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omments4.xml" ContentType="application/vnd.openxmlformats-officedocument.spreadsheetml.comments+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7.xml" ContentType="application/vnd.openxmlformats-officedocument.drawingml.chartshapes+xml"/>
  <Override PartName="/xl/charts/chart17.xml" ContentType="application/vnd.openxmlformats-officedocument.drawingml.chart+xml"/>
  <Override PartName="/xl/drawings/drawing8.xml" ContentType="application/vnd.openxmlformats-officedocument.drawingml.chartshapes+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9.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style2.xml" ContentType="application/vnd.ms-office.chartstyle+xml"/>
  <Override PartName="/xl/charts/colors2.xml" ContentType="application/vnd.ms-office.chartcolorstyle+xml"/>
  <Override PartName="/xl/charts/chart22.xml" ContentType="application/vnd.openxmlformats-officedocument.drawingml.chart+xml"/>
  <Override PartName="/xl/charts/style3.xml" ContentType="application/vnd.ms-office.chartstyle+xml"/>
  <Override PartName="/xl/charts/colors3.xml" ContentType="application/vnd.ms-office.chartcolorstyle+xml"/>
  <Override PartName="/xl/comments10.xml" ContentType="application/vnd.openxmlformats-officedocument.spreadsheetml.comments+xml"/>
  <Override PartName="/xl/threadedComments/threadedComment3.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backupFile="1" updateLinks="never" codeName="ThisWorkbook" defaultThemeVersion="124226"/>
  <mc:AlternateContent xmlns:mc="http://schemas.openxmlformats.org/markup-compatibility/2006">
    <mc:Choice Requires="x15">
      <x15ac:absPath xmlns:x15ac="http://schemas.microsoft.com/office/spreadsheetml/2010/11/ac" url="https://escvic-my.sharepoint.com/personal/oscar_burns_esc_vic_gov_au/Documents/Documents/ESC Projects/Price Reviews/2025-26 Price Review/MW 2025-26/Submission material to be published on ESC website/"/>
    </mc:Choice>
  </mc:AlternateContent>
  <xr:revisionPtr revIDLastSave="0" documentId="8_{C63B2DCA-49EC-4FA2-86AB-2F624DE3CF97}" xr6:coauthVersionLast="47" xr6:coauthVersionMax="47" xr10:uidLastSave="{00000000-0000-0000-0000-000000000000}"/>
  <bookViews>
    <workbookView xWindow="-120" yWindow="-120" windowWidth="29040" windowHeight="15840" tabRatio="917" xr2:uid="{00000000-000D-0000-FFFF-FFFF00000000}"/>
  </bookViews>
  <sheets>
    <sheet name="Contents" sheetId="5" r:id="rId1"/>
    <sheet name="ESC Adjustments log" sheetId="119" r:id="rId2"/>
    <sheet name="MW Adjustment Log" sheetId="120" r:id="rId3"/>
    <sheet name="Model Quality Check" sheetId="114" r:id="rId4"/>
    <sheet name="KeyAssumptionsPriceControl_FO" sheetId="40" r:id="rId5"/>
    <sheet name="Summary_FO" sheetId="42" r:id="rId6"/>
    <sheet name="Expenditure_Detail" sheetId="89" r:id="rId7"/>
    <sheet name="Opex_FO_Summary" sheetId="86" r:id="rId8"/>
    <sheet name="Opex_FO_W&amp;S" sheetId="116" r:id="rId9"/>
    <sheet name="Opex_FO_W&amp;D" sheetId="117" r:id="rId10"/>
    <sheet name="Opex_Breakdown" sheetId="12" r:id="rId11"/>
    <sheet name="Capex_FO input" sheetId="90" r:id="rId12"/>
    <sheet name="Capex_FO_AC" sheetId="30" r:id="rId13"/>
    <sheet name="RollForward_FO" sheetId="45" r:id="rId14"/>
    <sheet name="PrevPerAdj_FO" sheetId="62" r:id="rId15"/>
    <sheet name="RevenuePriceCap_FO" sheetId="36" state="hidden" r:id="rId16"/>
    <sheet name="RevenueTariffBasket_FO" sheetId="57" r:id="rId17"/>
    <sheet name="NotPres_FO" sheetId="34" r:id="rId18"/>
    <sheet name="Finance&amp;Tax_FO" sheetId="56" r:id="rId19"/>
    <sheet name="Rev&amp;RAV_FO" sheetId="41" r:id="rId20"/>
    <sheet name="Indicators_FO" sheetId="44" r:id="rId21"/>
    <sheet name="Outcomes" sheetId="92" r:id="rId22"/>
    <sheet name="GSL (not applicable)" sheetId="93" r:id="rId23"/>
    <sheet name="Schedule 2 - W&amp;S" sheetId="124" r:id="rId24"/>
    <sheet name="Schedule 2 - W&amp;D" sheetId="125" r:id="rId25"/>
    <sheet name="Dashboard - Pricing" sheetId="99" r:id="rId26"/>
    <sheet name="Dashboard - Opex" sheetId="100" r:id="rId27"/>
    <sheet name="Dashboard - Capex" sheetId="101" r:id="rId28"/>
    <sheet name="Dashboard - Data" sheetId="98" r:id="rId29"/>
    <sheet name="Determination Lookup" sheetId="123" r:id="rId30"/>
    <sheet name="General_BL" sheetId="81" r:id="rId31"/>
  </sheets>
  <externalReferences>
    <externalReference r:id="rId32"/>
    <externalReference r:id="rId33"/>
    <externalReference r:id="rId34"/>
    <externalReference r:id="rId35"/>
    <externalReference r:id="rId36"/>
    <externalReference r:id="rId37"/>
    <externalReference r:id="rId38"/>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11" hidden="1">'Capex_FO input'!$B$45:$FR$45</definedName>
    <definedName name="_xlnm._FilterDatabase" localSheetId="30" hidden="1">General_BL!$F$9:$F$15</definedName>
    <definedName name="_xlnm._FilterDatabase" localSheetId="10" hidden="1">Opex_Breakdown!#REF!</definedName>
    <definedName name="_xlnm._FilterDatabase" localSheetId="15" hidden="1">RevenuePriceCap_FO!$D$68:$AJ$443</definedName>
    <definedName name="_xlnm._FilterDatabase" localSheetId="16" hidden="1">RevenueTariffBasket_FO!$D$68:$AJ$443</definedName>
    <definedName name="Alt_Chk_1_Hdg" localSheetId="24" hidden="1">[1]Op_Ann_TO!$B$14</definedName>
    <definedName name="Alt_Chk_1_Hdg" hidden="1">[2]Op_Ann_TO!$B$14</definedName>
    <definedName name="Alt_Chk_2_Hdg" localSheetId="24" hidden="1">[1]Op_Ann_TO!$B$34</definedName>
    <definedName name="Alt_Chk_2_Hdg" hidden="1">[2]Op_Ann_TO!$B$34</definedName>
    <definedName name="Asset_category">General_BL!$I$9:$I$13</definedName>
    <definedName name="Asset_Class">General_BL!$F$9:$F$14</definedName>
    <definedName name="Capital_type">General_BL!$I$24:$I$28</definedName>
    <definedName name="Cost_Driver">General_BL!$C$24:$C$27</definedName>
    <definedName name="CPI">ROUND((1+'Schedule 2 - W&amp;S'!$E$10),6)</definedName>
    <definedName name="Depr_Deferral">General_BL!$F$24:$F$53</definedName>
    <definedName name="Depreciation_Method">General_BL!$C$10</definedName>
    <definedName name="Err_Chk_1_Hdg" localSheetId="24" hidden="1">[1]Op_Ann_TO!$B$14</definedName>
    <definedName name="Err_Chk_1_Hdg" hidden="1">[2]Op_Ann_TO!$B$14</definedName>
    <definedName name="Err_Chk_2_Hdg" localSheetId="24" hidden="1">[1]Op_Ann_TO!$B$34</definedName>
    <definedName name="Err_Chk_2_Hdg" hidden="1">[2]Op_Ann_TO!$B$34</definedName>
    <definedName name="Err_Chk_3_Hdg" localSheetId="24" hidden="1">[1]IS_Ann_TO!$B$1</definedName>
    <definedName name="Err_Chk_3_Hdg" hidden="1">[2]IS_Ann_TO!$B$1</definedName>
    <definedName name="Fixed_or_Var">General_BL!$F$57:$F$59</definedName>
    <definedName name="FROM_YEAR">'[3]CPI Converter'!$B$10,'[3]CPI Converter'!$H$21:$H$30</definedName>
    <definedName name="HL_Alt_Chk_1" localSheetId="24" hidden="1">[1]Op_Ann_TO!$I$29</definedName>
    <definedName name="HL_Alt_Chk_1" hidden="1">[2]Op_Ann_TO!$I$29</definedName>
    <definedName name="HL_Alt_Chk_2" localSheetId="24" hidden="1">[1]Op_Ann_TO!$I$49</definedName>
    <definedName name="HL_Alt_Chk_2" hidden="1">[2]Op_Ann_TO!$I$49</definedName>
    <definedName name="HL_Err_Chk_1" localSheetId="24" hidden="1">[1]Op_Ann_TO!$I$27</definedName>
    <definedName name="HL_Err_Chk_1" hidden="1">[2]Op_Ann_TO!$I$27</definedName>
    <definedName name="HL_Err_Chk_2" localSheetId="24" hidden="1">[1]Op_Ann_TO!$I$47</definedName>
    <definedName name="HL_Err_Chk_2" hidden="1">[2]Op_Ann_TO!$I$47</definedName>
    <definedName name="HL_Err_Chk_3" localSheetId="24" hidden="1">[1]IS_Ann_TO!$I$86</definedName>
    <definedName name="HL_Err_Chk_3" hidden="1">[2]IS_Ann_TO!$I$86</definedName>
    <definedName name="HL_Home">Contents!$B$7</definedName>
    <definedName name="HL_Sheet_Main_5" localSheetId="24" hidden="1">#REF!</definedName>
    <definedName name="HL_Sheet_Main_5" hidden="1">#REF!</definedName>
    <definedName name="HL_Sheet_Main_66" localSheetId="24" hidden="1">#REF!</definedName>
    <definedName name="HL_Sheet_Main_66" hidden="1">#REF!</definedName>
    <definedName name="HL_Sheet_Main_68" localSheetId="24" hidden="1">#REF!</definedName>
    <definedName name="HL_Sheet_Main_68" hidden="1">#REF!</definedName>
    <definedName name="HL_Sheet_Main_84" localSheetId="24" hidden="1">#REF!</definedName>
    <definedName name="HL_Sheet_Main_84" hidden="1">#REF!</definedName>
    <definedName name="HL_Sheet_Main_93" localSheetId="24" hidden="1">#REF!</definedName>
    <definedName name="HL_Sheet_Main_93" hidden="1">#REF!</definedName>
    <definedName name="Hybrid_Price" localSheetId="24">[4]General_BL!$F$63:$F$67</definedName>
    <definedName name="Hybrid_Price">General_BL!$F$80:$F$84</definedName>
    <definedName name="kk">General_BL!$F$73:$G$75</definedName>
    <definedName name="Model_Name">Contents!$H$7</definedName>
    <definedName name="Pal_Workbook_GUID" hidden="1">"2TKPIQKIX3TPLWYMZIU8GXB8"</definedName>
    <definedName name="Pre_RP_Estimate">Capex_FO_AC!$AU$10</definedName>
    <definedName name="Price_Asset_Class" localSheetId="24">[4]General_BL!$C$40:$C$48</definedName>
    <definedName name="Price_Asset_Class">General_BL!$C$57:$C$63</definedName>
    <definedName name="Price_Control">General_BL!$F$73:$F$75</definedName>
    <definedName name="Pricing_Unit" localSheetId="24">[4]General_BL!$C$55:$C$65</definedName>
    <definedName name="Pricing_Unit">General_BL!$C$72:$C$82</definedName>
    <definedName name="_xlnm.Print_Area" localSheetId="2">'MW Adjustment Log'!$A$1:$AG$78</definedName>
    <definedName name="_xlnm.Print_Area" localSheetId="24">'Schedule 2 - W&amp;D'!$B$3:$H$113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RRR" comment="Regulatory Rate of Return (RRR)">KeyAssumptionsPriceControl_FO!$AF$42</definedName>
    <definedName name="Service">General_BL!$F$9:$F$17</definedName>
    <definedName name="TBXRCK" hidden="1">"53|11757824,1|0,52|6780672,51|4204747,49|6697881,55|7929855,11|12632256,56|16777215"</definedName>
    <definedName name="TOC_Hdg_12" hidden="1">[5]Assets_Bk_Ann_TO!$B$161</definedName>
    <definedName name="TOC_Hdg_13" hidden="1">[5]Assets_Bk_Ann_TO!$B$14</definedName>
    <definedName name="TOC_Hdg_3" hidden="1">[5]Checks_BO!$B$7</definedName>
    <definedName name="TOC_Hdg_4" hidden="1">[5]Checks_BO!$B$23</definedName>
    <definedName name="TOC_Hdg_5" hidden="1">[5]Checks_BO!$B$39</definedName>
    <definedName name="TOC_Hdg_6" localSheetId="24" hidden="1">[1]Op_Ann_TA!$B$14</definedName>
    <definedName name="TOC_Hdg_6" hidden="1">[2]Op_Ann_TA!$B$14</definedName>
    <definedName name="TOC_Hdg_7" localSheetId="24" hidden="1">[1]Op_Ann_TO!$B$14</definedName>
    <definedName name="TOC_Hdg_7" hidden="1">[2]Op_Ann_TO!$B$14</definedName>
    <definedName name="TOC_Hdg_8" localSheetId="24" hidden="1">[1]Op_Ann_TA!$B$24</definedName>
    <definedName name="TOC_Hdg_8" hidden="1">[2]Op_Ann_TA!$B$24</definedName>
    <definedName name="TOC_Hdg_9" localSheetId="24" hidden="1">[1]Op_Ann_TO!$B$34</definedName>
    <definedName name="TOC_Hdg_9" hidden="1">[2]Op_Ann_TO!$B$34</definedName>
    <definedName name="WACC" localSheetId="24">'[6]Revenue cap'!$C$17</definedName>
    <definedName name="wacc">KeyAssumptionsPriceControl_FO!$O$42</definedName>
    <definedName name="wacc_1stper">KeyAssumptionsPriceControl_FO!$K$42</definedName>
    <definedName name="wacc_2ndper">KeyAssumptionsPriceControl_FO!$M$42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62" i="124" l="1"/>
  <c r="H62" i="124"/>
  <c r="G62" i="124"/>
  <c r="F62" i="124"/>
  <c r="D62" i="124"/>
  <c r="M31" i="90" l="1"/>
  <c r="I32" i="125" l="1"/>
  <c r="H32" i="125"/>
  <c r="G32" i="125"/>
  <c r="F32" i="125"/>
  <c r="D32" i="125"/>
  <c r="I31" i="125"/>
  <c r="H31" i="125"/>
  <c r="G31" i="125"/>
  <c r="F31" i="125"/>
  <c r="D31" i="125"/>
  <c r="I30" i="125"/>
  <c r="H30" i="125"/>
  <c r="G30" i="125"/>
  <c r="F30" i="125"/>
  <c r="D30" i="125"/>
  <c r="I29" i="125"/>
  <c r="H29" i="125"/>
  <c r="G29" i="125"/>
  <c r="F29" i="125"/>
  <c r="D29" i="125"/>
  <c r="I26" i="125"/>
  <c r="H26" i="125"/>
  <c r="G26" i="125"/>
  <c r="F26" i="125"/>
  <c r="D26" i="125"/>
  <c r="I23" i="125"/>
  <c r="H23" i="125"/>
  <c r="G23" i="125"/>
  <c r="F23" i="125"/>
  <c r="D23" i="125"/>
  <c r="I15" i="125"/>
  <c r="H15" i="125"/>
  <c r="G15" i="125"/>
  <c r="F15" i="125"/>
  <c r="G13" i="125"/>
  <c r="H13" i="125"/>
  <c r="I13" i="125"/>
  <c r="F13" i="125"/>
  <c r="D15" i="125"/>
  <c r="D13" i="125"/>
  <c r="I59" i="124"/>
  <c r="H59" i="124"/>
  <c r="G59" i="124"/>
  <c r="F59" i="124"/>
  <c r="D59" i="124"/>
  <c r="E59" i="124" s="1" a="1"/>
  <c r="E59" i="124" s="1"/>
  <c r="I58" i="124"/>
  <c r="H58" i="124"/>
  <c r="G58" i="124"/>
  <c r="F58" i="124"/>
  <c r="D58" i="124"/>
  <c r="I57" i="124"/>
  <c r="H57" i="124"/>
  <c r="G57" i="124"/>
  <c r="F57" i="124"/>
  <c r="D57" i="124"/>
  <c r="I56" i="124"/>
  <c r="H56" i="124"/>
  <c r="G56" i="124"/>
  <c r="F56" i="124"/>
  <c r="D56" i="124"/>
  <c r="I55" i="124"/>
  <c r="H55" i="124"/>
  <c r="G55" i="124"/>
  <c r="F55" i="124"/>
  <c r="D55" i="124"/>
  <c r="I54" i="124"/>
  <c r="H54" i="124"/>
  <c r="G54" i="124"/>
  <c r="F54" i="124"/>
  <c r="D54" i="124"/>
  <c r="G53" i="124"/>
  <c r="H53" i="124"/>
  <c r="I53" i="124"/>
  <c r="F53" i="124"/>
  <c r="D53" i="124"/>
  <c r="E56" i="124" a="1"/>
  <c r="E56" i="124" s="1"/>
  <c r="E57" i="124" a="1"/>
  <c r="E57" i="124" s="1"/>
  <c r="E58" i="124" a="1"/>
  <c r="E58" i="124" s="1"/>
  <c r="G50" i="124"/>
  <c r="H50" i="124"/>
  <c r="I50" i="124"/>
  <c r="F50" i="124"/>
  <c r="G49" i="124"/>
  <c r="H49" i="124"/>
  <c r="I49" i="124"/>
  <c r="F49" i="124"/>
  <c r="G48" i="124"/>
  <c r="H48" i="124"/>
  <c r="I48" i="124"/>
  <c r="F48" i="124"/>
  <c r="D50" i="124"/>
  <c r="D49" i="124"/>
  <c r="D48" i="124"/>
  <c r="G45" i="124"/>
  <c r="H45" i="124"/>
  <c r="I45" i="124"/>
  <c r="F45" i="124"/>
  <c r="G44" i="124"/>
  <c r="H44" i="124"/>
  <c r="I44" i="124"/>
  <c r="F44" i="124"/>
  <c r="G43" i="124"/>
  <c r="H43" i="124"/>
  <c r="I43" i="124"/>
  <c r="F43" i="124"/>
  <c r="D45" i="124"/>
  <c r="D44" i="124"/>
  <c r="D43" i="124"/>
  <c r="G42" i="124"/>
  <c r="H42" i="124"/>
  <c r="I42" i="124"/>
  <c r="F42" i="124"/>
  <c r="D42" i="124"/>
  <c r="G41" i="124"/>
  <c r="H41" i="124"/>
  <c r="I41" i="124"/>
  <c r="F41" i="124"/>
  <c r="D41" i="124"/>
  <c r="I40" i="124"/>
  <c r="H40" i="124"/>
  <c r="G40" i="124"/>
  <c r="F40" i="124"/>
  <c r="D40" i="124"/>
  <c r="I39" i="124"/>
  <c r="H39" i="124"/>
  <c r="G39" i="124"/>
  <c r="F39" i="124"/>
  <c r="D39" i="124"/>
  <c r="G36" i="124"/>
  <c r="H36" i="124"/>
  <c r="I36" i="124"/>
  <c r="F36" i="124"/>
  <c r="G35" i="124"/>
  <c r="H35" i="124"/>
  <c r="I35" i="124"/>
  <c r="F35" i="124"/>
  <c r="D36" i="124"/>
  <c r="D35" i="124"/>
  <c r="I32" i="124"/>
  <c r="H32" i="124"/>
  <c r="G32" i="124"/>
  <c r="I31" i="124"/>
  <c r="H31" i="124"/>
  <c r="G31" i="124"/>
  <c r="F32" i="124"/>
  <c r="F31" i="124"/>
  <c r="D32" i="124"/>
  <c r="D31" i="124"/>
  <c r="I25" i="124"/>
  <c r="H25" i="124"/>
  <c r="G25" i="124"/>
  <c r="F25" i="124"/>
  <c r="D25" i="124"/>
  <c r="G22" i="124"/>
  <c r="H22" i="124"/>
  <c r="I22" i="124"/>
  <c r="F22" i="124"/>
  <c r="D22" i="124"/>
  <c r="Z99" i="12"/>
  <c r="X48" i="123"/>
  <c r="W48" i="123"/>
  <c r="V48" i="123"/>
  <c r="U48" i="123"/>
  <c r="T48" i="123"/>
  <c r="S48" i="123"/>
  <c r="X47" i="123"/>
  <c r="W47" i="123"/>
  <c r="V47" i="123"/>
  <c r="U47" i="123"/>
  <c r="T47" i="123"/>
  <c r="S47" i="123"/>
  <c r="R47" i="123"/>
  <c r="R48" i="123" l="1"/>
  <c r="B2" i="120" l="1"/>
  <c r="B9" i="120"/>
  <c r="B10" i="120" s="1"/>
  <c r="B11" i="120" s="1"/>
  <c r="B12" i="120" s="1"/>
  <c r="B13" i="120" s="1"/>
  <c r="B14" i="120" s="1"/>
  <c r="B6" i="120"/>
  <c r="B7" i="120" s="1"/>
  <c r="B8" i="120" s="1"/>
  <c r="G4" i="120"/>
  <c r="B1" i="119"/>
  <c r="U169" i="44" l="1"/>
  <c r="X102" i="41" l="1"/>
  <c r="Z102" i="41"/>
  <c r="Y102" i="41"/>
  <c r="W102" i="41"/>
  <c r="V102" i="41"/>
  <c r="U102" i="41"/>
  <c r="U115" i="41"/>
  <c r="Z112" i="41"/>
  <c r="Y112" i="41"/>
  <c r="X112" i="41"/>
  <c r="W112" i="41"/>
  <c r="V112" i="41"/>
  <c r="U112" i="41"/>
  <c r="V115" i="41"/>
  <c r="W115" i="41"/>
  <c r="X115" i="41"/>
  <c r="Y115" i="41"/>
  <c r="Z115" i="41"/>
  <c r="U91" i="41"/>
  <c r="V91" i="41"/>
  <c r="W91" i="41"/>
  <c r="X91" i="41"/>
  <c r="Y91" i="41"/>
  <c r="U92" i="41"/>
  <c r="V92" i="41"/>
  <c r="W92" i="41"/>
  <c r="X92" i="41"/>
  <c r="Y92" i="41"/>
  <c r="Z92" i="41"/>
  <c r="AA92" i="41"/>
  <c r="C21" i="5" l="1"/>
  <c r="C20" i="5"/>
  <c r="C19" i="5"/>
  <c r="C18" i="5"/>
  <c r="C17" i="5"/>
  <c r="C16" i="5"/>
  <c r="T104" i="41" l="1"/>
  <c r="S104" i="41"/>
  <c r="R104" i="41"/>
  <c r="Q104" i="41"/>
  <c r="P104" i="41"/>
  <c r="O104" i="41"/>
  <c r="N104" i="41"/>
  <c r="M104" i="41"/>
  <c r="L104" i="41"/>
  <c r="K104" i="41"/>
  <c r="J104" i="41"/>
  <c r="AB55" i="45" l="1"/>
  <c r="AC55" i="45"/>
  <c r="AD55" i="45"/>
  <c r="AE55" i="45"/>
  <c r="AF55" i="45"/>
  <c r="AG55" i="45"/>
  <c r="AH55" i="45"/>
  <c r="AI55" i="45"/>
  <c r="AJ55" i="45"/>
  <c r="AB56" i="45"/>
  <c r="AC56" i="45"/>
  <c r="AD56" i="45"/>
  <c r="AE56" i="45"/>
  <c r="AF56" i="45"/>
  <c r="AG56" i="45"/>
  <c r="AH56" i="45"/>
  <c r="AI56" i="45"/>
  <c r="AJ56" i="45"/>
  <c r="AB57" i="45"/>
  <c r="AC57" i="45"/>
  <c r="AD57" i="45"/>
  <c r="AE57" i="45"/>
  <c r="AF57" i="45"/>
  <c r="AG57" i="45"/>
  <c r="AH57" i="45"/>
  <c r="AI57" i="45"/>
  <c r="AJ57" i="45"/>
  <c r="AB58" i="45"/>
  <c r="AC58" i="45"/>
  <c r="AD58" i="45"/>
  <c r="AE58" i="45"/>
  <c r="AF58" i="45"/>
  <c r="AG58" i="45"/>
  <c r="AH58" i="45"/>
  <c r="AI58" i="45"/>
  <c r="AJ58" i="45"/>
  <c r="AB59" i="45"/>
  <c r="AC59" i="45"/>
  <c r="AD59" i="45"/>
  <c r="AE59" i="45"/>
  <c r="AF59" i="45"/>
  <c r="AG59" i="45"/>
  <c r="AH59" i="45"/>
  <c r="AI59" i="45"/>
  <c r="AJ59" i="45"/>
  <c r="AB60" i="45"/>
  <c r="AC60" i="45"/>
  <c r="AD60" i="45"/>
  <c r="AE60" i="45"/>
  <c r="AF60" i="45"/>
  <c r="AG60" i="45"/>
  <c r="AH60" i="45"/>
  <c r="AI60" i="45"/>
  <c r="AJ60" i="45"/>
  <c r="AB61" i="45"/>
  <c r="AC61" i="45"/>
  <c r="AD61" i="45"/>
  <c r="AE61" i="45"/>
  <c r="AF61" i="45"/>
  <c r="AG61" i="45"/>
  <c r="AH61" i="45"/>
  <c r="AI61" i="45"/>
  <c r="AJ61" i="45"/>
  <c r="AB62" i="45"/>
  <c r="AC62" i="45"/>
  <c r="AD62" i="45"/>
  <c r="AE62" i="45"/>
  <c r="AF62" i="45"/>
  <c r="AG62" i="45"/>
  <c r="AH62" i="45"/>
  <c r="AI62" i="45"/>
  <c r="AJ62" i="45"/>
  <c r="AB63" i="45"/>
  <c r="AC63" i="45"/>
  <c r="AD63" i="45"/>
  <c r="AE63" i="45"/>
  <c r="AF63" i="45"/>
  <c r="AG63" i="45"/>
  <c r="AH63" i="45"/>
  <c r="AI63" i="45"/>
  <c r="AJ63" i="45"/>
  <c r="AB64" i="45"/>
  <c r="AC64" i="45"/>
  <c r="AD64" i="45"/>
  <c r="AE64" i="45"/>
  <c r="AF64" i="45"/>
  <c r="AG64" i="45"/>
  <c r="AH64" i="45"/>
  <c r="AI64" i="45"/>
  <c r="AJ64" i="45"/>
  <c r="AB65" i="45"/>
  <c r="AC65" i="45"/>
  <c r="AD65" i="45"/>
  <c r="AE65" i="45"/>
  <c r="AF65" i="45"/>
  <c r="AG65" i="45"/>
  <c r="AH65" i="45"/>
  <c r="AI65" i="45"/>
  <c r="AJ65" i="45"/>
  <c r="AB66" i="45"/>
  <c r="AC66" i="45"/>
  <c r="AD66" i="45"/>
  <c r="AE66" i="45"/>
  <c r="AF66" i="45"/>
  <c r="AG66" i="45"/>
  <c r="AH66" i="45"/>
  <c r="AI66" i="45"/>
  <c r="AJ66" i="45"/>
  <c r="AB67" i="45"/>
  <c r="AC67" i="45"/>
  <c r="AD67" i="45"/>
  <c r="AE67" i="45"/>
  <c r="AF67" i="45"/>
  <c r="AG67" i="45"/>
  <c r="AH67" i="45"/>
  <c r="AI67" i="45"/>
  <c r="AJ67" i="45"/>
  <c r="AB68" i="45"/>
  <c r="AC68" i="45"/>
  <c r="AD68" i="45"/>
  <c r="AE68" i="45"/>
  <c r="AF68" i="45"/>
  <c r="AG68" i="45"/>
  <c r="AH68" i="45"/>
  <c r="AI68" i="45"/>
  <c r="AJ68" i="45"/>
  <c r="AB69" i="45"/>
  <c r="AC69" i="45"/>
  <c r="AD69" i="45"/>
  <c r="AE69" i="45"/>
  <c r="AF69" i="45"/>
  <c r="AG69" i="45"/>
  <c r="AH69" i="45"/>
  <c r="AI69" i="45"/>
  <c r="AJ69" i="45"/>
  <c r="AB70" i="45"/>
  <c r="AC70" i="45"/>
  <c r="AD70" i="45"/>
  <c r="AE70" i="45"/>
  <c r="AF70" i="45"/>
  <c r="AG70" i="45"/>
  <c r="AH70" i="45"/>
  <c r="AI70" i="45"/>
  <c r="AJ70" i="45"/>
  <c r="AB71" i="45"/>
  <c r="AC71" i="45"/>
  <c r="AD71" i="45"/>
  <c r="AE71" i="45"/>
  <c r="AF71" i="45"/>
  <c r="AG71" i="45"/>
  <c r="AH71" i="45"/>
  <c r="AI71" i="45"/>
  <c r="AJ71" i="45"/>
  <c r="AB72" i="45"/>
  <c r="AC72" i="45"/>
  <c r="AD72" i="45"/>
  <c r="AE72" i="45"/>
  <c r="AF72" i="45"/>
  <c r="AG72" i="45"/>
  <c r="AH72" i="45"/>
  <c r="AI72" i="45"/>
  <c r="AJ72" i="45"/>
  <c r="AB73" i="45"/>
  <c r="AC73" i="45"/>
  <c r="AD73" i="45"/>
  <c r="AE73" i="45"/>
  <c r="AF73" i="45"/>
  <c r="AG73" i="45"/>
  <c r="AH73" i="45"/>
  <c r="AI73" i="45"/>
  <c r="AJ73" i="45"/>
  <c r="AB74" i="45"/>
  <c r="AC74" i="45"/>
  <c r="AD74" i="45"/>
  <c r="AE74" i="45"/>
  <c r="AF74" i="45"/>
  <c r="AG74" i="45"/>
  <c r="AH74" i="45"/>
  <c r="AI74" i="45"/>
  <c r="AJ74" i="45"/>
  <c r="AB75" i="45"/>
  <c r="AC75" i="45"/>
  <c r="AD75" i="45"/>
  <c r="AE75" i="45"/>
  <c r="AF75" i="45"/>
  <c r="AG75" i="45"/>
  <c r="AH75" i="45"/>
  <c r="AI75" i="45"/>
  <c r="AJ75" i="45"/>
  <c r="AB76" i="45"/>
  <c r="AC76" i="45"/>
  <c r="AD76" i="45"/>
  <c r="AE76" i="45"/>
  <c r="AF76" i="45"/>
  <c r="AG76" i="45"/>
  <c r="AH76" i="45"/>
  <c r="AI76" i="45"/>
  <c r="AJ76" i="45"/>
  <c r="AB77" i="45"/>
  <c r="AC77" i="45"/>
  <c r="AD77" i="45"/>
  <c r="AE77" i="45"/>
  <c r="AF77" i="45"/>
  <c r="AG77" i="45"/>
  <c r="AH77" i="45"/>
  <c r="AI77" i="45"/>
  <c r="AJ77" i="45"/>
  <c r="AB78" i="45"/>
  <c r="AC78" i="45"/>
  <c r="AD78" i="45"/>
  <c r="AE78" i="45"/>
  <c r="AF78" i="45"/>
  <c r="AG78" i="45"/>
  <c r="AH78" i="45"/>
  <c r="AI78" i="45"/>
  <c r="AJ78" i="45"/>
  <c r="AB79" i="45"/>
  <c r="AC79" i="45"/>
  <c r="AD79" i="45"/>
  <c r="AE79" i="45"/>
  <c r="AF79" i="45"/>
  <c r="AG79" i="45"/>
  <c r="AH79" i="45"/>
  <c r="AI79" i="45"/>
  <c r="AJ79" i="45"/>
  <c r="AB80" i="45"/>
  <c r="AC80" i="45"/>
  <c r="AD80" i="45"/>
  <c r="AE80" i="45"/>
  <c r="AF80" i="45"/>
  <c r="AG80" i="45"/>
  <c r="AH80" i="45"/>
  <c r="AI80" i="45"/>
  <c r="AJ80" i="45"/>
  <c r="AA55" i="45"/>
  <c r="AA56" i="45"/>
  <c r="AA57" i="45"/>
  <c r="AA58" i="45"/>
  <c r="AA59" i="45"/>
  <c r="AA60" i="45"/>
  <c r="AA61" i="45"/>
  <c r="AA62" i="45"/>
  <c r="AA63" i="45"/>
  <c r="AA64" i="45"/>
  <c r="AA65" i="45"/>
  <c r="AA66" i="45"/>
  <c r="AA67" i="45"/>
  <c r="AA68" i="45"/>
  <c r="AA69" i="45"/>
  <c r="AA70" i="45"/>
  <c r="AA71" i="45"/>
  <c r="AA72" i="45"/>
  <c r="AA73" i="45"/>
  <c r="AA74" i="45"/>
  <c r="AA75" i="45"/>
  <c r="AA76" i="45"/>
  <c r="AA77" i="45"/>
  <c r="AA78" i="45"/>
  <c r="AA79" i="45"/>
  <c r="AA80" i="45"/>
  <c r="E10" i="125" l="1"/>
  <c r="B10" i="125" l="1"/>
  <c r="E111" i="125" l="1" a="1"/>
  <c r="E111" i="125" s="1"/>
  <c r="E110" i="125" a="1"/>
  <c r="E110" i="125" s="1"/>
  <c r="E109" i="125" a="1"/>
  <c r="E109" i="125" s="1"/>
  <c r="E108" i="125" a="1"/>
  <c r="E108" i="125" s="1"/>
  <c r="E107" i="125" a="1"/>
  <c r="E107" i="125" s="1"/>
  <c r="E106" i="125" a="1"/>
  <c r="E106" i="125" s="1"/>
  <c r="E103" i="125" a="1"/>
  <c r="E103" i="125" s="1"/>
  <c r="E102" i="125" a="1"/>
  <c r="E102" i="125" s="1"/>
  <c r="E101" i="125" a="1"/>
  <c r="E101" i="125" s="1"/>
  <c r="E100" i="125" a="1"/>
  <c r="E100" i="125" s="1"/>
  <c r="E99" i="125" a="1"/>
  <c r="E99" i="125" s="1"/>
  <c r="E98" i="125" a="1"/>
  <c r="E98" i="125" s="1"/>
  <c r="E95" i="125" a="1"/>
  <c r="E95" i="125" s="1"/>
  <c r="E94" i="125" a="1"/>
  <c r="E94" i="125" s="1"/>
  <c r="E93" i="125" a="1"/>
  <c r="E93" i="125" s="1"/>
  <c r="E92" i="125" a="1"/>
  <c r="E92" i="125" s="1"/>
  <c r="E91" i="125" a="1"/>
  <c r="E91" i="125" s="1"/>
  <c r="E90" i="125" a="1"/>
  <c r="E90" i="125" s="1"/>
  <c r="E89" i="125" a="1"/>
  <c r="E89" i="125" s="1"/>
  <c r="E88" i="125" a="1"/>
  <c r="E88" i="125" s="1"/>
  <c r="E87" i="125" a="1"/>
  <c r="E87" i="125" s="1"/>
  <c r="E86" i="125" a="1"/>
  <c r="E86" i="125" s="1"/>
  <c r="E85" i="125" a="1"/>
  <c r="E85" i="125" s="1"/>
  <c r="E84" i="125" a="1"/>
  <c r="E84" i="125" s="1"/>
  <c r="E83" i="125" a="1"/>
  <c r="E83" i="125" s="1"/>
  <c r="E82" i="125" a="1"/>
  <c r="E82" i="125" s="1"/>
  <c r="E81" i="125" a="1"/>
  <c r="E81" i="125" s="1"/>
  <c r="E80" i="125" a="1"/>
  <c r="E80" i="125" s="1"/>
  <c r="E79" i="125" a="1"/>
  <c r="E79" i="125" s="1"/>
  <c r="E78" i="125" a="1"/>
  <c r="E78" i="125" s="1"/>
  <c r="E77" i="125" a="1"/>
  <c r="E77" i="125" s="1"/>
  <c r="E74" i="125" a="1"/>
  <c r="E74" i="125" s="1"/>
  <c r="E73" i="125" a="1"/>
  <c r="E73" i="125" s="1"/>
  <c r="E70" i="125" a="1"/>
  <c r="E70" i="125" s="1"/>
  <c r="E69" i="125" a="1"/>
  <c r="E69" i="125" s="1"/>
  <c r="E68" i="125" a="1"/>
  <c r="E68" i="125" s="1"/>
  <c r="E65" i="125" a="1"/>
  <c r="E65" i="125" s="1"/>
  <c r="E64" i="125" a="1"/>
  <c r="E64" i="125" s="1"/>
  <c r="E63" i="125" a="1"/>
  <c r="E63" i="125" s="1"/>
  <c r="E62" i="125" a="1"/>
  <c r="E62" i="125" s="1"/>
  <c r="E61" i="125" a="1"/>
  <c r="E61" i="125" s="1"/>
  <c r="E60" i="125" a="1"/>
  <c r="E60" i="125" s="1"/>
  <c r="E59" i="125" a="1"/>
  <c r="E59" i="125" s="1"/>
  <c r="E58" i="125" a="1"/>
  <c r="E58" i="125" s="1"/>
  <c r="E57" i="125" a="1"/>
  <c r="E57" i="125" s="1"/>
  <c r="E54" i="125" a="1"/>
  <c r="E54" i="125" s="1"/>
  <c r="E53" i="125" a="1"/>
  <c r="E53" i="125" s="1"/>
  <c r="E50" i="125" a="1"/>
  <c r="E50" i="125" s="1"/>
  <c r="E49" i="125" a="1"/>
  <c r="E49" i="125" s="1"/>
  <c r="E48" i="125" a="1"/>
  <c r="E48" i="125" s="1"/>
  <c r="E47" i="125" a="1"/>
  <c r="E47" i="125" s="1"/>
  <c r="E44" i="125" a="1"/>
  <c r="E44" i="125" s="1"/>
  <c r="E43" i="125" a="1"/>
  <c r="E43" i="125" s="1"/>
  <c r="E42" i="125" a="1"/>
  <c r="E42" i="125" s="1"/>
  <c r="E39" i="125" a="1"/>
  <c r="E39" i="125" s="1"/>
  <c r="E38" i="125" a="1"/>
  <c r="E38" i="125" s="1"/>
  <c r="E36" i="125" a="1"/>
  <c r="E36" i="125" s="1"/>
  <c r="E35" i="125" a="1"/>
  <c r="E35" i="125" s="1"/>
  <c r="E32" i="125" a="1"/>
  <c r="E32" i="125" s="1"/>
  <c r="E31" i="125" a="1"/>
  <c r="E31" i="125" s="1"/>
  <c r="E30" i="125" a="1"/>
  <c r="E30" i="125" s="1"/>
  <c r="E29" i="125" a="1"/>
  <c r="E29" i="125" s="1"/>
  <c r="E26" i="125" a="1"/>
  <c r="E26" i="125" s="1"/>
  <c r="E23" i="125" a="1"/>
  <c r="E23" i="125" s="1"/>
  <c r="E20" i="125" a="1"/>
  <c r="E20" i="125" s="1"/>
  <c r="E16" i="125" a="1"/>
  <c r="E16" i="125" s="1"/>
  <c r="E15" i="125" a="1"/>
  <c r="E15" i="125" s="1"/>
  <c r="E13" i="125" a="1"/>
  <c r="E13" i="125" s="1"/>
  <c r="E69" i="124" a="1"/>
  <c r="E69" i="124" s="1"/>
  <c r="E68" i="124" a="1"/>
  <c r="E68" i="124" s="1"/>
  <c r="E67" i="124" a="1"/>
  <c r="E67" i="124" s="1"/>
  <c r="E66" i="124" a="1"/>
  <c r="E66" i="124" s="1"/>
  <c r="E65" i="124" a="1"/>
  <c r="E65" i="124" s="1"/>
  <c r="E62" i="124" a="1"/>
  <c r="E62" i="124" s="1"/>
  <c r="E55" i="124" a="1"/>
  <c r="E55" i="124" s="1"/>
  <c r="E54" i="124" a="1"/>
  <c r="E54" i="124" s="1"/>
  <c r="E53" i="124" a="1"/>
  <c r="E53" i="124" s="1"/>
  <c r="E50" i="124" a="1"/>
  <c r="E50" i="124" s="1"/>
  <c r="E49" i="124" a="1"/>
  <c r="E49" i="124" s="1"/>
  <c r="E48" i="124" a="1"/>
  <c r="E48" i="124" s="1"/>
  <c r="E45" i="124" a="1"/>
  <c r="E45" i="124" s="1"/>
  <c r="E44" i="124" a="1"/>
  <c r="E44" i="124" s="1"/>
  <c r="E43" i="124" a="1"/>
  <c r="E43" i="124" s="1"/>
  <c r="E42" i="124" a="1"/>
  <c r="E42" i="124" s="1"/>
  <c r="E41" i="124" a="1"/>
  <c r="E41" i="124" s="1"/>
  <c r="E40" i="124" a="1"/>
  <c r="E40" i="124" s="1"/>
  <c r="E39" i="124" a="1"/>
  <c r="E39" i="124" s="1"/>
  <c r="E36" i="124" a="1"/>
  <c r="E36" i="124" s="1"/>
  <c r="E35" i="124" a="1"/>
  <c r="E35" i="124" s="1"/>
  <c r="E32" i="124" a="1"/>
  <c r="E32" i="124" s="1"/>
  <c r="E31" i="124" a="1"/>
  <c r="E31" i="124" s="1"/>
  <c r="E28" i="124" a="1"/>
  <c r="E28" i="124" s="1"/>
  <c r="E25" i="124" a="1"/>
  <c r="E25" i="124" s="1"/>
  <c r="E22" i="124" a="1"/>
  <c r="E22" i="124" s="1"/>
  <c r="E19" i="124" a="1"/>
  <c r="E19" i="124" s="1"/>
  <c r="E16" i="124" a="1"/>
  <c r="E16" i="124" s="1"/>
  <c r="E13" i="124" a="1"/>
  <c r="E13" i="124" s="1"/>
  <c r="F325" i="36" l="1"/>
  <c r="G325" i="36"/>
  <c r="H325" i="36"/>
  <c r="I325" i="36"/>
  <c r="F326" i="36"/>
  <c r="G326" i="36"/>
  <c r="H326" i="36"/>
  <c r="I326" i="36"/>
  <c r="E8" i="125" l="1"/>
  <c r="F8" i="125"/>
  <c r="G8" i="125"/>
  <c r="H8" i="125"/>
  <c r="I8" i="125"/>
  <c r="J37" i="125"/>
  <c r="E40" i="125" a="1"/>
  <c r="E40" i="125" s="1"/>
  <c r="E41" i="125" a="1"/>
  <c r="E41" i="125" s="1"/>
  <c r="B34" i="5"/>
  <c r="B35" i="5" s="1"/>
  <c r="H31" i="90" l="1"/>
  <c r="AJ7" i="57"/>
  <c r="AI7" i="57"/>
  <c r="AH7" i="57"/>
  <c r="AG7" i="57"/>
  <c r="AF7" i="57"/>
  <c r="AE7" i="57"/>
  <c r="AD7" i="57"/>
  <c r="AC7" i="57"/>
  <c r="AB7" i="57"/>
  <c r="AA7" i="57"/>
  <c r="Z7" i="57"/>
  <c r="Y7" i="57"/>
  <c r="X7" i="57"/>
  <c r="W7" i="57"/>
  <c r="V7" i="57"/>
  <c r="U7" i="57"/>
  <c r="B43" i="119"/>
  <c r="AJ105" i="30" l="1"/>
  <c r="AI105" i="30"/>
  <c r="AH105" i="30"/>
  <c r="AG105" i="30"/>
  <c r="AF105" i="30"/>
  <c r="AE105" i="30"/>
  <c r="AD105" i="30"/>
  <c r="AC105" i="30"/>
  <c r="AE106" i="30" s="1"/>
  <c r="AB105" i="30"/>
  <c r="AA105" i="30"/>
  <c r="Y105" i="30"/>
  <c r="X105" i="30"/>
  <c r="W105" i="30"/>
  <c r="V105" i="30"/>
  <c r="U105" i="30"/>
  <c r="Z105" i="30"/>
  <c r="AJ101" i="30"/>
  <c r="AE101" i="30"/>
  <c r="Z101" i="30"/>
  <c r="Z76" i="30"/>
  <c r="AM22" i="12"/>
  <c r="AL22" i="12"/>
  <c r="AJ22" i="12"/>
  <c r="AI22" i="12"/>
  <c r="AH22" i="12"/>
  <c r="AG22" i="12"/>
  <c r="AF22" i="12"/>
  <c r="AJ106" i="30" l="1"/>
  <c r="Z106" i="30"/>
  <c r="AF62" i="36"/>
  <c r="AB92" i="41"/>
  <c r="AC92" i="41" s="1"/>
  <c r="AD92" i="41" s="1"/>
  <c r="AE92" i="41" s="1"/>
  <c r="AF92" i="41" s="1"/>
  <c r="AG92" i="41" s="1"/>
  <c r="AH92" i="41" s="1"/>
  <c r="AI92" i="41" s="1"/>
  <c r="AJ92" i="41" s="1"/>
  <c r="B14" i="5" l="1"/>
  <c r="B15" i="5" s="1"/>
  <c r="B16" i="5" s="1"/>
  <c r="B17" i="5" s="1"/>
  <c r="B18" i="5" s="1"/>
  <c r="B19" i="5" s="1"/>
  <c r="B20" i="5" s="1"/>
  <c r="B21" i="5" s="1"/>
  <c r="B22" i="5" s="1"/>
  <c r="B23" i="5" s="1"/>
  <c r="B24" i="5" s="1"/>
  <c r="B25" i="5" s="1"/>
  <c r="B26" i="5" s="1"/>
  <c r="B27" i="5" s="1"/>
  <c r="B28" i="5" s="1"/>
  <c r="B29" i="5" s="1"/>
  <c r="B30" i="5" s="1"/>
  <c r="B31" i="5" s="1"/>
  <c r="B32" i="5" s="1"/>
  <c r="B33" i="5" s="1"/>
  <c r="Q13" i="114"/>
  <c r="C37" i="45" l="1"/>
  <c r="AJ93" i="12" l="1"/>
  <c r="AI93" i="12"/>
  <c r="AH93" i="12"/>
  <c r="AG93" i="12"/>
  <c r="AF93" i="12"/>
  <c r="AE93" i="12"/>
  <c r="AD93" i="12"/>
  <c r="AC93" i="12"/>
  <c r="AB93" i="12"/>
  <c r="AA93" i="12"/>
  <c r="AJ92" i="12"/>
  <c r="AI92" i="12"/>
  <c r="AH92" i="12"/>
  <c r="AG92" i="12"/>
  <c r="AF92" i="12"/>
  <c r="AE92" i="12"/>
  <c r="AD92" i="12"/>
  <c r="AC92" i="12"/>
  <c r="AB92" i="12"/>
  <c r="AA92" i="12"/>
  <c r="AJ91" i="12"/>
  <c r="AI91" i="12"/>
  <c r="AH91" i="12"/>
  <c r="AG91" i="12"/>
  <c r="AF91" i="12"/>
  <c r="AE91" i="12"/>
  <c r="AD91" i="12"/>
  <c r="AC91" i="12"/>
  <c r="AB91" i="12"/>
  <c r="AA91" i="12"/>
  <c r="Z93" i="12"/>
  <c r="Z92" i="12"/>
  <c r="Z91" i="12"/>
  <c r="H157" i="98" l="1"/>
  <c r="N157" i="98" s="1"/>
  <c r="H156" i="98"/>
  <c r="Q156" i="98" s="1"/>
  <c r="H155" i="98"/>
  <c r="L155" i="98" s="1"/>
  <c r="H154" i="98"/>
  <c r="O154" i="98" s="1"/>
  <c r="H153" i="98"/>
  <c r="R153" i="98" s="1"/>
  <c r="I123" i="98"/>
  <c r="I118" i="98"/>
  <c r="I113" i="98"/>
  <c r="J156" i="98" l="1"/>
  <c r="R156" i="98"/>
  <c r="K153" i="98"/>
  <c r="O157" i="98"/>
  <c r="M153" i="98"/>
  <c r="J154" i="98"/>
  <c r="R154" i="98"/>
  <c r="O155" i="98"/>
  <c r="L156" i="98"/>
  <c r="I157" i="98"/>
  <c r="Q157" i="98"/>
  <c r="P155" i="98"/>
  <c r="M156" i="98"/>
  <c r="J157" i="98"/>
  <c r="R157" i="98"/>
  <c r="I154" i="98"/>
  <c r="N155" i="98"/>
  <c r="K156" i="98"/>
  <c r="P157" i="98"/>
  <c r="N153" i="98"/>
  <c r="K154" i="98"/>
  <c r="O153" i="98"/>
  <c r="L154" i="98"/>
  <c r="I155" i="98"/>
  <c r="Q155" i="98"/>
  <c r="N156" i="98"/>
  <c r="K157" i="98"/>
  <c r="P153" i="98"/>
  <c r="M154" i="98"/>
  <c r="J155" i="98"/>
  <c r="R155" i="98"/>
  <c r="O156" i="98"/>
  <c r="L157" i="98"/>
  <c r="P154" i="98"/>
  <c r="P156" i="98"/>
  <c r="M157" i="98"/>
  <c r="M155" i="98"/>
  <c r="L153" i="98"/>
  <c r="Q154" i="98"/>
  <c r="I153" i="98"/>
  <c r="Q153" i="98"/>
  <c r="N154" i="98"/>
  <c r="K155" i="98"/>
  <c r="J153" i="98"/>
  <c r="I156" i="98"/>
  <c r="R158" i="98" l="1"/>
  <c r="O158" i="98"/>
  <c r="N158" i="98"/>
  <c r="J158" i="98"/>
  <c r="L158" i="98"/>
  <c r="K158" i="98"/>
  <c r="I158" i="98"/>
  <c r="M158" i="98"/>
  <c r="P158" i="98"/>
  <c r="Q158" i="98"/>
  <c r="F48" i="123"/>
  <c r="AA14" i="40"/>
  <c r="F47" i="123"/>
  <c r="Z17" i="30" l="1"/>
  <c r="V34" i="123" l="1"/>
  <c r="W34" i="123"/>
  <c r="X34" i="123"/>
  <c r="F54" i="123" l="1"/>
  <c r="F52" i="123"/>
  <c r="F51" i="123"/>
  <c r="F50" i="123"/>
  <c r="F49" i="123"/>
  <c r="F46" i="123"/>
  <c r="F45" i="123"/>
  <c r="F44" i="123"/>
  <c r="F43" i="123"/>
  <c r="F42" i="123"/>
  <c r="F41" i="123"/>
  <c r="F40" i="123"/>
  <c r="F39" i="123"/>
  <c r="F38" i="123"/>
  <c r="F37" i="123"/>
  <c r="F36" i="123"/>
  <c r="F35" i="123"/>
  <c r="U34" i="123"/>
  <c r="T34" i="123"/>
  <c r="S34" i="123"/>
  <c r="R34" i="123"/>
  <c r="AC26" i="123"/>
  <c r="AD23" i="123"/>
  <c r="AC23" i="123"/>
  <c r="AD22" i="123"/>
  <c r="AC22" i="123"/>
  <c r="AE14" i="123"/>
  <c r="AD14" i="123"/>
  <c r="AC14" i="123"/>
  <c r="AE13" i="123"/>
  <c r="AD13" i="123"/>
  <c r="AC13" i="123"/>
  <c r="AE12" i="123"/>
  <c r="AD12" i="123"/>
  <c r="AC12" i="123"/>
  <c r="AE11" i="123"/>
  <c r="AD11" i="123"/>
  <c r="AC11" i="123"/>
  <c r="AE10" i="123"/>
  <c r="AD10" i="123"/>
  <c r="AC10" i="123"/>
  <c r="AE9" i="123"/>
  <c r="AD9" i="123"/>
  <c r="AC9" i="123"/>
  <c r="AE8" i="123"/>
  <c r="AD8" i="123"/>
  <c r="AC8" i="123"/>
  <c r="Y60" i="117" l="1"/>
  <c r="Y60" i="116"/>
  <c r="AJ105" i="12"/>
  <c r="AE105" i="12"/>
  <c r="Z105" i="12"/>
  <c r="AM17" i="30" l="1"/>
  <c r="H10" i="5" l="1"/>
  <c r="W7" i="114"/>
  <c r="X7" i="114"/>
  <c r="Y7" i="114"/>
  <c r="Z7" i="114"/>
  <c r="AA7" i="114"/>
  <c r="AC4" i="93"/>
  <c r="X4" i="93"/>
  <c r="AF7" i="93"/>
  <c r="AG7" i="93"/>
  <c r="AH7" i="93"/>
  <c r="AI7" i="93"/>
  <c r="AJ7" i="93"/>
  <c r="AE7" i="93"/>
  <c r="AD7" i="93"/>
  <c r="AC7" i="93"/>
  <c r="AB7" i="93"/>
  <c r="AA7" i="93"/>
  <c r="Z7" i="93"/>
  <c r="Y7" i="93"/>
  <c r="X7" i="93"/>
  <c r="W7" i="93"/>
  <c r="V7" i="93"/>
  <c r="U7" i="93"/>
  <c r="AU30" i="42"/>
  <c r="AU29" i="42"/>
  <c r="AU28" i="42"/>
  <c r="AQ30" i="42"/>
  <c r="AQ29" i="42"/>
  <c r="AQ28" i="42"/>
  <c r="V7" i="36"/>
  <c r="W7" i="36"/>
  <c r="X7" i="36"/>
  <c r="Y7" i="36"/>
  <c r="Z7" i="36"/>
  <c r="AA7" i="36"/>
  <c r="AB7" i="36"/>
  <c r="AC7" i="36"/>
  <c r="AD7" i="36"/>
  <c r="AE7" i="36"/>
  <c r="AF7" i="36"/>
  <c r="AG7" i="36"/>
  <c r="AH7" i="36"/>
  <c r="AI7" i="36"/>
  <c r="AJ7" i="36"/>
  <c r="U7" i="36"/>
  <c r="G56" i="119"/>
  <c r="G55" i="119"/>
  <c r="F55" i="119"/>
  <c r="F56" i="119" s="1"/>
  <c r="E55" i="119"/>
  <c r="E56" i="119" s="1"/>
  <c r="D55" i="119"/>
  <c r="D56" i="119" s="1"/>
  <c r="C55" i="119"/>
  <c r="C56" i="119" s="1"/>
  <c r="H53" i="119"/>
  <c r="H51" i="119"/>
  <c r="H50" i="119"/>
  <c r="H49" i="119"/>
  <c r="H48" i="119"/>
  <c r="H55" i="119" s="1"/>
  <c r="H46" i="119"/>
  <c r="G36" i="119"/>
  <c r="G35" i="119"/>
  <c r="G37" i="119" s="1"/>
  <c r="F35" i="119"/>
  <c r="E35" i="119"/>
  <c r="E37" i="119" s="1"/>
  <c r="D35" i="119"/>
  <c r="C35" i="119"/>
  <c r="G33" i="119"/>
  <c r="D33" i="119"/>
  <c r="C33" i="119"/>
  <c r="G32" i="119"/>
  <c r="F32" i="119"/>
  <c r="F33" i="119" s="1"/>
  <c r="E32" i="119"/>
  <c r="E33" i="119" s="1"/>
  <c r="D32" i="119"/>
  <c r="C32" i="119"/>
  <c r="H31" i="119"/>
  <c r="H30" i="119"/>
  <c r="H28" i="119"/>
  <c r="H27" i="119"/>
  <c r="H26" i="119"/>
  <c r="H25" i="119"/>
  <c r="H32" i="119" s="1"/>
  <c r="H33" i="119" s="1"/>
  <c r="H23" i="119"/>
  <c r="G21" i="119"/>
  <c r="F21" i="119"/>
  <c r="E21" i="119"/>
  <c r="G20" i="119"/>
  <c r="F20" i="119"/>
  <c r="F36" i="119" s="1"/>
  <c r="F37" i="119" s="1"/>
  <c r="E20" i="119"/>
  <c r="E36" i="119" s="1"/>
  <c r="D20" i="119"/>
  <c r="D21" i="119" s="1"/>
  <c r="C20" i="119"/>
  <c r="C21" i="119" s="1"/>
  <c r="H19" i="119"/>
  <c r="H18" i="119"/>
  <c r="H17" i="119"/>
  <c r="H16" i="119"/>
  <c r="H15" i="119"/>
  <c r="H13" i="119"/>
  <c r="H12" i="119"/>
  <c r="H11" i="119"/>
  <c r="H20" i="119" s="1"/>
  <c r="H10" i="119"/>
  <c r="H9" i="119"/>
  <c r="H7" i="119"/>
  <c r="H35" i="119" s="1"/>
  <c r="AH4" i="12"/>
  <c r="AC4" i="12"/>
  <c r="X4" i="12"/>
  <c r="AF6" i="12"/>
  <c r="AG6" i="12" s="1"/>
  <c r="AH6" i="12" s="1"/>
  <c r="AI6" i="12" s="1"/>
  <c r="AJ6" i="12" s="1"/>
  <c r="AJ7" i="12" s="1"/>
  <c r="AE7" i="12"/>
  <c r="AD7" i="12"/>
  <c r="AC7" i="12"/>
  <c r="AB7" i="12"/>
  <c r="AA7" i="12"/>
  <c r="Z7" i="12"/>
  <c r="Y7" i="12"/>
  <c r="X7" i="12"/>
  <c r="W7" i="12"/>
  <c r="V7" i="12"/>
  <c r="U7" i="12"/>
  <c r="AH4" i="45"/>
  <c r="AH4" i="62" s="1"/>
  <c r="AC4" i="45"/>
  <c r="AC4" i="62" s="1"/>
  <c r="X4" i="45"/>
  <c r="X4" i="62" s="1"/>
  <c r="AC4" i="92"/>
  <c r="X4" i="92"/>
  <c r="AG6" i="92"/>
  <c r="AH6" i="92" s="1"/>
  <c r="AI6" i="92" s="1"/>
  <c r="AJ6" i="92" s="1"/>
  <c r="AF6" i="92"/>
  <c r="AE7" i="92"/>
  <c r="AD7" i="92"/>
  <c r="AC7" i="92"/>
  <c r="AB7" i="92"/>
  <c r="AA7" i="92"/>
  <c r="Z7" i="92"/>
  <c r="Y7" i="92"/>
  <c r="X7" i="92"/>
  <c r="W7" i="92"/>
  <c r="V7" i="92"/>
  <c r="U7" i="92"/>
  <c r="AC4" i="44"/>
  <c r="D17" i="98" s="1"/>
  <c r="I7" i="98" s="1"/>
  <c r="X4" i="44"/>
  <c r="D7" i="98" s="1"/>
  <c r="AF6" i="44"/>
  <c r="AG6" i="44" s="1"/>
  <c r="AE7" i="44"/>
  <c r="AD7" i="44"/>
  <c r="AC7" i="44"/>
  <c r="AB7" i="44"/>
  <c r="AA7" i="44"/>
  <c r="Z7" i="44"/>
  <c r="Y7" i="44"/>
  <c r="X7" i="44"/>
  <c r="W7" i="44"/>
  <c r="V7" i="44"/>
  <c r="U7" i="44"/>
  <c r="AH4" i="41"/>
  <c r="AH4" i="92" s="1"/>
  <c r="AF7" i="34"/>
  <c r="AG7" i="34"/>
  <c r="AH7" i="34"/>
  <c r="AI7" i="34"/>
  <c r="AJ7" i="34"/>
  <c r="AH6" i="56"/>
  <c r="AI6" i="56" s="1"/>
  <c r="AG6" i="56"/>
  <c r="AF6" i="56"/>
  <c r="AF7" i="56" s="1"/>
  <c r="AG7" i="56"/>
  <c r="AH7" i="56"/>
  <c r="AE7" i="56"/>
  <c r="AD7" i="56"/>
  <c r="AC7" i="56"/>
  <c r="AB7" i="56"/>
  <c r="AA7" i="56"/>
  <c r="Z7" i="56"/>
  <c r="Y7" i="56"/>
  <c r="X7" i="56"/>
  <c r="W7" i="56"/>
  <c r="V7" i="56"/>
  <c r="U7" i="56"/>
  <c r="AF7" i="45"/>
  <c r="AG7" i="45"/>
  <c r="AH7" i="45"/>
  <c r="AI7" i="45"/>
  <c r="AJ7" i="45"/>
  <c r="K7" i="45"/>
  <c r="AF7" i="30"/>
  <c r="AG7" i="30"/>
  <c r="AH7" i="30"/>
  <c r="AI7" i="30"/>
  <c r="AJ7" i="30"/>
  <c r="AF5" i="117"/>
  <c r="AF6" i="117" s="1"/>
  <c r="AG6" i="62"/>
  <c r="AH6" i="62" s="1"/>
  <c r="AG7" i="62"/>
  <c r="AF7" i="62"/>
  <c r="AF6" i="62"/>
  <c r="AF5" i="116"/>
  <c r="AF6" i="116" s="1"/>
  <c r="AF6" i="41"/>
  <c r="AF7" i="41" s="1"/>
  <c r="N8" i="98" s="1"/>
  <c r="AF7" i="98" s="1"/>
  <c r="AF5" i="86"/>
  <c r="AG5" i="86" s="1"/>
  <c r="AL6" i="42"/>
  <c r="AM6" i="42" s="1"/>
  <c r="AK7" i="42"/>
  <c r="AK6" i="42"/>
  <c r="O6" i="89"/>
  <c r="N6" i="89"/>
  <c r="M6" i="89"/>
  <c r="L6" i="89"/>
  <c r="K6" i="89"/>
  <c r="AH5" i="86" l="1"/>
  <c r="AG6" i="86"/>
  <c r="O161" i="98" s="1"/>
  <c r="O131" i="98" s="1"/>
  <c r="AF6" i="86"/>
  <c r="N161" i="98" s="1"/>
  <c r="N131" i="98" s="1"/>
  <c r="AH6" i="44"/>
  <c r="AG7" i="44"/>
  <c r="AF7" i="44"/>
  <c r="X4" i="36"/>
  <c r="X4" i="57"/>
  <c r="AC4" i="36"/>
  <c r="AA28" i="36" s="1"/>
  <c r="AA28" i="57" s="1"/>
  <c r="AC4" i="57"/>
  <c r="AH4" i="36"/>
  <c r="AF28" i="36" s="1"/>
  <c r="AF28" i="57" s="1"/>
  <c r="AH4" i="57"/>
  <c r="AH4" i="93"/>
  <c r="AG6" i="41"/>
  <c r="AH4" i="44"/>
  <c r="N7" i="98" s="1"/>
  <c r="N28" i="98"/>
  <c r="N41" i="98" s="1"/>
  <c r="N46" i="98" s="1"/>
  <c r="N54" i="98" s="1"/>
  <c r="N62" i="98" s="1"/>
  <c r="AG5" i="117"/>
  <c r="AG5" i="116"/>
  <c r="AF7" i="12"/>
  <c r="H56" i="119"/>
  <c r="H36" i="119"/>
  <c r="H37" i="119" s="1"/>
  <c r="H21" i="119"/>
  <c r="C36" i="119"/>
  <c r="C37" i="119" s="1"/>
  <c r="D36" i="119"/>
  <c r="D37" i="119" s="1"/>
  <c r="AG7" i="12"/>
  <c r="AH7" i="12"/>
  <c r="AI7" i="12"/>
  <c r="AI7" i="56"/>
  <c r="AJ6" i="56"/>
  <c r="AJ7" i="56" s="1"/>
  <c r="AI6" i="62"/>
  <c r="AH7" i="62"/>
  <c r="AL7" i="42"/>
  <c r="AN6" i="42"/>
  <c r="AM7" i="42"/>
  <c r="AO6" i="89"/>
  <c r="AN6" i="89"/>
  <c r="AM6" i="89"/>
  <c r="AL6" i="89"/>
  <c r="AK6" i="89"/>
  <c r="AO15" i="89"/>
  <c r="AN15" i="89"/>
  <c r="AM15" i="89"/>
  <c r="O120" i="98" l="1"/>
  <c r="O110" i="98"/>
  <c r="O142" i="98"/>
  <c r="O115" i="98"/>
  <c r="O126" i="98"/>
  <c r="O152" i="98"/>
  <c r="N152" i="98"/>
  <c r="N110" i="98"/>
  <c r="N126" i="98"/>
  <c r="N115" i="98"/>
  <c r="N120" i="98"/>
  <c r="N142" i="98"/>
  <c r="AI5" i="86"/>
  <c r="AH6" i="86"/>
  <c r="P161" i="98" s="1"/>
  <c r="P131" i="98" s="1"/>
  <c r="AI6" i="44"/>
  <c r="AH7" i="44"/>
  <c r="AH6" i="41"/>
  <c r="AG7" i="41"/>
  <c r="O8" i="98" s="1"/>
  <c r="AH5" i="117"/>
  <c r="AG6" i="117"/>
  <c r="AG6" i="116"/>
  <c r="AH5" i="116"/>
  <c r="AI7" i="62"/>
  <c r="AJ6" i="62"/>
  <c r="AJ7" i="62" s="1"/>
  <c r="AO6" i="42"/>
  <c r="AO7" i="42" s="1"/>
  <c r="AN7" i="42"/>
  <c r="P110" i="98" l="1"/>
  <c r="P115" i="98"/>
  <c r="P120" i="98"/>
  <c r="P152" i="98"/>
  <c r="P142" i="98"/>
  <c r="P126" i="98"/>
  <c r="AJ5" i="86"/>
  <c r="AJ6" i="86" s="1"/>
  <c r="R161" i="98" s="1"/>
  <c r="R131" i="98" s="1"/>
  <c r="AI6" i="86"/>
  <c r="Q161" i="98" s="1"/>
  <c r="Q131" i="98" s="1"/>
  <c r="AJ6" i="44"/>
  <c r="AJ7" i="44" s="1"/>
  <c r="AI7" i="44"/>
  <c r="AG7" i="98"/>
  <c r="O28" i="98"/>
  <c r="O41" i="98" s="1"/>
  <c r="O46" i="98" s="1"/>
  <c r="O54" i="98" s="1"/>
  <c r="O62" i="98" s="1"/>
  <c r="AI6" i="41"/>
  <c r="AH7" i="41"/>
  <c r="P8" i="98" s="1"/>
  <c r="AI5" i="117"/>
  <c r="AH6" i="117"/>
  <c r="AI5" i="116"/>
  <c r="AH6" i="116"/>
  <c r="AO24" i="40"/>
  <c r="AN24" i="40"/>
  <c r="AM24" i="40"/>
  <c r="AL24" i="40"/>
  <c r="AK24" i="40"/>
  <c r="AJ24" i="40"/>
  <c r="AI24" i="40"/>
  <c r="AH24" i="40"/>
  <c r="AG24" i="40"/>
  <c r="AF24" i="40"/>
  <c r="AE24" i="40"/>
  <c r="AD24" i="40"/>
  <c r="AC24" i="40"/>
  <c r="AB24" i="40"/>
  <c r="AA24" i="40"/>
  <c r="Z24" i="40"/>
  <c r="Y24" i="40"/>
  <c r="X24" i="40"/>
  <c r="W24" i="40"/>
  <c r="V24" i="40"/>
  <c r="U24" i="40"/>
  <c r="T24" i="40"/>
  <c r="S24" i="40"/>
  <c r="R24" i="40"/>
  <c r="Q24" i="40"/>
  <c r="P24" i="40"/>
  <c r="O24" i="40"/>
  <c r="Y26" i="40" s="1"/>
  <c r="N24" i="40"/>
  <c r="M24" i="40"/>
  <c r="L24" i="40"/>
  <c r="Q152" i="98" l="1"/>
  <c r="Q110" i="98"/>
  <c r="Q115" i="98"/>
  <c r="Q120" i="98"/>
  <c r="Q126" i="98"/>
  <c r="Q142" i="98"/>
  <c r="R120" i="98"/>
  <c r="R115" i="98"/>
  <c r="R126" i="98"/>
  <c r="R152" i="98"/>
  <c r="R142" i="98"/>
  <c r="R110" i="98"/>
  <c r="AJ6" i="41"/>
  <c r="AJ7" i="41" s="1"/>
  <c r="R8" i="98" s="1"/>
  <c r="AI7" i="41"/>
  <c r="Q8" i="98" s="1"/>
  <c r="AH7" i="98"/>
  <c r="P28" i="98"/>
  <c r="P41" i="98" s="1"/>
  <c r="P46" i="98" s="1"/>
  <c r="P54" i="98" s="1"/>
  <c r="P62" i="98" s="1"/>
  <c r="AJ5" i="117"/>
  <c r="AJ6" i="117" s="1"/>
  <c r="AI6" i="117"/>
  <c r="AI6" i="116"/>
  <c r="AJ5" i="116"/>
  <c r="AJ6" i="116" s="1"/>
  <c r="X26" i="40"/>
  <c r="Z26" i="40"/>
  <c r="AA26" i="40"/>
  <c r="V26" i="40"/>
  <c r="W26" i="40"/>
  <c r="AI7" i="98" l="1"/>
  <c r="Q28" i="98"/>
  <c r="Q41" i="98" s="1"/>
  <c r="Q46" i="98" s="1"/>
  <c r="Q54" i="98" s="1"/>
  <c r="Q62" i="98" s="1"/>
  <c r="AJ7" i="98"/>
  <c r="R28" i="98"/>
  <c r="R41" i="98" s="1"/>
  <c r="R46" i="98" s="1"/>
  <c r="R54" i="98" s="1"/>
  <c r="R62" i="98" s="1"/>
  <c r="AD26" i="40"/>
  <c r="AA23" i="40"/>
  <c r="AK7" i="40"/>
  <c r="AL7" i="40"/>
  <c r="AM7" i="40"/>
  <c r="AN7" i="40"/>
  <c r="AO7" i="40"/>
  <c r="AB26" i="40" l="1"/>
  <c r="AC26" i="40"/>
  <c r="V14" i="40"/>
  <c r="W14" i="40"/>
  <c r="X14" i="40"/>
  <c r="Y14" i="40"/>
  <c r="Z14" i="40"/>
  <c r="U84" i="41" s="1"/>
  <c r="V15" i="40"/>
  <c r="W15" i="40"/>
  <c r="X15" i="40"/>
  <c r="Y15" i="40"/>
  <c r="Z15" i="40"/>
  <c r="U85" i="41" s="1"/>
  <c r="BU44" i="36"/>
  <c r="BV44" i="36"/>
  <c r="BW44" i="36"/>
  <c r="BX44" i="36"/>
  <c r="BY44" i="36"/>
  <c r="BU41" i="36"/>
  <c r="BV41" i="36"/>
  <c r="BW41" i="36"/>
  <c r="BX41" i="36"/>
  <c r="BY41" i="36"/>
  <c r="AE26" i="40" l="1"/>
  <c r="Z91" i="41" s="1"/>
  <c r="AE23" i="40"/>
  <c r="AF26" i="40" s="1"/>
  <c r="AF32" i="40" l="1"/>
  <c r="AA91" i="41"/>
  <c r="AF23" i="40"/>
  <c r="AG23" i="40" l="1"/>
  <c r="AG26" i="40"/>
  <c r="AG32" i="40" l="1"/>
  <c r="AB91" i="41"/>
  <c r="AH26" i="40"/>
  <c r="AH23" i="40"/>
  <c r="AH32" i="40" l="1"/>
  <c r="AC91" i="41"/>
  <c r="AI23" i="40"/>
  <c r="AI26" i="40"/>
  <c r="AI32" i="40" l="1"/>
  <c r="AD91" i="41"/>
  <c r="AJ23" i="40"/>
  <c r="AJ26" i="40"/>
  <c r="AA79" i="12"/>
  <c r="AB79" i="12"/>
  <c r="AC79" i="12"/>
  <c r="AD79" i="12"/>
  <c r="AE79" i="12"/>
  <c r="AF79" i="12"/>
  <c r="AE90" i="117"/>
  <c r="AD90" i="117"/>
  <c r="AC90" i="117"/>
  <c r="AB90" i="117"/>
  <c r="AA90" i="117"/>
  <c r="AJ32" i="40" l="1"/>
  <c r="AE91" i="41"/>
  <c r="AE80" i="12"/>
  <c r="AE91" i="117"/>
  <c r="AK23" i="40"/>
  <c r="AK26" i="40"/>
  <c r="AK32" i="40" l="1"/>
  <c r="AF91" i="41"/>
  <c r="AL23" i="40"/>
  <c r="AL26" i="40"/>
  <c r="AL32" i="40" l="1"/>
  <c r="AG91" i="41"/>
  <c r="AM26" i="40"/>
  <c r="AM23" i="40"/>
  <c r="AM32" i="40" l="1"/>
  <c r="AH91" i="41"/>
  <c r="AN23" i="40"/>
  <c r="AN26" i="40"/>
  <c r="AN32" i="40" l="1"/>
  <c r="AI91" i="41"/>
  <c r="AO23" i="40"/>
  <c r="AO26" i="40"/>
  <c r="AO32" i="40" l="1"/>
  <c r="AJ91" i="41"/>
  <c r="AD90" i="116"/>
  <c r="AC90" i="116"/>
  <c r="AB90" i="116"/>
  <c r="AA90" i="116"/>
  <c r="AE90" i="116" l="1"/>
  <c r="AE91" i="116" s="1"/>
  <c r="AG18" i="41"/>
  <c r="AH18" i="41"/>
  <c r="AI18" i="41"/>
  <c r="AG19" i="41"/>
  <c r="AH19" i="41"/>
  <c r="AI19" i="41"/>
  <c r="U524" i="36" l="1"/>
  <c r="U525" i="36"/>
  <c r="U526" i="36"/>
  <c r="V524" i="36"/>
  <c r="W524" i="36"/>
  <c r="X524" i="36"/>
  <c r="Y524" i="36"/>
  <c r="Z524" i="36"/>
  <c r="V525" i="36"/>
  <c r="W525" i="36"/>
  <c r="X525" i="36"/>
  <c r="Y525" i="36"/>
  <c r="Z525" i="36"/>
  <c r="V526" i="36"/>
  <c r="W526" i="36"/>
  <c r="X526" i="36"/>
  <c r="Y526" i="36"/>
  <c r="Z526" i="36"/>
  <c r="AB524" i="36"/>
  <c r="AC524" i="36"/>
  <c r="AD524" i="36"/>
  <c r="AE524" i="36"/>
  <c r="AF524" i="36"/>
  <c r="AG524" i="36"/>
  <c r="AH524" i="36"/>
  <c r="AI524" i="36"/>
  <c r="AJ524" i="36"/>
  <c r="AB525" i="36"/>
  <c r="AC525" i="36"/>
  <c r="AD525" i="36"/>
  <c r="AE525" i="36"/>
  <c r="AF525" i="36"/>
  <c r="AG525" i="36"/>
  <c r="AH525" i="36"/>
  <c r="AI525" i="36"/>
  <c r="AJ525" i="36"/>
  <c r="AB526" i="36"/>
  <c r="AC526" i="36"/>
  <c r="AD526" i="36"/>
  <c r="AE526" i="36"/>
  <c r="AF526" i="36"/>
  <c r="AG526" i="36"/>
  <c r="AH526" i="36"/>
  <c r="AI526" i="36"/>
  <c r="AJ526" i="36"/>
  <c r="AA526" i="36"/>
  <c r="AA525" i="36"/>
  <c r="AA524" i="36"/>
  <c r="U527" i="36" l="1"/>
  <c r="V527" i="36"/>
  <c r="AJ527" i="36"/>
  <c r="W527" i="36"/>
  <c r="AF527" i="36"/>
  <c r="AA527" i="36"/>
  <c r="AB527" i="36"/>
  <c r="AI527" i="36"/>
  <c r="AE527" i="36"/>
  <c r="Z527" i="36"/>
  <c r="AC527" i="36"/>
  <c r="Y527" i="36"/>
  <c r="AG527" i="36"/>
  <c r="AH527" i="36"/>
  <c r="AD527" i="36"/>
  <c r="X527" i="36"/>
  <c r="AA529" i="36" l="1"/>
  <c r="AJ317" i="36" l="1"/>
  <c r="AI317" i="36"/>
  <c r="AH317" i="36"/>
  <c r="AG317" i="36"/>
  <c r="AF317" i="36"/>
  <c r="AE317" i="36"/>
  <c r="AD317" i="36"/>
  <c r="AC317" i="36"/>
  <c r="AB317" i="36"/>
  <c r="AA317" i="36"/>
  <c r="Z317" i="36"/>
  <c r="Y317" i="36"/>
  <c r="X317" i="36"/>
  <c r="W317" i="36"/>
  <c r="V317" i="36"/>
  <c r="U317" i="36"/>
  <c r="T317" i="36"/>
  <c r="S317" i="36"/>
  <c r="R317" i="36"/>
  <c r="Q317" i="36"/>
  <c r="P317" i="36"/>
  <c r="O317" i="36"/>
  <c r="N317" i="36"/>
  <c r="M317" i="36"/>
  <c r="L317" i="36"/>
  <c r="K317" i="36"/>
  <c r="I317" i="36"/>
  <c r="H317" i="36"/>
  <c r="G317" i="36"/>
  <c r="F317" i="36"/>
  <c r="I316" i="36"/>
  <c r="H316" i="36"/>
  <c r="G316" i="36"/>
  <c r="F316" i="36"/>
  <c r="AJ314" i="36"/>
  <c r="AI314" i="36"/>
  <c r="AH314" i="36"/>
  <c r="AG314" i="36"/>
  <c r="AF314" i="36"/>
  <c r="AE314" i="36"/>
  <c r="AD314" i="36"/>
  <c r="AC314" i="36"/>
  <c r="AB314" i="36"/>
  <c r="AA314" i="36"/>
  <c r="Z314" i="36"/>
  <c r="Y314" i="36"/>
  <c r="X314" i="36"/>
  <c r="W314" i="36"/>
  <c r="V314" i="36"/>
  <c r="U314" i="36"/>
  <c r="T314" i="36"/>
  <c r="S314" i="36"/>
  <c r="R314" i="36"/>
  <c r="Q314" i="36"/>
  <c r="P314" i="36"/>
  <c r="O314" i="36"/>
  <c r="N314" i="36"/>
  <c r="M314" i="36"/>
  <c r="L314" i="36"/>
  <c r="K314" i="36"/>
  <c r="I314" i="36"/>
  <c r="H314" i="36"/>
  <c r="G314" i="36"/>
  <c r="F314" i="36"/>
  <c r="I313" i="36"/>
  <c r="H313" i="36"/>
  <c r="G313" i="36"/>
  <c r="F313" i="36"/>
  <c r="AJ311" i="36"/>
  <c r="AI311" i="36"/>
  <c r="AH311" i="36"/>
  <c r="AG311" i="36"/>
  <c r="AF311" i="36"/>
  <c r="AE311" i="36"/>
  <c r="AD311" i="36"/>
  <c r="AC311" i="36"/>
  <c r="AB311" i="36"/>
  <c r="AA311" i="36"/>
  <c r="Z311" i="36"/>
  <c r="Y311" i="36"/>
  <c r="X311" i="36"/>
  <c r="W311" i="36"/>
  <c r="V311" i="36"/>
  <c r="U311" i="36"/>
  <c r="T311" i="36"/>
  <c r="S311" i="36"/>
  <c r="R311" i="36"/>
  <c r="Q311" i="36"/>
  <c r="P311" i="36"/>
  <c r="O311" i="36"/>
  <c r="N311" i="36"/>
  <c r="M311" i="36"/>
  <c r="L311" i="36"/>
  <c r="K311" i="36"/>
  <c r="I311" i="36"/>
  <c r="H311" i="36"/>
  <c r="G311" i="36"/>
  <c r="F311" i="36"/>
  <c r="I310" i="36"/>
  <c r="H310" i="36"/>
  <c r="G310" i="36"/>
  <c r="F310" i="36"/>
  <c r="AJ308" i="36"/>
  <c r="AI308" i="36"/>
  <c r="AH308" i="36"/>
  <c r="AG308" i="36"/>
  <c r="AF308" i="36"/>
  <c r="AE308" i="36"/>
  <c r="AD308" i="36"/>
  <c r="AC308" i="36"/>
  <c r="AB308" i="36"/>
  <c r="AA308" i="36"/>
  <c r="Z308" i="36"/>
  <c r="Y308" i="36"/>
  <c r="X308" i="36"/>
  <c r="W308" i="36"/>
  <c r="V308" i="36"/>
  <c r="U308" i="36"/>
  <c r="T308" i="36"/>
  <c r="S308" i="36"/>
  <c r="R308" i="36"/>
  <c r="Q308" i="36"/>
  <c r="P308" i="36"/>
  <c r="O308" i="36"/>
  <c r="N308" i="36"/>
  <c r="M308" i="36"/>
  <c r="L308" i="36"/>
  <c r="K308" i="36"/>
  <c r="I308" i="36"/>
  <c r="H308" i="36"/>
  <c r="G308" i="36"/>
  <c r="F308" i="36"/>
  <c r="I307" i="36"/>
  <c r="H307" i="36"/>
  <c r="G307" i="36"/>
  <c r="F307" i="36"/>
  <c r="AJ305" i="36"/>
  <c r="AI305" i="36"/>
  <c r="AH305" i="36"/>
  <c r="AG305" i="36"/>
  <c r="AF305" i="36"/>
  <c r="AE305" i="36"/>
  <c r="AD305" i="36"/>
  <c r="AC305" i="36"/>
  <c r="AB305" i="36"/>
  <c r="AA305" i="36"/>
  <c r="Z305" i="36"/>
  <c r="Y305" i="36"/>
  <c r="X305" i="36"/>
  <c r="W305" i="36"/>
  <c r="V305" i="36"/>
  <c r="U305" i="36"/>
  <c r="T305" i="36"/>
  <c r="S305" i="36"/>
  <c r="R305" i="36"/>
  <c r="Q305" i="36"/>
  <c r="P305" i="36"/>
  <c r="O305" i="36"/>
  <c r="N305" i="36"/>
  <c r="M305" i="36"/>
  <c r="L305" i="36"/>
  <c r="K305" i="36"/>
  <c r="I305" i="36"/>
  <c r="H305" i="36"/>
  <c r="G305" i="36"/>
  <c r="F305" i="36"/>
  <c r="I304" i="36"/>
  <c r="H304" i="36"/>
  <c r="G304" i="36"/>
  <c r="F304" i="36"/>
  <c r="AJ302" i="36"/>
  <c r="AI302" i="36"/>
  <c r="AH302" i="36"/>
  <c r="AG302" i="36"/>
  <c r="AF302" i="36"/>
  <c r="AE302" i="36"/>
  <c r="AD302" i="36"/>
  <c r="AC302" i="36"/>
  <c r="AB302" i="36"/>
  <c r="AA302" i="36"/>
  <c r="Z302" i="36"/>
  <c r="Y302" i="36"/>
  <c r="X302" i="36"/>
  <c r="W302" i="36"/>
  <c r="V302" i="36"/>
  <c r="U302" i="36"/>
  <c r="T302" i="36"/>
  <c r="S302" i="36"/>
  <c r="R302" i="36"/>
  <c r="Q302" i="36"/>
  <c r="P302" i="36"/>
  <c r="O302" i="36"/>
  <c r="N302" i="36"/>
  <c r="M302" i="36"/>
  <c r="L302" i="36"/>
  <c r="K302" i="36"/>
  <c r="I302" i="36"/>
  <c r="H302" i="36"/>
  <c r="G302" i="36"/>
  <c r="F302" i="36"/>
  <c r="I301" i="36"/>
  <c r="H301" i="36"/>
  <c r="G301" i="36"/>
  <c r="F301" i="36"/>
  <c r="AJ299" i="36"/>
  <c r="AI299" i="36"/>
  <c r="AH299" i="36"/>
  <c r="AG299" i="36"/>
  <c r="AF299" i="36"/>
  <c r="AE299" i="36"/>
  <c r="AD299" i="36"/>
  <c r="AC299" i="36"/>
  <c r="AB299" i="36"/>
  <c r="AA299" i="36"/>
  <c r="Z299" i="36"/>
  <c r="Y299" i="36"/>
  <c r="X299" i="36"/>
  <c r="W299" i="36"/>
  <c r="V299" i="36"/>
  <c r="U299" i="36"/>
  <c r="T299" i="36"/>
  <c r="S299" i="36"/>
  <c r="R299" i="36"/>
  <c r="Q299" i="36"/>
  <c r="P299" i="36"/>
  <c r="O299" i="36"/>
  <c r="N299" i="36"/>
  <c r="M299" i="36"/>
  <c r="L299" i="36"/>
  <c r="K299" i="36"/>
  <c r="I299" i="36"/>
  <c r="H299" i="36"/>
  <c r="G299" i="36"/>
  <c r="F299" i="36"/>
  <c r="I298" i="36"/>
  <c r="H298" i="36"/>
  <c r="G298" i="36"/>
  <c r="F298" i="36"/>
  <c r="AJ296" i="36"/>
  <c r="AI296" i="36"/>
  <c r="AH296" i="36"/>
  <c r="AG296" i="36"/>
  <c r="AF296" i="36"/>
  <c r="AE296" i="36"/>
  <c r="AD296" i="36"/>
  <c r="AC296" i="36"/>
  <c r="AB296" i="36"/>
  <c r="AA296" i="36"/>
  <c r="Z296" i="36"/>
  <c r="Y296" i="36"/>
  <c r="X296" i="36"/>
  <c r="W296" i="36"/>
  <c r="V296" i="36"/>
  <c r="U296" i="36"/>
  <c r="T296" i="36"/>
  <c r="S296" i="36"/>
  <c r="R296" i="36"/>
  <c r="Q296" i="36"/>
  <c r="P296" i="36"/>
  <c r="O296" i="36"/>
  <c r="N296" i="36"/>
  <c r="M296" i="36"/>
  <c r="L296" i="36"/>
  <c r="K296" i="36"/>
  <c r="I296" i="36"/>
  <c r="H296" i="36"/>
  <c r="G296" i="36"/>
  <c r="F296" i="36"/>
  <c r="I295" i="36"/>
  <c r="H295" i="36"/>
  <c r="G295" i="36"/>
  <c r="F295" i="36"/>
  <c r="AJ293" i="36"/>
  <c r="AI293" i="36"/>
  <c r="AH293" i="36"/>
  <c r="AG293" i="36"/>
  <c r="AF293" i="36"/>
  <c r="AE293" i="36"/>
  <c r="AD293" i="36"/>
  <c r="AC293" i="36"/>
  <c r="AB293" i="36"/>
  <c r="AA293" i="36"/>
  <c r="Z293" i="36"/>
  <c r="Y293" i="36"/>
  <c r="X293" i="36"/>
  <c r="W293" i="36"/>
  <c r="V293" i="36"/>
  <c r="U293" i="36"/>
  <c r="T293" i="36"/>
  <c r="S293" i="36"/>
  <c r="R293" i="36"/>
  <c r="Q293" i="36"/>
  <c r="P293" i="36"/>
  <c r="O293" i="36"/>
  <c r="N293" i="36"/>
  <c r="M293" i="36"/>
  <c r="L293" i="36"/>
  <c r="K293" i="36"/>
  <c r="I293" i="36"/>
  <c r="H293" i="36"/>
  <c r="G293" i="36"/>
  <c r="F293" i="36"/>
  <c r="I292" i="36"/>
  <c r="H292" i="36"/>
  <c r="G292" i="36"/>
  <c r="F292" i="36"/>
  <c r="AJ290" i="36"/>
  <c r="AI290" i="36"/>
  <c r="AH290" i="36"/>
  <c r="AG290" i="36"/>
  <c r="AF290" i="36"/>
  <c r="AE290" i="36"/>
  <c r="AD290" i="36"/>
  <c r="AC290" i="36"/>
  <c r="AB290" i="36"/>
  <c r="AA290" i="36"/>
  <c r="Z290" i="36"/>
  <c r="Y290" i="36"/>
  <c r="X290" i="36"/>
  <c r="W290" i="36"/>
  <c r="V290" i="36"/>
  <c r="U290" i="36"/>
  <c r="T290" i="36"/>
  <c r="S290" i="36"/>
  <c r="R290" i="36"/>
  <c r="Q290" i="36"/>
  <c r="P290" i="36"/>
  <c r="O290" i="36"/>
  <c r="N290" i="36"/>
  <c r="M290" i="36"/>
  <c r="L290" i="36"/>
  <c r="K290" i="36"/>
  <c r="I290" i="36"/>
  <c r="H290" i="36"/>
  <c r="G290" i="36"/>
  <c r="F290" i="36"/>
  <c r="I289" i="36"/>
  <c r="H289" i="36"/>
  <c r="G289" i="36"/>
  <c r="F289" i="36"/>
  <c r="AJ287" i="36"/>
  <c r="AI287" i="36"/>
  <c r="AH287" i="36"/>
  <c r="AG287" i="36"/>
  <c r="AF287" i="36"/>
  <c r="AE287" i="36"/>
  <c r="AD287" i="36"/>
  <c r="AC287" i="36"/>
  <c r="AB287" i="36"/>
  <c r="AA287" i="36"/>
  <c r="Z287" i="36"/>
  <c r="Y287" i="36"/>
  <c r="X287" i="36"/>
  <c r="W287" i="36"/>
  <c r="V287" i="36"/>
  <c r="U287" i="36"/>
  <c r="T287" i="36"/>
  <c r="S287" i="36"/>
  <c r="R287" i="36"/>
  <c r="Q287" i="36"/>
  <c r="P287" i="36"/>
  <c r="O287" i="36"/>
  <c r="N287" i="36"/>
  <c r="M287" i="36"/>
  <c r="L287" i="36"/>
  <c r="K287" i="36"/>
  <c r="I287" i="36"/>
  <c r="H287" i="36"/>
  <c r="G287" i="36"/>
  <c r="F287" i="36"/>
  <c r="I286" i="36"/>
  <c r="H286" i="36"/>
  <c r="G286" i="36"/>
  <c r="F286" i="36"/>
  <c r="AJ284" i="36"/>
  <c r="AI284" i="36"/>
  <c r="AH284" i="36"/>
  <c r="AG284" i="36"/>
  <c r="AF284" i="36"/>
  <c r="AE284" i="36"/>
  <c r="AD284" i="36"/>
  <c r="AC284" i="36"/>
  <c r="AB284" i="36"/>
  <c r="AA284" i="36"/>
  <c r="Z284" i="36"/>
  <c r="Y284" i="36"/>
  <c r="X284" i="36"/>
  <c r="W284" i="36"/>
  <c r="V284" i="36"/>
  <c r="U284" i="36"/>
  <c r="T284" i="36"/>
  <c r="S284" i="36"/>
  <c r="R284" i="36"/>
  <c r="Q284" i="36"/>
  <c r="P284" i="36"/>
  <c r="O284" i="36"/>
  <c r="N284" i="36"/>
  <c r="M284" i="36"/>
  <c r="L284" i="36"/>
  <c r="K284" i="36"/>
  <c r="I284" i="36"/>
  <c r="H284" i="36"/>
  <c r="G284" i="36"/>
  <c r="F284" i="36"/>
  <c r="I283" i="36"/>
  <c r="H283" i="36"/>
  <c r="G283" i="36"/>
  <c r="F283" i="36"/>
  <c r="AJ281" i="36"/>
  <c r="AI281" i="36"/>
  <c r="AH281" i="36"/>
  <c r="AG281" i="36"/>
  <c r="AF281" i="36"/>
  <c r="AE281" i="36"/>
  <c r="AD281" i="36"/>
  <c r="AC281" i="36"/>
  <c r="AB281" i="36"/>
  <c r="AA281" i="36"/>
  <c r="Z281" i="36"/>
  <c r="Y281" i="36"/>
  <c r="X281" i="36"/>
  <c r="W281" i="36"/>
  <c r="V281" i="36"/>
  <c r="U281" i="36"/>
  <c r="T281" i="36"/>
  <c r="S281" i="36"/>
  <c r="R281" i="36"/>
  <c r="Q281" i="36"/>
  <c r="P281" i="36"/>
  <c r="O281" i="36"/>
  <c r="N281" i="36"/>
  <c r="M281" i="36"/>
  <c r="L281" i="36"/>
  <c r="K281" i="36"/>
  <c r="I281" i="36"/>
  <c r="H281" i="36"/>
  <c r="G281" i="36"/>
  <c r="F281" i="36"/>
  <c r="I280" i="36"/>
  <c r="H280" i="36"/>
  <c r="G280" i="36"/>
  <c r="F280" i="36"/>
  <c r="AJ278" i="36"/>
  <c r="AI278" i="36"/>
  <c r="AH278" i="36"/>
  <c r="AG278" i="36"/>
  <c r="AF278" i="36"/>
  <c r="AE278" i="36"/>
  <c r="AD278" i="36"/>
  <c r="AC278" i="36"/>
  <c r="AB278" i="36"/>
  <c r="AA278" i="36"/>
  <c r="Z278" i="36"/>
  <c r="Y278" i="36"/>
  <c r="X278" i="36"/>
  <c r="W278" i="36"/>
  <c r="V278" i="36"/>
  <c r="U278" i="36"/>
  <c r="T278" i="36"/>
  <c r="S278" i="36"/>
  <c r="R278" i="36"/>
  <c r="Q278" i="36"/>
  <c r="P278" i="36"/>
  <c r="O278" i="36"/>
  <c r="N278" i="36"/>
  <c r="M278" i="36"/>
  <c r="L278" i="36"/>
  <c r="K278" i="36"/>
  <c r="I278" i="36"/>
  <c r="H278" i="36"/>
  <c r="G278" i="36"/>
  <c r="F278" i="36"/>
  <c r="I277" i="36"/>
  <c r="H277" i="36"/>
  <c r="G277" i="36"/>
  <c r="F277" i="36"/>
  <c r="AJ275" i="36"/>
  <c r="AI275" i="36"/>
  <c r="AH275" i="36"/>
  <c r="AG275" i="36"/>
  <c r="AF275" i="36"/>
  <c r="AE275" i="36"/>
  <c r="AD275" i="36"/>
  <c r="AC275" i="36"/>
  <c r="AB275" i="36"/>
  <c r="AA275" i="36"/>
  <c r="Z275" i="36"/>
  <c r="Y275" i="36"/>
  <c r="X275" i="36"/>
  <c r="W275" i="36"/>
  <c r="V275" i="36"/>
  <c r="U275" i="36"/>
  <c r="T275" i="36"/>
  <c r="S275" i="36"/>
  <c r="R275" i="36"/>
  <c r="Q275" i="36"/>
  <c r="P275" i="36"/>
  <c r="O275" i="36"/>
  <c r="N275" i="36"/>
  <c r="M275" i="36"/>
  <c r="L275" i="36"/>
  <c r="K275" i="36"/>
  <c r="I275" i="36"/>
  <c r="H275" i="36"/>
  <c r="G275" i="36"/>
  <c r="F275" i="36"/>
  <c r="I274" i="36"/>
  <c r="H274" i="36"/>
  <c r="G274" i="36"/>
  <c r="F274" i="36"/>
  <c r="AJ272" i="36"/>
  <c r="AI272" i="36"/>
  <c r="AH272" i="36"/>
  <c r="AG272" i="36"/>
  <c r="AF272" i="36"/>
  <c r="AE272" i="36"/>
  <c r="AD272" i="36"/>
  <c r="AC272" i="36"/>
  <c r="AB272" i="36"/>
  <c r="AA272" i="36"/>
  <c r="Z272" i="36"/>
  <c r="Y272" i="36"/>
  <c r="X272" i="36"/>
  <c r="W272" i="36"/>
  <c r="V272" i="36"/>
  <c r="U272" i="36"/>
  <c r="T272" i="36"/>
  <c r="S272" i="36"/>
  <c r="R272" i="36"/>
  <c r="Q272" i="36"/>
  <c r="P272" i="36"/>
  <c r="O272" i="36"/>
  <c r="N272" i="36"/>
  <c r="M272" i="36"/>
  <c r="L272" i="36"/>
  <c r="K272" i="36"/>
  <c r="I272" i="36"/>
  <c r="H272" i="36"/>
  <c r="G272" i="36"/>
  <c r="F272" i="36"/>
  <c r="I271" i="36"/>
  <c r="H271" i="36"/>
  <c r="G271" i="36"/>
  <c r="F271" i="36"/>
  <c r="AJ269" i="36"/>
  <c r="AI269" i="36"/>
  <c r="AH269" i="36"/>
  <c r="AG269" i="36"/>
  <c r="AF269" i="36"/>
  <c r="AE269" i="36"/>
  <c r="AD269" i="36"/>
  <c r="AC269" i="36"/>
  <c r="AB269" i="36"/>
  <c r="AA269" i="36"/>
  <c r="Z269" i="36"/>
  <c r="Y269" i="36"/>
  <c r="X269" i="36"/>
  <c r="W269" i="36"/>
  <c r="V269" i="36"/>
  <c r="U269" i="36"/>
  <c r="T269" i="36"/>
  <c r="S269" i="36"/>
  <c r="R269" i="36"/>
  <c r="Q269" i="36"/>
  <c r="P269" i="36"/>
  <c r="O269" i="36"/>
  <c r="N269" i="36"/>
  <c r="M269" i="36"/>
  <c r="L269" i="36"/>
  <c r="K269" i="36"/>
  <c r="I269" i="36"/>
  <c r="H269" i="36"/>
  <c r="G269" i="36"/>
  <c r="F269" i="36"/>
  <c r="I268" i="36"/>
  <c r="H268" i="36"/>
  <c r="G268" i="36"/>
  <c r="F268" i="36"/>
  <c r="AJ266" i="36"/>
  <c r="AI266" i="36"/>
  <c r="AH266" i="36"/>
  <c r="AG266" i="36"/>
  <c r="AF266" i="36"/>
  <c r="AE266" i="36"/>
  <c r="AD266" i="36"/>
  <c r="AC266" i="36"/>
  <c r="AB266" i="36"/>
  <c r="AA266" i="36"/>
  <c r="Z266" i="36"/>
  <c r="Y266" i="36"/>
  <c r="X266" i="36"/>
  <c r="W266" i="36"/>
  <c r="V266" i="36"/>
  <c r="U266" i="36"/>
  <c r="T266" i="36"/>
  <c r="S266" i="36"/>
  <c r="R266" i="36"/>
  <c r="Q266" i="36"/>
  <c r="P266" i="36"/>
  <c r="O266" i="36"/>
  <c r="N266" i="36"/>
  <c r="M266" i="36"/>
  <c r="L266" i="36"/>
  <c r="K266" i="36"/>
  <c r="I266" i="36"/>
  <c r="H266" i="36"/>
  <c r="G266" i="36"/>
  <c r="F266" i="36"/>
  <c r="I265" i="36"/>
  <c r="H265" i="36"/>
  <c r="G265" i="36"/>
  <c r="F265" i="36"/>
  <c r="AJ263" i="36"/>
  <c r="AI263" i="36"/>
  <c r="AH263" i="36"/>
  <c r="AG263" i="36"/>
  <c r="AF263" i="36"/>
  <c r="AE263" i="36"/>
  <c r="AD263" i="36"/>
  <c r="AC263" i="36"/>
  <c r="AB263" i="36"/>
  <c r="AA263" i="36"/>
  <c r="Z263" i="36"/>
  <c r="Y263" i="36"/>
  <c r="X263" i="36"/>
  <c r="W263" i="36"/>
  <c r="V263" i="36"/>
  <c r="U263" i="36"/>
  <c r="T263" i="36"/>
  <c r="S263" i="36"/>
  <c r="R263" i="36"/>
  <c r="Q263" i="36"/>
  <c r="P263" i="36"/>
  <c r="O263" i="36"/>
  <c r="N263" i="36"/>
  <c r="M263" i="36"/>
  <c r="L263" i="36"/>
  <c r="K263" i="36"/>
  <c r="I263" i="36"/>
  <c r="H263" i="36"/>
  <c r="G263" i="36"/>
  <c r="F263" i="36"/>
  <c r="I262" i="36"/>
  <c r="H262" i="36"/>
  <c r="G262" i="36"/>
  <c r="F262" i="36"/>
  <c r="AJ260" i="36"/>
  <c r="AI260" i="36"/>
  <c r="AH260" i="36"/>
  <c r="AG260" i="36"/>
  <c r="AF260" i="36"/>
  <c r="AE260" i="36"/>
  <c r="AD260" i="36"/>
  <c r="AC260" i="36"/>
  <c r="AB260" i="36"/>
  <c r="AA260" i="36"/>
  <c r="Z260" i="36"/>
  <c r="Y260" i="36"/>
  <c r="X260" i="36"/>
  <c r="W260" i="36"/>
  <c r="V260" i="36"/>
  <c r="U260" i="36"/>
  <c r="T260" i="36"/>
  <c r="S260" i="36"/>
  <c r="R260" i="36"/>
  <c r="Q260" i="36"/>
  <c r="P260" i="36"/>
  <c r="O260" i="36"/>
  <c r="N260" i="36"/>
  <c r="M260" i="36"/>
  <c r="L260" i="36"/>
  <c r="K260" i="36"/>
  <c r="I260" i="36"/>
  <c r="H260" i="36"/>
  <c r="G260" i="36"/>
  <c r="F260" i="36"/>
  <c r="I259" i="36"/>
  <c r="H259" i="36"/>
  <c r="G259" i="36"/>
  <c r="F259" i="36"/>
  <c r="AJ257" i="36"/>
  <c r="AI257" i="36"/>
  <c r="AH257" i="36"/>
  <c r="AG257" i="36"/>
  <c r="AF257" i="36"/>
  <c r="AE257" i="36"/>
  <c r="AD257" i="36"/>
  <c r="AC257" i="36"/>
  <c r="AB257" i="36"/>
  <c r="AA257" i="36"/>
  <c r="Z257" i="36"/>
  <c r="Y257" i="36"/>
  <c r="X257" i="36"/>
  <c r="W257" i="36"/>
  <c r="V257" i="36"/>
  <c r="U257" i="36"/>
  <c r="T257" i="36"/>
  <c r="S257" i="36"/>
  <c r="R257" i="36"/>
  <c r="Q257" i="36"/>
  <c r="P257" i="36"/>
  <c r="O257" i="36"/>
  <c r="N257" i="36"/>
  <c r="M257" i="36"/>
  <c r="L257" i="36"/>
  <c r="K257" i="36"/>
  <c r="I257" i="36"/>
  <c r="H257" i="36"/>
  <c r="G257" i="36"/>
  <c r="F257" i="36"/>
  <c r="I256" i="36"/>
  <c r="H256" i="36"/>
  <c r="G256" i="36"/>
  <c r="F256" i="36"/>
  <c r="AJ254" i="36"/>
  <c r="AI254" i="36"/>
  <c r="AH254" i="36"/>
  <c r="AG254" i="36"/>
  <c r="AF254" i="36"/>
  <c r="AE254" i="36"/>
  <c r="AD254" i="36"/>
  <c r="AC254" i="36"/>
  <c r="AB254" i="36"/>
  <c r="AA254" i="36"/>
  <c r="Z254" i="36"/>
  <c r="Y254" i="36"/>
  <c r="X254" i="36"/>
  <c r="W254" i="36"/>
  <c r="V254" i="36"/>
  <c r="U254" i="36"/>
  <c r="T254" i="36"/>
  <c r="S254" i="36"/>
  <c r="R254" i="36"/>
  <c r="Q254" i="36"/>
  <c r="P254" i="36"/>
  <c r="O254" i="36"/>
  <c r="N254" i="36"/>
  <c r="M254" i="36"/>
  <c r="L254" i="36"/>
  <c r="K254" i="36"/>
  <c r="I254" i="36"/>
  <c r="H254" i="36"/>
  <c r="G254" i="36"/>
  <c r="F254" i="36"/>
  <c r="I253" i="36"/>
  <c r="H253" i="36"/>
  <c r="G253" i="36"/>
  <c r="F253" i="36"/>
  <c r="AJ251" i="36"/>
  <c r="AI251" i="36"/>
  <c r="AH251" i="36"/>
  <c r="AG251" i="36"/>
  <c r="AF251" i="36"/>
  <c r="AE251" i="36"/>
  <c r="AD251" i="36"/>
  <c r="AC251" i="36"/>
  <c r="AB251" i="36"/>
  <c r="AA251" i="36"/>
  <c r="Z251" i="36"/>
  <c r="Y251" i="36"/>
  <c r="X251" i="36"/>
  <c r="W251" i="36"/>
  <c r="V251" i="36"/>
  <c r="U251" i="36"/>
  <c r="T251" i="36"/>
  <c r="S251" i="36"/>
  <c r="R251" i="36"/>
  <c r="Q251" i="36"/>
  <c r="P251" i="36"/>
  <c r="O251" i="36"/>
  <c r="N251" i="36"/>
  <c r="M251" i="36"/>
  <c r="L251" i="36"/>
  <c r="K251" i="36"/>
  <c r="I251" i="36"/>
  <c r="H251" i="36"/>
  <c r="G251" i="36"/>
  <c r="F251" i="36"/>
  <c r="I250" i="36"/>
  <c r="H250" i="36"/>
  <c r="G250" i="36"/>
  <c r="F250" i="36"/>
  <c r="AJ248" i="36"/>
  <c r="AI248" i="36"/>
  <c r="AH248" i="36"/>
  <c r="AG248" i="36"/>
  <c r="AF248" i="36"/>
  <c r="AE248" i="36"/>
  <c r="AD248" i="36"/>
  <c r="AC248" i="36"/>
  <c r="AB248" i="36"/>
  <c r="AA248" i="36"/>
  <c r="Z248" i="36"/>
  <c r="Y248" i="36"/>
  <c r="X248" i="36"/>
  <c r="W248" i="36"/>
  <c r="V248" i="36"/>
  <c r="U248" i="36"/>
  <c r="T248" i="36"/>
  <c r="S248" i="36"/>
  <c r="R248" i="36"/>
  <c r="Q248" i="36"/>
  <c r="P248" i="36"/>
  <c r="O248" i="36"/>
  <c r="N248" i="36"/>
  <c r="M248" i="36"/>
  <c r="L248" i="36"/>
  <c r="K248" i="36"/>
  <c r="I248" i="36"/>
  <c r="H248" i="36"/>
  <c r="G248" i="36"/>
  <c r="F248" i="36"/>
  <c r="I247" i="36"/>
  <c r="H247" i="36"/>
  <c r="G247" i="36"/>
  <c r="F247" i="36"/>
  <c r="AJ245" i="36"/>
  <c r="AI245" i="36"/>
  <c r="AH245" i="36"/>
  <c r="AG245" i="36"/>
  <c r="AF245" i="36"/>
  <c r="AE245" i="36"/>
  <c r="AD245" i="36"/>
  <c r="AC245" i="36"/>
  <c r="AB245" i="36"/>
  <c r="AA245" i="36"/>
  <c r="Z245" i="36"/>
  <c r="Y245" i="36"/>
  <c r="X245" i="36"/>
  <c r="W245" i="36"/>
  <c r="V245" i="36"/>
  <c r="U245" i="36"/>
  <c r="T245" i="36"/>
  <c r="S245" i="36"/>
  <c r="R245" i="36"/>
  <c r="Q245" i="36"/>
  <c r="P245" i="36"/>
  <c r="O245" i="36"/>
  <c r="N245" i="36"/>
  <c r="M245" i="36"/>
  <c r="L245" i="36"/>
  <c r="K245" i="36"/>
  <c r="I245" i="36"/>
  <c r="H245" i="36"/>
  <c r="G245" i="36"/>
  <c r="F245" i="36"/>
  <c r="I244" i="36"/>
  <c r="H244" i="36"/>
  <c r="G244" i="36"/>
  <c r="F244" i="36"/>
  <c r="AJ242" i="36"/>
  <c r="AI242" i="36"/>
  <c r="AH242" i="36"/>
  <c r="AG242" i="36"/>
  <c r="AF242" i="36"/>
  <c r="AE242" i="36"/>
  <c r="AD242" i="36"/>
  <c r="AC242" i="36"/>
  <c r="AB242" i="36"/>
  <c r="AA242" i="36"/>
  <c r="Z242" i="36"/>
  <c r="Y242" i="36"/>
  <c r="X242" i="36"/>
  <c r="W242" i="36"/>
  <c r="V242" i="36"/>
  <c r="U242" i="36"/>
  <c r="T242" i="36"/>
  <c r="S242" i="36"/>
  <c r="R242" i="36"/>
  <c r="Q242" i="36"/>
  <c r="P242" i="36"/>
  <c r="O242" i="36"/>
  <c r="N242" i="36"/>
  <c r="M242" i="36"/>
  <c r="L242" i="36"/>
  <c r="K242" i="36"/>
  <c r="I242" i="36"/>
  <c r="H242" i="36"/>
  <c r="G242" i="36"/>
  <c r="F242" i="36"/>
  <c r="I241" i="36"/>
  <c r="H241" i="36"/>
  <c r="G241" i="36"/>
  <c r="F241" i="36"/>
  <c r="AJ239" i="36"/>
  <c r="AI239" i="36"/>
  <c r="AH239" i="36"/>
  <c r="AG239" i="36"/>
  <c r="AF239" i="36"/>
  <c r="AE239" i="36"/>
  <c r="AD239" i="36"/>
  <c r="AC239" i="36"/>
  <c r="AB239" i="36"/>
  <c r="AA239" i="36"/>
  <c r="Z239" i="36"/>
  <c r="Y239" i="36"/>
  <c r="X239" i="36"/>
  <c r="W239" i="36"/>
  <c r="V239" i="36"/>
  <c r="U239" i="36"/>
  <c r="T239" i="36"/>
  <c r="S239" i="36"/>
  <c r="R239" i="36"/>
  <c r="Q239" i="36"/>
  <c r="P239" i="36"/>
  <c r="O239" i="36"/>
  <c r="N239" i="36"/>
  <c r="M239" i="36"/>
  <c r="L239" i="36"/>
  <c r="K239" i="36"/>
  <c r="I239" i="36"/>
  <c r="H239" i="36"/>
  <c r="G239" i="36"/>
  <c r="F239" i="36"/>
  <c r="I238" i="36"/>
  <c r="H238" i="36"/>
  <c r="G238" i="36"/>
  <c r="F238" i="36"/>
  <c r="AJ236" i="36"/>
  <c r="AI236" i="36"/>
  <c r="AH236" i="36"/>
  <c r="AG236" i="36"/>
  <c r="AF236" i="36"/>
  <c r="AE236" i="36"/>
  <c r="AD236" i="36"/>
  <c r="AC236" i="36"/>
  <c r="AB236" i="36"/>
  <c r="AA236" i="36"/>
  <c r="Z236" i="36"/>
  <c r="Y236" i="36"/>
  <c r="X236" i="36"/>
  <c r="W236" i="36"/>
  <c r="V236" i="36"/>
  <c r="U236" i="36"/>
  <c r="T236" i="36"/>
  <c r="S236" i="36"/>
  <c r="R236" i="36"/>
  <c r="Q236" i="36"/>
  <c r="P236" i="36"/>
  <c r="O236" i="36"/>
  <c r="N236" i="36"/>
  <c r="M236" i="36"/>
  <c r="L236" i="36"/>
  <c r="K236" i="36"/>
  <c r="I236" i="36"/>
  <c r="H236" i="36"/>
  <c r="G236" i="36"/>
  <c r="F236" i="36"/>
  <c r="I235" i="36"/>
  <c r="H235" i="36"/>
  <c r="G235" i="36"/>
  <c r="F235" i="36"/>
  <c r="AJ233" i="36"/>
  <c r="AI233" i="36"/>
  <c r="AH233" i="36"/>
  <c r="AG233" i="36"/>
  <c r="AF233" i="36"/>
  <c r="AE233" i="36"/>
  <c r="AD233" i="36"/>
  <c r="AC233" i="36"/>
  <c r="AB233" i="36"/>
  <c r="AA233" i="36"/>
  <c r="Z233" i="36"/>
  <c r="Y233" i="36"/>
  <c r="X233" i="36"/>
  <c r="W233" i="36"/>
  <c r="V233" i="36"/>
  <c r="U233" i="36"/>
  <c r="T233" i="36"/>
  <c r="S233" i="36"/>
  <c r="R233" i="36"/>
  <c r="Q233" i="36"/>
  <c r="P233" i="36"/>
  <c r="O233" i="36"/>
  <c r="N233" i="36"/>
  <c r="M233" i="36"/>
  <c r="L233" i="36"/>
  <c r="K233" i="36"/>
  <c r="I233" i="36"/>
  <c r="H233" i="36"/>
  <c r="G233" i="36"/>
  <c r="F233" i="36"/>
  <c r="I232" i="36"/>
  <c r="H232" i="36"/>
  <c r="G232" i="36"/>
  <c r="F232" i="36"/>
  <c r="AJ230" i="36"/>
  <c r="AI230" i="36"/>
  <c r="AH230" i="36"/>
  <c r="AG230" i="36"/>
  <c r="AF230" i="36"/>
  <c r="AE230" i="36"/>
  <c r="AD230" i="36"/>
  <c r="AC230" i="36"/>
  <c r="AB230" i="36"/>
  <c r="AA230" i="36"/>
  <c r="Z230" i="36"/>
  <c r="Y230" i="36"/>
  <c r="X230" i="36"/>
  <c r="W230" i="36"/>
  <c r="V230" i="36"/>
  <c r="U230" i="36"/>
  <c r="T230" i="36"/>
  <c r="S230" i="36"/>
  <c r="R230" i="36"/>
  <c r="Q230" i="36"/>
  <c r="P230" i="36"/>
  <c r="O230" i="36"/>
  <c r="N230" i="36"/>
  <c r="M230" i="36"/>
  <c r="L230" i="36"/>
  <c r="K230" i="36"/>
  <c r="I230" i="36"/>
  <c r="H230" i="36"/>
  <c r="G230" i="36"/>
  <c r="F230" i="36"/>
  <c r="I229" i="36"/>
  <c r="H229" i="36"/>
  <c r="G229" i="36"/>
  <c r="F229" i="36"/>
  <c r="AJ227" i="36"/>
  <c r="AI227" i="36"/>
  <c r="AH227" i="36"/>
  <c r="AG227" i="36"/>
  <c r="AF227" i="36"/>
  <c r="AE227" i="36"/>
  <c r="AD227" i="36"/>
  <c r="AC227" i="36"/>
  <c r="AB227" i="36"/>
  <c r="AA227" i="36"/>
  <c r="Z227" i="36"/>
  <c r="Y227" i="36"/>
  <c r="X227" i="36"/>
  <c r="W227" i="36"/>
  <c r="V227" i="36"/>
  <c r="U227" i="36"/>
  <c r="T227" i="36"/>
  <c r="S227" i="36"/>
  <c r="R227" i="36"/>
  <c r="Q227" i="36"/>
  <c r="P227" i="36"/>
  <c r="O227" i="36"/>
  <c r="N227" i="36"/>
  <c r="M227" i="36"/>
  <c r="L227" i="36"/>
  <c r="K227" i="36"/>
  <c r="I227" i="36"/>
  <c r="H227" i="36"/>
  <c r="G227" i="36"/>
  <c r="F227" i="36"/>
  <c r="I226" i="36"/>
  <c r="H226" i="36"/>
  <c r="G226" i="36"/>
  <c r="F226" i="36"/>
  <c r="AJ224" i="36"/>
  <c r="AI224" i="36"/>
  <c r="AH224" i="36"/>
  <c r="AG224" i="36"/>
  <c r="AF224" i="36"/>
  <c r="AE224" i="36"/>
  <c r="AD224" i="36"/>
  <c r="AC224" i="36"/>
  <c r="AB224" i="36"/>
  <c r="AA224" i="36"/>
  <c r="Z224" i="36"/>
  <c r="Y224" i="36"/>
  <c r="X224" i="36"/>
  <c r="W224" i="36"/>
  <c r="V224" i="36"/>
  <c r="U224" i="36"/>
  <c r="T224" i="36"/>
  <c r="S224" i="36"/>
  <c r="R224" i="36"/>
  <c r="Q224" i="36"/>
  <c r="P224" i="36"/>
  <c r="O224" i="36"/>
  <c r="N224" i="36"/>
  <c r="M224" i="36"/>
  <c r="L224" i="36"/>
  <c r="K224" i="36"/>
  <c r="I224" i="36"/>
  <c r="H224" i="36"/>
  <c r="G224" i="36"/>
  <c r="F224" i="36"/>
  <c r="I223" i="36"/>
  <c r="H223" i="36"/>
  <c r="G223" i="36"/>
  <c r="F223" i="36"/>
  <c r="AJ221" i="36"/>
  <c r="AI221" i="36"/>
  <c r="AH221" i="36"/>
  <c r="AG221" i="36"/>
  <c r="AF221" i="36"/>
  <c r="AE221" i="36"/>
  <c r="AD221" i="36"/>
  <c r="AC221" i="36"/>
  <c r="AB221" i="36"/>
  <c r="AA221" i="36"/>
  <c r="Z221" i="36"/>
  <c r="Y221" i="36"/>
  <c r="X221" i="36"/>
  <c r="W221" i="36"/>
  <c r="V221" i="36"/>
  <c r="U221" i="36"/>
  <c r="T221" i="36"/>
  <c r="S221" i="36"/>
  <c r="R221" i="36"/>
  <c r="Q221" i="36"/>
  <c r="P221" i="36"/>
  <c r="O221" i="36"/>
  <c r="N221" i="36"/>
  <c r="M221" i="36"/>
  <c r="L221" i="36"/>
  <c r="K221" i="36"/>
  <c r="I221" i="36"/>
  <c r="H221" i="36"/>
  <c r="G221" i="36"/>
  <c r="F221" i="36"/>
  <c r="I220" i="36"/>
  <c r="H220" i="36"/>
  <c r="G220" i="36"/>
  <c r="F220" i="36"/>
  <c r="AJ218" i="36"/>
  <c r="AI218" i="36"/>
  <c r="AH218" i="36"/>
  <c r="AG218" i="36"/>
  <c r="AF218" i="36"/>
  <c r="AE218" i="36"/>
  <c r="AD218" i="36"/>
  <c r="AC218" i="36"/>
  <c r="AB218" i="36"/>
  <c r="AA218" i="36"/>
  <c r="Z218" i="36"/>
  <c r="Y218" i="36"/>
  <c r="X218" i="36"/>
  <c r="W218" i="36"/>
  <c r="V218" i="36"/>
  <c r="U218" i="36"/>
  <c r="T218" i="36"/>
  <c r="S218" i="36"/>
  <c r="R218" i="36"/>
  <c r="Q218" i="36"/>
  <c r="P218" i="36"/>
  <c r="O218" i="36"/>
  <c r="N218" i="36"/>
  <c r="M218" i="36"/>
  <c r="L218" i="36"/>
  <c r="K218" i="36"/>
  <c r="I218" i="36"/>
  <c r="H218" i="36"/>
  <c r="G218" i="36"/>
  <c r="F218" i="36"/>
  <c r="I217" i="36"/>
  <c r="H217" i="36"/>
  <c r="G217" i="36"/>
  <c r="F217" i="36"/>
  <c r="AJ215" i="36"/>
  <c r="AI215" i="36"/>
  <c r="AH215" i="36"/>
  <c r="AG215" i="36"/>
  <c r="AF215" i="36"/>
  <c r="AE215" i="36"/>
  <c r="AD215" i="36"/>
  <c r="AC215" i="36"/>
  <c r="AB215" i="36"/>
  <c r="AA215" i="36"/>
  <c r="Z215" i="36"/>
  <c r="Y215" i="36"/>
  <c r="X215" i="36"/>
  <c r="W215" i="36"/>
  <c r="V215" i="36"/>
  <c r="U215" i="36"/>
  <c r="T215" i="36"/>
  <c r="S215" i="36"/>
  <c r="R215" i="36"/>
  <c r="Q215" i="36"/>
  <c r="P215" i="36"/>
  <c r="O215" i="36"/>
  <c r="N215" i="36"/>
  <c r="M215" i="36"/>
  <c r="L215" i="36"/>
  <c r="K215" i="36"/>
  <c r="I215" i="36"/>
  <c r="H215" i="36"/>
  <c r="G215" i="36"/>
  <c r="F215" i="36"/>
  <c r="I214" i="36"/>
  <c r="H214" i="36"/>
  <c r="G214" i="36"/>
  <c r="F214" i="36"/>
  <c r="AJ212" i="36"/>
  <c r="AI212" i="36"/>
  <c r="AH212" i="36"/>
  <c r="AG212" i="36"/>
  <c r="AF212" i="36"/>
  <c r="AE212" i="36"/>
  <c r="AD212" i="36"/>
  <c r="AC212" i="36"/>
  <c r="AB212" i="36"/>
  <c r="AA212" i="36"/>
  <c r="Z212" i="36"/>
  <c r="Y212" i="36"/>
  <c r="X212" i="36"/>
  <c r="W212" i="36"/>
  <c r="V212" i="36"/>
  <c r="U212" i="36"/>
  <c r="T212" i="36"/>
  <c r="S212" i="36"/>
  <c r="R212" i="36"/>
  <c r="Q212" i="36"/>
  <c r="P212" i="36"/>
  <c r="O212" i="36"/>
  <c r="N212" i="36"/>
  <c r="M212" i="36"/>
  <c r="L212" i="36"/>
  <c r="K212" i="36"/>
  <c r="I212" i="36"/>
  <c r="H212" i="36"/>
  <c r="G212" i="36"/>
  <c r="F212" i="36"/>
  <c r="I211" i="36"/>
  <c r="H211" i="36"/>
  <c r="G211" i="36"/>
  <c r="F211" i="36"/>
  <c r="AJ209" i="36"/>
  <c r="AI209" i="36"/>
  <c r="AH209" i="36"/>
  <c r="AG209" i="36"/>
  <c r="AF209" i="36"/>
  <c r="AE209" i="36"/>
  <c r="AD209" i="36"/>
  <c r="AC209" i="36"/>
  <c r="AB209" i="36"/>
  <c r="AA209" i="36"/>
  <c r="Z209" i="36"/>
  <c r="Y209" i="36"/>
  <c r="X209" i="36"/>
  <c r="W209" i="36"/>
  <c r="V209" i="36"/>
  <c r="U209" i="36"/>
  <c r="T209" i="36"/>
  <c r="S209" i="36"/>
  <c r="R209" i="36"/>
  <c r="Q209" i="36"/>
  <c r="P209" i="36"/>
  <c r="O209" i="36"/>
  <c r="N209" i="36"/>
  <c r="M209" i="36"/>
  <c r="L209" i="36"/>
  <c r="K209" i="36"/>
  <c r="I209" i="36"/>
  <c r="H209" i="36"/>
  <c r="G209" i="36"/>
  <c r="F209" i="36"/>
  <c r="I208" i="36"/>
  <c r="H208" i="36"/>
  <c r="G208" i="36"/>
  <c r="F208" i="36"/>
  <c r="AJ206" i="36"/>
  <c r="AI206" i="36"/>
  <c r="AH206" i="36"/>
  <c r="AG206" i="36"/>
  <c r="AF206" i="36"/>
  <c r="AE206" i="36"/>
  <c r="AD206" i="36"/>
  <c r="AC206" i="36"/>
  <c r="AB206" i="36"/>
  <c r="AA206" i="36"/>
  <c r="Z206" i="36"/>
  <c r="Y206" i="36"/>
  <c r="X206" i="36"/>
  <c r="W206" i="36"/>
  <c r="V206" i="36"/>
  <c r="U206" i="36"/>
  <c r="T206" i="36"/>
  <c r="S206" i="36"/>
  <c r="R206" i="36"/>
  <c r="Q206" i="36"/>
  <c r="P206" i="36"/>
  <c r="O206" i="36"/>
  <c r="N206" i="36"/>
  <c r="M206" i="36"/>
  <c r="L206" i="36"/>
  <c r="K206" i="36"/>
  <c r="I206" i="36"/>
  <c r="H206" i="36"/>
  <c r="G206" i="36"/>
  <c r="F206" i="36"/>
  <c r="I205" i="36"/>
  <c r="H205" i="36"/>
  <c r="G205" i="36"/>
  <c r="F205" i="36"/>
  <c r="AJ203" i="36"/>
  <c r="AI203" i="36"/>
  <c r="AH203" i="36"/>
  <c r="AG203" i="36"/>
  <c r="AF203" i="36"/>
  <c r="AE203" i="36"/>
  <c r="AD203" i="36"/>
  <c r="AC203" i="36"/>
  <c r="AB203" i="36"/>
  <c r="AA203" i="36"/>
  <c r="Z203" i="36"/>
  <c r="Y203" i="36"/>
  <c r="X203" i="36"/>
  <c r="W203" i="36"/>
  <c r="V203" i="36"/>
  <c r="U203" i="36"/>
  <c r="T203" i="36"/>
  <c r="S203" i="36"/>
  <c r="R203" i="36"/>
  <c r="Q203" i="36"/>
  <c r="P203" i="36"/>
  <c r="O203" i="36"/>
  <c r="N203" i="36"/>
  <c r="M203" i="36"/>
  <c r="L203" i="36"/>
  <c r="K203" i="36"/>
  <c r="I203" i="36"/>
  <c r="H203" i="36"/>
  <c r="G203" i="36"/>
  <c r="F203" i="36"/>
  <c r="I202" i="36"/>
  <c r="H202" i="36"/>
  <c r="G202" i="36"/>
  <c r="F202" i="36"/>
  <c r="AJ200" i="36"/>
  <c r="AI200" i="36"/>
  <c r="AH200" i="36"/>
  <c r="AG200" i="36"/>
  <c r="AF200" i="36"/>
  <c r="AE200" i="36"/>
  <c r="AD200" i="36"/>
  <c r="AC200" i="36"/>
  <c r="AB200" i="36"/>
  <c r="AA200" i="36"/>
  <c r="Z200" i="36"/>
  <c r="Y200" i="36"/>
  <c r="X200" i="36"/>
  <c r="W200" i="36"/>
  <c r="V200" i="36"/>
  <c r="U200" i="36"/>
  <c r="T200" i="36"/>
  <c r="S200" i="36"/>
  <c r="R200" i="36"/>
  <c r="Q200" i="36"/>
  <c r="P200" i="36"/>
  <c r="O200" i="36"/>
  <c r="N200" i="36"/>
  <c r="M200" i="36"/>
  <c r="L200" i="36"/>
  <c r="K200" i="36"/>
  <c r="I200" i="36"/>
  <c r="H200" i="36"/>
  <c r="G200" i="36"/>
  <c r="F200" i="36"/>
  <c r="I199" i="36"/>
  <c r="H199" i="36"/>
  <c r="G199" i="36"/>
  <c r="F199" i="36"/>
  <c r="AJ197" i="36"/>
  <c r="AI197" i="36"/>
  <c r="AH197" i="36"/>
  <c r="AG197" i="36"/>
  <c r="AF197" i="36"/>
  <c r="AE197" i="36"/>
  <c r="AD197" i="36"/>
  <c r="AC197" i="36"/>
  <c r="AB197" i="36"/>
  <c r="AA197" i="36"/>
  <c r="Z197" i="36"/>
  <c r="Y197" i="36"/>
  <c r="X197" i="36"/>
  <c r="W197" i="36"/>
  <c r="V197" i="36"/>
  <c r="U197" i="36"/>
  <c r="T197" i="36"/>
  <c r="S197" i="36"/>
  <c r="R197" i="36"/>
  <c r="Q197" i="36"/>
  <c r="P197" i="36"/>
  <c r="O197" i="36"/>
  <c r="N197" i="36"/>
  <c r="M197" i="36"/>
  <c r="L197" i="36"/>
  <c r="K197" i="36"/>
  <c r="I197" i="36"/>
  <c r="H197" i="36"/>
  <c r="G197" i="36"/>
  <c r="F197" i="36"/>
  <c r="I196" i="36"/>
  <c r="H196" i="36"/>
  <c r="G196" i="36"/>
  <c r="F196" i="36"/>
  <c r="AJ194" i="36"/>
  <c r="AI194" i="36"/>
  <c r="AH194" i="36"/>
  <c r="AG194" i="36"/>
  <c r="AF194" i="36"/>
  <c r="AE194" i="36"/>
  <c r="AD194" i="36"/>
  <c r="AC194" i="36"/>
  <c r="AB194" i="36"/>
  <c r="AA194" i="36"/>
  <c r="Z194" i="36"/>
  <c r="Y194" i="36"/>
  <c r="X194" i="36"/>
  <c r="W194" i="36"/>
  <c r="V194" i="36"/>
  <c r="U194" i="36"/>
  <c r="T194" i="36"/>
  <c r="S194" i="36"/>
  <c r="R194" i="36"/>
  <c r="Q194" i="36"/>
  <c r="P194" i="36"/>
  <c r="O194" i="36"/>
  <c r="N194" i="36"/>
  <c r="M194" i="36"/>
  <c r="L194" i="36"/>
  <c r="K194" i="36"/>
  <c r="I194" i="36"/>
  <c r="H194" i="36"/>
  <c r="G194" i="36"/>
  <c r="F194" i="36"/>
  <c r="I193" i="36"/>
  <c r="H193" i="36"/>
  <c r="G193" i="36"/>
  <c r="F193" i="36"/>
  <c r="AJ191" i="36"/>
  <c r="AI191" i="36"/>
  <c r="AH191" i="36"/>
  <c r="AG191" i="36"/>
  <c r="AF191" i="36"/>
  <c r="AE191" i="36"/>
  <c r="AD191" i="36"/>
  <c r="AC191" i="36"/>
  <c r="AB191" i="36"/>
  <c r="AA191" i="36"/>
  <c r="Z191" i="36"/>
  <c r="Y191" i="36"/>
  <c r="X191" i="36"/>
  <c r="W191" i="36"/>
  <c r="V191" i="36"/>
  <c r="U191" i="36"/>
  <c r="T191" i="36"/>
  <c r="S191" i="36"/>
  <c r="R191" i="36"/>
  <c r="Q191" i="36"/>
  <c r="P191" i="36"/>
  <c r="O191" i="36"/>
  <c r="N191" i="36"/>
  <c r="M191" i="36"/>
  <c r="L191" i="36"/>
  <c r="K191" i="36"/>
  <c r="I191" i="36"/>
  <c r="H191" i="36"/>
  <c r="G191" i="36"/>
  <c r="F191" i="36"/>
  <c r="I190" i="36"/>
  <c r="H190" i="36"/>
  <c r="G190" i="36"/>
  <c r="F190" i="36"/>
  <c r="AJ188" i="36"/>
  <c r="AI188" i="36"/>
  <c r="AH188" i="36"/>
  <c r="AG188" i="36"/>
  <c r="AF188" i="36"/>
  <c r="AE188" i="36"/>
  <c r="AD188" i="36"/>
  <c r="AC188" i="36"/>
  <c r="AB188" i="36"/>
  <c r="AA188" i="36"/>
  <c r="Z188" i="36"/>
  <c r="Y188" i="36"/>
  <c r="X188" i="36"/>
  <c r="W188" i="36"/>
  <c r="V188" i="36"/>
  <c r="U188" i="36"/>
  <c r="T188" i="36"/>
  <c r="S188" i="36"/>
  <c r="R188" i="36"/>
  <c r="Q188" i="36"/>
  <c r="P188" i="36"/>
  <c r="O188" i="36"/>
  <c r="N188" i="36"/>
  <c r="M188" i="36"/>
  <c r="L188" i="36"/>
  <c r="K188" i="36"/>
  <c r="I188" i="36"/>
  <c r="H188" i="36"/>
  <c r="G188" i="36"/>
  <c r="F188" i="36"/>
  <c r="I187" i="36"/>
  <c r="H187" i="36"/>
  <c r="G187" i="36"/>
  <c r="F187" i="36"/>
  <c r="AJ185" i="36"/>
  <c r="AI185" i="36"/>
  <c r="AH185" i="36"/>
  <c r="AG185" i="36"/>
  <c r="AF185" i="36"/>
  <c r="AE185" i="36"/>
  <c r="AD185" i="36"/>
  <c r="AC185" i="36"/>
  <c r="AB185" i="36"/>
  <c r="AA185" i="36"/>
  <c r="Z185" i="36"/>
  <c r="Y185" i="36"/>
  <c r="X185" i="36"/>
  <c r="W185" i="36"/>
  <c r="V185" i="36"/>
  <c r="U185" i="36"/>
  <c r="T185" i="36"/>
  <c r="S185" i="36"/>
  <c r="R185" i="36"/>
  <c r="Q185" i="36"/>
  <c r="P185" i="36"/>
  <c r="O185" i="36"/>
  <c r="N185" i="36"/>
  <c r="M185" i="36"/>
  <c r="L185" i="36"/>
  <c r="K185" i="36"/>
  <c r="I185" i="36"/>
  <c r="H185" i="36"/>
  <c r="G185" i="36"/>
  <c r="F185" i="36"/>
  <c r="I184" i="36"/>
  <c r="H184" i="36"/>
  <c r="G184" i="36"/>
  <c r="F184" i="36"/>
  <c r="AJ182" i="36"/>
  <c r="AI182" i="36"/>
  <c r="AH182" i="36"/>
  <c r="AG182" i="36"/>
  <c r="AF182" i="36"/>
  <c r="AE182" i="36"/>
  <c r="AD182" i="36"/>
  <c r="AC182" i="36"/>
  <c r="AB182" i="36"/>
  <c r="AA182" i="36"/>
  <c r="Z182" i="36"/>
  <c r="Y182" i="36"/>
  <c r="X182" i="36"/>
  <c r="W182" i="36"/>
  <c r="V182" i="36"/>
  <c r="U182" i="36"/>
  <c r="T182" i="36"/>
  <c r="S182" i="36"/>
  <c r="R182" i="36"/>
  <c r="Q182" i="36"/>
  <c r="P182" i="36"/>
  <c r="O182" i="36"/>
  <c r="N182" i="36"/>
  <c r="M182" i="36"/>
  <c r="L182" i="36"/>
  <c r="K182" i="36"/>
  <c r="I182" i="36"/>
  <c r="H182" i="36"/>
  <c r="G182" i="36"/>
  <c r="F182" i="36"/>
  <c r="I181" i="36"/>
  <c r="H181" i="36"/>
  <c r="G181" i="36"/>
  <c r="F181" i="36"/>
  <c r="AJ179" i="36"/>
  <c r="AI179" i="36"/>
  <c r="AH179" i="36"/>
  <c r="AG179" i="36"/>
  <c r="AF179" i="36"/>
  <c r="AE179" i="36"/>
  <c r="AD179" i="36"/>
  <c r="AC179" i="36"/>
  <c r="AB179" i="36"/>
  <c r="AA179" i="36"/>
  <c r="Z179" i="36"/>
  <c r="Y179" i="36"/>
  <c r="X179" i="36"/>
  <c r="W179" i="36"/>
  <c r="V179" i="36"/>
  <c r="U179" i="36"/>
  <c r="T179" i="36"/>
  <c r="S179" i="36"/>
  <c r="R179" i="36"/>
  <c r="Q179" i="36"/>
  <c r="P179" i="36"/>
  <c r="O179" i="36"/>
  <c r="N179" i="36"/>
  <c r="M179" i="36"/>
  <c r="L179" i="36"/>
  <c r="K179" i="36"/>
  <c r="I179" i="36"/>
  <c r="H179" i="36"/>
  <c r="G179" i="36"/>
  <c r="F179" i="36"/>
  <c r="I178" i="36"/>
  <c r="H178" i="36"/>
  <c r="G178" i="36"/>
  <c r="F178" i="36"/>
  <c r="AJ176" i="36"/>
  <c r="AI176" i="36"/>
  <c r="AH176" i="36"/>
  <c r="AG176" i="36"/>
  <c r="AF176" i="36"/>
  <c r="AE176" i="36"/>
  <c r="AD176" i="36"/>
  <c r="AC176" i="36"/>
  <c r="AB176" i="36"/>
  <c r="AA176" i="36"/>
  <c r="Z176" i="36"/>
  <c r="Y176" i="36"/>
  <c r="X176" i="36"/>
  <c r="W176" i="36"/>
  <c r="V176" i="36"/>
  <c r="U176" i="36"/>
  <c r="T176" i="36"/>
  <c r="S176" i="36"/>
  <c r="R176" i="36"/>
  <c r="Q176" i="36"/>
  <c r="P176" i="36"/>
  <c r="O176" i="36"/>
  <c r="N176" i="36"/>
  <c r="M176" i="36"/>
  <c r="L176" i="36"/>
  <c r="K176" i="36"/>
  <c r="I176" i="36"/>
  <c r="H176" i="36"/>
  <c r="G176" i="36"/>
  <c r="F176" i="36"/>
  <c r="I175" i="36"/>
  <c r="H175" i="36"/>
  <c r="G175" i="36"/>
  <c r="F175" i="36"/>
  <c r="AJ173" i="36"/>
  <c r="AI173" i="36"/>
  <c r="AH173" i="36"/>
  <c r="AG173" i="36"/>
  <c r="AF173" i="36"/>
  <c r="AE173" i="36"/>
  <c r="AD173" i="36"/>
  <c r="AC173" i="36"/>
  <c r="AB173" i="36"/>
  <c r="AA173" i="36"/>
  <c r="Z173" i="36"/>
  <c r="Y173" i="36"/>
  <c r="X173" i="36"/>
  <c r="W173" i="36"/>
  <c r="V173" i="36"/>
  <c r="U173" i="36"/>
  <c r="T173" i="36"/>
  <c r="S173" i="36"/>
  <c r="R173" i="36"/>
  <c r="Q173" i="36"/>
  <c r="P173" i="36"/>
  <c r="O173" i="36"/>
  <c r="N173" i="36"/>
  <c r="M173" i="36"/>
  <c r="L173" i="36"/>
  <c r="K173" i="36"/>
  <c r="I173" i="36"/>
  <c r="H173" i="36"/>
  <c r="G173" i="36"/>
  <c r="F173" i="36"/>
  <c r="I172" i="36"/>
  <c r="H172" i="36"/>
  <c r="G172" i="36"/>
  <c r="F172" i="36"/>
  <c r="AJ170" i="36"/>
  <c r="AI170" i="36"/>
  <c r="AH170" i="36"/>
  <c r="AG170" i="36"/>
  <c r="AF170" i="36"/>
  <c r="AE170" i="36"/>
  <c r="AD170" i="36"/>
  <c r="AC170" i="36"/>
  <c r="AB170" i="36"/>
  <c r="AA170" i="36"/>
  <c r="Z170" i="36"/>
  <c r="Y170" i="36"/>
  <c r="X170" i="36"/>
  <c r="W170" i="36"/>
  <c r="V170" i="36"/>
  <c r="U170" i="36"/>
  <c r="T170" i="36"/>
  <c r="S170" i="36"/>
  <c r="R170" i="36"/>
  <c r="Q170" i="36"/>
  <c r="P170" i="36"/>
  <c r="O170" i="36"/>
  <c r="N170" i="36"/>
  <c r="M170" i="36"/>
  <c r="L170" i="36"/>
  <c r="K170" i="36"/>
  <c r="I170" i="36"/>
  <c r="H170" i="36"/>
  <c r="G170" i="36"/>
  <c r="F170" i="36"/>
  <c r="I169" i="36"/>
  <c r="H169" i="36"/>
  <c r="G169" i="36"/>
  <c r="F169" i="36"/>
  <c r="AJ167" i="36"/>
  <c r="AI167" i="36"/>
  <c r="AH167" i="36"/>
  <c r="AG167" i="36"/>
  <c r="AF167" i="36"/>
  <c r="AE167" i="36"/>
  <c r="AD167" i="36"/>
  <c r="AC167" i="36"/>
  <c r="AB167" i="36"/>
  <c r="AA167" i="36"/>
  <c r="Z167" i="36"/>
  <c r="Y167" i="36"/>
  <c r="X167" i="36"/>
  <c r="W167" i="36"/>
  <c r="V167" i="36"/>
  <c r="U167" i="36"/>
  <c r="T167" i="36"/>
  <c r="S167" i="36"/>
  <c r="R167" i="36"/>
  <c r="Q167" i="36"/>
  <c r="P167" i="36"/>
  <c r="O167" i="36"/>
  <c r="N167" i="36"/>
  <c r="M167" i="36"/>
  <c r="L167" i="36"/>
  <c r="K167" i="36"/>
  <c r="I167" i="36"/>
  <c r="H167" i="36"/>
  <c r="G167" i="36"/>
  <c r="F167" i="36"/>
  <c r="I166" i="36"/>
  <c r="H166" i="36"/>
  <c r="G166" i="36"/>
  <c r="F166" i="36"/>
  <c r="AJ164" i="36"/>
  <c r="AI164" i="36"/>
  <c r="AH164" i="36"/>
  <c r="AG164" i="36"/>
  <c r="AF164" i="36"/>
  <c r="AE164" i="36"/>
  <c r="AD164" i="36"/>
  <c r="AC164" i="36"/>
  <c r="AB164" i="36"/>
  <c r="AA164" i="36"/>
  <c r="Z164" i="36"/>
  <c r="Y164" i="36"/>
  <c r="X164" i="36"/>
  <c r="W164" i="36"/>
  <c r="V164" i="36"/>
  <c r="U164" i="36"/>
  <c r="T164" i="36"/>
  <c r="S164" i="36"/>
  <c r="R164" i="36"/>
  <c r="Q164" i="36"/>
  <c r="P164" i="36"/>
  <c r="O164" i="36"/>
  <c r="N164" i="36"/>
  <c r="M164" i="36"/>
  <c r="L164" i="36"/>
  <c r="K164" i="36"/>
  <c r="I164" i="36"/>
  <c r="H164" i="36"/>
  <c r="G164" i="36"/>
  <c r="F164" i="36"/>
  <c r="I163" i="36"/>
  <c r="H163" i="36"/>
  <c r="G163" i="36"/>
  <c r="F163" i="36"/>
  <c r="AJ161" i="36"/>
  <c r="AI161" i="36"/>
  <c r="AH161" i="36"/>
  <c r="AG161" i="36"/>
  <c r="AF161" i="36"/>
  <c r="AE161" i="36"/>
  <c r="AD161" i="36"/>
  <c r="AC161" i="36"/>
  <c r="AB161" i="36"/>
  <c r="AA161" i="36"/>
  <c r="Z161" i="36"/>
  <c r="Y161" i="36"/>
  <c r="X161" i="36"/>
  <c r="W161" i="36"/>
  <c r="V161" i="36"/>
  <c r="U161" i="36"/>
  <c r="T161" i="36"/>
  <c r="S161" i="36"/>
  <c r="R161" i="36"/>
  <c r="Q161" i="36"/>
  <c r="P161" i="36"/>
  <c r="O161" i="36"/>
  <c r="N161" i="36"/>
  <c r="M161" i="36"/>
  <c r="L161" i="36"/>
  <c r="K161" i="36"/>
  <c r="I161" i="36"/>
  <c r="H161" i="36"/>
  <c r="G161" i="36"/>
  <c r="F161" i="36"/>
  <c r="I160" i="36"/>
  <c r="H160" i="36"/>
  <c r="G160" i="36"/>
  <c r="F160" i="36"/>
  <c r="AJ158" i="36"/>
  <c r="AI158" i="36"/>
  <c r="AH158" i="36"/>
  <c r="AG158" i="36"/>
  <c r="AF158" i="36"/>
  <c r="AE158" i="36"/>
  <c r="AD158" i="36"/>
  <c r="AC158" i="36"/>
  <c r="AB158" i="36"/>
  <c r="AA158" i="36"/>
  <c r="Z158" i="36"/>
  <c r="Y158" i="36"/>
  <c r="X158" i="36"/>
  <c r="W158" i="36"/>
  <c r="V158" i="36"/>
  <c r="U158" i="36"/>
  <c r="T158" i="36"/>
  <c r="S158" i="36"/>
  <c r="R158" i="36"/>
  <c r="Q158" i="36"/>
  <c r="P158" i="36"/>
  <c r="O158" i="36"/>
  <c r="N158" i="36"/>
  <c r="M158" i="36"/>
  <c r="L158" i="36"/>
  <c r="K158" i="36"/>
  <c r="I158" i="36"/>
  <c r="H158" i="36"/>
  <c r="G158" i="36"/>
  <c r="F158" i="36"/>
  <c r="I157" i="36"/>
  <c r="H157" i="36"/>
  <c r="G157" i="36"/>
  <c r="F157" i="36"/>
  <c r="AJ155" i="36"/>
  <c r="AI155" i="36"/>
  <c r="AH155" i="36"/>
  <c r="AG155" i="36"/>
  <c r="AF155" i="36"/>
  <c r="AE155" i="36"/>
  <c r="AD155" i="36"/>
  <c r="AC155" i="36"/>
  <c r="AB155" i="36"/>
  <c r="AA155" i="36"/>
  <c r="Z155" i="36"/>
  <c r="Y155" i="36"/>
  <c r="X155" i="36"/>
  <c r="W155" i="36"/>
  <c r="V155" i="36"/>
  <c r="U155" i="36"/>
  <c r="T155" i="36"/>
  <c r="S155" i="36"/>
  <c r="R155" i="36"/>
  <c r="Q155" i="36"/>
  <c r="P155" i="36"/>
  <c r="O155" i="36"/>
  <c r="N155" i="36"/>
  <c r="M155" i="36"/>
  <c r="L155" i="36"/>
  <c r="K155" i="36"/>
  <c r="I155" i="36"/>
  <c r="H155" i="36"/>
  <c r="G155" i="36"/>
  <c r="F155" i="36"/>
  <c r="I154" i="36"/>
  <c r="H154" i="36"/>
  <c r="G154" i="36"/>
  <c r="F154" i="36"/>
  <c r="AJ152" i="36"/>
  <c r="AI152" i="36"/>
  <c r="AH152" i="36"/>
  <c r="AG152" i="36"/>
  <c r="AF152" i="36"/>
  <c r="AE152" i="36"/>
  <c r="AD152" i="36"/>
  <c r="AC152" i="36"/>
  <c r="AB152" i="36"/>
  <c r="AA152" i="36"/>
  <c r="Z152" i="36"/>
  <c r="Y152" i="36"/>
  <c r="X152" i="36"/>
  <c r="W152" i="36"/>
  <c r="V152" i="36"/>
  <c r="U152" i="36"/>
  <c r="T152" i="36"/>
  <c r="S152" i="36"/>
  <c r="R152" i="36"/>
  <c r="Q152" i="36"/>
  <c r="P152" i="36"/>
  <c r="O152" i="36"/>
  <c r="N152" i="36"/>
  <c r="M152" i="36"/>
  <c r="L152" i="36"/>
  <c r="K152" i="36"/>
  <c r="I152" i="36"/>
  <c r="H152" i="36"/>
  <c r="G152" i="36"/>
  <c r="F152" i="36"/>
  <c r="I151" i="36"/>
  <c r="H151" i="36"/>
  <c r="G151" i="36"/>
  <c r="F151" i="36"/>
  <c r="AJ149" i="36"/>
  <c r="AI149" i="36"/>
  <c r="AH149" i="36"/>
  <c r="AG149" i="36"/>
  <c r="AF149" i="36"/>
  <c r="AE149" i="36"/>
  <c r="AD149" i="36"/>
  <c r="AC149" i="36"/>
  <c r="AB149" i="36"/>
  <c r="AA149" i="36"/>
  <c r="Z149" i="36"/>
  <c r="Y149" i="36"/>
  <c r="X149" i="36"/>
  <c r="W149" i="36"/>
  <c r="V149" i="36"/>
  <c r="U149" i="36"/>
  <c r="T149" i="36"/>
  <c r="S149" i="36"/>
  <c r="R149" i="36"/>
  <c r="Q149" i="36"/>
  <c r="P149" i="36"/>
  <c r="O149" i="36"/>
  <c r="N149" i="36"/>
  <c r="M149" i="36"/>
  <c r="L149" i="36"/>
  <c r="K149" i="36"/>
  <c r="I149" i="36"/>
  <c r="H149" i="36"/>
  <c r="G149" i="36"/>
  <c r="F149" i="36"/>
  <c r="I148" i="36"/>
  <c r="H148" i="36"/>
  <c r="G148" i="36"/>
  <c r="F148" i="36"/>
  <c r="AJ146" i="36"/>
  <c r="AI146" i="36"/>
  <c r="AH146" i="36"/>
  <c r="AG146" i="36"/>
  <c r="AF146" i="36"/>
  <c r="AE146" i="36"/>
  <c r="AD146" i="36"/>
  <c r="AC146" i="36"/>
  <c r="AB146" i="36"/>
  <c r="AA146" i="36"/>
  <c r="Z146" i="36"/>
  <c r="Y146" i="36"/>
  <c r="X146" i="36"/>
  <c r="W146" i="36"/>
  <c r="V146" i="36"/>
  <c r="U146" i="36"/>
  <c r="T146" i="36"/>
  <c r="S146" i="36"/>
  <c r="R146" i="36"/>
  <c r="Q146" i="36"/>
  <c r="P146" i="36"/>
  <c r="O146" i="36"/>
  <c r="N146" i="36"/>
  <c r="M146" i="36"/>
  <c r="L146" i="36"/>
  <c r="K146" i="36"/>
  <c r="I146" i="36"/>
  <c r="H146" i="36"/>
  <c r="G146" i="36"/>
  <c r="F146" i="36"/>
  <c r="I145" i="36"/>
  <c r="H145" i="36"/>
  <c r="G145" i="36"/>
  <c r="F145" i="36"/>
  <c r="AJ143" i="36"/>
  <c r="AI143" i="36"/>
  <c r="AH143" i="36"/>
  <c r="AG143" i="36"/>
  <c r="AF143" i="36"/>
  <c r="AE143" i="36"/>
  <c r="AD143" i="36"/>
  <c r="AC143" i="36"/>
  <c r="AB143" i="36"/>
  <c r="AA143" i="36"/>
  <c r="Z143" i="36"/>
  <c r="Y143" i="36"/>
  <c r="X143" i="36"/>
  <c r="W143" i="36"/>
  <c r="V143" i="36"/>
  <c r="U143" i="36"/>
  <c r="T143" i="36"/>
  <c r="S143" i="36"/>
  <c r="R143" i="36"/>
  <c r="Q143" i="36"/>
  <c r="P143" i="36"/>
  <c r="O143" i="36"/>
  <c r="N143" i="36"/>
  <c r="M143" i="36"/>
  <c r="L143" i="36"/>
  <c r="K143" i="36"/>
  <c r="I143" i="36"/>
  <c r="H143" i="36"/>
  <c r="G143" i="36"/>
  <c r="F143" i="36"/>
  <c r="I142" i="36"/>
  <c r="H142" i="36"/>
  <c r="G142" i="36"/>
  <c r="F142" i="36"/>
  <c r="AJ140" i="36"/>
  <c r="AI140" i="36"/>
  <c r="AH140" i="36"/>
  <c r="AG140" i="36"/>
  <c r="AF140" i="36"/>
  <c r="AE140" i="36"/>
  <c r="AD140" i="36"/>
  <c r="AC140" i="36"/>
  <c r="AB140" i="36"/>
  <c r="AA140" i="36"/>
  <c r="Z140" i="36"/>
  <c r="Y140" i="36"/>
  <c r="X140" i="36"/>
  <c r="W140" i="36"/>
  <c r="V140" i="36"/>
  <c r="U140" i="36"/>
  <c r="T140" i="36"/>
  <c r="S140" i="36"/>
  <c r="R140" i="36"/>
  <c r="Q140" i="36"/>
  <c r="P140" i="36"/>
  <c r="O140" i="36"/>
  <c r="N140" i="36"/>
  <c r="M140" i="36"/>
  <c r="L140" i="36"/>
  <c r="K140" i="36"/>
  <c r="I140" i="36"/>
  <c r="H140" i="36"/>
  <c r="G140" i="36"/>
  <c r="F140" i="36"/>
  <c r="I139" i="36"/>
  <c r="H139" i="36"/>
  <c r="G139" i="36"/>
  <c r="F139" i="36"/>
  <c r="AJ137" i="36"/>
  <c r="AI137" i="36"/>
  <c r="AH137" i="36"/>
  <c r="AG137" i="36"/>
  <c r="AF137" i="36"/>
  <c r="AE137" i="36"/>
  <c r="AD137" i="36"/>
  <c r="AC137" i="36"/>
  <c r="AB137" i="36"/>
  <c r="AA137" i="36"/>
  <c r="Z137" i="36"/>
  <c r="Y137" i="36"/>
  <c r="X137" i="36"/>
  <c r="W137" i="36"/>
  <c r="V137" i="36"/>
  <c r="U137" i="36"/>
  <c r="T137" i="36"/>
  <c r="S137" i="36"/>
  <c r="R137" i="36"/>
  <c r="Q137" i="36"/>
  <c r="P137" i="36"/>
  <c r="O137" i="36"/>
  <c r="N137" i="36"/>
  <c r="M137" i="36"/>
  <c r="L137" i="36"/>
  <c r="K137" i="36"/>
  <c r="I137" i="36"/>
  <c r="H137" i="36"/>
  <c r="G137" i="36"/>
  <c r="F137" i="36"/>
  <c r="I136" i="36"/>
  <c r="H136" i="36"/>
  <c r="G136" i="36"/>
  <c r="F136" i="36"/>
  <c r="AJ134" i="36"/>
  <c r="AI134" i="36"/>
  <c r="AH134" i="36"/>
  <c r="AG134" i="36"/>
  <c r="AF134" i="36"/>
  <c r="AE134" i="36"/>
  <c r="AD134" i="36"/>
  <c r="AC134" i="36"/>
  <c r="AB134" i="36"/>
  <c r="AA134" i="36"/>
  <c r="Z134" i="36"/>
  <c r="Y134" i="36"/>
  <c r="X134" i="36"/>
  <c r="W134" i="36"/>
  <c r="V134" i="36"/>
  <c r="U134" i="36"/>
  <c r="T134" i="36"/>
  <c r="S134" i="36"/>
  <c r="R134" i="36"/>
  <c r="Q134" i="36"/>
  <c r="P134" i="36"/>
  <c r="O134" i="36"/>
  <c r="N134" i="36"/>
  <c r="M134" i="36"/>
  <c r="L134" i="36"/>
  <c r="K134" i="36"/>
  <c r="I134" i="36"/>
  <c r="H134" i="36"/>
  <c r="G134" i="36"/>
  <c r="F134" i="36"/>
  <c r="I133" i="36"/>
  <c r="H133" i="36"/>
  <c r="G133" i="36"/>
  <c r="F133" i="36"/>
  <c r="AJ131" i="36"/>
  <c r="AI131" i="36"/>
  <c r="AH131" i="36"/>
  <c r="AG131" i="36"/>
  <c r="AF131" i="36"/>
  <c r="AE131" i="36"/>
  <c r="AD131" i="36"/>
  <c r="AC131" i="36"/>
  <c r="AB131" i="36"/>
  <c r="AA131" i="36"/>
  <c r="Z131" i="36"/>
  <c r="Y131" i="36"/>
  <c r="X131" i="36"/>
  <c r="W131" i="36"/>
  <c r="V131" i="36"/>
  <c r="U131" i="36"/>
  <c r="T131" i="36"/>
  <c r="S131" i="36"/>
  <c r="R131" i="36"/>
  <c r="Q131" i="36"/>
  <c r="P131" i="36"/>
  <c r="O131" i="36"/>
  <c r="N131" i="36"/>
  <c r="M131" i="36"/>
  <c r="L131" i="36"/>
  <c r="K131" i="36"/>
  <c r="I131" i="36"/>
  <c r="H131" i="36"/>
  <c r="G131" i="36"/>
  <c r="F131" i="36"/>
  <c r="I130" i="36"/>
  <c r="H130" i="36"/>
  <c r="G130" i="36"/>
  <c r="F130" i="36"/>
  <c r="AJ128" i="36"/>
  <c r="AI128" i="36"/>
  <c r="AH128" i="36"/>
  <c r="AG128" i="36"/>
  <c r="AF128" i="36"/>
  <c r="AE128" i="36"/>
  <c r="AD128" i="36"/>
  <c r="AC128" i="36"/>
  <c r="AB128" i="36"/>
  <c r="AA128" i="36"/>
  <c r="Z128" i="36"/>
  <c r="Y128" i="36"/>
  <c r="X128" i="36"/>
  <c r="W128" i="36"/>
  <c r="V128" i="36"/>
  <c r="U128" i="36"/>
  <c r="T128" i="36"/>
  <c r="S128" i="36"/>
  <c r="R128" i="36"/>
  <c r="Q128" i="36"/>
  <c r="P128" i="36"/>
  <c r="O128" i="36"/>
  <c r="N128" i="36"/>
  <c r="M128" i="36"/>
  <c r="L128" i="36"/>
  <c r="K128" i="36"/>
  <c r="I128" i="36"/>
  <c r="H128" i="36"/>
  <c r="G128" i="36"/>
  <c r="F128" i="36"/>
  <c r="I127" i="36"/>
  <c r="H127" i="36"/>
  <c r="G127" i="36"/>
  <c r="F127" i="36"/>
  <c r="AJ125" i="36"/>
  <c r="AI125" i="36"/>
  <c r="AH125" i="36"/>
  <c r="AG125" i="36"/>
  <c r="AF125" i="36"/>
  <c r="AE125" i="36"/>
  <c r="AD125" i="36"/>
  <c r="AC125" i="36"/>
  <c r="AB125" i="36"/>
  <c r="AA125" i="36"/>
  <c r="Z125" i="36"/>
  <c r="Y125" i="36"/>
  <c r="X125" i="36"/>
  <c r="W125" i="36"/>
  <c r="V125" i="36"/>
  <c r="U125" i="36"/>
  <c r="T125" i="36"/>
  <c r="S125" i="36"/>
  <c r="R125" i="36"/>
  <c r="Q125" i="36"/>
  <c r="P125" i="36"/>
  <c r="O125" i="36"/>
  <c r="N125" i="36"/>
  <c r="M125" i="36"/>
  <c r="L125" i="36"/>
  <c r="K125" i="36"/>
  <c r="I125" i="36"/>
  <c r="H125" i="36"/>
  <c r="G125" i="36"/>
  <c r="F125" i="36"/>
  <c r="I124" i="36"/>
  <c r="H124" i="36"/>
  <c r="G124" i="36"/>
  <c r="F124" i="36"/>
  <c r="AJ122" i="36"/>
  <c r="AI122" i="36"/>
  <c r="AH122" i="36"/>
  <c r="AG122" i="36"/>
  <c r="AF122" i="36"/>
  <c r="AE122" i="36"/>
  <c r="AD122" i="36"/>
  <c r="AC122" i="36"/>
  <c r="AB122" i="36"/>
  <c r="AA122" i="36"/>
  <c r="Z122" i="36"/>
  <c r="Y122" i="36"/>
  <c r="X122" i="36"/>
  <c r="W122" i="36"/>
  <c r="V122" i="36"/>
  <c r="U122" i="36"/>
  <c r="T122" i="36"/>
  <c r="S122" i="36"/>
  <c r="R122" i="36"/>
  <c r="Q122" i="36"/>
  <c r="P122" i="36"/>
  <c r="O122" i="36"/>
  <c r="N122" i="36"/>
  <c r="M122" i="36"/>
  <c r="L122" i="36"/>
  <c r="K122" i="36"/>
  <c r="I122" i="36"/>
  <c r="H122" i="36"/>
  <c r="G122" i="36"/>
  <c r="F122" i="36"/>
  <c r="I121" i="36"/>
  <c r="H121" i="36"/>
  <c r="G121" i="36"/>
  <c r="F121" i="36"/>
  <c r="AJ119" i="36"/>
  <c r="AI119" i="36"/>
  <c r="AH119" i="36"/>
  <c r="AG119" i="36"/>
  <c r="AF119" i="36"/>
  <c r="AE119" i="36"/>
  <c r="AD119" i="36"/>
  <c r="AC119" i="36"/>
  <c r="AB119" i="36"/>
  <c r="AA119" i="36"/>
  <c r="Z119" i="36"/>
  <c r="Y119" i="36"/>
  <c r="X119" i="36"/>
  <c r="W119" i="36"/>
  <c r="V119" i="36"/>
  <c r="U119" i="36"/>
  <c r="T119" i="36"/>
  <c r="S119" i="36"/>
  <c r="R119" i="36"/>
  <c r="Q119" i="36"/>
  <c r="P119" i="36"/>
  <c r="O119" i="36"/>
  <c r="N119" i="36"/>
  <c r="M119" i="36"/>
  <c r="L119" i="36"/>
  <c r="K119" i="36"/>
  <c r="I119" i="36"/>
  <c r="H119" i="36"/>
  <c r="G119" i="36"/>
  <c r="F119" i="36"/>
  <c r="I118" i="36"/>
  <c r="H118" i="36"/>
  <c r="G118" i="36"/>
  <c r="F118" i="36"/>
  <c r="AJ116" i="36"/>
  <c r="AI116" i="36"/>
  <c r="AH116" i="36"/>
  <c r="AG116" i="36"/>
  <c r="AF116" i="36"/>
  <c r="AE116" i="36"/>
  <c r="AD116" i="36"/>
  <c r="AC116" i="36"/>
  <c r="AB116" i="36"/>
  <c r="AA116" i="36"/>
  <c r="Z116" i="36"/>
  <c r="Y116" i="36"/>
  <c r="X116" i="36"/>
  <c r="W116" i="36"/>
  <c r="V116" i="36"/>
  <c r="U116" i="36"/>
  <c r="T116" i="36"/>
  <c r="S116" i="36"/>
  <c r="R116" i="36"/>
  <c r="Q116" i="36"/>
  <c r="P116" i="36"/>
  <c r="O116" i="36"/>
  <c r="N116" i="36"/>
  <c r="M116" i="36"/>
  <c r="L116" i="36"/>
  <c r="K116" i="36"/>
  <c r="I116" i="36"/>
  <c r="H116" i="36"/>
  <c r="G116" i="36"/>
  <c r="F116" i="36"/>
  <c r="I115" i="36"/>
  <c r="H115" i="36"/>
  <c r="G115" i="36"/>
  <c r="F115" i="36"/>
  <c r="AJ113" i="36"/>
  <c r="AI113" i="36"/>
  <c r="AH113" i="36"/>
  <c r="AG113" i="36"/>
  <c r="AF113" i="36"/>
  <c r="AE113" i="36"/>
  <c r="AD113" i="36"/>
  <c r="AC113" i="36"/>
  <c r="AB113" i="36"/>
  <c r="AA113" i="36"/>
  <c r="Z113" i="36"/>
  <c r="Y113" i="36"/>
  <c r="X113" i="36"/>
  <c r="W113" i="36"/>
  <c r="V113" i="36"/>
  <c r="U113" i="36"/>
  <c r="T113" i="36"/>
  <c r="S113" i="36"/>
  <c r="R113" i="36"/>
  <c r="Q113" i="36"/>
  <c r="P113" i="36"/>
  <c r="O113" i="36"/>
  <c r="N113" i="36"/>
  <c r="M113" i="36"/>
  <c r="L113" i="36"/>
  <c r="K113" i="36"/>
  <c r="I113" i="36"/>
  <c r="H113" i="36"/>
  <c r="G113" i="36"/>
  <c r="F113" i="36"/>
  <c r="I112" i="36"/>
  <c r="H112" i="36"/>
  <c r="G112" i="36"/>
  <c r="F112" i="36"/>
  <c r="AJ110" i="36"/>
  <c r="AI110" i="36"/>
  <c r="AH110" i="36"/>
  <c r="AG110" i="36"/>
  <c r="AF110" i="36"/>
  <c r="AE110" i="36"/>
  <c r="AD110" i="36"/>
  <c r="AC110" i="36"/>
  <c r="AB110" i="36"/>
  <c r="AA110" i="36"/>
  <c r="Z110" i="36"/>
  <c r="Y110" i="36"/>
  <c r="X110" i="36"/>
  <c r="W110" i="36"/>
  <c r="V110" i="36"/>
  <c r="U110" i="36"/>
  <c r="T110" i="36"/>
  <c r="S110" i="36"/>
  <c r="R110" i="36"/>
  <c r="Q110" i="36"/>
  <c r="P110" i="36"/>
  <c r="O110" i="36"/>
  <c r="N110" i="36"/>
  <c r="M110" i="36"/>
  <c r="L110" i="36"/>
  <c r="K110" i="36"/>
  <c r="I110" i="36"/>
  <c r="H110" i="36"/>
  <c r="G110" i="36"/>
  <c r="F110" i="36"/>
  <c r="I109" i="36"/>
  <c r="H109" i="36"/>
  <c r="G109" i="36"/>
  <c r="F109" i="36"/>
  <c r="AJ107" i="36"/>
  <c r="AI107" i="36"/>
  <c r="AH107" i="36"/>
  <c r="AG107" i="36"/>
  <c r="AF107" i="36"/>
  <c r="AE107" i="36"/>
  <c r="AD107" i="36"/>
  <c r="AC107" i="36"/>
  <c r="AB107" i="36"/>
  <c r="AA107" i="36"/>
  <c r="Z107" i="36"/>
  <c r="Y107" i="36"/>
  <c r="X107" i="36"/>
  <c r="W107" i="36"/>
  <c r="V107" i="36"/>
  <c r="U107" i="36"/>
  <c r="T107" i="36"/>
  <c r="S107" i="36"/>
  <c r="R107" i="36"/>
  <c r="Q107" i="36"/>
  <c r="P107" i="36"/>
  <c r="O107" i="36"/>
  <c r="N107" i="36"/>
  <c r="M107" i="36"/>
  <c r="L107" i="36"/>
  <c r="K107" i="36"/>
  <c r="I107" i="36"/>
  <c r="H107" i="36"/>
  <c r="G107" i="36"/>
  <c r="F107" i="36"/>
  <c r="I106" i="36"/>
  <c r="H106" i="36"/>
  <c r="G106" i="36"/>
  <c r="F106" i="36"/>
  <c r="AJ104" i="36"/>
  <c r="AI104" i="36"/>
  <c r="AH104" i="36"/>
  <c r="AG104" i="36"/>
  <c r="AF104" i="36"/>
  <c r="AE104" i="36"/>
  <c r="AD104" i="36"/>
  <c r="AC104" i="36"/>
  <c r="AB104" i="36"/>
  <c r="AA104" i="36"/>
  <c r="Z104" i="36"/>
  <c r="Y104" i="36"/>
  <c r="X104" i="36"/>
  <c r="W104" i="36"/>
  <c r="V104" i="36"/>
  <c r="U104" i="36"/>
  <c r="T104" i="36"/>
  <c r="S104" i="36"/>
  <c r="R104" i="36"/>
  <c r="Q104" i="36"/>
  <c r="P104" i="36"/>
  <c r="O104" i="36"/>
  <c r="N104" i="36"/>
  <c r="M104" i="36"/>
  <c r="L104" i="36"/>
  <c r="K104" i="36"/>
  <c r="I104" i="36"/>
  <c r="H104" i="36"/>
  <c r="G104" i="36"/>
  <c r="F104" i="36"/>
  <c r="I103" i="36"/>
  <c r="H103" i="36"/>
  <c r="G103" i="36"/>
  <c r="F103" i="36"/>
  <c r="AJ101" i="36"/>
  <c r="AI101" i="36"/>
  <c r="AH101" i="36"/>
  <c r="AG101" i="36"/>
  <c r="AF101" i="36"/>
  <c r="AE101" i="36"/>
  <c r="AD101" i="36"/>
  <c r="AC101" i="36"/>
  <c r="AB101" i="36"/>
  <c r="AA101" i="36"/>
  <c r="Z101" i="36"/>
  <c r="Y101" i="36"/>
  <c r="X101" i="36"/>
  <c r="W101" i="36"/>
  <c r="V101" i="36"/>
  <c r="U101" i="36"/>
  <c r="T101" i="36"/>
  <c r="S101" i="36"/>
  <c r="R101" i="36"/>
  <c r="Q101" i="36"/>
  <c r="P101" i="36"/>
  <c r="O101" i="36"/>
  <c r="N101" i="36"/>
  <c r="M101" i="36"/>
  <c r="L101" i="36"/>
  <c r="K101" i="36"/>
  <c r="I101" i="36"/>
  <c r="H101" i="36"/>
  <c r="G101" i="36"/>
  <c r="F101" i="36"/>
  <c r="I100" i="36"/>
  <c r="H100" i="36"/>
  <c r="G100" i="36"/>
  <c r="F100" i="36"/>
  <c r="AJ98" i="36"/>
  <c r="AI98" i="36"/>
  <c r="AH98" i="36"/>
  <c r="AG98" i="36"/>
  <c r="AF98" i="36"/>
  <c r="AE98" i="36"/>
  <c r="AD98" i="36"/>
  <c r="AC98" i="36"/>
  <c r="AB98" i="36"/>
  <c r="AA98" i="36"/>
  <c r="Z98" i="36"/>
  <c r="Y98" i="36"/>
  <c r="X98" i="36"/>
  <c r="W98" i="36"/>
  <c r="V98" i="36"/>
  <c r="U98" i="36"/>
  <c r="T98" i="36"/>
  <c r="S98" i="36"/>
  <c r="R98" i="36"/>
  <c r="Q98" i="36"/>
  <c r="P98" i="36"/>
  <c r="O98" i="36"/>
  <c r="N98" i="36"/>
  <c r="M98" i="36"/>
  <c r="L98" i="36"/>
  <c r="K98" i="36"/>
  <c r="I98" i="36"/>
  <c r="H98" i="36"/>
  <c r="G98" i="36"/>
  <c r="F98" i="36"/>
  <c r="I97" i="36"/>
  <c r="H97" i="36"/>
  <c r="G97" i="36"/>
  <c r="F97" i="36"/>
  <c r="AJ95" i="36"/>
  <c r="AI95" i="36"/>
  <c r="AH95" i="36"/>
  <c r="AG95" i="36"/>
  <c r="AF95" i="36"/>
  <c r="AE95" i="36"/>
  <c r="AD95" i="36"/>
  <c r="AC95" i="36"/>
  <c r="AB95" i="36"/>
  <c r="AA95" i="36"/>
  <c r="Z95" i="36"/>
  <c r="Y95" i="36"/>
  <c r="X95" i="36"/>
  <c r="W95" i="36"/>
  <c r="V95" i="36"/>
  <c r="U95" i="36"/>
  <c r="T95" i="36"/>
  <c r="S95" i="36"/>
  <c r="R95" i="36"/>
  <c r="Q95" i="36"/>
  <c r="P95" i="36"/>
  <c r="O95" i="36"/>
  <c r="N95" i="36"/>
  <c r="M95" i="36"/>
  <c r="L95" i="36"/>
  <c r="K95" i="36"/>
  <c r="I95" i="36"/>
  <c r="H95" i="36"/>
  <c r="G95" i="36"/>
  <c r="F95" i="36"/>
  <c r="I94" i="36"/>
  <c r="H94" i="36"/>
  <c r="G94" i="36"/>
  <c r="F94" i="36"/>
  <c r="AJ92" i="36"/>
  <c r="AI92" i="36"/>
  <c r="AH92" i="36"/>
  <c r="AG92" i="36"/>
  <c r="AF92" i="36"/>
  <c r="AE92" i="36"/>
  <c r="AD92" i="36"/>
  <c r="AC92" i="36"/>
  <c r="AB92" i="36"/>
  <c r="AA92" i="36"/>
  <c r="Z92" i="36"/>
  <c r="Y92" i="36"/>
  <c r="X92" i="36"/>
  <c r="W92" i="36"/>
  <c r="V92" i="36"/>
  <c r="U92" i="36"/>
  <c r="T92" i="36"/>
  <c r="S92" i="36"/>
  <c r="R92" i="36"/>
  <c r="Q92" i="36"/>
  <c r="P92" i="36"/>
  <c r="O92" i="36"/>
  <c r="N92" i="36"/>
  <c r="M92" i="36"/>
  <c r="L92" i="36"/>
  <c r="K92" i="36"/>
  <c r="I92" i="36"/>
  <c r="H92" i="36"/>
  <c r="G92" i="36"/>
  <c r="F92" i="36"/>
  <c r="I91" i="36"/>
  <c r="H91" i="36"/>
  <c r="G91" i="36"/>
  <c r="F91" i="36"/>
  <c r="AJ89" i="36"/>
  <c r="AI89" i="36"/>
  <c r="AH89" i="36"/>
  <c r="AG89" i="36"/>
  <c r="AF89" i="36"/>
  <c r="AE89" i="36"/>
  <c r="AD89" i="36"/>
  <c r="AC89" i="36"/>
  <c r="AB89" i="36"/>
  <c r="AA89" i="36"/>
  <c r="Z89" i="36"/>
  <c r="Y89" i="36"/>
  <c r="X89" i="36"/>
  <c r="W89" i="36"/>
  <c r="V89" i="36"/>
  <c r="U89" i="36"/>
  <c r="T89" i="36"/>
  <c r="S89" i="36"/>
  <c r="R89" i="36"/>
  <c r="Q89" i="36"/>
  <c r="P89" i="36"/>
  <c r="O89" i="36"/>
  <c r="N89" i="36"/>
  <c r="M89" i="36"/>
  <c r="L89" i="36"/>
  <c r="K89" i="36"/>
  <c r="I89" i="36"/>
  <c r="H89" i="36"/>
  <c r="G89" i="36"/>
  <c r="F89" i="36"/>
  <c r="I88" i="36"/>
  <c r="H88" i="36"/>
  <c r="G88" i="36"/>
  <c r="F88" i="36"/>
  <c r="AJ86" i="36"/>
  <c r="AI86" i="36"/>
  <c r="AH86" i="36"/>
  <c r="AG86" i="36"/>
  <c r="AF86" i="36"/>
  <c r="AE86" i="36"/>
  <c r="AD86" i="36"/>
  <c r="AC86" i="36"/>
  <c r="AB86" i="36"/>
  <c r="AA86" i="36"/>
  <c r="Z86" i="36"/>
  <c r="Y86" i="36"/>
  <c r="X86" i="36"/>
  <c r="W86" i="36"/>
  <c r="V86" i="36"/>
  <c r="U86" i="36"/>
  <c r="T86" i="36"/>
  <c r="S86" i="36"/>
  <c r="R86" i="36"/>
  <c r="Q86" i="36"/>
  <c r="P86" i="36"/>
  <c r="O86" i="36"/>
  <c r="N86" i="36"/>
  <c r="M86" i="36"/>
  <c r="L86" i="36"/>
  <c r="K86" i="36"/>
  <c r="I86" i="36"/>
  <c r="H86" i="36"/>
  <c r="G86" i="36"/>
  <c r="F86" i="36"/>
  <c r="I85" i="36"/>
  <c r="H85" i="36"/>
  <c r="G85" i="36"/>
  <c r="F85" i="36"/>
  <c r="AJ83" i="36"/>
  <c r="AI83" i="36"/>
  <c r="AH83" i="36"/>
  <c r="AG83" i="36"/>
  <c r="AF83" i="36"/>
  <c r="AE83" i="36"/>
  <c r="AD83" i="36"/>
  <c r="AC83" i="36"/>
  <c r="AB83" i="36"/>
  <c r="AA83" i="36"/>
  <c r="Z83" i="36"/>
  <c r="Y83" i="36"/>
  <c r="X83" i="36"/>
  <c r="W83" i="36"/>
  <c r="V83" i="36"/>
  <c r="U83" i="36"/>
  <c r="T83" i="36"/>
  <c r="S83" i="36"/>
  <c r="R83" i="36"/>
  <c r="Q83" i="36"/>
  <c r="P83" i="36"/>
  <c r="O83" i="36"/>
  <c r="N83" i="36"/>
  <c r="M83" i="36"/>
  <c r="L83" i="36"/>
  <c r="K83" i="36"/>
  <c r="I83" i="36"/>
  <c r="H83" i="36"/>
  <c r="G83" i="36"/>
  <c r="F83" i="36"/>
  <c r="I82" i="36"/>
  <c r="H82" i="36"/>
  <c r="G82" i="36"/>
  <c r="F82" i="36"/>
  <c r="AJ80" i="36"/>
  <c r="AI80" i="36"/>
  <c r="AH80" i="36"/>
  <c r="AG80" i="36"/>
  <c r="AF80" i="36"/>
  <c r="AE80" i="36"/>
  <c r="AD80" i="36"/>
  <c r="AC80" i="36"/>
  <c r="AB80" i="36"/>
  <c r="AA80" i="36"/>
  <c r="Z80" i="36"/>
  <c r="Y80" i="36"/>
  <c r="X80" i="36"/>
  <c r="W80" i="36"/>
  <c r="V80" i="36"/>
  <c r="U80" i="36"/>
  <c r="T80" i="36"/>
  <c r="S80" i="36"/>
  <c r="R80" i="36"/>
  <c r="Q80" i="36"/>
  <c r="P80" i="36"/>
  <c r="O80" i="36"/>
  <c r="N80" i="36"/>
  <c r="M80" i="36"/>
  <c r="L80" i="36"/>
  <c r="K80" i="36"/>
  <c r="I80" i="36"/>
  <c r="H80" i="36"/>
  <c r="G80" i="36"/>
  <c r="F80" i="36"/>
  <c r="I79" i="36"/>
  <c r="H79" i="36"/>
  <c r="G79" i="36"/>
  <c r="F79" i="36"/>
  <c r="AJ77" i="36"/>
  <c r="AI77" i="36"/>
  <c r="AH77" i="36"/>
  <c r="AG77" i="36"/>
  <c r="AF77" i="36"/>
  <c r="AE77" i="36"/>
  <c r="AD77" i="36"/>
  <c r="AC77" i="36"/>
  <c r="AB77" i="36"/>
  <c r="AA77" i="36"/>
  <c r="Z77" i="36"/>
  <c r="Y77" i="36"/>
  <c r="X77" i="36"/>
  <c r="W77" i="36"/>
  <c r="V77" i="36"/>
  <c r="U77" i="36"/>
  <c r="T77" i="36"/>
  <c r="S77" i="36"/>
  <c r="R77" i="36"/>
  <c r="Q77" i="36"/>
  <c r="P77" i="36"/>
  <c r="O77" i="36"/>
  <c r="N77" i="36"/>
  <c r="M77" i="36"/>
  <c r="L77" i="36"/>
  <c r="K77" i="36"/>
  <c r="I77" i="36"/>
  <c r="H77" i="36"/>
  <c r="G77" i="36"/>
  <c r="F77" i="36"/>
  <c r="I76" i="36"/>
  <c r="H76" i="36"/>
  <c r="G76" i="36"/>
  <c r="F76" i="36"/>
  <c r="AJ74" i="36"/>
  <c r="AI74" i="36"/>
  <c r="AH74" i="36"/>
  <c r="AG74" i="36"/>
  <c r="AF74" i="36"/>
  <c r="AE74" i="36"/>
  <c r="AD74" i="36"/>
  <c r="AC74" i="36"/>
  <c r="AB74" i="36"/>
  <c r="AA74" i="36"/>
  <c r="Z74" i="36"/>
  <c r="Y74" i="36"/>
  <c r="X74" i="36"/>
  <c r="W74" i="36"/>
  <c r="V74" i="36"/>
  <c r="U74" i="36"/>
  <c r="T74" i="36"/>
  <c r="S74" i="36"/>
  <c r="R74" i="36"/>
  <c r="Q74" i="36"/>
  <c r="P74" i="36"/>
  <c r="O74" i="36"/>
  <c r="N74" i="36"/>
  <c r="M74" i="36"/>
  <c r="L74" i="36"/>
  <c r="K74" i="36"/>
  <c r="I74" i="36"/>
  <c r="H74" i="36"/>
  <c r="G74" i="36"/>
  <c r="F74" i="36"/>
  <c r="I73" i="36"/>
  <c r="H73" i="36"/>
  <c r="G73" i="36"/>
  <c r="F73" i="36"/>
  <c r="AJ71" i="36"/>
  <c r="AI71" i="36"/>
  <c r="AH71" i="36"/>
  <c r="AG71" i="36"/>
  <c r="AF71" i="36"/>
  <c r="AE71" i="36"/>
  <c r="AD71" i="36"/>
  <c r="AC71" i="36"/>
  <c r="AB71" i="36"/>
  <c r="AA71" i="36"/>
  <c r="Z71" i="36"/>
  <c r="Y71" i="36"/>
  <c r="X71" i="36"/>
  <c r="W71" i="36"/>
  <c r="V71" i="36"/>
  <c r="U71" i="36"/>
  <c r="T71" i="36"/>
  <c r="S71" i="36"/>
  <c r="R71" i="36"/>
  <c r="Q71" i="36"/>
  <c r="P71" i="36"/>
  <c r="O71" i="36"/>
  <c r="N71" i="36"/>
  <c r="M71" i="36"/>
  <c r="L71" i="36"/>
  <c r="K71" i="36"/>
  <c r="I71" i="36"/>
  <c r="H71" i="36"/>
  <c r="G71" i="36"/>
  <c r="F71" i="36"/>
  <c r="I70" i="36"/>
  <c r="H70" i="36"/>
  <c r="G70" i="36"/>
  <c r="F70" i="36"/>
  <c r="AA445" i="36" l="1"/>
  <c r="AG57" i="12"/>
  <c r="AF57" i="12"/>
  <c r="AE57" i="12"/>
  <c r="AD57" i="12"/>
  <c r="AC57" i="12"/>
  <c r="AB57" i="12"/>
  <c r="AA57" i="12"/>
  <c r="T53" i="12"/>
  <c r="S53" i="12"/>
  <c r="R53" i="12"/>
  <c r="Q53" i="12"/>
  <c r="P53" i="12"/>
  <c r="O53" i="12"/>
  <c r="N53" i="12"/>
  <c r="M53" i="12"/>
  <c r="L53" i="12"/>
  <c r="K53" i="12"/>
  <c r="D98" i="117"/>
  <c r="D97" i="117"/>
  <c r="D96" i="117"/>
  <c r="E25" i="117"/>
  <c r="E22" i="117"/>
  <c r="C130" i="12"/>
  <c r="C117" i="12"/>
  <c r="AJ130" i="12"/>
  <c r="AJ98" i="117" s="1"/>
  <c r="AI130" i="12"/>
  <c r="AI98" i="117" s="1"/>
  <c r="AH130" i="12"/>
  <c r="AH98" i="117" s="1"/>
  <c r="AG130" i="12"/>
  <c r="AG98" i="117" s="1"/>
  <c r="AF130" i="12"/>
  <c r="AE130" i="12"/>
  <c r="AE98" i="117" s="1"/>
  <c r="AD130" i="12"/>
  <c r="AD98" i="117" s="1"/>
  <c r="AC130" i="12"/>
  <c r="AC98" i="117" s="1"/>
  <c r="AB130" i="12"/>
  <c r="AB98" i="117" s="1"/>
  <c r="AA130" i="12"/>
  <c r="Z130" i="12"/>
  <c r="Y130" i="12"/>
  <c r="Y25" i="117" s="1"/>
  <c r="X130" i="12"/>
  <c r="W130" i="12"/>
  <c r="V130" i="12"/>
  <c r="U130" i="12"/>
  <c r="T130" i="12"/>
  <c r="S130" i="12"/>
  <c r="R130" i="12"/>
  <c r="Q130" i="12"/>
  <c r="P130" i="12"/>
  <c r="O130" i="12"/>
  <c r="N130" i="12"/>
  <c r="M130" i="12"/>
  <c r="L130" i="12"/>
  <c r="K130" i="12"/>
  <c r="AJ131" i="12" l="1"/>
  <c r="AE131" i="12"/>
  <c r="Z131" i="12"/>
  <c r="AE58" i="12"/>
  <c r="AA98" i="117"/>
  <c r="AF98" i="117"/>
  <c r="U13" i="98"/>
  <c r="U23" i="98" s="1"/>
  <c r="BT41" i="90"/>
  <c r="BI41" i="90"/>
  <c r="AX41" i="90"/>
  <c r="AM41" i="90"/>
  <c r="AB41" i="90"/>
  <c r="Q41" i="90"/>
  <c r="C33" i="5"/>
  <c r="Y17" i="30"/>
  <c r="X17" i="30"/>
  <c r="W17" i="30"/>
  <c r="V17" i="30"/>
  <c r="V13" i="98" s="1"/>
  <c r="U17" i="30"/>
  <c r="T17" i="30"/>
  <c r="S17" i="30"/>
  <c r="R17" i="30"/>
  <c r="Q17" i="30"/>
  <c r="P17" i="30"/>
  <c r="O17" i="30"/>
  <c r="N17" i="30"/>
  <c r="M17" i="30"/>
  <c r="L17" i="30"/>
  <c r="K17" i="30"/>
  <c r="AJ75" i="30"/>
  <c r="AJ17" i="30" s="1"/>
  <c r="AI75" i="30"/>
  <c r="AI17" i="30" s="1"/>
  <c r="AI13" i="98" s="1"/>
  <c r="AI23" i="98" s="1"/>
  <c r="AH75" i="30"/>
  <c r="AH17" i="30" s="1"/>
  <c r="AH13" i="98" s="1"/>
  <c r="AH23" i="98" s="1"/>
  <c r="AG75" i="30"/>
  <c r="AG17" i="30" s="1"/>
  <c r="AF75" i="30"/>
  <c r="AE75" i="30"/>
  <c r="AD75" i="30"/>
  <c r="AC75" i="30"/>
  <c r="AB75" i="30"/>
  <c r="AA75" i="30"/>
  <c r="I396" i="56"/>
  <c r="D396" i="56"/>
  <c r="I395" i="56"/>
  <c r="D395" i="56"/>
  <c r="I394" i="56"/>
  <c r="D394" i="56"/>
  <c r="I393" i="56"/>
  <c r="D393" i="56"/>
  <c r="I392" i="56"/>
  <c r="D392" i="56"/>
  <c r="I391" i="56"/>
  <c r="D391" i="56"/>
  <c r="I390" i="56"/>
  <c r="D390" i="56"/>
  <c r="I389" i="56"/>
  <c r="D389" i="56"/>
  <c r="I388" i="56"/>
  <c r="D388" i="56"/>
  <c r="I387" i="56"/>
  <c r="D387" i="56"/>
  <c r="I386" i="56"/>
  <c r="D386" i="56"/>
  <c r="I385" i="56"/>
  <c r="D385" i="56"/>
  <c r="I384" i="56"/>
  <c r="D384" i="56"/>
  <c r="I383" i="56"/>
  <c r="D383" i="56"/>
  <c r="I382" i="56"/>
  <c r="D382" i="56"/>
  <c r="I381" i="56"/>
  <c r="D381" i="56"/>
  <c r="I380" i="56"/>
  <c r="D380" i="56"/>
  <c r="I379" i="56"/>
  <c r="D379" i="56"/>
  <c r="I378" i="56"/>
  <c r="D378" i="56"/>
  <c r="I377" i="56"/>
  <c r="D377" i="56"/>
  <c r="I376" i="56"/>
  <c r="D376" i="56"/>
  <c r="I375" i="56"/>
  <c r="D375" i="56"/>
  <c r="I374" i="56"/>
  <c r="D374" i="56"/>
  <c r="I373" i="56"/>
  <c r="D373" i="56"/>
  <c r="I372" i="56"/>
  <c r="D372" i="56"/>
  <c r="I371" i="56"/>
  <c r="D371" i="56"/>
  <c r="I370" i="56"/>
  <c r="D370" i="56"/>
  <c r="I369" i="56"/>
  <c r="D369" i="56"/>
  <c r="I368" i="56"/>
  <c r="D368" i="56"/>
  <c r="I367" i="56"/>
  <c r="D367" i="56"/>
  <c r="I366" i="56"/>
  <c r="D366" i="56"/>
  <c r="I365" i="56"/>
  <c r="D365" i="56"/>
  <c r="I364" i="56"/>
  <c r="D364" i="56"/>
  <c r="I363" i="56"/>
  <c r="D363" i="56"/>
  <c r="I362" i="56"/>
  <c r="D362" i="56"/>
  <c r="I361" i="56"/>
  <c r="D361" i="56"/>
  <c r="I360" i="56"/>
  <c r="D360" i="56"/>
  <c r="I359" i="56"/>
  <c r="D359" i="56"/>
  <c r="I358" i="56"/>
  <c r="D358" i="56"/>
  <c r="I357" i="56"/>
  <c r="D357" i="56"/>
  <c r="I356" i="56"/>
  <c r="D356" i="56"/>
  <c r="I355" i="56"/>
  <c r="D355" i="56"/>
  <c r="I354" i="56"/>
  <c r="D354" i="56"/>
  <c r="I353" i="56"/>
  <c r="D353" i="56"/>
  <c r="I352" i="56"/>
  <c r="D352" i="56"/>
  <c r="I351" i="56"/>
  <c r="D351" i="56"/>
  <c r="I350" i="56"/>
  <c r="D350" i="56"/>
  <c r="I349" i="56"/>
  <c r="D349" i="56"/>
  <c r="I348" i="56"/>
  <c r="D348" i="56"/>
  <c r="I347" i="56"/>
  <c r="D347" i="56"/>
  <c r="I346" i="56"/>
  <c r="D346" i="56"/>
  <c r="I345" i="56"/>
  <c r="D345" i="56"/>
  <c r="I344" i="56"/>
  <c r="D344" i="56"/>
  <c r="I343" i="56"/>
  <c r="D343" i="56"/>
  <c r="I342" i="56"/>
  <c r="D342" i="56"/>
  <c r="I341" i="56"/>
  <c r="D341" i="56"/>
  <c r="I340" i="56"/>
  <c r="D340" i="56"/>
  <c r="I339" i="56"/>
  <c r="D339" i="56"/>
  <c r="I338" i="56"/>
  <c r="D338" i="56"/>
  <c r="I337" i="56"/>
  <c r="D337" i="56"/>
  <c r="I336" i="56"/>
  <c r="D336" i="56"/>
  <c r="I335" i="56"/>
  <c r="D335" i="56"/>
  <c r="I334" i="56"/>
  <c r="D334" i="56"/>
  <c r="I333" i="56"/>
  <c r="D333" i="56"/>
  <c r="I332" i="56"/>
  <c r="D332" i="56"/>
  <c r="I331" i="56"/>
  <c r="D331" i="56"/>
  <c r="I330" i="56"/>
  <c r="D330" i="56"/>
  <c r="I329" i="56"/>
  <c r="D329" i="56"/>
  <c r="I328" i="56"/>
  <c r="D328" i="56"/>
  <c r="I327" i="56"/>
  <c r="D327" i="56"/>
  <c r="I326" i="56"/>
  <c r="D326" i="56"/>
  <c r="I325" i="56"/>
  <c r="D325" i="56"/>
  <c r="I324" i="56"/>
  <c r="D324" i="56"/>
  <c r="I323" i="56"/>
  <c r="D323" i="56"/>
  <c r="I322" i="56"/>
  <c r="D322" i="56"/>
  <c r="I321" i="56"/>
  <c r="D321" i="56"/>
  <c r="I320" i="56"/>
  <c r="D320" i="56"/>
  <c r="I319" i="56"/>
  <c r="D319" i="56"/>
  <c r="I318" i="56"/>
  <c r="D318" i="56"/>
  <c r="I317" i="56"/>
  <c r="D317" i="56"/>
  <c r="I316" i="56"/>
  <c r="D316" i="56"/>
  <c r="I315" i="56"/>
  <c r="D315" i="56"/>
  <c r="I314" i="56"/>
  <c r="D314" i="56"/>
  <c r="I313" i="56"/>
  <c r="D313" i="56"/>
  <c r="I312" i="56"/>
  <c r="D312" i="56"/>
  <c r="I311" i="56"/>
  <c r="D311" i="56"/>
  <c r="I310" i="56"/>
  <c r="D310" i="56"/>
  <c r="I309" i="56"/>
  <c r="D309" i="56"/>
  <c r="I308" i="56"/>
  <c r="D308" i="56"/>
  <c r="I307" i="56"/>
  <c r="D307" i="56"/>
  <c r="I306" i="56"/>
  <c r="D306" i="56"/>
  <c r="I305" i="56"/>
  <c r="D305" i="56"/>
  <c r="I304" i="56"/>
  <c r="D304" i="56"/>
  <c r="I303" i="56"/>
  <c r="D303" i="56"/>
  <c r="I302" i="56"/>
  <c r="D302" i="56"/>
  <c r="I301" i="56"/>
  <c r="D301" i="56"/>
  <c r="I300" i="56"/>
  <c r="D300" i="56"/>
  <c r="I299" i="56"/>
  <c r="D299" i="56"/>
  <c r="I298" i="56"/>
  <c r="D298" i="56"/>
  <c r="I297" i="56"/>
  <c r="D297" i="56"/>
  <c r="I296" i="56"/>
  <c r="D296" i="56"/>
  <c r="I295" i="56"/>
  <c r="D295" i="56"/>
  <c r="I294" i="56"/>
  <c r="D294" i="56"/>
  <c r="I293" i="56"/>
  <c r="D293" i="56"/>
  <c r="I292" i="56"/>
  <c r="D292" i="56"/>
  <c r="I291" i="56"/>
  <c r="D291" i="56"/>
  <c r="I290" i="56"/>
  <c r="D290" i="56"/>
  <c r="I289" i="56"/>
  <c r="D289" i="56"/>
  <c r="I288" i="56"/>
  <c r="D288" i="56"/>
  <c r="I287" i="56"/>
  <c r="D287" i="56"/>
  <c r="I286" i="56"/>
  <c r="D286" i="56"/>
  <c r="I285" i="56"/>
  <c r="D285" i="56"/>
  <c r="I284" i="56"/>
  <c r="D284" i="56"/>
  <c r="I283" i="56"/>
  <c r="D283" i="56"/>
  <c r="I282" i="56"/>
  <c r="D282" i="56"/>
  <c r="I281" i="56"/>
  <c r="D281" i="56"/>
  <c r="I280" i="56"/>
  <c r="D280" i="56"/>
  <c r="I279" i="56"/>
  <c r="D279" i="56"/>
  <c r="I278" i="56"/>
  <c r="D278" i="56"/>
  <c r="I277" i="56"/>
  <c r="D277" i="56"/>
  <c r="I276" i="56"/>
  <c r="D276" i="56"/>
  <c r="I275" i="56"/>
  <c r="D275" i="56"/>
  <c r="I274" i="56"/>
  <c r="D274" i="56"/>
  <c r="I273" i="56"/>
  <c r="D273" i="56"/>
  <c r="I272" i="56"/>
  <c r="D272" i="56"/>
  <c r="I271" i="56"/>
  <c r="D271" i="56"/>
  <c r="I270" i="56"/>
  <c r="D270" i="56"/>
  <c r="I269" i="56"/>
  <c r="D269" i="56"/>
  <c r="I268" i="56"/>
  <c r="D268" i="56"/>
  <c r="I267" i="56"/>
  <c r="D267" i="56"/>
  <c r="I266" i="56"/>
  <c r="D266" i="56"/>
  <c r="I265" i="56"/>
  <c r="D265" i="56"/>
  <c r="I264" i="56"/>
  <c r="D264" i="56"/>
  <c r="I263" i="56"/>
  <c r="D263" i="56"/>
  <c r="I262" i="56"/>
  <c r="D262" i="56"/>
  <c r="I261" i="56"/>
  <c r="D261" i="56"/>
  <c r="I260" i="56"/>
  <c r="D260" i="56"/>
  <c r="I259" i="56"/>
  <c r="D259" i="56"/>
  <c r="I258" i="56"/>
  <c r="D258" i="56"/>
  <c r="I257" i="56"/>
  <c r="D257" i="56"/>
  <c r="I256" i="56"/>
  <c r="D256" i="56"/>
  <c r="I255" i="56"/>
  <c r="D255" i="56"/>
  <c r="I254" i="56"/>
  <c r="D254" i="56"/>
  <c r="I253" i="56"/>
  <c r="D253" i="56"/>
  <c r="I252" i="56"/>
  <c r="D252" i="56"/>
  <c r="I251" i="56"/>
  <c r="D251" i="56"/>
  <c r="I250" i="56"/>
  <c r="D250" i="56"/>
  <c r="I249" i="56"/>
  <c r="D249" i="56"/>
  <c r="I248" i="56"/>
  <c r="D248" i="56"/>
  <c r="I247" i="56"/>
  <c r="D247" i="56"/>
  <c r="I246" i="56"/>
  <c r="D246" i="56"/>
  <c r="I245" i="56"/>
  <c r="D245" i="56"/>
  <c r="I244" i="56"/>
  <c r="D244" i="56"/>
  <c r="I243" i="56"/>
  <c r="D243" i="56"/>
  <c r="I242" i="56"/>
  <c r="D242" i="56"/>
  <c r="I241" i="56"/>
  <c r="D241" i="56"/>
  <c r="I240" i="56"/>
  <c r="D240" i="56"/>
  <c r="I239" i="56"/>
  <c r="D239" i="56"/>
  <c r="I238" i="56"/>
  <c r="D238" i="56"/>
  <c r="I237" i="56"/>
  <c r="D237" i="56"/>
  <c r="I236" i="56"/>
  <c r="D236" i="56"/>
  <c r="I235" i="56"/>
  <c r="D235" i="56"/>
  <c r="I234" i="56"/>
  <c r="D234" i="56"/>
  <c r="I233" i="56"/>
  <c r="D233" i="56"/>
  <c r="I232" i="56"/>
  <c r="D232" i="56"/>
  <c r="I231" i="56"/>
  <c r="D231" i="56"/>
  <c r="I230" i="56"/>
  <c r="D230" i="56"/>
  <c r="I229" i="56"/>
  <c r="D229" i="56"/>
  <c r="I228" i="56"/>
  <c r="D228" i="56"/>
  <c r="I227" i="56"/>
  <c r="D227" i="56"/>
  <c r="I226" i="56"/>
  <c r="D226" i="56"/>
  <c r="I225" i="56"/>
  <c r="D225" i="56"/>
  <c r="I224" i="56"/>
  <c r="D224" i="56"/>
  <c r="I223" i="56"/>
  <c r="D223" i="56"/>
  <c r="I222" i="56"/>
  <c r="D222" i="56"/>
  <c r="I221" i="56"/>
  <c r="D221" i="56"/>
  <c r="I220" i="56"/>
  <c r="D220" i="56"/>
  <c r="I219" i="56"/>
  <c r="D219" i="56"/>
  <c r="I218" i="56"/>
  <c r="D218" i="56"/>
  <c r="I217" i="56"/>
  <c r="D217" i="56"/>
  <c r="I216" i="56"/>
  <c r="D216" i="56"/>
  <c r="I215" i="56"/>
  <c r="D215" i="56"/>
  <c r="I214" i="56"/>
  <c r="D214" i="56"/>
  <c r="I213" i="56"/>
  <c r="D213" i="56"/>
  <c r="I212" i="56"/>
  <c r="D212" i="56"/>
  <c r="I211" i="56"/>
  <c r="D211" i="56"/>
  <c r="I210" i="56"/>
  <c r="D210" i="56"/>
  <c r="I209" i="56"/>
  <c r="D209" i="56"/>
  <c r="I208" i="56"/>
  <c r="D208" i="56"/>
  <c r="I207" i="56"/>
  <c r="D207" i="56"/>
  <c r="I206" i="56"/>
  <c r="D206" i="56"/>
  <c r="I205" i="56"/>
  <c r="D205" i="56"/>
  <c r="I204" i="56"/>
  <c r="D204" i="56"/>
  <c r="I203" i="56"/>
  <c r="D203" i="56"/>
  <c r="I202" i="56"/>
  <c r="D202" i="56"/>
  <c r="I201" i="56"/>
  <c r="D201" i="56"/>
  <c r="I200" i="56"/>
  <c r="D200" i="56"/>
  <c r="I199" i="56"/>
  <c r="D199" i="56"/>
  <c r="I198" i="56"/>
  <c r="D198" i="56"/>
  <c r="I197" i="56"/>
  <c r="D197" i="56"/>
  <c r="I196" i="56"/>
  <c r="D196" i="56"/>
  <c r="I195" i="56"/>
  <c r="D195" i="56"/>
  <c r="I194" i="56"/>
  <c r="D194" i="56"/>
  <c r="I193" i="56"/>
  <c r="D193" i="56"/>
  <c r="I192" i="56"/>
  <c r="D192" i="56"/>
  <c r="I191" i="56"/>
  <c r="D191" i="56"/>
  <c r="I190" i="56"/>
  <c r="D190" i="56"/>
  <c r="I189" i="56"/>
  <c r="D189" i="56"/>
  <c r="I188" i="56"/>
  <c r="D188" i="56"/>
  <c r="I187" i="56"/>
  <c r="D187" i="56"/>
  <c r="I186" i="56"/>
  <c r="D186" i="56"/>
  <c r="I185" i="56"/>
  <c r="D185" i="56"/>
  <c r="I184" i="56"/>
  <c r="D184" i="56"/>
  <c r="I183" i="56"/>
  <c r="D183" i="56"/>
  <c r="I182" i="56"/>
  <c r="D182" i="56"/>
  <c r="I181" i="56"/>
  <c r="D181" i="56"/>
  <c r="I180" i="56"/>
  <c r="D180" i="56"/>
  <c r="I179" i="56"/>
  <c r="D179" i="56"/>
  <c r="I178" i="56"/>
  <c r="D178" i="56"/>
  <c r="I177" i="56"/>
  <c r="D177" i="56"/>
  <c r="I176" i="56"/>
  <c r="D176" i="56"/>
  <c r="I175" i="56"/>
  <c r="D175" i="56"/>
  <c r="I174" i="56"/>
  <c r="D174" i="56"/>
  <c r="I173" i="56"/>
  <c r="D173" i="56"/>
  <c r="I172" i="56"/>
  <c r="D172" i="56"/>
  <c r="I171" i="56"/>
  <c r="D171" i="56"/>
  <c r="I170" i="56"/>
  <c r="D170" i="56"/>
  <c r="I169" i="56"/>
  <c r="D169" i="56"/>
  <c r="I168" i="56"/>
  <c r="D168" i="56"/>
  <c r="I167" i="56"/>
  <c r="D167" i="56"/>
  <c r="I166" i="56"/>
  <c r="D166" i="56"/>
  <c r="I165" i="56"/>
  <c r="D165" i="56"/>
  <c r="I164" i="56"/>
  <c r="D164" i="56"/>
  <c r="I163" i="56"/>
  <c r="D163" i="56"/>
  <c r="I162" i="56"/>
  <c r="D162" i="56"/>
  <c r="I161" i="56"/>
  <c r="D161" i="56"/>
  <c r="I160" i="56"/>
  <c r="D160" i="56"/>
  <c r="I159" i="56"/>
  <c r="D159" i="56"/>
  <c r="I158" i="56"/>
  <c r="D158" i="56"/>
  <c r="I157" i="56"/>
  <c r="D157" i="56"/>
  <c r="I156" i="56"/>
  <c r="D156" i="56"/>
  <c r="I155" i="56"/>
  <c r="D155" i="56"/>
  <c r="I154" i="56"/>
  <c r="D154" i="56"/>
  <c r="I153" i="56"/>
  <c r="D153" i="56"/>
  <c r="I152" i="56"/>
  <c r="D152" i="56"/>
  <c r="I151" i="56"/>
  <c r="D151" i="56"/>
  <c r="I150" i="56"/>
  <c r="D150" i="56"/>
  <c r="I149" i="56"/>
  <c r="D149" i="56"/>
  <c r="I148" i="56"/>
  <c r="D148" i="56"/>
  <c r="I147" i="56"/>
  <c r="D147" i="56"/>
  <c r="I146" i="56"/>
  <c r="D146" i="56"/>
  <c r="I145" i="56"/>
  <c r="D145" i="56"/>
  <c r="I144" i="56"/>
  <c r="D144" i="56"/>
  <c r="I143" i="56"/>
  <c r="D143" i="56"/>
  <c r="I142" i="56"/>
  <c r="D142" i="56"/>
  <c r="I141" i="56"/>
  <c r="D141" i="56"/>
  <c r="I140" i="56"/>
  <c r="D140" i="56"/>
  <c r="I139" i="56"/>
  <c r="D139" i="56"/>
  <c r="I138" i="56"/>
  <c r="D138" i="56"/>
  <c r="I137" i="56"/>
  <c r="D137" i="56"/>
  <c r="I136" i="56"/>
  <c r="D136" i="56"/>
  <c r="I135" i="56"/>
  <c r="D135" i="56"/>
  <c r="I134" i="56"/>
  <c r="D134" i="56"/>
  <c r="I133" i="56"/>
  <c r="D133" i="56"/>
  <c r="I132" i="56"/>
  <c r="D132" i="56"/>
  <c r="I131" i="56"/>
  <c r="D131" i="56"/>
  <c r="I130" i="56"/>
  <c r="D130" i="56"/>
  <c r="I129" i="56"/>
  <c r="D129" i="56"/>
  <c r="I128" i="56"/>
  <c r="D128" i="56"/>
  <c r="I127" i="56"/>
  <c r="D127" i="56"/>
  <c r="I126" i="56"/>
  <c r="D126" i="56"/>
  <c r="I125" i="56"/>
  <c r="D125" i="56"/>
  <c r="I124" i="56"/>
  <c r="D124" i="56"/>
  <c r="I123" i="56"/>
  <c r="D123" i="56"/>
  <c r="I122" i="56"/>
  <c r="D122" i="56"/>
  <c r="I121" i="56"/>
  <c r="D121" i="56"/>
  <c r="I120" i="56"/>
  <c r="D120" i="56"/>
  <c r="I119" i="56"/>
  <c r="D119" i="56"/>
  <c r="I118" i="56"/>
  <c r="D118" i="56"/>
  <c r="I117" i="56"/>
  <c r="D117" i="56"/>
  <c r="I116" i="56"/>
  <c r="D116" i="56"/>
  <c r="I115" i="56"/>
  <c r="D115" i="56"/>
  <c r="I114" i="56"/>
  <c r="D114" i="56"/>
  <c r="I113" i="56"/>
  <c r="D113" i="56"/>
  <c r="I112" i="56"/>
  <c r="D112" i="56"/>
  <c r="I111" i="56"/>
  <c r="D111" i="56"/>
  <c r="I110" i="56"/>
  <c r="D110" i="56"/>
  <c r="I109" i="56"/>
  <c r="D109" i="56"/>
  <c r="I108" i="56"/>
  <c r="D108" i="56"/>
  <c r="I107" i="56"/>
  <c r="D107" i="56"/>
  <c r="I106" i="56"/>
  <c r="D106" i="56"/>
  <c r="I105" i="56"/>
  <c r="D105" i="56"/>
  <c r="I104" i="56"/>
  <c r="D104" i="56"/>
  <c r="I103" i="56"/>
  <c r="D103" i="56"/>
  <c r="I102" i="56"/>
  <c r="D102" i="56"/>
  <c r="I101" i="56"/>
  <c r="D101" i="56"/>
  <c r="I100" i="56"/>
  <c r="D100" i="56"/>
  <c r="I99" i="56"/>
  <c r="D99" i="56"/>
  <c r="I98" i="56"/>
  <c r="D98" i="56"/>
  <c r="I97" i="56"/>
  <c r="D97" i="56"/>
  <c r="I96" i="56"/>
  <c r="D96" i="56"/>
  <c r="I95" i="56"/>
  <c r="D95" i="56"/>
  <c r="I94" i="56"/>
  <c r="D94" i="56"/>
  <c r="I93" i="56"/>
  <c r="D93" i="56"/>
  <c r="I92" i="56"/>
  <c r="D92" i="56"/>
  <c r="I91" i="56"/>
  <c r="D91" i="56"/>
  <c r="I90" i="56"/>
  <c r="D90" i="56"/>
  <c r="I89" i="56"/>
  <c r="D89" i="56"/>
  <c r="I88" i="56"/>
  <c r="D88" i="56"/>
  <c r="I87" i="56"/>
  <c r="D87" i="56"/>
  <c r="I86" i="56"/>
  <c r="D86" i="56"/>
  <c r="I85" i="56"/>
  <c r="D85" i="56"/>
  <c r="I84" i="56"/>
  <c r="D84" i="56"/>
  <c r="I83" i="56"/>
  <c r="D83" i="56"/>
  <c r="I82" i="56"/>
  <c r="D82" i="56"/>
  <c r="I81" i="56"/>
  <c r="D81" i="56"/>
  <c r="I80" i="56"/>
  <c r="D80" i="56"/>
  <c r="I79" i="56"/>
  <c r="D79" i="56"/>
  <c r="I78" i="56"/>
  <c r="D78" i="56"/>
  <c r="I77" i="56"/>
  <c r="D77" i="56"/>
  <c r="I76" i="56"/>
  <c r="D76" i="56"/>
  <c r="I75" i="56"/>
  <c r="D75" i="56"/>
  <c r="I74" i="56"/>
  <c r="D74" i="56"/>
  <c r="I73" i="56"/>
  <c r="D73" i="56"/>
  <c r="I72" i="56"/>
  <c r="D72" i="56"/>
  <c r="I71" i="56"/>
  <c r="D71" i="56"/>
  <c r="I70" i="56"/>
  <c r="D70" i="56"/>
  <c r="I69" i="56"/>
  <c r="D69" i="56"/>
  <c r="I68" i="56"/>
  <c r="D68" i="56"/>
  <c r="I67" i="56"/>
  <c r="D67" i="56"/>
  <c r="I66" i="56"/>
  <c r="D66" i="56"/>
  <c r="I65" i="56"/>
  <c r="D65" i="56"/>
  <c r="I64" i="56"/>
  <c r="D64" i="56"/>
  <c r="C47" i="56"/>
  <c r="C48" i="56" s="1"/>
  <c r="C49" i="56" s="1"/>
  <c r="C50" i="56" s="1"/>
  <c r="C51" i="56" s="1"/>
  <c r="C52" i="56" s="1"/>
  <c r="C53" i="56" s="1"/>
  <c r="C54" i="56" s="1"/>
  <c r="C55" i="56" s="1"/>
  <c r="C56" i="56" s="1"/>
  <c r="C57" i="56" s="1"/>
  <c r="C58" i="56" s="1"/>
  <c r="C59" i="56" s="1"/>
  <c r="C60" i="56" s="1"/>
  <c r="C62" i="56" s="1"/>
  <c r="C63" i="56" s="1"/>
  <c r="C64" i="56" s="1"/>
  <c r="C65" i="56" s="1"/>
  <c r="C66" i="56" s="1"/>
  <c r="C67" i="56" s="1"/>
  <c r="C68" i="56" s="1"/>
  <c r="C69" i="56" s="1"/>
  <c r="C70" i="56" s="1"/>
  <c r="C71" i="56" s="1"/>
  <c r="C72" i="56" s="1"/>
  <c r="C73" i="56" s="1"/>
  <c r="C74" i="56" s="1"/>
  <c r="C75" i="56" s="1"/>
  <c r="C76" i="56" s="1"/>
  <c r="C77" i="56" s="1"/>
  <c r="C78" i="56" s="1"/>
  <c r="C79" i="56" s="1"/>
  <c r="C80" i="56" s="1"/>
  <c r="C81" i="56" s="1"/>
  <c r="C82" i="56" s="1"/>
  <c r="C83" i="56" s="1"/>
  <c r="C84" i="56" s="1"/>
  <c r="C85" i="56" s="1"/>
  <c r="C86" i="56" s="1"/>
  <c r="C87" i="56" s="1"/>
  <c r="C88" i="56" s="1"/>
  <c r="C89" i="56" s="1"/>
  <c r="C90" i="56" s="1"/>
  <c r="C91" i="56" s="1"/>
  <c r="C92" i="56" s="1"/>
  <c r="C93" i="56" s="1"/>
  <c r="C94" i="56" s="1"/>
  <c r="C95" i="56" s="1"/>
  <c r="C96" i="56" s="1"/>
  <c r="C97" i="56" s="1"/>
  <c r="C98" i="56" s="1"/>
  <c r="C99" i="56" s="1"/>
  <c r="C100" i="56" s="1"/>
  <c r="C101" i="56" s="1"/>
  <c r="C102" i="56" s="1"/>
  <c r="C103" i="56" s="1"/>
  <c r="C104" i="56" s="1"/>
  <c r="C105" i="56" s="1"/>
  <c r="C106" i="56" s="1"/>
  <c r="C107" i="56" s="1"/>
  <c r="C108" i="56" s="1"/>
  <c r="C109" i="56" s="1"/>
  <c r="C110" i="56" s="1"/>
  <c r="C111" i="56" s="1"/>
  <c r="C112" i="56" s="1"/>
  <c r="C113" i="56" s="1"/>
  <c r="C114" i="56" s="1"/>
  <c r="C115" i="56" s="1"/>
  <c r="C116" i="56" s="1"/>
  <c r="C117" i="56" s="1"/>
  <c r="C118" i="56" s="1"/>
  <c r="C119" i="56" s="1"/>
  <c r="C120" i="56" s="1"/>
  <c r="C121" i="56" s="1"/>
  <c r="C122" i="56" s="1"/>
  <c r="C123" i="56" s="1"/>
  <c r="C124" i="56" s="1"/>
  <c r="C125" i="56" s="1"/>
  <c r="C126" i="56" s="1"/>
  <c r="C127" i="56" s="1"/>
  <c r="C128" i="56" s="1"/>
  <c r="C129" i="56" s="1"/>
  <c r="C130" i="56" s="1"/>
  <c r="C131" i="56" s="1"/>
  <c r="C132" i="56" s="1"/>
  <c r="C133" i="56" s="1"/>
  <c r="C134" i="56" s="1"/>
  <c r="C135" i="56" s="1"/>
  <c r="C136" i="56" s="1"/>
  <c r="C137" i="56" s="1"/>
  <c r="C138" i="56" s="1"/>
  <c r="C139" i="56" s="1"/>
  <c r="C140" i="56" s="1"/>
  <c r="C141" i="56" s="1"/>
  <c r="C142" i="56" s="1"/>
  <c r="C143" i="56" s="1"/>
  <c r="C144" i="56" s="1"/>
  <c r="C145" i="56" s="1"/>
  <c r="C146" i="56" s="1"/>
  <c r="C147" i="56" s="1"/>
  <c r="C148" i="56" s="1"/>
  <c r="C149" i="56" s="1"/>
  <c r="C150" i="56" s="1"/>
  <c r="C151" i="56" s="1"/>
  <c r="C152" i="56" s="1"/>
  <c r="C153" i="56" s="1"/>
  <c r="C154" i="56" s="1"/>
  <c r="C155" i="56" s="1"/>
  <c r="C156" i="56" s="1"/>
  <c r="C157" i="56" s="1"/>
  <c r="C158" i="56" s="1"/>
  <c r="C159" i="56" s="1"/>
  <c r="C160" i="56" s="1"/>
  <c r="C161" i="56" s="1"/>
  <c r="C162" i="56" s="1"/>
  <c r="C163" i="56" s="1"/>
  <c r="C164" i="56" s="1"/>
  <c r="C165" i="56" s="1"/>
  <c r="C166" i="56" s="1"/>
  <c r="C167" i="56" s="1"/>
  <c r="C168" i="56" s="1"/>
  <c r="C169" i="56" s="1"/>
  <c r="C170" i="56" s="1"/>
  <c r="C171" i="56" s="1"/>
  <c r="C172" i="56" s="1"/>
  <c r="C173" i="56" s="1"/>
  <c r="C174" i="56" s="1"/>
  <c r="C175" i="56" s="1"/>
  <c r="C176" i="56" s="1"/>
  <c r="C177" i="56" s="1"/>
  <c r="C178" i="56" s="1"/>
  <c r="C179" i="56" s="1"/>
  <c r="C180" i="56" s="1"/>
  <c r="C181" i="56" s="1"/>
  <c r="C182" i="56" s="1"/>
  <c r="C183" i="56" s="1"/>
  <c r="C184" i="56" s="1"/>
  <c r="C185" i="56" s="1"/>
  <c r="C186" i="56" s="1"/>
  <c r="C187" i="56" s="1"/>
  <c r="C188" i="56" s="1"/>
  <c r="C189" i="56" s="1"/>
  <c r="C190" i="56" s="1"/>
  <c r="C191" i="56" s="1"/>
  <c r="C192" i="56" s="1"/>
  <c r="C193" i="56" s="1"/>
  <c r="C194" i="56" s="1"/>
  <c r="C195" i="56" s="1"/>
  <c r="C196" i="56" s="1"/>
  <c r="C197" i="56" s="1"/>
  <c r="C198" i="56" s="1"/>
  <c r="C199" i="56" s="1"/>
  <c r="C200" i="56" s="1"/>
  <c r="C201" i="56" s="1"/>
  <c r="C202" i="56" s="1"/>
  <c r="C203" i="56" s="1"/>
  <c r="C204" i="56" s="1"/>
  <c r="C205" i="56" s="1"/>
  <c r="C206" i="56" s="1"/>
  <c r="C207" i="56" s="1"/>
  <c r="C208" i="56" s="1"/>
  <c r="C209" i="56" s="1"/>
  <c r="C210" i="56" s="1"/>
  <c r="C211" i="56" s="1"/>
  <c r="C212" i="56" s="1"/>
  <c r="C213" i="56" s="1"/>
  <c r="C214" i="56" s="1"/>
  <c r="C215" i="56" s="1"/>
  <c r="C216" i="56" s="1"/>
  <c r="C217" i="56" s="1"/>
  <c r="C218" i="56" s="1"/>
  <c r="C219" i="56" s="1"/>
  <c r="C220" i="56" s="1"/>
  <c r="C221" i="56" s="1"/>
  <c r="C222" i="56" s="1"/>
  <c r="C223" i="56" s="1"/>
  <c r="C224" i="56" s="1"/>
  <c r="C225" i="56" s="1"/>
  <c r="C226" i="56" s="1"/>
  <c r="C227" i="56" s="1"/>
  <c r="C228" i="56" s="1"/>
  <c r="C229" i="56" s="1"/>
  <c r="C230" i="56" s="1"/>
  <c r="C231" i="56" s="1"/>
  <c r="C232" i="56" s="1"/>
  <c r="C233" i="56" s="1"/>
  <c r="C234" i="56" s="1"/>
  <c r="C235" i="56" s="1"/>
  <c r="C236" i="56" s="1"/>
  <c r="C237" i="56" s="1"/>
  <c r="C238" i="56" s="1"/>
  <c r="C239" i="56" s="1"/>
  <c r="C240" i="56" s="1"/>
  <c r="C241" i="56" s="1"/>
  <c r="C242" i="56" s="1"/>
  <c r="C243" i="56" s="1"/>
  <c r="C244" i="56" s="1"/>
  <c r="C245" i="56" s="1"/>
  <c r="C246" i="56" s="1"/>
  <c r="C247" i="56" s="1"/>
  <c r="C248" i="56" s="1"/>
  <c r="C249" i="56" s="1"/>
  <c r="C250" i="56" s="1"/>
  <c r="C251" i="56" s="1"/>
  <c r="C252" i="56" s="1"/>
  <c r="C253" i="56" s="1"/>
  <c r="C254" i="56" s="1"/>
  <c r="C255" i="56" s="1"/>
  <c r="C256" i="56" s="1"/>
  <c r="C257" i="56" s="1"/>
  <c r="C258" i="56" s="1"/>
  <c r="C259" i="56" s="1"/>
  <c r="C260" i="56" s="1"/>
  <c r="C261" i="56" s="1"/>
  <c r="C262" i="56" s="1"/>
  <c r="C263" i="56" s="1"/>
  <c r="C264" i="56" s="1"/>
  <c r="C265" i="56" s="1"/>
  <c r="C266" i="56" s="1"/>
  <c r="C267" i="56" s="1"/>
  <c r="C268" i="56" s="1"/>
  <c r="C269" i="56" s="1"/>
  <c r="C270" i="56" s="1"/>
  <c r="C271" i="56" s="1"/>
  <c r="C272" i="56" s="1"/>
  <c r="C273" i="56" s="1"/>
  <c r="C274" i="56" s="1"/>
  <c r="C275" i="56" s="1"/>
  <c r="C276" i="56" s="1"/>
  <c r="C277" i="56" s="1"/>
  <c r="C278" i="56" s="1"/>
  <c r="C279" i="56" s="1"/>
  <c r="C280" i="56" s="1"/>
  <c r="C281" i="56" s="1"/>
  <c r="C282" i="56" s="1"/>
  <c r="C283" i="56" s="1"/>
  <c r="C284" i="56" s="1"/>
  <c r="C285" i="56" s="1"/>
  <c r="C286" i="56" s="1"/>
  <c r="C287" i="56" s="1"/>
  <c r="C288" i="56" s="1"/>
  <c r="C289" i="56" s="1"/>
  <c r="C290" i="56" s="1"/>
  <c r="C291" i="56" s="1"/>
  <c r="C292" i="56" s="1"/>
  <c r="C293" i="56" s="1"/>
  <c r="C294" i="56" s="1"/>
  <c r="C295" i="56" s="1"/>
  <c r="C296" i="56" s="1"/>
  <c r="C297" i="56" s="1"/>
  <c r="C298" i="56" s="1"/>
  <c r="C299" i="56" s="1"/>
  <c r="C300" i="56" s="1"/>
  <c r="C301" i="56" s="1"/>
  <c r="C302" i="56" s="1"/>
  <c r="C303" i="56" s="1"/>
  <c r="C304" i="56" s="1"/>
  <c r="C305" i="56" s="1"/>
  <c r="C306" i="56" s="1"/>
  <c r="C307" i="56" s="1"/>
  <c r="C308" i="56" s="1"/>
  <c r="C309" i="56" s="1"/>
  <c r="C310" i="56" s="1"/>
  <c r="C311" i="56" s="1"/>
  <c r="C312" i="56" s="1"/>
  <c r="C313" i="56" s="1"/>
  <c r="C314" i="56" s="1"/>
  <c r="C315" i="56" s="1"/>
  <c r="C316" i="56" s="1"/>
  <c r="C317" i="56" s="1"/>
  <c r="C318" i="56" s="1"/>
  <c r="C319" i="56" s="1"/>
  <c r="C320" i="56" s="1"/>
  <c r="C321" i="56" s="1"/>
  <c r="C322" i="56" s="1"/>
  <c r="C323" i="56" s="1"/>
  <c r="C324" i="56" s="1"/>
  <c r="C325" i="56" s="1"/>
  <c r="C326" i="56" s="1"/>
  <c r="C327" i="56" s="1"/>
  <c r="C328" i="56" s="1"/>
  <c r="C329" i="56" s="1"/>
  <c r="C330" i="56" s="1"/>
  <c r="C331" i="56" s="1"/>
  <c r="C332" i="56" s="1"/>
  <c r="C333" i="56" s="1"/>
  <c r="C334" i="56" s="1"/>
  <c r="C335" i="56" s="1"/>
  <c r="C336" i="56" s="1"/>
  <c r="C337" i="56" s="1"/>
  <c r="C338" i="56" s="1"/>
  <c r="C339" i="56" s="1"/>
  <c r="C340" i="56" s="1"/>
  <c r="C341" i="56" s="1"/>
  <c r="C342" i="56" s="1"/>
  <c r="C343" i="56" s="1"/>
  <c r="C344" i="56" s="1"/>
  <c r="C345" i="56" s="1"/>
  <c r="C346" i="56" s="1"/>
  <c r="C347" i="56" s="1"/>
  <c r="C348" i="56" s="1"/>
  <c r="C349" i="56" s="1"/>
  <c r="C350" i="56" s="1"/>
  <c r="C351" i="56" s="1"/>
  <c r="C352" i="56" s="1"/>
  <c r="C353" i="56" s="1"/>
  <c r="C354" i="56" s="1"/>
  <c r="C355" i="56" s="1"/>
  <c r="C356" i="56" s="1"/>
  <c r="C357" i="56" s="1"/>
  <c r="C358" i="56" s="1"/>
  <c r="C359" i="56" s="1"/>
  <c r="C360" i="56" s="1"/>
  <c r="C361" i="56" s="1"/>
  <c r="C362" i="56" s="1"/>
  <c r="C363" i="56" s="1"/>
  <c r="C364" i="56" s="1"/>
  <c r="C365" i="56" s="1"/>
  <c r="C366" i="56" s="1"/>
  <c r="C367" i="56" s="1"/>
  <c r="C368" i="56" s="1"/>
  <c r="C369" i="56" s="1"/>
  <c r="C370" i="56" s="1"/>
  <c r="C371" i="56" s="1"/>
  <c r="C372" i="56" s="1"/>
  <c r="C373" i="56" s="1"/>
  <c r="C374" i="56" s="1"/>
  <c r="C375" i="56" s="1"/>
  <c r="C376" i="56" s="1"/>
  <c r="C377" i="56" s="1"/>
  <c r="C378" i="56" s="1"/>
  <c r="C379" i="56" s="1"/>
  <c r="C380" i="56" s="1"/>
  <c r="C381" i="56" s="1"/>
  <c r="C382" i="56" s="1"/>
  <c r="C383" i="56" s="1"/>
  <c r="C384" i="56" s="1"/>
  <c r="C385" i="56" s="1"/>
  <c r="C386" i="56" s="1"/>
  <c r="C387" i="56" s="1"/>
  <c r="C388" i="56" s="1"/>
  <c r="C389" i="56" s="1"/>
  <c r="C390" i="56" s="1"/>
  <c r="C391" i="56" s="1"/>
  <c r="C392" i="56" s="1"/>
  <c r="C393" i="56" s="1"/>
  <c r="C394" i="56" s="1"/>
  <c r="C395" i="56" s="1"/>
  <c r="C396" i="56" s="1"/>
  <c r="AX340" i="90"/>
  <c r="AY340" i="90"/>
  <c r="AZ340" i="90"/>
  <c r="BA340" i="90"/>
  <c r="BB340" i="90"/>
  <c r="BC340" i="90"/>
  <c r="BD340" i="90"/>
  <c r="BE340" i="90"/>
  <c r="BF340" i="90"/>
  <c r="BG340" i="90"/>
  <c r="CX340" i="90"/>
  <c r="AI340" i="56" s="1"/>
  <c r="CY340" i="90"/>
  <c r="AJ340" i="56" s="1"/>
  <c r="DN340" i="90"/>
  <c r="DW340" i="90"/>
  <c r="EO340" i="90" s="1"/>
  <c r="FE340" i="90" s="1"/>
  <c r="DX340" i="90"/>
  <c r="DY340" i="90" s="1"/>
  <c r="DZ340" i="90" s="1"/>
  <c r="AX341" i="90"/>
  <c r="AY341" i="90"/>
  <c r="AZ341" i="90"/>
  <c r="BA341" i="90"/>
  <c r="BB341" i="90"/>
  <c r="BC341" i="90"/>
  <c r="BD341" i="90"/>
  <c r="BE341" i="90"/>
  <c r="BF341" i="90"/>
  <c r="BG341" i="90"/>
  <c r="CX341" i="90"/>
  <c r="AI341" i="56" s="1"/>
  <c r="CY341" i="90"/>
  <c r="AJ341" i="56" s="1"/>
  <c r="DN341" i="90"/>
  <c r="DO341" i="90" s="1"/>
  <c r="DW341" i="90"/>
  <c r="EO341" i="90" s="1"/>
  <c r="FE341" i="90" s="1"/>
  <c r="DX341" i="90"/>
  <c r="AX342" i="90"/>
  <c r="AY342" i="90"/>
  <c r="AZ342" i="90"/>
  <c r="BA342" i="90"/>
  <c r="BB342" i="90"/>
  <c r="BC342" i="90"/>
  <c r="BD342" i="90"/>
  <c r="BE342" i="90"/>
  <c r="BF342" i="90"/>
  <c r="BG342" i="90"/>
  <c r="CX342" i="90"/>
  <c r="AI342" i="56" s="1"/>
  <c r="CY342" i="90"/>
  <c r="AJ342" i="56" s="1"/>
  <c r="DN342" i="90"/>
  <c r="DW342" i="90"/>
  <c r="DX342" i="90"/>
  <c r="DY342" i="90" s="1"/>
  <c r="AX343" i="90"/>
  <c r="AY343" i="90"/>
  <c r="AZ343" i="90"/>
  <c r="BA343" i="90"/>
  <c r="BB343" i="90"/>
  <c r="BC343" i="90"/>
  <c r="BD343" i="90"/>
  <c r="BE343" i="90"/>
  <c r="BF343" i="90"/>
  <c r="BG343" i="90"/>
  <c r="CX343" i="90"/>
  <c r="AI343" i="56" s="1"/>
  <c r="CY343" i="90"/>
  <c r="AJ343" i="56" s="1"/>
  <c r="DN343" i="90"/>
  <c r="DW343" i="90"/>
  <c r="EO343" i="90" s="1"/>
  <c r="FE343" i="90" s="1"/>
  <c r="DX343" i="90"/>
  <c r="DY343" i="90" s="1"/>
  <c r="DZ343" i="90" s="1"/>
  <c r="AX344" i="90"/>
  <c r="AY344" i="90"/>
  <c r="AZ344" i="90"/>
  <c r="BA344" i="90"/>
  <c r="BB344" i="90"/>
  <c r="BC344" i="90"/>
  <c r="BD344" i="90"/>
  <c r="BE344" i="90"/>
  <c r="BF344" i="90"/>
  <c r="BG344" i="90"/>
  <c r="CX344" i="90"/>
  <c r="AI344" i="56" s="1"/>
  <c r="CY344" i="90"/>
  <c r="AJ344" i="56" s="1"/>
  <c r="DN344" i="90"/>
  <c r="DW344" i="90"/>
  <c r="DX344" i="90"/>
  <c r="DY344" i="90" s="1"/>
  <c r="DZ344" i="90" s="1"/>
  <c r="AX345" i="90"/>
  <c r="AY345" i="90"/>
  <c r="AZ345" i="90"/>
  <c r="BA345" i="90"/>
  <c r="BB345" i="90"/>
  <c r="BC345" i="90"/>
  <c r="BD345" i="90"/>
  <c r="BE345" i="90"/>
  <c r="BF345" i="90"/>
  <c r="BG345" i="90"/>
  <c r="CX345" i="90"/>
  <c r="AI345" i="56" s="1"/>
  <c r="CY345" i="90"/>
  <c r="AJ345" i="56" s="1"/>
  <c r="DN345" i="90"/>
  <c r="DO345" i="90" s="1"/>
  <c r="DW345" i="90"/>
  <c r="DX345" i="90"/>
  <c r="DY345" i="90" s="1"/>
  <c r="EQ345" i="90" s="1"/>
  <c r="EF345" i="90"/>
  <c r="EO345" i="90"/>
  <c r="FE345" i="90" s="1"/>
  <c r="FC345" i="90"/>
  <c r="AX346" i="90"/>
  <c r="AY346" i="90"/>
  <c r="AZ346" i="90"/>
  <c r="BA346" i="90"/>
  <c r="BB346" i="90"/>
  <c r="BC346" i="90"/>
  <c r="BD346" i="90"/>
  <c r="BE346" i="90"/>
  <c r="BF346" i="90"/>
  <c r="BG346" i="90"/>
  <c r="CX346" i="90"/>
  <c r="AI346" i="56" s="1"/>
  <c r="CY346" i="90"/>
  <c r="AJ346" i="56" s="1"/>
  <c r="DN346" i="90"/>
  <c r="DO346" i="90" s="1"/>
  <c r="DP346" i="90" s="1"/>
  <c r="DW346" i="90"/>
  <c r="DX346" i="90"/>
  <c r="DY346" i="90" s="1"/>
  <c r="EF346" i="90"/>
  <c r="AX347" i="90"/>
  <c r="AY347" i="90"/>
  <c r="AZ347" i="90"/>
  <c r="BA347" i="90"/>
  <c r="BB347" i="90"/>
  <c r="BC347" i="90"/>
  <c r="BD347" i="90"/>
  <c r="BE347" i="90"/>
  <c r="BF347" i="90"/>
  <c r="BG347" i="90"/>
  <c r="CX347" i="90"/>
  <c r="AI347" i="56" s="1"/>
  <c r="CY347" i="90"/>
  <c r="AJ347" i="56" s="1"/>
  <c r="DN347" i="90"/>
  <c r="EF347" i="90" s="1"/>
  <c r="DW347" i="90"/>
  <c r="EO347" i="90" s="1"/>
  <c r="FE347" i="90" s="1"/>
  <c r="DX347" i="90"/>
  <c r="DY347" i="90" s="1"/>
  <c r="EQ347" i="90" s="1"/>
  <c r="FC347" i="90" s="1"/>
  <c r="AX348" i="90"/>
  <c r="AY348" i="90"/>
  <c r="AZ348" i="90"/>
  <c r="BA348" i="90"/>
  <c r="BB348" i="90"/>
  <c r="BC348" i="90"/>
  <c r="BD348" i="90"/>
  <c r="BE348" i="90"/>
  <c r="BF348" i="90"/>
  <c r="BG348" i="90"/>
  <c r="CX348" i="90"/>
  <c r="AI348" i="56" s="1"/>
  <c r="CY348" i="90"/>
  <c r="AJ348" i="56" s="1"/>
  <c r="DN348" i="90"/>
  <c r="DO348" i="90" s="1"/>
  <c r="DW348" i="90"/>
  <c r="DX348" i="90"/>
  <c r="DY348" i="90" s="1"/>
  <c r="AX349" i="90"/>
  <c r="AY349" i="90"/>
  <c r="AZ349" i="90"/>
  <c r="BA349" i="90"/>
  <c r="BB349" i="90"/>
  <c r="BC349" i="90"/>
  <c r="BD349" i="90"/>
  <c r="BE349" i="90"/>
  <c r="BF349" i="90"/>
  <c r="BG349" i="90"/>
  <c r="CX349" i="90"/>
  <c r="AI349" i="56" s="1"/>
  <c r="CY349" i="90"/>
  <c r="AJ349" i="56" s="1"/>
  <c r="DN349" i="90"/>
  <c r="DO349" i="90" s="1"/>
  <c r="DW349" i="90"/>
  <c r="EO349" i="90" s="1"/>
  <c r="FE349" i="90" s="1"/>
  <c r="DX349" i="90"/>
  <c r="DY349" i="90" s="1"/>
  <c r="AX350" i="90"/>
  <c r="AY350" i="90"/>
  <c r="AZ350" i="90"/>
  <c r="BA350" i="90"/>
  <c r="BB350" i="90"/>
  <c r="BC350" i="90"/>
  <c r="BD350" i="90"/>
  <c r="BE350" i="90"/>
  <c r="BF350" i="90"/>
  <c r="BG350" i="90"/>
  <c r="CX350" i="90"/>
  <c r="AI350" i="56" s="1"/>
  <c r="CY350" i="90"/>
  <c r="AJ350" i="56" s="1"/>
  <c r="DN350" i="90"/>
  <c r="DO350" i="90" s="1"/>
  <c r="EG350" i="90" s="1"/>
  <c r="DW350" i="90"/>
  <c r="EO350" i="90" s="1"/>
  <c r="FE350" i="90" s="1"/>
  <c r="DX350" i="90"/>
  <c r="DY350" i="90" s="1"/>
  <c r="AX351" i="90"/>
  <c r="AY351" i="90"/>
  <c r="AZ351" i="90"/>
  <c r="BA351" i="90"/>
  <c r="BB351" i="90"/>
  <c r="BC351" i="90"/>
  <c r="BD351" i="90"/>
  <c r="BE351" i="90"/>
  <c r="BF351" i="90"/>
  <c r="BG351" i="90"/>
  <c r="CX351" i="90"/>
  <c r="AI351" i="56" s="1"/>
  <c r="CY351" i="90"/>
  <c r="AJ351" i="56" s="1"/>
  <c r="DN351" i="90"/>
  <c r="DO351" i="90" s="1"/>
  <c r="DP351" i="90" s="1"/>
  <c r="EH351" i="90" s="1"/>
  <c r="DW351" i="90"/>
  <c r="EO351" i="90" s="1"/>
  <c r="FE351" i="90" s="1"/>
  <c r="DX351" i="90"/>
  <c r="DY351" i="90" s="1"/>
  <c r="EQ351" i="90" s="1"/>
  <c r="FC351" i="90" s="1"/>
  <c r="AX352" i="90"/>
  <c r="AY352" i="90"/>
  <c r="AZ352" i="90"/>
  <c r="BA352" i="90"/>
  <c r="BB352" i="90"/>
  <c r="BC352" i="90"/>
  <c r="BD352" i="90"/>
  <c r="BE352" i="90"/>
  <c r="BF352" i="90"/>
  <c r="BG352" i="90"/>
  <c r="CX352" i="90"/>
  <c r="AI352" i="56" s="1"/>
  <c r="CY352" i="90"/>
  <c r="AJ352" i="56" s="1"/>
  <c r="DN352" i="90"/>
  <c r="DO352" i="90" s="1"/>
  <c r="EG352" i="90" s="1"/>
  <c r="DW352" i="90"/>
  <c r="DX352" i="90"/>
  <c r="DY352" i="90" s="1"/>
  <c r="AX353" i="90"/>
  <c r="AY353" i="90"/>
  <c r="AZ353" i="90"/>
  <c r="BA353" i="90"/>
  <c r="BB353" i="90"/>
  <c r="BC353" i="90"/>
  <c r="BD353" i="90"/>
  <c r="BE353" i="90"/>
  <c r="BF353" i="90"/>
  <c r="BG353" i="90"/>
  <c r="CX353" i="90"/>
  <c r="AI353" i="56" s="1"/>
  <c r="CY353" i="90"/>
  <c r="AJ353" i="56" s="1"/>
  <c r="DN353" i="90"/>
  <c r="EF353" i="90" s="1"/>
  <c r="DW353" i="90"/>
  <c r="EO353" i="90" s="1"/>
  <c r="FE353" i="90" s="1"/>
  <c r="DX353" i="90"/>
  <c r="DY353" i="90" s="1"/>
  <c r="EQ353" i="90" s="1"/>
  <c r="FC353" i="90" s="1"/>
  <c r="AX354" i="90"/>
  <c r="AY354" i="90"/>
  <c r="AZ354" i="90"/>
  <c r="BA354" i="90"/>
  <c r="BB354" i="90"/>
  <c r="BC354" i="90"/>
  <c r="BD354" i="90"/>
  <c r="BE354" i="90"/>
  <c r="BF354" i="90"/>
  <c r="BG354" i="90"/>
  <c r="CX354" i="90"/>
  <c r="AI354" i="56" s="1"/>
  <c r="CY354" i="90"/>
  <c r="AJ354" i="56" s="1"/>
  <c r="DN354" i="90"/>
  <c r="DO354" i="90" s="1"/>
  <c r="EG354" i="90" s="1"/>
  <c r="DW354" i="90"/>
  <c r="DX354" i="90"/>
  <c r="DY354" i="90" s="1"/>
  <c r="DZ354" i="90" s="1"/>
  <c r="AX355" i="90"/>
  <c r="AY355" i="90"/>
  <c r="AZ355" i="90"/>
  <c r="BA355" i="90"/>
  <c r="BB355" i="90"/>
  <c r="BC355" i="90"/>
  <c r="BD355" i="90"/>
  <c r="BE355" i="90"/>
  <c r="BF355" i="90"/>
  <c r="BG355" i="90"/>
  <c r="BI355" i="90"/>
  <c r="BJ355" i="90"/>
  <c r="BK355" i="90"/>
  <c r="BL355" i="90"/>
  <c r="BM355" i="90"/>
  <c r="BN355" i="90"/>
  <c r="BO355" i="90"/>
  <c r="BP355" i="90"/>
  <c r="BQ355" i="90"/>
  <c r="BR355" i="90"/>
  <c r="CX355" i="90"/>
  <c r="AI355" i="56" s="1"/>
  <c r="CY355" i="90"/>
  <c r="AJ355" i="56" s="1"/>
  <c r="DN355" i="90"/>
  <c r="DO355" i="90" s="1"/>
  <c r="DW355" i="90"/>
  <c r="EO355" i="90" s="1"/>
  <c r="FE355" i="90" s="1"/>
  <c r="DX355" i="90"/>
  <c r="DY355" i="90" s="1"/>
  <c r="DZ355" i="90" s="1"/>
  <c r="AX356" i="90"/>
  <c r="AY356" i="90"/>
  <c r="AZ356" i="90"/>
  <c r="BA356" i="90"/>
  <c r="BB356" i="90"/>
  <c r="BC356" i="90"/>
  <c r="BD356" i="90"/>
  <c r="BE356" i="90"/>
  <c r="BF356" i="90"/>
  <c r="BG356" i="90"/>
  <c r="BI356" i="90"/>
  <c r="BJ356" i="90"/>
  <c r="BK356" i="90"/>
  <c r="BL356" i="90"/>
  <c r="BM356" i="90"/>
  <c r="BN356" i="90"/>
  <c r="BO356" i="90"/>
  <c r="BP356" i="90"/>
  <c r="BQ356" i="90"/>
  <c r="BR356" i="90"/>
  <c r="CX356" i="90"/>
  <c r="AI356" i="56" s="1"/>
  <c r="CY356" i="90"/>
  <c r="AJ356" i="56" s="1"/>
  <c r="DN356" i="90"/>
  <c r="DO356" i="90" s="1"/>
  <c r="DW356" i="90"/>
  <c r="DX356" i="90"/>
  <c r="DY356" i="90" s="1"/>
  <c r="EF356" i="90"/>
  <c r="EO356" i="90"/>
  <c r="FE356" i="90" s="1"/>
  <c r="AX357" i="90"/>
  <c r="AY357" i="90"/>
  <c r="AZ357" i="90"/>
  <c r="BA357" i="90"/>
  <c r="BB357" i="90"/>
  <c r="BC357" i="90"/>
  <c r="BD357" i="90"/>
  <c r="BE357" i="90"/>
  <c r="BF357" i="90"/>
  <c r="BG357" i="90"/>
  <c r="CX357" i="90"/>
  <c r="AI357" i="56" s="1"/>
  <c r="CY357" i="90"/>
  <c r="AJ357" i="56" s="1"/>
  <c r="DN357" i="90"/>
  <c r="DO357" i="90" s="1"/>
  <c r="DW357" i="90"/>
  <c r="DX357" i="90"/>
  <c r="DY357" i="90" s="1"/>
  <c r="AX358" i="90"/>
  <c r="AY358" i="90"/>
  <c r="AZ358" i="90"/>
  <c r="BA358" i="90"/>
  <c r="BB358" i="90"/>
  <c r="BC358" i="90"/>
  <c r="BD358" i="90"/>
  <c r="BE358" i="90"/>
  <c r="BF358" i="90"/>
  <c r="BG358" i="90"/>
  <c r="CX358" i="90"/>
  <c r="AI358" i="56" s="1"/>
  <c r="CY358" i="90"/>
  <c r="AJ358" i="56" s="1"/>
  <c r="DN358" i="90"/>
  <c r="DO358" i="90" s="1"/>
  <c r="DW358" i="90"/>
  <c r="DX358" i="90"/>
  <c r="DY358" i="90" s="1"/>
  <c r="AX359" i="90"/>
  <c r="AY359" i="90"/>
  <c r="AZ359" i="90"/>
  <c r="BA359" i="90"/>
  <c r="BB359" i="90"/>
  <c r="BC359" i="90"/>
  <c r="BD359" i="90"/>
  <c r="BE359" i="90"/>
  <c r="BF359" i="90"/>
  <c r="BG359" i="90"/>
  <c r="CX359" i="90"/>
  <c r="AI359" i="56" s="1"/>
  <c r="CY359" i="90"/>
  <c r="AJ359" i="56" s="1"/>
  <c r="DN359" i="90"/>
  <c r="EF359" i="90" s="1"/>
  <c r="DW359" i="90"/>
  <c r="EO359" i="90" s="1"/>
  <c r="FE359" i="90" s="1"/>
  <c r="DX359" i="90"/>
  <c r="AX360" i="90"/>
  <c r="AY360" i="90"/>
  <c r="AZ360" i="90"/>
  <c r="BA360" i="90"/>
  <c r="BB360" i="90"/>
  <c r="BC360" i="90"/>
  <c r="BD360" i="90"/>
  <c r="BE360" i="90"/>
  <c r="BF360" i="90"/>
  <c r="BG360" i="90"/>
  <c r="CX360" i="90"/>
  <c r="AI360" i="56" s="1"/>
  <c r="CY360" i="90"/>
  <c r="AJ360" i="56" s="1"/>
  <c r="DN360" i="90"/>
  <c r="DO360" i="90" s="1"/>
  <c r="DW360" i="90"/>
  <c r="DX360" i="90"/>
  <c r="DY360" i="90" s="1"/>
  <c r="EQ360" i="90" s="1"/>
  <c r="FC360" i="90" s="1"/>
  <c r="EO360" i="90"/>
  <c r="FE360" i="90" s="1"/>
  <c r="AX361" i="90"/>
  <c r="AY361" i="90"/>
  <c r="AZ361" i="90"/>
  <c r="BA361" i="90"/>
  <c r="BB361" i="90"/>
  <c r="BC361" i="90"/>
  <c r="BD361" i="90"/>
  <c r="BE361" i="90"/>
  <c r="BF361" i="90"/>
  <c r="BG361" i="90"/>
  <c r="CX361" i="90"/>
  <c r="AI361" i="56" s="1"/>
  <c r="CY361" i="90"/>
  <c r="AJ361" i="56" s="1"/>
  <c r="DN361" i="90"/>
  <c r="DO361" i="90" s="1"/>
  <c r="DW361" i="90"/>
  <c r="DX361" i="90"/>
  <c r="DY361" i="90" s="1"/>
  <c r="AX362" i="90"/>
  <c r="AY362" i="90"/>
  <c r="AZ362" i="90"/>
  <c r="BA362" i="90"/>
  <c r="BB362" i="90"/>
  <c r="BC362" i="90"/>
  <c r="BD362" i="90"/>
  <c r="BE362" i="90"/>
  <c r="BF362" i="90"/>
  <c r="BG362" i="90"/>
  <c r="CX362" i="90"/>
  <c r="AI362" i="56" s="1"/>
  <c r="CY362" i="90"/>
  <c r="AJ362" i="56" s="1"/>
  <c r="DN362" i="90"/>
  <c r="DO362" i="90" s="1"/>
  <c r="DW362" i="90"/>
  <c r="EO362" i="90" s="1"/>
  <c r="FE362" i="90" s="1"/>
  <c r="DX362" i="90"/>
  <c r="DY362" i="90" s="1"/>
  <c r="AX363" i="90"/>
  <c r="AY363" i="90"/>
  <c r="AZ363" i="90"/>
  <c r="BA363" i="90"/>
  <c r="BB363" i="90"/>
  <c r="BC363" i="90"/>
  <c r="BD363" i="90"/>
  <c r="BE363" i="90"/>
  <c r="BF363" i="90"/>
  <c r="BG363" i="90"/>
  <c r="CX363" i="90"/>
  <c r="AI363" i="56" s="1"/>
  <c r="CY363" i="90"/>
  <c r="AJ363" i="56" s="1"/>
  <c r="DN363" i="90"/>
  <c r="DO363" i="90" s="1"/>
  <c r="DP363" i="90" s="1"/>
  <c r="DW363" i="90"/>
  <c r="EO363" i="90" s="1"/>
  <c r="FE363" i="90" s="1"/>
  <c r="DX363" i="90"/>
  <c r="AX364" i="90"/>
  <c r="AY364" i="90"/>
  <c r="AZ364" i="90"/>
  <c r="BA364" i="90"/>
  <c r="BB364" i="90"/>
  <c r="BC364" i="90"/>
  <c r="BD364" i="90"/>
  <c r="BE364" i="90"/>
  <c r="BF364" i="90"/>
  <c r="BG364" i="90"/>
  <c r="CX364" i="90"/>
  <c r="AI364" i="56" s="1"/>
  <c r="CY364" i="90"/>
  <c r="AJ364" i="56" s="1"/>
  <c r="DN364" i="90"/>
  <c r="DO364" i="90" s="1"/>
  <c r="EG364" i="90" s="1"/>
  <c r="DW364" i="90"/>
  <c r="DX364" i="90"/>
  <c r="DY364" i="90" s="1"/>
  <c r="AX249" i="90"/>
  <c r="AY249" i="90"/>
  <c r="AZ249" i="90"/>
  <c r="BA249" i="90"/>
  <c r="BB249" i="90"/>
  <c r="BC249" i="90"/>
  <c r="BD249" i="90"/>
  <c r="BE249" i="90"/>
  <c r="BF249" i="90"/>
  <c r="BG249" i="90"/>
  <c r="CX249" i="90"/>
  <c r="AI249" i="56" s="1"/>
  <c r="CY249" i="90"/>
  <c r="AJ249" i="56" s="1"/>
  <c r="DN249" i="90"/>
  <c r="DW249" i="90"/>
  <c r="EO249" i="90" s="1"/>
  <c r="FE249" i="90" s="1"/>
  <c r="DX249" i="90"/>
  <c r="DY249" i="90" s="1"/>
  <c r="AX250" i="90"/>
  <c r="AY250" i="90"/>
  <c r="AZ250" i="90"/>
  <c r="BA250" i="90"/>
  <c r="BB250" i="90"/>
  <c r="BC250" i="90"/>
  <c r="BD250" i="90"/>
  <c r="BE250" i="90"/>
  <c r="BF250" i="90"/>
  <c r="BG250" i="90"/>
  <c r="CX250" i="90"/>
  <c r="AI250" i="56" s="1"/>
  <c r="CY250" i="90"/>
  <c r="AJ250" i="56" s="1"/>
  <c r="DN250" i="90"/>
  <c r="DW250" i="90"/>
  <c r="EO250" i="90" s="1"/>
  <c r="FE250" i="90" s="1"/>
  <c r="DX250" i="90"/>
  <c r="AX251" i="90"/>
  <c r="AY251" i="90"/>
  <c r="AZ251" i="90"/>
  <c r="BA251" i="90"/>
  <c r="BB251" i="90"/>
  <c r="BC251" i="90"/>
  <c r="BD251" i="90"/>
  <c r="BE251" i="90"/>
  <c r="BF251" i="90"/>
  <c r="BG251" i="90"/>
  <c r="CX251" i="90"/>
  <c r="AI251" i="56" s="1"/>
  <c r="CY251" i="90"/>
  <c r="AJ251" i="56" s="1"/>
  <c r="DN251" i="90"/>
  <c r="DW251" i="90"/>
  <c r="DX251" i="90"/>
  <c r="DY251" i="90" s="1"/>
  <c r="AX252" i="90"/>
  <c r="AY252" i="90"/>
  <c r="AZ252" i="90"/>
  <c r="BA252" i="90"/>
  <c r="BB252" i="90"/>
  <c r="BC252" i="90"/>
  <c r="BD252" i="90"/>
  <c r="BE252" i="90"/>
  <c r="BF252" i="90"/>
  <c r="BG252" i="90"/>
  <c r="CX252" i="90"/>
  <c r="AI252" i="56" s="1"/>
  <c r="CY252" i="90"/>
  <c r="AJ252" i="56" s="1"/>
  <c r="DN252" i="90"/>
  <c r="DW252" i="90"/>
  <c r="EO252" i="90" s="1"/>
  <c r="FE252" i="90" s="1"/>
  <c r="DX252" i="90"/>
  <c r="DY252" i="90" s="1"/>
  <c r="EQ252" i="90" s="1"/>
  <c r="FC252" i="90" s="1"/>
  <c r="AX253" i="90"/>
  <c r="AY253" i="90"/>
  <c r="AZ253" i="90"/>
  <c r="BA253" i="90"/>
  <c r="BB253" i="90"/>
  <c r="BC253" i="90"/>
  <c r="BD253" i="90"/>
  <c r="BE253" i="90"/>
  <c r="BF253" i="90"/>
  <c r="BG253" i="90"/>
  <c r="CX253" i="90"/>
  <c r="AI253" i="56" s="1"/>
  <c r="CY253" i="90"/>
  <c r="AJ253" i="56" s="1"/>
  <c r="DN253" i="90"/>
  <c r="DW253" i="90"/>
  <c r="DX253" i="90"/>
  <c r="DY253" i="90" s="1"/>
  <c r="AX254" i="90"/>
  <c r="AY254" i="90"/>
  <c r="AZ254" i="90"/>
  <c r="BA254" i="90"/>
  <c r="BB254" i="90"/>
  <c r="BC254" i="90"/>
  <c r="BD254" i="90"/>
  <c r="BE254" i="90"/>
  <c r="BF254" i="90"/>
  <c r="BG254" i="90"/>
  <c r="CX254" i="90"/>
  <c r="AI254" i="56" s="1"/>
  <c r="CY254" i="90"/>
  <c r="AJ254" i="56" s="1"/>
  <c r="DN254" i="90"/>
  <c r="DO254" i="90"/>
  <c r="DW254" i="90"/>
  <c r="EO254" i="90" s="1"/>
  <c r="FE254" i="90" s="1"/>
  <c r="DX254" i="90"/>
  <c r="EF254" i="90"/>
  <c r="AX255" i="90"/>
  <c r="AY255" i="90"/>
  <c r="AZ255" i="90"/>
  <c r="BA255" i="90"/>
  <c r="BB255" i="90"/>
  <c r="BC255" i="90"/>
  <c r="BD255" i="90"/>
  <c r="BE255" i="90"/>
  <c r="BF255" i="90"/>
  <c r="BG255" i="90"/>
  <c r="CX255" i="90"/>
  <c r="AI255" i="56" s="1"/>
  <c r="CY255" i="90"/>
  <c r="AJ255" i="56" s="1"/>
  <c r="DN255" i="90"/>
  <c r="DO255" i="90" s="1"/>
  <c r="EG255" i="90" s="1"/>
  <c r="DW255" i="90"/>
  <c r="EO255" i="90" s="1"/>
  <c r="FE255" i="90" s="1"/>
  <c r="DX255" i="90"/>
  <c r="DY255" i="90" s="1"/>
  <c r="AX256" i="90"/>
  <c r="AY256" i="90"/>
  <c r="AZ256" i="90"/>
  <c r="BA256" i="90"/>
  <c r="BB256" i="90"/>
  <c r="BC256" i="90"/>
  <c r="BD256" i="90"/>
  <c r="BE256" i="90"/>
  <c r="BF256" i="90"/>
  <c r="BG256" i="90"/>
  <c r="CX256" i="90"/>
  <c r="AI256" i="56" s="1"/>
  <c r="CY256" i="90"/>
  <c r="AJ256" i="56" s="1"/>
  <c r="DN256" i="90"/>
  <c r="DO256" i="90" s="1"/>
  <c r="DW256" i="90"/>
  <c r="DX256" i="90"/>
  <c r="DY256" i="90" s="1"/>
  <c r="EQ256" i="90" s="1"/>
  <c r="FC256" i="90" s="1"/>
  <c r="AX257" i="90"/>
  <c r="AY257" i="90"/>
  <c r="AZ257" i="90"/>
  <c r="BA257" i="90"/>
  <c r="BB257" i="90"/>
  <c r="BC257" i="90"/>
  <c r="BD257" i="90"/>
  <c r="BE257" i="90"/>
  <c r="BF257" i="90"/>
  <c r="BG257" i="90"/>
  <c r="CX257" i="90"/>
  <c r="AI257" i="56" s="1"/>
  <c r="CY257" i="90"/>
  <c r="AJ257" i="56" s="1"/>
  <c r="DN257" i="90"/>
  <c r="DO257" i="90" s="1"/>
  <c r="DW257" i="90"/>
  <c r="EO257" i="90" s="1"/>
  <c r="FE257" i="90" s="1"/>
  <c r="DX257" i="90"/>
  <c r="DY257" i="90" s="1"/>
  <c r="AX258" i="90"/>
  <c r="AY258" i="90"/>
  <c r="AZ258" i="90"/>
  <c r="BA258" i="90"/>
  <c r="BB258" i="90"/>
  <c r="BC258" i="90"/>
  <c r="BD258" i="90"/>
  <c r="BE258" i="90"/>
  <c r="BF258" i="90"/>
  <c r="BG258" i="90"/>
  <c r="CX258" i="90"/>
  <c r="AI258" i="56" s="1"/>
  <c r="CY258" i="90"/>
  <c r="AJ258" i="56" s="1"/>
  <c r="DN258" i="90"/>
  <c r="DW258" i="90"/>
  <c r="DX258" i="90"/>
  <c r="DY258" i="90" s="1"/>
  <c r="AX259" i="90"/>
  <c r="AY259" i="90"/>
  <c r="AZ259" i="90"/>
  <c r="BA259" i="90"/>
  <c r="BB259" i="90"/>
  <c r="BC259" i="90"/>
  <c r="BD259" i="90"/>
  <c r="BE259" i="90"/>
  <c r="BF259" i="90"/>
  <c r="BG259" i="90"/>
  <c r="CX259" i="90"/>
  <c r="AI259" i="56" s="1"/>
  <c r="CY259" i="90"/>
  <c r="AJ259" i="56" s="1"/>
  <c r="DN259" i="90"/>
  <c r="DO259" i="90" s="1"/>
  <c r="DW259" i="90"/>
  <c r="EO259" i="90" s="1"/>
  <c r="FE259" i="90" s="1"/>
  <c r="DX259" i="90"/>
  <c r="AX260" i="90"/>
  <c r="AY260" i="90"/>
  <c r="AZ260" i="90"/>
  <c r="BA260" i="90"/>
  <c r="BB260" i="90"/>
  <c r="BC260" i="90"/>
  <c r="BD260" i="90"/>
  <c r="BE260" i="90"/>
  <c r="BF260" i="90"/>
  <c r="BG260" i="90"/>
  <c r="CX260" i="90"/>
  <c r="AI260" i="56" s="1"/>
  <c r="CY260" i="90"/>
  <c r="AJ260" i="56" s="1"/>
  <c r="DN260" i="90"/>
  <c r="DO260" i="90" s="1"/>
  <c r="EG260" i="90" s="1"/>
  <c r="DW260" i="90"/>
  <c r="EO260" i="90" s="1"/>
  <c r="FE260" i="90" s="1"/>
  <c r="DX260" i="90"/>
  <c r="DY260" i="90" s="1"/>
  <c r="AX261" i="90"/>
  <c r="AY261" i="90"/>
  <c r="AZ261" i="90"/>
  <c r="BA261" i="90"/>
  <c r="BB261" i="90"/>
  <c r="BC261" i="90"/>
  <c r="BD261" i="90"/>
  <c r="BE261" i="90"/>
  <c r="BF261" i="90"/>
  <c r="BG261" i="90"/>
  <c r="CX261" i="90"/>
  <c r="AI261" i="56" s="1"/>
  <c r="CY261" i="90"/>
  <c r="AJ261" i="56" s="1"/>
  <c r="DN261" i="90"/>
  <c r="DW261" i="90"/>
  <c r="EO261" i="90" s="1"/>
  <c r="FE261" i="90" s="1"/>
  <c r="DX261" i="90"/>
  <c r="AX262" i="90"/>
  <c r="AY262" i="90"/>
  <c r="AZ262" i="90"/>
  <c r="BA262" i="90"/>
  <c r="BB262" i="90"/>
  <c r="BC262" i="90"/>
  <c r="BD262" i="90"/>
  <c r="BE262" i="90"/>
  <c r="BF262" i="90"/>
  <c r="BG262" i="90"/>
  <c r="CX262" i="90"/>
  <c r="AI262" i="56" s="1"/>
  <c r="CY262" i="90"/>
  <c r="AJ262" i="56" s="1"/>
  <c r="DN262" i="90"/>
  <c r="DO262" i="90" s="1"/>
  <c r="DW262" i="90"/>
  <c r="DX262" i="90"/>
  <c r="DY262" i="90"/>
  <c r="AX263" i="90"/>
  <c r="AY263" i="90"/>
  <c r="AZ263" i="90"/>
  <c r="BA263" i="90"/>
  <c r="BB263" i="90"/>
  <c r="BC263" i="90"/>
  <c r="BD263" i="90"/>
  <c r="BE263" i="90"/>
  <c r="BF263" i="90"/>
  <c r="BG263" i="90"/>
  <c r="CX263" i="90"/>
  <c r="AI263" i="56" s="1"/>
  <c r="CY263" i="90"/>
  <c r="AJ263" i="56" s="1"/>
  <c r="DN263" i="90"/>
  <c r="DO263" i="90" s="1"/>
  <c r="DW263" i="90"/>
  <c r="EO263" i="90" s="1"/>
  <c r="FE263" i="90" s="1"/>
  <c r="DX263" i="90"/>
  <c r="AX264" i="90"/>
  <c r="AY264" i="90"/>
  <c r="AZ264" i="90"/>
  <c r="BA264" i="90"/>
  <c r="BB264" i="90"/>
  <c r="BC264" i="90"/>
  <c r="BD264" i="90"/>
  <c r="BE264" i="90"/>
  <c r="BF264" i="90"/>
  <c r="BG264" i="90"/>
  <c r="CX264" i="90"/>
  <c r="AI264" i="56" s="1"/>
  <c r="CY264" i="90"/>
  <c r="AJ264" i="56" s="1"/>
  <c r="DN264" i="90"/>
  <c r="DO264" i="90" s="1"/>
  <c r="DP264" i="90" s="1"/>
  <c r="DW264" i="90"/>
  <c r="EO264" i="90" s="1"/>
  <c r="FE264" i="90" s="1"/>
  <c r="DX264" i="90"/>
  <c r="DY264" i="90" s="1"/>
  <c r="AX265" i="90"/>
  <c r="AY265" i="90"/>
  <c r="AZ265" i="90"/>
  <c r="BA265" i="90"/>
  <c r="BB265" i="90"/>
  <c r="BC265" i="90"/>
  <c r="BD265" i="90"/>
  <c r="BE265" i="90"/>
  <c r="BF265" i="90"/>
  <c r="BG265" i="90"/>
  <c r="CX265" i="90"/>
  <c r="AI265" i="56" s="1"/>
  <c r="CY265" i="90"/>
  <c r="AJ265" i="56" s="1"/>
  <c r="DN265" i="90"/>
  <c r="DO265" i="90" s="1"/>
  <c r="DP265" i="90" s="1"/>
  <c r="DW265" i="90"/>
  <c r="EO265" i="90" s="1"/>
  <c r="FE265" i="90" s="1"/>
  <c r="DX265" i="90"/>
  <c r="DY265" i="90" s="1"/>
  <c r="EQ265" i="90" s="1"/>
  <c r="FC265" i="90" s="1"/>
  <c r="AX266" i="90"/>
  <c r="AY266" i="90"/>
  <c r="AZ266" i="90"/>
  <c r="BA266" i="90"/>
  <c r="BB266" i="90"/>
  <c r="BC266" i="90"/>
  <c r="BD266" i="90"/>
  <c r="BE266" i="90"/>
  <c r="BF266" i="90"/>
  <c r="BG266" i="90"/>
  <c r="CX266" i="90"/>
  <c r="AI266" i="56" s="1"/>
  <c r="CY266" i="90"/>
  <c r="AJ266" i="56" s="1"/>
  <c r="DN266" i="90"/>
  <c r="DO266" i="90" s="1"/>
  <c r="DW266" i="90"/>
  <c r="DX266" i="90"/>
  <c r="DY266" i="90" s="1"/>
  <c r="EQ266" i="90" s="1"/>
  <c r="FC266" i="90" s="1"/>
  <c r="DZ266" i="90"/>
  <c r="EA266" i="90" s="1"/>
  <c r="EO266" i="90"/>
  <c r="FE266" i="90" s="1"/>
  <c r="AX267" i="90"/>
  <c r="AY267" i="90"/>
  <c r="AZ267" i="90"/>
  <c r="BA267" i="90"/>
  <c r="BB267" i="90"/>
  <c r="BC267" i="90"/>
  <c r="BD267" i="90"/>
  <c r="BE267" i="90"/>
  <c r="BF267" i="90"/>
  <c r="BG267" i="90"/>
  <c r="CX267" i="90"/>
  <c r="AI267" i="56" s="1"/>
  <c r="CY267" i="90"/>
  <c r="AJ267" i="56" s="1"/>
  <c r="DN267" i="90"/>
  <c r="DO267" i="90" s="1"/>
  <c r="DW267" i="90"/>
  <c r="DX267" i="90"/>
  <c r="DY267" i="90" s="1"/>
  <c r="AX268" i="90"/>
  <c r="AY268" i="90"/>
  <c r="AZ268" i="90"/>
  <c r="BA268" i="90"/>
  <c r="BB268" i="90"/>
  <c r="BC268" i="90"/>
  <c r="BD268" i="90"/>
  <c r="BE268" i="90"/>
  <c r="BF268" i="90"/>
  <c r="BG268" i="90"/>
  <c r="CX268" i="90"/>
  <c r="AI268" i="56" s="1"/>
  <c r="CY268" i="90"/>
  <c r="AJ268" i="56" s="1"/>
  <c r="DN268" i="90"/>
  <c r="DO268" i="90" s="1"/>
  <c r="DP268" i="90" s="1"/>
  <c r="DW268" i="90"/>
  <c r="EO268" i="90" s="1"/>
  <c r="FE268" i="90" s="1"/>
  <c r="DX268" i="90"/>
  <c r="DY268" i="90" s="1"/>
  <c r="AX269" i="90"/>
  <c r="AY269" i="90"/>
  <c r="AZ269" i="90"/>
  <c r="BA269" i="90"/>
  <c r="BB269" i="90"/>
  <c r="BC269" i="90"/>
  <c r="BD269" i="90"/>
  <c r="BE269" i="90"/>
  <c r="BF269" i="90"/>
  <c r="BG269" i="90"/>
  <c r="CX269" i="90"/>
  <c r="AI269" i="56" s="1"/>
  <c r="CY269" i="90"/>
  <c r="AJ269" i="56" s="1"/>
  <c r="DN269" i="90"/>
  <c r="DO269" i="90" s="1"/>
  <c r="EG269" i="90" s="1"/>
  <c r="DW269" i="90"/>
  <c r="EO269" i="90" s="1"/>
  <c r="FE269" i="90" s="1"/>
  <c r="DX269" i="90"/>
  <c r="DY269" i="90" s="1"/>
  <c r="DZ269" i="90" s="1"/>
  <c r="AX270" i="90"/>
  <c r="AY270" i="90"/>
  <c r="AZ270" i="90"/>
  <c r="BA270" i="90"/>
  <c r="BB270" i="90"/>
  <c r="BC270" i="90"/>
  <c r="BD270" i="90"/>
  <c r="BE270" i="90"/>
  <c r="BF270" i="90"/>
  <c r="BG270" i="90"/>
  <c r="CX270" i="90"/>
  <c r="AI270" i="56" s="1"/>
  <c r="CY270" i="90"/>
  <c r="AJ270" i="56" s="1"/>
  <c r="DN270" i="90"/>
  <c r="DO270" i="90" s="1"/>
  <c r="DW270" i="90"/>
  <c r="DX270" i="90"/>
  <c r="DY270" i="90" s="1"/>
  <c r="EQ270" i="90" s="1"/>
  <c r="FC270" i="90" s="1"/>
  <c r="AX271" i="90"/>
  <c r="AY271" i="90"/>
  <c r="AZ271" i="90"/>
  <c r="BA271" i="90"/>
  <c r="BB271" i="90"/>
  <c r="BC271" i="90"/>
  <c r="BD271" i="90"/>
  <c r="BE271" i="90"/>
  <c r="BF271" i="90"/>
  <c r="BG271" i="90"/>
  <c r="CX271" i="90"/>
  <c r="AI271" i="56" s="1"/>
  <c r="CY271" i="90"/>
  <c r="AJ271" i="56" s="1"/>
  <c r="DN271" i="90"/>
  <c r="DO271" i="90" s="1"/>
  <c r="DW271" i="90"/>
  <c r="DX271" i="90"/>
  <c r="DY271" i="90" s="1"/>
  <c r="AX272" i="90"/>
  <c r="AY272" i="90"/>
  <c r="AZ272" i="90"/>
  <c r="BA272" i="90"/>
  <c r="BB272" i="90"/>
  <c r="BC272" i="90"/>
  <c r="BD272" i="90"/>
  <c r="BE272" i="90"/>
  <c r="BF272" i="90"/>
  <c r="BG272" i="90"/>
  <c r="CX272" i="90"/>
  <c r="AI272" i="56" s="1"/>
  <c r="CY272" i="90"/>
  <c r="AJ272" i="56" s="1"/>
  <c r="DN272" i="90"/>
  <c r="DO272" i="90" s="1"/>
  <c r="DP272" i="90" s="1"/>
  <c r="DW272" i="90"/>
  <c r="EO272" i="90" s="1"/>
  <c r="FE272" i="90" s="1"/>
  <c r="DX272" i="90"/>
  <c r="AX273" i="90"/>
  <c r="AY273" i="90"/>
  <c r="AZ273" i="90"/>
  <c r="BA273" i="90"/>
  <c r="BB273" i="90"/>
  <c r="BC273" i="90"/>
  <c r="BD273" i="90"/>
  <c r="BE273" i="90"/>
  <c r="BF273" i="90"/>
  <c r="BG273" i="90"/>
  <c r="CX273" i="90"/>
  <c r="AI273" i="56" s="1"/>
  <c r="CY273" i="90"/>
  <c r="AJ273" i="56" s="1"/>
  <c r="DN273" i="90"/>
  <c r="DW273" i="90"/>
  <c r="EO273" i="90" s="1"/>
  <c r="FE273" i="90" s="1"/>
  <c r="DX273" i="90"/>
  <c r="DY273" i="90"/>
  <c r="DZ273" i="90" s="1"/>
  <c r="AX274" i="90"/>
  <c r="AY274" i="90"/>
  <c r="AZ274" i="90"/>
  <c r="BA274" i="90"/>
  <c r="BB274" i="90"/>
  <c r="BC274" i="90"/>
  <c r="BD274" i="90"/>
  <c r="BE274" i="90"/>
  <c r="BF274" i="90"/>
  <c r="BG274" i="90"/>
  <c r="CX274" i="90"/>
  <c r="AI274" i="56" s="1"/>
  <c r="CY274" i="90"/>
  <c r="AJ274" i="56" s="1"/>
  <c r="DN274" i="90"/>
  <c r="DO274" i="90" s="1"/>
  <c r="DP274" i="90" s="1"/>
  <c r="EH274" i="90" s="1"/>
  <c r="DW274" i="90"/>
  <c r="EO274" i="90" s="1"/>
  <c r="FE274" i="90" s="1"/>
  <c r="DX274" i="90"/>
  <c r="DY274" i="90" s="1"/>
  <c r="EQ274" i="90" s="1"/>
  <c r="FC274" i="90" s="1"/>
  <c r="EF274" i="90"/>
  <c r="AX275" i="90"/>
  <c r="AY275" i="90"/>
  <c r="AZ275" i="90"/>
  <c r="BA275" i="90"/>
  <c r="BB275" i="90"/>
  <c r="BC275" i="90"/>
  <c r="BD275" i="90"/>
  <c r="BE275" i="90"/>
  <c r="BF275" i="90"/>
  <c r="BG275" i="90"/>
  <c r="CX275" i="90"/>
  <c r="AI275" i="56" s="1"/>
  <c r="CY275" i="90"/>
  <c r="AJ275" i="56" s="1"/>
  <c r="DN275" i="90"/>
  <c r="DW275" i="90"/>
  <c r="DX275" i="90"/>
  <c r="DY275" i="90" s="1"/>
  <c r="EO275" i="90"/>
  <c r="FE275" i="90" s="1"/>
  <c r="AX276" i="90"/>
  <c r="AY276" i="90"/>
  <c r="AZ276" i="90"/>
  <c r="BA276" i="90"/>
  <c r="BB276" i="90"/>
  <c r="BC276" i="90"/>
  <c r="BD276" i="90"/>
  <c r="BE276" i="90"/>
  <c r="BF276" i="90"/>
  <c r="BG276" i="90"/>
  <c r="CX276" i="90"/>
  <c r="AI276" i="56" s="1"/>
  <c r="CY276" i="90"/>
  <c r="AJ276" i="56" s="1"/>
  <c r="DN276" i="90"/>
  <c r="DO276" i="90" s="1"/>
  <c r="DW276" i="90"/>
  <c r="EO276" i="90" s="1"/>
  <c r="FE276" i="90" s="1"/>
  <c r="DX276" i="90"/>
  <c r="DY276" i="90" s="1"/>
  <c r="AX277" i="90"/>
  <c r="AY277" i="90"/>
  <c r="AZ277" i="90"/>
  <c r="BA277" i="90"/>
  <c r="BB277" i="90"/>
  <c r="BC277" i="90"/>
  <c r="BD277" i="90"/>
  <c r="BE277" i="90"/>
  <c r="BF277" i="90"/>
  <c r="BG277" i="90"/>
  <c r="CX277" i="90"/>
  <c r="AI277" i="56" s="1"/>
  <c r="CY277" i="90"/>
  <c r="AJ277" i="56" s="1"/>
  <c r="DN277" i="90"/>
  <c r="DO277" i="90" s="1"/>
  <c r="EG277" i="90" s="1"/>
  <c r="DW277" i="90"/>
  <c r="DX277" i="90"/>
  <c r="DY277" i="90" s="1"/>
  <c r="DZ277" i="90" s="1"/>
  <c r="AX278" i="90"/>
  <c r="AY278" i="90"/>
  <c r="AZ278" i="90"/>
  <c r="BA278" i="90"/>
  <c r="BB278" i="90"/>
  <c r="BC278" i="90"/>
  <c r="BD278" i="90"/>
  <c r="BE278" i="90"/>
  <c r="BF278" i="90"/>
  <c r="BG278" i="90"/>
  <c r="CX278" i="90"/>
  <c r="AI278" i="56" s="1"/>
  <c r="CY278" i="90"/>
  <c r="AJ278" i="56" s="1"/>
  <c r="DN278" i="90"/>
  <c r="DO278" i="90" s="1"/>
  <c r="DW278" i="90"/>
  <c r="DX278" i="90"/>
  <c r="DY278" i="90" s="1"/>
  <c r="AX279" i="90"/>
  <c r="AY279" i="90"/>
  <c r="AZ279" i="90"/>
  <c r="BA279" i="90"/>
  <c r="BB279" i="90"/>
  <c r="BC279" i="90"/>
  <c r="BD279" i="90"/>
  <c r="BE279" i="90"/>
  <c r="BF279" i="90"/>
  <c r="BG279" i="90"/>
  <c r="CX279" i="90"/>
  <c r="AI279" i="56" s="1"/>
  <c r="CY279" i="90"/>
  <c r="AJ279" i="56" s="1"/>
  <c r="DN279" i="90"/>
  <c r="DW279" i="90"/>
  <c r="EO279" i="90" s="1"/>
  <c r="FE279" i="90" s="1"/>
  <c r="DX279" i="90"/>
  <c r="DY279" i="90" s="1"/>
  <c r="AX280" i="90"/>
  <c r="AY280" i="90"/>
  <c r="AZ280" i="90"/>
  <c r="BA280" i="90"/>
  <c r="BB280" i="90"/>
  <c r="BC280" i="90"/>
  <c r="BD280" i="90"/>
  <c r="BE280" i="90"/>
  <c r="BF280" i="90"/>
  <c r="BG280" i="90"/>
  <c r="CX280" i="90"/>
  <c r="AI280" i="56" s="1"/>
  <c r="CY280" i="90"/>
  <c r="AJ280" i="56" s="1"/>
  <c r="DN280" i="90"/>
  <c r="DO280" i="90" s="1"/>
  <c r="DW280" i="90"/>
  <c r="EO280" i="90" s="1"/>
  <c r="FE280" i="90" s="1"/>
  <c r="DX280" i="90"/>
  <c r="DY280" i="90" s="1"/>
  <c r="AX281" i="90"/>
  <c r="AY281" i="90"/>
  <c r="AZ281" i="90"/>
  <c r="BA281" i="90"/>
  <c r="BB281" i="90"/>
  <c r="BC281" i="90"/>
  <c r="BD281" i="90"/>
  <c r="BE281" i="90"/>
  <c r="BF281" i="90"/>
  <c r="BG281" i="90"/>
  <c r="CX281" i="90"/>
  <c r="AI281" i="56" s="1"/>
  <c r="CY281" i="90"/>
  <c r="AJ281" i="56" s="1"/>
  <c r="DN281" i="90"/>
  <c r="DO281" i="90" s="1"/>
  <c r="DW281" i="90"/>
  <c r="DX281" i="90"/>
  <c r="DY281" i="90" s="1"/>
  <c r="EQ281" i="90" s="1"/>
  <c r="FC281" i="90" s="1"/>
  <c r="EO281" i="90"/>
  <c r="FE281" i="90" s="1"/>
  <c r="AX282" i="90"/>
  <c r="AY282" i="90"/>
  <c r="AZ282" i="90"/>
  <c r="BA282" i="90"/>
  <c r="BB282" i="90"/>
  <c r="BC282" i="90"/>
  <c r="BD282" i="90"/>
  <c r="BE282" i="90"/>
  <c r="BF282" i="90"/>
  <c r="BG282" i="90"/>
  <c r="CX282" i="90"/>
  <c r="AI282" i="56" s="1"/>
  <c r="CY282" i="90"/>
  <c r="AJ282" i="56" s="1"/>
  <c r="DN282" i="90"/>
  <c r="DO282" i="90" s="1"/>
  <c r="DW282" i="90"/>
  <c r="DX282" i="90"/>
  <c r="DY282" i="90" s="1"/>
  <c r="DZ282" i="90" s="1"/>
  <c r="EO282" i="90"/>
  <c r="FE282" i="90" s="1"/>
  <c r="AX283" i="90"/>
  <c r="AY283" i="90"/>
  <c r="AZ283" i="90"/>
  <c r="BA283" i="90"/>
  <c r="BB283" i="90"/>
  <c r="BC283" i="90"/>
  <c r="BD283" i="90"/>
  <c r="BE283" i="90"/>
  <c r="BF283" i="90"/>
  <c r="BG283" i="90"/>
  <c r="CX283" i="90"/>
  <c r="AI283" i="56" s="1"/>
  <c r="CY283" i="90"/>
  <c r="AJ283" i="56" s="1"/>
  <c r="DN283" i="90"/>
  <c r="DO283" i="90" s="1"/>
  <c r="DW283" i="90"/>
  <c r="DX283" i="90"/>
  <c r="DY283" i="90" s="1"/>
  <c r="EO283" i="90"/>
  <c r="FE283" i="90" s="1"/>
  <c r="AX284" i="90"/>
  <c r="AY284" i="90"/>
  <c r="AZ284" i="90"/>
  <c r="BA284" i="90"/>
  <c r="BB284" i="90"/>
  <c r="BC284" i="90"/>
  <c r="BD284" i="90"/>
  <c r="BE284" i="90"/>
  <c r="BF284" i="90"/>
  <c r="BG284" i="90"/>
  <c r="CX284" i="90"/>
  <c r="AI284" i="56" s="1"/>
  <c r="CY284" i="90"/>
  <c r="AJ284" i="56" s="1"/>
  <c r="DN284" i="90"/>
  <c r="DO284" i="90" s="1"/>
  <c r="EG284" i="90" s="1"/>
  <c r="DW284" i="90"/>
  <c r="EO284" i="90" s="1"/>
  <c r="FE284" i="90" s="1"/>
  <c r="DX284" i="90"/>
  <c r="DY284" i="90" s="1"/>
  <c r="DZ284" i="90" s="1"/>
  <c r="AX285" i="90"/>
  <c r="AY285" i="90"/>
  <c r="AZ285" i="90"/>
  <c r="BA285" i="90"/>
  <c r="BB285" i="90"/>
  <c r="BC285" i="90"/>
  <c r="BD285" i="90"/>
  <c r="BE285" i="90"/>
  <c r="BF285" i="90"/>
  <c r="BG285" i="90"/>
  <c r="CX285" i="90"/>
  <c r="AI285" i="56" s="1"/>
  <c r="CY285" i="90"/>
  <c r="AJ285" i="56" s="1"/>
  <c r="DN285" i="90"/>
  <c r="DO285" i="90" s="1"/>
  <c r="DP285" i="90" s="1"/>
  <c r="EH285" i="90" s="1"/>
  <c r="DW285" i="90"/>
  <c r="EO285" i="90" s="1"/>
  <c r="FE285" i="90" s="1"/>
  <c r="DX285" i="90"/>
  <c r="DY285" i="90" s="1"/>
  <c r="EQ285" i="90" s="1"/>
  <c r="FC285" i="90" s="1"/>
  <c r="AX286" i="90"/>
  <c r="AY286" i="90"/>
  <c r="AZ286" i="90"/>
  <c r="BA286" i="90"/>
  <c r="BB286" i="90"/>
  <c r="BC286" i="90"/>
  <c r="BD286" i="90"/>
  <c r="BE286" i="90"/>
  <c r="BF286" i="90"/>
  <c r="BG286" i="90"/>
  <c r="CX286" i="90"/>
  <c r="AI286" i="56" s="1"/>
  <c r="CY286" i="90"/>
  <c r="AJ286" i="56" s="1"/>
  <c r="DN286" i="90"/>
  <c r="DO286" i="90" s="1"/>
  <c r="DW286" i="90"/>
  <c r="EO286" i="90" s="1"/>
  <c r="FE286" i="90" s="1"/>
  <c r="DX286" i="90"/>
  <c r="DY286" i="90" s="1"/>
  <c r="AX287" i="90"/>
  <c r="AY287" i="90"/>
  <c r="AZ287" i="90"/>
  <c r="BA287" i="90"/>
  <c r="BB287" i="90"/>
  <c r="BC287" i="90"/>
  <c r="BD287" i="90"/>
  <c r="BE287" i="90"/>
  <c r="BF287" i="90"/>
  <c r="BG287" i="90"/>
  <c r="CX287" i="90"/>
  <c r="AI287" i="56" s="1"/>
  <c r="CY287" i="90"/>
  <c r="AJ287" i="56" s="1"/>
  <c r="DN287" i="90"/>
  <c r="DW287" i="90"/>
  <c r="EO287" i="90" s="1"/>
  <c r="FE287" i="90" s="1"/>
  <c r="DX287" i="90"/>
  <c r="DY287" i="90" s="1"/>
  <c r="DZ287" i="90" s="1"/>
  <c r="EA287" i="90" s="1"/>
  <c r="ES287" i="90" s="1"/>
  <c r="FA287" i="90" s="1"/>
  <c r="AX288" i="90"/>
  <c r="AY288" i="90"/>
  <c r="AZ288" i="90"/>
  <c r="BA288" i="90"/>
  <c r="BB288" i="90"/>
  <c r="BC288" i="90"/>
  <c r="BD288" i="90"/>
  <c r="BE288" i="90"/>
  <c r="BF288" i="90"/>
  <c r="BG288" i="90"/>
  <c r="CX288" i="90"/>
  <c r="AI288" i="56" s="1"/>
  <c r="CY288" i="90"/>
  <c r="AJ288" i="56" s="1"/>
  <c r="DN288" i="90"/>
  <c r="DO288" i="90" s="1"/>
  <c r="EG288" i="90" s="1"/>
  <c r="DW288" i="90"/>
  <c r="DX288" i="90"/>
  <c r="DY288" i="90" s="1"/>
  <c r="AX289" i="90"/>
  <c r="AY289" i="90"/>
  <c r="AZ289" i="90"/>
  <c r="BA289" i="90"/>
  <c r="BB289" i="90"/>
  <c r="BC289" i="90"/>
  <c r="BD289" i="90"/>
  <c r="BE289" i="90"/>
  <c r="BF289" i="90"/>
  <c r="BG289" i="90"/>
  <c r="CX289" i="90"/>
  <c r="AI289" i="56" s="1"/>
  <c r="CY289" i="90"/>
  <c r="AJ289" i="56" s="1"/>
  <c r="DN289" i="90"/>
  <c r="DO289" i="90" s="1"/>
  <c r="DW289" i="90"/>
  <c r="EO289" i="90" s="1"/>
  <c r="FE289" i="90" s="1"/>
  <c r="DX289" i="90"/>
  <c r="DY289" i="90" s="1"/>
  <c r="AX290" i="90"/>
  <c r="AY290" i="90"/>
  <c r="AZ290" i="90"/>
  <c r="BA290" i="90"/>
  <c r="BB290" i="90"/>
  <c r="BC290" i="90"/>
  <c r="BD290" i="90"/>
  <c r="BE290" i="90"/>
  <c r="BF290" i="90"/>
  <c r="BG290" i="90"/>
  <c r="CX290" i="90"/>
  <c r="AI290" i="56" s="1"/>
  <c r="CY290" i="90"/>
  <c r="AJ290" i="56" s="1"/>
  <c r="DN290" i="90"/>
  <c r="DW290" i="90"/>
  <c r="EO290" i="90" s="1"/>
  <c r="FE290" i="90" s="1"/>
  <c r="DX290" i="90"/>
  <c r="DY290" i="90" s="1"/>
  <c r="AX291" i="90"/>
  <c r="AY291" i="90"/>
  <c r="AZ291" i="90"/>
  <c r="BA291" i="90"/>
  <c r="BB291" i="90"/>
  <c r="BC291" i="90"/>
  <c r="BD291" i="90"/>
  <c r="BE291" i="90"/>
  <c r="BF291" i="90"/>
  <c r="BG291" i="90"/>
  <c r="CX291" i="90"/>
  <c r="AI291" i="56" s="1"/>
  <c r="CY291" i="90"/>
  <c r="AJ291" i="56" s="1"/>
  <c r="DN291" i="90"/>
  <c r="DO291" i="90" s="1"/>
  <c r="DW291" i="90"/>
  <c r="DX291" i="90"/>
  <c r="DY291" i="90" s="1"/>
  <c r="EF291" i="90"/>
  <c r="AX292" i="90"/>
  <c r="AY292" i="90"/>
  <c r="AZ292" i="90"/>
  <c r="BA292" i="90"/>
  <c r="BB292" i="90"/>
  <c r="BC292" i="90"/>
  <c r="BD292" i="90"/>
  <c r="BE292" i="90"/>
  <c r="BF292" i="90"/>
  <c r="BG292" i="90"/>
  <c r="CX292" i="90"/>
  <c r="AI292" i="56" s="1"/>
  <c r="CY292" i="90"/>
  <c r="AJ292" i="56" s="1"/>
  <c r="DN292" i="90"/>
  <c r="DO292" i="90" s="1"/>
  <c r="EG292" i="90" s="1"/>
  <c r="DW292" i="90"/>
  <c r="DX292" i="90"/>
  <c r="DY292" i="90" s="1"/>
  <c r="AX293" i="90"/>
  <c r="AY293" i="90"/>
  <c r="AZ293" i="90"/>
  <c r="BA293" i="90"/>
  <c r="BB293" i="90"/>
  <c r="BC293" i="90"/>
  <c r="BD293" i="90"/>
  <c r="BE293" i="90"/>
  <c r="BF293" i="90"/>
  <c r="BG293" i="90"/>
  <c r="CX293" i="90"/>
  <c r="AI293" i="56" s="1"/>
  <c r="CY293" i="90"/>
  <c r="AJ293" i="56" s="1"/>
  <c r="DN293" i="90"/>
  <c r="DO293" i="90" s="1"/>
  <c r="DP293" i="90" s="1"/>
  <c r="EH293" i="90" s="1"/>
  <c r="DW293" i="90"/>
  <c r="EO293" i="90" s="1"/>
  <c r="FE293" i="90" s="1"/>
  <c r="DX293" i="90"/>
  <c r="DY293" i="90" s="1"/>
  <c r="EQ293" i="90" s="1"/>
  <c r="EF293" i="90"/>
  <c r="FC293" i="90"/>
  <c r="AX294" i="90"/>
  <c r="AY294" i="90"/>
  <c r="AZ294" i="90"/>
  <c r="BA294" i="90"/>
  <c r="BB294" i="90"/>
  <c r="BC294" i="90"/>
  <c r="BD294" i="90"/>
  <c r="BE294" i="90"/>
  <c r="BF294" i="90"/>
  <c r="BG294" i="90"/>
  <c r="CX294" i="90"/>
  <c r="AI294" i="56" s="1"/>
  <c r="CY294" i="90"/>
  <c r="AJ294" i="56" s="1"/>
  <c r="DN294" i="90"/>
  <c r="DO294" i="90" s="1"/>
  <c r="DW294" i="90"/>
  <c r="EO294" i="90" s="1"/>
  <c r="FE294" i="90" s="1"/>
  <c r="DX294" i="90"/>
  <c r="AX295" i="90"/>
  <c r="AY295" i="90"/>
  <c r="AZ295" i="90"/>
  <c r="BA295" i="90"/>
  <c r="BB295" i="90"/>
  <c r="BC295" i="90"/>
  <c r="BD295" i="90"/>
  <c r="BE295" i="90"/>
  <c r="BF295" i="90"/>
  <c r="BG295" i="90"/>
  <c r="CX295" i="90"/>
  <c r="AI295" i="56" s="1"/>
  <c r="CY295" i="90"/>
  <c r="AJ295" i="56" s="1"/>
  <c r="DN295" i="90"/>
  <c r="DO295" i="90" s="1"/>
  <c r="DW295" i="90"/>
  <c r="EO295" i="90" s="1"/>
  <c r="FE295" i="90" s="1"/>
  <c r="DX295" i="90"/>
  <c r="DY295" i="90" s="1"/>
  <c r="EF295" i="90"/>
  <c r="AX296" i="90"/>
  <c r="AY296" i="90"/>
  <c r="AZ296" i="90"/>
  <c r="BA296" i="90"/>
  <c r="BB296" i="90"/>
  <c r="BC296" i="90"/>
  <c r="BD296" i="90"/>
  <c r="BE296" i="90"/>
  <c r="BF296" i="90"/>
  <c r="BG296" i="90"/>
  <c r="CX296" i="90"/>
  <c r="AI296" i="56" s="1"/>
  <c r="CY296" i="90"/>
  <c r="AJ296" i="56" s="1"/>
  <c r="DN296" i="90"/>
  <c r="DO296" i="90" s="1"/>
  <c r="DW296" i="90"/>
  <c r="EO296" i="90" s="1"/>
  <c r="FE296" i="90" s="1"/>
  <c r="DX296" i="90"/>
  <c r="DY296" i="90" s="1"/>
  <c r="AX297" i="90"/>
  <c r="AY297" i="90"/>
  <c r="AZ297" i="90"/>
  <c r="BA297" i="90"/>
  <c r="BB297" i="90"/>
  <c r="BC297" i="90"/>
  <c r="BD297" i="90"/>
  <c r="BE297" i="90"/>
  <c r="BF297" i="90"/>
  <c r="BG297" i="90"/>
  <c r="CX297" i="90"/>
  <c r="AI297" i="56" s="1"/>
  <c r="CY297" i="90"/>
  <c r="AJ297" i="56" s="1"/>
  <c r="DN297" i="90"/>
  <c r="DO297" i="90" s="1"/>
  <c r="DW297" i="90"/>
  <c r="DX297" i="90"/>
  <c r="DY297" i="90" s="1"/>
  <c r="EF297" i="90"/>
  <c r="EO297" i="90"/>
  <c r="FE297" i="90" s="1"/>
  <c r="AX298" i="90"/>
  <c r="AY298" i="90"/>
  <c r="AZ298" i="90"/>
  <c r="BA298" i="90"/>
  <c r="BB298" i="90"/>
  <c r="BC298" i="90"/>
  <c r="BD298" i="90"/>
  <c r="BE298" i="90"/>
  <c r="BF298" i="90"/>
  <c r="BG298" i="90"/>
  <c r="CX298" i="90"/>
  <c r="AI298" i="56" s="1"/>
  <c r="CY298" i="90"/>
  <c r="AJ298" i="56" s="1"/>
  <c r="DN298" i="90"/>
  <c r="DO298" i="90" s="1"/>
  <c r="DW298" i="90"/>
  <c r="DX298" i="90"/>
  <c r="DY298" i="90" s="1"/>
  <c r="EF298" i="90"/>
  <c r="EO298" i="90"/>
  <c r="FE298" i="90" s="1"/>
  <c r="AX299" i="90"/>
  <c r="AY299" i="90"/>
  <c r="AZ299" i="90"/>
  <c r="BA299" i="90"/>
  <c r="BB299" i="90"/>
  <c r="BC299" i="90"/>
  <c r="BD299" i="90"/>
  <c r="BE299" i="90"/>
  <c r="BF299" i="90"/>
  <c r="BG299" i="90"/>
  <c r="CX299" i="90"/>
  <c r="AI299" i="56" s="1"/>
  <c r="CY299" i="90"/>
  <c r="AJ299" i="56" s="1"/>
  <c r="DN299" i="90"/>
  <c r="DO299" i="90" s="1"/>
  <c r="DW299" i="90"/>
  <c r="EO299" i="90" s="1"/>
  <c r="FE299" i="90" s="1"/>
  <c r="DX299" i="90"/>
  <c r="DY299" i="90" s="1"/>
  <c r="DZ299" i="90" s="1"/>
  <c r="EF299" i="90"/>
  <c r="AX300" i="90"/>
  <c r="AY300" i="90"/>
  <c r="AZ300" i="90"/>
  <c r="BA300" i="90"/>
  <c r="BB300" i="90"/>
  <c r="BC300" i="90"/>
  <c r="BD300" i="90"/>
  <c r="BE300" i="90"/>
  <c r="BF300" i="90"/>
  <c r="BG300" i="90"/>
  <c r="CX300" i="90"/>
  <c r="AI300" i="56" s="1"/>
  <c r="CY300" i="90"/>
  <c r="AJ300" i="56" s="1"/>
  <c r="DN300" i="90"/>
  <c r="DO300" i="90" s="1"/>
  <c r="DW300" i="90"/>
  <c r="DX300" i="90"/>
  <c r="DY300" i="90" s="1"/>
  <c r="AX301" i="90"/>
  <c r="AY301" i="90"/>
  <c r="AZ301" i="90"/>
  <c r="BA301" i="90"/>
  <c r="BB301" i="90"/>
  <c r="BC301" i="90"/>
  <c r="BD301" i="90"/>
  <c r="BE301" i="90"/>
  <c r="BF301" i="90"/>
  <c r="BG301" i="90"/>
  <c r="CX301" i="90"/>
  <c r="AI301" i="56" s="1"/>
  <c r="CY301" i="90"/>
  <c r="AJ301" i="56" s="1"/>
  <c r="DN301" i="90"/>
  <c r="DO301" i="90" s="1"/>
  <c r="DW301" i="90"/>
  <c r="DX301" i="90"/>
  <c r="DY301" i="90" s="1"/>
  <c r="DZ301" i="90" s="1"/>
  <c r="AX302" i="90"/>
  <c r="AY302" i="90"/>
  <c r="AZ302" i="90"/>
  <c r="BA302" i="90"/>
  <c r="BB302" i="90"/>
  <c r="BC302" i="90"/>
  <c r="BD302" i="90"/>
  <c r="BE302" i="90"/>
  <c r="BF302" i="90"/>
  <c r="BG302" i="90"/>
  <c r="CX302" i="90"/>
  <c r="AI302" i="56" s="1"/>
  <c r="CY302" i="90"/>
  <c r="AJ302" i="56" s="1"/>
  <c r="DN302" i="90"/>
  <c r="DO302" i="90" s="1"/>
  <c r="DW302" i="90"/>
  <c r="EO302" i="90" s="1"/>
  <c r="FE302" i="90" s="1"/>
  <c r="DX302" i="90"/>
  <c r="DY302" i="90" s="1"/>
  <c r="AX303" i="90"/>
  <c r="AY303" i="90"/>
  <c r="AZ303" i="90"/>
  <c r="BA303" i="90"/>
  <c r="BB303" i="90"/>
  <c r="BC303" i="90"/>
  <c r="BD303" i="90"/>
  <c r="BE303" i="90"/>
  <c r="BF303" i="90"/>
  <c r="BG303" i="90"/>
  <c r="CX303" i="90"/>
  <c r="AI303" i="56" s="1"/>
  <c r="CY303" i="90"/>
  <c r="AJ303" i="56" s="1"/>
  <c r="DN303" i="90"/>
  <c r="DO303" i="90" s="1"/>
  <c r="DW303" i="90"/>
  <c r="EO303" i="90" s="1"/>
  <c r="FE303" i="90" s="1"/>
  <c r="DX303" i="90"/>
  <c r="DY303" i="90" s="1"/>
  <c r="DZ303" i="90" s="1"/>
  <c r="AX304" i="90"/>
  <c r="AY304" i="90"/>
  <c r="AZ304" i="90"/>
  <c r="BA304" i="90"/>
  <c r="BB304" i="90"/>
  <c r="BC304" i="90"/>
  <c r="BD304" i="90"/>
  <c r="BE304" i="90"/>
  <c r="BF304" i="90"/>
  <c r="BG304" i="90"/>
  <c r="CX304" i="90"/>
  <c r="AI304" i="56" s="1"/>
  <c r="CY304" i="90"/>
  <c r="AJ304" i="56" s="1"/>
  <c r="DN304" i="90"/>
  <c r="DW304" i="90"/>
  <c r="EO304" i="90" s="1"/>
  <c r="FE304" i="90" s="1"/>
  <c r="DX304" i="90"/>
  <c r="DY304" i="90" s="1"/>
  <c r="AX305" i="90"/>
  <c r="AY305" i="90"/>
  <c r="AZ305" i="90"/>
  <c r="BA305" i="90"/>
  <c r="BB305" i="90"/>
  <c r="BC305" i="90"/>
  <c r="BD305" i="90"/>
  <c r="BE305" i="90"/>
  <c r="BF305" i="90"/>
  <c r="BG305" i="90"/>
  <c r="CX305" i="90"/>
  <c r="AI305" i="56" s="1"/>
  <c r="CY305" i="90"/>
  <c r="AJ305" i="56" s="1"/>
  <c r="DN305" i="90"/>
  <c r="DO305" i="90" s="1"/>
  <c r="EG305" i="90" s="1"/>
  <c r="DW305" i="90"/>
  <c r="DX305" i="90"/>
  <c r="DY305" i="90" s="1"/>
  <c r="DZ305" i="90" s="1"/>
  <c r="ER305" i="90" s="1"/>
  <c r="FB305" i="90" s="1"/>
  <c r="AX306" i="90"/>
  <c r="AY306" i="90"/>
  <c r="AZ306" i="90"/>
  <c r="BA306" i="90"/>
  <c r="BB306" i="90"/>
  <c r="BC306" i="90"/>
  <c r="BD306" i="90"/>
  <c r="BE306" i="90"/>
  <c r="BF306" i="90"/>
  <c r="BG306" i="90"/>
  <c r="CX306" i="90"/>
  <c r="AI306" i="56" s="1"/>
  <c r="CY306" i="90"/>
  <c r="AJ306" i="56" s="1"/>
  <c r="DN306" i="90"/>
  <c r="DO306" i="90"/>
  <c r="DW306" i="90"/>
  <c r="EO306" i="90" s="1"/>
  <c r="FE306" i="90" s="1"/>
  <c r="DX306" i="90"/>
  <c r="EF306" i="90"/>
  <c r="AX307" i="90"/>
  <c r="AY307" i="90"/>
  <c r="AZ307" i="90"/>
  <c r="BA307" i="90"/>
  <c r="BB307" i="90"/>
  <c r="BC307" i="90"/>
  <c r="BD307" i="90"/>
  <c r="BE307" i="90"/>
  <c r="BF307" i="90"/>
  <c r="BG307" i="90"/>
  <c r="CX307" i="90"/>
  <c r="AI307" i="56" s="1"/>
  <c r="CY307" i="90"/>
  <c r="AJ307" i="56" s="1"/>
  <c r="DN307" i="90"/>
  <c r="DO307" i="90" s="1"/>
  <c r="EG307" i="90" s="1"/>
  <c r="DW307" i="90"/>
  <c r="DX307" i="90"/>
  <c r="DY307" i="90" s="1"/>
  <c r="AX308" i="90"/>
  <c r="AY308" i="90"/>
  <c r="AZ308" i="90"/>
  <c r="BA308" i="90"/>
  <c r="BB308" i="90"/>
  <c r="BC308" i="90"/>
  <c r="BD308" i="90"/>
  <c r="BE308" i="90"/>
  <c r="BF308" i="90"/>
  <c r="BG308" i="90"/>
  <c r="CX308" i="90"/>
  <c r="AI308" i="56" s="1"/>
  <c r="CY308" i="90"/>
  <c r="AJ308" i="56" s="1"/>
  <c r="DN308" i="90"/>
  <c r="DW308" i="90"/>
  <c r="EO308" i="90" s="1"/>
  <c r="FE308" i="90" s="1"/>
  <c r="DX308" i="90"/>
  <c r="DY308" i="90" s="1"/>
  <c r="B47" i="90"/>
  <c r="B48" i="90" s="1"/>
  <c r="B49" i="90" s="1"/>
  <c r="B50" i="90" s="1"/>
  <c r="B51" i="90" s="1"/>
  <c r="B52" i="90" s="1"/>
  <c r="B53" i="90" s="1"/>
  <c r="B54" i="90" s="1"/>
  <c r="B55" i="90" s="1"/>
  <c r="B56" i="90" s="1"/>
  <c r="B57" i="90" s="1"/>
  <c r="B58" i="90" s="1"/>
  <c r="B59" i="90" s="1"/>
  <c r="B60" i="90" s="1"/>
  <c r="B62" i="90" s="1"/>
  <c r="B63" i="90" s="1"/>
  <c r="B64" i="90" s="1"/>
  <c r="B65" i="90" s="1"/>
  <c r="B66" i="90" s="1"/>
  <c r="B67" i="90" s="1"/>
  <c r="B68" i="90" s="1"/>
  <c r="B69" i="90" s="1"/>
  <c r="B70" i="90" s="1"/>
  <c r="B71" i="90" s="1"/>
  <c r="B72" i="90" s="1"/>
  <c r="B73" i="90" s="1"/>
  <c r="B74" i="90" s="1"/>
  <c r="B75" i="90" s="1"/>
  <c r="B76" i="90" s="1"/>
  <c r="B77" i="90" s="1"/>
  <c r="B78" i="90" s="1"/>
  <c r="B79" i="90" s="1"/>
  <c r="B80" i="90" s="1"/>
  <c r="B81" i="90" s="1"/>
  <c r="B82" i="90" s="1"/>
  <c r="B83" i="90" s="1"/>
  <c r="B84" i="90" s="1"/>
  <c r="B85" i="90" s="1"/>
  <c r="B86" i="90" s="1"/>
  <c r="B87" i="90" s="1"/>
  <c r="B88" i="90" s="1"/>
  <c r="B89" i="90" s="1"/>
  <c r="B90" i="90" s="1"/>
  <c r="B91" i="90" s="1"/>
  <c r="B92" i="90" s="1"/>
  <c r="B93" i="90" s="1"/>
  <c r="B94" i="90" s="1"/>
  <c r="B95" i="90" s="1"/>
  <c r="B96" i="90" s="1"/>
  <c r="B97" i="90" s="1"/>
  <c r="B98" i="90" s="1"/>
  <c r="B99" i="90" s="1"/>
  <c r="B100" i="90" s="1"/>
  <c r="B101" i="90" s="1"/>
  <c r="B102" i="90" s="1"/>
  <c r="B103" i="90" s="1"/>
  <c r="B104" i="90" s="1"/>
  <c r="B105" i="90" s="1"/>
  <c r="B106" i="90" s="1"/>
  <c r="B107" i="90" s="1"/>
  <c r="B108" i="90" s="1"/>
  <c r="B109" i="90" s="1"/>
  <c r="B110" i="90" s="1"/>
  <c r="B111" i="90" s="1"/>
  <c r="B112" i="90" s="1"/>
  <c r="B113" i="90" s="1"/>
  <c r="B114" i="90" s="1"/>
  <c r="B115" i="90" s="1"/>
  <c r="B116" i="90" s="1"/>
  <c r="B117" i="90" s="1"/>
  <c r="B118" i="90" s="1"/>
  <c r="B119" i="90" s="1"/>
  <c r="B120" i="90" s="1"/>
  <c r="B121" i="90" s="1"/>
  <c r="B122" i="90" s="1"/>
  <c r="B123" i="90" s="1"/>
  <c r="B124" i="90" s="1"/>
  <c r="B125" i="90" s="1"/>
  <c r="B126" i="90" s="1"/>
  <c r="B127" i="90" s="1"/>
  <c r="B128" i="90" s="1"/>
  <c r="B129" i="90" s="1"/>
  <c r="B130" i="90" s="1"/>
  <c r="B131" i="90" s="1"/>
  <c r="B132" i="90" s="1"/>
  <c r="B133" i="90" s="1"/>
  <c r="B134" i="90" s="1"/>
  <c r="B135" i="90" s="1"/>
  <c r="B136" i="90" s="1"/>
  <c r="B137" i="90" s="1"/>
  <c r="B138" i="90" s="1"/>
  <c r="B139" i="90" s="1"/>
  <c r="B140" i="90" s="1"/>
  <c r="B141" i="90" s="1"/>
  <c r="B142" i="90" s="1"/>
  <c r="B143" i="90" s="1"/>
  <c r="B144" i="90" s="1"/>
  <c r="B145" i="90" s="1"/>
  <c r="B146" i="90" s="1"/>
  <c r="B147" i="90" s="1"/>
  <c r="B148" i="90" s="1"/>
  <c r="B149" i="90" s="1"/>
  <c r="B150" i="90" s="1"/>
  <c r="B151" i="90" s="1"/>
  <c r="B152" i="90" s="1"/>
  <c r="B153" i="90" s="1"/>
  <c r="B154" i="90" s="1"/>
  <c r="B155" i="90" s="1"/>
  <c r="B156" i="90" s="1"/>
  <c r="B157" i="90" s="1"/>
  <c r="B158" i="90" s="1"/>
  <c r="B159" i="90" s="1"/>
  <c r="B160" i="90" s="1"/>
  <c r="B161" i="90" s="1"/>
  <c r="B162" i="90" s="1"/>
  <c r="B163" i="90" s="1"/>
  <c r="B164" i="90" s="1"/>
  <c r="B165" i="90" s="1"/>
  <c r="B166" i="90" s="1"/>
  <c r="B167" i="90" s="1"/>
  <c r="B168" i="90" s="1"/>
  <c r="B169" i="90" s="1"/>
  <c r="B170" i="90" s="1"/>
  <c r="B171" i="90" s="1"/>
  <c r="B172" i="90" s="1"/>
  <c r="B173" i="90" s="1"/>
  <c r="B174" i="90" s="1"/>
  <c r="B175" i="90" s="1"/>
  <c r="B176" i="90" s="1"/>
  <c r="B177" i="90" s="1"/>
  <c r="B178" i="90" s="1"/>
  <c r="B179" i="90" s="1"/>
  <c r="B180" i="90" s="1"/>
  <c r="B181" i="90" s="1"/>
  <c r="B182" i="90" s="1"/>
  <c r="B183" i="90" s="1"/>
  <c r="B184" i="90" s="1"/>
  <c r="B185" i="90" s="1"/>
  <c r="B186" i="90" s="1"/>
  <c r="B187" i="90" s="1"/>
  <c r="B188" i="90" s="1"/>
  <c r="B189" i="90" s="1"/>
  <c r="B190" i="90" s="1"/>
  <c r="B191" i="90" s="1"/>
  <c r="B192" i="90" s="1"/>
  <c r="B193" i="90" s="1"/>
  <c r="B194" i="90" s="1"/>
  <c r="B195" i="90" s="1"/>
  <c r="B196" i="90" s="1"/>
  <c r="B197" i="90" s="1"/>
  <c r="B198" i="90" s="1"/>
  <c r="B199" i="90" s="1"/>
  <c r="B200" i="90" s="1"/>
  <c r="B201" i="90" s="1"/>
  <c r="B202" i="90" s="1"/>
  <c r="B203" i="90" s="1"/>
  <c r="B204" i="90" s="1"/>
  <c r="B205" i="90" s="1"/>
  <c r="B206" i="90" s="1"/>
  <c r="B207" i="90" s="1"/>
  <c r="B208" i="90" s="1"/>
  <c r="B209" i="90" s="1"/>
  <c r="B210" i="90" s="1"/>
  <c r="B211" i="90" s="1"/>
  <c r="B212" i="90" s="1"/>
  <c r="B213" i="90" s="1"/>
  <c r="B214" i="90" s="1"/>
  <c r="B215" i="90" s="1"/>
  <c r="B216" i="90" s="1"/>
  <c r="B217" i="90" s="1"/>
  <c r="B218" i="90" s="1"/>
  <c r="B219" i="90" s="1"/>
  <c r="B220" i="90" s="1"/>
  <c r="B221" i="90" s="1"/>
  <c r="B222" i="90" s="1"/>
  <c r="B223" i="90" s="1"/>
  <c r="B224" i="90" s="1"/>
  <c r="B225" i="90" s="1"/>
  <c r="B226" i="90" s="1"/>
  <c r="B227" i="90" s="1"/>
  <c r="B228" i="90" s="1"/>
  <c r="B229" i="90" s="1"/>
  <c r="B230" i="90" s="1"/>
  <c r="B231" i="90" s="1"/>
  <c r="B232" i="90" s="1"/>
  <c r="B233" i="90" s="1"/>
  <c r="B234" i="90" s="1"/>
  <c r="B235" i="90" s="1"/>
  <c r="B236" i="90" s="1"/>
  <c r="B237" i="90" s="1"/>
  <c r="B238" i="90" s="1"/>
  <c r="B239" i="90" s="1"/>
  <c r="B240" i="90" s="1"/>
  <c r="B241" i="90" s="1"/>
  <c r="B242" i="90" s="1"/>
  <c r="B243" i="90" s="1"/>
  <c r="B244" i="90" s="1"/>
  <c r="B245" i="90" s="1"/>
  <c r="B246" i="90" s="1"/>
  <c r="B247" i="90" s="1"/>
  <c r="B248" i="90" s="1"/>
  <c r="B249" i="90" s="1"/>
  <c r="B250" i="90" s="1"/>
  <c r="B251" i="90" s="1"/>
  <c r="B252" i="90" s="1"/>
  <c r="B253" i="90" s="1"/>
  <c r="B254" i="90" s="1"/>
  <c r="B255" i="90" s="1"/>
  <c r="B256" i="90" s="1"/>
  <c r="B257" i="90" s="1"/>
  <c r="B258" i="90" s="1"/>
  <c r="B259" i="90" s="1"/>
  <c r="B260" i="90" s="1"/>
  <c r="B261" i="90" s="1"/>
  <c r="B262" i="90" s="1"/>
  <c r="B263" i="90" s="1"/>
  <c r="B264" i="90" s="1"/>
  <c r="B265" i="90" s="1"/>
  <c r="B266" i="90" s="1"/>
  <c r="B267" i="90" s="1"/>
  <c r="B268" i="90" s="1"/>
  <c r="B269" i="90" s="1"/>
  <c r="B270" i="90" s="1"/>
  <c r="B271" i="90" s="1"/>
  <c r="B272" i="90" s="1"/>
  <c r="B273" i="90" s="1"/>
  <c r="B274" i="90" s="1"/>
  <c r="B275" i="90" s="1"/>
  <c r="B276" i="90" s="1"/>
  <c r="B277" i="90" s="1"/>
  <c r="B278" i="90" s="1"/>
  <c r="B279" i="90" s="1"/>
  <c r="B280" i="90" s="1"/>
  <c r="B281" i="90" s="1"/>
  <c r="B282" i="90" s="1"/>
  <c r="B283" i="90" s="1"/>
  <c r="B284" i="90" s="1"/>
  <c r="B285" i="90" s="1"/>
  <c r="B286" i="90" s="1"/>
  <c r="B287" i="90" s="1"/>
  <c r="B288" i="90" s="1"/>
  <c r="B289" i="90" s="1"/>
  <c r="B290" i="90" s="1"/>
  <c r="B291" i="90" s="1"/>
  <c r="B292" i="90" s="1"/>
  <c r="B293" i="90" s="1"/>
  <c r="B294" i="90" s="1"/>
  <c r="B295" i="90" s="1"/>
  <c r="B296" i="90" s="1"/>
  <c r="B297" i="90" s="1"/>
  <c r="B298" i="90" s="1"/>
  <c r="B299" i="90" s="1"/>
  <c r="B300" i="90" s="1"/>
  <c r="B301" i="90" s="1"/>
  <c r="B302" i="90" s="1"/>
  <c r="B303" i="90" s="1"/>
  <c r="B304" i="90" s="1"/>
  <c r="B305" i="90" s="1"/>
  <c r="B306" i="90" s="1"/>
  <c r="B307" i="90" s="1"/>
  <c r="B308" i="90" s="1"/>
  <c r="B309" i="90" s="1"/>
  <c r="B310" i="90" s="1"/>
  <c r="B311" i="90" s="1"/>
  <c r="B312" i="90" s="1"/>
  <c r="B313" i="90" s="1"/>
  <c r="B314" i="90" s="1"/>
  <c r="B315" i="90" s="1"/>
  <c r="B316" i="90" s="1"/>
  <c r="B317" i="90" s="1"/>
  <c r="B318" i="90" s="1"/>
  <c r="B319" i="90" s="1"/>
  <c r="B320" i="90" s="1"/>
  <c r="B321" i="90" s="1"/>
  <c r="B322" i="90" s="1"/>
  <c r="B323" i="90" s="1"/>
  <c r="B324" i="90" s="1"/>
  <c r="B325" i="90" s="1"/>
  <c r="B326" i="90" s="1"/>
  <c r="B327" i="90" s="1"/>
  <c r="B328" i="90" s="1"/>
  <c r="B329" i="90" s="1"/>
  <c r="B330" i="90" s="1"/>
  <c r="B331" i="90" s="1"/>
  <c r="B332" i="90" s="1"/>
  <c r="B333" i="90" s="1"/>
  <c r="B334" i="90" s="1"/>
  <c r="B335" i="90" s="1"/>
  <c r="B336" i="90" s="1"/>
  <c r="B337" i="90" s="1"/>
  <c r="B338" i="90" s="1"/>
  <c r="B339" i="90" s="1"/>
  <c r="B340" i="90" s="1"/>
  <c r="B341" i="90" s="1"/>
  <c r="B342" i="90" s="1"/>
  <c r="B343" i="90" s="1"/>
  <c r="B344" i="90" s="1"/>
  <c r="B345" i="90" s="1"/>
  <c r="B346" i="90" s="1"/>
  <c r="B347" i="90" s="1"/>
  <c r="B348" i="90" s="1"/>
  <c r="B349" i="90" s="1"/>
  <c r="B350" i="90" s="1"/>
  <c r="B351" i="90" s="1"/>
  <c r="B352" i="90" s="1"/>
  <c r="B353" i="90" s="1"/>
  <c r="B354" i="90" s="1"/>
  <c r="B355" i="90" s="1"/>
  <c r="B356" i="90" s="1"/>
  <c r="B357" i="90" s="1"/>
  <c r="B358" i="90" s="1"/>
  <c r="B359" i="90" s="1"/>
  <c r="B360" i="90" s="1"/>
  <c r="B361" i="90" s="1"/>
  <c r="B362" i="90" s="1"/>
  <c r="B363" i="90" s="1"/>
  <c r="B364" i="90" s="1"/>
  <c r="B365" i="90" s="1"/>
  <c r="B366" i="90" s="1"/>
  <c r="B367" i="90" s="1"/>
  <c r="B368" i="90" s="1"/>
  <c r="B369" i="90" s="1"/>
  <c r="B370" i="90" s="1"/>
  <c r="B371" i="90" s="1"/>
  <c r="B372" i="90" s="1"/>
  <c r="B373" i="90" s="1"/>
  <c r="B374" i="90" s="1"/>
  <c r="B375" i="90" s="1"/>
  <c r="B376" i="90" s="1"/>
  <c r="B377" i="90" s="1"/>
  <c r="B378" i="90" s="1"/>
  <c r="B379" i="90" s="1"/>
  <c r="B380" i="90" s="1"/>
  <c r="B381" i="90" s="1"/>
  <c r="B382" i="90" s="1"/>
  <c r="B383" i="90" s="1"/>
  <c r="B384" i="90" s="1"/>
  <c r="B385" i="90" s="1"/>
  <c r="B386" i="90" s="1"/>
  <c r="B387" i="90" s="1"/>
  <c r="B388" i="90" s="1"/>
  <c r="B389" i="90" s="1"/>
  <c r="B390" i="90" s="1"/>
  <c r="B391" i="90" s="1"/>
  <c r="B392" i="90" s="1"/>
  <c r="B393" i="90" s="1"/>
  <c r="B394" i="90" s="1"/>
  <c r="B395" i="90" s="1"/>
  <c r="B396" i="90" s="1"/>
  <c r="AX204" i="90"/>
  <c r="AY204" i="90"/>
  <c r="AZ204" i="90"/>
  <c r="BA204" i="90"/>
  <c r="BB204" i="90"/>
  <c r="BC204" i="90"/>
  <c r="BD204" i="90"/>
  <c r="BE204" i="90"/>
  <c r="BF204" i="90"/>
  <c r="BG204" i="90"/>
  <c r="CX204" i="90"/>
  <c r="AI204" i="56" s="1"/>
  <c r="CY204" i="90"/>
  <c r="AJ204" i="56" s="1"/>
  <c r="DN204" i="90"/>
  <c r="DO204" i="90" s="1"/>
  <c r="DW204" i="90"/>
  <c r="EO204" i="90" s="1"/>
  <c r="FE204" i="90" s="1"/>
  <c r="DX204" i="90"/>
  <c r="AX205" i="90"/>
  <c r="AY205" i="90"/>
  <c r="AZ205" i="90"/>
  <c r="BA205" i="90"/>
  <c r="BB205" i="90"/>
  <c r="BC205" i="90"/>
  <c r="BD205" i="90"/>
  <c r="BE205" i="90"/>
  <c r="BF205" i="90"/>
  <c r="BG205" i="90"/>
  <c r="CX205" i="90"/>
  <c r="AI205" i="56" s="1"/>
  <c r="CY205" i="90"/>
  <c r="AJ205" i="56" s="1"/>
  <c r="DN205" i="90"/>
  <c r="DO205" i="90" s="1"/>
  <c r="DW205" i="90"/>
  <c r="EO205" i="90" s="1"/>
  <c r="FE205" i="90" s="1"/>
  <c r="DX205" i="90"/>
  <c r="AX206" i="90"/>
  <c r="AY206" i="90"/>
  <c r="AZ206" i="90"/>
  <c r="BA206" i="90"/>
  <c r="BB206" i="90"/>
  <c r="BC206" i="90"/>
  <c r="BD206" i="90"/>
  <c r="BE206" i="90"/>
  <c r="BF206" i="90"/>
  <c r="BG206" i="90"/>
  <c r="CX206" i="90"/>
  <c r="AI206" i="56" s="1"/>
  <c r="CY206" i="90"/>
  <c r="AJ206" i="56" s="1"/>
  <c r="DN206" i="90"/>
  <c r="DO206" i="90" s="1"/>
  <c r="DW206" i="90"/>
  <c r="EO206" i="90" s="1"/>
  <c r="FE206" i="90" s="1"/>
  <c r="DX206" i="90"/>
  <c r="DY206" i="90" s="1"/>
  <c r="AX207" i="90"/>
  <c r="AY207" i="90"/>
  <c r="AZ207" i="90"/>
  <c r="BA207" i="90"/>
  <c r="BB207" i="90"/>
  <c r="BC207" i="90"/>
  <c r="BD207" i="90"/>
  <c r="BE207" i="90"/>
  <c r="BF207" i="90"/>
  <c r="BG207" i="90"/>
  <c r="CX207" i="90"/>
  <c r="AI207" i="56" s="1"/>
  <c r="CY207" i="90"/>
  <c r="AJ207" i="56" s="1"/>
  <c r="DN207" i="90"/>
  <c r="DO207" i="90" s="1"/>
  <c r="EG207" i="90" s="1"/>
  <c r="DW207" i="90"/>
  <c r="DX207" i="90"/>
  <c r="DY207" i="90" s="1"/>
  <c r="AX208" i="90"/>
  <c r="AY208" i="90"/>
  <c r="AZ208" i="90"/>
  <c r="BA208" i="90"/>
  <c r="BB208" i="90"/>
  <c r="BC208" i="90"/>
  <c r="BD208" i="90"/>
  <c r="BE208" i="90"/>
  <c r="BF208" i="90"/>
  <c r="BG208" i="90"/>
  <c r="CX208" i="90"/>
  <c r="AI208" i="56" s="1"/>
  <c r="CY208" i="90"/>
  <c r="AJ208" i="56" s="1"/>
  <c r="DN208" i="90"/>
  <c r="DO208" i="90" s="1"/>
  <c r="DW208" i="90"/>
  <c r="EO208" i="90" s="1"/>
  <c r="FE208" i="90" s="1"/>
  <c r="DX208" i="90"/>
  <c r="DY208" i="90" s="1"/>
  <c r="AX209" i="90"/>
  <c r="AY209" i="90"/>
  <c r="AZ209" i="90"/>
  <c r="BA209" i="90"/>
  <c r="BB209" i="90"/>
  <c r="BC209" i="90"/>
  <c r="BD209" i="90"/>
  <c r="BE209" i="90"/>
  <c r="BF209" i="90"/>
  <c r="BG209" i="90"/>
  <c r="CX209" i="90"/>
  <c r="AI209" i="56" s="1"/>
  <c r="CY209" i="90"/>
  <c r="AJ209" i="56" s="1"/>
  <c r="DN209" i="90"/>
  <c r="DO209" i="90" s="1"/>
  <c r="EG209" i="90" s="1"/>
  <c r="DW209" i="90"/>
  <c r="DX209" i="90"/>
  <c r="DY209" i="90" s="1"/>
  <c r="AX210" i="90"/>
  <c r="AY210" i="90"/>
  <c r="AZ210" i="90"/>
  <c r="BA210" i="90"/>
  <c r="BB210" i="90"/>
  <c r="BC210" i="90"/>
  <c r="BD210" i="90"/>
  <c r="BE210" i="90"/>
  <c r="BF210" i="90"/>
  <c r="BG210" i="90"/>
  <c r="CX210" i="90"/>
  <c r="AI210" i="56" s="1"/>
  <c r="CY210" i="90"/>
  <c r="AJ210" i="56" s="1"/>
  <c r="DN210" i="90"/>
  <c r="DW210" i="90"/>
  <c r="EO210" i="90" s="1"/>
  <c r="FE210" i="90" s="1"/>
  <c r="DX210" i="90"/>
  <c r="AX211" i="90"/>
  <c r="AY211" i="90"/>
  <c r="AZ211" i="90"/>
  <c r="BA211" i="90"/>
  <c r="BB211" i="90"/>
  <c r="BC211" i="90"/>
  <c r="BD211" i="90"/>
  <c r="BE211" i="90"/>
  <c r="BF211" i="90"/>
  <c r="BG211" i="90"/>
  <c r="CX211" i="90"/>
  <c r="AI211" i="56" s="1"/>
  <c r="CY211" i="90"/>
  <c r="AJ211" i="56" s="1"/>
  <c r="DN211" i="90"/>
  <c r="DW211" i="90"/>
  <c r="EO211" i="90" s="1"/>
  <c r="FE211" i="90" s="1"/>
  <c r="DX211" i="90"/>
  <c r="DY211" i="90" s="1"/>
  <c r="AX212" i="90"/>
  <c r="AY212" i="90"/>
  <c r="AZ212" i="90"/>
  <c r="BA212" i="90"/>
  <c r="BB212" i="90"/>
  <c r="BC212" i="90"/>
  <c r="BD212" i="90"/>
  <c r="BE212" i="90"/>
  <c r="BF212" i="90"/>
  <c r="BG212" i="90"/>
  <c r="CX212" i="90"/>
  <c r="AI212" i="56" s="1"/>
  <c r="CY212" i="90"/>
  <c r="AJ212" i="56" s="1"/>
  <c r="DN212" i="90"/>
  <c r="DO212" i="90" s="1"/>
  <c r="DW212" i="90"/>
  <c r="EO212" i="90" s="1"/>
  <c r="FE212" i="90" s="1"/>
  <c r="DX212" i="90"/>
  <c r="DY212" i="90" s="1"/>
  <c r="AX213" i="90"/>
  <c r="AY213" i="90"/>
  <c r="AZ213" i="90"/>
  <c r="BA213" i="90"/>
  <c r="BB213" i="90"/>
  <c r="BC213" i="90"/>
  <c r="BD213" i="90"/>
  <c r="BE213" i="90"/>
  <c r="BF213" i="90"/>
  <c r="BG213" i="90"/>
  <c r="CX213" i="90"/>
  <c r="AI213" i="56" s="1"/>
  <c r="CY213" i="90"/>
  <c r="AJ213" i="56" s="1"/>
  <c r="DN213" i="90"/>
  <c r="DW213" i="90"/>
  <c r="DX213" i="90"/>
  <c r="DY213" i="90" s="1"/>
  <c r="EO213" i="90"/>
  <c r="FE213" i="90" s="1"/>
  <c r="AX214" i="90"/>
  <c r="AY214" i="90"/>
  <c r="AZ214" i="90"/>
  <c r="BA214" i="90"/>
  <c r="BB214" i="90"/>
  <c r="BC214" i="90"/>
  <c r="BD214" i="90"/>
  <c r="BE214" i="90"/>
  <c r="BF214" i="90"/>
  <c r="BG214" i="90"/>
  <c r="CX214" i="90"/>
  <c r="AI214" i="56" s="1"/>
  <c r="CY214" i="90"/>
  <c r="AJ214" i="56" s="1"/>
  <c r="DN214" i="90"/>
  <c r="DO214" i="90" s="1"/>
  <c r="DW214" i="90"/>
  <c r="EO214" i="90" s="1"/>
  <c r="FE214" i="90" s="1"/>
  <c r="DX214" i="90"/>
  <c r="DY214" i="90" s="1"/>
  <c r="AX215" i="90"/>
  <c r="AY215" i="90"/>
  <c r="AZ215" i="90"/>
  <c r="BA215" i="90"/>
  <c r="BB215" i="90"/>
  <c r="BC215" i="90"/>
  <c r="BD215" i="90"/>
  <c r="BE215" i="90"/>
  <c r="BF215" i="90"/>
  <c r="BG215" i="90"/>
  <c r="CX215" i="90"/>
  <c r="AI215" i="56" s="1"/>
  <c r="CY215" i="90"/>
  <c r="AJ215" i="56" s="1"/>
  <c r="DN215" i="90"/>
  <c r="DO215" i="90" s="1"/>
  <c r="DW215" i="90"/>
  <c r="EO215" i="90" s="1"/>
  <c r="FE215" i="90" s="1"/>
  <c r="DX215" i="90"/>
  <c r="AX216" i="90"/>
  <c r="AY216" i="90"/>
  <c r="AZ216" i="90"/>
  <c r="BA216" i="90"/>
  <c r="BB216" i="90"/>
  <c r="BC216" i="90"/>
  <c r="BD216" i="90"/>
  <c r="BE216" i="90"/>
  <c r="BF216" i="90"/>
  <c r="BG216" i="90"/>
  <c r="CX216" i="90"/>
  <c r="AI216" i="56" s="1"/>
  <c r="CY216" i="90"/>
  <c r="AJ216" i="56" s="1"/>
  <c r="DN216" i="90"/>
  <c r="DW216" i="90"/>
  <c r="EO216" i="90" s="1"/>
  <c r="FE216" i="90" s="1"/>
  <c r="DX216" i="90"/>
  <c r="AX217" i="90"/>
  <c r="AY217" i="90"/>
  <c r="AZ217" i="90"/>
  <c r="BA217" i="90"/>
  <c r="BB217" i="90"/>
  <c r="BC217" i="90"/>
  <c r="BD217" i="90"/>
  <c r="BE217" i="90"/>
  <c r="BF217" i="90"/>
  <c r="BG217" i="90"/>
  <c r="CX217" i="90"/>
  <c r="AI217" i="56" s="1"/>
  <c r="CY217" i="90"/>
  <c r="AJ217" i="56" s="1"/>
  <c r="DN217" i="90"/>
  <c r="DO217" i="90" s="1"/>
  <c r="DW217" i="90"/>
  <c r="EO217" i="90" s="1"/>
  <c r="FE217" i="90" s="1"/>
  <c r="DX217" i="90"/>
  <c r="DY217" i="90" s="1"/>
  <c r="AX218" i="90"/>
  <c r="AY218" i="90"/>
  <c r="AZ218" i="90"/>
  <c r="BA218" i="90"/>
  <c r="BB218" i="90"/>
  <c r="BC218" i="90"/>
  <c r="BD218" i="90"/>
  <c r="BE218" i="90"/>
  <c r="BF218" i="90"/>
  <c r="BG218" i="90"/>
  <c r="CX218" i="90"/>
  <c r="AI218" i="56" s="1"/>
  <c r="CY218" i="90"/>
  <c r="AJ218" i="56" s="1"/>
  <c r="DN218" i="90"/>
  <c r="DW218" i="90"/>
  <c r="EO218" i="90" s="1"/>
  <c r="FE218" i="90" s="1"/>
  <c r="DX218" i="90"/>
  <c r="DY218" i="90" s="1"/>
  <c r="AX219" i="90"/>
  <c r="AY219" i="90"/>
  <c r="AZ219" i="90"/>
  <c r="BA219" i="90"/>
  <c r="BB219" i="90"/>
  <c r="BC219" i="90"/>
  <c r="BD219" i="90"/>
  <c r="BE219" i="90"/>
  <c r="BF219" i="90"/>
  <c r="BG219" i="90"/>
  <c r="CX219" i="90"/>
  <c r="AI219" i="56" s="1"/>
  <c r="CY219" i="90"/>
  <c r="AJ219" i="56" s="1"/>
  <c r="DN219" i="90"/>
  <c r="DW219" i="90"/>
  <c r="DX219" i="90"/>
  <c r="DY219" i="90" s="1"/>
  <c r="AX220" i="90"/>
  <c r="AY220" i="90"/>
  <c r="AZ220" i="90"/>
  <c r="BA220" i="90"/>
  <c r="BB220" i="90"/>
  <c r="BC220" i="90"/>
  <c r="BD220" i="90"/>
  <c r="BE220" i="90"/>
  <c r="BF220" i="90"/>
  <c r="BG220" i="90"/>
  <c r="CX220" i="90"/>
  <c r="AI220" i="56" s="1"/>
  <c r="CY220" i="90"/>
  <c r="AJ220" i="56" s="1"/>
  <c r="DN220" i="90"/>
  <c r="DW220" i="90"/>
  <c r="EO220" i="90" s="1"/>
  <c r="FE220" i="90" s="1"/>
  <c r="DX220" i="90"/>
  <c r="DY220" i="90" s="1"/>
  <c r="DZ220" i="90" s="1"/>
  <c r="AX221" i="90"/>
  <c r="AY221" i="90"/>
  <c r="AZ221" i="90"/>
  <c r="BA221" i="90"/>
  <c r="BB221" i="90"/>
  <c r="BC221" i="90"/>
  <c r="BD221" i="90"/>
  <c r="BE221" i="90"/>
  <c r="BF221" i="90"/>
  <c r="BG221" i="90"/>
  <c r="CX221" i="90"/>
  <c r="AI221" i="56" s="1"/>
  <c r="CY221" i="90"/>
  <c r="AJ221" i="56" s="1"/>
  <c r="DN221" i="90"/>
  <c r="DO221" i="90" s="1"/>
  <c r="EG221" i="90" s="1"/>
  <c r="DW221" i="90"/>
  <c r="DX221" i="90"/>
  <c r="DY221" i="90" s="1"/>
  <c r="AX222" i="90"/>
  <c r="AY222" i="90"/>
  <c r="AZ222" i="90"/>
  <c r="BA222" i="90"/>
  <c r="BB222" i="90"/>
  <c r="BC222" i="90"/>
  <c r="BD222" i="90"/>
  <c r="BE222" i="90"/>
  <c r="BF222" i="90"/>
  <c r="BG222" i="90"/>
  <c r="CX222" i="90"/>
  <c r="AI222" i="56" s="1"/>
  <c r="CY222" i="90"/>
  <c r="AJ222" i="56" s="1"/>
  <c r="DN222" i="90"/>
  <c r="DO222" i="90" s="1"/>
  <c r="EG222" i="90" s="1"/>
  <c r="DW222" i="90"/>
  <c r="EO222" i="90" s="1"/>
  <c r="FE222" i="90" s="1"/>
  <c r="DX222" i="90"/>
  <c r="DY222" i="90" s="1"/>
  <c r="AX223" i="90"/>
  <c r="AY223" i="90"/>
  <c r="AZ223" i="90"/>
  <c r="BA223" i="90"/>
  <c r="BB223" i="90"/>
  <c r="BC223" i="90"/>
  <c r="BD223" i="90"/>
  <c r="BE223" i="90"/>
  <c r="BF223" i="90"/>
  <c r="BG223" i="90"/>
  <c r="CX223" i="90"/>
  <c r="AI223" i="56" s="1"/>
  <c r="CY223" i="90"/>
  <c r="AJ223" i="56" s="1"/>
  <c r="DN223" i="90"/>
  <c r="DW223" i="90"/>
  <c r="EO223" i="90" s="1"/>
  <c r="FE223" i="90" s="1"/>
  <c r="DX223" i="90"/>
  <c r="DY223" i="90" s="1"/>
  <c r="DZ223" i="90" s="1"/>
  <c r="AX224" i="90"/>
  <c r="AY224" i="90"/>
  <c r="AZ224" i="90"/>
  <c r="BA224" i="90"/>
  <c r="BB224" i="90"/>
  <c r="BC224" i="90"/>
  <c r="BD224" i="90"/>
  <c r="BE224" i="90"/>
  <c r="BF224" i="90"/>
  <c r="BG224" i="90"/>
  <c r="CX224" i="90"/>
  <c r="AI224" i="56" s="1"/>
  <c r="CY224" i="90"/>
  <c r="AJ224" i="56" s="1"/>
  <c r="DN224" i="90"/>
  <c r="DO224" i="90" s="1"/>
  <c r="DW224" i="90"/>
  <c r="DX224" i="90"/>
  <c r="DY224" i="90" s="1"/>
  <c r="DZ224" i="90" s="1"/>
  <c r="AX225" i="90"/>
  <c r="AY225" i="90"/>
  <c r="AZ225" i="90"/>
  <c r="BA225" i="90"/>
  <c r="BB225" i="90"/>
  <c r="BC225" i="90"/>
  <c r="BD225" i="90"/>
  <c r="BE225" i="90"/>
  <c r="BF225" i="90"/>
  <c r="BG225" i="90"/>
  <c r="CX225" i="90"/>
  <c r="AI225" i="56" s="1"/>
  <c r="CY225" i="90"/>
  <c r="AJ225" i="56" s="1"/>
  <c r="DN225" i="90"/>
  <c r="DW225" i="90"/>
  <c r="DX225" i="90"/>
  <c r="DY225" i="90" s="1"/>
  <c r="DZ225" i="90" s="1"/>
  <c r="ER225" i="90" s="1"/>
  <c r="FB225" i="90" s="1"/>
  <c r="AX226" i="90"/>
  <c r="AY226" i="90"/>
  <c r="AZ226" i="90"/>
  <c r="BA226" i="90"/>
  <c r="BB226" i="90"/>
  <c r="BC226" i="90"/>
  <c r="BD226" i="90"/>
  <c r="BE226" i="90"/>
  <c r="BF226" i="90"/>
  <c r="BG226" i="90"/>
  <c r="CX226" i="90"/>
  <c r="AI226" i="56" s="1"/>
  <c r="CY226" i="90"/>
  <c r="AJ226" i="56" s="1"/>
  <c r="DN226" i="90"/>
  <c r="DW226" i="90"/>
  <c r="DX226" i="90"/>
  <c r="DY226" i="90" s="1"/>
  <c r="DZ226" i="90" s="1"/>
  <c r="EA226" i="90" s="1"/>
  <c r="AX227" i="90"/>
  <c r="AY227" i="90"/>
  <c r="AZ227" i="90"/>
  <c r="BA227" i="90"/>
  <c r="BB227" i="90"/>
  <c r="BC227" i="90"/>
  <c r="BD227" i="90"/>
  <c r="BE227" i="90"/>
  <c r="BF227" i="90"/>
  <c r="BG227" i="90"/>
  <c r="CX227" i="90"/>
  <c r="AI227" i="56" s="1"/>
  <c r="CY227" i="90"/>
  <c r="AJ227" i="56" s="1"/>
  <c r="DN227" i="90"/>
  <c r="DO227" i="90" s="1"/>
  <c r="DW227" i="90"/>
  <c r="EO227" i="90" s="1"/>
  <c r="FE227" i="90" s="1"/>
  <c r="DX227" i="90"/>
  <c r="DY227" i="90" s="1"/>
  <c r="DZ227" i="90" s="1"/>
  <c r="AX228" i="90"/>
  <c r="AY228" i="90"/>
  <c r="AZ228" i="90"/>
  <c r="BA228" i="90"/>
  <c r="BB228" i="90"/>
  <c r="BC228" i="90"/>
  <c r="BD228" i="90"/>
  <c r="BE228" i="90"/>
  <c r="BF228" i="90"/>
  <c r="BG228" i="90"/>
  <c r="CX228" i="90"/>
  <c r="AI228" i="56" s="1"/>
  <c r="CY228" i="90"/>
  <c r="AJ228" i="56" s="1"/>
  <c r="DN228" i="90"/>
  <c r="DO228" i="90" s="1"/>
  <c r="DW228" i="90"/>
  <c r="EO228" i="90" s="1"/>
  <c r="FE228" i="90" s="1"/>
  <c r="DX228" i="90"/>
  <c r="DY228" i="90"/>
  <c r="DZ228" i="90" s="1"/>
  <c r="EF228" i="90"/>
  <c r="AX229" i="90"/>
  <c r="AY229" i="90"/>
  <c r="AZ229" i="90"/>
  <c r="BA229" i="90"/>
  <c r="BB229" i="90"/>
  <c r="BC229" i="90"/>
  <c r="BD229" i="90"/>
  <c r="BE229" i="90"/>
  <c r="BF229" i="90"/>
  <c r="BG229" i="90"/>
  <c r="CX229" i="90"/>
  <c r="AI229" i="56" s="1"/>
  <c r="CY229" i="90"/>
  <c r="AJ229" i="56" s="1"/>
  <c r="DN229" i="90"/>
  <c r="DO229" i="90" s="1"/>
  <c r="DW229" i="90"/>
  <c r="EO229" i="90" s="1"/>
  <c r="FE229" i="90" s="1"/>
  <c r="DX229" i="90"/>
  <c r="DY229" i="90" s="1"/>
  <c r="AX230" i="90"/>
  <c r="AY230" i="90"/>
  <c r="AZ230" i="90"/>
  <c r="BA230" i="90"/>
  <c r="BB230" i="90"/>
  <c r="BC230" i="90"/>
  <c r="BD230" i="90"/>
  <c r="BE230" i="90"/>
  <c r="BF230" i="90"/>
  <c r="BG230" i="90"/>
  <c r="CX230" i="90"/>
  <c r="AI230" i="56" s="1"/>
  <c r="CY230" i="90"/>
  <c r="AJ230" i="56" s="1"/>
  <c r="DN230" i="90"/>
  <c r="DW230" i="90"/>
  <c r="DX230" i="90"/>
  <c r="DY230" i="90" s="1"/>
  <c r="AX231" i="90"/>
  <c r="AY231" i="90"/>
  <c r="AZ231" i="90"/>
  <c r="BA231" i="90"/>
  <c r="BB231" i="90"/>
  <c r="BC231" i="90"/>
  <c r="BD231" i="90"/>
  <c r="BE231" i="90"/>
  <c r="BF231" i="90"/>
  <c r="BG231" i="90"/>
  <c r="CX231" i="90"/>
  <c r="AI231" i="56" s="1"/>
  <c r="CY231" i="90"/>
  <c r="AJ231" i="56" s="1"/>
  <c r="DN231" i="90"/>
  <c r="DO231" i="90" s="1"/>
  <c r="DW231" i="90"/>
  <c r="EO231" i="90" s="1"/>
  <c r="FE231" i="90" s="1"/>
  <c r="DX231" i="90"/>
  <c r="DY231" i="90"/>
  <c r="DZ231" i="90" s="1"/>
  <c r="EF231" i="90"/>
  <c r="AX232" i="90"/>
  <c r="AY232" i="90"/>
  <c r="AZ232" i="90"/>
  <c r="BA232" i="90"/>
  <c r="BB232" i="90"/>
  <c r="BC232" i="90"/>
  <c r="BD232" i="90"/>
  <c r="BE232" i="90"/>
  <c r="BF232" i="90"/>
  <c r="BG232" i="90"/>
  <c r="CX232" i="90"/>
  <c r="AI232" i="56" s="1"/>
  <c r="CY232" i="90"/>
  <c r="AJ232" i="56" s="1"/>
  <c r="DN232" i="90"/>
  <c r="DO232" i="90" s="1"/>
  <c r="DW232" i="90"/>
  <c r="EO232" i="90" s="1"/>
  <c r="FE232" i="90" s="1"/>
  <c r="DX232" i="90"/>
  <c r="DY232" i="90" s="1"/>
  <c r="AX233" i="90"/>
  <c r="AY233" i="90"/>
  <c r="AZ233" i="90"/>
  <c r="BA233" i="90"/>
  <c r="BB233" i="90"/>
  <c r="BC233" i="90"/>
  <c r="BD233" i="90"/>
  <c r="BE233" i="90"/>
  <c r="BF233" i="90"/>
  <c r="BG233" i="90"/>
  <c r="CX233" i="90"/>
  <c r="AI233" i="56" s="1"/>
  <c r="CY233" i="90"/>
  <c r="AJ233" i="56" s="1"/>
  <c r="DN233" i="90"/>
  <c r="DO233" i="90" s="1"/>
  <c r="DW233" i="90"/>
  <c r="DX233" i="90"/>
  <c r="DY233" i="90" s="1"/>
  <c r="DZ233" i="90" s="1"/>
  <c r="AX234" i="90"/>
  <c r="AY234" i="90"/>
  <c r="AZ234" i="90"/>
  <c r="BA234" i="90"/>
  <c r="BB234" i="90"/>
  <c r="BC234" i="90"/>
  <c r="BD234" i="90"/>
  <c r="BE234" i="90"/>
  <c r="BF234" i="90"/>
  <c r="BG234" i="90"/>
  <c r="CX234" i="90"/>
  <c r="AI234" i="56" s="1"/>
  <c r="CY234" i="90"/>
  <c r="AJ234" i="56" s="1"/>
  <c r="DN234" i="90"/>
  <c r="DO234" i="90" s="1"/>
  <c r="DW234" i="90"/>
  <c r="DX234" i="90"/>
  <c r="DY234" i="90" s="1"/>
  <c r="AX235" i="90"/>
  <c r="AY235" i="90"/>
  <c r="AZ235" i="90"/>
  <c r="BA235" i="90"/>
  <c r="BB235" i="90"/>
  <c r="BC235" i="90"/>
  <c r="BD235" i="90"/>
  <c r="BE235" i="90"/>
  <c r="BF235" i="90"/>
  <c r="BG235" i="90"/>
  <c r="CX235" i="90"/>
  <c r="AI235" i="56" s="1"/>
  <c r="CY235" i="90"/>
  <c r="AJ235" i="56" s="1"/>
  <c r="DN235" i="90"/>
  <c r="DO235" i="90" s="1"/>
  <c r="EG235" i="90" s="1"/>
  <c r="DW235" i="90"/>
  <c r="EO235" i="90" s="1"/>
  <c r="FE235" i="90" s="1"/>
  <c r="DX235" i="90"/>
  <c r="DY235" i="90" s="1"/>
  <c r="DZ235" i="90" s="1"/>
  <c r="AX236" i="90"/>
  <c r="AY236" i="90"/>
  <c r="AZ236" i="90"/>
  <c r="BA236" i="90"/>
  <c r="BB236" i="90"/>
  <c r="BC236" i="90"/>
  <c r="BD236" i="90"/>
  <c r="BE236" i="90"/>
  <c r="BF236" i="90"/>
  <c r="BG236" i="90"/>
  <c r="CX236" i="90"/>
  <c r="AI236" i="56" s="1"/>
  <c r="CY236" i="90"/>
  <c r="AJ236" i="56" s="1"/>
  <c r="DN236" i="90"/>
  <c r="DW236" i="90"/>
  <c r="DX236" i="90"/>
  <c r="DY236" i="90" s="1"/>
  <c r="AX89" i="90"/>
  <c r="AY89" i="90"/>
  <c r="AZ89" i="90"/>
  <c r="BA89" i="90"/>
  <c r="BB89" i="90"/>
  <c r="BC89" i="90"/>
  <c r="BD89" i="90"/>
  <c r="BE89" i="90"/>
  <c r="BF89" i="90"/>
  <c r="BG89" i="90"/>
  <c r="CX89" i="90"/>
  <c r="AI89" i="56" s="1"/>
  <c r="CY89" i="90"/>
  <c r="AJ89" i="56" s="1"/>
  <c r="DN89" i="90"/>
  <c r="DO89" i="90" s="1"/>
  <c r="DW89" i="90"/>
  <c r="EO89" i="90" s="1"/>
  <c r="FE89" i="90" s="1"/>
  <c r="DX89" i="90"/>
  <c r="DY89" i="90" s="1"/>
  <c r="AX90" i="90"/>
  <c r="AY90" i="90"/>
  <c r="AZ90" i="90"/>
  <c r="BA90" i="90"/>
  <c r="BB90" i="90"/>
  <c r="BC90" i="90"/>
  <c r="BD90" i="90"/>
  <c r="BE90" i="90"/>
  <c r="BF90" i="90"/>
  <c r="BG90" i="90"/>
  <c r="CX90" i="90"/>
  <c r="AI90" i="56" s="1"/>
  <c r="CY90" i="90"/>
  <c r="AJ90" i="56" s="1"/>
  <c r="DN90" i="90"/>
  <c r="DW90" i="90"/>
  <c r="EO90" i="90" s="1"/>
  <c r="FE90" i="90" s="1"/>
  <c r="DX90" i="90"/>
  <c r="DY90" i="90" s="1"/>
  <c r="EQ90" i="90" s="1"/>
  <c r="FC90" i="90" s="1"/>
  <c r="AX91" i="90"/>
  <c r="AY91" i="90"/>
  <c r="AZ91" i="90"/>
  <c r="BA91" i="90"/>
  <c r="BB91" i="90"/>
  <c r="BC91" i="90"/>
  <c r="BD91" i="90"/>
  <c r="BE91" i="90"/>
  <c r="BF91" i="90"/>
  <c r="BG91" i="90"/>
  <c r="CX91" i="90"/>
  <c r="AI91" i="56" s="1"/>
  <c r="CY91" i="90"/>
  <c r="AJ91" i="56" s="1"/>
  <c r="DN91" i="90"/>
  <c r="DO91" i="90" s="1"/>
  <c r="DW91" i="90"/>
  <c r="DX91" i="90"/>
  <c r="EO91" i="90"/>
  <c r="FE91" i="90" s="1"/>
  <c r="AX92" i="90"/>
  <c r="AY92" i="90"/>
  <c r="AZ92" i="90"/>
  <c r="BA92" i="90"/>
  <c r="BB92" i="90"/>
  <c r="BC92" i="90"/>
  <c r="BD92" i="90"/>
  <c r="BE92" i="90"/>
  <c r="BF92" i="90"/>
  <c r="BG92" i="90"/>
  <c r="CX92" i="90"/>
  <c r="AI92" i="56" s="1"/>
  <c r="CY92" i="90"/>
  <c r="AJ92" i="56" s="1"/>
  <c r="DN92" i="90"/>
  <c r="DO92" i="90" s="1"/>
  <c r="DW92" i="90"/>
  <c r="EO92" i="90" s="1"/>
  <c r="FE92" i="90" s="1"/>
  <c r="DX92" i="90"/>
  <c r="DY92" i="90" s="1"/>
  <c r="EQ92" i="90" s="1"/>
  <c r="FC92" i="90" s="1"/>
  <c r="AX93" i="90"/>
  <c r="AY93" i="90"/>
  <c r="AZ93" i="90"/>
  <c r="BA93" i="90"/>
  <c r="BB93" i="90"/>
  <c r="BC93" i="90"/>
  <c r="BD93" i="90"/>
  <c r="BE93" i="90"/>
  <c r="BF93" i="90"/>
  <c r="BG93" i="90"/>
  <c r="CX93" i="90"/>
  <c r="AI93" i="56" s="1"/>
  <c r="CY93" i="90"/>
  <c r="AJ93" i="56" s="1"/>
  <c r="DN93" i="90"/>
  <c r="DW93" i="90"/>
  <c r="EO93" i="90" s="1"/>
  <c r="FE93" i="90" s="1"/>
  <c r="DX93" i="90"/>
  <c r="AX94" i="90"/>
  <c r="AY94" i="90"/>
  <c r="AZ94" i="90"/>
  <c r="BA94" i="90"/>
  <c r="BB94" i="90"/>
  <c r="BC94" i="90"/>
  <c r="BD94" i="90"/>
  <c r="BE94" i="90"/>
  <c r="BF94" i="90"/>
  <c r="BG94" i="90"/>
  <c r="CX94" i="90"/>
  <c r="AI94" i="56" s="1"/>
  <c r="CY94" i="90"/>
  <c r="AJ94" i="56" s="1"/>
  <c r="DN94" i="90"/>
  <c r="DO94" i="90" s="1"/>
  <c r="DW94" i="90"/>
  <c r="EO94" i="90" s="1"/>
  <c r="FE94" i="90" s="1"/>
  <c r="DX94" i="90"/>
  <c r="AX95" i="90"/>
  <c r="AY95" i="90"/>
  <c r="AZ95" i="90"/>
  <c r="BA95" i="90"/>
  <c r="BB95" i="90"/>
  <c r="BC95" i="90"/>
  <c r="BD95" i="90"/>
  <c r="BE95" i="90"/>
  <c r="BF95" i="90"/>
  <c r="BG95" i="90"/>
  <c r="CX95" i="90"/>
  <c r="AI95" i="56" s="1"/>
  <c r="CY95" i="90"/>
  <c r="AJ95" i="56" s="1"/>
  <c r="DN95" i="90"/>
  <c r="DW95" i="90"/>
  <c r="EO95" i="90" s="1"/>
  <c r="FE95" i="90" s="1"/>
  <c r="DX95" i="90"/>
  <c r="AX96" i="90"/>
  <c r="AY96" i="90"/>
  <c r="AZ96" i="90"/>
  <c r="BA96" i="90"/>
  <c r="BB96" i="90"/>
  <c r="BC96" i="90"/>
  <c r="BD96" i="90"/>
  <c r="BE96" i="90"/>
  <c r="BF96" i="90"/>
  <c r="BG96" i="90"/>
  <c r="CX96" i="90"/>
  <c r="AI96" i="56" s="1"/>
  <c r="CY96" i="90"/>
  <c r="AJ96" i="56" s="1"/>
  <c r="DN96" i="90"/>
  <c r="DO96" i="90" s="1"/>
  <c r="DW96" i="90"/>
  <c r="EO96" i="90" s="1"/>
  <c r="FE96" i="90" s="1"/>
  <c r="DX96" i="90"/>
  <c r="DY96" i="90" s="1"/>
  <c r="EQ96" i="90" s="1"/>
  <c r="FC96" i="90" s="1"/>
  <c r="EF96" i="90"/>
  <c r="AX97" i="90"/>
  <c r="AY97" i="90"/>
  <c r="AZ97" i="90"/>
  <c r="BA97" i="90"/>
  <c r="BB97" i="90"/>
  <c r="BC97" i="90"/>
  <c r="BD97" i="90"/>
  <c r="BE97" i="90"/>
  <c r="BF97" i="90"/>
  <c r="BG97" i="90"/>
  <c r="CX97" i="90"/>
  <c r="AI97" i="56" s="1"/>
  <c r="CY97" i="90"/>
  <c r="AJ97" i="56" s="1"/>
  <c r="DN97" i="90"/>
  <c r="DO97" i="90" s="1"/>
  <c r="DW97" i="90"/>
  <c r="EO97" i="90" s="1"/>
  <c r="FE97" i="90" s="1"/>
  <c r="DX97" i="90"/>
  <c r="DY97" i="90" s="1"/>
  <c r="EQ97" i="90" s="1"/>
  <c r="FC97" i="90" s="1"/>
  <c r="EF97" i="90"/>
  <c r="AX98" i="90"/>
  <c r="AY98" i="90"/>
  <c r="AZ98" i="90"/>
  <c r="BA98" i="90"/>
  <c r="BB98" i="90"/>
  <c r="BC98" i="90"/>
  <c r="BD98" i="90"/>
  <c r="BE98" i="90"/>
  <c r="BF98" i="90"/>
  <c r="BG98" i="90"/>
  <c r="CX98" i="90"/>
  <c r="AI98" i="56" s="1"/>
  <c r="CY98" i="90"/>
  <c r="AJ98" i="56" s="1"/>
  <c r="DN98" i="90"/>
  <c r="DO98" i="90" s="1"/>
  <c r="DW98" i="90"/>
  <c r="DX98" i="90"/>
  <c r="DY98" i="90" s="1"/>
  <c r="AX99" i="90"/>
  <c r="AY99" i="90"/>
  <c r="AZ99" i="90"/>
  <c r="BA99" i="90"/>
  <c r="BB99" i="90"/>
  <c r="BC99" i="90"/>
  <c r="BD99" i="90"/>
  <c r="BE99" i="90"/>
  <c r="BF99" i="90"/>
  <c r="BG99" i="90"/>
  <c r="CX99" i="90"/>
  <c r="AI99" i="56" s="1"/>
  <c r="CY99" i="90"/>
  <c r="AJ99" i="56" s="1"/>
  <c r="DN99" i="90"/>
  <c r="DO99" i="90" s="1"/>
  <c r="DW99" i="90"/>
  <c r="DX99" i="90"/>
  <c r="DY99" i="90" s="1"/>
  <c r="AX100" i="90"/>
  <c r="AY100" i="90"/>
  <c r="AZ100" i="90"/>
  <c r="BA100" i="90"/>
  <c r="BB100" i="90"/>
  <c r="BC100" i="90"/>
  <c r="BD100" i="90"/>
  <c r="BE100" i="90"/>
  <c r="BF100" i="90"/>
  <c r="BG100" i="90"/>
  <c r="CX100" i="90"/>
  <c r="AI100" i="56" s="1"/>
  <c r="CY100" i="90"/>
  <c r="AJ100" i="56" s="1"/>
  <c r="DN100" i="90"/>
  <c r="EF100" i="90" s="1"/>
  <c r="DW100" i="90"/>
  <c r="EO100" i="90" s="1"/>
  <c r="FE100" i="90" s="1"/>
  <c r="DX100" i="90"/>
  <c r="DY100" i="90" s="1"/>
  <c r="AX101" i="90"/>
  <c r="AY101" i="90"/>
  <c r="AZ101" i="90"/>
  <c r="BA101" i="90"/>
  <c r="BB101" i="90"/>
  <c r="BC101" i="90"/>
  <c r="BD101" i="90"/>
  <c r="BE101" i="90"/>
  <c r="BF101" i="90"/>
  <c r="BG101" i="90"/>
  <c r="CX101" i="90"/>
  <c r="AI101" i="56" s="1"/>
  <c r="CY101" i="90"/>
  <c r="AJ101" i="56" s="1"/>
  <c r="DN101" i="90"/>
  <c r="DW101" i="90"/>
  <c r="DX101" i="90"/>
  <c r="DY101" i="90" s="1"/>
  <c r="AX102" i="90"/>
  <c r="AY102" i="90"/>
  <c r="AZ102" i="90"/>
  <c r="BA102" i="90"/>
  <c r="BB102" i="90"/>
  <c r="BC102" i="90"/>
  <c r="BD102" i="90"/>
  <c r="BE102" i="90"/>
  <c r="BF102" i="90"/>
  <c r="BG102" i="90"/>
  <c r="CX102" i="90"/>
  <c r="AI102" i="56" s="1"/>
  <c r="CY102" i="90"/>
  <c r="AJ102" i="56" s="1"/>
  <c r="DN102" i="90"/>
  <c r="DO102" i="90" s="1"/>
  <c r="DW102" i="90"/>
  <c r="DX102" i="90"/>
  <c r="DY102" i="90" s="1"/>
  <c r="DZ102" i="90" s="1"/>
  <c r="AX103" i="90"/>
  <c r="AY103" i="90"/>
  <c r="AZ103" i="90"/>
  <c r="BA103" i="90"/>
  <c r="BB103" i="90"/>
  <c r="BC103" i="90"/>
  <c r="BD103" i="90"/>
  <c r="BE103" i="90"/>
  <c r="BF103" i="90"/>
  <c r="BG103" i="90"/>
  <c r="CX103" i="90"/>
  <c r="AI103" i="56" s="1"/>
  <c r="CY103" i="90"/>
  <c r="AJ103" i="56" s="1"/>
  <c r="DN103" i="90"/>
  <c r="DW103" i="90"/>
  <c r="EO103" i="90" s="1"/>
  <c r="FE103" i="90" s="1"/>
  <c r="DX103" i="90"/>
  <c r="AX104" i="90"/>
  <c r="AY104" i="90"/>
  <c r="AZ104" i="90"/>
  <c r="BA104" i="90"/>
  <c r="BB104" i="90"/>
  <c r="BC104" i="90"/>
  <c r="BD104" i="90"/>
  <c r="BE104" i="90"/>
  <c r="BF104" i="90"/>
  <c r="BG104" i="90"/>
  <c r="CX104" i="90"/>
  <c r="AI104" i="56" s="1"/>
  <c r="CY104" i="90"/>
  <c r="AJ104" i="56" s="1"/>
  <c r="DN104" i="90"/>
  <c r="DO104" i="90" s="1"/>
  <c r="DW104" i="90"/>
  <c r="DX104" i="90"/>
  <c r="DY104" i="90" s="1"/>
  <c r="AX105" i="90"/>
  <c r="AY105" i="90"/>
  <c r="AZ105" i="90"/>
  <c r="BA105" i="90"/>
  <c r="BB105" i="90"/>
  <c r="BC105" i="90"/>
  <c r="BD105" i="90"/>
  <c r="BE105" i="90"/>
  <c r="BF105" i="90"/>
  <c r="BG105" i="90"/>
  <c r="CX105" i="90"/>
  <c r="AI105" i="56" s="1"/>
  <c r="CY105" i="90"/>
  <c r="AJ105" i="56" s="1"/>
  <c r="DN105" i="90"/>
  <c r="DO105" i="90" s="1"/>
  <c r="DW105" i="90"/>
  <c r="EO105" i="90" s="1"/>
  <c r="FE105" i="90" s="1"/>
  <c r="DX105" i="90"/>
  <c r="AX106" i="90"/>
  <c r="AY106" i="90"/>
  <c r="AZ106" i="90"/>
  <c r="BA106" i="90"/>
  <c r="BB106" i="90"/>
  <c r="BC106" i="90"/>
  <c r="BD106" i="90"/>
  <c r="BE106" i="90"/>
  <c r="BF106" i="90"/>
  <c r="BG106" i="90"/>
  <c r="CX106" i="90"/>
  <c r="AI106" i="56" s="1"/>
  <c r="CY106" i="90"/>
  <c r="AJ106" i="56" s="1"/>
  <c r="DN106" i="90"/>
  <c r="DO106" i="90" s="1"/>
  <c r="DW106" i="90"/>
  <c r="DX106" i="90"/>
  <c r="DY106" i="90" s="1"/>
  <c r="AX107" i="90"/>
  <c r="AY107" i="90"/>
  <c r="AZ107" i="90"/>
  <c r="BA107" i="90"/>
  <c r="BB107" i="90"/>
  <c r="BC107" i="90"/>
  <c r="BD107" i="90"/>
  <c r="BE107" i="90"/>
  <c r="BF107" i="90"/>
  <c r="BG107" i="90"/>
  <c r="CX107" i="90"/>
  <c r="AI107" i="56" s="1"/>
  <c r="CY107" i="90"/>
  <c r="AJ107" i="56" s="1"/>
  <c r="DN107" i="90"/>
  <c r="DO107" i="90" s="1"/>
  <c r="DW107" i="90"/>
  <c r="EO107" i="90" s="1"/>
  <c r="FE107" i="90" s="1"/>
  <c r="DX107" i="90"/>
  <c r="DY107" i="90" s="1"/>
  <c r="AX108" i="90"/>
  <c r="AY108" i="90"/>
  <c r="AZ108" i="90"/>
  <c r="BA108" i="90"/>
  <c r="BB108" i="90"/>
  <c r="BC108" i="90"/>
  <c r="BD108" i="90"/>
  <c r="BE108" i="90"/>
  <c r="BF108" i="90"/>
  <c r="BG108" i="90"/>
  <c r="CX108" i="90"/>
  <c r="AI108" i="56" s="1"/>
  <c r="CY108" i="90"/>
  <c r="AJ108" i="56" s="1"/>
  <c r="DN108" i="90"/>
  <c r="DW108" i="90"/>
  <c r="DX108" i="90"/>
  <c r="DY108" i="90" s="1"/>
  <c r="AX109" i="90"/>
  <c r="AY109" i="90"/>
  <c r="AZ109" i="90"/>
  <c r="BA109" i="90"/>
  <c r="BB109" i="90"/>
  <c r="BC109" i="90"/>
  <c r="BD109" i="90"/>
  <c r="BE109" i="90"/>
  <c r="BF109" i="90"/>
  <c r="BG109" i="90"/>
  <c r="CX109" i="90"/>
  <c r="AI109" i="56" s="1"/>
  <c r="CY109" i="90"/>
  <c r="AJ109" i="56" s="1"/>
  <c r="DN109" i="90"/>
  <c r="DO109" i="90" s="1"/>
  <c r="DP109" i="90" s="1"/>
  <c r="DW109" i="90"/>
  <c r="EO109" i="90" s="1"/>
  <c r="FE109" i="90" s="1"/>
  <c r="DX109" i="90"/>
  <c r="DY109" i="90" s="1"/>
  <c r="AX110" i="90"/>
  <c r="AY110" i="90"/>
  <c r="AZ110" i="90"/>
  <c r="BA110" i="90"/>
  <c r="BB110" i="90"/>
  <c r="BC110" i="90"/>
  <c r="BD110" i="90"/>
  <c r="BE110" i="90"/>
  <c r="BF110" i="90"/>
  <c r="BG110" i="90"/>
  <c r="CX110" i="90"/>
  <c r="AI110" i="56" s="1"/>
  <c r="CY110" i="90"/>
  <c r="AJ110" i="56" s="1"/>
  <c r="DN110" i="90"/>
  <c r="DW110" i="90"/>
  <c r="DX110" i="90"/>
  <c r="DY110" i="90" s="1"/>
  <c r="AX111" i="90"/>
  <c r="AY111" i="90"/>
  <c r="AZ111" i="90"/>
  <c r="BA111" i="90"/>
  <c r="BB111" i="90"/>
  <c r="BC111" i="90"/>
  <c r="BD111" i="90"/>
  <c r="BE111" i="90"/>
  <c r="BF111" i="90"/>
  <c r="BG111" i="90"/>
  <c r="CX111" i="90"/>
  <c r="AI111" i="56" s="1"/>
  <c r="CY111" i="90"/>
  <c r="AJ111" i="56" s="1"/>
  <c r="DN111" i="90"/>
  <c r="DO111" i="90" s="1"/>
  <c r="DW111" i="90"/>
  <c r="EO111" i="90" s="1"/>
  <c r="FE111" i="90" s="1"/>
  <c r="DX111" i="90"/>
  <c r="DY111" i="90" s="1"/>
  <c r="DZ111" i="90" s="1"/>
  <c r="AX112" i="90"/>
  <c r="AY112" i="90"/>
  <c r="AZ112" i="90"/>
  <c r="BA112" i="90"/>
  <c r="BB112" i="90"/>
  <c r="BC112" i="90"/>
  <c r="BD112" i="90"/>
  <c r="BE112" i="90"/>
  <c r="BF112" i="90"/>
  <c r="BG112" i="90"/>
  <c r="CX112" i="90"/>
  <c r="AI112" i="56" s="1"/>
  <c r="CY112" i="90"/>
  <c r="AJ112" i="56" s="1"/>
  <c r="DN112" i="90"/>
  <c r="DO112" i="90" s="1"/>
  <c r="EG112" i="90" s="1"/>
  <c r="DW112" i="90"/>
  <c r="DX112" i="90"/>
  <c r="DY112" i="90" s="1"/>
  <c r="AX113" i="90"/>
  <c r="AY113" i="90"/>
  <c r="AZ113" i="90"/>
  <c r="BA113" i="90"/>
  <c r="BB113" i="90"/>
  <c r="BC113" i="90"/>
  <c r="BD113" i="90"/>
  <c r="BE113" i="90"/>
  <c r="BF113" i="90"/>
  <c r="BG113" i="90"/>
  <c r="CX113" i="90"/>
  <c r="AI113" i="56" s="1"/>
  <c r="CY113" i="90"/>
  <c r="AJ113" i="56" s="1"/>
  <c r="DN113" i="90"/>
  <c r="DO113" i="90" s="1"/>
  <c r="DW113" i="90"/>
  <c r="EO113" i="90" s="1"/>
  <c r="FE113" i="90" s="1"/>
  <c r="DX113" i="90"/>
  <c r="DY113" i="90" s="1"/>
  <c r="DZ113" i="90" s="1"/>
  <c r="AX114" i="90"/>
  <c r="AY114" i="90"/>
  <c r="AZ114" i="90"/>
  <c r="BA114" i="90"/>
  <c r="BB114" i="90"/>
  <c r="BC114" i="90"/>
  <c r="BD114" i="90"/>
  <c r="BE114" i="90"/>
  <c r="BF114" i="90"/>
  <c r="BG114" i="90"/>
  <c r="CX114" i="90"/>
  <c r="AI114" i="56" s="1"/>
  <c r="CY114" i="90"/>
  <c r="AJ114" i="56" s="1"/>
  <c r="DN114" i="90"/>
  <c r="DW114" i="90"/>
  <c r="EO114" i="90" s="1"/>
  <c r="FE114" i="90" s="1"/>
  <c r="DX114" i="90"/>
  <c r="AX115" i="90"/>
  <c r="AY115" i="90"/>
  <c r="AZ115" i="90"/>
  <c r="BA115" i="90"/>
  <c r="BB115" i="90"/>
  <c r="BC115" i="90"/>
  <c r="BD115" i="90"/>
  <c r="BE115" i="90"/>
  <c r="BF115" i="90"/>
  <c r="BG115" i="90"/>
  <c r="CX115" i="90"/>
  <c r="AI115" i="56" s="1"/>
  <c r="CY115" i="90"/>
  <c r="AJ115" i="56" s="1"/>
  <c r="DN115" i="90"/>
  <c r="DO115" i="90" s="1"/>
  <c r="DW115" i="90"/>
  <c r="EO115" i="90" s="1"/>
  <c r="FE115" i="90" s="1"/>
  <c r="DX115" i="90"/>
  <c r="AX116" i="90"/>
  <c r="AY116" i="90"/>
  <c r="AZ116" i="90"/>
  <c r="BA116" i="90"/>
  <c r="BB116" i="90"/>
  <c r="BC116" i="90"/>
  <c r="BD116" i="90"/>
  <c r="BE116" i="90"/>
  <c r="BF116" i="90"/>
  <c r="BG116" i="90"/>
  <c r="CX116" i="90"/>
  <c r="AI116" i="56" s="1"/>
  <c r="CY116" i="90"/>
  <c r="AJ116" i="56" s="1"/>
  <c r="DN116" i="90"/>
  <c r="DO116" i="90" s="1"/>
  <c r="DW116" i="90"/>
  <c r="DX116" i="90"/>
  <c r="DY116" i="90" s="1"/>
  <c r="AX117" i="90"/>
  <c r="AY117" i="90"/>
  <c r="AZ117" i="90"/>
  <c r="BA117" i="90"/>
  <c r="BB117" i="90"/>
  <c r="BC117" i="90"/>
  <c r="BD117" i="90"/>
  <c r="BE117" i="90"/>
  <c r="BF117" i="90"/>
  <c r="BG117" i="90"/>
  <c r="CX117" i="90"/>
  <c r="AI117" i="56" s="1"/>
  <c r="CY117" i="90"/>
  <c r="AJ117" i="56" s="1"/>
  <c r="DN117" i="90"/>
  <c r="DO117" i="90" s="1"/>
  <c r="DW117" i="90"/>
  <c r="EO117" i="90" s="1"/>
  <c r="FE117" i="90" s="1"/>
  <c r="DX117" i="90"/>
  <c r="DY117" i="90" s="1"/>
  <c r="AX118" i="90"/>
  <c r="AY118" i="90"/>
  <c r="AZ118" i="90"/>
  <c r="BA118" i="90"/>
  <c r="BB118" i="90"/>
  <c r="BC118" i="90"/>
  <c r="BD118" i="90"/>
  <c r="BE118" i="90"/>
  <c r="BF118" i="90"/>
  <c r="BG118" i="90"/>
  <c r="CX118" i="90"/>
  <c r="AI118" i="56" s="1"/>
  <c r="CY118" i="90"/>
  <c r="AJ118" i="56" s="1"/>
  <c r="DN118" i="90"/>
  <c r="DO118" i="90" s="1"/>
  <c r="DW118" i="90"/>
  <c r="EO118" i="90" s="1"/>
  <c r="FE118" i="90" s="1"/>
  <c r="DX118" i="90"/>
  <c r="AX119" i="90"/>
  <c r="AY119" i="90"/>
  <c r="AZ119" i="90"/>
  <c r="BA119" i="90"/>
  <c r="BB119" i="90"/>
  <c r="BC119" i="90"/>
  <c r="BD119" i="90"/>
  <c r="BE119" i="90"/>
  <c r="BF119" i="90"/>
  <c r="BG119" i="90"/>
  <c r="CX119" i="90"/>
  <c r="AI119" i="56" s="1"/>
  <c r="CY119" i="90"/>
  <c r="AJ119" i="56" s="1"/>
  <c r="DN119" i="90"/>
  <c r="DO119" i="90" s="1"/>
  <c r="DP119" i="90" s="1"/>
  <c r="DW119" i="90"/>
  <c r="EO119" i="90" s="1"/>
  <c r="FE119" i="90" s="1"/>
  <c r="DX119" i="90"/>
  <c r="AX120" i="90"/>
  <c r="AY120" i="90"/>
  <c r="AZ120" i="90"/>
  <c r="BA120" i="90"/>
  <c r="BB120" i="90"/>
  <c r="BC120" i="90"/>
  <c r="BD120" i="90"/>
  <c r="BE120" i="90"/>
  <c r="BF120" i="90"/>
  <c r="BG120" i="90"/>
  <c r="CX120" i="90"/>
  <c r="AI120" i="56" s="1"/>
  <c r="CY120" i="90"/>
  <c r="AJ120" i="56" s="1"/>
  <c r="DN120" i="90"/>
  <c r="DO120" i="90" s="1"/>
  <c r="DW120" i="90"/>
  <c r="EO120" i="90" s="1"/>
  <c r="FE120" i="90" s="1"/>
  <c r="DX120" i="90"/>
  <c r="DY120" i="90" s="1"/>
  <c r="AX121" i="90"/>
  <c r="AY121" i="90"/>
  <c r="AZ121" i="90"/>
  <c r="BA121" i="90"/>
  <c r="BB121" i="90"/>
  <c r="BC121" i="90"/>
  <c r="BD121" i="90"/>
  <c r="BE121" i="90"/>
  <c r="BF121" i="90"/>
  <c r="BG121" i="90"/>
  <c r="CX121" i="90"/>
  <c r="AI121" i="56" s="1"/>
  <c r="CY121" i="90"/>
  <c r="AJ121" i="56" s="1"/>
  <c r="DN121" i="90"/>
  <c r="DO121" i="90" s="1"/>
  <c r="DW121" i="90"/>
  <c r="EO121" i="90" s="1"/>
  <c r="FE121" i="90" s="1"/>
  <c r="DX121" i="90"/>
  <c r="DY121" i="90" s="1"/>
  <c r="AX122" i="90"/>
  <c r="AY122" i="90"/>
  <c r="AZ122" i="90"/>
  <c r="BA122" i="90"/>
  <c r="BB122" i="90"/>
  <c r="BC122" i="90"/>
  <c r="BD122" i="90"/>
  <c r="BE122" i="90"/>
  <c r="BF122" i="90"/>
  <c r="BG122" i="90"/>
  <c r="CX122" i="90"/>
  <c r="AI122" i="56" s="1"/>
  <c r="CY122" i="90"/>
  <c r="AJ122" i="56" s="1"/>
  <c r="DN122" i="90"/>
  <c r="DO122" i="90" s="1"/>
  <c r="DW122" i="90"/>
  <c r="EO122" i="90" s="1"/>
  <c r="FE122" i="90" s="1"/>
  <c r="DX122" i="90"/>
  <c r="DY122" i="90" s="1"/>
  <c r="EQ122" i="90" s="1"/>
  <c r="FC122" i="90" s="1"/>
  <c r="AX123" i="90"/>
  <c r="AY123" i="90"/>
  <c r="AZ123" i="90"/>
  <c r="BA123" i="90"/>
  <c r="BB123" i="90"/>
  <c r="BC123" i="90"/>
  <c r="BD123" i="90"/>
  <c r="BE123" i="90"/>
  <c r="BF123" i="90"/>
  <c r="BG123" i="90"/>
  <c r="CX123" i="90"/>
  <c r="AI123" i="56" s="1"/>
  <c r="CY123" i="90"/>
  <c r="AJ123" i="56" s="1"/>
  <c r="DN123" i="90"/>
  <c r="DO123" i="90" s="1"/>
  <c r="DP123" i="90" s="1"/>
  <c r="DW123" i="90"/>
  <c r="EO123" i="90" s="1"/>
  <c r="FE123" i="90" s="1"/>
  <c r="DX123" i="90"/>
  <c r="AX124" i="90"/>
  <c r="AY124" i="90"/>
  <c r="AZ124" i="90"/>
  <c r="BA124" i="90"/>
  <c r="BB124" i="90"/>
  <c r="BC124" i="90"/>
  <c r="BD124" i="90"/>
  <c r="BE124" i="90"/>
  <c r="BF124" i="90"/>
  <c r="BG124" i="90"/>
  <c r="CX124" i="90"/>
  <c r="AI124" i="56" s="1"/>
  <c r="CY124" i="90"/>
  <c r="AJ124" i="56" s="1"/>
  <c r="DN124" i="90"/>
  <c r="DO124" i="90" s="1"/>
  <c r="DW124" i="90"/>
  <c r="DX124" i="90"/>
  <c r="DY124" i="90" s="1"/>
  <c r="AX125" i="90"/>
  <c r="AY125" i="90"/>
  <c r="AZ125" i="90"/>
  <c r="BA125" i="90"/>
  <c r="BB125" i="90"/>
  <c r="BC125" i="90"/>
  <c r="BD125" i="90"/>
  <c r="BE125" i="90"/>
  <c r="BF125" i="90"/>
  <c r="BG125" i="90"/>
  <c r="CX125" i="90"/>
  <c r="AI125" i="56" s="1"/>
  <c r="CY125" i="90"/>
  <c r="AJ125" i="56" s="1"/>
  <c r="DN125" i="90"/>
  <c r="DO125" i="90" s="1"/>
  <c r="DW125" i="90"/>
  <c r="EO125" i="90" s="1"/>
  <c r="FE125" i="90" s="1"/>
  <c r="DX125" i="90"/>
  <c r="DY125" i="90" s="1"/>
  <c r="AX126" i="90"/>
  <c r="AY126" i="90"/>
  <c r="AZ126" i="90"/>
  <c r="BA126" i="90"/>
  <c r="BB126" i="90"/>
  <c r="BC126" i="90"/>
  <c r="BD126" i="90"/>
  <c r="BE126" i="90"/>
  <c r="BF126" i="90"/>
  <c r="BG126" i="90"/>
  <c r="CX126" i="90"/>
  <c r="AI126" i="56" s="1"/>
  <c r="CY126" i="90"/>
  <c r="AJ126" i="56" s="1"/>
  <c r="DN126" i="90"/>
  <c r="DO126" i="90" s="1"/>
  <c r="DW126" i="90"/>
  <c r="EO126" i="90" s="1"/>
  <c r="FE126" i="90" s="1"/>
  <c r="DX126" i="90"/>
  <c r="EF126" i="90"/>
  <c r="AX127" i="90"/>
  <c r="AY127" i="90"/>
  <c r="AZ127" i="90"/>
  <c r="BA127" i="90"/>
  <c r="BB127" i="90"/>
  <c r="BC127" i="90"/>
  <c r="BD127" i="90"/>
  <c r="BE127" i="90"/>
  <c r="BF127" i="90"/>
  <c r="BG127" i="90"/>
  <c r="CX127" i="90"/>
  <c r="AI127" i="56" s="1"/>
  <c r="CY127" i="90"/>
  <c r="AJ127" i="56" s="1"/>
  <c r="DN127" i="90"/>
  <c r="DO127" i="90" s="1"/>
  <c r="DP127" i="90" s="1"/>
  <c r="DW127" i="90"/>
  <c r="EO127" i="90" s="1"/>
  <c r="FE127" i="90" s="1"/>
  <c r="DX127" i="90"/>
  <c r="AX128" i="90"/>
  <c r="AY128" i="90"/>
  <c r="AZ128" i="90"/>
  <c r="BA128" i="90"/>
  <c r="BB128" i="90"/>
  <c r="BC128" i="90"/>
  <c r="BD128" i="90"/>
  <c r="BE128" i="90"/>
  <c r="BF128" i="90"/>
  <c r="BG128" i="90"/>
  <c r="CX128" i="90"/>
  <c r="AI128" i="56" s="1"/>
  <c r="CY128" i="90"/>
  <c r="AJ128" i="56" s="1"/>
  <c r="DN128" i="90"/>
  <c r="EF128" i="90" s="1"/>
  <c r="DW128" i="90"/>
  <c r="EO128" i="90" s="1"/>
  <c r="FE128" i="90" s="1"/>
  <c r="DX128" i="90"/>
  <c r="DY128" i="90" s="1"/>
  <c r="DZ128" i="90" s="1"/>
  <c r="AX129" i="90"/>
  <c r="AY129" i="90"/>
  <c r="AZ129" i="90"/>
  <c r="BA129" i="90"/>
  <c r="BB129" i="90"/>
  <c r="BC129" i="90"/>
  <c r="BD129" i="90"/>
  <c r="BE129" i="90"/>
  <c r="BF129" i="90"/>
  <c r="BG129" i="90"/>
  <c r="CX129" i="90"/>
  <c r="AI129" i="56" s="1"/>
  <c r="CY129" i="90"/>
  <c r="AJ129" i="56" s="1"/>
  <c r="DN129" i="90"/>
  <c r="DO129" i="90" s="1"/>
  <c r="DW129" i="90"/>
  <c r="EO129" i="90" s="1"/>
  <c r="FE129" i="90" s="1"/>
  <c r="DX129" i="90"/>
  <c r="DY129" i="90" s="1"/>
  <c r="AX130" i="90"/>
  <c r="AY130" i="90"/>
  <c r="AZ130" i="90"/>
  <c r="BA130" i="90"/>
  <c r="BB130" i="90"/>
  <c r="BC130" i="90"/>
  <c r="BD130" i="90"/>
  <c r="BE130" i="90"/>
  <c r="BF130" i="90"/>
  <c r="BG130" i="90"/>
  <c r="CX130" i="90"/>
  <c r="AI130" i="56" s="1"/>
  <c r="CY130" i="90"/>
  <c r="AJ130" i="56" s="1"/>
  <c r="DN130" i="90"/>
  <c r="DW130" i="90"/>
  <c r="EO130" i="90" s="1"/>
  <c r="FE130" i="90" s="1"/>
  <c r="DX130" i="90"/>
  <c r="AX131" i="90"/>
  <c r="AY131" i="90"/>
  <c r="AZ131" i="90"/>
  <c r="BA131" i="90"/>
  <c r="BB131" i="90"/>
  <c r="BC131" i="90"/>
  <c r="BD131" i="90"/>
  <c r="BE131" i="90"/>
  <c r="BF131" i="90"/>
  <c r="BG131" i="90"/>
  <c r="CX131" i="90"/>
  <c r="AI131" i="56" s="1"/>
  <c r="CY131" i="90"/>
  <c r="AJ131" i="56" s="1"/>
  <c r="DN131" i="90"/>
  <c r="DO131" i="90" s="1"/>
  <c r="DW131" i="90"/>
  <c r="EO131" i="90" s="1"/>
  <c r="FE131" i="90" s="1"/>
  <c r="DX131" i="90"/>
  <c r="DY131" i="90" s="1"/>
  <c r="EQ131" i="90" s="1"/>
  <c r="FC131" i="90" s="1"/>
  <c r="AX132" i="90"/>
  <c r="AY132" i="90"/>
  <c r="AZ132" i="90"/>
  <c r="BA132" i="90"/>
  <c r="BB132" i="90"/>
  <c r="BC132" i="90"/>
  <c r="BD132" i="90"/>
  <c r="BE132" i="90"/>
  <c r="BF132" i="90"/>
  <c r="BG132" i="90"/>
  <c r="CX132" i="90"/>
  <c r="AI132" i="56" s="1"/>
  <c r="CY132" i="90"/>
  <c r="AJ132" i="56" s="1"/>
  <c r="DN132" i="90"/>
  <c r="DO132" i="90" s="1"/>
  <c r="DW132" i="90"/>
  <c r="DX132" i="90"/>
  <c r="DY132" i="90" s="1"/>
  <c r="EQ132" i="90" s="1"/>
  <c r="FC132" i="90" s="1"/>
  <c r="AX133" i="90"/>
  <c r="AY133" i="90"/>
  <c r="AZ133" i="90"/>
  <c r="BA133" i="90"/>
  <c r="BB133" i="90"/>
  <c r="BC133" i="90"/>
  <c r="BD133" i="90"/>
  <c r="BE133" i="90"/>
  <c r="BF133" i="90"/>
  <c r="BG133" i="90"/>
  <c r="CX133" i="90"/>
  <c r="AI133" i="56" s="1"/>
  <c r="CY133" i="90"/>
  <c r="AJ133" i="56" s="1"/>
  <c r="DN133" i="90"/>
  <c r="DO133" i="90" s="1"/>
  <c r="DW133" i="90"/>
  <c r="EO133" i="90" s="1"/>
  <c r="FE133" i="90" s="1"/>
  <c r="DX133" i="90"/>
  <c r="DY133" i="90" s="1"/>
  <c r="AX134" i="90"/>
  <c r="AY134" i="90"/>
  <c r="AZ134" i="90"/>
  <c r="BA134" i="90"/>
  <c r="BB134" i="90"/>
  <c r="BC134" i="90"/>
  <c r="BD134" i="90"/>
  <c r="BE134" i="90"/>
  <c r="BF134" i="90"/>
  <c r="BG134" i="90"/>
  <c r="CX134" i="90"/>
  <c r="AI134" i="56" s="1"/>
  <c r="CY134" i="90"/>
  <c r="AJ134" i="56" s="1"/>
  <c r="DN134" i="90"/>
  <c r="DW134" i="90"/>
  <c r="EO134" i="90" s="1"/>
  <c r="FE134" i="90" s="1"/>
  <c r="DX134" i="90"/>
  <c r="DY134" i="90" s="1"/>
  <c r="EQ134" i="90" s="1"/>
  <c r="FC134" i="90" s="1"/>
  <c r="AX135" i="90"/>
  <c r="AY135" i="90"/>
  <c r="AZ135" i="90"/>
  <c r="BA135" i="90"/>
  <c r="BB135" i="90"/>
  <c r="BC135" i="90"/>
  <c r="BD135" i="90"/>
  <c r="BE135" i="90"/>
  <c r="BF135" i="90"/>
  <c r="BG135" i="90"/>
  <c r="CX135" i="90"/>
  <c r="AI135" i="56" s="1"/>
  <c r="CY135" i="90"/>
  <c r="AJ135" i="56" s="1"/>
  <c r="DN135" i="90"/>
  <c r="DO135" i="90" s="1"/>
  <c r="DP135" i="90" s="1"/>
  <c r="DW135" i="90"/>
  <c r="EO135" i="90" s="1"/>
  <c r="FE135" i="90" s="1"/>
  <c r="DX135" i="90"/>
  <c r="AX136" i="90"/>
  <c r="AY136" i="90"/>
  <c r="AZ136" i="90"/>
  <c r="BA136" i="90"/>
  <c r="BB136" i="90"/>
  <c r="BC136" i="90"/>
  <c r="BD136" i="90"/>
  <c r="BE136" i="90"/>
  <c r="BF136" i="90"/>
  <c r="BG136" i="90"/>
  <c r="CX136" i="90"/>
  <c r="AI136" i="56" s="1"/>
  <c r="CY136" i="90"/>
  <c r="AJ136" i="56" s="1"/>
  <c r="DN136" i="90"/>
  <c r="DW136" i="90"/>
  <c r="EO136" i="90" s="1"/>
  <c r="FE136" i="90" s="1"/>
  <c r="DX136" i="90"/>
  <c r="DY136" i="90" s="1"/>
  <c r="EQ136" i="90" s="1"/>
  <c r="FC136" i="90" s="1"/>
  <c r="AX137" i="90"/>
  <c r="AY137" i="90"/>
  <c r="AZ137" i="90"/>
  <c r="BA137" i="90"/>
  <c r="BB137" i="90"/>
  <c r="BC137" i="90"/>
  <c r="BD137" i="90"/>
  <c r="BE137" i="90"/>
  <c r="BF137" i="90"/>
  <c r="BG137" i="90"/>
  <c r="CX137" i="90"/>
  <c r="AI137" i="56" s="1"/>
  <c r="CY137" i="90"/>
  <c r="AJ137" i="56" s="1"/>
  <c r="DN137" i="90"/>
  <c r="DO137" i="90" s="1"/>
  <c r="DW137" i="90"/>
  <c r="EO137" i="90" s="1"/>
  <c r="FE137" i="90" s="1"/>
  <c r="DX137" i="90"/>
  <c r="DY137" i="90" s="1"/>
  <c r="EQ137" i="90" s="1"/>
  <c r="FC137" i="90" s="1"/>
  <c r="AX138" i="90"/>
  <c r="AY138" i="90"/>
  <c r="AZ138" i="90"/>
  <c r="BA138" i="90"/>
  <c r="BB138" i="90"/>
  <c r="BC138" i="90"/>
  <c r="BD138" i="90"/>
  <c r="BE138" i="90"/>
  <c r="BF138" i="90"/>
  <c r="BG138" i="90"/>
  <c r="CX138" i="90"/>
  <c r="AI138" i="56" s="1"/>
  <c r="CY138" i="90"/>
  <c r="AJ138" i="56" s="1"/>
  <c r="DN138" i="90"/>
  <c r="DO138" i="90" s="1"/>
  <c r="DW138" i="90"/>
  <c r="EO138" i="90" s="1"/>
  <c r="FE138" i="90" s="1"/>
  <c r="DX138" i="90"/>
  <c r="AX139" i="90"/>
  <c r="AY139" i="90"/>
  <c r="AZ139" i="90"/>
  <c r="BA139" i="90"/>
  <c r="BB139" i="90"/>
  <c r="BC139" i="90"/>
  <c r="BD139" i="90"/>
  <c r="BE139" i="90"/>
  <c r="BF139" i="90"/>
  <c r="BG139" i="90"/>
  <c r="CX139" i="90"/>
  <c r="AI139" i="56" s="1"/>
  <c r="CY139" i="90"/>
  <c r="AJ139" i="56" s="1"/>
  <c r="DN139" i="90"/>
  <c r="DO139" i="90" s="1"/>
  <c r="DP139" i="90" s="1"/>
  <c r="EH139" i="90" s="1"/>
  <c r="DW139" i="90"/>
  <c r="EO139" i="90" s="1"/>
  <c r="FE139" i="90" s="1"/>
  <c r="DX139" i="90"/>
  <c r="EF139" i="90"/>
  <c r="AX140" i="90"/>
  <c r="AY140" i="90"/>
  <c r="AZ140" i="90"/>
  <c r="BA140" i="90"/>
  <c r="BB140" i="90"/>
  <c r="BC140" i="90"/>
  <c r="BD140" i="90"/>
  <c r="BE140" i="90"/>
  <c r="BF140" i="90"/>
  <c r="BG140" i="90"/>
  <c r="CX140" i="90"/>
  <c r="AI140" i="56" s="1"/>
  <c r="CY140" i="90"/>
  <c r="AJ140" i="56" s="1"/>
  <c r="DN140" i="90"/>
  <c r="DO140" i="90" s="1"/>
  <c r="DW140" i="90"/>
  <c r="EO140" i="90" s="1"/>
  <c r="FE140" i="90" s="1"/>
  <c r="DX140" i="90"/>
  <c r="DY140" i="90" s="1"/>
  <c r="EQ140" i="90" s="1"/>
  <c r="FC140" i="90" s="1"/>
  <c r="EF140" i="90"/>
  <c r="AX141" i="90"/>
  <c r="AY141" i="90"/>
  <c r="AZ141" i="90"/>
  <c r="BA141" i="90"/>
  <c r="BB141" i="90"/>
  <c r="BC141" i="90"/>
  <c r="BD141" i="90"/>
  <c r="BE141" i="90"/>
  <c r="BF141" i="90"/>
  <c r="BG141" i="90"/>
  <c r="CX141" i="90"/>
  <c r="AI141" i="56" s="1"/>
  <c r="CY141" i="90"/>
  <c r="AJ141" i="56" s="1"/>
  <c r="DN141" i="90"/>
  <c r="DW141" i="90"/>
  <c r="EP141" i="90" s="1"/>
  <c r="FD141" i="90" s="1"/>
  <c r="DX141" i="90"/>
  <c r="DY141" i="90" s="1"/>
  <c r="EQ141" i="90" s="1"/>
  <c r="DZ141" i="90"/>
  <c r="EA141" i="90" s="1"/>
  <c r="ES141" i="90" s="1"/>
  <c r="FA141" i="90" s="1"/>
  <c r="FC141" i="90"/>
  <c r="AX142" i="90"/>
  <c r="AY142" i="90"/>
  <c r="AZ142" i="90"/>
  <c r="BA142" i="90"/>
  <c r="BB142" i="90"/>
  <c r="BC142" i="90"/>
  <c r="BD142" i="90"/>
  <c r="BE142" i="90"/>
  <c r="BF142" i="90"/>
  <c r="BG142" i="90"/>
  <c r="CX142" i="90"/>
  <c r="AI142" i="56" s="1"/>
  <c r="CY142" i="90"/>
  <c r="AJ142" i="56" s="1"/>
  <c r="DN142" i="90"/>
  <c r="DO142" i="90" s="1"/>
  <c r="DW142" i="90"/>
  <c r="DX142" i="90"/>
  <c r="DY142" i="90" s="1"/>
  <c r="EQ142" i="90" s="1"/>
  <c r="FC142" i="90" s="1"/>
  <c r="AX143" i="90"/>
  <c r="AY143" i="90"/>
  <c r="AZ143" i="90"/>
  <c r="BA143" i="90"/>
  <c r="BB143" i="90"/>
  <c r="BC143" i="90"/>
  <c r="BD143" i="90"/>
  <c r="BE143" i="90"/>
  <c r="BF143" i="90"/>
  <c r="BG143" i="90"/>
  <c r="CX143" i="90"/>
  <c r="AI143" i="56" s="1"/>
  <c r="CY143" i="90"/>
  <c r="AJ143" i="56" s="1"/>
  <c r="DN143" i="90"/>
  <c r="DO143" i="90" s="1"/>
  <c r="DP143" i="90" s="1"/>
  <c r="DW143" i="90"/>
  <c r="EO143" i="90" s="1"/>
  <c r="FE143" i="90" s="1"/>
  <c r="DX143" i="90"/>
  <c r="AX144" i="90"/>
  <c r="AY144" i="90"/>
  <c r="AZ144" i="90"/>
  <c r="BA144" i="90"/>
  <c r="BB144" i="90"/>
  <c r="BC144" i="90"/>
  <c r="BD144" i="90"/>
  <c r="BE144" i="90"/>
  <c r="BF144" i="90"/>
  <c r="BG144" i="90"/>
  <c r="CX144" i="90"/>
  <c r="AI144" i="56" s="1"/>
  <c r="CY144" i="90"/>
  <c r="AJ144" i="56" s="1"/>
  <c r="DN144" i="90"/>
  <c r="DW144" i="90"/>
  <c r="DX144" i="90"/>
  <c r="DY144" i="90" s="1"/>
  <c r="EO144" i="90"/>
  <c r="FE144" i="90" s="1"/>
  <c r="AX145" i="90"/>
  <c r="AY145" i="90"/>
  <c r="AZ145" i="90"/>
  <c r="BA145" i="90"/>
  <c r="BB145" i="90"/>
  <c r="BC145" i="90"/>
  <c r="BD145" i="90"/>
  <c r="BE145" i="90"/>
  <c r="BF145" i="90"/>
  <c r="BG145" i="90"/>
  <c r="CX145" i="90"/>
  <c r="AI145" i="56" s="1"/>
  <c r="CY145" i="90"/>
  <c r="AJ145" i="56" s="1"/>
  <c r="DN145" i="90"/>
  <c r="EF145" i="90" s="1"/>
  <c r="DO145" i="90"/>
  <c r="EG145" i="90" s="1"/>
  <c r="DW145" i="90"/>
  <c r="EO145" i="90" s="1"/>
  <c r="FE145" i="90" s="1"/>
  <c r="DX145" i="90"/>
  <c r="DY145" i="90" s="1"/>
  <c r="DZ145" i="90" s="1"/>
  <c r="AX146" i="90"/>
  <c r="AY146" i="90"/>
  <c r="AZ146" i="90"/>
  <c r="BA146" i="90"/>
  <c r="BB146" i="90"/>
  <c r="BC146" i="90"/>
  <c r="BD146" i="90"/>
  <c r="BE146" i="90"/>
  <c r="BF146" i="90"/>
  <c r="BG146" i="90"/>
  <c r="CX146" i="90"/>
  <c r="AI146" i="56" s="1"/>
  <c r="CY146" i="90"/>
  <c r="AJ146" i="56" s="1"/>
  <c r="DN146" i="90"/>
  <c r="DO146" i="90" s="1"/>
  <c r="DW146" i="90"/>
  <c r="EO146" i="90" s="1"/>
  <c r="FE146" i="90" s="1"/>
  <c r="DX146" i="90"/>
  <c r="DY146" i="90" s="1"/>
  <c r="AX147" i="90"/>
  <c r="AY147" i="90"/>
  <c r="AZ147" i="90"/>
  <c r="BA147" i="90"/>
  <c r="BB147" i="90"/>
  <c r="BC147" i="90"/>
  <c r="BD147" i="90"/>
  <c r="BE147" i="90"/>
  <c r="BF147" i="90"/>
  <c r="BG147" i="90"/>
  <c r="CX147" i="90"/>
  <c r="AI147" i="56" s="1"/>
  <c r="CY147" i="90"/>
  <c r="AJ147" i="56" s="1"/>
  <c r="DN147" i="90"/>
  <c r="DW147" i="90"/>
  <c r="EO147" i="90" s="1"/>
  <c r="FE147" i="90" s="1"/>
  <c r="DX147" i="90"/>
  <c r="AX148" i="90"/>
  <c r="AY148" i="90"/>
  <c r="AZ148" i="90"/>
  <c r="BA148" i="90"/>
  <c r="BB148" i="90"/>
  <c r="BC148" i="90"/>
  <c r="BD148" i="90"/>
  <c r="BE148" i="90"/>
  <c r="BF148" i="90"/>
  <c r="BG148" i="90"/>
  <c r="CX148" i="90"/>
  <c r="AI148" i="56" s="1"/>
  <c r="CY148" i="90"/>
  <c r="AJ148" i="56" s="1"/>
  <c r="DN148" i="90"/>
  <c r="DO148" i="90" s="1"/>
  <c r="DW148" i="90"/>
  <c r="DX148" i="90"/>
  <c r="DY148" i="90" s="1"/>
  <c r="EQ148" i="90" s="1"/>
  <c r="FC148" i="90" s="1"/>
  <c r="AX149" i="90"/>
  <c r="AY149" i="90"/>
  <c r="AZ149" i="90"/>
  <c r="BA149" i="90"/>
  <c r="BB149" i="90"/>
  <c r="BC149" i="90"/>
  <c r="BD149" i="90"/>
  <c r="BE149" i="90"/>
  <c r="BF149" i="90"/>
  <c r="BG149" i="90"/>
  <c r="CX149" i="90"/>
  <c r="AI149" i="56" s="1"/>
  <c r="CY149" i="90"/>
  <c r="AJ149" i="56" s="1"/>
  <c r="DN149" i="90"/>
  <c r="EF149" i="90" s="1"/>
  <c r="DW149" i="90"/>
  <c r="EO149" i="90" s="1"/>
  <c r="FE149" i="90" s="1"/>
  <c r="DX149" i="90"/>
  <c r="DY149" i="90" s="1"/>
  <c r="AX150" i="90"/>
  <c r="AY150" i="90"/>
  <c r="AZ150" i="90"/>
  <c r="BA150" i="90"/>
  <c r="BB150" i="90"/>
  <c r="BC150" i="90"/>
  <c r="BD150" i="90"/>
  <c r="BE150" i="90"/>
  <c r="BF150" i="90"/>
  <c r="BG150" i="90"/>
  <c r="CX150" i="90"/>
  <c r="AI150" i="56" s="1"/>
  <c r="CY150" i="90"/>
  <c r="AJ150" i="56" s="1"/>
  <c r="DN150" i="90"/>
  <c r="DW150" i="90"/>
  <c r="DX150" i="90"/>
  <c r="DY150" i="90" s="1"/>
  <c r="AX151" i="90"/>
  <c r="AY151" i="90"/>
  <c r="AZ151" i="90"/>
  <c r="BA151" i="90"/>
  <c r="BB151" i="90"/>
  <c r="BC151" i="90"/>
  <c r="BD151" i="90"/>
  <c r="BE151" i="90"/>
  <c r="BF151" i="90"/>
  <c r="BG151" i="90"/>
  <c r="CX151" i="90"/>
  <c r="AI151" i="56" s="1"/>
  <c r="CY151" i="90"/>
  <c r="AJ151" i="56" s="1"/>
  <c r="DN151" i="90"/>
  <c r="EF151" i="90" s="1"/>
  <c r="DW151" i="90"/>
  <c r="EO151" i="90" s="1"/>
  <c r="FE151" i="90" s="1"/>
  <c r="DX151" i="90"/>
  <c r="DY151" i="90" s="1"/>
  <c r="AX152" i="90"/>
  <c r="AY152" i="90"/>
  <c r="AZ152" i="90"/>
  <c r="BA152" i="90"/>
  <c r="BB152" i="90"/>
  <c r="BC152" i="90"/>
  <c r="BD152" i="90"/>
  <c r="BE152" i="90"/>
  <c r="BF152" i="90"/>
  <c r="BG152" i="90"/>
  <c r="CX152" i="90"/>
  <c r="AI152" i="56" s="1"/>
  <c r="CY152" i="90"/>
  <c r="AJ152" i="56" s="1"/>
  <c r="DN152" i="90"/>
  <c r="DW152" i="90"/>
  <c r="DX152" i="90"/>
  <c r="DY152" i="90" s="1"/>
  <c r="DZ152" i="90" s="1"/>
  <c r="AX153" i="90"/>
  <c r="AY153" i="90"/>
  <c r="AZ153" i="90"/>
  <c r="BA153" i="90"/>
  <c r="BB153" i="90"/>
  <c r="BC153" i="90"/>
  <c r="BD153" i="90"/>
  <c r="BE153" i="90"/>
  <c r="BF153" i="90"/>
  <c r="BG153" i="90"/>
  <c r="CX153" i="90"/>
  <c r="AI153" i="56" s="1"/>
  <c r="CY153" i="90"/>
  <c r="AJ153" i="56" s="1"/>
  <c r="DN153" i="90"/>
  <c r="DO153" i="90" s="1"/>
  <c r="DW153" i="90"/>
  <c r="EO153" i="90" s="1"/>
  <c r="FE153" i="90" s="1"/>
  <c r="DX153" i="90"/>
  <c r="AX154" i="90"/>
  <c r="AY154" i="90"/>
  <c r="AZ154" i="90"/>
  <c r="BA154" i="90"/>
  <c r="BB154" i="90"/>
  <c r="BC154" i="90"/>
  <c r="BD154" i="90"/>
  <c r="BE154" i="90"/>
  <c r="BF154" i="90"/>
  <c r="BG154" i="90"/>
  <c r="CX154" i="90"/>
  <c r="AI154" i="56" s="1"/>
  <c r="CY154" i="90"/>
  <c r="AJ154" i="56" s="1"/>
  <c r="DN154" i="90"/>
  <c r="DO154" i="90" s="1"/>
  <c r="DW154" i="90"/>
  <c r="DX154" i="90"/>
  <c r="DY154" i="90" s="1"/>
  <c r="AX155" i="90"/>
  <c r="AY155" i="90"/>
  <c r="AZ155" i="90"/>
  <c r="BA155" i="90"/>
  <c r="BB155" i="90"/>
  <c r="BC155" i="90"/>
  <c r="BD155" i="90"/>
  <c r="BE155" i="90"/>
  <c r="BF155" i="90"/>
  <c r="BG155" i="90"/>
  <c r="CX155" i="90"/>
  <c r="AI155" i="56" s="1"/>
  <c r="CY155" i="90"/>
  <c r="AJ155" i="56" s="1"/>
  <c r="DN155" i="90"/>
  <c r="DO155" i="90" s="1"/>
  <c r="DW155" i="90"/>
  <c r="EO155" i="90" s="1"/>
  <c r="FE155" i="90" s="1"/>
  <c r="DX155" i="90"/>
  <c r="DY155" i="90" s="1"/>
  <c r="AX156" i="90"/>
  <c r="AY156" i="90"/>
  <c r="AZ156" i="90"/>
  <c r="BA156" i="90"/>
  <c r="BB156" i="90"/>
  <c r="BC156" i="90"/>
  <c r="BD156" i="90"/>
  <c r="BE156" i="90"/>
  <c r="BF156" i="90"/>
  <c r="BG156" i="90"/>
  <c r="CX156" i="90"/>
  <c r="AI156" i="56" s="1"/>
  <c r="CY156" i="90"/>
  <c r="AJ156" i="56" s="1"/>
  <c r="DN156" i="90"/>
  <c r="DW156" i="90"/>
  <c r="DX156" i="90"/>
  <c r="DY156" i="90" s="1"/>
  <c r="AX157" i="90"/>
  <c r="AY157" i="90"/>
  <c r="AZ157" i="90"/>
  <c r="BA157" i="90"/>
  <c r="BB157" i="90"/>
  <c r="BC157" i="90"/>
  <c r="BD157" i="90"/>
  <c r="BE157" i="90"/>
  <c r="BF157" i="90"/>
  <c r="BG157" i="90"/>
  <c r="CX157" i="90"/>
  <c r="AI157" i="56" s="1"/>
  <c r="CY157" i="90"/>
  <c r="AJ157" i="56" s="1"/>
  <c r="DN157" i="90"/>
  <c r="DO157" i="90" s="1"/>
  <c r="DP157" i="90" s="1"/>
  <c r="DQ157" i="90" s="1"/>
  <c r="DW157" i="90"/>
  <c r="EO157" i="90" s="1"/>
  <c r="FE157" i="90" s="1"/>
  <c r="DX157" i="90"/>
  <c r="AX158" i="90"/>
  <c r="AY158" i="90"/>
  <c r="AZ158" i="90"/>
  <c r="BA158" i="90"/>
  <c r="BB158" i="90"/>
  <c r="BC158" i="90"/>
  <c r="BD158" i="90"/>
  <c r="BE158" i="90"/>
  <c r="BF158" i="90"/>
  <c r="BG158" i="90"/>
  <c r="CX158" i="90"/>
  <c r="AI158" i="56" s="1"/>
  <c r="CY158" i="90"/>
  <c r="AJ158" i="56" s="1"/>
  <c r="DN158" i="90"/>
  <c r="DO158" i="90" s="1"/>
  <c r="DW158" i="90"/>
  <c r="DX158" i="90"/>
  <c r="DY158" i="90" s="1"/>
  <c r="AX159" i="90"/>
  <c r="AY159" i="90"/>
  <c r="AZ159" i="90"/>
  <c r="BA159" i="90"/>
  <c r="BB159" i="90"/>
  <c r="BC159" i="90"/>
  <c r="BD159" i="90"/>
  <c r="BE159" i="90"/>
  <c r="BF159" i="90"/>
  <c r="BG159" i="90"/>
  <c r="CX159" i="90"/>
  <c r="AI159" i="56" s="1"/>
  <c r="CY159" i="90"/>
  <c r="AJ159" i="56" s="1"/>
  <c r="DN159" i="90"/>
  <c r="DO159" i="90" s="1"/>
  <c r="DW159" i="90"/>
  <c r="EO159" i="90" s="1"/>
  <c r="FE159" i="90" s="1"/>
  <c r="DX159" i="90"/>
  <c r="DY159" i="90" s="1"/>
  <c r="AX160" i="90"/>
  <c r="AY160" i="90"/>
  <c r="AZ160" i="90"/>
  <c r="BA160" i="90"/>
  <c r="BB160" i="90"/>
  <c r="BC160" i="90"/>
  <c r="BD160" i="90"/>
  <c r="BE160" i="90"/>
  <c r="BF160" i="90"/>
  <c r="BG160" i="90"/>
  <c r="CX160" i="90"/>
  <c r="AI160" i="56" s="1"/>
  <c r="CY160" i="90"/>
  <c r="AJ160" i="56" s="1"/>
  <c r="DN160" i="90"/>
  <c r="DO160" i="90" s="1"/>
  <c r="DW160" i="90"/>
  <c r="DX160" i="90"/>
  <c r="DY160" i="90" s="1"/>
  <c r="AX161" i="90"/>
  <c r="AY161" i="90"/>
  <c r="AZ161" i="90"/>
  <c r="BA161" i="90"/>
  <c r="BB161" i="90"/>
  <c r="BC161" i="90"/>
  <c r="BD161" i="90"/>
  <c r="BE161" i="90"/>
  <c r="BF161" i="90"/>
  <c r="BG161" i="90"/>
  <c r="CX161" i="90"/>
  <c r="AI161" i="56" s="1"/>
  <c r="CY161" i="90"/>
  <c r="AJ161" i="56" s="1"/>
  <c r="DN161" i="90"/>
  <c r="DW161" i="90"/>
  <c r="EO161" i="90" s="1"/>
  <c r="FE161" i="90" s="1"/>
  <c r="DX161" i="90"/>
  <c r="AX162" i="90"/>
  <c r="AY162" i="90"/>
  <c r="AZ162" i="90"/>
  <c r="BA162" i="90"/>
  <c r="BB162" i="90"/>
  <c r="BC162" i="90"/>
  <c r="BD162" i="90"/>
  <c r="BE162" i="90"/>
  <c r="BF162" i="90"/>
  <c r="BG162" i="90"/>
  <c r="CX162" i="90"/>
  <c r="AI162" i="56" s="1"/>
  <c r="CY162" i="90"/>
  <c r="AJ162" i="56" s="1"/>
  <c r="DN162" i="90"/>
  <c r="DO162" i="90" s="1"/>
  <c r="EG162" i="90" s="1"/>
  <c r="DW162" i="90"/>
  <c r="DX162" i="90"/>
  <c r="DY162" i="90" s="1"/>
  <c r="DZ162" i="90" s="1"/>
  <c r="AX163" i="90"/>
  <c r="AY163" i="90"/>
  <c r="AZ163" i="90"/>
  <c r="BA163" i="90"/>
  <c r="BB163" i="90"/>
  <c r="BC163" i="90"/>
  <c r="BD163" i="90"/>
  <c r="BE163" i="90"/>
  <c r="BF163" i="90"/>
  <c r="BG163" i="90"/>
  <c r="CX163" i="90"/>
  <c r="AI163" i="56" s="1"/>
  <c r="CY163" i="90"/>
  <c r="AJ163" i="56" s="1"/>
  <c r="DN163" i="90"/>
  <c r="EF163" i="90" s="1"/>
  <c r="DO163" i="90"/>
  <c r="DP163" i="90" s="1"/>
  <c r="DW163" i="90"/>
  <c r="EO163" i="90" s="1"/>
  <c r="FE163" i="90" s="1"/>
  <c r="DX163" i="90"/>
  <c r="DY163" i="90" s="1"/>
  <c r="AX164" i="90"/>
  <c r="AY164" i="90"/>
  <c r="AZ164" i="90"/>
  <c r="BA164" i="90"/>
  <c r="BB164" i="90"/>
  <c r="BC164" i="90"/>
  <c r="BD164" i="90"/>
  <c r="BE164" i="90"/>
  <c r="BF164" i="90"/>
  <c r="BG164" i="90"/>
  <c r="CX164" i="90"/>
  <c r="AI164" i="56" s="1"/>
  <c r="CY164" i="90"/>
  <c r="AJ164" i="56" s="1"/>
  <c r="DN164" i="90"/>
  <c r="DO164" i="90" s="1"/>
  <c r="EG164" i="90" s="1"/>
  <c r="DW164" i="90"/>
  <c r="EO164" i="90" s="1"/>
  <c r="FE164" i="90" s="1"/>
  <c r="DX164" i="90"/>
  <c r="DY164" i="90" s="1"/>
  <c r="DZ164" i="90" s="1"/>
  <c r="AX165" i="90"/>
  <c r="AY165" i="90"/>
  <c r="AZ165" i="90"/>
  <c r="BA165" i="90"/>
  <c r="BB165" i="90"/>
  <c r="BC165" i="90"/>
  <c r="BD165" i="90"/>
  <c r="BE165" i="90"/>
  <c r="BF165" i="90"/>
  <c r="BG165" i="90"/>
  <c r="CX165" i="90"/>
  <c r="AI165" i="56" s="1"/>
  <c r="CY165" i="90"/>
  <c r="AJ165" i="56" s="1"/>
  <c r="DN165" i="90"/>
  <c r="DO165" i="90" s="1"/>
  <c r="DP165" i="90" s="1"/>
  <c r="DW165" i="90"/>
  <c r="EO165" i="90" s="1"/>
  <c r="FE165" i="90" s="1"/>
  <c r="DX165" i="90"/>
  <c r="DY165" i="90" s="1"/>
  <c r="AX166" i="90"/>
  <c r="AY166" i="90"/>
  <c r="AZ166" i="90"/>
  <c r="BA166" i="90"/>
  <c r="BB166" i="90"/>
  <c r="BC166" i="90"/>
  <c r="BD166" i="90"/>
  <c r="BE166" i="90"/>
  <c r="BF166" i="90"/>
  <c r="BG166" i="90"/>
  <c r="CX166" i="90"/>
  <c r="AI166" i="56" s="1"/>
  <c r="CY166" i="90"/>
  <c r="AJ166" i="56" s="1"/>
  <c r="DN166" i="90"/>
  <c r="DO166" i="90" s="1"/>
  <c r="DP166" i="90" s="1"/>
  <c r="DW166" i="90"/>
  <c r="EO166" i="90" s="1"/>
  <c r="FE166" i="90" s="1"/>
  <c r="DX166" i="90"/>
  <c r="DY166" i="90" s="1"/>
  <c r="AX167" i="90"/>
  <c r="AY167" i="90"/>
  <c r="AZ167" i="90"/>
  <c r="BA167" i="90"/>
  <c r="BB167" i="90"/>
  <c r="BC167" i="90"/>
  <c r="BD167" i="90"/>
  <c r="BE167" i="90"/>
  <c r="BF167" i="90"/>
  <c r="BG167" i="90"/>
  <c r="CX167" i="90"/>
  <c r="AI167" i="56" s="1"/>
  <c r="CY167" i="90"/>
  <c r="AJ167" i="56" s="1"/>
  <c r="DN167" i="90"/>
  <c r="DO167" i="90" s="1"/>
  <c r="DW167" i="90"/>
  <c r="EO167" i="90" s="1"/>
  <c r="FE167" i="90" s="1"/>
  <c r="DX167" i="90"/>
  <c r="DY167" i="90" s="1"/>
  <c r="AX168" i="90"/>
  <c r="AY168" i="90"/>
  <c r="AZ168" i="90"/>
  <c r="BA168" i="90"/>
  <c r="BB168" i="90"/>
  <c r="BC168" i="90"/>
  <c r="BD168" i="90"/>
  <c r="BE168" i="90"/>
  <c r="BF168" i="90"/>
  <c r="BG168" i="90"/>
  <c r="CX168" i="90"/>
  <c r="AI168" i="56" s="1"/>
  <c r="CY168" i="90"/>
  <c r="AJ168" i="56" s="1"/>
  <c r="DN168" i="90"/>
  <c r="DO168" i="90" s="1"/>
  <c r="DP168" i="90" s="1"/>
  <c r="DW168" i="90"/>
  <c r="EO168" i="90" s="1"/>
  <c r="FE168" i="90" s="1"/>
  <c r="DX168" i="90"/>
  <c r="DY168" i="90" s="1"/>
  <c r="AX169" i="90"/>
  <c r="AY169" i="90"/>
  <c r="AZ169" i="90"/>
  <c r="BA169" i="90"/>
  <c r="BB169" i="90"/>
  <c r="BC169" i="90"/>
  <c r="BD169" i="90"/>
  <c r="BE169" i="90"/>
  <c r="BF169" i="90"/>
  <c r="BG169" i="90"/>
  <c r="CX169" i="90"/>
  <c r="AI169" i="56" s="1"/>
  <c r="CY169" i="90"/>
  <c r="AJ169" i="56" s="1"/>
  <c r="DN169" i="90"/>
  <c r="DO169" i="90" s="1"/>
  <c r="DW169" i="90"/>
  <c r="EO169" i="90" s="1"/>
  <c r="FE169" i="90" s="1"/>
  <c r="DX169" i="90"/>
  <c r="DY169" i="90" s="1"/>
  <c r="AX170" i="90"/>
  <c r="AY170" i="90"/>
  <c r="AZ170" i="90"/>
  <c r="BA170" i="90"/>
  <c r="BB170" i="90"/>
  <c r="BC170" i="90"/>
  <c r="BD170" i="90"/>
  <c r="BE170" i="90"/>
  <c r="BF170" i="90"/>
  <c r="BG170" i="90"/>
  <c r="CX170" i="90"/>
  <c r="AI170" i="56" s="1"/>
  <c r="CY170" i="90"/>
  <c r="AJ170" i="56" s="1"/>
  <c r="DN170" i="90"/>
  <c r="DO170" i="90" s="1"/>
  <c r="DW170" i="90"/>
  <c r="EO170" i="90" s="1"/>
  <c r="FE170" i="90" s="1"/>
  <c r="DX170" i="90"/>
  <c r="DY170" i="90" s="1"/>
  <c r="EF170" i="90"/>
  <c r="AX171" i="90"/>
  <c r="AY171" i="90"/>
  <c r="AZ171" i="90"/>
  <c r="BA171" i="90"/>
  <c r="BB171" i="90"/>
  <c r="BC171" i="90"/>
  <c r="BD171" i="90"/>
  <c r="BE171" i="90"/>
  <c r="BF171" i="90"/>
  <c r="BG171" i="90"/>
  <c r="CX171" i="90"/>
  <c r="AI171" i="56" s="1"/>
  <c r="CY171" i="90"/>
  <c r="AJ171" i="56" s="1"/>
  <c r="DN171" i="90"/>
  <c r="DO171" i="90" s="1"/>
  <c r="DW171" i="90"/>
  <c r="DX171" i="90"/>
  <c r="DY171" i="90" s="1"/>
  <c r="EQ171" i="90" s="1"/>
  <c r="FC171" i="90" s="1"/>
  <c r="AX172" i="90"/>
  <c r="AY172" i="90"/>
  <c r="AZ172" i="90"/>
  <c r="BA172" i="90"/>
  <c r="BB172" i="90"/>
  <c r="BC172" i="90"/>
  <c r="BD172" i="90"/>
  <c r="BE172" i="90"/>
  <c r="BF172" i="90"/>
  <c r="BG172" i="90"/>
  <c r="CX172" i="90"/>
  <c r="AI172" i="56" s="1"/>
  <c r="CY172" i="90"/>
  <c r="AJ172" i="56" s="1"/>
  <c r="DN172" i="90"/>
  <c r="DO172" i="90" s="1"/>
  <c r="DW172" i="90"/>
  <c r="EO172" i="90" s="1"/>
  <c r="FE172" i="90" s="1"/>
  <c r="DX172" i="90"/>
  <c r="DY172" i="90" s="1"/>
  <c r="AX173" i="90"/>
  <c r="AY173" i="90"/>
  <c r="AZ173" i="90"/>
  <c r="BA173" i="90"/>
  <c r="BB173" i="90"/>
  <c r="BC173" i="90"/>
  <c r="BD173" i="90"/>
  <c r="BE173" i="90"/>
  <c r="BF173" i="90"/>
  <c r="BG173" i="90"/>
  <c r="CX173" i="90"/>
  <c r="AI173" i="56" s="1"/>
  <c r="CY173" i="90"/>
  <c r="AJ173" i="56" s="1"/>
  <c r="DN173" i="90"/>
  <c r="DW173" i="90"/>
  <c r="DX173" i="90"/>
  <c r="DY173" i="90" s="1"/>
  <c r="EQ173" i="90" s="1"/>
  <c r="FC173" i="90" s="1"/>
  <c r="AX174" i="90"/>
  <c r="AY174" i="90"/>
  <c r="AZ174" i="90"/>
  <c r="BA174" i="90"/>
  <c r="BB174" i="90"/>
  <c r="BC174" i="90"/>
  <c r="BD174" i="90"/>
  <c r="BE174" i="90"/>
  <c r="BF174" i="90"/>
  <c r="BG174" i="90"/>
  <c r="CX174" i="90"/>
  <c r="AI174" i="56" s="1"/>
  <c r="CY174" i="90"/>
  <c r="AJ174" i="56" s="1"/>
  <c r="DN174" i="90"/>
  <c r="DO174" i="90" s="1"/>
  <c r="DP174" i="90" s="1"/>
  <c r="DW174" i="90"/>
  <c r="EO174" i="90" s="1"/>
  <c r="FE174" i="90" s="1"/>
  <c r="DX174" i="90"/>
  <c r="DY174" i="90" s="1"/>
  <c r="AX175" i="90"/>
  <c r="AY175" i="90"/>
  <c r="AZ175" i="90"/>
  <c r="BA175" i="90"/>
  <c r="BB175" i="90"/>
  <c r="BC175" i="90"/>
  <c r="BD175" i="90"/>
  <c r="BE175" i="90"/>
  <c r="BF175" i="90"/>
  <c r="BG175" i="90"/>
  <c r="CX175" i="90"/>
  <c r="AI175" i="56" s="1"/>
  <c r="CY175" i="90"/>
  <c r="AJ175" i="56" s="1"/>
  <c r="DN175" i="90"/>
  <c r="DW175" i="90"/>
  <c r="EO175" i="90" s="1"/>
  <c r="FE175" i="90" s="1"/>
  <c r="DX175" i="90"/>
  <c r="DY175" i="90" s="1"/>
  <c r="AX176" i="90"/>
  <c r="AY176" i="90"/>
  <c r="AZ176" i="90"/>
  <c r="BA176" i="90"/>
  <c r="BB176" i="90"/>
  <c r="BC176" i="90"/>
  <c r="BD176" i="90"/>
  <c r="BE176" i="90"/>
  <c r="BF176" i="90"/>
  <c r="BG176" i="90"/>
  <c r="CX176" i="90"/>
  <c r="AI176" i="56" s="1"/>
  <c r="CY176" i="90"/>
  <c r="AJ176" i="56" s="1"/>
  <c r="DN176" i="90"/>
  <c r="DO176" i="90" s="1"/>
  <c r="DP176" i="90" s="1"/>
  <c r="DW176" i="90"/>
  <c r="EO176" i="90" s="1"/>
  <c r="FE176" i="90" s="1"/>
  <c r="DX176" i="90"/>
  <c r="DY176" i="90" s="1"/>
  <c r="AX177" i="90"/>
  <c r="AY177" i="90"/>
  <c r="AZ177" i="90"/>
  <c r="BA177" i="90"/>
  <c r="BB177" i="90"/>
  <c r="BC177" i="90"/>
  <c r="BD177" i="90"/>
  <c r="BE177" i="90"/>
  <c r="BF177" i="90"/>
  <c r="BG177" i="90"/>
  <c r="CX177" i="90"/>
  <c r="AI177" i="56" s="1"/>
  <c r="CY177" i="90"/>
  <c r="AJ177" i="56" s="1"/>
  <c r="DN177" i="90"/>
  <c r="DO177" i="90" s="1"/>
  <c r="DW177" i="90"/>
  <c r="EO177" i="90" s="1"/>
  <c r="FE177" i="90" s="1"/>
  <c r="DX177" i="90"/>
  <c r="DY177" i="90" s="1"/>
  <c r="AX178" i="90"/>
  <c r="AY178" i="90"/>
  <c r="AZ178" i="90"/>
  <c r="BA178" i="90"/>
  <c r="BB178" i="90"/>
  <c r="BC178" i="90"/>
  <c r="BD178" i="90"/>
  <c r="BE178" i="90"/>
  <c r="BF178" i="90"/>
  <c r="BG178" i="90"/>
  <c r="CX178" i="90"/>
  <c r="AI178" i="56" s="1"/>
  <c r="CY178" i="90"/>
  <c r="AJ178" i="56" s="1"/>
  <c r="DN178" i="90"/>
  <c r="DO178" i="90" s="1"/>
  <c r="DW178" i="90"/>
  <c r="EO178" i="90" s="1"/>
  <c r="FE178" i="90" s="1"/>
  <c r="DX178" i="90"/>
  <c r="DY178" i="90" s="1"/>
  <c r="AX179" i="90"/>
  <c r="AY179" i="90"/>
  <c r="AZ179" i="90"/>
  <c r="BA179" i="90"/>
  <c r="BB179" i="90"/>
  <c r="BC179" i="90"/>
  <c r="BD179" i="90"/>
  <c r="BE179" i="90"/>
  <c r="BF179" i="90"/>
  <c r="BG179" i="90"/>
  <c r="CX179" i="90"/>
  <c r="AI179" i="56" s="1"/>
  <c r="CY179" i="90"/>
  <c r="AJ179" i="56" s="1"/>
  <c r="DN179" i="90"/>
  <c r="DO179" i="90" s="1"/>
  <c r="DW179" i="90"/>
  <c r="EO179" i="90" s="1"/>
  <c r="FE179" i="90" s="1"/>
  <c r="DX179" i="90"/>
  <c r="DY179" i="90" s="1"/>
  <c r="AX180" i="90"/>
  <c r="AY180" i="90"/>
  <c r="AZ180" i="90"/>
  <c r="BA180" i="90"/>
  <c r="BB180" i="90"/>
  <c r="BC180" i="90"/>
  <c r="BD180" i="90"/>
  <c r="BE180" i="90"/>
  <c r="BF180" i="90"/>
  <c r="BG180" i="90"/>
  <c r="CX180" i="90"/>
  <c r="AI180" i="56" s="1"/>
  <c r="CY180" i="90"/>
  <c r="AJ180" i="56" s="1"/>
  <c r="DN180" i="90"/>
  <c r="EF180" i="90" s="1"/>
  <c r="DW180" i="90"/>
  <c r="EO180" i="90" s="1"/>
  <c r="FE180" i="90" s="1"/>
  <c r="DX180" i="90"/>
  <c r="DY180" i="90"/>
  <c r="DZ180" i="90" s="1"/>
  <c r="AX181" i="90"/>
  <c r="AY181" i="90"/>
  <c r="AZ181" i="90"/>
  <c r="BA181" i="90"/>
  <c r="BB181" i="90"/>
  <c r="BC181" i="90"/>
  <c r="BD181" i="90"/>
  <c r="BE181" i="90"/>
  <c r="BF181" i="90"/>
  <c r="BG181" i="90"/>
  <c r="CX181" i="90"/>
  <c r="AI181" i="56" s="1"/>
  <c r="CY181" i="90"/>
  <c r="AJ181" i="56" s="1"/>
  <c r="DN181" i="90"/>
  <c r="DO181" i="90" s="1"/>
  <c r="DW181" i="90"/>
  <c r="DX181" i="90"/>
  <c r="DY181" i="90" s="1"/>
  <c r="AX182" i="90"/>
  <c r="AY182" i="90"/>
  <c r="AZ182" i="90"/>
  <c r="BA182" i="90"/>
  <c r="BB182" i="90"/>
  <c r="BC182" i="90"/>
  <c r="BD182" i="90"/>
  <c r="BE182" i="90"/>
  <c r="BF182" i="90"/>
  <c r="BG182" i="90"/>
  <c r="CX182" i="90"/>
  <c r="AI182" i="56" s="1"/>
  <c r="CY182" i="90"/>
  <c r="AJ182" i="56" s="1"/>
  <c r="DN182" i="90"/>
  <c r="DO182" i="90" s="1"/>
  <c r="DW182" i="90"/>
  <c r="EO182" i="90" s="1"/>
  <c r="FE182" i="90" s="1"/>
  <c r="DX182" i="90"/>
  <c r="DY182" i="90" s="1"/>
  <c r="EF182" i="90"/>
  <c r="AX183" i="90"/>
  <c r="AY183" i="90"/>
  <c r="AZ183" i="90"/>
  <c r="BA183" i="90"/>
  <c r="BB183" i="90"/>
  <c r="BC183" i="90"/>
  <c r="BD183" i="90"/>
  <c r="BE183" i="90"/>
  <c r="BF183" i="90"/>
  <c r="BG183" i="90"/>
  <c r="CX183" i="90"/>
  <c r="AI183" i="56" s="1"/>
  <c r="CY183" i="90"/>
  <c r="AJ183" i="56" s="1"/>
  <c r="DN183" i="90"/>
  <c r="DO183" i="90" s="1"/>
  <c r="DW183" i="90"/>
  <c r="EO183" i="90" s="1"/>
  <c r="FE183" i="90" s="1"/>
  <c r="DX183" i="90"/>
  <c r="DY183" i="90" s="1"/>
  <c r="AX184" i="90"/>
  <c r="AY184" i="90"/>
  <c r="AZ184" i="90"/>
  <c r="BA184" i="90"/>
  <c r="BB184" i="90"/>
  <c r="BC184" i="90"/>
  <c r="BD184" i="90"/>
  <c r="BE184" i="90"/>
  <c r="BF184" i="90"/>
  <c r="BG184" i="90"/>
  <c r="CX184" i="90"/>
  <c r="AI184" i="56" s="1"/>
  <c r="CY184" i="90"/>
  <c r="AJ184" i="56" s="1"/>
  <c r="DN184" i="90"/>
  <c r="EF184" i="90" s="1"/>
  <c r="DW184" i="90"/>
  <c r="EO184" i="90" s="1"/>
  <c r="FE184" i="90" s="1"/>
  <c r="DX184" i="90"/>
  <c r="AX185" i="90"/>
  <c r="AY185" i="90"/>
  <c r="AZ185" i="90"/>
  <c r="BA185" i="90"/>
  <c r="BB185" i="90"/>
  <c r="BC185" i="90"/>
  <c r="BD185" i="90"/>
  <c r="BE185" i="90"/>
  <c r="BF185" i="90"/>
  <c r="BG185" i="90"/>
  <c r="CX185" i="90"/>
  <c r="AI185" i="56" s="1"/>
  <c r="CY185" i="90"/>
  <c r="AJ185" i="56" s="1"/>
  <c r="DN185" i="90"/>
  <c r="DW185" i="90"/>
  <c r="DX185" i="90"/>
  <c r="DY185" i="90" s="1"/>
  <c r="AX186" i="90"/>
  <c r="AY186" i="90"/>
  <c r="AZ186" i="90"/>
  <c r="BA186" i="90"/>
  <c r="BB186" i="90"/>
  <c r="BC186" i="90"/>
  <c r="BD186" i="90"/>
  <c r="BE186" i="90"/>
  <c r="BF186" i="90"/>
  <c r="BG186" i="90"/>
  <c r="CX186" i="90"/>
  <c r="AI186" i="56" s="1"/>
  <c r="CY186" i="90"/>
  <c r="AJ186" i="56" s="1"/>
  <c r="DN186" i="90"/>
  <c r="EF186" i="90" s="1"/>
  <c r="DW186" i="90"/>
  <c r="EO186" i="90" s="1"/>
  <c r="FE186" i="90" s="1"/>
  <c r="DX186" i="90"/>
  <c r="EP186" i="90" s="1"/>
  <c r="FD186" i="90" s="1"/>
  <c r="AX187" i="90"/>
  <c r="AY187" i="90"/>
  <c r="AZ187" i="90"/>
  <c r="BA187" i="90"/>
  <c r="BB187" i="90"/>
  <c r="BC187" i="90"/>
  <c r="BD187" i="90"/>
  <c r="BE187" i="90"/>
  <c r="BF187" i="90"/>
  <c r="BG187" i="90"/>
  <c r="CX187" i="90"/>
  <c r="AI187" i="56" s="1"/>
  <c r="CY187" i="90"/>
  <c r="AJ187" i="56" s="1"/>
  <c r="DN187" i="90"/>
  <c r="DO187" i="90" s="1"/>
  <c r="DP187" i="90" s="1"/>
  <c r="DW187" i="90"/>
  <c r="EO187" i="90" s="1"/>
  <c r="FE187" i="90" s="1"/>
  <c r="DX187" i="90"/>
  <c r="DY187" i="90" s="1"/>
  <c r="AX188" i="90"/>
  <c r="AY188" i="90"/>
  <c r="AZ188" i="90"/>
  <c r="BA188" i="90"/>
  <c r="BB188" i="90"/>
  <c r="BC188" i="90"/>
  <c r="BD188" i="90"/>
  <c r="BE188" i="90"/>
  <c r="BF188" i="90"/>
  <c r="BG188" i="90"/>
  <c r="CX188" i="90"/>
  <c r="AI188" i="56" s="1"/>
  <c r="CY188" i="90"/>
  <c r="AJ188" i="56" s="1"/>
  <c r="DN188" i="90"/>
  <c r="DO188" i="90" s="1"/>
  <c r="DW188" i="90"/>
  <c r="EO188" i="90" s="1"/>
  <c r="FE188" i="90" s="1"/>
  <c r="DX188" i="90"/>
  <c r="DY188" i="90" s="1"/>
  <c r="AX189" i="90"/>
  <c r="AY189" i="90"/>
  <c r="AZ189" i="90"/>
  <c r="BA189" i="90"/>
  <c r="BB189" i="90"/>
  <c r="BC189" i="90"/>
  <c r="BD189" i="90"/>
  <c r="BE189" i="90"/>
  <c r="BF189" i="90"/>
  <c r="BG189" i="90"/>
  <c r="CX189" i="90"/>
  <c r="AI189" i="56" s="1"/>
  <c r="CY189" i="90"/>
  <c r="AJ189" i="56" s="1"/>
  <c r="DN189" i="90"/>
  <c r="DO189" i="90" s="1"/>
  <c r="DW189" i="90"/>
  <c r="DX189" i="90"/>
  <c r="DY189" i="90" s="1"/>
  <c r="AX190" i="90"/>
  <c r="AY190" i="90"/>
  <c r="AZ190" i="90"/>
  <c r="BA190" i="90"/>
  <c r="BB190" i="90"/>
  <c r="BC190" i="90"/>
  <c r="BD190" i="90"/>
  <c r="BE190" i="90"/>
  <c r="BF190" i="90"/>
  <c r="BG190" i="90"/>
  <c r="CX190" i="90"/>
  <c r="AI190" i="56" s="1"/>
  <c r="CY190" i="90"/>
  <c r="AJ190" i="56" s="1"/>
  <c r="DN190" i="90"/>
  <c r="DO190" i="90" s="1"/>
  <c r="DW190" i="90"/>
  <c r="DX190" i="90"/>
  <c r="DY190" i="90" s="1"/>
  <c r="AX191" i="90"/>
  <c r="AY191" i="90"/>
  <c r="AZ191" i="90"/>
  <c r="BA191" i="90"/>
  <c r="BB191" i="90"/>
  <c r="BC191" i="90"/>
  <c r="BD191" i="90"/>
  <c r="BE191" i="90"/>
  <c r="BF191" i="90"/>
  <c r="BG191" i="90"/>
  <c r="CX191" i="90"/>
  <c r="AI191" i="56" s="1"/>
  <c r="CY191" i="90"/>
  <c r="AJ191" i="56" s="1"/>
  <c r="DN191" i="90"/>
  <c r="EF191" i="90" s="1"/>
  <c r="DW191" i="90"/>
  <c r="EO191" i="90" s="1"/>
  <c r="FE191" i="90" s="1"/>
  <c r="DX191" i="90"/>
  <c r="AX192" i="90"/>
  <c r="AY192" i="90"/>
  <c r="AZ192" i="90"/>
  <c r="BA192" i="90"/>
  <c r="BB192" i="90"/>
  <c r="BC192" i="90"/>
  <c r="BD192" i="90"/>
  <c r="BE192" i="90"/>
  <c r="BF192" i="90"/>
  <c r="BG192" i="90"/>
  <c r="CX192" i="90"/>
  <c r="AI192" i="56" s="1"/>
  <c r="CY192" i="90"/>
  <c r="AJ192" i="56" s="1"/>
  <c r="DN192" i="90"/>
  <c r="DO192" i="90" s="1"/>
  <c r="DW192" i="90"/>
  <c r="DX192" i="90"/>
  <c r="DY192" i="90" s="1"/>
  <c r="AX193" i="90"/>
  <c r="AY193" i="90"/>
  <c r="AZ193" i="90"/>
  <c r="BA193" i="90"/>
  <c r="BB193" i="90"/>
  <c r="BC193" i="90"/>
  <c r="BD193" i="90"/>
  <c r="BE193" i="90"/>
  <c r="BF193" i="90"/>
  <c r="BG193" i="90"/>
  <c r="CX193" i="90"/>
  <c r="AI193" i="56" s="1"/>
  <c r="CY193" i="90"/>
  <c r="AJ193" i="56" s="1"/>
  <c r="DN193" i="90"/>
  <c r="EF193" i="90" s="1"/>
  <c r="DW193" i="90"/>
  <c r="EO193" i="90" s="1"/>
  <c r="FE193" i="90" s="1"/>
  <c r="DX193" i="90"/>
  <c r="DY193" i="90"/>
  <c r="AX194" i="90"/>
  <c r="AY194" i="90"/>
  <c r="AZ194" i="90"/>
  <c r="BA194" i="90"/>
  <c r="BB194" i="90"/>
  <c r="BC194" i="90"/>
  <c r="BD194" i="90"/>
  <c r="BE194" i="90"/>
  <c r="BF194" i="90"/>
  <c r="BG194" i="90"/>
  <c r="CX194" i="90"/>
  <c r="AI194" i="56" s="1"/>
  <c r="CY194" i="90"/>
  <c r="AJ194" i="56" s="1"/>
  <c r="DN194" i="90"/>
  <c r="DO194" i="90" s="1"/>
  <c r="DW194" i="90"/>
  <c r="DX194" i="90"/>
  <c r="DY194" i="90" s="1"/>
  <c r="AX195" i="90"/>
  <c r="AY195" i="90"/>
  <c r="AZ195" i="90"/>
  <c r="BA195" i="90"/>
  <c r="BB195" i="90"/>
  <c r="BC195" i="90"/>
  <c r="BD195" i="90"/>
  <c r="BE195" i="90"/>
  <c r="BF195" i="90"/>
  <c r="BG195" i="90"/>
  <c r="CX195" i="90"/>
  <c r="AI195" i="56" s="1"/>
  <c r="CY195" i="90"/>
  <c r="AJ195" i="56" s="1"/>
  <c r="DN195" i="90"/>
  <c r="EF195" i="90" s="1"/>
  <c r="DW195" i="90"/>
  <c r="EO195" i="90" s="1"/>
  <c r="FE195" i="90" s="1"/>
  <c r="DX195" i="90"/>
  <c r="DY195" i="90" s="1"/>
  <c r="AX196" i="90"/>
  <c r="AY196" i="90"/>
  <c r="AZ196" i="90"/>
  <c r="BA196" i="90"/>
  <c r="BB196" i="90"/>
  <c r="BC196" i="90"/>
  <c r="BD196" i="90"/>
  <c r="BE196" i="90"/>
  <c r="BF196" i="90"/>
  <c r="BG196" i="90"/>
  <c r="CX196" i="90"/>
  <c r="AI196" i="56" s="1"/>
  <c r="CY196" i="90"/>
  <c r="AJ196" i="56" s="1"/>
  <c r="DN196" i="90"/>
  <c r="DO196" i="90" s="1"/>
  <c r="DW196" i="90"/>
  <c r="DX196" i="90"/>
  <c r="DY196" i="90" s="1"/>
  <c r="AX197" i="90"/>
  <c r="AY197" i="90"/>
  <c r="AZ197" i="90"/>
  <c r="BA197" i="90"/>
  <c r="BB197" i="90"/>
  <c r="BC197" i="90"/>
  <c r="BD197" i="90"/>
  <c r="BE197" i="90"/>
  <c r="BF197" i="90"/>
  <c r="BG197" i="90"/>
  <c r="CX197" i="90"/>
  <c r="AI197" i="56" s="1"/>
  <c r="CY197" i="90"/>
  <c r="AJ197" i="56" s="1"/>
  <c r="DN197" i="90"/>
  <c r="EF197" i="90" s="1"/>
  <c r="DW197" i="90"/>
  <c r="EO197" i="90" s="1"/>
  <c r="FE197" i="90" s="1"/>
  <c r="DX197" i="90"/>
  <c r="AX198" i="90"/>
  <c r="AY198" i="90"/>
  <c r="AZ198" i="90"/>
  <c r="BA198" i="90"/>
  <c r="BB198" i="90"/>
  <c r="BC198" i="90"/>
  <c r="BD198" i="90"/>
  <c r="BE198" i="90"/>
  <c r="BF198" i="90"/>
  <c r="BG198" i="90"/>
  <c r="CX198" i="90"/>
  <c r="AI198" i="56" s="1"/>
  <c r="CY198" i="90"/>
  <c r="AJ198" i="56" s="1"/>
  <c r="DN198" i="90"/>
  <c r="DO198" i="90" s="1"/>
  <c r="DW198" i="90"/>
  <c r="DX198" i="90"/>
  <c r="DY198" i="90" s="1"/>
  <c r="AX199" i="90"/>
  <c r="AY199" i="90"/>
  <c r="AZ199" i="90"/>
  <c r="BA199" i="90"/>
  <c r="BB199" i="90"/>
  <c r="BC199" i="90"/>
  <c r="BD199" i="90"/>
  <c r="BE199" i="90"/>
  <c r="BF199" i="90"/>
  <c r="BG199" i="90"/>
  <c r="CX199" i="90"/>
  <c r="AI199" i="56" s="1"/>
  <c r="CY199" i="90"/>
  <c r="AJ199" i="56" s="1"/>
  <c r="DN199" i="90"/>
  <c r="EF199" i="90" s="1"/>
  <c r="DW199" i="90"/>
  <c r="EO199" i="90" s="1"/>
  <c r="FE199" i="90" s="1"/>
  <c r="DX199" i="90"/>
  <c r="AX200" i="90"/>
  <c r="AY200" i="90"/>
  <c r="AZ200" i="90"/>
  <c r="BA200" i="90"/>
  <c r="BB200" i="90"/>
  <c r="BC200" i="90"/>
  <c r="BD200" i="90"/>
  <c r="BE200" i="90"/>
  <c r="BF200" i="90"/>
  <c r="BG200" i="90"/>
  <c r="CX200" i="90"/>
  <c r="AI200" i="56" s="1"/>
  <c r="CY200" i="90"/>
  <c r="AJ200" i="56" s="1"/>
  <c r="DN200" i="90"/>
  <c r="DO200" i="90" s="1"/>
  <c r="DW200" i="90"/>
  <c r="DX200" i="90"/>
  <c r="DY200" i="90" s="1"/>
  <c r="AX201" i="90"/>
  <c r="AY201" i="90"/>
  <c r="AZ201" i="90"/>
  <c r="BA201" i="90"/>
  <c r="BB201" i="90"/>
  <c r="BC201" i="90"/>
  <c r="BD201" i="90"/>
  <c r="BE201" i="90"/>
  <c r="BF201" i="90"/>
  <c r="BG201" i="90"/>
  <c r="CX201" i="90"/>
  <c r="AI201" i="56" s="1"/>
  <c r="CY201" i="90"/>
  <c r="AJ201" i="56" s="1"/>
  <c r="DN201" i="90"/>
  <c r="EF201" i="90" s="1"/>
  <c r="DW201" i="90"/>
  <c r="EO201" i="90" s="1"/>
  <c r="FE201" i="90" s="1"/>
  <c r="DX201" i="90"/>
  <c r="AX202" i="90"/>
  <c r="AY202" i="90"/>
  <c r="AZ202" i="90"/>
  <c r="BA202" i="90"/>
  <c r="BB202" i="90"/>
  <c r="BC202" i="90"/>
  <c r="BD202" i="90"/>
  <c r="BE202" i="90"/>
  <c r="BF202" i="90"/>
  <c r="BG202" i="90"/>
  <c r="CX202" i="90"/>
  <c r="AI202" i="56" s="1"/>
  <c r="CY202" i="90"/>
  <c r="AJ202" i="56" s="1"/>
  <c r="DN202" i="90"/>
  <c r="DO202" i="90" s="1"/>
  <c r="DW202" i="90"/>
  <c r="DX202" i="90"/>
  <c r="DY202" i="90" s="1"/>
  <c r="AX203" i="90"/>
  <c r="AY203" i="90"/>
  <c r="AZ203" i="90"/>
  <c r="BA203" i="90"/>
  <c r="BB203" i="90"/>
  <c r="BC203" i="90"/>
  <c r="BD203" i="90"/>
  <c r="BE203" i="90"/>
  <c r="BF203" i="90"/>
  <c r="BG203" i="90"/>
  <c r="CX203" i="90"/>
  <c r="AI203" i="56" s="1"/>
  <c r="CY203" i="90"/>
  <c r="AJ203" i="56" s="1"/>
  <c r="DN203" i="90"/>
  <c r="EF203" i="90" s="1"/>
  <c r="DW203" i="90"/>
  <c r="EO203" i="90" s="1"/>
  <c r="FE203" i="90" s="1"/>
  <c r="DX203" i="90"/>
  <c r="DY203" i="90" s="1"/>
  <c r="AX73" i="90"/>
  <c r="AY73" i="90"/>
  <c r="AZ73" i="90"/>
  <c r="BA73" i="90"/>
  <c r="BB73" i="90"/>
  <c r="BC73" i="90"/>
  <c r="BD73" i="90"/>
  <c r="BE73" i="90"/>
  <c r="BF73" i="90"/>
  <c r="BG73" i="90"/>
  <c r="CX73" i="90"/>
  <c r="AI73" i="56" s="1"/>
  <c r="CY73" i="90"/>
  <c r="AJ73" i="56" s="1"/>
  <c r="DN73" i="90"/>
  <c r="DO73" i="90" s="1"/>
  <c r="DW73" i="90"/>
  <c r="EO73" i="90" s="1"/>
  <c r="FE73" i="90" s="1"/>
  <c r="DX73" i="90"/>
  <c r="DY73" i="90" s="1"/>
  <c r="AX74" i="90"/>
  <c r="AY74" i="90"/>
  <c r="AZ74" i="90"/>
  <c r="BA74" i="90"/>
  <c r="BB74" i="90"/>
  <c r="BC74" i="90"/>
  <c r="BD74" i="90"/>
  <c r="BE74" i="90"/>
  <c r="BF74" i="90"/>
  <c r="BG74" i="90"/>
  <c r="CX74" i="90"/>
  <c r="AI74" i="56" s="1"/>
  <c r="CY74" i="90"/>
  <c r="AJ74" i="56" s="1"/>
  <c r="DN74" i="90"/>
  <c r="DO74" i="90" s="1"/>
  <c r="DW74" i="90"/>
  <c r="DX74" i="90"/>
  <c r="DY74" i="90" s="1"/>
  <c r="DZ74" i="90" s="1"/>
  <c r="EA74" i="90" s="1"/>
  <c r="AX75" i="90"/>
  <c r="AY75" i="90"/>
  <c r="AZ75" i="90"/>
  <c r="BA75" i="90"/>
  <c r="BB75" i="90"/>
  <c r="BC75" i="90"/>
  <c r="BD75" i="90"/>
  <c r="BE75" i="90"/>
  <c r="BF75" i="90"/>
  <c r="BG75" i="90"/>
  <c r="CX75" i="90"/>
  <c r="AI75" i="56" s="1"/>
  <c r="CY75" i="90"/>
  <c r="AJ75" i="56" s="1"/>
  <c r="DN75" i="90"/>
  <c r="DO75" i="90" s="1"/>
  <c r="DW75" i="90"/>
  <c r="EO75" i="90" s="1"/>
  <c r="FE75" i="90" s="1"/>
  <c r="DX75" i="90"/>
  <c r="AX76" i="90"/>
  <c r="AY76" i="90"/>
  <c r="AZ76" i="90"/>
  <c r="BA76" i="90"/>
  <c r="BB76" i="90"/>
  <c r="BC76" i="90"/>
  <c r="BD76" i="90"/>
  <c r="BE76" i="90"/>
  <c r="BF76" i="90"/>
  <c r="BG76" i="90"/>
  <c r="CX76" i="90"/>
  <c r="AI76" i="56" s="1"/>
  <c r="CY76" i="90"/>
  <c r="AJ76" i="56" s="1"/>
  <c r="DN76" i="90"/>
  <c r="DO76" i="90" s="1"/>
  <c r="EG76" i="90" s="1"/>
  <c r="DW76" i="90"/>
  <c r="EO76" i="90" s="1"/>
  <c r="FE76" i="90" s="1"/>
  <c r="DX76" i="90"/>
  <c r="DY76" i="90" s="1"/>
  <c r="EQ76" i="90" s="1"/>
  <c r="FC76" i="90" s="1"/>
  <c r="AX77" i="90"/>
  <c r="AY77" i="90"/>
  <c r="AZ77" i="90"/>
  <c r="BA77" i="90"/>
  <c r="BB77" i="90"/>
  <c r="BC77" i="90"/>
  <c r="BD77" i="90"/>
  <c r="BE77" i="90"/>
  <c r="BF77" i="90"/>
  <c r="BG77" i="90"/>
  <c r="CX77" i="90"/>
  <c r="AI77" i="56" s="1"/>
  <c r="CY77" i="90"/>
  <c r="AJ77" i="56" s="1"/>
  <c r="DN77" i="90"/>
  <c r="DO77" i="90" s="1"/>
  <c r="DW77" i="90"/>
  <c r="EO77" i="90" s="1"/>
  <c r="FE77" i="90" s="1"/>
  <c r="DX77" i="90"/>
  <c r="AX78" i="90"/>
  <c r="AY78" i="90"/>
  <c r="AZ78" i="90"/>
  <c r="BA78" i="90"/>
  <c r="BB78" i="90"/>
  <c r="BC78" i="90"/>
  <c r="BD78" i="90"/>
  <c r="BE78" i="90"/>
  <c r="BF78" i="90"/>
  <c r="BG78" i="90"/>
  <c r="CX78" i="90"/>
  <c r="AI78" i="56" s="1"/>
  <c r="CY78" i="90"/>
  <c r="AJ78" i="56" s="1"/>
  <c r="DN78" i="90"/>
  <c r="DO78" i="90" s="1"/>
  <c r="DW78" i="90"/>
  <c r="DX78" i="90"/>
  <c r="DY78" i="90" s="1"/>
  <c r="EQ78" i="90" s="1"/>
  <c r="FC78" i="90" s="1"/>
  <c r="AX79" i="90"/>
  <c r="AY79" i="90"/>
  <c r="AZ79" i="90"/>
  <c r="BA79" i="90"/>
  <c r="BB79" i="90"/>
  <c r="BC79" i="90"/>
  <c r="BD79" i="90"/>
  <c r="BE79" i="90"/>
  <c r="BF79" i="90"/>
  <c r="BG79" i="90"/>
  <c r="CX79" i="90"/>
  <c r="AI79" i="56" s="1"/>
  <c r="CY79" i="90"/>
  <c r="AJ79" i="56" s="1"/>
  <c r="DN79" i="90"/>
  <c r="DO79" i="90" s="1"/>
  <c r="DW79" i="90"/>
  <c r="EO79" i="90" s="1"/>
  <c r="FE79" i="90" s="1"/>
  <c r="DX79" i="90"/>
  <c r="DY79" i="90" s="1"/>
  <c r="AX80" i="90"/>
  <c r="AY80" i="90"/>
  <c r="AZ80" i="90"/>
  <c r="BA80" i="90"/>
  <c r="BB80" i="90"/>
  <c r="BC80" i="90"/>
  <c r="BD80" i="90"/>
  <c r="BE80" i="90"/>
  <c r="BF80" i="90"/>
  <c r="BG80" i="90"/>
  <c r="CX80" i="90"/>
  <c r="AI80" i="56" s="1"/>
  <c r="CY80" i="90"/>
  <c r="AJ80" i="56" s="1"/>
  <c r="DN80" i="90"/>
  <c r="DO80" i="90" s="1"/>
  <c r="DW80" i="90"/>
  <c r="EO80" i="90" s="1"/>
  <c r="FE80" i="90" s="1"/>
  <c r="DX80" i="90"/>
  <c r="AX81" i="90"/>
  <c r="AY81" i="90"/>
  <c r="AZ81" i="90"/>
  <c r="BA81" i="90"/>
  <c r="BB81" i="90"/>
  <c r="BC81" i="90"/>
  <c r="BD81" i="90"/>
  <c r="BE81" i="90"/>
  <c r="BF81" i="90"/>
  <c r="BG81" i="90"/>
  <c r="CX81" i="90"/>
  <c r="AI81" i="56" s="1"/>
  <c r="CY81" i="90"/>
  <c r="AJ81" i="56" s="1"/>
  <c r="DN81" i="90"/>
  <c r="EF81" i="90" s="1"/>
  <c r="DW81" i="90"/>
  <c r="EO81" i="90" s="1"/>
  <c r="FE81" i="90" s="1"/>
  <c r="DX81" i="90"/>
  <c r="DY81" i="90" s="1"/>
  <c r="EQ81" i="90" s="1"/>
  <c r="FC81" i="90" s="1"/>
  <c r="AX82" i="90"/>
  <c r="AY82" i="90"/>
  <c r="AZ82" i="90"/>
  <c r="BA82" i="90"/>
  <c r="BB82" i="90"/>
  <c r="BC82" i="90"/>
  <c r="BD82" i="90"/>
  <c r="BE82" i="90"/>
  <c r="BF82" i="90"/>
  <c r="BG82" i="90"/>
  <c r="CX82" i="90"/>
  <c r="AI82" i="56" s="1"/>
  <c r="CY82" i="90"/>
  <c r="AJ82" i="56" s="1"/>
  <c r="DN82" i="90"/>
  <c r="DO82" i="90" s="1"/>
  <c r="DW82" i="90"/>
  <c r="DX82" i="90"/>
  <c r="DY82" i="90" s="1"/>
  <c r="EQ82" i="90" s="1"/>
  <c r="FC82" i="90" s="1"/>
  <c r="AX83" i="90"/>
  <c r="AY83" i="90"/>
  <c r="AZ83" i="90"/>
  <c r="BA83" i="90"/>
  <c r="BB83" i="90"/>
  <c r="BC83" i="90"/>
  <c r="BD83" i="90"/>
  <c r="BE83" i="90"/>
  <c r="BF83" i="90"/>
  <c r="BG83" i="90"/>
  <c r="CX83" i="90"/>
  <c r="AI83" i="56" s="1"/>
  <c r="CY83" i="90"/>
  <c r="AJ83" i="56" s="1"/>
  <c r="DN83" i="90"/>
  <c r="DO83" i="90" s="1"/>
  <c r="DP83" i="90" s="1"/>
  <c r="DQ83" i="90" s="1"/>
  <c r="DW83" i="90"/>
  <c r="EO83" i="90" s="1"/>
  <c r="FE83" i="90" s="1"/>
  <c r="DX83" i="90"/>
  <c r="DY83" i="90" s="1"/>
  <c r="DZ83" i="90" s="1"/>
  <c r="AX84" i="90"/>
  <c r="AY84" i="90"/>
  <c r="AZ84" i="90"/>
  <c r="BA84" i="90"/>
  <c r="BB84" i="90"/>
  <c r="BC84" i="90"/>
  <c r="BD84" i="90"/>
  <c r="BE84" i="90"/>
  <c r="BF84" i="90"/>
  <c r="BG84" i="90"/>
  <c r="CX84" i="90"/>
  <c r="AI84" i="56" s="1"/>
  <c r="CY84" i="90"/>
  <c r="AJ84" i="56" s="1"/>
  <c r="DN84" i="90"/>
  <c r="DO84" i="90" s="1"/>
  <c r="DP84" i="90" s="1"/>
  <c r="EH84" i="90" s="1"/>
  <c r="DW84" i="90"/>
  <c r="EO84" i="90" s="1"/>
  <c r="FE84" i="90" s="1"/>
  <c r="DX84" i="90"/>
  <c r="DY84" i="90" s="1"/>
  <c r="EQ84" i="90" s="1"/>
  <c r="FC84" i="90" s="1"/>
  <c r="AX85" i="90"/>
  <c r="AY85" i="90"/>
  <c r="AZ85" i="90"/>
  <c r="BA85" i="90"/>
  <c r="BB85" i="90"/>
  <c r="BC85" i="90"/>
  <c r="BD85" i="90"/>
  <c r="BE85" i="90"/>
  <c r="BF85" i="90"/>
  <c r="BG85" i="90"/>
  <c r="CX85" i="90"/>
  <c r="AI85" i="56" s="1"/>
  <c r="CY85" i="90"/>
  <c r="AJ85" i="56" s="1"/>
  <c r="DN85" i="90"/>
  <c r="DO85" i="90" s="1"/>
  <c r="DW85" i="90"/>
  <c r="DX85" i="90"/>
  <c r="DY85" i="90" s="1"/>
  <c r="AX86" i="90"/>
  <c r="AY86" i="90"/>
  <c r="AZ86" i="90"/>
  <c r="BA86" i="90"/>
  <c r="BB86" i="90"/>
  <c r="BC86" i="90"/>
  <c r="BD86" i="90"/>
  <c r="BE86" i="90"/>
  <c r="BF86" i="90"/>
  <c r="BG86" i="90"/>
  <c r="CX86" i="90"/>
  <c r="AI86" i="56" s="1"/>
  <c r="CY86" i="90"/>
  <c r="AJ86" i="56" s="1"/>
  <c r="DN86" i="90"/>
  <c r="DW86" i="90"/>
  <c r="EO86" i="90" s="1"/>
  <c r="FE86" i="90" s="1"/>
  <c r="DX86" i="90"/>
  <c r="DY86" i="90" s="1"/>
  <c r="EQ86" i="90" s="1"/>
  <c r="FC86" i="90" s="1"/>
  <c r="AX87" i="90"/>
  <c r="AY87" i="90"/>
  <c r="AZ87" i="90"/>
  <c r="BA87" i="90"/>
  <c r="BB87" i="90"/>
  <c r="BC87" i="90"/>
  <c r="BD87" i="90"/>
  <c r="BE87" i="90"/>
  <c r="BF87" i="90"/>
  <c r="BG87" i="90"/>
  <c r="CX87" i="90"/>
  <c r="AI87" i="56" s="1"/>
  <c r="CY87" i="90"/>
  <c r="AJ87" i="56" s="1"/>
  <c r="DN87" i="90"/>
  <c r="DO87" i="90" s="1"/>
  <c r="DW87" i="90"/>
  <c r="DX87" i="90"/>
  <c r="DY87" i="90" s="1"/>
  <c r="EQ87" i="90" s="1"/>
  <c r="FC87" i="90" s="1"/>
  <c r="AX88" i="90"/>
  <c r="AY88" i="90"/>
  <c r="AZ88" i="90"/>
  <c r="BA88" i="90"/>
  <c r="BB88" i="90"/>
  <c r="BC88" i="90"/>
  <c r="BD88" i="90"/>
  <c r="BE88" i="90"/>
  <c r="BF88" i="90"/>
  <c r="BG88" i="90"/>
  <c r="CX88" i="90"/>
  <c r="AI88" i="56" s="1"/>
  <c r="CY88" i="90"/>
  <c r="AJ88" i="56" s="1"/>
  <c r="DN88" i="90"/>
  <c r="DO88" i="90" s="1"/>
  <c r="DW88" i="90"/>
  <c r="EO88" i="90" s="1"/>
  <c r="FE88" i="90" s="1"/>
  <c r="DX88" i="90"/>
  <c r="DY88" i="90" s="1"/>
  <c r="AX64" i="90"/>
  <c r="AY64" i="90"/>
  <c r="AZ64" i="90"/>
  <c r="BA64" i="90"/>
  <c r="BB64" i="90"/>
  <c r="BC64" i="90"/>
  <c r="BD64" i="90"/>
  <c r="BE64" i="90"/>
  <c r="BF64" i="90"/>
  <c r="BG64" i="90"/>
  <c r="CX64" i="90"/>
  <c r="AI64" i="56" s="1"/>
  <c r="CY64" i="90"/>
  <c r="AJ64" i="56" s="1"/>
  <c r="DN64" i="90"/>
  <c r="DO64" i="90" s="1"/>
  <c r="DW64" i="90"/>
  <c r="EO64" i="90" s="1"/>
  <c r="FE64" i="90" s="1"/>
  <c r="DX64" i="90"/>
  <c r="DY64" i="90" s="1"/>
  <c r="AX65" i="90"/>
  <c r="AY65" i="90"/>
  <c r="AZ65" i="90"/>
  <c r="BA65" i="90"/>
  <c r="BB65" i="90"/>
  <c r="BC65" i="90"/>
  <c r="BD65" i="90"/>
  <c r="BE65" i="90"/>
  <c r="BF65" i="90"/>
  <c r="BG65" i="90"/>
  <c r="CX65" i="90"/>
  <c r="AI65" i="56" s="1"/>
  <c r="CY65" i="90"/>
  <c r="AJ65" i="56" s="1"/>
  <c r="DN65" i="90"/>
  <c r="EF65" i="90" s="1"/>
  <c r="DW65" i="90"/>
  <c r="EO65" i="90" s="1"/>
  <c r="FE65" i="90" s="1"/>
  <c r="DX65" i="90"/>
  <c r="AX66" i="90"/>
  <c r="AY66" i="90"/>
  <c r="AZ66" i="90"/>
  <c r="BA66" i="90"/>
  <c r="BB66" i="90"/>
  <c r="BC66" i="90"/>
  <c r="BD66" i="90"/>
  <c r="BE66" i="90"/>
  <c r="BF66" i="90"/>
  <c r="BG66" i="90"/>
  <c r="CX66" i="90"/>
  <c r="AI66" i="56" s="1"/>
  <c r="CY66" i="90"/>
  <c r="AJ66" i="56" s="1"/>
  <c r="DN66" i="90"/>
  <c r="DO66" i="90" s="1"/>
  <c r="DW66" i="90"/>
  <c r="EO66" i="90" s="1"/>
  <c r="FE66" i="90" s="1"/>
  <c r="DX66" i="90"/>
  <c r="DY66" i="90" s="1"/>
  <c r="AX67" i="90"/>
  <c r="AY67" i="90"/>
  <c r="AZ67" i="90"/>
  <c r="BA67" i="90"/>
  <c r="BB67" i="90"/>
  <c r="BC67" i="90"/>
  <c r="BD67" i="90"/>
  <c r="BE67" i="90"/>
  <c r="BF67" i="90"/>
  <c r="BG67" i="90"/>
  <c r="CX67" i="90"/>
  <c r="AI67" i="56" s="1"/>
  <c r="CY67" i="90"/>
  <c r="AJ67" i="56" s="1"/>
  <c r="DN67" i="90"/>
  <c r="DO67" i="90" s="1"/>
  <c r="DW67" i="90"/>
  <c r="EP67" i="90" s="1"/>
  <c r="FD67" i="90" s="1"/>
  <c r="DX67" i="90"/>
  <c r="DY67" i="90"/>
  <c r="EQ67" i="90" s="1"/>
  <c r="FC67" i="90" s="1"/>
  <c r="AX68" i="90"/>
  <c r="AY68" i="90"/>
  <c r="AZ68" i="90"/>
  <c r="BA68" i="90"/>
  <c r="BB68" i="90"/>
  <c r="BC68" i="90"/>
  <c r="BD68" i="90"/>
  <c r="BE68" i="90"/>
  <c r="BF68" i="90"/>
  <c r="BG68" i="90"/>
  <c r="CX68" i="90"/>
  <c r="AI68" i="56" s="1"/>
  <c r="CY68" i="90"/>
  <c r="AJ68" i="56" s="1"/>
  <c r="DN68" i="90"/>
  <c r="DO68" i="90" s="1"/>
  <c r="DP68" i="90" s="1"/>
  <c r="DW68" i="90"/>
  <c r="EO68" i="90" s="1"/>
  <c r="FE68" i="90" s="1"/>
  <c r="DX68" i="90"/>
  <c r="DY68" i="90" s="1"/>
  <c r="AX69" i="90"/>
  <c r="AY69" i="90"/>
  <c r="AZ69" i="90"/>
  <c r="BA69" i="90"/>
  <c r="BB69" i="90"/>
  <c r="BC69" i="90"/>
  <c r="BD69" i="90"/>
  <c r="BE69" i="90"/>
  <c r="BF69" i="90"/>
  <c r="BG69" i="90"/>
  <c r="CX69" i="90"/>
  <c r="AI69" i="56" s="1"/>
  <c r="CY69" i="90"/>
  <c r="AJ69" i="56" s="1"/>
  <c r="DN69" i="90"/>
  <c r="DO69" i="90" s="1"/>
  <c r="DW69" i="90"/>
  <c r="DX69" i="90"/>
  <c r="DY69" i="90" s="1"/>
  <c r="AX70" i="90"/>
  <c r="AY70" i="90"/>
  <c r="AZ70" i="90"/>
  <c r="BA70" i="90"/>
  <c r="BB70" i="90"/>
  <c r="BC70" i="90"/>
  <c r="BD70" i="90"/>
  <c r="BE70" i="90"/>
  <c r="BF70" i="90"/>
  <c r="BG70" i="90"/>
  <c r="CX70" i="90"/>
  <c r="AI70" i="56" s="1"/>
  <c r="CY70" i="90"/>
  <c r="AJ70" i="56" s="1"/>
  <c r="DN70" i="90"/>
  <c r="DO70" i="90" s="1"/>
  <c r="DW70" i="90"/>
  <c r="DX70" i="90"/>
  <c r="DY70" i="90" s="1"/>
  <c r="AX71" i="90"/>
  <c r="AY71" i="90"/>
  <c r="AZ71" i="90"/>
  <c r="BA71" i="90"/>
  <c r="BB71" i="90"/>
  <c r="BC71" i="90"/>
  <c r="BD71" i="90"/>
  <c r="BE71" i="90"/>
  <c r="BF71" i="90"/>
  <c r="BG71" i="90"/>
  <c r="CX71" i="90"/>
  <c r="AI71" i="56" s="1"/>
  <c r="CY71" i="90"/>
  <c r="AJ71" i="56" s="1"/>
  <c r="DN71" i="90"/>
  <c r="DO71" i="90" s="1"/>
  <c r="DW71" i="90"/>
  <c r="EO71" i="90" s="1"/>
  <c r="FE71" i="90" s="1"/>
  <c r="DX71" i="90"/>
  <c r="DY71" i="90" s="1"/>
  <c r="DZ71" i="90" s="1"/>
  <c r="AX72" i="90"/>
  <c r="AY72" i="90"/>
  <c r="AZ72" i="90"/>
  <c r="BA72" i="90"/>
  <c r="BB72" i="90"/>
  <c r="BC72" i="90"/>
  <c r="BD72" i="90"/>
  <c r="BE72" i="90"/>
  <c r="BF72" i="90"/>
  <c r="BG72" i="90"/>
  <c r="CX72" i="90"/>
  <c r="AI72" i="56" s="1"/>
  <c r="CY72" i="90"/>
  <c r="AJ72" i="56" s="1"/>
  <c r="DN72" i="90"/>
  <c r="DO72" i="90" s="1"/>
  <c r="DP72" i="90" s="1"/>
  <c r="EH72" i="90" s="1"/>
  <c r="DW72" i="90"/>
  <c r="EO72" i="90" s="1"/>
  <c r="FE72" i="90" s="1"/>
  <c r="DX72" i="90"/>
  <c r="DY72" i="90" s="1"/>
  <c r="EQ72" i="90" s="1"/>
  <c r="FC72" i="90" s="1"/>
  <c r="D97" i="116"/>
  <c r="D98" i="116"/>
  <c r="D96" i="116"/>
  <c r="D80" i="86"/>
  <c r="D81" i="86"/>
  <c r="D82" i="86"/>
  <c r="D79" i="86"/>
  <c r="E25" i="116"/>
  <c r="E22" i="116"/>
  <c r="E24" i="86"/>
  <c r="E25" i="86"/>
  <c r="E22" i="86"/>
  <c r="D53" i="12"/>
  <c r="L33" i="12"/>
  <c r="M33" i="12"/>
  <c r="N33" i="12"/>
  <c r="O33" i="12"/>
  <c r="P33" i="12"/>
  <c r="Q33" i="12"/>
  <c r="R33" i="12"/>
  <c r="S33" i="12"/>
  <c r="T33" i="12"/>
  <c r="U33" i="12"/>
  <c r="V33" i="12"/>
  <c r="W33" i="12"/>
  <c r="X33" i="12"/>
  <c r="Y33" i="12"/>
  <c r="G166" i="98" s="1"/>
  <c r="G137" i="98" s="1"/>
  <c r="AA33" i="12"/>
  <c r="I166" i="98" s="1"/>
  <c r="AB33" i="12"/>
  <c r="J166" i="98" s="1"/>
  <c r="AC33" i="12"/>
  <c r="K166" i="98" s="1"/>
  <c r="AD33" i="12"/>
  <c r="L166" i="98" s="1"/>
  <c r="AE33" i="12"/>
  <c r="M166" i="98" s="1"/>
  <c r="AF33" i="12"/>
  <c r="N166" i="98" s="1"/>
  <c r="AG33" i="12"/>
  <c r="O166" i="98" s="1"/>
  <c r="AH33" i="12"/>
  <c r="P166" i="98" s="1"/>
  <c r="AI33" i="12"/>
  <c r="Q166" i="98" s="1"/>
  <c r="AJ33" i="12"/>
  <c r="R166" i="98" s="1"/>
  <c r="K33" i="12"/>
  <c r="C103" i="12"/>
  <c r="AE76" i="30" l="1"/>
  <c r="DP281" i="90"/>
  <c r="EH281" i="90" s="1"/>
  <c r="EG281" i="90"/>
  <c r="EP291" i="90"/>
  <c r="FD291" i="90" s="1"/>
  <c r="EO141" i="90"/>
  <c r="FE141" i="90" s="1"/>
  <c r="EF303" i="90"/>
  <c r="DZ285" i="90"/>
  <c r="EA285" i="90" s="1"/>
  <c r="EF283" i="90"/>
  <c r="DO347" i="90"/>
  <c r="EO67" i="90"/>
  <c r="FE67" i="90" s="1"/>
  <c r="DZ81" i="90"/>
  <c r="EA81" i="90" s="1"/>
  <c r="EB81" i="90" s="1"/>
  <c r="EQ102" i="90"/>
  <c r="FC102" i="90" s="1"/>
  <c r="EF281" i="90"/>
  <c r="EF268" i="90"/>
  <c r="EF266" i="90"/>
  <c r="EF264" i="90"/>
  <c r="EP345" i="90"/>
  <c r="FD345" i="90" s="1"/>
  <c r="EF67" i="90"/>
  <c r="EF91" i="90"/>
  <c r="EP262" i="90"/>
  <c r="FD262" i="90" s="1"/>
  <c r="EF122" i="90"/>
  <c r="EF113" i="90"/>
  <c r="EF75" i="90"/>
  <c r="AF17" i="30"/>
  <c r="AF13" i="98" s="1"/>
  <c r="AF23" i="98" s="1"/>
  <c r="AJ76" i="30"/>
  <c r="W13" i="98"/>
  <c r="Y13" i="98"/>
  <c r="EP363" i="90"/>
  <c r="FD363" i="90" s="1"/>
  <c r="EP358" i="90"/>
  <c r="FD358" i="90" s="1"/>
  <c r="DP170" i="90"/>
  <c r="DQ170" i="90" s="1"/>
  <c r="EG170" i="90"/>
  <c r="DP298" i="90"/>
  <c r="EG298" i="90"/>
  <c r="DP126" i="90"/>
  <c r="EG126" i="90"/>
  <c r="DP91" i="90"/>
  <c r="EG91" i="90"/>
  <c r="DP283" i="90"/>
  <c r="EH283" i="90" s="1"/>
  <c r="EG283" i="90"/>
  <c r="EF72" i="90"/>
  <c r="EF176" i="90"/>
  <c r="EF73" i="90"/>
  <c r="EP199" i="90"/>
  <c r="FD199" i="90" s="1"/>
  <c r="EF178" i="90"/>
  <c r="DO151" i="90"/>
  <c r="DP151" i="90" s="1"/>
  <c r="DQ151" i="90" s="1"/>
  <c r="DZ148" i="90"/>
  <c r="EA148" i="90" s="1"/>
  <c r="EB141" i="90"/>
  <c r="EF102" i="90"/>
  <c r="EP297" i="90"/>
  <c r="FD297" i="90" s="1"/>
  <c r="EO291" i="90"/>
  <c r="FE291" i="90" s="1"/>
  <c r="EF289" i="90"/>
  <c r="EF278" i="90"/>
  <c r="ER266" i="90"/>
  <c r="FB266" i="90" s="1"/>
  <c r="EF363" i="90"/>
  <c r="DZ345" i="90"/>
  <c r="EA345" i="90" s="1"/>
  <c r="EF341" i="90"/>
  <c r="EF69" i="90"/>
  <c r="DO195" i="90"/>
  <c r="EF142" i="90"/>
  <c r="DZ140" i="90"/>
  <c r="EF111" i="90"/>
  <c r="EF285" i="90"/>
  <c r="EP270" i="90"/>
  <c r="FD270" i="90" s="1"/>
  <c r="EF262" i="90"/>
  <c r="DO359" i="90"/>
  <c r="DP359" i="90" s="1"/>
  <c r="EP357" i="90"/>
  <c r="FD357" i="90" s="1"/>
  <c r="EF361" i="90"/>
  <c r="EO358" i="90"/>
  <c r="FE358" i="90" s="1"/>
  <c r="EF358" i="90"/>
  <c r="EP359" i="90"/>
  <c r="FD359" i="90" s="1"/>
  <c r="AB17" i="30"/>
  <c r="AB13" i="98" s="1"/>
  <c r="AB23" i="98" s="1"/>
  <c r="AD17" i="30"/>
  <c r="AC17" i="30"/>
  <c r="AC13" i="98" s="1"/>
  <c r="AC23" i="98" s="1"/>
  <c r="AE17" i="30"/>
  <c r="AA17" i="30"/>
  <c r="DO65" i="90"/>
  <c r="DP65" i="90" s="1"/>
  <c r="EF74" i="90"/>
  <c r="EP184" i="90"/>
  <c r="FD184" i="90" s="1"/>
  <c r="EG122" i="90"/>
  <c r="DP122" i="90"/>
  <c r="EF87" i="90"/>
  <c r="EP201" i="90"/>
  <c r="FD201" i="90" s="1"/>
  <c r="EP197" i="90"/>
  <c r="FD197" i="90" s="1"/>
  <c r="EP191" i="90"/>
  <c r="FD191" i="90" s="1"/>
  <c r="EG72" i="90"/>
  <c r="EF68" i="90"/>
  <c r="EP78" i="90"/>
  <c r="FD78" i="90" s="1"/>
  <c r="EF119" i="90"/>
  <c r="EF115" i="90"/>
  <c r="EF107" i="90"/>
  <c r="EF168" i="90"/>
  <c r="EF137" i="90"/>
  <c r="EP128" i="90"/>
  <c r="FD128" i="90" s="1"/>
  <c r="EF123" i="90"/>
  <c r="EP143" i="90"/>
  <c r="FD143" i="90" s="1"/>
  <c r="EP129" i="90"/>
  <c r="FD129" i="90" s="1"/>
  <c r="EP120" i="90"/>
  <c r="FD120" i="90" s="1"/>
  <c r="EP102" i="90"/>
  <c r="FD102" i="90" s="1"/>
  <c r="EP230" i="90"/>
  <c r="FD230" i="90" s="1"/>
  <c r="EF92" i="90"/>
  <c r="DP291" i="90"/>
  <c r="EG291" i="90"/>
  <c r="EP300" i="90"/>
  <c r="FD300" i="90" s="1"/>
  <c r="EP298" i="90"/>
  <c r="FD298" i="90" s="1"/>
  <c r="DQ293" i="90"/>
  <c r="EP296" i="90"/>
  <c r="FD296" i="90" s="1"/>
  <c r="EF212" i="90"/>
  <c r="EF300" i="90"/>
  <c r="EF296" i="90"/>
  <c r="DQ285" i="90"/>
  <c r="DR285" i="90" s="1"/>
  <c r="EF282" i="90"/>
  <c r="EF280" i="90"/>
  <c r="EF269" i="90"/>
  <c r="EP266" i="90"/>
  <c r="FD266" i="90" s="1"/>
  <c r="EF270" i="90"/>
  <c r="DY263" i="90"/>
  <c r="EP263" i="90"/>
  <c r="FD263" i="90" s="1"/>
  <c r="EP283" i="90"/>
  <c r="FD283" i="90" s="1"/>
  <c r="EP281" i="90"/>
  <c r="FD281" i="90" s="1"/>
  <c r="EF276" i="90"/>
  <c r="EG262" i="90"/>
  <c r="DP262" i="90"/>
  <c r="EG285" i="90"/>
  <c r="EQ262" i="90"/>
  <c r="FC262" i="90" s="1"/>
  <c r="DZ262" i="90"/>
  <c r="EA262" i="90" s="1"/>
  <c r="EB262" i="90" s="1"/>
  <c r="EP256" i="90"/>
  <c r="FD256" i="90" s="1"/>
  <c r="DZ347" i="90"/>
  <c r="EA347" i="90" s="1"/>
  <c r="EP343" i="90"/>
  <c r="FD343" i="90" s="1"/>
  <c r="AC81" i="86"/>
  <c r="K137" i="98" s="1"/>
  <c r="AF81" i="86"/>
  <c r="N137" i="98" s="1"/>
  <c r="AG81" i="86"/>
  <c r="O137" i="98" s="1"/>
  <c r="AB81" i="86"/>
  <c r="J137" i="98" s="1"/>
  <c r="AJ81" i="86"/>
  <c r="R137" i="98" s="1"/>
  <c r="AA97" i="116"/>
  <c r="AI97" i="116"/>
  <c r="Y24" i="86"/>
  <c r="Y23" i="116"/>
  <c r="AD81" i="86"/>
  <c r="L137" i="98" s="1"/>
  <c r="AH81" i="86"/>
  <c r="P137" i="98" s="1"/>
  <c r="AB97" i="116"/>
  <c r="AF97" i="116"/>
  <c r="AJ97" i="116"/>
  <c r="AE97" i="116"/>
  <c r="AA81" i="86"/>
  <c r="I137" i="98" s="1"/>
  <c r="AE81" i="86"/>
  <c r="M137" i="98" s="1"/>
  <c r="AI81" i="86"/>
  <c r="Q137" i="98" s="1"/>
  <c r="AC97" i="116"/>
  <c r="AG97" i="116"/>
  <c r="EP65" i="90"/>
  <c r="FD65" i="90" s="1"/>
  <c r="DY65" i="90"/>
  <c r="EQ65" i="90" s="1"/>
  <c r="FC65" i="90" s="1"/>
  <c r="EF64" i="90"/>
  <c r="DP75" i="90"/>
  <c r="EG75" i="90"/>
  <c r="AD97" i="116"/>
  <c r="AH97" i="116"/>
  <c r="EF183" i="90"/>
  <c r="EQ150" i="90"/>
  <c r="FC150" i="90" s="1"/>
  <c r="DZ150" i="90"/>
  <c r="ER150" i="90" s="1"/>
  <c r="FB150" i="90" s="1"/>
  <c r="EP76" i="90"/>
  <c r="FD76" i="90" s="1"/>
  <c r="DP76" i="90"/>
  <c r="EH76" i="90" s="1"/>
  <c r="DO199" i="90"/>
  <c r="DO186" i="90"/>
  <c r="DO175" i="90"/>
  <c r="EF175" i="90"/>
  <c r="EP203" i="90"/>
  <c r="FD203" i="90" s="1"/>
  <c r="DY201" i="90"/>
  <c r="DZ201" i="90" s="1"/>
  <c r="DO197" i="90"/>
  <c r="DO191" i="90"/>
  <c r="DY186" i="90"/>
  <c r="EQ101" i="90"/>
  <c r="FC101" i="90" s="1"/>
  <c r="DZ101" i="90"/>
  <c r="EP180" i="90"/>
  <c r="FD180" i="90" s="1"/>
  <c r="DP96" i="90"/>
  <c r="EH96" i="90" s="1"/>
  <c r="EG96" i="90"/>
  <c r="DP92" i="90"/>
  <c r="EH92" i="90" s="1"/>
  <c r="EG92" i="90"/>
  <c r="EP149" i="90"/>
  <c r="FD149" i="90" s="1"/>
  <c r="EP116" i="90"/>
  <c r="FD116" i="90" s="1"/>
  <c r="EO116" i="90"/>
  <c r="FE116" i="90" s="1"/>
  <c r="DQ122" i="90"/>
  <c r="DR122" i="90" s="1"/>
  <c r="EH122" i="90"/>
  <c r="DZ307" i="90"/>
  <c r="ER307" i="90" s="1"/>
  <c r="FB307" i="90" s="1"/>
  <c r="EQ307" i="90"/>
  <c r="FC307" i="90" s="1"/>
  <c r="DO226" i="90"/>
  <c r="EG226" i="90" s="1"/>
  <c r="EF226" i="90"/>
  <c r="DO220" i="90"/>
  <c r="EF220" i="90"/>
  <c r="DO213" i="90"/>
  <c r="DP213" i="90" s="1"/>
  <c r="DQ213" i="90" s="1"/>
  <c r="EF213" i="90"/>
  <c r="EQ116" i="90"/>
  <c r="FC116" i="90" s="1"/>
  <c r="DZ116" i="90"/>
  <c r="EA116" i="90" s="1"/>
  <c r="DO110" i="90"/>
  <c r="DP110" i="90" s="1"/>
  <c r="EF110" i="90"/>
  <c r="EP122" i="90"/>
  <c r="FD122" i="90" s="1"/>
  <c r="EF229" i="90"/>
  <c r="DO216" i="90"/>
  <c r="EF216" i="90"/>
  <c r="DY306" i="90"/>
  <c r="EP306" i="90"/>
  <c r="FD306" i="90" s="1"/>
  <c r="EF217" i="90"/>
  <c r="DZ292" i="90"/>
  <c r="ER292" i="90" s="1"/>
  <c r="FB292" i="90" s="1"/>
  <c r="EQ292" i="90"/>
  <c r="FC292" i="90" s="1"/>
  <c r="DO304" i="90"/>
  <c r="EF304" i="90"/>
  <c r="EP307" i="90"/>
  <c r="FD307" i="90" s="1"/>
  <c r="EP304" i="90"/>
  <c r="FD304" i="90" s="1"/>
  <c r="EO300" i="90"/>
  <c r="FE300" i="90" s="1"/>
  <c r="DO290" i="90"/>
  <c r="DP290" i="90" s="1"/>
  <c r="EF290" i="90"/>
  <c r="DY294" i="90"/>
  <c r="EP294" i="90"/>
  <c r="FD294" i="90" s="1"/>
  <c r="DP289" i="90"/>
  <c r="DQ289" i="90" s="1"/>
  <c r="EG289" i="90"/>
  <c r="EP279" i="90"/>
  <c r="FD279" i="90" s="1"/>
  <c r="DO279" i="90"/>
  <c r="EF279" i="90"/>
  <c r="DO275" i="90"/>
  <c r="EF275" i="90"/>
  <c r="EP293" i="90"/>
  <c r="FD293" i="90" s="1"/>
  <c r="EP289" i="90"/>
  <c r="FD289" i="90" s="1"/>
  <c r="EF284" i="90"/>
  <c r="EP278" i="90"/>
  <c r="FD278" i="90" s="1"/>
  <c r="EQ277" i="90"/>
  <c r="FC277" i="90" s="1"/>
  <c r="EP264" i="90"/>
  <c r="FD264" i="90" s="1"/>
  <c r="EQ257" i="90"/>
  <c r="FC257" i="90" s="1"/>
  <c r="DZ257" i="90"/>
  <c r="EA257" i="90" s="1"/>
  <c r="EP277" i="90"/>
  <c r="FD277" i="90" s="1"/>
  <c r="EP269" i="90"/>
  <c r="FD269" i="90" s="1"/>
  <c r="DY261" i="90"/>
  <c r="EP261" i="90"/>
  <c r="FD261" i="90" s="1"/>
  <c r="DO252" i="90"/>
  <c r="EG252" i="90" s="1"/>
  <c r="EF252" i="90"/>
  <c r="DO250" i="90"/>
  <c r="EF250" i="90"/>
  <c r="DZ364" i="90"/>
  <c r="EQ364" i="90"/>
  <c r="FC364" i="90" s="1"/>
  <c r="EF272" i="90"/>
  <c r="DO258" i="90"/>
  <c r="EF258" i="90"/>
  <c r="DP358" i="90"/>
  <c r="EG358" i="90"/>
  <c r="EP251" i="90"/>
  <c r="FD251" i="90" s="1"/>
  <c r="EP362" i="90"/>
  <c r="FD362" i="90" s="1"/>
  <c r="DZ360" i="90"/>
  <c r="DY359" i="90"/>
  <c r="DZ359" i="90" s="1"/>
  <c r="ER359" i="90" s="1"/>
  <c r="FB359" i="90" s="1"/>
  <c r="DY363" i="90"/>
  <c r="DZ363" i="90" s="1"/>
  <c r="EA363" i="90" s="1"/>
  <c r="ES363" i="90" s="1"/>
  <c r="FA363" i="90" s="1"/>
  <c r="EF362" i="90"/>
  <c r="DZ356" i="90"/>
  <c r="ER356" i="90" s="1"/>
  <c r="FB356" i="90" s="1"/>
  <c r="EQ356" i="90"/>
  <c r="FC356" i="90" s="1"/>
  <c r="DZ352" i="90"/>
  <c r="EQ352" i="90"/>
  <c r="FC352" i="90" s="1"/>
  <c r="DO353" i="90"/>
  <c r="DP353" i="90" s="1"/>
  <c r="DQ353" i="90" s="1"/>
  <c r="DR353" i="90" s="1"/>
  <c r="EP352" i="90"/>
  <c r="FD352" i="90" s="1"/>
  <c r="EF351" i="90"/>
  <c r="EP347" i="90"/>
  <c r="FD347" i="90" s="1"/>
  <c r="EG347" i="90"/>
  <c r="DP347" i="90"/>
  <c r="EH347" i="90" s="1"/>
  <c r="DO343" i="90"/>
  <c r="EF343" i="90"/>
  <c r="ER345" i="90"/>
  <c r="FB345" i="90" s="1"/>
  <c r="DO342" i="90"/>
  <c r="EF342" i="90"/>
  <c r="AJ13" i="98"/>
  <c r="AJ23" i="98" s="1"/>
  <c r="EQ344" i="90"/>
  <c r="FC344" i="90" s="1"/>
  <c r="DY341" i="90"/>
  <c r="EQ341" i="90" s="1"/>
  <c r="FC341" i="90" s="1"/>
  <c r="EP341" i="90"/>
  <c r="FD341" i="90" s="1"/>
  <c r="AG13" i="98"/>
  <c r="AG23" i="98" s="1"/>
  <c r="X13" i="98"/>
  <c r="EP344" i="90"/>
  <c r="FD344" i="90" s="1"/>
  <c r="DZ350" i="90"/>
  <c r="ER350" i="90" s="1"/>
  <c r="FB350" i="90" s="1"/>
  <c r="EQ350" i="90"/>
  <c r="FC350" i="90" s="1"/>
  <c r="DQ346" i="90"/>
  <c r="EH346" i="90"/>
  <c r="DQ359" i="90"/>
  <c r="EI359" i="90" s="1"/>
  <c r="EH359" i="90"/>
  <c r="EA356" i="90"/>
  <c r="EB356" i="90" s="1"/>
  <c r="DP349" i="90"/>
  <c r="DQ349" i="90" s="1"/>
  <c r="EG349" i="90"/>
  <c r="DP362" i="90"/>
  <c r="EH362" i="90" s="1"/>
  <c r="EG362" i="90"/>
  <c r="EO357" i="90"/>
  <c r="FE357" i="90" s="1"/>
  <c r="EP353" i="90"/>
  <c r="FD353" i="90" s="1"/>
  <c r="EH353" i="90"/>
  <c r="EF350" i="90"/>
  <c r="EP348" i="90"/>
  <c r="FD348" i="90" s="1"/>
  <c r="EO344" i="90"/>
  <c r="FE344" i="90" s="1"/>
  <c r="EP361" i="90"/>
  <c r="FD361" i="90" s="1"/>
  <c r="EG359" i="90"/>
  <c r="EF357" i="90"/>
  <c r="EP356" i="90"/>
  <c r="FD356" i="90" s="1"/>
  <c r="EQ354" i="90"/>
  <c r="FC354" i="90" s="1"/>
  <c r="EP354" i="90"/>
  <c r="FD354" i="90" s="1"/>
  <c r="EP351" i="90"/>
  <c r="FD351" i="90" s="1"/>
  <c r="EP350" i="90"/>
  <c r="FD350" i="90" s="1"/>
  <c r="EP364" i="90"/>
  <c r="FD364" i="90" s="1"/>
  <c r="EO361" i="90"/>
  <c r="FE361" i="90" s="1"/>
  <c r="EF360" i="90"/>
  <c r="EP360" i="90"/>
  <c r="FD360" i="90" s="1"/>
  <c r="EQ355" i="90"/>
  <c r="FC355" i="90" s="1"/>
  <c r="EO354" i="90"/>
  <c r="FE354" i="90" s="1"/>
  <c r="DZ353" i="90"/>
  <c r="EA353" i="90" s="1"/>
  <c r="ES353" i="90" s="1"/>
  <c r="FA353" i="90" s="1"/>
  <c r="DP350" i="90"/>
  <c r="EF349" i="90"/>
  <c r="EO348" i="90"/>
  <c r="FE348" i="90" s="1"/>
  <c r="DQ347" i="90"/>
  <c r="DR347" i="90" s="1"/>
  <c r="EG346" i="90"/>
  <c r="EP342" i="90"/>
  <c r="FD342" i="90" s="1"/>
  <c r="DZ341" i="90"/>
  <c r="EQ340" i="90"/>
  <c r="FC340" i="90" s="1"/>
  <c r="EP340" i="90"/>
  <c r="FD340" i="90" s="1"/>
  <c r="DQ363" i="90"/>
  <c r="EH363" i="90"/>
  <c r="ER364" i="90"/>
  <c r="FB364" i="90" s="1"/>
  <c r="EA364" i="90"/>
  <c r="EG363" i="90"/>
  <c r="EG360" i="90"/>
  <c r="DP360" i="90"/>
  <c r="EH358" i="90"/>
  <c r="DQ358" i="90"/>
  <c r="ER355" i="90"/>
  <c r="FB355" i="90" s="1"/>
  <c r="EA355" i="90"/>
  <c r="ER354" i="90"/>
  <c r="FB354" i="90" s="1"/>
  <c r="EA354" i="90"/>
  <c r="EF364" i="90"/>
  <c r="DP364" i="90"/>
  <c r="EQ362" i="90"/>
  <c r="FC362" i="90" s="1"/>
  <c r="DZ362" i="90"/>
  <c r="EQ361" i="90"/>
  <c r="FC361" i="90" s="1"/>
  <c r="DZ361" i="90"/>
  <c r="EG357" i="90"/>
  <c r="DP357" i="90"/>
  <c r="EQ358" i="90"/>
  <c r="FC358" i="90" s="1"/>
  <c r="DZ358" i="90"/>
  <c r="DP355" i="90"/>
  <c r="EG355" i="90"/>
  <c r="EO364" i="90"/>
  <c r="FE364" i="90" s="1"/>
  <c r="EG361" i="90"/>
  <c r="DP361" i="90"/>
  <c r="EQ357" i="90"/>
  <c r="FC357" i="90" s="1"/>
  <c r="DZ357" i="90"/>
  <c r="ES356" i="90"/>
  <c r="FA356" i="90" s="1"/>
  <c r="EG356" i="90"/>
  <c r="DP356" i="90"/>
  <c r="DP348" i="90"/>
  <c r="EG348" i="90"/>
  <c r="EP346" i="90"/>
  <c r="FD346" i="90" s="1"/>
  <c r="EO346" i="90"/>
  <c r="FE346" i="90" s="1"/>
  <c r="EP355" i="90"/>
  <c r="FD355" i="90" s="1"/>
  <c r="EF348" i="90"/>
  <c r="ER347" i="90"/>
  <c r="FB347" i="90" s="1"/>
  <c r="EF355" i="90"/>
  <c r="EF354" i="90"/>
  <c r="DP354" i="90"/>
  <c r="EO352" i="90"/>
  <c r="FE352" i="90" s="1"/>
  <c r="EF352" i="90"/>
  <c r="DP352" i="90"/>
  <c r="EG351" i="90"/>
  <c r="DZ351" i="90"/>
  <c r="EP349" i="90"/>
  <c r="FD349" i="90" s="1"/>
  <c r="EG353" i="90"/>
  <c r="DQ351" i="90"/>
  <c r="DZ349" i="90"/>
  <c r="EQ349" i="90"/>
  <c r="FC349" i="90" s="1"/>
  <c r="ER340" i="90"/>
  <c r="FB340" i="90" s="1"/>
  <c r="EA340" i="90"/>
  <c r="DO340" i="90"/>
  <c r="EF340" i="90"/>
  <c r="EI346" i="90"/>
  <c r="DR346" i="90"/>
  <c r="ER344" i="90"/>
  <c r="FB344" i="90" s="1"/>
  <c r="EA344" i="90"/>
  <c r="DO344" i="90"/>
  <c r="EF344" i="90"/>
  <c r="EA343" i="90"/>
  <c r="ER343" i="90"/>
  <c r="FB343" i="90" s="1"/>
  <c r="EO342" i="90"/>
  <c r="FE342" i="90" s="1"/>
  <c r="EQ348" i="90"/>
  <c r="FC348" i="90" s="1"/>
  <c r="DZ348" i="90"/>
  <c r="DZ346" i="90"/>
  <c r="EQ346" i="90"/>
  <c r="FC346" i="90" s="1"/>
  <c r="ES345" i="90"/>
  <c r="FA345" i="90" s="1"/>
  <c r="EB345" i="90"/>
  <c r="DP345" i="90"/>
  <c r="EG345" i="90"/>
  <c r="EQ343" i="90"/>
  <c r="FC343" i="90" s="1"/>
  <c r="DZ342" i="90"/>
  <c r="EQ342" i="90"/>
  <c r="FC342" i="90" s="1"/>
  <c r="DP341" i="90"/>
  <c r="EG341" i="90"/>
  <c r="EQ106" i="90"/>
  <c r="FC106" i="90" s="1"/>
  <c r="DZ106" i="90"/>
  <c r="ER106" i="90" s="1"/>
  <c r="FB106" i="90" s="1"/>
  <c r="DP300" i="90"/>
  <c r="EG300" i="90"/>
  <c r="DZ120" i="90"/>
  <c r="EA120" i="90" s="1"/>
  <c r="EQ120" i="90"/>
  <c r="FC120" i="90" s="1"/>
  <c r="DZ219" i="90"/>
  <c r="EA219" i="90" s="1"/>
  <c r="EB219" i="90" s="1"/>
  <c r="EQ219" i="90"/>
  <c r="FC219" i="90" s="1"/>
  <c r="DZ290" i="90"/>
  <c r="EQ290" i="90"/>
  <c r="FC290" i="90" s="1"/>
  <c r="DP296" i="90"/>
  <c r="EG296" i="90"/>
  <c r="DQ65" i="90"/>
  <c r="DR65" i="90" s="1"/>
  <c r="EH65" i="90"/>
  <c r="EG120" i="90"/>
  <c r="DP120" i="90"/>
  <c r="DQ120" i="90" s="1"/>
  <c r="EQ110" i="90"/>
  <c r="FC110" i="90" s="1"/>
  <c r="DZ110" i="90"/>
  <c r="EA110" i="90" s="1"/>
  <c r="EB110" i="90" s="1"/>
  <c r="DP105" i="90"/>
  <c r="EG105" i="90"/>
  <c r="DP304" i="90"/>
  <c r="DQ304" i="90" s="1"/>
  <c r="EG304" i="90"/>
  <c r="DO308" i="90"/>
  <c r="EF308" i="90"/>
  <c r="DP276" i="90"/>
  <c r="EG276" i="90"/>
  <c r="DY272" i="90"/>
  <c r="EP272" i="90"/>
  <c r="FD272" i="90" s="1"/>
  <c r="EB257" i="90"/>
  <c r="EC257" i="90" s="1"/>
  <c r="ES257" i="90"/>
  <c r="FA257" i="90" s="1"/>
  <c r="DZ253" i="90"/>
  <c r="EQ253" i="90"/>
  <c r="FC253" i="90" s="1"/>
  <c r="EP70" i="90"/>
  <c r="FD70" i="90" s="1"/>
  <c r="EP79" i="90"/>
  <c r="FD79" i="90" s="1"/>
  <c r="EQ74" i="90"/>
  <c r="FC74" i="90" s="1"/>
  <c r="EP73" i="90"/>
  <c r="FD73" i="90" s="1"/>
  <c r="EF188" i="90"/>
  <c r="EF177" i="90"/>
  <c r="EF172" i="90"/>
  <c r="EF160" i="90"/>
  <c r="EH151" i="90"/>
  <c r="EP145" i="90"/>
  <c r="FD145" i="90" s="1"/>
  <c r="EF118" i="90"/>
  <c r="EP92" i="90"/>
  <c r="FD92" i="90" s="1"/>
  <c r="EF89" i="90"/>
  <c r="EF227" i="90"/>
  <c r="EP219" i="90"/>
  <c r="FD219" i="90" s="1"/>
  <c r="EF207" i="90"/>
  <c r="DP306" i="90"/>
  <c r="EH306" i="90" s="1"/>
  <c r="EG306" i="90"/>
  <c r="EP305" i="90"/>
  <c r="FD305" i="90" s="1"/>
  <c r="EP302" i="90"/>
  <c r="FD302" i="90" s="1"/>
  <c r="EQ301" i="90"/>
  <c r="FC301" i="90" s="1"/>
  <c r="EP301" i="90"/>
  <c r="FD301" i="90" s="1"/>
  <c r="DZ297" i="90"/>
  <c r="EQ297" i="90"/>
  <c r="FC297" i="90" s="1"/>
  <c r="DP294" i="90"/>
  <c r="EG294" i="90"/>
  <c r="EQ287" i="90"/>
  <c r="FC287" i="90" s="1"/>
  <c r="DZ286" i="90"/>
  <c r="ER286" i="90" s="1"/>
  <c r="FB286" i="90" s="1"/>
  <c r="EQ286" i="90"/>
  <c r="FC286" i="90" s="1"/>
  <c r="EO278" i="90"/>
  <c r="FE278" i="90" s="1"/>
  <c r="EO270" i="90"/>
  <c r="FE270" i="90" s="1"/>
  <c r="EP267" i="90"/>
  <c r="FD267" i="90" s="1"/>
  <c r="EO267" i="90"/>
  <c r="FE267" i="90" s="1"/>
  <c r="EP252" i="90"/>
  <c r="FD252" i="90" s="1"/>
  <c r="DO251" i="90"/>
  <c r="EF251" i="90"/>
  <c r="EG65" i="90"/>
  <c r="EP74" i="90"/>
  <c r="FD74" i="90" s="1"/>
  <c r="EG187" i="90"/>
  <c r="EF167" i="90"/>
  <c r="EF131" i="90"/>
  <c r="EF127" i="90"/>
  <c r="EF121" i="90"/>
  <c r="EF120" i="90"/>
  <c r="EF117" i="90"/>
  <c r="EF104" i="90"/>
  <c r="EF232" i="90"/>
  <c r="EP211" i="90"/>
  <c r="FD211" i="90" s="1"/>
  <c r="DP302" i="90"/>
  <c r="EG302" i="90"/>
  <c r="EO301" i="90"/>
  <c r="FE301" i="90" s="1"/>
  <c r="DZ295" i="90"/>
  <c r="ER295" i="90" s="1"/>
  <c r="FB295" i="90" s="1"/>
  <c r="EQ295" i="90"/>
  <c r="FC295" i="90" s="1"/>
  <c r="EF294" i="90"/>
  <c r="DZ288" i="90"/>
  <c r="EQ288" i="90"/>
  <c r="FC288" i="90" s="1"/>
  <c r="DO287" i="90"/>
  <c r="DP287" i="90" s="1"/>
  <c r="EH287" i="90" s="1"/>
  <c r="EF287" i="90"/>
  <c r="ER282" i="90"/>
  <c r="FB282" i="90" s="1"/>
  <c r="EA282" i="90"/>
  <c r="EB282" i="90" s="1"/>
  <c r="EC282" i="90" s="1"/>
  <c r="EG265" i="90"/>
  <c r="DP263" i="90"/>
  <c r="EH263" i="90" s="1"/>
  <c r="EG263" i="90"/>
  <c r="EQ260" i="90"/>
  <c r="FC260" i="90" s="1"/>
  <c r="DZ260" i="90"/>
  <c r="DP259" i="90"/>
  <c r="EG259" i="90"/>
  <c r="ER257" i="90"/>
  <c r="FB257" i="90" s="1"/>
  <c r="DZ255" i="90"/>
  <c r="ER255" i="90" s="1"/>
  <c r="FB255" i="90" s="1"/>
  <c r="EQ255" i="90"/>
  <c r="FC255" i="90" s="1"/>
  <c r="DO253" i="90"/>
  <c r="EF253" i="90"/>
  <c r="EF66" i="90"/>
  <c r="DZ87" i="90"/>
  <c r="EA87" i="90" s="1"/>
  <c r="ES87" i="90" s="1"/>
  <c r="FA87" i="90" s="1"/>
  <c r="DO193" i="90"/>
  <c r="DP193" i="90" s="1"/>
  <c r="DY191" i="90"/>
  <c r="DY184" i="90"/>
  <c r="DZ184" i="90" s="1"/>
  <c r="DO180" i="90"/>
  <c r="DP180" i="90" s="1"/>
  <c r="EF169" i="90"/>
  <c r="EP155" i="90"/>
  <c r="FD155" i="90" s="1"/>
  <c r="DY143" i="90"/>
  <c r="DZ143" i="90" s="1"/>
  <c r="EA143" i="90" s="1"/>
  <c r="EB143" i="90" s="1"/>
  <c r="DQ139" i="90"/>
  <c r="DR139" i="90" s="1"/>
  <c r="EF138" i="90"/>
  <c r="DO128" i="90"/>
  <c r="EG128" i="90" s="1"/>
  <c r="DZ122" i="90"/>
  <c r="EA122" i="90" s="1"/>
  <c r="ES122" i="90" s="1"/>
  <c r="FA122" i="90" s="1"/>
  <c r="ER116" i="90"/>
  <c r="FB116" i="90" s="1"/>
  <c r="EF105" i="90"/>
  <c r="EF235" i="90"/>
  <c r="DP235" i="90"/>
  <c r="DQ235" i="90" s="1"/>
  <c r="EI235" i="90" s="1"/>
  <c r="EP213" i="90"/>
  <c r="FD213" i="90" s="1"/>
  <c r="EP207" i="90"/>
  <c r="FD207" i="90" s="1"/>
  <c r="EF204" i="90"/>
  <c r="EQ305" i="90"/>
  <c r="FC305" i="90" s="1"/>
  <c r="EQ303" i="90"/>
  <c r="FC303" i="90" s="1"/>
  <c r="EF302" i="90"/>
  <c r="EF301" i="90"/>
  <c r="EQ299" i="90"/>
  <c r="FC299" i="90" s="1"/>
  <c r="EP285" i="90"/>
  <c r="FD285" i="90" s="1"/>
  <c r="EQ284" i="90"/>
  <c r="FC284" i="90" s="1"/>
  <c r="EP284" i="90"/>
  <c r="FD284" i="90" s="1"/>
  <c r="EQ282" i="90"/>
  <c r="FC282" i="90" s="1"/>
  <c r="DZ280" i="90"/>
  <c r="EQ280" i="90"/>
  <c r="FC280" i="90" s="1"/>
  <c r="DP279" i="90"/>
  <c r="EG279" i="90"/>
  <c r="DZ278" i="90"/>
  <c r="ER278" i="90" s="1"/>
  <c r="FB278" i="90" s="1"/>
  <c r="EQ278" i="90"/>
  <c r="FC278" i="90" s="1"/>
  <c r="EP274" i="90"/>
  <c r="FD274" i="90" s="1"/>
  <c r="DO273" i="90"/>
  <c r="EF273" i="90"/>
  <c r="EF263" i="90"/>
  <c r="DO261" i="90"/>
  <c r="EF261" i="90"/>
  <c r="EO256" i="90"/>
  <c r="FE256" i="90" s="1"/>
  <c r="EF265" i="90"/>
  <c r="EF260" i="90"/>
  <c r="EP260" i="90"/>
  <c r="FD260" i="90" s="1"/>
  <c r="EP258" i="90"/>
  <c r="FD258" i="90" s="1"/>
  <c r="EP255" i="90"/>
  <c r="FD255" i="90" s="1"/>
  <c r="EO251" i="90"/>
  <c r="FE251" i="90" s="1"/>
  <c r="EP290" i="90"/>
  <c r="FD290" i="90" s="1"/>
  <c r="EP288" i="90"/>
  <c r="FD288" i="90" s="1"/>
  <c r="EP282" i="90"/>
  <c r="FD282" i="90" s="1"/>
  <c r="EP275" i="90"/>
  <c r="FD275" i="90" s="1"/>
  <c r="EP273" i="90"/>
  <c r="FD273" i="90" s="1"/>
  <c r="EP271" i="90"/>
  <c r="FD271" i="90" s="1"/>
  <c r="DZ270" i="90"/>
  <c r="EF267" i="90"/>
  <c r="EP265" i="90"/>
  <c r="FD265" i="90" s="1"/>
  <c r="DZ265" i="90"/>
  <c r="ER265" i="90" s="1"/>
  <c r="FB265" i="90" s="1"/>
  <c r="EO262" i="90"/>
  <c r="FE262" i="90" s="1"/>
  <c r="DP260" i="90"/>
  <c r="EF259" i="90"/>
  <c r="EO258" i="90"/>
  <c r="FE258" i="90" s="1"/>
  <c r="EF257" i="90"/>
  <c r="EP257" i="90"/>
  <c r="FD257" i="90" s="1"/>
  <c r="DZ256" i="90"/>
  <c r="DP255" i="90"/>
  <c r="EH255" i="90" s="1"/>
  <c r="EP303" i="90"/>
  <c r="FD303" i="90" s="1"/>
  <c r="EP299" i="90"/>
  <c r="FD299" i="90" s="1"/>
  <c r="EP295" i="90"/>
  <c r="FD295" i="90" s="1"/>
  <c r="EP292" i="90"/>
  <c r="FD292" i="90" s="1"/>
  <c r="EO288" i="90"/>
  <c r="FE288" i="90" s="1"/>
  <c r="EP286" i="90"/>
  <c r="FD286" i="90" s="1"/>
  <c r="EP280" i="90"/>
  <c r="FD280" i="90" s="1"/>
  <c r="EP249" i="90"/>
  <c r="FD249" i="90" s="1"/>
  <c r="EQ308" i="90"/>
  <c r="FC308" i="90" s="1"/>
  <c r="DZ308" i="90"/>
  <c r="EP308" i="90"/>
  <c r="FD308" i="90" s="1"/>
  <c r="DQ306" i="90"/>
  <c r="EG303" i="90"/>
  <c r="DP303" i="90"/>
  <c r="EG299" i="90"/>
  <c r="DP299" i="90"/>
  <c r="DZ298" i="90"/>
  <c r="EQ298" i="90"/>
  <c r="FC298" i="90" s="1"/>
  <c r="EH296" i="90"/>
  <c r="DQ296" i="90"/>
  <c r="EG295" i="90"/>
  <c r="DP295" i="90"/>
  <c r="EO305" i="90"/>
  <c r="FE305" i="90" s="1"/>
  <c r="EF305" i="90"/>
  <c r="DP305" i="90"/>
  <c r="EA303" i="90"/>
  <c r="ER303" i="90"/>
  <c r="FB303" i="90" s="1"/>
  <c r="DZ302" i="90"/>
  <c r="EQ302" i="90"/>
  <c r="FC302" i="90" s="1"/>
  <c r="EH300" i="90"/>
  <c r="DQ300" i="90"/>
  <c r="EA299" i="90"/>
  <c r="ER299" i="90"/>
  <c r="FB299" i="90" s="1"/>
  <c r="DP297" i="90"/>
  <c r="EG297" i="90"/>
  <c r="DZ294" i="90"/>
  <c r="EQ294" i="90"/>
  <c r="FC294" i="90" s="1"/>
  <c r="EO307" i="90"/>
  <c r="FE307" i="90" s="1"/>
  <c r="EF307" i="90"/>
  <c r="DP307" i="90"/>
  <c r="DP301" i="90"/>
  <c r="EG301" i="90"/>
  <c r="DQ298" i="90"/>
  <c r="EH298" i="90"/>
  <c r="ER297" i="90"/>
  <c r="FB297" i="90" s="1"/>
  <c r="EA297" i="90"/>
  <c r="EQ296" i="90"/>
  <c r="FC296" i="90" s="1"/>
  <c r="DZ296" i="90"/>
  <c r="EA305" i="90"/>
  <c r="EQ304" i="90"/>
  <c r="FC304" i="90" s="1"/>
  <c r="DZ304" i="90"/>
  <c r="DQ302" i="90"/>
  <c r="EH302" i="90"/>
  <c r="ER301" i="90"/>
  <c r="FB301" i="90" s="1"/>
  <c r="EA301" i="90"/>
  <c r="EQ300" i="90"/>
  <c r="FC300" i="90" s="1"/>
  <c r="DZ300" i="90"/>
  <c r="DQ294" i="90"/>
  <c r="EH294" i="90"/>
  <c r="EG293" i="90"/>
  <c r="DZ293" i="90"/>
  <c r="EA292" i="90"/>
  <c r="DQ291" i="90"/>
  <c r="EH291" i="90"/>
  <c r="ER290" i="90"/>
  <c r="FB290" i="90" s="1"/>
  <c r="EA290" i="90"/>
  <c r="EA288" i="90"/>
  <c r="ER288" i="90"/>
  <c r="FB288" i="90" s="1"/>
  <c r="EH289" i="90"/>
  <c r="EO292" i="90"/>
  <c r="FE292" i="90" s="1"/>
  <c r="EF292" i="90"/>
  <c r="DP292" i="90"/>
  <c r="DZ291" i="90"/>
  <c r="EQ291" i="90"/>
  <c r="FC291" i="90" s="1"/>
  <c r="EG290" i="90"/>
  <c r="EQ289" i="90"/>
  <c r="FC289" i="90" s="1"/>
  <c r="DZ289" i="90"/>
  <c r="DP288" i="90"/>
  <c r="ER287" i="90"/>
  <c r="FB287" i="90" s="1"/>
  <c r="DQ287" i="90"/>
  <c r="EA286" i="90"/>
  <c r="EG282" i="90"/>
  <c r="DP282" i="90"/>
  <c r="DZ281" i="90"/>
  <c r="DQ281" i="90"/>
  <c r="EG280" i="90"/>
  <c r="DP280" i="90"/>
  <c r="DZ276" i="90"/>
  <c r="EQ276" i="90"/>
  <c r="FC276" i="90" s="1"/>
  <c r="EG286" i="90"/>
  <c r="DP286" i="90"/>
  <c r="ES285" i="90"/>
  <c r="FA285" i="90" s="1"/>
  <c r="EB285" i="90"/>
  <c r="ER280" i="90"/>
  <c r="FB280" i="90" s="1"/>
  <c r="EA280" i="90"/>
  <c r="EQ279" i="90"/>
  <c r="FC279" i="90" s="1"/>
  <c r="DZ279" i="90"/>
  <c r="EG278" i="90"/>
  <c r="DP278" i="90"/>
  <c r="ER277" i="90"/>
  <c r="FB277" i="90" s="1"/>
  <c r="EA277" i="90"/>
  <c r="DZ275" i="90"/>
  <c r="EQ275" i="90"/>
  <c r="FC275" i="90" s="1"/>
  <c r="EP287" i="90"/>
  <c r="FD287" i="90" s="1"/>
  <c r="EB287" i="90"/>
  <c r="ER284" i="90"/>
  <c r="FB284" i="90" s="1"/>
  <c r="EA284" i="90"/>
  <c r="DP284" i="90"/>
  <c r="EH276" i="90"/>
  <c r="DQ276" i="90"/>
  <c r="EF288" i="90"/>
  <c r="EG287" i="90"/>
  <c r="EF286" i="90"/>
  <c r="EQ283" i="90"/>
  <c r="FC283" i="90" s="1"/>
  <c r="DZ283" i="90"/>
  <c r="EH279" i="90"/>
  <c r="DQ279" i="90"/>
  <c r="EG275" i="90"/>
  <c r="DP275" i="90"/>
  <c r="ER273" i="90"/>
  <c r="FB273" i="90" s="1"/>
  <c r="EA273" i="90"/>
  <c r="EH272" i="90"/>
  <c r="DQ272" i="90"/>
  <c r="EG271" i="90"/>
  <c r="DP271" i="90"/>
  <c r="EQ268" i="90"/>
  <c r="FC268" i="90" s="1"/>
  <c r="DZ268" i="90"/>
  <c r="EQ267" i="90"/>
  <c r="FC267" i="90" s="1"/>
  <c r="DZ267" i="90"/>
  <c r="DQ264" i="90"/>
  <c r="EH264" i="90"/>
  <c r="DP261" i="90"/>
  <c r="EG261" i="90"/>
  <c r="EA260" i="90"/>
  <c r="ER260" i="90"/>
  <c r="FB260" i="90" s="1"/>
  <c r="DQ259" i="90"/>
  <c r="EH259" i="90"/>
  <c r="EO277" i="90"/>
  <c r="FE277" i="90" s="1"/>
  <c r="EP276" i="90"/>
  <c r="FD276" i="90" s="1"/>
  <c r="EG274" i="90"/>
  <c r="DZ274" i="90"/>
  <c r="EQ272" i="90"/>
  <c r="FC272" i="90" s="1"/>
  <c r="DZ272" i="90"/>
  <c r="EO271" i="90"/>
  <c r="FE271" i="90" s="1"/>
  <c r="EQ271" i="90"/>
  <c r="FC271" i="90" s="1"/>
  <c r="DZ271" i="90"/>
  <c r="EQ269" i="90"/>
  <c r="FC269" i="90" s="1"/>
  <c r="EG268" i="90"/>
  <c r="DZ264" i="90"/>
  <c r="EQ264" i="90"/>
  <c r="FC264" i="90" s="1"/>
  <c r="ES262" i="90"/>
  <c r="FA262" i="90" s="1"/>
  <c r="DQ274" i="90"/>
  <c r="EQ273" i="90"/>
  <c r="FC273" i="90" s="1"/>
  <c r="EG272" i="90"/>
  <c r="EP268" i="90"/>
  <c r="FD268" i="90" s="1"/>
  <c r="ES266" i="90"/>
  <c r="FA266" i="90" s="1"/>
  <c r="EB266" i="90"/>
  <c r="EA265" i="90"/>
  <c r="DQ265" i="90"/>
  <c r="EH265" i="90"/>
  <c r="EG264" i="90"/>
  <c r="EQ263" i="90"/>
  <c r="FC263" i="90" s="1"/>
  <c r="DZ263" i="90"/>
  <c r="EF277" i="90"/>
  <c r="DP277" i="90"/>
  <c r="EF271" i="90"/>
  <c r="EG270" i="90"/>
  <c r="DP270" i="90"/>
  <c r="ER269" i="90"/>
  <c r="FB269" i="90" s="1"/>
  <c r="EA269" i="90"/>
  <c r="DP269" i="90"/>
  <c r="EH268" i="90"/>
  <c r="DQ268" i="90"/>
  <c r="EG267" i="90"/>
  <c r="DP267" i="90"/>
  <c r="EG266" i="90"/>
  <c r="DP266" i="90"/>
  <c r="ET262" i="90"/>
  <c r="EZ262" i="90" s="1"/>
  <c r="EC262" i="90"/>
  <c r="DQ262" i="90"/>
  <c r="EH262" i="90"/>
  <c r="DP256" i="90"/>
  <c r="EG256" i="90"/>
  <c r="DO249" i="90"/>
  <c r="EF249" i="90"/>
  <c r="DQ263" i="90"/>
  <c r="ER262" i="90"/>
  <c r="FB262" i="90" s="1"/>
  <c r="DQ260" i="90"/>
  <c r="EH260" i="90"/>
  <c r="DY259" i="90"/>
  <c r="EP259" i="90"/>
  <c r="FD259" i="90" s="1"/>
  <c r="DP258" i="90"/>
  <c r="EG258" i="90"/>
  <c r="EF256" i="90"/>
  <c r="DQ255" i="90"/>
  <c r="DP254" i="90"/>
  <c r="EG254" i="90"/>
  <c r="EP253" i="90"/>
  <c r="FD253" i="90" s="1"/>
  <c r="EO253" i="90"/>
  <c r="FE253" i="90" s="1"/>
  <c r="DP250" i="90"/>
  <c r="EG250" i="90"/>
  <c r="DY254" i="90"/>
  <c r="EP254" i="90"/>
  <c r="FD254" i="90" s="1"/>
  <c r="DZ251" i="90"/>
  <c r="EQ251" i="90"/>
  <c r="FC251" i="90" s="1"/>
  <c r="EQ249" i="90"/>
  <c r="FC249" i="90" s="1"/>
  <c r="DZ249" i="90"/>
  <c r="EQ258" i="90"/>
  <c r="FC258" i="90" s="1"/>
  <c r="DZ258" i="90"/>
  <c r="EG257" i="90"/>
  <c r="DP257" i="90"/>
  <c r="EF255" i="90"/>
  <c r="DY250" i="90"/>
  <c r="EP250" i="90"/>
  <c r="FD250" i="90" s="1"/>
  <c r="EA255" i="90"/>
  <c r="EG253" i="90"/>
  <c r="DP253" i="90"/>
  <c r="DZ252" i="90"/>
  <c r="EG85" i="90"/>
  <c r="DP85" i="90"/>
  <c r="DQ85" i="90" s="1"/>
  <c r="DP121" i="90"/>
  <c r="EH121" i="90" s="1"/>
  <c r="EG121" i="90"/>
  <c r="DP66" i="90"/>
  <c r="EG66" i="90"/>
  <c r="EQ85" i="90"/>
  <c r="FC85" i="90" s="1"/>
  <c r="DZ85" i="90"/>
  <c r="EA85" i="90" s="1"/>
  <c r="ES85" i="90" s="1"/>
  <c r="FA85" i="90" s="1"/>
  <c r="EQ156" i="90"/>
  <c r="FC156" i="90" s="1"/>
  <c r="DZ156" i="90"/>
  <c r="DP64" i="90"/>
  <c r="EH64" i="90" s="1"/>
  <c r="EG64" i="90"/>
  <c r="EQ154" i="90"/>
  <c r="FC154" i="90" s="1"/>
  <c r="DZ154" i="90"/>
  <c r="ER152" i="90"/>
  <c r="FB152" i="90" s="1"/>
  <c r="EA152" i="90"/>
  <c r="EB152" i="90" s="1"/>
  <c r="DO114" i="90"/>
  <c r="EF114" i="90"/>
  <c r="DO93" i="90"/>
  <c r="EG93" i="90" s="1"/>
  <c r="EF93" i="90"/>
  <c r="DY204" i="90"/>
  <c r="EP204" i="90"/>
  <c r="FD204" i="90" s="1"/>
  <c r="EP72" i="90"/>
  <c r="FD72" i="90" s="1"/>
  <c r="EF88" i="90"/>
  <c r="EF85" i="90"/>
  <c r="EF82" i="90"/>
  <c r="EF77" i="90"/>
  <c r="EP194" i="90"/>
  <c r="FD194" i="90" s="1"/>
  <c r="EP192" i="90"/>
  <c r="FD192" i="90" s="1"/>
  <c r="EF187" i="90"/>
  <c r="EF179" i="90"/>
  <c r="EP176" i="90"/>
  <c r="FD176" i="90" s="1"/>
  <c r="EP173" i="90"/>
  <c r="FD173" i="90" s="1"/>
  <c r="EP171" i="90"/>
  <c r="FD171" i="90" s="1"/>
  <c r="EP170" i="90"/>
  <c r="FD170" i="90" s="1"/>
  <c r="EP168" i="90"/>
  <c r="FD168" i="90" s="1"/>
  <c r="EF157" i="90"/>
  <c r="EP154" i="90"/>
  <c r="FD154" i="90" s="1"/>
  <c r="EQ152" i="90"/>
  <c r="FC152" i="90" s="1"/>
  <c r="EF146" i="90"/>
  <c r="EP134" i="90"/>
  <c r="FD134" i="90" s="1"/>
  <c r="EP132" i="90"/>
  <c r="FD132" i="90" s="1"/>
  <c r="EP131" i="90"/>
  <c r="FD131" i="90" s="1"/>
  <c r="EP125" i="90"/>
  <c r="FD125" i="90" s="1"/>
  <c r="EP117" i="90"/>
  <c r="FD117" i="90" s="1"/>
  <c r="EF109" i="90"/>
  <c r="EO102" i="90"/>
  <c r="FE102" i="90" s="1"/>
  <c r="EA101" i="90"/>
  <c r="EB101" i="90" s="1"/>
  <c r="ER101" i="90"/>
  <c r="FB101" i="90" s="1"/>
  <c r="EF233" i="90"/>
  <c r="EP218" i="90"/>
  <c r="FD218" i="90" s="1"/>
  <c r="DO218" i="90"/>
  <c r="DP218" i="90" s="1"/>
  <c r="EF218" i="90"/>
  <c r="EQ214" i="90"/>
  <c r="FC214" i="90" s="1"/>
  <c r="DZ214" i="90"/>
  <c r="DO210" i="90"/>
  <c r="EG210" i="90" s="1"/>
  <c r="EF210" i="90"/>
  <c r="DY205" i="90"/>
  <c r="EQ205" i="90" s="1"/>
  <c r="FC205" i="90" s="1"/>
  <c r="EP205" i="90"/>
  <c r="FD205" i="90" s="1"/>
  <c r="EO70" i="90"/>
  <c r="FE70" i="90" s="1"/>
  <c r="EP69" i="90"/>
  <c r="FD69" i="90" s="1"/>
  <c r="EP64" i="90"/>
  <c r="FD64" i="90" s="1"/>
  <c r="EG84" i="90"/>
  <c r="EO78" i="90"/>
  <c r="FE78" i="90" s="1"/>
  <c r="EF76" i="90"/>
  <c r="EF174" i="90"/>
  <c r="EO171" i="90"/>
  <c r="FE171" i="90" s="1"/>
  <c r="EF166" i="90"/>
  <c r="EF159" i="90"/>
  <c r="EP144" i="90"/>
  <c r="FD144" i="90" s="1"/>
  <c r="EF133" i="90"/>
  <c r="EP124" i="90"/>
  <c r="FD124" i="90" s="1"/>
  <c r="EP121" i="90"/>
  <c r="FD121" i="90" s="1"/>
  <c r="EQ108" i="90"/>
  <c r="FC108" i="90" s="1"/>
  <c r="DZ108" i="90"/>
  <c r="EA108" i="90" s="1"/>
  <c r="EF98" i="90"/>
  <c r="DO90" i="90"/>
  <c r="EF90" i="90"/>
  <c r="DO230" i="90"/>
  <c r="EF230" i="90"/>
  <c r="EP226" i="90"/>
  <c r="FD226" i="90" s="1"/>
  <c r="EO69" i="90"/>
  <c r="FE69" i="90" s="1"/>
  <c r="DZ67" i="90"/>
  <c r="EA67" i="90" s="1"/>
  <c r="EP88" i="90"/>
  <c r="FD88" i="90" s="1"/>
  <c r="EP86" i="90"/>
  <c r="FD86" i="90" s="1"/>
  <c r="EP84" i="90"/>
  <c r="FD84" i="90" s="1"/>
  <c r="EF84" i="90"/>
  <c r="DQ84" i="90"/>
  <c r="EF83" i="90"/>
  <c r="EP81" i="90"/>
  <c r="FD81" i="90" s="1"/>
  <c r="EF80" i="90"/>
  <c r="DZ76" i="90"/>
  <c r="ER76" i="90" s="1"/>
  <c r="FB76" i="90" s="1"/>
  <c r="DQ76" i="90"/>
  <c r="EO74" i="90"/>
  <c r="FE74" i="90" s="1"/>
  <c r="DO203" i="90"/>
  <c r="DP203" i="90" s="1"/>
  <c r="EP202" i="90"/>
  <c r="FD202" i="90" s="1"/>
  <c r="DO201" i="90"/>
  <c r="EP200" i="90"/>
  <c r="FD200" i="90" s="1"/>
  <c r="DY199" i="90"/>
  <c r="DY197" i="90"/>
  <c r="DZ197" i="90" s="1"/>
  <c r="EP195" i="90"/>
  <c r="FD195" i="90" s="1"/>
  <c r="EP193" i="90"/>
  <c r="FD193" i="90" s="1"/>
  <c r="EP187" i="90"/>
  <c r="FD187" i="90" s="1"/>
  <c r="DO184" i="90"/>
  <c r="EG184" i="90" s="1"/>
  <c r="EO173" i="90"/>
  <c r="FE173" i="90" s="1"/>
  <c r="EF171" i="90"/>
  <c r="EP164" i="90"/>
  <c r="FD164" i="90" s="1"/>
  <c r="EP163" i="90"/>
  <c r="FD163" i="90" s="1"/>
  <c r="EF158" i="90"/>
  <c r="EF155" i="90"/>
  <c r="EG151" i="90"/>
  <c r="DO149" i="90"/>
  <c r="EG149" i="90" s="1"/>
  <c r="EF143" i="90"/>
  <c r="DZ134" i="90"/>
  <c r="EA134" i="90" s="1"/>
  <c r="EO132" i="90"/>
  <c r="FE132" i="90" s="1"/>
  <c r="DZ131" i="90"/>
  <c r="EA131" i="90" s="1"/>
  <c r="ES131" i="90" s="1"/>
  <c r="FA131" i="90" s="1"/>
  <c r="DP128" i="90"/>
  <c r="EF125" i="90"/>
  <c r="DP118" i="90"/>
  <c r="EH118" i="90" s="1"/>
  <c r="EG118" i="90"/>
  <c r="DO100" i="90"/>
  <c r="DO95" i="90"/>
  <c r="EF95" i="90"/>
  <c r="DO236" i="90"/>
  <c r="DP236" i="90" s="1"/>
  <c r="EF236" i="90"/>
  <c r="EO230" i="90"/>
  <c r="FE230" i="90" s="1"/>
  <c r="EP208" i="90"/>
  <c r="FD208" i="90" s="1"/>
  <c r="EP101" i="90"/>
  <c r="FD101" i="90" s="1"/>
  <c r="EP98" i="90"/>
  <c r="FD98" i="90" s="1"/>
  <c r="EP231" i="90"/>
  <c r="FD231" i="90" s="1"/>
  <c r="EP113" i="90"/>
  <c r="FD113" i="90" s="1"/>
  <c r="EP97" i="90"/>
  <c r="FD97" i="90" s="1"/>
  <c r="EF94" i="90"/>
  <c r="EP235" i="90"/>
  <c r="FD235" i="90" s="1"/>
  <c r="EP233" i="90"/>
  <c r="FD233" i="90" s="1"/>
  <c r="EP228" i="90"/>
  <c r="FD228" i="90" s="1"/>
  <c r="EF206" i="90"/>
  <c r="EQ69" i="90"/>
  <c r="FC69" i="90" s="1"/>
  <c r="DZ69" i="90"/>
  <c r="DP80" i="90"/>
  <c r="EG80" i="90"/>
  <c r="DP88" i="90"/>
  <c r="EG88" i="90"/>
  <c r="DP71" i="90"/>
  <c r="EG71" i="90"/>
  <c r="EG69" i="90"/>
  <c r="DP69" i="90"/>
  <c r="EG67" i="90"/>
  <c r="DP67" i="90"/>
  <c r="DO86" i="90"/>
  <c r="EF86" i="90"/>
  <c r="EO85" i="90"/>
  <c r="FE85" i="90" s="1"/>
  <c r="EP85" i="90"/>
  <c r="FD85" i="90" s="1"/>
  <c r="EP82" i="90"/>
  <c r="FD82" i="90" s="1"/>
  <c r="EO82" i="90"/>
  <c r="FE82" i="90" s="1"/>
  <c r="DP79" i="90"/>
  <c r="DQ79" i="90" s="1"/>
  <c r="EG79" i="90"/>
  <c r="EG203" i="90"/>
  <c r="DP199" i="90"/>
  <c r="EG199" i="90"/>
  <c r="EP196" i="90"/>
  <c r="FD196" i="90" s="1"/>
  <c r="EO196" i="90"/>
  <c r="FE196" i="90" s="1"/>
  <c r="DP195" i="90"/>
  <c r="EG195" i="90"/>
  <c r="DP191" i="90"/>
  <c r="EG191" i="90"/>
  <c r="EQ183" i="90"/>
  <c r="FC183" i="90" s="1"/>
  <c r="DZ183" i="90"/>
  <c r="EG182" i="90"/>
  <c r="DP182" i="90"/>
  <c r="DQ182" i="90" s="1"/>
  <c r="EQ181" i="90"/>
  <c r="FC181" i="90" s="1"/>
  <c r="DZ181" i="90"/>
  <c r="DP172" i="90"/>
  <c r="EH172" i="90" s="1"/>
  <c r="EG172" i="90"/>
  <c r="EP162" i="90"/>
  <c r="FD162" i="90" s="1"/>
  <c r="EO162" i="90"/>
  <c r="FE162" i="90" s="1"/>
  <c r="DZ159" i="90"/>
  <c r="EA159" i="90" s="1"/>
  <c r="EQ159" i="90"/>
  <c r="FC159" i="90" s="1"/>
  <c r="DP155" i="90"/>
  <c r="EG155" i="90"/>
  <c r="ES152" i="90"/>
  <c r="FA152" i="90" s="1"/>
  <c r="EP152" i="90"/>
  <c r="FD152" i="90" s="1"/>
  <c r="EO152" i="90"/>
  <c r="FE152" i="90" s="1"/>
  <c r="EG132" i="90"/>
  <c r="DP132" i="90"/>
  <c r="DY118" i="90"/>
  <c r="EP118" i="90"/>
  <c r="FD118" i="90" s="1"/>
  <c r="DZ205" i="90"/>
  <c r="ER205" i="90" s="1"/>
  <c r="FB205" i="90" s="1"/>
  <c r="EF70" i="90"/>
  <c r="EP87" i="90"/>
  <c r="FD87" i="90" s="1"/>
  <c r="EO87" i="90"/>
  <c r="FE87" i="90" s="1"/>
  <c r="ER81" i="90"/>
  <c r="FB81" i="90" s="1"/>
  <c r="EF79" i="90"/>
  <c r="EG74" i="90"/>
  <c r="DP74" i="90"/>
  <c r="DZ203" i="90"/>
  <c r="EQ203" i="90"/>
  <c r="FC203" i="90" s="1"/>
  <c r="EQ202" i="90"/>
  <c r="FC202" i="90" s="1"/>
  <c r="DZ202" i="90"/>
  <c r="DZ199" i="90"/>
  <c r="EQ199" i="90"/>
  <c r="FC199" i="90" s="1"/>
  <c r="EQ198" i="90"/>
  <c r="FC198" i="90" s="1"/>
  <c r="DZ198" i="90"/>
  <c r="DZ195" i="90"/>
  <c r="EQ195" i="90"/>
  <c r="FC195" i="90" s="1"/>
  <c r="EQ194" i="90"/>
  <c r="FC194" i="90" s="1"/>
  <c r="DZ194" i="90"/>
  <c r="DZ191" i="90"/>
  <c r="EQ191" i="90"/>
  <c r="FC191" i="90" s="1"/>
  <c r="EQ190" i="90"/>
  <c r="FC190" i="90" s="1"/>
  <c r="DZ190" i="90"/>
  <c r="DP189" i="90"/>
  <c r="EG189" i="90"/>
  <c r="EH187" i="90"/>
  <c r="DQ187" i="90"/>
  <c r="EG186" i="90"/>
  <c r="DP186" i="90"/>
  <c r="EQ185" i="90"/>
  <c r="FC185" i="90" s="1"/>
  <c r="DZ185" i="90"/>
  <c r="EQ158" i="90"/>
  <c r="FC158" i="90" s="1"/>
  <c r="DZ158" i="90"/>
  <c r="EA158" i="90" s="1"/>
  <c r="EB158" i="90" s="1"/>
  <c r="EC158" i="90" s="1"/>
  <c r="DP153" i="90"/>
  <c r="EG153" i="90"/>
  <c r="DP149" i="90"/>
  <c r="DO147" i="90"/>
  <c r="EF147" i="90"/>
  <c r="DZ146" i="90"/>
  <c r="EQ146" i="90"/>
  <c r="FC146" i="90" s="1"/>
  <c r="EO142" i="90"/>
  <c r="FE142" i="90" s="1"/>
  <c r="EP142" i="90"/>
  <c r="FD142" i="90" s="1"/>
  <c r="DY115" i="90"/>
  <c r="EP115" i="90"/>
  <c r="FD115" i="90" s="1"/>
  <c r="DZ112" i="90"/>
  <c r="EQ112" i="90"/>
  <c r="FC112" i="90" s="1"/>
  <c r="ER108" i="90"/>
  <c r="FB108" i="90" s="1"/>
  <c r="EP71" i="90"/>
  <c r="FD71" i="90" s="1"/>
  <c r="EF71" i="90"/>
  <c r="DZ84" i="90"/>
  <c r="EG83" i="90"/>
  <c r="EF78" i="90"/>
  <c r="DP201" i="90"/>
  <c r="EG201" i="90"/>
  <c r="EP198" i="90"/>
  <c r="FD198" i="90" s="1"/>
  <c r="EO198" i="90"/>
  <c r="FE198" i="90" s="1"/>
  <c r="DP197" i="90"/>
  <c r="EG197" i="90"/>
  <c r="EP190" i="90"/>
  <c r="FD190" i="90" s="1"/>
  <c r="EO190" i="90"/>
  <c r="FE190" i="90" s="1"/>
  <c r="EF189" i="90"/>
  <c r="EQ186" i="90"/>
  <c r="FC186" i="90" s="1"/>
  <c r="DZ186" i="90"/>
  <c r="EQ177" i="90"/>
  <c r="FC177" i="90" s="1"/>
  <c r="DZ177" i="90"/>
  <c r="EA177" i="90" s="1"/>
  <c r="EQ175" i="90"/>
  <c r="FC175" i="90" s="1"/>
  <c r="DZ175" i="90"/>
  <c r="EA175" i="90" s="1"/>
  <c r="ES175" i="90" s="1"/>
  <c r="FA175" i="90" s="1"/>
  <c r="EF165" i="90"/>
  <c r="EQ162" i="90"/>
  <c r="FC162" i="90" s="1"/>
  <c r="EQ160" i="90"/>
  <c r="FC160" i="90" s="1"/>
  <c r="DZ160" i="90"/>
  <c r="EA160" i="90" s="1"/>
  <c r="EP158" i="90"/>
  <c r="FD158" i="90" s="1"/>
  <c r="EO158" i="90"/>
  <c r="FE158" i="90" s="1"/>
  <c r="DZ151" i="90"/>
  <c r="EQ151" i="90"/>
  <c r="FC151" i="90" s="1"/>
  <c r="DO150" i="90"/>
  <c r="EG150" i="90" s="1"/>
  <c r="EF150" i="90"/>
  <c r="DZ149" i="90"/>
  <c r="EQ149" i="90"/>
  <c r="FC149" i="90" s="1"/>
  <c r="DY126" i="90"/>
  <c r="EP126" i="90"/>
  <c r="FD126" i="90" s="1"/>
  <c r="DO81" i="90"/>
  <c r="DZ78" i="90"/>
  <c r="EG78" i="90"/>
  <c r="DP78" i="90"/>
  <c r="ER74" i="90"/>
  <c r="FB74" i="90" s="1"/>
  <c r="EQ200" i="90"/>
  <c r="FC200" i="90" s="1"/>
  <c r="DZ200" i="90"/>
  <c r="EQ197" i="90"/>
  <c r="FC197" i="90" s="1"/>
  <c r="EQ196" i="90"/>
  <c r="FC196" i="90" s="1"/>
  <c r="DZ196" i="90"/>
  <c r="DZ193" i="90"/>
  <c r="EQ193" i="90"/>
  <c r="FC193" i="90" s="1"/>
  <c r="EQ192" i="90"/>
  <c r="FC192" i="90" s="1"/>
  <c r="DZ192" i="90"/>
  <c r="DZ189" i="90"/>
  <c r="EQ189" i="90"/>
  <c r="FC189" i="90" s="1"/>
  <c r="EQ179" i="90"/>
  <c r="FC179" i="90" s="1"/>
  <c r="DZ179" i="90"/>
  <c r="EG178" i="90"/>
  <c r="DP178" i="90"/>
  <c r="DQ178" i="90" s="1"/>
  <c r="DR178" i="90" s="1"/>
  <c r="DO173" i="90"/>
  <c r="EF173" i="90"/>
  <c r="EQ169" i="90"/>
  <c r="FC169" i="90" s="1"/>
  <c r="DZ169" i="90"/>
  <c r="EA169" i="90" s="1"/>
  <c r="EB169" i="90" s="1"/>
  <c r="EQ167" i="90"/>
  <c r="FC167" i="90" s="1"/>
  <c r="DZ167" i="90"/>
  <c r="EA167" i="90" s="1"/>
  <c r="DO161" i="90"/>
  <c r="EF161" i="90"/>
  <c r="EP160" i="90"/>
  <c r="FD160" i="90" s="1"/>
  <c r="EO160" i="90"/>
  <c r="FE160" i="90" s="1"/>
  <c r="DY157" i="90"/>
  <c r="EP157" i="90"/>
  <c r="FD157" i="90" s="1"/>
  <c r="EA156" i="90"/>
  <c r="ER156" i="90"/>
  <c r="FB156" i="90" s="1"/>
  <c r="DY147" i="90"/>
  <c r="EP147" i="90"/>
  <c r="FD147" i="90" s="1"/>
  <c r="EQ124" i="90"/>
  <c r="FC124" i="90" s="1"/>
  <c r="DZ124" i="90"/>
  <c r="EP183" i="90"/>
  <c r="FD183" i="90" s="1"/>
  <c r="EP181" i="90"/>
  <c r="FD181" i="90" s="1"/>
  <c r="EP179" i="90"/>
  <c r="FD179" i="90" s="1"/>
  <c r="EP177" i="90"/>
  <c r="FD177" i="90" s="1"/>
  <c r="EP175" i="90"/>
  <c r="FD175" i="90" s="1"/>
  <c r="EP169" i="90"/>
  <c r="FD169" i="90" s="1"/>
  <c r="EP167" i="90"/>
  <c r="FD167" i="90" s="1"/>
  <c r="DO141" i="90"/>
  <c r="EF141" i="90"/>
  <c r="DY138" i="90"/>
  <c r="EP138" i="90"/>
  <c r="FD138" i="90" s="1"/>
  <c r="DO136" i="90"/>
  <c r="EF136" i="90"/>
  <c r="DY130" i="90"/>
  <c r="EP130" i="90"/>
  <c r="FD130" i="90" s="1"/>
  <c r="DR120" i="90"/>
  <c r="EJ120" i="90" s="1"/>
  <c r="EI120" i="90"/>
  <c r="EF116" i="90"/>
  <c r="DZ232" i="90"/>
  <c r="ER232" i="90" s="1"/>
  <c r="FB232" i="90" s="1"/>
  <c r="EQ232" i="90"/>
  <c r="FC232" i="90" s="1"/>
  <c r="DZ207" i="90"/>
  <c r="EQ207" i="90"/>
  <c r="FC207" i="90" s="1"/>
  <c r="DZ171" i="90"/>
  <c r="EP165" i="90"/>
  <c r="FD165" i="90" s="1"/>
  <c r="EF153" i="90"/>
  <c r="EF148" i="90"/>
  <c r="DP145" i="90"/>
  <c r="EQ144" i="90"/>
  <c r="FC144" i="90" s="1"/>
  <c r="DZ144" i="90"/>
  <c r="EG143" i="90"/>
  <c r="EP137" i="90"/>
  <c r="FD137" i="90" s="1"/>
  <c r="DP137" i="90"/>
  <c r="EG137" i="90"/>
  <c r="EH135" i="90"/>
  <c r="DQ135" i="90"/>
  <c r="EP133" i="90"/>
  <c r="FD133" i="90" s="1"/>
  <c r="DQ128" i="90"/>
  <c r="EH128" i="90"/>
  <c r="EH126" i="90"/>
  <c r="DQ126" i="90"/>
  <c r="DR126" i="90" s="1"/>
  <c r="EO124" i="90"/>
  <c r="FE124" i="90" s="1"/>
  <c r="EG124" i="90"/>
  <c r="DP124" i="90"/>
  <c r="EG116" i="90"/>
  <c r="DP116" i="90"/>
  <c r="EP103" i="90"/>
  <c r="FD103" i="90" s="1"/>
  <c r="DY103" i="90"/>
  <c r="EP83" i="90"/>
  <c r="FD83" i="90" s="1"/>
  <c r="EF202" i="90"/>
  <c r="EF200" i="90"/>
  <c r="EF194" i="90"/>
  <c r="EF192" i="90"/>
  <c r="EP188" i="90"/>
  <c r="FD188" i="90" s="1"/>
  <c r="EQ164" i="90"/>
  <c r="FC164" i="90" s="1"/>
  <c r="EP151" i="90"/>
  <c r="FD151" i="90" s="1"/>
  <c r="EP150" i="90"/>
  <c r="FD150" i="90" s="1"/>
  <c r="EO150" i="90"/>
  <c r="FE150" i="90" s="1"/>
  <c r="EH143" i="90"/>
  <c r="DQ143" i="90"/>
  <c r="DR143" i="90" s="1"/>
  <c r="DP140" i="90"/>
  <c r="EG140" i="90"/>
  <c r="DO134" i="90"/>
  <c r="EG134" i="90" s="1"/>
  <c r="EF134" i="90"/>
  <c r="DP133" i="90"/>
  <c r="DQ133" i="90" s="1"/>
  <c r="EG133" i="90"/>
  <c r="DO130" i="90"/>
  <c r="EF130" i="90"/>
  <c r="DP125" i="90"/>
  <c r="EH125" i="90" s="1"/>
  <c r="EG125" i="90"/>
  <c r="EF124" i="90"/>
  <c r="EH120" i="90"/>
  <c r="DP117" i="90"/>
  <c r="EG117" i="90"/>
  <c r="EP107" i="90"/>
  <c r="FD107" i="90" s="1"/>
  <c r="DZ234" i="90"/>
  <c r="EQ234" i="90"/>
  <c r="FC234" i="90" s="1"/>
  <c r="EA214" i="90"/>
  <c r="ER214" i="90"/>
  <c r="FB214" i="90" s="1"/>
  <c r="EF132" i="90"/>
  <c r="EP110" i="90"/>
  <c r="FD110" i="90" s="1"/>
  <c r="EO110" i="90"/>
  <c r="FE110" i="90" s="1"/>
  <c r="DZ104" i="90"/>
  <c r="EQ104" i="90"/>
  <c r="FC104" i="90" s="1"/>
  <c r="DO101" i="90"/>
  <c r="EG101" i="90" s="1"/>
  <c r="EF101" i="90"/>
  <c r="DZ98" i="90"/>
  <c r="ER98" i="90" s="1"/>
  <c r="FB98" i="90" s="1"/>
  <c r="EQ98" i="90"/>
  <c r="FC98" i="90" s="1"/>
  <c r="DY93" i="90"/>
  <c r="EQ93" i="90" s="1"/>
  <c r="FC93" i="90" s="1"/>
  <c r="EP93" i="90"/>
  <c r="FD93" i="90" s="1"/>
  <c r="DZ229" i="90"/>
  <c r="ER229" i="90" s="1"/>
  <c r="FB229" i="90" s="1"/>
  <c r="EQ229" i="90"/>
  <c r="FC229" i="90" s="1"/>
  <c r="EQ223" i="90"/>
  <c r="FC223" i="90" s="1"/>
  <c r="DZ222" i="90"/>
  <c r="ER222" i="90" s="1"/>
  <c r="FB222" i="90" s="1"/>
  <c r="EQ222" i="90"/>
  <c r="FC222" i="90" s="1"/>
  <c r="DO219" i="90"/>
  <c r="DP219" i="90" s="1"/>
  <c r="EF219" i="90"/>
  <c r="DQ218" i="90"/>
  <c r="EI218" i="90" s="1"/>
  <c r="EH218" i="90"/>
  <c r="EG213" i="90"/>
  <c r="EP146" i="90"/>
  <c r="FD146" i="90" s="1"/>
  <c r="DZ142" i="90"/>
  <c r="DZ137" i="90"/>
  <c r="EA137" i="90" s="1"/>
  <c r="DZ136" i="90"/>
  <c r="ER136" i="90" s="1"/>
  <c r="FB136" i="90" s="1"/>
  <c r="EF135" i="90"/>
  <c r="DZ132" i="90"/>
  <c r="ER132" i="90" s="1"/>
  <c r="FB132" i="90" s="1"/>
  <c r="EP109" i="90"/>
  <c r="FD109" i="90" s="1"/>
  <c r="DP107" i="90"/>
  <c r="EH107" i="90" s="1"/>
  <c r="EG107" i="90"/>
  <c r="EP104" i="90"/>
  <c r="FD104" i="90" s="1"/>
  <c r="EO104" i="90"/>
  <c r="FE104" i="90" s="1"/>
  <c r="EF103" i="90"/>
  <c r="DO103" i="90"/>
  <c r="EP89" i="90"/>
  <c r="FD89" i="90" s="1"/>
  <c r="EO233" i="90"/>
  <c r="FE233" i="90" s="1"/>
  <c r="DZ230" i="90"/>
  <c r="EA230" i="90" s="1"/>
  <c r="EQ230" i="90"/>
  <c r="FC230" i="90" s="1"/>
  <c r="EQ227" i="90"/>
  <c r="FC227" i="90" s="1"/>
  <c r="DP226" i="90"/>
  <c r="DQ226" i="90" s="1"/>
  <c r="EQ224" i="90"/>
  <c r="FC224" i="90" s="1"/>
  <c r="DZ221" i="90"/>
  <c r="ER221" i="90" s="1"/>
  <c r="FB221" i="90" s="1"/>
  <c r="EQ221" i="90"/>
  <c r="FC221" i="90" s="1"/>
  <c r="DY215" i="90"/>
  <c r="EP215" i="90"/>
  <c r="FD215" i="90" s="1"/>
  <c r="EQ113" i="90"/>
  <c r="FC113" i="90" s="1"/>
  <c r="EQ111" i="90"/>
  <c r="FC111" i="90" s="1"/>
  <c r="EP99" i="90"/>
  <c r="FD99" i="90" s="1"/>
  <c r="EO99" i="90"/>
  <c r="FE99" i="90" s="1"/>
  <c r="EO98" i="90"/>
  <c r="FE98" i="90" s="1"/>
  <c r="DZ236" i="90"/>
  <c r="ER236" i="90" s="1"/>
  <c r="FB236" i="90" s="1"/>
  <c r="EQ236" i="90"/>
  <c r="FC236" i="90" s="1"/>
  <c r="ER224" i="90"/>
  <c r="FB224" i="90" s="1"/>
  <c r="EA224" i="90"/>
  <c r="ER223" i="90"/>
  <c r="FB223" i="90" s="1"/>
  <c r="EA223" i="90"/>
  <c r="EB223" i="90" s="1"/>
  <c r="ET223" i="90" s="1"/>
  <c r="EZ223" i="90" s="1"/>
  <c r="DP208" i="90"/>
  <c r="DQ208" i="90" s="1"/>
  <c r="DR208" i="90" s="1"/>
  <c r="EG208" i="90"/>
  <c r="EP236" i="90"/>
  <c r="FD236" i="90" s="1"/>
  <c r="EP232" i="90"/>
  <c r="FD232" i="90" s="1"/>
  <c r="EP227" i="90"/>
  <c r="FD227" i="90" s="1"/>
  <c r="EP225" i="90"/>
  <c r="FD225" i="90" s="1"/>
  <c r="EF224" i="90"/>
  <c r="EP223" i="90"/>
  <c r="FD223" i="90" s="1"/>
  <c r="EF215" i="90"/>
  <c r="EP209" i="90"/>
  <c r="FD209" i="90" s="1"/>
  <c r="EO207" i="90"/>
  <c r="FE207" i="90" s="1"/>
  <c r="DP207" i="90"/>
  <c r="EP206" i="90"/>
  <c r="FD206" i="90" s="1"/>
  <c r="EP106" i="90"/>
  <c r="FD106" i="90" s="1"/>
  <c r="EO101" i="90"/>
  <c r="FE101" i="90" s="1"/>
  <c r="EP100" i="90"/>
  <c r="FD100" i="90" s="1"/>
  <c r="EF99" i="90"/>
  <c r="EP96" i="90"/>
  <c r="FD96" i="90" s="1"/>
  <c r="DZ96" i="90"/>
  <c r="EA96" i="90" s="1"/>
  <c r="EP90" i="90"/>
  <c r="FD90" i="90" s="1"/>
  <c r="DZ90" i="90"/>
  <c r="EF234" i="90"/>
  <c r="EP234" i="90"/>
  <c r="FD234" i="90" s="1"/>
  <c r="EQ231" i="90"/>
  <c r="FC231" i="90" s="1"/>
  <c r="EP229" i="90"/>
  <c r="FD229" i="90" s="1"/>
  <c r="EQ228" i="90"/>
  <c r="FC228" i="90" s="1"/>
  <c r="EO226" i="90"/>
  <c r="FE226" i="90" s="1"/>
  <c r="EP224" i="90"/>
  <c r="FD224" i="90" s="1"/>
  <c r="EP222" i="90"/>
  <c r="FD222" i="90" s="1"/>
  <c r="EQ220" i="90"/>
  <c r="FC220" i="90" s="1"/>
  <c r="EP220" i="90"/>
  <c r="FD220" i="90" s="1"/>
  <c r="EO219" i="90"/>
  <c r="FE219" i="90" s="1"/>
  <c r="EP217" i="90"/>
  <c r="FD217" i="90" s="1"/>
  <c r="EF214" i="90"/>
  <c r="EP214" i="90"/>
  <c r="FD214" i="90" s="1"/>
  <c r="EP212" i="90"/>
  <c r="FD212" i="90" s="1"/>
  <c r="EF209" i="90"/>
  <c r="DP209" i="90"/>
  <c r="EH209" i="90" s="1"/>
  <c r="EF208" i="90"/>
  <c r="EF205" i="90"/>
  <c r="EG231" i="90"/>
  <c r="DP231" i="90"/>
  <c r="EG228" i="90"/>
  <c r="DP228" i="90"/>
  <c r="ER235" i="90"/>
  <c r="FB235" i="90" s="1"/>
  <c r="EA235" i="90"/>
  <c r="ER233" i="90"/>
  <c r="FB233" i="90" s="1"/>
  <c r="EA233" i="90"/>
  <c r="EG233" i="90"/>
  <c r="DP233" i="90"/>
  <c r="ER231" i="90"/>
  <c r="FB231" i="90" s="1"/>
  <c r="EA231" i="90"/>
  <c r="EG230" i="90"/>
  <c r="DP230" i="90"/>
  <c r="ER228" i="90"/>
  <c r="FB228" i="90" s="1"/>
  <c r="EA228" i="90"/>
  <c r="EB226" i="90"/>
  <c r="ES226" i="90"/>
  <c r="FA226" i="90" s="1"/>
  <c r="EO236" i="90"/>
  <c r="FE236" i="90" s="1"/>
  <c r="EO234" i="90"/>
  <c r="FE234" i="90" s="1"/>
  <c r="EG234" i="90"/>
  <c r="DP234" i="90"/>
  <c r="EG232" i="90"/>
  <c r="DP232" i="90"/>
  <c r="ER230" i="90"/>
  <c r="FB230" i="90" s="1"/>
  <c r="EG227" i="90"/>
  <c r="DP227" i="90"/>
  <c r="EQ235" i="90"/>
  <c r="FC235" i="90" s="1"/>
  <c r="EQ233" i="90"/>
  <c r="FC233" i="90" s="1"/>
  <c r="EG229" i="90"/>
  <c r="DP229" i="90"/>
  <c r="ER227" i="90"/>
  <c r="FB227" i="90" s="1"/>
  <c r="EA227" i="90"/>
  <c r="EG224" i="90"/>
  <c r="DP224" i="90"/>
  <c r="DO225" i="90"/>
  <c r="EF225" i="90"/>
  <c r="ET219" i="90"/>
  <c r="EZ219" i="90" s="1"/>
  <c r="EC219" i="90"/>
  <c r="DZ218" i="90"/>
  <c r="EQ218" i="90"/>
  <c r="FC218" i="90" s="1"/>
  <c r="DY216" i="90"/>
  <c r="EP216" i="90"/>
  <c r="FD216" i="90" s="1"/>
  <c r="EQ225" i="90"/>
  <c r="FC225" i="90" s="1"/>
  <c r="EA225" i="90"/>
  <c r="EF222" i="90"/>
  <c r="DY210" i="90"/>
  <c r="EP210" i="90"/>
  <c r="FD210" i="90" s="1"/>
  <c r="ER226" i="90"/>
  <c r="FB226" i="90" s="1"/>
  <c r="EO225" i="90"/>
  <c r="FE225" i="90" s="1"/>
  <c r="EP221" i="90"/>
  <c r="FD221" i="90" s="1"/>
  <c r="EO221" i="90"/>
  <c r="FE221" i="90" s="1"/>
  <c r="ES219" i="90"/>
  <c r="FA219" i="90" s="1"/>
  <c r="EQ226" i="90"/>
  <c r="FC226" i="90" s="1"/>
  <c r="EO224" i="90"/>
  <c r="FE224" i="90" s="1"/>
  <c r="DO223" i="90"/>
  <c r="EF223" i="90"/>
  <c r="DP222" i="90"/>
  <c r="EA221" i="90"/>
  <c r="DP220" i="90"/>
  <c r="EG220" i="90"/>
  <c r="EF221" i="90"/>
  <c r="DP221" i="90"/>
  <c r="ER219" i="90"/>
  <c r="FB219" i="90" s="1"/>
  <c r="EG218" i="90"/>
  <c r="DZ217" i="90"/>
  <c r="EQ217" i="90"/>
  <c r="FC217" i="90" s="1"/>
  <c r="DP217" i="90"/>
  <c r="EG217" i="90"/>
  <c r="DZ213" i="90"/>
  <c r="EQ213" i="90"/>
  <c r="FC213" i="90" s="1"/>
  <c r="EQ212" i="90"/>
  <c r="FC212" i="90" s="1"/>
  <c r="DZ212" i="90"/>
  <c r="DZ211" i="90"/>
  <c r="EQ211" i="90"/>
  <c r="FC211" i="90" s="1"/>
  <c r="DZ209" i="90"/>
  <c r="EQ209" i="90"/>
  <c r="FC209" i="90" s="1"/>
  <c r="ER220" i="90"/>
  <c r="FB220" i="90" s="1"/>
  <c r="EA220" i="90"/>
  <c r="DP215" i="90"/>
  <c r="EG215" i="90"/>
  <c r="EG212" i="90"/>
  <c r="DP212" i="90"/>
  <c r="DZ208" i="90"/>
  <c r="EQ208" i="90"/>
  <c r="FC208" i="90" s="1"/>
  <c r="DP204" i="90"/>
  <c r="EG204" i="90"/>
  <c r="DO211" i="90"/>
  <c r="EF211" i="90"/>
  <c r="EG214" i="90"/>
  <c r="DP214" i="90"/>
  <c r="DP206" i="90"/>
  <c r="EG206" i="90"/>
  <c r="EO209" i="90"/>
  <c r="FE209" i="90" s="1"/>
  <c r="EQ204" i="90"/>
  <c r="FC204" i="90" s="1"/>
  <c r="DZ204" i="90"/>
  <c r="EQ206" i="90"/>
  <c r="FC206" i="90" s="1"/>
  <c r="DZ206" i="90"/>
  <c r="EG205" i="90"/>
  <c r="DP205" i="90"/>
  <c r="ER199" i="90"/>
  <c r="FB199" i="90" s="1"/>
  <c r="EA199" i="90"/>
  <c r="EG198" i="90"/>
  <c r="DP198" i="90"/>
  <c r="ER191" i="90"/>
  <c r="FB191" i="90" s="1"/>
  <c r="EA191" i="90"/>
  <c r="EG190" i="90"/>
  <c r="DP190" i="90"/>
  <c r="DZ188" i="90"/>
  <c r="EQ188" i="90"/>
  <c r="FC188" i="90" s="1"/>
  <c r="DP188" i="90"/>
  <c r="EG188" i="90"/>
  <c r="EA186" i="90"/>
  <c r="ER186" i="90"/>
  <c r="FB186" i="90" s="1"/>
  <c r="EP185" i="90"/>
  <c r="FD185" i="90" s="1"/>
  <c r="EO185" i="90"/>
  <c r="FE185" i="90" s="1"/>
  <c r="DZ182" i="90"/>
  <c r="EQ182" i="90"/>
  <c r="FC182" i="90" s="1"/>
  <c r="DZ178" i="90"/>
  <c r="EQ178" i="90"/>
  <c r="FC178" i="90" s="1"/>
  <c r="EO202" i="90"/>
  <c r="FE202" i="90" s="1"/>
  <c r="EF198" i="90"/>
  <c r="EG196" i="90"/>
  <c r="DP196" i="90"/>
  <c r="EO194" i="90"/>
  <c r="FE194" i="90" s="1"/>
  <c r="EF190" i="90"/>
  <c r="DQ186" i="90"/>
  <c r="EH186" i="90"/>
  <c r="DO185" i="90"/>
  <c r="EF185" i="90"/>
  <c r="ER203" i="90"/>
  <c r="FB203" i="90" s="1"/>
  <c r="EA203" i="90"/>
  <c r="EG202" i="90"/>
  <c r="DP202" i="90"/>
  <c r="EO200" i="90"/>
  <c r="FE200" i="90" s="1"/>
  <c r="EF196" i="90"/>
  <c r="ER195" i="90"/>
  <c r="FB195" i="90" s="1"/>
  <c r="EA195" i="90"/>
  <c r="EG194" i="90"/>
  <c r="DP194" i="90"/>
  <c r="EO192" i="90"/>
  <c r="FE192" i="90" s="1"/>
  <c r="EO189" i="90"/>
  <c r="FE189" i="90" s="1"/>
  <c r="EP189" i="90"/>
  <c r="FD189" i="90" s="1"/>
  <c r="EG200" i="90"/>
  <c r="DP200" i="90"/>
  <c r="ER193" i="90"/>
  <c r="FB193" i="90" s="1"/>
  <c r="EA193" i="90"/>
  <c r="EG192" i="90"/>
  <c r="DP192" i="90"/>
  <c r="EQ187" i="90"/>
  <c r="FC187" i="90" s="1"/>
  <c r="DZ187" i="90"/>
  <c r="EI182" i="90"/>
  <c r="DR182" i="90"/>
  <c r="EG181" i="90"/>
  <c r="DP181" i="90"/>
  <c r="EH174" i="90"/>
  <c r="DQ174" i="90"/>
  <c r="EG173" i="90"/>
  <c r="DP173" i="90"/>
  <c r="EQ172" i="90"/>
  <c r="FC172" i="90" s="1"/>
  <c r="DZ172" i="90"/>
  <c r="ES167" i="90"/>
  <c r="FA167" i="90" s="1"/>
  <c r="EB167" i="90"/>
  <c r="EH166" i="90"/>
  <c r="DQ166" i="90"/>
  <c r="DQ163" i="90"/>
  <c r="EH163" i="90"/>
  <c r="ER162" i="90"/>
  <c r="FB162" i="90" s="1"/>
  <c r="EA162" i="90"/>
  <c r="EI157" i="90"/>
  <c r="DR157" i="90"/>
  <c r="EB156" i="90"/>
  <c r="ES156" i="90"/>
  <c r="FA156" i="90" s="1"/>
  <c r="EP156" i="90"/>
  <c r="FD156" i="90" s="1"/>
  <c r="EO156" i="90"/>
  <c r="FE156" i="90" s="1"/>
  <c r="DZ155" i="90"/>
  <c r="EQ155" i="90"/>
  <c r="FC155" i="90" s="1"/>
  <c r="DQ155" i="90"/>
  <c r="EH155" i="90"/>
  <c r="ER145" i="90"/>
  <c r="FB145" i="90" s="1"/>
  <c r="EA145" i="90"/>
  <c r="DP138" i="90"/>
  <c r="EG138" i="90"/>
  <c r="DY119" i="90"/>
  <c r="EP119" i="90"/>
  <c r="FD119" i="90" s="1"/>
  <c r="ER184" i="90"/>
  <c r="FB184" i="90" s="1"/>
  <c r="EA184" i="90"/>
  <c r="ER180" i="90"/>
  <c r="FB180" i="90" s="1"/>
  <c r="EA180" i="90"/>
  <c r="ES177" i="90"/>
  <c r="FA177" i="90" s="1"/>
  <c r="EB177" i="90"/>
  <c r="EH176" i="90"/>
  <c r="DQ176" i="90"/>
  <c r="EG175" i="90"/>
  <c r="DP175" i="90"/>
  <c r="EQ174" i="90"/>
  <c r="FC174" i="90" s="1"/>
  <c r="DZ174" i="90"/>
  <c r="EH168" i="90"/>
  <c r="DQ168" i="90"/>
  <c r="EG167" i="90"/>
  <c r="DP167" i="90"/>
  <c r="EQ166" i="90"/>
  <c r="FC166" i="90" s="1"/>
  <c r="DZ166" i="90"/>
  <c r="DQ165" i="90"/>
  <c r="EH165" i="90"/>
  <c r="ER164" i="90"/>
  <c r="FB164" i="90" s="1"/>
  <c r="EA164" i="90"/>
  <c r="DZ163" i="90"/>
  <c r="EQ163" i="90"/>
  <c r="FC163" i="90" s="1"/>
  <c r="DP159" i="90"/>
  <c r="EG159" i="90"/>
  <c r="DZ157" i="90"/>
  <c r="EQ157" i="90"/>
  <c r="FC157" i="90" s="1"/>
  <c r="DO156" i="90"/>
  <c r="EF156" i="90"/>
  <c r="DQ153" i="90"/>
  <c r="EH153" i="90"/>
  <c r="DO152" i="90"/>
  <c r="EF152" i="90"/>
  <c r="EI139" i="90"/>
  <c r="EG183" i="90"/>
  <c r="DP183" i="90"/>
  <c r="EP182" i="90"/>
  <c r="FD182" i="90" s="1"/>
  <c r="EH182" i="90"/>
  <c r="EG179" i="90"/>
  <c r="DP179" i="90"/>
  <c r="EP178" i="90"/>
  <c r="FD178" i="90" s="1"/>
  <c r="EH178" i="90"/>
  <c r="EG177" i="90"/>
  <c r="DP177" i="90"/>
  <c r="EQ176" i="90"/>
  <c r="FC176" i="90" s="1"/>
  <c r="DZ176" i="90"/>
  <c r="EG174" i="90"/>
  <c r="EP172" i="90"/>
  <c r="FD172" i="90" s="1"/>
  <c r="EH170" i="90"/>
  <c r="EG169" i="90"/>
  <c r="DP169" i="90"/>
  <c r="EQ168" i="90"/>
  <c r="FC168" i="90" s="1"/>
  <c r="DZ168" i="90"/>
  <c r="ER167" i="90"/>
  <c r="FB167" i="90" s="1"/>
  <c r="EG166" i="90"/>
  <c r="DZ165" i="90"/>
  <c r="EQ165" i="90"/>
  <c r="FC165" i="90" s="1"/>
  <c r="EG163" i="90"/>
  <c r="EH157" i="90"/>
  <c r="EP148" i="90"/>
  <c r="FD148" i="90" s="1"/>
  <c r="EO148" i="90"/>
  <c r="FE148" i="90" s="1"/>
  <c r="EQ145" i="90"/>
  <c r="FC145" i="90" s="1"/>
  <c r="EQ184" i="90"/>
  <c r="FC184" i="90" s="1"/>
  <c r="EO181" i="90"/>
  <c r="FE181" i="90" s="1"/>
  <c r="EF181" i="90"/>
  <c r="EQ180" i="90"/>
  <c r="FC180" i="90" s="1"/>
  <c r="ER177" i="90"/>
  <c r="FB177" i="90" s="1"/>
  <c r="EG176" i="90"/>
  <c r="EP174" i="90"/>
  <c r="FD174" i="90" s="1"/>
  <c r="DZ173" i="90"/>
  <c r="DQ172" i="90"/>
  <c r="EG171" i="90"/>
  <c r="DP171" i="90"/>
  <c r="EQ170" i="90"/>
  <c r="FC170" i="90" s="1"/>
  <c r="DZ170" i="90"/>
  <c r="EG168" i="90"/>
  <c r="EP166" i="90"/>
  <c r="FD166" i="90" s="1"/>
  <c r="EG165" i="90"/>
  <c r="DY161" i="90"/>
  <c r="EP161" i="90"/>
  <c r="FD161" i="90" s="1"/>
  <c r="EB160" i="90"/>
  <c r="ES160" i="90"/>
  <c r="FA160" i="90" s="1"/>
  <c r="ER159" i="90"/>
  <c r="FB159" i="90" s="1"/>
  <c r="EA154" i="90"/>
  <c r="ER154" i="90"/>
  <c r="FB154" i="90" s="1"/>
  <c r="DY153" i="90"/>
  <c r="EP153" i="90"/>
  <c r="FD153" i="90" s="1"/>
  <c r="DO144" i="90"/>
  <c r="EF144" i="90"/>
  <c r="EP159" i="90"/>
  <c r="FD159" i="90" s="1"/>
  <c r="EG158" i="90"/>
  <c r="DP158" i="90"/>
  <c r="EG157" i="90"/>
  <c r="EO154" i="90"/>
  <c r="FE154" i="90" s="1"/>
  <c r="EF154" i="90"/>
  <c r="ER151" i="90"/>
  <c r="FB151" i="90" s="1"/>
  <c r="EA151" i="90"/>
  <c r="EI151" i="90"/>
  <c r="DR151" i="90"/>
  <c r="DP142" i="90"/>
  <c r="EG142" i="90"/>
  <c r="EA140" i="90"/>
  <c r="ER140" i="90"/>
  <c r="FB140" i="90" s="1"/>
  <c r="DY135" i="90"/>
  <c r="EP135" i="90"/>
  <c r="FD135" i="90" s="1"/>
  <c r="DP129" i="90"/>
  <c r="EG129" i="90"/>
  <c r="EF164" i="90"/>
  <c r="DP164" i="90"/>
  <c r="EF162" i="90"/>
  <c r="DP162" i="90"/>
  <c r="ER160" i="90"/>
  <c r="FB160" i="90" s="1"/>
  <c r="EG160" i="90"/>
  <c r="DP160" i="90"/>
  <c r="ER149" i="90"/>
  <c r="FB149" i="90" s="1"/>
  <c r="EA149" i="90"/>
  <c r="EG148" i="90"/>
  <c r="DP148" i="90"/>
  <c r="EC141" i="90"/>
  <c r="ET141" i="90"/>
  <c r="EZ141" i="90" s="1"/>
  <c r="DY139" i="90"/>
  <c r="EP139" i="90"/>
  <c r="FD139" i="90" s="1"/>
  <c r="EG154" i="90"/>
  <c r="DP154" i="90"/>
  <c r="EG146" i="90"/>
  <c r="DP146" i="90"/>
  <c r="DR135" i="90"/>
  <c r="EI135" i="90"/>
  <c r="DP134" i="90"/>
  <c r="EQ133" i="90"/>
  <c r="FC133" i="90" s="1"/>
  <c r="DZ133" i="90"/>
  <c r="EH133" i="90"/>
  <c r="EB131" i="90"/>
  <c r="DP131" i="90"/>
  <c r="EG131" i="90"/>
  <c r="EI126" i="90"/>
  <c r="EA132" i="90"/>
  <c r="DQ132" i="90"/>
  <c r="EH132" i="90"/>
  <c r="EA128" i="90"/>
  <c r="ER128" i="90"/>
  <c r="FB128" i="90" s="1"/>
  <c r="DR128" i="90"/>
  <c r="EI128" i="90"/>
  <c r="DY127" i="90"/>
  <c r="EP127" i="90"/>
  <c r="FD127" i="90" s="1"/>
  <c r="EI122" i="90"/>
  <c r="DY114" i="90"/>
  <c r="EP114" i="90"/>
  <c r="FD114" i="90" s="1"/>
  <c r="ER141" i="90"/>
  <c r="FB141" i="90" s="1"/>
  <c r="EP140" i="90"/>
  <c r="FD140" i="90" s="1"/>
  <c r="EG139" i="90"/>
  <c r="EP136" i="90"/>
  <c r="FD136" i="90" s="1"/>
  <c r="EG135" i="90"/>
  <c r="EQ128" i="90"/>
  <c r="FC128" i="90" s="1"/>
  <c r="DY123" i="90"/>
  <c r="EP123" i="90"/>
  <c r="FD123" i="90" s="1"/>
  <c r="DP115" i="90"/>
  <c r="EG115" i="90"/>
  <c r="DZ107" i="90"/>
  <c r="EQ107" i="90"/>
  <c r="FC107" i="90" s="1"/>
  <c r="EF129" i="90"/>
  <c r="EQ129" i="90"/>
  <c r="FC129" i="90" s="1"/>
  <c r="DZ129" i="90"/>
  <c r="EG127" i="90"/>
  <c r="DQ125" i="90"/>
  <c r="EG123" i="90"/>
  <c r="DQ121" i="90"/>
  <c r="EG119" i="90"/>
  <c r="EH117" i="90"/>
  <c r="DQ117" i="90"/>
  <c r="ES116" i="90"/>
  <c r="FA116" i="90" s="1"/>
  <c r="EB116" i="90"/>
  <c r="EP108" i="90"/>
  <c r="FD108" i="90" s="1"/>
  <c r="EO108" i="90"/>
  <c r="FE108" i="90" s="1"/>
  <c r="DP103" i="90"/>
  <c r="EG103" i="90"/>
  <c r="EQ125" i="90"/>
  <c r="FC125" i="90" s="1"/>
  <c r="DZ125" i="90"/>
  <c r="EQ121" i="90"/>
  <c r="FC121" i="90" s="1"/>
  <c r="DZ121" i="90"/>
  <c r="EQ117" i="90"/>
  <c r="FC117" i="90" s="1"/>
  <c r="DZ117" i="90"/>
  <c r="EH127" i="90"/>
  <c r="DQ127" i="90"/>
  <c r="EH123" i="90"/>
  <c r="DQ123" i="90"/>
  <c r="EH119" i="90"/>
  <c r="DQ119" i="90"/>
  <c r="ER112" i="90"/>
  <c r="FB112" i="90" s="1"/>
  <c r="EA112" i="90"/>
  <c r="DQ109" i="90"/>
  <c r="EH109" i="90"/>
  <c r="DQ107" i="90"/>
  <c r="DP111" i="90"/>
  <c r="EG111" i="90"/>
  <c r="ET110" i="90"/>
  <c r="EZ110" i="90" s="1"/>
  <c r="EC110" i="90"/>
  <c r="DZ109" i="90"/>
  <c r="EQ109" i="90"/>
  <c r="FC109" i="90" s="1"/>
  <c r="DO108" i="90"/>
  <c r="EF108" i="90"/>
  <c r="DQ105" i="90"/>
  <c r="EH105" i="90"/>
  <c r="DZ103" i="90"/>
  <c r="EQ103" i="90"/>
  <c r="FC103" i="90" s="1"/>
  <c r="EQ99" i="90"/>
  <c r="FC99" i="90" s="1"/>
  <c r="DZ99" i="90"/>
  <c r="ER113" i="90"/>
  <c r="FB113" i="90" s="1"/>
  <c r="EA113" i="90"/>
  <c r="EG113" i="90"/>
  <c r="DP113" i="90"/>
  <c r="EP112" i="90"/>
  <c r="FD112" i="90" s="1"/>
  <c r="EO112" i="90"/>
  <c r="FE112" i="90" s="1"/>
  <c r="ER111" i="90"/>
  <c r="FB111" i="90" s="1"/>
  <c r="EA111" i="90"/>
  <c r="ES110" i="90"/>
  <c r="FA110" i="90" s="1"/>
  <c r="EA106" i="90"/>
  <c r="DY105" i="90"/>
  <c r="EP105" i="90"/>
  <c r="FD105" i="90" s="1"/>
  <c r="DZ100" i="90"/>
  <c r="EQ100" i="90"/>
  <c r="FC100" i="90" s="1"/>
  <c r="EF112" i="90"/>
  <c r="DP112" i="90"/>
  <c r="EP111" i="90"/>
  <c r="FD111" i="90" s="1"/>
  <c r="ER110" i="90"/>
  <c r="FB110" i="90" s="1"/>
  <c r="EG110" i="90"/>
  <c r="EG109" i="90"/>
  <c r="EO106" i="90"/>
  <c r="FE106" i="90" s="1"/>
  <c r="EF106" i="90"/>
  <c r="DP102" i="90"/>
  <c r="EG102" i="90"/>
  <c r="DY94" i="90"/>
  <c r="EP94" i="90"/>
  <c r="FD94" i="90" s="1"/>
  <c r="EG104" i="90"/>
  <c r="DP104" i="90"/>
  <c r="EG106" i="90"/>
  <c r="DP106" i="90"/>
  <c r="DP98" i="90"/>
  <c r="EG98" i="90"/>
  <c r="EG99" i="90"/>
  <c r="DP99" i="90"/>
  <c r="DY91" i="90"/>
  <c r="EP91" i="90"/>
  <c r="FD91" i="90" s="1"/>
  <c r="DP89" i="90"/>
  <c r="EG89" i="90"/>
  <c r="ER102" i="90"/>
  <c r="FB102" i="90" s="1"/>
  <c r="EA102" i="90"/>
  <c r="EA98" i="90"/>
  <c r="DP97" i="90"/>
  <c r="EG97" i="90"/>
  <c r="DP93" i="90"/>
  <c r="DP101" i="90"/>
  <c r="DY95" i="90"/>
  <c r="EP95" i="90"/>
  <c r="FD95" i="90" s="1"/>
  <c r="DP94" i="90"/>
  <c r="EG94" i="90"/>
  <c r="DZ97" i="90"/>
  <c r="DQ96" i="90"/>
  <c r="DZ93" i="90"/>
  <c r="DZ92" i="90"/>
  <c r="DQ92" i="90"/>
  <c r="EQ89" i="90"/>
  <c r="FC89" i="90" s="1"/>
  <c r="DZ89" i="90"/>
  <c r="EH91" i="90"/>
  <c r="DQ91" i="90"/>
  <c r="EQ88" i="90"/>
  <c r="FC88" i="90" s="1"/>
  <c r="DZ88" i="90"/>
  <c r="EH88" i="90"/>
  <c r="DQ88" i="90"/>
  <c r="EB87" i="90"/>
  <c r="EG87" i="90"/>
  <c r="DP87" i="90"/>
  <c r="DP86" i="90"/>
  <c r="EG86" i="90"/>
  <c r="DR85" i="90"/>
  <c r="EI85" i="90"/>
  <c r="EI83" i="90"/>
  <c r="DR83" i="90"/>
  <c r="EG82" i="90"/>
  <c r="DP82" i="90"/>
  <c r="ES81" i="90"/>
  <c r="FA81" i="90" s="1"/>
  <c r="DY80" i="90"/>
  <c r="EP80" i="90"/>
  <c r="FD80" i="90" s="1"/>
  <c r="DP73" i="90"/>
  <c r="EG73" i="90"/>
  <c r="EC81" i="90"/>
  <c r="ET81" i="90"/>
  <c r="EZ81" i="90" s="1"/>
  <c r="DP77" i="90"/>
  <c r="EG77" i="90"/>
  <c r="DR76" i="90"/>
  <c r="EI76" i="90"/>
  <c r="EH85" i="90"/>
  <c r="EQ83" i="90"/>
  <c r="FC83" i="90" s="1"/>
  <c r="DY77" i="90"/>
  <c r="EP77" i="90"/>
  <c r="FD77" i="90" s="1"/>
  <c r="ER83" i="90"/>
  <c r="FB83" i="90" s="1"/>
  <c r="EA83" i="90"/>
  <c r="DZ86" i="90"/>
  <c r="EH83" i="90"/>
  <c r="DZ82" i="90"/>
  <c r="EA76" i="90"/>
  <c r="DY75" i="90"/>
  <c r="EP75" i="90"/>
  <c r="FD75" i="90" s="1"/>
  <c r="EH79" i="90"/>
  <c r="ES74" i="90"/>
  <c r="FA74" i="90" s="1"/>
  <c r="EB74" i="90"/>
  <c r="EQ73" i="90"/>
  <c r="FC73" i="90" s="1"/>
  <c r="DZ73" i="90"/>
  <c r="EQ79" i="90"/>
  <c r="FC79" i="90" s="1"/>
  <c r="DZ79" i="90"/>
  <c r="EH75" i="90"/>
  <c r="DQ75" i="90"/>
  <c r="DP70" i="90"/>
  <c r="EG70" i="90"/>
  <c r="EA71" i="90"/>
  <c r="ER71" i="90"/>
  <c r="FB71" i="90" s="1"/>
  <c r="EQ71" i="90"/>
  <c r="FC71" i="90" s="1"/>
  <c r="DZ72" i="90"/>
  <c r="EQ70" i="90"/>
  <c r="FC70" i="90" s="1"/>
  <c r="DZ70" i="90"/>
  <c r="EG68" i="90"/>
  <c r="ER67" i="90"/>
  <c r="FB67" i="90" s="1"/>
  <c r="EP66" i="90"/>
  <c r="FD66" i="90" s="1"/>
  <c r="DQ64" i="90"/>
  <c r="EP68" i="90"/>
  <c r="FD68" i="90" s="1"/>
  <c r="EH66" i="90"/>
  <c r="DQ66" i="90"/>
  <c r="EQ64" i="90"/>
  <c r="FC64" i="90" s="1"/>
  <c r="DZ64" i="90"/>
  <c r="EQ68" i="90"/>
  <c r="FC68" i="90" s="1"/>
  <c r="DZ68" i="90"/>
  <c r="DQ72" i="90"/>
  <c r="EH68" i="90"/>
  <c r="DQ68" i="90"/>
  <c r="ES67" i="90"/>
  <c r="FA67" i="90" s="1"/>
  <c r="EB67" i="90"/>
  <c r="EQ66" i="90"/>
  <c r="FC66" i="90" s="1"/>
  <c r="DZ66" i="90"/>
  <c r="EJ65" i="90"/>
  <c r="DS65" i="90"/>
  <c r="EA201" i="90" l="1"/>
  <c r="ER201" i="90"/>
  <c r="FB201" i="90" s="1"/>
  <c r="EJ285" i="90"/>
  <c r="DS285" i="90"/>
  <c r="EB148" i="90"/>
  <c r="ES148" i="90"/>
  <c r="FA148" i="90" s="1"/>
  <c r="EB120" i="90"/>
  <c r="ES120" i="90"/>
  <c r="FA120" i="90" s="1"/>
  <c r="ET152" i="90"/>
  <c r="EZ152" i="90" s="1"/>
  <c r="EC152" i="90"/>
  <c r="ER120" i="90"/>
  <c r="FB120" i="90" s="1"/>
  <c r="ET257" i="90"/>
  <c r="EZ257" i="90" s="1"/>
  <c r="DQ283" i="90"/>
  <c r="EI283" i="90" s="1"/>
  <c r="EH304" i="90"/>
  <c r="ES101" i="90"/>
  <c r="FA101" i="90" s="1"/>
  <c r="DQ209" i="90"/>
  <c r="EC223" i="90"/>
  <c r="EI285" i="90"/>
  <c r="ER137" i="90"/>
  <c r="FB137" i="90" s="1"/>
  <c r="ES223" i="90"/>
  <c r="FA223" i="90" s="1"/>
  <c r="DP210" i="90"/>
  <c r="EG193" i="90"/>
  <c r="EA295" i="90"/>
  <c r="EA359" i="90"/>
  <c r="ER285" i="90"/>
  <c r="FB285" i="90" s="1"/>
  <c r="EI65" i="90"/>
  <c r="ER169" i="90"/>
  <c r="FB169" i="90" s="1"/>
  <c r="EB175" i="90"/>
  <c r="EA232" i="90"/>
  <c r="EA150" i="90"/>
  <c r="DR359" i="90"/>
  <c r="EI353" i="90"/>
  <c r="ER175" i="90"/>
  <c r="FB175" i="90" s="1"/>
  <c r="DQ118" i="90"/>
  <c r="EQ201" i="90"/>
  <c r="FC201" i="90" s="1"/>
  <c r="ER148" i="90"/>
  <c r="FB148" i="90" s="1"/>
  <c r="ET282" i="90"/>
  <c r="EZ282" i="90" s="1"/>
  <c r="EA278" i="90"/>
  <c r="EA350" i="90"/>
  <c r="EB85" i="90"/>
  <c r="ER85" i="90"/>
  <c r="FB85" i="90" s="1"/>
  <c r="EG219" i="90"/>
  <c r="ER134" i="90"/>
  <c r="FB134" i="90" s="1"/>
  <c r="DZ65" i="90"/>
  <c r="EA307" i="90"/>
  <c r="EB307" i="90" s="1"/>
  <c r="AA13" i="98"/>
  <c r="AA23" i="98" s="1"/>
  <c r="AE13" i="98"/>
  <c r="AE23" i="98" s="1"/>
  <c r="AD13" i="98"/>
  <c r="AD23" i="98" s="1"/>
  <c r="EB363" i="90"/>
  <c r="ER363" i="90"/>
  <c r="FB363" i="90" s="1"/>
  <c r="EQ363" i="90"/>
  <c r="FC363" i="90" s="1"/>
  <c r="EQ359" i="90"/>
  <c r="FC359" i="90" s="1"/>
  <c r="EI347" i="90"/>
  <c r="ER197" i="90"/>
  <c r="FB197" i="90" s="1"/>
  <c r="EA197" i="90"/>
  <c r="EB197" i="90" s="1"/>
  <c r="DR213" i="90"/>
  <c r="EI213" i="90"/>
  <c r="EB108" i="90"/>
  <c r="ES108" i="90"/>
  <c r="FA108" i="90" s="1"/>
  <c r="ET143" i="90"/>
  <c r="EZ143" i="90" s="1"/>
  <c r="EC143" i="90"/>
  <c r="ED143" i="90" s="1"/>
  <c r="EV143" i="90" s="1"/>
  <c r="EX143" i="90" s="1"/>
  <c r="EA136" i="90"/>
  <c r="ET158" i="90"/>
  <c r="EZ158" i="90" s="1"/>
  <c r="ES169" i="90"/>
  <c r="FA169" i="90" s="1"/>
  <c r="EI178" i="90"/>
  <c r="EA205" i="90"/>
  <c r="EG236" i="90"/>
  <c r="ES143" i="90"/>
  <c r="FA143" i="90" s="1"/>
  <c r="DP184" i="90"/>
  <c r="EH184" i="90" s="1"/>
  <c r="ER87" i="90"/>
  <c r="FB87" i="90" s="1"/>
  <c r="DP252" i="90"/>
  <c r="EB122" i="90"/>
  <c r="DS120" i="90"/>
  <c r="EK120" i="90" s="1"/>
  <c r="ER143" i="90"/>
  <c r="FB143" i="90" s="1"/>
  <c r="DP150" i="90"/>
  <c r="ER158" i="90"/>
  <c r="FB158" i="90" s="1"/>
  <c r="ES158" i="90"/>
  <c r="FA158" i="90" s="1"/>
  <c r="EI208" i="90"/>
  <c r="EH235" i="90"/>
  <c r="DR235" i="90"/>
  <c r="EH226" i="90"/>
  <c r="ER131" i="90"/>
  <c r="FB131" i="90" s="1"/>
  <c r="EG180" i="90"/>
  <c r="EH349" i="90"/>
  <c r="DR293" i="90"/>
  <c r="EI293" i="90"/>
  <c r="ER122" i="90"/>
  <c r="FB122" i="90" s="1"/>
  <c r="EQ143" i="90"/>
  <c r="FC143" i="90" s="1"/>
  <c r="ES282" i="90"/>
  <c r="FA282" i="90" s="1"/>
  <c r="EA236" i="90"/>
  <c r="DP342" i="90"/>
  <c r="EG342" i="90"/>
  <c r="EG343" i="90"/>
  <c r="DP343" i="90"/>
  <c r="ER352" i="90"/>
  <c r="FB352" i="90" s="1"/>
  <c r="EA352" i="90"/>
  <c r="DP216" i="90"/>
  <c r="EG216" i="90"/>
  <c r="EH213" i="90"/>
  <c r="EQ261" i="90"/>
  <c r="FC261" i="90" s="1"/>
  <c r="DZ261" i="90"/>
  <c r="EA360" i="90"/>
  <c r="ER360" i="90"/>
  <c r="FB360" i="90" s="1"/>
  <c r="EQ306" i="90"/>
  <c r="FC306" i="90" s="1"/>
  <c r="DZ306" i="90"/>
  <c r="EJ353" i="90"/>
  <c r="DS353" i="90"/>
  <c r="DQ362" i="90"/>
  <c r="EI362" i="90" s="1"/>
  <c r="EB353" i="90"/>
  <c r="EC353" i="90" s="1"/>
  <c r="ER353" i="90"/>
  <c r="FB353" i="90" s="1"/>
  <c r="DQ350" i="90"/>
  <c r="EH350" i="90"/>
  <c r="EA341" i="90"/>
  <c r="ER341" i="90"/>
  <c r="FB341" i="90" s="1"/>
  <c r="EH345" i="90"/>
  <c r="DQ345" i="90"/>
  <c r="ER346" i="90"/>
  <c r="FB346" i="90" s="1"/>
  <c r="EA346" i="90"/>
  <c r="DQ355" i="90"/>
  <c r="EH355" i="90"/>
  <c r="ER361" i="90"/>
  <c r="FB361" i="90" s="1"/>
  <c r="EA361" i="90"/>
  <c r="EI358" i="90"/>
  <c r="DR358" i="90"/>
  <c r="EH341" i="90"/>
  <c r="DQ341" i="90"/>
  <c r="ER342" i="90"/>
  <c r="FB342" i="90" s="1"/>
  <c r="EA342" i="90"/>
  <c r="EC345" i="90"/>
  <c r="ET345" i="90"/>
  <c r="EZ345" i="90" s="1"/>
  <c r="ER348" i="90"/>
  <c r="FB348" i="90" s="1"/>
  <c r="EA348" i="90"/>
  <c r="ES343" i="90"/>
  <c r="FA343" i="90" s="1"/>
  <c r="EB343" i="90"/>
  <c r="EG344" i="90"/>
  <c r="DP344" i="90"/>
  <c r="EG340" i="90"/>
  <c r="DP340" i="90"/>
  <c r="DQ352" i="90"/>
  <c r="EH352" i="90"/>
  <c r="DQ354" i="90"/>
  <c r="EH354" i="90"/>
  <c r="EH348" i="90"/>
  <c r="DQ348" i="90"/>
  <c r="EH356" i="90"/>
  <c r="DQ356" i="90"/>
  <c r="ER357" i="90"/>
  <c r="FB357" i="90" s="1"/>
  <c r="EA357" i="90"/>
  <c r="DR362" i="90"/>
  <c r="ER358" i="90"/>
  <c r="FB358" i="90" s="1"/>
  <c r="EA358" i="90"/>
  <c r="DQ364" i="90"/>
  <c r="EH364" i="90"/>
  <c r="ES355" i="90"/>
  <c r="FA355" i="90" s="1"/>
  <c r="EB355" i="90"/>
  <c r="EH360" i="90"/>
  <c r="DQ360" i="90"/>
  <c r="EB344" i="90"/>
  <c r="ES344" i="90"/>
  <c r="FA344" i="90" s="1"/>
  <c r="EB340" i="90"/>
  <c r="ES340" i="90"/>
  <c r="FA340" i="90" s="1"/>
  <c r="EA349" i="90"/>
  <c r="ER349" i="90"/>
  <c r="FB349" i="90" s="1"/>
  <c r="EH361" i="90"/>
  <c r="DQ361" i="90"/>
  <c r="EH357" i="90"/>
  <c r="DQ357" i="90"/>
  <c r="ER362" i="90"/>
  <c r="FB362" i="90" s="1"/>
  <c r="EA362" i="90"/>
  <c r="ES359" i="90"/>
  <c r="FA359" i="90" s="1"/>
  <c r="EB359" i="90"/>
  <c r="EI363" i="90"/>
  <c r="DR363" i="90"/>
  <c r="EJ346" i="90"/>
  <c r="DS346" i="90"/>
  <c r="EB350" i="90"/>
  <c r="ES350" i="90"/>
  <c r="FA350" i="90" s="1"/>
  <c r="DR351" i="90"/>
  <c r="EI351" i="90"/>
  <c r="EA351" i="90"/>
  <c r="ER351" i="90"/>
  <c r="FB351" i="90" s="1"/>
  <c r="ES347" i="90"/>
  <c r="FA347" i="90" s="1"/>
  <c r="EB347" i="90"/>
  <c r="DR349" i="90"/>
  <c r="EI349" i="90"/>
  <c r="EJ347" i="90"/>
  <c r="DS347" i="90"/>
  <c r="ET356" i="90"/>
  <c r="EZ356" i="90" s="1"/>
  <c r="EC356" i="90"/>
  <c r="EJ359" i="90"/>
  <c r="DS359" i="90"/>
  <c r="EC363" i="90"/>
  <c r="ET363" i="90"/>
  <c r="EZ363" i="90" s="1"/>
  <c r="EB354" i="90"/>
  <c r="ES354" i="90"/>
  <c r="FA354" i="90" s="1"/>
  <c r="EB364" i="90"/>
  <c r="ES364" i="90"/>
  <c r="FA364" i="90" s="1"/>
  <c r="EG273" i="90"/>
  <c r="DP273" i="90"/>
  <c r="EA270" i="90"/>
  <c r="ER270" i="90"/>
  <c r="FB270" i="90" s="1"/>
  <c r="EG251" i="90"/>
  <c r="DP251" i="90"/>
  <c r="ER253" i="90"/>
  <c r="FB253" i="90" s="1"/>
  <c r="EA253" i="90"/>
  <c r="EG308" i="90"/>
  <c r="DP308" i="90"/>
  <c r="ER256" i="90"/>
  <c r="FB256" i="90" s="1"/>
  <c r="EA256" i="90"/>
  <c r="EH253" i="90"/>
  <c r="DQ253" i="90"/>
  <c r="EQ250" i="90"/>
  <c r="FC250" i="90" s="1"/>
  <c r="DZ250" i="90"/>
  <c r="EQ254" i="90"/>
  <c r="FC254" i="90" s="1"/>
  <c r="DZ254" i="90"/>
  <c r="EH254" i="90"/>
  <c r="DQ254" i="90"/>
  <c r="DR260" i="90"/>
  <c r="EI260" i="90"/>
  <c r="EG249" i="90"/>
  <c r="DP249" i="90"/>
  <c r="DR262" i="90"/>
  <c r="EI262" i="90"/>
  <c r="DQ269" i="90"/>
  <c r="EH269" i="90"/>
  <c r="EH270" i="90"/>
  <c r="DQ270" i="90"/>
  <c r="ER271" i="90"/>
  <c r="FB271" i="90" s="1"/>
  <c r="EA271" i="90"/>
  <c r="DR259" i="90"/>
  <c r="EI259" i="90"/>
  <c r="EH261" i="90"/>
  <c r="DQ261" i="90"/>
  <c r="ER268" i="90"/>
  <c r="FB268" i="90" s="1"/>
  <c r="EA268" i="90"/>
  <c r="EI279" i="90"/>
  <c r="DR279" i="90"/>
  <c r="EU282" i="90"/>
  <c r="EY282" i="90" s="1"/>
  <c r="ED282" i="90"/>
  <c r="EV282" i="90" s="1"/>
  <c r="EX282" i="90" s="1"/>
  <c r="EB278" i="90"/>
  <c r="ES278" i="90"/>
  <c r="FA278" i="90" s="1"/>
  <c r="ER275" i="90"/>
  <c r="FB275" i="90" s="1"/>
  <c r="EA275" i="90"/>
  <c r="EA276" i="90"/>
  <c r="ER276" i="90"/>
  <c r="FB276" i="90" s="1"/>
  <c r="DQ288" i="90"/>
  <c r="EH288" i="90"/>
  <c r="EI289" i="90"/>
  <c r="DR289" i="90"/>
  <c r="ES288" i="90"/>
  <c r="FA288" i="90" s="1"/>
  <c r="EB288" i="90"/>
  <c r="EI291" i="90"/>
  <c r="DR291" i="90"/>
  <c r="EA293" i="90"/>
  <c r="ER293" i="90"/>
  <c r="FB293" i="90" s="1"/>
  <c r="ER300" i="90"/>
  <c r="FB300" i="90" s="1"/>
  <c r="EA300" i="90"/>
  <c r="EB305" i="90"/>
  <c r="ES305" i="90"/>
  <c r="FA305" i="90" s="1"/>
  <c r="ES299" i="90"/>
  <c r="FA299" i="90" s="1"/>
  <c r="EB299" i="90"/>
  <c r="ER302" i="90"/>
  <c r="FB302" i="90" s="1"/>
  <c r="EA302" i="90"/>
  <c r="ER298" i="90"/>
  <c r="FB298" i="90" s="1"/>
  <c r="EA298" i="90"/>
  <c r="EH303" i="90"/>
  <c r="DQ303" i="90"/>
  <c r="ER258" i="90"/>
  <c r="FB258" i="90" s="1"/>
  <c r="EA258" i="90"/>
  <c r="EH258" i="90"/>
  <c r="DQ258" i="90"/>
  <c r="EU262" i="90"/>
  <c r="EY262" i="90" s="1"/>
  <c r="ED262" i="90"/>
  <c r="EV262" i="90" s="1"/>
  <c r="EX262" i="90" s="1"/>
  <c r="EH266" i="90"/>
  <c r="DQ266" i="90"/>
  <c r="ES269" i="90"/>
  <c r="FA269" i="90" s="1"/>
  <c r="EB269" i="90"/>
  <c r="DQ277" i="90"/>
  <c r="EH277" i="90"/>
  <c r="ES265" i="90"/>
  <c r="FA265" i="90" s="1"/>
  <c r="EB265" i="90"/>
  <c r="ER264" i="90"/>
  <c r="FB264" i="90" s="1"/>
  <c r="EA264" i="90"/>
  <c r="EI264" i="90"/>
  <c r="DR264" i="90"/>
  <c r="EI272" i="90"/>
  <c r="DR272" i="90"/>
  <c r="EB273" i="90"/>
  <c r="ES273" i="90"/>
  <c r="FA273" i="90" s="1"/>
  <c r="EB277" i="90"/>
  <c r="ES277" i="90"/>
  <c r="FA277" i="90" s="1"/>
  <c r="ER279" i="90"/>
  <c r="FB279" i="90" s="1"/>
  <c r="EA279" i="90"/>
  <c r="EK285" i="90"/>
  <c r="DT285" i="90"/>
  <c r="EH286" i="90"/>
  <c r="DQ286" i="90"/>
  <c r="DR281" i="90"/>
  <c r="EI281" i="90"/>
  <c r="EB286" i="90"/>
  <c r="ES286" i="90"/>
  <c r="FA286" i="90" s="1"/>
  <c r="ES290" i="90"/>
  <c r="FA290" i="90" s="1"/>
  <c r="EB290" i="90"/>
  <c r="EB292" i="90"/>
  <c r="ES292" i="90"/>
  <c r="FA292" i="90" s="1"/>
  <c r="EI294" i="90"/>
  <c r="DR294" i="90"/>
  <c r="EI302" i="90"/>
  <c r="DR302" i="90"/>
  <c r="ER296" i="90"/>
  <c r="FB296" i="90" s="1"/>
  <c r="EA296" i="90"/>
  <c r="EH301" i="90"/>
  <c r="DQ301" i="90"/>
  <c r="ER294" i="90"/>
  <c r="FB294" i="90" s="1"/>
  <c r="EA294" i="90"/>
  <c r="EI300" i="90"/>
  <c r="DR300" i="90"/>
  <c r="DQ305" i="90"/>
  <c r="EH305" i="90"/>
  <c r="EI296" i="90"/>
  <c r="DR296" i="90"/>
  <c r="EH299" i="90"/>
  <c r="DQ299" i="90"/>
  <c r="EB255" i="90"/>
  <c r="ES255" i="90"/>
  <c r="FA255" i="90" s="1"/>
  <c r="ER251" i="90"/>
  <c r="FB251" i="90" s="1"/>
  <c r="EA251" i="90"/>
  <c r="EI255" i="90"/>
  <c r="DR255" i="90"/>
  <c r="DZ259" i="90"/>
  <c r="EQ259" i="90"/>
  <c r="FC259" i="90" s="1"/>
  <c r="EH256" i="90"/>
  <c r="DQ256" i="90"/>
  <c r="EI268" i="90"/>
  <c r="DR268" i="90"/>
  <c r="ET266" i="90"/>
  <c r="EZ266" i="90" s="1"/>
  <c r="EC266" i="90"/>
  <c r="EB260" i="90"/>
  <c r="ES260" i="90"/>
  <c r="FA260" i="90" s="1"/>
  <c r="ER267" i="90"/>
  <c r="FB267" i="90" s="1"/>
  <c r="EA267" i="90"/>
  <c r="DQ275" i="90"/>
  <c r="EH275" i="90"/>
  <c r="ER283" i="90"/>
  <c r="FB283" i="90" s="1"/>
  <c r="EA283" i="90"/>
  <c r="DR276" i="90"/>
  <c r="EI276" i="90"/>
  <c r="DQ284" i="90"/>
  <c r="EH284" i="90"/>
  <c r="EC287" i="90"/>
  <c r="ET287" i="90"/>
  <c r="EZ287" i="90" s="1"/>
  <c r="EA281" i="90"/>
  <c r="ER281" i="90"/>
  <c r="FB281" i="90" s="1"/>
  <c r="DR287" i="90"/>
  <c r="EI287" i="90"/>
  <c r="EH290" i="90"/>
  <c r="DQ290" i="90"/>
  <c r="ER291" i="90"/>
  <c r="FB291" i="90" s="1"/>
  <c r="EA291" i="90"/>
  <c r="ES301" i="90"/>
  <c r="FA301" i="90" s="1"/>
  <c r="EB301" i="90"/>
  <c r="ER304" i="90"/>
  <c r="FB304" i="90" s="1"/>
  <c r="EA304" i="90"/>
  <c r="EI298" i="90"/>
  <c r="DR298" i="90"/>
  <c r="EH297" i="90"/>
  <c r="DQ297" i="90"/>
  <c r="ES303" i="90"/>
  <c r="FA303" i="90" s="1"/>
  <c r="EB303" i="90"/>
  <c r="DR306" i="90"/>
  <c r="EI306" i="90"/>
  <c r="EA308" i="90"/>
  <c r="ER308" i="90"/>
  <c r="FB308" i="90" s="1"/>
  <c r="EA252" i="90"/>
  <c r="ER252" i="90"/>
  <c r="FB252" i="90" s="1"/>
  <c r="EH257" i="90"/>
  <c r="DQ257" i="90"/>
  <c r="ER249" i="90"/>
  <c r="FB249" i="90" s="1"/>
  <c r="EA249" i="90"/>
  <c r="EH250" i="90"/>
  <c r="DQ250" i="90"/>
  <c r="EU257" i="90"/>
  <c r="EY257" i="90" s="1"/>
  <c r="ED257" i="90"/>
  <c r="EV257" i="90" s="1"/>
  <c r="EX257" i="90" s="1"/>
  <c r="EI263" i="90"/>
  <c r="DR263" i="90"/>
  <c r="EH267" i="90"/>
  <c r="DQ267" i="90"/>
  <c r="ER263" i="90"/>
  <c r="FB263" i="90" s="1"/>
  <c r="EA263" i="90"/>
  <c r="DR265" i="90"/>
  <c r="EI265" i="90"/>
  <c r="DR274" i="90"/>
  <c r="EI274" i="90"/>
  <c r="ER272" i="90"/>
  <c r="FB272" i="90" s="1"/>
  <c r="EA272" i="90"/>
  <c r="EA274" i="90"/>
  <c r="ER274" i="90"/>
  <c r="FB274" i="90" s="1"/>
  <c r="EH271" i="90"/>
  <c r="DQ271" i="90"/>
  <c r="ES284" i="90"/>
  <c r="FA284" i="90" s="1"/>
  <c r="EB284" i="90"/>
  <c r="EH278" i="90"/>
  <c r="DQ278" i="90"/>
  <c r="ES280" i="90"/>
  <c r="FA280" i="90" s="1"/>
  <c r="EB280" i="90"/>
  <c r="ET285" i="90"/>
  <c r="EZ285" i="90" s="1"/>
  <c r="EC285" i="90"/>
  <c r="DQ280" i="90"/>
  <c r="EH280" i="90"/>
  <c r="EH282" i="90"/>
  <c r="DQ282" i="90"/>
  <c r="ER289" i="90"/>
  <c r="FB289" i="90" s="1"/>
  <c r="EA289" i="90"/>
  <c r="DQ292" i="90"/>
  <c r="EH292" i="90"/>
  <c r="ES297" i="90"/>
  <c r="FA297" i="90" s="1"/>
  <c r="EB297" i="90"/>
  <c r="DQ307" i="90"/>
  <c r="EH307" i="90"/>
  <c r="ES295" i="90"/>
  <c r="FA295" i="90" s="1"/>
  <c r="EB295" i="90"/>
  <c r="EI304" i="90"/>
  <c r="DR304" i="90"/>
  <c r="EH295" i="90"/>
  <c r="DQ295" i="90"/>
  <c r="ES307" i="90"/>
  <c r="FA307" i="90" s="1"/>
  <c r="EA229" i="90"/>
  <c r="ES229" i="90" s="1"/>
  <c r="FA229" i="90" s="1"/>
  <c r="EH208" i="90"/>
  <c r="EA222" i="90"/>
  <c r="ES222" i="90" s="1"/>
  <c r="FA222" i="90" s="1"/>
  <c r="DP95" i="90"/>
  <c r="EG95" i="90"/>
  <c r="EG100" i="90"/>
  <c r="DP100" i="90"/>
  <c r="DR84" i="90"/>
  <c r="EI84" i="90"/>
  <c r="DP90" i="90"/>
  <c r="EG90" i="90"/>
  <c r="DP114" i="90"/>
  <c r="EG114" i="90"/>
  <c r="EH207" i="90"/>
  <c r="DQ207" i="90"/>
  <c r="EQ215" i="90"/>
  <c r="FC215" i="90" s="1"/>
  <c r="DZ215" i="90"/>
  <c r="ER104" i="90"/>
  <c r="FB104" i="90" s="1"/>
  <c r="EA104" i="90"/>
  <c r="EH124" i="90"/>
  <c r="DQ124" i="90"/>
  <c r="EH137" i="90"/>
  <c r="DQ137" i="90"/>
  <c r="EA181" i="90"/>
  <c r="ER181" i="90"/>
  <c r="FB181" i="90" s="1"/>
  <c r="EA183" i="90"/>
  <c r="ER183" i="90"/>
  <c r="FB183" i="90" s="1"/>
  <c r="DQ199" i="90"/>
  <c r="EH199" i="90"/>
  <c r="DQ203" i="90"/>
  <c r="EH203" i="90"/>
  <c r="DQ80" i="90"/>
  <c r="EH80" i="90"/>
  <c r="ER96" i="90"/>
  <c r="FB96" i="90" s="1"/>
  <c r="EI143" i="90"/>
  <c r="DR218" i="90"/>
  <c r="EB214" i="90"/>
  <c r="ES214" i="90"/>
  <c r="FA214" i="90" s="1"/>
  <c r="DP130" i="90"/>
  <c r="EG130" i="90"/>
  <c r="EH116" i="90"/>
  <c r="DQ116" i="90"/>
  <c r="DQ145" i="90"/>
  <c r="EH145" i="90"/>
  <c r="EA171" i="90"/>
  <c r="ER171" i="90"/>
  <c r="FB171" i="90" s="1"/>
  <c r="DZ130" i="90"/>
  <c r="EQ130" i="90"/>
  <c r="FC130" i="90" s="1"/>
  <c r="EQ138" i="90"/>
  <c r="FC138" i="90" s="1"/>
  <c r="DZ138" i="90"/>
  <c r="EA124" i="90"/>
  <c r="ER124" i="90"/>
  <c r="FB124" i="90" s="1"/>
  <c r="ER189" i="90"/>
  <c r="FB189" i="90" s="1"/>
  <c r="EA189" i="90"/>
  <c r="EH78" i="90"/>
  <c r="DQ78" i="90"/>
  <c r="DP81" i="90"/>
  <c r="EG81" i="90"/>
  <c r="EA84" i="90"/>
  <c r="ER84" i="90"/>
  <c r="FB84" i="90" s="1"/>
  <c r="ES134" i="90"/>
  <c r="FA134" i="90" s="1"/>
  <c r="EB134" i="90"/>
  <c r="EA146" i="90"/>
  <c r="ER146" i="90"/>
  <c r="FB146" i="90" s="1"/>
  <c r="DQ189" i="90"/>
  <c r="EH189" i="90"/>
  <c r="DZ118" i="90"/>
  <c r="EQ118" i="90"/>
  <c r="FC118" i="90" s="1"/>
  <c r="EH67" i="90"/>
  <c r="DQ67" i="90"/>
  <c r="EA90" i="90"/>
  <c r="ER90" i="90"/>
  <c r="FB90" i="90" s="1"/>
  <c r="ES137" i="90"/>
  <c r="FA137" i="90" s="1"/>
  <c r="EB137" i="90"/>
  <c r="EA179" i="90"/>
  <c r="ER179" i="90"/>
  <c r="FB179" i="90" s="1"/>
  <c r="ER192" i="90"/>
  <c r="FB192" i="90" s="1"/>
  <c r="EA192" i="90"/>
  <c r="ER196" i="90"/>
  <c r="FB196" i="90" s="1"/>
  <c r="EA196" i="90"/>
  <c r="ER200" i="90"/>
  <c r="FB200" i="90" s="1"/>
  <c r="EA200" i="90"/>
  <c r="DQ197" i="90"/>
  <c r="EH197" i="90"/>
  <c r="DQ149" i="90"/>
  <c r="EH149" i="90"/>
  <c r="EA185" i="90"/>
  <c r="ER185" i="90"/>
  <c r="FB185" i="90" s="1"/>
  <c r="EI187" i="90"/>
  <c r="DR187" i="90"/>
  <c r="ER190" i="90"/>
  <c r="FB190" i="90" s="1"/>
  <c r="EA190" i="90"/>
  <c r="ER194" i="90"/>
  <c r="FB194" i="90" s="1"/>
  <c r="EA194" i="90"/>
  <c r="ER198" i="90"/>
  <c r="FB198" i="90" s="1"/>
  <c r="EA198" i="90"/>
  <c r="ER202" i="90"/>
  <c r="FB202" i="90" s="1"/>
  <c r="EA202" i="90"/>
  <c r="EH74" i="90"/>
  <c r="DQ74" i="90"/>
  <c r="EA69" i="90"/>
  <c r="ER69" i="90"/>
  <c r="FB69" i="90" s="1"/>
  <c r="ES224" i="90"/>
  <c r="FA224" i="90" s="1"/>
  <c r="EB224" i="90"/>
  <c r="EA142" i="90"/>
  <c r="ER142" i="90"/>
  <c r="FB142" i="90" s="1"/>
  <c r="ER234" i="90"/>
  <c r="FB234" i="90" s="1"/>
  <c r="EA234" i="90"/>
  <c r="EH140" i="90"/>
  <c r="DQ140" i="90"/>
  <c r="ER144" i="90"/>
  <c r="FB144" i="90" s="1"/>
  <c r="EA144" i="90"/>
  <c r="EA207" i="90"/>
  <c r="ER207" i="90"/>
  <c r="FB207" i="90" s="1"/>
  <c r="DP136" i="90"/>
  <c r="EG136" i="90"/>
  <c r="DP141" i="90"/>
  <c r="EG141" i="90"/>
  <c r="DZ147" i="90"/>
  <c r="EQ147" i="90"/>
  <c r="FC147" i="90" s="1"/>
  <c r="DP161" i="90"/>
  <c r="EG161" i="90"/>
  <c r="EA78" i="90"/>
  <c r="ER78" i="90"/>
  <c r="FB78" i="90" s="1"/>
  <c r="DZ126" i="90"/>
  <c r="EQ126" i="90"/>
  <c r="FC126" i="90" s="1"/>
  <c r="DQ193" i="90"/>
  <c r="EH193" i="90"/>
  <c r="DQ201" i="90"/>
  <c r="EH201" i="90"/>
  <c r="EQ115" i="90"/>
  <c r="FC115" i="90" s="1"/>
  <c r="DZ115" i="90"/>
  <c r="EG147" i="90"/>
  <c r="DP147" i="90"/>
  <c r="DQ180" i="90"/>
  <c r="EH180" i="90"/>
  <c r="DQ191" i="90"/>
  <c r="EH191" i="90"/>
  <c r="DQ195" i="90"/>
  <c r="EH195" i="90"/>
  <c r="EH69" i="90"/>
  <c r="DQ69" i="90"/>
  <c r="DQ71" i="90"/>
  <c r="EH71" i="90"/>
  <c r="EH204" i="90"/>
  <c r="DQ204" i="90"/>
  <c r="DR209" i="90"/>
  <c r="EI209" i="90"/>
  <c r="DQ210" i="90"/>
  <c r="EH210" i="90"/>
  <c r="EA209" i="90"/>
  <c r="ER209" i="90"/>
  <c r="FB209" i="90" s="1"/>
  <c r="DQ217" i="90"/>
  <c r="EH217" i="90"/>
  <c r="EH219" i="90"/>
  <c r="DQ219" i="90"/>
  <c r="EG223" i="90"/>
  <c r="DP223" i="90"/>
  <c r="EU219" i="90"/>
  <c r="EY219" i="90" s="1"/>
  <c r="ED219" i="90"/>
  <c r="EV219" i="90" s="1"/>
  <c r="EX219" i="90" s="1"/>
  <c r="DQ224" i="90"/>
  <c r="EH224" i="90"/>
  <c r="DQ229" i="90"/>
  <c r="EH229" i="90"/>
  <c r="EH232" i="90"/>
  <c r="DQ232" i="90"/>
  <c r="EH234" i="90"/>
  <c r="DQ234" i="90"/>
  <c r="EB228" i="90"/>
  <c r="ES228" i="90"/>
  <c r="FA228" i="90" s="1"/>
  <c r="ES235" i="90"/>
  <c r="FA235" i="90" s="1"/>
  <c r="EB235" i="90"/>
  <c r="EH205" i="90"/>
  <c r="DQ205" i="90"/>
  <c r="EH206" i="90"/>
  <c r="DQ206" i="90"/>
  <c r="DP211" i="90"/>
  <c r="EG211" i="90"/>
  <c r="EH212" i="90"/>
  <c r="DQ212" i="90"/>
  <c r="DS208" i="90"/>
  <c r="EJ208" i="90"/>
  <c r="DQ222" i="90"/>
  <c r="EH222" i="90"/>
  <c r="ED223" i="90"/>
  <c r="EV223" i="90" s="1"/>
  <c r="EX223" i="90" s="1"/>
  <c r="EU223" i="90"/>
  <c r="EY223" i="90" s="1"/>
  <c r="DZ210" i="90"/>
  <c r="EQ210" i="90"/>
  <c r="FC210" i="90" s="1"/>
  <c r="EQ216" i="90"/>
  <c r="FC216" i="90" s="1"/>
  <c r="DZ216" i="90"/>
  <c r="EB230" i="90"/>
  <c r="ES230" i="90"/>
  <c r="FA230" i="90" s="1"/>
  <c r="ES231" i="90"/>
  <c r="FA231" i="90" s="1"/>
  <c r="EB231" i="90"/>
  <c r="ES233" i="90"/>
  <c r="FA233" i="90" s="1"/>
  <c r="EB233" i="90"/>
  <c r="EH228" i="90"/>
  <c r="DQ228" i="90"/>
  <c r="DQ231" i="90"/>
  <c r="EH231" i="90"/>
  <c r="ER204" i="90"/>
  <c r="FB204" i="90" s="1"/>
  <c r="EA204" i="90"/>
  <c r="EH214" i="90"/>
  <c r="DQ214" i="90"/>
  <c r="ER208" i="90"/>
  <c r="FB208" i="90" s="1"/>
  <c r="EA208" i="90"/>
  <c r="ES220" i="90"/>
  <c r="FA220" i="90" s="1"/>
  <c r="EB220" i="90"/>
  <c r="ER211" i="90"/>
  <c r="FB211" i="90" s="1"/>
  <c r="EA211" i="90"/>
  <c r="ER213" i="90"/>
  <c r="FB213" i="90" s="1"/>
  <c r="EA213" i="90"/>
  <c r="EA217" i="90"/>
  <c r="ER217" i="90"/>
  <c r="FB217" i="90" s="1"/>
  <c r="EJ218" i="90"/>
  <c r="DS218" i="90"/>
  <c r="DQ220" i="90"/>
  <c r="EH220" i="90"/>
  <c r="EB222" i="90"/>
  <c r="ES227" i="90"/>
  <c r="FA227" i="90" s="1"/>
  <c r="EB227" i="90"/>
  <c r="DQ227" i="90"/>
  <c r="EH227" i="90"/>
  <c r="EH236" i="90"/>
  <c r="DQ236" i="90"/>
  <c r="EC226" i="90"/>
  <c r="ET226" i="90"/>
  <c r="EZ226" i="90" s="1"/>
  <c r="EJ235" i="90"/>
  <c r="DS235" i="90"/>
  <c r="EB236" i="90"/>
  <c r="ES236" i="90"/>
  <c r="FA236" i="90" s="1"/>
  <c r="ER206" i="90"/>
  <c r="FB206" i="90" s="1"/>
  <c r="EA206" i="90"/>
  <c r="EJ213" i="90"/>
  <c r="DS213" i="90"/>
  <c r="ES205" i="90"/>
  <c r="FA205" i="90" s="1"/>
  <c r="EB205" i="90"/>
  <c r="DQ215" i="90"/>
  <c r="EH215" i="90"/>
  <c r="ER212" i="90"/>
  <c r="FB212" i="90" s="1"/>
  <c r="EA212" i="90"/>
  <c r="DQ221" i="90"/>
  <c r="EH221" i="90"/>
  <c r="EB221" i="90"/>
  <c r="ES221" i="90"/>
  <c r="FA221" i="90" s="1"/>
  <c r="EB225" i="90"/>
  <c r="ES225" i="90"/>
  <c r="FA225" i="90" s="1"/>
  <c r="ER218" i="90"/>
  <c r="FB218" i="90" s="1"/>
  <c r="EA218" i="90"/>
  <c r="EG225" i="90"/>
  <c r="DP225" i="90"/>
  <c r="EB232" i="90"/>
  <c r="ES232" i="90"/>
  <c r="FA232" i="90" s="1"/>
  <c r="EH230" i="90"/>
  <c r="DQ230" i="90"/>
  <c r="DQ233" i="90"/>
  <c r="EH233" i="90"/>
  <c r="EI226" i="90"/>
  <c r="DR226" i="90"/>
  <c r="ER89" i="90"/>
  <c r="FB89" i="90" s="1"/>
  <c r="EA89" i="90"/>
  <c r="DQ113" i="90"/>
  <c r="EH113" i="90"/>
  <c r="EU110" i="90"/>
  <c r="EY110" i="90" s="1"/>
  <c r="ED110" i="90"/>
  <c r="EV110" i="90" s="1"/>
  <c r="EX110" i="90" s="1"/>
  <c r="ET122" i="90"/>
  <c r="EZ122" i="90" s="1"/>
  <c r="EC122" i="90"/>
  <c r="ER121" i="90"/>
  <c r="FB121" i="90" s="1"/>
  <c r="EA121" i="90"/>
  <c r="ET116" i="90"/>
  <c r="EZ116" i="90" s="1"/>
  <c r="EC116" i="90"/>
  <c r="ES132" i="90"/>
  <c r="FA132" i="90" s="1"/>
  <c r="EB132" i="90"/>
  <c r="EH154" i="90"/>
  <c r="DQ154" i="90"/>
  <c r="ES149" i="90"/>
  <c r="FA149" i="90" s="1"/>
  <c r="EB149" i="90"/>
  <c r="EH150" i="90"/>
  <c r="DQ150" i="90"/>
  <c r="EH158" i="90"/>
  <c r="DQ158" i="90"/>
  <c r="ET160" i="90"/>
  <c r="EZ160" i="90" s="1"/>
  <c r="EC160" i="90"/>
  <c r="ER170" i="90"/>
  <c r="FB170" i="90" s="1"/>
  <c r="EA170" i="90"/>
  <c r="EG152" i="90"/>
  <c r="DP152" i="90"/>
  <c r="EH175" i="90"/>
  <c r="DQ175" i="90"/>
  <c r="ET177" i="90"/>
  <c r="EZ177" i="90" s="1"/>
  <c r="EC177" i="90"/>
  <c r="EI174" i="90"/>
  <c r="DR174" i="90"/>
  <c r="EJ182" i="90"/>
  <c r="DS182" i="90"/>
  <c r="ER187" i="90"/>
  <c r="FB187" i="90" s="1"/>
  <c r="EA187" i="90"/>
  <c r="ES193" i="90"/>
  <c r="FA193" i="90" s="1"/>
  <c r="EB193" i="90"/>
  <c r="DR186" i="90"/>
  <c r="EI186" i="90"/>
  <c r="EA188" i="90"/>
  <c r="ER188" i="90"/>
  <c r="FB188" i="90" s="1"/>
  <c r="ES191" i="90"/>
  <c r="FA191" i="90" s="1"/>
  <c r="EB191" i="90"/>
  <c r="EQ95" i="90"/>
  <c r="FC95" i="90" s="1"/>
  <c r="DZ95" i="90"/>
  <c r="EH101" i="90"/>
  <c r="DQ101" i="90"/>
  <c r="DQ98" i="90"/>
  <c r="EH98" i="90"/>
  <c r="DQ102" i="90"/>
  <c r="EH102" i="90"/>
  <c r="EH110" i="90"/>
  <c r="DQ110" i="90"/>
  <c r="DQ112" i="90"/>
  <c r="EH112" i="90"/>
  <c r="ER100" i="90"/>
  <c r="FB100" i="90" s="1"/>
  <c r="EA100" i="90"/>
  <c r="DZ105" i="90"/>
  <c r="EQ105" i="90"/>
  <c r="FC105" i="90" s="1"/>
  <c r="ER103" i="90"/>
  <c r="FB103" i="90" s="1"/>
  <c r="EA103" i="90"/>
  <c r="EG108" i="90"/>
  <c r="DP108" i="90"/>
  <c r="EI125" i="90"/>
  <c r="DR125" i="90"/>
  <c r="DZ114" i="90"/>
  <c r="EQ114" i="90"/>
  <c r="FC114" i="90" s="1"/>
  <c r="EJ128" i="90"/>
  <c r="DS128" i="90"/>
  <c r="EC131" i="90"/>
  <c r="ET131" i="90"/>
  <c r="EZ131" i="90" s="1"/>
  <c r="ER133" i="90"/>
  <c r="FB133" i="90" s="1"/>
  <c r="EA133" i="90"/>
  <c r="EH134" i="90"/>
  <c r="DQ134" i="90"/>
  <c r="DQ162" i="90"/>
  <c r="EH162" i="90"/>
  <c r="ES151" i="90"/>
  <c r="FA151" i="90" s="1"/>
  <c r="EB151" i="90"/>
  <c r="ES159" i="90"/>
  <c r="FA159" i="90" s="1"/>
  <c r="EB159" i="90"/>
  <c r="EI172" i="90"/>
  <c r="DR172" i="90"/>
  <c r="EH169" i="90"/>
  <c r="DQ169" i="90"/>
  <c r="EH177" i="90"/>
  <c r="DQ177" i="90"/>
  <c r="EH179" i="90"/>
  <c r="DQ179" i="90"/>
  <c r="EI168" i="90"/>
  <c r="DR168" i="90"/>
  <c r="ER174" i="90"/>
  <c r="FB174" i="90" s="1"/>
  <c r="EA174" i="90"/>
  <c r="ES145" i="90"/>
  <c r="FA145" i="90" s="1"/>
  <c r="EB145" i="90"/>
  <c r="EI155" i="90"/>
  <c r="DR155" i="90"/>
  <c r="ET167" i="90"/>
  <c r="EZ167" i="90" s="1"/>
  <c r="EC167" i="90"/>
  <c r="EH202" i="90"/>
  <c r="DQ202" i="90"/>
  <c r="ER93" i="90"/>
  <c r="FB93" i="90" s="1"/>
  <c r="EA93" i="90"/>
  <c r="EA97" i="90"/>
  <c r="ER97" i="90"/>
  <c r="FB97" i="90" s="1"/>
  <c r="ES96" i="90"/>
  <c r="FA96" i="90" s="1"/>
  <c r="EB96" i="90"/>
  <c r="EJ126" i="90"/>
  <c r="DS126" i="90"/>
  <c r="EH131" i="90"/>
  <c r="DQ131" i="90"/>
  <c r="EQ139" i="90"/>
  <c r="FC139" i="90" s="1"/>
  <c r="DZ139" i="90"/>
  <c r="EH148" i="90"/>
  <c r="DQ148" i="90"/>
  <c r="EH129" i="90"/>
  <c r="DQ129" i="90"/>
  <c r="EH142" i="90"/>
  <c r="DQ142" i="90"/>
  <c r="DZ153" i="90"/>
  <c r="EQ153" i="90"/>
  <c r="FC153" i="90" s="1"/>
  <c r="ES136" i="90"/>
  <c r="FA136" i="90" s="1"/>
  <c r="EB136" i="90"/>
  <c r="EH183" i="90"/>
  <c r="DQ183" i="90"/>
  <c r="EG156" i="90"/>
  <c r="DP156" i="90"/>
  <c r="ER163" i="90"/>
  <c r="FB163" i="90" s="1"/>
  <c r="EA163" i="90"/>
  <c r="ER166" i="90"/>
  <c r="FB166" i="90" s="1"/>
  <c r="EA166" i="90"/>
  <c r="EH138" i="90"/>
  <c r="DQ138" i="90"/>
  <c r="EJ157" i="90"/>
  <c r="DS157" i="90"/>
  <c r="EB162" i="90"/>
  <c r="ES162" i="90"/>
  <c r="FA162" i="90" s="1"/>
  <c r="EJ178" i="90"/>
  <c r="DS178" i="90"/>
  <c r="ES201" i="90"/>
  <c r="FA201" i="90" s="1"/>
  <c r="EB201" i="90"/>
  <c r="ER178" i="90"/>
  <c r="FB178" i="90" s="1"/>
  <c r="EA178" i="90"/>
  <c r="ES186" i="90"/>
  <c r="FA186" i="90" s="1"/>
  <c r="EB186" i="90"/>
  <c r="EH190" i="90"/>
  <c r="DQ190" i="90"/>
  <c r="DR92" i="90"/>
  <c r="EI92" i="90"/>
  <c r="EH97" i="90"/>
  <c r="DQ97" i="90"/>
  <c r="ES102" i="90"/>
  <c r="FA102" i="90" s="1"/>
  <c r="EB102" i="90"/>
  <c r="EH106" i="90"/>
  <c r="DQ106" i="90"/>
  <c r="EH104" i="90"/>
  <c r="DQ104" i="90"/>
  <c r="EQ94" i="90"/>
  <c r="FC94" i="90" s="1"/>
  <c r="DZ94" i="90"/>
  <c r="ES111" i="90"/>
  <c r="FA111" i="90" s="1"/>
  <c r="EB111" i="90"/>
  <c r="ES113" i="90"/>
  <c r="FA113" i="90" s="1"/>
  <c r="EB113" i="90"/>
  <c r="ER99" i="90"/>
  <c r="FB99" i="90" s="1"/>
  <c r="EA99" i="90"/>
  <c r="EI109" i="90"/>
  <c r="DR109" i="90"/>
  <c r="EI119" i="90"/>
  <c r="DR119" i="90"/>
  <c r="DT120" i="90"/>
  <c r="EI121" i="90"/>
  <c r="DR121" i="90"/>
  <c r="DQ115" i="90"/>
  <c r="EH115" i="90"/>
  <c r="DR132" i="90"/>
  <c r="EI132" i="90"/>
  <c r="EU141" i="90"/>
  <c r="EY141" i="90" s="1"/>
  <c r="ED141" i="90"/>
  <c r="EV141" i="90" s="1"/>
  <c r="EX141" i="90" s="1"/>
  <c r="EH160" i="90"/>
  <c r="DQ160" i="90"/>
  <c r="EQ135" i="90"/>
  <c r="FC135" i="90" s="1"/>
  <c r="DZ135" i="90"/>
  <c r="ES140" i="90"/>
  <c r="FA140" i="90" s="1"/>
  <c r="EB140" i="90"/>
  <c r="EJ143" i="90"/>
  <c r="DS143" i="90"/>
  <c r="EB154" i="90"/>
  <c r="ES154" i="90"/>
  <c r="FA154" i="90" s="1"/>
  <c r="DZ161" i="90"/>
  <c r="EQ161" i="90"/>
  <c r="FC161" i="90" s="1"/>
  <c r="ET148" i="90"/>
  <c r="EZ148" i="90" s="1"/>
  <c r="EC148" i="90"/>
  <c r="ER168" i="90"/>
  <c r="FB168" i="90" s="1"/>
  <c r="EA168" i="90"/>
  <c r="ER176" i="90"/>
  <c r="FB176" i="90" s="1"/>
  <c r="EA176" i="90"/>
  <c r="EJ139" i="90"/>
  <c r="DS139" i="90"/>
  <c r="EI153" i="90"/>
  <c r="DR153" i="90"/>
  <c r="ER157" i="90"/>
  <c r="FB157" i="90" s="1"/>
  <c r="EA157" i="90"/>
  <c r="EB164" i="90"/>
  <c r="ES164" i="90"/>
  <c r="FA164" i="90" s="1"/>
  <c r="EI176" i="90"/>
  <c r="DR176" i="90"/>
  <c r="ES180" i="90"/>
  <c r="FA180" i="90" s="1"/>
  <c r="EB180" i="90"/>
  <c r="EQ119" i="90"/>
  <c r="FC119" i="90" s="1"/>
  <c r="DZ119" i="90"/>
  <c r="EI163" i="90"/>
  <c r="DR163" i="90"/>
  <c r="EH173" i="90"/>
  <c r="DQ173" i="90"/>
  <c r="ET175" i="90"/>
  <c r="EZ175" i="90" s="1"/>
  <c r="EC175" i="90"/>
  <c r="EH181" i="90"/>
  <c r="DQ181" i="90"/>
  <c r="EH194" i="90"/>
  <c r="DQ194" i="90"/>
  <c r="ES203" i="90"/>
  <c r="FA203" i="90" s="1"/>
  <c r="EB203" i="90"/>
  <c r="EG185" i="90"/>
  <c r="DP185" i="90"/>
  <c r="DQ188" i="90"/>
  <c r="EH188" i="90"/>
  <c r="EI91" i="90"/>
  <c r="DR91" i="90"/>
  <c r="EH93" i="90"/>
  <c r="DQ93" i="90"/>
  <c r="EH99" i="90"/>
  <c r="DQ99" i="90"/>
  <c r="DQ111" i="90"/>
  <c r="EH111" i="90"/>
  <c r="EI107" i="90"/>
  <c r="DR107" i="90"/>
  <c r="EI127" i="90"/>
  <c r="DR127" i="90"/>
  <c r="ER117" i="90"/>
  <c r="FB117" i="90" s="1"/>
  <c r="EA117" i="90"/>
  <c r="ER125" i="90"/>
  <c r="FB125" i="90" s="1"/>
  <c r="EA125" i="90"/>
  <c r="EQ123" i="90"/>
  <c r="FC123" i="90" s="1"/>
  <c r="DZ123" i="90"/>
  <c r="EA92" i="90"/>
  <c r="ER92" i="90"/>
  <c r="FB92" i="90" s="1"/>
  <c r="DR96" i="90"/>
  <c r="EI96" i="90"/>
  <c r="EH94" i="90"/>
  <c r="DQ94" i="90"/>
  <c r="ES98" i="90"/>
  <c r="FA98" i="90" s="1"/>
  <c r="EB98" i="90"/>
  <c r="EH89" i="90"/>
  <c r="DQ89" i="90"/>
  <c r="EQ91" i="90"/>
  <c r="FC91" i="90" s="1"/>
  <c r="DZ91" i="90"/>
  <c r="ET101" i="90"/>
  <c r="EZ101" i="90" s="1"/>
  <c r="EC101" i="90"/>
  <c r="EB106" i="90"/>
  <c r="ES106" i="90"/>
  <c r="FA106" i="90" s="1"/>
  <c r="EI105" i="90"/>
  <c r="DR105" i="90"/>
  <c r="ER109" i="90"/>
  <c r="FB109" i="90" s="1"/>
  <c r="EA109" i="90"/>
  <c r="EB112" i="90"/>
  <c r="ES112" i="90"/>
  <c r="FA112" i="90" s="1"/>
  <c r="EI123" i="90"/>
  <c r="DR123" i="90"/>
  <c r="DQ103" i="90"/>
  <c r="EH103" i="90"/>
  <c r="ET108" i="90"/>
  <c r="EZ108" i="90" s="1"/>
  <c r="EC108" i="90"/>
  <c r="EI117" i="90"/>
  <c r="DR117" i="90"/>
  <c r="ET120" i="90"/>
  <c r="EZ120" i="90" s="1"/>
  <c r="EC120" i="90"/>
  <c r="ER129" i="90"/>
  <c r="FB129" i="90" s="1"/>
  <c r="EA129" i="90"/>
  <c r="ER107" i="90"/>
  <c r="FB107" i="90" s="1"/>
  <c r="EA107" i="90"/>
  <c r="EJ122" i="90"/>
  <c r="DS122" i="90"/>
  <c r="EQ127" i="90"/>
  <c r="FC127" i="90" s="1"/>
  <c r="DZ127" i="90"/>
  <c r="ES128" i="90"/>
  <c r="FA128" i="90" s="1"/>
  <c r="EB128" i="90"/>
  <c r="EI133" i="90"/>
  <c r="DR133" i="90"/>
  <c r="EJ135" i="90"/>
  <c r="DS135" i="90"/>
  <c r="EH146" i="90"/>
  <c r="DQ146" i="90"/>
  <c r="EU152" i="90"/>
  <c r="EY152" i="90" s="1"/>
  <c r="ED152" i="90"/>
  <c r="EV152" i="90" s="1"/>
  <c r="EX152" i="90" s="1"/>
  <c r="DQ164" i="90"/>
  <c r="EH164" i="90"/>
  <c r="EJ151" i="90"/>
  <c r="DS151" i="90"/>
  <c r="EG144" i="90"/>
  <c r="DP144" i="90"/>
  <c r="EH171" i="90"/>
  <c r="DQ171" i="90"/>
  <c r="EA173" i="90"/>
  <c r="ER173" i="90"/>
  <c r="FB173" i="90" s="1"/>
  <c r="EA165" i="90"/>
  <c r="ER165" i="90"/>
  <c r="FB165" i="90" s="1"/>
  <c r="EI170" i="90"/>
  <c r="DR170" i="90"/>
  <c r="EU158" i="90"/>
  <c r="EY158" i="90" s="1"/>
  <c r="ED158" i="90"/>
  <c r="EV158" i="90" s="1"/>
  <c r="EX158" i="90" s="1"/>
  <c r="DQ159" i="90"/>
  <c r="EH159" i="90"/>
  <c r="EI165" i="90"/>
  <c r="DR165" i="90"/>
  <c r="EH167" i="90"/>
  <c r="DQ167" i="90"/>
  <c r="ET169" i="90"/>
  <c r="EZ169" i="90" s="1"/>
  <c r="EC169" i="90"/>
  <c r="ES184" i="90"/>
  <c r="FA184" i="90" s="1"/>
  <c r="EB184" i="90"/>
  <c r="ER155" i="90"/>
  <c r="FB155" i="90" s="1"/>
  <c r="EA155" i="90"/>
  <c r="ET156" i="90"/>
  <c r="EZ156" i="90" s="1"/>
  <c r="EC156" i="90"/>
  <c r="EI166" i="90"/>
  <c r="DR166" i="90"/>
  <c r="ER172" i="90"/>
  <c r="FB172" i="90" s="1"/>
  <c r="EA172" i="90"/>
  <c r="EH192" i="90"/>
  <c r="DQ192" i="90"/>
  <c r="EH200" i="90"/>
  <c r="DQ200" i="90"/>
  <c r="ES195" i="90"/>
  <c r="FA195" i="90" s="1"/>
  <c r="EB195" i="90"/>
  <c r="EH196" i="90"/>
  <c r="DQ196" i="90"/>
  <c r="ER182" i="90"/>
  <c r="FB182" i="90" s="1"/>
  <c r="EA182" i="90"/>
  <c r="EH198" i="90"/>
  <c r="DQ198" i="90"/>
  <c r="ES199" i="90"/>
  <c r="FA199" i="90" s="1"/>
  <c r="EB199" i="90"/>
  <c r="ER73" i="90"/>
  <c r="FB73" i="90" s="1"/>
  <c r="EA73" i="90"/>
  <c r="ER82" i="90"/>
  <c r="FB82" i="90" s="1"/>
  <c r="EA82" i="90"/>
  <c r="ES83" i="90"/>
  <c r="FA83" i="90" s="1"/>
  <c r="EB83" i="90"/>
  <c r="EH77" i="90"/>
  <c r="DQ77" i="90"/>
  <c r="EH73" i="90"/>
  <c r="DQ73" i="90"/>
  <c r="EH82" i="90"/>
  <c r="DQ82" i="90"/>
  <c r="EI88" i="90"/>
  <c r="DR88" i="90"/>
  <c r="ES76" i="90"/>
  <c r="FA76" i="90" s="1"/>
  <c r="EB76" i="90"/>
  <c r="EH86" i="90"/>
  <c r="DQ86" i="90"/>
  <c r="ET87" i="90"/>
  <c r="EZ87" i="90" s="1"/>
  <c r="EC87" i="90"/>
  <c r="EI75" i="90"/>
  <c r="DR75" i="90"/>
  <c r="ER79" i="90"/>
  <c r="FB79" i="90" s="1"/>
  <c r="EA79" i="90"/>
  <c r="ET74" i="90"/>
  <c r="EZ74" i="90" s="1"/>
  <c r="EC74" i="90"/>
  <c r="EC85" i="90"/>
  <c r="ET85" i="90"/>
  <c r="EZ85" i="90" s="1"/>
  <c r="EJ76" i="90"/>
  <c r="DS76" i="90"/>
  <c r="EU81" i="90"/>
  <c r="EY81" i="90" s="1"/>
  <c r="ED81" i="90"/>
  <c r="EV81" i="90" s="1"/>
  <c r="EX81" i="90" s="1"/>
  <c r="DZ80" i="90"/>
  <c r="EQ80" i="90"/>
  <c r="FC80" i="90" s="1"/>
  <c r="EJ83" i="90"/>
  <c r="DS83" i="90"/>
  <c r="EJ85" i="90"/>
  <c r="DS85" i="90"/>
  <c r="ER88" i="90"/>
  <c r="FB88" i="90" s="1"/>
  <c r="EA88" i="90"/>
  <c r="EI79" i="90"/>
  <c r="DR79" i="90"/>
  <c r="EQ75" i="90"/>
  <c r="FC75" i="90" s="1"/>
  <c r="DZ75" i="90"/>
  <c r="ER86" i="90"/>
  <c r="FB86" i="90" s="1"/>
  <c r="EA86" i="90"/>
  <c r="EQ77" i="90"/>
  <c r="FC77" i="90" s="1"/>
  <c r="DZ77" i="90"/>
  <c r="DQ87" i="90"/>
  <c r="EH87" i="90"/>
  <c r="ET67" i="90"/>
  <c r="EZ67" i="90" s="1"/>
  <c r="EC67" i="90"/>
  <c r="ER64" i="90"/>
  <c r="FB64" i="90" s="1"/>
  <c r="EA64" i="90"/>
  <c r="EI72" i="90"/>
  <c r="DR72" i="90"/>
  <c r="EA72" i="90"/>
  <c r="ER72" i="90"/>
  <c r="FB72" i="90" s="1"/>
  <c r="EK65" i="90"/>
  <c r="DT65" i="90"/>
  <c r="ER66" i="90"/>
  <c r="FB66" i="90" s="1"/>
  <c r="EA66" i="90"/>
  <c r="ER68" i="90"/>
  <c r="FB68" i="90" s="1"/>
  <c r="EA68" i="90"/>
  <c r="EH70" i="90"/>
  <c r="DQ70" i="90"/>
  <c r="EI68" i="90"/>
  <c r="DR68" i="90"/>
  <c r="EI66" i="90"/>
  <c r="DR66" i="90"/>
  <c r="EI64" i="90"/>
  <c r="DR64" i="90"/>
  <c r="ER70" i="90"/>
  <c r="FB70" i="90" s="1"/>
  <c r="EA70" i="90"/>
  <c r="ES71" i="90"/>
  <c r="FA71" i="90" s="1"/>
  <c r="EB71" i="90"/>
  <c r="C14" i="5"/>
  <c r="C15" i="5"/>
  <c r="C13" i="5"/>
  <c r="C12" i="5"/>
  <c r="DQ184" i="90" l="1"/>
  <c r="EB150" i="90"/>
  <c r="ES150" i="90"/>
  <c r="FA150" i="90" s="1"/>
  <c r="EA65" i="90"/>
  <c r="ER65" i="90"/>
  <c r="FB65" i="90" s="1"/>
  <c r="DR283" i="90"/>
  <c r="ES197" i="90"/>
  <c r="FA197" i="90" s="1"/>
  <c r="DR118" i="90"/>
  <c r="EI118" i="90"/>
  <c r="ET353" i="90"/>
  <c r="EZ353" i="90" s="1"/>
  <c r="EU143" i="90"/>
  <c r="EY143" i="90" s="1"/>
  <c r="EB229" i="90"/>
  <c r="EH252" i="90"/>
  <c r="DQ252" i="90"/>
  <c r="EJ293" i="90"/>
  <c r="DS293" i="90"/>
  <c r="EA261" i="90"/>
  <c r="ER261" i="90"/>
  <c r="FB261" i="90" s="1"/>
  <c r="EH216" i="90"/>
  <c r="DQ216" i="90"/>
  <c r="EH343" i="90"/>
  <c r="DQ343" i="90"/>
  <c r="EB352" i="90"/>
  <c r="ES352" i="90"/>
  <c r="FA352" i="90" s="1"/>
  <c r="DQ342" i="90"/>
  <c r="EH342" i="90"/>
  <c r="EB360" i="90"/>
  <c r="ES360" i="90"/>
  <c r="FA360" i="90" s="1"/>
  <c r="EA306" i="90"/>
  <c r="ER306" i="90"/>
  <c r="FB306" i="90" s="1"/>
  <c r="ES341" i="90"/>
  <c r="FA341" i="90" s="1"/>
  <c r="EB341" i="90"/>
  <c r="EI350" i="90"/>
  <c r="DR350" i="90"/>
  <c r="DT353" i="90"/>
  <c r="EK353" i="90"/>
  <c r="EK346" i="90"/>
  <c r="DT346" i="90"/>
  <c r="DR364" i="90"/>
  <c r="EI364" i="90"/>
  <c r="DR354" i="90"/>
  <c r="EI354" i="90"/>
  <c r="ED353" i="90"/>
  <c r="EV353" i="90" s="1"/>
  <c r="EX353" i="90" s="1"/>
  <c r="EU353" i="90"/>
  <c r="EY353" i="90" s="1"/>
  <c r="EU356" i="90"/>
  <c r="EY356" i="90" s="1"/>
  <c r="ED356" i="90"/>
  <c r="EV356" i="90" s="1"/>
  <c r="EX356" i="90" s="1"/>
  <c r="DT347" i="90"/>
  <c r="EK347" i="90"/>
  <c r="EJ351" i="90"/>
  <c r="DS351" i="90"/>
  <c r="EJ363" i="90"/>
  <c r="DS363" i="90"/>
  <c r="ES362" i="90"/>
  <c r="FA362" i="90" s="1"/>
  <c r="EB362" i="90"/>
  <c r="EI361" i="90"/>
  <c r="DR361" i="90"/>
  <c r="ES349" i="90"/>
  <c r="FA349" i="90" s="1"/>
  <c r="EB349" i="90"/>
  <c r="ET344" i="90"/>
  <c r="EZ344" i="90" s="1"/>
  <c r="EC344" i="90"/>
  <c r="ET355" i="90"/>
  <c r="EZ355" i="90" s="1"/>
  <c r="EC355" i="90"/>
  <c r="ES358" i="90"/>
  <c r="FA358" i="90" s="1"/>
  <c r="EB358" i="90"/>
  <c r="EB357" i="90"/>
  <c r="ES357" i="90"/>
  <c r="FA357" i="90" s="1"/>
  <c r="EI348" i="90"/>
  <c r="DR348" i="90"/>
  <c r="DQ340" i="90"/>
  <c r="EH340" i="90"/>
  <c r="EC343" i="90"/>
  <c r="ET343" i="90"/>
  <c r="EZ343" i="90" s="1"/>
  <c r="EI341" i="90"/>
  <c r="DR341" i="90"/>
  <c r="EJ358" i="90"/>
  <c r="DS358" i="90"/>
  <c r="EI345" i="90"/>
  <c r="DR345" i="90"/>
  <c r="ED363" i="90"/>
  <c r="EV363" i="90" s="1"/>
  <c r="EX363" i="90" s="1"/>
  <c r="EU363" i="90"/>
  <c r="EY363" i="90" s="1"/>
  <c r="EJ349" i="90"/>
  <c r="DS349" i="90"/>
  <c r="ES351" i="90"/>
  <c r="FA351" i="90" s="1"/>
  <c r="EB351" i="90"/>
  <c r="EI352" i="90"/>
  <c r="DR352" i="90"/>
  <c r="EU345" i="90"/>
  <c r="EY345" i="90" s="1"/>
  <c r="ED345" i="90"/>
  <c r="EV345" i="90" s="1"/>
  <c r="EX345" i="90" s="1"/>
  <c r="EI355" i="90"/>
  <c r="DR355" i="90"/>
  <c r="ET364" i="90"/>
  <c r="EZ364" i="90" s="1"/>
  <c r="EC364" i="90"/>
  <c r="ET354" i="90"/>
  <c r="EZ354" i="90" s="1"/>
  <c r="EC354" i="90"/>
  <c r="EK359" i="90"/>
  <c r="DT359" i="90"/>
  <c r="EC347" i="90"/>
  <c r="ET347" i="90"/>
  <c r="EZ347" i="90" s="1"/>
  <c r="ET350" i="90"/>
  <c r="EZ350" i="90" s="1"/>
  <c r="EC350" i="90"/>
  <c r="ET359" i="90"/>
  <c r="EZ359" i="90" s="1"/>
  <c r="EC359" i="90"/>
  <c r="EI357" i="90"/>
  <c r="DR357" i="90"/>
  <c r="ET340" i="90"/>
  <c r="EZ340" i="90" s="1"/>
  <c r="EC340" i="90"/>
  <c r="DR360" i="90"/>
  <c r="EI360" i="90"/>
  <c r="EJ362" i="90"/>
  <c r="DS362" i="90"/>
  <c r="DR356" i="90"/>
  <c r="EI356" i="90"/>
  <c r="DQ344" i="90"/>
  <c r="EH344" i="90"/>
  <c r="ES348" i="90"/>
  <c r="FA348" i="90" s="1"/>
  <c r="EB348" i="90"/>
  <c r="ES342" i="90"/>
  <c r="FA342" i="90" s="1"/>
  <c r="EB342" i="90"/>
  <c r="EB361" i="90"/>
  <c r="ES361" i="90"/>
  <c r="FA361" i="90" s="1"/>
  <c r="ES346" i="90"/>
  <c r="FA346" i="90" s="1"/>
  <c r="EB346" i="90"/>
  <c r="ES270" i="90"/>
  <c r="FA270" i="90" s="1"/>
  <c r="EB270" i="90"/>
  <c r="DQ273" i="90"/>
  <c r="EH273" i="90"/>
  <c r="DQ251" i="90"/>
  <c r="EH251" i="90"/>
  <c r="EB256" i="90"/>
  <c r="ES256" i="90"/>
  <c r="FA256" i="90" s="1"/>
  <c r="DQ308" i="90"/>
  <c r="EH308" i="90"/>
  <c r="EB253" i="90"/>
  <c r="ES253" i="90"/>
  <c r="FA253" i="90" s="1"/>
  <c r="DS304" i="90"/>
  <c r="EJ304" i="90"/>
  <c r="EI292" i="90"/>
  <c r="DR292" i="90"/>
  <c r="DS263" i="90"/>
  <c r="EJ263" i="90"/>
  <c r="ES308" i="90"/>
  <c r="FA308" i="90" s="1"/>
  <c r="EB308" i="90"/>
  <c r="ET303" i="90"/>
  <c r="EZ303" i="90" s="1"/>
  <c r="EC303" i="90"/>
  <c r="EB304" i="90"/>
  <c r="ES304" i="90"/>
  <c r="FA304" i="90" s="1"/>
  <c r="ES291" i="90"/>
  <c r="FA291" i="90" s="1"/>
  <c r="EB291" i="90"/>
  <c r="EU266" i="90"/>
  <c r="EY266" i="90" s="1"/>
  <c r="ED266" i="90"/>
  <c r="EV266" i="90" s="1"/>
  <c r="EX266" i="90" s="1"/>
  <c r="EI256" i="90"/>
  <c r="DR256" i="90"/>
  <c r="DS255" i="90"/>
  <c r="EJ255" i="90"/>
  <c r="ES251" i="90"/>
  <c r="FA251" i="90" s="1"/>
  <c r="EB251" i="90"/>
  <c r="DS296" i="90"/>
  <c r="EJ296" i="90"/>
  <c r="DS300" i="90"/>
  <c r="EJ300" i="90"/>
  <c r="EI301" i="90"/>
  <c r="DR301" i="90"/>
  <c r="EJ302" i="90"/>
  <c r="DS302" i="90"/>
  <c r="EJ281" i="90"/>
  <c r="DS281" i="90"/>
  <c r="ET277" i="90"/>
  <c r="EZ277" i="90" s="1"/>
  <c r="EC277" i="90"/>
  <c r="EJ272" i="90"/>
  <c r="DS272" i="90"/>
  <c r="EB264" i="90"/>
  <c r="ES264" i="90"/>
  <c r="FA264" i="90" s="1"/>
  <c r="DR266" i="90"/>
  <c r="EI266" i="90"/>
  <c r="EI258" i="90"/>
  <c r="DR258" i="90"/>
  <c r="ET299" i="90"/>
  <c r="EZ299" i="90" s="1"/>
  <c r="EC299" i="90"/>
  <c r="EB300" i="90"/>
  <c r="ES300" i="90"/>
  <c r="FA300" i="90" s="1"/>
  <c r="EJ291" i="90"/>
  <c r="DS291" i="90"/>
  <c r="DS289" i="90"/>
  <c r="EJ289" i="90"/>
  <c r="EJ283" i="90"/>
  <c r="DS283" i="90"/>
  <c r="ES268" i="90"/>
  <c r="FA268" i="90" s="1"/>
  <c r="EB268" i="90"/>
  <c r="DR270" i="90"/>
  <c r="EI270" i="90"/>
  <c r="ER250" i="90"/>
  <c r="FB250" i="90" s="1"/>
  <c r="EA250" i="90"/>
  <c r="ET307" i="90"/>
  <c r="EZ307" i="90" s="1"/>
  <c r="EC307" i="90"/>
  <c r="EI307" i="90"/>
  <c r="DR307" i="90"/>
  <c r="EB289" i="90"/>
  <c r="ES289" i="90"/>
  <c r="FA289" i="90" s="1"/>
  <c r="ET280" i="90"/>
  <c r="EZ280" i="90" s="1"/>
  <c r="EC280" i="90"/>
  <c r="ET284" i="90"/>
  <c r="EZ284" i="90" s="1"/>
  <c r="EC284" i="90"/>
  <c r="EB249" i="90"/>
  <c r="ES249" i="90"/>
  <c r="FA249" i="90" s="1"/>
  <c r="EJ287" i="90"/>
  <c r="DS287" i="90"/>
  <c r="EU287" i="90"/>
  <c r="EY287" i="90" s="1"/>
  <c r="ED287" i="90"/>
  <c r="EV287" i="90" s="1"/>
  <c r="EX287" i="90" s="1"/>
  <c r="EJ276" i="90"/>
  <c r="DS276" i="90"/>
  <c r="EI275" i="90"/>
  <c r="DR275" i="90"/>
  <c r="ET260" i="90"/>
  <c r="EZ260" i="90" s="1"/>
  <c r="EC260" i="90"/>
  <c r="ET292" i="90"/>
  <c r="EZ292" i="90" s="1"/>
  <c r="EC292" i="90"/>
  <c r="EI286" i="90"/>
  <c r="DR286" i="90"/>
  <c r="ES279" i="90"/>
  <c r="FA279" i="90" s="1"/>
  <c r="EB279" i="90"/>
  <c r="DR277" i="90"/>
  <c r="EI277" i="90"/>
  <c r="ES258" i="90"/>
  <c r="FA258" i="90" s="1"/>
  <c r="EB258" i="90"/>
  <c r="DR303" i="90"/>
  <c r="EI303" i="90"/>
  <c r="ES276" i="90"/>
  <c r="FA276" i="90" s="1"/>
  <c r="EB276" i="90"/>
  <c r="EJ259" i="90"/>
  <c r="DS259" i="90"/>
  <c r="DS262" i="90"/>
  <c r="EJ262" i="90"/>
  <c r="DS260" i="90"/>
  <c r="EJ260" i="90"/>
  <c r="DR295" i="90"/>
  <c r="EI295" i="90"/>
  <c r="ET295" i="90"/>
  <c r="EZ295" i="90" s="1"/>
  <c r="EC295" i="90"/>
  <c r="EC297" i="90"/>
  <c r="ET297" i="90"/>
  <c r="EZ297" i="90" s="1"/>
  <c r="EI280" i="90"/>
  <c r="DR280" i="90"/>
  <c r="EI271" i="90"/>
  <c r="DR271" i="90"/>
  <c r="ES274" i="90"/>
  <c r="FA274" i="90" s="1"/>
  <c r="EB274" i="90"/>
  <c r="EJ274" i="90"/>
  <c r="DS274" i="90"/>
  <c r="EJ265" i="90"/>
  <c r="DS265" i="90"/>
  <c r="EI267" i="90"/>
  <c r="DR267" i="90"/>
  <c r="ES252" i="90"/>
  <c r="FA252" i="90" s="1"/>
  <c r="EB252" i="90"/>
  <c r="EJ306" i="90"/>
  <c r="DS306" i="90"/>
  <c r="EI297" i="90"/>
  <c r="DR297" i="90"/>
  <c r="EJ298" i="90"/>
  <c r="DS298" i="90"/>
  <c r="EC301" i="90"/>
  <c r="ET301" i="90"/>
  <c r="EZ301" i="90" s="1"/>
  <c r="EI290" i="90"/>
  <c r="DR290" i="90"/>
  <c r="ES283" i="90"/>
  <c r="FA283" i="90" s="1"/>
  <c r="EB283" i="90"/>
  <c r="EB267" i="90"/>
  <c r="ES267" i="90"/>
  <c r="FA267" i="90" s="1"/>
  <c r="EJ268" i="90"/>
  <c r="DS268" i="90"/>
  <c r="DR299" i="90"/>
  <c r="EI299" i="90"/>
  <c r="ES294" i="90"/>
  <c r="FA294" i="90" s="1"/>
  <c r="EB294" i="90"/>
  <c r="EB296" i="90"/>
  <c r="ES296" i="90"/>
  <c r="FA296" i="90" s="1"/>
  <c r="EJ294" i="90"/>
  <c r="DS294" i="90"/>
  <c r="EC290" i="90"/>
  <c r="ET290" i="90"/>
  <c r="EZ290" i="90" s="1"/>
  <c r="ET286" i="90"/>
  <c r="EZ286" i="90" s="1"/>
  <c r="EC286" i="90"/>
  <c r="EJ264" i="90"/>
  <c r="DS264" i="90"/>
  <c r="EC265" i="90"/>
  <c r="ET265" i="90"/>
  <c r="EZ265" i="90" s="1"/>
  <c r="ET269" i="90"/>
  <c r="EZ269" i="90" s="1"/>
  <c r="EC269" i="90"/>
  <c r="ES302" i="90"/>
  <c r="FA302" i="90" s="1"/>
  <c r="EB302" i="90"/>
  <c r="ET288" i="90"/>
  <c r="EZ288" i="90" s="1"/>
  <c r="EC288" i="90"/>
  <c r="ES275" i="90"/>
  <c r="FA275" i="90" s="1"/>
  <c r="EB275" i="90"/>
  <c r="EJ279" i="90"/>
  <c r="DS279" i="90"/>
  <c r="EI261" i="90"/>
  <c r="DR261" i="90"/>
  <c r="EB271" i="90"/>
  <c r="ES271" i="90"/>
  <c r="FA271" i="90" s="1"/>
  <c r="EH249" i="90"/>
  <c r="DQ249" i="90"/>
  <c r="EI254" i="90"/>
  <c r="DR254" i="90"/>
  <c r="ER254" i="90"/>
  <c r="FB254" i="90" s="1"/>
  <c r="EA254" i="90"/>
  <c r="EI253" i="90"/>
  <c r="DR253" i="90"/>
  <c r="EI282" i="90"/>
  <c r="DR282" i="90"/>
  <c r="EU285" i="90"/>
  <c r="EY285" i="90" s="1"/>
  <c r="ED285" i="90"/>
  <c r="EV285" i="90" s="1"/>
  <c r="EX285" i="90" s="1"/>
  <c r="EI278" i="90"/>
  <c r="DR278" i="90"/>
  <c r="ES272" i="90"/>
  <c r="FA272" i="90" s="1"/>
  <c r="EB272" i="90"/>
  <c r="ES263" i="90"/>
  <c r="FA263" i="90" s="1"/>
  <c r="EB263" i="90"/>
  <c r="EI250" i="90"/>
  <c r="DR250" i="90"/>
  <c r="DR257" i="90"/>
  <c r="EI257" i="90"/>
  <c r="ES281" i="90"/>
  <c r="FA281" i="90" s="1"/>
  <c r="EB281" i="90"/>
  <c r="EI284" i="90"/>
  <c r="DR284" i="90"/>
  <c r="EA259" i="90"/>
  <c r="ER259" i="90"/>
  <c r="FB259" i="90" s="1"/>
  <c r="ET255" i="90"/>
  <c r="EZ255" i="90" s="1"/>
  <c r="EC255" i="90"/>
  <c r="EI305" i="90"/>
  <c r="DR305" i="90"/>
  <c r="EL285" i="90"/>
  <c r="DU285" i="90"/>
  <c r="EM285" i="90" s="1"/>
  <c r="ET273" i="90"/>
  <c r="EZ273" i="90" s="1"/>
  <c r="EC273" i="90"/>
  <c r="ES298" i="90"/>
  <c r="FA298" i="90" s="1"/>
  <c r="EB298" i="90"/>
  <c r="ET305" i="90"/>
  <c r="EZ305" i="90" s="1"/>
  <c r="EC305" i="90"/>
  <c r="ES293" i="90"/>
  <c r="FA293" i="90" s="1"/>
  <c r="EB293" i="90"/>
  <c r="DR288" i="90"/>
  <c r="EI288" i="90"/>
  <c r="ET278" i="90"/>
  <c r="EZ278" i="90" s="1"/>
  <c r="EC278" i="90"/>
  <c r="EI269" i="90"/>
  <c r="DR269" i="90"/>
  <c r="EH114" i="90"/>
  <c r="DQ114" i="90"/>
  <c r="DQ100" i="90"/>
  <c r="EH100" i="90"/>
  <c r="EH95" i="90"/>
  <c r="DQ95" i="90"/>
  <c r="EH90" i="90"/>
  <c r="DQ90" i="90"/>
  <c r="DS84" i="90"/>
  <c r="EJ84" i="90"/>
  <c r="EI191" i="90"/>
  <c r="DR191" i="90"/>
  <c r="EI201" i="90"/>
  <c r="DR201" i="90"/>
  <c r="EA126" i="90"/>
  <c r="ER126" i="90"/>
  <c r="FB126" i="90" s="1"/>
  <c r="DQ161" i="90"/>
  <c r="EH161" i="90"/>
  <c r="EH141" i="90"/>
  <c r="DQ141" i="90"/>
  <c r="EB207" i="90"/>
  <c r="ES207" i="90"/>
  <c r="FA207" i="90" s="1"/>
  <c r="ES142" i="90"/>
  <c r="FA142" i="90" s="1"/>
  <c r="EB142" i="90"/>
  <c r="ES69" i="90"/>
  <c r="FA69" i="90" s="1"/>
  <c r="EB69" i="90"/>
  <c r="EI149" i="90"/>
  <c r="DR149" i="90"/>
  <c r="ET137" i="90"/>
  <c r="EZ137" i="90" s="1"/>
  <c r="EC137" i="90"/>
  <c r="EC134" i="90"/>
  <c r="ET134" i="90"/>
  <c r="EZ134" i="90" s="1"/>
  <c r="ES189" i="90"/>
  <c r="FA189" i="90" s="1"/>
  <c r="EB189" i="90"/>
  <c r="EA138" i="90"/>
  <c r="ER138" i="90"/>
  <c r="FB138" i="90" s="1"/>
  <c r="DR116" i="90"/>
  <c r="EI116" i="90"/>
  <c r="ER115" i="90"/>
  <c r="FB115" i="90" s="1"/>
  <c r="EA115" i="90"/>
  <c r="EB144" i="90"/>
  <c r="ES144" i="90"/>
  <c r="FA144" i="90" s="1"/>
  <c r="EB234" i="90"/>
  <c r="ES234" i="90"/>
  <c r="FA234" i="90" s="1"/>
  <c r="EC224" i="90"/>
  <c r="ET224" i="90"/>
  <c r="EZ224" i="90" s="1"/>
  <c r="DR74" i="90"/>
  <c r="EI74" i="90"/>
  <c r="EB198" i="90"/>
  <c r="ES198" i="90"/>
  <c r="FA198" i="90" s="1"/>
  <c r="EB190" i="90"/>
  <c r="ES190" i="90"/>
  <c r="FA190" i="90" s="1"/>
  <c r="EB196" i="90"/>
  <c r="ES196" i="90"/>
  <c r="FA196" i="90" s="1"/>
  <c r="EA118" i="90"/>
  <c r="ER118" i="90"/>
  <c r="FB118" i="90" s="1"/>
  <c r="DR184" i="90"/>
  <c r="EI184" i="90"/>
  <c r="DQ81" i="90"/>
  <c r="EH81" i="90"/>
  <c r="ES171" i="90"/>
  <c r="FA171" i="90" s="1"/>
  <c r="EB171" i="90"/>
  <c r="ET214" i="90"/>
  <c r="EZ214" i="90" s="1"/>
  <c r="EC214" i="90"/>
  <c r="DR80" i="90"/>
  <c r="EI80" i="90"/>
  <c r="EI199" i="90"/>
  <c r="DR199" i="90"/>
  <c r="EB181" i="90"/>
  <c r="ES181" i="90"/>
  <c r="FA181" i="90" s="1"/>
  <c r="DR137" i="90"/>
  <c r="EI137" i="90"/>
  <c r="EB104" i="90"/>
  <c r="ES104" i="90"/>
  <c r="FA104" i="90" s="1"/>
  <c r="DR207" i="90"/>
  <c r="EI207" i="90"/>
  <c r="DR71" i="90"/>
  <c r="EI71" i="90"/>
  <c r="EI195" i="90"/>
  <c r="DR195" i="90"/>
  <c r="EI180" i="90"/>
  <c r="DR180" i="90"/>
  <c r="EI193" i="90"/>
  <c r="DR193" i="90"/>
  <c r="ES78" i="90"/>
  <c r="FA78" i="90" s="1"/>
  <c r="EB78" i="90"/>
  <c r="ER147" i="90"/>
  <c r="FB147" i="90" s="1"/>
  <c r="EA147" i="90"/>
  <c r="EH136" i="90"/>
  <c r="DQ136" i="90"/>
  <c r="EB185" i="90"/>
  <c r="ES185" i="90"/>
  <c r="FA185" i="90" s="1"/>
  <c r="EI197" i="90"/>
  <c r="DR197" i="90"/>
  <c r="EB179" i="90"/>
  <c r="ES179" i="90"/>
  <c r="FA179" i="90" s="1"/>
  <c r="DR67" i="90"/>
  <c r="EI67" i="90"/>
  <c r="DR78" i="90"/>
  <c r="EI78" i="90"/>
  <c r="DR69" i="90"/>
  <c r="EI69" i="90"/>
  <c r="DQ147" i="90"/>
  <c r="EH147" i="90"/>
  <c r="DR140" i="90"/>
  <c r="EI140" i="90"/>
  <c r="EB202" i="90"/>
  <c r="ES202" i="90"/>
  <c r="FA202" i="90" s="1"/>
  <c r="EB194" i="90"/>
  <c r="ES194" i="90"/>
  <c r="FA194" i="90" s="1"/>
  <c r="DS187" i="90"/>
  <c r="EJ187" i="90"/>
  <c r="EB200" i="90"/>
  <c r="ES200" i="90"/>
  <c r="FA200" i="90" s="1"/>
  <c r="EB192" i="90"/>
  <c r="ES192" i="90"/>
  <c r="FA192" i="90" s="1"/>
  <c r="EB90" i="90"/>
  <c r="ES90" i="90"/>
  <c r="FA90" i="90" s="1"/>
  <c r="EI189" i="90"/>
  <c r="DR189" i="90"/>
  <c r="EB146" i="90"/>
  <c r="ES146" i="90"/>
  <c r="FA146" i="90" s="1"/>
  <c r="ES84" i="90"/>
  <c r="FA84" i="90" s="1"/>
  <c r="EB84" i="90"/>
  <c r="EB124" i="90"/>
  <c r="ES124" i="90"/>
  <c r="FA124" i="90" s="1"/>
  <c r="ER130" i="90"/>
  <c r="FB130" i="90" s="1"/>
  <c r="EA130" i="90"/>
  <c r="EI145" i="90"/>
  <c r="DR145" i="90"/>
  <c r="EH130" i="90"/>
  <c r="DQ130" i="90"/>
  <c r="EI203" i="90"/>
  <c r="DR203" i="90"/>
  <c r="ES183" i="90"/>
  <c r="FA183" i="90" s="1"/>
  <c r="EB183" i="90"/>
  <c r="DR124" i="90"/>
  <c r="EI124" i="90"/>
  <c r="EA215" i="90"/>
  <c r="ER215" i="90"/>
  <c r="FB215" i="90" s="1"/>
  <c r="ET229" i="90"/>
  <c r="EZ229" i="90" s="1"/>
  <c r="EC229" i="90"/>
  <c r="EI230" i="90"/>
  <c r="DR230" i="90"/>
  <c r="ET232" i="90"/>
  <c r="EZ232" i="90" s="1"/>
  <c r="EC232" i="90"/>
  <c r="ET221" i="90"/>
  <c r="EZ221" i="90" s="1"/>
  <c r="EC221" i="90"/>
  <c r="DR215" i="90"/>
  <c r="EI215" i="90"/>
  <c r="EC222" i="90"/>
  <c r="ET222" i="90"/>
  <c r="EZ222" i="90" s="1"/>
  <c r="EK218" i="90"/>
  <c r="DT218" i="90"/>
  <c r="ES211" i="90"/>
  <c r="FA211" i="90" s="1"/>
  <c r="EB211" i="90"/>
  <c r="ES208" i="90"/>
  <c r="FA208" i="90" s="1"/>
  <c r="EB208" i="90"/>
  <c r="ES204" i="90"/>
  <c r="FA204" i="90" s="1"/>
  <c r="EB204" i="90"/>
  <c r="EI228" i="90"/>
  <c r="DR228" i="90"/>
  <c r="ET231" i="90"/>
  <c r="EZ231" i="90" s="1"/>
  <c r="EC231" i="90"/>
  <c r="ER216" i="90"/>
  <c r="FB216" i="90" s="1"/>
  <c r="EA216" i="90"/>
  <c r="DR212" i="90"/>
  <c r="EI212" i="90"/>
  <c r="EI206" i="90"/>
  <c r="DR206" i="90"/>
  <c r="DR205" i="90"/>
  <c r="EI205" i="90"/>
  <c r="ET228" i="90"/>
  <c r="EZ228" i="90" s="1"/>
  <c r="EC228" i="90"/>
  <c r="EI224" i="90"/>
  <c r="DR224" i="90"/>
  <c r="DR217" i="90"/>
  <c r="EI217" i="90"/>
  <c r="DS209" i="90"/>
  <c r="EJ209" i="90"/>
  <c r="DQ225" i="90"/>
  <c r="EH225" i="90"/>
  <c r="EB212" i="90"/>
  <c r="ES212" i="90"/>
  <c r="FA212" i="90" s="1"/>
  <c r="ET205" i="90"/>
  <c r="EZ205" i="90" s="1"/>
  <c r="EC205" i="90"/>
  <c r="ES206" i="90"/>
  <c r="FA206" i="90" s="1"/>
  <c r="EB206" i="90"/>
  <c r="ET236" i="90"/>
  <c r="EZ236" i="90" s="1"/>
  <c r="EC236" i="90"/>
  <c r="ED226" i="90"/>
  <c r="EV226" i="90" s="1"/>
  <c r="EX226" i="90" s="1"/>
  <c r="EU226" i="90"/>
  <c r="EY226" i="90" s="1"/>
  <c r="EI227" i="90"/>
  <c r="DR227" i="90"/>
  <c r="ET235" i="90"/>
  <c r="EZ235" i="90" s="1"/>
  <c r="EC235" i="90"/>
  <c r="EI234" i="90"/>
  <c r="DR234" i="90"/>
  <c r="DR219" i="90"/>
  <c r="EI219" i="90"/>
  <c r="EI210" i="90"/>
  <c r="DR210" i="90"/>
  <c r="EI204" i="90"/>
  <c r="DR204" i="90"/>
  <c r="EJ226" i="90"/>
  <c r="DS226" i="90"/>
  <c r="ET225" i="90"/>
  <c r="EZ225" i="90" s="1"/>
  <c r="EC225" i="90"/>
  <c r="DR221" i="90"/>
  <c r="EI221" i="90"/>
  <c r="EK235" i="90"/>
  <c r="DT235" i="90"/>
  <c r="EI236" i="90"/>
  <c r="DR236" i="90"/>
  <c r="ET227" i="90"/>
  <c r="EZ227" i="90" s="1"/>
  <c r="EC227" i="90"/>
  <c r="ES213" i="90"/>
  <c r="FA213" i="90" s="1"/>
  <c r="EB213" i="90"/>
  <c r="ET220" i="90"/>
  <c r="EZ220" i="90" s="1"/>
  <c r="EC220" i="90"/>
  <c r="DR214" i="90"/>
  <c r="EI214" i="90"/>
  <c r="ET233" i="90"/>
  <c r="EZ233" i="90" s="1"/>
  <c r="EC233" i="90"/>
  <c r="EI229" i="90"/>
  <c r="DR229" i="90"/>
  <c r="EB209" i="90"/>
  <c r="ES209" i="90"/>
  <c r="FA209" i="90" s="1"/>
  <c r="EI233" i="90"/>
  <c r="DR233" i="90"/>
  <c r="ES218" i="90"/>
  <c r="FA218" i="90" s="1"/>
  <c r="EB218" i="90"/>
  <c r="DT213" i="90"/>
  <c r="EK213" i="90"/>
  <c r="EI220" i="90"/>
  <c r="DR220" i="90"/>
  <c r="ES217" i="90"/>
  <c r="FA217" i="90" s="1"/>
  <c r="EB217" i="90"/>
  <c r="EI231" i="90"/>
  <c r="DR231" i="90"/>
  <c r="ET230" i="90"/>
  <c r="EZ230" i="90" s="1"/>
  <c r="EC230" i="90"/>
  <c r="ER210" i="90"/>
  <c r="FB210" i="90" s="1"/>
  <c r="EA210" i="90"/>
  <c r="EI222" i="90"/>
  <c r="DR222" i="90"/>
  <c r="EK208" i="90"/>
  <c r="DT208" i="90"/>
  <c r="DQ211" i="90"/>
  <c r="EH211" i="90"/>
  <c r="EI232" i="90"/>
  <c r="DR232" i="90"/>
  <c r="DQ223" i="90"/>
  <c r="EH223" i="90"/>
  <c r="EI198" i="90"/>
  <c r="DR198" i="90"/>
  <c r="ES182" i="90"/>
  <c r="FA182" i="90" s="1"/>
  <c r="EB182" i="90"/>
  <c r="EI196" i="90"/>
  <c r="DR196" i="90"/>
  <c r="EI200" i="90"/>
  <c r="DR200" i="90"/>
  <c r="EI192" i="90"/>
  <c r="DR192" i="90"/>
  <c r="EJ166" i="90"/>
  <c r="DS166" i="90"/>
  <c r="ES155" i="90"/>
  <c r="FA155" i="90" s="1"/>
  <c r="EB155" i="90"/>
  <c r="EI159" i="90"/>
  <c r="DR159" i="90"/>
  <c r="ES173" i="90"/>
  <c r="FA173" i="90" s="1"/>
  <c r="EB173" i="90"/>
  <c r="EI164" i="90"/>
  <c r="DR164" i="90"/>
  <c r="ER127" i="90"/>
  <c r="FB127" i="90" s="1"/>
  <c r="EA127" i="90"/>
  <c r="ES109" i="90"/>
  <c r="FA109" i="90" s="1"/>
  <c r="EB109" i="90"/>
  <c r="ES92" i="90"/>
  <c r="FA92" i="90" s="1"/>
  <c r="EB92" i="90"/>
  <c r="ER123" i="90"/>
  <c r="FB123" i="90" s="1"/>
  <c r="EA123" i="90"/>
  <c r="ES117" i="90"/>
  <c r="FA117" i="90" s="1"/>
  <c r="EB117" i="90"/>
  <c r="EJ107" i="90"/>
  <c r="DS107" i="90"/>
  <c r="DR99" i="90"/>
  <c r="EI99" i="90"/>
  <c r="EI93" i="90"/>
  <c r="DR93" i="90"/>
  <c r="ET203" i="90"/>
  <c r="EZ203" i="90" s="1"/>
  <c r="EC203" i="90"/>
  <c r="EU175" i="90"/>
  <c r="EY175" i="90" s="1"/>
  <c r="ED175" i="90"/>
  <c r="EV175" i="90" s="1"/>
  <c r="EX175" i="90" s="1"/>
  <c r="EJ163" i="90"/>
  <c r="DS163" i="90"/>
  <c r="ER119" i="90"/>
  <c r="FB119" i="90" s="1"/>
  <c r="EA119" i="90"/>
  <c r="EJ176" i="90"/>
  <c r="DS176" i="90"/>
  <c r="ET164" i="90"/>
  <c r="EZ164" i="90" s="1"/>
  <c r="EC164" i="90"/>
  <c r="EJ153" i="90"/>
  <c r="DS153" i="90"/>
  <c r="EC140" i="90"/>
  <c r="ET140" i="90"/>
  <c r="EZ140" i="90" s="1"/>
  <c r="EI160" i="90"/>
  <c r="DR160" i="90"/>
  <c r="DR115" i="90"/>
  <c r="EI115" i="90"/>
  <c r="EL120" i="90"/>
  <c r="DU120" i="90"/>
  <c r="EM120" i="90" s="1"/>
  <c r="EJ119" i="90"/>
  <c r="DS119" i="90"/>
  <c r="EJ109" i="90"/>
  <c r="DS109" i="90"/>
  <c r="EC186" i="90"/>
  <c r="ET186" i="90"/>
  <c r="EZ186" i="90" s="1"/>
  <c r="ET201" i="90"/>
  <c r="EZ201" i="90" s="1"/>
  <c r="EC201" i="90"/>
  <c r="EB163" i="90"/>
  <c r="ES163" i="90"/>
  <c r="FA163" i="90" s="1"/>
  <c r="DR183" i="90"/>
  <c r="EI183" i="90"/>
  <c r="EI129" i="90"/>
  <c r="DR129" i="90"/>
  <c r="EA139" i="90"/>
  <c r="ER139" i="90"/>
  <c r="FB139" i="90" s="1"/>
  <c r="EC96" i="90"/>
  <c r="ET96" i="90"/>
  <c r="EZ96" i="90" s="1"/>
  <c r="ES93" i="90"/>
  <c r="FA93" i="90" s="1"/>
  <c r="EB93" i="90"/>
  <c r="EI202" i="90"/>
  <c r="DR202" i="90"/>
  <c r="ES174" i="90"/>
  <c r="FA174" i="90" s="1"/>
  <c r="EB174" i="90"/>
  <c r="DR179" i="90"/>
  <c r="EI179" i="90"/>
  <c r="EJ172" i="90"/>
  <c r="DS172" i="90"/>
  <c r="ET151" i="90"/>
  <c r="EZ151" i="90" s="1"/>
  <c r="EC151" i="90"/>
  <c r="DR162" i="90"/>
  <c r="EI162" i="90"/>
  <c r="EB133" i="90"/>
  <c r="ES133" i="90"/>
  <c r="FA133" i="90" s="1"/>
  <c r="EK128" i="90"/>
  <c r="DT128" i="90"/>
  <c r="EJ125" i="90"/>
  <c r="DS125" i="90"/>
  <c r="ES103" i="90"/>
  <c r="FA103" i="90" s="1"/>
  <c r="EB103" i="90"/>
  <c r="ES100" i="90"/>
  <c r="FA100" i="90" s="1"/>
  <c r="EB100" i="90"/>
  <c r="DR110" i="90"/>
  <c r="EI110" i="90"/>
  <c r="ET191" i="90"/>
  <c r="EZ191" i="90" s="1"/>
  <c r="EC191" i="90"/>
  <c r="EH152" i="90"/>
  <c r="DQ152" i="90"/>
  <c r="ES170" i="90"/>
  <c r="FA170" i="90" s="1"/>
  <c r="EB170" i="90"/>
  <c r="EI150" i="90"/>
  <c r="DR150" i="90"/>
  <c r="DR154" i="90"/>
  <c r="EI154" i="90"/>
  <c r="ES121" i="90"/>
  <c r="FA121" i="90" s="1"/>
  <c r="EB121" i="90"/>
  <c r="EU169" i="90"/>
  <c r="EY169" i="90" s="1"/>
  <c r="ED169" i="90"/>
  <c r="EV169" i="90" s="1"/>
  <c r="EX169" i="90" s="1"/>
  <c r="EJ165" i="90"/>
  <c r="DS165" i="90"/>
  <c r="DR171" i="90"/>
  <c r="EI171" i="90"/>
  <c r="EK151" i="90"/>
  <c r="DT151" i="90"/>
  <c r="EI146" i="90"/>
  <c r="DR146" i="90"/>
  <c r="DS133" i="90"/>
  <c r="EJ133" i="90"/>
  <c r="EB129" i="90"/>
  <c r="ES129" i="90"/>
  <c r="FA129" i="90" s="1"/>
  <c r="EJ117" i="90"/>
  <c r="DS117" i="90"/>
  <c r="EJ123" i="90"/>
  <c r="DS123" i="90"/>
  <c r="ET106" i="90"/>
  <c r="EZ106" i="90" s="1"/>
  <c r="EC106" i="90"/>
  <c r="ER91" i="90"/>
  <c r="FB91" i="90" s="1"/>
  <c r="EA91" i="90"/>
  <c r="ET98" i="90"/>
  <c r="EZ98" i="90" s="1"/>
  <c r="EC98" i="90"/>
  <c r="DR188" i="90"/>
  <c r="EI188" i="90"/>
  <c r="ES168" i="90"/>
  <c r="FA168" i="90" s="1"/>
  <c r="EB168" i="90"/>
  <c r="ET154" i="90"/>
  <c r="EZ154" i="90" s="1"/>
  <c r="EC154" i="90"/>
  <c r="EC113" i="90"/>
  <c r="ET113" i="90"/>
  <c r="EZ113" i="90" s="1"/>
  <c r="EA94" i="90"/>
  <c r="ER94" i="90"/>
  <c r="FB94" i="90" s="1"/>
  <c r="DR106" i="90"/>
  <c r="EI106" i="90"/>
  <c r="ET102" i="90"/>
  <c r="EZ102" i="90" s="1"/>
  <c r="EC102" i="90"/>
  <c r="EJ92" i="90"/>
  <c r="DS92" i="90"/>
  <c r="ET162" i="90"/>
  <c r="EZ162" i="90" s="1"/>
  <c r="EC162" i="90"/>
  <c r="ER153" i="90"/>
  <c r="FB153" i="90" s="1"/>
  <c r="EA153" i="90"/>
  <c r="EK126" i="90"/>
  <c r="DT126" i="90"/>
  <c r="EJ155" i="90"/>
  <c r="DS155" i="90"/>
  <c r="EI98" i="90"/>
  <c r="DR98" i="90"/>
  <c r="DR101" i="90"/>
  <c r="EI101" i="90"/>
  <c r="EJ186" i="90"/>
  <c r="DS186" i="90"/>
  <c r="ET193" i="90"/>
  <c r="EZ193" i="90" s="1"/>
  <c r="EC193" i="90"/>
  <c r="ES187" i="90"/>
  <c r="FA187" i="90" s="1"/>
  <c r="EB187" i="90"/>
  <c r="EJ174" i="90"/>
  <c r="DS174" i="90"/>
  <c r="DR175" i="90"/>
  <c r="EI175" i="90"/>
  <c r="ET199" i="90"/>
  <c r="EZ199" i="90" s="1"/>
  <c r="EC199" i="90"/>
  <c r="ET197" i="90"/>
  <c r="EZ197" i="90" s="1"/>
  <c r="EC197" i="90"/>
  <c r="ET195" i="90"/>
  <c r="EZ195" i="90" s="1"/>
  <c r="EC195" i="90"/>
  <c r="ES172" i="90"/>
  <c r="FA172" i="90" s="1"/>
  <c r="EB172" i="90"/>
  <c r="EU156" i="90"/>
  <c r="EY156" i="90" s="1"/>
  <c r="ED156" i="90"/>
  <c r="EV156" i="90" s="1"/>
  <c r="EX156" i="90" s="1"/>
  <c r="EC184" i="90"/>
  <c r="ET184" i="90"/>
  <c r="EZ184" i="90" s="1"/>
  <c r="EB165" i="90"/>
  <c r="ES165" i="90"/>
  <c r="FA165" i="90" s="1"/>
  <c r="ET128" i="90"/>
  <c r="EZ128" i="90" s="1"/>
  <c r="EC128" i="90"/>
  <c r="EK122" i="90"/>
  <c r="DT122" i="90"/>
  <c r="EI103" i="90"/>
  <c r="DR103" i="90"/>
  <c r="ET112" i="90"/>
  <c r="EZ112" i="90" s="1"/>
  <c r="EC112" i="90"/>
  <c r="EJ105" i="90"/>
  <c r="DS105" i="90"/>
  <c r="EU101" i="90"/>
  <c r="EY101" i="90" s="1"/>
  <c r="ED101" i="90"/>
  <c r="EV101" i="90" s="1"/>
  <c r="EX101" i="90" s="1"/>
  <c r="EJ96" i="90"/>
  <c r="DS96" i="90"/>
  <c r="ES125" i="90"/>
  <c r="FA125" i="90" s="1"/>
  <c r="EB125" i="90"/>
  <c r="DS127" i="90"/>
  <c r="EJ127" i="90"/>
  <c r="EJ91" i="90"/>
  <c r="DS91" i="90"/>
  <c r="EH185" i="90"/>
  <c r="DQ185" i="90"/>
  <c r="EI194" i="90"/>
  <c r="DR194" i="90"/>
  <c r="DR181" i="90"/>
  <c r="EI181" i="90"/>
  <c r="DR173" i="90"/>
  <c r="EI173" i="90"/>
  <c r="EC180" i="90"/>
  <c r="ET180" i="90"/>
  <c r="EZ180" i="90" s="1"/>
  <c r="ES157" i="90"/>
  <c r="FA157" i="90" s="1"/>
  <c r="EB157" i="90"/>
  <c r="DT139" i="90"/>
  <c r="EK139" i="90"/>
  <c r="DT143" i="90"/>
  <c r="EK143" i="90"/>
  <c r="EA135" i="90"/>
  <c r="ER135" i="90"/>
  <c r="FB135" i="90" s="1"/>
  <c r="EJ132" i="90"/>
  <c r="DS132" i="90"/>
  <c r="EI190" i="90"/>
  <c r="DR190" i="90"/>
  <c r="ES178" i="90"/>
  <c r="FA178" i="90" s="1"/>
  <c r="EB178" i="90"/>
  <c r="DT178" i="90"/>
  <c r="EK178" i="90"/>
  <c r="EK157" i="90"/>
  <c r="DT157" i="90"/>
  <c r="DR138" i="90"/>
  <c r="EI138" i="90"/>
  <c r="ES166" i="90"/>
  <c r="FA166" i="90" s="1"/>
  <c r="EB166" i="90"/>
  <c r="EH156" i="90"/>
  <c r="DQ156" i="90"/>
  <c r="EC136" i="90"/>
  <c r="ET136" i="90"/>
  <c r="EZ136" i="90" s="1"/>
  <c r="DR142" i="90"/>
  <c r="EI142" i="90"/>
  <c r="EI148" i="90"/>
  <c r="DR148" i="90"/>
  <c r="EJ168" i="90"/>
  <c r="DS168" i="90"/>
  <c r="DR177" i="90"/>
  <c r="EI177" i="90"/>
  <c r="DR169" i="90"/>
  <c r="EI169" i="90"/>
  <c r="ET159" i="90"/>
  <c r="EZ159" i="90" s="1"/>
  <c r="EC159" i="90"/>
  <c r="DR134" i="90"/>
  <c r="EI134" i="90"/>
  <c r="EH108" i="90"/>
  <c r="DQ108" i="90"/>
  <c r="EU160" i="90"/>
  <c r="EY160" i="90" s="1"/>
  <c r="ED160" i="90"/>
  <c r="EV160" i="90" s="1"/>
  <c r="EX160" i="90" s="1"/>
  <c r="DR158" i="90"/>
  <c r="EI158" i="90"/>
  <c r="ET149" i="90"/>
  <c r="EZ149" i="90" s="1"/>
  <c r="EC149" i="90"/>
  <c r="EC132" i="90"/>
  <c r="ET132" i="90"/>
  <c r="EZ132" i="90" s="1"/>
  <c r="EU116" i="90"/>
  <c r="EY116" i="90" s="1"/>
  <c r="ED116" i="90"/>
  <c r="EV116" i="90" s="1"/>
  <c r="EX116" i="90" s="1"/>
  <c r="EU122" i="90"/>
  <c r="EY122" i="90" s="1"/>
  <c r="ED122" i="90"/>
  <c r="EV122" i="90" s="1"/>
  <c r="EX122" i="90" s="1"/>
  <c r="DR167" i="90"/>
  <c r="EI167" i="90"/>
  <c r="EJ170" i="90"/>
  <c r="DS170" i="90"/>
  <c r="EH144" i="90"/>
  <c r="DQ144" i="90"/>
  <c r="DT135" i="90"/>
  <c r="EK135" i="90"/>
  <c r="ES107" i="90"/>
  <c r="FA107" i="90" s="1"/>
  <c r="EB107" i="90"/>
  <c r="EU120" i="90"/>
  <c r="EY120" i="90" s="1"/>
  <c r="ED120" i="90"/>
  <c r="EV120" i="90" s="1"/>
  <c r="EX120" i="90" s="1"/>
  <c r="EU108" i="90"/>
  <c r="EY108" i="90" s="1"/>
  <c r="ED108" i="90"/>
  <c r="EV108" i="90" s="1"/>
  <c r="EX108" i="90" s="1"/>
  <c r="EI89" i="90"/>
  <c r="DR89" i="90"/>
  <c r="DR94" i="90"/>
  <c r="EI94" i="90"/>
  <c r="EI111" i="90"/>
  <c r="DR111" i="90"/>
  <c r="ES176" i="90"/>
  <c r="FA176" i="90" s="1"/>
  <c r="EB176" i="90"/>
  <c r="EU148" i="90"/>
  <c r="EY148" i="90" s="1"/>
  <c r="ED148" i="90"/>
  <c r="EV148" i="90" s="1"/>
  <c r="EX148" i="90" s="1"/>
  <c r="ER161" i="90"/>
  <c r="FB161" i="90" s="1"/>
  <c r="EA161" i="90"/>
  <c r="EJ121" i="90"/>
  <c r="DS121" i="90"/>
  <c r="EB99" i="90"/>
  <c r="ES99" i="90"/>
  <c r="FA99" i="90" s="1"/>
  <c r="ET111" i="90"/>
  <c r="EZ111" i="90" s="1"/>
  <c r="EC111" i="90"/>
  <c r="EI104" i="90"/>
  <c r="DR104" i="90"/>
  <c r="DR97" i="90"/>
  <c r="EI97" i="90"/>
  <c r="EI131" i="90"/>
  <c r="DR131" i="90"/>
  <c r="ES97" i="90"/>
  <c r="FA97" i="90" s="1"/>
  <c r="EB97" i="90"/>
  <c r="EU167" i="90"/>
  <c r="EY167" i="90" s="1"/>
  <c r="ED167" i="90"/>
  <c r="EV167" i="90" s="1"/>
  <c r="EX167" i="90" s="1"/>
  <c r="ET145" i="90"/>
  <c r="EZ145" i="90" s="1"/>
  <c r="EC145" i="90"/>
  <c r="EU131" i="90"/>
  <c r="EY131" i="90" s="1"/>
  <c r="ED131" i="90"/>
  <c r="EV131" i="90" s="1"/>
  <c r="EX131" i="90" s="1"/>
  <c r="EA114" i="90"/>
  <c r="ER114" i="90"/>
  <c r="FB114" i="90" s="1"/>
  <c r="ER105" i="90"/>
  <c r="FB105" i="90" s="1"/>
  <c r="EA105" i="90"/>
  <c r="DR112" i="90"/>
  <c r="EI112" i="90"/>
  <c r="EI102" i="90"/>
  <c r="DR102" i="90"/>
  <c r="EA95" i="90"/>
  <c r="ER95" i="90"/>
  <c r="FB95" i="90" s="1"/>
  <c r="ES188" i="90"/>
  <c r="FA188" i="90" s="1"/>
  <c r="EB188" i="90"/>
  <c r="DT182" i="90"/>
  <c r="EK182" i="90"/>
  <c r="EU177" i="90"/>
  <c r="EY177" i="90" s="1"/>
  <c r="ED177" i="90"/>
  <c r="EV177" i="90" s="1"/>
  <c r="EX177" i="90" s="1"/>
  <c r="EI113" i="90"/>
  <c r="DR113" i="90"/>
  <c r="ES89" i="90"/>
  <c r="FA89" i="90" s="1"/>
  <c r="EB89" i="90"/>
  <c r="DR87" i="90"/>
  <c r="EI87" i="90"/>
  <c r="ER75" i="90"/>
  <c r="FB75" i="90" s="1"/>
  <c r="EA75" i="90"/>
  <c r="DT85" i="90"/>
  <c r="EK85" i="90"/>
  <c r="EK76" i="90"/>
  <c r="DT76" i="90"/>
  <c r="EU74" i="90"/>
  <c r="EY74" i="90" s="1"/>
  <c r="ED74" i="90"/>
  <c r="EV74" i="90" s="1"/>
  <c r="EX74" i="90" s="1"/>
  <c r="EJ75" i="90"/>
  <c r="DS75" i="90"/>
  <c r="ED87" i="90"/>
  <c r="EV87" i="90" s="1"/>
  <c r="EX87" i="90" s="1"/>
  <c r="EU87" i="90"/>
  <c r="EY87" i="90" s="1"/>
  <c r="DS88" i="90"/>
  <c r="EJ88" i="90"/>
  <c r="DR82" i="90"/>
  <c r="EI82" i="90"/>
  <c r="EI77" i="90"/>
  <c r="DR77" i="90"/>
  <c r="EC83" i="90"/>
  <c r="ET83" i="90"/>
  <c r="EZ83" i="90" s="1"/>
  <c r="ER77" i="90"/>
  <c r="FB77" i="90" s="1"/>
  <c r="EA77" i="90"/>
  <c r="EU85" i="90"/>
  <c r="EY85" i="90" s="1"/>
  <c r="ED85" i="90"/>
  <c r="EV85" i="90" s="1"/>
  <c r="EX85" i="90" s="1"/>
  <c r="ET76" i="90"/>
  <c r="EZ76" i="90" s="1"/>
  <c r="EC76" i="90"/>
  <c r="ES86" i="90"/>
  <c r="FA86" i="90" s="1"/>
  <c r="EB86" i="90"/>
  <c r="EJ79" i="90"/>
  <c r="DS79" i="90"/>
  <c r="EB88" i="90"/>
  <c r="ES88" i="90"/>
  <c r="FA88" i="90" s="1"/>
  <c r="EA80" i="90"/>
  <c r="ER80" i="90"/>
  <c r="FB80" i="90" s="1"/>
  <c r="DT83" i="90"/>
  <c r="EK83" i="90"/>
  <c r="ES79" i="90"/>
  <c r="FA79" i="90" s="1"/>
  <c r="EB79" i="90"/>
  <c r="DR86" i="90"/>
  <c r="EI86" i="90"/>
  <c r="EI73" i="90"/>
  <c r="DR73" i="90"/>
  <c r="EB82" i="90"/>
  <c r="ES82" i="90"/>
  <c r="FA82" i="90" s="1"/>
  <c r="ES73" i="90"/>
  <c r="FA73" i="90" s="1"/>
  <c r="EB73" i="90"/>
  <c r="ES68" i="90"/>
  <c r="FA68" i="90" s="1"/>
  <c r="EB68" i="90"/>
  <c r="EL65" i="90"/>
  <c r="DU65" i="90"/>
  <c r="EM65" i="90" s="1"/>
  <c r="ES64" i="90"/>
  <c r="FA64" i="90" s="1"/>
  <c r="EB64" i="90"/>
  <c r="EB70" i="90"/>
  <c r="ES70" i="90"/>
  <c r="FA70" i="90" s="1"/>
  <c r="EJ68" i="90"/>
  <c r="DS68" i="90"/>
  <c r="EB72" i="90"/>
  <c r="ES72" i="90"/>
  <c r="FA72" i="90" s="1"/>
  <c r="ES66" i="90"/>
  <c r="FA66" i="90" s="1"/>
  <c r="EB66" i="90"/>
  <c r="EJ72" i="90"/>
  <c r="DS72" i="90"/>
  <c r="EU67" i="90"/>
  <c r="EY67" i="90" s="1"/>
  <c r="ED67" i="90"/>
  <c r="EV67" i="90" s="1"/>
  <c r="EX67" i="90" s="1"/>
  <c r="ET71" i="90"/>
  <c r="EZ71" i="90" s="1"/>
  <c r="EC71" i="90"/>
  <c r="EJ64" i="90"/>
  <c r="DS64" i="90"/>
  <c r="EJ66" i="90"/>
  <c r="DS66" i="90"/>
  <c r="EI70" i="90"/>
  <c r="DR70" i="90"/>
  <c r="U42" i="98"/>
  <c r="U43" i="98"/>
  <c r="U44" i="98"/>
  <c r="U41" i="98"/>
  <c r="U19" i="98"/>
  <c r="U20" i="98"/>
  <c r="U21" i="98"/>
  <c r="U22" i="98"/>
  <c r="U18" i="98"/>
  <c r="U9" i="98"/>
  <c r="U10" i="98"/>
  <c r="U11" i="98"/>
  <c r="U12" i="98"/>
  <c r="U8" i="98"/>
  <c r="R92" i="98"/>
  <c r="Q92" i="98"/>
  <c r="P92" i="98"/>
  <c r="O92" i="98"/>
  <c r="N92" i="98"/>
  <c r="M92" i="98"/>
  <c r="L92" i="98"/>
  <c r="K92" i="98"/>
  <c r="J92" i="98"/>
  <c r="I92" i="98"/>
  <c r="H92" i="98"/>
  <c r="G92" i="98"/>
  <c r="F92" i="98"/>
  <c r="E92" i="98"/>
  <c r="D92" i="98"/>
  <c r="R91" i="98"/>
  <c r="Q91" i="98"/>
  <c r="P91" i="98"/>
  <c r="O91" i="98"/>
  <c r="N91" i="98"/>
  <c r="M91" i="98"/>
  <c r="L91" i="98"/>
  <c r="K91" i="98"/>
  <c r="J91" i="98"/>
  <c r="I91" i="98"/>
  <c r="H91" i="98"/>
  <c r="G91" i="98"/>
  <c r="F91" i="98"/>
  <c r="E91" i="98"/>
  <c r="D91" i="98"/>
  <c r="R90" i="98"/>
  <c r="Q90" i="98"/>
  <c r="P90" i="98"/>
  <c r="O90" i="98"/>
  <c r="N90" i="98"/>
  <c r="M90" i="98"/>
  <c r="L90" i="98"/>
  <c r="K90" i="98"/>
  <c r="J90" i="98"/>
  <c r="I90" i="98"/>
  <c r="H90" i="98"/>
  <c r="G90" i="98"/>
  <c r="F90" i="98"/>
  <c r="E90" i="98"/>
  <c r="D90" i="98"/>
  <c r="R89" i="98"/>
  <c r="Q89" i="98"/>
  <c r="P89" i="98"/>
  <c r="O89" i="98"/>
  <c r="N89" i="98"/>
  <c r="M89" i="98"/>
  <c r="L89" i="98"/>
  <c r="K89" i="98"/>
  <c r="J89" i="98"/>
  <c r="I89" i="98"/>
  <c r="H89" i="98"/>
  <c r="G89" i="98"/>
  <c r="F89" i="98"/>
  <c r="E89" i="98"/>
  <c r="D89" i="98"/>
  <c r="R88" i="98"/>
  <c r="Q88" i="98"/>
  <c r="P88" i="98"/>
  <c r="O88" i="98"/>
  <c r="N88" i="98"/>
  <c r="M88" i="98"/>
  <c r="L88" i="98"/>
  <c r="K88" i="98"/>
  <c r="J88" i="98"/>
  <c r="I88" i="98"/>
  <c r="H88" i="98"/>
  <c r="G88" i="98"/>
  <c r="F88" i="98"/>
  <c r="E88" i="98"/>
  <c r="D88" i="98"/>
  <c r="R83" i="98"/>
  <c r="Q83" i="98"/>
  <c r="P83" i="98"/>
  <c r="O83" i="98"/>
  <c r="N83" i="98"/>
  <c r="M83" i="98"/>
  <c r="L83" i="98"/>
  <c r="K83" i="98"/>
  <c r="J83" i="98"/>
  <c r="I83" i="98"/>
  <c r="H83" i="98"/>
  <c r="G83" i="98"/>
  <c r="F83" i="98"/>
  <c r="E83" i="98"/>
  <c r="D83" i="98"/>
  <c r="R82" i="98"/>
  <c r="Q82" i="98"/>
  <c r="P82" i="98"/>
  <c r="O82" i="98"/>
  <c r="N82" i="98"/>
  <c r="M82" i="98"/>
  <c r="L82" i="98"/>
  <c r="K82" i="98"/>
  <c r="J82" i="98"/>
  <c r="I82" i="98"/>
  <c r="H82" i="98"/>
  <c r="G82" i="98"/>
  <c r="F82" i="98"/>
  <c r="E82" i="98"/>
  <c r="D82" i="98"/>
  <c r="R81" i="98"/>
  <c r="Q81" i="98"/>
  <c r="P81" i="98"/>
  <c r="O81" i="98"/>
  <c r="N81" i="98"/>
  <c r="M81" i="98"/>
  <c r="L81" i="98"/>
  <c r="K81" i="98"/>
  <c r="J81" i="98"/>
  <c r="I81" i="98"/>
  <c r="H81" i="98"/>
  <c r="G81" i="98"/>
  <c r="F81" i="98"/>
  <c r="E81" i="98"/>
  <c r="D81" i="98"/>
  <c r="R80" i="98"/>
  <c r="Q80" i="98"/>
  <c r="P80" i="98"/>
  <c r="O80" i="98"/>
  <c r="N80" i="98"/>
  <c r="M80" i="98"/>
  <c r="L80" i="98"/>
  <c r="K80" i="98"/>
  <c r="J80" i="98"/>
  <c r="I80" i="98"/>
  <c r="H80" i="98"/>
  <c r="G80" i="98"/>
  <c r="F80" i="98"/>
  <c r="E80" i="98"/>
  <c r="D80" i="98"/>
  <c r="R75" i="98"/>
  <c r="Q75" i="98"/>
  <c r="P75" i="98"/>
  <c r="O75" i="98"/>
  <c r="N75" i="98"/>
  <c r="M75" i="98"/>
  <c r="L75" i="98"/>
  <c r="K75" i="98"/>
  <c r="J75" i="98"/>
  <c r="I75" i="98"/>
  <c r="H75" i="98"/>
  <c r="G75" i="98"/>
  <c r="F75" i="98"/>
  <c r="E75" i="98"/>
  <c r="D75" i="98"/>
  <c r="R74" i="98"/>
  <c r="Q74" i="98"/>
  <c r="P74" i="98"/>
  <c r="O74" i="98"/>
  <c r="N74" i="98"/>
  <c r="M74" i="98"/>
  <c r="L74" i="98"/>
  <c r="K74" i="98"/>
  <c r="J74" i="98"/>
  <c r="I74" i="98"/>
  <c r="H74" i="98"/>
  <c r="G74" i="98"/>
  <c r="F74" i="98"/>
  <c r="E74" i="98"/>
  <c r="D74" i="98"/>
  <c r="R73" i="98"/>
  <c r="Q73" i="98"/>
  <c r="P73" i="98"/>
  <c r="O73" i="98"/>
  <c r="N73" i="98"/>
  <c r="M73" i="98"/>
  <c r="L73" i="98"/>
  <c r="K73" i="98"/>
  <c r="J73" i="98"/>
  <c r="I73" i="98"/>
  <c r="H73" i="98"/>
  <c r="G73" i="98"/>
  <c r="F73" i="98"/>
  <c r="E73" i="98"/>
  <c r="D73" i="98"/>
  <c r="R72" i="98"/>
  <c r="Q72" i="98"/>
  <c r="P72" i="98"/>
  <c r="O72" i="98"/>
  <c r="N72" i="98"/>
  <c r="M72" i="98"/>
  <c r="L72" i="98"/>
  <c r="K72" i="98"/>
  <c r="J72" i="98"/>
  <c r="I72" i="98"/>
  <c r="H72" i="98"/>
  <c r="G72" i="98"/>
  <c r="F72" i="98"/>
  <c r="E72" i="98"/>
  <c r="D72" i="98"/>
  <c r="R67" i="98"/>
  <c r="Q67" i="98"/>
  <c r="P67" i="98"/>
  <c r="O67" i="98"/>
  <c r="N67" i="98"/>
  <c r="M67" i="98"/>
  <c r="L67" i="98"/>
  <c r="K67" i="98"/>
  <c r="J67" i="98"/>
  <c r="I67" i="98"/>
  <c r="H67" i="98"/>
  <c r="G67" i="98"/>
  <c r="F67" i="98"/>
  <c r="E67" i="98"/>
  <c r="D67" i="98"/>
  <c r="R66" i="98"/>
  <c r="Q66" i="98"/>
  <c r="P66" i="98"/>
  <c r="O66" i="98"/>
  <c r="N66" i="98"/>
  <c r="M66" i="98"/>
  <c r="L66" i="98"/>
  <c r="K66" i="98"/>
  <c r="J66" i="98"/>
  <c r="I66" i="98"/>
  <c r="H66" i="98"/>
  <c r="G66" i="98"/>
  <c r="F66" i="98"/>
  <c r="E66" i="98"/>
  <c r="D66" i="98"/>
  <c r="H65" i="98"/>
  <c r="G65" i="98"/>
  <c r="F65" i="98"/>
  <c r="E65" i="98"/>
  <c r="D65" i="98"/>
  <c r="R64" i="98"/>
  <c r="Q64" i="98"/>
  <c r="P64" i="98"/>
  <c r="O64" i="98"/>
  <c r="N64" i="98"/>
  <c r="M64" i="98"/>
  <c r="L64" i="98"/>
  <c r="K64" i="98"/>
  <c r="J64" i="98"/>
  <c r="I64" i="98"/>
  <c r="G64" i="98"/>
  <c r="F64" i="98"/>
  <c r="E64" i="98"/>
  <c r="D64" i="98"/>
  <c r="R63" i="98"/>
  <c r="Q63" i="98"/>
  <c r="P63" i="98"/>
  <c r="O63" i="98"/>
  <c r="N63" i="98"/>
  <c r="M63" i="98"/>
  <c r="L63" i="98"/>
  <c r="K63" i="98"/>
  <c r="J63" i="98"/>
  <c r="I63" i="98"/>
  <c r="H63" i="98"/>
  <c r="G63" i="98"/>
  <c r="F63" i="98"/>
  <c r="E63" i="98"/>
  <c r="D63" i="98"/>
  <c r="P51" i="98"/>
  <c r="R50" i="98"/>
  <c r="P49" i="98"/>
  <c r="Q48" i="98"/>
  <c r="Q47" i="98"/>
  <c r="R51" i="98"/>
  <c r="Q51" i="98"/>
  <c r="N51" i="98"/>
  <c r="M51" i="98"/>
  <c r="K51" i="98"/>
  <c r="I51" i="98"/>
  <c r="P50" i="98"/>
  <c r="I49" i="98"/>
  <c r="EJ118" i="90" l="1"/>
  <c r="DS118" i="90"/>
  <c r="EB65" i="90"/>
  <c r="ES65" i="90"/>
  <c r="FA65" i="90" s="1"/>
  <c r="ET150" i="90"/>
  <c r="EZ150" i="90" s="1"/>
  <c r="EC150" i="90"/>
  <c r="DT293" i="90"/>
  <c r="EK293" i="90"/>
  <c r="EI252" i="90"/>
  <c r="DR252" i="90"/>
  <c r="ES306" i="90"/>
  <c r="FA306" i="90" s="1"/>
  <c r="EB306" i="90"/>
  <c r="ET352" i="90"/>
  <c r="EZ352" i="90" s="1"/>
  <c r="EC352" i="90"/>
  <c r="EI343" i="90"/>
  <c r="DR343" i="90"/>
  <c r="ES261" i="90"/>
  <c r="FA261" i="90" s="1"/>
  <c r="EB261" i="90"/>
  <c r="DR342" i="90"/>
  <c r="EI342" i="90"/>
  <c r="EI216" i="90"/>
  <c r="DR216" i="90"/>
  <c r="EC360" i="90"/>
  <c r="ET360" i="90"/>
  <c r="EZ360" i="90" s="1"/>
  <c r="M49" i="98"/>
  <c r="L50" i="98"/>
  <c r="J51" i="98"/>
  <c r="O51" i="98"/>
  <c r="O50" i="98"/>
  <c r="DS350" i="90"/>
  <c r="EJ350" i="90"/>
  <c r="EC341" i="90"/>
  <c r="ET341" i="90"/>
  <c r="EZ341" i="90" s="1"/>
  <c r="DU353" i="90"/>
  <c r="EM353" i="90" s="1"/>
  <c r="EL353" i="90"/>
  <c r="ET361" i="90"/>
  <c r="EZ361" i="90" s="1"/>
  <c r="EC361" i="90"/>
  <c r="EJ356" i="90"/>
  <c r="DS356" i="90"/>
  <c r="EJ360" i="90"/>
  <c r="DS360" i="90"/>
  <c r="ED347" i="90"/>
  <c r="EV347" i="90" s="1"/>
  <c r="EX347" i="90" s="1"/>
  <c r="EU347" i="90"/>
  <c r="EY347" i="90" s="1"/>
  <c r="DU359" i="90"/>
  <c r="EM359" i="90" s="1"/>
  <c r="EL359" i="90"/>
  <c r="EU364" i="90"/>
  <c r="EY364" i="90" s="1"/>
  <c r="ED364" i="90"/>
  <c r="EV364" i="90" s="1"/>
  <c r="EX364" i="90" s="1"/>
  <c r="DS352" i="90"/>
  <c r="EJ352" i="90"/>
  <c r="DT349" i="90"/>
  <c r="EK349" i="90"/>
  <c r="DR340" i="90"/>
  <c r="EI340" i="90"/>
  <c r="ET357" i="90"/>
  <c r="EZ357" i="90" s="1"/>
  <c r="EC357" i="90"/>
  <c r="DT351" i="90"/>
  <c r="EK351" i="90"/>
  <c r="DU347" i="90"/>
  <c r="EM347" i="90" s="1"/>
  <c r="EL347" i="90"/>
  <c r="EC346" i="90"/>
  <c r="ET346" i="90"/>
  <c r="EZ346" i="90" s="1"/>
  <c r="EC342" i="90"/>
  <c r="ET342" i="90"/>
  <c r="EZ342" i="90" s="1"/>
  <c r="DT362" i="90"/>
  <c r="EK362" i="90"/>
  <c r="DS357" i="90"/>
  <c r="EJ357" i="90"/>
  <c r="ED350" i="90"/>
  <c r="EV350" i="90" s="1"/>
  <c r="EX350" i="90" s="1"/>
  <c r="EU350" i="90"/>
  <c r="EY350" i="90" s="1"/>
  <c r="EJ345" i="90"/>
  <c r="DS345" i="90"/>
  <c r="DT358" i="90"/>
  <c r="EK358" i="90"/>
  <c r="EJ348" i="90"/>
  <c r="DS348" i="90"/>
  <c r="EC358" i="90"/>
  <c r="ET358" i="90"/>
  <c r="EZ358" i="90" s="1"/>
  <c r="EU344" i="90"/>
  <c r="EY344" i="90" s="1"/>
  <c r="ED344" i="90"/>
  <c r="EV344" i="90" s="1"/>
  <c r="EX344" i="90" s="1"/>
  <c r="DS361" i="90"/>
  <c r="EJ361" i="90"/>
  <c r="DT363" i="90"/>
  <c r="EK363" i="90"/>
  <c r="DS364" i="90"/>
  <c r="EJ364" i="90"/>
  <c r="DR344" i="90"/>
  <c r="EI344" i="90"/>
  <c r="ED354" i="90"/>
  <c r="EV354" i="90" s="1"/>
  <c r="EX354" i="90" s="1"/>
  <c r="EU354" i="90"/>
  <c r="EY354" i="90" s="1"/>
  <c r="EC351" i="90"/>
  <c r="ET351" i="90"/>
  <c r="EZ351" i="90" s="1"/>
  <c r="ED343" i="90"/>
  <c r="EV343" i="90" s="1"/>
  <c r="EX343" i="90" s="1"/>
  <c r="EU343" i="90"/>
  <c r="EY343" i="90" s="1"/>
  <c r="DS354" i="90"/>
  <c r="EJ354" i="90"/>
  <c r="DU346" i="90"/>
  <c r="EM346" i="90" s="1"/>
  <c r="EL346" i="90"/>
  <c r="EC348" i="90"/>
  <c r="ET348" i="90"/>
  <c r="EZ348" i="90" s="1"/>
  <c r="EU340" i="90"/>
  <c r="EY340" i="90" s="1"/>
  <c r="ED340" i="90"/>
  <c r="EV340" i="90" s="1"/>
  <c r="EX340" i="90" s="1"/>
  <c r="ED359" i="90"/>
  <c r="EV359" i="90" s="1"/>
  <c r="EX359" i="90" s="1"/>
  <c r="EU359" i="90"/>
  <c r="EY359" i="90" s="1"/>
  <c r="DS355" i="90"/>
  <c r="EJ355" i="90"/>
  <c r="EJ341" i="90"/>
  <c r="DS341" i="90"/>
  <c r="ED355" i="90"/>
  <c r="EV355" i="90" s="1"/>
  <c r="EX355" i="90" s="1"/>
  <c r="EU355" i="90"/>
  <c r="EY355" i="90" s="1"/>
  <c r="EC349" i="90"/>
  <c r="ET349" i="90"/>
  <c r="EZ349" i="90" s="1"/>
  <c r="EC362" i="90"/>
  <c r="ET362" i="90"/>
  <c r="EZ362" i="90" s="1"/>
  <c r="DR308" i="90"/>
  <c r="EI308" i="90"/>
  <c r="EI251" i="90"/>
  <c r="DR251" i="90"/>
  <c r="EI273" i="90"/>
  <c r="DR273" i="90"/>
  <c r="EC253" i="90"/>
  <c r="ET253" i="90"/>
  <c r="EZ253" i="90" s="1"/>
  <c r="EC256" i="90"/>
  <c r="ET256" i="90"/>
  <c r="EZ256" i="90" s="1"/>
  <c r="ET270" i="90"/>
  <c r="EZ270" i="90" s="1"/>
  <c r="EC270" i="90"/>
  <c r="DS288" i="90"/>
  <c r="EJ288" i="90"/>
  <c r="ED273" i="90"/>
  <c r="EV273" i="90" s="1"/>
  <c r="EX273" i="90" s="1"/>
  <c r="EU273" i="90"/>
  <c r="EY273" i="90" s="1"/>
  <c r="ED255" i="90"/>
  <c r="EV255" i="90" s="1"/>
  <c r="EX255" i="90" s="1"/>
  <c r="EU255" i="90"/>
  <c r="EY255" i="90" s="1"/>
  <c r="EJ284" i="90"/>
  <c r="DS284" i="90"/>
  <c r="EC263" i="90"/>
  <c r="ET263" i="90"/>
  <c r="EZ263" i="90" s="1"/>
  <c r="EC272" i="90"/>
  <c r="ET272" i="90"/>
  <c r="EZ272" i="90" s="1"/>
  <c r="DS253" i="90"/>
  <c r="EJ253" i="90"/>
  <c r="EJ254" i="90"/>
  <c r="DS254" i="90"/>
  <c r="DT279" i="90"/>
  <c r="EK279" i="90"/>
  <c r="EU288" i="90"/>
  <c r="EY288" i="90" s="1"/>
  <c r="ED288" i="90"/>
  <c r="EV288" i="90" s="1"/>
  <c r="EX288" i="90" s="1"/>
  <c r="ED269" i="90"/>
  <c r="EV269" i="90" s="1"/>
  <c r="EX269" i="90" s="1"/>
  <c r="EU269" i="90"/>
  <c r="EY269" i="90" s="1"/>
  <c r="EK264" i="90"/>
  <c r="DT264" i="90"/>
  <c r="EJ290" i="90"/>
  <c r="DS290" i="90"/>
  <c r="EK298" i="90"/>
  <c r="DT298" i="90"/>
  <c r="DT306" i="90"/>
  <c r="EK306" i="90"/>
  <c r="DS267" i="90"/>
  <c r="EJ267" i="90"/>
  <c r="DT274" i="90"/>
  <c r="EK274" i="90"/>
  <c r="DS271" i="90"/>
  <c r="EJ271" i="90"/>
  <c r="EK260" i="90"/>
  <c r="DT260" i="90"/>
  <c r="EC258" i="90"/>
  <c r="ET258" i="90"/>
  <c r="EZ258" i="90" s="1"/>
  <c r="ED284" i="90"/>
  <c r="EV284" i="90" s="1"/>
  <c r="EX284" i="90" s="1"/>
  <c r="EU284" i="90"/>
  <c r="EY284" i="90" s="1"/>
  <c r="DS307" i="90"/>
  <c r="EJ307" i="90"/>
  <c r="ES250" i="90"/>
  <c r="FA250" i="90" s="1"/>
  <c r="EB250" i="90"/>
  <c r="EK289" i="90"/>
  <c r="DT289" i="90"/>
  <c r="ET300" i="90"/>
  <c r="EZ300" i="90" s="1"/>
  <c r="EC300" i="90"/>
  <c r="EJ266" i="90"/>
  <c r="DS266" i="90"/>
  <c r="EK281" i="90"/>
  <c r="DT281" i="90"/>
  <c r="EJ301" i="90"/>
  <c r="DS301" i="90"/>
  <c r="DT263" i="90"/>
  <c r="EK263" i="90"/>
  <c r="EU278" i="90"/>
  <c r="EY278" i="90" s="1"/>
  <c r="ED278" i="90"/>
  <c r="EV278" i="90" s="1"/>
  <c r="EX278" i="90" s="1"/>
  <c r="EC293" i="90"/>
  <c r="ET293" i="90"/>
  <c r="EZ293" i="90" s="1"/>
  <c r="ET298" i="90"/>
  <c r="EZ298" i="90" s="1"/>
  <c r="EC298" i="90"/>
  <c r="DS257" i="90"/>
  <c r="EJ257" i="90"/>
  <c r="ET271" i="90"/>
  <c r="EZ271" i="90" s="1"/>
  <c r="EC271" i="90"/>
  <c r="EU290" i="90"/>
  <c r="EY290" i="90" s="1"/>
  <c r="ED290" i="90"/>
  <c r="EV290" i="90" s="1"/>
  <c r="EX290" i="90" s="1"/>
  <c r="ET296" i="90"/>
  <c r="EZ296" i="90" s="1"/>
  <c r="EC296" i="90"/>
  <c r="EJ299" i="90"/>
  <c r="DS299" i="90"/>
  <c r="ET267" i="90"/>
  <c r="EZ267" i="90" s="1"/>
  <c r="EC267" i="90"/>
  <c r="EU297" i="90"/>
  <c r="EY297" i="90" s="1"/>
  <c r="ED297" i="90"/>
  <c r="EV297" i="90" s="1"/>
  <c r="EX297" i="90" s="1"/>
  <c r="EJ295" i="90"/>
  <c r="DS295" i="90"/>
  <c r="EC279" i="90"/>
  <c r="ET279" i="90"/>
  <c r="EZ279" i="90" s="1"/>
  <c r="ED292" i="90"/>
  <c r="EV292" i="90" s="1"/>
  <c r="EX292" i="90" s="1"/>
  <c r="EU292" i="90"/>
  <c r="EY292" i="90" s="1"/>
  <c r="EU260" i="90"/>
  <c r="EY260" i="90" s="1"/>
  <c r="ED260" i="90"/>
  <c r="EV260" i="90" s="1"/>
  <c r="EX260" i="90" s="1"/>
  <c r="DT276" i="90"/>
  <c r="EK276" i="90"/>
  <c r="DT287" i="90"/>
  <c r="EK287" i="90"/>
  <c r="ET289" i="90"/>
  <c r="EZ289" i="90" s="1"/>
  <c r="EC289" i="90"/>
  <c r="EJ270" i="90"/>
  <c r="DS270" i="90"/>
  <c r="DT283" i="90"/>
  <c r="EK283" i="90"/>
  <c r="DT291" i="90"/>
  <c r="EK291" i="90"/>
  <c r="EU299" i="90"/>
  <c r="EY299" i="90" s="1"/>
  <c r="ED299" i="90"/>
  <c r="EV299" i="90" s="1"/>
  <c r="EX299" i="90" s="1"/>
  <c r="EJ258" i="90"/>
  <c r="DS258" i="90"/>
  <c r="EU277" i="90"/>
  <c r="EY277" i="90" s="1"/>
  <c r="ED277" i="90"/>
  <c r="EV277" i="90" s="1"/>
  <c r="EX277" i="90" s="1"/>
  <c r="EK296" i="90"/>
  <c r="DT296" i="90"/>
  <c r="EC308" i="90"/>
  <c r="ET308" i="90"/>
  <c r="EZ308" i="90" s="1"/>
  <c r="EJ269" i="90"/>
  <c r="DS269" i="90"/>
  <c r="DS305" i="90"/>
  <c r="EJ305" i="90"/>
  <c r="ET281" i="90"/>
  <c r="EZ281" i="90" s="1"/>
  <c r="EC281" i="90"/>
  <c r="EJ250" i="90"/>
  <c r="DS250" i="90"/>
  <c r="DS278" i="90"/>
  <c r="EJ278" i="90"/>
  <c r="DS282" i="90"/>
  <c r="EJ282" i="90"/>
  <c r="ES254" i="90"/>
  <c r="FA254" i="90" s="1"/>
  <c r="EB254" i="90"/>
  <c r="EI249" i="90"/>
  <c r="DR249" i="90"/>
  <c r="EJ261" i="90"/>
  <c r="DS261" i="90"/>
  <c r="EC275" i="90"/>
  <c r="ET275" i="90"/>
  <c r="EZ275" i="90" s="1"/>
  <c r="ET302" i="90"/>
  <c r="EZ302" i="90" s="1"/>
  <c r="EC302" i="90"/>
  <c r="ED286" i="90"/>
  <c r="EV286" i="90" s="1"/>
  <c r="EX286" i="90" s="1"/>
  <c r="EU286" i="90"/>
  <c r="EY286" i="90" s="1"/>
  <c r="EK294" i="90"/>
  <c r="DT294" i="90"/>
  <c r="ET294" i="90"/>
  <c r="EZ294" i="90" s="1"/>
  <c r="EC294" i="90"/>
  <c r="DT268" i="90"/>
  <c r="EK268" i="90"/>
  <c r="EC283" i="90"/>
  <c r="ET283" i="90"/>
  <c r="EZ283" i="90" s="1"/>
  <c r="EJ297" i="90"/>
  <c r="DS297" i="90"/>
  <c r="ET252" i="90"/>
  <c r="EZ252" i="90" s="1"/>
  <c r="EC252" i="90"/>
  <c r="DT265" i="90"/>
  <c r="EK265" i="90"/>
  <c r="EC274" i="90"/>
  <c r="ET274" i="90"/>
  <c r="EZ274" i="90" s="1"/>
  <c r="EJ280" i="90"/>
  <c r="DS280" i="90"/>
  <c r="EU295" i="90"/>
  <c r="EY295" i="90" s="1"/>
  <c r="ED295" i="90"/>
  <c r="EV295" i="90" s="1"/>
  <c r="EX295" i="90" s="1"/>
  <c r="EK262" i="90"/>
  <c r="DT262" i="90"/>
  <c r="EC276" i="90"/>
  <c r="ET276" i="90"/>
  <c r="EZ276" i="90" s="1"/>
  <c r="ET249" i="90"/>
  <c r="EZ249" i="90" s="1"/>
  <c r="EC249" i="90"/>
  <c r="ED280" i="90"/>
  <c r="EV280" i="90" s="1"/>
  <c r="EX280" i="90" s="1"/>
  <c r="EU280" i="90"/>
  <c r="EY280" i="90" s="1"/>
  <c r="ED307" i="90"/>
  <c r="EV307" i="90" s="1"/>
  <c r="EX307" i="90" s="1"/>
  <c r="EU307" i="90"/>
  <c r="EY307" i="90" s="1"/>
  <c r="ET264" i="90"/>
  <c r="EZ264" i="90" s="1"/>
  <c r="EC264" i="90"/>
  <c r="EK302" i="90"/>
  <c r="DT302" i="90"/>
  <c r="EK255" i="90"/>
  <c r="DT255" i="90"/>
  <c r="ET304" i="90"/>
  <c r="EZ304" i="90" s="1"/>
  <c r="EC304" i="90"/>
  <c r="ED305" i="90"/>
  <c r="EV305" i="90" s="1"/>
  <c r="EX305" i="90" s="1"/>
  <c r="EU305" i="90"/>
  <c r="EY305" i="90" s="1"/>
  <c r="ES259" i="90"/>
  <c r="FA259" i="90" s="1"/>
  <c r="EB259" i="90"/>
  <c r="ED265" i="90"/>
  <c r="EV265" i="90" s="1"/>
  <c r="EX265" i="90" s="1"/>
  <c r="EU265" i="90"/>
  <c r="EY265" i="90" s="1"/>
  <c r="EU301" i="90"/>
  <c r="EY301" i="90" s="1"/>
  <c r="ED301" i="90"/>
  <c r="EV301" i="90" s="1"/>
  <c r="EX301" i="90" s="1"/>
  <c r="DT259" i="90"/>
  <c r="EK259" i="90"/>
  <c r="EJ303" i="90"/>
  <c r="DS303" i="90"/>
  <c r="DS277" i="90"/>
  <c r="EJ277" i="90"/>
  <c r="DS286" i="90"/>
  <c r="EJ286" i="90"/>
  <c r="EJ275" i="90"/>
  <c r="DS275" i="90"/>
  <c r="EC268" i="90"/>
  <c r="ET268" i="90"/>
  <c r="EZ268" i="90" s="1"/>
  <c r="DT272" i="90"/>
  <c r="EK272" i="90"/>
  <c r="EK300" i="90"/>
  <c r="DT300" i="90"/>
  <c r="ET251" i="90"/>
  <c r="EZ251" i="90" s="1"/>
  <c r="EC251" i="90"/>
  <c r="EJ256" i="90"/>
  <c r="DS256" i="90"/>
  <c r="EC291" i="90"/>
  <c r="ET291" i="90"/>
  <c r="EZ291" i="90" s="1"/>
  <c r="EU303" i="90"/>
  <c r="EY303" i="90" s="1"/>
  <c r="ED303" i="90"/>
  <c r="EV303" i="90" s="1"/>
  <c r="EX303" i="90" s="1"/>
  <c r="DS292" i="90"/>
  <c r="EJ292" i="90"/>
  <c r="EK304" i="90"/>
  <c r="DT304" i="90"/>
  <c r="DR90" i="90"/>
  <c r="EI90" i="90"/>
  <c r="DR114" i="90"/>
  <c r="EI114" i="90"/>
  <c r="DR95" i="90"/>
  <c r="EI95" i="90"/>
  <c r="DT84" i="90"/>
  <c r="EK84" i="90"/>
  <c r="EI100" i="90"/>
  <c r="DR100" i="90"/>
  <c r="ES215" i="90"/>
  <c r="FA215" i="90" s="1"/>
  <c r="EB215" i="90"/>
  <c r="ET124" i="90"/>
  <c r="EZ124" i="90" s="1"/>
  <c r="EC124" i="90"/>
  <c r="EC146" i="90"/>
  <c r="ET146" i="90"/>
  <c r="EZ146" i="90" s="1"/>
  <c r="ET90" i="90"/>
  <c r="EZ90" i="90" s="1"/>
  <c r="EC90" i="90"/>
  <c r="ET200" i="90"/>
  <c r="EZ200" i="90" s="1"/>
  <c r="EC200" i="90"/>
  <c r="ET194" i="90"/>
  <c r="EZ194" i="90" s="1"/>
  <c r="EC194" i="90"/>
  <c r="EJ140" i="90"/>
  <c r="DS140" i="90"/>
  <c r="DS69" i="90"/>
  <c r="EJ69" i="90"/>
  <c r="EJ67" i="90"/>
  <c r="DS67" i="90"/>
  <c r="DS71" i="90"/>
  <c r="EJ71" i="90"/>
  <c r="EJ199" i="90"/>
  <c r="DS199" i="90"/>
  <c r="ED214" i="90"/>
  <c r="EV214" i="90" s="1"/>
  <c r="EX214" i="90" s="1"/>
  <c r="EU214" i="90"/>
  <c r="EY214" i="90" s="1"/>
  <c r="EB115" i="90"/>
  <c r="ES115" i="90"/>
  <c r="FA115" i="90" s="1"/>
  <c r="EC189" i="90"/>
  <c r="ET189" i="90"/>
  <c r="EZ189" i="90" s="1"/>
  <c r="EU137" i="90"/>
  <c r="EY137" i="90" s="1"/>
  <c r="ED137" i="90"/>
  <c r="EV137" i="90" s="1"/>
  <c r="EX137" i="90" s="1"/>
  <c r="EC69" i="90"/>
  <c r="ET69" i="90"/>
  <c r="EZ69" i="90" s="1"/>
  <c r="DS201" i="90"/>
  <c r="EJ201" i="90"/>
  <c r="ET183" i="90"/>
  <c r="EZ183" i="90" s="1"/>
  <c r="EC183" i="90"/>
  <c r="DR130" i="90"/>
  <c r="EI130" i="90"/>
  <c r="ES130" i="90"/>
  <c r="FA130" i="90" s="1"/>
  <c r="EB130" i="90"/>
  <c r="ET84" i="90"/>
  <c r="EZ84" i="90" s="1"/>
  <c r="EC84" i="90"/>
  <c r="DS189" i="90"/>
  <c r="EJ189" i="90"/>
  <c r="ES147" i="90"/>
  <c r="FA147" i="90" s="1"/>
  <c r="EB147" i="90"/>
  <c r="EJ193" i="90"/>
  <c r="DS193" i="90"/>
  <c r="DS195" i="90"/>
  <c r="EJ195" i="90"/>
  <c r="DS207" i="90"/>
  <c r="EJ207" i="90"/>
  <c r="EJ137" i="90"/>
  <c r="DS137" i="90"/>
  <c r="DR81" i="90"/>
  <c r="EI81" i="90"/>
  <c r="EB118" i="90"/>
  <c r="ES118" i="90"/>
  <c r="FA118" i="90" s="1"/>
  <c r="EC190" i="90"/>
  <c r="ET190" i="90"/>
  <c r="EZ190" i="90" s="1"/>
  <c r="EJ74" i="90"/>
  <c r="DS74" i="90"/>
  <c r="EC234" i="90"/>
  <c r="ET234" i="90"/>
  <c r="EZ234" i="90" s="1"/>
  <c r="EJ116" i="90"/>
  <c r="DS116" i="90"/>
  <c r="ET207" i="90"/>
  <c r="EZ207" i="90" s="1"/>
  <c r="EC207" i="90"/>
  <c r="EI161" i="90"/>
  <c r="DR161" i="90"/>
  <c r="EJ124" i="90"/>
  <c r="DS124" i="90"/>
  <c r="EC192" i="90"/>
  <c r="ET192" i="90"/>
  <c r="EZ192" i="90" s="1"/>
  <c r="EK187" i="90"/>
  <c r="DT187" i="90"/>
  <c r="ET202" i="90"/>
  <c r="EZ202" i="90" s="1"/>
  <c r="EC202" i="90"/>
  <c r="EI147" i="90"/>
  <c r="DR147" i="90"/>
  <c r="EJ78" i="90"/>
  <c r="DS78" i="90"/>
  <c r="ET179" i="90"/>
  <c r="EZ179" i="90" s="1"/>
  <c r="EC179" i="90"/>
  <c r="ET185" i="90"/>
  <c r="EZ185" i="90" s="1"/>
  <c r="EC185" i="90"/>
  <c r="ET171" i="90"/>
  <c r="EZ171" i="90" s="1"/>
  <c r="EC171" i="90"/>
  <c r="DS149" i="90"/>
  <c r="EJ149" i="90"/>
  <c r="EC142" i="90"/>
  <c r="ET142" i="90"/>
  <c r="EZ142" i="90" s="1"/>
  <c r="DR141" i="90"/>
  <c r="EI141" i="90"/>
  <c r="DS191" i="90"/>
  <c r="EJ191" i="90"/>
  <c r="EJ203" i="90"/>
  <c r="DS203" i="90"/>
  <c r="EJ145" i="90"/>
  <c r="DS145" i="90"/>
  <c r="DS197" i="90"/>
  <c r="EJ197" i="90"/>
  <c r="DR136" i="90"/>
  <c r="EI136" i="90"/>
  <c r="ET78" i="90"/>
  <c r="EZ78" i="90" s="1"/>
  <c r="EC78" i="90"/>
  <c r="EJ180" i="90"/>
  <c r="DS180" i="90"/>
  <c r="ET104" i="90"/>
  <c r="EZ104" i="90" s="1"/>
  <c r="EC104" i="90"/>
  <c r="ET181" i="90"/>
  <c r="EZ181" i="90" s="1"/>
  <c r="EC181" i="90"/>
  <c r="DS80" i="90"/>
  <c r="EJ80" i="90"/>
  <c r="EJ184" i="90"/>
  <c r="DS184" i="90"/>
  <c r="ET196" i="90"/>
  <c r="EZ196" i="90" s="1"/>
  <c r="EC196" i="90"/>
  <c r="EC198" i="90"/>
  <c r="ET198" i="90"/>
  <c r="EZ198" i="90" s="1"/>
  <c r="ED224" i="90"/>
  <c r="EV224" i="90" s="1"/>
  <c r="EX224" i="90" s="1"/>
  <c r="EU224" i="90"/>
  <c r="EY224" i="90" s="1"/>
  <c r="ET144" i="90"/>
  <c r="EZ144" i="90" s="1"/>
  <c r="EC144" i="90"/>
  <c r="ES138" i="90"/>
  <c r="FA138" i="90" s="1"/>
  <c r="EB138" i="90"/>
  <c r="EU134" i="90"/>
  <c r="EY134" i="90" s="1"/>
  <c r="ED134" i="90"/>
  <c r="EV134" i="90" s="1"/>
  <c r="EX134" i="90" s="1"/>
  <c r="EB126" i="90"/>
  <c r="ES126" i="90"/>
  <c r="FA126" i="90" s="1"/>
  <c r="DS219" i="90"/>
  <c r="EJ219" i="90"/>
  <c r="DR225" i="90"/>
  <c r="EI225" i="90"/>
  <c r="EJ205" i="90"/>
  <c r="DS205" i="90"/>
  <c r="DS212" i="90"/>
  <c r="EJ212" i="90"/>
  <c r="ED231" i="90"/>
  <c r="EV231" i="90" s="1"/>
  <c r="EX231" i="90" s="1"/>
  <c r="EU231" i="90"/>
  <c r="EY231" i="90" s="1"/>
  <c r="EC204" i="90"/>
  <c r="ET204" i="90"/>
  <c r="EZ204" i="90" s="1"/>
  <c r="EC211" i="90"/>
  <c r="ET211" i="90"/>
  <c r="EZ211" i="90" s="1"/>
  <c r="DU218" i="90"/>
  <c r="EM218" i="90" s="1"/>
  <c r="EL218" i="90"/>
  <c r="EJ222" i="90"/>
  <c r="DS222" i="90"/>
  <c r="EU230" i="90"/>
  <c r="EY230" i="90" s="1"/>
  <c r="ED230" i="90"/>
  <c r="EV230" i="90" s="1"/>
  <c r="EX230" i="90" s="1"/>
  <c r="EC217" i="90"/>
  <c r="ET217" i="90"/>
  <c r="EZ217" i="90" s="1"/>
  <c r="EJ233" i="90"/>
  <c r="DS233" i="90"/>
  <c r="ET209" i="90"/>
  <c r="EZ209" i="90" s="1"/>
  <c r="EC209" i="90"/>
  <c r="EC213" i="90"/>
  <c r="ET213" i="90"/>
  <c r="EZ213" i="90" s="1"/>
  <c r="DS236" i="90"/>
  <c r="EJ236" i="90"/>
  <c r="DT226" i="90"/>
  <c r="EK226" i="90"/>
  <c r="DS210" i="90"/>
  <c r="EJ210" i="90"/>
  <c r="DS234" i="90"/>
  <c r="EJ234" i="90"/>
  <c r="EC206" i="90"/>
  <c r="ET206" i="90"/>
  <c r="EZ206" i="90" s="1"/>
  <c r="EU228" i="90"/>
  <c r="EY228" i="90" s="1"/>
  <c r="ED228" i="90"/>
  <c r="EV228" i="90" s="1"/>
  <c r="EX228" i="90" s="1"/>
  <c r="EJ206" i="90"/>
  <c r="DS206" i="90"/>
  <c r="EU232" i="90"/>
  <c r="EY232" i="90" s="1"/>
  <c r="ED232" i="90"/>
  <c r="EV232" i="90" s="1"/>
  <c r="EX232" i="90" s="1"/>
  <c r="ED229" i="90"/>
  <c r="EV229" i="90" s="1"/>
  <c r="EX229" i="90" s="1"/>
  <c r="EU229" i="90"/>
  <c r="EY229" i="90" s="1"/>
  <c r="DR223" i="90"/>
  <c r="EI223" i="90"/>
  <c r="EI211" i="90"/>
  <c r="DR211" i="90"/>
  <c r="DU213" i="90"/>
  <c r="EM213" i="90" s="1"/>
  <c r="EL213" i="90"/>
  <c r="EJ229" i="90"/>
  <c r="DS229" i="90"/>
  <c r="DS214" i="90"/>
  <c r="EJ214" i="90"/>
  <c r="DS221" i="90"/>
  <c r="EJ221" i="90"/>
  <c r="ET212" i="90"/>
  <c r="EZ212" i="90" s="1"/>
  <c r="EC212" i="90"/>
  <c r="EJ217" i="90"/>
  <c r="DS217" i="90"/>
  <c r="ES216" i="90"/>
  <c r="FA216" i="90" s="1"/>
  <c r="EB216" i="90"/>
  <c r="DS228" i="90"/>
  <c r="EJ228" i="90"/>
  <c r="EC208" i="90"/>
  <c r="ET208" i="90"/>
  <c r="EZ208" i="90" s="1"/>
  <c r="EJ215" i="90"/>
  <c r="DS215" i="90"/>
  <c r="DS232" i="90"/>
  <c r="EJ232" i="90"/>
  <c r="DU208" i="90"/>
  <c r="EM208" i="90" s="1"/>
  <c r="EL208" i="90"/>
  <c r="ES210" i="90"/>
  <c r="FA210" i="90" s="1"/>
  <c r="EB210" i="90"/>
  <c r="EJ231" i="90"/>
  <c r="DS231" i="90"/>
  <c r="EJ220" i="90"/>
  <c r="DS220" i="90"/>
  <c r="EC218" i="90"/>
  <c r="ET218" i="90"/>
  <c r="EZ218" i="90" s="1"/>
  <c r="ED233" i="90"/>
  <c r="EV233" i="90" s="1"/>
  <c r="EX233" i="90" s="1"/>
  <c r="EU233" i="90"/>
  <c r="EY233" i="90" s="1"/>
  <c r="ED220" i="90"/>
  <c r="EV220" i="90" s="1"/>
  <c r="EX220" i="90" s="1"/>
  <c r="EU220" i="90"/>
  <c r="EY220" i="90" s="1"/>
  <c r="ED227" i="90"/>
  <c r="EV227" i="90" s="1"/>
  <c r="EX227" i="90" s="1"/>
  <c r="EU227" i="90"/>
  <c r="EY227" i="90" s="1"/>
  <c r="DU235" i="90"/>
  <c r="EM235" i="90" s="1"/>
  <c r="EL235" i="90"/>
  <c r="ED225" i="90"/>
  <c r="EV225" i="90" s="1"/>
  <c r="EX225" i="90" s="1"/>
  <c r="EU225" i="90"/>
  <c r="EY225" i="90" s="1"/>
  <c r="EJ204" i="90"/>
  <c r="DS204" i="90"/>
  <c r="ED235" i="90"/>
  <c r="EV235" i="90" s="1"/>
  <c r="EX235" i="90" s="1"/>
  <c r="EU235" i="90"/>
  <c r="EY235" i="90" s="1"/>
  <c r="EJ227" i="90"/>
  <c r="DS227" i="90"/>
  <c r="EU236" i="90"/>
  <c r="EY236" i="90" s="1"/>
  <c r="ED236" i="90"/>
  <c r="EV236" i="90" s="1"/>
  <c r="EX236" i="90" s="1"/>
  <c r="EU205" i="90"/>
  <c r="EY205" i="90" s="1"/>
  <c r="ED205" i="90"/>
  <c r="EV205" i="90" s="1"/>
  <c r="EX205" i="90" s="1"/>
  <c r="EK209" i="90"/>
  <c r="DT209" i="90"/>
  <c r="EJ224" i="90"/>
  <c r="DS224" i="90"/>
  <c r="ED222" i="90"/>
  <c r="EV222" i="90" s="1"/>
  <c r="EX222" i="90" s="1"/>
  <c r="EU222" i="90"/>
  <c r="EY222" i="90" s="1"/>
  <c r="EU221" i="90"/>
  <c r="EY221" i="90" s="1"/>
  <c r="ED221" i="90"/>
  <c r="EV221" i="90" s="1"/>
  <c r="EX221" i="90" s="1"/>
  <c r="DS230" i="90"/>
  <c r="EJ230" i="90"/>
  <c r="EJ113" i="90"/>
  <c r="DS113" i="90"/>
  <c r="EC188" i="90"/>
  <c r="ET188" i="90"/>
  <c r="EZ188" i="90" s="1"/>
  <c r="EJ97" i="90"/>
  <c r="DS97" i="90"/>
  <c r="ET99" i="90"/>
  <c r="EZ99" i="90" s="1"/>
  <c r="EC99" i="90"/>
  <c r="EJ89" i="90"/>
  <c r="DS89" i="90"/>
  <c r="ED132" i="90"/>
  <c r="EV132" i="90" s="1"/>
  <c r="EX132" i="90" s="1"/>
  <c r="EU132" i="90"/>
  <c r="EY132" i="90" s="1"/>
  <c r="DR108" i="90"/>
  <c r="EI108" i="90"/>
  <c r="EJ134" i="90"/>
  <c r="DS134" i="90"/>
  <c r="EJ177" i="90"/>
  <c r="DS177" i="90"/>
  <c r="EJ142" i="90"/>
  <c r="DS142" i="90"/>
  <c r="EJ138" i="90"/>
  <c r="DS138" i="90"/>
  <c r="DU178" i="90"/>
  <c r="EM178" i="90" s="1"/>
  <c r="EL178" i="90"/>
  <c r="DT132" i="90"/>
  <c r="EK132" i="90"/>
  <c r="EJ173" i="90"/>
  <c r="DS173" i="90"/>
  <c r="DT127" i="90"/>
  <c r="EK127" i="90"/>
  <c r="EJ103" i="90"/>
  <c r="DS103" i="90"/>
  <c r="EC165" i="90"/>
  <c r="ET165" i="90"/>
  <c r="EZ165" i="90" s="1"/>
  <c r="ED195" i="90"/>
  <c r="EV195" i="90" s="1"/>
  <c r="EX195" i="90" s="1"/>
  <c r="EU195" i="90"/>
  <c r="EY195" i="90" s="1"/>
  <c r="ED199" i="90"/>
  <c r="EV199" i="90" s="1"/>
  <c r="EX199" i="90" s="1"/>
  <c r="EU199" i="90"/>
  <c r="EY199" i="90" s="1"/>
  <c r="DT174" i="90"/>
  <c r="EK174" i="90"/>
  <c r="ED193" i="90"/>
  <c r="EV193" i="90" s="1"/>
  <c r="EX193" i="90" s="1"/>
  <c r="EU193" i="90"/>
  <c r="EY193" i="90" s="1"/>
  <c r="ES94" i="90"/>
  <c r="FA94" i="90" s="1"/>
  <c r="EB94" i="90"/>
  <c r="EU154" i="90"/>
  <c r="EY154" i="90" s="1"/>
  <c r="ED154" i="90"/>
  <c r="EV154" i="90" s="1"/>
  <c r="EX154" i="90" s="1"/>
  <c r="DT133" i="90"/>
  <c r="EK133" i="90"/>
  <c r="ET103" i="90"/>
  <c r="EZ103" i="90" s="1"/>
  <c r="EC103" i="90"/>
  <c r="DT125" i="90"/>
  <c r="EK125" i="90"/>
  <c r="DS162" i="90"/>
  <c r="EJ162" i="90"/>
  <c r="DS179" i="90"/>
  <c r="EJ179" i="90"/>
  <c r="ES139" i="90"/>
  <c r="FA139" i="90" s="1"/>
  <c r="EB139" i="90"/>
  <c r="DS183" i="90"/>
  <c r="EJ183" i="90"/>
  <c r="EK109" i="90"/>
  <c r="DT109" i="90"/>
  <c r="DS160" i="90"/>
  <c r="EJ160" i="90"/>
  <c r="ED164" i="90"/>
  <c r="EV164" i="90" s="1"/>
  <c r="EX164" i="90" s="1"/>
  <c r="EU164" i="90"/>
  <c r="EY164" i="90" s="1"/>
  <c r="ES119" i="90"/>
  <c r="FA119" i="90" s="1"/>
  <c r="EB119" i="90"/>
  <c r="DS99" i="90"/>
  <c r="EJ99" i="90"/>
  <c r="ET173" i="90"/>
  <c r="EZ173" i="90" s="1"/>
  <c r="EC173" i="90"/>
  <c r="EJ159" i="90"/>
  <c r="DS159" i="90"/>
  <c r="DT166" i="90"/>
  <c r="EK166" i="90"/>
  <c r="DS200" i="90"/>
  <c r="EJ200" i="90"/>
  <c r="EC182" i="90"/>
  <c r="ET182" i="90"/>
  <c r="EZ182" i="90" s="1"/>
  <c r="DS112" i="90"/>
  <c r="EJ112" i="90"/>
  <c r="EC97" i="90"/>
  <c r="ET97" i="90"/>
  <c r="EZ97" i="90" s="1"/>
  <c r="ED111" i="90"/>
  <c r="EV111" i="90" s="1"/>
  <c r="EX111" i="90" s="1"/>
  <c r="EU111" i="90"/>
  <c r="EY111" i="90" s="1"/>
  <c r="ES161" i="90"/>
  <c r="FA161" i="90" s="1"/>
  <c r="EB161" i="90"/>
  <c r="EC176" i="90"/>
  <c r="ET176" i="90"/>
  <c r="EZ176" i="90" s="1"/>
  <c r="EC107" i="90"/>
  <c r="ET107" i="90"/>
  <c r="EZ107" i="90" s="1"/>
  <c r="EI144" i="90"/>
  <c r="DR144" i="90"/>
  <c r="DT168" i="90"/>
  <c r="EK168" i="90"/>
  <c r="DS148" i="90"/>
  <c r="EJ148" i="90"/>
  <c r="EC166" i="90"/>
  <c r="ET166" i="90"/>
  <c r="EZ166" i="90" s="1"/>
  <c r="DU157" i="90"/>
  <c r="EM157" i="90" s="1"/>
  <c r="EL157" i="90"/>
  <c r="DS190" i="90"/>
  <c r="EJ190" i="90"/>
  <c r="ES135" i="90"/>
  <c r="FA135" i="90" s="1"/>
  <c r="EB135" i="90"/>
  <c r="EL139" i="90"/>
  <c r="DU139" i="90"/>
  <c r="EM139" i="90" s="1"/>
  <c r="ED180" i="90"/>
  <c r="EV180" i="90" s="1"/>
  <c r="EX180" i="90" s="1"/>
  <c r="EU180" i="90"/>
  <c r="EY180" i="90" s="1"/>
  <c r="DS194" i="90"/>
  <c r="EJ194" i="90"/>
  <c r="EC125" i="90"/>
  <c r="ET125" i="90"/>
  <c r="EZ125" i="90" s="1"/>
  <c r="EU112" i="90"/>
  <c r="EY112" i="90" s="1"/>
  <c r="ED112" i="90"/>
  <c r="EV112" i="90" s="1"/>
  <c r="EX112" i="90" s="1"/>
  <c r="EU128" i="90"/>
  <c r="EY128" i="90" s="1"/>
  <c r="ED128" i="90"/>
  <c r="EV128" i="90" s="1"/>
  <c r="EX128" i="90" s="1"/>
  <c r="DS101" i="90"/>
  <c r="EJ101" i="90"/>
  <c r="DT155" i="90"/>
  <c r="EK155" i="90"/>
  <c r="EL126" i="90"/>
  <c r="DU126" i="90"/>
  <c r="EM126" i="90" s="1"/>
  <c r="ED162" i="90"/>
  <c r="EV162" i="90" s="1"/>
  <c r="EX162" i="90" s="1"/>
  <c r="EU162" i="90"/>
  <c r="EY162" i="90" s="1"/>
  <c r="EJ188" i="90"/>
  <c r="DS188" i="90"/>
  <c r="ES91" i="90"/>
  <c r="FA91" i="90" s="1"/>
  <c r="EB91" i="90"/>
  <c r="DT123" i="90"/>
  <c r="EK123" i="90"/>
  <c r="DS146" i="90"/>
  <c r="EJ146" i="90"/>
  <c r="EC121" i="90"/>
  <c r="ET121" i="90"/>
  <c r="EZ121" i="90" s="1"/>
  <c r="EI152" i="90"/>
  <c r="DR152" i="90"/>
  <c r="DS110" i="90"/>
  <c r="EJ110" i="90"/>
  <c r="EC133" i="90"/>
  <c r="ET133" i="90"/>
  <c r="EZ133" i="90" s="1"/>
  <c r="ED151" i="90"/>
  <c r="EV151" i="90" s="1"/>
  <c r="EX151" i="90" s="1"/>
  <c r="EU151" i="90"/>
  <c r="EY151" i="90" s="1"/>
  <c r="DS202" i="90"/>
  <c r="EJ202" i="90"/>
  <c r="DS129" i="90"/>
  <c r="EJ129" i="90"/>
  <c r="EJ93" i="90"/>
  <c r="DS93" i="90"/>
  <c r="DT107" i="90"/>
  <c r="EK107" i="90"/>
  <c r="ES123" i="90"/>
  <c r="FA123" i="90" s="1"/>
  <c r="EB123" i="90"/>
  <c r="EC109" i="90"/>
  <c r="ET109" i="90"/>
  <c r="EZ109" i="90" s="1"/>
  <c r="EC89" i="90"/>
  <c r="ET89" i="90"/>
  <c r="EZ89" i="90" s="1"/>
  <c r="DU182" i="90"/>
  <c r="EM182" i="90" s="1"/>
  <c r="EL182" i="90"/>
  <c r="EJ102" i="90"/>
  <c r="DS102" i="90"/>
  <c r="ES105" i="90"/>
  <c r="FA105" i="90" s="1"/>
  <c r="EB105" i="90"/>
  <c r="ES114" i="90"/>
  <c r="FA114" i="90" s="1"/>
  <c r="EB114" i="90"/>
  <c r="EL135" i="90"/>
  <c r="DU135" i="90"/>
  <c r="EM135" i="90" s="1"/>
  <c r="EJ167" i="90"/>
  <c r="DS167" i="90"/>
  <c r="DS158" i="90"/>
  <c r="EJ158" i="90"/>
  <c r="EJ169" i="90"/>
  <c r="DS169" i="90"/>
  <c r="EU136" i="90"/>
  <c r="EY136" i="90" s="1"/>
  <c r="ED136" i="90"/>
  <c r="EV136" i="90" s="1"/>
  <c r="EX136" i="90" s="1"/>
  <c r="EC157" i="90"/>
  <c r="ET157" i="90"/>
  <c r="EZ157" i="90" s="1"/>
  <c r="DS181" i="90"/>
  <c r="EJ181" i="90"/>
  <c r="EC172" i="90"/>
  <c r="ET172" i="90"/>
  <c r="EZ172" i="90" s="1"/>
  <c r="ED197" i="90"/>
  <c r="EV197" i="90" s="1"/>
  <c r="EX197" i="90" s="1"/>
  <c r="EU197" i="90"/>
  <c r="EY197" i="90" s="1"/>
  <c r="EC187" i="90"/>
  <c r="ET187" i="90"/>
  <c r="EZ187" i="90" s="1"/>
  <c r="DT186" i="90"/>
  <c r="EK186" i="90"/>
  <c r="EJ98" i="90"/>
  <c r="DS98" i="90"/>
  <c r="DS106" i="90"/>
  <c r="EJ106" i="90"/>
  <c r="ED113" i="90"/>
  <c r="EV113" i="90" s="1"/>
  <c r="EX113" i="90" s="1"/>
  <c r="EU113" i="90"/>
  <c r="EY113" i="90" s="1"/>
  <c r="EC168" i="90"/>
  <c r="ET168" i="90"/>
  <c r="EZ168" i="90" s="1"/>
  <c r="EC129" i="90"/>
  <c r="ET129" i="90"/>
  <c r="EZ129" i="90" s="1"/>
  <c r="EJ171" i="90"/>
  <c r="DS171" i="90"/>
  <c r="DS154" i="90"/>
  <c r="EJ154" i="90"/>
  <c r="ED191" i="90"/>
  <c r="EV191" i="90" s="1"/>
  <c r="EX191" i="90" s="1"/>
  <c r="EU191" i="90"/>
  <c r="EY191" i="90" s="1"/>
  <c r="EC100" i="90"/>
  <c r="ET100" i="90"/>
  <c r="EZ100" i="90" s="1"/>
  <c r="DU128" i="90"/>
  <c r="EM128" i="90" s="1"/>
  <c r="EL128" i="90"/>
  <c r="EU96" i="90"/>
  <c r="EY96" i="90" s="1"/>
  <c r="ED96" i="90"/>
  <c r="EV96" i="90" s="1"/>
  <c r="EX96" i="90" s="1"/>
  <c r="ET163" i="90"/>
  <c r="EZ163" i="90" s="1"/>
  <c r="EC163" i="90"/>
  <c r="ED186" i="90"/>
  <c r="EV186" i="90" s="1"/>
  <c r="EX186" i="90" s="1"/>
  <c r="EU186" i="90"/>
  <c r="EY186" i="90" s="1"/>
  <c r="DT119" i="90"/>
  <c r="EK119" i="90"/>
  <c r="DT153" i="90"/>
  <c r="EK153" i="90"/>
  <c r="DT176" i="90"/>
  <c r="EK176" i="90"/>
  <c r="EK163" i="90"/>
  <c r="DT163" i="90"/>
  <c r="ED203" i="90"/>
  <c r="EV203" i="90" s="1"/>
  <c r="EX203" i="90" s="1"/>
  <c r="EU203" i="90"/>
  <c r="EY203" i="90" s="1"/>
  <c r="DS164" i="90"/>
  <c r="EJ164" i="90"/>
  <c r="EC155" i="90"/>
  <c r="ET155" i="90"/>
  <c r="EZ155" i="90" s="1"/>
  <c r="DS192" i="90"/>
  <c r="EJ192" i="90"/>
  <c r="DS196" i="90"/>
  <c r="EJ196" i="90"/>
  <c r="DS198" i="90"/>
  <c r="EJ198" i="90"/>
  <c r="ES95" i="90"/>
  <c r="FA95" i="90" s="1"/>
  <c r="EB95" i="90"/>
  <c r="ED145" i="90"/>
  <c r="EV145" i="90" s="1"/>
  <c r="EX145" i="90" s="1"/>
  <c r="EU145" i="90"/>
  <c r="EY145" i="90" s="1"/>
  <c r="EJ131" i="90"/>
  <c r="DS131" i="90"/>
  <c r="DS104" i="90"/>
  <c r="EJ104" i="90"/>
  <c r="DT121" i="90"/>
  <c r="EK121" i="90"/>
  <c r="EJ111" i="90"/>
  <c r="DS111" i="90"/>
  <c r="EJ94" i="90"/>
  <c r="DS94" i="90"/>
  <c r="DT170" i="90"/>
  <c r="EK170" i="90"/>
  <c r="ED149" i="90"/>
  <c r="EV149" i="90" s="1"/>
  <c r="EX149" i="90" s="1"/>
  <c r="EU149" i="90"/>
  <c r="EY149" i="90" s="1"/>
  <c r="ED159" i="90"/>
  <c r="EV159" i="90" s="1"/>
  <c r="EX159" i="90" s="1"/>
  <c r="EU159" i="90"/>
  <c r="EY159" i="90" s="1"/>
  <c r="DR156" i="90"/>
  <c r="EI156" i="90"/>
  <c r="EC178" i="90"/>
  <c r="ET178" i="90"/>
  <c r="EZ178" i="90" s="1"/>
  <c r="DU143" i="90"/>
  <c r="EM143" i="90" s="1"/>
  <c r="EL143" i="90"/>
  <c r="DR185" i="90"/>
  <c r="EI185" i="90"/>
  <c r="DT91" i="90"/>
  <c r="EK91" i="90"/>
  <c r="DT96" i="90"/>
  <c r="EK96" i="90"/>
  <c r="DT105" i="90"/>
  <c r="EK105" i="90"/>
  <c r="EL122" i="90"/>
  <c r="DU122" i="90"/>
  <c r="EM122" i="90" s="1"/>
  <c r="ED184" i="90"/>
  <c r="EV184" i="90" s="1"/>
  <c r="EX184" i="90" s="1"/>
  <c r="EU184" i="90"/>
  <c r="EY184" i="90" s="1"/>
  <c r="EJ175" i="90"/>
  <c r="DS175" i="90"/>
  <c r="ES153" i="90"/>
  <c r="FA153" i="90" s="1"/>
  <c r="EB153" i="90"/>
  <c r="EK92" i="90"/>
  <c r="DT92" i="90"/>
  <c r="ED102" i="90"/>
  <c r="EV102" i="90" s="1"/>
  <c r="EX102" i="90" s="1"/>
  <c r="EU102" i="90"/>
  <c r="EY102" i="90" s="1"/>
  <c r="ED98" i="90"/>
  <c r="EV98" i="90" s="1"/>
  <c r="EX98" i="90" s="1"/>
  <c r="EU98" i="90"/>
  <c r="EY98" i="90" s="1"/>
  <c r="EU106" i="90"/>
  <c r="EY106" i="90" s="1"/>
  <c r="ED106" i="90"/>
  <c r="EV106" i="90" s="1"/>
  <c r="EX106" i="90" s="1"/>
  <c r="DT117" i="90"/>
  <c r="EK117" i="90"/>
  <c r="DU151" i="90"/>
  <c r="EM151" i="90" s="1"/>
  <c r="EL151" i="90"/>
  <c r="EK165" i="90"/>
  <c r="DT165" i="90"/>
  <c r="DS150" i="90"/>
  <c r="EJ150" i="90"/>
  <c r="EC170" i="90"/>
  <c r="ET170" i="90"/>
  <c r="EZ170" i="90" s="1"/>
  <c r="DT172" i="90"/>
  <c r="EK172" i="90"/>
  <c r="EC174" i="90"/>
  <c r="ET174" i="90"/>
  <c r="EZ174" i="90" s="1"/>
  <c r="EC93" i="90"/>
  <c r="ET93" i="90"/>
  <c r="EZ93" i="90" s="1"/>
  <c r="ED201" i="90"/>
  <c r="EV201" i="90" s="1"/>
  <c r="EX201" i="90" s="1"/>
  <c r="EU201" i="90"/>
  <c r="EY201" i="90" s="1"/>
  <c r="DS115" i="90"/>
  <c r="EJ115" i="90"/>
  <c r="EU140" i="90"/>
  <c r="EY140" i="90" s="1"/>
  <c r="ED140" i="90"/>
  <c r="EV140" i="90" s="1"/>
  <c r="EX140" i="90" s="1"/>
  <c r="EC117" i="90"/>
  <c r="ET117" i="90"/>
  <c r="EZ117" i="90" s="1"/>
  <c r="ET92" i="90"/>
  <c r="EZ92" i="90" s="1"/>
  <c r="EC92" i="90"/>
  <c r="EB127" i="90"/>
  <c r="ES127" i="90"/>
  <c r="FA127" i="90" s="1"/>
  <c r="EJ73" i="90"/>
  <c r="DS73" i="90"/>
  <c r="EC79" i="90"/>
  <c r="ET79" i="90"/>
  <c r="EZ79" i="90" s="1"/>
  <c r="EC86" i="90"/>
  <c r="ET86" i="90"/>
  <c r="EZ86" i="90" s="1"/>
  <c r="ED83" i="90"/>
  <c r="EV83" i="90" s="1"/>
  <c r="EX83" i="90" s="1"/>
  <c r="EU83" i="90"/>
  <c r="EY83" i="90" s="1"/>
  <c r="DS82" i="90"/>
  <c r="EJ82" i="90"/>
  <c r="EL85" i="90"/>
  <c r="DU85" i="90"/>
  <c r="EM85" i="90" s="1"/>
  <c r="DS86" i="90"/>
  <c r="EJ86" i="90"/>
  <c r="DU83" i="90"/>
  <c r="EM83" i="90" s="1"/>
  <c r="EL83" i="90"/>
  <c r="ES80" i="90"/>
  <c r="FA80" i="90" s="1"/>
  <c r="EB80" i="90"/>
  <c r="ES75" i="90"/>
  <c r="FA75" i="90" s="1"/>
  <c r="EB75" i="90"/>
  <c r="ET82" i="90"/>
  <c r="EZ82" i="90" s="1"/>
  <c r="EC82" i="90"/>
  <c r="EC88" i="90"/>
  <c r="ET88" i="90"/>
  <c r="EZ88" i="90" s="1"/>
  <c r="EU76" i="90"/>
  <c r="EY76" i="90" s="1"/>
  <c r="ED76" i="90"/>
  <c r="EV76" i="90" s="1"/>
  <c r="EX76" i="90" s="1"/>
  <c r="ES77" i="90"/>
  <c r="FA77" i="90" s="1"/>
  <c r="EB77" i="90"/>
  <c r="EJ77" i="90"/>
  <c r="DS77" i="90"/>
  <c r="DT75" i="90"/>
  <c r="EK75" i="90"/>
  <c r="EL76" i="90"/>
  <c r="DU76" i="90"/>
  <c r="EM76" i="90" s="1"/>
  <c r="EC73" i="90"/>
  <c r="ET73" i="90"/>
  <c r="EZ73" i="90" s="1"/>
  <c r="DT79" i="90"/>
  <c r="EK79" i="90"/>
  <c r="DT88" i="90"/>
  <c r="EK88" i="90"/>
  <c r="EJ87" i="90"/>
  <c r="DS87" i="90"/>
  <c r="DT68" i="90"/>
  <c r="EK68" i="90"/>
  <c r="DT66" i="90"/>
  <c r="EK66" i="90"/>
  <c r="EU71" i="90"/>
  <c r="EY71" i="90" s="1"/>
  <c r="ED71" i="90"/>
  <c r="EV71" i="90" s="1"/>
  <c r="EX71" i="90" s="1"/>
  <c r="DT72" i="90"/>
  <c r="EK72" i="90"/>
  <c r="EC72" i="90"/>
  <c r="ET72" i="90"/>
  <c r="EZ72" i="90" s="1"/>
  <c r="EC64" i="90"/>
  <c r="ET64" i="90"/>
  <c r="EZ64" i="90" s="1"/>
  <c r="DS70" i="90"/>
  <c r="EJ70" i="90"/>
  <c r="DT64" i="90"/>
  <c r="EK64" i="90"/>
  <c r="EC66" i="90"/>
  <c r="ET66" i="90"/>
  <c r="EZ66" i="90" s="1"/>
  <c r="EC70" i="90"/>
  <c r="ET70" i="90"/>
  <c r="EZ70" i="90" s="1"/>
  <c r="EC68" i="90"/>
  <c r="ET68" i="90"/>
  <c r="EZ68" i="90" s="1"/>
  <c r="J48" i="98"/>
  <c r="N48" i="98"/>
  <c r="Q49" i="98"/>
  <c r="R48" i="98"/>
  <c r="K50" i="98"/>
  <c r="J49" i="98"/>
  <c r="N49" i="98"/>
  <c r="R49" i="98"/>
  <c r="K49" i="98"/>
  <c r="O49" i="98"/>
  <c r="I50" i="98"/>
  <c r="M50" i="98"/>
  <c r="Q50" i="98"/>
  <c r="L49" i="98"/>
  <c r="J50" i="98"/>
  <c r="N50" i="98"/>
  <c r="L51" i="98"/>
  <c r="J85" i="98"/>
  <c r="F94" i="98"/>
  <c r="R94" i="98"/>
  <c r="N85" i="98"/>
  <c r="F85" i="98"/>
  <c r="J94" i="98"/>
  <c r="R85" i="98"/>
  <c r="N94" i="98"/>
  <c r="E85" i="98"/>
  <c r="D85" i="98"/>
  <c r="D94" i="98"/>
  <c r="H94" i="98"/>
  <c r="L94" i="98"/>
  <c r="P94" i="98"/>
  <c r="E94" i="98"/>
  <c r="I94" i="98"/>
  <c r="M94" i="98"/>
  <c r="Q94" i="98"/>
  <c r="G94" i="98"/>
  <c r="K94" i="98"/>
  <c r="O94" i="98"/>
  <c r="H85" i="98"/>
  <c r="L85" i="98"/>
  <c r="P85" i="98"/>
  <c r="I85" i="98"/>
  <c r="M85" i="98"/>
  <c r="Q85" i="98"/>
  <c r="G85" i="98"/>
  <c r="K85" i="98"/>
  <c r="O85" i="98"/>
  <c r="K48" i="98"/>
  <c r="O48" i="98"/>
  <c r="L48" i="98"/>
  <c r="P48" i="98"/>
  <c r="I48" i="98"/>
  <c r="M48" i="98"/>
  <c r="L47" i="98"/>
  <c r="P47" i="98"/>
  <c r="J47" i="98"/>
  <c r="N47" i="98"/>
  <c r="R47" i="98"/>
  <c r="K47" i="98"/>
  <c r="O47" i="98"/>
  <c r="I47" i="98"/>
  <c r="M47" i="98"/>
  <c r="I453" i="57"/>
  <c r="I452" i="57"/>
  <c r="I451" i="57"/>
  <c r="I450" i="57"/>
  <c r="I449" i="57"/>
  <c r="I448" i="57"/>
  <c r="I453" i="36"/>
  <c r="I452" i="36"/>
  <c r="I451" i="36"/>
  <c r="I450" i="36"/>
  <c r="I449" i="36"/>
  <c r="I448" i="36"/>
  <c r="C99" i="12"/>
  <c r="C90" i="12"/>
  <c r="K32" i="12"/>
  <c r="L32" i="12"/>
  <c r="M32" i="12"/>
  <c r="N32" i="12"/>
  <c r="O32" i="12"/>
  <c r="P32" i="12"/>
  <c r="Q32" i="12"/>
  <c r="R32" i="12"/>
  <c r="S32" i="12"/>
  <c r="T32" i="12"/>
  <c r="U32" i="12"/>
  <c r="V32" i="12"/>
  <c r="W32" i="12"/>
  <c r="X32" i="12"/>
  <c r="ED150" i="90" l="1"/>
  <c r="EV150" i="90" s="1"/>
  <c r="EX150" i="90" s="1"/>
  <c r="EU150" i="90"/>
  <c r="EY150" i="90" s="1"/>
  <c r="ET65" i="90"/>
  <c r="EZ65" i="90" s="1"/>
  <c r="EC65" i="90"/>
  <c r="EK118" i="90"/>
  <c r="DT118" i="90"/>
  <c r="P52" i="98"/>
  <c r="DS252" i="90"/>
  <c r="EJ252" i="90"/>
  <c r="DU293" i="90"/>
  <c r="EM293" i="90" s="1"/>
  <c r="EL293" i="90"/>
  <c r="J52" i="98"/>
  <c r="EJ342" i="90"/>
  <c r="DS342" i="90"/>
  <c r="EC261" i="90"/>
  <c r="ET261" i="90"/>
  <c r="EZ261" i="90" s="1"/>
  <c r="EJ343" i="90"/>
  <c r="DS343" i="90"/>
  <c r="ET306" i="90"/>
  <c r="EZ306" i="90" s="1"/>
  <c r="EC306" i="90"/>
  <c r="DS216" i="90"/>
  <c r="EJ216" i="90"/>
  <c r="ED360" i="90"/>
  <c r="EV360" i="90" s="1"/>
  <c r="EX360" i="90" s="1"/>
  <c r="EU360" i="90"/>
  <c r="EY360" i="90" s="1"/>
  <c r="ED352" i="90"/>
  <c r="EV352" i="90" s="1"/>
  <c r="EX352" i="90" s="1"/>
  <c r="EU352" i="90"/>
  <c r="EY352" i="90" s="1"/>
  <c r="R52" i="98"/>
  <c r="N52" i="98"/>
  <c r="EK350" i="90"/>
  <c r="DT350" i="90"/>
  <c r="EU341" i="90"/>
  <c r="EY341" i="90" s="1"/>
  <c r="ED341" i="90"/>
  <c r="EV341" i="90" s="1"/>
  <c r="EX341" i="90" s="1"/>
  <c r="ED349" i="90"/>
  <c r="EV349" i="90" s="1"/>
  <c r="EX349" i="90" s="1"/>
  <c r="EU349" i="90"/>
  <c r="EY349" i="90" s="1"/>
  <c r="DT355" i="90"/>
  <c r="EK355" i="90"/>
  <c r="DS344" i="90"/>
  <c r="EJ344" i="90"/>
  <c r="EK361" i="90"/>
  <c r="DT361" i="90"/>
  <c r="EU358" i="90"/>
  <c r="EY358" i="90" s="1"/>
  <c r="ED358" i="90"/>
  <c r="EV358" i="90" s="1"/>
  <c r="EX358" i="90" s="1"/>
  <c r="EL358" i="90"/>
  <c r="DU358" i="90"/>
  <c r="EM358" i="90" s="1"/>
  <c r="EK356" i="90"/>
  <c r="DT356" i="90"/>
  <c r="DT348" i="90"/>
  <c r="EK348" i="90"/>
  <c r="DT345" i="90"/>
  <c r="EK345" i="90"/>
  <c r="EL362" i="90"/>
  <c r="DU362" i="90"/>
  <c r="EM362" i="90" s="1"/>
  <c r="ED346" i="90"/>
  <c r="EV346" i="90" s="1"/>
  <c r="EX346" i="90" s="1"/>
  <c r="EU346" i="90"/>
  <c r="EY346" i="90" s="1"/>
  <c r="DU349" i="90"/>
  <c r="EM349" i="90" s="1"/>
  <c r="EL349" i="90"/>
  <c r="EU362" i="90"/>
  <c r="EY362" i="90" s="1"/>
  <c r="ED362" i="90"/>
  <c r="EV362" i="90" s="1"/>
  <c r="EX362" i="90" s="1"/>
  <c r="EU348" i="90"/>
  <c r="EY348" i="90" s="1"/>
  <c r="ED348" i="90"/>
  <c r="EV348" i="90" s="1"/>
  <c r="EX348" i="90" s="1"/>
  <c r="EK354" i="90"/>
  <c r="DT354" i="90"/>
  <c r="EU351" i="90"/>
  <c r="EY351" i="90" s="1"/>
  <c r="ED351" i="90"/>
  <c r="EV351" i="90" s="1"/>
  <c r="EX351" i="90" s="1"/>
  <c r="DU363" i="90"/>
  <c r="EM363" i="90" s="1"/>
  <c r="EL363" i="90"/>
  <c r="EL351" i="90"/>
  <c r="DU351" i="90"/>
  <c r="EM351" i="90" s="1"/>
  <c r="DS340" i="90"/>
  <c r="EJ340" i="90"/>
  <c r="EK360" i="90"/>
  <c r="DT360" i="90"/>
  <c r="EU361" i="90"/>
  <c r="EY361" i="90" s="1"/>
  <c r="ED361" i="90"/>
  <c r="EV361" i="90" s="1"/>
  <c r="EX361" i="90" s="1"/>
  <c r="DT341" i="90"/>
  <c r="EK341" i="90"/>
  <c r="EK364" i="90"/>
  <c r="DT364" i="90"/>
  <c r="EK357" i="90"/>
  <c r="DT357" i="90"/>
  <c r="ED342" i="90"/>
  <c r="EV342" i="90" s="1"/>
  <c r="EX342" i="90" s="1"/>
  <c r="EU342" i="90"/>
  <c r="EY342" i="90" s="1"/>
  <c r="EU357" i="90"/>
  <c r="EY357" i="90" s="1"/>
  <c r="ED357" i="90"/>
  <c r="EV357" i="90" s="1"/>
  <c r="EX357" i="90" s="1"/>
  <c r="EK352" i="90"/>
  <c r="DT352" i="90"/>
  <c r="EU253" i="90"/>
  <c r="EY253" i="90" s="1"/>
  <c r="ED253" i="90"/>
  <c r="EV253" i="90" s="1"/>
  <c r="EX253" i="90" s="1"/>
  <c r="EJ251" i="90"/>
  <c r="DS251" i="90"/>
  <c r="EU270" i="90"/>
  <c r="EY270" i="90" s="1"/>
  <c r="ED270" i="90"/>
  <c r="EV270" i="90" s="1"/>
  <c r="EX270" i="90" s="1"/>
  <c r="DS273" i="90"/>
  <c r="EJ273" i="90"/>
  <c r="EU256" i="90"/>
  <c r="EY256" i="90" s="1"/>
  <c r="ED256" i="90"/>
  <c r="EV256" i="90" s="1"/>
  <c r="EX256" i="90" s="1"/>
  <c r="DS308" i="90"/>
  <c r="EJ308" i="90"/>
  <c r="EL304" i="90"/>
  <c r="DU304" i="90"/>
  <c r="EM304" i="90" s="1"/>
  <c r="EK303" i="90"/>
  <c r="DT303" i="90"/>
  <c r="ET259" i="90"/>
  <c r="EZ259" i="90" s="1"/>
  <c r="EC259" i="90"/>
  <c r="EK278" i="90"/>
  <c r="DT278" i="90"/>
  <c r="EK269" i="90"/>
  <c r="DT269" i="90"/>
  <c r="DU291" i="90"/>
  <c r="EM291" i="90" s="1"/>
  <c r="EL291" i="90"/>
  <c r="EL287" i="90"/>
  <c r="DU287" i="90"/>
  <c r="EM287" i="90" s="1"/>
  <c r="EU279" i="90"/>
  <c r="EY279" i="90" s="1"/>
  <c r="ED279" i="90"/>
  <c r="EV279" i="90" s="1"/>
  <c r="EX279" i="90" s="1"/>
  <c r="EK299" i="90"/>
  <c r="DT299" i="90"/>
  <c r="EK266" i="90"/>
  <c r="DT266" i="90"/>
  <c r="EU300" i="90"/>
  <c r="EY300" i="90" s="1"/>
  <c r="ED300" i="90"/>
  <c r="EV300" i="90" s="1"/>
  <c r="EX300" i="90" s="1"/>
  <c r="EC250" i="90"/>
  <c r="ET250" i="90"/>
  <c r="EZ250" i="90" s="1"/>
  <c r="EU258" i="90"/>
  <c r="EY258" i="90" s="1"/>
  <c r="ED258" i="90"/>
  <c r="EV258" i="90" s="1"/>
  <c r="EX258" i="90" s="1"/>
  <c r="DU298" i="90"/>
  <c r="EM298" i="90" s="1"/>
  <c r="EL298" i="90"/>
  <c r="DU264" i="90"/>
  <c r="EM264" i="90" s="1"/>
  <c r="EL264" i="90"/>
  <c r="DT254" i="90"/>
  <c r="EK254" i="90"/>
  <c r="EK284" i="90"/>
  <c r="DT284" i="90"/>
  <c r="ED291" i="90"/>
  <c r="EV291" i="90" s="1"/>
  <c r="EX291" i="90" s="1"/>
  <c r="EU291" i="90"/>
  <c r="EY291" i="90" s="1"/>
  <c r="EK275" i="90"/>
  <c r="DT275" i="90"/>
  <c r="DU255" i="90"/>
  <c r="EM255" i="90" s="1"/>
  <c r="EL255" i="90"/>
  <c r="EL265" i="90"/>
  <c r="DU265" i="90"/>
  <c r="EM265" i="90" s="1"/>
  <c r="EL268" i="90"/>
  <c r="DU268" i="90"/>
  <c r="EM268" i="90" s="1"/>
  <c r="DT256" i="90"/>
  <c r="EK256" i="90"/>
  <c r="EL300" i="90"/>
  <c r="DU300" i="90"/>
  <c r="EM300" i="90" s="1"/>
  <c r="EL272" i="90"/>
  <c r="DU272" i="90"/>
  <c r="EM272" i="90" s="1"/>
  <c r="EU268" i="90"/>
  <c r="EY268" i="90" s="1"/>
  <c r="ED268" i="90"/>
  <c r="EV268" i="90" s="1"/>
  <c r="EX268" i="90" s="1"/>
  <c r="EK286" i="90"/>
  <c r="DT286" i="90"/>
  <c r="ED264" i="90"/>
  <c r="EV264" i="90" s="1"/>
  <c r="EX264" i="90" s="1"/>
  <c r="EU264" i="90"/>
  <c r="EY264" i="90" s="1"/>
  <c r="EU252" i="90"/>
  <c r="EY252" i="90" s="1"/>
  <c r="ED252" i="90"/>
  <c r="EV252" i="90" s="1"/>
  <c r="EX252" i="90" s="1"/>
  <c r="ED294" i="90"/>
  <c r="EV294" i="90" s="1"/>
  <c r="EX294" i="90" s="1"/>
  <c r="EU294" i="90"/>
  <c r="EY294" i="90" s="1"/>
  <c r="DS249" i="90"/>
  <c r="EJ249" i="90"/>
  <c r="DT250" i="90"/>
  <c r="EK250" i="90"/>
  <c r="EU308" i="90"/>
  <c r="EY308" i="90" s="1"/>
  <c r="ED308" i="90"/>
  <c r="EV308" i="90" s="1"/>
  <c r="EX308" i="90" s="1"/>
  <c r="EU289" i="90"/>
  <c r="EY289" i="90" s="1"/>
  <c r="ED289" i="90"/>
  <c r="EV289" i="90" s="1"/>
  <c r="EX289" i="90" s="1"/>
  <c r="EK295" i="90"/>
  <c r="DT295" i="90"/>
  <c r="EK257" i="90"/>
  <c r="DT257" i="90"/>
  <c r="EU293" i="90"/>
  <c r="EY293" i="90" s="1"/>
  <c r="ED293" i="90"/>
  <c r="EV293" i="90" s="1"/>
  <c r="EX293" i="90" s="1"/>
  <c r="EL263" i="90"/>
  <c r="DU263" i="90"/>
  <c r="EM263" i="90" s="1"/>
  <c r="EL281" i="90"/>
  <c r="DU281" i="90"/>
  <c r="EM281" i="90" s="1"/>
  <c r="EK271" i="90"/>
  <c r="DT271" i="90"/>
  <c r="EK267" i="90"/>
  <c r="DT267" i="90"/>
  <c r="EU272" i="90"/>
  <c r="EY272" i="90" s="1"/>
  <c r="ED272" i="90"/>
  <c r="EV272" i="90" s="1"/>
  <c r="EX272" i="90" s="1"/>
  <c r="EU304" i="90"/>
  <c r="EY304" i="90" s="1"/>
  <c r="ED304" i="90"/>
  <c r="EV304" i="90" s="1"/>
  <c r="EX304" i="90" s="1"/>
  <c r="ED276" i="90"/>
  <c r="EV276" i="90" s="1"/>
  <c r="EX276" i="90" s="1"/>
  <c r="EU276" i="90"/>
  <c r="EY276" i="90" s="1"/>
  <c r="EU274" i="90"/>
  <c r="EY274" i="90" s="1"/>
  <c r="ED274" i="90"/>
  <c r="EV274" i="90" s="1"/>
  <c r="EX274" i="90" s="1"/>
  <c r="EU283" i="90"/>
  <c r="EY283" i="90" s="1"/>
  <c r="ED283" i="90"/>
  <c r="EV283" i="90" s="1"/>
  <c r="EX283" i="90" s="1"/>
  <c r="ED275" i="90"/>
  <c r="EV275" i="90" s="1"/>
  <c r="EX275" i="90" s="1"/>
  <c r="EU275" i="90"/>
  <c r="EY275" i="90" s="1"/>
  <c r="EK282" i="90"/>
  <c r="DT282" i="90"/>
  <c r="EK305" i="90"/>
  <c r="DT305" i="90"/>
  <c r="EL296" i="90"/>
  <c r="DU296" i="90"/>
  <c r="EM296" i="90" s="1"/>
  <c r="EL283" i="90"/>
  <c r="DU283" i="90"/>
  <c r="EM283" i="90" s="1"/>
  <c r="DU276" i="90"/>
  <c r="EM276" i="90" s="1"/>
  <c r="EL276" i="90"/>
  <c r="EU267" i="90"/>
  <c r="EY267" i="90" s="1"/>
  <c r="ED267" i="90"/>
  <c r="EV267" i="90" s="1"/>
  <c r="EX267" i="90" s="1"/>
  <c r="EU296" i="90"/>
  <c r="EY296" i="90" s="1"/>
  <c r="ED296" i="90"/>
  <c r="EV296" i="90" s="1"/>
  <c r="EX296" i="90" s="1"/>
  <c r="EU271" i="90"/>
  <c r="EY271" i="90" s="1"/>
  <c r="ED271" i="90"/>
  <c r="EV271" i="90" s="1"/>
  <c r="EX271" i="90" s="1"/>
  <c r="ED298" i="90"/>
  <c r="EV298" i="90" s="1"/>
  <c r="EX298" i="90" s="1"/>
  <c r="EU298" i="90"/>
  <c r="EY298" i="90" s="1"/>
  <c r="EL289" i="90"/>
  <c r="DU289" i="90"/>
  <c r="EM289" i="90" s="1"/>
  <c r="EL260" i="90"/>
  <c r="DU260" i="90"/>
  <c r="EM260" i="90" s="1"/>
  <c r="DT290" i="90"/>
  <c r="EK290" i="90"/>
  <c r="EK292" i="90"/>
  <c r="DT292" i="90"/>
  <c r="ED251" i="90"/>
  <c r="EV251" i="90" s="1"/>
  <c r="EX251" i="90" s="1"/>
  <c r="EU251" i="90"/>
  <c r="EY251" i="90" s="1"/>
  <c r="EK277" i="90"/>
  <c r="DT277" i="90"/>
  <c r="DU259" i="90"/>
  <c r="EM259" i="90" s="1"/>
  <c r="EL259" i="90"/>
  <c r="DU302" i="90"/>
  <c r="EM302" i="90" s="1"/>
  <c r="EL302" i="90"/>
  <c r="EU249" i="90"/>
  <c r="EY249" i="90" s="1"/>
  <c r="ED249" i="90"/>
  <c r="EV249" i="90" s="1"/>
  <c r="EX249" i="90" s="1"/>
  <c r="EL262" i="90"/>
  <c r="DU262" i="90"/>
  <c r="EM262" i="90" s="1"/>
  <c r="EK280" i="90"/>
  <c r="DT280" i="90"/>
  <c r="DT297" i="90"/>
  <c r="EK297" i="90"/>
  <c r="DU294" i="90"/>
  <c r="EM294" i="90" s="1"/>
  <c r="EL294" i="90"/>
  <c r="ED302" i="90"/>
  <c r="EV302" i="90" s="1"/>
  <c r="EX302" i="90" s="1"/>
  <c r="EU302" i="90"/>
  <c r="EY302" i="90" s="1"/>
  <c r="DT261" i="90"/>
  <c r="EK261" i="90"/>
  <c r="EC254" i="90"/>
  <c r="ET254" i="90"/>
  <c r="EZ254" i="90" s="1"/>
  <c r="EU281" i="90"/>
  <c r="EY281" i="90" s="1"/>
  <c r="ED281" i="90"/>
  <c r="EV281" i="90" s="1"/>
  <c r="EX281" i="90" s="1"/>
  <c r="DT258" i="90"/>
  <c r="EK258" i="90"/>
  <c r="EK270" i="90"/>
  <c r="DT270" i="90"/>
  <c r="DT301" i="90"/>
  <c r="EK301" i="90"/>
  <c r="EK307" i="90"/>
  <c r="DT307" i="90"/>
  <c r="EL274" i="90"/>
  <c r="DU274" i="90"/>
  <c r="EM274" i="90" s="1"/>
  <c r="EL306" i="90"/>
  <c r="DU306" i="90"/>
  <c r="EM306" i="90" s="1"/>
  <c r="EL279" i="90"/>
  <c r="DU279" i="90"/>
  <c r="EM279" i="90" s="1"/>
  <c r="EK253" i="90"/>
  <c r="DT253" i="90"/>
  <c r="EU263" i="90"/>
  <c r="EY263" i="90" s="1"/>
  <c r="ED263" i="90"/>
  <c r="EV263" i="90" s="1"/>
  <c r="EX263" i="90" s="1"/>
  <c r="EK288" i="90"/>
  <c r="DT288" i="90"/>
  <c r="EJ114" i="90"/>
  <c r="DS114" i="90"/>
  <c r="DS95" i="90"/>
  <c r="EJ95" i="90"/>
  <c r="EJ100" i="90"/>
  <c r="DS100" i="90"/>
  <c r="EJ90" i="90"/>
  <c r="DS90" i="90"/>
  <c r="EL84" i="90"/>
  <c r="DU84" i="90"/>
  <c r="EM84" i="90" s="1"/>
  <c r="ET126" i="90"/>
  <c r="EZ126" i="90" s="1"/>
  <c r="EC126" i="90"/>
  <c r="DT80" i="90"/>
  <c r="EK80" i="90"/>
  <c r="EK197" i="90"/>
  <c r="DT197" i="90"/>
  <c r="EU185" i="90"/>
  <c r="EY185" i="90" s="1"/>
  <c r="ED185" i="90"/>
  <c r="EV185" i="90" s="1"/>
  <c r="EX185" i="90" s="1"/>
  <c r="EK78" i="90"/>
  <c r="DT78" i="90"/>
  <c r="EU202" i="90"/>
  <c r="EY202" i="90" s="1"/>
  <c r="ED202" i="90"/>
  <c r="EV202" i="90" s="1"/>
  <c r="EX202" i="90" s="1"/>
  <c r="ED207" i="90"/>
  <c r="EV207" i="90" s="1"/>
  <c r="EX207" i="90" s="1"/>
  <c r="EU207" i="90"/>
  <c r="EY207" i="90" s="1"/>
  <c r="EK193" i="90"/>
  <c r="DT193" i="90"/>
  <c r="ET130" i="90"/>
  <c r="EZ130" i="90" s="1"/>
  <c r="EC130" i="90"/>
  <c r="EU183" i="90"/>
  <c r="EY183" i="90" s="1"/>
  <c r="ED183" i="90"/>
  <c r="EV183" i="90" s="1"/>
  <c r="EX183" i="90" s="1"/>
  <c r="ED194" i="90"/>
  <c r="EV194" i="90" s="1"/>
  <c r="EX194" i="90" s="1"/>
  <c r="EU194" i="90"/>
  <c r="EY194" i="90" s="1"/>
  <c r="EU90" i="90"/>
  <c r="EY90" i="90" s="1"/>
  <c r="ED90" i="90"/>
  <c r="EV90" i="90" s="1"/>
  <c r="EX90" i="90" s="1"/>
  <c r="ED124" i="90"/>
  <c r="EV124" i="90" s="1"/>
  <c r="EX124" i="90" s="1"/>
  <c r="EU124" i="90"/>
  <c r="EY124" i="90" s="1"/>
  <c r="EC215" i="90"/>
  <c r="ET215" i="90"/>
  <c r="EZ215" i="90" s="1"/>
  <c r="EU144" i="90"/>
  <c r="EY144" i="90" s="1"/>
  <c r="ED144" i="90"/>
  <c r="EV144" i="90" s="1"/>
  <c r="EX144" i="90" s="1"/>
  <c r="EK184" i="90"/>
  <c r="DT184" i="90"/>
  <c r="EU181" i="90"/>
  <c r="EY181" i="90" s="1"/>
  <c r="ED181" i="90"/>
  <c r="EV181" i="90" s="1"/>
  <c r="EX181" i="90" s="1"/>
  <c r="EK180" i="90"/>
  <c r="DT180" i="90"/>
  <c r="EK145" i="90"/>
  <c r="DT145" i="90"/>
  <c r="EJ141" i="90"/>
  <c r="DS141" i="90"/>
  <c r="EK149" i="90"/>
  <c r="DT149" i="90"/>
  <c r="ED192" i="90"/>
  <c r="EV192" i="90" s="1"/>
  <c r="EX192" i="90" s="1"/>
  <c r="EU192" i="90"/>
  <c r="EY192" i="90" s="1"/>
  <c r="EU234" i="90"/>
  <c r="EY234" i="90" s="1"/>
  <c r="ED234" i="90"/>
  <c r="EV234" i="90" s="1"/>
  <c r="EX234" i="90" s="1"/>
  <c r="EU190" i="90"/>
  <c r="EY190" i="90" s="1"/>
  <c r="ED190" i="90"/>
  <c r="EV190" i="90" s="1"/>
  <c r="EX190" i="90" s="1"/>
  <c r="EJ81" i="90"/>
  <c r="DS81" i="90"/>
  <c r="EK207" i="90"/>
  <c r="DT207" i="90"/>
  <c r="DT189" i="90"/>
  <c r="EK189" i="90"/>
  <c r="ED69" i="90"/>
  <c r="EV69" i="90" s="1"/>
  <c r="EX69" i="90" s="1"/>
  <c r="EU69" i="90"/>
  <c r="EY69" i="90" s="1"/>
  <c r="ED189" i="90"/>
  <c r="EV189" i="90" s="1"/>
  <c r="EX189" i="90" s="1"/>
  <c r="EU189" i="90"/>
  <c r="EY189" i="90" s="1"/>
  <c r="EK71" i="90"/>
  <c r="DT71" i="90"/>
  <c r="EK69" i="90"/>
  <c r="DT69" i="90"/>
  <c r="EU198" i="90"/>
  <c r="EY198" i="90" s="1"/>
  <c r="ED198" i="90"/>
  <c r="EV198" i="90" s="1"/>
  <c r="EX198" i="90" s="1"/>
  <c r="EJ136" i="90"/>
  <c r="DS136" i="90"/>
  <c r="EU171" i="90"/>
  <c r="EY171" i="90" s="1"/>
  <c r="ED171" i="90"/>
  <c r="EV171" i="90" s="1"/>
  <c r="EX171" i="90" s="1"/>
  <c r="EU179" i="90"/>
  <c r="EY179" i="90" s="1"/>
  <c r="ED179" i="90"/>
  <c r="EV179" i="90" s="1"/>
  <c r="EX179" i="90" s="1"/>
  <c r="EJ147" i="90"/>
  <c r="DS147" i="90"/>
  <c r="EL187" i="90"/>
  <c r="DU187" i="90"/>
  <c r="EM187" i="90" s="1"/>
  <c r="EK124" i="90"/>
  <c r="DT124" i="90"/>
  <c r="EJ161" i="90"/>
  <c r="DS161" i="90"/>
  <c r="EK116" i="90"/>
  <c r="DT116" i="90"/>
  <c r="EK74" i="90"/>
  <c r="DT74" i="90"/>
  <c r="DT137" i="90"/>
  <c r="EK137" i="90"/>
  <c r="EC147" i="90"/>
  <c r="ET147" i="90"/>
  <c r="EZ147" i="90" s="1"/>
  <c r="EU84" i="90"/>
  <c r="EY84" i="90" s="1"/>
  <c r="ED84" i="90"/>
  <c r="EV84" i="90" s="1"/>
  <c r="EX84" i="90" s="1"/>
  <c r="EK199" i="90"/>
  <c r="DT199" i="90"/>
  <c r="EK67" i="90"/>
  <c r="DT67" i="90"/>
  <c r="EK140" i="90"/>
  <c r="DT140" i="90"/>
  <c r="EU200" i="90"/>
  <c r="EY200" i="90" s="1"/>
  <c r="ED200" i="90"/>
  <c r="EV200" i="90" s="1"/>
  <c r="EX200" i="90" s="1"/>
  <c r="EC138" i="90"/>
  <c r="ET138" i="90"/>
  <c r="EZ138" i="90" s="1"/>
  <c r="ED196" i="90"/>
  <c r="EV196" i="90" s="1"/>
  <c r="EX196" i="90" s="1"/>
  <c r="EU196" i="90"/>
  <c r="EY196" i="90" s="1"/>
  <c r="EU104" i="90"/>
  <c r="EY104" i="90" s="1"/>
  <c r="ED104" i="90"/>
  <c r="EV104" i="90" s="1"/>
  <c r="EX104" i="90" s="1"/>
  <c r="EU78" i="90"/>
  <c r="EY78" i="90" s="1"/>
  <c r="ED78" i="90"/>
  <c r="EV78" i="90" s="1"/>
  <c r="EX78" i="90" s="1"/>
  <c r="EK203" i="90"/>
  <c r="DT203" i="90"/>
  <c r="EK191" i="90"/>
  <c r="DT191" i="90"/>
  <c r="EU142" i="90"/>
  <c r="EY142" i="90" s="1"/>
  <c r="ED142" i="90"/>
  <c r="EV142" i="90" s="1"/>
  <c r="EX142" i="90" s="1"/>
  <c r="ET118" i="90"/>
  <c r="EZ118" i="90" s="1"/>
  <c r="EC118" i="90"/>
  <c r="DT195" i="90"/>
  <c r="EK195" i="90"/>
  <c r="EJ130" i="90"/>
  <c r="DS130" i="90"/>
  <c r="EK201" i="90"/>
  <c r="DT201" i="90"/>
  <c r="EC115" i="90"/>
  <c r="ET115" i="90"/>
  <c r="EZ115" i="90" s="1"/>
  <c r="EU146" i="90"/>
  <c r="EY146" i="90" s="1"/>
  <c r="ED146" i="90"/>
  <c r="EV146" i="90" s="1"/>
  <c r="EX146" i="90" s="1"/>
  <c r="DT224" i="90"/>
  <c r="EK224" i="90"/>
  <c r="EK227" i="90"/>
  <c r="DT227" i="90"/>
  <c r="DT204" i="90"/>
  <c r="EK204" i="90"/>
  <c r="EK231" i="90"/>
  <c r="DT231" i="90"/>
  <c r="EC216" i="90"/>
  <c r="ET216" i="90"/>
  <c r="EZ216" i="90" s="1"/>
  <c r="EK229" i="90"/>
  <c r="DT229" i="90"/>
  <c r="EJ211" i="90"/>
  <c r="DS211" i="90"/>
  <c r="EK234" i="90"/>
  <c r="DT234" i="90"/>
  <c r="DU226" i="90"/>
  <c r="EM226" i="90" s="1"/>
  <c r="EL226" i="90"/>
  <c r="ED213" i="90"/>
  <c r="EV213" i="90" s="1"/>
  <c r="EX213" i="90" s="1"/>
  <c r="EU213" i="90"/>
  <c r="EY213" i="90" s="1"/>
  <c r="EK205" i="90"/>
  <c r="DT205" i="90"/>
  <c r="EK230" i="90"/>
  <c r="DT230" i="90"/>
  <c r="ED218" i="90"/>
  <c r="EV218" i="90" s="1"/>
  <c r="EX218" i="90" s="1"/>
  <c r="EU218" i="90"/>
  <c r="EY218" i="90" s="1"/>
  <c r="ED208" i="90"/>
  <c r="EV208" i="90" s="1"/>
  <c r="EX208" i="90" s="1"/>
  <c r="EU208" i="90"/>
  <c r="EY208" i="90" s="1"/>
  <c r="EU212" i="90"/>
  <c r="EY212" i="90" s="1"/>
  <c r="ED212" i="90"/>
  <c r="EV212" i="90" s="1"/>
  <c r="EX212" i="90" s="1"/>
  <c r="EK221" i="90"/>
  <c r="DT221" i="90"/>
  <c r="DT206" i="90"/>
  <c r="EK206" i="90"/>
  <c r="EU209" i="90"/>
  <c r="EY209" i="90" s="1"/>
  <c r="ED209" i="90"/>
  <c r="EV209" i="90" s="1"/>
  <c r="EX209" i="90" s="1"/>
  <c r="ED211" i="90"/>
  <c r="EV211" i="90" s="1"/>
  <c r="EX211" i="90" s="1"/>
  <c r="EU211" i="90"/>
  <c r="EY211" i="90" s="1"/>
  <c r="EK219" i="90"/>
  <c r="DT219" i="90"/>
  <c r="DU209" i="90"/>
  <c r="EM209" i="90" s="1"/>
  <c r="EL209" i="90"/>
  <c r="DT220" i="90"/>
  <c r="EK220" i="90"/>
  <c r="EC210" i="90"/>
  <c r="ET210" i="90"/>
  <c r="EZ210" i="90" s="1"/>
  <c r="DT215" i="90"/>
  <c r="EK215" i="90"/>
  <c r="EK217" i="90"/>
  <c r="DT217" i="90"/>
  <c r="EU206" i="90"/>
  <c r="EY206" i="90" s="1"/>
  <c r="ED206" i="90"/>
  <c r="EV206" i="90" s="1"/>
  <c r="EX206" i="90" s="1"/>
  <c r="EK210" i="90"/>
  <c r="DT210" i="90"/>
  <c r="EK236" i="90"/>
  <c r="DT236" i="90"/>
  <c r="DT222" i="90"/>
  <c r="EK222" i="90"/>
  <c r="EK232" i="90"/>
  <c r="DT232" i="90"/>
  <c r="EK228" i="90"/>
  <c r="DT228" i="90"/>
  <c r="EK214" i="90"/>
  <c r="DT214" i="90"/>
  <c r="DS223" i="90"/>
  <c r="EJ223" i="90"/>
  <c r="EK233" i="90"/>
  <c r="DT233" i="90"/>
  <c r="EU217" i="90"/>
  <c r="EY217" i="90" s="1"/>
  <c r="ED217" i="90"/>
  <c r="EV217" i="90" s="1"/>
  <c r="EX217" i="90" s="1"/>
  <c r="EU204" i="90"/>
  <c r="EY204" i="90" s="1"/>
  <c r="ED204" i="90"/>
  <c r="EV204" i="90" s="1"/>
  <c r="EX204" i="90" s="1"/>
  <c r="EK212" i="90"/>
  <c r="DT212" i="90"/>
  <c r="DS225" i="90"/>
  <c r="EJ225" i="90"/>
  <c r="EC127" i="90"/>
  <c r="ET127" i="90"/>
  <c r="EZ127" i="90" s="1"/>
  <c r="EU117" i="90"/>
  <c r="EY117" i="90" s="1"/>
  <c r="ED117" i="90"/>
  <c r="EV117" i="90" s="1"/>
  <c r="EX117" i="90" s="1"/>
  <c r="DT115" i="90"/>
  <c r="EK115" i="90"/>
  <c r="EU170" i="90"/>
  <c r="EY170" i="90" s="1"/>
  <c r="ED170" i="90"/>
  <c r="EV170" i="90" s="1"/>
  <c r="EX170" i="90" s="1"/>
  <c r="EC153" i="90"/>
  <c r="ET153" i="90"/>
  <c r="EZ153" i="90" s="1"/>
  <c r="EK175" i="90"/>
  <c r="DT175" i="90"/>
  <c r="EL91" i="90"/>
  <c r="DU91" i="90"/>
  <c r="EM91" i="90" s="1"/>
  <c r="DS156" i="90"/>
  <c r="EJ156" i="90"/>
  <c r="EL170" i="90"/>
  <c r="DU170" i="90"/>
  <c r="EM170" i="90" s="1"/>
  <c r="EL121" i="90"/>
  <c r="DU121" i="90"/>
  <c r="EM121" i="90" s="1"/>
  <c r="EL176" i="90"/>
  <c r="DU176" i="90"/>
  <c r="EM176" i="90" s="1"/>
  <c r="EL119" i="90"/>
  <c r="DU119" i="90"/>
  <c r="EM119" i="90" s="1"/>
  <c r="EK154" i="90"/>
  <c r="DT154" i="90"/>
  <c r="EU129" i="90"/>
  <c r="EY129" i="90" s="1"/>
  <c r="ED129" i="90"/>
  <c r="EV129" i="90" s="1"/>
  <c r="EX129" i="90" s="1"/>
  <c r="ED157" i="90"/>
  <c r="EV157" i="90" s="1"/>
  <c r="EX157" i="90" s="1"/>
  <c r="EU157" i="90"/>
  <c r="EY157" i="90" s="1"/>
  <c r="EK158" i="90"/>
  <c r="DT158" i="90"/>
  <c r="DT129" i="90"/>
  <c r="EK129" i="90"/>
  <c r="EU133" i="90"/>
  <c r="EY133" i="90" s="1"/>
  <c r="ED133" i="90"/>
  <c r="EV133" i="90" s="1"/>
  <c r="EX133" i="90" s="1"/>
  <c r="EC91" i="90"/>
  <c r="ET91" i="90"/>
  <c r="EZ91" i="90" s="1"/>
  <c r="EK101" i="90"/>
  <c r="DT101" i="90"/>
  <c r="EK194" i="90"/>
  <c r="DT194" i="90"/>
  <c r="EC161" i="90"/>
  <c r="ET161" i="90"/>
  <c r="EZ161" i="90" s="1"/>
  <c r="EK112" i="90"/>
  <c r="DT112" i="90"/>
  <c r="DT159" i="90"/>
  <c r="EK159" i="90"/>
  <c r="EK162" i="90"/>
  <c r="DT162" i="90"/>
  <c r="ED165" i="90"/>
  <c r="EV165" i="90" s="1"/>
  <c r="EX165" i="90" s="1"/>
  <c r="EU165" i="90"/>
  <c r="EY165" i="90" s="1"/>
  <c r="DT142" i="90"/>
  <c r="EK142" i="90"/>
  <c r="EK177" i="90"/>
  <c r="DT177" i="90"/>
  <c r="EU99" i="90"/>
  <c r="EY99" i="90" s="1"/>
  <c r="ED99" i="90"/>
  <c r="EV99" i="90" s="1"/>
  <c r="EX99" i="90" s="1"/>
  <c r="EU92" i="90"/>
  <c r="EY92" i="90" s="1"/>
  <c r="ED92" i="90"/>
  <c r="EV92" i="90" s="1"/>
  <c r="EX92" i="90" s="1"/>
  <c r="EU93" i="90"/>
  <c r="EY93" i="90" s="1"/>
  <c r="ED93" i="90"/>
  <c r="EV93" i="90" s="1"/>
  <c r="EX93" i="90" s="1"/>
  <c r="EL172" i="90"/>
  <c r="DU172" i="90"/>
  <c r="EM172" i="90" s="1"/>
  <c r="DU165" i="90"/>
  <c r="EM165" i="90" s="1"/>
  <c r="EL165" i="90"/>
  <c r="EL96" i="90"/>
  <c r="DU96" i="90"/>
  <c r="EM96" i="90" s="1"/>
  <c r="ED178" i="90"/>
  <c r="EV178" i="90" s="1"/>
  <c r="EX178" i="90" s="1"/>
  <c r="EU178" i="90"/>
  <c r="EY178" i="90" s="1"/>
  <c r="DT111" i="90"/>
  <c r="EK111" i="90"/>
  <c r="EK198" i="90"/>
  <c r="DT198" i="90"/>
  <c r="EK192" i="90"/>
  <c r="DT192" i="90"/>
  <c r="DU163" i="90"/>
  <c r="EM163" i="90" s="1"/>
  <c r="EL163" i="90"/>
  <c r="EK171" i="90"/>
  <c r="DT171" i="90"/>
  <c r="EL186" i="90"/>
  <c r="DU186" i="90"/>
  <c r="EM186" i="90" s="1"/>
  <c r="ET114" i="90"/>
  <c r="EZ114" i="90" s="1"/>
  <c r="EC114" i="90"/>
  <c r="DT102" i="90"/>
  <c r="EK102" i="90"/>
  <c r="EK146" i="90"/>
  <c r="DT146" i="90"/>
  <c r="EC135" i="90"/>
  <c r="ET135" i="90"/>
  <c r="EZ135" i="90" s="1"/>
  <c r="EK190" i="90"/>
  <c r="DT190" i="90"/>
  <c r="EU166" i="90"/>
  <c r="EY166" i="90" s="1"/>
  <c r="ED166" i="90"/>
  <c r="EV166" i="90" s="1"/>
  <c r="EX166" i="90" s="1"/>
  <c r="EL168" i="90"/>
  <c r="DU168" i="90"/>
  <c r="EM168" i="90" s="1"/>
  <c r="DS144" i="90"/>
  <c r="EJ144" i="90"/>
  <c r="ED107" i="90"/>
  <c r="EV107" i="90" s="1"/>
  <c r="EX107" i="90" s="1"/>
  <c r="EU107" i="90"/>
  <c r="EY107" i="90" s="1"/>
  <c r="EK200" i="90"/>
  <c r="DT200" i="90"/>
  <c r="EK99" i="90"/>
  <c r="DT99" i="90"/>
  <c r="EK160" i="90"/>
  <c r="DT160" i="90"/>
  <c r="EC94" i="90"/>
  <c r="ET94" i="90"/>
  <c r="EZ94" i="90" s="1"/>
  <c r="EK103" i="90"/>
  <c r="DT103" i="90"/>
  <c r="EL127" i="90"/>
  <c r="DU127" i="90"/>
  <c r="EM127" i="90" s="1"/>
  <c r="DS108" i="90"/>
  <c r="EJ108" i="90"/>
  <c r="EU188" i="90"/>
  <c r="EY188" i="90" s="1"/>
  <c r="ED188" i="90"/>
  <c r="EV188" i="90" s="1"/>
  <c r="EX188" i="90" s="1"/>
  <c r="EK150" i="90"/>
  <c r="DT150" i="90"/>
  <c r="EL92" i="90"/>
  <c r="DU92" i="90"/>
  <c r="EM92" i="90" s="1"/>
  <c r="DS185" i="90"/>
  <c r="EJ185" i="90"/>
  <c r="EK104" i="90"/>
  <c r="DT104" i="90"/>
  <c r="DU153" i="90"/>
  <c r="EM153" i="90" s="1"/>
  <c r="EL153" i="90"/>
  <c r="DT98" i="90"/>
  <c r="EK98" i="90"/>
  <c r="EK181" i="90"/>
  <c r="DT181" i="90"/>
  <c r="EK169" i="90"/>
  <c r="DT169" i="90"/>
  <c r="EU89" i="90"/>
  <c r="EY89" i="90" s="1"/>
  <c r="ED89" i="90"/>
  <c r="EV89" i="90" s="1"/>
  <c r="EX89" i="90" s="1"/>
  <c r="ED109" i="90"/>
  <c r="EV109" i="90" s="1"/>
  <c r="EX109" i="90" s="1"/>
  <c r="EU109" i="90"/>
  <c r="EY109" i="90" s="1"/>
  <c r="DU107" i="90"/>
  <c r="EM107" i="90" s="1"/>
  <c r="EL107" i="90"/>
  <c r="EK202" i="90"/>
  <c r="DT202" i="90"/>
  <c r="DS152" i="90"/>
  <c r="EJ152" i="90"/>
  <c r="EK188" i="90"/>
  <c r="DT188" i="90"/>
  <c r="DU155" i="90"/>
  <c r="EM155" i="90" s="1"/>
  <c r="EL155" i="90"/>
  <c r="EU97" i="90"/>
  <c r="EY97" i="90" s="1"/>
  <c r="ED97" i="90"/>
  <c r="EV97" i="90" s="1"/>
  <c r="EX97" i="90" s="1"/>
  <c r="EU173" i="90"/>
  <c r="EY173" i="90" s="1"/>
  <c r="ED173" i="90"/>
  <c r="EV173" i="90" s="1"/>
  <c r="EX173" i="90" s="1"/>
  <c r="EC119" i="90"/>
  <c r="ET119" i="90"/>
  <c r="EZ119" i="90" s="1"/>
  <c r="EK183" i="90"/>
  <c r="DT183" i="90"/>
  <c r="EK179" i="90"/>
  <c r="DT179" i="90"/>
  <c r="EL125" i="90"/>
  <c r="DU125" i="90"/>
  <c r="EM125" i="90" s="1"/>
  <c r="EL133" i="90"/>
  <c r="DU133" i="90"/>
  <c r="EM133" i="90" s="1"/>
  <c r="EL174" i="90"/>
  <c r="DU174" i="90"/>
  <c r="EM174" i="90" s="1"/>
  <c r="DT138" i="90"/>
  <c r="EK138" i="90"/>
  <c r="DT134" i="90"/>
  <c r="EK134" i="90"/>
  <c r="DT89" i="90"/>
  <c r="EK89" i="90"/>
  <c r="DT97" i="90"/>
  <c r="EK97" i="90"/>
  <c r="DT113" i="90"/>
  <c r="EK113" i="90"/>
  <c r="EU174" i="90"/>
  <c r="EY174" i="90" s="1"/>
  <c r="ED174" i="90"/>
  <c r="EV174" i="90" s="1"/>
  <c r="EX174" i="90" s="1"/>
  <c r="EL117" i="90"/>
  <c r="DU117" i="90"/>
  <c r="EM117" i="90" s="1"/>
  <c r="DU105" i="90"/>
  <c r="EM105" i="90" s="1"/>
  <c r="EL105" i="90"/>
  <c r="DT94" i="90"/>
  <c r="EK94" i="90"/>
  <c r="DT131" i="90"/>
  <c r="EK131" i="90"/>
  <c r="EC95" i="90"/>
  <c r="ET95" i="90"/>
  <c r="EZ95" i="90" s="1"/>
  <c r="EK196" i="90"/>
  <c r="DT196" i="90"/>
  <c r="ED155" i="90"/>
  <c r="EV155" i="90" s="1"/>
  <c r="EX155" i="90" s="1"/>
  <c r="EU155" i="90"/>
  <c r="EY155" i="90" s="1"/>
  <c r="EK164" i="90"/>
  <c r="DT164" i="90"/>
  <c r="ED163" i="90"/>
  <c r="EV163" i="90" s="1"/>
  <c r="EX163" i="90" s="1"/>
  <c r="EU163" i="90"/>
  <c r="EY163" i="90" s="1"/>
  <c r="ED100" i="90"/>
  <c r="EV100" i="90" s="1"/>
  <c r="EX100" i="90" s="1"/>
  <c r="EU100" i="90"/>
  <c r="EY100" i="90" s="1"/>
  <c r="EU168" i="90"/>
  <c r="EY168" i="90" s="1"/>
  <c r="ED168" i="90"/>
  <c r="EV168" i="90" s="1"/>
  <c r="EX168" i="90" s="1"/>
  <c r="EK106" i="90"/>
  <c r="DT106" i="90"/>
  <c r="EU187" i="90"/>
  <c r="EY187" i="90" s="1"/>
  <c r="ED187" i="90"/>
  <c r="EV187" i="90" s="1"/>
  <c r="EX187" i="90" s="1"/>
  <c r="EU172" i="90"/>
  <c r="EY172" i="90" s="1"/>
  <c r="ED172" i="90"/>
  <c r="EV172" i="90" s="1"/>
  <c r="EX172" i="90" s="1"/>
  <c r="EK167" i="90"/>
  <c r="DT167" i="90"/>
  <c r="EC105" i="90"/>
  <c r="ET105" i="90"/>
  <c r="EZ105" i="90" s="1"/>
  <c r="EC123" i="90"/>
  <c r="ET123" i="90"/>
  <c r="EZ123" i="90" s="1"/>
  <c r="DT93" i="90"/>
  <c r="EK93" i="90"/>
  <c r="EK110" i="90"/>
  <c r="DT110" i="90"/>
  <c r="EU121" i="90"/>
  <c r="EY121" i="90" s="1"/>
  <c r="ED121" i="90"/>
  <c r="EV121" i="90" s="1"/>
  <c r="EX121" i="90" s="1"/>
  <c r="EL123" i="90"/>
  <c r="DU123" i="90"/>
  <c r="EM123" i="90" s="1"/>
  <c r="EU125" i="90"/>
  <c r="EY125" i="90" s="1"/>
  <c r="ED125" i="90"/>
  <c r="EV125" i="90" s="1"/>
  <c r="EX125" i="90" s="1"/>
  <c r="EK148" i="90"/>
  <c r="DT148" i="90"/>
  <c r="EU176" i="90"/>
  <c r="EY176" i="90" s="1"/>
  <c r="ED176" i="90"/>
  <c r="EV176" i="90" s="1"/>
  <c r="EX176" i="90" s="1"/>
  <c r="ED182" i="90"/>
  <c r="EV182" i="90" s="1"/>
  <c r="EX182" i="90" s="1"/>
  <c r="EU182" i="90"/>
  <c r="EY182" i="90" s="1"/>
  <c r="EL166" i="90"/>
  <c r="DU166" i="90"/>
  <c r="EM166" i="90" s="1"/>
  <c r="DU109" i="90"/>
  <c r="EM109" i="90" s="1"/>
  <c r="EL109" i="90"/>
  <c r="EC139" i="90"/>
  <c r="ET139" i="90"/>
  <c r="EZ139" i="90" s="1"/>
  <c r="ED103" i="90"/>
  <c r="EV103" i="90" s="1"/>
  <c r="EX103" i="90" s="1"/>
  <c r="EU103" i="90"/>
  <c r="EY103" i="90" s="1"/>
  <c r="EK173" i="90"/>
  <c r="DT173" i="90"/>
  <c r="EL132" i="90"/>
  <c r="DU132" i="90"/>
  <c r="EM132" i="90" s="1"/>
  <c r="EL79" i="90"/>
  <c r="DU79" i="90"/>
  <c r="EM79" i="90" s="1"/>
  <c r="DT77" i="90"/>
  <c r="EK77" i="90"/>
  <c r="EU82" i="90"/>
  <c r="EY82" i="90" s="1"/>
  <c r="ED82" i="90"/>
  <c r="EV82" i="90" s="1"/>
  <c r="EX82" i="90" s="1"/>
  <c r="EU79" i="90"/>
  <c r="EY79" i="90" s="1"/>
  <c r="ED79" i="90"/>
  <c r="EV79" i="90" s="1"/>
  <c r="EX79" i="90" s="1"/>
  <c r="EL88" i="90"/>
  <c r="DU88" i="90"/>
  <c r="EM88" i="90" s="1"/>
  <c r="EU73" i="90"/>
  <c r="EY73" i="90" s="1"/>
  <c r="ED73" i="90"/>
  <c r="EV73" i="90" s="1"/>
  <c r="EX73" i="90" s="1"/>
  <c r="EK82" i="90"/>
  <c r="DT82" i="90"/>
  <c r="DT73" i="90"/>
  <c r="EK73" i="90"/>
  <c r="EL75" i="90"/>
  <c r="DU75" i="90"/>
  <c r="EM75" i="90" s="1"/>
  <c r="EC77" i="90"/>
  <c r="ET77" i="90"/>
  <c r="EZ77" i="90" s="1"/>
  <c r="ET80" i="90"/>
  <c r="EZ80" i="90" s="1"/>
  <c r="EC80" i="90"/>
  <c r="EU86" i="90"/>
  <c r="EY86" i="90" s="1"/>
  <c r="ED86" i="90"/>
  <c r="EV86" i="90" s="1"/>
  <c r="EX86" i="90" s="1"/>
  <c r="EK87" i="90"/>
  <c r="DT87" i="90"/>
  <c r="EU88" i="90"/>
  <c r="EY88" i="90" s="1"/>
  <c r="ED88" i="90"/>
  <c r="EV88" i="90" s="1"/>
  <c r="EX88" i="90" s="1"/>
  <c r="EC75" i="90"/>
  <c r="ET75" i="90"/>
  <c r="EZ75" i="90" s="1"/>
  <c r="DT86" i="90"/>
  <c r="EK86" i="90"/>
  <c r="EU70" i="90"/>
  <c r="EY70" i="90" s="1"/>
  <c r="ED70" i="90"/>
  <c r="EV70" i="90" s="1"/>
  <c r="EX70" i="90" s="1"/>
  <c r="EL64" i="90"/>
  <c r="DU64" i="90"/>
  <c r="EM64" i="90" s="1"/>
  <c r="EU64" i="90"/>
  <c r="EY64" i="90" s="1"/>
  <c r="ED64" i="90"/>
  <c r="EV64" i="90" s="1"/>
  <c r="EX64" i="90" s="1"/>
  <c r="EU68" i="90"/>
  <c r="EY68" i="90" s="1"/>
  <c r="ED68" i="90"/>
  <c r="EV68" i="90" s="1"/>
  <c r="EX68" i="90" s="1"/>
  <c r="EL68" i="90"/>
  <c r="DU68" i="90"/>
  <c r="EM68" i="90" s="1"/>
  <c r="EU66" i="90"/>
  <c r="EY66" i="90" s="1"/>
  <c r="ED66" i="90"/>
  <c r="EV66" i="90" s="1"/>
  <c r="EX66" i="90" s="1"/>
  <c r="DT70" i="90"/>
  <c r="EK70" i="90"/>
  <c r="EU72" i="90"/>
  <c r="EY72" i="90" s="1"/>
  <c r="ED72" i="90"/>
  <c r="EV72" i="90" s="1"/>
  <c r="EX72" i="90" s="1"/>
  <c r="EL72" i="90"/>
  <c r="DU72" i="90"/>
  <c r="EM72" i="90" s="1"/>
  <c r="EL66" i="90"/>
  <c r="DU66" i="90"/>
  <c r="EM66" i="90" s="1"/>
  <c r="Q52" i="98"/>
  <c r="K52" i="98"/>
  <c r="L52" i="98"/>
  <c r="I52" i="98"/>
  <c r="M52" i="98"/>
  <c r="O52" i="98"/>
  <c r="EL118" i="90" l="1"/>
  <c r="DU118" i="90"/>
  <c r="EM118" i="90" s="1"/>
  <c r="EU65" i="90"/>
  <c r="EY65" i="90" s="1"/>
  <c r="ED65" i="90"/>
  <c r="EV65" i="90" s="1"/>
  <c r="EX65" i="90" s="1"/>
  <c r="EK252" i="90"/>
  <c r="DT252" i="90"/>
  <c r="EK343" i="90"/>
  <c r="DT343" i="90"/>
  <c r="DT342" i="90"/>
  <c r="EK342" i="90"/>
  <c r="EU306" i="90"/>
  <c r="EY306" i="90" s="1"/>
  <c r="ED306" i="90"/>
  <c r="EV306" i="90" s="1"/>
  <c r="EX306" i="90" s="1"/>
  <c r="DT216" i="90"/>
  <c r="EK216" i="90"/>
  <c r="EU261" i="90"/>
  <c r="EY261" i="90" s="1"/>
  <c r="ED261" i="90"/>
  <c r="EV261" i="90" s="1"/>
  <c r="EX261" i="90" s="1"/>
  <c r="DU350" i="90"/>
  <c r="EM350" i="90" s="1"/>
  <c r="EL350" i="90"/>
  <c r="DU352" i="90"/>
  <c r="EM352" i="90" s="1"/>
  <c r="EL352" i="90"/>
  <c r="EL360" i="90"/>
  <c r="DU360" i="90"/>
  <c r="EM360" i="90" s="1"/>
  <c r="EK340" i="90"/>
  <c r="DT340" i="90"/>
  <c r="DU354" i="90"/>
  <c r="EM354" i="90" s="1"/>
  <c r="EL354" i="90"/>
  <c r="DU364" i="90"/>
  <c r="EM364" i="90" s="1"/>
  <c r="EL364" i="90"/>
  <c r="EL341" i="90"/>
  <c r="DU341" i="90"/>
  <c r="EM341" i="90" s="1"/>
  <c r="EL348" i="90"/>
  <c r="DU348" i="90"/>
  <c r="EM348" i="90" s="1"/>
  <c r="DU355" i="90"/>
  <c r="EM355" i="90" s="1"/>
  <c r="EL355" i="90"/>
  <c r="EL357" i="90"/>
  <c r="DU357" i="90"/>
  <c r="EM357" i="90" s="1"/>
  <c r="EK344" i="90"/>
  <c r="DT344" i="90"/>
  <c r="EL345" i="90"/>
  <c r="DU345" i="90"/>
  <c r="EM345" i="90" s="1"/>
  <c r="EL356" i="90"/>
  <c r="DU356" i="90"/>
  <c r="EM356" i="90" s="1"/>
  <c r="EL361" i="90"/>
  <c r="DU361" i="90"/>
  <c r="EM361" i="90" s="1"/>
  <c r="EK273" i="90"/>
  <c r="DT273" i="90"/>
  <c r="EK251" i="90"/>
  <c r="DT251" i="90"/>
  <c r="DT308" i="90"/>
  <c r="EK308" i="90"/>
  <c r="EL297" i="90"/>
  <c r="DU297" i="90"/>
  <c r="EM297" i="90" s="1"/>
  <c r="EL282" i="90"/>
  <c r="DU282" i="90"/>
  <c r="EM282" i="90" s="1"/>
  <c r="EK249" i="90"/>
  <c r="DT249" i="90"/>
  <c r="EL286" i="90"/>
  <c r="DU286" i="90"/>
  <c r="EM286" i="90" s="1"/>
  <c r="EL266" i="90"/>
  <c r="DU266" i="90"/>
  <c r="EM266" i="90" s="1"/>
  <c r="EL278" i="90"/>
  <c r="DU278" i="90"/>
  <c r="EM278" i="90" s="1"/>
  <c r="EL303" i="90"/>
  <c r="DU303" i="90"/>
  <c r="EM303" i="90" s="1"/>
  <c r="EL288" i="90"/>
  <c r="DU288" i="90"/>
  <c r="EM288" i="90" s="1"/>
  <c r="EL253" i="90"/>
  <c r="DU253" i="90"/>
  <c r="EM253" i="90" s="1"/>
  <c r="DU307" i="90"/>
  <c r="EM307" i="90" s="1"/>
  <c r="EL307" i="90"/>
  <c r="EL301" i="90"/>
  <c r="DU301" i="90"/>
  <c r="EM301" i="90" s="1"/>
  <c r="EL261" i="90"/>
  <c r="DU261" i="90"/>
  <c r="EM261" i="90" s="1"/>
  <c r="DU280" i="90"/>
  <c r="EM280" i="90" s="1"/>
  <c r="EL280" i="90"/>
  <c r="EL267" i="90"/>
  <c r="DU267" i="90"/>
  <c r="EM267" i="90" s="1"/>
  <c r="EL295" i="90"/>
  <c r="DU295" i="90"/>
  <c r="EM295" i="90" s="1"/>
  <c r="EL256" i="90"/>
  <c r="DU256" i="90"/>
  <c r="EM256" i="90" s="1"/>
  <c r="EL254" i="90"/>
  <c r="DU254" i="90"/>
  <c r="EM254" i="90" s="1"/>
  <c r="EU250" i="90"/>
  <c r="EY250" i="90" s="1"/>
  <c r="ED250" i="90"/>
  <c r="EV250" i="90" s="1"/>
  <c r="EX250" i="90" s="1"/>
  <c r="EL270" i="90"/>
  <c r="DU270" i="90"/>
  <c r="EM270" i="90" s="1"/>
  <c r="EL258" i="90"/>
  <c r="DU258" i="90"/>
  <c r="EM258" i="90" s="1"/>
  <c r="DU305" i="90"/>
  <c r="EM305" i="90" s="1"/>
  <c r="EL305" i="90"/>
  <c r="EL250" i="90"/>
  <c r="DU250" i="90"/>
  <c r="EM250" i="90" s="1"/>
  <c r="DU275" i="90"/>
  <c r="EM275" i="90" s="1"/>
  <c r="EL275" i="90"/>
  <c r="DU284" i="90"/>
  <c r="EM284" i="90" s="1"/>
  <c r="EL284" i="90"/>
  <c r="EL299" i="90"/>
  <c r="DU299" i="90"/>
  <c r="EM299" i="90" s="1"/>
  <c r="DU269" i="90"/>
  <c r="EM269" i="90" s="1"/>
  <c r="EL269" i="90"/>
  <c r="ED259" i="90"/>
  <c r="EV259" i="90" s="1"/>
  <c r="EX259" i="90" s="1"/>
  <c r="EU259" i="90"/>
  <c r="EY259" i="90" s="1"/>
  <c r="EU254" i="90"/>
  <c r="EY254" i="90" s="1"/>
  <c r="ED254" i="90"/>
  <c r="EV254" i="90" s="1"/>
  <c r="EX254" i="90" s="1"/>
  <c r="DU277" i="90"/>
  <c r="EM277" i="90" s="1"/>
  <c r="EL277" i="90"/>
  <c r="DU292" i="90"/>
  <c r="EM292" i="90" s="1"/>
  <c r="EL292" i="90"/>
  <c r="EL290" i="90"/>
  <c r="DU290" i="90"/>
  <c r="EM290" i="90" s="1"/>
  <c r="EL271" i="90"/>
  <c r="DU271" i="90"/>
  <c r="EM271" i="90" s="1"/>
  <c r="EL257" i="90"/>
  <c r="DU257" i="90"/>
  <c r="EM257" i="90" s="1"/>
  <c r="EK90" i="90"/>
  <c r="DT90" i="90"/>
  <c r="DT100" i="90"/>
  <c r="EK100" i="90"/>
  <c r="DT95" i="90"/>
  <c r="EK95" i="90"/>
  <c r="DT114" i="90"/>
  <c r="EK114" i="90"/>
  <c r="DU195" i="90"/>
  <c r="EM195" i="90" s="1"/>
  <c r="EL195" i="90"/>
  <c r="EU138" i="90"/>
  <c r="EY138" i="90" s="1"/>
  <c r="ED138" i="90"/>
  <c r="EV138" i="90" s="1"/>
  <c r="EX138" i="90" s="1"/>
  <c r="DU140" i="90"/>
  <c r="EM140" i="90" s="1"/>
  <c r="EL140" i="90"/>
  <c r="EL199" i="90"/>
  <c r="DU199" i="90"/>
  <c r="EM199" i="90" s="1"/>
  <c r="EL74" i="90"/>
  <c r="DU74" i="90"/>
  <c r="EM74" i="90" s="1"/>
  <c r="DT161" i="90"/>
  <c r="EK161" i="90"/>
  <c r="EK136" i="90"/>
  <c r="DT136" i="90"/>
  <c r="EL189" i="90"/>
  <c r="DU189" i="90"/>
  <c r="EM189" i="90" s="1"/>
  <c r="ED130" i="90"/>
  <c r="EV130" i="90" s="1"/>
  <c r="EX130" i="90" s="1"/>
  <c r="EU130" i="90"/>
  <c r="EY130" i="90" s="1"/>
  <c r="EL78" i="90"/>
  <c r="DU78" i="90"/>
  <c r="EM78" i="90" s="1"/>
  <c r="DU197" i="90"/>
  <c r="EM197" i="90" s="1"/>
  <c r="EL197" i="90"/>
  <c r="EU126" i="90"/>
  <c r="EY126" i="90" s="1"/>
  <c r="ED126" i="90"/>
  <c r="EV126" i="90" s="1"/>
  <c r="EX126" i="90" s="1"/>
  <c r="EU115" i="90"/>
  <c r="EY115" i="90" s="1"/>
  <c r="ED115" i="90"/>
  <c r="EV115" i="90" s="1"/>
  <c r="EX115" i="90" s="1"/>
  <c r="DT130" i="90"/>
  <c r="EK130" i="90"/>
  <c r="ED118" i="90"/>
  <c r="EV118" i="90" s="1"/>
  <c r="EX118" i="90" s="1"/>
  <c r="EU118" i="90"/>
  <c r="EY118" i="90" s="1"/>
  <c r="EL191" i="90"/>
  <c r="DU191" i="90"/>
  <c r="EM191" i="90" s="1"/>
  <c r="EU147" i="90"/>
  <c r="EY147" i="90" s="1"/>
  <c r="ED147" i="90"/>
  <c r="EV147" i="90" s="1"/>
  <c r="EX147" i="90" s="1"/>
  <c r="EL71" i="90"/>
  <c r="DU71" i="90"/>
  <c r="EM71" i="90" s="1"/>
  <c r="DU207" i="90"/>
  <c r="EM207" i="90" s="1"/>
  <c r="EL207" i="90"/>
  <c r="DT141" i="90"/>
  <c r="EK141" i="90"/>
  <c r="DU180" i="90"/>
  <c r="EM180" i="90" s="1"/>
  <c r="EL180" i="90"/>
  <c r="DU184" i="90"/>
  <c r="EM184" i="90" s="1"/>
  <c r="EL184" i="90"/>
  <c r="DU67" i="90"/>
  <c r="EM67" i="90" s="1"/>
  <c r="EL67" i="90"/>
  <c r="EL116" i="90"/>
  <c r="DU116" i="90"/>
  <c r="EM116" i="90" s="1"/>
  <c r="EL124" i="90"/>
  <c r="DU124" i="90"/>
  <c r="EM124" i="90" s="1"/>
  <c r="EK147" i="90"/>
  <c r="DT147" i="90"/>
  <c r="DU193" i="90"/>
  <c r="EM193" i="90" s="1"/>
  <c r="EL193" i="90"/>
  <c r="DU201" i="90"/>
  <c r="EM201" i="90" s="1"/>
  <c r="EL201" i="90"/>
  <c r="DU203" i="90"/>
  <c r="EM203" i="90" s="1"/>
  <c r="EL203" i="90"/>
  <c r="EL137" i="90"/>
  <c r="DU137" i="90"/>
  <c r="EM137" i="90" s="1"/>
  <c r="EL69" i="90"/>
  <c r="DU69" i="90"/>
  <c r="EM69" i="90" s="1"/>
  <c r="DT81" i="90"/>
  <c r="EK81" i="90"/>
  <c r="DU149" i="90"/>
  <c r="EM149" i="90" s="1"/>
  <c r="EL149" i="90"/>
  <c r="EL145" i="90"/>
  <c r="DU145" i="90"/>
  <c r="EM145" i="90" s="1"/>
  <c r="ED215" i="90"/>
  <c r="EV215" i="90" s="1"/>
  <c r="EX215" i="90" s="1"/>
  <c r="EU215" i="90"/>
  <c r="EY215" i="90" s="1"/>
  <c r="DU80" i="90"/>
  <c r="EM80" i="90" s="1"/>
  <c r="EL80" i="90"/>
  <c r="EK223" i="90"/>
  <c r="DT223" i="90"/>
  <c r="EL228" i="90"/>
  <c r="DU228" i="90"/>
  <c r="EM228" i="90" s="1"/>
  <c r="EL236" i="90"/>
  <c r="DU236" i="90"/>
  <c r="EM236" i="90" s="1"/>
  <c r="ED210" i="90"/>
  <c r="EV210" i="90" s="1"/>
  <c r="EX210" i="90" s="1"/>
  <c r="EU210" i="90"/>
  <c r="EY210" i="90" s="1"/>
  <c r="EU216" i="90"/>
  <c r="EY216" i="90" s="1"/>
  <c r="ED216" i="90"/>
  <c r="EV216" i="90" s="1"/>
  <c r="EX216" i="90" s="1"/>
  <c r="EK225" i="90"/>
  <c r="DT225" i="90"/>
  <c r="DU233" i="90"/>
  <c r="EM233" i="90" s="1"/>
  <c r="EL233" i="90"/>
  <c r="EL219" i="90"/>
  <c r="DU219" i="90"/>
  <c r="EM219" i="90" s="1"/>
  <c r="EL206" i="90"/>
  <c r="DU206" i="90"/>
  <c r="EM206" i="90" s="1"/>
  <c r="EL234" i="90"/>
  <c r="DU234" i="90"/>
  <c r="EM234" i="90" s="1"/>
  <c r="DU229" i="90"/>
  <c r="EM229" i="90" s="1"/>
  <c r="EL229" i="90"/>
  <c r="EL204" i="90"/>
  <c r="DU204" i="90"/>
  <c r="EM204" i="90" s="1"/>
  <c r="DU224" i="90"/>
  <c r="EM224" i="90" s="1"/>
  <c r="EL224" i="90"/>
  <c r="EL212" i="90"/>
  <c r="DU212" i="90"/>
  <c r="EM212" i="90" s="1"/>
  <c r="EL214" i="90"/>
  <c r="DU214" i="90"/>
  <c r="EM214" i="90" s="1"/>
  <c r="EL232" i="90"/>
  <c r="DU232" i="90"/>
  <c r="EM232" i="90" s="1"/>
  <c r="DU210" i="90"/>
  <c r="EM210" i="90" s="1"/>
  <c r="EL210" i="90"/>
  <c r="EL215" i="90"/>
  <c r="DU215" i="90"/>
  <c r="EM215" i="90" s="1"/>
  <c r="DU220" i="90"/>
  <c r="EM220" i="90" s="1"/>
  <c r="EL220" i="90"/>
  <c r="DU221" i="90"/>
  <c r="EM221" i="90" s="1"/>
  <c r="EL221" i="90"/>
  <c r="DU231" i="90"/>
  <c r="EM231" i="90" s="1"/>
  <c r="EL231" i="90"/>
  <c r="DU227" i="90"/>
  <c r="EM227" i="90" s="1"/>
  <c r="EL227" i="90"/>
  <c r="DU222" i="90"/>
  <c r="EM222" i="90" s="1"/>
  <c r="EL222" i="90"/>
  <c r="DU217" i="90"/>
  <c r="EM217" i="90" s="1"/>
  <c r="EL217" i="90"/>
  <c r="EL230" i="90"/>
  <c r="DU230" i="90"/>
  <c r="EM230" i="90" s="1"/>
  <c r="EL205" i="90"/>
  <c r="DU205" i="90"/>
  <c r="EM205" i="90" s="1"/>
  <c r="DT211" i="90"/>
  <c r="EK211" i="90"/>
  <c r="ED105" i="90"/>
  <c r="EV105" i="90" s="1"/>
  <c r="EX105" i="90" s="1"/>
  <c r="EU105" i="90"/>
  <c r="EY105" i="90" s="1"/>
  <c r="EL106" i="90"/>
  <c r="DU106" i="90"/>
  <c r="EM106" i="90" s="1"/>
  <c r="EU95" i="90"/>
  <c r="EY95" i="90" s="1"/>
  <c r="ED95" i="90"/>
  <c r="EV95" i="90" s="1"/>
  <c r="EX95" i="90" s="1"/>
  <c r="EL94" i="90"/>
  <c r="DU94" i="90"/>
  <c r="EM94" i="90" s="1"/>
  <c r="DU113" i="90"/>
  <c r="EM113" i="90" s="1"/>
  <c r="EL113" i="90"/>
  <c r="EL89" i="90"/>
  <c r="DU89" i="90"/>
  <c r="EM89" i="90" s="1"/>
  <c r="EL179" i="90"/>
  <c r="DU179" i="90"/>
  <c r="EM179" i="90" s="1"/>
  <c r="EL181" i="90"/>
  <c r="DU181" i="90"/>
  <c r="EM181" i="90" s="1"/>
  <c r="EL99" i="90"/>
  <c r="DU99" i="90"/>
  <c r="EM99" i="90" s="1"/>
  <c r="EL190" i="90"/>
  <c r="DU190" i="90"/>
  <c r="EM190" i="90" s="1"/>
  <c r="ED114" i="90"/>
  <c r="EV114" i="90" s="1"/>
  <c r="EX114" i="90" s="1"/>
  <c r="EU114" i="90"/>
  <c r="EY114" i="90" s="1"/>
  <c r="EL198" i="90"/>
  <c r="DU198" i="90"/>
  <c r="EM198" i="90" s="1"/>
  <c r="EL194" i="90"/>
  <c r="DU194" i="90"/>
  <c r="EM194" i="90" s="1"/>
  <c r="EK156" i="90"/>
  <c r="DT156" i="90"/>
  <c r="EL110" i="90"/>
  <c r="DU110" i="90"/>
  <c r="EM110" i="90" s="1"/>
  <c r="EL93" i="90"/>
  <c r="DU93" i="90"/>
  <c r="EM93" i="90" s="1"/>
  <c r="DU98" i="90"/>
  <c r="EM98" i="90" s="1"/>
  <c r="EL98" i="90"/>
  <c r="EL104" i="90"/>
  <c r="DU104" i="90"/>
  <c r="EM104" i="90" s="1"/>
  <c r="EK185" i="90"/>
  <c r="DT185" i="90"/>
  <c r="EK108" i="90"/>
  <c r="DT108" i="90"/>
  <c r="DU103" i="90"/>
  <c r="EM103" i="90" s="1"/>
  <c r="EL103" i="90"/>
  <c r="EU94" i="90"/>
  <c r="EY94" i="90" s="1"/>
  <c r="ED94" i="90"/>
  <c r="EV94" i="90" s="1"/>
  <c r="EX94" i="90" s="1"/>
  <c r="EK144" i="90"/>
  <c r="DT144" i="90"/>
  <c r="EU135" i="90"/>
  <c r="EY135" i="90" s="1"/>
  <c r="ED135" i="90"/>
  <c r="EV135" i="90" s="1"/>
  <c r="EX135" i="90" s="1"/>
  <c r="DU102" i="90"/>
  <c r="EM102" i="90" s="1"/>
  <c r="EL102" i="90"/>
  <c r="DU111" i="90"/>
  <c r="EM111" i="90" s="1"/>
  <c r="EL111" i="90"/>
  <c r="EL177" i="90"/>
  <c r="DU177" i="90"/>
  <c r="EM177" i="90" s="1"/>
  <c r="DU162" i="90"/>
  <c r="EM162" i="90" s="1"/>
  <c r="EL162" i="90"/>
  <c r="DU112" i="90"/>
  <c r="EM112" i="90" s="1"/>
  <c r="EL112" i="90"/>
  <c r="EL129" i="90"/>
  <c r="DU129" i="90"/>
  <c r="EM129" i="90" s="1"/>
  <c r="EL175" i="90"/>
  <c r="DU175" i="90"/>
  <c r="EM175" i="90" s="1"/>
  <c r="EL173" i="90"/>
  <c r="DU173" i="90"/>
  <c r="EM173" i="90" s="1"/>
  <c r="EL148" i="90"/>
  <c r="DU148" i="90"/>
  <c r="EM148" i="90" s="1"/>
  <c r="EU123" i="90"/>
  <c r="EY123" i="90" s="1"/>
  <c r="ED123" i="90"/>
  <c r="EV123" i="90" s="1"/>
  <c r="EX123" i="90" s="1"/>
  <c r="DU164" i="90"/>
  <c r="EM164" i="90" s="1"/>
  <c r="EL164" i="90"/>
  <c r="EL196" i="90"/>
  <c r="DU196" i="90"/>
  <c r="EM196" i="90" s="1"/>
  <c r="EL138" i="90"/>
  <c r="DU138" i="90"/>
  <c r="EM138" i="90" s="1"/>
  <c r="DU188" i="90"/>
  <c r="EM188" i="90" s="1"/>
  <c r="EL188" i="90"/>
  <c r="EK152" i="90"/>
  <c r="DT152" i="90"/>
  <c r="EL169" i="90"/>
  <c r="DU169" i="90"/>
  <c r="EM169" i="90" s="1"/>
  <c r="EL150" i="90"/>
  <c r="DU150" i="90"/>
  <c r="EM150" i="90" s="1"/>
  <c r="EL171" i="90"/>
  <c r="DU171" i="90"/>
  <c r="EM171" i="90" s="1"/>
  <c r="EU91" i="90"/>
  <c r="EY91" i="90" s="1"/>
  <c r="ED91" i="90"/>
  <c r="EV91" i="90" s="1"/>
  <c r="EX91" i="90" s="1"/>
  <c r="EL154" i="90"/>
  <c r="DU154" i="90"/>
  <c r="EM154" i="90" s="1"/>
  <c r="EU139" i="90"/>
  <c r="EY139" i="90" s="1"/>
  <c r="ED139" i="90"/>
  <c r="EV139" i="90" s="1"/>
  <c r="EX139" i="90" s="1"/>
  <c r="EL167" i="90"/>
  <c r="DU167" i="90"/>
  <c r="EM167" i="90" s="1"/>
  <c r="EL131" i="90"/>
  <c r="DU131" i="90"/>
  <c r="EM131" i="90" s="1"/>
  <c r="EL97" i="90"/>
  <c r="DU97" i="90"/>
  <c r="EM97" i="90" s="1"/>
  <c r="EL134" i="90"/>
  <c r="DU134" i="90"/>
  <c r="EM134" i="90" s="1"/>
  <c r="EL183" i="90"/>
  <c r="DU183" i="90"/>
  <c r="EM183" i="90" s="1"/>
  <c r="EU119" i="90"/>
  <c r="EY119" i="90" s="1"/>
  <c r="ED119" i="90"/>
  <c r="EV119" i="90" s="1"/>
  <c r="EX119" i="90" s="1"/>
  <c r="EL202" i="90"/>
  <c r="DU202" i="90"/>
  <c r="EM202" i="90" s="1"/>
  <c r="EL160" i="90"/>
  <c r="DU160" i="90"/>
  <c r="EM160" i="90" s="1"/>
  <c r="EL200" i="90"/>
  <c r="DU200" i="90"/>
  <c r="EM200" i="90" s="1"/>
  <c r="EL146" i="90"/>
  <c r="DU146" i="90"/>
  <c r="EM146" i="90" s="1"/>
  <c r="EL192" i="90"/>
  <c r="DU192" i="90"/>
  <c r="EM192" i="90" s="1"/>
  <c r="EL142" i="90"/>
  <c r="DU142" i="90"/>
  <c r="EM142" i="90" s="1"/>
  <c r="DU159" i="90"/>
  <c r="EM159" i="90" s="1"/>
  <c r="EL159" i="90"/>
  <c r="ED161" i="90"/>
  <c r="EV161" i="90" s="1"/>
  <c r="EX161" i="90" s="1"/>
  <c r="EU161" i="90"/>
  <c r="EY161" i="90" s="1"/>
  <c r="EL101" i="90"/>
  <c r="DU101" i="90"/>
  <c r="EM101" i="90" s="1"/>
  <c r="EL158" i="90"/>
  <c r="DU158" i="90"/>
  <c r="EM158" i="90" s="1"/>
  <c r="ED153" i="90"/>
  <c r="EV153" i="90" s="1"/>
  <c r="EX153" i="90" s="1"/>
  <c r="EU153" i="90"/>
  <c r="EY153" i="90" s="1"/>
  <c r="EL115" i="90"/>
  <c r="DU115" i="90"/>
  <c r="EM115" i="90" s="1"/>
  <c r="EU127" i="90"/>
  <c r="EY127" i="90" s="1"/>
  <c r="ED127" i="90"/>
  <c r="EV127" i="90" s="1"/>
  <c r="EX127" i="90" s="1"/>
  <c r="EU75" i="90"/>
  <c r="EY75" i="90" s="1"/>
  <c r="ED75" i="90"/>
  <c r="EV75" i="90" s="1"/>
  <c r="EX75" i="90" s="1"/>
  <c r="ED80" i="90"/>
  <c r="EV80" i="90" s="1"/>
  <c r="EX80" i="90" s="1"/>
  <c r="EU80" i="90"/>
  <c r="EY80" i="90" s="1"/>
  <c r="EL82" i="90"/>
  <c r="DU82" i="90"/>
  <c r="EM82" i="90" s="1"/>
  <c r="EL77" i="90"/>
  <c r="DU77" i="90"/>
  <c r="EM77" i="90" s="1"/>
  <c r="EL86" i="90"/>
  <c r="DU86" i="90"/>
  <c r="EM86" i="90" s="1"/>
  <c r="DU87" i="90"/>
  <c r="EM87" i="90" s="1"/>
  <c r="EL87" i="90"/>
  <c r="EU77" i="90"/>
  <c r="EY77" i="90" s="1"/>
  <c r="ED77" i="90"/>
  <c r="EV77" i="90" s="1"/>
  <c r="EX77" i="90" s="1"/>
  <c r="EL73" i="90"/>
  <c r="DU73" i="90"/>
  <c r="EM73" i="90" s="1"/>
  <c r="EL70" i="90"/>
  <c r="DU70" i="90"/>
  <c r="EM70" i="90" s="1"/>
  <c r="D55" i="56"/>
  <c r="I55" i="56"/>
  <c r="D56" i="56"/>
  <c r="I56" i="56"/>
  <c r="D57" i="56"/>
  <c r="I57" i="56"/>
  <c r="D58" i="56"/>
  <c r="I58" i="56"/>
  <c r="D59" i="56"/>
  <c r="I59" i="56"/>
  <c r="D60" i="56"/>
  <c r="I60" i="56"/>
  <c r="AX60" i="90"/>
  <c r="AY60" i="90"/>
  <c r="AZ60" i="90"/>
  <c r="BA60" i="90"/>
  <c r="BB60" i="90"/>
  <c r="BC60" i="90"/>
  <c r="BD60" i="90"/>
  <c r="BE60" i="90"/>
  <c r="BF60" i="90"/>
  <c r="BG60" i="90"/>
  <c r="CX60" i="90"/>
  <c r="AI60" i="56" s="1"/>
  <c r="CY60" i="90"/>
  <c r="AJ60" i="56" s="1"/>
  <c r="DN60" i="90"/>
  <c r="DO60" i="90" s="1"/>
  <c r="DW60" i="90"/>
  <c r="EO60" i="90" s="1"/>
  <c r="FE60" i="90" s="1"/>
  <c r="DX60" i="90"/>
  <c r="DY60" i="90" s="1"/>
  <c r="AX55" i="90"/>
  <c r="AY55" i="90"/>
  <c r="AZ55" i="90"/>
  <c r="BA55" i="90"/>
  <c r="BB55" i="90"/>
  <c r="BC55" i="90"/>
  <c r="BD55" i="90"/>
  <c r="BE55" i="90"/>
  <c r="BF55" i="90"/>
  <c r="BG55" i="90"/>
  <c r="CX55" i="90"/>
  <c r="AI55" i="56" s="1"/>
  <c r="CY55" i="90"/>
  <c r="AJ55" i="56" s="1"/>
  <c r="DN55" i="90"/>
  <c r="DO55" i="90" s="1"/>
  <c r="DW55" i="90"/>
  <c r="EO55" i="90" s="1"/>
  <c r="FE55" i="90" s="1"/>
  <c r="DX55" i="90"/>
  <c r="DY55" i="90" s="1"/>
  <c r="AX56" i="90"/>
  <c r="AY56" i="90"/>
  <c r="AZ56" i="90"/>
  <c r="BA56" i="90"/>
  <c r="BB56" i="90"/>
  <c r="BC56" i="90"/>
  <c r="BD56" i="90"/>
  <c r="BE56" i="90"/>
  <c r="BF56" i="90"/>
  <c r="BG56" i="90"/>
  <c r="CX56" i="90"/>
  <c r="AI56" i="56" s="1"/>
  <c r="CY56" i="90"/>
  <c r="AJ56" i="56" s="1"/>
  <c r="DN56" i="90"/>
  <c r="DO56" i="90" s="1"/>
  <c r="DW56" i="90"/>
  <c r="EO56" i="90" s="1"/>
  <c r="FE56" i="90" s="1"/>
  <c r="DX56" i="90"/>
  <c r="DY56" i="90" s="1"/>
  <c r="AX57" i="90"/>
  <c r="AY57" i="90"/>
  <c r="AZ57" i="90"/>
  <c r="BA57" i="90"/>
  <c r="BB57" i="90"/>
  <c r="BC57" i="90"/>
  <c r="BD57" i="90"/>
  <c r="BE57" i="90"/>
  <c r="BF57" i="90"/>
  <c r="BG57" i="90"/>
  <c r="CX57" i="90"/>
  <c r="AI57" i="56" s="1"/>
  <c r="CY57" i="90"/>
  <c r="AJ57" i="56" s="1"/>
  <c r="DN57" i="90"/>
  <c r="DO57" i="90" s="1"/>
  <c r="DW57" i="90"/>
  <c r="EO57" i="90" s="1"/>
  <c r="FE57" i="90" s="1"/>
  <c r="DX57" i="90"/>
  <c r="DY57" i="90" s="1"/>
  <c r="AX58" i="90"/>
  <c r="AY58" i="90"/>
  <c r="AZ58" i="90"/>
  <c r="BA58" i="90"/>
  <c r="BB58" i="90"/>
  <c r="BC58" i="90"/>
  <c r="BD58" i="90"/>
  <c r="BE58" i="90"/>
  <c r="BF58" i="90"/>
  <c r="BG58" i="90"/>
  <c r="CX58" i="90"/>
  <c r="AI58" i="56" s="1"/>
  <c r="CY58" i="90"/>
  <c r="AJ58" i="56" s="1"/>
  <c r="DN58" i="90"/>
  <c r="DO58" i="90" s="1"/>
  <c r="DW58" i="90"/>
  <c r="EO58" i="90" s="1"/>
  <c r="FE58" i="90" s="1"/>
  <c r="DX58" i="90"/>
  <c r="DY58" i="90" s="1"/>
  <c r="AX59" i="90"/>
  <c r="AY59" i="90"/>
  <c r="AZ59" i="90"/>
  <c r="BA59" i="90"/>
  <c r="BB59" i="90"/>
  <c r="BC59" i="90"/>
  <c r="BD59" i="90"/>
  <c r="BE59" i="90"/>
  <c r="BF59" i="90"/>
  <c r="BG59" i="90"/>
  <c r="CX59" i="90"/>
  <c r="AI59" i="56" s="1"/>
  <c r="CY59" i="90"/>
  <c r="AJ59" i="56" s="1"/>
  <c r="DN59" i="90"/>
  <c r="DO59" i="90" s="1"/>
  <c r="DW59" i="90"/>
  <c r="EO59" i="90" s="1"/>
  <c r="FE59" i="90" s="1"/>
  <c r="DX59" i="90"/>
  <c r="DY59" i="90" s="1"/>
  <c r="DU252" i="90" l="1"/>
  <c r="EM252" i="90" s="1"/>
  <c r="EL252" i="90"/>
  <c r="DU342" i="90"/>
  <c r="EM342" i="90" s="1"/>
  <c r="EL342" i="90"/>
  <c r="EF55" i="90"/>
  <c r="DU343" i="90"/>
  <c r="EM343" i="90" s="1"/>
  <c r="EL343" i="90"/>
  <c r="EL216" i="90"/>
  <c r="DU216" i="90"/>
  <c r="EM216" i="90" s="1"/>
  <c r="DU344" i="90"/>
  <c r="EM344" i="90" s="1"/>
  <c r="EL344" i="90"/>
  <c r="DU340" i="90"/>
  <c r="EM340" i="90" s="1"/>
  <c r="EL340" i="90"/>
  <c r="EF58" i="90"/>
  <c r="EF57" i="90"/>
  <c r="DU273" i="90"/>
  <c r="EM273" i="90" s="1"/>
  <c r="EL273" i="90"/>
  <c r="EL251" i="90"/>
  <c r="DU251" i="90"/>
  <c r="EM251" i="90" s="1"/>
  <c r="EL308" i="90"/>
  <c r="DU308" i="90"/>
  <c r="EM308" i="90" s="1"/>
  <c r="EL249" i="90"/>
  <c r="DU249" i="90"/>
  <c r="EM249" i="90" s="1"/>
  <c r="DU114" i="90"/>
  <c r="EM114" i="90" s="1"/>
  <c r="EL114" i="90"/>
  <c r="DU90" i="90"/>
  <c r="EM90" i="90" s="1"/>
  <c r="EL90" i="90"/>
  <c r="EF56" i="90"/>
  <c r="EL95" i="90"/>
  <c r="DU95" i="90"/>
  <c r="EM95" i="90" s="1"/>
  <c r="DU100" i="90"/>
  <c r="EM100" i="90" s="1"/>
  <c r="EL100" i="90"/>
  <c r="DP56" i="90"/>
  <c r="EG56" i="90"/>
  <c r="DP55" i="90"/>
  <c r="EG55" i="90"/>
  <c r="DU147" i="90"/>
  <c r="EM147" i="90" s="1"/>
  <c r="EL147" i="90"/>
  <c r="EP59" i="90"/>
  <c r="FD59" i="90" s="1"/>
  <c r="EP58" i="90"/>
  <c r="FD58" i="90" s="1"/>
  <c r="EP57" i="90"/>
  <c r="FD57" i="90" s="1"/>
  <c r="EP60" i="90"/>
  <c r="FD60" i="90" s="1"/>
  <c r="EL81" i="90"/>
  <c r="DU81" i="90"/>
  <c r="EM81" i="90" s="1"/>
  <c r="EL141" i="90"/>
  <c r="DU141" i="90"/>
  <c r="EM141" i="90" s="1"/>
  <c r="DU130" i="90"/>
  <c r="EM130" i="90" s="1"/>
  <c r="EL130" i="90"/>
  <c r="DU161" i="90"/>
  <c r="EM161" i="90" s="1"/>
  <c r="EL161" i="90"/>
  <c r="EL136" i="90"/>
  <c r="DU136" i="90"/>
  <c r="EM136" i="90" s="1"/>
  <c r="DU223" i="90"/>
  <c r="EM223" i="90" s="1"/>
  <c r="EL223" i="90"/>
  <c r="DU225" i="90"/>
  <c r="EM225" i="90" s="1"/>
  <c r="EL225" i="90"/>
  <c r="DU211" i="90"/>
  <c r="EM211" i="90" s="1"/>
  <c r="EL211" i="90"/>
  <c r="EL156" i="90"/>
  <c r="DU156" i="90"/>
  <c r="EM156" i="90" s="1"/>
  <c r="EL152" i="90"/>
  <c r="DU152" i="90"/>
  <c r="EM152" i="90" s="1"/>
  <c r="EL108" i="90"/>
  <c r="DU108" i="90"/>
  <c r="EM108" i="90" s="1"/>
  <c r="EL144" i="90"/>
  <c r="DU144" i="90"/>
  <c r="EM144" i="90" s="1"/>
  <c r="EL185" i="90"/>
  <c r="DU185" i="90"/>
  <c r="EM185" i="90" s="1"/>
  <c r="DP60" i="90"/>
  <c r="EH60" i="90" s="1"/>
  <c r="EG60" i="90"/>
  <c r="DP58" i="90"/>
  <c r="EG58" i="90"/>
  <c r="DP59" i="90"/>
  <c r="EG59" i="90"/>
  <c r="DP57" i="90"/>
  <c r="EG57" i="90"/>
  <c r="EF59" i="90"/>
  <c r="EF60" i="90"/>
  <c r="EP56" i="90"/>
  <c r="FD56" i="90" s="1"/>
  <c r="EP55" i="90"/>
  <c r="FD55" i="90" s="1"/>
  <c r="EQ60" i="90"/>
  <c r="FC60" i="90" s="1"/>
  <c r="DZ60" i="90"/>
  <c r="EQ58" i="90"/>
  <c r="FC58" i="90" s="1"/>
  <c r="DZ58" i="90"/>
  <c r="EQ57" i="90"/>
  <c r="FC57" i="90" s="1"/>
  <c r="DZ57" i="90"/>
  <c r="EQ59" i="90"/>
  <c r="FC59" i="90" s="1"/>
  <c r="DZ59" i="90"/>
  <c r="EH56" i="90"/>
  <c r="DQ56" i="90"/>
  <c r="EH55" i="90"/>
  <c r="DQ55" i="90"/>
  <c r="EH58" i="90"/>
  <c r="DQ58" i="90"/>
  <c r="EH57" i="90"/>
  <c r="DQ57" i="90"/>
  <c r="EH59" i="90"/>
  <c r="DQ59" i="90"/>
  <c r="EQ56" i="90"/>
  <c r="FC56" i="90" s="1"/>
  <c r="DZ56" i="90"/>
  <c r="EQ55" i="90"/>
  <c r="FC55" i="90" s="1"/>
  <c r="DZ55" i="90"/>
  <c r="DQ60" i="90" l="1"/>
  <c r="EI60" i="90" s="1"/>
  <c r="ER60" i="90"/>
  <c r="FB60" i="90" s="1"/>
  <c r="EA60" i="90"/>
  <c r="DR60" i="90"/>
  <c r="ER55" i="90"/>
  <c r="FB55" i="90" s="1"/>
  <c r="EA55" i="90"/>
  <c r="EI59" i="90"/>
  <c r="DR59" i="90"/>
  <c r="DR58" i="90"/>
  <c r="EI58" i="90"/>
  <c r="DR56" i="90"/>
  <c r="EI56" i="90"/>
  <c r="ER57" i="90"/>
  <c r="FB57" i="90" s="1"/>
  <c r="EA57" i="90"/>
  <c r="EA56" i="90"/>
  <c r="ER56" i="90"/>
  <c r="FB56" i="90" s="1"/>
  <c r="EI57" i="90"/>
  <c r="DR57" i="90"/>
  <c r="EI55" i="90"/>
  <c r="DR55" i="90"/>
  <c r="ER59" i="90"/>
  <c r="FB59" i="90" s="1"/>
  <c r="EA59" i="90"/>
  <c r="EA58" i="90"/>
  <c r="ER58" i="90"/>
  <c r="FB58" i="90" s="1"/>
  <c r="ES60" i="90" l="1"/>
  <c r="FA60" i="90" s="1"/>
  <c r="EB60" i="90"/>
  <c r="EJ60" i="90"/>
  <c r="DS60" i="90"/>
  <c r="ES56" i="90"/>
  <c r="FA56" i="90" s="1"/>
  <c r="EB56" i="90"/>
  <c r="EJ59" i="90"/>
  <c r="DS59" i="90"/>
  <c r="ES59" i="90"/>
  <c r="FA59" i="90" s="1"/>
  <c r="EB59" i="90"/>
  <c r="EJ57" i="90"/>
  <c r="DS57" i="90"/>
  <c r="EJ56" i="90"/>
  <c r="DS56" i="90"/>
  <c r="ES57" i="90"/>
  <c r="FA57" i="90" s="1"/>
  <c r="EB57" i="90"/>
  <c r="ES55" i="90"/>
  <c r="FA55" i="90" s="1"/>
  <c r="EB55" i="90"/>
  <c r="ES58" i="90"/>
  <c r="FA58" i="90" s="1"/>
  <c r="EB58" i="90"/>
  <c r="EJ55" i="90"/>
  <c r="DS55" i="90"/>
  <c r="EJ58" i="90"/>
  <c r="DS58" i="90"/>
  <c r="F13" i="86"/>
  <c r="F11" i="86"/>
  <c r="AJ96" i="117"/>
  <c r="AI96" i="117"/>
  <c r="AH96" i="117"/>
  <c r="AG96" i="117"/>
  <c r="AF96" i="117"/>
  <c r="AE96" i="117"/>
  <c r="AD96" i="117"/>
  <c r="AC96" i="117"/>
  <c r="AB96" i="117"/>
  <c r="AA96" i="117"/>
  <c r="Y22" i="117"/>
  <c r="AJ90" i="117"/>
  <c r="AI90" i="117"/>
  <c r="AH90" i="117"/>
  <c r="AG90" i="117"/>
  <c r="AF90" i="117"/>
  <c r="Y42" i="117"/>
  <c r="H13" i="117"/>
  <c r="H11" i="117"/>
  <c r="AE6" i="117"/>
  <c r="AD6" i="117"/>
  <c r="AC6" i="117"/>
  <c r="AB6" i="117"/>
  <c r="AA6" i="117"/>
  <c r="Z6" i="117"/>
  <c r="Y6" i="117"/>
  <c r="X6" i="117"/>
  <c r="W6" i="117"/>
  <c r="V6" i="117"/>
  <c r="U6" i="117"/>
  <c r="B6" i="117"/>
  <c r="AJ90" i="116"/>
  <c r="AI90" i="116"/>
  <c r="AH90" i="116"/>
  <c r="AG90" i="116"/>
  <c r="AF90" i="116"/>
  <c r="Y42" i="116"/>
  <c r="H13" i="116"/>
  <c r="H11" i="116"/>
  <c r="AE6" i="116"/>
  <c r="AD6" i="116"/>
  <c r="AC6" i="116"/>
  <c r="AB6" i="116"/>
  <c r="AA6" i="116"/>
  <c r="Z6" i="116"/>
  <c r="Y6" i="116"/>
  <c r="X6" i="116"/>
  <c r="W6" i="116"/>
  <c r="V6" i="116"/>
  <c r="U6" i="116"/>
  <c r="B6" i="116"/>
  <c r="Y32" i="12"/>
  <c r="Y23" i="117" l="1"/>
  <c r="G165" i="98"/>
  <c r="AJ91" i="116"/>
  <c r="AJ91" i="117"/>
  <c r="Y30" i="86"/>
  <c r="Y26" i="117"/>
  <c r="AF55" i="86"/>
  <c r="N134" i="98" s="1"/>
  <c r="N171" i="98" s="1"/>
  <c r="AB55" i="86"/>
  <c r="J134" i="98" s="1"/>
  <c r="J171" i="98" s="1"/>
  <c r="AJ55" i="86"/>
  <c r="EC60" i="90"/>
  <c r="ET60" i="90"/>
  <c r="EZ60" i="90" s="1"/>
  <c r="DT60" i="90"/>
  <c r="EK60" i="90"/>
  <c r="DT55" i="90"/>
  <c r="EK55" i="90"/>
  <c r="EC55" i="90"/>
  <c r="ET55" i="90"/>
  <c r="EZ55" i="90" s="1"/>
  <c r="DT57" i="90"/>
  <c r="EK57" i="90"/>
  <c r="DT59" i="90"/>
  <c r="EK59" i="90"/>
  <c r="EK58" i="90"/>
  <c r="DT58" i="90"/>
  <c r="ET58" i="90"/>
  <c r="EZ58" i="90" s="1"/>
  <c r="EC58" i="90"/>
  <c r="EK56" i="90"/>
  <c r="DT56" i="90"/>
  <c r="EC59" i="90"/>
  <c r="ET59" i="90"/>
  <c r="EZ59" i="90" s="1"/>
  <c r="ET56" i="90"/>
  <c r="EZ56" i="90" s="1"/>
  <c r="EC56" i="90"/>
  <c r="EC57" i="90"/>
  <c r="ET57" i="90"/>
  <c r="EZ57" i="90" s="1"/>
  <c r="AC55" i="86"/>
  <c r="K134" i="98" s="1"/>
  <c r="K171" i="98" s="1"/>
  <c r="AH55" i="86"/>
  <c r="AG55" i="86"/>
  <c r="AD55" i="86"/>
  <c r="L134" i="98" s="1"/>
  <c r="L171" i="98" s="1"/>
  <c r="AA55" i="86"/>
  <c r="I134" i="98" s="1"/>
  <c r="I171" i="98" s="1"/>
  <c r="AE55" i="86"/>
  <c r="M134" i="98" s="1"/>
  <c r="M171" i="98" s="1"/>
  <c r="AI55" i="86"/>
  <c r="Q134" i="98" s="1"/>
  <c r="Q171" i="98" s="1"/>
  <c r="D85" i="12"/>
  <c r="D84" i="12"/>
  <c r="D83" i="12"/>
  <c r="D82" i="12"/>
  <c r="D78" i="12"/>
  <c r="C92" i="98" s="1"/>
  <c r="D77" i="12"/>
  <c r="C91" i="98" s="1"/>
  <c r="D76" i="12"/>
  <c r="C90" i="98" s="1"/>
  <c r="D75" i="12"/>
  <c r="C89" i="98" s="1"/>
  <c r="D74" i="12"/>
  <c r="C88" i="98" s="1"/>
  <c r="D70" i="12"/>
  <c r="C83" i="98" s="1"/>
  <c r="D69" i="12"/>
  <c r="C82" i="98" s="1"/>
  <c r="D68" i="12"/>
  <c r="C81" i="98" s="1"/>
  <c r="D67" i="12"/>
  <c r="C80" i="98" s="1"/>
  <c r="D63" i="12"/>
  <c r="C75" i="98" s="1"/>
  <c r="D62" i="12"/>
  <c r="C74" i="98" s="1"/>
  <c r="D61" i="12"/>
  <c r="C73" i="98" s="1"/>
  <c r="D60" i="12"/>
  <c r="C72" i="98" s="1"/>
  <c r="D56" i="12"/>
  <c r="C67" i="98" s="1"/>
  <c r="D55" i="12"/>
  <c r="C66" i="98" s="1"/>
  <c r="D54" i="12"/>
  <c r="C65" i="98" s="1"/>
  <c r="C64" i="98"/>
  <c r="D52" i="12"/>
  <c r="U86" i="12"/>
  <c r="U16" i="12" s="1"/>
  <c r="E13" i="12"/>
  <c r="C59" i="12" s="1"/>
  <c r="E14" i="12"/>
  <c r="C66" i="12" s="1"/>
  <c r="E15" i="12"/>
  <c r="C73" i="12" s="1"/>
  <c r="E16" i="12"/>
  <c r="C81" i="12" s="1"/>
  <c r="E12" i="12"/>
  <c r="C51" i="12" s="1"/>
  <c r="AG75" i="86" l="1"/>
  <c r="O134" i="98"/>
  <c r="O171" i="98" s="1"/>
  <c r="AH75" i="86"/>
  <c r="P134" i="98"/>
  <c r="P171" i="98" s="1"/>
  <c r="AJ75" i="86"/>
  <c r="R134" i="98"/>
  <c r="R171" i="98" s="1"/>
  <c r="G136" i="98"/>
  <c r="AA75" i="86"/>
  <c r="AC75" i="86"/>
  <c r="AD75" i="86"/>
  <c r="AE75" i="86"/>
  <c r="AB75" i="86"/>
  <c r="AI75" i="86"/>
  <c r="AF75" i="86"/>
  <c r="X30" i="86"/>
  <c r="C63" i="98"/>
  <c r="L24" i="12"/>
  <c r="P24" i="12"/>
  <c r="T24" i="12"/>
  <c r="X24" i="12"/>
  <c r="AB24" i="12"/>
  <c r="AF24" i="12"/>
  <c r="N25" i="12"/>
  <c r="R25" i="12"/>
  <c r="V25" i="12"/>
  <c r="Z25" i="12"/>
  <c r="AD25" i="12"/>
  <c r="AH25" i="12"/>
  <c r="L26" i="12"/>
  <c r="P26" i="12"/>
  <c r="T26" i="12"/>
  <c r="X26" i="12"/>
  <c r="AB26" i="12"/>
  <c r="AF26" i="12"/>
  <c r="K27" i="12"/>
  <c r="O27" i="12"/>
  <c r="S27" i="12"/>
  <c r="W27" i="12"/>
  <c r="AA27" i="12"/>
  <c r="AE27" i="12"/>
  <c r="AI27" i="12"/>
  <c r="M24" i="12"/>
  <c r="Q24" i="12"/>
  <c r="U24" i="12"/>
  <c r="Y24" i="12"/>
  <c r="AC24" i="12"/>
  <c r="AG24" i="12"/>
  <c r="K25" i="12"/>
  <c r="O25" i="12"/>
  <c r="S25" i="12"/>
  <c r="W25" i="12"/>
  <c r="AA25" i="12"/>
  <c r="AE25" i="12"/>
  <c r="AI25" i="12"/>
  <c r="M26" i="12"/>
  <c r="Q26" i="12"/>
  <c r="U26" i="12"/>
  <c r="Y26" i="12"/>
  <c r="AC26" i="12"/>
  <c r="AG26" i="12"/>
  <c r="L27" i="12"/>
  <c r="P27" i="12"/>
  <c r="T27" i="12"/>
  <c r="X27" i="12"/>
  <c r="AB27" i="12"/>
  <c r="AF27" i="12"/>
  <c r="AJ25" i="12"/>
  <c r="O24" i="12"/>
  <c r="W24" i="12"/>
  <c r="AI24" i="12"/>
  <c r="Q25" i="12"/>
  <c r="AC25" i="12"/>
  <c r="K26" i="12"/>
  <c r="W26" i="12"/>
  <c r="N27" i="12"/>
  <c r="Z27" i="12"/>
  <c r="AJ26" i="12"/>
  <c r="S24" i="12"/>
  <c r="Y25" i="12"/>
  <c r="O26" i="12"/>
  <c r="AE26" i="12"/>
  <c r="R27" i="12"/>
  <c r="AD27" i="12"/>
  <c r="AJ24" i="12"/>
  <c r="N24" i="12"/>
  <c r="R24" i="12"/>
  <c r="V24" i="12"/>
  <c r="Z24" i="12"/>
  <c r="AD24" i="12"/>
  <c r="AH24" i="12"/>
  <c r="L25" i="12"/>
  <c r="P25" i="12"/>
  <c r="T25" i="12"/>
  <c r="X25" i="12"/>
  <c r="AB25" i="12"/>
  <c r="AF25" i="12"/>
  <c r="N26" i="12"/>
  <c r="R26" i="12"/>
  <c r="V26" i="12"/>
  <c r="Z26" i="12"/>
  <c r="AD26" i="12"/>
  <c r="AH26" i="12"/>
  <c r="M27" i="12"/>
  <c r="Q27" i="12"/>
  <c r="U27" i="12"/>
  <c r="Y27" i="12"/>
  <c r="AC27" i="12"/>
  <c r="AG27" i="12"/>
  <c r="AJ27" i="12"/>
  <c r="K24" i="12"/>
  <c r="AA24" i="12"/>
  <c r="AE24" i="12"/>
  <c r="M25" i="12"/>
  <c r="U25" i="12"/>
  <c r="AG25" i="12"/>
  <c r="S26" i="12"/>
  <c r="AA26" i="12"/>
  <c r="AI26" i="12"/>
  <c r="V27" i="12"/>
  <c r="AH27" i="12"/>
  <c r="EL60" i="90"/>
  <c r="DU60" i="90"/>
  <c r="EM60" i="90" s="1"/>
  <c r="EU60" i="90"/>
  <c r="EY60" i="90" s="1"/>
  <c r="ED60" i="90"/>
  <c r="EV60" i="90" s="1"/>
  <c r="EX60" i="90" s="1"/>
  <c r="EU58" i="90"/>
  <c r="EY58" i="90" s="1"/>
  <c r="ED58" i="90"/>
  <c r="EV58" i="90" s="1"/>
  <c r="EX58" i="90" s="1"/>
  <c r="EL59" i="90"/>
  <c r="DU59" i="90"/>
  <c r="EM59" i="90" s="1"/>
  <c r="EU55" i="90"/>
  <c r="EY55" i="90" s="1"/>
  <c r="ED55" i="90"/>
  <c r="EV55" i="90" s="1"/>
  <c r="EX55" i="90" s="1"/>
  <c r="EU57" i="90"/>
  <c r="EY57" i="90" s="1"/>
  <c r="ED57" i="90"/>
  <c r="EV57" i="90" s="1"/>
  <c r="EX57" i="90" s="1"/>
  <c r="EU59" i="90"/>
  <c r="EY59" i="90" s="1"/>
  <c r="ED59" i="90"/>
  <c r="EV59" i="90" s="1"/>
  <c r="EX59" i="90" s="1"/>
  <c r="EU56" i="90"/>
  <c r="EY56" i="90" s="1"/>
  <c r="ED56" i="90"/>
  <c r="EV56" i="90" s="1"/>
  <c r="EX56" i="90" s="1"/>
  <c r="EL56" i="90"/>
  <c r="DU56" i="90"/>
  <c r="EM56" i="90" s="1"/>
  <c r="EL58" i="90"/>
  <c r="DU58" i="90"/>
  <c r="EM58" i="90" s="1"/>
  <c r="EL57" i="90"/>
  <c r="DU57" i="90"/>
  <c r="EM57" i="90" s="1"/>
  <c r="EL55" i="90"/>
  <c r="DU55" i="90"/>
  <c r="EM55" i="90" s="1"/>
  <c r="C67" i="30"/>
  <c r="AG28" i="12" l="1"/>
  <c r="AI28" i="12"/>
  <c r="AF28" i="12"/>
  <c r="AH28" i="12"/>
  <c r="AJ28" i="12"/>
  <c r="AD28" i="12"/>
  <c r="AC28" i="12"/>
  <c r="AE28" i="12"/>
  <c r="AB28" i="12"/>
  <c r="AA28" i="12"/>
  <c r="K28" i="12"/>
  <c r="R28" i="12"/>
  <c r="T28" i="12"/>
  <c r="U28" i="12"/>
  <c r="N28" i="12"/>
  <c r="S28" i="12"/>
  <c r="W28" i="12"/>
  <c r="P28" i="12"/>
  <c r="Q28" i="12"/>
  <c r="O28" i="12"/>
  <c r="L28" i="12"/>
  <c r="M28" i="12"/>
  <c r="V28" i="12"/>
  <c r="X28" i="12"/>
  <c r="G82" i="45"/>
  <c r="I42" i="45" l="1"/>
  <c r="I46" i="45"/>
  <c r="I50" i="45"/>
  <c r="I54" i="45"/>
  <c r="I58" i="45"/>
  <c r="I62" i="45"/>
  <c r="I66" i="45"/>
  <c r="I70" i="45"/>
  <c r="I74" i="45"/>
  <c r="I78" i="45"/>
  <c r="I43" i="45"/>
  <c r="I47" i="45"/>
  <c r="I51" i="45"/>
  <c r="I55" i="45"/>
  <c r="I59" i="45"/>
  <c r="I63" i="45"/>
  <c r="I67" i="45"/>
  <c r="I71" i="45"/>
  <c r="I75" i="45"/>
  <c r="I79" i="45"/>
  <c r="I44" i="45"/>
  <c r="I52" i="45"/>
  <c r="I56" i="45"/>
  <c r="I60" i="45"/>
  <c r="I64" i="45"/>
  <c r="I72" i="45"/>
  <c r="I80" i="45"/>
  <c r="I48" i="45"/>
  <c r="I68" i="45"/>
  <c r="I76" i="45"/>
  <c r="I45" i="45"/>
  <c r="I49" i="45"/>
  <c r="I53" i="45"/>
  <c r="I57" i="45"/>
  <c r="I61" i="45"/>
  <c r="I65" i="45"/>
  <c r="I69" i="45"/>
  <c r="I73" i="45"/>
  <c r="I77" i="45"/>
  <c r="I41" i="45"/>
  <c r="AJ37" i="93"/>
  <c r="AJ38" i="93" s="1"/>
  <c r="AI37" i="93"/>
  <c r="AI38" i="93" s="1"/>
  <c r="AH37" i="93"/>
  <c r="AH38" i="93" s="1"/>
  <c r="AG37" i="93"/>
  <c r="AG38" i="93" s="1"/>
  <c r="AG7" i="92" l="1"/>
  <c r="AH7" i="92"/>
  <c r="AI7" i="92"/>
  <c r="AJ7" i="92"/>
  <c r="U159" i="44" l="1"/>
  <c r="U155" i="44"/>
  <c r="AF61" i="44" l="1"/>
  <c r="AF194" i="44" s="1"/>
  <c r="AG61" i="44"/>
  <c r="AG194" i="44" s="1"/>
  <c r="AH61" i="44"/>
  <c r="AH194" i="44" s="1"/>
  <c r="AI61" i="44"/>
  <c r="AI194" i="44" s="1"/>
  <c r="AJ61" i="44"/>
  <c r="AJ194" i="44" s="1"/>
  <c r="AF51" i="44"/>
  <c r="AF138" i="44" s="1"/>
  <c r="AG51" i="44"/>
  <c r="AG138" i="44" s="1"/>
  <c r="AH51" i="44"/>
  <c r="AH138" i="44" s="1"/>
  <c r="AI51" i="44"/>
  <c r="AI138" i="44" s="1"/>
  <c r="AJ51" i="44"/>
  <c r="AJ138" i="44" s="1"/>
  <c r="AF41" i="44"/>
  <c r="AG41" i="44"/>
  <c r="AH41" i="44"/>
  <c r="AI41" i="44"/>
  <c r="AJ41" i="44"/>
  <c r="AF28" i="44"/>
  <c r="AF100" i="44" s="1"/>
  <c r="AG28" i="44"/>
  <c r="AG100" i="44" s="1"/>
  <c r="AH28" i="44"/>
  <c r="AH100" i="44" s="1"/>
  <c r="AI28" i="44"/>
  <c r="AI100" i="44" s="1"/>
  <c r="AJ28" i="44"/>
  <c r="AJ100" i="44" s="1"/>
  <c r="AF20" i="44"/>
  <c r="AF91" i="44" s="1"/>
  <c r="AG20" i="44"/>
  <c r="AG91" i="44" s="1"/>
  <c r="AH20" i="44"/>
  <c r="AH91" i="44" s="1"/>
  <c r="AI20" i="44"/>
  <c r="AI91" i="44" s="1"/>
  <c r="AJ20" i="44"/>
  <c r="AJ91" i="44" s="1"/>
  <c r="AO443" i="57"/>
  <c r="CK442" i="57"/>
  <c r="CJ442" i="57"/>
  <c r="CI442" i="57"/>
  <c r="CH442" i="57"/>
  <c r="CG442" i="57"/>
  <c r="CF442" i="57"/>
  <c r="CE442" i="57"/>
  <c r="CD442" i="57"/>
  <c r="BY442" i="57"/>
  <c r="BX442" i="57"/>
  <c r="BW442" i="57"/>
  <c r="BV442" i="57"/>
  <c r="BU442" i="57"/>
  <c r="BT442" i="57"/>
  <c r="BS442" i="57"/>
  <c r="BR442" i="57"/>
  <c r="BQ442" i="57"/>
  <c r="BP442" i="57"/>
  <c r="BO442" i="57"/>
  <c r="BN442" i="57"/>
  <c r="BM442" i="57"/>
  <c r="BL442" i="57"/>
  <c r="BK442" i="57"/>
  <c r="BF442" i="57"/>
  <c r="BE442" i="57"/>
  <c r="BD442" i="57"/>
  <c r="BC442" i="57"/>
  <c r="BB442" i="57"/>
  <c r="BA442" i="57"/>
  <c r="AZ442" i="57"/>
  <c r="AY442" i="57"/>
  <c r="AX442" i="57"/>
  <c r="AW442" i="57"/>
  <c r="AV442" i="57"/>
  <c r="AU442" i="57"/>
  <c r="AT442" i="57"/>
  <c r="AS442" i="57"/>
  <c r="AR442" i="57"/>
  <c r="AO442" i="57"/>
  <c r="CK441" i="57"/>
  <c r="CJ441" i="57"/>
  <c r="CI441" i="57"/>
  <c r="CH441" i="57"/>
  <c r="CG441" i="57"/>
  <c r="CF441" i="57"/>
  <c r="CE441" i="57"/>
  <c r="CD441" i="57"/>
  <c r="BY441" i="57"/>
  <c r="BX441" i="57"/>
  <c r="BW441" i="57"/>
  <c r="BV441" i="57"/>
  <c r="BU441" i="57"/>
  <c r="BT441" i="57"/>
  <c r="BS441" i="57"/>
  <c r="BR441" i="57"/>
  <c r="BQ441" i="57"/>
  <c r="BP441" i="57"/>
  <c r="BO441" i="57"/>
  <c r="BN441" i="57"/>
  <c r="BM441" i="57"/>
  <c r="BL441" i="57"/>
  <c r="BK441" i="57"/>
  <c r="BF441" i="57"/>
  <c r="BE441" i="57"/>
  <c r="BD441" i="57"/>
  <c r="BC441" i="57"/>
  <c r="BB441" i="57"/>
  <c r="BA441" i="57"/>
  <c r="AZ441" i="57"/>
  <c r="AY441" i="57"/>
  <c r="AX441" i="57"/>
  <c r="AW441" i="57"/>
  <c r="AV441" i="57"/>
  <c r="AU441" i="57"/>
  <c r="AT441" i="57"/>
  <c r="AS441" i="57"/>
  <c r="AR441" i="57"/>
  <c r="AQ441" i="57"/>
  <c r="BJ441" i="57" s="1"/>
  <c r="AP441" i="57"/>
  <c r="BI441" i="57" s="1"/>
  <c r="AO441" i="57"/>
  <c r="CA441" i="57" s="1"/>
  <c r="AO440" i="57"/>
  <c r="BH440" i="57" s="1"/>
  <c r="CK439" i="57"/>
  <c r="CJ439" i="57"/>
  <c r="CI439" i="57"/>
  <c r="CH439" i="57"/>
  <c r="CG439" i="57"/>
  <c r="CF439" i="57"/>
  <c r="CE439" i="57"/>
  <c r="CD439" i="57"/>
  <c r="BY439" i="57"/>
  <c r="BX439" i="57"/>
  <c r="BW439" i="57"/>
  <c r="BV439" i="57"/>
  <c r="BU439" i="57"/>
  <c r="BT439" i="57"/>
  <c r="BS439" i="57"/>
  <c r="BR439" i="57"/>
  <c r="BQ439" i="57"/>
  <c r="BP439" i="57"/>
  <c r="BO439" i="57"/>
  <c r="BN439" i="57"/>
  <c r="BM439" i="57"/>
  <c r="BL439" i="57"/>
  <c r="BK439" i="57"/>
  <c r="BF439" i="57"/>
  <c r="BE439" i="57"/>
  <c r="BD439" i="57"/>
  <c r="BC439" i="57"/>
  <c r="BB439" i="57"/>
  <c r="BA439" i="57"/>
  <c r="AZ439" i="57"/>
  <c r="AY439" i="57"/>
  <c r="AX439" i="57"/>
  <c r="AW439" i="57"/>
  <c r="AV439" i="57"/>
  <c r="AU439" i="57"/>
  <c r="AT439" i="57"/>
  <c r="AS439" i="57"/>
  <c r="AR439" i="57"/>
  <c r="AO439" i="57"/>
  <c r="BH439" i="57" s="1"/>
  <c r="CK438" i="57"/>
  <c r="CJ438" i="57"/>
  <c r="CI438" i="57"/>
  <c r="CH438" i="57"/>
  <c r="CG438" i="57"/>
  <c r="CF438" i="57"/>
  <c r="CE438" i="57"/>
  <c r="CD438" i="57"/>
  <c r="BY438" i="57"/>
  <c r="BX438" i="57"/>
  <c r="BW438" i="57"/>
  <c r="BV438" i="57"/>
  <c r="BU438" i="57"/>
  <c r="BT438" i="57"/>
  <c r="BS438" i="57"/>
  <c r="BR438" i="57"/>
  <c r="BQ438" i="57"/>
  <c r="BP438" i="57"/>
  <c r="BO438" i="57"/>
  <c r="BN438" i="57"/>
  <c r="BM438" i="57"/>
  <c r="BL438" i="57"/>
  <c r="BK438" i="57"/>
  <c r="BF438" i="57"/>
  <c r="BE438" i="57"/>
  <c r="BD438" i="57"/>
  <c r="BC438" i="57"/>
  <c r="BB438" i="57"/>
  <c r="BA438" i="57"/>
  <c r="AZ438" i="57"/>
  <c r="AY438" i="57"/>
  <c r="AX438" i="57"/>
  <c r="AW438" i="57"/>
  <c r="AV438" i="57"/>
  <c r="AU438" i="57"/>
  <c r="AT438" i="57"/>
  <c r="AS438" i="57"/>
  <c r="AR438" i="57"/>
  <c r="AQ438" i="57"/>
  <c r="AP438" i="57"/>
  <c r="CB438" i="57" s="1"/>
  <c r="AO438" i="57"/>
  <c r="AO437" i="57"/>
  <c r="CA437" i="57" s="1"/>
  <c r="CK436" i="57"/>
  <c r="CJ436" i="57"/>
  <c r="CI436" i="57"/>
  <c r="CH436" i="57"/>
  <c r="CG436" i="57"/>
  <c r="CF436" i="57"/>
  <c r="CE436" i="57"/>
  <c r="CD436" i="57"/>
  <c r="BY436" i="57"/>
  <c r="BX436" i="57"/>
  <c r="BW436" i="57"/>
  <c r="BV436" i="57"/>
  <c r="BU436" i="57"/>
  <c r="BT436" i="57"/>
  <c r="BS436" i="57"/>
  <c r="BR436" i="57"/>
  <c r="BQ436" i="57"/>
  <c r="BP436" i="57"/>
  <c r="BO436" i="57"/>
  <c r="BN436" i="57"/>
  <c r="BM436" i="57"/>
  <c r="BL436" i="57"/>
  <c r="BK436" i="57"/>
  <c r="BF436" i="57"/>
  <c r="BE436" i="57"/>
  <c r="BD436" i="57"/>
  <c r="BC436" i="57"/>
  <c r="BB436" i="57"/>
  <c r="BA436" i="57"/>
  <c r="AZ436" i="57"/>
  <c r="AY436" i="57"/>
  <c r="AX436" i="57"/>
  <c r="AW436" i="57"/>
  <c r="AV436" i="57"/>
  <c r="AU436" i="57"/>
  <c r="AT436" i="57"/>
  <c r="AS436" i="57"/>
  <c r="AR436" i="57"/>
  <c r="AO436" i="57"/>
  <c r="CK435" i="57"/>
  <c r="CJ435" i="57"/>
  <c r="CI435" i="57"/>
  <c r="CH435" i="57"/>
  <c r="CG435" i="57"/>
  <c r="CF435" i="57"/>
  <c r="CE435" i="57"/>
  <c r="CD435" i="57"/>
  <c r="BY435" i="57"/>
  <c r="BX435" i="57"/>
  <c r="BW435" i="57"/>
  <c r="BV435" i="57"/>
  <c r="BU435" i="57"/>
  <c r="BT435" i="57"/>
  <c r="BS435" i="57"/>
  <c r="BR435" i="57"/>
  <c r="BQ435" i="57"/>
  <c r="BP435" i="57"/>
  <c r="BO435" i="57"/>
  <c r="BN435" i="57"/>
  <c r="BM435" i="57"/>
  <c r="BL435" i="57"/>
  <c r="BK435" i="57"/>
  <c r="BF435" i="57"/>
  <c r="BE435" i="57"/>
  <c r="BD435" i="57"/>
  <c r="BC435" i="57"/>
  <c r="BB435" i="57"/>
  <c r="BA435" i="57"/>
  <c r="AZ435" i="57"/>
  <c r="AY435" i="57"/>
  <c r="AX435" i="57"/>
  <c r="AW435" i="57"/>
  <c r="AV435" i="57"/>
  <c r="AU435" i="57"/>
  <c r="AT435" i="57"/>
  <c r="AS435" i="57"/>
  <c r="AR435" i="57"/>
  <c r="AQ435" i="57"/>
  <c r="CC435" i="57" s="1"/>
  <c r="AP435" i="57"/>
  <c r="CB435" i="57" s="1"/>
  <c r="AO435" i="57"/>
  <c r="AO434" i="57"/>
  <c r="CA434" i="57" s="1"/>
  <c r="CK433" i="57"/>
  <c r="CJ433" i="57"/>
  <c r="CI433" i="57"/>
  <c r="CH433" i="57"/>
  <c r="CG433" i="57"/>
  <c r="CF433" i="57"/>
  <c r="CE433" i="57"/>
  <c r="CD433" i="57"/>
  <c r="BY433" i="57"/>
  <c r="BX433" i="57"/>
  <c r="BW433" i="57"/>
  <c r="BV433" i="57"/>
  <c r="BU433" i="57"/>
  <c r="BT433" i="57"/>
  <c r="BS433" i="57"/>
  <c r="BR433" i="57"/>
  <c r="BQ433" i="57"/>
  <c r="BP433" i="57"/>
  <c r="BO433" i="57"/>
  <c r="BN433" i="57"/>
  <c r="BM433" i="57"/>
  <c r="BL433" i="57"/>
  <c r="BK433" i="57"/>
  <c r="BF433" i="57"/>
  <c r="BE433" i="57"/>
  <c r="BD433" i="57"/>
  <c r="BC433" i="57"/>
  <c r="BB433" i="57"/>
  <c r="BA433" i="57"/>
  <c r="AZ433" i="57"/>
  <c r="AY433" i="57"/>
  <c r="AX433" i="57"/>
  <c r="AW433" i="57"/>
  <c r="AV433" i="57"/>
  <c r="AU433" i="57"/>
  <c r="AT433" i="57"/>
  <c r="AS433" i="57"/>
  <c r="AR433" i="57"/>
  <c r="AO433" i="57"/>
  <c r="CA433" i="57" s="1"/>
  <c r="CK432" i="57"/>
  <c r="CJ432" i="57"/>
  <c r="CI432" i="57"/>
  <c r="CH432" i="57"/>
  <c r="CG432" i="57"/>
  <c r="CF432" i="57"/>
  <c r="CE432" i="57"/>
  <c r="CD432" i="57"/>
  <c r="BY432" i="57"/>
  <c r="BX432" i="57"/>
  <c r="BW432" i="57"/>
  <c r="BV432" i="57"/>
  <c r="BU432" i="57"/>
  <c r="BT432" i="57"/>
  <c r="BS432" i="57"/>
  <c r="BR432" i="57"/>
  <c r="BQ432" i="57"/>
  <c r="BP432" i="57"/>
  <c r="BO432" i="57"/>
  <c r="BN432" i="57"/>
  <c r="BM432" i="57"/>
  <c r="BL432" i="57"/>
  <c r="BK432" i="57"/>
  <c r="BF432" i="57"/>
  <c r="BE432" i="57"/>
  <c r="BD432" i="57"/>
  <c r="BC432" i="57"/>
  <c r="BB432" i="57"/>
  <c r="BA432" i="57"/>
  <c r="AZ432" i="57"/>
  <c r="AY432" i="57"/>
  <c r="AX432" i="57"/>
  <c r="AW432" i="57"/>
  <c r="AV432" i="57"/>
  <c r="AU432" i="57"/>
  <c r="AT432" i="57"/>
  <c r="AS432" i="57"/>
  <c r="AR432" i="57"/>
  <c r="AQ432" i="57"/>
  <c r="CC432" i="57" s="1"/>
  <c r="AP432" i="57"/>
  <c r="AO432" i="57"/>
  <c r="BH432" i="57" s="1"/>
  <c r="AO431" i="57"/>
  <c r="BH431" i="57" s="1"/>
  <c r="CK430" i="57"/>
  <c r="CJ430" i="57"/>
  <c r="CI430" i="57"/>
  <c r="CH430" i="57"/>
  <c r="CG430" i="57"/>
  <c r="CF430" i="57"/>
  <c r="CE430" i="57"/>
  <c r="CD430" i="57"/>
  <c r="BY430" i="57"/>
  <c r="BX430" i="57"/>
  <c r="BW430" i="57"/>
  <c r="BV430" i="57"/>
  <c r="BU430" i="57"/>
  <c r="BT430" i="57"/>
  <c r="BS430" i="57"/>
  <c r="BR430" i="57"/>
  <c r="BQ430" i="57"/>
  <c r="BP430" i="57"/>
  <c r="BO430" i="57"/>
  <c r="BN430" i="57"/>
  <c r="BM430" i="57"/>
  <c r="BL430" i="57"/>
  <c r="BK430" i="57"/>
  <c r="BF430" i="57"/>
  <c r="BE430" i="57"/>
  <c r="BD430" i="57"/>
  <c r="BC430" i="57"/>
  <c r="BB430" i="57"/>
  <c r="BA430" i="57"/>
  <c r="AZ430" i="57"/>
  <c r="AY430" i="57"/>
  <c r="AX430" i="57"/>
  <c r="AW430" i="57"/>
  <c r="AV430" i="57"/>
  <c r="AU430" i="57"/>
  <c r="AT430" i="57"/>
  <c r="AS430" i="57"/>
  <c r="AR430" i="57"/>
  <c r="AO430" i="57"/>
  <c r="CA430" i="57" s="1"/>
  <c r="CK429" i="57"/>
  <c r="CJ429" i="57"/>
  <c r="CI429" i="57"/>
  <c r="CH429" i="57"/>
  <c r="CG429" i="57"/>
  <c r="CF429" i="57"/>
  <c r="CE429" i="57"/>
  <c r="CD429" i="57"/>
  <c r="BY429" i="57"/>
  <c r="BX429" i="57"/>
  <c r="BW429" i="57"/>
  <c r="BV429" i="57"/>
  <c r="BU429" i="57"/>
  <c r="BT429" i="57"/>
  <c r="BS429" i="57"/>
  <c r="BR429" i="57"/>
  <c r="BQ429" i="57"/>
  <c r="BP429" i="57"/>
  <c r="BO429" i="57"/>
  <c r="BN429" i="57"/>
  <c r="BM429" i="57"/>
  <c r="BL429" i="57"/>
  <c r="BK429" i="57"/>
  <c r="BF429" i="57"/>
  <c r="BE429" i="57"/>
  <c r="BD429" i="57"/>
  <c r="BC429" i="57"/>
  <c r="BB429" i="57"/>
  <c r="BA429" i="57"/>
  <c r="AZ429" i="57"/>
  <c r="AY429" i="57"/>
  <c r="AX429" i="57"/>
  <c r="AW429" i="57"/>
  <c r="AV429" i="57"/>
  <c r="AU429" i="57"/>
  <c r="AT429" i="57"/>
  <c r="AS429" i="57"/>
  <c r="AR429" i="57"/>
  <c r="AQ429" i="57"/>
  <c r="AP429" i="57"/>
  <c r="AO429" i="57"/>
  <c r="AO428" i="57"/>
  <c r="CK427" i="57"/>
  <c r="CJ427" i="57"/>
  <c r="CI427" i="57"/>
  <c r="CH427" i="57"/>
  <c r="CG427" i="57"/>
  <c r="CF427" i="57"/>
  <c r="CE427" i="57"/>
  <c r="CD427" i="57"/>
  <c r="BY427" i="57"/>
  <c r="BX427" i="57"/>
  <c r="BW427" i="57"/>
  <c r="BV427" i="57"/>
  <c r="BU427" i="57"/>
  <c r="BT427" i="57"/>
  <c r="BS427" i="57"/>
  <c r="BR427" i="57"/>
  <c r="BQ427" i="57"/>
  <c r="BP427" i="57"/>
  <c r="BO427" i="57"/>
  <c r="BN427" i="57"/>
  <c r="BM427" i="57"/>
  <c r="BL427" i="57"/>
  <c r="BK427" i="57"/>
  <c r="BF427" i="57"/>
  <c r="BE427" i="57"/>
  <c r="BD427" i="57"/>
  <c r="BC427" i="57"/>
  <c r="BB427" i="57"/>
  <c r="BA427" i="57"/>
  <c r="AZ427" i="57"/>
  <c r="AY427" i="57"/>
  <c r="AX427" i="57"/>
  <c r="AW427" i="57"/>
  <c r="AV427" i="57"/>
  <c r="AU427" i="57"/>
  <c r="AT427" i="57"/>
  <c r="AS427" i="57"/>
  <c r="AR427" i="57"/>
  <c r="AO427" i="57"/>
  <c r="CK426" i="57"/>
  <c r="CJ426" i="57"/>
  <c r="CI426" i="57"/>
  <c r="CH426" i="57"/>
  <c r="CG426" i="57"/>
  <c r="CF426" i="57"/>
  <c r="CE426" i="57"/>
  <c r="CD426" i="57"/>
  <c r="BY426" i="57"/>
  <c r="BX426" i="57"/>
  <c r="BW426" i="57"/>
  <c r="BV426" i="57"/>
  <c r="BU426" i="57"/>
  <c r="BT426" i="57"/>
  <c r="BS426" i="57"/>
  <c r="BR426" i="57"/>
  <c r="BQ426" i="57"/>
  <c r="BP426" i="57"/>
  <c r="BO426" i="57"/>
  <c r="BN426" i="57"/>
  <c r="BM426" i="57"/>
  <c r="BL426" i="57"/>
  <c r="BK426" i="57"/>
  <c r="BF426" i="57"/>
  <c r="BE426" i="57"/>
  <c r="BD426" i="57"/>
  <c r="BC426" i="57"/>
  <c r="BB426" i="57"/>
  <c r="BA426" i="57"/>
  <c r="AZ426" i="57"/>
  <c r="AY426" i="57"/>
  <c r="AX426" i="57"/>
  <c r="AW426" i="57"/>
  <c r="AV426" i="57"/>
  <c r="AU426" i="57"/>
  <c r="AT426" i="57"/>
  <c r="AS426" i="57"/>
  <c r="AR426" i="57"/>
  <c r="AQ426" i="57"/>
  <c r="BJ426" i="57" s="1"/>
  <c r="AP426" i="57"/>
  <c r="CB426" i="57" s="1"/>
  <c r="AO426" i="57"/>
  <c r="AO425" i="57"/>
  <c r="CA425" i="57" s="1"/>
  <c r="CK424" i="57"/>
  <c r="CJ424" i="57"/>
  <c r="CI424" i="57"/>
  <c r="CH424" i="57"/>
  <c r="CG424" i="57"/>
  <c r="CF424" i="57"/>
  <c r="CE424" i="57"/>
  <c r="CD424" i="57"/>
  <c r="BY424" i="57"/>
  <c r="BX424" i="57"/>
  <c r="BW424" i="57"/>
  <c r="BV424" i="57"/>
  <c r="BU424" i="57"/>
  <c r="BT424" i="57"/>
  <c r="BS424" i="57"/>
  <c r="BR424" i="57"/>
  <c r="BQ424" i="57"/>
  <c r="BP424" i="57"/>
  <c r="BO424" i="57"/>
  <c r="BN424" i="57"/>
  <c r="BM424" i="57"/>
  <c r="BL424" i="57"/>
  <c r="BK424" i="57"/>
  <c r="BF424" i="57"/>
  <c r="BE424" i="57"/>
  <c r="BD424" i="57"/>
  <c r="BC424" i="57"/>
  <c r="BB424" i="57"/>
  <c r="BA424" i="57"/>
  <c r="AZ424" i="57"/>
  <c r="AY424" i="57"/>
  <c r="AX424" i="57"/>
  <c r="AW424" i="57"/>
  <c r="AV424" i="57"/>
  <c r="AU424" i="57"/>
  <c r="AT424" i="57"/>
  <c r="AS424" i="57"/>
  <c r="AR424" i="57"/>
  <c r="AO424" i="57"/>
  <c r="BH424" i="57" s="1"/>
  <c r="CK423" i="57"/>
  <c r="CJ423" i="57"/>
  <c r="CI423" i="57"/>
  <c r="CH423" i="57"/>
  <c r="CG423" i="57"/>
  <c r="CF423" i="57"/>
  <c r="CE423" i="57"/>
  <c r="CD423" i="57"/>
  <c r="BY423" i="57"/>
  <c r="BX423" i="57"/>
  <c r="BW423" i="57"/>
  <c r="BV423" i="57"/>
  <c r="BU423" i="57"/>
  <c r="BT423" i="57"/>
  <c r="BS423" i="57"/>
  <c r="BR423" i="57"/>
  <c r="BQ423" i="57"/>
  <c r="BP423" i="57"/>
  <c r="BO423" i="57"/>
  <c r="BN423" i="57"/>
  <c r="BM423" i="57"/>
  <c r="BL423" i="57"/>
  <c r="BK423" i="57"/>
  <c r="BF423" i="57"/>
  <c r="BE423" i="57"/>
  <c r="BD423" i="57"/>
  <c r="BC423" i="57"/>
  <c r="BB423" i="57"/>
  <c r="BA423" i="57"/>
  <c r="AZ423" i="57"/>
  <c r="AY423" i="57"/>
  <c r="AX423" i="57"/>
  <c r="AW423" i="57"/>
  <c r="AV423" i="57"/>
  <c r="AU423" i="57"/>
  <c r="AT423" i="57"/>
  <c r="AS423" i="57"/>
  <c r="AR423" i="57"/>
  <c r="AQ423" i="57"/>
  <c r="BJ423" i="57" s="1"/>
  <c r="AP423" i="57"/>
  <c r="AO423" i="57"/>
  <c r="AO422" i="57"/>
  <c r="CK421" i="57"/>
  <c r="CJ421" i="57"/>
  <c r="CI421" i="57"/>
  <c r="CH421" i="57"/>
  <c r="CG421" i="57"/>
  <c r="CF421" i="57"/>
  <c r="CE421" i="57"/>
  <c r="CD421" i="57"/>
  <c r="BY421" i="57"/>
  <c r="BX421" i="57"/>
  <c r="BW421" i="57"/>
  <c r="BV421" i="57"/>
  <c r="BU421" i="57"/>
  <c r="BT421" i="57"/>
  <c r="BS421" i="57"/>
  <c r="BR421" i="57"/>
  <c r="BQ421" i="57"/>
  <c r="BP421" i="57"/>
  <c r="BO421" i="57"/>
  <c r="BN421" i="57"/>
  <c r="BM421" i="57"/>
  <c r="BL421" i="57"/>
  <c r="BK421" i="57"/>
  <c r="BF421" i="57"/>
  <c r="BE421" i="57"/>
  <c r="BD421" i="57"/>
  <c r="BC421" i="57"/>
  <c r="BB421" i="57"/>
  <c r="BA421" i="57"/>
  <c r="AZ421" i="57"/>
  <c r="AY421" i="57"/>
  <c r="AX421" i="57"/>
  <c r="AW421" i="57"/>
  <c r="AV421" i="57"/>
  <c r="AU421" i="57"/>
  <c r="AT421" i="57"/>
  <c r="AS421" i="57"/>
  <c r="AR421" i="57"/>
  <c r="AO421" i="57"/>
  <c r="CK420" i="57"/>
  <c r="CJ420" i="57"/>
  <c r="CI420" i="57"/>
  <c r="CH420" i="57"/>
  <c r="CG420" i="57"/>
  <c r="CF420" i="57"/>
  <c r="CE420" i="57"/>
  <c r="CD420" i="57"/>
  <c r="BY420" i="57"/>
  <c r="BX420" i="57"/>
  <c r="BW420" i="57"/>
  <c r="BV420" i="57"/>
  <c r="BU420" i="57"/>
  <c r="BT420" i="57"/>
  <c r="BS420" i="57"/>
  <c r="BR420" i="57"/>
  <c r="BQ420" i="57"/>
  <c r="BP420" i="57"/>
  <c r="BO420" i="57"/>
  <c r="BN420" i="57"/>
  <c r="BM420" i="57"/>
  <c r="BL420" i="57"/>
  <c r="BK420" i="57"/>
  <c r="BF420" i="57"/>
  <c r="BE420" i="57"/>
  <c r="BD420" i="57"/>
  <c r="BC420" i="57"/>
  <c r="BB420" i="57"/>
  <c r="BA420" i="57"/>
  <c r="AZ420" i="57"/>
  <c r="AY420" i="57"/>
  <c r="AX420" i="57"/>
  <c r="AW420" i="57"/>
  <c r="AV420" i="57"/>
  <c r="AU420" i="57"/>
  <c r="AT420" i="57"/>
  <c r="AS420" i="57"/>
  <c r="AR420" i="57"/>
  <c r="AQ420" i="57"/>
  <c r="CC420" i="57" s="1"/>
  <c r="AP420" i="57"/>
  <c r="AO420" i="57"/>
  <c r="BH420" i="57" s="1"/>
  <c r="AO419" i="57"/>
  <c r="CK418" i="57"/>
  <c r="CJ418" i="57"/>
  <c r="CI418" i="57"/>
  <c r="CH418" i="57"/>
  <c r="CG418" i="57"/>
  <c r="CF418" i="57"/>
  <c r="CE418" i="57"/>
  <c r="CD418" i="57"/>
  <c r="BY418" i="57"/>
  <c r="BX418" i="57"/>
  <c r="BW418" i="57"/>
  <c r="BV418" i="57"/>
  <c r="BU418" i="57"/>
  <c r="BT418" i="57"/>
  <c r="BS418" i="57"/>
  <c r="BR418" i="57"/>
  <c r="BQ418" i="57"/>
  <c r="BP418" i="57"/>
  <c r="BO418" i="57"/>
  <c r="BN418" i="57"/>
  <c r="BM418" i="57"/>
  <c r="BL418" i="57"/>
  <c r="BK418" i="57"/>
  <c r="BF418" i="57"/>
  <c r="BE418" i="57"/>
  <c r="BD418" i="57"/>
  <c r="BC418" i="57"/>
  <c r="BB418" i="57"/>
  <c r="BA418" i="57"/>
  <c r="AZ418" i="57"/>
  <c r="AY418" i="57"/>
  <c r="AX418" i="57"/>
  <c r="AW418" i="57"/>
  <c r="AV418" i="57"/>
  <c r="AU418" i="57"/>
  <c r="AT418" i="57"/>
  <c r="AS418" i="57"/>
  <c r="AR418" i="57"/>
  <c r="AO418" i="57"/>
  <c r="CK417" i="57"/>
  <c r="CJ417" i="57"/>
  <c r="CI417" i="57"/>
  <c r="CH417" i="57"/>
  <c r="CG417" i="57"/>
  <c r="CF417" i="57"/>
  <c r="CE417" i="57"/>
  <c r="CD417" i="57"/>
  <c r="BY417" i="57"/>
  <c r="BX417" i="57"/>
  <c r="BW417" i="57"/>
  <c r="BV417" i="57"/>
  <c r="BU417" i="57"/>
  <c r="BT417" i="57"/>
  <c r="BS417" i="57"/>
  <c r="BR417" i="57"/>
  <c r="BQ417" i="57"/>
  <c r="BP417" i="57"/>
  <c r="BO417" i="57"/>
  <c r="BN417" i="57"/>
  <c r="BM417" i="57"/>
  <c r="BL417" i="57"/>
  <c r="BK417" i="57"/>
  <c r="BF417" i="57"/>
  <c r="BE417" i="57"/>
  <c r="BD417" i="57"/>
  <c r="BC417" i="57"/>
  <c r="BB417" i="57"/>
  <c r="BA417" i="57"/>
  <c r="AZ417" i="57"/>
  <c r="AY417" i="57"/>
  <c r="AX417" i="57"/>
  <c r="AW417" i="57"/>
  <c r="AV417" i="57"/>
  <c r="AU417" i="57"/>
  <c r="AT417" i="57"/>
  <c r="AS417" i="57"/>
  <c r="AR417" i="57"/>
  <c r="AQ417" i="57"/>
  <c r="AP417" i="57"/>
  <c r="BI417" i="57" s="1"/>
  <c r="AO417" i="57"/>
  <c r="CA417" i="57" s="1"/>
  <c r="AO416" i="57"/>
  <c r="BH416" i="57" s="1"/>
  <c r="CK415" i="57"/>
  <c r="CJ415" i="57"/>
  <c r="CI415" i="57"/>
  <c r="CH415" i="57"/>
  <c r="CG415" i="57"/>
  <c r="CF415" i="57"/>
  <c r="CE415" i="57"/>
  <c r="CD415" i="57"/>
  <c r="BY415" i="57"/>
  <c r="BX415" i="57"/>
  <c r="BW415" i="57"/>
  <c r="BV415" i="57"/>
  <c r="BU415" i="57"/>
  <c r="BT415" i="57"/>
  <c r="BS415" i="57"/>
  <c r="BR415" i="57"/>
  <c r="BQ415" i="57"/>
  <c r="BP415" i="57"/>
  <c r="BO415" i="57"/>
  <c r="BN415" i="57"/>
  <c r="BM415" i="57"/>
  <c r="BL415" i="57"/>
  <c r="BK415" i="57"/>
  <c r="BF415" i="57"/>
  <c r="BE415" i="57"/>
  <c r="BD415" i="57"/>
  <c r="BC415" i="57"/>
  <c r="BB415" i="57"/>
  <c r="BA415" i="57"/>
  <c r="AZ415" i="57"/>
  <c r="AY415" i="57"/>
  <c r="AX415" i="57"/>
  <c r="AW415" i="57"/>
  <c r="AV415" i="57"/>
  <c r="AU415" i="57"/>
  <c r="AT415" i="57"/>
  <c r="AS415" i="57"/>
  <c r="AR415" i="57"/>
  <c r="AO415" i="57"/>
  <c r="CK414" i="57"/>
  <c r="CJ414" i="57"/>
  <c r="CI414" i="57"/>
  <c r="CH414" i="57"/>
  <c r="CG414" i="57"/>
  <c r="CF414" i="57"/>
  <c r="CE414" i="57"/>
  <c r="CD414" i="57"/>
  <c r="BY414" i="57"/>
  <c r="BX414" i="57"/>
  <c r="BW414" i="57"/>
  <c r="BV414" i="57"/>
  <c r="BU414" i="57"/>
  <c r="BT414" i="57"/>
  <c r="BS414" i="57"/>
  <c r="BR414" i="57"/>
  <c r="BQ414" i="57"/>
  <c r="BP414" i="57"/>
  <c r="BO414" i="57"/>
  <c r="BN414" i="57"/>
  <c r="BM414" i="57"/>
  <c r="BL414" i="57"/>
  <c r="BK414" i="57"/>
  <c r="BF414" i="57"/>
  <c r="BE414" i="57"/>
  <c r="BD414" i="57"/>
  <c r="BC414" i="57"/>
  <c r="BB414" i="57"/>
  <c r="BA414" i="57"/>
  <c r="AZ414" i="57"/>
  <c r="AY414" i="57"/>
  <c r="AX414" i="57"/>
  <c r="AW414" i="57"/>
  <c r="AV414" i="57"/>
  <c r="AU414" i="57"/>
  <c r="AT414" i="57"/>
  <c r="AS414" i="57"/>
  <c r="AR414" i="57"/>
  <c r="AQ414" i="57"/>
  <c r="AP414" i="57"/>
  <c r="CB414" i="57" s="1"/>
  <c r="AO414" i="57"/>
  <c r="CA414" i="57" s="1"/>
  <c r="AO413" i="57"/>
  <c r="CA413" i="57" s="1"/>
  <c r="CK412" i="57"/>
  <c r="CJ412" i="57"/>
  <c r="CI412" i="57"/>
  <c r="CH412" i="57"/>
  <c r="CG412" i="57"/>
  <c r="CF412" i="57"/>
  <c r="CE412" i="57"/>
  <c r="CD412" i="57"/>
  <c r="BY412" i="57"/>
  <c r="BX412" i="57"/>
  <c r="BW412" i="57"/>
  <c r="BV412" i="57"/>
  <c r="BU412" i="57"/>
  <c r="BT412" i="57"/>
  <c r="BS412" i="57"/>
  <c r="BR412" i="57"/>
  <c r="BQ412" i="57"/>
  <c r="BP412" i="57"/>
  <c r="BO412" i="57"/>
  <c r="BN412" i="57"/>
  <c r="BM412" i="57"/>
  <c r="BL412" i="57"/>
  <c r="BK412" i="57"/>
  <c r="BF412" i="57"/>
  <c r="BE412" i="57"/>
  <c r="BD412" i="57"/>
  <c r="BC412" i="57"/>
  <c r="BB412" i="57"/>
  <c r="BA412" i="57"/>
  <c r="AZ412" i="57"/>
  <c r="AY412" i="57"/>
  <c r="AX412" i="57"/>
  <c r="AW412" i="57"/>
  <c r="AV412" i="57"/>
  <c r="AU412" i="57"/>
  <c r="AT412" i="57"/>
  <c r="AS412" i="57"/>
  <c r="AR412" i="57"/>
  <c r="AO412" i="57"/>
  <c r="BH412" i="57" s="1"/>
  <c r="CK411" i="57"/>
  <c r="CJ411" i="57"/>
  <c r="CI411" i="57"/>
  <c r="CH411" i="57"/>
  <c r="CG411" i="57"/>
  <c r="CF411" i="57"/>
  <c r="CE411" i="57"/>
  <c r="CD411" i="57"/>
  <c r="BY411" i="57"/>
  <c r="BX411" i="57"/>
  <c r="BW411" i="57"/>
  <c r="BV411" i="57"/>
  <c r="BU411" i="57"/>
  <c r="BT411" i="57"/>
  <c r="BS411" i="57"/>
  <c r="BR411" i="57"/>
  <c r="BQ411" i="57"/>
  <c r="BP411" i="57"/>
  <c r="BO411" i="57"/>
  <c r="BN411" i="57"/>
  <c r="BM411" i="57"/>
  <c r="BL411" i="57"/>
  <c r="BK411" i="57"/>
  <c r="BF411" i="57"/>
  <c r="BE411" i="57"/>
  <c r="BD411" i="57"/>
  <c r="BC411" i="57"/>
  <c r="BB411" i="57"/>
  <c r="BA411" i="57"/>
  <c r="AZ411" i="57"/>
  <c r="AY411" i="57"/>
  <c r="AX411" i="57"/>
  <c r="AW411" i="57"/>
  <c r="AV411" i="57"/>
  <c r="AU411" i="57"/>
  <c r="AT411" i="57"/>
  <c r="AS411" i="57"/>
  <c r="AR411" i="57"/>
  <c r="AQ411" i="57"/>
  <c r="CC411" i="57" s="1"/>
  <c r="AP411" i="57"/>
  <c r="CB411" i="57" s="1"/>
  <c r="AO411" i="57"/>
  <c r="AO410" i="57"/>
  <c r="CA410" i="57" s="1"/>
  <c r="CK409" i="57"/>
  <c r="CJ409" i="57"/>
  <c r="CI409" i="57"/>
  <c r="CH409" i="57"/>
  <c r="CG409" i="57"/>
  <c r="CF409" i="57"/>
  <c r="CE409" i="57"/>
  <c r="CD409" i="57"/>
  <c r="BY409" i="57"/>
  <c r="BX409" i="57"/>
  <c r="BW409" i="57"/>
  <c r="BV409" i="57"/>
  <c r="BU409" i="57"/>
  <c r="BT409" i="57"/>
  <c r="BS409" i="57"/>
  <c r="BR409" i="57"/>
  <c r="BQ409" i="57"/>
  <c r="BP409" i="57"/>
  <c r="BO409" i="57"/>
  <c r="BN409" i="57"/>
  <c r="BM409" i="57"/>
  <c r="BL409" i="57"/>
  <c r="BK409" i="57"/>
  <c r="BF409" i="57"/>
  <c r="BE409" i="57"/>
  <c r="BD409" i="57"/>
  <c r="BC409" i="57"/>
  <c r="BB409" i="57"/>
  <c r="BA409" i="57"/>
  <c r="AZ409" i="57"/>
  <c r="AY409" i="57"/>
  <c r="AX409" i="57"/>
  <c r="AW409" i="57"/>
  <c r="AV409" i="57"/>
  <c r="AU409" i="57"/>
  <c r="AT409" i="57"/>
  <c r="AS409" i="57"/>
  <c r="AR409" i="57"/>
  <c r="AO409" i="57"/>
  <c r="CA409" i="57" s="1"/>
  <c r="CK408" i="57"/>
  <c r="CJ408" i="57"/>
  <c r="CI408" i="57"/>
  <c r="CH408" i="57"/>
  <c r="CG408" i="57"/>
  <c r="CF408" i="57"/>
  <c r="CE408" i="57"/>
  <c r="CD408" i="57"/>
  <c r="BY408" i="57"/>
  <c r="BX408" i="57"/>
  <c r="BW408" i="57"/>
  <c r="BV408" i="57"/>
  <c r="BU408" i="57"/>
  <c r="BT408" i="57"/>
  <c r="BS408" i="57"/>
  <c r="BR408" i="57"/>
  <c r="BQ408" i="57"/>
  <c r="BP408" i="57"/>
  <c r="BO408" i="57"/>
  <c r="BN408" i="57"/>
  <c r="BM408" i="57"/>
  <c r="BL408" i="57"/>
  <c r="BK408" i="57"/>
  <c r="BF408" i="57"/>
  <c r="BE408" i="57"/>
  <c r="BD408" i="57"/>
  <c r="BC408" i="57"/>
  <c r="BB408" i="57"/>
  <c r="BA408" i="57"/>
  <c r="AZ408" i="57"/>
  <c r="AY408" i="57"/>
  <c r="AX408" i="57"/>
  <c r="AW408" i="57"/>
  <c r="AV408" i="57"/>
  <c r="AU408" i="57"/>
  <c r="AT408" i="57"/>
  <c r="AS408" i="57"/>
  <c r="AR408" i="57"/>
  <c r="AQ408" i="57"/>
  <c r="CC408" i="57" s="1"/>
  <c r="AP408" i="57"/>
  <c r="BI408" i="57" s="1"/>
  <c r="AO408" i="57"/>
  <c r="BH408" i="57" s="1"/>
  <c r="AO407" i="57"/>
  <c r="BH407" i="57" s="1"/>
  <c r="CK406" i="57"/>
  <c r="CJ406" i="57"/>
  <c r="CI406" i="57"/>
  <c r="CH406" i="57"/>
  <c r="CG406" i="57"/>
  <c r="CF406" i="57"/>
  <c r="CE406" i="57"/>
  <c r="CD406" i="57"/>
  <c r="BY406" i="57"/>
  <c r="BX406" i="57"/>
  <c r="BW406" i="57"/>
  <c r="BV406" i="57"/>
  <c r="BU406" i="57"/>
  <c r="BT406" i="57"/>
  <c r="BS406" i="57"/>
  <c r="BR406" i="57"/>
  <c r="BQ406" i="57"/>
  <c r="BP406" i="57"/>
  <c r="BO406" i="57"/>
  <c r="BN406" i="57"/>
  <c r="BM406" i="57"/>
  <c r="BL406" i="57"/>
  <c r="BK406" i="57"/>
  <c r="BF406" i="57"/>
  <c r="BE406" i="57"/>
  <c r="BD406" i="57"/>
  <c r="BC406" i="57"/>
  <c r="BB406" i="57"/>
  <c r="BA406" i="57"/>
  <c r="AZ406" i="57"/>
  <c r="AY406" i="57"/>
  <c r="AX406" i="57"/>
  <c r="AW406" i="57"/>
  <c r="AV406" i="57"/>
  <c r="AU406" i="57"/>
  <c r="AT406" i="57"/>
  <c r="AS406" i="57"/>
  <c r="AR406" i="57"/>
  <c r="AO406" i="57"/>
  <c r="CA406" i="57" s="1"/>
  <c r="CK405" i="57"/>
  <c r="CJ405" i="57"/>
  <c r="CI405" i="57"/>
  <c r="CH405" i="57"/>
  <c r="CG405" i="57"/>
  <c r="CF405" i="57"/>
  <c r="CE405" i="57"/>
  <c r="CD405" i="57"/>
  <c r="BY405" i="57"/>
  <c r="BX405" i="57"/>
  <c r="BW405" i="57"/>
  <c r="BV405" i="57"/>
  <c r="BU405" i="57"/>
  <c r="BT405" i="57"/>
  <c r="BS405" i="57"/>
  <c r="BR405" i="57"/>
  <c r="BQ405" i="57"/>
  <c r="BP405" i="57"/>
  <c r="BO405" i="57"/>
  <c r="BN405" i="57"/>
  <c r="BM405" i="57"/>
  <c r="BL405" i="57"/>
  <c r="BK405" i="57"/>
  <c r="BF405" i="57"/>
  <c r="BE405" i="57"/>
  <c r="BD405" i="57"/>
  <c r="BC405" i="57"/>
  <c r="BB405" i="57"/>
  <c r="BA405" i="57"/>
  <c r="AZ405" i="57"/>
  <c r="AY405" i="57"/>
  <c r="AX405" i="57"/>
  <c r="AW405" i="57"/>
  <c r="AV405" i="57"/>
  <c r="AU405" i="57"/>
  <c r="AT405" i="57"/>
  <c r="AS405" i="57"/>
  <c r="AR405" i="57"/>
  <c r="AQ405" i="57"/>
  <c r="AP405" i="57"/>
  <c r="BI405" i="57" s="1"/>
  <c r="AO405" i="57"/>
  <c r="CA405" i="57" s="1"/>
  <c r="AO404" i="57"/>
  <c r="CK403" i="57"/>
  <c r="CJ403" i="57"/>
  <c r="CI403" i="57"/>
  <c r="CH403" i="57"/>
  <c r="CG403" i="57"/>
  <c r="CF403" i="57"/>
  <c r="CE403" i="57"/>
  <c r="CD403" i="57"/>
  <c r="BY403" i="57"/>
  <c r="BX403" i="57"/>
  <c r="BW403" i="57"/>
  <c r="BV403" i="57"/>
  <c r="BU403" i="57"/>
  <c r="BT403" i="57"/>
  <c r="BS403" i="57"/>
  <c r="BR403" i="57"/>
  <c r="BQ403" i="57"/>
  <c r="BP403" i="57"/>
  <c r="BO403" i="57"/>
  <c r="BN403" i="57"/>
  <c r="BM403" i="57"/>
  <c r="BL403" i="57"/>
  <c r="BK403" i="57"/>
  <c r="BF403" i="57"/>
  <c r="BE403" i="57"/>
  <c r="BD403" i="57"/>
  <c r="BC403" i="57"/>
  <c r="BB403" i="57"/>
  <c r="BA403" i="57"/>
  <c r="AZ403" i="57"/>
  <c r="AY403" i="57"/>
  <c r="AX403" i="57"/>
  <c r="AW403" i="57"/>
  <c r="AV403" i="57"/>
  <c r="AU403" i="57"/>
  <c r="AT403" i="57"/>
  <c r="AS403" i="57"/>
  <c r="AR403" i="57"/>
  <c r="AO403" i="57"/>
  <c r="CK402" i="57"/>
  <c r="CJ402" i="57"/>
  <c r="CI402" i="57"/>
  <c r="CH402" i="57"/>
  <c r="CG402" i="57"/>
  <c r="CF402" i="57"/>
  <c r="CE402" i="57"/>
  <c r="CD402" i="57"/>
  <c r="BY402" i="57"/>
  <c r="BX402" i="57"/>
  <c r="BW402" i="57"/>
  <c r="BV402" i="57"/>
  <c r="BU402" i="57"/>
  <c r="BT402" i="57"/>
  <c r="BS402" i="57"/>
  <c r="BR402" i="57"/>
  <c r="BQ402" i="57"/>
  <c r="BP402" i="57"/>
  <c r="BO402" i="57"/>
  <c r="BN402" i="57"/>
  <c r="BM402" i="57"/>
  <c r="BL402" i="57"/>
  <c r="BK402" i="57"/>
  <c r="BF402" i="57"/>
  <c r="BE402" i="57"/>
  <c r="BD402" i="57"/>
  <c r="BC402" i="57"/>
  <c r="BB402" i="57"/>
  <c r="BA402" i="57"/>
  <c r="AZ402" i="57"/>
  <c r="AY402" i="57"/>
  <c r="AX402" i="57"/>
  <c r="AW402" i="57"/>
  <c r="AV402" i="57"/>
  <c r="AU402" i="57"/>
  <c r="AT402" i="57"/>
  <c r="AS402" i="57"/>
  <c r="AR402" i="57"/>
  <c r="AQ402" i="57"/>
  <c r="BJ402" i="57" s="1"/>
  <c r="AP402" i="57"/>
  <c r="CB402" i="57" s="1"/>
  <c r="AO402" i="57"/>
  <c r="AO401" i="57"/>
  <c r="CA401" i="57" s="1"/>
  <c r="CK400" i="57"/>
  <c r="CJ400" i="57"/>
  <c r="CI400" i="57"/>
  <c r="CH400" i="57"/>
  <c r="CG400" i="57"/>
  <c r="CF400" i="57"/>
  <c r="CE400" i="57"/>
  <c r="CD400" i="57"/>
  <c r="BY400" i="57"/>
  <c r="BX400" i="57"/>
  <c r="BW400" i="57"/>
  <c r="BV400" i="57"/>
  <c r="BU400" i="57"/>
  <c r="BT400" i="57"/>
  <c r="BS400" i="57"/>
  <c r="BR400" i="57"/>
  <c r="BQ400" i="57"/>
  <c r="BP400" i="57"/>
  <c r="BO400" i="57"/>
  <c r="BN400" i="57"/>
  <c r="BM400" i="57"/>
  <c r="BL400" i="57"/>
  <c r="BK400" i="57"/>
  <c r="BF400" i="57"/>
  <c r="BE400" i="57"/>
  <c r="BD400" i="57"/>
  <c r="BC400" i="57"/>
  <c r="BB400" i="57"/>
  <c r="BA400" i="57"/>
  <c r="AZ400" i="57"/>
  <c r="AY400" i="57"/>
  <c r="AX400" i="57"/>
  <c r="AW400" i="57"/>
  <c r="AV400" i="57"/>
  <c r="AU400" i="57"/>
  <c r="AT400" i="57"/>
  <c r="AS400" i="57"/>
  <c r="AR400" i="57"/>
  <c r="AO400" i="57"/>
  <c r="CK399" i="57"/>
  <c r="CJ399" i="57"/>
  <c r="CI399" i="57"/>
  <c r="CH399" i="57"/>
  <c r="CG399" i="57"/>
  <c r="CF399" i="57"/>
  <c r="CE399" i="57"/>
  <c r="CD399" i="57"/>
  <c r="BY399" i="57"/>
  <c r="BX399" i="57"/>
  <c r="BW399" i="57"/>
  <c r="BV399" i="57"/>
  <c r="BU399" i="57"/>
  <c r="BT399" i="57"/>
  <c r="BS399" i="57"/>
  <c r="BR399" i="57"/>
  <c r="BQ399" i="57"/>
  <c r="BP399" i="57"/>
  <c r="BO399" i="57"/>
  <c r="BN399" i="57"/>
  <c r="BM399" i="57"/>
  <c r="BL399" i="57"/>
  <c r="BK399" i="57"/>
  <c r="BF399" i="57"/>
  <c r="BE399" i="57"/>
  <c r="BD399" i="57"/>
  <c r="BC399" i="57"/>
  <c r="BB399" i="57"/>
  <c r="BA399" i="57"/>
  <c r="AZ399" i="57"/>
  <c r="AY399" i="57"/>
  <c r="AX399" i="57"/>
  <c r="AW399" i="57"/>
  <c r="AV399" i="57"/>
  <c r="AU399" i="57"/>
  <c r="AT399" i="57"/>
  <c r="AS399" i="57"/>
  <c r="AR399" i="57"/>
  <c r="AQ399" i="57"/>
  <c r="CC399" i="57" s="1"/>
  <c r="AP399" i="57"/>
  <c r="AO399" i="57"/>
  <c r="BH399" i="57" s="1"/>
  <c r="AO398" i="57"/>
  <c r="CK397" i="57"/>
  <c r="CJ397" i="57"/>
  <c r="CI397" i="57"/>
  <c r="CH397" i="57"/>
  <c r="CG397" i="57"/>
  <c r="CF397" i="57"/>
  <c r="CE397" i="57"/>
  <c r="CD397" i="57"/>
  <c r="BY397" i="57"/>
  <c r="BX397" i="57"/>
  <c r="BW397" i="57"/>
  <c r="BV397" i="57"/>
  <c r="BU397" i="57"/>
  <c r="BT397" i="57"/>
  <c r="BS397" i="57"/>
  <c r="BR397" i="57"/>
  <c r="BQ397" i="57"/>
  <c r="BP397" i="57"/>
  <c r="BO397" i="57"/>
  <c r="BN397" i="57"/>
  <c r="BM397" i="57"/>
  <c r="BL397" i="57"/>
  <c r="BK397" i="57"/>
  <c r="BF397" i="57"/>
  <c r="BE397" i="57"/>
  <c r="BD397" i="57"/>
  <c r="BC397" i="57"/>
  <c r="BB397" i="57"/>
  <c r="BA397" i="57"/>
  <c r="AZ397" i="57"/>
  <c r="AY397" i="57"/>
  <c r="AX397" i="57"/>
  <c r="AW397" i="57"/>
  <c r="AV397" i="57"/>
  <c r="AU397" i="57"/>
  <c r="AT397" i="57"/>
  <c r="AS397" i="57"/>
  <c r="AR397" i="57"/>
  <c r="AO397" i="57"/>
  <c r="CK396" i="57"/>
  <c r="CJ396" i="57"/>
  <c r="CI396" i="57"/>
  <c r="CH396" i="57"/>
  <c r="CG396" i="57"/>
  <c r="CF396" i="57"/>
  <c r="CE396" i="57"/>
  <c r="CD396" i="57"/>
  <c r="BY396" i="57"/>
  <c r="BX396" i="57"/>
  <c r="BW396" i="57"/>
  <c r="BV396" i="57"/>
  <c r="BU396" i="57"/>
  <c r="BT396" i="57"/>
  <c r="BS396" i="57"/>
  <c r="BR396" i="57"/>
  <c r="BQ396" i="57"/>
  <c r="BP396" i="57"/>
  <c r="BO396" i="57"/>
  <c r="BN396" i="57"/>
  <c r="BM396" i="57"/>
  <c r="BL396" i="57"/>
  <c r="BK396" i="57"/>
  <c r="BF396" i="57"/>
  <c r="BE396" i="57"/>
  <c r="BD396" i="57"/>
  <c r="BC396" i="57"/>
  <c r="BB396" i="57"/>
  <c r="BA396" i="57"/>
  <c r="AZ396" i="57"/>
  <c r="AY396" i="57"/>
  <c r="AX396" i="57"/>
  <c r="AW396" i="57"/>
  <c r="AV396" i="57"/>
  <c r="AU396" i="57"/>
  <c r="AT396" i="57"/>
  <c r="AS396" i="57"/>
  <c r="AR396" i="57"/>
  <c r="AQ396" i="57"/>
  <c r="BJ396" i="57" s="1"/>
  <c r="AP396" i="57"/>
  <c r="AO396" i="57"/>
  <c r="AO395" i="57"/>
  <c r="CK394" i="57"/>
  <c r="CJ394" i="57"/>
  <c r="CI394" i="57"/>
  <c r="CH394" i="57"/>
  <c r="CG394" i="57"/>
  <c r="CF394" i="57"/>
  <c r="CE394" i="57"/>
  <c r="CD394" i="57"/>
  <c r="BY394" i="57"/>
  <c r="BX394" i="57"/>
  <c r="BW394" i="57"/>
  <c r="BV394" i="57"/>
  <c r="BU394" i="57"/>
  <c r="BT394" i="57"/>
  <c r="BS394" i="57"/>
  <c r="BR394" i="57"/>
  <c r="BQ394" i="57"/>
  <c r="BP394" i="57"/>
  <c r="BO394" i="57"/>
  <c r="BN394" i="57"/>
  <c r="BM394" i="57"/>
  <c r="BL394" i="57"/>
  <c r="BK394" i="57"/>
  <c r="BF394" i="57"/>
  <c r="BE394" i="57"/>
  <c r="BD394" i="57"/>
  <c r="BC394" i="57"/>
  <c r="BB394" i="57"/>
  <c r="BA394" i="57"/>
  <c r="AZ394" i="57"/>
  <c r="AY394" i="57"/>
  <c r="AX394" i="57"/>
  <c r="AW394" i="57"/>
  <c r="AV394" i="57"/>
  <c r="AU394" i="57"/>
  <c r="AT394" i="57"/>
  <c r="AS394" i="57"/>
  <c r="AR394" i="57"/>
  <c r="AO394" i="57"/>
  <c r="CK393" i="57"/>
  <c r="CJ393" i="57"/>
  <c r="CI393" i="57"/>
  <c r="CH393" i="57"/>
  <c r="CG393" i="57"/>
  <c r="CF393" i="57"/>
  <c r="CE393" i="57"/>
  <c r="CD393" i="57"/>
  <c r="BY393" i="57"/>
  <c r="BX393" i="57"/>
  <c r="BW393" i="57"/>
  <c r="BV393" i="57"/>
  <c r="BU393" i="57"/>
  <c r="BT393" i="57"/>
  <c r="BS393" i="57"/>
  <c r="BR393" i="57"/>
  <c r="BQ393" i="57"/>
  <c r="BP393" i="57"/>
  <c r="BO393" i="57"/>
  <c r="BN393" i="57"/>
  <c r="BM393" i="57"/>
  <c r="BL393" i="57"/>
  <c r="BK393" i="57"/>
  <c r="BF393" i="57"/>
  <c r="BE393" i="57"/>
  <c r="BD393" i="57"/>
  <c r="BC393" i="57"/>
  <c r="BB393" i="57"/>
  <c r="BA393" i="57"/>
  <c r="AZ393" i="57"/>
  <c r="AY393" i="57"/>
  <c r="AX393" i="57"/>
  <c r="AW393" i="57"/>
  <c r="AV393" i="57"/>
  <c r="AU393" i="57"/>
  <c r="AT393" i="57"/>
  <c r="AS393" i="57"/>
  <c r="AR393" i="57"/>
  <c r="AQ393" i="57"/>
  <c r="AP393" i="57"/>
  <c r="CB393" i="57" s="1"/>
  <c r="AO393" i="57"/>
  <c r="AO392" i="57"/>
  <c r="BH392" i="57" s="1"/>
  <c r="CK391" i="57"/>
  <c r="CJ391" i="57"/>
  <c r="CI391" i="57"/>
  <c r="CH391" i="57"/>
  <c r="CG391" i="57"/>
  <c r="CF391" i="57"/>
  <c r="CE391" i="57"/>
  <c r="CD391" i="57"/>
  <c r="BY391" i="57"/>
  <c r="BX391" i="57"/>
  <c r="BW391" i="57"/>
  <c r="BV391" i="57"/>
  <c r="BU391" i="57"/>
  <c r="BT391" i="57"/>
  <c r="BS391" i="57"/>
  <c r="BR391" i="57"/>
  <c r="BQ391" i="57"/>
  <c r="BP391" i="57"/>
  <c r="BO391" i="57"/>
  <c r="BN391" i="57"/>
  <c r="BM391" i="57"/>
  <c r="BL391" i="57"/>
  <c r="BK391" i="57"/>
  <c r="BF391" i="57"/>
  <c r="BE391" i="57"/>
  <c r="BD391" i="57"/>
  <c r="BC391" i="57"/>
  <c r="BB391" i="57"/>
  <c r="BA391" i="57"/>
  <c r="AZ391" i="57"/>
  <c r="AY391" i="57"/>
  <c r="AX391" i="57"/>
  <c r="AW391" i="57"/>
  <c r="AV391" i="57"/>
  <c r="AU391" i="57"/>
  <c r="AT391" i="57"/>
  <c r="AS391" i="57"/>
  <c r="AR391" i="57"/>
  <c r="AO391" i="57"/>
  <c r="BH391" i="57" s="1"/>
  <c r="CK390" i="57"/>
  <c r="CJ390" i="57"/>
  <c r="CI390" i="57"/>
  <c r="CH390" i="57"/>
  <c r="CG390" i="57"/>
  <c r="CF390" i="57"/>
  <c r="CE390" i="57"/>
  <c r="CD390" i="57"/>
  <c r="BY390" i="57"/>
  <c r="BX390" i="57"/>
  <c r="BW390" i="57"/>
  <c r="BV390" i="57"/>
  <c r="BU390" i="57"/>
  <c r="BT390" i="57"/>
  <c r="BS390" i="57"/>
  <c r="BR390" i="57"/>
  <c r="BQ390" i="57"/>
  <c r="BP390" i="57"/>
  <c r="BO390" i="57"/>
  <c r="BN390" i="57"/>
  <c r="BM390" i="57"/>
  <c r="BL390" i="57"/>
  <c r="BK390" i="57"/>
  <c r="BF390" i="57"/>
  <c r="BE390" i="57"/>
  <c r="BD390" i="57"/>
  <c r="BC390" i="57"/>
  <c r="BB390" i="57"/>
  <c r="BA390" i="57"/>
  <c r="AZ390" i="57"/>
  <c r="AY390" i="57"/>
  <c r="AX390" i="57"/>
  <c r="AW390" i="57"/>
  <c r="AV390" i="57"/>
  <c r="AU390" i="57"/>
  <c r="AT390" i="57"/>
  <c r="AS390" i="57"/>
  <c r="AR390" i="57"/>
  <c r="AQ390" i="57"/>
  <c r="BJ390" i="57" s="1"/>
  <c r="AP390" i="57"/>
  <c r="CB390" i="57" s="1"/>
  <c r="AO390" i="57"/>
  <c r="CA390" i="57" s="1"/>
  <c r="AO389" i="57"/>
  <c r="CK388" i="57"/>
  <c r="CJ388" i="57"/>
  <c r="CI388" i="57"/>
  <c r="CH388" i="57"/>
  <c r="CG388" i="57"/>
  <c r="CF388" i="57"/>
  <c r="CE388" i="57"/>
  <c r="CD388" i="57"/>
  <c r="BY388" i="57"/>
  <c r="BX388" i="57"/>
  <c r="BW388" i="57"/>
  <c r="BV388" i="57"/>
  <c r="BU388" i="57"/>
  <c r="BT388" i="57"/>
  <c r="BS388" i="57"/>
  <c r="BR388" i="57"/>
  <c r="BQ388" i="57"/>
  <c r="BP388" i="57"/>
  <c r="BO388" i="57"/>
  <c r="BN388" i="57"/>
  <c r="BM388" i="57"/>
  <c r="BL388" i="57"/>
  <c r="BK388" i="57"/>
  <c r="BF388" i="57"/>
  <c r="BE388" i="57"/>
  <c r="BD388" i="57"/>
  <c r="BC388" i="57"/>
  <c r="BB388" i="57"/>
  <c r="BA388" i="57"/>
  <c r="AZ388" i="57"/>
  <c r="AY388" i="57"/>
  <c r="AX388" i="57"/>
  <c r="AW388" i="57"/>
  <c r="AV388" i="57"/>
  <c r="AU388" i="57"/>
  <c r="AT388" i="57"/>
  <c r="AS388" i="57"/>
  <c r="AR388" i="57"/>
  <c r="AO388" i="57"/>
  <c r="CK387" i="57"/>
  <c r="CJ387" i="57"/>
  <c r="CI387" i="57"/>
  <c r="CH387" i="57"/>
  <c r="CG387" i="57"/>
  <c r="CF387" i="57"/>
  <c r="CE387" i="57"/>
  <c r="CD387" i="57"/>
  <c r="BY387" i="57"/>
  <c r="BX387" i="57"/>
  <c r="BW387" i="57"/>
  <c r="BV387" i="57"/>
  <c r="BU387" i="57"/>
  <c r="BT387" i="57"/>
  <c r="BS387" i="57"/>
  <c r="BR387" i="57"/>
  <c r="BQ387" i="57"/>
  <c r="BP387" i="57"/>
  <c r="BO387" i="57"/>
  <c r="BN387" i="57"/>
  <c r="BM387" i="57"/>
  <c r="BL387" i="57"/>
  <c r="BK387" i="57"/>
  <c r="BF387" i="57"/>
  <c r="BE387" i="57"/>
  <c r="BD387" i="57"/>
  <c r="BC387" i="57"/>
  <c r="BB387" i="57"/>
  <c r="BA387" i="57"/>
  <c r="AZ387" i="57"/>
  <c r="AY387" i="57"/>
  <c r="AX387" i="57"/>
  <c r="AW387" i="57"/>
  <c r="AV387" i="57"/>
  <c r="AU387" i="57"/>
  <c r="AT387" i="57"/>
  <c r="AS387" i="57"/>
  <c r="AR387" i="57"/>
  <c r="AQ387" i="57"/>
  <c r="AP387" i="57"/>
  <c r="CB387" i="57" s="1"/>
  <c r="AO387" i="57"/>
  <c r="AO386" i="57"/>
  <c r="CK385" i="57"/>
  <c r="CJ385" i="57"/>
  <c r="CI385" i="57"/>
  <c r="CH385" i="57"/>
  <c r="CG385" i="57"/>
  <c r="CF385" i="57"/>
  <c r="CE385" i="57"/>
  <c r="CD385" i="57"/>
  <c r="BY385" i="57"/>
  <c r="BX385" i="57"/>
  <c r="BW385" i="57"/>
  <c r="BV385" i="57"/>
  <c r="BU385" i="57"/>
  <c r="BT385" i="57"/>
  <c r="BS385" i="57"/>
  <c r="BR385" i="57"/>
  <c r="BQ385" i="57"/>
  <c r="BP385" i="57"/>
  <c r="BO385" i="57"/>
  <c r="BN385" i="57"/>
  <c r="BM385" i="57"/>
  <c r="BL385" i="57"/>
  <c r="BK385" i="57"/>
  <c r="BF385" i="57"/>
  <c r="BE385" i="57"/>
  <c r="BD385" i="57"/>
  <c r="BC385" i="57"/>
  <c r="BB385" i="57"/>
  <c r="BA385" i="57"/>
  <c r="AZ385" i="57"/>
  <c r="AY385" i="57"/>
  <c r="AX385" i="57"/>
  <c r="AW385" i="57"/>
  <c r="AV385" i="57"/>
  <c r="AU385" i="57"/>
  <c r="AT385" i="57"/>
  <c r="AS385" i="57"/>
  <c r="AR385" i="57"/>
  <c r="AO385" i="57"/>
  <c r="CK384" i="57"/>
  <c r="CJ384" i="57"/>
  <c r="CI384" i="57"/>
  <c r="CH384" i="57"/>
  <c r="CG384" i="57"/>
  <c r="CF384" i="57"/>
  <c r="CE384" i="57"/>
  <c r="CD384" i="57"/>
  <c r="BY384" i="57"/>
  <c r="BX384" i="57"/>
  <c r="BW384" i="57"/>
  <c r="BV384" i="57"/>
  <c r="BU384" i="57"/>
  <c r="BT384" i="57"/>
  <c r="BS384" i="57"/>
  <c r="BR384" i="57"/>
  <c r="BQ384" i="57"/>
  <c r="BP384" i="57"/>
  <c r="BO384" i="57"/>
  <c r="BN384" i="57"/>
  <c r="BM384" i="57"/>
  <c r="BL384" i="57"/>
  <c r="BK384" i="57"/>
  <c r="BF384" i="57"/>
  <c r="BE384" i="57"/>
  <c r="BD384" i="57"/>
  <c r="BC384" i="57"/>
  <c r="BB384" i="57"/>
  <c r="BA384" i="57"/>
  <c r="AZ384" i="57"/>
  <c r="AY384" i="57"/>
  <c r="AX384" i="57"/>
  <c r="AW384" i="57"/>
  <c r="AV384" i="57"/>
  <c r="AU384" i="57"/>
  <c r="AT384" i="57"/>
  <c r="AS384" i="57"/>
  <c r="AR384" i="57"/>
  <c r="AQ384" i="57"/>
  <c r="CC384" i="57" s="1"/>
  <c r="AP384" i="57"/>
  <c r="BI384" i="57" s="1"/>
  <c r="AO384" i="57"/>
  <c r="AO383" i="57"/>
  <c r="BH383" i="57" s="1"/>
  <c r="CK382" i="57"/>
  <c r="CJ382" i="57"/>
  <c r="CI382" i="57"/>
  <c r="CH382" i="57"/>
  <c r="CG382" i="57"/>
  <c r="CF382" i="57"/>
  <c r="CE382" i="57"/>
  <c r="CD382" i="57"/>
  <c r="BY382" i="57"/>
  <c r="BX382" i="57"/>
  <c r="BW382" i="57"/>
  <c r="BV382" i="57"/>
  <c r="BU382" i="57"/>
  <c r="BT382" i="57"/>
  <c r="BS382" i="57"/>
  <c r="BR382" i="57"/>
  <c r="BQ382" i="57"/>
  <c r="BP382" i="57"/>
  <c r="BO382" i="57"/>
  <c r="BN382" i="57"/>
  <c r="BM382" i="57"/>
  <c r="BL382" i="57"/>
  <c r="BK382" i="57"/>
  <c r="BF382" i="57"/>
  <c r="BE382" i="57"/>
  <c r="BD382" i="57"/>
  <c r="BC382" i="57"/>
  <c r="BB382" i="57"/>
  <c r="BA382" i="57"/>
  <c r="AZ382" i="57"/>
  <c r="AY382" i="57"/>
  <c r="AX382" i="57"/>
  <c r="AW382" i="57"/>
  <c r="AV382" i="57"/>
  <c r="AU382" i="57"/>
  <c r="AT382" i="57"/>
  <c r="AS382" i="57"/>
  <c r="AR382" i="57"/>
  <c r="AO382" i="57"/>
  <c r="CA382" i="57" s="1"/>
  <c r="CK381" i="57"/>
  <c r="CJ381" i="57"/>
  <c r="CI381" i="57"/>
  <c r="CH381" i="57"/>
  <c r="CG381" i="57"/>
  <c r="CF381" i="57"/>
  <c r="CE381" i="57"/>
  <c r="CD381" i="57"/>
  <c r="BY381" i="57"/>
  <c r="BX381" i="57"/>
  <c r="BW381" i="57"/>
  <c r="BV381" i="57"/>
  <c r="BU381" i="57"/>
  <c r="BT381" i="57"/>
  <c r="BS381" i="57"/>
  <c r="BR381" i="57"/>
  <c r="BQ381" i="57"/>
  <c r="BP381" i="57"/>
  <c r="BO381" i="57"/>
  <c r="BN381" i="57"/>
  <c r="BM381" i="57"/>
  <c r="BL381" i="57"/>
  <c r="BK381" i="57"/>
  <c r="BF381" i="57"/>
  <c r="BE381" i="57"/>
  <c r="BD381" i="57"/>
  <c r="BC381" i="57"/>
  <c r="BB381" i="57"/>
  <c r="BA381" i="57"/>
  <c r="AZ381" i="57"/>
  <c r="AY381" i="57"/>
  <c r="AX381" i="57"/>
  <c r="AW381" i="57"/>
  <c r="AV381" i="57"/>
  <c r="AU381" i="57"/>
  <c r="AT381" i="57"/>
  <c r="AS381" i="57"/>
  <c r="AR381" i="57"/>
  <c r="AQ381" i="57"/>
  <c r="CC381" i="57" s="1"/>
  <c r="AP381" i="57"/>
  <c r="BI381" i="57" s="1"/>
  <c r="AO381" i="57"/>
  <c r="CA381" i="57" s="1"/>
  <c r="AO380" i="57"/>
  <c r="BH380" i="57" s="1"/>
  <c r="CK379" i="57"/>
  <c r="CJ379" i="57"/>
  <c r="CI379" i="57"/>
  <c r="CH379" i="57"/>
  <c r="CG379" i="57"/>
  <c r="CF379" i="57"/>
  <c r="CE379" i="57"/>
  <c r="CD379" i="57"/>
  <c r="BY379" i="57"/>
  <c r="BX379" i="57"/>
  <c r="BW379" i="57"/>
  <c r="BV379" i="57"/>
  <c r="BU379" i="57"/>
  <c r="BT379" i="57"/>
  <c r="BS379" i="57"/>
  <c r="BR379" i="57"/>
  <c r="BQ379" i="57"/>
  <c r="BP379" i="57"/>
  <c r="BO379" i="57"/>
  <c r="BN379" i="57"/>
  <c r="BM379" i="57"/>
  <c r="BL379" i="57"/>
  <c r="BK379" i="57"/>
  <c r="BF379" i="57"/>
  <c r="BE379" i="57"/>
  <c r="BD379" i="57"/>
  <c r="BC379" i="57"/>
  <c r="BB379" i="57"/>
  <c r="BA379" i="57"/>
  <c r="AZ379" i="57"/>
  <c r="AY379" i="57"/>
  <c r="AX379" i="57"/>
  <c r="AW379" i="57"/>
  <c r="AV379" i="57"/>
  <c r="AU379" i="57"/>
  <c r="AT379" i="57"/>
  <c r="AS379" i="57"/>
  <c r="AR379" i="57"/>
  <c r="AO379" i="57"/>
  <c r="CK378" i="57"/>
  <c r="CJ378" i="57"/>
  <c r="CI378" i="57"/>
  <c r="CH378" i="57"/>
  <c r="CG378" i="57"/>
  <c r="CF378" i="57"/>
  <c r="CE378" i="57"/>
  <c r="CD378" i="57"/>
  <c r="BY378" i="57"/>
  <c r="BX378" i="57"/>
  <c r="BW378" i="57"/>
  <c r="BV378" i="57"/>
  <c r="BU378" i="57"/>
  <c r="BT378" i="57"/>
  <c r="BS378" i="57"/>
  <c r="BR378" i="57"/>
  <c r="BQ378" i="57"/>
  <c r="BP378" i="57"/>
  <c r="BO378" i="57"/>
  <c r="BN378" i="57"/>
  <c r="BM378" i="57"/>
  <c r="BL378" i="57"/>
  <c r="BK378" i="57"/>
  <c r="BF378" i="57"/>
  <c r="BE378" i="57"/>
  <c r="BD378" i="57"/>
  <c r="BC378" i="57"/>
  <c r="BB378" i="57"/>
  <c r="BA378" i="57"/>
  <c r="AZ378" i="57"/>
  <c r="AY378" i="57"/>
  <c r="AX378" i="57"/>
  <c r="AW378" i="57"/>
  <c r="AV378" i="57"/>
  <c r="AU378" i="57"/>
  <c r="AT378" i="57"/>
  <c r="AS378" i="57"/>
  <c r="AR378" i="57"/>
  <c r="AQ378" i="57"/>
  <c r="CC378" i="57" s="1"/>
  <c r="AP378" i="57"/>
  <c r="AO378" i="57"/>
  <c r="CA378" i="57" s="1"/>
  <c r="AO377" i="57"/>
  <c r="CK376" i="57"/>
  <c r="CJ376" i="57"/>
  <c r="CI376" i="57"/>
  <c r="CH376" i="57"/>
  <c r="CG376" i="57"/>
  <c r="CF376" i="57"/>
  <c r="CE376" i="57"/>
  <c r="CD376" i="57"/>
  <c r="BY376" i="57"/>
  <c r="BX376" i="57"/>
  <c r="BW376" i="57"/>
  <c r="BV376" i="57"/>
  <c r="BU376" i="57"/>
  <c r="BT376" i="57"/>
  <c r="BS376" i="57"/>
  <c r="BR376" i="57"/>
  <c r="BQ376" i="57"/>
  <c r="BP376" i="57"/>
  <c r="BO376" i="57"/>
  <c r="BN376" i="57"/>
  <c r="BM376" i="57"/>
  <c r="BL376" i="57"/>
  <c r="BK376" i="57"/>
  <c r="BF376" i="57"/>
  <c r="BE376" i="57"/>
  <c r="BD376" i="57"/>
  <c r="BC376" i="57"/>
  <c r="BB376" i="57"/>
  <c r="BA376" i="57"/>
  <c r="AZ376" i="57"/>
  <c r="AY376" i="57"/>
  <c r="AX376" i="57"/>
  <c r="AW376" i="57"/>
  <c r="AV376" i="57"/>
  <c r="AU376" i="57"/>
  <c r="AT376" i="57"/>
  <c r="AS376" i="57"/>
  <c r="AR376" i="57"/>
  <c r="AO376" i="57"/>
  <c r="CA376" i="57" s="1"/>
  <c r="CK375" i="57"/>
  <c r="CJ375" i="57"/>
  <c r="CI375" i="57"/>
  <c r="CH375" i="57"/>
  <c r="CG375" i="57"/>
  <c r="CF375" i="57"/>
  <c r="CE375" i="57"/>
  <c r="CD375" i="57"/>
  <c r="BY375" i="57"/>
  <c r="BX375" i="57"/>
  <c r="BW375" i="57"/>
  <c r="BV375" i="57"/>
  <c r="BU375" i="57"/>
  <c r="BT375" i="57"/>
  <c r="BS375" i="57"/>
  <c r="BR375" i="57"/>
  <c r="BQ375" i="57"/>
  <c r="BP375" i="57"/>
  <c r="BO375" i="57"/>
  <c r="BN375" i="57"/>
  <c r="BM375" i="57"/>
  <c r="BL375" i="57"/>
  <c r="BK375" i="57"/>
  <c r="BF375" i="57"/>
  <c r="BE375" i="57"/>
  <c r="BD375" i="57"/>
  <c r="BC375" i="57"/>
  <c r="BB375" i="57"/>
  <c r="BA375" i="57"/>
  <c r="AZ375" i="57"/>
  <c r="AY375" i="57"/>
  <c r="AX375" i="57"/>
  <c r="AW375" i="57"/>
  <c r="AV375" i="57"/>
  <c r="AU375" i="57"/>
  <c r="AT375" i="57"/>
  <c r="AS375" i="57"/>
  <c r="AR375" i="57"/>
  <c r="AQ375" i="57"/>
  <c r="CC375" i="57" s="1"/>
  <c r="AP375" i="57"/>
  <c r="CB375" i="57" s="1"/>
  <c r="AO375" i="57"/>
  <c r="AO374" i="57"/>
  <c r="CK373" i="57"/>
  <c r="CJ373" i="57"/>
  <c r="CI373" i="57"/>
  <c r="CH373" i="57"/>
  <c r="CG373" i="57"/>
  <c r="CF373" i="57"/>
  <c r="CE373" i="57"/>
  <c r="CD373" i="57"/>
  <c r="BY373" i="57"/>
  <c r="BX373" i="57"/>
  <c r="BW373" i="57"/>
  <c r="BV373" i="57"/>
  <c r="BU373" i="57"/>
  <c r="BT373" i="57"/>
  <c r="BS373" i="57"/>
  <c r="BR373" i="57"/>
  <c r="BQ373" i="57"/>
  <c r="BP373" i="57"/>
  <c r="BO373" i="57"/>
  <c r="BN373" i="57"/>
  <c r="BM373" i="57"/>
  <c r="BL373" i="57"/>
  <c r="BK373" i="57"/>
  <c r="BF373" i="57"/>
  <c r="BE373" i="57"/>
  <c r="BD373" i="57"/>
  <c r="BC373" i="57"/>
  <c r="BB373" i="57"/>
  <c r="BA373" i="57"/>
  <c r="AZ373" i="57"/>
  <c r="AY373" i="57"/>
  <c r="AX373" i="57"/>
  <c r="AW373" i="57"/>
  <c r="AV373" i="57"/>
  <c r="AU373" i="57"/>
  <c r="AT373" i="57"/>
  <c r="AS373" i="57"/>
  <c r="AR373" i="57"/>
  <c r="AO373" i="57"/>
  <c r="CA373" i="57" s="1"/>
  <c r="CK372" i="57"/>
  <c r="CJ372" i="57"/>
  <c r="CI372" i="57"/>
  <c r="CH372" i="57"/>
  <c r="CG372" i="57"/>
  <c r="CF372" i="57"/>
  <c r="CE372" i="57"/>
  <c r="CD372" i="57"/>
  <c r="BY372" i="57"/>
  <c r="BX372" i="57"/>
  <c r="BW372" i="57"/>
  <c r="BV372" i="57"/>
  <c r="BU372" i="57"/>
  <c r="BT372" i="57"/>
  <c r="BS372" i="57"/>
  <c r="BR372" i="57"/>
  <c r="BQ372" i="57"/>
  <c r="BP372" i="57"/>
  <c r="BO372" i="57"/>
  <c r="BN372" i="57"/>
  <c r="BM372" i="57"/>
  <c r="BL372" i="57"/>
  <c r="BK372" i="57"/>
  <c r="BF372" i="57"/>
  <c r="BE372" i="57"/>
  <c r="BD372" i="57"/>
  <c r="BC372" i="57"/>
  <c r="BB372" i="57"/>
  <c r="BA372" i="57"/>
  <c r="AZ372" i="57"/>
  <c r="AY372" i="57"/>
  <c r="AX372" i="57"/>
  <c r="AW372" i="57"/>
  <c r="AV372" i="57"/>
  <c r="AU372" i="57"/>
  <c r="AT372" i="57"/>
  <c r="AS372" i="57"/>
  <c r="AR372" i="57"/>
  <c r="AQ372" i="57"/>
  <c r="CC372" i="57" s="1"/>
  <c r="AP372" i="57"/>
  <c r="CB372" i="57" s="1"/>
  <c r="AO372" i="57"/>
  <c r="BH372" i="57" s="1"/>
  <c r="AO371" i="57"/>
  <c r="CA371" i="57" s="1"/>
  <c r="CK370" i="57"/>
  <c r="CJ370" i="57"/>
  <c r="CI370" i="57"/>
  <c r="CH370" i="57"/>
  <c r="CG370" i="57"/>
  <c r="CF370" i="57"/>
  <c r="CE370" i="57"/>
  <c r="CD370" i="57"/>
  <c r="BY370" i="57"/>
  <c r="BX370" i="57"/>
  <c r="BW370" i="57"/>
  <c r="BV370" i="57"/>
  <c r="BU370" i="57"/>
  <c r="BT370" i="57"/>
  <c r="BS370" i="57"/>
  <c r="BR370" i="57"/>
  <c r="BQ370" i="57"/>
  <c r="BP370" i="57"/>
  <c r="BO370" i="57"/>
  <c r="BN370" i="57"/>
  <c r="BM370" i="57"/>
  <c r="BL370" i="57"/>
  <c r="BK370" i="57"/>
  <c r="BF370" i="57"/>
  <c r="BE370" i="57"/>
  <c r="BD370" i="57"/>
  <c r="BC370" i="57"/>
  <c r="BB370" i="57"/>
  <c r="BA370" i="57"/>
  <c r="AZ370" i="57"/>
  <c r="AY370" i="57"/>
  <c r="AX370" i="57"/>
  <c r="AW370" i="57"/>
  <c r="AV370" i="57"/>
  <c r="AU370" i="57"/>
  <c r="AT370" i="57"/>
  <c r="AS370" i="57"/>
  <c r="AR370" i="57"/>
  <c r="AO370" i="57"/>
  <c r="CA370" i="57" s="1"/>
  <c r="CK369" i="57"/>
  <c r="CJ369" i="57"/>
  <c r="CI369" i="57"/>
  <c r="CH369" i="57"/>
  <c r="CG369" i="57"/>
  <c r="CF369" i="57"/>
  <c r="CE369" i="57"/>
  <c r="CD369" i="57"/>
  <c r="BY369" i="57"/>
  <c r="BX369" i="57"/>
  <c r="BW369" i="57"/>
  <c r="BV369" i="57"/>
  <c r="BU369" i="57"/>
  <c r="BT369" i="57"/>
  <c r="BS369" i="57"/>
  <c r="BR369" i="57"/>
  <c r="BQ369" i="57"/>
  <c r="BP369" i="57"/>
  <c r="BO369" i="57"/>
  <c r="BN369" i="57"/>
  <c r="BM369" i="57"/>
  <c r="BL369" i="57"/>
  <c r="BK369" i="57"/>
  <c r="BF369" i="57"/>
  <c r="BE369" i="57"/>
  <c r="BD369" i="57"/>
  <c r="BC369" i="57"/>
  <c r="BB369" i="57"/>
  <c r="BA369" i="57"/>
  <c r="AZ369" i="57"/>
  <c r="AY369" i="57"/>
  <c r="AX369" i="57"/>
  <c r="AW369" i="57"/>
  <c r="AV369" i="57"/>
  <c r="AU369" i="57"/>
  <c r="AT369" i="57"/>
  <c r="AS369" i="57"/>
  <c r="AR369" i="57"/>
  <c r="AQ369" i="57"/>
  <c r="CC369" i="57" s="1"/>
  <c r="AP369" i="57"/>
  <c r="BI369" i="57" s="1"/>
  <c r="AO369" i="57"/>
  <c r="AO368" i="57"/>
  <c r="CK367" i="57"/>
  <c r="CJ367" i="57"/>
  <c r="CI367" i="57"/>
  <c r="CH367" i="57"/>
  <c r="CG367" i="57"/>
  <c r="CF367" i="57"/>
  <c r="CE367" i="57"/>
  <c r="CD367" i="57"/>
  <c r="BY367" i="57"/>
  <c r="BX367" i="57"/>
  <c r="BW367" i="57"/>
  <c r="BV367" i="57"/>
  <c r="BU367" i="57"/>
  <c r="BT367" i="57"/>
  <c r="BS367" i="57"/>
  <c r="BR367" i="57"/>
  <c r="BQ367" i="57"/>
  <c r="BP367" i="57"/>
  <c r="BO367" i="57"/>
  <c r="BN367" i="57"/>
  <c r="BM367" i="57"/>
  <c r="BL367" i="57"/>
  <c r="BK367" i="57"/>
  <c r="BF367" i="57"/>
  <c r="BE367" i="57"/>
  <c r="BD367" i="57"/>
  <c r="BC367" i="57"/>
  <c r="BB367" i="57"/>
  <c r="BA367" i="57"/>
  <c r="AZ367" i="57"/>
  <c r="AY367" i="57"/>
  <c r="AX367" i="57"/>
  <c r="AW367" i="57"/>
  <c r="AV367" i="57"/>
  <c r="AU367" i="57"/>
  <c r="AT367" i="57"/>
  <c r="AS367" i="57"/>
  <c r="AR367" i="57"/>
  <c r="AO367" i="57"/>
  <c r="CA367" i="57" s="1"/>
  <c r="CK366" i="57"/>
  <c r="CJ366" i="57"/>
  <c r="CI366" i="57"/>
  <c r="CH366" i="57"/>
  <c r="CG366" i="57"/>
  <c r="CF366" i="57"/>
  <c r="CE366" i="57"/>
  <c r="CD366" i="57"/>
  <c r="BY366" i="57"/>
  <c r="BX366" i="57"/>
  <c r="BW366" i="57"/>
  <c r="BV366" i="57"/>
  <c r="BU366" i="57"/>
  <c r="BT366" i="57"/>
  <c r="BS366" i="57"/>
  <c r="BR366" i="57"/>
  <c r="BQ366" i="57"/>
  <c r="BP366" i="57"/>
  <c r="BO366" i="57"/>
  <c r="BN366" i="57"/>
  <c r="BM366" i="57"/>
  <c r="BL366" i="57"/>
  <c r="BK366" i="57"/>
  <c r="BF366" i="57"/>
  <c r="BE366" i="57"/>
  <c r="BD366" i="57"/>
  <c r="BC366" i="57"/>
  <c r="BB366" i="57"/>
  <c r="BA366" i="57"/>
  <c r="AZ366" i="57"/>
  <c r="AY366" i="57"/>
  <c r="AX366" i="57"/>
  <c r="AW366" i="57"/>
  <c r="AV366" i="57"/>
  <c r="AU366" i="57"/>
  <c r="AT366" i="57"/>
  <c r="AS366" i="57"/>
  <c r="AR366" i="57"/>
  <c r="AQ366" i="57"/>
  <c r="BJ366" i="57" s="1"/>
  <c r="AP366" i="57"/>
  <c r="AO366" i="57"/>
  <c r="CA366" i="57" s="1"/>
  <c r="AO365" i="57"/>
  <c r="CA365" i="57" s="1"/>
  <c r="CK364" i="57"/>
  <c r="CJ364" i="57"/>
  <c r="CI364" i="57"/>
  <c r="CH364" i="57"/>
  <c r="CG364" i="57"/>
  <c r="CF364" i="57"/>
  <c r="CE364" i="57"/>
  <c r="CD364" i="57"/>
  <c r="BY364" i="57"/>
  <c r="BX364" i="57"/>
  <c r="BW364" i="57"/>
  <c r="BV364" i="57"/>
  <c r="BU364" i="57"/>
  <c r="BT364" i="57"/>
  <c r="BS364" i="57"/>
  <c r="BR364" i="57"/>
  <c r="BQ364" i="57"/>
  <c r="BP364" i="57"/>
  <c r="BO364" i="57"/>
  <c r="BN364" i="57"/>
  <c r="BM364" i="57"/>
  <c r="BL364" i="57"/>
  <c r="BK364" i="57"/>
  <c r="BF364" i="57"/>
  <c r="BE364" i="57"/>
  <c r="BD364" i="57"/>
  <c r="BC364" i="57"/>
  <c r="BB364" i="57"/>
  <c r="BA364" i="57"/>
  <c r="AZ364" i="57"/>
  <c r="AY364" i="57"/>
  <c r="AX364" i="57"/>
  <c r="AW364" i="57"/>
  <c r="AV364" i="57"/>
  <c r="AU364" i="57"/>
  <c r="AT364" i="57"/>
  <c r="AS364" i="57"/>
  <c r="AR364" i="57"/>
  <c r="AO364" i="57"/>
  <c r="BH364" i="57" s="1"/>
  <c r="CK363" i="57"/>
  <c r="CJ363" i="57"/>
  <c r="CI363" i="57"/>
  <c r="CH363" i="57"/>
  <c r="CG363" i="57"/>
  <c r="CF363" i="57"/>
  <c r="CE363" i="57"/>
  <c r="CD363" i="57"/>
  <c r="BY363" i="57"/>
  <c r="BX363" i="57"/>
  <c r="BW363" i="57"/>
  <c r="BV363" i="57"/>
  <c r="BU363" i="57"/>
  <c r="BT363" i="57"/>
  <c r="BS363" i="57"/>
  <c r="BR363" i="57"/>
  <c r="BQ363" i="57"/>
  <c r="BP363" i="57"/>
  <c r="BO363" i="57"/>
  <c r="BN363" i="57"/>
  <c r="BM363" i="57"/>
  <c r="BL363" i="57"/>
  <c r="BK363" i="57"/>
  <c r="BF363" i="57"/>
  <c r="BE363" i="57"/>
  <c r="BD363" i="57"/>
  <c r="BC363" i="57"/>
  <c r="BB363" i="57"/>
  <c r="BA363" i="57"/>
  <c r="AZ363" i="57"/>
  <c r="AY363" i="57"/>
  <c r="AX363" i="57"/>
  <c r="AW363" i="57"/>
  <c r="AV363" i="57"/>
  <c r="AU363" i="57"/>
  <c r="AT363" i="57"/>
  <c r="AS363" i="57"/>
  <c r="AR363" i="57"/>
  <c r="AQ363" i="57"/>
  <c r="AP363" i="57"/>
  <c r="CB363" i="57" s="1"/>
  <c r="AO363" i="57"/>
  <c r="CA363" i="57" s="1"/>
  <c r="CA362" i="57"/>
  <c r="AO362" i="57"/>
  <c r="BH362" i="57" s="1"/>
  <c r="CK361" i="57"/>
  <c r="CJ361" i="57"/>
  <c r="CI361" i="57"/>
  <c r="CH361" i="57"/>
  <c r="CG361" i="57"/>
  <c r="CF361" i="57"/>
  <c r="CE361" i="57"/>
  <c r="CD361" i="57"/>
  <c r="BY361" i="57"/>
  <c r="BX361" i="57"/>
  <c r="BW361" i="57"/>
  <c r="BV361" i="57"/>
  <c r="BU361" i="57"/>
  <c r="BT361" i="57"/>
  <c r="BS361" i="57"/>
  <c r="BR361" i="57"/>
  <c r="BQ361" i="57"/>
  <c r="BP361" i="57"/>
  <c r="BO361" i="57"/>
  <c r="BN361" i="57"/>
  <c r="BM361" i="57"/>
  <c r="BL361" i="57"/>
  <c r="BK361" i="57"/>
  <c r="BF361" i="57"/>
  <c r="BE361" i="57"/>
  <c r="BD361" i="57"/>
  <c r="BC361" i="57"/>
  <c r="BB361" i="57"/>
  <c r="BA361" i="57"/>
  <c r="AZ361" i="57"/>
  <c r="AY361" i="57"/>
  <c r="AX361" i="57"/>
  <c r="AW361" i="57"/>
  <c r="AV361" i="57"/>
  <c r="AU361" i="57"/>
  <c r="AT361" i="57"/>
  <c r="AS361" i="57"/>
  <c r="AR361" i="57"/>
  <c r="AO361" i="57"/>
  <c r="CK360" i="57"/>
  <c r="CJ360" i="57"/>
  <c r="CI360" i="57"/>
  <c r="CH360" i="57"/>
  <c r="CG360" i="57"/>
  <c r="CF360" i="57"/>
  <c r="CE360" i="57"/>
  <c r="CD360" i="57"/>
  <c r="BY360" i="57"/>
  <c r="BX360" i="57"/>
  <c r="BW360" i="57"/>
  <c r="BV360" i="57"/>
  <c r="BU360" i="57"/>
  <c r="BT360" i="57"/>
  <c r="BS360" i="57"/>
  <c r="BR360" i="57"/>
  <c r="BQ360" i="57"/>
  <c r="BP360" i="57"/>
  <c r="BO360" i="57"/>
  <c r="BN360" i="57"/>
  <c r="BM360" i="57"/>
  <c r="BL360" i="57"/>
  <c r="BK360" i="57"/>
  <c r="BF360" i="57"/>
  <c r="BE360" i="57"/>
  <c r="BD360" i="57"/>
  <c r="BC360" i="57"/>
  <c r="BB360" i="57"/>
  <c r="BA360" i="57"/>
  <c r="AZ360" i="57"/>
  <c r="AY360" i="57"/>
  <c r="AX360" i="57"/>
  <c r="AW360" i="57"/>
  <c r="AV360" i="57"/>
  <c r="AU360" i="57"/>
  <c r="AT360" i="57"/>
  <c r="AS360" i="57"/>
  <c r="AR360" i="57"/>
  <c r="AQ360" i="57"/>
  <c r="CC360" i="57" s="1"/>
  <c r="AP360" i="57"/>
  <c r="CB360" i="57" s="1"/>
  <c r="AO360" i="57"/>
  <c r="BH360" i="57" s="1"/>
  <c r="AO359" i="57"/>
  <c r="CA359" i="57" s="1"/>
  <c r="CK358" i="57"/>
  <c r="CJ358" i="57"/>
  <c r="CI358" i="57"/>
  <c r="CH358" i="57"/>
  <c r="CG358" i="57"/>
  <c r="CF358" i="57"/>
  <c r="CE358" i="57"/>
  <c r="CD358" i="57"/>
  <c r="BY358" i="57"/>
  <c r="BX358" i="57"/>
  <c r="BW358" i="57"/>
  <c r="BV358" i="57"/>
  <c r="BU358" i="57"/>
  <c r="BT358" i="57"/>
  <c r="BS358" i="57"/>
  <c r="BR358" i="57"/>
  <c r="BQ358" i="57"/>
  <c r="BP358" i="57"/>
  <c r="BO358" i="57"/>
  <c r="BN358" i="57"/>
  <c r="BM358" i="57"/>
  <c r="BL358" i="57"/>
  <c r="BK358" i="57"/>
  <c r="BF358" i="57"/>
  <c r="BE358" i="57"/>
  <c r="BD358" i="57"/>
  <c r="BC358" i="57"/>
  <c r="BB358" i="57"/>
  <c r="BA358" i="57"/>
  <c r="AZ358" i="57"/>
  <c r="AY358" i="57"/>
  <c r="AX358" i="57"/>
  <c r="AW358" i="57"/>
  <c r="AV358" i="57"/>
  <c r="AU358" i="57"/>
  <c r="AT358" i="57"/>
  <c r="AS358" i="57"/>
  <c r="AR358" i="57"/>
  <c r="AO358" i="57"/>
  <c r="CA358" i="57" s="1"/>
  <c r="CK357" i="57"/>
  <c r="CJ357" i="57"/>
  <c r="CI357" i="57"/>
  <c r="CH357" i="57"/>
  <c r="CG357" i="57"/>
  <c r="CF357" i="57"/>
  <c r="CE357" i="57"/>
  <c r="CD357" i="57"/>
  <c r="BY357" i="57"/>
  <c r="BX357" i="57"/>
  <c r="BW357" i="57"/>
  <c r="BV357" i="57"/>
  <c r="BU357" i="57"/>
  <c r="BT357" i="57"/>
  <c r="BS357" i="57"/>
  <c r="BR357" i="57"/>
  <c r="BQ357" i="57"/>
  <c r="BP357" i="57"/>
  <c r="BO357" i="57"/>
  <c r="BN357" i="57"/>
  <c r="BM357" i="57"/>
  <c r="BL357" i="57"/>
  <c r="BK357" i="57"/>
  <c r="BF357" i="57"/>
  <c r="BE357" i="57"/>
  <c r="BD357" i="57"/>
  <c r="BC357" i="57"/>
  <c r="BB357" i="57"/>
  <c r="BA357" i="57"/>
  <c r="AZ357" i="57"/>
  <c r="AY357" i="57"/>
  <c r="AX357" i="57"/>
  <c r="AW357" i="57"/>
  <c r="AV357" i="57"/>
  <c r="AU357" i="57"/>
  <c r="AT357" i="57"/>
  <c r="AS357" i="57"/>
  <c r="AR357" i="57"/>
  <c r="AQ357" i="57"/>
  <c r="CC357" i="57" s="1"/>
  <c r="AP357" i="57"/>
  <c r="BI357" i="57" s="1"/>
  <c r="AO357" i="57"/>
  <c r="CA357" i="57" s="1"/>
  <c r="AO356" i="57"/>
  <c r="BH356" i="57" s="1"/>
  <c r="CK355" i="57"/>
  <c r="CJ355" i="57"/>
  <c r="CI355" i="57"/>
  <c r="CH355" i="57"/>
  <c r="CG355" i="57"/>
  <c r="CF355" i="57"/>
  <c r="CE355" i="57"/>
  <c r="CD355" i="57"/>
  <c r="BY355" i="57"/>
  <c r="BX355" i="57"/>
  <c r="BW355" i="57"/>
  <c r="BV355" i="57"/>
  <c r="BU355" i="57"/>
  <c r="BT355" i="57"/>
  <c r="BS355" i="57"/>
  <c r="BR355" i="57"/>
  <c r="BQ355" i="57"/>
  <c r="BP355" i="57"/>
  <c r="BO355" i="57"/>
  <c r="BN355" i="57"/>
  <c r="BM355" i="57"/>
  <c r="BL355" i="57"/>
  <c r="BK355" i="57"/>
  <c r="BF355" i="57"/>
  <c r="BE355" i="57"/>
  <c r="BD355" i="57"/>
  <c r="BC355" i="57"/>
  <c r="BB355" i="57"/>
  <c r="BA355" i="57"/>
  <c r="AZ355" i="57"/>
  <c r="AY355" i="57"/>
  <c r="AX355" i="57"/>
  <c r="AW355" i="57"/>
  <c r="AV355" i="57"/>
  <c r="AU355" i="57"/>
  <c r="AT355" i="57"/>
  <c r="AS355" i="57"/>
  <c r="AR355" i="57"/>
  <c r="AO355" i="57"/>
  <c r="CA355" i="57" s="1"/>
  <c r="CK354" i="57"/>
  <c r="CJ354" i="57"/>
  <c r="CI354" i="57"/>
  <c r="CH354" i="57"/>
  <c r="CG354" i="57"/>
  <c r="CF354" i="57"/>
  <c r="CE354" i="57"/>
  <c r="CD354" i="57"/>
  <c r="BY354" i="57"/>
  <c r="BX354" i="57"/>
  <c r="BW354" i="57"/>
  <c r="BV354" i="57"/>
  <c r="BU354" i="57"/>
  <c r="BT354" i="57"/>
  <c r="BS354" i="57"/>
  <c r="BR354" i="57"/>
  <c r="BQ354" i="57"/>
  <c r="BP354" i="57"/>
  <c r="BO354" i="57"/>
  <c r="BN354" i="57"/>
  <c r="BM354" i="57"/>
  <c r="BL354" i="57"/>
  <c r="BK354" i="57"/>
  <c r="BF354" i="57"/>
  <c r="BE354" i="57"/>
  <c r="BD354" i="57"/>
  <c r="BC354" i="57"/>
  <c r="BB354" i="57"/>
  <c r="BA354" i="57"/>
  <c r="AZ354" i="57"/>
  <c r="AY354" i="57"/>
  <c r="AX354" i="57"/>
  <c r="AW354" i="57"/>
  <c r="AV354" i="57"/>
  <c r="AU354" i="57"/>
  <c r="AT354" i="57"/>
  <c r="AS354" i="57"/>
  <c r="AR354" i="57"/>
  <c r="AQ354" i="57"/>
  <c r="BJ354" i="57" s="1"/>
  <c r="AP354" i="57"/>
  <c r="AO354" i="57"/>
  <c r="AO353" i="57"/>
  <c r="CK352" i="57"/>
  <c r="CJ352" i="57"/>
  <c r="CI352" i="57"/>
  <c r="CH352" i="57"/>
  <c r="CG352" i="57"/>
  <c r="CF352" i="57"/>
  <c r="CE352" i="57"/>
  <c r="CD352" i="57"/>
  <c r="BY352" i="57"/>
  <c r="BX352" i="57"/>
  <c r="BW352" i="57"/>
  <c r="BV352" i="57"/>
  <c r="BU352" i="57"/>
  <c r="BT352" i="57"/>
  <c r="BS352" i="57"/>
  <c r="BR352" i="57"/>
  <c r="BQ352" i="57"/>
  <c r="BP352" i="57"/>
  <c r="BO352" i="57"/>
  <c r="BN352" i="57"/>
  <c r="BM352" i="57"/>
  <c r="BL352" i="57"/>
  <c r="BK352" i="57"/>
  <c r="BF352" i="57"/>
  <c r="BE352" i="57"/>
  <c r="BD352" i="57"/>
  <c r="BC352" i="57"/>
  <c r="BB352" i="57"/>
  <c r="BA352" i="57"/>
  <c r="AZ352" i="57"/>
  <c r="AY352" i="57"/>
  <c r="AX352" i="57"/>
  <c r="AW352" i="57"/>
  <c r="AV352" i="57"/>
  <c r="AU352" i="57"/>
  <c r="AT352" i="57"/>
  <c r="AS352" i="57"/>
  <c r="AR352" i="57"/>
  <c r="AO352" i="57"/>
  <c r="CA352" i="57" s="1"/>
  <c r="CK351" i="57"/>
  <c r="CJ351" i="57"/>
  <c r="CI351" i="57"/>
  <c r="CH351" i="57"/>
  <c r="CG351" i="57"/>
  <c r="CF351" i="57"/>
  <c r="CE351" i="57"/>
  <c r="CD351" i="57"/>
  <c r="BY351" i="57"/>
  <c r="BX351" i="57"/>
  <c r="BW351" i="57"/>
  <c r="BV351" i="57"/>
  <c r="BU351" i="57"/>
  <c r="BT351" i="57"/>
  <c r="BS351" i="57"/>
  <c r="BR351" i="57"/>
  <c r="BQ351" i="57"/>
  <c r="BP351" i="57"/>
  <c r="BO351" i="57"/>
  <c r="BN351" i="57"/>
  <c r="BM351" i="57"/>
  <c r="BL351" i="57"/>
  <c r="BK351" i="57"/>
  <c r="BF351" i="57"/>
  <c r="BE351" i="57"/>
  <c r="BD351" i="57"/>
  <c r="BC351" i="57"/>
  <c r="BB351" i="57"/>
  <c r="BA351" i="57"/>
  <c r="AZ351" i="57"/>
  <c r="AY351" i="57"/>
  <c r="AX351" i="57"/>
  <c r="AW351" i="57"/>
  <c r="AV351" i="57"/>
  <c r="AU351" i="57"/>
  <c r="AT351" i="57"/>
  <c r="AS351" i="57"/>
  <c r="AR351" i="57"/>
  <c r="AQ351" i="57"/>
  <c r="CC351" i="57" s="1"/>
  <c r="AP351" i="57"/>
  <c r="CB351" i="57" s="1"/>
  <c r="AO351" i="57"/>
  <c r="CA351" i="57" s="1"/>
  <c r="AO350" i="57"/>
  <c r="CA350" i="57" s="1"/>
  <c r="CK349" i="57"/>
  <c r="CJ349" i="57"/>
  <c r="CI349" i="57"/>
  <c r="CH349" i="57"/>
  <c r="CG349" i="57"/>
  <c r="CF349" i="57"/>
  <c r="CE349" i="57"/>
  <c r="CD349" i="57"/>
  <c r="BY349" i="57"/>
  <c r="BX349" i="57"/>
  <c r="BW349" i="57"/>
  <c r="BV349" i="57"/>
  <c r="BU349" i="57"/>
  <c r="BT349" i="57"/>
  <c r="BS349" i="57"/>
  <c r="BR349" i="57"/>
  <c r="BQ349" i="57"/>
  <c r="BP349" i="57"/>
  <c r="BO349" i="57"/>
  <c r="BN349" i="57"/>
  <c r="BM349" i="57"/>
  <c r="BL349" i="57"/>
  <c r="BK349" i="57"/>
  <c r="BF349" i="57"/>
  <c r="BE349" i="57"/>
  <c r="BD349" i="57"/>
  <c r="BC349" i="57"/>
  <c r="BB349" i="57"/>
  <c r="BA349" i="57"/>
  <c r="AZ349" i="57"/>
  <c r="AY349" i="57"/>
  <c r="AX349" i="57"/>
  <c r="AW349" i="57"/>
  <c r="AV349" i="57"/>
  <c r="AU349" i="57"/>
  <c r="AT349" i="57"/>
  <c r="AS349" i="57"/>
  <c r="AR349" i="57"/>
  <c r="AO349" i="57"/>
  <c r="CA349" i="57" s="1"/>
  <c r="CK348" i="57"/>
  <c r="CJ348" i="57"/>
  <c r="CI348" i="57"/>
  <c r="CH348" i="57"/>
  <c r="CG348" i="57"/>
  <c r="CF348" i="57"/>
  <c r="CE348" i="57"/>
  <c r="CD348" i="57"/>
  <c r="BY348" i="57"/>
  <c r="BX348" i="57"/>
  <c r="BW348" i="57"/>
  <c r="BV348" i="57"/>
  <c r="BU348" i="57"/>
  <c r="BT348" i="57"/>
  <c r="BS348" i="57"/>
  <c r="BR348" i="57"/>
  <c r="BQ348" i="57"/>
  <c r="BP348" i="57"/>
  <c r="BO348" i="57"/>
  <c r="BN348" i="57"/>
  <c r="BM348" i="57"/>
  <c r="BL348" i="57"/>
  <c r="BK348" i="57"/>
  <c r="BF348" i="57"/>
  <c r="BE348" i="57"/>
  <c r="BD348" i="57"/>
  <c r="BC348" i="57"/>
  <c r="BB348" i="57"/>
  <c r="BA348" i="57"/>
  <c r="AZ348" i="57"/>
  <c r="AY348" i="57"/>
  <c r="AX348" i="57"/>
  <c r="AW348" i="57"/>
  <c r="AV348" i="57"/>
  <c r="AU348" i="57"/>
  <c r="AT348" i="57"/>
  <c r="AS348" i="57"/>
  <c r="AR348" i="57"/>
  <c r="AQ348" i="57"/>
  <c r="CC348" i="57" s="1"/>
  <c r="AP348" i="57"/>
  <c r="CB348" i="57" s="1"/>
  <c r="AO348" i="57"/>
  <c r="BH348" i="57" s="1"/>
  <c r="AO347" i="57"/>
  <c r="CK346" i="57"/>
  <c r="CJ346" i="57"/>
  <c r="CI346" i="57"/>
  <c r="CH346" i="57"/>
  <c r="CG346" i="57"/>
  <c r="CF346" i="57"/>
  <c r="CE346" i="57"/>
  <c r="CD346" i="57"/>
  <c r="BY346" i="57"/>
  <c r="BX346" i="57"/>
  <c r="BW346" i="57"/>
  <c r="BV346" i="57"/>
  <c r="BU346" i="57"/>
  <c r="BT346" i="57"/>
  <c r="BS346" i="57"/>
  <c r="BR346" i="57"/>
  <c r="BQ346" i="57"/>
  <c r="BP346" i="57"/>
  <c r="BO346" i="57"/>
  <c r="BN346" i="57"/>
  <c r="BM346" i="57"/>
  <c r="BL346" i="57"/>
  <c r="BK346" i="57"/>
  <c r="BF346" i="57"/>
  <c r="BE346" i="57"/>
  <c r="BD346" i="57"/>
  <c r="BC346" i="57"/>
  <c r="BB346" i="57"/>
  <c r="BA346" i="57"/>
  <c r="AZ346" i="57"/>
  <c r="AY346" i="57"/>
  <c r="AX346" i="57"/>
  <c r="AW346" i="57"/>
  <c r="AV346" i="57"/>
  <c r="AU346" i="57"/>
  <c r="AT346" i="57"/>
  <c r="AS346" i="57"/>
  <c r="AR346" i="57"/>
  <c r="AO346" i="57"/>
  <c r="CK345" i="57"/>
  <c r="CJ345" i="57"/>
  <c r="CI345" i="57"/>
  <c r="CH345" i="57"/>
  <c r="CG345" i="57"/>
  <c r="CF345" i="57"/>
  <c r="CE345" i="57"/>
  <c r="CD345" i="57"/>
  <c r="BY345" i="57"/>
  <c r="BX345" i="57"/>
  <c r="BW345" i="57"/>
  <c r="BV345" i="57"/>
  <c r="BU345" i="57"/>
  <c r="BT345" i="57"/>
  <c r="BS345" i="57"/>
  <c r="BR345" i="57"/>
  <c r="BQ345" i="57"/>
  <c r="BP345" i="57"/>
  <c r="BO345" i="57"/>
  <c r="BN345" i="57"/>
  <c r="BM345" i="57"/>
  <c r="BL345" i="57"/>
  <c r="BK345" i="57"/>
  <c r="BF345" i="57"/>
  <c r="BE345" i="57"/>
  <c r="BD345" i="57"/>
  <c r="BC345" i="57"/>
  <c r="BB345" i="57"/>
  <c r="BA345" i="57"/>
  <c r="AZ345" i="57"/>
  <c r="AY345" i="57"/>
  <c r="AX345" i="57"/>
  <c r="AW345" i="57"/>
  <c r="AV345" i="57"/>
  <c r="AU345" i="57"/>
  <c r="AT345" i="57"/>
  <c r="AS345" i="57"/>
  <c r="AR345" i="57"/>
  <c r="AQ345" i="57"/>
  <c r="CC345" i="57" s="1"/>
  <c r="AP345" i="57"/>
  <c r="CB345" i="57" s="1"/>
  <c r="AO345" i="57"/>
  <c r="AO344" i="57"/>
  <c r="CA344" i="57" s="1"/>
  <c r="CK343" i="57"/>
  <c r="CJ343" i="57"/>
  <c r="CI343" i="57"/>
  <c r="CH343" i="57"/>
  <c r="CG343" i="57"/>
  <c r="CF343" i="57"/>
  <c r="CE343" i="57"/>
  <c r="CD343" i="57"/>
  <c r="BY343" i="57"/>
  <c r="BX343" i="57"/>
  <c r="BW343" i="57"/>
  <c r="BV343" i="57"/>
  <c r="BU343" i="57"/>
  <c r="BT343" i="57"/>
  <c r="BS343" i="57"/>
  <c r="BR343" i="57"/>
  <c r="BQ343" i="57"/>
  <c r="BP343" i="57"/>
  <c r="BO343" i="57"/>
  <c r="BN343" i="57"/>
  <c r="BM343" i="57"/>
  <c r="BL343" i="57"/>
  <c r="BK343" i="57"/>
  <c r="BF343" i="57"/>
  <c r="BE343" i="57"/>
  <c r="BD343" i="57"/>
  <c r="BC343" i="57"/>
  <c r="BB343" i="57"/>
  <c r="BA343" i="57"/>
  <c r="AZ343" i="57"/>
  <c r="AY343" i="57"/>
  <c r="AX343" i="57"/>
  <c r="AW343" i="57"/>
  <c r="AV343" i="57"/>
  <c r="AU343" i="57"/>
  <c r="AT343" i="57"/>
  <c r="AS343" i="57"/>
  <c r="AR343" i="57"/>
  <c r="AO343" i="57"/>
  <c r="CA343" i="57" s="1"/>
  <c r="CK342" i="57"/>
  <c r="CJ342" i="57"/>
  <c r="CI342" i="57"/>
  <c r="CH342" i="57"/>
  <c r="CG342" i="57"/>
  <c r="CF342" i="57"/>
  <c r="CE342" i="57"/>
  <c r="CD342" i="57"/>
  <c r="BY342" i="57"/>
  <c r="BX342" i="57"/>
  <c r="BW342" i="57"/>
  <c r="BV342" i="57"/>
  <c r="BU342" i="57"/>
  <c r="BT342" i="57"/>
  <c r="BS342" i="57"/>
  <c r="BR342" i="57"/>
  <c r="BQ342" i="57"/>
  <c r="BP342" i="57"/>
  <c r="BO342" i="57"/>
  <c r="BN342" i="57"/>
  <c r="BM342" i="57"/>
  <c r="BL342" i="57"/>
  <c r="BK342" i="57"/>
  <c r="BF342" i="57"/>
  <c r="BE342" i="57"/>
  <c r="BD342" i="57"/>
  <c r="BC342" i="57"/>
  <c r="BB342" i="57"/>
  <c r="BA342" i="57"/>
  <c r="AZ342" i="57"/>
  <c r="AY342" i="57"/>
  <c r="AX342" i="57"/>
  <c r="AW342" i="57"/>
  <c r="AV342" i="57"/>
  <c r="AU342" i="57"/>
  <c r="AT342" i="57"/>
  <c r="AS342" i="57"/>
  <c r="AR342" i="57"/>
  <c r="AQ342" i="57"/>
  <c r="BJ342" i="57" s="1"/>
  <c r="AP342" i="57"/>
  <c r="CB342" i="57" s="1"/>
  <c r="AO342" i="57"/>
  <c r="AO341" i="57"/>
  <c r="CA341" i="57" s="1"/>
  <c r="CK340" i="57"/>
  <c r="CJ340" i="57"/>
  <c r="CI340" i="57"/>
  <c r="CH340" i="57"/>
  <c r="CG340" i="57"/>
  <c r="CF340" i="57"/>
  <c r="CE340" i="57"/>
  <c r="CD340" i="57"/>
  <c r="BY340" i="57"/>
  <c r="BX340" i="57"/>
  <c r="BW340" i="57"/>
  <c r="BV340" i="57"/>
  <c r="BU340" i="57"/>
  <c r="BT340" i="57"/>
  <c r="BS340" i="57"/>
  <c r="BR340" i="57"/>
  <c r="BQ340" i="57"/>
  <c r="BP340" i="57"/>
  <c r="BO340" i="57"/>
  <c r="BN340" i="57"/>
  <c r="BM340" i="57"/>
  <c r="BL340" i="57"/>
  <c r="BK340" i="57"/>
  <c r="BF340" i="57"/>
  <c r="BE340" i="57"/>
  <c r="BD340" i="57"/>
  <c r="BC340" i="57"/>
  <c r="BB340" i="57"/>
  <c r="BA340" i="57"/>
  <c r="AZ340" i="57"/>
  <c r="AY340" i="57"/>
  <c r="AX340" i="57"/>
  <c r="AW340" i="57"/>
  <c r="AV340" i="57"/>
  <c r="AU340" i="57"/>
  <c r="AT340" i="57"/>
  <c r="AS340" i="57"/>
  <c r="AR340" i="57"/>
  <c r="AO340" i="57"/>
  <c r="BH340" i="57" s="1"/>
  <c r="CK339" i="57"/>
  <c r="CJ339" i="57"/>
  <c r="CI339" i="57"/>
  <c r="CH339" i="57"/>
  <c r="CG339" i="57"/>
  <c r="CF339" i="57"/>
  <c r="CE339" i="57"/>
  <c r="CD339" i="57"/>
  <c r="BY339" i="57"/>
  <c r="BX339" i="57"/>
  <c r="BW339" i="57"/>
  <c r="BV339" i="57"/>
  <c r="BU339" i="57"/>
  <c r="BT339" i="57"/>
  <c r="BS339" i="57"/>
  <c r="BR339" i="57"/>
  <c r="BQ339" i="57"/>
  <c r="BP339" i="57"/>
  <c r="BO339" i="57"/>
  <c r="BN339" i="57"/>
  <c r="BM339" i="57"/>
  <c r="BL339" i="57"/>
  <c r="BK339" i="57"/>
  <c r="BF339" i="57"/>
  <c r="BE339" i="57"/>
  <c r="BD339" i="57"/>
  <c r="BC339" i="57"/>
  <c r="BB339" i="57"/>
  <c r="BA339" i="57"/>
  <c r="AZ339" i="57"/>
  <c r="AY339" i="57"/>
  <c r="AX339" i="57"/>
  <c r="AW339" i="57"/>
  <c r="AV339" i="57"/>
  <c r="AU339" i="57"/>
  <c r="AT339" i="57"/>
  <c r="AS339" i="57"/>
  <c r="AR339" i="57"/>
  <c r="AQ339" i="57"/>
  <c r="CC339" i="57" s="1"/>
  <c r="AP339" i="57"/>
  <c r="BI339" i="57" s="1"/>
  <c r="AO339" i="57"/>
  <c r="CA339" i="57" s="1"/>
  <c r="AO338" i="57"/>
  <c r="CA338" i="57" s="1"/>
  <c r="CK337" i="57"/>
  <c r="CJ337" i="57"/>
  <c r="CI337" i="57"/>
  <c r="CH337" i="57"/>
  <c r="CG337" i="57"/>
  <c r="CF337" i="57"/>
  <c r="CE337" i="57"/>
  <c r="CD337" i="57"/>
  <c r="BY337" i="57"/>
  <c r="BX337" i="57"/>
  <c r="BW337" i="57"/>
  <c r="BV337" i="57"/>
  <c r="BU337" i="57"/>
  <c r="BT337" i="57"/>
  <c r="BS337" i="57"/>
  <c r="BR337" i="57"/>
  <c r="BQ337" i="57"/>
  <c r="BP337" i="57"/>
  <c r="BO337" i="57"/>
  <c r="BN337" i="57"/>
  <c r="BM337" i="57"/>
  <c r="BL337" i="57"/>
  <c r="BK337" i="57"/>
  <c r="BF337" i="57"/>
  <c r="BE337" i="57"/>
  <c r="BD337" i="57"/>
  <c r="BC337" i="57"/>
  <c r="BB337" i="57"/>
  <c r="BA337" i="57"/>
  <c r="AZ337" i="57"/>
  <c r="AY337" i="57"/>
  <c r="AX337" i="57"/>
  <c r="AW337" i="57"/>
  <c r="AV337" i="57"/>
  <c r="AU337" i="57"/>
  <c r="AT337" i="57"/>
  <c r="AS337" i="57"/>
  <c r="AR337" i="57"/>
  <c r="AO337" i="57"/>
  <c r="CA337" i="57" s="1"/>
  <c r="CK336" i="57"/>
  <c r="CJ336" i="57"/>
  <c r="CI336" i="57"/>
  <c r="CH336" i="57"/>
  <c r="CG336" i="57"/>
  <c r="CF336" i="57"/>
  <c r="CE336" i="57"/>
  <c r="CD336" i="57"/>
  <c r="BY336" i="57"/>
  <c r="BX336" i="57"/>
  <c r="BW336" i="57"/>
  <c r="BV336" i="57"/>
  <c r="BU336" i="57"/>
  <c r="BT336" i="57"/>
  <c r="BS336" i="57"/>
  <c r="BR336" i="57"/>
  <c r="BQ336" i="57"/>
  <c r="BP336" i="57"/>
  <c r="BO336" i="57"/>
  <c r="BN336" i="57"/>
  <c r="BM336" i="57"/>
  <c r="BL336" i="57"/>
  <c r="BK336" i="57"/>
  <c r="BF336" i="57"/>
  <c r="BE336" i="57"/>
  <c r="BD336" i="57"/>
  <c r="BC336" i="57"/>
  <c r="BB336" i="57"/>
  <c r="BA336" i="57"/>
  <c r="AZ336" i="57"/>
  <c r="AY336" i="57"/>
  <c r="AX336" i="57"/>
  <c r="AW336" i="57"/>
  <c r="AV336" i="57"/>
  <c r="AU336" i="57"/>
  <c r="AT336" i="57"/>
  <c r="AS336" i="57"/>
  <c r="AR336" i="57"/>
  <c r="AQ336" i="57"/>
  <c r="CC336" i="57" s="1"/>
  <c r="AP336" i="57"/>
  <c r="CB336" i="57" s="1"/>
  <c r="AO336" i="57"/>
  <c r="AO335" i="57"/>
  <c r="CA335" i="57" s="1"/>
  <c r="CK334" i="57"/>
  <c r="CJ334" i="57"/>
  <c r="CI334" i="57"/>
  <c r="CH334" i="57"/>
  <c r="CG334" i="57"/>
  <c r="CF334" i="57"/>
  <c r="CE334" i="57"/>
  <c r="CD334" i="57"/>
  <c r="BY334" i="57"/>
  <c r="BX334" i="57"/>
  <c r="BW334" i="57"/>
  <c r="BV334" i="57"/>
  <c r="BU334" i="57"/>
  <c r="BT334" i="57"/>
  <c r="BS334" i="57"/>
  <c r="BR334" i="57"/>
  <c r="BQ334" i="57"/>
  <c r="BP334" i="57"/>
  <c r="BO334" i="57"/>
  <c r="BN334" i="57"/>
  <c r="BM334" i="57"/>
  <c r="BL334" i="57"/>
  <c r="BK334" i="57"/>
  <c r="BF334" i="57"/>
  <c r="BE334" i="57"/>
  <c r="BD334" i="57"/>
  <c r="BC334" i="57"/>
  <c r="BB334" i="57"/>
  <c r="BA334" i="57"/>
  <c r="AZ334" i="57"/>
  <c r="AY334" i="57"/>
  <c r="AX334" i="57"/>
  <c r="AW334" i="57"/>
  <c r="AV334" i="57"/>
  <c r="AU334" i="57"/>
  <c r="AT334" i="57"/>
  <c r="AS334" i="57"/>
  <c r="AR334" i="57"/>
  <c r="AO334" i="57"/>
  <c r="CA334" i="57" s="1"/>
  <c r="CK333" i="57"/>
  <c r="CJ333" i="57"/>
  <c r="CI333" i="57"/>
  <c r="CH333" i="57"/>
  <c r="CG333" i="57"/>
  <c r="CF333" i="57"/>
  <c r="CE333" i="57"/>
  <c r="CD333" i="57"/>
  <c r="BY333" i="57"/>
  <c r="BX333" i="57"/>
  <c r="BW333" i="57"/>
  <c r="BV333" i="57"/>
  <c r="BU333" i="57"/>
  <c r="BT333" i="57"/>
  <c r="BS333" i="57"/>
  <c r="BR333" i="57"/>
  <c r="BQ333" i="57"/>
  <c r="BP333" i="57"/>
  <c r="BO333" i="57"/>
  <c r="BN333" i="57"/>
  <c r="BM333" i="57"/>
  <c r="BL333" i="57"/>
  <c r="BK333" i="57"/>
  <c r="BF333" i="57"/>
  <c r="BE333" i="57"/>
  <c r="BD333" i="57"/>
  <c r="BC333" i="57"/>
  <c r="BB333" i="57"/>
  <c r="BA333" i="57"/>
  <c r="AZ333" i="57"/>
  <c r="AY333" i="57"/>
  <c r="AX333" i="57"/>
  <c r="AW333" i="57"/>
  <c r="AV333" i="57"/>
  <c r="AU333" i="57"/>
  <c r="AT333" i="57"/>
  <c r="AS333" i="57"/>
  <c r="AR333" i="57"/>
  <c r="AQ333" i="57"/>
  <c r="CC333" i="57" s="1"/>
  <c r="AP333" i="57"/>
  <c r="CB333" i="57" s="1"/>
  <c r="AO333" i="57"/>
  <c r="AO332" i="57"/>
  <c r="BH332" i="57" s="1"/>
  <c r="CK331" i="57"/>
  <c r="CJ331" i="57"/>
  <c r="CI331" i="57"/>
  <c r="CH331" i="57"/>
  <c r="CG331" i="57"/>
  <c r="CF331" i="57"/>
  <c r="CE331" i="57"/>
  <c r="CD331" i="57"/>
  <c r="BY331" i="57"/>
  <c r="BX331" i="57"/>
  <c r="BW331" i="57"/>
  <c r="BV331" i="57"/>
  <c r="BU331" i="57"/>
  <c r="BT331" i="57"/>
  <c r="BS331" i="57"/>
  <c r="BR331" i="57"/>
  <c r="BQ331" i="57"/>
  <c r="BP331" i="57"/>
  <c r="BO331" i="57"/>
  <c r="BN331" i="57"/>
  <c r="BM331" i="57"/>
  <c r="BL331" i="57"/>
  <c r="BK331" i="57"/>
  <c r="BF331" i="57"/>
  <c r="BE331" i="57"/>
  <c r="BD331" i="57"/>
  <c r="BC331" i="57"/>
  <c r="BB331" i="57"/>
  <c r="BA331" i="57"/>
  <c r="AZ331" i="57"/>
  <c r="AY331" i="57"/>
  <c r="AX331" i="57"/>
  <c r="AW331" i="57"/>
  <c r="AV331" i="57"/>
  <c r="AU331" i="57"/>
  <c r="AT331" i="57"/>
  <c r="AS331" i="57"/>
  <c r="AR331" i="57"/>
  <c r="AO331" i="57"/>
  <c r="CK330" i="57"/>
  <c r="CJ330" i="57"/>
  <c r="CI330" i="57"/>
  <c r="CH330" i="57"/>
  <c r="CG330" i="57"/>
  <c r="CF330" i="57"/>
  <c r="CE330" i="57"/>
  <c r="CD330" i="57"/>
  <c r="BY330" i="57"/>
  <c r="BX330" i="57"/>
  <c r="BW330" i="57"/>
  <c r="BV330" i="57"/>
  <c r="BU330" i="57"/>
  <c r="BT330" i="57"/>
  <c r="BS330" i="57"/>
  <c r="BR330" i="57"/>
  <c r="BQ330" i="57"/>
  <c r="BP330" i="57"/>
  <c r="BO330" i="57"/>
  <c r="BN330" i="57"/>
  <c r="BM330" i="57"/>
  <c r="BL330" i="57"/>
  <c r="BK330" i="57"/>
  <c r="BF330" i="57"/>
  <c r="BE330" i="57"/>
  <c r="BD330" i="57"/>
  <c r="BC330" i="57"/>
  <c r="BB330" i="57"/>
  <c r="BA330" i="57"/>
  <c r="AZ330" i="57"/>
  <c r="AY330" i="57"/>
  <c r="AX330" i="57"/>
  <c r="AW330" i="57"/>
  <c r="AV330" i="57"/>
  <c r="AU330" i="57"/>
  <c r="AT330" i="57"/>
  <c r="AS330" i="57"/>
  <c r="AR330" i="57"/>
  <c r="AQ330" i="57"/>
  <c r="CC330" i="57" s="1"/>
  <c r="AP330" i="57"/>
  <c r="CB330" i="57" s="1"/>
  <c r="AO330" i="57"/>
  <c r="AO329" i="57"/>
  <c r="CA329" i="57" s="1"/>
  <c r="CK328" i="57"/>
  <c r="CJ328" i="57"/>
  <c r="CI328" i="57"/>
  <c r="CH328" i="57"/>
  <c r="CG328" i="57"/>
  <c r="CF328" i="57"/>
  <c r="CE328" i="57"/>
  <c r="CD328" i="57"/>
  <c r="BY328" i="57"/>
  <c r="BX328" i="57"/>
  <c r="BW328" i="57"/>
  <c r="BV328" i="57"/>
  <c r="BU328" i="57"/>
  <c r="BT328" i="57"/>
  <c r="BS328" i="57"/>
  <c r="BR328" i="57"/>
  <c r="BQ328" i="57"/>
  <c r="BP328" i="57"/>
  <c r="BO328" i="57"/>
  <c r="BN328" i="57"/>
  <c r="BM328" i="57"/>
  <c r="BL328" i="57"/>
  <c r="BK328" i="57"/>
  <c r="BF328" i="57"/>
  <c r="BE328" i="57"/>
  <c r="BD328" i="57"/>
  <c r="BC328" i="57"/>
  <c r="BB328" i="57"/>
  <c r="BA328" i="57"/>
  <c r="AZ328" i="57"/>
  <c r="AY328" i="57"/>
  <c r="AX328" i="57"/>
  <c r="AW328" i="57"/>
  <c r="AV328" i="57"/>
  <c r="AU328" i="57"/>
  <c r="AT328" i="57"/>
  <c r="AS328" i="57"/>
  <c r="AR328" i="57"/>
  <c r="AO328" i="57"/>
  <c r="CA328" i="57" s="1"/>
  <c r="CK327" i="57"/>
  <c r="CJ327" i="57"/>
  <c r="CI327" i="57"/>
  <c r="CH327" i="57"/>
  <c r="CG327" i="57"/>
  <c r="CF327" i="57"/>
  <c r="CE327" i="57"/>
  <c r="CD327" i="57"/>
  <c r="BY327" i="57"/>
  <c r="BX327" i="57"/>
  <c r="BW327" i="57"/>
  <c r="BV327" i="57"/>
  <c r="BU327" i="57"/>
  <c r="BT327" i="57"/>
  <c r="BS327" i="57"/>
  <c r="BR327" i="57"/>
  <c r="BQ327" i="57"/>
  <c r="BP327" i="57"/>
  <c r="BO327" i="57"/>
  <c r="BN327" i="57"/>
  <c r="BM327" i="57"/>
  <c r="BL327" i="57"/>
  <c r="BK327" i="57"/>
  <c r="BF327" i="57"/>
  <c r="BE327" i="57"/>
  <c r="BD327" i="57"/>
  <c r="BC327" i="57"/>
  <c r="BB327" i="57"/>
  <c r="BA327" i="57"/>
  <c r="AZ327" i="57"/>
  <c r="AY327" i="57"/>
  <c r="AX327" i="57"/>
  <c r="AW327" i="57"/>
  <c r="AV327" i="57"/>
  <c r="AU327" i="57"/>
  <c r="AT327" i="57"/>
  <c r="AS327" i="57"/>
  <c r="AR327" i="57"/>
  <c r="AQ327" i="57"/>
  <c r="BJ327" i="57" s="1"/>
  <c r="AP327" i="57"/>
  <c r="CB327" i="57" s="1"/>
  <c r="AO327" i="57"/>
  <c r="AO326" i="57"/>
  <c r="CA326" i="57" s="1"/>
  <c r="CK325" i="57"/>
  <c r="CJ325" i="57"/>
  <c r="CI325" i="57"/>
  <c r="CH325" i="57"/>
  <c r="CG325" i="57"/>
  <c r="CF325" i="57"/>
  <c r="CE325" i="57"/>
  <c r="CD325" i="57"/>
  <c r="BY325" i="57"/>
  <c r="BX325" i="57"/>
  <c r="BW325" i="57"/>
  <c r="BV325" i="57"/>
  <c r="BU325" i="57"/>
  <c r="BT325" i="57"/>
  <c r="BS325" i="57"/>
  <c r="BR325" i="57"/>
  <c r="BQ325" i="57"/>
  <c r="BP325" i="57"/>
  <c r="BO325" i="57"/>
  <c r="BN325" i="57"/>
  <c r="BM325" i="57"/>
  <c r="BL325" i="57"/>
  <c r="BK325" i="57"/>
  <c r="BF325" i="57"/>
  <c r="BE325" i="57"/>
  <c r="BD325" i="57"/>
  <c r="BC325" i="57"/>
  <c r="BB325" i="57"/>
  <c r="BA325" i="57"/>
  <c r="AZ325" i="57"/>
  <c r="AY325" i="57"/>
  <c r="AX325" i="57"/>
  <c r="AW325" i="57"/>
  <c r="AV325" i="57"/>
  <c r="AU325" i="57"/>
  <c r="AT325" i="57"/>
  <c r="AS325" i="57"/>
  <c r="AR325" i="57"/>
  <c r="AO325" i="57"/>
  <c r="CK324" i="57"/>
  <c r="CJ324" i="57"/>
  <c r="CI324" i="57"/>
  <c r="CH324" i="57"/>
  <c r="CG324" i="57"/>
  <c r="CF324" i="57"/>
  <c r="CE324" i="57"/>
  <c r="CD324" i="57"/>
  <c r="BY324" i="57"/>
  <c r="BX324" i="57"/>
  <c r="BW324" i="57"/>
  <c r="BV324" i="57"/>
  <c r="BU324" i="57"/>
  <c r="BT324" i="57"/>
  <c r="BS324" i="57"/>
  <c r="BR324" i="57"/>
  <c r="BQ324" i="57"/>
  <c r="BP324" i="57"/>
  <c r="BO324" i="57"/>
  <c r="BN324" i="57"/>
  <c r="BM324" i="57"/>
  <c r="BL324" i="57"/>
  <c r="BK324" i="57"/>
  <c r="BF324" i="57"/>
  <c r="BE324" i="57"/>
  <c r="BD324" i="57"/>
  <c r="BC324" i="57"/>
  <c r="BB324" i="57"/>
  <c r="BA324" i="57"/>
  <c r="AZ324" i="57"/>
  <c r="AY324" i="57"/>
  <c r="AX324" i="57"/>
  <c r="AW324" i="57"/>
  <c r="AV324" i="57"/>
  <c r="AU324" i="57"/>
  <c r="AT324" i="57"/>
  <c r="AS324" i="57"/>
  <c r="AR324" i="57"/>
  <c r="AQ324" i="57"/>
  <c r="BJ324" i="57" s="1"/>
  <c r="AP324" i="57"/>
  <c r="AO324" i="57"/>
  <c r="CA324" i="57" s="1"/>
  <c r="AO323" i="57"/>
  <c r="CA323" i="57" s="1"/>
  <c r="CK322" i="57"/>
  <c r="CJ322" i="57"/>
  <c r="CI322" i="57"/>
  <c r="CH322" i="57"/>
  <c r="CG322" i="57"/>
  <c r="CF322" i="57"/>
  <c r="CE322" i="57"/>
  <c r="CD322" i="57"/>
  <c r="BY322" i="57"/>
  <c r="BX322" i="57"/>
  <c r="BW322" i="57"/>
  <c r="BV322" i="57"/>
  <c r="BU322" i="57"/>
  <c r="BT322" i="57"/>
  <c r="BS322" i="57"/>
  <c r="BR322" i="57"/>
  <c r="BQ322" i="57"/>
  <c r="BP322" i="57"/>
  <c r="BO322" i="57"/>
  <c r="BN322" i="57"/>
  <c r="BM322" i="57"/>
  <c r="BL322" i="57"/>
  <c r="BK322" i="57"/>
  <c r="BF322" i="57"/>
  <c r="BE322" i="57"/>
  <c r="BD322" i="57"/>
  <c r="BC322" i="57"/>
  <c r="BB322" i="57"/>
  <c r="BA322" i="57"/>
  <c r="AZ322" i="57"/>
  <c r="AY322" i="57"/>
  <c r="AX322" i="57"/>
  <c r="AW322" i="57"/>
  <c r="AV322" i="57"/>
  <c r="AU322" i="57"/>
  <c r="AT322" i="57"/>
  <c r="AS322" i="57"/>
  <c r="AR322" i="57"/>
  <c r="AO322" i="57"/>
  <c r="CA322" i="57" s="1"/>
  <c r="CK321" i="57"/>
  <c r="CJ321" i="57"/>
  <c r="CI321" i="57"/>
  <c r="CH321" i="57"/>
  <c r="CG321" i="57"/>
  <c r="CF321" i="57"/>
  <c r="CE321" i="57"/>
  <c r="CD321" i="57"/>
  <c r="BY321" i="57"/>
  <c r="BX321" i="57"/>
  <c r="BW321" i="57"/>
  <c r="BV321" i="57"/>
  <c r="BU321" i="57"/>
  <c r="BT321" i="57"/>
  <c r="BS321" i="57"/>
  <c r="BR321" i="57"/>
  <c r="BQ321" i="57"/>
  <c r="BP321" i="57"/>
  <c r="BO321" i="57"/>
  <c r="BN321" i="57"/>
  <c r="BM321" i="57"/>
  <c r="BL321" i="57"/>
  <c r="BK321" i="57"/>
  <c r="BF321" i="57"/>
  <c r="BE321" i="57"/>
  <c r="BD321" i="57"/>
  <c r="BC321" i="57"/>
  <c r="BB321" i="57"/>
  <c r="BA321" i="57"/>
  <c r="AZ321" i="57"/>
  <c r="AY321" i="57"/>
  <c r="AX321" i="57"/>
  <c r="AW321" i="57"/>
  <c r="AV321" i="57"/>
  <c r="AU321" i="57"/>
  <c r="AT321" i="57"/>
  <c r="AS321" i="57"/>
  <c r="AR321" i="57"/>
  <c r="AQ321" i="57"/>
  <c r="CC321" i="57" s="1"/>
  <c r="AP321" i="57"/>
  <c r="CB321" i="57" s="1"/>
  <c r="AO321" i="57"/>
  <c r="CA321" i="57" s="1"/>
  <c r="AO320" i="57"/>
  <c r="CA320" i="57" s="1"/>
  <c r="CK319" i="57"/>
  <c r="CJ319" i="57"/>
  <c r="CI319" i="57"/>
  <c r="CH319" i="57"/>
  <c r="CG319" i="57"/>
  <c r="CF319" i="57"/>
  <c r="CE319" i="57"/>
  <c r="CD319" i="57"/>
  <c r="BY319" i="57"/>
  <c r="BX319" i="57"/>
  <c r="BW319" i="57"/>
  <c r="BV319" i="57"/>
  <c r="BU319" i="57"/>
  <c r="BT319" i="57"/>
  <c r="BS319" i="57"/>
  <c r="BR319" i="57"/>
  <c r="BQ319" i="57"/>
  <c r="BP319" i="57"/>
  <c r="BO319" i="57"/>
  <c r="BN319" i="57"/>
  <c r="BM319" i="57"/>
  <c r="BL319" i="57"/>
  <c r="BK319" i="57"/>
  <c r="BF319" i="57"/>
  <c r="BE319" i="57"/>
  <c r="BD319" i="57"/>
  <c r="BC319" i="57"/>
  <c r="BB319" i="57"/>
  <c r="BA319" i="57"/>
  <c r="AZ319" i="57"/>
  <c r="AY319" i="57"/>
  <c r="AX319" i="57"/>
  <c r="AW319" i="57"/>
  <c r="AV319" i="57"/>
  <c r="AU319" i="57"/>
  <c r="AT319" i="57"/>
  <c r="AS319" i="57"/>
  <c r="AR319" i="57"/>
  <c r="AO319" i="57"/>
  <c r="CA319" i="57" s="1"/>
  <c r="CK318" i="57"/>
  <c r="CJ318" i="57"/>
  <c r="CI318" i="57"/>
  <c r="CH318" i="57"/>
  <c r="CG318" i="57"/>
  <c r="CF318" i="57"/>
  <c r="CE318" i="57"/>
  <c r="CD318" i="57"/>
  <c r="BY318" i="57"/>
  <c r="BX318" i="57"/>
  <c r="BW318" i="57"/>
  <c r="BV318" i="57"/>
  <c r="BU318" i="57"/>
  <c r="BT318" i="57"/>
  <c r="BS318" i="57"/>
  <c r="BR318" i="57"/>
  <c r="BQ318" i="57"/>
  <c r="BP318" i="57"/>
  <c r="BO318" i="57"/>
  <c r="BN318" i="57"/>
  <c r="BM318" i="57"/>
  <c r="BL318" i="57"/>
  <c r="BK318" i="57"/>
  <c r="BF318" i="57"/>
  <c r="BE318" i="57"/>
  <c r="BD318" i="57"/>
  <c r="BC318" i="57"/>
  <c r="BB318" i="57"/>
  <c r="BA318" i="57"/>
  <c r="AZ318" i="57"/>
  <c r="AY318" i="57"/>
  <c r="AX318" i="57"/>
  <c r="AW318" i="57"/>
  <c r="AV318" i="57"/>
  <c r="AU318" i="57"/>
  <c r="AT318" i="57"/>
  <c r="AS318" i="57"/>
  <c r="AR318" i="57"/>
  <c r="AQ318" i="57"/>
  <c r="CC318" i="57" s="1"/>
  <c r="AP318" i="57"/>
  <c r="BI318" i="57" s="1"/>
  <c r="AO318" i="57"/>
  <c r="CA318" i="57" s="1"/>
  <c r="AO317" i="57"/>
  <c r="BH317" i="57" s="1"/>
  <c r="CK316" i="57"/>
  <c r="CJ316" i="57"/>
  <c r="CI316" i="57"/>
  <c r="CH316" i="57"/>
  <c r="CG316" i="57"/>
  <c r="CF316" i="57"/>
  <c r="CE316" i="57"/>
  <c r="CD316" i="57"/>
  <c r="BY316" i="57"/>
  <c r="BX316" i="57"/>
  <c r="BW316" i="57"/>
  <c r="BV316" i="57"/>
  <c r="BU316" i="57"/>
  <c r="BT316" i="57"/>
  <c r="BS316" i="57"/>
  <c r="BR316" i="57"/>
  <c r="BQ316" i="57"/>
  <c r="BP316" i="57"/>
  <c r="BO316" i="57"/>
  <c r="BN316" i="57"/>
  <c r="BM316" i="57"/>
  <c r="BL316" i="57"/>
  <c r="BK316" i="57"/>
  <c r="BF316" i="57"/>
  <c r="BE316" i="57"/>
  <c r="BD316" i="57"/>
  <c r="BC316" i="57"/>
  <c r="BB316" i="57"/>
  <c r="BA316" i="57"/>
  <c r="AZ316" i="57"/>
  <c r="AY316" i="57"/>
  <c r="AX316" i="57"/>
  <c r="AW316" i="57"/>
  <c r="AV316" i="57"/>
  <c r="AU316" i="57"/>
  <c r="AT316" i="57"/>
  <c r="AS316" i="57"/>
  <c r="AR316" i="57"/>
  <c r="AO316" i="57"/>
  <c r="CA316" i="57" s="1"/>
  <c r="CK315" i="57"/>
  <c r="CJ315" i="57"/>
  <c r="CI315" i="57"/>
  <c r="CH315" i="57"/>
  <c r="CG315" i="57"/>
  <c r="CF315" i="57"/>
  <c r="CE315" i="57"/>
  <c r="CD315" i="57"/>
  <c r="BY315" i="57"/>
  <c r="BX315" i="57"/>
  <c r="BW315" i="57"/>
  <c r="BV315" i="57"/>
  <c r="BU315" i="57"/>
  <c r="BT315" i="57"/>
  <c r="BS315" i="57"/>
  <c r="BR315" i="57"/>
  <c r="BQ315" i="57"/>
  <c r="BP315" i="57"/>
  <c r="BO315" i="57"/>
  <c r="BN315" i="57"/>
  <c r="BM315" i="57"/>
  <c r="BL315" i="57"/>
  <c r="BK315" i="57"/>
  <c r="BF315" i="57"/>
  <c r="BE315" i="57"/>
  <c r="BD315" i="57"/>
  <c r="BC315" i="57"/>
  <c r="BB315" i="57"/>
  <c r="BA315" i="57"/>
  <c r="AZ315" i="57"/>
  <c r="AY315" i="57"/>
  <c r="AX315" i="57"/>
  <c r="AW315" i="57"/>
  <c r="AV315" i="57"/>
  <c r="AU315" i="57"/>
  <c r="AT315" i="57"/>
  <c r="AS315" i="57"/>
  <c r="AR315" i="57"/>
  <c r="AQ315" i="57"/>
  <c r="CC315" i="57" s="1"/>
  <c r="AP315" i="57"/>
  <c r="AO315" i="57"/>
  <c r="AO314" i="57"/>
  <c r="CK313" i="57"/>
  <c r="CJ313" i="57"/>
  <c r="CI313" i="57"/>
  <c r="CH313" i="57"/>
  <c r="CG313" i="57"/>
  <c r="CF313" i="57"/>
  <c r="CE313" i="57"/>
  <c r="CD313" i="57"/>
  <c r="BY313" i="57"/>
  <c r="BX313" i="57"/>
  <c r="BW313" i="57"/>
  <c r="BV313" i="57"/>
  <c r="BU313" i="57"/>
  <c r="BT313" i="57"/>
  <c r="BS313" i="57"/>
  <c r="BR313" i="57"/>
  <c r="BQ313" i="57"/>
  <c r="BP313" i="57"/>
  <c r="BO313" i="57"/>
  <c r="BN313" i="57"/>
  <c r="BM313" i="57"/>
  <c r="BL313" i="57"/>
  <c r="BK313" i="57"/>
  <c r="BF313" i="57"/>
  <c r="BE313" i="57"/>
  <c r="BD313" i="57"/>
  <c r="BC313" i="57"/>
  <c r="BB313" i="57"/>
  <c r="BA313" i="57"/>
  <c r="AZ313" i="57"/>
  <c r="AY313" i="57"/>
  <c r="AX313" i="57"/>
  <c r="AW313" i="57"/>
  <c r="AV313" i="57"/>
  <c r="AU313" i="57"/>
  <c r="AT313" i="57"/>
  <c r="AS313" i="57"/>
  <c r="AR313" i="57"/>
  <c r="AO313" i="57"/>
  <c r="CA313" i="57" s="1"/>
  <c r="CK312" i="57"/>
  <c r="CJ312" i="57"/>
  <c r="CI312" i="57"/>
  <c r="CH312" i="57"/>
  <c r="CG312" i="57"/>
  <c r="CF312" i="57"/>
  <c r="CE312" i="57"/>
  <c r="CD312" i="57"/>
  <c r="BY312" i="57"/>
  <c r="BX312" i="57"/>
  <c r="BW312" i="57"/>
  <c r="BV312" i="57"/>
  <c r="BU312" i="57"/>
  <c r="BT312" i="57"/>
  <c r="BS312" i="57"/>
  <c r="BR312" i="57"/>
  <c r="BQ312" i="57"/>
  <c r="BP312" i="57"/>
  <c r="BO312" i="57"/>
  <c r="BN312" i="57"/>
  <c r="BM312" i="57"/>
  <c r="BL312" i="57"/>
  <c r="BK312" i="57"/>
  <c r="BF312" i="57"/>
  <c r="BE312" i="57"/>
  <c r="BD312" i="57"/>
  <c r="BC312" i="57"/>
  <c r="BB312" i="57"/>
  <c r="BA312" i="57"/>
  <c r="AZ312" i="57"/>
  <c r="AY312" i="57"/>
  <c r="AX312" i="57"/>
  <c r="AW312" i="57"/>
  <c r="AV312" i="57"/>
  <c r="AU312" i="57"/>
  <c r="AT312" i="57"/>
  <c r="AS312" i="57"/>
  <c r="AR312" i="57"/>
  <c r="AQ312" i="57"/>
  <c r="CC312" i="57" s="1"/>
  <c r="AP312" i="57"/>
  <c r="AO312" i="57"/>
  <c r="AO311" i="57"/>
  <c r="CK310" i="57"/>
  <c r="CJ310" i="57"/>
  <c r="CI310" i="57"/>
  <c r="CH310" i="57"/>
  <c r="CG310" i="57"/>
  <c r="CF310" i="57"/>
  <c r="CE310" i="57"/>
  <c r="CD310" i="57"/>
  <c r="BY310" i="57"/>
  <c r="BX310" i="57"/>
  <c r="BW310" i="57"/>
  <c r="BV310" i="57"/>
  <c r="BU310" i="57"/>
  <c r="BT310" i="57"/>
  <c r="BS310" i="57"/>
  <c r="BR310" i="57"/>
  <c r="BQ310" i="57"/>
  <c r="BP310" i="57"/>
  <c r="BO310" i="57"/>
  <c r="BN310" i="57"/>
  <c r="BM310" i="57"/>
  <c r="BL310" i="57"/>
  <c r="BK310" i="57"/>
  <c r="BF310" i="57"/>
  <c r="BE310" i="57"/>
  <c r="BD310" i="57"/>
  <c r="BC310" i="57"/>
  <c r="BB310" i="57"/>
  <c r="BA310" i="57"/>
  <c r="AZ310" i="57"/>
  <c r="AY310" i="57"/>
  <c r="AX310" i="57"/>
  <c r="AW310" i="57"/>
  <c r="AV310" i="57"/>
  <c r="AU310" i="57"/>
  <c r="AT310" i="57"/>
  <c r="AS310" i="57"/>
  <c r="AR310" i="57"/>
  <c r="AO310" i="57"/>
  <c r="CA310" i="57" s="1"/>
  <c r="CK309" i="57"/>
  <c r="CJ309" i="57"/>
  <c r="CI309" i="57"/>
  <c r="CH309" i="57"/>
  <c r="CG309" i="57"/>
  <c r="CF309" i="57"/>
  <c r="CE309" i="57"/>
  <c r="CD309" i="57"/>
  <c r="BY309" i="57"/>
  <c r="BX309" i="57"/>
  <c r="BW309" i="57"/>
  <c r="BV309" i="57"/>
  <c r="BU309" i="57"/>
  <c r="BT309" i="57"/>
  <c r="BS309" i="57"/>
  <c r="BR309" i="57"/>
  <c r="BQ309" i="57"/>
  <c r="BP309" i="57"/>
  <c r="BO309" i="57"/>
  <c r="BN309" i="57"/>
  <c r="BM309" i="57"/>
  <c r="BL309" i="57"/>
  <c r="BK309" i="57"/>
  <c r="BF309" i="57"/>
  <c r="BE309" i="57"/>
  <c r="BD309" i="57"/>
  <c r="BC309" i="57"/>
  <c r="BB309" i="57"/>
  <c r="BA309" i="57"/>
  <c r="AZ309" i="57"/>
  <c r="AY309" i="57"/>
  <c r="AX309" i="57"/>
  <c r="AW309" i="57"/>
  <c r="AV309" i="57"/>
  <c r="AU309" i="57"/>
  <c r="AT309" i="57"/>
  <c r="AS309" i="57"/>
  <c r="AR309" i="57"/>
  <c r="AQ309" i="57"/>
  <c r="CC309" i="57" s="1"/>
  <c r="AP309" i="57"/>
  <c r="CB309" i="57" s="1"/>
  <c r="AO309" i="57"/>
  <c r="BH309" i="57" s="1"/>
  <c r="AO308" i="57"/>
  <c r="CK307" i="57"/>
  <c r="CJ307" i="57"/>
  <c r="CI307" i="57"/>
  <c r="CH307" i="57"/>
  <c r="CG307" i="57"/>
  <c r="CF307" i="57"/>
  <c r="CE307" i="57"/>
  <c r="CD307" i="57"/>
  <c r="BY307" i="57"/>
  <c r="BX307" i="57"/>
  <c r="BW307" i="57"/>
  <c r="BV307" i="57"/>
  <c r="BU307" i="57"/>
  <c r="BT307" i="57"/>
  <c r="BS307" i="57"/>
  <c r="BR307" i="57"/>
  <c r="BQ307" i="57"/>
  <c r="BP307" i="57"/>
  <c r="BO307" i="57"/>
  <c r="BN307" i="57"/>
  <c r="BM307" i="57"/>
  <c r="BL307" i="57"/>
  <c r="BK307" i="57"/>
  <c r="BF307" i="57"/>
  <c r="BE307" i="57"/>
  <c r="BD307" i="57"/>
  <c r="BC307" i="57"/>
  <c r="BB307" i="57"/>
  <c r="BA307" i="57"/>
  <c r="AZ307" i="57"/>
  <c r="AY307" i="57"/>
  <c r="AX307" i="57"/>
  <c r="AW307" i="57"/>
  <c r="AV307" i="57"/>
  <c r="AU307" i="57"/>
  <c r="AT307" i="57"/>
  <c r="AS307" i="57"/>
  <c r="AR307" i="57"/>
  <c r="AO307" i="57"/>
  <c r="CK306" i="57"/>
  <c r="CJ306" i="57"/>
  <c r="CI306" i="57"/>
  <c r="CH306" i="57"/>
  <c r="CG306" i="57"/>
  <c r="CF306" i="57"/>
  <c r="CE306" i="57"/>
  <c r="CD306" i="57"/>
  <c r="BY306" i="57"/>
  <c r="BX306" i="57"/>
  <c r="BW306" i="57"/>
  <c r="BV306" i="57"/>
  <c r="BU306" i="57"/>
  <c r="BT306" i="57"/>
  <c r="BS306" i="57"/>
  <c r="BR306" i="57"/>
  <c r="BQ306" i="57"/>
  <c r="BP306" i="57"/>
  <c r="BO306" i="57"/>
  <c r="BN306" i="57"/>
  <c r="BM306" i="57"/>
  <c r="BL306" i="57"/>
  <c r="BK306" i="57"/>
  <c r="BF306" i="57"/>
  <c r="BE306" i="57"/>
  <c r="BD306" i="57"/>
  <c r="BC306" i="57"/>
  <c r="BB306" i="57"/>
  <c r="BA306" i="57"/>
  <c r="AZ306" i="57"/>
  <c r="AY306" i="57"/>
  <c r="AX306" i="57"/>
  <c r="AW306" i="57"/>
  <c r="AV306" i="57"/>
  <c r="AU306" i="57"/>
  <c r="AT306" i="57"/>
  <c r="AS306" i="57"/>
  <c r="AR306" i="57"/>
  <c r="AQ306" i="57"/>
  <c r="AP306" i="57"/>
  <c r="AO306" i="57"/>
  <c r="CA306" i="57" s="1"/>
  <c r="AO305" i="57"/>
  <c r="CK304" i="57"/>
  <c r="CJ304" i="57"/>
  <c r="CI304" i="57"/>
  <c r="CH304" i="57"/>
  <c r="CG304" i="57"/>
  <c r="CF304" i="57"/>
  <c r="CE304" i="57"/>
  <c r="CD304" i="57"/>
  <c r="BY304" i="57"/>
  <c r="BX304" i="57"/>
  <c r="BW304" i="57"/>
  <c r="BV304" i="57"/>
  <c r="BU304" i="57"/>
  <c r="BT304" i="57"/>
  <c r="BS304" i="57"/>
  <c r="BR304" i="57"/>
  <c r="BQ304" i="57"/>
  <c r="BP304" i="57"/>
  <c r="BO304" i="57"/>
  <c r="BN304" i="57"/>
  <c r="BM304" i="57"/>
  <c r="BL304" i="57"/>
  <c r="BK304" i="57"/>
  <c r="BF304" i="57"/>
  <c r="BE304" i="57"/>
  <c r="BD304" i="57"/>
  <c r="BC304" i="57"/>
  <c r="BB304" i="57"/>
  <c r="BA304" i="57"/>
  <c r="AZ304" i="57"/>
  <c r="AY304" i="57"/>
  <c r="AX304" i="57"/>
  <c r="AW304" i="57"/>
  <c r="AV304" i="57"/>
  <c r="AU304" i="57"/>
  <c r="AT304" i="57"/>
  <c r="AS304" i="57"/>
  <c r="AR304" i="57"/>
  <c r="AO304" i="57"/>
  <c r="CK303" i="57"/>
  <c r="CJ303" i="57"/>
  <c r="CI303" i="57"/>
  <c r="CH303" i="57"/>
  <c r="CG303" i="57"/>
  <c r="CF303" i="57"/>
  <c r="CE303" i="57"/>
  <c r="CD303" i="57"/>
  <c r="BY303" i="57"/>
  <c r="BX303" i="57"/>
  <c r="BW303" i="57"/>
  <c r="BV303" i="57"/>
  <c r="BU303" i="57"/>
  <c r="BT303" i="57"/>
  <c r="BS303" i="57"/>
  <c r="BR303" i="57"/>
  <c r="BQ303" i="57"/>
  <c r="BP303" i="57"/>
  <c r="BO303" i="57"/>
  <c r="BN303" i="57"/>
  <c r="BM303" i="57"/>
  <c r="BL303" i="57"/>
  <c r="BK303" i="57"/>
  <c r="BF303" i="57"/>
  <c r="BE303" i="57"/>
  <c r="BD303" i="57"/>
  <c r="BC303" i="57"/>
  <c r="BB303" i="57"/>
  <c r="BA303" i="57"/>
  <c r="AZ303" i="57"/>
  <c r="AY303" i="57"/>
  <c r="AX303" i="57"/>
  <c r="AW303" i="57"/>
  <c r="AV303" i="57"/>
  <c r="AU303" i="57"/>
  <c r="AT303" i="57"/>
  <c r="AS303" i="57"/>
  <c r="AR303" i="57"/>
  <c r="AQ303" i="57"/>
  <c r="BJ303" i="57" s="1"/>
  <c r="AP303" i="57"/>
  <c r="CB303" i="57" s="1"/>
  <c r="AO303" i="57"/>
  <c r="AO302" i="57"/>
  <c r="CA302" i="57" s="1"/>
  <c r="CK301" i="57"/>
  <c r="CJ301" i="57"/>
  <c r="CI301" i="57"/>
  <c r="CH301" i="57"/>
  <c r="CG301" i="57"/>
  <c r="CF301" i="57"/>
  <c r="CE301" i="57"/>
  <c r="CD301" i="57"/>
  <c r="BY301" i="57"/>
  <c r="BX301" i="57"/>
  <c r="BW301" i="57"/>
  <c r="BV301" i="57"/>
  <c r="BU301" i="57"/>
  <c r="BT301" i="57"/>
  <c r="BS301" i="57"/>
  <c r="BR301" i="57"/>
  <c r="BQ301" i="57"/>
  <c r="BP301" i="57"/>
  <c r="BO301" i="57"/>
  <c r="BN301" i="57"/>
  <c r="BM301" i="57"/>
  <c r="BL301" i="57"/>
  <c r="BK301" i="57"/>
  <c r="BF301" i="57"/>
  <c r="BE301" i="57"/>
  <c r="BD301" i="57"/>
  <c r="BC301" i="57"/>
  <c r="BB301" i="57"/>
  <c r="BA301" i="57"/>
  <c r="AZ301" i="57"/>
  <c r="AY301" i="57"/>
  <c r="AX301" i="57"/>
  <c r="AW301" i="57"/>
  <c r="AV301" i="57"/>
  <c r="AU301" i="57"/>
  <c r="AT301" i="57"/>
  <c r="AS301" i="57"/>
  <c r="AR301" i="57"/>
  <c r="AO301" i="57"/>
  <c r="CK300" i="57"/>
  <c r="CJ300" i="57"/>
  <c r="CI300" i="57"/>
  <c r="CH300" i="57"/>
  <c r="CG300" i="57"/>
  <c r="CF300" i="57"/>
  <c r="CE300" i="57"/>
  <c r="CD300" i="57"/>
  <c r="BY300" i="57"/>
  <c r="BX300" i="57"/>
  <c r="BW300" i="57"/>
  <c r="BV300" i="57"/>
  <c r="BU300" i="57"/>
  <c r="BT300" i="57"/>
  <c r="BS300" i="57"/>
  <c r="BR300" i="57"/>
  <c r="BQ300" i="57"/>
  <c r="BP300" i="57"/>
  <c r="BO300" i="57"/>
  <c r="BN300" i="57"/>
  <c r="BM300" i="57"/>
  <c r="BL300" i="57"/>
  <c r="BK300" i="57"/>
  <c r="BF300" i="57"/>
  <c r="BE300" i="57"/>
  <c r="BD300" i="57"/>
  <c r="BC300" i="57"/>
  <c r="BB300" i="57"/>
  <c r="BA300" i="57"/>
  <c r="AZ300" i="57"/>
  <c r="AY300" i="57"/>
  <c r="AX300" i="57"/>
  <c r="AW300" i="57"/>
  <c r="AV300" i="57"/>
  <c r="AU300" i="57"/>
  <c r="AT300" i="57"/>
  <c r="AS300" i="57"/>
  <c r="AR300" i="57"/>
  <c r="AQ300" i="57"/>
  <c r="CC300" i="57" s="1"/>
  <c r="AP300" i="57"/>
  <c r="CB300" i="57" s="1"/>
  <c r="AO300" i="57"/>
  <c r="BH300" i="57" s="1"/>
  <c r="AO299" i="57"/>
  <c r="CK298" i="57"/>
  <c r="CJ298" i="57"/>
  <c r="CI298" i="57"/>
  <c r="CH298" i="57"/>
  <c r="CG298" i="57"/>
  <c r="CF298" i="57"/>
  <c r="CE298" i="57"/>
  <c r="CD298" i="57"/>
  <c r="BY298" i="57"/>
  <c r="BX298" i="57"/>
  <c r="BW298" i="57"/>
  <c r="BV298" i="57"/>
  <c r="BU298" i="57"/>
  <c r="BT298" i="57"/>
  <c r="BS298" i="57"/>
  <c r="BR298" i="57"/>
  <c r="BQ298" i="57"/>
  <c r="BP298" i="57"/>
  <c r="BO298" i="57"/>
  <c r="BN298" i="57"/>
  <c r="BM298" i="57"/>
  <c r="BL298" i="57"/>
  <c r="BK298" i="57"/>
  <c r="BF298" i="57"/>
  <c r="BE298" i="57"/>
  <c r="BD298" i="57"/>
  <c r="BC298" i="57"/>
  <c r="BB298" i="57"/>
  <c r="BA298" i="57"/>
  <c r="AZ298" i="57"/>
  <c r="AY298" i="57"/>
  <c r="AX298" i="57"/>
  <c r="AW298" i="57"/>
  <c r="AV298" i="57"/>
  <c r="AU298" i="57"/>
  <c r="AT298" i="57"/>
  <c r="AS298" i="57"/>
  <c r="AR298" i="57"/>
  <c r="AO298" i="57"/>
  <c r="CK297" i="57"/>
  <c r="CJ297" i="57"/>
  <c r="CI297" i="57"/>
  <c r="CH297" i="57"/>
  <c r="CG297" i="57"/>
  <c r="CF297" i="57"/>
  <c r="CE297" i="57"/>
  <c r="CD297" i="57"/>
  <c r="BY297" i="57"/>
  <c r="BX297" i="57"/>
  <c r="BW297" i="57"/>
  <c r="BV297" i="57"/>
  <c r="BU297" i="57"/>
  <c r="BT297" i="57"/>
  <c r="BS297" i="57"/>
  <c r="BR297" i="57"/>
  <c r="BQ297" i="57"/>
  <c r="BP297" i="57"/>
  <c r="BO297" i="57"/>
  <c r="BN297" i="57"/>
  <c r="BM297" i="57"/>
  <c r="BL297" i="57"/>
  <c r="BK297" i="57"/>
  <c r="BF297" i="57"/>
  <c r="BE297" i="57"/>
  <c r="BD297" i="57"/>
  <c r="BC297" i="57"/>
  <c r="BB297" i="57"/>
  <c r="BA297" i="57"/>
  <c r="AZ297" i="57"/>
  <c r="AY297" i="57"/>
  <c r="AX297" i="57"/>
  <c r="AW297" i="57"/>
  <c r="AV297" i="57"/>
  <c r="AU297" i="57"/>
  <c r="AT297" i="57"/>
  <c r="AS297" i="57"/>
  <c r="AR297" i="57"/>
  <c r="AQ297" i="57"/>
  <c r="CC297" i="57" s="1"/>
  <c r="AP297" i="57"/>
  <c r="AO297" i="57"/>
  <c r="BH297" i="57" s="1"/>
  <c r="AO296" i="57"/>
  <c r="CK295" i="57"/>
  <c r="CJ295" i="57"/>
  <c r="CI295" i="57"/>
  <c r="CH295" i="57"/>
  <c r="CG295" i="57"/>
  <c r="CF295" i="57"/>
  <c r="CE295" i="57"/>
  <c r="CD295" i="57"/>
  <c r="BY295" i="57"/>
  <c r="BX295" i="57"/>
  <c r="BW295" i="57"/>
  <c r="BV295" i="57"/>
  <c r="BU295" i="57"/>
  <c r="BT295" i="57"/>
  <c r="BS295" i="57"/>
  <c r="BR295" i="57"/>
  <c r="BQ295" i="57"/>
  <c r="BP295" i="57"/>
  <c r="BO295" i="57"/>
  <c r="BN295" i="57"/>
  <c r="BM295" i="57"/>
  <c r="BL295" i="57"/>
  <c r="BK295" i="57"/>
  <c r="BF295" i="57"/>
  <c r="BE295" i="57"/>
  <c r="BD295" i="57"/>
  <c r="BC295" i="57"/>
  <c r="BB295" i="57"/>
  <c r="BA295" i="57"/>
  <c r="AZ295" i="57"/>
  <c r="AY295" i="57"/>
  <c r="AX295" i="57"/>
  <c r="AW295" i="57"/>
  <c r="AV295" i="57"/>
  <c r="AU295" i="57"/>
  <c r="AT295" i="57"/>
  <c r="AS295" i="57"/>
  <c r="AR295" i="57"/>
  <c r="AO295" i="57"/>
  <c r="CA295" i="57" s="1"/>
  <c r="CK294" i="57"/>
  <c r="CJ294" i="57"/>
  <c r="CI294" i="57"/>
  <c r="CH294" i="57"/>
  <c r="CG294" i="57"/>
  <c r="CF294" i="57"/>
  <c r="CE294" i="57"/>
  <c r="CD294" i="57"/>
  <c r="BY294" i="57"/>
  <c r="BX294" i="57"/>
  <c r="BW294" i="57"/>
  <c r="BV294" i="57"/>
  <c r="BU294" i="57"/>
  <c r="BT294" i="57"/>
  <c r="BS294" i="57"/>
  <c r="BR294" i="57"/>
  <c r="BQ294" i="57"/>
  <c r="BP294" i="57"/>
  <c r="BO294" i="57"/>
  <c r="BN294" i="57"/>
  <c r="BM294" i="57"/>
  <c r="BL294" i="57"/>
  <c r="BK294" i="57"/>
  <c r="BF294" i="57"/>
  <c r="BE294" i="57"/>
  <c r="BD294" i="57"/>
  <c r="BC294" i="57"/>
  <c r="BB294" i="57"/>
  <c r="BA294" i="57"/>
  <c r="AZ294" i="57"/>
  <c r="AY294" i="57"/>
  <c r="AX294" i="57"/>
  <c r="AW294" i="57"/>
  <c r="AV294" i="57"/>
  <c r="AU294" i="57"/>
  <c r="AT294" i="57"/>
  <c r="AS294" i="57"/>
  <c r="AR294" i="57"/>
  <c r="AQ294" i="57"/>
  <c r="AP294" i="57"/>
  <c r="BI294" i="57" s="1"/>
  <c r="AO294" i="57"/>
  <c r="CA294" i="57" s="1"/>
  <c r="AO293" i="57"/>
  <c r="BH293" i="57" s="1"/>
  <c r="CK292" i="57"/>
  <c r="CJ292" i="57"/>
  <c r="CI292" i="57"/>
  <c r="CH292" i="57"/>
  <c r="CG292" i="57"/>
  <c r="CF292" i="57"/>
  <c r="CE292" i="57"/>
  <c r="CD292" i="57"/>
  <c r="BY292" i="57"/>
  <c r="BX292" i="57"/>
  <c r="BW292" i="57"/>
  <c r="BV292" i="57"/>
  <c r="BU292" i="57"/>
  <c r="BT292" i="57"/>
  <c r="BS292" i="57"/>
  <c r="BR292" i="57"/>
  <c r="BQ292" i="57"/>
  <c r="BP292" i="57"/>
  <c r="BO292" i="57"/>
  <c r="BN292" i="57"/>
  <c r="BM292" i="57"/>
  <c r="BL292" i="57"/>
  <c r="BK292" i="57"/>
  <c r="BF292" i="57"/>
  <c r="BE292" i="57"/>
  <c r="BD292" i="57"/>
  <c r="BC292" i="57"/>
  <c r="BB292" i="57"/>
  <c r="BA292" i="57"/>
  <c r="AZ292" i="57"/>
  <c r="AY292" i="57"/>
  <c r="AX292" i="57"/>
  <c r="AW292" i="57"/>
  <c r="AV292" i="57"/>
  <c r="AU292" i="57"/>
  <c r="AT292" i="57"/>
  <c r="AS292" i="57"/>
  <c r="AR292" i="57"/>
  <c r="AO292" i="57"/>
  <c r="CK291" i="57"/>
  <c r="CJ291" i="57"/>
  <c r="CI291" i="57"/>
  <c r="CH291" i="57"/>
  <c r="CG291" i="57"/>
  <c r="CF291" i="57"/>
  <c r="CE291" i="57"/>
  <c r="CD291" i="57"/>
  <c r="BY291" i="57"/>
  <c r="BX291" i="57"/>
  <c r="BW291" i="57"/>
  <c r="BV291" i="57"/>
  <c r="BU291" i="57"/>
  <c r="BT291" i="57"/>
  <c r="BS291" i="57"/>
  <c r="BR291" i="57"/>
  <c r="BQ291" i="57"/>
  <c r="BP291" i="57"/>
  <c r="BO291" i="57"/>
  <c r="BN291" i="57"/>
  <c r="BM291" i="57"/>
  <c r="BL291" i="57"/>
  <c r="BK291" i="57"/>
  <c r="BF291" i="57"/>
  <c r="BE291" i="57"/>
  <c r="BD291" i="57"/>
  <c r="BC291" i="57"/>
  <c r="BB291" i="57"/>
  <c r="BA291" i="57"/>
  <c r="AZ291" i="57"/>
  <c r="AY291" i="57"/>
  <c r="AX291" i="57"/>
  <c r="AW291" i="57"/>
  <c r="AV291" i="57"/>
  <c r="AU291" i="57"/>
  <c r="AT291" i="57"/>
  <c r="AS291" i="57"/>
  <c r="AR291" i="57"/>
  <c r="AQ291" i="57"/>
  <c r="BJ291" i="57" s="1"/>
  <c r="AP291" i="57"/>
  <c r="AO291" i="57"/>
  <c r="AO290" i="57"/>
  <c r="CK289" i="57"/>
  <c r="CJ289" i="57"/>
  <c r="CI289" i="57"/>
  <c r="CH289" i="57"/>
  <c r="CG289" i="57"/>
  <c r="CF289" i="57"/>
  <c r="CE289" i="57"/>
  <c r="CD289" i="57"/>
  <c r="BY289" i="57"/>
  <c r="BX289" i="57"/>
  <c r="BW289" i="57"/>
  <c r="BV289" i="57"/>
  <c r="BU289" i="57"/>
  <c r="BT289" i="57"/>
  <c r="BS289" i="57"/>
  <c r="BR289" i="57"/>
  <c r="BQ289" i="57"/>
  <c r="BP289" i="57"/>
  <c r="BO289" i="57"/>
  <c r="BN289" i="57"/>
  <c r="BM289" i="57"/>
  <c r="BL289" i="57"/>
  <c r="BK289" i="57"/>
  <c r="BF289" i="57"/>
  <c r="BE289" i="57"/>
  <c r="BD289" i="57"/>
  <c r="BC289" i="57"/>
  <c r="BB289" i="57"/>
  <c r="BA289" i="57"/>
  <c r="AZ289" i="57"/>
  <c r="AY289" i="57"/>
  <c r="AX289" i="57"/>
  <c r="AW289" i="57"/>
  <c r="AV289" i="57"/>
  <c r="AU289" i="57"/>
  <c r="AT289" i="57"/>
  <c r="AS289" i="57"/>
  <c r="AR289" i="57"/>
  <c r="AO289" i="57"/>
  <c r="BH289" i="57" s="1"/>
  <c r="CK288" i="57"/>
  <c r="CJ288" i="57"/>
  <c r="CI288" i="57"/>
  <c r="CH288" i="57"/>
  <c r="CG288" i="57"/>
  <c r="CF288" i="57"/>
  <c r="CE288" i="57"/>
  <c r="CD288" i="57"/>
  <c r="BY288" i="57"/>
  <c r="BX288" i="57"/>
  <c r="BW288" i="57"/>
  <c r="BV288" i="57"/>
  <c r="BU288" i="57"/>
  <c r="BT288" i="57"/>
  <c r="BS288" i="57"/>
  <c r="BR288" i="57"/>
  <c r="BQ288" i="57"/>
  <c r="BP288" i="57"/>
  <c r="BO288" i="57"/>
  <c r="BN288" i="57"/>
  <c r="BM288" i="57"/>
  <c r="BL288" i="57"/>
  <c r="BK288" i="57"/>
  <c r="BF288" i="57"/>
  <c r="BE288" i="57"/>
  <c r="BD288" i="57"/>
  <c r="BC288" i="57"/>
  <c r="BB288" i="57"/>
  <c r="BA288" i="57"/>
  <c r="AZ288" i="57"/>
  <c r="AY288" i="57"/>
  <c r="AX288" i="57"/>
  <c r="AW288" i="57"/>
  <c r="AV288" i="57"/>
  <c r="AU288" i="57"/>
  <c r="AT288" i="57"/>
  <c r="AS288" i="57"/>
  <c r="AR288" i="57"/>
  <c r="AQ288" i="57"/>
  <c r="AP288" i="57"/>
  <c r="CB288" i="57" s="1"/>
  <c r="AO288" i="57"/>
  <c r="CA288" i="57" s="1"/>
  <c r="AO287" i="57"/>
  <c r="CA287" i="57" s="1"/>
  <c r="CK286" i="57"/>
  <c r="CJ286" i="57"/>
  <c r="CI286" i="57"/>
  <c r="CH286" i="57"/>
  <c r="CG286" i="57"/>
  <c r="CF286" i="57"/>
  <c r="CE286" i="57"/>
  <c r="CD286" i="57"/>
  <c r="BF286" i="57"/>
  <c r="BE286" i="57"/>
  <c r="BD286" i="57"/>
  <c r="BC286" i="57"/>
  <c r="BB286" i="57"/>
  <c r="BA286" i="57"/>
  <c r="AZ286" i="57"/>
  <c r="AY286" i="57"/>
  <c r="AX286" i="57"/>
  <c r="AW286" i="57"/>
  <c r="AV286" i="57"/>
  <c r="AU286" i="57"/>
  <c r="AT286" i="57"/>
  <c r="AS286" i="57"/>
  <c r="AR286" i="57"/>
  <c r="AO286" i="57"/>
  <c r="CK285" i="57"/>
  <c r="CJ285" i="57"/>
  <c r="CI285" i="57"/>
  <c r="CH285" i="57"/>
  <c r="CG285" i="57"/>
  <c r="CF285" i="57"/>
  <c r="CE285" i="57"/>
  <c r="CD285" i="57"/>
  <c r="BF285" i="57"/>
  <c r="BE285" i="57"/>
  <c r="BD285" i="57"/>
  <c r="BC285" i="57"/>
  <c r="BB285" i="57"/>
  <c r="BA285" i="57"/>
  <c r="AZ285" i="57"/>
  <c r="AY285" i="57"/>
  <c r="AX285" i="57"/>
  <c r="AW285" i="57"/>
  <c r="AV285" i="57"/>
  <c r="AU285" i="57"/>
  <c r="AT285" i="57"/>
  <c r="AS285" i="57"/>
  <c r="AR285" i="57"/>
  <c r="AQ285" i="57"/>
  <c r="CC285" i="57" s="1"/>
  <c r="AP285" i="57"/>
  <c r="AO285" i="57"/>
  <c r="BH285" i="57" s="1"/>
  <c r="AO284" i="57"/>
  <c r="BH284" i="57" s="1"/>
  <c r="CK283" i="57"/>
  <c r="CJ283" i="57"/>
  <c r="CI283" i="57"/>
  <c r="CH283" i="57"/>
  <c r="CG283" i="57"/>
  <c r="CF283" i="57"/>
  <c r="CE283" i="57"/>
  <c r="CD283" i="57"/>
  <c r="BF283" i="57"/>
  <c r="BE283" i="57"/>
  <c r="BD283" i="57"/>
  <c r="BC283" i="57"/>
  <c r="BB283" i="57"/>
  <c r="BA283" i="57"/>
  <c r="AZ283" i="57"/>
  <c r="AY283" i="57"/>
  <c r="AX283" i="57"/>
  <c r="AW283" i="57"/>
  <c r="AV283" i="57"/>
  <c r="AU283" i="57"/>
  <c r="AT283" i="57"/>
  <c r="AS283" i="57"/>
  <c r="AR283" i="57"/>
  <c r="AO283" i="57"/>
  <c r="CK282" i="57"/>
  <c r="CJ282" i="57"/>
  <c r="CI282" i="57"/>
  <c r="CH282" i="57"/>
  <c r="CG282" i="57"/>
  <c r="CF282" i="57"/>
  <c r="CE282" i="57"/>
  <c r="CD282" i="57"/>
  <c r="BF282" i="57"/>
  <c r="BE282" i="57"/>
  <c r="BD282" i="57"/>
  <c r="BC282" i="57"/>
  <c r="BB282" i="57"/>
  <c r="BA282" i="57"/>
  <c r="AZ282" i="57"/>
  <c r="AY282" i="57"/>
  <c r="AX282" i="57"/>
  <c r="AW282" i="57"/>
  <c r="AV282" i="57"/>
  <c r="AU282" i="57"/>
  <c r="AT282" i="57"/>
  <c r="AS282" i="57"/>
  <c r="AR282" i="57"/>
  <c r="AQ282" i="57"/>
  <c r="AP282" i="57"/>
  <c r="BI282" i="57" s="1"/>
  <c r="AO282" i="57"/>
  <c r="CA282" i="57" s="1"/>
  <c r="AO281" i="57"/>
  <c r="BH281" i="57" s="1"/>
  <c r="CK280" i="57"/>
  <c r="CJ280" i="57"/>
  <c r="CI280" i="57"/>
  <c r="CH280" i="57"/>
  <c r="CG280" i="57"/>
  <c r="CF280" i="57"/>
  <c r="CE280" i="57"/>
  <c r="CD280" i="57"/>
  <c r="BF280" i="57"/>
  <c r="BE280" i="57"/>
  <c r="BD280" i="57"/>
  <c r="BC280" i="57"/>
  <c r="BB280" i="57"/>
  <c r="BA280" i="57"/>
  <c r="AZ280" i="57"/>
  <c r="AY280" i="57"/>
  <c r="AX280" i="57"/>
  <c r="AW280" i="57"/>
  <c r="AV280" i="57"/>
  <c r="AU280" i="57"/>
  <c r="AT280" i="57"/>
  <c r="AS280" i="57"/>
  <c r="AR280" i="57"/>
  <c r="AO280" i="57"/>
  <c r="CA280" i="57" s="1"/>
  <c r="CK279" i="57"/>
  <c r="CJ279" i="57"/>
  <c r="CI279" i="57"/>
  <c r="CH279" i="57"/>
  <c r="CG279" i="57"/>
  <c r="CF279" i="57"/>
  <c r="CE279" i="57"/>
  <c r="CD279" i="57"/>
  <c r="BF279" i="57"/>
  <c r="BE279" i="57"/>
  <c r="BD279" i="57"/>
  <c r="BC279" i="57"/>
  <c r="BB279" i="57"/>
  <c r="BA279" i="57"/>
  <c r="AZ279" i="57"/>
  <c r="AY279" i="57"/>
  <c r="AX279" i="57"/>
  <c r="AW279" i="57"/>
  <c r="AV279" i="57"/>
  <c r="AU279" i="57"/>
  <c r="AT279" i="57"/>
  <c r="AS279" i="57"/>
  <c r="AR279" i="57"/>
  <c r="AQ279" i="57"/>
  <c r="BJ279" i="57" s="1"/>
  <c r="AP279" i="57"/>
  <c r="AO279" i="57"/>
  <c r="CA279" i="57" s="1"/>
  <c r="AO278" i="57"/>
  <c r="CK277" i="57"/>
  <c r="CJ277" i="57"/>
  <c r="CI277" i="57"/>
  <c r="CH277" i="57"/>
  <c r="CG277" i="57"/>
  <c r="CF277" i="57"/>
  <c r="CE277" i="57"/>
  <c r="CD277" i="57"/>
  <c r="BF277" i="57"/>
  <c r="BE277" i="57"/>
  <c r="BD277" i="57"/>
  <c r="BC277" i="57"/>
  <c r="BB277" i="57"/>
  <c r="BA277" i="57"/>
  <c r="AZ277" i="57"/>
  <c r="AY277" i="57"/>
  <c r="AX277" i="57"/>
  <c r="AW277" i="57"/>
  <c r="AV277" i="57"/>
  <c r="AU277" i="57"/>
  <c r="AT277" i="57"/>
  <c r="AS277" i="57"/>
  <c r="AR277" i="57"/>
  <c r="AO277" i="57"/>
  <c r="BH277" i="57" s="1"/>
  <c r="CK276" i="57"/>
  <c r="CJ276" i="57"/>
  <c r="CI276" i="57"/>
  <c r="CH276" i="57"/>
  <c r="CG276" i="57"/>
  <c r="CF276" i="57"/>
  <c r="CE276" i="57"/>
  <c r="CD276" i="57"/>
  <c r="BF276" i="57"/>
  <c r="BE276" i="57"/>
  <c r="BD276" i="57"/>
  <c r="BC276" i="57"/>
  <c r="BB276" i="57"/>
  <c r="BA276" i="57"/>
  <c r="AZ276" i="57"/>
  <c r="AY276" i="57"/>
  <c r="AX276" i="57"/>
  <c r="AW276" i="57"/>
  <c r="AV276" i="57"/>
  <c r="AU276" i="57"/>
  <c r="AT276" i="57"/>
  <c r="AS276" i="57"/>
  <c r="AR276" i="57"/>
  <c r="AQ276" i="57"/>
  <c r="CC276" i="57" s="1"/>
  <c r="AP276" i="57"/>
  <c r="CB276" i="57" s="1"/>
  <c r="AO276" i="57"/>
  <c r="AO275" i="57"/>
  <c r="CA275" i="57" s="1"/>
  <c r="CK274" i="57"/>
  <c r="CJ274" i="57"/>
  <c r="CI274" i="57"/>
  <c r="CH274" i="57"/>
  <c r="CG274" i="57"/>
  <c r="CF274" i="57"/>
  <c r="CE274" i="57"/>
  <c r="CD274" i="57"/>
  <c r="BF274" i="57"/>
  <c r="BE274" i="57"/>
  <c r="BD274" i="57"/>
  <c r="BC274" i="57"/>
  <c r="BB274" i="57"/>
  <c r="BA274" i="57"/>
  <c r="AZ274" i="57"/>
  <c r="AY274" i="57"/>
  <c r="AX274" i="57"/>
  <c r="AW274" i="57"/>
  <c r="AV274" i="57"/>
  <c r="AU274" i="57"/>
  <c r="AT274" i="57"/>
  <c r="AS274" i="57"/>
  <c r="AR274" i="57"/>
  <c r="AO274" i="57"/>
  <c r="CA274" i="57" s="1"/>
  <c r="CK273" i="57"/>
  <c r="CJ273" i="57"/>
  <c r="CI273" i="57"/>
  <c r="CH273" i="57"/>
  <c r="CG273" i="57"/>
  <c r="CF273" i="57"/>
  <c r="CE273" i="57"/>
  <c r="CD273" i="57"/>
  <c r="BF273" i="57"/>
  <c r="BE273" i="57"/>
  <c r="BD273" i="57"/>
  <c r="BC273" i="57"/>
  <c r="BB273" i="57"/>
  <c r="BA273" i="57"/>
  <c r="AZ273" i="57"/>
  <c r="AY273" i="57"/>
  <c r="AX273" i="57"/>
  <c r="AW273" i="57"/>
  <c r="AV273" i="57"/>
  <c r="AU273" i="57"/>
  <c r="AT273" i="57"/>
  <c r="AS273" i="57"/>
  <c r="AR273" i="57"/>
  <c r="AQ273" i="57"/>
  <c r="BJ273" i="57" s="1"/>
  <c r="AP273" i="57"/>
  <c r="CB273" i="57" s="1"/>
  <c r="AO273" i="57"/>
  <c r="AO272" i="57"/>
  <c r="CA272" i="57" s="1"/>
  <c r="CK271" i="57"/>
  <c r="CJ271" i="57"/>
  <c r="CI271" i="57"/>
  <c r="CH271" i="57"/>
  <c r="CG271" i="57"/>
  <c r="CF271" i="57"/>
  <c r="CE271" i="57"/>
  <c r="CD271" i="57"/>
  <c r="BF271" i="57"/>
  <c r="BE271" i="57"/>
  <c r="BD271" i="57"/>
  <c r="BC271" i="57"/>
  <c r="BB271" i="57"/>
  <c r="BA271" i="57"/>
  <c r="AZ271" i="57"/>
  <c r="AY271" i="57"/>
  <c r="AX271" i="57"/>
  <c r="AW271" i="57"/>
  <c r="AV271" i="57"/>
  <c r="AU271" i="57"/>
  <c r="AT271" i="57"/>
  <c r="AS271" i="57"/>
  <c r="AR271" i="57"/>
  <c r="AO271" i="57"/>
  <c r="CA271" i="57" s="1"/>
  <c r="CK270" i="57"/>
  <c r="CJ270" i="57"/>
  <c r="CI270" i="57"/>
  <c r="CH270" i="57"/>
  <c r="CG270" i="57"/>
  <c r="CF270" i="57"/>
  <c r="CE270" i="57"/>
  <c r="CD270" i="57"/>
  <c r="BF270" i="57"/>
  <c r="BE270" i="57"/>
  <c r="BD270" i="57"/>
  <c r="BC270" i="57"/>
  <c r="BB270" i="57"/>
  <c r="BA270" i="57"/>
  <c r="AZ270" i="57"/>
  <c r="AY270" i="57"/>
  <c r="AX270" i="57"/>
  <c r="AW270" i="57"/>
  <c r="AV270" i="57"/>
  <c r="AU270" i="57"/>
  <c r="AT270" i="57"/>
  <c r="AS270" i="57"/>
  <c r="AR270" i="57"/>
  <c r="AQ270" i="57"/>
  <c r="BJ270" i="57" s="1"/>
  <c r="AP270" i="57"/>
  <c r="BI270" i="57" s="1"/>
  <c r="AO270" i="57"/>
  <c r="AO269" i="57"/>
  <c r="BH269" i="57" s="1"/>
  <c r="CK268" i="57"/>
  <c r="CJ268" i="57"/>
  <c r="CI268" i="57"/>
  <c r="CH268" i="57"/>
  <c r="CG268" i="57"/>
  <c r="CF268" i="57"/>
  <c r="CE268" i="57"/>
  <c r="CD268" i="57"/>
  <c r="BF268" i="57"/>
  <c r="BE268" i="57"/>
  <c r="BD268" i="57"/>
  <c r="BC268" i="57"/>
  <c r="BB268" i="57"/>
  <c r="BA268" i="57"/>
  <c r="AZ268" i="57"/>
  <c r="AY268" i="57"/>
  <c r="AX268" i="57"/>
  <c r="AW268" i="57"/>
  <c r="AV268" i="57"/>
  <c r="AU268" i="57"/>
  <c r="AT268" i="57"/>
  <c r="AS268" i="57"/>
  <c r="AR268" i="57"/>
  <c r="AO268" i="57"/>
  <c r="BH268" i="57" s="1"/>
  <c r="CK267" i="57"/>
  <c r="CJ267" i="57"/>
  <c r="CI267" i="57"/>
  <c r="CH267" i="57"/>
  <c r="CG267" i="57"/>
  <c r="CF267" i="57"/>
  <c r="CE267" i="57"/>
  <c r="CD267" i="57"/>
  <c r="BF267" i="57"/>
  <c r="BE267" i="57"/>
  <c r="BD267" i="57"/>
  <c r="BC267" i="57"/>
  <c r="BB267" i="57"/>
  <c r="BA267" i="57"/>
  <c r="AZ267" i="57"/>
  <c r="AY267" i="57"/>
  <c r="AX267" i="57"/>
  <c r="AW267" i="57"/>
  <c r="AV267" i="57"/>
  <c r="AU267" i="57"/>
  <c r="AT267" i="57"/>
  <c r="AS267" i="57"/>
  <c r="AR267" i="57"/>
  <c r="AQ267" i="57"/>
  <c r="BJ267" i="57" s="1"/>
  <c r="AP267" i="57"/>
  <c r="AO267" i="57"/>
  <c r="AO266" i="57"/>
  <c r="CK265" i="57"/>
  <c r="CJ265" i="57"/>
  <c r="CI265" i="57"/>
  <c r="CH265" i="57"/>
  <c r="CG265" i="57"/>
  <c r="CF265" i="57"/>
  <c r="CE265" i="57"/>
  <c r="CD265" i="57"/>
  <c r="BF265" i="57"/>
  <c r="BE265" i="57"/>
  <c r="BD265" i="57"/>
  <c r="BC265" i="57"/>
  <c r="BB265" i="57"/>
  <c r="BA265" i="57"/>
  <c r="AZ265" i="57"/>
  <c r="AY265" i="57"/>
  <c r="AX265" i="57"/>
  <c r="AW265" i="57"/>
  <c r="AV265" i="57"/>
  <c r="AU265" i="57"/>
  <c r="AT265" i="57"/>
  <c r="AS265" i="57"/>
  <c r="AR265" i="57"/>
  <c r="AO265" i="57"/>
  <c r="BH265" i="57" s="1"/>
  <c r="CK264" i="57"/>
  <c r="CJ264" i="57"/>
  <c r="CI264" i="57"/>
  <c r="CH264" i="57"/>
  <c r="CG264" i="57"/>
  <c r="CF264" i="57"/>
  <c r="CE264" i="57"/>
  <c r="CD264" i="57"/>
  <c r="BF264" i="57"/>
  <c r="BE264" i="57"/>
  <c r="BD264" i="57"/>
  <c r="BC264" i="57"/>
  <c r="BB264" i="57"/>
  <c r="BA264" i="57"/>
  <c r="AZ264" i="57"/>
  <c r="AY264" i="57"/>
  <c r="AX264" i="57"/>
  <c r="AW264" i="57"/>
  <c r="AV264" i="57"/>
  <c r="AU264" i="57"/>
  <c r="AT264" i="57"/>
  <c r="AS264" i="57"/>
  <c r="AR264" i="57"/>
  <c r="AQ264" i="57"/>
  <c r="AP264" i="57"/>
  <c r="CB264" i="57" s="1"/>
  <c r="AO264" i="57"/>
  <c r="CA264" i="57" s="1"/>
  <c r="AO263" i="57"/>
  <c r="BH263" i="57" s="1"/>
  <c r="CK262" i="57"/>
  <c r="CJ262" i="57"/>
  <c r="CI262" i="57"/>
  <c r="CH262" i="57"/>
  <c r="CG262" i="57"/>
  <c r="CF262" i="57"/>
  <c r="CE262" i="57"/>
  <c r="CD262" i="57"/>
  <c r="BF262" i="57"/>
  <c r="BE262" i="57"/>
  <c r="BD262" i="57"/>
  <c r="BC262" i="57"/>
  <c r="BB262" i="57"/>
  <c r="BA262" i="57"/>
  <c r="AZ262" i="57"/>
  <c r="AY262" i="57"/>
  <c r="AX262" i="57"/>
  <c r="AW262" i="57"/>
  <c r="AV262" i="57"/>
  <c r="AU262" i="57"/>
  <c r="AT262" i="57"/>
  <c r="AS262" i="57"/>
  <c r="AR262" i="57"/>
  <c r="AO262" i="57"/>
  <c r="CK261" i="57"/>
  <c r="CJ261" i="57"/>
  <c r="CI261" i="57"/>
  <c r="CH261" i="57"/>
  <c r="CG261" i="57"/>
  <c r="CF261" i="57"/>
  <c r="CE261" i="57"/>
  <c r="CD261" i="57"/>
  <c r="BF261" i="57"/>
  <c r="BE261" i="57"/>
  <c r="BD261" i="57"/>
  <c r="BC261" i="57"/>
  <c r="BB261" i="57"/>
  <c r="BA261" i="57"/>
  <c r="AZ261" i="57"/>
  <c r="AY261" i="57"/>
  <c r="AX261" i="57"/>
  <c r="AW261" i="57"/>
  <c r="AV261" i="57"/>
  <c r="AU261" i="57"/>
  <c r="AT261" i="57"/>
  <c r="AS261" i="57"/>
  <c r="AR261" i="57"/>
  <c r="AQ261" i="57"/>
  <c r="CC261" i="57" s="1"/>
  <c r="AP261" i="57"/>
  <c r="BI261" i="57" s="1"/>
  <c r="AO261" i="57"/>
  <c r="AO260" i="57"/>
  <c r="CK259" i="57"/>
  <c r="CJ259" i="57"/>
  <c r="CI259" i="57"/>
  <c r="CH259" i="57"/>
  <c r="CG259" i="57"/>
  <c r="CF259" i="57"/>
  <c r="CE259" i="57"/>
  <c r="CD259" i="57"/>
  <c r="BF259" i="57"/>
  <c r="BE259" i="57"/>
  <c r="BD259" i="57"/>
  <c r="BC259" i="57"/>
  <c r="BB259" i="57"/>
  <c r="BA259" i="57"/>
  <c r="AZ259" i="57"/>
  <c r="AY259" i="57"/>
  <c r="AX259" i="57"/>
  <c r="AW259" i="57"/>
  <c r="AV259" i="57"/>
  <c r="AU259" i="57"/>
  <c r="AT259" i="57"/>
  <c r="AS259" i="57"/>
  <c r="AR259" i="57"/>
  <c r="AO259" i="57"/>
  <c r="CK258" i="57"/>
  <c r="CJ258" i="57"/>
  <c r="CI258" i="57"/>
  <c r="CH258" i="57"/>
  <c r="CG258" i="57"/>
  <c r="CF258" i="57"/>
  <c r="CE258" i="57"/>
  <c r="CD258" i="57"/>
  <c r="BF258" i="57"/>
  <c r="BE258" i="57"/>
  <c r="BD258" i="57"/>
  <c r="BC258" i="57"/>
  <c r="BB258" i="57"/>
  <c r="BA258" i="57"/>
  <c r="AZ258" i="57"/>
  <c r="AY258" i="57"/>
  <c r="AX258" i="57"/>
  <c r="AW258" i="57"/>
  <c r="AV258" i="57"/>
  <c r="AU258" i="57"/>
  <c r="AT258" i="57"/>
  <c r="AS258" i="57"/>
  <c r="AR258" i="57"/>
  <c r="AQ258" i="57"/>
  <c r="CC258" i="57" s="1"/>
  <c r="AP258" i="57"/>
  <c r="BI258" i="57" s="1"/>
  <c r="AO258" i="57"/>
  <c r="AO257" i="57"/>
  <c r="BH257" i="57" s="1"/>
  <c r="CK256" i="57"/>
  <c r="CJ256" i="57"/>
  <c r="CI256" i="57"/>
  <c r="CH256" i="57"/>
  <c r="CG256" i="57"/>
  <c r="CF256" i="57"/>
  <c r="CE256" i="57"/>
  <c r="CD256" i="57"/>
  <c r="BF256" i="57"/>
  <c r="BE256" i="57"/>
  <c r="BD256" i="57"/>
  <c r="BC256" i="57"/>
  <c r="BB256" i="57"/>
  <c r="BA256" i="57"/>
  <c r="AZ256" i="57"/>
  <c r="AY256" i="57"/>
  <c r="AX256" i="57"/>
  <c r="AW256" i="57"/>
  <c r="AV256" i="57"/>
  <c r="AU256" i="57"/>
  <c r="AT256" i="57"/>
  <c r="AS256" i="57"/>
  <c r="AR256" i="57"/>
  <c r="AO256" i="57"/>
  <c r="CA256" i="57" s="1"/>
  <c r="CK255" i="57"/>
  <c r="CJ255" i="57"/>
  <c r="CI255" i="57"/>
  <c r="CH255" i="57"/>
  <c r="CG255" i="57"/>
  <c r="CF255" i="57"/>
  <c r="CE255" i="57"/>
  <c r="CD255" i="57"/>
  <c r="BF255" i="57"/>
  <c r="BE255" i="57"/>
  <c r="BD255" i="57"/>
  <c r="BC255" i="57"/>
  <c r="BB255" i="57"/>
  <c r="BA255" i="57"/>
  <c r="AZ255" i="57"/>
  <c r="AY255" i="57"/>
  <c r="AX255" i="57"/>
  <c r="AW255" i="57"/>
  <c r="AV255" i="57"/>
  <c r="AU255" i="57"/>
  <c r="AT255" i="57"/>
  <c r="AS255" i="57"/>
  <c r="AR255" i="57"/>
  <c r="AQ255" i="57"/>
  <c r="BJ255" i="57" s="1"/>
  <c r="AP255" i="57"/>
  <c r="AO255" i="57"/>
  <c r="CA255" i="57" s="1"/>
  <c r="AO254" i="57"/>
  <c r="CA254" i="57" s="1"/>
  <c r="CK253" i="57"/>
  <c r="CJ253" i="57"/>
  <c r="CI253" i="57"/>
  <c r="CH253" i="57"/>
  <c r="CG253" i="57"/>
  <c r="CF253" i="57"/>
  <c r="CE253" i="57"/>
  <c r="CD253" i="57"/>
  <c r="BF253" i="57"/>
  <c r="BE253" i="57"/>
  <c r="BD253" i="57"/>
  <c r="BC253" i="57"/>
  <c r="BB253" i="57"/>
  <c r="BA253" i="57"/>
  <c r="AZ253" i="57"/>
  <c r="AY253" i="57"/>
  <c r="AX253" i="57"/>
  <c r="AW253" i="57"/>
  <c r="AV253" i="57"/>
  <c r="AU253" i="57"/>
  <c r="AT253" i="57"/>
  <c r="AS253" i="57"/>
  <c r="AR253" i="57"/>
  <c r="AO253" i="57"/>
  <c r="BH253" i="57" s="1"/>
  <c r="CK252" i="57"/>
  <c r="CJ252" i="57"/>
  <c r="CI252" i="57"/>
  <c r="CH252" i="57"/>
  <c r="CG252" i="57"/>
  <c r="CF252" i="57"/>
  <c r="CE252" i="57"/>
  <c r="CD252" i="57"/>
  <c r="BF252" i="57"/>
  <c r="BE252" i="57"/>
  <c r="BD252" i="57"/>
  <c r="BC252" i="57"/>
  <c r="BB252" i="57"/>
  <c r="BA252" i="57"/>
  <c r="AZ252" i="57"/>
  <c r="AY252" i="57"/>
  <c r="AX252" i="57"/>
  <c r="AW252" i="57"/>
  <c r="AV252" i="57"/>
  <c r="AU252" i="57"/>
  <c r="AT252" i="57"/>
  <c r="AS252" i="57"/>
  <c r="AR252" i="57"/>
  <c r="AQ252" i="57"/>
  <c r="AP252" i="57"/>
  <c r="CB252" i="57" s="1"/>
  <c r="AO252" i="57"/>
  <c r="BH252" i="57" s="1"/>
  <c r="AO251" i="57"/>
  <c r="CK250" i="57"/>
  <c r="CJ250" i="57"/>
  <c r="CI250" i="57"/>
  <c r="CH250" i="57"/>
  <c r="CG250" i="57"/>
  <c r="CF250" i="57"/>
  <c r="CE250" i="57"/>
  <c r="CD250" i="57"/>
  <c r="BF250" i="57"/>
  <c r="BE250" i="57"/>
  <c r="BD250" i="57"/>
  <c r="BC250" i="57"/>
  <c r="BB250" i="57"/>
  <c r="BA250" i="57"/>
  <c r="AZ250" i="57"/>
  <c r="AY250" i="57"/>
  <c r="AX250" i="57"/>
  <c r="AW250" i="57"/>
  <c r="AV250" i="57"/>
  <c r="AU250" i="57"/>
  <c r="AT250" i="57"/>
  <c r="AS250" i="57"/>
  <c r="AR250" i="57"/>
  <c r="AO250" i="57"/>
  <c r="CA250" i="57" s="1"/>
  <c r="CK249" i="57"/>
  <c r="CJ249" i="57"/>
  <c r="CI249" i="57"/>
  <c r="CH249" i="57"/>
  <c r="CG249" i="57"/>
  <c r="CF249" i="57"/>
  <c r="CE249" i="57"/>
  <c r="CD249" i="57"/>
  <c r="BF249" i="57"/>
  <c r="BE249" i="57"/>
  <c r="BD249" i="57"/>
  <c r="BC249" i="57"/>
  <c r="BB249" i="57"/>
  <c r="BA249" i="57"/>
  <c r="AZ249" i="57"/>
  <c r="AY249" i="57"/>
  <c r="AX249" i="57"/>
  <c r="AW249" i="57"/>
  <c r="AV249" i="57"/>
  <c r="AU249" i="57"/>
  <c r="AT249" i="57"/>
  <c r="AS249" i="57"/>
  <c r="AR249" i="57"/>
  <c r="AQ249" i="57"/>
  <c r="CC249" i="57" s="1"/>
  <c r="AP249" i="57"/>
  <c r="CB249" i="57" s="1"/>
  <c r="AO249" i="57"/>
  <c r="BH249" i="57" s="1"/>
  <c r="AO248" i="57"/>
  <c r="CA248" i="57" s="1"/>
  <c r="CK247" i="57"/>
  <c r="CJ247" i="57"/>
  <c r="CI247" i="57"/>
  <c r="CH247" i="57"/>
  <c r="CG247" i="57"/>
  <c r="CF247" i="57"/>
  <c r="CE247" i="57"/>
  <c r="CD247" i="57"/>
  <c r="BF247" i="57"/>
  <c r="BE247" i="57"/>
  <c r="BD247" i="57"/>
  <c r="BC247" i="57"/>
  <c r="BB247" i="57"/>
  <c r="BA247" i="57"/>
  <c r="AZ247" i="57"/>
  <c r="AY247" i="57"/>
  <c r="AX247" i="57"/>
  <c r="AW247" i="57"/>
  <c r="AV247" i="57"/>
  <c r="AU247" i="57"/>
  <c r="AT247" i="57"/>
  <c r="AS247" i="57"/>
  <c r="AR247" i="57"/>
  <c r="AO247" i="57"/>
  <c r="CA247" i="57" s="1"/>
  <c r="CK246" i="57"/>
  <c r="CJ246" i="57"/>
  <c r="CI246" i="57"/>
  <c r="CH246" i="57"/>
  <c r="CG246" i="57"/>
  <c r="CF246" i="57"/>
  <c r="CE246" i="57"/>
  <c r="CD246" i="57"/>
  <c r="BF246" i="57"/>
  <c r="BE246" i="57"/>
  <c r="BD246" i="57"/>
  <c r="BC246" i="57"/>
  <c r="BB246" i="57"/>
  <c r="BA246" i="57"/>
  <c r="AZ246" i="57"/>
  <c r="AY246" i="57"/>
  <c r="AX246" i="57"/>
  <c r="AW246" i="57"/>
  <c r="AV246" i="57"/>
  <c r="AU246" i="57"/>
  <c r="AT246" i="57"/>
  <c r="AS246" i="57"/>
  <c r="AR246" i="57"/>
  <c r="AQ246" i="57"/>
  <c r="BJ246" i="57" s="1"/>
  <c r="AP246" i="57"/>
  <c r="BI246" i="57" s="1"/>
  <c r="AO246" i="57"/>
  <c r="CA246" i="57" s="1"/>
  <c r="AO245" i="57"/>
  <c r="CA245" i="57" s="1"/>
  <c r="CK244" i="57"/>
  <c r="CJ244" i="57"/>
  <c r="CI244" i="57"/>
  <c r="CH244" i="57"/>
  <c r="CG244" i="57"/>
  <c r="CF244" i="57"/>
  <c r="CE244" i="57"/>
  <c r="CD244" i="57"/>
  <c r="BF244" i="57"/>
  <c r="BE244" i="57"/>
  <c r="BD244" i="57"/>
  <c r="BC244" i="57"/>
  <c r="BB244" i="57"/>
  <c r="BA244" i="57"/>
  <c r="AZ244" i="57"/>
  <c r="AY244" i="57"/>
  <c r="AX244" i="57"/>
  <c r="AW244" i="57"/>
  <c r="AV244" i="57"/>
  <c r="AU244" i="57"/>
  <c r="AT244" i="57"/>
  <c r="AS244" i="57"/>
  <c r="AR244" i="57"/>
  <c r="AO244" i="57"/>
  <c r="CA244" i="57" s="1"/>
  <c r="CK243" i="57"/>
  <c r="CJ243" i="57"/>
  <c r="CI243" i="57"/>
  <c r="CH243" i="57"/>
  <c r="CG243" i="57"/>
  <c r="CF243" i="57"/>
  <c r="CE243" i="57"/>
  <c r="CD243" i="57"/>
  <c r="BF243" i="57"/>
  <c r="BE243" i="57"/>
  <c r="BD243" i="57"/>
  <c r="BC243" i="57"/>
  <c r="BB243" i="57"/>
  <c r="BA243" i="57"/>
  <c r="AZ243" i="57"/>
  <c r="AY243" i="57"/>
  <c r="AX243" i="57"/>
  <c r="AW243" i="57"/>
  <c r="AV243" i="57"/>
  <c r="AU243" i="57"/>
  <c r="AT243" i="57"/>
  <c r="AS243" i="57"/>
  <c r="AR243" i="57"/>
  <c r="AQ243" i="57"/>
  <c r="BJ243" i="57" s="1"/>
  <c r="AP243" i="57"/>
  <c r="CB243" i="57" s="1"/>
  <c r="AO243" i="57"/>
  <c r="CA243" i="57" s="1"/>
  <c r="AO242" i="57"/>
  <c r="CA242" i="57" s="1"/>
  <c r="CK241" i="57"/>
  <c r="CJ241" i="57"/>
  <c r="CI241" i="57"/>
  <c r="CH241" i="57"/>
  <c r="CG241" i="57"/>
  <c r="CF241" i="57"/>
  <c r="CE241" i="57"/>
  <c r="CD241" i="57"/>
  <c r="BF241" i="57"/>
  <c r="BE241" i="57"/>
  <c r="BD241" i="57"/>
  <c r="BC241" i="57"/>
  <c r="BB241" i="57"/>
  <c r="BA241" i="57"/>
  <c r="AZ241" i="57"/>
  <c r="AY241" i="57"/>
  <c r="AX241" i="57"/>
  <c r="AW241" i="57"/>
  <c r="AV241" i="57"/>
  <c r="AU241" i="57"/>
  <c r="AT241" i="57"/>
  <c r="AS241" i="57"/>
  <c r="AR241" i="57"/>
  <c r="AO241" i="57"/>
  <c r="CK240" i="57"/>
  <c r="CJ240" i="57"/>
  <c r="CI240" i="57"/>
  <c r="CH240" i="57"/>
  <c r="CG240" i="57"/>
  <c r="CF240" i="57"/>
  <c r="CE240" i="57"/>
  <c r="CD240" i="57"/>
  <c r="BF240" i="57"/>
  <c r="BE240" i="57"/>
  <c r="BD240" i="57"/>
  <c r="BC240" i="57"/>
  <c r="BB240" i="57"/>
  <c r="BA240" i="57"/>
  <c r="AZ240" i="57"/>
  <c r="AY240" i="57"/>
  <c r="AX240" i="57"/>
  <c r="AW240" i="57"/>
  <c r="AV240" i="57"/>
  <c r="AU240" i="57"/>
  <c r="AT240" i="57"/>
  <c r="AS240" i="57"/>
  <c r="AR240" i="57"/>
  <c r="AQ240" i="57"/>
  <c r="CC240" i="57" s="1"/>
  <c r="AP240" i="57"/>
  <c r="BI240" i="57" s="1"/>
  <c r="AO240" i="57"/>
  <c r="CA240" i="57" s="1"/>
  <c r="AO239" i="57"/>
  <c r="BH239" i="57" s="1"/>
  <c r="CK238" i="57"/>
  <c r="CJ238" i="57"/>
  <c r="CI238" i="57"/>
  <c r="CH238" i="57"/>
  <c r="CG238" i="57"/>
  <c r="CF238" i="57"/>
  <c r="CE238" i="57"/>
  <c r="CD238" i="57"/>
  <c r="BF238" i="57"/>
  <c r="BE238" i="57"/>
  <c r="BD238" i="57"/>
  <c r="BC238" i="57"/>
  <c r="BB238" i="57"/>
  <c r="BA238" i="57"/>
  <c r="AZ238" i="57"/>
  <c r="AY238" i="57"/>
  <c r="AX238" i="57"/>
  <c r="AW238" i="57"/>
  <c r="AV238" i="57"/>
  <c r="AU238" i="57"/>
  <c r="AT238" i="57"/>
  <c r="AS238" i="57"/>
  <c r="AR238" i="57"/>
  <c r="AO238" i="57"/>
  <c r="CA238" i="57" s="1"/>
  <c r="CK237" i="57"/>
  <c r="CJ237" i="57"/>
  <c r="CI237" i="57"/>
  <c r="CH237" i="57"/>
  <c r="CG237" i="57"/>
  <c r="CF237" i="57"/>
  <c r="CE237" i="57"/>
  <c r="CD237" i="57"/>
  <c r="BF237" i="57"/>
  <c r="BE237" i="57"/>
  <c r="BD237" i="57"/>
  <c r="BC237" i="57"/>
  <c r="BB237" i="57"/>
  <c r="BA237" i="57"/>
  <c r="AZ237" i="57"/>
  <c r="AY237" i="57"/>
  <c r="AX237" i="57"/>
  <c r="AW237" i="57"/>
  <c r="AV237" i="57"/>
  <c r="AU237" i="57"/>
  <c r="AT237" i="57"/>
  <c r="AS237" i="57"/>
  <c r="AR237" i="57"/>
  <c r="AQ237" i="57"/>
  <c r="CC237" i="57" s="1"/>
  <c r="AP237" i="57"/>
  <c r="CB237" i="57" s="1"/>
  <c r="AO237" i="57"/>
  <c r="CA237" i="57" s="1"/>
  <c r="AO236" i="57"/>
  <c r="CA236" i="57" s="1"/>
  <c r="CK235" i="57"/>
  <c r="CJ235" i="57"/>
  <c r="CI235" i="57"/>
  <c r="CH235" i="57"/>
  <c r="CG235" i="57"/>
  <c r="CF235" i="57"/>
  <c r="CE235" i="57"/>
  <c r="CD235" i="57"/>
  <c r="BF235" i="57"/>
  <c r="BE235" i="57"/>
  <c r="BD235" i="57"/>
  <c r="BC235" i="57"/>
  <c r="BB235" i="57"/>
  <c r="BA235" i="57"/>
  <c r="AZ235" i="57"/>
  <c r="AY235" i="57"/>
  <c r="AX235" i="57"/>
  <c r="AW235" i="57"/>
  <c r="AV235" i="57"/>
  <c r="AU235" i="57"/>
  <c r="AT235" i="57"/>
  <c r="AS235" i="57"/>
  <c r="AR235" i="57"/>
  <c r="AO235" i="57"/>
  <c r="CA235" i="57" s="1"/>
  <c r="CK234" i="57"/>
  <c r="CJ234" i="57"/>
  <c r="CI234" i="57"/>
  <c r="CH234" i="57"/>
  <c r="CG234" i="57"/>
  <c r="CF234" i="57"/>
  <c r="CE234" i="57"/>
  <c r="CD234" i="57"/>
  <c r="BF234" i="57"/>
  <c r="BE234" i="57"/>
  <c r="BD234" i="57"/>
  <c r="BC234" i="57"/>
  <c r="BB234" i="57"/>
  <c r="BA234" i="57"/>
  <c r="AZ234" i="57"/>
  <c r="AY234" i="57"/>
  <c r="AX234" i="57"/>
  <c r="AW234" i="57"/>
  <c r="AV234" i="57"/>
  <c r="AU234" i="57"/>
  <c r="AT234" i="57"/>
  <c r="AS234" i="57"/>
  <c r="AR234" i="57"/>
  <c r="AQ234" i="57"/>
  <c r="BJ234" i="57" s="1"/>
  <c r="AP234" i="57"/>
  <c r="BI234" i="57" s="1"/>
  <c r="AO234" i="57"/>
  <c r="CA234" i="57" s="1"/>
  <c r="AO233" i="57"/>
  <c r="BH233" i="57" s="1"/>
  <c r="CK232" i="57"/>
  <c r="CJ232" i="57"/>
  <c r="CI232" i="57"/>
  <c r="CH232" i="57"/>
  <c r="CG232" i="57"/>
  <c r="CF232" i="57"/>
  <c r="CE232" i="57"/>
  <c r="CD232" i="57"/>
  <c r="BF232" i="57"/>
  <c r="BE232" i="57"/>
  <c r="BD232" i="57"/>
  <c r="BC232" i="57"/>
  <c r="BB232" i="57"/>
  <c r="BA232" i="57"/>
  <c r="AZ232" i="57"/>
  <c r="AY232" i="57"/>
  <c r="AX232" i="57"/>
  <c r="AW232" i="57"/>
  <c r="AV232" i="57"/>
  <c r="AU232" i="57"/>
  <c r="AT232" i="57"/>
  <c r="AS232" i="57"/>
  <c r="AR232" i="57"/>
  <c r="AO232" i="57"/>
  <c r="CK231" i="57"/>
  <c r="CJ231" i="57"/>
  <c r="CI231" i="57"/>
  <c r="CH231" i="57"/>
  <c r="CG231" i="57"/>
  <c r="CF231" i="57"/>
  <c r="CE231" i="57"/>
  <c r="CD231" i="57"/>
  <c r="BF231" i="57"/>
  <c r="BE231" i="57"/>
  <c r="BD231" i="57"/>
  <c r="BC231" i="57"/>
  <c r="BB231" i="57"/>
  <c r="BA231" i="57"/>
  <c r="AZ231" i="57"/>
  <c r="AY231" i="57"/>
  <c r="AX231" i="57"/>
  <c r="AW231" i="57"/>
  <c r="AV231" i="57"/>
  <c r="AU231" i="57"/>
  <c r="AT231" i="57"/>
  <c r="AS231" i="57"/>
  <c r="AR231" i="57"/>
  <c r="AQ231" i="57"/>
  <c r="CC231" i="57" s="1"/>
  <c r="AP231" i="57"/>
  <c r="BI231" i="57" s="1"/>
  <c r="AO231" i="57"/>
  <c r="BH231" i="57" s="1"/>
  <c r="AO230" i="57"/>
  <c r="BH230" i="57" s="1"/>
  <c r="CK229" i="57"/>
  <c r="CJ229" i="57"/>
  <c r="CI229" i="57"/>
  <c r="CH229" i="57"/>
  <c r="CG229" i="57"/>
  <c r="CF229" i="57"/>
  <c r="CE229" i="57"/>
  <c r="CD229" i="57"/>
  <c r="BF229" i="57"/>
  <c r="BE229" i="57"/>
  <c r="BD229" i="57"/>
  <c r="BC229" i="57"/>
  <c r="BB229" i="57"/>
  <c r="BA229" i="57"/>
  <c r="AZ229" i="57"/>
  <c r="AY229" i="57"/>
  <c r="AX229" i="57"/>
  <c r="AW229" i="57"/>
  <c r="AV229" i="57"/>
  <c r="AU229" i="57"/>
  <c r="AT229" i="57"/>
  <c r="AS229" i="57"/>
  <c r="AR229" i="57"/>
  <c r="AO229" i="57"/>
  <c r="CK228" i="57"/>
  <c r="CJ228" i="57"/>
  <c r="CI228" i="57"/>
  <c r="CH228" i="57"/>
  <c r="CG228" i="57"/>
  <c r="CF228" i="57"/>
  <c r="CE228" i="57"/>
  <c r="CD228" i="57"/>
  <c r="BF228" i="57"/>
  <c r="BE228" i="57"/>
  <c r="BD228" i="57"/>
  <c r="BC228" i="57"/>
  <c r="BB228" i="57"/>
  <c r="BA228" i="57"/>
  <c r="AZ228" i="57"/>
  <c r="AY228" i="57"/>
  <c r="AX228" i="57"/>
  <c r="AW228" i="57"/>
  <c r="AV228" i="57"/>
  <c r="AU228" i="57"/>
  <c r="AT228" i="57"/>
  <c r="AS228" i="57"/>
  <c r="AR228" i="57"/>
  <c r="AQ228" i="57"/>
  <c r="CC228" i="57" s="1"/>
  <c r="AP228" i="57"/>
  <c r="CB228" i="57" s="1"/>
  <c r="AO228" i="57"/>
  <c r="BH228" i="57" s="1"/>
  <c r="AO227" i="57"/>
  <c r="CA227" i="57" s="1"/>
  <c r="CK226" i="57"/>
  <c r="CJ226" i="57"/>
  <c r="CI226" i="57"/>
  <c r="CH226" i="57"/>
  <c r="CG226" i="57"/>
  <c r="CF226" i="57"/>
  <c r="CE226" i="57"/>
  <c r="CD226" i="57"/>
  <c r="BF226" i="57"/>
  <c r="BE226" i="57"/>
  <c r="BD226" i="57"/>
  <c r="BC226" i="57"/>
  <c r="BB226" i="57"/>
  <c r="BA226" i="57"/>
  <c r="AZ226" i="57"/>
  <c r="AY226" i="57"/>
  <c r="AX226" i="57"/>
  <c r="AW226" i="57"/>
  <c r="AV226" i="57"/>
  <c r="AU226" i="57"/>
  <c r="AT226" i="57"/>
  <c r="AS226" i="57"/>
  <c r="AR226" i="57"/>
  <c r="AO226" i="57"/>
  <c r="CA226" i="57" s="1"/>
  <c r="CK225" i="57"/>
  <c r="CJ225" i="57"/>
  <c r="CI225" i="57"/>
  <c r="CH225" i="57"/>
  <c r="CG225" i="57"/>
  <c r="CF225" i="57"/>
  <c r="CE225" i="57"/>
  <c r="CD225" i="57"/>
  <c r="BF225" i="57"/>
  <c r="BE225" i="57"/>
  <c r="BD225" i="57"/>
  <c r="BC225" i="57"/>
  <c r="BB225" i="57"/>
  <c r="BA225" i="57"/>
  <c r="AZ225" i="57"/>
  <c r="AY225" i="57"/>
  <c r="AX225" i="57"/>
  <c r="AW225" i="57"/>
  <c r="AV225" i="57"/>
  <c r="AU225" i="57"/>
  <c r="AT225" i="57"/>
  <c r="AS225" i="57"/>
  <c r="AR225" i="57"/>
  <c r="AQ225" i="57"/>
  <c r="CC225" i="57" s="1"/>
  <c r="AP225" i="57"/>
  <c r="AO225" i="57"/>
  <c r="BH225" i="57" s="1"/>
  <c r="AO224" i="57"/>
  <c r="CK223" i="57"/>
  <c r="CJ223" i="57"/>
  <c r="CI223" i="57"/>
  <c r="CH223" i="57"/>
  <c r="CG223" i="57"/>
  <c r="CF223" i="57"/>
  <c r="CE223" i="57"/>
  <c r="CD223" i="57"/>
  <c r="BF223" i="57"/>
  <c r="BE223" i="57"/>
  <c r="BD223" i="57"/>
  <c r="BC223" i="57"/>
  <c r="BB223" i="57"/>
  <c r="BA223" i="57"/>
  <c r="AZ223" i="57"/>
  <c r="AY223" i="57"/>
  <c r="AX223" i="57"/>
  <c r="AW223" i="57"/>
  <c r="AV223" i="57"/>
  <c r="AU223" i="57"/>
  <c r="AT223" i="57"/>
  <c r="AS223" i="57"/>
  <c r="AR223" i="57"/>
  <c r="AO223" i="57"/>
  <c r="CA223" i="57" s="1"/>
  <c r="CK222" i="57"/>
  <c r="CJ222" i="57"/>
  <c r="CI222" i="57"/>
  <c r="CH222" i="57"/>
  <c r="CG222" i="57"/>
  <c r="CF222" i="57"/>
  <c r="CE222" i="57"/>
  <c r="CD222" i="57"/>
  <c r="BF222" i="57"/>
  <c r="BE222" i="57"/>
  <c r="BD222" i="57"/>
  <c r="BC222" i="57"/>
  <c r="BB222" i="57"/>
  <c r="BA222" i="57"/>
  <c r="AZ222" i="57"/>
  <c r="AY222" i="57"/>
  <c r="AX222" i="57"/>
  <c r="AW222" i="57"/>
  <c r="AV222" i="57"/>
  <c r="AU222" i="57"/>
  <c r="AT222" i="57"/>
  <c r="AS222" i="57"/>
  <c r="AR222" i="57"/>
  <c r="AQ222" i="57"/>
  <c r="BJ222" i="57" s="1"/>
  <c r="AP222" i="57"/>
  <c r="CB222" i="57" s="1"/>
  <c r="AO222" i="57"/>
  <c r="CA222" i="57" s="1"/>
  <c r="AO221" i="57"/>
  <c r="CA221" i="57" s="1"/>
  <c r="CK220" i="57"/>
  <c r="CJ220" i="57"/>
  <c r="CI220" i="57"/>
  <c r="CH220" i="57"/>
  <c r="CG220" i="57"/>
  <c r="CF220" i="57"/>
  <c r="CE220" i="57"/>
  <c r="CD220" i="57"/>
  <c r="BF220" i="57"/>
  <c r="BE220" i="57"/>
  <c r="BD220" i="57"/>
  <c r="BC220" i="57"/>
  <c r="BB220" i="57"/>
  <c r="BA220" i="57"/>
  <c r="AZ220" i="57"/>
  <c r="AY220" i="57"/>
  <c r="AX220" i="57"/>
  <c r="AW220" i="57"/>
  <c r="AV220" i="57"/>
  <c r="AU220" i="57"/>
  <c r="AT220" i="57"/>
  <c r="AS220" i="57"/>
  <c r="AR220" i="57"/>
  <c r="AO220" i="57"/>
  <c r="CK219" i="57"/>
  <c r="CJ219" i="57"/>
  <c r="CI219" i="57"/>
  <c r="CH219" i="57"/>
  <c r="CG219" i="57"/>
  <c r="CF219" i="57"/>
  <c r="CE219" i="57"/>
  <c r="CD219" i="57"/>
  <c r="BF219" i="57"/>
  <c r="BE219" i="57"/>
  <c r="BD219" i="57"/>
  <c r="BC219" i="57"/>
  <c r="BB219" i="57"/>
  <c r="BA219" i="57"/>
  <c r="AZ219" i="57"/>
  <c r="AY219" i="57"/>
  <c r="AX219" i="57"/>
  <c r="AW219" i="57"/>
  <c r="AV219" i="57"/>
  <c r="AU219" i="57"/>
  <c r="AT219" i="57"/>
  <c r="AS219" i="57"/>
  <c r="AR219" i="57"/>
  <c r="AQ219" i="57"/>
  <c r="AP219" i="57"/>
  <c r="BI219" i="57" s="1"/>
  <c r="AO219" i="57"/>
  <c r="CA219" i="57" s="1"/>
  <c r="AO218" i="57"/>
  <c r="BH218" i="57" s="1"/>
  <c r="CK217" i="57"/>
  <c r="CJ217" i="57"/>
  <c r="CI217" i="57"/>
  <c r="CH217" i="57"/>
  <c r="CG217" i="57"/>
  <c r="CF217" i="57"/>
  <c r="CE217" i="57"/>
  <c r="CD217" i="57"/>
  <c r="BF217" i="57"/>
  <c r="BE217" i="57"/>
  <c r="BD217" i="57"/>
  <c r="BC217" i="57"/>
  <c r="BB217" i="57"/>
  <c r="BA217" i="57"/>
  <c r="AZ217" i="57"/>
  <c r="AY217" i="57"/>
  <c r="AX217" i="57"/>
  <c r="AW217" i="57"/>
  <c r="AV217" i="57"/>
  <c r="AU217" i="57"/>
  <c r="AT217" i="57"/>
  <c r="AS217" i="57"/>
  <c r="AR217" i="57"/>
  <c r="AO217" i="57"/>
  <c r="CA217" i="57" s="1"/>
  <c r="CK216" i="57"/>
  <c r="CJ216" i="57"/>
  <c r="CI216" i="57"/>
  <c r="CH216" i="57"/>
  <c r="CG216" i="57"/>
  <c r="CF216" i="57"/>
  <c r="CE216" i="57"/>
  <c r="CD216" i="57"/>
  <c r="BF216" i="57"/>
  <c r="BE216" i="57"/>
  <c r="BD216" i="57"/>
  <c r="BC216" i="57"/>
  <c r="BB216" i="57"/>
  <c r="BA216" i="57"/>
  <c r="AZ216" i="57"/>
  <c r="AY216" i="57"/>
  <c r="AX216" i="57"/>
  <c r="AW216" i="57"/>
  <c r="AV216" i="57"/>
  <c r="AU216" i="57"/>
  <c r="AT216" i="57"/>
  <c r="AS216" i="57"/>
  <c r="AR216" i="57"/>
  <c r="AQ216" i="57"/>
  <c r="CC216" i="57" s="1"/>
  <c r="AP216" i="57"/>
  <c r="CB216" i="57" s="1"/>
  <c r="AO216" i="57"/>
  <c r="AO215" i="57"/>
  <c r="CA215" i="57" s="1"/>
  <c r="CK214" i="57"/>
  <c r="CJ214" i="57"/>
  <c r="CI214" i="57"/>
  <c r="CH214" i="57"/>
  <c r="CG214" i="57"/>
  <c r="CF214" i="57"/>
  <c r="CE214" i="57"/>
  <c r="CD214" i="57"/>
  <c r="BF214" i="57"/>
  <c r="BE214" i="57"/>
  <c r="BD214" i="57"/>
  <c r="BC214" i="57"/>
  <c r="BB214" i="57"/>
  <c r="BA214" i="57"/>
  <c r="AZ214" i="57"/>
  <c r="AY214" i="57"/>
  <c r="AX214" i="57"/>
  <c r="AW214" i="57"/>
  <c r="AV214" i="57"/>
  <c r="AU214" i="57"/>
  <c r="AT214" i="57"/>
  <c r="AS214" i="57"/>
  <c r="AR214" i="57"/>
  <c r="AO214" i="57"/>
  <c r="CA214" i="57" s="1"/>
  <c r="CK213" i="57"/>
  <c r="CJ213" i="57"/>
  <c r="CI213" i="57"/>
  <c r="CH213" i="57"/>
  <c r="CG213" i="57"/>
  <c r="CF213" i="57"/>
  <c r="CE213" i="57"/>
  <c r="CD213" i="57"/>
  <c r="BF213" i="57"/>
  <c r="BE213" i="57"/>
  <c r="BD213" i="57"/>
  <c r="BC213" i="57"/>
  <c r="BB213" i="57"/>
  <c r="BA213" i="57"/>
  <c r="AZ213" i="57"/>
  <c r="AY213" i="57"/>
  <c r="AX213" i="57"/>
  <c r="AW213" i="57"/>
  <c r="AV213" i="57"/>
  <c r="AU213" i="57"/>
  <c r="AT213" i="57"/>
  <c r="AS213" i="57"/>
  <c r="AR213" i="57"/>
  <c r="AQ213" i="57"/>
  <c r="BJ213" i="57" s="1"/>
  <c r="AP213" i="57"/>
  <c r="BI213" i="57" s="1"/>
  <c r="AO213" i="57"/>
  <c r="AO212" i="57"/>
  <c r="CK211" i="57"/>
  <c r="CJ211" i="57"/>
  <c r="CI211" i="57"/>
  <c r="CH211" i="57"/>
  <c r="CG211" i="57"/>
  <c r="CF211" i="57"/>
  <c r="CE211" i="57"/>
  <c r="CD211" i="57"/>
  <c r="BF211" i="57"/>
  <c r="BE211" i="57"/>
  <c r="BD211" i="57"/>
  <c r="BC211" i="57"/>
  <c r="BB211" i="57"/>
  <c r="BA211" i="57"/>
  <c r="AZ211" i="57"/>
  <c r="AY211" i="57"/>
  <c r="AX211" i="57"/>
  <c r="AW211" i="57"/>
  <c r="AV211" i="57"/>
  <c r="AU211" i="57"/>
  <c r="AT211" i="57"/>
  <c r="AS211" i="57"/>
  <c r="AR211" i="57"/>
  <c r="AO211" i="57"/>
  <c r="BH211" i="57" s="1"/>
  <c r="CK210" i="57"/>
  <c r="CJ210" i="57"/>
  <c r="CI210" i="57"/>
  <c r="CH210" i="57"/>
  <c r="CG210" i="57"/>
  <c r="CF210" i="57"/>
  <c r="CE210" i="57"/>
  <c r="CD210" i="57"/>
  <c r="BF210" i="57"/>
  <c r="BE210" i="57"/>
  <c r="BD210" i="57"/>
  <c r="BC210" i="57"/>
  <c r="BB210" i="57"/>
  <c r="BA210" i="57"/>
  <c r="AZ210" i="57"/>
  <c r="AY210" i="57"/>
  <c r="AX210" i="57"/>
  <c r="AW210" i="57"/>
  <c r="AV210" i="57"/>
  <c r="AU210" i="57"/>
  <c r="AT210" i="57"/>
  <c r="AS210" i="57"/>
  <c r="AR210" i="57"/>
  <c r="AQ210" i="57"/>
  <c r="AP210" i="57"/>
  <c r="CB210" i="57" s="1"/>
  <c r="AO210" i="57"/>
  <c r="CA210" i="57" s="1"/>
  <c r="AO209" i="57"/>
  <c r="CA209" i="57" s="1"/>
  <c r="CK208" i="57"/>
  <c r="CJ208" i="57"/>
  <c r="CI208" i="57"/>
  <c r="CH208" i="57"/>
  <c r="CG208" i="57"/>
  <c r="CF208" i="57"/>
  <c r="CE208" i="57"/>
  <c r="CD208" i="57"/>
  <c r="BF208" i="57"/>
  <c r="BE208" i="57"/>
  <c r="BD208" i="57"/>
  <c r="BC208" i="57"/>
  <c r="BB208" i="57"/>
  <c r="BA208" i="57"/>
  <c r="AZ208" i="57"/>
  <c r="AY208" i="57"/>
  <c r="AX208" i="57"/>
  <c r="AW208" i="57"/>
  <c r="AV208" i="57"/>
  <c r="AU208" i="57"/>
  <c r="AT208" i="57"/>
  <c r="AS208" i="57"/>
  <c r="AR208" i="57"/>
  <c r="AO208" i="57"/>
  <c r="CK207" i="57"/>
  <c r="CJ207" i="57"/>
  <c r="CI207" i="57"/>
  <c r="CH207" i="57"/>
  <c r="CG207" i="57"/>
  <c r="CF207" i="57"/>
  <c r="CE207" i="57"/>
  <c r="CD207" i="57"/>
  <c r="BF207" i="57"/>
  <c r="BE207" i="57"/>
  <c r="BD207" i="57"/>
  <c r="BC207" i="57"/>
  <c r="BB207" i="57"/>
  <c r="BA207" i="57"/>
  <c r="AZ207" i="57"/>
  <c r="AY207" i="57"/>
  <c r="AX207" i="57"/>
  <c r="AW207" i="57"/>
  <c r="AV207" i="57"/>
  <c r="AU207" i="57"/>
  <c r="AT207" i="57"/>
  <c r="AS207" i="57"/>
  <c r="AR207" i="57"/>
  <c r="AQ207" i="57"/>
  <c r="AP207" i="57"/>
  <c r="CB207" i="57" s="1"/>
  <c r="AO207" i="57"/>
  <c r="CA207" i="57" s="1"/>
  <c r="AO206" i="57"/>
  <c r="CA206" i="57" s="1"/>
  <c r="CK205" i="57"/>
  <c r="CJ205" i="57"/>
  <c r="CI205" i="57"/>
  <c r="CH205" i="57"/>
  <c r="CG205" i="57"/>
  <c r="CF205" i="57"/>
  <c r="CE205" i="57"/>
  <c r="CD205" i="57"/>
  <c r="BF205" i="57"/>
  <c r="BE205" i="57"/>
  <c r="BD205" i="57"/>
  <c r="BC205" i="57"/>
  <c r="BB205" i="57"/>
  <c r="BA205" i="57"/>
  <c r="AZ205" i="57"/>
  <c r="AY205" i="57"/>
  <c r="AX205" i="57"/>
  <c r="AW205" i="57"/>
  <c r="AV205" i="57"/>
  <c r="AU205" i="57"/>
  <c r="AT205" i="57"/>
  <c r="AS205" i="57"/>
  <c r="AR205" i="57"/>
  <c r="AO205" i="57"/>
  <c r="BH205" i="57" s="1"/>
  <c r="CK204" i="57"/>
  <c r="CJ204" i="57"/>
  <c r="CI204" i="57"/>
  <c r="CH204" i="57"/>
  <c r="CG204" i="57"/>
  <c r="CF204" i="57"/>
  <c r="CE204" i="57"/>
  <c r="CD204" i="57"/>
  <c r="BF204" i="57"/>
  <c r="BE204" i="57"/>
  <c r="BD204" i="57"/>
  <c r="BC204" i="57"/>
  <c r="BB204" i="57"/>
  <c r="BA204" i="57"/>
  <c r="AZ204" i="57"/>
  <c r="AY204" i="57"/>
  <c r="AX204" i="57"/>
  <c r="AW204" i="57"/>
  <c r="AV204" i="57"/>
  <c r="AU204" i="57"/>
  <c r="AT204" i="57"/>
  <c r="AS204" i="57"/>
  <c r="AR204" i="57"/>
  <c r="AQ204" i="57"/>
  <c r="AP204" i="57"/>
  <c r="CB204" i="57" s="1"/>
  <c r="AO204" i="57"/>
  <c r="AO203" i="57"/>
  <c r="CA203" i="57" s="1"/>
  <c r="CK202" i="57"/>
  <c r="CJ202" i="57"/>
  <c r="CI202" i="57"/>
  <c r="CH202" i="57"/>
  <c r="CG202" i="57"/>
  <c r="CF202" i="57"/>
  <c r="CE202" i="57"/>
  <c r="CD202" i="57"/>
  <c r="BF202" i="57"/>
  <c r="BE202" i="57"/>
  <c r="BD202" i="57"/>
  <c r="BC202" i="57"/>
  <c r="BB202" i="57"/>
  <c r="BA202" i="57"/>
  <c r="AZ202" i="57"/>
  <c r="AY202" i="57"/>
  <c r="AX202" i="57"/>
  <c r="AW202" i="57"/>
  <c r="AV202" i="57"/>
  <c r="AU202" i="57"/>
  <c r="AT202" i="57"/>
  <c r="AS202" i="57"/>
  <c r="AR202" i="57"/>
  <c r="AO202" i="57"/>
  <c r="CA202" i="57" s="1"/>
  <c r="CK201" i="57"/>
  <c r="CJ201" i="57"/>
  <c r="CI201" i="57"/>
  <c r="CH201" i="57"/>
  <c r="CG201" i="57"/>
  <c r="CF201" i="57"/>
  <c r="CE201" i="57"/>
  <c r="CD201" i="57"/>
  <c r="BF201" i="57"/>
  <c r="BE201" i="57"/>
  <c r="BD201" i="57"/>
  <c r="BC201" i="57"/>
  <c r="BB201" i="57"/>
  <c r="BA201" i="57"/>
  <c r="AZ201" i="57"/>
  <c r="AY201" i="57"/>
  <c r="AX201" i="57"/>
  <c r="AW201" i="57"/>
  <c r="AV201" i="57"/>
  <c r="AU201" i="57"/>
  <c r="AT201" i="57"/>
  <c r="AS201" i="57"/>
  <c r="AR201" i="57"/>
  <c r="AQ201" i="57"/>
  <c r="AP201" i="57"/>
  <c r="AO201" i="57"/>
  <c r="CA201" i="57" s="1"/>
  <c r="AO200" i="57"/>
  <c r="CK199" i="57"/>
  <c r="CJ199" i="57"/>
  <c r="CI199" i="57"/>
  <c r="CH199" i="57"/>
  <c r="CG199" i="57"/>
  <c r="CF199" i="57"/>
  <c r="CE199" i="57"/>
  <c r="CD199" i="57"/>
  <c r="BF199" i="57"/>
  <c r="BE199" i="57"/>
  <c r="BD199" i="57"/>
  <c r="BC199" i="57"/>
  <c r="BB199" i="57"/>
  <c r="BA199" i="57"/>
  <c r="AZ199" i="57"/>
  <c r="AY199" i="57"/>
  <c r="AX199" i="57"/>
  <c r="AW199" i="57"/>
  <c r="AV199" i="57"/>
  <c r="AU199" i="57"/>
  <c r="AT199" i="57"/>
  <c r="AS199" i="57"/>
  <c r="AR199" i="57"/>
  <c r="AO199" i="57"/>
  <c r="CK198" i="57"/>
  <c r="CJ198" i="57"/>
  <c r="CI198" i="57"/>
  <c r="CH198" i="57"/>
  <c r="CG198" i="57"/>
  <c r="CF198" i="57"/>
  <c r="CE198" i="57"/>
  <c r="CD198" i="57"/>
  <c r="BF198" i="57"/>
  <c r="BE198" i="57"/>
  <c r="BD198" i="57"/>
  <c r="BC198" i="57"/>
  <c r="BB198" i="57"/>
  <c r="BA198" i="57"/>
  <c r="AZ198" i="57"/>
  <c r="AY198" i="57"/>
  <c r="AX198" i="57"/>
  <c r="AW198" i="57"/>
  <c r="AV198" i="57"/>
  <c r="AU198" i="57"/>
  <c r="AT198" i="57"/>
  <c r="AS198" i="57"/>
  <c r="AR198" i="57"/>
  <c r="AQ198" i="57"/>
  <c r="BJ198" i="57" s="1"/>
  <c r="AP198" i="57"/>
  <c r="BI198" i="57" s="1"/>
  <c r="AO198" i="57"/>
  <c r="AO197" i="57"/>
  <c r="BH197" i="57" s="1"/>
  <c r="CK196" i="57"/>
  <c r="CJ196" i="57"/>
  <c r="CI196" i="57"/>
  <c r="CH196" i="57"/>
  <c r="CG196" i="57"/>
  <c r="CF196" i="57"/>
  <c r="CE196" i="57"/>
  <c r="CD196" i="57"/>
  <c r="BF196" i="57"/>
  <c r="BE196" i="57"/>
  <c r="BD196" i="57"/>
  <c r="BC196" i="57"/>
  <c r="BB196" i="57"/>
  <c r="BA196" i="57"/>
  <c r="AZ196" i="57"/>
  <c r="AY196" i="57"/>
  <c r="AX196" i="57"/>
  <c r="AW196" i="57"/>
  <c r="AV196" i="57"/>
  <c r="AU196" i="57"/>
  <c r="AT196" i="57"/>
  <c r="AS196" i="57"/>
  <c r="AR196" i="57"/>
  <c r="AO196" i="57"/>
  <c r="BH196" i="57" s="1"/>
  <c r="CK195" i="57"/>
  <c r="CJ195" i="57"/>
  <c r="CI195" i="57"/>
  <c r="CH195" i="57"/>
  <c r="CG195" i="57"/>
  <c r="CF195" i="57"/>
  <c r="CE195" i="57"/>
  <c r="CD195" i="57"/>
  <c r="BF195" i="57"/>
  <c r="BE195" i="57"/>
  <c r="BD195" i="57"/>
  <c r="BC195" i="57"/>
  <c r="BB195" i="57"/>
  <c r="BA195" i="57"/>
  <c r="AZ195" i="57"/>
  <c r="AY195" i="57"/>
  <c r="AX195" i="57"/>
  <c r="AW195" i="57"/>
  <c r="AV195" i="57"/>
  <c r="AU195" i="57"/>
  <c r="AT195" i="57"/>
  <c r="AS195" i="57"/>
  <c r="AR195" i="57"/>
  <c r="AQ195" i="57"/>
  <c r="AP195" i="57"/>
  <c r="CB195" i="57" s="1"/>
  <c r="AO195" i="57"/>
  <c r="BH195" i="57" s="1"/>
  <c r="AO194" i="57"/>
  <c r="CA194" i="57" s="1"/>
  <c r="CK193" i="57"/>
  <c r="CJ193" i="57"/>
  <c r="CI193" i="57"/>
  <c r="CH193" i="57"/>
  <c r="CG193" i="57"/>
  <c r="CF193" i="57"/>
  <c r="CE193" i="57"/>
  <c r="CD193" i="57"/>
  <c r="BF193" i="57"/>
  <c r="BE193" i="57"/>
  <c r="BD193" i="57"/>
  <c r="BC193" i="57"/>
  <c r="BB193" i="57"/>
  <c r="BA193" i="57"/>
  <c r="AZ193" i="57"/>
  <c r="AY193" i="57"/>
  <c r="AX193" i="57"/>
  <c r="AW193" i="57"/>
  <c r="AV193" i="57"/>
  <c r="AU193" i="57"/>
  <c r="AT193" i="57"/>
  <c r="AS193" i="57"/>
  <c r="AR193" i="57"/>
  <c r="AO193" i="57"/>
  <c r="CK192" i="57"/>
  <c r="CJ192" i="57"/>
  <c r="CI192" i="57"/>
  <c r="CH192" i="57"/>
  <c r="CG192" i="57"/>
  <c r="CF192" i="57"/>
  <c r="CE192" i="57"/>
  <c r="CD192" i="57"/>
  <c r="BF192" i="57"/>
  <c r="BE192" i="57"/>
  <c r="BD192" i="57"/>
  <c r="BC192" i="57"/>
  <c r="BB192" i="57"/>
  <c r="BA192" i="57"/>
  <c r="AZ192" i="57"/>
  <c r="AY192" i="57"/>
  <c r="AX192" i="57"/>
  <c r="AW192" i="57"/>
  <c r="AV192" i="57"/>
  <c r="AU192" i="57"/>
  <c r="AT192" i="57"/>
  <c r="AS192" i="57"/>
  <c r="AR192" i="57"/>
  <c r="AQ192" i="57"/>
  <c r="CC192" i="57" s="1"/>
  <c r="AP192" i="57"/>
  <c r="AO192" i="57"/>
  <c r="AO191" i="57"/>
  <c r="CK190" i="57"/>
  <c r="CJ190" i="57"/>
  <c r="CI190" i="57"/>
  <c r="CH190" i="57"/>
  <c r="CG190" i="57"/>
  <c r="CF190" i="57"/>
  <c r="CE190" i="57"/>
  <c r="CD190" i="57"/>
  <c r="BF190" i="57"/>
  <c r="BE190" i="57"/>
  <c r="BD190" i="57"/>
  <c r="BC190" i="57"/>
  <c r="BB190" i="57"/>
  <c r="BA190" i="57"/>
  <c r="AZ190" i="57"/>
  <c r="AY190" i="57"/>
  <c r="AX190" i="57"/>
  <c r="AW190" i="57"/>
  <c r="AV190" i="57"/>
  <c r="AU190" i="57"/>
  <c r="AT190" i="57"/>
  <c r="AS190" i="57"/>
  <c r="AR190" i="57"/>
  <c r="AO190" i="57"/>
  <c r="CA190" i="57" s="1"/>
  <c r="CK189" i="57"/>
  <c r="CJ189" i="57"/>
  <c r="CI189" i="57"/>
  <c r="CH189" i="57"/>
  <c r="CG189" i="57"/>
  <c r="CF189" i="57"/>
  <c r="CE189" i="57"/>
  <c r="CD189" i="57"/>
  <c r="BF189" i="57"/>
  <c r="BE189" i="57"/>
  <c r="BD189" i="57"/>
  <c r="BC189" i="57"/>
  <c r="BB189" i="57"/>
  <c r="BA189" i="57"/>
  <c r="AZ189" i="57"/>
  <c r="AY189" i="57"/>
  <c r="AX189" i="57"/>
  <c r="AW189" i="57"/>
  <c r="AV189" i="57"/>
  <c r="AU189" i="57"/>
  <c r="AT189" i="57"/>
  <c r="AS189" i="57"/>
  <c r="AR189" i="57"/>
  <c r="AQ189" i="57"/>
  <c r="CC189" i="57" s="1"/>
  <c r="AP189" i="57"/>
  <c r="BI189" i="57" s="1"/>
  <c r="AO189" i="57"/>
  <c r="AO188" i="57"/>
  <c r="BH188" i="57" s="1"/>
  <c r="CK187" i="57"/>
  <c r="CJ187" i="57"/>
  <c r="CI187" i="57"/>
  <c r="CH187" i="57"/>
  <c r="CG187" i="57"/>
  <c r="CF187" i="57"/>
  <c r="CE187" i="57"/>
  <c r="CD187" i="57"/>
  <c r="BF187" i="57"/>
  <c r="BE187" i="57"/>
  <c r="BD187" i="57"/>
  <c r="BC187" i="57"/>
  <c r="BB187" i="57"/>
  <c r="BA187" i="57"/>
  <c r="AZ187" i="57"/>
  <c r="AY187" i="57"/>
  <c r="AX187" i="57"/>
  <c r="AW187" i="57"/>
  <c r="AV187" i="57"/>
  <c r="AU187" i="57"/>
  <c r="AT187" i="57"/>
  <c r="AS187" i="57"/>
  <c r="AR187" i="57"/>
  <c r="AO187" i="57"/>
  <c r="CA187" i="57" s="1"/>
  <c r="CK186" i="57"/>
  <c r="CJ186" i="57"/>
  <c r="CI186" i="57"/>
  <c r="CH186" i="57"/>
  <c r="CG186" i="57"/>
  <c r="CF186" i="57"/>
  <c r="CE186" i="57"/>
  <c r="CD186" i="57"/>
  <c r="BF186" i="57"/>
  <c r="BE186" i="57"/>
  <c r="BD186" i="57"/>
  <c r="BC186" i="57"/>
  <c r="BB186" i="57"/>
  <c r="BA186" i="57"/>
  <c r="AZ186" i="57"/>
  <c r="AY186" i="57"/>
  <c r="AX186" i="57"/>
  <c r="AW186" i="57"/>
  <c r="AV186" i="57"/>
  <c r="AU186" i="57"/>
  <c r="AT186" i="57"/>
  <c r="AS186" i="57"/>
  <c r="AR186" i="57"/>
  <c r="AQ186" i="57"/>
  <c r="AP186" i="57"/>
  <c r="CB186" i="57" s="1"/>
  <c r="AO186" i="57"/>
  <c r="CA186" i="57" s="1"/>
  <c r="AO185" i="57"/>
  <c r="CA185" i="57" s="1"/>
  <c r="CK184" i="57"/>
  <c r="CJ184" i="57"/>
  <c r="CI184" i="57"/>
  <c r="CH184" i="57"/>
  <c r="CG184" i="57"/>
  <c r="CF184" i="57"/>
  <c r="CE184" i="57"/>
  <c r="CD184" i="57"/>
  <c r="BF184" i="57"/>
  <c r="BE184" i="57"/>
  <c r="BD184" i="57"/>
  <c r="BC184" i="57"/>
  <c r="BB184" i="57"/>
  <c r="BA184" i="57"/>
  <c r="AZ184" i="57"/>
  <c r="AY184" i="57"/>
  <c r="AX184" i="57"/>
  <c r="AW184" i="57"/>
  <c r="AV184" i="57"/>
  <c r="AU184" i="57"/>
  <c r="AT184" i="57"/>
  <c r="AS184" i="57"/>
  <c r="AR184" i="57"/>
  <c r="AO184" i="57"/>
  <c r="CA184" i="57" s="1"/>
  <c r="CK183" i="57"/>
  <c r="CJ183" i="57"/>
  <c r="CI183" i="57"/>
  <c r="CH183" i="57"/>
  <c r="CG183" i="57"/>
  <c r="CF183" i="57"/>
  <c r="CE183" i="57"/>
  <c r="CD183" i="57"/>
  <c r="BF183" i="57"/>
  <c r="BE183" i="57"/>
  <c r="BD183" i="57"/>
  <c r="BC183" i="57"/>
  <c r="BB183" i="57"/>
  <c r="BA183" i="57"/>
  <c r="AZ183" i="57"/>
  <c r="AY183" i="57"/>
  <c r="AX183" i="57"/>
  <c r="AW183" i="57"/>
  <c r="AV183" i="57"/>
  <c r="AU183" i="57"/>
  <c r="AT183" i="57"/>
  <c r="AS183" i="57"/>
  <c r="AR183" i="57"/>
  <c r="AQ183" i="57"/>
  <c r="BJ183" i="57" s="1"/>
  <c r="AP183" i="57"/>
  <c r="AO183" i="57"/>
  <c r="CA183" i="57" s="1"/>
  <c r="AO182" i="57"/>
  <c r="CK181" i="57"/>
  <c r="CJ181" i="57"/>
  <c r="CI181" i="57"/>
  <c r="CH181" i="57"/>
  <c r="CG181" i="57"/>
  <c r="CF181" i="57"/>
  <c r="CE181" i="57"/>
  <c r="CD181" i="57"/>
  <c r="BF181" i="57"/>
  <c r="BE181" i="57"/>
  <c r="BD181" i="57"/>
  <c r="BC181" i="57"/>
  <c r="BB181" i="57"/>
  <c r="BA181" i="57"/>
  <c r="AZ181" i="57"/>
  <c r="AY181" i="57"/>
  <c r="AX181" i="57"/>
  <c r="AW181" i="57"/>
  <c r="AV181" i="57"/>
  <c r="AU181" i="57"/>
  <c r="AT181" i="57"/>
  <c r="AS181" i="57"/>
  <c r="AR181" i="57"/>
  <c r="AO181" i="57"/>
  <c r="BH181" i="57" s="1"/>
  <c r="CK180" i="57"/>
  <c r="CJ180" i="57"/>
  <c r="CI180" i="57"/>
  <c r="CH180" i="57"/>
  <c r="CG180" i="57"/>
  <c r="CF180" i="57"/>
  <c r="CE180" i="57"/>
  <c r="CD180" i="57"/>
  <c r="BF180" i="57"/>
  <c r="BE180" i="57"/>
  <c r="BD180" i="57"/>
  <c r="BC180" i="57"/>
  <c r="BB180" i="57"/>
  <c r="BA180" i="57"/>
  <c r="AZ180" i="57"/>
  <c r="AY180" i="57"/>
  <c r="AX180" i="57"/>
  <c r="AW180" i="57"/>
  <c r="AV180" i="57"/>
  <c r="AU180" i="57"/>
  <c r="AT180" i="57"/>
  <c r="AS180" i="57"/>
  <c r="AR180" i="57"/>
  <c r="AQ180" i="57"/>
  <c r="CC180" i="57" s="1"/>
  <c r="AP180" i="57"/>
  <c r="BI180" i="57" s="1"/>
  <c r="AO180" i="57"/>
  <c r="AO179" i="57"/>
  <c r="CA179" i="57" s="1"/>
  <c r="CK178" i="57"/>
  <c r="CJ178" i="57"/>
  <c r="CI178" i="57"/>
  <c r="CH178" i="57"/>
  <c r="CG178" i="57"/>
  <c r="CF178" i="57"/>
  <c r="CE178" i="57"/>
  <c r="CD178" i="57"/>
  <c r="BF178" i="57"/>
  <c r="BE178" i="57"/>
  <c r="BD178" i="57"/>
  <c r="BC178" i="57"/>
  <c r="BB178" i="57"/>
  <c r="BA178" i="57"/>
  <c r="AZ178" i="57"/>
  <c r="AY178" i="57"/>
  <c r="AX178" i="57"/>
  <c r="AW178" i="57"/>
  <c r="AV178" i="57"/>
  <c r="AU178" i="57"/>
  <c r="AT178" i="57"/>
  <c r="AS178" i="57"/>
  <c r="AR178" i="57"/>
  <c r="AO178" i="57"/>
  <c r="BH178" i="57" s="1"/>
  <c r="CK177" i="57"/>
  <c r="CJ177" i="57"/>
  <c r="CI177" i="57"/>
  <c r="CH177" i="57"/>
  <c r="CG177" i="57"/>
  <c r="CF177" i="57"/>
  <c r="CE177" i="57"/>
  <c r="CD177" i="57"/>
  <c r="BF177" i="57"/>
  <c r="BE177" i="57"/>
  <c r="BD177" i="57"/>
  <c r="BC177" i="57"/>
  <c r="BB177" i="57"/>
  <c r="BA177" i="57"/>
  <c r="AZ177" i="57"/>
  <c r="AY177" i="57"/>
  <c r="AX177" i="57"/>
  <c r="AW177" i="57"/>
  <c r="AV177" i="57"/>
  <c r="AU177" i="57"/>
  <c r="AT177" i="57"/>
  <c r="AS177" i="57"/>
  <c r="AR177" i="57"/>
  <c r="AQ177" i="57"/>
  <c r="CC177" i="57" s="1"/>
  <c r="AP177" i="57"/>
  <c r="AO177" i="57"/>
  <c r="AO176" i="57"/>
  <c r="CA176" i="57" s="1"/>
  <c r="CK175" i="57"/>
  <c r="CJ175" i="57"/>
  <c r="CI175" i="57"/>
  <c r="CH175" i="57"/>
  <c r="CG175" i="57"/>
  <c r="CF175" i="57"/>
  <c r="CE175" i="57"/>
  <c r="CD175" i="57"/>
  <c r="BF175" i="57"/>
  <c r="BE175" i="57"/>
  <c r="BD175" i="57"/>
  <c r="BC175" i="57"/>
  <c r="BB175" i="57"/>
  <c r="BA175" i="57"/>
  <c r="AZ175" i="57"/>
  <c r="AY175" i="57"/>
  <c r="AX175" i="57"/>
  <c r="AW175" i="57"/>
  <c r="AV175" i="57"/>
  <c r="AU175" i="57"/>
  <c r="AT175" i="57"/>
  <c r="AS175" i="57"/>
  <c r="AR175" i="57"/>
  <c r="AO175" i="57"/>
  <c r="CA175" i="57" s="1"/>
  <c r="CK174" i="57"/>
  <c r="CJ174" i="57"/>
  <c r="CI174" i="57"/>
  <c r="CH174" i="57"/>
  <c r="CG174" i="57"/>
  <c r="CF174" i="57"/>
  <c r="CE174" i="57"/>
  <c r="CD174" i="57"/>
  <c r="BF174" i="57"/>
  <c r="BE174" i="57"/>
  <c r="BD174" i="57"/>
  <c r="BC174" i="57"/>
  <c r="BB174" i="57"/>
  <c r="BA174" i="57"/>
  <c r="AZ174" i="57"/>
  <c r="AY174" i="57"/>
  <c r="AX174" i="57"/>
  <c r="AW174" i="57"/>
  <c r="AV174" i="57"/>
  <c r="AU174" i="57"/>
  <c r="AT174" i="57"/>
  <c r="AS174" i="57"/>
  <c r="AR174" i="57"/>
  <c r="AQ174" i="57"/>
  <c r="BJ174" i="57" s="1"/>
  <c r="AP174" i="57"/>
  <c r="BI174" i="57" s="1"/>
  <c r="AO174" i="57"/>
  <c r="AO173" i="57"/>
  <c r="BH173" i="57" s="1"/>
  <c r="CK172" i="57"/>
  <c r="CJ172" i="57"/>
  <c r="CI172" i="57"/>
  <c r="CH172" i="57"/>
  <c r="CG172" i="57"/>
  <c r="CF172" i="57"/>
  <c r="CE172" i="57"/>
  <c r="CD172" i="57"/>
  <c r="BF172" i="57"/>
  <c r="BE172" i="57"/>
  <c r="BD172" i="57"/>
  <c r="BC172" i="57"/>
  <c r="BB172" i="57"/>
  <c r="BA172" i="57"/>
  <c r="AZ172" i="57"/>
  <c r="AY172" i="57"/>
  <c r="AX172" i="57"/>
  <c r="AW172" i="57"/>
  <c r="AV172" i="57"/>
  <c r="AU172" i="57"/>
  <c r="AT172" i="57"/>
  <c r="AS172" i="57"/>
  <c r="AR172" i="57"/>
  <c r="AO172" i="57"/>
  <c r="BH172" i="57" s="1"/>
  <c r="CK171" i="57"/>
  <c r="CJ171" i="57"/>
  <c r="CI171" i="57"/>
  <c r="CH171" i="57"/>
  <c r="CG171" i="57"/>
  <c r="CF171" i="57"/>
  <c r="CE171" i="57"/>
  <c r="CD171" i="57"/>
  <c r="BF171" i="57"/>
  <c r="BE171" i="57"/>
  <c r="BD171" i="57"/>
  <c r="BC171" i="57"/>
  <c r="BB171" i="57"/>
  <c r="BA171" i="57"/>
  <c r="AZ171" i="57"/>
  <c r="AY171" i="57"/>
  <c r="AX171" i="57"/>
  <c r="AW171" i="57"/>
  <c r="AV171" i="57"/>
  <c r="AU171" i="57"/>
  <c r="AT171" i="57"/>
  <c r="AS171" i="57"/>
  <c r="AR171" i="57"/>
  <c r="AQ171" i="57"/>
  <c r="CC171" i="57" s="1"/>
  <c r="AP171" i="57"/>
  <c r="CB171" i="57" s="1"/>
  <c r="AO171" i="57"/>
  <c r="BH171" i="57" s="1"/>
  <c r="AO170" i="57"/>
  <c r="CA170" i="57" s="1"/>
  <c r="CK169" i="57"/>
  <c r="CJ169" i="57"/>
  <c r="CI169" i="57"/>
  <c r="CH169" i="57"/>
  <c r="CG169" i="57"/>
  <c r="CF169" i="57"/>
  <c r="CE169" i="57"/>
  <c r="CD169" i="57"/>
  <c r="BF169" i="57"/>
  <c r="BE169" i="57"/>
  <c r="BD169" i="57"/>
  <c r="BC169" i="57"/>
  <c r="BB169" i="57"/>
  <c r="BA169" i="57"/>
  <c r="AZ169" i="57"/>
  <c r="AY169" i="57"/>
  <c r="AX169" i="57"/>
  <c r="AW169" i="57"/>
  <c r="AV169" i="57"/>
  <c r="AU169" i="57"/>
  <c r="AT169" i="57"/>
  <c r="AS169" i="57"/>
  <c r="AR169" i="57"/>
  <c r="AO169" i="57"/>
  <c r="CA169" i="57" s="1"/>
  <c r="CK168" i="57"/>
  <c r="CJ168" i="57"/>
  <c r="CI168" i="57"/>
  <c r="CH168" i="57"/>
  <c r="CG168" i="57"/>
  <c r="CF168" i="57"/>
  <c r="CE168" i="57"/>
  <c r="CD168" i="57"/>
  <c r="BF168" i="57"/>
  <c r="BE168" i="57"/>
  <c r="BD168" i="57"/>
  <c r="BC168" i="57"/>
  <c r="BB168" i="57"/>
  <c r="BA168" i="57"/>
  <c r="AZ168" i="57"/>
  <c r="AY168" i="57"/>
  <c r="AX168" i="57"/>
  <c r="AW168" i="57"/>
  <c r="AV168" i="57"/>
  <c r="AU168" i="57"/>
  <c r="AT168" i="57"/>
  <c r="AS168" i="57"/>
  <c r="AR168" i="57"/>
  <c r="AQ168" i="57"/>
  <c r="AP168" i="57"/>
  <c r="AO168" i="57"/>
  <c r="AO167" i="57"/>
  <c r="CK166" i="57"/>
  <c r="CJ166" i="57"/>
  <c r="CI166" i="57"/>
  <c r="CH166" i="57"/>
  <c r="CG166" i="57"/>
  <c r="CF166" i="57"/>
  <c r="CE166" i="57"/>
  <c r="CD166" i="57"/>
  <c r="BO166" i="57"/>
  <c r="BN166" i="57"/>
  <c r="BM166" i="57"/>
  <c r="BL166" i="57"/>
  <c r="BK166" i="57"/>
  <c r="BF166" i="57"/>
  <c r="BE166" i="57"/>
  <c r="BD166" i="57"/>
  <c r="BC166" i="57"/>
  <c r="BB166" i="57"/>
  <c r="BA166" i="57"/>
  <c r="AZ166" i="57"/>
  <c r="AY166" i="57"/>
  <c r="AX166" i="57"/>
  <c r="AW166" i="57"/>
  <c r="AV166" i="57"/>
  <c r="AU166" i="57"/>
  <c r="AT166" i="57"/>
  <c r="AS166" i="57"/>
  <c r="AR166" i="57"/>
  <c r="AO166" i="57"/>
  <c r="CK165" i="57"/>
  <c r="CJ165" i="57"/>
  <c r="CI165" i="57"/>
  <c r="CH165" i="57"/>
  <c r="CG165" i="57"/>
  <c r="CF165" i="57"/>
  <c r="CE165" i="57"/>
  <c r="CD165" i="57"/>
  <c r="BO165" i="57"/>
  <c r="BN165" i="57"/>
  <c r="BM165" i="57"/>
  <c r="BL165" i="57"/>
  <c r="BK165" i="57"/>
  <c r="BF165" i="57"/>
  <c r="BE165" i="57"/>
  <c r="BD165" i="57"/>
  <c r="BC165" i="57"/>
  <c r="BB165" i="57"/>
  <c r="BA165" i="57"/>
  <c r="AZ165" i="57"/>
  <c r="AY165" i="57"/>
  <c r="AX165" i="57"/>
  <c r="AW165" i="57"/>
  <c r="AV165" i="57"/>
  <c r="AU165" i="57"/>
  <c r="AT165" i="57"/>
  <c r="AS165" i="57"/>
  <c r="AR165" i="57"/>
  <c r="AQ165" i="57"/>
  <c r="BJ165" i="57" s="1"/>
  <c r="AP165" i="57"/>
  <c r="BI165" i="57" s="1"/>
  <c r="AO165" i="57"/>
  <c r="BH165" i="57" s="1"/>
  <c r="AO164" i="57"/>
  <c r="CK163" i="57"/>
  <c r="CJ163" i="57"/>
  <c r="CI163" i="57"/>
  <c r="CH163" i="57"/>
  <c r="CG163" i="57"/>
  <c r="CF163" i="57"/>
  <c r="CE163" i="57"/>
  <c r="CD163" i="57"/>
  <c r="BO163" i="57"/>
  <c r="BN163" i="57"/>
  <c r="BM163" i="57"/>
  <c r="BL163" i="57"/>
  <c r="BK163" i="57"/>
  <c r="BF163" i="57"/>
  <c r="BE163" i="57"/>
  <c r="BD163" i="57"/>
  <c r="BC163" i="57"/>
  <c r="BB163" i="57"/>
  <c r="BA163" i="57"/>
  <c r="AZ163" i="57"/>
  <c r="AY163" i="57"/>
  <c r="AX163" i="57"/>
  <c r="AW163" i="57"/>
  <c r="AV163" i="57"/>
  <c r="AU163" i="57"/>
  <c r="AT163" i="57"/>
  <c r="AS163" i="57"/>
  <c r="AR163" i="57"/>
  <c r="AO163" i="57"/>
  <c r="CA163" i="57" s="1"/>
  <c r="CK162" i="57"/>
  <c r="CJ162" i="57"/>
  <c r="CI162" i="57"/>
  <c r="CH162" i="57"/>
  <c r="CG162" i="57"/>
  <c r="CF162" i="57"/>
  <c r="CE162" i="57"/>
  <c r="CD162" i="57"/>
  <c r="BO162" i="57"/>
  <c r="BN162" i="57"/>
  <c r="BM162" i="57"/>
  <c r="BL162" i="57"/>
  <c r="BK162" i="57"/>
  <c r="BF162" i="57"/>
  <c r="BE162" i="57"/>
  <c r="BD162" i="57"/>
  <c r="BC162" i="57"/>
  <c r="BB162" i="57"/>
  <c r="BA162" i="57"/>
  <c r="AZ162" i="57"/>
  <c r="AY162" i="57"/>
  <c r="AX162" i="57"/>
  <c r="AW162" i="57"/>
  <c r="AV162" i="57"/>
  <c r="AU162" i="57"/>
  <c r="AT162" i="57"/>
  <c r="AS162" i="57"/>
  <c r="AR162" i="57"/>
  <c r="AQ162" i="57"/>
  <c r="BJ162" i="57" s="1"/>
  <c r="AP162" i="57"/>
  <c r="BI162" i="57" s="1"/>
  <c r="AO162" i="57"/>
  <c r="CA162" i="57" s="1"/>
  <c r="AO161" i="57"/>
  <c r="CA161" i="57" s="1"/>
  <c r="CK160" i="57"/>
  <c r="CJ160" i="57"/>
  <c r="CI160" i="57"/>
  <c r="CH160" i="57"/>
  <c r="CG160" i="57"/>
  <c r="CF160" i="57"/>
  <c r="CE160" i="57"/>
  <c r="CD160" i="57"/>
  <c r="BM160" i="57"/>
  <c r="BL160" i="57"/>
  <c r="BK160" i="57"/>
  <c r="BF160" i="57"/>
  <c r="BE160" i="57"/>
  <c r="BD160" i="57"/>
  <c r="BC160" i="57"/>
  <c r="BB160" i="57"/>
  <c r="BA160" i="57"/>
  <c r="AZ160" i="57"/>
  <c r="AY160" i="57"/>
  <c r="AX160" i="57"/>
  <c r="AW160" i="57"/>
  <c r="AV160" i="57"/>
  <c r="AU160" i="57"/>
  <c r="AT160" i="57"/>
  <c r="AS160" i="57"/>
  <c r="AR160" i="57"/>
  <c r="AO160" i="57"/>
  <c r="CA160" i="57" s="1"/>
  <c r="CK159" i="57"/>
  <c r="CJ159" i="57"/>
  <c r="CI159" i="57"/>
  <c r="CH159" i="57"/>
  <c r="CG159" i="57"/>
  <c r="CF159" i="57"/>
  <c r="CE159" i="57"/>
  <c r="CD159" i="57"/>
  <c r="BM159" i="57"/>
  <c r="BL159" i="57"/>
  <c r="BK159" i="57"/>
  <c r="BF159" i="57"/>
  <c r="BE159" i="57"/>
  <c r="BD159" i="57"/>
  <c r="BC159" i="57"/>
  <c r="BB159" i="57"/>
  <c r="BA159" i="57"/>
  <c r="AZ159" i="57"/>
  <c r="AY159" i="57"/>
  <c r="AX159" i="57"/>
  <c r="AW159" i="57"/>
  <c r="AV159" i="57"/>
  <c r="AU159" i="57"/>
  <c r="AT159" i="57"/>
  <c r="AS159" i="57"/>
  <c r="AR159" i="57"/>
  <c r="AQ159" i="57"/>
  <c r="BJ159" i="57" s="1"/>
  <c r="AP159" i="57"/>
  <c r="CB159" i="57" s="1"/>
  <c r="AO159" i="57"/>
  <c r="CA159" i="57" s="1"/>
  <c r="AO158" i="57"/>
  <c r="CA158" i="57" s="1"/>
  <c r="CK157" i="57"/>
  <c r="CJ157" i="57"/>
  <c r="CI157" i="57"/>
  <c r="CH157" i="57"/>
  <c r="CG157" i="57"/>
  <c r="CF157" i="57"/>
  <c r="CE157" i="57"/>
  <c r="CD157" i="57"/>
  <c r="BY157" i="57"/>
  <c r="BX157" i="57"/>
  <c r="BW157" i="57"/>
  <c r="BV157" i="57"/>
  <c r="BU157" i="57"/>
  <c r="BT157" i="57"/>
  <c r="BS157" i="57"/>
  <c r="BR157" i="57"/>
  <c r="BQ157" i="57"/>
  <c r="BP157" i="57"/>
  <c r="BO157" i="57"/>
  <c r="BN157" i="57"/>
  <c r="BM157" i="57"/>
  <c r="BF157" i="57"/>
  <c r="BE157" i="57"/>
  <c r="BD157" i="57"/>
  <c r="BC157" i="57"/>
  <c r="BB157" i="57"/>
  <c r="BA157" i="57"/>
  <c r="AZ157" i="57"/>
  <c r="AY157" i="57"/>
  <c r="AX157" i="57"/>
  <c r="AW157" i="57"/>
  <c r="AV157" i="57"/>
  <c r="AU157" i="57"/>
  <c r="AT157" i="57"/>
  <c r="AS157" i="57"/>
  <c r="AR157" i="57"/>
  <c r="AO157" i="57"/>
  <c r="BH157" i="57" s="1"/>
  <c r="CK156" i="57"/>
  <c r="CJ156" i="57"/>
  <c r="CI156" i="57"/>
  <c r="CH156" i="57"/>
  <c r="CG156" i="57"/>
  <c r="CF156" i="57"/>
  <c r="CE156" i="57"/>
  <c r="CD156" i="57"/>
  <c r="BY156" i="57"/>
  <c r="BX156" i="57"/>
  <c r="BW156" i="57"/>
  <c r="BV156" i="57"/>
  <c r="BU156" i="57"/>
  <c r="BT156" i="57"/>
  <c r="BS156" i="57"/>
  <c r="BR156" i="57"/>
  <c r="BQ156" i="57"/>
  <c r="BP156" i="57"/>
  <c r="BO156" i="57"/>
  <c r="BN156" i="57"/>
  <c r="BM156" i="57"/>
  <c r="BF156" i="57"/>
  <c r="BE156" i="57"/>
  <c r="BD156" i="57"/>
  <c r="BC156" i="57"/>
  <c r="BB156" i="57"/>
  <c r="BA156" i="57"/>
  <c r="AZ156" i="57"/>
  <c r="AY156" i="57"/>
  <c r="AX156" i="57"/>
  <c r="AW156" i="57"/>
  <c r="AV156" i="57"/>
  <c r="AU156" i="57"/>
  <c r="AT156" i="57"/>
  <c r="AS156" i="57"/>
  <c r="AR156" i="57"/>
  <c r="AQ156" i="57"/>
  <c r="BJ156" i="57" s="1"/>
  <c r="AP156" i="57"/>
  <c r="AO156" i="57"/>
  <c r="BH156" i="57" s="1"/>
  <c r="AO155" i="57"/>
  <c r="CA155" i="57" s="1"/>
  <c r="CK154" i="57"/>
  <c r="CJ154" i="57"/>
  <c r="CI154" i="57"/>
  <c r="CH154" i="57"/>
  <c r="CG154" i="57"/>
  <c r="CF154" i="57"/>
  <c r="CE154" i="57"/>
  <c r="CD154" i="57"/>
  <c r="BY154" i="57"/>
  <c r="BX154" i="57"/>
  <c r="BW154" i="57"/>
  <c r="BV154" i="57"/>
  <c r="BU154" i="57"/>
  <c r="BT154" i="57"/>
  <c r="BS154" i="57"/>
  <c r="BR154" i="57"/>
  <c r="BQ154" i="57"/>
  <c r="BP154" i="57"/>
  <c r="BO154" i="57"/>
  <c r="BN154" i="57"/>
  <c r="BM154" i="57"/>
  <c r="BL154" i="57"/>
  <c r="BK154" i="57"/>
  <c r="BF154" i="57"/>
  <c r="BE154" i="57"/>
  <c r="BD154" i="57"/>
  <c r="BC154" i="57"/>
  <c r="BB154" i="57"/>
  <c r="BA154" i="57"/>
  <c r="AZ154" i="57"/>
  <c r="AY154" i="57"/>
  <c r="AX154" i="57"/>
  <c r="AW154" i="57"/>
  <c r="AV154" i="57"/>
  <c r="AU154" i="57"/>
  <c r="AT154" i="57"/>
  <c r="AS154" i="57"/>
  <c r="AR154" i="57"/>
  <c r="AO154" i="57"/>
  <c r="CK153" i="57"/>
  <c r="CJ153" i="57"/>
  <c r="CI153" i="57"/>
  <c r="CH153" i="57"/>
  <c r="CG153" i="57"/>
  <c r="CF153" i="57"/>
  <c r="CE153" i="57"/>
  <c r="CD153" i="57"/>
  <c r="BY153" i="57"/>
  <c r="BX153" i="57"/>
  <c r="BW153" i="57"/>
  <c r="BV153" i="57"/>
  <c r="BU153" i="57"/>
  <c r="BT153" i="57"/>
  <c r="BS153" i="57"/>
  <c r="BR153" i="57"/>
  <c r="BQ153" i="57"/>
  <c r="BP153" i="57"/>
  <c r="BO153" i="57"/>
  <c r="BN153" i="57"/>
  <c r="BM153" i="57"/>
  <c r="BL153" i="57"/>
  <c r="BK153" i="57"/>
  <c r="BF153" i="57"/>
  <c r="BE153" i="57"/>
  <c r="BD153" i="57"/>
  <c r="BC153" i="57"/>
  <c r="BB153" i="57"/>
  <c r="BA153" i="57"/>
  <c r="AZ153" i="57"/>
  <c r="AY153" i="57"/>
  <c r="AX153" i="57"/>
  <c r="AW153" i="57"/>
  <c r="AV153" i="57"/>
  <c r="AU153" i="57"/>
  <c r="AT153" i="57"/>
  <c r="AS153" i="57"/>
  <c r="AR153" i="57"/>
  <c r="AQ153" i="57"/>
  <c r="CC153" i="57" s="1"/>
  <c r="AP153" i="57"/>
  <c r="BI153" i="57" s="1"/>
  <c r="AO153" i="57"/>
  <c r="AO152" i="57"/>
  <c r="BH152" i="57" s="1"/>
  <c r="CK151" i="57"/>
  <c r="CJ151" i="57"/>
  <c r="CI151" i="57"/>
  <c r="CH151" i="57"/>
  <c r="CG151" i="57"/>
  <c r="CF151" i="57"/>
  <c r="CE151" i="57"/>
  <c r="CD151" i="57"/>
  <c r="BF151" i="57"/>
  <c r="BE151" i="57"/>
  <c r="BD151" i="57"/>
  <c r="BC151" i="57"/>
  <c r="BB151" i="57"/>
  <c r="BA151" i="57"/>
  <c r="AZ151" i="57"/>
  <c r="AY151" i="57"/>
  <c r="AX151" i="57"/>
  <c r="AW151" i="57"/>
  <c r="AV151" i="57"/>
  <c r="AU151" i="57"/>
  <c r="AT151" i="57"/>
  <c r="AS151" i="57"/>
  <c r="AR151" i="57"/>
  <c r="AO151" i="57"/>
  <c r="CK150" i="57"/>
  <c r="CJ150" i="57"/>
  <c r="CI150" i="57"/>
  <c r="CH150" i="57"/>
  <c r="CG150" i="57"/>
  <c r="CF150" i="57"/>
  <c r="CE150" i="57"/>
  <c r="CD150" i="57"/>
  <c r="BF150" i="57"/>
  <c r="BE150" i="57"/>
  <c r="BD150" i="57"/>
  <c r="BC150" i="57"/>
  <c r="BB150" i="57"/>
  <c r="BA150" i="57"/>
  <c r="AZ150" i="57"/>
  <c r="AY150" i="57"/>
  <c r="AX150" i="57"/>
  <c r="AW150" i="57"/>
  <c r="AV150" i="57"/>
  <c r="AU150" i="57"/>
  <c r="AT150" i="57"/>
  <c r="AS150" i="57"/>
  <c r="AR150" i="57"/>
  <c r="AQ150" i="57"/>
  <c r="BJ150" i="57" s="1"/>
  <c r="AP150" i="57"/>
  <c r="BI150" i="57" s="1"/>
  <c r="AO150" i="57"/>
  <c r="CA150" i="57" s="1"/>
  <c r="AO149" i="57"/>
  <c r="BH149" i="57" s="1"/>
  <c r="CK148" i="57"/>
  <c r="CJ148" i="57"/>
  <c r="CI148" i="57"/>
  <c r="CH148" i="57"/>
  <c r="CG148" i="57"/>
  <c r="CF148" i="57"/>
  <c r="CE148" i="57"/>
  <c r="CD148" i="57"/>
  <c r="BF148" i="57"/>
  <c r="BE148" i="57"/>
  <c r="BD148" i="57"/>
  <c r="BC148" i="57"/>
  <c r="BB148" i="57"/>
  <c r="BA148" i="57"/>
  <c r="AZ148" i="57"/>
  <c r="AY148" i="57"/>
  <c r="AX148" i="57"/>
  <c r="AW148" i="57"/>
  <c r="AV148" i="57"/>
  <c r="AU148" i="57"/>
  <c r="AT148" i="57"/>
  <c r="AS148" i="57"/>
  <c r="AR148" i="57"/>
  <c r="AO148" i="57"/>
  <c r="CK147" i="57"/>
  <c r="CJ147" i="57"/>
  <c r="CI147" i="57"/>
  <c r="CH147" i="57"/>
  <c r="CG147" i="57"/>
  <c r="CF147" i="57"/>
  <c r="CE147" i="57"/>
  <c r="CD147" i="57"/>
  <c r="BF147" i="57"/>
  <c r="BE147" i="57"/>
  <c r="BD147" i="57"/>
  <c r="BC147" i="57"/>
  <c r="BB147" i="57"/>
  <c r="BA147" i="57"/>
  <c r="AZ147" i="57"/>
  <c r="AY147" i="57"/>
  <c r="AX147" i="57"/>
  <c r="AW147" i="57"/>
  <c r="AV147" i="57"/>
  <c r="AU147" i="57"/>
  <c r="AT147" i="57"/>
  <c r="AS147" i="57"/>
  <c r="AR147" i="57"/>
  <c r="AQ147" i="57"/>
  <c r="BJ147" i="57" s="1"/>
  <c r="AP147" i="57"/>
  <c r="BI147" i="57" s="1"/>
  <c r="AO147" i="57"/>
  <c r="CA147" i="57" s="1"/>
  <c r="AO146" i="57"/>
  <c r="CA146" i="57" s="1"/>
  <c r="CK145" i="57"/>
  <c r="CJ145" i="57"/>
  <c r="CI145" i="57"/>
  <c r="CH145" i="57"/>
  <c r="CG145" i="57"/>
  <c r="CF145" i="57"/>
  <c r="CE145" i="57"/>
  <c r="CD145" i="57"/>
  <c r="BF145" i="57"/>
  <c r="BE145" i="57"/>
  <c r="BD145" i="57"/>
  <c r="BC145" i="57"/>
  <c r="BB145" i="57"/>
  <c r="BA145" i="57"/>
  <c r="AZ145" i="57"/>
  <c r="AY145" i="57"/>
  <c r="AX145" i="57"/>
  <c r="AW145" i="57"/>
  <c r="AV145" i="57"/>
  <c r="AU145" i="57"/>
  <c r="AT145" i="57"/>
  <c r="AS145" i="57"/>
  <c r="AR145" i="57"/>
  <c r="AO145" i="57"/>
  <c r="CA145" i="57" s="1"/>
  <c r="CK144" i="57"/>
  <c r="CJ144" i="57"/>
  <c r="CI144" i="57"/>
  <c r="CH144" i="57"/>
  <c r="CG144" i="57"/>
  <c r="CF144" i="57"/>
  <c r="CE144" i="57"/>
  <c r="CD144" i="57"/>
  <c r="BF144" i="57"/>
  <c r="BE144" i="57"/>
  <c r="BD144" i="57"/>
  <c r="BC144" i="57"/>
  <c r="BB144" i="57"/>
  <c r="BA144" i="57"/>
  <c r="AZ144" i="57"/>
  <c r="AY144" i="57"/>
  <c r="AX144" i="57"/>
  <c r="AW144" i="57"/>
  <c r="AV144" i="57"/>
  <c r="AU144" i="57"/>
  <c r="AT144" i="57"/>
  <c r="AS144" i="57"/>
  <c r="AR144" i="57"/>
  <c r="AQ144" i="57"/>
  <c r="CC144" i="57" s="1"/>
  <c r="AP144" i="57"/>
  <c r="CB144" i="57" s="1"/>
  <c r="AO144" i="57"/>
  <c r="AO143" i="57"/>
  <c r="CK142" i="57"/>
  <c r="CJ142" i="57"/>
  <c r="CI142" i="57"/>
  <c r="CH142" i="57"/>
  <c r="CG142" i="57"/>
  <c r="CF142" i="57"/>
  <c r="CE142" i="57"/>
  <c r="CD142" i="57"/>
  <c r="BF142" i="57"/>
  <c r="BE142" i="57"/>
  <c r="BD142" i="57"/>
  <c r="BC142" i="57"/>
  <c r="BB142" i="57"/>
  <c r="BA142" i="57"/>
  <c r="AZ142" i="57"/>
  <c r="AY142" i="57"/>
  <c r="AX142" i="57"/>
  <c r="AW142" i="57"/>
  <c r="AV142" i="57"/>
  <c r="AU142" i="57"/>
  <c r="AT142" i="57"/>
  <c r="AS142" i="57"/>
  <c r="AR142" i="57"/>
  <c r="AO142" i="57"/>
  <c r="CK141" i="57"/>
  <c r="CJ141" i="57"/>
  <c r="CI141" i="57"/>
  <c r="CH141" i="57"/>
  <c r="CG141" i="57"/>
  <c r="CF141" i="57"/>
  <c r="CE141" i="57"/>
  <c r="CD141" i="57"/>
  <c r="BF141" i="57"/>
  <c r="BE141" i="57"/>
  <c r="BD141" i="57"/>
  <c r="BC141" i="57"/>
  <c r="BB141" i="57"/>
  <c r="BA141" i="57"/>
  <c r="AZ141" i="57"/>
  <c r="AY141" i="57"/>
  <c r="AX141" i="57"/>
  <c r="AW141" i="57"/>
  <c r="AV141" i="57"/>
  <c r="AU141" i="57"/>
  <c r="AT141" i="57"/>
  <c r="AS141" i="57"/>
  <c r="AR141" i="57"/>
  <c r="AQ141" i="57"/>
  <c r="CC141" i="57" s="1"/>
  <c r="AP141" i="57"/>
  <c r="BI141" i="57" s="1"/>
  <c r="AO141" i="57"/>
  <c r="BH141" i="57" s="1"/>
  <c r="AO140" i="57"/>
  <c r="BH140" i="57" s="1"/>
  <c r="CK139" i="57"/>
  <c r="CJ139" i="57"/>
  <c r="CI139" i="57"/>
  <c r="CH139" i="57"/>
  <c r="CG139" i="57"/>
  <c r="CF139" i="57"/>
  <c r="CE139" i="57"/>
  <c r="CD139" i="57"/>
  <c r="BF139" i="57"/>
  <c r="BE139" i="57"/>
  <c r="BD139" i="57"/>
  <c r="BC139" i="57"/>
  <c r="BB139" i="57"/>
  <c r="BA139" i="57"/>
  <c r="AZ139" i="57"/>
  <c r="AY139" i="57"/>
  <c r="AX139" i="57"/>
  <c r="AW139" i="57"/>
  <c r="AV139" i="57"/>
  <c r="AU139" i="57"/>
  <c r="AT139" i="57"/>
  <c r="AS139" i="57"/>
  <c r="AR139" i="57"/>
  <c r="AO139" i="57"/>
  <c r="BH139" i="57" s="1"/>
  <c r="CK138" i="57"/>
  <c r="CJ138" i="57"/>
  <c r="CI138" i="57"/>
  <c r="CH138" i="57"/>
  <c r="CG138" i="57"/>
  <c r="CF138" i="57"/>
  <c r="CE138" i="57"/>
  <c r="CD138" i="57"/>
  <c r="BF138" i="57"/>
  <c r="BE138" i="57"/>
  <c r="BD138" i="57"/>
  <c r="BC138" i="57"/>
  <c r="BB138" i="57"/>
  <c r="BA138" i="57"/>
  <c r="AZ138" i="57"/>
  <c r="AY138" i="57"/>
  <c r="AX138" i="57"/>
  <c r="AW138" i="57"/>
  <c r="AV138" i="57"/>
  <c r="AU138" i="57"/>
  <c r="AT138" i="57"/>
  <c r="AS138" i="57"/>
  <c r="AR138" i="57"/>
  <c r="AQ138" i="57"/>
  <c r="BJ138" i="57" s="1"/>
  <c r="AP138" i="57"/>
  <c r="AO138" i="57"/>
  <c r="CA138" i="57" s="1"/>
  <c r="AO137" i="57"/>
  <c r="BH137" i="57" s="1"/>
  <c r="CK136" i="57"/>
  <c r="CJ136" i="57"/>
  <c r="CI136" i="57"/>
  <c r="CH136" i="57"/>
  <c r="CG136" i="57"/>
  <c r="CF136" i="57"/>
  <c r="CE136" i="57"/>
  <c r="CD136" i="57"/>
  <c r="BF136" i="57"/>
  <c r="BE136" i="57"/>
  <c r="BD136" i="57"/>
  <c r="BC136" i="57"/>
  <c r="BB136" i="57"/>
  <c r="BA136" i="57"/>
  <c r="AZ136" i="57"/>
  <c r="AY136" i="57"/>
  <c r="AX136" i="57"/>
  <c r="AW136" i="57"/>
  <c r="AV136" i="57"/>
  <c r="AU136" i="57"/>
  <c r="AT136" i="57"/>
  <c r="AS136" i="57"/>
  <c r="AR136" i="57"/>
  <c r="AO136" i="57"/>
  <c r="BH136" i="57" s="1"/>
  <c r="CK135" i="57"/>
  <c r="CJ135" i="57"/>
  <c r="CI135" i="57"/>
  <c r="CH135" i="57"/>
  <c r="CG135" i="57"/>
  <c r="CF135" i="57"/>
  <c r="CE135" i="57"/>
  <c r="CD135" i="57"/>
  <c r="BF135" i="57"/>
  <c r="BE135" i="57"/>
  <c r="BD135" i="57"/>
  <c r="BC135" i="57"/>
  <c r="BB135" i="57"/>
  <c r="BA135" i="57"/>
  <c r="AZ135" i="57"/>
  <c r="AY135" i="57"/>
  <c r="AX135" i="57"/>
  <c r="AW135" i="57"/>
  <c r="AV135" i="57"/>
  <c r="AU135" i="57"/>
  <c r="AT135" i="57"/>
  <c r="AS135" i="57"/>
  <c r="AR135" i="57"/>
  <c r="AQ135" i="57"/>
  <c r="BJ135" i="57" s="1"/>
  <c r="AP135" i="57"/>
  <c r="AO135" i="57"/>
  <c r="AO134" i="57"/>
  <c r="CA134" i="57" s="1"/>
  <c r="CK133" i="57"/>
  <c r="CJ133" i="57"/>
  <c r="CI133" i="57"/>
  <c r="CH133" i="57"/>
  <c r="CG133" i="57"/>
  <c r="CF133" i="57"/>
  <c r="CE133" i="57"/>
  <c r="CD133" i="57"/>
  <c r="BF133" i="57"/>
  <c r="BE133" i="57"/>
  <c r="BD133" i="57"/>
  <c r="BC133" i="57"/>
  <c r="BB133" i="57"/>
  <c r="BA133" i="57"/>
  <c r="AZ133" i="57"/>
  <c r="AY133" i="57"/>
  <c r="AX133" i="57"/>
  <c r="AW133" i="57"/>
  <c r="AV133" i="57"/>
  <c r="AU133" i="57"/>
  <c r="AT133" i="57"/>
  <c r="AS133" i="57"/>
  <c r="AR133" i="57"/>
  <c r="AO133" i="57"/>
  <c r="BH133" i="57" s="1"/>
  <c r="CK132" i="57"/>
  <c r="CJ132" i="57"/>
  <c r="CI132" i="57"/>
  <c r="CH132" i="57"/>
  <c r="CG132" i="57"/>
  <c r="CF132" i="57"/>
  <c r="CE132" i="57"/>
  <c r="CD132" i="57"/>
  <c r="BF132" i="57"/>
  <c r="BE132" i="57"/>
  <c r="BD132" i="57"/>
  <c r="BC132" i="57"/>
  <c r="BB132" i="57"/>
  <c r="BA132" i="57"/>
  <c r="AZ132" i="57"/>
  <c r="AY132" i="57"/>
  <c r="AX132" i="57"/>
  <c r="AW132" i="57"/>
  <c r="AV132" i="57"/>
  <c r="AU132" i="57"/>
  <c r="AT132" i="57"/>
  <c r="AS132" i="57"/>
  <c r="AR132" i="57"/>
  <c r="AQ132" i="57"/>
  <c r="CC132" i="57" s="1"/>
  <c r="AP132" i="57"/>
  <c r="CB132" i="57" s="1"/>
  <c r="AO132" i="57"/>
  <c r="BH132" i="57" s="1"/>
  <c r="AO131" i="57"/>
  <c r="CA131" i="57" s="1"/>
  <c r="CK130" i="57"/>
  <c r="CJ130" i="57"/>
  <c r="CI130" i="57"/>
  <c r="CH130" i="57"/>
  <c r="CG130" i="57"/>
  <c r="CF130" i="57"/>
  <c r="CE130" i="57"/>
  <c r="CD130" i="57"/>
  <c r="BF130" i="57"/>
  <c r="BE130" i="57"/>
  <c r="BD130" i="57"/>
  <c r="BC130" i="57"/>
  <c r="BB130" i="57"/>
  <c r="BA130" i="57"/>
  <c r="AZ130" i="57"/>
  <c r="AY130" i="57"/>
  <c r="AX130" i="57"/>
  <c r="AW130" i="57"/>
  <c r="AV130" i="57"/>
  <c r="AU130" i="57"/>
  <c r="AT130" i="57"/>
  <c r="AS130" i="57"/>
  <c r="AR130" i="57"/>
  <c r="AO130" i="57"/>
  <c r="CK129" i="57"/>
  <c r="CJ129" i="57"/>
  <c r="CI129" i="57"/>
  <c r="CH129" i="57"/>
  <c r="CG129" i="57"/>
  <c r="CF129" i="57"/>
  <c r="CE129" i="57"/>
  <c r="CD129" i="57"/>
  <c r="BF129" i="57"/>
  <c r="BE129" i="57"/>
  <c r="BD129" i="57"/>
  <c r="BC129" i="57"/>
  <c r="BB129" i="57"/>
  <c r="BA129" i="57"/>
  <c r="AZ129" i="57"/>
  <c r="AY129" i="57"/>
  <c r="AX129" i="57"/>
  <c r="AW129" i="57"/>
  <c r="AV129" i="57"/>
  <c r="AU129" i="57"/>
  <c r="AT129" i="57"/>
  <c r="AS129" i="57"/>
  <c r="AR129" i="57"/>
  <c r="AQ129" i="57"/>
  <c r="CC129" i="57" s="1"/>
  <c r="AP129" i="57"/>
  <c r="BI129" i="57" s="1"/>
  <c r="AO129" i="57"/>
  <c r="BH129" i="57" s="1"/>
  <c r="AO128" i="57"/>
  <c r="CA128" i="57" s="1"/>
  <c r="CK127" i="57"/>
  <c r="CJ127" i="57"/>
  <c r="CI127" i="57"/>
  <c r="CH127" i="57"/>
  <c r="CG127" i="57"/>
  <c r="CF127" i="57"/>
  <c r="CE127" i="57"/>
  <c r="CD127" i="57"/>
  <c r="BF127" i="57"/>
  <c r="BE127" i="57"/>
  <c r="BD127" i="57"/>
  <c r="BC127" i="57"/>
  <c r="BB127" i="57"/>
  <c r="BA127" i="57"/>
  <c r="AZ127" i="57"/>
  <c r="AY127" i="57"/>
  <c r="AX127" i="57"/>
  <c r="AW127" i="57"/>
  <c r="AV127" i="57"/>
  <c r="AU127" i="57"/>
  <c r="AT127" i="57"/>
  <c r="AS127" i="57"/>
  <c r="AR127" i="57"/>
  <c r="AO127" i="57"/>
  <c r="CK126" i="57"/>
  <c r="CJ126" i="57"/>
  <c r="CI126" i="57"/>
  <c r="CH126" i="57"/>
  <c r="CG126" i="57"/>
  <c r="CF126" i="57"/>
  <c r="CE126" i="57"/>
  <c r="CD126" i="57"/>
  <c r="BF126" i="57"/>
  <c r="BE126" i="57"/>
  <c r="BD126" i="57"/>
  <c r="BC126" i="57"/>
  <c r="BB126" i="57"/>
  <c r="BA126" i="57"/>
  <c r="AZ126" i="57"/>
  <c r="AY126" i="57"/>
  <c r="AX126" i="57"/>
  <c r="AW126" i="57"/>
  <c r="AV126" i="57"/>
  <c r="AU126" i="57"/>
  <c r="AT126" i="57"/>
  <c r="AS126" i="57"/>
  <c r="AR126" i="57"/>
  <c r="AQ126" i="57"/>
  <c r="AP126" i="57"/>
  <c r="BI126" i="57" s="1"/>
  <c r="AO126" i="57"/>
  <c r="AO125" i="57"/>
  <c r="BH125" i="57" s="1"/>
  <c r="CK124" i="57"/>
  <c r="CJ124" i="57"/>
  <c r="CI124" i="57"/>
  <c r="CH124" i="57"/>
  <c r="CG124" i="57"/>
  <c r="CF124" i="57"/>
  <c r="CE124" i="57"/>
  <c r="CD124" i="57"/>
  <c r="BF124" i="57"/>
  <c r="BE124" i="57"/>
  <c r="BD124" i="57"/>
  <c r="BC124" i="57"/>
  <c r="BB124" i="57"/>
  <c r="BA124" i="57"/>
  <c r="AZ124" i="57"/>
  <c r="AY124" i="57"/>
  <c r="AX124" i="57"/>
  <c r="AW124" i="57"/>
  <c r="AV124" i="57"/>
  <c r="AU124" i="57"/>
  <c r="AT124" i="57"/>
  <c r="AS124" i="57"/>
  <c r="AR124" i="57"/>
  <c r="AO124" i="57"/>
  <c r="CK123" i="57"/>
  <c r="CJ123" i="57"/>
  <c r="CI123" i="57"/>
  <c r="CH123" i="57"/>
  <c r="CG123" i="57"/>
  <c r="CF123" i="57"/>
  <c r="CE123" i="57"/>
  <c r="CD123" i="57"/>
  <c r="BF123" i="57"/>
  <c r="BE123" i="57"/>
  <c r="BD123" i="57"/>
  <c r="BC123" i="57"/>
  <c r="BB123" i="57"/>
  <c r="BA123" i="57"/>
  <c r="AZ123" i="57"/>
  <c r="AY123" i="57"/>
  <c r="AX123" i="57"/>
  <c r="AW123" i="57"/>
  <c r="AV123" i="57"/>
  <c r="AU123" i="57"/>
  <c r="AT123" i="57"/>
  <c r="AS123" i="57"/>
  <c r="AR123" i="57"/>
  <c r="AQ123" i="57"/>
  <c r="CC123" i="57" s="1"/>
  <c r="AP123" i="57"/>
  <c r="CB123" i="57" s="1"/>
  <c r="AO123" i="57"/>
  <c r="AO122" i="57"/>
  <c r="CA122" i="57" s="1"/>
  <c r="CK121" i="57"/>
  <c r="CJ121" i="57"/>
  <c r="CI121" i="57"/>
  <c r="CH121" i="57"/>
  <c r="CG121" i="57"/>
  <c r="CF121" i="57"/>
  <c r="CE121" i="57"/>
  <c r="CD121" i="57"/>
  <c r="BF121" i="57"/>
  <c r="BE121" i="57"/>
  <c r="BD121" i="57"/>
  <c r="BC121" i="57"/>
  <c r="BB121" i="57"/>
  <c r="BA121" i="57"/>
  <c r="AZ121" i="57"/>
  <c r="AY121" i="57"/>
  <c r="AX121" i="57"/>
  <c r="AW121" i="57"/>
  <c r="AV121" i="57"/>
  <c r="AU121" i="57"/>
  <c r="AT121" i="57"/>
  <c r="AS121" i="57"/>
  <c r="AR121" i="57"/>
  <c r="AO121" i="57"/>
  <c r="CK120" i="57"/>
  <c r="CJ120" i="57"/>
  <c r="CI120" i="57"/>
  <c r="CH120" i="57"/>
  <c r="CG120" i="57"/>
  <c r="CF120" i="57"/>
  <c r="CE120" i="57"/>
  <c r="CD120" i="57"/>
  <c r="BF120" i="57"/>
  <c r="BE120" i="57"/>
  <c r="BD120" i="57"/>
  <c r="BC120" i="57"/>
  <c r="BB120" i="57"/>
  <c r="BA120" i="57"/>
  <c r="AZ120" i="57"/>
  <c r="AY120" i="57"/>
  <c r="AX120" i="57"/>
  <c r="AW120" i="57"/>
  <c r="AV120" i="57"/>
  <c r="AU120" i="57"/>
  <c r="AT120" i="57"/>
  <c r="AS120" i="57"/>
  <c r="AR120" i="57"/>
  <c r="AQ120" i="57"/>
  <c r="CC120" i="57" s="1"/>
  <c r="AP120" i="57"/>
  <c r="CB120" i="57" s="1"/>
  <c r="AO120" i="57"/>
  <c r="BH120" i="57" s="1"/>
  <c r="AO119" i="57"/>
  <c r="CA119" i="57" s="1"/>
  <c r="CK118" i="57"/>
  <c r="CJ118" i="57"/>
  <c r="CI118" i="57"/>
  <c r="CH118" i="57"/>
  <c r="CG118" i="57"/>
  <c r="CF118" i="57"/>
  <c r="CE118" i="57"/>
  <c r="CD118" i="57"/>
  <c r="BF118" i="57"/>
  <c r="BE118" i="57"/>
  <c r="BD118" i="57"/>
  <c r="BC118" i="57"/>
  <c r="BB118" i="57"/>
  <c r="BA118" i="57"/>
  <c r="AZ118" i="57"/>
  <c r="AY118" i="57"/>
  <c r="AX118" i="57"/>
  <c r="AW118" i="57"/>
  <c r="AV118" i="57"/>
  <c r="AU118" i="57"/>
  <c r="AT118" i="57"/>
  <c r="AS118" i="57"/>
  <c r="AR118" i="57"/>
  <c r="AO118" i="57"/>
  <c r="CA118" i="57" s="1"/>
  <c r="CK117" i="57"/>
  <c r="CJ117" i="57"/>
  <c r="CI117" i="57"/>
  <c r="CH117" i="57"/>
  <c r="CG117" i="57"/>
  <c r="CF117" i="57"/>
  <c r="CE117" i="57"/>
  <c r="CD117" i="57"/>
  <c r="BF117" i="57"/>
  <c r="BE117" i="57"/>
  <c r="BD117" i="57"/>
  <c r="BC117" i="57"/>
  <c r="BB117" i="57"/>
  <c r="BA117" i="57"/>
  <c r="AZ117" i="57"/>
  <c r="AY117" i="57"/>
  <c r="AX117" i="57"/>
  <c r="AW117" i="57"/>
  <c r="AV117" i="57"/>
  <c r="AU117" i="57"/>
  <c r="AT117" i="57"/>
  <c r="AS117" i="57"/>
  <c r="AR117" i="57"/>
  <c r="AQ117" i="57"/>
  <c r="CC117" i="57" s="1"/>
  <c r="AP117" i="57"/>
  <c r="CB117" i="57" s="1"/>
  <c r="AO117" i="57"/>
  <c r="AO116" i="57"/>
  <c r="BH116" i="57" s="1"/>
  <c r="CK115" i="57"/>
  <c r="CJ115" i="57"/>
  <c r="CI115" i="57"/>
  <c r="CH115" i="57"/>
  <c r="CG115" i="57"/>
  <c r="CF115" i="57"/>
  <c r="CE115" i="57"/>
  <c r="CD115" i="57"/>
  <c r="BF115" i="57"/>
  <c r="BE115" i="57"/>
  <c r="BD115" i="57"/>
  <c r="BC115" i="57"/>
  <c r="BB115" i="57"/>
  <c r="BA115" i="57"/>
  <c r="AZ115" i="57"/>
  <c r="AY115" i="57"/>
  <c r="AX115" i="57"/>
  <c r="AW115" i="57"/>
  <c r="AV115" i="57"/>
  <c r="AU115" i="57"/>
  <c r="AT115" i="57"/>
  <c r="AS115" i="57"/>
  <c r="AR115" i="57"/>
  <c r="AO115" i="57"/>
  <c r="CA115" i="57" s="1"/>
  <c r="CK114" i="57"/>
  <c r="CJ114" i="57"/>
  <c r="CI114" i="57"/>
  <c r="CH114" i="57"/>
  <c r="CG114" i="57"/>
  <c r="CF114" i="57"/>
  <c r="CE114" i="57"/>
  <c r="CD114" i="57"/>
  <c r="BF114" i="57"/>
  <c r="BE114" i="57"/>
  <c r="BD114" i="57"/>
  <c r="BC114" i="57"/>
  <c r="BB114" i="57"/>
  <c r="BA114" i="57"/>
  <c r="AZ114" i="57"/>
  <c r="AY114" i="57"/>
  <c r="AX114" i="57"/>
  <c r="AW114" i="57"/>
  <c r="AV114" i="57"/>
  <c r="AU114" i="57"/>
  <c r="AT114" i="57"/>
  <c r="AS114" i="57"/>
  <c r="AR114" i="57"/>
  <c r="AQ114" i="57"/>
  <c r="CC114" i="57" s="1"/>
  <c r="AP114" i="57"/>
  <c r="CB114" i="57" s="1"/>
  <c r="AO114" i="57"/>
  <c r="BH114" i="57" s="1"/>
  <c r="AO113" i="57"/>
  <c r="CK112" i="57"/>
  <c r="CJ112" i="57"/>
  <c r="CI112" i="57"/>
  <c r="CH112" i="57"/>
  <c r="CG112" i="57"/>
  <c r="CF112" i="57"/>
  <c r="CE112" i="57"/>
  <c r="CD112" i="57"/>
  <c r="BM112" i="57"/>
  <c r="BL112" i="57"/>
  <c r="BK112" i="57"/>
  <c r="BF112" i="57"/>
  <c r="BE112" i="57"/>
  <c r="BD112" i="57"/>
  <c r="BC112" i="57"/>
  <c r="BB112" i="57"/>
  <c r="BA112" i="57"/>
  <c r="AZ112" i="57"/>
  <c r="AY112" i="57"/>
  <c r="AX112" i="57"/>
  <c r="AW112" i="57"/>
  <c r="AV112" i="57"/>
  <c r="AU112" i="57"/>
  <c r="AT112" i="57"/>
  <c r="AS112" i="57"/>
  <c r="AR112" i="57"/>
  <c r="AO112" i="57"/>
  <c r="CK111" i="57"/>
  <c r="CJ111" i="57"/>
  <c r="CI111" i="57"/>
  <c r="CH111" i="57"/>
  <c r="CG111" i="57"/>
  <c r="CF111" i="57"/>
  <c r="CE111" i="57"/>
  <c r="CD111" i="57"/>
  <c r="BM111" i="57"/>
  <c r="BL111" i="57"/>
  <c r="BK111" i="57"/>
  <c r="BF111" i="57"/>
  <c r="BE111" i="57"/>
  <c r="BD111" i="57"/>
  <c r="BC111" i="57"/>
  <c r="BB111" i="57"/>
  <c r="BA111" i="57"/>
  <c r="AZ111" i="57"/>
  <c r="AY111" i="57"/>
  <c r="AX111" i="57"/>
  <c r="AW111" i="57"/>
  <c r="AV111" i="57"/>
  <c r="AU111" i="57"/>
  <c r="AT111" i="57"/>
  <c r="AS111" i="57"/>
  <c r="AR111" i="57"/>
  <c r="AQ111" i="57"/>
  <c r="AP111" i="57"/>
  <c r="CB111" i="57" s="1"/>
  <c r="AO111" i="57"/>
  <c r="CA111" i="57" s="1"/>
  <c r="AO110" i="57"/>
  <c r="CK109" i="57"/>
  <c r="CJ109" i="57"/>
  <c r="CI109" i="57"/>
  <c r="CH109" i="57"/>
  <c r="CG109" i="57"/>
  <c r="CF109" i="57"/>
  <c r="CE109" i="57"/>
  <c r="CD109" i="57"/>
  <c r="BF109" i="57"/>
  <c r="BE109" i="57"/>
  <c r="BD109" i="57"/>
  <c r="BC109" i="57"/>
  <c r="BB109" i="57"/>
  <c r="BA109" i="57"/>
  <c r="AZ109" i="57"/>
  <c r="AY109" i="57"/>
  <c r="AX109" i="57"/>
  <c r="AW109" i="57"/>
  <c r="AV109" i="57"/>
  <c r="AU109" i="57"/>
  <c r="AT109" i="57"/>
  <c r="AS109" i="57"/>
  <c r="AR109" i="57"/>
  <c r="AO109" i="57"/>
  <c r="CK108" i="57"/>
  <c r="CJ108" i="57"/>
  <c r="CI108" i="57"/>
  <c r="CH108" i="57"/>
  <c r="CG108" i="57"/>
  <c r="CF108" i="57"/>
  <c r="CE108" i="57"/>
  <c r="CD108" i="57"/>
  <c r="BF108" i="57"/>
  <c r="BE108" i="57"/>
  <c r="BD108" i="57"/>
  <c r="BC108" i="57"/>
  <c r="BB108" i="57"/>
  <c r="BA108" i="57"/>
  <c r="AZ108" i="57"/>
  <c r="AY108" i="57"/>
  <c r="AX108" i="57"/>
  <c r="AW108" i="57"/>
  <c r="AV108" i="57"/>
  <c r="AU108" i="57"/>
  <c r="AT108" i="57"/>
  <c r="AS108" i="57"/>
  <c r="AR108" i="57"/>
  <c r="AQ108" i="57"/>
  <c r="BJ108" i="57" s="1"/>
  <c r="AP108" i="57"/>
  <c r="CB108" i="57" s="1"/>
  <c r="AO108" i="57"/>
  <c r="AO107" i="57"/>
  <c r="CK106" i="57"/>
  <c r="CJ106" i="57"/>
  <c r="CI106" i="57"/>
  <c r="CH106" i="57"/>
  <c r="CG106" i="57"/>
  <c r="CF106" i="57"/>
  <c r="CE106" i="57"/>
  <c r="CD106" i="57"/>
  <c r="BF106" i="57"/>
  <c r="BE106" i="57"/>
  <c r="BD106" i="57"/>
  <c r="BC106" i="57"/>
  <c r="BB106" i="57"/>
  <c r="BA106" i="57"/>
  <c r="AZ106" i="57"/>
  <c r="AY106" i="57"/>
  <c r="AX106" i="57"/>
  <c r="AW106" i="57"/>
  <c r="AV106" i="57"/>
  <c r="AU106" i="57"/>
  <c r="AT106" i="57"/>
  <c r="AS106" i="57"/>
  <c r="AR106" i="57"/>
  <c r="AO106" i="57"/>
  <c r="BH106" i="57" s="1"/>
  <c r="CK105" i="57"/>
  <c r="CJ105" i="57"/>
  <c r="CI105" i="57"/>
  <c r="CH105" i="57"/>
  <c r="CG105" i="57"/>
  <c r="CF105" i="57"/>
  <c r="CE105" i="57"/>
  <c r="CD105" i="57"/>
  <c r="BF105" i="57"/>
  <c r="BE105" i="57"/>
  <c r="BD105" i="57"/>
  <c r="BC105" i="57"/>
  <c r="BB105" i="57"/>
  <c r="BA105" i="57"/>
  <c r="AZ105" i="57"/>
  <c r="AY105" i="57"/>
  <c r="AX105" i="57"/>
  <c r="AW105" i="57"/>
  <c r="AV105" i="57"/>
  <c r="AU105" i="57"/>
  <c r="AT105" i="57"/>
  <c r="AS105" i="57"/>
  <c r="AR105" i="57"/>
  <c r="AQ105" i="57"/>
  <c r="CC105" i="57" s="1"/>
  <c r="AP105" i="57"/>
  <c r="CB105" i="57" s="1"/>
  <c r="AO105" i="57"/>
  <c r="CA105" i="57" s="1"/>
  <c r="AO104" i="57"/>
  <c r="CK103" i="57"/>
  <c r="CJ103" i="57"/>
  <c r="CI103" i="57"/>
  <c r="CH103" i="57"/>
  <c r="CG103" i="57"/>
  <c r="CF103" i="57"/>
  <c r="CE103" i="57"/>
  <c r="CD103" i="57"/>
  <c r="BF103" i="57"/>
  <c r="BE103" i="57"/>
  <c r="BD103" i="57"/>
  <c r="BC103" i="57"/>
  <c r="BB103" i="57"/>
  <c r="BA103" i="57"/>
  <c r="AZ103" i="57"/>
  <c r="AY103" i="57"/>
  <c r="AX103" i="57"/>
  <c r="AW103" i="57"/>
  <c r="AV103" i="57"/>
  <c r="AU103" i="57"/>
  <c r="AT103" i="57"/>
  <c r="AS103" i="57"/>
  <c r="AR103" i="57"/>
  <c r="AO103" i="57"/>
  <c r="CA103" i="57" s="1"/>
  <c r="CK102" i="57"/>
  <c r="CJ102" i="57"/>
  <c r="CI102" i="57"/>
  <c r="CH102" i="57"/>
  <c r="CG102" i="57"/>
  <c r="CF102" i="57"/>
  <c r="CE102" i="57"/>
  <c r="CD102" i="57"/>
  <c r="BF102" i="57"/>
  <c r="BE102" i="57"/>
  <c r="BD102" i="57"/>
  <c r="BC102" i="57"/>
  <c r="BB102" i="57"/>
  <c r="BA102" i="57"/>
  <c r="AZ102" i="57"/>
  <c r="AY102" i="57"/>
  <c r="AX102" i="57"/>
  <c r="AW102" i="57"/>
  <c r="AV102" i="57"/>
  <c r="AU102" i="57"/>
  <c r="AT102" i="57"/>
  <c r="AS102" i="57"/>
  <c r="AR102" i="57"/>
  <c r="AQ102" i="57"/>
  <c r="AP102" i="57"/>
  <c r="BI102" i="57" s="1"/>
  <c r="AO102" i="57"/>
  <c r="CA102" i="57" s="1"/>
  <c r="AO101" i="57"/>
  <c r="BH101" i="57" s="1"/>
  <c r="CK100" i="57"/>
  <c r="CJ100" i="57"/>
  <c r="CI100" i="57"/>
  <c r="CH100" i="57"/>
  <c r="CG100" i="57"/>
  <c r="CF100" i="57"/>
  <c r="CE100" i="57"/>
  <c r="CD100" i="57"/>
  <c r="BF100" i="57"/>
  <c r="BE100" i="57"/>
  <c r="BD100" i="57"/>
  <c r="BC100" i="57"/>
  <c r="BB100" i="57"/>
  <c r="BA100" i="57"/>
  <c r="AZ100" i="57"/>
  <c r="AY100" i="57"/>
  <c r="AX100" i="57"/>
  <c r="AW100" i="57"/>
  <c r="AV100" i="57"/>
  <c r="AU100" i="57"/>
  <c r="AT100" i="57"/>
  <c r="AS100" i="57"/>
  <c r="AR100" i="57"/>
  <c r="AO100" i="57"/>
  <c r="CK99" i="57"/>
  <c r="CJ99" i="57"/>
  <c r="CI99" i="57"/>
  <c r="CH99" i="57"/>
  <c r="CG99" i="57"/>
  <c r="CF99" i="57"/>
  <c r="CE99" i="57"/>
  <c r="CD99" i="57"/>
  <c r="BF99" i="57"/>
  <c r="BE99" i="57"/>
  <c r="BD99" i="57"/>
  <c r="BC99" i="57"/>
  <c r="BB99" i="57"/>
  <c r="BA99" i="57"/>
  <c r="AZ99" i="57"/>
  <c r="AY99" i="57"/>
  <c r="AX99" i="57"/>
  <c r="AW99" i="57"/>
  <c r="AV99" i="57"/>
  <c r="AU99" i="57"/>
  <c r="AT99" i="57"/>
  <c r="AS99" i="57"/>
  <c r="AR99" i="57"/>
  <c r="AQ99" i="57"/>
  <c r="BJ99" i="57" s="1"/>
  <c r="AP99" i="57"/>
  <c r="AO99" i="57"/>
  <c r="AO98" i="57"/>
  <c r="CK97" i="57"/>
  <c r="CJ97" i="57"/>
  <c r="CI97" i="57"/>
  <c r="CH97" i="57"/>
  <c r="CG97" i="57"/>
  <c r="CF97" i="57"/>
  <c r="CE97" i="57"/>
  <c r="CD97" i="57"/>
  <c r="BF97" i="57"/>
  <c r="BE97" i="57"/>
  <c r="BD97" i="57"/>
  <c r="BC97" i="57"/>
  <c r="BB97" i="57"/>
  <c r="BA97" i="57"/>
  <c r="AZ97" i="57"/>
  <c r="AY97" i="57"/>
  <c r="AX97" i="57"/>
  <c r="AW97" i="57"/>
  <c r="AV97" i="57"/>
  <c r="AU97" i="57"/>
  <c r="AT97" i="57"/>
  <c r="AS97" i="57"/>
  <c r="AR97" i="57"/>
  <c r="AO97" i="57"/>
  <c r="CK96" i="57"/>
  <c r="CJ96" i="57"/>
  <c r="CI96" i="57"/>
  <c r="CH96" i="57"/>
  <c r="CG96" i="57"/>
  <c r="CF96" i="57"/>
  <c r="CE96" i="57"/>
  <c r="CD96" i="57"/>
  <c r="BF96" i="57"/>
  <c r="BE96" i="57"/>
  <c r="BD96" i="57"/>
  <c r="BC96" i="57"/>
  <c r="BB96" i="57"/>
  <c r="BA96" i="57"/>
  <c r="AZ96" i="57"/>
  <c r="AY96" i="57"/>
  <c r="AX96" i="57"/>
  <c r="AW96" i="57"/>
  <c r="AV96" i="57"/>
  <c r="AU96" i="57"/>
  <c r="AT96" i="57"/>
  <c r="AS96" i="57"/>
  <c r="AR96" i="57"/>
  <c r="AQ96" i="57"/>
  <c r="CC96" i="57" s="1"/>
  <c r="AP96" i="57"/>
  <c r="AO96" i="57"/>
  <c r="AO95" i="57"/>
  <c r="CK94" i="57"/>
  <c r="CJ94" i="57"/>
  <c r="CI94" i="57"/>
  <c r="CH94" i="57"/>
  <c r="CG94" i="57"/>
  <c r="CF94" i="57"/>
  <c r="CE94" i="57"/>
  <c r="CD94" i="57"/>
  <c r="BF94" i="57"/>
  <c r="BE94" i="57"/>
  <c r="BD94" i="57"/>
  <c r="BC94" i="57"/>
  <c r="BB94" i="57"/>
  <c r="BA94" i="57"/>
  <c r="AZ94" i="57"/>
  <c r="AY94" i="57"/>
  <c r="AX94" i="57"/>
  <c r="AW94" i="57"/>
  <c r="AV94" i="57"/>
  <c r="AU94" i="57"/>
  <c r="AT94" i="57"/>
  <c r="AS94" i="57"/>
  <c r="AR94" i="57"/>
  <c r="AO94" i="57"/>
  <c r="CA94" i="57" s="1"/>
  <c r="CK93" i="57"/>
  <c r="CJ93" i="57"/>
  <c r="CI93" i="57"/>
  <c r="CH93" i="57"/>
  <c r="CG93" i="57"/>
  <c r="CF93" i="57"/>
  <c r="CE93" i="57"/>
  <c r="CD93" i="57"/>
  <c r="BF93" i="57"/>
  <c r="BE93" i="57"/>
  <c r="BD93" i="57"/>
  <c r="BC93" i="57"/>
  <c r="BB93" i="57"/>
  <c r="BA93" i="57"/>
  <c r="AZ93" i="57"/>
  <c r="AY93" i="57"/>
  <c r="AX93" i="57"/>
  <c r="AW93" i="57"/>
  <c r="AV93" i="57"/>
  <c r="AU93" i="57"/>
  <c r="AT93" i="57"/>
  <c r="AS93" i="57"/>
  <c r="AR93" i="57"/>
  <c r="AQ93" i="57"/>
  <c r="CC93" i="57" s="1"/>
  <c r="AP93" i="57"/>
  <c r="CB93" i="57" s="1"/>
  <c r="AO93" i="57"/>
  <c r="BH93" i="57" s="1"/>
  <c r="AO92" i="57"/>
  <c r="CA92" i="57" s="1"/>
  <c r="CK91" i="57"/>
  <c r="CJ91" i="57"/>
  <c r="CI91" i="57"/>
  <c r="CH91" i="57"/>
  <c r="CG91" i="57"/>
  <c r="CF91" i="57"/>
  <c r="CE91" i="57"/>
  <c r="CD91" i="57"/>
  <c r="BF91" i="57"/>
  <c r="BE91" i="57"/>
  <c r="BD91" i="57"/>
  <c r="BC91" i="57"/>
  <c r="BB91" i="57"/>
  <c r="BA91" i="57"/>
  <c r="AZ91" i="57"/>
  <c r="AY91" i="57"/>
  <c r="AX91" i="57"/>
  <c r="AW91" i="57"/>
  <c r="AV91" i="57"/>
  <c r="AU91" i="57"/>
  <c r="AT91" i="57"/>
  <c r="AS91" i="57"/>
  <c r="AR91" i="57"/>
  <c r="AO91" i="57"/>
  <c r="CA91" i="57" s="1"/>
  <c r="CK90" i="57"/>
  <c r="CJ90" i="57"/>
  <c r="CI90" i="57"/>
  <c r="CH90" i="57"/>
  <c r="CG90" i="57"/>
  <c r="CF90" i="57"/>
  <c r="CE90" i="57"/>
  <c r="CD90" i="57"/>
  <c r="BF90" i="57"/>
  <c r="BE90" i="57"/>
  <c r="BD90" i="57"/>
  <c r="BC90" i="57"/>
  <c r="BB90" i="57"/>
  <c r="BA90" i="57"/>
  <c r="AZ90" i="57"/>
  <c r="AY90" i="57"/>
  <c r="AX90" i="57"/>
  <c r="AW90" i="57"/>
  <c r="AV90" i="57"/>
  <c r="AU90" i="57"/>
  <c r="AT90" i="57"/>
  <c r="AS90" i="57"/>
  <c r="AR90" i="57"/>
  <c r="AQ90" i="57"/>
  <c r="AP90" i="57"/>
  <c r="AO90" i="57"/>
  <c r="CA90" i="57" s="1"/>
  <c r="AO89" i="57"/>
  <c r="CA89" i="57" s="1"/>
  <c r="CK88" i="57"/>
  <c r="CJ88" i="57"/>
  <c r="CI88" i="57"/>
  <c r="CH88" i="57"/>
  <c r="CG88" i="57"/>
  <c r="CF88" i="57"/>
  <c r="CE88" i="57"/>
  <c r="CD88" i="57"/>
  <c r="BO88" i="57"/>
  <c r="BN88" i="57"/>
  <c r="BM88" i="57"/>
  <c r="BL88" i="57"/>
  <c r="BK88" i="57"/>
  <c r="BF88" i="57"/>
  <c r="BE88" i="57"/>
  <c r="BD88" i="57"/>
  <c r="BC88" i="57"/>
  <c r="BB88" i="57"/>
  <c r="BA88" i="57"/>
  <c r="AZ88" i="57"/>
  <c r="AY88" i="57"/>
  <c r="AX88" i="57"/>
  <c r="AW88" i="57"/>
  <c r="AV88" i="57"/>
  <c r="AU88" i="57"/>
  <c r="AT88" i="57"/>
  <c r="AS88" i="57"/>
  <c r="AR88" i="57"/>
  <c r="AO88" i="57"/>
  <c r="CK87" i="57"/>
  <c r="CJ87" i="57"/>
  <c r="CI87" i="57"/>
  <c r="CH87" i="57"/>
  <c r="CG87" i="57"/>
  <c r="CF87" i="57"/>
  <c r="CE87" i="57"/>
  <c r="CD87" i="57"/>
  <c r="BO87" i="57"/>
  <c r="BN87" i="57"/>
  <c r="BM87" i="57"/>
  <c r="BL87" i="57"/>
  <c r="BK87" i="57"/>
  <c r="BF87" i="57"/>
  <c r="BE87" i="57"/>
  <c r="BD87" i="57"/>
  <c r="BC87" i="57"/>
  <c r="BB87" i="57"/>
  <c r="BA87" i="57"/>
  <c r="AZ87" i="57"/>
  <c r="AY87" i="57"/>
  <c r="AX87" i="57"/>
  <c r="AW87" i="57"/>
  <c r="AV87" i="57"/>
  <c r="AU87" i="57"/>
  <c r="AT87" i="57"/>
  <c r="AS87" i="57"/>
  <c r="AR87" i="57"/>
  <c r="AQ87" i="57"/>
  <c r="BJ87" i="57" s="1"/>
  <c r="AP87" i="57"/>
  <c r="BI87" i="57" s="1"/>
  <c r="AO87" i="57"/>
  <c r="AO86" i="57"/>
  <c r="BH86" i="57" s="1"/>
  <c r="CK85" i="57"/>
  <c r="CJ85" i="57"/>
  <c r="CI85" i="57"/>
  <c r="CH85" i="57"/>
  <c r="CG85" i="57"/>
  <c r="CF85" i="57"/>
  <c r="CE85" i="57"/>
  <c r="CD85" i="57"/>
  <c r="BO85" i="57"/>
  <c r="BN85" i="57"/>
  <c r="BM85" i="57"/>
  <c r="BL85" i="57"/>
  <c r="BK85" i="57"/>
  <c r="BF85" i="57"/>
  <c r="BE85" i="57"/>
  <c r="BD85" i="57"/>
  <c r="BC85" i="57"/>
  <c r="BB85" i="57"/>
  <c r="BA85" i="57"/>
  <c r="AZ85" i="57"/>
  <c r="AY85" i="57"/>
  <c r="AX85" i="57"/>
  <c r="AW85" i="57"/>
  <c r="AV85" i="57"/>
  <c r="AU85" i="57"/>
  <c r="AT85" i="57"/>
  <c r="AS85" i="57"/>
  <c r="AR85" i="57"/>
  <c r="AO85" i="57"/>
  <c r="BH85" i="57" s="1"/>
  <c r="CK84" i="57"/>
  <c r="CJ84" i="57"/>
  <c r="CI84" i="57"/>
  <c r="CH84" i="57"/>
  <c r="CG84" i="57"/>
  <c r="CF84" i="57"/>
  <c r="CE84" i="57"/>
  <c r="CD84" i="57"/>
  <c r="BO84" i="57"/>
  <c r="BN84" i="57"/>
  <c r="BM84" i="57"/>
  <c r="BL84" i="57"/>
  <c r="BK84" i="57"/>
  <c r="BF84" i="57"/>
  <c r="BE84" i="57"/>
  <c r="BD84" i="57"/>
  <c r="BC84" i="57"/>
  <c r="BB84" i="57"/>
  <c r="BA84" i="57"/>
  <c r="AZ84" i="57"/>
  <c r="AY84" i="57"/>
  <c r="AX84" i="57"/>
  <c r="AW84" i="57"/>
  <c r="AV84" i="57"/>
  <c r="AU84" i="57"/>
  <c r="AT84" i="57"/>
  <c r="AS84" i="57"/>
  <c r="AR84" i="57"/>
  <c r="AQ84" i="57"/>
  <c r="CC84" i="57" s="1"/>
  <c r="AP84" i="57"/>
  <c r="CB84" i="57" s="1"/>
  <c r="AO84" i="57"/>
  <c r="BH84" i="57" s="1"/>
  <c r="AO83" i="57"/>
  <c r="BH83" i="57" s="1"/>
  <c r="CK82" i="57"/>
  <c r="CJ82" i="57"/>
  <c r="CI82" i="57"/>
  <c r="CH82" i="57"/>
  <c r="CG82" i="57"/>
  <c r="CF82" i="57"/>
  <c r="CE82" i="57"/>
  <c r="CD82" i="57"/>
  <c r="BO82" i="57"/>
  <c r="BN82" i="57"/>
  <c r="BM82" i="57"/>
  <c r="BL82" i="57"/>
  <c r="BK82" i="57"/>
  <c r="BF82" i="57"/>
  <c r="BE82" i="57"/>
  <c r="BD82" i="57"/>
  <c r="BC82" i="57"/>
  <c r="BB82" i="57"/>
  <c r="BA82" i="57"/>
  <c r="AZ82" i="57"/>
  <c r="AY82" i="57"/>
  <c r="AX82" i="57"/>
  <c r="AW82" i="57"/>
  <c r="AV82" i="57"/>
  <c r="AU82" i="57"/>
  <c r="AT82" i="57"/>
  <c r="AS82" i="57"/>
  <c r="AR82" i="57"/>
  <c r="AO82" i="57"/>
  <c r="CK81" i="57"/>
  <c r="CJ81" i="57"/>
  <c r="CI81" i="57"/>
  <c r="CH81" i="57"/>
  <c r="CG81" i="57"/>
  <c r="CF81" i="57"/>
  <c r="CE81" i="57"/>
  <c r="CD81" i="57"/>
  <c r="BO81" i="57"/>
  <c r="BN81" i="57"/>
  <c r="BM81" i="57"/>
  <c r="BL81" i="57"/>
  <c r="BK81" i="57"/>
  <c r="BF81" i="57"/>
  <c r="BE81" i="57"/>
  <c r="BD81" i="57"/>
  <c r="BC81" i="57"/>
  <c r="BB81" i="57"/>
  <c r="BA81" i="57"/>
  <c r="AZ81" i="57"/>
  <c r="AY81" i="57"/>
  <c r="AX81" i="57"/>
  <c r="AW81" i="57"/>
  <c r="AV81" i="57"/>
  <c r="AU81" i="57"/>
  <c r="AT81" i="57"/>
  <c r="AS81" i="57"/>
  <c r="AR81" i="57"/>
  <c r="AQ81" i="57"/>
  <c r="AP81" i="57"/>
  <c r="BI81" i="57" s="1"/>
  <c r="AO81" i="57"/>
  <c r="CA81" i="57" s="1"/>
  <c r="AO80" i="57"/>
  <c r="BH80" i="57" s="1"/>
  <c r="CK79" i="57"/>
  <c r="CJ79" i="57"/>
  <c r="CI79" i="57"/>
  <c r="CH79" i="57"/>
  <c r="CG79" i="57"/>
  <c r="CF79" i="57"/>
  <c r="CE79" i="57"/>
  <c r="CD79" i="57"/>
  <c r="BO79" i="57"/>
  <c r="BN79" i="57"/>
  <c r="BM79" i="57"/>
  <c r="BL79" i="57"/>
  <c r="BK79" i="57"/>
  <c r="BF79" i="57"/>
  <c r="BE79" i="57"/>
  <c r="BD79" i="57"/>
  <c r="BC79" i="57"/>
  <c r="BB79" i="57"/>
  <c r="BA79" i="57"/>
  <c r="AZ79" i="57"/>
  <c r="AY79" i="57"/>
  <c r="AX79" i="57"/>
  <c r="AW79" i="57"/>
  <c r="AV79" i="57"/>
  <c r="AU79" i="57"/>
  <c r="AT79" i="57"/>
  <c r="AS79" i="57"/>
  <c r="AR79" i="57"/>
  <c r="AO79" i="57"/>
  <c r="CK78" i="57"/>
  <c r="CJ78" i="57"/>
  <c r="CI78" i="57"/>
  <c r="CH78" i="57"/>
  <c r="CG78" i="57"/>
  <c r="CF78" i="57"/>
  <c r="CE78" i="57"/>
  <c r="CD78" i="57"/>
  <c r="BO78" i="57"/>
  <c r="BN78" i="57"/>
  <c r="BM78" i="57"/>
  <c r="BL78" i="57"/>
  <c r="BK78" i="57"/>
  <c r="BF78" i="57"/>
  <c r="BE78" i="57"/>
  <c r="BD78" i="57"/>
  <c r="BC78" i="57"/>
  <c r="BB78" i="57"/>
  <c r="BA78" i="57"/>
  <c r="AZ78" i="57"/>
  <c r="AY78" i="57"/>
  <c r="AX78" i="57"/>
  <c r="AW78" i="57"/>
  <c r="AV78" i="57"/>
  <c r="AU78" i="57"/>
  <c r="AT78" i="57"/>
  <c r="AS78" i="57"/>
  <c r="AR78" i="57"/>
  <c r="AQ78" i="57"/>
  <c r="BJ78" i="57" s="1"/>
  <c r="AP78" i="57"/>
  <c r="AO78" i="57"/>
  <c r="CA78" i="57" s="1"/>
  <c r="AO77" i="57"/>
  <c r="BH77" i="57" s="1"/>
  <c r="CK76" i="57"/>
  <c r="CJ76" i="57"/>
  <c r="CI76" i="57"/>
  <c r="CH76" i="57"/>
  <c r="CG76" i="57"/>
  <c r="CF76" i="57"/>
  <c r="CE76" i="57"/>
  <c r="CD76" i="57"/>
  <c r="BO76" i="57"/>
  <c r="BN76" i="57"/>
  <c r="BM76" i="57"/>
  <c r="BL76" i="57"/>
  <c r="BK76" i="57"/>
  <c r="BF76" i="57"/>
  <c r="BE76" i="57"/>
  <c r="BD76" i="57"/>
  <c r="BC76" i="57"/>
  <c r="BB76" i="57"/>
  <c r="BA76" i="57"/>
  <c r="AZ76" i="57"/>
  <c r="AY76" i="57"/>
  <c r="AX76" i="57"/>
  <c r="AW76" i="57"/>
  <c r="AV76" i="57"/>
  <c r="AU76" i="57"/>
  <c r="AT76" i="57"/>
  <c r="AS76" i="57"/>
  <c r="AR76" i="57"/>
  <c r="AO76" i="57"/>
  <c r="BH76" i="57" s="1"/>
  <c r="CK75" i="57"/>
  <c r="CJ75" i="57"/>
  <c r="CI75" i="57"/>
  <c r="CH75" i="57"/>
  <c r="CG75" i="57"/>
  <c r="CF75" i="57"/>
  <c r="CE75" i="57"/>
  <c r="CD75" i="57"/>
  <c r="BO75" i="57"/>
  <c r="BN75" i="57"/>
  <c r="BM75" i="57"/>
  <c r="BL75" i="57"/>
  <c r="BK75" i="57"/>
  <c r="BF75" i="57"/>
  <c r="BE75" i="57"/>
  <c r="BD75" i="57"/>
  <c r="BC75" i="57"/>
  <c r="BB75" i="57"/>
  <c r="BA75" i="57"/>
  <c r="AZ75" i="57"/>
  <c r="AY75" i="57"/>
  <c r="AX75" i="57"/>
  <c r="AW75" i="57"/>
  <c r="AV75" i="57"/>
  <c r="AU75" i="57"/>
  <c r="AT75" i="57"/>
  <c r="AS75" i="57"/>
  <c r="AR75" i="57"/>
  <c r="AQ75" i="57"/>
  <c r="CC75" i="57" s="1"/>
  <c r="AP75" i="57"/>
  <c r="CB75" i="57" s="1"/>
  <c r="AO75" i="57"/>
  <c r="AO74" i="57"/>
  <c r="CA74" i="57" s="1"/>
  <c r="CK73" i="57"/>
  <c r="CJ73" i="57"/>
  <c r="CI73" i="57"/>
  <c r="CH73" i="57"/>
  <c r="CG73" i="57"/>
  <c r="CF73" i="57"/>
  <c r="CE73" i="57"/>
  <c r="CD73" i="57"/>
  <c r="BO73" i="57"/>
  <c r="BN73" i="57"/>
  <c r="BM73" i="57"/>
  <c r="BL73" i="57"/>
  <c r="BK73" i="57"/>
  <c r="BF73" i="57"/>
  <c r="BE73" i="57"/>
  <c r="BD73" i="57"/>
  <c r="BC73" i="57"/>
  <c r="BB73" i="57"/>
  <c r="BA73" i="57"/>
  <c r="AZ73" i="57"/>
  <c r="AY73" i="57"/>
  <c r="AX73" i="57"/>
  <c r="AW73" i="57"/>
  <c r="AV73" i="57"/>
  <c r="AU73" i="57"/>
  <c r="AT73" i="57"/>
  <c r="AS73" i="57"/>
  <c r="AR73" i="57"/>
  <c r="AO73" i="57"/>
  <c r="CA73" i="57" s="1"/>
  <c r="CK72" i="57"/>
  <c r="CJ72" i="57"/>
  <c r="CI72" i="57"/>
  <c r="CH72" i="57"/>
  <c r="CG72" i="57"/>
  <c r="CF72" i="57"/>
  <c r="CE72" i="57"/>
  <c r="CD72" i="57"/>
  <c r="BO72" i="57"/>
  <c r="BN72" i="57"/>
  <c r="BM72" i="57"/>
  <c r="BL72" i="57"/>
  <c r="BK72" i="57"/>
  <c r="BF72" i="57"/>
  <c r="BE72" i="57"/>
  <c r="BD72" i="57"/>
  <c r="BC72" i="57"/>
  <c r="BB72" i="57"/>
  <c r="BA72" i="57"/>
  <c r="AZ72" i="57"/>
  <c r="AY72" i="57"/>
  <c r="AX72" i="57"/>
  <c r="AW72" i="57"/>
  <c r="AV72" i="57"/>
  <c r="AU72" i="57"/>
  <c r="AT72" i="57"/>
  <c r="AS72" i="57"/>
  <c r="AR72" i="57"/>
  <c r="AQ72" i="57"/>
  <c r="CC72" i="57" s="1"/>
  <c r="AP72" i="57"/>
  <c r="AO72" i="57"/>
  <c r="BH72" i="57" s="1"/>
  <c r="AO71" i="57"/>
  <c r="CK70" i="57"/>
  <c r="CJ70" i="57"/>
  <c r="CI70" i="57"/>
  <c r="CH70" i="57"/>
  <c r="CG70" i="57"/>
  <c r="CF70" i="57"/>
  <c r="CE70" i="57"/>
  <c r="CD70" i="57"/>
  <c r="BO70" i="57"/>
  <c r="BN70" i="57"/>
  <c r="BM70" i="57"/>
  <c r="BL70" i="57"/>
  <c r="BK70" i="57"/>
  <c r="BF70" i="57"/>
  <c r="BE70" i="57"/>
  <c r="BD70" i="57"/>
  <c r="BC70" i="57"/>
  <c r="BB70" i="57"/>
  <c r="BA70" i="57"/>
  <c r="AZ70" i="57"/>
  <c r="AY70" i="57"/>
  <c r="AX70" i="57"/>
  <c r="AW70" i="57"/>
  <c r="AV70" i="57"/>
  <c r="AU70" i="57"/>
  <c r="AT70" i="57"/>
  <c r="AS70" i="57"/>
  <c r="AR70" i="57"/>
  <c r="AO70" i="57"/>
  <c r="CK69" i="57"/>
  <c r="CJ69" i="57"/>
  <c r="CI69" i="57"/>
  <c r="CH69" i="57"/>
  <c r="CG69" i="57"/>
  <c r="CF69" i="57"/>
  <c r="CE69" i="57"/>
  <c r="CD69" i="57"/>
  <c r="BO69" i="57"/>
  <c r="BN69" i="57"/>
  <c r="BM69" i="57"/>
  <c r="BL69" i="57"/>
  <c r="BK69" i="57"/>
  <c r="BF69" i="57"/>
  <c r="BE69" i="57"/>
  <c r="BD69" i="57"/>
  <c r="BC69" i="57"/>
  <c r="BB69" i="57"/>
  <c r="BA69" i="57"/>
  <c r="AZ69" i="57"/>
  <c r="AY69" i="57"/>
  <c r="AX69" i="57"/>
  <c r="AW69" i="57"/>
  <c r="AV69" i="57"/>
  <c r="AU69" i="57"/>
  <c r="AT69" i="57"/>
  <c r="AS69" i="57"/>
  <c r="AR69" i="57"/>
  <c r="AQ69" i="57"/>
  <c r="BJ69" i="57" s="1"/>
  <c r="AP69" i="57"/>
  <c r="CB69" i="57" s="1"/>
  <c r="AO69" i="57"/>
  <c r="CC68" i="57"/>
  <c r="CB68" i="57"/>
  <c r="CA68" i="57"/>
  <c r="BJ68" i="57"/>
  <c r="BI68" i="57"/>
  <c r="BH68" i="57"/>
  <c r="CE65" i="57"/>
  <c r="BH56" i="57"/>
  <c r="AO56" i="57"/>
  <c r="BB55" i="57"/>
  <c r="BB66" i="57" s="1"/>
  <c r="AW55" i="57"/>
  <c r="AW66" i="57" s="1"/>
  <c r="AR55" i="57"/>
  <c r="BK55" i="57" s="1"/>
  <c r="BK66" i="57" s="1"/>
  <c r="AJ19" i="41"/>
  <c r="AF19" i="41"/>
  <c r="AE19" i="41"/>
  <c r="AD19" i="41"/>
  <c r="AC19" i="41"/>
  <c r="AB19" i="41"/>
  <c r="AB62" i="57"/>
  <c r="AC62" i="57"/>
  <c r="AD62" i="57"/>
  <c r="AE62" i="57"/>
  <c r="AF62" i="57"/>
  <c r="AG62" i="57"/>
  <c r="AH62" i="57"/>
  <c r="AI62" i="57"/>
  <c r="AJ62" i="57"/>
  <c r="AA62" i="57"/>
  <c r="AJ55" i="57"/>
  <c r="AI55" i="57"/>
  <c r="AH55" i="57"/>
  <c r="AG55" i="57"/>
  <c r="AJ49" i="57"/>
  <c r="AI49" i="57"/>
  <c r="AH49" i="57"/>
  <c r="AG49" i="57"/>
  <c r="AG71" i="57"/>
  <c r="AH71" i="57"/>
  <c r="AI71" i="57"/>
  <c r="AG74" i="57"/>
  <c r="AH74" i="57"/>
  <c r="AI74" i="57"/>
  <c r="AG77" i="57"/>
  <c r="AH77" i="57"/>
  <c r="AI77" i="57"/>
  <c r="AG80" i="57"/>
  <c r="AH80" i="57"/>
  <c r="AI80" i="57"/>
  <c r="AG83" i="57"/>
  <c r="AH83" i="57"/>
  <c r="AI83" i="57"/>
  <c r="AG86" i="57"/>
  <c r="AH86" i="57"/>
  <c r="AI86" i="57"/>
  <c r="AG89" i="57"/>
  <c r="AH89" i="57"/>
  <c r="AI89" i="57"/>
  <c r="BE89" i="57" s="1"/>
  <c r="AG92" i="57"/>
  <c r="AH92" i="57"/>
  <c r="AI92" i="57"/>
  <c r="AG95" i="57"/>
  <c r="AH95" i="57"/>
  <c r="AI95" i="57"/>
  <c r="AG98" i="57"/>
  <c r="AH98" i="57"/>
  <c r="BD98" i="57" s="1"/>
  <c r="AI98" i="57"/>
  <c r="AG101" i="57"/>
  <c r="AH101" i="57"/>
  <c r="AI101" i="57"/>
  <c r="AG104" i="57"/>
  <c r="AH104" i="57"/>
  <c r="AI104" i="57"/>
  <c r="AG107" i="57"/>
  <c r="AH107" i="57"/>
  <c r="AI107" i="57"/>
  <c r="AG110" i="57"/>
  <c r="AH110" i="57"/>
  <c r="AI110" i="57"/>
  <c r="AG113" i="57"/>
  <c r="AH113" i="57"/>
  <c r="AI113" i="57"/>
  <c r="AG116" i="57"/>
  <c r="AH116" i="57"/>
  <c r="AI116" i="57"/>
  <c r="AG119" i="57"/>
  <c r="AH119" i="57"/>
  <c r="AI119" i="57"/>
  <c r="AG122" i="57"/>
  <c r="AH122" i="57"/>
  <c r="AI122" i="57"/>
  <c r="AG125" i="57"/>
  <c r="AH125" i="57"/>
  <c r="AI125" i="57"/>
  <c r="AG128" i="57"/>
  <c r="AH128" i="57"/>
  <c r="AI128" i="57"/>
  <c r="AG131" i="57"/>
  <c r="AH131" i="57"/>
  <c r="AI131" i="57"/>
  <c r="AG134" i="57"/>
  <c r="AH134" i="57"/>
  <c r="AI134" i="57"/>
  <c r="AG137" i="57"/>
  <c r="AH137" i="57"/>
  <c r="AI137" i="57"/>
  <c r="AG140" i="57"/>
  <c r="AH140" i="57"/>
  <c r="AI140" i="57"/>
  <c r="AG143" i="57"/>
  <c r="AH143" i="57"/>
  <c r="AI143" i="57"/>
  <c r="AG146" i="57"/>
  <c r="AH146" i="57"/>
  <c r="AI146" i="57"/>
  <c r="AG149" i="57"/>
  <c r="AH149" i="57"/>
  <c r="AI149" i="57"/>
  <c r="AG152" i="57"/>
  <c r="AH152" i="57"/>
  <c r="AI152" i="57"/>
  <c r="AG155" i="57"/>
  <c r="AH155" i="57"/>
  <c r="AI155" i="57"/>
  <c r="AG158" i="57"/>
  <c r="AH158" i="57"/>
  <c r="AI158" i="57"/>
  <c r="AG161" i="57"/>
  <c r="AH161" i="57"/>
  <c r="AI161" i="57"/>
  <c r="AG164" i="57"/>
  <c r="AH164" i="57"/>
  <c r="AI164" i="57"/>
  <c r="AG167" i="57"/>
  <c r="AH167" i="57"/>
  <c r="AI167" i="57"/>
  <c r="AG170" i="57"/>
  <c r="AH170" i="57"/>
  <c r="AI170" i="57"/>
  <c r="AG173" i="57"/>
  <c r="AH173" i="57"/>
  <c r="AI173" i="57"/>
  <c r="AG176" i="57"/>
  <c r="AH176" i="57"/>
  <c r="AI176" i="57"/>
  <c r="AG179" i="57"/>
  <c r="AH179" i="57"/>
  <c r="AI179" i="57"/>
  <c r="AG182" i="57"/>
  <c r="AH182" i="57"/>
  <c r="AI182" i="57"/>
  <c r="AG185" i="57"/>
  <c r="AH185" i="57"/>
  <c r="AI185" i="57"/>
  <c r="AG188" i="57"/>
  <c r="AH188" i="57"/>
  <c r="AI188" i="57"/>
  <c r="AG191" i="57"/>
  <c r="AH191" i="57"/>
  <c r="AI191" i="57"/>
  <c r="AG194" i="57"/>
  <c r="AH194" i="57"/>
  <c r="AI194" i="57"/>
  <c r="AG197" i="57"/>
  <c r="AH197" i="57"/>
  <c r="AI197" i="57"/>
  <c r="AG200" i="57"/>
  <c r="AH200" i="57"/>
  <c r="AI200" i="57"/>
  <c r="AG203" i="57"/>
  <c r="AH203" i="57"/>
  <c r="AI203" i="57"/>
  <c r="AG206" i="57"/>
  <c r="AH206" i="57"/>
  <c r="AI206" i="57"/>
  <c r="AG209" i="57"/>
  <c r="AH209" i="57"/>
  <c r="AI209" i="57"/>
  <c r="AG212" i="57"/>
  <c r="AH212" i="57"/>
  <c r="AI212" i="57"/>
  <c r="AG215" i="57"/>
  <c r="AH215" i="57"/>
  <c r="AI215" i="57"/>
  <c r="AG218" i="57"/>
  <c r="AH218" i="57"/>
  <c r="AI218" i="57"/>
  <c r="AG221" i="57"/>
  <c r="AH221" i="57"/>
  <c r="AI221" i="57"/>
  <c r="AG224" i="57"/>
  <c r="AH224" i="57"/>
  <c r="AI224" i="57"/>
  <c r="AG227" i="57"/>
  <c r="AH227" i="57"/>
  <c r="AI227" i="57"/>
  <c r="AG230" i="57"/>
  <c r="AH230" i="57"/>
  <c r="AI230" i="57"/>
  <c r="AG233" i="57"/>
  <c r="AH233" i="57"/>
  <c r="AI233" i="57"/>
  <c r="AG236" i="57"/>
  <c r="AH236" i="57"/>
  <c r="AI236" i="57"/>
  <c r="AG239" i="57"/>
  <c r="AH239" i="57"/>
  <c r="AI239" i="57"/>
  <c r="AG242" i="57"/>
  <c r="AH242" i="57"/>
  <c r="AI242" i="57"/>
  <c r="AG245" i="57"/>
  <c r="AH245" i="57"/>
  <c r="AI245" i="57"/>
  <c r="AG248" i="57"/>
  <c r="AH248" i="57"/>
  <c r="AI248" i="57"/>
  <c r="AG251" i="57"/>
  <c r="AH251" i="57"/>
  <c r="AI251" i="57"/>
  <c r="AG254" i="57"/>
  <c r="AH254" i="57"/>
  <c r="AI254" i="57"/>
  <c r="AG257" i="57"/>
  <c r="AH257" i="57"/>
  <c r="AI257" i="57"/>
  <c r="AG260" i="57"/>
  <c r="AH260" i="57"/>
  <c r="AI260" i="57"/>
  <c r="AG263" i="57"/>
  <c r="AH263" i="57"/>
  <c r="AI263" i="57"/>
  <c r="AG266" i="57"/>
  <c r="AH266" i="57"/>
  <c r="AI266" i="57"/>
  <c r="AG269" i="57"/>
  <c r="AH269" i="57"/>
  <c r="AI269" i="57"/>
  <c r="AG272" i="57"/>
  <c r="AH272" i="57"/>
  <c r="AI272" i="57"/>
  <c r="AG275" i="57"/>
  <c r="AH275" i="57"/>
  <c r="AI275" i="57"/>
  <c r="AG278" i="57"/>
  <c r="AH278" i="57"/>
  <c r="AI278" i="57"/>
  <c r="AG281" i="57"/>
  <c r="AH281" i="57"/>
  <c r="AI281" i="57"/>
  <c r="AG284" i="57"/>
  <c r="AH284" i="57"/>
  <c r="AI284" i="57"/>
  <c r="AG287" i="57"/>
  <c r="AH287" i="57"/>
  <c r="AI287" i="57"/>
  <c r="AG290" i="57"/>
  <c r="AH290" i="57"/>
  <c r="AI290" i="57"/>
  <c r="AG293" i="57"/>
  <c r="AH293" i="57"/>
  <c r="AI293" i="57"/>
  <c r="AG296" i="57"/>
  <c r="AH296" i="57"/>
  <c r="AI296" i="57"/>
  <c r="AG299" i="57"/>
  <c r="AH299" i="57"/>
  <c r="AI299" i="57"/>
  <c r="AG302" i="57"/>
  <c r="AH302" i="57"/>
  <c r="AI302" i="57"/>
  <c r="AG305" i="57"/>
  <c r="AH305" i="57"/>
  <c r="AI305" i="57"/>
  <c r="AG308" i="57"/>
  <c r="AH308" i="57"/>
  <c r="AI308" i="57"/>
  <c r="AG311" i="57"/>
  <c r="AH311" i="57"/>
  <c r="AI311" i="57"/>
  <c r="AG314" i="57"/>
  <c r="AH314" i="57"/>
  <c r="AI314" i="57"/>
  <c r="AG317" i="57"/>
  <c r="AH317" i="57"/>
  <c r="AI317" i="57"/>
  <c r="AG320" i="57"/>
  <c r="AH320" i="57"/>
  <c r="AI320" i="57"/>
  <c r="AG323" i="57"/>
  <c r="AH323" i="57"/>
  <c r="AI323" i="57"/>
  <c r="AG326" i="57"/>
  <c r="AH326" i="57"/>
  <c r="AI326" i="57"/>
  <c r="AG329" i="57"/>
  <c r="AH329" i="57"/>
  <c r="AI329" i="57"/>
  <c r="AG332" i="57"/>
  <c r="AH332" i="57"/>
  <c r="AI332" i="57"/>
  <c r="AG335" i="57"/>
  <c r="AH335" i="57"/>
  <c r="AI335" i="57"/>
  <c r="AG338" i="57"/>
  <c r="AH338" i="57"/>
  <c r="AI338" i="57"/>
  <c r="AG341" i="57"/>
  <c r="AH341" i="57"/>
  <c r="AI341" i="57"/>
  <c r="AG344" i="57"/>
  <c r="AH344" i="57"/>
  <c r="AI344" i="57"/>
  <c r="AG347" i="57"/>
  <c r="AH347" i="57"/>
  <c r="AI347" i="57"/>
  <c r="AG350" i="57"/>
  <c r="AH350" i="57"/>
  <c r="AI350" i="57"/>
  <c r="AG353" i="57"/>
  <c r="AH353" i="57"/>
  <c r="AI353" i="57"/>
  <c r="AG356" i="57"/>
  <c r="AH356" i="57"/>
  <c r="AI356" i="57"/>
  <c r="AG359" i="57"/>
  <c r="AH359" i="57"/>
  <c r="AI359" i="57"/>
  <c r="AG362" i="57"/>
  <c r="AH362" i="57"/>
  <c r="AI362" i="57"/>
  <c r="AG365" i="57"/>
  <c r="AH365" i="57"/>
  <c r="AI365" i="57"/>
  <c r="AG368" i="57"/>
  <c r="AH368" i="57"/>
  <c r="AI368" i="57"/>
  <c r="AG371" i="57"/>
  <c r="AH371" i="57"/>
  <c r="AI371" i="57"/>
  <c r="AG374" i="57"/>
  <c r="AH374" i="57"/>
  <c r="AI374" i="57"/>
  <c r="AG377" i="57"/>
  <c r="AH377" i="57"/>
  <c r="AI377" i="57"/>
  <c r="AG380" i="57"/>
  <c r="AH380" i="57"/>
  <c r="AI380" i="57"/>
  <c r="AG383" i="57"/>
  <c r="AH383" i="57"/>
  <c r="AI383" i="57"/>
  <c r="AG386" i="57"/>
  <c r="AH386" i="57"/>
  <c r="AI386" i="57"/>
  <c r="AG389" i="57"/>
  <c r="AH389" i="57"/>
  <c r="AI389" i="57"/>
  <c r="AG392" i="57"/>
  <c r="AH392" i="57"/>
  <c r="AI392" i="57"/>
  <c r="AG395" i="57"/>
  <c r="AH395" i="57"/>
  <c r="AI395" i="57"/>
  <c r="AG398" i="57"/>
  <c r="AH398" i="57"/>
  <c r="AI398" i="57"/>
  <c r="AG401" i="57"/>
  <c r="AH401" i="57"/>
  <c r="AI401" i="57"/>
  <c r="AG404" i="57"/>
  <c r="AH404" i="57"/>
  <c r="AI404" i="57"/>
  <c r="AG407" i="57"/>
  <c r="AH407" i="57"/>
  <c r="AI407" i="57"/>
  <c r="AG410" i="57"/>
  <c r="AH410" i="57"/>
  <c r="AI410" i="57"/>
  <c r="AG413" i="57"/>
  <c r="AH413" i="57"/>
  <c r="AI413" i="57"/>
  <c r="AG416" i="57"/>
  <c r="AH416" i="57"/>
  <c r="AI416" i="57"/>
  <c r="AG419" i="57"/>
  <c r="AH419" i="57"/>
  <c r="AI419" i="57"/>
  <c r="AG422" i="57"/>
  <c r="AH422" i="57"/>
  <c r="AI422" i="57"/>
  <c r="AG425" i="57"/>
  <c r="AH425" i="57"/>
  <c r="AI425" i="57"/>
  <c r="AG428" i="57"/>
  <c r="AH428" i="57"/>
  <c r="AI428" i="57"/>
  <c r="AG431" i="57"/>
  <c r="AH431" i="57"/>
  <c r="AI431" i="57"/>
  <c r="AG434" i="57"/>
  <c r="AH434" i="57"/>
  <c r="AI434" i="57"/>
  <c r="AG437" i="57"/>
  <c r="AH437" i="57"/>
  <c r="AI437" i="57"/>
  <c r="AG440" i="57"/>
  <c r="AH440" i="57"/>
  <c r="AI440" i="57"/>
  <c r="AG443" i="57"/>
  <c r="AH443" i="57"/>
  <c r="AI443" i="57"/>
  <c r="AG15" i="57"/>
  <c r="AH15" i="57"/>
  <c r="AI15" i="57"/>
  <c r="AJ15" i="57"/>
  <c r="AG68" i="57"/>
  <c r="BC68" i="57" s="1"/>
  <c r="BV68" i="57" s="1"/>
  <c r="BV56" i="57" s="1"/>
  <c r="AH68" i="57"/>
  <c r="BD68" i="57" s="1"/>
  <c r="AI68" i="57"/>
  <c r="BE68" i="57" s="1"/>
  <c r="AJ68" i="57"/>
  <c r="BF68" i="57" s="1"/>
  <c r="BF56" i="57" s="1"/>
  <c r="R18" i="57"/>
  <c r="S18" i="57"/>
  <c r="T18" i="57"/>
  <c r="CK442" i="36"/>
  <c r="CJ442" i="36"/>
  <c r="CI442" i="36"/>
  <c r="CH442" i="36"/>
  <c r="CK441" i="36"/>
  <c r="CJ441" i="36"/>
  <c r="CI441" i="36"/>
  <c r="CH441" i="36"/>
  <c r="CK439" i="36"/>
  <c r="CJ439" i="36"/>
  <c r="CI439" i="36"/>
  <c r="CH439" i="36"/>
  <c r="CK438" i="36"/>
  <c r="CJ438" i="36"/>
  <c r="CI438" i="36"/>
  <c r="CH438" i="36"/>
  <c r="CK436" i="36"/>
  <c r="CJ436" i="36"/>
  <c r="CI436" i="36"/>
  <c r="CH436" i="36"/>
  <c r="CK435" i="36"/>
  <c r="CJ435" i="36"/>
  <c r="CI435" i="36"/>
  <c r="CH435" i="36"/>
  <c r="CK433" i="36"/>
  <c r="CJ433" i="36"/>
  <c r="CI433" i="36"/>
  <c r="CH433" i="36"/>
  <c r="CK432" i="36"/>
  <c r="CJ432" i="36"/>
  <c r="CI432" i="36"/>
  <c r="CH432" i="36"/>
  <c r="CK430" i="36"/>
  <c r="CJ430" i="36"/>
  <c r="CI430" i="36"/>
  <c r="CH430" i="36"/>
  <c r="CK429" i="36"/>
  <c r="CJ429" i="36"/>
  <c r="CI429" i="36"/>
  <c r="CH429" i="36"/>
  <c r="CK427" i="36"/>
  <c r="CJ427" i="36"/>
  <c r="CI427" i="36"/>
  <c r="CH427" i="36"/>
  <c r="CK426" i="36"/>
  <c r="CJ426" i="36"/>
  <c r="CI426" i="36"/>
  <c r="CH426" i="36"/>
  <c r="CK424" i="36"/>
  <c r="CJ424" i="36"/>
  <c r="CI424" i="36"/>
  <c r="CH424" i="36"/>
  <c r="CK423" i="36"/>
  <c r="CJ423" i="36"/>
  <c r="CI423" i="36"/>
  <c r="CH423" i="36"/>
  <c r="CK421" i="36"/>
  <c r="CJ421" i="36"/>
  <c r="CI421" i="36"/>
  <c r="CH421" i="36"/>
  <c r="CK420" i="36"/>
  <c r="CJ420" i="36"/>
  <c r="CI420" i="36"/>
  <c r="CH420" i="36"/>
  <c r="CK418" i="36"/>
  <c r="CJ418" i="36"/>
  <c r="CI418" i="36"/>
  <c r="CH418" i="36"/>
  <c r="CK417" i="36"/>
  <c r="CJ417" i="36"/>
  <c r="CI417" i="36"/>
  <c r="CH417" i="36"/>
  <c r="CK415" i="36"/>
  <c r="CJ415" i="36"/>
  <c r="CI415" i="36"/>
  <c r="CH415" i="36"/>
  <c r="CK414" i="36"/>
  <c r="CJ414" i="36"/>
  <c r="CI414" i="36"/>
  <c r="CH414" i="36"/>
  <c r="CK412" i="36"/>
  <c r="CJ412" i="36"/>
  <c r="CI412" i="36"/>
  <c r="CH412" i="36"/>
  <c r="CK411" i="36"/>
  <c r="CJ411" i="36"/>
  <c r="CI411" i="36"/>
  <c r="CH411" i="36"/>
  <c r="CK409" i="36"/>
  <c r="CJ409" i="36"/>
  <c r="CI409" i="36"/>
  <c r="CH409" i="36"/>
  <c r="CK408" i="36"/>
  <c r="CJ408" i="36"/>
  <c r="CI408" i="36"/>
  <c r="CH408" i="36"/>
  <c r="CK406" i="36"/>
  <c r="CJ406" i="36"/>
  <c r="CI406" i="36"/>
  <c r="CH406" i="36"/>
  <c r="CK405" i="36"/>
  <c r="CJ405" i="36"/>
  <c r="CI405" i="36"/>
  <c r="CH405" i="36"/>
  <c r="CK403" i="36"/>
  <c r="CJ403" i="36"/>
  <c r="CI403" i="36"/>
  <c r="CH403" i="36"/>
  <c r="CK402" i="36"/>
  <c r="CJ402" i="36"/>
  <c r="CI402" i="36"/>
  <c r="CH402" i="36"/>
  <c r="CK400" i="36"/>
  <c r="CJ400" i="36"/>
  <c r="CI400" i="36"/>
  <c r="CH400" i="36"/>
  <c r="CK399" i="36"/>
  <c r="CJ399" i="36"/>
  <c r="CI399" i="36"/>
  <c r="CH399" i="36"/>
  <c r="CK397" i="36"/>
  <c r="CJ397" i="36"/>
  <c r="CI397" i="36"/>
  <c r="CH397" i="36"/>
  <c r="CK396" i="36"/>
  <c r="CJ396" i="36"/>
  <c r="CI396" i="36"/>
  <c r="CH396" i="36"/>
  <c r="CK394" i="36"/>
  <c r="CJ394" i="36"/>
  <c r="CI394" i="36"/>
  <c r="CH394" i="36"/>
  <c r="CK393" i="36"/>
  <c r="CJ393" i="36"/>
  <c r="CI393" i="36"/>
  <c r="CH393" i="36"/>
  <c r="CK391" i="36"/>
  <c r="CJ391" i="36"/>
  <c r="CI391" i="36"/>
  <c r="CH391" i="36"/>
  <c r="CK390" i="36"/>
  <c r="CJ390" i="36"/>
  <c r="CI390" i="36"/>
  <c r="CH390" i="36"/>
  <c r="CK388" i="36"/>
  <c r="CJ388" i="36"/>
  <c r="CI388" i="36"/>
  <c r="CH388" i="36"/>
  <c r="CK387" i="36"/>
  <c r="CJ387" i="36"/>
  <c r="CI387" i="36"/>
  <c r="CH387" i="36"/>
  <c r="CK385" i="36"/>
  <c r="CJ385" i="36"/>
  <c r="CI385" i="36"/>
  <c r="CH385" i="36"/>
  <c r="CK384" i="36"/>
  <c r="CJ384" i="36"/>
  <c r="CI384" i="36"/>
  <c r="CH384" i="36"/>
  <c r="CK382" i="36"/>
  <c r="CJ382" i="36"/>
  <c r="CI382" i="36"/>
  <c r="CH382" i="36"/>
  <c r="CK381" i="36"/>
  <c r="CJ381" i="36"/>
  <c r="CI381" i="36"/>
  <c r="CH381" i="36"/>
  <c r="CK379" i="36"/>
  <c r="CJ379" i="36"/>
  <c r="CI379" i="36"/>
  <c r="CH379" i="36"/>
  <c r="CK378" i="36"/>
  <c r="CJ378" i="36"/>
  <c r="CI378" i="36"/>
  <c r="CH378" i="36"/>
  <c r="CK376" i="36"/>
  <c r="CJ376" i="36"/>
  <c r="CI376" i="36"/>
  <c r="CH376" i="36"/>
  <c r="CK375" i="36"/>
  <c r="CJ375" i="36"/>
  <c r="CI375" i="36"/>
  <c r="CH375" i="36"/>
  <c r="CK373" i="36"/>
  <c r="CJ373" i="36"/>
  <c r="CI373" i="36"/>
  <c r="CH373" i="36"/>
  <c r="CK372" i="36"/>
  <c r="CJ372" i="36"/>
  <c r="CI372" i="36"/>
  <c r="CH372" i="36"/>
  <c r="CK370" i="36"/>
  <c r="CJ370" i="36"/>
  <c r="CI370" i="36"/>
  <c r="CH370" i="36"/>
  <c r="CK369" i="36"/>
  <c r="CJ369" i="36"/>
  <c r="CI369" i="36"/>
  <c r="CH369" i="36"/>
  <c r="CK367" i="36"/>
  <c r="CJ367" i="36"/>
  <c r="CI367" i="36"/>
  <c r="CH367" i="36"/>
  <c r="CK366" i="36"/>
  <c r="CJ366" i="36"/>
  <c r="CI366" i="36"/>
  <c r="CH366" i="36"/>
  <c r="CK364" i="36"/>
  <c r="CJ364" i="36"/>
  <c r="CI364" i="36"/>
  <c r="CH364" i="36"/>
  <c r="CK363" i="36"/>
  <c r="CJ363" i="36"/>
  <c r="CI363" i="36"/>
  <c r="CH363" i="36"/>
  <c r="CK361" i="36"/>
  <c r="CJ361" i="36"/>
  <c r="CI361" i="36"/>
  <c r="CH361" i="36"/>
  <c r="CK360" i="36"/>
  <c r="CJ360" i="36"/>
  <c r="CI360" i="36"/>
  <c r="CH360" i="36"/>
  <c r="CK358" i="36"/>
  <c r="CJ358" i="36"/>
  <c r="CI358" i="36"/>
  <c r="CH358" i="36"/>
  <c r="CK357" i="36"/>
  <c r="CJ357" i="36"/>
  <c r="CI357" i="36"/>
  <c r="CH357" i="36"/>
  <c r="CK355" i="36"/>
  <c r="CJ355" i="36"/>
  <c r="CI355" i="36"/>
  <c r="CH355" i="36"/>
  <c r="CK354" i="36"/>
  <c r="CJ354" i="36"/>
  <c r="CI354" i="36"/>
  <c r="CH354" i="36"/>
  <c r="CK352" i="36"/>
  <c r="CJ352" i="36"/>
  <c r="CI352" i="36"/>
  <c r="CH352" i="36"/>
  <c r="CK351" i="36"/>
  <c r="CJ351" i="36"/>
  <c r="CI351" i="36"/>
  <c r="CH351" i="36"/>
  <c r="CK349" i="36"/>
  <c r="CJ349" i="36"/>
  <c r="CI349" i="36"/>
  <c r="CH349" i="36"/>
  <c r="CK348" i="36"/>
  <c r="CJ348" i="36"/>
  <c r="CI348" i="36"/>
  <c r="CH348" i="36"/>
  <c r="CK346" i="36"/>
  <c r="CJ346" i="36"/>
  <c r="CI346" i="36"/>
  <c r="CH346" i="36"/>
  <c r="CK345" i="36"/>
  <c r="CJ345" i="36"/>
  <c r="CI345" i="36"/>
  <c r="CH345" i="36"/>
  <c r="CK343" i="36"/>
  <c r="CJ343" i="36"/>
  <c r="CI343" i="36"/>
  <c r="CH343" i="36"/>
  <c r="CK342" i="36"/>
  <c r="CJ342" i="36"/>
  <c r="CI342" i="36"/>
  <c r="CH342" i="36"/>
  <c r="CK340" i="36"/>
  <c r="CJ340" i="36"/>
  <c r="CI340" i="36"/>
  <c r="CH340" i="36"/>
  <c r="CK339" i="36"/>
  <c r="CJ339" i="36"/>
  <c r="CI339" i="36"/>
  <c r="CH339" i="36"/>
  <c r="CK337" i="36"/>
  <c r="CJ337" i="36"/>
  <c r="CI337" i="36"/>
  <c r="CH337" i="36"/>
  <c r="CK336" i="36"/>
  <c r="CJ336" i="36"/>
  <c r="CI336" i="36"/>
  <c r="CH336" i="36"/>
  <c r="CK334" i="36"/>
  <c r="CJ334" i="36"/>
  <c r="CI334" i="36"/>
  <c r="CH334" i="36"/>
  <c r="CK333" i="36"/>
  <c r="CJ333" i="36"/>
  <c r="CI333" i="36"/>
  <c r="CH333" i="36"/>
  <c r="CK331" i="36"/>
  <c r="CJ331" i="36"/>
  <c r="CI331" i="36"/>
  <c r="CH331" i="36"/>
  <c r="CK330" i="36"/>
  <c r="CJ330" i="36"/>
  <c r="CI330" i="36"/>
  <c r="CH330" i="36"/>
  <c r="CK328" i="36"/>
  <c r="CJ328" i="36"/>
  <c r="CI328" i="36"/>
  <c r="CH328" i="36"/>
  <c r="CK327" i="36"/>
  <c r="CJ327" i="36"/>
  <c r="CI327" i="36"/>
  <c r="CH327" i="36"/>
  <c r="CK325" i="36"/>
  <c r="CJ325" i="36"/>
  <c r="CI325" i="36"/>
  <c r="CH325" i="36"/>
  <c r="CK324" i="36"/>
  <c r="CJ324" i="36"/>
  <c r="CI324" i="36"/>
  <c r="CH324" i="36"/>
  <c r="CK322" i="36"/>
  <c r="CJ322" i="36"/>
  <c r="CI322" i="36"/>
  <c r="CH322" i="36"/>
  <c r="CK321" i="36"/>
  <c r="CJ321" i="36"/>
  <c r="CI321" i="36"/>
  <c r="CH321" i="36"/>
  <c r="CK319" i="36"/>
  <c r="CJ319" i="36"/>
  <c r="CI319" i="36"/>
  <c r="CH319" i="36"/>
  <c r="CK318" i="36"/>
  <c r="CJ318" i="36"/>
  <c r="CI318" i="36"/>
  <c r="CH318" i="36"/>
  <c r="CK316" i="36"/>
  <c r="CJ316" i="36"/>
  <c r="CI316" i="36"/>
  <c r="CH316" i="36"/>
  <c r="CK315" i="36"/>
  <c r="CJ315" i="36"/>
  <c r="CI315" i="36"/>
  <c r="CH315" i="36"/>
  <c r="CK313" i="36"/>
  <c r="CJ313" i="36"/>
  <c r="CI313" i="36"/>
  <c r="CH313" i="36"/>
  <c r="CK312" i="36"/>
  <c r="CJ312" i="36"/>
  <c r="CI312" i="36"/>
  <c r="CH312" i="36"/>
  <c r="CK310" i="36"/>
  <c r="CJ310" i="36"/>
  <c r="CI310" i="36"/>
  <c r="CH310" i="36"/>
  <c r="CK309" i="36"/>
  <c r="CJ309" i="36"/>
  <c r="CI309" i="36"/>
  <c r="CH309" i="36"/>
  <c r="CK307" i="36"/>
  <c r="CJ307" i="36"/>
  <c r="CI307" i="36"/>
  <c r="CH307" i="36"/>
  <c r="CK306" i="36"/>
  <c r="CJ306" i="36"/>
  <c r="CI306" i="36"/>
  <c r="CH306" i="36"/>
  <c r="CK304" i="36"/>
  <c r="CJ304" i="36"/>
  <c r="CI304" i="36"/>
  <c r="CH304" i="36"/>
  <c r="CK303" i="36"/>
  <c r="CJ303" i="36"/>
  <c r="CI303" i="36"/>
  <c r="CH303" i="36"/>
  <c r="CK301" i="36"/>
  <c r="CJ301" i="36"/>
  <c r="CI301" i="36"/>
  <c r="CH301" i="36"/>
  <c r="CK300" i="36"/>
  <c r="CJ300" i="36"/>
  <c r="CI300" i="36"/>
  <c r="CH300" i="36"/>
  <c r="CK298" i="36"/>
  <c r="CJ298" i="36"/>
  <c r="CI298" i="36"/>
  <c r="CH298" i="36"/>
  <c r="CK297" i="36"/>
  <c r="CJ297" i="36"/>
  <c r="CI297" i="36"/>
  <c r="CH297" i="36"/>
  <c r="CK295" i="36"/>
  <c r="CJ295" i="36"/>
  <c r="CI295" i="36"/>
  <c r="CH295" i="36"/>
  <c r="CK294" i="36"/>
  <c r="CJ294" i="36"/>
  <c r="CI294" i="36"/>
  <c r="CH294" i="36"/>
  <c r="CK292" i="36"/>
  <c r="CJ292" i="36"/>
  <c r="CI292" i="36"/>
  <c r="CH292" i="36"/>
  <c r="CK291" i="36"/>
  <c r="CJ291" i="36"/>
  <c r="CI291" i="36"/>
  <c r="CH291" i="36"/>
  <c r="CK289" i="36"/>
  <c r="CJ289" i="36"/>
  <c r="CI289" i="36"/>
  <c r="CH289" i="36"/>
  <c r="CK288" i="36"/>
  <c r="CJ288" i="36"/>
  <c r="CI288" i="36"/>
  <c r="CH288" i="36"/>
  <c r="CK286" i="36"/>
  <c r="CJ286" i="36"/>
  <c r="CI286" i="36"/>
  <c r="CH286" i="36"/>
  <c r="CK285" i="36"/>
  <c r="CJ285" i="36"/>
  <c r="CI285" i="36"/>
  <c r="CH285" i="36"/>
  <c r="CK283" i="36"/>
  <c r="CJ283" i="36"/>
  <c r="CI283" i="36"/>
  <c r="CH283" i="36"/>
  <c r="CK282" i="36"/>
  <c r="CJ282" i="36"/>
  <c r="CI282" i="36"/>
  <c r="CH282" i="36"/>
  <c r="CK280" i="36"/>
  <c r="CJ280" i="36"/>
  <c r="CI280" i="36"/>
  <c r="CH280" i="36"/>
  <c r="CK279" i="36"/>
  <c r="CJ279" i="36"/>
  <c r="CI279" i="36"/>
  <c r="CH279" i="36"/>
  <c r="CK277" i="36"/>
  <c r="CJ277" i="36"/>
  <c r="CI277" i="36"/>
  <c r="CH277" i="36"/>
  <c r="CK276" i="36"/>
  <c r="CJ276" i="36"/>
  <c r="CI276" i="36"/>
  <c r="CH276" i="36"/>
  <c r="CK274" i="36"/>
  <c r="CJ274" i="36"/>
  <c r="CI274" i="36"/>
  <c r="CH274" i="36"/>
  <c r="CK273" i="36"/>
  <c r="CJ273" i="36"/>
  <c r="CI273" i="36"/>
  <c r="CH273" i="36"/>
  <c r="CK271" i="36"/>
  <c r="CJ271" i="36"/>
  <c r="CI271" i="36"/>
  <c r="CH271" i="36"/>
  <c r="CK270" i="36"/>
  <c r="CJ270" i="36"/>
  <c r="CI270" i="36"/>
  <c r="CH270" i="36"/>
  <c r="CK268" i="36"/>
  <c r="CJ268" i="36"/>
  <c r="CI268" i="36"/>
  <c r="CH268" i="36"/>
  <c r="CK267" i="36"/>
  <c r="CJ267" i="36"/>
  <c r="CI267" i="36"/>
  <c r="CH267" i="36"/>
  <c r="CK265" i="36"/>
  <c r="CJ265" i="36"/>
  <c r="CI265" i="36"/>
  <c r="CH265" i="36"/>
  <c r="CK264" i="36"/>
  <c r="CJ264" i="36"/>
  <c r="CI264" i="36"/>
  <c r="CH264" i="36"/>
  <c r="CK262" i="36"/>
  <c r="CJ262" i="36"/>
  <c r="CI262" i="36"/>
  <c r="CH262" i="36"/>
  <c r="CK261" i="36"/>
  <c r="CJ261" i="36"/>
  <c r="CI261" i="36"/>
  <c r="CH261" i="36"/>
  <c r="CK259" i="36"/>
  <c r="CJ259" i="36"/>
  <c r="CI259" i="36"/>
  <c r="CH259" i="36"/>
  <c r="CK258" i="36"/>
  <c r="CJ258" i="36"/>
  <c r="CI258" i="36"/>
  <c r="CH258" i="36"/>
  <c r="CK256" i="36"/>
  <c r="CJ256" i="36"/>
  <c r="CI256" i="36"/>
  <c r="CH256" i="36"/>
  <c r="CK255" i="36"/>
  <c r="CJ255" i="36"/>
  <c r="CI255" i="36"/>
  <c r="CH255" i="36"/>
  <c r="CK253" i="36"/>
  <c r="CJ253" i="36"/>
  <c r="CI253" i="36"/>
  <c r="CH253" i="36"/>
  <c r="CK252" i="36"/>
  <c r="CJ252" i="36"/>
  <c r="CI252" i="36"/>
  <c r="CH252" i="36"/>
  <c r="CK250" i="36"/>
  <c r="CJ250" i="36"/>
  <c r="CI250" i="36"/>
  <c r="CH250" i="36"/>
  <c r="CK249" i="36"/>
  <c r="CJ249" i="36"/>
  <c r="CI249" i="36"/>
  <c r="CH249" i="36"/>
  <c r="CK247" i="36"/>
  <c r="CJ247" i="36"/>
  <c r="CI247" i="36"/>
  <c r="CH247" i="36"/>
  <c r="CK246" i="36"/>
  <c r="CJ246" i="36"/>
  <c r="CI246" i="36"/>
  <c r="CH246" i="36"/>
  <c r="CK244" i="36"/>
  <c r="CJ244" i="36"/>
  <c r="CI244" i="36"/>
  <c r="CH244" i="36"/>
  <c r="CK243" i="36"/>
  <c r="CJ243" i="36"/>
  <c r="CI243" i="36"/>
  <c r="CH243" i="36"/>
  <c r="CK241" i="36"/>
  <c r="CJ241" i="36"/>
  <c r="CI241" i="36"/>
  <c r="CH241" i="36"/>
  <c r="CK240" i="36"/>
  <c r="CJ240" i="36"/>
  <c r="CI240" i="36"/>
  <c r="CH240" i="36"/>
  <c r="CK238" i="36"/>
  <c r="CJ238" i="36"/>
  <c r="CI238" i="36"/>
  <c r="CH238" i="36"/>
  <c r="CK237" i="36"/>
  <c r="CJ237" i="36"/>
  <c r="CI237" i="36"/>
  <c r="CH237" i="36"/>
  <c r="CK235" i="36"/>
  <c r="CJ235" i="36"/>
  <c r="CI235" i="36"/>
  <c r="CH235" i="36"/>
  <c r="CK234" i="36"/>
  <c r="CJ234" i="36"/>
  <c r="CI234" i="36"/>
  <c r="CH234" i="36"/>
  <c r="CK232" i="36"/>
  <c r="CJ232" i="36"/>
  <c r="CI232" i="36"/>
  <c r="CH232" i="36"/>
  <c r="CK231" i="36"/>
  <c r="CJ231" i="36"/>
  <c r="CI231" i="36"/>
  <c r="CH231" i="36"/>
  <c r="CK229" i="36"/>
  <c r="CJ229" i="36"/>
  <c r="CI229" i="36"/>
  <c r="CH229" i="36"/>
  <c r="CK228" i="36"/>
  <c r="CJ228" i="36"/>
  <c r="CI228" i="36"/>
  <c r="CH228" i="36"/>
  <c r="CK226" i="36"/>
  <c r="CJ226" i="36"/>
  <c r="CI226" i="36"/>
  <c r="CH226" i="36"/>
  <c r="CK225" i="36"/>
  <c r="CJ225" i="36"/>
  <c r="CI225" i="36"/>
  <c r="CH225" i="36"/>
  <c r="CK223" i="36"/>
  <c r="CJ223" i="36"/>
  <c r="CI223" i="36"/>
  <c r="CH223" i="36"/>
  <c r="CK222" i="36"/>
  <c r="CJ222" i="36"/>
  <c r="CI222" i="36"/>
  <c r="CH222" i="36"/>
  <c r="CK220" i="36"/>
  <c r="CJ220" i="36"/>
  <c r="CI220" i="36"/>
  <c r="CH220" i="36"/>
  <c r="CK219" i="36"/>
  <c r="CJ219" i="36"/>
  <c r="CI219" i="36"/>
  <c r="CH219" i="36"/>
  <c r="CK217" i="36"/>
  <c r="CJ217" i="36"/>
  <c r="CI217" i="36"/>
  <c r="CH217" i="36"/>
  <c r="CK216" i="36"/>
  <c r="CJ216" i="36"/>
  <c r="CI216" i="36"/>
  <c r="CH216" i="36"/>
  <c r="CK214" i="36"/>
  <c r="CJ214" i="36"/>
  <c r="CI214" i="36"/>
  <c r="CH214" i="36"/>
  <c r="CK213" i="36"/>
  <c r="CJ213" i="36"/>
  <c r="CI213" i="36"/>
  <c r="CH213" i="36"/>
  <c r="CK211" i="36"/>
  <c r="CJ211" i="36"/>
  <c r="CI211" i="36"/>
  <c r="CH211" i="36"/>
  <c r="CK210" i="36"/>
  <c r="CJ210" i="36"/>
  <c r="CI210" i="36"/>
  <c r="CH210" i="36"/>
  <c r="CK208" i="36"/>
  <c r="CJ208" i="36"/>
  <c r="CI208" i="36"/>
  <c r="CH208" i="36"/>
  <c r="CK207" i="36"/>
  <c r="CJ207" i="36"/>
  <c r="CI207" i="36"/>
  <c r="CH207" i="36"/>
  <c r="CK205" i="36"/>
  <c r="CJ205" i="36"/>
  <c r="CI205" i="36"/>
  <c r="CH205" i="36"/>
  <c r="CK204" i="36"/>
  <c r="CJ204" i="36"/>
  <c r="CI204" i="36"/>
  <c r="CH204" i="36"/>
  <c r="CK202" i="36"/>
  <c r="CJ202" i="36"/>
  <c r="CI202" i="36"/>
  <c r="CH202" i="36"/>
  <c r="CK201" i="36"/>
  <c r="CJ201" i="36"/>
  <c r="CI201" i="36"/>
  <c r="CH201" i="36"/>
  <c r="CK199" i="36"/>
  <c r="CJ199" i="36"/>
  <c r="CI199" i="36"/>
  <c r="CH199" i="36"/>
  <c r="CK198" i="36"/>
  <c r="CJ198" i="36"/>
  <c r="CI198" i="36"/>
  <c r="CH198" i="36"/>
  <c r="CK196" i="36"/>
  <c r="CJ196" i="36"/>
  <c r="CI196" i="36"/>
  <c r="CH196" i="36"/>
  <c r="CK195" i="36"/>
  <c r="CJ195" i="36"/>
  <c r="CI195" i="36"/>
  <c r="CH195" i="36"/>
  <c r="CK193" i="36"/>
  <c r="CJ193" i="36"/>
  <c r="CI193" i="36"/>
  <c r="CH193" i="36"/>
  <c r="CK192" i="36"/>
  <c r="CJ192" i="36"/>
  <c r="CI192" i="36"/>
  <c r="CH192" i="36"/>
  <c r="CK190" i="36"/>
  <c r="CJ190" i="36"/>
  <c r="CI190" i="36"/>
  <c r="CH190" i="36"/>
  <c r="CK189" i="36"/>
  <c r="CJ189" i="36"/>
  <c r="CI189" i="36"/>
  <c r="CH189" i="36"/>
  <c r="CK187" i="36"/>
  <c r="CJ187" i="36"/>
  <c r="CI187" i="36"/>
  <c r="CH187" i="36"/>
  <c r="CK186" i="36"/>
  <c r="CJ186" i="36"/>
  <c r="CI186" i="36"/>
  <c r="CH186" i="36"/>
  <c r="CK184" i="36"/>
  <c r="CJ184" i="36"/>
  <c r="CI184" i="36"/>
  <c r="CH184" i="36"/>
  <c r="CK183" i="36"/>
  <c r="CJ183" i="36"/>
  <c r="CI183" i="36"/>
  <c r="CH183" i="36"/>
  <c r="CK181" i="36"/>
  <c r="CJ181" i="36"/>
  <c r="CI181" i="36"/>
  <c r="CH181" i="36"/>
  <c r="CK180" i="36"/>
  <c r="CJ180" i="36"/>
  <c r="CI180" i="36"/>
  <c r="CH180" i="36"/>
  <c r="CK178" i="36"/>
  <c r="CJ178" i="36"/>
  <c r="CI178" i="36"/>
  <c r="CH178" i="36"/>
  <c r="CK177" i="36"/>
  <c r="CJ177" i="36"/>
  <c r="CI177" i="36"/>
  <c r="CH177" i="36"/>
  <c r="CK175" i="36"/>
  <c r="CJ175" i="36"/>
  <c r="CI175" i="36"/>
  <c r="CH175" i="36"/>
  <c r="CK174" i="36"/>
  <c r="CJ174" i="36"/>
  <c r="CI174" i="36"/>
  <c r="CH174" i="36"/>
  <c r="CK172" i="36"/>
  <c r="CJ172" i="36"/>
  <c r="CI172" i="36"/>
  <c r="CH172" i="36"/>
  <c r="CK171" i="36"/>
  <c r="CJ171" i="36"/>
  <c r="CI171" i="36"/>
  <c r="CH171" i="36"/>
  <c r="CK169" i="36"/>
  <c r="CJ169" i="36"/>
  <c r="CI169" i="36"/>
  <c r="CH169" i="36"/>
  <c r="CK168" i="36"/>
  <c r="CJ168" i="36"/>
  <c r="CI168" i="36"/>
  <c r="CH168" i="36"/>
  <c r="CK166" i="36"/>
  <c r="CJ166" i="36"/>
  <c r="CI166" i="36"/>
  <c r="CH166" i="36"/>
  <c r="CK165" i="36"/>
  <c r="CJ165" i="36"/>
  <c r="CI165" i="36"/>
  <c r="CH165" i="36"/>
  <c r="CK163" i="36"/>
  <c r="CJ163" i="36"/>
  <c r="CI163" i="36"/>
  <c r="CH163" i="36"/>
  <c r="CK162" i="36"/>
  <c r="CJ162" i="36"/>
  <c r="CI162" i="36"/>
  <c r="CH162" i="36"/>
  <c r="CK160" i="36"/>
  <c r="CJ160" i="36"/>
  <c r="CI160" i="36"/>
  <c r="CH160" i="36"/>
  <c r="CK159" i="36"/>
  <c r="CJ159" i="36"/>
  <c r="CI159" i="36"/>
  <c r="CH159" i="36"/>
  <c r="CK157" i="36"/>
  <c r="CJ157" i="36"/>
  <c r="CI157" i="36"/>
  <c r="CH157" i="36"/>
  <c r="CK156" i="36"/>
  <c r="CJ156" i="36"/>
  <c r="CI156" i="36"/>
  <c r="CH156" i="36"/>
  <c r="CK154" i="36"/>
  <c r="CJ154" i="36"/>
  <c r="CI154" i="36"/>
  <c r="CH154" i="36"/>
  <c r="CK153" i="36"/>
  <c r="CJ153" i="36"/>
  <c r="CI153" i="36"/>
  <c r="CH153" i="36"/>
  <c r="CK151" i="36"/>
  <c r="CJ151" i="36"/>
  <c r="CI151" i="36"/>
  <c r="CH151" i="36"/>
  <c r="CK150" i="36"/>
  <c r="CJ150" i="36"/>
  <c r="CI150" i="36"/>
  <c r="CH150" i="36"/>
  <c r="CK148" i="36"/>
  <c r="CJ148" i="36"/>
  <c r="CI148" i="36"/>
  <c r="CH148" i="36"/>
  <c r="CK147" i="36"/>
  <c r="CJ147" i="36"/>
  <c r="CI147" i="36"/>
  <c r="CH147" i="36"/>
  <c r="CK145" i="36"/>
  <c r="CJ145" i="36"/>
  <c r="CI145" i="36"/>
  <c r="CH145" i="36"/>
  <c r="CK144" i="36"/>
  <c r="CJ144" i="36"/>
  <c r="CI144" i="36"/>
  <c r="CH144" i="36"/>
  <c r="CK142" i="36"/>
  <c r="CJ142" i="36"/>
  <c r="CI142" i="36"/>
  <c r="CH142" i="36"/>
  <c r="CK141" i="36"/>
  <c r="CJ141" i="36"/>
  <c r="CI141" i="36"/>
  <c r="CH141" i="36"/>
  <c r="CK139" i="36"/>
  <c r="CJ139" i="36"/>
  <c r="CI139" i="36"/>
  <c r="CH139" i="36"/>
  <c r="CK138" i="36"/>
  <c r="CJ138" i="36"/>
  <c r="CI138" i="36"/>
  <c r="CH138" i="36"/>
  <c r="CK136" i="36"/>
  <c r="CJ136" i="36"/>
  <c r="CI136" i="36"/>
  <c r="CH136" i="36"/>
  <c r="CK135" i="36"/>
  <c r="CJ135" i="36"/>
  <c r="CI135" i="36"/>
  <c r="CH135" i="36"/>
  <c r="CK133" i="36"/>
  <c r="CJ133" i="36"/>
  <c r="CI133" i="36"/>
  <c r="CH133" i="36"/>
  <c r="CK132" i="36"/>
  <c r="CJ132" i="36"/>
  <c r="CI132" i="36"/>
  <c r="CH132" i="36"/>
  <c r="CK130" i="36"/>
  <c r="CJ130" i="36"/>
  <c r="CI130" i="36"/>
  <c r="CH130" i="36"/>
  <c r="CK129" i="36"/>
  <c r="CJ129" i="36"/>
  <c r="CI129" i="36"/>
  <c r="CH129" i="36"/>
  <c r="CK127" i="36"/>
  <c r="CJ127" i="36"/>
  <c r="CI127" i="36"/>
  <c r="CH127" i="36"/>
  <c r="CK126" i="36"/>
  <c r="CJ126" i="36"/>
  <c r="CI126" i="36"/>
  <c r="CH126" i="36"/>
  <c r="CK124" i="36"/>
  <c r="CJ124" i="36"/>
  <c r="CI124" i="36"/>
  <c r="CH124" i="36"/>
  <c r="CK123" i="36"/>
  <c r="CJ123" i="36"/>
  <c r="CI123" i="36"/>
  <c r="CH123" i="36"/>
  <c r="CK121" i="36"/>
  <c r="CJ121" i="36"/>
  <c r="CI121" i="36"/>
  <c r="CH121" i="36"/>
  <c r="CK120" i="36"/>
  <c r="CJ120" i="36"/>
  <c r="CI120" i="36"/>
  <c r="CH120" i="36"/>
  <c r="CK118" i="36"/>
  <c r="CJ118" i="36"/>
  <c r="CI118" i="36"/>
  <c r="CH118" i="36"/>
  <c r="CK117" i="36"/>
  <c r="CJ117" i="36"/>
  <c r="CI117" i="36"/>
  <c r="CH117" i="36"/>
  <c r="CK115" i="36"/>
  <c r="CJ115" i="36"/>
  <c r="CI115" i="36"/>
  <c r="CH115" i="36"/>
  <c r="CK114" i="36"/>
  <c r="CJ114" i="36"/>
  <c r="CI114" i="36"/>
  <c r="CH114" i="36"/>
  <c r="CK112" i="36"/>
  <c r="CJ112" i="36"/>
  <c r="CI112" i="36"/>
  <c r="CH112" i="36"/>
  <c r="CK111" i="36"/>
  <c r="CJ111" i="36"/>
  <c r="CI111" i="36"/>
  <c r="CH111" i="36"/>
  <c r="CK109" i="36"/>
  <c r="CJ109" i="36"/>
  <c r="CI109" i="36"/>
  <c r="CH109" i="36"/>
  <c r="CK108" i="36"/>
  <c r="CJ108" i="36"/>
  <c r="CI108" i="36"/>
  <c r="CH108" i="36"/>
  <c r="CK106" i="36"/>
  <c r="CJ106" i="36"/>
  <c r="CI106" i="36"/>
  <c r="CH106" i="36"/>
  <c r="CK105" i="36"/>
  <c r="CJ105" i="36"/>
  <c r="CI105" i="36"/>
  <c r="CH105" i="36"/>
  <c r="CK103" i="36"/>
  <c r="CJ103" i="36"/>
  <c r="CI103" i="36"/>
  <c r="CH103" i="36"/>
  <c r="CK102" i="36"/>
  <c r="CJ102" i="36"/>
  <c r="CI102" i="36"/>
  <c r="CH102" i="36"/>
  <c r="CK100" i="36"/>
  <c r="CJ100" i="36"/>
  <c r="CI100" i="36"/>
  <c r="CH100" i="36"/>
  <c r="CK99" i="36"/>
  <c r="CJ99" i="36"/>
  <c r="CI99" i="36"/>
  <c r="CH99" i="36"/>
  <c r="CK97" i="36"/>
  <c r="CJ97" i="36"/>
  <c r="CI97" i="36"/>
  <c r="CH97" i="36"/>
  <c r="CK96" i="36"/>
  <c r="CJ96" i="36"/>
  <c r="CI96" i="36"/>
  <c r="CH96" i="36"/>
  <c r="CK94" i="36"/>
  <c r="CJ94" i="36"/>
  <c r="CI94" i="36"/>
  <c r="CH94" i="36"/>
  <c r="CK93" i="36"/>
  <c r="CJ93" i="36"/>
  <c r="CI93" i="36"/>
  <c r="CH93" i="36"/>
  <c r="CK91" i="36"/>
  <c r="CJ91" i="36"/>
  <c r="CI91" i="36"/>
  <c r="CH91" i="36"/>
  <c r="CK90" i="36"/>
  <c r="CJ90" i="36"/>
  <c r="CI90" i="36"/>
  <c r="CH90" i="36"/>
  <c r="CK88" i="36"/>
  <c r="CJ88" i="36"/>
  <c r="CI88" i="36"/>
  <c r="CH88" i="36"/>
  <c r="CK87" i="36"/>
  <c r="CJ87" i="36"/>
  <c r="CI87" i="36"/>
  <c r="CH87" i="36"/>
  <c r="CK85" i="36"/>
  <c r="CJ85" i="36"/>
  <c r="CI85" i="36"/>
  <c r="CH85" i="36"/>
  <c r="CK84" i="36"/>
  <c r="CJ84" i="36"/>
  <c r="CI84" i="36"/>
  <c r="CH84" i="36"/>
  <c r="CK82" i="36"/>
  <c r="CJ82" i="36"/>
  <c r="CI82" i="36"/>
  <c r="CH82" i="36"/>
  <c r="CK81" i="36"/>
  <c r="CJ81" i="36"/>
  <c r="CI81" i="36"/>
  <c r="CH81" i="36"/>
  <c r="CK79" i="36"/>
  <c r="CJ79" i="36"/>
  <c r="CI79" i="36"/>
  <c r="CH79" i="36"/>
  <c r="CK78" i="36"/>
  <c r="CJ78" i="36"/>
  <c r="CI78" i="36"/>
  <c r="CH78" i="36"/>
  <c r="CK76" i="36"/>
  <c r="CJ76" i="36"/>
  <c r="CI76" i="36"/>
  <c r="CH76" i="36"/>
  <c r="CK75" i="36"/>
  <c r="CJ75" i="36"/>
  <c r="CI75" i="36"/>
  <c r="CH75" i="36"/>
  <c r="CK73" i="36"/>
  <c r="CJ73" i="36"/>
  <c r="CI73" i="36"/>
  <c r="CH73" i="36"/>
  <c r="CK72" i="36"/>
  <c r="CJ72" i="36"/>
  <c r="CI72" i="36"/>
  <c r="CH72" i="36"/>
  <c r="CK70" i="36"/>
  <c r="CJ70" i="36"/>
  <c r="CI70" i="36"/>
  <c r="CH70" i="36"/>
  <c r="CK69" i="36"/>
  <c r="CJ69" i="36"/>
  <c r="CI69" i="36"/>
  <c r="CH69" i="36"/>
  <c r="CG442" i="36"/>
  <c r="CF442" i="36"/>
  <c r="CE442" i="36"/>
  <c r="CD442" i="36"/>
  <c r="CG441" i="36"/>
  <c r="CF441" i="36"/>
  <c r="CE441" i="36"/>
  <c r="CD441" i="36"/>
  <c r="CG439" i="36"/>
  <c r="CF439" i="36"/>
  <c r="CE439" i="36"/>
  <c r="CD439" i="36"/>
  <c r="CG438" i="36"/>
  <c r="CF438" i="36"/>
  <c r="CE438" i="36"/>
  <c r="CD438" i="36"/>
  <c r="CG436" i="36"/>
  <c r="CF436" i="36"/>
  <c r="CE436" i="36"/>
  <c r="CD436" i="36"/>
  <c r="CG435" i="36"/>
  <c r="CF435" i="36"/>
  <c r="CE435" i="36"/>
  <c r="CD435" i="36"/>
  <c r="CG433" i="36"/>
  <c r="CF433" i="36"/>
  <c r="CE433" i="36"/>
  <c r="CD433" i="36"/>
  <c r="CG432" i="36"/>
  <c r="CF432" i="36"/>
  <c r="CE432" i="36"/>
  <c r="CD432" i="36"/>
  <c r="CG430" i="36"/>
  <c r="CF430" i="36"/>
  <c r="CE430" i="36"/>
  <c r="CD430" i="36"/>
  <c r="CG429" i="36"/>
  <c r="CF429" i="36"/>
  <c r="CE429" i="36"/>
  <c r="CD429" i="36"/>
  <c r="CG427" i="36"/>
  <c r="CF427" i="36"/>
  <c r="CE427" i="36"/>
  <c r="CD427" i="36"/>
  <c r="CG426" i="36"/>
  <c r="CF426" i="36"/>
  <c r="CE426" i="36"/>
  <c r="CD426" i="36"/>
  <c r="CG424" i="36"/>
  <c r="CF424" i="36"/>
  <c r="CE424" i="36"/>
  <c r="CD424" i="36"/>
  <c r="CG423" i="36"/>
  <c r="CF423" i="36"/>
  <c r="CE423" i="36"/>
  <c r="CD423" i="36"/>
  <c r="CG421" i="36"/>
  <c r="CF421" i="36"/>
  <c r="CE421" i="36"/>
  <c r="CD421" i="36"/>
  <c r="CG420" i="36"/>
  <c r="CF420" i="36"/>
  <c r="CE420" i="36"/>
  <c r="CD420" i="36"/>
  <c r="CG418" i="36"/>
  <c r="CF418" i="36"/>
  <c r="CE418" i="36"/>
  <c r="CD418" i="36"/>
  <c r="CG417" i="36"/>
  <c r="CF417" i="36"/>
  <c r="CE417" i="36"/>
  <c r="CD417" i="36"/>
  <c r="CG415" i="36"/>
  <c r="CF415" i="36"/>
  <c r="CE415" i="36"/>
  <c r="CD415" i="36"/>
  <c r="CG414" i="36"/>
  <c r="CF414" i="36"/>
  <c r="CE414" i="36"/>
  <c r="CD414" i="36"/>
  <c r="CG412" i="36"/>
  <c r="CF412" i="36"/>
  <c r="CE412" i="36"/>
  <c r="CD412" i="36"/>
  <c r="CG411" i="36"/>
  <c r="CF411" i="36"/>
  <c r="CE411" i="36"/>
  <c r="CD411" i="36"/>
  <c r="CG409" i="36"/>
  <c r="CF409" i="36"/>
  <c r="CE409" i="36"/>
  <c r="CD409" i="36"/>
  <c r="CG408" i="36"/>
  <c r="CF408" i="36"/>
  <c r="CE408" i="36"/>
  <c r="CD408" i="36"/>
  <c r="CG406" i="36"/>
  <c r="CF406" i="36"/>
  <c r="CE406" i="36"/>
  <c r="CD406" i="36"/>
  <c r="CG405" i="36"/>
  <c r="CF405" i="36"/>
  <c r="CE405" i="36"/>
  <c r="CD405" i="36"/>
  <c r="CG403" i="36"/>
  <c r="CF403" i="36"/>
  <c r="CE403" i="36"/>
  <c r="CD403" i="36"/>
  <c r="CG402" i="36"/>
  <c r="CF402" i="36"/>
  <c r="CE402" i="36"/>
  <c r="CD402" i="36"/>
  <c r="CG400" i="36"/>
  <c r="CF400" i="36"/>
  <c r="CE400" i="36"/>
  <c r="CD400" i="36"/>
  <c r="CG399" i="36"/>
  <c r="CF399" i="36"/>
  <c r="CE399" i="36"/>
  <c r="CD399" i="36"/>
  <c r="CG397" i="36"/>
  <c r="CF397" i="36"/>
  <c r="CE397" i="36"/>
  <c r="CD397" i="36"/>
  <c r="CG396" i="36"/>
  <c r="CF396" i="36"/>
  <c r="CE396" i="36"/>
  <c r="CD396" i="36"/>
  <c r="CG394" i="36"/>
  <c r="CF394" i="36"/>
  <c r="CE394" i="36"/>
  <c r="CD394" i="36"/>
  <c r="CG393" i="36"/>
  <c r="CF393" i="36"/>
  <c r="CE393" i="36"/>
  <c r="CD393" i="36"/>
  <c r="CG391" i="36"/>
  <c r="CF391" i="36"/>
  <c r="CE391" i="36"/>
  <c r="CD391" i="36"/>
  <c r="CG390" i="36"/>
  <c r="CF390" i="36"/>
  <c r="CE390" i="36"/>
  <c r="CD390" i="36"/>
  <c r="CG388" i="36"/>
  <c r="CF388" i="36"/>
  <c r="CE388" i="36"/>
  <c r="CD388" i="36"/>
  <c r="CG387" i="36"/>
  <c r="CF387" i="36"/>
  <c r="CE387" i="36"/>
  <c r="CD387" i="36"/>
  <c r="CG385" i="36"/>
  <c r="CF385" i="36"/>
  <c r="CE385" i="36"/>
  <c r="CD385" i="36"/>
  <c r="CG384" i="36"/>
  <c r="CF384" i="36"/>
  <c r="CE384" i="36"/>
  <c r="CD384" i="36"/>
  <c r="CG382" i="36"/>
  <c r="CF382" i="36"/>
  <c r="CE382" i="36"/>
  <c r="CD382" i="36"/>
  <c r="CG381" i="36"/>
  <c r="CF381" i="36"/>
  <c r="CE381" i="36"/>
  <c r="CD381" i="36"/>
  <c r="CG379" i="36"/>
  <c r="CF379" i="36"/>
  <c r="CE379" i="36"/>
  <c r="CD379" i="36"/>
  <c r="CG378" i="36"/>
  <c r="CF378" i="36"/>
  <c r="CE378" i="36"/>
  <c r="CD378" i="36"/>
  <c r="CG376" i="36"/>
  <c r="CF376" i="36"/>
  <c r="CE376" i="36"/>
  <c r="CD376" i="36"/>
  <c r="CG375" i="36"/>
  <c r="CF375" i="36"/>
  <c r="CE375" i="36"/>
  <c r="CD375" i="36"/>
  <c r="CG373" i="36"/>
  <c r="CF373" i="36"/>
  <c r="CE373" i="36"/>
  <c r="CD373" i="36"/>
  <c r="CG372" i="36"/>
  <c r="CF372" i="36"/>
  <c r="CE372" i="36"/>
  <c r="CD372" i="36"/>
  <c r="CG370" i="36"/>
  <c r="CF370" i="36"/>
  <c r="CE370" i="36"/>
  <c r="CD370" i="36"/>
  <c r="CG369" i="36"/>
  <c r="CF369" i="36"/>
  <c r="CE369" i="36"/>
  <c r="CD369" i="36"/>
  <c r="CG367" i="36"/>
  <c r="CF367" i="36"/>
  <c r="CE367" i="36"/>
  <c r="CD367" i="36"/>
  <c r="CG366" i="36"/>
  <c r="CF366" i="36"/>
  <c r="CE366" i="36"/>
  <c r="CD366" i="36"/>
  <c r="CG364" i="36"/>
  <c r="CF364" i="36"/>
  <c r="CE364" i="36"/>
  <c r="CD364" i="36"/>
  <c r="CG363" i="36"/>
  <c r="CF363" i="36"/>
  <c r="CE363" i="36"/>
  <c r="CD363" i="36"/>
  <c r="CG361" i="36"/>
  <c r="CF361" i="36"/>
  <c r="CE361" i="36"/>
  <c r="CD361" i="36"/>
  <c r="CG360" i="36"/>
  <c r="CF360" i="36"/>
  <c r="CE360" i="36"/>
  <c r="CD360" i="36"/>
  <c r="CG358" i="36"/>
  <c r="CF358" i="36"/>
  <c r="CE358" i="36"/>
  <c r="CD358" i="36"/>
  <c r="CG357" i="36"/>
  <c r="CF357" i="36"/>
  <c r="CE357" i="36"/>
  <c r="CD357" i="36"/>
  <c r="CG355" i="36"/>
  <c r="CF355" i="36"/>
  <c r="CE355" i="36"/>
  <c r="CD355" i="36"/>
  <c r="CG354" i="36"/>
  <c r="CF354" i="36"/>
  <c r="CE354" i="36"/>
  <c r="CD354" i="36"/>
  <c r="CG352" i="36"/>
  <c r="CF352" i="36"/>
  <c r="CE352" i="36"/>
  <c r="CD352" i="36"/>
  <c r="CG351" i="36"/>
  <c r="CF351" i="36"/>
  <c r="CE351" i="36"/>
  <c r="CD351" i="36"/>
  <c r="CG349" i="36"/>
  <c r="CF349" i="36"/>
  <c r="CE349" i="36"/>
  <c r="CD349" i="36"/>
  <c r="CG348" i="36"/>
  <c r="CF348" i="36"/>
  <c r="CE348" i="36"/>
  <c r="CD348" i="36"/>
  <c r="CG346" i="36"/>
  <c r="CF346" i="36"/>
  <c r="CE346" i="36"/>
  <c r="CD346" i="36"/>
  <c r="CG345" i="36"/>
  <c r="CF345" i="36"/>
  <c r="CE345" i="36"/>
  <c r="CD345" i="36"/>
  <c r="CG343" i="36"/>
  <c r="CF343" i="36"/>
  <c r="CE343" i="36"/>
  <c r="CD343" i="36"/>
  <c r="CG342" i="36"/>
  <c r="CF342" i="36"/>
  <c r="CE342" i="36"/>
  <c r="CD342" i="36"/>
  <c r="CG340" i="36"/>
  <c r="CF340" i="36"/>
  <c r="CE340" i="36"/>
  <c r="CD340" i="36"/>
  <c r="CG339" i="36"/>
  <c r="CF339" i="36"/>
  <c r="CE339" i="36"/>
  <c r="CD339" i="36"/>
  <c r="CG337" i="36"/>
  <c r="CF337" i="36"/>
  <c r="CE337" i="36"/>
  <c r="CD337" i="36"/>
  <c r="CG336" i="36"/>
  <c r="CF336" i="36"/>
  <c r="CE336" i="36"/>
  <c r="CD336" i="36"/>
  <c r="CG334" i="36"/>
  <c r="CF334" i="36"/>
  <c r="CE334" i="36"/>
  <c r="CD334" i="36"/>
  <c r="CG333" i="36"/>
  <c r="CF333" i="36"/>
  <c r="CE333" i="36"/>
  <c r="CD333" i="36"/>
  <c r="CG331" i="36"/>
  <c r="CF331" i="36"/>
  <c r="CE331" i="36"/>
  <c r="CD331" i="36"/>
  <c r="CG330" i="36"/>
  <c r="CF330" i="36"/>
  <c r="CE330" i="36"/>
  <c r="CD330" i="36"/>
  <c r="CG328" i="36"/>
  <c r="CF328" i="36"/>
  <c r="CE328" i="36"/>
  <c r="CD328" i="36"/>
  <c r="CG327" i="36"/>
  <c r="CF327" i="36"/>
  <c r="CE327" i="36"/>
  <c r="CD327" i="36"/>
  <c r="CG325" i="36"/>
  <c r="CF325" i="36"/>
  <c r="CE325" i="36"/>
  <c r="CD325" i="36"/>
  <c r="CG324" i="36"/>
  <c r="CF324" i="36"/>
  <c r="CE324" i="36"/>
  <c r="CD324" i="36"/>
  <c r="CG322" i="36"/>
  <c r="CF322" i="36"/>
  <c r="CE322" i="36"/>
  <c r="CD322" i="36"/>
  <c r="CG321" i="36"/>
  <c r="CF321" i="36"/>
  <c r="CE321" i="36"/>
  <c r="CD321" i="36"/>
  <c r="CG319" i="36"/>
  <c r="CF319" i="36"/>
  <c r="CE319" i="36"/>
  <c r="CD319" i="36"/>
  <c r="CG318" i="36"/>
  <c r="CF318" i="36"/>
  <c r="CE318" i="36"/>
  <c r="CD318" i="36"/>
  <c r="CG316" i="36"/>
  <c r="CF316" i="36"/>
  <c r="CE316" i="36"/>
  <c r="CD316" i="36"/>
  <c r="CG315" i="36"/>
  <c r="CF315" i="36"/>
  <c r="CE315" i="36"/>
  <c r="CD315" i="36"/>
  <c r="CG313" i="36"/>
  <c r="CF313" i="36"/>
  <c r="CE313" i="36"/>
  <c r="CD313" i="36"/>
  <c r="CG312" i="36"/>
  <c r="CF312" i="36"/>
  <c r="CE312" i="36"/>
  <c r="CD312" i="36"/>
  <c r="CG310" i="36"/>
  <c r="CF310" i="36"/>
  <c r="CE310" i="36"/>
  <c r="CD310" i="36"/>
  <c r="CG309" i="36"/>
  <c r="CF309" i="36"/>
  <c r="CE309" i="36"/>
  <c r="CD309" i="36"/>
  <c r="CG307" i="36"/>
  <c r="CF307" i="36"/>
  <c r="CE307" i="36"/>
  <c r="CD307" i="36"/>
  <c r="CG306" i="36"/>
  <c r="CF306" i="36"/>
  <c r="CE306" i="36"/>
  <c r="CD306" i="36"/>
  <c r="CG304" i="36"/>
  <c r="CF304" i="36"/>
  <c r="CE304" i="36"/>
  <c r="CD304" i="36"/>
  <c r="CG303" i="36"/>
  <c r="CF303" i="36"/>
  <c r="CE303" i="36"/>
  <c r="CD303" i="36"/>
  <c r="CG301" i="36"/>
  <c r="CF301" i="36"/>
  <c r="CE301" i="36"/>
  <c r="CD301" i="36"/>
  <c r="CG300" i="36"/>
  <c r="CF300" i="36"/>
  <c r="CE300" i="36"/>
  <c r="CD300" i="36"/>
  <c r="CG298" i="36"/>
  <c r="CF298" i="36"/>
  <c r="CE298" i="36"/>
  <c r="CD298" i="36"/>
  <c r="CG297" i="36"/>
  <c r="CF297" i="36"/>
  <c r="CE297" i="36"/>
  <c r="CD297" i="36"/>
  <c r="CG295" i="36"/>
  <c r="CF295" i="36"/>
  <c r="CE295" i="36"/>
  <c r="CD295" i="36"/>
  <c r="CG294" i="36"/>
  <c r="CF294" i="36"/>
  <c r="CE294" i="36"/>
  <c r="CD294" i="36"/>
  <c r="CG292" i="36"/>
  <c r="CF292" i="36"/>
  <c r="CE292" i="36"/>
  <c r="CD292" i="36"/>
  <c r="CG291" i="36"/>
  <c r="CF291" i="36"/>
  <c r="CE291" i="36"/>
  <c r="CD291" i="36"/>
  <c r="CG289" i="36"/>
  <c r="CF289" i="36"/>
  <c r="CE289" i="36"/>
  <c r="CD289" i="36"/>
  <c r="CG288" i="36"/>
  <c r="CF288" i="36"/>
  <c r="CE288" i="36"/>
  <c r="CD288" i="36"/>
  <c r="CG286" i="36"/>
  <c r="CF286" i="36"/>
  <c r="CE286" i="36"/>
  <c r="CD286" i="36"/>
  <c r="CG285" i="36"/>
  <c r="CF285" i="36"/>
  <c r="CE285" i="36"/>
  <c r="CD285" i="36"/>
  <c r="CG283" i="36"/>
  <c r="CF283" i="36"/>
  <c r="CE283" i="36"/>
  <c r="CD283" i="36"/>
  <c r="CG282" i="36"/>
  <c r="CF282" i="36"/>
  <c r="CE282" i="36"/>
  <c r="CD282" i="36"/>
  <c r="CG280" i="36"/>
  <c r="CF280" i="36"/>
  <c r="CE280" i="36"/>
  <c r="CD280" i="36"/>
  <c r="CG279" i="36"/>
  <c r="CF279" i="36"/>
  <c r="CE279" i="36"/>
  <c r="CD279" i="36"/>
  <c r="CG277" i="36"/>
  <c r="CF277" i="36"/>
  <c r="CE277" i="36"/>
  <c r="CD277" i="36"/>
  <c r="CG276" i="36"/>
  <c r="CF276" i="36"/>
  <c r="CE276" i="36"/>
  <c r="CD276" i="36"/>
  <c r="CG274" i="36"/>
  <c r="CF274" i="36"/>
  <c r="CE274" i="36"/>
  <c r="CD274" i="36"/>
  <c r="CG273" i="36"/>
  <c r="CF273" i="36"/>
  <c r="CE273" i="36"/>
  <c r="CD273" i="36"/>
  <c r="CG271" i="36"/>
  <c r="CF271" i="36"/>
  <c r="CE271" i="36"/>
  <c r="CD271" i="36"/>
  <c r="CG270" i="36"/>
  <c r="CF270" i="36"/>
  <c r="CE270" i="36"/>
  <c r="CD270" i="36"/>
  <c r="CG268" i="36"/>
  <c r="CF268" i="36"/>
  <c r="CE268" i="36"/>
  <c r="CD268" i="36"/>
  <c r="CG267" i="36"/>
  <c r="CF267" i="36"/>
  <c r="CE267" i="36"/>
  <c r="CD267" i="36"/>
  <c r="CG265" i="36"/>
  <c r="CF265" i="36"/>
  <c r="CE265" i="36"/>
  <c r="CD265" i="36"/>
  <c r="CG264" i="36"/>
  <c r="CF264" i="36"/>
  <c r="CE264" i="36"/>
  <c r="CD264" i="36"/>
  <c r="CG262" i="36"/>
  <c r="CF262" i="36"/>
  <c r="CE262" i="36"/>
  <c r="CD262" i="36"/>
  <c r="CG261" i="36"/>
  <c r="CF261" i="36"/>
  <c r="CE261" i="36"/>
  <c r="CD261" i="36"/>
  <c r="CG259" i="36"/>
  <c r="CF259" i="36"/>
  <c r="CE259" i="36"/>
  <c r="CD259" i="36"/>
  <c r="CG258" i="36"/>
  <c r="CF258" i="36"/>
  <c r="CE258" i="36"/>
  <c r="CD258" i="36"/>
  <c r="CG256" i="36"/>
  <c r="CF256" i="36"/>
  <c r="CE256" i="36"/>
  <c r="CD256" i="36"/>
  <c r="CG255" i="36"/>
  <c r="CF255" i="36"/>
  <c r="CE255" i="36"/>
  <c r="CD255" i="36"/>
  <c r="CG253" i="36"/>
  <c r="CF253" i="36"/>
  <c r="CD253" i="36"/>
  <c r="CG252" i="36"/>
  <c r="CF252" i="36"/>
  <c r="CD252" i="36"/>
  <c r="CG250" i="36"/>
  <c r="CF250" i="36"/>
  <c r="CD250" i="36"/>
  <c r="CG249" i="36"/>
  <c r="CF249" i="36"/>
  <c r="CD249" i="36"/>
  <c r="CG247" i="36"/>
  <c r="CF247" i="36"/>
  <c r="CD247" i="36"/>
  <c r="CG246" i="36"/>
  <c r="CF246" i="36"/>
  <c r="CD246" i="36"/>
  <c r="CG244" i="36"/>
  <c r="CF244" i="36"/>
  <c r="CD244" i="36"/>
  <c r="CG243" i="36"/>
  <c r="CF243" i="36"/>
  <c r="CD243" i="36"/>
  <c r="CG241" i="36"/>
  <c r="CF241" i="36"/>
  <c r="CD241" i="36"/>
  <c r="CG240" i="36"/>
  <c r="CF240" i="36"/>
  <c r="CD240" i="36"/>
  <c r="CG238" i="36"/>
  <c r="CF238" i="36"/>
  <c r="CD238" i="36"/>
  <c r="CG237" i="36"/>
  <c r="CF237" i="36"/>
  <c r="CD237" i="36"/>
  <c r="CG235" i="36"/>
  <c r="CF235" i="36"/>
  <c r="CD235" i="36"/>
  <c r="CG234" i="36"/>
  <c r="CF234" i="36"/>
  <c r="CD234" i="36"/>
  <c r="CG232" i="36"/>
  <c r="CF232" i="36"/>
  <c r="CD232" i="36"/>
  <c r="CG231" i="36"/>
  <c r="CF231" i="36"/>
  <c r="CD231" i="36"/>
  <c r="CG229" i="36"/>
  <c r="CF229" i="36"/>
  <c r="CD229" i="36"/>
  <c r="CG228" i="36"/>
  <c r="CF228" i="36"/>
  <c r="CD228" i="36"/>
  <c r="CG226" i="36"/>
  <c r="CF226" i="36"/>
  <c r="CD226" i="36"/>
  <c r="CG225" i="36"/>
  <c r="CF225" i="36"/>
  <c r="CD225" i="36"/>
  <c r="CG223" i="36"/>
  <c r="CF223" i="36"/>
  <c r="CD223" i="36"/>
  <c r="CG222" i="36"/>
  <c r="CF222" i="36"/>
  <c r="CD222" i="36"/>
  <c r="CG220" i="36"/>
  <c r="CF220" i="36"/>
  <c r="CD220" i="36"/>
  <c r="CG219" i="36"/>
  <c r="CF219" i="36"/>
  <c r="CD219" i="36"/>
  <c r="CG217" i="36"/>
  <c r="CF217" i="36"/>
  <c r="CD217" i="36"/>
  <c r="CG216" i="36"/>
  <c r="CF216" i="36"/>
  <c r="CD216" i="36"/>
  <c r="CG214" i="36"/>
  <c r="CF214" i="36"/>
  <c r="CD214" i="36"/>
  <c r="CG213" i="36"/>
  <c r="CF213" i="36"/>
  <c r="CD213" i="36"/>
  <c r="CG211" i="36"/>
  <c r="CF211" i="36"/>
  <c r="CD211" i="36"/>
  <c r="CG210" i="36"/>
  <c r="CF210" i="36"/>
  <c r="CD210" i="36"/>
  <c r="CG208" i="36"/>
  <c r="CF208" i="36"/>
  <c r="CD208" i="36"/>
  <c r="CG207" i="36"/>
  <c r="CF207" i="36"/>
  <c r="CD207" i="36"/>
  <c r="CG205" i="36"/>
  <c r="CF205" i="36"/>
  <c r="CD205" i="36"/>
  <c r="CG204" i="36"/>
  <c r="CF204" i="36"/>
  <c r="CD204" i="36"/>
  <c r="CG202" i="36"/>
  <c r="CF202" i="36"/>
  <c r="CD202" i="36"/>
  <c r="CG201" i="36"/>
  <c r="CF201" i="36"/>
  <c r="CD201" i="36"/>
  <c r="CG199" i="36"/>
  <c r="CF199" i="36"/>
  <c r="CD199" i="36"/>
  <c r="CG198" i="36"/>
  <c r="CF198" i="36"/>
  <c r="CD198" i="36"/>
  <c r="CG196" i="36"/>
  <c r="CF196" i="36"/>
  <c r="CD196" i="36"/>
  <c r="CG195" i="36"/>
  <c r="CF195" i="36"/>
  <c r="CD195" i="36"/>
  <c r="CG193" i="36"/>
  <c r="CF193" i="36"/>
  <c r="CD193" i="36"/>
  <c r="CG192" i="36"/>
  <c r="CF192" i="36"/>
  <c r="CD192" i="36"/>
  <c r="CG190" i="36"/>
  <c r="CF190" i="36"/>
  <c r="CD190" i="36"/>
  <c r="CG189" i="36"/>
  <c r="CF189" i="36"/>
  <c r="CD189" i="36"/>
  <c r="CG187" i="36"/>
  <c r="CF187" i="36"/>
  <c r="CD187" i="36"/>
  <c r="CG186" i="36"/>
  <c r="CF186" i="36"/>
  <c r="CD186" i="36"/>
  <c r="CG184" i="36"/>
  <c r="CF184" i="36"/>
  <c r="CD184" i="36"/>
  <c r="CG183" i="36"/>
  <c r="CF183" i="36"/>
  <c r="CD183" i="36"/>
  <c r="CG181" i="36"/>
  <c r="CF181" i="36"/>
  <c r="CD181" i="36"/>
  <c r="CG180" i="36"/>
  <c r="CF180" i="36"/>
  <c r="CD180" i="36"/>
  <c r="CG178" i="36"/>
  <c r="CF178" i="36"/>
  <c r="CD178" i="36"/>
  <c r="CG177" i="36"/>
  <c r="CF177" i="36"/>
  <c r="CD177" i="36"/>
  <c r="CG175" i="36"/>
  <c r="CF175" i="36"/>
  <c r="CD175" i="36"/>
  <c r="CG174" i="36"/>
  <c r="CF174" i="36"/>
  <c r="CD174" i="36"/>
  <c r="CG172" i="36"/>
  <c r="CF172" i="36"/>
  <c r="CD172" i="36"/>
  <c r="CG171" i="36"/>
  <c r="CF171" i="36"/>
  <c r="CD171" i="36"/>
  <c r="CG169" i="36"/>
  <c r="CF169" i="36"/>
  <c r="CD169" i="36"/>
  <c r="CG168" i="36"/>
  <c r="CF168" i="36"/>
  <c r="CD168" i="36"/>
  <c r="CG166" i="36"/>
  <c r="CF166" i="36"/>
  <c r="CD166" i="36"/>
  <c r="CG165" i="36"/>
  <c r="CF165" i="36"/>
  <c r="CD165" i="36"/>
  <c r="CG163" i="36"/>
  <c r="CF163" i="36"/>
  <c r="CD163" i="36"/>
  <c r="CG162" i="36"/>
  <c r="CF162" i="36"/>
  <c r="CD162" i="36"/>
  <c r="CG160" i="36"/>
  <c r="CF160" i="36"/>
  <c r="CD160" i="36"/>
  <c r="CG159" i="36"/>
  <c r="CF159" i="36"/>
  <c r="CD159" i="36"/>
  <c r="CG157" i="36"/>
  <c r="CF157" i="36"/>
  <c r="CD157" i="36"/>
  <c r="CG156" i="36"/>
  <c r="CF156" i="36"/>
  <c r="CD156" i="36"/>
  <c r="CG154" i="36"/>
  <c r="CF154" i="36"/>
  <c r="CD154" i="36"/>
  <c r="CG153" i="36"/>
  <c r="CF153" i="36"/>
  <c r="CD153" i="36"/>
  <c r="CG151" i="36"/>
  <c r="CF151" i="36"/>
  <c r="CD151" i="36"/>
  <c r="CG150" i="36"/>
  <c r="CF150" i="36"/>
  <c r="CD150" i="36"/>
  <c r="CG148" i="36"/>
  <c r="CF148" i="36"/>
  <c r="CD148" i="36"/>
  <c r="CG147" i="36"/>
  <c r="CF147" i="36"/>
  <c r="CD147" i="36"/>
  <c r="CG145" i="36"/>
  <c r="CF145" i="36"/>
  <c r="CD145" i="36"/>
  <c r="CG144" i="36"/>
  <c r="CF144" i="36"/>
  <c r="CD144" i="36"/>
  <c r="CG142" i="36"/>
  <c r="CF142" i="36"/>
  <c r="CD142" i="36"/>
  <c r="CG141" i="36"/>
  <c r="CF141" i="36"/>
  <c r="CD141" i="36"/>
  <c r="CG139" i="36"/>
  <c r="CF139" i="36"/>
  <c r="CD139" i="36"/>
  <c r="CG138" i="36"/>
  <c r="CF138" i="36"/>
  <c r="CD138" i="36"/>
  <c r="CG136" i="36"/>
  <c r="CF136" i="36"/>
  <c r="CD136" i="36"/>
  <c r="CG135" i="36"/>
  <c r="CF135" i="36"/>
  <c r="CD135" i="36"/>
  <c r="CG133" i="36"/>
  <c r="CF133" i="36"/>
  <c r="CD133" i="36"/>
  <c r="CG132" i="36"/>
  <c r="CF132" i="36"/>
  <c r="CD132" i="36"/>
  <c r="CG130" i="36"/>
  <c r="CF130" i="36"/>
  <c r="CD130" i="36"/>
  <c r="CG129" i="36"/>
  <c r="CF129" i="36"/>
  <c r="CD129" i="36"/>
  <c r="CG127" i="36"/>
  <c r="CF127" i="36"/>
  <c r="CD127" i="36"/>
  <c r="CG126" i="36"/>
  <c r="CF126" i="36"/>
  <c r="CD126" i="36"/>
  <c r="CG124" i="36"/>
  <c r="CF124" i="36"/>
  <c r="CD124" i="36"/>
  <c r="CG123" i="36"/>
  <c r="CF123" i="36"/>
  <c r="CD123" i="36"/>
  <c r="CG121" i="36"/>
  <c r="CF121" i="36"/>
  <c r="CD121" i="36"/>
  <c r="CG120" i="36"/>
  <c r="CF120" i="36"/>
  <c r="CD120" i="36"/>
  <c r="CG118" i="36"/>
  <c r="CF118" i="36"/>
  <c r="CD118" i="36"/>
  <c r="CG117" i="36"/>
  <c r="CF117" i="36"/>
  <c r="CD117" i="36"/>
  <c r="CG115" i="36"/>
  <c r="CF115" i="36"/>
  <c r="CD115" i="36"/>
  <c r="CG114" i="36"/>
  <c r="CF114" i="36"/>
  <c r="CD114" i="36"/>
  <c r="CG112" i="36"/>
  <c r="CF112" i="36"/>
  <c r="CD112" i="36"/>
  <c r="CG111" i="36"/>
  <c r="CF111" i="36"/>
  <c r="CD111" i="36"/>
  <c r="CG109" i="36"/>
  <c r="CF109" i="36"/>
  <c r="CD109" i="36"/>
  <c r="CG108" i="36"/>
  <c r="CF108" i="36"/>
  <c r="CD108" i="36"/>
  <c r="CG106" i="36"/>
  <c r="CF106" i="36"/>
  <c r="CD106" i="36"/>
  <c r="CG105" i="36"/>
  <c r="CF105" i="36"/>
  <c r="CD105" i="36"/>
  <c r="CG103" i="36"/>
  <c r="CF103" i="36"/>
  <c r="CD103" i="36"/>
  <c r="CG102" i="36"/>
  <c r="CF102" i="36"/>
  <c r="CD102" i="36"/>
  <c r="CG100" i="36"/>
  <c r="CF100" i="36"/>
  <c r="CD100" i="36"/>
  <c r="CG99" i="36"/>
  <c r="CF99" i="36"/>
  <c r="CD99" i="36"/>
  <c r="CG97" i="36"/>
  <c r="CF97" i="36"/>
  <c r="CD97" i="36"/>
  <c r="CG96" i="36"/>
  <c r="CF96" i="36"/>
  <c r="CD96" i="36"/>
  <c r="CG94" i="36"/>
  <c r="CF94" i="36"/>
  <c r="CD94" i="36"/>
  <c r="CG93" i="36"/>
  <c r="CF93" i="36"/>
  <c r="CD93" i="36"/>
  <c r="CG91" i="36"/>
  <c r="CF91" i="36"/>
  <c r="CD91" i="36"/>
  <c r="CG90" i="36"/>
  <c r="CF90" i="36"/>
  <c r="CD90" i="36"/>
  <c r="CG88" i="36"/>
  <c r="CF88" i="36"/>
  <c r="CD88" i="36"/>
  <c r="CG87" i="36"/>
  <c r="CF87" i="36"/>
  <c r="CD87" i="36"/>
  <c r="CG85" i="36"/>
  <c r="CF85" i="36"/>
  <c r="CD85" i="36"/>
  <c r="CG84" i="36"/>
  <c r="CF84" i="36"/>
  <c r="CD84" i="36"/>
  <c r="CG82" i="36"/>
  <c r="CF82" i="36"/>
  <c r="CD82" i="36"/>
  <c r="CG81" i="36"/>
  <c r="CF81" i="36"/>
  <c r="CD81" i="36"/>
  <c r="CG79" i="36"/>
  <c r="CF79" i="36"/>
  <c r="CD79" i="36"/>
  <c r="CG78" i="36"/>
  <c r="CF78" i="36"/>
  <c r="CD78" i="36"/>
  <c r="CG76" i="36"/>
  <c r="CF76" i="36"/>
  <c r="CD76" i="36"/>
  <c r="CG75" i="36"/>
  <c r="CF75" i="36"/>
  <c r="CD75" i="36"/>
  <c r="CG73" i="36"/>
  <c r="CF73" i="36"/>
  <c r="CD73" i="36"/>
  <c r="CG72" i="36"/>
  <c r="CF72" i="36"/>
  <c r="CD72" i="36"/>
  <c r="CG70" i="36"/>
  <c r="CF70" i="36"/>
  <c r="CD70" i="36"/>
  <c r="CG69" i="36"/>
  <c r="CF69" i="36"/>
  <c r="CD69" i="36"/>
  <c r="BY442" i="36"/>
  <c r="BX442" i="36"/>
  <c r="BW442" i="36"/>
  <c r="BV442" i="36"/>
  <c r="BY441" i="36"/>
  <c r="BX441" i="36"/>
  <c r="BW441" i="36"/>
  <c r="BV441" i="36"/>
  <c r="BY439" i="36"/>
  <c r="BX439" i="36"/>
  <c r="BW439" i="36"/>
  <c r="BV439" i="36"/>
  <c r="BY438" i="36"/>
  <c r="BX438" i="36"/>
  <c r="BW438" i="36"/>
  <c r="BV438" i="36"/>
  <c r="BY436" i="36"/>
  <c r="BX436" i="36"/>
  <c r="BW436" i="36"/>
  <c r="BV436" i="36"/>
  <c r="BY435" i="36"/>
  <c r="BX435" i="36"/>
  <c r="BW435" i="36"/>
  <c r="BV435" i="36"/>
  <c r="BY433" i="36"/>
  <c r="BX433" i="36"/>
  <c r="BW433" i="36"/>
  <c r="BV433" i="36"/>
  <c r="BY432" i="36"/>
  <c r="BX432" i="36"/>
  <c r="BW432" i="36"/>
  <c r="BV432" i="36"/>
  <c r="BY430" i="36"/>
  <c r="BX430" i="36"/>
  <c r="BW430" i="36"/>
  <c r="BV430" i="36"/>
  <c r="BY429" i="36"/>
  <c r="BX429" i="36"/>
  <c r="BW429" i="36"/>
  <c r="BV429" i="36"/>
  <c r="BY427" i="36"/>
  <c r="BX427" i="36"/>
  <c r="BW427" i="36"/>
  <c r="BV427" i="36"/>
  <c r="BY426" i="36"/>
  <c r="BX426" i="36"/>
  <c r="BW426" i="36"/>
  <c r="BV426" i="36"/>
  <c r="BY424" i="36"/>
  <c r="BX424" i="36"/>
  <c r="BW424" i="36"/>
  <c r="BV424" i="36"/>
  <c r="BY423" i="36"/>
  <c r="BX423" i="36"/>
  <c r="BW423" i="36"/>
  <c r="BV423" i="36"/>
  <c r="BY421" i="36"/>
  <c r="BX421" i="36"/>
  <c r="BW421" i="36"/>
  <c r="BV421" i="36"/>
  <c r="BY420" i="36"/>
  <c r="BX420" i="36"/>
  <c r="BW420" i="36"/>
  <c r="BV420" i="36"/>
  <c r="BY418" i="36"/>
  <c r="BX418" i="36"/>
  <c r="BW418" i="36"/>
  <c r="BV418" i="36"/>
  <c r="BY417" i="36"/>
  <c r="BX417" i="36"/>
  <c r="BW417" i="36"/>
  <c r="BV417" i="36"/>
  <c r="BY415" i="36"/>
  <c r="BX415" i="36"/>
  <c r="BW415" i="36"/>
  <c r="BV415" i="36"/>
  <c r="BY414" i="36"/>
  <c r="BX414" i="36"/>
  <c r="BW414" i="36"/>
  <c r="BV414" i="36"/>
  <c r="BY412" i="36"/>
  <c r="BX412" i="36"/>
  <c r="BW412" i="36"/>
  <c r="BV412" i="36"/>
  <c r="BY411" i="36"/>
  <c r="BX411" i="36"/>
  <c r="BW411" i="36"/>
  <c r="BV411" i="36"/>
  <c r="BY409" i="36"/>
  <c r="BX409" i="36"/>
  <c r="BW409" i="36"/>
  <c r="BV409" i="36"/>
  <c r="BY408" i="36"/>
  <c r="BX408" i="36"/>
  <c r="BW408" i="36"/>
  <c r="BV408" i="36"/>
  <c r="BY406" i="36"/>
  <c r="BX406" i="36"/>
  <c r="BW406" i="36"/>
  <c r="BV406" i="36"/>
  <c r="BY405" i="36"/>
  <c r="BX405" i="36"/>
  <c r="BW405" i="36"/>
  <c r="BV405" i="36"/>
  <c r="BY403" i="36"/>
  <c r="BX403" i="36"/>
  <c r="BW403" i="36"/>
  <c r="BV403" i="36"/>
  <c r="BY402" i="36"/>
  <c r="BX402" i="36"/>
  <c r="BW402" i="36"/>
  <c r="BV402" i="36"/>
  <c r="BY400" i="36"/>
  <c r="BX400" i="36"/>
  <c r="BW400" i="36"/>
  <c r="BV400" i="36"/>
  <c r="BY399" i="36"/>
  <c r="BX399" i="36"/>
  <c r="BW399" i="36"/>
  <c r="BV399" i="36"/>
  <c r="BY397" i="36"/>
  <c r="BX397" i="36"/>
  <c r="BW397" i="36"/>
  <c r="BV397" i="36"/>
  <c r="BY396" i="36"/>
  <c r="BX396" i="36"/>
  <c r="BW396" i="36"/>
  <c r="BV396" i="36"/>
  <c r="BY394" i="36"/>
  <c r="BX394" i="36"/>
  <c r="BW394" i="36"/>
  <c r="BV394" i="36"/>
  <c r="BY393" i="36"/>
  <c r="BX393" i="36"/>
  <c r="BW393" i="36"/>
  <c r="BV393" i="36"/>
  <c r="BY391" i="36"/>
  <c r="BX391" i="36"/>
  <c r="BW391" i="36"/>
  <c r="BV391" i="36"/>
  <c r="BY390" i="36"/>
  <c r="BX390" i="36"/>
  <c r="BW390" i="36"/>
  <c r="BV390" i="36"/>
  <c r="BY388" i="36"/>
  <c r="BX388" i="36"/>
  <c r="BW388" i="36"/>
  <c r="BV388" i="36"/>
  <c r="BY387" i="36"/>
  <c r="BX387" i="36"/>
  <c r="BW387" i="36"/>
  <c r="BV387" i="36"/>
  <c r="BY385" i="36"/>
  <c r="BX385" i="36"/>
  <c r="BW385" i="36"/>
  <c r="BV385" i="36"/>
  <c r="BY384" i="36"/>
  <c r="BX384" i="36"/>
  <c r="BW384" i="36"/>
  <c r="BV384" i="36"/>
  <c r="BY382" i="36"/>
  <c r="BX382" i="36"/>
  <c r="BW382" i="36"/>
  <c r="BV382" i="36"/>
  <c r="BY381" i="36"/>
  <c r="BX381" i="36"/>
  <c r="BW381" i="36"/>
  <c r="BV381" i="36"/>
  <c r="BY379" i="36"/>
  <c r="BX379" i="36"/>
  <c r="BW379" i="36"/>
  <c r="BV379" i="36"/>
  <c r="BY378" i="36"/>
  <c r="BX378" i="36"/>
  <c r="BW378" i="36"/>
  <c r="BV378" i="36"/>
  <c r="BY376" i="36"/>
  <c r="BX376" i="36"/>
  <c r="BW376" i="36"/>
  <c r="BV376" i="36"/>
  <c r="BY375" i="36"/>
  <c r="BX375" i="36"/>
  <c r="BW375" i="36"/>
  <c r="BV375" i="36"/>
  <c r="BY373" i="36"/>
  <c r="BX373" i="36"/>
  <c r="BW373" i="36"/>
  <c r="BV373" i="36"/>
  <c r="BY372" i="36"/>
  <c r="BX372" i="36"/>
  <c r="BW372" i="36"/>
  <c r="BV372" i="36"/>
  <c r="BY370" i="36"/>
  <c r="BX370" i="36"/>
  <c r="BW370" i="36"/>
  <c r="BV370" i="36"/>
  <c r="BY369" i="36"/>
  <c r="BX369" i="36"/>
  <c r="BW369" i="36"/>
  <c r="BV369" i="36"/>
  <c r="BY367" i="36"/>
  <c r="BX367" i="36"/>
  <c r="BW367" i="36"/>
  <c r="BV367" i="36"/>
  <c r="BY366" i="36"/>
  <c r="BX366" i="36"/>
  <c r="BW366" i="36"/>
  <c r="BV366" i="36"/>
  <c r="BY364" i="36"/>
  <c r="BX364" i="36"/>
  <c r="BW364" i="36"/>
  <c r="BV364" i="36"/>
  <c r="BY363" i="36"/>
  <c r="BX363" i="36"/>
  <c r="BW363" i="36"/>
  <c r="BV363" i="36"/>
  <c r="BY361" i="36"/>
  <c r="BX361" i="36"/>
  <c r="BW361" i="36"/>
  <c r="BV361" i="36"/>
  <c r="BY360" i="36"/>
  <c r="BX360" i="36"/>
  <c r="BW360" i="36"/>
  <c r="BV360" i="36"/>
  <c r="BY358" i="36"/>
  <c r="BX358" i="36"/>
  <c r="BW358" i="36"/>
  <c r="BV358" i="36"/>
  <c r="BY357" i="36"/>
  <c r="BX357" i="36"/>
  <c r="BW357" i="36"/>
  <c r="BV357" i="36"/>
  <c r="BY355" i="36"/>
  <c r="BX355" i="36"/>
  <c r="BW355" i="36"/>
  <c r="BV355" i="36"/>
  <c r="BY354" i="36"/>
  <c r="BX354" i="36"/>
  <c r="BW354" i="36"/>
  <c r="BV354" i="36"/>
  <c r="BY352" i="36"/>
  <c r="BX352" i="36"/>
  <c r="BW352" i="36"/>
  <c r="BV352" i="36"/>
  <c r="BY351" i="36"/>
  <c r="BX351" i="36"/>
  <c r="BW351" i="36"/>
  <c r="BV351" i="36"/>
  <c r="BY349" i="36"/>
  <c r="BX349" i="36"/>
  <c r="BW349" i="36"/>
  <c r="BV349" i="36"/>
  <c r="BY348" i="36"/>
  <c r="BX348" i="36"/>
  <c r="BW348" i="36"/>
  <c r="BV348" i="36"/>
  <c r="BY346" i="36"/>
  <c r="BX346" i="36"/>
  <c r="BW346" i="36"/>
  <c r="BV346" i="36"/>
  <c r="BY345" i="36"/>
  <c r="BX345" i="36"/>
  <c r="BW345" i="36"/>
  <c r="BV345" i="36"/>
  <c r="BY343" i="36"/>
  <c r="BX343" i="36"/>
  <c r="BW343" i="36"/>
  <c r="BV343" i="36"/>
  <c r="BY342" i="36"/>
  <c r="BX342" i="36"/>
  <c r="BW342" i="36"/>
  <c r="BV342" i="36"/>
  <c r="BY340" i="36"/>
  <c r="BX340" i="36"/>
  <c r="BW340" i="36"/>
  <c r="BV340" i="36"/>
  <c r="BY339" i="36"/>
  <c r="BX339" i="36"/>
  <c r="BW339" i="36"/>
  <c r="BV339" i="36"/>
  <c r="BY337" i="36"/>
  <c r="BX337" i="36"/>
  <c r="BW337" i="36"/>
  <c r="BV337" i="36"/>
  <c r="BY336" i="36"/>
  <c r="BX336" i="36"/>
  <c r="BW336" i="36"/>
  <c r="BV336" i="36"/>
  <c r="BY334" i="36"/>
  <c r="BX334" i="36"/>
  <c r="BW334" i="36"/>
  <c r="BV334" i="36"/>
  <c r="BY333" i="36"/>
  <c r="BX333" i="36"/>
  <c r="BW333" i="36"/>
  <c r="BV333" i="36"/>
  <c r="BY331" i="36"/>
  <c r="BX331" i="36"/>
  <c r="BW331" i="36"/>
  <c r="BV331" i="36"/>
  <c r="BY330" i="36"/>
  <c r="BX330" i="36"/>
  <c r="BW330" i="36"/>
  <c r="BV330" i="36"/>
  <c r="BY328" i="36"/>
  <c r="BX328" i="36"/>
  <c r="BW328" i="36"/>
  <c r="BV328" i="36"/>
  <c r="BY327" i="36"/>
  <c r="BX327" i="36"/>
  <c r="BW327" i="36"/>
  <c r="BV327" i="36"/>
  <c r="BY325" i="36"/>
  <c r="BX325" i="36"/>
  <c r="BW325" i="36"/>
  <c r="BV325" i="36"/>
  <c r="BY324" i="36"/>
  <c r="BX324" i="36"/>
  <c r="BW324" i="36"/>
  <c r="BV324" i="36"/>
  <c r="BY322" i="36"/>
  <c r="BX322" i="36"/>
  <c r="BW322" i="36"/>
  <c r="BV322" i="36"/>
  <c r="BY321" i="36"/>
  <c r="BX321" i="36"/>
  <c r="BW321" i="36"/>
  <c r="BV321" i="36"/>
  <c r="BY319" i="36"/>
  <c r="BX319" i="36"/>
  <c r="BW319" i="36"/>
  <c r="BV319" i="36"/>
  <c r="BY318" i="36"/>
  <c r="BX318" i="36"/>
  <c r="BW318" i="36"/>
  <c r="BV318" i="36"/>
  <c r="BY316" i="36"/>
  <c r="BX316" i="36"/>
  <c r="BW316" i="36"/>
  <c r="BV316" i="36"/>
  <c r="BY315" i="36"/>
  <c r="BX315" i="36"/>
  <c r="BW315" i="36"/>
  <c r="BV315" i="36"/>
  <c r="BY313" i="36"/>
  <c r="BX313" i="36"/>
  <c r="BW313" i="36"/>
  <c r="BV313" i="36"/>
  <c r="BY312" i="36"/>
  <c r="BX312" i="36"/>
  <c r="BW312" i="36"/>
  <c r="BV312" i="36"/>
  <c r="BY310" i="36"/>
  <c r="BX310" i="36"/>
  <c r="BW310" i="36"/>
  <c r="BV310" i="36"/>
  <c r="BY309" i="36"/>
  <c r="BX309" i="36"/>
  <c r="BW309" i="36"/>
  <c r="BV309" i="36"/>
  <c r="BY307" i="36"/>
  <c r="BX307" i="36"/>
  <c r="BW307" i="36"/>
  <c r="BV307" i="36"/>
  <c r="BY306" i="36"/>
  <c r="BX306" i="36"/>
  <c r="BW306" i="36"/>
  <c r="BV306" i="36"/>
  <c r="BY304" i="36"/>
  <c r="BX304" i="36"/>
  <c r="BW304" i="36"/>
  <c r="BV304" i="36"/>
  <c r="BY303" i="36"/>
  <c r="BX303" i="36"/>
  <c r="BW303" i="36"/>
  <c r="BV303" i="36"/>
  <c r="BY301" i="36"/>
  <c r="BX301" i="36"/>
  <c r="BW301" i="36"/>
  <c r="BV301" i="36"/>
  <c r="BY300" i="36"/>
  <c r="BX300" i="36"/>
  <c r="BW300" i="36"/>
  <c r="BV300" i="36"/>
  <c r="BY298" i="36"/>
  <c r="BX298" i="36"/>
  <c r="BW298" i="36"/>
  <c r="BV298" i="36"/>
  <c r="BY297" i="36"/>
  <c r="BX297" i="36"/>
  <c r="BW297" i="36"/>
  <c r="BV297" i="36"/>
  <c r="BY295" i="36"/>
  <c r="BX295" i="36"/>
  <c r="BW295" i="36"/>
  <c r="BV295" i="36"/>
  <c r="BY294" i="36"/>
  <c r="BX294" i="36"/>
  <c r="BW294" i="36"/>
  <c r="BV294" i="36"/>
  <c r="BY292" i="36"/>
  <c r="BX292" i="36"/>
  <c r="BW292" i="36"/>
  <c r="BV292" i="36"/>
  <c r="BY291" i="36"/>
  <c r="BX291" i="36"/>
  <c r="BW291" i="36"/>
  <c r="BV291" i="36"/>
  <c r="BY289" i="36"/>
  <c r="BX289" i="36"/>
  <c r="BW289" i="36"/>
  <c r="BV289" i="36"/>
  <c r="BY288" i="36"/>
  <c r="BX288" i="36"/>
  <c r="BW288" i="36"/>
  <c r="BV288" i="36"/>
  <c r="BY286" i="36"/>
  <c r="BX286" i="36"/>
  <c r="BW286" i="36"/>
  <c r="BV286" i="36"/>
  <c r="BY285" i="36"/>
  <c r="BX285" i="36"/>
  <c r="BW285" i="36"/>
  <c r="BV285" i="36"/>
  <c r="BY283" i="36"/>
  <c r="BX283" i="36"/>
  <c r="BW283" i="36"/>
  <c r="BV283" i="36"/>
  <c r="BY282" i="36"/>
  <c r="BX282" i="36"/>
  <c r="BW282" i="36"/>
  <c r="BV282" i="36"/>
  <c r="BY280" i="36"/>
  <c r="BX280" i="36"/>
  <c r="BW280" i="36"/>
  <c r="BV280" i="36"/>
  <c r="BY279" i="36"/>
  <c r="BX279" i="36"/>
  <c r="BW279" i="36"/>
  <c r="BV279" i="36"/>
  <c r="BY277" i="36"/>
  <c r="BX277" i="36"/>
  <c r="BW277" i="36"/>
  <c r="BV277" i="36"/>
  <c r="BY276" i="36"/>
  <c r="BX276" i="36"/>
  <c r="BW276" i="36"/>
  <c r="BV276" i="36"/>
  <c r="BY274" i="36"/>
  <c r="BX274" i="36"/>
  <c r="BW274" i="36"/>
  <c r="BV274" i="36"/>
  <c r="BY273" i="36"/>
  <c r="BX273" i="36"/>
  <c r="BW273" i="36"/>
  <c r="BV273" i="36"/>
  <c r="BY271" i="36"/>
  <c r="BX271" i="36"/>
  <c r="BW271" i="36"/>
  <c r="BV271" i="36"/>
  <c r="BY270" i="36"/>
  <c r="BX270" i="36"/>
  <c r="BW270" i="36"/>
  <c r="BV270" i="36"/>
  <c r="BY268" i="36"/>
  <c r="BX268" i="36"/>
  <c r="BW268" i="36"/>
  <c r="BV268" i="36"/>
  <c r="BY267" i="36"/>
  <c r="BX267" i="36"/>
  <c r="BW267" i="36"/>
  <c r="BV267" i="36"/>
  <c r="BY265" i="36"/>
  <c r="BX265" i="36"/>
  <c r="BW265" i="36"/>
  <c r="BV265" i="36"/>
  <c r="BY264" i="36"/>
  <c r="BX264" i="36"/>
  <c r="BW264" i="36"/>
  <c r="BV264" i="36"/>
  <c r="BY262" i="36"/>
  <c r="BX262" i="36"/>
  <c r="BW262" i="36"/>
  <c r="BV262" i="36"/>
  <c r="BY261" i="36"/>
  <c r="BX261" i="36"/>
  <c r="BW261" i="36"/>
  <c r="BV261" i="36"/>
  <c r="BY259" i="36"/>
  <c r="BX259" i="36"/>
  <c r="BW259" i="36"/>
  <c r="BV259" i="36"/>
  <c r="BY258" i="36"/>
  <c r="BX258" i="36"/>
  <c r="BW258" i="36"/>
  <c r="BV258" i="36"/>
  <c r="BY256" i="36"/>
  <c r="BX256" i="36"/>
  <c r="BW256" i="36"/>
  <c r="BV256" i="36"/>
  <c r="BY255" i="36"/>
  <c r="BX255" i="36"/>
  <c r="BW255" i="36"/>
  <c r="BV255" i="36"/>
  <c r="BY241" i="36"/>
  <c r="BY240" i="36"/>
  <c r="BY235" i="36"/>
  <c r="BX235" i="36"/>
  <c r="BW235" i="36"/>
  <c r="BV235" i="36"/>
  <c r="BY234" i="36"/>
  <c r="BX234" i="36"/>
  <c r="BW234" i="36"/>
  <c r="BV234" i="36"/>
  <c r="BF442" i="36"/>
  <c r="BF441" i="36"/>
  <c r="BF439" i="36"/>
  <c r="BF438" i="36"/>
  <c r="BF436" i="36"/>
  <c r="BF435" i="36"/>
  <c r="BF433" i="36"/>
  <c r="BF432" i="36"/>
  <c r="BF430" i="36"/>
  <c r="BF429" i="36"/>
  <c r="BF427" i="36"/>
  <c r="BF426" i="36"/>
  <c r="BF424" i="36"/>
  <c r="BF423" i="36"/>
  <c r="BF421" i="36"/>
  <c r="BF420" i="36"/>
  <c r="BF418" i="36"/>
  <c r="BF417" i="36"/>
  <c r="BF415" i="36"/>
  <c r="BF414" i="36"/>
  <c r="BF412" i="36"/>
  <c r="BF411" i="36"/>
  <c r="BF409" i="36"/>
  <c r="BF408" i="36"/>
  <c r="BF406" i="36"/>
  <c r="BF405" i="36"/>
  <c r="BF403" i="36"/>
  <c r="BF402" i="36"/>
  <c r="BF400" i="36"/>
  <c r="BF399" i="36"/>
  <c r="BF397" i="36"/>
  <c r="BF396" i="36"/>
  <c r="BF394" i="36"/>
  <c r="BF393" i="36"/>
  <c r="BF391" i="36"/>
  <c r="BF390" i="36"/>
  <c r="BF388" i="36"/>
  <c r="BF387" i="36"/>
  <c r="BF385" i="36"/>
  <c r="BF384" i="36"/>
  <c r="BF382" i="36"/>
  <c r="BF381" i="36"/>
  <c r="BF379" i="36"/>
  <c r="BF378" i="36"/>
  <c r="BF376" i="36"/>
  <c r="BF375" i="36"/>
  <c r="BF373" i="36"/>
  <c r="BF372" i="36"/>
  <c r="BF370" i="36"/>
  <c r="BF369" i="36"/>
  <c r="BF367" i="36"/>
  <c r="BF366" i="36"/>
  <c r="BF364" i="36"/>
  <c r="BF363" i="36"/>
  <c r="BF361" i="36"/>
  <c r="BF360" i="36"/>
  <c r="BF358" i="36"/>
  <c r="BF357" i="36"/>
  <c r="BF355" i="36"/>
  <c r="BF354" i="36"/>
  <c r="BF352" i="36"/>
  <c r="BF351" i="36"/>
  <c r="BF349" i="36"/>
  <c r="BF348" i="36"/>
  <c r="BF346" i="36"/>
  <c r="BF345" i="36"/>
  <c r="BF343" i="36"/>
  <c r="BF342" i="36"/>
  <c r="BF340" i="36"/>
  <c r="BF339" i="36"/>
  <c r="BF337" i="36"/>
  <c r="BF336" i="36"/>
  <c r="BF334" i="36"/>
  <c r="BF333" i="36"/>
  <c r="BF331" i="36"/>
  <c r="BF330" i="36"/>
  <c r="BF328" i="36"/>
  <c r="BF327" i="36"/>
  <c r="BF325" i="36"/>
  <c r="BF324" i="36"/>
  <c r="BF322" i="36"/>
  <c r="BF321" i="36"/>
  <c r="BF319" i="36"/>
  <c r="BF318" i="36"/>
  <c r="BF316" i="36"/>
  <c r="BF315" i="36"/>
  <c r="BF313" i="36"/>
  <c r="BF312" i="36"/>
  <c r="BF310" i="36"/>
  <c r="BF309" i="36"/>
  <c r="BF307" i="36"/>
  <c r="BF306" i="36"/>
  <c r="BF304" i="36"/>
  <c r="BF303" i="36"/>
  <c r="BF301" i="36"/>
  <c r="BF300" i="36"/>
  <c r="BF298" i="36"/>
  <c r="BF297" i="36"/>
  <c r="BF295" i="36"/>
  <c r="BF294" i="36"/>
  <c r="BF292" i="36"/>
  <c r="BF291" i="36"/>
  <c r="BF289" i="36"/>
  <c r="BF288" i="36"/>
  <c r="BF286" i="36"/>
  <c r="BF285" i="36"/>
  <c r="BF283" i="36"/>
  <c r="BF282" i="36"/>
  <c r="BF280" i="36"/>
  <c r="BF279" i="36"/>
  <c r="BF277" i="36"/>
  <c r="BF276" i="36"/>
  <c r="BF274" i="36"/>
  <c r="BF273" i="36"/>
  <c r="BF271" i="36"/>
  <c r="BF270" i="36"/>
  <c r="BF268" i="36"/>
  <c r="BF267" i="36"/>
  <c r="BF265" i="36"/>
  <c r="BF264" i="36"/>
  <c r="BF262" i="36"/>
  <c r="BF261" i="36"/>
  <c r="BF259" i="36"/>
  <c r="BF258" i="36"/>
  <c r="BF256" i="36"/>
  <c r="BF255" i="36"/>
  <c r="BF253" i="36"/>
  <c r="BF252" i="36"/>
  <c r="BF250" i="36"/>
  <c r="BF249" i="36"/>
  <c r="BF247" i="36"/>
  <c r="BF246" i="36"/>
  <c r="BF244" i="36"/>
  <c r="BF243" i="36"/>
  <c r="BF241" i="36"/>
  <c r="BF240" i="36"/>
  <c r="BF238" i="36"/>
  <c r="BF237" i="36"/>
  <c r="BF235" i="36"/>
  <c r="BF234" i="36"/>
  <c r="BF232" i="36"/>
  <c r="BF231" i="36"/>
  <c r="BF229" i="36"/>
  <c r="BF228" i="36"/>
  <c r="BF226" i="36"/>
  <c r="BF225" i="36"/>
  <c r="BF223" i="36"/>
  <c r="BF222" i="36"/>
  <c r="BF220" i="36"/>
  <c r="BF219" i="36"/>
  <c r="BF217" i="36"/>
  <c r="BF216" i="36"/>
  <c r="BF214" i="36"/>
  <c r="BF213" i="36"/>
  <c r="BF211" i="36"/>
  <c r="BF210" i="36"/>
  <c r="BF208" i="36"/>
  <c r="BF207" i="36"/>
  <c r="BF205" i="36"/>
  <c r="BF204" i="36"/>
  <c r="BF202" i="36"/>
  <c r="BF201" i="36"/>
  <c r="BF199" i="36"/>
  <c r="BF198" i="36"/>
  <c r="BF196" i="36"/>
  <c r="BF195" i="36"/>
  <c r="BF193" i="36"/>
  <c r="BF192" i="36"/>
  <c r="BF190" i="36"/>
  <c r="BF189" i="36"/>
  <c r="BF187" i="36"/>
  <c r="BF186" i="36"/>
  <c r="BF184" i="36"/>
  <c r="BF183" i="36"/>
  <c r="BF181" i="36"/>
  <c r="BF180" i="36"/>
  <c r="BF178" i="36"/>
  <c r="BF177" i="36"/>
  <c r="BF175" i="36"/>
  <c r="BF174" i="36"/>
  <c r="BF172" i="36"/>
  <c r="BF171" i="36"/>
  <c r="BF169" i="36"/>
  <c r="BF168" i="36"/>
  <c r="BF166" i="36"/>
  <c r="BF165" i="36"/>
  <c r="BF163" i="36"/>
  <c r="BF162" i="36"/>
  <c r="BF160" i="36"/>
  <c r="BF159" i="36"/>
  <c r="BF157" i="36"/>
  <c r="BF156" i="36"/>
  <c r="BF154" i="36"/>
  <c r="BF153" i="36"/>
  <c r="BF151" i="36"/>
  <c r="BF150" i="36"/>
  <c r="BF148" i="36"/>
  <c r="BF147" i="36"/>
  <c r="BF145" i="36"/>
  <c r="BF144" i="36"/>
  <c r="BF142" i="36"/>
  <c r="BF141" i="36"/>
  <c r="BF139" i="36"/>
  <c r="BF138" i="36"/>
  <c r="BF136" i="36"/>
  <c r="BF135" i="36"/>
  <c r="BF133" i="36"/>
  <c r="BF132" i="36"/>
  <c r="BF130" i="36"/>
  <c r="BF129" i="36"/>
  <c r="BF127" i="36"/>
  <c r="BF126" i="36"/>
  <c r="BF124" i="36"/>
  <c r="BF123" i="36"/>
  <c r="BF121" i="36"/>
  <c r="BF120" i="36"/>
  <c r="BF118" i="36"/>
  <c r="BF117" i="36"/>
  <c r="BF115" i="36"/>
  <c r="BF114" i="36"/>
  <c r="BF112" i="36"/>
  <c r="BF111" i="36"/>
  <c r="BF109" i="36"/>
  <c r="BF108" i="36"/>
  <c r="BF106" i="36"/>
  <c r="BF105" i="36"/>
  <c r="BF103" i="36"/>
  <c r="BF102" i="36"/>
  <c r="BF100" i="36"/>
  <c r="BF99" i="36"/>
  <c r="BF97" i="36"/>
  <c r="BF96" i="36"/>
  <c r="BF94" i="36"/>
  <c r="BF93" i="36"/>
  <c r="BF91" i="36"/>
  <c r="BF90" i="36"/>
  <c r="BF88" i="36"/>
  <c r="BF87" i="36"/>
  <c r="BF85" i="36"/>
  <c r="BF84" i="36"/>
  <c r="BF82" i="36"/>
  <c r="BF81" i="36"/>
  <c r="BF79" i="36"/>
  <c r="BF78" i="36"/>
  <c r="BF76" i="36"/>
  <c r="BF75" i="36"/>
  <c r="BF73" i="36"/>
  <c r="BF72" i="36"/>
  <c r="BF70" i="36"/>
  <c r="BF69" i="36"/>
  <c r="AR55" i="36"/>
  <c r="AR66" i="36" s="1"/>
  <c r="AW55" i="36"/>
  <c r="BP55" i="36" s="1"/>
  <c r="BP66" i="36" s="1"/>
  <c r="BB55" i="36"/>
  <c r="BU55" i="36" s="1"/>
  <c r="BU66" i="36" s="1"/>
  <c r="BC69" i="36"/>
  <c r="BD69" i="36"/>
  <c r="BE69" i="36"/>
  <c r="BC70" i="36"/>
  <c r="BD70" i="36"/>
  <c r="BE70" i="36"/>
  <c r="BC72" i="36"/>
  <c r="BD72" i="36"/>
  <c r="BE72" i="36"/>
  <c r="BC73" i="36"/>
  <c r="BD73" i="36"/>
  <c r="BE73" i="36"/>
  <c r="BC75" i="36"/>
  <c r="BD75" i="36"/>
  <c r="BE75" i="36"/>
  <c r="BC76" i="36"/>
  <c r="BD76" i="36"/>
  <c r="BE76" i="36"/>
  <c r="BC78" i="36"/>
  <c r="BD78" i="36"/>
  <c r="BE78" i="36"/>
  <c r="BC79" i="36"/>
  <c r="BD79" i="36"/>
  <c r="BE79" i="36"/>
  <c r="BC81" i="36"/>
  <c r="BD81" i="36"/>
  <c r="BE81" i="36"/>
  <c r="BC82" i="36"/>
  <c r="BD82" i="36"/>
  <c r="BE82" i="36"/>
  <c r="BC84" i="36"/>
  <c r="BD84" i="36"/>
  <c r="BE84" i="36"/>
  <c r="BC85" i="36"/>
  <c r="BD85" i="36"/>
  <c r="BE85" i="36"/>
  <c r="BC87" i="36"/>
  <c r="BD87" i="36"/>
  <c r="BE87" i="36"/>
  <c r="BC88" i="36"/>
  <c r="BD88" i="36"/>
  <c r="BE88" i="36"/>
  <c r="BC90" i="36"/>
  <c r="BD90" i="36"/>
  <c r="BE90" i="36"/>
  <c r="BC91" i="36"/>
  <c r="BD91" i="36"/>
  <c r="BE91" i="36"/>
  <c r="BC93" i="36"/>
  <c r="BD93" i="36"/>
  <c r="BE93" i="36"/>
  <c r="BC94" i="36"/>
  <c r="BD94" i="36"/>
  <c r="BE94" i="36"/>
  <c r="BC96" i="36"/>
  <c r="BD96" i="36"/>
  <c r="BE96" i="36"/>
  <c r="BC97" i="36"/>
  <c r="BD97" i="36"/>
  <c r="BE97" i="36"/>
  <c r="BC99" i="36"/>
  <c r="BD99" i="36"/>
  <c r="BE99" i="36"/>
  <c r="BC100" i="36"/>
  <c r="BD100" i="36"/>
  <c r="BE100" i="36"/>
  <c r="BC102" i="36"/>
  <c r="BD102" i="36"/>
  <c r="BE102" i="36"/>
  <c r="BC103" i="36"/>
  <c r="BD103" i="36"/>
  <c r="BE103" i="36"/>
  <c r="BC105" i="36"/>
  <c r="BD105" i="36"/>
  <c r="BE105" i="36"/>
  <c r="BC106" i="36"/>
  <c r="BD106" i="36"/>
  <c r="BE106" i="36"/>
  <c r="BC108" i="36"/>
  <c r="BD108" i="36"/>
  <c r="BE108" i="36"/>
  <c r="BC109" i="36"/>
  <c r="BD109" i="36"/>
  <c r="BE109" i="36"/>
  <c r="BC111" i="36"/>
  <c r="BD111" i="36"/>
  <c r="BE111" i="36"/>
  <c r="BC112" i="36"/>
  <c r="BD112" i="36"/>
  <c r="BE112" i="36"/>
  <c r="BC114" i="36"/>
  <c r="BD114" i="36"/>
  <c r="BE114" i="36"/>
  <c r="BC115" i="36"/>
  <c r="BD115" i="36"/>
  <c r="BE115" i="36"/>
  <c r="BC117" i="36"/>
  <c r="BD117" i="36"/>
  <c r="BE117" i="36"/>
  <c r="BC118" i="36"/>
  <c r="BD118" i="36"/>
  <c r="BE118" i="36"/>
  <c r="BC120" i="36"/>
  <c r="BD120" i="36"/>
  <c r="BE120" i="36"/>
  <c r="BC121" i="36"/>
  <c r="BD121" i="36"/>
  <c r="BE121" i="36"/>
  <c r="BC123" i="36"/>
  <c r="BD123" i="36"/>
  <c r="BE123" i="36"/>
  <c r="BC124" i="36"/>
  <c r="BD124" i="36"/>
  <c r="BE124" i="36"/>
  <c r="BC126" i="36"/>
  <c r="BD126" i="36"/>
  <c r="BE126" i="36"/>
  <c r="BC127" i="36"/>
  <c r="BD127" i="36"/>
  <c r="BE127" i="36"/>
  <c r="BC129" i="36"/>
  <c r="BD129" i="36"/>
  <c r="BE129" i="36"/>
  <c r="BC130" i="36"/>
  <c r="BD130" i="36"/>
  <c r="BE130" i="36"/>
  <c r="BC132" i="36"/>
  <c r="BD132" i="36"/>
  <c r="BE132" i="36"/>
  <c r="BC133" i="36"/>
  <c r="BD133" i="36"/>
  <c r="BE133" i="36"/>
  <c r="BC135" i="36"/>
  <c r="BD135" i="36"/>
  <c r="BE135" i="36"/>
  <c r="BC136" i="36"/>
  <c r="BD136" i="36"/>
  <c r="BE136" i="36"/>
  <c r="BC138" i="36"/>
  <c r="BD138" i="36"/>
  <c r="BE138" i="36"/>
  <c r="BC139" i="36"/>
  <c r="BD139" i="36"/>
  <c r="BE139" i="36"/>
  <c r="BC141" i="36"/>
  <c r="BD141" i="36"/>
  <c r="BE141" i="36"/>
  <c r="BC142" i="36"/>
  <c r="BD142" i="36"/>
  <c r="BE142" i="36"/>
  <c r="BC144" i="36"/>
  <c r="BD144" i="36"/>
  <c r="BE144" i="36"/>
  <c r="BC145" i="36"/>
  <c r="BD145" i="36"/>
  <c r="BE145" i="36"/>
  <c r="BC147" i="36"/>
  <c r="BD147" i="36"/>
  <c r="BE147" i="36"/>
  <c r="BC148" i="36"/>
  <c r="BD148" i="36"/>
  <c r="BE148" i="36"/>
  <c r="BC150" i="36"/>
  <c r="BD150" i="36"/>
  <c r="BE150" i="36"/>
  <c r="BC151" i="36"/>
  <c r="BD151" i="36"/>
  <c r="BE151" i="36"/>
  <c r="BC153" i="36"/>
  <c r="BD153" i="36"/>
  <c r="BE153" i="36"/>
  <c r="BC154" i="36"/>
  <c r="BD154" i="36"/>
  <c r="BE154" i="36"/>
  <c r="BC156" i="36"/>
  <c r="BD156" i="36"/>
  <c r="BE156" i="36"/>
  <c r="BC157" i="36"/>
  <c r="BD157" i="36"/>
  <c r="BE157" i="36"/>
  <c r="BC159" i="36"/>
  <c r="BD159" i="36"/>
  <c r="BE159" i="36"/>
  <c r="BC160" i="36"/>
  <c r="BD160" i="36"/>
  <c r="BE160" i="36"/>
  <c r="BC162" i="36"/>
  <c r="BD162" i="36"/>
  <c r="BE162" i="36"/>
  <c r="BC163" i="36"/>
  <c r="BD163" i="36"/>
  <c r="BE163" i="36"/>
  <c r="BC165" i="36"/>
  <c r="BD165" i="36"/>
  <c r="BE165" i="36"/>
  <c r="BC166" i="36"/>
  <c r="BD166" i="36"/>
  <c r="BE166" i="36"/>
  <c r="BC168" i="36"/>
  <c r="BD168" i="36"/>
  <c r="BE168" i="36"/>
  <c r="BC169" i="36"/>
  <c r="BD169" i="36"/>
  <c r="BE169" i="36"/>
  <c r="BC171" i="36"/>
  <c r="BD171" i="36"/>
  <c r="BE171" i="36"/>
  <c r="BC172" i="36"/>
  <c r="BD172" i="36"/>
  <c r="BE172" i="36"/>
  <c r="BC174" i="36"/>
  <c r="BD174" i="36"/>
  <c r="BE174" i="36"/>
  <c r="BC175" i="36"/>
  <c r="BD175" i="36"/>
  <c r="BE175" i="36"/>
  <c r="BC177" i="36"/>
  <c r="BD177" i="36"/>
  <c r="BE177" i="36"/>
  <c r="BC178" i="36"/>
  <c r="BD178" i="36"/>
  <c r="BE178" i="36"/>
  <c r="BC180" i="36"/>
  <c r="BD180" i="36"/>
  <c r="BE180" i="36"/>
  <c r="BC181" i="36"/>
  <c r="BD181" i="36"/>
  <c r="BE181" i="36"/>
  <c r="BC183" i="36"/>
  <c r="BD183" i="36"/>
  <c r="BE183" i="36"/>
  <c r="BC184" i="36"/>
  <c r="BD184" i="36"/>
  <c r="BE184" i="36"/>
  <c r="BC186" i="36"/>
  <c r="BD186" i="36"/>
  <c r="BE186" i="36"/>
  <c r="BC187" i="36"/>
  <c r="BD187" i="36"/>
  <c r="BE187" i="36"/>
  <c r="BC189" i="36"/>
  <c r="BD189" i="36"/>
  <c r="BE189" i="36"/>
  <c r="BC190" i="36"/>
  <c r="BD190" i="36"/>
  <c r="BE190" i="36"/>
  <c r="BC192" i="36"/>
  <c r="BD192" i="36"/>
  <c r="BE192" i="36"/>
  <c r="BC193" i="36"/>
  <c r="BD193" i="36"/>
  <c r="BE193" i="36"/>
  <c r="BC195" i="36"/>
  <c r="BD195" i="36"/>
  <c r="BE195" i="36"/>
  <c r="BC196" i="36"/>
  <c r="BD196" i="36"/>
  <c r="BE196" i="36"/>
  <c r="BC198" i="36"/>
  <c r="BD198" i="36"/>
  <c r="BE198" i="36"/>
  <c r="BC199" i="36"/>
  <c r="BD199" i="36"/>
  <c r="BE199" i="36"/>
  <c r="BC201" i="36"/>
  <c r="BD201" i="36"/>
  <c r="BE201" i="36"/>
  <c r="BC202" i="36"/>
  <c r="BD202" i="36"/>
  <c r="BE202" i="36"/>
  <c r="BC204" i="36"/>
  <c r="BD204" i="36"/>
  <c r="BE204" i="36"/>
  <c r="BC205" i="36"/>
  <c r="BD205" i="36"/>
  <c r="BE205" i="36"/>
  <c r="BC207" i="36"/>
  <c r="BD207" i="36"/>
  <c r="BE207" i="36"/>
  <c r="BC208" i="36"/>
  <c r="BD208" i="36"/>
  <c r="BE208" i="36"/>
  <c r="BC210" i="36"/>
  <c r="BD210" i="36"/>
  <c r="BE210" i="36"/>
  <c r="BC211" i="36"/>
  <c r="BD211" i="36"/>
  <c r="BE211" i="36"/>
  <c r="BC213" i="36"/>
  <c r="BD213" i="36"/>
  <c r="BE213" i="36"/>
  <c r="BC214" i="36"/>
  <c r="BD214" i="36"/>
  <c r="BE214" i="36"/>
  <c r="BC216" i="36"/>
  <c r="BD216" i="36"/>
  <c r="BE216" i="36"/>
  <c r="BC217" i="36"/>
  <c r="BD217" i="36"/>
  <c r="BE217" i="36"/>
  <c r="BC219" i="36"/>
  <c r="BD219" i="36"/>
  <c r="BE219" i="36"/>
  <c r="BC220" i="36"/>
  <c r="BD220" i="36"/>
  <c r="BE220" i="36"/>
  <c r="BC222" i="36"/>
  <c r="BD222" i="36"/>
  <c r="BE222" i="36"/>
  <c r="BC223" i="36"/>
  <c r="BD223" i="36"/>
  <c r="BE223" i="36"/>
  <c r="BC225" i="36"/>
  <c r="BD225" i="36"/>
  <c r="BE225" i="36"/>
  <c r="BC226" i="36"/>
  <c r="BD226" i="36"/>
  <c r="BE226" i="36"/>
  <c r="BC228" i="36"/>
  <c r="BD228" i="36"/>
  <c r="BE228" i="36"/>
  <c r="BC229" i="36"/>
  <c r="BD229" i="36"/>
  <c r="BE229" i="36"/>
  <c r="BC231" i="36"/>
  <c r="BD231" i="36"/>
  <c r="BE231" i="36"/>
  <c r="BC232" i="36"/>
  <c r="BD232" i="36"/>
  <c r="BE232" i="36"/>
  <c r="BC234" i="36"/>
  <c r="BD234" i="36"/>
  <c r="BE234" i="36"/>
  <c r="BC235" i="36"/>
  <c r="BD235" i="36"/>
  <c r="BE235" i="36"/>
  <c r="BC237" i="36"/>
  <c r="BD237" i="36"/>
  <c r="BE237" i="36"/>
  <c r="BC238" i="36"/>
  <c r="BD238" i="36"/>
  <c r="BE238" i="36"/>
  <c r="BC240" i="36"/>
  <c r="BD240" i="36"/>
  <c r="BE240" i="36"/>
  <c r="BC241" i="36"/>
  <c r="BD241" i="36"/>
  <c r="BE241" i="36"/>
  <c r="BC243" i="36"/>
  <c r="BD243" i="36"/>
  <c r="BE243" i="36"/>
  <c r="BC244" i="36"/>
  <c r="BD244" i="36"/>
  <c r="BE244" i="36"/>
  <c r="BC246" i="36"/>
  <c r="BD246" i="36"/>
  <c r="BE246" i="36"/>
  <c r="BC247" i="36"/>
  <c r="BD247" i="36"/>
  <c r="BE247" i="36"/>
  <c r="BC249" i="36"/>
  <c r="BD249" i="36"/>
  <c r="BE249" i="36"/>
  <c r="BC250" i="36"/>
  <c r="BD250" i="36"/>
  <c r="BE250" i="36"/>
  <c r="BC252" i="36"/>
  <c r="BD252" i="36"/>
  <c r="BE252" i="36"/>
  <c r="BC253" i="36"/>
  <c r="BD253" i="36"/>
  <c r="BE253" i="36"/>
  <c r="BC255" i="36"/>
  <c r="BD255" i="36"/>
  <c r="BE255" i="36"/>
  <c r="BC256" i="36"/>
  <c r="BD256" i="36"/>
  <c r="BE256" i="36"/>
  <c r="BC258" i="36"/>
  <c r="BD258" i="36"/>
  <c r="BE258" i="36"/>
  <c r="BC259" i="36"/>
  <c r="BD259" i="36"/>
  <c r="BE259" i="36"/>
  <c r="BC261" i="36"/>
  <c r="BD261" i="36"/>
  <c r="BE261" i="36"/>
  <c r="BC262" i="36"/>
  <c r="BD262" i="36"/>
  <c r="BE262" i="36"/>
  <c r="BC264" i="36"/>
  <c r="BD264" i="36"/>
  <c r="BE264" i="36"/>
  <c r="BC265" i="36"/>
  <c r="BD265" i="36"/>
  <c r="BE265" i="36"/>
  <c r="BC267" i="36"/>
  <c r="BD267" i="36"/>
  <c r="BE267" i="36"/>
  <c r="BC268" i="36"/>
  <c r="BD268" i="36"/>
  <c r="BE268" i="36"/>
  <c r="BC270" i="36"/>
  <c r="BD270" i="36"/>
  <c r="BE270" i="36"/>
  <c r="BC271" i="36"/>
  <c r="BD271" i="36"/>
  <c r="BE271" i="36"/>
  <c r="BC273" i="36"/>
  <c r="BD273" i="36"/>
  <c r="BE273" i="36"/>
  <c r="BC274" i="36"/>
  <c r="BD274" i="36"/>
  <c r="BE274" i="36"/>
  <c r="BC276" i="36"/>
  <c r="BD276" i="36"/>
  <c r="BE276" i="36"/>
  <c r="BC277" i="36"/>
  <c r="BD277" i="36"/>
  <c r="BE277" i="36"/>
  <c r="BC279" i="36"/>
  <c r="BD279" i="36"/>
  <c r="BE279" i="36"/>
  <c r="BC280" i="36"/>
  <c r="BD280" i="36"/>
  <c r="BE280" i="36"/>
  <c r="BC282" i="36"/>
  <c r="BD282" i="36"/>
  <c r="BE282" i="36"/>
  <c r="BC283" i="36"/>
  <c r="BD283" i="36"/>
  <c r="BE283" i="36"/>
  <c r="BC285" i="36"/>
  <c r="BD285" i="36"/>
  <c r="BE285" i="36"/>
  <c r="BC286" i="36"/>
  <c r="BD286" i="36"/>
  <c r="BE286" i="36"/>
  <c r="BC288" i="36"/>
  <c r="BD288" i="36"/>
  <c r="BE288" i="36"/>
  <c r="BC289" i="36"/>
  <c r="BD289" i="36"/>
  <c r="BE289" i="36"/>
  <c r="BC291" i="36"/>
  <c r="BD291" i="36"/>
  <c r="BE291" i="36"/>
  <c r="BC292" i="36"/>
  <c r="BD292" i="36"/>
  <c r="BE292" i="36"/>
  <c r="BC294" i="36"/>
  <c r="BD294" i="36"/>
  <c r="BE294" i="36"/>
  <c r="BC295" i="36"/>
  <c r="BD295" i="36"/>
  <c r="BE295" i="36"/>
  <c r="BC297" i="36"/>
  <c r="BD297" i="36"/>
  <c r="BE297" i="36"/>
  <c r="BC298" i="36"/>
  <c r="BD298" i="36"/>
  <c r="BE298" i="36"/>
  <c r="BC300" i="36"/>
  <c r="BD300" i="36"/>
  <c r="BE300" i="36"/>
  <c r="BC301" i="36"/>
  <c r="BD301" i="36"/>
  <c r="BE301" i="36"/>
  <c r="BC303" i="36"/>
  <c r="BD303" i="36"/>
  <c r="BE303" i="36"/>
  <c r="BC304" i="36"/>
  <c r="BD304" i="36"/>
  <c r="BE304" i="36"/>
  <c r="BC306" i="36"/>
  <c r="BD306" i="36"/>
  <c r="BE306" i="36"/>
  <c r="BC307" i="36"/>
  <c r="BD307" i="36"/>
  <c r="BE307" i="36"/>
  <c r="BC309" i="36"/>
  <c r="BD309" i="36"/>
  <c r="BE309" i="36"/>
  <c r="BC310" i="36"/>
  <c r="BD310" i="36"/>
  <c r="BE310" i="36"/>
  <c r="BC312" i="36"/>
  <c r="BD312" i="36"/>
  <c r="BE312" i="36"/>
  <c r="BC313" i="36"/>
  <c r="BD313" i="36"/>
  <c r="BE313" i="36"/>
  <c r="BC315" i="36"/>
  <c r="BD315" i="36"/>
  <c r="BE315" i="36"/>
  <c r="BC316" i="36"/>
  <c r="BD316" i="36"/>
  <c r="BE316" i="36"/>
  <c r="BC318" i="36"/>
  <c r="BD318" i="36"/>
  <c r="BE318" i="36"/>
  <c r="BC319" i="36"/>
  <c r="BD319" i="36"/>
  <c r="BE319" i="36"/>
  <c r="BC321" i="36"/>
  <c r="BD321" i="36"/>
  <c r="BE321" i="36"/>
  <c r="BC322" i="36"/>
  <c r="BD322" i="36"/>
  <c r="BE322" i="36"/>
  <c r="BC324" i="36"/>
  <c r="BD324" i="36"/>
  <c r="BE324" i="36"/>
  <c r="BC325" i="36"/>
  <c r="BD325" i="36"/>
  <c r="BE325" i="36"/>
  <c r="BC327" i="36"/>
  <c r="BD327" i="36"/>
  <c r="BE327" i="36"/>
  <c r="BC328" i="36"/>
  <c r="BD328" i="36"/>
  <c r="BE328" i="36"/>
  <c r="BC330" i="36"/>
  <c r="BD330" i="36"/>
  <c r="BE330" i="36"/>
  <c r="BC331" i="36"/>
  <c r="BD331" i="36"/>
  <c r="BE331" i="36"/>
  <c r="BC333" i="36"/>
  <c r="BD333" i="36"/>
  <c r="BE333" i="36"/>
  <c r="BC334" i="36"/>
  <c r="BD334" i="36"/>
  <c r="BE334" i="36"/>
  <c r="BC336" i="36"/>
  <c r="BD336" i="36"/>
  <c r="BE336" i="36"/>
  <c r="BC337" i="36"/>
  <c r="BD337" i="36"/>
  <c r="BE337" i="36"/>
  <c r="BC339" i="36"/>
  <c r="BD339" i="36"/>
  <c r="BE339" i="36"/>
  <c r="BC340" i="36"/>
  <c r="BD340" i="36"/>
  <c r="BE340" i="36"/>
  <c r="BC342" i="36"/>
  <c r="BD342" i="36"/>
  <c r="BE342" i="36"/>
  <c r="BC343" i="36"/>
  <c r="BD343" i="36"/>
  <c r="BE343" i="36"/>
  <c r="BC345" i="36"/>
  <c r="BD345" i="36"/>
  <c r="BE345" i="36"/>
  <c r="BC346" i="36"/>
  <c r="BD346" i="36"/>
  <c r="BE346" i="36"/>
  <c r="BC348" i="36"/>
  <c r="BD348" i="36"/>
  <c r="BE348" i="36"/>
  <c r="BC349" i="36"/>
  <c r="BD349" i="36"/>
  <c r="BE349" i="36"/>
  <c r="BC351" i="36"/>
  <c r="BD351" i="36"/>
  <c r="BE351" i="36"/>
  <c r="BC352" i="36"/>
  <c r="BD352" i="36"/>
  <c r="BE352" i="36"/>
  <c r="BC354" i="36"/>
  <c r="BD354" i="36"/>
  <c r="BE354" i="36"/>
  <c r="BC355" i="36"/>
  <c r="BD355" i="36"/>
  <c r="BE355" i="36"/>
  <c r="BC357" i="36"/>
  <c r="BD357" i="36"/>
  <c r="BE357" i="36"/>
  <c r="BC358" i="36"/>
  <c r="BD358" i="36"/>
  <c r="BE358" i="36"/>
  <c r="BC360" i="36"/>
  <c r="BD360" i="36"/>
  <c r="BE360" i="36"/>
  <c r="BC361" i="36"/>
  <c r="BD361" i="36"/>
  <c r="BE361" i="36"/>
  <c r="BC363" i="36"/>
  <c r="BD363" i="36"/>
  <c r="BE363" i="36"/>
  <c r="BC364" i="36"/>
  <c r="BD364" i="36"/>
  <c r="BE364" i="36"/>
  <c r="BC366" i="36"/>
  <c r="BD366" i="36"/>
  <c r="BE366" i="36"/>
  <c r="BC367" i="36"/>
  <c r="BD367" i="36"/>
  <c r="BE367" i="36"/>
  <c r="BC369" i="36"/>
  <c r="BD369" i="36"/>
  <c r="BE369" i="36"/>
  <c r="BC370" i="36"/>
  <c r="BD370" i="36"/>
  <c r="BE370" i="36"/>
  <c r="BC372" i="36"/>
  <c r="BD372" i="36"/>
  <c r="BE372" i="36"/>
  <c r="BC373" i="36"/>
  <c r="BD373" i="36"/>
  <c r="BE373" i="36"/>
  <c r="BC375" i="36"/>
  <c r="BD375" i="36"/>
  <c r="BE375" i="36"/>
  <c r="BC376" i="36"/>
  <c r="BD376" i="36"/>
  <c r="BE376" i="36"/>
  <c r="BC378" i="36"/>
  <c r="BD378" i="36"/>
  <c r="BE378" i="36"/>
  <c r="BC379" i="36"/>
  <c r="BD379" i="36"/>
  <c r="BE379" i="36"/>
  <c r="BC381" i="36"/>
  <c r="BD381" i="36"/>
  <c r="BE381" i="36"/>
  <c r="BC382" i="36"/>
  <c r="BD382" i="36"/>
  <c r="BE382" i="36"/>
  <c r="BC384" i="36"/>
  <c r="BD384" i="36"/>
  <c r="BE384" i="36"/>
  <c r="BC385" i="36"/>
  <c r="BD385" i="36"/>
  <c r="BE385" i="36"/>
  <c r="BC387" i="36"/>
  <c r="BD387" i="36"/>
  <c r="BE387" i="36"/>
  <c r="BC388" i="36"/>
  <c r="BD388" i="36"/>
  <c r="BE388" i="36"/>
  <c r="BC390" i="36"/>
  <c r="BD390" i="36"/>
  <c r="BE390" i="36"/>
  <c r="BC391" i="36"/>
  <c r="BD391" i="36"/>
  <c r="BE391" i="36"/>
  <c r="BC393" i="36"/>
  <c r="BD393" i="36"/>
  <c r="BE393" i="36"/>
  <c r="BC394" i="36"/>
  <c r="BD394" i="36"/>
  <c r="BE394" i="36"/>
  <c r="BC396" i="36"/>
  <c r="BD396" i="36"/>
  <c r="BE396" i="36"/>
  <c r="BC397" i="36"/>
  <c r="BD397" i="36"/>
  <c r="BE397" i="36"/>
  <c r="BC399" i="36"/>
  <c r="BD399" i="36"/>
  <c r="BE399" i="36"/>
  <c r="BC400" i="36"/>
  <c r="BD400" i="36"/>
  <c r="BE400" i="36"/>
  <c r="BC402" i="36"/>
  <c r="BD402" i="36"/>
  <c r="BE402" i="36"/>
  <c r="BC403" i="36"/>
  <c r="BD403" i="36"/>
  <c r="BE403" i="36"/>
  <c r="BC405" i="36"/>
  <c r="BD405" i="36"/>
  <c r="BE405" i="36"/>
  <c r="BC406" i="36"/>
  <c r="BD406" i="36"/>
  <c r="BE406" i="36"/>
  <c r="BC408" i="36"/>
  <c r="BD408" i="36"/>
  <c r="BE408" i="36"/>
  <c r="BC409" i="36"/>
  <c r="BD409" i="36"/>
  <c r="BE409" i="36"/>
  <c r="BC411" i="36"/>
  <c r="BD411" i="36"/>
  <c r="BE411" i="36"/>
  <c r="BC412" i="36"/>
  <c r="BD412" i="36"/>
  <c r="BE412" i="36"/>
  <c r="BC414" i="36"/>
  <c r="BD414" i="36"/>
  <c r="BE414" i="36"/>
  <c r="BC415" i="36"/>
  <c r="BD415" i="36"/>
  <c r="BE415" i="36"/>
  <c r="BC417" i="36"/>
  <c r="BD417" i="36"/>
  <c r="BE417" i="36"/>
  <c r="BC418" i="36"/>
  <c r="BD418" i="36"/>
  <c r="BE418" i="36"/>
  <c r="BC420" i="36"/>
  <c r="BD420" i="36"/>
  <c r="BE420" i="36"/>
  <c r="BC421" i="36"/>
  <c r="BD421" i="36"/>
  <c r="BE421" i="36"/>
  <c r="BC423" i="36"/>
  <c r="BD423" i="36"/>
  <c r="BE423" i="36"/>
  <c r="BC424" i="36"/>
  <c r="BD424" i="36"/>
  <c r="BE424" i="36"/>
  <c r="BC426" i="36"/>
  <c r="BD426" i="36"/>
  <c r="BE426" i="36"/>
  <c r="BC427" i="36"/>
  <c r="BD427" i="36"/>
  <c r="BE427" i="36"/>
  <c r="BC429" i="36"/>
  <c r="BD429" i="36"/>
  <c r="BE429" i="36"/>
  <c r="BC430" i="36"/>
  <c r="BD430" i="36"/>
  <c r="BE430" i="36"/>
  <c r="BC432" i="36"/>
  <c r="BD432" i="36"/>
  <c r="BE432" i="36"/>
  <c r="BC433" i="36"/>
  <c r="BD433" i="36"/>
  <c r="BE433" i="36"/>
  <c r="BC435" i="36"/>
  <c r="BD435" i="36"/>
  <c r="BE435" i="36"/>
  <c r="BC436" i="36"/>
  <c r="BD436" i="36"/>
  <c r="BE436" i="36"/>
  <c r="BC438" i="36"/>
  <c r="BD438" i="36"/>
  <c r="BE438" i="36"/>
  <c r="BC439" i="36"/>
  <c r="BD439" i="36"/>
  <c r="BE439" i="36"/>
  <c r="BC441" i="36"/>
  <c r="BD441" i="36"/>
  <c r="BE441" i="36"/>
  <c r="BC442" i="36"/>
  <c r="BD442" i="36"/>
  <c r="BE442" i="36"/>
  <c r="BD218" i="57" l="1"/>
  <c r="AG57" i="57"/>
  <c r="AG12" i="57" s="1"/>
  <c r="AH57" i="57"/>
  <c r="AH12" i="57" s="1"/>
  <c r="AI57" i="57"/>
  <c r="AI12" i="57" s="1"/>
  <c r="AI132" i="44"/>
  <c r="AI208" i="44" s="1"/>
  <c r="AH132" i="44"/>
  <c r="AH208" i="44" s="1"/>
  <c r="AG132" i="44"/>
  <c r="AG208" i="44" s="1"/>
  <c r="AJ132" i="44"/>
  <c r="AJ208" i="44" s="1"/>
  <c r="AF132" i="44"/>
  <c r="BI342" i="57"/>
  <c r="BH161" i="57"/>
  <c r="BI363" i="57"/>
  <c r="BH146" i="57"/>
  <c r="BE221" i="57"/>
  <c r="BH179" i="57"/>
  <c r="CA263" i="57"/>
  <c r="CA125" i="57"/>
  <c r="BH128" i="57"/>
  <c r="BH254" i="57"/>
  <c r="CB339" i="57"/>
  <c r="BH351" i="57"/>
  <c r="BH275" i="57"/>
  <c r="BE224" i="57"/>
  <c r="BH92" i="57"/>
  <c r="BH194" i="57"/>
  <c r="CA239" i="57"/>
  <c r="BE56" i="57"/>
  <c r="BX68" i="57"/>
  <c r="BX56" i="57" s="1"/>
  <c r="CA83" i="57"/>
  <c r="BJ84" i="57"/>
  <c r="CA84" i="57"/>
  <c r="CA85" i="57"/>
  <c r="BJ93" i="57"/>
  <c r="CA93" i="57"/>
  <c r="BH122" i="57"/>
  <c r="BH131" i="57"/>
  <c r="BI132" i="57"/>
  <c r="CC138" i="57"/>
  <c r="CA139" i="57"/>
  <c r="CB141" i="57"/>
  <c r="CB153" i="57"/>
  <c r="BH169" i="57"/>
  <c r="BH176" i="57"/>
  <c r="BH186" i="57"/>
  <c r="CA188" i="57"/>
  <c r="BI195" i="57"/>
  <c r="CA195" i="57"/>
  <c r="CA196" i="57"/>
  <c r="CC198" i="57"/>
  <c r="BI204" i="57"/>
  <c r="BH210" i="57"/>
  <c r="BH236" i="57"/>
  <c r="BH247" i="57"/>
  <c r="BJ249" i="57"/>
  <c r="CA249" i="57"/>
  <c r="CC267" i="57"/>
  <c r="BI273" i="57"/>
  <c r="CC273" i="57"/>
  <c r="BH287" i="57"/>
  <c r="BI288" i="57"/>
  <c r="BI333" i="57"/>
  <c r="BH357" i="57"/>
  <c r="BH359" i="57"/>
  <c r="BI360" i="57"/>
  <c r="BH373" i="57"/>
  <c r="CA392" i="57"/>
  <c r="CC402" i="57"/>
  <c r="BH406" i="57"/>
  <c r="BH410" i="57"/>
  <c r="BI411" i="57"/>
  <c r="CA432" i="57"/>
  <c r="BH437" i="57"/>
  <c r="BI438" i="57"/>
  <c r="BE107" i="57"/>
  <c r="BH74" i="57"/>
  <c r="BH91" i="57"/>
  <c r="BH102" i="57"/>
  <c r="BH105" i="57"/>
  <c r="CC108" i="57"/>
  <c r="BI114" i="57"/>
  <c r="BH119" i="57"/>
  <c r="BJ132" i="57"/>
  <c r="CA136" i="57"/>
  <c r="BH147" i="57"/>
  <c r="BH155" i="57"/>
  <c r="CB165" i="57"/>
  <c r="BH170" i="57"/>
  <c r="BI171" i="57"/>
  <c r="BJ180" i="57"/>
  <c r="CB180" i="57"/>
  <c r="BH185" i="57"/>
  <c r="BI186" i="57"/>
  <c r="BH206" i="57"/>
  <c r="BI207" i="57"/>
  <c r="CC213" i="57"/>
  <c r="BH226" i="57"/>
  <c r="BJ231" i="57"/>
  <c r="CA231" i="57"/>
  <c r="BH255" i="57"/>
  <c r="CB261" i="57"/>
  <c r="CA269" i="57"/>
  <c r="BH272" i="57"/>
  <c r="BH274" i="57"/>
  <c r="BH282" i="57"/>
  <c r="CB282" i="57"/>
  <c r="BH295" i="57"/>
  <c r="BI309" i="57"/>
  <c r="BH316" i="57"/>
  <c r="CB318" i="57"/>
  <c r="BH323" i="57"/>
  <c r="BH324" i="57"/>
  <c r="CC324" i="57"/>
  <c r="CA332" i="57"/>
  <c r="BJ333" i="57"/>
  <c r="CC354" i="57"/>
  <c r="BJ357" i="57"/>
  <c r="BJ360" i="57"/>
  <c r="CA360" i="57"/>
  <c r="CC366" i="57"/>
  <c r="BJ369" i="57"/>
  <c r="CB369" i="57"/>
  <c r="BH378" i="57"/>
  <c r="BH381" i="57"/>
  <c r="BH390" i="57"/>
  <c r="CA407" i="57"/>
  <c r="BH434" i="57"/>
  <c r="CA440" i="57"/>
  <c r="AW66" i="36"/>
  <c r="BD227" i="57"/>
  <c r="BE98" i="57"/>
  <c r="BH78" i="57"/>
  <c r="CA86" i="57"/>
  <c r="CB102" i="57"/>
  <c r="BI105" i="57"/>
  <c r="CA106" i="57"/>
  <c r="BH115" i="57"/>
  <c r="CB150" i="57"/>
  <c r="BI159" i="57"/>
  <c r="CC159" i="57"/>
  <c r="BH162" i="57"/>
  <c r="CB162" i="57"/>
  <c r="CC165" i="57"/>
  <c r="BJ171" i="57"/>
  <c r="CA181" i="57"/>
  <c r="BH187" i="57"/>
  <c r="CB189" i="57"/>
  <c r="CA197" i="57"/>
  <c r="BH219" i="57"/>
  <c r="CA233" i="57"/>
  <c r="BJ240" i="57"/>
  <c r="BH250" i="57"/>
  <c r="BI252" i="57"/>
  <c r="BH256" i="57"/>
  <c r="BI264" i="57"/>
  <c r="BI276" i="57"/>
  <c r="BH279" i="57"/>
  <c r="CA284" i="57"/>
  <c r="CC291" i="57"/>
  <c r="BJ300" i="57"/>
  <c r="CA300" i="57"/>
  <c r="BH306" i="57"/>
  <c r="BJ309" i="57"/>
  <c r="BJ339" i="57"/>
  <c r="CB357" i="57"/>
  <c r="BH367" i="57"/>
  <c r="BJ378" i="57"/>
  <c r="CA383" i="57"/>
  <c r="BI387" i="57"/>
  <c r="BI390" i="57"/>
  <c r="CA391" i="57"/>
  <c r="BJ399" i="57"/>
  <c r="CA399" i="57"/>
  <c r="BH430" i="57"/>
  <c r="CC69" i="57"/>
  <c r="CA77" i="57"/>
  <c r="BI84" i="57"/>
  <c r="BI93" i="57"/>
  <c r="CA116" i="57"/>
  <c r="CA120" i="57"/>
  <c r="CB129" i="57"/>
  <c r="CA141" i="57"/>
  <c r="CC156" i="57"/>
  <c r="BH163" i="57"/>
  <c r="CC174" i="57"/>
  <c r="BH190" i="57"/>
  <c r="CA218" i="57"/>
  <c r="BH271" i="57"/>
  <c r="BJ276" i="57"/>
  <c r="CA293" i="57"/>
  <c r="CA317" i="57"/>
  <c r="BH322" i="57"/>
  <c r="CC327" i="57"/>
  <c r="BH337" i="57"/>
  <c r="BH358" i="57"/>
  <c r="BH365" i="57"/>
  <c r="CC396" i="57"/>
  <c r="BH405" i="57"/>
  <c r="CB408" i="57"/>
  <c r="BH414" i="57"/>
  <c r="CA416" i="57"/>
  <c r="CC423" i="57"/>
  <c r="BW68" i="57"/>
  <c r="BW56" i="57" s="1"/>
  <c r="BD56" i="57"/>
  <c r="BB66" i="36"/>
  <c r="BE440" i="57"/>
  <c r="BD437" i="57"/>
  <c r="BE428" i="57"/>
  <c r="BD425" i="57"/>
  <c r="BE416" i="57"/>
  <c r="BD413" i="57"/>
  <c r="BE404" i="57"/>
  <c r="BD401" i="57"/>
  <c r="BE392" i="57"/>
  <c r="BD389" i="57"/>
  <c r="BE380" i="57"/>
  <c r="BD377" i="57"/>
  <c r="BE368" i="57"/>
  <c r="BD365" i="57"/>
  <c r="BE356" i="57"/>
  <c r="BD353" i="57"/>
  <c r="BE344" i="57"/>
  <c r="BD341" i="57"/>
  <c r="BE332" i="57"/>
  <c r="BD329" i="57"/>
  <c r="BE320" i="57"/>
  <c r="BD317" i="57"/>
  <c r="BE308" i="57"/>
  <c r="BD305" i="57"/>
  <c r="BE296" i="57"/>
  <c r="BD293" i="57"/>
  <c r="BE284" i="57"/>
  <c r="BD281" i="57"/>
  <c r="BE272" i="57"/>
  <c r="BD269" i="57"/>
  <c r="BE260" i="57"/>
  <c r="BD257" i="57"/>
  <c r="BE248" i="57"/>
  <c r="BD245" i="57"/>
  <c r="BE236" i="57"/>
  <c r="BD233" i="57"/>
  <c r="BD221" i="57"/>
  <c r="BE212" i="57"/>
  <c r="BD209" i="57"/>
  <c r="BE200" i="57"/>
  <c r="BD197" i="57"/>
  <c r="BE188" i="57"/>
  <c r="BD185" i="57"/>
  <c r="BE176" i="57"/>
  <c r="BE164" i="57"/>
  <c r="BD161" i="57"/>
  <c r="BE152" i="57"/>
  <c r="BD149" i="57"/>
  <c r="BE140" i="57"/>
  <c r="BE128" i="57"/>
  <c r="BE116" i="57"/>
  <c r="BD113" i="57"/>
  <c r="BD101" i="57"/>
  <c r="BE92" i="57"/>
  <c r="BD89" i="57"/>
  <c r="BC56" i="57"/>
  <c r="CA75" i="57"/>
  <c r="BH75" i="57"/>
  <c r="BD77" i="57"/>
  <c r="BI78" i="57"/>
  <c r="CB78" i="57"/>
  <c r="CA82" i="57"/>
  <c r="BH82" i="57"/>
  <c r="CB87" i="57"/>
  <c r="CA99" i="57"/>
  <c r="BH99" i="57"/>
  <c r="BD104" i="57"/>
  <c r="BJ120" i="57"/>
  <c r="BJ126" i="57"/>
  <c r="CC126" i="57"/>
  <c r="BJ141" i="57"/>
  <c r="CB147" i="57"/>
  <c r="CA167" i="57"/>
  <c r="BH167" i="57"/>
  <c r="BE167" i="57"/>
  <c r="BJ189" i="57"/>
  <c r="CC219" i="57"/>
  <c r="BJ219" i="57"/>
  <c r="BE443" i="57"/>
  <c r="BD440" i="57"/>
  <c r="BE431" i="57"/>
  <c r="BD428" i="57"/>
  <c r="BE419" i="57"/>
  <c r="BD416" i="57"/>
  <c r="BE407" i="57"/>
  <c r="BD404" i="57"/>
  <c r="BE395" i="57"/>
  <c r="BD392" i="57"/>
  <c r="BE383" i="57"/>
  <c r="BD380" i="57"/>
  <c r="BE371" i="57"/>
  <c r="BD368" i="57"/>
  <c r="BE359" i="57"/>
  <c r="BD356" i="57"/>
  <c r="BE347" i="57"/>
  <c r="BD344" i="57"/>
  <c r="BE335" i="57"/>
  <c r="BD332" i="57"/>
  <c r="BE323" i="57"/>
  <c r="BD320" i="57"/>
  <c r="BE311" i="57"/>
  <c r="BD308" i="57"/>
  <c r="BE299" i="57"/>
  <c r="BD296" i="57"/>
  <c r="BE287" i="57"/>
  <c r="BD284" i="57"/>
  <c r="BE275" i="57"/>
  <c r="BD272" i="57"/>
  <c r="BE263" i="57"/>
  <c r="BD260" i="57"/>
  <c r="BE251" i="57"/>
  <c r="BD248" i="57"/>
  <c r="BE239" i="57"/>
  <c r="BD236" i="57"/>
  <c r="BE227" i="57"/>
  <c r="BD224" i="57"/>
  <c r="BE215" i="57"/>
  <c r="BD212" i="57"/>
  <c r="BE203" i="57"/>
  <c r="BD200" i="57"/>
  <c r="BE191" i="57"/>
  <c r="BD188" i="57"/>
  <c r="BE179" i="57"/>
  <c r="BD176" i="57"/>
  <c r="BE155" i="57"/>
  <c r="BD140" i="57"/>
  <c r="BE131" i="57"/>
  <c r="BD128" i="57"/>
  <c r="BE119" i="57"/>
  <c r="BE83" i="57"/>
  <c r="BY68" i="57"/>
  <c r="BY56" i="57" s="1"/>
  <c r="BH69" i="57"/>
  <c r="CA69" i="57"/>
  <c r="AZ57" i="57"/>
  <c r="AS58" i="57"/>
  <c r="BA58" i="57"/>
  <c r="CC78" i="57"/>
  <c r="BD80" i="57"/>
  <c r="CC87" i="57"/>
  <c r="BE95" i="57"/>
  <c r="CA96" i="57"/>
  <c r="BH96" i="57"/>
  <c r="CA100" i="57"/>
  <c r="BH100" i="57"/>
  <c r="BE101" i="57"/>
  <c r="BJ102" i="57"/>
  <c r="CC102" i="57"/>
  <c r="CA104" i="57"/>
  <c r="BH104" i="57"/>
  <c r="BE104" i="57"/>
  <c r="CA107" i="57"/>
  <c r="BH107" i="57"/>
  <c r="CA110" i="57"/>
  <c r="BH110" i="57"/>
  <c r="BE110" i="57"/>
  <c r="BJ111" i="57"/>
  <c r="CC111" i="57"/>
  <c r="BI111" i="57"/>
  <c r="BJ117" i="57"/>
  <c r="CA123" i="57"/>
  <c r="BH123" i="57"/>
  <c r="CA154" i="57"/>
  <c r="BH154" i="57"/>
  <c r="BD164" i="57"/>
  <c r="BH180" i="57"/>
  <c r="CA180" i="57"/>
  <c r="CA198" i="57"/>
  <c r="BH198" i="57"/>
  <c r="BD443" i="57"/>
  <c r="BE434" i="57"/>
  <c r="BD431" i="57"/>
  <c r="BE422" i="57"/>
  <c r="BD419" i="57"/>
  <c r="BE410" i="57"/>
  <c r="BD407" i="57"/>
  <c r="BE398" i="57"/>
  <c r="BD395" i="57"/>
  <c r="BE386" i="57"/>
  <c r="BD383" i="57"/>
  <c r="BE374" i="57"/>
  <c r="BD371" i="57"/>
  <c r="BE362" i="57"/>
  <c r="BD359" i="57"/>
  <c r="BE350" i="57"/>
  <c r="BD347" i="57"/>
  <c r="BE338" i="57"/>
  <c r="BD335" i="57"/>
  <c r="BE326" i="57"/>
  <c r="BD323" i="57"/>
  <c r="BE314" i="57"/>
  <c r="BD311" i="57"/>
  <c r="BE302" i="57"/>
  <c r="BD299" i="57"/>
  <c r="BE290" i="57"/>
  <c r="BD287" i="57"/>
  <c r="BE278" i="57"/>
  <c r="BD275" i="57"/>
  <c r="BE266" i="57"/>
  <c r="BD263" i="57"/>
  <c r="BE254" i="57"/>
  <c r="BD251" i="57"/>
  <c r="BE242" i="57"/>
  <c r="BD239" i="57"/>
  <c r="BE230" i="57"/>
  <c r="BE218" i="57"/>
  <c r="BD215" i="57"/>
  <c r="BE206" i="57"/>
  <c r="BD203" i="57"/>
  <c r="BE194" i="57"/>
  <c r="BD191" i="57"/>
  <c r="BE182" i="57"/>
  <c r="BD179" i="57"/>
  <c r="BE170" i="57"/>
  <c r="BD167" i="57"/>
  <c r="BE158" i="57"/>
  <c r="BD155" i="57"/>
  <c r="BE146" i="57"/>
  <c r="BD143" i="57"/>
  <c r="BE134" i="57"/>
  <c r="BD131" i="57"/>
  <c r="BE122" i="57"/>
  <c r="BD119" i="57"/>
  <c r="BD107" i="57"/>
  <c r="BD95" i="57"/>
  <c r="BE86" i="57"/>
  <c r="BD83" i="57"/>
  <c r="BE74" i="57"/>
  <c r="BP55" i="57"/>
  <c r="BP66" i="57" s="1"/>
  <c r="BD71" i="57"/>
  <c r="BE80" i="57"/>
  <c r="BD92" i="57"/>
  <c r="CB96" i="57"/>
  <c r="BI96" i="57"/>
  <c r="BH97" i="57"/>
  <c r="CA97" i="57"/>
  <c r="CA114" i="57"/>
  <c r="CA124" i="57"/>
  <c r="BH124" i="57"/>
  <c r="BD125" i="57"/>
  <c r="BD134" i="57"/>
  <c r="CA143" i="57"/>
  <c r="BH143" i="57"/>
  <c r="BE143" i="57"/>
  <c r="CB156" i="57"/>
  <c r="BI156" i="57"/>
  <c r="CA229" i="57"/>
  <c r="BH229" i="57"/>
  <c r="BE437" i="57"/>
  <c r="BD434" i="57"/>
  <c r="BE425" i="57"/>
  <c r="BD422" i="57"/>
  <c r="BE413" i="57"/>
  <c r="BD410" i="57"/>
  <c r="BE401" i="57"/>
  <c r="BD398" i="57"/>
  <c r="BE389" i="57"/>
  <c r="BD386" i="57"/>
  <c r="BE377" i="57"/>
  <c r="BD374" i="57"/>
  <c r="BE365" i="57"/>
  <c r="BD362" i="57"/>
  <c r="BE353" i="57"/>
  <c r="BD350" i="57"/>
  <c r="BE341" i="57"/>
  <c r="BD338" i="57"/>
  <c r="BE329" i="57"/>
  <c r="BD326" i="57"/>
  <c r="BE317" i="57"/>
  <c r="BD314" i="57"/>
  <c r="BE305" i="57"/>
  <c r="BD302" i="57"/>
  <c r="BE293" i="57"/>
  <c r="BD290" i="57"/>
  <c r="BE281" i="57"/>
  <c r="BD278" i="57"/>
  <c r="BE269" i="57"/>
  <c r="BD266" i="57"/>
  <c r="BE257" i="57"/>
  <c r="BD254" i="57"/>
  <c r="BE245" i="57"/>
  <c r="BD242" i="57"/>
  <c r="BE233" i="57"/>
  <c r="BD230" i="57"/>
  <c r="BE209" i="57"/>
  <c r="BD206" i="57"/>
  <c r="BE197" i="57"/>
  <c r="BD194" i="57"/>
  <c r="BE185" i="57"/>
  <c r="BD182" i="57"/>
  <c r="BE173" i="57"/>
  <c r="BD170" i="57"/>
  <c r="BE161" i="57"/>
  <c r="BE149" i="57"/>
  <c r="BD146" i="57"/>
  <c r="BE137" i="57"/>
  <c r="BE125" i="57"/>
  <c r="BD122" i="57"/>
  <c r="BD110" i="57"/>
  <c r="BD86" i="57"/>
  <c r="BE77" i="57"/>
  <c r="AU58" i="57"/>
  <c r="CA70" i="57"/>
  <c r="BH70" i="57"/>
  <c r="BE71" i="57"/>
  <c r="BD74" i="57"/>
  <c r="CB90" i="57"/>
  <c r="BI90" i="57"/>
  <c r="CA113" i="57"/>
  <c r="BH113" i="57"/>
  <c r="BE113" i="57"/>
  <c r="BD116" i="57"/>
  <c r="CA127" i="57"/>
  <c r="BH127" i="57"/>
  <c r="BD137" i="57"/>
  <c r="BD152" i="57"/>
  <c r="BD158" i="57"/>
  <c r="BD173" i="57"/>
  <c r="CB192" i="57"/>
  <c r="BI192" i="57"/>
  <c r="BH213" i="57"/>
  <c r="CA213" i="57"/>
  <c r="CA232" i="57"/>
  <c r="BH232" i="57"/>
  <c r="BH241" i="57"/>
  <c r="CA241" i="57"/>
  <c r="CC252" i="57"/>
  <c r="BJ252" i="57"/>
  <c r="BH260" i="57"/>
  <c r="CA260" i="57"/>
  <c r="BH276" i="57"/>
  <c r="CA276" i="57"/>
  <c r="CA303" i="57"/>
  <c r="BH303" i="57"/>
  <c r="CA314" i="57"/>
  <c r="BH314" i="57"/>
  <c r="BH333" i="57"/>
  <c r="CA333" i="57"/>
  <c r="CA132" i="57"/>
  <c r="BJ144" i="57"/>
  <c r="CC147" i="57"/>
  <c r="CA152" i="57"/>
  <c r="CC162" i="57"/>
  <c r="CA171" i="57"/>
  <c r="CA178" i="57"/>
  <c r="CC204" i="57"/>
  <c r="BJ204" i="57"/>
  <c r="BJ237" i="57"/>
  <c r="CC282" i="57"/>
  <c r="BJ282" i="57"/>
  <c r="CB312" i="57"/>
  <c r="BI312" i="57"/>
  <c r="CB315" i="57"/>
  <c r="BI315" i="57"/>
  <c r="BH325" i="57"/>
  <c r="CA325" i="57"/>
  <c r="AX57" i="57"/>
  <c r="BF57" i="57"/>
  <c r="AT58" i="57"/>
  <c r="BB58" i="57"/>
  <c r="CA133" i="57"/>
  <c r="CA156" i="57"/>
  <c r="CA172" i="57"/>
  <c r="BJ192" i="57"/>
  <c r="BH203" i="57"/>
  <c r="BH212" i="57"/>
  <c r="CA212" i="57"/>
  <c r="BH220" i="57"/>
  <c r="CA220" i="57"/>
  <c r="BH238" i="57"/>
  <c r="BH243" i="57"/>
  <c r="CA266" i="57"/>
  <c r="BH266" i="57"/>
  <c r="CA268" i="57"/>
  <c r="CA330" i="57"/>
  <c r="BH330" i="57"/>
  <c r="BC58" i="57"/>
  <c r="BJ72" i="57"/>
  <c r="CC99" i="57"/>
  <c r="BI108" i="57"/>
  <c r="BH118" i="57"/>
  <c r="BJ123" i="57"/>
  <c r="BJ129" i="57"/>
  <c r="CA129" i="57"/>
  <c r="CA137" i="57"/>
  <c r="BH138" i="57"/>
  <c r="BH150" i="57"/>
  <c r="BJ153" i="57"/>
  <c r="BH159" i="57"/>
  <c r="CA165" i="57"/>
  <c r="BH204" i="57"/>
  <c r="CA204" i="57"/>
  <c r="BJ207" i="57"/>
  <c r="CC207" i="57"/>
  <c r="BJ228" i="57"/>
  <c r="CA228" i="57"/>
  <c r="BH234" i="57"/>
  <c r="CC234" i="57"/>
  <c r="CB240" i="57"/>
  <c r="BH246" i="57"/>
  <c r="CA251" i="57"/>
  <c r="BH251" i="57"/>
  <c r="CA258" i="57"/>
  <c r="BH258" i="57"/>
  <c r="BH290" i="57"/>
  <c r="CA290" i="57"/>
  <c r="CA291" i="57"/>
  <c r="BH291" i="57"/>
  <c r="BH201" i="57"/>
  <c r="BI210" i="57"/>
  <c r="CA211" i="57"/>
  <c r="CB213" i="57"/>
  <c r="BH214" i="57"/>
  <c r="BH217" i="57"/>
  <c r="CB219" i="57"/>
  <c r="BH222" i="57"/>
  <c r="CC222" i="57"/>
  <c r="CA283" i="57"/>
  <c r="BH283" i="57"/>
  <c r="CB291" i="57"/>
  <c r="BI291" i="57"/>
  <c r="CA298" i="57"/>
  <c r="BH298" i="57"/>
  <c r="CA299" i="57"/>
  <c r="BH299" i="57"/>
  <c r="BH301" i="57"/>
  <c r="CA301" i="57"/>
  <c r="CA331" i="57"/>
  <c r="BH331" i="57"/>
  <c r="BH396" i="57"/>
  <c r="CA396" i="57"/>
  <c r="BH261" i="57"/>
  <c r="CA261" i="57"/>
  <c r="CA267" i="57"/>
  <c r="BH267" i="57"/>
  <c r="BI285" i="57"/>
  <c r="CB285" i="57"/>
  <c r="BH292" i="57"/>
  <c r="CA292" i="57"/>
  <c r="BH308" i="57"/>
  <c r="CA308" i="57"/>
  <c r="CB324" i="57"/>
  <c r="BI324" i="57"/>
  <c r="CB198" i="57"/>
  <c r="BH202" i="57"/>
  <c r="CA205" i="57"/>
  <c r="BH209" i="57"/>
  <c r="BJ216" i="57"/>
  <c r="BJ225" i="57"/>
  <c r="BH235" i="57"/>
  <c r="BI243" i="57"/>
  <c r="CA259" i="57"/>
  <c r="BH259" i="57"/>
  <c r="CB267" i="57"/>
  <c r="BI267" i="57"/>
  <c r="BH273" i="57"/>
  <c r="CA273" i="57"/>
  <c r="CA307" i="57"/>
  <c r="BH307" i="57"/>
  <c r="CA315" i="57"/>
  <c r="BH315" i="57"/>
  <c r="BH319" i="57"/>
  <c r="CA345" i="57"/>
  <c r="BH345" i="57"/>
  <c r="CA252" i="57"/>
  <c r="CC270" i="57"/>
  <c r="BJ318" i="57"/>
  <c r="BH336" i="57"/>
  <c r="CA336" i="57"/>
  <c r="BI249" i="57"/>
  <c r="BJ258" i="57"/>
  <c r="BJ261" i="57"/>
  <c r="CC279" i="57"/>
  <c r="BJ294" i="57"/>
  <c r="CC294" i="57"/>
  <c r="BJ297" i="57"/>
  <c r="BI300" i="57"/>
  <c r="CC303" i="57"/>
  <c r="CA311" i="57"/>
  <c r="BH311" i="57"/>
  <c r="BJ321" i="57"/>
  <c r="CA327" i="57"/>
  <c r="BH327" i="57"/>
  <c r="BH386" i="57"/>
  <c r="CA386" i="57"/>
  <c r="BH400" i="57"/>
  <c r="CA400" i="57"/>
  <c r="BH338" i="57"/>
  <c r="CA342" i="57"/>
  <c r="BH342" i="57"/>
  <c r="CA346" i="57"/>
  <c r="BH346" i="57"/>
  <c r="BJ285" i="57"/>
  <c r="BH335" i="57"/>
  <c r="CA347" i="57"/>
  <c r="BH347" i="57"/>
  <c r="BH375" i="57"/>
  <c r="CA375" i="57"/>
  <c r="BH388" i="57"/>
  <c r="CA388" i="57"/>
  <c r="CA394" i="57"/>
  <c r="BH394" i="57"/>
  <c r="CA340" i="57"/>
  <c r="CA354" i="57"/>
  <c r="BH354" i="57"/>
  <c r="BJ393" i="57"/>
  <c r="CC393" i="57"/>
  <c r="BJ336" i="57"/>
  <c r="BH350" i="57"/>
  <c r="BJ348" i="57"/>
  <c r="CB366" i="57"/>
  <c r="BI366" i="57"/>
  <c r="BH368" i="57"/>
  <c r="CA368" i="57"/>
  <c r="CA379" i="57"/>
  <c r="BH379" i="57"/>
  <c r="BJ372" i="57"/>
  <c r="CA374" i="57"/>
  <c r="BH374" i="57"/>
  <c r="CA397" i="57"/>
  <c r="BH397" i="57"/>
  <c r="CB399" i="57"/>
  <c r="BI399" i="57"/>
  <c r="BH370" i="57"/>
  <c r="BJ375" i="57"/>
  <c r="CB384" i="57"/>
  <c r="BH404" i="57"/>
  <c r="CA404" i="57"/>
  <c r="BH384" i="57"/>
  <c r="CA384" i="57"/>
  <c r="CA387" i="57"/>
  <c r="BH387" i="57"/>
  <c r="CA389" i="57"/>
  <c r="BH389" i="57"/>
  <c r="CA398" i="57"/>
  <c r="BH398" i="57"/>
  <c r="BJ408" i="57"/>
  <c r="BI414" i="57"/>
  <c r="BJ417" i="57"/>
  <c r="CC417" i="57"/>
  <c r="CB423" i="57"/>
  <c r="BI423" i="57"/>
  <c r="BH413" i="57"/>
  <c r="BJ384" i="57"/>
  <c r="CA402" i="57"/>
  <c r="BH402" i="57"/>
  <c r="BJ414" i="57"/>
  <c r="CC414" i="57"/>
  <c r="CA442" i="57"/>
  <c r="BH442" i="57"/>
  <c r="BH415" i="57"/>
  <c r="CA415" i="57"/>
  <c r="CA421" i="57"/>
  <c r="BH421" i="57"/>
  <c r="BH423" i="57"/>
  <c r="CA423" i="57"/>
  <c r="CA438" i="57"/>
  <c r="BH438" i="57"/>
  <c r="CA418" i="57"/>
  <c r="BH418" i="57"/>
  <c r="BJ420" i="57"/>
  <c r="CA422" i="57"/>
  <c r="BH422" i="57"/>
  <c r="CA426" i="57"/>
  <c r="BH426" i="57"/>
  <c r="CA429" i="57"/>
  <c r="BH429" i="57"/>
  <c r="BJ432" i="57"/>
  <c r="CA439" i="57"/>
  <c r="BH428" i="57"/>
  <c r="CA428" i="57"/>
  <c r="BI432" i="57"/>
  <c r="CB432" i="57"/>
  <c r="BI435" i="57"/>
  <c r="CC441" i="57"/>
  <c r="CA431" i="57"/>
  <c r="CB441" i="57"/>
  <c r="CA153" i="57"/>
  <c r="BH153" i="57"/>
  <c r="BA57" i="57"/>
  <c r="AX58" i="57"/>
  <c r="CB72" i="57"/>
  <c r="BI72" i="57"/>
  <c r="CA79" i="57"/>
  <c r="BH79" i="57"/>
  <c r="CB99" i="57"/>
  <c r="BI99" i="57"/>
  <c r="CA130" i="57"/>
  <c r="BH130" i="57"/>
  <c r="CA216" i="57"/>
  <c r="BH216" i="57"/>
  <c r="AZ58" i="57"/>
  <c r="BI69" i="57"/>
  <c r="CA95" i="57"/>
  <c r="BH95" i="57"/>
  <c r="BJ105" i="57"/>
  <c r="BH109" i="57"/>
  <c r="CA109" i="57"/>
  <c r="CA142" i="57"/>
  <c r="BH142" i="57"/>
  <c r="BH145" i="57"/>
  <c r="CC150" i="57"/>
  <c r="BH189" i="57"/>
  <c r="CA189" i="57"/>
  <c r="CA191" i="57"/>
  <c r="BH191" i="57"/>
  <c r="BH81" i="57"/>
  <c r="AS57" i="57"/>
  <c r="CA71" i="57"/>
  <c r="BE57" i="57"/>
  <c r="AW57" i="57"/>
  <c r="BH71" i="57"/>
  <c r="CA76" i="57"/>
  <c r="CA87" i="57"/>
  <c r="BH87" i="57"/>
  <c r="CA126" i="57"/>
  <c r="BH126" i="57"/>
  <c r="BH160" i="57"/>
  <c r="CA177" i="57"/>
  <c r="BH177" i="57"/>
  <c r="CC195" i="57"/>
  <c r="BJ195" i="57"/>
  <c r="CA199" i="57"/>
  <c r="BH199" i="57"/>
  <c r="CB201" i="57"/>
  <c r="BI201" i="57"/>
  <c r="CC210" i="57"/>
  <c r="BJ210" i="57"/>
  <c r="CA224" i="57"/>
  <c r="BH224" i="57"/>
  <c r="BU55" i="57"/>
  <c r="BU66" i="57" s="1"/>
  <c r="CC81" i="57"/>
  <c r="BJ81" i="57"/>
  <c r="BH89" i="57"/>
  <c r="CA140" i="57"/>
  <c r="CA151" i="57"/>
  <c r="BH151" i="57"/>
  <c r="AV57" i="57"/>
  <c r="AR58" i="57"/>
  <c r="AT57" i="57"/>
  <c r="BB57" i="57"/>
  <c r="AV58" i="57"/>
  <c r="BD58" i="57"/>
  <c r="CC90" i="57"/>
  <c r="BJ90" i="57"/>
  <c r="BH90" i="57"/>
  <c r="CA98" i="57"/>
  <c r="BH98" i="57"/>
  <c r="BJ114" i="57"/>
  <c r="CA135" i="57"/>
  <c r="BH135" i="57"/>
  <c r="CA168" i="57"/>
  <c r="BH168" i="57"/>
  <c r="CA174" i="57"/>
  <c r="BH174" i="57"/>
  <c r="CB177" i="57"/>
  <c r="BI177" i="57"/>
  <c r="CB138" i="57"/>
  <c r="BI138" i="57"/>
  <c r="BH117" i="57"/>
  <c r="CA117" i="57"/>
  <c r="BF58" i="57"/>
  <c r="AU57" i="57"/>
  <c r="BC57" i="57"/>
  <c r="AY58" i="57"/>
  <c r="BH73" i="57"/>
  <c r="BI75" i="57"/>
  <c r="CA108" i="57"/>
  <c r="BH108" i="57"/>
  <c r="CA112" i="57"/>
  <c r="BH112" i="57"/>
  <c r="CB135" i="57"/>
  <c r="BI135" i="57"/>
  <c r="CA144" i="57"/>
  <c r="BH144" i="57"/>
  <c r="CA149" i="57"/>
  <c r="BH158" i="57"/>
  <c r="CB168" i="57"/>
  <c r="BI168" i="57"/>
  <c r="CB174" i="57"/>
  <c r="CB183" i="57"/>
  <c r="BI183" i="57"/>
  <c r="CA121" i="57"/>
  <c r="BH121" i="57"/>
  <c r="BD57" i="57"/>
  <c r="CA72" i="57"/>
  <c r="AR57" i="57"/>
  <c r="CB81" i="57"/>
  <c r="CA101" i="57"/>
  <c r="AY57" i="57"/>
  <c r="AR66" i="57"/>
  <c r="BJ75" i="57"/>
  <c r="CA80" i="57"/>
  <c r="CA88" i="57"/>
  <c r="BH88" i="57"/>
  <c r="BJ96" i="57"/>
  <c r="BI123" i="57"/>
  <c r="BH148" i="57"/>
  <c r="CA148" i="57"/>
  <c r="BH164" i="57"/>
  <c r="CA164" i="57"/>
  <c r="BH183" i="57"/>
  <c r="CC183" i="57"/>
  <c r="CA193" i="57"/>
  <c r="BH193" i="57"/>
  <c r="CA166" i="57"/>
  <c r="BH166" i="57"/>
  <c r="CC168" i="57"/>
  <c r="BJ168" i="57"/>
  <c r="CC201" i="57"/>
  <c r="BJ201" i="57"/>
  <c r="AW58" i="57"/>
  <c r="BE58" i="57"/>
  <c r="BI117" i="57"/>
  <c r="CA208" i="57"/>
  <c r="BH208" i="57"/>
  <c r="BH94" i="57"/>
  <c r="BH103" i="57"/>
  <c r="BH134" i="57"/>
  <c r="CC135" i="57"/>
  <c r="BI144" i="57"/>
  <c r="CA157" i="57"/>
  <c r="CA173" i="57"/>
  <c r="BH175" i="57"/>
  <c r="BJ177" i="57"/>
  <c r="CA182" i="57"/>
  <c r="BH182" i="57"/>
  <c r="BH184" i="57"/>
  <c r="CC186" i="57"/>
  <c r="BJ186" i="57"/>
  <c r="CB225" i="57"/>
  <c r="BI225" i="57"/>
  <c r="BH111" i="57"/>
  <c r="BI120" i="57"/>
  <c r="CB126" i="57"/>
  <c r="CA192" i="57"/>
  <c r="BH192" i="57"/>
  <c r="CA200" i="57"/>
  <c r="BH200" i="57"/>
  <c r="CA230" i="57"/>
  <c r="CB231" i="57"/>
  <c r="CB306" i="57"/>
  <c r="BI306" i="57"/>
  <c r="CB246" i="57"/>
  <c r="CB279" i="57"/>
  <c r="BI279" i="57"/>
  <c r="CB297" i="57"/>
  <c r="BI297" i="57"/>
  <c r="CA304" i="57"/>
  <c r="BH304" i="57"/>
  <c r="CC306" i="57"/>
  <c r="BJ306" i="57"/>
  <c r="CA225" i="57"/>
  <c r="BH237" i="57"/>
  <c r="BH242" i="57"/>
  <c r="CC243" i="57"/>
  <c r="CC246" i="57"/>
  <c r="BH248" i="57"/>
  <c r="CA262" i="57"/>
  <c r="BH262" i="57"/>
  <c r="CC264" i="57"/>
  <c r="BJ264" i="57"/>
  <c r="BH264" i="57"/>
  <c r="CA297" i="57"/>
  <c r="BH207" i="57"/>
  <c r="BH215" i="57"/>
  <c r="BI216" i="57"/>
  <c r="BH223" i="57"/>
  <c r="BI228" i="57"/>
  <c r="CB234" i="57"/>
  <c r="BI237" i="57"/>
  <c r="BH245" i="57"/>
  <c r="CA270" i="57"/>
  <c r="BH270" i="57"/>
  <c r="CA277" i="57"/>
  <c r="CA281" i="57"/>
  <c r="CA289" i="57"/>
  <c r="CB255" i="57"/>
  <c r="BI255" i="57"/>
  <c r="CB258" i="57"/>
  <c r="CB270" i="57"/>
  <c r="CA305" i="57"/>
  <c r="BH305" i="57"/>
  <c r="CA312" i="57"/>
  <c r="BH312" i="57"/>
  <c r="BH221" i="57"/>
  <c r="BI222" i="57"/>
  <c r="BH227" i="57"/>
  <c r="BH240" i="57"/>
  <c r="BH244" i="57"/>
  <c r="CA253" i="57"/>
  <c r="CA278" i="57"/>
  <c r="BH278" i="57"/>
  <c r="CA285" i="57"/>
  <c r="CA296" i="57"/>
  <c r="BH296" i="57"/>
  <c r="CC255" i="57"/>
  <c r="CA257" i="57"/>
  <c r="BH280" i="57"/>
  <c r="CA265" i="57"/>
  <c r="CA286" i="57"/>
  <c r="BH286" i="57"/>
  <c r="CC288" i="57"/>
  <c r="BJ288" i="57"/>
  <c r="BH288" i="57"/>
  <c r="CB294" i="57"/>
  <c r="CA309" i="57"/>
  <c r="CC429" i="57"/>
  <c r="BJ429" i="57"/>
  <c r="CC363" i="57"/>
  <c r="BJ363" i="57"/>
  <c r="BH363" i="57"/>
  <c r="BH371" i="57"/>
  <c r="BH376" i="57"/>
  <c r="CB378" i="57"/>
  <c r="BI378" i="57"/>
  <c r="BJ381" i="57"/>
  <c r="CA385" i="57"/>
  <c r="BH385" i="57"/>
  <c r="CA419" i="57"/>
  <c r="BH419" i="57"/>
  <c r="BH313" i="57"/>
  <c r="BJ315" i="57"/>
  <c r="BH321" i="57"/>
  <c r="BH329" i="57"/>
  <c r="BI330" i="57"/>
  <c r="BH341" i="57"/>
  <c r="CC342" i="57"/>
  <c r="BI345" i="57"/>
  <c r="BH349" i="57"/>
  <c r="BH352" i="57"/>
  <c r="BH355" i="57"/>
  <c r="CB381" i="57"/>
  <c r="CC390" i="57"/>
  <c r="CB396" i="57"/>
  <c r="BI396" i="57"/>
  <c r="CA408" i="57"/>
  <c r="CA411" i="57"/>
  <c r="BH411" i="57"/>
  <c r="BH320" i="57"/>
  <c r="BI321" i="57"/>
  <c r="BH328" i="57"/>
  <c r="BJ330" i="57"/>
  <c r="BI336" i="57"/>
  <c r="BH344" i="57"/>
  <c r="BJ345" i="57"/>
  <c r="CC387" i="57"/>
  <c r="BJ387" i="57"/>
  <c r="CB417" i="57"/>
  <c r="CA435" i="57"/>
  <c r="BH435" i="57"/>
  <c r="CB354" i="57"/>
  <c r="BI354" i="57"/>
  <c r="BI375" i="57"/>
  <c r="CA377" i="57"/>
  <c r="BH377" i="57"/>
  <c r="CA380" i="57"/>
  <c r="CA403" i="57"/>
  <c r="BH403" i="57"/>
  <c r="BH294" i="57"/>
  <c r="BH302" i="57"/>
  <c r="BI303" i="57"/>
  <c r="BH310" i="57"/>
  <c r="BJ312" i="57"/>
  <c r="BH318" i="57"/>
  <c r="BH326" i="57"/>
  <c r="BI327" i="57"/>
  <c r="BH334" i="57"/>
  <c r="BH339" i="57"/>
  <c r="BH343" i="57"/>
  <c r="BI348" i="57"/>
  <c r="BI351" i="57"/>
  <c r="CA369" i="57"/>
  <c r="BH369" i="57"/>
  <c r="BI372" i="57"/>
  <c r="BH382" i="57"/>
  <c r="CA393" i="57"/>
  <c r="BH393" i="57"/>
  <c r="CC405" i="57"/>
  <c r="BJ405" i="57"/>
  <c r="CB420" i="57"/>
  <c r="BI420" i="57"/>
  <c r="CC438" i="57"/>
  <c r="BJ438" i="57"/>
  <c r="CA348" i="57"/>
  <c r="BJ351" i="57"/>
  <c r="CA353" i="57"/>
  <c r="BH353" i="57"/>
  <c r="CA361" i="57"/>
  <c r="BH361" i="57"/>
  <c r="CA364" i="57"/>
  <c r="BH366" i="57"/>
  <c r="CA372" i="57"/>
  <c r="CA395" i="57"/>
  <c r="BH395" i="57"/>
  <c r="CB405" i="57"/>
  <c r="CA420" i="57"/>
  <c r="CC426" i="57"/>
  <c r="CA436" i="57"/>
  <c r="BH436" i="57"/>
  <c r="CA443" i="57"/>
  <c r="BH443" i="57"/>
  <c r="CA356" i="57"/>
  <c r="BI393" i="57"/>
  <c r="CA412" i="57"/>
  <c r="CA424" i="57"/>
  <c r="CA427" i="57"/>
  <c r="BH427" i="57"/>
  <c r="CB429" i="57"/>
  <c r="BI429" i="57"/>
  <c r="BH401" i="57"/>
  <c r="BI402" i="57"/>
  <c r="BH409" i="57"/>
  <c r="BJ411" i="57"/>
  <c r="BH417" i="57"/>
  <c r="BH425" i="57"/>
  <c r="BI426" i="57"/>
  <c r="BH433" i="57"/>
  <c r="BJ435" i="57"/>
  <c r="BH441" i="57"/>
  <c r="AJ57" i="57"/>
  <c r="AH13" i="57"/>
  <c r="BX249" i="57" s="1"/>
  <c r="AI13" i="57"/>
  <c r="AG13" i="57"/>
  <c r="BW256" i="57" s="1"/>
  <c r="BK55" i="36"/>
  <c r="BK66" i="36" s="1"/>
  <c r="BY276" i="57" l="1"/>
  <c r="BY286" i="57"/>
  <c r="BW286" i="57"/>
  <c r="BX286" i="57"/>
  <c r="BY285" i="57"/>
  <c r="BX285" i="57"/>
  <c r="BW285" i="57"/>
  <c r="BY283" i="57"/>
  <c r="BW283" i="57"/>
  <c r="BX283" i="57"/>
  <c r="BW282" i="57"/>
  <c r="BX282" i="57"/>
  <c r="BY282" i="57"/>
  <c r="BW280" i="57"/>
  <c r="BX280" i="57"/>
  <c r="BY280" i="57"/>
  <c r="BW279" i="57"/>
  <c r="BX279" i="57"/>
  <c r="BY279" i="57"/>
  <c r="BW277" i="57"/>
  <c r="BX277" i="57"/>
  <c r="BY277" i="57"/>
  <c r="BW276" i="57"/>
  <c r="BX276" i="57"/>
  <c r="BY249" i="57"/>
  <c r="BY274" i="57"/>
  <c r="BW274" i="57"/>
  <c r="BX274" i="57"/>
  <c r="BY273" i="57"/>
  <c r="BX273" i="57"/>
  <c r="BW273" i="57"/>
  <c r="BY271" i="57"/>
  <c r="BX271" i="57"/>
  <c r="BW271" i="57"/>
  <c r="BW270" i="57"/>
  <c r="BX270" i="57"/>
  <c r="BY270" i="57"/>
  <c r="BW268" i="57"/>
  <c r="BX268" i="57"/>
  <c r="BY268" i="57"/>
  <c r="BW267" i="57"/>
  <c r="BX267" i="57"/>
  <c r="BY267" i="57"/>
  <c r="BW265" i="57"/>
  <c r="BX265" i="57"/>
  <c r="BY265" i="57"/>
  <c r="BW264" i="57"/>
  <c r="BX264" i="57"/>
  <c r="BY264" i="57"/>
  <c r="BW262" i="57"/>
  <c r="BX262" i="57"/>
  <c r="BY262" i="57"/>
  <c r="BY261" i="57"/>
  <c r="BW261" i="57"/>
  <c r="BX261" i="57"/>
  <c r="BY259" i="57"/>
  <c r="BW259" i="57"/>
  <c r="BX259" i="57"/>
  <c r="BW258" i="57"/>
  <c r="BX258" i="57"/>
  <c r="BY258" i="57"/>
  <c r="BX256" i="57"/>
  <c r="BY256" i="57"/>
  <c r="BX255" i="57"/>
  <c r="BW249" i="57"/>
  <c r="BW255" i="57"/>
  <c r="BY255" i="57"/>
  <c r="BW253" i="57"/>
  <c r="BX253" i="57"/>
  <c r="BY253" i="57"/>
  <c r="BW252" i="57"/>
  <c r="BX252" i="57"/>
  <c r="BY252" i="57"/>
  <c r="BW250" i="57"/>
  <c r="BX250" i="57"/>
  <c r="BY250" i="57"/>
  <c r="BW237" i="57"/>
  <c r="BW247" i="57"/>
  <c r="BY235" i="57"/>
  <c r="BY247" i="57"/>
  <c r="BX130" i="57"/>
  <c r="BX247" i="57"/>
  <c r="BW246" i="57"/>
  <c r="BX246" i="57"/>
  <c r="BY246" i="57"/>
  <c r="BW244" i="57"/>
  <c r="BX244" i="57"/>
  <c r="BY244" i="57"/>
  <c r="BW243" i="57"/>
  <c r="BX243" i="57"/>
  <c r="BY243" i="57"/>
  <c r="BW241" i="57"/>
  <c r="BX241" i="57"/>
  <c r="BY241" i="57"/>
  <c r="BW240" i="57"/>
  <c r="BX240" i="57"/>
  <c r="BY240" i="57"/>
  <c r="BW238" i="57"/>
  <c r="BX238" i="57"/>
  <c r="BY238" i="57"/>
  <c r="BY237" i="57"/>
  <c r="BX237" i="57"/>
  <c r="BW232" i="57"/>
  <c r="BW235" i="57"/>
  <c r="BX235" i="57"/>
  <c r="BY216" i="57"/>
  <c r="BY234" i="57"/>
  <c r="BW234" i="57"/>
  <c r="BX234" i="57"/>
  <c r="BX232" i="57"/>
  <c r="BY232" i="57"/>
  <c r="BX231" i="57"/>
  <c r="BW213" i="57"/>
  <c r="BW231" i="57"/>
  <c r="BY231" i="57"/>
  <c r="BW229" i="57"/>
  <c r="BX229" i="57"/>
  <c r="BY229" i="57"/>
  <c r="BW228" i="57"/>
  <c r="BX228" i="57"/>
  <c r="BY228" i="57"/>
  <c r="BW226" i="57"/>
  <c r="BX226" i="57"/>
  <c r="BY226" i="57"/>
  <c r="BY225" i="57"/>
  <c r="BW225" i="57"/>
  <c r="BX225" i="57"/>
  <c r="BY223" i="57"/>
  <c r="BW223" i="57"/>
  <c r="BX223" i="57"/>
  <c r="BW222" i="57"/>
  <c r="BX222" i="57"/>
  <c r="BY222" i="57"/>
  <c r="BW220" i="57"/>
  <c r="BX220" i="57"/>
  <c r="BY220" i="57"/>
  <c r="BW219" i="57"/>
  <c r="BX219" i="57"/>
  <c r="BY219" i="57"/>
  <c r="BW217" i="57"/>
  <c r="BX217" i="57"/>
  <c r="BY217" i="57"/>
  <c r="BX216" i="57"/>
  <c r="BW216" i="57"/>
  <c r="BY103" i="57"/>
  <c r="BY214" i="57"/>
  <c r="BW214" i="57"/>
  <c r="BX214" i="57"/>
  <c r="BY213" i="57"/>
  <c r="BX213" i="57"/>
  <c r="BW196" i="57"/>
  <c r="BW211" i="57"/>
  <c r="BY211" i="57"/>
  <c r="BX211" i="57"/>
  <c r="BW210" i="57"/>
  <c r="BX210" i="57"/>
  <c r="BY210" i="57"/>
  <c r="BW208" i="57"/>
  <c r="BX208" i="57"/>
  <c r="BY208" i="57"/>
  <c r="BW207" i="57"/>
  <c r="BX207" i="57"/>
  <c r="BY207" i="57"/>
  <c r="BW205" i="57"/>
  <c r="BX205" i="57"/>
  <c r="BY205" i="57"/>
  <c r="BW204" i="57"/>
  <c r="BX204" i="57"/>
  <c r="BY204" i="57"/>
  <c r="BW202" i="57"/>
  <c r="BX202" i="57"/>
  <c r="BY202" i="57"/>
  <c r="BY201" i="57"/>
  <c r="BW201" i="57"/>
  <c r="BX201" i="57"/>
  <c r="BY199" i="57"/>
  <c r="BW199" i="57"/>
  <c r="BX199" i="57"/>
  <c r="BW198" i="57"/>
  <c r="BX198" i="57"/>
  <c r="BY198" i="57"/>
  <c r="BX196" i="57"/>
  <c r="BY196" i="57"/>
  <c r="BW184" i="57"/>
  <c r="BW195" i="57"/>
  <c r="BX195" i="57"/>
  <c r="BY195" i="57"/>
  <c r="BW193" i="57"/>
  <c r="BX193" i="57"/>
  <c r="BY193" i="57"/>
  <c r="BW192" i="57"/>
  <c r="BX192" i="57"/>
  <c r="BY192" i="57"/>
  <c r="BW190" i="57"/>
  <c r="BX190" i="57"/>
  <c r="BY190" i="57"/>
  <c r="BY189" i="57"/>
  <c r="BW189" i="57"/>
  <c r="BX189" i="57"/>
  <c r="BY187" i="57"/>
  <c r="BW187" i="57"/>
  <c r="BX187" i="57"/>
  <c r="BW186" i="57"/>
  <c r="BX186" i="57"/>
  <c r="BY186" i="57"/>
  <c r="BX184" i="57"/>
  <c r="BY184" i="57"/>
  <c r="BW177" i="57"/>
  <c r="BW183" i="57"/>
  <c r="BX183" i="57"/>
  <c r="BY183" i="57"/>
  <c r="BW181" i="57"/>
  <c r="BX181" i="57"/>
  <c r="BY181" i="57"/>
  <c r="BY180" i="57"/>
  <c r="BW180" i="57"/>
  <c r="BX180" i="57"/>
  <c r="BW178" i="57"/>
  <c r="BX178" i="57"/>
  <c r="BY178" i="57"/>
  <c r="BY177" i="57"/>
  <c r="BX177" i="57"/>
  <c r="BW160" i="57"/>
  <c r="BW175" i="57"/>
  <c r="BY175" i="57"/>
  <c r="BX175" i="57"/>
  <c r="BW174" i="57"/>
  <c r="BX174" i="57"/>
  <c r="BY174" i="57"/>
  <c r="BW172" i="57"/>
  <c r="BX172" i="57"/>
  <c r="BY172" i="57"/>
  <c r="BW171" i="57"/>
  <c r="BX171" i="57"/>
  <c r="BY171" i="57"/>
  <c r="BW169" i="57"/>
  <c r="BX169" i="57"/>
  <c r="BY169" i="57"/>
  <c r="BW168" i="57"/>
  <c r="BX168" i="57"/>
  <c r="BY168" i="57"/>
  <c r="BW166" i="57"/>
  <c r="BX166" i="57"/>
  <c r="BY166" i="57"/>
  <c r="BW165" i="57"/>
  <c r="BX165" i="57"/>
  <c r="BY165" i="57"/>
  <c r="BW163" i="57"/>
  <c r="BX163" i="57"/>
  <c r="BY163" i="57"/>
  <c r="BY162" i="57"/>
  <c r="BW162" i="57"/>
  <c r="BX162" i="57"/>
  <c r="BX160" i="57"/>
  <c r="BY160" i="57"/>
  <c r="BW148" i="57"/>
  <c r="BW159" i="57"/>
  <c r="BX159" i="57"/>
  <c r="BY159" i="57"/>
  <c r="BW151" i="57"/>
  <c r="BX151" i="57"/>
  <c r="BY151" i="57"/>
  <c r="BW150" i="57"/>
  <c r="BX150" i="57"/>
  <c r="BY150" i="57"/>
  <c r="BX148" i="57"/>
  <c r="BY148" i="57"/>
  <c r="BW141" i="57"/>
  <c r="BW147" i="57"/>
  <c r="BX147" i="57"/>
  <c r="BY147" i="57"/>
  <c r="BW145" i="57"/>
  <c r="BX145" i="57"/>
  <c r="BY145" i="57"/>
  <c r="BW144" i="57"/>
  <c r="BX144" i="57"/>
  <c r="BY144" i="57"/>
  <c r="BW142" i="57"/>
  <c r="BX142" i="57"/>
  <c r="BY142" i="57"/>
  <c r="BX141" i="57"/>
  <c r="BY141" i="57"/>
  <c r="BW136" i="57"/>
  <c r="BW139" i="57"/>
  <c r="BX139" i="57"/>
  <c r="BY139" i="57"/>
  <c r="BW138" i="57"/>
  <c r="BX138" i="57"/>
  <c r="BY138" i="57"/>
  <c r="BX136" i="57"/>
  <c r="BY136" i="57"/>
  <c r="BW117" i="57"/>
  <c r="BW135" i="57"/>
  <c r="BX135" i="57"/>
  <c r="BY135" i="57"/>
  <c r="BW133" i="57"/>
  <c r="BX133" i="57"/>
  <c r="BY133" i="57"/>
  <c r="BX132" i="57"/>
  <c r="BY132" i="57"/>
  <c r="BW132" i="57"/>
  <c r="BW130" i="57"/>
  <c r="BY130" i="57"/>
  <c r="BX81" i="57"/>
  <c r="BX129" i="57"/>
  <c r="BW129" i="57"/>
  <c r="BY129" i="57"/>
  <c r="BW127" i="57"/>
  <c r="BX127" i="57"/>
  <c r="BY127" i="57"/>
  <c r="BW126" i="57"/>
  <c r="BX126" i="57"/>
  <c r="BY126" i="57"/>
  <c r="BW124" i="57"/>
  <c r="BX124" i="57"/>
  <c r="BY124" i="57"/>
  <c r="BW123" i="57"/>
  <c r="BX123" i="57"/>
  <c r="BY123" i="57"/>
  <c r="BW121" i="57"/>
  <c r="BX121" i="57"/>
  <c r="BY121" i="57"/>
  <c r="BX120" i="57"/>
  <c r="BW120" i="57"/>
  <c r="BY120" i="57"/>
  <c r="BW118" i="57"/>
  <c r="BY118" i="57"/>
  <c r="BX118" i="57"/>
  <c r="BX117" i="57"/>
  <c r="BY117" i="57"/>
  <c r="BW112" i="57"/>
  <c r="BW115" i="57"/>
  <c r="BX115" i="57"/>
  <c r="BY115" i="57"/>
  <c r="BW114" i="57"/>
  <c r="BX114" i="57"/>
  <c r="BY114" i="57"/>
  <c r="BX112" i="57"/>
  <c r="BY112" i="57"/>
  <c r="BW105" i="57"/>
  <c r="BW111" i="57"/>
  <c r="BX111" i="57"/>
  <c r="BY111" i="57"/>
  <c r="BW109" i="57"/>
  <c r="BX109" i="57"/>
  <c r="BY109" i="57"/>
  <c r="BW108" i="57"/>
  <c r="BX108" i="57"/>
  <c r="BY108" i="57"/>
  <c r="BW106" i="57"/>
  <c r="BX106" i="57"/>
  <c r="BY106" i="57"/>
  <c r="BX105" i="57"/>
  <c r="BY105" i="57"/>
  <c r="BW88" i="57"/>
  <c r="BW103" i="57"/>
  <c r="BX103" i="57"/>
  <c r="BY91" i="57"/>
  <c r="BY102" i="57"/>
  <c r="BX102" i="57"/>
  <c r="BW102" i="57"/>
  <c r="BW100" i="57"/>
  <c r="BX100" i="57"/>
  <c r="BY100" i="57"/>
  <c r="BW99" i="57"/>
  <c r="BX99" i="57"/>
  <c r="BY99" i="57"/>
  <c r="BX97" i="57"/>
  <c r="BW97" i="57"/>
  <c r="BY97" i="57"/>
  <c r="BX96" i="57"/>
  <c r="BW96" i="57"/>
  <c r="BY96" i="57"/>
  <c r="BW94" i="57"/>
  <c r="BX94" i="57"/>
  <c r="BY94" i="57"/>
  <c r="BW93" i="57"/>
  <c r="BX93" i="57"/>
  <c r="BY93" i="57"/>
  <c r="BW91" i="57"/>
  <c r="BX91" i="57"/>
  <c r="BY69" i="57"/>
  <c r="BY90" i="57"/>
  <c r="BW90" i="57"/>
  <c r="BX90" i="57"/>
  <c r="BY88" i="57"/>
  <c r="BX88" i="57"/>
  <c r="BW137" i="57"/>
  <c r="BW87" i="57"/>
  <c r="BY87" i="57"/>
  <c r="BX87" i="57"/>
  <c r="BW85" i="57"/>
  <c r="BX85" i="57"/>
  <c r="BY85" i="57"/>
  <c r="BW84" i="57"/>
  <c r="BX84" i="57"/>
  <c r="BY84" i="57"/>
  <c r="BW82" i="57"/>
  <c r="BX82" i="57"/>
  <c r="BY82" i="57"/>
  <c r="BW81" i="57"/>
  <c r="BY81" i="57"/>
  <c r="BX69" i="57"/>
  <c r="BX79" i="57"/>
  <c r="BW79" i="57"/>
  <c r="BY79" i="57"/>
  <c r="BY78" i="57"/>
  <c r="BW78" i="57"/>
  <c r="BX78" i="57"/>
  <c r="BW76" i="57"/>
  <c r="BX76" i="57"/>
  <c r="BY76" i="57"/>
  <c r="BW75" i="57"/>
  <c r="BX75" i="57"/>
  <c r="BY75" i="57"/>
  <c r="BY73" i="57"/>
  <c r="BX73" i="57"/>
  <c r="BW73" i="57"/>
  <c r="BW72" i="57"/>
  <c r="BY72" i="57"/>
  <c r="BX72" i="57"/>
  <c r="BW70" i="57"/>
  <c r="BX70" i="57"/>
  <c r="BY70" i="57"/>
  <c r="BW69" i="57"/>
  <c r="BE59" i="57"/>
  <c r="BA61" i="57"/>
  <c r="BD59" i="57"/>
  <c r="AH455" i="57"/>
  <c r="BW98" i="57"/>
  <c r="BW110" i="57"/>
  <c r="BW122" i="57"/>
  <c r="BX149" i="57"/>
  <c r="BW170" i="57"/>
  <c r="BW182" i="57"/>
  <c r="BW194" i="57"/>
  <c r="BW242" i="57"/>
  <c r="BX257" i="57"/>
  <c r="BX281" i="57"/>
  <c r="BW290" i="57"/>
  <c r="BX305" i="57"/>
  <c r="BW314" i="57"/>
  <c r="BW362" i="57"/>
  <c r="BW386" i="57"/>
  <c r="BX401" i="57"/>
  <c r="BW410" i="57"/>
  <c r="BW434" i="57"/>
  <c r="BX98" i="57"/>
  <c r="BW71" i="57"/>
  <c r="BX74" i="57"/>
  <c r="BW83" i="57"/>
  <c r="BX122" i="57"/>
  <c r="BW155" i="57"/>
  <c r="BW167" i="57"/>
  <c r="BX230" i="57"/>
  <c r="BX422" i="57"/>
  <c r="BW431" i="57"/>
  <c r="BX95" i="57"/>
  <c r="BX143" i="57"/>
  <c r="BX239" i="57"/>
  <c r="BW248" i="57"/>
  <c r="BX263" i="57"/>
  <c r="BW272" i="57"/>
  <c r="BX287" i="57"/>
  <c r="BW296" i="57"/>
  <c r="BX311" i="57"/>
  <c r="BX335" i="57"/>
  <c r="BW344" i="57"/>
  <c r="BX383" i="57"/>
  <c r="BW392" i="57"/>
  <c r="BW416" i="57"/>
  <c r="BW440" i="57"/>
  <c r="BX221" i="57"/>
  <c r="BX128" i="57"/>
  <c r="BX140" i="57"/>
  <c r="BW149" i="57"/>
  <c r="BX164" i="57"/>
  <c r="BX176" i="57"/>
  <c r="BW221" i="57"/>
  <c r="BW233" i="57"/>
  <c r="BX248" i="57"/>
  <c r="BW257" i="57"/>
  <c r="BW281" i="57"/>
  <c r="BW305" i="57"/>
  <c r="BX320" i="57"/>
  <c r="BW329" i="57"/>
  <c r="BW353" i="57"/>
  <c r="BX368" i="57"/>
  <c r="BW377" i="57"/>
  <c r="BX392" i="57"/>
  <c r="BX416" i="57"/>
  <c r="BX440" i="57"/>
  <c r="BX161" i="57"/>
  <c r="BW107" i="57"/>
  <c r="BX194" i="57"/>
  <c r="AG455" i="57"/>
  <c r="BF61" i="57"/>
  <c r="BX227" i="57"/>
  <c r="BW86" i="57"/>
  <c r="BW206" i="57"/>
  <c r="BW254" i="57"/>
  <c r="BW302" i="57"/>
  <c r="BX365" i="57"/>
  <c r="BW398" i="57"/>
  <c r="BW422" i="57"/>
  <c r="BX134" i="57"/>
  <c r="BW239" i="57"/>
  <c r="BX254" i="57"/>
  <c r="BW263" i="57"/>
  <c r="BX278" i="57"/>
  <c r="BW287" i="57"/>
  <c r="BX302" i="57"/>
  <c r="BW311" i="57"/>
  <c r="BX326" i="57"/>
  <c r="BW335" i="57"/>
  <c r="BX350" i="57"/>
  <c r="BW359" i="57"/>
  <c r="BX374" i="57"/>
  <c r="BW383" i="57"/>
  <c r="BX398" i="57"/>
  <c r="BW407" i="57"/>
  <c r="BX83" i="57"/>
  <c r="BW116" i="57"/>
  <c r="BW128" i="57"/>
  <c r="BX191" i="57"/>
  <c r="BW200" i="57"/>
  <c r="BX215" i="57"/>
  <c r="BW224" i="57"/>
  <c r="BW260" i="57"/>
  <c r="BX299" i="57"/>
  <c r="BW308" i="57"/>
  <c r="BX323" i="57"/>
  <c r="BW380" i="57"/>
  <c r="BW404" i="57"/>
  <c r="BW77" i="57"/>
  <c r="BX92" i="57"/>
  <c r="BW101" i="57"/>
  <c r="BW113" i="57"/>
  <c r="BX188" i="57"/>
  <c r="BW197" i="57"/>
  <c r="BX212" i="57"/>
  <c r="BW245" i="57"/>
  <c r="BX284" i="57"/>
  <c r="BW365" i="57"/>
  <c r="BX380" i="57"/>
  <c r="BX101" i="57"/>
  <c r="BX71" i="57"/>
  <c r="BX110" i="57"/>
  <c r="BW80" i="57"/>
  <c r="BX80" i="57"/>
  <c r="BW173" i="57"/>
  <c r="AI455" i="57"/>
  <c r="BX146" i="57"/>
  <c r="BX119" i="57"/>
  <c r="BX89" i="57"/>
  <c r="BX125" i="57"/>
  <c r="BX137" i="57"/>
  <c r="BW146" i="57"/>
  <c r="BX173" i="57"/>
  <c r="BX197" i="57"/>
  <c r="BW218" i="57"/>
  <c r="BW230" i="57"/>
  <c r="BX245" i="57"/>
  <c r="BX269" i="57"/>
  <c r="BW278" i="57"/>
  <c r="BX293" i="57"/>
  <c r="BX317" i="57"/>
  <c r="BW326" i="57"/>
  <c r="BX341" i="57"/>
  <c r="BW350" i="57"/>
  <c r="BW374" i="57"/>
  <c r="BX389" i="57"/>
  <c r="BX413" i="57"/>
  <c r="BX437" i="57"/>
  <c r="BX155" i="57"/>
  <c r="BX86" i="57"/>
  <c r="BW119" i="57"/>
  <c r="BX170" i="57"/>
  <c r="BW179" i="57"/>
  <c r="BX206" i="57"/>
  <c r="BW215" i="57"/>
  <c r="BW251" i="57"/>
  <c r="BW275" i="57"/>
  <c r="BX290" i="57"/>
  <c r="BW299" i="57"/>
  <c r="BX314" i="57"/>
  <c r="BX338" i="57"/>
  <c r="BW164" i="57"/>
  <c r="BW176" i="57"/>
  <c r="BW212" i="57"/>
  <c r="BW236" i="57"/>
  <c r="BX251" i="57"/>
  <c r="BX275" i="57"/>
  <c r="BW284" i="57"/>
  <c r="BW332" i="57"/>
  <c r="BX347" i="57"/>
  <c r="BW356" i="57"/>
  <c r="BX371" i="57"/>
  <c r="BX395" i="57"/>
  <c r="BX419" i="57"/>
  <c r="BW428" i="57"/>
  <c r="BX443" i="57"/>
  <c r="BW89" i="57"/>
  <c r="BW125" i="57"/>
  <c r="BX152" i="57"/>
  <c r="BW161" i="57"/>
  <c r="BX236" i="57"/>
  <c r="BX260" i="57"/>
  <c r="BW269" i="57"/>
  <c r="BW293" i="57"/>
  <c r="BX308" i="57"/>
  <c r="BW317" i="57"/>
  <c r="BX332" i="57"/>
  <c r="BW341" i="57"/>
  <c r="BX356" i="57"/>
  <c r="BW389" i="57"/>
  <c r="BX404" i="57"/>
  <c r="BW413" i="57"/>
  <c r="BX428" i="57"/>
  <c r="BW437" i="57"/>
  <c r="BW74" i="57"/>
  <c r="BX113" i="57"/>
  <c r="BX185" i="57"/>
  <c r="BX158" i="57"/>
  <c r="BX77" i="57"/>
  <c r="BW158" i="57"/>
  <c r="BX209" i="57"/>
  <c r="BX233" i="57"/>
  <c r="BW266" i="57"/>
  <c r="BX329" i="57"/>
  <c r="BW338" i="57"/>
  <c r="BX353" i="57"/>
  <c r="BX377" i="57"/>
  <c r="BX425" i="57"/>
  <c r="BX179" i="57"/>
  <c r="BW143" i="57"/>
  <c r="BX107" i="57"/>
  <c r="BW95" i="57"/>
  <c r="BW131" i="57"/>
  <c r="BX182" i="57"/>
  <c r="BW191" i="57"/>
  <c r="BW203" i="57"/>
  <c r="BX218" i="57"/>
  <c r="BW227" i="57"/>
  <c r="BX242" i="57"/>
  <c r="BX266" i="57"/>
  <c r="BW323" i="57"/>
  <c r="BW347" i="57"/>
  <c r="BX362" i="57"/>
  <c r="BW371" i="57"/>
  <c r="BX386" i="57"/>
  <c r="BW395" i="57"/>
  <c r="BX410" i="57"/>
  <c r="BW419" i="57"/>
  <c r="BX434" i="57"/>
  <c r="BW443" i="57"/>
  <c r="BW92" i="57"/>
  <c r="BX131" i="57"/>
  <c r="BW140" i="57"/>
  <c r="BW152" i="57"/>
  <c r="BW188" i="57"/>
  <c r="BX203" i="57"/>
  <c r="BW320" i="57"/>
  <c r="BX359" i="57"/>
  <c r="BW368" i="57"/>
  <c r="BX407" i="57"/>
  <c r="BX431" i="57"/>
  <c r="BX224" i="57"/>
  <c r="BX116" i="57"/>
  <c r="BW185" i="57"/>
  <c r="BX200" i="57"/>
  <c r="BW209" i="57"/>
  <c r="BX272" i="57"/>
  <c r="BX296" i="57"/>
  <c r="BX344" i="57"/>
  <c r="BW401" i="57"/>
  <c r="BW425" i="57"/>
  <c r="BW134" i="57"/>
  <c r="BW104" i="57"/>
  <c r="BX167" i="57"/>
  <c r="BX104" i="57"/>
  <c r="AV60" i="57"/>
  <c r="AV61" i="57"/>
  <c r="BF60" i="57"/>
  <c r="BA60" i="57"/>
  <c r="AI14" i="57"/>
  <c r="AI17" i="57" s="1"/>
  <c r="AG14" i="57"/>
  <c r="AG17" i="57" s="1"/>
  <c r="AH14" i="57"/>
  <c r="AH17" i="57" s="1"/>
  <c r="S66" i="36"/>
  <c r="T66" i="36"/>
  <c r="AG62" i="36"/>
  <c r="AH62" i="36"/>
  <c r="AI62" i="36"/>
  <c r="AJ62" i="36"/>
  <c r="AG49" i="36"/>
  <c r="AH49" i="36"/>
  <c r="AI49" i="36"/>
  <c r="AG55" i="36"/>
  <c r="AH55" i="36"/>
  <c r="AI55" i="36"/>
  <c r="AG320" i="36"/>
  <c r="AH320" i="36"/>
  <c r="AI320" i="36"/>
  <c r="AG323" i="36"/>
  <c r="AH323" i="36"/>
  <c r="AI323" i="36"/>
  <c r="AG326" i="36"/>
  <c r="AH326" i="36"/>
  <c r="AI326" i="36"/>
  <c r="AG329" i="36"/>
  <c r="AH329" i="36"/>
  <c r="AI329" i="36"/>
  <c r="AG332" i="36"/>
  <c r="AH332" i="36"/>
  <c r="AI332" i="36"/>
  <c r="AG335" i="36"/>
  <c r="AH335" i="36"/>
  <c r="AI335" i="36"/>
  <c r="AG338" i="36"/>
  <c r="AH338" i="36"/>
  <c r="AI338" i="36"/>
  <c r="AG341" i="36"/>
  <c r="AH341" i="36"/>
  <c r="AI341" i="36"/>
  <c r="AG344" i="36"/>
  <c r="AH344" i="36"/>
  <c r="AI344" i="36"/>
  <c r="AG347" i="36"/>
  <c r="AH347" i="36"/>
  <c r="AI347" i="36"/>
  <c r="AG350" i="36"/>
  <c r="AH350" i="36"/>
  <c r="AI350" i="36"/>
  <c r="AG353" i="36"/>
  <c r="AH353" i="36"/>
  <c r="AI353" i="36"/>
  <c r="AG356" i="36"/>
  <c r="AH356" i="36"/>
  <c r="AI356" i="36"/>
  <c r="AG359" i="36"/>
  <c r="AH359" i="36"/>
  <c r="AI359" i="36"/>
  <c r="AG362" i="36"/>
  <c r="AH362" i="36"/>
  <c r="AI362" i="36"/>
  <c r="AG365" i="36"/>
  <c r="AH365" i="36"/>
  <c r="AI365" i="36"/>
  <c r="AG368" i="36"/>
  <c r="AH368" i="36"/>
  <c r="AI368" i="36"/>
  <c r="AG371" i="36"/>
  <c r="AH371" i="36"/>
  <c r="AI371" i="36"/>
  <c r="AG374" i="36"/>
  <c r="AH374" i="36"/>
  <c r="AI374" i="36"/>
  <c r="AG377" i="36"/>
  <c r="AH377" i="36"/>
  <c r="AI377" i="36"/>
  <c r="AG380" i="36"/>
  <c r="AH380" i="36"/>
  <c r="AI380" i="36"/>
  <c r="AG383" i="36"/>
  <c r="AH383" i="36"/>
  <c r="AI383" i="36"/>
  <c r="AG386" i="36"/>
  <c r="AH386" i="36"/>
  <c r="AI386" i="36"/>
  <c r="AG389" i="36"/>
  <c r="AH389" i="36"/>
  <c r="AI389" i="36"/>
  <c r="AG392" i="36"/>
  <c r="AH392" i="36"/>
  <c r="AI392" i="36"/>
  <c r="AG395" i="36"/>
  <c r="AH395" i="36"/>
  <c r="AI395" i="36"/>
  <c r="AG398" i="36"/>
  <c r="AH398" i="36"/>
  <c r="AI398" i="36"/>
  <c r="AG401" i="36"/>
  <c r="AH401" i="36"/>
  <c r="AI401" i="36"/>
  <c r="AG404" i="36"/>
  <c r="AH404" i="36"/>
  <c r="AI404" i="36"/>
  <c r="AG407" i="36"/>
  <c r="AH407" i="36"/>
  <c r="AI407" i="36"/>
  <c r="AG410" i="36"/>
  <c r="AH410" i="36"/>
  <c r="AI410" i="36"/>
  <c r="AG413" i="36"/>
  <c r="AH413" i="36"/>
  <c r="AI413" i="36"/>
  <c r="AG416" i="36"/>
  <c r="AH416" i="36"/>
  <c r="AI416" i="36"/>
  <c r="AG419" i="36"/>
  <c r="AH419" i="36"/>
  <c r="AI419" i="36"/>
  <c r="AG422" i="36"/>
  <c r="AH422" i="36"/>
  <c r="AI422" i="36"/>
  <c r="AG425" i="36"/>
  <c r="AH425" i="36"/>
  <c r="AI425" i="36"/>
  <c r="AG428" i="36"/>
  <c r="AH428" i="36"/>
  <c r="AI428" i="36"/>
  <c r="AG431" i="36"/>
  <c r="AH431" i="36"/>
  <c r="AI431" i="36"/>
  <c r="AG434" i="36"/>
  <c r="AH434" i="36"/>
  <c r="AI434" i="36"/>
  <c r="AG437" i="36"/>
  <c r="AH437" i="36"/>
  <c r="AI437" i="36"/>
  <c r="AG440" i="36"/>
  <c r="AH440" i="36"/>
  <c r="AI440" i="36"/>
  <c r="AG443" i="36"/>
  <c r="AH443" i="36"/>
  <c r="AI443" i="36"/>
  <c r="BY57" i="57" l="1"/>
  <c r="BW57" i="57"/>
  <c r="BX58" i="57"/>
  <c r="BW58" i="57"/>
  <c r="BY58" i="57"/>
  <c r="BX57" i="57"/>
  <c r="BW59" i="57"/>
  <c r="BW63" i="57" s="1"/>
  <c r="BX59" i="57"/>
  <c r="BX63" i="57" s="1"/>
  <c r="BD422" i="36"/>
  <c r="BE365" i="36"/>
  <c r="BD350" i="36"/>
  <c r="BD326" i="36"/>
  <c r="BD302" i="36"/>
  <c r="BE245" i="36"/>
  <c r="BE197" i="36"/>
  <c r="BE149" i="36"/>
  <c r="BD134" i="36"/>
  <c r="BE125" i="36"/>
  <c r="BD110" i="36"/>
  <c r="BD86" i="36"/>
  <c r="BE428" i="36"/>
  <c r="BE356" i="36"/>
  <c r="BD341" i="36"/>
  <c r="BE284" i="36"/>
  <c r="BE260" i="36"/>
  <c r="BE212" i="36"/>
  <c r="BE164" i="36"/>
  <c r="BE116" i="36"/>
  <c r="BD428" i="36"/>
  <c r="BD380" i="36"/>
  <c r="BD356" i="36"/>
  <c r="BE299" i="36"/>
  <c r="BD284" i="36"/>
  <c r="BD260" i="36"/>
  <c r="BD212" i="36"/>
  <c r="BE203" i="36"/>
  <c r="BD188" i="36"/>
  <c r="BD140" i="36"/>
  <c r="BD116" i="36"/>
  <c r="BE107" i="36"/>
  <c r="BD419" i="36"/>
  <c r="BE410" i="36"/>
  <c r="BD395" i="36"/>
  <c r="BE386" i="36"/>
  <c r="BD371" i="36"/>
  <c r="BE362" i="36"/>
  <c r="BD347" i="36"/>
  <c r="BE437" i="36"/>
  <c r="BE389" i="36"/>
  <c r="BD374" i="36"/>
  <c r="BE317" i="36"/>
  <c r="BE293" i="36"/>
  <c r="BD278" i="36"/>
  <c r="BD206" i="36"/>
  <c r="BE77" i="36"/>
  <c r="BD437" i="36"/>
  <c r="BD413" i="36"/>
  <c r="BD389" i="36"/>
  <c r="BD365" i="36"/>
  <c r="BE308" i="36"/>
  <c r="BD293" i="36"/>
  <c r="BD269" i="36"/>
  <c r="BD245" i="36"/>
  <c r="BD221" i="36"/>
  <c r="BD197" i="36"/>
  <c r="BD173" i="36"/>
  <c r="BD149" i="36"/>
  <c r="BD125" i="36"/>
  <c r="BD77" i="36"/>
  <c r="BE419" i="36"/>
  <c r="BD404" i="36"/>
  <c r="BE347" i="36"/>
  <c r="BD332" i="36"/>
  <c r="BD308" i="36"/>
  <c r="BE251" i="36"/>
  <c r="BE227" i="36"/>
  <c r="BD323" i="36"/>
  <c r="BE413" i="36"/>
  <c r="BD398" i="36"/>
  <c r="BE341" i="36"/>
  <c r="BE269" i="36"/>
  <c r="BD254" i="36"/>
  <c r="BD230" i="36"/>
  <c r="BE221" i="36"/>
  <c r="BD182" i="36"/>
  <c r="BE173" i="36"/>
  <c r="BD158" i="36"/>
  <c r="BE101" i="36"/>
  <c r="BE404" i="36"/>
  <c r="BE380" i="36"/>
  <c r="BE332" i="36"/>
  <c r="BD317" i="36"/>
  <c r="BE236" i="36"/>
  <c r="BE188" i="36"/>
  <c r="BE140" i="36"/>
  <c r="BD101" i="36"/>
  <c r="BE92" i="36"/>
  <c r="BE443" i="36"/>
  <c r="BE395" i="36"/>
  <c r="BE371" i="36"/>
  <c r="BE323" i="36"/>
  <c r="BE275" i="36"/>
  <c r="BD236" i="36"/>
  <c r="BE179" i="36"/>
  <c r="BD164" i="36"/>
  <c r="BE155" i="36"/>
  <c r="BE131" i="36"/>
  <c r="BD92" i="36"/>
  <c r="BE83" i="36"/>
  <c r="BD443" i="36"/>
  <c r="BE434" i="36"/>
  <c r="BE338" i="36"/>
  <c r="BE314" i="36"/>
  <c r="BE290" i="36"/>
  <c r="BD299" i="36"/>
  <c r="BE440" i="36"/>
  <c r="BD425" i="36"/>
  <c r="BE416" i="36"/>
  <c r="BD401" i="36"/>
  <c r="BE392" i="36"/>
  <c r="BD377" i="36"/>
  <c r="BE368" i="36"/>
  <c r="BD353" i="36"/>
  <c r="BE344" i="36"/>
  <c r="BD329" i="36"/>
  <c r="BE320" i="36"/>
  <c r="BD305" i="36"/>
  <c r="BE296" i="36"/>
  <c r="BD281" i="36"/>
  <c r="BE272" i="36"/>
  <c r="BD257" i="36"/>
  <c r="BE248" i="36"/>
  <c r="BD233" i="36"/>
  <c r="BE224" i="36"/>
  <c r="BD209" i="36"/>
  <c r="BE200" i="36"/>
  <c r="BD185" i="36"/>
  <c r="BE176" i="36"/>
  <c r="BD161" i="36"/>
  <c r="BE152" i="36"/>
  <c r="BD137" i="36"/>
  <c r="BE128" i="36"/>
  <c r="BD113" i="36"/>
  <c r="BE104" i="36"/>
  <c r="BD275" i="36"/>
  <c r="BD440" i="36"/>
  <c r="BE431" i="36"/>
  <c r="BD416" i="36"/>
  <c r="BE407" i="36"/>
  <c r="BD392" i="36"/>
  <c r="BE383" i="36"/>
  <c r="BD368" i="36"/>
  <c r="BE359" i="36"/>
  <c r="BD344" i="36"/>
  <c r="BE335" i="36"/>
  <c r="BD320" i="36"/>
  <c r="BE311" i="36"/>
  <c r="BD296" i="36"/>
  <c r="BE287" i="36"/>
  <c r="BD272" i="36"/>
  <c r="BE263" i="36"/>
  <c r="BD248" i="36"/>
  <c r="BE239" i="36"/>
  <c r="BD224" i="36"/>
  <c r="BE215" i="36"/>
  <c r="BD200" i="36"/>
  <c r="BE191" i="36"/>
  <c r="BD176" i="36"/>
  <c r="BE167" i="36"/>
  <c r="BD152" i="36"/>
  <c r="BE143" i="36"/>
  <c r="BD128" i="36"/>
  <c r="BE119" i="36"/>
  <c r="BD104" i="36"/>
  <c r="BE95" i="36"/>
  <c r="BD80" i="36"/>
  <c r="BE71" i="36"/>
  <c r="BD89" i="36"/>
  <c r="BE80" i="36"/>
  <c r="BE266" i="36"/>
  <c r="BD251" i="36"/>
  <c r="BE242" i="36"/>
  <c r="BD227" i="36"/>
  <c r="BE218" i="36"/>
  <c r="BD203" i="36"/>
  <c r="BE194" i="36"/>
  <c r="BD179" i="36"/>
  <c r="BE170" i="36"/>
  <c r="BD155" i="36"/>
  <c r="BE146" i="36"/>
  <c r="BD131" i="36"/>
  <c r="BE122" i="36"/>
  <c r="BD107" i="36"/>
  <c r="BE98" i="36"/>
  <c r="BD83" i="36"/>
  <c r="BE74" i="36"/>
  <c r="BD434" i="36"/>
  <c r="BE425" i="36"/>
  <c r="BD410" i="36"/>
  <c r="BE401" i="36"/>
  <c r="BD386" i="36"/>
  <c r="BE377" i="36"/>
  <c r="BD362" i="36"/>
  <c r="BE353" i="36"/>
  <c r="BD338" i="36"/>
  <c r="BE329" i="36"/>
  <c r="BD314" i="36"/>
  <c r="BE305" i="36"/>
  <c r="BD290" i="36"/>
  <c r="BE281" i="36"/>
  <c r="BD266" i="36"/>
  <c r="BE257" i="36"/>
  <c r="BD242" i="36"/>
  <c r="BE233" i="36"/>
  <c r="BD218" i="36"/>
  <c r="BE209" i="36"/>
  <c r="BD194" i="36"/>
  <c r="BE185" i="36"/>
  <c r="BD170" i="36"/>
  <c r="BE161" i="36"/>
  <c r="BD146" i="36"/>
  <c r="BE137" i="36"/>
  <c r="BD122" i="36"/>
  <c r="BE113" i="36"/>
  <c r="BD98" i="36"/>
  <c r="BE89" i="36"/>
  <c r="BD74" i="36"/>
  <c r="BD431" i="36"/>
  <c r="BE422" i="36"/>
  <c r="BD407" i="36"/>
  <c r="BE398" i="36"/>
  <c r="BD383" i="36"/>
  <c r="BE374" i="36"/>
  <c r="BD359" i="36"/>
  <c r="BE350" i="36"/>
  <c r="BD335" i="36"/>
  <c r="BE326" i="36"/>
  <c r="BD311" i="36"/>
  <c r="BE302" i="36"/>
  <c r="BD287" i="36"/>
  <c r="BE278" i="36"/>
  <c r="BD263" i="36"/>
  <c r="BE254" i="36"/>
  <c r="BD239" i="36"/>
  <c r="BE230" i="36"/>
  <c r="BD215" i="36"/>
  <c r="BE206" i="36"/>
  <c r="BD191" i="36"/>
  <c r="BE182" i="36"/>
  <c r="BD167" i="36"/>
  <c r="BE158" i="36"/>
  <c r="BD143" i="36"/>
  <c r="BE134" i="36"/>
  <c r="BD119" i="36"/>
  <c r="BE110" i="36"/>
  <c r="BD95" i="36"/>
  <c r="BE86" i="36"/>
  <c r="BD71" i="36"/>
  <c r="AG13" i="36"/>
  <c r="AH57" i="36"/>
  <c r="AI13" i="36"/>
  <c r="AG57" i="36"/>
  <c r="AI57" i="36"/>
  <c r="AH13" i="36"/>
  <c r="AG68" i="36"/>
  <c r="BC68" i="36" s="1"/>
  <c r="AH68" i="36"/>
  <c r="BD68" i="36" s="1"/>
  <c r="AI68" i="36"/>
  <c r="BE68" i="36" s="1"/>
  <c r="AG15" i="36"/>
  <c r="AH15" i="36"/>
  <c r="AI15" i="36"/>
  <c r="AJ15" i="36"/>
  <c r="AI12" i="36" l="1"/>
  <c r="AG12" i="36"/>
  <c r="AH12" i="36"/>
  <c r="BW350" i="36"/>
  <c r="BW253" i="36"/>
  <c r="BW252" i="36"/>
  <c r="BW250" i="36"/>
  <c r="BW249" i="36"/>
  <c r="BW247" i="36"/>
  <c r="BW246" i="36"/>
  <c r="BW244" i="36"/>
  <c r="BW243" i="36"/>
  <c r="BW241" i="36"/>
  <c r="BW240" i="36"/>
  <c r="BW238" i="36"/>
  <c r="BW237" i="36"/>
  <c r="BW232" i="36"/>
  <c r="BW231" i="36"/>
  <c r="BW229" i="36"/>
  <c r="BW228" i="36"/>
  <c r="BW226" i="36"/>
  <c r="BW225" i="36"/>
  <c r="BW223" i="36"/>
  <c r="BW222" i="36"/>
  <c r="BW220" i="36"/>
  <c r="BW219" i="36"/>
  <c r="BW217" i="36"/>
  <c r="BW216" i="36"/>
  <c r="BW214" i="36"/>
  <c r="BW213" i="36"/>
  <c r="BW211" i="36"/>
  <c r="BW210" i="36"/>
  <c r="BW208" i="36"/>
  <c r="BW207" i="36"/>
  <c r="BW205" i="36"/>
  <c r="BW204" i="36"/>
  <c r="BW202" i="36"/>
  <c r="BW201" i="36"/>
  <c r="BW199" i="36"/>
  <c r="BW198" i="36"/>
  <c r="BW196" i="36"/>
  <c r="BW195" i="36"/>
  <c r="BW193" i="36"/>
  <c r="BW192" i="36"/>
  <c r="BW190" i="36"/>
  <c r="BW189" i="36"/>
  <c r="BW187" i="36"/>
  <c r="BW186" i="36"/>
  <c r="BW184" i="36"/>
  <c r="BW183" i="36"/>
  <c r="BW181" i="36"/>
  <c r="BW180" i="36"/>
  <c r="BW178" i="36"/>
  <c r="BW177" i="36"/>
  <c r="BW175" i="36"/>
  <c r="BW174" i="36"/>
  <c r="BW172" i="36"/>
  <c r="BW171" i="36"/>
  <c r="BW169" i="36"/>
  <c r="BW168" i="36"/>
  <c r="BW166" i="36"/>
  <c r="BW165" i="36"/>
  <c r="BW163" i="36"/>
  <c r="BW162" i="36"/>
  <c r="BW160" i="36"/>
  <c r="BW159" i="36"/>
  <c r="BW157" i="36"/>
  <c r="BW156" i="36"/>
  <c r="BW154" i="36"/>
  <c r="BW153" i="36"/>
  <c r="BW151" i="36"/>
  <c r="BW150" i="36"/>
  <c r="BW148" i="36"/>
  <c r="BW147" i="36"/>
  <c r="BW145" i="36"/>
  <c r="BW144" i="36"/>
  <c r="BW142" i="36"/>
  <c r="BW141" i="36"/>
  <c r="BW139" i="36"/>
  <c r="BW138" i="36"/>
  <c r="BW136" i="36"/>
  <c r="BW135" i="36"/>
  <c r="BW133" i="36"/>
  <c r="BW132" i="36"/>
  <c r="BW130" i="36"/>
  <c r="BW129" i="36"/>
  <c r="BW127" i="36"/>
  <c r="BW126" i="36"/>
  <c r="BW124" i="36"/>
  <c r="BW123" i="36"/>
  <c r="BW114" i="36"/>
  <c r="BW105" i="36"/>
  <c r="BW99" i="36"/>
  <c r="BW90" i="36"/>
  <c r="BW81" i="36"/>
  <c r="BW75" i="36"/>
  <c r="BW121" i="36"/>
  <c r="BW118" i="36"/>
  <c r="BW115" i="36"/>
  <c r="BW112" i="36"/>
  <c r="BW109" i="36"/>
  <c r="BW106" i="36"/>
  <c r="BW103" i="36"/>
  <c r="BW100" i="36"/>
  <c r="BW97" i="36"/>
  <c r="BW94" i="36"/>
  <c r="BW91" i="36"/>
  <c r="BW88" i="36"/>
  <c r="BW85" i="36"/>
  <c r="BW82" i="36"/>
  <c r="BW79" i="36"/>
  <c r="BW76" i="36"/>
  <c r="BW73" i="36"/>
  <c r="BW70" i="36"/>
  <c r="BW117" i="36"/>
  <c r="BW111" i="36"/>
  <c r="BW102" i="36"/>
  <c r="BW93" i="36"/>
  <c r="BW87" i="36"/>
  <c r="BW78" i="36"/>
  <c r="BW69" i="36"/>
  <c r="BW120" i="36"/>
  <c r="BW108" i="36"/>
  <c r="BW96" i="36"/>
  <c r="BW84" i="36"/>
  <c r="BW72" i="36"/>
  <c r="BX252" i="36"/>
  <c r="BX249" i="36"/>
  <c r="BX246" i="36"/>
  <c r="BX243" i="36"/>
  <c r="BX240" i="36"/>
  <c r="BX237" i="36"/>
  <c r="BX231" i="36"/>
  <c r="BX228" i="36"/>
  <c r="BX225" i="36"/>
  <c r="BX222" i="36"/>
  <c r="BX219" i="36"/>
  <c r="BX216" i="36"/>
  <c r="BX213" i="36"/>
  <c r="BX210" i="36"/>
  <c r="BX207" i="36"/>
  <c r="BX204" i="36"/>
  <c r="BX201" i="36"/>
  <c r="BX198" i="36"/>
  <c r="BX195" i="36"/>
  <c r="BX192" i="36"/>
  <c r="BX189" i="36"/>
  <c r="BX186" i="36"/>
  <c r="BX183" i="36"/>
  <c r="BX180" i="36"/>
  <c r="BX177" i="36"/>
  <c r="BX174" i="36"/>
  <c r="BX171" i="36"/>
  <c r="BX168" i="36"/>
  <c r="BX165" i="36"/>
  <c r="BX162" i="36"/>
  <c r="BX159" i="36"/>
  <c r="BX156" i="36"/>
  <c r="BX153" i="36"/>
  <c r="BX150" i="36"/>
  <c r="BX147" i="36"/>
  <c r="BX144" i="36"/>
  <c r="BX141" i="36"/>
  <c r="BX138" i="36"/>
  <c r="BX135" i="36"/>
  <c r="BX132" i="36"/>
  <c r="BX129" i="36"/>
  <c r="BX126" i="36"/>
  <c r="BX123" i="36"/>
  <c r="BX121" i="36"/>
  <c r="BX120" i="36"/>
  <c r="BX118" i="36"/>
  <c r="BX117" i="36"/>
  <c r="BX115" i="36"/>
  <c r="BX114" i="36"/>
  <c r="BX112" i="36"/>
  <c r="BX111" i="36"/>
  <c r="BX109" i="36"/>
  <c r="BX108" i="36"/>
  <c r="BX106" i="36"/>
  <c r="BX105" i="36"/>
  <c r="BX103" i="36"/>
  <c r="BX102" i="36"/>
  <c r="BX100" i="36"/>
  <c r="BX99" i="36"/>
  <c r="BX97" i="36"/>
  <c r="BX96" i="36"/>
  <c r="BX94" i="36"/>
  <c r="BX93" i="36"/>
  <c r="BX91" i="36"/>
  <c r="BX90" i="36"/>
  <c r="BX88" i="36"/>
  <c r="BX87" i="36"/>
  <c r="BX85" i="36"/>
  <c r="BX84" i="36"/>
  <c r="BX82" i="36"/>
  <c r="BX81" i="36"/>
  <c r="BX79" i="36"/>
  <c r="BX78" i="36"/>
  <c r="BX76" i="36"/>
  <c r="BX75" i="36"/>
  <c r="BX73" i="36"/>
  <c r="BX72" i="36"/>
  <c r="BX70" i="36"/>
  <c r="BX69" i="36"/>
  <c r="BX247" i="36"/>
  <c r="BX226" i="36"/>
  <c r="BX214" i="36"/>
  <c r="BX205" i="36"/>
  <c r="BX199" i="36"/>
  <c r="BX193" i="36"/>
  <c r="BX187" i="36"/>
  <c r="BX181" i="36"/>
  <c r="BX175" i="36"/>
  <c r="BX169" i="36"/>
  <c r="BX163" i="36"/>
  <c r="BX157" i="36"/>
  <c r="BX151" i="36"/>
  <c r="BX145" i="36"/>
  <c r="BX139" i="36"/>
  <c r="BX133" i="36"/>
  <c r="BX127" i="36"/>
  <c r="BX217" i="36"/>
  <c r="BX244" i="36"/>
  <c r="BX238" i="36"/>
  <c r="BX223" i="36"/>
  <c r="BX211" i="36"/>
  <c r="BX241" i="36"/>
  <c r="BX229" i="36"/>
  <c r="BX253" i="36"/>
  <c r="BX232" i="36"/>
  <c r="BX220" i="36"/>
  <c r="BX208" i="36"/>
  <c r="BX202" i="36"/>
  <c r="BX196" i="36"/>
  <c r="BX190" i="36"/>
  <c r="BX184" i="36"/>
  <c r="BX178" i="36"/>
  <c r="BX172" i="36"/>
  <c r="BX166" i="36"/>
  <c r="BX160" i="36"/>
  <c r="BX154" i="36"/>
  <c r="BX148" i="36"/>
  <c r="BX142" i="36"/>
  <c r="BX136" i="36"/>
  <c r="BX130" i="36"/>
  <c r="BX124" i="36"/>
  <c r="BX250" i="36"/>
  <c r="BY252" i="36"/>
  <c r="BY249" i="36"/>
  <c r="BY246" i="36"/>
  <c r="BY243" i="36"/>
  <c r="BY237" i="36"/>
  <c r="BY231" i="36"/>
  <c r="BY228" i="36"/>
  <c r="BY225" i="36"/>
  <c r="BY222" i="36"/>
  <c r="BY219" i="36"/>
  <c r="BY216" i="36"/>
  <c r="BY213" i="36"/>
  <c r="BY210" i="36"/>
  <c r="BY207" i="36"/>
  <c r="BY204" i="36"/>
  <c r="BY201" i="36"/>
  <c r="BY198" i="36"/>
  <c r="BY195" i="36"/>
  <c r="BY192" i="36"/>
  <c r="BY189" i="36"/>
  <c r="BY186" i="36"/>
  <c r="BY183" i="36"/>
  <c r="BY180" i="36"/>
  <c r="BY177" i="36"/>
  <c r="BY174" i="36"/>
  <c r="BY171" i="36"/>
  <c r="BY168" i="36"/>
  <c r="BY165" i="36"/>
  <c r="BY162" i="36"/>
  <c r="BY159" i="36"/>
  <c r="BY156" i="36"/>
  <c r="BY153" i="36"/>
  <c r="BY150" i="36"/>
  <c r="BY147" i="36"/>
  <c r="BY144" i="36"/>
  <c r="BY141" i="36"/>
  <c r="BY138" i="36"/>
  <c r="BY135" i="36"/>
  <c r="BY132" i="36"/>
  <c r="BY129" i="36"/>
  <c r="BY126" i="36"/>
  <c r="BY123" i="36"/>
  <c r="BY121" i="36"/>
  <c r="BY120" i="36"/>
  <c r="BY118" i="36"/>
  <c r="BY117" i="36"/>
  <c r="BY115" i="36"/>
  <c r="BY114" i="36"/>
  <c r="BY112" i="36"/>
  <c r="BY111" i="36"/>
  <c r="BY109" i="36"/>
  <c r="BY108" i="36"/>
  <c r="BY106" i="36"/>
  <c r="BY105" i="36"/>
  <c r="BY103" i="36"/>
  <c r="BY102" i="36"/>
  <c r="BY100" i="36"/>
  <c r="BY99" i="36"/>
  <c r="BY97" i="36"/>
  <c r="BY96" i="36"/>
  <c r="BY94" i="36"/>
  <c r="BY93" i="36"/>
  <c r="BY91" i="36"/>
  <c r="BY90" i="36"/>
  <c r="BY88" i="36"/>
  <c r="BY87" i="36"/>
  <c r="BY85" i="36"/>
  <c r="BY84" i="36"/>
  <c r="BY82" i="36"/>
  <c r="BY81" i="36"/>
  <c r="BY79" i="36"/>
  <c r="BY78" i="36"/>
  <c r="BY76" i="36"/>
  <c r="BY75" i="36"/>
  <c r="BY73" i="36"/>
  <c r="BY72" i="36"/>
  <c r="BY70" i="36"/>
  <c r="BY69" i="36"/>
  <c r="BY253" i="36"/>
  <c r="BY247" i="36"/>
  <c r="BY238" i="36"/>
  <c r="BY229" i="36"/>
  <c r="BY223" i="36"/>
  <c r="BY217" i="36"/>
  <c r="BY211" i="36"/>
  <c r="BY208" i="36"/>
  <c r="BY250" i="36"/>
  <c r="BY244" i="36"/>
  <c r="BY232" i="36"/>
  <c r="BY226" i="36"/>
  <c r="BY220" i="36"/>
  <c r="BY214" i="36"/>
  <c r="BY193" i="36"/>
  <c r="BY175" i="36"/>
  <c r="BY163" i="36"/>
  <c r="BY145" i="36"/>
  <c r="BY133" i="36"/>
  <c r="BY202" i="36"/>
  <c r="BY196" i="36"/>
  <c r="BY190" i="36"/>
  <c r="BY184" i="36"/>
  <c r="BY178" i="36"/>
  <c r="BY172" i="36"/>
  <c r="BY166" i="36"/>
  <c r="BY160" i="36"/>
  <c r="BY154" i="36"/>
  <c r="BY148" i="36"/>
  <c r="BY142" i="36"/>
  <c r="BY136" i="36"/>
  <c r="BY130" i="36"/>
  <c r="BY124" i="36"/>
  <c r="BY199" i="36"/>
  <c r="BY181" i="36"/>
  <c r="BY169" i="36"/>
  <c r="BY151" i="36"/>
  <c r="BY127" i="36"/>
  <c r="BY205" i="36"/>
  <c r="BY187" i="36"/>
  <c r="BY157" i="36"/>
  <c r="BY139" i="36"/>
  <c r="AH455" i="36"/>
  <c r="BX134" i="36"/>
  <c r="BX326" i="36"/>
  <c r="BW80" i="36"/>
  <c r="BW272" i="36"/>
  <c r="BW83" i="36"/>
  <c r="BX104" i="36"/>
  <c r="BW257" i="36"/>
  <c r="BX296" i="36"/>
  <c r="BW377" i="36"/>
  <c r="BW146" i="36"/>
  <c r="BW179" i="36"/>
  <c r="BW398" i="36"/>
  <c r="BW269" i="36"/>
  <c r="BW365" i="36"/>
  <c r="BW284" i="36"/>
  <c r="AG455" i="36"/>
  <c r="BW143" i="36"/>
  <c r="BW335" i="36"/>
  <c r="BW200" i="36"/>
  <c r="BW392" i="36"/>
  <c r="BW107" i="36"/>
  <c r="BW185" i="36"/>
  <c r="BW266" i="36"/>
  <c r="BW101" i="36"/>
  <c r="BW182" i="36"/>
  <c r="BW395" i="36"/>
  <c r="BW134" i="36"/>
  <c r="BW215" i="36"/>
  <c r="BW407" i="36"/>
  <c r="BW275" i="36"/>
  <c r="BW113" i="36"/>
  <c r="BW338" i="36"/>
  <c r="BW131" i="36"/>
  <c r="AI455" i="36"/>
  <c r="BW71" i="36"/>
  <c r="BW263" i="36"/>
  <c r="BW152" i="36"/>
  <c r="BX191" i="36"/>
  <c r="BW344" i="36"/>
  <c r="BX383" i="36"/>
  <c r="BX74" i="36"/>
  <c r="BW74" i="36"/>
  <c r="BW155" i="36"/>
  <c r="BW332" i="36"/>
  <c r="BW173" i="36"/>
  <c r="BC56" i="36"/>
  <c r="BV68" i="36"/>
  <c r="BV56" i="36" s="1"/>
  <c r="BX137" i="36"/>
  <c r="BX419" i="36"/>
  <c r="BX164" i="36"/>
  <c r="BX416" i="36"/>
  <c r="BX314" i="36"/>
  <c r="BX101" i="36"/>
  <c r="BX203" i="36"/>
  <c r="BX278" i="36"/>
  <c r="BW218" i="36"/>
  <c r="BX194" i="36"/>
  <c r="BW164" i="36"/>
  <c r="BX236" i="36"/>
  <c r="BX227" i="36"/>
  <c r="BW389" i="36"/>
  <c r="BW116" i="36"/>
  <c r="BX299" i="36"/>
  <c r="BX365" i="36"/>
  <c r="BW95" i="36"/>
  <c r="BX350" i="36"/>
  <c r="BW128" i="36"/>
  <c r="BX167" i="36"/>
  <c r="BX359" i="36"/>
  <c r="BW98" i="36"/>
  <c r="BW386" i="36"/>
  <c r="BW92" i="36"/>
  <c r="BX380" i="36"/>
  <c r="BX221" i="36"/>
  <c r="BX347" i="36"/>
  <c r="BX317" i="36"/>
  <c r="BX212" i="36"/>
  <c r="BW86" i="36"/>
  <c r="BX230" i="36"/>
  <c r="BX95" i="36"/>
  <c r="BX287" i="36"/>
  <c r="BW353" i="36"/>
  <c r="BW413" i="36"/>
  <c r="BW206" i="36"/>
  <c r="BW140" i="36"/>
  <c r="BW302" i="36"/>
  <c r="BX155" i="36"/>
  <c r="BX371" i="36"/>
  <c r="BX332" i="36"/>
  <c r="BX77" i="36"/>
  <c r="BX107" i="36"/>
  <c r="BX284" i="36"/>
  <c r="BX311" i="36"/>
  <c r="BX86" i="36"/>
  <c r="BW167" i="36"/>
  <c r="BW359" i="36"/>
  <c r="BW248" i="36"/>
  <c r="BW440" i="36"/>
  <c r="BX200" i="36"/>
  <c r="BW170" i="36"/>
  <c r="BX233" i="36"/>
  <c r="BX242" i="36"/>
  <c r="BX401" i="36"/>
  <c r="BX179" i="36"/>
  <c r="BX140" i="36"/>
  <c r="BW158" i="36"/>
  <c r="BX251" i="36"/>
  <c r="BX110" i="36"/>
  <c r="BW239" i="36"/>
  <c r="BX302" i="36"/>
  <c r="BW431" i="36"/>
  <c r="BW176" i="36"/>
  <c r="BX215" i="36"/>
  <c r="BW368" i="36"/>
  <c r="BX407" i="36"/>
  <c r="BX170" i="36"/>
  <c r="BX80" i="36"/>
  <c r="BX128" i="36"/>
  <c r="BW281" i="36"/>
  <c r="BX320" i="36"/>
  <c r="BX113" i="36"/>
  <c r="BW242" i="36"/>
  <c r="BX305" i="36"/>
  <c r="BX425" i="36"/>
  <c r="BW251" i="36"/>
  <c r="BX434" i="36"/>
  <c r="BX323" i="36"/>
  <c r="BX443" i="36"/>
  <c r="BX404" i="36"/>
  <c r="BW230" i="36"/>
  <c r="BX341" i="36"/>
  <c r="BW323" i="36"/>
  <c r="BW125" i="36"/>
  <c r="BW221" i="36"/>
  <c r="BX308" i="36"/>
  <c r="BW419" i="36"/>
  <c r="BW356" i="36"/>
  <c r="BX116" i="36"/>
  <c r="BX356" i="36"/>
  <c r="BW110" i="36"/>
  <c r="BW422" i="36"/>
  <c r="BX224" i="36"/>
  <c r="BX353" i="36"/>
  <c r="BX83" i="36"/>
  <c r="BX269" i="36"/>
  <c r="BX245" i="36"/>
  <c r="BW119" i="36"/>
  <c r="BX182" i="36"/>
  <c r="BW311" i="36"/>
  <c r="BX374" i="36"/>
  <c r="BW104" i="36"/>
  <c r="BX143" i="36"/>
  <c r="BW296" i="36"/>
  <c r="BX335" i="36"/>
  <c r="BW410" i="36"/>
  <c r="BW89" i="36"/>
  <c r="BW209" i="36"/>
  <c r="BX248" i="36"/>
  <c r="BW401" i="36"/>
  <c r="BX440" i="36"/>
  <c r="BW122" i="36"/>
  <c r="BX185" i="36"/>
  <c r="BW314" i="36"/>
  <c r="BW299" i="36"/>
  <c r="BX266" i="36"/>
  <c r="BX131" i="36"/>
  <c r="BW317" i="36"/>
  <c r="BX173" i="36"/>
  <c r="BW404" i="36"/>
  <c r="BW437" i="36"/>
  <c r="BW374" i="36"/>
  <c r="BW347" i="36"/>
  <c r="BX386" i="36"/>
  <c r="BW260" i="36"/>
  <c r="BX260" i="36"/>
  <c r="BX197" i="36"/>
  <c r="BW326" i="36"/>
  <c r="BX329" i="36"/>
  <c r="BX389" i="36"/>
  <c r="BX206" i="36"/>
  <c r="BX398" i="36"/>
  <c r="BX119" i="36"/>
  <c r="BX209" i="36"/>
  <c r="BX146" i="36"/>
  <c r="BX293" i="36"/>
  <c r="BX362" i="36"/>
  <c r="BX428" i="36"/>
  <c r="BX239" i="36"/>
  <c r="BX431" i="36"/>
  <c r="BX152" i="36"/>
  <c r="BW305" i="36"/>
  <c r="BX344" i="36"/>
  <c r="BX89" i="36"/>
  <c r="BX281" i="36"/>
  <c r="BX377" i="36"/>
  <c r="BW362" i="36"/>
  <c r="BX275" i="36"/>
  <c r="BX395" i="36"/>
  <c r="BX413" i="36"/>
  <c r="BW428" i="36"/>
  <c r="BX158" i="36"/>
  <c r="BW287" i="36"/>
  <c r="BW320" i="36"/>
  <c r="BX122" i="36"/>
  <c r="BW233" i="36"/>
  <c r="BX272" i="36"/>
  <c r="BW425" i="36"/>
  <c r="BX161" i="36"/>
  <c r="BW290" i="36"/>
  <c r="BW203" i="36"/>
  <c r="BX338" i="36"/>
  <c r="BW77" i="36"/>
  <c r="BW197" i="36"/>
  <c r="BW293" i="36"/>
  <c r="BX437" i="36"/>
  <c r="BW371" i="36"/>
  <c r="BX410" i="36"/>
  <c r="BW212" i="36"/>
  <c r="BW341" i="36"/>
  <c r="BX149" i="36"/>
  <c r="BX422" i="36"/>
  <c r="BW161" i="36"/>
  <c r="BX392" i="36"/>
  <c r="BW227" i="36"/>
  <c r="BE56" i="36"/>
  <c r="BX68" i="36"/>
  <c r="BX56" i="36" s="1"/>
  <c r="BD56" i="36"/>
  <c r="BW68" i="36"/>
  <c r="BW56" i="36" s="1"/>
  <c r="BW191" i="36"/>
  <c r="BX254" i="36"/>
  <c r="BW383" i="36"/>
  <c r="BX71" i="36"/>
  <c r="BW224" i="36"/>
  <c r="BX263" i="36"/>
  <c r="BW416" i="36"/>
  <c r="BW434" i="36"/>
  <c r="BX218" i="36"/>
  <c r="BW137" i="36"/>
  <c r="BX176" i="36"/>
  <c r="BW329" i="36"/>
  <c r="BX368" i="36"/>
  <c r="BW194" i="36"/>
  <c r="BX257" i="36"/>
  <c r="BX98" i="36"/>
  <c r="BX290" i="36"/>
  <c r="BW443" i="36"/>
  <c r="BW236" i="36"/>
  <c r="BX92" i="36"/>
  <c r="BX188" i="36"/>
  <c r="BW254" i="36"/>
  <c r="BW308" i="36"/>
  <c r="BW149" i="36"/>
  <c r="BW245" i="36"/>
  <c r="BW278" i="36"/>
  <c r="BW188" i="36"/>
  <c r="BW380" i="36"/>
  <c r="BX125" i="36"/>
  <c r="AG14" i="36"/>
  <c r="AH14" i="36"/>
  <c r="AI14" i="36"/>
  <c r="AH17" i="36" l="1"/>
  <c r="AG17" i="36"/>
  <c r="AI17" i="36"/>
  <c r="H90" i="41"/>
  <c r="AG86" i="41" s="1"/>
  <c r="AJ87" i="41"/>
  <c r="AG87" i="41"/>
  <c r="AH87" i="41"/>
  <c r="AI87" i="41"/>
  <c r="AB7" i="41"/>
  <c r="J8" i="98" s="1"/>
  <c r="AB7" i="98" s="1"/>
  <c r="AC7" i="41"/>
  <c r="K8" i="98" s="1"/>
  <c r="AC7" i="98" s="1"/>
  <c r="AD7" i="41"/>
  <c r="L8" i="98" s="1"/>
  <c r="AD7" i="98" s="1"/>
  <c r="AE7" i="41"/>
  <c r="M8" i="98" s="1"/>
  <c r="AE7" i="98" s="1"/>
  <c r="AA20" i="56"/>
  <c r="AA169" i="44" s="1"/>
  <c r="V20" i="56"/>
  <c r="V169" i="44" s="1"/>
  <c r="AC12" i="56"/>
  <c r="AD12" i="56"/>
  <c r="AE12" i="56"/>
  <c r="AF12" i="56"/>
  <c r="AG12" i="56"/>
  <c r="AH12" i="56"/>
  <c r="AI12" i="56"/>
  <c r="AJ12" i="56"/>
  <c r="AC13" i="56"/>
  <c r="AD13" i="56"/>
  <c r="AE13" i="56"/>
  <c r="AF13" i="56"/>
  <c r="AG13" i="56"/>
  <c r="AH13" i="56"/>
  <c r="AI13" i="56"/>
  <c r="AJ13" i="56"/>
  <c r="AC14" i="56"/>
  <c r="AD14" i="56"/>
  <c r="AC15" i="56"/>
  <c r="AD15" i="56"/>
  <c r="AC17" i="56"/>
  <c r="AC97" i="44" s="1"/>
  <c r="AD17" i="56"/>
  <c r="AD97" i="44" s="1"/>
  <c r="AE17" i="56"/>
  <c r="AE97" i="44" s="1"/>
  <c r="AF17" i="56"/>
  <c r="AF97" i="44" s="1"/>
  <c r="AG17" i="56"/>
  <c r="AG97" i="44" s="1"/>
  <c r="AH17" i="56"/>
  <c r="AH97" i="44" s="1"/>
  <c r="AI17" i="56"/>
  <c r="AI97" i="44" s="1"/>
  <c r="AJ17" i="56"/>
  <c r="AJ97" i="44" s="1"/>
  <c r="AC18" i="56"/>
  <c r="AD18" i="56"/>
  <c r="AE18" i="56"/>
  <c r="AF18" i="56"/>
  <c r="AG18" i="56"/>
  <c r="AG113" i="41" s="1"/>
  <c r="AH18" i="56"/>
  <c r="AH113" i="41" s="1"/>
  <c r="AI18" i="56"/>
  <c r="AI113" i="41" s="1"/>
  <c r="AJ18" i="56"/>
  <c r="AJ113" i="41" s="1"/>
  <c r="AJ248" i="34"/>
  <c r="AI248" i="34"/>
  <c r="AH248" i="34"/>
  <c r="AG248" i="34"/>
  <c r="AF248" i="34"/>
  <c r="AE248" i="34"/>
  <c r="AD248" i="34"/>
  <c r="AC248" i="34"/>
  <c r="AB248" i="34"/>
  <c r="AA248" i="34"/>
  <c r="Z248" i="34"/>
  <c r="Y248" i="34"/>
  <c r="X248" i="34"/>
  <c r="W248" i="34"/>
  <c r="V248" i="34"/>
  <c r="U248" i="34"/>
  <c r="T248" i="34"/>
  <c r="S248" i="34"/>
  <c r="R248" i="34"/>
  <c r="Q248" i="34"/>
  <c r="P248" i="34"/>
  <c r="O248" i="34"/>
  <c r="N248" i="34"/>
  <c r="M248" i="34"/>
  <c r="L248" i="34"/>
  <c r="K248" i="34"/>
  <c r="AJ233" i="34"/>
  <c r="AI233" i="34"/>
  <c r="AH233" i="34"/>
  <c r="AG233" i="34"/>
  <c r="AF233" i="34"/>
  <c r="AE233" i="34"/>
  <c r="AD233" i="34"/>
  <c r="AC233" i="34"/>
  <c r="AB233" i="34"/>
  <c r="AA233" i="34"/>
  <c r="Z233" i="34"/>
  <c r="Y233" i="34"/>
  <c r="X233" i="34"/>
  <c r="W233" i="34"/>
  <c r="V233" i="34"/>
  <c r="U233" i="34"/>
  <c r="T233" i="34"/>
  <c r="S233" i="34"/>
  <c r="R233" i="34"/>
  <c r="Q233" i="34"/>
  <c r="P233" i="34"/>
  <c r="O233" i="34"/>
  <c r="N233" i="34"/>
  <c r="M233" i="34"/>
  <c r="L233" i="34"/>
  <c r="K233" i="34"/>
  <c r="AJ218" i="34"/>
  <c r="AI218" i="34"/>
  <c r="AH218" i="34"/>
  <c r="AG218" i="34"/>
  <c r="AF218" i="34"/>
  <c r="AE218" i="34"/>
  <c r="AD218" i="34"/>
  <c r="AC218" i="34"/>
  <c r="AB218" i="34"/>
  <c r="AA218" i="34"/>
  <c r="Z218" i="34"/>
  <c r="Y218" i="34"/>
  <c r="X218" i="34"/>
  <c r="W218" i="34"/>
  <c r="V218" i="34"/>
  <c r="U218" i="34"/>
  <c r="T218" i="34"/>
  <c r="S218" i="34"/>
  <c r="R218" i="34"/>
  <c r="Q218" i="34"/>
  <c r="P218" i="34"/>
  <c r="O218" i="34"/>
  <c r="N218" i="34"/>
  <c r="M218" i="34"/>
  <c r="L218" i="34"/>
  <c r="K218" i="34"/>
  <c r="AJ203" i="34"/>
  <c r="AI203" i="34"/>
  <c r="AH203" i="34"/>
  <c r="AG203" i="34"/>
  <c r="AF203" i="34"/>
  <c r="AE203" i="34"/>
  <c r="AD203" i="34"/>
  <c r="AC203" i="34"/>
  <c r="AB203" i="34"/>
  <c r="AA203" i="34"/>
  <c r="Z203" i="34"/>
  <c r="Y203" i="34"/>
  <c r="X203" i="34"/>
  <c r="W203" i="34"/>
  <c r="V203" i="34"/>
  <c r="U203" i="34"/>
  <c r="T203" i="34"/>
  <c r="S203" i="34"/>
  <c r="R203" i="34"/>
  <c r="Q203" i="34"/>
  <c r="P203" i="34"/>
  <c r="O203" i="34"/>
  <c r="N203" i="34"/>
  <c r="M203" i="34"/>
  <c r="L203" i="34"/>
  <c r="K203" i="34"/>
  <c r="AJ188" i="34"/>
  <c r="AI188" i="34"/>
  <c r="AH188" i="34"/>
  <c r="AG188" i="34"/>
  <c r="AF188" i="34"/>
  <c r="AE188" i="34"/>
  <c r="AD188" i="34"/>
  <c r="AC188" i="34"/>
  <c r="AB188" i="34"/>
  <c r="AA188" i="34"/>
  <c r="Z188" i="34"/>
  <c r="Y188" i="34"/>
  <c r="X188" i="34"/>
  <c r="W188" i="34"/>
  <c r="V188" i="34"/>
  <c r="U188" i="34"/>
  <c r="T188" i="34"/>
  <c r="S188" i="34"/>
  <c r="R188" i="34"/>
  <c r="Q188" i="34"/>
  <c r="P188" i="34"/>
  <c r="O188" i="34"/>
  <c r="N188" i="34"/>
  <c r="M188" i="34"/>
  <c r="L188" i="34"/>
  <c r="K188" i="34"/>
  <c r="AJ173" i="34"/>
  <c r="AI173" i="34"/>
  <c r="AH173" i="34"/>
  <c r="AG173" i="34"/>
  <c r="AF173" i="34"/>
  <c r="AE173" i="34"/>
  <c r="AD173" i="34"/>
  <c r="AC173" i="34"/>
  <c r="AB173" i="34"/>
  <c r="AA173" i="34"/>
  <c r="Z173" i="34"/>
  <c r="Y173" i="34"/>
  <c r="X173" i="34"/>
  <c r="W173" i="34"/>
  <c r="V173" i="34"/>
  <c r="U173" i="34"/>
  <c r="T173" i="34"/>
  <c r="S173" i="34"/>
  <c r="R173" i="34"/>
  <c r="Q173" i="34"/>
  <c r="P173" i="34"/>
  <c r="O173" i="34"/>
  <c r="N173" i="34"/>
  <c r="M173" i="34"/>
  <c r="L173" i="34"/>
  <c r="K173" i="34"/>
  <c r="AJ158" i="34"/>
  <c r="AI158" i="34"/>
  <c r="AH158" i="34"/>
  <c r="AG158" i="34"/>
  <c r="AF158" i="34"/>
  <c r="AE158" i="34"/>
  <c r="AD158" i="34"/>
  <c r="AC158" i="34"/>
  <c r="AB158" i="34"/>
  <c r="AA158" i="34"/>
  <c r="Z158" i="34"/>
  <c r="Y158" i="34"/>
  <c r="X158" i="34"/>
  <c r="W158" i="34"/>
  <c r="V158" i="34"/>
  <c r="U158" i="34"/>
  <c r="T158" i="34"/>
  <c r="S158" i="34"/>
  <c r="R158" i="34"/>
  <c r="Q158" i="34"/>
  <c r="P158" i="34"/>
  <c r="O158" i="34"/>
  <c r="N158" i="34"/>
  <c r="M158" i="34"/>
  <c r="L158" i="34"/>
  <c r="K158" i="34"/>
  <c r="AJ143" i="34"/>
  <c r="AI143" i="34"/>
  <c r="AH143" i="34"/>
  <c r="AG143" i="34"/>
  <c r="AF143" i="34"/>
  <c r="AE143" i="34"/>
  <c r="AD143" i="34"/>
  <c r="AC143" i="34"/>
  <c r="AB143" i="34"/>
  <c r="AA143" i="34"/>
  <c r="Z143" i="34"/>
  <c r="Y143" i="34"/>
  <c r="X143" i="34"/>
  <c r="W143" i="34"/>
  <c r="V143" i="34"/>
  <c r="U143" i="34"/>
  <c r="T143" i="34"/>
  <c r="S143" i="34"/>
  <c r="R143" i="34"/>
  <c r="Q143" i="34"/>
  <c r="P143" i="34"/>
  <c r="O143" i="34"/>
  <c r="N143" i="34"/>
  <c r="M143" i="34"/>
  <c r="L143" i="34"/>
  <c r="K143" i="34"/>
  <c r="AJ128" i="34"/>
  <c r="AI128" i="34"/>
  <c r="AH128" i="34"/>
  <c r="AG128" i="34"/>
  <c r="AF128" i="34"/>
  <c r="AE128" i="34"/>
  <c r="AD128" i="34"/>
  <c r="AC128" i="34"/>
  <c r="AB128" i="34"/>
  <c r="AA128" i="34"/>
  <c r="Z128" i="34"/>
  <c r="Y128" i="34"/>
  <c r="X128" i="34"/>
  <c r="W128" i="34"/>
  <c r="V128" i="34"/>
  <c r="U128" i="34"/>
  <c r="T128" i="34"/>
  <c r="S128" i="34"/>
  <c r="R128" i="34"/>
  <c r="Q128" i="34"/>
  <c r="P128" i="34"/>
  <c r="O128" i="34"/>
  <c r="N128" i="34"/>
  <c r="M128" i="34"/>
  <c r="L128" i="34"/>
  <c r="K128" i="34"/>
  <c r="AJ113" i="34"/>
  <c r="AI113" i="34"/>
  <c r="AH113" i="34"/>
  <c r="AG113" i="34"/>
  <c r="AF113" i="34"/>
  <c r="AE113" i="34"/>
  <c r="AD113" i="34"/>
  <c r="AC113" i="34"/>
  <c r="AB113" i="34"/>
  <c r="AA113" i="34"/>
  <c r="Z113" i="34"/>
  <c r="Y113" i="34"/>
  <c r="X113" i="34"/>
  <c r="W113" i="34"/>
  <c r="V113" i="34"/>
  <c r="U113" i="34"/>
  <c r="T113" i="34"/>
  <c r="S113" i="34"/>
  <c r="R113" i="34"/>
  <c r="Q113" i="34"/>
  <c r="P113" i="34"/>
  <c r="O113" i="34"/>
  <c r="N113" i="34"/>
  <c r="M113" i="34"/>
  <c r="L113" i="34"/>
  <c r="K113" i="34"/>
  <c r="AJ98" i="34"/>
  <c r="AI98" i="34"/>
  <c r="AH98" i="34"/>
  <c r="AG98" i="34"/>
  <c r="AF98" i="34"/>
  <c r="AE98" i="34"/>
  <c r="AD98" i="34"/>
  <c r="AC98" i="34"/>
  <c r="AB98" i="34"/>
  <c r="AA98" i="34"/>
  <c r="Z98" i="34"/>
  <c r="Y98" i="34"/>
  <c r="X98" i="34"/>
  <c r="W98" i="34"/>
  <c r="V98" i="34"/>
  <c r="U98" i="34"/>
  <c r="T98" i="34"/>
  <c r="S98" i="34"/>
  <c r="R98" i="34"/>
  <c r="Q98" i="34"/>
  <c r="P98" i="34"/>
  <c r="O98" i="34"/>
  <c r="N98" i="34"/>
  <c r="M98" i="34"/>
  <c r="L98" i="34"/>
  <c r="K98" i="34"/>
  <c r="AJ83" i="34"/>
  <c r="AI83" i="34"/>
  <c r="AH83" i="34"/>
  <c r="AG83" i="34"/>
  <c r="AF83" i="34"/>
  <c r="AE83" i="34"/>
  <c r="AD83" i="34"/>
  <c r="AC83" i="34"/>
  <c r="AB83" i="34"/>
  <c r="AA83" i="34"/>
  <c r="Z83" i="34"/>
  <c r="Y83" i="34"/>
  <c r="X83" i="34"/>
  <c r="W83" i="34"/>
  <c r="V83" i="34"/>
  <c r="U83" i="34"/>
  <c r="T83" i="34"/>
  <c r="S83" i="34"/>
  <c r="R83" i="34"/>
  <c r="Q83" i="34"/>
  <c r="P83" i="34"/>
  <c r="O83" i="34"/>
  <c r="N83" i="34"/>
  <c r="M83" i="34"/>
  <c r="L83" i="34"/>
  <c r="K83" i="34"/>
  <c r="AJ68" i="34"/>
  <c r="AI68" i="34"/>
  <c r="AH68" i="34"/>
  <c r="AG68" i="34"/>
  <c r="AF68" i="34"/>
  <c r="AE68" i="34"/>
  <c r="AD68" i="34"/>
  <c r="AC68" i="34"/>
  <c r="AB68" i="34"/>
  <c r="AA68" i="34"/>
  <c r="Z68" i="34"/>
  <c r="Y68" i="34"/>
  <c r="X68" i="34"/>
  <c r="W68" i="34"/>
  <c r="V68" i="34"/>
  <c r="U68" i="34"/>
  <c r="T68" i="34"/>
  <c r="S68" i="34"/>
  <c r="R68" i="34"/>
  <c r="Q68" i="34"/>
  <c r="P68" i="34"/>
  <c r="O68" i="34"/>
  <c r="N68" i="34"/>
  <c r="M68" i="34"/>
  <c r="L68" i="34"/>
  <c r="K68" i="34"/>
  <c r="AJ53" i="34"/>
  <c r="AI53" i="34"/>
  <c r="AH53" i="34"/>
  <c r="AG53" i="34"/>
  <c r="AF53" i="34"/>
  <c r="AE53" i="34"/>
  <c r="AD53" i="34"/>
  <c r="AC53" i="34"/>
  <c r="AB53" i="34"/>
  <c r="AA53" i="34"/>
  <c r="Z53" i="34"/>
  <c r="Y53" i="34"/>
  <c r="X53" i="34"/>
  <c r="W53" i="34"/>
  <c r="V53" i="34"/>
  <c r="U53" i="34"/>
  <c r="T53" i="34"/>
  <c r="S53" i="34"/>
  <c r="R53" i="34"/>
  <c r="Q53" i="34"/>
  <c r="P53" i="34"/>
  <c r="O53" i="34"/>
  <c r="N53" i="34"/>
  <c r="M53" i="34"/>
  <c r="L53" i="34"/>
  <c r="K53" i="34"/>
  <c r="W12" i="34"/>
  <c r="X12" i="34"/>
  <c r="Y12" i="34"/>
  <c r="Z12" i="34"/>
  <c r="AA12" i="34"/>
  <c r="AB12" i="34"/>
  <c r="AC12" i="34"/>
  <c r="AD12" i="34"/>
  <c r="AE12" i="34"/>
  <c r="AF12" i="34"/>
  <c r="AG12" i="34"/>
  <c r="AH12" i="34"/>
  <c r="AI12" i="34"/>
  <c r="AJ12" i="34"/>
  <c r="W14" i="34"/>
  <c r="X14" i="34"/>
  <c r="Y14" i="34"/>
  <c r="Z14" i="34"/>
  <c r="AA14" i="34"/>
  <c r="AB14" i="34"/>
  <c r="AC14" i="34"/>
  <c r="AD14" i="34"/>
  <c r="AE14" i="34"/>
  <c r="AF14" i="34"/>
  <c r="AG14" i="34"/>
  <c r="AH14" i="34"/>
  <c r="AI14" i="34"/>
  <c r="AJ14" i="34"/>
  <c r="W16" i="34"/>
  <c r="X16" i="34"/>
  <c r="Y16" i="34"/>
  <c r="Z16" i="34"/>
  <c r="AA16" i="34"/>
  <c r="AB16" i="34"/>
  <c r="AC16" i="34"/>
  <c r="AD16" i="34"/>
  <c r="AE16" i="34"/>
  <c r="AF16" i="34"/>
  <c r="AG16" i="34"/>
  <c r="AH16" i="34"/>
  <c r="AI16" i="34"/>
  <c r="AJ16" i="34"/>
  <c r="W17" i="34"/>
  <c r="X17" i="34"/>
  <c r="Y17" i="34"/>
  <c r="Z17" i="34"/>
  <c r="AA17" i="34"/>
  <c r="AB17" i="34"/>
  <c r="AC17" i="34"/>
  <c r="AD17" i="34"/>
  <c r="AE17" i="34"/>
  <c r="AF17" i="34"/>
  <c r="AG17" i="34"/>
  <c r="AH17" i="34"/>
  <c r="AI17" i="34"/>
  <c r="AJ17" i="34"/>
  <c r="W18" i="34"/>
  <c r="X18" i="34"/>
  <c r="Y18" i="34"/>
  <c r="Z18" i="34"/>
  <c r="AA18" i="34"/>
  <c r="AB18" i="34"/>
  <c r="AC18" i="34"/>
  <c r="AD18" i="34"/>
  <c r="AE18" i="34"/>
  <c r="AF18" i="34"/>
  <c r="AG18" i="34"/>
  <c r="AH18" i="34"/>
  <c r="AI18" i="34"/>
  <c r="AJ18" i="34"/>
  <c r="W21" i="34"/>
  <c r="X21" i="34"/>
  <c r="Y21" i="34"/>
  <c r="Z21" i="34"/>
  <c r="AA21" i="34"/>
  <c r="AB21" i="34"/>
  <c r="AC21" i="34"/>
  <c r="AD21" i="34"/>
  <c r="AE21" i="34"/>
  <c r="AF21" i="34"/>
  <c r="AG21" i="34"/>
  <c r="AH21" i="34"/>
  <c r="AI21" i="34"/>
  <c r="AJ21" i="34"/>
  <c r="W22" i="34"/>
  <c r="X22" i="34"/>
  <c r="Y22" i="34"/>
  <c r="Z22" i="34"/>
  <c r="AA22" i="34"/>
  <c r="AB22" i="34"/>
  <c r="AC22" i="34"/>
  <c r="AD22" i="34"/>
  <c r="AE22" i="34"/>
  <c r="AF22" i="34"/>
  <c r="AG22" i="34"/>
  <c r="AH22" i="34"/>
  <c r="AI22" i="34"/>
  <c r="AJ22" i="34"/>
  <c r="AG38" i="34"/>
  <c r="AH38" i="34"/>
  <c r="AI38" i="34"/>
  <c r="AJ38" i="34"/>
  <c r="AB7" i="34"/>
  <c r="AC7" i="34"/>
  <c r="AD7" i="34"/>
  <c r="AE7" i="34"/>
  <c r="K28" i="98" l="1"/>
  <c r="K41" i="98" s="1"/>
  <c r="K46" i="98" s="1"/>
  <c r="K54" i="98" s="1"/>
  <c r="K62" i="98" s="1"/>
  <c r="J28" i="98"/>
  <c r="J41" i="98" s="1"/>
  <c r="J46" i="98" s="1"/>
  <c r="J54" i="98" s="1"/>
  <c r="J62" i="98" s="1"/>
  <c r="M28" i="98"/>
  <c r="M41" i="98" s="1"/>
  <c r="M46" i="98" s="1"/>
  <c r="M54" i="98" s="1"/>
  <c r="M62" i="98" s="1"/>
  <c r="L28" i="98"/>
  <c r="L41" i="98" s="1"/>
  <c r="L46" i="98" s="1"/>
  <c r="L54" i="98" s="1"/>
  <c r="L62" i="98" s="1"/>
  <c r="AI86" i="41"/>
  <c r="AA115" i="41"/>
  <c r="AH86" i="41"/>
  <c r="AJ86" i="41"/>
  <c r="AJ20" i="36"/>
  <c r="AJ20" i="57"/>
  <c r="AI20" i="36"/>
  <c r="AI20" i="57"/>
  <c r="AI22" i="57" s="1"/>
  <c r="AG20" i="36"/>
  <c r="AG20" i="57"/>
  <c r="AG22" i="57" s="1"/>
  <c r="AH20" i="36"/>
  <c r="AH20" i="57"/>
  <c r="AH22" i="57" s="1"/>
  <c r="AC19" i="34"/>
  <c r="AF19" i="34"/>
  <c r="X19" i="34"/>
  <c r="AE19" i="34"/>
  <c r="W19" i="34"/>
  <c r="AD19" i="34"/>
  <c r="AJ19" i="34"/>
  <c r="AB19" i="34"/>
  <c r="AH19" i="34"/>
  <c r="Z19" i="34"/>
  <c r="AI19" i="34"/>
  <c r="AA19" i="34"/>
  <c r="AG19" i="34"/>
  <c r="Y19" i="34"/>
  <c r="AH22" i="36" l="1"/>
  <c r="AI22" i="36"/>
  <c r="AG22" i="36"/>
  <c r="Q71" i="98"/>
  <c r="Q79" i="98" s="1"/>
  <c r="Q87" i="98" s="1"/>
  <c r="Q100" i="98" s="1"/>
  <c r="Q104" i="98" s="1"/>
  <c r="AI90" i="98"/>
  <c r="AI17" i="98"/>
  <c r="AI40" i="98" s="1"/>
  <c r="O71" i="98"/>
  <c r="O79" i="98" s="1"/>
  <c r="O87" i="98" s="1"/>
  <c r="O100" i="98" s="1"/>
  <c r="O104" i="98" s="1"/>
  <c r="AG17" i="98"/>
  <c r="AG40" i="98" s="1"/>
  <c r="AG90" i="98"/>
  <c r="R71" i="98"/>
  <c r="R79" i="98" s="1"/>
  <c r="R87" i="98" s="1"/>
  <c r="R100" i="98" s="1"/>
  <c r="R104" i="98" s="1"/>
  <c r="AH17" i="98"/>
  <c r="AH40" i="98" s="1"/>
  <c r="AH90" i="98"/>
  <c r="AJ90" i="98"/>
  <c r="AJ17" i="98"/>
  <c r="AJ40" i="98" s="1"/>
  <c r="P71" i="98"/>
  <c r="P79" i="98" s="1"/>
  <c r="P87" i="98" s="1"/>
  <c r="P100" i="98" s="1"/>
  <c r="P104" i="98" s="1"/>
  <c r="AB7" i="62"/>
  <c r="AC7" i="62"/>
  <c r="AD7" i="62"/>
  <c r="AE7" i="62"/>
  <c r="AB7" i="45" l="1"/>
  <c r="AC7" i="45"/>
  <c r="AD7" i="45"/>
  <c r="AE7" i="45"/>
  <c r="AG7" i="42"/>
  <c r="AH7" i="42"/>
  <c r="AI7" i="42"/>
  <c r="AJ7" i="42"/>
  <c r="AJ32" i="30"/>
  <c r="AI32" i="30"/>
  <c r="AH32" i="30"/>
  <c r="AG32" i="30"/>
  <c r="AF32" i="30"/>
  <c r="AE32" i="30"/>
  <c r="AD32" i="30"/>
  <c r="AC32" i="30"/>
  <c r="AB32" i="30"/>
  <c r="AA32" i="30"/>
  <c r="AJ31" i="30"/>
  <c r="AO25" i="42" s="1"/>
  <c r="AI31" i="30"/>
  <c r="AN25" i="42" s="1"/>
  <c r="AH31" i="30"/>
  <c r="AM25" i="42" s="1"/>
  <c r="AG31" i="30"/>
  <c r="AL25" i="42" s="1"/>
  <c r="AF31" i="30"/>
  <c r="AK25" i="42" s="1"/>
  <c r="AE31" i="30"/>
  <c r="AJ25" i="42" s="1"/>
  <c r="AD31" i="30"/>
  <c r="AI25" i="42" s="1"/>
  <c r="AC31" i="30"/>
  <c r="AH25" i="42" s="1"/>
  <c r="AB31" i="30"/>
  <c r="AG25" i="42" s="1"/>
  <c r="AA31" i="30"/>
  <c r="AJ30" i="30"/>
  <c r="AO24" i="42" s="1"/>
  <c r="AJ101" i="41" s="1"/>
  <c r="AI30" i="30"/>
  <c r="AN24" i="42" s="1"/>
  <c r="AI101" i="41" s="1"/>
  <c r="AH30" i="30"/>
  <c r="AM24" i="42" s="1"/>
  <c r="AH101" i="41" s="1"/>
  <c r="AG30" i="30"/>
  <c r="AL24" i="42" s="1"/>
  <c r="AF30" i="30"/>
  <c r="AK24" i="42" s="1"/>
  <c r="AE30" i="30"/>
  <c r="AJ24" i="42" s="1"/>
  <c r="AD30" i="30"/>
  <c r="AI24" i="42" s="1"/>
  <c r="AC30" i="30"/>
  <c r="AH24" i="42" s="1"/>
  <c r="AB30" i="30"/>
  <c r="AG24" i="42" s="1"/>
  <c r="AA30" i="30"/>
  <c r="Y7" i="30"/>
  <c r="Z7" i="30"/>
  <c r="AA7" i="30"/>
  <c r="AB7" i="30"/>
  <c r="AC7" i="30"/>
  <c r="AD7" i="30"/>
  <c r="AE7" i="30"/>
  <c r="M22" i="90"/>
  <c r="L22" i="90"/>
  <c r="K22" i="90"/>
  <c r="J22" i="90"/>
  <c r="I22" i="90"/>
  <c r="H22" i="90"/>
  <c r="G22" i="90"/>
  <c r="F22" i="90"/>
  <c r="E22" i="90"/>
  <c r="M21" i="90"/>
  <c r="L21" i="90"/>
  <c r="K21" i="90"/>
  <c r="J21" i="90"/>
  <c r="I21" i="90"/>
  <c r="H21" i="90"/>
  <c r="G21" i="90"/>
  <c r="F21" i="90"/>
  <c r="E21" i="90"/>
  <c r="M20" i="90"/>
  <c r="L20" i="90"/>
  <c r="K20" i="90"/>
  <c r="J20" i="90"/>
  <c r="I20" i="90"/>
  <c r="H20" i="90"/>
  <c r="G20" i="90"/>
  <c r="F20" i="90"/>
  <c r="E20" i="90"/>
  <c r="M19" i="90"/>
  <c r="L19" i="90"/>
  <c r="K19" i="90"/>
  <c r="J19" i="90"/>
  <c r="I19" i="90"/>
  <c r="H19" i="90"/>
  <c r="G19" i="90"/>
  <c r="F19" i="90"/>
  <c r="E19" i="90"/>
  <c r="E9" i="90"/>
  <c r="F9" i="90"/>
  <c r="G9" i="90"/>
  <c r="H9" i="90"/>
  <c r="I9" i="90"/>
  <c r="J9" i="90"/>
  <c r="K9" i="90"/>
  <c r="L9" i="90"/>
  <c r="M9" i="90"/>
  <c r="CY396" i="90"/>
  <c r="AJ396" i="56" s="1"/>
  <c r="CX396" i="90"/>
  <c r="AI396" i="56" s="1"/>
  <c r="CY395" i="90"/>
  <c r="AJ395" i="56" s="1"/>
  <c r="CX395" i="90"/>
  <c r="AI395" i="56" s="1"/>
  <c r="CY394" i="90"/>
  <c r="AJ394" i="56" s="1"/>
  <c r="CX394" i="90"/>
  <c r="AI394" i="56" s="1"/>
  <c r="CY393" i="90"/>
  <c r="AJ393" i="56" s="1"/>
  <c r="CX393" i="90"/>
  <c r="AI393" i="56" s="1"/>
  <c r="CY392" i="90"/>
  <c r="AJ392" i="56" s="1"/>
  <c r="CX392" i="90"/>
  <c r="AI392" i="56" s="1"/>
  <c r="CY391" i="90"/>
  <c r="AJ391" i="56" s="1"/>
  <c r="CX391" i="90"/>
  <c r="AI391" i="56" s="1"/>
  <c r="CY390" i="90"/>
  <c r="AJ390" i="56" s="1"/>
  <c r="CX390" i="90"/>
  <c r="AI390" i="56" s="1"/>
  <c r="CY389" i="90"/>
  <c r="AJ389" i="56" s="1"/>
  <c r="CX389" i="90"/>
  <c r="AI389" i="56" s="1"/>
  <c r="CY388" i="90"/>
  <c r="AJ388" i="56" s="1"/>
  <c r="CX388" i="90"/>
  <c r="AI388" i="56" s="1"/>
  <c r="CY387" i="90"/>
  <c r="AJ387" i="56" s="1"/>
  <c r="CX387" i="90"/>
  <c r="AI387" i="56" s="1"/>
  <c r="CY386" i="90"/>
  <c r="AJ386" i="56" s="1"/>
  <c r="CX386" i="90"/>
  <c r="AI386" i="56" s="1"/>
  <c r="CY385" i="90"/>
  <c r="AJ385" i="56" s="1"/>
  <c r="CX385" i="90"/>
  <c r="AI385" i="56" s="1"/>
  <c r="CY384" i="90"/>
  <c r="AJ384" i="56" s="1"/>
  <c r="CX384" i="90"/>
  <c r="AI384" i="56" s="1"/>
  <c r="CY383" i="90"/>
  <c r="AJ383" i="56" s="1"/>
  <c r="CX383" i="90"/>
  <c r="AI383" i="56" s="1"/>
  <c r="CY382" i="90"/>
  <c r="AJ382" i="56" s="1"/>
  <c r="CX382" i="90"/>
  <c r="AI382" i="56" s="1"/>
  <c r="CY381" i="90"/>
  <c r="AJ381" i="56" s="1"/>
  <c r="CX381" i="90"/>
  <c r="AI381" i="56" s="1"/>
  <c r="CY380" i="90"/>
  <c r="AJ380" i="56" s="1"/>
  <c r="CX380" i="90"/>
  <c r="AI380" i="56" s="1"/>
  <c r="CY379" i="90"/>
  <c r="AJ379" i="56" s="1"/>
  <c r="CX379" i="90"/>
  <c r="AI379" i="56" s="1"/>
  <c r="CY378" i="90"/>
  <c r="AJ378" i="56" s="1"/>
  <c r="CX378" i="90"/>
  <c r="AI378" i="56" s="1"/>
  <c r="CY377" i="90"/>
  <c r="AJ377" i="56" s="1"/>
  <c r="CX377" i="90"/>
  <c r="AI377" i="56" s="1"/>
  <c r="CY376" i="90"/>
  <c r="AJ376" i="56" s="1"/>
  <c r="CX376" i="90"/>
  <c r="AI376" i="56" s="1"/>
  <c r="CY375" i="90"/>
  <c r="AJ375" i="56" s="1"/>
  <c r="CX375" i="90"/>
  <c r="AI375" i="56" s="1"/>
  <c r="CY374" i="90"/>
  <c r="AJ374" i="56" s="1"/>
  <c r="CX374" i="90"/>
  <c r="AI374" i="56" s="1"/>
  <c r="CY373" i="90"/>
  <c r="AJ373" i="56" s="1"/>
  <c r="CX373" i="90"/>
  <c r="AI373" i="56" s="1"/>
  <c r="CY372" i="90"/>
  <c r="AJ372" i="56" s="1"/>
  <c r="CX372" i="90"/>
  <c r="AI372" i="56" s="1"/>
  <c r="CY371" i="90"/>
  <c r="AJ371" i="56" s="1"/>
  <c r="CX371" i="90"/>
  <c r="AI371" i="56" s="1"/>
  <c r="CY370" i="90"/>
  <c r="AJ370" i="56" s="1"/>
  <c r="CX370" i="90"/>
  <c r="AI370" i="56" s="1"/>
  <c r="CY369" i="90"/>
  <c r="AJ369" i="56" s="1"/>
  <c r="CX369" i="90"/>
  <c r="AI369" i="56" s="1"/>
  <c r="CY368" i="90"/>
  <c r="AJ368" i="56" s="1"/>
  <c r="CX368" i="90"/>
  <c r="AI368" i="56" s="1"/>
  <c r="CY367" i="90"/>
  <c r="AJ367" i="56" s="1"/>
  <c r="CX367" i="90"/>
  <c r="AI367" i="56" s="1"/>
  <c r="CY366" i="90"/>
  <c r="AJ366" i="56" s="1"/>
  <c r="CX366" i="90"/>
  <c r="AI366" i="56" s="1"/>
  <c r="CY365" i="90"/>
  <c r="AJ365" i="56" s="1"/>
  <c r="CX365" i="90"/>
  <c r="AI365" i="56" s="1"/>
  <c r="CY339" i="90"/>
  <c r="AJ339" i="56" s="1"/>
  <c r="CX339" i="90"/>
  <c r="AI339" i="56" s="1"/>
  <c r="CY338" i="90"/>
  <c r="AJ338" i="56" s="1"/>
  <c r="CX338" i="90"/>
  <c r="AI338" i="56" s="1"/>
  <c r="CY337" i="90"/>
  <c r="AJ337" i="56" s="1"/>
  <c r="CX337" i="90"/>
  <c r="AI337" i="56" s="1"/>
  <c r="CY336" i="90"/>
  <c r="AJ336" i="56" s="1"/>
  <c r="CX336" i="90"/>
  <c r="AI336" i="56" s="1"/>
  <c r="CY335" i="90"/>
  <c r="AJ335" i="56" s="1"/>
  <c r="CX335" i="90"/>
  <c r="AI335" i="56" s="1"/>
  <c r="CY334" i="90"/>
  <c r="AJ334" i="56" s="1"/>
  <c r="CX334" i="90"/>
  <c r="AI334" i="56" s="1"/>
  <c r="CY333" i="90"/>
  <c r="AJ333" i="56" s="1"/>
  <c r="CX333" i="90"/>
  <c r="AI333" i="56" s="1"/>
  <c r="CY332" i="90"/>
  <c r="AJ332" i="56" s="1"/>
  <c r="CX332" i="90"/>
  <c r="AI332" i="56" s="1"/>
  <c r="CY331" i="90"/>
  <c r="AJ331" i="56" s="1"/>
  <c r="CX331" i="90"/>
  <c r="AI331" i="56" s="1"/>
  <c r="CY330" i="90"/>
  <c r="AJ330" i="56" s="1"/>
  <c r="CX330" i="90"/>
  <c r="AI330" i="56" s="1"/>
  <c r="CY329" i="90"/>
  <c r="AJ329" i="56" s="1"/>
  <c r="CX329" i="90"/>
  <c r="AI329" i="56" s="1"/>
  <c r="CY328" i="90"/>
  <c r="AJ328" i="56" s="1"/>
  <c r="CX328" i="90"/>
  <c r="AI328" i="56" s="1"/>
  <c r="CY327" i="90"/>
  <c r="AJ327" i="56" s="1"/>
  <c r="CX327" i="90"/>
  <c r="AI327" i="56" s="1"/>
  <c r="CY326" i="90"/>
  <c r="AJ326" i="56" s="1"/>
  <c r="CX326" i="90"/>
  <c r="AI326" i="56" s="1"/>
  <c r="CY325" i="90"/>
  <c r="AJ325" i="56" s="1"/>
  <c r="CX325" i="90"/>
  <c r="AI325" i="56" s="1"/>
  <c r="CY324" i="90"/>
  <c r="AJ324" i="56" s="1"/>
  <c r="CX324" i="90"/>
  <c r="AI324" i="56" s="1"/>
  <c r="CY323" i="90"/>
  <c r="AJ323" i="56" s="1"/>
  <c r="CX323" i="90"/>
  <c r="AI323" i="56" s="1"/>
  <c r="CY322" i="90"/>
  <c r="AJ322" i="56" s="1"/>
  <c r="CX322" i="90"/>
  <c r="AI322" i="56" s="1"/>
  <c r="CY321" i="90"/>
  <c r="AJ321" i="56" s="1"/>
  <c r="CX321" i="90"/>
  <c r="AI321" i="56" s="1"/>
  <c r="CY320" i="90"/>
  <c r="AJ320" i="56" s="1"/>
  <c r="CX320" i="90"/>
  <c r="AI320" i="56" s="1"/>
  <c r="CY319" i="90"/>
  <c r="AJ319" i="56" s="1"/>
  <c r="CX319" i="90"/>
  <c r="AI319" i="56" s="1"/>
  <c r="CY318" i="90"/>
  <c r="AJ318" i="56" s="1"/>
  <c r="CX318" i="90"/>
  <c r="AI318" i="56" s="1"/>
  <c r="CY317" i="90"/>
  <c r="AJ317" i="56" s="1"/>
  <c r="CX317" i="90"/>
  <c r="AI317" i="56" s="1"/>
  <c r="CY316" i="90"/>
  <c r="AJ316" i="56" s="1"/>
  <c r="CX316" i="90"/>
  <c r="AI316" i="56" s="1"/>
  <c r="CY315" i="90"/>
  <c r="AJ315" i="56" s="1"/>
  <c r="CX315" i="90"/>
  <c r="AI315" i="56" s="1"/>
  <c r="CY314" i="90"/>
  <c r="AJ314" i="56" s="1"/>
  <c r="CX314" i="90"/>
  <c r="AI314" i="56" s="1"/>
  <c r="CY313" i="90"/>
  <c r="AJ313" i="56" s="1"/>
  <c r="CX313" i="90"/>
  <c r="AI313" i="56" s="1"/>
  <c r="CY312" i="90"/>
  <c r="AJ312" i="56" s="1"/>
  <c r="CX312" i="90"/>
  <c r="AI312" i="56" s="1"/>
  <c r="CY311" i="90"/>
  <c r="AJ311" i="56" s="1"/>
  <c r="CX311" i="90"/>
  <c r="AI311" i="56" s="1"/>
  <c r="CY310" i="90"/>
  <c r="AJ310" i="56" s="1"/>
  <c r="CX310" i="90"/>
  <c r="AI310" i="56" s="1"/>
  <c r="CY309" i="90"/>
  <c r="AJ309" i="56" s="1"/>
  <c r="CX309" i="90"/>
  <c r="AI309" i="56" s="1"/>
  <c r="CY248" i="90"/>
  <c r="AJ248" i="56" s="1"/>
  <c r="CX248" i="90"/>
  <c r="AI248" i="56" s="1"/>
  <c r="CY247" i="90"/>
  <c r="AJ247" i="56" s="1"/>
  <c r="CX247" i="90"/>
  <c r="AI247" i="56" s="1"/>
  <c r="CY246" i="90"/>
  <c r="AJ246" i="56" s="1"/>
  <c r="CX246" i="90"/>
  <c r="AI246" i="56" s="1"/>
  <c r="CY245" i="90"/>
  <c r="AJ245" i="56" s="1"/>
  <c r="CX245" i="90"/>
  <c r="AI245" i="56" s="1"/>
  <c r="CY244" i="90"/>
  <c r="AJ244" i="56" s="1"/>
  <c r="CX244" i="90"/>
  <c r="AI244" i="56" s="1"/>
  <c r="CY243" i="90"/>
  <c r="AJ243" i="56" s="1"/>
  <c r="CX243" i="90"/>
  <c r="AI243" i="56" s="1"/>
  <c r="CY242" i="90"/>
  <c r="AJ242" i="56" s="1"/>
  <c r="CX242" i="90"/>
  <c r="AI242" i="56" s="1"/>
  <c r="CY241" i="90"/>
  <c r="AJ241" i="56" s="1"/>
  <c r="CX241" i="90"/>
  <c r="AI241" i="56" s="1"/>
  <c r="CY240" i="90"/>
  <c r="AJ240" i="56" s="1"/>
  <c r="CX240" i="90"/>
  <c r="AI240" i="56" s="1"/>
  <c r="CY239" i="90"/>
  <c r="AJ239" i="56" s="1"/>
  <c r="CX239" i="90"/>
  <c r="AI239" i="56" s="1"/>
  <c r="CY238" i="90"/>
  <c r="AJ238" i="56" s="1"/>
  <c r="CX238" i="90"/>
  <c r="AI238" i="56" s="1"/>
  <c r="CY237" i="90"/>
  <c r="AJ237" i="56" s="1"/>
  <c r="CX237" i="90"/>
  <c r="AI237" i="56" s="1"/>
  <c r="CY63" i="90"/>
  <c r="AJ63" i="56" s="1"/>
  <c r="CX63" i="90"/>
  <c r="AI63" i="56" s="1"/>
  <c r="CY62" i="90"/>
  <c r="AJ62" i="56" s="1"/>
  <c r="CX62" i="90"/>
  <c r="AI62" i="56" s="1"/>
  <c r="CY54" i="90"/>
  <c r="AJ54" i="56" s="1"/>
  <c r="CX54" i="90"/>
  <c r="AI54" i="56" s="1"/>
  <c r="CY53" i="90"/>
  <c r="AJ53" i="56" s="1"/>
  <c r="CX53" i="90"/>
  <c r="AI53" i="56" s="1"/>
  <c r="CY52" i="90"/>
  <c r="AJ52" i="56" s="1"/>
  <c r="CX52" i="90"/>
  <c r="AI52" i="56" s="1"/>
  <c r="CY51" i="90"/>
  <c r="AJ51" i="56" s="1"/>
  <c r="CX51" i="90"/>
  <c r="AI51" i="56" s="1"/>
  <c r="CY50" i="90"/>
  <c r="AJ50" i="56" s="1"/>
  <c r="CX50" i="90"/>
  <c r="AI50" i="56" s="1"/>
  <c r="CY49" i="90"/>
  <c r="AJ49" i="56" s="1"/>
  <c r="CX49" i="90"/>
  <c r="AI49" i="56" s="1"/>
  <c r="CY48" i="90"/>
  <c r="AJ48" i="56" s="1"/>
  <c r="CX48" i="90"/>
  <c r="AI48" i="56" s="1"/>
  <c r="CY47" i="90"/>
  <c r="AJ47" i="56" s="1"/>
  <c r="CX47" i="90"/>
  <c r="AI47" i="56" s="1"/>
  <c r="CY46" i="90"/>
  <c r="AJ46" i="56" s="1"/>
  <c r="CX46" i="90"/>
  <c r="CQ44" i="90"/>
  <c r="CR44" i="90" s="1"/>
  <c r="CS44" i="90" s="1"/>
  <c r="CT44" i="90" s="1"/>
  <c r="CU44" i="90" s="1"/>
  <c r="CV44" i="90" s="1"/>
  <c r="CW44" i="90" s="1"/>
  <c r="CX44" i="90" s="1"/>
  <c r="CY44" i="90" s="1"/>
  <c r="BR396" i="90"/>
  <c r="BQ396" i="90"/>
  <c r="BP396" i="90"/>
  <c r="BO396" i="90"/>
  <c r="BN396" i="90"/>
  <c r="BR395" i="90"/>
  <c r="BQ395" i="90"/>
  <c r="BP395" i="90"/>
  <c r="BO395" i="90"/>
  <c r="BN395" i="90"/>
  <c r="BR394" i="90"/>
  <c r="BQ394" i="90"/>
  <c r="BP394" i="90"/>
  <c r="BO394" i="90"/>
  <c r="BN394" i="90"/>
  <c r="BR393" i="90"/>
  <c r="BQ393" i="90"/>
  <c r="BP393" i="90"/>
  <c r="BO393" i="90"/>
  <c r="BN393" i="90"/>
  <c r="BR392" i="90"/>
  <c r="BQ392" i="90"/>
  <c r="BP392" i="90"/>
  <c r="BO392" i="90"/>
  <c r="BN392" i="90"/>
  <c r="BR391" i="90"/>
  <c r="BQ391" i="90"/>
  <c r="BP391" i="90"/>
  <c r="BO391" i="90"/>
  <c r="BN391" i="90"/>
  <c r="BR390" i="90"/>
  <c r="BQ390" i="90"/>
  <c r="BP390" i="90"/>
  <c r="BO390" i="90"/>
  <c r="BN390" i="90"/>
  <c r="BR389" i="90"/>
  <c r="BQ389" i="90"/>
  <c r="BP389" i="90"/>
  <c r="BO389" i="90"/>
  <c r="BN389" i="90"/>
  <c r="BR388" i="90"/>
  <c r="BQ388" i="90"/>
  <c r="BP388" i="90"/>
  <c r="BO388" i="90"/>
  <c r="BN388" i="90"/>
  <c r="BR387" i="90"/>
  <c r="BQ387" i="90"/>
  <c r="BP387" i="90"/>
  <c r="BO387" i="90"/>
  <c r="BN387" i="90"/>
  <c r="BR386" i="90"/>
  <c r="BQ386" i="90"/>
  <c r="BP386" i="90"/>
  <c r="BO386" i="90"/>
  <c r="BN386" i="90"/>
  <c r="BR385" i="90"/>
  <c r="BQ385" i="90"/>
  <c r="BP385" i="90"/>
  <c r="BO385" i="90"/>
  <c r="BN385" i="90"/>
  <c r="BR384" i="90"/>
  <c r="BQ384" i="90"/>
  <c r="BP384" i="90"/>
  <c r="BO384" i="90"/>
  <c r="BN384" i="90"/>
  <c r="BR383" i="90"/>
  <c r="BQ383" i="90"/>
  <c r="BP383" i="90"/>
  <c r="BO383" i="90"/>
  <c r="BN383" i="90"/>
  <c r="BR382" i="90"/>
  <c r="BQ382" i="90"/>
  <c r="BP382" i="90"/>
  <c r="BO382" i="90"/>
  <c r="BN382" i="90"/>
  <c r="BR381" i="90"/>
  <c r="BQ381" i="90"/>
  <c r="BP381" i="90"/>
  <c r="BO381" i="90"/>
  <c r="BN381" i="90"/>
  <c r="BR380" i="90"/>
  <c r="BQ380" i="90"/>
  <c r="BP380" i="90"/>
  <c r="BO380" i="90"/>
  <c r="BN380" i="90"/>
  <c r="BR379" i="90"/>
  <c r="BQ379" i="90"/>
  <c r="BP379" i="90"/>
  <c r="BO379" i="90"/>
  <c r="BN379" i="90"/>
  <c r="BR378" i="90"/>
  <c r="BQ378" i="90"/>
  <c r="BP378" i="90"/>
  <c r="BO378" i="90"/>
  <c r="BN378" i="90"/>
  <c r="BR377" i="90"/>
  <c r="BQ377" i="90"/>
  <c r="BP377" i="90"/>
  <c r="BO377" i="90"/>
  <c r="BN377" i="90"/>
  <c r="BR376" i="90"/>
  <c r="BQ376" i="90"/>
  <c r="BP376" i="90"/>
  <c r="BO376" i="90"/>
  <c r="BN376" i="90"/>
  <c r="BR375" i="90"/>
  <c r="BQ375" i="90"/>
  <c r="BP375" i="90"/>
  <c r="BO375" i="90"/>
  <c r="BN375" i="90"/>
  <c r="BR374" i="90"/>
  <c r="BQ374" i="90"/>
  <c r="BP374" i="90"/>
  <c r="BO374" i="90"/>
  <c r="BN374" i="90"/>
  <c r="BR373" i="90"/>
  <c r="BQ373" i="90"/>
  <c r="BP373" i="90"/>
  <c r="BO373" i="90"/>
  <c r="BN373" i="90"/>
  <c r="BR372" i="90"/>
  <c r="BQ372" i="90"/>
  <c r="BP372" i="90"/>
  <c r="BO372" i="90"/>
  <c r="BN372" i="90"/>
  <c r="BR371" i="90"/>
  <c r="BQ371" i="90"/>
  <c r="BP371" i="90"/>
  <c r="BO371" i="90"/>
  <c r="BN371" i="90"/>
  <c r="BR370" i="90"/>
  <c r="BQ370" i="90"/>
  <c r="BP370" i="90"/>
  <c r="BO370" i="90"/>
  <c r="BN370" i="90"/>
  <c r="BR369" i="90"/>
  <c r="BQ369" i="90"/>
  <c r="BP369" i="90"/>
  <c r="BO369" i="90"/>
  <c r="BN369" i="90"/>
  <c r="BJ44" i="90"/>
  <c r="BK44" i="90" s="1"/>
  <c r="BL44" i="90" s="1"/>
  <c r="BM44" i="90" s="1"/>
  <c r="BN44" i="90" s="1"/>
  <c r="BO44" i="90" s="1"/>
  <c r="BP44" i="90" s="1"/>
  <c r="BQ44" i="90" s="1"/>
  <c r="BR44" i="90" s="1"/>
  <c r="BG396" i="90"/>
  <c r="BF396" i="90"/>
  <c r="BE396" i="90"/>
  <c r="BG395" i="90"/>
  <c r="BF395" i="90"/>
  <c r="BE395" i="90"/>
  <c r="BG394" i="90"/>
  <c r="BF394" i="90"/>
  <c r="BE394" i="90"/>
  <c r="BG393" i="90"/>
  <c r="BF393" i="90"/>
  <c r="BE393" i="90"/>
  <c r="BG392" i="90"/>
  <c r="BF392" i="90"/>
  <c r="BE392" i="90"/>
  <c r="BG391" i="90"/>
  <c r="BF391" i="90"/>
  <c r="BE391" i="90"/>
  <c r="BG390" i="90"/>
  <c r="BF390" i="90"/>
  <c r="BE390" i="90"/>
  <c r="BG389" i="90"/>
  <c r="BF389" i="90"/>
  <c r="BE389" i="90"/>
  <c r="BG388" i="90"/>
  <c r="BF388" i="90"/>
  <c r="BE388" i="90"/>
  <c r="BG387" i="90"/>
  <c r="BF387" i="90"/>
  <c r="BE387" i="90"/>
  <c r="BG386" i="90"/>
  <c r="BF386" i="90"/>
  <c r="BE386" i="90"/>
  <c r="BG385" i="90"/>
  <c r="BF385" i="90"/>
  <c r="BE385" i="90"/>
  <c r="BG384" i="90"/>
  <c r="BF384" i="90"/>
  <c r="BE384" i="90"/>
  <c r="BG383" i="90"/>
  <c r="BF383" i="90"/>
  <c r="BE383" i="90"/>
  <c r="BG382" i="90"/>
  <c r="BF382" i="90"/>
  <c r="BE382" i="90"/>
  <c r="BG381" i="90"/>
  <c r="BF381" i="90"/>
  <c r="BE381" i="90"/>
  <c r="BG380" i="90"/>
  <c r="BF380" i="90"/>
  <c r="BE380" i="90"/>
  <c r="BG379" i="90"/>
  <c r="BF379" i="90"/>
  <c r="BE379" i="90"/>
  <c r="BG378" i="90"/>
  <c r="BF378" i="90"/>
  <c r="BE378" i="90"/>
  <c r="BG377" i="90"/>
  <c r="BF377" i="90"/>
  <c r="BE377" i="90"/>
  <c r="BG376" i="90"/>
  <c r="BF376" i="90"/>
  <c r="BE376" i="90"/>
  <c r="BG375" i="90"/>
  <c r="BF375" i="90"/>
  <c r="BE375" i="90"/>
  <c r="BG374" i="90"/>
  <c r="BF374" i="90"/>
  <c r="BE374" i="90"/>
  <c r="BG373" i="90"/>
  <c r="BF373" i="90"/>
  <c r="BE373" i="90"/>
  <c r="BG372" i="90"/>
  <c r="BF372" i="90"/>
  <c r="BE372" i="90"/>
  <c r="BG371" i="90"/>
  <c r="BF371" i="90"/>
  <c r="BE371" i="90"/>
  <c r="BG370" i="90"/>
  <c r="BF370" i="90"/>
  <c r="BE370" i="90"/>
  <c r="BG369" i="90"/>
  <c r="BF369" i="90"/>
  <c r="BE369" i="90"/>
  <c r="BG368" i="90"/>
  <c r="BF368" i="90"/>
  <c r="BE368" i="90"/>
  <c r="BG367" i="90"/>
  <c r="BF367" i="90"/>
  <c r="BE367" i="90"/>
  <c r="BG366" i="90"/>
  <c r="BF366" i="90"/>
  <c r="BE366" i="90"/>
  <c r="BG365" i="90"/>
  <c r="BF365" i="90"/>
  <c r="BE365" i="90"/>
  <c r="BG339" i="90"/>
  <c r="BF339" i="90"/>
  <c r="BE339" i="90"/>
  <c r="BG338" i="90"/>
  <c r="BF338" i="90"/>
  <c r="BE338" i="90"/>
  <c r="BG337" i="90"/>
  <c r="BF337" i="90"/>
  <c r="BE337" i="90"/>
  <c r="BG336" i="90"/>
  <c r="BF336" i="90"/>
  <c r="BE336" i="90"/>
  <c r="BG335" i="90"/>
  <c r="BF335" i="90"/>
  <c r="BE335" i="90"/>
  <c r="BG334" i="90"/>
  <c r="BF334" i="90"/>
  <c r="BE334" i="90"/>
  <c r="BG333" i="90"/>
  <c r="BF333" i="90"/>
  <c r="BE333" i="90"/>
  <c r="BG332" i="90"/>
  <c r="BF332" i="90"/>
  <c r="BE332" i="90"/>
  <c r="BG331" i="90"/>
  <c r="BF331" i="90"/>
  <c r="BE331" i="90"/>
  <c r="BG330" i="90"/>
  <c r="BF330" i="90"/>
  <c r="BE330" i="90"/>
  <c r="BG329" i="90"/>
  <c r="BF329" i="90"/>
  <c r="BE329" i="90"/>
  <c r="BG328" i="90"/>
  <c r="BF328" i="90"/>
  <c r="BE328" i="90"/>
  <c r="BG327" i="90"/>
  <c r="BF327" i="90"/>
  <c r="BE327" i="90"/>
  <c r="BG326" i="90"/>
  <c r="BF326" i="90"/>
  <c r="BE326" i="90"/>
  <c r="BG325" i="90"/>
  <c r="BF325" i="90"/>
  <c r="BE325" i="90"/>
  <c r="BG324" i="90"/>
  <c r="BF324" i="90"/>
  <c r="BE324" i="90"/>
  <c r="BG323" i="90"/>
  <c r="BF323" i="90"/>
  <c r="BE323" i="90"/>
  <c r="BG322" i="90"/>
  <c r="BF322" i="90"/>
  <c r="BE322" i="90"/>
  <c r="BG321" i="90"/>
  <c r="BF321" i="90"/>
  <c r="BE321" i="90"/>
  <c r="BG320" i="90"/>
  <c r="BF320" i="90"/>
  <c r="BE320" i="90"/>
  <c r="BG319" i="90"/>
  <c r="BF319" i="90"/>
  <c r="BE319" i="90"/>
  <c r="BG318" i="90"/>
  <c r="BF318" i="90"/>
  <c r="BE318" i="90"/>
  <c r="BG317" i="90"/>
  <c r="BF317" i="90"/>
  <c r="BE317" i="90"/>
  <c r="BG316" i="90"/>
  <c r="BF316" i="90"/>
  <c r="BE316" i="90"/>
  <c r="BG315" i="90"/>
  <c r="BF315" i="90"/>
  <c r="BE315" i="90"/>
  <c r="BG314" i="90"/>
  <c r="BF314" i="90"/>
  <c r="BE314" i="90"/>
  <c r="BG313" i="90"/>
  <c r="BF313" i="90"/>
  <c r="BE313" i="90"/>
  <c r="BG312" i="90"/>
  <c r="BF312" i="90"/>
  <c r="BE312" i="90"/>
  <c r="BG311" i="90"/>
  <c r="BF311" i="90"/>
  <c r="BE311" i="90"/>
  <c r="BG310" i="90"/>
  <c r="BF310" i="90"/>
  <c r="BE310" i="90"/>
  <c r="BG309" i="90"/>
  <c r="BF309" i="90"/>
  <c r="BE309" i="90"/>
  <c r="BG248" i="90"/>
  <c r="BF248" i="90"/>
  <c r="BE248" i="90"/>
  <c r="BG247" i="90"/>
  <c r="BF247" i="90"/>
  <c r="BE247" i="90"/>
  <c r="BG246" i="90"/>
  <c r="BF246" i="90"/>
  <c r="BE246" i="90"/>
  <c r="BG245" i="90"/>
  <c r="BF245" i="90"/>
  <c r="BE245" i="90"/>
  <c r="BG244" i="90"/>
  <c r="BF244" i="90"/>
  <c r="BE244" i="90"/>
  <c r="BG243" i="90"/>
  <c r="BF243" i="90"/>
  <c r="BE243" i="90"/>
  <c r="BG242" i="90"/>
  <c r="BF242" i="90"/>
  <c r="BE242" i="90"/>
  <c r="BG241" i="90"/>
  <c r="BF241" i="90"/>
  <c r="BE241" i="90"/>
  <c r="BG240" i="90"/>
  <c r="BF240" i="90"/>
  <c r="BE240" i="90"/>
  <c r="BG239" i="90"/>
  <c r="BF239" i="90"/>
  <c r="BE239" i="90"/>
  <c r="BG238" i="90"/>
  <c r="BF238" i="90"/>
  <c r="BE238" i="90"/>
  <c r="BG237" i="90"/>
  <c r="BF237" i="90"/>
  <c r="BE237" i="90"/>
  <c r="BG63" i="90"/>
  <c r="BF63" i="90"/>
  <c r="BE63" i="90"/>
  <c r="BG62" i="90"/>
  <c r="BF62" i="90"/>
  <c r="BE62" i="90"/>
  <c r="BG54" i="90"/>
  <c r="BF54" i="90"/>
  <c r="BE54" i="90"/>
  <c r="BG53" i="90"/>
  <c r="BF53" i="90"/>
  <c r="BE53" i="90"/>
  <c r="BG52" i="90"/>
  <c r="BF52" i="90"/>
  <c r="BE52" i="90"/>
  <c r="BG51" i="90"/>
  <c r="BF51" i="90"/>
  <c r="BE51" i="90"/>
  <c r="BG50" i="90"/>
  <c r="BF50" i="90"/>
  <c r="BE50" i="90"/>
  <c r="BG49" i="90"/>
  <c r="BF49" i="90"/>
  <c r="BE49" i="90"/>
  <c r="BG48" i="90"/>
  <c r="BF48" i="90"/>
  <c r="BE48" i="90"/>
  <c r="BG47" i="90"/>
  <c r="BF47" i="90"/>
  <c r="BE47" i="90"/>
  <c r="BG46" i="90"/>
  <c r="BF46" i="90"/>
  <c r="BE46" i="90"/>
  <c r="AV45" i="90"/>
  <c r="M15" i="90" s="1"/>
  <c r="AJ22" i="98" s="1"/>
  <c r="AU45" i="90"/>
  <c r="L15" i="90" s="1"/>
  <c r="AI22" i="98" s="1"/>
  <c r="AT45" i="90"/>
  <c r="K15" i="90" s="1"/>
  <c r="AH22" i="98" s="1"/>
  <c r="AS45" i="90"/>
  <c r="J15" i="90" s="1"/>
  <c r="AG22" i="98" s="1"/>
  <c r="AK45" i="90"/>
  <c r="M14" i="90" s="1"/>
  <c r="AJ21" i="98" s="1"/>
  <c r="AJ45" i="90"/>
  <c r="L14" i="90" s="1"/>
  <c r="AI21" i="98" s="1"/>
  <c r="AI45" i="90"/>
  <c r="K14" i="90" s="1"/>
  <c r="AH21" i="98" s="1"/>
  <c r="AH45" i="90"/>
  <c r="J14" i="90" s="1"/>
  <c r="AG21" i="98" s="1"/>
  <c r="Z45" i="90"/>
  <c r="Y45" i="90"/>
  <c r="X45" i="90"/>
  <c r="W45" i="90"/>
  <c r="AP43" i="90"/>
  <c r="BA43" i="90" s="1"/>
  <c r="AC43" i="90"/>
  <c r="AC3" i="90" s="1"/>
  <c r="AD43" i="90"/>
  <c r="AD3" i="90" s="1"/>
  <c r="AE43" i="90"/>
  <c r="AF43" i="90"/>
  <c r="AF3" i="90" s="1"/>
  <c r="AG43" i="90"/>
  <c r="AG3" i="90" s="1"/>
  <c r="AH43" i="90"/>
  <c r="AS43" i="90" s="1"/>
  <c r="AI43" i="90"/>
  <c r="AI3" i="90" s="1"/>
  <c r="AJ43" i="90"/>
  <c r="AJ3" i="90" s="1"/>
  <c r="AK43" i="90"/>
  <c r="AV43" i="90" s="1"/>
  <c r="AB43" i="90"/>
  <c r="AM43" i="90" s="1"/>
  <c r="AX43" i="90" s="1"/>
  <c r="BI43" i="90" s="1"/>
  <c r="BT43" i="90" s="1"/>
  <c r="AE3" i="90"/>
  <c r="R3" i="90"/>
  <c r="S3" i="90"/>
  <c r="T3" i="90"/>
  <c r="U3" i="90"/>
  <c r="V3" i="90"/>
  <c r="W3" i="90"/>
  <c r="X3" i="90"/>
  <c r="Y3" i="90"/>
  <c r="Z3" i="90"/>
  <c r="AI46" i="56" l="1"/>
  <c r="AI45" i="56" s="1"/>
  <c r="AI19" i="56" s="1"/>
  <c r="CX45" i="90"/>
  <c r="E23" i="90"/>
  <c r="AW25" i="42"/>
  <c r="AS25" i="42"/>
  <c r="AS24" i="42"/>
  <c r="AW24" i="42"/>
  <c r="AG42" i="41"/>
  <c r="AG76" i="41" s="1"/>
  <c r="AG101" i="41"/>
  <c r="K12" i="90"/>
  <c r="AH19" i="98" s="1"/>
  <c r="M11" i="90"/>
  <c r="M12" i="90"/>
  <c r="AJ19" i="98" s="1"/>
  <c r="K11" i="90"/>
  <c r="AH18" i="98" s="1"/>
  <c r="L13" i="90"/>
  <c r="AC41" i="98"/>
  <c r="AB42" i="98"/>
  <c r="AF42" i="98"/>
  <c r="AJ42" i="98"/>
  <c r="AE43" i="98"/>
  <c r="AI43" i="98"/>
  <c r="AD44" i="98"/>
  <c r="AH44" i="98"/>
  <c r="AD41" i="98"/>
  <c r="AH41" i="98"/>
  <c r="AC42" i="98"/>
  <c r="AG42" i="98"/>
  <c r="AB43" i="98"/>
  <c r="AF43" i="98"/>
  <c r="AJ43" i="98"/>
  <c r="AE44" i="98"/>
  <c r="AI44" i="98"/>
  <c r="AI41" i="98"/>
  <c r="AD42" i="98"/>
  <c r="AH42" i="98"/>
  <c r="AC43" i="98"/>
  <c r="AG43" i="98"/>
  <c r="AB44" i="98"/>
  <c r="AF44" i="98"/>
  <c r="AJ44" i="98"/>
  <c r="AB41" i="98"/>
  <c r="AF41" i="98"/>
  <c r="AJ41" i="98"/>
  <c r="AE42" i="98"/>
  <c r="AI42" i="98"/>
  <c r="AD43" i="98"/>
  <c r="AH43" i="98"/>
  <c r="AC44" i="98"/>
  <c r="AG44" i="98"/>
  <c r="L11" i="90"/>
  <c r="M13" i="90"/>
  <c r="L12" i="90"/>
  <c r="K13" i="90"/>
  <c r="BT340" i="90"/>
  <c r="BI340" i="90" s="1"/>
  <c r="BT345" i="90"/>
  <c r="BI345" i="90" s="1"/>
  <c r="BT343" i="90"/>
  <c r="BI343" i="90" s="1"/>
  <c r="BT341" i="90"/>
  <c r="BI341" i="90" s="1"/>
  <c r="BT342" i="90"/>
  <c r="BI342" i="90" s="1"/>
  <c r="BT348" i="90"/>
  <c r="BT349" i="90"/>
  <c r="BI349" i="90" s="1"/>
  <c r="BT344" i="90"/>
  <c r="BI344" i="90" s="1"/>
  <c r="BT350" i="90"/>
  <c r="BI350" i="90" s="1"/>
  <c r="BT347" i="90"/>
  <c r="BI347" i="90" s="1"/>
  <c r="BT354" i="90"/>
  <c r="BI354" i="90" s="1"/>
  <c r="BT351" i="90"/>
  <c r="BI351" i="90" s="1"/>
  <c r="BT346" i="90"/>
  <c r="BI346" i="90" s="1"/>
  <c r="BT355" i="90"/>
  <c r="BT352" i="90"/>
  <c r="BT353" i="90"/>
  <c r="BI353" i="90" s="1"/>
  <c r="BT357" i="90"/>
  <c r="BI357" i="90" s="1"/>
  <c r="BT358" i="90"/>
  <c r="BI358" i="90" s="1"/>
  <c r="BT363" i="90"/>
  <c r="BI363" i="90" s="1"/>
  <c r="BT362" i="90"/>
  <c r="BI362" i="90" s="1"/>
  <c r="BT364" i="90"/>
  <c r="BI364" i="90" s="1"/>
  <c r="BT251" i="90"/>
  <c r="BT255" i="90"/>
  <c r="BI255" i="90" s="1"/>
  <c r="BT258" i="90"/>
  <c r="BI258" i="90" s="1"/>
  <c r="BT356" i="90"/>
  <c r="BT359" i="90"/>
  <c r="BI359" i="90" s="1"/>
  <c r="BT360" i="90"/>
  <c r="BI360" i="90" s="1"/>
  <c r="BT253" i="90"/>
  <c r="BI253" i="90" s="1"/>
  <c r="BT361" i="90"/>
  <c r="BI361" i="90" s="1"/>
  <c r="BT249" i="90"/>
  <c r="BI249" i="90" s="1"/>
  <c r="BT250" i="90"/>
  <c r="BI250" i="90" s="1"/>
  <c r="BT252" i="90"/>
  <c r="BI252" i="90" s="1"/>
  <c r="BT257" i="90"/>
  <c r="BI257" i="90" s="1"/>
  <c r="BT261" i="90"/>
  <c r="BI261" i="90" s="1"/>
  <c r="BT264" i="90"/>
  <c r="BI264" i="90" s="1"/>
  <c r="BT265" i="90"/>
  <c r="BI265" i="90" s="1"/>
  <c r="BT266" i="90"/>
  <c r="BI266" i="90" s="1"/>
  <c r="BT269" i="90"/>
  <c r="BI269" i="90" s="1"/>
  <c r="BT271" i="90"/>
  <c r="BI271" i="90" s="1"/>
  <c r="BT272" i="90"/>
  <c r="BI272" i="90" s="1"/>
  <c r="BT276" i="90"/>
  <c r="BI276" i="90" s="1"/>
  <c r="BT277" i="90"/>
  <c r="BI277" i="90" s="1"/>
  <c r="BT279" i="90"/>
  <c r="BI279" i="90" s="1"/>
  <c r="BT280" i="90"/>
  <c r="BI280" i="90" s="1"/>
  <c r="BT263" i="90"/>
  <c r="BI263" i="90" s="1"/>
  <c r="BT267" i="90"/>
  <c r="BI267" i="90" s="1"/>
  <c r="BT268" i="90"/>
  <c r="BI268" i="90" s="1"/>
  <c r="BT273" i="90"/>
  <c r="BI273" i="90" s="1"/>
  <c r="BT254" i="90"/>
  <c r="BI254" i="90" s="1"/>
  <c r="BT256" i="90"/>
  <c r="BI256" i="90" s="1"/>
  <c r="BT260" i="90"/>
  <c r="BI260" i="90" s="1"/>
  <c r="BT262" i="90"/>
  <c r="BI262" i="90" s="1"/>
  <c r="BT275" i="90"/>
  <c r="BI275" i="90" s="1"/>
  <c r="BT259" i="90"/>
  <c r="BI259" i="90" s="1"/>
  <c r="BT270" i="90"/>
  <c r="BI270" i="90" s="1"/>
  <c r="BT274" i="90"/>
  <c r="BI274" i="90" s="1"/>
  <c r="BT281" i="90"/>
  <c r="BI281" i="90" s="1"/>
  <c r="BT283" i="90"/>
  <c r="BI283" i="90" s="1"/>
  <c r="BT285" i="90"/>
  <c r="BI285" i="90" s="1"/>
  <c r="BT287" i="90"/>
  <c r="BI287" i="90" s="1"/>
  <c r="BT291" i="90"/>
  <c r="BI291" i="90" s="1"/>
  <c r="BT278" i="90"/>
  <c r="BI278" i="90" s="1"/>
  <c r="BT282" i="90"/>
  <c r="BI282" i="90" s="1"/>
  <c r="BT284" i="90"/>
  <c r="BI284" i="90" s="1"/>
  <c r="BT288" i="90"/>
  <c r="BI288" i="90" s="1"/>
  <c r="BT293" i="90"/>
  <c r="BI293" i="90" s="1"/>
  <c r="BT298" i="90"/>
  <c r="BI298" i="90" s="1"/>
  <c r="BT300" i="90"/>
  <c r="BI300" i="90" s="1"/>
  <c r="BT286" i="90"/>
  <c r="BI286" i="90" s="1"/>
  <c r="BT289" i="90"/>
  <c r="BI289" i="90" s="1"/>
  <c r="BT290" i="90"/>
  <c r="BI290" i="90" s="1"/>
  <c r="BT299" i="90"/>
  <c r="BI299" i="90" s="1"/>
  <c r="BT292" i="90"/>
  <c r="BT301" i="90"/>
  <c r="BT302" i="90"/>
  <c r="BI302" i="90" s="1"/>
  <c r="BT303" i="90"/>
  <c r="BI303" i="90" s="1"/>
  <c r="BT304" i="90"/>
  <c r="BT206" i="90"/>
  <c r="BI206" i="90" s="1"/>
  <c r="BT207" i="90"/>
  <c r="BI207" i="90" s="1"/>
  <c r="BT208" i="90"/>
  <c r="BI208" i="90" s="1"/>
  <c r="BT296" i="90"/>
  <c r="BI296" i="90" s="1"/>
  <c r="BT297" i="90"/>
  <c r="BI297" i="90" s="1"/>
  <c r="BT204" i="90"/>
  <c r="BI204" i="90" s="1"/>
  <c r="BT205" i="90"/>
  <c r="BI205" i="90" s="1"/>
  <c r="BT213" i="90"/>
  <c r="BI213" i="90" s="1"/>
  <c r="BT305" i="90"/>
  <c r="BI305" i="90" s="1"/>
  <c r="BT307" i="90"/>
  <c r="BT308" i="90"/>
  <c r="BI308" i="90" s="1"/>
  <c r="BT209" i="90"/>
  <c r="BI209" i="90" s="1"/>
  <c r="BT294" i="90"/>
  <c r="BI294" i="90" s="1"/>
  <c r="BT212" i="90"/>
  <c r="BI212" i="90" s="1"/>
  <c r="BT214" i="90"/>
  <c r="BI214" i="90" s="1"/>
  <c r="BT215" i="90"/>
  <c r="BI215" i="90" s="1"/>
  <c r="BT229" i="90"/>
  <c r="BI229" i="90" s="1"/>
  <c r="BT236" i="90"/>
  <c r="BI236" i="90" s="1"/>
  <c r="BT89" i="90"/>
  <c r="BI89" i="90" s="1"/>
  <c r="BT90" i="90"/>
  <c r="BI90" i="90" s="1"/>
  <c r="BT91" i="90"/>
  <c r="BI91" i="90" s="1"/>
  <c r="BT92" i="90"/>
  <c r="BI92" i="90" s="1"/>
  <c r="BT93" i="90"/>
  <c r="BI93" i="90" s="1"/>
  <c r="BT94" i="90"/>
  <c r="BI94" i="90" s="1"/>
  <c r="BT95" i="90"/>
  <c r="BI95" i="90" s="1"/>
  <c r="BT98" i="90"/>
  <c r="BI98" i="90" s="1"/>
  <c r="BT99" i="90"/>
  <c r="BI99" i="90" s="1"/>
  <c r="BT100" i="90"/>
  <c r="BI100" i="90" s="1"/>
  <c r="BT101" i="90"/>
  <c r="BI101" i="90" s="1"/>
  <c r="BT306" i="90"/>
  <c r="BI306" i="90" s="1"/>
  <c r="BT219" i="90"/>
  <c r="BI219" i="90" s="1"/>
  <c r="BT222" i="90"/>
  <c r="BT225" i="90"/>
  <c r="BI225" i="90" s="1"/>
  <c r="BT228" i="90"/>
  <c r="BI228" i="90" s="1"/>
  <c r="BT234" i="90"/>
  <c r="BI234" i="90" s="1"/>
  <c r="BT96" i="90"/>
  <c r="BI96" i="90" s="1"/>
  <c r="BT97" i="90"/>
  <c r="BI97" i="90" s="1"/>
  <c r="BT102" i="90"/>
  <c r="BI102" i="90" s="1"/>
  <c r="BT106" i="90"/>
  <c r="BI106" i="90" s="1"/>
  <c r="BT107" i="90"/>
  <c r="BI107" i="90" s="1"/>
  <c r="BT113" i="90"/>
  <c r="BI113" i="90" s="1"/>
  <c r="BT116" i="90"/>
  <c r="BI116" i="90" s="1"/>
  <c r="BT217" i="90"/>
  <c r="BT218" i="90"/>
  <c r="BI218" i="90" s="1"/>
  <c r="BT223" i="90"/>
  <c r="BI223" i="90" s="1"/>
  <c r="BT226" i="90"/>
  <c r="BI226" i="90" s="1"/>
  <c r="BT231" i="90"/>
  <c r="BI231" i="90" s="1"/>
  <c r="BT235" i="90"/>
  <c r="BI235" i="90" s="1"/>
  <c r="BT108" i="90"/>
  <c r="BI108" i="90" s="1"/>
  <c r="BT109" i="90"/>
  <c r="BI109" i="90" s="1"/>
  <c r="BT110" i="90"/>
  <c r="BI110" i="90" s="1"/>
  <c r="BT130" i="90"/>
  <c r="BI130" i="90" s="1"/>
  <c r="BT131" i="90"/>
  <c r="BI131" i="90" s="1"/>
  <c r="BT138" i="90"/>
  <c r="BI138" i="90" s="1"/>
  <c r="BT139" i="90"/>
  <c r="BI139" i="90" s="1"/>
  <c r="BT150" i="90"/>
  <c r="BI150" i="90" s="1"/>
  <c r="BT295" i="90"/>
  <c r="BI295" i="90" s="1"/>
  <c r="BT216" i="90"/>
  <c r="BI216" i="90" s="1"/>
  <c r="BT224" i="90"/>
  <c r="BI224" i="90" s="1"/>
  <c r="BT232" i="90"/>
  <c r="BI232" i="90" s="1"/>
  <c r="BT220" i="90"/>
  <c r="BI220" i="90" s="1"/>
  <c r="BT230" i="90"/>
  <c r="BI230" i="90" s="1"/>
  <c r="BT103" i="90"/>
  <c r="BI103" i="90" s="1"/>
  <c r="BT119" i="90"/>
  <c r="BI119" i="90" s="1"/>
  <c r="BT120" i="90"/>
  <c r="BI120" i="90" s="1"/>
  <c r="BT121" i="90"/>
  <c r="BI121" i="90" s="1"/>
  <c r="BT124" i="90"/>
  <c r="BI124" i="90" s="1"/>
  <c r="BT126" i="90"/>
  <c r="BI126" i="90" s="1"/>
  <c r="BT210" i="90"/>
  <c r="BI210" i="90" s="1"/>
  <c r="BT211" i="90"/>
  <c r="BI211" i="90" s="1"/>
  <c r="BT221" i="90"/>
  <c r="BI221" i="90" s="1"/>
  <c r="BT227" i="90"/>
  <c r="BI227" i="90" s="1"/>
  <c r="BT118" i="90"/>
  <c r="BI118" i="90" s="1"/>
  <c r="BT127" i="90"/>
  <c r="BI127" i="90" s="1"/>
  <c r="BT105" i="90"/>
  <c r="BI105" i="90" s="1"/>
  <c r="BT112" i="90"/>
  <c r="BI112" i="90" s="1"/>
  <c r="BT115" i="90"/>
  <c r="BI115" i="90" s="1"/>
  <c r="BT117" i="90"/>
  <c r="BI117" i="90" s="1"/>
  <c r="BT122" i="90"/>
  <c r="BI122" i="90" s="1"/>
  <c r="BT123" i="90"/>
  <c r="BI123" i="90" s="1"/>
  <c r="BT125" i="90"/>
  <c r="BI125" i="90" s="1"/>
  <c r="BT129" i="90"/>
  <c r="BI129" i="90" s="1"/>
  <c r="BT135" i="90"/>
  <c r="BI135" i="90" s="1"/>
  <c r="BT143" i="90"/>
  <c r="BI143" i="90" s="1"/>
  <c r="BT146" i="90"/>
  <c r="BI146" i="90" s="1"/>
  <c r="BT149" i="90"/>
  <c r="BI149" i="90" s="1"/>
  <c r="BT151" i="90"/>
  <c r="BI151" i="90" s="1"/>
  <c r="BT154" i="90"/>
  <c r="BI154" i="90" s="1"/>
  <c r="BT165" i="90"/>
  <c r="BI165" i="90" s="1"/>
  <c r="BT166" i="90"/>
  <c r="BI166" i="90" s="1"/>
  <c r="BT167" i="90"/>
  <c r="BI167" i="90" s="1"/>
  <c r="BT168" i="90"/>
  <c r="BI168" i="90" s="1"/>
  <c r="BT111" i="90"/>
  <c r="BI111" i="90" s="1"/>
  <c r="BT132" i="90"/>
  <c r="BI132" i="90" s="1"/>
  <c r="BT136" i="90"/>
  <c r="BI136" i="90" s="1"/>
  <c r="BT141" i="90"/>
  <c r="BI141" i="90" s="1"/>
  <c r="BT144" i="90"/>
  <c r="BI144" i="90" s="1"/>
  <c r="BT147" i="90"/>
  <c r="BI147" i="90" s="1"/>
  <c r="BT155" i="90"/>
  <c r="BI155" i="90" s="1"/>
  <c r="BT157" i="90"/>
  <c r="BI157" i="90" s="1"/>
  <c r="BT159" i="90"/>
  <c r="BI159" i="90" s="1"/>
  <c r="BT160" i="90"/>
  <c r="BI160" i="90" s="1"/>
  <c r="BT161" i="90"/>
  <c r="BI161" i="90" s="1"/>
  <c r="BT162" i="90"/>
  <c r="BI162" i="90" s="1"/>
  <c r="BT163" i="90"/>
  <c r="BI163" i="90" s="1"/>
  <c r="BT169" i="90"/>
  <c r="BI169" i="90" s="1"/>
  <c r="BT170" i="90"/>
  <c r="BI170" i="90" s="1"/>
  <c r="BT177" i="90"/>
  <c r="BI177" i="90" s="1"/>
  <c r="BT178" i="90"/>
  <c r="BI178" i="90" s="1"/>
  <c r="BT133" i="90"/>
  <c r="BI133" i="90" s="1"/>
  <c r="BT137" i="90"/>
  <c r="BI137" i="90" s="1"/>
  <c r="BT140" i="90"/>
  <c r="BI140" i="90" s="1"/>
  <c r="BT142" i="90"/>
  <c r="BI142" i="90" s="1"/>
  <c r="BT148" i="90"/>
  <c r="BI148" i="90" s="1"/>
  <c r="BT152" i="90"/>
  <c r="BI152" i="90" s="1"/>
  <c r="BT171" i="90"/>
  <c r="BI171" i="90" s="1"/>
  <c r="BT172" i="90"/>
  <c r="BI172" i="90" s="1"/>
  <c r="BT173" i="90"/>
  <c r="BI173" i="90" s="1"/>
  <c r="BT174" i="90"/>
  <c r="BI174" i="90" s="1"/>
  <c r="BT175" i="90"/>
  <c r="BI175" i="90" s="1"/>
  <c r="BT233" i="90"/>
  <c r="BI233" i="90" s="1"/>
  <c r="BT104" i="90"/>
  <c r="BI104" i="90" s="1"/>
  <c r="BT114" i="90"/>
  <c r="BI114" i="90" s="1"/>
  <c r="BT128" i="90"/>
  <c r="BI128" i="90" s="1"/>
  <c r="BT134" i="90"/>
  <c r="BI134" i="90" s="1"/>
  <c r="BT145" i="90"/>
  <c r="BI145" i="90" s="1"/>
  <c r="BT158" i="90"/>
  <c r="BI158" i="90" s="1"/>
  <c r="BT164" i="90"/>
  <c r="BI164" i="90" s="1"/>
  <c r="BT181" i="90"/>
  <c r="BI181" i="90" s="1"/>
  <c r="BT184" i="90"/>
  <c r="BI184" i="90" s="1"/>
  <c r="BT185" i="90"/>
  <c r="BI185" i="90" s="1"/>
  <c r="BT186" i="90"/>
  <c r="BI186" i="90" s="1"/>
  <c r="BT192" i="90"/>
  <c r="BT193" i="90"/>
  <c r="BI193" i="90" s="1"/>
  <c r="BT198" i="90"/>
  <c r="BI198" i="90" s="1"/>
  <c r="BT199" i="90"/>
  <c r="BI199" i="90" s="1"/>
  <c r="BT75" i="90"/>
  <c r="BI75" i="90" s="1"/>
  <c r="BT76" i="90"/>
  <c r="BI76" i="90" s="1"/>
  <c r="BT153" i="90"/>
  <c r="BI153" i="90" s="1"/>
  <c r="BT176" i="90"/>
  <c r="BI176" i="90" s="1"/>
  <c r="BT179" i="90"/>
  <c r="BI179" i="90" s="1"/>
  <c r="BT182" i="90"/>
  <c r="BI182" i="90" s="1"/>
  <c r="BT194" i="90"/>
  <c r="BI194" i="90" s="1"/>
  <c r="BT195" i="90"/>
  <c r="BI195" i="90" s="1"/>
  <c r="BT200" i="90"/>
  <c r="BI200" i="90" s="1"/>
  <c r="BT201" i="90"/>
  <c r="BI201" i="90" s="1"/>
  <c r="BT74" i="90"/>
  <c r="BI74" i="90" s="1"/>
  <c r="BT180" i="90"/>
  <c r="BI180" i="90" s="1"/>
  <c r="BT202" i="90"/>
  <c r="BI202" i="90" s="1"/>
  <c r="BT203" i="90"/>
  <c r="BI203" i="90" s="1"/>
  <c r="BT70" i="90"/>
  <c r="BI70" i="90" s="1"/>
  <c r="BT156" i="90"/>
  <c r="BI156" i="90" s="1"/>
  <c r="BT183" i="90"/>
  <c r="BI183" i="90" s="1"/>
  <c r="BT187" i="90"/>
  <c r="BI187" i="90" s="1"/>
  <c r="BT188" i="90"/>
  <c r="BI188" i="90" s="1"/>
  <c r="BT189" i="90"/>
  <c r="BI189" i="90" s="1"/>
  <c r="BT190" i="90"/>
  <c r="BI190" i="90" s="1"/>
  <c r="BT191" i="90"/>
  <c r="BI191" i="90" s="1"/>
  <c r="BT196" i="90"/>
  <c r="BT197" i="90"/>
  <c r="BI197" i="90" s="1"/>
  <c r="BT73" i="90"/>
  <c r="BI73" i="90" s="1"/>
  <c r="BT77" i="90"/>
  <c r="BI77" i="90" s="1"/>
  <c r="BT78" i="90"/>
  <c r="BI78" i="90" s="1"/>
  <c r="BT79" i="90"/>
  <c r="BI79" i="90" s="1"/>
  <c r="BT80" i="90"/>
  <c r="BI80" i="90" s="1"/>
  <c r="BT81" i="90"/>
  <c r="BT88" i="90"/>
  <c r="BI88" i="90" s="1"/>
  <c r="BT66" i="90"/>
  <c r="BI66" i="90" s="1"/>
  <c r="BT83" i="90"/>
  <c r="BI83" i="90" s="1"/>
  <c r="BT85" i="90"/>
  <c r="BT64" i="90"/>
  <c r="BI64" i="90" s="1"/>
  <c r="BT87" i="90"/>
  <c r="BI87" i="90" s="1"/>
  <c r="BT82" i="90"/>
  <c r="BI82" i="90" s="1"/>
  <c r="BT84" i="90"/>
  <c r="BI84" i="90" s="1"/>
  <c r="BT86" i="90"/>
  <c r="BI86" i="90" s="1"/>
  <c r="BT69" i="90"/>
  <c r="BI69" i="90" s="1"/>
  <c r="BT71" i="90"/>
  <c r="BI71" i="90" s="1"/>
  <c r="BT72" i="90"/>
  <c r="BI72" i="90" s="1"/>
  <c r="BT65" i="90"/>
  <c r="BI65" i="90" s="1"/>
  <c r="BT67" i="90"/>
  <c r="BI67" i="90" s="1"/>
  <c r="BT68" i="90"/>
  <c r="BI68" i="90" s="1"/>
  <c r="AT43" i="90"/>
  <c r="BE43" i="90" s="1"/>
  <c r="BE3" i="90" s="1"/>
  <c r="J23" i="90"/>
  <c r="AG41" i="98"/>
  <c r="CE43" i="90"/>
  <c r="CP43" i="90" s="1"/>
  <c r="BT56" i="90"/>
  <c r="BI56" i="90" s="1"/>
  <c r="BT57" i="90"/>
  <c r="BI57" i="90" s="1"/>
  <c r="BT55" i="90"/>
  <c r="BI55" i="90" s="1"/>
  <c r="BT58" i="90"/>
  <c r="BI58" i="90" s="1"/>
  <c r="BT60" i="90"/>
  <c r="BI60" i="90" s="1"/>
  <c r="BT59" i="90"/>
  <c r="BI59" i="90" s="1"/>
  <c r="H23" i="90"/>
  <c r="AE41" i="98"/>
  <c r="BD43" i="90"/>
  <c r="AS3" i="90"/>
  <c r="AH42" i="41"/>
  <c r="AH76" i="41" s="1"/>
  <c r="AH28" i="45"/>
  <c r="AI42" i="41"/>
  <c r="AI76" i="41" s="1"/>
  <c r="AI28" i="45"/>
  <c r="AV3" i="90"/>
  <c r="BG43" i="90"/>
  <c r="BA3" i="90"/>
  <c r="BL43" i="90"/>
  <c r="AJ42" i="41"/>
  <c r="AJ76" i="41" s="1"/>
  <c r="AJ28" i="45"/>
  <c r="I23" i="90"/>
  <c r="M23" i="90"/>
  <c r="AQ43" i="90"/>
  <c r="BG45" i="90"/>
  <c r="AH3" i="90"/>
  <c r="AK3" i="90"/>
  <c r="AN43" i="90"/>
  <c r="AR43" i="90"/>
  <c r="F23" i="90"/>
  <c r="L23" i="90"/>
  <c r="K23" i="90"/>
  <c r="AU43" i="90"/>
  <c r="AP3" i="90"/>
  <c r="AO43" i="90"/>
  <c r="BF45" i="90"/>
  <c r="BE45" i="90"/>
  <c r="G23" i="90"/>
  <c r="AG28" i="45"/>
  <c r="AG86" i="12"/>
  <c r="AG16" i="12" s="1"/>
  <c r="AH86" i="12"/>
  <c r="AH16" i="12" s="1"/>
  <c r="AI86" i="12"/>
  <c r="AI16" i="12" s="1"/>
  <c r="AG94" i="12"/>
  <c r="AH94" i="12"/>
  <c r="AI94" i="12"/>
  <c r="AG117" i="12"/>
  <c r="AH117" i="12"/>
  <c r="AI117" i="12"/>
  <c r="AG79" i="12"/>
  <c r="AH79" i="12"/>
  <c r="AI79" i="12"/>
  <c r="AA6" i="86"/>
  <c r="I161" i="98" s="1"/>
  <c r="I131" i="98" s="1"/>
  <c r="AB6" i="86"/>
  <c r="J161" i="98" s="1"/>
  <c r="J131" i="98" s="1"/>
  <c r="AC6" i="86"/>
  <c r="K161" i="98" s="1"/>
  <c r="K131" i="98" s="1"/>
  <c r="AD6" i="86"/>
  <c r="L161" i="98" s="1"/>
  <c r="L131" i="98" s="1"/>
  <c r="AE6" i="86"/>
  <c r="M161" i="98" s="1"/>
  <c r="M131" i="98" s="1"/>
  <c r="K16" i="90" l="1"/>
  <c r="K27" i="90" s="1"/>
  <c r="K152" i="98"/>
  <c r="K120" i="98"/>
  <c r="K126" i="98"/>
  <c r="K115" i="98"/>
  <c r="K110" i="98"/>
  <c r="K142" i="98"/>
  <c r="J120" i="98"/>
  <c r="J115" i="98"/>
  <c r="J152" i="98"/>
  <c r="J142" i="98"/>
  <c r="J110" i="98"/>
  <c r="J126" i="98"/>
  <c r="I152" i="98"/>
  <c r="I126" i="98"/>
  <c r="I115" i="98"/>
  <c r="I110" i="98"/>
  <c r="I120" i="98"/>
  <c r="I142" i="98"/>
  <c r="L142" i="98"/>
  <c r="L126" i="98"/>
  <c r="L115" i="98"/>
  <c r="L120" i="98"/>
  <c r="L110" i="98"/>
  <c r="L152" i="98"/>
  <c r="M142" i="98"/>
  <c r="M110" i="98"/>
  <c r="M115" i="98"/>
  <c r="M152" i="98"/>
  <c r="M120" i="98"/>
  <c r="M126" i="98"/>
  <c r="AI45" i="98"/>
  <c r="AH45" i="98"/>
  <c r="AG45" i="98"/>
  <c r="AC45" i="98"/>
  <c r="M24" i="90"/>
  <c r="AE45" i="98"/>
  <c r="BP43" i="90"/>
  <c r="AI57" i="12"/>
  <c r="AB45" i="98"/>
  <c r="AD45" i="98"/>
  <c r="AJ18" i="98"/>
  <c r="AI20" i="98"/>
  <c r="AF45" i="98"/>
  <c r="AT3" i="90"/>
  <c r="AJ20" i="98"/>
  <c r="M33" i="90"/>
  <c r="AI18" i="98"/>
  <c r="K33" i="90"/>
  <c r="J33" i="90"/>
  <c r="AH20" i="98"/>
  <c r="AH24" i="98" s="1"/>
  <c r="AI19" i="98"/>
  <c r="M16" i="90"/>
  <c r="M27" i="90" s="1"/>
  <c r="L16" i="90"/>
  <c r="L27" i="90" s="1"/>
  <c r="BI196" i="90"/>
  <c r="BI217" i="90"/>
  <c r="BI85" i="90"/>
  <c r="BI81" i="90"/>
  <c r="BI307" i="90"/>
  <c r="BI352" i="90"/>
  <c r="BI192" i="90"/>
  <c r="BI301" i="90"/>
  <c r="BI251" i="90"/>
  <c r="BI348" i="90"/>
  <c r="BI222" i="90"/>
  <c r="BI304" i="90"/>
  <c r="BI292" i="90"/>
  <c r="AI34" i="12"/>
  <c r="Q167" i="98" s="1"/>
  <c r="AI98" i="116"/>
  <c r="AH34" i="12"/>
  <c r="P167" i="98" s="1"/>
  <c r="AH98" i="116"/>
  <c r="AG34" i="12"/>
  <c r="O167" i="98" s="1"/>
  <c r="AG98" i="116"/>
  <c r="E33" i="90"/>
  <c r="H33" i="90"/>
  <c r="I33" i="90"/>
  <c r="F33" i="90"/>
  <c r="G33" i="90"/>
  <c r="L33" i="90"/>
  <c r="K26" i="90"/>
  <c r="AH31" i="12"/>
  <c r="AG31" i="12"/>
  <c r="AI31" i="12"/>
  <c r="AI15" i="12"/>
  <c r="AH15" i="12"/>
  <c r="AG15" i="12"/>
  <c r="AG64" i="12"/>
  <c r="AI64" i="12"/>
  <c r="AH64" i="12"/>
  <c r="AH71" i="12"/>
  <c r="AH14" i="12" s="1"/>
  <c r="AG71" i="12"/>
  <c r="AG14" i="12" s="1"/>
  <c r="AI71" i="12"/>
  <c r="AI14" i="12" s="1"/>
  <c r="AU3" i="90"/>
  <c r="BF43" i="90"/>
  <c r="AQ3" i="90"/>
  <c r="BB43" i="90"/>
  <c r="BP3" i="90"/>
  <c r="CA43" i="90"/>
  <c r="BG3" i="90"/>
  <c r="BR43" i="90"/>
  <c r="AZ43" i="90"/>
  <c r="AO3" i="90"/>
  <c r="AR3" i="90"/>
  <c r="BC43" i="90"/>
  <c r="BL3" i="90"/>
  <c r="BW43" i="90"/>
  <c r="AN3" i="90"/>
  <c r="AY43" i="90"/>
  <c r="BD3" i="90"/>
  <c r="BO43" i="90"/>
  <c r="AI112" i="41"/>
  <c r="AI168" i="44"/>
  <c r="M34" i="90" l="1"/>
  <c r="AJ24" i="98"/>
  <c r="Q164" i="98"/>
  <c r="P164" i="98"/>
  <c r="O164" i="98"/>
  <c r="O65" i="98"/>
  <c r="P65" i="98"/>
  <c r="Q65" i="98"/>
  <c r="AH57" i="12"/>
  <c r="AH35" i="30"/>
  <c r="AJ35" i="30"/>
  <c r="M26" i="90"/>
  <c r="AA24" i="114"/>
  <c r="AI24" i="98"/>
  <c r="Y24" i="114"/>
  <c r="AD35" i="30"/>
  <c r="AB35" i="30"/>
  <c r="L26" i="90"/>
  <c r="AC35" i="30"/>
  <c r="AF35" i="30"/>
  <c r="AI35" i="30"/>
  <c r="AE35" i="30"/>
  <c r="AG35" i="30"/>
  <c r="AH13" i="12"/>
  <c r="AI13" i="12"/>
  <c r="AG13" i="12"/>
  <c r="AI12" i="12"/>
  <c r="CA340" i="90"/>
  <c r="CA344" i="90"/>
  <c r="CA343" i="90"/>
  <c r="CA346" i="90"/>
  <c r="CA345" i="90"/>
  <c r="CA347" i="90"/>
  <c r="CA342" i="90"/>
  <c r="CA351" i="90"/>
  <c r="CA348" i="90"/>
  <c r="CA355" i="90"/>
  <c r="CA356" i="90"/>
  <c r="CA357" i="90"/>
  <c r="CA358" i="90"/>
  <c r="CA341" i="90"/>
  <c r="CA352" i="90"/>
  <c r="CA353" i="90"/>
  <c r="CA349" i="90"/>
  <c r="CA350" i="90"/>
  <c r="CA354" i="90"/>
  <c r="CA362" i="90"/>
  <c r="CA364" i="90"/>
  <c r="CA359" i="90"/>
  <c r="CA360" i="90"/>
  <c r="CA253" i="90"/>
  <c r="CA254" i="90"/>
  <c r="CA256" i="90"/>
  <c r="CA259" i="90"/>
  <c r="CA260" i="90"/>
  <c r="CA361" i="90"/>
  <c r="CA249" i="90"/>
  <c r="CA250" i="90"/>
  <c r="CA252" i="90"/>
  <c r="CA363" i="90"/>
  <c r="CA258" i="90"/>
  <c r="CA263" i="90"/>
  <c r="CA267" i="90"/>
  <c r="CA268" i="90"/>
  <c r="CA273" i="90"/>
  <c r="CA257" i="90"/>
  <c r="CA261" i="90"/>
  <c r="CA275" i="90"/>
  <c r="CA251" i="90"/>
  <c r="CA270" i="90"/>
  <c r="CA274" i="90"/>
  <c r="CA255" i="90"/>
  <c r="CA262" i="90"/>
  <c r="CA264" i="90"/>
  <c r="CA265" i="90"/>
  <c r="CA266" i="90"/>
  <c r="CA269" i="90"/>
  <c r="CA271" i="90"/>
  <c r="CA272" i="90"/>
  <c r="CA282" i="90"/>
  <c r="CA284" i="90"/>
  <c r="CA288" i="90"/>
  <c r="CA277" i="90"/>
  <c r="CA279" i="90"/>
  <c r="CA280" i="90"/>
  <c r="CA286" i="90"/>
  <c r="CA289" i="90"/>
  <c r="CA290" i="90"/>
  <c r="CA296" i="90"/>
  <c r="CA297" i="90"/>
  <c r="CA299" i="90"/>
  <c r="CA278" i="90"/>
  <c r="CA292" i="90"/>
  <c r="CA295" i="90"/>
  <c r="CA276" i="90"/>
  <c r="CA281" i="90"/>
  <c r="CA283" i="90"/>
  <c r="CA285" i="90"/>
  <c r="CA287" i="90"/>
  <c r="CA298" i="90"/>
  <c r="CA301" i="90"/>
  <c r="CA302" i="90"/>
  <c r="CA294" i="90"/>
  <c r="CA300" i="90"/>
  <c r="CA209" i="90"/>
  <c r="CA210" i="90"/>
  <c r="CA211" i="90"/>
  <c r="CA293" i="90"/>
  <c r="CA305" i="90"/>
  <c r="CA306" i="90"/>
  <c r="CA307" i="90"/>
  <c r="CA308" i="90"/>
  <c r="CA291" i="90"/>
  <c r="CA304" i="90"/>
  <c r="CA206" i="90"/>
  <c r="CA208" i="90"/>
  <c r="CA214" i="90"/>
  <c r="CA215" i="90"/>
  <c r="CA205" i="90"/>
  <c r="CA213" i="90"/>
  <c r="CA216" i="90"/>
  <c r="CA221" i="90"/>
  <c r="CA222" i="90"/>
  <c r="CA223" i="90"/>
  <c r="CA224" i="90"/>
  <c r="CA227" i="90"/>
  <c r="CA228" i="90"/>
  <c r="CA96" i="90"/>
  <c r="CA97" i="90"/>
  <c r="CA102" i="90"/>
  <c r="CA217" i="90"/>
  <c r="CA218" i="90"/>
  <c r="CA230" i="90"/>
  <c r="CA233" i="90"/>
  <c r="CA91" i="90"/>
  <c r="CA95" i="90"/>
  <c r="CA101" i="90"/>
  <c r="CA108" i="90"/>
  <c r="CA109" i="90"/>
  <c r="CA110" i="90"/>
  <c r="CA207" i="90"/>
  <c r="CA225" i="90"/>
  <c r="CA229" i="90"/>
  <c r="CA234" i="90"/>
  <c r="CA236" i="90"/>
  <c r="CA92" i="90"/>
  <c r="CA98" i="90"/>
  <c r="CA111" i="90"/>
  <c r="CA120" i="90"/>
  <c r="CA132" i="90"/>
  <c r="CA133" i="90"/>
  <c r="CA134" i="90"/>
  <c r="CA135" i="90"/>
  <c r="CA136" i="90"/>
  <c r="CA137" i="90"/>
  <c r="CA141" i="90"/>
  <c r="CA142" i="90"/>
  <c r="CA151" i="90"/>
  <c r="CA303" i="90"/>
  <c r="CA204" i="90"/>
  <c r="CA212" i="90"/>
  <c r="CA220" i="90"/>
  <c r="CA226" i="90"/>
  <c r="CA231" i="90"/>
  <c r="CA235" i="90"/>
  <c r="CA89" i="90"/>
  <c r="CA219" i="90"/>
  <c r="CA99" i="90"/>
  <c r="CA107" i="90"/>
  <c r="CA118" i="90"/>
  <c r="CA232" i="90"/>
  <c r="CA100" i="90"/>
  <c r="CA105" i="90"/>
  <c r="CA106" i="90"/>
  <c r="CA112" i="90"/>
  <c r="CA113" i="90"/>
  <c r="CA115" i="90"/>
  <c r="CA116" i="90"/>
  <c r="CA117" i="90"/>
  <c r="CA121" i="90"/>
  <c r="CA124" i="90"/>
  <c r="CA126" i="90"/>
  <c r="CA90" i="90"/>
  <c r="CA93" i="90"/>
  <c r="CA104" i="90"/>
  <c r="CA114" i="90"/>
  <c r="CA127" i="90"/>
  <c r="CA119" i="90"/>
  <c r="CA125" i="90"/>
  <c r="CA130" i="90"/>
  <c r="CA139" i="90"/>
  <c r="CA145" i="90"/>
  <c r="CA150" i="90"/>
  <c r="CA153" i="90"/>
  <c r="CA156" i="90"/>
  <c r="CA158" i="90"/>
  <c r="CA159" i="90"/>
  <c r="CA160" i="90"/>
  <c r="CA161" i="90"/>
  <c r="CA162" i="90"/>
  <c r="CA163" i="90"/>
  <c r="CA169" i="90"/>
  <c r="CA170" i="90"/>
  <c r="CA177" i="90"/>
  <c r="CA178" i="90"/>
  <c r="CA129" i="90"/>
  <c r="CA131" i="90"/>
  <c r="CA143" i="90"/>
  <c r="CA146" i="90"/>
  <c r="CA149" i="90"/>
  <c r="CA154" i="90"/>
  <c r="CA171" i="90"/>
  <c r="CA172" i="90"/>
  <c r="CA173" i="90"/>
  <c r="CA174" i="90"/>
  <c r="CA175" i="90"/>
  <c r="CA128" i="90"/>
  <c r="CA144" i="90"/>
  <c r="CA147" i="90"/>
  <c r="CA155" i="90"/>
  <c r="CA157" i="90"/>
  <c r="CA164" i="90"/>
  <c r="CA176" i="90"/>
  <c r="CA179" i="90"/>
  <c r="CA180" i="90"/>
  <c r="CA94" i="90"/>
  <c r="CA103" i="90"/>
  <c r="CA122" i="90"/>
  <c r="CA123" i="90"/>
  <c r="CA138" i="90"/>
  <c r="CA140" i="90"/>
  <c r="CA182" i="90"/>
  <c r="CA194" i="90"/>
  <c r="CA195" i="90"/>
  <c r="CA200" i="90"/>
  <c r="CA201" i="90"/>
  <c r="CA74" i="90"/>
  <c r="CA148" i="90"/>
  <c r="CA181" i="90"/>
  <c r="CA202" i="90"/>
  <c r="CA203" i="90"/>
  <c r="CA165" i="90"/>
  <c r="CA166" i="90"/>
  <c r="CA167" i="90"/>
  <c r="CA168" i="90"/>
  <c r="CA183" i="90"/>
  <c r="CA187" i="90"/>
  <c r="CA188" i="90"/>
  <c r="CA189" i="90"/>
  <c r="CA190" i="90"/>
  <c r="CA191" i="90"/>
  <c r="CA196" i="90"/>
  <c r="CA197" i="90"/>
  <c r="CA73" i="90"/>
  <c r="CA77" i="90"/>
  <c r="CA78" i="90"/>
  <c r="CA79" i="90"/>
  <c r="CA80" i="90"/>
  <c r="CA81" i="90"/>
  <c r="CA88" i="90"/>
  <c r="CA66" i="90"/>
  <c r="CA67" i="90"/>
  <c r="CA68" i="90"/>
  <c r="CA152" i="90"/>
  <c r="CA184" i="90"/>
  <c r="CA185" i="90"/>
  <c r="CA186" i="90"/>
  <c r="CA192" i="90"/>
  <c r="CA193" i="90"/>
  <c r="CA198" i="90"/>
  <c r="CA199" i="90"/>
  <c r="CA75" i="90"/>
  <c r="CA76" i="90"/>
  <c r="CA82" i="90"/>
  <c r="CA83" i="90"/>
  <c r="CA84" i="90"/>
  <c r="CA85" i="90"/>
  <c r="CA86" i="90"/>
  <c r="CA64" i="90"/>
  <c r="CA87" i="90"/>
  <c r="CA71" i="90"/>
  <c r="CA72" i="90"/>
  <c r="CA65" i="90"/>
  <c r="CA70" i="90"/>
  <c r="CA69" i="90"/>
  <c r="BW345" i="90"/>
  <c r="BW340" i="90"/>
  <c r="BW344" i="90"/>
  <c r="BW346" i="90"/>
  <c r="BW341" i="90"/>
  <c r="BW342" i="90"/>
  <c r="BW347" i="90"/>
  <c r="BW350" i="90"/>
  <c r="BW351" i="90"/>
  <c r="BW349" i="90"/>
  <c r="BW355" i="90"/>
  <c r="BW356" i="90"/>
  <c r="BW357" i="90"/>
  <c r="BW358" i="90"/>
  <c r="BW343" i="90"/>
  <c r="BW352" i="90"/>
  <c r="BW353" i="90"/>
  <c r="BW348" i="90"/>
  <c r="BW354" i="90"/>
  <c r="BW362" i="90"/>
  <c r="BW364" i="90"/>
  <c r="BW359" i="90"/>
  <c r="BW360" i="90"/>
  <c r="BW253" i="90"/>
  <c r="BW254" i="90"/>
  <c r="BW256" i="90"/>
  <c r="BW259" i="90"/>
  <c r="BW260" i="90"/>
  <c r="BW361" i="90"/>
  <c r="BW249" i="90"/>
  <c r="BW250" i="90"/>
  <c r="BW252" i="90"/>
  <c r="BW363" i="90"/>
  <c r="BW262" i="90"/>
  <c r="BW263" i="90"/>
  <c r="BW267" i="90"/>
  <c r="BW268" i="90"/>
  <c r="BW273" i="90"/>
  <c r="BW251" i="90"/>
  <c r="BW255" i="90"/>
  <c r="BW275" i="90"/>
  <c r="BW258" i="90"/>
  <c r="BW270" i="90"/>
  <c r="BW274" i="90"/>
  <c r="BW257" i="90"/>
  <c r="BW261" i="90"/>
  <c r="BW264" i="90"/>
  <c r="BW265" i="90"/>
  <c r="BW266" i="90"/>
  <c r="BW269" i="90"/>
  <c r="BW271" i="90"/>
  <c r="BW272" i="90"/>
  <c r="BW282" i="90"/>
  <c r="BW284" i="90"/>
  <c r="BW288" i="90"/>
  <c r="BW286" i="90"/>
  <c r="BW289" i="90"/>
  <c r="BW290" i="90"/>
  <c r="BW296" i="90"/>
  <c r="BW297" i="90"/>
  <c r="BW299" i="90"/>
  <c r="BW276" i="90"/>
  <c r="BW279" i="90"/>
  <c r="BW280" i="90"/>
  <c r="BW292" i="90"/>
  <c r="BW295" i="90"/>
  <c r="BW277" i="90"/>
  <c r="BW278" i="90"/>
  <c r="BW281" i="90"/>
  <c r="BW283" i="90"/>
  <c r="BW285" i="90"/>
  <c r="BW301" i="90"/>
  <c r="BW302" i="90"/>
  <c r="BW291" i="90"/>
  <c r="BW293" i="90"/>
  <c r="BW298" i="90"/>
  <c r="BW209" i="90"/>
  <c r="BW210" i="90"/>
  <c r="BW211" i="90"/>
  <c r="BW287" i="90"/>
  <c r="BW294" i="90"/>
  <c r="BW305" i="90"/>
  <c r="BW306" i="90"/>
  <c r="BW307" i="90"/>
  <c r="BW308" i="90"/>
  <c r="BW303" i="90"/>
  <c r="BW207" i="90"/>
  <c r="BW214" i="90"/>
  <c r="BW215" i="90"/>
  <c r="BW204" i="90"/>
  <c r="BW216" i="90"/>
  <c r="BW221" i="90"/>
  <c r="BW222" i="90"/>
  <c r="BW223" i="90"/>
  <c r="BW224" i="90"/>
  <c r="BW227" i="90"/>
  <c r="BW228" i="90"/>
  <c r="BW96" i="90"/>
  <c r="BW97" i="90"/>
  <c r="BW102" i="90"/>
  <c r="BW304" i="90"/>
  <c r="BW205" i="90"/>
  <c r="BW206" i="90"/>
  <c r="BW220" i="90"/>
  <c r="BW232" i="90"/>
  <c r="BW90" i="90"/>
  <c r="BW94" i="90"/>
  <c r="BW100" i="90"/>
  <c r="BW108" i="90"/>
  <c r="BW109" i="90"/>
  <c r="BW110" i="90"/>
  <c r="BW300" i="90"/>
  <c r="BW212" i="90"/>
  <c r="BW219" i="90"/>
  <c r="BW230" i="90"/>
  <c r="BW233" i="90"/>
  <c r="BW91" i="90"/>
  <c r="BW95" i="90"/>
  <c r="BW101" i="90"/>
  <c r="BW111" i="90"/>
  <c r="BW120" i="90"/>
  <c r="BW132" i="90"/>
  <c r="BW133" i="90"/>
  <c r="BW134" i="90"/>
  <c r="BW135" i="90"/>
  <c r="BW136" i="90"/>
  <c r="BW137" i="90"/>
  <c r="BW141" i="90"/>
  <c r="BW142" i="90"/>
  <c r="BW151" i="90"/>
  <c r="BW213" i="90"/>
  <c r="BW217" i="90"/>
  <c r="BW218" i="90"/>
  <c r="BW225" i="90"/>
  <c r="BW229" i="90"/>
  <c r="BW234" i="90"/>
  <c r="BW236" i="90"/>
  <c r="BW98" i="90"/>
  <c r="BW104" i="90"/>
  <c r="BW114" i="90"/>
  <c r="BW122" i="90"/>
  <c r="BW123" i="90"/>
  <c r="BW125" i="90"/>
  <c r="BW128" i="90"/>
  <c r="BW208" i="90"/>
  <c r="BW93" i="90"/>
  <c r="BW103" i="90"/>
  <c r="BW119" i="90"/>
  <c r="BW231" i="90"/>
  <c r="BW235" i="90"/>
  <c r="BW92" i="90"/>
  <c r="BW107" i="90"/>
  <c r="BW118" i="90"/>
  <c r="BW121" i="90"/>
  <c r="BW124" i="90"/>
  <c r="BW126" i="90"/>
  <c r="BW105" i="90"/>
  <c r="BW115" i="90"/>
  <c r="BW138" i="90"/>
  <c r="BW140" i="90"/>
  <c r="BW148" i="90"/>
  <c r="BW152" i="90"/>
  <c r="BW159" i="90"/>
  <c r="BW160" i="90"/>
  <c r="BW161" i="90"/>
  <c r="BW162" i="90"/>
  <c r="BW163" i="90"/>
  <c r="BW169" i="90"/>
  <c r="BW170" i="90"/>
  <c r="BW177" i="90"/>
  <c r="BW178" i="90"/>
  <c r="BW226" i="90"/>
  <c r="BW113" i="90"/>
  <c r="BW130" i="90"/>
  <c r="BW139" i="90"/>
  <c r="BW145" i="90"/>
  <c r="BW150" i="90"/>
  <c r="BW153" i="90"/>
  <c r="BW156" i="90"/>
  <c r="BW158" i="90"/>
  <c r="BW171" i="90"/>
  <c r="BW172" i="90"/>
  <c r="BW173" i="90"/>
  <c r="BW174" i="90"/>
  <c r="BW175" i="90"/>
  <c r="BW89" i="90"/>
  <c r="BW99" i="90"/>
  <c r="BW106" i="90"/>
  <c r="BW116" i="90"/>
  <c r="BW127" i="90"/>
  <c r="BW129" i="90"/>
  <c r="BW131" i="90"/>
  <c r="BW143" i="90"/>
  <c r="BW146" i="90"/>
  <c r="BW149" i="90"/>
  <c r="BW154" i="90"/>
  <c r="BW164" i="90"/>
  <c r="BW176" i="90"/>
  <c r="BW179" i="90"/>
  <c r="BW180" i="90"/>
  <c r="BW112" i="90"/>
  <c r="BW117" i="90"/>
  <c r="BW155" i="90"/>
  <c r="BW182" i="90"/>
  <c r="BW194" i="90"/>
  <c r="BW195" i="90"/>
  <c r="BW200" i="90"/>
  <c r="BW201" i="90"/>
  <c r="BW74" i="90"/>
  <c r="BW144" i="90"/>
  <c r="BW157" i="90"/>
  <c r="BW165" i="90"/>
  <c r="BW166" i="90"/>
  <c r="BW167" i="90"/>
  <c r="BW168" i="90"/>
  <c r="BW202" i="90"/>
  <c r="BW203" i="90"/>
  <c r="BW147" i="90"/>
  <c r="BW181" i="90"/>
  <c r="BW183" i="90"/>
  <c r="BW187" i="90"/>
  <c r="BW188" i="90"/>
  <c r="BW189" i="90"/>
  <c r="BW190" i="90"/>
  <c r="BW191" i="90"/>
  <c r="BW196" i="90"/>
  <c r="BW197" i="90"/>
  <c r="BW73" i="90"/>
  <c r="BW77" i="90"/>
  <c r="BW78" i="90"/>
  <c r="BW79" i="90"/>
  <c r="BW80" i="90"/>
  <c r="BW81" i="90"/>
  <c r="BW88" i="90"/>
  <c r="BW66" i="90"/>
  <c r="BW67" i="90"/>
  <c r="BW68" i="90"/>
  <c r="BW184" i="90"/>
  <c r="BW185" i="90"/>
  <c r="BW186" i="90"/>
  <c r="BW192" i="90"/>
  <c r="BW193" i="90"/>
  <c r="BW198" i="90"/>
  <c r="BW199" i="90"/>
  <c r="BW75" i="90"/>
  <c r="BW76" i="90"/>
  <c r="BW82" i="90"/>
  <c r="BW83" i="90"/>
  <c r="BW84" i="90"/>
  <c r="BW85" i="90"/>
  <c r="BW86" i="90"/>
  <c r="BW64" i="90"/>
  <c r="BW65" i="90"/>
  <c r="BW69" i="90"/>
  <c r="BW71" i="90"/>
  <c r="BW72" i="90"/>
  <c r="BW87" i="90"/>
  <c r="BW70" i="90"/>
  <c r="CA55" i="90"/>
  <c r="CA60" i="90"/>
  <c r="CA59" i="90"/>
  <c r="CA57" i="90"/>
  <c r="CA56" i="90"/>
  <c r="CA58" i="90"/>
  <c r="BW55" i="90"/>
  <c r="BW60" i="90"/>
  <c r="BW56" i="90"/>
  <c r="BW59" i="90"/>
  <c r="BW58" i="90"/>
  <c r="BW57" i="90"/>
  <c r="Q59" i="98"/>
  <c r="AI82" i="86"/>
  <c r="Q139" i="98" s="1"/>
  <c r="P59" i="98"/>
  <c r="O59" i="98"/>
  <c r="AH82" i="86"/>
  <c r="P139" i="98" s="1"/>
  <c r="AG82" i="86"/>
  <c r="O139" i="98" s="1"/>
  <c r="AI79" i="86"/>
  <c r="Q135" i="98" s="1"/>
  <c r="AG96" i="116"/>
  <c r="AG79" i="86"/>
  <c r="O135" i="98" s="1"/>
  <c r="AI96" i="116"/>
  <c r="AI99" i="116" s="1"/>
  <c r="AH96" i="116"/>
  <c r="AH79" i="86"/>
  <c r="P135" i="98" s="1"/>
  <c r="CA394" i="90"/>
  <c r="CA390" i="90"/>
  <c r="CA386" i="90"/>
  <c r="CA382" i="90"/>
  <c r="CA378" i="90"/>
  <c r="CA374" i="90"/>
  <c r="CA370" i="90"/>
  <c r="CA366" i="90"/>
  <c r="CA337" i="90"/>
  <c r="CA333" i="90"/>
  <c r="CA329" i="90"/>
  <c r="CA325" i="90"/>
  <c r="CA321" i="90"/>
  <c r="CA317" i="90"/>
  <c r="CA313" i="90"/>
  <c r="CA309" i="90"/>
  <c r="CA245" i="90"/>
  <c r="CA241" i="90"/>
  <c r="CA237" i="90"/>
  <c r="CA51" i="90"/>
  <c r="CA47" i="90"/>
  <c r="CA396" i="90"/>
  <c r="CA392" i="90"/>
  <c r="CA384" i="90"/>
  <c r="CA380" i="90"/>
  <c r="CA339" i="90"/>
  <c r="CA335" i="90"/>
  <c r="CA323" i="90"/>
  <c r="CA319" i="90"/>
  <c r="CA315" i="90"/>
  <c r="CA239" i="90"/>
  <c r="CA3" i="90"/>
  <c r="CA393" i="90"/>
  <c r="CA389" i="90"/>
  <c r="CA365" i="90"/>
  <c r="CA328" i="90"/>
  <c r="CA312" i="90"/>
  <c r="CA248" i="90"/>
  <c r="CA54" i="90"/>
  <c r="CL43" i="90"/>
  <c r="CA395" i="90"/>
  <c r="CA391" i="90"/>
  <c r="CA387" i="90"/>
  <c r="CA383" i="90"/>
  <c r="CA379" i="90"/>
  <c r="CA375" i="90"/>
  <c r="CA371" i="90"/>
  <c r="CA367" i="90"/>
  <c r="CA338" i="90"/>
  <c r="CA334" i="90"/>
  <c r="CA330" i="90"/>
  <c r="CA326" i="90"/>
  <c r="CA322" i="90"/>
  <c r="CA318" i="90"/>
  <c r="CA314" i="90"/>
  <c r="CA310" i="90"/>
  <c r="CA246" i="90"/>
  <c r="CA242" i="90"/>
  <c r="CA238" i="90"/>
  <c r="CA62" i="90"/>
  <c r="CA52" i="90"/>
  <c r="CA388" i="90"/>
  <c r="CA376" i="90"/>
  <c r="CA372" i="90"/>
  <c r="CA327" i="90"/>
  <c r="CA247" i="90"/>
  <c r="CA243" i="90"/>
  <c r="CA63" i="90"/>
  <c r="CA385" i="90"/>
  <c r="CA377" i="90"/>
  <c r="CA324" i="90"/>
  <c r="CA244" i="90"/>
  <c r="CA50" i="90"/>
  <c r="CA368" i="90"/>
  <c r="CA311" i="90"/>
  <c r="CA53" i="90"/>
  <c r="CA49" i="90"/>
  <c r="CA381" i="90"/>
  <c r="CA369" i="90"/>
  <c r="CA316" i="90"/>
  <c r="CA240" i="90"/>
  <c r="CA46" i="90"/>
  <c r="CA373" i="90"/>
  <c r="CA332" i="90"/>
  <c r="CA320" i="90"/>
  <c r="BQ43" i="90"/>
  <c r="BF3" i="90"/>
  <c r="AY3" i="90"/>
  <c r="BJ43" i="90"/>
  <c r="BW3" i="90"/>
  <c r="CH43" i="90"/>
  <c r="AZ3" i="90"/>
  <c r="BK43" i="90"/>
  <c r="BR3" i="90"/>
  <c r="CC43" i="90"/>
  <c r="BM43" i="90"/>
  <c r="BB3" i="90"/>
  <c r="BZ43" i="90"/>
  <c r="BO3" i="90"/>
  <c r="BN43" i="90"/>
  <c r="BC3" i="90"/>
  <c r="AH12" i="12" l="1"/>
  <c r="O57" i="98"/>
  <c r="P57" i="98"/>
  <c r="Q57" i="98"/>
  <c r="Z24" i="114"/>
  <c r="AG12" i="12"/>
  <c r="AH99" i="116"/>
  <c r="CC341" i="90"/>
  <c r="CC342" i="90"/>
  <c r="CC345" i="90"/>
  <c r="CC340" i="90"/>
  <c r="CC347" i="90"/>
  <c r="CC343" i="90"/>
  <c r="CC346" i="90"/>
  <c r="CC349" i="90"/>
  <c r="CC350" i="90"/>
  <c r="CC352" i="90"/>
  <c r="CC353" i="90"/>
  <c r="CC354" i="90"/>
  <c r="CC348" i="90"/>
  <c r="CC351" i="90"/>
  <c r="CC344" i="90"/>
  <c r="CC355" i="90"/>
  <c r="CC356" i="90"/>
  <c r="CC357" i="90"/>
  <c r="CC361" i="90"/>
  <c r="CC363" i="90"/>
  <c r="CC262" i="90"/>
  <c r="CC362" i="90"/>
  <c r="CC364" i="90"/>
  <c r="CC251" i="90"/>
  <c r="CC358" i="90"/>
  <c r="CC359" i="90"/>
  <c r="CC360" i="90"/>
  <c r="CC253" i="90"/>
  <c r="CC254" i="90"/>
  <c r="CC256" i="90"/>
  <c r="CC259" i="90"/>
  <c r="CC260" i="90"/>
  <c r="CC249" i="90"/>
  <c r="CC255" i="90"/>
  <c r="CC270" i="90"/>
  <c r="CC274" i="90"/>
  <c r="CC278" i="90"/>
  <c r="CC258" i="90"/>
  <c r="CC264" i="90"/>
  <c r="CC265" i="90"/>
  <c r="CC266" i="90"/>
  <c r="CC269" i="90"/>
  <c r="CC271" i="90"/>
  <c r="CC272" i="90"/>
  <c r="CC276" i="90"/>
  <c r="CC257" i="90"/>
  <c r="CC261" i="90"/>
  <c r="CC263" i="90"/>
  <c r="CC267" i="90"/>
  <c r="CC268" i="90"/>
  <c r="CC273" i="90"/>
  <c r="CC250" i="90"/>
  <c r="CC252" i="90"/>
  <c r="CC275" i="90"/>
  <c r="CC292" i="90"/>
  <c r="CC281" i="90"/>
  <c r="CC283" i="90"/>
  <c r="CC285" i="90"/>
  <c r="CC287" i="90"/>
  <c r="CC291" i="90"/>
  <c r="CC294" i="90"/>
  <c r="CC277" i="90"/>
  <c r="CC279" i="90"/>
  <c r="CC280" i="90"/>
  <c r="CC282" i="90"/>
  <c r="CC284" i="90"/>
  <c r="CC288" i="90"/>
  <c r="CC293" i="90"/>
  <c r="CC286" i="90"/>
  <c r="CC298" i="90"/>
  <c r="CC305" i="90"/>
  <c r="CC306" i="90"/>
  <c r="CC307" i="90"/>
  <c r="CC308" i="90"/>
  <c r="CC290" i="90"/>
  <c r="CC295" i="90"/>
  <c r="CC299" i="90"/>
  <c r="CC209" i="90"/>
  <c r="CC210" i="90"/>
  <c r="CC211" i="90"/>
  <c r="CC212" i="90"/>
  <c r="CC300" i="90"/>
  <c r="CC302" i="90"/>
  <c r="CC204" i="90"/>
  <c r="CC217" i="90"/>
  <c r="CC218" i="90"/>
  <c r="CC219" i="90"/>
  <c r="CC220" i="90"/>
  <c r="CC289" i="90"/>
  <c r="CC301" i="90"/>
  <c r="CC304" i="90"/>
  <c r="CC206" i="90"/>
  <c r="CC208" i="90"/>
  <c r="CC230" i="90"/>
  <c r="CC231" i="90"/>
  <c r="CC297" i="90"/>
  <c r="CC213" i="90"/>
  <c r="CC215" i="90"/>
  <c r="CC223" i="90"/>
  <c r="CC226" i="90"/>
  <c r="CC235" i="90"/>
  <c r="CC90" i="90"/>
  <c r="CC94" i="90"/>
  <c r="CC100" i="90"/>
  <c r="CC103" i="90"/>
  <c r="CC104" i="90"/>
  <c r="CC105" i="90"/>
  <c r="CC112" i="90"/>
  <c r="CC114" i="90"/>
  <c r="CC115" i="90"/>
  <c r="CC117" i="90"/>
  <c r="CC118" i="90"/>
  <c r="CC119" i="90"/>
  <c r="CC205" i="90"/>
  <c r="CC224" i="90"/>
  <c r="CC232" i="90"/>
  <c r="CC91" i="90"/>
  <c r="CC95" i="90"/>
  <c r="CC101" i="90"/>
  <c r="CC106" i="90"/>
  <c r="CC107" i="90"/>
  <c r="CC113" i="90"/>
  <c r="CC116" i="90"/>
  <c r="CC121" i="90"/>
  <c r="CC122" i="90"/>
  <c r="CC124" i="90"/>
  <c r="CC125" i="90"/>
  <c r="CC126" i="90"/>
  <c r="CC129" i="90"/>
  <c r="CC145" i="90"/>
  <c r="CC149" i="90"/>
  <c r="CC156" i="90"/>
  <c r="CC157" i="90"/>
  <c r="CC158" i="90"/>
  <c r="CC207" i="90"/>
  <c r="CC214" i="90"/>
  <c r="CC221" i="90"/>
  <c r="CC227" i="90"/>
  <c r="CC229" i="90"/>
  <c r="CC233" i="90"/>
  <c r="CC236" i="90"/>
  <c r="CC216" i="90"/>
  <c r="CC222" i="90"/>
  <c r="CC228" i="90"/>
  <c r="CC89" i="90"/>
  <c r="CC92" i="90"/>
  <c r="CC111" i="90"/>
  <c r="CC127" i="90"/>
  <c r="CC303" i="90"/>
  <c r="CC96" i="90"/>
  <c r="CC99" i="90"/>
  <c r="CC108" i="90"/>
  <c r="CC110" i="90"/>
  <c r="CC120" i="90"/>
  <c r="CC123" i="90"/>
  <c r="CC128" i="90"/>
  <c r="CC296" i="90"/>
  <c r="CC234" i="90"/>
  <c r="CC97" i="90"/>
  <c r="CC98" i="90"/>
  <c r="CC102" i="90"/>
  <c r="CC132" i="90"/>
  <c r="CC136" i="90"/>
  <c r="CC138" i="90"/>
  <c r="CC141" i="90"/>
  <c r="CC144" i="90"/>
  <c r="CC147" i="90"/>
  <c r="CC155" i="90"/>
  <c r="CC164" i="90"/>
  <c r="CC176" i="90"/>
  <c r="CC179" i="90"/>
  <c r="CC109" i="90"/>
  <c r="CC130" i="90"/>
  <c r="CC133" i="90"/>
  <c r="CC137" i="90"/>
  <c r="CC139" i="90"/>
  <c r="CC140" i="90"/>
  <c r="CC142" i="90"/>
  <c r="CC148" i="90"/>
  <c r="CC150" i="90"/>
  <c r="CC152" i="90"/>
  <c r="CC165" i="90"/>
  <c r="CC166" i="90"/>
  <c r="CC167" i="90"/>
  <c r="CC168" i="90"/>
  <c r="CC225" i="90"/>
  <c r="CC131" i="90"/>
  <c r="CC134" i="90"/>
  <c r="CC153" i="90"/>
  <c r="CC159" i="90"/>
  <c r="CC160" i="90"/>
  <c r="CC161" i="90"/>
  <c r="CC162" i="90"/>
  <c r="CC163" i="90"/>
  <c r="CC169" i="90"/>
  <c r="CC170" i="90"/>
  <c r="CC177" i="90"/>
  <c r="CC178" i="90"/>
  <c r="CC93" i="90"/>
  <c r="CC135" i="90"/>
  <c r="CC154" i="90"/>
  <c r="CC171" i="90"/>
  <c r="CC175" i="90"/>
  <c r="CC183" i="90"/>
  <c r="CC187" i="90"/>
  <c r="CC188" i="90"/>
  <c r="CC189" i="90"/>
  <c r="CC190" i="90"/>
  <c r="CC191" i="90"/>
  <c r="CC196" i="90"/>
  <c r="CC197" i="90"/>
  <c r="CC73" i="90"/>
  <c r="CC77" i="90"/>
  <c r="CC78" i="90"/>
  <c r="CC79" i="90"/>
  <c r="CC80" i="90"/>
  <c r="CC143" i="90"/>
  <c r="CC151" i="90"/>
  <c r="CC174" i="90"/>
  <c r="CC180" i="90"/>
  <c r="CC184" i="90"/>
  <c r="CC185" i="90"/>
  <c r="CC186" i="90"/>
  <c r="CC192" i="90"/>
  <c r="CC193" i="90"/>
  <c r="CC198" i="90"/>
  <c r="CC199" i="90"/>
  <c r="CC75" i="90"/>
  <c r="CC76" i="90"/>
  <c r="CC146" i="90"/>
  <c r="CC173" i="90"/>
  <c r="CC182" i="90"/>
  <c r="CC194" i="90"/>
  <c r="CC195" i="90"/>
  <c r="CC200" i="90"/>
  <c r="CC201" i="90"/>
  <c r="CC74" i="90"/>
  <c r="CC87" i="90"/>
  <c r="CC65" i="90"/>
  <c r="CC69" i="90"/>
  <c r="CC172" i="90"/>
  <c r="CC181" i="90"/>
  <c r="CC202" i="90"/>
  <c r="CC203" i="90"/>
  <c r="CC83" i="90"/>
  <c r="CC85" i="90"/>
  <c r="CC64" i="90"/>
  <c r="CC66" i="90"/>
  <c r="CC88" i="90"/>
  <c r="CC67" i="90"/>
  <c r="CC68" i="90"/>
  <c r="CC81" i="90"/>
  <c r="CC82" i="90"/>
  <c r="CC84" i="90"/>
  <c r="CC86" i="90"/>
  <c r="CC70" i="90"/>
  <c r="CC71" i="90"/>
  <c r="CC72" i="90"/>
  <c r="BZ341" i="90"/>
  <c r="BZ342" i="90"/>
  <c r="BZ343" i="90"/>
  <c r="BZ344" i="90"/>
  <c r="BZ346" i="90"/>
  <c r="BZ340" i="90"/>
  <c r="BZ348" i="90"/>
  <c r="BZ349" i="90"/>
  <c r="BZ355" i="90"/>
  <c r="BZ345" i="90"/>
  <c r="BZ352" i="90"/>
  <c r="BZ353" i="90"/>
  <c r="BZ350" i="90"/>
  <c r="BZ354" i="90"/>
  <c r="BZ347" i="90"/>
  <c r="BZ351" i="90"/>
  <c r="BZ359" i="90"/>
  <c r="BZ360" i="90"/>
  <c r="BZ356" i="90"/>
  <c r="BZ358" i="90"/>
  <c r="BZ361" i="90"/>
  <c r="BZ249" i="90"/>
  <c r="BZ250" i="90"/>
  <c r="BZ252" i="90"/>
  <c r="BZ257" i="90"/>
  <c r="BZ261" i="90"/>
  <c r="BZ363" i="90"/>
  <c r="BZ357" i="90"/>
  <c r="BZ362" i="90"/>
  <c r="BZ364" i="90"/>
  <c r="BZ251" i="90"/>
  <c r="BZ255" i="90"/>
  <c r="BZ258" i="90"/>
  <c r="BZ275" i="90"/>
  <c r="BZ254" i="90"/>
  <c r="BZ256" i="90"/>
  <c r="BZ260" i="90"/>
  <c r="BZ270" i="90"/>
  <c r="BZ274" i="90"/>
  <c r="BZ253" i="90"/>
  <c r="BZ259" i="90"/>
  <c r="BZ262" i="90"/>
  <c r="BZ264" i="90"/>
  <c r="BZ265" i="90"/>
  <c r="BZ266" i="90"/>
  <c r="BZ269" i="90"/>
  <c r="BZ271" i="90"/>
  <c r="BZ272" i="90"/>
  <c r="BZ276" i="90"/>
  <c r="BZ277" i="90"/>
  <c r="BZ263" i="90"/>
  <c r="BZ267" i="90"/>
  <c r="BZ268" i="90"/>
  <c r="BZ273" i="90"/>
  <c r="BZ279" i="90"/>
  <c r="BZ280" i="90"/>
  <c r="BZ286" i="90"/>
  <c r="BZ289" i="90"/>
  <c r="BZ290" i="90"/>
  <c r="BZ278" i="90"/>
  <c r="BZ292" i="90"/>
  <c r="BZ295" i="90"/>
  <c r="BZ281" i="90"/>
  <c r="BZ283" i="90"/>
  <c r="BZ285" i="90"/>
  <c r="BZ287" i="90"/>
  <c r="BZ291" i="90"/>
  <c r="BZ294" i="90"/>
  <c r="BZ282" i="90"/>
  <c r="BZ284" i="90"/>
  <c r="BZ296" i="90"/>
  <c r="BZ297" i="90"/>
  <c r="BZ300" i="90"/>
  <c r="BZ288" i="90"/>
  <c r="BZ299" i="90"/>
  <c r="BZ204" i="90"/>
  <c r="BZ205" i="90"/>
  <c r="BZ298" i="90"/>
  <c r="BZ301" i="90"/>
  <c r="BZ302" i="90"/>
  <c r="BZ303" i="90"/>
  <c r="BZ304" i="90"/>
  <c r="BZ206" i="90"/>
  <c r="BZ207" i="90"/>
  <c r="BZ208" i="90"/>
  <c r="BZ213" i="90"/>
  <c r="BZ216" i="90"/>
  <c r="BZ211" i="90"/>
  <c r="BZ212" i="90"/>
  <c r="BZ217" i="90"/>
  <c r="BZ218" i="90"/>
  <c r="BZ219" i="90"/>
  <c r="BZ220" i="90"/>
  <c r="BZ225" i="90"/>
  <c r="BZ226" i="90"/>
  <c r="BZ232" i="90"/>
  <c r="BZ233" i="90"/>
  <c r="BZ234" i="90"/>
  <c r="BZ235" i="90"/>
  <c r="BZ210" i="90"/>
  <c r="BZ221" i="90"/>
  <c r="BZ227" i="90"/>
  <c r="BZ229" i="90"/>
  <c r="BZ236" i="90"/>
  <c r="BZ92" i="90"/>
  <c r="BZ98" i="90"/>
  <c r="BZ111" i="90"/>
  <c r="BZ120" i="90"/>
  <c r="BZ306" i="90"/>
  <c r="BZ209" i="90"/>
  <c r="BZ214" i="90"/>
  <c r="BZ222" i="90"/>
  <c r="BZ228" i="90"/>
  <c r="BZ231" i="90"/>
  <c r="BZ89" i="90"/>
  <c r="BZ93" i="90"/>
  <c r="BZ96" i="90"/>
  <c r="BZ97" i="90"/>
  <c r="BZ99" i="90"/>
  <c r="BZ102" i="90"/>
  <c r="BZ103" i="90"/>
  <c r="BZ104" i="90"/>
  <c r="BZ105" i="90"/>
  <c r="BZ112" i="90"/>
  <c r="BZ114" i="90"/>
  <c r="BZ115" i="90"/>
  <c r="BZ117" i="90"/>
  <c r="BZ118" i="90"/>
  <c r="BZ119" i="90"/>
  <c r="BZ123" i="90"/>
  <c r="BZ127" i="90"/>
  <c r="BZ128" i="90"/>
  <c r="BZ140" i="90"/>
  <c r="BZ143" i="90"/>
  <c r="BZ144" i="90"/>
  <c r="BZ146" i="90"/>
  <c r="BZ147" i="90"/>
  <c r="BZ148" i="90"/>
  <c r="BZ152" i="90"/>
  <c r="BZ153" i="90"/>
  <c r="BZ154" i="90"/>
  <c r="BZ155" i="90"/>
  <c r="BZ293" i="90"/>
  <c r="BZ305" i="90"/>
  <c r="BZ307" i="90"/>
  <c r="BZ308" i="90"/>
  <c r="BZ223" i="90"/>
  <c r="BZ90" i="90"/>
  <c r="BZ215" i="90"/>
  <c r="BZ100" i="90"/>
  <c r="BZ101" i="90"/>
  <c r="BZ106" i="90"/>
  <c r="BZ108" i="90"/>
  <c r="BZ110" i="90"/>
  <c r="BZ113" i="90"/>
  <c r="BZ116" i="90"/>
  <c r="BZ121" i="90"/>
  <c r="BZ124" i="90"/>
  <c r="BZ126" i="90"/>
  <c r="BZ230" i="90"/>
  <c r="BZ91" i="90"/>
  <c r="BZ94" i="90"/>
  <c r="BZ95" i="90"/>
  <c r="BZ109" i="90"/>
  <c r="BZ122" i="90"/>
  <c r="BZ125" i="90"/>
  <c r="BZ129" i="90"/>
  <c r="BZ131" i="90"/>
  <c r="BZ134" i="90"/>
  <c r="BZ149" i="90"/>
  <c r="BZ171" i="90"/>
  <c r="BZ172" i="90"/>
  <c r="BZ173" i="90"/>
  <c r="BZ174" i="90"/>
  <c r="BZ175" i="90"/>
  <c r="BZ135" i="90"/>
  <c r="BZ151" i="90"/>
  <c r="BZ157" i="90"/>
  <c r="BZ164" i="90"/>
  <c r="BZ176" i="90"/>
  <c r="BZ179" i="90"/>
  <c r="BZ132" i="90"/>
  <c r="BZ136" i="90"/>
  <c r="BZ138" i="90"/>
  <c r="BZ141" i="90"/>
  <c r="BZ165" i="90"/>
  <c r="BZ166" i="90"/>
  <c r="BZ167" i="90"/>
  <c r="BZ168" i="90"/>
  <c r="BZ181" i="90"/>
  <c r="BZ224" i="90"/>
  <c r="BZ107" i="90"/>
  <c r="BZ130" i="90"/>
  <c r="BZ133" i="90"/>
  <c r="BZ137" i="90"/>
  <c r="BZ139" i="90"/>
  <c r="BZ156" i="90"/>
  <c r="BZ177" i="90"/>
  <c r="BZ178" i="90"/>
  <c r="BZ202" i="90"/>
  <c r="BZ203" i="90"/>
  <c r="BZ142" i="90"/>
  <c r="BZ145" i="90"/>
  <c r="BZ158" i="90"/>
  <c r="BZ183" i="90"/>
  <c r="BZ187" i="90"/>
  <c r="BZ188" i="90"/>
  <c r="BZ189" i="90"/>
  <c r="BZ190" i="90"/>
  <c r="BZ191" i="90"/>
  <c r="BZ196" i="90"/>
  <c r="BZ197" i="90"/>
  <c r="BZ73" i="90"/>
  <c r="BZ77" i="90"/>
  <c r="BZ78" i="90"/>
  <c r="BZ184" i="90"/>
  <c r="BZ185" i="90"/>
  <c r="BZ186" i="90"/>
  <c r="BZ192" i="90"/>
  <c r="BZ193" i="90"/>
  <c r="BZ198" i="90"/>
  <c r="BZ199" i="90"/>
  <c r="BZ75" i="90"/>
  <c r="BZ76" i="90"/>
  <c r="BZ82" i="90"/>
  <c r="BZ83" i="90"/>
  <c r="BZ84" i="90"/>
  <c r="BZ85" i="90"/>
  <c r="BZ86" i="90"/>
  <c r="BZ64" i="90"/>
  <c r="BZ150" i="90"/>
  <c r="BZ159" i="90"/>
  <c r="BZ160" i="90"/>
  <c r="BZ161" i="90"/>
  <c r="BZ162" i="90"/>
  <c r="BZ163" i="90"/>
  <c r="BZ169" i="90"/>
  <c r="BZ170" i="90"/>
  <c r="BZ180" i="90"/>
  <c r="BZ182" i="90"/>
  <c r="BZ194" i="90"/>
  <c r="BZ195" i="90"/>
  <c r="BZ200" i="90"/>
  <c r="BZ201" i="90"/>
  <c r="BZ74" i="90"/>
  <c r="BZ87" i="90"/>
  <c r="BZ65" i="90"/>
  <c r="BZ79" i="90"/>
  <c r="BZ80" i="90"/>
  <c r="BZ67" i="90"/>
  <c r="BZ68" i="90"/>
  <c r="BZ71" i="90"/>
  <c r="BZ72" i="90"/>
  <c r="BZ88" i="90"/>
  <c r="BZ70" i="90"/>
  <c r="BZ81" i="90"/>
  <c r="BZ69" i="90"/>
  <c r="BZ66" i="90"/>
  <c r="CC58" i="90"/>
  <c r="CC57" i="90"/>
  <c r="CC56" i="90"/>
  <c r="CC60" i="90"/>
  <c r="CC59" i="90"/>
  <c r="CC55" i="90"/>
  <c r="BZ60" i="90"/>
  <c r="BZ59" i="90"/>
  <c r="BZ58" i="90"/>
  <c r="BZ56" i="90"/>
  <c r="BZ57" i="90"/>
  <c r="BZ55" i="90"/>
  <c r="AG99" i="116"/>
  <c r="BN3" i="90"/>
  <c r="BY43" i="90"/>
  <c r="BX43" i="90"/>
  <c r="BM3" i="90"/>
  <c r="CH3" i="90"/>
  <c r="CS43" i="90"/>
  <c r="CS3" i="90" s="1"/>
  <c r="CL3" i="90"/>
  <c r="CW43" i="90"/>
  <c r="CW3" i="90" s="1"/>
  <c r="CC396" i="90"/>
  <c r="CC392" i="90"/>
  <c r="CC388" i="90"/>
  <c r="CC384" i="90"/>
  <c r="CC380" i="90"/>
  <c r="CC376" i="90"/>
  <c r="CC372" i="90"/>
  <c r="CC368" i="90"/>
  <c r="CC339" i="90"/>
  <c r="CC335" i="90"/>
  <c r="CC331" i="90"/>
  <c r="CC327" i="90"/>
  <c r="CC323" i="90"/>
  <c r="CC319" i="90"/>
  <c r="CC315" i="90"/>
  <c r="CC311" i="90"/>
  <c r="CC247" i="90"/>
  <c r="CC243" i="90"/>
  <c r="CC239" i="90"/>
  <c r="CC63" i="90"/>
  <c r="CC53" i="90"/>
  <c r="CC49" i="90"/>
  <c r="CC3" i="90"/>
  <c r="CC386" i="90"/>
  <c r="CC370" i="90"/>
  <c r="CC366" i="90"/>
  <c r="CC325" i="90"/>
  <c r="CC245" i="90"/>
  <c r="CC241" i="90"/>
  <c r="CC47" i="90"/>
  <c r="CC383" i="90"/>
  <c r="CC379" i="90"/>
  <c r="CC375" i="90"/>
  <c r="CC334" i="90"/>
  <c r="CC322" i="90"/>
  <c r="CC242" i="90"/>
  <c r="CC48" i="90"/>
  <c r="CC393" i="90"/>
  <c r="CC389" i="90"/>
  <c r="CC385" i="90"/>
  <c r="CC381" i="90"/>
  <c r="CC377" i="90"/>
  <c r="CC373" i="90"/>
  <c r="CC369" i="90"/>
  <c r="CC365" i="90"/>
  <c r="CC336" i="90"/>
  <c r="CC332" i="90"/>
  <c r="CC328" i="90"/>
  <c r="CC324" i="90"/>
  <c r="CC320" i="90"/>
  <c r="CC316" i="90"/>
  <c r="CC312" i="90"/>
  <c r="CC248" i="90"/>
  <c r="CC244" i="90"/>
  <c r="CC240" i="90"/>
  <c r="CC54" i="90"/>
  <c r="CC50" i="90"/>
  <c r="CC46" i="90"/>
  <c r="CC394" i="90"/>
  <c r="CC390" i="90"/>
  <c r="CC382" i="90"/>
  <c r="CC378" i="90"/>
  <c r="CC333" i="90"/>
  <c r="CC313" i="90"/>
  <c r="CC309" i="90"/>
  <c r="CC51" i="90"/>
  <c r="CN43" i="90"/>
  <c r="CC395" i="90"/>
  <c r="CC371" i="90"/>
  <c r="CC338" i="90"/>
  <c r="CC318" i="90"/>
  <c r="CC238" i="90"/>
  <c r="CC374" i="90"/>
  <c r="CC329" i="90"/>
  <c r="CC237" i="90"/>
  <c r="CC330" i="90"/>
  <c r="CC310" i="90"/>
  <c r="CC246" i="90"/>
  <c r="CC391" i="90"/>
  <c r="CC387" i="90"/>
  <c r="CC367" i="90"/>
  <c r="CC326" i="90"/>
  <c r="CC314" i="90"/>
  <c r="CC62" i="90"/>
  <c r="CC52" i="90"/>
  <c r="CB43" i="90"/>
  <c r="BQ3" i="90"/>
  <c r="BZ3" i="90"/>
  <c r="CK43" i="90"/>
  <c r="BU43" i="90"/>
  <c r="BJ3" i="90"/>
  <c r="BV43" i="90"/>
  <c r="BK3" i="90"/>
  <c r="CB340" i="90" l="1"/>
  <c r="CB345" i="90"/>
  <c r="CB344" i="90"/>
  <c r="CB348" i="90"/>
  <c r="BR348" i="90" s="1"/>
  <c r="CB349" i="90"/>
  <c r="CB341" i="90"/>
  <c r="CB342" i="90"/>
  <c r="CB350" i="90"/>
  <c r="CB346" i="90"/>
  <c r="CB347" i="90"/>
  <c r="CB354" i="90"/>
  <c r="CB351" i="90"/>
  <c r="CB355" i="90"/>
  <c r="CB343" i="90"/>
  <c r="CB352" i="90"/>
  <c r="BR352" i="90" s="1"/>
  <c r="CB353" i="90"/>
  <c r="CB357" i="90"/>
  <c r="CB363" i="90"/>
  <c r="CB362" i="90"/>
  <c r="CB364" i="90"/>
  <c r="CB251" i="90"/>
  <c r="CB255" i="90"/>
  <c r="CB258" i="90"/>
  <c r="CB356" i="90"/>
  <c r="CB358" i="90"/>
  <c r="CB359" i="90"/>
  <c r="CB360" i="90"/>
  <c r="CB361" i="90"/>
  <c r="CB249" i="90"/>
  <c r="CB250" i="90"/>
  <c r="CB252" i="90"/>
  <c r="CB257" i="90"/>
  <c r="CB261" i="90"/>
  <c r="CB262" i="90"/>
  <c r="CB264" i="90"/>
  <c r="CB265" i="90"/>
  <c r="CB266" i="90"/>
  <c r="CB269" i="90"/>
  <c r="CB271" i="90"/>
  <c r="CB272" i="90"/>
  <c r="CB276" i="90"/>
  <c r="CB277" i="90"/>
  <c r="CB279" i="90"/>
  <c r="CB280" i="90"/>
  <c r="CB263" i="90"/>
  <c r="CB267" i="90"/>
  <c r="CB268" i="90"/>
  <c r="CB273" i="90"/>
  <c r="CB254" i="90"/>
  <c r="CB256" i="90"/>
  <c r="CB260" i="90"/>
  <c r="CB275" i="90"/>
  <c r="CB253" i="90"/>
  <c r="CB259" i="90"/>
  <c r="CB270" i="90"/>
  <c r="CB281" i="90"/>
  <c r="CB283" i="90"/>
  <c r="CB285" i="90"/>
  <c r="CB287" i="90"/>
  <c r="CB291" i="90"/>
  <c r="CB282" i="90"/>
  <c r="CB284" i="90"/>
  <c r="CB288" i="90"/>
  <c r="CB293" i="90"/>
  <c r="CB298" i="90"/>
  <c r="CB300" i="90"/>
  <c r="CB274" i="90"/>
  <c r="CB286" i="90"/>
  <c r="CB289" i="90"/>
  <c r="CB290" i="90"/>
  <c r="CB278" i="90"/>
  <c r="CB296" i="90"/>
  <c r="CB297" i="90"/>
  <c r="CB301" i="90"/>
  <c r="BR301" i="90" s="1"/>
  <c r="CB302" i="90"/>
  <c r="CB303" i="90"/>
  <c r="CB304" i="90"/>
  <c r="CB206" i="90"/>
  <c r="CB207" i="90"/>
  <c r="CB208" i="90"/>
  <c r="CB292" i="90"/>
  <c r="CB204" i="90"/>
  <c r="CB205" i="90"/>
  <c r="CB213" i="90"/>
  <c r="CB295" i="90"/>
  <c r="CB305" i="90"/>
  <c r="CB307" i="90"/>
  <c r="BR307" i="90" s="1"/>
  <c r="CB308" i="90"/>
  <c r="CB209" i="90"/>
  <c r="CB214" i="90"/>
  <c r="CB215" i="90"/>
  <c r="CB229" i="90"/>
  <c r="CB236" i="90"/>
  <c r="CB89" i="90"/>
  <c r="CB90" i="90"/>
  <c r="CB91" i="90"/>
  <c r="CB92" i="90"/>
  <c r="CB93" i="90"/>
  <c r="CB94" i="90"/>
  <c r="CB95" i="90"/>
  <c r="CB98" i="90"/>
  <c r="CB99" i="90"/>
  <c r="CB100" i="90"/>
  <c r="CB101" i="90"/>
  <c r="CB299" i="90"/>
  <c r="CB219" i="90"/>
  <c r="CB224" i="90"/>
  <c r="CB232" i="90"/>
  <c r="CB106" i="90"/>
  <c r="CB107" i="90"/>
  <c r="CB113" i="90"/>
  <c r="CB116" i="90"/>
  <c r="CB294" i="90"/>
  <c r="CB210" i="90"/>
  <c r="CB211" i="90"/>
  <c r="CB217" i="90"/>
  <c r="CB218" i="90"/>
  <c r="CB221" i="90"/>
  <c r="CB227" i="90"/>
  <c r="CB230" i="90"/>
  <c r="CB233" i="90"/>
  <c r="CB108" i="90"/>
  <c r="CB109" i="90"/>
  <c r="CB110" i="90"/>
  <c r="CB130" i="90"/>
  <c r="CB131" i="90"/>
  <c r="CB138" i="90"/>
  <c r="CB139" i="90"/>
  <c r="CB150" i="90"/>
  <c r="CB306" i="90"/>
  <c r="CB216" i="90"/>
  <c r="CB222" i="90"/>
  <c r="CB225" i="90"/>
  <c r="CB228" i="90"/>
  <c r="CB234" i="90"/>
  <c r="CB226" i="90"/>
  <c r="CB96" i="90"/>
  <c r="CB103" i="90"/>
  <c r="CB119" i="90"/>
  <c r="CB120" i="90"/>
  <c r="CB122" i="90"/>
  <c r="CB123" i="90"/>
  <c r="CB125" i="90"/>
  <c r="CB128" i="90"/>
  <c r="CB212" i="90"/>
  <c r="CB220" i="90"/>
  <c r="CB223" i="90"/>
  <c r="CB97" i="90"/>
  <c r="CB118" i="90"/>
  <c r="CB102" i="90"/>
  <c r="CB105" i="90"/>
  <c r="CB112" i="90"/>
  <c r="CB115" i="90"/>
  <c r="CB117" i="90"/>
  <c r="CB121" i="90"/>
  <c r="CB124" i="90"/>
  <c r="CB126" i="90"/>
  <c r="CB104" i="90"/>
  <c r="CB114" i="90"/>
  <c r="CB133" i="90"/>
  <c r="CB137" i="90"/>
  <c r="CB140" i="90"/>
  <c r="CB142" i="90"/>
  <c r="CB148" i="90"/>
  <c r="CB152" i="90"/>
  <c r="CB165" i="90"/>
  <c r="CB166" i="90"/>
  <c r="CB167" i="90"/>
  <c r="CB168" i="90"/>
  <c r="CB134" i="90"/>
  <c r="CB145" i="90"/>
  <c r="CB153" i="90"/>
  <c r="CB156" i="90"/>
  <c r="CB158" i="90"/>
  <c r="CB159" i="90"/>
  <c r="CB160" i="90"/>
  <c r="CB161" i="90"/>
  <c r="CB162" i="90"/>
  <c r="CB163" i="90"/>
  <c r="CB169" i="90"/>
  <c r="CB170" i="90"/>
  <c r="CB177" i="90"/>
  <c r="CB178" i="90"/>
  <c r="CB111" i="90"/>
  <c r="CB129" i="90"/>
  <c r="CB135" i="90"/>
  <c r="CB143" i="90"/>
  <c r="CB146" i="90"/>
  <c r="CB149" i="90"/>
  <c r="CB151" i="90"/>
  <c r="CB154" i="90"/>
  <c r="CB171" i="90"/>
  <c r="CB172" i="90"/>
  <c r="CB173" i="90"/>
  <c r="CB174" i="90"/>
  <c r="CB175" i="90"/>
  <c r="CB231" i="90"/>
  <c r="CB235" i="90"/>
  <c r="CB127" i="90"/>
  <c r="CB132" i="90"/>
  <c r="CB136" i="90"/>
  <c r="CB141" i="90"/>
  <c r="CB180" i="90"/>
  <c r="CB184" i="90"/>
  <c r="CB185" i="90"/>
  <c r="CB186" i="90"/>
  <c r="CB192" i="90"/>
  <c r="BR192" i="90" s="1"/>
  <c r="CB193" i="90"/>
  <c r="CB198" i="90"/>
  <c r="CB199" i="90"/>
  <c r="CB75" i="90"/>
  <c r="CB76" i="90"/>
  <c r="CB155" i="90"/>
  <c r="CB182" i="90"/>
  <c r="CB194" i="90"/>
  <c r="CB195" i="90"/>
  <c r="CB200" i="90"/>
  <c r="CB201" i="90"/>
  <c r="CB74" i="90"/>
  <c r="CB144" i="90"/>
  <c r="CB157" i="90"/>
  <c r="CB164" i="90"/>
  <c r="CB181" i="90"/>
  <c r="CB202" i="90"/>
  <c r="CB203" i="90"/>
  <c r="CB70" i="90"/>
  <c r="CB147" i="90"/>
  <c r="CB176" i="90"/>
  <c r="CB179" i="90"/>
  <c r="CB183" i="90"/>
  <c r="CB187" i="90"/>
  <c r="CB188" i="90"/>
  <c r="CB189" i="90"/>
  <c r="CB190" i="90"/>
  <c r="CB191" i="90"/>
  <c r="CB196" i="90"/>
  <c r="BR196" i="90" s="1"/>
  <c r="CB197" i="90"/>
  <c r="CB73" i="90"/>
  <c r="CB77" i="90"/>
  <c r="CB78" i="90"/>
  <c r="CB79" i="90"/>
  <c r="CB80" i="90"/>
  <c r="CB81" i="90"/>
  <c r="CB88" i="90"/>
  <c r="CB83" i="90"/>
  <c r="CB85" i="90"/>
  <c r="CB64" i="90"/>
  <c r="CB66" i="90"/>
  <c r="CB69" i="90"/>
  <c r="CB87" i="90"/>
  <c r="CB67" i="90"/>
  <c r="CB68" i="90"/>
  <c r="CB82" i="90"/>
  <c r="CB84" i="90"/>
  <c r="CB86" i="90"/>
  <c r="CB71" i="90"/>
  <c r="CB72" i="90"/>
  <c r="CB65" i="90"/>
  <c r="BU344" i="90"/>
  <c r="BU343" i="90"/>
  <c r="BU347" i="90"/>
  <c r="BU340" i="90"/>
  <c r="BU346" i="90"/>
  <c r="BU345" i="90"/>
  <c r="BU349" i="90"/>
  <c r="BU352" i="90"/>
  <c r="BU353" i="90"/>
  <c r="BU341" i="90"/>
  <c r="BU354" i="90"/>
  <c r="BU348" i="90"/>
  <c r="BU350" i="90"/>
  <c r="BU351" i="90"/>
  <c r="BU342" i="90"/>
  <c r="BU355" i="90"/>
  <c r="BU356" i="90"/>
  <c r="BU357" i="90"/>
  <c r="BU361" i="90"/>
  <c r="BU358" i="90"/>
  <c r="BU363" i="90"/>
  <c r="BU262" i="90"/>
  <c r="BU362" i="90"/>
  <c r="BU364" i="90"/>
  <c r="BU251" i="90"/>
  <c r="BU359" i="90"/>
  <c r="BU360" i="90"/>
  <c r="BU253" i="90"/>
  <c r="BU254" i="90"/>
  <c r="BU256" i="90"/>
  <c r="BU259" i="90"/>
  <c r="BU260" i="90"/>
  <c r="BU255" i="90"/>
  <c r="BU270" i="90"/>
  <c r="BU274" i="90"/>
  <c r="BU278" i="90"/>
  <c r="BU250" i="90"/>
  <c r="BU252" i="90"/>
  <c r="BU258" i="90"/>
  <c r="BU264" i="90"/>
  <c r="BU265" i="90"/>
  <c r="BU266" i="90"/>
  <c r="BU269" i="90"/>
  <c r="BU271" i="90"/>
  <c r="BU272" i="90"/>
  <c r="BU276" i="90"/>
  <c r="BU249" i="90"/>
  <c r="BU257" i="90"/>
  <c r="BU261" i="90"/>
  <c r="BU263" i="90"/>
  <c r="BU267" i="90"/>
  <c r="BU268" i="90"/>
  <c r="BU273" i="90"/>
  <c r="BU279" i="90"/>
  <c r="BU280" i="90"/>
  <c r="BU292" i="90"/>
  <c r="BU281" i="90"/>
  <c r="BU283" i="90"/>
  <c r="BU285" i="90"/>
  <c r="BU287" i="90"/>
  <c r="BU291" i="90"/>
  <c r="BU294" i="90"/>
  <c r="BU275" i="90"/>
  <c r="BU277" i="90"/>
  <c r="BU282" i="90"/>
  <c r="BU284" i="90"/>
  <c r="BU288" i="90"/>
  <c r="BU293" i="90"/>
  <c r="BU289" i="90"/>
  <c r="BU296" i="90"/>
  <c r="BU297" i="90"/>
  <c r="BU300" i="90"/>
  <c r="BU290" i="90"/>
  <c r="BU299" i="90"/>
  <c r="BU305" i="90"/>
  <c r="BU306" i="90"/>
  <c r="BU307" i="90"/>
  <c r="BU308" i="90"/>
  <c r="BU295" i="90"/>
  <c r="BU298" i="90"/>
  <c r="BU209" i="90"/>
  <c r="BU210" i="90"/>
  <c r="BU211" i="90"/>
  <c r="BU212" i="90"/>
  <c r="BU204" i="90"/>
  <c r="BU213" i="90"/>
  <c r="BU217" i="90"/>
  <c r="BU218" i="90"/>
  <c r="BU219" i="90"/>
  <c r="BU220" i="90"/>
  <c r="BU304" i="90"/>
  <c r="BU206" i="90"/>
  <c r="BU208" i="90"/>
  <c r="BU230" i="90"/>
  <c r="BU231" i="90"/>
  <c r="BU207" i="90"/>
  <c r="BU215" i="90"/>
  <c r="BU221" i="90"/>
  <c r="BU227" i="90"/>
  <c r="BU229" i="90"/>
  <c r="BU233" i="90"/>
  <c r="BU236" i="90"/>
  <c r="BU92" i="90"/>
  <c r="BU98" i="90"/>
  <c r="BU103" i="90"/>
  <c r="BU104" i="90"/>
  <c r="BU105" i="90"/>
  <c r="BU112" i="90"/>
  <c r="BU114" i="90"/>
  <c r="BU115" i="90"/>
  <c r="BU117" i="90"/>
  <c r="BU118" i="90"/>
  <c r="BU119" i="90"/>
  <c r="BU303" i="90"/>
  <c r="BU222" i="90"/>
  <c r="BU225" i="90"/>
  <c r="BU228" i="90"/>
  <c r="BU234" i="90"/>
  <c r="BU89" i="90"/>
  <c r="BU93" i="90"/>
  <c r="BU96" i="90"/>
  <c r="BU97" i="90"/>
  <c r="BU99" i="90"/>
  <c r="BU102" i="90"/>
  <c r="BU106" i="90"/>
  <c r="BU107" i="90"/>
  <c r="BU113" i="90"/>
  <c r="BU116" i="90"/>
  <c r="BU121" i="90"/>
  <c r="BU122" i="90"/>
  <c r="BU124" i="90"/>
  <c r="BU125" i="90"/>
  <c r="BU126" i="90"/>
  <c r="BU129" i="90"/>
  <c r="BU145" i="90"/>
  <c r="BU149" i="90"/>
  <c r="BU156" i="90"/>
  <c r="BU157" i="90"/>
  <c r="BU158" i="90"/>
  <c r="BU286" i="90"/>
  <c r="BU301" i="90"/>
  <c r="BU214" i="90"/>
  <c r="BU223" i="90"/>
  <c r="BU226" i="90"/>
  <c r="BU235" i="90"/>
  <c r="BU90" i="90"/>
  <c r="BU232" i="90"/>
  <c r="BU91" i="90"/>
  <c r="BU94" i="90"/>
  <c r="BU95" i="90"/>
  <c r="BU111" i="90"/>
  <c r="BU108" i="90"/>
  <c r="BU110" i="90"/>
  <c r="BU120" i="90"/>
  <c r="BU224" i="90"/>
  <c r="BU100" i="90"/>
  <c r="BU101" i="90"/>
  <c r="BU127" i="90"/>
  <c r="BU109" i="90"/>
  <c r="BU128" i="90"/>
  <c r="BU131" i="90"/>
  <c r="BU134" i="90"/>
  <c r="BU153" i="90"/>
  <c r="BU164" i="90"/>
  <c r="BU176" i="90"/>
  <c r="BU179" i="90"/>
  <c r="BU302" i="90"/>
  <c r="BU135" i="90"/>
  <c r="BU143" i="90"/>
  <c r="BU146" i="90"/>
  <c r="BU151" i="90"/>
  <c r="BU154" i="90"/>
  <c r="BU165" i="90"/>
  <c r="BU166" i="90"/>
  <c r="BU167" i="90"/>
  <c r="BU168" i="90"/>
  <c r="BU205" i="90"/>
  <c r="BU216" i="90"/>
  <c r="BU123" i="90"/>
  <c r="BU132" i="90"/>
  <c r="BU136" i="90"/>
  <c r="BU138" i="90"/>
  <c r="BU141" i="90"/>
  <c r="BU144" i="90"/>
  <c r="BU147" i="90"/>
  <c r="BU155" i="90"/>
  <c r="BU159" i="90"/>
  <c r="BU160" i="90"/>
  <c r="BU161" i="90"/>
  <c r="BU162" i="90"/>
  <c r="BU163" i="90"/>
  <c r="BU169" i="90"/>
  <c r="BU170" i="90"/>
  <c r="BU177" i="90"/>
  <c r="BU178" i="90"/>
  <c r="BU130" i="90"/>
  <c r="BU133" i="90"/>
  <c r="BU137" i="90"/>
  <c r="BU139" i="90"/>
  <c r="BU140" i="90"/>
  <c r="BU142" i="90"/>
  <c r="BU148" i="90"/>
  <c r="BU173" i="90"/>
  <c r="BU183" i="90"/>
  <c r="BU187" i="90"/>
  <c r="BU188" i="90"/>
  <c r="BU189" i="90"/>
  <c r="BU190" i="90"/>
  <c r="BU191" i="90"/>
  <c r="BU196" i="90"/>
  <c r="BU197" i="90"/>
  <c r="BU73" i="90"/>
  <c r="BU77" i="90"/>
  <c r="BU78" i="90"/>
  <c r="BU79" i="90"/>
  <c r="BU80" i="90"/>
  <c r="BU172" i="90"/>
  <c r="BU181" i="90"/>
  <c r="BU184" i="90"/>
  <c r="BU185" i="90"/>
  <c r="BU186" i="90"/>
  <c r="BU192" i="90"/>
  <c r="BU193" i="90"/>
  <c r="BU198" i="90"/>
  <c r="BU199" i="90"/>
  <c r="BU75" i="90"/>
  <c r="BU76" i="90"/>
  <c r="BU150" i="90"/>
  <c r="BU152" i="90"/>
  <c r="BU171" i="90"/>
  <c r="BU175" i="90"/>
  <c r="BU182" i="90"/>
  <c r="BU194" i="90"/>
  <c r="BU195" i="90"/>
  <c r="BU200" i="90"/>
  <c r="BU201" i="90"/>
  <c r="BU74" i="90"/>
  <c r="BU87" i="90"/>
  <c r="BU65" i="90"/>
  <c r="BU69" i="90"/>
  <c r="BU174" i="90"/>
  <c r="BU180" i="90"/>
  <c r="BU202" i="90"/>
  <c r="BU203" i="90"/>
  <c r="BU67" i="90"/>
  <c r="BU68" i="90"/>
  <c r="BU83" i="90"/>
  <c r="BU85" i="90"/>
  <c r="BU64" i="90"/>
  <c r="BU70" i="90"/>
  <c r="BU88" i="90"/>
  <c r="BU81" i="90"/>
  <c r="BU82" i="90"/>
  <c r="BU84" i="90"/>
  <c r="BU86" i="90"/>
  <c r="BU66" i="90"/>
  <c r="BU71" i="90"/>
  <c r="BU72" i="90"/>
  <c r="BY343" i="90"/>
  <c r="BY341" i="90"/>
  <c r="BY342" i="90"/>
  <c r="BY345" i="90"/>
  <c r="BY347" i="90"/>
  <c r="BY340" i="90"/>
  <c r="BY344" i="90"/>
  <c r="BY346" i="90"/>
  <c r="BY348" i="90"/>
  <c r="BY352" i="90"/>
  <c r="BQ352" i="90" s="1"/>
  <c r="BY353" i="90"/>
  <c r="BY350" i="90"/>
  <c r="BY354" i="90"/>
  <c r="BY349" i="90"/>
  <c r="BY351" i="90"/>
  <c r="BY355" i="90"/>
  <c r="BY356" i="90"/>
  <c r="BY357" i="90"/>
  <c r="BY358" i="90"/>
  <c r="BY361" i="90"/>
  <c r="BY363" i="90"/>
  <c r="BY262" i="90"/>
  <c r="BY362" i="90"/>
  <c r="BY364" i="90"/>
  <c r="BY251" i="90"/>
  <c r="BY359" i="90"/>
  <c r="BY360" i="90"/>
  <c r="BY253" i="90"/>
  <c r="BY254" i="90"/>
  <c r="BY256" i="90"/>
  <c r="BY259" i="90"/>
  <c r="BY260" i="90"/>
  <c r="BY257" i="90"/>
  <c r="BY261" i="90"/>
  <c r="BY270" i="90"/>
  <c r="BY274" i="90"/>
  <c r="BY278" i="90"/>
  <c r="BY264" i="90"/>
  <c r="BY265" i="90"/>
  <c r="BY266" i="90"/>
  <c r="BY269" i="90"/>
  <c r="BY271" i="90"/>
  <c r="BY272" i="90"/>
  <c r="BY276" i="90"/>
  <c r="BY250" i="90"/>
  <c r="BY252" i="90"/>
  <c r="BY255" i="90"/>
  <c r="BY263" i="90"/>
  <c r="BY267" i="90"/>
  <c r="BY268" i="90"/>
  <c r="BY273" i="90"/>
  <c r="BY249" i="90"/>
  <c r="BY258" i="90"/>
  <c r="BY277" i="90"/>
  <c r="BY292" i="90"/>
  <c r="BY281" i="90"/>
  <c r="BY283" i="90"/>
  <c r="BY285" i="90"/>
  <c r="BY287" i="90"/>
  <c r="BY291" i="90"/>
  <c r="BY294" i="90"/>
  <c r="BY282" i="90"/>
  <c r="BY284" i="90"/>
  <c r="BY288" i="90"/>
  <c r="BY293" i="90"/>
  <c r="BY275" i="90"/>
  <c r="BY279" i="90"/>
  <c r="BY280" i="90"/>
  <c r="BY299" i="90"/>
  <c r="BY289" i="90"/>
  <c r="BY295" i="90"/>
  <c r="BY305" i="90"/>
  <c r="BY306" i="90"/>
  <c r="BY307" i="90"/>
  <c r="BQ307" i="90" s="1"/>
  <c r="BY308" i="90"/>
  <c r="BY286" i="90"/>
  <c r="BY296" i="90"/>
  <c r="BY297" i="90"/>
  <c r="BY300" i="90"/>
  <c r="BY209" i="90"/>
  <c r="BY210" i="90"/>
  <c r="BY211" i="90"/>
  <c r="BY212" i="90"/>
  <c r="BY301" i="90"/>
  <c r="BQ301" i="90" s="1"/>
  <c r="BY205" i="90"/>
  <c r="BY217" i="90"/>
  <c r="BY218" i="90"/>
  <c r="BY219" i="90"/>
  <c r="BY220" i="90"/>
  <c r="BY290" i="90"/>
  <c r="BY298" i="90"/>
  <c r="BY303" i="90"/>
  <c r="BY207" i="90"/>
  <c r="BY230" i="90"/>
  <c r="BY231" i="90"/>
  <c r="BY302" i="90"/>
  <c r="BY208" i="90"/>
  <c r="BY214" i="90"/>
  <c r="BY222" i="90"/>
  <c r="BY225" i="90"/>
  <c r="BY228" i="90"/>
  <c r="BY234" i="90"/>
  <c r="BY89" i="90"/>
  <c r="BY93" i="90"/>
  <c r="BY96" i="90"/>
  <c r="BY97" i="90"/>
  <c r="BY99" i="90"/>
  <c r="BY102" i="90"/>
  <c r="BY103" i="90"/>
  <c r="BY104" i="90"/>
  <c r="BY105" i="90"/>
  <c r="BY112" i="90"/>
  <c r="BY114" i="90"/>
  <c r="BY115" i="90"/>
  <c r="BY117" i="90"/>
  <c r="BY118" i="90"/>
  <c r="BY119" i="90"/>
  <c r="BY304" i="90"/>
  <c r="BY204" i="90"/>
  <c r="BY206" i="90"/>
  <c r="BY216" i="90"/>
  <c r="BY223" i="90"/>
  <c r="BY226" i="90"/>
  <c r="BY235" i="90"/>
  <c r="BY90" i="90"/>
  <c r="BY94" i="90"/>
  <c r="BY100" i="90"/>
  <c r="BY106" i="90"/>
  <c r="BY107" i="90"/>
  <c r="BY113" i="90"/>
  <c r="BY116" i="90"/>
  <c r="BY121" i="90"/>
  <c r="BY122" i="90"/>
  <c r="BY124" i="90"/>
  <c r="BY125" i="90"/>
  <c r="BY126" i="90"/>
  <c r="BY129" i="90"/>
  <c r="BY145" i="90"/>
  <c r="BY149" i="90"/>
  <c r="BY156" i="90"/>
  <c r="BY157" i="90"/>
  <c r="BY158" i="90"/>
  <c r="BY215" i="90"/>
  <c r="BY224" i="90"/>
  <c r="BY232" i="90"/>
  <c r="BY91" i="90"/>
  <c r="BY233" i="90"/>
  <c r="BY95" i="90"/>
  <c r="BY98" i="90"/>
  <c r="BY109" i="90"/>
  <c r="BY127" i="90"/>
  <c r="BY213" i="90"/>
  <c r="BY221" i="90"/>
  <c r="BY227" i="90"/>
  <c r="BY236" i="90"/>
  <c r="BY111" i="90"/>
  <c r="BY123" i="90"/>
  <c r="BY101" i="90"/>
  <c r="BY108" i="90"/>
  <c r="BY135" i="90"/>
  <c r="BY143" i="90"/>
  <c r="BY146" i="90"/>
  <c r="BY151" i="90"/>
  <c r="BY154" i="90"/>
  <c r="BY164" i="90"/>
  <c r="BY176" i="90"/>
  <c r="BY179" i="90"/>
  <c r="BY92" i="90"/>
  <c r="BY110" i="90"/>
  <c r="BY120" i="90"/>
  <c r="BY128" i="90"/>
  <c r="BY132" i="90"/>
  <c r="BY136" i="90"/>
  <c r="BY138" i="90"/>
  <c r="BY141" i="90"/>
  <c r="BY144" i="90"/>
  <c r="BY147" i="90"/>
  <c r="BY155" i="90"/>
  <c r="BY165" i="90"/>
  <c r="BY166" i="90"/>
  <c r="BY167" i="90"/>
  <c r="BY168" i="90"/>
  <c r="BY130" i="90"/>
  <c r="BY133" i="90"/>
  <c r="BY137" i="90"/>
  <c r="BY139" i="90"/>
  <c r="BY140" i="90"/>
  <c r="BY142" i="90"/>
  <c r="BY148" i="90"/>
  <c r="BY150" i="90"/>
  <c r="BY152" i="90"/>
  <c r="BY159" i="90"/>
  <c r="BY160" i="90"/>
  <c r="BY161" i="90"/>
  <c r="BY162" i="90"/>
  <c r="BY163" i="90"/>
  <c r="BY169" i="90"/>
  <c r="BY170" i="90"/>
  <c r="BY177" i="90"/>
  <c r="BY178" i="90"/>
  <c r="BY229" i="90"/>
  <c r="BY131" i="90"/>
  <c r="BY134" i="90"/>
  <c r="BY174" i="90"/>
  <c r="BY181" i="90"/>
  <c r="BY183" i="90"/>
  <c r="BY187" i="90"/>
  <c r="BY188" i="90"/>
  <c r="BY189" i="90"/>
  <c r="BY190" i="90"/>
  <c r="BY191" i="90"/>
  <c r="BY196" i="90"/>
  <c r="BQ196" i="90" s="1"/>
  <c r="BY197" i="90"/>
  <c r="BY73" i="90"/>
  <c r="BY77" i="90"/>
  <c r="BY78" i="90"/>
  <c r="BY79" i="90"/>
  <c r="BY80" i="90"/>
  <c r="BY173" i="90"/>
  <c r="BY184" i="90"/>
  <c r="BY185" i="90"/>
  <c r="BY186" i="90"/>
  <c r="BY192" i="90"/>
  <c r="BQ192" i="90" s="1"/>
  <c r="BY193" i="90"/>
  <c r="BY198" i="90"/>
  <c r="BY199" i="90"/>
  <c r="BY75" i="90"/>
  <c r="BY76" i="90"/>
  <c r="BY153" i="90"/>
  <c r="BY172" i="90"/>
  <c r="BY180" i="90"/>
  <c r="BY182" i="90"/>
  <c r="BY194" i="90"/>
  <c r="BY195" i="90"/>
  <c r="BY200" i="90"/>
  <c r="BY201" i="90"/>
  <c r="BY74" i="90"/>
  <c r="BY87" i="90"/>
  <c r="BY65" i="90"/>
  <c r="BY69" i="90"/>
  <c r="BY171" i="90"/>
  <c r="BY175" i="90"/>
  <c r="BY202" i="90"/>
  <c r="BY203" i="90"/>
  <c r="BY88" i="90"/>
  <c r="BY70" i="90"/>
  <c r="BY81" i="90"/>
  <c r="BY82" i="90"/>
  <c r="BY84" i="90"/>
  <c r="BY86" i="90"/>
  <c r="BY66" i="90"/>
  <c r="BY83" i="90"/>
  <c r="BY85" i="90"/>
  <c r="BY64" i="90"/>
  <c r="BY67" i="90"/>
  <c r="BY68" i="90"/>
  <c r="BY71" i="90"/>
  <c r="BY72" i="90"/>
  <c r="BV341" i="90"/>
  <c r="BV342" i="90"/>
  <c r="BV343" i="90"/>
  <c r="BV344" i="90"/>
  <c r="BK344" i="90" s="1"/>
  <c r="BV340" i="90"/>
  <c r="BK340" i="90" s="1"/>
  <c r="BV346" i="90"/>
  <c r="BV345" i="90"/>
  <c r="BV348" i="90"/>
  <c r="BV349" i="90"/>
  <c r="BV355" i="90"/>
  <c r="BV347" i="90"/>
  <c r="BK347" i="90" s="1"/>
  <c r="BV352" i="90"/>
  <c r="BV353" i="90"/>
  <c r="BK353" i="90" s="1"/>
  <c r="BV354" i="90"/>
  <c r="BK354" i="90" s="1"/>
  <c r="BV350" i="90"/>
  <c r="BV351" i="90"/>
  <c r="BV359" i="90"/>
  <c r="BV360" i="90"/>
  <c r="BK360" i="90" s="1"/>
  <c r="BV357" i="90"/>
  <c r="BV361" i="90"/>
  <c r="BK361" i="90" s="1"/>
  <c r="BV249" i="90"/>
  <c r="BV250" i="90"/>
  <c r="BV252" i="90"/>
  <c r="BV257" i="90"/>
  <c r="BK257" i="90" s="1"/>
  <c r="BV261" i="90"/>
  <c r="BK261" i="90" s="1"/>
  <c r="BV358" i="90"/>
  <c r="BK358" i="90" s="1"/>
  <c r="BV363" i="90"/>
  <c r="BK363" i="90" s="1"/>
  <c r="BV356" i="90"/>
  <c r="BV362" i="90"/>
  <c r="BK362" i="90" s="1"/>
  <c r="BV364" i="90"/>
  <c r="BK364" i="90" s="1"/>
  <c r="BV251" i="90"/>
  <c r="BV255" i="90"/>
  <c r="BK255" i="90" s="1"/>
  <c r="BV258" i="90"/>
  <c r="BV259" i="90"/>
  <c r="BV275" i="90"/>
  <c r="BK275" i="90" s="1"/>
  <c r="BV253" i="90"/>
  <c r="BK253" i="90" s="1"/>
  <c r="BV270" i="90"/>
  <c r="BV274" i="90"/>
  <c r="BK274" i="90" s="1"/>
  <c r="BV264" i="90"/>
  <c r="BK264" i="90" s="1"/>
  <c r="BV265" i="90"/>
  <c r="BK265" i="90" s="1"/>
  <c r="BV266" i="90"/>
  <c r="BV269" i="90"/>
  <c r="BK269" i="90" s="1"/>
  <c r="BV271" i="90"/>
  <c r="BK271" i="90" s="1"/>
  <c r="BV272" i="90"/>
  <c r="BV276" i="90"/>
  <c r="BV277" i="90"/>
  <c r="BK277" i="90" s="1"/>
  <c r="BV254" i="90"/>
  <c r="BV256" i="90"/>
  <c r="BV260" i="90"/>
  <c r="BK260" i="90" s="1"/>
  <c r="BV262" i="90"/>
  <c r="BK262" i="90" s="1"/>
  <c r="BV263" i="90"/>
  <c r="BV267" i="90"/>
  <c r="BK267" i="90" s="1"/>
  <c r="BV268" i="90"/>
  <c r="BK268" i="90" s="1"/>
  <c r="BV273" i="90"/>
  <c r="BV286" i="90"/>
  <c r="BK286" i="90" s="1"/>
  <c r="BV289" i="90"/>
  <c r="BV290" i="90"/>
  <c r="BK290" i="90" s="1"/>
  <c r="BV279" i="90"/>
  <c r="BK279" i="90" s="1"/>
  <c r="BV280" i="90"/>
  <c r="BK280" i="90" s="1"/>
  <c r="BV292" i="90"/>
  <c r="BV295" i="90"/>
  <c r="BV278" i="90"/>
  <c r="BK278" i="90" s="1"/>
  <c r="BV281" i="90"/>
  <c r="BK281" i="90" s="1"/>
  <c r="BV283" i="90"/>
  <c r="BV285" i="90"/>
  <c r="BK285" i="90" s="1"/>
  <c r="BV287" i="90"/>
  <c r="BK287" i="90" s="1"/>
  <c r="BV291" i="90"/>
  <c r="BV294" i="90"/>
  <c r="BV282" i="90"/>
  <c r="BK282" i="90" s="1"/>
  <c r="BV284" i="90"/>
  <c r="BK284" i="90" s="1"/>
  <c r="BV288" i="90"/>
  <c r="BK288" i="90" s="1"/>
  <c r="BV293" i="90"/>
  <c r="BK293" i="90" s="1"/>
  <c r="BV298" i="90"/>
  <c r="BK298" i="90" s="1"/>
  <c r="BV296" i="90"/>
  <c r="BK296" i="90" s="1"/>
  <c r="BV297" i="90"/>
  <c r="BK297" i="90" s="1"/>
  <c r="BV300" i="90"/>
  <c r="BK300" i="90" s="1"/>
  <c r="BV204" i="90"/>
  <c r="BV205" i="90"/>
  <c r="BK205" i="90" s="1"/>
  <c r="BV301" i="90"/>
  <c r="BV302" i="90"/>
  <c r="BV303" i="90"/>
  <c r="BV304" i="90"/>
  <c r="BV206" i="90"/>
  <c r="BK206" i="90" s="1"/>
  <c r="BV207" i="90"/>
  <c r="BK207" i="90" s="1"/>
  <c r="BV208" i="90"/>
  <c r="BV306" i="90"/>
  <c r="BK306" i="90" s="1"/>
  <c r="BV210" i="90"/>
  <c r="BV216" i="90"/>
  <c r="BV305" i="90"/>
  <c r="BK305" i="90" s="1"/>
  <c r="BV307" i="90"/>
  <c r="BV308" i="90"/>
  <c r="BV209" i="90"/>
  <c r="BK209" i="90" s="1"/>
  <c r="BV213" i="90"/>
  <c r="BV217" i="90"/>
  <c r="BV218" i="90"/>
  <c r="BK218" i="90" s="1"/>
  <c r="BV219" i="90"/>
  <c r="BK219" i="90" s="1"/>
  <c r="BV220" i="90"/>
  <c r="BV225" i="90"/>
  <c r="BK225" i="90" s="1"/>
  <c r="BV226" i="90"/>
  <c r="BK226" i="90" s="1"/>
  <c r="BV232" i="90"/>
  <c r="BK232" i="90" s="1"/>
  <c r="BV233" i="90"/>
  <c r="BV234" i="90"/>
  <c r="BK234" i="90" s="1"/>
  <c r="BV235" i="90"/>
  <c r="BK235" i="90" s="1"/>
  <c r="BV211" i="90"/>
  <c r="BK211" i="90" s="1"/>
  <c r="BV212" i="90"/>
  <c r="BK212" i="90" s="1"/>
  <c r="BV224" i="90"/>
  <c r="BK224" i="90" s="1"/>
  <c r="BV230" i="90"/>
  <c r="BV91" i="90"/>
  <c r="BK91" i="90" s="1"/>
  <c r="BV95" i="90"/>
  <c r="BV101" i="90"/>
  <c r="BV111" i="90"/>
  <c r="BV120" i="90"/>
  <c r="BV215" i="90"/>
  <c r="BK215" i="90" s="1"/>
  <c r="BV221" i="90"/>
  <c r="BK221" i="90" s="1"/>
  <c r="BV227" i="90"/>
  <c r="BK227" i="90" s="1"/>
  <c r="BV229" i="90"/>
  <c r="BK229" i="90" s="1"/>
  <c r="BV236" i="90"/>
  <c r="BV92" i="90"/>
  <c r="BV98" i="90"/>
  <c r="BK98" i="90" s="1"/>
  <c r="BV103" i="90"/>
  <c r="BK103" i="90" s="1"/>
  <c r="BV104" i="90"/>
  <c r="BV105" i="90"/>
  <c r="BK105" i="90" s="1"/>
  <c r="BV112" i="90"/>
  <c r="BV114" i="90"/>
  <c r="BV115" i="90"/>
  <c r="BV117" i="90"/>
  <c r="BV118" i="90"/>
  <c r="BK118" i="90" s="1"/>
  <c r="BV119" i="90"/>
  <c r="BK119" i="90" s="1"/>
  <c r="BV123" i="90"/>
  <c r="BK123" i="90" s="1"/>
  <c r="BV127" i="90"/>
  <c r="BV128" i="90"/>
  <c r="BK128" i="90" s="1"/>
  <c r="BV140" i="90"/>
  <c r="BK140" i="90" s="1"/>
  <c r="BV143" i="90"/>
  <c r="BK143" i="90" s="1"/>
  <c r="BV144" i="90"/>
  <c r="BK144" i="90" s="1"/>
  <c r="BV146" i="90"/>
  <c r="BV147" i="90"/>
  <c r="BK147" i="90" s="1"/>
  <c r="BV148" i="90"/>
  <c r="BV152" i="90"/>
  <c r="BV153" i="90"/>
  <c r="BK153" i="90" s="1"/>
  <c r="BV154" i="90"/>
  <c r="BK154" i="90" s="1"/>
  <c r="BV155" i="90"/>
  <c r="BV222" i="90"/>
  <c r="BV228" i="90"/>
  <c r="BV231" i="90"/>
  <c r="BV89" i="90"/>
  <c r="BV223" i="90"/>
  <c r="BV93" i="90"/>
  <c r="BV102" i="90"/>
  <c r="BK102" i="90" s="1"/>
  <c r="BV109" i="90"/>
  <c r="BV299" i="90"/>
  <c r="BK299" i="90" s="1"/>
  <c r="BV90" i="90"/>
  <c r="BV94" i="90"/>
  <c r="BV107" i="90"/>
  <c r="BV121" i="90"/>
  <c r="BK121" i="90" s="1"/>
  <c r="BV124" i="90"/>
  <c r="BK124" i="90" s="1"/>
  <c r="BV126" i="90"/>
  <c r="BV96" i="90"/>
  <c r="BK96" i="90" s="1"/>
  <c r="BV99" i="90"/>
  <c r="BK99" i="90" s="1"/>
  <c r="BV106" i="90"/>
  <c r="BV108" i="90"/>
  <c r="BK108" i="90" s="1"/>
  <c r="BV110" i="90"/>
  <c r="BK110" i="90" s="1"/>
  <c r="BV113" i="90"/>
  <c r="BV116" i="90"/>
  <c r="BK116" i="90" s="1"/>
  <c r="BV130" i="90"/>
  <c r="BK130" i="90" s="1"/>
  <c r="BV133" i="90"/>
  <c r="BV137" i="90"/>
  <c r="BK137" i="90" s="1"/>
  <c r="BV139" i="90"/>
  <c r="BV142" i="90"/>
  <c r="BK142" i="90" s="1"/>
  <c r="BV145" i="90"/>
  <c r="BV150" i="90"/>
  <c r="BK150" i="90" s="1"/>
  <c r="BV156" i="90"/>
  <c r="BK156" i="90" s="1"/>
  <c r="BV158" i="90"/>
  <c r="BK158" i="90" s="1"/>
  <c r="BV171" i="90"/>
  <c r="BV172" i="90"/>
  <c r="BV173" i="90"/>
  <c r="BK173" i="90" s="1"/>
  <c r="BV174" i="90"/>
  <c r="BV175" i="90"/>
  <c r="BV100" i="90"/>
  <c r="BK100" i="90" s="1"/>
  <c r="BV129" i="90"/>
  <c r="BV131" i="90"/>
  <c r="BK131" i="90" s="1"/>
  <c r="BV134" i="90"/>
  <c r="BV149" i="90"/>
  <c r="BK149" i="90" s="1"/>
  <c r="BV164" i="90"/>
  <c r="BK164" i="90" s="1"/>
  <c r="BV176" i="90"/>
  <c r="BV179" i="90"/>
  <c r="BV97" i="90"/>
  <c r="BV122" i="90"/>
  <c r="BV135" i="90"/>
  <c r="BK135" i="90" s="1"/>
  <c r="BV151" i="90"/>
  <c r="BK151" i="90" s="1"/>
  <c r="BV157" i="90"/>
  <c r="BK157" i="90" s="1"/>
  <c r="BV165" i="90"/>
  <c r="BV166" i="90"/>
  <c r="BV167" i="90"/>
  <c r="BV168" i="90"/>
  <c r="BK168" i="90" s="1"/>
  <c r="BV181" i="90"/>
  <c r="BV214" i="90"/>
  <c r="BV125" i="90"/>
  <c r="BK125" i="90" s="1"/>
  <c r="BV132" i="90"/>
  <c r="BK132" i="90" s="1"/>
  <c r="BV136" i="90"/>
  <c r="BV138" i="90"/>
  <c r="BV141" i="90"/>
  <c r="BV180" i="90"/>
  <c r="BV202" i="90"/>
  <c r="BK202" i="90" s="1"/>
  <c r="BV203" i="90"/>
  <c r="BK203" i="90" s="1"/>
  <c r="BV183" i="90"/>
  <c r="BK183" i="90" s="1"/>
  <c r="BV187" i="90"/>
  <c r="BV188" i="90"/>
  <c r="BV189" i="90"/>
  <c r="BV190" i="90"/>
  <c r="BK190" i="90" s="1"/>
  <c r="BV191" i="90"/>
  <c r="BK191" i="90" s="1"/>
  <c r="BV196" i="90"/>
  <c r="BV197" i="90"/>
  <c r="BK197" i="90" s="1"/>
  <c r="BV73" i="90"/>
  <c r="BK73" i="90" s="1"/>
  <c r="BV77" i="90"/>
  <c r="BV78" i="90"/>
  <c r="BV159" i="90"/>
  <c r="BK159" i="90" s="1"/>
  <c r="BV160" i="90"/>
  <c r="BK160" i="90" s="1"/>
  <c r="BV161" i="90"/>
  <c r="BV162" i="90"/>
  <c r="BV163" i="90"/>
  <c r="BV169" i="90"/>
  <c r="BK169" i="90" s="1"/>
  <c r="BV170" i="90"/>
  <c r="BV184" i="90"/>
  <c r="BK184" i="90" s="1"/>
  <c r="BV185" i="90"/>
  <c r="BK185" i="90" s="1"/>
  <c r="BV186" i="90"/>
  <c r="BK186" i="90" s="1"/>
  <c r="BV192" i="90"/>
  <c r="BV193" i="90"/>
  <c r="BK193" i="90" s="1"/>
  <c r="BV198" i="90"/>
  <c r="BK198" i="90" s="1"/>
  <c r="BV199" i="90"/>
  <c r="BK199" i="90" s="1"/>
  <c r="BV75" i="90"/>
  <c r="BK75" i="90" s="1"/>
  <c r="BV76" i="90"/>
  <c r="BK76" i="90" s="1"/>
  <c r="BV82" i="90"/>
  <c r="BV83" i="90"/>
  <c r="BV84" i="90"/>
  <c r="BV85" i="90"/>
  <c r="BV86" i="90"/>
  <c r="BV64" i="90"/>
  <c r="BK64" i="90" s="1"/>
  <c r="BV177" i="90"/>
  <c r="BV178" i="90"/>
  <c r="BK178" i="90" s="1"/>
  <c r="BV182" i="90"/>
  <c r="BK182" i="90" s="1"/>
  <c r="BV194" i="90"/>
  <c r="BK194" i="90" s="1"/>
  <c r="BV195" i="90"/>
  <c r="BK195" i="90" s="1"/>
  <c r="BV200" i="90"/>
  <c r="BK200" i="90" s="1"/>
  <c r="BV201" i="90"/>
  <c r="BK201" i="90" s="1"/>
  <c r="BV74" i="90"/>
  <c r="BV87" i="90"/>
  <c r="BK87" i="90" s="1"/>
  <c r="BV65" i="90"/>
  <c r="BV81" i="90"/>
  <c r="BV66" i="90"/>
  <c r="BK66" i="90" s="1"/>
  <c r="BV71" i="90"/>
  <c r="BK71" i="90" s="1"/>
  <c r="BV72" i="90"/>
  <c r="BV67" i="90"/>
  <c r="BV68" i="90"/>
  <c r="BV70" i="90"/>
  <c r="BK70" i="90" s="1"/>
  <c r="BV79" i="90"/>
  <c r="BV80" i="90"/>
  <c r="BK80" i="90" s="1"/>
  <c r="BV88" i="90"/>
  <c r="BK88" i="90" s="1"/>
  <c r="BV69" i="90"/>
  <c r="BK69" i="90" s="1"/>
  <c r="BX340" i="90"/>
  <c r="BM340" i="90" s="1"/>
  <c r="BX345" i="90"/>
  <c r="BX341" i="90"/>
  <c r="BX342" i="90"/>
  <c r="BX348" i="90"/>
  <c r="BX349" i="90"/>
  <c r="BX343" i="90"/>
  <c r="BX350" i="90"/>
  <c r="BX354" i="90"/>
  <c r="BX351" i="90"/>
  <c r="BX344" i="90"/>
  <c r="BM344" i="90" s="1"/>
  <c r="BX347" i="90"/>
  <c r="BX355" i="90"/>
  <c r="BX346" i="90"/>
  <c r="BX352" i="90"/>
  <c r="BX353" i="90"/>
  <c r="BM353" i="90" s="1"/>
  <c r="BX356" i="90"/>
  <c r="BX363" i="90"/>
  <c r="BM363" i="90" s="1"/>
  <c r="BX362" i="90"/>
  <c r="BM362" i="90" s="1"/>
  <c r="BX364" i="90"/>
  <c r="BM364" i="90" s="1"/>
  <c r="BX251" i="90"/>
  <c r="BX255" i="90"/>
  <c r="BM255" i="90" s="1"/>
  <c r="BX258" i="90"/>
  <c r="BX357" i="90"/>
  <c r="BM357" i="90" s="1"/>
  <c r="BX359" i="90"/>
  <c r="BX360" i="90"/>
  <c r="BX253" i="90"/>
  <c r="BM253" i="90" s="1"/>
  <c r="BX358" i="90"/>
  <c r="BM358" i="90" s="1"/>
  <c r="BX361" i="90"/>
  <c r="BM361" i="90" s="1"/>
  <c r="BX249" i="90"/>
  <c r="BX250" i="90"/>
  <c r="BX252" i="90"/>
  <c r="BM252" i="90" s="1"/>
  <c r="BX257" i="90"/>
  <c r="BM257" i="90" s="1"/>
  <c r="BX261" i="90"/>
  <c r="BX254" i="90"/>
  <c r="BX256" i="90"/>
  <c r="BM256" i="90" s="1"/>
  <c r="BX260" i="90"/>
  <c r="BX264" i="90"/>
  <c r="BM264" i="90" s="1"/>
  <c r="BX265" i="90"/>
  <c r="BM265" i="90" s="1"/>
  <c r="BX266" i="90"/>
  <c r="BX269" i="90"/>
  <c r="BX271" i="90"/>
  <c r="BX272" i="90"/>
  <c r="BX276" i="90"/>
  <c r="BM276" i="90" s="1"/>
  <c r="BX277" i="90"/>
  <c r="BX279" i="90"/>
  <c r="BX280" i="90"/>
  <c r="BX259" i="90"/>
  <c r="BX262" i="90"/>
  <c r="BX263" i="90"/>
  <c r="BX267" i="90"/>
  <c r="BM267" i="90" s="1"/>
  <c r="BX268" i="90"/>
  <c r="BM268" i="90" s="1"/>
  <c r="BX273" i="90"/>
  <c r="BX275" i="90"/>
  <c r="BX270" i="90"/>
  <c r="BX278" i="90"/>
  <c r="BM278" i="90" s="1"/>
  <c r="BX281" i="90"/>
  <c r="BM281" i="90" s="1"/>
  <c r="BX283" i="90"/>
  <c r="BX285" i="90"/>
  <c r="BX287" i="90"/>
  <c r="BM287" i="90" s="1"/>
  <c r="BX291" i="90"/>
  <c r="BX274" i="90"/>
  <c r="BX282" i="90"/>
  <c r="BM282" i="90" s="1"/>
  <c r="BX284" i="90"/>
  <c r="BM284" i="90" s="1"/>
  <c r="BX288" i="90"/>
  <c r="BM288" i="90" s="1"/>
  <c r="BX293" i="90"/>
  <c r="BM293" i="90" s="1"/>
  <c r="BX298" i="90"/>
  <c r="BX300" i="90"/>
  <c r="BM300" i="90" s="1"/>
  <c r="BX286" i="90"/>
  <c r="BM286" i="90" s="1"/>
  <c r="BX289" i="90"/>
  <c r="BX290" i="90"/>
  <c r="BM290" i="90" s="1"/>
  <c r="BX294" i="90"/>
  <c r="BM294" i="90" s="1"/>
  <c r="BX295" i="90"/>
  <c r="BM295" i="90" s="1"/>
  <c r="BX301" i="90"/>
  <c r="BX302" i="90"/>
  <c r="BX303" i="90"/>
  <c r="BX304" i="90"/>
  <c r="BX206" i="90"/>
  <c r="BX207" i="90"/>
  <c r="BM207" i="90" s="1"/>
  <c r="BX208" i="90"/>
  <c r="BX299" i="90"/>
  <c r="BX204" i="90"/>
  <c r="BX205" i="90"/>
  <c r="BX213" i="90"/>
  <c r="BM213" i="90" s="1"/>
  <c r="BX211" i="90"/>
  <c r="BM211" i="90" s="1"/>
  <c r="BX212" i="90"/>
  <c r="BX297" i="90"/>
  <c r="BX306" i="90"/>
  <c r="BM306" i="90" s="1"/>
  <c r="BX210" i="90"/>
  <c r="BX214" i="90"/>
  <c r="BX215" i="90"/>
  <c r="BX229" i="90"/>
  <c r="BM229" i="90" s="1"/>
  <c r="BX236" i="90"/>
  <c r="BX89" i="90"/>
  <c r="BX90" i="90"/>
  <c r="BX91" i="90"/>
  <c r="BM91" i="90" s="1"/>
  <c r="BX92" i="90"/>
  <c r="BX93" i="90"/>
  <c r="BX94" i="90"/>
  <c r="BX95" i="90"/>
  <c r="BX98" i="90"/>
  <c r="BM98" i="90" s="1"/>
  <c r="BX99" i="90"/>
  <c r="BX100" i="90"/>
  <c r="BX101" i="90"/>
  <c r="BX209" i="90"/>
  <c r="BM209" i="90" s="1"/>
  <c r="BX216" i="90"/>
  <c r="BX223" i="90"/>
  <c r="BX226" i="90"/>
  <c r="BX231" i="90"/>
  <c r="BX235" i="90"/>
  <c r="BM235" i="90" s="1"/>
  <c r="BX106" i="90"/>
  <c r="BM106" i="90" s="1"/>
  <c r="BX107" i="90"/>
  <c r="BX113" i="90"/>
  <c r="BX116" i="90"/>
  <c r="BX305" i="90"/>
  <c r="BX307" i="90"/>
  <c r="BX308" i="90"/>
  <c r="BX220" i="90"/>
  <c r="BX224" i="90"/>
  <c r="BX232" i="90"/>
  <c r="BM232" i="90" s="1"/>
  <c r="BX108" i="90"/>
  <c r="BM108" i="90" s="1"/>
  <c r="BX109" i="90"/>
  <c r="BX110" i="90"/>
  <c r="BX130" i="90"/>
  <c r="BM130" i="90" s="1"/>
  <c r="BX131" i="90"/>
  <c r="BX138" i="90"/>
  <c r="BX139" i="90"/>
  <c r="BX150" i="90"/>
  <c r="BM150" i="90" s="1"/>
  <c r="BX296" i="90"/>
  <c r="BX219" i="90"/>
  <c r="BM219" i="90" s="1"/>
  <c r="BX221" i="90"/>
  <c r="BX227" i="90"/>
  <c r="BX230" i="90"/>
  <c r="BX233" i="90"/>
  <c r="BX217" i="90"/>
  <c r="BX218" i="90"/>
  <c r="BM218" i="90" s="1"/>
  <c r="BX97" i="90"/>
  <c r="BX105" i="90"/>
  <c r="BX112" i="90"/>
  <c r="BX115" i="90"/>
  <c r="BM115" i="90" s="1"/>
  <c r="BX117" i="90"/>
  <c r="BX127" i="90"/>
  <c r="BX292" i="90"/>
  <c r="BX234" i="90"/>
  <c r="BM234" i="90" s="1"/>
  <c r="BX102" i="90"/>
  <c r="BM102" i="90" s="1"/>
  <c r="BX104" i="90"/>
  <c r="BX111" i="90"/>
  <c r="BX114" i="90"/>
  <c r="BX122" i="90"/>
  <c r="BX123" i="90"/>
  <c r="BX125" i="90"/>
  <c r="BM125" i="90" s="1"/>
  <c r="BX128" i="90"/>
  <c r="BX225" i="90"/>
  <c r="BX103" i="90"/>
  <c r="BX119" i="90"/>
  <c r="BM119" i="90" s="1"/>
  <c r="BX120" i="90"/>
  <c r="BM120" i="90" s="1"/>
  <c r="BX118" i="90"/>
  <c r="BM118" i="90" s="1"/>
  <c r="BX132" i="90"/>
  <c r="BX136" i="90"/>
  <c r="BX141" i="90"/>
  <c r="BX144" i="90"/>
  <c r="BX147" i="90"/>
  <c r="BM147" i="90" s="1"/>
  <c r="BX155" i="90"/>
  <c r="BX157" i="90"/>
  <c r="BM157" i="90" s="1"/>
  <c r="BX165" i="90"/>
  <c r="BX166" i="90"/>
  <c r="BX167" i="90"/>
  <c r="BX168" i="90"/>
  <c r="BX96" i="90"/>
  <c r="BX121" i="90"/>
  <c r="BX133" i="90"/>
  <c r="BX137" i="90"/>
  <c r="BM137" i="90" s="1"/>
  <c r="BX140" i="90"/>
  <c r="BM140" i="90" s="1"/>
  <c r="BX142" i="90"/>
  <c r="BM142" i="90" s="1"/>
  <c r="BX148" i="90"/>
  <c r="BX152" i="90"/>
  <c r="BX159" i="90"/>
  <c r="BX160" i="90"/>
  <c r="BX161" i="90"/>
  <c r="BX162" i="90"/>
  <c r="BX163" i="90"/>
  <c r="BX169" i="90"/>
  <c r="BM169" i="90" s="1"/>
  <c r="BX170" i="90"/>
  <c r="BX177" i="90"/>
  <c r="BX178" i="90"/>
  <c r="BM178" i="90" s="1"/>
  <c r="BX228" i="90"/>
  <c r="BX124" i="90"/>
  <c r="BX126" i="90"/>
  <c r="BX134" i="90"/>
  <c r="BX145" i="90"/>
  <c r="BX153" i="90"/>
  <c r="BX156" i="90"/>
  <c r="BX158" i="90"/>
  <c r="BM158" i="90" s="1"/>
  <c r="BX171" i="90"/>
  <c r="BX172" i="90"/>
  <c r="BX173" i="90"/>
  <c r="BM173" i="90" s="1"/>
  <c r="BX174" i="90"/>
  <c r="BX175" i="90"/>
  <c r="BX222" i="90"/>
  <c r="BX129" i="90"/>
  <c r="BX135" i="90"/>
  <c r="BX143" i="90"/>
  <c r="BX149" i="90"/>
  <c r="BX151" i="90"/>
  <c r="BM151" i="90" s="1"/>
  <c r="BX184" i="90"/>
  <c r="BM184" i="90" s="1"/>
  <c r="BX185" i="90"/>
  <c r="BM185" i="90" s="1"/>
  <c r="BX186" i="90"/>
  <c r="BM186" i="90" s="1"/>
  <c r="BX192" i="90"/>
  <c r="BX193" i="90"/>
  <c r="BM193" i="90" s="1"/>
  <c r="BX198" i="90"/>
  <c r="BM198" i="90" s="1"/>
  <c r="BX199" i="90"/>
  <c r="BM199" i="90" s="1"/>
  <c r="BX75" i="90"/>
  <c r="BM75" i="90" s="1"/>
  <c r="BX76" i="90"/>
  <c r="BM76" i="90" s="1"/>
  <c r="BX146" i="90"/>
  <c r="BX164" i="90"/>
  <c r="BM164" i="90" s="1"/>
  <c r="BX180" i="90"/>
  <c r="BX182" i="90"/>
  <c r="BM182" i="90" s="1"/>
  <c r="BX194" i="90"/>
  <c r="BX195" i="90"/>
  <c r="BX200" i="90"/>
  <c r="BX201" i="90"/>
  <c r="BM201" i="90" s="1"/>
  <c r="BX74" i="90"/>
  <c r="BX176" i="90"/>
  <c r="BM176" i="90" s="1"/>
  <c r="BX179" i="90"/>
  <c r="BX202" i="90"/>
  <c r="BM202" i="90" s="1"/>
  <c r="BX203" i="90"/>
  <c r="BM203" i="90" s="1"/>
  <c r="BX70" i="90"/>
  <c r="BX154" i="90"/>
  <c r="BM154" i="90" s="1"/>
  <c r="BX181" i="90"/>
  <c r="BX183" i="90"/>
  <c r="BM183" i="90" s="1"/>
  <c r="BX187" i="90"/>
  <c r="BX188" i="90"/>
  <c r="BM188" i="90" s="1"/>
  <c r="BX189" i="90"/>
  <c r="BM189" i="90" s="1"/>
  <c r="BX190" i="90"/>
  <c r="BX191" i="90"/>
  <c r="BX196" i="90"/>
  <c r="BX197" i="90"/>
  <c r="BM197" i="90" s="1"/>
  <c r="BX73" i="90"/>
  <c r="BX77" i="90"/>
  <c r="BX78" i="90"/>
  <c r="BM78" i="90" s="1"/>
  <c r="BX79" i="90"/>
  <c r="BM79" i="90" s="1"/>
  <c r="BX80" i="90"/>
  <c r="BM80" i="90" s="1"/>
  <c r="BX81" i="90"/>
  <c r="BX88" i="90"/>
  <c r="BX82" i="90"/>
  <c r="BX84" i="90"/>
  <c r="BX86" i="90"/>
  <c r="BX65" i="90"/>
  <c r="BX66" i="90"/>
  <c r="BX69" i="90"/>
  <c r="BX83" i="90"/>
  <c r="BX85" i="90"/>
  <c r="BX64" i="90"/>
  <c r="BM64" i="90" s="1"/>
  <c r="BX67" i="90"/>
  <c r="BX68" i="90"/>
  <c r="BX71" i="90"/>
  <c r="BM71" i="90" s="1"/>
  <c r="BX72" i="90"/>
  <c r="BM72" i="90" s="1"/>
  <c r="BX87" i="90"/>
  <c r="BV60" i="90"/>
  <c r="BV59" i="90"/>
  <c r="BV58" i="90"/>
  <c r="BV55" i="90"/>
  <c r="BV56" i="90"/>
  <c r="BV57" i="90"/>
  <c r="BU58" i="90"/>
  <c r="BU56" i="90"/>
  <c r="BU57" i="90"/>
  <c r="BU60" i="90"/>
  <c r="BU55" i="90"/>
  <c r="BU59" i="90"/>
  <c r="BX56" i="90"/>
  <c r="BX57" i="90"/>
  <c r="BX55" i="90"/>
  <c r="BX60" i="90"/>
  <c r="BX59" i="90"/>
  <c r="BX58" i="90"/>
  <c r="CB56" i="90"/>
  <c r="CB57" i="90"/>
  <c r="CB55" i="90"/>
  <c r="CB58" i="90"/>
  <c r="CB60" i="90"/>
  <c r="CB59" i="90"/>
  <c r="BY58" i="90"/>
  <c r="BY60" i="90"/>
  <c r="BY59" i="90"/>
  <c r="BY56" i="90"/>
  <c r="BY57" i="90"/>
  <c r="BY55" i="90"/>
  <c r="CG43" i="90"/>
  <c r="BV3" i="90"/>
  <c r="BU3" i="90"/>
  <c r="CF43" i="90"/>
  <c r="CM43" i="90"/>
  <c r="CB395" i="90"/>
  <c r="CB391" i="90"/>
  <c r="CB387" i="90"/>
  <c r="CB383" i="90"/>
  <c r="CB379" i="90"/>
  <c r="CB375" i="90"/>
  <c r="CB371" i="90"/>
  <c r="CB367" i="90"/>
  <c r="CB334" i="90"/>
  <c r="CB330" i="90"/>
  <c r="CB326" i="90"/>
  <c r="CB322" i="90"/>
  <c r="CB318" i="90"/>
  <c r="CB314" i="90"/>
  <c r="CB310" i="90"/>
  <c r="CB246" i="90"/>
  <c r="CB242" i="90"/>
  <c r="CB238" i="90"/>
  <c r="CB62" i="90"/>
  <c r="CB52" i="90"/>
  <c r="CB48" i="90"/>
  <c r="CB389" i="90"/>
  <c r="CB377" i="90"/>
  <c r="CB373" i="90"/>
  <c r="CB332" i="90"/>
  <c r="CB328" i="90"/>
  <c r="CB312" i="90"/>
  <c r="CB50" i="90"/>
  <c r="CB370" i="90"/>
  <c r="CB317" i="90"/>
  <c r="CB237" i="90"/>
  <c r="CB3" i="90"/>
  <c r="CB396" i="90"/>
  <c r="CB392" i="90"/>
  <c r="CB388" i="90"/>
  <c r="CB384" i="90"/>
  <c r="CB380" i="90"/>
  <c r="CB376" i="90"/>
  <c r="CB372" i="90"/>
  <c r="CB368" i="90"/>
  <c r="CB335" i="90"/>
  <c r="CB331" i="90"/>
  <c r="CB327" i="90"/>
  <c r="CB323" i="90"/>
  <c r="CB319" i="90"/>
  <c r="CB315" i="90"/>
  <c r="CB311" i="90"/>
  <c r="CB247" i="90"/>
  <c r="CB243" i="90"/>
  <c r="CB239" i="90"/>
  <c r="CB63" i="90"/>
  <c r="CB53" i="90"/>
  <c r="CB49" i="90"/>
  <c r="CB385" i="90"/>
  <c r="CB369" i="90"/>
  <c r="CB365" i="90"/>
  <c r="CB324" i="90"/>
  <c r="CB320" i="90"/>
  <c r="CB248" i="90"/>
  <c r="CB240" i="90"/>
  <c r="CB54" i="90"/>
  <c r="CB46" i="90"/>
  <c r="CB390" i="90"/>
  <c r="CB382" i="90"/>
  <c r="CB333" i="90"/>
  <c r="CB329" i="90"/>
  <c r="CB313" i="90"/>
  <c r="CB393" i="90"/>
  <c r="CB381" i="90"/>
  <c r="CB336" i="90"/>
  <c r="CB316" i="90"/>
  <c r="CB244" i="90"/>
  <c r="CB394" i="90"/>
  <c r="CB386" i="90"/>
  <c r="CB374" i="90"/>
  <c r="CB366" i="90"/>
  <c r="CB325" i="90"/>
  <c r="CB321" i="90"/>
  <c r="CB51" i="90"/>
  <c r="CB378" i="90"/>
  <c r="CB337" i="90"/>
  <c r="CB309" i="90"/>
  <c r="CB245" i="90"/>
  <c r="CB241" i="90"/>
  <c r="CB47" i="90"/>
  <c r="CI43" i="90"/>
  <c r="BX3" i="90"/>
  <c r="CV43" i="90"/>
  <c r="CV3" i="90" s="1"/>
  <c r="CK3" i="90"/>
  <c r="BY3" i="90"/>
  <c r="CJ43" i="90"/>
  <c r="CY43" i="90"/>
  <c r="CY3" i="90" s="1"/>
  <c r="CN3" i="90"/>
  <c r="BM131" i="90" l="1"/>
  <c r="BM174" i="90"/>
  <c r="BM95" i="90"/>
  <c r="BK177" i="90"/>
  <c r="BK180" i="90"/>
  <c r="BK127" i="90"/>
  <c r="BM177" i="90"/>
  <c r="BM136" i="90"/>
  <c r="BK174" i="90"/>
  <c r="BM96" i="90"/>
  <c r="BK84" i="90"/>
  <c r="BK170" i="90"/>
  <c r="BK97" i="90"/>
  <c r="BK172" i="90"/>
  <c r="BM180" i="90"/>
  <c r="BM143" i="90"/>
  <c r="BQ81" i="90"/>
  <c r="BR85" i="90"/>
  <c r="BR81" i="90"/>
  <c r="BQ85" i="90"/>
  <c r="BM168" i="90"/>
  <c r="BM73" i="90"/>
  <c r="BM103" i="90"/>
  <c r="BM135" i="90"/>
  <c r="BM134" i="90"/>
  <c r="BM159" i="90"/>
  <c r="BK93" i="90"/>
  <c r="BK112" i="90"/>
  <c r="BM57" i="90"/>
  <c r="BM65" i="90"/>
  <c r="BM129" i="90"/>
  <c r="BM156" i="90"/>
  <c r="BM128" i="90"/>
  <c r="BM259" i="90"/>
  <c r="BK113" i="90"/>
  <c r="BK223" i="90"/>
  <c r="BK259" i="90"/>
  <c r="BK342" i="90"/>
  <c r="BM153" i="90"/>
  <c r="BM167" i="90"/>
  <c r="BM139" i="90"/>
  <c r="BM297" i="90"/>
  <c r="BM280" i="90"/>
  <c r="BM258" i="90"/>
  <c r="BK83" i="90"/>
  <c r="BK141" i="90"/>
  <c r="BK167" i="90"/>
  <c r="BK175" i="90"/>
  <c r="BK145" i="90"/>
  <c r="BK89" i="90"/>
  <c r="BK258" i="90"/>
  <c r="BK349" i="90"/>
  <c r="BM86" i="90"/>
  <c r="BM206" i="90"/>
  <c r="BM275" i="90"/>
  <c r="BM249" i="90"/>
  <c r="BK189" i="90"/>
  <c r="BK231" i="90"/>
  <c r="BK302" i="90"/>
  <c r="BM181" i="90"/>
  <c r="BM163" i="90"/>
  <c r="BM231" i="90"/>
  <c r="BK79" i="90"/>
  <c r="BK65" i="90"/>
  <c r="BK139" i="90"/>
  <c r="BK111" i="90"/>
  <c r="BM200" i="90"/>
  <c r="BM162" i="90"/>
  <c r="BM227" i="90"/>
  <c r="BM226" i="90"/>
  <c r="BM347" i="90"/>
  <c r="BM342" i="90"/>
  <c r="BK117" i="90"/>
  <c r="BK92" i="90"/>
  <c r="BM124" i="90"/>
  <c r="BM111" i="90"/>
  <c r="BM112" i="90"/>
  <c r="BM302" i="90"/>
  <c r="BK109" i="90"/>
  <c r="BK295" i="90"/>
  <c r="BK249" i="90"/>
  <c r="BM109" i="90"/>
  <c r="BM116" i="90"/>
  <c r="BM93" i="90"/>
  <c r="BM271" i="90"/>
  <c r="BK86" i="90"/>
  <c r="BK163" i="90"/>
  <c r="BM179" i="90"/>
  <c r="BM152" i="90"/>
  <c r="BM141" i="90"/>
  <c r="BM107" i="90"/>
  <c r="BM101" i="90"/>
  <c r="BM208" i="90"/>
  <c r="BM266" i="90"/>
  <c r="BM350" i="90"/>
  <c r="BK161" i="90"/>
  <c r="BK152" i="90"/>
  <c r="BN56" i="90"/>
  <c r="BM74" i="90"/>
  <c r="BM175" i="90"/>
  <c r="BM145" i="90"/>
  <c r="BM123" i="90"/>
  <c r="BM233" i="90"/>
  <c r="BM89" i="90"/>
  <c r="BM212" i="90"/>
  <c r="BM289" i="90"/>
  <c r="BM349" i="90"/>
  <c r="BK82" i="90"/>
  <c r="BK176" i="90"/>
  <c r="BK94" i="90"/>
  <c r="BK289" i="90"/>
  <c r="BM67" i="90"/>
  <c r="BM82" i="90"/>
  <c r="BM165" i="90"/>
  <c r="BM291" i="90"/>
  <c r="BM260" i="90"/>
  <c r="BK136" i="90"/>
  <c r="BK165" i="90"/>
  <c r="BK106" i="90"/>
  <c r="BK228" i="90"/>
  <c r="BK254" i="90"/>
  <c r="BK350" i="90"/>
  <c r="BM126" i="90"/>
  <c r="BM114" i="90"/>
  <c r="BM303" i="90"/>
  <c r="BK77" i="90"/>
  <c r="BK187" i="90"/>
  <c r="BK101" i="90"/>
  <c r="BK273" i="90"/>
  <c r="BK250" i="90"/>
  <c r="BK346" i="90"/>
  <c r="BM133" i="90"/>
  <c r="BM110" i="90"/>
  <c r="BM305" i="90"/>
  <c r="BM94" i="90"/>
  <c r="BM215" i="90"/>
  <c r="BM298" i="90"/>
  <c r="BM285" i="90"/>
  <c r="BM272" i="90"/>
  <c r="BM254" i="90"/>
  <c r="BK74" i="90"/>
  <c r="BK133" i="90"/>
  <c r="BK233" i="90"/>
  <c r="BK208" i="90"/>
  <c r="BK204" i="90"/>
  <c r="BM88" i="90"/>
  <c r="BM228" i="90"/>
  <c r="BM204" i="90"/>
  <c r="BM261" i="90"/>
  <c r="BK67" i="90"/>
  <c r="BK126" i="90"/>
  <c r="BK114" i="90"/>
  <c r="BK272" i="90"/>
  <c r="BM83" i="90"/>
  <c r="BM190" i="90"/>
  <c r="BM194" i="90"/>
  <c r="BM160" i="90"/>
  <c r="BM55" i="90"/>
  <c r="BM66" i="90"/>
  <c r="BK291" i="90"/>
  <c r="BN55" i="90"/>
  <c r="BM58" i="90"/>
  <c r="BO359" i="90"/>
  <c r="BN60" i="90"/>
  <c r="BR60" i="90"/>
  <c r="BK359" i="90"/>
  <c r="BO363" i="90"/>
  <c r="BM360" i="90"/>
  <c r="BM359" i="90"/>
  <c r="BR360" i="90"/>
  <c r="BN359" i="90"/>
  <c r="BJ364" i="90"/>
  <c r="BP364" i="90"/>
  <c r="BL364" i="90"/>
  <c r="BJ358" i="90"/>
  <c r="BL358" i="90"/>
  <c r="BP358" i="90"/>
  <c r="BQ359" i="90"/>
  <c r="BQ363" i="90"/>
  <c r="BR363" i="90"/>
  <c r="BN363" i="90"/>
  <c r="BJ360" i="90"/>
  <c r="BL360" i="90"/>
  <c r="BP360" i="90"/>
  <c r="BJ362" i="90"/>
  <c r="BP362" i="90"/>
  <c r="BL362" i="90"/>
  <c r="BJ361" i="90"/>
  <c r="BP361" i="90"/>
  <c r="BL361" i="90"/>
  <c r="BQ358" i="90"/>
  <c r="BO360" i="90"/>
  <c r="BR358" i="90"/>
  <c r="BR362" i="90"/>
  <c r="BN364" i="90"/>
  <c r="BN361" i="90"/>
  <c r="BJ359" i="90"/>
  <c r="BP359" i="90"/>
  <c r="BL359" i="90"/>
  <c r="BQ361" i="90"/>
  <c r="BQ364" i="90"/>
  <c r="BR361" i="90"/>
  <c r="BO361" i="90"/>
  <c r="BO364" i="90"/>
  <c r="BR359" i="90"/>
  <c r="BN360" i="90"/>
  <c r="BN362" i="90"/>
  <c r="BN358" i="90"/>
  <c r="BJ363" i="90"/>
  <c r="BL363" i="90"/>
  <c r="BP363" i="90"/>
  <c r="BQ360" i="90"/>
  <c r="BQ362" i="90"/>
  <c r="BR364" i="90"/>
  <c r="BO362" i="90"/>
  <c r="BO358" i="90"/>
  <c r="BN357" i="90"/>
  <c r="BK357" i="90"/>
  <c r="BQ357" i="90"/>
  <c r="BJ357" i="90"/>
  <c r="BL357" i="90"/>
  <c r="BP357" i="90"/>
  <c r="BR357" i="90"/>
  <c r="BO357" i="90"/>
  <c r="BN57" i="90"/>
  <c r="BN58" i="90"/>
  <c r="BM59" i="90"/>
  <c r="BM56" i="90"/>
  <c r="BK56" i="90"/>
  <c r="BM68" i="90"/>
  <c r="BM77" i="90"/>
  <c r="BM191" i="90"/>
  <c r="BM187" i="90"/>
  <c r="BM70" i="90"/>
  <c r="BM195" i="90"/>
  <c r="BM149" i="90"/>
  <c r="BM172" i="90"/>
  <c r="BM170" i="90"/>
  <c r="BM161" i="90"/>
  <c r="BM148" i="90"/>
  <c r="BM155" i="90"/>
  <c r="BM221" i="90"/>
  <c r="BM224" i="90"/>
  <c r="BM223" i="90"/>
  <c r="BM100" i="90"/>
  <c r="BM90" i="90"/>
  <c r="BM205" i="90"/>
  <c r="BM270" i="90"/>
  <c r="BM250" i="90"/>
  <c r="BM343" i="90"/>
  <c r="BM341" i="90"/>
  <c r="BK68" i="90"/>
  <c r="BK179" i="90"/>
  <c r="BK134" i="90"/>
  <c r="BK171" i="90"/>
  <c r="BK107" i="90"/>
  <c r="BK155" i="90"/>
  <c r="BK148" i="90"/>
  <c r="BK115" i="90"/>
  <c r="BK104" i="90"/>
  <c r="BK236" i="90"/>
  <c r="BK95" i="90"/>
  <c r="BK220" i="90"/>
  <c r="BK213" i="90"/>
  <c r="BK303" i="90"/>
  <c r="BK276" i="90"/>
  <c r="BK266" i="90"/>
  <c r="BK270" i="90"/>
  <c r="BK341" i="90"/>
  <c r="BM60" i="90"/>
  <c r="BR59" i="90"/>
  <c r="BO56" i="90"/>
  <c r="BM87" i="90"/>
  <c r="BM69" i="90"/>
  <c r="BM84" i="90"/>
  <c r="BM146" i="90"/>
  <c r="BM171" i="90"/>
  <c r="BM121" i="90"/>
  <c r="BM166" i="90"/>
  <c r="BM132" i="90"/>
  <c r="BM104" i="90"/>
  <c r="BM127" i="90"/>
  <c r="BM105" i="90"/>
  <c r="BM138" i="90"/>
  <c r="BM220" i="90"/>
  <c r="BM216" i="90"/>
  <c r="BM99" i="90"/>
  <c r="BM214" i="90"/>
  <c r="BM274" i="90"/>
  <c r="BM283" i="90"/>
  <c r="BM263" i="90"/>
  <c r="BM279" i="90"/>
  <c r="BM346" i="90"/>
  <c r="BM351" i="90"/>
  <c r="BM345" i="90"/>
  <c r="BK138" i="90"/>
  <c r="BK214" i="90"/>
  <c r="BK166" i="90"/>
  <c r="BK120" i="90"/>
  <c r="BK216" i="90"/>
  <c r="BK294" i="90"/>
  <c r="BK283" i="90"/>
  <c r="BK256" i="90"/>
  <c r="BK351" i="90"/>
  <c r="BN59" i="90"/>
  <c r="BO58" i="90"/>
  <c r="BM144" i="90"/>
  <c r="BM225" i="90"/>
  <c r="BM122" i="90"/>
  <c r="BM117" i="90"/>
  <c r="BM97" i="90"/>
  <c r="BM230" i="90"/>
  <c r="BM296" i="90"/>
  <c r="BM308" i="90"/>
  <c r="BM113" i="90"/>
  <c r="BM92" i="90"/>
  <c r="BM236" i="90"/>
  <c r="BM210" i="90"/>
  <c r="BM299" i="90"/>
  <c r="BM273" i="90"/>
  <c r="BM262" i="90"/>
  <c r="BM277" i="90"/>
  <c r="BM269" i="90"/>
  <c r="BM354" i="90"/>
  <c r="BK72" i="90"/>
  <c r="BK162" i="90"/>
  <c r="BK78" i="90"/>
  <c r="BK188" i="90"/>
  <c r="BK181" i="90"/>
  <c r="BK122" i="90"/>
  <c r="BK129" i="90"/>
  <c r="BK90" i="90"/>
  <c r="BK146" i="90"/>
  <c r="BK230" i="90"/>
  <c r="BK308" i="90"/>
  <c r="BK210" i="90"/>
  <c r="BK263" i="90"/>
  <c r="BK252" i="90"/>
  <c r="BK345" i="90"/>
  <c r="BK343" i="90"/>
  <c r="BQ348" i="90"/>
  <c r="BP85" i="90"/>
  <c r="BO85" i="90"/>
  <c r="BP196" i="90"/>
  <c r="BO196" i="90"/>
  <c r="BP192" i="90"/>
  <c r="BO192" i="90"/>
  <c r="BP307" i="90"/>
  <c r="BO307" i="90"/>
  <c r="BN192" i="90"/>
  <c r="BK192" i="90"/>
  <c r="BK222" i="90"/>
  <c r="BQ222" i="90"/>
  <c r="BK217" i="90"/>
  <c r="BQ217" i="90"/>
  <c r="BK307" i="90"/>
  <c r="BN307" i="90"/>
  <c r="BK304" i="90"/>
  <c r="BP304" i="90"/>
  <c r="BN68" i="90"/>
  <c r="BN83" i="90"/>
  <c r="BN82" i="90"/>
  <c r="BN203" i="90"/>
  <c r="BN69" i="90"/>
  <c r="BN201" i="90"/>
  <c r="BN182" i="90"/>
  <c r="BN76" i="90"/>
  <c r="BN193" i="90"/>
  <c r="BN184" i="90"/>
  <c r="BN78" i="90"/>
  <c r="BN188" i="90"/>
  <c r="BN174" i="90"/>
  <c r="BN178" i="90"/>
  <c r="BN163" i="90"/>
  <c r="BN159" i="90"/>
  <c r="BN142" i="90"/>
  <c r="BN133" i="90"/>
  <c r="BN166" i="90"/>
  <c r="BN144" i="90"/>
  <c r="BN132" i="90"/>
  <c r="BN92" i="90"/>
  <c r="BN154" i="90"/>
  <c r="BN135" i="90"/>
  <c r="BN111" i="90"/>
  <c r="BN213" i="90"/>
  <c r="BN95" i="90"/>
  <c r="BN224" i="90"/>
  <c r="BN156" i="90"/>
  <c r="BN126" i="90"/>
  <c r="BN121" i="90"/>
  <c r="BN106" i="90"/>
  <c r="BN235" i="90"/>
  <c r="BN206" i="90"/>
  <c r="BN118" i="90"/>
  <c r="BN112" i="90"/>
  <c r="BN102" i="90"/>
  <c r="BN93" i="90"/>
  <c r="BN225" i="90"/>
  <c r="BN302" i="90"/>
  <c r="BN303" i="90"/>
  <c r="BN219" i="90"/>
  <c r="BN209" i="90"/>
  <c r="BN286" i="90"/>
  <c r="BN305" i="90"/>
  <c r="BN280" i="90"/>
  <c r="BN288" i="90"/>
  <c r="BN291" i="90"/>
  <c r="BN281" i="90"/>
  <c r="BN249" i="90"/>
  <c r="BN263" i="90"/>
  <c r="BN276" i="90"/>
  <c r="BN266" i="90"/>
  <c r="BN274" i="90"/>
  <c r="BN260" i="90"/>
  <c r="BN253" i="90"/>
  <c r="BN350" i="90"/>
  <c r="BN346" i="90"/>
  <c r="BN345" i="90"/>
  <c r="BJ72" i="90"/>
  <c r="BL72" i="90"/>
  <c r="BP72" i="90"/>
  <c r="BR72" i="90"/>
  <c r="BO72" i="90"/>
  <c r="BJ84" i="90"/>
  <c r="BP84" i="90"/>
  <c r="BL84" i="90"/>
  <c r="BR84" i="90"/>
  <c r="BO84" i="90"/>
  <c r="BJ70" i="90"/>
  <c r="BL70" i="90"/>
  <c r="BP70" i="90"/>
  <c r="BO70" i="90"/>
  <c r="BR70" i="90"/>
  <c r="BJ68" i="90"/>
  <c r="BP68" i="90"/>
  <c r="BL68" i="90"/>
  <c r="BR68" i="90"/>
  <c r="BO68" i="90"/>
  <c r="BJ180" i="90"/>
  <c r="BP180" i="90"/>
  <c r="BL180" i="90"/>
  <c r="BO180" i="90"/>
  <c r="BR180" i="90"/>
  <c r="BJ87" i="90"/>
  <c r="BP87" i="90"/>
  <c r="BL87" i="90"/>
  <c r="BR87" i="90"/>
  <c r="BO87" i="90"/>
  <c r="BJ195" i="90"/>
  <c r="BL195" i="90"/>
  <c r="BP195" i="90"/>
  <c r="BO195" i="90"/>
  <c r="BR195" i="90"/>
  <c r="BJ171" i="90"/>
  <c r="BL171" i="90"/>
  <c r="BP171" i="90"/>
  <c r="BR171" i="90"/>
  <c r="BO171" i="90"/>
  <c r="BJ75" i="90"/>
  <c r="BL75" i="90"/>
  <c r="BP75" i="90"/>
  <c r="BO75" i="90"/>
  <c r="BR75" i="90"/>
  <c r="BM192" i="90"/>
  <c r="BJ192" i="90"/>
  <c r="BL192" i="90"/>
  <c r="BJ181" i="90"/>
  <c r="BP181" i="90"/>
  <c r="BL181" i="90"/>
  <c r="BO181" i="90"/>
  <c r="BR181" i="90"/>
  <c r="BJ78" i="90"/>
  <c r="BL78" i="90"/>
  <c r="BP78" i="90"/>
  <c r="BR78" i="90"/>
  <c r="BO78" i="90"/>
  <c r="BM196" i="90"/>
  <c r="BJ196" i="90"/>
  <c r="BL196" i="90"/>
  <c r="BJ188" i="90"/>
  <c r="BL188" i="90"/>
  <c r="BP188" i="90"/>
  <c r="BO188" i="90"/>
  <c r="BR188" i="90"/>
  <c r="BJ148" i="90"/>
  <c r="BP148" i="90"/>
  <c r="BL148" i="90"/>
  <c r="BR148" i="90"/>
  <c r="BO148" i="90"/>
  <c r="BJ137" i="90"/>
  <c r="BL137" i="90"/>
  <c r="BP137" i="90"/>
  <c r="BO137" i="90"/>
  <c r="BR137" i="90"/>
  <c r="BJ177" i="90"/>
  <c r="BL177" i="90"/>
  <c r="BP177" i="90"/>
  <c r="BR177" i="90"/>
  <c r="BO177" i="90"/>
  <c r="BJ162" i="90"/>
  <c r="BL162" i="90"/>
  <c r="BP162" i="90"/>
  <c r="BO162" i="90"/>
  <c r="BR162" i="90"/>
  <c r="BJ155" i="90"/>
  <c r="BL155" i="90"/>
  <c r="BP155" i="90"/>
  <c r="BO155" i="90"/>
  <c r="BR155" i="90"/>
  <c r="BJ138" i="90"/>
  <c r="BP138" i="90"/>
  <c r="BL138" i="90"/>
  <c r="BO138" i="90"/>
  <c r="BR138" i="90"/>
  <c r="BJ216" i="90"/>
  <c r="BL216" i="90"/>
  <c r="BP216" i="90"/>
  <c r="BO216" i="90"/>
  <c r="BR216" i="90"/>
  <c r="BJ166" i="90"/>
  <c r="BP166" i="90"/>
  <c r="BL166" i="90"/>
  <c r="BR166" i="90"/>
  <c r="BO166" i="90"/>
  <c r="BJ146" i="90"/>
  <c r="BP146" i="90"/>
  <c r="BL146" i="90"/>
  <c r="BO146" i="90"/>
  <c r="BR146" i="90"/>
  <c r="BJ179" i="90"/>
  <c r="BP179" i="90"/>
  <c r="BL179" i="90"/>
  <c r="BO179" i="90"/>
  <c r="BR179" i="90"/>
  <c r="BJ134" i="90"/>
  <c r="BL134" i="90"/>
  <c r="BP134" i="90"/>
  <c r="BR134" i="90"/>
  <c r="BO134" i="90"/>
  <c r="BJ127" i="90"/>
  <c r="BL127" i="90"/>
  <c r="BP127" i="90"/>
  <c r="BO127" i="90"/>
  <c r="BR127" i="90"/>
  <c r="BJ120" i="90"/>
  <c r="BL120" i="90"/>
  <c r="BP120" i="90"/>
  <c r="BR120" i="90"/>
  <c r="BO120" i="90"/>
  <c r="BJ95" i="90"/>
  <c r="BL95" i="90"/>
  <c r="BP95" i="90"/>
  <c r="BO95" i="90"/>
  <c r="BR95" i="90"/>
  <c r="BJ90" i="90"/>
  <c r="BL90" i="90"/>
  <c r="BP90" i="90"/>
  <c r="BO90" i="90"/>
  <c r="BR90" i="90"/>
  <c r="BJ214" i="90"/>
  <c r="BL214" i="90"/>
  <c r="BP214" i="90"/>
  <c r="BO214" i="90"/>
  <c r="BR214" i="90"/>
  <c r="BJ157" i="90"/>
  <c r="BP157" i="90"/>
  <c r="BL157" i="90"/>
  <c r="BO157" i="90"/>
  <c r="BR157" i="90"/>
  <c r="BJ129" i="90"/>
  <c r="BL129" i="90"/>
  <c r="BP129" i="90"/>
  <c r="BO129" i="90"/>
  <c r="BR129" i="90"/>
  <c r="BJ122" i="90"/>
  <c r="BL122" i="90"/>
  <c r="BP122" i="90"/>
  <c r="BO122" i="90"/>
  <c r="BR122" i="90"/>
  <c r="BJ107" i="90"/>
  <c r="BL107" i="90"/>
  <c r="BP107" i="90"/>
  <c r="BR107" i="90"/>
  <c r="BO107" i="90"/>
  <c r="BJ97" i="90"/>
  <c r="BP97" i="90"/>
  <c r="BL97" i="90"/>
  <c r="BR97" i="90"/>
  <c r="BO97" i="90"/>
  <c r="BJ234" i="90"/>
  <c r="BP234" i="90"/>
  <c r="BL234" i="90"/>
  <c r="BO234" i="90"/>
  <c r="BR234" i="90"/>
  <c r="BJ303" i="90"/>
  <c r="BP303" i="90"/>
  <c r="BL303" i="90"/>
  <c r="BR303" i="90"/>
  <c r="BO303" i="90"/>
  <c r="BJ115" i="90"/>
  <c r="BL115" i="90"/>
  <c r="BP115" i="90"/>
  <c r="BO115" i="90"/>
  <c r="BR115" i="90"/>
  <c r="BJ104" i="90"/>
  <c r="BL104" i="90"/>
  <c r="BP104" i="90"/>
  <c r="BO104" i="90"/>
  <c r="BR104" i="90"/>
  <c r="BJ236" i="90"/>
  <c r="BP236" i="90"/>
  <c r="BL236" i="90"/>
  <c r="BO236" i="90"/>
  <c r="BR236" i="90"/>
  <c r="BJ221" i="90"/>
  <c r="BL221" i="90"/>
  <c r="BP221" i="90"/>
  <c r="BR221" i="90"/>
  <c r="BO221" i="90"/>
  <c r="BJ230" i="90"/>
  <c r="BP230" i="90"/>
  <c r="BL230" i="90"/>
  <c r="BR230" i="90"/>
  <c r="BO230" i="90"/>
  <c r="BJ220" i="90"/>
  <c r="BP220" i="90"/>
  <c r="BL220" i="90"/>
  <c r="BR220" i="90"/>
  <c r="BO220" i="90"/>
  <c r="BJ213" i="90"/>
  <c r="BP213" i="90"/>
  <c r="BL213" i="90"/>
  <c r="BR213" i="90"/>
  <c r="BO213" i="90"/>
  <c r="BJ210" i="90"/>
  <c r="BL210" i="90"/>
  <c r="BP210" i="90"/>
  <c r="BO210" i="90"/>
  <c r="BR210" i="90"/>
  <c r="BJ308" i="90"/>
  <c r="BL308" i="90"/>
  <c r="BP308" i="90"/>
  <c r="BO308" i="90"/>
  <c r="BR308" i="90"/>
  <c r="BJ299" i="90"/>
  <c r="BP299" i="90"/>
  <c r="BL299" i="90"/>
  <c r="BO299" i="90"/>
  <c r="BR299" i="90"/>
  <c r="BJ296" i="90"/>
  <c r="BP296" i="90"/>
  <c r="BL296" i="90"/>
  <c r="BO296" i="90"/>
  <c r="BR296" i="90"/>
  <c r="BJ284" i="90"/>
  <c r="BL284" i="90"/>
  <c r="BP284" i="90"/>
  <c r="BO284" i="90"/>
  <c r="BR284" i="90"/>
  <c r="BJ294" i="90"/>
  <c r="BP294" i="90"/>
  <c r="BL294" i="90"/>
  <c r="BO294" i="90"/>
  <c r="BR294" i="90"/>
  <c r="BJ283" i="90"/>
  <c r="BL283" i="90"/>
  <c r="BP283" i="90"/>
  <c r="BO283" i="90"/>
  <c r="BR283" i="90"/>
  <c r="BJ279" i="90"/>
  <c r="BL279" i="90"/>
  <c r="BP279" i="90"/>
  <c r="BO279" i="90"/>
  <c r="BR279" i="90"/>
  <c r="BJ263" i="90"/>
  <c r="BL263" i="90"/>
  <c r="BP263" i="90"/>
  <c r="BR263" i="90"/>
  <c r="BO263" i="90"/>
  <c r="BJ276" i="90"/>
  <c r="BL276" i="90"/>
  <c r="BP276" i="90"/>
  <c r="BR276" i="90"/>
  <c r="BO276" i="90"/>
  <c r="BJ266" i="90"/>
  <c r="BP266" i="90"/>
  <c r="BL266" i="90"/>
  <c r="BR266" i="90"/>
  <c r="BO266" i="90"/>
  <c r="BJ252" i="90"/>
  <c r="BP252" i="90"/>
  <c r="BL252" i="90"/>
  <c r="BO252" i="90"/>
  <c r="BR252" i="90"/>
  <c r="BJ270" i="90"/>
  <c r="BL270" i="90"/>
  <c r="BP270" i="90"/>
  <c r="BO270" i="90"/>
  <c r="BR270" i="90"/>
  <c r="BJ256" i="90"/>
  <c r="BP256" i="90"/>
  <c r="BL256" i="90"/>
  <c r="BR256" i="90"/>
  <c r="BO256" i="90"/>
  <c r="BJ262" i="90"/>
  <c r="BP262" i="90"/>
  <c r="BL262" i="90"/>
  <c r="BO262" i="90"/>
  <c r="BR262" i="90"/>
  <c r="BJ351" i="90"/>
  <c r="BL351" i="90"/>
  <c r="BP351" i="90"/>
  <c r="BO351" i="90"/>
  <c r="BR351" i="90"/>
  <c r="BJ341" i="90"/>
  <c r="BL341" i="90"/>
  <c r="BP341" i="90"/>
  <c r="BR341" i="90"/>
  <c r="BO341" i="90"/>
  <c r="BJ345" i="90"/>
  <c r="BL345" i="90"/>
  <c r="BP345" i="90"/>
  <c r="BR345" i="90"/>
  <c r="BO345" i="90"/>
  <c r="BJ343" i="90"/>
  <c r="BL343" i="90"/>
  <c r="BP343" i="90"/>
  <c r="BO343" i="90"/>
  <c r="BR343" i="90"/>
  <c r="BQ71" i="90"/>
  <c r="BQ68" i="90"/>
  <c r="BQ66" i="90"/>
  <c r="BQ88" i="90"/>
  <c r="BQ78" i="90"/>
  <c r="BQ188" i="90"/>
  <c r="BQ176" i="90"/>
  <c r="BQ202" i="90"/>
  <c r="BQ144" i="90"/>
  <c r="BQ195" i="90"/>
  <c r="BQ76" i="90"/>
  <c r="BQ193" i="90"/>
  <c r="BQ184" i="90"/>
  <c r="BQ132" i="90"/>
  <c r="BQ175" i="90"/>
  <c r="BQ171" i="90"/>
  <c r="BQ146" i="90"/>
  <c r="BQ111" i="90"/>
  <c r="BQ169" i="90"/>
  <c r="BQ160" i="90"/>
  <c r="BQ153" i="90"/>
  <c r="BQ167" i="90"/>
  <c r="BP81" i="90"/>
  <c r="BO81" i="90"/>
  <c r="BM222" i="90"/>
  <c r="BR222" i="90"/>
  <c r="BM292" i="90"/>
  <c r="BR292" i="90"/>
  <c r="BM217" i="90"/>
  <c r="BR217" i="90"/>
  <c r="BP352" i="90"/>
  <c r="BO352" i="90"/>
  <c r="BN67" i="90"/>
  <c r="BN66" i="90"/>
  <c r="BN202" i="90"/>
  <c r="BN65" i="90"/>
  <c r="BN200" i="90"/>
  <c r="BN180" i="90"/>
  <c r="BN75" i="90"/>
  <c r="BN173" i="90"/>
  <c r="BN77" i="90"/>
  <c r="BN191" i="90"/>
  <c r="BN187" i="90"/>
  <c r="BN134" i="90"/>
  <c r="BN177" i="90"/>
  <c r="BN162" i="90"/>
  <c r="BN152" i="90"/>
  <c r="BN140" i="90"/>
  <c r="BN130" i="90"/>
  <c r="BN165" i="90"/>
  <c r="BN141" i="90"/>
  <c r="BN128" i="90"/>
  <c r="BN179" i="90"/>
  <c r="BN151" i="90"/>
  <c r="BN108" i="90"/>
  <c r="BN236" i="90"/>
  <c r="BN127" i="90"/>
  <c r="BN233" i="90"/>
  <c r="BN215" i="90"/>
  <c r="BN149" i="90"/>
  <c r="BN125" i="90"/>
  <c r="BN116" i="90"/>
  <c r="BN100" i="90"/>
  <c r="BN226" i="90"/>
  <c r="BN204" i="90"/>
  <c r="BN117" i="90"/>
  <c r="BN105" i="90"/>
  <c r="BN99" i="90"/>
  <c r="BN89" i="90"/>
  <c r="BN222" i="90"/>
  <c r="BN231" i="90"/>
  <c r="BN298" i="90"/>
  <c r="BN218" i="90"/>
  <c r="BN212" i="90"/>
  <c r="BN300" i="90"/>
  <c r="BN308" i="90"/>
  <c r="BN295" i="90"/>
  <c r="BN279" i="90"/>
  <c r="BN284" i="90"/>
  <c r="BN287" i="90"/>
  <c r="BN292" i="90"/>
  <c r="BN273" i="90"/>
  <c r="BN255" i="90"/>
  <c r="BN272" i="90"/>
  <c r="BN265" i="90"/>
  <c r="BN270" i="90"/>
  <c r="BN259" i="90"/>
  <c r="BN351" i="90"/>
  <c r="BN353" i="90"/>
  <c r="BN344" i="90"/>
  <c r="BN342" i="90"/>
  <c r="BJ71" i="90"/>
  <c r="BL71" i="90"/>
  <c r="BP71" i="90"/>
  <c r="BO71" i="90"/>
  <c r="BR71" i="90"/>
  <c r="BJ82" i="90"/>
  <c r="BP82" i="90"/>
  <c r="BL82" i="90"/>
  <c r="BO82" i="90"/>
  <c r="BR82" i="90"/>
  <c r="BJ64" i="90"/>
  <c r="BP64" i="90"/>
  <c r="BL64" i="90"/>
  <c r="BR64" i="90"/>
  <c r="BO64" i="90"/>
  <c r="BJ67" i="90"/>
  <c r="BP67" i="90"/>
  <c r="BL67" i="90"/>
  <c r="BR67" i="90"/>
  <c r="BO67" i="90"/>
  <c r="BJ174" i="90"/>
  <c r="BL174" i="90"/>
  <c r="BP174" i="90"/>
  <c r="BR174" i="90"/>
  <c r="BO174" i="90"/>
  <c r="BJ74" i="90"/>
  <c r="BP74" i="90"/>
  <c r="BL74" i="90"/>
  <c r="BO74" i="90"/>
  <c r="BR74" i="90"/>
  <c r="BJ194" i="90"/>
  <c r="BL194" i="90"/>
  <c r="BP194" i="90"/>
  <c r="BR194" i="90"/>
  <c r="BO194" i="90"/>
  <c r="BJ152" i="90"/>
  <c r="BL152" i="90"/>
  <c r="BP152" i="90"/>
  <c r="BR152" i="90"/>
  <c r="BO152" i="90"/>
  <c r="BJ199" i="90"/>
  <c r="BP199" i="90"/>
  <c r="BL199" i="90"/>
  <c r="BO199" i="90"/>
  <c r="BR199" i="90"/>
  <c r="BJ186" i="90"/>
  <c r="BL186" i="90"/>
  <c r="BP186" i="90"/>
  <c r="BO186" i="90"/>
  <c r="BR186" i="90"/>
  <c r="BJ172" i="90"/>
  <c r="BL172" i="90"/>
  <c r="BP172" i="90"/>
  <c r="BR172" i="90"/>
  <c r="BO172" i="90"/>
  <c r="BJ77" i="90"/>
  <c r="BP77" i="90"/>
  <c r="BL77" i="90"/>
  <c r="BR77" i="90"/>
  <c r="BO77" i="90"/>
  <c r="BJ191" i="90"/>
  <c r="BP191" i="90"/>
  <c r="BL191" i="90"/>
  <c r="BO191" i="90"/>
  <c r="BR191" i="90"/>
  <c r="BJ187" i="90"/>
  <c r="BL187" i="90"/>
  <c r="BP187" i="90"/>
  <c r="BO187" i="90"/>
  <c r="BR187" i="90"/>
  <c r="BJ142" i="90"/>
  <c r="BP142" i="90"/>
  <c r="BL142" i="90"/>
  <c r="BR142" i="90"/>
  <c r="BO142" i="90"/>
  <c r="BJ133" i="90"/>
  <c r="BL133" i="90"/>
  <c r="BP133" i="90"/>
  <c r="BO133" i="90"/>
  <c r="BR133" i="90"/>
  <c r="BJ170" i="90"/>
  <c r="BL170" i="90"/>
  <c r="BP170" i="90"/>
  <c r="BO170" i="90"/>
  <c r="BR170" i="90"/>
  <c r="BJ161" i="90"/>
  <c r="BL161" i="90"/>
  <c r="BP161" i="90"/>
  <c r="BR161" i="90"/>
  <c r="BO161" i="90"/>
  <c r="BJ147" i="90"/>
  <c r="BL147" i="90"/>
  <c r="BP147" i="90"/>
  <c r="BO147" i="90"/>
  <c r="BR147" i="90"/>
  <c r="BJ136" i="90"/>
  <c r="BL136" i="90"/>
  <c r="BP136" i="90"/>
  <c r="BO136" i="90"/>
  <c r="BR136" i="90"/>
  <c r="BJ205" i="90"/>
  <c r="BP205" i="90"/>
  <c r="BL205" i="90"/>
  <c r="BR205" i="90"/>
  <c r="BO205" i="90"/>
  <c r="BJ165" i="90"/>
  <c r="BP165" i="90"/>
  <c r="BL165" i="90"/>
  <c r="BR165" i="90"/>
  <c r="BO165" i="90"/>
  <c r="BJ143" i="90"/>
  <c r="BP143" i="90"/>
  <c r="BL143" i="90"/>
  <c r="BR143" i="90"/>
  <c r="BO143" i="90"/>
  <c r="BJ176" i="90"/>
  <c r="BP176" i="90"/>
  <c r="BL176" i="90"/>
  <c r="BR176" i="90"/>
  <c r="BO176" i="90"/>
  <c r="BJ131" i="90"/>
  <c r="BL131" i="90"/>
  <c r="BP131" i="90"/>
  <c r="BR131" i="90"/>
  <c r="BO131" i="90"/>
  <c r="BJ101" i="90"/>
  <c r="BP101" i="90"/>
  <c r="BL101" i="90"/>
  <c r="BO101" i="90"/>
  <c r="BR101" i="90"/>
  <c r="BJ110" i="90"/>
  <c r="BL110" i="90"/>
  <c r="BP110" i="90"/>
  <c r="BR110" i="90"/>
  <c r="BO110" i="90"/>
  <c r="BJ94" i="90"/>
  <c r="BP94" i="90"/>
  <c r="BL94" i="90"/>
  <c r="BO94" i="90"/>
  <c r="BR94" i="90"/>
  <c r="BJ235" i="90"/>
  <c r="BL235" i="90"/>
  <c r="BP235" i="90"/>
  <c r="BO235" i="90"/>
  <c r="BR235" i="90"/>
  <c r="BM301" i="90"/>
  <c r="BJ301" i="90"/>
  <c r="BL301" i="90"/>
  <c r="BJ156" i="90"/>
  <c r="BP156" i="90"/>
  <c r="BL156" i="90"/>
  <c r="BO156" i="90"/>
  <c r="BR156" i="90"/>
  <c r="BJ126" i="90"/>
  <c r="BP126" i="90"/>
  <c r="BL126" i="90"/>
  <c r="BR126" i="90"/>
  <c r="BO126" i="90"/>
  <c r="BJ121" i="90"/>
  <c r="BL121" i="90"/>
  <c r="BP121" i="90"/>
  <c r="BR121" i="90"/>
  <c r="BO121" i="90"/>
  <c r="BJ106" i="90"/>
  <c r="BL106" i="90"/>
  <c r="BP106" i="90"/>
  <c r="BO106" i="90"/>
  <c r="BR106" i="90"/>
  <c r="BJ96" i="90"/>
  <c r="BP96" i="90"/>
  <c r="BL96" i="90"/>
  <c r="BO96" i="90"/>
  <c r="BR96" i="90"/>
  <c r="BJ228" i="90"/>
  <c r="BP228" i="90"/>
  <c r="BL228" i="90"/>
  <c r="BR228" i="90"/>
  <c r="BO228" i="90"/>
  <c r="BJ119" i="90"/>
  <c r="BP119" i="90"/>
  <c r="BL119" i="90"/>
  <c r="BO119" i="90"/>
  <c r="BR119" i="90"/>
  <c r="BJ114" i="90"/>
  <c r="BL114" i="90"/>
  <c r="BP114" i="90"/>
  <c r="BO114" i="90"/>
  <c r="BR114" i="90"/>
  <c r="BJ103" i="90"/>
  <c r="BP103" i="90"/>
  <c r="BL103" i="90"/>
  <c r="BO103" i="90"/>
  <c r="BR103" i="90"/>
  <c r="BJ233" i="90"/>
  <c r="BP233" i="90"/>
  <c r="BL233" i="90"/>
  <c r="BR233" i="90"/>
  <c r="BO233" i="90"/>
  <c r="BJ215" i="90"/>
  <c r="BP215" i="90"/>
  <c r="BL215" i="90"/>
  <c r="BO215" i="90"/>
  <c r="BR215" i="90"/>
  <c r="BJ208" i="90"/>
  <c r="BL208" i="90"/>
  <c r="BP208" i="90"/>
  <c r="BO208" i="90"/>
  <c r="BR208" i="90"/>
  <c r="BJ219" i="90"/>
  <c r="BL219" i="90"/>
  <c r="BP219" i="90"/>
  <c r="BO219" i="90"/>
  <c r="BR219" i="90"/>
  <c r="BJ204" i="90"/>
  <c r="BP204" i="90"/>
  <c r="BL204" i="90"/>
  <c r="BO204" i="90"/>
  <c r="BR204" i="90"/>
  <c r="BJ209" i="90"/>
  <c r="BL209" i="90"/>
  <c r="BP209" i="90"/>
  <c r="BR209" i="90"/>
  <c r="BO209" i="90"/>
  <c r="BM307" i="90"/>
  <c r="BJ307" i="90"/>
  <c r="BL307" i="90"/>
  <c r="BJ290" i="90"/>
  <c r="BL290" i="90"/>
  <c r="BP290" i="90"/>
  <c r="BO290" i="90"/>
  <c r="BR290" i="90"/>
  <c r="BJ289" i="90"/>
  <c r="BP289" i="90"/>
  <c r="BL289" i="90"/>
  <c r="BR289" i="90"/>
  <c r="BO289" i="90"/>
  <c r="BJ282" i="90"/>
  <c r="BP282" i="90"/>
  <c r="BL282" i="90"/>
  <c r="BR282" i="90"/>
  <c r="BO282" i="90"/>
  <c r="BJ291" i="90"/>
  <c r="BP291" i="90"/>
  <c r="BL291" i="90"/>
  <c r="BR291" i="90"/>
  <c r="BO291" i="90"/>
  <c r="BJ281" i="90"/>
  <c r="BL281" i="90"/>
  <c r="BP281" i="90"/>
  <c r="BR281" i="90"/>
  <c r="BO281" i="90"/>
  <c r="BJ273" i="90"/>
  <c r="BP273" i="90"/>
  <c r="BL273" i="90"/>
  <c r="BO273" i="90"/>
  <c r="BR273" i="90"/>
  <c r="BJ261" i="90"/>
  <c r="BL261" i="90"/>
  <c r="BP261" i="90"/>
  <c r="BO261" i="90"/>
  <c r="BR261" i="90"/>
  <c r="BJ272" i="90"/>
  <c r="BP272" i="90"/>
  <c r="BL272" i="90"/>
  <c r="BR272" i="90"/>
  <c r="BO272" i="90"/>
  <c r="BJ265" i="90"/>
  <c r="BP265" i="90"/>
  <c r="BL265" i="90"/>
  <c r="BR265" i="90"/>
  <c r="BO265" i="90"/>
  <c r="BJ250" i="90"/>
  <c r="BL250" i="90"/>
  <c r="BP250" i="90"/>
  <c r="BO250" i="90"/>
  <c r="BR250" i="90"/>
  <c r="BJ255" i="90"/>
  <c r="BL255" i="90"/>
  <c r="BP255" i="90"/>
  <c r="BO255" i="90"/>
  <c r="BR255" i="90"/>
  <c r="BJ254" i="90"/>
  <c r="BP254" i="90"/>
  <c r="BL254" i="90"/>
  <c r="BR254" i="90"/>
  <c r="BO254" i="90"/>
  <c r="BJ251" i="90"/>
  <c r="BO251" i="90"/>
  <c r="BL251" i="90"/>
  <c r="BJ350" i="90"/>
  <c r="BL350" i="90"/>
  <c r="BP350" i="90"/>
  <c r="BO350" i="90"/>
  <c r="BR350" i="90"/>
  <c r="BJ353" i="90"/>
  <c r="BP353" i="90"/>
  <c r="BL353" i="90"/>
  <c r="BO353" i="90"/>
  <c r="BR353" i="90"/>
  <c r="BJ346" i="90"/>
  <c r="BP346" i="90"/>
  <c r="BL346" i="90"/>
  <c r="BO346" i="90"/>
  <c r="BR346" i="90"/>
  <c r="BJ344" i="90"/>
  <c r="BP344" i="90"/>
  <c r="BL344" i="90"/>
  <c r="BR344" i="90"/>
  <c r="BO344" i="90"/>
  <c r="BQ86" i="90"/>
  <c r="BQ67" i="90"/>
  <c r="BQ64" i="90"/>
  <c r="BQ77" i="90"/>
  <c r="BQ191" i="90"/>
  <c r="BQ187" i="90"/>
  <c r="BQ147" i="90"/>
  <c r="BQ181" i="90"/>
  <c r="BQ74" i="90"/>
  <c r="BQ194" i="90"/>
  <c r="BQ75" i="90"/>
  <c r="BQ180" i="90"/>
  <c r="BQ127" i="90"/>
  <c r="BQ174" i="90"/>
  <c r="BQ154" i="90"/>
  <c r="BQ143" i="90"/>
  <c r="BQ178" i="90"/>
  <c r="BQ163" i="90"/>
  <c r="BQ159" i="90"/>
  <c r="BQ145" i="90"/>
  <c r="BQ166" i="90"/>
  <c r="BQ142" i="90"/>
  <c r="BQ114" i="90"/>
  <c r="BQ121" i="90"/>
  <c r="BQ105" i="90"/>
  <c r="BQ223" i="90"/>
  <c r="BQ125" i="90"/>
  <c r="BQ119" i="90"/>
  <c r="BQ234" i="90"/>
  <c r="BQ216" i="90"/>
  <c r="BQ138" i="90"/>
  <c r="BQ109" i="90"/>
  <c r="BP301" i="90"/>
  <c r="BO301" i="90"/>
  <c r="BK81" i="90"/>
  <c r="BN81" i="90"/>
  <c r="BK292" i="90"/>
  <c r="BQ292" i="90"/>
  <c r="BK352" i="90"/>
  <c r="BN352" i="90"/>
  <c r="BN348" i="90"/>
  <c r="BK348" i="90"/>
  <c r="BN72" i="90"/>
  <c r="BN64" i="90"/>
  <c r="BN86" i="90"/>
  <c r="BN70" i="90"/>
  <c r="BN175" i="90"/>
  <c r="BN87" i="90"/>
  <c r="BN195" i="90"/>
  <c r="BN172" i="90"/>
  <c r="BN199" i="90"/>
  <c r="BN186" i="90"/>
  <c r="BN80" i="90"/>
  <c r="BN73" i="90"/>
  <c r="BN190" i="90"/>
  <c r="BN183" i="90"/>
  <c r="BN131" i="90"/>
  <c r="BN170" i="90"/>
  <c r="BN161" i="90"/>
  <c r="BN150" i="90"/>
  <c r="BN139" i="90"/>
  <c r="BN168" i="90"/>
  <c r="BN155" i="90"/>
  <c r="BN138" i="90"/>
  <c r="BN120" i="90"/>
  <c r="BN176" i="90"/>
  <c r="BN146" i="90"/>
  <c r="BN101" i="90"/>
  <c r="BN227" i="90"/>
  <c r="BN109" i="90"/>
  <c r="BN91" i="90"/>
  <c r="BN158" i="90"/>
  <c r="BN145" i="90"/>
  <c r="BN124" i="90"/>
  <c r="BN113" i="90"/>
  <c r="BN94" i="90"/>
  <c r="BN223" i="90"/>
  <c r="BN304" i="90"/>
  <c r="BN115" i="90"/>
  <c r="BN104" i="90"/>
  <c r="BN97" i="90"/>
  <c r="BN234" i="90"/>
  <c r="BN214" i="90"/>
  <c r="BN230" i="90"/>
  <c r="BN290" i="90"/>
  <c r="BN217" i="90"/>
  <c r="BN211" i="90"/>
  <c r="BN297" i="90"/>
  <c r="BN289" i="90"/>
  <c r="BN275" i="90"/>
  <c r="BN282" i="90"/>
  <c r="BN285" i="90"/>
  <c r="BN277" i="90"/>
  <c r="BN268" i="90"/>
  <c r="BN252" i="90"/>
  <c r="BN271" i="90"/>
  <c r="BN264" i="90"/>
  <c r="BN261" i="90"/>
  <c r="BN256" i="90"/>
  <c r="BN262" i="90"/>
  <c r="BN349" i="90"/>
  <c r="BN340" i="90"/>
  <c r="BN341" i="90"/>
  <c r="BJ66" i="90"/>
  <c r="BL66" i="90"/>
  <c r="BP66" i="90"/>
  <c r="BO66" i="90"/>
  <c r="BR66" i="90"/>
  <c r="BM81" i="90"/>
  <c r="BJ81" i="90"/>
  <c r="BL81" i="90"/>
  <c r="BJ85" i="90"/>
  <c r="BM85" i="90"/>
  <c r="BL85" i="90"/>
  <c r="BJ203" i="90"/>
  <c r="BP203" i="90"/>
  <c r="BL203" i="90"/>
  <c r="BR203" i="90"/>
  <c r="BO203" i="90"/>
  <c r="BJ69" i="90"/>
  <c r="BL69" i="90"/>
  <c r="BP69" i="90"/>
  <c r="BO69" i="90"/>
  <c r="BR69" i="90"/>
  <c r="BJ201" i="90"/>
  <c r="BL201" i="90"/>
  <c r="BP201" i="90"/>
  <c r="BO201" i="90"/>
  <c r="BR201" i="90"/>
  <c r="BJ182" i="90"/>
  <c r="BL182" i="90"/>
  <c r="BP182" i="90"/>
  <c r="BO182" i="90"/>
  <c r="BR182" i="90"/>
  <c r="BJ150" i="90"/>
  <c r="BP150" i="90"/>
  <c r="BL150" i="90"/>
  <c r="BO150" i="90"/>
  <c r="BR150" i="90"/>
  <c r="BJ198" i="90"/>
  <c r="BP198" i="90"/>
  <c r="BL198" i="90"/>
  <c r="BO198" i="90"/>
  <c r="BR198" i="90"/>
  <c r="BJ185" i="90"/>
  <c r="BL185" i="90"/>
  <c r="BP185" i="90"/>
  <c r="BR185" i="90"/>
  <c r="BO185" i="90"/>
  <c r="BJ80" i="90"/>
  <c r="BP80" i="90"/>
  <c r="BL80" i="90"/>
  <c r="BO80" i="90"/>
  <c r="BR80" i="90"/>
  <c r="BJ73" i="90"/>
  <c r="BP73" i="90"/>
  <c r="BL73" i="90"/>
  <c r="BO73" i="90"/>
  <c r="BR73" i="90"/>
  <c r="BJ190" i="90"/>
  <c r="BL190" i="90"/>
  <c r="BP190" i="90"/>
  <c r="BR190" i="90"/>
  <c r="BO190" i="90"/>
  <c r="BJ183" i="90"/>
  <c r="BP183" i="90"/>
  <c r="BL183" i="90"/>
  <c r="BR183" i="90"/>
  <c r="BO183" i="90"/>
  <c r="BJ140" i="90"/>
  <c r="BL140" i="90"/>
  <c r="BP140" i="90"/>
  <c r="BO140" i="90"/>
  <c r="BR140" i="90"/>
  <c r="BJ130" i="90"/>
  <c r="BL130" i="90"/>
  <c r="BP130" i="90"/>
  <c r="BO130" i="90"/>
  <c r="BR130" i="90"/>
  <c r="BJ169" i="90"/>
  <c r="BL169" i="90"/>
  <c r="BP169" i="90"/>
  <c r="BO169" i="90"/>
  <c r="BR169" i="90"/>
  <c r="BJ160" i="90"/>
  <c r="BP160" i="90"/>
  <c r="BL160" i="90"/>
  <c r="BO160" i="90"/>
  <c r="BR160" i="90"/>
  <c r="BJ144" i="90"/>
  <c r="BL144" i="90"/>
  <c r="BP144" i="90"/>
  <c r="BO144" i="90"/>
  <c r="BR144" i="90"/>
  <c r="BJ132" i="90"/>
  <c r="BP132" i="90"/>
  <c r="BL132" i="90"/>
  <c r="BR132" i="90"/>
  <c r="BO132" i="90"/>
  <c r="BJ168" i="90"/>
  <c r="BL168" i="90"/>
  <c r="BP168" i="90"/>
  <c r="BR168" i="90"/>
  <c r="BO168" i="90"/>
  <c r="BJ154" i="90"/>
  <c r="BP154" i="90"/>
  <c r="BL154" i="90"/>
  <c r="BR154" i="90"/>
  <c r="BO154" i="90"/>
  <c r="BJ135" i="90"/>
  <c r="BL135" i="90"/>
  <c r="BP135" i="90"/>
  <c r="BO135" i="90"/>
  <c r="BR135" i="90"/>
  <c r="BJ164" i="90"/>
  <c r="BL164" i="90"/>
  <c r="BP164" i="90"/>
  <c r="BR164" i="90"/>
  <c r="BO164" i="90"/>
  <c r="BJ128" i="90"/>
  <c r="BL128" i="90"/>
  <c r="BP128" i="90"/>
  <c r="BO128" i="90"/>
  <c r="BR128" i="90"/>
  <c r="BJ100" i="90"/>
  <c r="BP100" i="90"/>
  <c r="BL100" i="90"/>
  <c r="BR100" i="90"/>
  <c r="BO100" i="90"/>
  <c r="BJ108" i="90"/>
  <c r="BL108" i="90"/>
  <c r="BP108" i="90"/>
  <c r="BR108" i="90"/>
  <c r="BO108" i="90"/>
  <c r="BJ91" i="90"/>
  <c r="BL91" i="90"/>
  <c r="BP91" i="90"/>
  <c r="BO91" i="90"/>
  <c r="BR91" i="90"/>
  <c r="BJ226" i="90"/>
  <c r="BP226" i="90"/>
  <c r="BL226" i="90"/>
  <c r="BO226" i="90"/>
  <c r="BR226" i="90"/>
  <c r="BJ286" i="90"/>
  <c r="BL286" i="90"/>
  <c r="BP286" i="90"/>
  <c r="BO286" i="90"/>
  <c r="BR286" i="90"/>
  <c r="BJ149" i="90"/>
  <c r="BP149" i="90"/>
  <c r="BL149" i="90"/>
  <c r="BR149" i="90"/>
  <c r="BO149" i="90"/>
  <c r="BJ125" i="90"/>
  <c r="BL125" i="90"/>
  <c r="BP125" i="90"/>
  <c r="BR125" i="90"/>
  <c r="BO125" i="90"/>
  <c r="BJ116" i="90"/>
  <c r="BL116" i="90"/>
  <c r="BP116" i="90"/>
  <c r="BO116" i="90"/>
  <c r="BR116" i="90"/>
  <c r="BJ102" i="90"/>
  <c r="BL102" i="90"/>
  <c r="BP102" i="90"/>
  <c r="BO102" i="90"/>
  <c r="BR102" i="90"/>
  <c r="BJ93" i="90"/>
  <c r="BP93" i="90"/>
  <c r="BL93" i="90"/>
  <c r="BR93" i="90"/>
  <c r="BO93" i="90"/>
  <c r="BJ225" i="90"/>
  <c r="BL225" i="90"/>
  <c r="BP225" i="90"/>
  <c r="BR225" i="90"/>
  <c r="BO225" i="90"/>
  <c r="BJ118" i="90"/>
  <c r="BL118" i="90"/>
  <c r="BP118" i="90"/>
  <c r="BR118" i="90"/>
  <c r="BO118" i="90"/>
  <c r="BJ112" i="90"/>
  <c r="BP112" i="90"/>
  <c r="BL112" i="90"/>
  <c r="BR112" i="90"/>
  <c r="BO112" i="90"/>
  <c r="BJ98" i="90"/>
  <c r="BP98" i="90"/>
  <c r="BL98" i="90"/>
  <c r="BR98" i="90"/>
  <c r="BO98" i="90"/>
  <c r="BJ229" i="90"/>
  <c r="BP229" i="90"/>
  <c r="BL229" i="90"/>
  <c r="BO229" i="90"/>
  <c r="BR229" i="90"/>
  <c r="BJ207" i="90"/>
  <c r="BP207" i="90"/>
  <c r="BL207" i="90"/>
  <c r="BR207" i="90"/>
  <c r="BO207" i="90"/>
  <c r="BJ206" i="90"/>
  <c r="BP206" i="90"/>
  <c r="BL206" i="90"/>
  <c r="BO206" i="90"/>
  <c r="BR206" i="90"/>
  <c r="BJ218" i="90"/>
  <c r="BL218" i="90"/>
  <c r="BP218" i="90"/>
  <c r="BR218" i="90"/>
  <c r="BO218" i="90"/>
  <c r="BJ212" i="90"/>
  <c r="BP212" i="90"/>
  <c r="BL212" i="90"/>
  <c r="BO212" i="90"/>
  <c r="BR212" i="90"/>
  <c r="BJ298" i="90"/>
  <c r="BL298" i="90"/>
  <c r="BP298" i="90"/>
  <c r="BO298" i="90"/>
  <c r="BR298" i="90"/>
  <c r="BJ306" i="90"/>
  <c r="BP306" i="90"/>
  <c r="BL306" i="90"/>
  <c r="BR306" i="90"/>
  <c r="BO306" i="90"/>
  <c r="BJ300" i="90"/>
  <c r="BL300" i="90"/>
  <c r="BP300" i="90"/>
  <c r="BO300" i="90"/>
  <c r="BR300" i="90"/>
  <c r="BJ293" i="90"/>
  <c r="BL293" i="90"/>
  <c r="BP293" i="90"/>
  <c r="BO293" i="90"/>
  <c r="BR293" i="90"/>
  <c r="BJ277" i="90"/>
  <c r="BP277" i="90"/>
  <c r="BL277" i="90"/>
  <c r="BR277" i="90"/>
  <c r="BO277" i="90"/>
  <c r="BJ287" i="90"/>
  <c r="BP287" i="90"/>
  <c r="BL287" i="90"/>
  <c r="BR287" i="90"/>
  <c r="BO287" i="90"/>
  <c r="BJ292" i="90"/>
  <c r="BP292" i="90"/>
  <c r="BL292" i="90"/>
  <c r="BO292" i="90"/>
  <c r="BJ268" i="90"/>
  <c r="BP268" i="90"/>
  <c r="BL268" i="90"/>
  <c r="BO268" i="90"/>
  <c r="BR268" i="90"/>
  <c r="BJ257" i="90"/>
  <c r="BP257" i="90"/>
  <c r="BL257" i="90"/>
  <c r="BR257" i="90"/>
  <c r="BO257" i="90"/>
  <c r="BJ271" i="90"/>
  <c r="BP271" i="90"/>
  <c r="BL271" i="90"/>
  <c r="BR271" i="90"/>
  <c r="BO271" i="90"/>
  <c r="BJ264" i="90"/>
  <c r="BL264" i="90"/>
  <c r="BP264" i="90"/>
  <c r="BO264" i="90"/>
  <c r="BR264" i="90"/>
  <c r="BJ278" i="90"/>
  <c r="BP278" i="90"/>
  <c r="BL278" i="90"/>
  <c r="BO278" i="90"/>
  <c r="BR278" i="90"/>
  <c r="BJ260" i="90"/>
  <c r="BP260" i="90"/>
  <c r="BL260" i="90"/>
  <c r="BR260" i="90"/>
  <c r="BO260" i="90"/>
  <c r="BJ253" i="90"/>
  <c r="BP253" i="90"/>
  <c r="BL253" i="90"/>
  <c r="BO253" i="90"/>
  <c r="BR253" i="90"/>
  <c r="BM348" i="90"/>
  <c r="BJ348" i="90"/>
  <c r="BL348" i="90"/>
  <c r="BM352" i="90"/>
  <c r="BJ352" i="90"/>
  <c r="BL352" i="90"/>
  <c r="BJ340" i="90"/>
  <c r="BP340" i="90"/>
  <c r="BL340" i="90"/>
  <c r="BO340" i="90"/>
  <c r="BR340" i="90"/>
  <c r="BQ65" i="90"/>
  <c r="BQ84" i="90"/>
  <c r="BQ87" i="90"/>
  <c r="BQ80" i="90"/>
  <c r="BQ73" i="90"/>
  <c r="BQ190" i="90"/>
  <c r="BQ183" i="90"/>
  <c r="BQ70" i="90"/>
  <c r="BQ164" i="90"/>
  <c r="BQ201" i="90"/>
  <c r="BQ182" i="90"/>
  <c r="BQ199" i="90"/>
  <c r="BQ186" i="90"/>
  <c r="BQ141" i="90"/>
  <c r="BQ235" i="90"/>
  <c r="BQ173" i="90"/>
  <c r="BQ151" i="90"/>
  <c r="BQ135" i="90"/>
  <c r="BQ177" i="90"/>
  <c r="BQ162" i="90"/>
  <c r="BQ158" i="90"/>
  <c r="BQ134" i="90"/>
  <c r="BQ165" i="90"/>
  <c r="BQ140" i="90"/>
  <c r="BQ104" i="90"/>
  <c r="BQ117" i="90"/>
  <c r="BM304" i="90"/>
  <c r="BR304" i="90"/>
  <c r="BM251" i="90"/>
  <c r="BR251" i="90"/>
  <c r="BP348" i="90"/>
  <c r="BO348" i="90"/>
  <c r="BN85" i="90"/>
  <c r="BK85" i="90"/>
  <c r="BK196" i="90"/>
  <c r="BN196" i="90"/>
  <c r="BN301" i="90"/>
  <c r="BK301" i="90"/>
  <c r="BK251" i="90"/>
  <c r="BP251" i="90"/>
  <c r="BN71" i="90"/>
  <c r="BN84" i="90"/>
  <c r="BN88" i="90"/>
  <c r="BN171" i="90"/>
  <c r="BN74" i="90"/>
  <c r="BN194" i="90"/>
  <c r="BN153" i="90"/>
  <c r="BN198" i="90"/>
  <c r="BN185" i="90"/>
  <c r="BN79" i="90"/>
  <c r="BN197" i="90"/>
  <c r="BN189" i="90"/>
  <c r="BN181" i="90"/>
  <c r="BN229" i="90"/>
  <c r="BN169" i="90"/>
  <c r="BN160" i="90"/>
  <c r="BN148" i="90"/>
  <c r="BN137" i="90"/>
  <c r="BN167" i="90"/>
  <c r="BN147" i="90"/>
  <c r="BN136" i="90"/>
  <c r="BN110" i="90"/>
  <c r="BN164" i="90"/>
  <c r="BN143" i="90"/>
  <c r="BN123" i="90"/>
  <c r="BN221" i="90"/>
  <c r="BN98" i="90"/>
  <c r="BN232" i="90"/>
  <c r="BN157" i="90"/>
  <c r="BN129" i="90"/>
  <c r="BN122" i="90"/>
  <c r="BN107" i="90"/>
  <c r="BN90" i="90"/>
  <c r="BN216" i="90"/>
  <c r="BN119" i="90"/>
  <c r="BN114" i="90"/>
  <c r="BN103" i="90"/>
  <c r="BN96" i="90"/>
  <c r="BN228" i="90"/>
  <c r="BN208" i="90"/>
  <c r="BN207" i="90"/>
  <c r="BN220" i="90"/>
  <c r="BN205" i="90"/>
  <c r="BN210" i="90"/>
  <c r="BN296" i="90"/>
  <c r="BN306" i="90"/>
  <c r="BN299" i="90"/>
  <c r="BN293" i="90"/>
  <c r="BN294" i="90"/>
  <c r="BN283" i="90"/>
  <c r="BN258" i="90"/>
  <c r="BN267" i="90"/>
  <c r="BN250" i="90"/>
  <c r="BN269" i="90"/>
  <c r="BN278" i="90"/>
  <c r="BN257" i="90"/>
  <c r="BN254" i="90"/>
  <c r="BN251" i="90"/>
  <c r="BN354" i="90"/>
  <c r="BN347" i="90"/>
  <c r="BN343" i="90"/>
  <c r="BJ86" i="90"/>
  <c r="BP86" i="90"/>
  <c r="BL86" i="90"/>
  <c r="BO86" i="90"/>
  <c r="BR86" i="90"/>
  <c r="BJ88" i="90"/>
  <c r="BL88" i="90"/>
  <c r="BP88" i="90"/>
  <c r="BR88" i="90"/>
  <c r="BO88" i="90"/>
  <c r="BJ83" i="90"/>
  <c r="BP83" i="90"/>
  <c r="BL83" i="90"/>
  <c r="BO83" i="90"/>
  <c r="BR83" i="90"/>
  <c r="BJ202" i="90"/>
  <c r="BP202" i="90"/>
  <c r="BL202" i="90"/>
  <c r="BO202" i="90"/>
  <c r="BR202" i="90"/>
  <c r="BJ65" i="90"/>
  <c r="BL65" i="90"/>
  <c r="BP65" i="90"/>
  <c r="BO65" i="90"/>
  <c r="BR65" i="90"/>
  <c r="BJ200" i="90"/>
  <c r="BL200" i="90"/>
  <c r="BP200" i="90"/>
  <c r="BR200" i="90"/>
  <c r="BO200" i="90"/>
  <c r="BJ175" i="90"/>
  <c r="BL175" i="90"/>
  <c r="BP175" i="90"/>
  <c r="BR175" i="90"/>
  <c r="BO175" i="90"/>
  <c r="BJ76" i="90"/>
  <c r="BP76" i="90"/>
  <c r="BL76" i="90"/>
  <c r="BR76" i="90"/>
  <c r="BO76" i="90"/>
  <c r="BJ193" i="90"/>
  <c r="BP193" i="90"/>
  <c r="BL193" i="90"/>
  <c r="BR193" i="90"/>
  <c r="BO193" i="90"/>
  <c r="BJ184" i="90"/>
  <c r="BP184" i="90"/>
  <c r="BL184" i="90"/>
  <c r="BO184" i="90"/>
  <c r="BR184" i="90"/>
  <c r="BJ79" i="90"/>
  <c r="BP79" i="90"/>
  <c r="BL79" i="90"/>
  <c r="BR79" i="90"/>
  <c r="BO79" i="90"/>
  <c r="BJ197" i="90"/>
  <c r="BP197" i="90"/>
  <c r="BL197" i="90"/>
  <c r="BO197" i="90"/>
  <c r="BR197" i="90"/>
  <c r="BJ189" i="90"/>
  <c r="BL189" i="90"/>
  <c r="BP189" i="90"/>
  <c r="BO189" i="90"/>
  <c r="BR189" i="90"/>
  <c r="BJ173" i="90"/>
  <c r="BP173" i="90"/>
  <c r="BL173" i="90"/>
  <c r="BR173" i="90"/>
  <c r="BO173" i="90"/>
  <c r="BJ139" i="90"/>
  <c r="BL139" i="90"/>
  <c r="BP139" i="90"/>
  <c r="BR139" i="90"/>
  <c r="BO139" i="90"/>
  <c r="BJ178" i="90"/>
  <c r="BP178" i="90"/>
  <c r="BL178" i="90"/>
  <c r="BO178" i="90"/>
  <c r="BR178" i="90"/>
  <c r="BJ163" i="90"/>
  <c r="BP163" i="90"/>
  <c r="BL163" i="90"/>
  <c r="BO163" i="90"/>
  <c r="BR163" i="90"/>
  <c r="BJ159" i="90"/>
  <c r="BP159" i="90"/>
  <c r="BL159" i="90"/>
  <c r="BO159" i="90"/>
  <c r="BR159" i="90"/>
  <c r="BJ141" i="90"/>
  <c r="BL141" i="90"/>
  <c r="BP141" i="90"/>
  <c r="BR141" i="90"/>
  <c r="BO141" i="90"/>
  <c r="BJ123" i="90"/>
  <c r="BL123" i="90"/>
  <c r="BP123" i="90"/>
  <c r="BR123" i="90"/>
  <c r="BO123" i="90"/>
  <c r="BJ167" i="90"/>
  <c r="BL167" i="90"/>
  <c r="BP167" i="90"/>
  <c r="BR167" i="90"/>
  <c r="BO167" i="90"/>
  <c r="BJ151" i="90"/>
  <c r="BP151" i="90"/>
  <c r="BL151" i="90"/>
  <c r="BO151" i="90"/>
  <c r="BR151" i="90"/>
  <c r="BJ302" i="90"/>
  <c r="BL302" i="90"/>
  <c r="BP302" i="90"/>
  <c r="BR302" i="90"/>
  <c r="BO302" i="90"/>
  <c r="BJ153" i="90"/>
  <c r="BP153" i="90"/>
  <c r="BL153" i="90"/>
  <c r="BO153" i="90"/>
  <c r="BR153" i="90"/>
  <c r="BJ109" i="90"/>
  <c r="BL109" i="90"/>
  <c r="BP109" i="90"/>
  <c r="BO109" i="90"/>
  <c r="BR109" i="90"/>
  <c r="BJ224" i="90"/>
  <c r="BL224" i="90"/>
  <c r="BP224" i="90"/>
  <c r="BR224" i="90"/>
  <c r="BO224" i="90"/>
  <c r="BJ111" i="90"/>
  <c r="BL111" i="90"/>
  <c r="BP111" i="90"/>
  <c r="BR111" i="90"/>
  <c r="BO111" i="90"/>
  <c r="BJ232" i="90"/>
  <c r="BL232" i="90"/>
  <c r="BP232" i="90"/>
  <c r="BO232" i="90"/>
  <c r="BR232" i="90"/>
  <c r="BJ223" i="90"/>
  <c r="BL223" i="90"/>
  <c r="BP223" i="90"/>
  <c r="BO223" i="90"/>
  <c r="BR223" i="90"/>
  <c r="BJ158" i="90"/>
  <c r="BL158" i="90"/>
  <c r="BP158" i="90"/>
  <c r="BO158" i="90"/>
  <c r="BR158" i="90"/>
  <c r="BJ145" i="90"/>
  <c r="BL145" i="90"/>
  <c r="BP145" i="90"/>
  <c r="BR145" i="90"/>
  <c r="BO145" i="90"/>
  <c r="BJ124" i="90"/>
  <c r="BL124" i="90"/>
  <c r="BP124" i="90"/>
  <c r="BO124" i="90"/>
  <c r="BR124" i="90"/>
  <c r="BJ113" i="90"/>
  <c r="BL113" i="90"/>
  <c r="BP113" i="90"/>
  <c r="BR113" i="90"/>
  <c r="BO113" i="90"/>
  <c r="BJ99" i="90"/>
  <c r="BL99" i="90"/>
  <c r="BP99" i="90"/>
  <c r="BO99" i="90"/>
  <c r="BR99" i="90"/>
  <c r="BJ89" i="90"/>
  <c r="BP89" i="90"/>
  <c r="BL89" i="90"/>
  <c r="BO89" i="90"/>
  <c r="BR89" i="90"/>
  <c r="BP222" i="90"/>
  <c r="BJ222" i="90"/>
  <c r="BL222" i="90"/>
  <c r="BO222" i="90"/>
  <c r="BJ117" i="90"/>
  <c r="BP117" i="90"/>
  <c r="BL117" i="90"/>
  <c r="BO117" i="90"/>
  <c r="BR117" i="90"/>
  <c r="BJ105" i="90"/>
  <c r="BL105" i="90"/>
  <c r="BP105" i="90"/>
  <c r="BO105" i="90"/>
  <c r="BR105" i="90"/>
  <c r="BJ92" i="90"/>
  <c r="BP92" i="90"/>
  <c r="BL92" i="90"/>
  <c r="BO92" i="90"/>
  <c r="BR92" i="90"/>
  <c r="BJ227" i="90"/>
  <c r="BL227" i="90"/>
  <c r="BP227" i="90"/>
  <c r="BR227" i="90"/>
  <c r="BO227" i="90"/>
  <c r="BJ231" i="90"/>
  <c r="BL231" i="90"/>
  <c r="BP231" i="90"/>
  <c r="BO231" i="90"/>
  <c r="BR231" i="90"/>
  <c r="BO304" i="90"/>
  <c r="BJ304" i="90"/>
  <c r="BL304" i="90"/>
  <c r="BP217" i="90"/>
  <c r="BJ217" i="90"/>
  <c r="BL217" i="90"/>
  <c r="BO217" i="90"/>
  <c r="BJ211" i="90"/>
  <c r="BL211" i="90"/>
  <c r="BP211" i="90"/>
  <c r="BO211" i="90"/>
  <c r="BR211" i="90"/>
  <c r="BJ295" i="90"/>
  <c r="BP295" i="90"/>
  <c r="BL295" i="90"/>
  <c r="BO295" i="90"/>
  <c r="BR295" i="90"/>
  <c r="BJ305" i="90"/>
  <c r="BP305" i="90"/>
  <c r="BL305" i="90"/>
  <c r="BO305" i="90"/>
  <c r="BR305" i="90"/>
  <c r="BJ297" i="90"/>
  <c r="BL297" i="90"/>
  <c r="BP297" i="90"/>
  <c r="BO297" i="90"/>
  <c r="BR297" i="90"/>
  <c r="BJ288" i="90"/>
  <c r="BP288" i="90"/>
  <c r="BL288" i="90"/>
  <c r="BR288" i="90"/>
  <c r="BO288" i="90"/>
  <c r="BJ275" i="90"/>
  <c r="BL275" i="90"/>
  <c r="BP275" i="90"/>
  <c r="BR275" i="90"/>
  <c r="BO275" i="90"/>
  <c r="BJ285" i="90"/>
  <c r="BP285" i="90"/>
  <c r="BL285" i="90"/>
  <c r="BR285" i="90"/>
  <c r="BO285" i="90"/>
  <c r="BJ280" i="90"/>
  <c r="BP280" i="90"/>
  <c r="BL280" i="90"/>
  <c r="BO280" i="90"/>
  <c r="BR280" i="90"/>
  <c r="BJ267" i="90"/>
  <c r="BP267" i="90"/>
  <c r="BL267" i="90"/>
  <c r="BR267" i="90"/>
  <c r="BO267" i="90"/>
  <c r="BJ249" i="90"/>
  <c r="BL249" i="90"/>
  <c r="BP249" i="90"/>
  <c r="BR249" i="90"/>
  <c r="BO249" i="90"/>
  <c r="BJ269" i="90"/>
  <c r="BL269" i="90"/>
  <c r="BP269" i="90"/>
  <c r="BO269" i="90"/>
  <c r="BR269" i="90"/>
  <c r="BJ258" i="90"/>
  <c r="BL258" i="90"/>
  <c r="BP258" i="90"/>
  <c r="BO258" i="90"/>
  <c r="BR258" i="90"/>
  <c r="BJ274" i="90"/>
  <c r="BP274" i="90"/>
  <c r="BL274" i="90"/>
  <c r="BO274" i="90"/>
  <c r="BR274" i="90"/>
  <c r="BJ259" i="90"/>
  <c r="BL259" i="90"/>
  <c r="BP259" i="90"/>
  <c r="BO259" i="90"/>
  <c r="BR259" i="90"/>
  <c r="BJ342" i="90"/>
  <c r="BL342" i="90"/>
  <c r="BP342" i="90"/>
  <c r="BO342" i="90"/>
  <c r="BR342" i="90"/>
  <c r="BJ354" i="90"/>
  <c r="BP354" i="90"/>
  <c r="BL354" i="90"/>
  <c r="BO354" i="90"/>
  <c r="BR354" i="90"/>
  <c r="BJ349" i="90"/>
  <c r="BL349" i="90"/>
  <c r="BP349" i="90"/>
  <c r="BO349" i="90"/>
  <c r="BR349" i="90"/>
  <c r="BJ347" i="90"/>
  <c r="BL347" i="90"/>
  <c r="BP347" i="90"/>
  <c r="BO347" i="90"/>
  <c r="BR347" i="90"/>
  <c r="BQ72" i="90"/>
  <c r="BQ82" i="90"/>
  <c r="BQ69" i="90"/>
  <c r="BQ83" i="90"/>
  <c r="BQ79" i="90"/>
  <c r="BQ197" i="90"/>
  <c r="BQ189" i="90"/>
  <c r="BQ179" i="90"/>
  <c r="BQ203" i="90"/>
  <c r="BQ157" i="90"/>
  <c r="BQ200" i="90"/>
  <c r="BQ155" i="90"/>
  <c r="BQ198" i="90"/>
  <c r="BQ185" i="90"/>
  <c r="BQ136" i="90"/>
  <c r="BQ231" i="90"/>
  <c r="BQ172" i="90"/>
  <c r="BQ149" i="90"/>
  <c r="BQ129" i="90"/>
  <c r="BQ170" i="90"/>
  <c r="BQ161" i="90"/>
  <c r="BQ156" i="90"/>
  <c r="BQ168" i="90"/>
  <c r="BQ152" i="90"/>
  <c r="BQ137" i="90"/>
  <c r="BQ126" i="90"/>
  <c r="BQ115" i="90"/>
  <c r="BQ118" i="90"/>
  <c r="BQ212" i="90"/>
  <c r="BQ122" i="90"/>
  <c r="BQ96" i="90"/>
  <c r="BQ225" i="90"/>
  <c r="BQ150" i="90"/>
  <c r="BQ130" i="90"/>
  <c r="BQ233" i="90"/>
  <c r="BQ218" i="90"/>
  <c r="BQ294" i="90"/>
  <c r="BQ227" i="90"/>
  <c r="BQ211" i="90"/>
  <c r="BQ113" i="90"/>
  <c r="BQ224" i="90"/>
  <c r="BQ100" i="90"/>
  <c r="BQ94" i="90"/>
  <c r="BQ90" i="90"/>
  <c r="BQ215" i="90"/>
  <c r="BQ205" i="90"/>
  <c r="BQ207" i="90"/>
  <c r="BQ302" i="90"/>
  <c r="BQ278" i="90"/>
  <c r="BQ274" i="90"/>
  <c r="BQ288" i="90"/>
  <c r="BQ287" i="90"/>
  <c r="BQ270" i="90"/>
  <c r="BQ260" i="90"/>
  <c r="BQ268" i="90"/>
  <c r="BQ279" i="90"/>
  <c r="BQ271" i="90"/>
  <c r="BQ264" i="90"/>
  <c r="BQ252" i="90"/>
  <c r="BQ258" i="90"/>
  <c r="BQ354" i="90"/>
  <c r="BQ342" i="90"/>
  <c r="BQ344" i="90"/>
  <c r="BQ102" i="90"/>
  <c r="BQ220" i="90"/>
  <c r="BQ123" i="90"/>
  <c r="BQ103" i="90"/>
  <c r="BQ228" i="90"/>
  <c r="BQ306" i="90"/>
  <c r="BQ131" i="90"/>
  <c r="BQ108" i="90"/>
  <c r="BQ221" i="90"/>
  <c r="BQ210" i="90"/>
  <c r="BQ107" i="90"/>
  <c r="BQ219" i="90"/>
  <c r="BQ99" i="90"/>
  <c r="BQ93" i="90"/>
  <c r="BQ89" i="90"/>
  <c r="BQ214" i="90"/>
  <c r="BQ305" i="90"/>
  <c r="BQ204" i="90"/>
  <c r="BQ206" i="90"/>
  <c r="BQ290" i="90"/>
  <c r="BQ300" i="90"/>
  <c r="BQ284" i="90"/>
  <c r="BQ285" i="90"/>
  <c r="BQ259" i="90"/>
  <c r="BQ256" i="90"/>
  <c r="BQ267" i="90"/>
  <c r="BQ277" i="90"/>
  <c r="BQ269" i="90"/>
  <c r="BQ262" i="90"/>
  <c r="BQ250" i="90"/>
  <c r="BQ255" i="90"/>
  <c r="BQ343" i="90"/>
  <c r="BQ347" i="90"/>
  <c r="BQ341" i="90"/>
  <c r="BQ345" i="90"/>
  <c r="BQ106" i="90"/>
  <c r="BQ299" i="90"/>
  <c r="BQ98" i="90"/>
  <c r="BQ92" i="90"/>
  <c r="BQ236" i="90"/>
  <c r="BQ209" i="90"/>
  <c r="BQ295" i="90"/>
  <c r="BQ304" i="90"/>
  <c r="BQ297" i="90"/>
  <c r="BQ289" i="90"/>
  <c r="BQ298" i="90"/>
  <c r="BQ282" i="90"/>
  <c r="BQ283" i="90"/>
  <c r="BQ253" i="90"/>
  <c r="BQ254" i="90"/>
  <c r="BQ263" i="90"/>
  <c r="BQ276" i="90"/>
  <c r="BQ266" i="90"/>
  <c r="BQ261" i="90"/>
  <c r="BQ249" i="90"/>
  <c r="BQ251" i="90"/>
  <c r="BQ346" i="90"/>
  <c r="BQ349" i="90"/>
  <c r="BQ340" i="90"/>
  <c r="BQ148" i="90"/>
  <c r="BQ133" i="90"/>
  <c r="BQ124" i="90"/>
  <c r="BQ112" i="90"/>
  <c r="BQ97" i="90"/>
  <c r="BQ128" i="90"/>
  <c r="BQ120" i="90"/>
  <c r="BQ226" i="90"/>
  <c r="BQ139" i="90"/>
  <c r="BQ110" i="90"/>
  <c r="BQ230" i="90"/>
  <c r="BQ116" i="90"/>
  <c r="BQ232" i="90"/>
  <c r="BQ101" i="90"/>
  <c r="BQ95" i="90"/>
  <c r="BQ91" i="90"/>
  <c r="BQ229" i="90"/>
  <c r="BQ308" i="90"/>
  <c r="BQ213" i="90"/>
  <c r="BQ208" i="90"/>
  <c r="BQ303" i="90"/>
  <c r="BQ296" i="90"/>
  <c r="BQ286" i="90"/>
  <c r="BQ293" i="90"/>
  <c r="BQ291" i="90"/>
  <c r="BQ281" i="90"/>
  <c r="BQ275" i="90"/>
  <c r="BQ273" i="90"/>
  <c r="BQ280" i="90"/>
  <c r="BQ272" i="90"/>
  <c r="BQ265" i="90"/>
  <c r="BQ257" i="90"/>
  <c r="BQ353" i="90"/>
  <c r="BQ351" i="90"/>
  <c r="BQ350" i="90"/>
  <c r="BQ55" i="90"/>
  <c r="BJ57" i="90"/>
  <c r="BP57" i="90"/>
  <c r="BL57" i="90"/>
  <c r="BK60" i="90"/>
  <c r="BO60" i="90"/>
  <c r="BQ59" i="90"/>
  <c r="BQ57" i="90"/>
  <c r="BJ59" i="90"/>
  <c r="BP59" i="90"/>
  <c r="BL59" i="90"/>
  <c r="BJ56" i="90"/>
  <c r="BL56" i="90"/>
  <c r="BP56" i="90"/>
  <c r="BK55" i="90"/>
  <c r="BO57" i="90"/>
  <c r="BQ60" i="90"/>
  <c r="BQ56" i="90"/>
  <c r="BJ55" i="90"/>
  <c r="BL55" i="90"/>
  <c r="BP55" i="90"/>
  <c r="BJ58" i="90"/>
  <c r="BP58" i="90"/>
  <c r="BL58" i="90"/>
  <c r="BK58" i="90"/>
  <c r="BO59" i="90"/>
  <c r="BR57" i="90"/>
  <c r="BQ58" i="90"/>
  <c r="BJ60" i="90"/>
  <c r="BL60" i="90"/>
  <c r="BP60" i="90"/>
  <c r="BK57" i="90"/>
  <c r="BK59" i="90"/>
  <c r="BR56" i="90"/>
  <c r="BO55" i="90"/>
  <c r="BR58" i="90"/>
  <c r="BR55" i="90"/>
  <c r="CQ43" i="90"/>
  <c r="CQ3" i="90" s="1"/>
  <c r="CF3" i="90"/>
  <c r="CI3" i="90"/>
  <c r="CT43" i="90"/>
  <c r="CT3" i="90" s="1"/>
  <c r="CJ3" i="90"/>
  <c r="CU43" i="90"/>
  <c r="CU3" i="90" s="1"/>
  <c r="CM3" i="90"/>
  <c r="CX43" i="90"/>
  <c r="CX3" i="90" s="1"/>
  <c r="CR43" i="90"/>
  <c r="CR3" i="90" s="1"/>
  <c r="CG3" i="90"/>
  <c r="Z87" i="89" l="1"/>
  <c r="Z93" i="89"/>
  <c r="Z99" i="89"/>
  <c r="Z118" i="89"/>
  <c r="Z25" i="89" s="1"/>
  <c r="Z129" i="89"/>
  <c r="Z29" i="89" s="1"/>
  <c r="Z66" i="89"/>
  <c r="Z72" i="89"/>
  <c r="Z78" i="89"/>
  <c r="S107" i="89"/>
  <c r="T107" i="89"/>
  <c r="U107" i="89"/>
  <c r="V107" i="89"/>
  <c r="Z107" i="89"/>
  <c r="Z21" i="89" s="1"/>
  <c r="AL129" i="89"/>
  <c r="AL29" i="89" s="1"/>
  <c r="AL31" i="89" s="1"/>
  <c r="AM129" i="89"/>
  <c r="AM29" i="89" s="1"/>
  <c r="AM31" i="89" s="1"/>
  <c r="AN129" i="89"/>
  <c r="AN29" i="89" s="1"/>
  <c r="AN31" i="89" s="1"/>
  <c r="AO129" i="89"/>
  <c r="AO29" i="89" s="1"/>
  <c r="AO31" i="89" s="1"/>
  <c r="AL66" i="89"/>
  <c r="AM66" i="89"/>
  <c r="AN66" i="89"/>
  <c r="AO66" i="89"/>
  <c r="AL72" i="89"/>
  <c r="AM72" i="89"/>
  <c r="AN72" i="89"/>
  <c r="AO72" i="89"/>
  <c r="AL78" i="89"/>
  <c r="AM78" i="89"/>
  <c r="AN78" i="89"/>
  <c r="AO78" i="89"/>
  <c r="AL87" i="89"/>
  <c r="AM87" i="89"/>
  <c r="AN87" i="89"/>
  <c r="AO87" i="89"/>
  <c r="AL93" i="89"/>
  <c r="AM93" i="89"/>
  <c r="AN93" i="89"/>
  <c r="AO93" i="89"/>
  <c r="AO94" i="89" s="1"/>
  <c r="AL99" i="89"/>
  <c r="AM99" i="89"/>
  <c r="AN99" i="89"/>
  <c r="AN100" i="89" s="1"/>
  <c r="AO99" i="89"/>
  <c r="AL104" i="89"/>
  <c r="AM104" i="89"/>
  <c r="AN104" i="89"/>
  <c r="AO104" i="89"/>
  <c r="AL107" i="89"/>
  <c r="AL21" i="89" s="1"/>
  <c r="AL23" i="89" s="1"/>
  <c r="AM107" i="89"/>
  <c r="AM21" i="89" s="1"/>
  <c r="AM23" i="89" s="1"/>
  <c r="AN107" i="89"/>
  <c r="AN21" i="89" s="1"/>
  <c r="AN23" i="89" s="1"/>
  <c r="AO107" i="89"/>
  <c r="AO21" i="89" s="1"/>
  <c r="AO23" i="89" s="1"/>
  <c r="AL118" i="89"/>
  <c r="AL25" i="89" s="1"/>
  <c r="AL27" i="89" s="1"/>
  <c r="AM118" i="89"/>
  <c r="AM25" i="89" s="1"/>
  <c r="AM27" i="89" s="1"/>
  <c r="AN118" i="89"/>
  <c r="AN25" i="89" s="1"/>
  <c r="AN27" i="89" s="1"/>
  <c r="AO118" i="89"/>
  <c r="AO25" i="89" s="1"/>
  <c r="AO27" i="89" s="1"/>
  <c r="AO49" i="89"/>
  <c r="AO17" i="89" s="1"/>
  <c r="AO19" i="89" s="1"/>
  <c r="AN49" i="89"/>
  <c r="AN17" i="89" s="1"/>
  <c r="AN19" i="89" s="1"/>
  <c r="AM49" i="89"/>
  <c r="AM17" i="89" s="1"/>
  <c r="AM19" i="89" s="1"/>
  <c r="AL49" i="89"/>
  <c r="AL17" i="89" s="1"/>
  <c r="AL19" i="89" s="1"/>
  <c r="AK49" i="89"/>
  <c r="AK17" i="89" s="1"/>
  <c r="AK19" i="89" s="1"/>
  <c r="AJ49" i="89"/>
  <c r="AJ17" i="89" s="1"/>
  <c r="AI49" i="89"/>
  <c r="AI17" i="89" s="1"/>
  <c r="AH49" i="89"/>
  <c r="AH17" i="89" s="1"/>
  <c r="AG49" i="89"/>
  <c r="AG17" i="89" s="1"/>
  <c r="AF49" i="89"/>
  <c r="AF17" i="89" s="1"/>
  <c r="AO48" i="89"/>
  <c r="AO13" i="89" s="1"/>
  <c r="AN48" i="89"/>
  <c r="AN13" i="89" s="1"/>
  <c r="AM48" i="89"/>
  <c r="AM13" i="89" s="1"/>
  <c r="AL48" i="89"/>
  <c r="AL13" i="89" s="1"/>
  <c r="AL15" i="89" s="1"/>
  <c r="AK48" i="89"/>
  <c r="AK13" i="89" s="1"/>
  <c r="AK15" i="89" s="1"/>
  <c r="AJ48" i="89"/>
  <c r="AJ13" i="89" s="1"/>
  <c r="AI48" i="89"/>
  <c r="AI13" i="89" s="1"/>
  <c r="AH48" i="89"/>
  <c r="AH13" i="89" s="1"/>
  <c r="AG48" i="89"/>
  <c r="AG13" i="89" s="1"/>
  <c r="AF48" i="89"/>
  <c r="AF13" i="89" s="1"/>
  <c r="AE48" i="89"/>
  <c r="AE13" i="89" s="1"/>
  <c r="AO40" i="89"/>
  <c r="AN40" i="89"/>
  <c r="AM40" i="89"/>
  <c r="AL40" i="89"/>
  <c r="AK40" i="89"/>
  <c r="AJ40" i="89"/>
  <c r="AI40" i="89"/>
  <c r="AH40" i="89"/>
  <c r="AG40" i="89"/>
  <c r="AF40" i="89"/>
  <c r="AE40" i="89"/>
  <c r="AD40" i="89"/>
  <c r="AD48" i="89"/>
  <c r="AD13" i="89" s="1"/>
  <c r="AD49" i="89"/>
  <c r="AD17" i="89" s="1"/>
  <c r="AE49" i="89"/>
  <c r="AE17" i="89" s="1"/>
  <c r="AO100" i="89" l="1"/>
  <c r="AO67" i="89"/>
  <c r="AM41" i="89"/>
  <c r="AO20" i="89"/>
  <c r="AN67" i="89"/>
  <c r="AF41" i="89"/>
  <c r="AN79" i="89"/>
  <c r="AI41" i="89"/>
  <c r="AM94" i="89"/>
  <c r="AM79" i="89"/>
  <c r="AM67" i="89"/>
  <c r="AO73" i="89"/>
  <c r="AM88" i="89"/>
  <c r="AM73" i="89"/>
  <c r="AG41" i="89"/>
  <c r="AO41" i="89"/>
  <c r="AK41" i="89"/>
  <c r="AH41" i="89"/>
  <c r="AL41" i="89"/>
  <c r="AF50" i="89"/>
  <c r="AN50" i="89"/>
  <c r="AM119" i="89"/>
  <c r="AN73" i="89"/>
  <c r="AO130" i="89"/>
  <c r="AN108" i="89"/>
  <c r="AE50" i="89"/>
  <c r="AO50" i="89"/>
  <c r="AN130" i="89"/>
  <c r="AM50" i="89"/>
  <c r="AN119" i="89"/>
  <c r="AD50" i="89"/>
  <c r="AL50" i="89"/>
  <c r="AN94" i="89"/>
  <c r="AO88" i="89"/>
  <c r="AE41" i="89"/>
  <c r="AO51" i="89"/>
  <c r="AO79" i="89"/>
  <c r="AM130" i="89"/>
  <c r="AN41" i="89"/>
  <c r="AJ41" i="89"/>
  <c r="AN51" i="89"/>
  <c r="AM51" i="89"/>
  <c r="AL51" i="89"/>
  <c r="AN88" i="89"/>
  <c r="AO119" i="89"/>
  <c r="AM100" i="89"/>
  <c r="AO108" i="89"/>
  <c r="AM108" i="89"/>
  <c r="AF51" i="89"/>
  <c r="AE51" i="89"/>
  <c r="AH55" i="40"/>
  <c r="AH56" i="40"/>
  <c r="AH57" i="40"/>
  <c r="AH58" i="40"/>
  <c r="AD60" i="40"/>
  <c r="AD64" i="40" s="1"/>
  <c r="AF60" i="40"/>
  <c r="AF64" i="40" s="1"/>
  <c r="AO73" i="40"/>
  <c r="AO74" i="40"/>
  <c r="AO61" i="40" s="1"/>
  <c r="AO63" i="40" s="1"/>
  <c r="AO75" i="40"/>
  <c r="AO76" i="40"/>
  <c r="AN79" i="40"/>
  <c r="AO79" i="40"/>
  <c r="AN80" i="40"/>
  <c r="AO80" i="40"/>
  <c r="AN81" i="40"/>
  <c r="AO81" i="40"/>
  <c r="AN82" i="40"/>
  <c r="AO82" i="40"/>
  <c r="AN83" i="40"/>
  <c r="Q42" i="40"/>
  <c r="R15" i="40"/>
  <c r="S15" i="40"/>
  <c r="T15" i="40"/>
  <c r="U15" i="40"/>
  <c r="AA15" i="40"/>
  <c r="AB15" i="40"/>
  <c r="AC15" i="40"/>
  <c r="AD15" i="40"/>
  <c r="AE15" i="40"/>
  <c r="AL14" i="40"/>
  <c r="AG84" i="41" s="1"/>
  <c r="AM14" i="40"/>
  <c r="AH84" i="41" s="1"/>
  <c r="AN14" i="40"/>
  <c r="AI84" i="41" s="1"/>
  <c r="AO14" i="40"/>
  <c r="AJ84" i="41" s="1"/>
  <c r="AG6" i="89"/>
  <c r="AH6" i="89"/>
  <c r="AI6" i="89"/>
  <c r="AJ6" i="89"/>
  <c r="AF7" i="40"/>
  <c r="AG7" i="40"/>
  <c r="AH7" i="40"/>
  <c r="AI7" i="40"/>
  <c r="AJ7" i="40"/>
  <c r="M7" i="114"/>
  <c r="N7" i="114"/>
  <c r="O7" i="114"/>
  <c r="P7" i="114"/>
  <c r="Q7" i="114"/>
  <c r="R7" i="114"/>
  <c r="S7" i="114"/>
  <c r="T7" i="114"/>
  <c r="U7" i="114"/>
  <c r="V7" i="114"/>
  <c r="AF52" i="89" l="1"/>
  <c r="AE52" i="89"/>
  <c r="AM52" i="89"/>
  <c r="AO52" i="89"/>
  <c r="AN52" i="89"/>
  <c r="AH60" i="40"/>
  <c r="AO65" i="40"/>
  <c r="AF40" i="40" s="1"/>
  <c r="AO67" i="40" l="1"/>
  <c r="AM40" i="40" l="1"/>
  <c r="AN40" i="40"/>
  <c r="AO40" i="40"/>
  <c r="DW396" i="90" l="1"/>
  <c r="DW395" i="90"/>
  <c r="DW394" i="90"/>
  <c r="DW393" i="90"/>
  <c r="DW392" i="90"/>
  <c r="DW391" i="90"/>
  <c r="DW390" i="90"/>
  <c r="DW389" i="90"/>
  <c r="DW388" i="90"/>
  <c r="DW387" i="90"/>
  <c r="DW386" i="90"/>
  <c r="DW385" i="90"/>
  <c r="DW384" i="90"/>
  <c r="DW383" i="90"/>
  <c r="DW382" i="90"/>
  <c r="DW381" i="90"/>
  <c r="DW380" i="90"/>
  <c r="DW379" i="90"/>
  <c r="DW378" i="90"/>
  <c r="DW377" i="90"/>
  <c r="DW376" i="90"/>
  <c r="DW375" i="90"/>
  <c r="DW374" i="90"/>
  <c r="DW373" i="90"/>
  <c r="DW372" i="90"/>
  <c r="DW371" i="90"/>
  <c r="DW370" i="90"/>
  <c r="DW369" i="90"/>
  <c r="DW368" i="90"/>
  <c r="DW367" i="90"/>
  <c r="DW366" i="90"/>
  <c r="DW365" i="90"/>
  <c r="DW339" i="90"/>
  <c r="DW338" i="90"/>
  <c r="DW337" i="90"/>
  <c r="DW336" i="90"/>
  <c r="DW335" i="90"/>
  <c r="DW334" i="90"/>
  <c r="DW333" i="90"/>
  <c r="DW332" i="90"/>
  <c r="DW331" i="90"/>
  <c r="DW330" i="90"/>
  <c r="DW329" i="90"/>
  <c r="DW328" i="90"/>
  <c r="DW327" i="90"/>
  <c r="DW326" i="90"/>
  <c r="DW325" i="90"/>
  <c r="DW324" i="90"/>
  <c r="DW323" i="90"/>
  <c r="DW322" i="90"/>
  <c r="DW321" i="90"/>
  <c r="DW320" i="90"/>
  <c r="DW319" i="90"/>
  <c r="DW318" i="90"/>
  <c r="DW317" i="90"/>
  <c r="DW316" i="90"/>
  <c r="DW315" i="90"/>
  <c r="DW314" i="90"/>
  <c r="DW313" i="90"/>
  <c r="DW312" i="90"/>
  <c r="DW311" i="90"/>
  <c r="DW310" i="90"/>
  <c r="DW309" i="90"/>
  <c r="DW248" i="90"/>
  <c r="DW247" i="90"/>
  <c r="DW246" i="90"/>
  <c r="DW245" i="90"/>
  <c r="DW244" i="90"/>
  <c r="DW243" i="90"/>
  <c r="DW242" i="90"/>
  <c r="DW241" i="90"/>
  <c r="DW240" i="90"/>
  <c r="DW239" i="90"/>
  <c r="DW238" i="90"/>
  <c r="DW237" i="90"/>
  <c r="DW63" i="90"/>
  <c r="DW62" i="90"/>
  <c r="DW54" i="90"/>
  <c r="DW53" i="90"/>
  <c r="DW52" i="90"/>
  <c r="DW51" i="90"/>
  <c r="DW50" i="90"/>
  <c r="DW49" i="90"/>
  <c r="DW48" i="90"/>
  <c r="DW47" i="90"/>
  <c r="DW46" i="90"/>
  <c r="DN396" i="90"/>
  <c r="DN395" i="90"/>
  <c r="DN394" i="90"/>
  <c r="DN393" i="90"/>
  <c r="DN392" i="90"/>
  <c r="DN391" i="90"/>
  <c r="DN390" i="90"/>
  <c r="DN389" i="90"/>
  <c r="DN388" i="90"/>
  <c r="DN387" i="90"/>
  <c r="DN386" i="90"/>
  <c r="DN385" i="90"/>
  <c r="DN384" i="90"/>
  <c r="DN383" i="90"/>
  <c r="DN382" i="90"/>
  <c r="DN381" i="90"/>
  <c r="DN380" i="90"/>
  <c r="DN379" i="90"/>
  <c r="DN378" i="90"/>
  <c r="DN377" i="90"/>
  <c r="DN376" i="90"/>
  <c r="DN375" i="90"/>
  <c r="DN374" i="90"/>
  <c r="DN373" i="90"/>
  <c r="DN372" i="90"/>
  <c r="DN371" i="90"/>
  <c r="DN370" i="90"/>
  <c r="DN369" i="90"/>
  <c r="DN368" i="90"/>
  <c r="DN367" i="90"/>
  <c r="DN366" i="90"/>
  <c r="DN365" i="90"/>
  <c r="DN339" i="90"/>
  <c r="DN338" i="90"/>
  <c r="DN337" i="90"/>
  <c r="DN336" i="90"/>
  <c r="DN335" i="90"/>
  <c r="DN334" i="90"/>
  <c r="DN333" i="90"/>
  <c r="DN332" i="90"/>
  <c r="DN331" i="90"/>
  <c r="DN330" i="90"/>
  <c r="DN329" i="90"/>
  <c r="DN328" i="90"/>
  <c r="DN327" i="90"/>
  <c r="DN326" i="90"/>
  <c r="DN325" i="90"/>
  <c r="DN324" i="90"/>
  <c r="DN323" i="90"/>
  <c r="DN322" i="90"/>
  <c r="DN321" i="90"/>
  <c r="DN320" i="90"/>
  <c r="DN319" i="90"/>
  <c r="DN318" i="90"/>
  <c r="DN317" i="90"/>
  <c r="DN316" i="90"/>
  <c r="DN315" i="90"/>
  <c r="DN314" i="90"/>
  <c r="DN313" i="90"/>
  <c r="DN312" i="90"/>
  <c r="DN311" i="90"/>
  <c r="DN310" i="90"/>
  <c r="DN309" i="90"/>
  <c r="DN248" i="90"/>
  <c r="DN247" i="90"/>
  <c r="DN246" i="90"/>
  <c r="DN245" i="90"/>
  <c r="DN244" i="90"/>
  <c r="DN243" i="90"/>
  <c r="DN242" i="90"/>
  <c r="DN241" i="90"/>
  <c r="DN240" i="90"/>
  <c r="DN239" i="90"/>
  <c r="DN238" i="90"/>
  <c r="DN237" i="90"/>
  <c r="DN63" i="90"/>
  <c r="DN62" i="90"/>
  <c r="DN54" i="90"/>
  <c r="DN53" i="90"/>
  <c r="DN52" i="90"/>
  <c r="DN51" i="90"/>
  <c r="DN50" i="90"/>
  <c r="DN49" i="90"/>
  <c r="DN48" i="90"/>
  <c r="DN47" i="90"/>
  <c r="DN46" i="90"/>
  <c r="BM396" i="90" l="1"/>
  <c r="BL396" i="90"/>
  <c r="BK396" i="90"/>
  <c r="BJ396" i="90"/>
  <c r="BM395" i="90"/>
  <c r="BL395" i="90"/>
  <c r="BK395" i="90"/>
  <c r="BJ395" i="90"/>
  <c r="BM394" i="90"/>
  <c r="BL394" i="90"/>
  <c r="BK394" i="90"/>
  <c r="BJ394" i="90"/>
  <c r="BM393" i="90"/>
  <c r="BL393" i="90"/>
  <c r="BK393" i="90"/>
  <c r="BJ393" i="90"/>
  <c r="BM392" i="90"/>
  <c r="BL392" i="90"/>
  <c r="BK392" i="90"/>
  <c r="BJ392" i="90"/>
  <c r="BM391" i="90"/>
  <c r="BL391" i="90"/>
  <c r="BK391" i="90"/>
  <c r="BJ391" i="90"/>
  <c r="BM390" i="90"/>
  <c r="BL390" i="90"/>
  <c r="BK390" i="90"/>
  <c r="BJ390" i="90"/>
  <c r="BM389" i="90"/>
  <c r="BL389" i="90"/>
  <c r="BK389" i="90"/>
  <c r="BJ389" i="90"/>
  <c r="BM388" i="90"/>
  <c r="BL388" i="90"/>
  <c r="BK388" i="90"/>
  <c r="BJ388" i="90"/>
  <c r="BM387" i="90"/>
  <c r="BL387" i="90"/>
  <c r="BK387" i="90"/>
  <c r="BJ387" i="90"/>
  <c r="BM386" i="90"/>
  <c r="BL386" i="90"/>
  <c r="BK386" i="90"/>
  <c r="BJ386" i="90"/>
  <c r="BM385" i="90"/>
  <c r="BL385" i="90"/>
  <c r="BK385" i="90"/>
  <c r="BJ385" i="90"/>
  <c r="BM384" i="90"/>
  <c r="BL384" i="90"/>
  <c r="BK384" i="90"/>
  <c r="BJ384" i="90"/>
  <c r="BM383" i="90"/>
  <c r="BL383" i="90"/>
  <c r="BK383" i="90"/>
  <c r="BJ383" i="90"/>
  <c r="BM382" i="90"/>
  <c r="BL382" i="90"/>
  <c r="BK382" i="90"/>
  <c r="BJ382" i="90"/>
  <c r="BM381" i="90"/>
  <c r="BL381" i="90"/>
  <c r="BK381" i="90"/>
  <c r="BJ381" i="90"/>
  <c r="BM380" i="90"/>
  <c r="BL380" i="90"/>
  <c r="BK380" i="90"/>
  <c r="BJ380" i="90"/>
  <c r="BM379" i="90"/>
  <c r="BL379" i="90"/>
  <c r="BK379" i="90"/>
  <c r="BJ379" i="90"/>
  <c r="BM378" i="90"/>
  <c r="BL378" i="90"/>
  <c r="BK378" i="90"/>
  <c r="BJ378" i="90"/>
  <c r="BM377" i="90"/>
  <c r="BL377" i="90"/>
  <c r="BK377" i="90"/>
  <c r="BJ377" i="90"/>
  <c r="BM376" i="90"/>
  <c r="BL376" i="90"/>
  <c r="BK376" i="90"/>
  <c r="BJ376" i="90"/>
  <c r="BM375" i="90"/>
  <c r="BL375" i="90"/>
  <c r="BK375" i="90"/>
  <c r="BJ375" i="90"/>
  <c r="BM374" i="90"/>
  <c r="BL374" i="90"/>
  <c r="BK374" i="90"/>
  <c r="BJ374" i="90"/>
  <c r="BM373" i="90"/>
  <c r="BL373" i="90"/>
  <c r="BK373" i="90"/>
  <c r="BJ373" i="90"/>
  <c r="BM372" i="90"/>
  <c r="BL372" i="90"/>
  <c r="BK372" i="90"/>
  <c r="BJ372" i="90"/>
  <c r="BM371" i="90"/>
  <c r="BL371" i="90"/>
  <c r="BK371" i="90"/>
  <c r="BJ371" i="90"/>
  <c r="BM370" i="90"/>
  <c r="BL370" i="90"/>
  <c r="BK370" i="90"/>
  <c r="BJ370" i="90"/>
  <c r="BM369" i="90"/>
  <c r="BL369" i="90"/>
  <c r="BK369" i="90"/>
  <c r="BJ369" i="90"/>
  <c r="BI396" i="90"/>
  <c r="BI395" i="90"/>
  <c r="BI394" i="90"/>
  <c r="BI393" i="90"/>
  <c r="BI392" i="90"/>
  <c r="BI391" i="90"/>
  <c r="BI390" i="90"/>
  <c r="BI389" i="90"/>
  <c r="BI388" i="90"/>
  <c r="BI387" i="90"/>
  <c r="BI386" i="90"/>
  <c r="BI385" i="90"/>
  <c r="BI384" i="90"/>
  <c r="BI383" i="90"/>
  <c r="BI382" i="90"/>
  <c r="BI381" i="90"/>
  <c r="BI380" i="90"/>
  <c r="BI379" i="90"/>
  <c r="BI378" i="90"/>
  <c r="BI377" i="90"/>
  <c r="BI376" i="90"/>
  <c r="BI375" i="90"/>
  <c r="BI374" i="90"/>
  <c r="BI373" i="90"/>
  <c r="BI372" i="90"/>
  <c r="BI371" i="90"/>
  <c r="BI370" i="90"/>
  <c r="BI369" i="90"/>
  <c r="H7" i="5" l="1"/>
  <c r="B2" i="123" s="1"/>
  <c r="B48" i="123" l="1"/>
  <c r="G48" i="123" s="1"/>
  <c r="B21" i="123"/>
  <c r="C21" i="123" s="1"/>
  <c r="F21" i="123" s="1"/>
  <c r="B47" i="123"/>
  <c r="G47" i="123" s="1"/>
  <c r="B52" i="123"/>
  <c r="G52" i="123" s="1"/>
  <c r="B45" i="123"/>
  <c r="G45" i="123" s="1"/>
  <c r="B35" i="123"/>
  <c r="G35" i="123" s="1"/>
  <c r="B18" i="123"/>
  <c r="B23" i="123"/>
  <c r="B27" i="123"/>
  <c r="B14" i="123"/>
  <c r="B41" i="123"/>
  <c r="G41" i="123" s="1"/>
  <c r="B50" i="123"/>
  <c r="G50" i="123" s="1"/>
  <c r="B11" i="123"/>
  <c r="B17" i="123"/>
  <c r="B42" i="123"/>
  <c r="G42" i="123" s="1"/>
  <c r="B20" i="123"/>
  <c r="B44" i="123"/>
  <c r="G44" i="123" s="1"/>
  <c r="B36" i="123"/>
  <c r="G36" i="123" s="1"/>
  <c r="B43" i="123"/>
  <c r="G43" i="123" s="1"/>
  <c r="B8" i="123"/>
  <c r="B54" i="123"/>
  <c r="G54" i="123" s="1"/>
  <c r="G56" i="123" s="1"/>
  <c r="B16" i="123"/>
  <c r="B12" i="123"/>
  <c r="B38" i="123"/>
  <c r="G38" i="123" s="1"/>
  <c r="B24" i="123"/>
  <c r="B46" i="123"/>
  <c r="G46" i="123" s="1"/>
  <c r="B37" i="123"/>
  <c r="G37" i="123" s="1"/>
  <c r="B15" i="123"/>
  <c r="B9" i="123"/>
  <c r="B40" i="123"/>
  <c r="G40" i="123" s="1"/>
  <c r="B10" i="123"/>
  <c r="B19" i="123"/>
  <c r="B22" i="123"/>
  <c r="B49" i="123"/>
  <c r="G49" i="123" s="1"/>
  <c r="B51" i="123"/>
  <c r="G51" i="123" s="1"/>
  <c r="B13" i="123"/>
  <c r="B39" i="123"/>
  <c r="G39" i="123" s="1"/>
  <c r="B25" i="123"/>
  <c r="B2" i="116"/>
  <c r="B2" i="117"/>
  <c r="B2" i="44"/>
  <c r="B2" i="42"/>
  <c r="B2" i="30"/>
  <c r="B2" i="41"/>
  <c r="B2" i="34"/>
  <c r="B2" i="90"/>
  <c r="B2" i="62"/>
  <c r="B2" i="86"/>
  <c r="B2" i="92"/>
  <c r="C2" i="36"/>
  <c r="B2" i="12"/>
  <c r="B2" i="93"/>
  <c r="B2" i="45"/>
  <c r="B2" i="56"/>
  <c r="B2" i="40"/>
  <c r="B2" i="89"/>
  <c r="G22" i="123" l="1"/>
  <c r="H22" i="123" s="1"/>
  <c r="C22" i="123"/>
  <c r="F22" i="123" s="1"/>
  <c r="C10" i="123"/>
  <c r="F10" i="123" s="1"/>
  <c r="G10" i="123"/>
  <c r="H10" i="123" s="1"/>
  <c r="C12" i="123"/>
  <c r="F12" i="123" s="1"/>
  <c r="G12" i="123"/>
  <c r="H12" i="123" s="1"/>
  <c r="G18" i="123"/>
  <c r="H18" i="123" s="1"/>
  <c r="C18" i="123"/>
  <c r="F18" i="123" s="1"/>
  <c r="C19" i="123"/>
  <c r="F19" i="123" s="1"/>
  <c r="G19" i="123"/>
  <c r="H19" i="123" s="1"/>
  <c r="C20" i="123"/>
  <c r="F20" i="123" s="1"/>
  <c r="G20" i="123"/>
  <c r="H20" i="123" s="1"/>
  <c r="C24" i="123"/>
  <c r="F24" i="123" s="1"/>
  <c r="G24" i="123"/>
  <c r="H24" i="123" s="1"/>
  <c r="G16" i="123"/>
  <c r="H16" i="123" s="1"/>
  <c r="C16" i="123"/>
  <c r="F16" i="123" s="1"/>
  <c r="C17" i="123"/>
  <c r="F17" i="123" s="1"/>
  <c r="G17" i="123"/>
  <c r="H17" i="123" s="1"/>
  <c r="C9" i="123"/>
  <c r="F9" i="123" s="1"/>
  <c r="G9" i="123"/>
  <c r="H9" i="123" s="1"/>
  <c r="C11" i="123"/>
  <c r="F11" i="123" s="1"/>
  <c r="G11" i="123"/>
  <c r="H11" i="123" s="1"/>
  <c r="G13" i="123"/>
  <c r="H13" i="123" s="1"/>
  <c r="C13" i="123"/>
  <c r="F13" i="123" s="1"/>
  <c r="G15" i="123"/>
  <c r="H15" i="123" s="1"/>
  <c r="C15" i="123"/>
  <c r="F15" i="123" s="1"/>
  <c r="G8" i="123"/>
  <c r="H8" i="123" s="1"/>
  <c r="C8" i="123"/>
  <c r="F8" i="123" s="1"/>
  <c r="G14" i="123"/>
  <c r="H14" i="123" s="1"/>
  <c r="C14" i="123"/>
  <c r="F14" i="123" s="1"/>
  <c r="G21" i="123"/>
  <c r="H21" i="123" s="1"/>
  <c r="M21" i="123" s="1"/>
  <c r="C27" i="123"/>
  <c r="F27" i="123" s="1"/>
  <c r="G27" i="123"/>
  <c r="C23" i="123"/>
  <c r="F23" i="123" s="1"/>
  <c r="G23" i="123"/>
  <c r="H23" i="123" s="1"/>
  <c r="C25" i="123"/>
  <c r="F25" i="123" s="1"/>
  <c r="G25" i="123"/>
  <c r="H25" i="123" s="1"/>
  <c r="B2" i="98"/>
  <c r="B2" i="101"/>
  <c r="B2" i="100"/>
  <c r="B2" i="99"/>
  <c r="X21" i="123" l="1"/>
  <c r="L21" i="123"/>
  <c r="Q15" i="123"/>
  <c r="K15" i="123"/>
  <c r="S15" i="123"/>
  <c r="V15" i="123"/>
  <c r="L15" i="123"/>
  <c r="P15" i="123"/>
  <c r="U15" i="123"/>
  <c r="N15" i="123"/>
  <c r="I15" i="123"/>
  <c r="T15" i="123"/>
  <c r="X15" i="123"/>
  <c r="O15" i="123"/>
  <c r="R15" i="123"/>
  <c r="J15" i="123"/>
  <c r="W15" i="123"/>
  <c r="M15" i="123"/>
  <c r="Q17" i="123"/>
  <c r="N17" i="123"/>
  <c r="K17" i="123"/>
  <c r="R17" i="123"/>
  <c r="U17" i="123"/>
  <c r="P17" i="123"/>
  <c r="O17" i="123"/>
  <c r="L17" i="123"/>
  <c r="I17" i="123"/>
  <c r="T17" i="123"/>
  <c r="W17" i="123"/>
  <c r="V17" i="123"/>
  <c r="S17" i="123"/>
  <c r="X17" i="123"/>
  <c r="M17" i="123"/>
  <c r="J17" i="123"/>
  <c r="O19" i="123"/>
  <c r="R19" i="123"/>
  <c r="Y21" i="12" s="1"/>
  <c r="W19" i="123"/>
  <c r="U19" i="123"/>
  <c r="T19" i="123"/>
  <c r="AA21" i="12" s="1"/>
  <c r="X19" i="123"/>
  <c r="P19" i="123"/>
  <c r="S19" i="123"/>
  <c r="V19" i="123"/>
  <c r="I19" i="123"/>
  <c r="M19" i="123"/>
  <c r="J19" i="123"/>
  <c r="K19" i="123"/>
  <c r="L19" i="123"/>
  <c r="Q19" i="123"/>
  <c r="N19" i="123"/>
  <c r="I27" i="123"/>
  <c r="V27" i="123"/>
  <c r="AH14" i="89" s="1"/>
  <c r="AH15" i="89" s="1"/>
  <c r="M27" i="123"/>
  <c r="K27" i="123"/>
  <c r="Q27" i="123"/>
  <c r="AC14" i="89" s="1"/>
  <c r="O27" i="123"/>
  <c r="AA14" i="89" s="1"/>
  <c r="U27" i="123"/>
  <c r="AG14" i="89" s="1"/>
  <c r="AG15" i="89" s="1"/>
  <c r="S27" i="123"/>
  <c r="AE14" i="89" s="1"/>
  <c r="AE15" i="89" s="1"/>
  <c r="L27" i="123"/>
  <c r="P27" i="123"/>
  <c r="AB14" i="89" s="1"/>
  <c r="J27" i="123"/>
  <c r="T27" i="123"/>
  <c r="AF14" i="89" s="1"/>
  <c r="AF15" i="89" s="1"/>
  <c r="N27" i="123"/>
  <c r="Z14" i="89" s="1"/>
  <c r="X27" i="123"/>
  <c r="AJ14" i="89" s="1"/>
  <c r="AJ15" i="89" s="1"/>
  <c r="R27" i="123"/>
  <c r="AD14" i="89" s="1"/>
  <c r="AD15" i="89" s="1"/>
  <c r="W27" i="123"/>
  <c r="AI14" i="89" s="1"/>
  <c r="AI15" i="89" s="1"/>
  <c r="T21" i="123"/>
  <c r="J21" i="123"/>
  <c r="V13" i="123"/>
  <c r="R13" i="123"/>
  <c r="W13" i="123"/>
  <c r="U13" i="123"/>
  <c r="O13" i="123"/>
  <c r="L13" i="123"/>
  <c r="I13" i="123"/>
  <c r="N13" i="123"/>
  <c r="J13" i="123"/>
  <c r="K13" i="123"/>
  <c r="P13" i="123"/>
  <c r="Q13" i="123"/>
  <c r="T13" i="123"/>
  <c r="M13" i="123"/>
  <c r="X13" i="123"/>
  <c r="S13" i="123"/>
  <c r="U16" i="123"/>
  <c r="W16" i="123"/>
  <c r="K16" i="123"/>
  <c r="X16" i="123"/>
  <c r="N16" i="123"/>
  <c r="I16" i="123"/>
  <c r="P16" i="123"/>
  <c r="R16" i="123"/>
  <c r="O16" i="123"/>
  <c r="M16" i="123"/>
  <c r="T16" i="123"/>
  <c r="L16" i="123"/>
  <c r="V16" i="123"/>
  <c r="S16" i="123"/>
  <c r="Q16" i="123"/>
  <c r="J16" i="123"/>
  <c r="R18" i="123"/>
  <c r="T18" i="123"/>
  <c r="X18" i="123"/>
  <c r="U18" i="123"/>
  <c r="K18" i="123"/>
  <c r="W18" i="123"/>
  <c r="V18" i="123"/>
  <c r="J18" i="123"/>
  <c r="L18" i="123"/>
  <c r="O18" i="123"/>
  <c r="S18" i="123"/>
  <c r="N18" i="123"/>
  <c r="I18" i="123"/>
  <c r="Q18" i="123"/>
  <c r="M18" i="123"/>
  <c r="P18" i="123"/>
  <c r="P21" i="123"/>
  <c r="N21" i="123"/>
  <c r="S21" i="123"/>
  <c r="O21" i="123"/>
  <c r="V21" i="123"/>
  <c r="U11" i="123"/>
  <c r="R11" i="123"/>
  <c r="Y15" i="45" s="1"/>
  <c r="M11" i="123"/>
  <c r="X11" i="123"/>
  <c r="W11" i="123"/>
  <c r="K11" i="123"/>
  <c r="L11" i="123"/>
  <c r="I11" i="123"/>
  <c r="O11" i="123"/>
  <c r="V15" i="45" s="1"/>
  <c r="V11" i="123"/>
  <c r="J11" i="123"/>
  <c r="P11" i="123"/>
  <c r="W15" i="45" s="1"/>
  <c r="N11" i="123"/>
  <c r="U15" i="45" s="1"/>
  <c r="S11" i="123"/>
  <c r="Z15" i="45" s="1"/>
  <c r="Q11" i="123"/>
  <c r="X15" i="45" s="1"/>
  <c r="T11" i="123"/>
  <c r="K24" i="123"/>
  <c r="Q24" i="123"/>
  <c r="AC26" i="89" s="1"/>
  <c r="N24" i="123"/>
  <c r="Z26" i="89" s="1"/>
  <c r="Z27" i="89" s="1"/>
  <c r="M24" i="123"/>
  <c r="L24" i="123"/>
  <c r="P24" i="123"/>
  <c r="AB26" i="89" s="1"/>
  <c r="J24" i="123"/>
  <c r="O24" i="123"/>
  <c r="AA26" i="89" s="1"/>
  <c r="U24" i="123"/>
  <c r="AG26" i="89" s="1"/>
  <c r="R24" i="123"/>
  <c r="AD26" i="89" s="1"/>
  <c r="T24" i="123"/>
  <c r="AF26" i="89" s="1"/>
  <c r="X24" i="123"/>
  <c r="AJ26" i="89" s="1"/>
  <c r="W24" i="123"/>
  <c r="AI26" i="89" s="1"/>
  <c r="S24" i="123"/>
  <c r="AE26" i="89" s="1"/>
  <c r="I24" i="123"/>
  <c r="V24" i="123"/>
  <c r="AH26" i="89" s="1"/>
  <c r="L12" i="123"/>
  <c r="W12" i="123"/>
  <c r="O12" i="123"/>
  <c r="V16" i="45" s="1"/>
  <c r="N12" i="123"/>
  <c r="U16" i="45" s="1"/>
  <c r="M12" i="123"/>
  <c r="X12" i="123"/>
  <c r="T12" i="123"/>
  <c r="S12" i="123"/>
  <c r="Z16" i="45" s="1"/>
  <c r="P12" i="123"/>
  <c r="W16" i="45" s="1"/>
  <c r="R12" i="123"/>
  <c r="Y16" i="45" s="1"/>
  <c r="Q12" i="123"/>
  <c r="X16" i="45" s="1"/>
  <c r="K12" i="123"/>
  <c r="I12" i="123"/>
  <c r="J12" i="123"/>
  <c r="V12" i="123"/>
  <c r="U12" i="123"/>
  <c r="V25" i="123"/>
  <c r="AH30" i="89" s="1"/>
  <c r="S25" i="123"/>
  <c r="AE30" i="89" s="1"/>
  <c r="P25" i="123"/>
  <c r="AB30" i="89" s="1"/>
  <c r="Q25" i="123"/>
  <c r="AC30" i="89" s="1"/>
  <c r="N25" i="123"/>
  <c r="Z30" i="89" s="1"/>
  <c r="Z31" i="89" s="1"/>
  <c r="O25" i="123"/>
  <c r="AA30" i="89" s="1"/>
  <c r="W25" i="123"/>
  <c r="AI30" i="89" s="1"/>
  <c r="M25" i="123"/>
  <c r="T25" i="123"/>
  <c r="AF30" i="89" s="1"/>
  <c r="U25" i="123"/>
  <c r="AG30" i="89" s="1"/>
  <c r="I25" i="123"/>
  <c r="K25" i="123"/>
  <c r="R25" i="123"/>
  <c r="AD30" i="89" s="1"/>
  <c r="L25" i="123"/>
  <c r="X25" i="123"/>
  <c r="AJ30" i="89" s="1"/>
  <c r="J25" i="123"/>
  <c r="W21" i="123"/>
  <c r="S8" i="123"/>
  <c r="U8" i="123"/>
  <c r="W8" i="123"/>
  <c r="V8" i="123"/>
  <c r="I8" i="123"/>
  <c r="L8" i="123"/>
  <c r="X8" i="123"/>
  <c r="K8" i="123"/>
  <c r="J8" i="123"/>
  <c r="R8" i="123"/>
  <c r="M8" i="123"/>
  <c r="P8" i="123"/>
  <c r="Q8" i="123"/>
  <c r="O8" i="123"/>
  <c r="N8" i="123"/>
  <c r="U24" i="45" s="1"/>
  <c r="T8" i="123"/>
  <c r="U21" i="123"/>
  <c r="I21" i="123"/>
  <c r="I9" i="123"/>
  <c r="O9" i="123"/>
  <c r="V47" i="41" s="1"/>
  <c r="V9" i="123"/>
  <c r="J9" i="123"/>
  <c r="M9" i="123"/>
  <c r="T9" i="123"/>
  <c r="L9" i="123"/>
  <c r="P9" i="123"/>
  <c r="W47" i="41" s="1"/>
  <c r="R9" i="123"/>
  <c r="Y47" i="41" s="1"/>
  <c r="Q9" i="123"/>
  <c r="X47" i="41" s="1"/>
  <c r="X9" i="123"/>
  <c r="K9" i="123"/>
  <c r="W9" i="123"/>
  <c r="U9" i="123"/>
  <c r="N9" i="123"/>
  <c r="U47" i="41" s="1"/>
  <c r="S9" i="123"/>
  <c r="Z47" i="41" s="1"/>
  <c r="K20" i="123"/>
  <c r="W20" i="123"/>
  <c r="O20" i="123"/>
  <c r="I20" i="123"/>
  <c r="S20" i="123"/>
  <c r="M20" i="123"/>
  <c r="R20" i="123"/>
  <c r="Q20" i="123"/>
  <c r="L20" i="123"/>
  <c r="U20" i="123"/>
  <c r="P20" i="123"/>
  <c r="J20" i="123"/>
  <c r="X20" i="123"/>
  <c r="T20" i="123"/>
  <c r="V20" i="123"/>
  <c r="N20" i="123"/>
  <c r="M10" i="123"/>
  <c r="J10" i="123"/>
  <c r="T10" i="123"/>
  <c r="O10" i="123"/>
  <c r="P10" i="123"/>
  <c r="N10" i="123"/>
  <c r="R10" i="123"/>
  <c r="X10" i="123"/>
  <c r="Q10" i="123"/>
  <c r="L10" i="123"/>
  <c r="W10" i="123"/>
  <c r="U10" i="123"/>
  <c r="K10" i="123"/>
  <c r="S10" i="123"/>
  <c r="V10" i="123"/>
  <c r="I10" i="123"/>
  <c r="Q21" i="123"/>
  <c r="S22" i="123"/>
  <c r="AE18" i="89" s="1"/>
  <c r="AE19" i="89" s="1"/>
  <c r="T22" i="123"/>
  <c r="AF18" i="89" s="1"/>
  <c r="AF19" i="89" s="1"/>
  <c r="Q22" i="123"/>
  <c r="AC18" i="89" s="1"/>
  <c r="K22" i="123"/>
  <c r="N22" i="123"/>
  <c r="Z18" i="89" s="1"/>
  <c r="J22" i="123"/>
  <c r="X22" i="123"/>
  <c r="AJ18" i="89" s="1"/>
  <c r="AJ19" i="89" s="1"/>
  <c r="U22" i="123"/>
  <c r="AG18" i="89" s="1"/>
  <c r="AG19" i="89" s="1"/>
  <c r="O22" i="123"/>
  <c r="AA18" i="89" s="1"/>
  <c r="W22" i="123"/>
  <c r="AI18" i="89" s="1"/>
  <c r="AI19" i="89" s="1"/>
  <c r="L22" i="123"/>
  <c r="M22" i="123"/>
  <c r="V22" i="123"/>
  <c r="AH18" i="89" s="1"/>
  <c r="AH19" i="89" s="1"/>
  <c r="R22" i="123"/>
  <c r="AD18" i="89" s="1"/>
  <c r="AD19" i="89" s="1"/>
  <c r="I22" i="123"/>
  <c r="P22" i="123"/>
  <c r="AB18" i="89" s="1"/>
  <c r="L14" i="123"/>
  <c r="I14" i="123"/>
  <c r="U14" i="123"/>
  <c r="J14" i="123"/>
  <c r="O14" i="123"/>
  <c r="P14" i="123"/>
  <c r="M14" i="123"/>
  <c r="W14" i="123"/>
  <c r="N14" i="123"/>
  <c r="Q14" i="123"/>
  <c r="X14" i="123"/>
  <c r="T14" i="123"/>
  <c r="R14" i="123"/>
  <c r="V14" i="123"/>
  <c r="K14" i="123"/>
  <c r="S14" i="123"/>
  <c r="Q23" i="123"/>
  <c r="AC22" i="89" s="1"/>
  <c r="K23" i="123"/>
  <c r="U23" i="123"/>
  <c r="AG22" i="89" s="1"/>
  <c r="N23" i="123"/>
  <c r="Z22" i="89" s="1"/>
  <c r="Z23" i="89" s="1"/>
  <c r="T23" i="123"/>
  <c r="AF22" i="89" s="1"/>
  <c r="W23" i="123"/>
  <c r="AI22" i="89" s="1"/>
  <c r="M23" i="123"/>
  <c r="V23" i="123"/>
  <c r="AH22" i="89" s="1"/>
  <c r="L23" i="123"/>
  <c r="X23" i="123"/>
  <c r="AJ22" i="89" s="1"/>
  <c r="J23" i="123"/>
  <c r="I23" i="123"/>
  <c r="O23" i="123"/>
  <c r="AA22" i="89" s="1"/>
  <c r="R23" i="123"/>
  <c r="AD22" i="89" s="1"/>
  <c r="P23" i="123"/>
  <c r="AB22" i="89" s="1"/>
  <c r="S23" i="123"/>
  <c r="AE22" i="89" s="1"/>
  <c r="K21" i="123"/>
  <c r="R21" i="123"/>
  <c r="B2" i="114"/>
  <c r="L7" i="114"/>
  <c r="AB26" i="116" l="1"/>
  <c r="Y45" i="116" s="1"/>
  <c r="R30" i="123"/>
  <c r="R31" i="123" s="1"/>
  <c r="AB26" i="117"/>
  <c r="Y45" i="117" s="1"/>
  <c r="X23" i="41"/>
  <c r="X18" i="36"/>
  <c r="V23" i="41"/>
  <c r="V18" i="36"/>
  <c r="Y23" i="41"/>
  <c r="Y18" i="36"/>
  <c r="U23" i="41"/>
  <c r="U18" i="36"/>
  <c r="Z23" i="41"/>
  <c r="Z18" i="36"/>
  <c r="W23" i="41"/>
  <c r="W18" i="36"/>
  <c r="P181" i="98"/>
  <c r="AE21" i="12"/>
  <c r="M181" i="98"/>
  <c r="AB21" i="12"/>
  <c r="O181" i="98"/>
  <c r="AD21" i="12"/>
  <c r="N181" i="98"/>
  <c r="AC21" i="12"/>
  <c r="G180" i="98"/>
  <c r="V21" i="12"/>
  <c r="F180" i="98"/>
  <c r="U21" i="12"/>
  <c r="K180" i="98"/>
  <c r="K181" i="98"/>
  <c r="Z21" i="12"/>
  <c r="I180" i="98"/>
  <c r="X21" i="12"/>
  <c r="H180" i="98"/>
  <c r="W21" i="12"/>
  <c r="W100" i="98"/>
  <c r="V23" i="30"/>
  <c r="Y100" i="98"/>
  <c r="X23" i="30"/>
  <c r="AB23" i="30"/>
  <c r="AC101" i="98"/>
  <c r="AB101" i="98"/>
  <c r="AA23" i="30"/>
  <c r="AJ20" i="89"/>
  <c r="X100" i="98"/>
  <c r="W23" i="30"/>
  <c r="AD23" i="30"/>
  <c r="AE101" i="98"/>
  <c r="L181" i="98"/>
  <c r="Z100" i="98"/>
  <c r="Y23" i="30"/>
  <c r="AD101" i="98"/>
  <c r="AC23" i="30"/>
  <c r="AA101" i="98"/>
  <c r="Z23" i="30"/>
  <c r="AA100" i="98"/>
  <c r="V100" i="98"/>
  <c r="U23" i="30"/>
  <c r="J180" i="98"/>
  <c r="AB25" i="86"/>
  <c r="AB26" i="86" s="1"/>
  <c r="AE23" i="30"/>
  <c r="AF101" i="98"/>
  <c r="B11" i="5"/>
  <c r="B12" i="5" s="1"/>
  <c r="B13" i="5" s="1"/>
  <c r="AD33" i="42" l="1"/>
  <c r="Y98" i="41"/>
  <c r="AA33" i="42"/>
  <c r="V98" i="41"/>
  <c r="AE33" i="42"/>
  <c r="Z98" i="41"/>
  <c r="AC33" i="42"/>
  <c r="X98" i="41"/>
  <c r="AB33" i="42"/>
  <c r="W98" i="41"/>
  <c r="Z33" i="42"/>
  <c r="U98" i="41"/>
  <c r="U107" i="41" s="1"/>
  <c r="Z21" i="30"/>
  <c r="AP22" i="30"/>
  <c r="AE21" i="30"/>
  <c r="AB1" i="90"/>
  <c r="AM1" i="90"/>
  <c r="AX1" i="90"/>
  <c r="BI1" i="90"/>
  <c r="BT1" i="90"/>
  <c r="CE1" i="90"/>
  <c r="CP1" i="90"/>
  <c r="AB2" i="90"/>
  <c r="AM2" i="90"/>
  <c r="AX2" i="90"/>
  <c r="BI2" i="90"/>
  <c r="BT2" i="90"/>
  <c r="CE2" i="90"/>
  <c r="CP2" i="90"/>
  <c r="AB3" i="90"/>
  <c r="AM3" i="90"/>
  <c r="AX3" i="90"/>
  <c r="BI3" i="90"/>
  <c r="BT3" i="90"/>
  <c r="CE3" i="90"/>
  <c r="CP3" i="90"/>
  <c r="Q3" i="90"/>
  <c r="Q2" i="90"/>
  <c r="Q1" i="90"/>
  <c r="AQ33" i="42" l="1"/>
  <c r="AU33" i="42"/>
  <c r="J182" i="44"/>
  <c r="H182" i="44"/>
  <c r="F182" i="44"/>
  <c r="J79" i="44"/>
  <c r="H79" i="44"/>
  <c r="F79" i="44"/>
  <c r="I47" i="56" l="1"/>
  <c r="I46" i="56"/>
  <c r="H61" i="57"/>
  <c r="H59" i="57"/>
  <c r="H57" i="57"/>
  <c r="H42" i="57"/>
  <c r="CC68" i="36" l="1"/>
  <c r="CB68" i="36"/>
  <c r="CA68" i="36"/>
  <c r="CE65" i="36"/>
  <c r="BH68" i="36"/>
  <c r="BH56" i="36" s="1"/>
  <c r="BI68" i="36"/>
  <c r="BJ68" i="36"/>
  <c r="AQ69" i="36"/>
  <c r="BJ69" i="36" s="1"/>
  <c r="AR69" i="36"/>
  <c r="AS69" i="36"/>
  <c r="AT69" i="36"/>
  <c r="AU69" i="36"/>
  <c r="AV69" i="36"/>
  <c r="AW69" i="36"/>
  <c r="AX69" i="36"/>
  <c r="AY69" i="36"/>
  <c r="AZ69" i="36"/>
  <c r="BA69" i="36"/>
  <c r="BB69" i="36"/>
  <c r="AR70" i="36"/>
  <c r="AS70" i="36"/>
  <c r="AT70" i="36"/>
  <c r="AU70" i="36"/>
  <c r="AV70" i="36"/>
  <c r="AW70" i="36"/>
  <c r="AX70" i="36"/>
  <c r="AY70" i="36"/>
  <c r="AZ70" i="36"/>
  <c r="BA70" i="36"/>
  <c r="BB70" i="36"/>
  <c r="AQ72" i="36"/>
  <c r="CC72" i="36" s="1"/>
  <c r="AR72" i="36"/>
  <c r="AS72" i="36"/>
  <c r="AT72" i="36"/>
  <c r="AU72" i="36"/>
  <c r="AV72" i="36"/>
  <c r="AW72" i="36"/>
  <c r="AX72" i="36"/>
  <c r="AY72" i="36"/>
  <c r="AZ72" i="36"/>
  <c r="BA72" i="36"/>
  <c r="BB72" i="36"/>
  <c r="AR73" i="36"/>
  <c r="AS73" i="36"/>
  <c r="AT73" i="36"/>
  <c r="AU73" i="36"/>
  <c r="AV73" i="36"/>
  <c r="AW73" i="36"/>
  <c r="AX73" i="36"/>
  <c r="AY73" i="36"/>
  <c r="AZ73" i="36"/>
  <c r="BA73" i="36"/>
  <c r="BB73" i="36"/>
  <c r="AQ75" i="36"/>
  <c r="CC75" i="36" s="1"/>
  <c r="AR75" i="36"/>
  <c r="AS75" i="36"/>
  <c r="AT75" i="36"/>
  <c r="AU75" i="36"/>
  <c r="AV75" i="36"/>
  <c r="AW75" i="36"/>
  <c r="AX75" i="36"/>
  <c r="AY75" i="36"/>
  <c r="AZ75" i="36"/>
  <c r="BA75" i="36"/>
  <c r="BB75" i="36"/>
  <c r="AR76" i="36"/>
  <c r="AS76" i="36"/>
  <c r="AT76" i="36"/>
  <c r="AU76" i="36"/>
  <c r="AV76" i="36"/>
  <c r="AW76" i="36"/>
  <c r="AX76" i="36"/>
  <c r="AY76" i="36"/>
  <c r="AZ76" i="36"/>
  <c r="BA76" i="36"/>
  <c r="BB76" i="36"/>
  <c r="AQ78" i="36"/>
  <c r="BJ78" i="36" s="1"/>
  <c r="AR78" i="36"/>
  <c r="AS78" i="36"/>
  <c r="AT78" i="36"/>
  <c r="AU78" i="36"/>
  <c r="AV78" i="36"/>
  <c r="AW78" i="36"/>
  <c r="AX78" i="36"/>
  <c r="AY78" i="36"/>
  <c r="AZ78" i="36"/>
  <c r="BA78" i="36"/>
  <c r="BB78" i="36"/>
  <c r="AR79" i="36"/>
  <c r="AS79" i="36"/>
  <c r="AT79" i="36"/>
  <c r="AU79" i="36"/>
  <c r="AV79" i="36"/>
  <c r="AW79" i="36"/>
  <c r="AX79" i="36"/>
  <c r="AY79" i="36"/>
  <c r="AZ79" i="36"/>
  <c r="BA79" i="36"/>
  <c r="BB79" i="36"/>
  <c r="AQ81" i="36"/>
  <c r="CC81" i="36" s="1"/>
  <c r="AR81" i="36"/>
  <c r="AS81" i="36"/>
  <c r="AT81" i="36"/>
  <c r="AU81" i="36"/>
  <c r="AV81" i="36"/>
  <c r="AW81" i="36"/>
  <c r="AX81" i="36"/>
  <c r="AY81" i="36"/>
  <c r="AZ81" i="36"/>
  <c r="BA81" i="36"/>
  <c r="BB81" i="36"/>
  <c r="AR82" i="36"/>
  <c r="AS82" i="36"/>
  <c r="AT82" i="36"/>
  <c r="AU82" i="36"/>
  <c r="AV82" i="36"/>
  <c r="AW82" i="36"/>
  <c r="AX82" i="36"/>
  <c r="AY82" i="36"/>
  <c r="AZ82" i="36"/>
  <c r="BA82" i="36"/>
  <c r="BB82" i="36"/>
  <c r="AQ84" i="36"/>
  <c r="BJ84" i="36" s="1"/>
  <c r="AR84" i="36"/>
  <c r="AS84" i="36"/>
  <c r="AT84" i="36"/>
  <c r="AU84" i="36"/>
  <c r="AV84" i="36"/>
  <c r="AW84" i="36"/>
  <c r="AX84" i="36"/>
  <c r="AY84" i="36"/>
  <c r="AZ84" i="36"/>
  <c r="BA84" i="36"/>
  <c r="BB84" i="36"/>
  <c r="AR85" i="36"/>
  <c r="AS85" i="36"/>
  <c r="AT85" i="36"/>
  <c r="AU85" i="36"/>
  <c r="AV85" i="36"/>
  <c r="AW85" i="36"/>
  <c r="AX85" i="36"/>
  <c r="AY85" i="36"/>
  <c r="AZ85" i="36"/>
  <c r="BA85" i="36"/>
  <c r="BB85" i="36"/>
  <c r="AQ87" i="36"/>
  <c r="CC87" i="36" s="1"/>
  <c r="AR87" i="36"/>
  <c r="AS87" i="36"/>
  <c r="AT87" i="36"/>
  <c r="AU87" i="36"/>
  <c r="AV87" i="36"/>
  <c r="AW87" i="36"/>
  <c r="AX87" i="36"/>
  <c r="AY87" i="36"/>
  <c r="AZ87" i="36"/>
  <c r="BA87" i="36"/>
  <c r="BB87" i="36"/>
  <c r="AR88" i="36"/>
  <c r="AS88" i="36"/>
  <c r="AT88" i="36"/>
  <c r="AU88" i="36"/>
  <c r="AV88" i="36"/>
  <c r="AW88" i="36"/>
  <c r="AX88" i="36"/>
  <c r="AY88" i="36"/>
  <c r="AZ88" i="36"/>
  <c r="BA88" i="36"/>
  <c r="BB88" i="36"/>
  <c r="AQ90" i="36"/>
  <c r="AR90" i="36"/>
  <c r="AS90" i="36"/>
  <c r="AT90" i="36"/>
  <c r="AU90" i="36"/>
  <c r="AV90" i="36"/>
  <c r="AW90" i="36"/>
  <c r="AX90" i="36"/>
  <c r="AY90" i="36"/>
  <c r="AZ90" i="36"/>
  <c r="BA90" i="36"/>
  <c r="BB90" i="36"/>
  <c r="AR91" i="36"/>
  <c r="AS91" i="36"/>
  <c r="AT91" i="36"/>
  <c r="AU91" i="36"/>
  <c r="AV91" i="36"/>
  <c r="AW91" i="36"/>
  <c r="AX91" i="36"/>
  <c r="AY91" i="36"/>
  <c r="AZ91" i="36"/>
  <c r="BA91" i="36"/>
  <c r="BB91" i="36"/>
  <c r="AQ93" i="36"/>
  <c r="BJ93" i="36" s="1"/>
  <c r="AR93" i="36"/>
  <c r="AS93" i="36"/>
  <c r="AT93" i="36"/>
  <c r="AU93" i="36"/>
  <c r="AV93" i="36"/>
  <c r="AW93" i="36"/>
  <c r="AX93" i="36"/>
  <c r="AY93" i="36"/>
  <c r="AZ93" i="36"/>
  <c r="BA93" i="36"/>
  <c r="BB93" i="36"/>
  <c r="AR94" i="36"/>
  <c r="AS94" i="36"/>
  <c r="AT94" i="36"/>
  <c r="AU94" i="36"/>
  <c r="AV94" i="36"/>
  <c r="AW94" i="36"/>
  <c r="AX94" i="36"/>
  <c r="AY94" i="36"/>
  <c r="AZ94" i="36"/>
  <c r="BA94" i="36"/>
  <c r="BB94" i="36"/>
  <c r="AQ96" i="36"/>
  <c r="CC96" i="36" s="1"/>
  <c r="AR96" i="36"/>
  <c r="AS96" i="36"/>
  <c r="AT96" i="36"/>
  <c r="AU96" i="36"/>
  <c r="AV96" i="36"/>
  <c r="AW96" i="36"/>
  <c r="AX96" i="36"/>
  <c r="AY96" i="36"/>
  <c r="AZ96" i="36"/>
  <c r="BA96" i="36"/>
  <c r="BB96" i="36"/>
  <c r="AR97" i="36"/>
  <c r="AS97" i="36"/>
  <c r="AT97" i="36"/>
  <c r="AU97" i="36"/>
  <c r="AV97" i="36"/>
  <c r="AW97" i="36"/>
  <c r="AX97" i="36"/>
  <c r="AY97" i="36"/>
  <c r="AZ97" i="36"/>
  <c r="BA97" i="36"/>
  <c r="BB97" i="36"/>
  <c r="AQ99" i="36"/>
  <c r="BJ99" i="36" s="1"/>
  <c r="AR99" i="36"/>
  <c r="AS99" i="36"/>
  <c r="AT99" i="36"/>
  <c r="AU99" i="36"/>
  <c r="AV99" i="36"/>
  <c r="AW99" i="36"/>
  <c r="AX99" i="36"/>
  <c r="AY99" i="36"/>
  <c r="AZ99" i="36"/>
  <c r="BA99" i="36"/>
  <c r="BB99" i="36"/>
  <c r="AR100" i="36"/>
  <c r="AS100" i="36"/>
  <c r="AT100" i="36"/>
  <c r="AU100" i="36"/>
  <c r="AV100" i="36"/>
  <c r="AW100" i="36"/>
  <c r="AX100" i="36"/>
  <c r="AY100" i="36"/>
  <c r="AZ100" i="36"/>
  <c r="BA100" i="36"/>
  <c r="BB100" i="36"/>
  <c r="AQ102" i="36"/>
  <c r="CC102" i="36" s="1"/>
  <c r="AR102" i="36"/>
  <c r="AS102" i="36"/>
  <c r="AT102" i="36"/>
  <c r="AU102" i="36"/>
  <c r="AV102" i="36"/>
  <c r="AW102" i="36"/>
  <c r="AX102" i="36"/>
  <c r="AY102" i="36"/>
  <c r="AZ102" i="36"/>
  <c r="BA102" i="36"/>
  <c r="BB102" i="36"/>
  <c r="AR103" i="36"/>
  <c r="AS103" i="36"/>
  <c r="AT103" i="36"/>
  <c r="AU103" i="36"/>
  <c r="AV103" i="36"/>
  <c r="AW103" i="36"/>
  <c r="AX103" i="36"/>
  <c r="AY103" i="36"/>
  <c r="AZ103" i="36"/>
  <c r="BA103" i="36"/>
  <c r="BB103" i="36"/>
  <c r="AQ105" i="36"/>
  <c r="BJ105" i="36" s="1"/>
  <c r="AR105" i="36"/>
  <c r="AS105" i="36"/>
  <c r="AT105" i="36"/>
  <c r="AU105" i="36"/>
  <c r="AV105" i="36"/>
  <c r="AW105" i="36"/>
  <c r="AX105" i="36"/>
  <c r="AY105" i="36"/>
  <c r="AZ105" i="36"/>
  <c r="BA105" i="36"/>
  <c r="BB105" i="36"/>
  <c r="AR106" i="36"/>
  <c r="AS106" i="36"/>
  <c r="AT106" i="36"/>
  <c r="AU106" i="36"/>
  <c r="AV106" i="36"/>
  <c r="AW106" i="36"/>
  <c r="AX106" i="36"/>
  <c r="AY106" i="36"/>
  <c r="AZ106" i="36"/>
  <c r="BA106" i="36"/>
  <c r="BB106" i="36"/>
  <c r="AQ108" i="36"/>
  <c r="AR108" i="36"/>
  <c r="AS108" i="36"/>
  <c r="AT108" i="36"/>
  <c r="AU108" i="36"/>
  <c r="AV108" i="36"/>
  <c r="AW108" i="36"/>
  <c r="AX108" i="36"/>
  <c r="AY108" i="36"/>
  <c r="AZ108" i="36"/>
  <c r="BA108" i="36"/>
  <c r="BB108" i="36"/>
  <c r="AR109" i="36"/>
  <c r="AS109" i="36"/>
  <c r="AT109" i="36"/>
  <c r="AU109" i="36"/>
  <c r="AV109" i="36"/>
  <c r="AW109" i="36"/>
  <c r="AX109" i="36"/>
  <c r="AY109" i="36"/>
  <c r="AZ109" i="36"/>
  <c r="BA109" i="36"/>
  <c r="BB109" i="36"/>
  <c r="AQ111" i="36"/>
  <c r="CC111" i="36" s="1"/>
  <c r="AR111" i="36"/>
  <c r="AS111" i="36"/>
  <c r="AT111" i="36"/>
  <c r="AU111" i="36"/>
  <c r="AV111" i="36"/>
  <c r="AW111" i="36"/>
  <c r="AX111" i="36"/>
  <c r="AY111" i="36"/>
  <c r="AZ111" i="36"/>
  <c r="BA111" i="36"/>
  <c r="BB111" i="36"/>
  <c r="AR112" i="36"/>
  <c r="AS112" i="36"/>
  <c r="AT112" i="36"/>
  <c r="AU112" i="36"/>
  <c r="AV112" i="36"/>
  <c r="AW112" i="36"/>
  <c r="AX112" i="36"/>
  <c r="AY112" i="36"/>
  <c r="AZ112" i="36"/>
  <c r="BA112" i="36"/>
  <c r="BB112" i="36"/>
  <c r="AQ114" i="36"/>
  <c r="CC114" i="36" s="1"/>
  <c r="AR114" i="36"/>
  <c r="AS114" i="36"/>
  <c r="AT114" i="36"/>
  <c r="AU114" i="36"/>
  <c r="AV114" i="36"/>
  <c r="AW114" i="36"/>
  <c r="AX114" i="36"/>
  <c r="AY114" i="36"/>
  <c r="AZ114" i="36"/>
  <c r="BA114" i="36"/>
  <c r="BB114" i="36"/>
  <c r="AR115" i="36"/>
  <c r="AS115" i="36"/>
  <c r="AT115" i="36"/>
  <c r="AU115" i="36"/>
  <c r="AV115" i="36"/>
  <c r="AW115" i="36"/>
  <c r="AX115" i="36"/>
  <c r="AY115" i="36"/>
  <c r="AZ115" i="36"/>
  <c r="BA115" i="36"/>
  <c r="BB115" i="36"/>
  <c r="AQ117" i="36"/>
  <c r="AR117" i="36"/>
  <c r="AS117" i="36"/>
  <c r="AT117" i="36"/>
  <c r="AU117" i="36"/>
  <c r="AV117" i="36"/>
  <c r="AW117" i="36"/>
  <c r="AX117" i="36"/>
  <c r="AY117" i="36"/>
  <c r="AZ117" i="36"/>
  <c r="BA117" i="36"/>
  <c r="BB117" i="36"/>
  <c r="AR118" i="36"/>
  <c r="AS118" i="36"/>
  <c r="AT118" i="36"/>
  <c r="AU118" i="36"/>
  <c r="AV118" i="36"/>
  <c r="AW118" i="36"/>
  <c r="AX118" i="36"/>
  <c r="AY118" i="36"/>
  <c r="AZ118" i="36"/>
  <c r="BA118" i="36"/>
  <c r="BB118" i="36"/>
  <c r="AQ120" i="36"/>
  <c r="CC120" i="36" s="1"/>
  <c r="AR120" i="36"/>
  <c r="AS120" i="36"/>
  <c r="AT120" i="36"/>
  <c r="AU120" i="36"/>
  <c r="AV120" i="36"/>
  <c r="AW120" i="36"/>
  <c r="AX120" i="36"/>
  <c r="AY120" i="36"/>
  <c r="AZ120" i="36"/>
  <c r="BA120" i="36"/>
  <c r="BB120" i="36"/>
  <c r="AR121" i="36"/>
  <c r="AS121" i="36"/>
  <c r="AT121" i="36"/>
  <c r="AU121" i="36"/>
  <c r="AV121" i="36"/>
  <c r="AW121" i="36"/>
  <c r="AX121" i="36"/>
  <c r="AY121" i="36"/>
  <c r="AZ121" i="36"/>
  <c r="BA121" i="36"/>
  <c r="BB121" i="36"/>
  <c r="AQ123" i="36"/>
  <c r="CC123" i="36" s="1"/>
  <c r="AR123" i="36"/>
  <c r="AS123" i="36"/>
  <c r="AT123" i="36"/>
  <c r="AU123" i="36"/>
  <c r="AV123" i="36"/>
  <c r="AW123" i="36"/>
  <c r="AX123" i="36"/>
  <c r="AY123" i="36"/>
  <c r="AZ123" i="36"/>
  <c r="BA123" i="36"/>
  <c r="BB123" i="36"/>
  <c r="AR124" i="36"/>
  <c r="AS124" i="36"/>
  <c r="AT124" i="36"/>
  <c r="AU124" i="36"/>
  <c r="AV124" i="36"/>
  <c r="AW124" i="36"/>
  <c r="AX124" i="36"/>
  <c r="AY124" i="36"/>
  <c r="AZ124" i="36"/>
  <c r="BA124" i="36"/>
  <c r="BB124" i="36"/>
  <c r="AQ126" i="36"/>
  <c r="BJ126" i="36" s="1"/>
  <c r="AR126" i="36"/>
  <c r="AS126" i="36"/>
  <c r="AT126" i="36"/>
  <c r="AU126" i="36"/>
  <c r="AV126" i="36"/>
  <c r="AW126" i="36"/>
  <c r="AX126" i="36"/>
  <c r="AY126" i="36"/>
  <c r="AZ126" i="36"/>
  <c r="BA126" i="36"/>
  <c r="BB126" i="36"/>
  <c r="AR127" i="36"/>
  <c r="AS127" i="36"/>
  <c r="AT127" i="36"/>
  <c r="AU127" i="36"/>
  <c r="AV127" i="36"/>
  <c r="AW127" i="36"/>
  <c r="AX127" i="36"/>
  <c r="AY127" i="36"/>
  <c r="AZ127" i="36"/>
  <c r="BA127" i="36"/>
  <c r="BB127" i="36"/>
  <c r="AQ129" i="36"/>
  <c r="CC129" i="36" s="1"/>
  <c r="AR129" i="36"/>
  <c r="AS129" i="36"/>
  <c r="AT129" i="36"/>
  <c r="AU129" i="36"/>
  <c r="AV129" i="36"/>
  <c r="AX129" i="36"/>
  <c r="AY129" i="36"/>
  <c r="AZ129" i="36"/>
  <c r="BA129" i="36"/>
  <c r="BB129" i="36"/>
  <c r="AR130" i="36"/>
  <c r="AS130" i="36"/>
  <c r="AT130" i="36"/>
  <c r="AU130" i="36"/>
  <c r="AV130" i="36"/>
  <c r="AW130" i="36"/>
  <c r="AX130" i="36"/>
  <c r="AY130" i="36"/>
  <c r="AZ130" i="36"/>
  <c r="BA130" i="36"/>
  <c r="BB130" i="36"/>
  <c r="AQ132" i="36"/>
  <c r="CC132" i="36" s="1"/>
  <c r="AR132" i="36"/>
  <c r="AS132" i="36"/>
  <c r="AT132" i="36"/>
  <c r="AU132" i="36"/>
  <c r="AV132" i="36"/>
  <c r="AW132" i="36"/>
  <c r="AX132" i="36"/>
  <c r="AY132" i="36"/>
  <c r="AZ132" i="36"/>
  <c r="BA132" i="36"/>
  <c r="BB132" i="36"/>
  <c r="AR133" i="36"/>
  <c r="AS133" i="36"/>
  <c r="AT133" i="36"/>
  <c r="AU133" i="36"/>
  <c r="AV133" i="36"/>
  <c r="AW133" i="36"/>
  <c r="AX133" i="36"/>
  <c r="AY133" i="36"/>
  <c r="AZ133" i="36"/>
  <c r="BA133" i="36"/>
  <c r="BB133" i="36"/>
  <c r="AQ135" i="36"/>
  <c r="BJ135" i="36" s="1"/>
  <c r="AR135" i="36"/>
  <c r="AS135" i="36"/>
  <c r="AT135" i="36"/>
  <c r="AU135" i="36"/>
  <c r="AV135" i="36"/>
  <c r="AW135" i="36"/>
  <c r="AX135" i="36"/>
  <c r="AY135" i="36"/>
  <c r="AZ135" i="36"/>
  <c r="BA135" i="36"/>
  <c r="BB135" i="36"/>
  <c r="AR136" i="36"/>
  <c r="AS136" i="36"/>
  <c r="AT136" i="36"/>
  <c r="AU136" i="36"/>
  <c r="AV136" i="36"/>
  <c r="AW136" i="36"/>
  <c r="AX136" i="36"/>
  <c r="AY136" i="36"/>
  <c r="AZ136" i="36"/>
  <c r="BA136" i="36"/>
  <c r="BB136" i="36"/>
  <c r="AQ138" i="36"/>
  <c r="AR138" i="36"/>
  <c r="AS138" i="36"/>
  <c r="AT138" i="36"/>
  <c r="AU138" i="36"/>
  <c r="AV138" i="36"/>
  <c r="AW138" i="36"/>
  <c r="AX138" i="36"/>
  <c r="AY138" i="36"/>
  <c r="AZ138" i="36"/>
  <c r="BA138" i="36"/>
  <c r="BB138" i="36"/>
  <c r="AR139" i="36"/>
  <c r="AS139" i="36"/>
  <c r="AT139" i="36"/>
  <c r="AU139" i="36"/>
  <c r="AV139" i="36"/>
  <c r="AW139" i="36"/>
  <c r="AX139" i="36"/>
  <c r="AY139" i="36"/>
  <c r="AZ139" i="36"/>
  <c r="BA139" i="36"/>
  <c r="BB139" i="36"/>
  <c r="AQ141" i="36"/>
  <c r="CC141" i="36" s="1"/>
  <c r="AR141" i="36"/>
  <c r="AS141" i="36"/>
  <c r="AT141" i="36"/>
  <c r="AU141" i="36"/>
  <c r="AV141" i="36"/>
  <c r="AW141" i="36"/>
  <c r="AX141" i="36"/>
  <c r="AY141" i="36"/>
  <c r="AZ141" i="36"/>
  <c r="BA141" i="36"/>
  <c r="BB141" i="36"/>
  <c r="AR142" i="36"/>
  <c r="AS142" i="36"/>
  <c r="AT142" i="36"/>
  <c r="AU142" i="36"/>
  <c r="AV142" i="36"/>
  <c r="AW142" i="36"/>
  <c r="AX142" i="36"/>
  <c r="AY142" i="36"/>
  <c r="AZ142" i="36"/>
  <c r="BA142" i="36"/>
  <c r="BB142" i="36"/>
  <c r="AQ144" i="36"/>
  <c r="CC144" i="36" s="1"/>
  <c r="AR144" i="36"/>
  <c r="AS144" i="36"/>
  <c r="AT144" i="36"/>
  <c r="AU144" i="36"/>
  <c r="AV144" i="36"/>
  <c r="AW144" i="36"/>
  <c r="AX144" i="36"/>
  <c r="AY144" i="36"/>
  <c r="AZ144" i="36"/>
  <c r="BA144" i="36"/>
  <c r="BB144" i="36"/>
  <c r="AR145" i="36"/>
  <c r="AS145" i="36"/>
  <c r="AT145" i="36"/>
  <c r="AU145" i="36"/>
  <c r="AV145" i="36"/>
  <c r="AW145" i="36"/>
  <c r="AX145" i="36"/>
  <c r="AY145" i="36"/>
  <c r="AZ145" i="36"/>
  <c r="BA145" i="36"/>
  <c r="BB145" i="36"/>
  <c r="AQ147" i="36"/>
  <c r="AR147" i="36"/>
  <c r="AS147" i="36"/>
  <c r="AT147" i="36"/>
  <c r="AU147" i="36"/>
  <c r="AV147" i="36"/>
  <c r="AW147" i="36"/>
  <c r="AX147" i="36"/>
  <c r="AY147" i="36"/>
  <c r="AZ147" i="36"/>
  <c r="BA147" i="36"/>
  <c r="BB147" i="36"/>
  <c r="AR148" i="36"/>
  <c r="AS148" i="36"/>
  <c r="AT148" i="36"/>
  <c r="AU148" i="36"/>
  <c r="AV148" i="36"/>
  <c r="AW148" i="36"/>
  <c r="AX148" i="36"/>
  <c r="AY148" i="36"/>
  <c r="AZ148" i="36"/>
  <c r="BA148" i="36"/>
  <c r="BB148" i="36"/>
  <c r="AQ150" i="36"/>
  <c r="AR150" i="36"/>
  <c r="AS150" i="36"/>
  <c r="AT150" i="36"/>
  <c r="AU150" i="36"/>
  <c r="AV150" i="36"/>
  <c r="AW150" i="36"/>
  <c r="AX150" i="36"/>
  <c r="AY150" i="36"/>
  <c r="AZ150" i="36"/>
  <c r="BA150" i="36"/>
  <c r="BB150" i="36"/>
  <c r="AR151" i="36"/>
  <c r="AS151" i="36"/>
  <c r="AT151" i="36"/>
  <c r="AU151" i="36"/>
  <c r="AV151" i="36"/>
  <c r="AW151" i="36"/>
  <c r="AX151" i="36"/>
  <c r="AY151" i="36"/>
  <c r="AZ151" i="36"/>
  <c r="BA151" i="36"/>
  <c r="BB151" i="36"/>
  <c r="AQ153" i="36"/>
  <c r="CC153" i="36" s="1"/>
  <c r="AR153" i="36"/>
  <c r="AS153" i="36"/>
  <c r="AT153" i="36"/>
  <c r="AU153" i="36"/>
  <c r="AV153" i="36"/>
  <c r="AW153" i="36"/>
  <c r="AX153" i="36"/>
  <c r="AY153" i="36"/>
  <c r="AZ153" i="36"/>
  <c r="BA153" i="36"/>
  <c r="BB153" i="36"/>
  <c r="AR154" i="36"/>
  <c r="AS154" i="36"/>
  <c r="AT154" i="36"/>
  <c r="AU154" i="36"/>
  <c r="AV154" i="36"/>
  <c r="AW154" i="36"/>
  <c r="AX154" i="36"/>
  <c r="AY154" i="36"/>
  <c r="AZ154" i="36"/>
  <c r="BA154" i="36"/>
  <c r="BB154" i="36"/>
  <c r="AQ156" i="36"/>
  <c r="CC156" i="36" s="1"/>
  <c r="AR156" i="36"/>
  <c r="AS156" i="36"/>
  <c r="AT156" i="36"/>
  <c r="AU156" i="36"/>
  <c r="AV156" i="36"/>
  <c r="AW156" i="36"/>
  <c r="AX156" i="36"/>
  <c r="AY156" i="36"/>
  <c r="AZ156" i="36"/>
  <c r="BA156" i="36"/>
  <c r="BB156" i="36"/>
  <c r="AR157" i="36"/>
  <c r="AS157" i="36"/>
  <c r="AT157" i="36"/>
  <c r="AU157" i="36"/>
  <c r="AV157" i="36"/>
  <c r="AW157" i="36"/>
  <c r="AX157" i="36"/>
  <c r="AY157" i="36"/>
  <c r="AZ157" i="36"/>
  <c r="BA157" i="36"/>
  <c r="BB157" i="36"/>
  <c r="AQ159" i="36"/>
  <c r="BJ159" i="36" s="1"/>
  <c r="AR159" i="36"/>
  <c r="AS159" i="36"/>
  <c r="AT159" i="36"/>
  <c r="AU159" i="36"/>
  <c r="AV159" i="36"/>
  <c r="AW159" i="36"/>
  <c r="AX159" i="36"/>
  <c r="AY159" i="36"/>
  <c r="AZ159" i="36"/>
  <c r="BA159" i="36"/>
  <c r="BB159" i="36"/>
  <c r="AR160" i="36"/>
  <c r="AS160" i="36"/>
  <c r="AT160" i="36"/>
  <c r="AU160" i="36"/>
  <c r="AV160" i="36"/>
  <c r="AW160" i="36"/>
  <c r="AX160" i="36"/>
  <c r="AY160" i="36"/>
  <c r="AZ160" i="36"/>
  <c r="BA160" i="36"/>
  <c r="BB160" i="36"/>
  <c r="AQ162" i="36"/>
  <c r="CC162" i="36" s="1"/>
  <c r="AR162" i="36"/>
  <c r="AS162" i="36"/>
  <c r="AT162" i="36"/>
  <c r="AU162" i="36"/>
  <c r="AV162" i="36"/>
  <c r="AW162" i="36"/>
  <c r="AX162" i="36"/>
  <c r="AY162" i="36"/>
  <c r="AZ162" i="36"/>
  <c r="BA162" i="36"/>
  <c r="BB162" i="36"/>
  <c r="AR163" i="36"/>
  <c r="AS163" i="36"/>
  <c r="AT163" i="36"/>
  <c r="AU163" i="36"/>
  <c r="AV163" i="36"/>
  <c r="AW163" i="36"/>
  <c r="AX163" i="36"/>
  <c r="AY163" i="36"/>
  <c r="AZ163" i="36"/>
  <c r="BA163" i="36"/>
  <c r="BB163" i="36"/>
  <c r="AQ165" i="36"/>
  <c r="CC165" i="36" s="1"/>
  <c r="AR165" i="36"/>
  <c r="AS165" i="36"/>
  <c r="AT165" i="36"/>
  <c r="AU165" i="36"/>
  <c r="AV165" i="36"/>
  <c r="AW165" i="36"/>
  <c r="AX165" i="36"/>
  <c r="AY165" i="36"/>
  <c r="AZ165" i="36"/>
  <c r="BA165" i="36"/>
  <c r="BB165" i="36"/>
  <c r="AR166" i="36"/>
  <c r="AS166" i="36"/>
  <c r="AT166" i="36"/>
  <c r="AU166" i="36"/>
  <c r="AV166" i="36"/>
  <c r="AW166" i="36"/>
  <c r="AX166" i="36"/>
  <c r="AY166" i="36"/>
  <c r="AZ166" i="36"/>
  <c r="BA166" i="36"/>
  <c r="BB166" i="36"/>
  <c r="AQ168" i="36"/>
  <c r="CC168" i="36" s="1"/>
  <c r="AR168" i="36"/>
  <c r="AS168" i="36"/>
  <c r="AT168" i="36"/>
  <c r="AU168" i="36"/>
  <c r="AV168" i="36"/>
  <c r="AW168" i="36"/>
  <c r="AX168" i="36"/>
  <c r="AY168" i="36"/>
  <c r="AZ168" i="36"/>
  <c r="BA168" i="36"/>
  <c r="BB168" i="36"/>
  <c r="AR169" i="36"/>
  <c r="AS169" i="36"/>
  <c r="AT169" i="36"/>
  <c r="AU169" i="36"/>
  <c r="AV169" i="36"/>
  <c r="AW169" i="36"/>
  <c r="AX169" i="36"/>
  <c r="AY169" i="36"/>
  <c r="AZ169" i="36"/>
  <c r="BA169" i="36"/>
  <c r="BB169" i="36"/>
  <c r="AQ171" i="36"/>
  <c r="BJ171" i="36" s="1"/>
  <c r="AR171" i="36"/>
  <c r="AS171" i="36"/>
  <c r="AT171" i="36"/>
  <c r="AU171" i="36"/>
  <c r="AV171" i="36"/>
  <c r="AW171" i="36"/>
  <c r="AX171" i="36"/>
  <c r="AY171" i="36"/>
  <c r="AZ171" i="36"/>
  <c r="BA171" i="36"/>
  <c r="BB171" i="36"/>
  <c r="AR172" i="36"/>
  <c r="AS172" i="36"/>
  <c r="AT172" i="36"/>
  <c r="AU172" i="36"/>
  <c r="AV172" i="36"/>
  <c r="AW172" i="36"/>
  <c r="AX172" i="36"/>
  <c r="AY172" i="36"/>
  <c r="AZ172" i="36"/>
  <c r="BA172" i="36"/>
  <c r="BB172" i="36"/>
  <c r="AQ174" i="36"/>
  <c r="CC174" i="36" s="1"/>
  <c r="AR174" i="36"/>
  <c r="AS174" i="36"/>
  <c r="AT174" i="36"/>
  <c r="AU174" i="36"/>
  <c r="AV174" i="36"/>
  <c r="AW174" i="36"/>
  <c r="AX174" i="36"/>
  <c r="AY174" i="36"/>
  <c r="AZ174" i="36"/>
  <c r="BA174" i="36"/>
  <c r="BB174" i="36"/>
  <c r="AR175" i="36"/>
  <c r="AS175" i="36"/>
  <c r="AT175" i="36"/>
  <c r="AU175" i="36"/>
  <c r="AV175" i="36"/>
  <c r="AW175" i="36"/>
  <c r="AX175" i="36"/>
  <c r="AY175" i="36"/>
  <c r="AZ175" i="36"/>
  <c r="BA175" i="36"/>
  <c r="BB175" i="36"/>
  <c r="AQ177" i="36"/>
  <c r="AR177" i="36"/>
  <c r="AS177" i="36"/>
  <c r="AT177" i="36"/>
  <c r="AU177" i="36"/>
  <c r="AV177" i="36"/>
  <c r="AW177" i="36"/>
  <c r="AX177" i="36"/>
  <c r="AY177" i="36"/>
  <c r="AZ177" i="36"/>
  <c r="BA177" i="36"/>
  <c r="BB177" i="36"/>
  <c r="AR178" i="36"/>
  <c r="AS178" i="36"/>
  <c r="AT178" i="36"/>
  <c r="AU178" i="36"/>
  <c r="AV178" i="36"/>
  <c r="AW178" i="36"/>
  <c r="AX178" i="36"/>
  <c r="AY178" i="36"/>
  <c r="AZ178" i="36"/>
  <c r="BA178" i="36"/>
  <c r="BB178" i="36"/>
  <c r="AQ180" i="36"/>
  <c r="CC180" i="36" s="1"/>
  <c r="AR180" i="36"/>
  <c r="AS180" i="36"/>
  <c r="AT180" i="36"/>
  <c r="AU180" i="36"/>
  <c r="AV180" i="36"/>
  <c r="AW180" i="36"/>
  <c r="AX180" i="36"/>
  <c r="AY180" i="36"/>
  <c r="AZ180" i="36"/>
  <c r="BA180" i="36"/>
  <c r="BB180" i="36"/>
  <c r="AR181" i="36"/>
  <c r="AS181" i="36"/>
  <c r="AT181" i="36"/>
  <c r="AU181" i="36"/>
  <c r="AV181" i="36"/>
  <c r="AW181" i="36"/>
  <c r="AX181" i="36"/>
  <c r="AY181" i="36"/>
  <c r="AZ181" i="36"/>
  <c r="BA181" i="36"/>
  <c r="BB181" i="36"/>
  <c r="AQ183" i="36"/>
  <c r="CC183" i="36" s="1"/>
  <c r="AR183" i="36"/>
  <c r="AS183" i="36"/>
  <c r="AT183" i="36"/>
  <c r="AU183" i="36"/>
  <c r="AV183" i="36"/>
  <c r="AW183" i="36"/>
  <c r="AX183" i="36"/>
  <c r="AY183" i="36"/>
  <c r="AZ183" i="36"/>
  <c r="BA183" i="36"/>
  <c r="BB183" i="36"/>
  <c r="AR184" i="36"/>
  <c r="AS184" i="36"/>
  <c r="AT184" i="36"/>
  <c r="AU184" i="36"/>
  <c r="AV184" i="36"/>
  <c r="AW184" i="36"/>
  <c r="AX184" i="36"/>
  <c r="AY184" i="36"/>
  <c r="AZ184" i="36"/>
  <c r="BA184" i="36"/>
  <c r="BB184" i="36"/>
  <c r="AQ186" i="36"/>
  <c r="AR186" i="36"/>
  <c r="AS186" i="36"/>
  <c r="AT186" i="36"/>
  <c r="AU186" i="36"/>
  <c r="AV186" i="36"/>
  <c r="AW186" i="36"/>
  <c r="AX186" i="36"/>
  <c r="AY186" i="36"/>
  <c r="AZ186" i="36"/>
  <c r="BA186" i="36"/>
  <c r="BB186" i="36"/>
  <c r="AR187" i="36"/>
  <c r="AS187" i="36"/>
  <c r="AT187" i="36"/>
  <c r="AU187" i="36"/>
  <c r="AV187" i="36"/>
  <c r="AW187" i="36"/>
  <c r="AX187" i="36"/>
  <c r="AY187" i="36"/>
  <c r="AZ187" i="36"/>
  <c r="BA187" i="36"/>
  <c r="BB187" i="36"/>
  <c r="AQ189" i="36"/>
  <c r="AR189" i="36"/>
  <c r="AS189" i="36"/>
  <c r="AT189" i="36"/>
  <c r="AU189" i="36"/>
  <c r="AV189" i="36"/>
  <c r="AW189" i="36"/>
  <c r="AX189" i="36"/>
  <c r="AY189" i="36"/>
  <c r="AZ189" i="36"/>
  <c r="BA189" i="36"/>
  <c r="BB189" i="36"/>
  <c r="AR190" i="36"/>
  <c r="AS190" i="36"/>
  <c r="AT190" i="36"/>
  <c r="AU190" i="36"/>
  <c r="AV190" i="36"/>
  <c r="AW190" i="36"/>
  <c r="AX190" i="36"/>
  <c r="AY190" i="36"/>
  <c r="AZ190" i="36"/>
  <c r="BA190" i="36"/>
  <c r="BB190" i="36"/>
  <c r="AQ192" i="36"/>
  <c r="CC192" i="36" s="1"/>
  <c r="AR192" i="36"/>
  <c r="AS192" i="36"/>
  <c r="AT192" i="36"/>
  <c r="AU192" i="36"/>
  <c r="AV192" i="36"/>
  <c r="AW192" i="36"/>
  <c r="AX192" i="36"/>
  <c r="AY192" i="36"/>
  <c r="AZ192" i="36"/>
  <c r="BA192" i="36"/>
  <c r="BB192" i="36"/>
  <c r="AR193" i="36"/>
  <c r="AS193" i="36"/>
  <c r="AT193" i="36"/>
  <c r="AU193" i="36"/>
  <c r="AV193" i="36"/>
  <c r="AW193" i="36"/>
  <c r="AX193" i="36"/>
  <c r="AY193" i="36"/>
  <c r="AZ193" i="36"/>
  <c r="BA193" i="36"/>
  <c r="BB193" i="36"/>
  <c r="AQ195" i="36"/>
  <c r="CC195" i="36" s="1"/>
  <c r="AR195" i="36"/>
  <c r="AS195" i="36"/>
  <c r="AT195" i="36"/>
  <c r="AU195" i="36"/>
  <c r="AV195" i="36"/>
  <c r="AW195" i="36"/>
  <c r="AX195" i="36"/>
  <c r="AY195" i="36"/>
  <c r="AZ195" i="36"/>
  <c r="BA195" i="36"/>
  <c r="BB195" i="36"/>
  <c r="AR196" i="36"/>
  <c r="AS196" i="36"/>
  <c r="AT196" i="36"/>
  <c r="AU196" i="36"/>
  <c r="AV196" i="36"/>
  <c r="AW196" i="36"/>
  <c r="AX196" i="36"/>
  <c r="AY196" i="36"/>
  <c r="AZ196" i="36"/>
  <c r="BA196" i="36"/>
  <c r="BB196" i="36"/>
  <c r="AQ198" i="36"/>
  <c r="CC198" i="36" s="1"/>
  <c r="AR198" i="36"/>
  <c r="AS198" i="36"/>
  <c r="AT198" i="36"/>
  <c r="AU198" i="36"/>
  <c r="AV198" i="36"/>
  <c r="AW198" i="36"/>
  <c r="AX198" i="36"/>
  <c r="AY198" i="36"/>
  <c r="AZ198" i="36"/>
  <c r="BA198" i="36"/>
  <c r="BB198" i="36"/>
  <c r="AR199" i="36"/>
  <c r="AS199" i="36"/>
  <c r="AT199" i="36"/>
  <c r="AU199" i="36"/>
  <c r="AV199" i="36"/>
  <c r="AW199" i="36"/>
  <c r="AX199" i="36"/>
  <c r="AY199" i="36"/>
  <c r="AZ199" i="36"/>
  <c r="BA199" i="36"/>
  <c r="BB199" i="36"/>
  <c r="AQ201" i="36"/>
  <c r="BJ201" i="36" s="1"/>
  <c r="AR201" i="36"/>
  <c r="AS201" i="36"/>
  <c r="AT201" i="36"/>
  <c r="AU201" i="36"/>
  <c r="AV201" i="36"/>
  <c r="AW201" i="36"/>
  <c r="AX201" i="36"/>
  <c r="AY201" i="36"/>
  <c r="AZ201" i="36"/>
  <c r="BA201" i="36"/>
  <c r="BB201" i="36"/>
  <c r="AR202" i="36"/>
  <c r="AS202" i="36"/>
  <c r="AT202" i="36"/>
  <c r="AU202" i="36"/>
  <c r="AV202" i="36"/>
  <c r="AW202" i="36"/>
  <c r="AX202" i="36"/>
  <c r="AY202" i="36"/>
  <c r="AZ202" i="36"/>
  <c r="BA202" i="36"/>
  <c r="BB202" i="36"/>
  <c r="AQ204" i="36"/>
  <c r="CC204" i="36" s="1"/>
  <c r="AR204" i="36"/>
  <c r="AS204" i="36"/>
  <c r="AT204" i="36"/>
  <c r="AU204" i="36"/>
  <c r="AV204" i="36"/>
  <c r="AW204" i="36"/>
  <c r="AX204" i="36"/>
  <c r="AY204" i="36"/>
  <c r="AZ204" i="36"/>
  <c r="BA204" i="36"/>
  <c r="BB204" i="36"/>
  <c r="AR205" i="36"/>
  <c r="AS205" i="36"/>
  <c r="AT205" i="36"/>
  <c r="AU205" i="36"/>
  <c r="AV205" i="36"/>
  <c r="AW205" i="36"/>
  <c r="AX205" i="36"/>
  <c r="AY205" i="36"/>
  <c r="AZ205" i="36"/>
  <c r="BA205" i="36"/>
  <c r="BB205" i="36"/>
  <c r="AQ207" i="36"/>
  <c r="AR207" i="36"/>
  <c r="AS207" i="36"/>
  <c r="AT207" i="36"/>
  <c r="AU207" i="36"/>
  <c r="AV207" i="36"/>
  <c r="AW207" i="36"/>
  <c r="AX207" i="36"/>
  <c r="AY207" i="36"/>
  <c r="AZ207" i="36"/>
  <c r="BA207" i="36"/>
  <c r="BB207" i="36"/>
  <c r="AR208" i="36"/>
  <c r="AS208" i="36"/>
  <c r="AT208" i="36"/>
  <c r="AU208" i="36"/>
  <c r="AV208" i="36"/>
  <c r="AW208" i="36"/>
  <c r="AX208" i="36"/>
  <c r="AY208" i="36"/>
  <c r="AZ208" i="36"/>
  <c r="BA208" i="36"/>
  <c r="BB208" i="36"/>
  <c r="AQ210" i="36"/>
  <c r="CC210" i="36" s="1"/>
  <c r="AR210" i="36"/>
  <c r="AS210" i="36"/>
  <c r="AT210" i="36"/>
  <c r="AU210" i="36"/>
  <c r="AV210" i="36"/>
  <c r="AW210" i="36"/>
  <c r="AX210" i="36"/>
  <c r="AY210" i="36"/>
  <c r="AZ210" i="36"/>
  <c r="BA210" i="36"/>
  <c r="BB210" i="36"/>
  <c r="AR211" i="36"/>
  <c r="AS211" i="36"/>
  <c r="AT211" i="36"/>
  <c r="AU211" i="36"/>
  <c r="AV211" i="36"/>
  <c r="AW211" i="36"/>
  <c r="AX211" i="36"/>
  <c r="AY211" i="36"/>
  <c r="AZ211" i="36"/>
  <c r="BA211" i="36"/>
  <c r="BB211" i="36"/>
  <c r="AQ213" i="36"/>
  <c r="CC213" i="36" s="1"/>
  <c r="AR213" i="36"/>
  <c r="AS213" i="36"/>
  <c r="AT213" i="36"/>
  <c r="AU213" i="36"/>
  <c r="AV213" i="36"/>
  <c r="AW213" i="36"/>
  <c r="AX213" i="36"/>
  <c r="AY213" i="36"/>
  <c r="AZ213" i="36"/>
  <c r="BA213" i="36"/>
  <c r="BB213" i="36"/>
  <c r="AR214" i="36"/>
  <c r="AS214" i="36"/>
  <c r="AT214" i="36"/>
  <c r="AU214" i="36"/>
  <c r="AV214" i="36"/>
  <c r="AW214" i="36"/>
  <c r="AX214" i="36"/>
  <c r="AY214" i="36"/>
  <c r="AZ214" i="36"/>
  <c r="BA214" i="36"/>
  <c r="BB214" i="36"/>
  <c r="AQ216" i="36"/>
  <c r="AR216" i="36"/>
  <c r="AS216" i="36"/>
  <c r="AT216" i="36"/>
  <c r="AU216" i="36"/>
  <c r="AV216" i="36"/>
  <c r="AW216" i="36"/>
  <c r="AX216" i="36"/>
  <c r="AY216" i="36"/>
  <c r="AZ216" i="36"/>
  <c r="BA216" i="36"/>
  <c r="BB216" i="36"/>
  <c r="AR217" i="36"/>
  <c r="AS217" i="36"/>
  <c r="AT217" i="36"/>
  <c r="AU217" i="36"/>
  <c r="AV217" i="36"/>
  <c r="AW217" i="36"/>
  <c r="AX217" i="36"/>
  <c r="AY217" i="36"/>
  <c r="AZ217" i="36"/>
  <c r="BA217" i="36"/>
  <c r="BB217" i="36"/>
  <c r="AQ219" i="36"/>
  <c r="AR219" i="36"/>
  <c r="AS219" i="36"/>
  <c r="AT219" i="36"/>
  <c r="AU219" i="36"/>
  <c r="AV219" i="36"/>
  <c r="AW219" i="36"/>
  <c r="AX219" i="36"/>
  <c r="AY219" i="36"/>
  <c r="AZ219" i="36"/>
  <c r="BA219" i="36"/>
  <c r="BB219" i="36"/>
  <c r="AR220" i="36"/>
  <c r="AS220" i="36"/>
  <c r="AT220" i="36"/>
  <c r="AU220" i="36"/>
  <c r="AV220" i="36"/>
  <c r="AW220" i="36"/>
  <c r="AX220" i="36"/>
  <c r="AY220" i="36"/>
  <c r="AZ220" i="36"/>
  <c r="BA220" i="36"/>
  <c r="BB220" i="36"/>
  <c r="AQ222" i="36"/>
  <c r="AR222" i="36"/>
  <c r="AS222" i="36"/>
  <c r="AT222" i="36"/>
  <c r="AU222" i="36"/>
  <c r="AV222" i="36"/>
  <c r="AW222" i="36"/>
  <c r="AX222" i="36"/>
  <c r="AY222" i="36"/>
  <c r="AZ222" i="36"/>
  <c r="BA222" i="36"/>
  <c r="BB222" i="36"/>
  <c r="AR223" i="36"/>
  <c r="AS223" i="36"/>
  <c r="AT223" i="36"/>
  <c r="AU223" i="36"/>
  <c r="AV223" i="36"/>
  <c r="AW223" i="36"/>
  <c r="AX223" i="36"/>
  <c r="AY223" i="36"/>
  <c r="AZ223" i="36"/>
  <c r="BA223" i="36"/>
  <c r="BB223" i="36"/>
  <c r="AQ225" i="36"/>
  <c r="CC225" i="36" s="1"/>
  <c r="AR225" i="36"/>
  <c r="AS225" i="36"/>
  <c r="AT225" i="36"/>
  <c r="AU225" i="36"/>
  <c r="AV225" i="36"/>
  <c r="AW225" i="36"/>
  <c r="AX225" i="36"/>
  <c r="AY225" i="36"/>
  <c r="AZ225" i="36"/>
  <c r="BA225" i="36"/>
  <c r="BB225" i="36"/>
  <c r="AR226" i="36"/>
  <c r="AS226" i="36"/>
  <c r="AT226" i="36"/>
  <c r="AU226" i="36"/>
  <c r="AV226" i="36"/>
  <c r="AW226" i="36"/>
  <c r="AX226" i="36"/>
  <c r="AY226" i="36"/>
  <c r="AZ226" i="36"/>
  <c r="BA226" i="36"/>
  <c r="BB226" i="36"/>
  <c r="AQ228" i="36"/>
  <c r="AR228" i="36"/>
  <c r="AS228" i="36"/>
  <c r="AT228" i="36"/>
  <c r="AU228" i="36"/>
  <c r="AV228" i="36"/>
  <c r="AW228" i="36"/>
  <c r="AX228" i="36"/>
  <c r="AY228" i="36"/>
  <c r="AZ228" i="36"/>
  <c r="BA228" i="36"/>
  <c r="BB228" i="36"/>
  <c r="AR229" i="36"/>
  <c r="AS229" i="36"/>
  <c r="AT229" i="36"/>
  <c r="AU229" i="36"/>
  <c r="AV229" i="36"/>
  <c r="AW229" i="36"/>
  <c r="AX229" i="36"/>
  <c r="AY229" i="36"/>
  <c r="AZ229" i="36"/>
  <c r="BA229" i="36"/>
  <c r="BB229" i="36"/>
  <c r="AQ231" i="36"/>
  <c r="CC231" i="36" s="1"/>
  <c r="AR231" i="36"/>
  <c r="AS231" i="36"/>
  <c r="AT231" i="36"/>
  <c r="AU231" i="36"/>
  <c r="AV231" i="36"/>
  <c r="AW231" i="36"/>
  <c r="AX231" i="36"/>
  <c r="AY231" i="36"/>
  <c r="AZ231" i="36"/>
  <c r="BA231" i="36"/>
  <c r="BB231" i="36"/>
  <c r="AR232" i="36"/>
  <c r="AS232" i="36"/>
  <c r="AT232" i="36"/>
  <c r="AU232" i="36"/>
  <c r="AV232" i="36"/>
  <c r="AW232" i="36"/>
  <c r="AX232" i="36"/>
  <c r="AY232" i="36"/>
  <c r="AZ232" i="36"/>
  <c r="BA232" i="36"/>
  <c r="BB232" i="36"/>
  <c r="AQ234" i="36"/>
  <c r="CC234" i="36" s="1"/>
  <c r="AR234" i="36"/>
  <c r="AS234" i="36"/>
  <c r="AT234" i="36"/>
  <c r="AU234" i="36"/>
  <c r="AV234" i="36"/>
  <c r="AW234" i="36"/>
  <c r="AX234" i="36"/>
  <c r="AY234" i="36"/>
  <c r="AZ234" i="36"/>
  <c r="BA234" i="36"/>
  <c r="BB234" i="36"/>
  <c r="BU234" i="36"/>
  <c r="AR235" i="36"/>
  <c r="AS235" i="36"/>
  <c r="AT235" i="36"/>
  <c r="AU235" i="36"/>
  <c r="AV235" i="36"/>
  <c r="AW235" i="36"/>
  <c r="AX235" i="36"/>
  <c r="AY235" i="36"/>
  <c r="AZ235" i="36"/>
  <c r="BA235" i="36"/>
  <c r="BB235" i="36"/>
  <c r="BU235" i="36"/>
  <c r="AQ237" i="36"/>
  <c r="AR237" i="36"/>
  <c r="AS237" i="36"/>
  <c r="AT237" i="36"/>
  <c r="AU237" i="36"/>
  <c r="AV237" i="36"/>
  <c r="AW237" i="36"/>
  <c r="AX237" i="36"/>
  <c r="AY237" i="36"/>
  <c r="AZ237" i="36"/>
  <c r="BA237" i="36"/>
  <c r="BB237" i="36"/>
  <c r="AR238" i="36"/>
  <c r="AS238" i="36"/>
  <c r="AT238" i="36"/>
  <c r="AU238" i="36"/>
  <c r="AV238" i="36"/>
  <c r="AW238" i="36"/>
  <c r="AX238" i="36"/>
  <c r="AY238" i="36"/>
  <c r="AZ238" i="36"/>
  <c r="BA238" i="36"/>
  <c r="BB238" i="36"/>
  <c r="AQ240" i="36"/>
  <c r="BJ240" i="36" s="1"/>
  <c r="AR240" i="36"/>
  <c r="AS240" i="36"/>
  <c r="AT240" i="36"/>
  <c r="AU240" i="36"/>
  <c r="AV240" i="36"/>
  <c r="AW240" i="36"/>
  <c r="AX240" i="36"/>
  <c r="AY240" i="36"/>
  <c r="AZ240" i="36"/>
  <c r="BA240" i="36"/>
  <c r="BB240" i="36"/>
  <c r="AR241" i="36"/>
  <c r="AS241" i="36"/>
  <c r="AT241" i="36"/>
  <c r="AU241" i="36"/>
  <c r="AV241" i="36"/>
  <c r="AW241" i="36"/>
  <c r="AX241" i="36"/>
  <c r="AY241" i="36"/>
  <c r="AZ241" i="36"/>
  <c r="BA241" i="36"/>
  <c r="BB241" i="36"/>
  <c r="AQ243" i="36"/>
  <c r="CC243" i="36" s="1"/>
  <c r="AR243" i="36"/>
  <c r="AS243" i="36"/>
  <c r="AT243" i="36"/>
  <c r="AU243" i="36"/>
  <c r="AV243" i="36"/>
  <c r="AW243" i="36"/>
  <c r="AX243" i="36"/>
  <c r="AY243" i="36"/>
  <c r="AZ243" i="36"/>
  <c r="BA243" i="36"/>
  <c r="BB243" i="36"/>
  <c r="AR244" i="36"/>
  <c r="AS244" i="36"/>
  <c r="AT244" i="36"/>
  <c r="AU244" i="36"/>
  <c r="AV244" i="36"/>
  <c r="AW244" i="36"/>
  <c r="AX244" i="36"/>
  <c r="AY244" i="36"/>
  <c r="AZ244" i="36"/>
  <c r="BA244" i="36"/>
  <c r="BB244" i="36"/>
  <c r="AQ246" i="36"/>
  <c r="CC246" i="36" s="1"/>
  <c r="AR246" i="36"/>
  <c r="AS246" i="36"/>
  <c r="AT246" i="36"/>
  <c r="AU246" i="36"/>
  <c r="AV246" i="36"/>
  <c r="AW246" i="36"/>
  <c r="AX246" i="36"/>
  <c r="AY246" i="36"/>
  <c r="AZ246" i="36"/>
  <c r="BA246" i="36"/>
  <c r="BB246" i="36"/>
  <c r="AR247" i="36"/>
  <c r="AS247" i="36"/>
  <c r="AT247" i="36"/>
  <c r="AU247" i="36"/>
  <c r="AV247" i="36"/>
  <c r="AW247" i="36"/>
  <c r="AX247" i="36"/>
  <c r="AY247" i="36"/>
  <c r="AZ247" i="36"/>
  <c r="BA247" i="36"/>
  <c r="BB247" i="36"/>
  <c r="AQ249" i="36"/>
  <c r="CC249" i="36" s="1"/>
  <c r="AR249" i="36"/>
  <c r="AS249" i="36"/>
  <c r="AT249" i="36"/>
  <c r="AU249" i="36"/>
  <c r="AV249" i="36"/>
  <c r="AW249" i="36"/>
  <c r="AX249" i="36"/>
  <c r="AY249" i="36"/>
  <c r="AZ249" i="36"/>
  <c r="BA249" i="36"/>
  <c r="BB249" i="36"/>
  <c r="AR250" i="36"/>
  <c r="AS250" i="36"/>
  <c r="AT250" i="36"/>
  <c r="AU250" i="36"/>
  <c r="AV250" i="36"/>
  <c r="AW250" i="36"/>
  <c r="AX250" i="36"/>
  <c r="AY250" i="36"/>
  <c r="AZ250" i="36"/>
  <c r="BA250" i="36"/>
  <c r="BB250" i="36"/>
  <c r="BK250" i="36"/>
  <c r="AQ252" i="36"/>
  <c r="AR252" i="36"/>
  <c r="AS252" i="36"/>
  <c r="AT252" i="36"/>
  <c r="AU252" i="36"/>
  <c r="AV252" i="36"/>
  <c r="AW252" i="36"/>
  <c r="AX252" i="36"/>
  <c r="AY252" i="36"/>
  <c r="AZ252" i="36"/>
  <c r="BA252" i="36"/>
  <c r="BB252" i="36"/>
  <c r="AR253" i="36"/>
  <c r="AS253" i="36"/>
  <c r="AT253" i="36"/>
  <c r="AU253" i="36"/>
  <c r="AV253" i="36"/>
  <c r="AW253" i="36"/>
  <c r="AX253" i="36"/>
  <c r="AY253" i="36"/>
  <c r="AZ253" i="36"/>
  <c r="BA253" i="36"/>
  <c r="BB253" i="36"/>
  <c r="AQ255" i="36"/>
  <c r="CC255" i="36" s="1"/>
  <c r="AR255" i="36"/>
  <c r="AS255" i="36"/>
  <c r="AT255" i="36"/>
  <c r="AU255" i="36"/>
  <c r="AV255" i="36"/>
  <c r="AW255" i="36"/>
  <c r="AX255" i="36"/>
  <c r="AY255" i="36"/>
  <c r="AZ255" i="36"/>
  <c r="BA255" i="36"/>
  <c r="BB255" i="36"/>
  <c r="BK255" i="36"/>
  <c r="BL255" i="36"/>
  <c r="BM255" i="36"/>
  <c r="BN255" i="36"/>
  <c r="BO255" i="36"/>
  <c r="BP255" i="36"/>
  <c r="BQ255" i="36"/>
  <c r="BR255" i="36"/>
  <c r="BS255" i="36"/>
  <c r="BT255" i="36"/>
  <c r="BU255" i="36"/>
  <c r="AR256" i="36"/>
  <c r="AS256" i="36"/>
  <c r="AT256" i="36"/>
  <c r="AU256" i="36"/>
  <c r="AV256" i="36"/>
  <c r="AW256" i="36"/>
  <c r="AX256" i="36"/>
  <c r="AY256" i="36"/>
  <c r="AZ256" i="36"/>
  <c r="BA256" i="36"/>
  <c r="BB256" i="36"/>
  <c r="BK256" i="36"/>
  <c r="BL256" i="36"/>
  <c r="BM256" i="36"/>
  <c r="BN256" i="36"/>
  <c r="BO256" i="36"/>
  <c r="BP256" i="36"/>
  <c r="BQ256" i="36"/>
  <c r="BR256" i="36"/>
  <c r="BS256" i="36"/>
  <c r="BT256" i="36"/>
  <c r="BU256" i="36"/>
  <c r="AQ258" i="36"/>
  <c r="CC258" i="36" s="1"/>
  <c r="AR258" i="36"/>
  <c r="AS258" i="36"/>
  <c r="AT258" i="36"/>
  <c r="AU258" i="36"/>
  <c r="AV258" i="36"/>
  <c r="AW258" i="36"/>
  <c r="AX258" i="36"/>
  <c r="AY258" i="36"/>
  <c r="AZ258" i="36"/>
  <c r="BA258" i="36"/>
  <c r="BB258" i="36"/>
  <c r="BK258" i="36"/>
  <c r="BL258" i="36"/>
  <c r="BM258" i="36"/>
  <c r="BN258" i="36"/>
  <c r="BO258" i="36"/>
  <c r="BP258" i="36"/>
  <c r="BQ258" i="36"/>
  <c r="BR258" i="36"/>
  <c r="BS258" i="36"/>
  <c r="BT258" i="36"/>
  <c r="BU258" i="36"/>
  <c r="AR259" i="36"/>
  <c r="AS259" i="36"/>
  <c r="AT259" i="36"/>
  <c r="AU259" i="36"/>
  <c r="AV259" i="36"/>
  <c r="AW259" i="36"/>
  <c r="AX259" i="36"/>
  <c r="AY259" i="36"/>
  <c r="AZ259" i="36"/>
  <c r="BA259" i="36"/>
  <c r="BB259" i="36"/>
  <c r="BK259" i="36"/>
  <c r="BL259" i="36"/>
  <c r="BM259" i="36"/>
  <c r="BN259" i="36"/>
  <c r="BO259" i="36"/>
  <c r="BP259" i="36"/>
  <c r="BQ259" i="36"/>
  <c r="BR259" i="36"/>
  <c r="BS259" i="36"/>
  <c r="BT259" i="36"/>
  <c r="BU259" i="36"/>
  <c r="AQ261" i="36"/>
  <c r="AR261" i="36"/>
  <c r="AS261" i="36"/>
  <c r="AT261" i="36"/>
  <c r="AU261" i="36"/>
  <c r="AV261" i="36"/>
  <c r="AW261" i="36"/>
  <c r="AX261" i="36"/>
  <c r="AY261" i="36"/>
  <c r="AZ261" i="36"/>
  <c r="BA261" i="36"/>
  <c r="BB261" i="36"/>
  <c r="BK261" i="36"/>
  <c r="BL261" i="36"/>
  <c r="BM261" i="36"/>
  <c r="BN261" i="36"/>
  <c r="BO261" i="36"/>
  <c r="BP261" i="36"/>
  <c r="BQ261" i="36"/>
  <c r="BR261" i="36"/>
  <c r="BS261" i="36"/>
  <c r="BT261" i="36"/>
  <c r="BU261" i="36"/>
  <c r="AR262" i="36"/>
  <c r="AS262" i="36"/>
  <c r="AT262" i="36"/>
  <c r="AU262" i="36"/>
  <c r="AV262" i="36"/>
  <c r="AW262" i="36"/>
  <c r="AX262" i="36"/>
  <c r="AY262" i="36"/>
  <c r="AZ262" i="36"/>
  <c r="BA262" i="36"/>
  <c r="BB262" i="36"/>
  <c r="BK262" i="36"/>
  <c r="BL262" i="36"/>
  <c r="BM262" i="36"/>
  <c r="BN262" i="36"/>
  <c r="BO262" i="36"/>
  <c r="BP262" i="36"/>
  <c r="BQ262" i="36"/>
  <c r="BR262" i="36"/>
  <c r="BS262" i="36"/>
  <c r="BT262" i="36"/>
  <c r="BU262" i="36"/>
  <c r="AQ264" i="36"/>
  <c r="CC264" i="36" s="1"/>
  <c r="AR264" i="36"/>
  <c r="AS264" i="36"/>
  <c r="AT264" i="36"/>
  <c r="AU264" i="36"/>
  <c r="AV264" i="36"/>
  <c r="AW264" i="36"/>
  <c r="AX264" i="36"/>
  <c r="AY264" i="36"/>
  <c r="AZ264" i="36"/>
  <c r="BA264" i="36"/>
  <c r="BB264" i="36"/>
  <c r="BK264" i="36"/>
  <c r="BL264" i="36"/>
  <c r="BM264" i="36"/>
  <c r="BN264" i="36"/>
  <c r="BO264" i="36"/>
  <c r="BP264" i="36"/>
  <c r="BQ264" i="36"/>
  <c r="BR264" i="36"/>
  <c r="BS264" i="36"/>
  <c r="BT264" i="36"/>
  <c r="BU264" i="36"/>
  <c r="AR265" i="36"/>
  <c r="AS265" i="36"/>
  <c r="AT265" i="36"/>
  <c r="AU265" i="36"/>
  <c r="AV265" i="36"/>
  <c r="AW265" i="36"/>
  <c r="AX265" i="36"/>
  <c r="AY265" i="36"/>
  <c r="AZ265" i="36"/>
  <c r="BA265" i="36"/>
  <c r="BB265" i="36"/>
  <c r="BK265" i="36"/>
  <c r="BL265" i="36"/>
  <c r="BM265" i="36"/>
  <c r="BN265" i="36"/>
  <c r="BO265" i="36"/>
  <c r="BP265" i="36"/>
  <c r="BQ265" i="36"/>
  <c r="BR265" i="36"/>
  <c r="BS265" i="36"/>
  <c r="BT265" i="36"/>
  <c r="BU265" i="36"/>
  <c r="AQ267" i="36"/>
  <c r="BJ267" i="36" s="1"/>
  <c r="AR267" i="36"/>
  <c r="AS267" i="36"/>
  <c r="AT267" i="36"/>
  <c r="AU267" i="36"/>
  <c r="AV267" i="36"/>
  <c r="AW267" i="36"/>
  <c r="AX267" i="36"/>
  <c r="AY267" i="36"/>
  <c r="AZ267" i="36"/>
  <c r="BA267" i="36"/>
  <c r="BB267" i="36"/>
  <c r="BK267" i="36"/>
  <c r="BL267" i="36"/>
  <c r="BM267" i="36"/>
  <c r="BN267" i="36"/>
  <c r="BO267" i="36"/>
  <c r="BP267" i="36"/>
  <c r="BQ267" i="36"/>
  <c r="BR267" i="36"/>
  <c r="BS267" i="36"/>
  <c r="BT267" i="36"/>
  <c r="BU267" i="36"/>
  <c r="AR268" i="36"/>
  <c r="AS268" i="36"/>
  <c r="AT268" i="36"/>
  <c r="AU268" i="36"/>
  <c r="AV268" i="36"/>
  <c r="AW268" i="36"/>
  <c r="AX268" i="36"/>
  <c r="AY268" i="36"/>
  <c r="AZ268" i="36"/>
  <c r="BA268" i="36"/>
  <c r="BB268" i="36"/>
  <c r="BK268" i="36"/>
  <c r="BL268" i="36"/>
  <c r="BM268" i="36"/>
  <c r="BN268" i="36"/>
  <c r="BO268" i="36"/>
  <c r="BP268" i="36"/>
  <c r="BQ268" i="36"/>
  <c r="BR268" i="36"/>
  <c r="BS268" i="36"/>
  <c r="BT268" i="36"/>
  <c r="BU268" i="36"/>
  <c r="AQ270" i="36"/>
  <c r="CC270" i="36" s="1"/>
  <c r="AR270" i="36"/>
  <c r="AS270" i="36"/>
  <c r="AT270" i="36"/>
  <c r="AU270" i="36"/>
  <c r="AV270" i="36"/>
  <c r="AW270" i="36"/>
  <c r="AX270" i="36"/>
  <c r="AY270" i="36"/>
  <c r="AZ270" i="36"/>
  <c r="BA270" i="36"/>
  <c r="BB270" i="36"/>
  <c r="BK270" i="36"/>
  <c r="BL270" i="36"/>
  <c r="BM270" i="36"/>
  <c r="BN270" i="36"/>
  <c r="BO270" i="36"/>
  <c r="BP270" i="36"/>
  <c r="BQ270" i="36"/>
  <c r="BR270" i="36"/>
  <c r="BS270" i="36"/>
  <c r="BT270" i="36"/>
  <c r="BU270" i="36"/>
  <c r="AR271" i="36"/>
  <c r="AS271" i="36"/>
  <c r="AT271" i="36"/>
  <c r="AU271" i="36"/>
  <c r="AV271" i="36"/>
  <c r="AW271" i="36"/>
  <c r="AX271" i="36"/>
  <c r="AY271" i="36"/>
  <c r="AZ271" i="36"/>
  <c r="BA271" i="36"/>
  <c r="BB271" i="36"/>
  <c r="BK271" i="36"/>
  <c r="BL271" i="36"/>
  <c r="BM271" i="36"/>
  <c r="BN271" i="36"/>
  <c r="BO271" i="36"/>
  <c r="BP271" i="36"/>
  <c r="BQ271" i="36"/>
  <c r="BR271" i="36"/>
  <c r="BS271" i="36"/>
  <c r="BT271" i="36"/>
  <c r="BU271" i="36"/>
  <c r="AQ273" i="36"/>
  <c r="AR273" i="36"/>
  <c r="AS273" i="36"/>
  <c r="AT273" i="36"/>
  <c r="AU273" i="36"/>
  <c r="AV273" i="36"/>
  <c r="AW273" i="36"/>
  <c r="AX273" i="36"/>
  <c r="AY273" i="36"/>
  <c r="AZ273" i="36"/>
  <c r="BA273" i="36"/>
  <c r="BB273" i="36"/>
  <c r="BK273" i="36"/>
  <c r="BL273" i="36"/>
  <c r="BM273" i="36"/>
  <c r="BN273" i="36"/>
  <c r="BO273" i="36"/>
  <c r="BP273" i="36"/>
  <c r="BQ273" i="36"/>
  <c r="BR273" i="36"/>
  <c r="BS273" i="36"/>
  <c r="BT273" i="36"/>
  <c r="BU273" i="36"/>
  <c r="AR274" i="36"/>
  <c r="AS274" i="36"/>
  <c r="AT274" i="36"/>
  <c r="AU274" i="36"/>
  <c r="AV274" i="36"/>
  <c r="AW274" i="36"/>
  <c r="AX274" i="36"/>
  <c r="AY274" i="36"/>
  <c r="AZ274" i="36"/>
  <c r="BA274" i="36"/>
  <c r="BB274" i="36"/>
  <c r="BK274" i="36"/>
  <c r="BL274" i="36"/>
  <c r="BM274" i="36"/>
  <c r="BN274" i="36"/>
  <c r="BO274" i="36"/>
  <c r="BP274" i="36"/>
  <c r="BQ274" i="36"/>
  <c r="BR274" i="36"/>
  <c r="BS274" i="36"/>
  <c r="BT274" i="36"/>
  <c r="BU274" i="36"/>
  <c r="AQ276" i="36"/>
  <c r="CC276" i="36" s="1"/>
  <c r="AR276" i="36"/>
  <c r="AS276" i="36"/>
  <c r="AT276" i="36"/>
  <c r="AU276" i="36"/>
  <c r="AV276" i="36"/>
  <c r="AW276" i="36"/>
  <c r="AX276" i="36"/>
  <c r="AY276" i="36"/>
  <c r="AZ276" i="36"/>
  <c r="BA276" i="36"/>
  <c r="BB276" i="36"/>
  <c r="BK276" i="36"/>
  <c r="BL276" i="36"/>
  <c r="BM276" i="36"/>
  <c r="BN276" i="36"/>
  <c r="BO276" i="36"/>
  <c r="BP276" i="36"/>
  <c r="BQ276" i="36"/>
  <c r="BR276" i="36"/>
  <c r="BS276" i="36"/>
  <c r="BT276" i="36"/>
  <c r="BU276" i="36"/>
  <c r="AR277" i="36"/>
  <c r="AS277" i="36"/>
  <c r="AT277" i="36"/>
  <c r="AU277" i="36"/>
  <c r="AV277" i="36"/>
  <c r="AW277" i="36"/>
  <c r="AX277" i="36"/>
  <c r="AY277" i="36"/>
  <c r="AZ277" i="36"/>
  <c r="BA277" i="36"/>
  <c r="BB277" i="36"/>
  <c r="BK277" i="36"/>
  <c r="BL277" i="36"/>
  <c r="BM277" i="36"/>
  <c r="BN277" i="36"/>
  <c r="BO277" i="36"/>
  <c r="BP277" i="36"/>
  <c r="BQ277" i="36"/>
  <c r="BR277" i="36"/>
  <c r="BS277" i="36"/>
  <c r="BT277" i="36"/>
  <c r="BU277" i="36"/>
  <c r="AQ279" i="36"/>
  <c r="CC279" i="36" s="1"/>
  <c r="AR279" i="36"/>
  <c r="AS279" i="36"/>
  <c r="AT279" i="36"/>
  <c r="AU279" i="36"/>
  <c r="AV279" i="36"/>
  <c r="AW279" i="36"/>
  <c r="AX279" i="36"/>
  <c r="AY279" i="36"/>
  <c r="AZ279" i="36"/>
  <c r="BA279" i="36"/>
  <c r="BB279" i="36"/>
  <c r="BK279" i="36"/>
  <c r="BL279" i="36"/>
  <c r="BM279" i="36"/>
  <c r="BN279" i="36"/>
  <c r="BO279" i="36"/>
  <c r="BP279" i="36"/>
  <c r="BQ279" i="36"/>
  <c r="BR279" i="36"/>
  <c r="BS279" i="36"/>
  <c r="BT279" i="36"/>
  <c r="BU279" i="36"/>
  <c r="AR280" i="36"/>
  <c r="AS280" i="36"/>
  <c r="AT280" i="36"/>
  <c r="AU280" i="36"/>
  <c r="AV280" i="36"/>
  <c r="AW280" i="36"/>
  <c r="AX280" i="36"/>
  <c r="AY280" i="36"/>
  <c r="AZ280" i="36"/>
  <c r="BA280" i="36"/>
  <c r="BB280" i="36"/>
  <c r="BK280" i="36"/>
  <c r="BL280" i="36"/>
  <c r="BM280" i="36"/>
  <c r="BN280" i="36"/>
  <c r="BO280" i="36"/>
  <c r="BP280" i="36"/>
  <c r="BQ280" i="36"/>
  <c r="BR280" i="36"/>
  <c r="BS280" i="36"/>
  <c r="BT280" i="36"/>
  <c r="BU280" i="36"/>
  <c r="AQ282" i="36"/>
  <c r="CC282" i="36" s="1"/>
  <c r="AR282" i="36"/>
  <c r="AS282" i="36"/>
  <c r="AT282" i="36"/>
  <c r="AU282" i="36"/>
  <c r="AV282" i="36"/>
  <c r="AW282" i="36"/>
  <c r="AX282" i="36"/>
  <c r="AY282" i="36"/>
  <c r="AZ282" i="36"/>
  <c r="BA282" i="36"/>
  <c r="BB282" i="36"/>
  <c r="BK282" i="36"/>
  <c r="BL282" i="36"/>
  <c r="BM282" i="36"/>
  <c r="BN282" i="36"/>
  <c r="BO282" i="36"/>
  <c r="BP282" i="36"/>
  <c r="BQ282" i="36"/>
  <c r="BR282" i="36"/>
  <c r="BS282" i="36"/>
  <c r="BT282" i="36"/>
  <c r="BU282" i="36"/>
  <c r="AR283" i="36"/>
  <c r="AS283" i="36"/>
  <c r="AT283" i="36"/>
  <c r="AU283" i="36"/>
  <c r="AV283" i="36"/>
  <c r="AW283" i="36"/>
  <c r="AX283" i="36"/>
  <c r="AY283" i="36"/>
  <c r="AZ283" i="36"/>
  <c r="BA283" i="36"/>
  <c r="BB283" i="36"/>
  <c r="BK283" i="36"/>
  <c r="BL283" i="36"/>
  <c r="BM283" i="36"/>
  <c r="BN283" i="36"/>
  <c r="BO283" i="36"/>
  <c r="BP283" i="36"/>
  <c r="BQ283" i="36"/>
  <c r="BR283" i="36"/>
  <c r="BS283" i="36"/>
  <c r="BT283" i="36"/>
  <c r="BU283" i="36"/>
  <c r="AQ285" i="36"/>
  <c r="AR285" i="36"/>
  <c r="AS285" i="36"/>
  <c r="AT285" i="36"/>
  <c r="AU285" i="36"/>
  <c r="AV285" i="36"/>
  <c r="AW285" i="36"/>
  <c r="AX285" i="36"/>
  <c r="AY285" i="36"/>
  <c r="AZ285" i="36"/>
  <c r="BA285" i="36"/>
  <c r="BB285" i="36"/>
  <c r="BK285" i="36"/>
  <c r="BL285" i="36"/>
  <c r="BM285" i="36"/>
  <c r="BN285" i="36"/>
  <c r="BO285" i="36"/>
  <c r="BP285" i="36"/>
  <c r="BQ285" i="36"/>
  <c r="BR285" i="36"/>
  <c r="BS285" i="36"/>
  <c r="BT285" i="36"/>
  <c r="BU285" i="36"/>
  <c r="AR286" i="36"/>
  <c r="AS286" i="36"/>
  <c r="AT286" i="36"/>
  <c r="AU286" i="36"/>
  <c r="AV286" i="36"/>
  <c r="AW286" i="36"/>
  <c r="AX286" i="36"/>
  <c r="AY286" i="36"/>
  <c r="AZ286" i="36"/>
  <c r="BA286" i="36"/>
  <c r="BB286" i="36"/>
  <c r="BK286" i="36"/>
  <c r="BL286" i="36"/>
  <c r="BM286" i="36"/>
  <c r="BN286" i="36"/>
  <c r="BO286" i="36"/>
  <c r="BP286" i="36"/>
  <c r="BQ286" i="36"/>
  <c r="BR286" i="36"/>
  <c r="BS286" i="36"/>
  <c r="BT286" i="36"/>
  <c r="BU286" i="36"/>
  <c r="AQ288" i="36"/>
  <c r="AR288" i="36"/>
  <c r="AS288" i="36"/>
  <c r="AT288" i="36"/>
  <c r="AU288" i="36"/>
  <c r="AV288" i="36"/>
  <c r="AW288" i="36"/>
  <c r="AX288" i="36"/>
  <c r="AY288" i="36"/>
  <c r="AZ288" i="36"/>
  <c r="BA288" i="36"/>
  <c r="BB288" i="36"/>
  <c r="BK288" i="36"/>
  <c r="BL288" i="36"/>
  <c r="BM288" i="36"/>
  <c r="BN288" i="36"/>
  <c r="BO288" i="36"/>
  <c r="BP288" i="36"/>
  <c r="BQ288" i="36"/>
  <c r="BR288" i="36"/>
  <c r="BS288" i="36"/>
  <c r="BT288" i="36"/>
  <c r="BU288" i="36"/>
  <c r="AR289" i="36"/>
  <c r="AS289" i="36"/>
  <c r="AT289" i="36"/>
  <c r="AU289" i="36"/>
  <c r="AV289" i="36"/>
  <c r="AW289" i="36"/>
  <c r="AX289" i="36"/>
  <c r="AY289" i="36"/>
  <c r="AZ289" i="36"/>
  <c r="BA289" i="36"/>
  <c r="BB289" i="36"/>
  <c r="BK289" i="36"/>
  <c r="BL289" i="36"/>
  <c r="BM289" i="36"/>
  <c r="BN289" i="36"/>
  <c r="BO289" i="36"/>
  <c r="BP289" i="36"/>
  <c r="BQ289" i="36"/>
  <c r="BR289" i="36"/>
  <c r="BS289" i="36"/>
  <c r="BT289" i="36"/>
  <c r="BU289" i="36"/>
  <c r="AQ291" i="36"/>
  <c r="CC291" i="36" s="1"/>
  <c r="AR291" i="36"/>
  <c r="AS291" i="36"/>
  <c r="AT291" i="36"/>
  <c r="AU291" i="36"/>
  <c r="AV291" i="36"/>
  <c r="AW291" i="36"/>
  <c r="AX291" i="36"/>
  <c r="AY291" i="36"/>
  <c r="AZ291" i="36"/>
  <c r="BA291" i="36"/>
  <c r="BB291" i="36"/>
  <c r="BK291" i="36"/>
  <c r="BL291" i="36"/>
  <c r="BM291" i="36"/>
  <c r="BN291" i="36"/>
  <c r="BO291" i="36"/>
  <c r="BP291" i="36"/>
  <c r="BQ291" i="36"/>
  <c r="BR291" i="36"/>
  <c r="BS291" i="36"/>
  <c r="BT291" i="36"/>
  <c r="BU291" i="36"/>
  <c r="AR292" i="36"/>
  <c r="AS292" i="36"/>
  <c r="AT292" i="36"/>
  <c r="AU292" i="36"/>
  <c r="AV292" i="36"/>
  <c r="AW292" i="36"/>
  <c r="AX292" i="36"/>
  <c r="AY292" i="36"/>
  <c r="AZ292" i="36"/>
  <c r="BA292" i="36"/>
  <c r="BB292" i="36"/>
  <c r="BK292" i="36"/>
  <c r="BL292" i="36"/>
  <c r="BM292" i="36"/>
  <c r="BN292" i="36"/>
  <c r="BO292" i="36"/>
  <c r="BP292" i="36"/>
  <c r="BQ292" i="36"/>
  <c r="BR292" i="36"/>
  <c r="BS292" i="36"/>
  <c r="BT292" i="36"/>
  <c r="BU292" i="36"/>
  <c r="AQ294" i="36"/>
  <c r="CC294" i="36" s="1"/>
  <c r="AR294" i="36"/>
  <c r="AS294" i="36"/>
  <c r="AT294" i="36"/>
  <c r="AU294" i="36"/>
  <c r="AV294" i="36"/>
  <c r="AW294" i="36"/>
  <c r="AX294" i="36"/>
  <c r="AY294" i="36"/>
  <c r="AZ294" i="36"/>
  <c r="BA294" i="36"/>
  <c r="BB294" i="36"/>
  <c r="BK294" i="36"/>
  <c r="BL294" i="36"/>
  <c r="BM294" i="36"/>
  <c r="BN294" i="36"/>
  <c r="BO294" i="36"/>
  <c r="BP294" i="36"/>
  <c r="BQ294" i="36"/>
  <c r="BR294" i="36"/>
  <c r="BS294" i="36"/>
  <c r="BT294" i="36"/>
  <c r="BU294" i="36"/>
  <c r="AR295" i="36"/>
  <c r="AS295" i="36"/>
  <c r="AT295" i="36"/>
  <c r="AU295" i="36"/>
  <c r="AV295" i="36"/>
  <c r="AW295" i="36"/>
  <c r="AX295" i="36"/>
  <c r="AY295" i="36"/>
  <c r="AZ295" i="36"/>
  <c r="BA295" i="36"/>
  <c r="BB295" i="36"/>
  <c r="BK295" i="36"/>
  <c r="BL295" i="36"/>
  <c r="BM295" i="36"/>
  <c r="BN295" i="36"/>
  <c r="BO295" i="36"/>
  <c r="BP295" i="36"/>
  <c r="BQ295" i="36"/>
  <c r="BR295" i="36"/>
  <c r="BS295" i="36"/>
  <c r="BT295" i="36"/>
  <c r="BU295" i="36"/>
  <c r="AQ297" i="36"/>
  <c r="CC297" i="36" s="1"/>
  <c r="AR297" i="36"/>
  <c r="AS297" i="36"/>
  <c r="AT297" i="36"/>
  <c r="AU297" i="36"/>
  <c r="AV297" i="36"/>
  <c r="AW297" i="36"/>
  <c r="AX297" i="36"/>
  <c r="AY297" i="36"/>
  <c r="AZ297" i="36"/>
  <c r="BA297" i="36"/>
  <c r="BB297" i="36"/>
  <c r="BK297" i="36"/>
  <c r="BL297" i="36"/>
  <c r="BM297" i="36"/>
  <c r="BN297" i="36"/>
  <c r="BO297" i="36"/>
  <c r="BP297" i="36"/>
  <c r="BQ297" i="36"/>
  <c r="BR297" i="36"/>
  <c r="BS297" i="36"/>
  <c r="BT297" i="36"/>
  <c r="BU297" i="36"/>
  <c r="AR298" i="36"/>
  <c r="AS298" i="36"/>
  <c r="AT298" i="36"/>
  <c r="AU298" i="36"/>
  <c r="AV298" i="36"/>
  <c r="AW298" i="36"/>
  <c r="AX298" i="36"/>
  <c r="AY298" i="36"/>
  <c r="AZ298" i="36"/>
  <c r="BA298" i="36"/>
  <c r="BB298" i="36"/>
  <c r="BK298" i="36"/>
  <c r="BL298" i="36"/>
  <c r="BM298" i="36"/>
  <c r="BN298" i="36"/>
  <c r="BO298" i="36"/>
  <c r="BP298" i="36"/>
  <c r="BQ298" i="36"/>
  <c r="BR298" i="36"/>
  <c r="BS298" i="36"/>
  <c r="BT298" i="36"/>
  <c r="BU298" i="36"/>
  <c r="AQ300" i="36"/>
  <c r="AR300" i="36"/>
  <c r="AS300" i="36"/>
  <c r="AT300" i="36"/>
  <c r="AU300" i="36"/>
  <c r="AV300" i="36"/>
  <c r="AW300" i="36"/>
  <c r="AX300" i="36"/>
  <c r="AY300" i="36"/>
  <c r="AZ300" i="36"/>
  <c r="BA300" i="36"/>
  <c r="BB300" i="36"/>
  <c r="BK300" i="36"/>
  <c r="BL300" i="36"/>
  <c r="BM300" i="36"/>
  <c r="BN300" i="36"/>
  <c r="BO300" i="36"/>
  <c r="BP300" i="36"/>
  <c r="BQ300" i="36"/>
  <c r="BR300" i="36"/>
  <c r="BS300" i="36"/>
  <c r="BT300" i="36"/>
  <c r="BU300" i="36"/>
  <c r="AR301" i="36"/>
  <c r="AS301" i="36"/>
  <c r="AT301" i="36"/>
  <c r="AU301" i="36"/>
  <c r="AV301" i="36"/>
  <c r="AW301" i="36"/>
  <c r="AX301" i="36"/>
  <c r="AY301" i="36"/>
  <c r="AZ301" i="36"/>
  <c r="BA301" i="36"/>
  <c r="BB301" i="36"/>
  <c r="BK301" i="36"/>
  <c r="BL301" i="36"/>
  <c r="BM301" i="36"/>
  <c r="BN301" i="36"/>
  <c r="BO301" i="36"/>
  <c r="BP301" i="36"/>
  <c r="BQ301" i="36"/>
  <c r="BR301" i="36"/>
  <c r="BS301" i="36"/>
  <c r="BT301" i="36"/>
  <c r="BU301" i="36"/>
  <c r="AQ303" i="36"/>
  <c r="AR303" i="36"/>
  <c r="AS303" i="36"/>
  <c r="AT303" i="36"/>
  <c r="AU303" i="36"/>
  <c r="AV303" i="36"/>
  <c r="AW303" i="36"/>
  <c r="AX303" i="36"/>
  <c r="AY303" i="36"/>
  <c r="AZ303" i="36"/>
  <c r="BA303" i="36"/>
  <c r="BB303" i="36"/>
  <c r="BK303" i="36"/>
  <c r="BL303" i="36"/>
  <c r="BM303" i="36"/>
  <c r="BN303" i="36"/>
  <c r="BO303" i="36"/>
  <c r="BP303" i="36"/>
  <c r="BQ303" i="36"/>
  <c r="BR303" i="36"/>
  <c r="BS303" i="36"/>
  <c r="BT303" i="36"/>
  <c r="BU303" i="36"/>
  <c r="AR304" i="36"/>
  <c r="AS304" i="36"/>
  <c r="AT304" i="36"/>
  <c r="AU304" i="36"/>
  <c r="AV304" i="36"/>
  <c r="AW304" i="36"/>
  <c r="AX304" i="36"/>
  <c r="AY304" i="36"/>
  <c r="AZ304" i="36"/>
  <c r="BA304" i="36"/>
  <c r="BB304" i="36"/>
  <c r="BK304" i="36"/>
  <c r="BL304" i="36"/>
  <c r="BM304" i="36"/>
  <c r="BN304" i="36"/>
  <c r="BO304" i="36"/>
  <c r="BP304" i="36"/>
  <c r="BQ304" i="36"/>
  <c r="BR304" i="36"/>
  <c r="BS304" i="36"/>
  <c r="BT304" i="36"/>
  <c r="BU304" i="36"/>
  <c r="AQ306" i="36"/>
  <c r="AR306" i="36"/>
  <c r="AS306" i="36"/>
  <c r="AT306" i="36"/>
  <c r="AU306" i="36"/>
  <c r="AV306" i="36"/>
  <c r="AW306" i="36"/>
  <c r="AX306" i="36"/>
  <c r="AY306" i="36"/>
  <c r="AZ306" i="36"/>
  <c r="BA306" i="36"/>
  <c r="BB306" i="36"/>
  <c r="BK306" i="36"/>
  <c r="BL306" i="36"/>
  <c r="BM306" i="36"/>
  <c r="BN306" i="36"/>
  <c r="BO306" i="36"/>
  <c r="BP306" i="36"/>
  <c r="BQ306" i="36"/>
  <c r="BR306" i="36"/>
  <c r="BS306" i="36"/>
  <c r="BT306" i="36"/>
  <c r="BU306" i="36"/>
  <c r="AR307" i="36"/>
  <c r="AS307" i="36"/>
  <c r="AT307" i="36"/>
  <c r="AU307" i="36"/>
  <c r="AV307" i="36"/>
  <c r="AW307" i="36"/>
  <c r="AX307" i="36"/>
  <c r="AY307" i="36"/>
  <c r="AZ307" i="36"/>
  <c r="BA307" i="36"/>
  <c r="BB307" i="36"/>
  <c r="BK307" i="36"/>
  <c r="BL307" i="36"/>
  <c r="BM307" i="36"/>
  <c r="BN307" i="36"/>
  <c r="BO307" i="36"/>
  <c r="BP307" i="36"/>
  <c r="BQ307" i="36"/>
  <c r="BR307" i="36"/>
  <c r="BS307" i="36"/>
  <c r="BT307" i="36"/>
  <c r="BU307" i="36"/>
  <c r="AQ309" i="36"/>
  <c r="CC309" i="36" s="1"/>
  <c r="AR309" i="36"/>
  <c r="AS309" i="36"/>
  <c r="AT309" i="36"/>
  <c r="AU309" i="36"/>
  <c r="AV309" i="36"/>
  <c r="AW309" i="36"/>
  <c r="AX309" i="36"/>
  <c r="AY309" i="36"/>
  <c r="AZ309" i="36"/>
  <c r="BA309" i="36"/>
  <c r="BB309" i="36"/>
  <c r="BK309" i="36"/>
  <c r="BL309" i="36"/>
  <c r="BM309" i="36"/>
  <c r="BN309" i="36"/>
  <c r="BO309" i="36"/>
  <c r="BP309" i="36"/>
  <c r="BQ309" i="36"/>
  <c r="BR309" i="36"/>
  <c r="BS309" i="36"/>
  <c r="BT309" i="36"/>
  <c r="BU309" i="36"/>
  <c r="AR310" i="36"/>
  <c r="AS310" i="36"/>
  <c r="AT310" i="36"/>
  <c r="AU310" i="36"/>
  <c r="AV310" i="36"/>
  <c r="AW310" i="36"/>
  <c r="AX310" i="36"/>
  <c r="AY310" i="36"/>
  <c r="AZ310" i="36"/>
  <c r="BA310" i="36"/>
  <c r="BB310" i="36"/>
  <c r="BK310" i="36"/>
  <c r="BL310" i="36"/>
  <c r="BM310" i="36"/>
  <c r="BN310" i="36"/>
  <c r="BO310" i="36"/>
  <c r="BP310" i="36"/>
  <c r="BQ310" i="36"/>
  <c r="BR310" i="36"/>
  <c r="BS310" i="36"/>
  <c r="BT310" i="36"/>
  <c r="BU310" i="36"/>
  <c r="AQ312" i="36"/>
  <c r="CC312" i="36" s="1"/>
  <c r="AR312" i="36"/>
  <c r="AS312" i="36"/>
  <c r="AT312" i="36"/>
  <c r="AU312" i="36"/>
  <c r="AV312" i="36"/>
  <c r="AW312" i="36"/>
  <c r="AX312" i="36"/>
  <c r="AY312" i="36"/>
  <c r="AZ312" i="36"/>
  <c r="BA312" i="36"/>
  <c r="BB312" i="36"/>
  <c r="BK312" i="36"/>
  <c r="BL312" i="36"/>
  <c r="BM312" i="36"/>
  <c r="BN312" i="36"/>
  <c r="BO312" i="36"/>
  <c r="BP312" i="36"/>
  <c r="BQ312" i="36"/>
  <c r="BR312" i="36"/>
  <c r="BS312" i="36"/>
  <c r="BT312" i="36"/>
  <c r="BU312" i="36"/>
  <c r="AR313" i="36"/>
  <c r="AS313" i="36"/>
  <c r="AT313" i="36"/>
  <c r="AU313" i="36"/>
  <c r="AV313" i="36"/>
  <c r="AW313" i="36"/>
  <c r="AX313" i="36"/>
  <c r="AY313" i="36"/>
  <c r="AZ313" i="36"/>
  <c r="BA313" i="36"/>
  <c r="BB313" i="36"/>
  <c r="BK313" i="36"/>
  <c r="BL313" i="36"/>
  <c r="BM313" i="36"/>
  <c r="BN313" i="36"/>
  <c r="BO313" i="36"/>
  <c r="BP313" i="36"/>
  <c r="BQ313" i="36"/>
  <c r="BR313" i="36"/>
  <c r="BS313" i="36"/>
  <c r="BT313" i="36"/>
  <c r="BU313" i="36"/>
  <c r="AQ315" i="36"/>
  <c r="BJ315" i="36" s="1"/>
  <c r="AR315" i="36"/>
  <c r="AS315" i="36"/>
  <c r="AT315" i="36"/>
  <c r="AU315" i="36"/>
  <c r="AV315" i="36"/>
  <c r="AW315" i="36"/>
  <c r="AX315" i="36"/>
  <c r="AY315" i="36"/>
  <c r="AZ315" i="36"/>
  <c r="BA315" i="36"/>
  <c r="BB315" i="36"/>
  <c r="BK315" i="36"/>
  <c r="BL315" i="36"/>
  <c r="BM315" i="36"/>
  <c r="BN315" i="36"/>
  <c r="BO315" i="36"/>
  <c r="BP315" i="36"/>
  <c r="BQ315" i="36"/>
  <c r="BR315" i="36"/>
  <c r="BS315" i="36"/>
  <c r="BT315" i="36"/>
  <c r="BU315" i="36"/>
  <c r="AR316" i="36"/>
  <c r="AS316" i="36"/>
  <c r="AT316" i="36"/>
  <c r="AU316" i="36"/>
  <c r="AV316" i="36"/>
  <c r="AW316" i="36"/>
  <c r="AX316" i="36"/>
  <c r="AY316" i="36"/>
  <c r="AZ316" i="36"/>
  <c r="BA316" i="36"/>
  <c r="BB316" i="36"/>
  <c r="BK316" i="36"/>
  <c r="BL316" i="36"/>
  <c r="BM316" i="36"/>
  <c r="BN316" i="36"/>
  <c r="BO316" i="36"/>
  <c r="BP316" i="36"/>
  <c r="BQ316" i="36"/>
  <c r="BR316" i="36"/>
  <c r="BS316" i="36"/>
  <c r="BT316" i="36"/>
  <c r="BU316" i="36"/>
  <c r="AQ318" i="36"/>
  <c r="CC318" i="36" s="1"/>
  <c r="AR318" i="36"/>
  <c r="AS318" i="36"/>
  <c r="AT318" i="36"/>
  <c r="AU318" i="36"/>
  <c r="AV318" i="36"/>
  <c r="AW318" i="36"/>
  <c r="AX318" i="36"/>
  <c r="AY318" i="36"/>
  <c r="AZ318" i="36"/>
  <c r="BA318" i="36"/>
  <c r="BB318" i="36"/>
  <c r="BK318" i="36"/>
  <c r="BL318" i="36"/>
  <c r="BM318" i="36"/>
  <c r="BO318" i="36"/>
  <c r="BP318" i="36"/>
  <c r="BQ318" i="36"/>
  <c r="BR318" i="36"/>
  <c r="BS318" i="36"/>
  <c r="BT318" i="36"/>
  <c r="BU318" i="36"/>
  <c r="AR319" i="36"/>
  <c r="AS319" i="36"/>
  <c r="AT319" i="36"/>
  <c r="AU319" i="36"/>
  <c r="AV319" i="36"/>
  <c r="AW319" i="36"/>
  <c r="AX319" i="36"/>
  <c r="AY319" i="36"/>
  <c r="AZ319" i="36"/>
  <c r="BA319" i="36"/>
  <c r="BB319" i="36"/>
  <c r="BK319" i="36"/>
  <c r="BL319" i="36"/>
  <c r="BM319" i="36"/>
  <c r="BO319" i="36"/>
  <c r="BP319" i="36"/>
  <c r="BQ319" i="36"/>
  <c r="BR319" i="36"/>
  <c r="BS319" i="36"/>
  <c r="BT319" i="36"/>
  <c r="BU319" i="36"/>
  <c r="AQ321" i="36"/>
  <c r="CC321" i="36" s="1"/>
  <c r="AR321" i="36"/>
  <c r="AS321" i="36"/>
  <c r="AT321" i="36"/>
  <c r="AU321" i="36"/>
  <c r="AV321" i="36"/>
  <c r="AW321" i="36"/>
  <c r="AX321" i="36"/>
  <c r="AY321" i="36"/>
  <c r="AZ321" i="36"/>
  <c r="BA321" i="36"/>
  <c r="BB321" i="36"/>
  <c r="BK321" i="36"/>
  <c r="BL321" i="36"/>
  <c r="BM321" i="36"/>
  <c r="BO321" i="36"/>
  <c r="BP321" i="36"/>
  <c r="BQ321" i="36"/>
  <c r="BR321" i="36"/>
  <c r="BS321" i="36"/>
  <c r="BT321" i="36"/>
  <c r="BU321" i="36"/>
  <c r="AR322" i="36"/>
  <c r="AS322" i="36"/>
  <c r="AT322" i="36"/>
  <c r="AU322" i="36"/>
  <c r="AV322" i="36"/>
  <c r="AW322" i="36"/>
  <c r="AX322" i="36"/>
  <c r="AY322" i="36"/>
  <c r="AZ322" i="36"/>
  <c r="BA322" i="36"/>
  <c r="BB322" i="36"/>
  <c r="BK322" i="36"/>
  <c r="BL322" i="36"/>
  <c r="BM322" i="36"/>
  <c r="BO322" i="36"/>
  <c r="BP322" i="36"/>
  <c r="BQ322" i="36"/>
  <c r="BR322" i="36"/>
  <c r="BS322" i="36"/>
  <c r="BT322" i="36"/>
  <c r="BU322" i="36"/>
  <c r="AQ324" i="36"/>
  <c r="AR324" i="36"/>
  <c r="AS324" i="36"/>
  <c r="AT324" i="36"/>
  <c r="AU324" i="36"/>
  <c r="AV324" i="36"/>
  <c r="AW324" i="36"/>
  <c r="AX324" i="36"/>
  <c r="AY324" i="36"/>
  <c r="AZ324" i="36"/>
  <c r="BA324" i="36"/>
  <c r="BB324" i="36"/>
  <c r="BK324" i="36"/>
  <c r="BL324" i="36"/>
  <c r="BM324" i="36"/>
  <c r="BO324" i="36"/>
  <c r="BP324" i="36"/>
  <c r="BQ324" i="36"/>
  <c r="BR324" i="36"/>
  <c r="BS324" i="36"/>
  <c r="BT324" i="36"/>
  <c r="BU324" i="36"/>
  <c r="AR325" i="36"/>
  <c r="AS325" i="36"/>
  <c r="AT325" i="36"/>
  <c r="AU325" i="36"/>
  <c r="AV325" i="36"/>
  <c r="AW325" i="36"/>
  <c r="AX325" i="36"/>
  <c r="AY325" i="36"/>
  <c r="AZ325" i="36"/>
  <c r="BA325" i="36"/>
  <c r="BB325" i="36"/>
  <c r="BK325" i="36"/>
  <c r="BL325" i="36"/>
  <c r="BM325" i="36"/>
  <c r="BO325" i="36"/>
  <c r="BP325" i="36"/>
  <c r="BQ325" i="36"/>
  <c r="BR325" i="36"/>
  <c r="BS325" i="36"/>
  <c r="BT325" i="36"/>
  <c r="BU325" i="36"/>
  <c r="AQ327" i="36"/>
  <c r="AR327" i="36"/>
  <c r="AS327" i="36"/>
  <c r="AT327" i="36"/>
  <c r="AU327" i="36"/>
  <c r="AV327" i="36"/>
  <c r="AW327" i="36"/>
  <c r="AX327" i="36"/>
  <c r="AY327" i="36"/>
  <c r="AZ327" i="36"/>
  <c r="BA327" i="36"/>
  <c r="BB327" i="36"/>
  <c r="BK327" i="36"/>
  <c r="BL327" i="36"/>
  <c r="BM327" i="36"/>
  <c r="BN327" i="36"/>
  <c r="BO327" i="36"/>
  <c r="BP327" i="36"/>
  <c r="BQ327" i="36"/>
  <c r="BR327" i="36"/>
  <c r="BS327" i="36"/>
  <c r="BT327" i="36"/>
  <c r="BU327" i="36"/>
  <c r="AR328" i="36"/>
  <c r="AS328" i="36"/>
  <c r="AT328" i="36"/>
  <c r="AU328" i="36"/>
  <c r="AV328" i="36"/>
  <c r="AW328" i="36"/>
  <c r="AX328" i="36"/>
  <c r="AY328" i="36"/>
  <c r="AZ328" i="36"/>
  <c r="BA328" i="36"/>
  <c r="BB328" i="36"/>
  <c r="BK328" i="36"/>
  <c r="BL328" i="36"/>
  <c r="BM328" i="36"/>
  <c r="BN328" i="36"/>
  <c r="BO328" i="36"/>
  <c r="BP328" i="36"/>
  <c r="BQ328" i="36"/>
  <c r="BR328" i="36"/>
  <c r="BS328" i="36"/>
  <c r="BT328" i="36"/>
  <c r="BU328" i="36"/>
  <c r="AQ330" i="36"/>
  <c r="CC330" i="36" s="1"/>
  <c r="AR330" i="36"/>
  <c r="AS330" i="36"/>
  <c r="AT330" i="36"/>
  <c r="AU330" i="36"/>
  <c r="AV330" i="36"/>
  <c r="AW330" i="36"/>
  <c r="AX330" i="36"/>
  <c r="AY330" i="36"/>
  <c r="AZ330" i="36"/>
  <c r="BA330" i="36"/>
  <c r="BB330" i="36"/>
  <c r="BK330" i="36"/>
  <c r="BL330" i="36"/>
  <c r="BM330" i="36"/>
  <c r="BN330" i="36"/>
  <c r="BO330" i="36"/>
  <c r="BP330" i="36"/>
  <c r="BQ330" i="36"/>
  <c r="BR330" i="36"/>
  <c r="BS330" i="36"/>
  <c r="BT330" i="36"/>
  <c r="BU330" i="36"/>
  <c r="AR331" i="36"/>
  <c r="AS331" i="36"/>
  <c r="AT331" i="36"/>
  <c r="AU331" i="36"/>
  <c r="AV331" i="36"/>
  <c r="AW331" i="36"/>
  <c r="AX331" i="36"/>
  <c r="AY331" i="36"/>
  <c r="AZ331" i="36"/>
  <c r="BA331" i="36"/>
  <c r="BB331" i="36"/>
  <c r="BK331" i="36"/>
  <c r="BL331" i="36"/>
  <c r="BM331" i="36"/>
  <c r="BN331" i="36"/>
  <c r="BO331" i="36"/>
  <c r="BP331" i="36"/>
  <c r="BQ331" i="36"/>
  <c r="BR331" i="36"/>
  <c r="BS331" i="36"/>
  <c r="BT331" i="36"/>
  <c r="BU331" i="36"/>
  <c r="AQ333" i="36"/>
  <c r="AR333" i="36"/>
  <c r="AS333" i="36"/>
  <c r="AT333" i="36"/>
  <c r="AU333" i="36"/>
  <c r="AV333" i="36"/>
  <c r="AW333" i="36"/>
  <c r="AX333" i="36"/>
  <c r="AY333" i="36"/>
  <c r="AZ333" i="36"/>
  <c r="BA333" i="36"/>
  <c r="BB333" i="36"/>
  <c r="BK333" i="36"/>
  <c r="BL333" i="36"/>
  <c r="BM333" i="36"/>
  <c r="BN333" i="36"/>
  <c r="BO333" i="36"/>
  <c r="BP333" i="36"/>
  <c r="BQ333" i="36"/>
  <c r="BR333" i="36"/>
  <c r="BS333" i="36"/>
  <c r="BT333" i="36"/>
  <c r="BU333" i="36"/>
  <c r="AR334" i="36"/>
  <c r="AS334" i="36"/>
  <c r="AT334" i="36"/>
  <c r="AU334" i="36"/>
  <c r="AV334" i="36"/>
  <c r="AW334" i="36"/>
  <c r="AX334" i="36"/>
  <c r="AY334" i="36"/>
  <c r="AZ334" i="36"/>
  <c r="BA334" i="36"/>
  <c r="BB334" i="36"/>
  <c r="BK334" i="36"/>
  <c r="BL334" i="36"/>
  <c r="BM334" i="36"/>
  <c r="BN334" i="36"/>
  <c r="BO334" i="36"/>
  <c r="BP334" i="36"/>
  <c r="BQ334" i="36"/>
  <c r="BR334" i="36"/>
  <c r="BS334" i="36"/>
  <c r="BT334" i="36"/>
  <c r="BU334" i="36"/>
  <c r="AQ336" i="36"/>
  <c r="CC336" i="36" s="1"/>
  <c r="AR336" i="36"/>
  <c r="AS336" i="36"/>
  <c r="AT336" i="36"/>
  <c r="AU336" i="36"/>
  <c r="AV336" i="36"/>
  <c r="AW336" i="36"/>
  <c r="AX336" i="36"/>
  <c r="AY336" i="36"/>
  <c r="AZ336" i="36"/>
  <c r="BA336" i="36"/>
  <c r="BB336" i="36"/>
  <c r="BK336" i="36"/>
  <c r="BL336" i="36"/>
  <c r="BM336" i="36"/>
  <c r="BN336" i="36"/>
  <c r="BO336" i="36"/>
  <c r="BP336" i="36"/>
  <c r="BQ336" i="36"/>
  <c r="BR336" i="36"/>
  <c r="BS336" i="36"/>
  <c r="BT336" i="36"/>
  <c r="BU336" i="36"/>
  <c r="AR337" i="36"/>
  <c r="AS337" i="36"/>
  <c r="AT337" i="36"/>
  <c r="AU337" i="36"/>
  <c r="AV337" i="36"/>
  <c r="AW337" i="36"/>
  <c r="AX337" i="36"/>
  <c r="AY337" i="36"/>
  <c r="AZ337" i="36"/>
  <c r="BA337" i="36"/>
  <c r="BB337" i="36"/>
  <c r="BK337" i="36"/>
  <c r="BL337" i="36"/>
  <c r="BM337" i="36"/>
  <c r="BN337" i="36"/>
  <c r="BO337" i="36"/>
  <c r="BP337" i="36"/>
  <c r="BQ337" i="36"/>
  <c r="BR337" i="36"/>
  <c r="BS337" i="36"/>
  <c r="BT337" i="36"/>
  <c r="BU337" i="36"/>
  <c r="AQ339" i="36"/>
  <c r="AR339" i="36"/>
  <c r="AS339" i="36"/>
  <c r="AT339" i="36"/>
  <c r="AU339" i="36"/>
  <c r="AV339" i="36"/>
  <c r="AW339" i="36"/>
  <c r="AX339" i="36"/>
  <c r="AY339" i="36"/>
  <c r="AZ339" i="36"/>
  <c r="BA339" i="36"/>
  <c r="BB339" i="36"/>
  <c r="BK339" i="36"/>
  <c r="BL339" i="36"/>
  <c r="BM339" i="36"/>
  <c r="BN339" i="36"/>
  <c r="BO339" i="36"/>
  <c r="BP339" i="36"/>
  <c r="BQ339" i="36"/>
  <c r="BR339" i="36"/>
  <c r="BS339" i="36"/>
  <c r="BT339" i="36"/>
  <c r="BU339" i="36"/>
  <c r="AR340" i="36"/>
  <c r="AS340" i="36"/>
  <c r="AT340" i="36"/>
  <c r="AU340" i="36"/>
  <c r="AV340" i="36"/>
  <c r="AW340" i="36"/>
  <c r="AX340" i="36"/>
  <c r="AY340" i="36"/>
  <c r="AZ340" i="36"/>
  <c r="BA340" i="36"/>
  <c r="BB340" i="36"/>
  <c r="BK340" i="36"/>
  <c r="BL340" i="36"/>
  <c r="BM340" i="36"/>
  <c r="BN340" i="36"/>
  <c r="BO340" i="36"/>
  <c r="BP340" i="36"/>
  <c r="BQ340" i="36"/>
  <c r="BR340" i="36"/>
  <c r="BS340" i="36"/>
  <c r="BT340" i="36"/>
  <c r="BU340" i="36"/>
  <c r="AQ342" i="36"/>
  <c r="CC342" i="36" s="1"/>
  <c r="AR342" i="36"/>
  <c r="AS342" i="36"/>
  <c r="AT342" i="36"/>
  <c r="AU342" i="36"/>
  <c r="AV342" i="36"/>
  <c r="AW342" i="36"/>
  <c r="AX342" i="36"/>
  <c r="AY342" i="36"/>
  <c r="AZ342" i="36"/>
  <c r="BA342" i="36"/>
  <c r="BB342" i="36"/>
  <c r="BK342" i="36"/>
  <c r="BL342" i="36"/>
  <c r="BM342" i="36"/>
  <c r="BN342" i="36"/>
  <c r="BO342" i="36"/>
  <c r="BP342" i="36"/>
  <c r="BQ342" i="36"/>
  <c r="BR342" i="36"/>
  <c r="BS342" i="36"/>
  <c r="BT342" i="36"/>
  <c r="BU342" i="36"/>
  <c r="AR343" i="36"/>
  <c r="AS343" i="36"/>
  <c r="AT343" i="36"/>
  <c r="AU343" i="36"/>
  <c r="AV343" i="36"/>
  <c r="AW343" i="36"/>
  <c r="AX343" i="36"/>
  <c r="AY343" i="36"/>
  <c r="AZ343" i="36"/>
  <c r="BA343" i="36"/>
  <c r="BB343" i="36"/>
  <c r="BK343" i="36"/>
  <c r="BL343" i="36"/>
  <c r="BM343" i="36"/>
  <c r="BN343" i="36"/>
  <c r="BO343" i="36"/>
  <c r="BP343" i="36"/>
  <c r="BQ343" i="36"/>
  <c r="BR343" i="36"/>
  <c r="BS343" i="36"/>
  <c r="BT343" i="36"/>
  <c r="BU343" i="36"/>
  <c r="AQ345" i="36"/>
  <c r="CC345" i="36" s="1"/>
  <c r="AR345" i="36"/>
  <c r="AS345" i="36"/>
  <c r="AT345" i="36"/>
  <c r="AU345" i="36"/>
  <c r="AV345" i="36"/>
  <c r="AW345" i="36"/>
  <c r="AX345" i="36"/>
  <c r="AY345" i="36"/>
  <c r="AZ345" i="36"/>
  <c r="BA345" i="36"/>
  <c r="BB345" i="36"/>
  <c r="BK345" i="36"/>
  <c r="BL345" i="36"/>
  <c r="BM345" i="36"/>
  <c r="BN345" i="36"/>
  <c r="BO345" i="36"/>
  <c r="BP345" i="36"/>
  <c r="BQ345" i="36"/>
  <c r="BR345" i="36"/>
  <c r="BS345" i="36"/>
  <c r="BT345" i="36"/>
  <c r="BU345" i="36"/>
  <c r="AR346" i="36"/>
  <c r="AS346" i="36"/>
  <c r="AT346" i="36"/>
  <c r="AU346" i="36"/>
  <c r="AV346" i="36"/>
  <c r="AW346" i="36"/>
  <c r="AX346" i="36"/>
  <c r="AY346" i="36"/>
  <c r="AZ346" i="36"/>
  <c r="BA346" i="36"/>
  <c r="BB346" i="36"/>
  <c r="BK346" i="36"/>
  <c r="BL346" i="36"/>
  <c r="BM346" i="36"/>
  <c r="BN346" i="36"/>
  <c r="BO346" i="36"/>
  <c r="BP346" i="36"/>
  <c r="BQ346" i="36"/>
  <c r="BR346" i="36"/>
  <c r="BS346" i="36"/>
  <c r="BT346" i="36"/>
  <c r="BU346" i="36"/>
  <c r="AQ348" i="36"/>
  <c r="CC348" i="36" s="1"/>
  <c r="AR348" i="36"/>
  <c r="AS348" i="36"/>
  <c r="AT348" i="36"/>
  <c r="AU348" i="36"/>
  <c r="AV348" i="36"/>
  <c r="AW348" i="36"/>
  <c r="AX348" i="36"/>
  <c r="AY348" i="36"/>
  <c r="AZ348" i="36"/>
  <c r="BA348" i="36"/>
  <c r="BB348" i="36"/>
  <c r="BK348" i="36"/>
  <c r="BL348" i="36"/>
  <c r="BM348" i="36"/>
  <c r="BN348" i="36"/>
  <c r="BO348" i="36"/>
  <c r="BP348" i="36"/>
  <c r="BQ348" i="36"/>
  <c r="BR348" i="36"/>
  <c r="BS348" i="36"/>
  <c r="BT348" i="36"/>
  <c r="BU348" i="36"/>
  <c r="AR349" i="36"/>
  <c r="AS349" i="36"/>
  <c r="AT349" i="36"/>
  <c r="AU349" i="36"/>
  <c r="AV349" i="36"/>
  <c r="AW349" i="36"/>
  <c r="AX349" i="36"/>
  <c r="AY349" i="36"/>
  <c r="AZ349" i="36"/>
  <c r="BA349" i="36"/>
  <c r="BB349" i="36"/>
  <c r="BK349" i="36"/>
  <c r="BL349" i="36"/>
  <c r="BM349" i="36"/>
  <c r="BN349" i="36"/>
  <c r="BO349" i="36"/>
  <c r="BP349" i="36"/>
  <c r="BQ349" i="36"/>
  <c r="BR349" i="36"/>
  <c r="BS349" i="36"/>
  <c r="BT349" i="36"/>
  <c r="BU349" i="36"/>
  <c r="AQ351" i="36"/>
  <c r="AR351" i="36"/>
  <c r="AS351" i="36"/>
  <c r="AT351" i="36"/>
  <c r="AU351" i="36"/>
  <c r="AV351" i="36"/>
  <c r="AW351" i="36"/>
  <c r="AX351" i="36"/>
  <c r="AY351" i="36"/>
  <c r="AZ351" i="36"/>
  <c r="BA351" i="36"/>
  <c r="BB351" i="36"/>
  <c r="BK351" i="36"/>
  <c r="BL351" i="36"/>
  <c r="BM351" i="36"/>
  <c r="BN351" i="36"/>
  <c r="BO351" i="36"/>
  <c r="BP351" i="36"/>
  <c r="BQ351" i="36"/>
  <c r="BR351" i="36"/>
  <c r="BS351" i="36"/>
  <c r="BT351" i="36"/>
  <c r="BU351" i="36"/>
  <c r="AR352" i="36"/>
  <c r="AS352" i="36"/>
  <c r="AT352" i="36"/>
  <c r="AU352" i="36"/>
  <c r="AV352" i="36"/>
  <c r="AW352" i="36"/>
  <c r="AX352" i="36"/>
  <c r="AY352" i="36"/>
  <c r="AZ352" i="36"/>
  <c r="BA352" i="36"/>
  <c r="BB352" i="36"/>
  <c r="BK352" i="36"/>
  <c r="BL352" i="36"/>
  <c r="BM352" i="36"/>
  <c r="BN352" i="36"/>
  <c r="BO352" i="36"/>
  <c r="BP352" i="36"/>
  <c r="BQ352" i="36"/>
  <c r="BR352" i="36"/>
  <c r="BS352" i="36"/>
  <c r="BT352" i="36"/>
  <c r="BU352" i="36"/>
  <c r="AQ354" i="36"/>
  <c r="AR354" i="36"/>
  <c r="AS354" i="36"/>
  <c r="AT354" i="36"/>
  <c r="AU354" i="36"/>
  <c r="AV354" i="36"/>
  <c r="AW354" i="36"/>
  <c r="AX354" i="36"/>
  <c r="AY354" i="36"/>
  <c r="AZ354" i="36"/>
  <c r="BA354" i="36"/>
  <c r="BB354" i="36"/>
  <c r="BK354" i="36"/>
  <c r="BL354" i="36"/>
  <c r="BM354" i="36"/>
  <c r="BN354" i="36"/>
  <c r="BO354" i="36"/>
  <c r="BP354" i="36"/>
  <c r="BQ354" i="36"/>
  <c r="BR354" i="36"/>
  <c r="BS354" i="36"/>
  <c r="BT354" i="36"/>
  <c r="BU354" i="36"/>
  <c r="AR355" i="36"/>
  <c r="AS355" i="36"/>
  <c r="AT355" i="36"/>
  <c r="AU355" i="36"/>
  <c r="AV355" i="36"/>
  <c r="AW355" i="36"/>
  <c r="AX355" i="36"/>
  <c r="AY355" i="36"/>
  <c r="AZ355" i="36"/>
  <c r="BA355" i="36"/>
  <c r="BB355" i="36"/>
  <c r="BK355" i="36"/>
  <c r="BL355" i="36"/>
  <c r="BM355" i="36"/>
  <c r="BN355" i="36"/>
  <c r="BO355" i="36"/>
  <c r="BP355" i="36"/>
  <c r="BQ355" i="36"/>
  <c r="BR355" i="36"/>
  <c r="BS355" i="36"/>
  <c r="BT355" i="36"/>
  <c r="BU355" i="36"/>
  <c r="AQ357" i="36"/>
  <c r="AR357" i="36"/>
  <c r="AS357" i="36"/>
  <c r="AT357" i="36"/>
  <c r="AU357" i="36"/>
  <c r="AV357" i="36"/>
  <c r="AW357" i="36"/>
  <c r="AX357" i="36"/>
  <c r="AY357" i="36"/>
  <c r="AZ357" i="36"/>
  <c r="BA357" i="36"/>
  <c r="BB357" i="36"/>
  <c r="BK357" i="36"/>
  <c r="BL357" i="36"/>
  <c r="BM357" i="36"/>
  <c r="BN357" i="36"/>
  <c r="BO357" i="36"/>
  <c r="BP357" i="36"/>
  <c r="BQ357" i="36"/>
  <c r="BR357" i="36"/>
  <c r="BS357" i="36"/>
  <c r="BT357" i="36"/>
  <c r="BU357" i="36"/>
  <c r="AR358" i="36"/>
  <c r="AS358" i="36"/>
  <c r="AT358" i="36"/>
  <c r="AU358" i="36"/>
  <c r="AV358" i="36"/>
  <c r="AW358" i="36"/>
  <c r="AX358" i="36"/>
  <c r="AY358" i="36"/>
  <c r="AZ358" i="36"/>
  <c r="BA358" i="36"/>
  <c r="BB358" i="36"/>
  <c r="BK358" i="36"/>
  <c r="BL358" i="36"/>
  <c r="BM358" i="36"/>
  <c r="BN358" i="36"/>
  <c r="BO358" i="36"/>
  <c r="BP358" i="36"/>
  <c r="BQ358" i="36"/>
  <c r="BR358" i="36"/>
  <c r="BS358" i="36"/>
  <c r="BT358" i="36"/>
  <c r="BU358" i="36"/>
  <c r="AQ360" i="36"/>
  <c r="CC360" i="36" s="1"/>
  <c r="AR360" i="36"/>
  <c r="AS360" i="36"/>
  <c r="AT360" i="36"/>
  <c r="AU360" i="36"/>
  <c r="AV360" i="36"/>
  <c r="AW360" i="36"/>
  <c r="AX360" i="36"/>
  <c r="AY360" i="36"/>
  <c r="AZ360" i="36"/>
  <c r="BA360" i="36"/>
  <c r="BB360" i="36"/>
  <c r="BK360" i="36"/>
  <c r="BL360" i="36"/>
  <c r="BM360" i="36"/>
  <c r="BN360" i="36"/>
  <c r="BO360" i="36"/>
  <c r="BP360" i="36"/>
  <c r="BQ360" i="36"/>
  <c r="BR360" i="36"/>
  <c r="BS360" i="36"/>
  <c r="BT360" i="36"/>
  <c r="BU360" i="36"/>
  <c r="AR361" i="36"/>
  <c r="AS361" i="36"/>
  <c r="AT361" i="36"/>
  <c r="AU361" i="36"/>
  <c r="AV361" i="36"/>
  <c r="AW361" i="36"/>
  <c r="AX361" i="36"/>
  <c r="AY361" i="36"/>
  <c r="AZ361" i="36"/>
  <c r="BA361" i="36"/>
  <c r="BB361" i="36"/>
  <c r="BK361" i="36"/>
  <c r="BL361" i="36"/>
  <c r="BM361" i="36"/>
  <c r="BN361" i="36"/>
  <c r="BO361" i="36"/>
  <c r="BP361" i="36"/>
  <c r="BQ361" i="36"/>
  <c r="BR361" i="36"/>
  <c r="BS361" i="36"/>
  <c r="BT361" i="36"/>
  <c r="BU361" i="36"/>
  <c r="AQ363" i="36"/>
  <c r="AR363" i="36"/>
  <c r="AS363" i="36"/>
  <c r="AT363" i="36"/>
  <c r="AU363" i="36"/>
  <c r="AV363" i="36"/>
  <c r="AW363" i="36"/>
  <c r="AX363" i="36"/>
  <c r="AY363" i="36"/>
  <c r="AZ363" i="36"/>
  <c r="BA363" i="36"/>
  <c r="BB363" i="36"/>
  <c r="BK363" i="36"/>
  <c r="BL363" i="36"/>
  <c r="BM363" i="36"/>
  <c r="BN363" i="36"/>
  <c r="BO363" i="36"/>
  <c r="BP363" i="36"/>
  <c r="BQ363" i="36"/>
  <c r="BR363" i="36"/>
  <c r="BS363" i="36"/>
  <c r="BT363" i="36"/>
  <c r="BU363" i="36"/>
  <c r="AR364" i="36"/>
  <c r="AS364" i="36"/>
  <c r="AT364" i="36"/>
  <c r="AU364" i="36"/>
  <c r="AV364" i="36"/>
  <c r="AW364" i="36"/>
  <c r="AX364" i="36"/>
  <c r="AY364" i="36"/>
  <c r="AZ364" i="36"/>
  <c r="BA364" i="36"/>
  <c r="BB364" i="36"/>
  <c r="BK364" i="36"/>
  <c r="BL364" i="36"/>
  <c r="BM364" i="36"/>
  <c r="BN364" i="36"/>
  <c r="BO364" i="36"/>
  <c r="BP364" i="36"/>
  <c r="BQ364" i="36"/>
  <c r="BR364" i="36"/>
  <c r="BS364" i="36"/>
  <c r="BT364" i="36"/>
  <c r="BU364" i="36"/>
  <c r="AQ366" i="36"/>
  <c r="AR366" i="36"/>
  <c r="AS366" i="36"/>
  <c r="AT366" i="36"/>
  <c r="AU366" i="36"/>
  <c r="AV366" i="36"/>
  <c r="AW366" i="36"/>
  <c r="AX366" i="36"/>
  <c r="AY366" i="36"/>
  <c r="AZ366" i="36"/>
  <c r="BA366" i="36"/>
  <c r="BB366" i="36"/>
  <c r="BK366" i="36"/>
  <c r="BL366" i="36"/>
  <c r="BM366" i="36"/>
  <c r="BN366" i="36"/>
  <c r="BO366" i="36"/>
  <c r="BP366" i="36"/>
  <c r="BQ366" i="36"/>
  <c r="BR366" i="36"/>
  <c r="BS366" i="36"/>
  <c r="BT366" i="36"/>
  <c r="BU366" i="36"/>
  <c r="AR367" i="36"/>
  <c r="AS367" i="36"/>
  <c r="AT367" i="36"/>
  <c r="AU367" i="36"/>
  <c r="AV367" i="36"/>
  <c r="AW367" i="36"/>
  <c r="AX367" i="36"/>
  <c r="AY367" i="36"/>
  <c r="AZ367" i="36"/>
  <c r="BA367" i="36"/>
  <c r="BB367" i="36"/>
  <c r="BK367" i="36"/>
  <c r="BL367" i="36"/>
  <c r="BM367" i="36"/>
  <c r="BN367" i="36"/>
  <c r="BO367" i="36"/>
  <c r="BP367" i="36"/>
  <c r="BQ367" i="36"/>
  <c r="BR367" i="36"/>
  <c r="BS367" i="36"/>
  <c r="BT367" i="36"/>
  <c r="BU367" i="36"/>
  <c r="AQ369" i="36"/>
  <c r="AR369" i="36"/>
  <c r="AS369" i="36"/>
  <c r="AT369" i="36"/>
  <c r="AU369" i="36"/>
  <c r="AV369" i="36"/>
  <c r="AW369" i="36"/>
  <c r="AX369" i="36"/>
  <c r="AY369" i="36"/>
  <c r="AZ369" i="36"/>
  <c r="BA369" i="36"/>
  <c r="BB369" i="36"/>
  <c r="BK369" i="36"/>
  <c r="BL369" i="36"/>
  <c r="BM369" i="36"/>
  <c r="BN369" i="36"/>
  <c r="BO369" i="36"/>
  <c r="BP369" i="36"/>
  <c r="BQ369" i="36"/>
  <c r="BR369" i="36"/>
  <c r="BS369" i="36"/>
  <c r="BT369" i="36"/>
  <c r="BU369" i="36"/>
  <c r="AR370" i="36"/>
  <c r="AS370" i="36"/>
  <c r="AT370" i="36"/>
  <c r="AU370" i="36"/>
  <c r="AV370" i="36"/>
  <c r="AW370" i="36"/>
  <c r="AX370" i="36"/>
  <c r="AY370" i="36"/>
  <c r="AZ370" i="36"/>
  <c r="BA370" i="36"/>
  <c r="BB370" i="36"/>
  <c r="BK370" i="36"/>
  <c r="BL370" i="36"/>
  <c r="BM370" i="36"/>
  <c r="BN370" i="36"/>
  <c r="BO370" i="36"/>
  <c r="BP370" i="36"/>
  <c r="BQ370" i="36"/>
  <c r="BR370" i="36"/>
  <c r="BS370" i="36"/>
  <c r="BT370" i="36"/>
  <c r="BU370" i="36"/>
  <c r="AQ372" i="36"/>
  <c r="CC372" i="36" s="1"/>
  <c r="AR372" i="36"/>
  <c r="AS372" i="36"/>
  <c r="AT372" i="36"/>
  <c r="AU372" i="36"/>
  <c r="AV372" i="36"/>
  <c r="AW372" i="36"/>
  <c r="AX372" i="36"/>
  <c r="AY372" i="36"/>
  <c r="AZ372" i="36"/>
  <c r="BA372" i="36"/>
  <c r="BB372" i="36"/>
  <c r="BK372" i="36"/>
  <c r="BL372" i="36"/>
  <c r="BM372" i="36"/>
  <c r="BN372" i="36"/>
  <c r="BO372" i="36"/>
  <c r="BP372" i="36"/>
  <c r="BQ372" i="36"/>
  <c r="BR372" i="36"/>
  <c r="BS372" i="36"/>
  <c r="BT372" i="36"/>
  <c r="BU372" i="36"/>
  <c r="AR373" i="36"/>
  <c r="AS373" i="36"/>
  <c r="AT373" i="36"/>
  <c r="AU373" i="36"/>
  <c r="AV373" i="36"/>
  <c r="AW373" i="36"/>
  <c r="AX373" i="36"/>
  <c r="AY373" i="36"/>
  <c r="AZ373" i="36"/>
  <c r="BA373" i="36"/>
  <c r="BB373" i="36"/>
  <c r="BK373" i="36"/>
  <c r="BL373" i="36"/>
  <c r="BM373" i="36"/>
  <c r="BN373" i="36"/>
  <c r="BO373" i="36"/>
  <c r="BP373" i="36"/>
  <c r="BQ373" i="36"/>
  <c r="BR373" i="36"/>
  <c r="BS373" i="36"/>
  <c r="BT373" i="36"/>
  <c r="BU373" i="36"/>
  <c r="AQ375" i="36"/>
  <c r="AR375" i="36"/>
  <c r="AS375" i="36"/>
  <c r="AT375" i="36"/>
  <c r="AU375" i="36"/>
  <c r="AV375" i="36"/>
  <c r="AW375" i="36"/>
  <c r="AX375" i="36"/>
  <c r="AY375" i="36"/>
  <c r="AZ375" i="36"/>
  <c r="BA375" i="36"/>
  <c r="BB375" i="36"/>
  <c r="BK375" i="36"/>
  <c r="BL375" i="36"/>
  <c r="BM375" i="36"/>
  <c r="BN375" i="36"/>
  <c r="BO375" i="36"/>
  <c r="BP375" i="36"/>
  <c r="BQ375" i="36"/>
  <c r="BR375" i="36"/>
  <c r="BS375" i="36"/>
  <c r="BT375" i="36"/>
  <c r="BU375" i="36"/>
  <c r="AR376" i="36"/>
  <c r="AS376" i="36"/>
  <c r="AT376" i="36"/>
  <c r="AU376" i="36"/>
  <c r="AV376" i="36"/>
  <c r="AW376" i="36"/>
  <c r="AX376" i="36"/>
  <c r="AY376" i="36"/>
  <c r="AZ376" i="36"/>
  <c r="BA376" i="36"/>
  <c r="BB376" i="36"/>
  <c r="BK376" i="36"/>
  <c r="BL376" i="36"/>
  <c r="BM376" i="36"/>
  <c r="BN376" i="36"/>
  <c r="BO376" i="36"/>
  <c r="BP376" i="36"/>
  <c r="BQ376" i="36"/>
  <c r="BR376" i="36"/>
  <c r="BS376" i="36"/>
  <c r="BT376" i="36"/>
  <c r="BU376" i="36"/>
  <c r="AQ378" i="36"/>
  <c r="CC378" i="36" s="1"/>
  <c r="AR378" i="36"/>
  <c r="AS378" i="36"/>
  <c r="AT378" i="36"/>
  <c r="AU378" i="36"/>
  <c r="AV378" i="36"/>
  <c r="AW378" i="36"/>
  <c r="AX378" i="36"/>
  <c r="AY378" i="36"/>
  <c r="AZ378" i="36"/>
  <c r="BA378" i="36"/>
  <c r="BB378" i="36"/>
  <c r="BK378" i="36"/>
  <c r="BL378" i="36"/>
  <c r="BM378" i="36"/>
  <c r="BN378" i="36"/>
  <c r="BO378" i="36"/>
  <c r="BP378" i="36"/>
  <c r="BQ378" i="36"/>
  <c r="BR378" i="36"/>
  <c r="BS378" i="36"/>
  <c r="BT378" i="36"/>
  <c r="BU378" i="36"/>
  <c r="AR379" i="36"/>
  <c r="AS379" i="36"/>
  <c r="AT379" i="36"/>
  <c r="AU379" i="36"/>
  <c r="AV379" i="36"/>
  <c r="AW379" i="36"/>
  <c r="AX379" i="36"/>
  <c r="AY379" i="36"/>
  <c r="AZ379" i="36"/>
  <c r="BA379" i="36"/>
  <c r="BB379" i="36"/>
  <c r="BK379" i="36"/>
  <c r="BL379" i="36"/>
  <c r="BM379" i="36"/>
  <c r="BN379" i="36"/>
  <c r="BO379" i="36"/>
  <c r="BP379" i="36"/>
  <c r="BQ379" i="36"/>
  <c r="BR379" i="36"/>
  <c r="BS379" i="36"/>
  <c r="BT379" i="36"/>
  <c r="BU379" i="36"/>
  <c r="AQ381" i="36"/>
  <c r="AR381" i="36"/>
  <c r="AS381" i="36"/>
  <c r="AT381" i="36"/>
  <c r="AU381" i="36"/>
  <c r="AV381" i="36"/>
  <c r="AW381" i="36"/>
  <c r="AX381" i="36"/>
  <c r="AY381" i="36"/>
  <c r="AZ381" i="36"/>
  <c r="BA381" i="36"/>
  <c r="BB381" i="36"/>
  <c r="BK381" i="36"/>
  <c r="BL381" i="36"/>
  <c r="BM381" i="36"/>
  <c r="BN381" i="36"/>
  <c r="BO381" i="36"/>
  <c r="BP381" i="36"/>
  <c r="BQ381" i="36"/>
  <c r="BR381" i="36"/>
  <c r="BS381" i="36"/>
  <c r="BT381" i="36"/>
  <c r="BU381" i="36"/>
  <c r="AR382" i="36"/>
  <c r="AS382" i="36"/>
  <c r="AT382" i="36"/>
  <c r="AU382" i="36"/>
  <c r="AV382" i="36"/>
  <c r="AW382" i="36"/>
  <c r="AX382" i="36"/>
  <c r="AY382" i="36"/>
  <c r="AZ382" i="36"/>
  <c r="BA382" i="36"/>
  <c r="BB382" i="36"/>
  <c r="BK382" i="36"/>
  <c r="BL382" i="36"/>
  <c r="BM382" i="36"/>
  <c r="BN382" i="36"/>
  <c r="BO382" i="36"/>
  <c r="BP382" i="36"/>
  <c r="BQ382" i="36"/>
  <c r="BR382" i="36"/>
  <c r="BS382" i="36"/>
  <c r="BT382" i="36"/>
  <c r="BU382" i="36"/>
  <c r="AQ384" i="36"/>
  <c r="CC384" i="36" s="1"/>
  <c r="AR384" i="36"/>
  <c r="AS384" i="36"/>
  <c r="AT384" i="36"/>
  <c r="AU384" i="36"/>
  <c r="AV384" i="36"/>
  <c r="AW384" i="36"/>
  <c r="AX384" i="36"/>
  <c r="AY384" i="36"/>
  <c r="AZ384" i="36"/>
  <c r="BA384" i="36"/>
  <c r="BB384" i="36"/>
  <c r="BK384" i="36"/>
  <c r="BL384" i="36"/>
  <c r="BM384" i="36"/>
  <c r="BN384" i="36"/>
  <c r="BO384" i="36"/>
  <c r="BP384" i="36"/>
  <c r="BQ384" i="36"/>
  <c r="BR384" i="36"/>
  <c r="BS384" i="36"/>
  <c r="BT384" i="36"/>
  <c r="BU384" i="36"/>
  <c r="AR385" i="36"/>
  <c r="AS385" i="36"/>
  <c r="AT385" i="36"/>
  <c r="AU385" i="36"/>
  <c r="AV385" i="36"/>
  <c r="AW385" i="36"/>
  <c r="AX385" i="36"/>
  <c r="AY385" i="36"/>
  <c r="AZ385" i="36"/>
  <c r="BA385" i="36"/>
  <c r="BB385" i="36"/>
  <c r="BK385" i="36"/>
  <c r="BL385" i="36"/>
  <c r="BM385" i="36"/>
  <c r="BN385" i="36"/>
  <c r="BO385" i="36"/>
  <c r="BP385" i="36"/>
  <c r="BQ385" i="36"/>
  <c r="BR385" i="36"/>
  <c r="BS385" i="36"/>
  <c r="BT385" i="36"/>
  <c r="BU385" i="36"/>
  <c r="AQ387" i="36"/>
  <c r="AR387" i="36"/>
  <c r="AS387" i="36"/>
  <c r="AT387" i="36"/>
  <c r="AU387" i="36"/>
  <c r="AV387" i="36"/>
  <c r="AW387" i="36"/>
  <c r="AX387" i="36"/>
  <c r="AY387" i="36"/>
  <c r="AZ387" i="36"/>
  <c r="BA387" i="36"/>
  <c r="BB387" i="36"/>
  <c r="BK387" i="36"/>
  <c r="BL387" i="36"/>
  <c r="BM387" i="36"/>
  <c r="BN387" i="36"/>
  <c r="BO387" i="36"/>
  <c r="BP387" i="36"/>
  <c r="BQ387" i="36"/>
  <c r="BR387" i="36"/>
  <c r="BS387" i="36"/>
  <c r="BT387" i="36"/>
  <c r="BU387" i="36"/>
  <c r="AR388" i="36"/>
  <c r="AS388" i="36"/>
  <c r="AT388" i="36"/>
  <c r="AU388" i="36"/>
  <c r="AV388" i="36"/>
  <c r="AW388" i="36"/>
  <c r="AX388" i="36"/>
  <c r="AY388" i="36"/>
  <c r="AZ388" i="36"/>
  <c r="BA388" i="36"/>
  <c r="BB388" i="36"/>
  <c r="BK388" i="36"/>
  <c r="BL388" i="36"/>
  <c r="BM388" i="36"/>
  <c r="BN388" i="36"/>
  <c r="BO388" i="36"/>
  <c r="BP388" i="36"/>
  <c r="BQ388" i="36"/>
  <c r="BR388" i="36"/>
  <c r="BS388" i="36"/>
  <c r="BT388" i="36"/>
  <c r="BU388" i="36"/>
  <c r="AQ390" i="36"/>
  <c r="AR390" i="36"/>
  <c r="AS390" i="36"/>
  <c r="AT390" i="36"/>
  <c r="AU390" i="36"/>
  <c r="AV390" i="36"/>
  <c r="AW390" i="36"/>
  <c r="AX390" i="36"/>
  <c r="AY390" i="36"/>
  <c r="AZ390" i="36"/>
  <c r="BA390" i="36"/>
  <c r="BB390" i="36"/>
  <c r="BK390" i="36"/>
  <c r="BL390" i="36"/>
  <c r="BM390" i="36"/>
  <c r="BN390" i="36"/>
  <c r="BO390" i="36"/>
  <c r="BP390" i="36"/>
  <c r="BQ390" i="36"/>
  <c r="BR390" i="36"/>
  <c r="BS390" i="36"/>
  <c r="BT390" i="36"/>
  <c r="BU390" i="36"/>
  <c r="AR391" i="36"/>
  <c r="AS391" i="36"/>
  <c r="AT391" i="36"/>
  <c r="AU391" i="36"/>
  <c r="AV391" i="36"/>
  <c r="AW391" i="36"/>
  <c r="AX391" i="36"/>
  <c r="AY391" i="36"/>
  <c r="AZ391" i="36"/>
  <c r="BA391" i="36"/>
  <c r="BB391" i="36"/>
  <c r="BK391" i="36"/>
  <c r="BL391" i="36"/>
  <c r="BM391" i="36"/>
  <c r="BN391" i="36"/>
  <c r="BO391" i="36"/>
  <c r="BP391" i="36"/>
  <c r="BQ391" i="36"/>
  <c r="BR391" i="36"/>
  <c r="BS391" i="36"/>
  <c r="BT391" i="36"/>
  <c r="BU391" i="36"/>
  <c r="AQ393" i="36"/>
  <c r="CC393" i="36" s="1"/>
  <c r="AR393" i="36"/>
  <c r="AS393" i="36"/>
  <c r="AT393" i="36"/>
  <c r="AU393" i="36"/>
  <c r="AV393" i="36"/>
  <c r="AW393" i="36"/>
  <c r="AX393" i="36"/>
  <c r="AY393" i="36"/>
  <c r="AZ393" i="36"/>
  <c r="BA393" i="36"/>
  <c r="BB393" i="36"/>
  <c r="BK393" i="36"/>
  <c r="BL393" i="36"/>
  <c r="BM393" i="36"/>
  <c r="BN393" i="36"/>
  <c r="BO393" i="36"/>
  <c r="BP393" i="36"/>
  <c r="BQ393" i="36"/>
  <c r="BR393" i="36"/>
  <c r="BS393" i="36"/>
  <c r="BT393" i="36"/>
  <c r="BU393" i="36"/>
  <c r="AR394" i="36"/>
  <c r="AS394" i="36"/>
  <c r="AT394" i="36"/>
  <c r="AU394" i="36"/>
  <c r="AV394" i="36"/>
  <c r="AW394" i="36"/>
  <c r="AX394" i="36"/>
  <c r="AY394" i="36"/>
  <c r="AZ394" i="36"/>
  <c r="BA394" i="36"/>
  <c r="BB394" i="36"/>
  <c r="BK394" i="36"/>
  <c r="BL394" i="36"/>
  <c r="BM394" i="36"/>
  <c r="BN394" i="36"/>
  <c r="BO394" i="36"/>
  <c r="BP394" i="36"/>
  <c r="BQ394" i="36"/>
  <c r="BR394" i="36"/>
  <c r="BS394" i="36"/>
  <c r="BT394" i="36"/>
  <c r="BU394" i="36"/>
  <c r="AQ396" i="36"/>
  <c r="CC396" i="36" s="1"/>
  <c r="AR396" i="36"/>
  <c r="AS396" i="36"/>
  <c r="AT396" i="36"/>
  <c r="AU396" i="36"/>
  <c r="AV396" i="36"/>
  <c r="AW396" i="36"/>
  <c r="AX396" i="36"/>
  <c r="AY396" i="36"/>
  <c r="AZ396" i="36"/>
  <c r="BA396" i="36"/>
  <c r="BB396" i="36"/>
  <c r="BK396" i="36"/>
  <c r="BL396" i="36"/>
  <c r="BM396" i="36"/>
  <c r="BN396" i="36"/>
  <c r="BO396" i="36"/>
  <c r="BP396" i="36"/>
  <c r="BQ396" i="36"/>
  <c r="BR396" i="36"/>
  <c r="BS396" i="36"/>
  <c r="BT396" i="36"/>
  <c r="BU396" i="36"/>
  <c r="AR397" i="36"/>
  <c r="AS397" i="36"/>
  <c r="AT397" i="36"/>
  <c r="AU397" i="36"/>
  <c r="AV397" i="36"/>
  <c r="AW397" i="36"/>
  <c r="AX397" i="36"/>
  <c r="AY397" i="36"/>
  <c r="AZ397" i="36"/>
  <c r="BA397" i="36"/>
  <c r="BB397" i="36"/>
  <c r="BK397" i="36"/>
  <c r="BL397" i="36"/>
  <c r="BM397" i="36"/>
  <c r="BN397" i="36"/>
  <c r="BO397" i="36"/>
  <c r="BP397" i="36"/>
  <c r="BQ397" i="36"/>
  <c r="BR397" i="36"/>
  <c r="BS397" i="36"/>
  <c r="BT397" i="36"/>
  <c r="BU397" i="36"/>
  <c r="AQ399" i="36"/>
  <c r="CC399" i="36" s="1"/>
  <c r="AR399" i="36"/>
  <c r="AS399" i="36"/>
  <c r="AT399" i="36"/>
  <c r="AU399" i="36"/>
  <c r="AV399" i="36"/>
  <c r="AW399" i="36"/>
  <c r="AX399" i="36"/>
  <c r="AY399" i="36"/>
  <c r="AZ399" i="36"/>
  <c r="BA399" i="36"/>
  <c r="BB399" i="36"/>
  <c r="BK399" i="36"/>
  <c r="BL399" i="36"/>
  <c r="BM399" i="36"/>
  <c r="BN399" i="36"/>
  <c r="BO399" i="36"/>
  <c r="BP399" i="36"/>
  <c r="BQ399" i="36"/>
  <c r="BR399" i="36"/>
  <c r="BS399" i="36"/>
  <c r="BT399" i="36"/>
  <c r="BU399" i="36"/>
  <c r="AR400" i="36"/>
  <c r="AS400" i="36"/>
  <c r="AT400" i="36"/>
  <c r="AU400" i="36"/>
  <c r="AV400" i="36"/>
  <c r="AW400" i="36"/>
  <c r="AX400" i="36"/>
  <c r="AY400" i="36"/>
  <c r="AZ400" i="36"/>
  <c r="BA400" i="36"/>
  <c r="BB400" i="36"/>
  <c r="BK400" i="36"/>
  <c r="BL400" i="36"/>
  <c r="BM400" i="36"/>
  <c r="BN400" i="36"/>
  <c r="BO400" i="36"/>
  <c r="BP400" i="36"/>
  <c r="BQ400" i="36"/>
  <c r="BR400" i="36"/>
  <c r="BS400" i="36"/>
  <c r="BT400" i="36"/>
  <c r="BU400" i="36"/>
  <c r="AQ402" i="36"/>
  <c r="CC402" i="36" s="1"/>
  <c r="AR402" i="36"/>
  <c r="AS402" i="36"/>
  <c r="AT402" i="36"/>
  <c r="AU402" i="36"/>
  <c r="AV402" i="36"/>
  <c r="AW402" i="36"/>
  <c r="AX402" i="36"/>
  <c r="AY402" i="36"/>
  <c r="AZ402" i="36"/>
  <c r="BA402" i="36"/>
  <c r="BB402" i="36"/>
  <c r="BK402" i="36"/>
  <c r="BL402" i="36"/>
  <c r="BM402" i="36"/>
  <c r="BN402" i="36"/>
  <c r="BO402" i="36"/>
  <c r="BP402" i="36"/>
  <c r="BQ402" i="36"/>
  <c r="BR402" i="36"/>
  <c r="BS402" i="36"/>
  <c r="BT402" i="36"/>
  <c r="BU402" i="36"/>
  <c r="AR403" i="36"/>
  <c r="AS403" i="36"/>
  <c r="AT403" i="36"/>
  <c r="AU403" i="36"/>
  <c r="AV403" i="36"/>
  <c r="AW403" i="36"/>
  <c r="AX403" i="36"/>
  <c r="AY403" i="36"/>
  <c r="AZ403" i="36"/>
  <c r="BA403" i="36"/>
  <c r="BB403" i="36"/>
  <c r="BK403" i="36"/>
  <c r="BL403" i="36"/>
  <c r="BM403" i="36"/>
  <c r="BN403" i="36"/>
  <c r="BO403" i="36"/>
  <c r="BP403" i="36"/>
  <c r="BQ403" i="36"/>
  <c r="BR403" i="36"/>
  <c r="BS403" i="36"/>
  <c r="BT403" i="36"/>
  <c r="BU403" i="36"/>
  <c r="AQ405" i="36"/>
  <c r="AR405" i="36"/>
  <c r="AS405" i="36"/>
  <c r="AT405" i="36"/>
  <c r="AU405" i="36"/>
  <c r="AV405" i="36"/>
  <c r="AW405" i="36"/>
  <c r="AX405" i="36"/>
  <c r="AY405" i="36"/>
  <c r="AZ405" i="36"/>
  <c r="BA405" i="36"/>
  <c r="BB405" i="36"/>
  <c r="BK405" i="36"/>
  <c r="BL405" i="36"/>
  <c r="BM405" i="36"/>
  <c r="BN405" i="36"/>
  <c r="BO405" i="36"/>
  <c r="BP405" i="36"/>
  <c r="BQ405" i="36"/>
  <c r="BR405" i="36"/>
  <c r="BS405" i="36"/>
  <c r="BT405" i="36"/>
  <c r="BU405" i="36"/>
  <c r="AR406" i="36"/>
  <c r="AS406" i="36"/>
  <c r="AT406" i="36"/>
  <c r="AU406" i="36"/>
  <c r="AV406" i="36"/>
  <c r="AW406" i="36"/>
  <c r="AX406" i="36"/>
  <c r="AY406" i="36"/>
  <c r="AZ406" i="36"/>
  <c r="BA406" i="36"/>
  <c r="BB406" i="36"/>
  <c r="BK406" i="36"/>
  <c r="BL406" i="36"/>
  <c r="BM406" i="36"/>
  <c r="BN406" i="36"/>
  <c r="BO406" i="36"/>
  <c r="BP406" i="36"/>
  <c r="BQ406" i="36"/>
  <c r="BR406" i="36"/>
  <c r="BS406" i="36"/>
  <c r="BT406" i="36"/>
  <c r="BU406" i="36"/>
  <c r="AQ408" i="36"/>
  <c r="AR408" i="36"/>
  <c r="AS408" i="36"/>
  <c r="AT408" i="36"/>
  <c r="AU408" i="36"/>
  <c r="AV408" i="36"/>
  <c r="AW408" i="36"/>
  <c r="AX408" i="36"/>
  <c r="AY408" i="36"/>
  <c r="AZ408" i="36"/>
  <c r="BA408" i="36"/>
  <c r="BB408" i="36"/>
  <c r="BK408" i="36"/>
  <c r="BL408" i="36"/>
  <c r="BM408" i="36"/>
  <c r="BN408" i="36"/>
  <c r="BO408" i="36"/>
  <c r="BP408" i="36"/>
  <c r="BQ408" i="36"/>
  <c r="BR408" i="36"/>
  <c r="BS408" i="36"/>
  <c r="BT408" i="36"/>
  <c r="BU408" i="36"/>
  <c r="AR409" i="36"/>
  <c r="AS409" i="36"/>
  <c r="AT409" i="36"/>
  <c r="AU409" i="36"/>
  <c r="AV409" i="36"/>
  <c r="AW409" i="36"/>
  <c r="AX409" i="36"/>
  <c r="AY409" i="36"/>
  <c r="AZ409" i="36"/>
  <c r="BA409" i="36"/>
  <c r="BB409" i="36"/>
  <c r="BK409" i="36"/>
  <c r="BL409" i="36"/>
  <c r="BM409" i="36"/>
  <c r="BN409" i="36"/>
  <c r="BO409" i="36"/>
  <c r="BP409" i="36"/>
  <c r="BQ409" i="36"/>
  <c r="BR409" i="36"/>
  <c r="BS409" i="36"/>
  <c r="BT409" i="36"/>
  <c r="BU409" i="36"/>
  <c r="AQ411" i="36"/>
  <c r="CC411" i="36" s="1"/>
  <c r="AR411" i="36"/>
  <c r="AS411" i="36"/>
  <c r="AT411" i="36"/>
  <c r="AU411" i="36"/>
  <c r="AV411" i="36"/>
  <c r="AW411" i="36"/>
  <c r="AX411" i="36"/>
  <c r="AY411" i="36"/>
  <c r="AZ411" i="36"/>
  <c r="BA411" i="36"/>
  <c r="BB411" i="36"/>
  <c r="BK411" i="36"/>
  <c r="BL411" i="36"/>
  <c r="BM411" i="36"/>
  <c r="BN411" i="36"/>
  <c r="BO411" i="36"/>
  <c r="BP411" i="36"/>
  <c r="BQ411" i="36"/>
  <c r="BR411" i="36"/>
  <c r="BS411" i="36"/>
  <c r="BT411" i="36"/>
  <c r="BU411" i="36"/>
  <c r="AR412" i="36"/>
  <c r="AS412" i="36"/>
  <c r="AT412" i="36"/>
  <c r="AU412" i="36"/>
  <c r="AV412" i="36"/>
  <c r="AW412" i="36"/>
  <c r="AX412" i="36"/>
  <c r="AY412" i="36"/>
  <c r="AZ412" i="36"/>
  <c r="BA412" i="36"/>
  <c r="BB412" i="36"/>
  <c r="BK412" i="36"/>
  <c r="BL412" i="36"/>
  <c r="BM412" i="36"/>
  <c r="BN412" i="36"/>
  <c r="BO412" i="36"/>
  <c r="BP412" i="36"/>
  <c r="BQ412" i="36"/>
  <c r="BR412" i="36"/>
  <c r="BS412" i="36"/>
  <c r="BT412" i="36"/>
  <c r="BU412" i="36"/>
  <c r="AQ414" i="36"/>
  <c r="CC414" i="36" s="1"/>
  <c r="AR414" i="36"/>
  <c r="AS414" i="36"/>
  <c r="AT414" i="36"/>
  <c r="AU414" i="36"/>
  <c r="AV414" i="36"/>
  <c r="AW414" i="36"/>
  <c r="AX414" i="36"/>
  <c r="AY414" i="36"/>
  <c r="AZ414" i="36"/>
  <c r="BA414" i="36"/>
  <c r="BB414" i="36"/>
  <c r="BK414" i="36"/>
  <c r="BL414" i="36"/>
  <c r="BM414" i="36"/>
  <c r="BN414" i="36"/>
  <c r="BO414" i="36"/>
  <c r="BP414" i="36"/>
  <c r="BQ414" i="36"/>
  <c r="BR414" i="36"/>
  <c r="BS414" i="36"/>
  <c r="BT414" i="36"/>
  <c r="BU414" i="36"/>
  <c r="AR415" i="36"/>
  <c r="AS415" i="36"/>
  <c r="AT415" i="36"/>
  <c r="AU415" i="36"/>
  <c r="AV415" i="36"/>
  <c r="AW415" i="36"/>
  <c r="AX415" i="36"/>
  <c r="AY415" i="36"/>
  <c r="AZ415" i="36"/>
  <c r="BA415" i="36"/>
  <c r="BB415" i="36"/>
  <c r="BK415" i="36"/>
  <c r="BL415" i="36"/>
  <c r="BM415" i="36"/>
  <c r="BN415" i="36"/>
  <c r="BO415" i="36"/>
  <c r="BP415" i="36"/>
  <c r="BQ415" i="36"/>
  <c r="BR415" i="36"/>
  <c r="BS415" i="36"/>
  <c r="BT415" i="36"/>
  <c r="BU415" i="36"/>
  <c r="AQ417" i="36"/>
  <c r="CC417" i="36" s="1"/>
  <c r="AR417" i="36"/>
  <c r="AS417" i="36"/>
  <c r="AT417" i="36"/>
  <c r="AU417" i="36"/>
  <c r="AV417" i="36"/>
  <c r="AW417" i="36"/>
  <c r="AX417" i="36"/>
  <c r="AY417" i="36"/>
  <c r="AZ417" i="36"/>
  <c r="BA417" i="36"/>
  <c r="BB417" i="36"/>
  <c r="BK417" i="36"/>
  <c r="BL417" i="36"/>
  <c r="BM417" i="36"/>
  <c r="BN417" i="36"/>
  <c r="BO417" i="36"/>
  <c r="BP417" i="36"/>
  <c r="BQ417" i="36"/>
  <c r="BR417" i="36"/>
  <c r="BS417" i="36"/>
  <c r="BT417" i="36"/>
  <c r="BU417" i="36"/>
  <c r="AR418" i="36"/>
  <c r="AS418" i="36"/>
  <c r="AT418" i="36"/>
  <c r="AU418" i="36"/>
  <c r="AV418" i="36"/>
  <c r="AW418" i="36"/>
  <c r="AX418" i="36"/>
  <c r="AY418" i="36"/>
  <c r="AZ418" i="36"/>
  <c r="BA418" i="36"/>
  <c r="BB418" i="36"/>
  <c r="BK418" i="36"/>
  <c r="BL418" i="36"/>
  <c r="BM418" i="36"/>
  <c r="BN418" i="36"/>
  <c r="BO418" i="36"/>
  <c r="BP418" i="36"/>
  <c r="BQ418" i="36"/>
  <c r="BR418" i="36"/>
  <c r="BS418" i="36"/>
  <c r="BT418" i="36"/>
  <c r="BU418" i="36"/>
  <c r="AQ420" i="36"/>
  <c r="CC420" i="36" s="1"/>
  <c r="AR420" i="36"/>
  <c r="AS420" i="36"/>
  <c r="AT420" i="36"/>
  <c r="AU420" i="36"/>
  <c r="AV420" i="36"/>
  <c r="AW420" i="36"/>
  <c r="AX420" i="36"/>
  <c r="AY420" i="36"/>
  <c r="AZ420" i="36"/>
  <c r="BA420" i="36"/>
  <c r="BB420" i="36"/>
  <c r="BK420" i="36"/>
  <c r="BL420" i="36"/>
  <c r="BM420" i="36"/>
  <c r="BN420" i="36"/>
  <c r="BO420" i="36"/>
  <c r="BP420" i="36"/>
  <c r="BQ420" i="36"/>
  <c r="BR420" i="36"/>
  <c r="BS420" i="36"/>
  <c r="BT420" i="36"/>
  <c r="BU420" i="36"/>
  <c r="AR421" i="36"/>
  <c r="AS421" i="36"/>
  <c r="AT421" i="36"/>
  <c r="AU421" i="36"/>
  <c r="AV421" i="36"/>
  <c r="AW421" i="36"/>
  <c r="AX421" i="36"/>
  <c r="AY421" i="36"/>
  <c r="AZ421" i="36"/>
  <c r="BA421" i="36"/>
  <c r="BB421" i="36"/>
  <c r="BK421" i="36"/>
  <c r="BL421" i="36"/>
  <c r="BM421" i="36"/>
  <c r="BN421" i="36"/>
  <c r="BO421" i="36"/>
  <c r="BP421" i="36"/>
  <c r="BQ421" i="36"/>
  <c r="BR421" i="36"/>
  <c r="BS421" i="36"/>
  <c r="BT421" i="36"/>
  <c r="BU421" i="36"/>
  <c r="AQ423" i="36"/>
  <c r="CC423" i="36" s="1"/>
  <c r="AR423" i="36"/>
  <c r="AS423" i="36"/>
  <c r="AT423" i="36"/>
  <c r="AU423" i="36"/>
  <c r="AV423" i="36"/>
  <c r="AW423" i="36"/>
  <c r="AX423" i="36"/>
  <c r="AY423" i="36"/>
  <c r="AZ423" i="36"/>
  <c r="BA423" i="36"/>
  <c r="BB423" i="36"/>
  <c r="BK423" i="36"/>
  <c r="BL423" i="36"/>
  <c r="BM423" i="36"/>
  <c r="BN423" i="36"/>
  <c r="BO423" i="36"/>
  <c r="BP423" i="36"/>
  <c r="BQ423" i="36"/>
  <c r="BR423" i="36"/>
  <c r="BS423" i="36"/>
  <c r="BT423" i="36"/>
  <c r="BU423" i="36"/>
  <c r="AR424" i="36"/>
  <c r="AS424" i="36"/>
  <c r="AT424" i="36"/>
  <c r="AU424" i="36"/>
  <c r="AV424" i="36"/>
  <c r="AW424" i="36"/>
  <c r="AX424" i="36"/>
  <c r="AY424" i="36"/>
  <c r="AZ424" i="36"/>
  <c r="BA424" i="36"/>
  <c r="BB424" i="36"/>
  <c r="BK424" i="36"/>
  <c r="BL424" i="36"/>
  <c r="BM424" i="36"/>
  <c r="BN424" i="36"/>
  <c r="BO424" i="36"/>
  <c r="BP424" i="36"/>
  <c r="BQ424" i="36"/>
  <c r="BR424" i="36"/>
  <c r="BS424" i="36"/>
  <c r="BT424" i="36"/>
  <c r="BU424" i="36"/>
  <c r="AQ426" i="36"/>
  <c r="AR426" i="36"/>
  <c r="AS426" i="36"/>
  <c r="AT426" i="36"/>
  <c r="AU426" i="36"/>
  <c r="AV426" i="36"/>
  <c r="AW426" i="36"/>
  <c r="AX426" i="36"/>
  <c r="AY426" i="36"/>
  <c r="AZ426" i="36"/>
  <c r="BA426" i="36"/>
  <c r="BB426" i="36"/>
  <c r="BK426" i="36"/>
  <c r="BL426" i="36"/>
  <c r="BM426" i="36"/>
  <c r="BN426" i="36"/>
  <c r="BO426" i="36"/>
  <c r="BP426" i="36"/>
  <c r="BQ426" i="36"/>
  <c r="BR426" i="36"/>
  <c r="BS426" i="36"/>
  <c r="BT426" i="36"/>
  <c r="BU426" i="36"/>
  <c r="AR427" i="36"/>
  <c r="AS427" i="36"/>
  <c r="AT427" i="36"/>
  <c r="AU427" i="36"/>
  <c r="AV427" i="36"/>
  <c r="AW427" i="36"/>
  <c r="AX427" i="36"/>
  <c r="AY427" i="36"/>
  <c r="AZ427" i="36"/>
  <c r="BA427" i="36"/>
  <c r="BB427" i="36"/>
  <c r="BK427" i="36"/>
  <c r="BL427" i="36"/>
  <c r="BM427" i="36"/>
  <c r="BN427" i="36"/>
  <c r="BO427" i="36"/>
  <c r="BP427" i="36"/>
  <c r="BQ427" i="36"/>
  <c r="BR427" i="36"/>
  <c r="BS427" i="36"/>
  <c r="BT427" i="36"/>
  <c r="BU427" i="36"/>
  <c r="AQ429" i="36"/>
  <c r="AR429" i="36"/>
  <c r="AS429" i="36"/>
  <c r="AT429" i="36"/>
  <c r="AU429" i="36"/>
  <c r="AV429" i="36"/>
  <c r="AW429" i="36"/>
  <c r="AX429" i="36"/>
  <c r="AY429" i="36"/>
  <c r="AZ429" i="36"/>
  <c r="BA429" i="36"/>
  <c r="BB429" i="36"/>
  <c r="BK429" i="36"/>
  <c r="BL429" i="36"/>
  <c r="BM429" i="36"/>
  <c r="BN429" i="36"/>
  <c r="BO429" i="36"/>
  <c r="BP429" i="36"/>
  <c r="BQ429" i="36"/>
  <c r="BR429" i="36"/>
  <c r="BS429" i="36"/>
  <c r="BT429" i="36"/>
  <c r="BU429" i="36"/>
  <c r="AR430" i="36"/>
  <c r="AS430" i="36"/>
  <c r="AT430" i="36"/>
  <c r="AU430" i="36"/>
  <c r="AV430" i="36"/>
  <c r="AW430" i="36"/>
  <c r="AX430" i="36"/>
  <c r="AY430" i="36"/>
  <c r="AZ430" i="36"/>
  <c r="BA430" i="36"/>
  <c r="BB430" i="36"/>
  <c r="BK430" i="36"/>
  <c r="BL430" i="36"/>
  <c r="BM430" i="36"/>
  <c r="BN430" i="36"/>
  <c r="BO430" i="36"/>
  <c r="BP430" i="36"/>
  <c r="BQ430" i="36"/>
  <c r="BR430" i="36"/>
  <c r="BS430" i="36"/>
  <c r="BT430" i="36"/>
  <c r="BU430" i="36"/>
  <c r="AQ432" i="36"/>
  <c r="CC432" i="36" s="1"/>
  <c r="AR432" i="36"/>
  <c r="AS432" i="36"/>
  <c r="AT432" i="36"/>
  <c r="AU432" i="36"/>
  <c r="AV432" i="36"/>
  <c r="AW432" i="36"/>
  <c r="AX432" i="36"/>
  <c r="AY432" i="36"/>
  <c r="AZ432" i="36"/>
  <c r="BA432" i="36"/>
  <c r="BB432" i="36"/>
  <c r="BK432" i="36"/>
  <c r="BL432" i="36"/>
  <c r="BM432" i="36"/>
  <c r="BN432" i="36"/>
  <c r="BO432" i="36"/>
  <c r="BP432" i="36"/>
  <c r="BQ432" i="36"/>
  <c r="BR432" i="36"/>
  <c r="BS432" i="36"/>
  <c r="BT432" i="36"/>
  <c r="BU432" i="36"/>
  <c r="AR433" i="36"/>
  <c r="AS433" i="36"/>
  <c r="AT433" i="36"/>
  <c r="AU433" i="36"/>
  <c r="AV433" i="36"/>
  <c r="AW433" i="36"/>
  <c r="AX433" i="36"/>
  <c r="AY433" i="36"/>
  <c r="AZ433" i="36"/>
  <c r="BA433" i="36"/>
  <c r="BB433" i="36"/>
  <c r="BK433" i="36"/>
  <c r="BL433" i="36"/>
  <c r="BM433" i="36"/>
  <c r="BN433" i="36"/>
  <c r="BO433" i="36"/>
  <c r="BP433" i="36"/>
  <c r="BQ433" i="36"/>
  <c r="BR433" i="36"/>
  <c r="BS433" i="36"/>
  <c r="BT433" i="36"/>
  <c r="BU433" i="36"/>
  <c r="AQ435" i="36"/>
  <c r="AR435" i="36"/>
  <c r="AS435" i="36"/>
  <c r="AT435" i="36"/>
  <c r="AU435" i="36"/>
  <c r="AV435" i="36"/>
  <c r="AW435" i="36"/>
  <c r="AX435" i="36"/>
  <c r="AY435" i="36"/>
  <c r="AZ435" i="36"/>
  <c r="BA435" i="36"/>
  <c r="BB435" i="36"/>
  <c r="BK435" i="36"/>
  <c r="BL435" i="36"/>
  <c r="BM435" i="36"/>
  <c r="BN435" i="36"/>
  <c r="BO435" i="36"/>
  <c r="BP435" i="36"/>
  <c r="BQ435" i="36"/>
  <c r="BR435" i="36"/>
  <c r="BS435" i="36"/>
  <c r="BT435" i="36"/>
  <c r="BU435" i="36"/>
  <c r="AR436" i="36"/>
  <c r="AS436" i="36"/>
  <c r="AT436" i="36"/>
  <c r="AU436" i="36"/>
  <c r="AV436" i="36"/>
  <c r="AW436" i="36"/>
  <c r="AX436" i="36"/>
  <c r="AY436" i="36"/>
  <c r="AZ436" i="36"/>
  <c r="BA436" i="36"/>
  <c r="BB436" i="36"/>
  <c r="BK436" i="36"/>
  <c r="BL436" i="36"/>
  <c r="BM436" i="36"/>
  <c r="BN436" i="36"/>
  <c r="BO436" i="36"/>
  <c r="BP436" i="36"/>
  <c r="BQ436" i="36"/>
  <c r="BR436" i="36"/>
  <c r="BS436" i="36"/>
  <c r="BT436" i="36"/>
  <c r="BU436" i="36"/>
  <c r="AQ438" i="36"/>
  <c r="AR438" i="36"/>
  <c r="AS438" i="36"/>
  <c r="AT438" i="36"/>
  <c r="AU438" i="36"/>
  <c r="AV438" i="36"/>
  <c r="AW438" i="36"/>
  <c r="AX438" i="36"/>
  <c r="AY438" i="36"/>
  <c r="AZ438" i="36"/>
  <c r="BA438" i="36"/>
  <c r="BB438" i="36"/>
  <c r="BK438" i="36"/>
  <c r="BL438" i="36"/>
  <c r="BM438" i="36"/>
  <c r="BN438" i="36"/>
  <c r="BO438" i="36"/>
  <c r="BP438" i="36"/>
  <c r="BQ438" i="36"/>
  <c r="BR438" i="36"/>
  <c r="BS438" i="36"/>
  <c r="BT438" i="36"/>
  <c r="BU438" i="36"/>
  <c r="AR439" i="36"/>
  <c r="AS439" i="36"/>
  <c r="AT439" i="36"/>
  <c r="AU439" i="36"/>
  <c r="AV439" i="36"/>
  <c r="AW439" i="36"/>
  <c r="AX439" i="36"/>
  <c r="AY439" i="36"/>
  <c r="AZ439" i="36"/>
  <c r="BA439" i="36"/>
  <c r="BB439" i="36"/>
  <c r="BK439" i="36"/>
  <c r="BL439" i="36"/>
  <c r="BM439" i="36"/>
  <c r="BN439" i="36"/>
  <c r="BO439" i="36"/>
  <c r="BP439" i="36"/>
  <c r="BQ439" i="36"/>
  <c r="BR439" i="36"/>
  <c r="BS439" i="36"/>
  <c r="BT439" i="36"/>
  <c r="BU439" i="36"/>
  <c r="AQ441" i="36"/>
  <c r="AR441" i="36"/>
  <c r="AS441" i="36"/>
  <c r="AT441" i="36"/>
  <c r="AU441" i="36"/>
  <c r="AV441" i="36"/>
  <c r="AW441" i="36"/>
  <c r="AX441" i="36"/>
  <c r="AY441" i="36"/>
  <c r="AZ441" i="36"/>
  <c r="BA441" i="36"/>
  <c r="BB441" i="36"/>
  <c r="BK441" i="36"/>
  <c r="BL441" i="36"/>
  <c r="BM441" i="36"/>
  <c r="BN441" i="36"/>
  <c r="BO441" i="36"/>
  <c r="BP441" i="36"/>
  <c r="BQ441" i="36"/>
  <c r="BR441" i="36"/>
  <c r="BS441" i="36"/>
  <c r="BT441" i="36"/>
  <c r="BU441" i="36"/>
  <c r="AR442" i="36"/>
  <c r="AS442" i="36"/>
  <c r="AT442" i="36"/>
  <c r="AU442" i="36"/>
  <c r="AV442" i="36"/>
  <c r="AW442" i="36"/>
  <c r="AX442" i="36"/>
  <c r="AY442" i="36"/>
  <c r="AZ442" i="36"/>
  <c r="BA442" i="36"/>
  <c r="BB442" i="36"/>
  <c r="BK442" i="36"/>
  <c r="BL442" i="36"/>
  <c r="BM442" i="36"/>
  <c r="BN442" i="36"/>
  <c r="BO442" i="36"/>
  <c r="BP442" i="36"/>
  <c r="BQ442" i="36"/>
  <c r="BR442" i="36"/>
  <c r="BS442" i="36"/>
  <c r="BT442" i="36"/>
  <c r="BU442" i="36"/>
  <c r="AO443" i="36"/>
  <c r="AO442" i="36"/>
  <c r="AP441" i="36"/>
  <c r="CB441" i="36" s="1"/>
  <c r="AO441" i="36"/>
  <c r="CA441" i="36" s="1"/>
  <c r="AO440" i="36"/>
  <c r="AO439" i="36"/>
  <c r="AP438" i="36"/>
  <c r="AO438" i="36"/>
  <c r="CA438" i="36" s="1"/>
  <c r="AO437" i="36"/>
  <c r="CA437" i="36" s="1"/>
  <c r="AO436" i="36"/>
  <c r="AP435" i="36"/>
  <c r="CB435" i="36" s="1"/>
  <c r="AO435" i="36"/>
  <c r="AO434" i="36"/>
  <c r="AO433" i="36"/>
  <c r="AP432" i="36"/>
  <c r="AO432" i="36"/>
  <c r="AO431" i="36"/>
  <c r="AO430" i="36"/>
  <c r="AP429" i="36"/>
  <c r="CB429" i="36" s="1"/>
  <c r="AO429" i="36"/>
  <c r="AO428" i="36"/>
  <c r="AO427" i="36"/>
  <c r="AP426" i="36"/>
  <c r="AO426" i="36"/>
  <c r="AO425" i="36"/>
  <c r="AO424" i="36"/>
  <c r="AP423" i="36"/>
  <c r="AO423" i="36"/>
  <c r="AO422" i="36"/>
  <c r="AO421" i="36"/>
  <c r="AP420" i="36"/>
  <c r="AO420" i="36"/>
  <c r="AO419" i="36"/>
  <c r="AO418" i="36"/>
  <c r="AP417" i="36"/>
  <c r="AO417" i="36"/>
  <c r="AO416" i="36"/>
  <c r="AO415" i="36"/>
  <c r="AP414" i="36"/>
  <c r="CB414" i="36" s="1"/>
  <c r="AO414" i="36"/>
  <c r="AO413" i="36"/>
  <c r="AO412" i="36"/>
  <c r="AP411" i="36"/>
  <c r="AO411" i="36"/>
  <c r="AO410" i="36"/>
  <c r="AO409" i="36"/>
  <c r="AP408" i="36"/>
  <c r="CB408" i="36" s="1"/>
  <c r="AO408" i="36"/>
  <c r="AO407" i="36"/>
  <c r="AO406" i="36"/>
  <c r="AP405" i="36"/>
  <c r="AO405" i="36"/>
  <c r="AO404" i="36"/>
  <c r="AO403" i="36"/>
  <c r="AP402" i="36"/>
  <c r="AO402" i="36"/>
  <c r="AO401" i="36"/>
  <c r="AO400" i="36"/>
  <c r="AP399" i="36"/>
  <c r="AO399" i="36"/>
  <c r="AO398" i="36"/>
  <c r="AO397" i="36"/>
  <c r="AP396" i="36"/>
  <c r="AO396" i="36"/>
  <c r="AO395" i="36"/>
  <c r="CA395" i="36" s="1"/>
  <c r="AO394" i="36"/>
  <c r="AP393" i="36"/>
  <c r="AO393" i="36"/>
  <c r="AO392" i="36"/>
  <c r="AO391" i="36"/>
  <c r="AP390" i="36"/>
  <c r="CB390" i="36" s="1"/>
  <c r="AO390" i="36"/>
  <c r="AO389" i="36"/>
  <c r="CA389" i="36" s="1"/>
  <c r="AO388" i="36"/>
  <c r="AP387" i="36"/>
  <c r="AO387" i="36"/>
  <c r="AO386" i="36"/>
  <c r="AO385" i="36"/>
  <c r="AP384" i="36"/>
  <c r="AO384" i="36"/>
  <c r="AO383" i="36"/>
  <c r="AO382" i="36"/>
  <c r="AP381" i="36"/>
  <c r="AO381" i="36"/>
  <c r="CA381" i="36" s="1"/>
  <c r="AO380" i="36"/>
  <c r="AO379" i="36"/>
  <c r="AP378" i="36"/>
  <c r="AO378" i="36"/>
  <c r="AO377" i="36"/>
  <c r="AO376" i="36"/>
  <c r="AP375" i="36"/>
  <c r="AO375" i="36"/>
  <c r="AO374" i="36"/>
  <c r="AO373" i="36"/>
  <c r="AP372" i="36"/>
  <c r="AO372" i="36"/>
  <c r="AO371" i="36"/>
  <c r="AO370" i="36"/>
  <c r="AP369" i="36"/>
  <c r="AO369" i="36"/>
  <c r="AO368" i="36"/>
  <c r="AO367" i="36"/>
  <c r="AP366" i="36"/>
  <c r="AO366" i="36"/>
  <c r="AO365" i="36"/>
  <c r="AO364" i="36"/>
  <c r="AP363" i="36"/>
  <c r="AO363" i="36"/>
  <c r="AO362" i="36"/>
  <c r="AO361" i="36"/>
  <c r="AP360" i="36"/>
  <c r="AO360" i="36"/>
  <c r="AO359" i="36"/>
  <c r="AO358" i="36"/>
  <c r="AP357" i="36"/>
  <c r="AO357" i="36"/>
  <c r="AO356" i="36"/>
  <c r="AO355" i="36"/>
  <c r="AP354" i="36"/>
  <c r="AO354" i="36"/>
  <c r="AO353" i="36"/>
  <c r="AO352" i="36"/>
  <c r="AP351" i="36"/>
  <c r="BI351" i="36" s="1"/>
  <c r="AO351" i="36"/>
  <c r="AO350" i="36"/>
  <c r="AO349" i="36"/>
  <c r="AP348" i="36"/>
  <c r="AO348" i="36"/>
  <c r="AO347" i="36"/>
  <c r="AO346" i="36"/>
  <c r="AP345" i="36"/>
  <c r="AO345" i="36"/>
  <c r="AO344" i="36"/>
  <c r="AO343" i="36"/>
  <c r="AP342" i="36"/>
  <c r="CB342" i="36" s="1"/>
  <c r="AO342" i="36"/>
  <c r="AO341" i="36"/>
  <c r="AO340" i="36"/>
  <c r="AP339" i="36"/>
  <c r="AO339" i="36"/>
  <c r="AO338" i="36"/>
  <c r="AO337" i="36"/>
  <c r="AP336" i="36"/>
  <c r="AO336" i="36"/>
  <c r="AO335" i="36"/>
  <c r="AO334" i="36"/>
  <c r="AP333" i="36"/>
  <c r="AO333" i="36"/>
  <c r="AO332" i="36"/>
  <c r="AO331" i="36"/>
  <c r="AP330" i="36"/>
  <c r="AO330" i="36"/>
  <c r="AO329" i="36"/>
  <c r="BH329" i="36" s="1"/>
  <c r="AO328" i="36"/>
  <c r="AP327" i="36"/>
  <c r="AO327" i="36"/>
  <c r="AO326" i="36"/>
  <c r="AO325" i="36"/>
  <c r="AP324" i="36"/>
  <c r="AO324" i="36"/>
  <c r="AO323" i="36"/>
  <c r="BH323" i="36" s="1"/>
  <c r="AO322" i="36"/>
  <c r="AP321" i="36"/>
  <c r="AO321" i="36"/>
  <c r="AO320" i="36"/>
  <c r="AO319" i="36"/>
  <c r="AP318" i="36"/>
  <c r="AO318" i="36"/>
  <c r="AO317" i="36"/>
  <c r="AO316" i="36"/>
  <c r="AP315" i="36"/>
  <c r="AO315" i="36"/>
  <c r="AO314" i="36"/>
  <c r="AO313" i="36"/>
  <c r="AP312" i="36"/>
  <c r="AO312" i="36"/>
  <c r="AO311" i="36"/>
  <c r="AO310" i="36"/>
  <c r="AP309" i="36"/>
  <c r="AO309" i="36"/>
  <c r="AO308" i="36"/>
  <c r="AO307" i="36"/>
  <c r="AP306" i="36"/>
  <c r="AO306" i="36"/>
  <c r="AO305" i="36"/>
  <c r="AO304" i="36"/>
  <c r="AP303" i="36"/>
  <c r="AO303" i="36"/>
  <c r="AO302" i="36"/>
  <c r="AO301" i="36"/>
  <c r="AP300" i="36"/>
  <c r="AO300" i="36"/>
  <c r="AO299" i="36"/>
  <c r="AO298" i="36"/>
  <c r="AP297" i="36"/>
  <c r="AO297" i="36"/>
  <c r="BH297" i="36" s="1"/>
  <c r="AO296" i="36"/>
  <c r="AO295" i="36"/>
  <c r="AP294" i="36"/>
  <c r="AO294" i="36"/>
  <c r="AO293" i="36"/>
  <c r="AO292" i="36"/>
  <c r="AP291" i="36"/>
  <c r="BI291" i="36" s="1"/>
  <c r="AO291" i="36"/>
  <c r="AO290" i="36"/>
  <c r="AO289" i="36"/>
  <c r="AP288" i="36"/>
  <c r="AO288" i="36"/>
  <c r="AO287" i="36"/>
  <c r="AO286" i="36"/>
  <c r="AP285" i="36"/>
  <c r="AO285" i="36"/>
  <c r="AO284" i="36"/>
  <c r="AO283" i="36"/>
  <c r="AP282" i="36"/>
  <c r="AO282" i="36"/>
  <c r="AO281" i="36"/>
  <c r="AO280" i="36"/>
  <c r="AP279" i="36"/>
  <c r="AO279" i="36"/>
  <c r="AO278" i="36"/>
  <c r="AO277" i="36"/>
  <c r="AP276" i="36"/>
  <c r="AO276" i="36"/>
  <c r="AO275" i="36"/>
  <c r="AO274" i="36"/>
  <c r="AP273" i="36"/>
  <c r="AO273" i="36"/>
  <c r="AO272" i="36"/>
  <c r="AO271" i="36"/>
  <c r="AP270" i="36"/>
  <c r="AO270" i="36"/>
  <c r="AO269" i="36"/>
  <c r="BH269" i="36" s="1"/>
  <c r="AO268" i="36"/>
  <c r="AP267" i="36"/>
  <c r="BI267" i="36" s="1"/>
  <c r="AO267" i="36"/>
  <c r="AO266" i="36"/>
  <c r="AO265" i="36"/>
  <c r="AP264" i="36"/>
  <c r="AO264" i="36"/>
  <c r="AO263" i="36"/>
  <c r="AO262" i="36"/>
  <c r="AP261" i="36"/>
  <c r="AO261" i="36"/>
  <c r="AO260" i="36"/>
  <c r="AO259" i="36"/>
  <c r="AP258" i="36"/>
  <c r="AO258" i="36"/>
  <c r="AO257" i="36"/>
  <c r="AO256" i="36"/>
  <c r="AP255" i="36"/>
  <c r="AO255" i="36"/>
  <c r="AO254" i="36"/>
  <c r="AO253" i="36"/>
  <c r="AP252" i="36"/>
  <c r="AO252" i="36"/>
  <c r="AO251" i="36"/>
  <c r="AO250" i="36"/>
  <c r="AP249" i="36"/>
  <c r="AO249" i="36"/>
  <c r="AO248" i="36"/>
  <c r="AO247" i="36"/>
  <c r="AP246" i="36"/>
  <c r="AO246" i="36"/>
  <c r="AO245" i="36"/>
  <c r="AO244" i="36"/>
  <c r="AP243" i="36"/>
  <c r="AO243" i="36"/>
  <c r="AO242" i="36"/>
  <c r="AO241" i="36"/>
  <c r="AP240" i="36"/>
  <c r="AO240" i="36"/>
  <c r="AO239" i="36"/>
  <c r="BH239" i="36" s="1"/>
  <c r="AO238" i="36"/>
  <c r="AP237" i="36"/>
  <c r="AO237" i="36"/>
  <c r="AO236" i="36"/>
  <c r="AO235" i="36"/>
  <c r="AP234" i="36"/>
  <c r="AO234" i="36"/>
  <c r="AO233" i="36"/>
  <c r="AO232" i="36"/>
  <c r="AP231" i="36"/>
  <c r="BI231" i="36" s="1"/>
  <c r="AO231" i="36"/>
  <c r="AO230" i="36"/>
  <c r="AO229" i="36"/>
  <c r="AP228" i="36"/>
  <c r="AO228" i="36"/>
  <c r="AO227" i="36"/>
  <c r="AO226" i="36"/>
  <c r="AP225" i="36"/>
  <c r="AO225" i="36"/>
  <c r="AO224" i="36"/>
  <c r="AO223" i="36"/>
  <c r="AP222" i="36"/>
  <c r="AO222" i="36"/>
  <c r="AO221" i="36"/>
  <c r="AO220" i="36"/>
  <c r="AP219" i="36"/>
  <c r="AO219" i="36"/>
  <c r="AO218" i="36"/>
  <c r="AO217" i="36"/>
  <c r="AP216" i="36"/>
  <c r="AO216" i="36"/>
  <c r="AO215" i="36"/>
  <c r="AO214" i="36"/>
  <c r="AP213" i="36"/>
  <c r="AO213" i="36"/>
  <c r="AO212" i="36"/>
  <c r="AO211" i="36"/>
  <c r="AP210" i="36"/>
  <c r="AO210" i="36"/>
  <c r="AO209" i="36"/>
  <c r="AO208" i="36"/>
  <c r="AP207" i="36"/>
  <c r="AO207" i="36"/>
  <c r="AO206" i="36"/>
  <c r="AO205" i="36"/>
  <c r="AP204" i="36"/>
  <c r="AO204" i="36"/>
  <c r="AO203" i="36"/>
  <c r="BH203" i="36" s="1"/>
  <c r="AO202" i="36"/>
  <c r="AP201" i="36"/>
  <c r="BI201" i="36" s="1"/>
  <c r="AO201" i="36"/>
  <c r="AO200" i="36"/>
  <c r="AO199" i="36"/>
  <c r="AP198" i="36"/>
  <c r="AO198" i="36"/>
  <c r="AO197" i="36"/>
  <c r="BH197" i="36" s="1"/>
  <c r="AO196" i="36"/>
  <c r="AP195" i="36"/>
  <c r="AO195" i="36"/>
  <c r="AO194" i="36"/>
  <c r="AO193" i="36"/>
  <c r="AP192" i="36"/>
  <c r="AO192" i="36"/>
  <c r="AO191" i="36"/>
  <c r="AO190" i="36"/>
  <c r="AP189" i="36"/>
  <c r="BI189" i="36" s="1"/>
  <c r="AO189" i="36"/>
  <c r="AO188" i="36"/>
  <c r="AO187" i="36"/>
  <c r="AP186" i="36"/>
  <c r="AO186" i="36"/>
  <c r="AO185" i="36"/>
  <c r="AO184" i="36"/>
  <c r="AP183" i="36"/>
  <c r="AO183" i="36"/>
  <c r="AO182" i="36"/>
  <c r="AO181" i="36"/>
  <c r="AP180" i="36"/>
  <c r="AO180" i="36"/>
  <c r="AO179" i="36"/>
  <c r="AO178" i="36"/>
  <c r="AP177" i="36"/>
  <c r="BI177" i="36" s="1"/>
  <c r="AO177" i="36"/>
  <c r="AO176" i="36"/>
  <c r="AO175" i="36"/>
  <c r="AP174" i="36"/>
  <c r="AO174" i="36"/>
  <c r="AO173" i="36"/>
  <c r="BH173" i="36" s="1"/>
  <c r="AO172" i="36"/>
  <c r="AP171" i="36"/>
  <c r="AO171" i="36"/>
  <c r="AO170" i="36"/>
  <c r="AO169" i="36"/>
  <c r="AP168" i="36"/>
  <c r="AO168" i="36"/>
  <c r="AO167" i="36"/>
  <c r="AO166" i="36"/>
  <c r="AP165" i="36"/>
  <c r="AO165" i="36"/>
  <c r="AO164" i="36"/>
  <c r="AO163" i="36"/>
  <c r="AP162" i="36"/>
  <c r="AO162" i="36"/>
  <c r="AO161" i="36"/>
  <c r="BH161" i="36" s="1"/>
  <c r="AO160" i="36"/>
  <c r="AP159" i="36"/>
  <c r="AO159" i="36"/>
  <c r="AO158" i="36"/>
  <c r="AO157" i="36"/>
  <c r="AP156" i="36"/>
  <c r="AO156" i="36"/>
  <c r="AO155" i="36"/>
  <c r="AO154" i="36"/>
  <c r="AP153" i="36"/>
  <c r="AO153" i="36"/>
  <c r="AO152" i="36"/>
  <c r="AO151" i="36"/>
  <c r="AP150" i="36"/>
  <c r="AO150" i="36"/>
  <c r="AO149" i="36"/>
  <c r="BH149" i="36" s="1"/>
  <c r="AO148" i="36"/>
  <c r="AP147" i="36"/>
  <c r="AO147" i="36"/>
  <c r="AO146" i="36"/>
  <c r="AO145" i="36"/>
  <c r="AP144" i="36"/>
  <c r="AO144" i="36"/>
  <c r="AO143" i="36"/>
  <c r="AO142" i="36"/>
  <c r="AP141" i="36"/>
  <c r="AO141" i="36"/>
  <c r="AO140" i="36"/>
  <c r="AO139" i="36"/>
  <c r="AP138" i="36"/>
  <c r="AO138" i="36"/>
  <c r="AO137" i="36"/>
  <c r="BH137" i="36" s="1"/>
  <c r="AO136" i="36"/>
  <c r="AP135" i="36"/>
  <c r="AO135" i="36"/>
  <c r="AO134" i="36"/>
  <c r="AO133" i="36"/>
  <c r="AP132" i="36"/>
  <c r="AO132" i="36"/>
  <c r="AO131" i="36"/>
  <c r="AO130" i="36"/>
  <c r="AP129" i="36"/>
  <c r="AO129" i="36"/>
  <c r="AO128" i="36"/>
  <c r="AO127" i="36"/>
  <c r="AP126" i="36"/>
  <c r="AO126" i="36"/>
  <c r="AO125" i="36"/>
  <c r="BH125" i="36" s="1"/>
  <c r="AO124" i="36"/>
  <c r="AP123" i="36"/>
  <c r="AO123" i="36"/>
  <c r="AO122" i="36"/>
  <c r="AO121" i="36"/>
  <c r="AP120" i="36"/>
  <c r="AO120" i="36"/>
  <c r="AO119" i="36"/>
  <c r="AO118" i="36"/>
  <c r="AP117" i="36"/>
  <c r="AO117" i="36"/>
  <c r="AO116" i="36"/>
  <c r="AO115" i="36"/>
  <c r="AP114" i="36"/>
  <c r="AO114" i="36"/>
  <c r="AO113" i="36"/>
  <c r="AO112" i="36"/>
  <c r="AP111" i="36"/>
  <c r="AO111" i="36"/>
  <c r="AO110" i="36"/>
  <c r="AO109" i="36"/>
  <c r="AP108" i="36"/>
  <c r="AO108" i="36"/>
  <c r="AO107" i="36"/>
  <c r="BH107" i="36" s="1"/>
  <c r="AO106" i="36"/>
  <c r="AP105" i="36"/>
  <c r="AO105" i="36"/>
  <c r="AO104" i="36"/>
  <c r="AO103" i="36"/>
  <c r="AP102" i="36"/>
  <c r="AO102" i="36"/>
  <c r="AO101" i="36"/>
  <c r="BH101" i="36" s="1"/>
  <c r="AO100" i="36"/>
  <c r="AP99" i="36"/>
  <c r="AO99" i="36"/>
  <c r="AO98" i="36"/>
  <c r="AO97" i="36"/>
  <c r="AP96" i="36"/>
  <c r="AO96" i="36"/>
  <c r="AO95" i="36"/>
  <c r="BH95" i="36" s="1"/>
  <c r="AO94" i="36"/>
  <c r="AP93" i="36"/>
  <c r="AO93" i="36"/>
  <c r="AO92" i="36"/>
  <c r="AO91" i="36"/>
  <c r="AP90" i="36"/>
  <c r="AO90" i="36"/>
  <c r="AO89" i="36"/>
  <c r="AO88" i="36"/>
  <c r="AP87" i="36"/>
  <c r="AO87" i="36"/>
  <c r="AO86" i="36"/>
  <c r="AO85" i="36"/>
  <c r="AP84" i="36"/>
  <c r="AO84" i="36"/>
  <c r="AO83" i="36"/>
  <c r="BH83" i="36" s="1"/>
  <c r="AO82" i="36"/>
  <c r="AP81" i="36"/>
  <c r="AO81" i="36"/>
  <c r="AO80" i="36"/>
  <c r="AO79" i="36"/>
  <c r="AP78" i="36"/>
  <c r="AO78" i="36"/>
  <c r="AO77" i="36"/>
  <c r="BH77" i="36" s="1"/>
  <c r="AO76" i="36"/>
  <c r="AP75" i="36"/>
  <c r="AO75" i="36"/>
  <c r="AO74" i="36"/>
  <c r="AO73" i="36"/>
  <c r="AP72" i="36"/>
  <c r="AO72" i="36"/>
  <c r="AO71" i="36"/>
  <c r="AO70" i="36"/>
  <c r="AP69" i="36"/>
  <c r="AO69" i="36"/>
  <c r="AO56" i="36"/>
  <c r="BJ183" i="36" l="1"/>
  <c r="BJ411" i="36"/>
  <c r="BJ402" i="36"/>
  <c r="BJ393" i="36"/>
  <c r="BJ360" i="36"/>
  <c r="BJ294" i="36"/>
  <c r="BJ192" i="36"/>
  <c r="BJ75" i="36"/>
  <c r="BJ231" i="36"/>
  <c r="BJ414" i="36"/>
  <c r="BJ180" i="36"/>
  <c r="BJ264" i="36"/>
  <c r="BJ291" i="36"/>
  <c r="BJ72" i="36"/>
  <c r="CE253" i="36"/>
  <c r="CE252" i="36"/>
  <c r="CE250" i="36"/>
  <c r="CE249" i="36"/>
  <c r="CE247" i="36"/>
  <c r="CE246" i="36"/>
  <c r="CE244" i="36"/>
  <c r="CE243" i="36"/>
  <c r="CE241" i="36"/>
  <c r="CE240" i="36"/>
  <c r="CE238" i="36"/>
  <c r="CE237" i="36"/>
  <c r="CE235" i="36"/>
  <c r="CE234" i="36"/>
  <c r="CE232" i="36"/>
  <c r="CE231" i="36"/>
  <c r="CE229" i="36"/>
  <c r="CE228" i="36"/>
  <c r="CE226" i="36"/>
  <c r="CE225" i="36"/>
  <c r="CE223" i="36"/>
  <c r="CE222" i="36"/>
  <c r="CE220" i="36"/>
  <c r="CE219" i="36"/>
  <c r="CE217" i="36"/>
  <c r="CE216" i="36"/>
  <c r="CE214" i="36"/>
  <c r="CE213" i="36"/>
  <c r="CE211" i="36"/>
  <c r="CE210" i="36"/>
  <c r="CE208" i="36"/>
  <c r="CE207" i="36"/>
  <c r="CE205" i="36"/>
  <c r="CE204" i="36"/>
  <c r="CE202" i="36"/>
  <c r="CE201" i="36"/>
  <c r="CE199" i="36"/>
  <c r="CE198" i="36"/>
  <c r="CE196" i="36"/>
  <c r="CE195" i="36"/>
  <c r="CE193" i="36"/>
  <c r="CE192" i="36"/>
  <c r="CE190" i="36"/>
  <c r="CE189" i="36"/>
  <c r="CE187" i="36"/>
  <c r="CE186" i="36"/>
  <c r="CE184" i="36"/>
  <c r="CE183" i="36"/>
  <c r="CE181" i="36"/>
  <c r="CE180" i="36"/>
  <c r="CE178" i="36"/>
  <c r="CE177" i="36"/>
  <c r="CE175" i="36"/>
  <c r="CE174" i="36"/>
  <c r="CE172" i="36"/>
  <c r="CE171" i="36"/>
  <c r="CE169" i="36"/>
  <c r="CE168" i="36"/>
  <c r="CE166" i="36"/>
  <c r="CE165" i="36"/>
  <c r="CE163" i="36"/>
  <c r="CE162" i="36"/>
  <c r="CE160" i="36"/>
  <c r="CE159" i="36"/>
  <c r="CE157" i="36"/>
  <c r="CE156" i="36"/>
  <c r="CE154" i="36"/>
  <c r="CE153" i="36"/>
  <c r="CE151" i="36"/>
  <c r="CE150" i="36"/>
  <c r="CE148" i="36"/>
  <c r="CE147" i="36"/>
  <c r="CE145" i="36"/>
  <c r="CE144" i="36"/>
  <c r="CE142" i="36"/>
  <c r="CE141" i="36"/>
  <c r="CE139" i="36"/>
  <c r="CE138" i="36"/>
  <c r="CE136" i="36"/>
  <c r="CE135" i="36"/>
  <c r="CE133" i="36"/>
  <c r="CE132" i="36"/>
  <c r="CE130" i="36"/>
  <c r="CE129" i="36"/>
  <c r="CE127" i="36"/>
  <c r="CE126" i="36"/>
  <c r="CE124" i="36"/>
  <c r="CE123" i="36"/>
  <c r="CE121" i="36"/>
  <c r="CE120" i="36"/>
  <c r="CE118" i="36"/>
  <c r="CE117" i="36"/>
  <c r="CE115" i="36"/>
  <c r="CE114" i="36"/>
  <c r="CE112" i="36"/>
  <c r="CE111" i="36"/>
  <c r="CE109" i="36"/>
  <c r="CE108" i="36"/>
  <c r="CE106" i="36"/>
  <c r="CE105" i="36"/>
  <c r="CE103" i="36"/>
  <c r="CE102" i="36"/>
  <c r="CE100" i="36"/>
  <c r="CE99" i="36"/>
  <c r="CE97" i="36"/>
  <c r="CE96" i="36"/>
  <c r="CE94" i="36"/>
  <c r="CE93" i="36"/>
  <c r="CE91" i="36"/>
  <c r="CE90" i="36"/>
  <c r="CE88" i="36"/>
  <c r="CE87" i="36"/>
  <c r="CE85" i="36"/>
  <c r="CE84" i="36"/>
  <c r="CE82" i="36"/>
  <c r="CE81" i="36"/>
  <c r="CE79" i="36"/>
  <c r="CE78" i="36"/>
  <c r="CE76" i="36"/>
  <c r="CE75" i="36"/>
  <c r="CE73" i="36"/>
  <c r="CE72" i="36"/>
  <c r="CE70" i="36"/>
  <c r="CE69" i="36"/>
  <c r="BJ234" i="36"/>
  <c r="BJ417" i="36"/>
  <c r="BJ396" i="36"/>
  <c r="BJ297" i="36"/>
  <c r="BJ270" i="36"/>
  <c r="BJ96" i="36"/>
  <c r="BJ399" i="36"/>
  <c r="BJ348" i="36"/>
  <c r="BJ345" i="36"/>
  <c r="BJ249" i="36"/>
  <c r="BJ246" i="36"/>
  <c r="BJ243" i="36"/>
  <c r="BJ204" i="36"/>
  <c r="BJ87" i="36"/>
  <c r="BJ321" i="36"/>
  <c r="BJ318" i="36"/>
  <c r="BJ213" i="36"/>
  <c r="BJ210" i="36"/>
  <c r="BJ123" i="36"/>
  <c r="BJ120" i="36"/>
  <c r="BJ384" i="36"/>
  <c r="BJ156" i="36"/>
  <c r="BJ153" i="36"/>
  <c r="BJ102" i="36"/>
  <c r="BJ423" i="36"/>
  <c r="BJ330" i="36"/>
  <c r="BJ282" i="36"/>
  <c r="BJ279" i="36"/>
  <c r="BJ276" i="36"/>
  <c r="BJ168" i="36"/>
  <c r="BJ165" i="36"/>
  <c r="BJ162" i="36"/>
  <c r="CA69" i="36"/>
  <c r="BE57" i="36"/>
  <c r="BD57" i="36"/>
  <c r="BC57" i="36"/>
  <c r="CA70" i="36"/>
  <c r="BD58" i="36"/>
  <c r="BC58" i="36"/>
  <c r="BE58" i="36"/>
  <c r="BJ372" i="36"/>
  <c r="BJ336" i="36"/>
  <c r="BJ225" i="36"/>
  <c r="BJ174" i="36"/>
  <c r="BJ114" i="36"/>
  <c r="BJ111" i="36"/>
  <c r="CA71" i="36"/>
  <c r="BD59" i="36"/>
  <c r="BE59" i="36"/>
  <c r="BJ378" i="36"/>
  <c r="BJ132" i="36"/>
  <c r="BJ129" i="36"/>
  <c r="BJ81" i="36"/>
  <c r="BJ432" i="36"/>
  <c r="BJ198" i="36"/>
  <c r="BJ195" i="36"/>
  <c r="BJ312" i="36"/>
  <c r="BJ309" i="36"/>
  <c r="BJ258" i="36"/>
  <c r="BJ255" i="36"/>
  <c r="BJ144" i="36"/>
  <c r="BJ141" i="36"/>
  <c r="CC78" i="36"/>
  <c r="BJ420" i="36"/>
  <c r="BI429" i="36"/>
  <c r="BH395" i="36"/>
  <c r="CC93" i="36"/>
  <c r="BI342" i="36"/>
  <c r="BH441" i="36"/>
  <c r="BI435" i="36"/>
  <c r="BH381" i="36"/>
  <c r="BH74" i="36"/>
  <c r="CA74" i="36"/>
  <c r="BH80" i="36"/>
  <c r="CA80" i="36"/>
  <c r="BH86" i="36"/>
  <c r="CA86" i="36"/>
  <c r="BH92" i="36"/>
  <c r="CA92" i="36"/>
  <c r="BH98" i="36"/>
  <c r="CA98" i="36"/>
  <c r="BH104" i="36"/>
  <c r="CA104" i="36"/>
  <c r="BH110" i="36"/>
  <c r="CA110" i="36"/>
  <c r="BH116" i="36"/>
  <c r="CA116" i="36"/>
  <c r="BH122" i="36"/>
  <c r="CA122" i="36"/>
  <c r="BH128" i="36"/>
  <c r="CA128" i="36"/>
  <c r="BH134" i="36"/>
  <c r="CA134" i="36"/>
  <c r="BH140" i="36"/>
  <c r="CA140" i="36"/>
  <c r="BH146" i="36"/>
  <c r="CA146" i="36"/>
  <c r="BH152" i="36"/>
  <c r="CA152" i="36"/>
  <c r="BH158" i="36"/>
  <c r="CA158" i="36"/>
  <c r="BH164" i="36"/>
  <c r="CA164" i="36"/>
  <c r="BH170" i="36"/>
  <c r="CA170" i="36"/>
  <c r="BH176" i="36"/>
  <c r="CA176" i="36"/>
  <c r="BH182" i="36"/>
  <c r="CA182" i="36"/>
  <c r="BH188" i="36"/>
  <c r="CA188" i="36"/>
  <c r="BH194" i="36"/>
  <c r="CA194" i="36"/>
  <c r="BH200" i="36"/>
  <c r="CA200" i="36"/>
  <c r="BH206" i="36"/>
  <c r="CA206" i="36"/>
  <c r="BH212" i="36"/>
  <c r="CA212" i="36"/>
  <c r="BH218" i="36"/>
  <c r="CA218" i="36"/>
  <c r="BH224" i="36"/>
  <c r="CA224" i="36"/>
  <c r="BH230" i="36"/>
  <c r="CA230" i="36"/>
  <c r="BH236" i="36"/>
  <c r="CA236" i="36"/>
  <c r="BH242" i="36"/>
  <c r="CA242" i="36"/>
  <c r="BH248" i="36"/>
  <c r="CA248" i="36"/>
  <c r="BH254" i="36"/>
  <c r="CA254" i="36"/>
  <c r="BH260" i="36"/>
  <c r="CA260" i="36"/>
  <c r="BH266" i="36"/>
  <c r="CA266" i="36"/>
  <c r="BH272" i="36"/>
  <c r="CA272" i="36"/>
  <c r="BH278" i="36"/>
  <c r="CA278" i="36"/>
  <c r="BH284" i="36"/>
  <c r="CA284" i="36"/>
  <c r="BH290" i="36"/>
  <c r="CA290" i="36"/>
  <c r="BH296" i="36"/>
  <c r="CA296" i="36"/>
  <c r="BH302" i="36"/>
  <c r="CA302" i="36"/>
  <c r="BH308" i="36"/>
  <c r="CA308" i="36"/>
  <c r="BH314" i="36"/>
  <c r="CA314" i="36"/>
  <c r="BH320" i="36"/>
  <c r="CA320" i="36"/>
  <c r="BH326" i="36"/>
  <c r="CA326" i="36"/>
  <c r="BH332" i="36"/>
  <c r="CA332" i="36"/>
  <c r="BH338" i="36"/>
  <c r="CA338" i="36"/>
  <c r="BH344" i="36"/>
  <c r="CA344" i="36"/>
  <c r="BH350" i="36"/>
  <c r="CA350" i="36"/>
  <c r="BH356" i="36"/>
  <c r="CA356" i="36"/>
  <c r="BH362" i="36"/>
  <c r="CA362" i="36"/>
  <c r="BH368" i="36"/>
  <c r="CA368" i="36"/>
  <c r="BH374" i="36"/>
  <c r="CA374" i="36"/>
  <c r="BH380" i="36"/>
  <c r="CA380" i="36"/>
  <c r="BH386" i="36"/>
  <c r="CA386" i="36"/>
  <c r="BH392" i="36"/>
  <c r="CA392" i="36"/>
  <c r="BH398" i="36"/>
  <c r="CA398" i="36"/>
  <c r="CA404" i="36"/>
  <c r="BH404" i="36"/>
  <c r="BH410" i="36"/>
  <c r="CA410" i="36"/>
  <c r="BH416" i="36"/>
  <c r="CA416" i="36"/>
  <c r="CA422" i="36"/>
  <c r="BH422" i="36"/>
  <c r="BH428" i="36"/>
  <c r="CA428" i="36"/>
  <c r="CA434" i="36"/>
  <c r="BH434" i="36"/>
  <c r="CA440" i="36"/>
  <c r="BH440" i="36"/>
  <c r="BH438" i="36"/>
  <c r="BJ438" i="36"/>
  <c r="CC438" i="36"/>
  <c r="BI414" i="36"/>
  <c r="BI390" i="36"/>
  <c r="CC390" i="36"/>
  <c r="BJ390" i="36"/>
  <c r="BJ342" i="36"/>
  <c r="BJ303" i="36"/>
  <c r="CC303" i="36"/>
  <c r="BH73" i="36"/>
  <c r="CA73" i="36"/>
  <c r="BH97" i="36"/>
  <c r="CA97" i="36"/>
  <c r="BH121" i="36"/>
  <c r="CA121" i="36"/>
  <c r="BH151" i="36"/>
  <c r="CA151" i="36"/>
  <c r="BH181" i="36"/>
  <c r="CA181" i="36"/>
  <c r="BH205" i="36"/>
  <c r="CA205" i="36"/>
  <c r="BH223" i="36"/>
  <c r="CA223" i="36"/>
  <c r="BH247" i="36"/>
  <c r="CA247" i="36"/>
  <c r="BH265" i="36"/>
  <c r="CA265" i="36"/>
  <c r="BH289" i="36"/>
  <c r="CA289" i="36"/>
  <c r="BH307" i="36"/>
  <c r="CA307" i="36"/>
  <c r="BH325" i="36"/>
  <c r="CA325" i="36"/>
  <c r="BH349" i="36"/>
  <c r="CA349" i="36"/>
  <c r="BH367" i="36"/>
  <c r="CA367" i="36"/>
  <c r="BH385" i="36"/>
  <c r="CA385" i="36"/>
  <c r="CA403" i="36"/>
  <c r="BH403" i="36"/>
  <c r="BH427" i="36"/>
  <c r="CA427" i="36"/>
  <c r="BH75" i="36"/>
  <c r="CA75" i="36"/>
  <c r="BH129" i="36"/>
  <c r="CA129" i="36"/>
  <c r="BH189" i="36"/>
  <c r="CA189" i="36"/>
  <c r="BH249" i="36"/>
  <c r="CA249" i="36"/>
  <c r="BJ405" i="36"/>
  <c r="CC405" i="36"/>
  <c r="BJ381" i="36"/>
  <c r="CC381" i="36"/>
  <c r="BJ363" i="36"/>
  <c r="CC363" i="36"/>
  <c r="BJ354" i="36"/>
  <c r="CC354" i="36"/>
  <c r="BJ333" i="36"/>
  <c r="CC333" i="36"/>
  <c r="BJ324" i="36"/>
  <c r="CC324" i="36"/>
  <c r="BH91" i="36"/>
  <c r="CA91" i="36"/>
  <c r="BH115" i="36"/>
  <c r="CA115" i="36"/>
  <c r="BH139" i="36"/>
  <c r="CA139" i="36"/>
  <c r="BH157" i="36"/>
  <c r="CA157" i="36"/>
  <c r="BH175" i="36"/>
  <c r="CA175" i="36"/>
  <c r="BH199" i="36"/>
  <c r="CA199" i="36"/>
  <c r="BH217" i="36"/>
  <c r="CA217" i="36"/>
  <c r="BH241" i="36"/>
  <c r="CA241" i="36"/>
  <c r="BH259" i="36"/>
  <c r="CA259" i="36"/>
  <c r="BH283" i="36"/>
  <c r="CA283" i="36"/>
  <c r="BH295" i="36"/>
  <c r="CA295" i="36"/>
  <c r="BH319" i="36"/>
  <c r="CA319" i="36"/>
  <c r="BH337" i="36"/>
  <c r="CA337" i="36"/>
  <c r="BH355" i="36"/>
  <c r="CA355" i="36"/>
  <c r="BH379" i="36"/>
  <c r="CA379" i="36"/>
  <c r="BH415" i="36"/>
  <c r="CA415" i="36"/>
  <c r="BH439" i="36"/>
  <c r="CA439" i="36"/>
  <c r="BH81" i="36"/>
  <c r="CA81" i="36"/>
  <c r="BH99" i="36"/>
  <c r="CA99" i="36"/>
  <c r="BH117" i="36"/>
  <c r="CA117" i="36"/>
  <c r="BH141" i="36"/>
  <c r="CA141" i="36"/>
  <c r="BH159" i="36"/>
  <c r="CA159" i="36"/>
  <c r="BH171" i="36"/>
  <c r="CA171" i="36"/>
  <c r="BH195" i="36"/>
  <c r="CA195" i="36"/>
  <c r="BH213" i="36"/>
  <c r="CA213" i="36"/>
  <c r="BH225" i="36"/>
  <c r="CA225" i="36"/>
  <c r="BH243" i="36"/>
  <c r="CA243" i="36"/>
  <c r="BH261" i="36"/>
  <c r="CA261" i="36"/>
  <c r="BH85" i="36"/>
  <c r="CA85" i="36"/>
  <c r="BH109" i="36"/>
  <c r="CA109" i="36"/>
  <c r="BH127" i="36"/>
  <c r="CA127" i="36"/>
  <c r="BH145" i="36"/>
  <c r="CA145" i="36"/>
  <c r="BH169" i="36"/>
  <c r="CA169" i="36"/>
  <c r="BH193" i="36"/>
  <c r="CA193" i="36"/>
  <c r="BH229" i="36"/>
  <c r="CA229" i="36"/>
  <c r="BH253" i="36"/>
  <c r="CA253" i="36"/>
  <c r="BH277" i="36"/>
  <c r="CA277" i="36"/>
  <c r="BH301" i="36"/>
  <c r="CA301" i="36"/>
  <c r="BH331" i="36"/>
  <c r="CA331" i="36"/>
  <c r="BH361" i="36"/>
  <c r="CA361" i="36"/>
  <c r="BH391" i="36"/>
  <c r="CA391" i="36"/>
  <c r="BH409" i="36"/>
  <c r="CA409" i="36"/>
  <c r="CA433" i="36"/>
  <c r="BH433" i="36"/>
  <c r="BH87" i="36"/>
  <c r="CA87" i="36"/>
  <c r="BH105" i="36"/>
  <c r="CA105" i="36"/>
  <c r="BH123" i="36"/>
  <c r="CA123" i="36"/>
  <c r="BH147" i="36"/>
  <c r="CA147" i="36"/>
  <c r="BH165" i="36"/>
  <c r="CA165" i="36"/>
  <c r="BH183" i="36"/>
  <c r="CA183" i="36"/>
  <c r="BH201" i="36"/>
  <c r="CA201" i="36"/>
  <c r="BH219" i="36"/>
  <c r="CA219" i="36"/>
  <c r="BH237" i="36"/>
  <c r="CA237" i="36"/>
  <c r="BH267" i="36"/>
  <c r="CA267" i="36"/>
  <c r="BI69" i="36"/>
  <c r="CB69" i="36"/>
  <c r="BI81" i="36"/>
  <c r="CB81" i="36"/>
  <c r="BI99" i="36"/>
  <c r="CB99" i="36"/>
  <c r="BI129" i="36"/>
  <c r="CB129" i="36"/>
  <c r="BI147" i="36"/>
  <c r="CB147" i="36"/>
  <c r="BH76" i="36"/>
  <c r="CA76" i="36"/>
  <c r="BH82" i="36"/>
  <c r="CA82" i="36"/>
  <c r="BH88" i="36"/>
  <c r="CA88" i="36"/>
  <c r="BH94" i="36"/>
  <c r="CA94" i="36"/>
  <c r="BH100" i="36"/>
  <c r="CA100" i="36"/>
  <c r="BH106" i="36"/>
  <c r="CA106" i="36"/>
  <c r="BH112" i="36"/>
  <c r="CA112" i="36"/>
  <c r="BH118" i="36"/>
  <c r="CA118" i="36"/>
  <c r="BH124" i="36"/>
  <c r="CA124" i="36"/>
  <c r="BH130" i="36"/>
  <c r="CA130" i="36"/>
  <c r="BH136" i="36"/>
  <c r="CA136" i="36"/>
  <c r="BH142" i="36"/>
  <c r="CA142" i="36"/>
  <c r="BH148" i="36"/>
  <c r="CA148" i="36"/>
  <c r="BH154" i="36"/>
  <c r="CA154" i="36"/>
  <c r="BH160" i="36"/>
  <c r="CA160" i="36"/>
  <c r="BH166" i="36"/>
  <c r="CA166" i="36"/>
  <c r="BH172" i="36"/>
  <c r="CA172" i="36"/>
  <c r="BH178" i="36"/>
  <c r="CA178" i="36"/>
  <c r="BH184" i="36"/>
  <c r="CA184" i="36"/>
  <c r="BH190" i="36"/>
  <c r="CA190" i="36"/>
  <c r="BH196" i="36"/>
  <c r="CA196" i="36"/>
  <c r="BH202" i="36"/>
  <c r="CA202" i="36"/>
  <c r="BH208" i="36"/>
  <c r="CA208" i="36"/>
  <c r="BH214" i="36"/>
  <c r="CA214" i="36"/>
  <c r="BH220" i="36"/>
  <c r="CA220" i="36"/>
  <c r="BH226" i="36"/>
  <c r="CA226" i="36"/>
  <c r="BH232" i="36"/>
  <c r="CA232" i="36"/>
  <c r="BH238" i="36"/>
  <c r="CA238" i="36"/>
  <c r="BH244" i="36"/>
  <c r="CA244" i="36"/>
  <c r="BH250" i="36"/>
  <c r="CA250" i="36"/>
  <c r="BH256" i="36"/>
  <c r="CA256" i="36"/>
  <c r="BH262" i="36"/>
  <c r="CA262" i="36"/>
  <c r="BH268" i="36"/>
  <c r="CA268" i="36"/>
  <c r="BH274" i="36"/>
  <c r="CA274" i="36"/>
  <c r="BH280" i="36"/>
  <c r="CA280" i="36"/>
  <c r="BH286" i="36"/>
  <c r="CA286" i="36"/>
  <c r="BH292" i="36"/>
  <c r="CA292" i="36"/>
  <c r="BH298" i="36"/>
  <c r="CA298" i="36"/>
  <c r="BH304" i="36"/>
  <c r="CA304" i="36"/>
  <c r="BH310" i="36"/>
  <c r="CA310" i="36"/>
  <c r="BH316" i="36"/>
  <c r="CA316" i="36"/>
  <c r="BH322" i="36"/>
  <c r="CA322" i="36"/>
  <c r="BH328" i="36"/>
  <c r="CA328" i="36"/>
  <c r="BH334" i="36"/>
  <c r="CA334" i="36"/>
  <c r="BH340" i="36"/>
  <c r="CA340" i="36"/>
  <c r="BH346" i="36"/>
  <c r="CA346" i="36"/>
  <c r="BH352" i="36"/>
  <c r="CA352" i="36"/>
  <c r="BH358" i="36"/>
  <c r="CA358" i="36"/>
  <c r="BH364" i="36"/>
  <c r="CA364" i="36"/>
  <c r="BH370" i="36"/>
  <c r="CA370" i="36"/>
  <c r="BH376" i="36"/>
  <c r="CA376" i="36"/>
  <c r="BH382" i="36"/>
  <c r="CA382" i="36"/>
  <c r="BH388" i="36"/>
  <c r="CA388" i="36"/>
  <c r="BH394" i="36"/>
  <c r="CA394" i="36"/>
  <c r="BH400" i="36"/>
  <c r="CA400" i="36"/>
  <c r="BH406" i="36"/>
  <c r="CA406" i="36"/>
  <c r="BH412" i="36"/>
  <c r="CA412" i="36"/>
  <c r="BH418" i="36"/>
  <c r="CA418" i="36"/>
  <c r="BH424" i="36"/>
  <c r="CA424" i="36"/>
  <c r="BH430" i="36"/>
  <c r="CA430" i="36"/>
  <c r="BH436" i="36"/>
  <c r="CA436" i="36"/>
  <c r="BH442" i="36"/>
  <c r="CA442" i="36"/>
  <c r="BI408" i="36"/>
  <c r="CC408" i="36"/>
  <c r="BJ408" i="36"/>
  <c r="BH79" i="36"/>
  <c r="CA79" i="36"/>
  <c r="BH103" i="36"/>
  <c r="CA103" i="36"/>
  <c r="BH133" i="36"/>
  <c r="CA133" i="36"/>
  <c r="BH163" i="36"/>
  <c r="CA163" i="36"/>
  <c r="BH187" i="36"/>
  <c r="CA187" i="36"/>
  <c r="BH211" i="36"/>
  <c r="CA211" i="36"/>
  <c r="BH235" i="36"/>
  <c r="CA235" i="36"/>
  <c r="BH271" i="36"/>
  <c r="CA271" i="36"/>
  <c r="BH313" i="36"/>
  <c r="CA313" i="36"/>
  <c r="BH343" i="36"/>
  <c r="CA343" i="36"/>
  <c r="BH373" i="36"/>
  <c r="CA373" i="36"/>
  <c r="BH397" i="36"/>
  <c r="CA397" i="36"/>
  <c r="CA421" i="36"/>
  <c r="BH421" i="36"/>
  <c r="BH93" i="36"/>
  <c r="CA93" i="36"/>
  <c r="BH111" i="36"/>
  <c r="CA111" i="36"/>
  <c r="BH135" i="36"/>
  <c r="CA135" i="36"/>
  <c r="BH153" i="36"/>
  <c r="CA153" i="36"/>
  <c r="BH177" i="36"/>
  <c r="CA177" i="36"/>
  <c r="BH207" i="36"/>
  <c r="CA207" i="36"/>
  <c r="BH231" i="36"/>
  <c r="CA231" i="36"/>
  <c r="BH255" i="36"/>
  <c r="CA255" i="36"/>
  <c r="BI75" i="36"/>
  <c r="CB75" i="36"/>
  <c r="BI87" i="36"/>
  <c r="CB87" i="36"/>
  <c r="BI105" i="36"/>
  <c r="CB105" i="36"/>
  <c r="BI123" i="36"/>
  <c r="CB123" i="36"/>
  <c r="BI141" i="36"/>
  <c r="CB141" i="36"/>
  <c r="BI153" i="36"/>
  <c r="CB153" i="36"/>
  <c r="BH72" i="36"/>
  <c r="CA72" i="36"/>
  <c r="BH84" i="36"/>
  <c r="CA84" i="36"/>
  <c r="BH90" i="36"/>
  <c r="CA90" i="36"/>
  <c r="BH102" i="36"/>
  <c r="CA102" i="36"/>
  <c r="BH114" i="36"/>
  <c r="CA114" i="36"/>
  <c r="BH144" i="36"/>
  <c r="CA144" i="36"/>
  <c r="BH162" i="36"/>
  <c r="CA162" i="36"/>
  <c r="BH288" i="36"/>
  <c r="CA288" i="36"/>
  <c r="BI93" i="36"/>
  <c r="CB93" i="36"/>
  <c r="BI111" i="36"/>
  <c r="CB111" i="36"/>
  <c r="BI117" i="36"/>
  <c r="CB117" i="36"/>
  <c r="BI135" i="36"/>
  <c r="CB135" i="36"/>
  <c r="BI159" i="36"/>
  <c r="CB159" i="36"/>
  <c r="BJ441" i="36"/>
  <c r="CC441" i="36"/>
  <c r="CC429" i="36"/>
  <c r="BJ429" i="36"/>
  <c r="BH78" i="36"/>
  <c r="CA78" i="36"/>
  <c r="BH96" i="36"/>
  <c r="CA96" i="36"/>
  <c r="BH108" i="36"/>
  <c r="CA108" i="36"/>
  <c r="BH120" i="36"/>
  <c r="CA120" i="36"/>
  <c r="BH126" i="36"/>
  <c r="CA126" i="36"/>
  <c r="BH132" i="36"/>
  <c r="CA132" i="36"/>
  <c r="BH138" i="36"/>
  <c r="CA138" i="36"/>
  <c r="BH150" i="36"/>
  <c r="CA150" i="36"/>
  <c r="BH156" i="36"/>
  <c r="CA156" i="36"/>
  <c r="BH168" i="36"/>
  <c r="CA168" i="36"/>
  <c r="BH174" i="36"/>
  <c r="CA174" i="36"/>
  <c r="BH180" i="36"/>
  <c r="CA180" i="36"/>
  <c r="BH186" i="36"/>
  <c r="CA186" i="36"/>
  <c r="BH192" i="36"/>
  <c r="CA192" i="36"/>
  <c r="BH198" i="36"/>
  <c r="CA198" i="36"/>
  <c r="BH204" i="36"/>
  <c r="CA204" i="36"/>
  <c r="BH210" i="36"/>
  <c r="CA210" i="36"/>
  <c r="BH216" i="36"/>
  <c r="CA216" i="36"/>
  <c r="BH222" i="36"/>
  <c r="CA222" i="36"/>
  <c r="BH228" i="36"/>
  <c r="CA228" i="36"/>
  <c r="BH234" i="36"/>
  <c r="CA234" i="36"/>
  <c r="BH240" i="36"/>
  <c r="CA240" i="36"/>
  <c r="BH246" i="36"/>
  <c r="CA246" i="36"/>
  <c r="BH252" i="36"/>
  <c r="CA252" i="36"/>
  <c r="BH258" i="36"/>
  <c r="CA258" i="36"/>
  <c r="BH264" i="36"/>
  <c r="CA264" i="36"/>
  <c r="BH270" i="36"/>
  <c r="CA270" i="36"/>
  <c r="BH276" i="36"/>
  <c r="CA276" i="36"/>
  <c r="BH282" i="36"/>
  <c r="CA282" i="36"/>
  <c r="BH294" i="36"/>
  <c r="CA294" i="36"/>
  <c r="BH300" i="36"/>
  <c r="CA300" i="36"/>
  <c r="BH306" i="36"/>
  <c r="CA306" i="36"/>
  <c r="BH312" i="36"/>
  <c r="CA312" i="36"/>
  <c r="BH318" i="36"/>
  <c r="CA318" i="36"/>
  <c r="BH324" i="36"/>
  <c r="CA324" i="36"/>
  <c r="BH330" i="36"/>
  <c r="CA330" i="36"/>
  <c r="BH336" i="36"/>
  <c r="CA336" i="36"/>
  <c r="BH342" i="36"/>
  <c r="CA342" i="36"/>
  <c r="BH348" i="36"/>
  <c r="CA348" i="36"/>
  <c r="BH354" i="36"/>
  <c r="CA354" i="36"/>
  <c r="BH360" i="36"/>
  <c r="CA360" i="36"/>
  <c r="BH366" i="36"/>
  <c r="CA366" i="36"/>
  <c r="BH372" i="36"/>
  <c r="CA372" i="36"/>
  <c r="BH378" i="36"/>
  <c r="CA378" i="36"/>
  <c r="BH384" i="36"/>
  <c r="CA384" i="36"/>
  <c r="BH390" i="36"/>
  <c r="CA390" i="36"/>
  <c r="BH396" i="36"/>
  <c r="CA396" i="36"/>
  <c r="BH402" i="36"/>
  <c r="CA402" i="36"/>
  <c r="BH408" i="36"/>
  <c r="CA408" i="36"/>
  <c r="BH414" i="36"/>
  <c r="CA414" i="36"/>
  <c r="BH420" i="36"/>
  <c r="CA420" i="36"/>
  <c r="CA426" i="36"/>
  <c r="BH426" i="36"/>
  <c r="BH432" i="36"/>
  <c r="CA432" i="36"/>
  <c r="BI72" i="36"/>
  <c r="CB72" i="36"/>
  <c r="BI78" i="36"/>
  <c r="CB78" i="36"/>
  <c r="BI84" i="36"/>
  <c r="CB84" i="36"/>
  <c r="BI90" i="36"/>
  <c r="CB90" i="36"/>
  <c r="BI96" i="36"/>
  <c r="CB96" i="36"/>
  <c r="BI102" i="36"/>
  <c r="CB102" i="36"/>
  <c r="BI108" i="36"/>
  <c r="CB108" i="36"/>
  <c r="BI114" i="36"/>
  <c r="CB114" i="36"/>
  <c r="BI120" i="36"/>
  <c r="CB120" i="36"/>
  <c r="BI126" i="36"/>
  <c r="CB126" i="36"/>
  <c r="BI132" i="36"/>
  <c r="CB132" i="36"/>
  <c r="BI138" i="36"/>
  <c r="CB138" i="36"/>
  <c r="BI144" i="36"/>
  <c r="CB144" i="36"/>
  <c r="BI150" i="36"/>
  <c r="CB150" i="36"/>
  <c r="BI156" i="36"/>
  <c r="CB156" i="36"/>
  <c r="BI162" i="36"/>
  <c r="CB162" i="36"/>
  <c r="BI168" i="36"/>
  <c r="CB168" i="36"/>
  <c r="BI174" i="36"/>
  <c r="CB174" i="36"/>
  <c r="BI180" i="36"/>
  <c r="CB180" i="36"/>
  <c r="BI186" i="36"/>
  <c r="CB186" i="36"/>
  <c r="BI192" i="36"/>
  <c r="CB192" i="36"/>
  <c r="BI198" i="36"/>
  <c r="CB198" i="36"/>
  <c r="BI204" i="36"/>
  <c r="CB204" i="36"/>
  <c r="BI210" i="36"/>
  <c r="CB210" i="36"/>
  <c r="BI216" i="36"/>
  <c r="CB216" i="36"/>
  <c r="BI222" i="36"/>
  <c r="CB222" i="36"/>
  <c r="BI228" i="36"/>
  <c r="CB228" i="36"/>
  <c r="BI234" i="36"/>
  <c r="CB234" i="36"/>
  <c r="BI240" i="36"/>
  <c r="CB240" i="36"/>
  <c r="BI246" i="36"/>
  <c r="CB246" i="36"/>
  <c r="BI252" i="36"/>
  <c r="CB252" i="36"/>
  <c r="BI258" i="36"/>
  <c r="CB258" i="36"/>
  <c r="BI264" i="36"/>
  <c r="CB264" i="36"/>
  <c r="BI270" i="36"/>
  <c r="CB270" i="36"/>
  <c r="BI276" i="36"/>
  <c r="CB276" i="36"/>
  <c r="BI282" i="36"/>
  <c r="CB282" i="36"/>
  <c r="BI288" i="36"/>
  <c r="CB288" i="36"/>
  <c r="BI294" i="36"/>
  <c r="CB294" i="36"/>
  <c r="BI300" i="36"/>
  <c r="CB300" i="36"/>
  <c r="BI306" i="36"/>
  <c r="CB306" i="36"/>
  <c r="BI312" i="36"/>
  <c r="CB312" i="36"/>
  <c r="BI318" i="36"/>
  <c r="CB318" i="36"/>
  <c r="BI324" i="36"/>
  <c r="CB324" i="36"/>
  <c r="BI330" i="36"/>
  <c r="CB330" i="36"/>
  <c r="BI336" i="36"/>
  <c r="CB336" i="36"/>
  <c r="CB348" i="36"/>
  <c r="BI348" i="36"/>
  <c r="BI354" i="36"/>
  <c r="CB354" i="36"/>
  <c r="BI360" i="36"/>
  <c r="CB360" i="36"/>
  <c r="BI366" i="36"/>
  <c r="CB366" i="36"/>
  <c r="BI372" i="36"/>
  <c r="CB372" i="36"/>
  <c r="BI378" i="36"/>
  <c r="CB378" i="36"/>
  <c r="BI384" i="36"/>
  <c r="CB384" i="36"/>
  <c r="BI396" i="36"/>
  <c r="CB396" i="36"/>
  <c r="CB402" i="36"/>
  <c r="BI402" i="36"/>
  <c r="CB420" i="36"/>
  <c r="BI420" i="36"/>
  <c r="CB426" i="36"/>
  <c r="BI426" i="36"/>
  <c r="CB432" i="36"/>
  <c r="BI432" i="36"/>
  <c r="CB438" i="36"/>
  <c r="BI438" i="36"/>
  <c r="CC435" i="36"/>
  <c r="BJ435" i="36"/>
  <c r="BJ339" i="36"/>
  <c r="CC339" i="36"/>
  <c r="BJ261" i="36"/>
  <c r="CC261" i="36"/>
  <c r="CA125" i="36"/>
  <c r="CC267" i="36"/>
  <c r="CB351" i="36"/>
  <c r="BJ369" i="36"/>
  <c r="CC369" i="36"/>
  <c r="BH89" i="36"/>
  <c r="CA89" i="36"/>
  <c r="BH113" i="36"/>
  <c r="CA113" i="36"/>
  <c r="BH119" i="36"/>
  <c r="CA119" i="36"/>
  <c r="BH131" i="36"/>
  <c r="CA131" i="36"/>
  <c r="BH143" i="36"/>
  <c r="CA143" i="36"/>
  <c r="BH155" i="36"/>
  <c r="CA155" i="36"/>
  <c r="BH167" i="36"/>
  <c r="CA167" i="36"/>
  <c r="BH179" i="36"/>
  <c r="CA179" i="36"/>
  <c r="BH185" i="36"/>
  <c r="CA185" i="36"/>
  <c r="BH191" i="36"/>
  <c r="CA191" i="36"/>
  <c r="BH209" i="36"/>
  <c r="CA209" i="36"/>
  <c r="BH215" i="36"/>
  <c r="CA215" i="36"/>
  <c r="BH221" i="36"/>
  <c r="CA221" i="36"/>
  <c r="BH227" i="36"/>
  <c r="CA227" i="36"/>
  <c r="BH233" i="36"/>
  <c r="CA233" i="36"/>
  <c r="BH245" i="36"/>
  <c r="CA245" i="36"/>
  <c r="BH251" i="36"/>
  <c r="CA251" i="36"/>
  <c r="BH257" i="36"/>
  <c r="CA257" i="36"/>
  <c r="BH263" i="36"/>
  <c r="CA263" i="36"/>
  <c r="BH275" i="36"/>
  <c r="CA275" i="36"/>
  <c r="BH281" i="36"/>
  <c r="CA281" i="36"/>
  <c r="BH287" i="36"/>
  <c r="CA287" i="36"/>
  <c r="BH293" i="36"/>
  <c r="CA293" i="36"/>
  <c r="BH299" i="36"/>
  <c r="CA299" i="36"/>
  <c r="BH305" i="36"/>
  <c r="CA305" i="36"/>
  <c r="BH311" i="36"/>
  <c r="CA311" i="36"/>
  <c r="BH317" i="36"/>
  <c r="CA317" i="36"/>
  <c r="BH335" i="36"/>
  <c r="CA335" i="36"/>
  <c r="BH341" i="36"/>
  <c r="CA341" i="36"/>
  <c r="BH347" i="36"/>
  <c r="CA347" i="36"/>
  <c r="BH353" i="36"/>
  <c r="CA353" i="36"/>
  <c r="BH359" i="36"/>
  <c r="CA359" i="36"/>
  <c r="BH365" i="36"/>
  <c r="CA365" i="36"/>
  <c r="BH371" i="36"/>
  <c r="CA371" i="36"/>
  <c r="BH377" i="36"/>
  <c r="CA377" i="36"/>
  <c r="BH383" i="36"/>
  <c r="CA383" i="36"/>
  <c r="BH401" i="36"/>
  <c r="CA401" i="36"/>
  <c r="BH407" i="36"/>
  <c r="CA407" i="36"/>
  <c r="BH413" i="36"/>
  <c r="CA413" i="36"/>
  <c r="BH419" i="36"/>
  <c r="CA419" i="36"/>
  <c r="BH425" i="36"/>
  <c r="CA425" i="36"/>
  <c r="BH431" i="36"/>
  <c r="CA431" i="36"/>
  <c r="BH443" i="36"/>
  <c r="CA443" i="36"/>
  <c r="BH437" i="36"/>
  <c r="BH389" i="36"/>
  <c r="BJ252" i="36"/>
  <c r="CC252" i="36"/>
  <c r="BJ222" i="36"/>
  <c r="CC222" i="36"/>
  <c r="CA95" i="36"/>
  <c r="CC135" i="36"/>
  <c r="CB189" i="36"/>
  <c r="CA197" i="36"/>
  <c r="CB291" i="36"/>
  <c r="BJ273" i="36"/>
  <c r="CC273" i="36"/>
  <c r="CA77" i="36"/>
  <c r="BJ285" i="36"/>
  <c r="CC285" i="36"/>
  <c r="BJ216" i="36"/>
  <c r="CC216" i="36"/>
  <c r="BJ186" i="36"/>
  <c r="CC186" i="36"/>
  <c r="CC69" i="36"/>
  <c r="CA83" i="36"/>
  <c r="CC84" i="36"/>
  <c r="CA149" i="36"/>
  <c r="CA297" i="36"/>
  <c r="CA329" i="36"/>
  <c r="BJ207" i="36"/>
  <c r="CC207" i="36"/>
  <c r="BJ177" i="36"/>
  <c r="CC177" i="36"/>
  <c r="BJ147" i="36"/>
  <c r="CC147" i="36"/>
  <c r="BJ117" i="36"/>
  <c r="CC117" i="36"/>
  <c r="CB177" i="36"/>
  <c r="CA239" i="36"/>
  <c r="BJ375" i="36"/>
  <c r="CC375" i="36"/>
  <c r="BJ366" i="36"/>
  <c r="CC366" i="36"/>
  <c r="BJ357" i="36"/>
  <c r="CC357" i="36"/>
  <c r="BJ306" i="36"/>
  <c r="CC306" i="36"/>
  <c r="BJ237" i="36"/>
  <c r="CC237" i="36"/>
  <c r="BJ138" i="36"/>
  <c r="CC138" i="36"/>
  <c r="BJ108" i="36"/>
  <c r="CC108" i="36"/>
  <c r="BJ90" i="36"/>
  <c r="CC90" i="36"/>
  <c r="CA107" i="36"/>
  <c r="CC159" i="36"/>
  <c r="CA161" i="36"/>
  <c r="CA173" i="36"/>
  <c r="BH273" i="36"/>
  <c r="CA273" i="36"/>
  <c r="BH279" i="36"/>
  <c r="CA279" i="36"/>
  <c r="BH285" i="36"/>
  <c r="CA285" i="36"/>
  <c r="BH291" i="36"/>
  <c r="CA291" i="36"/>
  <c r="BH303" i="36"/>
  <c r="CA303" i="36"/>
  <c r="BH309" i="36"/>
  <c r="CA309" i="36"/>
  <c r="BH315" i="36"/>
  <c r="CA315" i="36"/>
  <c r="BH321" i="36"/>
  <c r="CA321" i="36"/>
  <c r="BH327" i="36"/>
  <c r="CA327" i="36"/>
  <c r="BH333" i="36"/>
  <c r="CA333" i="36"/>
  <c r="BH339" i="36"/>
  <c r="CA339" i="36"/>
  <c r="BH345" i="36"/>
  <c r="CA345" i="36"/>
  <c r="BH351" i="36"/>
  <c r="CA351" i="36"/>
  <c r="BH357" i="36"/>
  <c r="CA357" i="36"/>
  <c r="BH363" i="36"/>
  <c r="CA363" i="36"/>
  <c r="BH369" i="36"/>
  <c r="CA369" i="36"/>
  <c r="BH375" i="36"/>
  <c r="CA375" i="36"/>
  <c r="BH387" i="36"/>
  <c r="CA387" i="36"/>
  <c r="BH393" i="36"/>
  <c r="CA393" i="36"/>
  <c r="BH399" i="36"/>
  <c r="CA399" i="36"/>
  <c r="BH405" i="36"/>
  <c r="CA405" i="36"/>
  <c r="BH411" i="36"/>
  <c r="CA411" i="36"/>
  <c r="BH417" i="36"/>
  <c r="CA417" i="36"/>
  <c r="BH423" i="36"/>
  <c r="CA423" i="36"/>
  <c r="BH429" i="36"/>
  <c r="CA429" i="36"/>
  <c r="BH435" i="36"/>
  <c r="CA435" i="36"/>
  <c r="BJ387" i="36"/>
  <c r="CC387" i="36"/>
  <c r="BJ327" i="36"/>
  <c r="CC327" i="36"/>
  <c r="BJ288" i="36"/>
  <c r="CC288" i="36"/>
  <c r="BJ228" i="36"/>
  <c r="CC228" i="36"/>
  <c r="BJ219" i="36"/>
  <c r="CC219" i="36"/>
  <c r="BJ189" i="36"/>
  <c r="CC189" i="36"/>
  <c r="CC105" i="36"/>
  <c r="CC126" i="36"/>
  <c r="CC171" i="36"/>
  <c r="CB201" i="36"/>
  <c r="CC240" i="36"/>
  <c r="CA323" i="36"/>
  <c r="BI165" i="36"/>
  <c r="CB165" i="36"/>
  <c r="BI171" i="36"/>
  <c r="CB171" i="36"/>
  <c r="BI183" i="36"/>
  <c r="CB183" i="36"/>
  <c r="BI195" i="36"/>
  <c r="CB195" i="36"/>
  <c r="BI207" i="36"/>
  <c r="CB207" i="36"/>
  <c r="BI213" i="36"/>
  <c r="CB213" i="36"/>
  <c r="BI219" i="36"/>
  <c r="CB219" i="36"/>
  <c r="BI225" i="36"/>
  <c r="CB225" i="36"/>
  <c r="BI237" i="36"/>
  <c r="CB237" i="36"/>
  <c r="BI243" i="36"/>
  <c r="CB243" i="36"/>
  <c r="BI249" i="36"/>
  <c r="CB249" i="36"/>
  <c r="BI255" i="36"/>
  <c r="CB255" i="36"/>
  <c r="BI261" i="36"/>
  <c r="CB261" i="36"/>
  <c r="BI273" i="36"/>
  <c r="CB273" i="36"/>
  <c r="BI279" i="36"/>
  <c r="CB279" i="36"/>
  <c r="BI285" i="36"/>
  <c r="CB285" i="36"/>
  <c r="BI297" i="36"/>
  <c r="CB297" i="36"/>
  <c r="BI303" i="36"/>
  <c r="CB303" i="36"/>
  <c r="BI309" i="36"/>
  <c r="CB309" i="36"/>
  <c r="BI315" i="36"/>
  <c r="CB315" i="36"/>
  <c r="BI321" i="36"/>
  <c r="CB321" i="36"/>
  <c r="BI327" i="36"/>
  <c r="CB327" i="36"/>
  <c r="BI333" i="36"/>
  <c r="CB333" i="36"/>
  <c r="BI339" i="36"/>
  <c r="CB339" i="36"/>
  <c r="BI345" i="36"/>
  <c r="CB345" i="36"/>
  <c r="BI357" i="36"/>
  <c r="CB357" i="36"/>
  <c r="BI363" i="36"/>
  <c r="CB363" i="36"/>
  <c r="BI369" i="36"/>
  <c r="CB369" i="36"/>
  <c r="BI375" i="36"/>
  <c r="CB375" i="36"/>
  <c r="BI381" i="36"/>
  <c r="CB381" i="36"/>
  <c r="BI387" i="36"/>
  <c r="CB387" i="36"/>
  <c r="BI393" i="36"/>
  <c r="CB393" i="36"/>
  <c r="BI399" i="36"/>
  <c r="CB399" i="36"/>
  <c r="BI405" i="36"/>
  <c r="CB405" i="36"/>
  <c r="BI411" i="36"/>
  <c r="CB411" i="36"/>
  <c r="BI417" i="36"/>
  <c r="CB417" i="36"/>
  <c r="BI423" i="36"/>
  <c r="CB423" i="36"/>
  <c r="BI441" i="36"/>
  <c r="BJ426" i="36"/>
  <c r="CC426" i="36"/>
  <c r="BJ351" i="36"/>
  <c r="CC351" i="36"/>
  <c r="BJ300" i="36"/>
  <c r="CC300" i="36"/>
  <c r="BJ150" i="36"/>
  <c r="CC150" i="36"/>
  <c r="CC99" i="36"/>
  <c r="CA101" i="36"/>
  <c r="CA137" i="36"/>
  <c r="CC201" i="36"/>
  <c r="CA203" i="36"/>
  <c r="CB231" i="36"/>
  <c r="CB267" i="36"/>
  <c r="CA269" i="36"/>
  <c r="CC315" i="36"/>
  <c r="AV58" i="36"/>
  <c r="AW58" i="36"/>
  <c r="AX58" i="36"/>
  <c r="AT58" i="36"/>
  <c r="BB58" i="36"/>
  <c r="AZ58" i="36"/>
  <c r="BA58" i="36"/>
  <c r="BF58" i="36"/>
  <c r="AR58" i="36"/>
  <c r="AS58" i="36"/>
  <c r="AU58" i="36"/>
  <c r="BH70" i="36"/>
  <c r="AY58" i="36"/>
  <c r="AT57" i="36"/>
  <c r="BB57" i="36"/>
  <c r="AU57" i="36"/>
  <c r="BF57" i="36"/>
  <c r="AV57" i="36"/>
  <c r="AR57" i="36"/>
  <c r="AZ57" i="36"/>
  <c r="AX57" i="36"/>
  <c r="AY57" i="36"/>
  <c r="BA57" i="36"/>
  <c r="BH69" i="36"/>
  <c r="AS57" i="36"/>
  <c r="AW57" i="36"/>
  <c r="BH71" i="36"/>
  <c r="I63" i="36"/>
  <c r="I61" i="36"/>
  <c r="I59" i="36"/>
  <c r="I42" i="36"/>
  <c r="AJ443" i="36"/>
  <c r="AF443" i="36"/>
  <c r="AE443" i="36"/>
  <c r="AD443" i="36"/>
  <c r="AC443" i="36"/>
  <c r="AB443" i="36"/>
  <c r="AA443" i="36"/>
  <c r="Z443" i="36"/>
  <c r="Y443" i="36"/>
  <c r="X443" i="36"/>
  <c r="W443" i="36"/>
  <c r="V443" i="36"/>
  <c r="U443" i="36"/>
  <c r="T443" i="36"/>
  <c r="S443" i="36"/>
  <c r="R443" i="36"/>
  <c r="Q443" i="36"/>
  <c r="P443" i="36"/>
  <c r="O443" i="36"/>
  <c r="N443" i="36"/>
  <c r="M443" i="36"/>
  <c r="L443" i="36"/>
  <c r="K443" i="36"/>
  <c r="I443" i="36"/>
  <c r="AQ443" i="36" s="1"/>
  <c r="H443" i="36"/>
  <c r="G443" i="36"/>
  <c r="F443" i="36"/>
  <c r="I442" i="36"/>
  <c r="AQ442" i="36" s="1"/>
  <c r="H442" i="36"/>
  <c r="G442" i="36"/>
  <c r="F442" i="36"/>
  <c r="AP442" i="36" s="1"/>
  <c r="AJ440" i="36"/>
  <c r="AF440" i="36"/>
  <c r="AE440" i="36"/>
  <c r="AD440" i="36"/>
  <c r="AC440" i="36"/>
  <c r="AB440" i="36"/>
  <c r="AA440" i="36"/>
  <c r="Z440" i="36"/>
  <c r="Y440" i="36"/>
  <c r="X440" i="36"/>
  <c r="W440" i="36"/>
  <c r="V440" i="36"/>
  <c r="U440" i="36"/>
  <c r="T440" i="36"/>
  <c r="S440" i="36"/>
  <c r="R440" i="36"/>
  <c r="Q440" i="36"/>
  <c r="P440" i="36"/>
  <c r="O440" i="36"/>
  <c r="N440" i="36"/>
  <c r="M440" i="36"/>
  <c r="L440" i="36"/>
  <c r="K440" i="36"/>
  <c r="I440" i="36"/>
  <c r="AQ440" i="36" s="1"/>
  <c r="H440" i="36"/>
  <c r="G440" i="36"/>
  <c r="F440" i="36"/>
  <c r="AP440" i="36" s="1"/>
  <c r="I439" i="36"/>
  <c r="AQ439" i="36" s="1"/>
  <c r="H439" i="36"/>
  <c r="G439" i="36"/>
  <c r="F439" i="36"/>
  <c r="AJ437" i="36"/>
  <c r="AF437" i="36"/>
  <c r="AE437" i="36"/>
  <c r="AD437" i="36"/>
  <c r="AC437" i="36"/>
  <c r="AB437" i="36"/>
  <c r="AA437" i="36"/>
  <c r="Z437" i="36"/>
  <c r="Y437" i="36"/>
  <c r="X437" i="36"/>
  <c r="W437" i="36"/>
  <c r="V437" i="36"/>
  <c r="U437" i="36"/>
  <c r="T437" i="36"/>
  <c r="S437" i="36"/>
  <c r="R437" i="36"/>
  <c r="Q437" i="36"/>
  <c r="P437" i="36"/>
  <c r="O437" i="36"/>
  <c r="N437" i="36"/>
  <c r="M437" i="36"/>
  <c r="L437" i="36"/>
  <c r="K437" i="36"/>
  <c r="I437" i="36"/>
  <c r="AQ437" i="36" s="1"/>
  <c r="H437" i="36"/>
  <c r="G437" i="36"/>
  <c r="F437" i="36"/>
  <c r="AP437" i="36" s="1"/>
  <c r="I436" i="36"/>
  <c r="AQ436" i="36" s="1"/>
  <c r="H436" i="36"/>
  <c r="G436" i="36"/>
  <c r="F436" i="36"/>
  <c r="AP436" i="36" s="1"/>
  <c r="AJ434" i="36"/>
  <c r="AF434" i="36"/>
  <c r="AE434" i="36"/>
  <c r="AD434" i="36"/>
  <c r="AC434" i="36"/>
  <c r="AB434" i="36"/>
  <c r="AA434" i="36"/>
  <c r="Z434" i="36"/>
  <c r="Y434" i="36"/>
  <c r="X434" i="36"/>
  <c r="W434" i="36"/>
  <c r="V434" i="36"/>
  <c r="U434" i="36"/>
  <c r="T434" i="36"/>
  <c r="S434" i="36"/>
  <c r="R434" i="36"/>
  <c r="Q434" i="36"/>
  <c r="P434" i="36"/>
  <c r="O434" i="36"/>
  <c r="N434" i="36"/>
  <c r="M434" i="36"/>
  <c r="L434" i="36"/>
  <c r="K434" i="36"/>
  <c r="I434" i="36"/>
  <c r="AQ434" i="36" s="1"/>
  <c r="H434" i="36"/>
  <c r="G434" i="36"/>
  <c r="F434" i="36"/>
  <c r="AP434" i="36" s="1"/>
  <c r="I433" i="36"/>
  <c r="AQ433" i="36" s="1"/>
  <c r="H433" i="36"/>
  <c r="G433" i="36"/>
  <c r="F433" i="36"/>
  <c r="AP433" i="36" s="1"/>
  <c r="AJ431" i="36"/>
  <c r="AF431" i="36"/>
  <c r="AE431" i="36"/>
  <c r="AD431" i="36"/>
  <c r="AC431" i="36"/>
  <c r="AB431" i="36"/>
  <c r="AA431" i="36"/>
  <c r="Z431" i="36"/>
  <c r="Y431" i="36"/>
  <c r="X431" i="36"/>
  <c r="W431" i="36"/>
  <c r="V431" i="36"/>
  <c r="U431" i="36"/>
  <c r="T431" i="36"/>
  <c r="S431" i="36"/>
  <c r="R431" i="36"/>
  <c r="Q431" i="36"/>
  <c r="P431" i="36"/>
  <c r="O431" i="36"/>
  <c r="N431" i="36"/>
  <c r="M431" i="36"/>
  <c r="L431" i="36"/>
  <c r="K431" i="36"/>
  <c r="I431" i="36"/>
  <c r="AQ431" i="36" s="1"/>
  <c r="H431" i="36"/>
  <c r="G431" i="36"/>
  <c r="F431" i="36"/>
  <c r="AP431" i="36" s="1"/>
  <c r="I430" i="36"/>
  <c r="AQ430" i="36" s="1"/>
  <c r="H430" i="36"/>
  <c r="G430" i="36"/>
  <c r="F430" i="36"/>
  <c r="AP430" i="36" s="1"/>
  <c r="AJ428" i="36"/>
  <c r="AF428" i="36"/>
  <c r="AE428" i="36"/>
  <c r="AD428" i="36"/>
  <c r="AC428" i="36"/>
  <c r="AB428" i="36"/>
  <c r="AA428" i="36"/>
  <c r="Z428" i="36"/>
  <c r="Y428" i="36"/>
  <c r="X428" i="36"/>
  <c r="W428" i="36"/>
  <c r="V428" i="36"/>
  <c r="U428" i="36"/>
  <c r="T428" i="36"/>
  <c r="S428" i="36"/>
  <c r="R428" i="36"/>
  <c r="Q428" i="36"/>
  <c r="P428" i="36"/>
  <c r="O428" i="36"/>
  <c r="N428" i="36"/>
  <c r="M428" i="36"/>
  <c r="L428" i="36"/>
  <c r="K428" i="36"/>
  <c r="I428" i="36"/>
  <c r="AQ428" i="36" s="1"/>
  <c r="H428" i="36"/>
  <c r="G428" i="36"/>
  <c r="F428" i="36"/>
  <c r="AP428" i="36" s="1"/>
  <c r="I427" i="36"/>
  <c r="AQ427" i="36" s="1"/>
  <c r="H427" i="36"/>
  <c r="G427" i="36"/>
  <c r="F427" i="36"/>
  <c r="AP427" i="36" s="1"/>
  <c r="AJ425" i="36"/>
  <c r="AF425" i="36"/>
  <c r="AE425" i="36"/>
  <c r="AD425" i="36"/>
  <c r="AC425" i="36"/>
  <c r="AB425" i="36"/>
  <c r="AA425" i="36"/>
  <c r="Z425" i="36"/>
  <c r="Y425" i="36"/>
  <c r="X425" i="36"/>
  <c r="W425" i="36"/>
  <c r="V425" i="36"/>
  <c r="U425" i="36"/>
  <c r="T425" i="36"/>
  <c r="S425" i="36"/>
  <c r="R425" i="36"/>
  <c r="Q425" i="36"/>
  <c r="P425" i="36"/>
  <c r="O425" i="36"/>
  <c r="N425" i="36"/>
  <c r="M425" i="36"/>
  <c r="L425" i="36"/>
  <c r="K425" i="36"/>
  <c r="I425" i="36"/>
  <c r="AQ425" i="36" s="1"/>
  <c r="H425" i="36"/>
  <c r="G425" i="36"/>
  <c r="F425" i="36"/>
  <c r="AP425" i="36" s="1"/>
  <c r="I424" i="36"/>
  <c r="AQ424" i="36" s="1"/>
  <c r="H424" i="36"/>
  <c r="G424" i="36"/>
  <c r="F424" i="36"/>
  <c r="AP424" i="36" s="1"/>
  <c r="AJ422" i="36"/>
  <c r="AF422" i="36"/>
  <c r="AE422" i="36"/>
  <c r="AD422" i="36"/>
  <c r="AC422" i="36"/>
  <c r="AB422" i="36"/>
  <c r="AA422" i="36"/>
  <c r="Z422" i="36"/>
  <c r="Y422" i="36"/>
  <c r="X422" i="36"/>
  <c r="W422" i="36"/>
  <c r="V422" i="36"/>
  <c r="U422" i="36"/>
  <c r="T422" i="36"/>
  <c r="S422" i="36"/>
  <c r="R422" i="36"/>
  <c r="Q422" i="36"/>
  <c r="P422" i="36"/>
  <c r="O422" i="36"/>
  <c r="N422" i="36"/>
  <c r="M422" i="36"/>
  <c r="L422" i="36"/>
  <c r="K422" i="36"/>
  <c r="I422" i="36"/>
  <c r="AQ422" i="36" s="1"/>
  <c r="H422" i="36"/>
  <c r="G422" i="36"/>
  <c r="F422" i="36"/>
  <c r="AP422" i="36" s="1"/>
  <c r="I421" i="36"/>
  <c r="AQ421" i="36" s="1"/>
  <c r="H421" i="36"/>
  <c r="G421" i="36"/>
  <c r="F421" i="36"/>
  <c r="AJ419" i="36"/>
  <c r="AF419" i="36"/>
  <c r="AE419" i="36"/>
  <c r="AD419" i="36"/>
  <c r="AC419" i="36"/>
  <c r="AB419" i="36"/>
  <c r="AA419" i="36"/>
  <c r="Z419" i="36"/>
  <c r="Y419" i="36"/>
  <c r="X419" i="36"/>
  <c r="W419" i="36"/>
  <c r="V419" i="36"/>
  <c r="U419" i="36"/>
  <c r="T419" i="36"/>
  <c r="S419" i="36"/>
  <c r="R419" i="36"/>
  <c r="Q419" i="36"/>
  <c r="P419" i="36"/>
  <c r="O419" i="36"/>
  <c r="N419" i="36"/>
  <c r="M419" i="36"/>
  <c r="L419" i="36"/>
  <c r="K419" i="36"/>
  <c r="I419" i="36"/>
  <c r="AQ419" i="36" s="1"/>
  <c r="H419" i="36"/>
  <c r="G419" i="36"/>
  <c r="F419" i="36"/>
  <c r="AP419" i="36" s="1"/>
  <c r="I418" i="36"/>
  <c r="AQ418" i="36" s="1"/>
  <c r="H418" i="36"/>
  <c r="G418" i="36"/>
  <c r="F418" i="36"/>
  <c r="AP418" i="36" s="1"/>
  <c r="AJ416" i="36"/>
  <c r="AF416" i="36"/>
  <c r="AE416" i="36"/>
  <c r="AD416" i="36"/>
  <c r="AC416" i="36"/>
  <c r="AB416" i="36"/>
  <c r="AA416" i="36"/>
  <c r="Z416" i="36"/>
  <c r="Y416" i="36"/>
  <c r="X416" i="36"/>
  <c r="W416" i="36"/>
  <c r="V416" i="36"/>
  <c r="U416" i="36"/>
  <c r="T416" i="36"/>
  <c r="S416" i="36"/>
  <c r="R416" i="36"/>
  <c r="Q416" i="36"/>
  <c r="P416" i="36"/>
  <c r="O416" i="36"/>
  <c r="N416" i="36"/>
  <c r="M416" i="36"/>
  <c r="L416" i="36"/>
  <c r="K416" i="36"/>
  <c r="I416" i="36"/>
  <c r="AQ416" i="36" s="1"/>
  <c r="H416" i="36"/>
  <c r="G416" i="36"/>
  <c r="F416" i="36"/>
  <c r="AP416" i="36" s="1"/>
  <c r="I415" i="36"/>
  <c r="AQ415" i="36" s="1"/>
  <c r="H415" i="36"/>
  <c r="G415" i="36"/>
  <c r="F415" i="36"/>
  <c r="AP415" i="36" s="1"/>
  <c r="AJ413" i="36"/>
  <c r="AF413" i="36"/>
  <c r="AE413" i="36"/>
  <c r="AD413" i="36"/>
  <c r="AC413" i="36"/>
  <c r="AB413" i="36"/>
  <c r="AA413" i="36"/>
  <c r="Z413" i="36"/>
  <c r="Y413" i="36"/>
  <c r="X413" i="36"/>
  <c r="W413" i="36"/>
  <c r="V413" i="36"/>
  <c r="U413" i="36"/>
  <c r="T413" i="36"/>
  <c r="S413" i="36"/>
  <c r="R413" i="36"/>
  <c r="Q413" i="36"/>
  <c r="P413" i="36"/>
  <c r="O413" i="36"/>
  <c r="N413" i="36"/>
  <c r="M413" i="36"/>
  <c r="L413" i="36"/>
  <c r="K413" i="36"/>
  <c r="I413" i="36"/>
  <c r="AQ413" i="36" s="1"/>
  <c r="H413" i="36"/>
  <c r="G413" i="36"/>
  <c r="F413" i="36"/>
  <c r="AP413" i="36" s="1"/>
  <c r="I412" i="36"/>
  <c r="AQ412" i="36" s="1"/>
  <c r="H412" i="36"/>
  <c r="G412" i="36"/>
  <c r="F412" i="36"/>
  <c r="AP412" i="36" s="1"/>
  <c r="AJ410" i="36"/>
  <c r="AF410" i="36"/>
  <c r="AE410" i="36"/>
  <c r="AD410" i="36"/>
  <c r="AC410" i="36"/>
  <c r="AB410" i="36"/>
  <c r="AA410" i="36"/>
  <c r="Z410" i="36"/>
  <c r="Y410" i="36"/>
  <c r="X410" i="36"/>
  <c r="W410" i="36"/>
  <c r="V410" i="36"/>
  <c r="U410" i="36"/>
  <c r="T410" i="36"/>
  <c r="S410" i="36"/>
  <c r="R410" i="36"/>
  <c r="Q410" i="36"/>
  <c r="P410" i="36"/>
  <c r="O410" i="36"/>
  <c r="N410" i="36"/>
  <c r="M410" i="36"/>
  <c r="L410" i="36"/>
  <c r="K410" i="36"/>
  <c r="I410" i="36"/>
  <c r="AQ410" i="36" s="1"/>
  <c r="H410" i="36"/>
  <c r="G410" i="36"/>
  <c r="F410" i="36"/>
  <c r="AP410" i="36" s="1"/>
  <c r="I409" i="36"/>
  <c r="AQ409" i="36" s="1"/>
  <c r="H409" i="36"/>
  <c r="G409" i="36"/>
  <c r="F409" i="36"/>
  <c r="AP409" i="36" s="1"/>
  <c r="AJ407" i="36"/>
  <c r="AF407" i="36"/>
  <c r="AE407" i="36"/>
  <c r="AD407" i="36"/>
  <c r="AC407" i="36"/>
  <c r="AB407" i="36"/>
  <c r="AA407" i="36"/>
  <c r="Z407" i="36"/>
  <c r="Y407" i="36"/>
  <c r="X407" i="36"/>
  <c r="W407" i="36"/>
  <c r="V407" i="36"/>
  <c r="U407" i="36"/>
  <c r="T407" i="36"/>
  <c r="S407" i="36"/>
  <c r="R407" i="36"/>
  <c r="Q407" i="36"/>
  <c r="P407" i="36"/>
  <c r="O407" i="36"/>
  <c r="N407" i="36"/>
  <c r="M407" i="36"/>
  <c r="L407" i="36"/>
  <c r="K407" i="36"/>
  <c r="I407" i="36"/>
  <c r="AQ407" i="36" s="1"/>
  <c r="H407" i="36"/>
  <c r="G407" i="36"/>
  <c r="F407" i="36"/>
  <c r="AP407" i="36" s="1"/>
  <c r="I406" i="36"/>
  <c r="AQ406" i="36" s="1"/>
  <c r="H406" i="36"/>
  <c r="G406" i="36"/>
  <c r="F406" i="36"/>
  <c r="AJ404" i="36"/>
  <c r="AF404" i="36"/>
  <c r="AE404" i="36"/>
  <c r="AD404" i="36"/>
  <c r="AC404" i="36"/>
  <c r="AB404" i="36"/>
  <c r="AA404" i="36"/>
  <c r="Z404" i="36"/>
  <c r="Y404" i="36"/>
  <c r="X404" i="36"/>
  <c r="W404" i="36"/>
  <c r="V404" i="36"/>
  <c r="U404" i="36"/>
  <c r="T404" i="36"/>
  <c r="S404" i="36"/>
  <c r="R404" i="36"/>
  <c r="Q404" i="36"/>
  <c r="P404" i="36"/>
  <c r="O404" i="36"/>
  <c r="N404" i="36"/>
  <c r="M404" i="36"/>
  <c r="L404" i="36"/>
  <c r="K404" i="36"/>
  <c r="I404" i="36"/>
  <c r="AQ404" i="36" s="1"/>
  <c r="H404" i="36"/>
  <c r="G404" i="36"/>
  <c r="F404" i="36"/>
  <c r="AP404" i="36" s="1"/>
  <c r="I403" i="36"/>
  <c r="AQ403" i="36" s="1"/>
  <c r="H403" i="36"/>
  <c r="G403" i="36"/>
  <c r="F403" i="36"/>
  <c r="AP403" i="36" s="1"/>
  <c r="AJ401" i="36"/>
  <c r="AF401" i="36"/>
  <c r="AE401" i="36"/>
  <c r="AD401" i="36"/>
  <c r="AC401" i="36"/>
  <c r="AB401" i="36"/>
  <c r="AA401" i="36"/>
  <c r="Z401" i="36"/>
  <c r="Y401" i="36"/>
  <c r="X401" i="36"/>
  <c r="W401" i="36"/>
  <c r="V401" i="36"/>
  <c r="U401" i="36"/>
  <c r="T401" i="36"/>
  <c r="S401" i="36"/>
  <c r="R401" i="36"/>
  <c r="Q401" i="36"/>
  <c r="P401" i="36"/>
  <c r="O401" i="36"/>
  <c r="N401" i="36"/>
  <c r="M401" i="36"/>
  <c r="L401" i="36"/>
  <c r="K401" i="36"/>
  <c r="I401" i="36"/>
  <c r="AQ401" i="36" s="1"/>
  <c r="H401" i="36"/>
  <c r="G401" i="36"/>
  <c r="F401" i="36"/>
  <c r="AP401" i="36" s="1"/>
  <c r="I400" i="36"/>
  <c r="AQ400" i="36" s="1"/>
  <c r="H400" i="36"/>
  <c r="G400" i="36"/>
  <c r="F400" i="36"/>
  <c r="AP400" i="36" s="1"/>
  <c r="AJ398" i="36"/>
  <c r="AF398" i="36"/>
  <c r="AE398" i="36"/>
  <c r="AD398" i="36"/>
  <c r="AC398" i="36"/>
  <c r="AB398" i="36"/>
  <c r="AA398" i="36"/>
  <c r="Z398" i="36"/>
  <c r="Y398" i="36"/>
  <c r="X398" i="36"/>
  <c r="W398" i="36"/>
  <c r="V398" i="36"/>
  <c r="U398" i="36"/>
  <c r="T398" i="36"/>
  <c r="S398" i="36"/>
  <c r="R398" i="36"/>
  <c r="Q398" i="36"/>
  <c r="P398" i="36"/>
  <c r="O398" i="36"/>
  <c r="N398" i="36"/>
  <c r="M398" i="36"/>
  <c r="L398" i="36"/>
  <c r="K398" i="36"/>
  <c r="I398" i="36"/>
  <c r="AQ398" i="36" s="1"/>
  <c r="H398" i="36"/>
  <c r="G398" i="36"/>
  <c r="F398" i="36"/>
  <c r="I397" i="36"/>
  <c r="AQ397" i="36" s="1"/>
  <c r="H397" i="36"/>
  <c r="G397" i="36"/>
  <c r="F397" i="36"/>
  <c r="AP397" i="36" s="1"/>
  <c r="AJ395" i="36"/>
  <c r="AF395" i="36"/>
  <c r="AE395" i="36"/>
  <c r="AD395" i="36"/>
  <c r="AC395" i="36"/>
  <c r="AB395" i="36"/>
  <c r="AA395" i="36"/>
  <c r="Z395" i="36"/>
  <c r="Y395" i="36"/>
  <c r="X395" i="36"/>
  <c r="W395" i="36"/>
  <c r="V395" i="36"/>
  <c r="U395" i="36"/>
  <c r="T395" i="36"/>
  <c r="S395" i="36"/>
  <c r="R395" i="36"/>
  <c r="Q395" i="36"/>
  <c r="P395" i="36"/>
  <c r="O395" i="36"/>
  <c r="N395" i="36"/>
  <c r="M395" i="36"/>
  <c r="L395" i="36"/>
  <c r="K395" i="36"/>
  <c r="I395" i="36"/>
  <c r="AQ395" i="36" s="1"/>
  <c r="H395" i="36"/>
  <c r="G395" i="36"/>
  <c r="F395" i="36"/>
  <c r="AP395" i="36" s="1"/>
  <c r="I394" i="36"/>
  <c r="AQ394" i="36" s="1"/>
  <c r="H394" i="36"/>
  <c r="G394" i="36"/>
  <c r="F394" i="36"/>
  <c r="AP394" i="36" s="1"/>
  <c r="AJ392" i="36"/>
  <c r="AF392" i="36"/>
  <c r="AE392" i="36"/>
  <c r="AD392" i="36"/>
  <c r="AC392" i="36"/>
  <c r="AB392" i="36"/>
  <c r="AA392" i="36"/>
  <c r="Z392" i="36"/>
  <c r="Y392" i="36"/>
  <c r="X392" i="36"/>
  <c r="W392" i="36"/>
  <c r="V392" i="36"/>
  <c r="U392" i="36"/>
  <c r="T392" i="36"/>
  <c r="S392" i="36"/>
  <c r="R392" i="36"/>
  <c r="Q392" i="36"/>
  <c r="P392" i="36"/>
  <c r="O392" i="36"/>
  <c r="N392" i="36"/>
  <c r="M392" i="36"/>
  <c r="L392" i="36"/>
  <c r="K392" i="36"/>
  <c r="I392" i="36"/>
  <c r="AQ392" i="36" s="1"/>
  <c r="H392" i="36"/>
  <c r="G392" i="36"/>
  <c r="F392" i="36"/>
  <c r="AP392" i="36" s="1"/>
  <c r="I391" i="36"/>
  <c r="AQ391" i="36" s="1"/>
  <c r="H391" i="36"/>
  <c r="G391" i="36"/>
  <c r="F391" i="36"/>
  <c r="AP391" i="36" s="1"/>
  <c r="AJ389" i="36"/>
  <c r="AF389" i="36"/>
  <c r="AE389" i="36"/>
  <c r="AD389" i="36"/>
  <c r="AC389" i="36"/>
  <c r="AB389" i="36"/>
  <c r="AA389" i="36"/>
  <c r="Z389" i="36"/>
  <c r="Y389" i="36"/>
  <c r="X389" i="36"/>
  <c r="W389" i="36"/>
  <c r="V389" i="36"/>
  <c r="U389" i="36"/>
  <c r="T389" i="36"/>
  <c r="S389" i="36"/>
  <c r="R389" i="36"/>
  <c r="Q389" i="36"/>
  <c r="P389" i="36"/>
  <c r="O389" i="36"/>
  <c r="N389" i="36"/>
  <c r="M389" i="36"/>
  <c r="L389" i="36"/>
  <c r="K389" i="36"/>
  <c r="I389" i="36"/>
  <c r="AQ389" i="36" s="1"/>
  <c r="H389" i="36"/>
  <c r="G389" i="36"/>
  <c r="F389" i="36"/>
  <c r="AP389" i="36" s="1"/>
  <c r="I388" i="36"/>
  <c r="AQ388" i="36" s="1"/>
  <c r="H388" i="36"/>
  <c r="G388" i="36"/>
  <c r="F388" i="36"/>
  <c r="AP388" i="36" s="1"/>
  <c r="AJ383" i="36"/>
  <c r="AF383" i="36"/>
  <c r="AE383" i="36"/>
  <c r="AD383" i="36"/>
  <c r="AC383" i="36"/>
  <c r="AB383" i="36"/>
  <c r="AA383" i="36"/>
  <c r="Z383" i="36"/>
  <c r="Y383" i="36"/>
  <c r="X383" i="36"/>
  <c r="W383" i="36"/>
  <c r="V383" i="36"/>
  <c r="U383" i="36"/>
  <c r="T383" i="36"/>
  <c r="S383" i="36"/>
  <c r="R383" i="36"/>
  <c r="Q383" i="36"/>
  <c r="P383" i="36"/>
  <c r="O383" i="36"/>
  <c r="N383" i="36"/>
  <c r="M383" i="36"/>
  <c r="L383" i="36"/>
  <c r="K383" i="36"/>
  <c r="I383" i="36"/>
  <c r="AQ383" i="36" s="1"/>
  <c r="H383" i="36"/>
  <c r="G383" i="36"/>
  <c r="F383" i="36"/>
  <c r="AP383" i="36" s="1"/>
  <c r="I382" i="36"/>
  <c r="AQ382" i="36" s="1"/>
  <c r="H382" i="36"/>
  <c r="G382" i="36"/>
  <c r="F382" i="36"/>
  <c r="AP382" i="36" s="1"/>
  <c r="AJ380" i="36"/>
  <c r="AF380" i="36"/>
  <c r="AE380" i="36"/>
  <c r="AD380" i="36"/>
  <c r="AC380" i="36"/>
  <c r="AB380" i="36"/>
  <c r="AA380" i="36"/>
  <c r="Z380" i="36"/>
  <c r="Y380" i="36"/>
  <c r="X380" i="36"/>
  <c r="W380" i="36"/>
  <c r="V380" i="36"/>
  <c r="U380" i="36"/>
  <c r="T380" i="36"/>
  <c r="S380" i="36"/>
  <c r="R380" i="36"/>
  <c r="Q380" i="36"/>
  <c r="P380" i="36"/>
  <c r="O380" i="36"/>
  <c r="N380" i="36"/>
  <c r="M380" i="36"/>
  <c r="L380" i="36"/>
  <c r="K380" i="36"/>
  <c r="I380" i="36"/>
  <c r="AQ380" i="36" s="1"/>
  <c r="H380" i="36"/>
  <c r="G380" i="36"/>
  <c r="F380" i="36"/>
  <c r="AP380" i="36" s="1"/>
  <c r="I379" i="36"/>
  <c r="AQ379" i="36" s="1"/>
  <c r="H379" i="36"/>
  <c r="G379" i="36"/>
  <c r="F379" i="36"/>
  <c r="AP379" i="36" s="1"/>
  <c r="AJ377" i="36"/>
  <c r="AF377" i="36"/>
  <c r="AE377" i="36"/>
  <c r="AD377" i="36"/>
  <c r="AC377" i="36"/>
  <c r="AB377" i="36"/>
  <c r="AA377" i="36"/>
  <c r="Z377" i="36"/>
  <c r="Y377" i="36"/>
  <c r="X377" i="36"/>
  <c r="W377" i="36"/>
  <c r="V377" i="36"/>
  <c r="U377" i="36"/>
  <c r="T377" i="36"/>
  <c r="S377" i="36"/>
  <c r="R377" i="36"/>
  <c r="Q377" i="36"/>
  <c r="P377" i="36"/>
  <c r="O377" i="36"/>
  <c r="N377" i="36"/>
  <c r="M377" i="36"/>
  <c r="L377" i="36"/>
  <c r="K377" i="36"/>
  <c r="I377" i="36"/>
  <c r="AQ377" i="36" s="1"/>
  <c r="H377" i="36"/>
  <c r="G377" i="36"/>
  <c r="F377" i="36"/>
  <c r="AP377" i="36" s="1"/>
  <c r="I376" i="36"/>
  <c r="AQ376" i="36" s="1"/>
  <c r="H376" i="36"/>
  <c r="G376" i="36"/>
  <c r="F376" i="36"/>
  <c r="AJ374" i="36"/>
  <c r="AF374" i="36"/>
  <c r="AE374" i="36"/>
  <c r="AD374" i="36"/>
  <c r="AC374" i="36"/>
  <c r="AB374" i="36"/>
  <c r="AA374" i="36"/>
  <c r="Z374" i="36"/>
  <c r="Y374" i="36"/>
  <c r="X374" i="36"/>
  <c r="W374" i="36"/>
  <c r="V374" i="36"/>
  <c r="U374" i="36"/>
  <c r="T374" i="36"/>
  <c r="S374" i="36"/>
  <c r="R374" i="36"/>
  <c r="Q374" i="36"/>
  <c r="P374" i="36"/>
  <c r="O374" i="36"/>
  <c r="N374" i="36"/>
  <c r="M374" i="36"/>
  <c r="L374" i="36"/>
  <c r="K374" i="36"/>
  <c r="I374" i="36"/>
  <c r="AQ374" i="36" s="1"/>
  <c r="H374" i="36"/>
  <c r="G374" i="36"/>
  <c r="F374" i="36"/>
  <c r="I373" i="36"/>
  <c r="AQ373" i="36" s="1"/>
  <c r="H373" i="36"/>
  <c r="G373" i="36"/>
  <c r="F373" i="36"/>
  <c r="AP373" i="36" s="1"/>
  <c r="AJ371" i="36"/>
  <c r="AF371" i="36"/>
  <c r="AE371" i="36"/>
  <c r="AD371" i="36"/>
  <c r="AC371" i="36"/>
  <c r="AB371" i="36"/>
  <c r="AA371" i="36"/>
  <c r="Z371" i="36"/>
  <c r="Y371" i="36"/>
  <c r="X371" i="36"/>
  <c r="W371" i="36"/>
  <c r="V371" i="36"/>
  <c r="U371" i="36"/>
  <c r="T371" i="36"/>
  <c r="S371" i="36"/>
  <c r="R371" i="36"/>
  <c r="Q371" i="36"/>
  <c r="P371" i="36"/>
  <c r="O371" i="36"/>
  <c r="N371" i="36"/>
  <c r="M371" i="36"/>
  <c r="L371" i="36"/>
  <c r="K371" i="36"/>
  <c r="I371" i="36"/>
  <c r="AQ371" i="36" s="1"/>
  <c r="H371" i="36"/>
  <c r="G371" i="36"/>
  <c r="F371" i="36"/>
  <c r="I370" i="36"/>
  <c r="AQ370" i="36" s="1"/>
  <c r="H370" i="36"/>
  <c r="G370" i="36"/>
  <c r="F370" i="36"/>
  <c r="AP370" i="36" s="1"/>
  <c r="AJ368" i="36"/>
  <c r="AF368" i="36"/>
  <c r="AE368" i="36"/>
  <c r="AD368" i="36"/>
  <c r="AC368" i="36"/>
  <c r="AB368" i="36"/>
  <c r="AA368" i="36"/>
  <c r="Z368" i="36"/>
  <c r="Y368" i="36"/>
  <c r="X368" i="36"/>
  <c r="W368" i="36"/>
  <c r="V368" i="36"/>
  <c r="U368" i="36"/>
  <c r="T368" i="36"/>
  <c r="S368" i="36"/>
  <c r="R368" i="36"/>
  <c r="Q368" i="36"/>
  <c r="P368" i="36"/>
  <c r="O368" i="36"/>
  <c r="N368" i="36"/>
  <c r="M368" i="36"/>
  <c r="L368" i="36"/>
  <c r="K368" i="36"/>
  <c r="I368" i="36"/>
  <c r="AQ368" i="36" s="1"/>
  <c r="H368" i="36"/>
  <c r="G368" i="36"/>
  <c r="F368" i="36"/>
  <c r="AP368" i="36" s="1"/>
  <c r="I367" i="36"/>
  <c r="AQ367" i="36" s="1"/>
  <c r="H367" i="36"/>
  <c r="G367" i="36"/>
  <c r="F367" i="36"/>
  <c r="AJ365" i="36"/>
  <c r="AF365" i="36"/>
  <c r="AE365" i="36"/>
  <c r="AD365" i="36"/>
  <c r="AC365" i="36"/>
  <c r="AB365" i="36"/>
  <c r="AA365" i="36"/>
  <c r="Z365" i="36"/>
  <c r="Y365" i="36"/>
  <c r="X365" i="36"/>
  <c r="W365" i="36"/>
  <c r="V365" i="36"/>
  <c r="U365" i="36"/>
  <c r="T365" i="36"/>
  <c r="S365" i="36"/>
  <c r="R365" i="36"/>
  <c r="Q365" i="36"/>
  <c r="P365" i="36"/>
  <c r="O365" i="36"/>
  <c r="N365" i="36"/>
  <c r="M365" i="36"/>
  <c r="L365" i="36"/>
  <c r="K365" i="36"/>
  <c r="I365" i="36"/>
  <c r="AQ365" i="36" s="1"/>
  <c r="H365" i="36"/>
  <c r="G365" i="36"/>
  <c r="F365" i="36"/>
  <c r="I364" i="36"/>
  <c r="AQ364" i="36" s="1"/>
  <c r="H364" i="36"/>
  <c r="G364" i="36"/>
  <c r="F364" i="36"/>
  <c r="AP364" i="36" s="1"/>
  <c r="AJ362" i="36"/>
  <c r="AF362" i="36"/>
  <c r="AE362" i="36"/>
  <c r="AD362" i="36"/>
  <c r="AC362" i="36"/>
  <c r="AB362" i="36"/>
  <c r="AA362" i="36"/>
  <c r="Z362" i="36"/>
  <c r="Y362" i="36"/>
  <c r="X362" i="36"/>
  <c r="W362" i="36"/>
  <c r="V362" i="36"/>
  <c r="U362" i="36"/>
  <c r="T362" i="36"/>
  <c r="S362" i="36"/>
  <c r="R362" i="36"/>
  <c r="Q362" i="36"/>
  <c r="P362" i="36"/>
  <c r="O362" i="36"/>
  <c r="N362" i="36"/>
  <c r="M362" i="36"/>
  <c r="L362" i="36"/>
  <c r="K362" i="36"/>
  <c r="I362" i="36"/>
  <c r="AQ362" i="36" s="1"/>
  <c r="H362" i="36"/>
  <c r="G362" i="36"/>
  <c r="F362" i="36"/>
  <c r="AP362" i="36" s="1"/>
  <c r="I361" i="36"/>
  <c r="AQ361" i="36" s="1"/>
  <c r="H361" i="36"/>
  <c r="G361" i="36"/>
  <c r="F361" i="36"/>
  <c r="AP361" i="36" s="1"/>
  <c r="AJ359" i="36"/>
  <c r="AF359" i="36"/>
  <c r="AE359" i="36"/>
  <c r="AD359" i="36"/>
  <c r="AC359" i="36"/>
  <c r="AB359" i="36"/>
  <c r="AA359" i="36"/>
  <c r="Z359" i="36"/>
  <c r="Y359" i="36"/>
  <c r="X359" i="36"/>
  <c r="W359" i="36"/>
  <c r="V359" i="36"/>
  <c r="U359" i="36"/>
  <c r="T359" i="36"/>
  <c r="S359" i="36"/>
  <c r="R359" i="36"/>
  <c r="Q359" i="36"/>
  <c r="P359" i="36"/>
  <c r="O359" i="36"/>
  <c r="N359" i="36"/>
  <c r="M359" i="36"/>
  <c r="L359" i="36"/>
  <c r="K359" i="36"/>
  <c r="I359" i="36"/>
  <c r="AQ359" i="36" s="1"/>
  <c r="H359" i="36"/>
  <c r="G359" i="36"/>
  <c r="F359" i="36"/>
  <c r="AP359" i="36" s="1"/>
  <c r="I358" i="36"/>
  <c r="AQ358" i="36" s="1"/>
  <c r="H358" i="36"/>
  <c r="G358" i="36"/>
  <c r="F358" i="36"/>
  <c r="AP358" i="36" s="1"/>
  <c r="AJ356" i="36"/>
  <c r="AF356" i="36"/>
  <c r="AE356" i="36"/>
  <c r="AD356" i="36"/>
  <c r="AC356" i="36"/>
  <c r="AB356" i="36"/>
  <c r="AA356" i="36"/>
  <c r="Z356" i="36"/>
  <c r="Y356" i="36"/>
  <c r="X356" i="36"/>
  <c r="W356" i="36"/>
  <c r="V356" i="36"/>
  <c r="U356" i="36"/>
  <c r="T356" i="36"/>
  <c r="S356" i="36"/>
  <c r="R356" i="36"/>
  <c r="Q356" i="36"/>
  <c r="P356" i="36"/>
  <c r="O356" i="36"/>
  <c r="N356" i="36"/>
  <c r="M356" i="36"/>
  <c r="L356" i="36"/>
  <c r="K356" i="36"/>
  <c r="I356" i="36"/>
  <c r="AQ356" i="36" s="1"/>
  <c r="H356" i="36"/>
  <c r="G356" i="36"/>
  <c r="F356" i="36"/>
  <c r="AP356" i="36" s="1"/>
  <c r="I355" i="36"/>
  <c r="AQ355" i="36" s="1"/>
  <c r="H355" i="36"/>
  <c r="G355" i="36"/>
  <c r="F355" i="36"/>
  <c r="AP355" i="36" s="1"/>
  <c r="AJ353" i="36"/>
  <c r="AF353" i="36"/>
  <c r="AE353" i="36"/>
  <c r="AD353" i="36"/>
  <c r="AC353" i="36"/>
  <c r="AB353" i="36"/>
  <c r="AA353" i="36"/>
  <c r="Z353" i="36"/>
  <c r="Y353" i="36"/>
  <c r="X353" i="36"/>
  <c r="W353" i="36"/>
  <c r="V353" i="36"/>
  <c r="U353" i="36"/>
  <c r="T353" i="36"/>
  <c r="S353" i="36"/>
  <c r="R353" i="36"/>
  <c r="Q353" i="36"/>
  <c r="P353" i="36"/>
  <c r="O353" i="36"/>
  <c r="N353" i="36"/>
  <c r="M353" i="36"/>
  <c r="L353" i="36"/>
  <c r="K353" i="36"/>
  <c r="I353" i="36"/>
  <c r="AQ353" i="36" s="1"/>
  <c r="H353" i="36"/>
  <c r="G353" i="36"/>
  <c r="F353" i="36"/>
  <c r="AP353" i="36" s="1"/>
  <c r="I352" i="36"/>
  <c r="AQ352" i="36" s="1"/>
  <c r="H352" i="36"/>
  <c r="G352" i="36"/>
  <c r="F352" i="36"/>
  <c r="AP352" i="36" s="1"/>
  <c r="AJ350" i="36"/>
  <c r="AF350" i="36"/>
  <c r="AE350" i="36"/>
  <c r="AD350" i="36"/>
  <c r="AC350" i="36"/>
  <c r="AB350" i="36"/>
  <c r="AA350" i="36"/>
  <c r="Z350" i="36"/>
  <c r="Y350" i="36"/>
  <c r="X350" i="36"/>
  <c r="W350" i="36"/>
  <c r="V350" i="36"/>
  <c r="U350" i="36"/>
  <c r="T350" i="36"/>
  <c r="S350" i="36"/>
  <c r="R350" i="36"/>
  <c r="Q350" i="36"/>
  <c r="P350" i="36"/>
  <c r="O350" i="36"/>
  <c r="N350" i="36"/>
  <c r="M350" i="36"/>
  <c r="L350" i="36"/>
  <c r="K350" i="36"/>
  <c r="I350" i="36"/>
  <c r="AQ350" i="36" s="1"/>
  <c r="H350" i="36"/>
  <c r="G350" i="36"/>
  <c r="F350" i="36"/>
  <c r="AP350" i="36" s="1"/>
  <c r="I349" i="36"/>
  <c r="AQ349" i="36" s="1"/>
  <c r="H349" i="36"/>
  <c r="G349" i="36"/>
  <c r="F349" i="36"/>
  <c r="AP349" i="36" s="1"/>
  <c r="AJ347" i="36"/>
  <c r="AF347" i="36"/>
  <c r="AE347" i="36"/>
  <c r="AD347" i="36"/>
  <c r="AC347" i="36"/>
  <c r="AB347" i="36"/>
  <c r="AA347" i="36"/>
  <c r="Z347" i="36"/>
  <c r="Y347" i="36"/>
  <c r="X347" i="36"/>
  <c r="W347" i="36"/>
  <c r="V347" i="36"/>
  <c r="U347" i="36"/>
  <c r="T347" i="36"/>
  <c r="S347" i="36"/>
  <c r="R347" i="36"/>
  <c r="Q347" i="36"/>
  <c r="P347" i="36"/>
  <c r="O347" i="36"/>
  <c r="N347" i="36"/>
  <c r="M347" i="36"/>
  <c r="L347" i="36"/>
  <c r="K347" i="36"/>
  <c r="I347" i="36"/>
  <c r="AQ347" i="36" s="1"/>
  <c r="H347" i="36"/>
  <c r="G347" i="36"/>
  <c r="F347" i="36"/>
  <c r="AP347" i="36" s="1"/>
  <c r="I346" i="36"/>
  <c r="AQ346" i="36" s="1"/>
  <c r="H346" i="36"/>
  <c r="G346" i="36"/>
  <c r="F346" i="36"/>
  <c r="AP346" i="36" s="1"/>
  <c r="AJ344" i="36"/>
  <c r="AF344" i="36"/>
  <c r="AE344" i="36"/>
  <c r="AD344" i="36"/>
  <c r="AC344" i="36"/>
  <c r="AB344" i="36"/>
  <c r="AA344" i="36"/>
  <c r="Z344" i="36"/>
  <c r="Y344" i="36"/>
  <c r="X344" i="36"/>
  <c r="W344" i="36"/>
  <c r="V344" i="36"/>
  <c r="U344" i="36"/>
  <c r="T344" i="36"/>
  <c r="S344" i="36"/>
  <c r="R344" i="36"/>
  <c r="Q344" i="36"/>
  <c r="P344" i="36"/>
  <c r="O344" i="36"/>
  <c r="N344" i="36"/>
  <c r="M344" i="36"/>
  <c r="L344" i="36"/>
  <c r="K344" i="36"/>
  <c r="I344" i="36"/>
  <c r="AQ344" i="36" s="1"/>
  <c r="H344" i="36"/>
  <c r="G344" i="36"/>
  <c r="F344" i="36"/>
  <c r="AP344" i="36" s="1"/>
  <c r="I343" i="36"/>
  <c r="AQ343" i="36" s="1"/>
  <c r="H343" i="36"/>
  <c r="G343" i="36"/>
  <c r="F343" i="36"/>
  <c r="AP343" i="36" s="1"/>
  <c r="AJ341" i="36"/>
  <c r="AF341" i="36"/>
  <c r="AE341" i="36"/>
  <c r="AD341" i="36"/>
  <c r="AC341" i="36"/>
  <c r="AB341" i="36"/>
  <c r="AA341" i="36"/>
  <c r="Z341" i="36"/>
  <c r="Y341" i="36"/>
  <c r="X341" i="36"/>
  <c r="W341" i="36"/>
  <c r="V341" i="36"/>
  <c r="U341" i="36"/>
  <c r="T341" i="36"/>
  <c r="S341" i="36"/>
  <c r="R341" i="36"/>
  <c r="Q341" i="36"/>
  <c r="P341" i="36"/>
  <c r="O341" i="36"/>
  <c r="N341" i="36"/>
  <c r="M341" i="36"/>
  <c r="L341" i="36"/>
  <c r="K341" i="36"/>
  <c r="I341" i="36"/>
  <c r="AQ341" i="36" s="1"/>
  <c r="H341" i="36"/>
  <c r="G341" i="36"/>
  <c r="F341" i="36"/>
  <c r="I340" i="36"/>
  <c r="AQ340" i="36" s="1"/>
  <c r="H340" i="36"/>
  <c r="G340" i="36"/>
  <c r="F340" i="36"/>
  <c r="AP340" i="36" s="1"/>
  <c r="AJ338" i="36"/>
  <c r="AF338" i="36"/>
  <c r="AE338" i="36"/>
  <c r="AD338" i="36"/>
  <c r="AC338" i="36"/>
  <c r="AB338" i="36"/>
  <c r="AA338" i="36"/>
  <c r="Z338" i="36"/>
  <c r="Y338" i="36"/>
  <c r="X338" i="36"/>
  <c r="W338" i="36"/>
  <c r="V338" i="36"/>
  <c r="U338" i="36"/>
  <c r="T338" i="36"/>
  <c r="S338" i="36"/>
  <c r="R338" i="36"/>
  <c r="Q338" i="36"/>
  <c r="P338" i="36"/>
  <c r="O338" i="36"/>
  <c r="N338" i="36"/>
  <c r="M338" i="36"/>
  <c r="L338" i="36"/>
  <c r="K338" i="36"/>
  <c r="I338" i="36"/>
  <c r="AQ338" i="36" s="1"/>
  <c r="H338" i="36"/>
  <c r="G338" i="36"/>
  <c r="F338" i="36"/>
  <c r="AP338" i="36" s="1"/>
  <c r="I337" i="36"/>
  <c r="AQ337" i="36" s="1"/>
  <c r="H337" i="36"/>
  <c r="G337" i="36"/>
  <c r="F337" i="36"/>
  <c r="AP337" i="36" s="1"/>
  <c r="AJ335" i="36"/>
  <c r="AF335" i="36"/>
  <c r="AE335" i="36"/>
  <c r="AD335" i="36"/>
  <c r="AC335" i="36"/>
  <c r="AB335" i="36"/>
  <c r="AA335" i="36"/>
  <c r="Z335" i="36"/>
  <c r="Y335" i="36"/>
  <c r="X335" i="36"/>
  <c r="W335" i="36"/>
  <c r="V335" i="36"/>
  <c r="U335" i="36"/>
  <c r="T335" i="36"/>
  <c r="S335" i="36"/>
  <c r="R335" i="36"/>
  <c r="Q335" i="36"/>
  <c r="P335" i="36"/>
  <c r="O335" i="36"/>
  <c r="N335" i="36"/>
  <c r="M335" i="36"/>
  <c r="L335" i="36"/>
  <c r="K335" i="36"/>
  <c r="I335" i="36"/>
  <c r="AQ335" i="36" s="1"/>
  <c r="H335" i="36"/>
  <c r="G335" i="36"/>
  <c r="F335" i="36"/>
  <c r="AP335" i="36" s="1"/>
  <c r="I334" i="36"/>
  <c r="AQ334" i="36" s="1"/>
  <c r="H334" i="36"/>
  <c r="G334" i="36"/>
  <c r="F334" i="36"/>
  <c r="AP334" i="36" s="1"/>
  <c r="AJ332" i="36"/>
  <c r="AF332" i="36"/>
  <c r="AE332" i="36"/>
  <c r="AD332" i="36"/>
  <c r="AC332" i="36"/>
  <c r="AB332" i="36"/>
  <c r="AA332" i="36"/>
  <c r="Z332" i="36"/>
  <c r="Y332" i="36"/>
  <c r="X332" i="36"/>
  <c r="W332" i="36"/>
  <c r="V332" i="36"/>
  <c r="U332" i="36"/>
  <c r="T332" i="36"/>
  <c r="S332" i="36"/>
  <c r="R332" i="36"/>
  <c r="Q332" i="36"/>
  <c r="P332" i="36"/>
  <c r="O332" i="36"/>
  <c r="N332" i="36"/>
  <c r="M332" i="36"/>
  <c r="L332" i="36"/>
  <c r="K332" i="36"/>
  <c r="I332" i="36"/>
  <c r="AQ332" i="36" s="1"/>
  <c r="H332" i="36"/>
  <c r="G332" i="36"/>
  <c r="F332" i="36"/>
  <c r="AP332" i="36" s="1"/>
  <c r="I331" i="36"/>
  <c r="AQ331" i="36" s="1"/>
  <c r="H331" i="36"/>
  <c r="G331" i="36"/>
  <c r="F331" i="36"/>
  <c r="AP331" i="36" s="1"/>
  <c r="AJ329" i="36"/>
  <c r="AF329" i="36"/>
  <c r="AE329" i="36"/>
  <c r="AD329" i="36"/>
  <c r="AC329" i="36"/>
  <c r="AB329" i="36"/>
  <c r="AA329" i="36"/>
  <c r="Z329" i="36"/>
  <c r="Y329" i="36"/>
  <c r="X329" i="36"/>
  <c r="W329" i="36"/>
  <c r="V329" i="36"/>
  <c r="U329" i="36"/>
  <c r="T329" i="36"/>
  <c r="S329" i="36"/>
  <c r="R329" i="36"/>
  <c r="Q329" i="36"/>
  <c r="P329" i="36"/>
  <c r="O329" i="36"/>
  <c r="N329" i="36"/>
  <c r="M329" i="36"/>
  <c r="L329" i="36"/>
  <c r="K329" i="36"/>
  <c r="I329" i="36"/>
  <c r="AQ329" i="36" s="1"/>
  <c r="H329" i="36"/>
  <c r="G329" i="36"/>
  <c r="F329" i="36"/>
  <c r="AP329" i="36" s="1"/>
  <c r="I328" i="36"/>
  <c r="AQ328" i="36" s="1"/>
  <c r="H328" i="36"/>
  <c r="G328" i="36"/>
  <c r="F328" i="36"/>
  <c r="AP328" i="36" s="1"/>
  <c r="AJ326" i="36"/>
  <c r="AF326" i="36"/>
  <c r="AE326" i="36"/>
  <c r="AD326" i="36"/>
  <c r="AC326" i="36"/>
  <c r="AB326" i="36"/>
  <c r="AA326" i="36"/>
  <c r="Z326" i="36"/>
  <c r="Y326" i="36"/>
  <c r="X326" i="36"/>
  <c r="W326" i="36"/>
  <c r="V326" i="36"/>
  <c r="U326" i="36"/>
  <c r="T326" i="36"/>
  <c r="S326" i="36"/>
  <c r="R326" i="36"/>
  <c r="Q326" i="36"/>
  <c r="P326" i="36"/>
  <c r="O326" i="36"/>
  <c r="N326" i="36"/>
  <c r="M326" i="36"/>
  <c r="L326" i="36"/>
  <c r="K326" i="36"/>
  <c r="AQ326" i="36"/>
  <c r="AP326" i="36"/>
  <c r="AQ325" i="36"/>
  <c r="AP325" i="36"/>
  <c r="AJ323" i="36"/>
  <c r="AF323" i="36"/>
  <c r="AE323" i="36"/>
  <c r="AD323" i="36"/>
  <c r="AC323" i="36"/>
  <c r="AB323" i="36"/>
  <c r="AA323" i="36"/>
  <c r="Z323" i="36"/>
  <c r="Y323" i="36"/>
  <c r="X323" i="36"/>
  <c r="W323" i="36"/>
  <c r="V323" i="36"/>
  <c r="U323" i="36"/>
  <c r="T323" i="36"/>
  <c r="S323" i="36"/>
  <c r="R323" i="36"/>
  <c r="Q323" i="36"/>
  <c r="P323" i="36"/>
  <c r="O323" i="36"/>
  <c r="N323" i="36"/>
  <c r="M323" i="36"/>
  <c r="L323" i="36"/>
  <c r="K323" i="36"/>
  <c r="I323" i="36"/>
  <c r="AQ323" i="36" s="1"/>
  <c r="H323" i="36"/>
  <c r="G323" i="36"/>
  <c r="F323" i="36"/>
  <c r="AP323" i="36" s="1"/>
  <c r="I322" i="36"/>
  <c r="AQ322" i="36" s="1"/>
  <c r="H322" i="36"/>
  <c r="G322" i="36"/>
  <c r="F322" i="36"/>
  <c r="AP322" i="36" s="1"/>
  <c r="AJ320" i="36"/>
  <c r="AF320" i="36"/>
  <c r="AE320" i="36"/>
  <c r="AD320" i="36"/>
  <c r="AC320" i="36"/>
  <c r="AB320" i="36"/>
  <c r="AA320" i="36"/>
  <c r="Z320" i="36"/>
  <c r="Y320" i="36"/>
  <c r="X320" i="36"/>
  <c r="W320" i="36"/>
  <c r="V320" i="36"/>
  <c r="U320" i="36"/>
  <c r="T320" i="36"/>
  <c r="S320" i="36"/>
  <c r="R320" i="36"/>
  <c r="Q320" i="36"/>
  <c r="P320" i="36"/>
  <c r="O320" i="36"/>
  <c r="N320" i="36"/>
  <c r="M320" i="36"/>
  <c r="L320" i="36"/>
  <c r="K320" i="36"/>
  <c r="I320" i="36"/>
  <c r="AQ320" i="36" s="1"/>
  <c r="H320" i="36"/>
  <c r="G320" i="36"/>
  <c r="F320" i="36"/>
  <c r="I319" i="36"/>
  <c r="AQ319" i="36" s="1"/>
  <c r="H319" i="36"/>
  <c r="G319" i="36"/>
  <c r="F319" i="36"/>
  <c r="AP319" i="36" s="1"/>
  <c r="CK317" i="36"/>
  <c r="CI317" i="36"/>
  <c r="CH317" i="36"/>
  <c r="AQ317" i="36"/>
  <c r="AP317" i="36"/>
  <c r="AQ316" i="36"/>
  <c r="AP316" i="36"/>
  <c r="CK314" i="36"/>
  <c r="CH314" i="36"/>
  <c r="CG314" i="36"/>
  <c r="CE314" i="36"/>
  <c r="CD314" i="36"/>
  <c r="AQ314" i="36"/>
  <c r="AP314" i="36"/>
  <c r="AQ313" i="36"/>
  <c r="AP313" i="36"/>
  <c r="CG311" i="36"/>
  <c r="CD311" i="36"/>
  <c r="AQ311" i="36"/>
  <c r="AP311" i="36"/>
  <c r="AQ310" i="36"/>
  <c r="AQ308" i="36"/>
  <c r="AP308" i="36"/>
  <c r="AQ307" i="36"/>
  <c r="CK305" i="36"/>
  <c r="CI305" i="36"/>
  <c r="CH305" i="36"/>
  <c r="AQ305" i="36"/>
  <c r="AP305" i="36"/>
  <c r="AQ304" i="36"/>
  <c r="AP304" i="36"/>
  <c r="CK302" i="36"/>
  <c r="CH302" i="36"/>
  <c r="CG302" i="36"/>
  <c r="CE302" i="36"/>
  <c r="CD302" i="36"/>
  <c r="AQ302" i="36"/>
  <c r="AP302" i="36"/>
  <c r="AQ301" i="36"/>
  <c r="AP301" i="36"/>
  <c r="CG299" i="36"/>
  <c r="CD299" i="36"/>
  <c r="AQ299" i="36"/>
  <c r="AP299" i="36"/>
  <c r="AQ298" i="36"/>
  <c r="AQ296" i="36"/>
  <c r="AP296" i="36"/>
  <c r="AQ295" i="36"/>
  <c r="AP295" i="36"/>
  <c r="CK293" i="36"/>
  <c r="CI293" i="36"/>
  <c r="CH293" i="36"/>
  <c r="AQ293" i="36"/>
  <c r="AP293" i="36"/>
  <c r="AQ292" i="36"/>
  <c r="AP292" i="36"/>
  <c r="CK290" i="36"/>
  <c r="CH290" i="36"/>
  <c r="CG290" i="36"/>
  <c r="CE290" i="36"/>
  <c r="CD290" i="36"/>
  <c r="AQ290" i="36"/>
  <c r="AP290" i="36"/>
  <c r="AQ289" i="36"/>
  <c r="AP289" i="36"/>
  <c r="CG287" i="36"/>
  <c r="CD287" i="36"/>
  <c r="AQ287" i="36"/>
  <c r="AP287" i="36"/>
  <c r="AQ286" i="36"/>
  <c r="AP286" i="36"/>
  <c r="AQ284" i="36"/>
  <c r="AP284" i="36"/>
  <c r="AQ283" i="36"/>
  <c r="AP283" i="36"/>
  <c r="CK281" i="36"/>
  <c r="CI281" i="36"/>
  <c r="CH281" i="36"/>
  <c r="AQ281" i="36"/>
  <c r="AP281" i="36"/>
  <c r="AQ280" i="36"/>
  <c r="AP280" i="36"/>
  <c r="CK278" i="36"/>
  <c r="CH278" i="36"/>
  <c r="CG278" i="36"/>
  <c r="CE278" i="36"/>
  <c r="CD278" i="36"/>
  <c r="AQ278" i="36"/>
  <c r="AP278" i="36"/>
  <c r="AQ277" i="36"/>
  <c r="AP277" i="36"/>
  <c r="CG275" i="36"/>
  <c r="CD275" i="36"/>
  <c r="AQ275" i="36"/>
  <c r="AP275" i="36"/>
  <c r="AQ274" i="36"/>
  <c r="AP274" i="36"/>
  <c r="AQ272" i="36"/>
  <c r="AP272" i="36"/>
  <c r="AQ271" i="36"/>
  <c r="AP271" i="36"/>
  <c r="CK269" i="36"/>
  <c r="CI269" i="36"/>
  <c r="CH269" i="36"/>
  <c r="AQ269" i="36"/>
  <c r="AP269" i="36"/>
  <c r="AQ268" i="36"/>
  <c r="AP268" i="36"/>
  <c r="CK266" i="36"/>
  <c r="CH266" i="36"/>
  <c r="CG266" i="36"/>
  <c r="CE266" i="36"/>
  <c r="CD266" i="36"/>
  <c r="AQ266" i="36"/>
  <c r="AP266" i="36"/>
  <c r="AQ265" i="36"/>
  <c r="AP265" i="36"/>
  <c r="CG263" i="36"/>
  <c r="CD263" i="36"/>
  <c r="AQ263" i="36"/>
  <c r="AP263" i="36"/>
  <c r="AQ262" i="36"/>
  <c r="AQ260" i="36"/>
  <c r="AP260" i="36"/>
  <c r="AQ259" i="36"/>
  <c r="AP259" i="36"/>
  <c r="CK257" i="36"/>
  <c r="CI257" i="36"/>
  <c r="CH257" i="36"/>
  <c r="AQ257" i="36"/>
  <c r="AP257" i="36"/>
  <c r="AQ256" i="36"/>
  <c r="AP256" i="36"/>
  <c r="CK254" i="36"/>
  <c r="CH254" i="36"/>
  <c r="CG254" i="36"/>
  <c r="CE254" i="36"/>
  <c r="CD254" i="36"/>
  <c r="AQ254" i="36"/>
  <c r="AP254" i="36"/>
  <c r="AQ253" i="36"/>
  <c r="AP253" i="36"/>
  <c r="CG251" i="36"/>
  <c r="CD251" i="36"/>
  <c r="AQ251" i="36"/>
  <c r="AQ250" i="36"/>
  <c r="AP250" i="36"/>
  <c r="AQ248" i="36"/>
  <c r="AP248" i="36"/>
  <c r="AQ247" i="36"/>
  <c r="CK245" i="36"/>
  <c r="CI245" i="36"/>
  <c r="CH245" i="36"/>
  <c r="AQ245" i="36"/>
  <c r="AP245" i="36"/>
  <c r="AQ244" i="36"/>
  <c r="AP244" i="36"/>
  <c r="CK242" i="36"/>
  <c r="CH242" i="36"/>
  <c r="CG242" i="36"/>
  <c r="CE242" i="36"/>
  <c r="CD242" i="36"/>
  <c r="AQ242" i="36"/>
  <c r="AP242" i="36"/>
  <c r="AQ241" i="36"/>
  <c r="CG239" i="36"/>
  <c r="CD239" i="36"/>
  <c r="AQ239" i="36"/>
  <c r="AQ238" i="36"/>
  <c r="AP238" i="36"/>
  <c r="AQ236" i="36"/>
  <c r="AP236" i="36"/>
  <c r="AQ235" i="36"/>
  <c r="AP235" i="36"/>
  <c r="CK233" i="36"/>
  <c r="CI233" i="36"/>
  <c r="CH233" i="36"/>
  <c r="AQ233" i="36"/>
  <c r="AQ232" i="36"/>
  <c r="AP232" i="36"/>
  <c r="CK230" i="36"/>
  <c r="CH230" i="36"/>
  <c r="CG230" i="36"/>
  <c r="CE230" i="36"/>
  <c r="CD230" i="36"/>
  <c r="AQ230" i="36"/>
  <c r="AP230" i="36"/>
  <c r="AQ229" i="36"/>
  <c r="AP229" i="36"/>
  <c r="CG227" i="36"/>
  <c r="CD227" i="36"/>
  <c r="AQ227" i="36"/>
  <c r="AP227" i="36"/>
  <c r="AQ226" i="36"/>
  <c r="AP226" i="36"/>
  <c r="AQ224" i="36"/>
  <c r="AP224" i="36"/>
  <c r="AQ223" i="36"/>
  <c r="AP223" i="36"/>
  <c r="CK221" i="36"/>
  <c r="CI221" i="36"/>
  <c r="CH221" i="36"/>
  <c r="AQ221" i="36"/>
  <c r="AP221" i="36"/>
  <c r="AQ220" i="36"/>
  <c r="AP220" i="36"/>
  <c r="CK218" i="36"/>
  <c r="CH218" i="36"/>
  <c r="CG218" i="36"/>
  <c r="CE218" i="36"/>
  <c r="CD218" i="36"/>
  <c r="AQ218" i="36"/>
  <c r="AP218" i="36"/>
  <c r="AQ217" i="36"/>
  <c r="AP217" i="36"/>
  <c r="CG215" i="36"/>
  <c r="CD215" i="36"/>
  <c r="AQ215" i="36"/>
  <c r="AP215" i="36"/>
  <c r="AQ214" i="36"/>
  <c r="AP214" i="36"/>
  <c r="AQ212" i="36"/>
  <c r="AP212" i="36"/>
  <c r="AQ211" i="36"/>
  <c r="AP211" i="36"/>
  <c r="CK209" i="36"/>
  <c r="CI209" i="36"/>
  <c r="CH209" i="36"/>
  <c r="AQ209" i="36"/>
  <c r="AP209" i="36"/>
  <c r="AQ208" i="36"/>
  <c r="AP208" i="36"/>
  <c r="CK206" i="36"/>
  <c r="CH206" i="36"/>
  <c r="CG206" i="36"/>
  <c r="CE206" i="36"/>
  <c r="CD206" i="36"/>
  <c r="AQ206" i="36"/>
  <c r="AP206" i="36"/>
  <c r="AQ205" i="36"/>
  <c r="CG203" i="36"/>
  <c r="CD203" i="36"/>
  <c r="AQ203" i="36"/>
  <c r="AP203" i="36"/>
  <c r="AQ202" i="36"/>
  <c r="AP202" i="36"/>
  <c r="AQ200" i="36"/>
  <c r="AP200" i="36"/>
  <c r="AQ199" i="36"/>
  <c r="CK197" i="36"/>
  <c r="CI197" i="36"/>
  <c r="CH197" i="36"/>
  <c r="AQ197" i="36"/>
  <c r="AQ196" i="36"/>
  <c r="AP196" i="36"/>
  <c r="CK194" i="36"/>
  <c r="CH194" i="36"/>
  <c r="CG194" i="36"/>
  <c r="CE194" i="36"/>
  <c r="CD194" i="36"/>
  <c r="AQ194" i="36"/>
  <c r="AP194" i="36"/>
  <c r="AQ193" i="36"/>
  <c r="AP193" i="36"/>
  <c r="CG191" i="36"/>
  <c r="CD191" i="36"/>
  <c r="AQ191" i="36"/>
  <c r="AP191" i="36"/>
  <c r="AQ190" i="36"/>
  <c r="AP190" i="36"/>
  <c r="AQ188" i="36"/>
  <c r="AQ187" i="36"/>
  <c r="AP187" i="36"/>
  <c r="CK185" i="36"/>
  <c r="CI185" i="36"/>
  <c r="CH185" i="36"/>
  <c r="AQ185" i="36"/>
  <c r="AP185" i="36"/>
  <c r="AQ184" i="36"/>
  <c r="AP184" i="36"/>
  <c r="CK182" i="36"/>
  <c r="CH182" i="36"/>
  <c r="CG182" i="36"/>
  <c r="CE182" i="36"/>
  <c r="CD182" i="36"/>
  <c r="AQ182" i="36"/>
  <c r="AQ181" i="36"/>
  <c r="AP181" i="36"/>
  <c r="CG179" i="36"/>
  <c r="CD179" i="36"/>
  <c r="AQ179" i="36"/>
  <c r="AP179" i="36"/>
  <c r="AQ178" i="36"/>
  <c r="AQ176" i="36"/>
  <c r="AP176" i="36"/>
  <c r="AQ175" i="36"/>
  <c r="AP175" i="36"/>
  <c r="CK173" i="36"/>
  <c r="CI173" i="36"/>
  <c r="CH173" i="36"/>
  <c r="AQ173" i="36"/>
  <c r="AP173" i="36"/>
  <c r="AQ172" i="36"/>
  <c r="AP172" i="36"/>
  <c r="CK170" i="36"/>
  <c r="CH170" i="36"/>
  <c r="CG170" i="36"/>
  <c r="CE170" i="36"/>
  <c r="CD170" i="36"/>
  <c r="AQ170" i="36"/>
  <c r="AQ169" i="36"/>
  <c r="AP169" i="36"/>
  <c r="CG167" i="36"/>
  <c r="CD167" i="36"/>
  <c r="AQ167" i="36"/>
  <c r="AP167" i="36"/>
  <c r="AQ166" i="36"/>
  <c r="AP166" i="36"/>
  <c r="AQ164" i="36"/>
  <c r="AP164" i="36"/>
  <c r="AQ163" i="36"/>
  <c r="AP163" i="36"/>
  <c r="CK161" i="36"/>
  <c r="CI161" i="36"/>
  <c r="CH161" i="36"/>
  <c r="AQ161" i="36"/>
  <c r="AP161" i="36"/>
  <c r="AQ160" i="36"/>
  <c r="CK158" i="36"/>
  <c r="CH158" i="36"/>
  <c r="CG158" i="36"/>
  <c r="CE158" i="36"/>
  <c r="CD158" i="36"/>
  <c r="AQ158" i="36"/>
  <c r="AP158" i="36"/>
  <c r="AQ157" i="36"/>
  <c r="AP157" i="36"/>
  <c r="CG155" i="36"/>
  <c r="CD155" i="36"/>
  <c r="AQ155" i="36"/>
  <c r="AP155" i="36"/>
  <c r="AQ154" i="36"/>
  <c r="AP154" i="36"/>
  <c r="AQ152" i="36"/>
  <c r="AP152" i="36"/>
  <c r="AQ151" i="36"/>
  <c r="AP151" i="36"/>
  <c r="CK149" i="36"/>
  <c r="CI149" i="36"/>
  <c r="CH149" i="36"/>
  <c r="AQ149" i="36"/>
  <c r="AQ148" i="36"/>
  <c r="AP148" i="36"/>
  <c r="CK146" i="36"/>
  <c r="CH146" i="36"/>
  <c r="CG146" i="36"/>
  <c r="CE146" i="36"/>
  <c r="CD146" i="36"/>
  <c r="AQ146" i="36"/>
  <c r="AQ145" i="36"/>
  <c r="AP145" i="36"/>
  <c r="CG143" i="36"/>
  <c r="CD143" i="36"/>
  <c r="AQ143" i="36"/>
  <c r="AQ142" i="36"/>
  <c r="AP142" i="36"/>
  <c r="AQ140" i="36"/>
  <c r="AP140" i="36"/>
  <c r="AQ139" i="36"/>
  <c r="AP139" i="36"/>
  <c r="CK137" i="36"/>
  <c r="CI137" i="36"/>
  <c r="CH137" i="36"/>
  <c r="AQ137" i="36"/>
  <c r="AP137" i="36"/>
  <c r="AQ136" i="36"/>
  <c r="CK134" i="36"/>
  <c r="CH134" i="36"/>
  <c r="CG134" i="36"/>
  <c r="CE134" i="36"/>
  <c r="CD134" i="36"/>
  <c r="AQ134" i="36"/>
  <c r="AP134" i="36"/>
  <c r="AQ133" i="36"/>
  <c r="AP133" i="36"/>
  <c r="CG131" i="36"/>
  <c r="AQ131" i="36"/>
  <c r="AP131" i="36"/>
  <c r="AQ130" i="36"/>
  <c r="AP130" i="36"/>
  <c r="AQ128" i="36"/>
  <c r="AP128" i="36"/>
  <c r="AQ127" i="36"/>
  <c r="AP127" i="36"/>
  <c r="CK125" i="36"/>
  <c r="CI125" i="36"/>
  <c r="CH125" i="36"/>
  <c r="AQ125" i="36"/>
  <c r="AP125" i="36"/>
  <c r="AQ124" i="36"/>
  <c r="AP124" i="36"/>
  <c r="CK122" i="36"/>
  <c r="CG122" i="36"/>
  <c r="CE122" i="36"/>
  <c r="CD122" i="36"/>
  <c r="AQ122" i="36"/>
  <c r="AQ121" i="36"/>
  <c r="AP121" i="36"/>
  <c r="CG119" i="36"/>
  <c r="AQ119" i="36"/>
  <c r="AP119" i="36"/>
  <c r="AQ118" i="36"/>
  <c r="AP118" i="36"/>
  <c r="AQ116" i="36"/>
  <c r="AP116" i="36"/>
  <c r="AQ115" i="36"/>
  <c r="CK113" i="36"/>
  <c r="CI113" i="36"/>
  <c r="CH113" i="36"/>
  <c r="AQ113" i="36"/>
  <c r="AP113" i="36"/>
  <c r="AQ112" i="36"/>
  <c r="CK110" i="36"/>
  <c r="CG110" i="36"/>
  <c r="CE110" i="36"/>
  <c r="CD110" i="36"/>
  <c r="AQ110" i="36"/>
  <c r="AP110" i="36"/>
  <c r="AQ109" i="36"/>
  <c r="AP109" i="36"/>
  <c r="CG107" i="36"/>
  <c r="AQ107" i="36"/>
  <c r="AP107" i="36"/>
  <c r="AQ106" i="36"/>
  <c r="CJ104" i="36"/>
  <c r="AQ104" i="36"/>
  <c r="AP104" i="36"/>
  <c r="AQ103" i="36"/>
  <c r="AP103" i="36"/>
  <c r="CK101" i="36"/>
  <c r="CI101" i="36"/>
  <c r="CH101" i="36"/>
  <c r="AQ101" i="36"/>
  <c r="AP101" i="36"/>
  <c r="AQ100" i="36"/>
  <c r="AP100" i="36"/>
  <c r="CK98" i="36"/>
  <c r="CG98" i="36"/>
  <c r="CE98" i="36"/>
  <c r="CD98" i="36"/>
  <c r="AQ98" i="36"/>
  <c r="AQ97" i="36"/>
  <c r="AP97" i="36"/>
  <c r="CG95" i="36"/>
  <c r="AQ95" i="36"/>
  <c r="AP95" i="36"/>
  <c r="AQ94" i="36"/>
  <c r="AP94" i="36"/>
  <c r="AQ92" i="36"/>
  <c r="AP92" i="36"/>
  <c r="AQ91" i="36"/>
  <c r="AP91" i="36"/>
  <c r="CK89" i="36"/>
  <c r="CI89" i="36"/>
  <c r="CH89" i="36"/>
  <c r="AQ89" i="36"/>
  <c r="AP89" i="36"/>
  <c r="AQ88" i="36"/>
  <c r="AP88" i="36"/>
  <c r="CK86" i="36"/>
  <c r="CG86" i="36"/>
  <c r="CE86" i="36"/>
  <c r="CD86" i="36"/>
  <c r="AQ86" i="36"/>
  <c r="AP86" i="36"/>
  <c r="AQ85" i="36"/>
  <c r="AP85" i="36"/>
  <c r="CG83" i="36"/>
  <c r="AQ83" i="36"/>
  <c r="AP83" i="36"/>
  <c r="AQ82" i="36"/>
  <c r="AQ80" i="36"/>
  <c r="AP80" i="36"/>
  <c r="AQ79" i="36"/>
  <c r="CK77" i="36"/>
  <c r="CI77" i="36"/>
  <c r="CH77" i="36"/>
  <c r="AQ77" i="36"/>
  <c r="AP77" i="36"/>
  <c r="AQ76" i="36"/>
  <c r="AP76" i="36"/>
  <c r="CK74" i="36"/>
  <c r="CG74" i="36"/>
  <c r="CE74" i="36"/>
  <c r="CD74" i="36"/>
  <c r="AQ74" i="36"/>
  <c r="AP74" i="36"/>
  <c r="AQ73" i="36"/>
  <c r="AP73" i="36"/>
  <c r="CJ71" i="36"/>
  <c r="CG71" i="36"/>
  <c r="AQ70" i="36"/>
  <c r="D69" i="36"/>
  <c r="D72" i="36" s="1"/>
  <c r="D75" i="36" s="1"/>
  <c r="D78" i="36" s="1"/>
  <c r="D81" i="36" s="1"/>
  <c r="D84" i="36" s="1"/>
  <c r="D87" i="36" s="1"/>
  <c r="D90" i="36" s="1"/>
  <c r="D93" i="36" s="1"/>
  <c r="D96" i="36" s="1"/>
  <c r="D99" i="36" s="1"/>
  <c r="D102" i="36" s="1"/>
  <c r="D105" i="36" s="1"/>
  <c r="D108" i="36" s="1"/>
  <c r="D111" i="36" s="1"/>
  <c r="D114" i="36" s="1"/>
  <c r="D117" i="36" s="1"/>
  <c r="D120" i="36" s="1"/>
  <c r="D123" i="36" s="1"/>
  <c r="D126" i="36" s="1"/>
  <c r="D129" i="36" s="1"/>
  <c r="D132" i="36" s="1"/>
  <c r="D135" i="36" s="1"/>
  <c r="D138" i="36" s="1"/>
  <c r="D141" i="36" s="1"/>
  <c r="D144" i="36" s="1"/>
  <c r="D147" i="36" s="1"/>
  <c r="D150" i="36" s="1"/>
  <c r="D153" i="36" s="1"/>
  <c r="D156" i="36" s="1"/>
  <c r="D159" i="36" s="1"/>
  <c r="D162" i="36" s="1"/>
  <c r="D165" i="36" s="1"/>
  <c r="D168" i="36" s="1"/>
  <c r="D171" i="36" s="1"/>
  <c r="D174" i="36" s="1"/>
  <c r="D177" i="36" s="1"/>
  <c r="D180" i="36" s="1"/>
  <c r="D183" i="36" s="1"/>
  <c r="D186" i="36" s="1"/>
  <c r="D189" i="36" s="1"/>
  <c r="D192" i="36" s="1"/>
  <c r="D195" i="36" s="1"/>
  <c r="D198" i="36" s="1"/>
  <c r="D201" i="36" s="1"/>
  <c r="D204" i="36" s="1"/>
  <c r="D207" i="36" s="1"/>
  <c r="D210" i="36" s="1"/>
  <c r="D213" i="36" s="1"/>
  <c r="D216" i="36" s="1"/>
  <c r="D219" i="36" s="1"/>
  <c r="D222" i="36" s="1"/>
  <c r="D225" i="36" s="1"/>
  <c r="D228" i="36" s="1"/>
  <c r="D231" i="36" s="1"/>
  <c r="D234" i="36" s="1"/>
  <c r="D237" i="36" s="1"/>
  <c r="D240" i="36" s="1"/>
  <c r="D243" i="36" s="1"/>
  <c r="D246" i="36" s="1"/>
  <c r="D249" i="36" s="1"/>
  <c r="D252" i="36" s="1"/>
  <c r="D255" i="36" s="1"/>
  <c r="D258" i="36" s="1"/>
  <c r="D261" i="36" s="1"/>
  <c r="D264" i="36" s="1"/>
  <c r="D267" i="36" s="1"/>
  <c r="D270" i="36" s="1"/>
  <c r="D273" i="36" s="1"/>
  <c r="D276" i="36" s="1"/>
  <c r="D279" i="36" s="1"/>
  <c r="D282" i="36" s="1"/>
  <c r="D285" i="36" s="1"/>
  <c r="D288" i="36" s="1"/>
  <c r="D291" i="36" s="1"/>
  <c r="D294" i="36" s="1"/>
  <c r="D297" i="36" s="1"/>
  <c r="D300" i="36" s="1"/>
  <c r="D303" i="36" s="1"/>
  <c r="D306" i="36" s="1"/>
  <c r="D309" i="36" s="1"/>
  <c r="D312" i="36" s="1"/>
  <c r="D315" i="36" s="1"/>
  <c r="D318" i="36" s="1"/>
  <c r="D321" i="36" s="1"/>
  <c r="D324" i="36" s="1"/>
  <c r="D327" i="36" s="1"/>
  <c r="D330" i="36" s="1"/>
  <c r="D333" i="36" s="1"/>
  <c r="D336" i="36" s="1"/>
  <c r="D339" i="36" s="1"/>
  <c r="D342" i="36" s="1"/>
  <c r="D345" i="36" s="1"/>
  <c r="D348" i="36" s="1"/>
  <c r="D351" i="36" s="1"/>
  <c r="D354" i="36" s="1"/>
  <c r="D357" i="36" s="1"/>
  <c r="D360" i="36" s="1"/>
  <c r="D363" i="36" s="1"/>
  <c r="D366" i="36" s="1"/>
  <c r="D369" i="36" s="1"/>
  <c r="D372" i="36" s="1"/>
  <c r="D375" i="36" s="1"/>
  <c r="D378" i="36" s="1"/>
  <c r="D381" i="36" s="1"/>
  <c r="BW51" i="36" l="1"/>
  <c r="BX51" i="36"/>
  <c r="BY51" i="36"/>
  <c r="BW7" i="36"/>
  <c r="BY7" i="36"/>
  <c r="BX7" i="36"/>
  <c r="BX6" i="36"/>
  <c r="BY6" i="36"/>
  <c r="BW6" i="36"/>
  <c r="CD398" i="36"/>
  <c r="CH401" i="36"/>
  <c r="CD410" i="36"/>
  <c r="CH413" i="36"/>
  <c r="CD422" i="36"/>
  <c r="CH425" i="36"/>
  <c r="CD434" i="36"/>
  <c r="CH437" i="36"/>
  <c r="CD323" i="36"/>
  <c r="CH326" i="36"/>
  <c r="CD335" i="36"/>
  <c r="CH338" i="36"/>
  <c r="CD347" i="36"/>
  <c r="CH350" i="36"/>
  <c r="CD359" i="36"/>
  <c r="CH362" i="36"/>
  <c r="CD371" i="36"/>
  <c r="CH374" i="36"/>
  <c r="CD383" i="36"/>
  <c r="CH389" i="36"/>
  <c r="CG320" i="36"/>
  <c r="CG332" i="36"/>
  <c r="CG344" i="36"/>
  <c r="CG356" i="36"/>
  <c r="CG368" i="36"/>
  <c r="CG395" i="36"/>
  <c r="CK398" i="36"/>
  <c r="CG407" i="36"/>
  <c r="CG419" i="36"/>
  <c r="CK422" i="36"/>
  <c r="CG431" i="36"/>
  <c r="CK434" i="36"/>
  <c r="CG443" i="36"/>
  <c r="CK323" i="36"/>
  <c r="CK335" i="36"/>
  <c r="CK347" i="36"/>
  <c r="CK359" i="36"/>
  <c r="CK371" i="36"/>
  <c r="CG380" i="36"/>
  <c r="CK383" i="36"/>
  <c r="CK410" i="36"/>
  <c r="CG323" i="36"/>
  <c r="CK326" i="36"/>
  <c r="CG335" i="36"/>
  <c r="CK338" i="36"/>
  <c r="CG347" i="36"/>
  <c r="CK350" i="36"/>
  <c r="CG359" i="36"/>
  <c r="CK362" i="36"/>
  <c r="CG371" i="36"/>
  <c r="CK374" i="36"/>
  <c r="CG383" i="36"/>
  <c r="CK389" i="36"/>
  <c r="CG398" i="36"/>
  <c r="CK401" i="36"/>
  <c r="CG410" i="36"/>
  <c r="CK413" i="36"/>
  <c r="CG422" i="36"/>
  <c r="CG326" i="36"/>
  <c r="CK329" i="36"/>
  <c r="CG338" i="36"/>
  <c r="CK341" i="36"/>
  <c r="CG350" i="36"/>
  <c r="CK353" i="36"/>
  <c r="CG362" i="36"/>
  <c r="CK365" i="36"/>
  <c r="CG374" i="36"/>
  <c r="CK377" i="36"/>
  <c r="CG389" i="36"/>
  <c r="CK392" i="36"/>
  <c r="CG401" i="36"/>
  <c r="CK404" i="36"/>
  <c r="CG413" i="36"/>
  <c r="CK416" i="36"/>
  <c r="CG425" i="36"/>
  <c r="CK428" i="36"/>
  <c r="CG437" i="36"/>
  <c r="CK440" i="36"/>
  <c r="CD326" i="36"/>
  <c r="CH329" i="36"/>
  <c r="CD338" i="36"/>
  <c r="CH341" i="36"/>
  <c r="CD350" i="36"/>
  <c r="CH353" i="36"/>
  <c r="CD362" i="36"/>
  <c r="CH365" i="36"/>
  <c r="CD374" i="36"/>
  <c r="CH377" i="36"/>
  <c r="CD389" i="36"/>
  <c r="CH392" i="36"/>
  <c r="CD401" i="36"/>
  <c r="CH404" i="36"/>
  <c r="CD413" i="36"/>
  <c r="CH416" i="36"/>
  <c r="CD425" i="36"/>
  <c r="CH428" i="36"/>
  <c r="CD437" i="36"/>
  <c r="CH440" i="36"/>
  <c r="CE326" i="36"/>
  <c r="CI329" i="36"/>
  <c r="CE338" i="36"/>
  <c r="CI341" i="36"/>
  <c r="CE350" i="36"/>
  <c r="CI353" i="36"/>
  <c r="CE362" i="36"/>
  <c r="CI365" i="36"/>
  <c r="CE374" i="36"/>
  <c r="CI377" i="36"/>
  <c r="CE389" i="36"/>
  <c r="CI392" i="36"/>
  <c r="CE401" i="36"/>
  <c r="CI404" i="36"/>
  <c r="CE413" i="36"/>
  <c r="CI416" i="36"/>
  <c r="CE425" i="36"/>
  <c r="CI428" i="36"/>
  <c r="CE437" i="36"/>
  <c r="CI440" i="36"/>
  <c r="CD83" i="36"/>
  <c r="CD95" i="36"/>
  <c r="CH98" i="36"/>
  <c r="CD107" i="36"/>
  <c r="CG116" i="36"/>
  <c r="CD119" i="36"/>
  <c r="CG128" i="36"/>
  <c r="CK131" i="36"/>
  <c r="CG140" i="36"/>
  <c r="CK167" i="36"/>
  <c r="CK179" i="36"/>
  <c r="CG200" i="36"/>
  <c r="CG212" i="36"/>
  <c r="CK215" i="36"/>
  <c r="CG224" i="36"/>
  <c r="CK227" i="36"/>
  <c r="CG236" i="36"/>
  <c r="CK239" i="36"/>
  <c r="CG248" i="36"/>
  <c r="CK251" i="36"/>
  <c r="CG260" i="36"/>
  <c r="CK263" i="36"/>
  <c r="CG272" i="36"/>
  <c r="CK275" i="36"/>
  <c r="CG284" i="36"/>
  <c r="CK287" i="36"/>
  <c r="CG296" i="36"/>
  <c r="CK299" i="36"/>
  <c r="CG308" i="36"/>
  <c r="CK311" i="36"/>
  <c r="CD71" i="36"/>
  <c r="CH74" i="36"/>
  <c r="CG80" i="36"/>
  <c r="CK83" i="36"/>
  <c r="CH86" i="36"/>
  <c r="CG92" i="36"/>
  <c r="CK95" i="36"/>
  <c r="CG104" i="36"/>
  <c r="CK107" i="36"/>
  <c r="CH110" i="36"/>
  <c r="CK119" i="36"/>
  <c r="CH122" i="36"/>
  <c r="CD131" i="36"/>
  <c r="CK143" i="36"/>
  <c r="CG152" i="36"/>
  <c r="CK155" i="36"/>
  <c r="CG164" i="36"/>
  <c r="CG176" i="36"/>
  <c r="CG188" i="36"/>
  <c r="CK191" i="36"/>
  <c r="CK203" i="36"/>
  <c r="CK425" i="36"/>
  <c r="CG434" i="36"/>
  <c r="CK437" i="36"/>
  <c r="CF149" i="36"/>
  <c r="CF173" i="36"/>
  <c r="CF185" i="36"/>
  <c r="CF197" i="36"/>
  <c r="CJ200" i="36"/>
  <c r="CF209" i="36"/>
  <c r="CJ212" i="36"/>
  <c r="CF221" i="36"/>
  <c r="CJ224" i="36"/>
  <c r="CF233" i="36"/>
  <c r="CJ236" i="36"/>
  <c r="CF245" i="36"/>
  <c r="CJ248" i="36"/>
  <c r="CF257" i="36"/>
  <c r="CJ260" i="36"/>
  <c r="CF269" i="36"/>
  <c r="CJ272" i="36"/>
  <c r="CF281" i="36"/>
  <c r="CJ284" i="36"/>
  <c r="CF293" i="36"/>
  <c r="CJ296" i="36"/>
  <c r="CF305" i="36"/>
  <c r="CJ308" i="36"/>
  <c r="CF317" i="36"/>
  <c r="CJ320" i="36"/>
  <c r="CF329" i="36"/>
  <c r="CJ332" i="36"/>
  <c r="CF341" i="36"/>
  <c r="CJ344" i="36"/>
  <c r="CF353" i="36"/>
  <c r="CJ356" i="36"/>
  <c r="CF365" i="36"/>
  <c r="CJ368" i="36"/>
  <c r="CF377" i="36"/>
  <c r="CJ380" i="36"/>
  <c r="CF392" i="36"/>
  <c r="CJ395" i="36"/>
  <c r="CF404" i="36"/>
  <c r="CJ407" i="36"/>
  <c r="CF416" i="36"/>
  <c r="CJ419" i="36"/>
  <c r="CF428" i="36"/>
  <c r="CJ431" i="36"/>
  <c r="CF440" i="36"/>
  <c r="CJ443" i="36"/>
  <c r="CK71" i="36"/>
  <c r="CJ80" i="36"/>
  <c r="CJ92" i="36"/>
  <c r="CF101" i="36"/>
  <c r="CF113" i="36"/>
  <c r="CJ116" i="36"/>
  <c r="CF125" i="36"/>
  <c r="CJ128" i="36"/>
  <c r="CF137" i="36"/>
  <c r="CJ140" i="36"/>
  <c r="CJ152" i="36"/>
  <c r="CF161" i="36"/>
  <c r="CJ164" i="36"/>
  <c r="CJ176" i="36"/>
  <c r="CJ188" i="36"/>
  <c r="CE71" i="36"/>
  <c r="CH71" i="36"/>
  <c r="CF74" i="36"/>
  <c r="CI74" i="36"/>
  <c r="CG77" i="36"/>
  <c r="CJ77" i="36"/>
  <c r="CD80" i="36"/>
  <c r="CK80" i="36"/>
  <c r="CE83" i="36"/>
  <c r="CH83" i="36"/>
  <c r="CF86" i="36"/>
  <c r="CI86" i="36"/>
  <c r="CG89" i="36"/>
  <c r="CJ89" i="36"/>
  <c r="CD92" i="36"/>
  <c r="CK92" i="36"/>
  <c r="CE95" i="36"/>
  <c r="CH95" i="36"/>
  <c r="CF98" i="36"/>
  <c r="CI98" i="36"/>
  <c r="CG101" i="36"/>
  <c r="CJ101" i="36"/>
  <c r="CD104" i="36"/>
  <c r="CK104" i="36"/>
  <c r="CE107" i="36"/>
  <c r="CH107" i="36"/>
  <c r="CF110" i="36"/>
  <c r="CI110" i="36"/>
  <c r="CG113" i="36"/>
  <c r="CJ113" i="36"/>
  <c r="CD116" i="36"/>
  <c r="CK116" i="36"/>
  <c r="CE119" i="36"/>
  <c r="CH119" i="36"/>
  <c r="CF122" i="36"/>
  <c r="CI122" i="36"/>
  <c r="CG125" i="36"/>
  <c r="CJ125" i="36"/>
  <c r="CD128" i="36"/>
  <c r="CK128" i="36"/>
  <c r="CE131" i="36"/>
  <c r="CH131" i="36"/>
  <c r="CF134" i="36"/>
  <c r="CI134" i="36"/>
  <c r="CG137" i="36"/>
  <c r="CJ137" i="36"/>
  <c r="CD140" i="36"/>
  <c r="CK140" i="36"/>
  <c r="CE143" i="36"/>
  <c r="CH143" i="36"/>
  <c r="CF146" i="36"/>
  <c r="CI146" i="36"/>
  <c r="CG149" i="36"/>
  <c r="CJ149" i="36"/>
  <c r="CD152" i="36"/>
  <c r="CK152" i="36"/>
  <c r="CE155" i="36"/>
  <c r="CH155" i="36"/>
  <c r="CF158" i="36"/>
  <c r="CI158" i="36"/>
  <c r="CG161" i="36"/>
  <c r="CJ161" i="36"/>
  <c r="CD164" i="36"/>
  <c r="CK164" i="36"/>
  <c r="CE167" i="36"/>
  <c r="CH167" i="36"/>
  <c r="CF170" i="36"/>
  <c r="CI170" i="36"/>
  <c r="CG173" i="36"/>
  <c r="CJ173" i="36"/>
  <c r="CD176" i="36"/>
  <c r="CK176" i="36"/>
  <c r="CE179" i="36"/>
  <c r="CH179" i="36"/>
  <c r="CF182" i="36"/>
  <c r="CI182" i="36"/>
  <c r="CG185" i="36"/>
  <c r="CJ185" i="36"/>
  <c r="CD188" i="36"/>
  <c r="CK188" i="36"/>
  <c r="CE191" i="36"/>
  <c r="CH191" i="36"/>
  <c r="CF194" i="36"/>
  <c r="CI194" i="36"/>
  <c r="CG197" i="36"/>
  <c r="CJ197" i="36"/>
  <c r="CD200" i="36"/>
  <c r="CK200" i="36"/>
  <c r="CE203" i="36"/>
  <c r="CH203" i="36"/>
  <c r="CF206" i="36"/>
  <c r="CI206" i="36"/>
  <c r="CG209" i="36"/>
  <c r="CJ209" i="36"/>
  <c r="CD212" i="36"/>
  <c r="CK212" i="36"/>
  <c r="CE215" i="36"/>
  <c r="CH215" i="36"/>
  <c r="CF218" i="36"/>
  <c r="CI218" i="36"/>
  <c r="CG221" i="36"/>
  <c r="CJ221" i="36"/>
  <c r="CD224" i="36"/>
  <c r="CK224" i="36"/>
  <c r="CE227" i="36"/>
  <c r="CH227" i="36"/>
  <c r="CF230" i="36"/>
  <c r="CI230" i="36"/>
  <c r="CG233" i="36"/>
  <c r="CJ233" i="36"/>
  <c r="CD236" i="36"/>
  <c r="CK236" i="36"/>
  <c r="CE239" i="36"/>
  <c r="CH239" i="36"/>
  <c r="CF242" i="36"/>
  <c r="CI242" i="36"/>
  <c r="CG245" i="36"/>
  <c r="CJ245" i="36"/>
  <c r="CD248" i="36"/>
  <c r="CK248" i="36"/>
  <c r="CE251" i="36"/>
  <c r="CH251" i="36"/>
  <c r="CF254" i="36"/>
  <c r="CI254" i="36"/>
  <c r="CG257" i="36"/>
  <c r="CJ257" i="36"/>
  <c r="CD260" i="36"/>
  <c r="CK260" i="36"/>
  <c r="CE263" i="36"/>
  <c r="CH263" i="36"/>
  <c r="CF266" i="36"/>
  <c r="CI266" i="36"/>
  <c r="CG269" i="36"/>
  <c r="CJ269" i="36"/>
  <c r="CD272" i="36"/>
  <c r="CK272" i="36"/>
  <c r="CE275" i="36"/>
  <c r="CH275" i="36"/>
  <c r="CF278" i="36"/>
  <c r="CI278" i="36"/>
  <c r="CG281" i="36"/>
  <c r="CJ281" i="36"/>
  <c r="CD284" i="36"/>
  <c r="CK284" i="36"/>
  <c r="CE287" i="36"/>
  <c r="CH287" i="36"/>
  <c r="CF290" i="36"/>
  <c r="CI290" i="36"/>
  <c r="CG293" i="36"/>
  <c r="CJ293" i="36"/>
  <c r="CD296" i="36"/>
  <c r="CK296" i="36"/>
  <c r="CE299" i="36"/>
  <c r="CH299" i="36"/>
  <c r="CF302" i="36"/>
  <c r="CI302" i="36"/>
  <c r="CG305" i="36"/>
  <c r="CJ305" i="36"/>
  <c r="CD308" i="36"/>
  <c r="CK308" i="36"/>
  <c r="CE311" i="36"/>
  <c r="CH311" i="36"/>
  <c r="CF314" i="36"/>
  <c r="CI314" i="36"/>
  <c r="CG317" i="36"/>
  <c r="CJ317" i="36"/>
  <c r="CD320" i="36"/>
  <c r="CK320" i="36"/>
  <c r="CE323" i="36"/>
  <c r="CH323" i="36"/>
  <c r="CF326" i="36"/>
  <c r="CI326" i="36"/>
  <c r="CG329" i="36"/>
  <c r="CJ329" i="36"/>
  <c r="CD332" i="36"/>
  <c r="CK332" i="36"/>
  <c r="CE335" i="36"/>
  <c r="CH335" i="36"/>
  <c r="CF338" i="36"/>
  <c r="CI338" i="36"/>
  <c r="CG341" i="36"/>
  <c r="CJ341" i="36"/>
  <c r="CD344" i="36"/>
  <c r="CK344" i="36"/>
  <c r="CE347" i="36"/>
  <c r="CH347" i="36"/>
  <c r="CF350" i="36"/>
  <c r="CI350" i="36"/>
  <c r="CG353" i="36"/>
  <c r="CJ353" i="36"/>
  <c r="CD356" i="36"/>
  <c r="CK356" i="36"/>
  <c r="CE359" i="36"/>
  <c r="CH359" i="36"/>
  <c r="CF362" i="36"/>
  <c r="CI362" i="36"/>
  <c r="CG365" i="36"/>
  <c r="CJ365" i="36"/>
  <c r="CD368" i="36"/>
  <c r="CK368" i="36"/>
  <c r="CE371" i="36"/>
  <c r="CH371" i="36"/>
  <c r="CF374" i="36"/>
  <c r="CI374" i="36"/>
  <c r="CG377" i="36"/>
  <c r="CJ377" i="36"/>
  <c r="CD380" i="36"/>
  <c r="CK380" i="36"/>
  <c r="CE383" i="36"/>
  <c r="CH383" i="36"/>
  <c r="CF389" i="36"/>
  <c r="CI389" i="36"/>
  <c r="CG392" i="36"/>
  <c r="CJ392" i="36"/>
  <c r="CD395" i="36"/>
  <c r="CK395" i="36"/>
  <c r="CE398" i="36"/>
  <c r="CH398" i="36"/>
  <c r="CF401" i="36"/>
  <c r="CI401" i="36"/>
  <c r="CG404" i="36"/>
  <c r="CJ404" i="36"/>
  <c r="CD407" i="36"/>
  <c r="CK407" i="36"/>
  <c r="CE410" i="36"/>
  <c r="CH410" i="36"/>
  <c r="CF413" i="36"/>
  <c r="CI413" i="36"/>
  <c r="CG416" i="36"/>
  <c r="CJ416" i="36"/>
  <c r="CD419" i="36"/>
  <c r="CK419" i="36"/>
  <c r="CE422" i="36"/>
  <c r="CH422" i="36"/>
  <c r="CF425" i="36"/>
  <c r="CI425" i="36"/>
  <c r="CG428" i="36"/>
  <c r="CJ428" i="36"/>
  <c r="CD431" i="36"/>
  <c r="CK431" i="36"/>
  <c r="CE434" i="36"/>
  <c r="CH434" i="36"/>
  <c r="CF437" i="36"/>
  <c r="CI437" i="36"/>
  <c r="CG440" i="36"/>
  <c r="CJ440" i="36"/>
  <c r="CD443" i="36"/>
  <c r="CK443" i="36"/>
  <c r="CF77" i="36"/>
  <c r="CF89" i="36"/>
  <c r="CF71" i="36"/>
  <c r="CI71" i="36"/>
  <c r="CJ74" i="36"/>
  <c r="CD77" i="36"/>
  <c r="CE80" i="36"/>
  <c r="CH80" i="36"/>
  <c r="CF83" i="36"/>
  <c r="CI83" i="36"/>
  <c r="CJ86" i="36"/>
  <c r="CD89" i="36"/>
  <c r="CE92" i="36"/>
  <c r="CH92" i="36"/>
  <c r="CF95" i="36"/>
  <c r="CI95" i="36"/>
  <c r="CJ98" i="36"/>
  <c r="CD101" i="36"/>
  <c r="CE104" i="36"/>
  <c r="CH104" i="36"/>
  <c r="CF107" i="36"/>
  <c r="CI107" i="36"/>
  <c r="CJ110" i="36"/>
  <c r="CD113" i="36"/>
  <c r="CE116" i="36"/>
  <c r="CH116" i="36"/>
  <c r="CF119" i="36"/>
  <c r="CI119" i="36"/>
  <c r="CJ122" i="36"/>
  <c r="CD125" i="36"/>
  <c r="CE128" i="36"/>
  <c r="CH128" i="36"/>
  <c r="CF131" i="36"/>
  <c r="CI131" i="36"/>
  <c r="CJ134" i="36"/>
  <c r="CD137" i="36"/>
  <c r="CE140" i="36"/>
  <c r="CH140" i="36"/>
  <c r="CF143" i="36"/>
  <c r="CI143" i="36"/>
  <c r="CJ146" i="36"/>
  <c r="CD149" i="36"/>
  <c r="CE152" i="36"/>
  <c r="CH152" i="36"/>
  <c r="CF155" i="36"/>
  <c r="CI155" i="36"/>
  <c r="CJ158" i="36"/>
  <c r="CD161" i="36"/>
  <c r="CE164" i="36"/>
  <c r="CH164" i="36"/>
  <c r="CF167" i="36"/>
  <c r="CI167" i="36"/>
  <c r="CJ170" i="36"/>
  <c r="CD173" i="36"/>
  <c r="CE176" i="36"/>
  <c r="CH176" i="36"/>
  <c r="CF179" i="36"/>
  <c r="CI179" i="36"/>
  <c r="CJ182" i="36"/>
  <c r="CD185" i="36"/>
  <c r="CE188" i="36"/>
  <c r="CH188" i="36"/>
  <c r="CF191" i="36"/>
  <c r="CI191" i="36"/>
  <c r="CJ194" i="36"/>
  <c r="CD197" i="36"/>
  <c r="CE200" i="36"/>
  <c r="CH200" i="36"/>
  <c r="CF203" i="36"/>
  <c r="CI203" i="36"/>
  <c r="CJ206" i="36"/>
  <c r="CD209" i="36"/>
  <c r="CE212" i="36"/>
  <c r="CH212" i="36"/>
  <c r="CF215" i="36"/>
  <c r="CI215" i="36"/>
  <c r="CJ218" i="36"/>
  <c r="CD221" i="36"/>
  <c r="CE224" i="36"/>
  <c r="CH224" i="36"/>
  <c r="CF227" i="36"/>
  <c r="CI227" i="36"/>
  <c r="CJ230" i="36"/>
  <c r="CD233" i="36"/>
  <c r="CE236" i="36"/>
  <c r="CH236" i="36"/>
  <c r="CF239" i="36"/>
  <c r="CI239" i="36"/>
  <c r="CJ242" i="36"/>
  <c r="CD245" i="36"/>
  <c r="CE248" i="36"/>
  <c r="CH248" i="36"/>
  <c r="CF251" i="36"/>
  <c r="CI251" i="36"/>
  <c r="CJ254" i="36"/>
  <c r="CD257" i="36"/>
  <c r="CE260" i="36"/>
  <c r="CH260" i="36"/>
  <c r="CF263" i="36"/>
  <c r="CI263" i="36"/>
  <c r="CJ266" i="36"/>
  <c r="CD269" i="36"/>
  <c r="CE272" i="36"/>
  <c r="CH272" i="36"/>
  <c r="CF275" i="36"/>
  <c r="CI275" i="36"/>
  <c r="CJ278" i="36"/>
  <c r="CD281" i="36"/>
  <c r="CE284" i="36"/>
  <c r="CH284" i="36"/>
  <c r="CF287" i="36"/>
  <c r="CI287" i="36"/>
  <c r="CJ290" i="36"/>
  <c r="CD293" i="36"/>
  <c r="CE296" i="36"/>
  <c r="CH296" i="36"/>
  <c r="CF299" i="36"/>
  <c r="CI299" i="36"/>
  <c r="CJ302" i="36"/>
  <c r="CD305" i="36"/>
  <c r="CE308" i="36"/>
  <c r="CH308" i="36"/>
  <c r="CF311" i="36"/>
  <c r="CI311" i="36"/>
  <c r="CJ314" i="36"/>
  <c r="CD317" i="36"/>
  <c r="CE320" i="36"/>
  <c r="CH320" i="36"/>
  <c r="CF323" i="36"/>
  <c r="CI323" i="36"/>
  <c r="CJ326" i="36"/>
  <c r="CD329" i="36"/>
  <c r="CE332" i="36"/>
  <c r="CH332" i="36"/>
  <c r="CF335" i="36"/>
  <c r="CI335" i="36"/>
  <c r="CJ338" i="36"/>
  <c r="CD341" i="36"/>
  <c r="CE344" i="36"/>
  <c r="CH344" i="36"/>
  <c r="CF347" i="36"/>
  <c r="CI347" i="36"/>
  <c r="CJ350" i="36"/>
  <c r="CD353" i="36"/>
  <c r="CE356" i="36"/>
  <c r="CH356" i="36"/>
  <c r="CF359" i="36"/>
  <c r="CI359" i="36"/>
  <c r="CJ362" i="36"/>
  <c r="CD365" i="36"/>
  <c r="CE368" i="36"/>
  <c r="CH368" i="36"/>
  <c r="CF371" i="36"/>
  <c r="CI371" i="36"/>
  <c r="CJ374" i="36"/>
  <c r="CD377" i="36"/>
  <c r="CE380" i="36"/>
  <c r="CH380" i="36"/>
  <c r="CF383" i="36"/>
  <c r="CI383" i="36"/>
  <c r="CJ389" i="36"/>
  <c r="CD392" i="36"/>
  <c r="CE395" i="36"/>
  <c r="CH395" i="36"/>
  <c r="CF398" i="36"/>
  <c r="CI398" i="36"/>
  <c r="CJ401" i="36"/>
  <c r="CD404" i="36"/>
  <c r="CE407" i="36"/>
  <c r="CH407" i="36"/>
  <c r="CF410" i="36"/>
  <c r="CI410" i="36"/>
  <c r="CJ413" i="36"/>
  <c r="CD416" i="36"/>
  <c r="CE419" i="36"/>
  <c r="CH419" i="36"/>
  <c r="CF422" i="36"/>
  <c r="CI422" i="36"/>
  <c r="CJ425" i="36"/>
  <c r="CD428" i="36"/>
  <c r="CE431" i="36"/>
  <c r="CH431" i="36"/>
  <c r="CF434" i="36"/>
  <c r="CI434" i="36"/>
  <c r="CJ437" i="36"/>
  <c r="CD440" i="36"/>
  <c r="CE443" i="36"/>
  <c r="CH443" i="36"/>
  <c r="CE77" i="36"/>
  <c r="CF80" i="36"/>
  <c r="CI80" i="36"/>
  <c r="CJ83" i="36"/>
  <c r="CE89" i="36"/>
  <c r="CF92" i="36"/>
  <c r="CI92" i="36"/>
  <c r="CJ95" i="36"/>
  <c r="CE101" i="36"/>
  <c r="CF104" i="36"/>
  <c r="CI104" i="36"/>
  <c r="CJ107" i="36"/>
  <c r="CE113" i="36"/>
  <c r="CF116" i="36"/>
  <c r="CI116" i="36"/>
  <c r="CJ119" i="36"/>
  <c r="CE125" i="36"/>
  <c r="CF128" i="36"/>
  <c r="CI128" i="36"/>
  <c r="CJ131" i="36"/>
  <c r="CE137" i="36"/>
  <c r="CF140" i="36"/>
  <c r="CI140" i="36"/>
  <c r="CJ143" i="36"/>
  <c r="CE149" i="36"/>
  <c r="CF152" i="36"/>
  <c r="CI152" i="36"/>
  <c r="CJ155" i="36"/>
  <c r="CE161" i="36"/>
  <c r="CF164" i="36"/>
  <c r="CI164" i="36"/>
  <c r="CJ167" i="36"/>
  <c r="CE173" i="36"/>
  <c r="CF176" i="36"/>
  <c r="CI176" i="36"/>
  <c r="CJ179" i="36"/>
  <c r="CE185" i="36"/>
  <c r="CF188" i="36"/>
  <c r="CI188" i="36"/>
  <c r="CJ191" i="36"/>
  <c r="CE197" i="36"/>
  <c r="CF200" i="36"/>
  <c r="CI200" i="36"/>
  <c r="CJ203" i="36"/>
  <c r="CE209" i="36"/>
  <c r="CF212" i="36"/>
  <c r="CI212" i="36"/>
  <c r="CJ215" i="36"/>
  <c r="CE221" i="36"/>
  <c r="CF224" i="36"/>
  <c r="CI224" i="36"/>
  <c r="CJ227" i="36"/>
  <c r="CE233" i="36"/>
  <c r="CF236" i="36"/>
  <c r="CI236" i="36"/>
  <c r="CJ239" i="36"/>
  <c r="CE245" i="36"/>
  <c r="CF248" i="36"/>
  <c r="CI248" i="36"/>
  <c r="CJ251" i="36"/>
  <c r="CE257" i="36"/>
  <c r="CF260" i="36"/>
  <c r="CI260" i="36"/>
  <c r="CJ263" i="36"/>
  <c r="CE269" i="36"/>
  <c r="CF272" i="36"/>
  <c r="CI272" i="36"/>
  <c r="CJ275" i="36"/>
  <c r="CE281" i="36"/>
  <c r="CF284" i="36"/>
  <c r="CI284" i="36"/>
  <c r="CJ287" i="36"/>
  <c r="CE293" i="36"/>
  <c r="CF296" i="36"/>
  <c r="CI296" i="36"/>
  <c r="CJ299" i="36"/>
  <c r="CE305" i="36"/>
  <c r="CF308" i="36"/>
  <c r="CI308" i="36"/>
  <c r="CJ311" i="36"/>
  <c r="CE317" i="36"/>
  <c r="CF320" i="36"/>
  <c r="CI320" i="36"/>
  <c r="CJ323" i="36"/>
  <c r="CE329" i="36"/>
  <c r="CF332" i="36"/>
  <c r="CI332" i="36"/>
  <c r="CJ335" i="36"/>
  <c r="CE341" i="36"/>
  <c r="CF344" i="36"/>
  <c r="CI344" i="36"/>
  <c r="CJ347" i="36"/>
  <c r="CE353" i="36"/>
  <c r="CF356" i="36"/>
  <c r="CI356" i="36"/>
  <c r="CJ359" i="36"/>
  <c r="CE365" i="36"/>
  <c r="CF368" i="36"/>
  <c r="CI368" i="36"/>
  <c r="CJ371" i="36"/>
  <c r="CE377" i="36"/>
  <c r="CF380" i="36"/>
  <c r="CI380" i="36"/>
  <c r="CJ383" i="36"/>
  <c r="CE392" i="36"/>
  <c r="CF395" i="36"/>
  <c r="CI395" i="36"/>
  <c r="CJ398" i="36"/>
  <c r="CE404" i="36"/>
  <c r="CF407" i="36"/>
  <c r="CI407" i="36"/>
  <c r="CJ410" i="36"/>
  <c r="CE416" i="36"/>
  <c r="CF419" i="36"/>
  <c r="CI419" i="36"/>
  <c r="CJ422" i="36"/>
  <c r="CE428" i="36"/>
  <c r="CF431" i="36"/>
  <c r="CI431" i="36"/>
  <c r="CJ434" i="36"/>
  <c r="CE440" i="36"/>
  <c r="CF443" i="36"/>
  <c r="CI443" i="36"/>
  <c r="BC245" i="36"/>
  <c r="BF248" i="36"/>
  <c r="BY248" i="36"/>
  <c r="BC269" i="36"/>
  <c r="BF272" i="36"/>
  <c r="BY272" i="36"/>
  <c r="BC293" i="36"/>
  <c r="BF296" i="36"/>
  <c r="BY296" i="36"/>
  <c r="BC317" i="36"/>
  <c r="BF320" i="36"/>
  <c r="BY320" i="36"/>
  <c r="BC341" i="36"/>
  <c r="BF344" i="36"/>
  <c r="BY344" i="36"/>
  <c r="BC365" i="36"/>
  <c r="BF368" i="36"/>
  <c r="BY368" i="36"/>
  <c r="BC392" i="36"/>
  <c r="BF395" i="36"/>
  <c r="BY395" i="36"/>
  <c r="BC416" i="36"/>
  <c r="BF419" i="36"/>
  <c r="BY419" i="36"/>
  <c r="BC440" i="36"/>
  <c r="BF443" i="36"/>
  <c r="BY443" i="36"/>
  <c r="BW57" i="36"/>
  <c r="BW2" i="36" s="1"/>
  <c r="BX57" i="36"/>
  <c r="BX2" i="36" s="1"/>
  <c r="BF71" i="36"/>
  <c r="BY71" i="36"/>
  <c r="BC107" i="36"/>
  <c r="BC179" i="36"/>
  <c r="BC203" i="36"/>
  <c r="BC227" i="36"/>
  <c r="BF230" i="36"/>
  <c r="BY230" i="36"/>
  <c r="BC251" i="36"/>
  <c r="BC80" i="36"/>
  <c r="BC128" i="36"/>
  <c r="BC152" i="36"/>
  <c r="BF155" i="36"/>
  <c r="BY155" i="36"/>
  <c r="BC176" i="36"/>
  <c r="BC224" i="36"/>
  <c r="BC248" i="36"/>
  <c r="BC272" i="36"/>
  <c r="BF275" i="36"/>
  <c r="BY275" i="36"/>
  <c r="BC296" i="36"/>
  <c r="BF299" i="36"/>
  <c r="BY299" i="36"/>
  <c r="BC320" i="36"/>
  <c r="BF323" i="36"/>
  <c r="BY323" i="36"/>
  <c r="BC344" i="36"/>
  <c r="BC368" i="36"/>
  <c r="BF371" i="36"/>
  <c r="BY371" i="36"/>
  <c r="BF398" i="36"/>
  <c r="BY398" i="36"/>
  <c r="BC419" i="36"/>
  <c r="BC77" i="36"/>
  <c r="BF80" i="36"/>
  <c r="BY80" i="36"/>
  <c r="BC101" i="36"/>
  <c r="BF104" i="36"/>
  <c r="BY104" i="36"/>
  <c r="BC125" i="36"/>
  <c r="BF128" i="36"/>
  <c r="BY128" i="36"/>
  <c r="BC149" i="36"/>
  <c r="BF152" i="36"/>
  <c r="BY152" i="36"/>
  <c r="BC173" i="36"/>
  <c r="BF176" i="36"/>
  <c r="BY176" i="36"/>
  <c r="BC197" i="36"/>
  <c r="BF200" i="36"/>
  <c r="BY200" i="36"/>
  <c r="BC221" i="36"/>
  <c r="BF224" i="36"/>
  <c r="BY224" i="36"/>
  <c r="BC74" i="36"/>
  <c r="BF77" i="36"/>
  <c r="BY77" i="36"/>
  <c r="BC98" i="36"/>
  <c r="BF101" i="36"/>
  <c r="BY101" i="36"/>
  <c r="BC122" i="36"/>
  <c r="BF125" i="36"/>
  <c r="BY125" i="36"/>
  <c r="BC146" i="36"/>
  <c r="BF149" i="36"/>
  <c r="BY149" i="36"/>
  <c r="BC170" i="36"/>
  <c r="BF173" i="36"/>
  <c r="BY173" i="36"/>
  <c r="BC194" i="36"/>
  <c r="BF197" i="36"/>
  <c r="BY197" i="36"/>
  <c r="BC218" i="36"/>
  <c r="BF221" i="36"/>
  <c r="BY221" i="36"/>
  <c r="BC242" i="36"/>
  <c r="BF245" i="36"/>
  <c r="BY245" i="36"/>
  <c r="BC266" i="36"/>
  <c r="BF269" i="36"/>
  <c r="BY269" i="36"/>
  <c r="BC290" i="36"/>
  <c r="BF293" i="36"/>
  <c r="BY293" i="36"/>
  <c r="BC314" i="36"/>
  <c r="BF317" i="36"/>
  <c r="BY317" i="36"/>
  <c r="BC338" i="36"/>
  <c r="BF341" i="36"/>
  <c r="BY341" i="36"/>
  <c r="BC362" i="36"/>
  <c r="BF365" i="36"/>
  <c r="BY365" i="36"/>
  <c r="BC389" i="36"/>
  <c r="BF392" i="36"/>
  <c r="BY392" i="36"/>
  <c r="BC413" i="36"/>
  <c r="BF416" i="36"/>
  <c r="BY416" i="36"/>
  <c r="BC437" i="36"/>
  <c r="BF440" i="36"/>
  <c r="BY440" i="36"/>
  <c r="BC119" i="36"/>
  <c r="BF122" i="36"/>
  <c r="BY122" i="36"/>
  <c r="BC143" i="36"/>
  <c r="BF146" i="36"/>
  <c r="BY146" i="36"/>
  <c r="BC167" i="36"/>
  <c r="BF170" i="36"/>
  <c r="BY170" i="36"/>
  <c r="BC191" i="36"/>
  <c r="BF194" i="36"/>
  <c r="BY194" i="36"/>
  <c r="BC215" i="36"/>
  <c r="BF218" i="36"/>
  <c r="BY218" i="36"/>
  <c r="BC239" i="36"/>
  <c r="BF242" i="36"/>
  <c r="BY242" i="36"/>
  <c r="BC263" i="36"/>
  <c r="BF266" i="36"/>
  <c r="BY266" i="36"/>
  <c r="BC287" i="36"/>
  <c r="BF290" i="36"/>
  <c r="BY290" i="36"/>
  <c r="BC311" i="36"/>
  <c r="BF314" i="36"/>
  <c r="BY314" i="36"/>
  <c r="BC335" i="36"/>
  <c r="BF338" i="36"/>
  <c r="BY338" i="36"/>
  <c r="BC359" i="36"/>
  <c r="BF362" i="36"/>
  <c r="BY362" i="36"/>
  <c r="BC383" i="36"/>
  <c r="BF389" i="36"/>
  <c r="BY389" i="36"/>
  <c r="BC410" i="36"/>
  <c r="BF413" i="36"/>
  <c r="BY413" i="36"/>
  <c r="BC434" i="36"/>
  <c r="BF437" i="36"/>
  <c r="BY437" i="36"/>
  <c r="BC140" i="36"/>
  <c r="BF143" i="36"/>
  <c r="BY143" i="36"/>
  <c r="BC164" i="36"/>
  <c r="BF167" i="36"/>
  <c r="BY167" i="36"/>
  <c r="BC188" i="36"/>
  <c r="BF191" i="36"/>
  <c r="BY191" i="36"/>
  <c r="BC212" i="36"/>
  <c r="BC236" i="36"/>
  <c r="BF239" i="36"/>
  <c r="BY239" i="36"/>
  <c r="BC284" i="36"/>
  <c r="BF287" i="36"/>
  <c r="BY287" i="36"/>
  <c r="BC332" i="36"/>
  <c r="BC89" i="36"/>
  <c r="BF92" i="36"/>
  <c r="BY92" i="36"/>
  <c r="BC113" i="36"/>
  <c r="BF116" i="36"/>
  <c r="BY116" i="36"/>
  <c r="BC137" i="36"/>
  <c r="BF140" i="36"/>
  <c r="BY140" i="36"/>
  <c r="BC161" i="36"/>
  <c r="BF164" i="36"/>
  <c r="BY164" i="36"/>
  <c r="BC185" i="36"/>
  <c r="BF188" i="36"/>
  <c r="BY188" i="36"/>
  <c r="BC209" i="36"/>
  <c r="BF212" i="36"/>
  <c r="BY212" i="36"/>
  <c r="BC233" i="36"/>
  <c r="BF236" i="36"/>
  <c r="BY236" i="36"/>
  <c r="BC257" i="36"/>
  <c r="BF260" i="36"/>
  <c r="BY260" i="36"/>
  <c r="BC281" i="36"/>
  <c r="BF284" i="36"/>
  <c r="BY284" i="36"/>
  <c r="BC305" i="36"/>
  <c r="BF308" i="36"/>
  <c r="BY308" i="36"/>
  <c r="BC329" i="36"/>
  <c r="BF332" i="36"/>
  <c r="BY332" i="36"/>
  <c r="BC353" i="36"/>
  <c r="BF356" i="36"/>
  <c r="BY356" i="36"/>
  <c r="BC377" i="36"/>
  <c r="BF380" i="36"/>
  <c r="BY380" i="36"/>
  <c r="BC404" i="36"/>
  <c r="BF407" i="36"/>
  <c r="BY407" i="36"/>
  <c r="BC428" i="36"/>
  <c r="BF431" i="36"/>
  <c r="BY431" i="36"/>
  <c r="BX58" i="36"/>
  <c r="BW58" i="36"/>
  <c r="BF74" i="36"/>
  <c r="BY74" i="36"/>
  <c r="BF98" i="36"/>
  <c r="BY98" i="36"/>
  <c r="BC92" i="36"/>
  <c r="BF95" i="36"/>
  <c r="BY95" i="36"/>
  <c r="BC116" i="36"/>
  <c r="BF119" i="36"/>
  <c r="BY119" i="36"/>
  <c r="BF215" i="36"/>
  <c r="BY215" i="36"/>
  <c r="BC260" i="36"/>
  <c r="BF263" i="36"/>
  <c r="BY263" i="36"/>
  <c r="BC308" i="36"/>
  <c r="BF311" i="36"/>
  <c r="BY311" i="36"/>
  <c r="BF335" i="36"/>
  <c r="BY335" i="36"/>
  <c r="BC356" i="36"/>
  <c r="BF359" i="36"/>
  <c r="BY359" i="36"/>
  <c r="BC380" i="36"/>
  <c r="BF383" i="36"/>
  <c r="BY383" i="36"/>
  <c r="BC407" i="36"/>
  <c r="BF410" i="36"/>
  <c r="BY410" i="36"/>
  <c r="BC431" i="36"/>
  <c r="BF434" i="36"/>
  <c r="BY434" i="36"/>
  <c r="BC86" i="36"/>
  <c r="BF89" i="36"/>
  <c r="BY89" i="36"/>
  <c r="BC110" i="36"/>
  <c r="BF113" i="36"/>
  <c r="BY113" i="36"/>
  <c r="BC134" i="36"/>
  <c r="BF137" i="36"/>
  <c r="BY137" i="36"/>
  <c r="BC158" i="36"/>
  <c r="BF161" i="36"/>
  <c r="BY161" i="36"/>
  <c r="BC182" i="36"/>
  <c r="BF185" i="36"/>
  <c r="BY185" i="36"/>
  <c r="BC206" i="36"/>
  <c r="BF209" i="36"/>
  <c r="BY209" i="36"/>
  <c r="BC230" i="36"/>
  <c r="BF233" i="36"/>
  <c r="BY233" i="36"/>
  <c r="BC254" i="36"/>
  <c r="BF257" i="36"/>
  <c r="BY257" i="36"/>
  <c r="BC278" i="36"/>
  <c r="BF281" i="36"/>
  <c r="BY281" i="36"/>
  <c r="BC302" i="36"/>
  <c r="BF305" i="36"/>
  <c r="BY305" i="36"/>
  <c r="BC326" i="36"/>
  <c r="BF329" i="36"/>
  <c r="BY329" i="36"/>
  <c r="BC350" i="36"/>
  <c r="BF353" i="36"/>
  <c r="BY353" i="36"/>
  <c r="BC374" i="36"/>
  <c r="BF377" i="36"/>
  <c r="BY377" i="36"/>
  <c r="BC401" i="36"/>
  <c r="BF404" i="36"/>
  <c r="BY404" i="36"/>
  <c r="BC425" i="36"/>
  <c r="BF428" i="36"/>
  <c r="BY428" i="36"/>
  <c r="BW59" i="36"/>
  <c r="BW63" i="36" s="1"/>
  <c r="BX59" i="36"/>
  <c r="BX63" i="36" s="1"/>
  <c r="BC71" i="36"/>
  <c r="BC95" i="36"/>
  <c r="BC83" i="36"/>
  <c r="BC155" i="36"/>
  <c r="BF158" i="36"/>
  <c r="BY158" i="36"/>
  <c r="BC275" i="36"/>
  <c r="BF278" i="36"/>
  <c r="BY278" i="36"/>
  <c r="BC299" i="36"/>
  <c r="BF302" i="36"/>
  <c r="BY302" i="36"/>
  <c r="BC323" i="36"/>
  <c r="BF326" i="36"/>
  <c r="BY326" i="36"/>
  <c r="BC347" i="36"/>
  <c r="BF350" i="36"/>
  <c r="BY350" i="36"/>
  <c r="BC371" i="36"/>
  <c r="BF374" i="36"/>
  <c r="BY374" i="36"/>
  <c r="BC398" i="36"/>
  <c r="BF401" i="36"/>
  <c r="BY401" i="36"/>
  <c r="BC422" i="36"/>
  <c r="BF425" i="36"/>
  <c r="BY425" i="36"/>
  <c r="BF86" i="36"/>
  <c r="BY86" i="36"/>
  <c r="BF110" i="36"/>
  <c r="BY110" i="36"/>
  <c r="BC131" i="36"/>
  <c r="BF134" i="36"/>
  <c r="BY134" i="36"/>
  <c r="BF182" i="36"/>
  <c r="BY182" i="36"/>
  <c r="BF206" i="36"/>
  <c r="BY206" i="36"/>
  <c r="BF254" i="36"/>
  <c r="BY254" i="36"/>
  <c r="BF83" i="36"/>
  <c r="BY83" i="36"/>
  <c r="BC104" i="36"/>
  <c r="BF107" i="36"/>
  <c r="BY107" i="36"/>
  <c r="BF131" i="36"/>
  <c r="BY131" i="36"/>
  <c r="BF179" i="36"/>
  <c r="BY179" i="36"/>
  <c r="BC200" i="36"/>
  <c r="BF203" i="36"/>
  <c r="BY203" i="36"/>
  <c r="BF227" i="36"/>
  <c r="BY227" i="36"/>
  <c r="BF251" i="36"/>
  <c r="BY251" i="36"/>
  <c r="BF347" i="36"/>
  <c r="BY347" i="36"/>
  <c r="BC395" i="36"/>
  <c r="BF422" i="36"/>
  <c r="BY422" i="36"/>
  <c r="BC443" i="36"/>
  <c r="BA61" i="36"/>
  <c r="BF61" i="36"/>
  <c r="AV60" i="36"/>
  <c r="BA60" i="36"/>
  <c r="BF60" i="36"/>
  <c r="AV61" i="36"/>
  <c r="AP71" i="36"/>
  <c r="BI71" i="36" s="1"/>
  <c r="AQ71" i="36"/>
  <c r="BJ71" i="36" s="1"/>
  <c r="BI281" i="36"/>
  <c r="CB281" i="36"/>
  <c r="BJ290" i="36"/>
  <c r="CC290" i="36"/>
  <c r="BI292" i="36"/>
  <c r="CB292" i="36"/>
  <c r="BJ301" i="36"/>
  <c r="CC301" i="36"/>
  <c r="BI305" i="36"/>
  <c r="CB305" i="36"/>
  <c r="BJ314" i="36"/>
  <c r="CC314" i="36"/>
  <c r="BI316" i="36"/>
  <c r="CB316" i="36"/>
  <c r="BJ325" i="36"/>
  <c r="CC325" i="36"/>
  <c r="BI329" i="36"/>
  <c r="CB329" i="36"/>
  <c r="BJ338" i="36"/>
  <c r="CC338" i="36"/>
  <c r="BI340" i="36"/>
  <c r="CB340" i="36"/>
  <c r="BJ349" i="36"/>
  <c r="CC349" i="36"/>
  <c r="BI353" i="36"/>
  <c r="CB353" i="36"/>
  <c r="BJ362" i="36"/>
  <c r="CC362" i="36"/>
  <c r="BI364" i="36"/>
  <c r="CB364" i="36"/>
  <c r="BJ373" i="36"/>
  <c r="CC373" i="36"/>
  <c r="BI377" i="36"/>
  <c r="CB377" i="36"/>
  <c r="BJ79" i="36"/>
  <c r="CC79" i="36"/>
  <c r="BI83" i="36"/>
  <c r="CB83" i="36"/>
  <c r="BJ92" i="36"/>
  <c r="CC92" i="36"/>
  <c r="BI94" i="36"/>
  <c r="CB94" i="36"/>
  <c r="BJ103" i="36"/>
  <c r="CC103" i="36"/>
  <c r="BI107" i="36"/>
  <c r="CB107" i="36"/>
  <c r="BJ116" i="36"/>
  <c r="CC116" i="36"/>
  <c r="BI118" i="36"/>
  <c r="CB118" i="36"/>
  <c r="BJ127" i="36"/>
  <c r="CC127" i="36"/>
  <c r="BI131" i="36"/>
  <c r="CB131" i="36"/>
  <c r="BJ140" i="36"/>
  <c r="CC140" i="36"/>
  <c r="BI142" i="36"/>
  <c r="CB142" i="36"/>
  <c r="BJ151" i="36"/>
  <c r="CC151" i="36"/>
  <c r="BI155" i="36"/>
  <c r="CB155" i="36"/>
  <c r="BJ164" i="36"/>
  <c r="CC164" i="36"/>
  <c r="BI166" i="36"/>
  <c r="CB166" i="36"/>
  <c r="BJ175" i="36"/>
  <c r="CC175" i="36"/>
  <c r="BI179" i="36"/>
  <c r="CB179" i="36"/>
  <c r="BJ188" i="36"/>
  <c r="CC188" i="36"/>
  <c r="BI190" i="36"/>
  <c r="CB190" i="36"/>
  <c r="BJ199" i="36"/>
  <c r="CC199" i="36"/>
  <c r="BI203" i="36"/>
  <c r="CB203" i="36"/>
  <c r="BJ212" i="36"/>
  <c r="CC212" i="36"/>
  <c r="BI214" i="36"/>
  <c r="CB214" i="36"/>
  <c r="BI256" i="36"/>
  <c r="CB256" i="36"/>
  <c r="BJ265" i="36"/>
  <c r="CC265" i="36"/>
  <c r="BI269" i="36"/>
  <c r="CB269" i="36"/>
  <c r="BJ278" i="36"/>
  <c r="CC278" i="36"/>
  <c r="BI280" i="36"/>
  <c r="CB280" i="36"/>
  <c r="BJ289" i="36"/>
  <c r="CC289" i="36"/>
  <c r="BI293" i="36"/>
  <c r="CB293" i="36"/>
  <c r="BJ302" i="36"/>
  <c r="CC302" i="36"/>
  <c r="BI304" i="36"/>
  <c r="CB304" i="36"/>
  <c r="BI328" i="36"/>
  <c r="CB328" i="36"/>
  <c r="BJ337" i="36"/>
  <c r="CC337" i="36"/>
  <c r="BJ350" i="36"/>
  <c r="CC350" i="36"/>
  <c r="BI352" i="36"/>
  <c r="CB352" i="36"/>
  <c r="BJ361" i="36"/>
  <c r="CC361" i="36"/>
  <c r="BJ374" i="36"/>
  <c r="CC374" i="36"/>
  <c r="BJ388" i="36"/>
  <c r="CC388" i="36"/>
  <c r="BI392" i="36"/>
  <c r="CB392" i="36"/>
  <c r="BJ401" i="36"/>
  <c r="CC401" i="36"/>
  <c r="BI403" i="36"/>
  <c r="CB403" i="36"/>
  <c r="BJ412" i="36"/>
  <c r="CC412" i="36"/>
  <c r="BI416" i="36"/>
  <c r="CB416" i="36"/>
  <c r="BJ425" i="36"/>
  <c r="CC425" i="36"/>
  <c r="BI427" i="36"/>
  <c r="CB427" i="36"/>
  <c r="BJ436" i="36"/>
  <c r="CC436" i="36"/>
  <c r="BI440" i="36"/>
  <c r="CB440" i="36"/>
  <c r="BJ73" i="36"/>
  <c r="CC73" i="36"/>
  <c r="BI77" i="36"/>
  <c r="CB77" i="36"/>
  <c r="BJ86" i="36"/>
  <c r="CC86" i="36"/>
  <c r="BI88" i="36"/>
  <c r="CB88" i="36"/>
  <c r="BJ97" i="36"/>
  <c r="CC97" i="36"/>
  <c r="BI101" i="36"/>
  <c r="CB101" i="36"/>
  <c r="BJ110" i="36"/>
  <c r="CC110" i="36"/>
  <c r="BJ121" i="36"/>
  <c r="CC121" i="36"/>
  <c r="BI125" i="36"/>
  <c r="CB125" i="36"/>
  <c r="BJ134" i="36"/>
  <c r="CC134" i="36"/>
  <c r="BJ145" i="36"/>
  <c r="CC145" i="36"/>
  <c r="BJ158" i="36"/>
  <c r="CC158" i="36"/>
  <c r="BJ169" i="36"/>
  <c r="CC169" i="36"/>
  <c r="BI173" i="36"/>
  <c r="CB173" i="36"/>
  <c r="BJ182" i="36"/>
  <c r="CC182" i="36"/>
  <c r="BI184" i="36"/>
  <c r="CB184" i="36"/>
  <c r="BJ193" i="36"/>
  <c r="CC193" i="36"/>
  <c r="BJ206" i="36"/>
  <c r="CC206" i="36"/>
  <c r="BI208" i="36"/>
  <c r="CB208" i="36"/>
  <c r="BJ217" i="36"/>
  <c r="CC217" i="36"/>
  <c r="BI221" i="36"/>
  <c r="CB221" i="36"/>
  <c r="BJ230" i="36"/>
  <c r="CC230" i="36"/>
  <c r="BI232" i="36"/>
  <c r="CB232" i="36"/>
  <c r="BJ241" i="36"/>
  <c r="CC241" i="36"/>
  <c r="BI245" i="36"/>
  <c r="CB245" i="36"/>
  <c r="BJ254" i="36"/>
  <c r="CC254" i="36"/>
  <c r="BJ313" i="36"/>
  <c r="CC313" i="36"/>
  <c r="BI317" i="36"/>
  <c r="CB317" i="36"/>
  <c r="BJ326" i="36"/>
  <c r="CC326" i="36"/>
  <c r="BI95" i="36"/>
  <c r="CB95" i="36"/>
  <c r="BI130" i="36"/>
  <c r="CB130" i="36"/>
  <c r="BI154" i="36"/>
  <c r="CB154" i="36"/>
  <c r="BI167" i="36"/>
  <c r="CB167" i="36"/>
  <c r="BJ176" i="36"/>
  <c r="CC176" i="36"/>
  <c r="BJ187" i="36"/>
  <c r="CC187" i="36"/>
  <c r="BJ211" i="36"/>
  <c r="CC211" i="36"/>
  <c r="BJ224" i="36"/>
  <c r="CC224" i="36"/>
  <c r="BI226" i="36"/>
  <c r="CB226" i="36"/>
  <c r="BJ235" i="36"/>
  <c r="CC235" i="36"/>
  <c r="BJ259" i="36"/>
  <c r="CC259" i="36"/>
  <c r="BI263" i="36"/>
  <c r="CB263" i="36"/>
  <c r="BJ283" i="36"/>
  <c r="CC283" i="36"/>
  <c r="BJ296" i="36"/>
  <c r="CC296" i="36"/>
  <c r="BI311" i="36"/>
  <c r="CB311" i="36"/>
  <c r="BI322" i="36"/>
  <c r="CB322" i="36"/>
  <c r="BJ331" i="36"/>
  <c r="CC331" i="36"/>
  <c r="BJ344" i="36"/>
  <c r="CC344" i="36"/>
  <c r="BI119" i="36"/>
  <c r="CB119" i="36"/>
  <c r="BJ139" i="36"/>
  <c r="CC139" i="36"/>
  <c r="BJ152" i="36"/>
  <c r="CC152" i="36"/>
  <c r="BJ163" i="36"/>
  <c r="CC163" i="36"/>
  <c r="BI191" i="36"/>
  <c r="CB191" i="36"/>
  <c r="BJ200" i="36"/>
  <c r="CC200" i="36"/>
  <c r="BI202" i="36"/>
  <c r="CB202" i="36"/>
  <c r="BI215" i="36"/>
  <c r="CB215" i="36"/>
  <c r="BJ248" i="36"/>
  <c r="CC248" i="36"/>
  <c r="BI250" i="36"/>
  <c r="CB250" i="36"/>
  <c r="BJ272" i="36"/>
  <c r="CC272" i="36"/>
  <c r="BI274" i="36"/>
  <c r="CB274" i="36"/>
  <c r="BI287" i="36"/>
  <c r="CB287" i="36"/>
  <c r="BJ307" i="36"/>
  <c r="CC307" i="36"/>
  <c r="BJ320" i="36"/>
  <c r="CC320" i="36"/>
  <c r="BI335" i="36"/>
  <c r="CB335" i="36"/>
  <c r="BI346" i="36"/>
  <c r="CB346" i="36"/>
  <c r="BJ355" i="36"/>
  <c r="CC355" i="36"/>
  <c r="BI359" i="36"/>
  <c r="CB359" i="36"/>
  <c r="BJ368" i="36"/>
  <c r="CC368" i="36"/>
  <c r="BI370" i="36"/>
  <c r="CB370" i="36"/>
  <c r="BJ379" i="36"/>
  <c r="CC379" i="36"/>
  <c r="BI383" i="36"/>
  <c r="CB383" i="36"/>
  <c r="BJ395" i="36"/>
  <c r="CC395" i="36"/>
  <c r="BI397" i="36"/>
  <c r="CB397" i="36"/>
  <c r="BJ406" i="36"/>
  <c r="CC406" i="36"/>
  <c r="BI410" i="36"/>
  <c r="CB410" i="36"/>
  <c r="BJ419" i="36"/>
  <c r="CC419" i="36"/>
  <c r="BJ430" i="36"/>
  <c r="CC430" i="36"/>
  <c r="BI434" i="36"/>
  <c r="CB434" i="36"/>
  <c r="BJ443" i="36"/>
  <c r="CC443" i="36"/>
  <c r="BJ77" i="36"/>
  <c r="CC77" i="36"/>
  <c r="BJ88" i="36"/>
  <c r="CC88" i="36"/>
  <c r="BI92" i="36"/>
  <c r="CB92" i="36"/>
  <c r="BJ101" i="36"/>
  <c r="CC101" i="36"/>
  <c r="BI103" i="36"/>
  <c r="CB103" i="36"/>
  <c r="BJ112" i="36"/>
  <c r="CC112" i="36"/>
  <c r="BI116" i="36"/>
  <c r="CB116" i="36"/>
  <c r="BJ125" i="36"/>
  <c r="CC125" i="36"/>
  <c r="BI127" i="36"/>
  <c r="CB127" i="36"/>
  <c r="BJ136" i="36"/>
  <c r="CC136" i="36"/>
  <c r="BI140" i="36"/>
  <c r="CB140" i="36"/>
  <c r="BJ149" i="36"/>
  <c r="CC149" i="36"/>
  <c r="BI151" i="36"/>
  <c r="CB151" i="36"/>
  <c r="BJ160" i="36"/>
  <c r="CC160" i="36"/>
  <c r="BI164" i="36"/>
  <c r="CB164" i="36"/>
  <c r="BJ173" i="36"/>
  <c r="CC173" i="36"/>
  <c r="BI175" i="36"/>
  <c r="CB175" i="36"/>
  <c r="BJ184" i="36"/>
  <c r="CC184" i="36"/>
  <c r="BJ197" i="36"/>
  <c r="CC197" i="36"/>
  <c r="BJ208" i="36"/>
  <c r="CC208" i="36"/>
  <c r="BI212" i="36"/>
  <c r="CB212" i="36"/>
  <c r="BJ221" i="36"/>
  <c r="CC221" i="36"/>
  <c r="BI223" i="36"/>
  <c r="CB223" i="36"/>
  <c r="BJ232" i="36"/>
  <c r="CC232" i="36"/>
  <c r="BI236" i="36"/>
  <c r="CB236" i="36"/>
  <c r="BJ245" i="36"/>
  <c r="CC245" i="36"/>
  <c r="BJ256" i="36"/>
  <c r="CC256" i="36"/>
  <c r="BI260" i="36"/>
  <c r="CB260" i="36"/>
  <c r="BJ269" i="36"/>
  <c r="CC269" i="36"/>
  <c r="BI271" i="36"/>
  <c r="CB271" i="36"/>
  <c r="BJ80" i="36"/>
  <c r="CC80" i="36"/>
  <c r="BJ91" i="36"/>
  <c r="CC91" i="36"/>
  <c r="BJ104" i="36"/>
  <c r="CC104" i="36"/>
  <c r="BJ115" i="36"/>
  <c r="CC115" i="36"/>
  <c r="BJ128" i="36"/>
  <c r="CC128" i="36"/>
  <c r="BJ74" i="36"/>
  <c r="CC74" i="36"/>
  <c r="BI76" i="36"/>
  <c r="CB76" i="36"/>
  <c r="BJ85" i="36"/>
  <c r="CC85" i="36"/>
  <c r="BI89" i="36"/>
  <c r="CB89" i="36"/>
  <c r="BJ98" i="36"/>
  <c r="CC98" i="36"/>
  <c r="BI100" i="36"/>
  <c r="CB100" i="36"/>
  <c r="BJ109" i="36"/>
  <c r="CC109" i="36"/>
  <c r="BI113" i="36"/>
  <c r="CB113" i="36"/>
  <c r="BJ122" i="36"/>
  <c r="CC122" i="36"/>
  <c r="BI124" i="36"/>
  <c r="CB124" i="36"/>
  <c r="BJ133" i="36"/>
  <c r="CC133" i="36"/>
  <c r="BI137" i="36"/>
  <c r="CB137" i="36"/>
  <c r="BJ146" i="36"/>
  <c r="CC146" i="36"/>
  <c r="BI148" i="36"/>
  <c r="CB148" i="36"/>
  <c r="BJ157" i="36"/>
  <c r="CC157" i="36"/>
  <c r="BI161" i="36"/>
  <c r="CB161" i="36"/>
  <c r="BJ170" i="36"/>
  <c r="CC170" i="36"/>
  <c r="BI172" i="36"/>
  <c r="CB172" i="36"/>
  <c r="BJ181" i="36"/>
  <c r="CC181" i="36"/>
  <c r="BI185" i="36"/>
  <c r="CB185" i="36"/>
  <c r="BJ194" i="36"/>
  <c r="CC194" i="36"/>
  <c r="BI196" i="36"/>
  <c r="CB196" i="36"/>
  <c r="BJ205" i="36"/>
  <c r="CC205" i="36"/>
  <c r="BI209" i="36"/>
  <c r="CB209" i="36"/>
  <c r="BJ218" i="36"/>
  <c r="CC218" i="36"/>
  <c r="BI220" i="36"/>
  <c r="CB220" i="36"/>
  <c r="BJ229" i="36"/>
  <c r="CC229" i="36"/>
  <c r="BJ242" i="36"/>
  <c r="CC242" i="36"/>
  <c r="BI244" i="36"/>
  <c r="CB244" i="36"/>
  <c r="BJ253" i="36"/>
  <c r="CC253" i="36"/>
  <c r="BI257" i="36"/>
  <c r="CB257" i="36"/>
  <c r="BJ266" i="36"/>
  <c r="CC266" i="36"/>
  <c r="BI268" i="36"/>
  <c r="CB268" i="36"/>
  <c r="BJ277" i="36"/>
  <c r="CC277" i="36"/>
  <c r="BJ389" i="36"/>
  <c r="CC389" i="36"/>
  <c r="BI391" i="36"/>
  <c r="CB391" i="36"/>
  <c r="BJ400" i="36"/>
  <c r="CC400" i="36"/>
  <c r="BI404" i="36"/>
  <c r="CB404" i="36"/>
  <c r="BJ413" i="36"/>
  <c r="CC413" i="36"/>
  <c r="BI415" i="36"/>
  <c r="CB415" i="36"/>
  <c r="BJ424" i="36"/>
  <c r="CC424" i="36"/>
  <c r="BI428" i="36"/>
  <c r="CB428" i="36"/>
  <c r="BJ437" i="36"/>
  <c r="CC437" i="36"/>
  <c r="BJ70" i="36"/>
  <c r="CC70" i="36"/>
  <c r="BI74" i="36"/>
  <c r="CB74" i="36"/>
  <c r="BJ83" i="36"/>
  <c r="CC83" i="36"/>
  <c r="BI85" i="36"/>
  <c r="CB85" i="36"/>
  <c r="BJ94" i="36"/>
  <c r="CC94" i="36"/>
  <c r="BJ107" i="36"/>
  <c r="CC107" i="36"/>
  <c r="BI109" i="36"/>
  <c r="CB109" i="36"/>
  <c r="BJ118" i="36"/>
  <c r="CC118" i="36"/>
  <c r="BJ131" i="36"/>
  <c r="CC131" i="36"/>
  <c r="BI133" i="36"/>
  <c r="CB133" i="36"/>
  <c r="BJ142" i="36"/>
  <c r="CC142" i="36"/>
  <c r="BJ155" i="36"/>
  <c r="CC155" i="36"/>
  <c r="BI157" i="36"/>
  <c r="CB157" i="36"/>
  <c r="BJ166" i="36"/>
  <c r="CC166" i="36"/>
  <c r="BJ179" i="36"/>
  <c r="CC179" i="36"/>
  <c r="BI181" i="36"/>
  <c r="CB181" i="36"/>
  <c r="BJ190" i="36"/>
  <c r="CC190" i="36"/>
  <c r="BI194" i="36"/>
  <c r="CB194" i="36"/>
  <c r="BJ203" i="36"/>
  <c r="CC203" i="36"/>
  <c r="BJ214" i="36"/>
  <c r="CC214" i="36"/>
  <c r="BI218" i="36"/>
  <c r="CB218" i="36"/>
  <c r="BJ227" i="36"/>
  <c r="CC227" i="36"/>
  <c r="BI229" i="36"/>
  <c r="CB229" i="36"/>
  <c r="BJ238" i="36"/>
  <c r="CC238" i="36"/>
  <c r="BI242" i="36"/>
  <c r="CB242" i="36"/>
  <c r="BJ251" i="36"/>
  <c r="CC251" i="36"/>
  <c r="BI253" i="36"/>
  <c r="CB253" i="36"/>
  <c r="BJ262" i="36"/>
  <c r="CC262" i="36"/>
  <c r="BI266" i="36"/>
  <c r="CB266" i="36"/>
  <c r="BJ275" i="36"/>
  <c r="CC275" i="36"/>
  <c r="BI277" i="36"/>
  <c r="CB277" i="36"/>
  <c r="BJ286" i="36"/>
  <c r="CC286" i="36"/>
  <c r="BI290" i="36"/>
  <c r="CB290" i="36"/>
  <c r="BJ299" i="36"/>
  <c r="CC299" i="36"/>
  <c r="BI301" i="36"/>
  <c r="CB301" i="36"/>
  <c r="BJ310" i="36"/>
  <c r="CC310" i="36"/>
  <c r="BI314" i="36"/>
  <c r="CB314" i="36"/>
  <c r="BJ323" i="36"/>
  <c r="CC323" i="36"/>
  <c r="BI325" i="36"/>
  <c r="CB325" i="36"/>
  <c r="BJ334" i="36"/>
  <c r="CC334" i="36"/>
  <c r="BI338" i="36"/>
  <c r="CB338" i="36"/>
  <c r="BJ347" i="36"/>
  <c r="CC347" i="36"/>
  <c r="BI349" i="36"/>
  <c r="CB349" i="36"/>
  <c r="BJ358" i="36"/>
  <c r="CC358" i="36"/>
  <c r="BI362" i="36"/>
  <c r="CB362" i="36"/>
  <c r="BJ371" i="36"/>
  <c r="CC371" i="36"/>
  <c r="BI373" i="36"/>
  <c r="CB373" i="36"/>
  <c r="BJ382" i="36"/>
  <c r="CC382" i="36"/>
  <c r="BI389" i="36"/>
  <c r="CB389" i="36"/>
  <c r="BJ398" i="36"/>
  <c r="CC398" i="36"/>
  <c r="BI400" i="36"/>
  <c r="CB400" i="36"/>
  <c r="BJ409" i="36"/>
  <c r="CC409" i="36"/>
  <c r="BI413" i="36"/>
  <c r="CB413" i="36"/>
  <c r="BJ422" i="36"/>
  <c r="CC422" i="36"/>
  <c r="BI424" i="36"/>
  <c r="CB424" i="36"/>
  <c r="BJ433" i="36"/>
  <c r="CC433" i="36"/>
  <c r="BI437" i="36"/>
  <c r="CB437" i="36"/>
  <c r="BJ280" i="36"/>
  <c r="CC280" i="36"/>
  <c r="BI284" i="36"/>
  <c r="CB284" i="36"/>
  <c r="BJ293" i="36"/>
  <c r="CC293" i="36"/>
  <c r="BI295" i="36"/>
  <c r="CB295" i="36"/>
  <c r="BJ304" i="36"/>
  <c r="CC304" i="36"/>
  <c r="BI308" i="36"/>
  <c r="CB308" i="36"/>
  <c r="BJ317" i="36"/>
  <c r="CC317" i="36"/>
  <c r="BI319" i="36"/>
  <c r="CB319" i="36"/>
  <c r="BJ328" i="36"/>
  <c r="CC328" i="36"/>
  <c r="BI332" i="36"/>
  <c r="CB332" i="36"/>
  <c r="BJ341" i="36"/>
  <c r="CC341" i="36"/>
  <c r="BI343" i="36"/>
  <c r="CB343" i="36"/>
  <c r="BJ352" i="36"/>
  <c r="CC352" i="36"/>
  <c r="BI356" i="36"/>
  <c r="CB356" i="36"/>
  <c r="BJ365" i="36"/>
  <c r="CC365" i="36"/>
  <c r="BJ376" i="36"/>
  <c r="CC376" i="36"/>
  <c r="BI380" i="36"/>
  <c r="CB380" i="36"/>
  <c r="BJ392" i="36"/>
  <c r="CC392" i="36"/>
  <c r="BI394" i="36"/>
  <c r="CB394" i="36"/>
  <c r="BJ403" i="36"/>
  <c r="CC403" i="36"/>
  <c r="BI407" i="36"/>
  <c r="CB407" i="36"/>
  <c r="BJ416" i="36"/>
  <c r="CC416" i="36"/>
  <c r="BI418" i="36"/>
  <c r="CB418" i="36"/>
  <c r="BJ427" i="36"/>
  <c r="CC427" i="36"/>
  <c r="BI431" i="36"/>
  <c r="CB431" i="36"/>
  <c r="BJ440" i="36"/>
  <c r="CC440" i="36"/>
  <c r="BI442" i="36"/>
  <c r="CB442" i="36"/>
  <c r="BI73" i="36"/>
  <c r="CB73" i="36"/>
  <c r="BJ82" i="36"/>
  <c r="CC82" i="36"/>
  <c r="BI86" i="36"/>
  <c r="CB86" i="36"/>
  <c r="BJ95" i="36"/>
  <c r="CC95" i="36"/>
  <c r="BI97" i="36"/>
  <c r="CB97" i="36"/>
  <c r="BJ106" i="36"/>
  <c r="CC106" i="36"/>
  <c r="BI110" i="36"/>
  <c r="CB110" i="36"/>
  <c r="BJ119" i="36"/>
  <c r="CC119" i="36"/>
  <c r="BI121" i="36"/>
  <c r="CB121" i="36"/>
  <c r="BJ130" i="36"/>
  <c r="CC130" i="36"/>
  <c r="BI134" i="36"/>
  <c r="CB134" i="36"/>
  <c r="BJ143" i="36"/>
  <c r="CC143" i="36"/>
  <c r="BI145" i="36"/>
  <c r="CB145" i="36"/>
  <c r="BJ154" i="36"/>
  <c r="CC154" i="36"/>
  <c r="BI158" i="36"/>
  <c r="CB158" i="36"/>
  <c r="BJ167" i="36"/>
  <c r="CC167" i="36"/>
  <c r="BI169" i="36"/>
  <c r="CB169" i="36"/>
  <c r="BJ178" i="36"/>
  <c r="CC178" i="36"/>
  <c r="BJ191" i="36"/>
  <c r="CC191" i="36"/>
  <c r="BI193" i="36"/>
  <c r="CB193" i="36"/>
  <c r="BJ202" i="36"/>
  <c r="CC202" i="36"/>
  <c r="BI206" i="36"/>
  <c r="CB206" i="36"/>
  <c r="BJ215" i="36"/>
  <c r="CC215" i="36"/>
  <c r="BI217" i="36"/>
  <c r="CB217" i="36"/>
  <c r="BJ226" i="36"/>
  <c r="CC226" i="36"/>
  <c r="BI230" i="36"/>
  <c r="CB230" i="36"/>
  <c r="BJ239" i="36"/>
  <c r="CC239" i="36"/>
  <c r="BJ250" i="36"/>
  <c r="CC250" i="36"/>
  <c r="BI254" i="36"/>
  <c r="CB254" i="36"/>
  <c r="BJ263" i="36"/>
  <c r="CC263" i="36"/>
  <c r="BI265" i="36"/>
  <c r="CB265" i="36"/>
  <c r="BJ274" i="36"/>
  <c r="CC274" i="36"/>
  <c r="BI278" i="36"/>
  <c r="CB278" i="36"/>
  <c r="BJ287" i="36"/>
  <c r="CC287" i="36"/>
  <c r="BI289" i="36"/>
  <c r="CB289" i="36"/>
  <c r="BJ298" i="36"/>
  <c r="CC298" i="36"/>
  <c r="BI302" i="36"/>
  <c r="CB302" i="36"/>
  <c r="BJ311" i="36"/>
  <c r="CC311" i="36"/>
  <c r="BI313" i="36"/>
  <c r="CB313" i="36"/>
  <c r="BJ322" i="36"/>
  <c r="CC322" i="36"/>
  <c r="BI326" i="36"/>
  <c r="CB326" i="36"/>
  <c r="BJ335" i="36"/>
  <c r="CC335" i="36"/>
  <c r="BI337" i="36"/>
  <c r="CB337" i="36"/>
  <c r="BJ346" i="36"/>
  <c r="CC346" i="36"/>
  <c r="BI350" i="36"/>
  <c r="CB350" i="36"/>
  <c r="BJ359" i="36"/>
  <c r="CC359" i="36"/>
  <c r="BI361" i="36"/>
  <c r="CB361" i="36"/>
  <c r="BJ370" i="36"/>
  <c r="CC370" i="36"/>
  <c r="BJ383" i="36"/>
  <c r="CC383" i="36"/>
  <c r="BI388" i="36"/>
  <c r="CB388" i="36"/>
  <c r="BJ397" i="36"/>
  <c r="CC397" i="36"/>
  <c r="BI401" i="36"/>
  <c r="CB401" i="36"/>
  <c r="BJ410" i="36"/>
  <c r="CC410" i="36"/>
  <c r="BI412" i="36"/>
  <c r="CB412" i="36"/>
  <c r="BJ421" i="36"/>
  <c r="CC421" i="36"/>
  <c r="BI425" i="36"/>
  <c r="CB425" i="36"/>
  <c r="BJ434" i="36"/>
  <c r="CC434" i="36"/>
  <c r="BI436" i="36"/>
  <c r="CB436" i="36"/>
  <c r="BJ236" i="36"/>
  <c r="CC236" i="36"/>
  <c r="BI238" i="36"/>
  <c r="CB238" i="36"/>
  <c r="BJ260" i="36"/>
  <c r="CC260" i="36"/>
  <c r="BJ271" i="36"/>
  <c r="CC271" i="36"/>
  <c r="BI275" i="36"/>
  <c r="CB275" i="36"/>
  <c r="BJ284" i="36"/>
  <c r="CC284" i="36"/>
  <c r="BI286" i="36"/>
  <c r="CB286" i="36"/>
  <c r="BJ295" i="36"/>
  <c r="CC295" i="36"/>
  <c r="BI299" i="36"/>
  <c r="CB299" i="36"/>
  <c r="BJ308" i="36"/>
  <c r="CC308" i="36"/>
  <c r="BJ319" i="36"/>
  <c r="CC319" i="36"/>
  <c r="BI323" i="36"/>
  <c r="CB323" i="36"/>
  <c r="BJ332" i="36"/>
  <c r="CC332" i="36"/>
  <c r="BI334" i="36"/>
  <c r="CB334" i="36"/>
  <c r="BJ343" i="36"/>
  <c r="CC343" i="36"/>
  <c r="BI347" i="36"/>
  <c r="CB347" i="36"/>
  <c r="BJ356" i="36"/>
  <c r="CC356" i="36"/>
  <c r="BI358" i="36"/>
  <c r="CB358" i="36"/>
  <c r="BJ367" i="36"/>
  <c r="CC367" i="36"/>
  <c r="BJ380" i="36"/>
  <c r="CC380" i="36"/>
  <c r="BI382" i="36"/>
  <c r="CB382" i="36"/>
  <c r="BJ394" i="36"/>
  <c r="CC394" i="36"/>
  <c r="BJ407" i="36"/>
  <c r="CC407" i="36"/>
  <c r="BI409" i="36"/>
  <c r="CB409" i="36"/>
  <c r="BJ418" i="36"/>
  <c r="CC418" i="36"/>
  <c r="BI422" i="36"/>
  <c r="CB422" i="36"/>
  <c r="BJ431" i="36"/>
  <c r="CC431" i="36"/>
  <c r="BI433" i="36"/>
  <c r="CB433" i="36"/>
  <c r="BJ442" i="36"/>
  <c r="CC442" i="36"/>
  <c r="BJ223" i="36"/>
  <c r="CC223" i="36"/>
  <c r="BI227" i="36"/>
  <c r="CB227" i="36"/>
  <c r="BJ247" i="36"/>
  <c r="CC247" i="36"/>
  <c r="BJ76" i="36"/>
  <c r="CC76" i="36"/>
  <c r="BI80" i="36"/>
  <c r="CB80" i="36"/>
  <c r="BJ89" i="36"/>
  <c r="CC89" i="36"/>
  <c r="BI91" i="36"/>
  <c r="CB91" i="36"/>
  <c r="BJ100" i="36"/>
  <c r="CC100" i="36"/>
  <c r="BI104" i="36"/>
  <c r="CB104" i="36"/>
  <c r="BJ113" i="36"/>
  <c r="CC113" i="36"/>
  <c r="BJ124" i="36"/>
  <c r="CC124" i="36"/>
  <c r="BI128" i="36"/>
  <c r="CB128" i="36"/>
  <c r="BJ137" i="36"/>
  <c r="CC137" i="36"/>
  <c r="BI139" i="36"/>
  <c r="CB139" i="36"/>
  <c r="BJ148" i="36"/>
  <c r="CC148" i="36"/>
  <c r="BI152" i="36"/>
  <c r="CB152" i="36"/>
  <c r="BJ161" i="36"/>
  <c r="CC161" i="36"/>
  <c r="BI163" i="36"/>
  <c r="CB163" i="36"/>
  <c r="BJ172" i="36"/>
  <c r="CC172" i="36"/>
  <c r="BI176" i="36"/>
  <c r="CB176" i="36"/>
  <c r="BJ185" i="36"/>
  <c r="CC185" i="36"/>
  <c r="BI187" i="36"/>
  <c r="CB187" i="36"/>
  <c r="BJ196" i="36"/>
  <c r="CC196" i="36"/>
  <c r="BI200" i="36"/>
  <c r="CB200" i="36"/>
  <c r="BJ209" i="36"/>
  <c r="CC209" i="36"/>
  <c r="BI211" i="36"/>
  <c r="CB211" i="36"/>
  <c r="BJ220" i="36"/>
  <c r="CC220" i="36"/>
  <c r="BI224" i="36"/>
  <c r="CB224" i="36"/>
  <c r="BJ233" i="36"/>
  <c r="CC233" i="36"/>
  <c r="BI235" i="36"/>
  <c r="CB235" i="36"/>
  <c r="BJ244" i="36"/>
  <c r="CC244" i="36"/>
  <c r="BI248" i="36"/>
  <c r="CB248" i="36"/>
  <c r="BJ257" i="36"/>
  <c r="CC257" i="36"/>
  <c r="BI259" i="36"/>
  <c r="CB259" i="36"/>
  <c r="BJ268" i="36"/>
  <c r="CC268" i="36"/>
  <c r="BI272" i="36"/>
  <c r="CB272" i="36"/>
  <c r="BJ281" i="36"/>
  <c r="CC281" i="36"/>
  <c r="BI283" i="36"/>
  <c r="CB283" i="36"/>
  <c r="BJ292" i="36"/>
  <c r="CC292" i="36"/>
  <c r="BI296" i="36"/>
  <c r="CB296" i="36"/>
  <c r="BJ305" i="36"/>
  <c r="CC305" i="36"/>
  <c r="BJ316" i="36"/>
  <c r="CC316" i="36"/>
  <c r="BJ329" i="36"/>
  <c r="CC329" i="36"/>
  <c r="BI331" i="36"/>
  <c r="CB331" i="36"/>
  <c r="BJ340" i="36"/>
  <c r="CC340" i="36"/>
  <c r="BI344" i="36"/>
  <c r="CB344" i="36"/>
  <c r="BJ353" i="36"/>
  <c r="CC353" i="36"/>
  <c r="BI355" i="36"/>
  <c r="CB355" i="36"/>
  <c r="BJ364" i="36"/>
  <c r="CC364" i="36"/>
  <c r="BI368" i="36"/>
  <c r="CB368" i="36"/>
  <c r="BJ377" i="36"/>
  <c r="CC377" i="36"/>
  <c r="BI379" i="36"/>
  <c r="CB379" i="36"/>
  <c r="BJ391" i="36"/>
  <c r="CC391" i="36"/>
  <c r="BI395" i="36"/>
  <c r="CB395" i="36"/>
  <c r="BJ404" i="36"/>
  <c r="CC404" i="36"/>
  <c r="BJ415" i="36"/>
  <c r="CC415" i="36"/>
  <c r="BI419" i="36"/>
  <c r="CB419" i="36"/>
  <c r="BJ428" i="36"/>
  <c r="CC428" i="36"/>
  <c r="BI430" i="36"/>
  <c r="CB430" i="36"/>
  <c r="BJ439" i="36"/>
  <c r="CC439" i="36"/>
  <c r="AZ71" i="36"/>
  <c r="BA74" i="36"/>
  <c r="BB77" i="36"/>
  <c r="AV83" i="36"/>
  <c r="AY92" i="36"/>
  <c r="AR95" i="36"/>
  <c r="AS98" i="36"/>
  <c r="AT101" i="36"/>
  <c r="AU104" i="36"/>
  <c r="AZ119" i="36"/>
  <c r="AS122" i="36"/>
  <c r="AT125" i="36"/>
  <c r="AS146" i="36"/>
  <c r="BB149" i="36"/>
  <c r="AX161" i="36"/>
  <c r="AZ167" i="36"/>
  <c r="AV179" i="36"/>
  <c r="AZ191" i="36"/>
  <c r="AS194" i="36"/>
  <c r="BB197" i="36"/>
  <c r="AV203" i="36"/>
  <c r="AX209" i="36"/>
  <c r="AY212" i="36"/>
  <c r="AR215" i="36"/>
  <c r="AV227" i="36"/>
  <c r="AR239" i="36"/>
  <c r="AW254" i="36"/>
  <c r="AX257" i="36"/>
  <c r="AY260" i="36"/>
  <c r="AR263" i="36"/>
  <c r="AZ263" i="36"/>
  <c r="BA266" i="36"/>
  <c r="AU272" i="36"/>
  <c r="AV275" i="36"/>
  <c r="AW278" i="36"/>
  <c r="AX281" i="36"/>
  <c r="AY284" i="36"/>
  <c r="AZ287" i="36"/>
  <c r="BB293" i="36"/>
  <c r="AV299" i="36"/>
  <c r="AW302" i="36"/>
  <c r="AX305" i="36"/>
  <c r="BB317" i="36"/>
  <c r="AU368" i="36"/>
  <c r="AV371" i="36"/>
  <c r="BA389" i="36"/>
  <c r="AT392" i="36"/>
  <c r="AS413" i="36"/>
  <c r="AR434" i="36"/>
  <c r="BB74" i="36"/>
  <c r="AW83" i="36"/>
  <c r="AX86" i="36"/>
  <c r="AR92" i="36"/>
  <c r="AS95" i="36"/>
  <c r="AU101" i="36"/>
  <c r="AV104" i="36"/>
  <c r="AY113" i="36"/>
  <c r="AS119" i="36"/>
  <c r="AT122" i="36"/>
  <c r="AU125" i="36"/>
  <c r="AW131" i="36"/>
  <c r="AY137" i="36"/>
  <c r="BA167" i="36"/>
  <c r="AT170" i="36"/>
  <c r="AU173" i="36"/>
  <c r="AW179" i="36"/>
  <c r="AX182" i="36"/>
  <c r="AY185" i="36"/>
  <c r="BA191" i="36"/>
  <c r="AT194" i="36"/>
  <c r="AU197" i="36"/>
  <c r="AW203" i="36"/>
  <c r="AX206" i="36"/>
  <c r="AY209" i="36"/>
  <c r="AR212" i="36"/>
  <c r="AT218" i="36"/>
  <c r="AW227" i="36"/>
  <c r="AR236" i="36"/>
  <c r="AV248" i="36"/>
  <c r="AW251" i="36"/>
  <c r="BA263" i="36"/>
  <c r="AY71" i="36"/>
  <c r="AR74" i="36"/>
  <c r="AZ74" i="36"/>
  <c r="AS77" i="36"/>
  <c r="BA77" i="36"/>
  <c r="AT80" i="36"/>
  <c r="BB80" i="36"/>
  <c r="AU83" i="36"/>
  <c r="AV86" i="36"/>
  <c r="AW89" i="36"/>
  <c r="AX92" i="36"/>
  <c r="AY95" i="36"/>
  <c r="AR98" i="36"/>
  <c r="AZ98" i="36"/>
  <c r="AS101" i="36"/>
  <c r="BA101" i="36"/>
  <c r="AT104" i="36"/>
  <c r="BB104" i="36"/>
  <c r="AU107" i="36"/>
  <c r="AV110" i="36"/>
  <c r="AW113" i="36"/>
  <c r="AX116" i="36"/>
  <c r="AY119" i="36"/>
  <c r="AR122" i="36"/>
  <c r="AZ122" i="36"/>
  <c r="AS125" i="36"/>
  <c r="BA125" i="36"/>
  <c r="AT128" i="36"/>
  <c r="BB128" i="36"/>
  <c r="AU131" i="36"/>
  <c r="AV134" i="36"/>
  <c r="AW137" i="36"/>
  <c r="AX140" i="36"/>
  <c r="AY143" i="36"/>
  <c r="AR146" i="36"/>
  <c r="AZ146" i="36"/>
  <c r="AS149" i="36"/>
  <c r="BA149" i="36"/>
  <c r="AT152" i="36"/>
  <c r="BB152" i="36"/>
  <c r="AU155" i="36"/>
  <c r="AV158" i="36"/>
  <c r="AW161" i="36"/>
  <c r="AX164" i="36"/>
  <c r="AY167" i="36"/>
  <c r="AR170" i="36"/>
  <c r="AZ170" i="36"/>
  <c r="AS173" i="36"/>
  <c r="BA173" i="36"/>
  <c r="AT176" i="36"/>
  <c r="BB176" i="36"/>
  <c r="AU179" i="36"/>
  <c r="AV182" i="36"/>
  <c r="AW185" i="36"/>
  <c r="AX188" i="36"/>
  <c r="AY191" i="36"/>
  <c r="AR194" i="36"/>
  <c r="AZ194" i="36"/>
  <c r="AS197" i="36"/>
  <c r="BA197" i="36"/>
  <c r="AT200" i="36"/>
  <c r="BB200" i="36"/>
  <c r="AU203" i="36"/>
  <c r="AV206" i="36"/>
  <c r="AW209" i="36"/>
  <c r="AX212" i="36"/>
  <c r="AY215" i="36"/>
  <c r="AR218" i="36"/>
  <c r="AZ218" i="36"/>
  <c r="AS221" i="36"/>
  <c r="BA221" i="36"/>
  <c r="AT224" i="36"/>
  <c r="BB224" i="36"/>
  <c r="AU227" i="36"/>
  <c r="AV230" i="36"/>
  <c r="AW233" i="36"/>
  <c r="AX236" i="36"/>
  <c r="AY239" i="36"/>
  <c r="AR242" i="36"/>
  <c r="AZ242" i="36"/>
  <c r="AS245" i="36"/>
  <c r="BA245" i="36"/>
  <c r="AT248" i="36"/>
  <c r="BB248" i="36"/>
  <c r="AU251" i="36"/>
  <c r="AV254" i="36"/>
  <c r="AW257" i="36"/>
  <c r="AX260" i="36"/>
  <c r="AY263" i="36"/>
  <c r="AR266" i="36"/>
  <c r="AZ266" i="36"/>
  <c r="AS269" i="36"/>
  <c r="BA269" i="36"/>
  <c r="AT272" i="36"/>
  <c r="BB272" i="36"/>
  <c r="AU275" i="36"/>
  <c r="AV278" i="36"/>
  <c r="AW281" i="36"/>
  <c r="AX284" i="36"/>
  <c r="AY287" i="36"/>
  <c r="AR290" i="36"/>
  <c r="AZ290" i="36"/>
  <c r="AS293" i="36"/>
  <c r="BA293" i="36"/>
  <c r="AT296" i="36"/>
  <c r="BB296" i="36"/>
  <c r="AU299" i="36"/>
  <c r="AV302" i="36"/>
  <c r="AW305" i="36"/>
  <c r="AX308" i="36"/>
  <c r="AY311" i="36"/>
  <c r="AR314" i="36"/>
  <c r="AZ314" i="36"/>
  <c r="AS317" i="36"/>
  <c r="BA317" i="36"/>
  <c r="AT320" i="36"/>
  <c r="BB320" i="36"/>
  <c r="AU323" i="36"/>
  <c r="AV326" i="36"/>
  <c r="AW329" i="36"/>
  <c r="AX332" i="36"/>
  <c r="AY335" i="36"/>
  <c r="AR338" i="36"/>
  <c r="AZ338" i="36"/>
  <c r="AS341" i="36"/>
  <c r="BA341" i="36"/>
  <c r="AT344" i="36"/>
  <c r="BB344" i="36"/>
  <c r="AU347" i="36"/>
  <c r="AV350" i="36"/>
  <c r="AW353" i="36"/>
  <c r="AX356" i="36"/>
  <c r="AY359" i="36"/>
  <c r="AR362" i="36"/>
  <c r="AZ362" i="36"/>
  <c r="AS365" i="36"/>
  <c r="BA365" i="36"/>
  <c r="AT368" i="36"/>
  <c r="BB368" i="36"/>
  <c r="AU371" i="36"/>
  <c r="AV374" i="36"/>
  <c r="AW377" i="36"/>
  <c r="AX380" i="36"/>
  <c r="AY383" i="36"/>
  <c r="AR389" i="36"/>
  <c r="AZ389" i="36"/>
  <c r="AS392" i="36"/>
  <c r="BA392" i="36"/>
  <c r="AT395" i="36"/>
  <c r="BB395" i="36"/>
  <c r="AU398" i="36"/>
  <c r="AV401" i="36"/>
  <c r="AW404" i="36"/>
  <c r="AX407" i="36"/>
  <c r="AY410" i="36"/>
  <c r="AR413" i="36"/>
  <c r="AZ413" i="36"/>
  <c r="AS416" i="36"/>
  <c r="BA416" i="36"/>
  <c r="AT419" i="36"/>
  <c r="BB419" i="36"/>
  <c r="AU422" i="36"/>
  <c r="AV425" i="36"/>
  <c r="AW428" i="36"/>
  <c r="AX431" i="36"/>
  <c r="AY434" i="36"/>
  <c r="AR437" i="36"/>
  <c r="AZ437" i="36"/>
  <c r="AS440" i="36"/>
  <c r="BA440" i="36"/>
  <c r="AT443" i="36"/>
  <c r="BB443" i="36"/>
  <c r="AS437" i="36"/>
  <c r="BA437" i="36"/>
  <c r="AT440" i="36"/>
  <c r="BB440" i="36"/>
  <c r="AU443" i="36"/>
  <c r="BY58" i="36"/>
  <c r="AR71" i="36"/>
  <c r="AS74" i="36"/>
  <c r="AT77" i="36"/>
  <c r="AU80" i="36"/>
  <c r="AW86" i="36"/>
  <c r="AX89" i="36"/>
  <c r="AZ95" i="36"/>
  <c r="AV107" i="36"/>
  <c r="AW110" i="36"/>
  <c r="AX113" i="36"/>
  <c r="AW134" i="36"/>
  <c r="AX137" i="36"/>
  <c r="AY140" i="36"/>
  <c r="AZ143" i="36"/>
  <c r="BA146" i="36"/>
  <c r="AT149" i="36"/>
  <c r="AU152" i="36"/>
  <c r="AT173" i="36"/>
  <c r="AS383" i="36"/>
  <c r="BB389" i="36"/>
  <c r="AV395" i="36"/>
  <c r="AR407" i="36"/>
  <c r="AZ407" i="36"/>
  <c r="AT413" i="36"/>
  <c r="AV419" i="36"/>
  <c r="AS434" i="36"/>
  <c r="AT437" i="36"/>
  <c r="AU440" i="36"/>
  <c r="AT71" i="36"/>
  <c r="AU74" i="36"/>
  <c r="BA92" i="36"/>
  <c r="BB95" i="36"/>
  <c r="AU98" i="36"/>
  <c r="AW104" i="36"/>
  <c r="AY110" i="36"/>
  <c r="AU122" i="36"/>
  <c r="AY134" i="36"/>
  <c r="AZ137" i="36"/>
  <c r="AS140" i="36"/>
  <c r="BB143" i="36"/>
  <c r="AU146" i="36"/>
  <c r="AW152" i="36"/>
  <c r="AY131" i="36"/>
  <c r="AR134" i="36"/>
  <c r="AZ134" i="36"/>
  <c r="AS137" i="36"/>
  <c r="BA137" i="36"/>
  <c r="AT140" i="36"/>
  <c r="BB140" i="36"/>
  <c r="AU143" i="36"/>
  <c r="AV146" i="36"/>
  <c r="AW149" i="36"/>
  <c r="AX152" i="36"/>
  <c r="AY155" i="36"/>
  <c r="AR158" i="36"/>
  <c r="AZ158" i="36"/>
  <c r="AS161" i="36"/>
  <c r="BA161" i="36"/>
  <c r="AT164" i="36"/>
  <c r="BB164" i="36"/>
  <c r="AU167" i="36"/>
  <c r="AV170" i="36"/>
  <c r="AW173" i="36"/>
  <c r="AX176" i="36"/>
  <c r="AY179" i="36"/>
  <c r="AR182" i="36"/>
  <c r="AZ182" i="36"/>
  <c r="AS185" i="36"/>
  <c r="BA185" i="36"/>
  <c r="AT188" i="36"/>
  <c r="BB188" i="36"/>
  <c r="AU191" i="36"/>
  <c r="AV194" i="36"/>
  <c r="AW197" i="36"/>
  <c r="AX200" i="36"/>
  <c r="AY203" i="36"/>
  <c r="AR206" i="36"/>
  <c r="AZ206" i="36"/>
  <c r="AS209" i="36"/>
  <c r="BA209" i="36"/>
  <c r="AT212" i="36"/>
  <c r="BB212" i="36"/>
  <c r="AU215" i="36"/>
  <c r="AV218" i="36"/>
  <c r="AW221" i="36"/>
  <c r="AX224" i="36"/>
  <c r="AY227" i="36"/>
  <c r="AR230" i="36"/>
  <c r="AZ230" i="36"/>
  <c r="AS233" i="36"/>
  <c r="BA233" i="36"/>
  <c r="AT236" i="36"/>
  <c r="BB236" i="36"/>
  <c r="AU239" i="36"/>
  <c r="AV242" i="36"/>
  <c r="AW245" i="36"/>
  <c r="AX248" i="36"/>
  <c r="AY251" i="36"/>
  <c r="AR254" i="36"/>
  <c r="AZ254" i="36"/>
  <c r="AS257" i="36"/>
  <c r="BA257" i="36"/>
  <c r="AT260" i="36"/>
  <c r="BB260" i="36"/>
  <c r="AU263" i="36"/>
  <c r="AV266" i="36"/>
  <c r="AW269" i="36"/>
  <c r="AX272" i="36"/>
  <c r="AY275" i="36"/>
  <c r="AR278" i="36"/>
  <c r="AZ278" i="36"/>
  <c r="AS281" i="36"/>
  <c r="BA281" i="36"/>
  <c r="AT284" i="36"/>
  <c r="BB284" i="36"/>
  <c r="AU287" i="36"/>
  <c r="AV290" i="36"/>
  <c r="AW293" i="36"/>
  <c r="AX296" i="36"/>
  <c r="AY299" i="36"/>
  <c r="AR302" i="36"/>
  <c r="AZ302" i="36"/>
  <c r="AS305" i="36"/>
  <c r="BA305" i="36"/>
  <c r="AT308" i="36"/>
  <c r="BB308" i="36"/>
  <c r="AU311" i="36"/>
  <c r="AV314" i="36"/>
  <c r="AW317" i="36"/>
  <c r="AX320" i="36"/>
  <c r="AY323" i="36"/>
  <c r="AR326" i="36"/>
  <c r="AZ326" i="36"/>
  <c r="AS329" i="36"/>
  <c r="BA329" i="36"/>
  <c r="AT332" i="36"/>
  <c r="BB332" i="36"/>
  <c r="AU335" i="36"/>
  <c r="AV338" i="36"/>
  <c r="AW341" i="36"/>
  <c r="AX344" i="36"/>
  <c r="AY347" i="36"/>
  <c r="AR350" i="36"/>
  <c r="AZ350" i="36"/>
  <c r="AS353" i="36"/>
  <c r="BA353" i="36"/>
  <c r="AT356" i="36"/>
  <c r="BB356" i="36"/>
  <c r="AU359" i="36"/>
  <c r="AV362" i="36"/>
  <c r="AW365" i="36"/>
  <c r="AX368" i="36"/>
  <c r="AY371" i="36"/>
  <c r="AR374" i="36"/>
  <c r="AZ374" i="36"/>
  <c r="AS377" i="36"/>
  <c r="BA377" i="36"/>
  <c r="AT380" i="36"/>
  <c r="BB380" i="36"/>
  <c r="AU383" i="36"/>
  <c r="AV389" i="36"/>
  <c r="AW392" i="36"/>
  <c r="AX395" i="36"/>
  <c r="AY398" i="36"/>
  <c r="AR401" i="36"/>
  <c r="AZ401" i="36"/>
  <c r="AS404" i="36"/>
  <c r="BA404" i="36"/>
  <c r="AT407" i="36"/>
  <c r="BB407" i="36"/>
  <c r="AU410" i="36"/>
  <c r="AV413" i="36"/>
  <c r="AW416" i="36"/>
  <c r="AX419" i="36"/>
  <c r="AY422" i="36"/>
  <c r="AR425" i="36"/>
  <c r="AZ425" i="36"/>
  <c r="AS428" i="36"/>
  <c r="BA428" i="36"/>
  <c r="AT431" i="36"/>
  <c r="BB431" i="36"/>
  <c r="AU434" i="36"/>
  <c r="AV437" i="36"/>
  <c r="AW440" i="36"/>
  <c r="AX443" i="36"/>
  <c r="AR119" i="36"/>
  <c r="BA122" i="36"/>
  <c r="BB125" i="36"/>
  <c r="AU128" i="36"/>
  <c r="AV131" i="36"/>
  <c r="AY164" i="36"/>
  <c r="AR167" i="36"/>
  <c r="AS170" i="36"/>
  <c r="AR191" i="36"/>
  <c r="AZ215" i="36"/>
  <c r="AS218" i="36"/>
  <c r="BB221" i="36"/>
  <c r="AX233" i="36"/>
  <c r="AY236" i="36"/>
  <c r="AZ239" i="36"/>
  <c r="AS242" i="36"/>
  <c r="BB245" i="36"/>
  <c r="AU248" i="36"/>
  <c r="AT269" i="36"/>
  <c r="AR311" i="36"/>
  <c r="AS314" i="36"/>
  <c r="AU320" i="36"/>
  <c r="AV323" i="36"/>
  <c r="AX353" i="36"/>
  <c r="BA362" i="36"/>
  <c r="AR383" i="36"/>
  <c r="BB392" i="36"/>
  <c r="AU395" i="36"/>
  <c r="AV398" i="36"/>
  <c r="AR410" i="36"/>
  <c r="AU77" i="36"/>
  <c r="AW107" i="36"/>
  <c r="AX134" i="36"/>
  <c r="AR140" i="36"/>
  <c r="AS143" i="36"/>
  <c r="BB146" i="36"/>
  <c r="AU149" i="36"/>
  <c r="AV152" i="36"/>
  <c r="AW155" i="36"/>
  <c r="AY161" i="36"/>
  <c r="AR164" i="36"/>
  <c r="AS167" i="36"/>
  <c r="AR188" i="36"/>
  <c r="AS191" i="36"/>
  <c r="AZ212" i="36"/>
  <c r="AS215" i="36"/>
  <c r="BB218" i="36"/>
  <c r="AU221" i="36"/>
  <c r="AY233" i="36"/>
  <c r="AZ236" i="36"/>
  <c r="BA239" i="36"/>
  <c r="BB242" i="36"/>
  <c r="AY257" i="36"/>
  <c r="AR260" i="36"/>
  <c r="AZ260" i="36"/>
  <c r="AS263" i="36"/>
  <c r="AT266" i="36"/>
  <c r="BB266" i="36"/>
  <c r="AU269" i="36"/>
  <c r="AV272" i="36"/>
  <c r="AW275" i="36"/>
  <c r="AX278" i="36"/>
  <c r="AY281" i="36"/>
  <c r="AR284" i="36"/>
  <c r="AS287" i="36"/>
  <c r="BA287" i="36"/>
  <c r="AT290" i="36"/>
  <c r="BB290" i="36"/>
  <c r="AU293" i="36"/>
  <c r="AV296" i="36"/>
  <c r="AW299" i="36"/>
  <c r="AX302" i="36"/>
  <c r="AY305" i="36"/>
  <c r="AR308" i="36"/>
  <c r="AZ308" i="36"/>
  <c r="AS311" i="36"/>
  <c r="BA311" i="36"/>
  <c r="AT314" i="36"/>
  <c r="BB314" i="36"/>
  <c r="AU317" i="36"/>
  <c r="AV320" i="36"/>
  <c r="AW323" i="36"/>
  <c r="AX326" i="36"/>
  <c r="AY329" i="36"/>
  <c r="AR332" i="36"/>
  <c r="AZ332" i="36"/>
  <c r="AS335" i="36"/>
  <c r="BA335" i="36"/>
  <c r="AT338" i="36"/>
  <c r="BB338" i="36"/>
  <c r="AU341" i="36"/>
  <c r="AV344" i="36"/>
  <c r="AW347" i="36"/>
  <c r="AX350" i="36"/>
  <c r="AY353" i="36"/>
  <c r="AR356" i="36"/>
  <c r="AZ356" i="36"/>
  <c r="AS359" i="36"/>
  <c r="BA359" i="36"/>
  <c r="AT362" i="36"/>
  <c r="BB362" i="36"/>
  <c r="AU365" i="36"/>
  <c r="AV368" i="36"/>
  <c r="AW371" i="36"/>
  <c r="AX374" i="36"/>
  <c r="AY377" i="36"/>
  <c r="AR380" i="36"/>
  <c r="AZ380" i="36"/>
  <c r="AX401" i="36"/>
  <c r="AS410" i="36"/>
  <c r="BB413" i="36"/>
  <c r="AU416" i="36"/>
  <c r="AW80" i="36"/>
  <c r="AY86" i="36"/>
  <c r="AR89" i="36"/>
  <c r="AT95" i="36"/>
  <c r="AR113" i="36"/>
  <c r="AS116" i="36"/>
  <c r="BB119" i="36"/>
  <c r="AV125" i="36"/>
  <c r="AW128" i="36"/>
  <c r="AX131" i="36"/>
  <c r="AR137" i="36"/>
  <c r="AT143" i="36"/>
  <c r="AS164" i="36"/>
  <c r="AT167" i="36"/>
  <c r="AU170" i="36"/>
  <c r="AV173" i="36"/>
  <c r="AW176" i="36"/>
  <c r="AV221" i="36"/>
  <c r="AX227" i="36"/>
  <c r="AZ233" i="36"/>
  <c r="AS236" i="36"/>
  <c r="BB239" i="36"/>
  <c r="AU242" i="36"/>
  <c r="AW248" i="36"/>
  <c r="AY254" i="36"/>
  <c r="AZ257" i="36"/>
  <c r="AT263" i="36"/>
  <c r="AU266" i="36"/>
  <c r="AR281" i="36"/>
  <c r="AS284" i="36"/>
  <c r="AW296" i="36"/>
  <c r="AX299" i="36"/>
  <c r="AR305" i="36"/>
  <c r="AZ305" i="36"/>
  <c r="BA308" i="36"/>
  <c r="AT311" i="36"/>
  <c r="AU314" i="36"/>
  <c r="AX323" i="36"/>
  <c r="AY326" i="36"/>
  <c r="AS332" i="36"/>
  <c r="BB335" i="36"/>
  <c r="AU338" i="36"/>
  <c r="AV341" i="36"/>
  <c r="BA356" i="36"/>
  <c r="AT359" i="36"/>
  <c r="AV365" i="36"/>
  <c r="AX371" i="36"/>
  <c r="AY374" i="36"/>
  <c r="AR377" i="36"/>
  <c r="AZ377" i="36"/>
  <c r="AS380" i="36"/>
  <c r="AS407" i="36"/>
  <c r="BB410" i="36"/>
  <c r="AU413" i="36"/>
  <c r="AR428" i="36"/>
  <c r="AZ428" i="36"/>
  <c r="AS431" i="36"/>
  <c r="BA431" i="36"/>
  <c r="AT434" i="36"/>
  <c r="BB434" i="36"/>
  <c r="AU437" i="36"/>
  <c r="AV440" i="36"/>
  <c r="AW443" i="36"/>
  <c r="AU71" i="36"/>
  <c r="AY83" i="36"/>
  <c r="AR86" i="36"/>
  <c r="AZ86" i="36"/>
  <c r="BA89" i="36"/>
  <c r="AT92" i="36"/>
  <c r="AU95" i="36"/>
  <c r="AW101" i="36"/>
  <c r="AS113" i="36"/>
  <c r="BB116" i="36"/>
  <c r="AW125" i="36"/>
  <c r="AX128" i="36"/>
  <c r="AX77" i="36"/>
  <c r="AV95" i="36"/>
  <c r="AW98" i="36"/>
  <c r="AX101" i="36"/>
  <c r="AY104" i="36"/>
  <c r="AR107" i="36"/>
  <c r="AZ107" i="36"/>
  <c r="AS110" i="36"/>
  <c r="BA110" i="36"/>
  <c r="AT113" i="36"/>
  <c r="BB113" i="36"/>
  <c r="AU116" i="36"/>
  <c r="AV119" i="36"/>
  <c r="AW122" i="36"/>
  <c r="AX125" i="36"/>
  <c r="AY128" i="36"/>
  <c r="AR131" i="36"/>
  <c r="AZ131" i="36"/>
  <c r="AS134" i="36"/>
  <c r="BA134" i="36"/>
  <c r="AT137" i="36"/>
  <c r="BB137" i="36"/>
  <c r="AU140" i="36"/>
  <c r="AV143" i="36"/>
  <c r="AW146" i="36"/>
  <c r="AX149" i="36"/>
  <c r="AY152" i="36"/>
  <c r="AR155" i="36"/>
  <c r="AZ155" i="36"/>
  <c r="AS158" i="36"/>
  <c r="BA158" i="36"/>
  <c r="AT161" i="36"/>
  <c r="BB161" i="36"/>
  <c r="AU164" i="36"/>
  <c r="AV167" i="36"/>
  <c r="AW170" i="36"/>
  <c r="AX173" i="36"/>
  <c r="AY176" i="36"/>
  <c r="AR179" i="36"/>
  <c r="AZ179" i="36"/>
  <c r="AS182" i="36"/>
  <c r="BA182" i="36"/>
  <c r="AT185" i="36"/>
  <c r="BB185" i="36"/>
  <c r="AU188" i="36"/>
  <c r="AV191" i="36"/>
  <c r="AW194" i="36"/>
  <c r="AX197" i="36"/>
  <c r="AY200" i="36"/>
  <c r="AR203" i="36"/>
  <c r="AZ203" i="36"/>
  <c r="AS206" i="36"/>
  <c r="BA206" i="36"/>
  <c r="AT209" i="36"/>
  <c r="BB209" i="36"/>
  <c r="AU212" i="36"/>
  <c r="AV215" i="36"/>
  <c r="AW218" i="36"/>
  <c r="AX221" i="36"/>
  <c r="AY224" i="36"/>
  <c r="AR227" i="36"/>
  <c r="AZ227" i="36"/>
  <c r="AS230" i="36"/>
  <c r="BA230" i="36"/>
  <c r="AT233" i="36"/>
  <c r="BB233" i="36"/>
  <c r="AU236" i="36"/>
  <c r="AV239" i="36"/>
  <c r="AW242" i="36"/>
  <c r="AX245" i="36"/>
  <c r="AY248" i="36"/>
  <c r="AR251" i="36"/>
  <c r="AZ251" i="36"/>
  <c r="AS254" i="36"/>
  <c r="BA254" i="36"/>
  <c r="AT257" i="36"/>
  <c r="BB257" i="36"/>
  <c r="AU260" i="36"/>
  <c r="AV263" i="36"/>
  <c r="AW266" i="36"/>
  <c r="AX269" i="36"/>
  <c r="AY272" i="36"/>
  <c r="AR275" i="36"/>
  <c r="AZ275" i="36"/>
  <c r="AS278" i="36"/>
  <c r="BA278" i="36"/>
  <c r="AT281" i="36"/>
  <c r="BB281" i="36"/>
  <c r="AU284" i="36"/>
  <c r="AV287" i="36"/>
  <c r="AW290" i="36"/>
  <c r="AX293" i="36"/>
  <c r="AY296" i="36"/>
  <c r="AR299" i="36"/>
  <c r="AZ299" i="36"/>
  <c r="AS302" i="36"/>
  <c r="BA302" i="36"/>
  <c r="AT305" i="36"/>
  <c r="BB305" i="36"/>
  <c r="AU308" i="36"/>
  <c r="AV311" i="36"/>
  <c r="AW314" i="36"/>
  <c r="AX317" i="36"/>
  <c r="AY320" i="36"/>
  <c r="AR323" i="36"/>
  <c r="AZ323" i="36"/>
  <c r="AS326" i="36"/>
  <c r="BA326" i="36"/>
  <c r="AT329" i="36"/>
  <c r="BB329" i="36"/>
  <c r="AU332" i="36"/>
  <c r="AV335" i="36"/>
  <c r="AW338" i="36"/>
  <c r="AX341" i="36"/>
  <c r="AY344" i="36"/>
  <c r="AR347" i="36"/>
  <c r="AZ347" i="36"/>
  <c r="AS350" i="36"/>
  <c r="BA350" i="36"/>
  <c r="AT353" i="36"/>
  <c r="BB353" i="36"/>
  <c r="AU356" i="36"/>
  <c r="AV359" i="36"/>
  <c r="AW362" i="36"/>
  <c r="AX365" i="36"/>
  <c r="AY368" i="36"/>
  <c r="AR371" i="36"/>
  <c r="AZ371" i="36"/>
  <c r="AS374" i="36"/>
  <c r="BA374" i="36"/>
  <c r="AT377" i="36"/>
  <c r="BB377" i="36"/>
  <c r="AU380" i="36"/>
  <c r="AV383" i="36"/>
  <c r="AW389" i="36"/>
  <c r="AX392" i="36"/>
  <c r="AY395" i="36"/>
  <c r="AR398" i="36"/>
  <c r="AZ398" i="36"/>
  <c r="AS401" i="36"/>
  <c r="BA401" i="36"/>
  <c r="AT404" i="36"/>
  <c r="BB404" i="36"/>
  <c r="AU407" i="36"/>
  <c r="AV410" i="36"/>
  <c r="AW413" i="36"/>
  <c r="AX416" i="36"/>
  <c r="AY419" i="36"/>
  <c r="AR422" i="36"/>
  <c r="AZ422" i="36"/>
  <c r="AS425" i="36"/>
  <c r="BA425" i="36"/>
  <c r="AT428" i="36"/>
  <c r="BB428" i="36"/>
  <c r="AU431" i="36"/>
  <c r="AV434" i="36"/>
  <c r="AW437" i="36"/>
  <c r="AX440" i="36"/>
  <c r="AY443" i="36"/>
  <c r="BA98" i="36"/>
  <c r="BB101" i="36"/>
  <c r="AY116" i="36"/>
  <c r="AR143" i="36"/>
  <c r="AV155" i="36"/>
  <c r="AW158" i="36"/>
  <c r="BA170" i="36"/>
  <c r="BB173" i="36"/>
  <c r="AU176" i="36"/>
  <c r="AW182" i="36"/>
  <c r="AX185" i="36"/>
  <c r="AY188" i="36"/>
  <c r="BA194" i="36"/>
  <c r="AT197" i="36"/>
  <c r="AU200" i="36"/>
  <c r="AW206" i="36"/>
  <c r="BA218" i="36"/>
  <c r="AT221" i="36"/>
  <c r="AU224" i="36"/>
  <c r="AW230" i="36"/>
  <c r="BA242" i="36"/>
  <c r="AT245" i="36"/>
  <c r="AV251" i="36"/>
  <c r="AS266" i="36"/>
  <c r="BB269" i="36"/>
  <c r="AR287" i="36"/>
  <c r="BA290" i="36"/>
  <c r="AY308" i="36"/>
  <c r="AZ311" i="36"/>
  <c r="AW326" i="36"/>
  <c r="AX329" i="36"/>
  <c r="AY332" i="36"/>
  <c r="AZ335" i="36"/>
  <c r="BA338" i="36"/>
  <c r="AT341" i="36"/>
  <c r="AU344" i="36"/>
  <c r="AV347" i="36"/>
  <c r="AZ359" i="36"/>
  <c r="AT365" i="36"/>
  <c r="AS389" i="36"/>
  <c r="AX404" i="36"/>
  <c r="AY407" i="36"/>
  <c r="AZ410" i="36"/>
  <c r="BB416" i="36"/>
  <c r="AW425" i="36"/>
  <c r="AX428" i="36"/>
  <c r="AY431" i="36"/>
  <c r="AS71" i="36"/>
  <c r="BA95" i="36"/>
  <c r="BB98" i="36"/>
  <c r="AZ116" i="36"/>
  <c r="AX158" i="36"/>
  <c r="AZ164" i="36"/>
  <c r="AV176" i="36"/>
  <c r="BA215" i="36"/>
  <c r="AX230" i="36"/>
  <c r="BA383" i="36"/>
  <c r="AT389" i="36"/>
  <c r="AU392" i="36"/>
  <c r="AW398" i="36"/>
  <c r="AY404" i="36"/>
  <c r="BA410" i="36"/>
  <c r="AW422" i="36"/>
  <c r="AX425" i="36"/>
  <c r="AY428" i="36"/>
  <c r="AR431" i="36"/>
  <c r="AZ431" i="36"/>
  <c r="BA434" i="36"/>
  <c r="BB437" i="36"/>
  <c r="AV443" i="36"/>
  <c r="BY57" i="36"/>
  <c r="BY2" i="36" s="1"/>
  <c r="BB71" i="36"/>
  <c r="AV77" i="36"/>
  <c r="AX83" i="36"/>
  <c r="AZ89" i="36"/>
  <c r="AS92" i="36"/>
  <c r="AV101" i="36"/>
  <c r="AX107" i="36"/>
  <c r="AZ113" i="36"/>
  <c r="BA116" i="36"/>
  <c r="AT119" i="36"/>
  <c r="BA140" i="36"/>
  <c r="AV149" i="36"/>
  <c r="AX155" i="36"/>
  <c r="AY158" i="36"/>
  <c r="AR161" i="36"/>
  <c r="AZ161" i="36"/>
  <c r="BA164" i="36"/>
  <c r="BB167" i="36"/>
  <c r="AX179" i="36"/>
  <c r="AY182" i="36"/>
  <c r="AR185" i="36"/>
  <c r="AZ185" i="36"/>
  <c r="AS188" i="36"/>
  <c r="BA188" i="36"/>
  <c r="AT191" i="36"/>
  <c r="BB191" i="36"/>
  <c r="AU194" i="36"/>
  <c r="AV197" i="36"/>
  <c r="AW200" i="36"/>
  <c r="AX203" i="36"/>
  <c r="AY206" i="36"/>
  <c r="AS212" i="36"/>
  <c r="AT215" i="36"/>
  <c r="AR233" i="36"/>
  <c r="AT239" i="36"/>
  <c r="AX251" i="36"/>
  <c r="AR257" i="36"/>
  <c r="AS260" i="36"/>
  <c r="AX275" i="36"/>
  <c r="AY278" i="36"/>
  <c r="AZ281" i="36"/>
  <c r="AT287" i="36"/>
  <c r="AU290" i="36"/>
  <c r="AV293" i="36"/>
  <c r="AY302" i="36"/>
  <c r="AT335" i="36"/>
  <c r="AV74" i="36"/>
  <c r="AW77" i="36"/>
  <c r="AX80" i="36"/>
  <c r="AS89" i="36"/>
  <c r="BB92" i="36"/>
  <c r="AV98" i="36"/>
  <c r="AX104" i="36"/>
  <c r="AY107" i="36"/>
  <c r="AR110" i="36"/>
  <c r="AZ110" i="36"/>
  <c r="BA113" i="36"/>
  <c r="AT116" i="36"/>
  <c r="AU119" i="36"/>
  <c r="AV122" i="36"/>
  <c r="AV71" i="36"/>
  <c r="AR83" i="36"/>
  <c r="AZ83" i="36"/>
  <c r="BA86" i="36"/>
  <c r="AT89" i="36"/>
  <c r="AR80" i="36"/>
  <c r="AZ80" i="36"/>
  <c r="AS83" i="36"/>
  <c r="AT86" i="36"/>
  <c r="AU89" i="36"/>
  <c r="AV92" i="36"/>
  <c r="AY101" i="36"/>
  <c r="AR104" i="36"/>
  <c r="AZ104" i="36"/>
  <c r="BA107" i="36"/>
  <c r="AT110" i="36"/>
  <c r="AS131" i="36"/>
  <c r="AT134" i="36"/>
  <c r="AV140" i="36"/>
  <c r="AW143" i="36"/>
  <c r="AX146" i="36"/>
  <c r="AY149" i="36"/>
  <c r="AZ152" i="36"/>
  <c r="AS155" i="36"/>
  <c r="BA155" i="36"/>
  <c r="AT158" i="36"/>
  <c r="BB158" i="36"/>
  <c r="AU161" i="36"/>
  <c r="AV164" i="36"/>
  <c r="AW167" i="36"/>
  <c r="AX170" i="36"/>
  <c r="AY173" i="36"/>
  <c r="AR176" i="36"/>
  <c r="AZ176" i="36"/>
  <c r="AS179" i="36"/>
  <c r="BA179" i="36"/>
  <c r="AT182" i="36"/>
  <c r="BB182" i="36"/>
  <c r="AU185" i="36"/>
  <c r="AV188" i="36"/>
  <c r="AW191" i="36"/>
  <c r="AX194" i="36"/>
  <c r="AY197" i="36"/>
  <c r="AR200" i="36"/>
  <c r="AZ200" i="36"/>
  <c r="AS203" i="36"/>
  <c r="BA203" i="36"/>
  <c r="AT206" i="36"/>
  <c r="BB206" i="36"/>
  <c r="AU209" i="36"/>
  <c r="AV212" i="36"/>
  <c r="AW215" i="36"/>
  <c r="AX218" i="36"/>
  <c r="AY221" i="36"/>
  <c r="AR224" i="36"/>
  <c r="AZ224" i="36"/>
  <c r="AS227" i="36"/>
  <c r="BA227" i="36"/>
  <c r="AT230" i="36"/>
  <c r="BB230" i="36"/>
  <c r="AU233" i="36"/>
  <c r="AV236" i="36"/>
  <c r="AW239" i="36"/>
  <c r="AX242" i="36"/>
  <c r="AY245" i="36"/>
  <c r="AR248" i="36"/>
  <c r="AZ248" i="36"/>
  <c r="AS251" i="36"/>
  <c r="BA251" i="36"/>
  <c r="AT254" i="36"/>
  <c r="BB254" i="36"/>
  <c r="AU257" i="36"/>
  <c r="AV260" i="36"/>
  <c r="AW263" i="36"/>
  <c r="AX266" i="36"/>
  <c r="AY269" i="36"/>
  <c r="AR272" i="36"/>
  <c r="AZ272" i="36"/>
  <c r="AS275" i="36"/>
  <c r="BA275" i="36"/>
  <c r="AT278" i="36"/>
  <c r="BB278" i="36"/>
  <c r="AU281" i="36"/>
  <c r="AV284" i="36"/>
  <c r="AW287" i="36"/>
  <c r="AX290" i="36"/>
  <c r="AY293" i="36"/>
  <c r="AR296" i="36"/>
  <c r="AZ296" i="36"/>
  <c r="AS299" i="36"/>
  <c r="BA299" i="36"/>
  <c r="AT302" i="36"/>
  <c r="BB302" i="36"/>
  <c r="AU305" i="36"/>
  <c r="AV308" i="36"/>
  <c r="AW311" i="36"/>
  <c r="AX314" i="36"/>
  <c r="AY317" i="36"/>
  <c r="AR320" i="36"/>
  <c r="AZ320" i="36"/>
  <c r="AS323" i="36"/>
  <c r="BA323" i="36"/>
  <c r="AT326" i="36"/>
  <c r="BB326" i="36"/>
  <c r="AU329" i="36"/>
  <c r="AV332" i="36"/>
  <c r="AW335" i="36"/>
  <c r="AX338" i="36"/>
  <c r="AY341" i="36"/>
  <c r="AR344" i="36"/>
  <c r="AZ344" i="36"/>
  <c r="AS347" i="36"/>
  <c r="BA347" i="36"/>
  <c r="AT350" i="36"/>
  <c r="BB350" i="36"/>
  <c r="AU353" i="36"/>
  <c r="AV356" i="36"/>
  <c r="AW359" i="36"/>
  <c r="AX362" i="36"/>
  <c r="AY365" i="36"/>
  <c r="AR368" i="36"/>
  <c r="AZ368" i="36"/>
  <c r="AS371" i="36"/>
  <c r="BA371" i="36"/>
  <c r="AT374" i="36"/>
  <c r="BB374" i="36"/>
  <c r="AU377" i="36"/>
  <c r="AV380" i="36"/>
  <c r="AW383" i="36"/>
  <c r="AX389" i="36"/>
  <c r="AY392" i="36"/>
  <c r="AR395" i="36"/>
  <c r="AZ395" i="36"/>
  <c r="AS398" i="36"/>
  <c r="BA398" i="36"/>
  <c r="AT401" i="36"/>
  <c r="BB401" i="36"/>
  <c r="AU404" i="36"/>
  <c r="AV407" i="36"/>
  <c r="AW410" i="36"/>
  <c r="AX413" i="36"/>
  <c r="AY416" i="36"/>
  <c r="AR419" i="36"/>
  <c r="AZ419" i="36"/>
  <c r="AS422" i="36"/>
  <c r="BA422" i="36"/>
  <c r="AT425" i="36"/>
  <c r="BB425" i="36"/>
  <c r="AU428" i="36"/>
  <c r="AV431" i="36"/>
  <c r="AW434" i="36"/>
  <c r="AX437" i="36"/>
  <c r="AY440" i="36"/>
  <c r="AR443" i="36"/>
  <c r="AZ443" i="36"/>
  <c r="AS290" i="36"/>
  <c r="AT293" i="36"/>
  <c r="AU296" i="36"/>
  <c r="BA314" i="36"/>
  <c r="AT317" i="36"/>
  <c r="AR335" i="36"/>
  <c r="AS338" i="36"/>
  <c r="BB341" i="36"/>
  <c r="AW350" i="36"/>
  <c r="AY356" i="36"/>
  <c r="AR359" i="36"/>
  <c r="AS362" i="36"/>
  <c r="BB365" i="36"/>
  <c r="AW374" i="36"/>
  <c r="AX377" i="36"/>
  <c r="AY380" i="36"/>
  <c r="AZ383" i="36"/>
  <c r="AW401" i="36"/>
  <c r="BA413" i="36"/>
  <c r="AT416" i="36"/>
  <c r="AU419" i="36"/>
  <c r="AV422" i="36"/>
  <c r="AZ434" i="36"/>
  <c r="BA71" i="36"/>
  <c r="AT74" i="36"/>
  <c r="AV80" i="36"/>
  <c r="AY89" i="36"/>
  <c r="AZ92" i="36"/>
  <c r="AT98" i="36"/>
  <c r="AX110" i="36"/>
  <c r="AR116" i="36"/>
  <c r="BA119" i="36"/>
  <c r="BB122" i="36"/>
  <c r="AV128" i="36"/>
  <c r="AZ140" i="36"/>
  <c r="BA143" i="36"/>
  <c r="AT146" i="36"/>
  <c r="BB170" i="36"/>
  <c r="AZ188" i="36"/>
  <c r="BB194" i="36"/>
  <c r="AV200" i="36"/>
  <c r="AV224" i="36"/>
  <c r="AS239" i="36"/>
  <c r="AT242" i="36"/>
  <c r="AU245" i="36"/>
  <c r="AX254" i="36"/>
  <c r="AZ284" i="36"/>
  <c r="AR209" i="36"/>
  <c r="AZ209" i="36"/>
  <c r="BA212" i="36"/>
  <c r="BB215" i="36"/>
  <c r="AU218" i="36"/>
  <c r="AW224" i="36"/>
  <c r="AY230" i="36"/>
  <c r="BA236" i="36"/>
  <c r="AV245" i="36"/>
  <c r="BA260" i="36"/>
  <c r="BB263" i="36"/>
  <c r="AV269" i="36"/>
  <c r="AW272" i="36"/>
  <c r="BA284" i="36"/>
  <c r="BB287" i="36"/>
  <c r="AS308" i="36"/>
  <c r="BB311" i="36"/>
  <c r="AV317" i="36"/>
  <c r="AW320" i="36"/>
  <c r="AR329" i="36"/>
  <c r="AZ329" i="36"/>
  <c r="BA332" i="36"/>
  <c r="AW344" i="36"/>
  <c r="AX347" i="36"/>
  <c r="AY350" i="36"/>
  <c r="AR353" i="36"/>
  <c r="AZ353" i="36"/>
  <c r="AS356" i="36"/>
  <c r="BB359" i="36"/>
  <c r="AU362" i="36"/>
  <c r="AW368" i="36"/>
  <c r="BA380" i="36"/>
  <c r="AT383" i="36"/>
  <c r="BB383" i="36"/>
  <c r="AU389" i="36"/>
  <c r="AV392" i="36"/>
  <c r="AW395" i="36"/>
  <c r="AX398" i="36"/>
  <c r="AY401" i="36"/>
  <c r="AR404" i="36"/>
  <c r="AZ404" i="36"/>
  <c r="BA407" i="36"/>
  <c r="AT410" i="36"/>
  <c r="AV416" i="36"/>
  <c r="AW419" i="36"/>
  <c r="AX422" i="36"/>
  <c r="AY425" i="36"/>
  <c r="AW74" i="36"/>
  <c r="AY80" i="36"/>
  <c r="AS86" i="36"/>
  <c r="BB89" i="36"/>
  <c r="AU92" i="36"/>
  <c r="AW71" i="36"/>
  <c r="AX74" i="36"/>
  <c r="AY77" i="36"/>
  <c r="BA83" i="36"/>
  <c r="BB86" i="36"/>
  <c r="AW95" i="36"/>
  <c r="AX98" i="36"/>
  <c r="AS107" i="36"/>
  <c r="BB110" i="36"/>
  <c r="AU113" i="36"/>
  <c r="AV116" i="36"/>
  <c r="AW119" i="36"/>
  <c r="AX122" i="36"/>
  <c r="AY125" i="36"/>
  <c r="AR128" i="36"/>
  <c r="AZ128" i="36"/>
  <c r="BA131" i="36"/>
  <c r="BB134" i="36"/>
  <c r="AU137" i="36"/>
  <c r="AR152" i="36"/>
  <c r="AX71" i="36"/>
  <c r="AY74" i="36"/>
  <c r="AR77" i="36"/>
  <c r="AZ77" i="36"/>
  <c r="AS80" i="36"/>
  <c r="BA80" i="36"/>
  <c r="AT83" i="36"/>
  <c r="BB83" i="36"/>
  <c r="AU86" i="36"/>
  <c r="AV89" i="36"/>
  <c r="AW92" i="36"/>
  <c r="AX95" i="36"/>
  <c r="AY98" i="36"/>
  <c r="AR101" i="36"/>
  <c r="AZ101" i="36"/>
  <c r="AS104" i="36"/>
  <c r="BA104" i="36"/>
  <c r="AT107" i="36"/>
  <c r="BB107" i="36"/>
  <c r="AU110" i="36"/>
  <c r="AV113" i="36"/>
  <c r="AW116" i="36"/>
  <c r="AX119" i="36"/>
  <c r="AY122" i="36"/>
  <c r="AR125" i="36"/>
  <c r="AZ125" i="36"/>
  <c r="AS128" i="36"/>
  <c r="BA128" i="36"/>
  <c r="AT131" i="36"/>
  <c r="BB131" i="36"/>
  <c r="AU134" i="36"/>
  <c r="AV137" i="36"/>
  <c r="AW140" i="36"/>
  <c r="AX143" i="36"/>
  <c r="AY146" i="36"/>
  <c r="AR149" i="36"/>
  <c r="AZ149" i="36"/>
  <c r="AS152" i="36"/>
  <c r="BA152" i="36"/>
  <c r="AT155" i="36"/>
  <c r="BB155" i="36"/>
  <c r="AU158" i="36"/>
  <c r="AV161" i="36"/>
  <c r="AW164" i="36"/>
  <c r="AX167" i="36"/>
  <c r="AY170" i="36"/>
  <c r="AR173" i="36"/>
  <c r="AZ173" i="36"/>
  <c r="AS176" i="36"/>
  <c r="BA176" i="36"/>
  <c r="AT179" i="36"/>
  <c r="BB179" i="36"/>
  <c r="AU182" i="36"/>
  <c r="AV185" i="36"/>
  <c r="AW188" i="36"/>
  <c r="AX191" i="36"/>
  <c r="AY194" i="36"/>
  <c r="AR197" i="36"/>
  <c r="AZ197" i="36"/>
  <c r="AS200" i="36"/>
  <c r="BA200" i="36"/>
  <c r="AT203" i="36"/>
  <c r="BB203" i="36"/>
  <c r="AU206" i="36"/>
  <c r="AV209" i="36"/>
  <c r="AW212" i="36"/>
  <c r="AX215" i="36"/>
  <c r="AY218" i="36"/>
  <c r="AR221" i="36"/>
  <c r="AZ221" i="36"/>
  <c r="AS224" i="36"/>
  <c r="BA224" i="36"/>
  <c r="AT227" i="36"/>
  <c r="BB227" i="36"/>
  <c r="AU230" i="36"/>
  <c r="AV233" i="36"/>
  <c r="AW236" i="36"/>
  <c r="AX239" i="36"/>
  <c r="AY242" i="36"/>
  <c r="AR245" i="36"/>
  <c r="AZ245" i="36"/>
  <c r="AS248" i="36"/>
  <c r="BA248" i="36"/>
  <c r="AT251" i="36"/>
  <c r="BB251" i="36"/>
  <c r="AU254" i="36"/>
  <c r="AV257" i="36"/>
  <c r="AW260" i="36"/>
  <c r="AX263" i="36"/>
  <c r="AY266" i="36"/>
  <c r="AR269" i="36"/>
  <c r="AZ269" i="36"/>
  <c r="AS272" i="36"/>
  <c r="BA272" i="36"/>
  <c r="AT275" i="36"/>
  <c r="BB275" i="36"/>
  <c r="AU278" i="36"/>
  <c r="AV281" i="36"/>
  <c r="AW284" i="36"/>
  <c r="AX287" i="36"/>
  <c r="AY290" i="36"/>
  <c r="AR293" i="36"/>
  <c r="AZ293" i="36"/>
  <c r="AS296" i="36"/>
  <c r="BA296" i="36"/>
  <c r="AT299" i="36"/>
  <c r="BB299" i="36"/>
  <c r="AU302" i="36"/>
  <c r="AV305" i="36"/>
  <c r="AW308" i="36"/>
  <c r="AX311" i="36"/>
  <c r="AY314" i="36"/>
  <c r="AR317" i="36"/>
  <c r="AZ317" i="36"/>
  <c r="AS320" i="36"/>
  <c r="BA320" i="36"/>
  <c r="AT323" i="36"/>
  <c r="BB323" i="36"/>
  <c r="AU326" i="36"/>
  <c r="AV329" i="36"/>
  <c r="AW332" i="36"/>
  <c r="AX335" i="36"/>
  <c r="AY338" i="36"/>
  <c r="AR341" i="36"/>
  <c r="AZ341" i="36"/>
  <c r="AS344" i="36"/>
  <c r="BA344" i="36"/>
  <c r="AT347" i="36"/>
  <c r="BB347" i="36"/>
  <c r="AU350" i="36"/>
  <c r="AV353" i="36"/>
  <c r="AW356" i="36"/>
  <c r="AX359" i="36"/>
  <c r="AY362" i="36"/>
  <c r="AR365" i="36"/>
  <c r="AZ365" i="36"/>
  <c r="AS368" i="36"/>
  <c r="BA368" i="36"/>
  <c r="AT371" i="36"/>
  <c r="BB371" i="36"/>
  <c r="AU374" i="36"/>
  <c r="AV377" i="36"/>
  <c r="AW380" i="36"/>
  <c r="AX383" i="36"/>
  <c r="AY389" i="36"/>
  <c r="AR392" i="36"/>
  <c r="AZ392" i="36"/>
  <c r="AS395" i="36"/>
  <c r="BA395" i="36"/>
  <c r="AT398" i="36"/>
  <c r="BB398" i="36"/>
  <c r="AU401" i="36"/>
  <c r="AV404" i="36"/>
  <c r="AW407" i="36"/>
  <c r="AX410" i="36"/>
  <c r="AY413" i="36"/>
  <c r="AR416" i="36"/>
  <c r="AZ416" i="36"/>
  <c r="AS419" i="36"/>
  <c r="BA419" i="36"/>
  <c r="AT422" i="36"/>
  <c r="BB422" i="36"/>
  <c r="AU425" i="36"/>
  <c r="AV428" i="36"/>
  <c r="AW431" i="36"/>
  <c r="AX434" i="36"/>
  <c r="AY437" i="36"/>
  <c r="AR440" i="36"/>
  <c r="AZ440" i="36"/>
  <c r="AS443" i="36"/>
  <c r="BA443" i="36"/>
  <c r="AP197" i="36"/>
  <c r="AP251" i="36"/>
  <c r="AP341" i="36"/>
  <c r="AP205" i="36"/>
  <c r="AP233" i="36"/>
  <c r="AP239" i="36"/>
  <c r="AP320" i="36"/>
  <c r="AP367" i="36"/>
  <c r="AP82" i="36"/>
  <c r="AP178" i="36"/>
  <c r="AP298" i="36"/>
  <c r="AP307" i="36"/>
  <c r="AP160" i="36"/>
  <c r="AP170" i="36"/>
  <c r="AP188" i="36"/>
  <c r="AP310" i="36"/>
  <c r="AP376" i="36"/>
  <c r="AP398" i="36"/>
  <c r="AP406" i="36"/>
  <c r="AP365" i="36"/>
  <c r="AP70" i="36"/>
  <c r="AP443" i="36"/>
  <c r="AP122" i="36"/>
  <c r="AP182" i="36"/>
  <c r="AP439" i="36"/>
  <c r="AP98" i="36"/>
  <c r="AP112" i="36"/>
  <c r="AP136" i="36"/>
  <c r="AP241" i="36"/>
  <c r="AP79" i="36"/>
  <c r="AP421" i="36"/>
  <c r="AP143" i="36"/>
  <c r="AP247" i="36"/>
  <c r="AP371" i="36"/>
  <c r="AP146" i="36"/>
  <c r="AP106" i="36"/>
  <c r="AP115" i="36"/>
  <c r="AP149" i="36"/>
  <c r="AP199" i="36"/>
  <c r="AP262" i="36"/>
  <c r="AP374" i="36"/>
  <c r="CC71" i="36" l="1"/>
  <c r="CB71" i="36"/>
  <c r="BI298" i="36"/>
  <c r="CB298" i="36"/>
  <c r="BI115" i="36"/>
  <c r="CB115" i="36"/>
  <c r="BI241" i="36"/>
  <c r="CB241" i="36"/>
  <c r="BI70" i="36"/>
  <c r="CB70" i="36"/>
  <c r="BI160" i="36"/>
  <c r="CB160" i="36"/>
  <c r="BI233" i="36"/>
  <c r="CB233" i="36"/>
  <c r="BI106" i="36"/>
  <c r="CB106" i="36"/>
  <c r="BI136" i="36"/>
  <c r="CB136" i="36"/>
  <c r="BI365" i="36"/>
  <c r="CB365" i="36"/>
  <c r="BI307" i="36"/>
  <c r="CB307" i="36"/>
  <c r="BI205" i="36"/>
  <c r="CB205" i="36"/>
  <c r="BI406" i="36"/>
  <c r="CB406" i="36"/>
  <c r="BI341" i="36"/>
  <c r="CB341" i="36"/>
  <c r="BI398" i="36"/>
  <c r="CB398" i="36"/>
  <c r="BI112" i="36"/>
  <c r="CB112" i="36"/>
  <c r="BI371" i="36"/>
  <c r="CB371" i="36"/>
  <c r="BI178" i="36"/>
  <c r="CB178" i="36"/>
  <c r="BI247" i="36"/>
  <c r="CB247" i="36"/>
  <c r="BI82" i="36"/>
  <c r="CB82" i="36"/>
  <c r="BI262" i="36"/>
  <c r="CB262" i="36"/>
  <c r="BI143" i="36"/>
  <c r="CB143" i="36"/>
  <c r="BI182" i="36"/>
  <c r="CB182" i="36"/>
  <c r="BI310" i="36"/>
  <c r="CB310" i="36"/>
  <c r="BI367" i="36"/>
  <c r="CB367" i="36"/>
  <c r="BI376" i="36"/>
  <c r="CB376" i="36"/>
  <c r="BI199" i="36"/>
  <c r="CB199" i="36"/>
  <c r="BI122" i="36"/>
  <c r="CB122" i="36"/>
  <c r="BI320" i="36"/>
  <c r="CB320" i="36"/>
  <c r="BI146" i="36"/>
  <c r="CB146" i="36"/>
  <c r="BI98" i="36"/>
  <c r="CB98" i="36"/>
  <c r="BI251" i="36"/>
  <c r="CB251" i="36"/>
  <c r="BI374" i="36"/>
  <c r="CB374" i="36"/>
  <c r="BI439" i="36"/>
  <c r="CB439" i="36"/>
  <c r="BI197" i="36"/>
  <c r="CB197" i="36"/>
  <c r="BI421" i="36"/>
  <c r="CB421" i="36"/>
  <c r="BI188" i="36"/>
  <c r="CB188" i="36"/>
  <c r="BI149" i="36"/>
  <c r="CB149" i="36"/>
  <c r="BI79" i="36"/>
  <c r="CB79" i="36"/>
  <c r="BI443" i="36"/>
  <c r="CB443" i="36"/>
  <c r="BI170" i="36"/>
  <c r="CB170" i="36"/>
  <c r="BI239" i="36"/>
  <c r="CB239" i="36"/>
  <c r="B7" i="42" l="1"/>
  <c r="X87" i="30" l="1"/>
  <c r="Y87" i="30"/>
  <c r="X95" i="30"/>
  <c r="Y95" i="30"/>
  <c r="X44" i="30"/>
  <c r="X12" i="30" s="1"/>
  <c r="Y44" i="30"/>
  <c r="X51" i="30"/>
  <c r="X13" i="30" s="1"/>
  <c r="X9" i="98" s="1"/>
  <c r="Y51" i="30"/>
  <c r="Y13" i="30" s="1"/>
  <c r="Y9" i="98" s="1"/>
  <c r="X58" i="30"/>
  <c r="X14" i="30" s="1"/>
  <c r="X10" i="98" s="1"/>
  <c r="Y58" i="30"/>
  <c r="Y14" i="30" s="1"/>
  <c r="Y10" i="98" s="1"/>
  <c r="X65" i="30"/>
  <c r="X15" i="30" s="1"/>
  <c r="X11" i="98" s="1"/>
  <c r="Y65" i="30"/>
  <c r="Y15" i="30" s="1"/>
  <c r="Y11" i="98" s="1"/>
  <c r="X72" i="30"/>
  <c r="X16" i="30" s="1"/>
  <c r="X12" i="98" s="1"/>
  <c r="Y72" i="30"/>
  <c r="Y16" i="30" s="1"/>
  <c r="Y12" i="98" s="1"/>
  <c r="X18" i="30" l="1"/>
  <c r="X8" i="98"/>
  <c r="X14" i="98" s="1"/>
  <c r="Y12" i="30"/>
  <c r="Y18" i="30" s="1"/>
  <c r="F97" i="41"/>
  <c r="G24" i="56"/>
  <c r="B7" i="62"/>
  <c r="B7" i="34"/>
  <c r="C7" i="57"/>
  <c r="C7" i="36"/>
  <c r="B7" i="45"/>
  <c r="B7" i="30"/>
  <c r="B39" i="90"/>
  <c r="B7" i="12"/>
  <c r="B6" i="86"/>
  <c r="AD19" i="42" l="1"/>
  <c r="Y24" i="30"/>
  <c r="AC19" i="42"/>
  <c r="X24" i="30"/>
  <c r="Y8" i="98"/>
  <c r="Y14" i="98" s="1"/>
  <c r="Y102" i="98" l="1"/>
  <c r="Z102" i="98"/>
  <c r="AK50" i="89"/>
  <c r="AL52" i="89" s="1"/>
  <c r="AG50" i="89"/>
  <c r="AB48" i="89"/>
  <c r="AB13" i="89" s="1"/>
  <c r="AB15" i="89" s="1"/>
  <c r="AC48" i="89"/>
  <c r="AC13" i="89" s="1"/>
  <c r="AC15" i="89" s="1"/>
  <c r="AB49" i="89"/>
  <c r="AB17" i="89" s="1"/>
  <c r="AB19" i="89" s="1"/>
  <c r="AC49" i="89"/>
  <c r="AC17" i="89" s="1"/>
  <c r="AC19" i="89" s="1"/>
  <c r="AC40" i="89"/>
  <c r="AD41" i="89" s="1"/>
  <c r="AB40" i="89"/>
  <c r="AD51" i="89" l="1"/>
  <c r="AC41" i="89"/>
  <c r="AI50" i="89"/>
  <c r="AH51" i="89"/>
  <c r="AH50" i="89"/>
  <c r="AH52" i="89" s="1"/>
  <c r="AK51" i="89"/>
  <c r="AG51" i="89"/>
  <c r="AJ51" i="89"/>
  <c r="AI51" i="89"/>
  <c r="AC50" i="89"/>
  <c r="AD52" i="89" s="1"/>
  <c r="AJ50" i="89"/>
  <c r="AB50" i="89"/>
  <c r="AC51" i="89"/>
  <c r="AG52" i="89"/>
  <c r="AJ52" i="89" l="1"/>
  <c r="AI52" i="89"/>
  <c r="AC52" i="89"/>
  <c r="AK52" i="89"/>
  <c r="AF37" i="93" l="1"/>
  <c r="AF38" i="93" s="1"/>
  <c r="AE37" i="93"/>
  <c r="AE38" i="93" s="1"/>
  <c r="AD37" i="93"/>
  <c r="AD38" i="93" s="1"/>
  <c r="AC37" i="93"/>
  <c r="AC38" i="93" s="1"/>
  <c r="R38" i="34"/>
  <c r="S38" i="34"/>
  <c r="T38" i="34"/>
  <c r="U38" i="34"/>
  <c r="V38" i="34"/>
  <c r="W38" i="34"/>
  <c r="X38" i="34"/>
  <c r="Y38" i="34"/>
  <c r="Z38" i="34"/>
  <c r="AA38" i="34"/>
  <c r="AB38" i="34"/>
  <c r="AC87" i="41" l="1"/>
  <c r="AD87" i="41"/>
  <c r="AE87" i="41"/>
  <c r="AF87" i="41"/>
  <c r="AK14" i="40"/>
  <c r="AF84" i="41" s="1"/>
  <c r="AJ14" i="40"/>
  <c r="AE84" i="41" s="1"/>
  <c r="AI14" i="40"/>
  <c r="AD84" i="41" s="1"/>
  <c r="AH14" i="40"/>
  <c r="AC84" i="41" s="1"/>
  <c r="AE7" i="40"/>
  <c r="AD7" i="40"/>
  <c r="AC7" i="40"/>
  <c r="I503" i="57" l="1"/>
  <c r="I497" i="57"/>
  <c r="I491" i="57"/>
  <c r="I485" i="57"/>
  <c r="I479" i="57"/>
  <c r="I477" i="57"/>
  <c r="I476" i="57"/>
  <c r="I475" i="57"/>
  <c r="I514" i="57" s="1"/>
  <c r="I474" i="57"/>
  <c r="I513" i="57" s="1"/>
  <c r="I473" i="57"/>
  <c r="I491" i="36"/>
  <c r="I487" i="36"/>
  <c r="I483" i="36"/>
  <c r="I479" i="36"/>
  <c r="I475" i="36"/>
  <c r="I473" i="36"/>
  <c r="I477" i="36" s="1"/>
  <c r="I472" i="36"/>
  <c r="I471" i="36"/>
  <c r="I481" i="57" l="1"/>
  <c r="I530" i="57"/>
  <c r="I502" i="36"/>
  <c r="I487" i="57"/>
  <c r="I523" i="57"/>
  <c r="I482" i="57"/>
  <c r="I500" i="36"/>
  <c r="I539" i="57"/>
  <c r="I516" i="57"/>
  <c r="I483" i="57"/>
  <c r="I521" i="57"/>
  <c r="I515" i="57"/>
  <c r="I480" i="57"/>
  <c r="I557" i="57"/>
  <c r="I512" i="57"/>
  <c r="I548" i="57"/>
  <c r="I499" i="36"/>
  <c r="I476" i="36"/>
  <c r="I518" i="36"/>
  <c r="I498" i="36"/>
  <c r="I514" i="36"/>
  <c r="I506" i="36"/>
  <c r="I481" i="36"/>
  <c r="I504" i="36"/>
  <c r="I510" i="36"/>
  <c r="I488" i="57" l="1"/>
  <c r="I532" i="57"/>
  <c r="I493" i="57"/>
  <c r="I524" i="57"/>
  <c r="I525" i="57"/>
  <c r="I489" i="57"/>
  <c r="I486" i="57"/>
  <c r="I522" i="57"/>
  <c r="I508" i="36"/>
  <c r="I485" i="36"/>
  <c r="I480" i="36"/>
  <c r="I503" i="36"/>
  <c r="I494" i="57" l="1"/>
  <c r="I533" i="57"/>
  <c r="I541" i="57"/>
  <c r="I499" i="57"/>
  <c r="I542" i="57"/>
  <c r="I500" i="57"/>
  <c r="I534" i="57"/>
  <c r="I495" i="57"/>
  <c r="I531" i="57"/>
  <c r="I492" i="57"/>
  <c r="I489" i="36"/>
  <c r="I512" i="36"/>
  <c r="I507" i="36"/>
  <c r="I484" i="36"/>
  <c r="EF386" i="90"/>
  <c r="EF379" i="90"/>
  <c r="EF371" i="90"/>
  <c r="EF242" i="90"/>
  <c r="EF238" i="90"/>
  <c r="EO317" i="90"/>
  <c r="I550" i="57" l="1"/>
  <c r="I505" i="57"/>
  <c r="DO319" i="90"/>
  <c r="DP319" i="90" s="1"/>
  <c r="DQ319" i="90" s="1"/>
  <c r="EI319" i="90" s="1"/>
  <c r="EF319" i="90"/>
  <c r="DO53" i="90"/>
  <c r="DP53" i="90" s="1"/>
  <c r="DQ53" i="90" s="1"/>
  <c r="DR53" i="90" s="1"/>
  <c r="EF53" i="90"/>
  <c r="DO320" i="90"/>
  <c r="DP320" i="90" s="1"/>
  <c r="EH320" i="90" s="1"/>
  <c r="EF320" i="90"/>
  <c r="DO327" i="90"/>
  <c r="DP327" i="90" s="1"/>
  <c r="DQ327" i="90" s="1"/>
  <c r="DR327" i="90" s="1"/>
  <c r="EF327" i="90"/>
  <c r="DO374" i="90"/>
  <c r="EG374" i="90" s="1"/>
  <c r="EF374" i="90"/>
  <c r="DO366" i="90"/>
  <c r="DP366" i="90" s="1"/>
  <c r="EF366" i="90"/>
  <c r="DO370" i="90"/>
  <c r="DP370" i="90" s="1"/>
  <c r="EF370" i="90"/>
  <c r="DO313" i="90"/>
  <c r="DP313" i="90" s="1"/>
  <c r="EF313" i="90"/>
  <c r="DO378" i="90"/>
  <c r="DP378" i="90" s="1"/>
  <c r="EF378" i="90"/>
  <c r="DO311" i="90"/>
  <c r="DP311" i="90" s="1"/>
  <c r="DQ311" i="90" s="1"/>
  <c r="DR311" i="90" s="1"/>
  <c r="EF311" i="90"/>
  <c r="DO333" i="90"/>
  <c r="EG333" i="90" s="1"/>
  <c r="EF333" i="90"/>
  <c r="DO47" i="90"/>
  <c r="DP47" i="90" s="1"/>
  <c r="EF47" i="90"/>
  <c r="DO328" i="90"/>
  <c r="DP328" i="90" s="1"/>
  <c r="DQ328" i="90" s="1"/>
  <c r="EF328" i="90"/>
  <c r="DO247" i="90"/>
  <c r="DP247" i="90" s="1"/>
  <c r="DQ247" i="90" s="1"/>
  <c r="EI247" i="90" s="1"/>
  <c r="EF247" i="90"/>
  <c r="DO329" i="90"/>
  <c r="DP329" i="90" s="1"/>
  <c r="EF329" i="90"/>
  <c r="DO46" i="90"/>
  <c r="DP46" i="90" s="1"/>
  <c r="EH46" i="90" s="1"/>
  <c r="EF46" i="90"/>
  <c r="DO312" i="90"/>
  <c r="DP312" i="90" s="1"/>
  <c r="EH312" i="90" s="1"/>
  <c r="EF312" i="90"/>
  <c r="DO337" i="90"/>
  <c r="EG337" i="90" s="1"/>
  <c r="EF337" i="90"/>
  <c r="EO244" i="90"/>
  <c r="EO237" i="90"/>
  <c r="EO382" i="90"/>
  <c r="EO49" i="90"/>
  <c r="EO335" i="90"/>
  <c r="EO388" i="90"/>
  <c r="EO396" i="90"/>
  <c r="EF390" i="90"/>
  <c r="EF330" i="90"/>
  <c r="EF63" i="90"/>
  <c r="EF243" i="90"/>
  <c r="EF331" i="90"/>
  <c r="EF322" i="90"/>
  <c r="EF309" i="90"/>
  <c r="EF314" i="90"/>
  <c r="I540" i="57"/>
  <c r="I498" i="57"/>
  <c r="I501" i="57"/>
  <c r="I543" i="57"/>
  <c r="I506" i="57"/>
  <c r="I551" i="57"/>
  <c r="I511" i="36"/>
  <c r="I488" i="36"/>
  <c r="I493" i="36"/>
  <c r="I516" i="36"/>
  <c r="EF248" i="90"/>
  <c r="EF335" i="90"/>
  <c r="EF323" i="90"/>
  <c r="EF380" i="90"/>
  <c r="EF241" i="90"/>
  <c r="EF368" i="90"/>
  <c r="EF245" i="90"/>
  <c r="EF382" i="90"/>
  <c r="EF316" i="90"/>
  <c r="EF324" i="90"/>
  <c r="EF365" i="90"/>
  <c r="EF381" i="90"/>
  <c r="EF389" i="90"/>
  <c r="DX335" i="90"/>
  <c r="EG319" i="90"/>
  <c r="EG328" i="90"/>
  <c r="EO368" i="90"/>
  <c r="EH319" i="90"/>
  <c r="EF339" i="90"/>
  <c r="EF395" i="90"/>
  <c r="EF310" i="90"/>
  <c r="EF49" i="90"/>
  <c r="EO380" i="90"/>
  <c r="EF50" i="90"/>
  <c r="EF318" i="90"/>
  <c r="EF326" i="90"/>
  <c r="EF334" i="90"/>
  <c r="EF367" i="90"/>
  <c r="EF375" i="90"/>
  <c r="EF383" i="90"/>
  <c r="EO46" i="90"/>
  <c r="EO50" i="90"/>
  <c r="EF239" i="90"/>
  <c r="EF315" i="90"/>
  <c r="EF372" i="90"/>
  <c r="EF388" i="90"/>
  <c r="DX327" i="90"/>
  <c r="EF52" i="90"/>
  <c r="EF237" i="90"/>
  <c r="EF48" i="90"/>
  <c r="EF246" i="90"/>
  <c r="EO243" i="90"/>
  <c r="EO241" i="90"/>
  <c r="EO248" i="90"/>
  <c r="DX311" i="90"/>
  <c r="EO242" i="90"/>
  <c r="EO331" i="90"/>
  <c r="EF240" i="90"/>
  <c r="EF373" i="90"/>
  <c r="EF62" i="90"/>
  <c r="DO371" i="90"/>
  <c r="DO379" i="90"/>
  <c r="EF387" i="90"/>
  <c r="EF394" i="90"/>
  <c r="EO62" i="90"/>
  <c r="EO245" i="90"/>
  <c r="EO315" i="90"/>
  <c r="DP374" i="90"/>
  <c r="EO53" i="90"/>
  <c r="EI53" i="90"/>
  <c r="DO242" i="90"/>
  <c r="DQ312" i="90"/>
  <c r="DR319" i="90"/>
  <c r="EF376" i="90"/>
  <c r="EF384" i="90"/>
  <c r="EF391" i="90"/>
  <c r="DX317" i="90"/>
  <c r="EP317" i="90" s="1"/>
  <c r="FD317" i="90" s="1"/>
  <c r="FE317" i="90"/>
  <c r="EO325" i="90"/>
  <c r="EO47" i="90"/>
  <c r="DX240" i="90"/>
  <c r="DX333" i="90"/>
  <c r="DO238" i="90"/>
  <c r="EG378" i="90"/>
  <c r="DO386" i="90"/>
  <c r="DX244" i="90"/>
  <c r="EO309" i="90"/>
  <c r="DX382" i="90"/>
  <c r="EO239" i="90"/>
  <c r="EO54" i="90"/>
  <c r="EO310" i="90"/>
  <c r="EO48" i="90"/>
  <c r="EO365" i="90"/>
  <c r="EO334" i="90"/>
  <c r="EO389" i="90"/>
  <c r="EO392" i="90"/>
  <c r="EO52" i="90"/>
  <c r="EO369" i="90"/>
  <c r="DX49" i="90"/>
  <c r="EO247" i="90"/>
  <c r="EO338" i="90"/>
  <c r="DX396" i="90"/>
  <c r="EO51" i="90"/>
  <c r="EO395" i="90"/>
  <c r="EO328" i="90"/>
  <c r="EO383" i="90"/>
  <c r="EO238" i="90"/>
  <c r="EO319" i="90"/>
  <c r="EO377" i="90"/>
  <c r="EO384" i="90"/>
  <c r="EO393" i="90"/>
  <c r="EO337" i="90"/>
  <c r="EO323" i="90"/>
  <c r="EO332" i="90"/>
  <c r="EO374" i="90"/>
  <c r="EO372" i="90"/>
  <c r="EO63" i="90"/>
  <c r="EO313" i="90"/>
  <c r="EO378" i="90"/>
  <c r="EO314" i="90"/>
  <c r="EO320" i="90"/>
  <c r="EO326" i="90"/>
  <c r="EO329" i="90"/>
  <c r="EO366" i="90"/>
  <c r="EO375" i="90"/>
  <c r="EO381" i="90"/>
  <c r="EO387" i="90"/>
  <c r="EO321" i="90"/>
  <c r="EO376" i="90"/>
  <c r="EO318" i="90"/>
  <c r="EO324" i="90"/>
  <c r="EO330" i="90"/>
  <c r="EO367" i="90"/>
  <c r="EO370" i="90"/>
  <c r="EO385" i="90"/>
  <c r="EO391" i="90"/>
  <c r="EO394" i="90"/>
  <c r="DX53" i="90"/>
  <c r="DX237" i="90"/>
  <c r="EO312" i="90"/>
  <c r="EO336" i="90"/>
  <c r="EO339" i="90"/>
  <c r="DX388" i="90"/>
  <c r="EO322" i="90"/>
  <c r="EO373" i="90"/>
  <c r="EO379" i="90"/>
  <c r="DP337" i="90" l="1"/>
  <c r="EI311" i="90"/>
  <c r="DR247" i="90"/>
  <c r="EH311" i="90"/>
  <c r="EG312" i="90"/>
  <c r="EH247" i="90"/>
  <c r="EG53" i="90"/>
  <c r="EG366" i="90"/>
  <c r="EH53" i="90"/>
  <c r="EG311" i="90"/>
  <c r="EG247" i="90"/>
  <c r="I559" i="57"/>
  <c r="DQ46" i="90"/>
  <c r="EI46" i="90" s="1"/>
  <c r="EG313" i="90"/>
  <c r="EG370" i="90"/>
  <c r="DP333" i="90"/>
  <c r="EH333" i="90" s="1"/>
  <c r="DO393" i="90"/>
  <c r="EG393" i="90" s="1"/>
  <c r="EF393" i="90"/>
  <c r="DO385" i="90"/>
  <c r="DP385" i="90" s="1"/>
  <c r="EF385" i="90"/>
  <c r="DO377" i="90"/>
  <c r="DP377" i="90" s="1"/>
  <c r="EH377" i="90" s="1"/>
  <c r="EF377" i="90"/>
  <c r="DO369" i="90"/>
  <c r="DP369" i="90" s="1"/>
  <c r="DQ369" i="90" s="1"/>
  <c r="EI369" i="90" s="1"/>
  <c r="EF369" i="90"/>
  <c r="DO54" i="90"/>
  <c r="DP54" i="90" s="1"/>
  <c r="DQ54" i="90" s="1"/>
  <c r="DR54" i="90" s="1"/>
  <c r="EF54" i="90"/>
  <c r="DO317" i="90"/>
  <c r="DP317" i="90" s="1"/>
  <c r="EH317" i="90" s="1"/>
  <c r="EF317" i="90"/>
  <c r="DO321" i="90"/>
  <c r="EG321" i="90" s="1"/>
  <c r="EF321" i="90"/>
  <c r="EG46" i="90"/>
  <c r="EG320" i="90"/>
  <c r="DO336" i="90"/>
  <c r="DP336" i="90" s="1"/>
  <c r="DQ336" i="90" s="1"/>
  <c r="EI336" i="90" s="1"/>
  <c r="EF336" i="90"/>
  <c r="DO338" i="90"/>
  <c r="EG338" i="90" s="1"/>
  <c r="EF338" i="90"/>
  <c r="DO325" i="90"/>
  <c r="DP325" i="90" s="1"/>
  <c r="DQ325" i="90" s="1"/>
  <c r="DR325" i="90" s="1"/>
  <c r="EF325" i="90"/>
  <c r="EG329" i="90"/>
  <c r="EG47" i="90"/>
  <c r="DQ320" i="90"/>
  <c r="DR320" i="90" s="1"/>
  <c r="EI327" i="90"/>
  <c r="DO392" i="90"/>
  <c r="DP392" i="90" s="1"/>
  <c r="EF392" i="90"/>
  <c r="DO396" i="90"/>
  <c r="DP396" i="90" s="1"/>
  <c r="EF396" i="90"/>
  <c r="DO51" i="90"/>
  <c r="DP51" i="90" s="1"/>
  <c r="DQ51" i="90" s="1"/>
  <c r="DR51" i="90" s="1"/>
  <c r="EF51" i="90"/>
  <c r="EH327" i="90"/>
  <c r="EG327" i="90"/>
  <c r="DO244" i="90"/>
  <c r="DP244" i="90" s="1"/>
  <c r="DQ244" i="90" s="1"/>
  <c r="DR244" i="90" s="1"/>
  <c r="DS244" i="90" s="1"/>
  <c r="EK244" i="90" s="1"/>
  <c r="EF244" i="90"/>
  <c r="EO316" i="90"/>
  <c r="FE316" i="90" s="1"/>
  <c r="EO386" i="90"/>
  <c r="FE386" i="90" s="1"/>
  <c r="EO327" i="90"/>
  <c r="FE327" i="90" s="1"/>
  <c r="EO390" i="90"/>
  <c r="FE390" i="90" s="1"/>
  <c r="EO311" i="90"/>
  <c r="FE311" i="90" s="1"/>
  <c r="EO371" i="90"/>
  <c r="FE371" i="90" s="1"/>
  <c r="DX246" i="90"/>
  <c r="EP246" i="90" s="1"/>
  <c r="FD246" i="90" s="1"/>
  <c r="EO246" i="90"/>
  <c r="EO333" i="90"/>
  <c r="FE333" i="90" s="1"/>
  <c r="EO240" i="90"/>
  <c r="FE240" i="90" s="1"/>
  <c r="EP237" i="90"/>
  <c r="FD237" i="90" s="1"/>
  <c r="EP49" i="90"/>
  <c r="FD49" i="90" s="1"/>
  <c r="EH328" i="90"/>
  <c r="FE370" i="90"/>
  <c r="FE369" i="90"/>
  <c r="FE381" i="90"/>
  <c r="FE329" i="90"/>
  <c r="FE395" i="90"/>
  <c r="FE53" i="90"/>
  <c r="FE48" i="90"/>
  <c r="EP335" i="90"/>
  <c r="FD335" i="90" s="1"/>
  <c r="FE321" i="90"/>
  <c r="FE328" i="90"/>
  <c r="FE339" i="90"/>
  <c r="FE385" i="90"/>
  <c r="FE368" i="90"/>
  <c r="FE47" i="90"/>
  <c r="FE322" i="90"/>
  <c r="EP396" i="90"/>
  <c r="FD396" i="90" s="1"/>
  <c r="FE373" i="90"/>
  <c r="FE52" i="90"/>
  <c r="EP311" i="90"/>
  <c r="FD311" i="90" s="1"/>
  <c r="FE50" i="90"/>
  <c r="FE374" i="90"/>
  <c r="EP382" i="90"/>
  <c r="FD382" i="90" s="1"/>
  <c r="EP333" i="90"/>
  <c r="FD333" i="90" s="1"/>
  <c r="FE313" i="90"/>
  <c r="FE54" i="90"/>
  <c r="FE394" i="90"/>
  <c r="FE324" i="90"/>
  <c r="FE336" i="90"/>
  <c r="FE238" i="90"/>
  <c r="FE51" i="90"/>
  <c r="EP53" i="90"/>
  <c r="FD53" i="90" s="1"/>
  <c r="FE366" i="90"/>
  <c r="FE375" i="90"/>
  <c r="FE393" i="90"/>
  <c r="FE391" i="90"/>
  <c r="FE338" i="90"/>
  <c r="FE315" i="90"/>
  <c r="FE318" i="90"/>
  <c r="FE63" i="90"/>
  <c r="EP388" i="90"/>
  <c r="FD388" i="90" s="1"/>
  <c r="FE376" i="90"/>
  <c r="FE239" i="90"/>
  <c r="FE326" i="90"/>
  <c r="FE319" i="90"/>
  <c r="FE334" i="90"/>
  <c r="FE388" i="90"/>
  <c r="FE310" i="90"/>
  <c r="EP327" i="90"/>
  <c r="FD327" i="90" s="1"/>
  <c r="FE243" i="90"/>
  <c r="FE377" i="90"/>
  <c r="FE320" i="90"/>
  <c r="FE244" i="90"/>
  <c r="FE312" i="90"/>
  <c r="FE367" i="90"/>
  <c r="FE314" i="90"/>
  <c r="FE323" i="90"/>
  <c r="FE383" i="90"/>
  <c r="FE382" i="90"/>
  <c r="FE46" i="90"/>
  <c r="FE396" i="90"/>
  <c r="FE49" i="90"/>
  <c r="FE392" i="90"/>
  <c r="FE384" i="90"/>
  <c r="FE389" i="90"/>
  <c r="FE372" i="90"/>
  <c r="FE331" i="90"/>
  <c r="FE332" i="90"/>
  <c r="FE247" i="90"/>
  <c r="FE379" i="90"/>
  <c r="FE330" i="90"/>
  <c r="FE387" i="90"/>
  <c r="FE378" i="90"/>
  <c r="FE337" i="90"/>
  <c r="FE365" i="90"/>
  <c r="FE245" i="90"/>
  <c r="FE241" i="90"/>
  <c r="FE335" i="90"/>
  <c r="FE237" i="90"/>
  <c r="DY317" i="90"/>
  <c r="EQ317" i="90" s="1"/>
  <c r="FC317" i="90" s="1"/>
  <c r="I560" i="57"/>
  <c r="I552" i="57"/>
  <c r="I507" i="57"/>
  <c r="I549" i="57"/>
  <c r="I504" i="57"/>
  <c r="I515" i="36"/>
  <c r="I492" i="36"/>
  <c r="I520" i="36"/>
  <c r="DX50" i="90"/>
  <c r="EP50" i="90" s="1"/>
  <c r="FD50" i="90" s="1"/>
  <c r="DX47" i="90"/>
  <c r="EP47" i="90" s="1"/>
  <c r="FD47" i="90" s="1"/>
  <c r="DX245" i="90"/>
  <c r="EP245" i="90" s="1"/>
  <c r="FD245" i="90" s="1"/>
  <c r="DY333" i="90"/>
  <c r="EQ333" i="90" s="1"/>
  <c r="FC333" i="90" s="1"/>
  <c r="DY335" i="90"/>
  <c r="EQ335" i="90" s="1"/>
  <c r="FC335" i="90" s="1"/>
  <c r="DX243" i="90"/>
  <c r="EP243" i="90" s="1"/>
  <c r="FD243" i="90" s="1"/>
  <c r="DX241" i="90"/>
  <c r="EP241" i="90" s="1"/>
  <c r="FD241" i="90" s="1"/>
  <c r="DX315" i="90"/>
  <c r="EP315" i="90" s="1"/>
  <c r="FD315" i="90" s="1"/>
  <c r="DX368" i="90"/>
  <c r="EP368" i="90" s="1"/>
  <c r="FD368" i="90" s="1"/>
  <c r="DX331" i="90"/>
  <c r="EP331" i="90" s="1"/>
  <c r="FD331" i="90" s="1"/>
  <c r="DQ329" i="90"/>
  <c r="EH329" i="90"/>
  <c r="DQ47" i="90"/>
  <c r="EH47" i="90"/>
  <c r="DS53" i="90"/>
  <c r="EJ53" i="90"/>
  <c r="DO394" i="90"/>
  <c r="DX46" i="90"/>
  <c r="EP46" i="90" s="1"/>
  <c r="FD46" i="90" s="1"/>
  <c r="DQ378" i="90"/>
  <c r="EH378" i="90"/>
  <c r="DX325" i="90"/>
  <c r="FE325" i="90"/>
  <c r="DO391" i="90"/>
  <c r="DO335" i="90"/>
  <c r="DO382" i="90"/>
  <c r="DS247" i="90"/>
  <c r="EJ247" i="90"/>
  <c r="DO387" i="90"/>
  <c r="DO330" i="90"/>
  <c r="DO62" i="90"/>
  <c r="DX242" i="90"/>
  <c r="FE242" i="90"/>
  <c r="DO237" i="90"/>
  <c r="DO239" i="90"/>
  <c r="DO49" i="90"/>
  <c r="DY382" i="90"/>
  <c r="EQ382" i="90" s="1"/>
  <c r="FC382" i="90" s="1"/>
  <c r="DX248" i="90"/>
  <c r="FE248" i="90"/>
  <c r="DO389" i="90"/>
  <c r="DO246" i="90"/>
  <c r="DO383" i="90"/>
  <c r="DO326" i="90"/>
  <c r="DO63" i="90"/>
  <c r="DO339" i="90"/>
  <c r="DP386" i="90"/>
  <c r="EG386" i="90"/>
  <c r="DR312" i="90"/>
  <c r="EI312" i="90"/>
  <c r="DP338" i="90"/>
  <c r="DY327" i="90"/>
  <c r="EQ327" i="90" s="1"/>
  <c r="FC327" i="90" s="1"/>
  <c r="DY311" i="90"/>
  <c r="EQ311" i="90" s="1"/>
  <c r="FC311" i="90" s="1"/>
  <c r="DY244" i="90"/>
  <c r="EP244" i="90"/>
  <c r="FD244" i="90" s="1"/>
  <c r="DQ370" i="90"/>
  <c r="EH370" i="90"/>
  <c r="DQ313" i="90"/>
  <c r="EH313" i="90"/>
  <c r="DP238" i="90"/>
  <c r="EG238" i="90"/>
  <c r="DO384" i="90"/>
  <c r="DS327" i="90"/>
  <c r="EJ327" i="90"/>
  <c r="DQ374" i="90"/>
  <c r="EH374" i="90"/>
  <c r="DP379" i="90"/>
  <c r="EG379" i="90"/>
  <c r="DO322" i="90"/>
  <c r="DO245" i="90"/>
  <c r="DO240" i="90"/>
  <c r="DO331" i="90"/>
  <c r="DO52" i="90"/>
  <c r="DO388" i="90"/>
  <c r="DX62" i="90"/>
  <c r="FE62" i="90"/>
  <c r="DO381" i="90"/>
  <c r="DO48" i="90"/>
  <c r="DO375" i="90"/>
  <c r="DO318" i="90"/>
  <c r="DO50" i="90"/>
  <c r="DO310" i="90"/>
  <c r="DO323" i="90"/>
  <c r="DO316" i="90"/>
  <c r="DO248" i="90"/>
  <c r="DQ337" i="90"/>
  <c r="EH337" i="90"/>
  <c r="DO376" i="90"/>
  <c r="DS319" i="90"/>
  <c r="EJ319" i="90"/>
  <c r="DP242" i="90"/>
  <c r="EG242" i="90"/>
  <c r="DQ366" i="90"/>
  <c r="EH366" i="90"/>
  <c r="DS311" i="90"/>
  <c r="EJ311" i="90"/>
  <c r="DP371" i="90"/>
  <c r="EG371" i="90"/>
  <c r="DO314" i="90"/>
  <c r="DO373" i="90"/>
  <c r="DO309" i="90"/>
  <c r="DO324" i="90"/>
  <c r="DO372" i="90"/>
  <c r="DX309" i="90"/>
  <c r="FE309" i="90"/>
  <c r="DO368" i="90"/>
  <c r="DO390" i="90"/>
  <c r="DO315" i="90"/>
  <c r="DO241" i="90"/>
  <c r="DO334" i="90"/>
  <c r="DO380" i="90"/>
  <c r="DY240" i="90"/>
  <c r="EP240" i="90"/>
  <c r="FD240" i="90" s="1"/>
  <c r="DR328" i="90"/>
  <c r="EI328" i="90"/>
  <c r="DO243" i="90"/>
  <c r="DO365" i="90"/>
  <c r="DO367" i="90"/>
  <c r="FE380" i="90"/>
  <c r="DX380" i="90"/>
  <c r="DO395" i="90"/>
  <c r="DX247" i="90"/>
  <c r="EP247" i="90" s="1"/>
  <c r="FD247" i="90" s="1"/>
  <c r="DX366" i="90"/>
  <c r="EP366" i="90" s="1"/>
  <c r="FD366" i="90" s="1"/>
  <c r="DX48" i="90"/>
  <c r="EP48" i="90" s="1"/>
  <c r="FD48" i="90" s="1"/>
  <c r="DX376" i="90"/>
  <c r="EP376" i="90" s="1"/>
  <c r="FD376" i="90" s="1"/>
  <c r="DX63" i="90"/>
  <c r="EP63" i="90" s="1"/>
  <c r="FD63" i="90" s="1"/>
  <c r="DX337" i="90"/>
  <c r="EP337" i="90" s="1"/>
  <c r="FD337" i="90" s="1"/>
  <c r="DX319" i="90"/>
  <c r="EP319" i="90" s="1"/>
  <c r="FD319" i="90" s="1"/>
  <c r="DX383" i="90"/>
  <c r="EP383" i="90" s="1"/>
  <c r="FD383" i="90" s="1"/>
  <c r="DX395" i="90"/>
  <c r="EP395" i="90" s="1"/>
  <c r="FD395" i="90" s="1"/>
  <c r="DX338" i="90"/>
  <c r="EP338" i="90" s="1"/>
  <c r="FD338" i="90" s="1"/>
  <c r="DX334" i="90"/>
  <c r="EP334" i="90" s="1"/>
  <c r="FD334" i="90" s="1"/>
  <c r="DX54" i="90"/>
  <c r="EP54" i="90" s="1"/>
  <c r="FD54" i="90" s="1"/>
  <c r="DX367" i="90"/>
  <c r="EP367" i="90" s="1"/>
  <c r="FD367" i="90" s="1"/>
  <c r="DX318" i="90"/>
  <c r="EP318" i="90" s="1"/>
  <c r="FD318" i="90" s="1"/>
  <c r="DX320" i="90"/>
  <c r="EP320" i="90" s="1"/>
  <c r="FD320" i="90" s="1"/>
  <c r="DX336" i="90"/>
  <c r="EP336" i="90" s="1"/>
  <c r="FD336" i="90" s="1"/>
  <c r="DX386" i="90"/>
  <c r="EP386" i="90" s="1"/>
  <c r="FD386" i="90" s="1"/>
  <c r="DX390" i="90"/>
  <c r="EP390" i="90" s="1"/>
  <c r="FD390" i="90" s="1"/>
  <c r="DX384" i="90"/>
  <c r="EP384" i="90" s="1"/>
  <c r="FD384" i="90" s="1"/>
  <c r="DX312" i="90"/>
  <c r="EP312" i="90" s="1"/>
  <c r="FD312" i="90" s="1"/>
  <c r="DY237" i="90"/>
  <c r="EQ237" i="90" s="1"/>
  <c r="FC237" i="90" s="1"/>
  <c r="DX385" i="90"/>
  <c r="EP385" i="90" s="1"/>
  <c r="FD385" i="90" s="1"/>
  <c r="DX330" i="90"/>
  <c r="EP330" i="90" s="1"/>
  <c r="FD330" i="90" s="1"/>
  <c r="DX387" i="90"/>
  <c r="EP387" i="90" s="1"/>
  <c r="FD387" i="90" s="1"/>
  <c r="DX329" i="90"/>
  <c r="EP329" i="90" s="1"/>
  <c r="FD329" i="90" s="1"/>
  <c r="DX314" i="90"/>
  <c r="EP314" i="90" s="1"/>
  <c r="FD314" i="90" s="1"/>
  <c r="DY49" i="90"/>
  <c r="EQ49" i="90" s="1"/>
  <c r="FC49" i="90" s="1"/>
  <c r="DX52" i="90"/>
  <c r="EP52" i="90" s="1"/>
  <c r="FD52" i="90" s="1"/>
  <c r="DX316" i="90"/>
  <c r="EP316" i="90" s="1"/>
  <c r="FD316" i="90" s="1"/>
  <c r="DX339" i="90"/>
  <c r="EP339" i="90" s="1"/>
  <c r="FD339" i="90" s="1"/>
  <c r="DX389" i="90"/>
  <c r="EP389" i="90" s="1"/>
  <c r="FD389" i="90" s="1"/>
  <c r="DX375" i="90"/>
  <c r="EP375" i="90" s="1"/>
  <c r="FD375" i="90" s="1"/>
  <c r="DX365" i="90"/>
  <c r="EP365" i="90" s="1"/>
  <c r="FD365" i="90" s="1"/>
  <c r="DX373" i="90"/>
  <c r="EP373" i="90" s="1"/>
  <c r="FD373" i="90" s="1"/>
  <c r="DX391" i="90"/>
  <c r="EP391" i="90" s="1"/>
  <c r="FD391" i="90" s="1"/>
  <c r="DX313" i="90"/>
  <c r="EP313" i="90" s="1"/>
  <c r="FD313" i="90" s="1"/>
  <c r="DX322" i="90"/>
  <c r="EP322" i="90" s="1"/>
  <c r="FD322" i="90" s="1"/>
  <c r="DY388" i="90"/>
  <c r="EQ388" i="90" s="1"/>
  <c r="FC388" i="90" s="1"/>
  <c r="DX374" i="90"/>
  <c r="EP374" i="90" s="1"/>
  <c r="FD374" i="90" s="1"/>
  <c r="DX328" i="90"/>
  <c r="EP328" i="90" s="1"/>
  <c r="FD328" i="90" s="1"/>
  <c r="DX392" i="90"/>
  <c r="EP392" i="90" s="1"/>
  <c r="FD392" i="90" s="1"/>
  <c r="DX379" i="90"/>
  <c r="EP379" i="90" s="1"/>
  <c r="FD379" i="90" s="1"/>
  <c r="DX372" i="90"/>
  <c r="EP372" i="90" s="1"/>
  <c r="FD372" i="90" s="1"/>
  <c r="DX332" i="90"/>
  <c r="EP332" i="90" s="1"/>
  <c r="FD332" i="90" s="1"/>
  <c r="DX377" i="90"/>
  <c r="EP377" i="90" s="1"/>
  <c r="FD377" i="90" s="1"/>
  <c r="DX238" i="90"/>
  <c r="EP238" i="90" s="1"/>
  <c r="FD238" i="90" s="1"/>
  <c r="DX394" i="90"/>
  <c r="EP394" i="90" s="1"/>
  <c r="FD394" i="90" s="1"/>
  <c r="DX371" i="90"/>
  <c r="EP371" i="90" s="1"/>
  <c r="FD371" i="90" s="1"/>
  <c r="DX323" i="90"/>
  <c r="EP323" i="90" s="1"/>
  <c r="FD323" i="90" s="1"/>
  <c r="DY396" i="90"/>
  <c r="EQ396" i="90" s="1"/>
  <c r="FC396" i="90" s="1"/>
  <c r="DX310" i="90"/>
  <c r="EP310" i="90" s="1"/>
  <c r="FD310" i="90" s="1"/>
  <c r="DX393" i="90"/>
  <c r="EP393" i="90" s="1"/>
  <c r="FD393" i="90" s="1"/>
  <c r="DY53" i="90"/>
  <c r="EQ53" i="90" s="1"/>
  <c r="FC53" i="90" s="1"/>
  <c r="DX370" i="90"/>
  <c r="EP370" i="90" s="1"/>
  <c r="FD370" i="90" s="1"/>
  <c r="DX324" i="90"/>
  <c r="EP324" i="90" s="1"/>
  <c r="FD324" i="90" s="1"/>
  <c r="DX321" i="90"/>
  <c r="EP321" i="90" s="1"/>
  <c r="FD321" i="90" s="1"/>
  <c r="DX381" i="90"/>
  <c r="EP381" i="90" s="1"/>
  <c r="FD381" i="90" s="1"/>
  <c r="DX326" i="90"/>
  <c r="EP326" i="90" s="1"/>
  <c r="FD326" i="90" s="1"/>
  <c r="DX378" i="90"/>
  <c r="EP378" i="90" s="1"/>
  <c r="FD378" i="90" s="1"/>
  <c r="DX51" i="90"/>
  <c r="EP51" i="90" s="1"/>
  <c r="FD51" i="90" s="1"/>
  <c r="DX369" i="90"/>
  <c r="EP369" i="90" s="1"/>
  <c r="FD369" i="90" s="1"/>
  <c r="DX239" i="90"/>
  <c r="EP239" i="90" s="1"/>
  <c r="FD239" i="90" s="1"/>
  <c r="DR46" i="90" l="1"/>
  <c r="EG377" i="90"/>
  <c r="EG336" i="90"/>
  <c r="DR336" i="90"/>
  <c r="DS336" i="90" s="1"/>
  <c r="EH336" i="90"/>
  <c r="EG392" i="90"/>
  <c r="EG317" i="90"/>
  <c r="DQ317" i="90"/>
  <c r="EI317" i="90" s="1"/>
  <c r="DQ377" i="90"/>
  <c r="EI377" i="90" s="1"/>
  <c r="DQ333" i="90"/>
  <c r="DR333" i="90" s="1"/>
  <c r="EG396" i="90"/>
  <c r="DT244" i="90"/>
  <c r="EL244" i="90" s="1"/>
  <c r="EG325" i="90"/>
  <c r="EI244" i="90"/>
  <c r="DR369" i="90"/>
  <c r="EJ369" i="90" s="1"/>
  <c r="EG244" i="90"/>
  <c r="EH244" i="90"/>
  <c r="EJ244" i="90"/>
  <c r="EH369" i="90"/>
  <c r="DP321" i="90"/>
  <c r="DQ321" i="90" s="1"/>
  <c r="DR321" i="90" s="1"/>
  <c r="EI325" i="90"/>
  <c r="EG369" i="90"/>
  <c r="EH325" i="90"/>
  <c r="DP393" i="90"/>
  <c r="EH393" i="90" s="1"/>
  <c r="EI51" i="90"/>
  <c r="EI320" i="90"/>
  <c r="EG54" i="90"/>
  <c r="EG51" i="90"/>
  <c r="EH54" i="90"/>
  <c r="EG385" i="90"/>
  <c r="EI54" i="90"/>
  <c r="DO332" i="90"/>
  <c r="DP332" i="90" s="1"/>
  <c r="EF332" i="90"/>
  <c r="EH51" i="90"/>
  <c r="DY246" i="90"/>
  <c r="EQ246" i="90" s="1"/>
  <c r="FC246" i="90" s="1"/>
  <c r="FE246" i="90"/>
  <c r="DZ317" i="90"/>
  <c r="ER317" i="90" s="1"/>
  <c r="FB317" i="90" s="1"/>
  <c r="DY46" i="90"/>
  <c r="EQ46" i="90" s="1"/>
  <c r="FC46" i="90" s="1"/>
  <c r="DY245" i="90"/>
  <c r="EQ245" i="90" s="1"/>
  <c r="FC245" i="90" s="1"/>
  <c r="DY47" i="90"/>
  <c r="EQ47" i="90" s="1"/>
  <c r="FC47" i="90" s="1"/>
  <c r="I558" i="57"/>
  <c r="I561" i="57"/>
  <c r="I519" i="36"/>
  <c r="DZ333" i="90"/>
  <c r="ER333" i="90" s="1"/>
  <c r="FB333" i="90" s="1"/>
  <c r="DY50" i="90"/>
  <c r="EQ50" i="90" s="1"/>
  <c r="FC50" i="90" s="1"/>
  <c r="DY331" i="90"/>
  <c r="EQ331" i="90" s="1"/>
  <c r="FC331" i="90" s="1"/>
  <c r="DZ335" i="90"/>
  <c r="ER335" i="90" s="1"/>
  <c r="FB335" i="90" s="1"/>
  <c r="DZ311" i="90"/>
  <c r="ER311" i="90" s="1"/>
  <c r="FB311" i="90" s="1"/>
  <c r="DY315" i="90"/>
  <c r="EQ315" i="90" s="1"/>
  <c r="FC315" i="90" s="1"/>
  <c r="DY241" i="90"/>
  <c r="EQ241" i="90" s="1"/>
  <c r="FC241" i="90" s="1"/>
  <c r="DY368" i="90"/>
  <c r="EQ368" i="90" s="1"/>
  <c r="FC368" i="90" s="1"/>
  <c r="DY243" i="90"/>
  <c r="EQ243" i="90" s="1"/>
  <c r="FC243" i="90" s="1"/>
  <c r="DZ327" i="90"/>
  <c r="ER327" i="90" s="1"/>
  <c r="FB327" i="90" s="1"/>
  <c r="DZ382" i="90"/>
  <c r="ER382" i="90" s="1"/>
  <c r="FB382" i="90" s="1"/>
  <c r="DP380" i="90"/>
  <c r="EG380" i="90"/>
  <c r="EP309" i="90"/>
  <c r="FD309" i="90" s="1"/>
  <c r="DY309" i="90"/>
  <c r="DP373" i="90"/>
  <c r="EG373" i="90"/>
  <c r="DT311" i="90"/>
  <c r="EK311" i="90"/>
  <c r="DP376" i="90"/>
  <c r="EG376" i="90"/>
  <c r="DS320" i="90"/>
  <c r="EJ320" i="90"/>
  <c r="DP318" i="90"/>
  <c r="EG318" i="90"/>
  <c r="EP62" i="90"/>
  <c r="FD62" i="90" s="1"/>
  <c r="DY62" i="90"/>
  <c r="DP49" i="90"/>
  <c r="EG49" i="90"/>
  <c r="DP387" i="90"/>
  <c r="EG387" i="90"/>
  <c r="DT53" i="90"/>
  <c r="EK53" i="90"/>
  <c r="DS328" i="90"/>
  <c r="EJ328" i="90"/>
  <c r="DP334" i="90"/>
  <c r="EG334" i="90"/>
  <c r="DP372" i="90"/>
  <c r="EG372" i="90"/>
  <c r="DP314" i="90"/>
  <c r="EG314" i="90"/>
  <c r="DR366" i="90"/>
  <c r="EI366" i="90"/>
  <c r="DP323" i="90"/>
  <c r="EG323" i="90"/>
  <c r="DP375" i="90"/>
  <c r="EG375" i="90"/>
  <c r="DP239" i="90"/>
  <c r="EG239" i="90"/>
  <c r="DP62" i="90"/>
  <c r="EG62" i="90"/>
  <c r="DT247" i="90"/>
  <c r="EK247" i="90"/>
  <c r="DP335" i="90"/>
  <c r="EG335" i="90"/>
  <c r="DP243" i="90"/>
  <c r="EG243" i="90"/>
  <c r="DP315" i="90"/>
  <c r="EG315" i="90"/>
  <c r="DP52" i="90"/>
  <c r="EG52" i="90"/>
  <c r="DP245" i="90"/>
  <c r="EG245" i="90"/>
  <c r="DP384" i="90"/>
  <c r="EG384" i="90"/>
  <c r="EQ244" i="90"/>
  <c r="FC244" i="90" s="1"/>
  <c r="DZ244" i="90"/>
  <c r="DS46" i="90"/>
  <c r="EJ46" i="90"/>
  <c r="DQ386" i="90"/>
  <c r="EH386" i="90"/>
  <c r="DP383" i="90"/>
  <c r="EG383" i="90"/>
  <c r="DP367" i="90"/>
  <c r="EG367" i="90"/>
  <c r="DQ385" i="90"/>
  <c r="EH385" i="90"/>
  <c r="DP241" i="90"/>
  <c r="EG241" i="90"/>
  <c r="DP390" i="90"/>
  <c r="EG390" i="90"/>
  <c r="DP324" i="90"/>
  <c r="EG324" i="90"/>
  <c r="DQ371" i="90"/>
  <c r="EH371" i="90"/>
  <c r="DQ242" i="90"/>
  <c r="EH242" i="90"/>
  <c r="DP248" i="90"/>
  <c r="EG248" i="90"/>
  <c r="DP310" i="90"/>
  <c r="EG310" i="90"/>
  <c r="DP48" i="90"/>
  <c r="EG48" i="90"/>
  <c r="DP237" i="90"/>
  <c r="EG237" i="90"/>
  <c r="DS325" i="90"/>
  <c r="EJ325" i="90"/>
  <c r="DP391" i="90"/>
  <c r="EG391" i="90"/>
  <c r="DR378" i="90"/>
  <c r="EI378" i="90"/>
  <c r="DP394" i="90"/>
  <c r="EG394" i="90"/>
  <c r="DR47" i="90"/>
  <c r="EI47" i="90"/>
  <c r="DQ396" i="90"/>
  <c r="EH396" i="90"/>
  <c r="DT327" i="90"/>
  <c r="EK327" i="90"/>
  <c r="DQ338" i="90"/>
  <c r="EH338" i="90"/>
  <c r="DP326" i="90"/>
  <c r="EG326" i="90"/>
  <c r="DY248" i="90"/>
  <c r="EP248" i="90"/>
  <c r="FD248" i="90" s="1"/>
  <c r="DP331" i="90"/>
  <c r="EG331" i="90"/>
  <c r="DP322" i="90"/>
  <c r="EG322" i="90"/>
  <c r="DR374" i="90"/>
  <c r="EI374" i="90"/>
  <c r="DQ238" i="90"/>
  <c r="EH238" i="90"/>
  <c r="DP339" i="90"/>
  <c r="EG339" i="90"/>
  <c r="DP246" i="90"/>
  <c r="EG246" i="90"/>
  <c r="EP380" i="90"/>
  <c r="FD380" i="90" s="1"/>
  <c r="DY380" i="90"/>
  <c r="DP240" i="90"/>
  <c r="EG240" i="90"/>
  <c r="DQ379" i="90"/>
  <c r="EH379" i="90"/>
  <c r="DR313" i="90"/>
  <c r="EI313" i="90"/>
  <c r="DS312" i="90"/>
  <c r="EJ312" i="90"/>
  <c r="DP63" i="90"/>
  <c r="EG63" i="90"/>
  <c r="DP389" i="90"/>
  <c r="EG389" i="90"/>
  <c r="DS54" i="90"/>
  <c r="EJ54" i="90"/>
  <c r="DP388" i="90"/>
  <c r="EG388" i="90"/>
  <c r="DR370" i="90"/>
  <c r="EI370" i="90"/>
  <c r="DP395" i="90"/>
  <c r="EG395" i="90"/>
  <c r="DP365" i="90"/>
  <c r="EG365" i="90"/>
  <c r="EQ240" i="90"/>
  <c r="FC240" i="90" s="1"/>
  <c r="DZ240" i="90"/>
  <c r="DP368" i="90"/>
  <c r="EG368" i="90"/>
  <c r="DP309" i="90"/>
  <c r="EG309" i="90"/>
  <c r="DS51" i="90"/>
  <c r="EJ51" i="90"/>
  <c r="DT319" i="90"/>
  <c r="EK319" i="90"/>
  <c r="DR337" i="90"/>
  <c r="EI337" i="90"/>
  <c r="DP316" i="90"/>
  <c r="EG316" i="90"/>
  <c r="DP50" i="90"/>
  <c r="EG50" i="90"/>
  <c r="DP381" i="90"/>
  <c r="EG381" i="90"/>
  <c r="DQ392" i="90"/>
  <c r="EH392" i="90"/>
  <c r="DY242" i="90"/>
  <c r="EP242" i="90"/>
  <c r="FD242" i="90" s="1"/>
  <c r="DP330" i="90"/>
  <c r="EG330" i="90"/>
  <c r="DP382" i="90"/>
  <c r="EG382" i="90"/>
  <c r="EP325" i="90"/>
  <c r="FD325" i="90" s="1"/>
  <c r="DY325" i="90"/>
  <c r="DR329" i="90"/>
  <c r="EI329" i="90"/>
  <c r="DY392" i="90"/>
  <c r="EQ392" i="90" s="1"/>
  <c r="FC392" i="90" s="1"/>
  <c r="DY321" i="90"/>
  <c r="EQ321" i="90" s="1"/>
  <c r="FC321" i="90" s="1"/>
  <c r="DZ237" i="90"/>
  <c r="ER237" i="90" s="1"/>
  <c r="FB237" i="90" s="1"/>
  <c r="DY318" i="90"/>
  <c r="EQ318" i="90" s="1"/>
  <c r="FC318" i="90" s="1"/>
  <c r="DY334" i="90"/>
  <c r="EQ334" i="90" s="1"/>
  <c r="FC334" i="90" s="1"/>
  <c r="DY366" i="90"/>
  <c r="EQ366" i="90" s="1"/>
  <c r="FC366" i="90" s="1"/>
  <c r="DY328" i="90"/>
  <c r="EQ328" i="90" s="1"/>
  <c r="FC328" i="90" s="1"/>
  <c r="DY314" i="90"/>
  <c r="EQ314" i="90" s="1"/>
  <c r="FC314" i="90" s="1"/>
  <c r="DY312" i="90"/>
  <c r="EQ312" i="90" s="1"/>
  <c r="FC312" i="90" s="1"/>
  <c r="DY367" i="90"/>
  <c r="EQ367" i="90" s="1"/>
  <c r="FC367" i="90" s="1"/>
  <c r="DY337" i="90"/>
  <c r="EQ337" i="90" s="1"/>
  <c r="FC337" i="90" s="1"/>
  <c r="DY48" i="90"/>
  <c r="EQ48" i="90" s="1"/>
  <c r="FC48" i="90" s="1"/>
  <c r="DZ49" i="90"/>
  <c r="ER49" i="90" s="1"/>
  <c r="FB49" i="90" s="1"/>
  <c r="DY239" i="90"/>
  <c r="EQ239" i="90" s="1"/>
  <c r="FC239" i="90" s="1"/>
  <c r="DY51" i="90"/>
  <c r="EQ51" i="90" s="1"/>
  <c r="FC51" i="90" s="1"/>
  <c r="DY381" i="90"/>
  <c r="EQ381" i="90" s="1"/>
  <c r="FC381" i="90" s="1"/>
  <c r="DY324" i="90"/>
  <c r="EQ324" i="90" s="1"/>
  <c r="FC324" i="90" s="1"/>
  <c r="DZ396" i="90"/>
  <c r="ER396" i="90" s="1"/>
  <c r="FB396" i="90" s="1"/>
  <c r="DY394" i="90"/>
  <c r="EQ394" i="90" s="1"/>
  <c r="FC394" i="90" s="1"/>
  <c r="DY377" i="90"/>
  <c r="EQ377" i="90" s="1"/>
  <c r="FC377" i="90" s="1"/>
  <c r="DY322" i="90"/>
  <c r="EQ322" i="90" s="1"/>
  <c r="FC322" i="90" s="1"/>
  <c r="DY373" i="90"/>
  <c r="EQ373" i="90" s="1"/>
  <c r="FC373" i="90" s="1"/>
  <c r="DY389" i="90"/>
  <c r="EQ389" i="90" s="1"/>
  <c r="FC389" i="90" s="1"/>
  <c r="DY329" i="90"/>
  <c r="EQ329" i="90" s="1"/>
  <c r="FC329" i="90" s="1"/>
  <c r="DY330" i="90"/>
  <c r="EQ330" i="90" s="1"/>
  <c r="FC330" i="90" s="1"/>
  <c r="DY320" i="90"/>
  <c r="EQ320" i="90" s="1"/>
  <c r="FC320" i="90" s="1"/>
  <c r="DY54" i="90"/>
  <c r="EQ54" i="90" s="1"/>
  <c r="FC54" i="90" s="1"/>
  <c r="DY395" i="90"/>
  <c r="EQ395" i="90" s="1"/>
  <c r="FC395" i="90" s="1"/>
  <c r="DY63" i="90"/>
  <c r="EQ63" i="90" s="1"/>
  <c r="FC63" i="90" s="1"/>
  <c r="DY372" i="90"/>
  <c r="EQ372" i="90" s="1"/>
  <c r="FC372" i="90" s="1"/>
  <c r="DY319" i="90"/>
  <c r="EQ319" i="90" s="1"/>
  <c r="FC319" i="90" s="1"/>
  <c r="DY369" i="90"/>
  <c r="EQ369" i="90" s="1"/>
  <c r="FC369" i="90" s="1"/>
  <c r="DZ53" i="90"/>
  <c r="ER53" i="90" s="1"/>
  <c r="FB53" i="90" s="1"/>
  <c r="DY313" i="90"/>
  <c r="EQ313" i="90" s="1"/>
  <c r="FC313" i="90" s="1"/>
  <c r="DY316" i="90"/>
  <c r="EQ316" i="90" s="1"/>
  <c r="FC316" i="90" s="1"/>
  <c r="DY326" i="90"/>
  <c r="EQ326" i="90" s="1"/>
  <c r="FC326" i="90" s="1"/>
  <c r="DY310" i="90"/>
  <c r="EQ310" i="90" s="1"/>
  <c r="FC310" i="90" s="1"/>
  <c r="DY238" i="90"/>
  <c r="EQ238" i="90" s="1"/>
  <c r="FC238" i="90" s="1"/>
  <c r="DY379" i="90"/>
  <c r="EQ379" i="90" s="1"/>
  <c r="FC379" i="90" s="1"/>
  <c r="DZ388" i="90"/>
  <c r="ER388" i="90" s="1"/>
  <c r="FB388" i="90" s="1"/>
  <c r="DY52" i="90"/>
  <c r="EQ52" i="90" s="1"/>
  <c r="FC52" i="90" s="1"/>
  <c r="DY390" i="90"/>
  <c r="EQ390" i="90" s="1"/>
  <c r="FC390" i="90" s="1"/>
  <c r="DY336" i="90"/>
  <c r="EQ336" i="90" s="1"/>
  <c r="FC336" i="90" s="1"/>
  <c r="DY338" i="90"/>
  <c r="EQ338" i="90" s="1"/>
  <c r="FC338" i="90" s="1"/>
  <c r="DY323" i="90"/>
  <c r="EQ323" i="90" s="1"/>
  <c r="FC323" i="90" s="1"/>
  <c r="DY339" i="90"/>
  <c r="EQ339" i="90" s="1"/>
  <c r="FC339" i="90" s="1"/>
  <c r="DY384" i="90"/>
  <c r="EQ384" i="90" s="1"/>
  <c r="FC384" i="90" s="1"/>
  <c r="DY376" i="90"/>
  <c r="EQ376" i="90" s="1"/>
  <c r="FC376" i="90" s="1"/>
  <c r="DY378" i="90"/>
  <c r="EQ378" i="90" s="1"/>
  <c r="FC378" i="90" s="1"/>
  <c r="DY371" i="90"/>
  <c r="EQ371" i="90" s="1"/>
  <c r="FC371" i="90" s="1"/>
  <c r="DY374" i="90"/>
  <c r="EQ374" i="90" s="1"/>
  <c r="FC374" i="90" s="1"/>
  <c r="DY375" i="90"/>
  <c r="EQ375" i="90" s="1"/>
  <c r="FC375" i="90" s="1"/>
  <c r="DY370" i="90"/>
  <c r="EQ370" i="90" s="1"/>
  <c r="FC370" i="90" s="1"/>
  <c r="DY393" i="90"/>
  <c r="EQ393" i="90" s="1"/>
  <c r="FC393" i="90" s="1"/>
  <c r="DY332" i="90"/>
  <c r="EQ332" i="90" s="1"/>
  <c r="FC332" i="90" s="1"/>
  <c r="DY391" i="90"/>
  <c r="EQ391" i="90" s="1"/>
  <c r="FC391" i="90" s="1"/>
  <c r="DY365" i="90"/>
  <c r="EQ365" i="90" s="1"/>
  <c r="FC365" i="90" s="1"/>
  <c r="DY387" i="90"/>
  <c r="EQ387" i="90" s="1"/>
  <c r="FC387" i="90" s="1"/>
  <c r="DY385" i="90"/>
  <c r="EQ385" i="90" s="1"/>
  <c r="FC385" i="90" s="1"/>
  <c r="DY386" i="90"/>
  <c r="EQ386" i="90" s="1"/>
  <c r="FC386" i="90" s="1"/>
  <c r="DY383" i="90"/>
  <c r="EQ383" i="90" s="1"/>
  <c r="FC383" i="90" s="1"/>
  <c r="DY247" i="90"/>
  <c r="EQ247" i="90" s="1"/>
  <c r="FC247" i="90" s="1"/>
  <c r="EJ336" i="90" l="1"/>
  <c r="DR317" i="90"/>
  <c r="EJ317" i="90" s="1"/>
  <c r="EI333" i="90"/>
  <c r="DR377" i="90"/>
  <c r="DU244" i="90"/>
  <c r="EM244" i="90" s="1"/>
  <c r="EH321" i="90"/>
  <c r="DS369" i="90"/>
  <c r="DT369" i="90" s="1"/>
  <c r="EG332" i="90"/>
  <c r="EI321" i="90"/>
  <c r="DQ393" i="90"/>
  <c r="DR393" i="90" s="1"/>
  <c r="DZ246" i="90"/>
  <c r="ER246" i="90" s="1"/>
  <c r="FB246" i="90" s="1"/>
  <c r="DZ315" i="90"/>
  <c r="ER315" i="90" s="1"/>
  <c r="FB315" i="90" s="1"/>
  <c r="EA317" i="90"/>
  <c r="ES317" i="90" s="1"/>
  <c r="FA317" i="90" s="1"/>
  <c r="DZ241" i="90"/>
  <c r="ER241" i="90" s="1"/>
  <c r="FB241" i="90" s="1"/>
  <c r="DZ46" i="90"/>
  <c r="ER46" i="90" s="1"/>
  <c r="FB46" i="90" s="1"/>
  <c r="EA311" i="90"/>
  <c r="ES311" i="90" s="1"/>
  <c r="FA311" i="90" s="1"/>
  <c r="DZ331" i="90"/>
  <c r="ER331" i="90" s="1"/>
  <c r="FB331" i="90" s="1"/>
  <c r="DZ245" i="90"/>
  <c r="ER245" i="90" s="1"/>
  <c r="FB245" i="90" s="1"/>
  <c r="DZ47" i="90"/>
  <c r="ER47" i="90" s="1"/>
  <c r="FB47" i="90" s="1"/>
  <c r="EA333" i="90"/>
  <c r="ES333" i="90" s="1"/>
  <c r="FA333" i="90" s="1"/>
  <c r="DZ50" i="90"/>
  <c r="ER50" i="90" s="1"/>
  <c r="FB50" i="90" s="1"/>
  <c r="EA335" i="90"/>
  <c r="ES335" i="90" s="1"/>
  <c r="FA335" i="90" s="1"/>
  <c r="EA327" i="90"/>
  <c r="ES327" i="90" s="1"/>
  <c r="FA327" i="90" s="1"/>
  <c r="DZ243" i="90"/>
  <c r="ER243" i="90" s="1"/>
  <c r="FB243" i="90" s="1"/>
  <c r="DZ368" i="90"/>
  <c r="ER368" i="90" s="1"/>
  <c r="FB368" i="90" s="1"/>
  <c r="EA382" i="90"/>
  <c r="ES382" i="90" s="1"/>
  <c r="FA382" i="90" s="1"/>
  <c r="ER240" i="90"/>
  <c r="FB240" i="90" s="1"/>
  <c r="EA240" i="90"/>
  <c r="DU311" i="90"/>
  <c r="EM311" i="90" s="1"/>
  <c r="EL311" i="90"/>
  <c r="DS329" i="90"/>
  <c r="EJ329" i="90"/>
  <c r="DQ330" i="90"/>
  <c r="EH330" i="90"/>
  <c r="DQ50" i="90"/>
  <c r="EH50" i="90"/>
  <c r="DT51" i="90"/>
  <c r="EK51" i="90"/>
  <c r="DQ388" i="90"/>
  <c r="EH388" i="90"/>
  <c r="DT312" i="90"/>
  <c r="EK312" i="90"/>
  <c r="DR379" i="90"/>
  <c r="EI379" i="90"/>
  <c r="DQ246" i="90"/>
  <c r="EH246" i="90"/>
  <c r="DS374" i="90"/>
  <c r="EJ374" i="90"/>
  <c r="EQ248" i="90"/>
  <c r="FC248" i="90" s="1"/>
  <c r="DZ248" i="90"/>
  <c r="DU327" i="90"/>
  <c r="EM327" i="90" s="1"/>
  <c r="EL327" i="90"/>
  <c r="DQ394" i="90"/>
  <c r="EH394" i="90"/>
  <c r="DQ310" i="90"/>
  <c r="EH310" i="90"/>
  <c r="DR371" i="90"/>
  <c r="EI371" i="90"/>
  <c r="DR385" i="90"/>
  <c r="EI385" i="90"/>
  <c r="DQ383" i="90"/>
  <c r="EH383" i="90"/>
  <c r="DQ384" i="90"/>
  <c r="EH384" i="90"/>
  <c r="DS321" i="90"/>
  <c r="EJ321" i="90"/>
  <c r="DQ239" i="90"/>
  <c r="EH239" i="90"/>
  <c r="DQ372" i="90"/>
  <c r="EH372" i="90"/>
  <c r="DQ387" i="90"/>
  <c r="EH387" i="90"/>
  <c r="DQ318" i="90"/>
  <c r="EH318" i="90"/>
  <c r="DQ373" i="90"/>
  <c r="EH373" i="90"/>
  <c r="DQ381" i="90"/>
  <c r="EH381" i="90"/>
  <c r="DU319" i="90"/>
  <c r="EM319" i="90" s="1"/>
  <c r="EL319" i="90"/>
  <c r="DS370" i="90"/>
  <c r="EJ370" i="90"/>
  <c r="DQ63" i="90"/>
  <c r="EH63" i="90"/>
  <c r="DR238" i="90"/>
  <c r="EI238" i="90"/>
  <c r="DR338" i="90"/>
  <c r="EI338" i="90"/>
  <c r="DS47" i="90"/>
  <c r="EJ47" i="90"/>
  <c r="DT325" i="90"/>
  <c r="EK325" i="90"/>
  <c r="DQ48" i="90"/>
  <c r="EH48" i="90"/>
  <c r="DR242" i="90"/>
  <c r="EI242" i="90"/>
  <c r="EH241" i="90"/>
  <c r="DQ241" i="90"/>
  <c r="DQ52" i="90"/>
  <c r="EH52" i="90"/>
  <c r="DQ62" i="90"/>
  <c r="EH62" i="90"/>
  <c r="DQ323" i="90"/>
  <c r="EH323" i="90"/>
  <c r="DQ314" i="90"/>
  <c r="EH314" i="90"/>
  <c r="DT328" i="90"/>
  <c r="EK328" i="90"/>
  <c r="EQ62" i="90"/>
  <c r="FC62" i="90" s="1"/>
  <c r="DZ62" i="90"/>
  <c r="EQ325" i="90"/>
  <c r="FC325" i="90" s="1"/>
  <c r="DZ325" i="90"/>
  <c r="EQ380" i="90"/>
  <c r="FC380" i="90" s="1"/>
  <c r="DZ380" i="90"/>
  <c r="DU53" i="90"/>
  <c r="EM53" i="90" s="1"/>
  <c r="EL53" i="90"/>
  <c r="DT320" i="90"/>
  <c r="EK320" i="90"/>
  <c r="EQ242" i="90"/>
  <c r="FC242" i="90" s="1"/>
  <c r="DZ242" i="90"/>
  <c r="DQ316" i="90"/>
  <c r="EH316" i="90"/>
  <c r="DQ309" i="90"/>
  <c r="EH309" i="90"/>
  <c r="DQ365" i="90"/>
  <c r="EH365" i="90"/>
  <c r="DT54" i="90"/>
  <c r="EK54" i="90"/>
  <c r="DQ332" i="90"/>
  <c r="EH332" i="90"/>
  <c r="DQ240" i="90"/>
  <c r="EH240" i="90"/>
  <c r="DQ339" i="90"/>
  <c r="EH339" i="90"/>
  <c r="DQ322" i="90"/>
  <c r="EH322" i="90"/>
  <c r="DQ326" i="90"/>
  <c r="EH326" i="90"/>
  <c r="DS378" i="90"/>
  <c r="EJ378" i="90"/>
  <c r="EH237" i="90"/>
  <c r="DQ237" i="90"/>
  <c r="DQ248" i="90"/>
  <c r="EH248" i="90"/>
  <c r="DQ324" i="90"/>
  <c r="EH324" i="90"/>
  <c r="DQ367" i="90"/>
  <c r="EH367" i="90"/>
  <c r="DR386" i="90"/>
  <c r="EI386" i="90"/>
  <c r="DQ315" i="90"/>
  <c r="EH315" i="90"/>
  <c r="DQ335" i="90"/>
  <c r="EH335" i="90"/>
  <c r="EQ309" i="90"/>
  <c r="FC309" i="90" s="1"/>
  <c r="DZ309" i="90"/>
  <c r="DR392" i="90"/>
  <c r="EI392" i="90"/>
  <c r="DS337" i="90"/>
  <c r="EJ337" i="90"/>
  <c r="DQ368" i="90"/>
  <c r="EH368" i="90"/>
  <c r="DQ395" i="90"/>
  <c r="EH395" i="90"/>
  <c r="DQ389" i="90"/>
  <c r="EH389" i="90"/>
  <c r="DS313" i="90"/>
  <c r="EJ313" i="90"/>
  <c r="DS333" i="90"/>
  <c r="EJ333" i="90"/>
  <c r="DQ331" i="90"/>
  <c r="EH331" i="90"/>
  <c r="DR396" i="90"/>
  <c r="EI396" i="90"/>
  <c r="DQ391" i="90"/>
  <c r="EH391" i="90"/>
  <c r="DT336" i="90"/>
  <c r="EK336" i="90"/>
  <c r="DQ390" i="90"/>
  <c r="EH390" i="90"/>
  <c r="DT46" i="90"/>
  <c r="EK46" i="90"/>
  <c r="DQ245" i="90"/>
  <c r="EH245" i="90"/>
  <c r="DQ243" i="90"/>
  <c r="EH243" i="90"/>
  <c r="DU247" i="90"/>
  <c r="EM247" i="90" s="1"/>
  <c r="EL247" i="90"/>
  <c r="DQ375" i="90"/>
  <c r="EH375" i="90"/>
  <c r="DS366" i="90"/>
  <c r="EJ366" i="90"/>
  <c r="DQ334" i="90"/>
  <c r="EH334" i="90"/>
  <c r="DQ382" i="90"/>
  <c r="EH382" i="90"/>
  <c r="ER244" i="90"/>
  <c r="FB244" i="90" s="1"/>
  <c r="EA244" i="90"/>
  <c r="DQ49" i="90"/>
  <c r="EH49" i="90"/>
  <c r="DQ376" i="90"/>
  <c r="EH376" i="90"/>
  <c r="DQ380" i="90"/>
  <c r="EH380" i="90"/>
  <c r="DZ385" i="90"/>
  <c r="ER385" i="90" s="1"/>
  <c r="FB385" i="90" s="1"/>
  <c r="DZ332" i="90"/>
  <c r="ER332" i="90" s="1"/>
  <c r="FB332" i="90" s="1"/>
  <c r="DZ376" i="90"/>
  <c r="ER376" i="90" s="1"/>
  <c r="FB376" i="90" s="1"/>
  <c r="DZ330" i="90"/>
  <c r="ER330" i="90" s="1"/>
  <c r="FB330" i="90" s="1"/>
  <c r="DZ381" i="90"/>
  <c r="ER381" i="90" s="1"/>
  <c r="FB381" i="90" s="1"/>
  <c r="DZ312" i="90"/>
  <c r="ER312" i="90" s="1"/>
  <c r="FB312" i="90" s="1"/>
  <c r="DZ328" i="90"/>
  <c r="ER328" i="90" s="1"/>
  <c r="FB328" i="90" s="1"/>
  <c r="DZ334" i="90"/>
  <c r="ER334" i="90" s="1"/>
  <c r="FB334" i="90" s="1"/>
  <c r="DZ238" i="90"/>
  <c r="ER238" i="90" s="1"/>
  <c r="FB238" i="90" s="1"/>
  <c r="DZ387" i="90"/>
  <c r="ER387" i="90" s="1"/>
  <c r="FB387" i="90" s="1"/>
  <c r="DZ371" i="90"/>
  <c r="ER371" i="90" s="1"/>
  <c r="FB371" i="90" s="1"/>
  <c r="DZ384" i="90"/>
  <c r="ER384" i="90" s="1"/>
  <c r="FB384" i="90" s="1"/>
  <c r="DZ338" i="90"/>
  <c r="ER338" i="90" s="1"/>
  <c r="FB338" i="90" s="1"/>
  <c r="DZ52" i="90"/>
  <c r="ER52" i="90" s="1"/>
  <c r="FB52" i="90" s="1"/>
  <c r="DZ326" i="90"/>
  <c r="ER326" i="90" s="1"/>
  <c r="FB326" i="90" s="1"/>
  <c r="DZ369" i="90"/>
  <c r="ER369" i="90" s="1"/>
  <c r="FB369" i="90" s="1"/>
  <c r="DZ320" i="90"/>
  <c r="ER320" i="90" s="1"/>
  <c r="FB320" i="90" s="1"/>
  <c r="DZ329" i="90"/>
  <c r="ER329" i="90" s="1"/>
  <c r="FB329" i="90" s="1"/>
  <c r="DZ322" i="90"/>
  <c r="ER322" i="90" s="1"/>
  <c r="FB322" i="90" s="1"/>
  <c r="DZ394" i="90"/>
  <c r="ER394" i="90" s="1"/>
  <c r="FB394" i="90" s="1"/>
  <c r="DZ51" i="90"/>
  <c r="ER51" i="90" s="1"/>
  <c r="FB51" i="90" s="1"/>
  <c r="DZ48" i="90"/>
  <c r="ER48" i="90" s="1"/>
  <c r="FB48" i="90" s="1"/>
  <c r="DZ314" i="90"/>
  <c r="ER314" i="90" s="1"/>
  <c r="FB314" i="90" s="1"/>
  <c r="DZ318" i="90"/>
  <c r="ER318" i="90" s="1"/>
  <c r="FB318" i="90" s="1"/>
  <c r="DZ247" i="90"/>
  <c r="ER247" i="90" s="1"/>
  <c r="FB247" i="90" s="1"/>
  <c r="DZ393" i="90"/>
  <c r="ER393" i="90" s="1"/>
  <c r="FB393" i="90" s="1"/>
  <c r="DZ375" i="90"/>
  <c r="ER375" i="90" s="1"/>
  <c r="FB375" i="90" s="1"/>
  <c r="DZ339" i="90"/>
  <c r="ER339" i="90" s="1"/>
  <c r="FB339" i="90" s="1"/>
  <c r="DZ336" i="90"/>
  <c r="ER336" i="90" s="1"/>
  <c r="FB336" i="90" s="1"/>
  <c r="DZ316" i="90"/>
  <c r="ER316" i="90" s="1"/>
  <c r="FB316" i="90" s="1"/>
  <c r="DZ319" i="90"/>
  <c r="ER319" i="90" s="1"/>
  <c r="FB319" i="90" s="1"/>
  <c r="DZ63" i="90"/>
  <c r="ER63" i="90" s="1"/>
  <c r="FB63" i="90" s="1"/>
  <c r="DZ389" i="90"/>
  <c r="ER389" i="90" s="1"/>
  <c r="FB389" i="90" s="1"/>
  <c r="EA396" i="90"/>
  <c r="ES396" i="90" s="1"/>
  <c r="FA396" i="90" s="1"/>
  <c r="DZ239" i="90"/>
  <c r="ER239" i="90" s="1"/>
  <c r="FB239" i="90" s="1"/>
  <c r="DZ337" i="90"/>
  <c r="ER337" i="90" s="1"/>
  <c r="FB337" i="90" s="1"/>
  <c r="DZ321" i="90"/>
  <c r="ER321" i="90" s="1"/>
  <c r="FB321" i="90" s="1"/>
  <c r="DZ383" i="90"/>
  <c r="ER383" i="90" s="1"/>
  <c r="FB383" i="90" s="1"/>
  <c r="DZ391" i="90"/>
  <c r="ER391" i="90" s="1"/>
  <c r="FB391" i="90" s="1"/>
  <c r="DZ379" i="90"/>
  <c r="ER379" i="90" s="1"/>
  <c r="FB379" i="90" s="1"/>
  <c r="EA53" i="90"/>
  <c r="ES53" i="90" s="1"/>
  <c r="FA53" i="90" s="1"/>
  <c r="DZ54" i="90"/>
  <c r="ER54" i="90" s="1"/>
  <c r="FB54" i="90" s="1"/>
  <c r="DZ377" i="90"/>
  <c r="ER377" i="90" s="1"/>
  <c r="FB377" i="90" s="1"/>
  <c r="DZ386" i="90"/>
  <c r="ER386" i="90" s="1"/>
  <c r="FB386" i="90" s="1"/>
  <c r="DZ365" i="90"/>
  <c r="ER365" i="90" s="1"/>
  <c r="FB365" i="90" s="1"/>
  <c r="DZ370" i="90"/>
  <c r="ER370" i="90" s="1"/>
  <c r="FB370" i="90" s="1"/>
  <c r="DZ374" i="90"/>
  <c r="ER374" i="90" s="1"/>
  <c r="FB374" i="90" s="1"/>
  <c r="DZ378" i="90"/>
  <c r="ER378" i="90" s="1"/>
  <c r="FB378" i="90" s="1"/>
  <c r="DZ323" i="90"/>
  <c r="ER323" i="90" s="1"/>
  <c r="FB323" i="90" s="1"/>
  <c r="DZ390" i="90"/>
  <c r="ER390" i="90" s="1"/>
  <c r="FB390" i="90" s="1"/>
  <c r="EA388" i="90"/>
  <c r="ES388" i="90" s="1"/>
  <c r="FA388" i="90" s="1"/>
  <c r="DZ310" i="90"/>
  <c r="ER310" i="90" s="1"/>
  <c r="FB310" i="90" s="1"/>
  <c r="DZ313" i="90"/>
  <c r="ER313" i="90" s="1"/>
  <c r="FB313" i="90" s="1"/>
  <c r="DZ372" i="90"/>
  <c r="ER372" i="90" s="1"/>
  <c r="FB372" i="90" s="1"/>
  <c r="DZ395" i="90"/>
  <c r="ER395" i="90" s="1"/>
  <c r="FB395" i="90" s="1"/>
  <c r="DZ373" i="90"/>
  <c r="ER373" i="90" s="1"/>
  <c r="FB373" i="90" s="1"/>
  <c r="DZ324" i="90"/>
  <c r="ER324" i="90" s="1"/>
  <c r="FB324" i="90" s="1"/>
  <c r="EA49" i="90"/>
  <c r="ES49" i="90" s="1"/>
  <c r="FA49" i="90" s="1"/>
  <c r="DZ367" i="90"/>
  <c r="ER367" i="90" s="1"/>
  <c r="FB367" i="90" s="1"/>
  <c r="DZ366" i="90"/>
  <c r="ER366" i="90" s="1"/>
  <c r="FB366" i="90" s="1"/>
  <c r="EA237" i="90"/>
  <c r="ES237" i="90" s="1"/>
  <c r="FA237" i="90" s="1"/>
  <c r="DZ392" i="90"/>
  <c r="ER392" i="90" s="1"/>
  <c r="FB392" i="90" s="1"/>
  <c r="DS317" i="90" l="1"/>
  <c r="DT317" i="90" s="1"/>
  <c r="EI393" i="90"/>
  <c r="EJ377" i="90"/>
  <c r="DS377" i="90"/>
  <c r="EK369" i="90"/>
  <c r="EA246" i="90"/>
  <c r="ES246" i="90" s="1"/>
  <c r="FA246" i="90" s="1"/>
  <c r="EA315" i="90"/>
  <c r="ES315" i="90" s="1"/>
  <c r="FA315" i="90" s="1"/>
  <c r="EA368" i="90"/>
  <c r="ES368" i="90" s="1"/>
  <c r="FA368" i="90" s="1"/>
  <c r="EA331" i="90"/>
  <c r="ES331" i="90" s="1"/>
  <c r="FA331" i="90" s="1"/>
  <c r="EA241" i="90"/>
  <c r="ES241" i="90" s="1"/>
  <c r="FA241" i="90" s="1"/>
  <c r="EB317" i="90"/>
  <c r="ET317" i="90" s="1"/>
  <c r="EZ317" i="90" s="1"/>
  <c r="EA46" i="90"/>
  <c r="ES46" i="90" s="1"/>
  <c r="FA46" i="90" s="1"/>
  <c r="EA245" i="90"/>
  <c r="ES245" i="90" s="1"/>
  <c r="FA245" i="90" s="1"/>
  <c r="EA47" i="90"/>
  <c r="ES47" i="90" s="1"/>
  <c r="FA47" i="90" s="1"/>
  <c r="EB311" i="90"/>
  <c r="ET311" i="90" s="1"/>
  <c r="EZ311" i="90" s="1"/>
  <c r="EA50" i="90"/>
  <c r="ES50" i="90" s="1"/>
  <c r="FA50" i="90" s="1"/>
  <c r="EB333" i="90"/>
  <c r="ET333" i="90" s="1"/>
  <c r="EZ333" i="90" s="1"/>
  <c r="EA243" i="90"/>
  <c r="ES243" i="90" s="1"/>
  <c r="FA243" i="90" s="1"/>
  <c r="EB327" i="90"/>
  <c r="ET327" i="90" s="1"/>
  <c r="EZ327" i="90" s="1"/>
  <c r="EB335" i="90"/>
  <c r="ET335" i="90" s="1"/>
  <c r="EZ335" i="90" s="1"/>
  <c r="EB382" i="90"/>
  <c r="ET382" i="90" s="1"/>
  <c r="EZ382" i="90" s="1"/>
  <c r="DR376" i="90"/>
  <c r="EI376" i="90"/>
  <c r="DR243" i="90"/>
  <c r="EI243" i="90"/>
  <c r="DS396" i="90"/>
  <c r="EJ396" i="90"/>
  <c r="DT337" i="90"/>
  <c r="EK337" i="90"/>
  <c r="DU317" i="90"/>
  <c r="EM317" i="90" s="1"/>
  <c r="EL317" i="90"/>
  <c r="DR322" i="90"/>
  <c r="EI322" i="90"/>
  <c r="DR49" i="90"/>
  <c r="EI49" i="90"/>
  <c r="DT366" i="90"/>
  <c r="EK366" i="90"/>
  <c r="DR245" i="90"/>
  <c r="EI245" i="90"/>
  <c r="DR389" i="90"/>
  <c r="EI389" i="90"/>
  <c r="DS392" i="90"/>
  <c r="EJ392" i="90"/>
  <c r="DS386" i="90"/>
  <c r="EJ386" i="90"/>
  <c r="DR339" i="90"/>
  <c r="EI339" i="90"/>
  <c r="DR365" i="90"/>
  <c r="EI365" i="90"/>
  <c r="DR314" i="90"/>
  <c r="EI314" i="90"/>
  <c r="DR52" i="90"/>
  <c r="EI52" i="90"/>
  <c r="DR48" i="90"/>
  <c r="EI48" i="90"/>
  <c r="DR63" i="90"/>
  <c r="EI63" i="90"/>
  <c r="DR381" i="90"/>
  <c r="EI381" i="90"/>
  <c r="DS393" i="90"/>
  <c r="EJ393" i="90"/>
  <c r="DS371" i="90"/>
  <c r="EJ371" i="90"/>
  <c r="DS379" i="90"/>
  <c r="EJ379" i="90"/>
  <c r="DR50" i="90"/>
  <c r="EI50" i="90"/>
  <c r="DR237" i="90"/>
  <c r="EI237" i="90"/>
  <c r="ER325" i="90"/>
  <c r="FB325" i="90" s="1"/>
  <c r="EA325" i="90"/>
  <c r="DR375" i="90"/>
  <c r="EI375" i="90"/>
  <c r="DU46" i="90"/>
  <c r="EM46" i="90" s="1"/>
  <c r="EL46" i="90"/>
  <c r="DU336" i="90"/>
  <c r="EM336" i="90" s="1"/>
  <c r="EL336" i="90"/>
  <c r="DR331" i="90"/>
  <c r="EI331" i="90"/>
  <c r="DR395" i="90"/>
  <c r="EI395" i="90"/>
  <c r="DR335" i="90"/>
  <c r="EI335" i="90"/>
  <c r="DR367" i="90"/>
  <c r="EI367" i="90"/>
  <c r="DT378" i="90"/>
  <c r="EK378" i="90"/>
  <c r="DR240" i="90"/>
  <c r="EI240" i="90"/>
  <c r="DR309" i="90"/>
  <c r="EI309" i="90"/>
  <c r="DU320" i="90"/>
  <c r="EM320" i="90" s="1"/>
  <c r="EL320" i="90"/>
  <c r="DR323" i="90"/>
  <c r="EI323" i="90"/>
  <c r="DU325" i="90"/>
  <c r="EM325" i="90" s="1"/>
  <c r="EL325" i="90"/>
  <c r="DS238" i="90"/>
  <c r="EJ238" i="90"/>
  <c r="DT370" i="90"/>
  <c r="EK370" i="90"/>
  <c r="DR373" i="90"/>
  <c r="EI373" i="90"/>
  <c r="DR372" i="90"/>
  <c r="EI372" i="90"/>
  <c r="DR384" i="90"/>
  <c r="EI384" i="90"/>
  <c r="DR310" i="90"/>
  <c r="EI310" i="90"/>
  <c r="DU312" i="90"/>
  <c r="EM312" i="90" s="1"/>
  <c r="EL312" i="90"/>
  <c r="DR330" i="90"/>
  <c r="EI330" i="90"/>
  <c r="DR334" i="90"/>
  <c r="EI334" i="90"/>
  <c r="DR390" i="90"/>
  <c r="EI390" i="90"/>
  <c r="DT313" i="90"/>
  <c r="EK313" i="90"/>
  <c r="DR248" i="90"/>
  <c r="EI248" i="90"/>
  <c r="DU54" i="90"/>
  <c r="EM54" i="90" s="1"/>
  <c r="EL54" i="90"/>
  <c r="DU328" i="90"/>
  <c r="EM328" i="90" s="1"/>
  <c r="EL328" i="90"/>
  <c r="DS242" i="90"/>
  <c r="EJ242" i="90"/>
  <c r="DS338" i="90"/>
  <c r="EJ338" i="90"/>
  <c r="DR387" i="90"/>
  <c r="EI387" i="90"/>
  <c r="DT321" i="90"/>
  <c r="EK321" i="90"/>
  <c r="DS385" i="90"/>
  <c r="EJ385" i="90"/>
  <c r="DR394" i="90"/>
  <c r="EI394" i="90"/>
  <c r="DR246" i="90"/>
  <c r="EI246" i="90"/>
  <c r="DU51" i="90"/>
  <c r="EM51" i="90" s="1"/>
  <c r="EL51" i="90"/>
  <c r="ES244" i="90"/>
  <c r="FA244" i="90" s="1"/>
  <c r="EB244" i="90"/>
  <c r="ER309" i="90"/>
  <c r="FB309" i="90" s="1"/>
  <c r="EA309" i="90"/>
  <c r="ER248" i="90"/>
  <c r="FB248" i="90" s="1"/>
  <c r="EA248" i="90"/>
  <c r="ER62" i="90"/>
  <c r="FB62" i="90" s="1"/>
  <c r="EA62" i="90"/>
  <c r="DR241" i="90"/>
  <c r="EI241" i="90"/>
  <c r="ES240" i="90"/>
  <c r="FA240" i="90" s="1"/>
  <c r="EB240" i="90"/>
  <c r="ER242" i="90"/>
  <c r="FB242" i="90" s="1"/>
  <c r="EA242" i="90"/>
  <c r="ER380" i="90"/>
  <c r="FB380" i="90" s="1"/>
  <c r="EA380" i="90"/>
  <c r="DR380" i="90"/>
  <c r="EI380" i="90"/>
  <c r="DR382" i="90"/>
  <c r="EI382" i="90"/>
  <c r="DR391" i="90"/>
  <c r="EI391" i="90"/>
  <c r="DT333" i="90"/>
  <c r="EK333" i="90"/>
  <c r="DR368" i="90"/>
  <c r="EI368" i="90"/>
  <c r="DR315" i="90"/>
  <c r="EI315" i="90"/>
  <c r="DR324" i="90"/>
  <c r="EI324" i="90"/>
  <c r="DR326" i="90"/>
  <c r="EI326" i="90"/>
  <c r="DR332" i="90"/>
  <c r="EI332" i="90"/>
  <c r="DR316" i="90"/>
  <c r="EI316" i="90"/>
  <c r="DR62" i="90"/>
  <c r="EI62" i="90"/>
  <c r="DT47" i="90"/>
  <c r="EK47" i="90"/>
  <c r="DU369" i="90"/>
  <c r="EM369" i="90" s="1"/>
  <c r="EL369" i="90"/>
  <c r="DR318" i="90"/>
  <c r="EI318" i="90"/>
  <c r="DR239" i="90"/>
  <c r="EI239" i="90"/>
  <c r="DR383" i="90"/>
  <c r="EI383" i="90"/>
  <c r="DT374" i="90"/>
  <c r="EK374" i="90"/>
  <c r="DR388" i="90"/>
  <c r="EI388" i="90"/>
  <c r="DT329" i="90"/>
  <c r="EK329" i="90"/>
  <c r="EA366" i="90"/>
  <c r="ES366" i="90" s="1"/>
  <c r="FA366" i="90" s="1"/>
  <c r="EA324" i="90"/>
  <c r="ES324" i="90" s="1"/>
  <c r="FA324" i="90" s="1"/>
  <c r="EA395" i="90"/>
  <c r="ES395" i="90" s="1"/>
  <c r="FA395" i="90" s="1"/>
  <c r="EB388" i="90"/>
  <c r="ET388" i="90" s="1"/>
  <c r="EZ388" i="90" s="1"/>
  <c r="EA374" i="90"/>
  <c r="ES374" i="90" s="1"/>
  <c r="FA374" i="90" s="1"/>
  <c r="EA386" i="90"/>
  <c r="ES386" i="90" s="1"/>
  <c r="FA386" i="90" s="1"/>
  <c r="EA377" i="90"/>
  <c r="ES377" i="90" s="1"/>
  <c r="FA377" i="90" s="1"/>
  <c r="EA383" i="90"/>
  <c r="ES383" i="90" s="1"/>
  <c r="FA383" i="90" s="1"/>
  <c r="EA319" i="90"/>
  <c r="ES319" i="90" s="1"/>
  <c r="FA319" i="90" s="1"/>
  <c r="EA336" i="90"/>
  <c r="ES336" i="90" s="1"/>
  <c r="FA336" i="90" s="1"/>
  <c r="EA318" i="90"/>
  <c r="ES318" i="90" s="1"/>
  <c r="FA318" i="90" s="1"/>
  <c r="EA51" i="90"/>
  <c r="ES51" i="90" s="1"/>
  <c r="FA51" i="90" s="1"/>
  <c r="EA320" i="90"/>
  <c r="ES320" i="90" s="1"/>
  <c r="FA320" i="90" s="1"/>
  <c r="EA52" i="90"/>
  <c r="ES52" i="90" s="1"/>
  <c r="FA52" i="90" s="1"/>
  <c r="EA328" i="90"/>
  <c r="ES328" i="90" s="1"/>
  <c r="FA328" i="90" s="1"/>
  <c r="EA376" i="90"/>
  <c r="ES376" i="90" s="1"/>
  <c r="FA376" i="90" s="1"/>
  <c r="EA390" i="90"/>
  <c r="ES390" i="90" s="1"/>
  <c r="FA390" i="90" s="1"/>
  <c r="EA337" i="90"/>
  <c r="ES337" i="90" s="1"/>
  <c r="FA337" i="90" s="1"/>
  <c r="EA316" i="90"/>
  <c r="ES316" i="90" s="1"/>
  <c r="FA316" i="90" s="1"/>
  <c r="EA393" i="90"/>
  <c r="ES393" i="90" s="1"/>
  <c r="FA393" i="90" s="1"/>
  <c r="EA338" i="90"/>
  <c r="ES338" i="90" s="1"/>
  <c r="FA338" i="90" s="1"/>
  <c r="EA238" i="90"/>
  <c r="ES238" i="90" s="1"/>
  <c r="FA238" i="90" s="1"/>
  <c r="EA372" i="90"/>
  <c r="ES372" i="90" s="1"/>
  <c r="FA372" i="90" s="1"/>
  <c r="EA370" i="90"/>
  <c r="ES370" i="90" s="1"/>
  <c r="FA370" i="90" s="1"/>
  <c r="EA54" i="90"/>
  <c r="ES54" i="90" s="1"/>
  <c r="FA54" i="90" s="1"/>
  <c r="EA321" i="90"/>
  <c r="ES321" i="90" s="1"/>
  <c r="FA321" i="90" s="1"/>
  <c r="EA389" i="90"/>
  <c r="ES389" i="90" s="1"/>
  <c r="FA389" i="90" s="1"/>
  <c r="EA339" i="90"/>
  <c r="ES339" i="90" s="1"/>
  <c r="FA339" i="90" s="1"/>
  <c r="EA247" i="90"/>
  <c r="ES247" i="90" s="1"/>
  <c r="FA247" i="90" s="1"/>
  <c r="EA394" i="90"/>
  <c r="ES394" i="90" s="1"/>
  <c r="FA394" i="90" s="1"/>
  <c r="EA312" i="90"/>
  <c r="ES312" i="90" s="1"/>
  <c r="FA312" i="90" s="1"/>
  <c r="EA330" i="90"/>
  <c r="ES330" i="90" s="1"/>
  <c r="FA330" i="90" s="1"/>
  <c r="EA392" i="90"/>
  <c r="ES392" i="90" s="1"/>
  <c r="FA392" i="90" s="1"/>
  <c r="EA367" i="90"/>
  <c r="ES367" i="90" s="1"/>
  <c r="FA367" i="90" s="1"/>
  <c r="EA373" i="90"/>
  <c r="ES373" i="90" s="1"/>
  <c r="FA373" i="90" s="1"/>
  <c r="EA313" i="90"/>
  <c r="ES313" i="90" s="1"/>
  <c r="FA313" i="90" s="1"/>
  <c r="EA323" i="90"/>
  <c r="ES323" i="90" s="1"/>
  <c r="FA323" i="90" s="1"/>
  <c r="EB53" i="90"/>
  <c r="ET53" i="90" s="1"/>
  <c r="EZ53" i="90" s="1"/>
  <c r="EA239" i="90"/>
  <c r="ES239" i="90" s="1"/>
  <c r="FA239" i="90" s="1"/>
  <c r="EA314" i="90"/>
  <c r="ES314" i="90" s="1"/>
  <c r="FA314" i="90" s="1"/>
  <c r="EA322" i="90"/>
  <c r="ES322" i="90" s="1"/>
  <c r="FA322" i="90" s="1"/>
  <c r="EA369" i="90"/>
  <c r="ES369" i="90" s="1"/>
  <c r="FA369" i="90" s="1"/>
  <c r="EA384" i="90"/>
  <c r="ES384" i="90" s="1"/>
  <c r="FA384" i="90" s="1"/>
  <c r="EA332" i="90"/>
  <c r="ES332" i="90" s="1"/>
  <c r="FA332" i="90" s="1"/>
  <c r="EB237" i="90"/>
  <c r="ET237" i="90" s="1"/>
  <c r="EZ237" i="90" s="1"/>
  <c r="EB49" i="90"/>
  <c r="ET49" i="90" s="1"/>
  <c r="EZ49" i="90" s="1"/>
  <c r="EA310" i="90"/>
  <c r="ES310" i="90" s="1"/>
  <c r="FA310" i="90" s="1"/>
  <c r="EA378" i="90"/>
  <c r="ES378" i="90" s="1"/>
  <c r="FA378" i="90" s="1"/>
  <c r="EA365" i="90"/>
  <c r="ES365" i="90" s="1"/>
  <c r="FA365" i="90" s="1"/>
  <c r="EA379" i="90"/>
  <c r="ES379" i="90" s="1"/>
  <c r="FA379" i="90" s="1"/>
  <c r="EA391" i="90"/>
  <c r="ES391" i="90" s="1"/>
  <c r="FA391" i="90" s="1"/>
  <c r="EB396" i="90"/>
  <c r="ET396" i="90" s="1"/>
  <c r="EZ396" i="90" s="1"/>
  <c r="EA63" i="90"/>
  <c r="ES63" i="90" s="1"/>
  <c r="FA63" i="90" s="1"/>
  <c r="EA375" i="90"/>
  <c r="ES375" i="90" s="1"/>
  <c r="FA375" i="90" s="1"/>
  <c r="EA48" i="90"/>
  <c r="ES48" i="90" s="1"/>
  <c r="FA48" i="90" s="1"/>
  <c r="EA329" i="90"/>
  <c r="ES329" i="90" s="1"/>
  <c r="FA329" i="90" s="1"/>
  <c r="EA326" i="90"/>
  <c r="ES326" i="90" s="1"/>
  <c r="FA326" i="90" s="1"/>
  <c r="EA371" i="90"/>
  <c r="ES371" i="90" s="1"/>
  <c r="FA371" i="90" s="1"/>
  <c r="EA387" i="90"/>
  <c r="ES387" i="90" s="1"/>
  <c r="FA387" i="90" s="1"/>
  <c r="EA334" i="90"/>
  <c r="ES334" i="90" s="1"/>
  <c r="FA334" i="90" s="1"/>
  <c r="EA381" i="90"/>
  <c r="ES381" i="90" s="1"/>
  <c r="FA381" i="90" s="1"/>
  <c r="EA385" i="90"/>
  <c r="ES385" i="90" s="1"/>
  <c r="FA385" i="90" s="1"/>
  <c r="EK317" i="90" l="1"/>
  <c r="DT377" i="90"/>
  <c r="EK377" i="90"/>
  <c r="EB246" i="90"/>
  <c r="EB315" i="90"/>
  <c r="ET315" i="90" s="1"/>
  <c r="EZ315" i="90" s="1"/>
  <c r="EB245" i="90"/>
  <c r="ET245" i="90" s="1"/>
  <c r="EZ245" i="90" s="1"/>
  <c r="EB368" i="90"/>
  <c r="ET368" i="90" s="1"/>
  <c r="EZ368" i="90" s="1"/>
  <c r="EB331" i="90"/>
  <c r="ET331" i="90" s="1"/>
  <c r="EZ331" i="90" s="1"/>
  <c r="EB241" i="90"/>
  <c r="ET241" i="90" s="1"/>
  <c r="EZ241" i="90" s="1"/>
  <c r="EB46" i="90"/>
  <c r="ET46" i="90" s="1"/>
  <c r="EZ46" i="90" s="1"/>
  <c r="EC317" i="90"/>
  <c r="EU317" i="90" s="1"/>
  <c r="EY317" i="90" s="1"/>
  <c r="EB47" i="90"/>
  <c r="ET47" i="90" s="1"/>
  <c r="EZ47" i="90" s="1"/>
  <c r="EC311" i="90"/>
  <c r="EU311" i="90" s="1"/>
  <c r="EY311" i="90" s="1"/>
  <c r="EB243" i="90"/>
  <c r="ET243" i="90" s="1"/>
  <c r="EZ243" i="90" s="1"/>
  <c r="EB50" i="90"/>
  <c r="ET50" i="90" s="1"/>
  <c r="EZ50" i="90" s="1"/>
  <c r="EC333" i="90"/>
  <c r="EU333" i="90" s="1"/>
  <c r="EY333" i="90" s="1"/>
  <c r="EC382" i="90"/>
  <c r="EU382" i="90" s="1"/>
  <c r="EY382" i="90" s="1"/>
  <c r="EC327" i="90"/>
  <c r="EU327" i="90" s="1"/>
  <c r="EY327" i="90" s="1"/>
  <c r="EC335" i="90"/>
  <c r="EU335" i="90" s="1"/>
  <c r="EY335" i="90" s="1"/>
  <c r="DS316" i="90"/>
  <c r="EJ316" i="90"/>
  <c r="DS315" i="90"/>
  <c r="EJ315" i="90"/>
  <c r="DS391" i="90"/>
  <c r="EJ391" i="90"/>
  <c r="DS241" i="90"/>
  <c r="EJ241" i="90"/>
  <c r="DS394" i="90"/>
  <c r="EJ394" i="90"/>
  <c r="DS390" i="90"/>
  <c r="EJ390" i="90"/>
  <c r="DS310" i="90"/>
  <c r="EJ310" i="90"/>
  <c r="DU370" i="90"/>
  <c r="EM370" i="90" s="1"/>
  <c r="EL370" i="90"/>
  <c r="DS323" i="90"/>
  <c r="EJ323" i="90"/>
  <c r="DU378" i="90"/>
  <c r="EM378" i="90" s="1"/>
  <c r="EL378" i="90"/>
  <c r="DS331" i="90"/>
  <c r="EJ331" i="90"/>
  <c r="DT379" i="90"/>
  <c r="EK379" i="90"/>
  <c r="DS381" i="90"/>
  <c r="EJ381" i="90"/>
  <c r="DS52" i="90"/>
  <c r="EJ52" i="90"/>
  <c r="DT386" i="90"/>
  <c r="EK386" i="90"/>
  <c r="DS49" i="90"/>
  <c r="EJ49" i="90"/>
  <c r="DU337" i="90"/>
  <c r="EM337" i="90" s="1"/>
  <c r="EL337" i="90"/>
  <c r="ES242" i="90"/>
  <c r="FA242" i="90" s="1"/>
  <c r="EB242" i="90"/>
  <c r="ES62" i="90"/>
  <c r="FA62" i="90" s="1"/>
  <c r="EB62" i="90"/>
  <c r="ET244" i="90"/>
  <c r="EZ244" i="90" s="1"/>
  <c r="EC244" i="90"/>
  <c r="DU329" i="90"/>
  <c r="EM329" i="90" s="1"/>
  <c r="EL329" i="90"/>
  <c r="DS383" i="90"/>
  <c r="EJ383" i="90"/>
  <c r="DU47" i="90"/>
  <c r="EM47" i="90" s="1"/>
  <c r="EL47" i="90"/>
  <c r="DS332" i="90"/>
  <c r="EJ332" i="90"/>
  <c r="DT385" i="90"/>
  <c r="EK385" i="90"/>
  <c r="DT338" i="90"/>
  <c r="EK338" i="90"/>
  <c r="DS248" i="90"/>
  <c r="EJ248" i="90"/>
  <c r="DS334" i="90"/>
  <c r="EJ334" i="90"/>
  <c r="DS384" i="90"/>
  <c r="EJ384" i="90"/>
  <c r="DT238" i="90"/>
  <c r="EK238" i="90"/>
  <c r="DS367" i="90"/>
  <c r="EJ367" i="90"/>
  <c r="DS237" i="90"/>
  <c r="EJ237" i="90"/>
  <c r="DT371" i="90"/>
  <c r="EK371" i="90"/>
  <c r="DS63" i="90"/>
  <c r="EJ63" i="90"/>
  <c r="DS314" i="90"/>
  <c r="EJ314" i="90"/>
  <c r="DT396" i="90"/>
  <c r="EK396" i="90"/>
  <c r="ET240" i="90"/>
  <c r="EZ240" i="90" s="1"/>
  <c r="EC240" i="90"/>
  <c r="DS388" i="90"/>
  <c r="EJ388" i="90"/>
  <c r="DS239" i="90"/>
  <c r="EJ239" i="90"/>
  <c r="DS62" i="90"/>
  <c r="EJ62" i="90"/>
  <c r="DS326" i="90"/>
  <c r="EJ326" i="90"/>
  <c r="DS368" i="90"/>
  <c r="EJ368" i="90"/>
  <c r="DS382" i="90"/>
  <c r="EJ382" i="90"/>
  <c r="DU321" i="90"/>
  <c r="EM321" i="90" s="1"/>
  <c r="EL321" i="90"/>
  <c r="DT242" i="90"/>
  <c r="EK242" i="90"/>
  <c r="DS330" i="90"/>
  <c r="EJ330" i="90"/>
  <c r="DS372" i="90"/>
  <c r="EJ372" i="90"/>
  <c r="DS309" i="90"/>
  <c r="EJ309" i="90"/>
  <c r="DS335" i="90"/>
  <c r="EJ335" i="90"/>
  <c r="DT393" i="90"/>
  <c r="EK393" i="90"/>
  <c r="DS365" i="90"/>
  <c r="EJ365" i="90"/>
  <c r="DT392" i="90"/>
  <c r="EK392" i="90"/>
  <c r="DS245" i="90"/>
  <c r="EJ245" i="90"/>
  <c r="DS322" i="90"/>
  <c r="EJ322" i="90"/>
  <c r="DS243" i="90"/>
  <c r="EJ243" i="90"/>
  <c r="ES309" i="90"/>
  <c r="FA309" i="90" s="1"/>
  <c r="EB309" i="90"/>
  <c r="ES248" i="90"/>
  <c r="FA248" i="90" s="1"/>
  <c r="EB248" i="90"/>
  <c r="ES380" i="90"/>
  <c r="FA380" i="90" s="1"/>
  <c r="EB380" i="90"/>
  <c r="ES325" i="90"/>
  <c r="FA325" i="90" s="1"/>
  <c r="EB325" i="90"/>
  <c r="DU374" i="90"/>
  <c r="EM374" i="90" s="1"/>
  <c r="EL374" i="90"/>
  <c r="DS318" i="90"/>
  <c r="EJ318" i="90"/>
  <c r="DS324" i="90"/>
  <c r="EJ324" i="90"/>
  <c r="DU333" i="90"/>
  <c r="EM333" i="90" s="1"/>
  <c r="EL333" i="90"/>
  <c r="DS380" i="90"/>
  <c r="EJ380" i="90"/>
  <c r="DS246" i="90"/>
  <c r="EJ246" i="90"/>
  <c r="DS387" i="90"/>
  <c r="EJ387" i="90"/>
  <c r="DU313" i="90"/>
  <c r="EM313" i="90" s="1"/>
  <c r="EL313" i="90"/>
  <c r="DS373" i="90"/>
  <c r="EJ373" i="90"/>
  <c r="DS240" i="90"/>
  <c r="EJ240" i="90"/>
  <c r="DS395" i="90"/>
  <c r="EJ395" i="90"/>
  <c r="DS375" i="90"/>
  <c r="EJ375" i="90"/>
  <c r="DS50" i="90"/>
  <c r="EJ50" i="90"/>
  <c r="DS48" i="90"/>
  <c r="EJ48" i="90"/>
  <c r="DS339" i="90"/>
  <c r="EJ339" i="90"/>
  <c r="DS389" i="90"/>
  <c r="EJ389" i="90"/>
  <c r="DU366" i="90"/>
  <c r="EM366" i="90" s="1"/>
  <c r="EL366" i="90"/>
  <c r="DS376" i="90"/>
  <c r="EJ376" i="90"/>
  <c r="EB381" i="90"/>
  <c r="ET381" i="90" s="1"/>
  <c r="EZ381" i="90" s="1"/>
  <c r="EB326" i="90"/>
  <c r="ET326" i="90" s="1"/>
  <c r="EZ326" i="90" s="1"/>
  <c r="EC396" i="90"/>
  <c r="EU396" i="90" s="1"/>
  <c r="EY396" i="90" s="1"/>
  <c r="EB369" i="90"/>
  <c r="ET369" i="90" s="1"/>
  <c r="EZ369" i="90" s="1"/>
  <c r="EB367" i="90"/>
  <c r="ET367" i="90" s="1"/>
  <c r="EZ367" i="90" s="1"/>
  <c r="EB389" i="90"/>
  <c r="ET389" i="90" s="1"/>
  <c r="EZ389" i="90" s="1"/>
  <c r="EB372" i="90"/>
  <c r="ET372" i="90" s="1"/>
  <c r="EZ372" i="90" s="1"/>
  <c r="EB376" i="90"/>
  <c r="ET376" i="90" s="1"/>
  <c r="EZ376" i="90" s="1"/>
  <c r="EB318" i="90"/>
  <c r="ET318" i="90" s="1"/>
  <c r="EZ318" i="90" s="1"/>
  <c r="EB319" i="90"/>
  <c r="ET319" i="90" s="1"/>
  <c r="EZ319" i="90" s="1"/>
  <c r="EC388" i="90"/>
  <c r="EU388" i="90" s="1"/>
  <c r="EY388" i="90" s="1"/>
  <c r="EB329" i="90"/>
  <c r="ET329" i="90" s="1"/>
  <c r="EZ329" i="90" s="1"/>
  <c r="EB394" i="90"/>
  <c r="ET394" i="90" s="1"/>
  <c r="EZ394" i="90" s="1"/>
  <c r="EB321" i="90"/>
  <c r="ET321" i="90" s="1"/>
  <c r="EZ321" i="90" s="1"/>
  <c r="EB334" i="90"/>
  <c r="ET334" i="90" s="1"/>
  <c r="EZ334" i="90" s="1"/>
  <c r="EB375" i="90"/>
  <c r="ET375" i="90" s="1"/>
  <c r="EZ375" i="90" s="1"/>
  <c r="EB365" i="90"/>
  <c r="ET365" i="90" s="1"/>
  <c r="EZ365" i="90" s="1"/>
  <c r="EB392" i="90"/>
  <c r="ET392" i="90" s="1"/>
  <c r="EZ392" i="90" s="1"/>
  <c r="EB238" i="90"/>
  <c r="ET238" i="90" s="1"/>
  <c r="EZ238" i="90" s="1"/>
  <c r="EB395" i="90"/>
  <c r="ET395" i="90" s="1"/>
  <c r="EZ395" i="90" s="1"/>
  <c r="EB48" i="90"/>
  <c r="ET48" i="90" s="1"/>
  <c r="EZ48" i="90" s="1"/>
  <c r="EB378" i="90"/>
  <c r="ET378" i="90" s="1"/>
  <c r="EZ378" i="90" s="1"/>
  <c r="EB390" i="90"/>
  <c r="ET390" i="90" s="1"/>
  <c r="EZ390" i="90" s="1"/>
  <c r="EB386" i="90"/>
  <c r="ET386" i="90" s="1"/>
  <c r="EZ386" i="90" s="1"/>
  <c r="EC49" i="90"/>
  <c r="EU49" i="90" s="1"/>
  <c r="EY49" i="90" s="1"/>
  <c r="EB322" i="90"/>
  <c r="ET322" i="90" s="1"/>
  <c r="EZ322" i="90" s="1"/>
  <c r="EB323" i="90"/>
  <c r="ET323" i="90" s="1"/>
  <c r="EZ323" i="90" s="1"/>
  <c r="EB393" i="90"/>
  <c r="ET393" i="90" s="1"/>
  <c r="EZ393" i="90" s="1"/>
  <c r="EB52" i="90"/>
  <c r="ET52" i="90" s="1"/>
  <c r="EZ52" i="90" s="1"/>
  <c r="EB377" i="90"/>
  <c r="ET377" i="90" s="1"/>
  <c r="EZ377" i="90" s="1"/>
  <c r="EB385" i="90"/>
  <c r="ET385" i="90" s="1"/>
  <c r="EZ385" i="90" s="1"/>
  <c r="EB387" i="90"/>
  <c r="ET387" i="90" s="1"/>
  <c r="EZ387" i="90" s="1"/>
  <c r="EB391" i="90"/>
  <c r="ET391" i="90" s="1"/>
  <c r="EZ391" i="90" s="1"/>
  <c r="EC237" i="90"/>
  <c r="EU237" i="90" s="1"/>
  <c r="EY237" i="90" s="1"/>
  <c r="EB314" i="90"/>
  <c r="ET314" i="90" s="1"/>
  <c r="EZ314" i="90" s="1"/>
  <c r="EC53" i="90"/>
  <c r="EU53" i="90" s="1"/>
  <c r="EY53" i="90" s="1"/>
  <c r="EB313" i="90"/>
  <c r="ET313" i="90" s="1"/>
  <c r="EZ313" i="90" s="1"/>
  <c r="EB330" i="90"/>
  <c r="ET330" i="90" s="1"/>
  <c r="EZ330" i="90" s="1"/>
  <c r="EB247" i="90"/>
  <c r="ET247" i="90" s="1"/>
  <c r="EZ247" i="90" s="1"/>
  <c r="EB54" i="90"/>
  <c r="ET54" i="90" s="1"/>
  <c r="EZ54" i="90" s="1"/>
  <c r="EB338" i="90"/>
  <c r="ET338" i="90" s="1"/>
  <c r="EZ338" i="90" s="1"/>
  <c r="EB316" i="90"/>
  <c r="ET316" i="90" s="1"/>
  <c r="EZ316" i="90" s="1"/>
  <c r="EB328" i="90"/>
  <c r="ET328" i="90" s="1"/>
  <c r="EZ328" i="90" s="1"/>
  <c r="EB320" i="90"/>
  <c r="ET320" i="90" s="1"/>
  <c r="EZ320" i="90" s="1"/>
  <c r="EB324" i="90"/>
  <c r="ET324" i="90" s="1"/>
  <c r="EZ324" i="90" s="1"/>
  <c r="EB370" i="90"/>
  <c r="ET370" i="90" s="1"/>
  <c r="EZ370" i="90" s="1"/>
  <c r="EB337" i="90"/>
  <c r="ET337" i="90" s="1"/>
  <c r="EZ337" i="90" s="1"/>
  <c r="EB374" i="90"/>
  <c r="ET374" i="90" s="1"/>
  <c r="EZ374" i="90" s="1"/>
  <c r="EB366" i="90"/>
  <c r="ET366" i="90" s="1"/>
  <c r="EZ366" i="90" s="1"/>
  <c r="EB371" i="90"/>
  <c r="ET371" i="90" s="1"/>
  <c r="EZ371" i="90" s="1"/>
  <c r="EB63" i="90"/>
  <c r="ET63" i="90" s="1"/>
  <c r="EZ63" i="90" s="1"/>
  <c r="EB379" i="90"/>
  <c r="ET379" i="90" s="1"/>
  <c r="EZ379" i="90" s="1"/>
  <c r="EB310" i="90"/>
  <c r="ET310" i="90" s="1"/>
  <c r="EZ310" i="90" s="1"/>
  <c r="EB332" i="90"/>
  <c r="ET332" i="90" s="1"/>
  <c r="EZ332" i="90" s="1"/>
  <c r="EB384" i="90"/>
  <c r="ET384" i="90" s="1"/>
  <c r="EZ384" i="90" s="1"/>
  <c r="EB239" i="90"/>
  <c r="ET239" i="90" s="1"/>
  <c r="EZ239" i="90" s="1"/>
  <c r="EB373" i="90"/>
  <c r="ET373" i="90" s="1"/>
  <c r="EZ373" i="90" s="1"/>
  <c r="EB312" i="90"/>
  <c r="ET312" i="90" s="1"/>
  <c r="EZ312" i="90" s="1"/>
  <c r="EB339" i="90"/>
  <c r="ET339" i="90" s="1"/>
  <c r="EZ339" i="90" s="1"/>
  <c r="EB51" i="90"/>
  <c r="ET51" i="90" s="1"/>
  <c r="EZ51" i="90" s="1"/>
  <c r="EB336" i="90"/>
  <c r="ET336" i="90" s="1"/>
  <c r="EZ336" i="90" s="1"/>
  <c r="EB383" i="90"/>
  <c r="ET383" i="90" s="1"/>
  <c r="EZ383" i="90" s="1"/>
  <c r="DU377" i="90" l="1"/>
  <c r="EM377" i="90" s="1"/>
  <c r="EL377" i="90"/>
  <c r="EC315" i="90"/>
  <c r="EU315" i="90" s="1"/>
  <c r="EY315" i="90" s="1"/>
  <c r="ET246" i="90"/>
  <c r="EZ246" i="90" s="1"/>
  <c r="EC246" i="90"/>
  <c r="EC368" i="90"/>
  <c r="EU368" i="90" s="1"/>
  <c r="EY368" i="90" s="1"/>
  <c r="EC245" i="90"/>
  <c r="EU245" i="90" s="1"/>
  <c r="EY245" i="90" s="1"/>
  <c r="EC331" i="90"/>
  <c r="EU331" i="90" s="1"/>
  <c r="EY331" i="90" s="1"/>
  <c r="ED335" i="90"/>
  <c r="EV335" i="90" s="1"/>
  <c r="EX335" i="90" s="1"/>
  <c r="EC46" i="90"/>
  <c r="EU46" i="90" s="1"/>
  <c r="EY46" i="90" s="1"/>
  <c r="ED317" i="90"/>
  <c r="EV317" i="90" s="1"/>
  <c r="EX317" i="90" s="1"/>
  <c r="EC241" i="90"/>
  <c r="EU241" i="90" s="1"/>
  <c r="EY241" i="90" s="1"/>
  <c r="EC243" i="90"/>
  <c r="EU243" i="90" s="1"/>
  <c r="EY243" i="90" s="1"/>
  <c r="ED333" i="90"/>
  <c r="EV333" i="90" s="1"/>
  <c r="EX333" i="90" s="1"/>
  <c r="EC47" i="90"/>
  <c r="EU47" i="90" s="1"/>
  <c r="EY47" i="90" s="1"/>
  <c r="ED311" i="90"/>
  <c r="EV311" i="90" s="1"/>
  <c r="EX311" i="90" s="1"/>
  <c r="ED382" i="90"/>
  <c r="EV382" i="90" s="1"/>
  <c r="EX382" i="90" s="1"/>
  <c r="EC50" i="90"/>
  <c r="EU50" i="90" s="1"/>
  <c r="EY50" i="90" s="1"/>
  <c r="ED327" i="90"/>
  <c r="EV327" i="90" s="1"/>
  <c r="EX327" i="90" s="1"/>
  <c r="DT376" i="90"/>
  <c r="EK376" i="90"/>
  <c r="DT382" i="90"/>
  <c r="EK382" i="90"/>
  <c r="ET325" i="90"/>
  <c r="EZ325" i="90" s="1"/>
  <c r="EC325" i="90"/>
  <c r="ET309" i="90"/>
  <c r="EZ309" i="90" s="1"/>
  <c r="EC309" i="90"/>
  <c r="DU396" i="90"/>
  <c r="EM396" i="90" s="1"/>
  <c r="EL396" i="90"/>
  <c r="DT314" i="90"/>
  <c r="EK314" i="90"/>
  <c r="DT367" i="90"/>
  <c r="EK367" i="90"/>
  <c r="DT248" i="90"/>
  <c r="EK248" i="90"/>
  <c r="DT52" i="90"/>
  <c r="EK52" i="90"/>
  <c r="DT390" i="90"/>
  <c r="EK390" i="90"/>
  <c r="DT391" i="90"/>
  <c r="EK391" i="90"/>
  <c r="DT240" i="90"/>
  <c r="EK240" i="90"/>
  <c r="DT387" i="90"/>
  <c r="EK387" i="90"/>
  <c r="DT324" i="90"/>
  <c r="EK324" i="90"/>
  <c r="DU392" i="90"/>
  <c r="EM392" i="90" s="1"/>
  <c r="EL392" i="90"/>
  <c r="DT335" i="90"/>
  <c r="EK335" i="90"/>
  <c r="DT368" i="90"/>
  <c r="EK368" i="90"/>
  <c r="DT388" i="90"/>
  <c r="EK388" i="90"/>
  <c r="EU244" i="90"/>
  <c r="EY244" i="90" s="1"/>
  <c r="ED244" i="90"/>
  <c r="EV244" i="90" s="1"/>
  <c r="EX244" i="90" s="1"/>
  <c r="ET380" i="90"/>
  <c r="EZ380" i="90" s="1"/>
  <c r="EC380" i="90"/>
  <c r="DT63" i="90"/>
  <c r="EK63" i="90"/>
  <c r="DU238" i="90"/>
  <c r="EM238" i="90" s="1"/>
  <c r="EL238" i="90"/>
  <c r="DU338" i="90"/>
  <c r="EM338" i="90" s="1"/>
  <c r="EL338" i="90"/>
  <c r="DT332" i="90"/>
  <c r="EK332" i="90"/>
  <c r="DT49" i="90"/>
  <c r="EK49" i="90"/>
  <c r="DT381" i="90"/>
  <c r="EK381" i="90"/>
  <c r="DT323" i="90"/>
  <c r="EK323" i="90"/>
  <c r="DT315" i="90"/>
  <c r="EK315" i="90"/>
  <c r="DT50" i="90"/>
  <c r="EK50" i="90"/>
  <c r="DT365" i="90"/>
  <c r="EK365" i="90"/>
  <c r="DT309" i="90"/>
  <c r="EK309" i="90"/>
  <c r="DU242" i="90"/>
  <c r="EM242" i="90" s="1"/>
  <c r="EL242" i="90"/>
  <c r="DT326" i="90"/>
  <c r="EK326" i="90"/>
  <c r="ET62" i="90"/>
  <c r="EZ62" i="90" s="1"/>
  <c r="EC62" i="90"/>
  <c r="ET248" i="90"/>
  <c r="EZ248" i="90" s="1"/>
  <c r="EC248" i="90"/>
  <c r="EU240" i="90"/>
  <c r="EY240" i="90" s="1"/>
  <c r="ED240" i="90"/>
  <c r="EV240" i="90" s="1"/>
  <c r="EX240" i="90" s="1"/>
  <c r="DU371" i="90"/>
  <c r="EM371" i="90" s="1"/>
  <c r="EL371" i="90"/>
  <c r="DT384" i="90"/>
  <c r="EK384" i="90"/>
  <c r="DU385" i="90"/>
  <c r="EM385" i="90" s="1"/>
  <c r="EL385" i="90"/>
  <c r="DU379" i="90"/>
  <c r="EM379" i="90" s="1"/>
  <c r="EL379" i="90"/>
  <c r="DT394" i="90"/>
  <c r="EK394" i="90"/>
  <c r="DT316" i="90"/>
  <c r="EK316" i="90"/>
  <c r="DT245" i="90"/>
  <c r="EK245" i="90"/>
  <c r="DT389" i="90"/>
  <c r="EK389" i="90"/>
  <c r="DT246" i="90"/>
  <c r="EK246" i="90"/>
  <c r="DT243" i="90"/>
  <c r="EK243" i="90"/>
  <c r="DT339" i="90"/>
  <c r="EK339" i="90"/>
  <c r="DT375" i="90"/>
  <c r="EK375" i="90"/>
  <c r="DT373" i="90"/>
  <c r="EK373" i="90"/>
  <c r="DT380" i="90"/>
  <c r="EK380" i="90"/>
  <c r="DT318" i="90"/>
  <c r="EK318" i="90"/>
  <c r="DT322" i="90"/>
  <c r="EK322" i="90"/>
  <c r="DU393" i="90"/>
  <c r="EM393" i="90" s="1"/>
  <c r="EL393" i="90"/>
  <c r="DT372" i="90"/>
  <c r="EK372" i="90"/>
  <c r="DT62" i="90"/>
  <c r="EK62" i="90"/>
  <c r="ET242" i="90"/>
  <c r="EZ242" i="90" s="1"/>
  <c r="EC242" i="90"/>
  <c r="DT48" i="90"/>
  <c r="EK48" i="90"/>
  <c r="DT395" i="90"/>
  <c r="EK395" i="90"/>
  <c r="DT330" i="90"/>
  <c r="EK330" i="90"/>
  <c r="DT239" i="90"/>
  <c r="EK239" i="90"/>
  <c r="DT237" i="90"/>
  <c r="EK237" i="90"/>
  <c r="DT334" i="90"/>
  <c r="EK334" i="90"/>
  <c r="DT383" i="90"/>
  <c r="EK383" i="90"/>
  <c r="DU386" i="90"/>
  <c r="EM386" i="90" s="1"/>
  <c r="EL386" i="90"/>
  <c r="DT331" i="90"/>
  <c r="EK331" i="90"/>
  <c r="DT310" i="90"/>
  <c r="EK310" i="90"/>
  <c r="DT241" i="90"/>
  <c r="EK241" i="90"/>
  <c r="EC339" i="90"/>
  <c r="EU339" i="90" s="1"/>
  <c r="EY339" i="90" s="1"/>
  <c r="EC239" i="90"/>
  <c r="EU239" i="90" s="1"/>
  <c r="EY239" i="90" s="1"/>
  <c r="EC310" i="90"/>
  <c r="EU310" i="90" s="1"/>
  <c r="EY310" i="90" s="1"/>
  <c r="EC371" i="90"/>
  <c r="EU371" i="90" s="1"/>
  <c r="EY371" i="90" s="1"/>
  <c r="EC337" i="90"/>
  <c r="EU337" i="90" s="1"/>
  <c r="EY337" i="90" s="1"/>
  <c r="EC338" i="90"/>
  <c r="EU338" i="90" s="1"/>
  <c r="EY338" i="90" s="1"/>
  <c r="EC330" i="90"/>
  <c r="EU330" i="90" s="1"/>
  <c r="EY330" i="90" s="1"/>
  <c r="EC385" i="90"/>
  <c r="EU385" i="90" s="1"/>
  <c r="EY385" i="90" s="1"/>
  <c r="EC393" i="90"/>
  <c r="EU393" i="90" s="1"/>
  <c r="EY393" i="90" s="1"/>
  <c r="EC322" i="90"/>
  <c r="EU322" i="90" s="1"/>
  <c r="EY322" i="90" s="1"/>
  <c r="EC390" i="90"/>
  <c r="EU390" i="90" s="1"/>
  <c r="EY390" i="90" s="1"/>
  <c r="EC392" i="90"/>
  <c r="EU392" i="90" s="1"/>
  <c r="EY392" i="90" s="1"/>
  <c r="EC334" i="90"/>
  <c r="EU334" i="90" s="1"/>
  <c r="EY334" i="90" s="1"/>
  <c r="ED388" i="90"/>
  <c r="EV388" i="90" s="1"/>
  <c r="EX388" i="90" s="1"/>
  <c r="EC376" i="90"/>
  <c r="EU376" i="90" s="1"/>
  <c r="EY376" i="90" s="1"/>
  <c r="EC389" i="90"/>
  <c r="EU389" i="90" s="1"/>
  <c r="EY389" i="90" s="1"/>
  <c r="EC336" i="90"/>
  <c r="EU336" i="90" s="1"/>
  <c r="EY336" i="90" s="1"/>
  <c r="EC373" i="90"/>
  <c r="EU373" i="90" s="1"/>
  <c r="EY373" i="90" s="1"/>
  <c r="EC384" i="90"/>
  <c r="EU384" i="90" s="1"/>
  <c r="EY384" i="90" s="1"/>
  <c r="EC63" i="90"/>
  <c r="EU63" i="90" s="1"/>
  <c r="EY63" i="90" s="1"/>
  <c r="EC366" i="90"/>
  <c r="EU366" i="90" s="1"/>
  <c r="EY366" i="90" s="1"/>
  <c r="EC324" i="90"/>
  <c r="EU324" i="90" s="1"/>
  <c r="EY324" i="90" s="1"/>
  <c r="EC328" i="90"/>
  <c r="EU328" i="90" s="1"/>
  <c r="EY328" i="90" s="1"/>
  <c r="EC54" i="90"/>
  <c r="EU54" i="90" s="1"/>
  <c r="EY54" i="90" s="1"/>
  <c r="ED53" i="90"/>
  <c r="EV53" i="90" s="1"/>
  <c r="EX53" i="90" s="1"/>
  <c r="EC391" i="90"/>
  <c r="EU391" i="90" s="1"/>
  <c r="EY391" i="90" s="1"/>
  <c r="EC323" i="90"/>
  <c r="EU323" i="90" s="1"/>
  <c r="EY323" i="90" s="1"/>
  <c r="EC48" i="90"/>
  <c r="EU48" i="90" s="1"/>
  <c r="EY48" i="90" s="1"/>
  <c r="EC365" i="90"/>
  <c r="EU365" i="90" s="1"/>
  <c r="EY365" i="90" s="1"/>
  <c r="EC394" i="90"/>
  <c r="EU394" i="90" s="1"/>
  <c r="EY394" i="90" s="1"/>
  <c r="EC318" i="90"/>
  <c r="EU318" i="90" s="1"/>
  <c r="EY318" i="90" s="1"/>
  <c r="EC367" i="90"/>
  <c r="EU367" i="90" s="1"/>
  <c r="EY367" i="90" s="1"/>
  <c r="EC381" i="90"/>
  <c r="EU381" i="90" s="1"/>
  <c r="EY381" i="90" s="1"/>
  <c r="EC383" i="90"/>
  <c r="EU383" i="90" s="1"/>
  <c r="EY383" i="90" s="1"/>
  <c r="ED237" i="90"/>
  <c r="EV237" i="90" s="1"/>
  <c r="EX237" i="90" s="1"/>
  <c r="ED49" i="90"/>
  <c r="EV49" i="90" s="1"/>
  <c r="EX49" i="90" s="1"/>
  <c r="EC369" i="90"/>
  <c r="EU369" i="90" s="1"/>
  <c r="EY369" i="90" s="1"/>
  <c r="EC312" i="90"/>
  <c r="EU312" i="90" s="1"/>
  <c r="EY312" i="90" s="1"/>
  <c r="EC379" i="90"/>
  <c r="EU379" i="90" s="1"/>
  <c r="EY379" i="90" s="1"/>
  <c r="EC370" i="90"/>
  <c r="EU370" i="90" s="1"/>
  <c r="EY370" i="90" s="1"/>
  <c r="EC320" i="90"/>
  <c r="EU320" i="90" s="1"/>
  <c r="EY320" i="90" s="1"/>
  <c r="EC313" i="90"/>
  <c r="EU313" i="90" s="1"/>
  <c r="EY313" i="90" s="1"/>
  <c r="EC377" i="90"/>
  <c r="EU377" i="90" s="1"/>
  <c r="EY377" i="90" s="1"/>
  <c r="EC378" i="90"/>
  <c r="EU378" i="90" s="1"/>
  <c r="EY378" i="90" s="1"/>
  <c r="EC321" i="90"/>
  <c r="EU321" i="90" s="1"/>
  <c r="EY321" i="90" s="1"/>
  <c r="EC319" i="90"/>
  <c r="EU319" i="90" s="1"/>
  <c r="EY319" i="90" s="1"/>
  <c r="EC326" i="90"/>
  <c r="EU326" i="90" s="1"/>
  <c r="EY326" i="90" s="1"/>
  <c r="EC51" i="90"/>
  <c r="EU51" i="90" s="1"/>
  <c r="EY51" i="90" s="1"/>
  <c r="EC332" i="90"/>
  <c r="EU332" i="90" s="1"/>
  <c r="EY332" i="90" s="1"/>
  <c r="EC374" i="90"/>
  <c r="EU374" i="90" s="1"/>
  <c r="EY374" i="90" s="1"/>
  <c r="EC316" i="90"/>
  <c r="EU316" i="90" s="1"/>
  <c r="EY316" i="90" s="1"/>
  <c r="EC247" i="90"/>
  <c r="EU247" i="90" s="1"/>
  <c r="EY247" i="90" s="1"/>
  <c r="EC314" i="90"/>
  <c r="EU314" i="90" s="1"/>
  <c r="EY314" i="90" s="1"/>
  <c r="EC387" i="90"/>
  <c r="EU387" i="90" s="1"/>
  <c r="EY387" i="90" s="1"/>
  <c r="EC52" i="90"/>
  <c r="EU52" i="90" s="1"/>
  <c r="EY52" i="90" s="1"/>
  <c r="EC386" i="90"/>
  <c r="EU386" i="90" s="1"/>
  <c r="EY386" i="90" s="1"/>
  <c r="EC395" i="90"/>
  <c r="EU395" i="90" s="1"/>
  <c r="EY395" i="90" s="1"/>
  <c r="EC238" i="90"/>
  <c r="EU238" i="90" s="1"/>
  <c r="EY238" i="90" s="1"/>
  <c r="EC375" i="90"/>
  <c r="EU375" i="90" s="1"/>
  <c r="EY375" i="90" s="1"/>
  <c r="EC329" i="90"/>
  <c r="EU329" i="90" s="1"/>
  <c r="EY329" i="90" s="1"/>
  <c r="EC372" i="90"/>
  <c r="EU372" i="90" s="1"/>
  <c r="EY372" i="90" s="1"/>
  <c r="ED396" i="90"/>
  <c r="EV396" i="90" s="1"/>
  <c r="EX396" i="90" s="1"/>
  <c r="ED315" i="90" l="1"/>
  <c r="EV315" i="90" s="1"/>
  <c r="EX315" i="90" s="1"/>
  <c r="EU246" i="90"/>
  <c r="EY246" i="90" s="1"/>
  <c r="ED246" i="90"/>
  <c r="EV246" i="90" s="1"/>
  <c r="EX246" i="90" s="1"/>
  <c r="ED368" i="90"/>
  <c r="EV368" i="90" s="1"/>
  <c r="EX368" i="90" s="1"/>
  <c r="ED245" i="90"/>
  <c r="EV245" i="90" s="1"/>
  <c r="EX245" i="90" s="1"/>
  <c r="ED46" i="90"/>
  <c r="EV46" i="90" s="1"/>
  <c r="EX46" i="90" s="1"/>
  <c r="ED331" i="90"/>
  <c r="EV331" i="90" s="1"/>
  <c r="EX331" i="90" s="1"/>
  <c r="ED241" i="90"/>
  <c r="EV241" i="90" s="1"/>
  <c r="EX241" i="90" s="1"/>
  <c r="ED47" i="90"/>
  <c r="EV47" i="90" s="1"/>
  <c r="EX47" i="90" s="1"/>
  <c r="ED243" i="90"/>
  <c r="EV243" i="90" s="1"/>
  <c r="EX243" i="90" s="1"/>
  <c r="ED50" i="90"/>
  <c r="EV50" i="90" s="1"/>
  <c r="EX50" i="90" s="1"/>
  <c r="EU325" i="90"/>
  <c r="EY325" i="90" s="1"/>
  <c r="ED325" i="90"/>
  <c r="EV325" i="90" s="1"/>
  <c r="EX325" i="90" s="1"/>
  <c r="DU331" i="90"/>
  <c r="EM331" i="90" s="1"/>
  <c r="EL331" i="90"/>
  <c r="DU334" i="90"/>
  <c r="EM334" i="90" s="1"/>
  <c r="EL334" i="90"/>
  <c r="DU239" i="90"/>
  <c r="EM239" i="90" s="1"/>
  <c r="EL239" i="90"/>
  <c r="DU322" i="90"/>
  <c r="EM322" i="90" s="1"/>
  <c r="EL322" i="90"/>
  <c r="DU375" i="90"/>
  <c r="EM375" i="90" s="1"/>
  <c r="EL375" i="90"/>
  <c r="DU389" i="90"/>
  <c r="EM389" i="90" s="1"/>
  <c r="EL389" i="90"/>
  <c r="DU365" i="90"/>
  <c r="EM365" i="90" s="1"/>
  <c r="EL365" i="90"/>
  <c r="DU315" i="90"/>
  <c r="EM315" i="90" s="1"/>
  <c r="EL315" i="90"/>
  <c r="DU332" i="90"/>
  <c r="EM332" i="90" s="1"/>
  <c r="EL332" i="90"/>
  <c r="DU388" i="90"/>
  <c r="EM388" i="90" s="1"/>
  <c r="EL388" i="90"/>
  <c r="DU324" i="90"/>
  <c r="EM324" i="90" s="1"/>
  <c r="EL324" i="90"/>
  <c r="DU391" i="90"/>
  <c r="EM391" i="90" s="1"/>
  <c r="EL391" i="90"/>
  <c r="DU248" i="90"/>
  <c r="EM248" i="90" s="1"/>
  <c r="EL248" i="90"/>
  <c r="DU237" i="90"/>
  <c r="EM237" i="90" s="1"/>
  <c r="EL237" i="90"/>
  <c r="DU62" i="90"/>
  <c r="EM62" i="90" s="1"/>
  <c r="EL62" i="90"/>
  <c r="DU339" i="90"/>
  <c r="EM339" i="90" s="1"/>
  <c r="EL339" i="90"/>
  <c r="DU387" i="90"/>
  <c r="EM387" i="90" s="1"/>
  <c r="EL387" i="90"/>
  <c r="DU367" i="90"/>
  <c r="EM367" i="90" s="1"/>
  <c r="EL367" i="90"/>
  <c r="EU380" i="90"/>
  <c r="EY380" i="90" s="1"/>
  <c r="ED380" i="90"/>
  <c r="EV380" i="90" s="1"/>
  <c r="EX380" i="90" s="1"/>
  <c r="DU241" i="90"/>
  <c r="EM241" i="90" s="1"/>
  <c r="EL241" i="90"/>
  <c r="DU383" i="90"/>
  <c r="EM383" i="90" s="1"/>
  <c r="EL383" i="90"/>
  <c r="DU395" i="90"/>
  <c r="EM395" i="90" s="1"/>
  <c r="EL395" i="90"/>
  <c r="DU372" i="90"/>
  <c r="EM372" i="90" s="1"/>
  <c r="EL372" i="90"/>
  <c r="DU380" i="90"/>
  <c r="EM380" i="90" s="1"/>
  <c r="EL380" i="90"/>
  <c r="DU243" i="90"/>
  <c r="EM243" i="90" s="1"/>
  <c r="EL243" i="90"/>
  <c r="DU316" i="90"/>
  <c r="EM316" i="90" s="1"/>
  <c r="EL316" i="90"/>
  <c r="DU381" i="90"/>
  <c r="EM381" i="90" s="1"/>
  <c r="EL381" i="90"/>
  <c r="DU335" i="90"/>
  <c r="EM335" i="90" s="1"/>
  <c r="EL335" i="90"/>
  <c r="DU240" i="90"/>
  <c r="EM240" i="90" s="1"/>
  <c r="EL240" i="90"/>
  <c r="DU52" i="90"/>
  <c r="EM52" i="90" s="1"/>
  <c r="EL52" i="90"/>
  <c r="DU314" i="90"/>
  <c r="EM314" i="90" s="1"/>
  <c r="EL314" i="90"/>
  <c r="DU382" i="90"/>
  <c r="EM382" i="90" s="1"/>
  <c r="EL382" i="90"/>
  <c r="EU242" i="90"/>
  <c r="EY242" i="90" s="1"/>
  <c r="ED242" i="90"/>
  <c r="EV242" i="90" s="1"/>
  <c r="EX242" i="90" s="1"/>
  <c r="EU62" i="90"/>
  <c r="EY62" i="90" s="1"/>
  <c r="ED62" i="90"/>
  <c r="EV62" i="90" s="1"/>
  <c r="EX62" i="90" s="1"/>
  <c r="EU309" i="90"/>
  <c r="EY309" i="90" s="1"/>
  <c r="ED309" i="90"/>
  <c r="EV309" i="90" s="1"/>
  <c r="EX309" i="90" s="1"/>
  <c r="DU330" i="90"/>
  <c r="EM330" i="90" s="1"/>
  <c r="EL330" i="90"/>
  <c r="DU318" i="90"/>
  <c r="EM318" i="90" s="1"/>
  <c r="EL318" i="90"/>
  <c r="DU245" i="90"/>
  <c r="EM245" i="90" s="1"/>
  <c r="EL245" i="90"/>
  <c r="DU326" i="90"/>
  <c r="EM326" i="90" s="1"/>
  <c r="EL326" i="90"/>
  <c r="DU323" i="90"/>
  <c r="EM323" i="90" s="1"/>
  <c r="EL323" i="90"/>
  <c r="DU368" i="90"/>
  <c r="EM368" i="90" s="1"/>
  <c r="EL368" i="90"/>
  <c r="DU390" i="90"/>
  <c r="EM390" i="90" s="1"/>
  <c r="EL390" i="90"/>
  <c r="EU248" i="90"/>
  <c r="EY248" i="90" s="1"/>
  <c r="ED248" i="90"/>
  <c r="EV248" i="90" s="1"/>
  <c r="EX248" i="90" s="1"/>
  <c r="DU310" i="90"/>
  <c r="EM310" i="90" s="1"/>
  <c r="EL310" i="90"/>
  <c r="DU48" i="90"/>
  <c r="EM48" i="90" s="1"/>
  <c r="EL48" i="90"/>
  <c r="DU373" i="90"/>
  <c r="EM373" i="90" s="1"/>
  <c r="EL373" i="90"/>
  <c r="DU246" i="90"/>
  <c r="EM246" i="90" s="1"/>
  <c r="EL246" i="90"/>
  <c r="DU394" i="90"/>
  <c r="EM394" i="90" s="1"/>
  <c r="EL394" i="90"/>
  <c r="DU384" i="90"/>
  <c r="EM384" i="90" s="1"/>
  <c r="EL384" i="90"/>
  <c r="DU309" i="90"/>
  <c r="EM309" i="90" s="1"/>
  <c r="EL309" i="90"/>
  <c r="DU50" i="90"/>
  <c r="EM50" i="90" s="1"/>
  <c r="EL50" i="90"/>
  <c r="DU49" i="90"/>
  <c r="EM49" i="90" s="1"/>
  <c r="EL49" i="90"/>
  <c r="DU63" i="90"/>
  <c r="EM63" i="90" s="1"/>
  <c r="EL63" i="90"/>
  <c r="DU376" i="90"/>
  <c r="EM376" i="90" s="1"/>
  <c r="EL376" i="90"/>
  <c r="ED329" i="90"/>
  <c r="EV329" i="90" s="1"/>
  <c r="EX329" i="90" s="1"/>
  <c r="ED386" i="90"/>
  <c r="EV386" i="90" s="1"/>
  <c r="EX386" i="90" s="1"/>
  <c r="ED314" i="90"/>
  <c r="EV314" i="90" s="1"/>
  <c r="EX314" i="90" s="1"/>
  <c r="ED374" i="90"/>
  <c r="EV374" i="90" s="1"/>
  <c r="EX374" i="90" s="1"/>
  <c r="ED326" i="90"/>
  <c r="EV326" i="90" s="1"/>
  <c r="EX326" i="90" s="1"/>
  <c r="ED378" i="90"/>
  <c r="EV378" i="90" s="1"/>
  <c r="EX378" i="90" s="1"/>
  <c r="ED320" i="90"/>
  <c r="EV320" i="90" s="1"/>
  <c r="EX320" i="90" s="1"/>
  <c r="ED367" i="90"/>
  <c r="EV367" i="90" s="1"/>
  <c r="EX367" i="90" s="1"/>
  <c r="ED365" i="90"/>
  <c r="EV365" i="90" s="1"/>
  <c r="EX365" i="90" s="1"/>
  <c r="ED391" i="90"/>
  <c r="EV391" i="90" s="1"/>
  <c r="EX391" i="90" s="1"/>
  <c r="ED324" i="90"/>
  <c r="EV324" i="90" s="1"/>
  <c r="EX324" i="90" s="1"/>
  <c r="ED373" i="90"/>
  <c r="EV373" i="90" s="1"/>
  <c r="EX373" i="90" s="1"/>
  <c r="ED389" i="90"/>
  <c r="EV389" i="90" s="1"/>
  <c r="EX389" i="90" s="1"/>
  <c r="ED392" i="90"/>
  <c r="EV392" i="90" s="1"/>
  <c r="EX392" i="90" s="1"/>
  <c r="ED393" i="90"/>
  <c r="EV393" i="90" s="1"/>
  <c r="EX393" i="90" s="1"/>
  <c r="ED338" i="90"/>
  <c r="EV338" i="90" s="1"/>
  <c r="EX338" i="90" s="1"/>
  <c r="ED239" i="90"/>
  <c r="EV239" i="90" s="1"/>
  <c r="EX239" i="90" s="1"/>
  <c r="ED387" i="90"/>
  <c r="EV387" i="90" s="1"/>
  <c r="EX387" i="90" s="1"/>
  <c r="ED312" i="90"/>
  <c r="EV312" i="90" s="1"/>
  <c r="EX312" i="90" s="1"/>
  <c r="ED394" i="90"/>
  <c r="EV394" i="90" s="1"/>
  <c r="EX394" i="90" s="1"/>
  <c r="ED330" i="90"/>
  <c r="EV330" i="90" s="1"/>
  <c r="EX330" i="90" s="1"/>
  <c r="ED375" i="90"/>
  <c r="EV375" i="90" s="1"/>
  <c r="EX375" i="90" s="1"/>
  <c r="ED247" i="90"/>
  <c r="EV247" i="90" s="1"/>
  <c r="EX247" i="90" s="1"/>
  <c r="ED370" i="90"/>
  <c r="EV370" i="90" s="1"/>
  <c r="EX370" i="90" s="1"/>
  <c r="ED369" i="90"/>
  <c r="EV369" i="90" s="1"/>
  <c r="EX369" i="90" s="1"/>
  <c r="ED383" i="90"/>
  <c r="EV383" i="90" s="1"/>
  <c r="EX383" i="90" s="1"/>
  <c r="ED48" i="90"/>
  <c r="EV48" i="90" s="1"/>
  <c r="EX48" i="90" s="1"/>
  <c r="ED366" i="90"/>
  <c r="EV366" i="90" s="1"/>
  <c r="EX366" i="90" s="1"/>
  <c r="ED336" i="90"/>
  <c r="EV336" i="90" s="1"/>
  <c r="EX336" i="90" s="1"/>
  <c r="ED376" i="90"/>
  <c r="EV376" i="90" s="1"/>
  <c r="EX376" i="90" s="1"/>
  <c r="ED385" i="90"/>
  <c r="EV385" i="90" s="1"/>
  <c r="EX385" i="90" s="1"/>
  <c r="ED337" i="90"/>
  <c r="EV337" i="90" s="1"/>
  <c r="EX337" i="90" s="1"/>
  <c r="ED339" i="90"/>
  <c r="EV339" i="90" s="1"/>
  <c r="EX339" i="90" s="1"/>
  <c r="ED313" i="90"/>
  <c r="EV313" i="90" s="1"/>
  <c r="EX313" i="90" s="1"/>
  <c r="ED323" i="90"/>
  <c r="EV323" i="90" s="1"/>
  <c r="EX323" i="90" s="1"/>
  <c r="ED384" i="90"/>
  <c r="EV384" i="90" s="1"/>
  <c r="EX384" i="90" s="1"/>
  <c r="ED334" i="90"/>
  <c r="EV334" i="90" s="1"/>
  <c r="EX334" i="90" s="1"/>
  <c r="ED310" i="90"/>
  <c r="EV310" i="90" s="1"/>
  <c r="EX310" i="90" s="1"/>
  <c r="ED395" i="90"/>
  <c r="EV395" i="90" s="1"/>
  <c r="EX395" i="90" s="1"/>
  <c r="ED51" i="90"/>
  <c r="EV51" i="90" s="1"/>
  <c r="EX51" i="90" s="1"/>
  <c r="ED321" i="90"/>
  <c r="EV321" i="90" s="1"/>
  <c r="EX321" i="90" s="1"/>
  <c r="ED328" i="90"/>
  <c r="EV328" i="90" s="1"/>
  <c r="EX328" i="90" s="1"/>
  <c r="ED322" i="90"/>
  <c r="EV322" i="90" s="1"/>
  <c r="EX322" i="90" s="1"/>
  <c r="ED372" i="90"/>
  <c r="EV372" i="90" s="1"/>
  <c r="EX372" i="90" s="1"/>
  <c r="ED238" i="90"/>
  <c r="EV238" i="90" s="1"/>
  <c r="EX238" i="90" s="1"/>
  <c r="ED52" i="90"/>
  <c r="EV52" i="90" s="1"/>
  <c r="EX52" i="90" s="1"/>
  <c r="ED316" i="90"/>
  <c r="EV316" i="90" s="1"/>
  <c r="EX316" i="90" s="1"/>
  <c r="ED332" i="90"/>
  <c r="EV332" i="90" s="1"/>
  <c r="EX332" i="90" s="1"/>
  <c r="ED319" i="90"/>
  <c r="EV319" i="90" s="1"/>
  <c r="EX319" i="90" s="1"/>
  <c r="ED377" i="90"/>
  <c r="EV377" i="90" s="1"/>
  <c r="EX377" i="90" s="1"/>
  <c r="ED379" i="90"/>
  <c r="EV379" i="90" s="1"/>
  <c r="EX379" i="90" s="1"/>
  <c r="ED381" i="90"/>
  <c r="EV381" i="90" s="1"/>
  <c r="EX381" i="90" s="1"/>
  <c r="ED318" i="90"/>
  <c r="EV318" i="90" s="1"/>
  <c r="EX318" i="90" s="1"/>
  <c r="ED54" i="90"/>
  <c r="EV54" i="90" s="1"/>
  <c r="EX54" i="90" s="1"/>
  <c r="ED63" i="90"/>
  <c r="EV63" i="90" s="1"/>
  <c r="EX63" i="90" s="1"/>
  <c r="ED390" i="90"/>
  <c r="EV390" i="90" s="1"/>
  <c r="EX390" i="90" s="1"/>
  <c r="ED371" i="90"/>
  <c r="EV371" i="90" s="1"/>
  <c r="EX371" i="90" s="1"/>
  <c r="D22" i="90" l="1"/>
  <c r="D21" i="90"/>
  <c r="D20" i="90"/>
  <c r="D19" i="90"/>
  <c r="AR45" i="90"/>
  <c r="I15" i="90" s="1"/>
  <c r="AF22" i="98" s="1"/>
  <c r="AQ45" i="90"/>
  <c r="H15" i="90" s="1"/>
  <c r="AE22" i="98" s="1"/>
  <c r="AP45" i="90"/>
  <c r="G15" i="90" s="1"/>
  <c r="AD22" i="98" s="1"/>
  <c r="AO45" i="90"/>
  <c r="F15" i="90" s="1"/>
  <c r="AC22" i="98" s="1"/>
  <c r="AN45" i="90"/>
  <c r="E15" i="90" s="1"/>
  <c r="AB22" i="98" s="1"/>
  <c r="AM45" i="90"/>
  <c r="AG45" i="90"/>
  <c r="AF45" i="90"/>
  <c r="H14" i="90" s="1"/>
  <c r="AE21" i="98" s="1"/>
  <c r="AE45" i="90"/>
  <c r="G14" i="90" s="1"/>
  <c r="AD21" i="98" s="1"/>
  <c r="AD45" i="90"/>
  <c r="F14" i="90" s="1"/>
  <c r="AC21" i="98" s="1"/>
  <c r="AC45" i="90"/>
  <c r="AB45" i="90"/>
  <c r="V45" i="90"/>
  <c r="U45" i="90"/>
  <c r="T45" i="90"/>
  <c r="S45" i="90"/>
  <c r="R45" i="90"/>
  <c r="Q45" i="90"/>
  <c r="AA42" i="98" l="1"/>
  <c r="AA41" i="98"/>
  <c r="AA43" i="98"/>
  <c r="AA44" i="98"/>
  <c r="E14" i="90"/>
  <c r="AB21" i="98" s="1"/>
  <c r="I14" i="90"/>
  <c r="AF21" i="98" s="1"/>
  <c r="AA45" i="98" l="1"/>
  <c r="W18" i="56"/>
  <c r="D63" i="56"/>
  <c r="D52" i="56"/>
  <c r="I52" i="56"/>
  <c r="D53" i="56"/>
  <c r="I53" i="56"/>
  <c r="D54" i="56"/>
  <c r="I54" i="56"/>
  <c r="D62" i="56"/>
  <c r="I62" i="56"/>
  <c r="I63" i="56"/>
  <c r="Y17" i="56"/>
  <c r="Y97" i="44" s="1"/>
  <c r="X18" i="56"/>
  <c r="X168" i="44" l="1"/>
  <c r="X113" i="41"/>
  <c r="W168" i="44"/>
  <c r="W113" i="41"/>
  <c r="W66" i="57"/>
  <c r="V66" i="57"/>
  <c r="U66" i="57"/>
  <c r="T66" i="57"/>
  <c r="S66" i="57"/>
  <c r="R66" i="36"/>
  <c r="AA37" i="93" l="1"/>
  <c r="AA38" i="93" s="1"/>
  <c r="AB37" i="93"/>
  <c r="AB38" i="93" s="1"/>
  <c r="AH107" i="89" l="1"/>
  <c r="AH21" i="89" s="1"/>
  <c r="AH23" i="89" s="1"/>
  <c r="AI107" i="89"/>
  <c r="AI21" i="89" s="1"/>
  <c r="AI23" i="89" s="1"/>
  <c r="AJ107" i="89"/>
  <c r="AJ21" i="89" s="1"/>
  <c r="AJ23" i="89" s="1"/>
  <c r="AK107" i="89"/>
  <c r="AK21" i="89" s="1"/>
  <c r="AK23" i="89" s="1"/>
  <c r="AO24" i="89" s="1"/>
  <c r="AL108" i="89" l="1"/>
  <c r="AA49" i="89"/>
  <c r="AA17" i="89" s="1"/>
  <c r="AA19" i="89" s="1"/>
  <c r="AE20" i="89" s="1"/>
  <c r="U87" i="41"/>
  <c r="V87" i="41"/>
  <c r="W87" i="41"/>
  <c r="X87" i="41"/>
  <c r="Y87" i="41"/>
  <c r="Z87" i="41"/>
  <c r="AA87" i="41"/>
  <c r="AB87" i="41"/>
  <c r="AB51" i="89" l="1"/>
  <c r="C30" i="5"/>
  <c r="AF7" i="92"/>
  <c r="R72" i="30" l="1"/>
  <c r="R65" i="30"/>
  <c r="Z40" i="89" l="1"/>
  <c r="AA40" i="89"/>
  <c r="AB41" i="89" s="1"/>
  <c r="Z48" i="89"/>
  <c r="Z13" i="89" s="1"/>
  <c r="Z15" i="89" s="1"/>
  <c r="AA48" i="89"/>
  <c r="AA13" i="89" s="1"/>
  <c r="AA15" i="89" s="1"/>
  <c r="Z49" i="89"/>
  <c r="Z17" i="89" s="1"/>
  <c r="Z19" i="89" s="1"/>
  <c r="AH66" i="89"/>
  <c r="AI66" i="89"/>
  <c r="AJ66" i="89"/>
  <c r="AK66" i="89"/>
  <c r="AL67" i="89" s="1"/>
  <c r="AH72" i="89"/>
  <c r="AI72" i="89"/>
  <c r="AJ72" i="89"/>
  <c r="AK72" i="89"/>
  <c r="AL73" i="89" s="1"/>
  <c r="AH78" i="89"/>
  <c r="AI78" i="89"/>
  <c r="AJ78" i="89"/>
  <c r="AK78" i="89"/>
  <c r="AL79" i="89" s="1"/>
  <c r="AH87" i="89"/>
  <c r="AI87" i="89"/>
  <c r="AJ87" i="89"/>
  <c r="AK87" i="89"/>
  <c r="AH93" i="89"/>
  <c r="AI93" i="89"/>
  <c r="AJ93" i="89"/>
  <c r="AK93" i="89"/>
  <c r="AL94" i="89" s="1"/>
  <c r="AA104" i="89"/>
  <c r="AB104" i="89"/>
  <c r="AC104" i="89"/>
  <c r="AD104" i="89"/>
  <c r="AE104" i="89"/>
  <c r="AF104" i="89"/>
  <c r="AG104" i="89"/>
  <c r="AH104" i="89"/>
  <c r="AI104" i="89"/>
  <c r="AJ104" i="89"/>
  <c r="AK104" i="89"/>
  <c r="AI108" i="89"/>
  <c r="AJ108" i="89"/>
  <c r="AK108" i="89"/>
  <c r="AH99" i="89"/>
  <c r="AI99" i="89"/>
  <c r="AJ99" i="89"/>
  <c r="AK99" i="89"/>
  <c r="AL100" i="89" s="1"/>
  <c r="AH118" i="89"/>
  <c r="AH25" i="89" s="1"/>
  <c r="AH27" i="89" s="1"/>
  <c r="AI118" i="89"/>
  <c r="AI25" i="89" s="1"/>
  <c r="AI27" i="89" s="1"/>
  <c r="AJ118" i="89"/>
  <c r="AJ25" i="89" s="1"/>
  <c r="AJ27" i="89" s="1"/>
  <c r="AK118" i="89"/>
  <c r="AK25" i="89" s="1"/>
  <c r="AK27" i="89" s="1"/>
  <c r="AO28" i="89" s="1"/>
  <c r="AH129" i="89"/>
  <c r="AH29" i="89" s="1"/>
  <c r="AH31" i="89" s="1"/>
  <c r="AI129" i="89"/>
  <c r="AI29" i="89" s="1"/>
  <c r="AI31" i="89" s="1"/>
  <c r="AJ129" i="89"/>
  <c r="AJ29" i="89" s="1"/>
  <c r="AJ31" i="89" s="1"/>
  <c r="AK129" i="89"/>
  <c r="AK29" i="89" s="1"/>
  <c r="AK31" i="89" s="1"/>
  <c r="AO32" i="89" s="1"/>
  <c r="AJ67" i="89" l="1"/>
  <c r="AL119" i="89"/>
  <c r="AL130" i="89"/>
  <c r="AK88" i="89"/>
  <c r="AL88" i="89"/>
  <c r="AJ88" i="89"/>
  <c r="AK100" i="89"/>
  <c r="AJ73" i="89"/>
  <c r="AJ94" i="89"/>
  <c r="AJ119" i="89"/>
  <c r="AI130" i="89"/>
  <c r="AI79" i="89"/>
  <c r="AI119" i="89"/>
  <c r="AJ130" i="89"/>
  <c r="AK119" i="89"/>
  <c r="AI94" i="89"/>
  <c r="AK130" i="89"/>
  <c r="AK94" i="89"/>
  <c r="AI88" i="89"/>
  <c r="AK73" i="89"/>
  <c r="AI67" i="89"/>
  <c r="AI73" i="89"/>
  <c r="AK67" i="89"/>
  <c r="AJ79" i="89"/>
  <c r="AK79" i="89"/>
  <c r="AI100" i="89"/>
  <c r="AJ100" i="89"/>
  <c r="J183" i="44" l="1"/>
  <c r="J184" i="44"/>
  <c r="J80" i="44"/>
  <c r="AF208" i="44" l="1"/>
  <c r="AC28" i="44"/>
  <c r="AC100" i="44" s="1"/>
  <c r="AD28" i="44"/>
  <c r="AD100" i="44" s="1"/>
  <c r="AE28" i="44"/>
  <c r="AE100" i="44" s="1"/>
  <c r="AC20" i="44"/>
  <c r="AC91" i="44" s="1"/>
  <c r="AD20" i="44"/>
  <c r="AD91" i="44" s="1"/>
  <c r="AE20" i="44"/>
  <c r="AE91" i="44" s="1"/>
  <c r="L55" i="57"/>
  <c r="M55" i="57"/>
  <c r="N55" i="57"/>
  <c r="O55" i="57"/>
  <c r="P55" i="57"/>
  <c r="Q55" i="57"/>
  <c r="R55" i="57"/>
  <c r="S55" i="57"/>
  <c r="T55" i="57"/>
  <c r="U55" i="57"/>
  <c r="V55" i="57"/>
  <c r="W55" i="57"/>
  <c r="X55" i="57"/>
  <c r="Y55" i="57"/>
  <c r="Z55" i="57"/>
  <c r="AA55" i="57"/>
  <c r="AB55" i="57"/>
  <c r="AC55" i="57"/>
  <c r="AD55" i="57"/>
  <c r="AE55" i="57"/>
  <c r="AF55" i="57"/>
  <c r="T55" i="36"/>
  <c r="U55" i="36"/>
  <c r="V55" i="36"/>
  <c r="W55" i="36"/>
  <c r="X55" i="36"/>
  <c r="Y55" i="36"/>
  <c r="Z55" i="36"/>
  <c r="AA55" i="36"/>
  <c r="AB55" i="36"/>
  <c r="AC55" i="36"/>
  <c r="AD55" i="36"/>
  <c r="AE55" i="36"/>
  <c r="AF55" i="36"/>
  <c r="AJ55" i="36"/>
  <c r="S55" i="36"/>
  <c r="AA19" i="41"/>
  <c r="D22" i="98" l="1"/>
  <c r="AC15" i="57"/>
  <c r="AD15" i="57"/>
  <c r="AE15" i="57"/>
  <c r="AF15" i="57"/>
  <c r="AC49" i="57"/>
  <c r="AC57" i="57" s="1"/>
  <c r="AC12" i="57" s="1"/>
  <c r="AD49" i="57"/>
  <c r="AD57" i="57" s="1"/>
  <c r="AD12" i="57" s="1"/>
  <c r="AE49" i="57"/>
  <c r="AE57" i="57" s="1"/>
  <c r="AE12" i="57" s="1"/>
  <c r="AF49" i="57"/>
  <c r="AF57" i="57" s="1"/>
  <c r="AF12" i="57" s="1"/>
  <c r="AJ12" i="57"/>
  <c r="F73" i="57"/>
  <c r="AP73" i="57" s="1"/>
  <c r="G73" i="57"/>
  <c r="H73" i="57"/>
  <c r="I73" i="57"/>
  <c r="AQ73" i="57" s="1"/>
  <c r="F74" i="57"/>
  <c r="AP74" i="57" s="1"/>
  <c r="G74" i="57"/>
  <c r="H74" i="57"/>
  <c r="I74" i="57"/>
  <c r="AQ74" i="57" s="1"/>
  <c r="F76" i="57"/>
  <c r="AP76" i="57" s="1"/>
  <c r="G76" i="57"/>
  <c r="H76" i="57"/>
  <c r="I76" i="57"/>
  <c r="AQ76" i="57" s="1"/>
  <c r="F77" i="57"/>
  <c r="AP77" i="57" s="1"/>
  <c r="G77" i="57"/>
  <c r="H77" i="57"/>
  <c r="I77" i="57"/>
  <c r="AQ77" i="57" s="1"/>
  <c r="F79" i="57"/>
  <c r="AP79" i="57" s="1"/>
  <c r="G79" i="57"/>
  <c r="H79" i="57"/>
  <c r="I79" i="57"/>
  <c r="AQ79" i="57" s="1"/>
  <c r="F80" i="57"/>
  <c r="AP80" i="57" s="1"/>
  <c r="G80" i="57"/>
  <c r="H80" i="57"/>
  <c r="I80" i="57"/>
  <c r="AQ80" i="57" s="1"/>
  <c r="F82" i="57"/>
  <c r="AP82" i="57" s="1"/>
  <c r="G82" i="57"/>
  <c r="H82" i="57"/>
  <c r="I82" i="57"/>
  <c r="AQ82" i="57" s="1"/>
  <c r="F83" i="57"/>
  <c r="AP83" i="57" s="1"/>
  <c r="G83" i="57"/>
  <c r="H83" i="57"/>
  <c r="I83" i="57"/>
  <c r="AQ83" i="57" s="1"/>
  <c r="F85" i="57"/>
  <c r="AP85" i="57" s="1"/>
  <c r="G85" i="57"/>
  <c r="H85" i="57"/>
  <c r="I85" i="57"/>
  <c r="AQ85" i="57" s="1"/>
  <c r="F86" i="57"/>
  <c r="AP86" i="57" s="1"/>
  <c r="G86" i="57"/>
  <c r="H86" i="57"/>
  <c r="I86" i="57"/>
  <c r="AQ86" i="57" s="1"/>
  <c r="F88" i="57"/>
  <c r="AP88" i="57" s="1"/>
  <c r="G88" i="57"/>
  <c r="H88" i="57"/>
  <c r="I88" i="57"/>
  <c r="AQ88" i="57" s="1"/>
  <c r="F89" i="57"/>
  <c r="AP89" i="57" s="1"/>
  <c r="G89" i="57"/>
  <c r="H89" i="57"/>
  <c r="I89" i="57"/>
  <c r="AQ89" i="57" s="1"/>
  <c r="F91" i="57"/>
  <c r="AP91" i="57" s="1"/>
  <c r="G91" i="57"/>
  <c r="H91" i="57"/>
  <c r="I91" i="57"/>
  <c r="AQ91" i="57" s="1"/>
  <c r="F92" i="57"/>
  <c r="AP92" i="57" s="1"/>
  <c r="G92" i="57"/>
  <c r="H92" i="57"/>
  <c r="I92" i="57"/>
  <c r="AQ92" i="57" s="1"/>
  <c r="F94" i="57"/>
  <c r="AP94" i="57" s="1"/>
  <c r="G94" i="57"/>
  <c r="H94" i="57"/>
  <c r="I94" i="57"/>
  <c r="AQ94" i="57" s="1"/>
  <c r="F95" i="57"/>
  <c r="AP95" i="57" s="1"/>
  <c r="G95" i="57"/>
  <c r="H95" i="57"/>
  <c r="I95" i="57"/>
  <c r="AQ95" i="57" s="1"/>
  <c r="F97" i="57"/>
  <c r="AP97" i="57" s="1"/>
  <c r="G97" i="57"/>
  <c r="H97" i="57"/>
  <c r="I97" i="57"/>
  <c r="AQ97" i="57" s="1"/>
  <c r="F98" i="57"/>
  <c r="AP98" i="57" s="1"/>
  <c r="G98" i="57"/>
  <c r="H98" i="57"/>
  <c r="I98" i="57"/>
  <c r="AQ98" i="57" s="1"/>
  <c r="F100" i="57"/>
  <c r="AP100" i="57" s="1"/>
  <c r="G100" i="57"/>
  <c r="H100" i="57"/>
  <c r="I100" i="57"/>
  <c r="AQ100" i="57" s="1"/>
  <c r="F101" i="57"/>
  <c r="AP101" i="57" s="1"/>
  <c r="G101" i="57"/>
  <c r="H101" i="57"/>
  <c r="I101" i="57"/>
  <c r="AQ101" i="57" s="1"/>
  <c r="F103" i="57"/>
  <c r="AP103" i="57" s="1"/>
  <c r="G103" i="57"/>
  <c r="H103" i="57"/>
  <c r="I103" i="57"/>
  <c r="AQ103" i="57" s="1"/>
  <c r="F104" i="57"/>
  <c r="AP104" i="57" s="1"/>
  <c r="G104" i="57"/>
  <c r="H104" i="57"/>
  <c r="I104" i="57"/>
  <c r="AQ104" i="57" s="1"/>
  <c r="F106" i="57"/>
  <c r="AP106" i="57" s="1"/>
  <c r="G106" i="57"/>
  <c r="H106" i="57"/>
  <c r="I106" i="57"/>
  <c r="AQ106" i="57" s="1"/>
  <c r="F107" i="57"/>
  <c r="AP107" i="57" s="1"/>
  <c r="G107" i="57"/>
  <c r="H107" i="57"/>
  <c r="I107" i="57"/>
  <c r="AQ107" i="57" s="1"/>
  <c r="F109" i="57"/>
  <c r="AP109" i="57" s="1"/>
  <c r="G109" i="57"/>
  <c r="H109" i="57"/>
  <c r="I109" i="57"/>
  <c r="AQ109" i="57" s="1"/>
  <c r="F110" i="57"/>
  <c r="AP110" i="57" s="1"/>
  <c r="G110" i="57"/>
  <c r="H110" i="57"/>
  <c r="I110" i="57"/>
  <c r="AQ110" i="57" s="1"/>
  <c r="F112" i="57"/>
  <c r="AP112" i="57" s="1"/>
  <c r="G112" i="57"/>
  <c r="H112" i="57"/>
  <c r="I112" i="57"/>
  <c r="AQ112" i="57" s="1"/>
  <c r="F113" i="57"/>
  <c r="AP113" i="57" s="1"/>
  <c r="G113" i="57"/>
  <c r="H113" i="57"/>
  <c r="I113" i="57"/>
  <c r="AQ113" i="57" s="1"/>
  <c r="F115" i="57"/>
  <c r="AP115" i="57" s="1"/>
  <c r="G115" i="57"/>
  <c r="H115" i="57"/>
  <c r="I115" i="57"/>
  <c r="AQ115" i="57" s="1"/>
  <c r="F116" i="57"/>
  <c r="AP116" i="57" s="1"/>
  <c r="G116" i="57"/>
  <c r="H116" i="57"/>
  <c r="I116" i="57"/>
  <c r="AQ116" i="57" s="1"/>
  <c r="F118" i="57"/>
  <c r="AP118" i="57" s="1"/>
  <c r="G118" i="57"/>
  <c r="H118" i="57"/>
  <c r="I118" i="57"/>
  <c r="AQ118" i="57" s="1"/>
  <c r="F119" i="57"/>
  <c r="AP119" i="57" s="1"/>
  <c r="G119" i="57"/>
  <c r="H119" i="57"/>
  <c r="I119" i="57"/>
  <c r="AQ119" i="57" s="1"/>
  <c r="F121" i="57"/>
  <c r="AP121" i="57" s="1"/>
  <c r="G121" i="57"/>
  <c r="H121" i="57"/>
  <c r="I121" i="57"/>
  <c r="AQ121" i="57" s="1"/>
  <c r="F122" i="57"/>
  <c r="AP122" i="57" s="1"/>
  <c r="G122" i="57"/>
  <c r="H122" i="57"/>
  <c r="I122" i="57"/>
  <c r="AQ122" i="57" s="1"/>
  <c r="F124" i="57"/>
  <c r="AP124" i="57" s="1"/>
  <c r="G124" i="57"/>
  <c r="H124" i="57"/>
  <c r="I124" i="57"/>
  <c r="AQ124" i="57" s="1"/>
  <c r="F125" i="57"/>
  <c r="AP125" i="57" s="1"/>
  <c r="G125" i="57"/>
  <c r="H125" i="57"/>
  <c r="I125" i="57"/>
  <c r="AQ125" i="57" s="1"/>
  <c r="F127" i="57"/>
  <c r="AP127" i="57" s="1"/>
  <c r="G127" i="57"/>
  <c r="H127" i="57"/>
  <c r="I127" i="57"/>
  <c r="AQ127" i="57" s="1"/>
  <c r="F128" i="57"/>
  <c r="AP128" i="57" s="1"/>
  <c r="G128" i="57"/>
  <c r="H128" i="57"/>
  <c r="I128" i="57"/>
  <c r="AQ128" i="57" s="1"/>
  <c r="F130" i="57"/>
  <c r="AP130" i="57" s="1"/>
  <c r="G130" i="57"/>
  <c r="H130" i="57"/>
  <c r="I130" i="57"/>
  <c r="AQ130" i="57" s="1"/>
  <c r="F131" i="57"/>
  <c r="AP131" i="57" s="1"/>
  <c r="G131" i="57"/>
  <c r="H131" i="57"/>
  <c r="I131" i="57"/>
  <c r="AQ131" i="57" s="1"/>
  <c r="F133" i="57"/>
  <c r="AP133" i="57" s="1"/>
  <c r="G133" i="57"/>
  <c r="H133" i="57"/>
  <c r="I133" i="57"/>
  <c r="AQ133" i="57" s="1"/>
  <c r="F134" i="57"/>
  <c r="AP134" i="57" s="1"/>
  <c r="G134" i="57"/>
  <c r="H134" i="57"/>
  <c r="I134" i="57"/>
  <c r="AQ134" i="57" s="1"/>
  <c r="F136" i="57"/>
  <c r="AP136" i="57" s="1"/>
  <c r="G136" i="57"/>
  <c r="H136" i="57"/>
  <c r="I136" i="57"/>
  <c r="AQ136" i="57" s="1"/>
  <c r="F137" i="57"/>
  <c r="AP137" i="57" s="1"/>
  <c r="G137" i="57"/>
  <c r="H137" i="57"/>
  <c r="I137" i="57"/>
  <c r="AQ137" i="57" s="1"/>
  <c r="F139" i="57"/>
  <c r="AP139" i="57" s="1"/>
  <c r="G139" i="57"/>
  <c r="H139" i="57"/>
  <c r="I139" i="57"/>
  <c r="AQ139" i="57" s="1"/>
  <c r="F140" i="57"/>
  <c r="AP140" i="57" s="1"/>
  <c r="G140" i="57"/>
  <c r="H140" i="57"/>
  <c r="I140" i="57"/>
  <c r="AQ140" i="57" s="1"/>
  <c r="F142" i="57"/>
  <c r="AP142" i="57" s="1"/>
  <c r="G142" i="57"/>
  <c r="H142" i="57"/>
  <c r="I142" i="57"/>
  <c r="AQ142" i="57" s="1"/>
  <c r="F143" i="57"/>
  <c r="AP143" i="57" s="1"/>
  <c r="G143" i="57"/>
  <c r="H143" i="57"/>
  <c r="I143" i="57"/>
  <c r="AQ143" i="57" s="1"/>
  <c r="F145" i="57"/>
  <c r="AP145" i="57" s="1"/>
  <c r="G145" i="57"/>
  <c r="H145" i="57"/>
  <c r="I145" i="57"/>
  <c r="AQ145" i="57" s="1"/>
  <c r="F146" i="57"/>
  <c r="AP146" i="57" s="1"/>
  <c r="G146" i="57"/>
  <c r="H146" i="57"/>
  <c r="I146" i="57"/>
  <c r="AQ146" i="57" s="1"/>
  <c r="F148" i="57"/>
  <c r="AP148" i="57" s="1"/>
  <c r="G148" i="57"/>
  <c r="H148" i="57"/>
  <c r="I148" i="57"/>
  <c r="AQ148" i="57" s="1"/>
  <c r="F149" i="57"/>
  <c r="AP149" i="57" s="1"/>
  <c r="G149" i="57"/>
  <c r="H149" i="57"/>
  <c r="I149" i="57"/>
  <c r="AQ149" i="57" s="1"/>
  <c r="F151" i="57"/>
  <c r="AP151" i="57" s="1"/>
  <c r="G151" i="57"/>
  <c r="H151" i="57"/>
  <c r="I151" i="57"/>
  <c r="AQ151" i="57" s="1"/>
  <c r="F152" i="57"/>
  <c r="AP152" i="57" s="1"/>
  <c r="G152" i="57"/>
  <c r="H152" i="57"/>
  <c r="I152" i="57"/>
  <c r="AQ152" i="57" s="1"/>
  <c r="F154" i="57"/>
  <c r="AP154" i="57" s="1"/>
  <c r="G154" i="57"/>
  <c r="H154" i="57"/>
  <c r="I154" i="57"/>
  <c r="AQ154" i="57" s="1"/>
  <c r="F155" i="57"/>
  <c r="AP155" i="57" s="1"/>
  <c r="G155" i="57"/>
  <c r="H155" i="57"/>
  <c r="I155" i="57"/>
  <c r="AQ155" i="57" s="1"/>
  <c r="F157" i="57"/>
  <c r="AP157" i="57" s="1"/>
  <c r="G157" i="57"/>
  <c r="H157" i="57"/>
  <c r="I157" i="57"/>
  <c r="AQ157" i="57" s="1"/>
  <c r="F158" i="57"/>
  <c r="AP158" i="57" s="1"/>
  <c r="G158" i="57"/>
  <c r="H158" i="57"/>
  <c r="I158" i="57"/>
  <c r="AQ158" i="57" s="1"/>
  <c r="F160" i="57"/>
  <c r="AP160" i="57" s="1"/>
  <c r="G160" i="57"/>
  <c r="H160" i="57"/>
  <c r="I160" i="57"/>
  <c r="AQ160" i="57" s="1"/>
  <c r="F161" i="57"/>
  <c r="AP161" i="57" s="1"/>
  <c r="G161" i="57"/>
  <c r="H161" i="57"/>
  <c r="I161" i="57"/>
  <c r="AQ161" i="57" s="1"/>
  <c r="F163" i="57"/>
  <c r="AP163" i="57" s="1"/>
  <c r="G163" i="57"/>
  <c r="H163" i="57"/>
  <c r="I163" i="57"/>
  <c r="AQ163" i="57" s="1"/>
  <c r="F164" i="57"/>
  <c r="AP164" i="57" s="1"/>
  <c r="G164" i="57"/>
  <c r="H164" i="57"/>
  <c r="I164" i="57"/>
  <c r="AQ164" i="57" s="1"/>
  <c r="F166" i="57"/>
  <c r="AP166" i="57" s="1"/>
  <c r="G166" i="57"/>
  <c r="H166" i="57"/>
  <c r="I166" i="57"/>
  <c r="AQ166" i="57" s="1"/>
  <c r="F167" i="57"/>
  <c r="AP167" i="57" s="1"/>
  <c r="G167" i="57"/>
  <c r="H167" i="57"/>
  <c r="I167" i="57"/>
  <c r="AQ167" i="57" s="1"/>
  <c r="F169" i="57"/>
  <c r="AP169" i="57" s="1"/>
  <c r="G169" i="57"/>
  <c r="H169" i="57"/>
  <c r="I169" i="57"/>
  <c r="AQ169" i="57" s="1"/>
  <c r="F170" i="57"/>
  <c r="AP170" i="57" s="1"/>
  <c r="G170" i="57"/>
  <c r="H170" i="57"/>
  <c r="I170" i="57"/>
  <c r="AQ170" i="57" s="1"/>
  <c r="F172" i="57"/>
  <c r="AP172" i="57" s="1"/>
  <c r="G172" i="57"/>
  <c r="H172" i="57"/>
  <c r="I172" i="57"/>
  <c r="AQ172" i="57" s="1"/>
  <c r="F173" i="57"/>
  <c r="AP173" i="57" s="1"/>
  <c r="G173" i="57"/>
  <c r="H173" i="57"/>
  <c r="I173" i="57"/>
  <c r="AQ173" i="57" s="1"/>
  <c r="F175" i="57"/>
  <c r="AP175" i="57" s="1"/>
  <c r="G175" i="57"/>
  <c r="H175" i="57"/>
  <c r="I175" i="57"/>
  <c r="AQ175" i="57" s="1"/>
  <c r="F176" i="57"/>
  <c r="AP176" i="57" s="1"/>
  <c r="G176" i="57"/>
  <c r="H176" i="57"/>
  <c r="I176" i="57"/>
  <c r="AQ176" i="57" s="1"/>
  <c r="F178" i="57"/>
  <c r="AP178" i="57" s="1"/>
  <c r="G178" i="57"/>
  <c r="H178" i="57"/>
  <c r="I178" i="57"/>
  <c r="AQ178" i="57" s="1"/>
  <c r="F179" i="57"/>
  <c r="AP179" i="57" s="1"/>
  <c r="G179" i="57"/>
  <c r="H179" i="57"/>
  <c r="I179" i="57"/>
  <c r="AQ179" i="57" s="1"/>
  <c r="F181" i="57"/>
  <c r="AP181" i="57" s="1"/>
  <c r="G181" i="57"/>
  <c r="H181" i="57"/>
  <c r="I181" i="57"/>
  <c r="AQ181" i="57" s="1"/>
  <c r="F182" i="57"/>
  <c r="AP182" i="57" s="1"/>
  <c r="G182" i="57"/>
  <c r="H182" i="57"/>
  <c r="I182" i="57"/>
  <c r="AQ182" i="57" s="1"/>
  <c r="F184" i="57"/>
  <c r="AP184" i="57" s="1"/>
  <c r="G184" i="57"/>
  <c r="H184" i="57"/>
  <c r="I184" i="57"/>
  <c r="AQ184" i="57" s="1"/>
  <c r="F185" i="57"/>
  <c r="AP185" i="57" s="1"/>
  <c r="G185" i="57"/>
  <c r="H185" i="57"/>
  <c r="I185" i="57"/>
  <c r="AQ185" i="57" s="1"/>
  <c r="F187" i="57"/>
  <c r="AP187" i="57" s="1"/>
  <c r="G187" i="57"/>
  <c r="H187" i="57"/>
  <c r="I187" i="57"/>
  <c r="AQ187" i="57" s="1"/>
  <c r="F188" i="57"/>
  <c r="AP188" i="57" s="1"/>
  <c r="G188" i="57"/>
  <c r="H188" i="57"/>
  <c r="I188" i="57"/>
  <c r="AQ188" i="57" s="1"/>
  <c r="F190" i="57"/>
  <c r="AP190" i="57" s="1"/>
  <c r="G190" i="57"/>
  <c r="H190" i="57"/>
  <c r="I190" i="57"/>
  <c r="AQ190" i="57" s="1"/>
  <c r="F191" i="57"/>
  <c r="AP191" i="57" s="1"/>
  <c r="G191" i="57"/>
  <c r="H191" i="57"/>
  <c r="I191" i="57"/>
  <c r="AQ191" i="57" s="1"/>
  <c r="F193" i="57"/>
  <c r="AP193" i="57" s="1"/>
  <c r="G193" i="57"/>
  <c r="H193" i="57"/>
  <c r="I193" i="57"/>
  <c r="AQ193" i="57" s="1"/>
  <c r="F194" i="57"/>
  <c r="AP194" i="57" s="1"/>
  <c r="G194" i="57"/>
  <c r="H194" i="57"/>
  <c r="I194" i="57"/>
  <c r="AQ194" i="57" s="1"/>
  <c r="F196" i="57"/>
  <c r="AP196" i="57" s="1"/>
  <c r="G196" i="57"/>
  <c r="H196" i="57"/>
  <c r="I196" i="57"/>
  <c r="AQ196" i="57" s="1"/>
  <c r="F197" i="57"/>
  <c r="AP197" i="57" s="1"/>
  <c r="G197" i="57"/>
  <c r="H197" i="57"/>
  <c r="I197" i="57"/>
  <c r="AQ197" i="57" s="1"/>
  <c r="F199" i="57"/>
  <c r="AP199" i="57" s="1"/>
  <c r="G199" i="57"/>
  <c r="H199" i="57"/>
  <c r="I199" i="57"/>
  <c r="AQ199" i="57" s="1"/>
  <c r="F200" i="57"/>
  <c r="AP200" i="57" s="1"/>
  <c r="G200" i="57"/>
  <c r="H200" i="57"/>
  <c r="I200" i="57"/>
  <c r="AQ200" i="57" s="1"/>
  <c r="F202" i="57"/>
  <c r="AP202" i="57" s="1"/>
  <c r="G202" i="57"/>
  <c r="H202" i="57"/>
  <c r="I202" i="57"/>
  <c r="AQ202" i="57" s="1"/>
  <c r="F203" i="57"/>
  <c r="AP203" i="57" s="1"/>
  <c r="G203" i="57"/>
  <c r="H203" i="57"/>
  <c r="I203" i="57"/>
  <c r="AQ203" i="57" s="1"/>
  <c r="F205" i="57"/>
  <c r="AP205" i="57" s="1"/>
  <c r="G205" i="57"/>
  <c r="H205" i="57"/>
  <c r="I205" i="57"/>
  <c r="AQ205" i="57" s="1"/>
  <c r="F206" i="57"/>
  <c r="AP206" i="57" s="1"/>
  <c r="G206" i="57"/>
  <c r="H206" i="57"/>
  <c r="I206" i="57"/>
  <c r="AQ206" i="57" s="1"/>
  <c r="F208" i="57"/>
  <c r="AP208" i="57" s="1"/>
  <c r="G208" i="57"/>
  <c r="H208" i="57"/>
  <c r="I208" i="57"/>
  <c r="AQ208" i="57" s="1"/>
  <c r="F209" i="57"/>
  <c r="AP209" i="57" s="1"/>
  <c r="G209" i="57"/>
  <c r="H209" i="57"/>
  <c r="I209" i="57"/>
  <c r="AQ209" i="57" s="1"/>
  <c r="F211" i="57"/>
  <c r="AP211" i="57" s="1"/>
  <c r="G211" i="57"/>
  <c r="H211" i="57"/>
  <c r="I211" i="57"/>
  <c r="AQ211" i="57" s="1"/>
  <c r="F212" i="57"/>
  <c r="AP212" i="57" s="1"/>
  <c r="G212" i="57"/>
  <c r="H212" i="57"/>
  <c r="I212" i="57"/>
  <c r="AQ212" i="57" s="1"/>
  <c r="F214" i="57"/>
  <c r="AP214" i="57" s="1"/>
  <c r="G214" i="57"/>
  <c r="H214" i="57"/>
  <c r="I214" i="57"/>
  <c r="AQ214" i="57" s="1"/>
  <c r="F215" i="57"/>
  <c r="AP215" i="57" s="1"/>
  <c r="G215" i="57"/>
  <c r="H215" i="57"/>
  <c r="I215" i="57"/>
  <c r="AQ215" i="57" s="1"/>
  <c r="F217" i="57"/>
  <c r="AP217" i="57" s="1"/>
  <c r="G217" i="57"/>
  <c r="H217" i="57"/>
  <c r="I217" i="57"/>
  <c r="AQ217" i="57" s="1"/>
  <c r="F218" i="57"/>
  <c r="AP218" i="57" s="1"/>
  <c r="G218" i="57"/>
  <c r="H218" i="57"/>
  <c r="I218" i="57"/>
  <c r="AQ218" i="57" s="1"/>
  <c r="F220" i="57"/>
  <c r="AP220" i="57" s="1"/>
  <c r="G220" i="57"/>
  <c r="H220" i="57"/>
  <c r="I220" i="57"/>
  <c r="AQ220" i="57" s="1"/>
  <c r="F221" i="57"/>
  <c r="AP221" i="57" s="1"/>
  <c r="G221" i="57"/>
  <c r="H221" i="57"/>
  <c r="I221" i="57"/>
  <c r="AQ221" i="57" s="1"/>
  <c r="F223" i="57"/>
  <c r="AP223" i="57" s="1"/>
  <c r="G223" i="57"/>
  <c r="H223" i="57"/>
  <c r="I223" i="57"/>
  <c r="AQ223" i="57" s="1"/>
  <c r="F224" i="57"/>
  <c r="AP224" i="57" s="1"/>
  <c r="G224" i="57"/>
  <c r="H224" i="57"/>
  <c r="I224" i="57"/>
  <c r="AQ224" i="57" s="1"/>
  <c r="F226" i="57"/>
  <c r="AP226" i="57" s="1"/>
  <c r="G226" i="57"/>
  <c r="H226" i="57"/>
  <c r="I226" i="57"/>
  <c r="AQ226" i="57" s="1"/>
  <c r="F227" i="57"/>
  <c r="AP227" i="57" s="1"/>
  <c r="G227" i="57"/>
  <c r="H227" i="57"/>
  <c r="I227" i="57"/>
  <c r="AQ227" i="57" s="1"/>
  <c r="F229" i="57"/>
  <c r="AP229" i="57" s="1"/>
  <c r="G229" i="57"/>
  <c r="H229" i="57"/>
  <c r="I229" i="57"/>
  <c r="AQ229" i="57" s="1"/>
  <c r="F230" i="57"/>
  <c r="AP230" i="57" s="1"/>
  <c r="G230" i="57"/>
  <c r="H230" i="57"/>
  <c r="I230" i="57"/>
  <c r="AQ230" i="57" s="1"/>
  <c r="F232" i="57"/>
  <c r="AP232" i="57" s="1"/>
  <c r="G232" i="57"/>
  <c r="H232" i="57"/>
  <c r="I232" i="57"/>
  <c r="AQ232" i="57" s="1"/>
  <c r="F233" i="57"/>
  <c r="AP233" i="57" s="1"/>
  <c r="G233" i="57"/>
  <c r="H233" i="57"/>
  <c r="I233" i="57"/>
  <c r="AQ233" i="57" s="1"/>
  <c r="F235" i="57"/>
  <c r="AP235" i="57" s="1"/>
  <c r="G235" i="57"/>
  <c r="H235" i="57"/>
  <c r="I235" i="57"/>
  <c r="AQ235" i="57" s="1"/>
  <c r="F236" i="57"/>
  <c r="AP236" i="57" s="1"/>
  <c r="G236" i="57"/>
  <c r="H236" i="57"/>
  <c r="I236" i="57"/>
  <c r="AQ236" i="57" s="1"/>
  <c r="F238" i="57"/>
  <c r="AP238" i="57" s="1"/>
  <c r="G238" i="57"/>
  <c r="H238" i="57"/>
  <c r="I238" i="57"/>
  <c r="AQ238" i="57" s="1"/>
  <c r="F239" i="57"/>
  <c r="AP239" i="57" s="1"/>
  <c r="G239" i="57"/>
  <c r="H239" i="57"/>
  <c r="I239" i="57"/>
  <c r="AQ239" i="57" s="1"/>
  <c r="F241" i="57"/>
  <c r="AP241" i="57" s="1"/>
  <c r="G241" i="57"/>
  <c r="H241" i="57"/>
  <c r="I241" i="57"/>
  <c r="AQ241" i="57" s="1"/>
  <c r="F242" i="57"/>
  <c r="AP242" i="57" s="1"/>
  <c r="G242" i="57"/>
  <c r="H242" i="57"/>
  <c r="I242" i="57"/>
  <c r="AQ242" i="57" s="1"/>
  <c r="F244" i="57"/>
  <c r="AP244" i="57" s="1"/>
  <c r="G244" i="57"/>
  <c r="H244" i="57"/>
  <c r="I244" i="57"/>
  <c r="AQ244" i="57" s="1"/>
  <c r="F245" i="57"/>
  <c r="AP245" i="57" s="1"/>
  <c r="G245" i="57"/>
  <c r="H245" i="57"/>
  <c r="I245" i="57"/>
  <c r="AQ245" i="57" s="1"/>
  <c r="F247" i="57"/>
  <c r="AP247" i="57" s="1"/>
  <c r="G247" i="57"/>
  <c r="H247" i="57"/>
  <c r="I247" i="57"/>
  <c r="AQ247" i="57" s="1"/>
  <c r="F248" i="57"/>
  <c r="AP248" i="57" s="1"/>
  <c r="G248" i="57"/>
  <c r="H248" i="57"/>
  <c r="I248" i="57"/>
  <c r="AQ248" i="57" s="1"/>
  <c r="F250" i="57"/>
  <c r="AP250" i="57" s="1"/>
  <c r="G250" i="57"/>
  <c r="H250" i="57"/>
  <c r="I250" i="57"/>
  <c r="AQ250" i="57" s="1"/>
  <c r="F251" i="57"/>
  <c r="AP251" i="57" s="1"/>
  <c r="G251" i="57"/>
  <c r="H251" i="57"/>
  <c r="I251" i="57"/>
  <c r="AQ251" i="57" s="1"/>
  <c r="F253" i="57"/>
  <c r="AP253" i="57" s="1"/>
  <c r="G253" i="57"/>
  <c r="H253" i="57"/>
  <c r="I253" i="57"/>
  <c r="AQ253" i="57" s="1"/>
  <c r="F254" i="57"/>
  <c r="AP254" i="57" s="1"/>
  <c r="G254" i="57"/>
  <c r="H254" i="57"/>
  <c r="I254" i="57"/>
  <c r="AQ254" i="57" s="1"/>
  <c r="F256" i="57"/>
  <c r="AP256" i="57" s="1"/>
  <c r="G256" i="57"/>
  <c r="H256" i="57"/>
  <c r="I256" i="57"/>
  <c r="AQ256" i="57" s="1"/>
  <c r="F257" i="57"/>
  <c r="AP257" i="57" s="1"/>
  <c r="G257" i="57"/>
  <c r="H257" i="57"/>
  <c r="I257" i="57"/>
  <c r="AQ257" i="57" s="1"/>
  <c r="F259" i="57"/>
  <c r="AP259" i="57" s="1"/>
  <c r="G259" i="57"/>
  <c r="H259" i="57"/>
  <c r="I259" i="57"/>
  <c r="AQ259" i="57" s="1"/>
  <c r="F260" i="57"/>
  <c r="AP260" i="57" s="1"/>
  <c r="G260" i="57"/>
  <c r="H260" i="57"/>
  <c r="I260" i="57"/>
  <c r="AQ260" i="57" s="1"/>
  <c r="F262" i="57"/>
  <c r="AP262" i="57" s="1"/>
  <c r="G262" i="57"/>
  <c r="H262" i="57"/>
  <c r="I262" i="57"/>
  <c r="AQ262" i="57" s="1"/>
  <c r="F263" i="57"/>
  <c r="AP263" i="57" s="1"/>
  <c r="G263" i="57"/>
  <c r="H263" i="57"/>
  <c r="I263" i="57"/>
  <c r="AQ263" i="57" s="1"/>
  <c r="F265" i="57"/>
  <c r="AP265" i="57" s="1"/>
  <c r="G265" i="57"/>
  <c r="H265" i="57"/>
  <c r="I265" i="57"/>
  <c r="AQ265" i="57" s="1"/>
  <c r="F266" i="57"/>
  <c r="AP266" i="57" s="1"/>
  <c r="G266" i="57"/>
  <c r="H266" i="57"/>
  <c r="I266" i="57"/>
  <c r="AQ266" i="57" s="1"/>
  <c r="F268" i="57"/>
  <c r="AP268" i="57" s="1"/>
  <c r="G268" i="57"/>
  <c r="H268" i="57"/>
  <c r="I268" i="57"/>
  <c r="AQ268" i="57" s="1"/>
  <c r="F269" i="57"/>
  <c r="AP269" i="57" s="1"/>
  <c r="G269" i="57"/>
  <c r="H269" i="57"/>
  <c r="I269" i="57"/>
  <c r="AQ269" i="57" s="1"/>
  <c r="F271" i="57"/>
  <c r="AP271" i="57" s="1"/>
  <c r="G271" i="57"/>
  <c r="H271" i="57"/>
  <c r="I271" i="57"/>
  <c r="AQ271" i="57" s="1"/>
  <c r="F272" i="57"/>
  <c r="AP272" i="57" s="1"/>
  <c r="G272" i="57"/>
  <c r="H272" i="57"/>
  <c r="I272" i="57"/>
  <c r="AQ272" i="57" s="1"/>
  <c r="F274" i="57"/>
  <c r="AP274" i="57" s="1"/>
  <c r="G274" i="57"/>
  <c r="H274" i="57"/>
  <c r="I274" i="57"/>
  <c r="AQ274" i="57" s="1"/>
  <c r="F275" i="57"/>
  <c r="AP275" i="57" s="1"/>
  <c r="G275" i="57"/>
  <c r="H275" i="57"/>
  <c r="I275" i="57"/>
  <c r="AQ275" i="57" s="1"/>
  <c r="F277" i="57"/>
  <c r="AP277" i="57" s="1"/>
  <c r="G277" i="57"/>
  <c r="H277" i="57"/>
  <c r="I277" i="57"/>
  <c r="AQ277" i="57" s="1"/>
  <c r="F278" i="57"/>
  <c r="AP278" i="57" s="1"/>
  <c r="G278" i="57"/>
  <c r="H278" i="57"/>
  <c r="I278" i="57"/>
  <c r="AQ278" i="57" s="1"/>
  <c r="F280" i="57"/>
  <c r="AP280" i="57" s="1"/>
  <c r="G280" i="57"/>
  <c r="H280" i="57"/>
  <c r="I280" i="57"/>
  <c r="AQ280" i="57" s="1"/>
  <c r="F281" i="57"/>
  <c r="AP281" i="57" s="1"/>
  <c r="G281" i="57"/>
  <c r="H281" i="57"/>
  <c r="I281" i="57"/>
  <c r="AQ281" i="57" s="1"/>
  <c r="F283" i="57"/>
  <c r="AP283" i="57" s="1"/>
  <c r="G283" i="57"/>
  <c r="H283" i="57"/>
  <c r="I283" i="57"/>
  <c r="AQ283" i="57" s="1"/>
  <c r="F284" i="57"/>
  <c r="AP284" i="57" s="1"/>
  <c r="G284" i="57"/>
  <c r="H284" i="57"/>
  <c r="I284" i="57"/>
  <c r="AQ284" i="57" s="1"/>
  <c r="F286" i="57"/>
  <c r="AP286" i="57" s="1"/>
  <c r="G286" i="57"/>
  <c r="H286" i="57"/>
  <c r="I286" i="57"/>
  <c r="AQ286" i="57" s="1"/>
  <c r="F287" i="57"/>
  <c r="AP287" i="57" s="1"/>
  <c r="G287" i="57"/>
  <c r="H287" i="57"/>
  <c r="I287" i="57"/>
  <c r="AQ287" i="57" s="1"/>
  <c r="F289" i="57"/>
  <c r="AP289" i="57" s="1"/>
  <c r="G289" i="57"/>
  <c r="H289" i="57"/>
  <c r="I289" i="57"/>
  <c r="AQ289" i="57" s="1"/>
  <c r="F290" i="57"/>
  <c r="AP290" i="57" s="1"/>
  <c r="G290" i="57"/>
  <c r="H290" i="57"/>
  <c r="I290" i="57"/>
  <c r="AQ290" i="57" s="1"/>
  <c r="F292" i="57"/>
  <c r="AP292" i="57" s="1"/>
  <c r="G292" i="57"/>
  <c r="H292" i="57"/>
  <c r="I292" i="57"/>
  <c r="AQ292" i="57" s="1"/>
  <c r="F293" i="57"/>
  <c r="AP293" i="57" s="1"/>
  <c r="G293" i="57"/>
  <c r="H293" i="57"/>
  <c r="I293" i="57"/>
  <c r="AQ293" i="57" s="1"/>
  <c r="F295" i="57"/>
  <c r="AP295" i="57" s="1"/>
  <c r="G295" i="57"/>
  <c r="H295" i="57"/>
  <c r="I295" i="57"/>
  <c r="AQ295" i="57" s="1"/>
  <c r="F296" i="57"/>
  <c r="AP296" i="57" s="1"/>
  <c r="G296" i="57"/>
  <c r="H296" i="57"/>
  <c r="I296" i="57"/>
  <c r="AQ296" i="57" s="1"/>
  <c r="F298" i="57"/>
  <c r="AP298" i="57" s="1"/>
  <c r="G298" i="57"/>
  <c r="H298" i="57"/>
  <c r="I298" i="57"/>
  <c r="AQ298" i="57" s="1"/>
  <c r="F299" i="57"/>
  <c r="AP299" i="57" s="1"/>
  <c r="G299" i="57"/>
  <c r="H299" i="57"/>
  <c r="I299" i="57"/>
  <c r="AQ299" i="57" s="1"/>
  <c r="F301" i="57"/>
  <c r="AP301" i="57" s="1"/>
  <c r="G301" i="57"/>
  <c r="H301" i="57"/>
  <c r="I301" i="57"/>
  <c r="AQ301" i="57" s="1"/>
  <c r="F302" i="57"/>
  <c r="AP302" i="57" s="1"/>
  <c r="G302" i="57"/>
  <c r="H302" i="57"/>
  <c r="I302" i="57"/>
  <c r="AQ302" i="57" s="1"/>
  <c r="F304" i="57"/>
  <c r="AP304" i="57" s="1"/>
  <c r="G304" i="57"/>
  <c r="H304" i="57"/>
  <c r="I304" i="57"/>
  <c r="AQ304" i="57" s="1"/>
  <c r="F305" i="57"/>
  <c r="AP305" i="57" s="1"/>
  <c r="G305" i="57"/>
  <c r="H305" i="57"/>
  <c r="I305" i="57"/>
  <c r="AQ305" i="57" s="1"/>
  <c r="F307" i="57"/>
  <c r="AP307" i="57" s="1"/>
  <c r="G307" i="57"/>
  <c r="H307" i="57"/>
  <c r="I307" i="57"/>
  <c r="AQ307" i="57" s="1"/>
  <c r="F308" i="57"/>
  <c r="AP308" i="57" s="1"/>
  <c r="G308" i="57"/>
  <c r="H308" i="57"/>
  <c r="I308" i="57"/>
  <c r="AQ308" i="57" s="1"/>
  <c r="F310" i="57"/>
  <c r="AP310" i="57" s="1"/>
  <c r="G310" i="57"/>
  <c r="H310" i="57"/>
  <c r="I310" i="57"/>
  <c r="AQ310" i="57" s="1"/>
  <c r="F311" i="57"/>
  <c r="AP311" i="57" s="1"/>
  <c r="G311" i="57"/>
  <c r="H311" i="57"/>
  <c r="I311" i="57"/>
  <c r="AQ311" i="57" s="1"/>
  <c r="F313" i="57"/>
  <c r="AP313" i="57" s="1"/>
  <c r="G313" i="57"/>
  <c r="H313" i="57"/>
  <c r="I313" i="57"/>
  <c r="AQ313" i="57" s="1"/>
  <c r="F314" i="57"/>
  <c r="AP314" i="57" s="1"/>
  <c r="G314" i="57"/>
  <c r="H314" i="57"/>
  <c r="I314" i="57"/>
  <c r="AQ314" i="57" s="1"/>
  <c r="F316" i="57"/>
  <c r="AP316" i="57" s="1"/>
  <c r="G316" i="57"/>
  <c r="H316" i="57"/>
  <c r="I316" i="57"/>
  <c r="AQ316" i="57" s="1"/>
  <c r="F317" i="57"/>
  <c r="AP317" i="57" s="1"/>
  <c r="G317" i="57"/>
  <c r="H317" i="57"/>
  <c r="I317" i="57"/>
  <c r="AQ317" i="57" s="1"/>
  <c r="F319" i="57"/>
  <c r="AP319" i="57" s="1"/>
  <c r="G319" i="57"/>
  <c r="H319" i="57"/>
  <c r="I319" i="57"/>
  <c r="AQ319" i="57" s="1"/>
  <c r="F320" i="57"/>
  <c r="AP320" i="57" s="1"/>
  <c r="G320" i="57"/>
  <c r="H320" i="57"/>
  <c r="I320" i="57"/>
  <c r="AQ320" i="57" s="1"/>
  <c r="F322" i="57"/>
  <c r="AP322" i="57" s="1"/>
  <c r="G322" i="57"/>
  <c r="H322" i="57"/>
  <c r="I322" i="57"/>
  <c r="AQ322" i="57" s="1"/>
  <c r="F323" i="57"/>
  <c r="AP323" i="57" s="1"/>
  <c r="G323" i="57"/>
  <c r="H323" i="57"/>
  <c r="I323" i="57"/>
  <c r="AQ323" i="57" s="1"/>
  <c r="F325" i="57"/>
  <c r="AP325" i="57" s="1"/>
  <c r="G325" i="57"/>
  <c r="H325" i="57"/>
  <c r="I325" i="57"/>
  <c r="AQ325" i="57" s="1"/>
  <c r="F326" i="57"/>
  <c r="AP326" i="57" s="1"/>
  <c r="G326" i="57"/>
  <c r="H326" i="57"/>
  <c r="I326" i="57"/>
  <c r="AQ326" i="57" s="1"/>
  <c r="F328" i="57"/>
  <c r="AP328" i="57" s="1"/>
  <c r="G328" i="57"/>
  <c r="H328" i="57"/>
  <c r="I328" i="57"/>
  <c r="AQ328" i="57" s="1"/>
  <c r="F329" i="57"/>
  <c r="AP329" i="57" s="1"/>
  <c r="G329" i="57"/>
  <c r="H329" i="57"/>
  <c r="I329" i="57"/>
  <c r="AQ329" i="57" s="1"/>
  <c r="F331" i="57"/>
  <c r="AP331" i="57" s="1"/>
  <c r="G331" i="57"/>
  <c r="H331" i="57"/>
  <c r="I331" i="57"/>
  <c r="AQ331" i="57" s="1"/>
  <c r="F332" i="57"/>
  <c r="AP332" i="57" s="1"/>
  <c r="G332" i="57"/>
  <c r="H332" i="57"/>
  <c r="I332" i="57"/>
  <c r="AQ332" i="57" s="1"/>
  <c r="F334" i="57"/>
  <c r="AP334" i="57" s="1"/>
  <c r="G334" i="57"/>
  <c r="H334" i="57"/>
  <c r="I334" i="57"/>
  <c r="AQ334" i="57" s="1"/>
  <c r="F335" i="57"/>
  <c r="AP335" i="57" s="1"/>
  <c r="G335" i="57"/>
  <c r="H335" i="57"/>
  <c r="I335" i="57"/>
  <c r="AQ335" i="57" s="1"/>
  <c r="F337" i="57"/>
  <c r="AP337" i="57" s="1"/>
  <c r="G337" i="57"/>
  <c r="H337" i="57"/>
  <c r="I337" i="57"/>
  <c r="AQ337" i="57" s="1"/>
  <c r="F338" i="57"/>
  <c r="AP338" i="57" s="1"/>
  <c r="G338" i="57"/>
  <c r="H338" i="57"/>
  <c r="I338" i="57"/>
  <c r="AQ338" i="57" s="1"/>
  <c r="F340" i="57"/>
  <c r="AP340" i="57" s="1"/>
  <c r="G340" i="57"/>
  <c r="H340" i="57"/>
  <c r="I340" i="57"/>
  <c r="AQ340" i="57" s="1"/>
  <c r="F341" i="57"/>
  <c r="AP341" i="57" s="1"/>
  <c r="G341" i="57"/>
  <c r="H341" i="57"/>
  <c r="I341" i="57"/>
  <c r="AQ341" i="57" s="1"/>
  <c r="F343" i="57"/>
  <c r="AP343" i="57" s="1"/>
  <c r="G343" i="57"/>
  <c r="H343" i="57"/>
  <c r="I343" i="57"/>
  <c r="AQ343" i="57" s="1"/>
  <c r="F344" i="57"/>
  <c r="AP344" i="57" s="1"/>
  <c r="G344" i="57"/>
  <c r="H344" i="57"/>
  <c r="I344" i="57"/>
  <c r="AQ344" i="57" s="1"/>
  <c r="F346" i="57"/>
  <c r="AP346" i="57" s="1"/>
  <c r="G346" i="57"/>
  <c r="H346" i="57"/>
  <c r="I346" i="57"/>
  <c r="AQ346" i="57" s="1"/>
  <c r="F347" i="57"/>
  <c r="AP347" i="57" s="1"/>
  <c r="G347" i="57"/>
  <c r="H347" i="57"/>
  <c r="I347" i="57"/>
  <c r="AQ347" i="57" s="1"/>
  <c r="F349" i="57"/>
  <c r="AP349" i="57" s="1"/>
  <c r="G349" i="57"/>
  <c r="H349" i="57"/>
  <c r="I349" i="57"/>
  <c r="AQ349" i="57" s="1"/>
  <c r="F350" i="57"/>
  <c r="AP350" i="57" s="1"/>
  <c r="G350" i="57"/>
  <c r="H350" i="57"/>
  <c r="I350" i="57"/>
  <c r="AQ350" i="57" s="1"/>
  <c r="F352" i="57"/>
  <c r="AP352" i="57" s="1"/>
  <c r="G352" i="57"/>
  <c r="H352" i="57"/>
  <c r="I352" i="57"/>
  <c r="AQ352" i="57" s="1"/>
  <c r="F353" i="57"/>
  <c r="AP353" i="57" s="1"/>
  <c r="G353" i="57"/>
  <c r="H353" i="57"/>
  <c r="I353" i="57"/>
  <c r="AQ353" i="57" s="1"/>
  <c r="F355" i="57"/>
  <c r="AP355" i="57" s="1"/>
  <c r="G355" i="57"/>
  <c r="H355" i="57"/>
  <c r="I355" i="57"/>
  <c r="AQ355" i="57" s="1"/>
  <c r="F356" i="57"/>
  <c r="AP356" i="57" s="1"/>
  <c r="G356" i="57"/>
  <c r="H356" i="57"/>
  <c r="I356" i="57"/>
  <c r="AQ356" i="57" s="1"/>
  <c r="F358" i="57"/>
  <c r="AP358" i="57" s="1"/>
  <c r="G358" i="57"/>
  <c r="H358" i="57"/>
  <c r="I358" i="57"/>
  <c r="AQ358" i="57" s="1"/>
  <c r="F359" i="57"/>
  <c r="AP359" i="57" s="1"/>
  <c r="G359" i="57"/>
  <c r="H359" i="57"/>
  <c r="I359" i="57"/>
  <c r="AQ359" i="57" s="1"/>
  <c r="F361" i="57"/>
  <c r="AP361" i="57" s="1"/>
  <c r="G361" i="57"/>
  <c r="H361" i="57"/>
  <c r="I361" i="57"/>
  <c r="AQ361" i="57" s="1"/>
  <c r="F362" i="57"/>
  <c r="AP362" i="57" s="1"/>
  <c r="G362" i="57"/>
  <c r="H362" i="57"/>
  <c r="I362" i="57"/>
  <c r="AQ362" i="57" s="1"/>
  <c r="F364" i="57"/>
  <c r="AP364" i="57" s="1"/>
  <c r="G364" i="57"/>
  <c r="H364" i="57"/>
  <c r="I364" i="57"/>
  <c r="AQ364" i="57" s="1"/>
  <c r="F365" i="57"/>
  <c r="AP365" i="57" s="1"/>
  <c r="G365" i="57"/>
  <c r="H365" i="57"/>
  <c r="I365" i="57"/>
  <c r="AQ365" i="57" s="1"/>
  <c r="F367" i="57"/>
  <c r="AP367" i="57" s="1"/>
  <c r="G367" i="57"/>
  <c r="H367" i="57"/>
  <c r="I367" i="57"/>
  <c r="AQ367" i="57" s="1"/>
  <c r="F368" i="57"/>
  <c r="AP368" i="57" s="1"/>
  <c r="G368" i="57"/>
  <c r="H368" i="57"/>
  <c r="I368" i="57"/>
  <c r="AQ368" i="57" s="1"/>
  <c r="F370" i="57"/>
  <c r="AP370" i="57" s="1"/>
  <c r="G370" i="57"/>
  <c r="H370" i="57"/>
  <c r="I370" i="57"/>
  <c r="AQ370" i="57" s="1"/>
  <c r="F371" i="57"/>
  <c r="AP371" i="57" s="1"/>
  <c r="G371" i="57"/>
  <c r="H371" i="57"/>
  <c r="I371" i="57"/>
  <c r="AQ371" i="57" s="1"/>
  <c r="F373" i="57"/>
  <c r="AP373" i="57" s="1"/>
  <c r="G373" i="57"/>
  <c r="H373" i="57"/>
  <c r="I373" i="57"/>
  <c r="AQ373" i="57" s="1"/>
  <c r="F374" i="57"/>
  <c r="AP374" i="57" s="1"/>
  <c r="G374" i="57"/>
  <c r="H374" i="57"/>
  <c r="I374" i="57"/>
  <c r="AQ374" i="57" s="1"/>
  <c r="F376" i="57"/>
  <c r="AP376" i="57" s="1"/>
  <c r="G376" i="57"/>
  <c r="H376" i="57"/>
  <c r="I376" i="57"/>
  <c r="AQ376" i="57" s="1"/>
  <c r="F377" i="57"/>
  <c r="AP377" i="57" s="1"/>
  <c r="G377" i="57"/>
  <c r="H377" i="57"/>
  <c r="I377" i="57"/>
  <c r="AQ377" i="57" s="1"/>
  <c r="F379" i="57"/>
  <c r="AP379" i="57" s="1"/>
  <c r="G379" i="57"/>
  <c r="H379" i="57"/>
  <c r="I379" i="57"/>
  <c r="AQ379" i="57" s="1"/>
  <c r="F380" i="57"/>
  <c r="AP380" i="57" s="1"/>
  <c r="G380" i="57"/>
  <c r="H380" i="57"/>
  <c r="I380" i="57"/>
  <c r="AQ380" i="57" s="1"/>
  <c r="F382" i="57"/>
  <c r="AP382" i="57" s="1"/>
  <c r="G382" i="57"/>
  <c r="H382" i="57"/>
  <c r="I382" i="57"/>
  <c r="AQ382" i="57" s="1"/>
  <c r="F383" i="57"/>
  <c r="AP383" i="57" s="1"/>
  <c r="G383" i="57"/>
  <c r="H383" i="57"/>
  <c r="I383" i="57"/>
  <c r="AQ383" i="57" s="1"/>
  <c r="F385" i="57"/>
  <c r="AP385" i="57" s="1"/>
  <c r="G385" i="57"/>
  <c r="H385" i="57"/>
  <c r="I385" i="57"/>
  <c r="AQ385" i="57" s="1"/>
  <c r="F386" i="57"/>
  <c r="AP386" i="57" s="1"/>
  <c r="G386" i="57"/>
  <c r="H386" i="57"/>
  <c r="I386" i="57"/>
  <c r="AQ386" i="57" s="1"/>
  <c r="F388" i="57"/>
  <c r="AP388" i="57" s="1"/>
  <c r="G388" i="57"/>
  <c r="H388" i="57"/>
  <c r="I388" i="57"/>
  <c r="AQ388" i="57" s="1"/>
  <c r="F389" i="57"/>
  <c r="AP389" i="57" s="1"/>
  <c r="G389" i="57"/>
  <c r="H389" i="57"/>
  <c r="I389" i="57"/>
  <c r="AQ389" i="57" s="1"/>
  <c r="F391" i="57"/>
  <c r="AP391" i="57" s="1"/>
  <c r="G391" i="57"/>
  <c r="H391" i="57"/>
  <c r="I391" i="57"/>
  <c r="AQ391" i="57" s="1"/>
  <c r="F392" i="57"/>
  <c r="AP392" i="57" s="1"/>
  <c r="G392" i="57"/>
  <c r="H392" i="57"/>
  <c r="I392" i="57"/>
  <c r="AQ392" i="57" s="1"/>
  <c r="F394" i="57"/>
  <c r="AP394" i="57" s="1"/>
  <c r="G394" i="57"/>
  <c r="H394" i="57"/>
  <c r="I394" i="57"/>
  <c r="AQ394" i="57" s="1"/>
  <c r="F395" i="57"/>
  <c r="AP395" i="57" s="1"/>
  <c r="G395" i="57"/>
  <c r="H395" i="57"/>
  <c r="I395" i="57"/>
  <c r="AQ395" i="57" s="1"/>
  <c r="F397" i="57"/>
  <c r="AP397" i="57" s="1"/>
  <c r="G397" i="57"/>
  <c r="H397" i="57"/>
  <c r="I397" i="57"/>
  <c r="AQ397" i="57" s="1"/>
  <c r="F398" i="57"/>
  <c r="AP398" i="57" s="1"/>
  <c r="G398" i="57"/>
  <c r="H398" i="57"/>
  <c r="I398" i="57"/>
  <c r="AQ398" i="57" s="1"/>
  <c r="F400" i="57"/>
  <c r="AP400" i="57" s="1"/>
  <c r="G400" i="57"/>
  <c r="H400" i="57"/>
  <c r="I400" i="57"/>
  <c r="AQ400" i="57" s="1"/>
  <c r="F401" i="57"/>
  <c r="AP401" i="57" s="1"/>
  <c r="G401" i="57"/>
  <c r="H401" i="57"/>
  <c r="I401" i="57"/>
  <c r="AQ401" i="57" s="1"/>
  <c r="F403" i="57"/>
  <c r="AP403" i="57" s="1"/>
  <c r="G403" i="57"/>
  <c r="H403" i="57"/>
  <c r="I403" i="57"/>
  <c r="AQ403" i="57" s="1"/>
  <c r="F404" i="57"/>
  <c r="AP404" i="57" s="1"/>
  <c r="G404" i="57"/>
  <c r="H404" i="57"/>
  <c r="I404" i="57"/>
  <c r="AQ404" i="57" s="1"/>
  <c r="F406" i="57"/>
  <c r="AP406" i="57" s="1"/>
  <c r="G406" i="57"/>
  <c r="H406" i="57"/>
  <c r="I406" i="57"/>
  <c r="AQ406" i="57" s="1"/>
  <c r="F407" i="57"/>
  <c r="AP407" i="57" s="1"/>
  <c r="G407" i="57"/>
  <c r="H407" i="57"/>
  <c r="I407" i="57"/>
  <c r="AQ407" i="57" s="1"/>
  <c r="F409" i="57"/>
  <c r="AP409" i="57" s="1"/>
  <c r="G409" i="57"/>
  <c r="H409" i="57"/>
  <c r="I409" i="57"/>
  <c r="AQ409" i="57" s="1"/>
  <c r="F410" i="57"/>
  <c r="AP410" i="57" s="1"/>
  <c r="G410" i="57"/>
  <c r="H410" i="57"/>
  <c r="I410" i="57"/>
  <c r="AQ410" i="57" s="1"/>
  <c r="F412" i="57"/>
  <c r="AP412" i="57" s="1"/>
  <c r="G412" i="57"/>
  <c r="H412" i="57"/>
  <c r="I412" i="57"/>
  <c r="AQ412" i="57" s="1"/>
  <c r="F413" i="57"/>
  <c r="AP413" i="57" s="1"/>
  <c r="G413" i="57"/>
  <c r="H413" i="57"/>
  <c r="I413" i="57"/>
  <c r="AQ413" i="57" s="1"/>
  <c r="F415" i="57"/>
  <c r="AP415" i="57" s="1"/>
  <c r="G415" i="57"/>
  <c r="H415" i="57"/>
  <c r="I415" i="57"/>
  <c r="AQ415" i="57" s="1"/>
  <c r="F416" i="57"/>
  <c r="AP416" i="57" s="1"/>
  <c r="G416" i="57"/>
  <c r="H416" i="57"/>
  <c r="I416" i="57"/>
  <c r="AQ416" i="57" s="1"/>
  <c r="F418" i="57"/>
  <c r="AP418" i="57" s="1"/>
  <c r="G418" i="57"/>
  <c r="H418" i="57"/>
  <c r="I418" i="57"/>
  <c r="AQ418" i="57" s="1"/>
  <c r="F419" i="57"/>
  <c r="AP419" i="57" s="1"/>
  <c r="G419" i="57"/>
  <c r="H419" i="57"/>
  <c r="I419" i="57"/>
  <c r="AQ419" i="57" s="1"/>
  <c r="F421" i="57"/>
  <c r="AP421" i="57" s="1"/>
  <c r="G421" i="57"/>
  <c r="H421" i="57"/>
  <c r="I421" i="57"/>
  <c r="AQ421" i="57" s="1"/>
  <c r="F422" i="57"/>
  <c r="AP422" i="57" s="1"/>
  <c r="G422" i="57"/>
  <c r="H422" i="57"/>
  <c r="I422" i="57"/>
  <c r="AQ422" i="57" s="1"/>
  <c r="F424" i="57"/>
  <c r="AP424" i="57" s="1"/>
  <c r="G424" i="57"/>
  <c r="H424" i="57"/>
  <c r="I424" i="57"/>
  <c r="AQ424" i="57" s="1"/>
  <c r="F425" i="57"/>
  <c r="AP425" i="57" s="1"/>
  <c r="G425" i="57"/>
  <c r="H425" i="57"/>
  <c r="I425" i="57"/>
  <c r="AQ425" i="57" s="1"/>
  <c r="F427" i="57"/>
  <c r="AP427" i="57" s="1"/>
  <c r="G427" i="57"/>
  <c r="H427" i="57"/>
  <c r="I427" i="57"/>
  <c r="AQ427" i="57" s="1"/>
  <c r="F428" i="57"/>
  <c r="AP428" i="57" s="1"/>
  <c r="G428" i="57"/>
  <c r="H428" i="57"/>
  <c r="I428" i="57"/>
  <c r="AQ428" i="57" s="1"/>
  <c r="F430" i="57"/>
  <c r="AP430" i="57" s="1"/>
  <c r="G430" i="57"/>
  <c r="H430" i="57"/>
  <c r="I430" i="57"/>
  <c r="AQ430" i="57" s="1"/>
  <c r="F431" i="57"/>
  <c r="AP431" i="57" s="1"/>
  <c r="G431" i="57"/>
  <c r="H431" i="57"/>
  <c r="I431" i="57"/>
  <c r="AQ431" i="57" s="1"/>
  <c r="F433" i="57"/>
  <c r="AP433" i="57" s="1"/>
  <c r="G433" i="57"/>
  <c r="H433" i="57"/>
  <c r="I433" i="57"/>
  <c r="AQ433" i="57" s="1"/>
  <c r="F434" i="57"/>
  <c r="AP434" i="57" s="1"/>
  <c r="G434" i="57"/>
  <c r="H434" i="57"/>
  <c r="I434" i="57"/>
  <c r="AQ434" i="57" s="1"/>
  <c r="F436" i="57"/>
  <c r="AP436" i="57" s="1"/>
  <c r="G436" i="57"/>
  <c r="H436" i="57"/>
  <c r="I436" i="57"/>
  <c r="AQ436" i="57" s="1"/>
  <c r="F437" i="57"/>
  <c r="AP437" i="57" s="1"/>
  <c r="G437" i="57"/>
  <c r="H437" i="57"/>
  <c r="I437" i="57"/>
  <c r="AQ437" i="57" s="1"/>
  <c r="F439" i="57"/>
  <c r="AP439" i="57" s="1"/>
  <c r="G439" i="57"/>
  <c r="H439" i="57"/>
  <c r="I439" i="57"/>
  <c r="AQ439" i="57" s="1"/>
  <c r="F440" i="57"/>
  <c r="AP440" i="57" s="1"/>
  <c r="G440" i="57"/>
  <c r="H440" i="57"/>
  <c r="I440" i="57"/>
  <c r="AQ440" i="57" s="1"/>
  <c r="F442" i="57"/>
  <c r="AP442" i="57" s="1"/>
  <c r="G442" i="57"/>
  <c r="H442" i="57"/>
  <c r="I442" i="57"/>
  <c r="AQ442" i="57" s="1"/>
  <c r="F443" i="57"/>
  <c r="AP443" i="57" s="1"/>
  <c r="G443" i="57"/>
  <c r="H443" i="57"/>
  <c r="I443" i="57"/>
  <c r="AQ443" i="57" s="1"/>
  <c r="I71" i="57"/>
  <c r="H71" i="57"/>
  <c r="G71" i="57"/>
  <c r="F71" i="57"/>
  <c r="AP71" i="57" s="1"/>
  <c r="I70" i="57"/>
  <c r="AQ70" i="57" s="1"/>
  <c r="H70" i="57"/>
  <c r="G70" i="57"/>
  <c r="F70" i="57"/>
  <c r="AP70" i="57" s="1"/>
  <c r="AJ443" i="57"/>
  <c r="AF443" i="57"/>
  <c r="AE443" i="57"/>
  <c r="AD443" i="57"/>
  <c r="AC443" i="57"/>
  <c r="AB443" i="57"/>
  <c r="AA443" i="57"/>
  <c r="Z443" i="57"/>
  <c r="Y443" i="57"/>
  <c r="X443" i="57"/>
  <c r="W443" i="57"/>
  <c r="V443" i="57"/>
  <c r="U443" i="57"/>
  <c r="T443" i="57"/>
  <c r="S443" i="57"/>
  <c r="R443" i="57"/>
  <c r="Q443" i="57"/>
  <c r="P443" i="57"/>
  <c r="O443" i="57"/>
  <c r="N443" i="57"/>
  <c r="M443" i="57"/>
  <c r="L443" i="57"/>
  <c r="K443" i="57"/>
  <c r="AJ440" i="57"/>
  <c r="AF440" i="57"/>
  <c r="AE440" i="57"/>
  <c r="AD440" i="57"/>
  <c r="AC440" i="57"/>
  <c r="AB440" i="57"/>
  <c r="AA440" i="57"/>
  <c r="Z440" i="57"/>
  <c r="Y440" i="57"/>
  <c r="X440" i="57"/>
  <c r="W440" i="57"/>
  <c r="V440" i="57"/>
  <c r="U440" i="57"/>
  <c r="T440" i="57"/>
  <c r="S440" i="57"/>
  <c r="R440" i="57"/>
  <c r="Q440" i="57"/>
  <c r="P440" i="57"/>
  <c r="O440" i="57"/>
  <c r="N440" i="57"/>
  <c r="M440" i="57"/>
  <c r="L440" i="57"/>
  <c r="K440" i="57"/>
  <c r="AJ437" i="57"/>
  <c r="AF437" i="57"/>
  <c r="AE437" i="57"/>
  <c r="AD437" i="57"/>
  <c r="AC437" i="57"/>
  <c r="AB437" i="57"/>
  <c r="AA437" i="57"/>
  <c r="Z437" i="57"/>
  <c r="Y437" i="57"/>
  <c r="X437" i="57"/>
  <c r="W437" i="57"/>
  <c r="V437" i="57"/>
  <c r="U437" i="57"/>
  <c r="T437" i="57"/>
  <c r="S437" i="57"/>
  <c r="R437" i="57"/>
  <c r="Q437" i="57"/>
  <c r="P437" i="57"/>
  <c r="O437" i="57"/>
  <c r="N437" i="57"/>
  <c r="M437" i="57"/>
  <c r="L437" i="57"/>
  <c r="K437" i="57"/>
  <c r="AJ434" i="57"/>
  <c r="AF434" i="57"/>
  <c r="AE434" i="57"/>
  <c r="AD434" i="57"/>
  <c r="AC434" i="57"/>
  <c r="AB434" i="57"/>
  <c r="AA434" i="57"/>
  <c r="Z434" i="57"/>
  <c r="Y434" i="57"/>
  <c r="X434" i="57"/>
  <c r="W434" i="57"/>
  <c r="V434" i="57"/>
  <c r="U434" i="57"/>
  <c r="T434" i="57"/>
  <c r="S434" i="57"/>
  <c r="R434" i="57"/>
  <c r="Q434" i="57"/>
  <c r="P434" i="57"/>
  <c r="O434" i="57"/>
  <c r="N434" i="57"/>
  <c r="M434" i="57"/>
  <c r="L434" i="57"/>
  <c r="K434" i="57"/>
  <c r="AJ431" i="57"/>
  <c r="AF431" i="57"/>
  <c r="AE431" i="57"/>
  <c r="AD431" i="57"/>
  <c r="AC431" i="57"/>
  <c r="AB431" i="57"/>
  <c r="AA431" i="57"/>
  <c r="Z431" i="57"/>
  <c r="Y431" i="57"/>
  <c r="X431" i="57"/>
  <c r="W431" i="57"/>
  <c r="V431" i="57"/>
  <c r="U431" i="57"/>
  <c r="T431" i="57"/>
  <c r="S431" i="57"/>
  <c r="R431" i="57"/>
  <c r="Q431" i="57"/>
  <c r="P431" i="57"/>
  <c r="O431" i="57"/>
  <c r="N431" i="57"/>
  <c r="M431" i="57"/>
  <c r="L431" i="57"/>
  <c r="K431" i="57"/>
  <c r="AJ428" i="57"/>
  <c r="AF428" i="57"/>
  <c r="AE428" i="57"/>
  <c r="AD428" i="57"/>
  <c r="AC428" i="57"/>
  <c r="AB428" i="57"/>
  <c r="AA428" i="57"/>
  <c r="Z428" i="57"/>
  <c r="Y428" i="57"/>
  <c r="X428" i="57"/>
  <c r="W428" i="57"/>
  <c r="V428" i="57"/>
  <c r="U428" i="57"/>
  <c r="T428" i="57"/>
  <c r="S428" i="57"/>
  <c r="R428" i="57"/>
  <c r="Q428" i="57"/>
  <c r="P428" i="57"/>
  <c r="O428" i="57"/>
  <c r="N428" i="57"/>
  <c r="M428" i="57"/>
  <c r="L428" i="57"/>
  <c r="K428" i="57"/>
  <c r="AJ425" i="57"/>
  <c r="AF425" i="57"/>
  <c r="AE425" i="57"/>
  <c r="AD425" i="57"/>
  <c r="AC425" i="57"/>
  <c r="AB425" i="57"/>
  <c r="AA425" i="57"/>
  <c r="Z425" i="57"/>
  <c r="Y425" i="57"/>
  <c r="X425" i="57"/>
  <c r="W425" i="57"/>
  <c r="V425" i="57"/>
  <c r="U425" i="57"/>
  <c r="T425" i="57"/>
  <c r="S425" i="57"/>
  <c r="R425" i="57"/>
  <c r="Q425" i="57"/>
  <c r="P425" i="57"/>
  <c r="O425" i="57"/>
  <c r="N425" i="57"/>
  <c r="M425" i="57"/>
  <c r="L425" i="57"/>
  <c r="K425" i="57"/>
  <c r="AJ422" i="57"/>
  <c r="AF422" i="57"/>
  <c r="AE422" i="57"/>
  <c r="AD422" i="57"/>
  <c r="AC422" i="57"/>
  <c r="AB422" i="57"/>
  <c r="AA422" i="57"/>
  <c r="Z422" i="57"/>
  <c r="Y422" i="57"/>
  <c r="X422" i="57"/>
  <c r="W422" i="57"/>
  <c r="V422" i="57"/>
  <c r="U422" i="57"/>
  <c r="T422" i="57"/>
  <c r="S422" i="57"/>
  <c r="R422" i="57"/>
  <c r="Q422" i="57"/>
  <c r="P422" i="57"/>
  <c r="O422" i="57"/>
  <c r="N422" i="57"/>
  <c r="M422" i="57"/>
  <c r="L422" i="57"/>
  <c r="K422" i="57"/>
  <c r="AJ419" i="57"/>
  <c r="AF419" i="57"/>
  <c r="AE419" i="57"/>
  <c r="AD419" i="57"/>
  <c r="AC419" i="57"/>
  <c r="AB419" i="57"/>
  <c r="AA419" i="57"/>
  <c r="Z419" i="57"/>
  <c r="Y419" i="57"/>
  <c r="X419" i="57"/>
  <c r="W419" i="57"/>
  <c r="V419" i="57"/>
  <c r="U419" i="57"/>
  <c r="T419" i="57"/>
  <c r="S419" i="57"/>
  <c r="R419" i="57"/>
  <c r="Q419" i="57"/>
  <c r="P419" i="57"/>
  <c r="O419" i="57"/>
  <c r="N419" i="57"/>
  <c r="M419" i="57"/>
  <c r="L419" i="57"/>
  <c r="K419" i="57"/>
  <c r="AJ416" i="57"/>
  <c r="AF416" i="57"/>
  <c r="AE416" i="57"/>
  <c r="AD416" i="57"/>
  <c r="AC416" i="57"/>
  <c r="AB416" i="57"/>
  <c r="AA416" i="57"/>
  <c r="Z416" i="57"/>
  <c r="Y416" i="57"/>
  <c r="X416" i="57"/>
  <c r="W416" i="57"/>
  <c r="V416" i="57"/>
  <c r="U416" i="57"/>
  <c r="T416" i="57"/>
  <c r="S416" i="57"/>
  <c r="R416" i="57"/>
  <c r="Q416" i="57"/>
  <c r="P416" i="57"/>
  <c r="O416" i="57"/>
  <c r="N416" i="57"/>
  <c r="M416" i="57"/>
  <c r="L416" i="57"/>
  <c r="K416" i="57"/>
  <c r="AJ413" i="57"/>
  <c r="AF413" i="57"/>
  <c r="AE413" i="57"/>
  <c r="AD413" i="57"/>
  <c r="AC413" i="57"/>
  <c r="AB413" i="57"/>
  <c r="AA413" i="57"/>
  <c r="Z413" i="57"/>
  <c r="Y413" i="57"/>
  <c r="X413" i="57"/>
  <c r="W413" i="57"/>
  <c r="V413" i="57"/>
  <c r="U413" i="57"/>
  <c r="T413" i="57"/>
  <c r="S413" i="57"/>
  <c r="R413" i="57"/>
  <c r="Q413" i="57"/>
  <c r="P413" i="57"/>
  <c r="O413" i="57"/>
  <c r="N413" i="57"/>
  <c r="M413" i="57"/>
  <c r="L413" i="57"/>
  <c r="K413" i="57"/>
  <c r="AJ410" i="57"/>
  <c r="AF410" i="57"/>
  <c r="AE410" i="57"/>
  <c r="AD410" i="57"/>
  <c r="AC410" i="57"/>
  <c r="AB410" i="57"/>
  <c r="AA410" i="57"/>
  <c r="Z410" i="57"/>
  <c r="Y410" i="57"/>
  <c r="X410" i="57"/>
  <c r="W410" i="57"/>
  <c r="V410" i="57"/>
  <c r="U410" i="57"/>
  <c r="T410" i="57"/>
  <c r="S410" i="57"/>
  <c r="R410" i="57"/>
  <c r="Q410" i="57"/>
  <c r="P410" i="57"/>
  <c r="O410" i="57"/>
  <c r="N410" i="57"/>
  <c r="M410" i="57"/>
  <c r="L410" i="57"/>
  <c r="K410" i="57"/>
  <c r="AJ407" i="57"/>
  <c r="AF407" i="57"/>
  <c r="AE407" i="57"/>
  <c r="AD407" i="57"/>
  <c r="AC407" i="57"/>
  <c r="AB407" i="57"/>
  <c r="AA407" i="57"/>
  <c r="Z407" i="57"/>
  <c r="Y407" i="57"/>
  <c r="X407" i="57"/>
  <c r="W407" i="57"/>
  <c r="V407" i="57"/>
  <c r="U407" i="57"/>
  <c r="T407" i="57"/>
  <c r="S407" i="57"/>
  <c r="R407" i="57"/>
  <c r="Q407" i="57"/>
  <c r="P407" i="57"/>
  <c r="O407" i="57"/>
  <c r="N407" i="57"/>
  <c r="M407" i="57"/>
  <c r="L407" i="57"/>
  <c r="K407" i="57"/>
  <c r="AJ404" i="57"/>
  <c r="AF404" i="57"/>
  <c r="AE404" i="57"/>
  <c r="AD404" i="57"/>
  <c r="AC404" i="57"/>
  <c r="AB404" i="57"/>
  <c r="AA404" i="57"/>
  <c r="Z404" i="57"/>
  <c r="Y404" i="57"/>
  <c r="X404" i="57"/>
  <c r="W404" i="57"/>
  <c r="V404" i="57"/>
  <c r="U404" i="57"/>
  <c r="T404" i="57"/>
  <c r="S404" i="57"/>
  <c r="R404" i="57"/>
  <c r="Q404" i="57"/>
  <c r="P404" i="57"/>
  <c r="O404" i="57"/>
  <c r="N404" i="57"/>
  <c r="M404" i="57"/>
  <c r="L404" i="57"/>
  <c r="K404" i="57"/>
  <c r="AJ401" i="57"/>
  <c r="AF401" i="57"/>
  <c r="AE401" i="57"/>
  <c r="AD401" i="57"/>
  <c r="AC401" i="57"/>
  <c r="AB401" i="57"/>
  <c r="AA401" i="57"/>
  <c r="Z401" i="57"/>
  <c r="Y401" i="57"/>
  <c r="X401" i="57"/>
  <c r="W401" i="57"/>
  <c r="V401" i="57"/>
  <c r="U401" i="57"/>
  <c r="T401" i="57"/>
  <c r="S401" i="57"/>
  <c r="R401" i="57"/>
  <c r="Q401" i="57"/>
  <c r="P401" i="57"/>
  <c r="O401" i="57"/>
  <c r="N401" i="57"/>
  <c r="M401" i="57"/>
  <c r="L401" i="57"/>
  <c r="K401" i="57"/>
  <c r="AJ398" i="57"/>
  <c r="AF398" i="57"/>
  <c r="AE398" i="57"/>
  <c r="AD398" i="57"/>
  <c r="AC398" i="57"/>
  <c r="AB398" i="57"/>
  <c r="AA398" i="57"/>
  <c r="Z398" i="57"/>
  <c r="Y398" i="57"/>
  <c r="X398" i="57"/>
  <c r="W398" i="57"/>
  <c r="V398" i="57"/>
  <c r="U398" i="57"/>
  <c r="T398" i="57"/>
  <c r="S398" i="57"/>
  <c r="R398" i="57"/>
  <c r="Q398" i="57"/>
  <c r="P398" i="57"/>
  <c r="O398" i="57"/>
  <c r="N398" i="57"/>
  <c r="M398" i="57"/>
  <c r="L398" i="57"/>
  <c r="K398" i="57"/>
  <c r="AJ395" i="57"/>
  <c r="AF395" i="57"/>
  <c r="AE395" i="57"/>
  <c r="AD395" i="57"/>
  <c r="AC395" i="57"/>
  <c r="AB395" i="57"/>
  <c r="AA395" i="57"/>
  <c r="Z395" i="57"/>
  <c r="Y395" i="57"/>
  <c r="X395" i="57"/>
  <c r="W395" i="57"/>
  <c r="V395" i="57"/>
  <c r="U395" i="57"/>
  <c r="T395" i="57"/>
  <c r="S395" i="57"/>
  <c r="R395" i="57"/>
  <c r="Q395" i="57"/>
  <c r="P395" i="57"/>
  <c r="O395" i="57"/>
  <c r="N395" i="57"/>
  <c r="M395" i="57"/>
  <c r="L395" i="57"/>
  <c r="K395" i="57"/>
  <c r="AJ392" i="57"/>
  <c r="AF392" i="57"/>
  <c r="AE392" i="57"/>
  <c r="AD392" i="57"/>
  <c r="AC392" i="57"/>
  <c r="AB392" i="57"/>
  <c r="AA392" i="57"/>
  <c r="Z392" i="57"/>
  <c r="Y392" i="57"/>
  <c r="X392" i="57"/>
  <c r="W392" i="57"/>
  <c r="V392" i="57"/>
  <c r="U392" i="57"/>
  <c r="T392" i="57"/>
  <c r="S392" i="57"/>
  <c r="R392" i="57"/>
  <c r="Q392" i="57"/>
  <c r="P392" i="57"/>
  <c r="O392" i="57"/>
  <c r="N392" i="57"/>
  <c r="M392" i="57"/>
  <c r="L392" i="57"/>
  <c r="K392" i="57"/>
  <c r="AJ389" i="57"/>
  <c r="AF389" i="57"/>
  <c r="AE389" i="57"/>
  <c r="AD389" i="57"/>
  <c r="AC389" i="57"/>
  <c r="AB389" i="57"/>
  <c r="AA389" i="57"/>
  <c r="Z389" i="57"/>
  <c r="Y389" i="57"/>
  <c r="X389" i="57"/>
  <c r="W389" i="57"/>
  <c r="V389" i="57"/>
  <c r="U389" i="57"/>
  <c r="T389" i="57"/>
  <c r="S389" i="57"/>
  <c r="R389" i="57"/>
  <c r="Q389" i="57"/>
  <c r="P389" i="57"/>
  <c r="O389" i="57"/>
  <c r="N389" i="57"/>
  <c r="M389" i="57"/>
  <c r="L389" i="57"/>
  <c r="K389" i="57"/>
  <c r="AJ386" i="57"/>
  <c r="AF386" i="57"/>
  <c r="AE386" i="57"/>
  <c r="AD386" i="57"/>
  <c r="AC386" i="57"/>
  <c r="AB386" i="57"/>
  <c r="AA386" i="57"/>
  <c r="Z386" i="57"/>
  <c r="Y386" i="57"/>
  <c r="X386" i="57"/>
  <c r="W386" i="57"/>
  <c r="V386" i="57"/>
  <c r="U386" i="57"/>
  <c r="T386" i="57"/>
  <c r="S386" i="57"/>
  <c r="R386" i="57"/>
  <c r="Q386" i="57"/>
  <c r="P386" i="57"/>
  <c r="O386" i="57"/>
  <c r="N386" i="57"/>
  <c r="M386" i="57"/>
  <c r="L386" i="57"/>
  <c r="K386" i="57"/>
  <c r="AJ383" i="57"/>
  <c r="AF383" i="57"/>
  <c r="AE383" i="57"/>
  <c r="AD383" i="57"/>
  <c r="AC383" i="57"/>
  <c r="AB383" i="57"/>
  <c r="AA383" i="57"/>
  <c r="Z383" i="57"/>
  <c r="Y383" i="57"/>
  <c r="X383" i="57"/>
  <c r="W383" i="57"/>
  <c r="V383" i="57"/>
  <c r="U383" i="57"/>
  <c r="T383" i="57"/>
  <c r="S383" i="57"/>
  <c r="R383" i="57"/>
  <c r="Q383" i="57"/>
  <c r="P383" i="57"/>
  <c r="O383" i="57"/>
  <c r="N383" i="57"/>
  <c r="M383" i="57"/>
  <c r="L383" i="57"/>
  <c r="K383" i="57"/>
  <c r="AJ380" i="57"/>
  <c r="AF380" i="57"/>
  <c r="AE380" i="57"/>
  <c r="AD380" i="57"/>
  <c r="AC380" i="57"/>
  <c r="AB380" i="57"/>
  <c r="AA380" i="57"/>
  <c r="Z380" i="57"/>
  <c r="Y380" i="57"/>
  <c r="X380" i="57"/>
  <c r="W380" i="57"/>
  <c r="V380" i="57"/>
  <c r="U380" i="57"/>
  <c r="T380" i="57"/>
  <c r="S380" i="57"/>
  <c r="R380" i="57"/>
  <c r="Q380" i="57"/>
  <c r="P380" i="57"/>
  <c r="O380" i="57"/>
  <c r="N380" i="57"/>
  <c r="M380" i="57"/>
  <c r="L380" i="57"/>
  <c r="K380" i="57"/>
  <c r="AJ377" i="57"/>
  <c r="AF377" i="57"/>
  <c r="AE377" i="57"/>
  <c r="AD377" i="57"/>
  <c r="AC377" i="57"/>
  <c r="AB377" i="57"/>
  <c r="AA377" i="57"/>
  <c r="Z377" i="57"/>
  <c r="Y377" i="57"/>
  <c r="X377" i="57"/>
  <c r="W377" i="57"/>
  <c r="V377" i="57"/>
  <c r="U377" i="57"/>
  <c r="T377" i="57"/>
  <c r="S377" i="57"/>
  <c r="R377" i="57"/>
  <c r="Q377" i="57"/>
  <c r="P377" i="57"/>
  <c r="O377" i="57"/>
  <c r="N377" i="57"/>
  <c r="M377" i="57"/>
  <c r="L377" i="57"/>
  <c r="K377" i="57"/>
  <c r="AJ374" i="57"/>
  <c r="AF374" i="57"/>
  <c r="AE374" i="57"/>
  <c r="AD374" i="57"/>
  <c r="AC374" i="57"/>
  <c r="AB374" i="57"/>
  <c r="AA374" i="57"/>
  <c r="Z374" i="57"/>
  <c r="Y374" i="57"/>
  <c r="X374" i="57"/>
  <c r="W374" i="57"/>
  <c r="V374" i="57"/>
  <c r="U374" i="57"/>
  <c r="T374" i="57"/>
  <c r="S374" i="57"/>
  <c r="R374" i="57"/>
  <c r="Q374" i="57"/>
  <c r="P374" i="57"/>
  <c r="O374" i="57"/>
  <c r="N374" i="57"/>
  <c r="M374" i="57"/>
  <c r="L374" i="57"/>
  <c r="K374" i="57"/>
  <c r="AJ371" i="57"/>
  <c r="AF371" i="57"/>
  <c r="AE371" i="57"/>
  <c r="AD371" i="57"/>
  <c r="AC371" i="57"/>
  <c r="AB371" i="57"/>
  <c r="AA371" i="57"/>
  <c r="Z371" i="57"/>
  <c r="Y371" i="57"/>
  <c r="X371" i="57"/>
  <c r="W371" i="57"/>
  <c r="V371" i="57"/>
  <c r="U371" i="57"/>
  <c r="T371" i="57"/>
  <c r="S371" i="57"/>
  <c r="R371" i="57"/>
  <c r="Q371" i="57"/>
  <c r="P371" i="57"/>
  <c r="O371" i="57"/>
  <c r="N371" i="57"/>
  <c r="M371" i="57"/>
  <c r="L371" i="57"/>
  <c r="K371" i="57"/>
  <c r="AJ368" i="57"/>
  <c r="AF368" i="57"/>
  <c r="AE368" i="57"/>
  <c r="AD368" i="57"/>
  <c r="AC368" i="57"/>
  <c r="AB368" i="57"/>
  <c r="AA368" i="57"/>
  <c r="Z368" i="57"/>
  <c r="Y368" i="57"/>
  <c r="X368" i="57"/>
  <c r="W368" i="57"/>
  <c r="V368" i="57"/>
  <c r="U368" i="57"/>
  <c r="T368" i="57"/>
  <c r="S368" i="57"/>
  <c r="R368" i="57"/>
  <c r="Q368" i="57"/>
  <c r="P368" i="57"/>
  <c r="O368" i="57"/>
  <c r="N368" i="57"/>
  <c r="M368" i="57"/>
  <c r="L368" i="57"/>
  <c r="K368" i="57"/>
  <c r="AJ365" i="57"/>
  <c r="AF365" i="57"/>
  <c r="AE365" i="57"/>
  <c r="AD365" i="57"/>
  <c r="AC365" i="57"/>
  <c r="AB365" i="57"/>
  <c r="AA365" i="57"/>
  <c r="Z365" i="57"/>
  <c r="Y365" i="57"/>
  <c r="X365" i="57"/>
  <c r="W365" i="57"/>
  <c r="V365" i="57"/>
  <c r="U365" i="57"/>
  <c r="T365" i="57"/>
  <c r="S365" i="57"/>
  <c r="R365" i="57"/>
  <c r="Q365" i="57"/>
  <c r="P365" i="57"/>
  <c r="O365" i="57"/>
  <c r="N365" i="57"/>
  <c r="M365" i="57"/>
  <c r="L365" i="57"/>
  <c r="K365" i="57"/>
  <c r="AJ362" i="57"/>
  <c r="AF362" i="57"/>
  <c r="AE362" i="57"/>
  <c r="AD362" i="57"/>
  <c r="AC362" i="57"/>
  <c r="AB362" i="57"/>
  <c r="AA362" i="57"/>
  <c r="Z362" i="57"/>
  <c r="Y362" i="57"/>
  <c r="X362" i="57"/>
  <c r="W362" i="57"/>
  <c r="V362" i="57"/>
  <c r="U362" i="57"/>
  <c r="T362" i="57"/>
  <c r="S362" i="57"/>
  <c r="R362" i="57"/>
  <c r="Q362" i="57"/>
  <c r="P362" i="57"/>
  <c r="O362" i="57"/>
  <c r="N362" i="57"/>
  <c r="M362" i="57"/>
  <c r="L362" i="57"/>
  <c r="K362" i="57"/>
  <c r="AJ359" i="57"/>
  <c r="AF359" i="57"/>
  <c r="AE359" i="57"/>
  <c r="AD359" i="57"/>
  <c r="AC359" i="57"/>
  <c r="AB359" i="57"/>
  <c r="AA359" i="57"/>
  <c r="Z359" i="57"/>
  <c r="Y359" i="57"/>
  <c r="X359" i="57"/>
  <c r="W359" i="57"/>
  <c r="V359" i="57"/>
  <c r="U359" i="57"/>
  <c r="T359" i="57"/>
  <c r="S359" i="57"/>
  <c r="R359" i="57"/>
  <c r="Q359" i="57"/>
  <c r="P359" i="57"/>
  <c r="O359" i="57"/>
  <c r="N359" i="57"/>
  <c r="M359" i="57"/>
  <c r="L359" i="57"/>
  <c r="K359" i="57"/>
  <c r="AJ356" i="57"/>
  <c r="AF356" i="57"/>
  <c r="AE356" i="57"/>
  <c r="AD356" i="57"/>
  <c r="AC356" i="57"/>
  <c r="AB356" i="57"/>
  <c r="AA356" i="57"/>
  <c r="Z356" i="57"/>
  <c r="Y356" i="57"/>
  <c r="X356" i="57"/>
  <c r="W356" i="57"/>
  <c r="V356" i="57"/>
  <c r="U356" i="57"/>
  <c r="T356" i="57"/>
  <c r="S356" i="57"/>
  <c r="R356" i="57"/>
  <c r="Q356" i="57"/>
  <c r="P356" i="57"/>
  <c r="O356" i="57"/>
  <c r="N356" i="57"/>
  <c r="M356" i="57"/>
  <c r="L356" i="57"/>
  <c r="K356" i="57"/>
  <c r="AJ353" i="57"/>
  <c r="AF353" i="57"/>
  <c r="AE353" i="57"/>
  <c r="AD353" i="57"/>
  <c r="AC353" i="57"/>
  <c r="AB353" i="57"/>
  <c r="AA353" i="57"/>
  <c r="Z353" i="57"/>
  <c r="Y353" i="57"/>
  <c r="X353" i="57"/>
  <c r="W353" i="57"/>
  <c r="V353" i="57"/>
  <c r="U353" i="57"/>
  <c r="T353" i="57"/>
  <c r="S353" i="57"/>
  <c r="R353" i="57"/>
  <c r="Q353" i="57"/>
  <c r="P353" i="57"/>
  <c r="O353" i="57"/>
  <c r="N353" i="57"/>
  <c r="M353" i="57"/>
  <c r="L353" i="57"/>
  <c r="K353" i="57"/>
  <c r="AJ350" i="57"/>
  <c r="AF350" i="57"/>
  <c r="AE350" i="57"/>
  <c r="AD350" i="57"/>
  <c r="AC350" i="57"/>
  <c r="AB350" i="57"/>
  <c r="AA350" i="57"/>
  <c r="Z350" i="57"/>
  <c r="Y350" i="57"/>
  <c r="X350" i="57"/>
  <c r="W350" i="57"/>
  <c r="V350" i="57"/>
  <c r="U350" i="57"/>
  <c r="T350" i="57"/>
  <c r="S350" i="57"/>
  <c r="R350" i="57"/>
  <c r="Q350" i="57"/>
  <c r="P350" i="57"/>
  <c r="O350" i="57"/>
  <c r="N350" i="57"/>
  <c r="M350" i="57"/>
  <c r="L350" i="57"/>
  <c r="K350" i="57"/>
  <c r="AJ347" i="57"/>
  <c r="AF347" i="57"/>
  <c r="AE347" i="57"/>
  <c r="AD347" i="57"/>
  <c r="AC347" i="57"/>
  <c r="AB347" i="57"/>
  <c r="AA347" i="57"/>
  <c r="Z347" i="57"/>
  <c r="Y347" i="57"/>
  <c r="X347" i="57"/>
  <c r="W347" i="57"/>
  <c r="V347" i="57"/>
  <c r="U347" i="57"/>
  <c r="T347" i="57"/>
  <c r="S347" i="57"/>
  <c r="R347" i="57"/>
  <c r="Q347" i="57"/>
  <c r="P347" i="57"/>
  <c r="O347" i="57"/>
  <c r="N347" i="57"/>
  <c r="M347" i="57"/>
  <c r="L347" i="57"/>
  <c r="K347" i="57"/>
  <c r="AJ344" i="57"/>
  <c r="AF344" i="57"/>
  <c r="AE344" i="57"/>
  <c r="AD344" i="57"/>
  <c r="AC344" i="57"/>
  <c r="AB344" i="57"/>
  <c r="AA344" i="57"/>
  <c r="Z344" i="57"/>
  <c r="Y344" i="57"/>
  <c r="X344" i="57"/>
  <c r="W344" i="57"/>
  <c r="V344" i="57"/>
  <c r="U344" i="57"/>
  <c r="T344" i="57"/>
  <c r="S344" i="57"/>
  <c r="R344" i="57"/>
  <c r="Q344" i="57"/>
  <c r="P344" i="57"/>
  <c r="O344" i="57"/>
  <c r="N344" i="57"/>
  <c r="M344" i="57"/>
  <c r="L344" i="57"/>
  <c r="K344" i="57"/>
  <c r="AJ341" i="57"/>
  <c r="AF341" i="57"/>
  <c r="AE341" i="57"/>
  <c r="AD341" i="57"/>
  <c r="AC341" i="57"/>
  <c r="AB341" i="57"/>
  <c r="AA341" i="57"/>
  <c r="Z341" i="57"/>
  <c r="Y341" i="57"/>
  <c r="X341" i="57"/>
  <c r="W341" i="57"/>
  <c r="V341" i="57"/>
  <c r="U341" i="57"/>
  <c r="T341" i="57"/>
  <c r="S341" i="57"/>
  <c r="R341" i="57"/>
  <c r="Q341" i="57"/>
  <c r="P341" i="57"/>
  <c r="O341" i="57"/>
  <c r="N341" i="57"/>
  <c r="M341" i="57"/>
  <c r="L341" i="57"/>
  <c r="K341" i="57"/>
  <c r="AJ338" i="57"/>
  <c r="AF338" i="57"/>
  <c r="AE338" i="57"/>
  <c r="AD338" i="57"/>
  <c r="AC338" i="57"/>
  <c r="AB338" i="57"/>
  <c r="AA338" i="57"/>
  <c r="Z338" i="57"/>
  <c r="Y338" i="57"/>
  <c r="X338" i="57"/>
  <c r="W338" i="57"/>
  <c r="V338" i="57"/>
  <c r="U338" i="57"/>
  <c r="T338" i="57"/>
  <c r="S338" i="57"/>
  <c r="R338" i="57"/>
  <c r="Q338" i="57"/>
  <c r="P338" i="57"/>
  <c r="O338" i="57"/>
  <c r="N338" i="57"/>
  <c r="M338" i="57"/>
  <c r="L338" i="57"/>
  <c r="K338" i="57"/>
  <c r="AJ335" i="57"/>
  <c r="AF335" i="57"/>
  <c r="AE335" i="57"/>
  <c r="AD335" i="57"/>
  <c r="AC335" i="57"/>
  <c r="AB335" i="57"/>
  <c r="AA335" i="57"/>
  <c r="Z335" i="57"/>
  <c r="Y335" i="57"/>
  <c r="X335" i="57"/>
  <c r="W335" i="57"/>
  <c r="V335" i="57"/>
  <c r="U335" i="57"/>
  <c r="T335" i="57"/>
  <c r="S335" i="57"/>
  <c r="R335" i="57"/>
  <c r="Q335" i="57"/>
  <c r="P335" i="57"/>
  <c r="O335" i="57"/>
  <c r="N335" i="57"/>
  <c r="M335" i="57"/>
  <c r="L335" i="57"/>
  <c r="K335" i="57"/>
  <c r="AJ332" i="57"/>
  <c r="AF332" i="57"/>
  <c r="AE332" i="57"/>
  <c r="AD332" i="57"/>
  <c r="AC332" i="57"/>
  <c r="AB332" i="57"/>
  <c r="AA332" i="57"/>
  <c r="Z332" i="57"/>
  <c r="Y332" i="57"/>
  <c r="X332" i="57"/>
  <c r="W332" i="57"/>
  <c r="V332" i="57"/>
  <c r="U332" i="57"/>
  <c r="T332" i="57"/>
  <c r="S332" i="57"/>
  <c r="R332" i="57"/>
  <c r="Q332" i="57"/>
  <c r="P332" i="57"/>
  <c r="O332" i="57"/>
  <c r="N332" i="57"/>
  <c r="M332" i="57"/>
  <c r="L332" i="57"/>
  <c r="K332" i="57"/>
  <c r="AJ329" i="57"/>
  <c r="AF329" i="57"/>
  <c r="AE329" i="57"/>
  <c r="AD329" i="57"/>
  <c r="AC329" i="57"/>
  <c r="AB329" i="57"/>
  <c r="AA329" i="57"/>
  <c r="Z329" i="57"/>
  <c r="Y329" i="57"/>
  <c r="X329" i="57"/>
  <c r="W329" i="57"/>
  <c r="V329" i="57"/>
  <c r="U329" i="57"/>
  <c r="T329" i="57"/>
  <c r="S329" i="57"/>
  <c r="R329" i="57"/>
  <c r="Q329" i="57"/>
  <c r="P329" i="57"/>
  <c r="O329" i="57"/>
  <c r="N329" i="57"/>
  <c r="M329" i="57"/>
  <c r="L329" i="57"/>
  <c r="K329" i="57"/>
  <c r="AJ326" i="57"/>
  <c r="AF326" i="57"/>
  <c r="AE326" i="57"/>
  <c r="AD326" i="57"/>
  <c r="AC326" i="57"/>
  <c r="AB326" i="57"/>
  <c r="AA326" i="57"/>
  <c r="Z326" i="57"/>
  <c r="Y326" i="57"/>
  <c r="X326" i="57"/>
  <c r="W326" i="57"/>
  <c r="V326" i="57"/>
  <c r="U326" i="57"/>
  <c r="T326" i="57"/>
  <c r="S326" i="57"/>
  <c r="R326" i="57"/>
  <c r="Q326" i="57"/>
  <c r="P326" i="57"/>
  <c r="O326" i="57"/>
  <c r="N326" i="57"/>
  <c r="M326" i="57"/>
  <c r="L326" i="57"/>
  <c r="K326" i="57"/>
  <c r="AJ323" i="57"/>
  <c r="AF323" i="57"/>
  <c r="AE323" i="57"/>
  <c r="AD323" i="57"/>
  <c r="AC323" i="57"/>
  <c r="AB323" i="57"/>
  <c r="AA323" i="57"/>
  <c r="Z323" i="57"/>
  <c r="Y323" i="57"/>
  <c r="X323" i="57"/>
  <c r="W323" i="57"/>
  <c r="V323" i="57"/>
  <c r="U323" i="57"/>
  <c r="T323" i="57"/>
  <c r="S323" i="57"/>
  <c r="R323" i="57"/>
  <c r="Q323" i="57"/>
  <c r="P323" i="57"/>
  <c r="O323" i="57"/>
  <c r="N323" i="57"/>
  <c r="M323" i="57"/>
  <c r="L323" i="57"/>
  <c r="K323" i="57"/>
  <c r="AJ320" i="57"/>
  <c r="AF320" i="57"/>
  <c r="AE320" i="57"/>
  <c r="AD320" i="57"/>
  <c r="AC320" i="57"/>
  <c r="AB320" i="57"/>
  <c r="AA320" i="57"/>
  <c r="Z320" i="57"/>
  <c r="Y320" i="57"/>
  <c r="X320" i="57"/>
  <c r="W320" i="57"/>
  <c r="V320" i="57"/>
  <c r="U320" i="57"/>
  <c r="T320" i="57"/>
  <c r="S320" i="57"/>
  <c r="R320" i="57"/>
  <c r="Q320" i="57"/>
  <c r="P320" i="57"/>
  <c r="O320" i="57"/>
  <c r="N320" i="57"/>
  <c r="M320" i="57"/>
  <c r="L320" i="57"/>
  <c r="K320" i="57"/>
  <c r="AJ317" i="57"/>
  <c r="AF317" i="57"/>
  <c r="AE317" i="57"/>
  <c r="AD317" i="57"/>
  <c r="AC317" i="57"/>
  <c r="AB317" i="57"/>
  <c r="AA317" i="57"/>
  <c r="Z317" i="57"/>
  <c r="Y317" i="57"/>
  <c r="X317" i="57"/>
  <c r="W317" i="57"/>
  <c r="V317" i="57"/>
  <c r="U317" i="57"/>
  <c r="T317" i="57"/>
  <c r="S317" i="57"/>
  <c r="R317" i="57"/>
  <c r="Q317" i="57"/>
  <c r="P317" i="57"/>
  <c r="O317" i="57"/>
  <c r="N317" i="57"/>
  <c r="M317" i="57"/>
  <c r="L317" i="57"/>
  <c r="K317" i="57"/>
  <c r="AJ314" i="57"/>
  <c r="AF314" i="57"/>
  <c r="AE314" i="57"/>
  <c r="AD314" i="57"/>
  <c r="AC314" i="57"/>
  <c r="AB314" i="57"/>
  <c r="AA314" i="57"/>
  <c r="Z314" i="57"/>
  <c r="Y314" i="57"/>
  <c r="X314" i="57"/>
  <c r="W314" i="57"/>
  <c r="V314" i="57"/>
  <c r="U314" i="57"/>
  <c r="T314" i="57"/>
  <c r="S314" i="57"/>
  <c r="R314" i="57"/>
  <c r="Q314" i="57"/>
  <c r="P314" i="57"/>
  <c r="O314" i="57"/>
  <c r="N314" i="57"/>
  <c r="M314" i="57"/>
  <c r="L314" i="57"/>
  <c r="K314" i="57"/>
  <c r="AJ311" i="57"/>
  <c r="AF311" i="57"/>
  <c r="AE311" i="57"/>
  <c r="AD311" i="57"/>
  <c r="AC311" i="57"/>
  <c r="AB311" i="57"/>
  <c r="AA311" i="57"/>
  <c r="Z311" i="57"/>
  <c r="Y311" i="57"/>
  <c r="X311" i="57"/>
  <c r="W311" i="57"/>
  <c r="V311" i="57"/>
  <c r="U311" i="57"/>
  <c r="T311" i="57"/>
  <c r="S311" i="57"/>
  <c r="R311" i="57"/>
  <c r="Q311" i="57"/>
  <c r="P311" i="57"/>
  <c r="O311" i="57"/>
  <c r="N311" i="57"/>
  <c r="M311" i="57"/>
  <c r="L311" i="57"/>
  <c r="K311" i="57"/>
  <c r="AJ308" i="57"/>
  <c r="AF308" i="57"/>
  <c r="AE308" i="57"/>
  <c r="AD308" i="57"/>
  <c r="AC308" i="57"/>
  <c r="AB308" i="57"/>
  <c r="AA308" i="57"/>
  <c r="Z308" i="57"/>
  <c r="Y308" i="57"/>
  <c r="X308" i="57"/>
  <c r="W308" i="57"/>
  <c r="V308" i="57"/>
  <c r="U308" i="57"/>
  <c r="T308" i="57"/>
  <c r="S308" i="57"/>
  <c r="R308" i="57"/>
  <c r="Q308" i="57"/>
  <c r="P308" i="57"/>
  <c r="O308" i="57"/>
  <c r="N308" i="57"/>
  <c r="M308" i="57"/>
  <c r="L308" i="57"/>
  <c r="K308" i="57"/>
  <c r="AJ305" i="57"/>
  <c r="AF305" i="57"/>
  <c r="AE305" i="57"/>
  <c r="AD305" i="57"/>
  <c r="AC305" i="57"/>
  <c r="AB305" i="57"/>
  <c r="AA305" i="57"/>
  <c r="Z305" i="57"/>
  <c r="Y305" i="57"/>
  <c r="X305" i="57"/>
  <c r="W305" i="57"/>
  <c r="V305" i="57"/>
  <c r="U305" i="57"/>
  <c r="T305" i="57"/>
  <c r="S305" i="57"/>
  <c r="R305" i="57"/>
  <c r="Q305" i="57"/>
  <c r="P305" i="57"/>
  <c r="O305" i="57"/>
  <c r="N305" i="57"/>
  <c r="M305" i="57"/>
  <c r="L305" i="57"/>
  <c r="K305" i="57"/>
  <c r="AJ302" i="57"/>
  <c r="AF302" i="57"/>
  <c r="AE302" i="57"/>
  <c r="AD302" i="57"/>
  <c r="AC302" i="57"/>
  <c r="AB302" i="57"/>
  <c r="AA302" i="57"/>
  <c r="Z302" i="57"/>
  <c r="Y302" i="57"/>
  <c r="X302" i="57"/>
  <c r="W302" i="57"/>
  <c r="V302" i="57"/>
  <c r="U302" i="57"/>
  <c r="T302" i="57"/>
  <c r="S302" i="57"/>
  <c r="R302" i="57"/>
  <c r="Q302" i="57"/>
  <c r="P302" i="57"/>
  <c r="O302" i="57"/>
  <c r="N302" i="57"/>
  <c r="M302" i="57"/>
  <c r="L302" i="57"/>
  <c r="K302" i="57"/>
  <c r="AJ299" i="57"/>
  <c r="AF299" i="57"/>
  <c r="AE299" i="57"/>
  <c r="AD299" i="57"/>
  <c r="AC299" i="57"/>
  <c r="AB299" i="57"/>
  <c r="AA299" i="57"/>
  <c r="Z299" i="57"/>
  <c r="Y299" i="57"/>
  <c r="X299" i="57"/>
  <c r="W299" i="57"/>
  <c r="V299" i="57"/>
  <c r="U299" i="57"/>
  <c r="T299" i="57"/>
  <c r="S299" i="57"/>
  <c r="R299" i="57"/>
  <c r="Q299" i="57"/>
  <c r="P299" i="57"/>
  <c r="O299" i="57"/>
  <c r="N299" i="57"/>
  <c r="M299" i="57"/>
  <c r="L299" i="57"/>
  <c r="K299" i="57"/>
  <c r="AJ296" i="57"/>
  <c r="AF296" i="57"/>
  <c r="AE296" i="57"/>
  <c r="AD296" i="57"/>
  <c r="AC296" i="57"/>
  <c r="AB296" i="57"/>
  <c r="AA296" i="57"/>
  <c r="Z296" i="57"/>
  <c r="Y296" i="57"/>
  <c r="X296" i="57"/>
  <c r="W296" i="57"/>
  <c r="V296" i="57"/>
  <c r="U296" i="57"/>
  <c r="T296" i="57"/>
  <c r="S296" i="57"/>
  <c r="R296" i="57"/>
  <c r="Q296" i="57"/>
  <c r="P296" i="57"/>
  <c r="O296" i="57"/>
  <c r="N296" i="57"/>
  <c r="M296" i="57"/>
  <c r="L296" i="57"/>
  <c r="K296" i="57"/>
  <c r="AJ293" i="57"/>
  <c r="AF293" i="57"/>
  <c r="AE293" i="57"/>
  <c r="AD293" i="57"/>
  <c r="AC293" i="57"/>
  <c r="AB293" i="57"/>
  <c r="AA293" i="57"/>
  <c r="Z293" i="57"/>
  <c r="Y293" i="57"/>
  <c r="X293" i="57"/>
  <c r="W293" i="57"/>
  <c r="V293" i="57"/>
  <c r="U293" i="57"/>
  <c r="T293" i="57"/>
  <c r="S293" i="57"/>
  <c r="R293" i="57"/>
  <c r="Q293" i="57"/>
  <c r="P293" i="57"/>
  <c r="O293" i="57"/>
  <c r="N293" i="57"/>
  <c r="M293" i="57"/>
  <c r="L293" i="57"/>
  <c r="K293" i="57"/>
  <c r="AJ290" i="57"/>
  <c r="AF290" i="57"/>
  <c r="AE290" i="57"/>
  <c r="AD290" i="57"/>
  <c r="AC290" i="57"/>
  <c r="AB290" i="57"/>
  <c r="AA290" i="57"/>
  <c r="Z290" i="57"/>
  <c r="Y290" i="57"/>
  <c r="X290" i="57"/>
  <c r="W290" i="57"/>
  <c r="V290" i="57"/>
  <c r="U290" i="57"/>
  <c r="T290" i="57"/>
  <c r="S290" i="57"/>
  <c r="R290" i="57"/>
  <c r="Q290" i="57"/>
  <c r="P290" i="57"/>
  <c r="O290" i="57"/>
  <c r="N290" i="57"/>
  <c r="M290" i="57"/>
  <c r="L290" i="57"/>
  <c r="K290" i="57"/>
  <c r="AJ287" i="57"/>
  <c r="AF287" i="57"/>
  <c r="AE287" i="57"/>
  <c r="AD287" i="57"/>
  <c r="AC287" i="57"/>
  <c r="AB287" i="57"/>
  <c r="AA287" i="57"/>
  <c r="Z287" i="57"/>
  <c r="Y287" i="57"/>
  <c r="X287" i="57"/>
  <c r="W287" i="57"/>
  <c r="V287" i="57"/>
  <c r="U287" i="57"/>
  <c r="T287" i="57"/>
  <c r="S287" i="57"/>
  <c r="R287" i="57"/>
  <c r="Q287" i="57"/>
  <c r="P287" i="57"/>
  <c r="O287" i="57"/>
  <c r="N287" i="57"/>
  <c r="M287" i="57"/>
  <c r="L287" i="57"/>
  <c r="K287" i="57"/>
  <c r="AJ284" i="57"/>
  <c r="AF284" i="57"/>
  <c r="AE284" i="57"/>
  <c r="AD284" i="57"/>
  <c r="AC284" i="57"/>
  <c r="AB284" i="57"/>
  <c r="AA284" i="57"/>
  <c r="Z284" i="57"/>
  <c r="Y284" i="57"/>
  <c r="X284" i="57"/>
  <c r="W284" i="57"/>
  <c r="V284" i="57"/>
  <c r="U284" i="57"/>
  <c r="T284" i="57"/>
  <c r="S284" i="57"/>
  <c r="R284" i="57"/>
  <c r="Q284" i="57"/>
  <c r="P284" i="57"/>
  <c r="O284" i="57"/>
  <c r="N284" i="57"/>
  <c r="M284" i="57"/>
  <c r="L284" i="57"/>
  <c r="K284" i="57"/>
  <c r="AJ281" i="57"/>
  <c r="AF281" i="57"/>
  <c r="AE281" i="57"/>
  <c r="AD281" i="57"/>
  <c r="AC281" i="57"/>
  <c r="AB281" i="57"/>
  <c r="AA281" i="57"/>
  <c r="Z281" i="57"/>
  <c r="Y281" i="57"/>
  <c r="X281" i="57"/>
  <c r="W281" i="57"/>
  <c r="V281" i="57"/>
  <c r="U281" i="57"/>
  <c r="T281" i="57"/>
  <c r="S281" i="57"/>
  <c r="R281" i="57"/>
  <c r="Q281" i="57"/>
  <c r="P281" i="57"/>
  <c r="O281" i="57"/>
  <c r="N281" i="57"/>
  <c r="M281" i="57"/>
  <c r="L281" i="57"/>
  <c r="K281" i="57"/>
  <c r="AJ278" i="57"/>
  <c r="AF278" i="57"/>
  <c r="AE278" i="57"/>
  <c r="AD278" i="57"/>
  <c r="AC278" i="57"/>
  <c r="AB278" i="57"/>
  <c r="AA278" i="57"/>
  <c r="Z278" i="57"/>
  <c r="Y278" i="57"/>
  <c r="X278" i="57"/>
  <c r="W278" i="57"/>
  <c r="V278" i="57"/>
  <c r="U278" i="57"/>
  <c r="T278" i="57"/>
  <c r="S278" i="57"/>
  <c r="R278" i="57"/>
  <c r="Q278" i="57"/>
  <c r="P278" i="57"/>
  <c r="O278" i="57"/>
  <c r="N278" i="57"/>
  <c r="M278" i="57"/>
  <c r="L278" i="57"/>
  <c r="K278" i="57"/>
  <c r="AJ275" i="57"/>
  <c r="AF275" i="57"/>
  <c r="AE275" i="57"/>
  <c r="AD275" i="57"/>
  <c r="AC275" i="57"/>
  <c r="AB275" i="57"/>
  <c r="AA275" i="57"/>
  <c r="Z275" i="57"/>
  <c r="Y275" i="57"/>
  <c r="X275" i="57"/>
  <c r="W275" i="57"/>
  <c r="V275" i="57"/>
  <c r="U275" i="57"/>
  <c r="T275" i="57"/>
  <c r="S275" i="57"/>
  <c r="R275" i="57"/>
  <c r="Q275" i="57"/>
  <c r="P275" i="57"/>
  <c r="O275" i="57"/>
  <c r="N275" i="57"/>
  <c r="M275" i="57"/>
  <c r="L275" i="57"/>
  <c r="K275" i="57"/>
  <c r="AJ272" i="57"/>
  <c r="AF272" i="57"/>
  <c r="AE272" i="57"/>
  <c r="AD272" i="57"/>
  <c r="AC272" i="57"/>
  <c r="AB272" i="57"/>
  <c r="AA272" i="57"/>
  <c r="Z272" i="57"/>
  <c r="Y272" i="57"/>
  <c r="X272" i="57"/>
  <c r="W272" i="57"/>
  <c r="V272" i="57"/>
  <c r="U272" i="57"/>
  <c r="T272" i="57"/>
  <c r="S272" i="57"/>
  <c r="R272" i="57"/>
  <c r="Q272" i="57"/>
  <c r="P272" i="57"/>
  <c r="O272" i="57"/>
  <c r="N272" i="57"/>
  <c r="M272" i="57"/>
  <c r="L272" i="57"/>
  <c r="K272" i="57"/>
  <c r="AJ269" i="57"/>
  <c r="AF269" i="57"/>
  <c r="AE269" i="57"/>
  <c r="AD269" i="57"/>
  <c r="AC269" i="57"/>
  <c r="AB269" i="57"/>
  <c r="AA269" i="57"/>
  <c r="Z269" i="57"/>
  <c r="Y269" i="57"/>
  <c r="X269" i="57"/>
  <c r="W269" i="57"/>
  <c r="V269" i="57"/>
  <c r="U269" i="57"/>
  <c r="T269" i="57"/>
  <c r="S269" i="57"/>
  <c r="R269" i="57"/>
  <c r="Q269" i="57"/>
  <c r="P269" i="57"/>
  <c r="O269" i="57"/>
  <c r="N269" i="57"/>
  <c r="M269" i="57"/>
  <c r="L269" i="57"/>
  <c r="K269" i="57"/>
  <c r="AJ266" i="57"/>
  <c r="AF266" i="57"/>
  <c r="AE266" i="57"/>
  <c r="AD266" i="57"/>
  <c r="AC266" i="57"/>
  <c r="AB266" i="57"/>
  <c r="AA266" i="57"/>
  <c r="Z266" i="57"/>
  <c r="Y266" i="57"/>
  <c r="X266" i="57"/>
  <c r="W266" i="57"/>
  <c r="V266" i="57"/>
  <c r="U266" i="57"/>
  <c r="T266" i="57"/>
  <c r="S266" i="57"/>
  <c r="R266" i="57"/>
  <c r="Q266" i="57"/>
  <c r="P266" i="57"/>
  <c r="O266" i="57"/>
  <c r="N266" i="57"/>
  <c r="M266" i="57"/>
  <c r="L266" i="57"/>
  <c r="K266" i="57"/>
  <c r="AJ263" i="57"/>
  <c r="AF263" i="57"/>
  <c r="AE263" i="57"/>
  <c r="AD263" i="57"/>
  <c r="AC263" i="57"/>
  <c r="AB263" i="57"/>
  <c r="AA263" i="57"/>
  <c r="Z263" i="57"/>
  <c r="Y263" i="57"/>
  <c r="X263" i="57"/>
  <c r="W263" i="57"/>
  <c r="V263" i="57"/>
  <c r="U263" i="57"/>
  <c r="T263" i="57"/>
  <c r="S263" i="57"/>
  <c r="R263" i="57"/>
  <c r="Q263" i="57"/>
  <c r="P263" i="57"/>
  <c r="O263" i="57"/>
  <c r="N263" i="57"/>
  <c r="M263" i="57"/>
  <c r="L263" i="57"/>
  <c r="K263" i="57"/>
  <c r="AJ260" i="57"/>
  <c r="AF260" i="57"/>
  <c r="AE260" i="57"/>
  <c r="AD260" i="57"/>
  <c r="AC260" i="57"/>
  <c r="AB260" i="57"/>
  <c r="AA260" i="57"/>
  <c r="Z260" i="57"/>
  <c r="Y260" i="57"/>
  <c r="X260" i="57"/>
  <c r="W260" i="57"/>
  <c r="V260" i="57"/>
  <c r="U260" i="57"/>
  <c r="T260" i="57"/>
  <c r="S260" i="57"/>
  <c r="R260" i="57"/>
  <c r="Q260" i="57"/>
  <c r="P260" i="57"/>
  <c r="O260" i="57"/>
  <c r="N260" i="57"/>
  <c r="M260" i="57"/>
  <c r="L260" i="57"/>
  <c r="K260" i="57"/>
  <c r="AJ257" i="57"/>
  <c r="AF257" i="57"/>
  <c r="AE257" i="57"/>
  <c r="AD257" i="57"/>
  <c r="AC257" i="57"/>
  <c r="AB257" i="57"/>
  <c r="AA257" i="57"/>
  <c r="Z257" i="57"/>
  <c r="Y257" i="57"/>
  <c r="X257" i="57"/>
  <c r="W257" i="57"/>
  <c r="V257" i="57"/>
  <c r="U257" i="57"/>
  <c r="T257" i="57"/>
  <c r="S257" i="57"/>
  <c r="R257" i="57"/>
  <c r="Q257" i="57"/>
  <c r="P257" i="57"/>
  <c r="O257" i="57"/>
  <c r="N257" i="57"/>
  <c r="M257" i="57"/>
  <c r="L257" i="57"/>
  <c r="K257" i="57"/>
  <c r="AJ254" i="57"/>
  <c r="AF254" i="57"/>
  <c r="AE254" i="57"/>
  <c r="AD254" i="57"/>
  <c r="AC254" i="57"/>
  <c r="AB254" i="57"/>
  <c r="AA254" i="57"/>
  <c r="Z254" i="57"/>
  <c r="Y254" i="57"/>
  <c r="X254" i="57"/>
  <c r="W254" i="57"/>
  <c r="V254" i="57"/>
  <c r="U254" i="57"/>
  <c r="T254" i="57"/>
  <c r="S254" i="57"/>
  <c r="R254" i="57"/>
  <c r="Q254" i="57"/>
  <c r="P254" i="57"/>
  <c r="O254" i="57"/>
  <c r="N254" i="57"/>
  <c r="M254" i="57"/>
  <c r="L254" i="57"/>
  <c r="K254" i="57"/>
  <c r="AJ251" i="57"/>
  <c r="AF251" i="57"/>
  <c r="AE251" i="57"/>
  <c r="AD251" i="57"/>
  <c r="AC251" i="57"/>
  <c r="AB251" i="57"/>
  <c r="AA251" i="57"/>
  <c r="Z251" i="57"/>
  <c r="Y251" i="57"/>
  <c r="X251" i="57"/>
  <c r="W251" i="57"/>
  <c r="V251" i="57"/>
  <c r="U251" i="57"/>
  <c r="T251" i="57"/>
  <c r="S251" i="57"/>
  <c r="R251" i="57"/>
  <c r="Q251" i="57"/>
  <c r="P251" i="57"/>
  <c r="O251" i="57"/>
  <c r="N251" i="57"/>
  <c r="M251" i="57"/>
  <c r="L251" i="57"/>
  <c r="K251" i="57"/>
  <c r="AJ248" i="57"/>
  <c r="AF248" i="57"/>
  <c r="AE248" i="57"/>
  <c r="AD248" i="57"/>
  <c r="AC248" i="57"/>
  <c r="AB248" i="57"/>
  <c r="AA248" i="57"/>
  <c r="Z248" i="57"/>
  <c r="Y248" i="57"/>
  <c r="X248" i="57"/>
  <c r="W248" i="57"/>
  <c r="V248" i="57"/>
  <c r="U248" i="57"/>
  <c r="T248" i="57"/>
  <c r="S248" i="57"/>
  <c r="R248" i="57"/>
  <c r="Q248" i="57"/>
  <c r="P248" i="57"/>
  <c r="O248" i="57"/>
  <c r="N248" i="57"/>
  <c r="M248" i="57"/>
  <c r="L248" i="57"/>
  <c r="K248" i="57"/>
  <c r="AJ245" i="57"/>
  <c r="AF245" i="57"/>
  <c r="AE245" i="57"/>
  <c r="AD245" i="57"/>
  <c r="AC245" i="57"/>
  <c r="AB245" i="57"/>
  <c r="AA245" i="57"/>
  <c r="Z245" i="57"/>
  <c r="Y245" i="57"/>
  <c r="X245" i="57"/>
  <c r="W245" i="57"/>
  <c r="V245" i="57"/>
  <c r="U245" i="57"/>
  <c r="T245" i="57"/>
  <c r="S245" i="57"/>
  <c r="R245" i="57"/>
  <c r="Q245" i="57"/>
  <c r="P245" i="57"/>
  <c r="O245" i="57"/>
  <c r="N245" i="57"/>
  <c r="M245" i="57"/>
  <c r="L245" i="57"/>
  <c r="K245" i="57"/>
  <c r="AJ242" i="57"/>
  <c r="AF242" i="57"/>
  <c r="AE242" i="57"/>
  <c r="AD242" i="57"/>
  <c r="AC242" i="57"/>
  <c r="AB242" i="57"/>
  <c r="AA242" i="57"/>
  <c r="Z242" i="57"/>
  <c r="Y242" i="57"/>
  <c r="X242" i="57"/>
  <c r="W242" i="57"/>
  <c r="V242" i="57"/>
  <c r="U242" i="57"/>
  <c r="T242" i="57"/>
  <c r="S242" i="57"/>
  <c r="R242" i="57"/>
  <c r="Q242" i="57"/>
  <c r="P242" i="57"/>
  <c r="O242" i="57"/>
  <c r="N242" i="57"/>
  <c r="M242" i="57"/>
  <c r="L242" i="57"/>
  <c r="K242" i="57"/>
  <c r="AJ239" i="57"/>
  <c r="AF239" i="57"/>
  <c r="AE239" i="57"/>
  <c r="AD239" i="57"/>
  <c r="AC239" i="57"/>
  <c r="AB239" i="57"/>
  <c r="AA239" i="57"/>
  <c r="Z239" i="57"/>
  <c r="Y239" i="57"/>
  <c r="X239" i="57"/>
  <c r="W239" i="57"/>
  <c r="V239" i="57"/>
  <c r="U239" i="57"/>
  <c r="T239" i="57"/>
  <c r="S239" i="57"/>
  <c r="R239" i="57"/>
  <c r="Q239" i="57"/>
  <c r="P239" i="57"/>
  <c r="O239" i="57"/>
  <c r="N239" i="57"/>
  <c r="M239" i="57"/>
  <c r="L239" i="57"/>
  <c r="K239" i="57"/>
  <c r="AJ236" i="57"/>
  <c r="AF236" i="57"/>
  <c r="AE236" i="57"/>
  <c r="AD236" i="57"/>
  <c r="AC236" i="57"/>
  <c r="AB236" i="57"/>
  <c r="AA236" i="57"/>
  <c r="Z236" i="57"/>
  <c r="Y236" i="57"/>
  <c r="X236" i="57"/>
  <c r="W236" i="57"/>
  <c r="V236" i="57"/>
  <c r="U236" i="57"/>
  <c r="T236" i="57"/>
  <c r="S236" i="57"/>
  <c r="R236" i="57"/>
  <c r="Q236" i="57"/>
  <c r="P236" i="57"/>
  <c r="O236" i="57"/>
  <c r="N236" i="57"/>
  <c r="M236" i="57"/>
  <c r="L236" i="57"/>
  <c r="K236" i="57"/>
  <c r="AJ233" i="57"/>
  <c r="AF233" i="57"/>
  <c r="AE233" i="57"/>
  <c r="AD233" i="57"/>
  <c r="AC233" i="57"/>
  <c r="AB233" i="57"/>
  <c r="AA233" i="57"/>
  <c r="Z233" i="57"/>
  <c r="Y233" i="57"/>
  <c r="X233" i="57"/>
  <c r="W233" i="57"/>
  <c r="V233" i="57"/>
  <c r="U233" i="57"/>
  <c r="T233" i="57"/>
  <c r="S233" i="57"/>
  <c r="R233" i="57"/>
  <c r="Q233" i="57"/>
  <c r="P233" i="57"/>
  <c r="O233" i="57"/>
  <c r="N233" i="57"/>
  <c r="M233" i="57"/>
  <c r="L233" i="57"/>
  <c r="K233" i="57"/>
  <c r="AJ230" i="57"/>
  <c r="AF230" i="57"/>
  <c r="AE230" i="57"/>
  <c r="AD230" i="57"/>
  <c r="AC230" i="57"/>
  <c r="AB230" i="57"/>
  <c r="AA230" i="57"/>
  <c r="Z230" i="57"/>
  <c r="Y230" i="57"/>
  <c r="X230" i="57"/>
  <c r="W230" i="57"/>
  <c r="V230" i="57"/>
  <c r="U230" i="57"/>
  <c r="T230" i="57"/>
  <c r="S230" i="57"/>
  <c r="R230" i="57"/>
  <c r="Q230" i="57"/>
  <c r="P230" i="57"/>
  <c r="O230" i="57"/>
  <c r="N230" i="57"/>
  <c r="M230" i="57"/>
  <c r="L230" i="57"/>
  <c r="K230" i="57"/>
  <c r="AJ227" i="57"/>
  <c r="AF227" i="57"/>
  <c r="AE227" i="57"/>
  <c r="AD227" i="57"/>
  <c r="AC227" i="57"/>
  <c r="AB227" i="57"/>
  <c r="AA227" i="57"/>
  <c r="Z227" i="57"/>
  <c r="Y227" i="57"/>
  <c r="X227" i="57"/>
  <c r="W227" i="57"/>
  <c r="V227" i="57"/>
  <c r="U227" i="57"/>
  <c r="T227" i="57"/>
  <c r="S227" i="57"/>
  <c r="R227" i="57"/>
  <c r="Q227" i="57"/>
  <c r="P227" i="57"/>
  <c r="O227" i="57"/>
  <c r="N227" i="57"/>
  <c r="M227" i="57"/>
  <c r="L227" i="57"/>
  <c r="K227" i="57"/>
  <c r="AJ224" i="57"/>
  <c r="AF224" i="57"/>
  <c r="AE224" i="57"/>
  <c r="AD224" i="57"/>
  <c r="AC224" i="57"/>
  <c r="AB224" i="57"/>
  <c r="AA224" i="57"/>
  <c r="Z224" i="57"/>
  <c r="Y224" i="57"/>
  <c r="X224" i="57"/>
  <c r="W224" i="57"/>
  <c r="V224" i="57"/>
  <c r="U224" i="57"/>
  <c r="T224" i="57"/>
  <c r="S224" i="57"/>
  <c r="R224" i="57"/>
  <c r="Q224" i="57"/>
  <c r="P224" i="57"/>
  <c r="O224" i="57"/>
  <c r="N224" i="57"/>
  <c r="M224" i="57"/>
  <c r="L224" i="57"/>
  <c r="K224" i="57"/>
  <c r="AJ221" i="57"/>
  <c r="AF221" i="57"/>
  <c r="AE221" i="57"/>
  <c r="AD221" i="57"/>
  <c r="AC221" i="57"/>
  <c r="AB221" i="57"/>
  <c r="AA221" i="57"/>
  <c r="Z221" i="57"/>
  <c r="Y221" i="57"/>
  <c r="X221" i="57"/>
  <c r="W221" i="57"/>
  <c r="V221" i="57"/>
  <c r="U221" i="57"/>
  <c r="T221" i="57"/>
  <c r="S221" i="57"/>
  <c r="R221" i="57"/>
  <c r="Q221" i="57"/>
  <c r="P221" i="57"/>
  <c r="O221" i="57"/>
  <c r="N221" i="57"/>
  <c r="M221" i="57"/>
  <c r="L221" i="57"/>
  <c r="K221" i="57"/>
  <c r="AJ218" i="57"/>
  <c r="AF218" i="57"/>
  <c r="AE218" i="57"/>
  <c r="AD218" i="57"/>
  <c r="AC218" i="57"/>
  <c r="AB218" i="57"/>
  <c r="AA218" i="57"/>
  <c r="Z218" i="57"/>
  <c r="Y218" i="57"/>
  <c r="X218" i="57"/>
  <c r="W218" i="57"/>
  <c r="V218" i="57"/>
  <c r="U218" i="57"/>
  <c r="T218" i="57"/>
  <c r="S218" i="57"/>
  <c r="R218" i="57"/>
  <c r="Q218" i="57"/>
  <c r="P218" i="57"/>
  <c r="O218" i="57"/>
  <c r="N218" i="57"/>
  <c r="M218" i="57"/>
  <c r="L218" i="57"/>
  <c r="K218" i="57"/>
  <c r="AJ215" i="57"/>
  <c r="AF215" i="57"/>
  <c r="AE215" i="57"/>
  <c r="AD215" i="57"/>
  <c r="AC215" i="57"/>
  <c r="AB215" i="57"/>
  <c r="AA215" i="57"/>
  <c r="Z215" i="57"/>
  <c r="Y215" i="57"/>
  <c r="X215" i="57"/>
  <c r="W215" i="57"/>
  <c r="V215" i="57"/>
  <c r="U215" i="57"/>
  <c r="T215" i="57"/>
  <c r="S215" i="57"/>
  <c r="R215" i="57"/>
  <c r="Q215" i="57"/>
  <c r="P215" i="57"/>
  <c r="O215" i="57"/>
  <c r="N215" i="57"/>
  <c r="M215" i="57"/>
  <c r="L215" i="57"/>
  <c r="K215" i="57"/>
  <c r="AJ212" i="57"/>
  <c r="AF212" i="57"/>
  <c r="AE212" i="57"/>
  <c r="AD212" i="57"/>
  <c r="AC212" i="57"/>
  <c r="AB212" i="57"/>
  <c r="AA212" i="57"/>
  <c r="Z212" i="57"/>
  <c r="Y212" i="57"/>
  <c r="X212" i="57"/>
  <c r="W212" i="57"/>
  <c r="V212" i="57"/>
  <c r="U212" i="57"/>
  <c r="T212" i="57"/>
  <c r="S212" i="57"/>
  <c r="R212" i="57"/>
  <c r="Q212" i="57"/>
  <c r="P212" i="57"/>
  <c r="O212" i="57"/>
  <c r="N212" i="57"/>
  <c r="M212" i="57"/>
  <c r="L212" i="57"/>
  <c r="K212" i="57"/>
  <c r="AJ209" i="57"/>
  <c r="AF209" i="57"/>
  <c r="AE209" i="57"/>
  <c r="AD209" i="57"/>
  <c r="AC209" i="57"/>
  <c r="AB209" i="57"/>
  <c r="AA209" i="57"/>
  <c r="Z209" i="57"/>
  <c r="Y209" i="57"/>
  <c r="X209" i="57"/>
  <c r="W209" i="57"/>
  <c r="V209" i="57"/>
  <c r="U209" i="57"/>
  <c r="T209" i="57"/>
  <c r="S209" i="57"/>
  <c r="R209" i="57"/>
  <c r="Q209" i="57"/>
  <c r="P209" i="57"/>
  <c r="O209" i="57"/>
  <c r="N209" i="57"/>
  <c r="M209" i="57"/>
  <c r="L209" i="57"/>
  <c r="K209" i="57"/>
  <c r="AJ206" i="57"/>
  <c r="AF206" i="57"/>
  <c r="AE206" i="57"/>
  <c r="AD206" i="57"/>
  <c r="AC206" i="57"/>
  <c r="AB206" i="57"/>
  <c r="AA206" i="57"/>
  <c r="Z206" i="57"/>
  <c r="Y206" i="57"/>
  <c r="X206" i="57"/>
  <c r="W206" i="57"/>
  <c r="V206" i="57"/>
  <c r="U206" i="57"/>
  <c r="T206" i="57"/>
  <c r="S206" i="57"/>
  <c r="R206" i="57"/>
  <c r="Q206" i="57"/>
  <c r="P206" i="57"/>
  <c r="O206" i="57"/>
  <c r="N206" i="57"/>
  <c r="M206" i="57"/>
  <c r="L206" i="57"/>
  <c r="K206" i="57"/>
  <c r="AJ203" i="57"/>
  <c r="AF203" i="57"/>
  <c r="AE203" i="57"/>
  <c r="AD203" i="57"/>
  <c r="AC203" i="57"/>
  <c r="AB203" i="57"/>
  <c r="AA203" i="57"/>
  <c r="Z203" i="57"/>
  <c r="Y203" i="57"/>
  <c r="X203" i="57"/>
  <c r="W203" i="57"/>
  <c r="V203" i="57"/>
  <c r="U203" i="57"/>
  <c r="T203" i="57"/>
  <c r="S203" i="57"/>
  <c r="R203" i="57"/>
  <c r="Q203" i="57"/>
  <c r="P203" i="57"/>
  <c r="O203" i="57"/>
  <c r="N203" i="57"/>
  <c r="M203" i="57"/>
  <c r="L203" i="57"/>
  <c r="K203" i="57"/>
  <c r="AJ200" i="57"/>
  <c r="AF200" i="57"/>
  <c r="AE200" i="57"/>
  <c r="AD200" i="57"/>
  <c r="AC200" i="57"/>
  <c r="AB200" i="57"/>
  <c r="AA200" i="57"/>
  <c r="Z200" i="57"/>
  <c r="Y200" i="57"/>
  <c r="X200" i="57"/>
  <c r="W200" i="57"/>
  <c r="V200" i="57"/>
  <c r="U200" i="57"/>
  <c r="T200" i="57"/>
  <c r="S200" i="57"/>
  <c r="R200" i="57"/>
  <c r="Q200" i="57"/>
  <c r="P200" i="57"/>
  <c r="O200" i="57"/>
  <c r="N200" i="57"/>
  <c r="M200" i="57"/>
  <c r="L200" i="57"/>
  <c r="K200" i="57"/>
  <c r="AJ197" i="57"/>
  <c r="AF197" i="57"/>
  <c r="AE197" i="57"/>
  <c r="AD197" i="57"/>
  <c r="AC197" i="57"/>
  <c r="AB197" i="57"/>
  <c r="AA197" i="57"/>
  <c r="Z197" i="57"/>
  <c r="Y197" i="57"/>
  <c r="X197" i="57"/>
  <c r="W197" i="57"/>
  <c r="V197" i="57"/>
  <c r="U197" i="57"/>
  <c r="T197" i="57"/>
  <c r="S197" i="57"/>
  <c r="R197" i="57"/>
  <c r="Q197" i="57"/>
  <c r="P197" i="57"/>
  <c r="O197" i="57"/>
  <c r="N197" i="57"/>
  <c r="M197" i="57"/>
  <c r="L197" i="57"/>
  <c r="K197" i="57"/>
  <c r="AJ194" i="57"/>
  <c r="AF194" i="57"/>
  <c r="AE194" i="57"/>
  <c r="AD194" i="57"/>
  <c r="AC194" i="57"/>
  <c r="AB194" i="57"/>
  <c r="AA194" i="57"/>
  <c r="Z194" i="57"/>
  <c r="Y194" i="57"/>
  <c r="X194" i="57"/>
  <c r="W194" i="57"/>
  <c r="V194" i="57"/>
  <c r="U194" i="57"/>
  <c r="T194" i="57"/>
  <c r="S194" i="57"/>
  <c r="R194" i="57"/>
  <c r="Q194" i="57"/>
  <c r="P194" i="57"/>
  <c r="O194" i="57"/>
  <c r="N194" i="57"/>
  <c r="M194" i="57"/>
  <c r="L194" i="57"/>
  <c r="K194" i="57"/>
  <c r="AJ191" i="57"/>
  <c r="AF191" i="57"/>
  <c r="AE191" i="57"/>
  <c r="AD191" i="57"/>
  <c r="AC191" i="57"/>
  <c r="AB191" i="57"/>
  <c r="AA191" i="57"/>
  <c r="Z191" i="57"/>
  <c r="Y191" i="57"/>
  <c r="X191" i="57"/>
  <c r="W191" i="57"/>
  <c r="V191" i="57"/>
  <c r="U191" i="57"/>
  <c r="T191" i="57"/>
  <c r="S191" i="57"/>
  <c r="R191" i="57"/>
  <c r="Q191" i="57"/>
  <c r="P191" i="57"/>
  <c r="O191" i="57"/>
  <c r="N191" i="57"/>
  <c r="M191" i="57"/>
  <c r="L191" i="57"/>
  <c r="K191" i="57"/>
  <c r="AJ188" i="57"/>
  <c r="AF188" i="57"/>
  <c r="AE188" i="57"/>
  <c r="AD188" i="57"/>
  <c r="AC188" i="57"/>
  <c r="AB188" i="57"/>
  <c r="AA188" i="57"/>
  <c r="Z188" i="57"/>
  <c r="Y188" i="57"/>
  <c r="X188" i="57"/>
  <c r="W188" i="57"/>
  <c r="V188" i="57"/>
  <c r="U188" i="57"/>
  <c r="T188" i="57"/>
  <c r="S188" i="57"/>
  <c r="R188" i="57"/>
  <c r="Q188" i="57"/>
  <c r="P188" i="57"/>
  <c r="O188" i="57"/>
  <c r="N188" i="57"/>
  <c r="M188" i="57"/>
  <c r="L188" i="57"/>
  <c r="K188" i="57"/>
  <c r="AJ185" i="57"/>
  <c r="AF185" i="57"/>
  <c r="AE185" i="57"/>
  <c r="AD185" i="57"/>
  <c r="AC185" i="57"/>
  <c r="AB185" i="57"/>
  <c r="AA185" i="57"/>
  <c r="Z185" i="57"/>
  <c r="Y185" i="57"/>
  <c r="X185" i="57"/>
  <c r="W185" i="57"/>
  <c r="V185" i="57"/>
  <c r="U185" i="57"/>
  <c r="T185" i="57"/>
  <c r="S185" i="57"/>
  <c r="R185" i="57"/>
  <c r="Q185" i="57"/>
  <c r="P185" i="57"/>
  <c r="O185" i="57"/>
  <c r="N185" i="57"/>
  <c r="M185" i="57"/>
  <c r="L185" i="57"/>
  <c r="K185" i="57"/>
  <c r="AJ182" i="57"/>
  <c r="AF182" i="57"/>
  <c r="AE182" i="57"/>
  <c r="AD182" i="57"/>
  <c r="AC182" i="57"/>
  <c r="AB182" i="57"/>
  <c r="AA182" i="57"/>
  <c r="Z182" i="57"/>
  <c r="Y182" i="57"/>
  <c r="X182" i="57"/>
  <c r="W182" i="57"/>
  <c r="V182" i="57"/>
  <c r="U182" i="57"/>
  <c r="T182" i="57"/>
  <c r="S182" i="57"/>
  <c r="R182" i="57"/>
  <c r="Q182" i="57"/>
  <c r="P182" i="57"/>
  <c r="O182" i="57"/>
  <c r="N182" i="57"/>
  <c r="M182" i="57"/>
  <c r="L182" i="57"/>
  <c r="K182" i="57"/>
  <c r="AJ179" i="57"/>
  <c r="AF179" i="57"/>
  <c r="AE179" i="57"/>
  <c r="AD179" i="57"/>
  <c r="AC179" i="57"/>
  <c r="AB179" i="57"/>
  <c r="AA179" i="57"/>
  <c r="Z179" i="57"/>
  <c r="Y179" i="57"/>
  <c r="X179" i="57"/>
  <c r="W179" i="57"/>
  <c r="V179" i="57"/>
  <c r="U179" i="57"/>
  <c r="T179" i="57"/>
  <c r="S179" i="57"/>
  <c r="R179" i="57"/>
  <c r="Q179" i="57"/>
  <c r="P179" i="57"/>
  <c r="O179" i="57"/>
  <c r="N179" i="57"/>
  <c r="M179" i="57"/>
  <c r="L179" i="57"/>
  <c r="K179" i="57"/>
  <c r="AJ176" i="57"/>
  <c r="AF176" i="57"/>
  <c r="AE176" i="57"/>
  <c r="AD176" i="57"/>
  <c r="AC176" i="57"/>
  <c r="AB176" i="57"/>
  <c r="AA176" i="57"/>
  <c r="Z176" i="57"/>
  <c r="Y176" i="57"/>
  <c r="X176" i="57"/>
  <c r="W176" i="57"/>
  <c r="V176" i="57"/>
  <c r="U176" i="57"/>
  <c r="T176" i="57"/>
  <c r="S176" i="57"/>
  <c r="R176" i="57"/>
  <c r="Q176" i="57"/>
  <c r="P176" i="57"/>
  <c r="O176" i="57"/>
  <c r="N176" i="57"/>
  <c r="M176" i="57"/>
  <c r="L176" i="57"/>
  <c r="K176" i="57"/>
  <c r="AJ173" i="57"/>
  <c r="AF173" i="57"/>
  <c r="AE173" i="57"/>
  <c r="AD173" i="57"/>
  <c r="AC173" i="57"/>
  <c r="AB173" i="57"/>
  <c r="AA173" i="57"/>
  <c r="Z173" i="57"/>
  <c r="Y173" i="57"/>
  <c r="X173" i="57"/>
  <c r="W173" i="57"/>
  <c r="V173" i="57"/>
  <c r="U173" i="57"/>
  <c r="T173" i="57"/>
  <c r="S173" i="57"/>
  <c r="R173" i="57"/>
  <c r="Q173" i="57"/>
  <c r="P173" i="57"/>
  <c r="O173" i="57"/>
  <c r="N173" i="57"/>
  <c r="M173" i="57"/>
  <c r="L173" i="57"/>
  <c r="K173" i="57"/>
  <c r="AJ170" i="57"/>
  <c r="AF170" i="57"/>
  <c r="AE170" i="57"/>
  <c r="AD170" i="57"/>
  <c r="AC170" i="57"/>
  <c r="AB170" i="57"/>
  <c r="AA170" i="57"/>
  <c r="Z170" i="57"/>
  <c r="Y170" i="57"/>
  <c r="X170" i="57"/>
  <c r="W170" i="57"/>
  <c r="V170" i="57"/>
  <c r="U170" i="57"/>
  <c r="T170" i="57"/>
  <c r="S170" i="57"/>
  <c r="R170" i="57"/>
  <c r="Q170" i="57"/>
  <c r="P170" i="57"/>
  <c r="O170" i="57"/>
  <c r="N170" i="57"/>
  <c r="M170" i="57"/>
  <c r="L170" i="57"/>
  <c r="K170" i="57"/>
  <c r="AJ167" i="57"/>
  <c r="AF167" i="57"/>
  <c r="AE167" i="57"/>
  <c r="AD167" i="57"/>
  <c r="AC167" i="57"/>
  <c r="AB167" i="57"/>
  <c r="AA167" i="57"/>
  <c r="Z167" i="57"/>
  <c r="Y167" i="57"/>
  <c r="X167" i="57"/>
  <c r="W167" i="57"/>
  <c r="V167" i="57"/>
  <c r="U167" i="57"/>
  <c r="T167" i="57"/>
  <c r="S167" i="57"/>
  <c r="R167" i="57"/>
  <c r="Q167" i="57"/>
  <c r="P167" i="57"/>
  <c r="O167" i="57"/>
  <c r="N167" i="57"/>
  <c r="M167" i="57"/>
  <c r="L167" i="57"/>
  <c r="K167" i="57"/>
  <c r="AJ164" i="57"/>
  <c r="AF164" i="57"/>
  <c r="AE164" i="57"/>
  <c r="AD164" i="57"/>
  <c r="AC164" i="57"/>
  <c r="AB164" i="57"/>
  <c r="AA164" i="57"/>
  <c r="Z164" i="57"/>
  <c r="Y164" i="57"/>
  <c r="X164" i="57"/>
  <c r="W164" i="57"/>
  <c r="V164" i="57"/>
  <c r="U164" i="57"/>
  <c r="T164" i="57"/>
  <c r="S164" i="57"/>
  <c r="R164" i="57"/>
  <c r="Q164" i="57"/>
  <c r="P164" i="57"/>
  <c r="O164" i="57"/>
  <c r="N164" i="57"/>
  <c r="M164" i="57"/>
  <c r="L164" i="57"/>
  <c r="K164" i="57"/>
  <c r="AJ161" i="57"/>
  <c r="AF161" i="57"/>
  <c r="AE161" i="57"/>
  <c r="AD161" i="57"/>
  <c r="AC161" i="57"/>
  <c r="AB161" i="57"/>
  <c r="AA161" i="57"/>
  <c r="Z161" i="57"/>
  <c r="Y161" i="57"/>
  <c r="X161" i="57"/>
  <c r="W161" i="57"/>
  <c r="V161" i="57"/>
  <c r="U161" i="57"/>
  <c r="T161" i="57"/>
  <c r="S161" i="57"/>
  <c r="R161" i="57"/>
  <c r="Q161" i="57"/>
  <c r="P161" i="57"/>
  <c r="O161" i="57"/>
  <c r="N161" i="57"/>
  <c r="M161" i="57"/>
  <c r="L161" i="57"/>
  <c r="K161" i="57"/>
  <c r="AJ158" i="57"/>
  <c r="AF158" i="57"/>
  <c r="AE158" i="57"/>
  <c r="AD158" i="57"/>
  <c r="AC158" i="57"/>
  <c r="AB158" i="57"/>
  <c r="AA158" i="57"/>
  <c r="Z158" i="57"/>
  <c r="Y158" i="57"/>
  <c r="X158" i="57"/>
  <c r="W158" i="57"/>
  <c r="V158" i="57"/>
  <c r="U158" i="57"/>
  <c r="T158" i="57"/>
  <c r="S158" i="57"/>
  <c r="R158" i="57"/>
  <c r="Q158" i="57"/>
  <c r="P158" i="57"/>
  <c r="O158" i="57"/>
  <c r="N158" i="57"/>
  <c r="M158" i="57"/>
  <c r="L158" i="57"/>
  <c r="K158" i="57"/>
  <c r="AJ155" i="57"/>
  <c r="AF155" i="57"/>
  <c r="AE155" i="57"/>
  <c r="AD155" i="57"/>
  <c r="AC155" i="57"/>
  <c r="AB155" i="57"/>
  <c r="AA155" i="57"/>
  <c r="Z155" i="57"/>
  <c r="Y155" i="57"/>
  <c r="X155" i="57"/>
  <c r="W155" i="57"/>
  <c r="V155" i="57"/>
  <c r="U155" i="57"/>
  <c r="T155" i="57"/>
  <c r="S155" i="57"/>
  <c r="R155" i="57"/>
  <c r="Q155" i="57"/>
  <c r="P155" i="57"/>
  <c r="O155" i="57"/>
  <c r="N155" i="57"/>
  <c r="M155" i="57"/>
  <c r="L155" i="57"/>
  <c r="K155" i="57"/>
  <c r="AJ152" i="57"/>
  <c r="AF152" i="57"/>
  <c r="AE152" i="57"/>
  <c r="AD152" i="57"/>
  <c r="AC152" i="57"/>
  <c r="AB152" i="57"/>
  <c r="AA152" i="57"/>
  <c r="Z152" i="57"/>
  <c r="Y152" i="57"/>
  <c r="X152" i="57"/>
  <c r="W152" i="57"/>
  <c r="V152" i="57"/>
  <c r="U152" i="57"/>
  <c r="T152" i="57"/>
  <c r="S152" i="57"/>
  <c r="R152" i="57"/>
  <c r="Q152" i="57"/>
  <c r="P152" i="57"/>
  <c r="O152" i="57"/>
  <c r="N152" i="57"/>
  <c r="M152" i="57"/>
  <c r="L152" i="57"/>
  <c r="K152" i="57"/>
  <c r="AJ149" i="57"/>
  <c r="AF149" i="57"/>
  <c r="AE149" i="57"/>
  <c r="AD149" i="57"/>
  <c r="AC149" i="57"/>
  <c r="AB149" i="57"/>
  <c r="AA149" i="57"/>
  <c r="Z149" i="57"/>
  <c r="Y149" i="57"/>
  <c r="X149" i="57"/>
  <c r="W149" i="57"/>
  <c r="V149" i="57"/>
  <c r="U149" i="57"/>
  <c r="T149" i="57"/>
  <c r="S149" i="57"/>
  <c r="R149" i="57"/>
  <c r="Q149" i="57"/>
  <c r="P149" i="57"/>
  <c r="O149" i="57"/>
  <c r="N149" i="57"/>
  <c r="M149" i="57"/>
  <c r="L149" i="57"/>
  <c r="K149" i="57"/>
  <c r="AJ146" i="57"/>
  <c r="AF146" i="57"/>
  <c r="AE146" i="57"/>
  <c r="AD146" i="57"/>
  <c r="AC146" i="57"/>
  <c r="AB146" i="57"/>
  <c r="AA146" i="57"/>
  <c r="Z146" i="57"/>
  <c r="Y146" i="57"/>
  <c r="X146" i="57"/>
  <c r="W146" i="57"/>
  <c r="V146" i="57"/>
  <c r="U146" i="57"/>
  <c r="T146" i="57"/>
  <c r="S146" i="57"/>
  <c r="R146" i="57"/>
  <c r="Q146" i="57"/>
  <c r="P146" i="57"/>
  <c r="O146" i="57"/>
  <c r="N146" i="57"/>
  <c r="M146" i="57"/>
  <c r="L146" i="57"/>
  <c r="K146" i="57"/>
  <c r="AJ143" i="57"/>
  <c r="AF143" i="57"/>
  <c r="AE143" i="57"/>
  <c r="AD143" i="57"/>
  <c r="AC143" i="57"/>
  <c r="AB143" i="57"/>
  <c r="AA143" i="57"/>
  <c r="Z143" i="57"/>
  <c r="Y143" i="57"/>
  <c r="X143" i="57"/>
  <c r="W143" i="57"/>
  <c r="V143" i="57"/>
  <c r="U143" i="57"/>
  <c r="T143" i="57"/>
  <c r="S143" i="57"/>
  <c r="R143" i="57"/>
  <c r="Q143" i="57"/>
  <c r="P143" i="57"/>
  <c r="O143" i="57"/>
  <c r="N143" i="57"/>
  <c r="M143" i="57"/>
  <c r="L143" i="57"/>
  <c r="K143" i="57"/>
  <c r="AJ140" i="57"/>
  <c r="AF140" i="57"/>
  <c r="AE140" i="57"/>
  <c r="AD140" i="57"/>
  <c r="AC140" i="57"/>
  <c r="AB140" i="57"/>
  <c r="AA140" i="57"/>
  <c r="Z140" i="57"/>
  <c r="Y140" i="57"/>
  <c r="X140" i="57"/>
  <c r="W140" i="57"/>
  <c r="V140" i="57"/>
  <c r="U140" i="57"/>
  <c r="T140" i="57"/>
  <c r="S140" i="57"/>
  <c r="R140" i="57"/>
  <c r="Q140" i="57"/>
  <c r="P140" i="57"/>
  <c r="O140" i="57"/>
  <c r="N140" i="57"/>
  <c r="M140" i="57"/>
  <c r="L140" i="57"/>
  <c r="K140" i="57"/>
  <c r="AJ137" i="57"/>
  <c r="AF137" i="57"/>
  <c r="AE137" i="57"/>
  <c r="AD137" i="57"/>
  <c r="AC137" i="57"/>
  <c r="AB137" i="57"/>
  <c r="AA137" i="57"/>
  <c r="Z137" i="57"/>
  <c r="Y137" i="57"/>
  <c r="X137" i="57"/>
  <c r="W137" i="57"/>
  <c r="V137" i="57"/>
  <c r="U137" i="57"/>
  <c r="T137" i="57"/>
  <c r="S137" i="57"/>
  <c r="R137" i="57"/>
  <c r="Q137" i="57"/>
  <c r="P137" i="57"/>
  <c r="O137" i="57"/>
  <c r="N137" i="57"/>
  <c r="M137" i="57"/>
  <c r="L137" i="57"/>
  <c r="K137" i="57"/>
  <c r="AJ134" i="57"/>
  <c r="AF134" i="57"/>
  <c r="AE134" i="57"/>
  <c r="AD134" i="57"/>
  <c r="AC134" i="57"/>
  <c r="AB134" i="57"/>
  <c r="AA134" i="57"/>
  <c r="Z134" i="57"/>
  <c r="Y134" i="57"/>
  <c r="X134" i="57"/>
  <c r="W134" i="57"/>
  <c r="V134" i="57"/>
  <c r="U134" i="57"/>
  <c r="T134" i="57"/>
  <c r="S134" i="57"/>
  <c r="R134" i="57"/>
  <c r="Q134" i="57"/>
  <c r="P134" i="57"/>
  <c r="O134" i="57"/>
  <c r="N134" i="57"/>
  <c r="M134" i="57"/>
  <c r="L134" i="57"/>
  <c r="K134" i="57"/>
  <c r="AJ131" i="57"/>
  <c r="AF131" i="57"/>
  <c r="AE131" i="57"/>
  <c r="AD131" i="57"/>
  <c r="AC131" i="57"/>
  <c r="AB131" i="57"/>
  <c r="AA131" i="57"/>
  <c r="Z131" i="57"/>
  <c r="Y131" i="57"/>
  <c r="X131" i="57"/>
  <c r="W131" i="57"/>
  <c r="V131" i="57"/>
  <c r="U131" i="57"/>
  <c r="T131" i="57"/>
  <c r="S131" i="57"/>
  <c r="R131" i="57"/>
  <c r="Q131" i="57"/>
  <c r="P131" i="57"/>
  <c r="O131" i="57"/>
  <c r="N131" i="57"/>
  <c r="M131" i="57"/>
  <c r="L131" i="57"/>
  <c r="K131" i="57"/>
  <c r="AJ128" i="57"/>
  <c r="AF128" i="57"/>
  <c r="AE128" i="57"/>
  <c r="AD128" i="57"/>
  <c r="AC128" i="57"/>
  <c r="AB128" i="57"/>
  <c r="AA128" i="57"/>
  <c r="Z128" i="57"/>
  <c r="Y128" i="57"/>
  <c r="X128" i="57"/>
  <c r="W128" i="57"/>
  <c r="V128" i="57"/>
  <c r="U128" i="57"/>
  <c r="T128" i="57"/>
  <c r="S128" i="57"/>
  <c r="R128" i="57"/>
  <c r="Q128" i="57"/>
  <c r="P128" i="57"/>
  <c r="O128" i="57"/>
  <c r="N128" i="57"/>
  <c r="M128" i="57"/>
  <c r="L128" i="57"/>
  <c r="K128" i="57"/>
  <c r="AJ125" i="57"/>
  <c r="AF125" i="57"/>
  <c r="AE125" i="57"/>
  <c r="AD125" i="57"/>
  <c r="AC125" i="57"/>
  <c r="AB125" i="57"/>
  <c r="AA125" i="57"/>
  <c r="Z125" i="57"/>
  <c r="Y125" i="57"/>
  <c r="X125" i="57"/>
  <c r="W125" i="57"/>
  <c r="V125" i="57"/>
  <c r="U125" i="57"/>
  <c r="T125" i="57"/>
  <c r="S125" i="57"/>
  <c r="R125" i="57"/>
  <c r="Q125" i="57"/>
  <c r="P125" i="57"/>
  <c r="O125" i="57"/>
  <c r="N125" i="57"/>
  <c r="M125" i="57"/>
  <c r="L125" i="57"/>
  <c r="K125" i="57"/>
  <c r="AJ122" i="57"/>
  <c r="AF122" i="57"/>
  <c r="AE122" i="57"/>
  <c r="AD122" i="57"/>
  <c r="AC122" i="57"/>
  <c r="AB122" i="57"/>
  <c r="AA122" i="57"/>
  <c r="Z122" i="57"/>
  <c r="Y122" i="57"/>
  <c r="X122" i="57"/>
  <c r="W122" i="57"/>
  <c r="V122" i="57"/>
  <c r="U122" i="57"/>
  <c r="T122" i="57"/>
  <c r="S122" i="57"/>
  <c r="R122" i="57"/>
  <c r="Q122" i="57"/>
  <c r="P122" i="57"/>
  <c r="O122" i="57"/>
  <c r="N122" i="57"/>
  <c r="M122" i="57"/>
  <c r="L122" i="57"/>
  <c r="K122" i="57"/>
  <c r="AJ119" i="57"/>
  <c r="AF119" i="57"/>
  <c r="AE119" i="57"/>
  <c r="AD119" i="57"/>
  <c r="AC119" i="57"/>
  <c r="AB119" i="57"/>
  <c r="AA119" i="57"/>
  <c r="Z119" i="57"/>
  <c r="Y119" i="57"/>
  <c r="X119" i="57"/>
  <c r="W119" i="57"/>
  <c r="V119" i="57"/>
  <c r="U119" i="57"/>
  <c r="T119" i="57"/>
  <c r="S119" i="57"/>
  <c r="R119" i="57"/>
  <c r="Q119" i="57"/>
  <c r="P119" i="57"/>
  <c r="O119" i="57"/>
  <c r="N119" i="57"/>
  <c r="M119" i="57"/>
  <c r="L119" i="57"/>
  <c r="K119" i="57"/>
  <c r="AJ116" i="57"/>
  <c r="AF116" i="57"/>
  <c r="AE116" i="57"/>
  <c r="AD116" i="57"/>
  <c r="AC116" i="57"/>
  <c r="AB116" i="57"/>
  <c r="AA116" i="57"/>
  <c r="Z116" i="57"/>
  <c r="Y116" i="57"/>
  <c r="X116" i="57"/>
  <c r="W116" i="57"/>
  <c r="V116" i="57"/>
  <c r="U116" i="57"/>
  <c r="T116" i="57"/>
  <c r="S116" i="57"/>
  <c r="R116" i="57"/>
  <c r="Q116" i="57"/>
  <c r="P116" i="57"/>
  <c r="O116" i="57"/>
  <c r="N116" i="57"/>
  <c r="M116" i="57"/>
  <c r="L116" i="57"/>
  <c r="K116" i="57"/>
  <c r="AJ113" i="57"/>
  <c r="AF113" i="57"/>
  <c r="AE113" i="57"/>
  <c r="AD113" i="57"/>
  <c r="AC113" i="57"/>
  <c r="AB113" i="57"/>
  <c r="AA113" i="57"/>
  <c r="Z113" i="57"/>
  <c r="Y113" i="57"/>
  <c r="X113" i="57"/>
  <c r="W113" i="57"/>
  <c r="V113" i="57"/>
  <c r="U113" i="57"/>
  <c r="T113" i="57"/>
  <c r="S113" i="57"/>
  <c r="R113" i="57"/>
  <c r="Q113" i="57"/>
  <c r="P113" i="57"/>
  <c r="O113" i="57"/>
  <c r="N113" i="57"/>
  <c r="M113" i="57"/>
  <c r="L113" i="57"/>
  <c r="K113" i="57"/>
  <c r="AJ110" i="57"/>
  <c r="AF110" i="57"/>
  <c r="AE110" i="57"/>
  <c r="AD110" i="57"/>
  <c r="AC110" i="57"/>
  <c r="AB110" i="57"/>
  <c r="AA110" i="57"/>
  <c r="Z110" i="57"/>
  <c r="Y110" i="57"/>
  <c r="X110" i="57"/>
  <c r="W110" i="57"/>
  <c r="V110" i="57"/>
  <c r="U110" i="57"/>
  <c r="T110" i="57"/>
  <c r="S110" i="57"/>
  <c r="R110" i="57"/>
  <c r="Q110" i="57"/>
  <c r="P110" i="57"/>
  <c r="O110" i="57"/>
  <c r="N110" i="57"/>
  <c r="M110" i="57"/>
  <c r="L110" i="57"/>
  <c r="K110" i="57"/>
  <c r="AJ107" i="57"/>
  <c r="AF107" i="57"/>
  <c r="AE107" i="57"/>
  <c r="AD107" i="57"/>
  <c r="AC107" i="57"/>
  <c r="AB107" i="57"/>
  <c r="AA107" i="57"/>
  <c r="Z107" i="57"/>
  <c r="Y107" i="57"/>
  <c r="X107" i="57"/>
  <c r="W107" i="57"/>
  <c r="V107" i="57"/>
  <c r="U107" i="57"/>
  <c r="T107" i="57"/>
  <c r="S107" i="57"/>
  <c r="R107" i="57"/>
  <c r="Q107" i="57"/>
  <c r="P107" i="57"/>
  <c r="O107" i="57"/>
  <c r="N107" i="57"/>
  <c r="M107" i="57"/>
  <c r="L107" i="57"/>
  <c r="K107" i="57"/>
  <c r="AJ104" i="57"/>
  <c r="AF104" i="57"/>
  <c r="AE104" i="57"/>
  <c r="AD104" i="57"/>
  <c r="AC104" i="57"/>
  <c r="AB104" i="57"/>
  <c r="AA104" i="57"/>
  <c r="Z104" i="57"/>
  <c r="Y104" i="57"/>
  <c r="X104" i="57"/>
  <c r="W104" i="57"/>
  <c r="V104" i="57"/>
  <c r="U104" i="57"/>
  <c r="T104" i="57"/>
  <c r="S104" i="57"/>
  <c r="R104" i="57"/>
  <c r="Q104" i="57"/>
  <c r="P104" i="57"/>
  <c r="O104" i="57"/>
  <c r="N104" i="57"/>
  <c r="M104" i="57"/>
  <c r="L104" i="57"/>
  <c r="K104" i="57"/>
  <c r="AJ101" i="57"/>
  <c r="AF101" i="57"/>
  <c r="AE101" i="57"/>
  <c r="AD101" i="57"/>
  <c r="AC101" i="57"/>
  <c r="AB101" i="57"/>
  <c r="AA101" i="57"/>
  <c r="Z101" i="57"/>
  <c r="Y101" i="57"/>
  <c r="X101" i="57"/>
  <c r="W101" i="57"/>
  <c r="V101" i="57"/>
  <c r="U101" i="57"/>
  <c r="T101" i="57"/>
  <c r="S101" i="57"/>
  <c r="R101" i="57"/>
  <c r="Q101" i="57"/>
  <c r="P101" i="57"/>
  <c r="O101" i="57"/>
  <c r="N101" i="57"/>
  <c r="M101" i="57"/>
  <c r="L101" i="57"/>
  <c r="K101" i="57"/>
  <c r="AJ98" i="57"/>
  <c r="AF98" i="57"/>
  <c r="AE98" i="57"/>
  <c r="AD98" i="57"/>
  <c r="AC98" i="57"/>
  <c r="AB98" i="57"/>
  <c r="AA98" i="57"/>
  <c r="Z98" i="57"/>
  <c r="Y98" i="57"/>
  <c r="X98" i="57"/>
  <c r="W98" i="57"/>
  <c r="V98" i="57"/>
  <c r="U98" i="57"/>
  <c r="T98" i="57"/>
  <c r="S98" i="57"/>
  <c r="R98" i="57"/>
  <c r="Q98" i="57"/>
  <c r="P98" i="57"/>
  <c r="O98" i="57"/>
  <c r="N98" i="57"/>
  <c r="M98" i="57"/>
  <c r="L98" i="57"/>
  <c r="K98" i="57"/>
  <c r="AJ95" i="57"/>
  <c r="AF95" i="57"/>
  <c r="AE95" i="57"/>
  <c r="AD95" i="57"/>
  <c r="AC95" i="57"/>
  <c r="AB95" i="57"/>
  <c r="AA95" i="57"/>
  <c r="Z95" i="57"/>
  <c r="Y95" i="57"/>
  <c r="X95" i="57"/>
  <c r="W95" i="57"/>
  <c r="V95" i="57"/>
  <c r="U95" i="57"/>
  <c r="T95" i="57"/>
  <c r="S95" i="57"/>
  <c r="R95" i="57"/>
  <c r="Q95" i="57"/>
  <c r="P95" i="57"/>
  <c r="O95" i="57"/>
  <c r="N95" i="57"/>
  <c r="M95" i="57"/>
  <c r="L95" i="57"/>
  <c r="K95" i="57"/>
  <c r="AJ92" i="57"/>
  <c r="AF92" i="57"/>
  <c r="AE92" i="57"/>
  <c r="AD92" i="57"/>
  <c r="AC92" i="57"/>
  <c r="AB92" i="57"/>
  <c r="AA92" i="57"/>
  <c r="Z92" i="57"/>
  <c r="Y92" i="57"/>
  <c r="X92" i="57"/>
  <c r="W92" i="57"/>
  <c r="V92" i="57"/>
  <c r="U92" i="57"/>
  <c r="T92" i="57"/>
  <c r="S92" i="57"/>
  <c r="R92" i="57"/>
  <c r="Q92" i="57"/>
  <c r="P92" i="57"/>
  <c r="O92" i="57"/>
  <c r="N92" i="57"/>
  <c r="M92" i="57"/>
  <c r="L92" i="57"/>
  <c r="K92" i="57"/>
  <c r="AJ89" i="57"/>
  <c r="AF89" i="57"/>
  <c r="AE89" i="57"/>
  <c r="AD89" i="57"/>
  <c r="AC89" i="57"/>
  <c r="AB89" i="57"/>
  <c r="AA89" i="57"/>
  <c r="Z89" i="57"/>
  <c r="Y89" i="57"/>
  <c r="X89" i="57"/>
  <c r="W89" i="57"/>
  <c r="V89" i="57"/>
  <c r="U89" i="57"/>
  <c r="T89" i="57"/>
  <c r="S89" i="57"/>
  <c r="R89" i="57"/>
  <c r="Q89" i="57"/>
  <c r="P89" i="57"/>
  <c r="O89" i="57"/>
  <c r="N89" i="57"/>
  <c r="M89" i="57"/>
  <c r="L89" i="57"/>
  <c r="K89" i="57"/>
  <c r="AJ86" i="57"/>
  <c r="AF86" i="57"/>
  <c r="AE86" i="57"/>
  <c r="AD86" i="57"/>
  <c r="AC86" i="57"/>
  <c r="AB86" i="57"/>
  <c r="AA86" i="57"/>
  <c r="Z86" i="57"/>
  <c r="Y86" i="57"/>
  <c r="X86" i="57"/>
  <c r="W86" i="57"/>
  <c r="V86" i="57"/>
  <c r="U86" i="57"/>
  <c r="T86" i="57"/>
  <c r="S86" i="57"/>
  <c r="R86" i="57"/>
  <c r="Q86" i="57"/>
  <c r="P86" i="57"/>
  <c r="O86" i="57"/>
  <c r="N86" i="57"/>
  <c r="M86" i="57"/>
  <c r="L86" i="57"/>
  <c r="K86" i="57"/>
  <c r="AJ83" i="57"/>
  <c r="AF83" i="57"/>
  <c r="AE83" i="57"/>
  <c r="AD83" i="57"/>
  <c r="AC83" i="57"/>
  <c r="AB83" i="57"/>
  <c r="AA83" i="57"/>
  <c r="Z83" i="57"/>
  <c r="Y83" i="57"/>
  <c r="X83" i="57"/>
  <c r="W83" i="57"/>
  <c r="V83" i="57"/>
  <c r="U83" i="57"/>
  <c r="T83" i="57"/>
  <c r="S83" i="57"/>
  <c r="R83" i="57"/>
  <c r="Q83" i="57"/>
  <c r="P83" i="57"/>
  <c r="O83" i="57"/>
  <c r="N83" i="57"/>
  <c r="M83" i="57"/>
  <c r="L83" i="57"/>
  <c r="K83" i="57"/>
  <c r="AJ80" i="57"/>
  <c r="AF80" i="57"/>
  <c r="AE80" i="57"/>
  <c r="AD80" i="57"/>
  <c r="AC80" i="57"/>
  <c r="AB80" i="57"/>
  <c r="AA80" i="57"/>
  <c r="Z80" i="57"/>
  <c r="Y80" i="57"/>
  <c r="X80" i="57"/>
  <c r="W80" i="57"/>
  <c r="V80" i="57"/>
  <c r="U80" i="57"/>
  <c r="T80" i="57"/>
  <c r="S80" i="57"/>
  <c r="R80" i="57"/>
  <c r="Q80" i="57"/>
  <c r="P80" i="57"/>
  <c r="O80" i="57"/>
  <c r="N80" i="57"/>
  <c r="M80" i="57"/>
  <c r="L80" i="57"/>
  <c r="K80" i="57"/>
  <c r="AJ77" i="57"/>
  <c r="AF77" i="57"/>
  <c r="AE77" i="57"/>
  <c r="AD77" i="57"/>
  <c r="AC77" i="57"/>
  <c r="AB77" i="57"/>
  <c r="AA77" i="57"/>
  <c r="Z77" i="57"/>
  <c r="Y77" i="57"/>
  <c r="X77" i="57"/>
  <c r="W77" i="57"/>
  <c r="V77" i="57"/>
  <c r="U77" i="57"/>
  <c r="T77" i="57"/>
  <c r="S77" i="57"/>
  <c r="R77" i="57"/>
  <c r="Q77" i="57"/>
  <c r="P77" i="57"/>
  <c r="O77" i="57"/>
  <c r="N77" i="57"/>
  <c r="M77" i="57"/>
  <c r="L77" i="57"/>
  <c r="K77" i="57"/>
  <c r="AJ74" i="57"/>
  <c r="AF74" i="57"/>
  <c r="AE74" i="57"/>
  <c r="AD74" i="57"/>
  <c r="AC74" i="57"/>
  <c r="AB74" i="57"/>
  <c r="AA74" i="57"/>
  <c r="Z74" i="57"/>
  <c r="Y74" i="57"/>
  <c r="X74" i="57"/>
  <c r="W74" i="57"/>
  <c r="V74" i="57"/>
  <c r="U74" i="57"/>
  <c r="T74" i="57"/>
  <c r="S74" i="57"/>
  <c r="R74" i="57"/>
  <c r="Q74" i="57"/>
  <c r="P74" i="57"/>
  <c r="O74" i="57"/>
  <c r="N74" i="57"/>
  <c r="M74" i="57"/>
  <c r="L74" i="57"/>
  <c r="K74" i="57"/>
  <c r="AJ71" i="57"/>
  <c r="AF71" i="57"/>
  <c r="AE71" i="57"/>
  <c r="AD71" i="57"/>
  <c r="AC71" i="57"/>
  <c r="AB71" i="57"/>
  <c r="AA71" i="57"/>
  <c r="Z71" i="57"/>
  <c r="Y71" i="57"/>
  <c r="X71" i="57"/>
  <c r="W71" i="57"/>
  <c r="V71" i="57"/>
  <c r="U71" i="57"/>
  <c r="T71" i="57"/>
  <c r="S71" i="57"/>
  <c r="R71" i="57"/>
  <c r="Q71" i="57"/>
  <c r="P71" i="57"/>
  <c r="O71" i="57"/>
  <c r="N71" i="57"/>
  <c r="M71" i="57"/>
  <c r="L71" i="57"/>
  <c r="K71" i="57"/>
  <c r="AF68" i="57"/>
  <c r="BB68" i="57" s="1"/>
  <c r="AE68" i="57"/>
  <c r="AD68" i="57"/>
  <c r="AC68" i="57"/>
  <c r="AC15" i="36"/>
  <c r="AD15" i="36"/>
  <c r="AE15" i="36"/>
  <c r="AF15" i="36"/>
  <c r="AC49" i="36"/>
  <c r="AD49" i="36"/>
  <c r="AE49" i="36"/>
  <c r="AF49" i="36"/>
  <c r="AJ49" i="36"/>
  <c r="X386" i="36"/>
  <c r="Y386" i="36"/>
  <c r="Z386" i="36"/>
  <c r="AA386" i="36"/>
  <c r="AB386" i="36"/>
  <c r="AC386" i="36"/>
  <c r="AD386" i="36"/>
  <c r="AE386" i="36"/>
  <c r="AF386" i="36"/>
  <c r="AJ386" i="36"/>
  <c r="BY386" i="36" s="1"/>
  <c r="K386" i="36"/>
  <c r="L386" i="36"/>
  <c r="M386" i="36"/>
  <c r="N386" i="36"/>
  <c r="O386" i="36"/>
  <c r="P386" i="36"/>
  <c r="P13" i="36" s="1"/>
  <c r="Q386" i="36"/>
  <c r="Q13" i="36" s="1"/>
  <c r="R386" i="36"/>
  <c r="R13" i="36" s="1"/>
  <c r="R455" i="36" s="1"/>
  <c r="S386" i="36"/>
  <c r="S13" i="36" s="1"/>
  <c r="S455" i="36" s="1"/>
  <c r="T386" i="36"/>
  <c r="T13" i="36" s="1"/>
  <c r="T455" i="36" s="1"/>
  <c r="U386" i="36"/>
  <c r="U13" i="36" s="1"/>
  <c r="V386" i="36"/>
  <c r="V13" i="36" s="1"/>
  <c r="W386" i="36"/>
  <c r="F385" i="36"/>
  <c r="AP385" i="36" s="1"/>
  <c r="G385" i="36"/>
  <c r="H385" i="36"/>
  <c r="I385" i="36"/>
  <c r="AQ385" i="36" s="1"/>
  <c r="F386" i="36"/>
  <c r="G386" i="36"/>
  <c r="H386" i="36"/>
  <c r="I386" i="36"/>
  <c r="AJ68" i="36"/>
  <c r="BF68" i="36" s="1"/>
  <c r="BY68" i="36" s="1"/>
  <c r="AF68" i="36"/>
  <c r="BB68" i="36" s="1"/>
  <c r="AA7" i="41"/>
  <c r="I8" i="98" s="1"/>
  <c r="AA7" i="98" s="1"/>
  <c r="Z7" i="41"/>
  <c r="H8" i="98" s="1"/>
  <c r="Z7" i="98" s="1"/>
  <c r="Y7" i="41"/>
  <c r="G8" i="98" s="1"/>
  <c r="Y7" i="98" s="1"/>
  <c r="X7" i="41"/>
  <c r="F8" i="98" s="1"/>
  <c r="X7" i="98" s="1"/>
  <c r="AF6" i="89"/>
  <c r="AE6" i="89"/>
  <c r="AD6" i="89"/>
  <c r="AC6" i="89"/>
  <c r="AB6" i="89"/>
  <c r="AA6" i="89"/>
  <c r="Z6" i="89"/>
  <c r="Y6" i="89"/>
  <c r="X6" i="89"/>
  <c r="W6" i="89"/>
  <c r="V6" i="89"/>
  <c r="U6" i="89"/>
  <c r="T6" i="89"/>
  <c r="S6" i="89"/>
  <c r="R6" i="89"/>
  <c r="Q6" i="89"/>
  <c r="P6" i="89"/>
  <c r="I48" i="56"/>
  <c r="I49" i="56"/>
  <c r="I50" i="56"/>
  <c r="I51" i="56"/>
  <c r="D47" i="56"/>
  <c r="D48" i="56"/>
  <c r="D49" i="56"/>
  <c r="D50" i="56"/>
  <c r="D51" i="56"/>
  <c r="D46" i="56"/>
  <c r="D45" i="56"/>
  <c r="I45" i="56"/>
  <c r="AC113" i="41"/>
  <c r="AD113" i="41"/>
  <c r="AE113" i="41"/>
  <c r="AF113" i="41"/>
  <c r="AC38" i="34"/>
  <c r="AD38" i="34"/>
  <c r="AE38" i="34"/>
  <c r="AF38" i="34"/>
  <c r="AA7" i="34"/>
  <c r="Z7" i="34"/>
  <c r="Y7" i="34"/>
  <c r="X7" i="34"/>
  <c r="AA7" i="45"/>
  <c r="Z7" i="45"/>
  <c r="Y7" i="45"/>
  <c r="X7" i="45"/>
  <c r="BK286" i="57" l="1"/>
  <c r="AD68" i="36"/>
  <c r="AE68" i="36"/>
  <c r="AC68" i="36"/>
  <c r="V455" i="36"/>
  <c r="BL69" i="36"/>
  <c r="BL73" i="36"/>
  <c r="BL75" i="36"/>
  <c r="BL82" i="36"/>
  <c r="BL87" i="36"/>
  <c r="BL94" i="36"/>
  <c r="BL99" i="36"/>
  <c r="BL106" i="36"/>
  <c r="BL111" i="36"/>
  <c r="BL118" i="36"/>
  <c r="BL123" i="36"/>
  <c r="BL130" i="36"/>
  <c r="BL135" i="36"/>
  <c r="BL142" i="36"/>
  <c r="BL147" i="36"/>
  <c r="BL154" i="36"/>
  <c r="BL159" i="36"/>
  <c r="BL78" i="36"/>
  <c r="BL85" i="36"/>
  <c r="BL90" i="36"/>
  <c r="BL97" i="36"/>
  <c r="BL102" i="36"/>
  <c r="BL109" i="36"/>
  <c r="BL114" i="36"/>
  <c r="BL121" i="36"/>
  <c r="BL70" i="36"/>
  <c r="BL72" i="36"/>
  <c r="BL166" i="36"/>
  <c r="BL79" i="36"/>
  <c r="BL84" i="36"/>
  <c r="BL91" i="36"/>
  <c r="BL96" i="36"/>
  <c r="BL103" i="36"/>
  <c r="BL108" i="36"/>
  <c r="BL115" i="36"/>
  <c r="BL120" i="36"/>
  <c r="BL133" i="36"/>
  <c r="BL136" i="36"/>
  <c r="BL138" i="36"/>
  <c r="BL139" i="36"/>
  <c r="BL141" i="36"/>
  <c r="BL144" i="36"/>
  <c r="BL76" i="36"/>
  <c r="BL81" i="36"/>
  <c r="BL88" i="36"/>
  <c r="BL93" i="36"/>
  <c r="BL100" i="36"/>
  <c r="BL105" i="36"/>
  <c r="BL112" i="36"/>
  <c r="BL117" i="36"/>
  <c r="BL129" i="36"/>
  <c r="BL145" i="36"/>
  <c r="BL160" i="36"/>
  <c r="BL169" i="36"/>
  <c r="BL175" i="36"/>
  <c r="BL186" i="36"/>
  <c r="BL195" i="36"/>
  <c r="BL202" i="36"/>
  <c r="BL207" i="36"/>
  <c r="BL214" i="36"/>
  <c r="BL219" i="36"/>
  <c r="BL126" i="36"/>
  <c r="BL157" i="36"/>
  <c r="BL171" i="36"/>
  <c r="BL178" i="36"/>
  <c r="BL180" i="36"/>
  <c r="BL184" i="36"/>
  <c r="BL189" i="36"/>
  <c r="BL193" i="36"/>
  <c r="BL198" i="36"/>
  <c r="BL205" i="36"/>
  <c r="BL210" i="36"/>
  <c r="BL217" i="36"/>
  <c r="BL222" i="36"/>
  <c r="BL229" i="36"/>
  <c r="BL231" i="36"/>
  <c r="BL238" i="36"/>
  <c r="BL127" i="36"/>
  <c r="BL150" i="36"/>
  <c r="BL151" i="36"/>
  <c r="BL153" i="36"/>
  <c r="BL156" i="36"/>
  <c r="BL162" i="36"/>
  <c r="BL163" i="36"/>
  <c r="BL165" i="36"/>
  <c r="BL168" i="36"/>
  <c r="BL174" i="36"/>
  <c r="BL187" i="36"/>
  <c r="BL196" i="36"/>
  <c r="BL201" i="36"/>
  <c r="BL208" i="36"/>
  <c r="BL213" i="36"/>
  <c r="BL220" i="36"/>
  <c r="BL225" i="36"/>
  <c r="BL234" i="36"/>
  <c r="BL124" i="36"/>
  <c r="BL132" i="36"/>
  <c r="BL148" i="36"/>
  <c r="BL172" i="36"/>
  <c r="BL177" i="36"/>
  <c r="BL190" i="36"/>
  <c r="BL192" i="36"/>
  <c r="BL211" i="36"/>
  <c r="BL216" i="36"/>
  <c r="BL235" i="36"/>
  <c r="BL240" i="36"/>
  <c r="BL247" i="36"/>
  <c r="BL252" i="36"/>
  <c r="BL226" i="36"/>
  <c r="BL232" i="36"/>
  <c r="BL243" i="36"/>
  <c r="BL250" i="36"/>
  <c r="BL249" i="36"/>
  <c r="BL181" i="36"/>
  <c r="BL183" i="36"/>
  <c r="BL199" i="36"/>
  <c r="BL204" i="36"/>
  <c r="BL223" i="36"/>
  <c r="BL228" i="36"/>
  <c r="BL237" i="36"/>
  <c r="BL241" i="36"/>
  <c r="BL246" i="36"/>
  <c r="BL253" i="36"/>
  <c r="BL244" i="36"/>
  <c r="U455" i="36"/>
  <c r="BK78" i="36"/>
  <c r="BK85" i="36"/>
  <c r="BK90" i="36"/>
  <c r="BK97" i="36"/>
  <c r="BK102" i="36"/>
  <c r="BK109" i="36"/>
  <c r="BK114" i="36"/>
  <c r="BK121" i="36"/>
  <c r="BK126" i="36"/>
  <c r="BK133" i="36"/>
  <c r="BK138" i="36"/>
  <c r="BK145" i="36"/>
  <c r="BK150" i="36"/>
  <c r="BK157" i="36"/>
  <c r="BK162" i="36"/>
  <c r="BK70" i="36"/>
  <c r="BK72" i="36"/>
  <c r="BK76" i="36"/>
  <c r="BK81" i="36"/>
  <c r="BK88" i="36"/>
  <c r="BK93" i="36"/>
  <c r="BK100" i="36"/>
  <c r="BK105" i="36"/>
  <c r="BK112" i="36"/>
  <c r="BK117" i="36"/>
  <c r="BK73" i="36"/>
  <c r="BK79" i="36"/>
  <c r="BK84" i="36"/>
  <c r="BK91" i="36"/>
  <c r="BK96" i="36"/>
  <c r="BK103" i="36"/>
  <c r="BK108" i="36"/>
  <c r="BK115" i="36"/>
  <c r="BK120" i="36"/>
  <c r="BK136" i="36"/>
  <c r="BK139" i="36"/>
  <c r="BK141" i="36"/>
  <c r="BK142" i="36"/>
  <c r="BK144" i="36"/>
  <c r="BK160" i="36"/>
  <c r="BK169" i="36"/>
  <c r="BK135" i="36"/>
  <c r="BK75" i="36"/>
  <c r="BK87" i="36"/>
  <c r="BK99" i="36"/>
  <c r="BK111" i="36"/>
  <c r="BK123" i="36"/>
  <c r="BK124" i="36"/>
  <c r="BK127" i="36"/>
  <c r="BK129" i="36"/>
  <c r="BK130" i="36"/>
  <c r="BK132" i="36"/>
  <c r="BK148" i="36"/>
  <c r="BK118" i="36"/>
  <c r="BK171" i="36"/>
  <c r="BK178" i="36"/>
  <c r="BK180" i="36"/>
  <c r="BK184" i="36"/>
  <c r="BK189" i="36"/>
  <c r="BK193" i="36"/>
  <c r="BK198" i="36"/>
  <c r="BK205" i="36"/>
  <c r="BK210" i="36"/>
  <c r="BK217" i="36"/>
  <c r="BK222" i="36"/>
  <c r="BK106" i="36"/>
  <c r="BK151" i="36"/>
  <c r="BK153" i="36"/>
  <c r="BK154" i="36"/>
  <c r="BK156" i="36"/>
  <c r="BK163" i="36"/>
  <c r="BK165" i="36"/>
  <c r="BK166" i="36"/>
  <c r="BK168" i="36"/>
  <c r="BK174" i="36"/>
  <c r="BK187" i="36"/>
  <c r="BK196" i="36"/>
  <c r="BK201" i="36"/>
  <c r="BK208" i="36"/>
  <c r="BK213" i="36"/>
  <c r="BK220" i="36"/>
  <c r="BK225" i="36"/>
  <c r="BK234" i="36"/>
  <c r="BK94" i="36"/>
  <c r="BK147" i="36"/>
  <c r="BK172" i="36"/>
  <c r="BK177" i="36"/>
  <c r="BK181" i="36"/>
  <c r="BK183" i="36"/>
  <c r="BK190" i="36"/>
  <c r="BK192" i="36"/>
  <c r="BK199" i="36"/>
  <c r="BK204" i="36"/>
  <c r="BK211" i="36"/>
  <c r="BK216" i="36"/>
  <c r="BK223" i="36"/>
  <c r="BK228" i="36"/>
  <c r="BK232" i="36"/>
  <c r="BK237" i="36"/>
  <c r="BK159" i="36"/>
  <c r="BK195" i="36"/>
  <c r="BK219" i="36"/>
  <c r="BK226" i="36"/>
  <c r="BK243" i="36"/>
  <c r="BK247" i="36"/>
  <c r="BK82" i="36"/>
  <c r="BK175" i="36"/>
  <c r="BK214" i="36"/>
  <c r="BK231" i="36"/>
  <c r="BK241" i="36"/>
  <c r="BK246" i="36"/>
  <c r="BK253" i="36"/>
  <c r="BK229" i="36"/>
  <c r="BK238" i="36"/>
  <c r="BK240" i="36"/>
  <c r="BK186" i="36"/>
  <c r="BK207" i="36"/>
  <c r="BK244" i="36"/>
  <c r="BK249" i="36"/>
  <c r="BK69" i="36"/>
  <c r="BK202" i="36"/>
  <c r="BK235" i="36"/>
  <c r="BK252" i="36"/>
  <c r="G28" i="98"/>
  <c r="G41" i="98" s="1"/>
  <c r="G46" i="98" s="1"/>
  <c r="G54" i="98" s="1"/>
  <c r="G62" i="98" s="1"/>
  <c r="U462" i="36"/>
  <c r="V461" i="36"/>
  <c r="V462" i="36"/>
  <c r="U461" i="36"/>
  <c r="CG386" i="36"/>
  <c r="F28" i="98"/>
  <c r="F41" i="98" s="1"/>
  <c r="F46" i="98" s="1"/>
  <c r="F54" i="98" s="1"/>
  <c r="F62" i="98" s="1"/>
  <c r="H28" i="98"/>
  <c r="H41" i="98" s="1"/>
  <c r="H46" i="98" s="1"/>
  <c r="H54" i="98" s="1"/>
  <c r="H62" i="98" s="1"/>
  <c r="AQ71" i="57"/>
  <c r="V463" i="57"/>
  <c r="U464" i="57"/>
  <c r="V464" i="57"/>
  <c r="U462" i="57"/>
  <c r="V461" i="57"/>
  <c r="U461" i="57"/>
  <c r="V462" i="57"/>
  <c r="U463" i="57"/>
  <c r="I28" i="98"/>
  <c r="I41" i="98" s="1"/>
  <c r="I46" i="98" s="1"/>
  <c r="I54" i="98" s="1"/>
  <c r="I62" i="98" s="1"/>
  <c r="D69" i="98"/>
  <c r="P69" i="98"/>
  <c r="O69" i="98"/>
  <c r="G69" i="98"/>
  <c r="F69" i="98"/>
  <c r="Q69" i="98"/>
  <c r="E69" i="98"/>
  <c r="R77" i="98"/>
  <c r="N77" i="98"/>
  <c r="J77" i="98"/>
  <c r="F77" i="98"/>
  <c r="D77" i="98"/>
  <c r="Q77" i="98"/>
  <c r="M77" i="98"/>
  <c r="I77" i="98"/>
  <c r="E77" i="98"/>
  <c r="P77" i="98"/>
  <c r="L77" i="98"/>
  <c r="H77" i="98"/>
  <c r="O77" i="98"/>
  <c r="K77" i="98"/>
  <c r="G77" i="98"/>
  <c r="BA71" i="57"/>
  <c r="CK71" i="57"/>
  <c r="BB74" i="57"/>
  <c r="BC74" i="57"/>
  <c r="CJ80" i="57"/>
  <c r="AZ80" i="57"/>
  <c r="AS83" i="57"/>
  <c r="CD83" i="57"/>
  <c r="BB86" i="57"/>
  <c r="BC86" i="57"/>
  <c r="CF89" i="57"/>
  <c r="AU89" i="57"/>
  <c r="CG92" i="57"/>
  <c r="AV92" i="57"/>
  <c r="BB98" i="57"/>
  <c r="BC98" i="57"/>
  <c r="CI101" i="57"/>
  <c r="AY101" i="57"/>
  <c r="AZ104" i="57"/>
  <c r="CJ104" i="57"/>
  <c r="CD107" i="57"/>
  <c r="AS107" i="57"/>
  <c r="CH110" i="57"/>
  <c r="AX110" i="57"/>
  <c r="AR128" i="57"/>
  <c r="W13" i="36"/>
  <c r="CD386" i="36"/>
  <c r="AW71" i="57"/>
  <c r="AU77" i="57"/>
  <c r="CF77" i="57"/>
  <c r="AW83" i="57"/>
  <c r="AY89" i="57"/>
  <c r="CI89" i="57"/>
  <c r="AW95" i="57"/>
  <c r="AU101" i="57"/>
  <c r="CF101" i="57"/>
  <c r="AW107" i="57"/>
  <c r="BB110" i="57"/>
  <c r="BC110" i="57"/>
  <c r="CF113" i="57"/>
  <c r="AU113" i="57"/>
  <c r="CJ116" i="57"/>
  <c r="AZ116" i="57"/>
  <c r="CD119" i="57"/>
  <c r="AS119" i="57"/>
  <c r="BB122" i="57"/>
  <c r="BC122" i="57"/>
  <c r="BY125" i="57"/>
  <c r="BF125" i="57"/>
  <c r="CJ128" i="57"/>
  <c r="AZ128" i="57"/>
  <c r="BA131" i="57"/>
  <c r="CK131" i="57"/>
  <c r="BB134" i="57"/>
  <c r="BC134" i="57"/>
  <c r="CF137" i="57"/>
  <c r="AU137" i="57"/>
  <c r="CG140" i="57"/>
  <c r="AV140" i="57"/>
  <c r="AW143" i="57"/>
  <c r="CH146" i="57"/>
  <c r="AX146" i="57"/>
  <c r="CI149" i="57"/>
  <c r="AY149" i="57"/>
  <c r="CJ152" i="57"/>
  <c r="AZ152" i="57"/>
  <c r="BA155" i="57"/>
  <c r="CK155" i="57"/>
  <c r="BB158" i="57"/>
  <c r="BC158" i="57"/>
  <c r="BF161" i="57"/>
  <c r="BY161" i="57"/>
  <c r="AR164" i="57"/>
  <c r="AW167" i="57"/>
  <c r="BB170" i="57"/>
  <c r="BC170" i="57"/>
  <c r="BY173" i="57"/>
  <c r="BF173" i="57"/>
  <c r="AR176" i="57"/>
  <c r="AS179" i="57"/>
  <c r="CD179" i="57"/>
  <c r="AT182" i="57"/>
  <c r="CE182" i="57"/>
  <c r="AU185" i="57"/>
  <c r="CF185" i="57"/>
  <c r="CG188" i="57"/>
  <c r="AV188" i="57"/>
  <c r="CK191" i="57"/>
  <c r="BA191" i="57"/>
  <c r="BB194" i="57"/>
  <c r="BC194" i="57"/>
  <c r="CI197" i="57"/>
  <c r="AY197" i="57"/>
  <c r="AV200" i="57"/>
  <c r="CG200" i="57"/>
  <c r="CD203" i="57"/>
  <c r="AS203" i="57"/>
  <c r="BY209" i="57"/>
  <c r="BF209" i="57"/>
  <c r="AR212" i="57"/>
  <c r="BA215" i="57"/>
  <c r="CK215" i="57"/>
  <c r="BB218" i="57"/>
  <c r="BC218" i="57"/>
  <c r="BY221" i="57"/>
  <c r="BF221" i="57"/>
  <c r="CJ224" i="57"/>
  <c r="AZ224" i="57"/>
  <c r="CK227" i="57"/>
  <c r="BA227" i="57"/>
  <c r="BB230" i="57"/>
  <c r="BC230" i="57"/>
  <c r="AU233" i="57"/>
  <c r="CF233" i="57"/>
  <c r="AR236" i="57"/>
  <c r="BB242" i="57"/>
  <c r="BC242" i="57"/>
  <c r="BY245" i="57"/>
  <c r="BF245" i="57"/>
  <c r="AR248" i="57"/>
  <c r="CK251" i="57"/>
  <c r="BA251" i="57"/>
  <c r="CH254" i="57"/>
  <c r="AX254" i="57"/>
  <c r="CF257" i="57"/>
  <c r="AU257" i="57"/>
  <c r="AR260" i="57"/>
  <c r="BA263" i="57"/>
  <c r="CK263" i="57"/>
  <c r="AX266" i="57"/>
  <c r="CH266" i="57"/>
  <c r="CF269" i="57"/>
  <c r="AU269" i="57"/>
  <c r="AR272" i="57"/>
  <c r="CK275" i="57"/>
  <c r="BA275" i="57"/>
  <c r="CH278" i="57"/>
  <c r="AX278" i="57"/>
  <c r="AW287" i="57"/>
  <c r="AT290" i="57"/>
  <c r="CE290" i="57"/>
  <c r="CF293" i="57"/>
  <c r="AU293" i="57"/>
  <c r="BA299" i="57"/>
  <c r="CK299" i="57"/>
  <c r="AX302" i="57"/>
  <c r="CH302" i="57"/>
  <c r="AU305" i="57"/>
  <c r="CF305" i="57"/>
  <c r="CK311" i="57"/>
  <c r="BA311" i="57"/>
  <c r="AT314" i="57"/>
  <c r="CE314" i="57"/>
  <c r="BF317" i="57"/>
  <c r="BY317" i="57"/>
  <c r="AR320" i="57"/>
  <c r="AS323" i="57"/>
  <c r="CD323" i="57"/>
  <c r="AT326" i="57"/>
  <c r="CE326" i="57"/>
  <c r="AU329" i="57"/>
  <c r="CF329" i="57"/>
  <c r="AR332" i="57"/>
  <c r="BA335" i="57"/>
  <c r="CK335" i="57"/>
  <c r="CH338" i="57"/>
  <c r="AX338" i="57"/>
  <c r="CF341" i="57"/>
  <c r="AU341" i="57"/>
  <c r="AR344" i="57"/>
  <c r="CK347" i="57"/>
  <c r="BA347" i="57"/>
  <c r="CH350" i="57"/>
  <c r="AX350" i="57"/>
  <c r="CF353" i="57"/>
  <c r="AU353" i="57"/>
  <c r="AR356" i="57"/>
  <c r="BF365" i="57"/>
  <c r="BY365" i="57"/>
  <c r="CJ368" i="57"/>
  <c r="AZ368" i="57"/>
  <c r="AW371" i="57"/>
  <c r="AT374" i="57"/>
  <c r="CE374" i="57"/>
  <c r="BF377" i="57"/>
  <c r="BY377" i="57"/>
  <c r="AZ380" i="57"/>
  <c r="CJ380" i="57"/>
  <c r="AW383" i="57"/>
  <c r="AT386" i="57"/>
  <c r="CE386" i="57"/>
  <c r="BF389" i="57"/>
  <c r="BY389" i="57"/>
  <c r="CJ392" i="57"/>
  <c r="AZ392" i="57"/>
  <c r="AW395" i="57"/>
  <c r="AT398" i="57"/>
  <c r="CE398" i="57"/>
  <c r="CF401" i="57"/>
  <c r="AU401" i="57"/>
  <c r="BA407" i="57"/>
  <c r="CK407" i="57"/>
  <c r="CH410" i="57"/>
  <c r="AX410" i="57"/>
  <c r="AU413" i="57"/>
  <c r="CF413" i="57"/>
  <c r="AR416" i="57"/>
  <c r="BA419" i="57"/>
  <c r="CK419" i="57"/>
  <c r="AT422" i="57"/>
  <c r="CE422" i="57"/>
  <c r="AW431" i="57"/>
  <c r="AT434" i="57"/>
  <c r="CE434" i="57"/>
  <c r="CF437" i="57"/>
  <c r="AU437" i="57"/>
  <c r="AV440" i="57"/>
  <c r="CG440" i="57"/>
  <c r="BA443" i="57"/>
  <c r="CK443" i="57"/>
  <c r="AC13" i="36"/>
  <c r="CI386" i="36"/>
  <c r="AX71" i="57"/>
  <c r="CH71" i="57"/>
  <c r="CF74" i="57"/>
  <c r="AU74" i="57"/>
  <c r="CG77" i="57"/>
  <c r="AV77" i="57"/>
  <c r="AW80" i="57"/>
  <c r="AT83" i="57"/>
  <c r="CE83" i="57"/>
  <c r="BA92" i="57"/>
  <c r="CK92" i="57"/>
  <c r="CH95" i="57"/>
  <c r="AX95" i="57"/>
  <c r="AU98" i="57"/>
  <c r="CF98" i="57"/>
  <c r="AV101" i="57"/>
  <c r="CG101" i="57"/>
  <c r="AW104" i="57"/>
  <c r="AT107" i="57"/>
  <c r="CE107" i="57"/>
  <c r="CK116" i="57"/>
  <c r="BA116" i="57"/>
  <c r="BB119" i="57"/>
  <c r="BC119" i="57"/>
  <c r="CI122" i="57"/>
  <c r="AY122" i="57"/>
  <c r="AR125" i="57"/>
  <c r="CD128" i="57"/>
  <c r="AS128" i="57"/>
  <c r="AT131" i="57"/>
  <c r="CE131" i="57"/>
  <c r="BY134" i="57"/>
  <c r="BF134" i="57"/>
  <c r="CJ137" i="57"/>
  <c r="AZ137" i="57"/>
  <c r="AW140" i="57"/>
  <c r="AT143" i="57"/>
  <c r="CE143" i="57"/>
  <c r="CF146" i="57"/>
  <c r="AU146" i="57"/>
  <c r="BA152" i="57"/>
  <c r="CK152" i="57"/>
  <c r="CH155" i="57"/>
  <c r="AX155" i="57"/>
  <c r="CF158" i="57"/>
  <c r="AU158" i="57"/>
  <c r="AR161" i="57"/>
  <c r="BA164" i="57"/>
  <c r="CK164" i="57"/>
  <c r="BB167" i="57"/>
  <c r="BC167" i="57"/>
  <c r="CF170" i="57"/>
  <c r="AU170" i="57"/>
  <c r="BY170" i="57"/>
  <c r="BF170" i="57"/>
  <c r="AR173" i="57"/>
  <c r="AS176" i="57"/>
  <c r="CD176" i="57"/>
  <c r="AT179" i="57"/>
  <c r="CE179" i="57"/>
  <c r="BA188" i="57"/>
  <c r="CK188" i="57"/>
  <c r="CH191" i="57"/>
  <c r="AX191" i="57"/>
  <c r="CF194" i="57"/>
  <c r="AU194" i="57"/>
  <c r="AR197" i="57"/>
  <c r="AW200" i="57"/>
  <c r="BY206" i="57"/>
  <c r="BF206" i="57"/>
  <c r="CJ209" i="57"/>
  <c r="AZ209" i="57"/>
  <c r="CK212" i="57"/>
  <c r="BA212" i="57"/>
  <c r="CH215" i="57"/>
  <c r="AX215" i="57"/>
  <c r="AU218" i="57"/>
  <c r="CF218" i="57"/>
  <c r="AR221" i="57"/>
  <c r="AS224" i="57"/>
  <c r="CD224" i="57"/>
  <c r="AT227" i="57"/>
  <c r="CE227" i="57"/>
  <c r="CF230" i="57"/>
  <c r="AU230" i="57"/>
  <c r="AR233" i="57"/>
  <c r="AT239" i="57"/>
  <c r="CE239" i="57"/>
  <c r="AU242" i="57"/>
  <c r="CF242" i="57"/>
  <c r="CG245" i="57"/>
  <c r="AV245" i="57"/>
  <c r="CD248" i="57"/>
  <c r="AS248" i="57"/>
  <c r="AU254" i="57"/>
  <c r="CF254" i="57"/>
  <c r="AR257" i="57"/>
  <c r="CD260" i="57"/>
  <c r="AS260" i="57"/>
  <c r="AT263" i="57"/>
  <c r="CE263" i="57"/>
  <c r="AR269" i="57"/>
  <c r="CD272" i="57"/>
  <c r="AS272" i="57"/>
  <c r="CK284" i="57"/>
  <c r="BA284" i="57"/>
  <c r="AX287" i="57"/>
  <c r="CH287" i="57"/>
  <c r="BY290" i="57"/>
  <c r="BF290" i="57"/>
  <c r="CJ293" i="57"/>
  <c r="AZ293" i="57"/>
  <c r="BA296" i="57"/>
  <c r="CK296" i="57"/>
  <c r="CH299" i="57"/>
  <c r="AX299" i="57"/>
  <c r="CF302" i="57"/>
  <c r="AU302" i="57"/>
  <c r="AV305" i="57"/>
  <c r="CG305" i="57"/>
  <c r="AW308" i="57"/>
  <c r="AT311" i="57"/>
  <c r="CE311" i="57"/>
  <c r="BY314" i="57"/>
  <c r="BF314" i="57"/>
  <c r="AR317" i="57"/>
  <c r="BA320" i="57"/>
  <c r="CK320" i="57"/>
  <c r="BB323" i="57"/>
  <c r="BC323" i="57"/>
  <c r="BY326" i="57"/>
  <c r="BF326" i="57"/>
  <c r="AZ329" i="57"/>
  <c r="CJ329" i="57"/>
  <c r="CK332" i="57"/>
  <c r="BA332" i="57"/>
  <c r="CH335" i="57"/>
  <c r="AX335" i="57"/>
  <c r="CF338" i="57"/>
  <c r="AU338" i="57"/>
  <c r="AR341" i="57"/>
  <c r="BF362" i="57"/>
  <c r="BY362" i="57"/>
  <c r="AZ365" i="57"/>
  <c r="CJ365" i="57"/>
  <c r="AW368" i="57"/>
  <c r="AT371" i="57"/>
  <c r="CE371" i="57"/>
  <c r="CI374" i="57"/>
  <c r="AY374" i="57"/>
  <c r="CG377" i="57"/>
  <c r="AV377" i="57"/>
  <c r="AW380" i="57"/>
  <c r="AT383" i="57"/>
  <c r="CE383" i="57"/>
  <c r="CF386" i="57"/>
  <c r="AU386" i="57"/>
  <c r="BA392" i="57"/>
  <c r="CK392" i="57"/>
  <c r="AX395" i="57"/>
  <c r="CH395" i="57"/>
  <c r="AU398" i="57"/>
  <c r="CF398" i="57"/>
  <c r="AR401" i="57"/>
  <c r="AW404" i="57"/>
  <c r="AT407" i="57"/>
  <c r="CE407" i="57"/>
  <c r="AR413" i="57"/>
  <c r="CD416" i="57"/>
  <c r="AS416" i="57"/>
  <c r="AT431" i="57"/>
  <c r="CE431" i="57"/>
  <c r="CF434" i="57"/>
  <c r="AU434" i="57"/>
  <c r="AT443" i="57"/>
  <c r="CE443" i="57"/>
  <c r="AZ68" i="36"/>
  <c r="CJ68" i="36"/>
  <c r="AY68" i="57"/>
  <c r="CI68" i="57"/>
  <c r="CD71" i="57"/>
  <c r="AS71" i="57"/>
  <c r="AX74" i="57"/>
  <c r="CH74" i="57"/>
  <c r="CI77" i="57"/>
  <c r="AY77" i="57"/>
  <c r="AR80" i="57"/>
  <c r="BA83" i="57"/>
  <c r="CK83" i="57"/>
  <c r="AT86" i="57"/>
  <c r="CE86" i="57"/>
  <c r="BF89" i="57"/>
  <c r="BY89" i="57"/>
  <c r="AR92" i="57"/>
  <c r="CK95" i="57"/>
  <c r="BA95" i="57"/>
  <c r="AT98" i="57"/>
  <c r="CE98" i="57"/>
  <c r="BY101" i="57"/>
  <c r="BF101" i="57"/>
  <c r="AR104" i="57"/>
  <c r="CK107" i="57"/>
  <c r="BA107" i="57"/>
  <c r="CI113" i="57"/>
  <c r="AY113" i="57"/>
  <c r="AR116" i="57"/>
  <c r="AW119" i="57"/>
  <c r="AT122" i="57"/>
  <c r="CE122" i="57"/>
  <c r="AU125" i="57"/>
  <c r="CF125" i="57"/>
  <c r="AV128" i="57"/>
  <c r="CG128" i="57"/>
  <c r="AW131" i="57"/>
  <c r="AX134" i="57"/>
  <c r="CH134" i="57"/>
  <c r="AY137" i="57"/>
  <c r="CI137" i="57"/>
  <c r="AZ140" i="57"/>
  <c r="CJ140" i="57"/>
  <c r="CK143" i="57"/>
  <c r="BA143" i="57"/>
  <c r="BB146" i="57"/>
  <c r="BC146" i="57"/>
  <c r="BY149" i="57"/>
  <c r="BF149" i="57"/>
  <c r="CG152" i="57"/>
  <c r="AV152" i="57"/>
  <c r="AW155" i="57"/>
  <c r="AX158" i="57"/>
  <c r="CH158" i="57"/>
  <c r="CF161" i="57"/>
  <c r="AU161" i="57"/>
  <c r="CG164" i="57"/>
  <c r="AV164" i="57"/>
  <c r="CD167" i="57"/>
  <c r="AS167" i="57"/>
  <c r="AT170" i="57"/>
  <c r="CE170" i="57"/>
  <c r="AU173" i="57"/>
  <c r="CF173" i="57"/>
  <c r="CG176" i="57"/>
  <c r="AV176" i="57"/>
  <c r="CK179" i="57"/>
  <c r="BA179" i="57"/>
  <c r="AX182" i="57"/>
  <c r="CH182" i="57"/>
  <c r="CI185" i="57"/>
  <c r="AY185" i="57"/>
  <c r="AZ188" i="57"/>
  <c r="CJ188" i="57"/>
  <c r="AS191" i="57"/>
  <c r="CD191" i="57"/>
  <c r="AT194" i="57"/>
  <c r="CE194" i="57"/>
  <c r="AU197" i="57"/>
  <c r="CF197" i="57"/>
  <c r="AR200" i="57"/>
  <c r="CK203" i="57"/>
  <c r="BA203" i="57"/>
  <c r="AX206" i="57"/>
  <c r="CH206" i="57"/>
  <c r="AU209" i="57"/>
  <c r="CF209" i="57"/>
  <c r="AZ212" i="57"/>
  <c r="CJ212" i="57"/>
  <c r="AW215" i="57"/>
  <c r="AT218" i="57"/>
  <c r="CE218" i="57"/>
  <c r="AY221" i="57"/>
  <c r="CI221" i="57"/>
  <c r="AR224" i="57"/>
  <c r="CD227" i="57"/>
  <c r="AS227" i="57"/>
  <c r="AT230" i="57"/>
  <c r="CE230" i="57"/>
  <c r="BY233" i="57"/>
  <c r="BF233" i="57"/>
  <c r="AZ236" i="57"/>
  <c r="CJ236" i="57"/>
  <c r="AW239" i="57"/>
  <c r="AX242" i="57"/>
  <c r="CH242" i="57"/>
  <c r="AY245" i="57"/>
  <c r="CI245" i="57"/>
  <c r="CJ248" i="57"/>
  <c r="AZ248" i="57"/>
  <c r="CD251" i="57"/>
  <c r="AS251" i="57"/>
  <c r="BB254" i="57"/>
  <c r="BC254" i="57"/>
  <c r="BY257" i="57"/>
  <c r="BF257" i="57"/>
  <c r="CG260" i="57"/>
  <c r="AV260" i="57"/>
  <c r="CD263" i="57"/>
  <c r="AS263" i="57"/>
  <c r="BB266" i="57"/>
  <c r="BC266" i="57"/>
  <c r="BY269" i="57"/>
  <c r="BF269" i="57"/>
  <c r="CJ272" i="57"/>
  <c r="AZ272" i="57"/>
  <c r="AW275" i="57"/>
  <c r="AT278" i="57"/>
  <c r="CE278" i="57"/>
  <c r="AU281" i="57"/>
  <c r="CF281" i="57"/>
  <c r="AY281" i="57"/>
  <c r="CI281" i="57"/>
  <c r="AR284" i="57"/>
  <c r="CJ284" i="57"/>
  <c r="AZ284" i="57"/>
  <c r="CK287" i="57"/>
  <c r="BA287" i="57"/>
  <c r="AX290" i="57"/>
  <c r="CH290" i="57"/>
  <c r="CI293" i="57"/>
  <c r="AY293" i="57"/>
  <c r="AR296" i="57"/>
  <c r="AZ296" i="57"/>
  <c r="CJ296" i="57"/>
  <c r="AW299" i="57"/>
  <c r="AT302" i="57"/>
  <c r="CE302" i="57"/>
  <c r="BY305" i="57"/>
  <c r="BF305" i="57"/>
  <c r="AR308" i="57"/>
  <c r="CJ308" i="57"/>
  <c r="AZ308" i="57"/>
  <c r="AW311" i="57"/>
  <c r="BB314" i="57"/>
  <c r="BC314" i="57"/>
  <c r="CF317" i="57"/>
  <c r="AU317" i="57"/>
  <c r="AV320" i="57"/>
  <c r="CG320" i="57"/>
  <c r="AW323" i="57"/>
  <c r="BB326" i="57"/>
  <c r="BC326" i="57"/>
  <c r="BY329" i="57"/>
  <c r="BF329" i="57"/>
  <c r="CJ332" i="57"/>
  <c r="AZ332" i="57"/>
  <c r="AW335" i="57"/>
  <c r="BB338" i="57"/>
  <c r="BC338" i="57"/>
  <c r="BY341" i="57"/>
  <c r="BF341" i="57"/>
  <c r="AZ344" i="57"/>
  <c r="CJ344" i="57"/>
  <c r="CD347" i="57"/>
  <c r="AS347" i="57"/>
  <c r="AT350" i="57"/>
  <c r="CE350" i="57"/>
  <c r="BY353" i="57"/>
  <c r="BF353" i="57"/>
  <c r="AZ356" i="57"/>
  <c r="CJ356" i="57"/>
  <c r="AW359" i="57"/>
  <c r="AT362" i="57"/>
  <c r="CE362" i="57"/>
  <c r="BB362" i="57"/>
  <c r="BC362" i="57"/>
  <c r="CF365" i="57"/>
  <c r="AU365" i="57"/>
  <c r="AV368" i="57"/>
  <c r="CG368" i="57"/>
  <c r="CK371" i="57"/>
  <c r="BA371" i="57"/>
  <c r="CH374" i="57"/>
  <c r="AX374" i="57"/>
  <c r="AU377" i="57"/>
  <c r="CF377" i="57"/>
  <c r="AR380" i="57"/>
  <c r="CD383" i="57"/>
  <c r="AS383" i="57"/>
  <c r="BB386" i="57"/>
  <c r="BC386" i="57"/>
  <c r="AU389" i="57"/>
  <c r="CF389" i="57"/>
  <c r="AR392" i="57"/>
  <c r="BA395" i="57"/>
  <c r="CK395" i="57"/>
  <c r="CH398" i="57"/>
  <c r="AX398" i="57"/>
  <c r="CI401" i="57"/>
  <c r="AY401" i="57"/>
  <c r="AZ404" i="57"/>
  <c r="CJ404" i="57"/>
  <c r="AW407" i="57"/>
  <c r="AT410" i="57"/>
  <c r="CE410" i="57"/>
  <c r="BY413" i="57"/>
  <c r="BF413" i="57"/>
  <c r="AZ416" i="57"/>
  <c r="CJ416" i="57"/>
  <c r="AW419" i="57"/>
  <c r="CH422" i="57"/>
  <c r="AX422" i="57"/>
  <c r="AU425" i="57"/>
  <c r="CF425" i="57"/>
  <c r="BY425" i="57"/>
  <c r="BF425" i="57"/>
  <c r="AR428" i="57"/>
  <c r="CJ428" i="57"/>
  <c r="AZ428" i="57"/>
  <c r="AS431" i="57"/>
  <c r="CD431" i="57"/>
  <c r="BB434" i="57"/>
  <c r="BC434" i="57"/>
  <c r="CI437" i="57"/>
  <c r="AY437" i="57"/>
  <c r="AR440" i="57"/>
  <c r="CD443" i="57"/>
  <c r="AS443" i="57"/>
  <c r="BA68" i="36"/>
  <c r="CK68" i="36"/>
  <c r="Y13" i="36"/>
  <c r="BO386" i="36" s="1"/>
  <c r="CF386" i="36"/>
  <c r="BB71" i="57"/>
  <c r="BC71" i="57"/>
  <c r="BY74" i="57"/>
  <c r="BF74" i="57"/>
  <c r="CJ77" i="57"/>
  <c r="AZ77" i="57"/>
  <c r="CD80" i="57"/>
  <c r="AS80" i="57"/>
  <c r="CH83" i="57"/>
  <c r="AX83" i="57"/>
  <c r="CF86" i="57"/>
  <c r="AU86" i="57"/>
  <c r="BY86" i="57"/>
  <c r="BF86" i="57"/>
  <c r="AR89" i="57"/>
  <c r="CG89" i="57"/>
  <c r="AV89" i="57"/>
  <c r="CD92" i="57"/>
  <c r="AS92" i="57"/>
  <c r="BB95" i="57"/>
  <c r="BC95" i="57"/>
  <c r="BF98" i="57"/>
  <c r="BY98" i="57"/>
  <c r="AZ101" i="57"/>
  <c r="CJ101" i="57"/>
  <c r="CD104" i="57"/>
  <c r="AS104" i="57"/>
  <c r="CH107" i="57"/>
  <c r="AX107" i="57"/>
  <c r="BY110" i="57"/>
  <c r="BF110" i="57"/>
  <c r="AV113" i="57"/>
  <c r="CG113" i="57"/>
  <c r="CD116" i="57"/>
  <c r="AS116" i="57"/>
  <c r="CH119" i="57"/>
  <c r="AX119" i="57"/>
  <c r="CF122" i="57"/>
  <c r="AU122" i="57"/>
  <c r="CG125" i="57"/>
  <c r="AV125" i="57"/>
  <c r="BA128" i="57"/>
  <c r="CK128" i="57"/>
  <c r="CH131" i="57"/>
  <c r="AX131" i="57"/>
  <c r="AU134" i="57"/>
  <c r="CF134" i="57"/>
  <c r="AR137" i="57"/>
  <c r="BA140" i="57"/>
  <c r="CK140" i="57"/>
  <c r="CH143" i="57"/>
  <c r="AX143" i="57"/>
  <c r="AY146" i="57"/>
  <c r="CI146" i="57"/>
  <c r="AR149" i="57"/>
  <c r="CJ149" i="57"/>
  <c r="AZ149" i="57"/>
  <c r="AW152" i="57"/>
  <c r="BB155" i="57"/>
  <c r="BC155" i="57"/>
  <c r="BF158" i="57"/>
  <c r="BY158" i="57"/>
  <c r="CJ161" i="57"/>
  <c r="AZ161" i="57"/>
  <c r="CD164" i="57"/>
  <c r="AS164" i="57"/>
  <c r="CG173" i="57"/>
  <c r="AV173" i="57"/>
  <c r="CK176" i="57"/>
  <c r="BA176" i="57"/>
  <c r="AX179" i="57"/>
  <c r="CH179" i="57"/>
  <c r="CF182" i="57"/>
  <c r="AU182" i="57"/>
  <c r="CI182" i="57"/>
  <c r="AY182" i="57"/>
  <c r="AZ185" i="57"/>
  <c r="CJ185" i="57"/>
  <c r="CD188" i="57"/>
  <c r="AS188" i="57"/>
  <c r="AT191" i="57"/>
  <c r="CE191" i="57"/>
  <c r="BY194" i="57"/>
  <c r="BF194" i="57"/>
  <c r="CG197" i="57"/>
  <c r="AV197" i="57"/>
  <c r="BA200" i="57"/>
  <c r="CK200" i="57"/>
  <c r="AX203" i="57"/>
  <c r="CH203" i="57"/>
  <c r="CI206" i="57"/>
  <c r="AY206" i="57"/>
  <c r="CG209" i="57"/>
  <c r="AV209" i="57"/>
  <c r="CD212" i="57"/>
  <c r="AS212" i="57"/>
  <c r="AT215" i="57"/>
  <c r="CE215" i="57"/>
  <c r="AY218" i="57"/>
  <c r="CI218" i="57"/>
  <c r="AZ221" i="57"/>
  <c r="CJ221" i="57"/>
  <c r="AW224" i="57"/>
  <c r="BB227" i="57"/>
  <c r="BC227" i="57"/>
  <c r="AY230" i="57"/>
  <c r="CI230" i="57"/>
  <c r="CG233" i="57"/>
  <c r="AV233" i="57"/>
  <c r="CK236" i="57"/>
  <c r="BA236" i="57"/>
  <c r="CH239" i="57"/>
  <c r="AX239" i="57"/>
  <c r="BY242" i="57"/>
  <c r="BF242" i="57"/>
  <c r="CJ245" i="57"/>
  <c r="AZ245" i="57"/>
  <c r="BA248" i="57"/>
  <c r="CK248" i="57"/>
  <c r="CH251" i="57"/>
  <c r="AX251" i="57"/>
  <c r="BY254" i="57"/>
  <c r="BF254" i="57"/>
  <c r="CG257" i="57"/>
  <c r="AV257" i="57"/>
  <c r="BA260" i="57"/>
  <c r="CK260" i="57"/>
  <c r="CH263" i="57"/>
  <c r="AX263" i="57"/>
  <c r="CF266" i="57"/>
  <c r="AU266" i="57"/>
  <c r="AY266" i="57"/>
  <c r="CI266" i="57"/>
  <c r="CJ269" i="57"/>
  <c r="AZ269" i="57"/>
  <c r="AW272" i="57"/>
  <c r="AT275" i="57"/>
  <c r="CE275" i="57"/>
  <c r="BB275" i="57"/>
  <c r="BC275" i="57"/>
  <c r="AY278" i="57"/>
  <c r="CI278" i="57"/>
  <c r="AZ281" i="57"/>
  <c r="CJ281" i="57"/>
  <c r="CD284" i="57"/>
  <c r="AS284" i="57"/>
  <c r="BB287" i="57"/>
  <c r="BC287" i="57"/>
  <c r="AY290" i="57"/>
  <c r="CI290" i="57"/>
  <c r="AR293" i="57"/>
  <c r="AW296" i="57"/>
  <c r="BB299" i="57"/>
  <c r="BC299" i="57"/>
  <c r="BF302" i="57"/>
  <c r="BY302" i="57"/>
  <c r="AZ305" i="57"/>
  <c r="CJ305" i="57"/>
  <c r="CD308" i="57"/>
  <c r="AS308" i="57"/>
  <c r="BB311" i="57"/>
  <c r="BC311" i="57"/>
  <c r="AU314" i="57"/>
  <c r="CF314" i="57"/>
  <c r="CG317" i="57"/>
  <c r="AV317" i="57"/>
  <c r="AW320" i="57"/>
  <c r="CH323" i="57"/>
  <c r="AX323" i="57"/>
  <c r="CF326" i="57"/>
  <c r="AU326" i="57"/>
  <c r="AV329" i="57"/>
  <c r="CG329" i="57"/>
  <c r="AW332" i="57"/>
  <c r="AT335" i="57"/>
  <c r="CE335" i="57"/>
  <c r="BY338" i="57"/>
  <c r="BF338" i="57"/>
  <c r="CJ341" i="57"/>
  <c r="AZ341" i="57"/>
  <c r="AW344" i="57"/>
  <c r="AT347" i="57"/>
  <c r="CE347" i="57"/>
  <c r="BB347" i="57"/>
  <c r="BC347" i="57"/>
  <c r="BF350" i="57"/>
  <c r="BY350" i="57"/>
  <c r="AR353" i="57"/>
  <c r="CJ353" i="57"/>
  <c r="AZ353" i="57"/>
  <c r="AW356" i="57"/>
  <c r="CH359" i="57"/>
  <c r="AX359" i="57"/>
  <c r="CI362" i="57"/>
  <c r="AY362" i="57"/>
  <c r="AR365" i="57"/>
  <c r="CK368" i="57"/>
  <c r="BA368" i="57"/>
  <c r="CH371" i="57"/>
  <c r="AX371" i="57"/>
  <c r="BY374" i="57"/>
  <c r="BF374" i="57"/>
  <c r="AR377" i="57"/>
  <c r="CK380" i="57"/>
  <c r="BA380" i="57"/>
  <c r="AX383" i="57"/>
  <c r="CH383" i="57"/>
  <c r="BY386" i="57"/>
  <c r="BF386" i="57"/>
  <c r="AR389" i="57"/>
  <c r="CG389" i="57"/>
  <c r="AV389" i="57"/>
  <c r="AW392" i="57"/>
  <c r="AT395" i="57"/>
  <c r="CE395" i="57"/>
  <c r="BF398" i="57"/>
  <c r="BY398" i="57"/>
  <c r="CJ401" i="57"/>
  <c r="AZ401" i="57"/>
  <c r="CK404" i="57"/>
  <c r="BA404" i="57"/>
  <c r="CH407" i="57"/>
  <c r="AX407" i="57"/>
  <c r="CI410" i="57"/>
  <c r="AY410" i="57"/>
  <c r="AV413" i="57"/>
  <c r="CG413" i="57"/>
  <c r="AW416" i="57"/>
  <c r="CH419" i="57"/>
  <c r="AX419" i="57"/>
  <c r="CF422" i="57"/>
  <c r="AU422" i="57"/>
  <c r="BY422" i="57"/>
  <c r="BF422" i="57"/>
  <c r="AR425" i="57"/>
  <c r="AZ425" i="57"/>
  <c r="CJ425" i="57"/>
  <c r="AS428" i="57"/>
  <c r="CD428" i="57"/>
  <c r="CK428" i="57"/>
  <c r="BA428" i="57"/>
  <c r="BB431" i="57"/>
  <c r="BC431" i="57"/>
  <c r="BY434" i="57"/>
  <c r="BF434" i="57"/>
  <c r="AR437" i="57"/>
  <c r="AZ437" i="57"/>
  <c r="CJ437" i="57"/>
  <c r="AW440" i="57"/>
  <c r="BB443" i="57"/>
  <c r="BC443" i="57"/>
  <c r="CH386" i="36"/>
  <c r="X13" i="36"/>
  <c r="CE386" i="36"/>
  <c r="CK68" i="57"/>
  <c r="BA68" i="57"/>
  <c r="CF71" i="57"/>
  <c r="AU71" i="57"/>
  <c r="AY71" i="57"/>
  <c r="CI71" i="57"/>
  <c r="BY71" i="57"/>
  <c r="BF71" i="57"/>
  <c r="AR74" i="57"/>
  <c r="CG74" i="57"/>
  <c r="AV74" i="57"/>
  <c r="CJ74" i="57"/>
  <c r="AZ74" i="57"/>
  <c r="AS77" i="57"/>
  <c r="CD77" i="57"/>
  <c r="AW77" i="57"/>
  <c r="CK77" i="57"/>
  <c r="BA77" i="57"/>
  <c r="AT80" i="57"/>
  <c r="CE80" i="57"/>
  <c r="AX80" i="57"/>
  <c r="CH80" i="57"/>
  <c r="BB80" i="57"/>
  <c r="BC80" i="57"/>
  <c r="CF83" i="57"/>
  <c r="AU83" i="57"/>
  <c r="CI83" i="57"/>
  <c r="AY83" i="57"/>
  <c r="BY83" i="57"/>
  <c r="BF83" i="57"/>
  <c r="AR86" i="57"/>
  <c r="CG86" i="57"/>
  <c r="AV86" i="57"/>
  <c r="AZ86" i="57"/>
  <c r="CJ86" i="57"/>
  <c r="CD89" i="57"/>
  <c r="AS89" i="57"/>
  <c r="AW89" i="57"/>
  <c r="CK89" i="57"/>
  <c r="BA89" i="57"/>
  <c r="AT92" i="57"/>
  <c r="CE92" i="57"/>
  <c r="AX92" i="57"/>
  <c r="CH92" i="57"/>
  <c r="BB92" i="57"/>
  <c r="BC92" i="57"/>
  <c r="CF95" i="57"/>
  <c r="AU95" i="57"/>
  <c r="AY95" i="57"/>
  <c r="CI95" i="57"/>
  <c r="BF95" i="57"/>
  <c r="BY95" i="57"/>
  <c r="AR98" i="57"/>
  <c r="CG98" i="57"/>
  <c r="AV98" i="57"/>
  <c r="CJ98" i="57"/>
  <c r="AZ98" i="57"/>
  <c r="CD101" i="57"/>
  <c r="AS101" i="57"/>
  <c r="AW101" i="57"/>
  <c r="BA101" i="57"/>
  <c r="CK101" i="57"/>
  <c r="AT104" i="57"/>
  <c r="CE104" i="57"/>
  <c r="CH104" i="57"/>
  <c r="AX104" i="57"/>
  <c r="BB104" i="57"/>
  <c r="BC104" i="57"/>
  <c r="CF107" i="57"/>
  <c r="AU107" i="57"/>
  <c r="CI107" i="57"/>
  <c r="AY107" i="57"/>
  <c r="BY107" i="57"/>
  <c r="BF107" i="57"/>
  <c r="AR110" i="57"/>
  <c r="AV110" i="57"/>
  <c r="CG110" i="57"/>
  <c r="AZ110" i="57"/>
  <c r="CJ110" i="57"/>
  <c r="CD113" i="57"/>
  <c r="AS113" i="57"/>
  <c r="AW113" i="57"/>
  <c r="CK113" i="57"/>
  <c r="BA113" i="57"/>
  <c r="AT116" i="57"/>
  <c r="CE116" i="57"/>
  <c r="CH116" i="57"/>
  <c r="AX116" i="57"/>
  <c r="BB116" i="57"/>
  <c r="BC116" i="57"/>
  <c r="AU119" i="57"/>
  <c r="CF119" i="57"/>
  <c r="CI119" i="57"/>
  <c r="AY119" i="57"/>
  <c r="BY119" i="57"/>
  <c r="BF119" i="57"/>
  <c r="AR122" i="57"/>
  <c r="CG122" i="57"/>
  <c r="AV122" i="57"/>
  <c r="CJ122" i="57"/>
  <c r="AZ122" i="57"/>
  <c r="CD125" i="57"/>
  <c r="AS125" i="57"/>
  <c r="AW125" i="57"/>
  <c r="CK125" i="57"/>
  <c r="BA125" i="57"/>
  <c r="AT128" i="57"/>
  <c r="CE128" i="57"/>
  <c r="AX128" i="57"/>
  <c r="CH128" i="57"/>
  <c r="BB128" i="57"/>
  <c r="BC128" i="57"/>
  <c r="CF131" i="57"/>
  <c r="AU131" i="57"/>
  <c r="CI131" i="57"/>
  <c r="AY131" i="57"/>
  <c r="BY131" i="57"/>
  <c r="BF131" i="57"/>
  <c r="AR134" i="57"/>
  <c r="CG134" i="57"/>
  <c r="AV134" i="57"/>
  <c r="CJ134" i="57"/>
  <c r="AZ134" i="57"/>
  <c r="CD137" i="57"/>
  <c r="AS137" i="57"/>
  <c r="AW137" i="57"/>
  <c r="BA137" i="57"/>
  <c r="CK137" i="57"/>
  <c r="AT140" i="57"/>
  <c r="CE140" i="57"/>
  <c r="AX140" i="57"/>
  <c r="CH140" i="57"/>
  <c r="BB140" i="57"/>
  <c r="BC140" i="57"/>
  <c r="AU143" i="57"/>
  <c r="CF143" i="57"/>
  <c r="AY143" i="57"/>
  <c r="CI143" i="57"/>
  <c r="BY143" i="57"/>
  <c r="BF143" i="57"/>
  <c r="AR146" i="57"/>
  <c r="CG146" i="57"/>
  <c r="AV146" i="57"/>
  <c r="AZ146" i="57"/>
  <c r="CJ146" i="57"/>
  <c r="AS149" i="57"/>
  <c r="CD149" i="57"/>
  <c r="AW149" i="57"/>
  <c r="BA149" i="57"/>
  <c r="CK149" i="57"/>
  <c r="AT152" i="57"/>
  <c r="CE152" i="57"/>
  <c r="AX152" i="57"/>
  <c r="CH152" i="57"/>
  <c r="BB152" i="57"/>
  <c r="BC152" i="57"/>
  <c r="CF155" i="57"/>
  <c r="AU155" i="57"/>
  <c r="AY155" i="57"/>
  <c r="CI155" i="57"/>
  <c r="BY155" i="57"/>
  <c r="BF155" i="57"/>
  <c r="AR158" i="57"/>
  <c r="AV158" i="57"/>
  <c r="CG158" i="57"/>
  <c r="CJ158" i="57"/>
  <c r="AZ158" i="57"/>
  <c r="AS161" i="57"/>
  <c r="CD161" i="57"/>
  <c r="AW161" i="57"/>
  <c r="CK161" i="57"/>
  <c r="BA161" i="57"/>
  <c r="AT164" i="57"/>
  <c r="CE164" i="57"/>
  <c r="AX164" i="57"/>
  <c r="CH164" i="57"/>
  <c r="BB164" i="57"/>
  <c r="BC164" i="57"/>
  <c r="CF167" i="57"/>
  <c r="AU167" i="57"/>
  <c r="CI167" i="57"/>
  <c r="AY167" i="57"/>
  <c r="BY167" i="57"/>
  <c r="BF167" i="57"/>
  <c r="AR170" i="57"/>
  <c r="AV170" i="57"/>
  <c r="CG170" i="57"/>
  <c r="CJ170" i="57"/>
  <c r="AZ170" i="57"/>
  <c r="CD173" i="57"/>
  <c r="AS173" i="57"/>
  <c r="AW173" i="57"/>
  <c r="CK173" i="57"/>
  <c r="BA173" i="57"/>
  <c r="AT176" i="57"/>
  <c r="CE176" i="57"/>
  <c r="CH176" i="57"/>
  <c r="AX176" i="57"/>
  <c r="BB176" i="57"/>
  <c r="BC176" i="57"/>
  <c r="CF179" i="57"/>
  <c r="AU179" i="57"/>
  <c r="CI179" i="57"/>
  <c r="AY179" i="57"/>
  <c r="BF179" i="57"/>
  <c r="BY179" i="57"/>
  <c r="AR182" i="57"/>
  <c r="CG182" i="57"/>
  <c r="AV182" i="57"/>
  <c r="CJ182" i="57"/>
  <c r="AZ182" i="57"/>
  <c r="CD185" i="57"/>
  <c r="AS185" i="57"/>
  <c r="AW185" i="57"/>
  <c r="BA185" i="57"/>
  <c r="CK185" i="57"/>
  <c r="AT188" i="57"/>
  <c r="CE188" i="57"/>
  <c r="AX188" i="57"/>
  <c r="CH188" i="57"/>
  <c r="BB188" i="57"/>
  <c r="BC188" i="57"/>
  <c r="CF191" i="57"/>
  <c r="AU191" i="57"/>
  <c r="AY191" i="57"/>
  <c r="CI191" i="57"/>
  <c r="BY191" i="57"/>
  <c r="BF191" i="57"/>
  <c r="AR194" i="57"/>
  <c r="AV194" i="57"/>
  <c r="CG194" i="57"/>
  <c r="CJ194" i="57"/>
  <c r="AZ194" i="57"/>
  <c r="CD197" i="57"/>
  <c r="AS197" i="57"/>
  <c r="AW197" i="57"/>
  <c r="CK197" i="57"/>
  <c r="BA197" i="57"/>
  <c r="AT200" i="57"/>
  <c r="CE200" i="57"/>
  <c r="CH200" i="57"/>
  <c r="AX200" i="57"/>
  <c r="BB200" i="57"/>
  <c r="BC200" i="57"/>
  <c r="CF203" i="57"/>
  <c r="AU203" i="57"/>
  <c r="CI203" i="57"/>
  <c r="AY203" i="57"/>
  <c r="BY203" i="57"/>
  <c r="BF203" i="57"/>
  <c r="AR206" i="57"/>
  <c r="CG206" i="57"/>
  <c r="AV206" i="57"/>
  <c r="AZ206" i="57"/>
  <c r="CJ206" i="57"/>
  <c r="CD209" i="57"/>
  <c r="AS209" i="57"/>
  <c r="AW209" i="57"/>
  <c r="CK209" i="57"/>
  <c r="BA209" i="57"/>
  <c r="AT212" i="57"/>
  <c r="CE212" i="57"/>
  <c r="AX212" i="57"/>
  <c r="CH212" i="57"/>
  <c r="BB212" i="57"/>
  <c r="BC212" i="57"/>
  <c r="CF215" i="57"/>
  <c r="AU215" i="57"/>
  <c r="AY215" i="57"/>
  <c r="CI215" i="57"/>
  <c r="BY215" i="57"/>
  <c r="BF215" i="57"/>
  <c r="AR218" i="57"/>
  <c r="CG218" i="57"/>
  <c r="AV218" i="57"/>
  <c r="AZ218" i="57"/>
  <c r="CJ218" i="57"/>
  <c r="CD221" i="57"/>
  <c r="AS221" i="57"/>
  <c r="AW221" i="57"/>
  <c r="BA221" i="57"/>
  <c r="CK221" i="57"/>
  <c r="AT224" i="57"/>
  <c r="CE224" i="57"/>
  <c r="CH224" i="57"/>
  <c r="AX224" i="57"/>
  <c r="BB224" i="57"/>
  <c r="BC224" i="57"/>
  <c r="AU227" i="57"/>
  <c r="CF227" i="57"/>
  <c r="CI227" i="57"/>
  <c r="AY227" i="57"/>
  <c r="BY227" i="57"/>
  <c r="BF227" i="57"/>
  <c r="AR230" i="57"/>
  <c r="CG230" i="57"/>
  <c r="AV230" i="57"/>
  <c r="CJ230" i="57"/>
  <c r="AZ230" i="57"/>
  <c r="CD233" i="57"/>
  <c r="AS233" i="57"/>
  <c r="AW233" i="57"/>
  <c r="CK233" i="57"/>
  <c r="BA233" i="57"/>
  <c r="AT236" i="57"/>
  <c r="CE236" i="57"/>
  <c r="AX236" i="57"/>
  <c r="CH236" i="57"/>
  <c r="BB236" i="57"/>
  <c r="BC236" i="57"/>
  <c r="CF239" i="57"/>
  <c r="AU239" i="57"/>
  <c r="CI239" i="57"/>
  <c r="AY239" i="57"/>
  <c r="BF239" i="57"/>
  <c r="BY239" i="57"/>
  <c r="AR242" i="57"/>
  <c r="CG242" i="57"/>
  <c r="AV242" i="57"/>
  <c r="CJ242" i="57"/>
  <c r="AZ242" i="57"/>
  <c r="CD245" i="57"/>
  <c r="AS245" i="57"/>
  <c r="AW245" i="57"/>
  <c r="CK245" i="57"/>
  <c r="BA245" i="57"/>
  <c r="AT248" i="57"/>
  <c r="CE248" i="57"/>
  <c r="AX248" i="57"/>
  <c r="CH248" i="57"/>
  <c r="BB248" i="57"/>
  <c r="BC248" i="57"/>
  <c r="AU251" i="57"/>
  <c r="CF251" i="57"/>
  <c r="AY251" i="57"/>
  <c r="CI251" i="57"/>
  <c r="BY251" i="57"/>
  <c r="BF251" i="57"/>
  <c r="AR254" i="57"/>
  <c r="CG254" i="57"/>
  <c r="AV254" i="57"/>
  <c r="CJ254" i="57"/>
  <c r="AZ254" i="57"/>
  <c r="AS257" i="57"/>
  <c r="CD257" i="57"/>
  <c r="AW257" i="57"/>
  <c r="CK257" i="57"/>
  <c r="BA257" i="57"/>
  <c r="AT260" i="57"/>
  <c r="CE260" i="57"/>
  <c r="AX260" i="57"/>
  <c r="CH260" i="57"/>
  <c r="BB260" i="57"/>
  <c r="BC260" i="57"/>
  <c r="AU263" i="57"/>
  <c r="CF263" i="57"/>
  <c r="CI263" i="57"/>
  <c r="AY263" i="57"/>
  <c r="BF263" i="57"/>
  <c r="BY263" i="57"/>
  <c r="AR266" i="57"/>
  <c r="CG266" i="57"/>
  <c r="AV266" i="57"/>
  <c r="AZ266" i="57"/>
  <c r="CJ266" i="57"/>
  <c r="CD269" i="57"/>
  <c r="AS269" i="57"/>
  <c r="AW269" i="57"/>
  <c r="BA269" i="57"/>
  <c r="CK269" i="57"/>
  <c r="AT272" i="57"/>
  <c r="CE272" i="57"/>
  <c r="AX272" i="57"/>
  <c r="CH272" i="57"/>
  <c r="BB272" i="57"/>
  <c r="BC272" i="57"/>
  <c r="CF275" i="57"/>
  <c r="AU275" i="57"/>
  <c r="CI275" i="57"/>
  <c r="AY275" i="57"/>
  <c r="BF275" i="57"/>
  <c r="BY275" i="57"/>
  <c r="AR278" i="57"/>
  <c r="AV278" i="57"/>
  <c r="CG278" i="57"/>
  <c r="CJ278" i="57"/>
  <c r="AZ278" i="57"/>
  <c r="AS281" i="57"/>
  <c r="CD281" i="57"/>
  <c r="AW281" i="57"/>
  <c r="CK281" i="57"/>
  <c r="BA281" i="57"/>
  <c r="AT284" i="57"/>
  <c r="CE284" i="57"/>
  <c r="AX284" i="57"/>
  <c r="CH284" i="57"/>
  <c r="BB284" i="57"/>
  <c r="BC284" i="57"/>
  <c r="AU287" i="57"/>
  <c r="CF287" i="57"/>
  <c r="AY287" i="57"/>
  <c r="CI287" i="57"/>
  <c r="BY287" i="57"/>
  <c r="BF287" i="57"/>
  <c r="AR290" i="57"/>
  <c r="AV290" i="57"/>
  <c r="CG290" i="57"/>
  <c r="CJ290" i="57"/>
  <c r="AZ290" i="57"/>
  <c r="CD293" i="57"/>
  <c r="AS293" i="57"/>
  <c r="AW293" i="57"/>
  <c r="BA293" i="57"/>
  <c r="CK293" i="57"/>
  <c r="AT296" i="57"/>
  <c r="CE296" i="57"/>
  <c r="CH296" i="57"/>
  <c r="AX296" i="57"/>
  <c r="BB296" i="57"/>
  <c r="BC296" i="57"/>
  <c r="CF299" i="57"/>
  <c r="AU299" i="57"/>
  <c r="CI299" i="57"/>
  <c r="AY299" i="57"/>
  <c r="BY299" i="57"/>
  <c r="BF299" i="57"/>
  <c r="AR302" i="57"/>
  <c r="AV302" i="57"/>
  <c r="CG302" i="57"/>
  <c r="AZ302" i="57"/>
  <c r="CJ302" i="57"/>
  <c r="AS305" i="57"/>
  <c r="CD305" i="57"/>
  <c r="AW305" i="57"/>
  <c r="BA305" i="57"/>
  <c r="CK305" i="57"/>
  <c r="AT308" i="57"/>
  <c r="CE308" i="57"/>
  <c r="AX308" i="57"/>
  <c r="CH308" i="57"/>
  <c r="BB308" i="57"/>
  <c r="BC308" i="57"/>
  <c r="AU311" i="57"/>
  <c r="CF311" i="57"/>
  <c r="AY311" i="57"/>
  <c r="CI311" i="57"/>
  <c r="BY311" i="57"/>
  <c r="BF311" i="57"/>
  <c r="AR314" i="57"/>
  <c r="CG314" i="57"/>
  <c r="AV314" i="57"/>
  <c r="CJ314" i="57"/>
  <c r="AZ314" i="57"/>
  <c r="CD317" i="57"/>
  <c r="AS317" i="57"/>
  <c r="AW317" i="57"/>
  <c r="CK317" i="57"/>
  <c r="BA317" i="57"/>
  <c r="AT320" i="57"/>
  <c r="CE320" i="57"/>
  <c r="CH320" i="57"/>
  <c r="AX320" i="57"/>
  <c r="BB320" i="57"/>
  <c r="BC320" i="57"/>
  <c r="CF323" i="57"/>
  <c r="AU323" i="57"/>
  <c r="AY323" i="57"/>
  <c r="CI323" i="57"/>
  <c r="BF323" i="57"/>
  <c r="BY323" i="57"/>
  <c r="AR326" i="57"/>
  <c r="CG326" i="57"/>
  <c r="AV326" i="57"/>
  <c r="CJ326" i="57"/>
  <c r="AZ326" i="57"/>
  <c r="CD329" i="57"/>
  <c r="AS329" i="57"/>
  <c r="AW329" i="57"/>
  <c r="BA329" i="57"/>
  <c r="CK329" i="57"/>
  <c r="AT332" i="57"/>
  <c r="CE332" i="57"/>
  <c r="CH332" i="57"/>
  <c r="AX332" i="57"/>
  <c r="BB332" i="57"/>
  <c r="BC332" i="57"/>
  <c r="CF335" i="57"/>
  <c r="AU335" i="57"/>
  <c r="CI335" i="57"/>
  <c r="AY335" i="57"/>
  <c r="BY335" i="57"/>
  <c r="BF335" i="57"/>
  <c r="AR338" i="57"/>
  <c r="AV338" i="57"/>
  <c r="CG338" i="57"/>
  <c r="CJ338" i="57"/>
  <c r="AZ338" i="57"/>
  <c r="AS341" i="57"/>
  <c r="CD341" i="57"/>
  <c r="AW341" i="57"/>
  <c r="BA341" i="57"/>
  <c r="CK341" i="57"/>
  <c r="AT344" i="57"/>
  <c r="CE344" i="57"/>
  <c r="AX344" i="57"/>
  <c r="CH344" i="57"/>
  <c r="BB344" i="57"/>
  <c r="BC344" i="57"/>
  <c r="CF347" i="57"/>
  <c r="AU347" i="57"/>
  <c r="AY347" i="57"/>
  <c r="CI347" i="57"/>
  <c r="BF347" i="57"/>
  <c r="BY347" i="57"/>
  <c r="AR350" i="57"/>
  <c r="CG350" i="57"/>
  <c r="AV350" i="57"/>
  <c r="AZ350" i="57"/>
  <c r="CJ350" i="57"/>
  <c r="CD353" i="57"/>
  <c r="AS353" i="57"/>
  <c r="AW353" i="57"/>
  <c r="CK353" i="57"/>
  <c r="BA353" i="57"/>
  <c r="AT356" i="57"/>
  <c r="CE356" i="57"/>
  <c r="CH356" i="57"/>
  <c r="AX356" i="57"/>
  <c r="BB356" i="57"/>
  <c r="BC356" i="57"/>
  <c r="AU359" i="57"/>
  <c r="CF359" i="57"/>
  <c r="AY359" i="57"/>
  <c r="CI359" i="57"/>
  <c r="BF359" i="57"/>
  <c r="BY359" i="57"/>
  <c r="AR362" i="57"/>
  <c r="CG362" i="57"/>
  <c r="AV362" i="57"/>
  <c r="CJ362" i="57"/>
  <c r="AZ362" i="57"/>
  <c r="CD365" i="57"/>
  <c r="AS365" i="57"/>
  <c r="AW365" i="57"/>
  <c r="CK365" i="57"/>
  <c r="BA365" i="57"/>
  <c r="AT368" i="57"/>
  <c r="CE368" i="57"/>
  <c r="CH368" i="57"/>
  <c r="AX368" i="57"/>
  <c r="BB368" i="57"/>
  <c r="BC368" i="57"/>
  <c r="AU371" i="57"/>
  <c r="CF371" i="57"/>
  <c r="AY371" i="57"/>
  <c r="CI371" i="57"/>
  <c r="BF371" i="57"/>
  <c r="BY371" i="57"/>
  <c r="AR374" i="57"/>
  <c r="CG374" i="57"/>
  <c r="AV374" i="57"/>
  <c r="AZ374" i="57"/>
  <c r="CJ374" i="57"/>
  <c r="CD377" i="57"/>
  <c r="AS377" i="57"/>
  <c r="AW377" i="57"/>
  <c r="CK377" i="57"/>
  <c r="BA377" i="57"/>
  <c r="AT380" i="57"/>
  <c r="CE380" i="57"/>
  <c r="CH380" i="57"/>
  <c r="AX380" i="57"/>
  <c r="BB380" i="57"/>
  <c r="BC380" i="57"/>
  <c r="CF383" i="57"/>
  <c r="AU383" i="57"/>
  <c r="AY383" i="57"/>
  <c r="CI383" i="57"/>
  <c r="BY383" i="57"/>
  <c r="BF383" i="57"/>
  <c r="AR386" i="57"/>
  <c r="CG386" i="57"/>
  <c r="AV386" i="57"/>
  <c r="CJ386" i="57"/>
  <c r="AZ386" i="57"/>
  <c r="CD389" i="57"/>
  <c r="AS389" i="57"/>
  <c r="AW389" i="57"/>
  <c r="BA389" i="57"/>
  <c r="CK389" i="57"/>
  <c r="AT392" i="57"/>
  <c r="CE392" i="57"/>
  <c r="CH392" i="57"/>
  <c r="AX392" i="57"/>
  <c r="BB392" i="57"/>
  <c r="BC392" i="57"/>
  <c r="CF395" i="57"/>
  <c r="AU395" i="57"/>
  <c r="CI395" i="57"/>
  <c r="AY395" i="57"/>
  <c r="BY395" i="57"/>
  <c r="BF395" i="57"/>
  <c r="AR398" i="57"/>
  <c r="CG398" i="57"/>
  <c r="AV398" i="57"/>
  <c r="CJ398" i="57"/>
  <c r="AZ398" i="57"/>
  <c r="AS401" i="57"/>
  <c r="CD401" i="57"/>
  <c r="AW401" i="57"/>
  <c r="CK401" i="57"/>
  <c r="BA401" i="57"/>
  <c r="AT404" i="57"/>
  <c r="CE404" i="57"/>
  <c r="AX404" i="57"/>
  <c r="CH404" i="57"/>
  <c r="BB404" i="57"/>
  <c r="BC404" i="57"/>
  <c r="CF407" i="57"/>
  <c r="AU407" i="57"/>
  <c r="AY407" i="57"/>
  <c r="CI407" i="57"/>
  <c r="BF407" i="57"/>
  <c r="BY407" i="57"/>
  <c r="AR410" i="57"/>
  <c r="AV410" i="57"/>
  <c r="CG410" i="57"/>
  <c r="AZ410" i="57"/>
  <c r="CJ410" i="57"/>
  <c r="AS413" i="57"/>
  <c r="CD413" i="57"/>
  <c r="AW413" i="57"/>
  <c r="BA413" i="57"/>
  <c r="CK413" i="57"/>
  <c r="AT416" i="57"/>
  <c r="CE416" i="57"/>
  <c r="CH416" i="57"/>
  <c r="AX416" i="57"/>
  <c r="BB416" i="57"/>
  <c r="BC416" i="57"/>
  <c r="AU419" i="57"/>
  <c r="CF419" i="57"/>
  <c r="CI419" i="57"/>
  <c r="AY419" i="57"/>
  <c r="BY419" i="57"/>
  <c r="BF419" i="57"/>
  <c r="AR422" i="57"/>
  <c r="CG422" i="57"/>
  <c r="AV422" i="57"/>
  <c r="AZ422" i="57"/>
  <c r="CJ422" i="57"/>
  <c r="CD425" i="57"/>
  <c r="AS425" i="57"/>
  <c r="AW425" i="57"/>
  <c r="CK425" i="57"/>
  <c r="BA425" i="57"/>
  <c r="AT428" i="57"/>
  <c r="CE428" i="57"/>
  <c r="AX428" i="57"/>
  <c r="CH428" i="57"/>
  <c r="BB428" i="57"/>
  <c r="BC428" i="57"/>
  <c r="CF431" i="57"/>
  <c r="AU431" i="57"/>
  <c r="CI431" i="57"/>
  <c r="AY431" i="57"/>
  <c r="BY431" i="57"/>
  <c r="BF431" i="57"/>
  <c r="AR434" i="57"/>
  <c r="CG434" i="57"/>
  <c r="AV434" i="57"/>
  <c r="CJ434" i="57"/>
  <c r="AZ434" i="57"/>
  <c r="CD437" i="57"/>
  <c r="AS437" i="57"/>
  <c r="AW437" i="57"/>
  <c r="BA437" i="57"/>
  <c r="CK437" i="57"/>
  <c r="AT440" i="57"/>
  <c r="CE440" i="57"/>
  <c r="AX440" i="57"/>
  <c r="CH440" i="57"/>
  <c r="BB440" i="57"/>
  <c r="BC440" i="57"/>
  <c r="AU443" i="57"/>
  <c r="CF443" i="57"/>
  <c r="AY443" i="57"/>
  <c r="CI443" i="57"/>
  <c r="BY443" i="57"/>
  <c r="BF443" i="57"/>
  <c r="CC70" i="57"/>
  <c r="BJ70" i="57"/>
  <c r="BJ71" i="57"/>
  <c r="CC71" i="57"/>
  <c r="CB443" i="57"/>
  <c r="BI443" i="57"/>
  <c r="CB442" i="57"/>
  <c r="BI442" i="57"/>
  <c r="BI440" i="57"/>
  <c r="CB440" i="57"/>
  <c r="CB439" i="57"/>
  <c r="BI439" i="57"/>
  <c r="CB437" i="57"/>
  <c r="BI437" i="57"/>
  <c r="CB436" i="57"/>
  <c r="BI436" i="57"/>
  <c r="CB434" i="57"/>
  <c r="BI434" i="57"/>
  <c r="BI433" i="57"/>
  <c r="CB433" i="57"/>
  <c r="CB431" i="57"/>
  <c r="BI431" i="57"/>
  <c r="CB430" i="57"/>
  <c r="BI430" i="57"/>
  <c r="BI428" i="57"/>
  <c r="CB428" i="57"/>
  <c r="CB427" i="57"/>
  <c r="BI427" i="57"/>
  <c r="BI425" i="57"/>
  <c r="CB425" i="57"/>
  <c r="BI424" i="57"/>
  <c r="CB424" i="57"/>
  <c r="CB422" i="57"/>
  <c r="BI422" i="57"/>
  <c r="BI421" i="57"/>
  <c r="CB421" i="57"/>
  <c r="CB419" i="57"/>
  <c r="BI419" i="57"/>
  <c r="CB418" i="57"/>
  <c r="BI418" i="57"/>
  <c r="BI416" i="57"/>
  <c r="CB416" i="57"/>
  <c r="CB415" i="57"/>
  <c r="BI415" i="57"/>
  <c r="BI413" i="57"/>
  <c r="CB413" i="57"/>
  <c r="CB412" i="57"/>
  <c r="BI412" i="57"/>
  <c r="CB410" i="57"/>
  <c r="BI410" i="57"/>
  <c r="BI409" i="57"/>
  <c r="CB409" i="57"/>
  <c r="CB407" i="57"/>
  <c r="BI407" i="57"/>
  <c r="CB406" i="57"/>
  <c r="BI406" i="57"/>
  <c r="CB404" i="57"/>
  <c r="BI404" i="57"/>
  <c r="CB403" i="57"/>
  <c r="BI403" i="57"/>
  <c r="BI401" i="57"/>
  <c r="CB401" i="57"/>
  <c r="BI400" i="57"/>
  <c r="CB400" i="57"/>
  <c r="CB398" i="57"/>
  <c r="BI398" i="57"/>
  <c r="BI397" i="57"/>
  <c r="CB397" i="57"/>
  <c r="BI395" i="57"/>
  <c r="CB395" i="57"/>
  <c r="CB394" i="57"/>
  <c r="BI394" i="57"/>
  <c r="BI392" i="57"/>
  <c r="CB392" i="57"/>
  <c r="CB391" i="57"/>
  <c r="BI391" i="57"/>
  <c r="BI389" i="57"/>
  <c r="CB389" i="57"/>
  <c r="CB388" i="57"/>
  <c r="BI388" i="57"/>
  <c r="CB386" i="57"/>
  <c r="BI386" i="57"/>
  <c r="CB385" i="57"/>
  <c r="BI385" i="57"/>
  <c r="CB383" i="57"/>
  <c r="BI383" i="57"/>
  <c r="CB382" i="57"/>
  <c r="BI382" i="57"/>
  <c r="CB380" i="57"/>
  <c r="BI380" i="57"/>
  <c r="CB379" i="57"/>
  <c r="BI379" i="57"/>
  <c r="CB377" i="57"/>
  <c r="BI377" i="57"/>
  <c r="BI376" i="57"/>
  <c r="CB376" i="57"/>
  <c r="BI374" i="57"/>
  <c r="CB374" i="57"/>
  <c r="BI373" i="57"/>
  <c r="CB373" i="57"/>
  <c r="CB371" i="57"/>
  <c r="BI371" i="57"/>
  <c r="CB370" i="57"/>
  <c r="BI370" i="57"/>
  <c r="BI368" i="57"/>
  <c r="CB368" i="57"/>
  <c r="CB367" i="57"/>
  <c r="BI367" i="57"/>
  <c r="BI365" i="57"/>
  <c r="CB365" i="57"/>
  <c r="CB364" i="57"/>
  <c r="BI364" i="57"/>
  <c r="BI362" i="57"/>
  <c r="CB362" i="57"/>
  <c r="CB361" i="57"/>
  <c r="BI361" i="57"/>
  <c r="CB359" i="57"/>
  <c r="BI359" i="57"/>
  <c r="CB358" i="57"/>
  <c r="BI358" i="57"/>
  <c r="CB356" i="57"/>
  <c r="BI356" i="57"/>
  <c r="CB355" i="57"/>
  <c r="BI355" i="57"/>
  <c r="BI353" i="57"/>
  <c r="CB353" i="57"/>
  <c r="BI352" i="57"/>
  <c r="CB352" i="57"/>
  <c r="CB350" i="57"/>
  <c r="BI350" i="57"/>
  <c r="BI349" i="57"/>
  <c r="CB349" i="57"/>
  <c r="BI347" i="57"/>
  <c r="CB347" i="57"/>
  <c r="BI346" i="57"/>
  <c r="CB346" i="57"/>
  <c r="CB344" i="57"/>
  <c r="BI344" i="57"/>
  <c r="CB343" i="57"/>
  <c r="BI343" i="57"/>
  <c r="BI341" i="57"/>
  <c r="CB341" i="57"/>
  <c r="CB340" i="57"/>
  <c r="BI340" i="57"/>
  <c r="CB338" i="57"/>
  <c r="BI338" i="57"/>
  <c r="CB337" i="57"/>
  <c r="BI337" i="57"/>
  <c r="CB335" i="57"/>
  <c r="BI335" i="57"/>
  <c r="BI334" i="57"/>
  <c r="CB334" i="57"/>
  <c r="CB332" i="57"/>
  <c r="BI332" i="57"/>
  <c r="CB331" i="57"/>
  <c r="BI331" i="57"/>
  <c r="CB329" i="57"/>
  <c r="BI329" i="57"/>
  <c r="CB328" i="57"/>
  <c r="BI328" i="57"/>
  <c r="BI326" i="57"/>
  <c r="CB326" i="57"/>
  <c r="BI325" i="57"/>
  <c r="CB325" i="57"/>
  <c r="CB323" i="57"/>
  <c r="BI323" i="57"/>
  <c r="CB322" i="57"/>
  <c r="BI322" i="57"/>
  <c r="CB320" i="57"/>
  <c r="BI320" i="57"/>
  <c r="CB319" i="57"/>
  <c r="BI319" i="57"/>
  <c r="CB317" i="57"/>
  <c r="BI317" i="57"/>
  <c r="CB316" i="57"/>
  <c r="BI316" i="57"/>
  <c r="CB314" i="57"/>
  <c r="BI314" i="57"/>
  <c r="CB313" i="57"/>
  <c r="BI313" i="57"/>
  <c r="CB311" i="57"/>
  <c r="BI311" i="57"/>
  <c r="BI310" i="57"/>
  <c r="CB310" i="57"/>
  <c r="CB308" i="57"/>
  <c r="BI308" i="57"/>
  <c r="CB307" i="57"/>
  <c r="BI307" i="57"/>
  <c r="CB305" i="57"/>
  <c r="BI305" i="57"/>
  <c r="CB304" i="57"/>
  <c r="BI304" i="57"/>
  <c r="BI302" i="57"/>
  <c r="CB302" i="57"/>
  <c r="BI301" i="57"/>
  <c r="CB301" i="57"/>
  <c r="CB299" i="57"/>
  <c r="BI299" i="57"/>
  <c r="CB298" i="57"/>
  <c r="BI298" i="57"/>
  <c r="CB296" i="57"/>
  <c r="BI296" i="57"/>
  <c r="CB295" i="57"/>
  <c r="BI295" i="57"/>
  <c r="BI293" i="57"/>
  <c r="CB293" i="57"/>
  <c r="CB292" i="57"/>
  <c r="BI292" i="57"/>
  <c r="BI290" i="57"/>
  <c r="CB290" i="57"/>
  <c r="CB289" i="57"/>
  <c r="BI289" i="57"/>
  <c r="CB287" i="57"/>
  <c r="BI287" i="57"/>
  <c r="BI286" i="57"/>
  <c r="CB286" i="57"/>
  <c r="CB284" i="57"/>
  <c r="BI284" i="57"/>
  <c r="CB283" i="57"/>
  <c r="BI283" i="57"/>
  <c r="CB281" i="57"/>
  <c r="BI281" i="57"/>
  <c r="CB280" i="57"/>
  <c r="BI280" i="57"/>
  <c r="BI278" i="57"/>
  <c r="CB278" i="57"/>
  <c r="BI277" i="57"/>
  <c r="CB277" i="57"/>
  <c r="CB275" i="57"/>
  <c r="BI275" i="57"/>
  <c r="BI274" i="57"/>
  <c r="CB274" i="57"/>
  <c r="CB272" i="57"/>
  <c r="BI272" i="57"/>
  <c r="CB271" i="57"/>
  <c r="BI271" i="57"/>
  <c r="BI269" i="57"/>
  <c r="CB269" i="57"/>
  <c r="CB268" i="57"/>
  <c r="BI268" i="57"/>
  <c r="BI266" i="57"/>
  <c r="CB266" i="57"/>
  <c r="CB265" i="57"/>
  <c r="BI265" i="57"/>
  <c r="BI263" i="57"/>
  <c r="CB263" i="57"/>
  <c r="BI262" i="57"/>
  <c r="CB262" i="57"/>
  <c r="CB260" i="57"/>
  <c r="BI260" i="57"/>
  <c r="CB259" i="57"/>
  <c r="BI259" i="57"/>
  <c r="CB257" i="57"/>
  <c r="BI257" i="57"/>
  <c r="CB256" i="57"/>
  <c r="BI256" i="57"/>
  <c r="BI254" i="57"/>
  <c r="CB254" i="57"/>
  <c r="BI253" i="57"/>
  <c r="CB253" i="57"/>
  <c r="CB251" i="57"/>
  <c r="BI251" i="57"/>
  <c r="BI250" i="57"/>
  <c r="CB250" i="57"/>
  <c r="CB248" i="57"/>
  <c r="BI248" i="57"/>
  <c r="CB247" i="57"/>
  <c r="BI247" i="57"/>
  <c r="CB245" i="57"/>
  <c r="BI245" i="57"/>
  <c r="CB244" i="57"/>
  <c r="BI244" i="57"/>
  <c r="BI242" i="57"/>
  <c r="CB242" i="57"/>
  <c r="CB241" i="57"/>
  <c r="BI241" i="57"/>
  <c r="CB239" i="57"/>
  <c r="BI239" i="57"/>
  <c r="CB238" i="57"/>
  <c r="BI238" i="57"/>
  <c r="CB236" i="57"/>
  <c r="BI236" i="57"/>
  <c r="CB235" i="57"/>
  <c r="BI235" i="57"/>
  <c r="BI233" i="57"/>
  <c r="CB233" i="57"/>
  <c r="BI232" i="57"/>
  <c r="CB232" i="57"/>
  <c r="BI230" i="57"/>
  <c r="CB230" i="57"/>
  <c r="BI229" i="57"/>
  <c r="CB229" i="57"/>
  <c r="CB227" i="57"/>
  <c r="BI227" i="57"/>
  <c r="BI226" i="57"/>
  <c r="CB226" i="57"/>
  <c r="CB224" i="57"/>
  <c r="BI224" i="57"/>
  <c r="CB223" i="57"/>
  <c r="BI223" i="57"/>
  <c r="BI221" i="57"/>
  <c r="CB221" i="57"/>
  <c r="CB220" i="57"/>
  <c r="BI220" i="57"/>
  <c r="CB218" i="57"/>
  <c r="BI218" i="57"/>
  <c r="CB217" i="57"/>
  <c r="BI217" i="57"/>
  <c r="CB215" i="57"/>
  <c r="BI215" i="57"/>
  <c r="BI214" i="57"/>
  <c r="CB214" i="57"/>
  <c r="BI212" i="57"/>
  <c r="CB212" i="57"/>
  <c r="CB211" i="57"/>
  <c r="BI211" i="57"/>
  <c r="CB209" i="57"/>
  <c r="BI209" i="57"/>
  <c r="CB208" i="57"/>
  <c r="BI208" i="57"/>
  <c r="BI206" i="57"/>
  <c r="CB206" i="57"/>
  <c r="BI205" i="57"/>
  <c r="CB205" i="57"/>
  <c r="CB203" i="57"/>
  <c r="BI203" i="57"/>
  <c r="CB202" i="57"/>
  <c r="BI202" i="57"/>
  <c r="CB200" i="57"/>
  <c r="BI200" i="57"/>
  <c r="CB199" i="57"/>
  <c r="BI199" i="57"/>
  <c r="BI197" i="57"/>
  <c r="CB197" i="57"/>
  <c r="BI196" i="57"/>
  <c r="CB196" i="57"/>
  <c r="CB194" i="57"/>
  <c r="BI194" i="57"/>
  <c r="BI193" i="57"/>
  <c r="CB193" i="57"/>
  <c r="CB191" i="57"/>
  <c r="BI191" i="57"/>
  <c r="BI190" i="57"/>
  <c r="CB190" i="57"/>
  <c r="CB188" i="57"/>
  <c r="BI188" i="57"/>
  <c r="CB187" i="57"/>
  <c r="BI187" i="57"/>
  <c r="CB185" i="57"/>
  <c r="BI185" i="57"/>
  <c r="CB184" i="57"/>
  <c r="BI184" i="57"/>
  <c r="BI182" i="57"/>
  <c r="CB182" i="57"/>
  <c r="BI181" i="57"/>
  <c r="CB181" i="57"/>
  <c r="CB179" i="57"/>
  <c r="BI179" i="57"/>
  <c r="CB178" i="57"/>
  <c r="BI178" i="57"/>
  <c r="CB176" i="57"/>
  <c r="BI176" i="57"/>
  <c r="CB175" i="57"/>
  <c r="BI175" i="57"/>
  <c r="BI173" i="57"/>
  <c r="CB173" i="57"/>
  <c r="CB172" i="57"/>
  <c r="BI172" i="57"/>
  <c r="CB170" i="57"/>
  <c r="BI170" i="57"/>
  <c r="CB169" i="57"/>
  <c r="BI169" i="57"/>
  <c r="CB167" i="57"/>
  <c r="BI167" i="57"/>
  <c r="BI166" i="57"/>
  <c r="CB166" i="57"/>
  <c r="BI164" i="57"/>
  <c r="CB164" i="57"/>
  <c r="CB163" i="57"/>
  <c r="BI163" i="57"/>
  <c r="CB161" i="57"/>
  <c r="BI161" i="57"/>
  <c r="CB160" i="57"/>
  <c r="BI160" i="57"/>
  <c r="BI158" i="57"/>
  <c r="CB158" i="57"/>
  <c r="BI157" i="57"/>
  <c r="CB157" i="57"/>
  <c r="CB155" i="57"/>
  <c r="BI155" i="57"/>
  <c r="BI154" i="57"/>
  <c r="CB154" i="57"/>
  <c r="CB152" i="57"/>
  <c r="BI152" i="57"/>
  <c r="CB151" i="57"/>
  <c r="BI151" i="57"/>
  <c r="CB149" i="57"/>
  <c r="BI149" i="57"/>
  <c r="CB148" i="57"/>
  <c r="BI148" i="57"/>
  <c r="CB146" i="57"/>
  <c r="BI146" i="57"/>
  <c r="CB145" i="57"/>
  <c r="BI145" i="57"/>
  <c r="CB143" i="57"/>
  <c r="BI143" i="57"/>
  <c r="BI142" i="57"/>
  <c r="CB142" i="57"/>
  <c r="CB140" i="57"/>
  <c r="BI140" i="57"/>
  <c r="CB139" i="57"/>
  <c r="BI139" i="57"/>
  <c r="BI137" i="57"/>
  <c r="CB137" i="57"/>
  <c r="CB136" i="57"/>
  <c r="BI136" i="57"/>
  <c r="BI134" i="57"/>
  <c r="CB134" i="57"/>
  <c r="CB133" i="57"/>
  <c r="BI133" i="57"/>
  <c r="BI131" i="57"/>
  <c r="CB131" i="57"/>
  <c r="CB130" i="57"/>
  <c r="BI130" i="57"/>
  <c r="CB128" i="57"/>
  <c r="BI128" i="57"/>
  <c r="BI127" i="57"/>
  <c r="CB127" i="57"/>
  <c r="BI125" i="57"/>
  <c r="CB125" i="57"/>
  <c r="BI124" i="57"/>
  <c r="CB124" i="57"/>
  <c r="CB122" i="57"/>
  <c r="BI122" i="57"/>
  <c r="CB121" i="57"/>
  <c r="BI121" i="57"/>
  <c r="CB119" i="57"/>
  <c r="BI119" i="57"/>
  <c r="BI118" i="57"/>
  <c r="CB118" i="57"/>
  <c r="BI116" i="57"/>
  <c r="CB116" i="57"/>
  <c r="CB115" i="57"/>
  <c r="BI115" i="57"/>
  <c r="CB113" i="57"/>
  <c r="BI113" i="57"/>
  <c r="CB112" i="57"/>
  <c r="BI112" i="57"/>
  <c r="BI110" i="57"/>
  <c r="CB110" i="57"/>
  <c r="CB109" i="57"/>
  <c r="BI109" i="57"/>
  <c r="BI107" i="57"/>
  <c r="CB107" i="57"/>
  <c r="CB106" i="57"/>
  <c r="BI106" i="57"/>
  <c r="CB104" i="57"/>
  <c r="BI104" i="57"/>
  <c r="CB103" i="57"/>
  <c r="BI103" i="57"/>
  <c r="CB101" i="57"/>
  <c r="BI101" i="57"/>
  <c r="CB100" i="57"/>
  <c r="BI100" i="57"/>
  <c r="BI98" i="57"/>
  <c r="CB98" i="57"/>
  <c r="BI97" i="57"/>
  <c r="CB97" i="57"/>
  <c r="CB95" i="57"/>
  <c r="BI95" i="57"/>
  <c r="BI94" i="57"/>
  <c r="CB94" i="57"/>
  <c r="CB92" i="57"/>
  <c r="BI92" i="57"/>
  <c r="CB91" i="57"/>
  <c r="BI91" i="57"/>
  <c r="BI89" i="57"/>
  <c r="CB89" i="57"/>
  <c r="CB88" i="57"/>
  <c r="BI88" i="57"/>
  <c r="BI86" i="57"/>
  <c r="CB86" i="57"/>
  <c r="CB85" i="57"/>
  <c r="BI85" i="57"/>
  <c r="CB83" i="57"/>
  <c r="BI83" i="57"/>
  <c r="CB82" i="57"/>
  <c r="BI82" i="57"/>
  <c r="CB80" i="57"/>
  <c r="BI80" i="57"/>
  <c r="CB79" i="57"/>
  <c r="BI79" i="57"/>
  <c r="CB77" i="57"/>
  <c r="BI77" i="57"/>
  <c r="CB76" i="57"/>
  <c r="BI76" i="57"/>
  <c r="CB74" i="57"/>
  <c r="BI74" i="57"/>
  <c r="BI73" i="57"/>
  <c r="CB73" i="57"/>
  <c r="AD13" i="36"/>
  <c r="CJ386" i="36"/>
  <c r="AT74" i="57"/>
  <c r="CE74" i="57"/>
  <c r="BF77" i="57"/>
  <c r="BY77" i="57"/>
  <c r="CG80" i="57"/>
  <c r="AV80" i="57"/>
  <c r="CH86" i="57"/>
  <c r="AX86" i="57"/>
  <c r="CJ92" i="57"/>
  <c r="AZ92" i="57"/>
  <c r="AS95" i="57"/>
  <c r="CD95" i="57"/>
  <c r="AX98" i="57"/>
  <c r="CH98" i="57"/>
  <c r="CG104" i="57"/>
  <c r="AV104" i="57"/>
  <c r="AT110" i="57"/>
  <c r="CE110" i="57"/>
  <c r="BY113" i="57"/>
  <c r="BF113" i="57"/>
  <c r="CG116" i="57"/>
  <c r="AV116" i="57"/>
  <c r="BA119" i="57"/>
  <c r="CK119" i="57"/>
  <c r="CH122" i="57"/>
  <c r="AX122" i="57"/>
  <c r="CI125" i="57"/>
  <c r="AY125" i="57"/>
  <c r="AS131" i="57"/>
  <c r="CD131" i="57"/>
  <c r="AT134" i="57"/>
  <c r="CE134" i="57"/>
  <c r="BY137" i="57"/>
  <c r="BF137" i="57"/>
  <c r="AR140" i="57"/>
  <c r="CD143" i="57"/>
  <c r="AS143" i="57"/>
  <c r="AT146" i="57"/>
  <c r="CE146" i="57"/>
  <c r="CF149" i="57"/>
  <c r="AU149" i="57"/>
  <c r="AR152" i="57"/>
  <c r="AS155" i="57"/>
  <c r="CD155" i="57"/>
  <c r="AT158" i="57"/>
  <c r="CE158" i="57"/>
  <c r="CI161" i="57"/>
  <c r="AY161" i="57"/>
  <c r="CJ164" i="57"/>
  <c r="AZ164" i="57"/>
  <c r="BA167" i="57"/>
  <c r="CK167" i="57"/>
  <c r="CH170" i="57"/>
  <c r="AX170" i="57"/>
  <c r="AY173" i="57"/>
  <c r="CI173" i="57"/>
  <c r="CJ176" i="57"/>
  <c r="AZ176" i="57"/>
  <c r="AW179" i="57"/>
  <c r="BB182" i="57"/>
  <c r="BC182" i="57"/>
  <c r="BY185" i="57"/>
  <c r="BF185" i="57"/>
  <c r="AR188" i="57"/>
  <c r="AW191" i="57"/>
  <c r="CH194" i="57"/>
  <c r="AX194" i="57"/>
  <c r="BY197" i="57"/>
  <c r="BF197" i="57"/>
  <c r="CJ200" i="57"/>
  <c r="AZ200" i="57"/>
  <c r="AW203" i="57"/>
  <c r="AT206" i="57"/>
  <c r="CE206" i="57"/>
  <c r="BB206" i="57"/>
  <c r="BC206" i="57"/>
  <c r="CI209" i="57"/>
  <c r="AY209" i="57"/>
  <c r="CG212" i="57"/>
  <c r="AV212" i="57"/>
  <c r="AS215" i="57"/>
  <c r="CD215" i="57"/>
  <c r="AX218" i="57"/>
  <c r="CH218" i="57"/>
  <c r="CF221" i="57"/>
  <c r="AU221" i="57"/>
  <c r="AV224" i="57"/>
  <c r="CG224" i="57"/>
  <c r="AW227" i="57"/>
  <c r="CH230" i="57"/>
  <c r="AX230" i="57"/>
  <c r="CI233" i="57"/>
  <c r="AY233" i="57"/>
  <c r="CG236" i="57"/>
  <c r="AV236" i="57"/>
  <c r="CD239" i="57"/>
  <c r="AS239" i="57"/>
  <c r="CK239" i="57"/>
  <c r="BA239" i="57"/>
  <c r="AT242" i="57"/>
  <c r="CE242" i="57"/>
  <c r="AU245" i="57"/>
  <c r="CF245" i="57"/>
  <c r="AV248" i="57"/>
  <c r="CG248" i="57"/>
  <c r="AW251" i="57"/>
  <c r="AT254" i="57"/>
  <c r="CE254" i="57"/>
  <c r="CI257" i="57"/>
  <c r="AY257" i="57"/>
  <c r="CJ260" i="57"/>
  <c r="AZ260" i="57"/>
  <c r="AW263" i="57"/>
  <c r="AT266" i="57"/>
  <c r="CE266" i="57"/>
  <c r="CI269" i="57"/>
  <c r="AY269" i="57"/>
  <c r="CG272" i="57"/>
  <c r="AV272" i="57"/>
  <c r="CD275" i="57"/>
  <c r="AS275" i="57"/>
  <c r="BB278" i="57"/>
  <c r="BC278" i="57"/>
  <c r="BY281" i="57"/>
  <c r="BF281" i="57"/>
  <c r="CG284" i="57"/>
  <c r="AV284" i="57"/>
  <c r="AS287" i="57"/>
  <c r="CD287" i="57"/>
  <c r="BB290" i="57"/>
  <c r="BC290" i="57"/>
  <c r="BF293" i="57"/>
  <c r="BY293" i="57"/>
  <c r="AV296" i="57"/>
  <c r="CG296" i="57"/>
  <c r="CD299" i="57"/>
  <c r="AS299" i="57"/>
  <c r="BB302" i="57"/>
  <c r="BC302" i="57"/>
  <c r="AY305" i="57"/>
  <c r="CI305" i="57"/>
  <c r="CG308" i="57"/>
  <c r="AV308" i="57"/>
  <c r="CD311" i="57"/>
  <c r="AS311" i="57"/>
  <c r="AX314" i="57"/>
  <c r="CH314" i="57"/>
  <c r="CI317" i="57"/>
  <c r="AY317" i="57"/>
  <c r="CJ320" i="57"/>
  <c r="AZ320" i="57"/>
  <c r="BA323" i="57"/>
  <c r="CK323" i="57"/>
  <c r="AX326" i="57"/>
  <c r="CH326" i="57"/>
  <c r="CI329" i="57"/>
  <c r="AY329" i="57"/>
  <c r="AV332" i="57"/>
  <c r="CG332" i="57"/>
  <c r="AS335" i="57"/>
  <c r="CD335" i="57"/>
  <c r="AT338" i="57"/>
  <c r="CE338" i="57"/>
  <c r="CI341" i="57"/>
  <c r="AY341" i="57"/>
  <c r="AV344" i="57"/>
  <c r="CG344" i="57"/>
  <c r="AW347" i="57"/>
  <c r="BB350" i="57"/>
  <c r="BC350" i="57"/>
  <c r="AY353" i="57"/>
  <c r="CI353" i="57"/>
  <c r="AV356" i="57"/>
  <c r="CG356" i="57"/>
  <c r="AS359" i="57"/>
  <c r="CD359" i="57"/>
  <c r="BA359" i="57"/>
  <c r="CK359" i="57"/>
  <c r="AX362" i="57"/>
  <c r="CH362" i="57"/>
  <c r="AY365" i="57"/>
  <c r="CI365" i="57"/>
  <c r="AR368" i="57"/>
  <c r="AS371" i="57"/>
  <c r="CD371" i="57"/>
  <c r="BB374" i="57"/>
  <c r="BC374" i="57"/>
  <c r="CI377" i="57"/>
  <c r="AY377" i="57"/>
  <c r="AV380" i="57"/>
  <c r="CG380" i="57"/>
  <c r="CK383" i="57"/>
  <c r="BA383" i="57"/>
  <c r="CH386" i="57"/>
  <c r="AX386" i="57"/>
  <c r="AY389" i="57"/>
  <c r="CI389" i="57"/>
  <c r="AV392" i="57"/>
  <c r="CG392" i="57"/>
  <c r="AS395" i="57"/>
  <c r="CD395" i="57"/>
  <c r="BB398" i="57"/>
  <c r="BC398" i="57"/>
  <c r="BY401" i="57"/>
  <c r="BF401" i="57"/>
  <c r="AR404" i="57"/>
  <c r="CG404" i="57"/>
  <c r="AV404" i="57"/>
  <c r="AS407" i="57"/>
  <c r="CD407" i="57"/>
  <c r="BB410" i="57"/>
  <c r="BC410" i="57"/>
  <c r="AY413" i="57"/>
  <c r="CI413" i="57"/>
  <c r="AV416" i="57"/>
  <c r="CG416" i="57"/>
  <c r="CD419" i="57"/>
  <c r="AS419" i="57"/>
  <c r="BB422" i="57"/>
  <c r="BC422" i="57"/>
  <c r="CI425" i="57"/>
  <c r="AY425" i="57"/>
  <c r="CG428" i="57"/>
  <c r="AV428" i="57"/>
  <c r="CK431" i="57"/>
  <c r="BA431" i="57"/>
  <c r="AX434" i="57"/>
  <c r="CH434" i="57"/>
  <c r="BY437" i="57"/>
  <c r="BF437" i="57"/>
  <c r="CJ440" i="57"/>
  <c r="AZ440" i="57"/>
  <c r="AW443" i="57"/>
  <c r="CJ68" i="57"/>
  <c r="AZ68" i="57"/>
  <c r="CE71" i="57"/>
  <c r="AT71" i="57"/>
  <c r="CI74" i="57"/>
  <c r="AY74" i="57"/>
  <c r="AR77" i="57"/>
  <c r="CK80" i="57"/>
  <c r="BA80" i="57"/>
  <c r="BB83" i="57"/>
  <c r="BC83" i="57"/>
  <c r="AY86" i="57"/>
  <c r="CI86" i="57"/>
  <c r="AZ89" i="57"/>
  <c r="CJ89" i="57"/>
  <c r="AW92" i="57"/>
  <c r="AT95" i="57"/>
  <c r="CE95" i="57"/>
  <c r="AY98" i="57"/>
  <c r="CI98" i="57"/>
  <c r="AR101" i="57"/>
  <c r="BA104" i="57"/>
  <c r="CK104" i="57"/>
  <c r="BB107" i="57"/>
  <c r="BC107" i="57"/>
  <c r="AU110" i="57"/>
  <c r="CF110" i="57"/>
  <c r="AY110" i="57"/>
  <c r="CI110" i="57"/>
  <c r="AR113" i="57"/>
  <c r="CJ113" i="57"/>
  <c r="AZ113" i="57"/>
  <c r="AW116" i="57"/>
  <c r="AT119" i="57"/>
  <c r="CE119" i="57"/>
  <c r="BY122" i="57"/>
  <c r="BF122" i="57"/>
  <c r="CJ125" i="57"/>
  <c r="AZ125" i="57"/>
  <c r="AW128" i="57"/>
  <c r="BB131" i="57"/>
  <c r="BC131" i="57"/>
  <c r="AY134" i="57"/>
  <c r="CI134" i="57"/>
  <c r="CG137" i="57"/>
  <c r="AV137" i="57"/>
  <c r="CD140" i="57"/>
  <c r="AS140" i="57"/>
  <c r="BB143" i="57"/>
  <c r="BC143" i="57"/>
  <c r="BY146" i="57"/>
  <c r="BF146" i="57"/>
  <c r="AV149" i="57"/>
  <c r="CG149" i="57"/>
  <c r="CD152" i="57"/>
  <c r="AS152" i="57"/>
  <c r="AT155" i="57"/>
  <c r="CE155" i="57"/>
  <c r="AY158" i="57"/>
  <c r="CI158" i="57"/>
  <c r="CG161" i="57"/>
  <c r="AV161" i="57"/>
  <c r="AW164" i="57"/>
  <c r="AT167" i="57"/>
  <c r="CE167" i="57"/>
  <c r="CH167" i="57"/>
  <c r="AX167" i="57"/>
  <c r="CI170" i="57"/>
  <c r="AY170" i="57"/>
  <c r="CJ173" i="57"/>
  <c r="AZ173" i="57"/>
  <c r="AW176" i="57"/>
  <c r="BB179" i="57"/>
  <c r="BC179" i="57"/>
  <c r="BY182" i="57"/>
  <c r="BF182" i="57"/>
  <c r="AR185" i="57"/>
  <c r="AV185" i="57"/>
  <c r="CG185" i="57"/>
  <c r="AW188" i="57"/>
  <c r="BB191" i="57"/>
  <c r="BC191" i="57"/>
  <c r="CI194" i="57"/>
  <c r="AY194" i="57"/>
  <c r="AZ197" i="57"/>
  <c r="CJ197" i="57"/>
  <c r="AS200" i="57"/>
  <c r="CD200" i="57"/>
  <c r="AT203" i="57"/>
  <c r="CE203" i="57"/>
  <c r="BB203" i="57"/>
  <c r="BC203" i="57"/>
  <c r="CF206" i="57"/>
  <c r="AU206" i="57"/>
  <c r="AR209" i="57"/>
  <c r="AW212" i="57"/>
  <c r="BB215" i="57"/>
  <c r="BC215" i="57"/>
  <c r="BY218" i="57"/>
  <c r="BF218" i="57"/>
  <c r="AV221" i="57"/>
  <c r="CG221" i="57"/>
  <c r="BA224" i="57"/>
  <c r="CK224" i="57"/>
  <c r="CH227" i="57"/>
  <c r="AX227" i="57"/>
  <c r="BY230" i="57"/>
  <c r="BF230" i="57"/>
  <c r="CJ233" i="57"/>
  <c r="AZ233" i="57"/>
  <c r="CD236" i="57"/>
  <c r="AS236" i="57"/>
  <c r="AW236" i="57"/>
  <c r="BB239" i="57"/>
  <c r="BC239" i="57"/>
  <c r="AY242" i="57"/>
  <c r="CI242" i="57"/>
  <c r="AR245" i="57"/>
  <c r="AW248" i="57"/>
  <c r="AT251" i="57"/>
  <c r="CE251" i="57"/>
  <c r="BB251" i="57"/>
  <c r="BC251" i="57"/>
  <c r="AY254" i="57"/>
  <c r="CI254" i="57"/>
  <c r="CJ257" i="57"/>
  <c r="AZ257" i="57"/>
  <c r="AW260" i="57"/>
  <c r="BB263" i="57"/>
  <c r="BC263" i="57"/>
  <c r="BY266" i="57"/>
  <c r="BF266" i="57"/>
  <c r="AV269" i="57"/>
  <c r="CG269" i="57"/>
  <c r="CK272" i="57"/>
  <c r="BA272" i="57"/>
  <c r="AX275" i="57"/>
  <c r="CH275" i="57"/>
  <c r="CF278" i="57"/>
  <c r="AU278" i="57"/>
  <c r="BF278" i="57"/>
  <c r="BY278" i="57"/>
  <c r="AR281" i="57"/>
  <c r="CG281" i="57"/>
  <c r="AV281" i="57"/>
  <c r="AW284" i="57"/>
  <c r="AT287" i="57"/>
  <c r="CE287" i="57"/>
  <c r="CF290" i="57"/>
  <c r="AU290" i="57"/>
  <c r="AV293" i="57"/>
  <c r="CG293" i="57"/>
  <c r="CD296" i="57"/>
  <c r="AS296" i="57"/>
  <c r="AT299" i="57"/>
  <c r="CE299" i="57"/>
  <c r="CI302" i="57"/>
  <c r="AY302" i="57"/>
  <c r="AR305" i="57"/>
  <c r="BA308" i="57"/>
  <c r="CK308" i="57"/>
  <c r="AX311" i="57"/>
  <c r="CH311" i="57"/>
  <c r="CI314" i="57"/>
  <c r="AY314" i="57"/>
  <c r="AZ317" i="57"/>
  <c r="CJ317" i="57"/>
  <c r="CD320" i="57"/>
  <c r="AS320" i="57"/>
  <c r="AT323" i="57"/>
  <c r="CE323" i="57"/>
  <c r="AY326" i="57"/>
  <c r="CI326" i="57"/>
  <c r="AR329" i="57"/>
  <c r="CD332" i="57"/>
  <c r="AS332" i="57"/>
  <c r="BB335" i="57"/>
  <c r="BC335" i="57"/>
  <c r="CI338" i="57"/>
  <c r="AY338" i="57"/>
  <c r="AV341" i="57"/>
  <c r="CG341" i="57"/>
  <c r="CD344" i="57"/>
  <c r="AS344" i="57"/>
  <c r="CK344" i="57"/>
  <c r="BA344" i="57"/>
  <c r="AX347" i="57"/>
  <c r="CH347" i="57"/>
  <c r="CF350" i="57"/>
  <c r="AU350" i="57"/>
  <c r="CI350" i="57"/>
  <c r="AY350" i="57"/>
  <c r="CG353" i="57"/>
  <c r="AV353" i="57"/>
  <c r="CD356" i="57"/>
  <c r="AS356" i="57"/>
  <c r="BA356" i="57"/>
  <c r="CK356" i="57"/>
  <c r="AT359" i="57"/>
  <c r="CE359" i="57"/>
  <c r="BB359" i="57"/>
  <c r="BC359" i="57"/>
  <c r="CF362" i="57"/>
  <c r="AU362" i="57"/>
  <c r="AV365" i="57"/>
  <c r="CG365" i="57"/>
  <c r="CD368" i="57"/>
  <c r="AS368" i="57"/>
  <c r="BB371" i="57"/>
  <c r="BC371" i="57"/>
  <c r="CF374" i="57"/>
  <c r="AU374" i="57"/>
  <c r="AZ377" i="57"/>
  <c r="CJ377" i="57"/>
  <c r="CD380" i="57"/>
  <c r="AS380" i="57"/>
  <c r="BB383" i="57"/>
  <c r="BC383" i="57"/>
  <c r="AY386" i="57"/>
  <c r="CI386" i="57"/>
  <c r="AZ389" i="57"/>
  <c r="CJ389" i="57"/>
  <c r="CD392" i="57"/>
  <c r="AS392" i="57"/>
  <c r="BB395" i="57"/>
  <c r="BC395" i="57"/>
  <c r="AY398" i="57"/>
  <c r="CI398" i="57"/>
  <c r="AV401" i="57"/>
  <c r="CG401" i="57"/>
  <c r="CD404" i="57"/>
  <c r="AS404" i="57"/>
  <c r="BB407" i="57"/>
  <c r="BC407" i="57"/>
  <c r="AU410" i="57"/>
  <c r="CF410" i="57"/>
  <c r="BF410" i="57"/>
  <c r="BY410" i="57"/>
  <c r="AZ413" i="57"/>
  <c r="CJ413" i="57"/>
  <c r="CK416" i="57"/>
  <c r="BA416" i="57"/>
  <c r="AT419" i="57"/>
  <c r="CE419" i="57"/>
  <c r="BB419" i="57"/>
  <c r="BC419" i="57"/>
  <c r="AY422" i="57"/>
  <c r="CI422" i="57"/>
  <c r="CG425" i="57"/>
  <c r="AV425" i="57"/>
  <c r="AW428" i="57"/>
  <c r="CH431" i="57"/>
  <c r="AX431" i="57"/>
  <c r="CI434" i="57"/>
  <c r="AY434" i="57"/>
  <c r="AV437" i="57"/>
  <c r="CG437" i="57"/>
  <c r="CD440" i="57"/>
  <c r="AS440" i="57"/>
  <c r="BA440" i="57"/>
  <c r="CK440" i="57"/>
  <c r="CH443" i="57"/>
  <c r="AX443" i="57"/>
  <c r="AY68" i="36"/>
  <c r="CI68" i="36"/>
  <c r="AE13" i="36"/>
  <c r="CK386" i="36"/>
  <c r="BU68" i="57"/>
  <c r="BU56" i="57" s="1"/>
  <c r="BB56" i="57"/>
  <c r="AR71" i="57"/>
  <c r="CG71" i="57"/>
  <c r="AV71" i="57"/>
  <c r="CJ71" i="57"/>
  <c r="AZ71" i="57"/>
  <c r="AS74" i="57"/>
  <c r="CD74" i="57"/>
  <c r="AW74" i="57"/>
  <c r="CK74" i="57"/>
  <c r="BA74" i="57"/>
  <c r="AT77" i="57"/>
  <c r="CE77" i="57"/>
  <c r="CH77" i="57"/>
  <c r="AX77" i="57"/>
  <c r="BB77" i="57"/>
  <c r="BC77" i="57"/>
  <c r="AU80" i="57"/>
  <c r="CF80" i="57"/>
  <c r="AY80" i="57"/>
  <c r="CI80" i="57"/>
  <c r="BY80" i="57"/>
  <c r="BF80" i="57"/>
  <c r="AR83" i="57"/>
  <c r="AV83" i="57"/>
  <c r="CG83" i="57"/>
  <c r="CJ83" i="57"/>
  <c r="AZ83" i="57"/>
  <c r="AS86" i="57"/>
  <c r="CD86" i="57"/>
  <c r="AW86" i="57"/>
  <c r="BA86" i="57"/>
  <c r="CK86" i="57"/>
  <c r="AT89" i="57"/>
  <c r="CE89" i="57"/>
  <c r="AX89" i="57"/>
  <c r="CH89" i="57"/>
  <c r="BB89" i="57"/>
  <c r="BC89" i="57"/>
  <c r="CF92" i="57"/>
  <c r="AU92" i="57"/>
  <c r="CI92" i="57"/>
  <c r="AY92" i="57"/>
  <c r="BF92" i="57"/>
  <c r="BY92" i="57"/>
  <c r="AR95" i="57"/>
  <c r="CG95" i="57"/>
  <c r="AV95" i="57"/>
  <c r="AZ95" i="57"/>
  <c r="CJ95" i="57"/>
  <c r="AS98" i="57"/>
  <c r="CD98" i="57"/>
  <c r="AW98" i="57"/>
  <c r="CK98" i="57"/>
  <c r="BA98" i="57"/>
  <c r="AT101" i="57"/>
  <c r="CE101" i="57"/>
  <c r="CH101" i="57"/>
  <c r="AX101" i="57"/>
  <c r="BB101" i="57"/>
  <c r="BC101" i="57"/>
  <c r="AU104" i="57"/>
  <c r="CF104" i="57"/>
  <c r="CI104" i="57"/>
  <c r="AY104" i="57"/>
  <c r="BY104" i="57"/>
  <c r="BF104" i="57"/>
  <c r="AR107" i="57"/>
  <c r="AV107" i="57"/>
  <c r="CG107" i="57"/>
  <c r="CJ107" i="57"/>
  <c r="AZ107" i="57"/>
  <c r="CD110" i="57"/>
  <c r="AS110" i="57"/>
  <c r="AW110" i="57"/>
  <c r="CK110" i="57"/>
  <c r="BA110" i="57"/>
  <c r="AT113" i="57"/>
  <c r="CE113" i="57"/>
  <c r="CH113" i="57"/>
  <c r="AX113" i="57"/>
  <c r="BB113" i="57"/>
  <c r="BC113" i="57"/>
  <c r="AU116" i="57"/>
  <c r="CF116" i="57"/>
  <c r="CI116" i="57"/>
  <c r="AY116" i="57"/>
  <c r="BY116" i="57"/>
  <c r="BF116" i="57"/>
  <c r="AR119" i="57"/>
  <c r="AV119" i="57"/>
  <c r="CG119" i="57"/>
  <c r="AZ119" i="57"/>
  <c r="CJ119" i="57"/>
  <c r="AS122" i="57"/>
  <c r="CD122" i="57"/>
  <c r="AW122" i="57"/>
  <c r="CK122" i="57"/>
  <c r="BA122" i="57"/>
  <c r="AT125" i="57"/>
  <c r="CE125" i="57"/>
  <c r="CH125" i="57"/>
  <c r="AX125" i="57"/>
  <c r="BB125" i="57"/>
  <c r="BC125" i="57"/>
  <c r="CF128" i="57"/>
  <c r="AU128" i="57"/>
  <c r="CI128" i="57"/>
  <c r="AY128" i="57"/>
  <c r="BF128" i="57"/>
  <c r="BY128" i="57"/>
  <c r="AR131" i="57"/>
  <c r="AV131" i="57"/>
  <c r="CG131" i="57"/>
  <c r="CJ131" i="57"/>
  <c r="AZ131" i="57"/>
  <c r="CD134" i="57"/>
  <c r="AS134" i="57"/>
  <c r="AW134" i="57"/>
  <c r="CK134" i="57"/>
  <c r="BA134" i="57"/>
  <c r="CE137" i="57"/>
  <c r="AT137" i="57"/>
  <c r="AX137" i="57"/>
  <c r="CH137" i="57"/>
  <c r="BB137" i="57"/>
  <c r="BC137" i="57"/>
  <c r="CF140" i="57"/>
  <c r="AU140" i="57"/>
  <c r="CI140" i="57"/>
  <c r="AY140" i="57"/>
  <c r="BF140" i="57"/>
  <c r="BY140" i="57"/>
  <c r="AR143" i="57"/>
  <c r="AV143" i="57"/>
  <c r="CG143" i="57"/>
  <c r="AZ143" i="57"/>
  <c r="CJ143" i="57"/>
  <c r="AS146" i="57"/>
  <c r="CD146" i="57"/>
  <c r="AW146" i="57"/>
  <c r="BA146" i="57"/>
  <c r="CK146" i="57"/>
  <c r="AT149" i="57"/>
  <c r="CE149" i="57"/>
  <c r="CH149" i="57"/>
  <c r="AX149" i="57"/>
  <c r="BB149" i="57"/>
  <c r="BC149" i="57"/>
  <c r="CF152" i="57"/>
  <c r="AU152" i="57"/>
  <c r="AY152" i="57"/>
  <c r="CI152" i="57"/>
  <c r="BF152" i="57"/>
  <c r="BY152" i="57"/>
  <c r="AR155" i="57"/>
  <c r="CG155" i="57"/>
  <c r="AV155" i="57"/>
  <c r="AZ155" i="57"/>
  <c r="CJ155" i="57"/>
  <c r="CD158" i="57"/>
  <c r="AS158" i="57"/>
  <c r="AW158" i="57"/>
  <c r="BA158" i="57"/>
  <c r="CK158" i="57"/>
  <c r="AT161" i="57"/>
  <c r="CE161" i="57"/>
  <c r="CH161" i="57"/>
  <c r="AX161" i="57"/>
  <c r="BB161" i="57"/>
  <c r="BC161" i="57"/>
  <c r="CF164" i="57"/>
  <c r="AU164" i="57"/>
  <c r="AY164" i="57"/>
  <c r="CI164" i="57"/>
  <c r="BY164" i="57"/>
  <c r="BF164" i="57"/>
  <c r="AR167" i="57"/>
  <c r="AV167" i="57"/>
  <c r="CG167" i="57"/>
  <c r="CJ167" i="57"/>
  <c r="AZ167" i="57"/>
  <c r="AS170" i="57"/>
  <c r="CD170" i="57"/>
  <c r="AW170" i="57"/>
  <c r="BA170" i="57"/>
  <c r="CK170" i="57"/>
  <c r="AT173" i="57"/>
  <c r="CE173" i="57"/>
  <c r="AX173" i="57"/>
  <c r="CH173" i="57"/>
  <c r="BB173" i="57"/>
  <c r="BC173" i="57"/>
  <c r="CF176" i="57"/>
  <c r="AU176" i="57"/>
  <c r="CI176" i="57"/>
  <c r="AY176" i="57"/>
  <c r="BY176" i="57"/>
  <c r="BF176" i="57"/>
  <c r="AR179" i="57"/>
  <c r="CG179" i="57"/>
  <c r="AV179" i="57"/>
  <c r="CJ179" i="57"/>
  <c r="AZ179" i="57"/>
  <c r="AS182" i="57"/>
  <c r="CD182" i="57"/>
  <c r="AW182" i="57"/>
  <c r="CK182" i="57"/>
  <c r="BA182" i="57"/>
  <c r="AT185" i="57"/>
  <c r="CE185" i="57"/>
  <c r="CH185" i="57"/>
  <c r="AX185" i="57"/>
  <c r="BB185" i="57"/>
  <c r="BC185" i="57"/>
  <c r="AU188" i="57"/>
  <c r="CF188" i="57"/>
  <c r="CI188" i="57"/>
  <c r="AY188" i="57"/>
  <c r="BF188" i="57"/>
  <c r="BY188" i="57"/>
  <c r="AR191" i="57"/>
  <c r="CG191" i="57"/>
  <c r="AV191" i="57"/>
  <c r="CJ191" i="57"/>
  <c r="AZ191" i="57"/>
  <c r="AS194" i="57"/>
  <c r="CD194" i="57"/>
  <c r="AW194" i="57"/>
  <c r="BA194" i="57"/>
  <c r="CK194" i="57"/>
  <c r="AT197" i="57"/>
  <c r="CE197" i="57"/>
  <c r="CH197" i="57"/>
  <c r="AX197" i="57"/>
  <c r="BB197" i="57"/>
  <c r="BC197" i="57"/>
  <c r="AU200" i="57"/>
  <c r="CF200" i="57"/>
  <c r="AY200" i="57"/>
  <c r="CI200" i="57"/>
  <c r="BY200" i="57"/>
  <c r="BF200" i="57"/>
  <c r="AR203" i="57"/>
  <c r="CG203" i="57"/>
  <c r="AV203" i="57"/>
  <c r="AZ203" i="57"/>
  <c r="CJ203" i="57"/>
  <c r="CD206" i="57"/>
  <c r="AS206" i="57"/>
  <c r="AW206" i="57"/>
  <c r="CK206" i="57"/>
  <c r="BA206" i="57"/>
  <c r="AT209" i="57"/>
  <c r="CE209" i="57"/>
  <c r="AX209" i="57"/>
  <c r="CH209" i="57"/>
  <c r="BB209" i="57"/>
  <c r="BC209" i="57"/>
  <c r="CF212" i="57"/>
  <c r="AU212" i="57"/>
  <c r="CI212" i="57"/>
  <c r="AY212" i="57"/>
  <c r="BF212" i="57"/>
  <c r="BY212" i="57"/>
  <c r="AR215" i="57"/>
  <c r="AV215" i="57"/>
  <c r="CG215" i="57"/>
  <c r="CJ215" i="57"/>
  <c r="AZ215" i="57"/>
  <c r="CD218" i="57"/>
  <c r="AS218" i="57"/>
  <c r="AW218" i="57"/>
  <c r="CK218" i="57"/>
  <c r="BA218" i="57"/>
  <c r="AT221" i="57"/>
  <c r="CE221" i="57"/>
  <c r="CH221" i="57"/>
  <c r="AX221" i="57"/>
  <c r="BB221" i="57"/>
  <c r="BC221" i="57"/>
  <c r="CF224" i="57"/>
  <c r="AU224" i="57"/>
  <c r="CI224" i="57"/>
  <c r="AY224" i="57"/>
  <c r="BY224" i="57"/>
  <c r="BF224" i="57"/>
  <c r="AR227" i="57"/>
  <c r="CG227" i="57"/>
  <c r="AV227" i="57"/>
  <c r="AZ227" i="57"/>
  <c r="CJ227" i="57"/>
  <c r="AS230" i="57"/>
  <c r="CD230" i="57"/>
  <c r="AW230" i="57"/>
  <c r="BA230" i="57"/>
  <c r="CK230" i="57"/>
  <c r="AT233" i="57"/>
  <c r="CE233" i="57"/>
  <c r="CH233" i="57"/>
  <c r="AX233" i="57"/>
  <c r="BB233" i="57"/>
  <c r="BC233" i="57"/>
  <c r="AU236" i="57"/>
  <c r="CF236" i="57"/>
  <c r="CI236" i="57"/>
  <c r="AY236" i="57"/>
  <c r="BY236" i="57"/>
  <c r="BF236" i="57"/>
  <c r="AR239" i="57"/>
  <c r="AV239" i="57"/>
  <c r="CG239" i="57"/>
  <c r="CJ239" i="57"/>
  <c r="AZ239" i="57"/>
  <c r="CD242" i="57"/>
  <c r="AS242" i="57"/>
  <c r="AW242" i="57"/>
  <c r="CK242" i="57"/>
  <c r="BA242" i="57"/>
  <c r="AT245" i="57"/>
  <c r="CE245" i="57"/>
  <c r="AX245" i="57"/>
  <c r="CH245" i="57"/>
  <c r="BB245" i="57"/>
  <c r="BC245" i="57"/>
  <c r="CF248" i="57"/>
  <c r="AU248" i="57"/>
  <c r="CI248" i="57"/>
  <c r="AY248" i="57"/>
  <c r="BF248" i="57"/>
  <c r="BY248" i="57"/>
  <c r="AR251" i="57"/>
  <c r="AV251" i="57"/>
  <c r="CG251" i="57"/>
  <c r="AZ251" i="57"/>
  <c r="CJ251" i="57"/>
  <c r="AS254" i="57"/>
  <c r="CD254" i="57"/>
  <c r="AW254" i="57"/>
  <c r="CK254" i="57"/>
  <c r="BA254" i="57"/>
  <c r="AT257" i="57"/>
  <c r="CE257" i="57"/>
  <c r="AX257" i="57"/>
  <c r="CH257" i="57"/>
  <c r="BB257" i="57"/>
  <c r="BC257" i="57"/>
  <c r="CF260" i="57"/>
  <c r="AU260" i="57"/>
  <c r="AY260" i="57"/>
  <c r="CI260" i="57"/>
  <c r="BY260" i="57"/>
  <c r="BF260" i="57"/>
  <c r="AR263" i="57"/>
  <c r="AV263" i="57"/>
  <c r="CG263" i="57"/>
  <c r="AZ263" i="57"/>
  <c r="CJ263" i="57"/>
  <c r="CD266" i="57"/>
  <c r="AS266" i="57"/>
  <c r="AW266" i="57"/>
  <c r="CK266" i="57"/>
  <c r="BA266" i="57"/>
  <c r="AT269" i="57"/>
  <c r="CE269" i="57"/>
  <c r="AX269" i="57"/>
  <c r="CH269" i="57"/>
  <c r="BB269" i="57"/>
  <c r="BC269" i="57"/>
  <c r="CF272" i="57"/>
  <c r="AU272" i="57"/>
  <c r="CI272" i="57"/>
  <c r="AY272" i="57"/>
  <c r="BF272" i="57"/>
  <c r="BY272" i="57"/>
  <c r="AR275" i="57"/>
  <c r="CG275" i="57"/>
  <c r="AV275" i="57"/>
  <c r="CJ275" i="57"/>
  <c r="AZ275" i="57"/>
  <c r="CD278" i="57"/>
  <c r="AS278" i="57"/>
  <c r="AW278" i="57"/>
  <c r="CK278" i="57"/>
  <c r="BA278" i="57"/>
  <c r="AT281" i="57"/>
  <c r="CE281" i="57"/>
  <c r="AX281" i="57"/>
  <c r="CH281" i="57"/>
  <c r="BB281" i="57"/>
  <c r="BC281" i="57"/>
  <c r="CF284" i="57"/>
  <c r="AU284" i="57"/>
  <c r="AY284" i="57"/>
  <c r="CI284" i="57"/>
  <c r="BY284" i="57"/>
  <c r="BF284" i="57"/>
  <c r="AR287" i="57"/>
  <c r="CG287" i="57"/>
  <c r="AV287" i="57"/>
  <c r="AZ287" i="57"/>
  <c r="CJ287" i="57"/>
  <c r="CD290" i="57"/>
  <c r="AS290" i="57"/>
  <c r="AW290" i="57"/>
  <c r="CK290" i="57"/>
  <c r="BA290" i="57"/>
  <c r="AT293" i="57"/>
  <c r="CE293" i="57"/>
  <c r="AX293" i="57"/>
  <c r="CH293" i="57"/>
  <c r="BB293" i="57"/>
  <c r="BC293" i="57"/>
  <c r="AU296" i="57"/>
  <c r="CF296" i="57"/>
  <c r="CI296" i="57"/>
  <c r="AY296" i="57"/>
  <c r="BY296" i="57"/>
  <c r="BF296" i="57"/>
  <c r="AR299" i="57"/>
  <c r="AV299" i="57"/>
  <c r="CG299" i="57"/>
  <c r="AZ299" i="57"/>
  <c r="CJ299" i="57"/>
  <c r="CD302" i="57"/>
  <c r="AS302" i="57"/>
  <c r="AW302" i="57"/>
  <c r="CK302" i="57"/>
  <c r="BA302" i="57"/>
  <c r="AT305" i="57"/>
  <c r="CE305" i="57"/>
  <c r="CH305" i="57"/>
  <c r="AX305" i="57"/>
  <c r="BB305" i="57"/>
  <c r="BC305" i="57"/>
  <c r="CF308" i="57"/>
  <c r="AU308" i="57"/>
  <c r="CI308" i="57"/>
  <c r="AY308" i="57"/>
  <c r="BF308" i="57"/>
  <c r="BY308" i="57"/>
  <c r="AR311" i="57"/>
  <c r="CG311" i="57"/>
  <c r="AV311" i="57"/>
  <c r="AZ311" i="57"/>
  <c r="CJ311" i="57"/>
  <c r="CD314" i="57"/>
  <c r="AS314" i="57"/>
  <c r="AW314" i="57"/>
  <c r="CK314" i="57"/>
  <c r="BA314" i="57"/>
  <c r="AT317" i="57"/>
  <c r="CE317" i="57"/>
  <c r="AX317" i="57"/>
  <c r="CH317" i="57"/>
  <c r="BB317" i="57"/>
  <c r="BC317" i="57"/>
  <c r="AU320" i="57"/>
  <c r="CF320" i="57"/>
  <c r="CI320" i="57"/>
  <c r="AY320" i="57"/>
  <c r="BY320" i="57"/>
  <c r="BF320" i="57"/>
  <c r="AR323" i="57"/>
  <c r="CG323" i="57"/>
  <c r="AV323" i="57"/>
  <c r="AZ323" i="57"/>
  <c r="CJ323" i="57"/>
  <c r="CD326" i="57"/>
  <c r="AS326" i="57"/>
  <c r="AW326" i="57"/>
  <c r="CK326" i="57"/>
  <c r="BA326" i="57"/>
  <c r="AT329" i="57"/>
  <c r="CE329" i="57"/>
  <c r="CH329" i="57"/>
  <c r="AX329" i="57"/>
  <c r="BB329" i="57"/>
  <c r="BC329" i="57"/>
  <c r="AU332" i="57"/>
  <c r="CF332" i="57"/>
  <c r="CI332" i="57"/>
  <c r="AY332" i="57"/>
  <c r="BF332" i="57"/>
  <c r="BY332" i="57"/>
  <c r="AR335" i="57"/>
  <c r="AV335" i="57"/>
  <c r="CG335" i="57"/>
  <c r="CJ335" i="57"/>
  <c r="AZ335" i="57"/>
  <c r="AS338" i="57"/>
  <c r="CD338" i="57"/>
  <c r="AW338" i="57"/>
  <c r="BA338" i="57"/>
  <c r="CK338" i="57"/>
  <c r="AT341" i="57"/>
  <c r="CE341" i="57"/>
  <c r="CH341" i="57"/>
  <c r="AX341" i="57"/>
  <c r="BB341" i="57"/>
  <c r="BC341" i="57"/>
  <c r="CF344" i="57"/>
  <c r="AU344" i="57"/>
  <c r="CI344" i="57"/>
  <c r="AY344" i="57"/>
  <c r="BY344" i="57"/>
  <c r="BF344" i="57"/>
  <c r="AR347" i="57"/>
  <c r="CG347" i="57"/>
  <c r="AV347" i="57"/>
  <c r="CJ347" i="57"/>
  <c r="AZ347" i="57"/>
  <c r="CD350" i="57"/>
  <c r="AS350" i="57"/>
  <c r="AW350" i="57"/>
  <c r="BA350" i="57"/>
  <c r="CK350" i="57"/>
  <c r="AT353" i="57"/>
  <c r="CE353" i="57"/>
  <c r="AX353" i="57"/>
  <c r="CH353" i="57"/>
  <c r="BB353" i="57"/>
  <c r="BC353" i="57"/>
  <c r="AU356" i="57"/>
  <c r="CF356" i="57"/>
  <c r="CI356" i="57"/>
  <c r="AY356" i="57"/>
  <c r="BY356" i="57"/>
  <c r="BF356" i="57"/>
  <c r="AR359" i="57"/>
  <c r="CG359" i="57"/>
  <c r="AV359" i="57"/>
  <c r="CJ359" i="57"/>
  <c r="AZ359" i="57"/>
  <c r="CD362" i="57"/>
  <c r="AS362" i="57"/>
  <c r="AW362" i="57"/>
  <c r="BA362" i="57"/>
  <c r="CK362" i="57"/>
  <c r="AT365" i="57"/>
  <c r="CE365" i="57"/>
  <c r="CH365" i="57"/>
  <c r="AX365" i="57"/>
  <c r="BB365" i="57"/>
  <c r="BC365" i="57"/>
  <c r="CF368" i="57"/>
  <c r="AU368" i="57"/>
  <c r="AY368" i="57"/>
  <c r="CI368" i="57"/>
  <c r="BY368" i="57"/>
  <c r="BF368" i="57"/>
  <c r="AR371" i="57"/>
  <c r="AV371" i="57"/>
  <c r="CG371" i="57"/>
  <c r="CJ371" i="57"/>
  <c r="AZ371" i="57"/>
  <c r="CD374" i="57"/>
  <c r="AS374" i="57"/>
  <c r="AW374" i="57"/>
  <c r="CK374" i="57"/>
  <c r="BA374" i="57"/>
  <c r="AT377" i="57"/>
  <c r="CE377" i="57"/>
  <c r="CH377" i="57"/>
  <c r="AX377" i="57"/>
  <c r="BB377" i="57"/>
  <c r="BC377" i="57"/>
  <c r="CF380" i="57"/>
  <c r="AU380" i="57"/>
  <c r="CI380" i="57"/>
  <c r="AY380" i="57"/>
  <c r="BY380" i="57"/>
  <c r="BF380" i="57"/>
  <c r="AR383" i="57"/>
  <c r="CG383" i="57"/>
  <c r="AV383" i="57"/>
  <c r="CJ383" i="57"/>
  <c r="AZ383" i="57"/>
  <c r="AS386" i="57"/>
  <c r="CD386" i="57"/>
  <c r="AW386" i="57"/>
  <c r="BA386" i="57"/>
  <c r="CK386" i="57"/>
  <c r="AT389" i="57"/>
  <c r="CE389" i="57"/>
  <c r="CH389" i="57"/>
  <c r="AX389" i="57"/>
  <c r="BB389" i="57"/>
  <c r="BC389" i="57"/>
  <c r="CF392" i="57"/>
  <c r="AU392" i="57"/>
  <c r="CI392" i="57"/>
  <c r="AY392" i="57"/>
  <c r="BY392" i="57"/>
  <c r="BF392" i="57"/>
  <c r="AR395" i="57"/>
  <c r="CG395" i="57"/>
  <c r="AV395" i="57"/>
  <c r="CJ395" i="57"/>
  <c r="AZ395" i="57"/>
  <c r="CD398" i="57"/>
  <c r="AS398" i="57"/>
  <c r="AW398" i="57"/>
  <c r="BA398" i="57"/>
  <c r="CK398" i="57"/>
  <c r="AT401" i="57"/>
  <c r="CE401" i="57"/>
  <c r="AX401" i="57"/>
  <c r="CH401" i="57"/>
  <c r="BB401" i="57"/>
  <c r="BC401" i="57"/>
  <c r="CF404" i="57"/>
  <c r="AU404" i="57"/>
  <c r="CI404" i="57"/>
  <c r="AY404" i="57"/>
  <c r="BF404" i="57"/>
  <c r="BY404" i="57"/>
  <c r="AR407" i="57"/>
  <c r="CG407" i="57"/>
  <c r="AV407" i="57"/>
  <c r="AZ407" i="57"/>
  <c r="CJ407" i="57"/>
  <c r="CD410" i="57"/>
  <c r="AS410" i="57"/>
  <c r="AW410" i="57"/>
  <c r="CK410" i="57"/>
  <c r="BA410" i="57"/>
  <c r="AT413" i="57"/>
  <c r="CE413" i="57"/>
  <c r="CH413" i="57"/>
  <c r="AX413" i="57"/>
  <c r="BB413" i="57"/>
  <c r="BC413" i="57"/>
  <c r="AU416" i="57"/>
  <c r="CF416" i="57"/>
  <c r="CI416" i="57"/>
  <c r="AY416" i="57"/>
  <c r="BY416" i="57"/>
  <c r="BF416" i="57"/>
  <c r="AR419" i="57"/>
  <c r="AV419" i="57"/>
  <c r="CG419" i="57"/>
  <c r="AZ419" i="57"/>
  <c r="CJ419" i="57"/>
  <c r="AS422" i="57"/>
  <c r="CD422" i="57"/>
  <c r="AW422" i="57"/>
  <c r="CK422" i="57"/>
  <c r="BA422" i="57"/>
  <c r="AT425" i="57"/>
  <c r="CE425" i="57"/>
  <c r="CH425" i="57"/>
  <c r="AX425" i="57"/>
  <c r="BB425" i="57"/>
  <c r="BC425" i="57"/>
  <c r="CF428" i="57"/>
  <c r="AU428" i="57"/>
  <c r="AY428" i="57"/>
  <c r="CI428" i="57"/>
  <c r="BY428" i="57"/>
  <c r="BF428" i="57"/>
  <c r="AR431" i="57"/>
  <c r="CG431" i="57"/>
  <c r="AV431" i="57"/>
  <c r="AZ431" i="57"/>
  <c r="CJ431" i="57"/>
  <c r="CD434" i="57"/>
  <c r="AS434" i="57"/>
  <c r="AW434" i="57"/>
  <c r="BA434" i="57"/>
  <c r="CK434" i="57"/>
  <c r="AT437" i="57"/>
  <c r="CE437" i="57"/>
  <c r="CH437" i="57"/>
  <c r="AX437" i="57"/>
  <c r="BB437" i="57"/>
  <c r="BC437" i="57"/>
  <c r="CF440" i="57"/>
  <c r="AU440" i="57"/>
  <c r="CI440" i="57"/>
  <c r="AY440" i="57"/>
  <c r="BY440" i="57"/>
  <c r="BF440" i="57"/>
  <c r="AR443" i="57"/>
  <c r="AV443" i="57"/>
  <c r="CG443" i="57"/>
  <c r="AZ443" i="57"/>
  <c r="CJ443" i="57"/>
  <c r="BI70" i="57"/>
  <c r="CB70" i="57"/>
  <c r="CB71" i="57"/>
  <c r="BI71" i="57"/>
  <c r="CC443" i="57"/>
  <c r="BJ443" i="57"/>
  <c r="BJ442" i="57"/>
  <c r="CC442" i="57"/>
  <c r="CC440" i="57"/>
  <c r="BJ440" i="57"/>
  <c r="BJ439" i="57"/>
  <c r="CC439" i="57"/>
  <c r="CC437" i="57"/>
  <c r="BJ437" i="57"/>
  <c r="CC436" i="57"/>
  <c r="BJ436" i="57"/>
  <c r="BJ434" i="57"/>
  <c r="CC434" i="57"/>
  <c r="BJ433" i="57"/>
  <c r="CC433" i="57"/>
  <c r="BJ431" i="57"/>
  <c r="CC431" i="57"/>
  <c r="CC430" i="57"/>
  <c r="BJ430" i="57"/>
  <c r="BJ428" i="57"/>
  <c r="CC428" i="57"/>
  <c r="CC427" i="57"/>
  <c r="BJ427" i="57"/>
  <c r="BJ425" i="57"/>
  <c r="CC425" i="57"/>
  <c r="CC424" i="57"/>
  <c r="BJ424" i="57"/>
  <c r="BJ422" i="57"/>
  <c r="CC422" i="57"/>
  <c r="CC421" i="57"/>
  <c r="BJ421" i="57"/>
  <c r="CC419" i="57"/>
  <c r="BJ419" i="57"/>
  <c r="BJ418" i="57"/>
  <c r="CC418" i="57"/>
  <c r="CC416" i="57"/>
  <c r="BJ416" i="57"/>
  <c r="CC415" i="57"/>
  <c r="BJ415" i="57"/>
  <c r="BJ413" i="57"/>
  <c r="CC413" i="57"/>
  <c r="CC412" i="57"/>
  <c r="BJ412" i="57"/>
  <c r="BJ410" i="57"/>
  <c r="CC410" i="57"/>
  <c r="BJ409" i="57"/>
  <c r="CC409" i="57"/>
  <c r="CC407" i="57"/>
  <c r="BJ407" i="57"/>
  <c r="BJ406" i="57"/>
  <c r="CC406" i="57"/>
  <c r="BJ404" i="57"/>
  <c r="CC404" i="57"/>
  <c r="CC403" i="57"/>
  <c r="BJ403" i="57"/>
  <c r="BJ401" i="57"/>
  <c r="CC401" i="57"/>
  <c r="CC400" i="57"/>
  <c r="BJ400" i="57"/>
  <c r="BJ398" i="57"/>
  <c r="CC398" i="57"/>
  <c r="BJ397" i="57"/>
  <c r="CC397" i="57"/>
  <c r="CC395" i="57"/>
  <c r="BJ395" i="57"/>
  <c r="CC394" i="57"/>
  <c r="BJ394" i="57"/>
  <c r="CC392" i="57"/>
  <c r="BJ392" i="57"/>
  <c r="BJ391" i="57"/>
  <c r="CC391" i="57"/>
  <c r="CC389" i="57"/>
  <c r="BJ389" i="57"/>
  <c r="BJ388" i="57"/>
  <c r="CC388" i="57"/>
  <c r="BJ386" i="57"/>
  <c r="CC386" i="57"/>
  <c r="BJ385" i="57"/>
  <c r="CC385" i="57"/>
  <c r="BJ383" i="57"/>
  <c r="CC383" i="57"/>
  <c r="BJ382" i="57"/>
  <c r="CC382" i="57"/>
  <c r="CC380" i="57"/>
  <c r="BJ380" i="57"/>
  <c r="BJ379" i="57"/>
  <c r="CC379" i="57"/>
  <c r="BJ377" i="57"/>
  <c r="CC377" i="57"/>
  <c r="CC376" i="57"/>
  <c r="BJ376" i="57"/>
  <c r="BJ374" i="57"/>
  <c r="CC374" i="57"/>
  <c r="CC373" i="57"/>
  <c r="BJ373" i="57"/>
  <c r="BJ371" i="57"/>
  <c r="CC371" i="57"/>
  <c r="CC370" i="57"/>
  <c r="BJ370" i="57"/>
  <c r="CC368" i="57"/>
  <c r="BJ368" i="57"/>
  <c r="BJ367" i="57"/>
  <c r="CC367" i="57"/>
  <c r="CC365" i="57"/>
  <c r="BJ365" i="57"/>
  <c r="CC364" i="57"/>
  <c r="BJ364" i="57"/>
  <c r="BJ362" i="57"/>
  <c r="CC362" i="57"/>
  <c r="CC361" i="57"/>
  <c r="BJ361" i="57"/>
  <c r="CC359" i="57"/>
  <c r="BJ359" i="57"/>
  <c r="BJ358" i="57"/>
  <c r="CC358" i="57"/>
  <c r="BJ356" i="57"/>
  <c r="CC356" i="57"/>
  <c r="CC355" i="57"/>
  <c r="BJ355" i="57"/>
  <c r="CC353" i="57"/>
  <c r="BJ353" i="57"/>
  <c r="CC352" i="57"/>
  <c r="BJ352" i="57"/>
  <c r="BJ350" i="57"/>
  <c r="CC350" i="57"/>
  <c r="CC349" i="57"/>
  <c r="BJ349" i="57"/>
  <c r="CC347" i="57"/>
  <c r="BJ347" i="57"/>
  <c r="CC346" i="57"/>
  <c r="BJ346" i="57"/>
  <c r="CC344" i="57"/>
  <c r="BJ344" i="57"/>
  <c r="CC343" i="57"/>
  <c r="BJ343" i="57"/>
  <c r="CC341" i="57"/>
  <c r="BJ341" i="57"/>
  <c r="BJ340" i="57"/>
  <c r="CC340" i="57"/>
  <c r="CC338" i="57"/>
  <c r="BJ338" i="57"/>
  <c r="CC337" i="57"/>
  <c r="BJ337" i="57"/>
  <c r="CC335" i="57"/>
  <c r="BJ335" i="57"/>
  <c r="CC334" i="57"/>
  <c r="BJ334" i="57"/>
  <c r="CC332" i="57"/>
  <c r="BJ332" i="57"/>
  <c r="CC331" i="57"/>
  <c r="BJ331" i="57"/>
  <c r="CC329" i="57"/>
  <c r="BJ329" i="57"/>
  <c r="CC328" i="57"/>
  <c r="BJ328" i="57"/>
  <c r="BJ326" i="57"/>
  <c r="CC326" i="57"/>
  <c r="CC325" i="57"/>
  <c r="BJ325" i="57"/>
  <c r="CC323" i="57"/>
  <c r="BJ323" i="57"/>
  <c r="CC322" i="57"/>
  <c r="BJ322" i="57"/>
  <c r="CC320" i="57"/>
  <c r="BJ320" i="57"/>
  <c r="BJ319" i="57"/>
  <c r="CC319" i="57"/>
  <c r="CC317" i="57"/>
  <c r="BJ317" i="57"/>
  <c r="CC316" i="57"/>
  <c r="BJ316" i="57"/>
  <c r="CC314" i="57"/>
  <c r="BJ314" i="57"/>
  <c r="CC313" i="57"/>
  <c r="BJ313" i="57"/>
  <c r="BJ311" i="57"/>
  <c r="CC311" i="57"/>
  <c r="CC310" i="57"/>
  <c r="BJ310" i="57"/>
  <c r="CC308" i="57"/>
  <c r="BJ308" i="57"/>
  <c r="CC307" i="57"/>
  <c r="BJ307" i="57"/>
  <c r="CC305" i="57"/>
  <c r="BJ305" i="57"/>
  <c r="CC304" i="57"/>
  <c r="BJ304" i="57"/>
  <c r="BJ302" i="57"/>
  <c r="CC302" i="57"/>
  <c r="CC301" i="57"/>
  <c r="BJ301" i="57"/>
  <c r="BJ299" i="57"/>
  <c r="CC299" i="57"/>
  <c r="CC298" i="57"/>
  <c r="BJ298" i="57"/>
  <c r="CC296" i="57"/>
  <c r="BJ296" i="57"/>
  <c r="BJ295" i="57"/>
  <c r="CC295" i="57"/>
  <c r="CC293" i="57"/>
  <c r="BJ293" i="57"/>
  <c r="CC292" i="57"/>
  <c r="BJ292" i="57"/>
  <c r="BJ290" i="57"/>
  <c r="CC290" i="57"/>
  <c r="CC289" i="57"/>
  <c r="BJ289" i="57"/>
  <c r="BJ287" i="57"/>
  <c r="CC287" i="57"/>
  <c r="BJ286" i="57"/>
  <c r="CC286" i="57"/>
  <c r="CC284" i="57"/>
  <c r="BJ284" i="57"/>
  <c r="BJ283" i="57"/>
  <c r="CC283" i="57"/>
  <c r="CC281" i="57"/>
  <c r="BJ281" i="57"/>
  <c r="BJ280" i="57"/>
  <c r="CC280" i="57"/>
  <c r="BJ278" i="57"/>
  <c r="CC278" i="57"/>
  <c r="CC277" i="57"/>
  <c r="BJ277" i="57"/>
  <c r="BJ275" i="57"/>
  <c r="CC275" i="57"/>
  <c r="CC274" i="57"/>
  <c r="BJ274" i="57"/>
  <c r="BJ272" i="57"/>
  <c r="CC272" i="57"/>
  <c r="BJ271" i="57"/>
  <c r="CC271" i="57"/>
  <c r="CC269" i="57"/>
  <c r="BJ269" i="57"/>
  <c r="CC268" i="57"/>
  <c r="BJ268" i="57"/>
  <c r="CC266" i="57"/>
  <c r="BJ266" i="57"/>
  <c r="CC265" i="57"/>
  <c r="BJ265" i="57"/>
  <c r="BJ263" i="57"/>
  <c r="CC263" i="57"/>
  <c r="BJ262" i="57"/>
  <c r="CC262" i="57"/>
  <c r="CC260" i="57"/>
  <c r="BJ260" i="57"/>
  <c r="BJ259" i="57"/>
  <c r="CC259" i="57"/>
  <c r="CC257" i="57"/>
  <c r="BJ257" i="57"/>
  <c r="CC256" i="57"/>
  <c r="BJ256" i="57"/>
  <c r="BJ254" i="57"/>
  <c r="CC254" i="57"/>
  <c r="CC253" i="57"/>
  <c r="BJ253" i="57"/>
  <c r="BJ251" i="57"/>
  <c r="CC251" i="57"/>
  <c r="CC250" i="57"/>
  <c r="BJ250" i="57"/>
  <c r="CC248" i="57"/>
  <c r="BJ248" i="57"/>
  <c r="BJ247" i="57"/>
  <c r="CC247" i="57"/>
  <c r="CC245" i="57"/>
  <c r="BJ245" i="57"/>
  <c r="CC244" i="57"/>
  <c r="BJ244" i="57"/>
  <c r="BJ242" i="57"/>
  <c r="CC242" i="57"/>
  <c r="BJ241" i="57"/>
  <c r="CC241" i="57"/>
  <c r="CC239" i="57"/>
  <c r="BJ239" i="57"/>
  <c r="CC238" i="57"/>
  <c r="BJ238" i="57"/>
  <c r="CC236" i="57"/>
  <c r="BJ236" i="57"/>
  <c r="BJ235" i="57"/>
  <c r="CC235" i="57"/>
  <c r="CC233" i="57"/>
  <c r="BJ233" i="57"/>
  <c r="BJ232" i="57"/>
  <c r="CC232" i="57"/>
  <c r="CC230" i="57"/>
  <c r="BJ230" i="57"/>
  <c r="CC229" i="57"/>
  <c r="BJ229" i="57"/>
  <c r="BJ227" i="57"/>
  <c r="CC227" i="57"/>
  <c r="CC226" i="57"/>
  <c r="BJ226" i="57"/>
  <c r="CC224" i="57"/>
  <c r="BJ224" i="57"/>
  <c r="CC223" i="57"/>
  <c r="BJ223" i="57"/>
  <c r="CC221" i="57"/>
  <c r="BJ221" i="57"/>
  <c r="CC220" i="57"/>
  <c r="BJ220" i="57"/>
  <c r="BJ218" i="57"/>
  <c r="CC218" i="57"/>
  <c r="CC217" i="57"/>
  <c r="BJ217" i="57"/>
  <c r="BJ215" i="57"/>
  <c r="CC215" i="57"/>
  <c r="BJ214" i="57"/>
  <c r="CC214" i="57"/>
  <c r="CC212" i="57"/>
  <c r="BJ212" i="57"/>
  <c r="CC211" i="57"/>
  <c r="BJ211" i="57"/>
  <c r="CC209" i="57"/>
  <c r="BJ209" i="57"/>
  <c r="CC208" i="57"/>
  <c r="BJ208" i="57"/>
  <c r="BJ206" i="57"/>
  <c r="CC206" i="57"/>
  <c r="BJ205" i="57"/>
  <c r="CC205" i="57"/>
  <c r="CC203" i="57"/>
  <c r="BJ203" i="57"/>
  <c r="CC202" i="57"/>
  <c r="BJ202" i="57"/>
  <c r="CC200" i="57"/>
  <c r="BJ200" i="57"/>
  <c r="BJ199" i="57"/>
  <c r="CC199" i="57"/>
  <c r="CC197" i="57"/>
  <c r="BJ197" i="57"/>
  <c r="CC196" i="57"/>
  <c r="BJ196" i="57"/>
  <c r="BJ194" i="57"/>
  <c r="CC194" i="57"/>
  <c r="CC193" i="57"/>
  <c r="BJ193" i="57"/>
  <c r="BJ191" i="57"/>
  <c r="CC191" i="57"/>
  <c r="BJ190" i="57"/>
  <c r="CC190" i="57"/>
  <c r="CC188" i="57"/>
  <c r="BJ188" i="57"/>
  <c r="CC187" i="57"/>
  <c r="BJ187" i="57"/>
  <c r="CC185" i="57"/>
  <c r="BJ185" i="57"/>
  <c r="BJ184" i="57"/>
  <c r="CC184" i="57"/>
  <c r="BJ182" i="57"/>
  <c r="CC182" i="57"/>
  <c r="CC181" i="57"/>
  <c r="BJ181" i="57"/>
  <c r="BJ179" i="57"/>
  <c r="CC179" i="57"/>
  <c r="CC178" i="57"/>
  <c r="BJ178" i="57"/>
  <c r="BJ176" i="57"/>
  <c r="CC176" i="57"/>
  <c r="BJ175" i="57"/>
  <c r="CC175" i="57"/>
  <c r="BJ173" i="57"/>
  <c r="CC173" i="57"/>
  <c r="BJ172" i="57"/>
  <c r="CC172" i="57"/>
  <c r="CC170" i="57"/>
  <c r="BJ170" i="57"/>
  <c r="CC169" i="57"/>
  <c r="BJ169" i="57"/>
  <c r="BJ167" i="57"/>
  <c r="CC167" i="57"/>
  <c r="BJ166" i="57"/>
  <c r="CC166" i="57"/>
  <c r="CC164" i="57"/>
  <c r="BJ164" i="57"/>
  <c r="BJ163" i="57"/>
  <c r="CC163" i="57"/>
  <c r="CC161" i="57"/>
  <c r="BJ161" i="57"/>
  <c r="CC160" i="57"/>
  <c r="BJ160" i="57"/>
  <c r="BJ158" i="57"/>
  <c r="CC158" i="57"/>
  <c r="BJ157" i="57"/>
  <c r="CC157" i="57"/>
  <c r="CC155" i="57"/>
  <c r="BJ155" i="57"/>
  <c r="CC154" i="57"/>
  <c r="BJ154" i="57"/>
  <c r="CC152" i="57"/>
  <c r="BJ152" i="57"/>
  <c r="BJ151" i="57"/>
  <c r="CC151" i="57"/>
  <c r="CC149" i="57"/>
  <c r="BJ149" i="57"/>
  <c r="CC148" i="57"/>
  <c r="BJ148" i="57"/>
  <c r="CC146" i="57"/>
  <c r="BJ146" i="57"/>
  <c r="BJ145" i="57"/>
  <c r="CC145" i="57"/>
  <c r="BJ143" i="57"/>
  <c r="CC143" i="57"/>
  <c r="BJ142" i="57"/>
  <c r="CC142" i="57"/>
  <c r="CC140" i="57"/>
  <c r="BJ140" i="57"/>
  <c r="CC139" i="57"/>
  <c r="BJ139" i="57"/>
  <c r="CC137" i="57"/>
  <c r="BJ137" i="57"/>
  <c r="CC136" i="57"/>
  <c r="BJ136" i="57"/>
  <c r="BJ134" i="57"/>
  <c r="CC134" i="57"/>
  <c r="BJ133" i="57"/>
  <c r="CC133" i="57"/>
  <c r="CC131" i="57"/>
  <c r="BJ131" i="57"/>
  <c r="BJ130" i="57"/>
  <c r="CC130" i="57"/>
  <c r="CC128" i="57"/>
  <c r="BJ128" i="57"/>
  <c r="BJ127" i="57"/>
  <c r="CC127" i="57"/>
  <c r="CC125" i="57"/>
  <c r="BJ125" i="57"/>
  <c r="CC124" i="57"/>
  <c r="BJ124" i="57"/>
  <c r="CC122" i="57"/>
  <c r="BJ122" i="57"/>
  <c r="CC121" i="57"/>
  <c r="BJ121" i="57"/>
  <c r="BJ119" i="57"/>
  <c r="CC119" i="57"/>
  <c r="CC118" i="57"/>
  <c r="BJ118" i="57"/>
  <c r="CC116" i="57"/>
  <c r="BJ116" i="57"/>
  <c r="BJ115" i="57"/>
  <c r="CC115" i="57"/>
  <c r="CC113" i="57"/>
  <c r="BJ113" i="57"/>
  <c r="CC112" i="57"/>
  <c r="BJ112" i="57"/>
  <c r="CC110" i="57"/>
  <c r="BJ110" i="57"/>
  <c r="CC109" i="57"/>
  <c r="BJ109" i="57"/>
  <c r="BJ107" i="57"/>
  <c r="CC107" i="57"/>
  <c r="CC106" i="57"/>
  <c r="BJ106" i="57"/>
  <c r="CC104" i="57"/>
  <c r="BJ104" i="57"/>
  <c r="BJ103" i="57"/>
  <c r="CC103" i="57"/>
  <c r="CC101" i="57"/>
  <c r="BJ101" i="57"/>
  <c r="CC100" i="57"/>
  <c r="BJ100" i="57"/>
  <c r="BJ98" i="57"/>
  <c r="CC98" i="57"/>
  <c r="CC97" i="57"/>
  <c r="BJ97" i="57"/>
  <c r="BJ95" i="57"/>
  <c r="CC95" i="57"/>
  <c r="CC94" i="57"/>
  <c r="BJ94" i="57"/>
  <c r="CC92" i="57"/>
  <c r="BJ92" i="57"/>
  <c r="CC91" i="57"/>
  <c r="BJ91" i="57"/>
  <c r="BJ89" i="57"/>
  <c r="CC89" i="57"/>
  <c r="BJ88" i="57"/>
  <c r="CC88" i="57"/>
  <c r="CC86" i="57"/>
  <c r="BJ86" i="57"/>
  <c r="CC85" i="57"/>
  <c r="BJ85" i="57"/>
  <c r="CC83" i="57"/>
  <c r="BJ83" i="57"/>
  <c r="BJ82" i="57"/>
  <c r="CC82" i="57"/>
  <c r="CC80" i="57"/>
  <c r="BJ80" i="57"/>
  <c r="BJ79" i="57"/>
  <c r="CC79" i="57"/>
  <c r="CC77" i="57"/>
  <c r="BJ77" i="57"/>
  <c r="CC76" i="57"/>
  <c r="BJ76" i="57"/>
  <c r="BJ74" i="57"/>
  <c r="CC74" i="57"/>
  <c r="CC73" i="57"/>
  <c r="BJ73" i="57"/>
  <c r="AH461" i="57"/>
  <c r="AH463" i="57"/>
  <c r="AF40" i="57"/>
  <c r="AI461" i="57"/>
  <c r="AI463" i="57"/>
  <c r="AE40" i="57"/>
  <c r="AF39" i="57"/>
  <c r="AE39" i="57"/>
  <c r="AJ461" i="57"/>
  <c r="AJ463" i="57"/>
  <c r="AJ39" i="57"/>
  <c r="AI462" i="57"/>
  <c r="AG39" i="57"/>
  <c r="AG463" i="57"/>
  <c r="AG40" i="57"/>
  <c r="AG462" i="57"/>
  <c r="AG464" i="57"/>
  <c r="AI39" i="57"/>
  <c r="AI40" i="57"/>
  <c r="AJ462" i="57"/>
  <c r="AG461" i="57"/>
  <c r="AH462" i="57"/>
  <c r="AH464" i="57"/>
  <c r="AJ40" i="57"/>
  <c r="AH39" i="57"/>
  <c r="AI464" i="57"/>
  <c r="AJ464" i="57"/>
  <c r="AH40" i="57"/>
  <c r="P13" i="57"/>
  <c r="AI448" i="57"/>
  <c r="AI450" i="57"/>
  <c r="AI452" i="57"/>
  <c r="AJ448" i="57"/>
  <c r="AJ450" i="57"/>
  <c r="AJ452" i="57"/>
  <c r="AH452" i="57"/>
  <c r="AG449" i="57"/>
  <c r="AG451" i="57"/>
  <c r="AG453" i="57"/>
  <c r="AJ449" i="57"/>
  <c r="AG450" i="57"/>
  <c r="AH448" i="57"/>
  <c r="AH449" i="57"/>
  <c r="AH451" i="57"/>
  <c r="AH453" i="57"/>
  <c r="AJ451" i="57"/>
  <c r="AG448" i="57"/>
  <c r="AI449" i="57"/>
  <c r="AI451" i="57"/>
  <c r="AI453" i="57"/>
  <c r="AJ453" i="57"/>
  <c r="AG452" i="57"/>
  <c r="AH450" i="57"/>
  <c r="AH477" i="57"/>
  <c r="AI476" i="57"/>
  <c r="AH476" i="57"/>
  <c r="AI483" i="57"/>
  <c r="AG480" i="57"/>
  <c r="AH475" i="57"/>
  <c r="AI474" i="57"/>
  <c r="AH481" i="57"/>
  <c r="AI481" i="57"/>
  <c r="AG481" i="57"/>
  <c r="AI475" i="57"/>
  <c r="AI477" i="57"/>
  <c r="AG477" i="57"/>
  <c r="AG476" i="57"/>
  <c r="AG475" i="57"/>
  <c r="AI480" i="57"/>
  <c r="AH474" i="57"/>
  <c r="AH482" i="57"/>
  <c r="AJ477" i="57"/>
  <c r="AJ476" i="57"/>
  <c r="AG474" i="57"/>
  <c r="AJ474" i="57"/>
  <c r="AJ475" i="57"/>
  <c r="AJ480" i="57"/>
  <c r="AG482" i="57"/>
  <c r="AJ481" i="57"/>
  <c r="AI487" i="57"/>
  <c r="AH483" i="57"/>
  <c r="AJ483" i="57"/>
  <c r="AH480" i="57"/>
  <c r="AJ482" i="57"/>
  <c r="AG487" i="57"/>
  <c r="AI482" i="57"/>
  <c r="AG483" i="57"/>
  <c r="AH487" i="57"/>
  <c r="AJ487" i="57"/>
  <c r="AI486" i="57"/>
  <c r="AI493" i="57"/>
  <c r="AH493" i="57"/>
  <c r="AH486" i="57"/>
  <c r="AI488" i="57"/>
  <c r="AG489" i="57"/>
  <c r="AI489" i="57"/>
  <c r="AJ489" i="57"/>
  <c r="AG486" i="57"/>
  <c r="AG493" i="57"/>
  <c r="AJ486" i="57"/>
  <c r="AJ493" i="57"/>
  <c r="AH489" i="57"/>
  <c r="AH488" i="57"/>
  <c r="AJ488" i="57"/>
  <c r="AG488" i="57"/>
  <c r="AI500" i="57"/>
  <c r="AH492" i="57"/>
  <c r="AH495" i="57"/>
  <c r="AJ492" i="57"/>
  <c r="AH494" i="57"/>
  <c r="AH499" i="57"/>
  <c r="AI499" i="57"/>
  <c r="AH500" i="57"/>
  <c r="AI492" i="57"/>
  <c r="AI495" i="57"/>
  <c r="AJ500" i="57"/>
  <c r="AG495" i="57"/>
  <c r="AJ494" i="57"/>
  <c r="AG500" i="57"/>
  <c r="AG492" i="57"/>
  <c r="AJ495" i="57"/>
  <c r="AI494" i="57"/>
  <c r="AG499" i="57"/>
  <c r="AJ499" i="57"/>
  <c r="AG494" i="57"/>
  <c r="AI506" i="57"/>
  <c r="AG505" i="57"/>
  <c r="AJ506" i="57"/>
  <c r="AG498" i="57"/>
  <c r="AJ498" i="57"/>
  <c r="AG506" i="57"/>
  <c r="AH505" i="57"/>
  <c r="AJ505" i="57"/>
  <c r="AI501" i="57"/>
  <c r="AJ501" i="57"/>
  <c r="AG501" i="57"/>
  <c r="AH506" i="57"/>
  <c r="AI505" i="57"/>
  <c r="AI498" i="57"/>
  <c r="AH501" i="57"/>
  <c r="AH498" i="57"/>
  <c r="AG504" i="57"/>
  <c r="AH507" i="57"/>
  <c r="AG507" i="57"/>
  <c r="AI504" i="57"/>
  <c r="AH504" i="57"/>
  <c r="AJ507" i="57"/>
  <c r="AI507" i="57"/>
  <c r="AJ504" i="57"/>
  <c r="X13" i="57"/>
  <c r="X455" i="57" s="1"/>
  <c r="Q13" i="57"/>
  <c r="AA13" i="57"/>
  <c r="BQ110" i="57" s="1"/>
  <c r="AJ13" i="57"/>
  <c r="S13" i="57"/>
  <c r="S455" i="57" s="1"/>
  <c r="AF13" i="57"/>
  <c r="BV69" i="57" s="1"/>
  <c r="Y13" i="57"/>
  <c r="Y455" i="57" s="1"/>
  <c r="R13" i="57"/>
  <c r="R455" i="57" s="1"/>
  <c r="Z13" i="57"/>
  <c r="Z455" i="57" s="1"/>
  <c r="T13" i="57"/>
  <c r="T455" i="57" s="1"/>
  <c r="U13" i="57"/>
  <c r="U455" i="57" s="1"/>
  <c r="AC13" i="57"/>
  <c r="AC455" i="57" s="1"/>
  <c r="V13" i="57"/>
  <c r="BL107" i="57" s="1"/>
  <c r="AD13" i="57"/>
  <c r="AD455" i="57" s="1"/>
  <c r="AB13" i="57"/>
  <c r="AB455" i="57" s="1"/>
  <c r="W13" i="57"/>
  <c r="W455" i="57" s="1"/>
  <c r="AE13" i="57"/>
  <c r="BU98" i="57" s="1"/>
  <c r="AJ13" i="36"/>
  <c r="BF386" i="36"/>
  <c r="BF59" i="36" s="1"/>
  <c r="AF13" i="36"/>
  <c r="BC386" i="36"/>
  <c r="BC59" i="36" s="1"/>
  <c r="Z13" i="36"/>
  <c r="AJ57" i="36"/>
  <c r="AQ386" i="36"/>
  <c r="BJ386" i="36" s="1"/>
  <c r="AH461" i="36"/>
  <c r="AG462" i="36"/>
  <c r="AG461" i="36"/>
  <c r="AH462" i="36"/>
  <c r="AI462" i="36"/>
  <c r="AI461" i="36"/>
  <c r="AF57" i="36"/>
  <c r="AE57" i="36"/>
  <c r="AB13" i="36"/>
  <c r="AD57" i="36"/>
  <c r="AH453" i="36"/>
  <c r="AI450" i="36"/>
  <c r="AH448" i="36"/>
  <c r="AI453" i="36"/>
  <c r="AH449" i="36"/>
  <c r="AG449" i="36"/>
  <c r="AH451" i="36"/>
  <c r="AG452" i="36"/>
  <c r="AG450" i="36"/>
  <c r="AI451" i="36"/>
  <c r="AG448" i="36"/>
  <c r="AI452" i="36"/>
  <c r="AI448" i="36"/>
  <c r="AG451" i="36"/>
  <c r="AI449" i="36"/>
  <c r="AH450" i="36"/>
  <c r="AH452" i="36"/>
  <c r="AG453" i="36"/>
  <c r="AH472" i="36"/>
  <c r="AG472" i="36"/>
  <c r="AG473" i="36"/>
  <c r="AH477" i="36"/>
  <c r="AI473" i="36"/>
  <c r="AG477" i="36"/>
  <c r="AH481" i="36"/>
  <c r="AI472" i="36"/>
  <c r="AI476" i="36"/>
  <c r="AI477" i="36"/>
  <c r="AG476" i="36"/>
  <c r="AH473" i="36"/>
  <c r="AI481" i="36"/>
  <c r="AG481" i="36"/>
  <c r="AH476" i="36"/>
  <c r="AI480" i="36"/>
  <c r="AH480" i="36"/>
  <c r="AI485" i="36"/>
  <c r="AG480" i="36"/>
  <c r="AG485" i="36"/>
  <c r="AH485" i="36"/>
  <c r="AI489" i="36"/>
  <c r="AH489" i="36"/>
  <c r="AH484" i="36"/>
  <c r="AG489" i="36"/>
  <c r="AI484" i="36"/>
  <c r="AG484" i="36"/>
  <c r="AH493" i="36"/>
  <c r="AI493" i="36"/>
  <c r="AG488" i="36"/>
  <c r="AG493" i="36"/>
  <c r="AH488" i="36"/>
  <c r="AI488" i="36"/>
  <c r="AG492" i="36"/>
  <c r="AH492" i="36"/>
  <c r="AI492" i="36"/>
  <c r="AA13" i="36"/>
  <c r="AC57" i="36"/>
  <c r="P481" i="57"/>
  <c r="K481" i="57"/>
  <c r="Q481" i="57"/>
  <c r="O477" i="57"/>
  <c r="Q476" i="57"/>
  <c r="M475" i="57"/>
  <c r="R476" i="57"/>
  <c r="Q477" i="57"/>
  <c r="M476" i="57"/>
  <c r="Q475" i="57"/>
  <c r="O487" i="57"/>
  <c r="K476" i="57"/>
  <c r="O482" i="57"/>
  <c r="N474" i="57"/>
  <c r="P483" i="57"/>
  <c r="P487" i="57"/>
  <c r="L477" i="57"/>
  <c r="L476" i="57"/>
  <c r="M474" i="57"/>
  <c r="R474" i="57"/>
  <c r="R475" i="57"/>
  <c r="K475" i="57"/>
  <c r="P475" i="57"/>
  <c r="P474" i="57"/>
  <c r="L481" i="57"/>
  <c r="R477" i="57"/>
  <c r="N475" i="57"/>
  <c r="N480" i="57"/>
  <c r="N477" i="57"/>
  <c r="K480" i="57"/>
  <c r="O474" i="57"/>
  <c r="R480" i="57"/>
  <c r="K477" i="57"/>
  <c r="P480" i="57"/>
  <c r="K474" i="57"/>
  <c r="O481" i="57"/>
  <c r="N476" i="57"/>
  <c r="L475" i="57"/>
  <c r="P476" i="57"/>
  <c r="L474" i="57"/>
  <c r="M480" i="57"/>
  <c r="N481" i="57"/>
  <c r="Q487" i="57"/>
  <c r="Q474" i="57"/>
  <c r="O475" i="57"/>
  <c r="R481" i="57"/>
  <c r="M477" i="57"/>
  <c r="Q480" i="57"/>
  <c r="O476" i="57"/>
  <c r="M481" i="57"/>
  <c r="P477" i="57"/>
  <c r="K483" i="57"/>
  <c r="Q482" i="57"/>
  <c r="R483" i="57"/>
  <c r="Q483" i="57"/>
  <c r="P482" i="57"/>
  <c r="M483" i="57"/>
  <c r="M482" i="57"/>
  <c r="O480" i="57"/>
  <c r="N483" i="57"/>
  <c r="L482" i="57"/>
  <c r="N487" i="57"/>
  <c r="L487" i="57"/>
  <c r="L480" i="57"/>
  <c r="O483" i="57"/>
  <c r="R487" i="57"/>
  <c r="K482" i="57"/>
  <c r="N482" i="57"/>
  <c r="L483" i="57"/>
  <c r="R482" i="57"/>
  <c r="K487" i="57"/>
  <c r="M487" i="57"/>
  <c r="M486" i="57"/>
  <c r="Q489" i="57"/>
  <c r="K488" i="57"/>
  <c r="N493" i="57"/>
  <c r="M488" i="57"/>
  <c r="O489" i="57"/>
  <c r="K493" i="57"/>
  <c r="O486" i="57"/>
  <c r="N488" i="57"/>
  <c r="N486" i="57"/>
  <c r="N489" i="57"/>
  <c r="O488" i="57"/>
  <c r="P493" i="57"/>
  <c r="K489" i="57"/>
  <c r="K486" i="57"/>
  <c r="Q488" i="57"/>
  <c r="P488" i="57"/>
  <c r="L489" i="57"/>
  <c r="R486" i="57"/>
  <c r="O493" i="57"/>
  <c r="M489" i="57"/>
  <c r="Q493" i="57"/>
  <c r="Q486" i="57"/>
  <c r="R489" i="57"/>
  <c r="R488" i="57"/>
  <c r="L493" i="57"/>
  <c r="P486" i="57"/>
  <c r="P489" i="57"/>
  <c r="L488" i="57"/>
  <c r="M493" i="57"/>
  <c r="R493" i="57"/>
  <c r="L486" i="57"/>
  <c r="L495" i="57"/>
  <c r="K499" i="57"/>
  <c r="O492" i="57"/>
  <c r="O500" i="57"/>
  <c r="L494" i="57"/>
  <c r="P499" i="57"/>
  <c r="P500" i="57"/>
  <c r="K495" i="57"/>
  <c r="Q500" i="57"/>
  <c r="Q499" i="57"/>
  <c r="R494" i="57"/>
  <c r="N495" i="57"/>
  <c r="N499" i="57"/>
  <c r="M492" i="57"/>
  <c r="K500" i="57"/>
  <c r="K494" i="57"/>
  <c r="O495" i="57"/>
  <c r="M494" i="57"/>
  <c r="P495" i="57"/>
  <c r="M495" i="57"/>
  <c r="M499" i="57"/>
  <c r="Q492" i="57"/>
  <c r="M500" i="57"/>
  <c r="Q494" i="57"/>
  <c r="L492" i="57"/>
  <c r="O499" i="57"/>
  <c r="N494" i="57"/>
  <c r="R492" i="57"/>
  <c r="Q495" i="57"/>
  <c r="R499" i="57"/>
  <c r="P492" i="57"/>
  <c r="L500" i="57"/>
  <c r="O494" i="57"/>
  <c r="R495" i="57"/>
  <c r="L499" i="57"/>
  <c r="N492" i="57"/>
  <c r="R500" i="57"/>
  <c r="P494" i="57"/>
  <c r="K492" i="57"/>
  <c r="N500" i="57"/>
  <c r="P506" i="57"/>
  <c r="R501" i="57"/>
  <c r="Q505" i="57"/>
  <c r="R498" i="57"/>
  <c r="O501" i="57"/>
  <c r="R506" i="57"/>
  <c r="N501" i="57"/>
  <c r="M506" i="57"/>
  <c r="K501" i="57"/>
  <c r="L505" i="57"/>
  <c r="O498" i="57"/>
  <c r="M505" i="57"/>
  <c r="O505" i="57"/>
  <c r="N505" i="57"/>
  <c r="Q506" i="57"/>
  <c r="P501" i="57"/>
  <c r="K505" i="57"/>
  <c r="M498" i="57"/>
  <c r="O506" i="57"/>
  <c r="K498" i="57"/>
  <c r="Q498" i="57"/>
  <c r="L506" i="57"/>
  <c r="K506" i="57"/>
  <c r="Q501" i="57"/>
  <c r="R505" i="57"/>
  <c r="P498" i="57"/>
  <c r="N506" i="57"/>
  <c r="M501" i="57"/>
  <c r="P505" i="57"/>
  <c r="L498" i="57"/>
  <c r="L501" i="57"/>
  <c r="N498" i="57"/>
  <c r="P504" i="57"/>
  <c r="M507" i="57"/>
  <c r="O504" i="57"/>
  <c r="N504" i="57"/>
  <c r="R507" i="57"/>
  <c r="Q507" i="57"/>
  <c r="L507" i="57"/>
  <c r="M504" i="57"/>
  <c r="K507" i="57"/>
  <c r="N507" i="57"/>
  <c r="K504" i="57"/>
  <c r="P507" i="57"/>
  <c r="Q504" i="57"/>
  <c r="O507" i="57"/>
  <c r="L504" i="57"/>
  <c r="R504" i="57"/>
  <c r="BI385" i="36"/>
  <c r="CB385" i="36"/>
  <c r="AP386" i="36"/>
  <c r="L472" i="36"/>
  <c r="P473" i="36"/>
  <c r="K473" i="36"/>
  <c r="Q472" i="36"/>
  <c r="P477" i="36"/>
  <c r="Q477" i="36"/>
  <c r="O477" i="36"/>
  <c r="L477" i="36"/>
  <c r="Q473" i="36"/>
  <c r="N472" i="36"/>
  <c r="K476" i="36"/>
  <c r="L476" i="36"/>
  <c r="K477" i="36"/>
  <c r="P472" i="36"/>
  <c r="O476" i="36"/>
  <c r="M477" i="36"/>
  <c r="O472" i="36"/>
  <c r="M473" i="36"/>
  <c r="N477" i="36"/>
  <c r="O473" i="36"/>
  <c r="L473" i="36"/>
  <c r="M476" i="36"/>
  <c r="N473" i="36"/>
  <c r="M472" i="36"/>
  <c r="K472" i="36"/>
  <c r="P476" i="36"/>
  <c r="O481" i="36"/>
  <c r="K481" i="36"/>
  <c r="Q481" i="36"/>
  <c r="N481" i="36"/>
  <c r="L481" i="36"/>
  <c r="M481" i="36"/>
  <c r="Q476" i="36"/>
  <c r="N476" i="36"/>
  <c r="P481" i="36"/>
  <c r="O485" i="36"/>
  <c r="P480" i="36"/>
  <c r="N485" i="36"/>
  <c r="Q480" i="36"/>
  <c r="M485" i="36"/>
  <c r="M480" i="36"/>
  <c r="L480" i="36"/>
  <c r="L485" i="36"/>
  <c r="P485" i="36"/>
  <c r="N480" i="36"/>
  <c r="Q485" i="36"/>
  <c r="K485" i="36"/>
  <c r="O480" i="36"/>
  <c r="K480" i="36"/>
  <c r="O489" i="36"/>
  <c r="O484" i="36"/>
  <c r="Q489" i="36"/>
  <c r="Q484" i="36"/>
  <c r="L489" i="36"/>
  <c r="P484" i="36"/>
  <c r="K489" i="36"/>
  <c r="P489" i="36"/>
  <c r="K484" i="36"/>
  <c r="L484" i="36"/>
  <c r="M489" i="36"/>
  <c r="N489" i="36"/>
  <c r="M484" i="36"/>
  <c r="N484" i="36"/>
  <c r="P488" i="36"/>
  <c r="N493" i="36"/>
  <c r="K488" i="36"/>
  <c r="Q493" i="36"/>
  <c r="O488" i="36"/>
  <c r="K493" i="36"/>
  <c r="L493" i="36"/>
  <c r="O493" i="36"/>
  <c r="L488" i="36"/>
  <c r="P493" i="36"/>
  <c r="N488" i="36"/>
  <c r="Q488" i="36"/>
  <c r="M493" i="36"/>
  <c r="M488" i="36"/>
  <c r="M492" i="36"/>
  <c r="K492" i="36"/>
  <c r="N492" i="36"/>
  <c r="Q492" i="36"/>
  <c r="O492" i="36"/>
  <c r="P492" i="36"/>
  <c r="L492" i="36"/>
  <c r="BJ385" i="36"/>
  <c r="CC385" i="36"/>
  <c r="BB56" i="36"/>
  <c r="BU68" i="36"/>
  <c r="BU56" i="36" s="1"/>
  <c r="BB386" i="36"/>
  <c r="BB59" i="36" s="1"/>
  <c r="AT386" i="36"/>
  <c r="AT59" i="36" s="1"/>
  <c r="BF56" i="36"/>
  <c r="BY56" i="36"/>
  <c r="BA386" i="36"/>
  <c r="BA59" i="36" s="1"/>
  <c r="AZ386" i="36"/>
  <c r="AZ59" i="36" s="1"/>
  <c r="AR386" i="36"/>
  <c r="AR59" i="36" s="1"/>
  <c r="BR68" i="36"/>
  <c r="BR56" i="36" s="1"/>
  <c r="AY56" i="36"/>
  <c r="AW386" i="36"/>
  <c r="AW59" i="36" s="1"/>
  <c r="AY386" i="36"/>
  <c r="AY59" i="36" s="1"/>
  <c r="AX386" i="36"/>
  <c r="AX59" i="36" s="1"/>
  <c r="BS68" i="36"/>
  <c r="BS56" i="36" s="1"/>
  <c r="AZ56" i="36"/>
  <c r="AV386" i="36"/>
  <c r="AV59" i="36" s="1"/>
  <c r="AS386" i="36"/>
  <c r="AS59" i="36" s="1"/>
  <c r="BA56" i="36"/>
  <c r="BT68" i="36"/>
  <c r="BT56" i="36" s="1"/>
  <c r="AU386" i="36"/>
  <c r="AU59" i="36" s="1"/>
  <c r="AE475" i="57"/>
  <c r="T474" i="57"/>
  <c r="AF474" i="57"/>
  <c r="S474" i="57"/>
  <c r="AB475" i="57"/>
  <c r="Y474" i="57"/>
  <c r="S475" i="57"/>
  <c r="U480" i="57"/>
  <c r="W481" i="57"/>
  <c r="S481" i="57"/>
  <c r="AF477" i="57"/>
  <c r="AD476" i="57"/>
  <c r="X476" i="57"/>
  <c r="Y477" i="57"/>
  <c r="Z481" i="57"/>
  <c r="AE481" i="57"/>
  <c r="X480" i="57"/>
  <c r="Y475" i="57"/>
  <c r="V477" i="57"/>
  <c r="Y482" i="57"/>
  <c r="AA475" i="57"/>
  <c r="U475" i="57"/>
  <c r="AC474" i="57"/>
  <c r="AA481" i="57"/>
  <c r="AB477" i="57"/>
  <c r="AD483" i="57"/>
  <c r="X483" i="57"/>
  <c r="AA474" i="57"/>
  <c r="U474" i="57"/>
  <c r="AC481" i="57"/>
  <c r="Z474" i="57"/>
  <c r="U481" i="57"/>
  <c r="AC487" i="57"/>
  <c r="X474" i="57"/>
  <c r="Z475" i="57"/>
  <c r="X475" i="57"/>
  <c r="V474" i="57"/>
  <c r="S477" i="57"/>
  <c r="AF475" i="57"/>
  <c r="Y476" i="57"/>
  <c r="T481" i="57"/>
  <c r="AD474" i="57"/>
  <c r="AE474" i="57"/>
  <c r="AE483" i="57"/>
  <c r="V482" i="57"/>
  <c r="Y487" i="57"/>
  <c r="AB474" i="57"/>
  <c r="Y481" i="57"/>
  <c r="V475" i="57"/>
  <c r="W475" i="57"/>
  <c r="T477" i="57"/>
  <c r="V481" i="57"/>
  <c r="T476" i="57"/>
  <c r="W476" i="57"/>
  <c r="AB476" i="57"/>
  <c r="AC475" i="57"/>
  <c r="W477" i="57"/>
  <c r="V476" i="57"/>
  <c r="X481" i="57"/>
  <c r="T475" i="57"/>
  <c r="W474" i="57"/>
  <c r="Z476" i="57"/>
  <c r="X477" i="57"/>
  <c r="AA483" i="57"/>
  <c r="T483" i="57"/>
  <c r="AD481" i="57"/>
  <c r="AA476" i="57"/>
  <c r="AC477" i="57"/>
  <c r="U477" i="57"/>
  <c r="U476" i="57"/>
  <c r="AF476" i="57"/>
  <c r="AA477" i="57"/>
  <c r="AE476" i="57"/>
  <c r="U483" i="57"/>
  <c r="AF481" i="57"/>
  <c r="S476" i="57"/>
  <c r="AC476" i="57"/>
  <c r="Z477" i="57"/>
  <c r="AD475" i="57"/>
  <c r="AB481" i="57"/>
  <c r="AE477" i="57"/>
  <c r="AD477" i="57"/>
  <c r="S483" i="57"/>
  <c r="AE482" i="57"/>
  <c r="AE480" i="57"/>
  <c r="Z487" i="57"/>
  <c r="AF480" i="57"/>
  <c r="V483" i="57"/>
  <c r="AA488" i="57"/>
  <c r="V480" i="57"/>
  <c r="Z480" i="57"/>
  <c r="AC483" i="57"/>
  <c r="AA482" i="57"/>
  <c r="AB487" i="57"/>
  <c r="W480" i="57"/>
  <c r="S480" i="57"/>
  <c r="AB488" i="57"/>
  <c r="AA480" i="57"/>
  <c r="Z488" i="57"/>
  <c r="AF482" i="57"/>
  <c r="Y488" i="57"/>
  <c r="S488" i="57"/>
  <c r="W487" i="57"/>
  <c r="X482" i="57"/>
  <c r="X487" i="57"/>
  <c r="U482" i="57"/>
  <c r="T480" i="57"/>
  <c r="AB480" i="57"/>
  <c r="S482" i="57"/>
  <c r="AB482" i="57"/>
  <c r="AB483" i="57"/>
  <c r="AD480" i="57"/>
  <c r="U487" i="57"/>
  <c r="W482" i="57"/>
  <c r="V487" i="57"/>
  <c r="W483" i="57"/>
  <c r="Y480" i="57"/>
  <c r="AC480" i="57"/>
  <c r="Z482" i="57"/>
  <c r="AF487" i="57"/>
  <c r="AE487" i="57"/>
  <c r="Y483" i="57"/>
  <c r="AD482" i="57"/>
  <c r="S487" i="57"/>
  <c r="U488" i="57"/>
  <c r="AF483" i="57"/>
  <c r="AC482" i="57"/>
  <c r="T482" i="57"/>
  <c r="AA487" i="57"/>
  <c r="AD487" i="57"/>
  <c r="AE488" i="57"/>
  <c r="T487" i="57"/>
  <c r="Z483" i="57"/>
  <c r="AF493" i="57"/>
  <c r="AA493" i="57"/>
  <c r="T488" i="57"/>
  <c r="X494" i="57"/>
  <c r="W494" i="57"/>
  <c r="Z489" i="57"/>
  <c r="AC486" i="57"/>
  <c r="AF486" i="57"/>
  <c r="V494" i="57"/>
  <c r="V489" i="57"/>
  <c r="AB486" i="57"/>
  <c r="AC493" i="57"/>
  <c r="X493" i="57"/>
  <c r="Z493" i="57"/>
  <c r="V488" i="57"/>
  <c r="S494" i="57"/>
  <c r="AD489" i="57"/>
  <c r="V486" i="57"/>
  <c r="U493" i="57"/>
  <c r="S489" i="57"/>
  <c r="W486" i="57"/>
  <c r="AF488" i="57"/>
  <c r="W488" i="57"/>
  <c r="AD494" i="57"/>
  <c r="AA489" i="57"/>
  <c r="W493" i="57"/>
  <c r="V493" i="57"/>
  <c r="AD488" i="57"/>
  <c r="Z494" i="57"/>
  <c r="AC494" i="57"/>
  <c r="AF489" i="57"/>
  <c r="U489" i="57"/>
  <c r="S486" i="57"/>
  <c r="X488" i="57"/>
  <c r="U494" i="57"/>
  <c r="AE486" i="57"/>
  <c r="AD493" i="57"/>
  <c r="AE494" i="57"/>
  <c r="AA486" i="57"/>
  <c r="AE493" i="57"/>
  <c r="AC488" i="57"/>
  <c r="AB494" i="57"/>
  <c r="AF494" i="57"/>
  <c r="Y489" i="57"/>
  <c r="AC489" i="57"/>
  <c r="AD486" i="57"/>
  <c r="Y486" i="57"/>
  <c r="Y493" i="57"/>
  <c r="S493" i="57"/>
  <c r="Y494" i="57"/>
  <c r="T489" i="57"/>
  <c r="X489" i="57"/>
  <c r="T486" i="57"/>
  <c r="X486" i="57"/>
  <c r="T494" i="57"/>
  <c r="AE489" i="57"/>
  <c r="Z486" i="57"/>
  <c r="AB493" i="57"/>
  <c r="AA494" i="57"/>
  <c r="W489" i="57"/>
  <c r="T493" i="57"/>
  <c r="AB489" i="57"/>
  <c r="U486" i="57"/>
  <c r="AE499" i="57"/>
  <c r="T499" i="57"/>
  <c r="W499" i="57"/>
  <c r="Z492" i="57"/>
  <c r="U495" i="57"/>
  <c r="AC500" i="57"/>
  <c r="AF492" i="57"/>
  <c r="T495" i="57"/>
  <c r="Y500" i="57"/>
  <c r="AC499" i="57"/>
  <c r="V492" i="57"/>
  <c r="AF495" i="57"/>
  <c r="U500" i="57"/>
  <c r="S499" i="57"/>
  <c r="AD499" i="57"/>
  <c r="U499" i="57"/>
  <c r="Y492" i="57"/>
  <c r="W492" i="57"/>
  <c r="AD495" i="57"/>
  <c r="Z500" i="57"/>
  <c r="AF500" i="57"/>
  <c r="X499" i="57"/>
  <c r="AD492" i="57"/>
  <c r="Z495" i="57"/>
  <c r="AB500" i="57"/>
  <c r="AF499" i="57"/>
  <c r="AC492" i="57"/>
  <c r="X492" i="57"/>
  <c r="S495" i="57"/>
  <c r="Z499" i="57"/>
  <c r="X495" i="57"/>
  <c r="AE500" i="57"/>
  <c r="T492" i="57"/>
  <c r="Y495" i="57"/>
  <c r="X500" i="57"/>
  <c r="AB499" i="57"/>
  <c r="AE492" i="57"/>
  <c r="AB492" i="57"/>
  <c r="V495" i="57"/>
  <c r="AA495" i="57"/>
  <c r="AD500" i="57"/>
  <c r="V499" i="57"/>
  <c r="AA499" i="57"/>
  <c r="U492" i="57"/>
  <c r="AE495" i="57"/>
  <c r="AB495" i="57"/>
  <c r="AA500" i="57"/>
  <c r="T500" i="57"/>
  <c r="V500" i="57"/>
  <c r="S492" i="57"/>
  <c r="AC495" i="57"/>
  <c r="S500" i="57"/>
  <c r="AA492" i="57"/>
  <c r="W495" i="57"/>
  <c r="W500" i="57"/>
  <c r="Y499" i="57"/>
  <c r="AF505" i="57"/>
  <c r="T505" i="57"/>
  <c r="Z505" i="57"/>
  <c r="AE506" i="57"/>
  <c r="Z506" i="57"/>
  <c r="T501" i="57"/>
  <c r="X501" i="57"/>
  <c r="Z498" i="57"/>
  <c r="AD498" i="57"/>
  <c r="Y506" i="57"/>
  <c r="AD501" i="57"/>
  <c r="X505" i="57"/>
  <c r="W506" i="57"/>
  <c r="AB506" i="57"/>
  <c r="U501" i="57"/>
  <c r="AC498" i="57"/>
  <c r="Y498" i="57"/>
  <c r="X498" i="57"/>
  <c r="AE505" i="57"/>
  <c r="AA505" i="57"/>
  <c r="AC506" i="57"/>
  <c r="S501" i="57"/>
  <c r="U498" i="57"/>
  <c r="AF498" i="57"/>
  <c r="U505" i="57"/>
  <c r="AD506" i="57"/>
  <c r="Z501" i="57"/>
  <c r="AF501" i="57"/>
  <c r="W498" i="57"/>
  <c r="AC505" i="57"/>
  <c r="S506" i="57"/>
  <c r="AA498" i="57"/>
  <c r="AC501" i="57"/>
  <c r="T506" i="57"/>
  <c r="Y505" i="57"/>
  <c r="W501" i="57"/>
  <c r="AD505" i="57"/>
  <c r="X506" i="57"/>
  <c r="AA506" i="57"/>
  <c r="AA501" i="57"/>
  <c r="AB498" i="57"/>
  <c r="V498" i="57"/>
  <c r="S505" i="57"/>
  <c r="AB505" i="57"/>
  <c r="U506" i="57"/>
  <c r="AE501" i="57"/>
  <c r="T498" i="57"/>
  <c r="S498" i="57"/>
  <c r="W505" i="57"/>
  <c r="V505" i="57"/>
  <c r="V506" i="57"/>
  <c r="Y501" i="57"/>
  <c r="AB501" i="57"/>
  <c r="AE498" i="57"/>
  <c r="AF506" i="57"/>
  <c r="V501" i="57"/>
  <c r="AE504" i="57"/>
  <c r="U504" i="57"/>
  <c r="Y507" i="57"/>
  <c r="AC504" i="57"/>
  <c r="V504" i="57"/>
  <c r="AC507" i="57"/>
  <c r="W507" i="57"/>
  <c r="AA504" i="57"/>
  <c r="AA507" i="57"/>
  <c r="AD504" i="57"/>
  <c r="AD507" i="57"/>
  <c r="S504" i="57"/>
  <c r="AF507" i="57"/>
  <c r="X504" i="57"/>
  <c r="X507" i="57"/>
  <c r="S507" i="57"/>
  <c r="W504" i="57"/>
  <c r="T507" i="57"/>
  <c r="Z507" i="57"/>
  <c r="AB504" i="57"/>
  <c r="U507" i="57"/>
  <c r="Z504" i="57"/>
  <c r="V507" i="57"/>
  <c r="AF504" i="57"/>
  <c r="T504" i="57"/>
  <c r="Y504" i="57"/>
  <c r="AE507" i="57"/>
  <c r="AB507" i="57"/>
  <c r="AB477" i="36"/>
  <c r="V477" i="36"/>
  <c r="X473" i="36"/>
  <c r="AA477" i="36"/>
  <c r="AC477" i="36"/>
  <c r="W473" i="36"/>
  <c r="AD472" i="36"/>
  <c r="AA473" i="36"/>
  <c r="R472" i="36"/>
  <c r="X472" i="36"/>
  <c r="AD473" i="36"/>
  <c r="AF477" i="36"/>
  <c r="X477" i="36"/>
  <c r="S472" i="36"/>
  <c r="V473" i="36"/>
  <c r="Y477" i="36"/>
  <c r="Y473" i="36"/>
  <c r="T473" i="36"/>
  <c r="U477" i="36"/>
  <c r="AJ476" i="36"/>
  <c r="S473" i="36"/>
  <c r="W472" i="36"/>
  <c r="Z473" i="36"/>
  <c r="T472" i="36"/>
  <c r="U473" i="36"/>
  <c r="AJ472" i="36"/>
  <c r="AE472" i="36"/>
  <c r="T477" i="36"/>
  <c r="AJ477" i="36"/>
  <c r="AJ473" i="36"/>
  <c r="U472" i="36"/>
  <c r="AB473" i="36"/>
  <c r="AB472" i="36"/>
  <c r="AF473" i="36"/>
  <c r="AC473" i="36"/>
  <c r="W477" i="36"/>
  <c r="Z477" i="36"/>
  <c r="S477" i="36"/>
  <c r="R477" i="36"/>
  <c r="AA472" i="36"/>
  <c r="Y472" i="36"/>
  <c r="V472" i="36"/>
  <c r="AF472" i="36"/>
  <c r="AE477" i="36"/>
  <c r="R473" i="36"/>
  <c r="AE473" i="36"/>
  <c r="AD477" i="36"/>
  <c r="Z472" i="36"/>
  <c r="AC472" i="36"/>
  <c r="T481" i="36"/>
  <c r="AC481" i="36"/>
  <c r="AF476" i="36"/>
  <c r="W476" i="36"/>
  <c r="Y481" i="36"/>
  <c r="AJ481" i="36"/>
  <c r="U481" i="36"/>
  <c r="V481" i="36"/>
  <c r="V476" i="36"/>
  <c r="U476" i="36"/>
  <c r="Y476" i="36"/>
  <c r="AA476" i="36"/>
  <c r="R476" i="36"/>
  <c r="S481" i="36"/>
  <c r="X476" i="36"/>
  <c r="AD476" i="36"/>
  <c r="AF481" i="36"/>
  <c r="AE476" i="36"/>
  <c r="W481" i="36"/>
  <c r="X481" i="36"/>
  <c r="R481" i="36"/>
  <c r="AC476" i="36"/>
  <c r="AD481" i="36"/>
  <c r="S476" i="36"/>
  <c r="AB481" i="36"/>
  <c r="Z476" i="36"/>
  <c r="AA481" i="36"/>
  <c r="T476" i="36"/>
  <c r="AB476" i="36"/>
  <c r="Z481" i="36"/>
  <c r="AE481" i="36"/>
  <c r="R485" i="36"/>
  <c r="V485" i="36"/>
  <c r="AB480" i="36"/>
  <c r="V480" i="36"/>
  <c r="X485" i="36"/>
  <c r="X480" i="36"/>
  <c r="AJ485" i="36"/>
  <c r="Y480" i="36"/>
  <c r="W485" i="36"/>
  <c r="S485" i="36"/>
  <c r="AA480" i="36"/>
  <c r="AJ480" i="36"/>
  <c r="AE480" i="36"/>
  <c r="R480" i="36"/>
  <c r="AB485" i="36"/>
  <c r="U485" i="36"/>
  <c r="Y485" i="36"/>
  <c r="T485" i="36"/>
  <c r="Z480" i="36"/>
  <c r="AD480" i="36"/>
  <c r="AD485" i="36"/>
  <c r="AC485" i="36"/>
  <c r="T480" i="36"/>
  <c r="AC480" i="36"/>
  <c r="Z485" i="36"/>
  <c r="AE485" i="36"/>
  <c r="S480" i="36"/>
  <c r="AF480" i="36"/>
  <c r="W480" i="36"/>
  <c r="AA485" i="36"/>
  <c r="AF485" i="36"/>
  <c r="U480" i="36"/>
  <c r="Z484" i="36"/>
  <c r="U484" i="36"/>
  <c r="S489" i="36"/>
  <c r="Y484" i="36"/>
  <c r="R484" i="36"/>
  <c r="U489" i="36"/>
  <c r="AE489" i="36"/>
  <c r="AJ484" i="36"/>
  <c r="AA484" i="36"/>
  <c r="T489" i="36"/>
  <c r="AD489" i="36"/>
  <c r="AB484" i="36"/>
  <c r="AJ489" i="36"/>
  <c r="W484" i="36"/>
  <c r="AF484" i="36"/>
  <c r="R489" i="36"/>
  <c r="AA489" i="36"/>
  <c r="AE484" i="36"/>
  <c r="T484" i="36"/>
  <c r="W489" i="36"/>
  <c r="AC489" i="36"/>
  <c r="AB489" i="36"/>
  <c r="V484" i="36"/>
  <c r="AC484" i="36"/>
  <c r="Z489" i="36"/>
  <c r="X489" i="36"/>
  <c r="S484" i="36"/>
  <c r="AF489" i="36"/>
  <c r="AD484" i="36"/>
  <c r="X484" i="36"/>
  <c r="Y489" i="36"/>
  <c r="V489" i="36"/>
  <c r="V488" i="36"/>
  <c r="AE488" i="36"/>
  <c r="R493" i="36"/>
  <c r="V493" i="36"/>
  <c r="T488" i="36"/>
  <c r="X488" i="36"/>
  <c r="AC488" i="36"/>
  <c r="U488" i="36"/>
  <c r="AD488" i="36"/>
  <c r="S493" i="36"/>
  <c r="AA493" i="36"/>
  <c r="W493" i="36"/>
  <c r="U493" i="36"/>
  <c r="AJ493" i="36"/>
  <c r="S488" i="36"/>
  <c r="Z488" i="36"/>
  <c r="AD493" i="36"/>
  <c r="AC493" i="36"/>
  <c r="AA488" i="36"/>
  <c r="X493" i="36"/>
  <c r="AB493" i="36"/>
  <c r="AF488" i="36"/>
  <c r="R488" i="36"/>
  <c r="Y493" i="36"/>
  <c r="AF493" i="36"/>
  <c r="AB488" i="36"/>
  <c r="AJ488" i="36"/>
  <c r="Y488" i="36"/>
  <c r="AE493" i="36"/>
  <c r="T493" i="36"/>
  <c r="Z493" i="36"/>
  <c r="W488" i="36"/>
  <c r="R492" i="36"/>
  <c r="U492" i="36"/>
  <c r="X492" i="36"/>
  <c r="S492" i="36"/>
  <c r="Z492" i="36"/>
  <c r="AJ492" i="36"/>
  <c r="W492" i="36"/>
  <c r="AE492" i="36"/>
  <c r="AC492" i="36"/>
  <c r="Y492" i="36"/>
  <c r="AD492" i="36"/>
  <c r="AB492" i="36"/>
  <c r="T492" i="36"/>
  <c r="AA492" i="36"/>
  <c r="V492" i="36"/>
  <c r="AF492" i="36"/>
  <c r="BK386" i="36"/>
  <c r="AC462" i="57"/>
  <c r="AD464" i="57"/>
  <c r="S461" i="36"/>
  <c r="S462" i="36"/>
  <c r="AD462" i="57"/>
  <c r="AF464" i="57"/>
  <c r="Y464" i="57"/>
  <c r="AB462" i="57"/>
  <c r="AC464" i="57"/>
  <c r="AE464" i="57"/>
  <c r="W462" i="57"/>
  <c r="AF462" i="57"/>
  <c r="Y462" i="57"/>
  <c r="Z464" i="57"/>
  <c r="X464" i="57"/>
  <c r="Z462" i="57"/>
  <c r="AA464" i="57"/>
  <c r="W464" i="57"/>
  <c r="AE462" i="57"/>
  <c r="X462" i="57"/>
  <c r="AA462" i="57"/>
  <c r="AB464" i="57"/>
  <c r="R461" i="57"/>
  <c r="R462" i="57"/>
  <c r="S461" i="57"/>
  <c r="AA461" i="57"/>
  <c r="M462" i="57"/>
  <c r="L463" i="57"/>
  <c r="T463" i="57"/>
  <c r="AB463" i="57"/>
  <c r="N464" i="57"/>
  <c r="K462" i="57"/>
  <c r="N461" i="57"/>
  <c r="P462" i="57"/>
  <c r="AE463" i="57"/>
  <c r="K461" i="57"/>
  <c r="S464" i="57"/>
  <c r="T462" i="57"/>
  <c r="Z461" i="57"/>
  <c r="AA463" i="57"/>
  <c r="L461" i="57"/>
  <c r="T461" i="57"/>
  <c r="AB461" i="57"/>
  <c r="N462" i="57"/>
  <c r="M463" i="57"/>
  <c r="AC463" i="57"/>
  <c r="O464" i="57"/>
  <c r="K463" i="57"/>
  <c r="AD461" i="57"/>
  <c r="W463" i="57"/>
  <c r="Q464" i="57"/>
  <c r="L464" i="57"/>
  <c r="M461" i="57"/>
  <c r="AC461" i="57"/>
  <c r="O462" i="57"/>
  <c r="N463" i="57"/>
  <c r="AD463" i="57"/>
  <c r="P464" i="57"/>
  <c r="K464" i="57"/>
  <c r="O463" i="57"/>
  <c r="Q463" i="57"/>
  <c r="Q461" i="57"/>
  <c r="R463" i="57"/>
  <c r="T464" i="57"/>
  <c r="S463" i="57"/>
  <c r="O461" i="57"/>
  <c r="W461" i="57"/>
  <c r="AE461" i="57"/>
  <c r="Q462" i="57"/>
  <c r="P463" i="57"/>
  <c r="X463" i="57"/>
  <c r="AF463" i="57"/>
  <c r="R464" i="57"/>
  <c r="P461" i="57"/>
  <c r="X461" i="57"/>
  <c r="AF461" i="57"/>
  <c r="S462" i="57"/>
  <c r="Y463" i="57"/>
  <c r="Y461" i="57"/>
  <c r="Z463" i="57"/>
  <c r="L462" i="57"/>
  <c r="M464" i="57"/>
  <c r="Q448" i="57"/>
  <c r="Y448" i="57"/>
  <c r="S449" i="57"/>
  <c r="AA449" i="57"/>
  <c r="M450" i="57"/>
  <c r="U450" i="57"/>
  <c r="AC450" i="57"/>
  <c r="O451" i="57"/>
  <c r="W451" i="57"/>
  <c r="AE451" i="57"/>
  <c r="Q452" i="57"/>
  <c r="Y452" i="57"/>
  <c r="S453" i="57"/>
  <c r="AA453" i="57"/>
  <c r="K451" i="57"/>
  <c r="R448" i="57"/>
  <c r="Z448" i="57"/>
  <c r="L449" i="57"/>
  <c r="T449" i="57"/>
  <c r="AB449" i="57"/>
  <c r="N450" i="57"/>
  <c r="AD450" i="57"/>
  <c r="R452" i="57"/>
  <c r="AB453" i="57"/>
  <c r="AA448" i="57"/>
  <c r="O450" i="57"/>
  <c r="Y451" i="57"/>
  <c r="M453" i="57"/>
  <c r="L448" i="57"/>
  <c r="V449" i="57"/>
  <c r="AF450" i="57"/>
  <c r="T452" i="57"/>
  <c r="AD453" i="57"/>
  <c r="M448" i="57"/>
  <c r="U448" i="57"/>
  <c r="AC448" i="57"/>
  <c r="O449" i="57"/>
  <c r="W449" i="57"/>
  <c r="AE449" i="57"/>
  <c r="Q450" i="57"/>
  <c r="Y450" i="57"/>
  <c r="S451" i="57"/>
  <c r="AA451" i="57"/>
  <c r="M452" i="57"/>
  <c r="U452" i="57"/>
  <c r="AC452" i="57"/>
  <c r="O453" i="57"/>
  <c r="W453" i="57"/>
  <c r="AE453" i="57"/>
  <c r="P448" i="57"/>
  <c r="R449" i="57"/>
  <c r="T450" i="57"/>
  <c r="V451" i="57"/>
  <c r="X452" i="57"/>
  <c r="Z453" i="57"/>
  <c r="P451" i="57"/>
  <c r="Z452" i="57"/>
  <c r="K452" i="57"/>
  <c r="M449" i="57"/>
  <c r="W450" i="57"/>
  <c r="U453" i="57"/>
  <c r="T448" i="57"/>
  <c r="AD449" i="57"/>
  <c r="R451" i="57"/>
  <c r="AB452" i="57"/>
  <c r="N448" i="57"/>
  <c r="V448" i="57"/>
  <c r="AD448" i="57"/>
  <c r="P449" i="57"/>
  <c r="X449" i="57"/>
  <c r="AF449" i="57"/>
  <c r="R450" i="57"/>
  <c r="Z450" i="57"/>
  <c r="L451" i="57"/>
  <c r="T451" i="57"/>
  <c r="AB451" i="57"/>
  <c r="N452" i="57"/>
  <c r="V452" i="57"/>
  <c r="AD452" i="57"/>
  <c r="P453" i="57"/>
  <c r="X453" i="57"/>
  <c r="AF453" i="57"/>
  <c r="X448" i="57"/>
  <c r="Z449" i="57"/>
  <c r="AB450" i="57"/>
  <c r="AD451" i="57"/>
  <c r="AF452" i="57"/>
  <c r="K450" i="57"/>
  <c r="X451" i="57"/>
  <c r="L453" i="57"/>
  <c r="U449" i="57"/>
  <c r="AE450" i="57"/>
  <c r="S452" i="57"/>
  <c r="AC453" i="57"/>
  <c r="AB448" i="57"/>
  <c r="P450" i="57"/>
  <c r="Z451" i="57"/>
  <c r="N453" i="57"/>
  <c r="O448" i="57"/>
  <c r="W448" i="57"/>
  <c r="AE448" i="57"/>
  <c r="Q449" i="57"/>
  <c r="Y449" i="57"/>
  <c r="S450" i="57"/>
  <c r="AA450" i="57"/>
  <c r="M451" i="57"/>
  <c r="U451" i="57"/>
  <c r="AC451" i="57"/>
  <c r="O452" i="57"/>
  <c r="W452" i="57"/>
  <c r="AE452" i="57"/>
  <c r="Q453" i="57"/>
  <c r="Y453" i="57"/>
  <c r="K449" i="57"/>
  <c r="AF448" i="57"/>
  <c r="L450" i="57"/>
  <c r="N451" i="57"/>
  <c r="P452" i="57"/>
  <c r="R453" i="57"/>
  <c r="V450" i="57"/>
  <c r="AF451" i="57"/>
  <c r="T453" i="57"/>
  <c r="S448" i="57"/>
  <c r="AC449" i="57"/>
  <c r="Q451" i="57"/>
  <c r="AA452" i="57"/>
  <c r="K453" i="57"/>
  <c r="N449" i="57"/>
  <c r="X450" i="57"/>
  <c r="L452" i="57"/>
  <c r="V453" i="57"/>
  <c r="K448" i="57"/>
  <c r="P461" i="36"/>
  <c r="X461" i="36"/>
  <c r="AF461" i="36"/>
  <c r="R462" i="36"/>
  <c r="Z462" i="36"/>
  <c r="K462" i="36"/>
  <c r="M462" i="36"/>
  <c r="P462" i="36"/>
  <c r="W461" i="36"/>
  <c r="Q461" i="36"/>
  <c r="Y461" i="36"/>
  <c r="AJ461" i="36"/>
  <c r="AA462" i="36"/>
  <c r="K461" i="36"/>
  <c r="AD461" i="36"/>
  <c r="AF462" i="36"/>
  <c r="O461" i="36"/>
  <c r="Y462" i="36"/>
  <c r="Z461" i="36"/>
  <c r="L462" i="36"/>
  <c r="T462" i="36"/>
  <c r="AB462" i="36"/>
  <c r="AA461" i="36"/>
  <c r="AC462" i="36"/>
  <c r="Q462" i="36"/>
  <c r="AJ462" i="36"/>
  <c r="L461" i="36"/>
  <c r="T461" i="36"/>
  <c r="AB461" i="36"/>
  <c r="N462" i="36"/>
  <c r="AD462" i="36"/>
  <c r="M461" i="36"/>
  <c r="AC461" i="36"/>
  <c r="O462" i="36"/>
  <c r="W462" i="36"/>
  <c r="AE462" i="36"/>
  <c r="N461" i="36"/>
  <c r="X462" i="36"/>
  <c r="AE461" i="36"/>
  <c r="K449" i="36"/>
  <c r="S449" i="36"/>
  <c r="AA449" i="36"/>
  <c r="L450" i="36"/>
  <c r="T450" i="36"/>
  <c r="AB450" i="36"/>
  <c r="M451" i="36"/>
  <c r="U451" i="36"/>
  <c r="AC451" i="36"/>
  <c r="N452" i="36"/>
  <c r="V452" i="36"/>
  <c r="AD452" i="36"/>
  <c r="O453" i="36"/>
  <c r="W453" i="36"/>
  <c r="AE453" i="36"/>
  <c r="Q448" i="36"/>
  <c r="Y448" i="36"/>
  <c r="AJ448" i="36"/>
  <c r="AD449" i="36"/>
  <c r="X451" i="36"/>
  <c r="Y452" i="36"/>
  <c r="Z453" i="36"/>
  <c r="AB448" i="36"/>
  <c r="W449" i="36"/>
  <c r="AF450" i="36"/>
  <c r="Y451" i="36"/>
  <c r="Z452" i="36"/>
  <c r="S453" i="36"/>
  <c r="U448" i="36"/>
  <c r="Z449" i="36"/>
  <c r="M452" i="36"/>
  <c r="V453" i="36"/>
  <c r="AF448" i="36"/>
  <c r="L449" i="36"/>
  <c r="T449" i="36"/>
  <c r="AB449" i="36"/>
  <c r="M450" i="36"/>
  <c r="U450" i="36"/>
  <c r="AC450" i="36"/>
  <c r="N451" i="36"/>
  <c r="V451" i="36"/>
  <c r="AD451" i="36"/>
  <c r="O452" i="36"/>
  <c r="W452" i="36"/>
  <c r="AE452" i="36"/>
  <c r="P453" i="36"/>
  <c r="X453" i="36"/>
  <c r="AF453" i="36"/>
  <c r="Z448" i="36"/>
  <c r="K448" i="36"/>
  <c r="N449" i="36"/>
  <c r="W450" i="36"/>
  <c r="AE450" i="36"/>
  <c r="AF451" i="36"/>
  <c r="AJ452" i="36"/>
  <c r="T448" i="36"/>
  <c r="AE449" i="36"/>
  <c r="P450" i="36"/>
  <c r="Q451" i="36"/>
  <c r="R452" i="36"/>
  <c r="M448" i="36"/>
  <c r="K450" i="36"/>
  <c r="AB451" i="36"/>
  <c r="N453" i="36"/>
  <c r="X448" i="36"/>
  <c r="M449" i="36"/>
  <c r="U449" i="36"/>
  <c r="AC449" i="36"/>
  <c r="N450" i="36"/>
  <c r="V450" i="36"/>
  <c r="AD450" i="36"/>
  <c r="O451" i="36"/>
  <c r="W451" i="36"/>
  <c r="AE451" i="36"/>
  <c r="P452" i="36"/>
  <c r="X452" i="36"/>
  <c r="AF452" i="36"/>
  <c r="Q453" i="36"/>
  <c r="Y453" i="36"/>
  <c r="AJ453" i="36"/>
  <c r="S448" i="36"/>
  <c r="AA448" i="36"/>
  <c r="V449" i="36"/>
  <c r="O450" i="36"/>
  <c r="P451" i="36"/>
  <c r="Q452" i="36"/>
  <c r="R453" i="36"/>
  <c r="L448" i="36"/>
  <c r="O449" i="36"/>
  <c r="X450" i="36"/>
  <c r="AJ451" i="36"/>
  <c r="K453" i="36"/>
  <c r="AA453" i="36"/>
  <c r="AC448" i="36"/>
  <c r="S450" i="36"/>
  <c r="T451" i="36"/>
  <c r="AC452" i="36"/>
  <c r="P448" i="36"/>
  <c r="P449" i="36"/>
  <c r="X449" i="36"/>
  <c r="AF449" i="36"/>
  <c r="Q450" i="36"/>
  <c r="Y450" i="36"/>
  <c r="AJ450" i="36"/>
  <c r="R451" i="36"/>
  <c r="Z451" i="36"/>
  <c r="K452" i="36"/>
  <c r="S452" i="36"/>
  <c r="AA452" i="36"/>
  <c r="L453" i="36"/>
  <c r="T453" i="36"/>
  <c r="AB453" i="36"/>
  <c r="N448" i="36"/>
  <c r="V448" i="36"/>
  <c r="AD448" i="36"/>
  <c r="Q449" i="36"/>
  <c r="Y449" i="36"/>
  <c r="AJ449" i="36"/>
  <c r="R450" i="36"/>
  <c r="Z450" i="36"/>
  <c r="K451" i="36"/>
  <c r="S451" i="36"/>
  <c r="AA451" i="36"/>
  <c r="L452" i="36"/>
  <c r="T452" i="36"/>
  <c r="AB452" i="36"/>
  <c r="M453" i="36"/>
  <c r="U453" i="36"/>
  <c r="AC453" i="36"/>
  <c r="O448" i="36"/>
  <c r="W448" i="36"/>
  <c r="AE448" i="36"/>
  <c r="R449" i="36"/>
  <c r="AA450" i="36"/>
  <c r="L451" i="36"/>
  <c r="U452" i="36"/>
  <c r="AD453" i="36"/>
  <c r="AC39" i="57"/>
  <c r="AD39" i="57"/>
  <c r="AC40" i="57"/>
  <c r="AD40" i="57"/>
  <c r="AD20" i="36"/>
  <c r="AF20" i="36"/>
  <c r="AC20" i="36"/>
  <c r="AE20" i="36"/>
  <c r="Y39" i="57"/>
  <c r="AB40" i="57"/>
  <c r="Y40" i="57"/>
  <c r="Z39" i="57"/>
  <c r="X40" i="57"/>
  <c r="AA39" i="57"/>
  <c r="AB39" i="57"/>
  <c r="X39" i="57"/>
  <c r="Z40" i="57"/>
  <c r="AA40" i="57"/>
  <c r="AF20" i="57"/>
  <c r="AE20" i="57"/>
  <c r="AD20" i="57"/>
  <c r="AC20" i="57"/>
  <c r="AA7" i="62"/>
  <c r="Z7" i="62"/>
  <c r="Y7" i="62"/>
  <c r="X7" i="62"/>
  <c r="AC101" i="41"/>
  <c r="AD101" i="41"/>
  <c r="AE101" i="41"/>
  <c r="AF101" i="41"/>
  <c r="X7" i="30"/>
  <c r="R16" i="30"/>
  <c r="R15" i="30"/>
  <c r="BD396" i="90"/>
  <c r="BZ396" i="90" s="1"/>
  <c r="BC396" i="90"/>
  <c r="BY396" i="90" s="1"/>
  <c r="BB396" i="90"/>
  <c r="BX396" i="90" s="1"/>
  <c r="BA396" i="90"/>
  <c r="BW396" i="90" s="1"/>
  <c r="AZ396" i="90"/>
  <c r="BV396" i="90" s="1"/>
  <c r="AY396" i="90"/>
  <c r="BU396" i="90" s="1"/>
  <c r="AX396" i="90"/>
  <c r="BT396" i="90" s="1"/>
  <c r="BD395" i="90"/>
  <c r="BZ395" i="90" s="1"/>
  <c r="BC395" i="90"/>
  <c r="BY395" i="90" s="1"/>
  <c r="BB395" i="90"/>
  <c r="BX395" i="90" s="1"/>
  <c r="BA395" i="90"/>
  <c r="BW395" i="90" s="1"/>
  <c r="AZ395" i="90"/>
  <c r="BV395" i="90" s="1"/>
  <c r="AY395" i="90"/>
  <c r="BU395" i="90" s="1"/>
  <c r="AX395" i="90"/>
  <c r="BT395" i="90" s="1"/>
  <c r="BD394" i="90"/>
  <c r="BZ394" i="90" s="1"/>
  <c r="BC394" i="90"/>
  <c r="BY394" i="90" s="1"/>
  <c r="BB394" i="90"/>
  <c r="BX394" i="90" s="1"/>
  <c r="BA394" i="90"/>
  <c r="BW394" i="90" s="1"/>
  <c r="AZ394" i="90"/>
  <c r="BV394" i="90" s="1"/>
  <c r="AY394" i="90"/>
  <c r="BU394" i="90" s="1"/>
  <c r="AX394" i="90"/>
  <c r="BT394" i="90" s="1"/>
  <c r="BD393" i="90"/>
  <c r="BZ393" i="90" s="1"/>
  <c r="BC393" i="90"/>
  <c r="BY393" i="90" s="1"/>
  <c r="BB393" i="90"/>
  <c r="BX393" i="90" s="1"/>
  <c r="BA393" i="90"/>
  <c r="BW393" i="90" s="1"/>
  <c r="AZ393" i="90"/>
  <c r="BV393" i="90" s="1"/>
  <c r="AY393" i="90"/>
  <c r="BU393" i="90" s="1"/>
  <c r="AX393" i="90"/>
  <c r="BT393" i="90" s="1"/>
  <c r="BD392" i="90"/>
  <c r="BZ392" i="90" s="1"/>
  <c r="BC392" i="90"/>
  <c r="BY392" i="90" s="1"/>
  <c r="BB392" i="90"/>
  <c r="BX392" i="90" s="1"/>
  <c r="BA392" i="90"/>
  <c r="BW392" i="90" s="1"/>
  <c r="AZ392" i="90"/>
  <c r="BV392" i="90" s="1"/>
  <c r="AY392" i="90"/>
  <c r="BU392" i="90" s="1"/>
  <c r="AX392" i="90"/>
  <c r="BT392" i="90" s="1"/>
  <c r="BD391" i="90"/>
  <c r="BZ391" i="90" s="1"/>
  <c r="BC391" i="90"/>
  <c r="BY391" i="90" s="1"/>
  <c r="BB391" i="90"/>
  <c r="BX391" i="90" s="1"/>
  <c r="BA391" i="90"/>
  <c r="BW391" i="90" s="1"/>
  <c r="AZ391" i="90"/>
  <c r="BV391" i="90" s="1"/>
  <c r="AY391" i="90"/>
  <c r="BU391" i="90" s="1"/>
  <c r="AX391" i="90"/>
  <c r="BT391" i="90" s="1"/>
  <c r="BD390" i="90"/>
  <c r="BZ390" i="90" s="1"/>
  <c r="BC390" i="90"/>
  <c r="BY390" i="90" s="1"/>
  <c r="BB390" i="90"/>
  <c r="BX390" i="90" s="1"/>
  <c r="BA390" i="90"/>
  <c r="BW390" i="90" s="1"/>
  <c r="AZ390" i="90"/>
  <c r="BV390" i="90" s="1"/>
  <c r="AY390" i="90"/>
  <c r="BU390" i="90" s="1"/>
  <c r="AX390" i="90"/>
  <c r="BT390" i="90" s="1"/>
  <c r="BD389" i="90"/>
  <c r="BZ389" i="90" s="1"/>
  <c r="BC389" i="90"/>
  <c r="BY389" i="90" s="1"/>
  <c r="BB389" i="90"/>
  <c r="BX389" i="90" s="1"/>
  <c r="BA389" i="90"/>
  <c r="BW389" i="90" s="1"/>
  <c r="AZ389" i="90"/>
  <c r="BV389" i="90" s="1"/>
  <c r="AY389" i="90"/>
  <c r="BU389" i="90" s="1"/>
  <c r="AX389" i="90"/>
  <c r="BT389" i="90" s="1"/>
  <c r="BD388" i="90"/>
  <c r="BZ388" i="90" s="1"/>
  <c r="BC388" i="90"/>
  <c r="BY388" i="90" s="1"/>
  <c r="BB388" i="90"/>
  <c r="BX388" i="90" s="1"/>
  <c r="BA388" i="90"/>
  <c r="BW388" i="90" s="1"/>
  <c r="AZ388" i="90"/>
  <c r="BV388" i="90" s="1"/>
  <c r="AY388" i="90"/>
  <c r="BU388" i="90" s="1"/>
  <c r="AX388" i="90"/>
  <c r="BT388" i="90" s="1"/>
  <c r="BD387" i="90"/>
  <c r="BZ387" i="90" s="1"/>
  <c r="BC387" i="90"/>
  <c r="BY387" i="90" s="1"/>
  <c r="BB387" i="90"/>
  <c r="BX387" i="90" s="1"/>
  <c r="BA387" i="90"/>
  <c r="BW387" i="90" s="1"/>
  <c r="AZ387" i="90"/>
  <c r="BV387" i="90" s="1"/>
  <c r="AY387" i="90"/>
  <c r="BU387" i="90" s="1"/>
  <c r="AX387" i="90"/>
  <c r="BT387" i="90" s="1"/>
  <c r="BD386" i="90"/>
  <c r="BZ386" i="90" s="1"/>
  <c r="BC386" i="90"/>
  <c r="BY386" i="90" s="1"/>
  <c r="BB386" i="90"/>
  <c r="BX386" i="90" s="1"/>
  <c r="BA386" i="90"/>
  <c r="BW386" i="90" s="1"/>
  <c r="AZ386" i="90"/>
  <c r="BV386" i="90" s="1"/>
  <c r="AY386" i="90"/>
  <c r="BU386" i="90" s="1"/>
  <c r="AX386" i="90"/>
  <c r="BT386" i="90" s="1"/>
  <c r="BD385" i="90"/>
  <c r="BZ385" i="90" s="1"/>
  <c r="BC385" i="90"/>
  <c r="BY385" i="90" s="1"/>
  <c r="BB385" i="90"/>
  <c r="BX385" i="90" s="1"/>
  <c r="BA385" i="90"/>
  <c r="BW385" i="90" s="1"/>
  <c r="AZ385" i="90"/>
  <c r="BV385" i="90" s="1"/>
  <c r="AY385" i="90"/>
  <c r="BU385" i="90" s="1"/>
  <c r="AX385" i="90"/>
  <c r="BT385" i="90" s="1"/>
  <c r="BD384" i="90"/>
  <c r="BZ384" i="90" s="1"/>
  <c r="BC384" i="90"/>
  <c r="BY384" i="90" s="1"/>
  <c r="BB384" i="90"/>
  <c r="BX384" i="90" s="1"/>
  <c r="BA384" i="90"/>
  <c r="BW384" i="90" s="1"/>
  <c r="AZ384" i="90"/>
  <c r="BV384" i="90" s="1"/>
  <c r="AY384" i="90"/>
  <c r="BU384" i="90" s="1"/>
  <c r="AX384" i="90"/>
  <c r="BT384" i="90" s="1"/>
  <c r="BD383" i="90"/>
  <c r="BZ383" i="90" s="1"/>
  <c r="BC383" i="90"/>
  <c r="BY383" i="90" s="1"/>
  <c r="BB383" i="90"/>
  <c r="BX383" i="90" s="1"/>
  <c r="BA383" i="90"/>
  <c r="BW383" i="90" s="1"/>
  <c r="AZ383" i="90"/>
  <c r="BV383" i="90" s="1"/>
  <c r="AY383" i="90"/>
  <c r="BU383" i="90" s="1"/>
  <c r="AX383" i="90"/>
  <c r="BT383" i="90" s="1"/>
  <c r="BD382" i="90"/>
  <c r="BZ382" i="90" s="1"/>
  <c r="BC382" i="90"/>
  <c r="BY382" i="90" s="1"/>
  <c r="BB382" i="90"/>
  <c r="BX382" i="90" s="1"/>
  <c r="BA382" i="90"/>
  <c r="BW382" i="90" s="1"/>
  <c r="AZ382" i="90"/>
  <c r="BV382" i="90" s="1"/>
  <c r="AY382" i="90"/>
  <c r="BU382" i="90" s="1"/>
  <c r="AX382" i="90"/>
  <c r="BT382" i="90" s="1"/>
  <c r="BD381" i="90"/>
  <c r="BZ381" i="90" s="1"/>
  <c r="BC381" i="90"/>
  <c r="BY381" i="90" s="1"/>
  <c r="BB381" i="90"/>
  <c r="BX381" i="90" s="1"/>
  <c r="BA381" i="90"/>
  <c r="BW381" i="90" s="1"/>
  <c r="AZ381" i="90"/>
  <c r="BV381" i="90" s="1"/>
  <c r="AY381" i="90"/>
  <c r="BU381" i="90" s="1"/>
  <c r="AX381" i="90"/>
  <c r="BT381" i="90" s="1"/>
  <c r="BD380" i="90"/>
  <c r="BZ380" i="90" s="1"/>
  <c r="BC380" i="90"/>
  <c r="BY380" i="90" s="1"/>
  <c r="BB380" i="90"/>
  <c r="BX380" i="90" s="1"/>
  <c r="BA380" i="90"/>
  <c r="BW380" i="90" s="1"/>
  <c r="AZ380" i="90"/>
  <c r="BV380" i="90" s="1"/>
  <c r="AY380" i="90"/>
  <c r="BU380" i="90" s="1"/>
  <c r="AX380" i="90"/>
  <c r="BT380" i="90" s="1"/>
  <c r="BD379" i="90"/>
  <c r="BZ379" i="90" s="1"/>
  <c r="BC379" i="90"/>
  <c r="BY379" i="90" s="1"/>
  <c r="BB379" i="90"/>
  <c r="BX379" i="90" s="1"/>
  <c r="BA379" i="90"/>
  <c r="BW379" i="90" s="1"/>
  <c r="AZ379" i="90"/>
  <c r="BV379" i="90" s="1"/>
  <c r="AY379" i="90"/>
  <c r="BU379" i="90" s="1"/>
  <c r="AX379" i="90"/>
  <c r="BT379" i="90" s="1"/>
  <c r="BD378" i="90"/>
  <c r="BZ378" i="90" s="1"/>
  <c r="BC378" i="90"/>
  <c r="BY378" i="90" s="1"/>
  <c r="BB378" i="90"/>
  <c r="BX378" i="90" s="1"/>
  <c r="BA378" i="90"/>
  <c r="BW378" i="90" s="1"/>
  <c r="AZ378" i="90"/>
  <c r="BV378" i="90" s="1"/>
  <c r="AY378" i="90"/>
  <c r="BU378" i="90" s="1"/>
  <c r="AX378" i="90"/>
  <c r="BT378" i="90" s="1"/>
  <c r="BD377" i="90"/>
  <c r="BZ377" i="90" s="1"/>
  <c r="BC377" i="90"/>
  <c r="BY377" i="90" s="1"/>
  <c r="BB377" i="90"/>
  <c r="BX377" i="90" s="1"/>
  <c r="BA377" i="90"/>
  <c r="BW377" i="90" s="1"/>
  <c r="AZ377" i="90"/>
  <c r="BV377" i="90" s="1"/>
  <c r="AY377" i="90"/>
  <c r="BU377" i="90" s="1"/>
  <c r="AX377" i="90"/>
  <c r="BT377" i="90" s="1"/>
  <c r="BD376" i="90"/>
  <c r="BZ376" i="90" s="1"/>
  <c r="BC376" i="90"/>
  <c r="BY376" i="90" s="1"/>
  <c r="BB376" i="90"/>
  <c r="BX376" i="90" s="1"/>
  <c r="BA376" i="90"/>
  <c r="BW376" i="90" s="1"/>
  <c r="AZ376" i="90"/>
  <c r="BV376" i="90" s="1"/>
  <c r="AY376" i="90"/>
  <c r="BU376" i="90" s="1"/>
  <c r="AX376" i="90"/>
  <c r="BT376" i="90" s="1"/>
  <c r="BD375" i="90"/>
  <c r="BZ375" i="90" s="1"/>
  <c r="BC375" i="90"/>
  <c r="BY375" i="90" s="1"/>
  <c r="BB375" i="90"/>
  <c r="BX375" i="90" s="1"/>
  <c r="BA375" i="90"/>
  <c r="BW375" i="90" s="1"/>
  <c r="AZ375" i="90"/>
  <c r="BV375" i="90" s="1"/>
  <c r="AY375" i="90"/>
  <c r="BU375" i="90" s="1"/>
  <c r="AX375" i="90"/>
  <c r="BT375" i="90" s="1"/>
  <c r="BD374" i="90"/>
  <c r="BZ374" i="90" s="1"/>
  <c r="BC374" i="90"/>
  <c r="BY374" i="90" s="1"/>
  <c r="BB374" i="90"/>
  <c r="BX374" i="90" s="1"/>
  <c r="BA374" i="90"/>
  <c r="BW374" i="90" s="1"/>
  <c r="AZ374" i="90"/>
  <c r="BV374" i="90" s="1"/>
  <c r="AY374" i="90"/>
  <c r="BU374" i="90" s="1"/>
  <c r="AX374" i="90"/>
  <c r="BT374" i="90" s="1"/>
  <c r="BD373" i="90"/>
  <c r="BZ373" i="90" s="1"/>
  <c r="BC373" i="90"/>
  <c r="BY373" i="90" s="1"/>
  <c r="BB373" i="90"/>
  <c r="BX373" i="90" s="1"/>
  <c r="BA373" i="90"/>
  <c r="BW373" i="90" s="1"/>
  <c r="AZ373" i="90"/>
  <c r="BV373" i="90" s="1"/>
  <c r="AY373" i="90"/>
  <c r="BU373" i="90" s="1"/>
  <c r="AX373" i="90"/>
  <c r="BT373" i="90" s="1"/>
  <c r="BD372" i="90"/>
  <c r="BZ372" i="90" s="1"/>
  <c r="BC372" i="90"/>
  <c r="BY372" i="90" s="1"/>
  <c r="BB372" i="90"/>
  <c r="BX372" i="90" s="1"/>
  <c r="BA372" i="90"/>
  <c r="BW372" i="90" s="1"/>
  <c r="AZ372" i="90"/>
  <c r="BV372" i="90" s="1"/>
  <c r="AY372" i="90"/>
  <c r="BU372" i="90" s="1"/>
  <c r="AX372" i="90"/>
  <c r="BT372" i="90" s="1"/>
  <c r="BD371" i="90"/>
  <c r="BZ371" i="90" s="1"/>
  <c r="BC371" i="90"/>
  <c r="BY371" i="90" s="1"/>
  <c r="BB371" i="90"/>
  <c r="BX371" i="90" s="1"/>
  <c r="BA371" i="90"/>
  <c r="BW371" i="90" s="1"/>
  <c r="AZ371" i="90"/>
  <c r="BV371" i="90" s="1"/>
  <c r="AY371" i="90"/>
  <c r="BU371" i="90" s="1"/>
  <c r="AX371" i="90"/>
  <c r="BT371" i="90" s="1"/>
  <c r="BD370" i="90"/>
  <c r="BZ370" i="90" s="1"/>
  <c r="BC370" i="90"/>
  <c r="BY370" i="90" s="1"/>
  <c r="BB370" i="90"/>
  <c r="BX370" i="90" s="1"/>
  <c r="BA370" i="90"/>
  <c r="BW370" i="90" s="1"/>
  <c r="AZ370" i="90"/>
  <c r="BV370" i="90" s="1"/>
  <c r="AY370" i="90"/>
  <c r="BU370" i="90" s="1"/>
  <c r="AX370" i="90"/>
  <c r="BT370" i="90" s="1"/>
  <c r="BD369" i="90"/>
  <c r="BZ369" i="90" s="1"/>
  <c r="BC369" i="90"/>
  <c r="BY369" i="90" s="1"/>
  <c r="BB369" i="90"/>
  <c r="BX369" i="90" s="1"/>
  <c r="BA369" i="90"/>
  <c r="BW369" i="90" s="1"/>
  <c r="AZ369" i="90"/>
  <c r="BV369" i="90" s="1"/>
  <c r="AY369" i="90"/>
  <c r="BU369" i="90" s="1"/>
  <c r="AX369" i="90"/>
  <c r="BT369" i="90" s="1"/>
  <c r="BD368" i="90"/>
  <c r="BZ368" i="90" s="1"/>
  <c r="BC368" i="90"/>
  <c r="BY368" i="90" s="1"/>
  <c r="BB368" i="90"/>
  <c r="BX368" i="90" s="1"/>
  <c r="BA368" i="90"/>
  <c r="BW368" i="90" s="1"/>
  <c r="AZ368" i="90"/>
  <c r="AY368" i="90"/>
  <c r="BU368" i="90" s="1"/>
  <c r="AX368" i="90"/>
  <c r="BT368" i="90" s="1"/>
  <c r="BD367" i="90"/>
  <c r="BZ367" i="90" s="1"/>
  <c r="BC367" i="90"/>
  <c r="BY367" i="90" s="1"/>
  <c r="BB367" i="90"/>
  <c r="BX367" i="90" s="1"/>
  <c r="BA367" i="90"/>
  <c r="BW367" i="90" s="1"/>
  <c r="AZ367" i="90"/>
  <c r="AY367" i="90"/>
  <c r="BU367" i="90" s="1"/>
  <c r="AX367" i="90"/>
  <c r="BT367" i="90" s="1"/>
  <c r="BD366" i="90"/>
  <c r="BZ366" i="90" s="1"/>
  <c r="BC366" i="90"/>
  <c r="BY366" i="90" s="1"/>
  <c r="BB366" i="90"/>
  <c r="BX366" i="90" s="1"/>
  <c r="BA366" i="90"/>
  <c r="BW366" i="90" s="1"/>
  <c r="AZ366" i="90"/>
  <c r="BV366" i="90" s="1"/>
  <c r="AY366" i="90"/>
  <c r="BU366" i="90" s="1"/>
  <c r="AX366" i="90"/>
  <c r="BT366" i="90" s="1"/>
  <c r="BD365" i="90"/>
  <c r="BZ365" i="90" s="1"/>
  <c r="BC365" i="90"/>
  <c r="BY365" i="90" s="1"/>
  <c r="BB365" i="90"/>
  <c r="BX365" i="90" s="1"/>
  <c r="BA365" i="90"/>
  <c r="BW365" i="90" s="1"/>
  <c r="AZ365" i="90"/>
  <c r="AY365" i="90"/>
  <c r="BU365" i="90" s="1"/>
  <c r="AX365" i="90"/>
  <c r="BT365" i="90" s="1"/>
  <c r="BD339" i="90"/>
  <c r="BZ339" i="90" s="1"/>
  <c r="BC339" i="90"/>
  <c r="BY339" i="90" s="1"/>
  <c r="BB339" i="90"/>
  <c r="BX339" i="90" s="1"/>
  <c r="BA339" i="90"/>
  <c r="BW339" i="90" s="1"/>
  <c r="AZ339" i="90"/>
  <c r="BV339" i="90" s="1"/>
  <c r="AY339" i="90"/>
  <c r="BU339" i="90" s="1"/>
  <c r="AX339" i="90"/>
  <c r="BD338" i="90"/>
  <c r="BZ338" i="90" s="1"/>
  <c r="BC338" i="90"/>
  <c r="BY338" i="90" s="1"/>
  <c r="BB338" i="90"/>
  <c r="BX338" i="90" s="1"/>
  <c r="BA338" i="90"/>
  <c r="AZ338" i="90"/>
  <c r="BV338" i="90" s="1"/>
  <c r="AY338" i="90"/>
  <c r="BU338" i="90" s="1"/>
  <c r="AX338" i="90"/>
  <c r="BD337" i="90"/>
  <c r="BZ337" i="90" s="1"/>
  <c r="BC337" i="90"/>
  <c r="BY337" i="90" s="1"/>
  <c r="BB337" i="90"/>
  <c r="BA337" i="90"/>
  <c r="BW337" i="90" s="1"/>
  <c r="AZ337" i="90"/>
  <c r="BV337" i="90" s="1"/>
  <c r="AY337" i="90"/>
  <c r="BU337" i="90" s="1"/>
  <c r="AX337" i="90"/>
  <c r="BD336" i="90"/>
  <c r="BZ336" i="90" s="1"/>
  <c r="BC336" i="90"/>
  <c r="BY336" i="90" s="1"/>
  <c r="BB336" i="90"/>
  <c r="BX336" i="90" s="1"/>
  <c r="BA336" i="90"/>
  <c r="BW336" i="90" s="1"/>
  <c r="AZ336" i="90"/>
  <c r="BV336" i="90" s="1"/>
  <c r="AY336" i="90"/>
  <c r="BU336" i="90" s="1"/>
  <c r="AX336" i="90"/>
  <c r="BD335" i="90"/>
  <c r="BZ335" i="90" s="1"/>
  <c r="BC335" i="90"/>
  <c r="BY335" i="90" s="1"/>
  <c r="BB335" i="90"/>
  <c r="BX335" i="90" s="1"/>
  <c r="BA335" i="90"/>
  <c r="BW335" i="90" s="1"/>
  <c r="AZ335" i="90"/>
  <c r="BV335" i="90" s="1"/>
  <c r="AY335" i="90"/>
  <c r="BU335" i="90" s="1"/>
  <c r="AX335" i="90"/>
  <c r="BT335" i="90" s="1"/>
  <c r="BD334" i="90"/>
  <c r="BZ334" i="90" s="1"/>
  <c r="BC334" i="90"/>
  <c r="BY334" i="90" s="1"/>
  <c r="BB334" i="90"/>
  <c r="BX334" i="90" s="1"/>
  <c r="BA334" i="90"/>
  <c r="BW334" i="90" s="1"/>
  <c r="AZ334" i="90"/>
  <c r="BV334" i="90" s="1"/>
  <c r="AY334" i="90"/>
  <c r="BU334" i="90" s="1"/>
  <c r="AX334" i="90"/>
  <c r="BT334" i="90" s="1"/>
  <c r="BD333" i="90"/>
  <c r="BZ333" i="90" s="1"/>
  <c r="BC333" i="90"/>
  <c r="BY333" i="90" s="1"/>
  <c r="BB333" i="90"/>
  <c r="BX333" i="90" s="1"/>
  <c r="BA333" i="90"/>
  <c r="BW333" i="90" s="1"/>
  <c r="AZ333" i="90"/>
  <c r="BV333" i="90" s="1"/>
  <c r="AY333" i="90"/>
  <c r="BU333" i="90" s="1"/>
  <c r="AX333" i="90"/>
  <c r="BT333" i="90" s="1"/>
  <c r="BD332" i="90"/>
  <c r="BC332" i="90"/>
  <c r="BY332" i="90" s="1"/>
  <c r="BB332" i="90"/>
  <c r="BX332" i="90" s="1"/>
  <c r="BA332" i="90"/>
  <c r="BW332" i="90" s="1"/>
  <c r="AZ332" i="90"/>
  <c r="BV332" i="90" s="1"/>
  <c r="AY332" i="90"/>
  <c r="AX332" i="90"/>
  <c r="BT332" i="90" s="1"/>
  <c r="BD331" i="90"/>
  <c r="BZ331" i="90" s="1"/>
  <c r="BC331" i="90"/>
  <c r="BY331" i="90" s="1"/>
  <c r="BB331" i="90"/>
  <c r="BX331" i="90" s="1"/>
  <c r="BA331" i="90"/>
  <c r="BW331" i="90" s="1"/>
  <c r="AZ331" i="90"/>
  <c r="BV331" i="90" s="1"/>
  <c r="AY331" i="90"/>
  <c r="BU331" i="90" s="1"/>
  <c r="AX331" i="90"/>
  <c r="BD330" i="90"/>
  <c r="BZ330" i="90" s="1"/>
  <c r="BC330" i="90"/>
  <c r="BY330" i="90" s="1"/>
  <c r="BB330" i="90"/>
  <c r="BX330" i="90" s="1"/>
  <c r="BA330" i="90"/>
  <c r="BW330" i="90" s="1"/>
  <c r="AZ330" i="90"/>
  <c r="BV330" i="90" s="1"/>
  <c r="AY330" i="90"/>
  <c r="BU330" i="90" s="1"/>
  <c r="BJ330" i="90" s="1"/>
  <c r="AX330" i="90"/>
  <c r="BT330" i="90" s="1"/>
  <c r="BD329" i="90"/>
  <c r="BZ329" i="90" s="1"/>
  <c r="BC329" i="90"/>
  <c r="BY329" i="90" s="1"/>
  <c r="BB329" i="90"/>
  <c r="BX329" i="90" s="1"/>
  <c r="BA329" i="90"/>
  <c r="BW329" i="90" s="1"/>
  <c r="AZ329" i="90"/>
  <c r="BV329" i="90" s="1"/>
  <c r="AY329" i="90"/>
  <c r="BU329" i="90" s="1"/>
  <c r="AX329" i="90"/>
  <c r="BT329" i="90" s="1"/>
  <c r="BD328" i="90"/>
  <c r="BZ328" i="90" s="1"/>
  <c r="BC328" i="90"/>
  <c r="BY328" i="90" s="1"/>
  <c r="BB328" i="90"/>
  <c r="BX328" i="90" s="1"/>
  <c r="BA328" i="90"/>
  <c r="BW328" i="90" s="1"/>
  <c r="AZ328" i="90"/>
  <c r="BV328" i="90" s="1"/>
  <c r="AY328" i="90"/>
  <c r="BU328" i="90" s="1"/>
  <c r="AX328" i="90"/>
  <c r="BT328" i="90" s="1"/>
  <c r="BD327" i="90"/>
  <c r="BZ327" i="90" s="1"/>
  <c r="BC327" i="90"/>
  <c r="BY327" i="90" s="1"/>
  <c r="BB327" i="90"/>
  <c r="BX327" i="90" s="1"/>
  <c r="BA327" i="90"/>
  <c r="BW327" i="90" s="1"/>
  <c r="AZ327" i="90"/>
  <c r="BV327" i="90" s="1"/>
  <c r="AY327" i="90"/>
  <c r="BU327" i="90" s="1"/>
  <c r="AX327" i="90"/>
  <c r="BT327" i="90" s="1"/>
  <c r="BD326" i="90"/>
  <c r="BZ326" i="90" s="1"/>
  <c r="BC326" i="90"/>
  <c r="BY326" i="90" s="1"/>
  <c r="BB326" i="90"/>
  <c r="BX326" i="90" s="1"/>
  <c r="BA326" i="90"/>
  <c r="BW326" i="90" s="1"/>
  <c r="AZ326" i="90"/>
  <c r="BV326" i="90" s="1"/>
  <c r="AY326" i="90"/>
  <c r="BU326" i="90" s="1"/>
  <c r="AX326" i="90"/>
  <c r="BT326" i="90" s="1"/>
  <c r="BD325" i="90"/>
  <c r="BZ325" i="90" s="1"/>
  <c r="BC325" i="90"/>
  <c r="BB325" i="90"/>
  <c r="BX325" i="90" s="1"/>
  <c r="BA325" i="90"/>
  <c r="BW325" i="90" s="1"/>
  <c r="AZ325" i="90"/>
  <c r="BV325" i="90" s="1"/>
  <c r="AY325" i="90"/>
  <c r="BU325" i="90" s="1"/>
  <c r="AX325" i="90"/>
  <c r="BT325" i="90" s="1"/>
  <c r="BD324" i="90"/>
  <c r="BZ324" i="90" s="1"/>
  <c r="BC324" i="90"/>
  <c r="BY324" i="90" s="1"/>
  <c r="BB324" i="90"/>
  <c r="BX324" i="90" s="1"/>
  <c r="BA324" i="90"/>
  <c r="BW324" i="90" s="1"/>
  <c r="AZ324" i="90"/>
  <c r="BV324" i="90" s="1"/>
  <c r="AY324" i="90"/>
  <c r="BU324" i="90" s="1"/>
  <c r="AX324" i="90"/>
  <c r="BT324" i="90" s="1"/>
  <c r="BD323" i="90"/>
  <c r="BZ323" i="90" s="1"/>
  <c r="BC323" i="90"/>
  <c r="BY323" i="90" s="1"/>
  <c r="BB323" i="90"/>
  <c r="BX323" i="90" s="1"/>
  <c r="BA323" i="90"/>
  <c r="BW323" i="90" s="1"/>
  <c r="AZ323" i="90"/>
  <c r="BV323" i="90" s="1"/>
  <c r="AY323" i="90"/>
  <c r="BU323" i="90" s="1"/>
  <c r="AX323" i="90"/>
  <c r="BT323" i="90" s="1"/>
  <c r="BD322" i="90"/>
  <c r="BZ322" i="90" s="1"/>
  <c r="BC322" i="90"/>
  <c r="BY322" i="90" s="1"/>
  <c r="BB322" i="90"/>
  <c r="BX322" i="90" s="1"/>
  <c r="BA322" i="90"/>
  <c r="BW322" i="90" s="1"/>
  <c r="AZ322" i="90"/>
  <c r="BV322" i="90" s="1"/>
  <c r="AY322" i="90"/>
  <c r="BU322" i="90" s="1"/>
  <c r="BJ322" i="90" s="1"/>
  <c r="AX322" i="90"/>
  <c r="BT322" i="90" s="1"/>
  <c r="BD321" i="90"/>
  <c r="BZ321" i="90" s="1"/>
  <c r="BC321" i="90"/>
  <c r="BY321" i="90" s="1"/>
  <c r="BB321" i="90"/>
  <c r="BA321" i="90"/>
  <c r="BW321" i="90" s="1"/>
  <c r="AZ321" i="90"/>
  <c r="BV321" i="90" s="1"/>
  <c r="AY321" i="90"/>
  <c r="BU321" i="90" s="1"/>
  <c r="AX321" i="90"/>
  <c r="BD320" i="90"/>
  <c r="BC320" i="90"/>
  <c r="BY320" i="90" s="1"/>
  <c r="BB320" i="90"/>
  <c r="BX320" i="90" s="1"/>
  <c r="BA320" i="90"/>
  <c r="BW320" i="90" s="1"/>
  <c r="AZ320" i="90"/>
  <c r="BV320" i="90" s="1"/>
  <c r="AY320" i="90"/>
  <c r="BU320" i="90" s="1"/>
  <c r="AX320" i="90"/>
  <c r="BT320" i="90" s="1"/>
  <c r="BD319" i="90"/>
  <c r="BZ319" i="90" s="1"/>
  <c r="BC319" i="90"/>
  <c r="BY319" i="90" s="1"/>
  <c r="BB319" i="90"/>
  <c r="BX319" i="90" s="1"/>
  <c r="BA319" i="90"/>
  <c r="BW319" i="90" s="1"/>
  <c r="AZ319" i="90"/>
  <c r="BV319" i="90" s="1"/>
  <c r="AY319" i="90"/>
  <c r="BU319" i="90" s="1"/>
  <c r="AX319" i="90"/>
  <c r="BT319" i="90" s="1"/>
  <c r="BD318" i="90"/>
  <c r="BZ318" i="90" s="1"/>
  <c r="BC318" i="90"/>
  <c r="BY318" i="90" s="1"/>
  <c r="BB318" i="90"/>
  <c r="BX318" i="90" s="1"/>
  <c r="BA318" i="90"/>
  <c r="BW318" i="90" s="1"/>
  <c r="AZ318" i="90"/>
  <c r="BV318" i="90" s="1"/>
  <c r="AY318" i="90"/>
  <c r="BU318" i="90" s="1"/>
  <c r="AX318" i="90"/>
  <c r="BT318" i="90" s="1"/>
  <c r="BD317" i="90"/>
  <c r="BZ317" i="90" s="1"/>
  <c r="BC317" i="90"/>
  <c r="BY317" i="90" s="1"/>
  <c r="BB317" i="90"/>
  <c r="BA317" i="90"/>
  <c r="BW317" i="90" s="1"/>
  <c r="AZ317" i="90"/>
  <c r="BV317" i="90" s="1"/>
  <c r="AY317" i="90"/>
  <c r="BU317" i="90" s="1"/>
  <c r="AX317" i="90"/>
  <c r="BD316" i="90"/>
  <c r="BZ316" i="90" s="1"/>
  <c r="BC316" i="90"/>
  <c r="BY316" i="90" s="1"/>
  <c r="BB316" i="90"/>
  <c r="BX316" i="90" s="1"/>
  <c r="BA316" i="90"/>
  <c r="BW316" i="90" s="1"/>
  <c r="BL316" i="90" s="1"/>
  <c r="AZ316" i="90"/>
  <c r="BV316" i="90" s="1"/>
  <c r="AY316" i="90"/>
  <c r="BU316" i="90" s="1"/>
  <c r="AX316" i="90"/>
  <c r="BT316" i="90" s="1"/>
  <c r="BD315" i="90"/>
  <c r="BZ315" i="90" s="1"/>
  <c r="BC315" i="90"/>
  <c r="BY315" i="90" s="1"/>
  <c r="BB315" i="90"/>
  <c r="BX315" i="90" s="1"/>
  <c r="BA315" i="90"/>
  <c r="BW315" i="90" s="1"/>
  <c r="AZ315" i="90"/>
  <c r="BV315" i="90" s="1"/>
  <c r="BK315" i="90" s="1"/>
  <c r="AY315" i="90"/>
  <c r="BU315" i="90" s="1"/>
  <c r="AX315" i="90"/>
  <c r="BT315" i="90" s="1"/>
  <c r="BD314" i="90"/>
  <c r="BZ314" i="90" s="1"/>
  <c r="BC314" i="90"/>
  <c r="BY314" i="90" s="1"/>
  <c r="BB314" i="90"/>
  <c r="BX314" i="90" s="1"/>
  <c r="BA314" i="90"/>
  <c r="BW314" i="90" s="1"/>
  <c r="AZ314" i="90"/>
  <c r="BV314" i="90" s="1"/>
  <c r="AY314" i="90"/>
  <c r="BU314" i="90" s="1"/>
  <c r="BJ314" i="90" s="1"/>
  <c r="AX314" i="90"/>
  <c r="BT314" i="90" s="1"/>
  <c r="BD313" i="90"/>
  <c r="BZ313" i="90" s="1"/>
  <c r="BC313" i="90"/>
  <c r="BY313" i="90" s="1"/>
  <c r="BB313" i="90"/>
  <c r="BX313" i="90" s="1"/>
  <c r="BA313" i="90"/>
  <c r="BW313" i="90" s="1"/>
  <c r="AZ313" i="90"/>
  <c r="BV313" i="90" s="1"/>
  <c r="AY313" i="90"/>
  <c r="BU313" i="90" s="1"/>
  <c r="AX313" i="90"/>
  <c r="BT313" i="90" s="1"/>
  <c r="BD312" i="90"/>
  <c r="BZ312" i="90" s="1"/>
  <c r="BC312" i="90"/>
  <c r="BY312" i="90" s="1"/>
  <c r="BB312" i="90"/>
  <c r="BX312" i="90" s="1"/>
  <c r="BA312" i="90"/>
  <c r="BW312" i="90" s="1"/>
  <c r="AZ312" i="90"/>
  <c r="BV312" i="90" s="1"/>
  <c r="AY312" i="90"/>
  <c r="BU312" i="90" s="1"/>
  <c r="AX312" i="90"/>
  <c r="BT312" i="90" s="1"/>
  <c r="BD311" i="90"/>
  <c r="BZ311" i="90" s="1"/>
  <c r="BC311" i="90"/>
  <c r="BY311" i="90" s="1"/>
  <c r="BB311" i="90"/>
  <c r="BX311" i="90" s="1"/>
  <c r="BA311" i="90"/>
  <c r="BW311" i="90" s="1"/>
  <c r="AZ311" i="90"/>
  <c r="BV311" i="90" s="1"/>
  <c r="AY311" i="90"/>
  <c r="BU311" i="90" s="1"/>
  <c r="AX311" i="90"/>
  <c r="BT311" i="90" s="1"/>
  <c r="BD310" i="90"/>
  <c r="BZ310" i="90" s="1"/>
  <c r="BC310" i="90"/>
  <c r="BY310" i="90" s="1"/>
  <c r="BB310" i="90"/>
  <c r="BX310" i="90" s="1"/>
  <c r="BA310" i="90"/>
  <c r="BW310" i="90" s="1"/>
  <c r="AZ310" i="90"/>
  <c r="BV310" i="90" s="1"/>
  <c r="AY310" i="90"/>
  <c r="BU310" i="90" s="1"/>
  <c r="AX310" i="90"/>
  <c r="BT310" i="90" s="1"/>
  <c r="BD309" i="90"/>
  <c r="BZ309" i="90" s="1"/>
  <c r="BC309" i="90"/>
  <c r="BY309" i="90" s="1"/>
  <c r="BB309" i="90"/>
  <c r="BX309" i="90" s="1"/>
  <c r="BA309" i="90"/>
  <c r="BW309" i="90" s="1"/>
  <c r="AZ309" i="90"/>
  <c r="BV309" i="90" s="1"/>
  <c r="AY309" i="90"/>
  <c r="BU309" i="90" s="1"/>
  <c r="AX309" i="90"/>
  <c r="BT309" i="90" s="1"/>
  <c r="BD248" i="90"/>
  <c r="BZ248" i="90" s="1"/>
  <c r="BC248" i="90"/>
  <c r="BY248" i="90" s="1"/>
  <c r="BB248" i="90"/>
  <c r="BX248" i="90" s="1"/>
  <c r="BA248" i="90"/>
  <c r="BW248" i="90" s="1"/>
  <c r="AZ248" i="90"/>
  <c r="AY248" i="90"/>
  <c r="BU248" i="90" s="1"/>
  <c r="AX248" i="90"/>
  <c r="BT248" i="90" s="1"/>
  <c r="BD247" i="90"/>
  <c r="BZ247" i="90" s="1"/>
  <c r="BC247" i="90"/>
  <c r="BY247" i="90" s="1"/>
  <c r="BB247" i="90"/>
  <c r="BX247" i="90" s="1"/>
  <c r="BA247" i="90"/>
  <c r="BW247" i="90" s="1"/>
  <c r="AZ247" i="90"/>
  <c r="BV247" i="90" s="1"/>
  <c r="AY247" i="90"/>
  <c r="AX247" i="90"/>
  <c r="BT247" i="90" s="1"/>
  <c r="BD246" i="90"/>
  <c r="BZ246" i="90" s="1"/>
  <c r="BC246" i="90"/>
  <c r="BY246" i="90" s="1"/>
  <c r="BB246" i="90"/>
  <c r="BX246" i="90" s="1"/>
  <c r="BA246" i="90"/>
  <c r="BW246" i="90" s="1"/>
  <c r="AZ246" i="90"/>
  <c r="BV246" i="90" s="1"/>
  <c r="AY246" i="90"/>
  <c r="BU246" i="90" s="1"/>
  <c r="BJ246" i="90" s="1"/>
  <c r="AX246" i="90"/>
  <c r="BT246" i="90" s="1"/>
  <c r="BD245" i="90"/>
  <c r="BZ245" i="90" s="1"/>
  <c r="BC245" i="90"/>
  <c r="BY245" i="90" s="1"/>
  <c r="BB245" i="90"/>
  <c r="BX245" i="90" s="1"/>
  <c r="BA245" i="90"/>
  <c r="BW245" i="90" s="1"/>
  <c r="AZ245" i="90"/>
  <c r="AY245" i="90"/>
  <c r="BU245" i="90" s="1"/>
  <c r="AX245" i="90"/>
  <c r="BT245" i="90" s="1"/>
  <c r="BD244" i="90"/>
  <c r="BZ244" i="90" s="1"/>
  <c r="BC244" i="90"/>
  <c r="BY244" i="90" s="1"/>
  <c r="BB244" i="90"/>
  <c r="BX244" i="90" s="1"/>
  <c r="BA244" i="90"/>
  <c r="BW244" i="90" s="1"/>
  <c r="AZ244" i="90"/>
  <c r="AY244" i="90"/>
  <c r="BU244" i="90" s="1"/>
  <c r="AX244" i="90"/>
  <c r="BT244" i="90" s="1"/>
  <c r="BD243" i="90"/>
  <c r="BZ243" i="90" s="1"/>
  <c r="BC243" i="90"/>
  <c r="BY243" i="90" s="1"/>
  <c r="BB243" i="90"/>
  <c r="BX243" i="90" s="1"/>
  <c r="BA243" i="90"/>
  <c r="BW243" i="90" s="1"/>
  <c r="AZ243" i="90"/>
  <c r="BV243" i="90" s="1"/>
  <c r="AY243" i="90"/>
  <c r="BU243" i="90" s="1"/>
  <c r="AX243" i="90"/>
  <c r="BT243" i="90" s="1"/>
  <c r="BD242" i="90"/>
  <c r="BZ242" i="90" s="1"/>
  <c r="BC242" i="90"/>
  <c r="BY242" i="90" s="1"/>
  <c r="BB242" i="90"/>
  <c r="BA242" i="90"/>
  <c r="BW242" i="90" s="1"/>
  <c r="AZ242" i="90"/>
  <c r="BV242" i="90" s="1"/>
  <c r="AY242" i="90"/>
  <c r="BU242" i="90" s="1"/>
  <c r="AX242" i="90"/>
  <c r="BD241" i="90"/>
  <c r="BZ241" i="90" s="1"/>
  <c r="BC241" i="90"/>
  <c r="BY241" i="90" s="1"/>
  <c r="BB241" i="90"/>
  <c r="BA241" i="90"/>
  <c r="BW241" i="90" s="1"/>
  <c r="AZ241" i="90"/>
  <c r="BV241" i="90" s="1"/>
  <c r="AY241" i="90"/>
  <c r="BU241" i="90" s="1"/>
  <c r="AX241" i="90"/>
  <c r="BT241" i="90" s="1"/>
  <c r="BD240" i="90"/>
  <c r="BZ240" i="90" s="1"/>
  <c r="BC240" i="90"/>
  <c r="BY240" i="90" s="1"/>
  <c r="BB240" i="90"/>
  <c r="BX240" i="90" s="1"/>
  <c r="BA240" i="90"/>
  <c r="BW240" i="90" s="1"/>
  <c r="BL240" i="90" s="1"/>
  <c r="AZ240" i="90"/>
  <c r="BV240" i="90" s="1"/>
  <c r="AY240" i="90"/>
  <c r="BU240" i="90" s="1"/>
  <c r="AX240" i="90"/>
  <c r="BT240" i="90" s="1"/>
  <c r="BD239" i="90"/>
  <c r="BC239" i="90"/>
  <c r="BB239" i="90"/>
  <c r="BA239" i="90"/>
  <c r="AZ239" i="90"/>
  <c r="AY239" i="90"/>
  <c r="AX239" i="90"/>
  <c r="BD238" i="90"/>
  <c r="BZ238" i="90" s="1"/>
  <c r="BC238" i="90"/>
  <c r="BY238" i="90" s="1"/>
  <c r="BB238" i="90"/>
  <c r="BA238" i="90"/>
  <c r="BW238" i="90" s="1"/>
  <c r="AZ238" i="90"/>
  <c r="BV238" i="90" s="1"/>
  <c r="AY238" i="90"/>
  <c r="BU238" i="90" s="1"/>
  <c r="BJ238" i="90" s="1"/>
  <c r="AX238" i="90"/>
  <c r="BT238" i="90" s="1"/>
  <c r="BD237" i="90"/>
  <c r="BC237" i="90"/>
  <c r="BB237" i="90"/>
  <c r="BA237" i="90"/>
  <c r="AZ237" i="90"/>
  <c r="AY237" i="90"/>
  <c r="AX237" i="90"/>
  <c r="BD63" i="90"/>
  <c r="BC63" i="90"/>
  <c r="BB63" i="90"/>
  <c r="BA63" i="90"/>
  <c r="AZ63" i="90"/>
  <c r="AY63" i="90"/>
  <c r="AX63" i="90"/>
  <c r="BD62" i="90"/>
  <c r="BC62" i="90"/>
  <c r="BB62" i="90"/>
  <c r="BA62" i="90"/>
  <c r="AZ62" i="90"/>
  <c r="AY62" i="90"/>
  <c r="AX62" i="90"/>
  <c r="BD54" i="90"/>
  <c r="BZ54" i="90" s="1"/>
  <c r="BC54" i="90"/>
  <c r="BY54" i="90" s="1"/>
  <c r="BB54" i="90"/>
  <c r="BX54" i="90" s="1"/>
  <c r="BA54" i="90"/>
  <c r="AZ54" i="90"/>
  <c r="BV54" i="90" s="1"/>
  <c r="AY54" i="90"/>
  <c r="BU54" i="90" s="1"/>
  <c r="AX54" i="90"/>
  <c r="BT54" i="90" s="1"/>
  <c r="BD53" i="90"/>
  <c r="BZ53" i="90" s="1"/>
  <c r="BC53" i="90"/>
  <c r="BB53" i="90"/>
  <c r="BX53" i="90" s="1"/>
  <c r="BA53" i="90"/>
  <c r="AZ53" i="90"/>
  <c r="AY53" i="90"/>
  <c r="BU53" i="90" s="1"/>
  <c r="AX53" i="90"/>
  <c r="BD52" i="90"/>
  <c r="BC52" i="90"/>
  <c r="BB52" i="90"/>
  <c r="BX52" i="90" s="1"/>
  <c r="BA52" i="90"/>
  <c r="BW52" i="90" s="1"/>
  <c r="AZ52" i="90"/>
  <c r="BV52" i="90" s="1"/>
  <c r="AY52" i="90"/>
  <c r="AX52" i="90"/>
  <c r="BT52" i="90" s="1"/>
  <c r="BD51" i="90"/>
  <c r="BC51" i="90"/>
  <c r="BY51" i="90" s="1"/>
  <c r="BB51" i="90"/>
  <c r="BA51" i="90"/>
  <c r="BW51" i="90" s="1"/>
  <c r="AZ51" i="90"/>
  <c r="BV51" i="90" s="1"/>
  <c r="AY51" i="90"/>
  <c r="AX51" i="90"/>
  <c r="BD50" i="90"/>
  <c r="BC50" i="90"/>
  <c r="BY50" i="90" s="1"/>
  <c r="BB50" i="90"/>
  <c r="BX50" i="90" s="1"/>
  <c r="BA50" i="90"/>
  <c r="BW50" i="90" s="1"/>
  <c r="AZ50" i="90"/>
  <c r="AY50" i="90"/>
  <c r="BU50" i="90" s="1"/>
  <c r="BJ50" i="90" s="1"/>
  <c r="AX50" i="90"/>
  <c r="BT50" i="90" s="1"/>
  <c r="BD49" i="90"/>
  <c r="BC49" i="90"/>
  <c r="BB49" i="90"/>
  <c r="BA49" i="90"/>
  <c r="AZ49" i="90"/>
  <c r="AY49" i="90"/>
  <c r="AX49" i="90"/>
  <c r="BD48" i="90"/>
  <c r="BC48" i="90"/>
  <c r="BB48" i="90"/>
  <c r="BA48" i="90"/>
  <c r="AZ48" i="90"/>
  <c r="AY48" i="90"/>
  <c r="AX48" i="90"/>
  <c r="BD47" i="90"/>
  <c r="BZ47" i="90" s="1"/>
  <c r="BC47" i="90"/>
  <c r="BB47" i="90"/>
  <c r="BA47" i="90"/>
  <c r="AZ47" i="90"/>
  <c r="AY47" i="90"/>
  <c r="AX47" i="90"/>
  <c r="BD46" i="90"/>
  <c r="BC46" i="90"/>
  <c r="BB46" i="90"/>
  <c r="BA46" i="90"/>
  <c r="AZ46" i="90"/>
  <c r="AY46" i="90"/>
  <c r="AX46" i="90"/>
  <c r="BT46" i="90" s="1"/>
  <c r="D15" i="90"/>
  <c r="D14" i="90"/>
  <c r="D9" i="90"/>
  <c r="AF7" i="42"/>
  <c r="AE7" i="42"/>
  <c r="AD7" i="42"/>
  <c r="AC7" i="42"/>
  <c r="BL286" i="57" l="1"/>
  <c r="BV286" i="57"/>
  <c r="BU286" i="57"/>
  <c r="BN286" i="57"/>
  <c r="BT286" i="57"/>
  <c r="BS286" i="57"/>
  <c r="BR286" i="57"/>
  <c r="BQ286" i="57"/>
  <c r="BP286" i="57"/>
  <c r="BO286" i="57"/>
  <c r="BM286" i="57"/>
  <c r="BL285" i="57"/>
  <c r="BK285" i="57"/>
  <c r="BV285" i="57"/>
  <c r="BU285" i="57"/>
  <c r="BT285" i="57"/>
  <c r="BS285" i="57"/>
  <c r="BR285" i="57"/>
  <c r="BQ285" i="57"/>
  <c r="BP285" i="57"/>
  <c r="BO285" i="57"/>
  <c r="BN285" i="57"/>
  <c r="BM285" i="57"/>
  <c r="BK283" i="57"/>
  <c r="BV283" i="57"/>
  <c r="BU283" i="57"/>
  <c r="BT283" i="57"/>
  <c r="BS283" i="57"/>
  <c r="BR283" i="57"/>
  <c r="BQ283" i="57"/>
  <c r="BP283" i="57"/>
  <c r="BO283" i="57"/>
  <c r="BN283" i="57"/>
  <c r="BM283" i="57"/>
  <c r="BL283" i="57"/>
  <c r="BK282" i="57"/>
  <c r="BV282" i="57"/>
  <c r="BU282" i="57"/>
  <c r="BT282" i="57"/>
  <c r="BS282" i="57"/>
  <c r="BR282" i="57"/>
  <c r="BQ282" i="57"/>
  <c r="BP282" i="57"/>
  <c r="BO282" i="57"/>
  <c r="BN282" i="57"/>
  <c r="BM282" i="57"/>
  <c r="BU280" i="57"/>
  <c r="BL282" i="57"/>
  <c r="BV280" i="57"/>
  <c r="BT280" i="57"/>
  <c r="BS280" i="57"/>
  <c r="BR280" i="57"/>
  <c r="BQ280" i="57"/>
  <c r="BP280" i="57"/>
  <c r="BL280" i="57"/>
  <c r="BO280" i="57"/>
  <c r="BN280" i="57"/>
  <c r="BK280" i="57"/>
  <c r="BV279" i="57"/>
  <c r="BM280" i="57"/>
  <c r="BU279" i="57"/>
  <c r="BT279" i="57"/>
  <c r="BS279" i="57"/>
  <c r="BR279" i="57"/>
  <c r="BQ279" i="57"/>
  <c r="BP279" i="57"/>
  <c r="BO279" i="57"/>
  <c r="BN279" i="57"/>
  <c r="BM279" i="57"/>
  <c r="BL279" i="57"/>
  <c r="BU277" i="57"/>
  <c r="BK279" i="57"/>
  <c r="BT277" i="57"/>
  <c r="BS277" i="57"/>
  <c r="BR277" i="57"/>
  <c r="BQ277" i="57"/>
  <c r="BP277" i="57"/>
  <c r="BO277" i="57"/>
  <c r="BN277" i="57"/>
  <c r="BM277" i="57"/>
  <c r="BL277" i="57"/>
  <c r="BK277" i="57"/>
  <c r="BV277" i="57"/>
  <c r="BU276" i="57"/>
  <c r="BT276" i="57"/>
  <c r="BS276" i="57"/>
  <c r="BR276" i="57"/>
  <c r="BQ276" i="57"/>
  <c r="BP276" i="57"/>
  <c r="BO276" i="57"/>
  <c r="BN276" i="57"/>
  <c r="BM276" i="57"/>
  <c r="BL276" i="57"/>
  <c r="BK276" i="57"/>
  <c r="BS274" i="57"/>
  <c r="BV276" i="57"/>
  <c r="BT274" i="57"/>
  <c r="BR274" i="57"/>
  <c r="BQ274" i="57"/>
  <c r="BP274" i="57"/>
  <c r="BO274" i="57"/>
  <c r="BN274" i="57"/>
  <c r="BL274" i="57"/>
  <c r="BK274" i="57"/>
  <c r="BV274" i="57"/>
  <c r="BM274" i="57"/>
  <c r="BS273" i="57"/>
  <c r="BU274" i="57"/>
  <c r="BT273" i="57"/>
  <c r="BR273" i="57"/>
  <c r="BQ273" i="57"/>
  <c r="BP273" i="57"/>
  <c r="BO273" i="57"/>
  <c r="BN273" i="57"/>
  <c r="BM273" i="57"/>
  <c r="BL273" i="57"/>
  <c r="BK273" i="57"/>
  <c r="BV273" i="57"/>
  <c r="BS271" i="57"/>
  <c r="BU273" i="57"/>
  <c r="BR271" i="57"/>
  <c r="BU271" i="57"/>
  <c r="BQ271" i="57"/>
  <c r="BP271" i="57"/>
  <c r="BO271" i="57"/>
  <c r="BN271" i="57"/>
  <c r="BM271" i="57"/>
  <c r="BL271" i="57"/>
  <c r="BK271" i="57"/>
  <c r="BV271" i="57"/>
  <c r="BR270" i="57"/>
  <c r="BT271" i="57"/>
  <c r="BS270" i="57"/>
  <c r="BQ270" i="57"/>
  <c r="BP270" i="57"/>
  <c r="BO270" i="57"/>
  <c r="BN270" i="57"/>
  <c r="BM270" i="57"/>
  <c r="BL270" i="57"/>
  <c r="BK270" i="57"/>
  <c r="BV270" i="57"/>
  <c r="BU270" i="57"/>
  <c r="BQ268" i="57"/>
  <c r="BT270" i="57"/>
  <c r="BR268" i="57"/>
  <c r="BP268" i="57"/>
  <c r="BO268" i="57"/>
  <c r="BN268" i="57"/>
  <c r="BM268" i="57"/>
  <c r="BL268" i="57"/>
  <c r="BK268" i="57"/>
  <c r="BV268" i="57"/>
  <c r="BT268" i="57"/>
  <c r="BU268" i="57"/>
  <c r="BS267" i="57"/>
  <c r="BS268" i="57"/>
  <c r="BR267" i="57"/>
  <c r="BQ267" i="57"/>
  <c r="BP267" i="57"/>
  <c r="BO267" i="57"/>
  <c r="BN267" i="57"/>
  <c r="BM267" i="57"/>
  <c r="BL267" i="57"/>
  <c r="BK267" i="57"/>
  <c r="BV267" i="57"/>
  <c r="BU267" i="57"/>
  <c r="BT267" i="57"/>
  <c r="BQ265" i="57"/>
  <c r="BP265" i="57"/>
  <c r="BO265" i="57"/>
  <c r="BN265" i="57"/>
  <c r="BM265" i="57"/>
  <c r="BL265" i="57"/>
  <c r="BK265" i="57"/>
  <c r="BV265" i="57"/>
  <c r="BU265" i="57"/>
  <c r="BT265" i="57"/>
  <c r="BS265" i="57"/>
  <c r="BR265" i="57"/>
  <c r="BQ264" i="57"/>
  <c r="BR264" i="57"/>
  <c r="BP264" i="57"/>
  <c r="BO264" i="57"/>
  <c r="BN264" i="57"/>
  <c r="BM264" i="57"/>
  <c r="BL264" i="57"/>
  <c r="BK264" i="57"/>
  <c r="BV264" i="57"/>
  <c r="BU264" i="57"/>
  <c r="BT264" i="57"/>
  <c r="BO262" i="57"/>
  <c r="BS264" i="57"/>
  <c r="BP262" i="57"/>
  <c r="BN262" i="57"/>
  <c r="BM262" i="57"/>
  <c r="BL262" i="57"/>
  <c r="BK262" i="57"/>
  <c r="BV262" i="57"/>
  <c r="BU262" i="57"/>
  <c r="BT262" i="57"/>
  <c r="BS262" i="57"/>
  <c r="BQ262" i="57"/>
  <c r="BR262" i="57"/>
  <c r="BP261" i="57"/>
  <c r="BO261" i="57"/>
  <c r="BN261" i="57"/>
  <c r="BM261" i="57"/>
  <c r="BL261" i="57"/>
  <c r="BK261" i="57"/>
  <c r="BV261" i="57"/>
  <c r="BU261" i="57"/>
  <c r="BT261" i="57"/>
  <c r="BS261" i="57"/>
  <c r="BR261" i="57"/>
  <c r="BQ259" i="57"/>
  <c r="BQ261" i="57"/>
  <c r="BO259" i="57"/>
  <c r="BN259" i="57"/>
  <c r="BM259" i="57"/>
  <c r="BL259" i="57"/>
  <c r="BK259" i="57"/>
  <c r="BV259" i="57"/>
  <c r="BU259" i="57"/>
  <c r="BT259" i="57"/>
  <c r="BS259" i="57"/>
  <c r="BR259" i="57"/>
  <c r="BP259" i="57"/>
  <c r="BO258" i="57"/>
  <c r="BN258" i="57"/>
  <c r="BM258" i="57"/>
  <c r="BL258" i="57"/>
  <c r="BK258" i="57"/>
  <c r="BV258" i="57"/>
  <c r="BU258" i="57"/>
  <c r="BT258" i="57"/>
  <c r="BS258" i="57"/>
  <c r="BR258" i="57"/>
  <c r="BQ258" i="57"/>
  <c r="BP258" i="57"/>
  <c r="BN256" i="57"/>
  <c r="BM256" i="57"/>
  <c r="BL256" i="57"/>
  <c r="BK256" i="57"/>
  <c r="BV256" i="57"/>
  <c r="BU256" i="57"/>
  <c r="BT256" i="57"/>
  <c r="BS256" i="57"/>
  <c r="BR256" i="57"/>
  <c r="BQ256" i="57"/>
  <c r="BP256" i="57"/>
  <c r="BO256" i="57"/>
  <c r="BN255" i="57"/>
  <c r="BM255" i="57"/>
  <c r="BL255" i="57"/>
  <c r="BK255" i="57"/>
  <c r="BV255" i="57"/>
  <c r="BP255" i="57"/>
  <c r="BU255" i="57"/>
  <c r="BT255" i="57"/>
  <c r="BS255" i="57"/>
  <c r="BO255" i="57"/>
  <c r="BL253" i="57"/>
  <c r="BR255" i="57"/>
  <c r="BV253" i="57"/>
  <c r="BQ255" i="57"/>
  <c r="BM253" i="57"/>
  <c r="BK253" i="57"/>
  <c r="BU253" i="57"/>
  <c r="BT253" i="57"/>
  <c r="BS253" i="57"/>
  <c r="BR253" i="57"/>
  <c r="BQ253" i="57"/>
  <c r="BN253" i="57"/>
  <c r="BP253" i="57"/>
  <c r="BO253" i="57"/>
  <c r="BM252" i="57"/>
  <c r="BL252" i="57"/>
  <c r="BK252" i="57"/>
  <c r="BV252" i="57"/>
  <c r="BU252" i="57"/>
  <c r="BT252" i="57"/>
  <c r="BS252" i="57"/>
  <c r="BR252" i="57"/>
  <c r="BQ252" i="57"/>
  <c r="BP252" i="57"/>
  <c r="BO252" i="57"/>
  <c r="BN252" i="57"/>
  <c r="BL250" i="57"/>
  <c r="BK250" i="57"/>
  <c r="BV250" i="57"/>
  <c r="BU250" i="57"/>
  <c r="BT250" i="57"/>
  <c r="BS250" i="57"/>
  <c r="BM250" i="57"/>
  <c r="BR250" i="57"/>
  <c r="BQ250" i="57"/>
  <c r="BP250" i="57"/>
  <c r="BO250" i="57"/>
  <c r="BL249" i="57"/>
  <c r="BN250" i="57"/>
  <c r="BK249" i="57"/>
  <c r="BV249" i="57"/>
  <c r="BU249" i="57"/>
  <c r="BT249" i="57"/>
  <c r="BS249" i="57"/>
  <c r="BR249" i="57"/>
  <c r="BQ249" i="57"/>
  <c r="BP249" i="57"/>
  <c r="BM249" i="57"/>
  <c r="BK247" i="57"/>
  <c r="BO249" i="57"/>
  <c r="BV247" i="57"/>
  <c r="BN249" i="57"/>
  <c r="BU247" i="57"/>
  <c r="BT247" i="57"/>
  <c r="BS247" i="57"/>
  <c r="BR247" i="57"/>
  <c r="BQ247" i="57"/>
  <c r="BM247" i="57"/>
  <c r="BP247" i="57"/>
  <c r="BL247" i="57"/>
  <c r="BO247" i="57"/>
  <c r="BV246" i="57"/>
  <c r="BN247" i="57"/>
  <c r="BK246" i="57"/>
  <c r="BU246" i="57"/>
  <c r="BT246" i="57"/>
  <c r="BS246" i="57"/>
  <c r="BR246" i="57"/>
  <c r="BQ246" i="57"/>
  <c r="BP246" i="57"/>
  <c r="BO246" i="57"/>
  <c r="BN246" i="57"/>
  <c r="BM246" i="57"/>
  <c r="BL246" i="57"/>
  <c r="BV244" i="57"/>
  <c r="BU244" i="57"/>
  <c r="BT244" i="57"/>
  <c r="BS244" i="57"/>
  <c r="BR244" i="57"/>
  <c r="BQ244" i="57"/>
  <c r="BP244" i="57"/>
  <c r="BO244" i="57"/>
  <c r="BK244" i="57"/>
  <c r="BN244" i="57"/>
  <c r="BM244" i="57"/>
  <c r="BL244" i="57"/>
  <c r="BV243" i="57"/>
  <c r="BU243" i="57"/>
  <c r="BT243" i="57"/>
  <c r="BS243" i="57"/>
  <c r="BK243" i="57"/>
  <c r="BR243" i="57"/>
  <c r="BQ243" i="57"/>
  <c r="BP243" i="57"/>
  <c r="BO243" i="57"/>
  <c r="BN243" i="57"/>
  <c r="BM243" i="57"/>
  <c r="BL243" i="57"/>
  <c r="BU241" i="57"/>
  <c r="BT241" i="57"/>
  <c r="BS241" i="57"/>
  <c r="BR241" i="57"/>
  <c r="BQ241" i="57"/>
  <c r="BP241" i="57"/>
  <c r="BO241" i="57"/>
  <c r="BN241" i="57"/>
  <c r="BM241" i="57"/>
  <c r="BL241" i="57"/>
  <c r="BK241" i="57"/>
  <c r="BV240" i="57"/>
  <c r="BV241" i="57"/>
  <c r="BU240" i="57"/>
  <c r="BT240" i="57"/>
  <c r="BS240" i="57"/>
  <c r="BR240" i="57"/>
  <c r="BQ240" i="57"/>
  <c r="BP240" i="57"/>
  <c r="BO240" i="57"/>
  <c r="BN240" i="57"/>
  <c r="BM240" i="57"/>
  <c r="BL240" i="57"/>
  <c r="BK240" i="57"/>
  <c r="BT238" i="57"/>
  <c r="BS238" i="57"/>
  <c r="BR238" i="57"/>
  <c r="BQ238" i="57"/>
  <c r="BP238" i="57"/>
  <c r="BO238" i="57"/>
  <c r="BN238" i="57"/>
  <c r="BM238" i="57"/>
  <c r="BL238" i="57"/>
  <c r="BK238" i="57"/>
  <c r="BV238" i="57"/>
  <c r="BS237" i="57"/>
  <c r="BU238" i="57"/>
  <c r="BT237" i="57"/>
  <c r="BR237" i="57"/>
  <c r="BQ237" i="57"/>
  <c r="BP237" i="57"/>
  <c r="BM237" i="57"/>
  <c r="BO237" i="57"/>
  <c r="BN237" i="57"/>
  <c r="BV237" i="57"/>
  <c r="BL237" i="57"/>
  <c r="BK237" i="57"/>
  <c r="BT235" i="57"/>
  <c r="BU237" i="57"/>
  <c r="BS235" i="57"/>
  <c r="BR235" i="57"/>
  <c r="BQ235" i="57"/>
  <c r="BP235" i="57"/>
  <c r="BO235" i="57"/>
  <c r="BN235" i="57"/>
  <c r="BM235" i="57"/>
  <c r="BL235" i="57"/>
  <c r="BK235" i="57"/>
  <c r="BS234" i="57"/>
  <c r="BV235" i="57"/>
  <c r="BR234" i="57"/>
  <c r="BU235" i="57"/>
  <c r="BQ234" i="57"/>
  <c r="BP234" i="57"/>
  <c r="BU234" i="57"/>
  <c r="BO234" i="57"/>
  <c r="BN234" i="57"/>
  <c r="BT234" i="57"/>
  <c r="BM234" i="57"/>
  <c r="BL234" i="57"/>
  <c r="BK234" i="57"/>
  <c r="BQ232" i="57"/>
  <c r="BV234" i="57"/>
  <c r="BR232" i="57"/>
  <c r="BP232" i="57"/>
  <c r="BO232" i="57"/>
  <c r="BN232" i="57"/>
  <c r="BM232" i="57"/>
  <c r="BL232" i="57"/>
  <c r="BK232" i="57"/>
  <c r="BV232" i="57"/>
  <c r="BU232" i="57"/>
  <c r="BS232" i="57"/>
  <c r="BR231" i="57"/>
  <c r="BT232" i="57"/>
  <c r="BQ231" i="57"/>
  <c r="BP231" i="57"/>
  <c r="BO231" i="57"/>
  <c r="BN231" i="57"/>
  <c r="BM231" i="57"/>
  <c r="BL231" i="57"/>
  <c r="BK231" i="57"/>
  <c r="BT231" i="57"/>
  <c r="BV231" i="57"/>
  <c r="BU231" i="57"/>
  <c r="BP229" i="57"/>
  <c r="BS231" i="57"/>
  <c r="BQ229" i="57"/>
  <c r="BO229" i="57"/>
  <c r="BR229" i="57"/>
  <c r="BN229" i="57"/>
  <c r="BM229" i="57"/>
  <c r="BL229" i="57"/>
  <c r="BK229" i="57"/>
  <c r="BV229" i="57"/>
  <c r="BU229" i="57"/>
  <c r="BP228" i="57"/>
  <c r="BT229" i="57"/>
  <c r="BO228" i="57"/>
  <c r="BS229" i="57"/>
  <c r="BQ228" i="57"/>
  <c r="BN228" i="57"/>
  <c r="BM228" i="57"/>
  <c r="BL228" i="57"/>
  <c r="BK228" i="57"/>
  <c r="BV228" i="57"/>
  <c r="BS228" i="57"/>
  <c r="BU228" i="57"/>
  <c r="BR228" i="57"/>
  <c r="BT228" i="57"/>
  <c r="BP226" i="57"/>
  <c r="BO226" i="57"/>
  <c r="BN226" i="57"/>
  <c r="BM226" i="57"/>
  <c r="BL226" i="57"/>
  <c r="BK226" i="57"/>
  <c r="BV226" i="57"/>
  <c r="BU226" i="57"/>
  <c r="BT226" i="57"/>
  <c r="BS226" i="57"/>
  <c r="BO225" i="57"/>
  <c r="BR226" i="57"/>
  <c r="BN225" i="57"/>
  <c r="BQ226" i="57"/>
  <c r="BP225" i="57"/>
  <c r="BL225" i="57"/>
  <c r="BS225" i="57"/>
  <c r="BM225" i="57"/>
  <c r="BK225" i="57"/>
  <c r="BV225" i="57"/>
  <c r="BU225" i="57"/>
  <c r="BT225" i="57"/>
  <c r="BQ225" i="57"/>
  <c r="BR225" i="57"/>
  <c r="BO223" i="57"/>
  <c r="BN223" i="57"/>
  <c r="BM223" i="57"/>
  <c r="BL223" i="57"/>
  <c r="BK223" i="57"/>
  <c r="BV223" i="57"/>
  <c r="BU223" i="57"/>
  <c r="BT223" i="57"/>
  <c r="BS223" i="57"/>
  <c r="BR223" i="57"/>
  <c r="BQ223" i="57"/>
  <c r="BN222" i="57"/>
  <c r="BP223" i="57"/>
  <c r="BO222" i="57"/>
  <c r="BL222" i="57"/>
  <c r="BK222" i="57"/>
  <c r="BM222" i="57"/>
  <c r="BV222" i="57"/>
  <c r="BU222" i="57"/>
  <c r="BT222" i="57"/>
  <c r="BS222" i="57"/>
  <c r="BR222" i="57"/>
  <c r="BP222" i="57"/>
  <c r="BQ222" i="57"/>
  <c r="BN220" i="57"/>
  <c r="BO220" i="57"/>
  <c r="BM220" i="57"/>
  <c r="BL220" i="57"/>
  <c r="BK220" i="57"/>
  <c r="BV220" i="57"/>
  <c r="BU220" i="57"/>
  <c r="BT220" i="57"/>
  <c r="BS220" i="57"/>
  <c r="BR220" i="57"/>
  <c r="BQ220" i="57"/>
  <c r="BM219" i="57"/>
  <c r="BP220" i="57"/>
  <c r="BN219" i="57"/>
  <c r="BL219" i="57"/>
  <c r="BK219" i="57"/>
  <c r="BV219" i="57"/>
  <c r="BU219" i="57"/>
  <c r="BT219" i="57"/>
  <c r="BS219" i="57"/>
  <c r="BR219" i="57"/>
  <c r="BO219" i="57"/>
  <c r="BQ219" i="57"/>
  <c r="BP219" i="57"/>
  <c r="BM217" i="57"/>
  <c r="BL217" i="57"/>
  <c r="BN217" i="57"/>
  <c r="BK217" i="57"/>
  <c r="BV217" i="57"/>
  <c r="BU217" i="57"/>
  <c r="BT217" i="57"/>
  <c r="BS217" i="57"/>
  <c r="BR217" i="57"/>
  <c r="BQ217" i="57"/>
  <c r="BP217" i="57"/>
  <c r="BO217" i="57"/>
  <c r="BM216" i="57"/>
  <c r="BL216" i="57"/>
  <c r="BK216" i="57"/>
  <c r="BV216" i="57"/>
  <c r="BU216" i="57"/>
  <c r="BT216" i="57"/>
  <c r="BS216" i="57"/>
  <c r="BR216" i="57"/>
  <c r="BO216" i="57"/>
  <c r="BQ216" i="57"/>
  <c r="BL214" i="57"/>
  <c r="BP216" i="57"/>
  <c r="BK214" i="57"/>
  <c r="BN216" i="57"/>
  <c r="BV214" i="57"/>
  <c r="BU214" i="57"/>
  <c r="BN214" i="57"/>
  <c r="BT214" i="57"/>
  <c r="BS214" i="57"/>
  <c r="BR214" i="57"/>
  <c r="BQ214" i="57"/>
  <c r="BM214" i="57"/>
  <c r="BP214" i="57"/>
  <c r="BK213" i="57"/>
  <c r="BO214" i="57"/>
  <c r="BL213" i="57"/>
  <c r="BV213" i="57"/>
  <c r="BU213" i="57"/>
  <c r="BT213" i="57"/>
  <c r="BS213" i="57"/>
  <c r="BR213" i="57"/>
  <c r="BQ213" i="57"/>
  <c r="BP213" i="57"/>
  <c r="BO213" i="57"/>
  <c r="BN213" i="57"/>
  <c r="BV211" i="57"/>
  <c r="BM213" i="57"/>
  <c r="BK211" i="57"/>
  <c r="BU211" i="57"/>
  <c r="BT211" i="57"/>
  <c r="BS211" i="57"/>
  <c r="BR211" i="57"/>
  <c r="BQ211" i="57"/>
  <c r="BP211" i="57"/>
  <c r="BO211" i="57"/>
  <c r="BN211" i="57"/>
  <c r="BM211" i="57"/>
  <c r="BL211" i="57"/>
  <c r="BK210" i="57"/>
  <c r="BV210" i="57"/>
  <c r="BU210" i="57"/>
  <c r="BT210" i="57"/>
  <c r="BS210" i="57"/>
  <c r="BR210" i="57"/>
  <c r="BQ210" i="57"/>
  <c r="BP210" i="57"/>
  <c r="BO210" i="57"/>
  <c r="BN210" i="57"/>
  <c r="BM210" i="57"/>
  <c r="BL210" i="57"/>
  <c r="BV208" i="57"/>
  <c r="BU208" i="57"/>
  <c r="BT208" i="57"/>
  <c r="BS208" i="57"/>
  <c r="BR208" i="57"/>
  <c r="BQ208" i="57"/>
  <c r="BP208" i="57"/>
  <c r="BO208" i="57"/>
  <c r="BN208" i="57"/>
  <c r="BM208" i="57"/>
  <c r="BL208" i="57"/>
  <c r="BK208" i="57"/>
  <c r="BV207" i="57"/>
  <c r="BU207" i="57"/>
  <c r="BT207" i="57"/>
  <c r="BS207" i="57"/>
  <c r="BR207" i="57"/>
  <c r="BQ207" i="57"/>
  <c r="BP207" i="57"/>
  <c r="BO207" i="57"/>
  <c r="BN207" i="57"/>
  <c r="BM207" i="57"/>
  <c r="BL207" i="57"/>
  <c r="BK207" i="57"/>
  <c r="BU205" i="57"/>
  <c r="BT205" i="57"/>
  <c r="BS205" i="57"/>
  <c r="BR205" i="57"/>
  <c r="BQ205" i="57"/>
  <c r="BP205" i="57"/>
  <c r="BO205" i="57"/>
  <c r="BN205" i="57"/>
  <c r="BM205" i="57"/>
  <c r="BL205" i="57"/>
  <c r="BK205" i="57"/>
  <c r="BU204" i="57"/>
  <c r="BV205" i="57"/>
  <c r="BV204" i="57"/>
  <c r="BT204" i="57"/>
  <c r="BS204" i="57"/>
  <c r="BR204" i="57"/>
  <c r="BQ204" i="57"/>
  <c r="BP204" i="57"/>
  <c r="BO204" i="57"/>
  <c r="BN204" i="57"/>
  <c r="BM204" i="57"/>
  <c r="BL204" i="57"/>
  <c r="BK204" i="57"/>
  <c r="BT202" i="57"/>
  <c r="BS202" i="57"/>
  <c r="BR202" i="57"/>
  <c r="BQ202" i="57"/>
  <c r="BP202" i="57"/>
  <c r="BO202" i="57"/>
  <c r="BN202" i="57"/>
  <c r="BM202" i="57"/>
  <c r="BL202" i="57"/>
  <c r="BK202" i="57"/>
  <c r="BV202" i="57"/>
  <c r="BT201" i="57"/>
  <c r="BU202" i="57"/>
  <c r="BS201" i="57"/>
  <c r="BR201" i="57"/>
  <c r="BQ201" i="57"/>
  <c r="BP201" i="57"/>
  <c r="BO201" i="57"/>
  <c r="BN201" i="57"/>
  <c r="BM201" i="57"/>
  <c r="BL201" i="57"/>
  <c r="BK201" i="57"/>
  <c r="BV201" i="57"/>
  <c r="BU201" i="57"/>
  <c r="BS199" i="57"/>
  <c r="BR199" i="57"/>
  <c r="BQ199" i="57"/>
  <c r="BP199" i="57"/>
  <c r="BO199" i="57"/>
  <c r="BN199" i="57"/>
  <c r="BM199" i="57"/>
  <c r="BL199" i="57"/>
  <c r="BK199" i="57"/>
  <c r="BV199" i="57"/>
  <c r="BU199" i="57"/>
  <c r="BT199" i="57"/>
  <c r="BS198" i="57"/>
  <c r="BR198" i="57"/>
  <c r="BQ198" i="57"/>
  <c r="BP198" i="57"/>
  <c r="BO198" i="57"/>
  <c r="BN198" i="57"/>
  <c r="BM198" i="57"/>
  <c r="BL198" i="57"/>
  <c r="BK198" i="57"/>
  <c r="BV198" i="57"/>
  <c r="BU198" i="57"/>
  <c r="BR196" i="57"/>
  <c r="BT198" i="57"/>
  <c r="BQ196" i="57"/>
  <c r="BP196" i="57"/>
  <c r="BO196" i="57"/>
  <c r="BN196" i="57"/>
  <c r="BM196" i="57"/>
  <c r="BL196" i="57"/>
  <c r="BK196" i="57"/>
  <c r="BV196" i="57"/>
  <c r="BU196" i="57"/>
  <c r="BT196" i="57"/>
  <c r="BR195" i="57"/>
  <c r="BS196" i="57"/>
  <c r="BQ195" i="57"/>
  <c r="BT195" i="57"/>
  <c r="BP195" i="57"/>
  <c r="BO195" i="57"/>
  <c r="BN195" i="57"/>
  <c r="BM195" i="57"/>
  <c r="BL195" i="57"/>
  <c r="BK195" i="57"/>
  <c r="BV195" i="57"/>
  <c r="BU195" i="57"/>
  <c r="BS195" i="57"/>
  <c r="BQ193" i="57"/>
  <c r="BP193" i="57"/>
  <c r="BO193" i="57"/>
  <c r="BN193" i="57"/>
  <c r="BM193" i="57"/>
  <c r="BL193" i="57"/>
  <c r="BK193" i="57"/>
  <c r="BV193" i="57"/>
  <c r="BU193" i="57"/>
  <c r="BT193" i="57"/>
  <c r="BS193" i="57"/>
  <c r="BR193" i="57"/>
  <c r="BQ192" i="57"/>
  <c r="BP192" i="57"/>
  <c r="BO192" i="57"/>
  <c r="BN192" i="57"/>
  <c r="BM192" i="57"/>
  <c r="BL192" i="57"/>
  <c r="BK192" i="57"/>
  <c r="BV192" i="57"/>
  <c r="BU192" i="57"/>
  <c r="BT192" i="57"/>
  <c r="BS192" i="57"/>
  <c r="BR192" i="57"/>
  <c r="BP190" i="57"/>
  <c r="BO190" i="57"/>
  <c r="BS190" i="57"/>
  <c r="BN190" i="57"/>
  <c r="BM190" i="57"/>
  <c r="BL190" i="57"/>
  <c r="BK190" i="57"/>
  <c r="BV190" i="57"/>
  <c r="BU190" i="57"/>
  <c r="BR190" i="57"/>
  <c r="BT190" i="57"/>
  <c r="BO189" i="57"/>
  <c r="BQ190" i="57"/>
  <c r="BP189" i="57"/>
  <c r="BN189" i="57"/>
  <c r="BM189" i="57"/>
  <c r="BL189" i="57"/>
  <c r="BK189" i="57"/>
  <c r="BV189" i="57"/>
  <c r="BU189" i="57"/>
  <c r="BT189" i="57"/>
  <c r="BQ189" i="57"/>
  <c r="BS189" i="57"/>
  <c r="BR189" i="57"/>
  <c r="BO187" i="57"/>
  <c r="BN187" i="57"/>
  <c r="BM187" i="57"/>
  <c r="BL187" i="57"/>
  <c r="BK187" i="57"/>
  <c r="BV187" i="57"/>
  <c r="BU187" i="57"/>
  <c r="BT187" i="57"/>
  <c r="BS187" i="57"/>
  <c r="BR187" i="57"/>
  <c r="BQ187" i="57"/>
  <c r="BO186" i="57"/>
  <c r="BP187" i="57"/>
  <c r="BN186" i="57"/>
  <c r="BM186" i="57"/>
  <c r="BL186" i="57"/>
  <c r="BK186" i="57"/>
  <c r="BV186" i="57"/>
  <c r="BU186" i="57"/>
  <c r="BT186" i="57"/>
  <c r="BS186" i="57"/>
  <c r="BQ186" i="57"/>
  <c r="BR186" i="57"/>
  <c r="BP186" i="57"/>
  <c r="BN184" i="57"/>
  <c r="BM184" i="57"/>
  <c r="BL184" i="57"/>
  <c r="BK184" i="57"/>
  <c r="BV184" i="57"/>
  <c r="BU184" i="57"/>
  <c r="BT184" i="57"/>
  <c r="BS184" i="57"/>
  <c r="BR184" i="57"/>
  <c r="BQ184" i="57"/>
  <c r="BP184" i="57"/>
  <c r="BO184" i="57"/>
  <c r="BN183" i="57"/>
  <c r="BM183" i="57"/>
  <c r="BL183" i="57"/>
  <c r="BK183" i="57"/>
  <c r="BV183" i="57"/>
  <c r="BU183" i="57"/>
  <c r="BT183" i="57"/>
  <c r="BS183" i="57"/>
  <c r="BR183" i="57"/>
  <c r="BQ183" i="57"/>
  <c r="BP183" i="57"/>
  <c r="BL181" i="57"/>
  <c r="BO183" i="57"/>
  <c r="BM181" i="57"/>
  <c r="BK181" i="57"/>
  <c r="BV181" i="57"/>
  <c r="BU181" i="57"/>
  <c r="BT181" i="57"/>
  <c r="BS181" i="57"/>
  <c r="BR181" i="57"/>
  <c r="BQ181" i="57"/>
  <c r="BP181" i="57"/>
  <c r="BN181" i="57"/>
  <c r="BM180" i="57"/>
  <c r="BO181" i="57"/>
  <c r="BL180" i="57"/>
  <c r="BK180" i="57"/>
  <c r="BV180" i="57"/>
  <c r="BO180" i="57"/>
  <c r="BU180" i="57"/>
  <c r="BT180" i="57"/>
  <c r="BS180" i="57"/>
  <c r="BR180" i="57"/>
  <c r="BQ180" i="57"/>
  <c r="BP180" i="57"/>
  <c r="BK178" i="57"/>
  <c r="BN180" i="57"/>
  <c r="BL178" i="57"/>
  <c r="BV178" i="57"/>
  <c r="BU178" i="57"/>
  <c r="BT178" i="57"/>
  <c r="BS178" i="57"/>
  <c r="BR178" i="57"/>
  <c r="BQ178" i="57"/>
  <c r="BP178" i="57"/>
  <c r="BO178" i="57"/>
  <c r="BN178" i="57"/>
  <c r="BL177" i="57"/>
  <c r="BM178" i="57"/>
  <c r="BK177" i="57"/>
  <c r="BV177" i="57"/>
  <c r="BU177" i="57"/>
  <c r="BT177" i="57"/>
  <c r="BS177" i="57"/>
  <c r="BR177" i="57"/>
  <c r="BQ177" i="57"/>
  <c r="BP177" i="57"/>
  <c r="BO177" i="57"/>
  <c r="BM177" i="57"/>
  <c r="BK175" i="57"/>
  <c r="BN177" i="57"/>
  <c r="BV175" i="57"/>
  <c r="BU175" i="57"/>
  <c r="BT175" i="57"/>
  <c r="BS175" i="57"/>
  <c r="BR175" i="57"/>
  <c r="BQ175" i="57"/>
  <c r="BP175" i="57"/>
  <c r="BO175" i="57"/>
  <c r="BL175" i="57"/>
  <c r="BN175" i="57"/>
  <c r="BK174" i="57"/>
  <c r="BM175" i="57"/>
  <c r="BL174" i="57"/>
  <c r="BV174" i="57"/>
  <c r="BU174" i="57"/>
  <c r="BT174" i="57"/>
  <c r="BS174" i="57"/>
  <c r="BR174" i="57"/>
  <c r="BQ174" i="57"/>
  <c r="BP174" i="57"/>
  <c r="BO174" i="57"/>
  <c r="BN174" i="57"/>
  <c r="BM174" i="57"/>
  <c r="BV172" i="57"/>
  <c r="BU172" i="57"/>
  <c r="BT172" i="57"/>
  <c r="BS172" i="57"/>
  <c r="BR172" i="57"/>
  <c r="BQ172" i="57"/>
  <c r="BP172" i="57"/>
  <c r="BO172" i="57"/>
  <c r="BN172" i="57"/>
  <c r="BM172" i="57"/>
  <c r="BL172" i="57"/>
  <c r="BK172" i="57"/>
  <c r="BV171" i="57"/>
  <c r="BU171" i="57"/>
  <c r="BT171" i="57"/>
  <c r="BS171" i="57"/>
  <c r="BR171" i="57"/>
  <c r="BQ171" i="57"/>
  <c r="BP171" i="57"/>
  <c r="BO171" i="57"/>
  <c r="BN171" i="57"/>
  <c r="BM171" i="57"/>
  <c r="BL171" i="57"/>
  <c r="BT169" i="57"/>
  <c r="BK171" i="57"/>
  <c r="BU169" i="57"/>
  <c r="BS169" i="57"/>
  <c r="BR169" i="57"/>
  <c r="BQ169" i="57"/>
  <c r="BP169" i="57"/>
  <c r="BO169" i="57"/>
  <c r="BK169" i="57"/>
  <c r="BN169" i="57"/>
  <c r="BM169" i="57"/>
  <c r="BL169" i="57"/>
  <c r="BT168" i="57"/>
  <c r="BV169" i="57"/>
  <c r="BU168" i="57"/>
  <c r="BS168" i="57"/>
  <c r="BR168" i="57"/>
  <c r="BQ168" i="57"/>
  <c r="BP168" i="57"/>
  <c r="BO168" i="57"/>
  <c r="BN168" i="57"/>
  <c r="BM168" i="57"/>
  <c r="BL168" i="57"/>
  <c r="BK168" i="57"/>
  <c r="BV168" i="57"/>
  <c r="BT166" i="57"/>
  <c r="BS166" i="57"/>
  <c r="BR166" i="57"/>
  <c r="BQ166" i="57"/>
  <c r="BP166" i="57"/>
  <c r="BV166" i="57"/>
  <c r="BU166" i="57"/>
  <c r="BT165" i="57"/>
  <c r="BS165" i="57"/>
  <c r="BR165" i="57"/>
  <c r="BQ165" i="57"/>
  <c r="BP165" i="57"/>
  <c r="BU165" i="57"/>
  <c r="BV165" i="57"/>
  <c r="BS163" i="57"/>
  <c r="BR163" i="57"/>
  <c r="BQ163" i="57"/>
  <c r="BP163" i="57"/>
  <c r="BU163" i="57"/>
  <c r="BV163" i="57"/>
  <c r="BT163" i="57"/>
  <c r="BS162" i="57"/>
  <c r="BR162" i="57"/>
  <c r="BQ162" i="57"/>
  <c r="BP162" i="57"/>
  <c r="BV162" i="57"/>
  <c r="BU162" i="57"/>
  <c r="BT162" i="57"/>
  <c r="BR160" i="57"/>
  <c r="BQ160" i="57"/>
  <c r="BP160" i="57"/>
  <c r="BO160" i="57"/>
  <c r="BN160" i="57"/>
  <c r="BV160" i="57"/>
  <c r="BU160" i="57"/>
  <c r="BT160" i="57"/>
  <c r="BS160" i="57"/>
  <c r="BR159" i="57"/>
  <c r="BQ159" i="57"/>
  <c r="BP159" i="57"/>
  <c r="BO159" i="57"/>
  <c r="BN159" i="57"/>
  <c r="BV159" i="57"/>
  <c r="BU159" i="57"/>
  <c r="BS159" i="57"/>
  <c r="BT159" i="57"/>
  <c r="BL157" i="57"/>
  <c r="BK157" i="57"/>
  <c r="BL156" i="57"/>
  <c r="BK156" i="57"/>
  <c r="BO151" i="57"/>
  <c r="BN151" i="57"/>
  <c r="BM151" i="57"/>
  <c r="BL151" i="57"/>
  <c r="BK151" i="57"/>
  <c r="BV151" i="57"/>
  <c r="BU151" i="57"/>
  <c r="BT151" i="57"/>
  <c r="BS151" i="57"/>
  <c r="BR151" i="57"/>
  <c r="BP151" i="57"/>
  <c r="BO150" i="57"/>
  <c r="BQ151" i="57"/>
  <c r="BN150" i="57"/>
  <c r="BM150" i="57"/>
  <c r="BL150" i="57"/>
  <c r="BK150" i="57"/>
  <c r="BV150" i="57"/>
  <c r="BU150" i="57"/>
  <c r="BT150" i="57"/>
  <c r="BS150" i="57"/>
  <c r="BR150" i="57"/>
  <c r="BP150" i="57"/>
  <c r="BN148" i="57"/>
  <c r="BQ150" i="57"/>
  <c r="BM148" i="57"/>
  <c r="BL148" i="57"/>
  <c r="BK148" i="57"/>
  <c r="BV148" i="57"/>
  <c r="BU148" i="57"/>
  <c r="BT148" i="57"/>
  <c r="BS148" i="57"/>
  <c r="BR148" i="57"/>
  <c r="BQ148" i="57"/>
  <c r="BO148" i="57"/>
  <c r="BN147" i="57"/>
  <c r="BP148" i="57"/>
  <c r="BM147" i="57"/>
  <c r="BL147" i="57"/>
  <c r="BK147" i="57"/>
  <c r="BV147" i="57"/>
  <c r="BU147" i="57"/>
  <c r="BT147" i="57"/>
  <c r="BS147" i="57"/>
  <c r="BR147" i="57"/>
  <c r="BQ147" i="57"/>
  <c r="BO147" i="57"/>
  <c r="BP147" i="57"/>
  <c r="BM145" i="57"/>
  <c r="BL145" i="57"/>
  <c r="BK145" i="57"/>
  <c r="BV145" i="57"/>
  <c r="BU145" i="57"/>
  <c r="BT145" i="57"/>
  <c r="BS145" i="57"/>
  <c r="BR145" i="57"/>
  <c r="BQ145" i="57"/>
  <c r="BP145" i="57"/>
  <c r="BO145" i="57"/>
  <c r="BN145" i="57"/>
  <c r="BM144" i="57"/>
  <c r="BL144" i="57"/>
  <c r="BV144" i="57"/>
  <c r="BU144" i="57"/>
  <c r="BT144" i="57"/>
  <c r="BS144" i="57"/>
  <c r="BR144" i="57"/>
  <c r="BQ144" i="57"/>
  <c r="BP144" i="57"/>
  <c r="BK144" i="57"/>
  <c r="BO144" i="57"/>
  <c r="BN144" i="57"/>
  <c r="BL142" i="57"/>
  <c r="BV142" i="57"/>
  <c r="BU142" i="57"/>
  <c r="BT142" i="57"/>
  <c r="BS142" i="57"/>
  <c r="BR142" i="57"/>
  <c r="BQ142" i="57"/>
  <c r="BP142" i="57"/>
  <c r="BO142" i="57"/>
  <c r="BN142" i="57"/>
  <c r="BK142" i="57"/>
  <c r="BK141" i="57"/>
  <c r="BM142" i="57"/>
  <c r="BL141" i="57"/>
  <c r="BV141" i="57"/>
  <c r="BU141" i="57"/>
  <c r="BT141" i="57"/>
  <c r="BS141" i="57"/>
  <c r="BR141" i="57"/>
  <c r="BQ141" i="57"/>
  <c r="BN141" i="57"/>
  <c r="BP141" i="57"/>
  <c r="BO141" i="57"/>
  <c r="BV139" i="57"/>
  <c r="BM141" i="57"/>
  <c r="BK139" i="57"/>
  <c r="BT139" i="57"/>
  <c r="BU139" i="57"/>
  <c r="BS139" i="57"/>
  <c r="BR139" i="57"/>
  <c r="BQ139" i="57"/>
  <c r="BP139" i="57"/>
  <c r="BN139" i="57"/>
  <c r="BM139" i="57"/>
  <c r="BO139" i="57"/>
  <c r="BL139" i="57"/>
  <c r="BK138" i="57"/>
  <c r="BV138" i="57"/>
  <c r="BU138" i="57"/>
  <c r="BT138" i="57"/>
  <c r="BS138" i="57"/>
  <c r="BR138" i="57"/>
  <c r="BQ138" i="57"/>
  <c r="BP138" i="57"/>
  <c r="BO138" i="57"/>
  <c r="BN138" i="57"/>
  <c r="BM138" i="57"/>
  <c r="BL136" i="57"/>
  <c r="BL138" i="57"/>
  <c r="BV136" i="57"/>
  <c r="BU136" i="57"/>
  <c r="BT136" i="57"/>
  <c r="BS136" i="57"/>
  <c r="BR136" i="57"/>
  <c r="BQ136" i="57"/>
  <c r="BP136" i="57"/>
  <c r="BO136" i="57"/>
  <c r="BN136" i="57"/>
  <c r="BM136" i="57"/>
  <c r="BU135" i="57"/>
  <c r="BK136" i="57"/>
  <c r="BV135" i="57"/>
  <c r="BT135" i="57"/>
  <c r="BS135" i="57"/>
  <c r="BL135" i="57"/>
  <c r="BK135" i="57"/>
  <c r="BR135" i="57"/>
  <c r="BQ135" i="57"/>
  <c r="BP135" i="57"/>
  <c r="BO135" i="57"/>
  <c r="BN135" i="57"/>
  <c r="BU133" i="57"/>
  <c r="BM135" i="57"/>
  <c r="BT133" i="57"/>
  <c r="BS133" i="57"/>
  <c r="BR133" i="57"/>
  <c r="BQ133" i="57"/>
  <c r="BP133" i="57"/>
  <c r="BO133" i="57"/>
  <c r="BV133" i="57"/>
  <c r="BN133" i="57"/>
  <c r="BM133" i="57"/>
  <c r="BT132" i="57"/>
  <c r="BL133" i="57"/>
  <c r="BS132" i="57"/>
  <c r="BK133" i="57"/>
  <c r="BU132" i="57"/>
  <c r="BR132" i="57"/>
  <c r="BQ132" i="57"/>
  <c r="BP132" i="57"/>
  <c r="BO132" i="57"/>
  <c r="BN132" i="57"/>
  <c r="BM132" i="57"/>
  <c r="BK132" i="57"/>
  <c r="BV132" i="57"/>
  <c r="BL132" i="57"/>
  <c r="BT130" i="57"/>
  <c r="BS130" i="57"/>
  <c r="BR130" i="57"/>
  <c r="BQ130" i="57"/>
  <c r="BP130" i="57"/>
  <c r="BO130" i="57"/>
  <c r="BN130" i="57"/>
  <c r="BM130" i="57"/>
  <c r="BL130" i="57"/>
  <c r="BK130" i="57"/>
  <c r="BT129" i="57"/>
  <c r="BV130" i="57"/>
  <c r="BS129" i="57"/>
  <c r="BU130" i="57"/>
  <c r="BR129" i="57"/>
  <c r="BQ129" i="57"/>
  <c r="BP129" i="57"/>
  <c r="BO129" i="57"/>
  <c r="BN129" i="57"/>
  <c r="BM129" i="57"/>
  <c r="BV129" i="57"/>
  <c r="BU129" i="57"/>
  <c r="BL129" i="57"/>
  <c r="BK129" i="57"/>
  <c r="BS127" i="57"/>
  <c r="BR127" i="57"/>
  <c r="BQ127" i="57"/>
  <c r="BP127" i="57"/>
  <c r="BO127" i="57"/>
  <c r="BN127" i="57"/>
  <c r="BM127" i="57"/>
  <c r="BL127" i="57"/>
  <c r="BK127" i="57"/>
  <c r="BV127" i="57"/>
  <c r="BU127" i="57"/>
  <c r="BT127" i="57"/>
  <c r="BS126" i="57"/>
  <c r="BR126" i="57"/>
  <c r="BQ126" i="57"/>
  <c r="BP126" i="57"/>
  <c r="BO126" i="57"/>
  <c r="BN126" i="57"/>
  <c r="BM126" i="57"/>
  <c r="BL126" i="57"/>
  <c r="BK126" i="57"/>
  <c r="BV126" i="57"/>
  <c r="BU126" i="57"/>
  <c r="BR124" i="57"/>
  <c r="BT126" i="57"/>
  <c r="BQ124" i="57"/>
  <c r="BP124" i="57"/>
  <c r="BO124" i="57"/>
  <c r="BN124" i="57"/>
  <c r="BM124" i="57"/>
  <c r="BL124" i="57"/>
  <c r="BK124" i="57"/>
  <c r="BV124" i="57"/>
  <c r="BU124" i="57"/>
  <c r="BS124" i="57"/>
  <c r="BT124" i="57"/>
  <c r="BR123" i="57"/>
  <c r="BQ123" i="57"/>
  <c r="BP123" i="57"/>
  <c r="BO123" i="57"/>
  <c r="BN123" i="57"/>
  <c r="BM123" i="57"/>
  <c r="BL123" i="57"/>
  <c r="BK123" i="57"/>
  <c r="BV123" i="57"/>
  <c r="BU123" i="57"/>
  <c r="BP121" i="57"/>
  <c r="BT123" i="57"/>
  <c r="BO121" i="57"/>
  <c r="BS123" i="57"/>
  <c r="BQ121" i="57"/>
  <c r="BS121" i="57"/>
  <c r="BN121" i="57"/>
  <c r="BM121" i="57"/>
  <c r="BL121" i="57"/>
  <c r="BK121" i="57"/>
  <c r="BV121" i="57"/>
  <c r="BU121" i="57"/>
  <c r="BR121" i="57"/>
  <c r="BQ120" i="57"/>
  <c r="BT121" i="57"/>
  <c r="BP120" i="57"/>
  <c r="BO120" i="57"/>
  <c r="BN120" i="57"/>
  <c r="BM120" i="57"/>
  <c r="BL120" i="57"/>
  <c r="BK120" i="57"/>
  <c r="BV120" i="57"/>
  <c r="BU120" i="57"/>
  <c r="BT120" i="57"/>
  <c r="BS120" i="57"/>
  <c r="BO118" i="57"/>
  <c r="BR120" i="57"/>
  <c r="BP118" i="57"/>
  <c r="BN118" i="57"/>
  <c r="BM118" i="57"/>
  <c r="BL118" i="57"/>
  <c r="BK118" i="57"/>
  <c r="BV118" i="57"/>
  <c r="BU118" i="57"/>
  <c r="BT118" i="57"/>
  <c r="BS118" i="57"/>
  <c r="BO117" i="57"/>
  <c r="BQ118" i="57"/>
  <c r="BN117" i="57"/>
  <c r="BR118" i="57"/>
  <c r="BP117" i="57"/>
  <c r="BU117" i="57"/>
  <c r="BM117" i="57"/>
  <c r="BL117" i="57"/>
  <c r="BK117" i="57"/>
  <c r="BV117" i="57"/>
  <c r="BR117" i="57"/>
  <c r="BT117" i="57"/>
  <c r="BS117" i="57"/>
  <c r="BO115" i="57"/>
  <c r="BQ117" i="57"/>
  <c r="BN115" i="57"/>
  <c r="BM115" i="57"/>
  <c r="BL115" i="57"/>
  <c r="BK115" i="57"/>
  <c r="BV115" i="57"/>
  <c r="BU115" i="57"/>
  <c r="BT115" i="57"/>
  <c r="BS115" i="57"/>
  <c r="BQ115" i="57"/>
  <c r="BR115" i="57"/>
  <c r="BN114" i="57"/>
  <c r="BP115" i="57"/>
  <c r="BO114" i="57"/>
  <c r="BM114" i="57"/>
  <c r="BL114" i="57"/>
  <c r="BK114" i="57"/>
  <c r="BV114" i="57"/>
  <c r="BU114" i="57"/>
  <c r="BT114" i="57"/>
  <c r="BS114" i="57"/>
  <c r="BR114" i="57"/>
  <c r="BP114" i="57"/>
  <c r="BQ114" i="57"/>
  <c r="BN112" i="57"/>
  <c r="BO112" i="57"/>
  <c r="BV112" i="57"/>
  <c r="BU112" i="57"/>
  <c r="BT112" i="57"/>
  <c r="BS112" i="57"/>
  <c r="BR112" i="57"/>
  <c r="BQ112" i="57"/>
  <c r="BP112" i="57"/>
  <c r="BL109" i="57"/>
  <c r="BN111" i="57"/>
  <c r="BV111" i="57"/>
  <c r="BU111" i="57"/>
  <c r="BT111" i="57"/>
  <c r="BS111" i="57"/>
  <c r="BR111" i="57"/>
  <c r="BQ111" i="57"/>
  <c r="BP111" i="57"/>
  <c r="BO111" i="57"/>
  <c r="BM109" i="57"/>
  <c r="BK109" i="57"/>
  <c r="BV109" i="57"/>
  <c r="BU109" i="57"/>
  <c r="BT109" i="57"/>
  <c r="BS109" i="57"/>
  <c r="BR109" i="57"/>
  <c r="BO109" i="57"/>
  <c r="BQ109" i="57"/>
  <c r="BP109" i="57"/>
  <c r="BN109" i="57"/>
  <c r="BM108" i="57"/>
  <c r="BL108" i="57"/>
  <c r="BK108" i="57"/>
  <c r="BV108" i="57"/>
  <c r="BU108" i="57"/>
  <c r="BT108" i="57"/>
  <c r="BS108" i="57"/>
  <c r="BR108" i="57"/>
  <c r="BQ108" i="57"/>
  <c r="BP108" i="57"/>
  <c r="BO108" i="57"/>
  <c r="BN108" i="57"/>
  <c r="BL106" i="57"/>
  <c r="BK106" i="57"/>
  <c r="BV106" i="57"/>
  <c r="BU106" i="57"/>
  <c r="BT106" i="57"/>
  <c r="BS106" i="57"/>
  <c r="BR106" i="57"/>
  <c r="BQ106" i="57"/>
  <c r="BP106" i="57"/>
  <c r="BO106" i="57"/>
  <c r="BM106" i="57"/>
  <c r="BK105" i="57"/>
  <c r="BN106" i="57"/>
  <c r="BL105" i="57"/>
  <c r="BV105" i="57"/>
  <c r="BU105" i="57"/>
  <c r="BT105" i="57"/>
  <c r="BS105" i="57"/>
  <c r="BR105" i="57"/>
  <c r="BQ105" i="57"/>
  <c r="BP105" i="57"/>
  <c r="BN105" i="57"/>
  <c r="BO105" i="57"/>
  <c r="BM105" i="57"/>
  <c r="BK103" i="57"/>
  <c r="BU103" i="57"/>
  <c r="BT103" i="57"/>
  <c r="BS103" i="57"/>
  <c r="BR103" i="57"/>
  <c r="BQ103" i="57"/>
  <c r="BP103" i="57"/>
  <c r="BO103" i="57"/>
  <c r="BN103" i="57"/>
  <c r="BM103" i="57"/>
  <c r="BV103" i="57"/>
  <c r="BL103" i="57"/>
  <c r="BU102" i="57"/>
  <c r="BV102" i="57"/>
  <c r="BT102" i="57"/>
  <c r="BS102" i="57"/>
  <c r="BR102" i="57"/>
  <c r="BQ102" i="57"/>
  <c r="BP102" i="57"/>
  <c r="BO102" i="57"/>
  <c r="BN102" i="57"/>
  <c r="BM102" i="57"/>
  <c r="BL102" i="57"/>
  <c r="BK102" i="57"/>
  <c r="BU100" i="57"/>
  <c r="BT100" i="57"/>
  <c r="BV100" i="57"/>
  <c r="BS100" i="57"/>
  <c r="BR100" i="57"/>
  <c r="BQ100" i="57"/>
  <c r="BP100" i="57"/>
  <c r="BO100" i="57"/>
  <c r="BN100" i="57"/>
  <c r="BM100" i="57"/>
  <c r="BK100" i="57"/>
  <c r="BL100" i="57"/>
  <c r="BV99" i="57"/>
  <c r="BU99" i="57"/>
  <c r="BT99" i="57"/>
  <c r="BS99" i="57"/>
  <c r="BR99" i="57"/>
  <c r="BQ99" i="57"/>
  <c r="BP99" i="57"/>
  <c r="BO99" i="57"/>
  <c r="BN99" i="57"/>
  <c r="BM99" i="57"/>
  <c r="BL99" i="57"/>
  <c r="BK99" i="57"/>
  <c r="BU97" i="57"/>
  <c r="BT97" i="57"/>
  <c r="BS97" i="57"/>
  <c r="BR97" i="57"/>
  <c r="BQ97" i="57"/>
  <c r="BP97" i="57"/>
  <c r="BO97" i="57"/>
  <c r="BN97" i="57"/>
  <c r="BM97" i="57"/>
  <c r="BL97" i="57"/>
  <c r="BV97" i="57"/>
  <c r="BK97" i="57"/>
  <c r="BU96" i="57"/>
  <c r="BT96" i="57"/>
  <c r="BS96" i="57"/>
  <c r="BR96" i="57"/>
  <c r="BQ96" i="57"/>
  <c r="BP96" i="57"/>
  <c r="BO96" i="57"/>
  <c r="BN96" i="57"/>
  <c r="BM96" i="57"/>
  <c r="BL96" i="57"/>
  <c r="BK96" i="57"/>
  <c r="BV96" i="57"/>
  <c r="BT94" i="57"/>
  <c r="BS94" i="57"/>
  <c r="BQ94" i="57"/>
  <c r="BR94" i="57"/>
  <c r="BP94" i="57"/>
  <c r="BO94" i="57"/>
  <c r="BN94" i="57"/>
  <c r="BM94" i="57"/>
  <c r="BL94" i="57"/>
  <c r="BK94" i="57"/>
  <c r="BV94" i="57"/>
  <c r="BS93" i="57"/>
  <c r="BU94" i="57"/>
  <c r="BT93" i="57"/>
  <c r="BR93" i="57"/>
  <c r="BQ93" i="57"/>
  <c r="BP93" i="57"/>
  <c r="BO93" i="57"/>
  <c r="BN93" i="57"/>
  <c r="BM93" i="57"/>
  <c r="BL93" i="57"/>
  <c r="BV93" i="57"/>
  <c r="BK93" i="57"/>
  <c r="BU93" i="57"/>
  <c r="BS91" i="57"/>
  <c r="BR91" i="57"/>
  <c r="BQ91" i="57"/>
  <c r="BO91" i="57"/>
  <c r="BN91" i="57"/>
  <c r="BM91" i="57"/>
  <c r="BL91" i="57"/>
  <c r="BK91" i="57"/>
  <c r="BV91" i="57"/>
  <c r="BU91" i="57"/>
  <c r="BT91" i="57"/>
  <c r="BS90" i="57"/>
  <c r="BP91" i="57"/>
  <c r="BR90" i="57"/>
  <c r="BQ90" i="57"/>
  <c r="BP90" i="57"/>
  <c r="BO90" i="57"/>
  <c r="BN90" i="57"/>
  <c r="BM90" i="57"/>
  <c r="BL90" i="57"/>
  <c r="BK90" i="57"/>
  <c r="BU90" i="57"/>
  <c r="BV90" i="57"/>
  <c r="BT90" i="57"/>
  <c r="BR88" i="57"/>
  <c r="BQ88" i="57"/>
  <c r="BP88" i="57"/>
  <c r="BT88" i="57"/>
  <c r="BV88" i="57"/>
  <c r="BU88" i="57"/>
  <c r="BS88" i="57"/>
  <c r="BR87" i="57"/>
  <c r="BQ87" i="57"/>
  <c r="BP87" i="57"/>
  <c r="BV87" i="57"/>
  <c r="BT87" i="57"/>
  <c r="BU87" i="57"/>
  <c r="BS87" i="57"/>
  <c r="BQ85" i="57"/>
  <c r="BP85" i="57"/>
  <c r="BV85" i="57"/>
  <c r="BU85" i="57"/>
  <c r="BT85" i="57"/>
  <c r="BS85" i="57"/>
  <c r="BR85" i="57"/>
  <c r="BQ84" i="57"/>
  <c r="BP84" i="57"/>
  <c r="BV84" i="57"/>
  <c r="BT84" i="57"/>
  <c r="BU84" i="57"/>
  <c r="BR84" i="57"/>
  <c r="BS84" i="57"/>
  <c r="BP82" i="57"/>
  <c r="BV82" i="57"/>
  <c r="BU82" i="57"/>
  <c r="BT82" i="57"/>
  <c r="BS82" i="57"/>
  <c r="BR82" i="57"/>
  <c r="BQ82" i="57"/>
  <c r="BP81" i="57"/>
  <c r="BV81" i="57"/>
  <c r="BU81" i="57"/>
  <c r="BT81" i="57"/>
  <c r="BS81" i="57"/>
  <c r="BR81" i="57"/>
  <c r="BQ81" i="57"/>
  <c r="BP79" i="57"/>
  <c r="BV79" i="57"/>
  <c r="BU79" i="57"/>
  <c r="BT79" i="57"/>
  <c r="BS79" i="57"/>
  <c r="BR79" i="57"/>
  <c r="BQ79" i="57"/>
  <c r="BV78" i="57"/>
  <c r="BU78" i="57"/>
  <c r="BT78" i="57"/>
  <c r="BS78" i="57"/>
  <c r="BR78" i="57"/>
  <c r="BQ78" i="57"/>
  <c r="BP78" i="57"/>
  <c r="BV76" i="57"/>
  <c r="BU76" i="57"/>
  <c r="BT76" i="57"/>
  <c r="BS76" i="57"/>
  <c r="BR76" i="57"/>
  <c r="BP76" i="57"/>
  <c r="BQ76" i="57"/>
  <c r="BV75" i="57"/>
  <c r="BU75" i="57"/>
  <c r="BT75" i="57"/>
  <c r="BS75" i="57"/>
  <c r="BR75" i="57"/>
  <c r="BP75" i="57"/>
  <c r="BQ75" i="57"/>
  <c r="BV73" i="57"/>
  <c r="BU73" i="57"/>
  <c r="BT73" i="57"/>
  <c r="BS73" i="57"/>
  <c r="BR73" i="57"/>
  <c r="BQ73" i="57"/>
  <c r="BP73" i="57"/>
  <c r="BV72" i="57"/>
  <c r="BU72" i="57"/>
  <c r="BT72" i="57"/>
  <c r="BS72" i="57"/>
  <c r="BR72" i="57"/>
  <c r="BQ72" i="57"/>
  <c r="BP72" i="57"/>
  <c r="BV70" i="57"/>
  <c r="BU70" i="57"/>
  <c r="BT70" i="57"/>
  <c r="BS70" i="57"/>
  <c r="BR70" i="57"/>
  <c r="BQ70" i="57"/>
  <c r="BP70" i="57"/>
  <c r="BU69" i="57"/>
  <c r="BT69" i="57"/>
  <c r="BS69" i="57"/>
  <c r="BR69" i="57"/>
  <c r="BQ69" i="57"/>
  <c r="BP69" i="57"/>
  <c r="CA48" i="90"/>
  <c r="BY52" i="90"/>
  <c r="BW54" i="90"/>
  <c r="BV53" i="90"/>
  <c r="BZ51" i="90"/>
  <c r="AI41" i="57"/>
  <c r="AI42" i="57" s="1"/>
  <c r="AF41" i="57"/>
  <c r="AF42" i="57" s="1"/>
  <c r="BW338" i="90"/>
  <c r="BK243" i="90"/>
  <c r="BJ310" i="90"/>
  <c r="BK311" i="90"/>
  <c r="BL312" i="90"/>
  <c r="BJ318" i="90"/>
  <c r="BK319" i="90"/>
  <c r="BX321" i="90"/>
  <c r="BJ326" i="90"/>
  <c r="BX337" i="90"/>
  <c r="BJ54" i="90"/>
  <c r="H13" i="90"/>
  <c r="AE20" i="98" s="1"/>
  <c r="BU52" i="90"/>
  <c r="BJ52" i="90" s="1"/>
  <c r="BU332" i="90"/>
  <c r="BJ332" i="90" s="1"/>
  <c r="E12" i="90"/>
  <c r="AB19" i="98" s="1"/>
  <c r="BN54" i="90"/>
  <c r="BX317" i="90"/>
  <c r="I12" i="90"/>
  <c r="AF19" i="98" s="1"/>
  <c r="AF475" i="36"/>
  <c r="AF503" i="36" s="1"/>
  <c r="BU386" i="36"/>
  <c r="BS386" i="36"/>
  <c r="AF12" i="36"/>
  <c r="AJ12" i="36"/>
  <c r="AC12" i="36"/>
  <c r="AC14" i="36" s="1"/>
  <c r="AD12" i="36"/>
  <c r="AE12" i="36"/>
  <c r="BL320" i="90"/>
  <c r="BK323" i="90"/>
  <c r="BL324" i="90"/>
  <c r="BK327" i="90"/>
  <c r="BL328" i="90"/>
  <c r="BL332" i="90"/>
  <c r="BJ334" i="90"/>
  <c r="BK335" i="90"/>
  <c r="AA21" i="98"/>
  <c r="AA22" i="98"/>
  <c r="H12" i="90"/>
  <c r="AE19" i="98" s="1"/>
  <c r="BJ243" i="90"/>
  <c r="BV244" i="90"/>
  <c r="BL244" i="90" s="1"/>
  <c r="BU247" i="90"/>
  <c r="BJ247" i="90" s="1"/>
  <c r="BV248" i="90"/>
  <c r="BL248" i="90" s="1"/>
  <c r="BJ311" i="90"/>
  <c r="BJ315" i="90"/>
  <c r="BJ319" i="90"/>
  <c r="BJ323" i="90"/>
  <c r="BJ327" i="90"/>
  <c r="BK332" i="90"/>
  <c r="BJ335" i="90"/>
  <c r="BV365" i="90"/>
  <c r="BK365" i="90" s="1"/>
  <c r="BJ368" i="90"/>
  <c r="BM366" i="90"/>
  <c r="BJ367" i="90"/>
  <c r="BV368" i="90"/>
  <c r="BK368" i="90" s="1"/>
  <c r="BV367" i="90"/>
  <c r="BN367" i="90" s="1"/>
  <c r="G12" i="90"/>
  <c r="BP366" i="90"/>
  <c r="BR366" i="90"/>
  <c r="BQ366" i="90"/>
  <c r="BI366" i="90"/>
  <c r="BO368" i="90"/>
  <c r="BP365" i="90"/>
  <c r="BR365" i="90"/>
  <c r="BI365" i="90"/>
  <c r="BM365" i="90"/>
  <c r="BJ366" i="90"/>
  <c r="BN366" i="90"/>
  <c r="BK367" i="90"/>
  <c r="BO367" i="90"/>
  <c r="BJ365" i="90"/>
  <c r="BK366" i="90"/>
  <c r="BO366" i="90"/>
  <c r="BL367" i="90"/>
  <c r="BI368" i="90"/>
  <c r="BM368" i="90"/>
  <c r="BO365" i="90"/>
  <c r="BL366" i="90"/>
  <c r="BP367" i="90"/>
  <c r="BR367" i="90"/>
  <c r="BQ367" i="90"/>
  <c r="BI367" i="90"/>
  <c r="BM367" i="90"/>
  <c r="BN386" i="36"/>
  <c r="BN322" i="36"/>
  <c r="BN324" i="36"/>
  <c r="BN321" i="36"/>
  <c r="BN325" i="36"/>
  <c r="BN318" i="36"/>
  <c r="BN319" i="36"/>
  <c r="D29" i="98"/>
  <c r="F29" i="98"/>
  <c r="G29" i="98"/>
  <c r="H29" i="98"/>
  <c r="M30" i="98"/>
  <c r="BK57" i="36"/>
  <c r="E29" i="98"/>
  <c r="J29" i="98"/>
  <c r="E30" i="98"/>
  <c r="AA455" i="36"/>
  <c r="BQ79" i="36"/>
  <c r="BQ84" i="36"/>
  <c r="BQ91" i="36"/>
  <c r="BQ96" i="36"/>
  <c r="BQ103" i="36"/>
  <c r="BQ108" i="36"/>
  <c r="BQ115" i="36"/>
  <c r="BQ120" i="36"/>
  <c r="BQ127" i="36"/>
  <c r="BQ132" i="36"/>
  <c r="BQ139" i="36"/>
  <c r="BQ144" i="36"/>
  <c r="BQ151" i="36"/>
  <c r="BQ156" i="36"/>
  <c r="BQ69" i="36"/>
  <c r="BQ73" i="36"/>
  <c r="BQ75" i="36"/>
  <c r="BQ82" i="36"/>
  <c r="BQ87" i="36"/>
  <c r="BQ94" i="36"/>
  <c r="BQ99" i="36"/>
  <c r="BQ106" i="36"/>
  <c r="BQ111" i="36"/>
  <c r="BQ118" i="36"/>
  <c r="BQ123" i="36"/>
  <c r="BQ142" i="36"/>
  <c r="BQ163" i="36"/>
  <c r="BQ168" i="36"/>
  <c r="BQ76" i="36"/>
  <c r="BQ81" i="36"/>
  <c r="BQ88" i="36"/>
  <c r="BQ93" i="36"/>
  <c r="BQ100" i="36"/>
  <c r="BQ105" i="36"/>
  <c r="BQ112" i="36"/>
  <c r="BQ117" i="36"/>
  <c r="BQ133" i="36"/>
  <c r="BQ135" i="36"/>
  <c r="BQ136" i="36"/>
  <c r="BQ138" i="36"/>
  <c r="BQ141" i="36"/>
  <c r="BQ70" i="36"/>
  <c r="BQ72" i="36"/>
  <c r="BQ78" i="36"/>
  <c r="BQ90" i="36"/>
  <c r="BQ102" i="36"/>
  <c r="BQ114" i="36"/>
  <c r="BQ130" i="36"/>
  <c r="BQ97" i="36"/>
  <c r="BQ124" i="36"/>
  <c r="BQ148" i="36"/>
  <c r="BQ150" i="36"/>
  <c r="BQ153" i="36"/>
  <c r="BQ157" i="36"/>
  <c r="BQ169" i="36"/>
  <c r="BQ172" i="36"/>
  <c r="BQ177" i="36"/>
  <c r="BQ181" i="36"/>
  <c r="BQ183" i="36"/>
  <c r="BQ190" i="36"/>
  <c r="BQ192" i="36"/>
  <c r="BQ199" i="36"/>
  <c r="BQ204" i="36"/>
  <c r="BQ211" i="36"/>
  <c r="BQ216" i="36"/>
  <c r="BQ85" i="36"/>
  <c r="BQ129" i="36"/>
  <c r="BQ145" i="36"/>
  <c r="BQ166" i="36"/>
  <c r="BQ175" i="36"/>
  <c r="BQ186" i="36"/>
  <c r="BQ195" i="36"/>
  <c r="BQ202" i="36"/>
  <c r="BQ207" i="36"/>
  <c r="BQ214" i="36"/>
  <c r="BQ219" i="36"/>
  <c r="BQ226" i="36"/>
  <c r="BQ235" i="36"/>
  <c r="BQ121" i="36"/>
  <c r="BQ126" i="36"/>
  <c r="BQ159" i="36"/>
  <c r="BQ162" i="36"/>
  <c r="BQ165" i="36"/>
  <c r="BQ171" i="36"/>
  <c r="BQ178" i="36"/>
  <c r="BQ180" i="36"/>
  <c r="BQ184" i="36"/>
  <c r="BQ189" i="36"/>
  <c r="BQ193" i="36"/>
  <c r="BQ198" i="36"/>
  <c r="BQ205" i="36"/>
  <c r="BQ210" i="36"/>
  <c r="BQ217" i="36"/>
  <c r="BQ222" i="36"/>
  <c r="BQ229" i="36"/>
  <c r="BQ231" i="36"/>
  <c r="BQ147" i="36"/>
  <c r="BQ174" i="36"/>
  <c r="BQ213" i="36"/>
  <c r="BQ232" i="36"/>
  <c r="BQ244" i="36"/>
  <c r="BQ249" i="36"/>
  <c r="BQ160" i="36"/>
  <c r="BQ187" i="36"/>
  <c r="BQ208" i="36"/>
  <c r="BQ223" i="36"/>
  <c r="BQ228" i="36"/>
  <c r="BQ234" i="36"/>
  <c r="BQ237" i="36"/>
  <c r="BQ240" i="36"/>
  <c r="BQ247" i="36"/>
  <c r="BQ252" i="36"/>
  <c r="BQ241" i="36"/>
  <c r="BQ246" i="36"/>
  <c r="BQ109" i="36"/>
  <c r="BQ154" i="36"/>
  <c r="BQ201" i="36"/>
  <c r="BQ225" i="36"/>
  <c r="BQ243" i="36"/>
  <c r="BQ250" i="36"/>
  <c r="BQ196" i="36"/>
  <c r="BQ220" i="36"/>
  <c r="BQ238" i="36"/>
  <c r="BQ253" i="36"/>
  <c r="AB455" i="36"/>
  <c r="BR70" i="36"/>
  <c r="BR72" i="36"/>
  <c r="BR76" i="36"/>
  <c r="BR81" i="36"/>
  <c r="BR88" i="36"/>
  <c r="BR93" i="36"/>
  <c r="BR100" i="36"/>
  <c r="BR105" i="36"/>
  <c r="BR112" i="36"/>
  <c r="BR117" i="36"/>
  <c r="BR124" i="36"/>
  <c r="BR129" i="36"/>
  <c r="BR136" i="36"/>
  <c r="BR141" i="36"/>
  <c r="BR148" i="36"/>
  <c r="BR153" i="36"/>
  <c r="BR160" i="36"/>
  <c r="BR79" i="36"/>
  <c r="BR84" i="36"/>
  <c r="BR91" i="36"/>
  <c r="BR96" i="36"/>
  <c r="BR103" i="36"/>
  <c r="BR108" i="36"/>
  <c r="BR115" i="36"/>
  <c r="BR120" i="36"/>
  <c r="BR69" i="36"/>
  <c r="BR85" i="36"/>
  <c r="BR97" i="36"/>
  <c r="BR109" i="36"/>
  <c r="BR121" i="36"/>
  <c r="BR126" i="36"/>
  <c r="BR145" i="36"/>
  <c r="BR147" i="36"/>
  <c r="BR150" i="36"/>
  <c r="BR165" i="36"/>
  <c r="BR75" i="36"/>
  <c r="BR87" i="36"/>
  <c r="BR99" i="36"/>
  <c r="BR111" i="36"/>
  <c r="BR123" i="36"/>
  <c r="BR139" i="36"/>
  <c r="BR142" i="36"/>
  <c r="BR144" i="36"/>
  <c r="BR82" i="36"/>
  <c r="BR94" i="36"/>
  <c r="BR106" i="36"/>
  <c r="BR118" i="36"/>
  <c r="BR133" i="36"/>
  <c r="BR135" i="36"/>
  <c r="BR138" i="36"/>
  <c r="BR90" i="36"/>
  <c r="BR132" i="36"/>
  <c r="BR151" i="36"/>
  <c r="BR154" i="36"/>
  <c r="BR156" i="36"/>
  <c r="BR174" i="36"/>
  <c r="BR187" i="36"/>
  <c r="BR196" i="36"/>
  <c r="BR201" i="36"/>
  <c r="BR208" i="36"/>
  <c r="BR213" i="36"/>
  <c r="BR220" i="36"/>
  <c r="BR73" i="36"/>
  <c r="BR78" i="36"/>
  <c r="BR157" i="36"/>
  <c r="BR169" i="36"/>
  <c r="BR172" i="36"/>
  <c r="BR177" i="36"/>
  <c r="BR181" i="36"/>
  <c r="BR183" i="36"/>
  <c r="BR190" i="36"/>
  <c r="BR192" i="36"/>
  <c r="BR199" i="36"/>
  <c r="BR204" i="36"/>
  <c r="BR211" i="36"/>
  <c r="BR216" i="36"/>
  <c r="BR223" i="36"/>
  <c r="BR228" i="36"/>
  <c r="BR232" i="36"/>
  <c r="BR237" i="36"/>
  <c r="BR114" i="36"/>
  <c r="BR130" i="36"/>
  <c r="BR163" i="36"/>
  <c r="BR166" i="36"/>
  <c r="BR168" i="36"/>
  <c r="BR175" i="36"/>
  <c r="BR186" i="36"/>
  <c r="BR195" i="36"/>
  <c r="BR202" i="36"/>
  <c r="BR207" i="36"/>
  <c r="BR214" i="36"/>
  <c r="BR219" i="36"/>
  <c r="BR226" i="36"/>
  <c r="BR235" i="36"/>
  <c r="BR127" i="36"/>
  <c r="BR171" i="36"/>
  <c r="BR189" i="36"/>
  <c r="BR210" i="36"/>
  <c r="BR231" i="36"/>
  <c r="BR238" i="36"/>
  <c r="BR241" i="36"/>
  <c r="BR246" i="36"/>
  <c r="BR253" i="36"/>
  <c r="BR159" i="36"/>
  <c r="BR184" i="36"/>
  <c r="BR205" i="36"/>
  <c r="BR244" i="36"/>
  <c r="BR249" i="36"/>
  <c r="BR243" i="36"/>
  <c r="BR102" i="36"/>
  <c r="BR180" i="36"/>
  <c r="BR198" i="36"/>
  <c r="BR222" i="36"/>
  <c r="BR229" i="36"/>
  <c r="BR234" i="36"/>
  <c r="BR240" i="36"/>
  <c r="BR247" i="36"/>
  <c r="BR252" i="36"/>
  <c r="BR162" i="36"/>
  <c r="BR178" i="36"/>
  <c r="BR193" i="36"/>
  <c r="BR217" i="36"/>
  <c r="BR225" i="36"/>
  <c r="BR250" i="36"/>
  <c r="P30" i="98"/>
  <c r="AE455" i="36"/>
  <c r="BU79" i="36"/>
  <c r="BU84" i="36"/>
  <c r="BU91" i="36"/>
  <c r="BU96" i="36"/>
  <c r="BU103" i="36"/>
  <c r="BU108" i="36"/>
  <c r="BU115" i="36"/>
  <c r="BU120" i="36"/>
  <c r="BU127" i="36"/>
  <c r="BU132" i="36"/>
  <c r="BU139" i="36"/>
  <c r="BU144" i="36"/>
  <c r="BU151" i="36"/>
  <c r="BU156" i="36"/>
  <c r="BU69" i="36"/>
  <c r="BU73" i="36"/>
  <c r="BU75" i="36"/>
  <c r="BU82" i="36"/>
  <c r="BU87" i="36"/>
  <c r="BU94" i="36"/>
  <c r="BU99" i="36"/>
  <c r="BU106" i="36"/>
  <c r="BU111" i="36"/>
  <c r="BU118" i="36"/>
  <c r="BU123" i="36"/>
  <c r="BU72" i="36"/>
  <c r="BU78" i="36"/>
  <c r="BU90" i="36"/>
  <c r="BU102" i="36"/>
  <c r="BU114" i="36"/>
  <c r="BU133" i="36"/>
  <c r="BU135" i="36"/>
  <c r="BU136" i="36"/>
  <c r="BU138" i="36"/>
  <c r="BU141" i="36"/>
  <c r="BU157" i="36"/>
  <c r="BU159" i="36"/>
  <c r="BU160" i="36"/>
  <c r="BU163" i="36"/>
  <c r="BU168" i="36"/>
  <c r="BU85" i="36"/>
  <c r="BU97" i="36"/>
  <c r="BU109" i="36"/>
  <c r="BU121" i="36"/>
  <c r="BU130" i="36"/>
  <c r="BU154" i="36"/>
  <c r="BU124" i="36"/>
  <c r="BU126" i="36"/>
  <c r="BU129" i="36"/>
  <c r="BU145" i="36"/>
  <c r="BU147" i="36"/>
  <c r="BU76" i="36"/>
  <c r="BU117" i="36"/>
  <c r="BU166" i="36"/>
  <c r="BU172" i="36"/>
  <c r="BU177" i="36"/>
  <c r="BU181" i="36"/>
  <c r="BU183" i="36"/>
  <c r="BU190" i="36"/>
  <c r="BU192" i="36"/>
  <c r="BU199" i="36"/>
  <c r="BU204" i="36"/>
  <c r="BU211" i="36"/>
  <c r="BU216" i="36"/>
  <c r="BU105" i="36"/>
  <c r="BU112" i="36"/>
  <c r="BU148" i="36"/>
  <c r="BU150" i="36"/>
  <c r="BU153" i="36"/>
  <c r="BU162" i="36"/>
  <c r="BU165" i="36"/>
  <c r="BU175" i="36"/>
  <c r="BU186" i="36"/>
  <c r="BU195" i="36"/>
  <c r="BU202" i="36"/>
  <c r="BU207" i="36"/>
  <c r="BU214" i="36"/>
  <c r="BU219" i="36"/>
  <c r="BU226" i="36"/>
  <c r="BU93" i="36"/>
  <c r="BU100" i="36"/>
  <c r="BU142" i="36"/>
  <c r="BU171" i="36"/>
  <c r="BU178" i="36"/>
  <c r="BU180" i="36"/>
  <c r="BU184" i="36"/>
  <c r="BU189" i="36"/>
  <c r="BU193" i="36"/>
  <c r="BU198" i="36"/>
  <c r="BU205" i="36"/>
  <c r="BU210" i="36"/>
  <c r="BU217" i="36"/>
  <c r="BU222" i="36"/>
  <c r="BU229" i="36"/>
  <c r="BU231" i="36"/>
  <c r="BU88" i="36"/>
  <c r="BU196" i="36"/>
  <c r="BU220" i="36"/>
  <c r="BU225" i="36"/>
  <c r="BU244" i="36"/>
  <c r="BU249" i="36"/>
  <c r="BU81" i="36"/>
  <c r="BU174" i="36"/>
  <c r="BU213" i="36"/>
  <c r="BU240" i="36"/>
  <c r="BU247" i="36"/>
  <c r="BU252" i="36"/>
  <c r="BU228" i="36"/>
  <c r="BU253" i="36"/>
  <c r="BU169" i="36"/>
  <c r="BU187" i="36"/>
  <c r="BU208" i="36"/>
  <c r="BU232" i="36"/>
  <c r="BU238" i="36"/>
  <c r="BU243" i="36"/>
  <c r="BU250" i="36"/>
  <c r="BU70" i="36"/>
  <c r="BU201" i="36"/>
  <c r="BU223" i="36"/>
  <c r="BU237" i="36"/>
  <c r="BU241" i="36"/>
  <c r="BU246" i="36"/>
  <c r="AD455" i="36"/>
  <c r="BT69" i="36"/>
  <c r="BT73" i="36"/>
  <c r="BT75" i="36"/>
  <c r="BT82" i="36"/>
  <c r="BT87" i="36"/>
  <c r="BT94" i="36"/>
  <c r="BT99" i="36"/>
  <c r="BT106" i="36"/>
  <c r="BT111" i="36"/>
  <c r="BT118" i="36"/>
  <c r="BT123" i="36"/>
  <c r="BT130" i="36"/>
  <c r="BT135" i="36"/>
  <c r="BT142" i="36"/>
  <c r="BT147" i="36"/>
  <c r="BT154" i="36"/>
  <c r="BT159" i="36"/>
  <c r="BT78" i="36"/>
  <c r="BT85" i="36"/>
  <c r="BT90" i="36"/>
  <c r="BT97" i="36"/>
  <c r="BT102" i="36"/>
  <c r="BT109" i="36"/>
  <c r="BT114" i="36"/>
  <c r="BT121" i="36"/>
  <c r="BT70" i="36"/>
  <c r="BT166" i="36"/>
  <c r="BT79" i="36"/>
  <c r="BT84" i="36"/>
  <c r="BT91" i="36"/>
  <c r="BT96" i="36"/>
  <c r="BT103" i="36"/>
  <c r="BT108" i="36"/>
  <c r="BT115" i="36"/>
  <c r="BT120" i="36"/>
  <c r="BT124" i="36"/>
  <c r="BT126" i="36"/>
  <c r="BT127" i="36"/>
  <c r="BT129" i="36"/>
  <c r="BT132" i="36"/>
  <c r="BT145" i="36"/>
  <c r="BT148" i="36"/>
  <c r="BT150" i="36"/>
  <c r="BT151" i="36"/>
  <c r="BT153" i="36"/>
  <c r="BT76" i="36"/>
  <c r="BT81" i="36"/>
  <c r="BT88" i="36"/>
  <c r="BT93" i="36"/>
  <c r="BT100" i="36"/>
  <c r="BT105" i="36"/>
  <c r="BT112" i="36"/>
  <c r="BT117" i="36"/>
  <c r="BT136" i="36"/>
  <c r="BT144" i="36"/>
  <c r="BT162" i="36"/>
  <c r="BT163" i="36"/>
  <c r="BT165" i="36"/>
  <c r="BT168" i="36"/>
  <c r="BT175" i="36"/>
  <c r="BT186" i="36"/>
  <c r="BT195" i="36"/>
  <c r="BT202" i="36"/>
  <c r="BT207" i="36"/>
  <c r="BT214" i="36"/>
  <c r="BT219" i="36"/>
  <c r="BT72" i="36"/>
  <c r="BT133" i="36"/>
  <c r="BT141" i="36"/>
  <c r="BT156" i="36"/>
  <c r="BT160" i="36"/>
  <c r="BT171" i="36"/>
  <c r="BT178" i="36"/>
  <c r="BT180" i="36"/>
  <c r="BT184" i="36"/>
  <c r="BT189" i="36"/>
  <c r="BT193" i="36"/>
  <c r="BT198" i="36"/>
  <c r="BT205" i="36"/>
  <c r="BT210" i="36"/>
  <c r="BT217" i="36"/>
  <c r="BT222" i="36"/>
  <c r="BT229" i="36"/>
  <c r="BT231" i="36"/>
  <c r="BT238" i="36"/>
  <c r="BT138" i="36"/>
  <c r="BT157" i="36"/>
  <c r="BT169" i="36"/>
  <c r="BT174" i="36"/>
  <c r="BT187" i="36"/>
  <c r="BT196" i="36"/>
  <c r="BT201" i="36"/>
  <c r="BT208" i="36"/>
  <c r="BT213" i="36"/>
  <c r="BT220" i="36"/>
  <c r="BT225" i="36"/>
  <c r="BT234" i="36"/>
  <c r="BT139" i="36"/>
  <c r="BT181" i="36"/>
  <c r="BT183" i="36"/>
  <c r="BT199" i="36"/>
  <c r="BT204" i="36"/>
  <c r="BT235" i="36"/>
  <c r="BT240" i="36"/>
  <c r="BT247" i="36"/>
  <c r="BT252" i="36"/>
  <c r="BT226" i="36"/>
  <c r="BT232" i="36"/>
  <c r="BT243" i="36"/>
  <c r="BT250" i="36"/>
  <c r="BT249" i="36"/>
  <c r="BT172" i="36"/>
  <c r="BT177" i="36"/>
  <c r="BT190" i="36"/>
  <c r="BT192" i="36"/>
  <c r="BT211" i="36"/>
  <c r="BT216" i="36"/>
  <c r="BT223" i="36"/>
  <c r="BT228" i="36"/>
  <c r="BT237" i="36"/>
  <c r="BT241" i="36"/>
  <c r="BT246" i="36"/>
  <c r="BT253" i="36"/>
  <c r="BT244" i="36"/>
  <c r="X455" i="36"/>
  <c r="BN70" i="36"/>
  <c r="BN72" i="36"/>
  <c r="BN76" i="36"/>
  <c r="BN81" i="36"/>
  <c r="BN88" i="36"/>
  <c r="BN93" i="36"/>
  <c r="BN100" i="36"/>
  <c r="BN105" i="36"/>
  <c r="BN112" i="36"/>
  <c r="BN117" i="36"/>
  <c r="BN124" i="36"/>
  <c r="BN129" i="36"/>
  <c r="BN136" i="36"/>
  <c r="BN141" i="36"/>
  <c r="BN148" i="36"/>
  <c r="BN153" i="36"/>
  <c r="BN160" i="36"/>
  <c r="BN79" i="36"/>
  <c r="BN84" i="36"/>
  <c r="BN91" i="36"/>
  <c r="BN96" i="36"/>
  <c r="BN103" i="36"/>
  <c r="BN108" i="36"/>
  <c r="BN115" i="36"/>
  <c r="BN120" i="36"/>
  <c r="BN69" i="36"/>
  <c r="BN82" i="36"/>
  <c r="BN94" i="36"/>
  <c r="BN106" i="36"/>
  <c r="BN118" i="36"/>
  <c r="BN127" i="36"/>
  <c r="BN130" i="36"/>
  <c r="BN132" i="36"/>
  <c r="BN151" i="36"/>
  <c r="BN154" i="36"/>
  <c r="BN156" i="36"/>
  <c r="BN165" i="36"/>
  <c r="BN73" i="36"/>
  <c r="BN78" i="36"/>
  <c r="BN90" i="36"/>
  <c r="BN102" i="36"/>
  <c r="BN114" i="36"/>
  <c r="BN126" i="36"/>
  <c r="BN145" i="36"/>
  <c r="BN147" i="36"/>
  <c r="BN150" i="36"/>
  <c r="BN85" i="36"/>
  <c r="BN97" i="36"/>
  <c r="BN109" i="36"/>
  <c r="BN121" i="36"/>
  <c r="BN139" i="36"/>
  <c r="BN142" i="36"/>
  <c r="BN144" i="36"/>
  <c r="BN111" i="36"/>
  <c r="BN133" i="36"/>
  <c r="BN162" i="36"/>
  <c r="BN174" i="36"/>
  <c r="BN187" i="36"/>
  <c r="BN196" i="36"/>
  <c r="BN201" i="36"/>
  <c r="BN208" i="36"/>
  <c r="BN213" i="36"/>
  <c r="BN220" i="36"/>
  <c r="BN99" i="36"/>
  <c r="BN138" i="36"/>
  <c r="BN159" i="36"/>
  <c r="BN172" i="36"/>
  <c r="BN177" i="36"/>
  <c r="BN181" i="36"/>
  <c r="BN183" i="36"/>
  <c r="BN190" i="36"/>
  <c r="BN192" i="36"/>
  <c r="BN199" i="36"/>
  <c r="BN204" i="36"/>
  <c r="BN211" i="36"/>
  <c r="BN216" i="36"/>
  <c r="BN223" i="36"/>
  <c r="BN228" i="36"/>
  <c r="BN232" i="36"/>
  <c r="BN237" i="36"/>
  <c r="BN87" i="36"/>
  <c r="BN135" i="36"/>
  <c r="BN169" i="36"/>
  <c r="BN175" i="36"/>
  <c r="BN186" i="36"/>
  <c r="BN195" i="36"/>
  <c r="BN202" i="36"/>
  <c r="BN207" i="36"/>
  <c r="BN214" i="36"/>
  <c r="BN219" i="36"/>
  <c r="BN226" i="36"/>
  <c r="BN235" i="36"/>
  <c r="BN123" i="36"/>
  <c r="BN168" i="36"/>
  <c r="BN184" i="36"/>
  <c r="BN205" i="36"/>
  <c r="BN229" i="36"/>
  <c r="BN234" i="36"/>
  <c r="BN241" i="36"/>
  <c r="BN246" i="36"/>
  <c r="BN253" i="36"/>
  <c r="BN75" i="36"/>
  <c r="BN180" i="36"/>
  <c r="BN198" i="36"/>
  <c r="BN222" i="36"/>
  <c r="BN225" i="36"/>
  <c r="BN238" i="36"/>
  <c r="BN244" i="36"/>
  <c r="BN249" i="36"/>
  <c r="BN250" i="36"/>
  <c r="BN166" i="36"/>
  <c r="BN178" i="36"/>
  <c r="BN193" i="36"/>
  <c r="BN217" i="36"/>
  <c r="BN231" i="36"/>
  <c r="BN240" i="36"/>
  <c r="BN247" i="36"/>
  <c r="BN252" i="36"/>
  <c r="BN157" i="36"/>
  <c r="BN163" i="36"/>
  <c r="BN171" i="36"/>
  <c r="BN189" i="36"/>
  <c r="BN210" i="36"/>
  <c r="BN243" i="36"/>
  <c r="D30" i="98"/>
  <c r="K29" i="98"/>
  <c r="I29" i="98"/>
  <c r="BV386" i="36"/>
  <c r="BV253" i="36"/>
  <c r="BV252" i="36"/>
  <c r="BV250" i="36"/>
  <c r="BV249" i="36"/>
  <c r="BV247" i="36"/>
  <c r="BV246" i="36"/>
  <c r="BV244" i="36"/>
  <c r="BV243" i="36"/>
  <c r="BV241" i="36"/>
  <c r="BV240" i="36"/>
  <c r="BV238" i="36"/>
  <c r="BV237" i="36"/>
  <c r="BV232" i="36"/>
  <c r="BV231" i="36"/>
  <c r="BV229" i="36"/>
  <c r="BV228" i="36"/>
  <c r="BV226" i="36"/>
  <c r="BV225" i="36"/>
  <c r="BV223" i="36"/>
  <c r="BV222" i="36"/>
  <c r="BV220" i="36"/>
  <c r="BV219" i="36"/>
  <c r="BV217" i="36"/>
  <c r="BV216" i="36"/>
  <c r="BV214" i="36"/>
  <c r="BV213" i="36"/>
  <c r="BV211" i="36"/>
  <c r="BV210" i="36"/>
  <c r="BV208" i="36"/>
  <c r="BV207" i="36"/>
  <c r="BV205" i="36"/>
  <c r="BV204" i="36"/>
  <c r="BV202" i="36"/>
  <c r="BV201" i="36"/>
  <c r="BV199" i="36"/>
  <c r="BV198" i="36"/>
  <c r="BV196" i="36"/>
  <c r="BV195" i="36"/>
  <c r="BV193" i="36"/>
  <c r="BV192" i="36"/>
  <c r="BV190" i="36"/>
  <c r="BV189" i="36"/>
  <c r="BV187" i="36"/>
  <c r="BV186" i="36"/>
  <c r="BV184" i="36"/>
  <c r="BV183" i="36"/>
  <c r="BV181" i="36"/>
  <c r="BV180" i="36"/>
  <c r="BV178" i="36"/>
  <c r="BV177" i="36"/>
  <c r="BV175" i="36"/>
  <c r="BV174" i="36"/>
  <c r="BV172" i="36"/>
  <c r="BV171" i="36"/>
  <c r="BV169" i="36"/>
  <c r="BV168" i="36"/>
  <c r="BV166" i="36"/>
  <c r="BV165" i="36"/>
  <c r="BV163" i="36"/>
  <c r="BV162" i="36"/>
  <c r="BV160" i="36"/>
  <c r="BV159" i="36"/>
  <c r="BV157" i="36"/>
  <c r="BV156" i="36"/>
  <c r="BV154" i="36"/>
  <c r="BV153" i="36"/>
  <c r="BV151" i="36"/>
  <c r="BV150" i="36"/>
  <c r="BV148" i="36"/>
  <c r="BV147" i="36"/>
  <c r="BV145" i="36"/>
  <c r="BV144" i="36"/>
  <c r="BV142" i="36"/>
  <c r="BV141" i="36"/>
  <c r="BV139" i="36"/>
  <c r="BV138" i="36"/>
  <c r="BV136" i="36"/>
  <c r="BV135" i="36"/>
  <c r="BV133" i="36"/>
  <c r="BV132" i="36"/>
  <c r="BV130" i="36"/>
  <c r="BV129" i="36"/>
  <c r="BV127" i="36"/>
  <c r="BV126" i="36"/>
  <c r="BV124" i="36"/>
  <c r="BV123" i="36"/>
  <c r="BV120" i="36"/>
  <c r="BV117" i="36"/>
  <c r="BV114" i="36"/>
  <c r="BV111" i="36"/>
  <c r="BV108" i="36"/>
  <c r="BV105" i="36"/>
  <c r="BV102" i="36"/>
  <c r="BV99" i="36"/>
  <c r="BV96" i="36"/>
  <c r="BV93" i="36"/>
  <c r="BV90" i="36"/>
  <c r="BV87" i="36"/>
  <c r="BV84" i="36"/>
  <c r="BV81" i="36"/>
  <c r="BV78" i="36"/>
  <c r="BV75" i="36"/>
  <c r="BV72" i="36"/>
  <c r="BV69" i="36"/>
  <c r="BV121" i="36"/>
  <c r="BV118" i="36"/>
  <c r="BV115" i="36"/>
  <c r="BV112" i="36"/>
  <c r="BV109" i="36"/>
  <c r="BV106" i="36"/>
  <c r="BV103" i="36"/>
  <c r="BV100" i="36"/>
  <c r="BV97" i="36"/>
  <c r="BV94" i="36"/>
  <c r="BV91" i="36"/>
  <c r="BV88" i="36"/>
  <c r="BV85" i="36"/>
  <c r="BV82" i="36"/>
  <c r="BV79" i="36"/>
  <c r="BV76" i="36"/>
  <c r="BV73" i="36"/>
  <c r="BV70" i="36"/>
  <c r="O29" i="98"/>
  <c r="W455" i="36"/>
  <c r="BM79" i="36"/>
  <c r="BM84" i="36"/>
  <c r="BM91" i="36"/>
  <c r="BM96" i="36"/>
  <c r="BM103" i="36"/>
  <c r="BM108" i="36"/>
  <c r="BM115" i="36"/>
  <c r="BM120" i="36"/>
  <c r="BM127" i="36"/>
  <c r="BM132" i="36"/>
  <c r="BM139" i="36"/>
  <c r="BM144" i="36"/>
  <c r="BM151" i="36"/>
  <c r="BM156" i="36"/>
  <c r="BM69" i="36"/>
  <c r="BM73" i="36"/>
  <c r="BM75" i="36"/>
  <c r="BM82" i="36"/>
  <c r="BM87" i="36"/>
  <c r="BM94" i="36"/>
  <c r="BM99" i="36"/>
  <c r="BM106" i="36"/>
  <c r="BM111" i="36"/>
  <c r="BM118" i="36"/>
  <c r="BM123" i="36"/>
  <c r="BM78" i="36"/>
  <c r="BM90" i="36"/>
  <c r="BM102" i="36"/>
  <c r="BM114" i="36"/>
  <c r="BM124" i="36"/>
  <c r="BM126" i="36"/>
  <c r="BM129" i="36"/>
  <c r="BM145" i="36"/>
  <c r="BM147" i="36"/>
  <c r="BM148" i="36"/>
  <c r="BM150" i="36"/>
  <c r="BM153" i="36"/>
  <c r="BM163" i="36"/>
  <c r="BM168" i="36"/>
  <c r="BM70" i="36"/>
  <c r="BM72" i="36"/>
  <c r="BM85" i="36"/>
  <c r="BM97" i="36"/>
  <c r="BM109" i="36"/>
  <c r="BM121" i="36"/>
  <c r="BM142" i="36"/>
  <c r="BM133" i="36"/>
  <c r="BM135" i="36"/>
  <c r="BM136" i="36"/>
  <c r="BM138" i="36"/>
  <c r="BM141" i="36"/>
  <c r="BM105" i="36"/>
  <c r="BM112" i="36"/>
  <c r="BM159" i="36"/>
  <c r="BM172" i="36"/>
  <c r="BM177" i="36"/>
  <c r="BM181" i="36"/>
  <c r="BM183" i="36"/>
  <c r="BM190" i="36"/>
  <c r="BM192" i="36"/>
  <c r="BM199" i="36"/>
  <c r="BM204" i="36"/>
  <c r="BM211" i="36"/>
  <c r="BM216" i="36"/>
  <c r="BM93" i="36"/>
  <c r="BM100" i="36"/>
  <c r="BM130" i="36"/>
  <c r="BM160" i="36"/>
  <c r="BM169" i="36"/>
  <c r="BM175" i="36"/>
  <c r="BM186" i="36"/>
  <c r="BM195" i="36"/>
  <c r="BM202" i="36"/>
  <c r="BM207" i="36"/>
  <c r="BM214" i="36"/>
  <c r="BM219" i="36"/>
  <c r="BM226" i="36"/>
  <c r="BM235" i="36"/>
  <c r="BM81" i="36"/>
  <c r="BM88" i="36"/>
  <c r="BM154" i="36"/>
  <c r="BM157" i="36"/>
  <c r="BM166" i="36"/>
  <c r="BM171" i="36"/>
  <c r="BM178" i="36"/>
  <c r="BM180" i="36"/>
  <c r="BM184" i="36"/>
  <c r="BM189" i="36"/>
  <c r="BM193" i="36"/>
  <c r="BM198" i="36"/>
  <c r="BM205" i="36"/>
  <c r="BM210" i="36"/>
  <c r="BM217" i="36"/>
  <c r="BM222" i="36"/>
  <c r="BM229" i="36"/>
  <c r="BM231" i="36"/>
  <c r="BM187" i="36"/>
  <c r="BM208" i="36"/>
  <c r="BM225" i="36"/>
  <c r="BM238" i="36"/>
  <c r="BM244" i="36"/>
  <c r="BM249" i="36"/>
  <c r="BM76" i="36"/>
  <c r="BM117" i="36"/>
  <c r="BM165" i="36"/>
  <c r="BM201" i="36"/>
  <c r="BM240" i="36"/>
  <c r="BM247" i="36"/>
  <c r="BM252" i="36"/>
  <c r="BM237" i="36"/>
  <c r="BM253" i="36"/>
  <c r="BM162" i="36"/>
  <c r="BM196" i="36"/>
  <c r="BM220" i="36"/>
  <c r="BM232" i="36"/>
  <c r="BM243" i="36"/>
  <c r="BM250" i="36"/>
  <c r="BM174" i="36"/>
  <c r="BM213" i="36"/>
  <c r="BM223" i="36"/>
  <c r="BM228" i="36"/>
  <c r="BM234" i="36"/>
  <c r="BM241" i="36"/>
  <c r="BM246" i="36"/>
  <c r="BL58" i="36"/>
  <c r="I30" i="98"/>
  <c r="L30" i="98"/>
  <c r="R30" i="98"/>
  <c r="O30" i="98"/>
  <c r="Q29" i="98"/>
  <c r="Y455" i="36"/>
  <c r="BO78" i="36"/>
  <c r="BO85" i="36"/>
  <c r="BO90" i="36"/>
  <c r="BO97" i="36"/>
  <c r="BO102" i="36"/>
  <c r="BO109" i="36"/>
  <c r="BO114" i="36"/>
  <c r="BO121" i="36"/>
  <c r="BO126" i="36"/>
  <c r="BO133" i="36"/>
  <c r="BO138" i="36"/>
  <c r="BO145" i="36"/>
  <c r="BO150" i="36"/>
  <c r="BO157" i="36"/>
  <c r="BO70" i="36"/>
  <c r="BO72" i="36"/>
  <c r="BO76" i="36"/>
  <c r="BO81" i="36"/>
  <c r="BO88" i="36"/>
  <c r="BO93" i="36"/>
  <c r="BO100" i="36"/>
  <c r="BO105" i="36"/>
  <c r="BO112" i="36"/>
  <c r="BO117" i="36"/>
  <c r="BO69" i="36"/>
  <c r="BO75" i="36"/>
  <c r="BO87" i="36"/>
  <c r="BO99" i="36"/>
  <c r="BO111" i="36"/>
  <c r="BO123" i="36"/>
  <c r="BO135" i="36"/>
  <c r="BO159" i="36"/>
  <c r="BO162" i="36"/>
  <c r="BO169" i="36"/>
  <c r="BO82" i="36"/>
  <c r="BO94" i="36"/>
  <c r="BO106" i="36"/>
  <c r="BO118" i="36"/>
  <c r="BO124" i="36"/>
  <c r="BO127" i="36"/>
  <c r="BO129" i="36"/>
  <c r="BO130" i="36"/>
  <c r="BO132" i="36"/>
  <c r="BO148" i="36"/>
  <c r="BO151" i="36"/>
  <c r="BO153" i="36"/>
  <c r="BO154" i="36"/>
  <c r="BO156" i="36"/>
  <c r="BO73" i="36"/>
  <c r="BO79" i="36"/>
  <c r="BO84" i="36"/>
  <c r="BO91" i="36"/>
  <c r="BO96" i="36"/>
  <c r="BO103" i="36"/>
  <c r="BO108" i="36"/>
  <c r="BO115" i="36"/>
  <c r="BO120" i="36"/>
  <c r="BO147" i="36"/>
  <c r="BO141" i="36"/>
  <c r="BO163" i="36"/>
  <c r="BO165" i="36"/>
  <c r="BO166" i="36"/>
  <c r="BO168" i="36"/>
  <c r="BO171" i="36"/>
  <c r="BO178" i="36"/>
  <c r="BO180" i="36"/>
  <c r="BO184" i="36"/>
  <c r="BO189" i="36"/>
  <c r="BO193" i="36"/>
  <c r="BO198" i="36"/>
  <c r="BO205" i="36"/>
  <c r="BO210" i="36"/>
  <c r="BO217" i="36"/>
  <c r="BO222" i="36"/>
  <c r="BO142" i="36"/>
  <c r="BO174" i="36"/>
  <c r="BO187" i="36"/>
  <c r="BO196" i="36"/>
  <c r="BO201" i="36"/>
  <c r="BO208" i="36"/>
  <c r="BO213" i="36"/>
  <c r="BO220" i="36"/>
  <c r="BO225" i="36"/>
  <c r="BO234" i="36"/>
  <c r="BO139" i="36"/>
  <c r="BO160" i="36"/>
  <c r="BO172" i="36"/>
  <c r="BO177" i="36"/>
  <c r="BO181" i="36"/>
  <c r="BO183" i="36"/>
  <c r="BO190" i="36"/>
  <c r="BO192" i="36"/>
  <c r="BO199" i="36"/>
  <c r="BO204" i="36"/>
  <c r="BO211" i="36"/>
  <c r="BO216" i="36"/>
  <c r="BO223" i="36"/>
  <c r="BO228" i="36"/>
  <c r="BO232" i="36"/>
  <c r="BO237" i="36"/>
  <c r="BO136" i="36"/>
  <c r="BO144" i="36"/>
  <c r="BO202" i="36"/>
  <c r="BO243" i="36"/>
  <c r="BO250" i="36"/>
  <c r="BO195" i="36"/>
  <c r="BO219" i="36"/>
  <c r="BO229" i="36"/>
  <c r="BO235" i="36"/>
  <c r="BO241" i="36"/>
  <c r="BO246" i="36"/>
  <c r="BO253" i="36"/>
  <c r="BO231" i="36"/>
  <c r="BO247" i="36"/>
  <c r="BO252" i="36"/>
  <c r="BO175" i="36"/>
  <c r="BO214" i="36"/>
  <c r="BO226" i="36"/>
  <c r="BO238" i="36"/>
  <c r="BO244" i="36"/>
  <c r="BO249" i="36"/>
  <c r="BO186" i="36"/>
  <c r="BO207" i="36"/>
  <c r="BO240" i="36"/>
  <c r="AC455" i="36"/>
  <c r="BS78" i="36"/>
  <c r="BS85" i="36"/>
  <c r="BS90" i="36"/>
  <c r="BS97" i="36"/>
  <c r="BS102" i="36"/>
  <c r="BS109" i="36"/>
  <c r="BS114" i="36"/>
  <c r="BS121" i="36"/>
  <c r="BS126" i="36"/>
  <c r="BS133" i="36"/>
  <c r="BS138" i="36"/>
  <c r="BS145" i="36"/>
  <c r="BS150" i="36"/>
  <c r="BS157" i="36"/>
  <c r="BS70" i="36"/>
  <c r="BS72" i="36"/>
  <c r="BS76" i="36"/>
  <c r="BS81" i="36"/>
  <c r="BS88" i="36"/>
  <c r="BS93" i="36"/>
  <c r="BS100" i="36"/>
  <c r="BS105" i="36"/>
  <c r="BS112" i="36"/>
  <c r="BS117" i="36"/>
  <c r="BS73" i="36"/>
  <c r="BS79" i="36"/>
  <c r="BS84" i="36"/>
  <c r="BS91" i="36"/>
  <c r="BS96" i="36"/>
  <c r="BS103" i="36"/>
  <c r="BS108" i="36"/>
  <c r="BS115" i="36"/>
  <c r="BS120" i="36"/>
  <c r="BS124" i="36"/>
  <c r="BS127" i="36"/>
  <c r="BS129" i="36"/>
  <c r="BS130" i="36"/>
  <c r="BS132" i="36"/>
  <c r="BS148" i="36"/>
  <c r="BS151" i="36"/>
  <c r="BS153" i="36"/>
  <c r="BS154" i="36"/>
  <c r="BS156" i="36"/>
  <c r="BS162" i="36"/>
  <c r="BS169" i="36"/>
  <c r="BS69" i="36"/>
  <c r="BS147" i="36"/>
  <c r="BS75" i="36"/>
  <c r="BS87" i="36"/>
  <c r="BS99" i="36"/>
  <c r="BS111" i="36"/>
  <c r="BS123" i="36"/>
  <c r="BS136" i="36"/>
  <c r="BS139" i="36"/>
  <c r="BS141" i="36"/>
  <c r="BS142" i="36"/>
  <c r="BS144" i="36"/>
  <c r="BS82" i="36"/>
  <c r="BS159" i="36"/>
  <c r="BS160" i="36"/>
  <c r="BS171" i="36"/>
  <c r="BS178" i="36"/>
  <c r="BS180" i="36"/>
  <c r="BS184" i="36"/>
  <c r="BS189" i="36"/>
  <c r="BS193" i="36"/>
  <c r="BS198" i="36"/>
  <c r="BS205" i="36"/>
  <c r="BS210" i="36"/>
  <c r="BS217" i="36"/>
  <c r="BS222" i="36"/>
  <c r="BS118" i="36"/>
  <c r="BS174" i="36"/>
  <c r="BS187" i="36"/>
  <c r="BS196" i="36"/>
  <c r="BS201" i="36"/>
  <c r="BS208" i="36"/>
  <c r="BS213" i="36"/>
  <c r="BS220" i="36"/>
  <c r="BS225" i="36"/>
  <c r="BS234" i="36"/>
  <c r="BS106" i="36"/>
  <c r="BS172" i="36"/>
  <c r="BS177" i="36"/>
  <c r="BS181" i="36"/>
  <c r="BS183" i="36"/>
  <c r="BS190" i="36"/>
  <c r="BS192" i="36"/>
  <c r="BS199" i="36"/>
  <c r="BS204" i="36"/>
  <c r="BS211" i="36"/>
  <c r="BS216" i="36"/>
  <c r="BS223" i="36"/>
  <c r="BS228" i="36"/>
  <c r="BS232" i="36"/>
  <c r="BS237" i="36"/>
  <c r="BS135" i="36"/>
  <c r="BS163" i="36"/>
  <c r="BS186" i="36"/>
  <c r="BS207" i="36"/>
  <c r="BS226" i="36"/>
  <c r="BS243" i="36"/>
  <c r="BS250" i="36"/>
  <c r="BS168" i="36"/>
  <c r="BS202" i="36"/>
  <c r="BS231" i="36"/>
  <c r="BS238" i="36"/>
  <c r="BS241" i="36"/>
  <c r="BS246" i="36"/>
  <c r="BS253" i="36"/>
  <c r="BS235" i="36"/>
  <c r="BS240" i="36"/>
  <c r="BS165" i="36"/>
  <c r="BS195" i="36"/>
  <c r="BS219" i="36"/>
  <c r="BS244" i="36"/>
  <c r="BS249" i="36"/>
  <c r="BS94" i="36"/>
  <c r="BS166" i="36"/>
  <c r="BS175" i="36"/>
  <c r="BS214" i="36"/>
  <c r="BS229" i="36"/>
  <c r="BS247" i="36"/>
  <c r="BS252" i="36"/>
  <c r="BK58" i="36"/>
  <c r="BL57" i="36"/>
  <c r="N29" i="98"/>
  <c r="Z455" i="36"/>
  <c r="BP69" i="36"/>
  <c r="BP73" i="36"/>
  <c r="BP75" i="36"/>
  <c r="BP82" i="36"/>
  <c r="BP87" i="36"/>
  <c r="BP94" i="36"/>
  <c r="BP99" i="36"/>
  <c r="BP106" i="36"/>
  <c r="BP111" i="36"/>
  <c r="BP118" i="36"/>
  <c r="BP123" i="36"/>
  <c r="BP130" i="36"/>
  <c r="BP135" i="36"/>
  <c r="BP142" i="36"/>
  <c r="BP147" i="36"/>
  <c r="BP154" i="36"/>
  <c r="BP159" i="36"/>
  <c r="BP78" i="36"/>
  <c r="BP85" i="36"/>
  <c r="BP90" i="36"/>
  <c r="BP97" i="36"/>
  <c r="BP102" i="36"/>
  <c r="BP109" i="36"/>
  <c r="BP114" i="36"/>
  <c r="BP121" i="36"/>
  <c r="BP70" i="36"/>
  <c r="BP72" i="36"/>
  <c r="BP76" i="36"/>
  <c r="BP81" i="36"/>
  <c r="BP88" i="36"/>
  <c r="BP93" i="36"/>
  <c r="BP100" i="36"/>
  <c r="BP105" i="36"/>
  <c r="BP112" i="36"/>
  <c r="BP117" i="36"/>
  <c r="BP133" i="36"/>
  <c r="BP136" i="36"/>
  <c r="BP138" i="36"/>
  <c r="BP139" i="36"/>
  <c r="BP141" i="36"/>
  <c r="BP144" i="36"/>
  <c r="BP157" i="36"/>
  <c r="BP160" i="36"/>
  <c r="BP166" i="36"/>
  <c r="BP124" i="36"/>
  <c r="BP126" i="36"/>
  <c r="BP127" i="36"/>
  <c r="BP132" i="36"/>
  <c r="BP145" i="36"/>
  <c r="BP148" i="36"/>
  <c r="BP91" i="36"/>
  <c r="BP96" i="36"/>
  <c r="BP175" i="36"/>
  <c r="BP186" i="36"/>
  <c r="BP195" i="36"/>
  <c r="BP202" i="36"/>
  <c r="BP207" i="36"/>
  <c r="BP214" i="36"/>
  <c r="BP219" i="36"/>
  <c r="BP79" i="36"/>
  <c r="BP84" i="36"/>
  <c r="BP162" i="36"/>
  <c r="BP163" i="36"/>
  <c r="BP165" i="36"/>
  <c r="BP168" i="36"/>
  <c r="BP171" i="36"/>
  <c r="BP178" i="36"/>
  <c r="BP180" i="36"/>
  <c r="BP184" i="36"/>
  <c r="BP189" i="36"/>
  <c r="BP193" i="36"/>
  <c r="BP198" i="36"/>
  <c r="BP205" i="36"/>
  <c r="BP210" i="36"/>
  <c r="BP217" i="36"/>
  <c r="BP222" i="36"/>
  <c r="BP229" i="36"/>
  <c r="BP231" i="36"/>
  <c r="BP238" i="36"/>
  <c r="BP115" i="36"/>
  <c r="BP120" i="36"/>
  <c r="BP174" i="36"/>
  <c r="BP187" i="36"/>
  <c r="BP196" i="36"/>
  <c r="BP201" i="36"/>
  <c r="BP208" i="36"/>
  <c r="BP213" i="36"/>
  <c r="BP220" i="36"/>
  <c r="BP225" i="36"/>
  <c r="BP234" i="36"/>
  <c r="BP223" i="36"/>
  <c r="BP228" i="36"/>
  <c r="BP237" i="36"/>
  <c r="BP240" i="36"/>
  <c r="BP247" i="36"/>
  <c r="BP252" i="36"/>
  <c r="BP150" i="36"/>
  <c r="BP151" i="36"/>
  <c r="BP169" i="36"/>
  <c r="BP172" i="36"/>
  <c r="BP177" i="36"/>
  <c r="BP190" i="36"/>
  <c r="BP192" i="36"/>
  <c r="BP211" i="36"/>
  <c r="BP216" i="36"/>
  <c r="BP243" i="36"/>
  <c r="BP250" i="36"/>
  <c r="BP226" i="36"/>
  <c r="BP232" i="36"/>
  <c r="BP244" i="36"/>
  <c r="BP103" i="36"/>
  <c r="BP108" i="36"/>
  <c r="BP153" i="36"/>
  <c r="BP235" i="36"/>
  <c r="BP241" i="36"/>
  <c r="BP246" i="36"/>
  <c r="BP253" i="36"/>
  <c r="BP156" i="36"/>
  <c r="BP181" i="36"/>
  <c r="BP183" i="36"/>
  <c r="BP199" i="36"/>
  <c r="BP204" i="36"/>
  <c r="BP249" i="36"/>
  <c r="BX241" i="90"/>
  <c r="BM241" i="90" s="1"/>
  <c r="BT317" i="90"/>
  <c r="CC317" i="90"/>
  <c r="BR317" i="90" s="1"/>
  <c r="BT321" i="90"/>
  <c r="CC321" i="90"/>
  <c r="BT337" i="90"/>
  <c r="CC337" i="90"/>
  <c r="F12" i="90"/>
  <c r="J12" i="90"/>
  <c r="BX48" i="90"/>
  <c r="H11" i="90"/>
  <c r="BU49" i="90"/>
  <c r="E13" i="90"/>
  <c r="BY49" i="90"/>
  <c r="I13" i="90"/>
  <c r="BY325" i="90"/>
  <c r="BT336" i="90"/>
  <c r="BL336" i="90" s="1"/>
  <c r="CA336" i="90"/>
  <c r="BW48" i="90"/>
  <c r="G11" i="90"/>
  <c r="BU48" i="90"/>
  <c r="E11" i="90"/>
  <c r="BY48" i="90"/>
  <c r="I11" i="90"/>
  <c r="BV49" i="90"/>
  <c r="F13" i="90"/>
  <c r="BZ49" i="90"/>
  <c r="J13" i="90"/>
  <c r="BV245" i="90"/>
  <c r="BP245" i="90" s="1"/>
  <c r="BT331" i="90"/>
  <c r="BK331" i="90" s="1"/>
  <c r="CA331" i="90"/>
  <c r="BT339" i="90"/>
  <c r="BK339" i="90" s="1"/>
  <c r="CB339" i="90"/>
  <c r="F11" i="90"/>
  <c r="J11" i="90"/>
  <c r="BW49" i="90"/>
  <c r="G13" i="90"/>
  <c r="BZ52" i="90"/>
  <c r="BW53" i="90"/>
  <c r="BX238" i="90"/>
  <c r="BN238" i="90" s="1"/>
  <c r="BX242" i="90"/>
  <c r="BZ320" i="90"/>
  <c r="BQ320" i="90" s="1"/>
  <c r="BJ331" i="90"/>
  <c r="BZ332" i="90"/>
  <c r="BT338" i="90"/>
  <c r="BJ338" i="90" s="1"/>
  <c r="CB338" i="90"/>
  <c r="CB45" i="90" s="1"/>
  <c r="BO243" i="90"/>
  <c r="BR245" i="90"/>
  <c r="BI245" i="90"/>
  <c r="BM245" i="90"/>
  <c r="BN246" i="90"/>
  <c r="BO247" i="90"/>
  <c r="BP309" i="90"/>
  <c r="BR309" i="90"/>
  <c r="BQ309" i="90"/>
  <c r="BI309" i="90"/>
  <c r="BM309" i="90"/>
  <c r="BN310" i="90"/>
  <c r="BO311" i="90"/>
  <c r="BP313" i="90"/>
  <c r="BR313" i="90"/>
  <c r="BQ313" i="90"/>
  <c r="BI313" i="90"/>
  <c r="BM313" i="90"/>
  <c r="BN314" i="90"/>
  <c r="BO315" i="90"/>
  <c r="BI317" i="90"/>
  <c r="BN318" i="90"/>
  <c r="BO319" i="90"/>
  <c r="BP321" i="90"/>
  <c r="BR321" i="90"/>
  <c r="BQ321" i="90"/>
  <c r="BI321" i="90"/>
  <c r="BM321" i="90"/>
  <c r="BN322" i="90"/>
  <c r="BO323" i="90"/>
  <c r="BP325" i="90"/>
  <c r="BR325" i="90"/>
  <c r="BQ325" i="90"/>
  <c r="BI325" i="90"/>
  <c r="BM325" i="90"/>
  <c r="BN326" i="90"/>
  <c r="BO327" i="90"/>
  <c r="BP329" i="90"/>
  <c r="BR329" i="90"/>
  <c r="BQ329" i="90"/>
  <c r="BI329" i="90"/>
  <c r="BM329" i="90"/>
  <c r="BN330" i="90"/>
  <c r="BO331" i="90"/>
  <c r="BP333" i="90"/>
  <c r="BR333" i="90"/>
  <c r="BQ333" i="90"/>
  <c r="BI333" i="90"/>
  <c r="BM333" i="90"/>
  <c r="BN334" i="90"/>
  <c r="BO335" i="90"/>
  <c r="BP337" i="90"/>
  <c r="BR337" i="90"/>
  <c r="BQ337" i="90"/>
  <c r="BI337" i="90"/>
  <c r="BM337" i="90"/>
  <c r="BN338" i="90"/>
  <c r="BO339" i="90"/>
  <c r="BK238" i="90"/>
  <c r="BO238" i="90"/>
  <c r="BP240" i="90"/>
  <c r="BR240" i="90"/>
  <c r="BQ240" i="90"/>
  <c r="BI240" i="90"/>
  <c r="BM240" i="90"/>
  <c r="BJ241" i="90"/>
  <c r="BN241" i="90"/>
  <c r="BL243" i="90"/>
  <c r="BP244" i="90"/>
  <c r="BR244" i="90"/>
  <c r="BQ244" i="90"/>
  <c r="BI244" i="90"/>
  <c r="BM244" i="90"/>
  <c r="BJ245" i="90"/>
  <c r="BN245" i="90"/>
  <c r="BK246" i="90"/>
  <c r="BO246" i="90"/>
  <c r="BL247" i="90"/>
  <c r="BP248" i="90"/>
  <c r="BR248" i="90"/>
  <c r="BQ248" i="90"/>
  <c r="BI248" i="90"/>
  <c r="BM248" i="90"/>
  <c r="BJ309" i="90"/>
  <c r="BN309" i="90"/>
  <c r="BK310" i="90"/>
  <c r="BO310" i="90"/>
  <c r="BL311" i="90"/>
  <c r="BP312" i="90"/>
  <c r="BR312" i="90"/>
  <c r="BQ312" i="90"/>
  <c r="BI312" i="90"/>
  <c r="BM312" i="90"/>
  <c r="BJ313" i="90"/>
  <c r="BN313" i="90"/>
  <c r="BK314" i="90"/>
  <c r="BO314" i="90"/>
  <c r="BL315" i="90"/>
  <c r="BP316" i="90"/>
  <c r="BR316" i="90"/>
  <c r="BQ316" i="90"/>
  <c r="BI316" i="90"/>
  <c r="BM316" i="90"/>
  <c r="BJ317" i="90"/>
  <c r="BK318" i="90"/>
  <c r="BO318" i="90"/>
  <c r="BL319" i="90"/>
  <c r="BP320" i="90"/>
  <c r="BI320" i="90"/>
  <c r="BM320" i="90"/>
  <c r="BJ321" i="90"/>
  <c r="BN321" i="90"/>
  <c r="BK322" i="90"/>
  <c r="BO322" i="90"/>
  <c r="BL323" i="90"/>
  <c r="BP324" i="90"/>
  <c r="BR324" i="90"/>
  <c r="BQ324" i="90"/>
  <c r="BI324" i="90"/>
  <c r="BM324" i="90"/>
  <c r="BJ325" i="90"/>
  <c r="BN325" i="90"/>
  <c r="BK326" i="90"/>
  <c r="BO326" i="90"/>
  <c r="BL327" i="90"/>
  <c r="BP328" i="90"/>
  <c r="BR328" i="90"/>
  <c r="BQ328" i="90"/>
  <c r="BI328" i="90"/>
  <c r="BM328" i="90"/>
  <c r="BJ329" i="90"/>
  <c r="BN329" i="90"/>
  <c r="BK330" i="90"/>
  <c r="BO330" i="90"/>
  <c r="BL331" i="90"/>
  <c r="BP332" i="90"/>
  <c r="BR332" i="90"/>
  <c r="BQ332" i="90"/>
  <c r="BI332" i="90"/>
  <c r="BM332" i="90"/>
  <c r="BJ333" i="90"/>
  <c r="BN333" i="90"/>
  <c r="BK334" i="90"/>
  <c r="BO334" i="90"/>
  <c r="BL335" i="90"/>
  <c r="BP336" i="90"/>
  <c r="BI336" i="90"/>
  <c r="BM336" i="90"/>
  <c r="BJ337" i="90"/>
  <c r="BN337" i="90"/>
  <c r="BK338" i="90"/>
  <c r="BO338" i="90"/>
  <c r="BL339" i="90"/>
  <c r="BP241" i="90"/>
  <c r="BR241" i="90"/>
  <c r="BQ241" i="90"/>
  <c r="BI241" i="90"/>
  <c r="BL238" i="90"/>
  <c r="BJ240" i="90"/>
  <c r="BN240" i="90"/>
  <c r="BK241" i="90"/>
  <c r="BO241" i="90"/>
  <c r="BP243" i="90"/>
  <c r="BR243" i="90"/>
  <c r="BQ243" i="90"/>
  <c r="BI243" i="90"/>
  <c r="BM243" i="90"/>
  <c r="BJ244" i="90"/>
  <c r="BN244" i="90"/>
  <c r="BK245" i="90"/>
  <c r="BO245" i="90"/>
  <c r="BL246" i="90"/>
  <c r="BP247" i="90"/>
  <c r="BR247" i="90"/>
  <c r="BQ247" i="90"/>
  <c r="BI247" i="90"/>
  <c r="BM247" i="90"/>
  <c r="BJ248" i="90"/>
  <c r="BN248" i="90"/>
  <c r="BK309" i="90"/>
  <c r="BO309" i="90"/>
  <c r="BL310" i="90"/>
  <c r="BP311" i="90"/>
  <c r="BR311" i="90"/>
  <c r="BQ311" i="90"/>
  <c r="BI311" i="90"/>
  <c r="BM311" i="90"/>
  <c r="BJ312" i="90"/>
  <c r="BN312" i="90"/>
  <c r="BK313" i="90"/>
  <c r="BO313" i="90"/>
  <c r="BL314" i="90"/>
  <c r="BP315" i="90"/>
  <c r="BR315" i="90"/>
  <c r="BQ315" i="90"/>
  <c r="BI315" i="90"/>
  <c r="BM315" i="90"/>
  <c r="BJ316" i="90"/>
  <c r="BN316" i="90"/>
  <c r="BK317" i="90"/>
  <c r="BL318" i="90"/>
  <c r="BP319" i="90"/>
  <c r="BR319" i="90"/>
  <c r="BQ319" i="90"/>
  <c r="BI319" i="90"/>
  <c r="BM319" i="90"/>
  <c r="BJ320" i="90"/>
  <c r="BN320" i="90"/>
  <c r="BK321" i="90"/>
  <c r="BO321" i="90"/>
  <c r="BL322" i="90"/>
  <c r="BP323" i="90"/>
  <c r="BR323" i="90"/>
  <c r="BQ323" i="90"/>
  <c r="BI323" i="90"/>
  <c r="BM323" i="90"/>
  <c r="BJ324" i="90"/>
  <c r="BN324" i="90"/>
  <c r="BK325" i="90"/>
  <c r="BO325" i="90"/>
  <c r="BL326" i="90"/>
  <c r="BP327" i="90"/>
  <c r="BR327" i="90"/>
  <c r="BQ327" i="90"/>
  <c r="BI327" i="90"/>
  <c r="BM327" i="90"/>
  <c r="BJ328" i="90"/>
  <c r="BN328" i="90"/>
  <c r="BK329" i="90"/>
  <c r="BO329" i="90"/>
  <c r="BL330" i="90"/>
  <c r="BP331" i="90"/>
  <c r="BR331" i="90"/>
  <c r="BQ331" i="90"/>
  <c r="BI331" i="90"/>
  <c r="BM331" i="90"/>
  <c r="BN332" i="90"/>
  <c r="BK333" i="90"/>
  <c r="BO333" i="90"/>
  <c r="BL334" i="90"/>
  <c r="BP335" i="90"/>
  <c r="BR335" i="90"/>
  <c r="BQ335" i="90"/>
  <c r="BI335" i="90"/>
  <c r="BM335" i="90"/>
  <c r="BJ336" i="90"/>
  <c r="BN336" i="90"/>
  <c r="BK337" i="90"/>
  <c r="BO337" i="90"/>
  <c r="BL338" i="90"/>
  <c r="BP339" i="90"/>
  <c r="BR339" i="90"/>
  <c r="BQ339" i="90"/>
  <c r="BI339" i="90"/>
  <c r="BM339" i="90"/>
  <c r="BP238" i="90"/>
  <c r="BR238" i="90"/>
  <c r="BQ238" i="90"/>
  <c r="BI238" i="90"/>
  <c r="BM238" i="90"/>
  <c r="BK240" i="90"/>
  <c r="BO240" i="90"/>
  <c r="BL241" i="90"/>
  <c r="BN243" i="90"/>
  <c r="BK244" i="90"/>
  <c r="BO244" i="90"/>
  <c r="BL245" i="90"/>
  <c r="BP246" i="90"/>
  <c r="BR246" i="90"/>
  <c r="BQ246" i="90"/>
  <c r="BI246" i="90"/>
  <c r="BM246" i="90"/>
  <c r="BN247" i="90"/>
  <c r="BK248" i="90"/>
  <c r="BO248" i="90"/>
  <c r="BL309" i="90"/>
  <c r="BP310" i="90"/>
  <c r="BR310" i="90"/>
  <c r="BQ310" i="90"/>
  <c r="BI310" i="90"/>
  <c r="BM310" i="90"/>
  <c r="BN311" i="90"/>
  <c r="BK312" i="90"/>
  <c r="BO312" i="90"/>
  <c r="BL313" i="90"/>
  <c r="BP314" i="90"/>
  <c r="BR314" i="90"/>
  <c r="BQ314" i="90"/>
  <c r="BI314" i="90"/>
  <c r="BM314" i="90"/>
  <c r="BN315" i="90"/>
  <c r="BK316" i="90"/>
  <c r="BO316" i="90"/>
  <c r="BL317" i="90"/>
  <c r="BP318" i="90"/>
  <c r="BR318" i="90"/>
  <c r="BQ318" i="90"/>
  <c r="BI318" i="90"/>
  <c r="BM318" i="90"/>
  <c r="BN319" i="90"/>
  <c r="BK320" i="90"/>
  <c r="BL321" i="90"/>
  <c r="BP322" i="90"/>
  <c r="BR322" i="90"/>
  <c r="BQ322" i="90"/>
  <c r="BI322" i="90"/>
  <c r="BM322" i="90"/>
  <c r="BN323" i="90"/>
  <c r="BK324" i="90"/>
  <c r="BO324" i="90"/>
  <c r="BL325" i="90"/>
  <c r="BP326" i="90"/>
  <c r="BR326" i="90"/>
  <c r="BQ326" i="90"/>
  <c r="BI326" i="90"/>
  <c r="BM326" i="90"/>
  <c r="BN327" i="90"/>
  <c r="BK328" i="90"/>
  <c r="BO328" i="90"/>
  <c r="BL329" i="90"/>
  <c r="BP330" i="90"/>
  <c r="BR330" i="90"/>
  <c r="BQ330" i="90"/>
  <c r="BI330" i="90"/>
  <c r="BM330" i="90"/>
  <c r="BN331" i="90"/>
  <c r="BO332" i="90"/>
  <c r="BL333" i="90"/>
  <c r="BP334" i="90"/>
  <c r="BR334" i="90"/>
  <c r="BQ334" i="90"/>
  <c r="BI334" i="90"/>
  <c r="BM334" i="90"/>
  <c r="BN335" i="90"/>
  <c r="BK336" i="90"/>
  <c r="BO336" i="90"/>
  <c r="BL337" i="90"/>
  <c r="BP338" i="90"/>
  <c r="BR338" i="90"/>
  <c r="BQ338" i="90"/>
  <c r="BI338" i="90"/>
  <c r="BM338" i="90"/>
  <c r="BN339" i="90"/>
  <c r="BP52" i="90"/>
  <c r="BR52" i="90"/>
  <c r="BQ52" i="90"/>
  <c r="BI52" i="90"/>
  <c r="BM52" i="90"/>
  <c r="BK54" i="90"/>
  <c r="BO54" i="90"/>
  <c r="BN52" i="90"/>
  <c r="BL54" i="90"/>
  <c r="BI46" i="90"/>
  <c r="BI50" i="90"/>
  <c r="BK52" i="90"/>
  <c r="BO52" i="90"/>
  <c r="BP54" i="90"/>
  <c r="BR54" i="90"/>
  <c r="BQ54" i="90"/>
  <c r="BI54" i="90"/>
  <c r="BM54" i="90"/>
  <c r="M29" i="98"/>
  <c r="F30" i="98"/>
  <c r="H30" i="98"/>
  <c r="N30" i="98"/>
  <c r="J30" i="98"/>
  <c r="AC90" i="98"/>
  <c r="AC17" i="98"/>
  <c r="AC40" i="98" s="1"/>
  <c r="M71" i="98"/>
  <c r="M79" i="98" s="1"/>
  <c r="M87" i="98" s="1"/>
  <c r="M100" i="98" s="1"/>
  <c r="M104" i="98" s="1"/>
  <c r="R29" i="98"/>
  <c r="P29" i="98"/>
  <c r="N71" i="98"/>
  <c r="N79" i="98" s="1"/>
  <c r="N87" i="98" s="1"/>
  <c r="N100" i="98" s="1"/>
  <c r="N104" i="98" s="1"/>
  <c r="AE90" i="98"/>
  <c r="AE17" i="98"/>
  <c r="AE40" i="98" s="1"/>
  <c r="L71" i="98"/>
  <c r="L79" i="98" s="1"/>
  <c r="L87" i="98" s="1"/>
  <c r="L100" i="98" s="1"/>
  <c r="L104" i="98" s="1"/>
  <c r="L29" i="98"/>
  <c r="G30" i="98"/>
  <c r="K30" i="98"/>
  <c r="Q30" i="98"/>
  <c r="AE41" i="57"/>
  <c r="AE42" i="57" s="1"/>
  <c r="AF90" i="98"/>
  <c r="AF17" i="98"/>
  <c r="AF40" i="98" s="1"/>
  <c r="K71" i="98"/>
  <c r="K79" i="98" s="1"/>
  <c r="K87" i="98" s="1"/>
  <c r="K100" i="98" s="1"/>
  <c r="K104" i="98" s="1"/>
  <c r="AD90" i="98"/>
  <c r="AD17" i="98"/>
  <c r="AD40" i="98" s="1"/>
  <c r="BM386" i="36"/>
  <c r="AJ14" i="36"/>
  <c r="BO443" i="57"/>
  <c r="BV437" i="57"/>
  <c r="BQ437" i="57"/>
  <c r="BM437" i="57"/>
  <c r="BO431" i="57"/>
  <c r="BU425" i="57"/>
  <c r="BO419" i="57"/>
  <c r="BK407" i="57"/>
  <c r="BO395" i="57"/>
  <c r="BV389" i="57"/>
  <c r="BM389" i="57"/>
  <c r="BN380" i="57"/>
  <c r="BN368" i="57"/>
  <c r="BV365" i="57"/>
  <c r="BM365" i="57"/>
  <c r="BK359" i="57"/>
  <c r="BR356" i="57"/>
  <c r="BN356" i="57"/>
  <c r="BU353" i="57"/>
  <c r="BS347" i="57"/>
  <c r="BO347" i="57"/>
  <c r="BV341" i="57"/>
  <c r="BM341" i="57"/>
  <c r="BU329" i="57"/>
  <c r="BO323" i="57"/>
  <c r="BV317" i="57"/>
  <c r="BQ317" i="57"/>
  <c r="BK311" i="57"/>
  <c r="BN308" i="57"/>
  <c r="BU305" i="57"/>
  <c r="BV293" i="57"/>
  <c r="BM293" i="57"/>
  <c r="BR284" i="57"/>
  <c r="BU281" i="57"/>
  <c r="BO275" i="57"/>
  <c r="BN272" i="57"/>
  <c r="BV269" i="57"/>
  <c r="BM269" i="57"/>
  <c r="BK263" i="57"/>
  <c r="BU257" i="57"/>
  <c r="BT254" i="57"/>
  <c r="BV245" i="57"/>
  <c r="BM245" i="57"/>
  <c r="BK239" i="57"/>
  <c r="BR236" i="57"/>
  <c r="BN236" i="57"/>
  <c r="BU233" i="57"/>
  <c r="BT230" i="57"/>
  <c r="BL230" i="57"/>
  <c r="BO227" i="57"/>
  <c r="BV221" i="57"/>
  <c r="BQ221" i="57"/>
  <c r="BM221" i="57"/>
  <c r="BP218" i="57"/>
  <c r="BK215" i="57"/>
  <c r="BR212" i="57"/>
  <c r="BN212" i="57"/>
  <c r="BU209" i="57"/>
  <c r="BT206" i="57"/>
  <c r="BS203" i="57"/>
  <c r="BV197" i="57"/>
  <c r="BQ197" i="57"/>
  <c r="BM197" i="57"/>
  <c r="BP194" i="57"/>
  <c r="BK191" i="57"/>
  <c r="BR188" i="57"/>
  <c r="BN188" i="57"/>
  <c r="BU185" i="57"/>
  <c r="BM173" i="57"/>
  <c r="BL170" i="57"/>
  <c r="BK167" i="57"/>
  <c r="BT158" i="57"/>
  <c r="BL158" i="57"/>
  <c r="BO155" i="57"/>
  <c r="BN152" i="57"/>
  <c r="BV149" i="57"/>
  <c r="BQ149" i="57"/>
  <c r="BM149" i="57"/>
  <c r="BP146" i="57"/>
  <c r="BO143" i="57"/>
  <c r="BR140" i="57"/>
  <c r="BN140" i="57"/>
  <c r="BU137" i="57"/>
  <c r="BT134" i="57"/>
  <c r="BS131" i="57"/>
  <c r="BO131" i="57"/>
  <c r="BM125" i="57"/>
  <c r="BL122" i="57"/>
  <c r="BK119" i="57"/>
  <c r="BU113" i="57"/>
  <c r="BT110" i="57"/>
  <c r="BV101" i="57"/>
  <c r="BQ101" i="57"/>
  <c r="BM101" i="57"/>
  <c r="BP98" i="57"/>
  <c r="BO95" i="57"/>
  <c r="BN92" i="57"/>
  <c r="BS83" i="57"/>
  <c r="BO83" i="57"/>
  <c r="BL74" i="57"/>
  <c r="AV59" i="57"/>
  <c r="BK71" i="57"/>
  <c r="BQ443" i="57"/>
  <c r="BT440" i="57"/>
  <c r="BO425" i="57"/>
  <c r="BR422" i="57"/>
  <c r="BN410" i="57"/>
  <c r="BV407" i="57"/>
  <c r="BL404" i="57"/>
  <c r="BV395" i="57"/>
  <c r="BU383" i="57"/>
  <c r="BS377" i="57"/>
  <c r="BL368" i="57"/>
  <c r="BV359" i="57"/>
  <c r="BM359" i="57"/>
  <c r="BT356" i="57"/>
  <c r="BO353" i="57"/>
  <c r="BN350" i="57"/>
  <c r="BL344" i="57"/>
  <c r="BO341" i="57"/>
  <c r="BV335" i="57"/>
  <c r="BK329" i="57"/>
  <c r="BM299" i="57"/>
  <c r="BN290" i="57"/>
  <c r="BU263" i="57"/>
  <c r="BS257" i="57"/>
  <c r="BR254" i="57"/>
  <c r="BU251" i="57"/>
  <c r="BV239" i="57"/>
  <c r="BP236" i="57"/>
  <c r="BV203" i="57"/>
  <c r="BL200" i="57"/>
  <c r="BV191" i="57"/>
  <c r="BP188" i="57"/>
  <c r="BM155" i="57"/>
  <c r="BU143" i="57"/>
  <c r="BN110" i="57"/>
  <c r="BU107" i="57"/>
  <c r="BK77" i="57"/>
  <c r="AT59" i="57"/>
  <c r="BS440" i="57"/>
  <c r="BL419" i="57"/>
  <c r="BR413" i="57"/>
  <c r="BU410" i="57"/>
  <c r="BK404" i="57"/>
  <c r="BV398" i="57"/>
  <c r="BT383" i="57"/>
  <c r="BP347" i="57"/>
  <c r="BL335" i="57"/>
  <c r="BO296" i="57"/>
  <c r="BV278" i="57"/>
  <c r="BL275" i="57"/>
  <c r="BO272" i="57"/>
  <c r="BP263" i="57"/>
  <c r="BM242" i="57"/>
  <c r="BO236" i="57"/>
  <c r="BP227" i="57"/>
  <c r="BO224" i="57"/>
  <c r="BP203" i="57"/>
  <c r="BK188" i="57"/>
  <c r="BQ170" i="57"/>
  <c r="BT167" i="57"/>
  <c r="BM158" i="57"/>
  <c r="BN149" i="57"/>
  <c r="BM146" i="57"/>
  <c r="BT119" i="57"/>
  <c r="BO116" i="57"/>
  <c r="BO104" i="57"/>
  <c r="BQ86" i="57"/>
  <c r="BR443" i="57"/>
  <c r="BT437" i="57"/>
  <c r="BL437" i="57"/>
  <c r="BQ428" i="57"/>
  <c r="BT425" i="57"/>
  <c r="BP425" i="57"/>
  <c r="BS422" i="57"/>
  <c r="BT413" i="57"/>
  <c r="BS410" i="57"/>
  <c r="BP401" i="57"/>
  <c r="BS398" i="57"/>
  <c r="BV392" i="57"/>
  <c r="BQ392" i="57"/>
  <c r="BL389" i="57"/>
  <c r="BK386" i="57"/>
  <c r="BN383" i="57"/>
  <c r="BP377" i="57"/>
  <c r="BR371" i="57"/>
  <c r="BV368" i="57"/>
  <c r="BT365" i="57"/>
  <c r="BR359" i="57"/>
  <c r="BN359" i="57"/>
  <c r="BT353" i="57"/>
  <c r="BP353" i="57"/>
  <c r="BT341" i="57"/>
  <c r="BK338" i="57"/>
  <c r="BR335" i="57"/>
  <c r="BN335" i="57"/>
  <c r="BQ332" i="57"/>
  <c r="BP329" i="57"/>
  <c r="BO326" i="57"/>
  <c r="BR323" i="57"/>
  <c r="BT317" i="57"/>
  <c r="BL317" i="57"/>
  <c r="BU308" i="57"/>
  <c r="BS302" i="57"/>
  <c r="BR299" i="57"/>
  <c r="BQ296" i="57"/>
  <c r="BM296" i="57"/>
  <c r="BT293" i="57"/>
  <c r="BL293" i="57"/>
  <c r="BQ284" i="57"/>
  <c r="BT281" i="57"/>
  <c r="BP281" i="57"/>
  <c r="BS278" i="57"/>
  <c r="BO278" i="57"/>
  <c r="BM272" i="57"/>
  <c r="BT269" i="57"/>
  <c r="BL269" i="57"/>
  <c r="BK266" i="57"/>
  <c r="BQ260" i="57"/>
  <c r="BP257" i="57"/>
  <c r="BO254" i="57"/>
  <c r="BR251" i="57"/>
  <c r="BQ248" i="57"/>
  <c r="BM248" i="57"/>
  <c r="BR239" i="57"/>
  <c r="BN239" i="57"/>
  <c r="BQ236" i="57"/>
  <c r="BT233" i="57"/>
  <c r="BT221" i="57"/>
  <c r="BL221" i="57"/>
  <c r="BS218" i="57"/>
  <c r="BN215" i="57"/>
  <c r="BU212" i="57"/>
  <c r="BP209" i="57"/>
  <c r="BO206" i="57"/>
  <c r="BL197" i="57"/>
  <c r="BN191" i="57"/>
  <c r="BU188" i="57"/>
  <c r="BT185" i="57"/>
  <c r="BS182" i="57"/>
  <c r="BR179" i="57"/>
  <c r="BV176" i="57"/>
  <c r="BQ176" i="57"/>
  <c r="BL173" i="57"/>
  <c r="BN167" i="57"/>
  <c r="BQ164" i="57"/>
  <c r="BT161" i="57"/>
  <c r="BR155" i="57"/>
  <c r="BV152" i="57"/>
  <c r="BQ152" i="57"/>
  <c r="BM152" i="57"/>
  <c r="BT149" i="57"/>
  <c r="BS146" i="57"/>
  <c r="BU140" i="57"/>
  <c r="BP137" i="57"/>
  <c r="BO134" i="57"/>
  <c r="BQ128" i="57"/>
  <c r="BM128" i="57"/>
  <c r="BT125" i="57"/>
  <c r="BL125" i="57"/>
  <c r="BQ116" i="57"/>
  <c r="BP113" i="57"/>
  <c r="BR107" i="57"/>
  <c r="BT101" i="57"/>
  <c r="BL101" i="57"/>
  <c r="BS98" i="57"/>
  <c r="BU92" i="57"/>
  <c r="BP89" i="57"/>
  <c r="BO86" i="57"/>
  <c r="BT77" i="57"/>
  <c r="BN71" i="57"/>
  <c r="BP440" i="57"/>
  <c r="BT428" i="57"/>
  <c r="BP416" i="57"/>
  <c r="BO389" i="57"/>
  <c r="BQ383" i="57"/>
  <c r="BR362" i="57"/>
  <c r="BQ359" i="57"/>
  <c r="BS353" i="57"/>
  <c r="BK353" i="57"/>
  <c r="BV347" i="57"/>
  <c r="BM347" i="57"/>
  <c r="BO329" i="57"/>
  <c r="BN314" i="57"/>
  <c r="BV311" i="57"/>
  <c r="BL308" i="57"/>
  <c r="BS305" i="57"/>
  <c r="BP296" i="57"/>
  <c r="BM275" i="57"/>
  <c r="BN266" i="57"/>
  <c r="BO257" i="57"/>
  <c r="BR230" i="57"/>
  <c r="BV227" i="57"/>
  <c r="BP224" i="57"/>
  <c r="BR218" i="57"/>
  <c r="BM215" i="57"/>
  <c r="BR206" i="57"/>
  <c r="BT200" i="57"/>
  <c r="BM191" i="57"/>
  <c r="BO173" i="57"/>
  <c r="BK149" i="57"/>
  <c r="BT128" i="57"/>
  <c r="BQ119" i="57"/>
  <c r="BQ107" i="57"/>
  <c r="BU95" i="57"/>
  <c r="BO89" i="57"/>
  <c r="BN86" i="57"/>
  <c r="BU71" i="57"/>
  <c r="BK440" i="57"/>
  <c r="BU434" i="57"/>
  <c r="BQ422" i="57"/>
  <c r="BQ398" i="57"/>
  <c r="BT395" i="57"/>
  <c r="BQ374" i="57"/>
  <c r="BM362" i="57"/>
  <c r="BS344" i="57"/>
  <c r="BP335" i="57"/>
  <c r="BS308" i="57"/>
  <c r="BK308" i="57"/>
  <c r="BK296" i="57"/>
  <c r="BN281" i="57"/>
  <c r="BS272" i="57"/>
  <c r="BL263" i="57"/>
  <c r="BV254" i="57"/>
  <c r="BP239" i="57"/>
  <c r="BM230" i="57"/>
  <c r="BR221" i="57"/>
  <c r="BL191" i="57"/>
  <c r="BM170" i="57"/>
  <c r="BU146" i="57"/>
  <c r="BQ134" i="57"/>
  <c r="BP119" i="57"/>
  <c r="BK401" i="57"/>
  <c r="BM383" i="57"/>
  <c r="BP368" i="57"/>
  <c r="BS329" i="57"/>
  <c r="BM311" i="57"/>
  <c r="BS293" i="57"/>
  <c r="BL248" i="57"/>
  <c r="BM239" i="57"/>
  <c r="BN230" i="57"/>
  <c r="BL224" i="57"/>
  <c r="BK197" i="57"/>
  <c r="BV167" i="57"/>
  <c r="BN158" i="57"/>
  <c r="BQ155" i="57"/>
  <c r="BT152" i="57"/>
  <c r="BP140" i="57"/>
  <c r="BM131" i="57"/>
  <c r="BU119" i="57"/>
  <c r="BP104" i="57"/>
  <c r="BN98" i="57"/>
  <c r="BT92" i="57"/>
  <c r="BN437" i="57"/>
  <c r="BM434" i="57"/>
  <c r="BN401" i="57"/>
  <c r="BK332" i="57"/>
  <c r="BM314" i="57"/>
  <c r="BQ302" i="57"/>
  <c r="BT299" i="57"/>
  <c r="BP287" i="57"/>
  <c r="BK272" i="57"/>
  <c r="BQ254" i="57"/>
  <c r="BU242" i="57"/>
  <c r="BT215" i="57"/>
  <c r="BR197" i="57"/>
  <c r="BU170" i="57"/>
  <c r="BK164" i="57"/>
  <c r="BV158" i="57"/>
  <c r="BP143" i="57"/>
  <c r="BV134" i="57"/>
  <c r="BV122" i="57"/>
  <c r="BS116" i="57"/>
  <c r="BN101" i="57"/>
  <c r="BR89" i="57"/>
  <c r="BN77" i="57"/>
  <c r="BP71" i="57"/>
  <c r="BK128" i="57"/>
  <c r="BN89" i="57"/>
  <c r="BV86" i="57"/>
  <c r="BU74" i="57"/>
  <c r="V455" i="57"/>
  <c r="BS443" i="57"/>
  <c r="BN440" i="57"/>
  <c r="BP434" i="57"/>
  <c r="BR428" i="57"/>
  <c r="BV425" i="57"/>
  <c r="BS419" i="57"/>
  <c r="BR416" i="57"/>
  <c r="BN416" i="57"/>
  <c r="BU413" i="57"/>
  <c r="BP410" i="57"/>
  <c r="BT398" i="57"/>
  <c r="BL398" i="57"/>
  <c r="BN392" i="57"/>
  <c r="BT386" i="57"/>
  <c r="BP386" i="57"/>
  <c r="BO383" i="57"/>
  <c r="BR380" i="57"/>
  <c r="BV377" i="57"/>
  <c r="BQ377" i="57"/>
  <c r="BM377" i="57"/>
  <c r="BL374" i="57"/>
  <c r="BR368" i="57"/>
  <c r="BP362" i="57"/>
  <c r="BT350" i="57"/>
  <c r="BL350" i="57"/>
  <c r="BR344" i="57"/>
  <c r="BN344" i="57"/>
  <c r="BP338" i="57"/>
  <c r="BV329" i="57"/>
  <c r="BQ329" i="57"/>
  <c r="BM329" i="57"/>
  <c r="BL326" i="57"/>
  <c r="BS323" i="57"/>
  <c r="BU317" i="57"/>
  <c r="BP314" i="57"/>
  <c r="BO311" i="57"/>
  <c r="BV305" i="57"/>
  <c r="BQ305" i="57"/>
  <c r="BT302" i="57"/>
  <c r="BL302" i="57"/>
  <c r="BK299" i="57"/>
  <c r="BQ293" i="57"/>
  <c r="BP290" i="57"/>
  <c r="BO287" i="57"/>
  <c r="BQ269" i="57"/>
  <c r="BP266" i="57"/>
  <c r="BV257" i="57"/>
  <c r="BK251" i="57"/>
  <c r="BN248" i="57"/>
  <c r="BQ245" i="57"/>
  <c r="BP242" i="57"/>
  <c r="BS227" i="57"/>
  <c r="BN224" i="57"/>
  <c r="BT218" i="57"/>
  <c r="BL206" i="57"/>
  <c r="BK203" i="57"/>
  <c r="BU197" i="57"/>
  <c r="BT194" i="57"/>
  <c r="BO191" i="57"/>
  <c r="BL182" i="57"/>
  <c r="BS179" i="57"/>
  <c r="BN176" i="57"/>
  <c r="BQ173" i="57"/>
  <c r="BP170" i="57"/>
  <c r="BV161" i="57"/>
  <c r="BQ161" i="57"/>
  <c r="BM161" i="57"/>
  <c r="BS155" i="57"/>
  <c r="BR152" i="57"/>
  <c r="BT146" i="57"/>
  <c r="BS143" i="57"/>
  <c r="BM137" i="57"/>
  <c r="BL134" i="57"/>
  <c r="BN128" i="57"/>
  <c r="BQ125" i="57"/>
  <c r="BP122" i="57"/>
  <c r="BV113" i="57"/>
  <c r="BL110" i="57"/>
  <c r="BK107" i="57"/>
  <c r="BT98" i="57"/>
  <c r="BS95" i="57"/>
  <c r="BV89" i="57"/>
  <c r="BM89" i="57"/>
  <c r="BT86" i="57"/>
  <c r="BU77" i="57"/>
  <c r="BP74" i="57"/>
  <c r="AZ59" i="57"/>
  <c r="BO71" i="57"/>
  <c r="BV419" i="57"/>
  <c r="BT416" i="57"/>
  <c r="BS413" i="57"/>
  <c r="BR398" i="57"/>
  <c r="BL392" i="57"/>
  <c r="BS389" i="57"/>
  <c r="BL380" i="57"/>
  <c r="BN374" i="57"/>
  <c r="BU371" i="57"/>
  <c r="BO365" i="57"/>
  <c r="BN362" i="57"/>
  <c r="BL356" i="57"/>
  <c r="BT344" i="57"/>
  <c r="BR338" i="57"/>
  <c r="BL332" i="57"/>
  <c r="BR314" i="57"/>
  <c r="BT308" i="57"/>
  <c r="BR302" i="57"/>
  <c r="BM287" i="57"/>
  <c r="BO281" i="57"/>
  <c r="BN278" i="57"/>
  <c r="BT272" i="57"/>
  <c r="BV251" i="57"/>
  <c r="BP248" i="57"/>
  <c r="BU239" i="57"/>
  <c r="BL236" i="57"/>
  <c r="BO221" i="57"/>
  <c r="BV215" i="57"/>
  <c r="BP212" i="57"/>
  <c r="BN206" i="57"/>
  <c r="BM203" i="57"/>
  <c r="BR194" i="57"/>
  <c r="BK185" i="57"/>
  <c r="BV179" i="57"/>
  <c r="BP176" i="57"/>
  <c r="BQ167" i="57"/>
  <c r="BM167" i="57"/>
  <c r="BV143" i="57"/>
  <c r="BO137" i="57"/>
  <c r="BR134" i="57"/>
  <c r="BU131" i="57"/>
  <c r="BP116" i="57"/>
  <c r="BR110" i="57"/>
  <c r="BK101" i="57"/>
  <c r="BP92" i="57"/>
  <c r="BV83" i="57"/>
  <c r="BT80" i="57"/>
  <c r="BM71" i="57"/>
  <c r="BR425" i="57"/>
  <c r="BV422" i="57"/>
  <c r="BO416" i="57"/>
  <c r="BV410" i="57"/>
  <c r="BO404" i="57"/>
  <c r="BL395" i="57"/>
  <c r="BV374" i="57"/>
  <c r="BR353" i="57"/>
  <c r="BU350" i="57"/>
  <c r="BR341" i="57"/>
  <c r="BM338" i="57"/>
  <c r="BO332" i="57"/>
  <c r="BR329" i="57"/>
  <c r="BQ326" i="57"/>
  <c r="BR317" i="57"/>
  <c r="BQ314" i="57"/>
  <c r="BU302" i="57"/>
  <c r="BL287" i="57"/>
  <c r="BU278" i="57"/>
  <c r="BR257" i="57"/>
  <c r="BM254" i="57"/>
  <c r="BN245" i="57"/>
  <c r="BL239" i="57"/>
  <c r="BL215" i="57"/>
  <c r="BV206" i="57"/>
  <c r="BK140" i="57"/>
  <c r="BL131" i="57"/>
  <c r="BM74" i="57"/>
  <c r="BV440" i="57"/>
  <c r="BM440" i="57"/>
  <c r="BK434" i="57"/>
  <c r="BN431" i="57"/>
  <c r="BU428" i="57"/>
  <c r="BV416" i="57"/>
  <c r="BQ416" i="57"/>
  <c r="BM416" i="57"/>
  <c r="BL413" i="57"/>
  <c r="BK410" i="57"/>
  <c r="BU404" i="57"/>
  <c r="BM392" i="57"/>
  <c r="BO386" i="57"/>
  <c r="BR383" i="57"/>
  <c r="BU380" i="57"/>
  <c r="BL377" i="57"/>
  <c r="BM368" i="57"/>
  <c r="BK362" i="57"/>
  <c r="BU356" i="57"/>
  <c r="BO350" i="57"/>
  <c r="BN347" i="57"/>
  <c r="BV344" i="57"/>
  <c r="BM344" i="57"/>
  <c r="BL341" i="57"/>
  <c r="BU332" i="57"/>
  <c r="BS326" i="57"/>
  <c r="BN323" i="57"/>
  <c r="BV320" i="57"/>
  <c r="BQ320" i="57"/>
  <c r="BM320" i="57"/>
  <c r="BK314" i="57"/>
  <c r="BN311" i="57"/>
  <c r="BV296" i="57"/>
  <c r="BO290" i="57"/>
  <c r="BK290" i="57"/>
  <c r="BN287" i="57"/>
  <c r="BU284" i="57"/>
  <c r="BN275" i="57"/>
  <c r="BV272" i="57"/>
  <c r="BO266" i="57"/>
  <c r="BR263" i="57"/>
  <c r="BN263" i="57"/>
  <c r="BU260" i="57"/>
  <c r="BT257" i="57"/>
  <c r="BV248" i="57"/>
  <c r="BK242" i="57"/>
  <c r="BU236" i="57"/>
  <c r="BL233" i="57"/>
  <c r="BO230" i="57"/>
  <c r="BV224" i="57"/>
  <c r="BQ224" i="57"/>
  <c r="BM224" i="57"/>
  <c r="BK218" i="57"/>
  <c r="BT209" i="57"/>
  <c r="BV200" i="57"/>
  <c r="BQ200" i="57"/>
  <c r="BM200" i="57"/>
  <c r="BP197" i="57"/>
  <c r="BK194" i="57"/>
  <c r="BL185" i="57"/>
  <c r="BM176" i="57"/>
  <c r="BK170" i="57"/>
  <c r="BR167" i="57"/>
  <c r="BU164" i="57"/>
  <c r="BL161" i="57"/>
  <c r="BS158" i="57"/>
  <c r="BO158" i="57"/>
  <c r="BL149" i="57"/>
  <c r="BK146" i="57"/>
  <c r="BN143" i="57"/>
  <c r="BS134" i="57"/>
  <c r="BV128" i="57"/>
  <c r="BK122" i="57"/>
  <c r="BR119" i="57"/>
  <c r="BN119" i="57"/>
  <c r="BU116" i="57"/>
  <c r="BT113" i="57"/>
  <c r="BO110" i="57"/>
  <c r="BV104" i="57"/>
  <c r="BQ104" i="57"/>
  <c r="BM104" i="57"/>
  <c r="BK98" i="57"/>
  <c r="BR95" i="57"/>
  <c r="BT89" i="57"/>
  <c r="BV80" i="57"/>
  <c r="BM80" i="57"/>
  <c r="BL77" i="57"/>
  <c r="BK74" i="57"/>
  <c r="AY59" i="57"/>
  <c r="BK437" i="57"/>
  <c r="BV431" i="57"/>
  <c r="BL428" i="57"/>
  <c r="BK425" i="57"/>
  <c r="BQ419" i="57"/>
  <c r="BR410" i="57"/>
  <c r="BS401" i="57"/>
  <c r="BK377" i="57"/>
  <c r="BQ371" i="57"/>
  <c r="BT368" i="57"/>
  <c r="BU347" i="57"/>
  <c r="BS341" i="57"/>
  <c r="BP332" i="57"/>
  <c r="BQ323" i="57"/>
  <c r="BO317" i="57"/>
  <c r="BR290" i="57"/>
  <c r="BU287" i="57"/>
  <c r="BU275" i="57"/>
  <c r="BS269" i="57"/>
  <c r="BR266" i="57"/>
  <c r="BQ263" i="57"/>
  <c r="BQ251" i="57"/>
  <c r="BT248" i="57"/>
  <c r="BQ203" i="57"/>
  <c r="BT176" i="57"/>
  <c r="BU155" i="57"/>
  <c r="BS149" i="57"/>
  <c r="BQ143" i="57"/>
  <c r="BT140" i="57"/>
  <c r="BN122" i="57"/>
  <c r="BV95" i="57"/>
  <c r="BC59" i="57"/>
  <c r="BV434" i="57"/>
  <c r="BL431" i="57"/>
  <c r="BS428" i="57"/>
  <c r="BN425" i="57"/>
  <c r="BS416" i="57"/>
  <c r="BN389" i="57"/>
  <c r="BU386" i="57"/>
  <c r="BK380" i="57"/>
  <c r="BN377" i="57"/>
  <c r="BN365" i="57"/>
  <c r="BU362" i="57"/>
  <c r="BP359" i="57"/>
  <c r="BS356" i="57"/>
  <c r="BM350" i="57"/>
  <c r="BL347" i="57"/>
  <c r="BS332" i="57"/>
  <c r="BU326" i="57"/>
  <c r="BU314" i="57"/>
  <c r="BM302" i="57"/>
  <c r="BR293" i="57"/>
  <c r="BR281" i="57"/>
  <c r="BP275" i="57"/>
  <c r="BL251" i="57"/>
  <c r="BL227" i="57"/>
  <c r="BK224" i="57"/>
  <c r="BP215" i="57"/>
  <c r="BM194" i="57"/>
  <c r="BR185" i="57"/>
  <c r="BQ182" i="57"/>
  <c r="BR137" i="57"/>
  <c r="BO128" i="57"/>
  <c r="BR113" i="57"/>
  <c r="BK92" i="57"/>
  <c r="BT83" i="57"/>
  <c r="BQ74" i="57"/>
  <c r="BN434" i="57"/>
  <c r="BM431" i="57"/>
  <c r="BM407" i="57"/>
  <c r="BO377" i="57"/>
  <c r="BQ335" i="57"/>
  <c r="BT332" i="57"/>
  <c r="BU323" i="57"/>
  <c r="BT320" i="57"/>
  <c r="BO305" i="57"/>
  <c r="BQ299" i="57"/>
  <c r="BM263" i="57"/>
  <c r="BN254" i="57"/>
  <c r="BM227" i="57"/>
  <c r="BS209" i="57"/>
  <c r="BQ191" i="57"/>
  <c r="BT188" i="57"/>
  <c r="BK173" i="57"/>
  <c r="BN170" i="57"/>
  <c r="BT164" i="57"/>
  <c r="BK125" i="57"/>
  <c r="BP80" i="57"/>
  <c r="AX59" i="57"/>
  <c r="BP431" i="57"/>
  <c r="BM422" i="57"/>
  <c r="BN413" i="57"/>
  <c r="BT407" i="57"/>
  <c r="BM398" i="57"/>
  <c r="BS392" i="57"/>
  <c r="BP383" i="57"/>
  <c r="BM374" i="57"/>
  <c r="BS368" i="57"/>
  <c r="BK344" i="57"/>
  <c r="BT311" i="57"/>
  <c r="BN293" i="57"/>
  <c r="BQ278" i="57"/>
  <c r="BT263" i="57"/>
  <c r="BN257" i="57"/>
  <c r="BV242" i="57"/>
  <c r="BU230" i="57"/>
  <c r="BU218" i="57"/>
  <c r="BK212" i="57"/>
  <c r="BL203" i="57"/>
  <c r="BU194" i="57"/>
  <c r="BM182" i="57"/>
  <c r="BU158" i="57"/>
  <c r="BQ146" i="57"/>
  <c r="BN137" i="57"/>
  <c r="BT131" i="57"/>
  <c r="BV110" i="57"/>
  <c r="BP107" i="57"/>
  <c r="BS104" i="57"/>
  <c r="BV98" i="57"/>
  <c r="BL83" i="57"/>
  <c r="BV74" i="57"/>
  <c r="AJ455" i="57"/>
  <c r="BK443" i="57"/>
  <c r="BR440" i="57"/>
  <c r="BU437" i="57"/>
  <c r="BS431" i="57"/>
  <c r="BM425" i="57"/>
  <c r="BP422" i="57"/>
  <c r="BL422" i="57"/>
  <c r="BK419" i="57"/>
  <c r="BL410" i="57"/>
  <c r="BO407" i="57"/>
  <c r="BV401" i="57"/>
  <c r="BQ401" i="57"/>
  <c r="BM401" i="57"/>
  <c r="BP398" i="57"/>
  <c r="BK395" i="57"/>
  <c r="BR392" i="57"/>
  <c r="BU389" i="57"/>
  <c r="BL386" i="57"/>
  <c r="BS383" i="57"/>
  <c r="BK371" i="57"/>
  <c r="BU365" i="57"/>
  <c r="BO359" i="57"/>
  <c r="BV353" i="57"/>
  <c r="BM353" i="57"/>
  <c r="BK347" i="57"/>
  <c r="BU341" i="57"/>
  <c r="BL338" i="57"/>
  <c r="BS335" i="57"/>
  <c r="BO335" i="57"/>
  <c r="BN332" i="57"/>
  <c r="BP326" i="57"/>
  <c r="BK323" i="57"/>
  <c r="BR320" i="57"/>
  <c r="BN320" i="57"/>
  <c r="BT314" i="57"/>
  <c r="BM305" i="57"/>
  <c r="BR296" i="57"/>
  <c r="BN296" i="57"/>
  <c r="BU293" i="57"/>
  <c r="BT290" i="57"/>
  <c r="BN284" i="57"/>
  <c r="BV281" i="57"/>
  <c r="BM281" i="57"/>
  <c r="BP278" i="57"/>
  <c r="BL278" i="57"/>
  <c r="BK275" i="57"/>
  <c r="BR272" i="57"/>
  <c r="BU269" i="57"/>
  <c r="BT266" i="57"/>
  <c r="BO263" i="57"/>
  <c r="BN260" i="57"/>
  <c r="BM257" i="57"/>
  <c r="BL254" i="57"/>
  <c r="BO251" i="57"/>
  <c r="BR248" i="57"/>
  <c r="BU245" i="57"/>
  <c r="BT242" i="57"/>
  <c r="BO239" i="57"/>
  <c r="BV233" i="57"/>
  <c r="BM233" i="57"/>
  <c r="BP230" i="57"/>
  <c r="BK227" i="57"/>
  <c r="BR224" i="57"/>
  <c r="BU221" i="57"/>
  <c r="BL218" i="57"/>
  <c r="BS215" i="57"/>
  <c r="BO215" i="57"/>
  <c r="BV209" i="57"/>
  <c r="BM209" i="57"/>
  <c r="BO203" i="57"/>
  <c r="BN200" i="57"/>
  <c r="BL194" i="57"/>
  <c r="BS191" i="57"/>
  <c r="BV185" i="57"/>
  <c r="BQ185" i="57"/>
  <c r="BM185" i="57"/>
  <c r="BP182" i="57"/>
  <c r="BK179" i="57"/>
  <c r="BR176" i="57"/>
  <c r="BU173" i="57"/>
  <c r="BS167" i="57"/>
  <c r="BO167" i="57"/>
  <c r="BN164" i="57"/>
  <c r="BP158" i="57"/>
  <c r="BK155" i="57"/>
  <c r="BU149" i="57"/>
  <c r="BL146" i="57"/>
  <c r="BV137" i="57"/>
  <c r="BK131" i="57"/>
  <c r="BR128" i="57"/>
  <c r="BU125" i="57"/>
  <c r="BT122" i="57"/>
  <c r="BO119" i="57"/>
  <c r="BN116" i="57"/>
  <c r="BQ113" i="57"/>
  <c r="BM113" i="57"/>
  <c r="BO107" i="57"/>
  <c r="BR104" i="57"/>
  <c r="BN104" i="57"/>
  <c r="BU101" i="57"/>
  <c r="BL98" i="57"/>
  <c r="BQ89" i="57"/>
  <c r="BL86" i="57"/>
  <c r="BK83" i="57"/>
  <c r="BN80" i="57"/>
  <c r="BT74" i="57"/>
  <c r="BS71" i="57"/>
  <c r="BL440" i="57"/>
  <c r="BO437" i="57"/>
  <c r="BQ431" i="57"/>
  <c r="BP428" i="57"/>
  <c r="BM419" i="57"/>
  <c r="BU407" i="57"/>
  <c r="BO401" i="57"/>
  <c r="BV383" i="57"/>
  <c r="BV371" i="57"/>
  <c r="BU359" i="57"/>
  <c r="BQ347" i="57"/>
  <c r="BM323" i="57"/>
  <c r="BS317" i="57"/>
  <c r="BQ311" i="57"/>
  <c r="BO269" i="57"/>
  <c r="BV263" i="57"/>
  <c r="BP260" i="57"/>
  <c r="BR242" i="57"/>
  <c r="BS233" i="57"/>
  <c r="BT224" i="57"/>
  <c r="BU215" i="57"/>
  <c r="BK209" i="57"/>
  <c r="BU203" i="57"/>
  <c r="BU191" i="57"/>
  <c r="BU179" i="57"/>
  <c r="BR170" i="57"/>
  <c r="BO161" i="57"/>
  <c r="BO149" i="57"/>
  <c r="BL140" i="57"/>
  <c r="BV131" i="57"/>
  <c r="BS125" i="57"/>
  <c r="BK113" i="57"/>
  <c r="BV107" i="57"/>
  <c r="BS89" i="57"/>
  <c r="BR74" i="57"/>
  <c r="BP443" i="57"/>
  <c r="BQ434" i="57"/>
  <c r="BL407" i="57"/>
  <c r="BU398" i="57"/>
  <c r="BQ386" i="57"/>
  <c r="BO380" i="57"/>
  <c r="BL371" i="57"/>
  <c r="BQ362" i="57"/>
  <c r="BL359" i="57"/>
  <c r="BT323" i="57"/>
  <c r="BS320" i="57"/>
  <c r="BR305" i="57"/>
  <c r="BU290" i="57"/>
  <c r="BO284" i="57"/>
  <c r="BR269" i="57"/>
  <c r="BM266" i="57"/>
  <c r="BS260" i="57"/>
  <c r="BO248" i="57"/>
  <c r="BR233" i="57"/>
  <c r="BQ230" i="57"/>
  <c r="BN221" i="57"/>
  <c r="BQ218" i="57"/>
  <c r="BO212" i="57"/>
  <c r="BR209" i="57"/>
  <c r="BM206" i="57"/>
  <c r="BS200" i="57"/>
  <c r="BP191" i="57"/>
  <c r="BU182" i="57"/>
  <c r="BS176" i="57"/>
  <c r="BR173" i="57"/>
  <c r="BS164" i="57"/>
  <c r="BR161" i="57"/>
  <c r="BL155" i="57"/>
  <c r="BK152" i="57"/>
  <c r="BM134" i="57"/>
  <c r="BR125" i="57"/>
  <c r="BM110" i="57"/>
  <c r="BS92" i="57"/>
  <c r="BQ440" i="57"/>
  <c r="BP437" i="57"/>
  <c r="BO434" i="57"/>
  <c r="BR431" i="57"/>
  <c r="BK422" i="57"/>
  <c r="BU416" i="57"/>
  <c r="BP413" i="57"/>
  <c r="BR407" i="57"/>
  <c r="BQ404" i="57"/>
  <c r="BM404" i="57"/>
  <c r="BT401" i="57"/>
  <c r="BN395" i="57"/>
  <c r="BP389" i="57"/>
  <c r="BQ380" i="57"/>
  <c r="BT377" i="57"/>
  <c r="BS374" i="57"/>
  <c r="BQ368" i="57"/>
  <c r="BP365" i="57"/>
  <c r="BO362" i="57"/>
  <c r="BV356" i="57"/>
  <c r="BL353" i="57"/>
  <c r="BS350" i="57"/>
  <c r="BK350" i="57"/>
  <c r="BR347" i="57"/>
  <c r="BQ344" i="57"/>
  <c r="BP341" i="57"/>
  <c r="BS338" i="57"/>
  <c r="BO338" i="57"/>
  <c r="BV332" i="57"/>
  <c r="BT329" i="57"/>
  <c r="BL329" i="57"/>
  <c r="BP317" i="57"/>
  <c r="BO314" i="57"/>
  <c r="BR311" i="57"/>
  <c r="BM308" i="57"/>
  <c r="BT305" i="57"/>
  <c r="BK302" i="57"/>
  <c r="BP293" i="57"/>
  <c r="BR287" i="57"/>
  <c r="BV284" i="57"/>
  <c r="BK278" i="57"/>
  <c r="BR275" i="57"/>
  <c r="BU272" i="57"/>
  <c r="BQ272" i="57"/>
  <c r="BP269" i="57"/>
  <c r="BS266" i="57"/>
  <c r="BV260" i="57"/>
  <c r="BS254" i="57"/>
  <c r="BU248" i="57"/>
  <c r="BT245" i="57"/>
  <c r="BP245" i="57"/>
  <c r="BO242" i="57"/>
  <c r="BS230" i="57"/>
  <c r="BR227" i="57"/>
  <c r="BN227" i="57"/>
  <c r="BP221" i="57"/>
  <c r="BO218" i="57"/>
  <c r="BR215" i="57"/>
  <c r="BV212" i="57"/>
  <c r="BM212" i="57"/>
  <c r="BL209" i="57"/>
  <c r="BS206" i="57"/>
  <c r="BR191" i="57"/>
  <c r="BV188" i="57"/>
  <c r="BQ188" i="57"/>
  <c r="BM188" i="57"/>
  <c r="BK182" i="57"/>
  <c r="BN179" i="57"/>
  <c r="BP173" i="57"/>
  <c r="BU152" i="57"/>
  <c r="BP149" i="57"/>
  <c r="BR143" i="57"/>
  <c r="BV140" i="57"/>
  <c r="BQ140" i="57"/>
  <c r="BM140" i="57"/>
  <c r="BT137" i="57"/>
  <c r="BL137" i="57"/>
  <c r="BN131" i="57"/>
  <c r="BU128" i="57"/>
  <c r="BP125" i="57"/>
  <c r="BO122" i="57"/>
  <c r="BL113" i="57"/>
  <c r="BS110" i="57"/>
  <c r="BN107" i="57"/>
  <c r="BP101" i="57"/>
  <c r="BO98" i="57"/>
  <c r="BQ92" i="57"/>
  <c r="BM92" i="57"/>
  <c r="BS86" i="57"/>
  <c r="BN83" i="57"/>
  <c r="BQ80" i="57"/>
  <c r="BP77" i="57"/>
  <c r="BO74" i="57"/>
  <c r="BF59" i="57"/>
  <c r="BR71" i="57"/>
  <c r="BA56" i="57"/>
  <c r="BT68" i="57"/>
  <c r="BT56" i="57" s="1"/>
  <c r="BU443" i="57"/>
  <c r="BP392" i="57"/>
  <c r="BK389" i="57"/>
  <c r="BK365" i="57"/>
  <c r="BP356" i="57"/>
  <c r="BM335" i="57"/>
  <c r="BN326" i="57"/>
  <c r="BU311" i="57"/>
  <c r="BU299" i="57"/>
  <c r="BK293" i="57"/>
  <c r="BV287" i="57"/>
  <c r="BR278" i="57"/>
  <c r="BT260" i="57"/>
  <c r="BT236" i="57"/>
  <c r="BO233" i="57"/>
  <c r="BU227" i="57"/>
  <c r="BO209" i="57"/>
  <c r="BO197" i="57"/>
  <c r="BL188" i="57"/>
  <c r="BS185" i="57"/>
  <c r="BN182" i="57"/>
  <c r="BQ179" i="57"/>
  <c r="BN134" i="57"/>
  <c r="BO125" i="57"/>
  <c r="BL104" i="57"/>
  <c r="BS101" i="57"/>
  <c r="BL92" i="57"/>
  <c r="BL80" i="57"/>
  <c r="BS77" i="57"/>
  <c r="BV71" i="57"/>
  <c r="BL443" i="57"/>
  <c r="BR437" i="57"/>
  <c r="BP419" i="57"/>
  <c r="BM410" i="57"/>
  <c r="BR401" i="57"/>
  <c r="BK392" i="57"/>
  <c r="BL383" i="57"/>
  <c r="BT371" i="57"/>
  <c r="BO368" i="57"/>
  <c r="BV362" i="57"/>
  <c r="BU338" i="57"/>
  <c r="BP323" i="57"/>
  <c r="BO320" i="57"/>
  <c r="BV314" i="57"/>
  <c r="BP311" i="57"/>
  <c r="BS296" i="57"/>
  <c r="BQ290" i="57"/>
  <c r="BS284" i="57"/>
  <c r="BK284" i="57"/>
  <c r="BM278" i="57"/>
  <c r="BU266" i="57"/>
  <c r="BO260" i="57"/>
  <c r="BU254" i="57"/>
  <c r="BQ242" i="57"/>
  <c r="BS212" i="57"/>
  <c r="BQ206" i="57"/>
  <c r="BN197" i="57"/>
  <c r="BT179" i="57"/>
  <c r="BO176" i="57"/>
  <c r="BN173" i="57"/>
  <c r="BN161" i="57"/>
  <c r="BP155" i="57"/>
  <c r="BO152" i="57"/>
  <c r="BV146" i="57"/>
  <c r="BT143" i="57"/>
  <c r="BS140" i="57"/>
  <c r="BP131" i="57"/>
  <c r="BN125" i="57"/>
  <c r="BM122" i="57"/>
  <c r="BM98" i="57"/>
  <c r="BT95" i="57"/>
  <c r="BM86" i="57"/>
  <c r="BR77" i="57"/>
  <c r="AS59" i="57"/>
  <c r="AY56" i="57"/>
  <c r="BR68" i="57"/>
  <c r="BR56" i="57" s="1"/>
  <c r="BK413" i="57"/>
  <c r="BT392" i="57"/>
  <c r="BP380" i="57"/>
  <c r="BR374" i="57"/>
  <c r="BS365" i="57"/>
  <c r="BN338" i="57"/>
  <c r="BP308" i="57"/>
  <c r="BN302" i="57"/>
  <c r="BT296" i="57"/>
  <c r="BQ287" i="57"/>
  <c r="BK269" i="57"/>
  <c r="BK257" i="57"/>
  <c r="BO245" i="57"/>
  <c r="BN242" i="57"/>
  <c r="BK221" i="57"/>
  <c r="BP200" i="57"/>
  <c r="BN194" i="57"/>
  <c r="BU167" i="57"/>
  <c r="BM143" i="57"/>
  <c r="BS137" i="57"/>
  <c r="BV119" i="57"/>
  <c r="BM107" i="57"/>
  <c r="BN74" i="57"/>
  <c r="BQ71" i="57"/>
  <c r="BO440" i="57"/>
  <c r="BT419" i="57"/>
  <c r="BK416" i="57"/>
  <c r="BQ410" i="57"/>
  <c r="BS380" i="57"/>
  <c r="BK356" i="57"/>
  <c r="BQ350" i="57"/>
  <c r="BT335" i="57"/>
  <c r="BM326" i="57"/>
  <c r="BN305" i="57"/>
  <c r="BM290" i="57"/>
  <c r="BT275" i="57"/>
  <c r="BN269" i="57"/>
  <c r="BQ266" i="57"/>
  <c r="BK248" i="57"/>
  <c r="BK236" i="57"/>
  <c r="BV230" i="57"/>
  <c r="BT227" i="57"/>
  <c r="BS224" i="57"/>
  <c r="BV218" i="57"/>
  <c r="BO200" i="57"/>
  <c r="BN185" i="57"/>
  <c r="BL179" i="57"/>
  <c r="BK176" i="57"/>
  <c r="BV170" i="57"/>
  <c r="BP167" i="57"/>
  <c r="BR149" i="57"/>
  <c r="BU134" i="57"/>
  <c r="BU122" i="57"/>
  <c r="BN113" i="57"/>
  <c r="BP95" i="57"/>
  <c r="BU86" i="57"/>
  <c r="BA59" i="57"/>
  <c r="AJ455" i="36"/>
  <c r="AA455" i="57"/>
  <c r="AG491" i="57"/>
  <c r="AG543" i="57" s="1"/>
  <c r="BT434" i="57"/>
  <c r="BL434" i="57"/>
  <c r="BK431" i="57"/>
  <c r="BN428" i="57"/>
  <c r="BQ425" i="57"/>
  <c r="BT422" i="57"/>
  <c r="BV413" i="57"/>
  <c r="BQ413" i="57"/>
  <c r="BM413" i="57"/>
  <c r="BT410" i="57"/>
  <c r="BS407" i="57"/>
  <c r="BR404" i="57"/>
  <c r="BN404" i="57"/>
  <c r="BU401" i="57"/>
  <c r="BS395" i="57"/>
  <c r="BQ389" i="57"/>
  <c r="BK383" i="57"/>
  <c r="BU377" i="57"/>
  <c r="BT374" i="57"/>
  <c r="BP374" i="57"/>
  <c r="BS371" i="57"/>
  <c r="BO371" i="57"/>
  <c r="BQ365" i="57"/>
  <c r="BT362" i="57"/>
  <c r="BL362" i="57"/>
  <c r="BS359" i="57"/>
  <c r="BQ353" i="57"/>
  <c r="BP350" i="57"/>
  <c r="BQ341" i="57"/>
  <c r="BT338" i="57"/>
  <c r="BK335" i="57"/>
  <c r="BR332" i="57"/>
  <c r="BT326" i="57"/>
  <c r="BM317" i="57"/>
  <c r="BL314" i="57"/>
  <c r="BS311" i="57"/>
  <c r="BR308" i="57"/>
  <c r="BP302" i="57"/>
  <c r="BS299" i="57"/>
  <c r="BO299" i="57"/>
  <c r="BL290" i="57"/>
  <c r="BS287" i="57"/>
  <c r="BK287" i="57"/>
  <c r="BQ281" i="57"/>
  <c r="BT278" i="57"/>
  <c r="BS275" i="57"/>
  <c r="BL266" i="57"/>
  <c r="BS263" i="57"/>
  <c r="BR260" i="57"/>
  <c r="BQ257" i="57"/>
  <c r="BP254" i="57"/>
  <c r="BS251" i="57"/>
  <c r="BL242" i="57"/>
  <c r="BS239" i="57"/>
  <c r="BQ233" i="57"/>
  <c r="BQ209" i="57"/>
  <c r="BP206" i="57"/>
  <c r="BR200" i="57"/>
  <c r="BT182" i="57"/>
  <c r="BO179" i="57"/>
  <c r="BV173" i="57"/>
  <c r="BT170" i="57"/>
  <c r="BR164" i="57"/>
  <c r="BU161" i="57"/>
  <c r="BK143" i="57"/>
  <c r="BQ137" i="57"/>
  <c r="BP134" i="57"/>
  <c r="BV125" i="57"/>
  <c r="BS119" i="57"/>
  <c r="BR116" i="57"/>
  <c r="BP110" i="57"/>
  <c r="BS107" i="57"/>
  <c r="BK95" i="57"/>
  <c r="BR92" i="57"/>
  <c r="BU89" i="57"/>
  <c r="BP86" i="57"/>
  <c r="BR80" i="57"/>
  <c r="BV77" i="57"/>
  <c r="BQ77" i="57"/>
  <c r="BM77" i="57"/>
  <c r="AR59" i="57"/>
  <c r="BR434" i="57"/>
  <c r="BU419" i="57"/>
  <c r="BU395" i="57"/>
  <c r="BR386" i="57"/>
  <c r="BR350" i="57"/>
  <c r="BU335" i="57"/>
  <c r="BR326" i="57"/>
  <c r="BL320" i="57"/>
  <c r="BK305" i="57"/>
  <c r="BL296" i="57"/>
  <c r="BO293" i="57"/>
  <c r="BP284" i="57"/>
  <c r="BK281" i="57"/>
  <c r="BQ275" i="57"/>
  <c r="BM251" i="57"/>
  <c r="BK245" i="57"/>
  <c r="BQ227" i="57"/>
  <c r="BS197" i="57"/>
  <c r="BO185" i="57"/>
  <c r="BS173" i="57"/>
  <c r="BP164" i="57"/>
  <c r="BR158" i="57"/>
  <c r="BL152" i="57"/>
  <c r="BP128" i="57"/>
  <c r="BM119" i="57"/>
  <c r="BS113" i="57"/>
  <c r="BT104" i="57"/>
  <c r="BR98" i="57"/>
  <c r="BM95" i="57"/>
  <c r="BR86" i="57"/>
  <c r="BU83" i="57"/>
  <c r="AZ56" i="57"/>
  <c r="BS68" i="57"/>
  <c r="BS56" i="57" s="1"/>
  <c r="BT431" i="57"/>
  <c r="BO428" i="57"/>
  <c r="BU422" i="57"/>
  <c r="BO392" i="57"/>
  <c r="BR389" i="57"/>
  <c r="BR377" i="57"/>
  <c r="BU374" i="57"/>
  <c r="BK368" i="57"/>
  <c r="BR365" i="57"/>
  <c r="BT359" i="57"/>
  <c r="BO356" i="57"/>
  <c r="BV350" i="57"/>
  <c r="BO344" i="57"/>
  <c r="BL311" i="57"/>
  <c r="BO308" i="57"/>
  <c r="BV302" i="57"/>
  <c r="BL299" i="57"/>
  <c r="BV290" i="57"/>
  <c r="BP251" i="57"/>
  <c r="BT239" i="57"/>
  <c r="BU206" i="57"/>
  <c r="BQ194" i="57"/>
  <c r="BV182" i="57"/>
  <c r="BP179" i="57"/>
  <c r="BL143" i="57"/>
  <c r="BQ122" i="57"/>
  <c r="BQ98" i="57"/>
  <c r="BL95" i="57"/>
  <c r="BO80" i="57"/>
  <c r="BN443" i="57"/>
  <c r="BU440" i="57"/>
  <c r="BS434" i="57"/>
  <c r="BV428" i="57"/>
  <c r="BM428" i="57"/>
  <c r="BL425" i="57"/>
  <c r="BO422" i="57"/>
  <c r="BR419" i="57"/>
  <c r="BN419" i="57"/>
  <c r="BO410" i="57"/>
  <c r="BN407" i="57"/>
  <c r="BV404" i="57"/>
  <c r="BL401" i="57"/>
  <c r="BO398" i="57"/>
  <c r="BK398" i="57"/>
  <c r="BR395" i="57"/>
  <c r="BU392" i="57"/>
  <c r="BT389" i="57"/>
  <c r="BS386" i="57"/>
  <c r="BV380" i="57"/>
  <c r="BM380" i="57"/>
  <c r="BO374" i="57"/>
  <c r="BK374" i="57"/>
  <c r="BN371" i="57"/>
  <c r="BU368" i="57"/>
  <c r="BL365" i="57"/>
  <c r="BS362" i="57"/>
  <c r="BQ356" i="57"/>
  <c r="BM356" i="57"/>
  <c r="BU344" i="57"/>
  <c r="BM332" i="57"/>
  <c r="BK326" i="57"/>
  <c r="BU320" i="57"/>
  <c r="BS314" i="57"/>
  <c r="BV308" i="57"/>
  <c r="BQ308" i="57"/>
  <c r="BP305" i="57"/>
  <c r="BL305" i="57"/>
  <c r="BO302" i="57"/>
  <c r="BN299" i="57"/>
  <c r="BU296" i="57"/>
  <c r="BS290" i="57"/>
  <c r="BM284" i="57"/>
  <c r="BL281" i="57"/>
  <c r="BM260" i="57"/>
  <c r="BL257" i="57"/>
  <c r="BK254" i="57"/>
  <c r="BN251" i="57"/>
  <c r="BL245" i="57"/>
  <c r="BS242" i="57"/>
  <c r="BV236" i="57"/>
  <c r="BM236" i="57"/>
  <c r="BP233" i="57"/>
  <c r="BK230" i="57"/>
  <c r="BU224" i="57"/>
  <c r="BQ212" i="57"/>
  <c r="BK206" i="57"/>
  <c r="BR203" i="57"/>
  <c r="BN203" i="57"/>
  <c r="BU200" i="57"/>
  <c r="BT197" i="57"/>
  <c r="BS194" i="57"/>
  <c r="BO194" i="57"/>
  <c r="BP185" i="57"/>
  <c r="BO182" i="57"/>
  <c r="BU176" i="57"/>
  <c r="BT173" i="57"/>
  <c r="BS170" i="57"/>
  <c r="BO170" i="57"/>
  <c r="BV164" i="57"/>
  <c r="BM164" i="57"/>
  <c r="BP161" i="57"/>
  <c r="BK158" i="57"/>
  <c r="BN155" i="57"/>
  <c r="BO146" i="57"/>
  <c r="BK134" i="57"/>
  <c r="BR131" i="57"/>
  <c r="BS122" i="57"/>
  <c r="BV116" i="57"/>
  <c r="BM116" i="57"/>
  <c r="BK110" i="57"/>
  <c r="BU104" i="57"/>
  <c r="BN95" i="57"/>
  <c r="BV92" i="57"/>
  <c r="BL89" i="57"/>
  <c r="BK86" i="57"/>
  <c r="BR83" i="57"/>
  <c r="BU80" i="57"/>
  <c r="BS74" i="57"/>
  <c r="BY59" i="57"/>
  <c r="BY63" i="57" s="1"/>
  <c r="AU59" i="57"/>
  <c r="BV443" i="57"/>
  <c r="BS437" i="57"/>
  <c r="BU431" i="57"/>
  <c r="BS425" i="57"/>
  <c r="BN422" i="57"/>
  <c r="BO413" i="57"/>
  <c r="BQ407" i="57"/>
  <c r="BT404" i="57"/>
  <c r="BM395" i="57"/>
  <c r="BT380" i="57"/>
  <c r="BP344" i="57"/>
  <c r="BP320" i="57"/>
  <c r="BV299" i="57"/>
  <c r="BL284" i="57"/>
  <c r="BS281" i="57"/>
  <c r="BV275" i="57"/>
  <c r="BP272" i="57"/>
  <c r="BS245" i="57"/>
  <c r="BQ239" i="57"/>
  <c r="BS221" i="57"/>
  <c r="BL212" i="57"/>
  <c r="BR182" i="57"/>
  <c r="BL164" i="57"/>
  <c r="BS161" i="57"/>
  <c r="BV155" i="57"/>
  <c r="BP152" i="57"/>
  <c r="BR146" i="57"/>
  <c r="BK137" i="57"/>
  <c r="BQ131" i="57"/>
  <c r="BL116" i="57"/>
  <c r="BO113" i="57"/>
  <c r="BK89" i="57"/>
  <c r="BQ83" i="57"/>
  <c r="BB59" i="57"/>
  <c r="BK428" i="57"/>
  <c r="BP407" i="57"/>
  <c r="BS404" i="57"/>
  <c r="BV386" i="57"/>
  <c r="BV338" i="57"/>
  <c r="BV326" i="57"/>
  <c r="BN317" i="57"/>
  <c r="BP299" i="57"/>
  <c r="BT287" i="57"/>
  <c r="BV266" i="57"/>
  <c r="BS248" i="57"/>
  <c r="BR245" i="57"/>
  <c r="BS236" i="57"/>
  <c r="BM218" i="57"/>
  <c r="BN209" i="57"/>
  <c r="BT203" i="57"/>
  <c r="BK200" i="57"/>
  <c r="BS188" i="57"/>
  <c r="BL167" i="57"/>
  <c r="BO164" i="57"/>
  <c r="BQ158" i="57"/>
  <c r="BK116" i="57"/>
  <c r="BT107" i="57"/>
  <c r="BK104" i="57"/>
  <c r="BK80" i="57"/>
  <c r="BL71" i="57"/>
  <c r="BM443" i="57"/>
  <c r="BL416" i="57"/>
  <c r="BP404" i="57"/>
  <c r="BN398" i="57"/>
  <c r="BQ395" i="57"/>
  <c r="BN386" i="57"/>
  <c r="BM371" i="57"/>
  <c r="BK341" i="57"/>
  <c r="BV323" i="57"/>
  <c r="BK317" i="57"/>
  <c r="BT284" i="57"/>
  <c r="BL272" i="57"/>
  <c r="BL260" i="57"/>
  <c r="BK233" i="57"/>
  <c r="BN218" i="57"/>
  <c r="BQ215" i="57"/>
  <c r="BT212" i="57"/>
  <c r="BM179" i="57"/>
  <c r="BL176" i="57"/>
  <c r="BK161" i="57"/>
  <c r="BN146" i="57"/>
  <c r="BL128" i="57"/>
  <c r="BR122" i="57"/>
  <c r="BT116" i="57"/>
  <c r="BO101" i="57"/>
  <c r="BQ95" i="57"/>
  <c r="BM83" i="57"/>
  <c r="BO77" i="57"/>
  <c r="BT443" i="57"/>
  <c r="BP395" i="57"/>
  <c r="BM386" i="57"/>
  <c r="BP371" i="57"/>
  <c r="BN353" i="57"/>
  <c r="BT347" i="57"/>
  <c r="BN341" i="57"/>
  <c r="BQ338" i="57"/>
  <c r="BN329" i="57"/>
  <c r="BL323" i="57"/>
  <c r="BK320" i="57"/>
  <c r="BK260" i="57"/>
  <c r="BT251" i="57"/>
  <c r="BN233" i="57"/>
  <c r="BV194" i="57"/>
  <c r="BT191" i="57"/>
  <c r="BO188" i="57"/>
  <c r="BT155" i="57"/>
  <c r="BS152" i="57"/>
  <c r="BO140" i="57"/>
  <c r="BS128" i="57"/>
  <c r="BL119" i="57"/>
  <c r="BU110" i="57"/>
  <c r="BP83" i="57"/>
  <c r="AW59" i="57"/>
  <c r="BR101" i="57"/>
  <c r="BO92" i="57"/>
  <c r="BS80" i="57"/>
  <c r="BT71" i="57"/>
  <c r="AG454" i="57"/>
  <c r="AG503" i="57"/>
  <c r="AG560" i="57" s="1"/>
  <c r="AH473" i="57"/>
  <c r="AH516" i="57" s="1"/>
  <c r="AH509" i="57"/>
  <c r="AH510" i="57" s="1"/>
  <c r="AI454" i="57"/>
  <c r="AG465" i="57"/>
  <c r="AG466" i="57" s="1"/>
  <c r="AJ503" i="57"/>
  <c r="AJ560" i="57" s="1"/>
  <c r="AH497" i="57"/>
  <c r="AH551" i="57" s="1"/>
  <c r="AJ491" i="57"/>
  <c r="AJ540" i="57" s="1"/>
  <c r="AH485" i="57"/>
  <c r="AH531" i="57" s="1"/>
  <c r="AJ479" i="57"/>
  <c r="AJ524" i="57" s="1"/>
  <c r="AI479" i="57"/>
  <c r="AI522" i="57" s="1"/>
  <c r="AG41" i="57"/>
  <c r="AG42" i="57" s="1"/>
  <c r="AI497" i="57"/>
  <c r="AI552" i="57" s="1"/>
  <c r="AH491" i="57"/>
  <c r="AH542" i="57" s="1"/>
  <c r="AH479" i="57"/>
  <c r="AH525" i="57" s="1"/>
  <c r="AJ509" i="57"/>
  <c r="AJ473" i="57"/>
  <c r="AJ516" i="57" s="1"/>
  <c r="AJ41" i="57"/>
  <c r="AJ42" i="57" s="1"/>
  <c r="AJ485" i="57"/>
  <c r="AJ531" i="57" s="1"/>
  <c r="AH503" i="57"/>
  <c r="AH558" i="57" s="1"/>
  <c r="AJ497" i="57"/>
  <c r="AJ552" i="57" s="1"/>
  <c r="AI491" i="57"/>
  <c r="AI542" i="57" s="1"/>
  <c r="AG485" i="57"/>
  <c r="AI485" i="57"/>
  <c r="AI534" i="57" s="1"/>
  <c r="AG473" i="57"/>
  <c r="AG515" i="57" s="1"/>
  <c r="AG509" i="57"/>
  <c r="AG510" i="57" s="1"/>
  <c r="AG479" i="57"/>
  <c r="AG525" i="57" s="1"/>
  <c r="AH454" i="57"/>
  <c r="AI473" i="57"/>
  <c r="AI514" i="57" s="1"/>
  <c r="AI509" i="57"/>
  <c r="AI510" i="57" s="1"/>
  <c r="AI465" i="57"/>
  <c r="AI466" i="57" s="1"/>
  <c r="AI503" i="57"/>
  <c r="AI560" i="57" s="1"/>
  <c r="AG497" i="57"/>
  <c r="AJ454" i="57"/>
  <c r="AH41" i="57"/>
  <c r="AH42" i="57" s="1"/>
  <c r="AJ465" i="57"/>
  <c r="AJ466" i="57" s="1"/>
  <c r="AH465" i="57"/>
  <c r="AH466" i="57" s="1"/>
  <c r="AE455" i="57"/>
  <c r="AF455" i="57"/>
  <c r="AJ14" i="57"/>
  <c r="AJ17" i="57" s="1"/>
  <c r="AJ22" i="57" s="1"/>
  <c r="AF455" i="36"/>
  <c r="BV227" i="36"/>
  <c r="BV128" i="36"/>
  <c r="BV224" i="36"/>
  <c r="BV296" i="36"/>
  <c r="BV344" i="36"/>
  <c r="BV419" i="36"/>
  <c r="BV284" i="36"/>
  <c r="BV245" i="36"/>
  <c r="BV293" i="36"/>
  <c r="BV341" i="36"/>
  <c r="BV392" i="36"/>
  <c r="BV440" i="36"/>
  <c r="BV92" i="36"/>
  <c r="BV380" i="36"/>
  <c r="BV431" i="36"/>
  <c r="BV110" i="36"/>
  <c r="BV158" i="36"/>
  <c r="BV206" i="36"/>
  <c r="BV254" i="36"/>
  <c r="BV302" i="36"/>
  <c r="BV350" i="36"/>
  <c r="BV401" i="36"/>
  <c r="BV155" i="36"/>
  <c r="BV299" i="36"/>
  <c r="BV347" i="36"/>
  <c r="BV398" i="36"/>
  <c r="BV104" i="36"/>
  <c r="BV200" i="36"/>
  <c r="BV107" i="36"/>
  <c r="BV152" i="36"/>
  <c r="BV248" i="36"/>
  <c r="BV368" i="36"/>
  <c r="BV77" i="36"/>
  <c r="BV125" i="36"/>
  <c r="BV173" i="36"/>
  <c r="BV221" i="36"/>
  <c r="BV98" i="36"/>
  <c r="BV146" i="36"/>
  <c r="BV194" i="36"/>
  <c r="BV242" i="36"/>
  <c r="BV290" i="36"/>
  <c r="BV338" i="36"/>
  <c r="BV389" i="36"/>
  <c r="BV437" i="36"/>
  <c r="BV143" i="36"/>
  <c r="BV191" i="36"/>
  <c r="BV239" i="36"/>
  <c r="BV287" i="36"/>
  <c r="BV335" i="36"/>
  <c r="BV383" i="36"/>
  <c r="BV434" i="36"/>
  <c r="BV164" i="36"/>
  <c r="BV212" i="36"/>
  <c r="BV113" i="36"/>
  <c r="BV161" i="36"/>
  <c r="BV209" i="36"/>
  <c r="BV257" i="36"/>
  <c r="BV305" i="36"/>
  <c r="BV353" i="36"/>
  <c r="BV404" i="36"/>
  <c r="BV260" i="36"/>
  <c r="BV71" i="36"/>
  <c r="BV395" i="36"/>
  <c r="BV179" i="36"/>
  <c r="BV251" i="36"/>
  <c r="BV272" i="36"/>
  <c r="BV320" i="36"/>
  <c r="BV236" i="36"/>
  <c r="BV332" i="36"/>
  <c r="BV269" i="36"/>
  <c r="BV317" i="36"/>
  <c r="BV365" i="36"/>
  <c r="BV416" i="36"/>
  <c r="BV116" i="36"/>
  <c r="BV356" i="36"/>
  <c r="BV407" i="36"/>
  <c r="BV86" i="36"/>
  <c r="BV134" i="36"/>
  <c r="BV182" i="36"/>
  <c r="BV230" i="36"/>
  <c r="BV278" i="36"/>
  <c r="BV326" i="36"/>
  <c r="BV374" i="36"/>
  <c r="BV425" i="36"/>
  <c r="BV95" i="36"/>
  <c r="BV275" i="36"/>
  <c r="BV323" i="36"/>
  <c r="BV371" i="36"/>
  <c r="BV422" i="36"/>
  <c r="BV131" i="36"/>
  <c r="BV203" i="36"/>
  <c r="BV80" i="36"/>
  <c r="BV176" i="36"/>
  <c r="BV101" i="36"/>
  <c r="BV149" i="36"/>
  <c r="BV197" i="36"/>
  <c r="BV74" i="36"/>
  <c r="BV122" i="36"/>
  <c r="BV170" i="36"/>
  <c r="BV218" i="36"/>
  <c r="BV266" i="36"/>
  <c r="BV314" i="36"/>
  <c r="BV362" i="36"/>
  <c r="BV413" i="36"/>
  <c r="BV119" i="36"/>
  <c r="BV167" i="36"/>
  <c r="BV215" i="36"/>
  <c r="BV263" i="36"/>
  <c r="BV311" i="36"/>
  <c r="BV359" i="36"/>
  <c r="BV410" i="36"/>
  <c r="BV140" i="36"/>
  <c r="BV188" i="36"/>
  <c r="BV89" i="36"/>
  <c r="BV137" i="36"/>
  <c r="BV185" i="36"/>
  <c r="BV233" i="36"/>
  <c r="BV281" i="36"/>
  <c r="BV329" i="36"/>
  <c r="BV377" i="36"/>
  <c r="BV428" i="36"/>
  <c r="BV308" i="36"/>
  <c r="BV83" i="36"/>
  <c r="BV443" i="36"/>
  <c r="BF62" i="36"/>
  <c r="AV62" i="36"/>
  <c r="BA62" i="36"/>
  <c r="AI454" i="36"/>
  <c r="AI487" i="36"/>
  <c r="CC386" i="36"/>
  <c r="AG483" i="36"/>
  <c r="AG491" i="36"/>
  <c r="AI483" i="36"/>
  <c r="AG495" i="36"/>
  <c r="AG471" i="36"/>
  <c r="AH479" i="36"/>
  <c r="AI475" i="36"/>
  <c r="AH495" i="36"/>
  <c r="AH471" i="36"/>
  <c r="AG454" i="36"/>
  <c r="AH454" i="36"/>
  <c r="AH463" i="36"/>
  <c r="AI479" i="36"/>
  <c r="AH475" i="36"/>
  <c r="AG479" i="36"/>
  <c r="AH487" i="36"/>
  <c r="AI471" i="36"/>
  <c r="AI495" i="36"/>
  <c r="AG487" i="36"/>
  <c r="AI463" i="36"/>
  <c r="AH491" i="36"/>
  <c r="AG475" i="36"/>
  <c r="AG463" i="36"/>
  <c r="AH483" i="36"/>
  <c r="AI491" i="36"/>
  <c r="Q497" i="57"/>
  <c r="Q549" i="57" s="1"/>
  <c r="N503" i="57"/>
  <c r="N560" i="57" s="1"/>
  <c r="O485" i="57"/>
  <c r="O531" i="57" s="1"/>
  <c r="R509" i="57"/>
  <c r="R473" i="57"/>
  <c r="R514" i="57" s="1"/>
  <c r="O503" i="57"/>
  <c r="O561" i="57" s="1"/>
  <c r="Q503" i="57"/>
  <c r="Q561" i="57" s="1"/>
  <c r="R485" i="57"/>
  <c r="R531" i="57" s="1"/>
  <c r="R491" i="57"/>
  <c r="R540" i="57" s="1"/>
  <c r="K503" i="57"/>
  <c r="K561" i="57" s="1"/>
  <c r="P485" i="57"/>
  <c r="P534" i="57" s="1"/>
  <c r="R497" i="57"/>
  <c r="O473" i="57"/>
  <c r="O514" i="57" s="1"/>
  <c r="N479" i="57"/>
  <c r="N524" i="57" s="1"/>
  <c r="N491" i="57"/>
  <c r="N542" i="57" s="1"/>
  <c r="Q509" i="57"/>
  <c r="Q473" i="57"/>
  <c r="Q516" i="57" s="1"/>
  <c r="K509" i="57"/>
  <c r="O491" i="57"/>
  <c r="O541" i="57" s="1"/>
  <c r="Q479" i="57"/>
  <c r="Q522" i="57" s="1"/>
  <c r="L497" i="57"/>
  <c r="P491" i="57"/>
  <c r="P541" i="57" s="1"/>
  <c r="M491" i="57"/>
  <c r="L473" i="57"/>
  <c r="L514" i="57" s="1"/>
  <c r="K479" i="57"/>
  <c r="K525" i="57" s="1"/>
  <c r="N473" i="57"/>
  <c r="N509" i="57"/>
  <c r="O479" i="57"/>
  <c r="O522" i="57" s="1"/>
  <c r="M497" i="57"/>
  <c r="M549" i="57" s="1"/>
  <c r="O497" i="57"/>
  <c r="O550" i="57" s="1"/>
  <c r="K497" i="57"/>
  <c r="K552" i="57" s="1"/>
  <c r="L485" i="57"/>
  <c r="L532" i="57" s="1"/>
  <c r="P503" i="57"/>
  <c r="P560" i="57" s="1"/>
  <c r="L491" i="57"/>
  <c r="L542" i="57" s="1"/>
  <c r="N485" i="57"/>
  <c r="M485" i="57"/>
  <c r="M479" i="57"/>
  <c r="M524" i="57" s="1"/>
  <c r="R503" i="57"/>
  <c r="R558" i="57" s="1"/>
  <c r="M503" i="57"/>
  <c r="M559" i="57" s="1"/>
  <c r="N497" i="57"/>
  <c r="N552" i="57" s="1"/>
  <c r="Q491" i="57"/>
  <c r="L479" i="57"/>
  <c r="L524" i="57" s="1"/>
  <c r="L509" i="57"/>
  <c r="R479" i="57"/>
  <c r="R523" i="57" s="1"/>
  <c r="P509" i="57"/>
  <c r="P473" i="57"/>
  <c r="P514" i="57" s="1"/>
  <c r="K473" i="57"/>
  <c r="K514" i="57" s="1"/>
  <c r="M509" i="57"/>
  <c r="M473" i="57"/>
  <c r="M516" i="57" s="1"/>
  <c r="P497" i="57"/>
  <c r="P550" i="57" s="1"/>
  <c r="P479" i="57"/>
  <c r="P522" i="57" s="1"/>
  <c r="L503" i="57"/>
  <c r="L558" i="57" s="1"/>
  <c r="K491" i="57"/>
  <c r="K542" i="57" s="1"/>
  <c r="Q485" i="57"/>
  <c r="Q532" i="57" s="1"/>
  <c r="K485" i="57"/>
  <c r="K531" i="57" s="1"/>
  <c r="O509" i="57"/>
  <c r="BP386" i="36"/>
  <c r="BR386" i="36"/>
  <c r="Z473" i="57"/>
  <c r="Z514" i="57" s="1"/>
  <c r="M487" i="36"/>
  <c r="M515" i="36" s="1"/>
  <c r="Q483" i="36"/>
  <c r="Q511" i="36" s="1"/>
  <c r="N479" i="36"/>
  <c r="N507" i="36" s="1"/>
  <c r="Q479" i="36"/>
  <c r="Q508" i="36" s="1"/>
  <c r="L475" i="36"/>
  <c r="L503" i="36" s="1"/>
  <c r="Q487" i="36"/>
  <c r="Q515" i="36" s="1"/>
  <c r="K487" i="36"/>
  <c r="K515" i="36" s="1"/>
  <c r="K479" i="36"/>
  <c r="K507" i="36" s="1"/>
  <c r="M479" i="36"/>
  <c r="M507" i="36" s="1"/>
  <c r="Q475" i="36"/>
  <c r="Q503" i="36" s="1"/>
  <c r="Q471" i="36"/>
  <c r="P491" i="36"/>
  <c r="P519" i="36" s="1"/>
  <c r="O483" i="36"/>
  <c r="O512" i="36" s="1"/>
  <c r="O491" i="36"/>
  <c r="O519" i="36" s="1"/>
  <c r="L487" i="36"/>
  <c r="L516" i="36" s="1"/>
  <c r="K483" i="36"/>
  <c r="K511" i="36" s="1"/>
  <c r="N483" i="36"/>
  <c r="N511" i="36" s="1"/>
  <c r="P483" i="36"/>
  <c r="P512" i="36" s="1"/>
  <c r="O475" i="36"/>
  <c r="O504" i="36" s="1"/>
  <c r="L483" i="36"/>
  <c r="L511" i="36" s="1"/>
  <c r="K475" i="36"/>
  <c r="K504" i="36" s="1"/>
  <c r="N487" i="36"/>
  <c r="L479" i="36"/>
  <c r="L482" i="36" s="1"/>
  <c r="P475" i="36"/>
  <c r="P503" i="36" s="1"/>
  <c r="M483" i="36"/>
  <c r="M511" i="36" s="1"/>
  <c r="M475" i="36"/>
  <c r="M503" i="36" s="1"/>
  <c r="P479" i="36"/>
  <c r="P507" i="36" s="1"/>
  <c r="O487" i="36"/>
  <c r="O515" i="36" s="1"/>
  <c r="Q495" i="36"/>
  <c r="K495" i="36"/>
  <c r="K471" i="36"/>
  <c r="L495" i="36"/>
  <c r="L471" i="36"/>
  <c r="L500" i="36" s="1"/>
  <c r="N491" i="36"/>
  <c r="N520" i="36" s="1"/>
  <c r="P487" i="36"/>
  <c r="O479" i="36"/>
  <c r="O507" i="36" s="1"/>
  <c r="M471" i="36"/>
  <c r="M495" i="36"/>
  <c r="BI386" i="36"/>
  <c r="CB386" i="36"/>
  <c r="N475" i="36"/>
  <c r="N504" i="36" s="1"/>
  <c r="N495" i="36"/>
  <c r="N471" i="36"/>
  <c r="O495" i="36"/>
  <c r="O471" i="36"/>
  <c r="K491" i="36"/>
  <c r="K520" i="36" s="1"/>
  <c r="Q491" i="36"/>
  <c r="Q520" i="36" s="1"/>
  <c r="M491" i="36"/>
  <c r="M519" i="36" s="1"/>
  <c r="L491" i="36"/>
  <c r="L519" i="36" s="1"/>
  <c r="P495" i="36"/>
  <c r="P471" i="36"/>
  <c r="P500" i="36" s="1"/>
  <c r="BL221" i="36"/>
  <c r="BL437" i="36"/>
  <c r="BL209" i="36"/>
  <c r="BL125" i="36"/>
  <c r="BL317" i="36"/>
  <c r="BL416" i="36"/>
  <c r="BL305" i="36"/>
  <c r="BL404" i="36"/>
  <c r="BL98" i="36"/>
  <c r="BL194" i="36"/>
  <c r="BL95" i="36"/>
  <c r="BL119" i="36"/>
  <c r="BL197" i="36"/>
  <c r="BL140" i="36"/>
  <c r="BL218" i="36"/>
  <c r="BL215" i="36"/>
  <c r="BL164" i="36"/>
  <c r="BL266" i="36"/>
  <c r="BL413" i="36"/>
  <c r="BL101" i="36"/>
  <c r="BL293" i="36"/>
  <c r="BL392" i="36"/>
  <c r="BL383" i="36"/>
  <c r="BL185" i="36"/>
  <c r="BL281" i="36"/>
  <c r="BL377" i="36"/>
  <c r="BL113" i="36"/>
  <c r="BL182" i="36"/>
  <c r="BL278" i="36"/>
  <c r="BL374" i="36"/>
  <c r="BL92" i="36"/>
  <c r="BL74" i="36"/>
  <c r="BL122" i="36"/>
  <c r="BL146" i="36"/>
  <c r="BL77" i="36"/>
  <c r="BL173" i="36"/>
  <c r="BL269" i="36"/>
  <c r="BL365" i="36"/>
  <c r="BL149" i="36"/>
  <c r="BL434" i="36"/>
  <c r="BL287" i="36"/>
  <c r="BL359" i="36"/>
  <c r="BL158" i="36"/>
  <c r="BL326" i="36"/>
  <c r="BL161" i="36"/>
  <c r="BL257" i="36"/>
  <c r="BL167" i="36"/>
  <c r="BL116" i="36"/>
  <c r="BL284" i="36"/>
  <c r="BL380" i="36"/>
  <c r="BL341" i="36"/>
  <c r="BL143" i="36"/>
  <c r="BL290" i="36"/>
  <c r="BL233" i="36"/>
  <c r="BL353" i="36"/>
  <c r="BL428" i="36"/>
  <c r="BL263" i="36"/>
  <c r="BL311" i="36"/>
  <c r="BL110" i="36"/>
  <c r="BL389" i="36"/>
  <c r="BL188" i="36"/>
  <c r="BL131" i="36"/>
  <c r="BL227" i="36"/>
  <c r="BL323" i="36"/>
  <c r="BL422" i="36"/>
  <c r="BL128" i="36"/>
  <c r="BL320" i="36"/>
  <c r="BL170" i="36"/>
  <c r="BL314" i="36"/>
  <c r="BL335" i="36"/>
  <c r="BL236" i="36"/>
  <c r="BL71" i="36"/>
  <c r="BL299" i="36"/>
  <c r="BL107" i="36"/>
  <c r="BL224" i="36"/>
  <c r="BL419" i="36"/>
  <c r="BL212" i="36"/>
  <c r="BL260" i="36"/>
  <c r="BL203" i="36"/>
  <c r="BL398" i="36"/>
  <c r="BL86" i="36"/>
  <c r="BL200" i="36"/>
  <c r="BL296" i="36"/>
  <c r="BL206" i="36"/>
  <c r="BL302" i="36"/>
  <c r="BL245" i="36"/>
  <c r="BL440" i="36"/>
  <c r="BL137" i="36"/>
  <c r="BL329" i="36"/>
  <c r="BL407" i="36"/>
  <c r="BL431" i="36"/>
  <c r="BL134" i="36"/>
  <c r="BL401" i="36"/>
  <c r="BL83" i="36"/>
  <c r="BL179" i="36"/>
  <c r="BL275" i="36"/>
  <c r="BL371" i="36"/>
  <c r="BL362" i="36"/>
  <c r="BL104" i="36"/>
  <c r="BL395" i="36"/>
  <c r="BL254" i="36"/>
  <c r="BL242" i="36"/>
  <c r="BL191" i="36"/>
  <c r="BL410" i="36"/>
  <c r="BL332" i="36"/>
  <c r="BL230" i="36"/>
  <c r="BL155" i="36"/>
  <c r="BL251" i="36"/>
  <c r="BL239" i="36"/>
  <c r="BL356" i="36"/>
  <c r="BL80" i="36"/>
  <c r="BL176" i="36"/>
  <c r="BL272" i="36"/>
  <c r="BL368" i="36"/>
  <c r="BL350" i="36"/>
  <c r="BL308" i="36"/>
  <c r="BL338" i="36"/>
  <c r="BL248" i="36"/>
  <c r="BL425" i="36"/>
  <c r="BL89" i="36"/>
  <c r="BL344" i="36"/>
  <c r="BL347" i="36"/>
  <c r="BL152" i="36"/>
  <c r="BL443" i="36"/>
  <c r="BP203" i="36"/>
  <c r="BP251" i="36"/>
  <c r="BP134" i="36"/>
  <c r="BP104" i="36"/>
  <c r="BP254" i="36"/>
  <c r="BP131" i="36"/>
  <c r="BP137" i="36"/>
  <c r="BP233" i="36"/>
  <c r="BP329" i="36"/>
  <c r="BP428" i="36"/>
  <c r="BP152" i="36"/>
  <c r="BP221" i="36"/>
  <c r="BP317" i="36"/>
  <c r="BP227" i="36"/>
  <c r="BP305" i="36"/>
  <c r="BP404" i="36"/>
  <c r="BP290" i="36"/>
  <c r="BP182" i="36"/>
  <c r="BP278" i="36"/>
  <c r="BP113" i="36"/>
  <c r="BP209" i="36"/>
  <c r="BP86" i="36"/>
  <c r="BP197" i="36"/>
  <c r="BP293" i="36"/>
  <c r="BP392" i="36"/>
  <c r="BP98" i="36"/>
  <c r="BP194" i="36"/>
  <c r="BP389" i="36"/>
  <c r="BP302" i="36"/>
  <c r="BP89" i="36"/>
  <c r="BP185" i="36"/>
  <c r="BP281" i="36"/>
  <c r="BP377" i="36"/>
  <c r="BP110" i="36"/>
  <c r="BP173" i="36"/>
  <c r="BP83" i="36"/>
  <c r="BP179" i="36"/>
  <c r="BP257" i="36"/>
  <c r="BP353" i="36"/>
  <c r="BP245" i="36"/>
  <c r="BP365" i="36"/>
  <c r="BP275" i="36"/>
  <c r="BP323" i="36"/>
  <c r="BP128" i="36"/>
  <c r="BP176" i="36"/>
  <c r="BP362" i="36"/>
  <c r="BP158" i="36"/>
  <c r="BP440" i="36"/>
  <c r="BP80" i="36"/>
  <c r="BP341" i="36"/>
  <c r="BP155" i="36"/>
  <c r="BP239" i="36"/>
  <c r="BP335" i="36"/>
  <c r="BP434" i="36"/>
  <c r="BP248" i="36"/>
  <c r="BP146" i="36"/>
  <c r="BP218" i="36"/>
  <c r="BP314" i="36"/>
  <c r="BP326" i="36"/>
  <c r="BP200" i="36"/>
  <c r="BP344" i="36"/>
  <c r="BP107" i="36"/>
  <c r="BP347" i="36"/>
  <c r="BP443" i="36"/>
  <c r="BP77" i="36"/>
  <c r="BP215" i="36"/>
  <c r="BP224" i="36"/>
  <c r="BP71" i="36"/>
  <c r="BP140" i="36"/>
  <c r="BP236" i="36"/>
  <c r="BP332" i="36"/>
  <c r="BP431" i="36"/>
  <c r="BP422" i="36"/>
  <c r="BP143" i="36"/>
  <c r="BP311" i="36"/>
  <c r="BP410" i="36"/>
  <c r="BP116" i="36"/>
  <c r="BP308" i="36"/>
  <c r="BP269" i="36"/>
  <c r="BP296" i="36"/>
  <c r="BP242" i="36"/>
  <c r="BP338" i="36"/>
  <c r="BP413" i="36"/>
  <c r="BP425" i="36"/>
  <c r="BP212" i="36"/>
  <c r="BP371" i="36"/>
  <c r="BP101" i="36"/>
  <c r="BP170" i="36"/>
  <c r="BP383" i="36"/>
  <c r="BP350" i="36"/>
  <c r="BP119" i="36"/>
  <c r="BP407" i="36"/>
  <c r="BP161" i="36"/>
  <c r="BP149" i="36"/>
  <c r="BP416" i="36"/>
  <c r="BP299" i="36"/>
  <c r="BP125" i="36"/>
  <c r="BP266" i="36"/>
  <c r="BP437" i="36"/>
  <c r="BP206" i="36"/>
  <c r="BP398" i="36"/>
  <c r="BP191" i="36"/>
  <c r="BP287" i="36"/>
  <c r="BP320" i="36"/>
  <c r="BP395" i="36"/>
  <c r="BP95" i="36"/>
  <c r="BP92" i="36"/>
  <c r="BP359" i="36"/>
  <c r="BP272" i="36"/>
  <c r="BP368" i="36"/>
  <c r="BP74" i="36"/>
  <c r="BP188" i="36"/>
  <c r="BP284" i="36"/>
  <c r="BP380" i="36"/>
  <c r="BP122" i="36"/>
  <c r="BP263" i="36"/>
  <c r="BP401" i="36"/>
  <c r="BP164" i="36"/>
  <c r="BP230" i="36"/>
  <c r="BP374" i="36"/>
  <c r="BP260" i="36"/>
  <c r="BP167" i="36"/>
  <c r="BP419" i="36"/>
  <c r="BP356" i="36"/>
  <c r="BQ188" i="36"/>
  <c r="BQ284" i="36"/>
  <c r="BQ380" i="36"/>
  <c r="BQ272" i="36"/>
  <c r="BQ161" i="36"/>
  <c r="BQ92" i="36"/>
  <c r="BQ176" i="36"/>
  <c r="BQ368" i="36"/>
  <c r="BQ137" i="36"/>
  <c r="BQ152" i="36"/>
  <c r="BQ353" i="36"/>
  <c r="BQ131" i="36"/>
  <c r="BQ149" i="36"/>
  <c r="BQ329" i="36"/>
  <c r="BQ257" i="36"/>
  <c r="BQ206" i="36"/>
  <c r="BQ164" i="36"/>
  <c r="BQ260" i="36"/>
  <c r="BQ356" i="36"/>
  <c r="BQ248" i="36"/>
  <c r="BQ344" i="36"/>
  <c r="BQ443" i="36"/>
  <c r="BQ302" i="36"/>
  <c r="BQ128" i="36"/>
  <c r="BQ245" i="36"/>
  <c r="BQ341" i="36"/>
  <c r="BQ440" i="36"/>
  <c r="BQ158" i="36"/>
  <c r="BQ230" i="36"/>
  <c r="BQ332" i="36"/>
  <c r="BQ89" i="36"/>
  <c r="BQ209" i="36"/>
  <c r="BQ140" i="36"/>
  <c r="BQ236" i="36"/>
  <c r="BQ431" i="36"/>
  <c r="BQ281" i="36"/>
  <c r="BQ305" i="36"/>
  <c r="BQ86" i="36"/>
  <c r="BQ182" i="36"/>
  <c r="BQ407" i="36"/>
  <c r="BQ113" i="36"/>
  <c r="BQ212" i="36"/>
  <c r="BQ299" i="36"/>
  <c r="BQ323" i="36"/>
  <c r="BQ179" i="36"/>
  <c r="BQ251" i="36"/>
  <c r="BQ104" i="36"/>
  <c r="BQ278" i="36"/>
  <c r="BQ374" i="36"/>
  <c r="BQ77" i="36"/>
  <c r="BQ233" i="36"/>
  <c r="BQ290" i="36"/>
  <c r="BQ308" i="36"/>
  <c r="BQ395" i="36"/>
  <c r="BQ419" i="36"/>
  <c r="BQ326" i="36"/>
  <c r="BQ401" i="36"/>
  <c r="BQ101" i="36"/>
  <c r="BQ197" i="36"/>
  <c r="BQ269" i="36"/>
  <c r="BQ194" i="36"/>
  <c r="BQ389" i="36"/>
  <c r="BQ377" i="36"/>
  <c r="BQ422" i="36"/>
  <c r="BQ95" i="36"/>
  <c r="BQ224" i="36"/>
  <c r="BQ365" i="36"/>
  <c r="BQ155" i="36"/>
  <c r="BQ266" i="36"/>
  <c r="BQ362" i="36"/>
  <c r="BQ191" i="36"/>
  <c r="BQ287" i="36"/>
  <c r="BQ383" i="36"/>
  <c r="BQ83" i="36"/>
  <c r="BQ170" i="36"/>
  <c r="BQ254" i="36"/>
  <c r="BQ200" i="36"/>
  <c r="BQ125" i="36"/>
  <c r="BQ293" i="36"/>
  <c r="BQ392" i="36"/>
  <c r="BQ359" i="36"/>
  <c r="BQ320" i="36"/>
  <c r="BQ221" i="36"/>
  <c r="BQ317" i="36"/>
  <c r="BQ185" i="36"/>
  <c r="BQ404" i="36"/>
  <c r="BQ107" i="36"/>
  <c r="BQ203" i="36"/>
  <c r="BQ242" i="36"/>
  <c r="BQ338" i="36"/>
  <c r="BQ437" i="36"/>
  <c r="BQ110" i="36"/>
  <c r="BQ347" i="36"/>
  <c r="BQ74" i="36"/>
  <c r="BQ71" i="36"/>
  <c r="BQ167" i="36"/>
  <c r="BQ263" i="36"/>
  <c r="BQ434" i="36"/>
  <c r="BQ116" i="36"/>
  <c r="BQ296" i="36"/>
  <c r="BQ134" i="36"/>
  <c r="BQ350" i="36"/>
  <c r="BQ227" i="36"/>
  <c r="BQ371" i="36"/>
  <c r="BQ416" i="36"/>
  <c r="BQ428" i="36"/>
  <c r="BQ425" i="36"/>
  <c r="BQ80" i="36"/>
  <c r="BQ239" i="36"/>
  <c r="BQ146" i="36"/>
  <c r="BQ143" i="36"/>
  <c r="BQ335" i="36"/>
  <c r="BQ173" i="36"/>
  <c r="BQ218" i="36"/>
  <c r="BQ311" i="36"/>
  <c r="BQ215" i="36"/>
  <c r="BQ98" i="36"/>
  <c r="BQ398" i="36"/>
  <c r="BQ122" i="36"/>
  <c r="BQ413" i="36"/>
  <c r="BQ275" i="36"/>
  <c r="BQ119" i="36"/>
  <c r="BQ410" i="36"/>
  <c r="BQ314" i="36"/>
  <c r="BK92" i="36"/>
  <c r="BK254" i="36"/>
  <c r="BK95" i="36"/>
  <c r="BK215" i="36"/>
  <c r="BK434" i="36"/>
  <c r="BK74" i="36"/>
  <c r="BK170" i="36"/>
  <c r="BK266" i="36"/>
  <c r="BK362" i="36"/>
  <c r="BK158" i="36"/>
  <c r="BK350" i="36"/>
  <c r="BK242" i="36"/>
  <c r="BK407" i="36"/>
  <c r="BK230" i="36"/>
  <c r="BK425" i="36"/>
  <c r="BK86" i="36"/>
  <c r="BK323" i="36"/>
  <c r="BK146" i="36"/>
  <c r="BK338" i="36"/>
  <c r="BK437" i="36"/>
  <c r="BK71" i="36"/>
  <c r="BK134" i="36"/>
  <c r="BK326" i="36"/>
  <c r="BK140" i="36"/>
  <c r="BK188" i="36"/>
  <c r="BK380" i="36"/>
  <c r="BK137" i="36"/>
  <c r="BK131" i="36"/>
  <c r="BK227" i="36"/>
  <c r="BK422" i="36"/>
  <c r="BK218" i="36"/>
  <c r="BK236" i="36"/>
  <c r="BK122" i="36"/>
  <c r="BK314" i="36"/>
  <c r="BK413" i="36"/>
  <c r="BK239" i="36"/>
  <c r="BK212" i="36"/>
  <c r="BK98" i="36"/>
  <c r="BK194" i="36"/>
  <c r="BK290" i="36"/>
  <c r="BK374" i="36"/>
  <c r="BK164" i="36"/>
  <c r="BK260" i="36"/>
  <c r="BK89" i="36"/>
  <c r="BK371" i="36"/>
  <c r="BK206" i="36"/>
  <c r="BK311" i="36"/>
  <c r="BK332" i="36"/>
  <c r="BK263" i="36"/>
  <c r="BK389" i="36"/>
  <c r="BK167" i="36"/>
  <c r="BK191" i="36"/>
  <c r="BK428" i="36"/>
  <c r="BK80" i="36"/>
  <c r="BK176" i="36"/>
  <c r="BK182" i="36"/>
  <c r="BK302" i="36"/>
  <c r="BK398" i="36"/>
  <c r="BK257" i="36"/>
  <c r="BK83" i="36"/>
  <c r="BK272" i="36"/>
  <c r="BK368" i="36"/>
  <c r="BK329" i="36"/>
  <c r="BK353" i="36"/>
  <c r="BK365" i="36"/>
  <c r="BK305" i="36"/>
  <c r="BK377" i="36"/>
  <c r="BK431" i="36"/>
  <c r="BK248" i="36"/>
  <c r="BK359" i="36"/>
  <c r="BK77" i="36"/>
  <c r="BK173" i="36"/>
  <c r="BK269" i="36"/>
  <c r="BK233" i="36"/>
  <c r="BK344" i="36"/>
  <c r="BK443" i="36"/>
  <c r="BK149" i="36"/>
  <c r="BK245" i="36"/>
  <c r="BK341" i="36"/>
  <c r="BK356" i="36"/>
  <c r="BK155" i="36"/>
  <c r="BK143" i="36"/>
  <c r="BK287" i="36"/>
  <c r="BK440" i="36"/>
  <c r="BK278" i="36"/>
  <c r="BK383" i="36"/>
  <c r="BK410" i="36"/>
  <c r="BK281" i="36"/>
  <c r="BK251" i="36"/>
  <c r="BK110" i="36"/>
  <c r="BK224" i="36"/>
  <c r="BK320" i="36"/>
  <c r="BK416" i="36"/>
  <c r="BK401" i="36"/>
  <c r="BK119" i="36"/>
  <c r="BK284" i="36"/>
  <c r="BK308" i="36"/>
  <c r="BK113" i="36"/>
  <c r="BK107" i="36"/>
  <c r="BK179" i="36"/>
  <c r="BK275" i="36"/>
  <c r="BK347" i="36"/>
  <c r="BK161" i="36"/>
  <c r="BK185" i="36"/>
  <c r="BK419" i="36"/>
  <c r="BK335" i="36"/>
  <c r="BK404" i="36"/>
  <c r="BK128" i="36"/>
  <c r="BK125" i="36"/>
  <c r="BK221" i="36"/>
  <c r="BK200" i="36"/>
  <c r="BK296" i="36"/>
  <c r="BK395" i="36"/>
  <c r="BK116" i="36"/>
  <c r="BK317" i="36"/>
  <c r="BK203" i="36"/>
  <c r="BK299" i="36"/>
  <c r="BK209" i="36"/>
  <c r="BK392" i="36"/>
  <c r="BK197" i="36"/>
  <c r="BK293" i="36"/>
  <c r="BK152" i="36"/>
  <c r="BK101" i="36"/>
  <c r="BK104" i="36"/>
  <c r="BM218" i="36"/>
  <c r="BM368" i="36"/>
  <c r="BM173" i="36"/>
  <c r="BM437" i="36"/>
  <c r="BM260" i="36"/>
  <c r="BM356" i="36"/>
  <c r="BM170" i="36"/>
  <c r="BM80" i="36"/>
  <c r="BM176" i="36"/>
  <c r="BM272" i="36"/>
  <c r="BM164" i="36"/>
  <c r="BM152" i="36"/>
  <c r="BM344" i="36"/>
  <c r="BM443" i="36"/>
  <c r="BM140" i="36"/>
  <c r="BM236" i="36"/>
  <c r="BM332" i="36"/>
  <c r="BM431" i="36"/>
  <c r="BM314" i="36"/>
  <c r="BM434" i="36"/>
  <c r="BM233" i="36"/>
  <c r="BM428" i="36"/>
  <c r="BM341" i="36"/>
  <c r="BM248" i="36"/>
  <c r="BM149" i="36"/>
  <c r="BM290" i="36"/>
  <c r="BM167" i="36"/>
  <c r="BM137" i="36"/>
  <c r="BM329" i="36"/>
  <c r="BM392" i="36"/>
  <c r="BM122" i="36"/>
  <c r="BM194" i="36"/>
  <c r="BM128" i="36"/>
  <c r="BM320" i="36"/>
  <c r="BM419" i="36"/>
  <c r="BM440" i="36"/>
  <c r="BM101" i="36"/>
  <c r="BM224" i="36"/>
  <c r="BM104" i="36"/>
  <c r="BM200" i="36"/>
  <c r="BM413" i="36"/>
  <c r="BM125" i="36"/>
  <c r="BM212" i="36"/>
  <c r="BM92" i="36"/>
  <c r="BM305" i="36"/>
  <c r="BM377" i="36"/>
  <c r="BM296" i="36"/>
  <c r="BM188" i="36"/>
  <c r="BM95" i="36"/>
  <c r="BM311" i="36"/>
  <c r="BM359" i="36"/>
  <c r="BM71" i="36"/>
  <c r="BM308" i="36"/>
  <c r="BM263" i="36"/>
  <c r="BM404" i="36"/>
  <c r="BM278" i="36"/>
  <c r="BM143" i="36"/>
  <c r="BM161" i="36"/>
  <c r="BM197" i="36"/>
  <c r="BM389" i="36"/>
  <c r="BM182" i="36"/>
  <c r="BM374" i="36"/>
  <c r="BM293" i="36"/>
  <c r="BM98" i="36"/>
  <c r="BM83" i="36"/>
  <c r="BM77" i="36"/>
  <c r="BM284" i="36"/>
  <c r="BM362" i="36"/>
  <c r="BM257" i="36"/>
  <c r="BM116" i="36"/>
  <c r="BM350" i="36"/>
  <c r="BM179" i="36"/>
  <c r="BM275" i="36"/>
  <c r="BM371" i="36"/>
  <c r="BM119" i="36"/>
  <c r="BM134" i="36"/>
  <c r="BM158" i="36"/>
  <c r="BM254" i="36"/>
  <c r="BM317" i="36"/>
  <c r="BM383" i="36"/>
  <c r="BM410" i="36"/>
  <c r="BM251" i="36"/>
  <c r="BM347" i="36"/>
  <c r="BM407" i="36"/>
  <c r="BM266" i="36"/>
  <c r="BM365" i="36"/>
  <c r="BM380" i="36"/>
  <c r="BM113" i="36"/>
  <c r="BM185" i="36"/>
  <c r="BM353" i="36"/>
  <c r="BM221" i="36"/>
  <c r="BM191" i="36"/>
  <c r="BM215" i="36"/>
  <c r="BM74" i="36"/>
  <c r="BM146" i="36"/>
  <c r="BM155" i="36"/>
  <c r="BM422" i="36"/>
  <c r="BM395" i="36"/>
  <c r="BM269" i="36"/>
  <c r="BM338" i="36"/>
  <c r="BM209" i="36"/>
  <c r="BM281" i="36"/>
  <c r="BM239" i="36"/>
  <c r="BM287" i="36"/>
  <c r="BM110" i="36"/>
  <c r="BM230" i="36"/>
  <c r="BM326" i="36"/>
  <c r="BM425" i="36"/>
  <c r="BM131" i="36"/>
  <c r="BM89" i="36"/>
  <c r="BM86" i="36"/>
  <c r="BM227" i="36"/>
  <c r="BM323" i="36"/>
  <c r="BM245" i="36"/>
  <c r="BM401" i="36"/>
  <c r="BM242" i="36"/>
  <c r="BM206" i="36"/>
  <c r="BM299" i="36"/>
  <c r="BM107" i="36"/>
  <c r="BM398" i="36"/>
  <c r="BM302" i="36"/>
  <c r="BM416" i="36"/>
  <c r="BM335" i="36"/>
  <c r="BM203" i="36"/>
  <c r="BT245" i="36"/>
  <c r="BT341" i="36"/>
  <c r="BT440" i="36"/>
  <c r="BT233" i="36"/>
  <c r="BT149" i="36"/>
  <c r="BT146" i="36"/>
  <c r="BT137" i="36"/>
  <c r="BT329" i="36"/>
  <c r="BT122" i="36"/>
  <c r="BT74" i="36"/>
  <c r="BT389" i="36"/>
  <c r="BT191" i="36"/>
  <c r="BT263" i="36"/>
  <c r="BT221" i="36"/>
  <c r="BT437" i="36"/>
  <c r="BT209" i="36"/>
  <c r="BT404" i="36"/>
  <c r="BT110" i="36"/>
  <c r="BT302" i="36"/>
  <c r="BT401" i="36"/>
  <c r="BT290" i="36"/>
  <c r="BT266" i="36"/>
  <c r="BT125" i="36"/>
  <c r="BT317" i="36"/>
  <c r="BT416" i="36"/>
  <c r="BT92" i="36"/>
  <c r="BT305" i="36"/>
  <c r="BT359" i="36"/>
  <c r="BT206" i="36"/>
  <c r="BT410" i="36"/>
  <c r="BT197" i="36"/>
  <c r="BT101" i="36"/>
  <c r="BT293" i="36"/>
  <c r="BT392" i="36"/>
  <c r="BT77" i="36"/>
  <c r="BT173" i="36"/>
  <c r="BT269" i="36"/>
  <c r="BT185" i="36"/>
  <c r="BT356" i="36"/>
  <c r="BT431" i="36"/>
  <c r="BT134" i="36"/>
  <c r="BT98" i="36"/>
  <c r="BT242" i="36"/>
  <c r="BT434" i="36"/>
  <c r="BT167" i="36"/>
  <c r="BT281" i="36"/>
  <c r="BT287" i="36"/>
  <c r="BT383" i="36"/>
  <c r="BT116" i="36"/>
  <c r="BT155" i="36"/>
  <c r="BT161" i="36"/>
  <c r="BT257" i="36"/>
  <c r="BT377" i="36"/>
  <c r="BT254" i="36"/>
  <c r="BT425" i="36"/>
  <c r="BT215" i="36"/>
  <c r="BT113" i="36"/>
  <c r="BT251" i="36"/>
  <c r="BT347" i="36"/>
  <c r="BT71" i="36"/>
  <c r="BT143" i="36"/>
  <c r="BT380" i="36"/>
  <c r="BT83" i="36"/>
  <c r="BT152" i="36"/>
  <c r="BT248" i="36"/>
  <c r="BT365" i="36"/>
  <c r="BT311" i="36"/>
  <c r="BT182" i="36"/>
  <c r="BT350" i="36"/>
  <c r="BT218" i="36"/>
  <c r="BT164" i="36"/>
  <c r="BT323" i="36"/>
  <c r="BT314" i="36"/>
  <c r="BT407" i="36"/>
  <c r="BT131" i="36"/>
  <c r="BT344" i="36"/>
  <c r="BT443" i="36"/>
  <c r="BT140" i="36"/>
  <c r="BT188" i="36"/>
  <c r="BT107" i="36"/>
  <c r="BT227" i="36"/>
  <c r="BT422" i="36"/>
  <c r="BT128" i="36"/>
  <c r="BT320" i="36"/>
  <c r="BT353" i="36"/>
  <c r="BT428" i="36"/>
  <c r="BT362" i="36"/>
  <c r="BT239" i="36"/>
  <c r="BT335" i="36"/>
  <c r="BT278" i="36"/>
  <c r="BT374" i="36"/>
  <c r="BT419" i="36"/>
  <c r="BT89" i="36"/>
  <c r="BT95" i="36"/>
  <c r="BT86" i="36"/>
  <c r="BT212" i="36"/>
  <c r="BT284" i="36"/>
  <c r="BT224" i="36"/>
  <c r="BT230" i="36"/>
  <c r="BT308" i="36"/>
  <c r="BT170" i="36"/>
  <c r="BT203" i="36"/>
  <c r="BT299" i="36"/>
  <c r="BT398" i="36"/>
  <c r="BT200" i="36"/>
  <c r="BT296" i="36"/>
  <c r="BT179" i="36"/>
  <c r="BT275" i="36"/>
  <c r="BT413" i="36"/>
  <c r="BT236" i="36"/>
  <c r="BT332" i="36"/>
  <c r="BT104" i="36"/>
  <c r="BT395" i="36"/>
  <c r="BT158" i="36"/>
  <c r="BT326" i="36"/>
  <c r="BT194" i="36"/>
  <c r="BT371" i="36"/>
  <c r="BT80" i="36"/>
  <c r="BT338" i="36"/>
  <c r="BT119" i="36"/>
  <c r="BT368" i="36"/>
  <c r="BT176" i="36"/>
  <c r="BT272" i="36"/>
  <c r="BT260" i="36"/>
  <c r="BS263" i="36"/>
  <c r="BS389" i="36"/>
  <c r="BS137" i="36"/>
  <c r="BS71" i="36"/>
  <c r="BS191" i="36"/>
  <c r="BS98" i="36"/>
  <c r="BS194" i="36"/>
  <c r="BS290" i="36"/>
  <c r="BS95" i="36"/>
  <c r="BS182" i="36"/>
  <c r="BS278" i="36"/>
  <c r="BS374" i="36"/>
  <c r="BS119" i="36"/>
  <c r="BS74" i="36"/>
  <c r="BS254" i="36"/>
  <c r="BS332" i="36"/>
  <c r="BS155" i="36"/>
  <c r="BS167" i="36"/>
  <c r="BS170" i="36"/>
  <c r="BS266" i="36"/>
  <c r="BS362" i="36"/>
  <c r="BS158" i="36"/>
  <c r="BS350" i="36"/>
  <c r="BS308" i="36"/>
  <c r="BS428" i="36"/>
  <c r="BS251" i="36"/>
  <c r="BS347" i="36"/>
  <c r="BS410" i="36"/>
  <c r="BS113" i="36"/>
  <c r="BS287" i="36"/>
  <c r="BS242" i="36"/>
  <c r="BS146" i="36"/>
  <c r="BS338" i="36"/>
  <c r="BS437" i="36"/>
  <c r="BS143" i="36"/>
  <c r="BS314" i="36"/>
  <c r="BS407" i="36"/>
  <c r="BS179" i="36"/>
  <c r="BS89" i="36"/>
  <c r="BS185" i="36"/>
  <c r="BS110" i="36"/>
  <c r="BS401" i="36"/>
  <c r="BS425" i="36"/>
  <c r="BS230" i="36"/>
  <c r="BS212" i="36"/>
  <c r="BS260" i="36"/>
  <c r="BS107" i="36"/>
  <c r="BS116" i="36"/>
  <c r="BS164" i="36"/>
  <c r="BS161" i="36"/>
  <c r="BS200" i="36"/>
  <c r="BS395" i="36"/>
  <c r="BS206" i="36"/>
  <c r="BS236" i="36"/>
  <c r="BS233" i="36"/>
  <c r="BS203" i="36"/>
  <c r="BS371" i="36"/>
  <c r="BS359" i="36"/>
  <c r="BS104" i="36"/>
  <c r="BS296" i="36"/>
  <c r="BS101" i="36"/>
  <c r="BS392" i="36"/>
  <c r="BS122" i="36"/>
  <c r="BS413" i="36"/>
  <c r="BS134" i="36"/>
  <c r="BS326" i="36"/>
  <c r="BS215" i="36"/>
  <c r="BS86" i="36"/>
  <c r="BS131" i="36"/>
  <c r="BS227" i="36"/>
  <c r="BS299" i="36"/>
  <c r="BS80" i="36"/>
  <c r="BS176" i="36"/>
  <c r="BS368" i="36"/>
  <c r="BS209" i="36"/>
  <c r="BS197" i="36"/>
  <c r="BS293" i="36"/>
  <c r="BS281" i="36"/>
  <c r="BS83" i="36"/>
  <c r="BS272" i="36"/>
  <c r="BS329" i="36"/>
  <c r="BS353" i="36"/>
  <c r="BS365" i="36"/>
  <c r="BS218" i="36"/>
  <c r="BS302" i="36"/>
  <c r="BS239" i="36"/>
  <c r="BS398" i="36"/>
  <c r="BS269" i="36"/>
  <c r="BS305" i="36"/>
  <c r="BS323" i="36"/>
  <c r="BS431" i="36"/>
  <c r="BS152" i="36"/>
  <c r="BS248" i="36"/>
  <c r="BS77" i="36"/>
  <c r="BS173" i="36"/>
  <c r="BS245" i="36"/>
  <c r="BS275" i="36"/>
  <c r="BS356" i="36"/>
  <c r="BS380" i="36"/>
  <c r="BS257" i="36"/>
  <c r="BS377" i="36"/>
  <c r="BS422" i="36"/>
  <c r="BS335" i="36"/>
  <c r="BS344" i="36"/>
  <c r="BS443" i="36"/>
  <c r="BS188" i="36"/>
  <c r="BS149" i="36"/>
  <c r="BS341" i="36"/>
  <c r="BS440" i="36"/>
  <c r="BS224" i="36"/>
  <c r="BS419" i="36"/>
  <c r="BS383" i="36"/>
  <c r="BS284" i="36"/>
  <c r="BS128" i="36"/>
  <c r="BS317" i="36"/>
  <c r="BS125" i="36"/>
  <c r="BS404" i="36"/>
  <c r="BS320" i="36"/>
  <c r="BS92" i="36"/>
  <c r="BS416" i="36"/>
  <c r="BS221" i="36"/>
  <c r="BS140" i="36"/>
  <c r="BS311" i="36"/>
  <c r="BS434" i="36"/>
  <c r="BN131" i="36"/>
  <c r="BN323" i="36"/>
  <c r="BN74" i="36"/>
  <c r="BN215" i="36"/>
  <c r="BN311" i="36"/>
  <c r="BN227" i="36"/>
  <c r="BN422" i="36"/>
  <c r="BN80" i="36"/>
  <c r="BN410" i="36"/>
  <c r="BN299" i="36"/>
  <c r="BN440" i="36"/>
  <c r="BN383" i="36"/>
  <c r="BN149" i="36"/>
  <c r="BN365" i="36"/>
  <c r="BN380" i="36"/>
  <c r="BN173" i="36"/>
  <c r="BN107" i="36"/>
  <c r="BN203" i="36"/>
  <c r="BN398" i="36"/>
  <c r="BN191" i="36"/>
  <c r="BN287" i="36"/>
  <c r="BN314" i="36"/>
  <c r="BN338" i="36"/>
  <c r="BN95" i="36"/>
  <c r="BN188" i="36"/>
  <c r="BN284" i="36"/>
  <c r="BN200" i="36"/>
  <c r="BN344" i="36"/>
  <c r="BN392" i="36"/>
  <c r="BN101" i="36"/>
  <c r="BN272" i="36"/>
  <c r="BN368" i="36"/>
  <c r="BN83" i="36"/>
  <c r="BN179" i="36"/>
  <c r="BN275" i="36"/>
  <c r="BN371" i="36"/>
  <c r="BN104" i="36"/>
  <c r="BN125" i="36"/>
  <c r="BN443" i="36"/>
  <c r="BN98" i="36"/>
  <c r="BN263" i="36"/>
  <c r="BN317" i="36"/>
  <c r="BN290" i="36"/>
  <c r="BN146" i="36"/>
  <c r="BN269" i="36"/>
  <c r="BN170" i="36"/>
  <c r="BN242" i="36"/>
  <c r="BN413" i="36"/>
  <c r="BN71" i="36"/>
  <c r="BN155" i="36"/>
  <c r="BN143" i="36"/>
  <c r="BN239" i="36"/>
  <c r="BN359" i="36"/>
  <c r="BN248" i="36"/>
  <c r="BN395" i="36"/>
  <c r="BN176" i="36"/>
  <c r="BN89" i="36"/>
  <c r="BN197" i="36"/>
  <c r="BN251" i="36"/>
  <c r="BN335" i="36"/>
  <c r="BN434" i="36"/>
  <c r="BN416" i="36"/>
  <c r="BN266" i="36"/>
  <c r="BN116" i="36"/>
  <c r="BN212" i="36"/>
  <c r="BN194" i="36"/>
  <c r="BN233" i="36"/>
  <c r="BN329" i="36"/>
  <c r="BN428" i="36"/>
  <c r="BN419" i="36"/>
  <c r="BN425" i="36"/>
  <c r="BN122" i="36"/>
  <c r="BN341" i="36"/>
  <c r="BN437" i="36"/>
  <c r="BN305" i="36"/>
  <c r="BN245" i="36"/>
  <c r="BN362" i="36"/>
  <c r="BN134" i="36"/>
  <c r="BN230" i="36"/>
  <c r="BN326" i="36"/>
  <c r="BN209" i="36"/>
  <c r="BN404" i="36"/>
  <c r="BN128" i="36"/>
  <c r="BN140" i="36"/>
  <c r="BN236" i="36"/>
  <c r="BN308" i="36"/>
  <c r="BN110" i="36"/>
  <c r="BN401" i="36"/>
  <c r="BN152" i="36"/>
  <c r="BN320" i="36"/>
  <c r="BN221" i="36"/>
  <c r="BN407" i="36"/>
  <c r="BN119" i="36"/>
  <c r="BN185" i="36"/>
  <c r="BN296" i="36"/>
  <c r="BN206" i="36"/>
  <c r="BN302" i="36"/>
  <c r="BN374" i="36"/>
  <c r="BN356" i="36"/>
  <c r="BN347" i="36"/>
  <c r="BN167" i="36"/>
  <c r="BN77" i="36"/>
  <c r="BN293" i="36"/>
  <c r="BN164" i="36"/>
  <c r="BN260" i="36"/>
  <c r="BN332" i="36"/>
  <c r="BN431" i="36"/>
  <c r="BN224" i="36"/>
  <c r="BN281" i="36"/>
  <c r="BN377" i="36"/>
  <c r="BN113" i="36"/>
  <c r="BN86" i="36"/>
  <c r="BN182" i="36"/>
  <c r="BN278" i="36"/>
  <c r="BN161" i="36"/>
  <c r="BN137" i="36"/>
  <c r="BN350" i="36"/>
  <c r="BN257" i="36"/>
  <c r="BN218" i="36"/>
  <c r="BN254" i="36"/>
  <c r="BN389" i="36"/>
  <c r="BN92" i="36"/>
  <c r="BN353" i="36"/>
  <c r="BN158" i="36"/>
  <c r="BU200" i="36"/>
  <c r="BU296" i="36"/>
  <c r="BU395" i="36"/>
  <c r="BU284" i="36"/>
  <c r="BU104" i="36"/>
  <c r="BU188" i="36"/>
  <c r="BU317" i="36"/>
  <c r="BU176" i="36"/>
  <c r="BU368" i="36"/>
  <c r="BU356" i="36"/>
  <c r="BU392" i="36"/>
  <c r="BU335" i="36"/>
  <c r="BU161" i="36"/>
  <c r="BU257" i="36"/>
  <c r="BU74" i="36"/>
  <c r="BU80" i="36"/>
  <c r="BU272" i="36"/>
  <c r="BU164" i="36"/>
  <c r="BU260" i="36"/>
  <c r="BU221" i="36"/>
  <c r="BU218" i="36"/>
  <c r="BU266" i="36"/>
  <c r="BU314" i="36"/>
  <c r="BU353" i="36"/>
  <c r="BU152" i="36"/>
  <c r="BU248" i="36"/>
  <c r="BU344" i="36"/>
  <c r="BU443" i="36"/>
  <c r="BU389" i="36"/>
  <c r="BU143" i="36"/>
  <c r="BU140" i="36"/>
  <c r="BU77" i="36"/>
  <c r="BU197" i="36"/>
  <c r="BU149" i="36"/>
  <c r="BU293" i="36"/>
  <c r="BU224" i="36"/>
  <c r="BU320" i="36"/>
  <c r="BU440" i="36"/>
  <c r="BU407" i="36"/>
  <c r="BU431" i="36"/>
  <c r="BU245" i="36"/>
  <c r="BU410" i="36"/>
  <c r="BU185" i="36"/>
  <c r="BU191" i="36"/>
  <c r="BU128" i="36"/>
  <c r="BU419" i="36"/>
  <c r="BU332" i="36"/>
  <c r="BU338" i="36"/>
  <c r="BU212" i="36"/>
  <c r="BU413" i="36"/>
  <c r="BU377" i="36"/>
  <c r="BU269" i="36"/>
  <c r="BU437" i="36"/>
  <c r="BU92" i="36"/>
  <c r="BU302" i="36"/>
  <c r="BU125" i="36"/>
  <c r="BU434" i="36"/>
  <c r="BU116" i="36"/>
  <c r="BU137" i="36"/>
  <c r="BU233" i="36"/>
  <c r="BU305" i="36"/>
  <c r="BU101" i="36"/>
  <c r="BU416" i="36"/>
  <c r="BU206" i="36"/>
  <c r="BU401" i="36"/>
  <c r="BU122" i="36"/>
  <c r="BU299" i="36"/>
  <c r="BU308" i="36"/>
  <c r="BU146" i="36"/>
  <c r="BU119" i="36"/>
  <c r="BU404" i="36"/>
  <c r="BU71" i="36"/>
  <c r="BU278" i="36"/>
  <c r="BU341" i="36"/>
  <c r="BU263" i="36"/>
  <c r="BU311" i="36"/>
  <c r="BU107" i="36"/>
  <c r="BU203" i="36"/>
  <c r="BU398" i="36"/>
  <c r="BU167" i="36"/>
  <c r="BU182" i="36"/>
  <c r="BU374" i="36"/>
  <c r="BU86" i="36"/>
  <c r="BU83" i="36"/>
  <c r="BU179" i="36"/>
  <c r="BU290" i="36"/>
  <c r="BU329" i="36"/>
  <c r="BU428" i="36"/>
  <c r="BU371" i="36"/>
  <c r="BU362" i="36"/>
  <c r="BU158" i="36"/>
  <c r="BU110" i="36"/>
  <c r="BU134" i="36"/>
  <c r="BU275" i="36"/>
  <c r="BU113" i="36"/>
  <c r="BU95" i="36"/>
  <c r="BU236" i="36"/>
  <c r="BU380" i="36"/>
  <c r="BU242" i="36"/>
  <c r="BU239" i="36"/>
  <c r="BU254" i="36"/>
  <c r="BU350" i="36"/>
  <c r="BU383" i="36"/>
  <c r="BU155" i="36"/>
  <c r="BU251" i="36"/>
  <c r="BU365" i="36"/>
  <c r="BU215" i="36"/>
  <c r="BU287" i="36"/>
  <c r="BU89" i="36"/>
  <c r="BU347" i="36"/>
  <c r="BU209" i="36"/>
  <c r="BU281" i="36"/>
  <c r="BU194" i="36"/>
  <c r="BU422" i="36"/>
  <c r="BU173" i="36"/>
  <c r="BU326" i="36"/>
  <c r="BU98" i="36"/>
  <c r="BU227" i="36"/>
  <c r="BU170" i="36"/>
  <c r="BU359" i="36"/>
  <c r="BU425" i="36"/>
  <c r="BU323" i="36"/>
  <c r="BU131" i="36"/>
  <c r="BU230" i="36"/>
  <c r="BL386" i="36"/>
  <c r="BT386" i="36"/>
  <c r="BR113" i="36"/>
  <c r="BR335" i="36"/>
  <c r="BR323" i="36"/>
  <c r="BR185" i="36"/>
  <c r="BR143" i="36"/>
  <c r="BR239" i="36"/>
  <c r="BR434" i="36"/>
  <c r="BR131" i="36"/>
  <c r="BR227" i="36"/>
  <c r="BR164" i="36"/>
  <c r="BR284" i="36"/>
  <c r="BR398" i="36"/>
  <c r="BR236" i="36"/>
  <c r="BR233" i="36"/>
  <c r="BR257" i="36"/>
  <c r="BR377" i="36"/>
  <c r="BR296" i="36"/>
  <c r="BR116" i="36"/>
  <c r="BR119" i="36"/>
  <c r="BR215" i="36"/>
  <c r="BR311" i="36"/>
  <c r="BR410" i="36"/>
  <c r="BR110" i="36"/>
  <c r="BR203" i="36"/>
  <c r="BR299" i="36"/>
  <c r="BR254" i="36"/>
  <c r="BR104" i="36"/>
  <c r="BR200" i="36"/>
  <c r="BR395" i="36"/>
  <c r="BR308" i="36"/>
  <c r="BR332" i="36"/>
  <c r="BR137" i="36"/>
  <c r="BR95" i="36"/>
  <c r="BR140" i="36"/>
  <c r="BR260" i="36"/>
  <c r="BR209" i="36"/>
  <c r="BR191" i="36"/>
  <c r="BR287" i="36"/>
  <c r="BR383" i="36"/>
  <c r="BR212" i="36"/>
  <c r="BR167" i="36"/>
  <c r="BR263" i="36"/>
  <c r="BR359" i="36"/>
  <c r="BR134" i="36"/>
  <c r="BR347" i="36"/>
  <c r="BR71" i="36"/>
  <c r="BR83" i="36"/>
  <c r="BR179" i="36"/>
  <c r="BR152" i="36"/>
  <c r="BR320" i="36"/>
  <c r="BR428" i="36"/>
  <c r="BR206" i="36"/>
  <c r="BR341" i="36"/>
  <c r="BR353" i="36"/>
  <c r="BR374" i="36"/>
  <c r="BR248" i="36"/>
  <c r="BR431" i="36"/>
  <c r="BR404" i="36"/>
  <c r="BR278" i="36"/>
  <c r="BR245" i="36"/>
  <c r="BR440" i="36"/>
  <c r="BR80" i="36"/>
  <c r="BR242" i="36"/>
  <c r="BR437" i="36"/>
  <c r="BR155" i="36"/>
  <c r="BR275" i="36"/>
  <c r="BR176" i="36"/>
  <c r="BR419" i="36"/>
  <c r="BR182" i="36"/>
  <c r="BR149" i="36"/>
  <c r="BR317" i="36"/>
  <c r="BR146" i="36"/>
  <c r="BR338" i="36"/>
  <c r="BR107" i="36"/>
  <c r="BR221" i="36"/>
  <c r="BR416" i="36"/>
  <c r="BR230" i="36"/>
  <c r="BR401" i="36"/>
  <c r="BR425" i="36"/>
  <c r="BR125" i="36"/>
  <c r="BR218" i="36"/>
  <c r="BR161" i="36"/>
  <c r="BR281" i="36"/>
  <c r="BR305" i="36"/>
  <c r="BR326" i="36"/>
  <c r="BR272" i="36"/>
  <c r="BR344" i="36"/>
  <c r="BR413" i="36"/>
  <c r="BR251" i="36"/>
  <c r="BR371" i="36"/>
  <c r="BR422" i="36"/>
  <c r="BR329" i="36"/>
  <c r="BR86" i="36"/>
  <c r="BR368" i="36"/>
  <c r="BR443" i="36"/>
  <c r="BR158" i="36"/>
  <c r="BR197" i="36"/>
  <c r="BR293" i="36"/>
  <c r="BR380" i="36"/>
  <c r="BR122" i="36"/>
  <c r="BR314" i="36"/>
  <c r="BR389" i="36"/>
  <c r="BR92" i="36"/>
  <c r="BR188" i="36"/>
  <c r="BR407" i="36"/>
  <c r="BR302" i="36"/>
  <c r="BR101" i="36"/>
  <c r="BR392" i="36"/>
  <c r="BR194" i="36"/>
  <c r="BR365" i="36"/>
  <c r="BR89" i="36"/>
  <c r="BR98" i="36"/>
  <c r="BR290" i="36"/>
  <c r="BR224" i="36"/>
  <c r="BR74" i="36"/>
  <c r="BR362" i="36"/>
  <c r="BR266" i="36"/>
  <c r="BR128" i="36"/>
  <c r="BR173" i="36"/>
  <c r="BR77" i="36"/>
  <c r="BR269" i="36"/>
  <c r="BR170" i="36"/>
  <c r="BR356" i="36"/>
  <c r="BR350" i="36"/>
  <c r="BO86" i="36"/>
  <c r="BO182" i="36"/>
  <c r="BO419" i="36"/>
  <c r="BO83" i="36"/>
  <c r="BO203" i="36"/>
  <c r="BO278" i="36"/>
  <c r="BO374" i="36"/>
  <c r="BO170" i="36"/>
  <c r="BO266" i="36"/>
  <c r="BO362" i="36"/>
  <c r="BO299" i="36"/>
  <c r="BO146" i="36"/>
  <c r="BO272" i="36"/>
  <c r="BO320" i="36"/>
  <c r="BO440" i="36"/>
  <c r="BO143" i="36"/>
  <c r="BO335" i="36"/>
  <c r="BO434" i="36"/>
  <c r="BO227" i="36"/>
  <c r="BO158" i="36"/>
  <c r="BO254" i="36"/>
  <c r="BO350" i="36"/>
  <c r="BO107" i="36"/>
  <c r="BO242" i="36"/>
  <c r="BO338" i="36"/>
  <c r="BO437" i="36"/>
  <c r="BO239" i="36"/>
  <c r="BO155" i="36"/>
  <c r="BO251" i="36"/>
  <c r="BO134" i="36"/>
  <c r="BO230" i="36"/>
  <c r="BO425" i="36"/>
  <c r="BO179" i="36"/>
  <c r="BO326" i="36"/>
  <c r="BO275" i="36"/>
  <c r="BO104" i="36"/>
  <c r="BO110" i="36"/>
  <c r="BO206" i="36"/>
  <c r="BO401" i="36"/>
  <c r="BO395" i="36"/>
  <c r="BO194" i="36"/>
  <c r="BO323" i="36"/>
  <c r="BO152" i="36"/>
  <c r="BO344" i="36"/>
  <c r="BO290" i="36"/>
  <c r="BO341" i="36"/>
  <c r="BO74" i="36"/>
  <c r="BO188" i="36"/>
  <c r="BO413" i="36"/>
  <c r="BO398" i="36"/>
  <c r="BO296" i="36"/>
  <c r="BO368" i="36"/>
  <c r="BO167" i="36"/>
  <c r="BO263" i="36"/>
  <c r="BO101" i="36"/>
  <c r="BO122" i="36"/>
  <c r="BO284" i="36"/>
  <c r="BO380" i="36"/>
  <c r="BO89" i="36"/>
  <c r="BO281" i="36"/>
  <c r="BO248" i="36"/>
  <c r="BO389" i="36"/>
  <c r="BO221" i="36"/>
  <c r="BO365" i="36"/>
  <c r="BO359" i="36"/>
  <c r="BO443" i="36"/>
  <c r="BO293" i="36"/>
  <c r="BO245" i="36"/>
  <c r="BO185" i="36"/>
  <c r="BO377" i="36"/>
  <c r="BO176" i="36"/>
  <c r="BO98" i="36"/>
  <c r="BO164" i="36"/>
  <c r="BO260" i="36"/>
  <c r="BO356" i="36"/>
  <c r="BO422" i="36"/>
  <c r="BO269" i="36"/>
  <c r="BO392" i="36"/>
  <c r="BO161" i="36"/>
  <c r="BO257" i="36"/>
  <c r="BO125" i="36"/>
  <c r="BO173" i="36"/>
  <c r="BO95" i="36"/>
  <c r="BO119" i="36"/>
  <c r="BO191" i="36"/>
  <c r="BO302" i="36"/>
  <c r="BO218" i="36"/>
  <c r="BO131" i="36"/>
  <c r="BO287" i="36"/>
  <c r="BO383" i="36"/>
  <c r="BO197" i="36"/>
  <c r="BO200" i="36"/>
  <c r="BO317" i="36"/>
  <c r="BO353" i="36"/>
  <c r="BO233" i="36"/>
  <c r="BO371" i="36"/>
  <c r="BO314" i="36"/>
  <c r="BO215" i="36"/>
  <c r="BO311" i="36"/>
  <c r="BO347" i="36"/>
  <c r="BO149" i="36"/>
  <c r="BO71" i="36"/>
  <c r="BO92" i="36"/>
  <c r="BO236" i="36"/>
  <c r="BO332" i="36"/>
  <c r="BO431" i="36"/>
  <c r="BO137" i="36"/>
  <c r="BO329" i="36"/>
  <c r="BO212" i="36"/>
  <c r="BO128" i="36"/>
  <c r="BO416" i="36"/>
  <c r="BO428" i="36"/>
  <c r="BO80" i="36"/>
  <c r="BO113" i="36"/>
  <c r="BO308" i="36"/>
  <c r="BO410" i="36"/>
  <c r="BO404" i="36"/>
  <c r="BO140" i="36"/>
  <c r="BO209" i="36"/>
  <c r="BO224" i="36"/>
  <c r="BO77" i="36"/>
  <c r="BO116" i="36"/>
  <c r="BO407" i="36"/>
  <c r="BO305" i="36"/>
  <c r="BQ386" i="36"/>
  <c r="S497" i="57"/>
  <c r="S550" i="57" s="1"/>
  <c r="AB497" i="57"/>
  <c r="Z497" i="57"/>
  <c r="Z549" i="57" s="1"/>
  <c r="T491" i="57"/>
  <c r="T540" i="57" s="1"/>
  <c r="AC491" i="57"/>
  <c r="AC540" i="57" s="1"/>
  <c r="U485" i="57"/>
  <c r="AC485" i="57"/>
  <c r="AC533" i="57" s="1"/>
  <c r="Y479" i="57"/>
  <c r="Y525" i="57" s="1"/>
  <c r="AE509" i="57"/>
  <c r="AB503" i="57"/>
  <c r="AB560" i="57" s="1"/>
  <c r="X503" i="57"/>
  <c r="X558" i="57" s="1"/>
  <c r="T497" i="57"/>
  <c r="T550" i="57" s="1"/>
  <c r="AF491" i="57"/>
  <c r="X485" i="57"/>
  <c r="X533" i="57" s="1"/>
  <c r="Z479" i="57"/>
  <c r="Z522" i="57" s="1"/>
  <c r="AB473" i="57"/>
  <c r="AB513" i="57" s="1"/>
  <c r="AB509" i="57"/>
  <c r="Y473" i="57"/>
  <c r="Y514" i="57" s="1"/>
  <c r="Y509" i="57"/>
  <c r="Z509" i="57"/>
  <c r="V503" i="57"/>
  <c r="V560" i="57" s="1"/>
  <c r="AA497" i="57"/>
  <c r="AA552" i="57" s="1"/>
  <c r="X497" i="57"/>
  <c r="X549" i="57" s="1"/>
  <c r="T485" i="57"/>
  <c r="T531" i="57" s="1"/>
  <c r="W485" i="57"/>
  <c r="AA479" i="57"/>
  <c r="AA524" i="57" s="1"/>
  <c r="V479" i="57"/>
  <c r="V524" i="57" s="1"/>
  <c r="W473" i="57"/>
  <c r="W516" i="57" s="1"/>
  <c r="W509" i="57"/>
  <c r="W510" i="57" s="1"/>
  <c r="T503" i="57"/>
  <c r="T560" i="57" s="1"/>
  <c r="AC503" i="57"/>
  <c r="AC560" i="57" s="1"/>
  <c r="Y497" i="57"/>
  <c r="AA491" i="57"/>
  <c r="AA542" i="57" s="1"/>
  <c r="S485" i="57"/>
  <c r="S531" i="57" s="1"/>
  <c r="AF497" i="57"/>
  <c r="AF552" i="57" s="1"/>
  <c r="AC497" i="57"/>
  <c r="AC552" i="57" s="1"/>
  <c r="U491" i="57"/>
  <c r="U542" i="57" s="1"/>
  <c r="AE491" i="57"/>
  <c r="V491" i="57"/>
  <c r="V540" i="57" s="1"/>
  <c r="Z491" i="57"/>
  <c r="AB485" i="57"/>
  <c r="AB534" i="57" s="1"/>
  <c r="S479" i="57"/>
  <c r="S524" i="57" s="1"/>
  <c r="V473" i="57"/>
  <c r="V509" i="57"/>
  <c r="U473" i="57"/>
  <c r="U509" i="57"/>
  <c r="U510" i="57" s="1"/>
  <c r="X479" i="57"/>
  <c r="X524" i="57" s="1"/>
  <c r="AF473" i="57"/>
  <c r="AF515" i="57" s="1"/>
  <c r="AF509" i="57"/>
  <c r="AA485" i="57"/>
  <c r="AB479" i="57"/>
  <c r="AB524" i="57" s="1"/>
  <c r="AC473" i="57"/>
  <c r="AC514" i="57" s="1"/>
  <c r="AC509" i="57"/>
  <c r="S473" i="57"/>
  <c r="S515" i="57" s="1"/>
  <c r="S509" i="57"/>
  <c r="AF503" i="57"/>
  <c r="AF559" i="57" s="1"/>
  <c r="AD503" i="57"/>
  <c r="AD558" i="57" s="1"/>
  <c r="W497" i="57"/>
  <c r="W549" i="57" s="1"/>
  <c r="U497" i="57"/>
  <c r="W491" i="57"/>
  <c r="W541" i="57" s="1"/>
  <c r="V485" i="57"/>
  <c r="W479" i="57"/>
  <c r="W523" i="57" s="1"/>
  <c r="AF479" i="57"/>
  <c r="AF525" i="57" s="1"/>
  <c r="AA473" i="57"/>
  <c r="AA514" i="57" s="1"/>
  <c r="T473" i="57"/>
  <c r="T515" i="57" s="1"/>
  <c r="T509" i="57"/>
  <c r="Y503" i="57"/>
  <c r="Y561" i="57" s="1"/>
  <c r="AE497" i="57"/>
  <c r="AE552" i="57" s="1"/>
  <c r="Y485" i="57"/>
  <c r="Y532" i="57" s="1"/>
  <c r="S503" i="57"/>
  <c r="S559" i="57" s="1"/>
  <c r="AB491" i="57"/>
  <c r="AB542" i="57" s="1"/>
  <c r="AD485" i="57"/>
  <c r="AD533" i="57" s="1"/>
  <c r="W503" i="57"/>
  <c r="W561" i="57" s="1"/>
  <c r="U503" i="57"/>
  <c r="S491" i="57"/>
  <c r="S540" i="57" s="1"/>
  <c r="AD491" i="57"/>
  <c r="AD542" i="57" s="1"/>
  <c r="Y491" i="57"/>
  <c r="Z485" i="57"/>
  <c r="Z531" i="57" s="1"/>
  <c r="AE485" i="57"/>
  <c r="AE533" i="57" s="1"/>
  <c r="AE473" i="57"/>
  <c r="AE513" i="57" s="1"/>
  <c r="Z503" i="57"/>
  <c r="Z561" i="57" s="1"/>
  <c r="AA509" i="57"/>
  <c r="AA503" i="57"/>
  <c r="AA559" i="57" s="1"/>
  <c r="AE503" i="57"/>
  <c r="AE561" i="57" s="1"/>
  <c r="V497" i="57"/>
  <c r="V551" i="57" s="1"/>
  <c r="AD497" i="57"/>
  <c r="AD550" i="57" s="1"/>
  <c r="X491" i="57"/>
  <c r="X540" i="57" s="1"/>
  <c r="AF485" i="57"/>
  <c r="AC479" i="57"/>
  <c r="AC525" i="57" s="1"/>
  <c r="AD479" i="57"/>
  <c r="AD523" i="57" s="1"/>
  <c r="T479" i="57"/>
  <c r="T522" i="57" s="1"/>
  <c r="AE479" i="57"/>
  <c r="AE525" i="57" s="1"/>
  <c r="AD473" i="57"/>
  <c r="AD514" i="57" s="1"/>
  <c r="AD509" i="57"/>
  <c r="X473" i="57"/>
  <c r="X516" i="57" s="1"/>
  <c r="X509" i="57"/>
  <c r="U479" i="57"/>
  <c r="U523" i="57" s="1"/>
  <c r="AD483" i="36"/>
  <c r="Z483" i="36"/>
  <c r="AE483" i="36"/>
  <c r="AJ491" i="36"/>
  <c r="AA471" i="36"/>
  <c r="X483" i="36"/>
  <c r="W471" i="36"/>
  <c r="W483" i="36"/>
  <c r="AB475" i="36"/>
  <c r="W479" i="36"/>
  <c r="T475" i="36"/>
  <c r="W475" i="36"/>
  <c r="W503" i="36" s="1"/>
  <c r="X491" i="36"/>
  <c r="AA479" i="36"/>
  <c r="AE475" i="36"/>
  <c r="U483" i="36"/>
  <c r="U511" i="36" s="1"/>
  <c r="R475" i="36"/>
  <c r="AJ487" i="36"/>
  <c r="Z479" i="36"/>
  <c r="Z507" i="36" s="1"/>
  <c r="AE487" i="36"/>
  <c r="AA483" i="36"/>
  <c r="AE491" i="36"/>
  <c r="W487" i="36"/>
  <c r="AJ483" i="36"/>
  <c r="AC479" i="36"/>
  <c r="X475" i="36"/>
  <c r="Z471" i="36"/>
  <c r="Z499" i="36" s="1"/>
  <c r="U491" i="36"/>
  <c r="U520" i="36" s="1"/>
  <c r="AA495" i="36"/>
  <c r="AA491" i="36"/>
  <c r="X479" i="36"/>
  <c r="S471" i="36"/>
  <c r="S500" i="36" s="1"/>
  <c r="S495" i="36"/>
  <c r="T491" i="36"/>
  <c r="Z495" i="36"/>
  <c r="Z491" i="36"/>
  <c r="Z520" i="36" s="1"/>
  <c r="T487" i="36"/>
  <c r="T515" i="36" s="1"/>
  <c r="R483" i="36"/>
  <c r="R511" i="36" s="1"/>
  <c r="AE479" i="36"/>
  <c r="AA475" i="36"/>
  <c r="Y495" i="36"/>
  <c r="Y491" i="36"/>
  <c r="AF487" i="36"/>
  <c r="X487" i="36"/>
  <c r="X516" i="36" s="1"/>
  <c r="R479" i="36"/>
  <c r="R507" i="36" s="1"/>
  <c r="AB491" i="36"/>
  <c r="S491" i="36"/>
  <c r="S520" i="36" s="1"/>
  <c r="Y487" i="36"/>
  <c r="AB483" i="36"/>
  <c r="Y483" i="36"/>
  <c r="AF479" i="36"/>
  <c r="AD479" i="36"/>
  <c r="AJ479" i="36"/>
  <c r="V479" i="36"/>
  <c r="Y475" i="36"/>
  <c r="AJ475" i="36"/>
  <c r="AD495" i="36"/>
  <c r="AD491" i="36"/>
  <c r="AA487" i="36"/>
  <c r="S483" i="36"/>
  <c r="S512" i="36" s="1"/>
  <c r="T483" i="36"/>
  <c r="T512" i="36" s="1"/>
  <c r="S479" i="36"/>
  <c r="AB479" i="36"/>
  <c r="Z475" i="36"/>
  <c r="U475" i="36"/>
  <c r="AF471" i="36"/>
  <c r="AF495" i="36"/>
  <c r="AE471" i="36"/>
  <c r="AE495" i="36"/>
  <c r="AC491" i="36"/>
  <c r="AD487" i="36"/>
  <c r="S475" i="36"/>
  <c r="S503" i="36" s="1"/>
  <c r="Y471" i="36"/>
  <c r="U471" i="36"/>
  <c r="R471" i="36"/>
  <c r="R500" i="36" s="1"/>
  <c r="AF491" i="36"/>
  <c r="Z487" i="36"/>
  <c r="U487" i="36"/>
  <c r="U516" i="36" s="1"/>
  <c r="AC483" i="36"/>
  <c r="U479" i="36"/>
  <c r="Y479" i="36"/>
  <c r="T471" i="36"/>
  <c r="T499" i="36" s="1"/>
  <c r="T495" i="36"/>
  <c r="AB487" i="36"/>
  <c r="V475" i="36"/>
  <c r="V471" i="36"/>
  <c r="V495" i="36"/>
  <c r="AJ471" i="36"/>
  <c r="AJ495" i="36"/>
  <c r="X471" i="36"/>
  <c r="X499" i="36" s="1"/>
  <c r="X495" i="36"/>
  <c r="R495" i="36"/>
  <c r="R491" i="36"/>
  <c r="R519" i="36" s="1"/>
  <c r="V487" i="36"/>
  <c r="AD475" i="36"/>
  <c r="AC471" i="36"/>
  <c r="AC495" i="36"/>
  <c r="AB471" i="36"/>
  <c r="AB495" i="36"/>
  <c r="V491" i="36"/>
  <c r="W495" i="36"/>
  <c r="W491" i="36"/>
  <c r="R487" i="36"/>
  <c r="S487" i="36"/>
  <c r="AC487" i="36"/>
  <c r="V483" i="36"/>
  <c r="AF483" i="36"/>
  <c r="T479" i="36"/>
  <c r="T508" i="36" s="1"/>
  <c r="AC475" i="36"/>
  <c r="U495" i="36"/>
  <c r="AD471" i="36"/>
  <c r="BX237" i="90"/>
  <c r="BT239" i="90"/>
  <c r="BU239" i="90"/>
  <c r="BX62" i="90"/>
  <c r="BV63" i="90"/>
  <c r="BZ237" i="90"/>
  <c r="BV239" i="90"/>
  <c r="BW237" i="90"/>
  <c r="BU63" i="90"/>
  <c r="BX239" i="90"/>
  <c r="BU62" i="90"/>
  <c r="BV62" i="90"/>
  <c r="BY237" i="90"/>
  <c r="BW239" i="90"/>
  <c r="BZ62" i="90"/>
  <c r="BX63" i="90"/>
  <c r="BT237" i="90"/>
  <c r="BU237" i="90"/>
  <c r="BY239" i="90"/>
  <c r="BT63" i="90"/>
  <c r="D11" i="90"/>
  <c r="BY62" i="90"/>
  <c r="BW63" i="90"/>
  <c r="BT62" i="90"/>
  <c r="D13" i="90"/>
  <c r="BZ63" i="90"/>
  <c r="BV237" i="90"/>
  <c r="BZ239" i="90"/>
  <c r="BD45" i="90"/>
  <c r="BV48" i="90"/>
  <c r="BT49" i="90"/>
  <c r="BJ49" i="90" s="1"/>
  <c r="AZ45" i="90"/>
  <c r="BC45" i="90"/>
  <c r="AX45" i="90"/>
  <c r="D12" i="90"/>
  <c r="BA45" i="90"/>
  <c r="BV50" i="90"/>
  <c r="BK50" i="90" s="1"/>
  <c r="AY45" i="90"/>
  <c r="BB45" i="90"/>
  <c r="BX46" i="90"/>
  <c r="BZ48" i="90"/>
  <c r="BY47" i="90"/>
  <c r="BW47" i="90"/>
  <c r="BT47" i="90"/>
  <c r="BV46" i="90"/>
  <c r="BU46" i="90"/>
  <c r="BJ46" i="90" s="1"/>
  <c r="BY46" i="90"/>
  <c r="BZ46" i="90"/>
  <c r="AJ45" i="98"/>
  <c r="Y465" i="57"/>
  <c r="Y466" i="57" s="1"/>
  <c r="AD465" i="57"/>
  <c r="AD466" i="57" s="1"/>
  <c r="Z465" i="57"/>
  <c r="Z466" i="57" s="1"/>
  <c r="AA465" i="57"/>
  <c r="AA466" i="57" s="1"/>
  <c r="AF465" i="57"/>
  <c r="AF466" i="57" s="1"/>
  <c r="AE465" i="57"/>
  <c r="AE466" i="57" s="1"/>
  <c r="AC465" i="57"/>
  <c r="AC467" i="57" s="1"/>
  <c r="K465" i="57"/>
  <c r="K466" i="57" s="1"/>
  <c r="AE14" i="57"/>
  <c r="AE17" i="57" s="1"/>
  <c r="AE22" i="57" s="1"/>
  <c r="X465" i="57"/>
  <c r="X466" i="57" s="1"/>
  <c r="W465" i="57"/>
  <c r="W466" i="57" s="1"/>
  <c r="V465" i="57"/>
  <c r="V466" i="57" s="1"/>
  <c r="Q465" i="57"/>
  <c r="Q466" i="57" s="1"/>
  <c r="AB465" i="57"/>
  <c r="AB467" i="57" s="1"/>
  <c r="U465" i="57"/>
  <c r="U467" i="57" s="1"/>
  <c r="O465" i="57"/>
  <c r="O466" i="57" s="1"/>
  <c r="M465" i="57"/>
  <c r="M467" i="57" s="1"/>
  <c r="L465" i="57"/>
  <c r="L467" i="57" s="1"/>
  <c r="N465" i="57"/>
  <c r="N467" i="57" s="1"/>
  <c r="S465" i="57"/>
  <c r="S466" i="57" s="1"/>
  <c r="P465" i="57"/>
  <c r="P467" i="57" s="1"/>
  <c r="T465" i="57"/>
  <c r="T467" i="57" s="1"/>
  <c r="AD14" i="57"/>
  <c r="AD17" i="57" s="1"/>
  <c r="AD22" i="57" s="1"/>
  <c r="R465" i="57"/>
  <c r="R466" i="57" s="1"/>
  <c r="AF14" i="57"/>
  <c r="AF17" i="57" s="1"/>
  <c r="AD41" i="57"/>
  <c r="AD42" i="57" s="1"/>
  <c r="N454" i="57"/>
  <c r="X454" i="36"/>
  <c r="Z454" i="36"/>
  <c r="Z458" i="36" s="1"/>
  <c r="AJ454" i="36"/>
  <c r="N454" i="36"/>
  <c r="S454" i="36"/>
  <c r="W463" i="36"/>
  <c r="T463" i="36"/>
  <c r="S463" i="36"/>
  <c r="AC463" i="36"/>
  <c r="L463" i="36"/>
  <c r="L465" i="36" s="1"/>
  <c r="K463" i="36"/>
  <c r="K465" i="36" s="1"/>
  <c r="U463" i="36"/>
  <c r="Z463" i="36"/>
  <c r="AB463" i="36"/>
  <c r="AE463" i="36"/>
  <c r="V463" i="36"/>
  <c r="AJ463" i="36"/>
  <c r="AD463" i="36"/>
  <c r="P463" i="36"/>
  <c r="M463" i="36"/>
  <c r="M464" i="36" s="1"/>
  <c r="N463" i="36"/>
  <c r="O463" i="36"/>
  <c r="Y463" i="36"/>
  <c r="X463" i="36"/>
  <c r="AA463" i="36"/>
  <c r="Q463" i="36"/>
  <c r="AF463" i="36"/>
  <c r="AC14" i="57"/>
  <c r="U454" i="57"/>
  <c r="AC454" i="57"/>
  <c r="AF454" i="57"/>
  <c r="AE454" i="57"/>
  <c r="X454" i="57"/>
  <c r="S454" i="57"/>
  <c r="K454" i="57"/>
  <c r="Z454" i="57"/>
  <c r="Y454" i="57"/>
  <c r="W454" i="57"/>
  <c r="M454" i="57"/>
  <c r="AB454" i="57"/>
  <c r="P454" i="57"/>
  <c r="T454" i="57"/>
  <c r="Q454" i="57"/>
  <c r="R454" i="57"/>
  <c r="AD454" i="57"/>
  <c r="L454" i="57"/>
  <c r="V454" i="57"/>
  <c r="AA454" i="57"/>
  <c r="O454" i="57"/>
  <c r="AF454" i="36"/>
  <c r="Q454" i="36"/>
  <c r="P454" i="36"/>
  <c r="L454" i="36"/>
  <c r="T454" i="36"/>
  <c r="AC454" i="36"/>
  <c r="AB454" i="36"/>
  <c r="M454" i="36"/>
  <c r="AE454" i="36"/>
  <c r="U454" i="36"/>
  <c r="Y454" i="36"/>
  <c r="W454" i="36"/>
  <c r="AD454" i="36"/>
  <c r="O454" i="36"/>
  <c r="V454" i="36"/>
  <c r="V458" i="36" s="1"/>
  <c r="AA454" i="36"/>
  <c r="AA458" i="36" s="1"/>
  <c r="K454" i="36"/>
  <c r="AF14" i="36"/>
  <c r="AD14" i="36"/>
  <c r="AE14" i="36"/>
  <c r="AC41" i="57"/>
  <c r="AC42" i="57" s="1"/>
  <c r="BT242" i="90"/>
  <c r="BN242" i="90" s="1"/>
  <c r="AC42" i="41"/>
  <c r="AC76" i="41" s="1"/>
  <c r="AC28" i="45"/>
  <c r="AF42" i="41"/>
  <c r="AF76" i="41" s="1"/>
  <c r="AF28" i="45"/>
  <c r="AE28" i="45"/>
  <c r="AE42" i="41"/>
  <c r="AE76" i="41" s="1"/>
  <c r="AD28" i="45"/>
  <c r="AD42" i="41"/>
  <c r="AD76" i="41" s="1"/>
  <c r="BT53" i="90"/>
  <c r="BW62" i="90"/>
  <c r="BX47" i="90"/>
  <c r="Z41" i="57"/>
  <c r="AB41" i="57"/>
  <c r="Y41" i="57"/>
  <c r="X41" i="57"/>
  <c r="AA41" i="57"/>
  <c r="D23" i="90"/>
  <c r="BX51" i="90"/>
  <c r="BZ50" i="90"/>
  <c r="BU51" i="90"/>
  <c r="BY53" i="90"/>
  <c r="BU47" i="90"/>
  <c r="BJ47" i="90" s="1"/>
  <c r="BY63" i="90"/>
  <c r="BW46" i="90"/>
  <c r="BX49" i="90"/>
  <c r="BM49" i="90" s="1"/>
  <c r="BV47" i="90"/>
  <c r="BT48" i="90"/>
  <c r="BT51" i="90"/>
  <c r="Z6" i="86"/>
  <c r="H161" i="98" s="1"/>
  <c r="H131" i="98" s="1"/>
  <c r="Y6" i="86"/>
  <c r="G161" i="98" s="1"/>
  <c r="G131" i="98" s="1"/>
  <c r="X6" i="86"/>
  <c r="W6" i="86"/>
  <c r="V6" i="86"/>
  <c r="U6" i="86"/>
  <c r="BK58" i="57" l="1"/>
  <c r="BM57" i="57"/>
  <c r="BL58" i="57"/>
  <c r="BN57" i="57"/>
  <c r="BM58" i="57"/>
  <c r="BO57" i="57"/>
  <c r="BN58" i="57"/>
  <c r="BO58" i="57"/>
  <c r="BL57" i="57"/>
  <c r="BK57" i="57"/>
  <c r="AG496" i="57"/>
  <c r="AG541" i="57"/>
  <c r="AG546" i="57" s="1"/>
  <c r="AG540" i="57"/>
  <c r="V510" i="57"/>
  <c r="BP57" i="57"/>
  <c r="BR57" i="57"/>
  <c r="BV58" i="57"/>
  <c r="AG542" i="57"/>
  <c r="BP58" i="57"/>
  <c r="BT58" i="57"/>
  <c r="BU58" i="57"/>
  <c r="BU57" i="57"/>
  <c r="BV57" i="57"/>
  <c r="X458" i="57"/>
  <c r="O44" i="114" s="1"/>
  <c r="BT57" i="57"/>
  <c r="BQ57" i="57"/>
  <c r="AD458" i="57"/>
  <c r="BQ58" i="57"/>
  <c r="BR58" i="57"/>
  <c r="BS58" i="57"/>
  <c r="AB458" i="57"/>
  <c r="S44" i="114" s="1"/>
  <c r="BS57" i="57"/>
  <c r="AJ550" i="57"/>
  <c r="AJ555" i="57" s="1"/>
  <c r="AH458" i="57"/>
  <c r="Y44" i="114" s="1"/>
  <c r="Y458" i="57"/>
  <c r="P44" i="114" s="1"/>
  <c r="AA458" i="57"/>
  <c r="R44" i="114" s="1"/>
  <c r="V458" i="57"/>
  <c r="M44" i="114" s="1"/>
  <c r="AE458" i="57"/>
  <c r="V44" i="114" s="1"/>
  <c r="AF458" i="57"/>
  <c r="BO53" i="90"/>
  <c r="BK47" i="90"/>
  <c r="U458" i="36"/>
  <c r="AG458" i="57"/>
  <c r="X44" i="114" s="1"/>
  <c r="AI458" i="57"/>
  <c r="Z44" i="114" s="1"/>
  <c r="W458" i="57"/>
  <c r="N44" i="114" s="1"/>
  <c r="AC458" i="57"/>
  <c r="T44" i="114" s="1"/>
  <c r="BA62" i="57"/>
  <c r="U458" i="57"/>
  <c r="L44" i="114" s="1"/>
  <c r="AJ458" i="57"/>
  <c r="AA44" i="114" s="1"/>
  <c r="Z458" i="57"/>
  <c r="Q44" i="114" s="1"/>
  <c r="AI516" i="57"/>
  <c r="AJ456" i="57"/>
  <c r="X458" i="36"/>
  <c r="Y458" i="36"/>
  <c r="AH458" i="36"/>
  <c r="AG458" i="36"/>
  <c r="W458" i="36"/>
  <c r="N37" i="114" s="1"/>
  <c r="BQ245" i="90"/>
  <c r="BN365" i="90"/>
  <c r="BQ365" i="90"/>
  <c r="BP317" i="90"/>
  <c r="BM317" i="90"/>
  <c r="BQ336" i="90"/>
  <c r="BQ368" i="90"/>
  <c r="BQ317" i="90"/>
  <c r="BR368" i="90"/>
  <c r="BL368" i="90"/>
  <c r="BM48" i="90"/>
  <c r="BO317" i="90"/>
  <c r="BJ339" i="90"/>
  <c r="BP368" i="90"/>
  <c r="BL62" i="90"/>
  <c r="BL239" i="90"/>
  <c r="BN317" i="90"/>
  <c r="H24" i="90"/>
  <c r="BN368" i="90"/>
  <c r="BO239" i="90"/>
  <c r="BL52" i="90"/>
  <c r="AF458" i="36"/>
  <c r="AI458" i="36"/>
  <c r="AJ458" i="36"/>
  <c r="AE458" i="36"/>
  <c r="AD458" i="36"/>
  <c r="AB458" i="36"/>
  <c r="AC458" i="36"/>
  <c r="BR336" i="90"/>
  <c r="BR320" i="90"/>
  <c r="BO320" i="90"/>
  <c r="CA45" i="90"/>
  <c r="BN53" i="90"/>
  <c r="BQ41" i="36"/>
  <c r="BS36" i="36"/>
  <c r="BR41" i="36"/>
  <c r="BS41" i="36"/>
  <c r="BP42" i="36"/>
  <c r="BP36" i="36"/>
  <c r="BS42" i="36"/>
  <c r="BT41" i="36"/>
  <c r="BR37" i="36"/>
  <c r="BP37" i="36"/>
  <c r="BT37" i="36"/>
  <c r="BT42" i="36"/>
  <c r="BT36" i="36"/>
  <c r="BR36" i="36"/>
  <c r="BQ36" i="36"/>
  <c r="BP41" i="36"/>
  <c r="BS37" i="36"/>
  <c r="BR42" i="36"/>
  <c r="BQ42" i="36"/>
  <c r="BQ37" i="36"/>
  <c r="BS51" i="36"/>
  <c r="BT51" i="36"/>
  <c r="BP51" i="36"/>
  <c r="BP7" i="36"/>
  <c r="BV7" i="36"/>
  <c r="BV51" i="36"/>
  <c r="BU51" i="36"/>
  <c r="BR51" i="36"/>
  <c r="BQ51" i="36"/>
  <c r="BS7" i="36"/>
  <c r="BT7" i="36"/>
  <c r="BU7" i="36"/>
  <c r="BR7" i="36"/>
  <c r="BQ7" i="36"/>
  <c r="BS4" i="36"/>
  <c r="BP5" i="36"/>
  <c r="BP4" i="36"/>
  <c r="BS5" i="36"/>
  <c r="BV6" i="36"/>
  <c r="BT5" i="36"/>
  <c r="BT4" i="36"/>
  <c r="BR4" i="36"/>
  <c r="BQ4" i="36"/>
  <c r="BU6" i="36"/>
  <c r="BR5" i="36"/>
  <c r="BQ5" i="36"/>
  <c r="AF504" i="36"/>
  <c r="AF478" i="36"/>
  <c r="AA512" i="36"/>
  <c r="AG465" i="36"/>
  <c r="AG515" i="36"/>
  <c r="AG507" i="36"/>
  <c r="AI503" i="36"/>
  <c r="AI511" i="36"/>
  <c r="AG503" i="36"/>
  <c r="AI496" i="36"/>
  <c r="AH503" i="36"/>
  <c r="AH507" i="36"/>
  <c r="AG519" i="36"/>
  <c r="AI456" i="36"/>
  <c r="AF502" i="36"/>
  <c r="AA516" i="36"/>
  <c r="AI520" i="36"/>
  <c r="AH519" i="36"/>
  <c r="AH499" i="36"/>
  <c r="AG499" i="36"/>
  <c r="AG511" i="36"/>
  <c r="AB499" i="36"/>
  <c r="AA508" i="36"/>
  <c r="AH511" i="36"/>
  <c r="AI464" i="36"/>
  <c r="AH516" i="36"/>
  <c r="AH465" i="36"/>
  <c r="AH496" i="36"/>
  <c r="AG496" i="36"/>
  <c r="AF17" i="36"/>
  <c r="AJ17" i="36"/>
  <c r="AD17" i="36"/>
  <c r="AE17" i="36"/>
  <c r="AC17" i="36"/>
  <c r="AD19" i="98"/>
  <c r="CC45" i="90"/>
  <c r="BM51" i="90"/>
  <c r="BK48" i="90"/>
  <c r="BJ237" i="90"/>
  <c r="BL365" i="90"/>
  <c r="BK247" i="90"/>
  <c r="D33" i="90"/>
  <c r="H34" i="90" s="1"/>
  <c r="AG19" i="98"/>
  <c r="AG20" i="98"/>
  <c r="AC19" i="98"/>
  <c r="AA18" i="98"/>
  <c r="AD20" i="98"/>
  <c r="AA19" i="98"/>
  <c r="AF20" i="98"/>
  <c r="AA20" i="98"/>
  <c r="AB20" i="98"/>
  <c r="AC20" i="98"/>
  <c r="Y506" i="36"/>
  <c r="BN58" i="36"/>
  <c r="BT58" i="36"/>
  <c r="BU58" i="36"/>
  <c r="BO57" i="36"/>
  <c r="BM58" i="36"/>
  <c r="BV57" i="36"/>
  <c r="BV2" i="36" s="1"/>
  <c r="BT57" i="36"/>
  <c r="BR57" i="36"/>
  <c r="BQ57" i="36"/>
  <c r="BP58" i="36"/>
  <c r="BS58" i="36"/>
  <c r="BM57" i="36"/>
  <c r="BU57" i="36"/>
  <c r="BU2" i="36" s="1"/>
  <c r="BR58" i="36"/>
  <c r="BQ58" i="36"/>
  <c r="BP57" i="36"/>
  <c r="BS57" i="36"/>
  <c r="BO58" i="36"/>
  <c r="BV58" i="36"/>
  <c r="BN57" i="36"/>
  <c r="AG18" i="98"/>
  <c r="J16" i="90"/>
  <c r="J27" i="90" s="1"/>
  <c r="AE18" i="98"/>
  <c r="AE24" i="98" s="1"/>
  <c r="H16" i="90"/>
  <c r="H27" i="90" s="1"/>
  <c r="BM63" i="90"/>
  <c r="BL49" i="90"/>
  <c r="AC18" i="98"/>
  <c r="F16" i="90"/>
  <c r="F27" i="90" s="1"/>
  <c r="AB18" i="98"/>
  <c r="AB24" i="98" s="1"/>
  <c r="E16" i="90"/>
  <c r="E27" i="90" s="1"/>
  <c r="BO50" i="90"/>
  <c r="BO63" i="90"/>
  <c r="BN50" i="90"/>
  <c r="BO49" i="90"/>
  <c r="BN49" i="90"/>
  <c r="AF18" i="98"/>
  <c r="I16" i="90"/>
  <c r="AD18" i="98"/>
  <c r="G16" i="90"/>
  <c r="G27" i="90" s="1"/>
  <c r="BP62" i="90"/>
  <c r="BR62" i="90"/>
  <c r="BQ62" i="90"/>
  <c r="BI62" i="90"/>
  <c r="BP63" i="90"/>
  <c r="BR63" i="90"/>
  <c r="BQ63" i="90"/>
  <c r="BI63" i="90"/>
  <c r="BN63" i="90"/>
  <c r="BK237" i="90"/>
  <c r="BL63" i="90"/>
  <c r="BN239" i="90"/>
  <c r="BO62" i="90"/>
  <c r="BJ62" i="90"/>
  <c r="BK239" i="90"/>
  <c r="BJ239" i="90"/>
  <c r="BK242" i="90"/>
  <c r="BN62" i="90"/>
  <c r="BM239" i="90"/>
  <c r="BO237" i="90"/>
  <c r="BP239" i="90"/>
  <c r="BR239" i="90"/>
  <c r="BQ239" i="90"/>
  <c r="BI239" i="90"/>
  <c r="BP237" i="90"/>
  <c r="BR237" i="90"/>
  <c r="BQ237" i="90"/>
  <c r="BI237" i="90"/>
  <c r="BN237" i="90"/>
  <c r="BJ63" i="90"/>
  <c r="BK63" i="90"/>
  <c r="BM237" i="90"/>
  <c r="BL242" i="90"/>
  <c r="BP242" i="90"/>
  <c r="BR242" i="90"/>
  <c r="BQ242" i="90"/>
  <c r="BI242" i="90"/>
  <c r="BK62" i="90"/>
  <c r="BL237" i="90"/>
  <c r="BM62" i="90"/>
  <c r="BM242" i="90"/>
  <c r="BO242" i="90"/>
  <c r="BJ242" i="90"/>
  <c r="BN47" i="90"/>
  <c r="BP53" i="90"/>
  <c r="BR53" i="90"/>
  <c r="BQ53" i="90"/>
  <c r="BI53" i="90"/>
  <c r="BO48" i="90"/>
  <c r="BQ50" i="90"/>
  <c r="BK49" i="90"/>
  <c r="BL48" i="90"/>
  <c r="BK53" i="90"/>
  <c r="BN48" i="90"/>
  <c r="BJ53" i="90"/>
  <c r="BK46" i="90"/>
  <c r="BP51" i="90"/>
  <c r="BR51" i="90"/>
  <c r="BQ51" i="90"/>
  <c r="BI51" i="90"/>
  <c r="BL46" i="90"/>
  <c r="BJ51" i="90"/>
  <c r="BO46" i="90"/>
  <c r="BP47" i="90"/>
  <c r="BR47" i="90"/>
  <c r="BQ47" i="90"/>
  <c r="BI47" i="90"/>
  <c r="BM46" i="90"/>
  <c r="BN51" i="90"/>
  <c r="BR50" i="90"/>
  <c r="BQ46" i="90"/>
  <c r="BJ48" i="90"/>
  <c r="BO47" i="90"/>
  <c r="BM53" i="90"/>
  <c r="BP46" i="90"/>
  <c r="BP48" i="90"/>
  <c r="BR48" i="90"/>
  <c r="BQ48" i="90"/>
  <c r="BI48" i="90"/>
  <c r="BM47" i="90"/>
  <c r="BN46" i="90"/>
  <c r="BL47" i="90"/>
  <c r="BP49" i="90"/>
  <c r="BR49" i="90"/>
  <c r="BQ49" i="90"/>
  <c r="BI49" i="90"/>
  <c r="BL53" i="90"/>
  <c r="BM50" i="90"/>
  <c r="BP50" i="90"/>
  <c r="BR46" i="90"/>
  <c r="BO51" i="90"/>
  <c r="BL50" i="90"/>
  <c r="BL51" i="90"/>
  <c r="BK51" i="90"/>
  <c r="AI559" i="57"/>
  <c r="AJ510" i="57"/>
  <c r="AG500" i="36"/>
  <c r="AI558" i="57"/>
  <c r="AI563" i="57" s="1"/>
  <c r="BF62" i="57"/>
  <c r="AG522" i="57"/>
  <c r="AI531" i="57"/>
  <c r="AI561" i="57"/>
  <c r="AH522" i="57"/>
  <c r="AI549" i="57"/>
  <c r="AJ522" i="57"/>
  <c r="AJ527" i="57" s="1"/>
  <c r="AH524" i="57"/>
  <c r="AJ558" i="57"/>
  <c r="AJ563" i="57" s="1"/>
  <c r="AH515" i="57"/>
  <c r="AH513" i="57"/>
  <c r="AG516" i="57"/>
  <c r="AG513" i="57"/>
  <c r="AG518" i="57" s="1"/>
  <c r="AJ515" i="57"/>
  <c r="AJ533" i="57"/>
  <c r="AJ536" i="57" s="1"/>
  <c r="AG559" i="57"/>
  <c r="BL59" i="57"/>
  <c r="BL63" i="57" s="1"/>
  <c r="BQ59" i="57"/>
  <c r="BQ63" i="57" s="1"/>
  <c r="BP59" i="57"/>
  <c r="BK59" i="57"/>
  <c r="L37" i="114"/>
  <c r="AH560" i="57"/>
  <c r="AH563" i="57" s="1"/>
  <c r="AJ467" i="57"/>
  <c r="AI467" i="57"/>
  <c r="AH561" i="57"/>
  <c r="BM59" i="57"/>
  <c r="BM63" i="57" s="1"/>
  <c r="BO59" i="57"/>
  <c r="BO63" i="57" s="1"/>
  <c r="BU59" i="57"/>
  <c r="T458" i="36"/>
  <c r="AJ534" i="57"/>
  <c r="AI543" i="57"/>
  <c r="AJ559" i="57"/>
  <c r="AV62" i="57"/>
  <c r="BV59" i="57"/>
  <c r="BV63" i="57" s="1"/>
  <c r="BR59" i="57"/>
  <c r="BR63" i="57" s="1"/>
  <c r="BS59" i="57"/>
  <c r="BS63" i="57" s="1"/>
  <c r="BN59" i="57"/>
  <c r="BN63" i="57" s="1"/>
  <c r="R522" i="57"/>
  <c r="AI519" i="57"/>
  <c r="AI540" i="57"/>
  <c r="AI545" i="57" s="1"/>
  <c r="AJ513" i="57"/>
  <c r="AH532" i="57"/>
  <c r="BT59" i="57"/>
  <c r="BT63" i="57" s="1"/>
  <c r="AG550" i="57"/>
  <c r="AG502" i="57"/>
  <c r="AG548" i="57"/>
  <c r="AG534" i="57"/>
  <c r="AG490" i="57"/>
  <c r="AG530" i="57"/>
  <c r="AJ542" i="57"/>
  <c r="AJ545" i="57" s="1"/>
  <c r="AH550" i="57"/>
  <c r="AH548" i="57"/>
  <c r="AH502" i="57"/>
  <c r="AG557" i="57"/>
  <c r="AG508" i="57"/>
  <c r="AI525" i="57"/>
  <c r="AG549" i="57"/>
  <c r="AG521" i="57"/>
  <c r="AG484" i="57"/>
  <c r="AG531" i="57"/>
  <c r="AH559" i="57"/>
  <c r="AH557" i="57"/>
  <c r="AH508" i="57"/>
  <c r="AH540" i="57"/>
  <c r="AH545" i="57" s="1"/>
  <c r="AJ561" i="57"/>
  <c r="AJ557" i="57"/>
  <c r="AJ508" i="57"/>
  <c r="AI456" i="57"/>
  <c r="AH534" i="57"/>
  <c r="AG523" i="57"/>
  <c r="AG528" i="57" s="1"/>
  <c r="AI523" i="57"/>
  <c r="AI521" i="57"/>
  <c r="AI484" i="57"/>
  <c r="AJ523" i="57"/>
  <c r="AJ521" i="57"/>
  <c r="AJ484" i="57"/>
  <c r="N551" i="57"/>
  <c r="AI557" i="57"/>
  <c r="AI508" i="57"/>
  <c r="AG514" i="57"/>
  <c r="AG478" i="57"/>
  <c r="AG512" i="57"/>
  <c r="AJ532" i="57"/>
  <c r="AJ490" i="57"/>
  <c r="AJ530" i="57"/>
  <c r="AG532" i="57"/>
  <c r="AG539" i="57"/>
  <c r="AH514" i="57"/>
  <c r="AH519" i="57" s="1"/>
  <c r="AH478" i="57"/>
  <c r="AH512" i="57"/>
  <c r="AI515" i="57"/>
  <c r="AI512" i="57"/>
  <c r="AI478" i="57"/>
  <c r="AH539" i="57"/>
  <c r="AH496" i="57"/>
  <c r="AJ539" i="57"/>
  <c r="AJ496" i="57"/>
  <c r="AH541" i="57"/>
  <c r="AJ514" i="57"/>
  <c r="AJ519" i="57" s="1"/>
  <c r="AJ478" i="57"/>
  <c r="AJ512" i="57"/>
  <c r="AH543" i="57"/>
  <c r="AI539" i="57"/>
  <c r="AI496" i="57"/>
  <c r="AG551" i="57"/>
  <c r="N549" i="57"/>
  <c r="AG533" i="57"/>
  <c r="AH552" i="57"/>
  <c r="AJ525" i="57"/>
  <c r="AJ549" i="57"/>
  <c r="AJ502" i="57"/>
  <c r="AJ548" i="57"/>
  <c r="AJ551" i="57"/>
  <c r="AH523" i="57"/>
  <c r="AH528" i="57" s="1"/>
  <c r="AH521" i="57"/>
  <c r="AH484" i="57"/>
  <c r="AI551" i="57"/>
  <c r="AI548" i="57"/>
  <c r="AI502" i="57"/>
  <c r="AH549" i="57"/>
  <c r="AH554" i="57" s="1"/>
  <c r="AG467" i="57"/>
  <c r="AG524" i="57"/>
  <c r="AG558" i="57"/>
  <c r="AG563" i="57" s="1"/>
  <c r="AI550" i="57"/>
  <c r="AI555" i="57" s="1"/>
  <c r="AH456" i="57"/>
  <c r="AI541" i="57"/>
  <c r="AH533" i="57"/>
  <c r="AH536" i="57" s="1"/>
  <c r="AH530" i="57"/>
  <c r="AH490" i="57"/>
  <c r="AG552" i="57"/>
  <c r="AI524" i="57"/>
  <c r="AI527" i="57" s="1"/>
  <c r="AJ543" i="57"/>
  <c r="AI513" i="57"/>
  <c r="AI532" i="57"/>
  <c r="AI537" i="57" s="1"/>
  <c r="AI530" i="57"/>
  <c r="AI490" i="57"/>
  <c r="AJ541" i="57"/>
  <c r="AH467" i="57"/>
  <c r="AI533" i="57"/>
  <c r="AG456" i="57"/>
  <c r="AG561" i="57"/>
  <c r="W513" i="57"/>
  <c r="O31" i="98"/>
  <c r="Q31" i="98"/>
  <c r="N31" i="98"/>
  <c r="R31" i="98"/>
  <c r="AF22" i="57"/>
  <c r="K560" i="57"/>
  <c r="AF561" i="57"/>
  <c r="AF564" i="57" s="1"/>
  <c r="P31" i="98"/>
  <c r="O524" i="57"/>
  <c r="O527" i="57" s="1"/>
  <c r="O513" i="57"/>
  <c r="R532" i="57"/>
  <c r="N561" i="57"/>
  <c r="R524" i="57"/>
  <c r="N541" i="57"/>
  <c r="W514" i="57"/>
  <c r="W519" i="57" s="1"/>
  <c r="T510" i="57"/>
  <c r="AF514" i="57"/>
  <c r="P513" i="57"/>
  <c r="O532" i="57"/>
  <c r="Z539" i="57"/>
  <c r="R541" i="57"/>
  <c r="O515" i="57"/>
  <c r="Y539" i="57"/>
  <c r="M551" i="57"/>
  <c r="M554" i="57" s="1"/>
  <c r="O525" i="57"/>
  <c r="T541" i="57"/>
  <c r="P540" i="57"/>
  <c r="L513" i="57"/>
  <c r="AF513" i="57"/>
  <c r="AF518" i="57" s="1"/>
  <c r="R543" i="57"/>
  <c r="S458" i="57"/>
  <c r="Z557" i="57"/>
  <c r="W559" i="57"/>
  <c r="W564" i="57" s="1"/>
  <c r="K522" i="57"/>
  <c r="AA513" i="57"/>
  <c r="L543" i="57"/>
  <c r="Q523" i="57"/>
  <c r="O551" i="57"/>
  <c r="P551" i="57"/>
  <c r="M558" i="57"/>
  <c r="AD525" i="57"/>
  <c r="AD528" i="57" s="1"/>
  <c r="X543" i="57"/>
  <c r="S543" i="57"/>
  <c r="AB514" i="57"/>
  <c r="AA549" i="57"/>
  <c r="P516" i="57"/>
  <c r="P519" i="57" s="1"/>
  <c r="T552" i="57"/>
  <c r="T555" i="57" s="1"/>
  <c r="M523" i="57"/>
  <c r="T551" i="57"/>
  <c r="N550" i="57"/>
  <c r="N555" i="57" s="1"/>
  <c r="Z478" i="57"/>
  <c r="AD540" i="57"/>
  <c r="AD545" i="57" s="1"/>
  <c r="W543" i="57"/>
  <c r="W546" i="57" s="1"/>
  <c r="K523" i="57"/>
  <c r="K528" i="57" s="1"/>
  <c r="W44" i="114"/>
  <c r="P515" i="57"/>
  <c r="S534" i="57"/>
  <c r="M522" i="57"/>
  <c r="M527" i="57" s="1"/>
  <c r="AA516" i="57"/>
  <c r="AA519" i="57" s="1"/>
  <c r="P543" i="57"/>
  <c r="P546" i="57" s="1"/>
  <c r="R542" i="57"/>
  <c r="R545" i="57" s="1"/>
  <c r="K550" i="57"/>
  <c r="K555" i="57" s="1"/>
  <c r="N559" i="57"/>
  <c r="T532" i="57"/>
  <c r="AE516" i="57"/>
  <c r="T458" i="57"/>
  <c r="AF510" i="57"/>
  <c r="AA523" i="57"/>
  <c r="V541" i="57"/>
  <c r="X561" i="57"/>
  <c r="X513" i="57"/>
  <c r="P532" i="57"/>
  <c r="P537" i="57" s="1"/>
  <c r="M560" i="57"/>
  <c r="L541" i="57"/>
  <c r="L516" i="57"/>
  <c r="L519" i="57" s="1"/>
  <c r="P533" i="57"/>
  <c r="AF516" i="57"/>
  <c r="Z533" i="57"/>
  <c r="Z536" i="57" s="1"/>
  <c r="Z559" i="57"/>
  <c r="Z564" i="57" s="1"/>
  <c r="W551" i="57"/>
  <c r="W554" i="57" s="1"/>
  <c r="T534" i="57"/>
  <c r="AD522" i="57"/>
  <c r="Y543" i="57"/>
  <c r="O523" i="57"/>
  <c r="O559" i="57"/>
  <c r="O564" i="57" s="1"/>
  <c r="R561" i="57"/>
  <c r="U521" i="57"/>
  <c r="K541" i="57"/>
  <c r="K540" i="57"/>
  <c r="K545" i="57" s="1"/>
  <c r="L515" i="57"/>
  <c r="T525" i="57"/>
  <c r="L522" i="57"/>
  <c r="L527" i="57" s="1"/>
  <c r="P552" i="57"/>
  <c r="P555" i="57" s="1"/>
  <c r="Y523" i="57"/>
  <c r="Y528" i="57" s="1"/>
  <c r="S541" i="57"/>
  <c r="L523" i="57"/>
  <c r="R533" i="57"/>
  <c r="R536" i="57" s="1"/>
  <c r="U524" i="57"/>
  <c r="S560" i="57"/>
  <c r="X560" i="57"/>
  <c r="X563" i="57" s="1"/>
  <c r="P531" i="57"/>
  <c r="O558" i="57"/>
  <c r="O533" i="57"/>
  <c r="O536" i="57" s="1"/>
  <c r="S513" i="57"/>
  <c r="S518" i="57" s="1"/>
  <c r="AE551" i="57"/>
  <c r="Z558" i="57"/>
  <c r="S514" i="57"/>
  <c r="R515" i="57"/>
  <c r="AB515" i="57"/>
  <c r="AB518" i="57" s="1"/>
  <c r="T543" i="57"/>
  <c r="Q533" i="57"/>
  <c r="AF522" i="57"/>
  <c r="L540" i="57"/>
  <c r="L545" i="57" s="1"/>
  <c r="S542" i="57"/>
  <c r="S545" i="57" s="1"/>
  <c r="AD541" i="57"/>
  <c r="N558" i="57"/>
  <c r="N563" i="57" s="1"/>
  <c r="AC524" i="57"/>
  <c r="W524" i="57"/>
  <c r="Y542" i="57"/>
  <c r="Y540" i="57"/>
  <c r="AA525" i="57"/>
  <c r="T533" i="57"/>
  <c r="T536" i="57" s="1"/>
  <c r="AC522" i="57"/>
  <c r="V522" i="57"/>
  <c r="V527" i="57" s="1"/>
  <c r="AE524" i="57"/>
  <c r="R534" i="57"/>
  <c r="AB540" i="57"/>
  <c r="AB545" i="57" s="1"/>
  <c r="W525" i="57"/>
  <c r="W528" i="57" s="1"/>
  <c r="AB522" i="57"/>
  <c r="AB527" i="57" s="1"/>
  <c r="AC523" i="57"/>
  <c r="AC528" i="57" s="1"/>
  <c r="AB558" i="57"/>
  <c r="AB563" i="57" s="1"/>
  <c r="O549" i="57"/>
  <c r="Y513" i="57"/>
  <c r="Z540" i="57"/>
  <c r="U44" i="114"/>
  <c r="L561" i="57"/>
  <c r="AF524" i="57"/>
  <c r="Z550" i="57"/>
  <c r="P549" i="57"/>
  <c r="Z541" i="57"/>
  <c r="O542" i="57"/>
  <c r="AD524" i="57"/>
  <c r="AB543" i="57"/>
  <c r="O534" i="57"/>
  <c r="S516" i="57"/>
  <c r="M561" i="57"/>
  <c r="M564" i="57" s="1"/>
  <c r="Y516" i="57"/>
  <c r="Y519" i="57" s="1"/>
  <c r="X550" i="57"/>
  <c r="V523" i="57"/>
  <c r="AA541" i="57"/>
  <c r="V525" i="57"/>
  <c r="U525" i="57"/>
  <c r="U528" i="57" s="1"/>
  <c r="S510" i="57"/>
  <c r="BV59" i="36"/>
  <c r="BV63" i="36" s="1"/>
  <c r="AI512" i="36"/>
  <c r="AH520" i="36"/>
  <c r="AI514" i="36"/>
  <c r="V510" i="36"/>
  <c r="AG508" i="36"/>
  <c r="Y498" i="36"/>
  <c r="AI465" i="36"/>
  <c r="AI516" i="36"/>
  <c r="AI490" i="36"/>
  <c r="AI515" i="36"/>
  <c r="AI519" i="36"/>
  <c r="AH515" i="36"/>
  <c r="K486" i="36"/>
  <c r="AH504" i="36"/>
  <c r="AG512" i="36"/>
  <c r="AG464" i="36"/>
  <c r="AI474" i="36"/>
  <c r="AI498" i="36"/>
  <c r="L490" i="36"/>
  <c r="AI494" i="36"/>
  <c r="AI518" i="36"/>
  <c r="AH486" i="36"/>
  <c r="AH510" i="36"/>
  <c r="AG504" i="36"/>
  <c r="AH490" i="36"/>
  <c r="AH514" i="36"/>
  <c r="AG520" i="36"/>
  <c r="AH474" i="36"/>
  <c r="AH498" i="36"/>
  <c r="AI510" i="36"/>
  <c r="AI486" i="36"/>
  <c r="AI482" i="36"/>
  <c r="AI506" i="36"/>
  <c r="AI507" i="36"/>
  <c r="AG518" i="36"/>
  <c r="AG494" i="36"/>
  <c r="AI500" i="36"/>
  <c r="AH464" i="36"/>
  <c r="AI478" i="36"/>
  <c r="AI502" i="36"/>
  <c r="AG498" i="36"/>
  <c r="AG474" i="36"/>
  <c r="Y514" i="36"/>
  <c r="S458" i="36"/>
  <c r="AI508" i="36"/>
  <c r="AG502" i="36"/>
  <c r="AG478" i="36"/>
  <c r="AG514" i="36"/>
  <c r="AG490" i="36"/>
  <c r="AG506" i="36"/>
  <c r="AG482" i="36"/>
  <c r="AH500" i="36"/>
  <c r="AH512" i="36"/>
  <c r="AI499" i="36"/>
  <c r="AH456" i="36"/>
  <c r="AH508" i="36"/>
  <c r="AH506" i="36"/>
  <c r="AH482" i="36"/>
  <c r="AI504" i="36"/>
  <c r="S514" i="36"/>
  <c r="V514" i="36"/>
  <c r="V498" i="36"/>
  <c r="AH494" i="36"/>
  <c r="AH518" i="36"/>
  <c r="AH478" i="36"/>
  <c r="AH502" i="36"/>
  <c r="AG456" i="36"/>
  <c r="AG516" i="36"/>
  <c r="AG486" i="36"/>
  <c r="AG510" i="36"/>
  <c r="Z510" i="36"/>
  <c r="L499" i="36"/>
  <c r="Y510" i="36"/>
  <c r="Q504" i="36"/>
  <c r="L512" i="36"/>
  <c r="L520" i="36"/>
  <c r="K512" i="36"/>
  <c r="M37" i="114"/>
  <c r="O37" i="114"/>
  <c r="V502" i="36"/>
  <c r="Z514" i="36"/>
  <c r="Y502" i="36"/>
  <c r="Q478" i="36"/>
  <c r="Q498" i="36"/>
  <c r="P37" i="114"/>
  <c r="K519" i="36"/>
  <c r="P504" i="36"/>
  <c r="Q37" i="114"/>
  <c r="Z502" i="36"/>
  <c r="L478" i="36"/>
  <c r="O503" i="36"/>
  <c r="L504" i="36"/>
  <c r="V518" i="36"/>
  <c r="AB514" i="36"/>
  <c r="S506" i="36"/>
  <c r="V506" i="36"/>
  <c r="AB518" i="36"/>
  <c r="AA518" i="36"/>
  <c r="L506" i="36"/>
  <c r="AE539" i="57"/>
  <c r="AE542" i="57"/>
  <c r="AE541" i="57"/>
  <c r="Y548" i="57"/>
  <c r="Y550" i="57"/>
  <c r="Y551" i="57"/>
  <c r="Y552" i="57"/>
  <c r="Y549" i="57"/>
  <c r="W530" i="57"/>
  <c r="W533" i="57"/>
  <c r="W531" i="57"/>
  <c r="W534" i="57"/>
  <c r="AB502" i="57"/>
  <c r="AB548" i="57"/>
  <c r="AB551" i="57"/>
  <c r="AB550" i="57"/>
  <c r="L502" i="57"/>
  <c r="L548" i="57"/>
  <c r="L551" i="57"/>
  <c r="L552" i="57"/>
  <c r="AB552" i="57"/>
  <c r="U557" i="57"/>
  <c r="U561" i="57"/>
  <c r="U560" i="57"/>
  <c r="AB549" i="57"/>
  <c r="R502" i="57"/>
  <c r="R548" i="57"/>
  <c r="R549" i="57"/>
  <c r="R552" i="57"/>
  <c r="R551" i="57"/>
  <c r="U548" i="57"/>
  <c r="U551" i="57"/>
  <c r="U549" i="57"/>
  <c r="U550" i="57"/>
  <c r="L531" i="57"/>
  <c r="W532" i="57"/>
  <c r="P559" i="57"/>
  <c r="AB531" i="57"/>
  <c r="T513" i="57"/>
  <c r="T518" i="57" s="1"/>
  <c r="AE543" i="57"/>
  <c r="M490" i="57"/>
  <c r="M530" i="57"/>
  <c r="M533" i="57"/>
  <c r="M531" i="57"/>
  <c r="M534" i="57"/>
  <c r="U558" i="57"/>
  <c r="X551" i="57"/>
  <c r="X554" i="57" s="1"/>
  <c r="N484" i="57"/>
  <c r="N521" i="57"/>
  <c r="N525" i="57"/>
  <c r="U559" i="57"/>
  <c r="M532" i="57"/>
  <c r="N490" i="57"/>
  <c r="N530" i="57"/>
  <c r="N534" i="57"/>
  <c r="N531" i="57"/>
  <c r="N533" i="57"/>
  <c r="N532" i="57"/>
  <c r="U552" i="57"/>
  <c r="Q502" i="57"/>
  <c r="Q548" i="57"/>
  <c r="Q551" i="57"/>
  <c r="Q554" i="57" s="1"/>
  <c r="Q550" i="57"/>
  <c r="Q552" i="57"/>
  <c r="Y530" i="57"/>
  <c r="Y531" i="57"/>
  <c r="Y533" i="57"/>
  <c r="V530" i="57"/>
  <c r="V534" i="57"/>
  <c r="V532" i="57"/>
  <c r="U512" i="57"/>
  <c r="U516" i="57"/>
  <c r="U515" i="57"/>
  <c r="U514" i="57"/>
  <c r="K490" i="57"/>
  <c r="K530" i="57"/>
  <c r="K533" i="57"/>
  <c r="K536" i="57" s="1"/>
  <c r="K534" i="57"/>
  <c r="K532" i="57"/>
  <c r="L490" i="57"/>
  <c r="L530" i="57"/>
  <c r="L534" i="57"/>
  <c r="L537" i="57" s="1"/>
  <c r="L533" i="57"/>
  <c r="Y557" i="57"/>
  <c r="Y558" i="57"/>
  <c r="Y560" i="57"/>
  <c r="Z521" i="57"/>
  <c r="Z523" i="57"/>
  <c r="Z524" i="57"/>
  <c r="Z527" i="57" s="1"/>
  <c r="AD548" i="57"/>
  <c r="AD551" i="57"/>
  <c r="AD549" i="57"/>
  <c r="AD552" i="57"/>
  <c r="AD555" i="57" s="1"/>
  <c r="W548" i="57"/>
  <c r="W550" i="57"/>
  <c r="W552" i="57"/>
  <c r="AA530" i="57"/>
  <c r="AA531" i="57"/>
  <c r="AA532" i="57"/>
  <c r="AA534" i="57"/>
  <c r="S521" i="57"/>
  <c r="S522" i="57"/>
  <c r="S527" i="57" s="1"/>
  <c r="S523" i="57"/>
  <c r="S525" i="57"/>
  <c r="AC548" i="57"/>
  <c r="AC551" i="57"/>
  <c r="AC550" i="57"/>
  <c r="AC555" i="57" s="1"/>
  <c r="AA548" i="57"/>
  <c r="AA550" i="57"/>
  <c r="AA555" i="57" s="1"/>
  <c r="X530" i="57"/>
  <c r="X532" i="57"/>
  <c r="X531" i="57"/>
  <c r="X536" i="57" s="1"/>
  <c r="X534" i="57"/>
  <c r="AC530" i="57"/>
  <c r="AC532" i="57"/>
  <c r="AC534" i="57"/>
  <c r="AC531" i="57"/>
  <c r="AC536" i="57" s="1"/>
  <c r="Z512" i="57"/>
  <c r="Z515" i="57"/>
  <c r="Z516" i="57"/>
  <c r="Z519" i="57" s="1"/>
  <c r="Z513" i="57"/>
  <c r="M484" i="57"/>
  <c r="M521" i="57"/>
  <c r="M525" i="57"/>
  <c r="K502" i="57"/>
  <c r="K548" i="57"/>
  <c r="K549" i="57"/>
  <c r="K551" i="57"/>
  <c r="Y559" i="57"/>
  <c r="Y564" i="57" s="1"/>
  <c r="M496" i="57"/>
  <c r="M539" i="57"/>
  <c r="M541" i="57"/>
  <c r="M543" i="57"/>
  <c r="M542" i="57"/>
  <c r="M540" i="57"/>
  <c r="AE523" i="57"/>
  <c r="AE528" i="57" s="1"/>
  <c r="AA533" i="57"/>
  <c r="Z525" i="57"/>
  <c r="U513" i="57"/>
  <c r="R478" i="57"/>
  <c r="R512" i="57"/>
  <c r="R516" i="57"/>
  <c r="R519" i="57" s="1"/>
  <c r="R513" i="57"/>
  <c r="N478" i="57"/>
  <c r="N512" i="57"/>
  <c r="N516" i="57"/>
  <c r="N515" i="57"/>
  <c r="N513" i="57"/>
  <c r="L549" i="57"/>
  <c r="AB521" i="57"/>
  <c r="AB523" i="57"/>
  <c r="AB525" i="57"/>
  <c r="V512" i="57"/>
  <c r="V513" i="57"/>
  <c r="V516" i="57"/>
  <c r="V515" i="57"/>
  <c r="X548" i="57"/>
  <c r="X552" i="57"/>
  <c r="Y521" i="57"/>
  <c r="Y524" i="57"/>
  <c r="Y522" i="57"/>
  <c r="AD512" i="57"/>
  <c r="AD513" i="57"/>
  <c r="V548" i="57"/>
  <c r="V552" i="57"/>
  <c r="V550" i="57"/>
  <c r="V549" i="57"/>
  <c r="V554" i="57" s="1"/>
  <c r="AE530" i="57"/>
  <c r="AE531" i="57"/>
  <c r="AE536" i="57" s="1"/>
  <c r="AE534" i="57"/>
  <c r="AE532" i="57"/>
  <c r="W557" i="57"/>
  <c r="W558" i="57"/>
  <c r="T512" i="57"/>
  <c r="T516" i="57"/>
  <c r="T514" i="57"/>
  <c r="AD557" i="57"/>
  <c r="AD560" i="57"/>
  <c r="AD563" i="57" s="1"/>
  <c r="AB530" i="57"/>
  <c r="AB532" i="57"/>
  <c r="AB537" i="57" s="1"/>
  <c r="V557" i="57"/>
  <c r="V558" i="57"/>
  <c r="V563" i="57" s="1"/>
  <c r="V561" i="57"/>
  <c r="AF539" i="57"/>
  <c r="AF541" i="57"/>
  <c r="AF542" i="57"/>
  <c r="AF543" i="57"/>
  <c r="AF540" i="57"/>
  <c r="U530" i="57"/>
  <c r="U534" i="57"/>
  <c r="U531" i="57"/>
  <c r="U533" i="57"/>
  <c r="U532" i="57"/>
  <c r="Q496" i="57"/>
  <c r="Q539" i="57"/>
  <c r="Q542" i="57"/>
  <c r="Q541" i="57"/>
  <c r="Q543" i="57"/>
  <c r="N523" i="57"/>
  <c r="W560" i="57"/>
  <c r="V514" i="57"/>
  <c r="AD561" i="57"/>
  <c r="Q540" i="57"/>
  <c r="V531" i="57"/>
  <c r="AC549" i="57"/>
  <c r="AD515" i="57"/>
  <c r="AD516" i="57"/>
  <c r="AD519" i="57" s="1"/>
  <c r="AD559" i="57"/>
  <c r="V533" i="57"/>
  <c r="Q508" i="57"/>
  <c r="Q557" i="57"/>
  <c r="Q560" i="57"/>
  <c r="Q559" i="57"/>
  <c r="Q564" i="57" s="1"/>
  <c r="Q558" i="57"/>
  <c r="P508" i="57"/>
  <c r="P557" i="57"/>
  <c r="P558" i="57"/>
  <c r="P563" i="57" s="1"/>
  <c r="P561" i="57"/>
  <c r="AF530" i="57"/>
  <c r="AF533" i="57"/>
  <c r="AF534" i="57"/>
  <c r="AF532" i="57"/>
  <c r="AF531" i="57"/>
  <c r="T557" i="57"/>
  <c r="T559" i="57"/>
  <c r="T558" i="57"/>
  <c r="T563" i="57" s="1"/>
  <c r="K478" i="57"/>
  <c r="K512" i="57"/>
  <c r="K515" i="57"/>
  <c r="K516" i="57"/>
  <c r="K519" i="57" s="1"/>
  <c r="K513" i="57"/>
  <c r="AE510" i="57"/>
  <c r="AF548" i="57"/>
  <c r="AF551" i="57"/>
  <c r="AF550" i="57"/>
  <c r="AF555" i="57" s="1"/>
  <c r="AE521" i="57"/>
  <c r="AE522" i="57"/>
  <c r="AE557" i="57"/>
  <c r="AE560" i="57"/>
  <c r="AE559" i="57"/>
  <c r="AE564" i="57" s="1"/>
  <c r="AE558" i="57"/>
  <c r="Z530" i="57"/>
  <c r="Z534" i="57"/>
  <c r="Z532" i="57"/>
  <c r="L508" i="57"/>
  <c r="L557" i="57"/>
  <c r="L559" i="57"/>
  <c r="L560" i="57"/>
  <c r="L563" i="57" s="1"/>
  <c r="AE540" i="57"/>
  <c r="P484" i="57"/>
  <c r="P521" i="57"/>
  <c r="P523" i="57"/>
  <c r="P524" i="57"/>
  <c r="P527" i="57" s="1"/>
  <c r="P525" i="57"/>
  <c r="AA551" i="57"/>
  <c r="R508" i="57"/>
  <c r="R557" i="57"/>
  <c r="R560" i="57"/>
  <c r="R563" i="57" s="1"/>
  <c r="R559" i="57"/>
  <c r="T561" i="57"/>
  <c r="V559" i="57"/>
  <c r="N514" i="57"/>
  <c r="R550" i="57"/>
  <c r="AF549" i="57"/>
  <c r="L550" i="57"/>
  <c r="Q478" i="57"/>
  <c r="Q512" i="57"/>
  <c r="Q515" i="57"/>
  <c r="Q513" i="57"/>
  <c r="Q514" i="57"/>
  <c r="Q519" i="57" s="1"/>
  <c r="N522" i="57"/>
  <c r="N527" i="57" s="1"/>
  <c r="Y534" i="57"/>
  <c r="Y537" i="57" s="1"/>
  <c r="AB533" i="57"/>
  <c r="X512" i="57"/>
  <c r="X539" i="57"/>
  <c r="AE512" i="57"/>
  <c r="AE548" i="57"/>
  <c r="W539" i="57"/>
  <c r="AC512" i="57"/>
  <c r="U539" i="57"/>
  <c r="AC557" i="57"/>
  <c r="T530" i="57"/>
  <c r="AB512" i="57"/>
  <c r="S548" i="57"/>
  <c r="U541" i="57"/>
  <c r="P502" i="57"/>
  <c r="P548" i="57"/>
  <c r="AD543" i="57"/>
  <c r="R484" i="57"/>
  <c r="R521" i="57"/>
  <c r="M508" i="57"/>
  <c r="M557" i="57"/>
  <c r="Y515" i="57"/>
  <c r="Z543" i="57"/>
  <c r="L496" i="57"/>
  <c r="L539" i="57"/>
  <c r="V543" i="57"/>
  <c r="R525" i="57"/>
  <c r="R528" i="57" s="1"/>
  <c r="AC513" i="57"/>
  <c r="Z552" i="57"/>
  <c r="Z551" i="57"/>
  <c r="Z554" i="57" s="1"/>
  <c r="AE515" i="57"/>
  <c r="AE518" i="57" s="1"/>
  <c r="AC558" i="57"/>
  <c r="AC563" i="57" s="1"/>
  <c r="P490" i="57"/>
  <c r="P530" i="57"/>
  <c r="O516" i="57"/>
  <c r="O519" i="57" s="1"/>
  <c r="X514" i="57"/>
  <c r="X519" i="57" s="1"/>
  <c r="S552" i="57"/>
  <c r="S555" i="57" s="1"/>
  <c r="N508" i="57"/>
  <c r="N557" i="57"/>
  <c r="Q484" i="57"/>
  <c r="Q521" i="57"/>
  <c r="Q524" i="57"/>
  <c r="Q527" i="57" s="1"/>
  <c r="K557" i="57"/>
  <c r="K508" i="57"/>
  <c r="T521" i="57"/>
  <c r="AA557" i="57"/>
  <c r="AD530" i="57"/>
  <c r="AA512" i="57"/>
  <c r="AF557" i="57"/>
  <c r="AF512" i="57"/>
  <c r="S530" i="57"/>
  <c r="W512" i="57"/>
  <c r="T548" i="57"/>
  <c r="AC496" i="57"/>
  <c r="AC539" i="57"/>
  <c r="Q531" i="57"/>
  <c r="K496" i="57"/>
  <c r="K539" i="57"/>
  <c r="Y541" i="57"/>
  <c r="U540" i="57"/>
  <c r="U545" i="57" s="1"/>
  <c r="S549" i="57"/>
  <c r="Q534" i="57"/>
  <c r="Q537" i="57" s="1"/>
  <c r="W522" i="57"/>
  <c r="P478" i="57"/>
  <c r="P512" i="57"/>
  <c r="K543" i="57"/>
  <c r="AD532" i="57"/>
  <c r="AA540" i="57"/>
  <c r="AA545" i="57" s="1"/>
  <c r="K559" i="57"/>
  <c r="K564" i="57" s="1"/>
  <c r="X541" i="57"/>
  <c r="K521" i="57"/>
  <c r="K484" i="57"/>
  <c r="P542" i="57"/>
  <c r="W515" i="57"/>
  <c r="AA560" i="57"/>
  <c r="AC542" i="57"/>
  <c r="AC545" i="57" s="1"/>
  <c r="N540" i="57"/>
  <c r="N545" i="57" s="1"/>
  <c r="V542" i="57"/>
  <c r="V545" i="57" s="1"/>
  <c r="AC559" i="57"/>
  <c r="K558" i="57"/>
  <c r="O490" i="57"/>
  <c r="O530" i="57"/>
  <c r="O508" i="57"/>
  <c r="O557" i="57"/>
  <c r="AD521" i="57"/>
  <c r="AD539" i="57"/>
  <c r="AB539" i="57"/>
  <c r="AF521" i="57"/>
  <c r="X521" i="57"/>
  <c r="V521" i="57"/>
  <c r="X557" i="57"/>
  <c r="T539" i="57"/>
  <c r="Q490" i="57"/>
  <c r="Q530" i="57"/>
  <c r="T542" i="57"/>
  <c r="T545" i="57" s="1"/>
  <c r="S551" i="57"/>
  <c r="S532" i="57"/>
  <c r="M478" i="57"/>
  <c r="M512" i="57"/>
  <c r="W542" i="57"/>
  <c r="AE550" i="57"/>
  <c r="AE555" i="57" s="1"/>
  <c r="Z560" i="57"/>
  <c r="AA561" i="57"/>
  <c r="AA564" i="57" s="1"/>
  <c r="M515" i="57"/>
  <c r="W540" i="57"/>
  <c r="AF558" i="57"/>
  <c r="O502" i="57"/>
  <c r="O548" i="57"/>
  <c r="O484" i="57"/>
  <c r="O521" i="57"/>
  <c r="P496" i="57"/>
  <c r="P539" i="57"/>
  <c r="AE514" i="57"/>
  <c r="T549" i="57"/>
  <c r="AB541" i="57"/>
  <c r="O496" i="57"/>
  <c r="O539" i="57"/>
  <c r="N496" i="57"/>
  <c r="N539" i="57"/>
  <c r="O560" i="57"/>
  <c r="O478" i="57"/>
  <c r="O512" i="57"/>
  <c r="AF523" i="57"/>
  <c r="AF528" i="57" s="1"/>
  <c r="AC561" i="57"/>
  <c r="X525" i="57"/>
  <c r="R496" i="57"/>
  <c r="R539" i="57"/>
  <c r="AD534" i="57"/>
  <c r="N543" i="57"/>
  <c r="AA515" i="57"/>
  <c r="AE549" i="57"/>
  <c r="AC521" i="57"/>
  <c r="S539" i="57"/>
  <c r="S557" i="57"/>
  <c r="W521" i="57"/>
  <c r="S512" i="57"/>
  <c r="V539" i="57"/>
  <c r="AA539" i="57"/>
  <c r="AA521" i="57"/>
  <c r="Y512" i="57"/>
  <c r="AB557" i="57"/>
  <c r="Z548" i="57"/>
  <c r="Q525" i="57"/>
  <c r="X522" i="57"/>
  <c r="X527" i="57" s="1"/>
  <c r="AC515" i="57"/>
  <c r="X542" i="57"/>
  <c r="X545" i="57" s="1"/>
  <c r="AA558" i="57"/>
  <c r="M513" i="57"/>
  <c r="L484" i="57"/>
  <c r="L521" i="57"/>
  <c r="N502" i="57"/>
  <c r="N548" i="57"/>
  <c r="AB516" i="57"/>
  <c r="AC541" i="57"/>
  <c r="X559" i="57"/>
  <c r="S561" i="57"/>
  <c r="S564" i="57" s="1"/>
  <c r="AA543" i="57"/>
  <c r="O543" i="57"/>
  <c r="O546" i="57" s="1"/>
  <c r="T523" i="57"/>
  <c r="S533" i="57"/>
  <c r="S536" i="57" s="1"/>
  <c r="Z542" i="57"/>
  <c r="M548" i="57"/>
  <c r="M502" i="57"/>
  <c r="M514" i="57"/>
  <c r="M519" i="57" s="1"/>
  <c r="L478" i="57"/>
  <c r="L512" i="57"/>
  <c r="U522" i="57"/>
  <c r="AC516" i="57"/>
  <c r="AC519" i="57" s="1"/>
  <c r="T524" i="57"/>
  <c r="T527" i="57" s="1"/>
  <c r="AC543" i="57"/>
  <c r="AF560" i="57"/>
  <c r="O540" i="57"/>
  <c r="M552" i="57"/>
  <c r="O552" i="57"/>
  <c r="O555" i="57" s="1"/>
  <c r="X515" i="57"/>
  <c r="U543" i="57"/>
  <c r="K524" i="57"/>
  <c r="X523" i="57"/>
  <c r="AB559" i="57"/>
  <c r="M550" i="57"/>
  <c r="AD531" i="57"/>
  <c r="AD536" i="57" s="1"/>
  <c r="R490" i="57"/>
  <c r="R530" i="57"/>
  <c r="S558" i="57"/>
  <c r="L525" i="57"/>
  <c r="AA522" i="57"/>
  <c r="AA527" i="57" s="1"/>
  <c r="AB561" i="57"/>
  <c r="T518" i="36"/>
  <c r="W506" i="36"/>
  <c r="L508" i="36"/>
  <c r="Q516" i="36"/>
  <c r="X518" i="36"/>
  <c r="Q474" i="36"/>
  <c r="N508" i="36"/>
  <c r="N514" i="36"/>
  <c r="Q507" i="36"/>
  <c r="O511" i="36"/>
  <c r="M516" i="36"/>
  <c r="W518" i="36"/>
  <c r="AA502" i="36"/>
  <c r="W510" i="36"/>
  <c r="AA498" i="36"/>
  <c r="K503" i="36"/>
  <c r="M520" i="36"/>
  <c r="P511" i="36"/>
  <c r="P486" i="36"/>
  <c r="M512" i="36"/>
  <c r="M478" i="36"/>
  <c r="N510" i="36"/>
  <c r="L514" i="36"/>
  <c r="L502" i="36"/>
  <c r="L507" i="36"/>
  <c r="O520" i="36"/>
  <c r="N503" i="36"/>
  <c r="U506" i="36"/>
  <c r="U498" i="36"/>
  <c r="Y494" i="36"/>
  <c r="Y518" i="36"/>
  <c r="X478" i="36"/>
  <c r="X502" i="36"/>
  <c r="W474" i="36"/>
  <c r="W498" i="36"/>
  <c r="R514" i="36"/>
  <c r="U502" i="36"/>
  <c r="AB510" i="36"/>
  <c r="R502" i="36"/>
  <c r="AB502" i="36"/>
  <c r="X510" i="36"/>
  <c r="M494" i="36"/>
  <c r="M518" i="36"/>
  <c r="K494" i="36"/>
  <c r="K518" i="36"/>
  <c r="Q512" i="36"/>
  <c r="U503" i="36"/>
  <c r="AA520" i="36"/>
  <c r="N515" i="36"/>
  <c r="K478" i="36"/>
  <c r="K502" i="36"/>
  <c r="P510" i="36"/>
  <c r="W504" i="36"/>
  <c r="V520" i="36"/>
  <c r="M508" i="36"/>
  <c r="X504" i="36"/>
  <c r="X512" i="36"/>
  <c r="T520" i="36"/>
  <c r="R504" i="36"/>
  <c r="Z515" i="36"/>
  <c r="W500" i="36"/>
  <c r="AB500" i="36"/>
  <c r="AB504" i="36"/>
  <c r="W512" i="36"/>
  <c r="N482" i="36"/>
  <c r="N506" i="36"/>
  <c r="O474" i="36"/>
  <c r="O498" i="36"/>
  <c r="K474" i="36"/>
  <c r="K498" i="36"/>
  <c r="Z503" i="36"/>
  <c r="AA515" i="36"/>
  <c r="Y503" i="36"/>
  <c r="W520" i="36"/>
  <c r="W507" i="36"/>
  <c r="AA519" i="36"/>
  <c r="S508" i="36"/>
  <c r="P494" i="36"/>
  <c r="P518" i="36"/>
  <c r="M482" i="36"/>
  <c r="M506" i="36"/>
  <c r="W499" i="36"/>
  <c r="K490" i="36"/>
  <c r="K514" i="36"/>
  <c r="R516" i="36"/>
  <c r="R499" i="36"/>
  <c r="Y512" i="36"/>
  <c r="T500" i="36"/>
  <c r="R494" i="36"/>
  <c r="R518" i="36"/>
  <c r="AB506" i="36"/>
  <c r="X506" i="36"/>
  <c r="W514" i="36"/>
  <c r="M474" i="36"/>
  <c r="M498" i="36"/>
  <c r="AB507" i="36"/>
  <c r="X519" i="36"/>
  <c r="Z500" i="36"/>
  <c r="O502" i="36"/>
  <c r="W508" i="36"/>
  <c r="Y515" i="36"/>
  <c r="AA500" i="36"/>
  <c r="Z504" i="36"/>
  <c r="V511" i="36"/>
  <c r="Q500" i="36"/>
  <c r="S504" i="36"/>
  <c r="U499" i="36"/>
  <c r="W515" i="36"/>
  <c r="Y500" i="36"/>
  <c r="Z512" i="36"/>
  <c r="Q486" i="36"/>
  <c r="Q510" i="36"/>
  <c r="V499" i="36"/>
  <c r="T516" i="36"/>
  <c r="P474" i="36"/>
  <c r="P498" i="36"/>
  <c r="Q494" i="36"/>
  <c r="Q518" i="36"/>
  <c r="N474" i="36"/>
  <c r="N498" i="36"/>
  <c r="O482" i="36"/>
  <c r="O506" i="36"/>
  <c r="N490" i="36"/>
  <c r="P499" i="36"/>
  <c r="M510" i="36"/>
  <c r="AA507" i="36"/>
  <c r="X520" i="36"/>
  <c r="AB512" i="36"/>
  <c r="L486" i="36"/>
  <c r="L510" i="36"/>
  <c r="N500" i="36"/>
  <c r="AB519" i="36"/>
  <c r="U508" i="36"/>
  <c r="K516" i="36"/>
  <c r="W519" i="36"/>
  <c r="AA499" i="36"/>
  <c r="K482" i="36"/>
  <c r="K506" i="36"/>
  <c r="Y508" i="36"/>
  <c r="W511" i="36"/>
  <c r="Z508" i="36"/>
  <c r="Q499" i="36"/>
  <c r="U500" i="36"/>
  <c r="Z511" i="36"/>
  <c r="N516" i="36"/>
  <c r="U514" i="36"/>
  <c r="T482" i="36"/>
  <c r="T506" i="36"/>
  <c r="T486" i="36"/>
  <c r="T510" i="36"/>
  <c r="R506" i="36"/>
  <c r="T514" i="36"/>
  <c r="AA510" i="36"/>
  <c r="P490" i="36"/>
  <c r="P514" i="36"/>
  <c r="Y516" i="36"/>
  <c r="Y504" i="36"/>
  <c r="V507" i="36"/>
  <c r="M500" i="36"/>
  <c r="Y520" i="36"/>
  <c r="P515" i="36"/>
  <c r="O516" i="36"/>
  <c r="K500" i="36"/>
  <c r="X503" i="36"/>
  <c r="O499" i="36"/>
  <c r="P516" i="36"/>
  <c r="R503" i="36"/>
  <c r="AB516" i="36"/>
  <c r="AA511" i="36"/>
  <c r="V503" i="36"/>
  <c r="R510" i="36"/>
  <c r="AA482" i="36"/>
  <c r="AA506" i="36"/>
  <c r="AB498" i="36"/>
  <c r="X498" i="36"/>
  <c r="T474" i="36"/>
  <c r="T498" i="36"/>
  <c r="X514" i="36"/>
  <c r="Z518" i="36"/>
  <c r="U518" i="36"/>
  <c r="W478" i="36"/>
  <c r="W502" i="36"/>
  <c r="O478" i="36"/>
  <c r="N478" i="36"/>
  <c r="N502" i="36"/>
  <c r="M502" i="36"/>
  <c r="S516" i="36"/>
  <c r="P478" i="36"/>
  <c r="P502" i="36"/>
  <c r="R515" i="36"/>
  <c r="Y511" i="36"/>
  <c r="L515" i="36"/>
  <c r="AA503" i="36"/>
  <c r="AB520" i="36"/>
  <c r="P508" i="36"/>
  <c r="Y507" i="36"/>
  <c r="K499" i="36"/>
  <c r="R508" i="36"/>
  <c r="X511" i="36"/>
  <c r="O508" i="36"/>
  <c r="Y499" i="36"/>
  <c r="Q482" i="36"/>
  <c r="Q506" i="36"/>
  <c r="AB508" i="36"/>
  <c r="AB515" i="36"/>
  <c r="U486" i="36"/>
  <c r="U510" i="36"/>
  <c r="R498" i="36"/>
  <c r="AA514" i="36"/>
  <c r="Z498" i="36"/>
  <c r="Z506" i="36"/>
  <c r="T478" i="36"/>
  <c r="T502" i="36"/>
  <c r="M486" i="36"/>
  <c r="N494" i="36"/>
  <c r="N518" i="36"/>
  <c r="O490" i="36"/>
  <c r="O514" i="36"/>
  <c r="X500" i="36"/>
  <c r="T511" i="36"/>
  <c r="V519" i="36"/>
  <c r="U512" i="36"/>
  <c r="AA504" i="36"/>
  <c r="AB511" i="36"/>
  <c r="K510" i="36"/>
  <c r="M504" i="36"/>
  <c r="X508" i="36"/>
  <c r="Z519" i="36"/>
  <c r="O494" i="36"/>
  <c r="O518" i="36"/>
  <c r="U507" i="36"/>
  <c r="P520" i="36"/>
  <c r="AB503" i="36"/>
  <c r="X515" i="36"/>
  <c r="O500" i="36"/>
  <c r="V508" i="36"/>
  <c r="Z516" i="36"/>
  <c r="M490" i="36"/>
  <c r="M514" i="36"/>
  <c r="V512" i="36"/>
  <c r="U519" i="36"/>
  <c r="L494" i="36"/>
  <c r="L518" i="36"/>
  <c r="N486" i="36"/>
  <c r="L474" i="36"/>
  <c r="L498" i="36"/>
  <c r="P482" i="36"/>
  <c r="P506" i="36"/>
  <c r="N512" i="36"/>
  <c r="U504" i="36"/>
  <c r="R520" i="36"/>
  <c r="U515" i="36"/>
  <c r="T504" i="36"/>
  <c r="W516" i="36"/>
  <c r="T507" i="36"/>
  <c r="M499" i="36"/>
  <c r="N519" i="36"/>
  <c r="T503" i="36"/>
  <c r="T519" i="36"/>
  <c r="V500" i="36"/>
  <c r="O486" i="36"/>
  <c r="O510" i="36"/>
  <c r="V516" i="36"/>
  <c r="Q502" i="36"/>
  <c r="Q519" i="36"/>
  <c r="X507" i="36"/>
  <c r="N499" i="36"/>
  <c r="Q490" i="36"/>
  <c r="Q514" i="36"/>
  <c r="K508" i="36"/>
  <c r="R512" i="36"/>
  <c r="V515" i="36"/>
  <c r="V504" i="36"/>
  <c r="Y519" i="36"/>
  <c r="AC498" i="36"/>
  <c r="AC499" i="36"/>
  <c r="AC500" i="36"/>
  <c r="AJ499" i="36"/>
  <c r="AJ500" i="36"/>
  <c r="AJ498" i="36"/>
  <c r="AF499" i="36"/>
  <c r="AF500" i="36"/>
  <c r="AF498" i="36"/>
  <c r="AD494" i="36"/>
  <c r="AD519" i="36"/>
  <c r="AD520" i="36"/>
  <c r="AD518" i="36"/>
  <c r="AJ515" i="36"/>
  <c r="AJ516" i="36"/>
  <c r="AJ514" i="36"/>
  <c r="AJ510" i="36"/>
  <c r="AJ511" i="36"/>
  <c r="AJ512" i="36"/>
  <c r="AD474" i="36"/>
  <c r="AD498" i="36"/>
  <c r="AD499" i="36"/>
  <c r="AD500" i="36"/>
  <c r="AD503" i="36"/>
  <c r="AD504" i="36"/>
  <c r="AD502" i="36"/>
  <c r="AC486" i="36"/>
  <c r="AC512" i="36"/>
  <c r="AC510" i="36"/>
  <c r="AC511" i="36"/>
  <c r="AC482" i="36"/>
  <c r="AC507" i="36"/>
  <c r="AC508" i="36"/>
  <c r="AC506" i="36"/>
  <c r="AC502" i="36"/>
  <c r="AC503" i="36"/>
  <c r="AC504" i="36"/>
  <c r="AD514" i="36"/>
  <c r="AD515" i="36"/>
  <c r="AD516" i="36"/>
  <c r="AE508" i="36"/>
  <c r="AE506" i="36"/>
  <c r="AE507" i="36"/>
  <c r="AE503" i="36"/>
  <c r="AE504" i="36"/>
  <c r="AE502" i="36"/>
  <c r="AJ520" i="36"/>
  <c r="AJ518" i="36"/>
  <c r="AJ519" i="36"/>
  <c r="AJ504" i="36"/>
  <c r="AJ502" i="36"/>
  <c r="AJ503" i="36"/>
  <c r="AF520" i="36"/>
  <c r="AF518" i="36"/>
  <c r="AF519" i="36"/>
  <c r="AC494" i="36"/>
  <c r="AC518" i="36"/>
  <c r="AC519" i="36"/>
  <c r="AC520" i="36"/>
  <c r="AE519" i="36"/>
  <c r="AE520" i="36"/>
  <c r="AE518" i="36"/>
  <c r="AE486" i="36"/>
  <c r="AE510" i="36"/>
  <c r="AE511" i="36"/>
  <c r="AE512" i="36"/>
  <c r="AF510" i="36"/>
  <c r="AF511" i="36"/>
  <c r="AF512" i="36"/>
  <c r="AJ506" i="36"/>
  <c r="AJ507" i="36"/>
  <c r="AJ508" i="36"/>
  <c r="AE498" i="36"/>
  <c r="AE499" i="36"/>
  <c r="AE500" i="36"/>
  <c r="AD508" i="36"/>
  <c r="AD506" i="36"/>
  <c r="AD507" i="36"/>
  <c r="AE514" i="36"/>
  <c r="AE515" i="36"/>
  <c r="AE516" i="36"/>
  <c r="AD486" i="36"/>
  <c r="AD510" i="36"/>
  <c r="AD511" i="36"/>
  <c r="AD512" i="36"/>
  <c r="AC514" i="36"/>
  <c r="AC515" i="36"/>
  <c r="AC516" i="36"/>
  <c r="AF506" i="36"/>
  <c r="AF507" i="36"/>
  <c r="AF508" i="36"/>
  <c r="AF490" i="36"/>
  <c r="AF515" i="36"/>
  <c r="AF516" i="36"/>
  <c r="AF514" i="36"/>
  <c r="S515" i="36"/>
  <c r="S498" i="36"/>
  <c r="S518" i="36"/>
  <c r="S519" i="36"/>
  <c r="S499" i="36"/>
  <c r="S486" i="36"/>
  <c r="S510" i="36"/>
  <c r="S507" i="36"/>
  <c r="S502" i="36"/>
  <c r="S511" i="36"/>
  <c r="BR59" i="36"/>
  <c r="BK59" i="36"/>
  <c r="BS59" i="36"/>
  <c r="BU59" i="36"/>
  <c r="BQ59" i="36"/>
  <c r="BQ63" i="36" s="1"/>
  <c r="BY59" i="36"/>
  <c r="BY63" i="36" s="1"/>
  <c r="BM59" i="36"/>
  <c r="BP59" i="36"/>
  <c r="BL59" i="36"/>
  <c r="BL63" i="36" s="1"/>
  <c r="BO59" i="36"/>
  <c r="BN59" i="36"/>
  <c r="BN63" i="36" s="1"/>
  <c r="BT59" i="36"/>
  <c r="BT63" i="36" s="1"/>
  <c r="Z486" i="36"/>
  <c r="X478" i="57"/>
  <c r="AD502" i="57"/>
  <c r="AD496" i="57"/>
  <c r="AB496" i="57"/>
  <c r="Y490" i="57"/>
  <c r="W484" i="57"/>
  <c r="AB484" i="57"/>
  <c r="U496" i="57"/>
  <c r="AC508" i="57"/>
  <c r="X508" i="57"/>
  <c r="U490" i="57"/>
  <c r="T496" i="57"/>
  <c r="AC484" i="57"/>
  <c r="X496" i="57"/>
  <c r="W508" i="57"/>
  <c r="AE502" i="57"/>
  <c r="S478" i="57"/>
  <c r="V496" i="57"/>
  <c r="T490" i="57"/>
  <c r="Y478" i="57"/>
  <c r="AB508" i="57"/>
  <c r="U484" i="57"/>
  <c r="AE484" i="57"/>
  <c r="V490" i="57"/>
  <c r="U478" i="57"/>
  <c r="AD478" i="57"/>
  <c r="AA508" i="57"/>
  <c r="T478" i="57"/>
  <c r="AF478" i="57"/>
  <c r="T508" i="57"/>
  <c r="V484" i="57"/>
  <c r="W490" i="57"/>
  <c r="V508" i="57"/>
  <c r="X490" i="57"/>
  <c r="AE508" i="57"/>
  <c r="Y467" i="57"/>
  <c r="AF490" i="57"/>
  <c r="AE478" i="57"/>
  <c r="Z490" i="57"/>
  <c r="AD490" i="57"/>
  <c r="W496" i="57"/>
  <c r="AD508" i="57"/>
  <c r="AF508" i="57"/>
  <c r="AC478" i="57"/>
  <c r="AA496" i="57"/>
  <c r="Y484" i="57"/>
  <c r="S502" i="57"/>
  <c r="AC510" i="57"/>
  <c r="T484" i="57"/>
  <c r="S508" i="57"/>
  <c r="Y508" i="57"/>
  <c r="U502" i="57"/>
  <c r="AA490" i="57"/>
  <c r="X484" i="57"/>
  <c r="V478" i="57"/>
  <c r="S484" i="57"/>
  <c r="AE496" i="57"/>
  <c r="AA484" i="57"/>
  <c r="Z484" i="57"/>
  <c r="T502" i="57"/>
  <c r="Z502" i="57"/>
  <c r="AD510" i="57"/>
  <c r="V502" i="57"/>
  <c r="S496" i="57"/>
  <c r="U508" i="57"/>
  <c r="AA478" i="57"/>
  <c r="W502" i="57"/>
  <c r="AB490" i="57"/>
  <c r="Z496" i="57"/>
  <c r="AC502" i="57"/>
  <c r="Y502" i="57"/>
  <c r="W478" i="57"/>
  <c r="X502" i="57"/>
  <c r="AF496" i="57"/>
  <c r="AD484" i="57"/>
  <c r="Z508" i="57"/>
  <c r="AE490" i="57"/>
  <c r="Y496" i="57"/>
  <c r="R510" i="57"/>
  <c r="AF484" i="57"/>
  <c r="AF502" i="57"/>
  <c r="S490" i="57"/>
  <c r="AA502" i="57"/>
  <c r="AB478" i="57"/>
  <c r="AC490" i="57"/>
  <c r="BW45" i="90"/>
  <c r="AJ494" i="36"/>
  <c r="AA474" i="36"/>
  <c r="AE496" i="36"/>
  <c r="X486" i="36"/>
  <c r="AJ482" i="36"/>
  <c r="AE478" i="36"/>
  <c r="AE482" i="36"/>
  <c r="AD482" i="36"/>
  <c r="AJ496" i="36"/>
  <c r="AB494" i="36"/>
  <c r="R478" i="36"/>
  <c r="L31" i="98"/>
  <c r="AB474" i="36"/>
  <c r="M31" i="98"/>
  <c r="Y486" i="36"/>
  <c r="G31" i="98"/>
  <c r="J31" i="98"/>
  <c r="I31" i="98"/>
  <c r="Z482" i="36"/>
  <c r="K31" i="98"/>
  <c r="AJ486" i="36"/>
  <c r="AE490" i="36"/>
  <c r="AF474" i="36"/>
  <c r="AB478" i="36"/>
  <c r="AD496" i="36"/>
  <c r="H31" i="98"/>
  <c r="AA496" i="36"/>
  <c r="W482" i="36"/>
  <c r="AB496" i="36"/>
  <c r="X494" i="36"/>
  <c r="F31" i="98"/>
  <c r="E31" i="98"/>
  <c r="D31" i="98"/>
  <c r="T494" i="36"/>
  <c r="W496" i="36"/>
  <c r="V464" i="36"/>
  <c r="U464" i="36"/>
  <c r="W494" i="36"/>
  <c r="Y496" i="36"/>
  <c r="S482" i="36"/>
  <c r="S494" i="36"/>
  <c r="Z474" i="36"/>
  <c r="S474" i="36"/>
  <c r="W486" i="36"/>
  <c r="Z494" i="36"/>
  <c r="Z496" i="36"/>
  <c r="R486" i="36"/>
  <c r="Z478" i="36"/>
  <c r="S478" i="36"/>
  <c r="AF496" i="36"/>
  <c r="AA486" i="36"/>
  <c r="V482" i="36"/>
  <c r="Y482" i="36"/>
  <c r="R482" i="36"/>
  <c r="AE494" i="36"/>
  <c r="T496" i="36"/>
  <c r="W490" i="36"/>
  <c r="AJ490" i="36"/>
  <c r="T490" i="36"/>
  <c r="V496" i="36"/>
  <c r="Y478" i="36"/>
  <c r="Y490" i="36"/>
  <c r="AJ474" i="36"/>
  <c r="U494" i="36"/>
  <c r="AF482" i="36"/>
  <c r="AA478" i="36"/>
  <c r="R490" i="36"/>
  <c r="U474" i="36"/>
  <c r="U482" i="36"/>
  <c r="X482" i="36"/>
  <c r="AC496" i="36"/>
  <c r="U496" i="36"/>
  <c r="AB486" i="36"/>
  <c r="Y474" i="36"/>
  <c r="AC490" i="36"/>
  <c r="AD478" i="36"/>
  <c r="X490" i="36"/>
  <c r="U490" i="36"/>
  <c r="V478" i="36"/>
  <c r="AC478" i="36"/>
  <c r="AF486" i="36"/>
  <c r="V474" i="36"/>
  <c r="X496" i="36"/>
  <c r="V494" i="36"/>
  <c r="X474" i="36"/>
  <c r="Z490" i="36"/>
  <c r="AD490" i="36"/>
  <c r="S490" i="36"/>
  <c r="AB490" i="36"/>
  <c r="AA494" i="36"/>
  <c r="AC474" i="36"/>
  <c r="U478" i="36"/>
  <c r="V486" i="36"/>
  <c r="V490" i="36"/>
  <c r="AF494" i="36"/>
  <c r="S496" i="36"/>
  <c r="AE474" i="36"/>
  <c r="AA490" i="36"/>
  <c r="AB482" i="36"/>
  <c r="AJ478" i="36"/>
  <c r="AA456" i="36"/>
  <c r="AB456" i="36"/>
  <c r="Y456" i="36"/>
  <c r="Z456" i="36"/>
  <c r="X456" i="36"/>
  <c r="BV45" i="90"/>
  <c r="BZ45" i="90"/>
  <c r="BX45" i="90"/>
  <c r="BY45" i="90"/>
  <c r="BU45" i="90"/>
  <c r="AC17" i="57"/>
  <c r="BT45" i="90"/>
  <c r="AF467" i="57"/>
  <c r="V467" i="57"/>
  <c r="Z467" i="57"/>
  <c r="AD467" i="57"/>
  <c r="AA467" i="57"/>
  <c r="W467" i="57"/>
  <c r="M458" i="57"/>
  <c r="AB466" i="57"/>
  <c r="P466" i="57"/>
  <c r="P458" i="57"/>
  <c r="Q458" i="57"/>
  <c r="Q467" i="57"/>
  <c r="N466" i="57"/>
  <c r="L458" i="57"/>
  <c r="N458" i="57"/>
  <c r="AC466" i="57"/>
  <c r="O458" i="57"/>
  <c r="R467" i="57"/>
  <c r="AE467" i="57"/>
  <c r="X467" i="57"/>
  <c r="R458" i="57"/>
  <c r="K467" i="57"/>
  <c r="L466" i="57"/>
  <c r="S467" i="57"/>
  <c r="K458" i="57"/>
  <c r="T466" i="57"/>
  <c r="U466" i="57"/>
  <c r="O467" i="57"/>
  <c r="M466" i="57"/>
  <c r="AD456" i="57"/>
  <c r="AC456" i="57"/>
  <c r="AE456" i="57"/>
  <c r="AF456" i="57"/>
  <c r="AJ456" i="36"/>
  <c r="AE465" i="36"/>
  <c r="V465" i="36"/>
  <c r="Y465" i="36"/>
  <c r="S465" i="36"/>
  <c r="X464" i="36"/>
  <c r="X465" i="36"/>
  <c r="O458" i="36"/>
  <c r="N458" i="36"/>
  <c r="AF456" i="36"/>
  <c r="M458" i="36"/>
  <c r="Q458" i="36"/>
  <c r="P458" i="36"/>
  <c r="O464" i="36"/>
  <c r="AJ465" i="36"/>
  <c r="AC465" i="36"/>
  <c r="M465" i="36"/>
  <c r="Z465" i="36"/>
  <c r="AJ464" i="36"/>
  <c r="AC464" i="36"/>
  <c r="K464" i="36"/>
  <c r="AD464" i="36"/>
  <c r="AF465" i="36"/>
  <c r="AB464" i="36"/>
  <c r="Q465" i="36"/>
  <c r="P464" i="36"/>
  <c r="AA464" i="36"/>
  <c r="AA465" i="36"/>
  <c r="P465" i="36"/>
  <c r="N465" i="36"/>
  <c r="Y464" i="36"/>
  <c r="AB465" i="36"/>
  <c r="AE464" i="36"/>
  <c r="S464" i="36"/>
  <c r="Z464" i="36"/>
  <c r="O465" i="36"/>
  <c r="AF464" i="36"/>
  <c r="N464" i="36"/>
  <c r="U465" i="36"/>
  <c r="T465" i="36"/>
  <c r="T464" i="36"/>
  <c r="Q464" i="36"/>
  <c r="W464" i="36"/>
  <c r="AD465" i="36"/>
  <c r="W465" i="36"/>
  <c r="L458" i="36"/>
  <c r="L464" i="36"/>
  <c r="K458" i="36"/>
  <c r="AE456" i="36"/>
  <c r="AD456" i="36"/>
  <c r="AC456" i="36"/>
  <c r="D16" i="90"/>
  <c r="AJ117" i="12"/>
  <c r="AF117" i="12"/>
  <c r="AE117" i="12"/>
  <c r="AD117" i="12"/>
  <c r="AC117" i="12"/>
  <c r="AB117" i="12"/>
  <c r="AA117" i="12"/>
  <c r="Z117" i="12"/>
  <c r="Y117" i="12"/>
  <c r="Y25" i="116" s="1"/>
  <c r="X117" i="12"/>
  <c r="X34" i="12" s="1"/>
  <c r="W117" i="12"/>
  <c r="W34" i="12" s="1"/>
  <c r="V117" i="12"/>
  <c r="U117" i="12"/>
  <c r="U34" i="12" s="1"/>
  <c r="T117" i="12"/>
  <c r="T34" i="12" s="1"/>
  <c r="S117" i="12"/>
  <c r="S34" i="12" s="1"/>
  <c r="R117" i="12"/>
  <c r="R34" i="12" s="1"/>
  <c r="Q117" i="12"/>
  <c r="Q34" i="12" s="1"/>
  <c r="P117" i="12"/>
  <c r="P34" i="12" s="1"/>
  <c r="O117" i="12"/>
  <c r="O34" i="12" s="1"/>
  <c r="N117" i="12"/>
  <c r="N34" i="12" s="1"/>
  <c r="M117" i="12"/>
  <c r="M34" i="12" s="1"/>
  <c r="L117" i="12"/>
  <c r="L34" i="12" s="1"/>
  <c r="K117" i="12"/>
  <c r="K34" i="12" s="1"/>
  <c r="AJ79" i="12"/>
  <c r="AJ80" i="12" s="1"/>
  <c r="AC86" i="12"/>
  <c r="AC16" i="12" s="1"/>
  <c r="AD86" i="12"/>
  <c r="AD16" i="12" s="1"/>
  <c r="AE86" i="12"/>
  <c r="AE16" i="12" s="1"/>
  <c r="AF86" i="12"/>
  <c r="AJ86" i="12"/>
  <c r="AJ16" i="12" s="1"/>
  <c r="AC94" i="12"/>
  <c r="AD94" i="12"/>
  <c r="AE94" i="12"/>
  <c r="AF94" i="12"/>
  <c r="AJ94" i="12"/>
  <c r="AC71" i="12"/>
  <c r="AC14" i="12" s="1"/>
  <c r="AD71" i="12"/>
  <c r="AD14" i="12" s="1"/>
  <c r="AE71" i="12"/>
  <c r="AE14" i="12" s="1"/>
  <c r="AF71" i="12"/>
  <c r="AJ71" i="12"/>
  <c r="AJ14" i="12" s="1"/>
  <c r="AC64" i="12"/>
  <c r="AD64" i="12"/>
  <c r="AE64" i="12"/>
  <c r="AF64" i="12"/>
  <c r="AJ64" i="12"/>
  <c r="AG43" i="40"/>
  <c r="AH43" i="40" s="1"/>
  <c r="AI43" i="40" s="1"/>
  <c r="AJ43" i="40" s="1"/>
  <c r="AK43" i="40" s="1"/>
  <c r="AL43" i="40" s="1"/>
  <c r="AG129" i="89"/>
  <c r="AG29" i="89" s="1"/>
  <c r="AG31" i="89" s="1"/>
  <c r="AF129" i="89"/>
  <c r="AF29" i="89" s="1"/>
  <c r="AF31" i="89" s="1"/>
  <c r="AE129" i="89"/>
  <c r="AE29" i="89" s="1"/>
  <c r="AE31" i="89" s="1"/>
  <c r="AD129" i="89"/>
  <c r="AD29" i="89" s="1"/>
  <c r="AD31" i="89" s="1"/>
  <c r="AC129" i="89"/>
  <c r="AC29" i="89" s="1"/>
  <c r="AC31" i="89" s="1"/>
  <c r="AB129" i="89"/>
  <c r="AB29" i="89" s="1"/>
  <c r="AB31" i="89" s="1"/>
  <c r="AA129" i="89"/>
  <c r="AA29" i="89" s="1"/>
  <c r="AA31" i="89" s="1"/>
  <c r="AG118" i="89"/>
  <c r="AG25" i="89" s="1"/>
  <c r="AG27" i="89" s="1"/>
  <c r="AF118" i="89"/>
  <c r="AF25" i="89" s="1"/>
  <c r="AF27" i="89" s="1"/>
  <c r="AE118" i="89"/>
  <c r="AE25" i="89" s="1"/>
  <c r="AE27" i="89" s="1"/>
  <c r="AD118" i="89"/>
  <c r="AD25" i="89" s="1"/>
  <c r="AD27" i="89" s="1"/>
  <c r="AC118" i="89"/>
  <c r="AC25" i="89" s="1"/>
  <c r="AC27" i="89" s="1"/>
  <c r="AB118" i="89"/>
  <c r="AB25" i="89" s="1"/>
  <c r="AB27" i="89" s="1"/>
  <c r="AA118" i="89"/>
  <c r="AA25" i="89" s="1"/>
  <c r="AA27" i="89" s="1"/>
  <c r="AG107" i="89"/>
  <c r="AG21" i="89" s="1"/>
  <c r="AG23" i="89" s="1"/>
  <c r="AF107" i="89"/>
  <c r="AF21" i="89" s="1"/>
  <c r="AF23" i="89" s="1"/>
  <c r="AE107" i="89"/>
  <c r="AE21" i="89" s="1"/>
  <c r="AE23" i="89" s="1"/>
  <c r="AD107" i="89"/>
  <c r="AD21" i="89" s="1"/>
  <c r="AD23" i="89" s="1"/>
  <c r="AC107" i="89"/>
  <c r="AC21" i="89" s="1"/>
  <c r="AC23" i="89" s="1"/>
  <c r="AB107" i="89"/>
  <c r="AB21" i="89" s="1"/>
  <c r="AB23" i="89" s="1"/>
  <c r="AA107" i="89"/>
  <c r="AA21" i="89" s="1"/>
  <c r="AA23" i="89" s="1"/>
  <c r="AG99" i="89"/>
  <c r="AH100" i="89" s="1"/>
  <c r="AF99" i="89"/>
  <c r="AE99" i="89"/>
  <c r="AD99" i="89"/>
  <c r="AC99" i="89"/>
  <c r="AB99" i="89"/>
  <c r="AA99" i="89"/>
  <c r="AG93" i="89"/>
  <c r="AH94" i="89" s="1"/>
  <c r="AF93" i="89"/>
  <c r="AE93" i="89"/>
  <c r="AD93" i="89"/>
  <c r="AC93" i="89"/>
  <c r="AB93" i="89"/>
  <c r="AA93" i="89"/>
  <c r="AG87" i="89"/>
  <c r="AF87" i="89"/>
  <c r="AE87" i="89"/>
  <c r="AD87" i="89"/>
  <c r="AC87" i="89"/>
  <c r="AB87" i="89"/>
  <c r="AA87" i="89"/>
  <c r="AG78" i="89"/>
  <c r="AH79" i="89" s="1"/>
  <c r="AF78" i="89"/>
  <c r="AE78" i="89"/>
  <c r="AD78" i="89"/>
  <c r="AC78" i="89"/>
  <c r="AB78" i="89"/>
  <c r="AA78" i="89"/>
  <c r="AG72" i="89"/>
  <c r="AH73" i="89" s="1"/>
  <c r="AF72" i="89"/>
  <c r="AE72" i="89"/>
  <c r="AD72" i="89"/>
  <c r="AC72" i="89"/>
  <c r="AB72" i="89"/>
  <c r="AA72" i="89"/>
  <c r="AG66" i="89"/>
  <c r="AH67" i="89" s="1"/>
  <c r="AF66" i="89"/>
  <c r="AE66" i="89"/>
  <c r="AD66" i="89"/>
  <c r="AC66" i="89"/>
  <c r="AB66" i="89"/>
  <c r="AA66" i="89"/>
  <c r="S14" i="40"/>
  <c r="T14" i="40"/>
  <c r="U14" i="40"/>
  <c r="O25" i="5"/>
  <c r="I7" i="5" s="1"/>
  <c r="BO60" i="57" l="1"/>
  <c r="BO61" i="57"/>
  <c r="AG545" i="57"/>
  <c r="AG519" i="57"/>
  <c r="BY61" i="57"/>
  <c r="BY60" i="57"/>
  <c r="BT60" i="57"/>
  <c r="BT61" i="57"/>
  <c r="AA518" i="57"/>
  <c r="L546" i="57"/>
  <c r="AH537" i="57"/>
  <c r="AI564" i="57"/>
  <c r="AJ564" i="57"/>
  <c r="N554" i="57"/>
  <c r="AH527" i="57"/>
  <c r="AG527" i="57"/>
  <c r="AH518" i="57"/>
  <c r="L554" i="57"/>
  <c r="AI518" i="57"/>
  <c r="AH555" i="57"/>
  <c r="AI554" i="57"/>
  <c r="K563" i="57"/>
  <c r="AI536" i="57"/>
  <c r="AI546" i="57"/>
  <c r="AJ546" i="57"/>
  <c r="X564" i="57"/>
  <c r="R527" i="57"/>
  <c r="AG564" i="57"/>
  <c r="AJ518" i="57"/>
  <c r="AA24" i="98"/>
  <c r="AA35" i="30"/>
  <c r="I27" i="90"/>
  <c r="M17" i="90"/>
  <c r="D27" i="90"/>
  <c r="H17" i="90"/>
  <c r="AJ118" i="12"/>
  <c r="AJ65" i="12"/>
  <c r="AJ96" i="12"/>
  <c r="AE118" i="12"/>
  <c r="AF14" i="12"/>
  <c r="AJ72" i="12"/>
  <c r="AF16" i="12"/>
  <c r="AJ87" i="12"/>
  <c r="V34" i="12"/>
  <c r="Z118" i="12"/>
  <c r="AD24" i="98"/>
  <c r="AJ32" i="89"/>
  <c r="AE28" i="89"/>
  <c r="BQ46" i="36"/>
  <c r="AE24" i="89"/>
  <c r="AJ28" i="89"/>
  <c r="AJ24" i="89"/>
  <c r="AE32" i="89"/>
  <c r="BR46" i="36"/>
  <c r="BS47" i="36"/>
  <c r="BP47" i="36"/>
  <c r="BT46" i="36"/>
  <c r="BS46" i="36"/>
  <c r="BT47" i="36"/>
  <c r="BQ38" i="36"/>
  <c r="BS38" i="36"/>
  <c r="BQ43" i="36"/>
  <c r="BR38" i="36"/>
  <c r="BS43" i="36"/>
  <c r="BP46" i="36"/>
  <c r="BR43" i="36"/>
  <c r="BT38" i="36"/>
  <c r="BP38" i="36"/>
  <c r="BR47" i="36"/>
  <c r="BT43" i="36"/>
  <c r="BP43" i="36"/>
  <c r="BQ47" i="36"/>
  <c r="BQ6" i="36"/>
  <c r="BS6" i="36"/>
  <c r="BR6" i="36"/>
  <c r="BT6" i="36"/>
  <c r="BP6" i="36"/>
  <c r="AF22" i="36"/>
  <c r="S37" i="114"/>
  <c r="AA37" i="114"/>
  <c r="V37" i="114"/>
  <c r="U37" i="114"/>
  <c r="R37" i="114"/>
  <c r="X37" i="114"/>
  <c r="W37" i="114"/>
  <c r="T37" i="114"/>
  <c r="Y37" i="114"/>
  <c r="Z37" i="114"/>
  <c r="AJ22" i="36"/>
  <c r="AE22" i="36"/>
  <c r="AC22" i="36"/>
  <c r="AD22" i="36"/>
  <c r="AF24" i="98"/>
  <c r="S24" i="114"/>
  <c r="AC24" i="98"/>
  <c r="AG24" i="98"/>
  <c r="AF13" i="12"/>
  <c r="AE13" i="12"/>
  <c r="AD13" i="12"/>
  <c r="AJ13" i="12"/>
  <c r="AC13" i="12"/>
  <c r="BO61" i="36"/>
  <c r="BY60" i="36"/>
  <c r="BT60" i="36"/>
  <c r="BO60" i="36"/>
  <c r="BY61" i="36"/>
  <c r="BT61" i="36"/>
  <c r="F26" i="90"/>
  <c r="H26" i="90"/>
  <c r="G26" i="90"/>
  <c r="E26" i="90"/>
  <c r="J26" i="90"/>
  <c r="I26" i="90"/>
  <c r="BQ45" i="90"/>
  <c r="L36" i="90" s="1"/>
  <c r="BR45" i="90"/>
  <c r="M36" i="90" s="1"/>
  <c r="BN45" i="90"/>
  <c r="I36" i="90" s="1"/>
  <c r="BP45" i="90"/>
  <c r="K36" i="90" s="1"/>
  <c r="BO45" i="90"/>
  <c r="J36" i="90" s="1"/>
  <c r="AJ34" i="12"/>
  <c r="R167" i="98" s="1"/>
  <c r="AJ98" i="116"/>
  <c r="AF34" i="12"/>
  <c r="N167" i="98" s="1"/>
  <c r="AF98" i="116"/>
  <c r="AD34" i="12"/>
  <c r="L167" i="98" s="1"/>
  <c r="AD98" i="116"/>
  <c r="AA34" i="12"/>
  <c r="I167" i="98" s="1"/>
  <c r="AA98" i="116"/>
  <c r="AE34" i="12"/>
  <c r="M167" i="98" s="1"/>
  <c r="AE98" i="116"/>
  <c r="AC34" i="12"/>
  <c r="K167" i="98" s="1"/>
  <c r="AC98" i="116"/>
  <c r="AB34" i="12"/>
  <c r="J167" i="98" s="1"/>
  <c r="AB98" i="116"/>
  <c r="Z34" i="12"/>
  <c r="H167" i="98" s="1"/>
  <c r="H139" i="98" s="1"/>
  <c r="Y34" i="12"/>
  <c r="AJ31" i="12"/>
  <c r="X555" i="57"/>
  <c r="T546" i="57"/>
  <c r="AF82" i="86"/>
  <c r="N139" i="98" s="1"/>
  <c r="AJ82" i="86"/>
  <c r="R139" i="98" s="1"/>
  <c r="AG555" i="57"/>
  <c r="AH546" i="57"/>
  <c r="AG537" i="57"/>
  <c r="AF519" i="57"/>
  <c r="AC31" i="12"/>
  <c r="AD31" i="12"/>
  <c r="L164" i="98" s="1"/>
  <c r="AF31" i="12"/>
  <c r="AE31" i="12"/>
  <c r="AF15" i="12"/>
  <c r="AD15" i="12"/>
  <c r="AE15" i="12"/>
  <c r="AJ15" i="12"/>
  <c r="AC15" i="12"/>
  <c r="AJ554" i="57"/>
  <c r="L528" i="57"/>
  <c r="W518" i="57"/>
  <c r="K546" i="57"/>
  <c r="Z546" i="57"/>
  <c r="AA554" i="57"/>
  <c r="AJ537" i="57"/>
  <c r="BY62" i="57"/>
  <c r="BU63" i="57"/>
  <c r="BO62" i="57"/>
  <c r="BK63" i="57"/>
  <c r="V536" i="57"/>
  <c r="T537" i="57"/>
  <c r="AH564" i="57"/>
  <c r="BT62" i="57"/>
  <c r="BP63" i="57"/>
  <c r="AG536" i="57"/>
  <c r="X528" i="57"/>
  <c r="S554" i="57"/>
  <c r="AE554" i="57"/>
  <c r="AG554" i="57"/>
  <c r="AI528" i="57"/>
  <c r="N546" i="57"/>
  <c r="O563" i="57"/>
  <c r="R564" i="57"/>
  <c r="AJ528" i="57"/>
  <c r="AB519" i="57"/>
  <c r="AF536" i="57"/>
  <c r="O537" i="57"/>
  <c r="P518" i="57"/>
  <c r="Q536" i="57"/>
  <c r="AD546" i="57"/>
  <c r="Z563" i="57"/>
  <c r="R537" i="57"/>
  <c r="Y545" i="57"/>
  <c r="N564" i="57"/>
  <c r="R546" i="57"/>
  <c r="Z555" i="57"/>
  <c r="V555" i="57"/>
  <c r="U554" i="57"/>
  <c r="Z545" i="57"/>
  <c r="N518" i="57"/>
  <c r="O554" i="57"/>
  <c r="S519" i="57"/>
  <c r="V519" i="57"/>
  <c r="M546" i="57"/>
  <c r="V528" i="57"/>
  <c r="Q528" i="57"/>
  <c r="S537" i="57"/>
  <c r="AF546" i="57"/>
  <c r="X518" i="57"/>
  <c r="AE519" i="57"/>
  <c r="O528" i="57"/>
  <c r="O518" i="57"/>
  <c r="P545" i="57"/>
  <c r="AD554" i="57"/>
  <c r="P554" i="57"/>
  <c r="L518" i="57"/>
  <c r="AE527" i="57"/>
  <c r="AD527" i="57"/>
  <c r="M563" i="57"/>
  <c r="AA546" i="57"/>
  <c r="AC527" i="57"/>
  <c r="N537" i="57"/>
  <c r="O545" i="57"/>
  <c r="M528" i="57"/>
  <c r="U564" i="57"/>
  <c r="Y527" i="57"/>
  <c r="K527" i="57"/>
  <c r="AC564" i="57"/>
  <c r="T519" i="57"/>
  <c r="P536" i="57"/>
  <c r="AA528" i="57"/>
  <c r="M555" i="57"/>
  <c r="M518" i="57"/>
  <c r="AA563" i="57"/>
  <c r="Q555" i="57"/>
  <c r="Y518" i="57"/>
  <c r="U546" i="57"/>
  <c r="R518" i="57"/>
  <c r="AB554" i="57"/>
  <c r="AC518" i="57"/>
  <c r="AB546" i="57"/>
  <c r="U527" i="57"/>
  <c r="T528" i="57"/>
  <c r="T554" i="57"/>
  <c r="X546" i="57"/>
  <c r="W527" i="57"/>
  <c r="V564" i="57"/>
  <c r="L564" i="57"/>
  <c r="S546" i="57"/>
  <c r="V546" i="57"/>
  <c r="AC554" i="57"/>
  <c r="U518" i="57"/>
  <c r="M536" i="57"/>
  <c r="AD564" i="57"/>
  <c r="AB528" i="57"/>
  <c r="Z528" i="57"/>
  <c r="N536" i="57"/>
  <c r="AB536" i="57"/>
  <c r="S563" i="57"/>
  <c r="Y546" i="57"/>
  <c r="Z537" i="57"/>
  <c r="N528" i="57"/>
  <c r="U519" i="57"/>
  <c r="AF527" i="57"/>
  <c r="R555" i="57"/>
  <c r="AF537" i="57"/>
  <c r="U537" i="57"/>
  <c r="Y563" i="57"/>
  <c r="AF563" i="57"/>
  <c r="N519" i="57"/>
  <c r="AE563" i="57"/>
  <c r="M537" i="57"/>
  <c r="U563" i="57"/>
  <c r="AB555" i="57"/>
  <c r="Y554" i="57"/>
  <c r="W545" i="57"/>
  <c r="Q546" i="57"/>
  <c r="Z518" i="57"/>
  <c r="L536" i="57"/>
  <c r="U555" i="57"/>
  <c r="BP63" i="36"/>
  <c r="BT62" i="36"/>
  <c r="BU63" i="36"/>
  <c r="BY62" i="36"/>
  <c r="BO62" i="36"/>
  <c r="AM43" i="40"/>
  <c r="AN43" i="40" s="1"/>
  <c r="AO43" i="40" s="1"/>
  <c r="AC22" i="57"/>
  <c r="F183" i="44"/>
  <c r="F184" i="44"/>
  <c r="L555" i="57"/>
  <c r="K518" i="57"/>
  <c r="Q563" i="57"/>
  <c r="Q545" i="57"/>
  <c r="AF545" i="57"/>
  <c r="AF554" i="57"/>
  <c r="P528" i="57"/>
  <c r="AE537" i="57"/>
  <c r="AD518" i="57"/>
  <c r="X537" i="57"/>
  <c r="S528" i="57"/>
  <c r="W555" i="57"/>
  <c r="V537" i="57"/>
  <c r="R554" i="57"/>
  <c r="W536" i="57"/>
  <c r="AE546" i="57"/>
  <c r="AB564" i="57"/>
  <c r="Q518" i="57"/>
  <c r="AE545" i="57"/>
  <c r="U536" i="57"/>
  <c r="V518" i="57"/>
  <c r="M545" i="57"/>
  <c r="K554" i="57"/>
  <c r="AC537" i="57"/>
  <c r="AA537" i="57"/>
  <c r="K537" i="57"/>
  <c r="Y536" i="57"/>
  <c r="AC546" i="57"/>
  <c r="AA536" i="57"/>
  <c r="P564" i="57"/>
  <c r="AD537" i="57"/>
  <c r="T564" i="57"/>
  <c r="W563" i="57"/>
  <c r="W537" i="57"/>
  <c r="Y555" i="57"/>
  <c r="BM63" i="36"/>
  <c r="BR63" i="36"/>
  <c r="BO63" i="36"/>
  <c r="BS63" i="36"/>
  <c r="BK63" i="36"/>
  <c r="AC94" i="89"/>
  <c r="BI45" i="90"/>
  <c r="D36" i="90" s="1"/>
  <c r="BM45" i="90"/>
  <c r="H36" i="90" s="1"/>
  <c r="BL45" i="90"/>
  <c r="BJ45" i="90"/>
  <c r="BK45" i="90"/>
  <c r="AF130" i="89"/>
  <c r="AE130" i="89"/>
  <c r="AD130" i="89"/>
  <c r="AE119" i="89"/>
  <c r="AA119" i="89"/>
  <c r="AB130" i="89"/>
  <c r="D26" i="90"/>
  <c r="AB119" i="89"/>
  <c r="AG130" i="89"/>
  <c r="AH130" i="89"/>
  <c r="AC119" i="89"/>
  <c r="AD119" i="89"/>
  <c r="AA130" i="89"/>
  <c r="AG88" i="89"/>
  <c r="AH88" i="89"/>
  <c r="AF119" i="89"/>
  <c r="AC130" i="89"/>
  <c r="AG119" i="89"/>
  <c r="AH119" i="89"/>
  <c r="H15" i="5"/>
  <c r="AA108" i="89"/>
  <c r="AB67" i="89"/>
  <c r="AC108" i="89"/>
  <c r="AD67" i="89"/>
  <c r="AE108" i="89"/>
  <c r="AD108" i="89"/>
  <c r="AF108" i="89"/>
  <c r="AH108" i="89"/>
  <c r="AG108" i="89"/>
  <c r="AB108" i="89"/>
  <c r="AF94" i="89"/>
  <c r="AB73" i="89"/>
  <c r="AF67" i="89"/>
  <c r="AD79" i="89"/>
  <c r="AC67" i="89"/>
  <c r="AA73" i="89"/>
  <c r="AA79" i="89"/>
  <c r="AG94" i="89"/>
  <c r="AE100" i="89"/>
  <c r="AA94" i="89"/>
  <c r="AA51" i="89"/>
  <c r="AC88" i="89"/>
  <c r="AG67" i="89"/>
  <c r="AE73" i="89"/>
  <c r="AE79" i="89"/>
  <c r="AD88" i="89"/>
  <c r="AA100" i="89"/>
  <c r="AF73" i="89"/>
  <c r="AD94" i="89"/>
  <c r="AB100" i="89"/>
  <c r="AB88" i="89"/>
  <c r="AB94" i="89"/>
  <c r="Z50" i="89"/>
  <c r="AA41" i="89"/>
  <c r="AG79" i="89"/>
  <c r="Y28" i="12"/>
  <c r="Z28" i="12"/>
  <c r="AE67" i="89"/>
  <c r="AE88" i="89"/>
  <c r="AD73" i="89"/>
  <c r="AF79" i="89"/>
  <c r="AA88" i="89"/>
  <c r="AD100" i="89"/>
  <c r="AF100" i="89"/>
  <c r="AC79" i="89"/>
  <c r="AF88" i="89"/>
  <c r="AG73" i="89"/>
  <c r="AA67" i="89"/>
  <c r="AA50" i="89"/>
  <c r="AB52" i="89" s="1"/>
  <c r="AE94" i="89"/>
  <c r="AG100" i="89"/>
  <c r="AB79" i="89"/>
  <c r="AC73" i="89"/>
  <c r="AC100" i="89"/>
  <c r="AC82" i="86" l="1"/>
  <c r="K139" i="98" s="1"/>
  <c r="AE82" i="86"/>
  <c r="M139" i="98" s="1"/>
  <c r="M37" i="90"/>
  <c r="AB82" i="86"/>
  <c r="J139" i="98" s="1"/>
  <c r="Y25" i="86"/>
  <c r="G167" i="98"/>
  <c r="G139" i="98" s="1"/>
  <c r="M164" i="98"/>
  <c r="R164" i="98"/>
  <c r="N164" i="98"/>
  <c r="K164" i="98"/>
  <c r="BQ48" i="36"/>
  <c r="BR48" i="36"/>
  <c r="BP48" i="36"/>
  <c r="BT48" i="36"/>
  <c r="BS48" i="36"/>
  <c r="BT3" i="36"/>
  <c r="BT2" i="36" s="1"/>
  <c r="BS3" i="36"/>
  <c r="BS2" i="36" s="1"/>
  <c r="BQ3" i="36"/>
  <c r="BQ2" i="36" s="1"/>
  <c r="BP3" i="36"/>
  <c r="BP2" i="36" s="1"/>
  <c r="BR3" i="36"/>
  <c r="BR2" i="36" s="1"/>
  <c r="N65" i="98"/>
  <c r="N69" i="98" s="1"/>
  <c r="AF12" i="12"/>
  <c r="L65" i="98"/>
  <c r="L69" i="98" s="1"/>
  <c r="AD12" i="12"/>
  <c r="K65" i="98"/>
  <c r="K69" i="98" s="1"/>
  <c r="AC12" i="12"/>
  <c r="R65" i="98"/>
  <c r="R69" i="98" s="1"/>
  <c r="AJ57" i="12"/>
  <c r="M65" i="98"/>
  <c r="M69" i="98" s="1"/>
  <c r="AE12" i="12"/>
  <c r="AG16" i="45"/>
  <c r="AL29" i="42" s="1"/>
  <c r="AI16" i="45"/>
  <c r="AN29" i="42" s="1"/>
  <c r="AE16" i="45"/>
  <c r="AJ29" i="42" s="1"/>
  <c r="AH16" i="45"/>
  <c r="AM29" i="42" s="1"/>
  <c r="AF16" i="45"/>
  <c r="AK29" i="42" s="1"/>
  <c r="AJ16" i="45"/>
  <c r="AO29" i="42" s="1"/>
  <c r="AA16" i="45"/>
  <c r="AF29" i="42" s="1"/>
  <c r="U24" i="114"/>
  <c r="T24" i="114"/>
  <c r="V24" i="114"/>
  <c r="R24" i="114"/>
  <c r="W24" i="114"/>
  <c r="X24" i="114"/>
  <c r="AJ79" i="86"/>
  <c r="R135" i="98" s="1"/>
  <c r="AJ96" i="116"/>
  <c r="AJ99" i="116" s="1"/>
  <c r="H59" i="98"/>
  <c r="L59" i="98"/>
  <c r="I59" i="98"/>
  <c r="AC79" i="86"/>
  <c r="K135" i="98" s="1"/>
  <c r="K59" i="98"/>
  <c r="J59" i="98"/>
  <c r="AD82" i="86"/>
  <c r="L139" i="98" s="1"/>
  <c r="AA82" i="86"/>
  <c r="I139" i="98" s="1"/>
  <c r="M59" i="98"/>
  <c r="R59" i="98"/>
  <c r="N59" i="98"/>
  <c r="AE79" i="86"/>
  <c r="M135" i="98" s="1"/>
  <c r="AF79" i="86"/>
  <c r="AD79" i="86"/>
  <c r="L135" i="98" s="1"/>
  <c r="L57" i="98"/>
  <c r="AD96" i="116"/>
  <c r="AE96" i="116"/>
  <c r="AF96" i="116"/>
  <c r="AC96" i="116"/>
  <c r="F36" i="90"/>
  <c r="E36" i="90"/>
  <c r="G36" i="90"/>
  <c r="AH40" i="40"/>
  <c r="AA52" i="89"/>
  <c r="M42" i="40"/>
  <c r="K42" i="40"/>
  <c r="H37" i="90" l="1"/>
  <c r="AJ12" i="12"/>
  <c r="AJ58" i="12"/>
  <c r="K57" i="98"/>
  <c r="N57" i="98"/>
  <c r="R57" i="98"/>
  <c r="N135" i="98"/>
  <c r="M57" i="98"/>
  <c r="AW29" i="42"/>
  <c r="AS29" i="42"/>
  <c r="AB16" i="45"/>
  <c r="AG29" i="42" s="1"/>
  <c r="AC16" i="45"/>
  <c r="AH29" i="42" s="1"/>
  <c r="AD16" i="45"/>
  <c r="AI29" i="42" s="1"/>
  <c r="G59" i="98"/>
  <c r="AD99" i="116"/>
  <c r="AC99" i="116"/>
  <c r="AF99" i="116"/>
  <c r="AE99" i="116"/>
  <c r="AI40" i="40"/>
  <c r="AJ40" i="40"/>
  <c r="AG40" i="40"/>
  <c r="AL40" i="40"/>
  <c r="AK40" i="40"/>
  <c r="AJ100" i="116" l="1"/>
  <c r="AV29" i="42"/>
  <c r="AR29" i="42"/>
  <c r="AE58" i="41"/>
  <c r="AD58" i="41"/>
  <c r="AA58" i="41"/>
  <c r="O42" i="40"/>
  <c r="S95" i="30"/>
  <c r="T95" i="30"/>
  <c r="U95" i="30"/>
  <c r="V95" i="30"/>
  <c r="W95" i="30"/>
  <c r="W28" i="30" s="1"/>
  <c r="AB21" i="42" s="1"/>
  <c r="S31" i="30"/>
  <c r="S51" i="30"/>
  <c r="S13" i="30" s="1"/>
  <c r="T51" i="30"/>
  <c r="T13" i="30" s="1"/>
  <c r="U51" i="30"/>
  <c r="U13" i="30" s="1"/>
  <c r="V51" i="30"/>
  <c r="W51" i="30"/>
  <c r="W13" i="30" s="1"/>
  <c r="W9" i="98" s="1"/>
  <c r="S44" i="30"/>
  <c r="S12" i="30" s="1"/>
  <c r="T44" i="30"/>
  <c r="T12" i="30" s="1"/>
  <c r="U44" i="30"/>
  <c r="U12" i="30" s="1"/>
  <c r="V44" i="30"/>
  <c r="W44" i="30"/>
  <c r="W12" i="30" s="1"/>
  <c r="R30" i="30"/>
  <c r="R32" i="30"/>
  <c r="R95" i="30"/>
  <c r="R87" i="30"/>
  <c r="R58" i="30"/>
  <c r="R14" i="30" s="1"/>
  <c r="R51" i="30"/>
  <c r="R13" i="30" s="1"/>
  <c r="R44" i="30"/>
  <c r="R12" i="30" s="1"/>
  <c r="R31" i="30"/>
  <c r="R64" i="12"/>
  <c r="R13" i="12" s="1"/>
  <c r="X64" i="12"/>
  <c r="X13" i="12" s="1"/>
  <c r="Y64" i="12"/>
  <c r="Y13" i="12" s="1"/>
  <c r="Z64" i="12"/>
  <c r="AA64" i="12"/>
  <c r="AB64" i="12"/>
  <c r="R57" i="12"/>
  <c r="R12" i="12" s="1"/>
  <c r="X57" i="12"/>
  <c r="X12" i="12" s="1"/>
  <c r="Y57" i="12"/>
  <c r="Y12" i="12" s="1"/>
  <c r="S13" i="56"/>
  <c r="R71" i="12"/>
  <c r="R14" i="12" s="1"/>
  <c r="S71" i="12"/>
  <c r="S14" i="12" s="1"/>
  <c r="T71" i="12"/>
  <c r="T14" i="12" s="1"/>
  <c r="U71" i="12"/>
  <c r="U14" i="12" s="1"/>
  <c r="V71" i="12"/>
  <c r="W71" i="12"/>
  <c r="W14" i="12" s="1"/>
  <c r="X71" i="12"/>
  <c r="X14" i="12" s="1"/>
  <c r="Y71" i="12"/>
  <c r="Y14" i="12" s="1"/>
  <c r="Z71" i="12"/>
  <c r="Z14" i="12" s="1"/>
  <c r="AA71" i="12"/>
  <c r="AB71" i="12"/>
  <c r="AB14" i="12" s="1"/>
  <c r="P455" i="36"/>
  <c r="P456" i="36" s="1"/>
  <c r="M13" i="36"/>
  <c r="M455" i="36" s="1"/>
  <c r="M456" i="36" s="1"/>
  <c r="L13" i="36"/>
  <c r="L455" i="36" s="1"/>
  <c r="L456" i="36" s="1"/>
  <c r="K13" i="36"/>
  <c r="N12" i="34"/>
  <c r="N18" i="34"/>
  <c r="N17" i="34"/>
  <c r="N14" i="34"/>
  <c r="N21" i="34"/>
  <c r="N22" i="34"/>
  <c r="N16" i="34"/>
  <c r="F80" i="44"/>
  <c r="O12" i="34"/>
  <c r="O18" i="34"/>
  <c r="O17" i="34"/>
  <c r="O14" i="34"/>
  <c r="O21" i="34"/>
  <c r="O22" i="34"/>
  <c r="O16" i="34"/>
  <c r="P12" i="34"/>
  <c r="P18" i="34"/>
  <c r="P17" i="34"/>
  <c r="P14" i="34"/>
  <c r="P21" i="34"/>
  <c r="P22" i="34"/>
  <c r="P16" i="34"/>
  <c r="Q12" i="34"/>
  <c r="Q18" i="34"/>
  <c r="Q17" i="34"/>
  <c r="Q14" i="34"/>
  <c r="Q21" i="34"/>
  <c r="Q22" i="34"/>
  <c r="Q16" i="34"/>
  <c r="R12" i="34"/>
  <c r="R18" i="34"/>
  <c r="R17" i="34"/>
  <c r="R14" i="34"/>
  <c r="R21" i="34"/>
  <c r="R22" i="34"/>
  <c r="R16" i="34"/>
  <c r="S12" i="34"/>
  <c r="S18" i="34"/>
  <c r="S17" i="34"/>
  <c r="S14" i="34"/>
  <c r="S21" i="34"/>
  <c r="H184" i="44"/>
  <c r="S22" i="34"/>
  <c r="S194" i="44"/>
  <c r="H183" i="44"/>
  <c r="S208" i="44"/>
  <c r="S16" i="34"/>
  <c r="T12" i="34"/>
  <c r="T18" i="34"/>
  <c r="T17" i="34"/>
  <c r="T14" i="34"/>
  <c r="T21" i="34"/>
  <c r="T22" i="34"/>
  <c r="T194" i="44"/>
  <c r="T208" i="44"/>
  <c r="T16" i="34"/>
  <c r="U12" i="34"/>
  <c r="U18" i="34"/>
  <c r="U17" i="34"/>
  <c r="U14" i="34"/>
  <c r="U21" i="34"/>
  <c r="U22" i="34"/>
  <c r="U16" i="34"/>
  <c r="U20" i="44"/>
  <c r="U91" i="44" s="1"/>
  <c r="U28" i="44"/>
  <c r="U100" i="44" s="1"/>
  <c r="V12" i="34"/>
  <c r="V18" i="34"/>
  <c r="V17" i="34"/>
  <c r="V14" i="34"/>
  <c r="V21" i="34"/>
  <c r="V22" i="34"/>
  <c r="V16" i="34"/>
  <c r="V20" i="44"/>
  <c r="V91" i="44" s="1"/>
  <c r="V28" i="44"/>
  <c r="V100" i="44" s="1"/>
  <c r="W20" i="44"/>
  <c r="W91" i="44" s="1"/>
  <c r="W28" i="44"/>
  <c r="W100" i="44" s="1"/>
  <c r="X20" i="44"/>
  <c r="X91" i="44" s="1"/>
  <c r="X28" i="44"/>
  <c r="X100" i="44" s="1"/>
  <c r="Y20" i="44"/>
  <c r="Y91" i="44" s="1"/>
  <c r="Y28" i="44"/>
  <c r="Y100" i="44" s="1"/>
  <c r="Z20" i="44"/>
  <c r="Z91" i="44" s="1"/>
  <c r="Z28" i="44"/>
  <c r="Z100" i="44" s="1"/>
  <c r="AA20" i="44"/>
  <c r="AA91" i="44" s="1"/>
  <c r="AA28" i="44"/>
  <c r="AA100" i="44" s="1"/>
  <c r="AB20" i="44"/>
  <c r="AB91" i="44" s="1"/>
  <c r="AB28" i="44"/>
  <c r="AB100" i="44" s="1"/>
  <c r="H80" i="44"/>
  <c r="D61" i="44"/>
  <c r="K12" i="34"/>
  <c r="K18" i="34"/>
  <c r="K17" i="34"/>
  <c r="K14" i="34"/>
  <c r="K21" i="34"/>
  <c r="K22" i="34"/>
  <c r="K16" i="34"/>
  <c r="L12" i="34"/>
  <c r="L18" i="34"/>
  <c r="L17" i="34"/>
  <c r="L14" i="34"/>
  <c r="L21" i="34"/>
  <c r="L22" i="34"/>
  <c r="L16" i="34"/>
  <c r="M12" i="34"/>
  <c r="M18" i="34"/>
  <c r="M17" i="34"/>
  <c r="M14" i="34"/>
  <c r="M21" i="34"/>
  <c r="M22" i="34"/>
  <c r="M16" i="34"/>
  <c r="L15" i="57"/>
  <c r="M15" i="57"/>
  <c r="N15" i="57"/>
  <c r="O15" i="57"/>
  <c r="P15" i="57"/>
  <c r="Q15" i="57"/>
  <c r="R15" i="57"/>
  <c r="K15" i="57"/>
  <c r="N49" i="57"/>
  <c r="P49" i="57"/>
  <c r="K57" i="12"/>
  <c r="K12" i="12" s="1"/>
  <c r="K64" i="12"/>
  <c r="K13" i="12" s="1"/>
  <c r="L57" i="12"/>
  <c r="L12" i="12" s="1"/>
  <c r="L64" i="12"/>
  <c r="L13" i="12" s="1"/>
  <c r="M57" i="12"/>
  <c r="M12" i="12" s="1"/>
  <c r="M64" i="12"/>
  <c r="M13" i="12" s="1"/>
  <c r="C2" i="57"/>
  <c r="M65" i="30"/>
  <c r="M15" i="30" s="1"/>
  <c r="M44" i="30"/>
  <c r="M12" i="30" s="1"/>
  <c r="M51" i="30"/>
  <c r="M13" i="30" s="1"/>
  <c r="M58" i="30"/>
  <c r="M14" i="30" s="1"/>
  <c r="M72" i="30"/>
  <c r="M16" i="30" s="1"/>
  <c r="L58" i="30"/>
  <c r="L14" i="30" s="1"/>
  <c r="K58" i="30"/>
  <c r="K14" i="30" s="1"/>
  <c r="M71" i="12"/>
  <c r="M14" i="12" s="1"/>
  <c r="L71" i="12"/>
  <c r="L14" i="12" s="1"/>
  <c r="K71" i="12"/>
  <c r="K14" i="12" s="1"/>
  <c r="L87" i="30"/>
  <c r="M87" i="30"/>
  <c r="K87" i="30"/>
  <c r="K95" i="30"/>
  <c r="K28" i="30" s="1"/>
  <c r="L95" i="30"/>
  <c r="M95" i="30"/>
  <c r="M28" i="30" s="1"/>
  <c r="K94" i="12"/>
  <c r="L94" i="12"/>
  <c r="M94" i="12"/>
  <c r="K79" i="12"/>
  <c r="K15" i="12" s="1"/>
  <c r="K86" i="12"/>
  <c r="K16" i="12" s="1"/>
  <c r="W94" i="12"/>
  <c r="W86" i="12"/>
  <c r="W16" i="12" s="1"/>
  <c r="W79" i="12"/>
  <c r="W15" i="12" s="1"/>
  <c r="V94" i="12"/>
  <c r="V86" i="12"/>
  <c r="V79" i="12"/>
  <c r="U94" i="12"/>
  <c r="U79" i="12"/>
  <c r="U15" i="12" s="1"/>
  <c r="T94" i="12"/>
  <c r="T86" i="12"/>
  <c r="T16" i="12" s="1"/>
  <c r="T79" i="12"/>
  <c r="T15" i="12" s="1"/>
  <c r="Q94" i="12"/>
  <c r="Q86" i="12"/>
  <c r="Q16" i="12" s="1"/>
  <c r="Q79" i="12"/>
  <c r="Q15" i="12" s="1"/>
  <c r="Q71" i="12"/>
  <c r="Q14" i="12" s="1"/>
  <c r="Q64" i="12"/>
  <c r="Q13" i="12" s="1"/>
  <c r="Q57" i="12"/>
  <c r="Q12" i="12" s="1"/>
  <c r="N95" i="30"/>
  <c r="N28" i="30" s="1"/>
  <c r="O95" i="30"/>
  <c r="P95" i="30"/>
  <c r="Q95" i="30"/>
  <c r="N87" i="30"/>
  <c r="O87" i="30"/>
  <c r="P87" i="30"/>
  <c r="Q87" i="30"/>
  <c r="S87" i="30"/>
  <c r="S27" i="30" s="1"/>
  <c r="T87" i="30"/>
  <c r="T27" i="30" s="1"/>
  <c r="U87" i="30"/>
  <c r="U27" i="30" s="1"/>
  <c r="Z20" i="42" s="1"/>
  <c r="U311" i="44" s="1"/>
  <c r="V87" i="30"/>
  <c r="W87" i="30"/>
  <c r="W27" i="30" s="1"/>
  <c r="AB20" i="42" s="1"/>
  <c r="K44" i="30"/>
  <c r="K12" i="30" s="1"/>
  <c r="K51" i="30"/>
  <c r="K13" i="30" s="1"/>
  <c r="K65" i="30"/>
  <c r="K15" i="30" s="1"/>
  <c r="K72" i="30"/>
  <c r="K16" i="30" s="1"/>
  <c r="L44" i="30"/>
  <c r="L12" i="30" s="1"/>
  <c r="L51" i="30"/>
  <c r="L13" i="30" s="1"/>
  <c r="L65" i="30"/>
  <c r="L15" i="30" s="1"/>
  <c r="L72" i="30"/>
  <c r="L16" i="30" s="1"/>
  <c r="N44" i="30"/>
  <c r="N12" i="30" s="1"/>
  <c r="N51" i="30"/>
  <c r="N13" i="30" s="1"/>
  <c r="N58" i="30"/>
  <c r="N14" i="30" s="1"/>
  <c r="N65" i="30"/>
  <c r="N15" i="30" s="1"/>
  <c r="N72" i="30"/>
  <c r="N16" i="30" s="1"/>
  <c r="O44" i="30"/>
  <c r="O12" i="30" s="1"/>
  <c r="O51" i="30"/>
  <c r="O13" i="30" s="1"/>
  <c r="O58" i="30"/>
  <c r="O14" i="30" s="1"/>
  <c r="O65" i="30"/>
  <c r="O15" i="30" s="1"/>
  <c r="O72" i="30"/>
  <c r="O16" i="30" s="1"/>
  <c r="P44" i="30"/>
  <c r="P12" i="30" s="1"/>
  <c r="P51" i="30"/>
  <c r="P13" i="30" s="1"/>
  <c r="P58" i="30"/>
  <c r="P14" i="30" s="1"/>
  <c r="P65" i="30"/>
  <c r="P15" i="30" s="1"/>
  <c r="P72" i="30"/>
  <c r="P16" i="30" s="1"/>
  <c r="Q44" i="30"/>
  <c r="Q12" i="30" s="1"/>
  <c r="Q51" i="30"/>
  <c r="Q13" i="30" s="1"/>
  <c r="Q58" i="30"/>
  <c r="Q14" i="30" s="1"/>
  <c r="Q65" i="30"/>
  <c r="Q15" i="30" s="1"/>
  <c r="Q72" i="30"/>
  <c r="Q16" i="30" s="1"/>
  <c r="D50" i="30"/>
  <c r="D57" i="30" s="1"/>
  <c r="D64" i="30" s="1"/>
  <c r="D71" i="30" s="1"/>
  <c r="D49" i="30"/>
  <c r="D56" i="30" s="1"/>
  <c r="D63" i="30" s="1"/>
  <c r="D70" i="30" s="1"/>
  <c r="D48" i="30"/>
  <c r="D55" i="30" s="1"/>
  <c r="D62" i="30" s="1"/>
  <c r="D69" i="30" s="1"/>
  <c r="D47" i="30"/>
  <c r="D54" i="30" s="1"/>
  <c r="D61" i="30" s="1"/>
  <c r="D68" i="30" s="1"/>
  <c r="L86" i="12"/>
  <c r="L16" i="12" s="1"/>
  <c r="M86" i="12"/>
  <c r="M16" i="12" s="1"/>
  <c r="N86" i="12"/>
  <c r="N16" i="12" s="1"/>
  <c r="O86" i="12"/>
  <c r="O16" i="12" s="1"/>
  <c r="P86" i="12"/>
  <c r="P16" i="12" s="1"/>
  <c r="R86" i="12"/>
  <c r="R16" i="12" s="1"/>
  <c r="S86" i="12"/>
  <c r="S16" i="12" s="1"/>
  <c r="X86" i="12"/>
  <c r="X16" i="12" s="1"/>
  <c r="Y86" i="12"/>
  <c r="Y16" i="12" s="1"/>
  <c r="Z86" i="12"/>
  <c r="Z16" i="12" s="1"/>
  <c r="AA86" i="12"/>
  <c r="AB86" i="12"/>
  <c r="AB16" i="12" s="1"/>
  <c r="W49" i="57"/>
  <c r="W57" i="57" s="1"/>
  <c r="W12" i="57" s="1"/>
  <c r="V49" i="36"/>
  <c r="V57" i="36" s="1"/>
  <c r="W49" i="36"/>
  <c r="W57" i="36" s="1"/>
  <c r="K32" i="30"/>
  <c r="L79" i="12"/>
  <c r="L15" i="12" s="1"/>
  <c r="M79" i="12"/>
  <c r="M15" i="12" s="1"/>
  <c r="M31" i="30"/>
  <c r="N57" i="12"/>
  <c r="N12" i="12" s="1"/>
  <c r="N64" i="12"/>
  <c r="N13" i="12" s="1"/>
  <c r="N71" i="12"/>
  <c r="N14" i="12" s="1"/>
  <c r="N79" i="12"/>
  <c r="N15" i="12" s="1"/>
  <c r="N94" i="12"/>
  <c r="O55" i="36"/>
  <c r="O49" i="36"/>
  <c r="O15" i="36"/>
  <c r="O57" i="12"/>
  <c r="O12" i="12" s="1"/>
  <c r="O64" i="12"/>
  <c r="O13" i="12" s="1"/>
  <c r="O71" i="12"/>
  <c r="O14" i="12" s="1"/>
  <c r="O79" i="12"/>
  <c r="O15" i="12" s="1"/>
  <c r="O94" i="12"/>
  <c r="O31" i="30"/>
  <c r="P57" i="12"/>
  <c r="P12" i="12" s="1"/>
  <c r="P64" i="12"/>
  <c r="P13" i="12" s="1"/>
  <c r="P71" i="12"/>
  <c r="P14" i="12" s="1"/>
  <c r="P79" i="12"/>
  <c r="P15" i="12" s="1"/>
  <c r="P94" i="12"/>
  <c r="R55" i="36"/>
  <c r="R49" i="36"/>
  <c r="R15" i="36"/>
  <c r="X79" i="12"/>
  <c r="X15" i="12" s="1"/>
  <c r="X94" i="12"/>
  <c r="Y79" i="12"/>
  <c r="Y94" i="12"/>
  <c r="Z79" i="12"/>
  <c r="Z94" i="12"/>
  <c r="AA94" i="12"/>
  <c r="X49" i="57"/>
  <c r="X57" i="57" s="1"/>
  <c r="X12" i="57" s="1"/>
  <c r="X15" i="57"/>
  <c r="Y15" i="57"/>
  <c r="Z15" i="57"/>
  <c r="AA15" i="57"/>
  <c r="AB15" i="57"/>
  <c r="W15" i="57"/>
  <c r="Y49" i="57"/>
  <c r="Y57" i="57" s="1"/>
  <c r="Y12" i="57" s="1"/>
  <c r="Z49" i="57"/>
  <c r="Z57" i="57" s="1"/>
  <c r="Z12" i="57" s="1"/>
  <c r="AA49" i="57"/>
  <c r="AA57" i="57" s="1"/>
  <c r="AA12" i="57" s="1"/>
  <c r="AB49" i="57"/>
  <c r="AB57" i="57" s="1"/>
  <c r="AB12" i="57" s="1"/>
  <c r="Q455" i="57"/>
  <c r="N13" i="57"/>
  <c r="N455" i="57" s="1"/>
  <c r="L13" i="57"/>
  <c r="L455" i="57" s="1"/>
  <c r="K13" i="57"/>
  <c r="K455" i="57" s="1"/>
  <c r="AB68" i="57"/>
  <c r="AA68" i="57"/>
  <c r="AW68" i="57" s="1"/>
  <c r="Z68" i="57"/>
  <c r="Y68" i="57"/>
  <c r="X68" i="57"/>
  <c r="D72" i="57"/>
  <c r="D75" i="57" s="1"/>
  <c r="D78" i="57" s="1"/>
  <c r="D81" i="57" s="1"/>
  <c r="D84" i="57" s="1"/>
  <c r="D87" i="57" s="1"/>
  <c r="D90" i="57" s="1"/>
  <c r="D93" i="57" s="1"/>
  <c r="D96" i="57" s="1"/>
  <c r="D99" i="57" s="1"/>
  <c r="D102" i="57" s="1"/>
  <c r="D105" i="57" s="1"/>
  <c r="D108" i="57" s="1"/>
  <c r="D111" i="57" s="1"/>
  <c r="D114" i="57" s="1"/>
  <c r="D117" i="57" s="1"/>
  <c r="D120" i="57" s="1"/>
  <c r="D123" i="57" s="1"/>
  <c r="D126" i="57" s="1"/>
  <c r="D129" i="57" s="1"/>
  <c r="D132" i="57" s="1"/>
  <c r="D135" i="57" s="1"/>
  <c r="D138" i="57" s="1"/>
  <c r="D141" i="57" s="1"/>
  <c r="D144" i="57" s="1"/>
  <c r="D147" i="57" s="1"/>
  <c r="D150" i="57" s="1"/>
  <c r="D153" i="57" s="1"/>
  <c r="D156" i="57" s="1"/>
  <c r="D159" i="57" s="1"/>
  <c r="D162" i="57" s="1"/>
  <c r="D165" i="57" s="1"/>
  <c r="D168" i="57" s="1"/>
  <c r="D171" i="57" s="1"/>
  <c r="D174" i="57" s="1"/>
  <c r="D177" i="57" s="1"/>
  <c r="D180" i="57" s="1"/>
  <c r="D183" i="57" s="1"/>
  <c r="D186" i="57" s="1"/>
  <c r="D189" i="57" s="1"/>
  <c r="D192" i="57" s="1"/>
  <c r="D195" i="57" s="1"/>
  <c r="D198" i="57" s="1"/>
  <c r="D201" i="57" s="1"/>
  <c r="D204" i="57" s="1"/>
  <c r="D207" i="57" s="1"/>
  <c r="D210" i="57" s="1"/>
  <c r="D213" i="57" s="1"/>
  <c r="D216" i="57" s="1"/>
  <c r="D219" i="57" s="1"/>
  <c r="D222" i="57" s="1"/>
  <c r="D225" i="57" s="1"/>
  <c r="D228" i="57" s="1"/>
  <c r="D231" i="57" s="1"/>
  <c r="D234" i="57" s="1"/>
  <c r="D237" i="57" s="1"/>
  <c r="D240" i="57" s="1"/>
  <c r="D243" i="57" s="1"/>
  <c r="D246" i="57" s="1"/>
  <c r="D249" i="57" s="1"/>
  <c r="D252" i="57" s="1"/>
  <c r="D255" i="57" s="1"/>
  <c r="D258" i="57" s="1"/>
  <c r="D261" i="57" s="1"/>
  <c r="D264" i="57" s="1"/>
  <c r="D267" i="57" s="1"/>
  <c r="D270" i="57" s="1"/>
  <c r="D273" i="57" s="1"/>
  <c r="D276" i="57" s="1"/>
  <c r="D279" i="57" s="1"/>
  <c r="D282" i="57" s="1"/>
  <c r="D285" i="57" s="1"/>
  <c r="D288" i="57" s="1"/>
  <c r="D291" i="57" s="1"/>
  <c r="D294" i="57" s="1"/>
  <c r="D297" i="57" s="1"/>
  <c r="D300" i="57" s="1"/>
  <c r="D303" i="57" s="1"/>
  <c r="D306" i="57" s="1"/>
  <c r="D309" i="57" s="1"/>
  <c r="D312" i="57" s="1"/>
  <c r="D315" i="57" s="1"/>
  <c r="D318" i="57" s="1"/>
  <c r="D321" i="57" s="1"/>
  <c r="D324" i="57" s="1"/>
  <c r="D327" i="57" s="1"/>
  <c r="D330" i="57" s="1"/>
  <c r="D333" i="57" s="1"/>
  <c r="D336" i="57" s="1"/>
  <c r="D339" i="57" s="1"/>
  <c r="D342" i="57" s="1"/>
  <c r="D345" i="57" s="1"/>
  <c r="D348" i="57" s="1"/>
  <c r="D351" i="57" s="1"/>
  <c r="D354" i="57" s="1"/>
  <c r="D357" i="57" s="1"/>
  <c r="D360" i="57" s="1"/>
  <c r="D363" i="57" s="1"/>
  <c r="D366" i="57" s="1"/>
  <c r="D369" i="57" s="1"/>
  <c r="D372" i="57" s="1"/>
  <c r="D375" i="57" s="1"/>
  <c r="D378" i="57" s="1"/>
  <c r="D381" i="57" s="1"/>
  <c r="D384" i="57" s="1"/>
  <c r="D387" i="57" s="1"/>
  <c r="D390" i="57" s="1"/>
  <c r="D393" i="57" s="1"/>
  <c r="D396" i="57" s="1"/>
  <c r="D399" i="57" s="1"/>
  <c r="D402" i="57" s="1"/>
  <c r="D405" i="57" s="1"/>
  <c r="D408" i="57" s="1"/>
  <c r="D411" i="57" s="1"/>
  <c r="D414" i="57" s="1"/>
  <c r="D417" i="57" s="1"/>
  <c r="D420" i="57" s="1"/>
  <c r="D423" i="57" s="1"/>
  <c r="D426" i="57" s="1"/>
  <c r="D429" i="57" s="1"/>
  <c r="D432" i="57" s="1"/>
  <c r="D435" i="57" s="1"/>
  <c r="D438" i="57" s="1"/>
  <c r="D441" i="57" s="1"/>
  <c r="U49" i="36"/>
  <c r="U57" i="36" s="1"/>
  <c r="S79" i="12"/>
  <c r="S15" i="12" s="1"/>
  <c r="S20" i="56"/>
  <c r="R79" i="12"/>
  <c r="R15" i="12" s="1"/>
  <c r="K31" i="30"/>
  <c r="L31" i="30"/>
  <c r="N31" i="30"/>
  <c r="P31" i="30"/>
  <c r="Q31" i="30"/>
  <c r="T31" i="30"/>
  <c r="U31" i="30"/>
  <c r="Z25" i="42" s="1"/>
  <c r="U28" i="45" s="1"/>
  <c r="V31" i="30"/>
  <c r="W31" i="30"/>
  <c r="AB25" i="42" s="1"/>
  <c r="W28" i="45" s="1"/>
  <c r="X31" i="30"/>
  <c r="Y31" i="30"/>
  <c r="V84" i="41"/>
  <c r="S94" i="12"/>
  <c r="R94" i="12"/>
  <c r="N30" i="30"/>
  <c r="N18" i="56"/>
  <c r="N20" i="56"/>
  <c r="O30" i="30"/>
  <c r="O18" i="56"/>
  <c r="P30" i="30"/>
  <c r="P18" i="56"/>
  <c r="Q30" i="30"/>
  <c r="Q18" i="56"/>
  <c r="R18" i="56"/>
  <c r="S30" i="30"/>
  <c r="S18" i="56"/>
  <c r="T30" i="30"/>
  <c r="T18" i="56"/>
  <c r="U30" i="30"/>
  <c r="Z24" i="42" s="1"/>
  <c r="U101" i="41" s="1"/>
  <c r="U110" i="41" s="1"/>
  <c r="U18" i="56"/>
  <c r="V30" i="30"/>
  <c r="AA24" i="42" s="1"/>
  <c r="V101" i="41" s="1"/>
  <c r="V18" i="56"/>
  <c r="W30" i="30"/>
  <c r="AB24" i="42" s="1"/>
  <c r="W101" i="41" s="1"/>
  <c r="X30" i="30"/>
  <c r="AC24" i="42" s="1"/>
  <c r="X101" i="41" s="1"/>
  <c r="Y30" i="30"/>
  <c r="AD24" i="42" s="1"/>
  <c r="Y101" i="41" s="1"/>
  <c r="Y18" i="56"/>
  <c r="Z31" i="30"/>
  <c r="AE25" i="42" s="1"/>
  <c r="Z42" i="41" s="1"/>
  <c r="Z30" i="30"/>
  <c r="Z18" i="56"/>
  <c r="Z113" i="41" s="1"/>
  <c r="AF25" i="42"/>
  <c r="AA18" i="56"/>
  <c r="AA113" i="41" s="1"/>
  <c r="AB94" i="12"/>
  <c r="AB18" i="56"/>
  <c r="AB113" i="41" s="1"/>
  <c r="F55" i="57"/>
  <c r="F49" i="57"/>
  <c r="S49" i="57"/>
  <c r="S15" i="57"/>
  <c r="T49" i="57"/>
  <c r="T57" i="57" s="1"/>
  <c r="T12" i="57" s="1"/>
  <c r="T15" i="57"/>
  <c r="U49" i="57"/>
  <c r="U15" i="57"/>
  <c r="V49" i="57"/>
  <c r="V57" i="57" s="1"/>
  <c r="V12" i="57" s="1"/>
  <c r="V15" i="57"/>
  <c r="S68" i="57"/>
  <c r="T68" i="57"/>
  <c r="U68" i="57"/>
  <c r="V68" i="57"/>
  <c r="AR68" i="57" s="1"/>
  <c r="W68" i="57"/>
  <c r="Y68" i="36"/>
  <c r="CF68" i="36" s="1"/>
  <c r="Z68" i="36"/>
  <c r="CG68" i="36" s="1"/>
  <c r="Z15" i="36"/>
  <c r="X49" i="36"/>
  <c r="X57" i="36" s="1"/>
  <c r="X15" i="36"/>
  <c r="AB13" i="56"/>
  <c r="K30" i="30"/>
  <c r="K13" i="56"/>
  <c r="K12" i="56"/>
  <c r="K15" i="36"/>
  <c r="K15" i="56"/>
  <c r="K14" i="56"/>
  <c r="K18" i="56"/>
  <c r="K20" i="56"/>
  <c r="K17" i="56"/>
  <c r="L30" i="30"/>
  <c r="L13" i="56"/>
  <c r="L12" i="56"/>
  <c r="L15" i="36"/>
  <c r="L15" i="56"/>
  <c r="L14" i="56"/>
  <c r="L18" i="56"/>
  <c r="L17" i="56"/>
  <c r="L32" i="30"/>
  <c r="M30" i="30"/>
  <c r="M13" i="56"/>
  <c r="M12" i="56"/>
  <c r="M15" i="36"/>
  <c r="M15" i="56"/>
  <c r="M14" i="56"/>
  <c r="M18" i="56"/>
  <c r="M17" i="56"/>
  <c r="M32" i="30"/>
  <c r="N13" i="56"/>
  <c r="N12" i="56"/>
  <c r="N15" i="36"/>
  <c r="N15" i="56"/>
  <c r="N14" i="56"/>
  <c r="N17" i="56"/>
  <c r="N32" i="30"/>
  <c r="O13" i="56"/>
  <c r="O12" i="56"/>
  <c r="O15" i="56"/>
  <c r="O14" i="56"/>
  <c r="O17" i="56"/>
  <c r="O32" i="30"/>
  <c r="P13" i="56"/>
  <c r="P12" i="56"/>
  <c r="P15" i="36"/>
  <c r="P15" i="56"/>
  <c r="P14" i="56"/>
  <c r="P17" i="56"/>
  <c r="P32" i="30"/>
  <c r="Q13" i="56"/>
  <c r="Q12" i="56"/>
  <c r="Q15" i="36"/>
  <c r="Q15" i="56"/>
  <c r="Q14" i="56"/>
  <c r="Q17" i="56"/>
  <c r="Q32" i="30"/>
  <c r="R13" i="56"/>
  <c r="R12" i="56"/>
  <c r="R15" i="56"/>
  <c r="R14" i="56"/>
  <c r="R17" i="56"/>
  <c r="S12" i="56"/>
  <c r="S49" i="36"/>
  <c r="S57" i="36" s="1"/>
  <c r="S15" i="56"/>
  <c r="S14" i="56"/>
  <c r="S17" i="56"/>
  <c r="S32" i="30"/>
  <c r="T13" i="56"/>
  <c r="T12" i="56"/>
  <c r="T15" i="36"/>
  <c r="T15" i="56"/>
  <c r="T14" i="56"/>
  <c r="T17" i="56"/>
  <c r="T32" i="30"/>
  <c r="U13" i="56"/>
  <c r="U12" i="56"/>
  <c r="U15" i="36"/>
  <c r="U15" i="56"/>
  <c r="U14" i="56"/>
  <c r="U17" i="56"/>
  <c r="U97" i="44" s="1"/>
  <c r="U32" i="30"/>
  <c r="V13" i="56"/>
  <c r="V12" i="56"/>
  <c r="V15" i="56"/>
  <c r="V14" i="56"/>
  <c r="V17" i="56"/>
  <c r="V97" i="44" s="1"/>
  <c r="V32" i="30"/>
  <c r="W13" i="56"/>
  <c r="W12" i="56"/>
  <c r="W15" i="36"/>
  <c r="W15" i="56"/>
  <c r="W14" i="56"/>
  <c r="W17" i="56"/>
  <c r="W97" i="44" s="1"/>
  <c r="W32" i="30"/>
  <c r="X13" i="56"/>
  <c r="X12" i="56"/>
  <c r="X15" i="56"/>
  <c r="X14" i="56"/>
  <c r="X17" i="56"/>
  <c r="X97" i="44" s="1"/>
  <c r="X32" i="30"/>
  <c r="Y13" i="56"/>
  <c r="Y12" i="56"/>
  <c r="Y15" i="56"/>
  <c r="Y14" i="56"/>
  <c r="Y32" i="30"/>
  <c r="Z13" i="56"/>
  <c r="Z12" i="56"/>
  <c r="Z15" i="56"/>
  <c r="Z14" i="56"/>
  <c r="Z17" i="56"/>
  <c r="Z97" i="44" s="1"/>
  <c r="Z32" i="30"/>
  <c r="AA13" i="56"/>
  <c r="AA12" i="56"/>
  <c r="AA15" i="56"/>
  <c r="AA14" i="56"/>
  <c r="AA191" i="44" s="1"/>
  <c r="AA17" i="56"/>
  <c r="AA97" i="44" s="1"/>
  <c r="AB12" i="56"/>
  <c r="AB15" i="56"/>
  <c r="AB14" i="56"/>
  <c r="AB17" i="56"/>
  <c r="AB97" i="44" s="1"/>
  <c r="U7" i="41"/>
  <c r="V7" i="41"/>
  <c r="D8" i="98" s="1"/>
  <c r="V7" i="98" s="1"/>
  <c r="W7" i="41"/>
  <c r="E8" i="98" s="1"/>
  <c r="W7" i="98" s="1"/>
  <c r="U7" i="34"/>
  <c r="V7" i="34"/>
  <c r="W7" i="34"/>
  <c r="D384" i="36"/>
  <c r="D387" i="36" s="1"/>
  <c r="D390" i="36" s="1"/>
  <c r="D393" i="36" s="1"/>
  <c r="D396" i="36" s="1"/>
  <c r="D399" i="36" s="1"/>
  <c r="D402" i="36" s="1"/>
  <c r="D405" i="36" s="1"/>
  <c r="D408" i="36" s="1"/>
  <c r="D411" i="36" s="1"/>
  <c r="D414" i="36" s="1"/>
  <c r="D417" i="36" s="1"/>
  <c r="D420" i="36" s="1"/>
  <c r="D423" i="36" s="1"/>
  <c r="D426" i="36" s="1"/>
  <c r="D429" i="36" s="1"/>
  <c r="D432" i="36" s="1"/>
  <c r="D435" i="36" s="1"/>
  <c r="D438" i="36" s="1"/>
  <c r="D441" i="36" s="1"/>
  <c r="X68" i="36"/>
  <c r="U7" i="62"/>
  <c r="V7" i="62"/>
  <c r="W7" i="62"/>
  <c r="E14" i="62"/>
  <c r="Z72" i="30"/>
  <c r="Z16" i="30" s="1"/>
  <c r="U7" i="45"/>
  <c r="V7" i="45"/>
  <c r="W7" i="45"/>
  <c r="Z7" i="42"/>
  <c r="AA7" i="42"/>
  <c r="AB7" i="42"/>
  <c r="U7" i="30"/>
  <c r="V7" i="30"/>
  <c r="W7" i="30"/>
  <c r="L7" i="40"/>
  <c r="M7" i="40"/>
  <c r="N7" i="40"/>
  <c r="O7" i="40"/>
  <c r="P7" i="40"/>
  <c r="Q7" i="40"/>
  <c r="R7" i="40"/>
  <c r="S7" i="40"/>
  <c r="T7" i="40"/>
  <c r="U7" i="40"/>
  <c r="V7" i="40"/>
  <c r="W7" i="40"/>
  <c r="X7" i="40"/>
  <c r="Y7" i="40"/>
  <c r="Z7" i="40"/>
  <c r="AA7" i="40"/>
  <c r="AB7" i="40"/>
  <c r="K7" i="40"/>
  <c r="K7" i="12"/>
  <c r="C29" i="5"/>
  <c r="C28" i="5"/>
  <c r="C27" i="5"/>
  <c r="C26" i="5"/>
  <c r="C24" i="5"/>
  <c r="C23" i="5"/>
  <c r="C22" i="5"/>
  <c r="B2" i="81"/>
  <c r="D20" i="44"/>
  <c r="D28" i="44"/>
  <c r="D41" i="44"/>
  <c r="D51" i="44"/>
  <c r="F90" i="41"/>
  <c r="J14" i="40"/>
  <c r="K38" i="34"/>
  <c r="L38" i="34"/>
  <c r="M38" i="34"/>
  <c r="N38" i="34"/>
  <c r="O38" i="34"/>
  <c r="P38" i="34"/>
  <c r="Q38" i="34"/>
  <c r="K68" i="57"/>
  <c r="L68" i="57"/>
  <c r="M68" i="57"/>
  <c r="N68" i="57"/>
  <c r="O68" i="57"/>
  <c r="P68" i="57"/>
  <c r="Q68" i="57"/>
  <c r="R68" i="57"/>
  <c r="M13" i="57"/>
  <c r="M455" i="57" s="1"/>
  <c r="O13" i="57"/>
  <c r="O455" i="57" s="1"/>
  <c r="E57" i="57"/>
  <c r="K7" i="36"/>
  <c r="K68" i="36" s="1"/>
  <c r="L7" i="36"/>
  <c r="L68" i="36" s="1"/>
  <c r="M7" i="36"/>
  <c r="M68" i="36" s="1"/>
  <c r="N7" i="36"/>
  <c r="N68" i="36" s="1"/>
  <c r="O7" i="36"/>
  <c r="O68" i="36" s="1"/>
  <c r="P7" i="36"/>
  <c r="P68" i="36" s="1"/>
  <c r="Q7" i="36"/>
  <c r="Q68" i="36" s="1"/>
  <c r="R7" i="36"/>
  <c r="R68" i="36" s="1"/>
  <c r="S7" i="36"/>
  <c r="S68" i="36" s="1"/>
  <c r="T7" i="36"/>
  <c r="T68" i="36" s="1"/>
  <c r="U68" i="36"/>
  <c r="V68" i="36"/>
  <c r="AR68" i="36" s="1"/>
  <c r="W68" i="36"/>
  <c r="F49" i="36"/>
  <c r="F55" i="36"/>
  <c r="E57" i="36"/>
  <c r="E12" i="62"/>
  <c r="E87" i="30"/>
  <c r="E95" i="30"/>
  <c r="L7" i="12"/>
  <c r="M7" i="12"/>
  <c r="N7" i="12"/>
  <c r="O7" i="12"/>
  <c r="P7" i="12"/>
  <c r="Q7" i="12"/>
  <c r="R7" i="12"/>
  <c r="S7" i="12"/>
  <c r="T7" i="12"/>
  <c r="C57" i="12"/>
  <c r="C64" i="12"/>
  <c r="C71" i="12"/>
  <c r="C79" i="12"/>
  <c r="C94" i="12"/>
  <c r="W72" i="30"/>
  <c r="W16" i="30" s="1"/>
  <c r="W12" i="98" s="1"/>
  <c r="W65" i="30"/>
  <c r="W15" i="30" s="1"/>
  <c r="W11" i="98" s="1"/>
  <c r="W58" i="30"/>
  <c r="W14" i="30" s="1"/>
  <c r="W10" i="98" s="1"/>
  <c r="U72" i="30"/>
  <c r="U16" i="30" s="1"/>
  <c r="U65" i="30"/>
  <c r="U15" i="30" s="1"/>
  <c r="U58" i="30"/>
  <c r="U14" i="30" s="1"/>
  <c r="S72" i="30"/>
  <c r="S16" i="30" s="1"/>
  <c r="S65" i="30"/>
  <c r="S15" i="30" s="1"/>
  <c r="S58" i="30"/>
  <c r="S14" i="30" s="1"/>
  <c r="T49" i="36"/>
  <c r="T57" i="36" s="1"/>
  <c r="K49" i="36"/>
  <c r="K55" i="36"/>
  <c r="V72" i="30"/>
  <c r="V65" i="30"/>
  <c r="V58" i="30"/>
  <c r="T72" i="30"/>
  <c r="T16" i="30" s="1"/>
  <c r="T65" i="30"/>
  <c r="T15" i="30" s="1"/>
  <c r="T58" i="30"/>
  <c r="T14" i="30" s="1"/>
  <c r="Q49" i="36"/>
  <c r="Q55" i="36"/>
  <c r="P49" i="36"/>
  <c r="P55" i="36"/>
  <c r="AA15" i="36"/>
  <c r="AB49" i="36"/>
  <c r="AB57" i="36" s="1"/>
  <c r="AA49" i="36"/>
  <c r="AA57" i="36" s="1"/>
  <c r="Z49" i="36"/>
  <c r="Z57" i="36" s="1"/>
  <c r="Y49" i="36"/>
  <c r="Y57" i="36" s="1"/>
  <c r="N55" i="36"/>
  <c r="M55" i="36"/>
  <c r="L55" i="36"/>
  <c r="N49" i="36"/>
  <c r="M49" i="36"/>
  <c r="L49" i="36"/>
  <c r="R456" i="57"/>
  <c r="S15" i="36"/>
  <c r="V15" i="36"/>
  <c r="Y15" i="36"/>
  <c r="T456" i="57"/>
  <c r="P455" i="57"/>
  <c r="S456" i="57"/>
  <c r="U456" i="57"/>
  <c r="W456" i="57"/>
  <c r="V456" i="57"/>
  <c r="AB15" i="36"/>
  <c r="S64" i="12"/>
  <c r="S13" i="12" s="1"/>
  <c r="T64" i="12"/>
  <c r="T13" i="12" s="1"/>
  <c r="U64" i="12"/>
  <c r="U13" i="12" s="1"/>
  <c r="W64" i="12"/>
  <c r="W13" i="12" s="1"/>
  <c r="S57" i="12"/>
  <c r="S12" i="12" s="1"/>
  <c r="T57" i="12"/>
  <c r="T12" i="12" s="1"/>
  <c r="U57" i="12"/>
  <c r="U12" i="12" s="1"/>
  <c r="V57" i="12"/>
  <c r="W57" i="12"/>
  <c r="W12" i="12" s="1"/>
  <c r="V64" i="12"/>
  <c r="S456" i="36"/>
  <c r="T456" i="36"/>
  <c r="U456" i="36"/>
  <c r="V456" i="36"/>
  <c r="W456" i="36"/>
  <c r="V168" i="44" l="1"/>
  <c r="V113" i="41"/>
  <c r="Y168" i="44"/>
  <c r="Y113" i="41"/>
  <c r="U168" i="44"/>
  <c r="U113" i="41"/>
  <c r="Y19" i="117"/>
  <c r="Y28" i="117" s="1"/>
  <c r="Y44" i="117" s="1"/>
  <c r="V16" i="30"/>
  <c r="V12" i="98" s="1"/>
  <c r="Z73" i="30"/>
  <c r="V14" i="30"/>
  <c r="V10" i="98" s="1"/>
  <c r="V15" i="30"/>
  <c r="V11" i="98" s="1"/>
  <c r="V13" i="30"/>
  <c r="V9" i="98" s="1"/>
  <c r="V12" i="30"/>
  <c r="V8" i="98" s="1"/>
  <c r="AE65" i="12"/>
  <c r="AA16" i="12"/>
  <c r="AE87" i="12"/>
  <c r="AA14" i="12"/>
  <c r="AE72" i="12"/>
  <c r="V13" i="12"/>
  <c r="Z65" i="12"/>
  <c r="V15" i="12"/>
  <c r="Z80" i="12"/>
  <c r="V16" i="12"/>
  <c r="Z87" i="12"/>
  <c r="V12" i="12"/>
  <c r="V14" i="12"/>
  <c r="Z72" i="12"/>
  <c r="AE96" i="12"/>
  <c r="Z96" i="12"/>
  <c r="AA42" i="41"/>
  <c r="AR25" i="42"/>
  <c r="AV25" i="42"/>
  <c r="AA68" i="36"/>
  <c r="AB68" i="36"/>
  <c r="AX68" i="36" s="1"/>
  <c r="AX56" i="36" s="1"/>
  <c r="AC58" i="41"/>
  <c r="AB58" i="41"/>
  <c r="Z13" i="12"/>
  <c r="Z15" i="12"/>
  <c r="AB13" i="12"/>
  <c r="AA13" i="12"/>
  <c r="U17" i="12"/>
  <c r="O31" i="12"/>
  <c r="O35" i="12" s="1"/>
  <c r="N31" i="12"/>
  <c r="N35" i="12" s="1"/>
  <c r="AB31" i="12"/>
  <c r="R31" i="12"/>
  <c r="R35" i="12" s="1"/>
  <c r="Z31" i="12"/>
  <c r="H164" i="98" s="1"/>
  <c r="X31" i="12"/>
  <c r="X35" i="12" s="1"/>
  <c r="F43" i="98" s="1"/>
  <c r="M31" i="12"/>
  <c r="M35" i="12" s="1"/>
  <c r="S31" i="12"/>
  <c r="S35" i="12" s="1"/>
  <c r="P31" i="12"/>
  <c r="P35" i="12" s="1"/>
  <c r="T31" i="12"/>
  <c r="T35" i="12" s="1"/>
  <c r="W31" i="12"/>
  <c r="W35" i="12" s="1"/>
  <c r="E43" i="98" s="1"/>
  <c r="L31" i="12"/>
  <c r="L35" i="12" s="1"/>
  <c r="AA31" i="12"/>
  <c r="Y31" i="12"/>
  <c r="G164" i="98" s="1"/>
  <c r="Q31" i="12"/>
  <c r="Q35" i="12" s="1"/>
  <c r="V31" i="12"/>
  <c r="V35" i="12" s="1"/>
  <c r="K31" i="12"/>
  <c r="K35" i="12" s="1"/>
  <c r="U31" i="12"/>
  <c r="U35" i="12" s="1"/>
  <c r="W90" i="98"/>
  <c r="Z90" i="98"/>
  <c r="P18" i="30"/>
  <c r="T18" i="30"/>
  <c r="V90" i="98"/>
  <c r="Y90" i="98"/>
  <c r="O18" i="30"/>
  <c r="M18" i="30"/>
  <c r="W8" i="98"/>
  <c r="W14" i="98" s="1"/>
  <c r="W18" i="30"/>
  <c r="S18" i="30"/>
  <c r="E28" i="98"/>
  <c r="E41" i="98" s="1"/>
  <c r="E46" i="98" s="1"/>
  <c r="E54" i="98" s="1"/>
  <c r="E62" i="98" s="1"/>
  <c r="E71" i="98" s="1"/>
  <c r="E79" i="98" s="1"/>
  <c r="E87" i="98" s="1"/>
  <c r="E100" i="98" s="1"/>
  <c r="E104" i="98" s="1"/>
  <c r="F71" i="98"/>
  <c r="F79" i="98" s="1"/>
  <c r="F87" i="98" s="1"/>
  <c r="F100" i="98" s="1"/>
  <c r="F104" i="98" s="1"/>
  <c r="X90" i="98"/>
  <c r="N18" i="30"/>
  <c r="L18" i="30"/>
  <c r="K18" i="30"/>
  <c r="R18" i="30"/>
  <c r="D28" i="98"/>
  <c r="D41" i="98" s="1"/>
  <c r="D46" i="98" s="1"/>
  <c r="D54" i="98" s="1"/>
  <c r="D62" i="98" s="1"/>
  <c r="D71" i="98" s="1"/>
  <c r="D79" i="98" s="1"/>
  <c r="D87" i="98" s="1"/>
  <c r="D100" i="98" s="1"/>
  <c r="D104" i="98" s="1"/>
  <c r="Q18" i="30"/>
  <c r="U18" i="30"/>
  <c r="AJ69" i="30"/>
  <c r="AE69" i="30"/>
  <c r="AH69" i="30"/>
  <c r="AI69" i="30"/>
  <c r="AD69" i="30"/>
  <c r="AF69" i="30"/>
  <c r="AA69" i="30"/>
  <c r="AG69" i="30"/>
  <c r="AC69" i="30"/>
  <c r="AB69" i="30"/>
  <c r="AD70" i="30"/>
  <c r="AC70" i="30"/>
  <c r="AG70" i="30"/>
  <c r="AB70" i="30"/>
  <c r="AI70" i="30"/>
  <c r="AF70" i="30"/>
  <c r="AE70" i="30"/>
  <c r="AH70" i="30"/>
  <c r="AJ70" i="30"/>
  <c r="AA70" i="30"/>
  <c r="AH68" i="30"/>
  <c r="AD68" i="30"/>
  <c r="AB68" i="30"/>
  <c r="AE68" i="30"/>
  <c r="AF68" i="30"/>
  <c r="AG68" i="30"/>
  <c r="AJ68" i="30"/>
  <c r="AC68" i="30"/>
  <c r="AA68" i="30"/>
  <c r="AI68" i="30"/>
  <c r="AJ71" i="30"/>
  <c r="AD71" i="30"/>
  <c r="AF71" i="30"/>
  <c r="AC71" i="30"/>
  <c r="AB71" i="30"/>
  <c r="AE71" i="30"/>
  <c r="AG71" i="30"/>
  <c r="AA71" i="30"/>
  <c r="AI71" i="30"/>
  <c r="AH71" i="30"/>
  <c r="L17" i="12"/>
  <c r="L29" i="12" s="1"/>
  <c r="W17" i="12"/>
  <c r="S17" i="12"/>
  <c r="S29" i="12" s="1"/>
  <c r="O17" i="12"/>
  <c r="O29" i="12" s="1"/>
  <c r="N17" i="12"/>
  <c r="N29" i="12" s="1"/>
  <c r="P17" i="12"/>
  <c r="P29" i="12" s="1"/>
  <c r="Q17" i="12"/>
  <c r="Q29" i="12" s="1"/>
  <c r="M17" i="12"/>
  <c r="M29" i="12" s="1"/>
  <c r="K17" i="12"/>
  <c r="K29" i="12" s="1"/>
  <c r="X17" i="12"/>
  <c r="T17" i="12"/>
  <c r="T29" i="12" s="1"/>
  <c r="R17" i="12"/>
  <c r="R29" i="12" s="1"/>
  <c r="Y15" i="12"/>
  <c r="Y17" i="12" s="1"/>
  <c r="AB15" i="12"/>
  <c r="AA15" i="12"/>
  <c r="AT68" i="36"/>
  <c r="AT56" i="36" s="1"/>
  <c r="CE68" i="36"/>
  <c r="AR56" i="57"/>
  <c r="BK68" i="57"/>
  <c r="BK56" i="57" s="1"/>
  <c r="CE68" i="57"/>
  <c r="AT68" i="57"/>
  <c r="AX68" i="57"/>
  <c r="CH68" i="57"/>
  <c r="CD68" i="57"/>
  <c r="AS68" i="57"/>
  <c r="Z12" i="62"/>
  <c r="W12" i="62"/>
  <c r="V12" i="62"/>
  <c r="T12" i="62"/>
  <c r="X12" i="62"/>
  <c r="U12" i="62"/>
  <c r="Y12" i="62"/>
  <c r="CF68" i="57"/>
  <c r="AU68" i="57"/>
  <c r="BP68" i="57"/>
  <c r="BP56" i="57" s="1"/>
  <c r="AW56" i="57"/>
  <c r="AS68" i="36"/>
  <c r="AS56" i="36" s="1"/>
  <c r="CD68" i="36"/>
  <c r="AG14" i="62"/>
  <c r="AJ14" i="62"/>
  <c r="AJ18" i="41" s="1"/>
  <c r="AH14" i="62"/>
  <c r="AI14" i="62"/>
  <c r="CG68" i="57"/>
  <c r="AV68" i="57"/>
  <c r="M57" i="36"/>
  <c r="M12" i="36" s="1"/>
  <c r="M14" i="36" s="1"/>
  <c r="M17" i="36" s="1"/>
  <c r="P57" i="36"/>
  <c r="P12" i="36" s="1"/>
  <c r="P14" i="36" s="1"/>
  <c r="P17" i="36" s="1"/>
  <c r="O57" i="36"/>
  <c r="O12" i="36" s="1"/>
  <c r="Q57" i="36"/>
  <c r="Q12" i="36" s="1"/>
  <c r="L57" i="36"/>
  <c r="L12" i="36" s="1"/>
  <c r="L14" i="36" s="1"/>
  <c r="L17" i="36" s="1"/>
  <c r="R57" i="36"/>
  <c r="R12" i="36" s="1"/>
  <c r="N57" i="36"/>
  <c r="N12" i="36" s="1"/>
  <c r="K57" i="36"/>
  <c r="K12" i="36" s="1"/>
  <c r="K14" i="36" s="1"/>
  <c r="K17" i="36" s="1"/>
  <c r="Y23" i="86"/>
  <c r="N456" i="57"/>
  <c r="N510" i="57"/>
  <c r="M456" i="57"/>
  <c r="M510" i="57"/>
  <c r="K456" i="57"/>
  <c r="K510" i="57"/>
  <c r="L456" i="57"/>
  <c r="L510" i="57"/>
  <c r="P456" i="57"/>
  <c r="P510" i="57"/>
  <c r="Q456" i="57"/>
  <c r="Q510" i="57"/>
  <c r="O456" i="57"/>
  <c r="O510" i="57"/>
  <c r="AW68" i="36"/>
  <c r="AW56" i="36" s="1"/>
  <c r="AU68" i="36"/>
  <c r="AU56" i="36" s="1"/>
  <c r="AV68" i="36"/>
  <c r="BO68" i="36" s="1"/>
  <c r="BO56" i="36" s="1"/>
  <c r="BK68" i="36"/>
  <c r="BK56" i="36" s="1"/>
  <c r="AR56" i="36"/>
  <c r="M20" i="36"/>
  <c r="L20" i="36"/>
  <c r="AD86" i="41"/>
  <c r="AE86" i="41"/>
  <c r="AF86" i="41"/>
  <c r="AC86" i="41"/>
  <c r="R28" i="30"/>
  <c r="U28" i="30"/>
  <c r="S28" i="30"/>
  <c r="T28" i="30"/>
  <c r="V27" i="30"/>
  <c r="AA20" i="42" s="1"/>
  <c r="V28" i="30"/>
  <c r="AA21" i="42" s="1"/>
  <c r="Z12" i="36"/>
  <c r="Z14" i="36" s="1"/>
  <c r="X12" i="36"/>
  <c r="X456" i="57"/>
  <c r="T20" i="36"/>
  <c r="Z20" i="36"/>
  <c r="S20" i="36"/>
  <c r="AB20" i="36"/>
  <c r="X20" i="36"/>
  <c r="AA20" i="36"/>
  <c r="Y20" i="36"/>
  <c r="V20" i="36"/>
  <c r="W20" i="36"/>
  <c r="U20" i="36"/>
  <c r="R448" i="36"/>
  <c r="R461" i="36"/>
  <c r="AA28" i="45"/>
  <c r="AA42" i="57"/>
  <c r="AB42" i="57"/>
  <c r="Y42" i="57"/>
  <c r="Z42" i="57"/>
  <c r="K455" i="36"/>
  <c r="K456" i="36" s="1"/>
  <c r="AB42" i="41"/>
  <c r="AB76" i="41" s="1"/>
  <c r="AD25" i="42"/>
  <c r="AC25" i="42"/>
  <c r="AB101" i="41"/>
  <c r="AE24" i="42"/>
  <c r="E9" i="98"/>
  <c r="U37" i="41"/>
  <c r="U71" i="41" s="1"/>
  <c r="G9" i="98"/>
  <c r="F9" i="98"/>
  <c r="Z12" i="98"/>
  <c r="O20" i="36"/>
  <c r="P20" i="36"/>
  <c r="N20" i="36"/>
  <c r="AB14" i="57"/>
  <c r="S57" i="57"/>
  <c r="S12" i="57" s="1"/>
  <c r="S14" i="57" s="1"/>
  <c r="S17" i="57" s="1"/>
  <c r="U57" i="57"/>
  <c r="U12" i="57" s="1"/>
  <c r="T14" i="57"/>
  <c r="W14" i="57"/>
  <c r="W17" i="57" s="1"/>
  <c r="Y14" i="57"/>
  <c r="Y17" i="57" s="1"/>
  <c r="Z14" i="57"/>
  <c r="Z17" i="57" s="1"/>
  <c r="AA14" i="57"/>
  <c r="AA17" i="57" s="1"/>
  <c r="V14" i="57"/>
  <c r="X14" i="57"/>
  <c r="X42" i="57"/>
  <c r="N13" i="36"/>
  <c r="L49" i="57"/>
  <c r="R20" i="36"/>
  <c r="Q20" i="57"/>
  <c r="Q20" i="36"/>
  <c r="O13" i="36"/>
  <c r="Q49" i="57"/>
  <c r="O49" i="57"/>
  <c r="O57" i="57" s="1"/>
  <c r="O12" i="57" s="1"/>
  <c r="O14" i="57" s="1"/>
  <c r="O17" i="57" s="1"/>
  <c r="M49" i="57"/>
  <c r="N57" i="57"/>
  <c r="N12" i="57" s="1"/>
  <c r="N14" i="57" s="1"/>
  <c r="N17" i="57" s="1"/>
  <c r="K55" i="57"/>
  <c r="K49" i="57"/>
  <c r="R49" i="57"/>
  <c r="P57" i="57"/>
  <c r="P12" i="57" s="1"/>
  <c r="P14" i="57" s="1"/>
  <c r="P17" i="57" s="1"/>
  <c r="Y86" i="41"/>
  <c r="C39" i="30"/>
  <c r="Z20" i="57"/>
  <c r="H70" i="45"/>
  <c r="H74" i="45"/>
  <c r="H78" i="45"/>
  <c r="H71" i="45"/>
  <c r="H72" i="45"/>
  <c r="H76" i="45"/>
  <c r="H80" i="45"/>
  <c r="H73" i="45"/>
  <c r="H77" i="45"/>
  <c r="H75" i="45"/>
  <c r="H79" i="45"/>
  <c r="H62" i="45"/>
  <c r="H57" i="45"/>
  <c r="H58" i="45"/>
  <c r="H49" i="45"/>
  <c r="H47" i="45"/>
  <c r="H59" i="45"/>
  <c r="H50" i="45"/>
  <c r="H42" i="45"/>
  <c r="H52" i="45"/>
  <c r="H64" i="45"/>
  <c r="H69" i="45"/>
  <c r="H66" i="45"/>
  <c r="H63" i="45"/>
  <c r="H67" i="45"/>
  <c r="H68" i="45"/>
  <c r="H65" i="45"/>
  <c r="H48" i="45"/>
  <c r="H43" i="45"/>
  <c r="H44" i="45"/>
  <c r="H46" i="45"/>
  <c r="H51" i="45"/>
  <c r="H61" i="45"/>
  <c r="H41" i="45"/>
  <c r="H54" i="45"/>
  <c r="H60" i="45"/>
  <c r="H56" i="45"/>
  <c r="H53" i="45"/>
  <c r="H45" i="45"/>
  <c r="H55" i="45"/>
  <c r="S12" i="62"/>
  <c r="AA14" i="62"/>
  <c r="AA18" i="41" s="1"/>
  <c r="AB14" i="62"/>
  <c r="AB18" i="41" s="1"/>
  <c r="AC14" i="62"/>
  <c r="AC18" i="41" s="1"/>
  <c r="AE14" i="62"/>
  <c r="AE18" i="41" s="1"/>
  <c r="AF14" i="62"/>
  <c r="AF18" i="41" s="1"/>
  <c r="AD14" i="62"/>
  <c r="AD18" i="41" s="1"/>
  <c r="AF24" i="42"/>
  <c r="R27" i="30"/>
  <c r="L28" i="30"/>
  <c r="Q28" i="30"/>
  <c r="O28" i="30"/>
  <c r="P28" i="30"/>
  <c r="P27" i="30"/>
  <c r="M27" i="30"/>
  <c r="K27" i="30"/>
  <c r="L27" i="30"/>
  <c r="O27" i="30"/>
  <c r="N27" i="30"/>
  <c r="Q27" i="30"/>
  <c r="AA25" i="42"/>
  <c r="U26" i="45"/>
  <c r="W27" i="45"/>
  <c r="W39" i="41" s="1"/>
  <c r="U42" i="41"/>
  <c r="U76" i="41" s="1"/>
  <c r="AA76" i="41"/>
  <c r="W42" i="41"/>
  <c r="W76" i="41" s="1"/>
  <c r="C46" i="30"/>
  <c r="C53" i="30"/>
  <c r="C60" i="30"/>
  <c r="F86" i="30"/>
  <c r="C72" i="30"/>
  <c r="U86" i="41"/>
  <c r="AA86" i="41"/>
  <c r="AB86" i="41"/>
  <c r="W86" i="41"/>
  <c r="Z86" i="41"/>
  <c r="V86" i="41"/>
  <c r="X86" i="41"/>
  <c r="W26" i="45"/>
  <c r="W40" i="41" s="1"/>
  <c r="S188" i="44"/>
  <c r="M20" i="57"/>
  <c r="T20" i="57"/>
  <c r="K20" i="36"/>
  <c r="K20" i="57"/>
  <c r="V19" i="34"/>
  <c r="L20" i="57"/>
  <c r="O20" i="57"/>
  <c r="X20" i="57"/>
  <c r="K19" i="34"/>
  <c r="R20" i="57"/>
  <c r="M19" i="34"/>
  <c r="T19" i="34"/>
  <c r="U19" i="34"/>
  <c r="Y20" i="57"/>
  <c r="V20" i="57"/>
  <c r="S20" i="57"/>
  <c r="P20" i="57"/>
  <c r="AA20" i="57"/>
  <c r="L19" i="34"/>
  <c r="N20" i="57"/>
  <c r="N19" i="34"/>
  <c r="AB20" i="57"/>
  <c r="W20" i="57"/>
  <c r="R19" i="34"/>
  <c r="S19" i="34"/>
  <c r="Q19" i="34"/>
  <c r="O19" i="34"/>
  <c r="P19" i="34"/>
  <c r="U20" i="57"/>
  <c r="AQ24" i="42" l="1"/>
  <c r="Z101" i="41"/>
  <c r="Y46" i="117"/>
  <c r="AB54" i="117"/>
  <c r="AC54" i="117" s="1"/>
  <c r="AD54" i="117" s="1"/>
  <c r="V14" i="98"/>
  <c r="X29" i="12"/>
  <c r="X22" i="12"/>
  <c r="W29" i="12"/>
  <c r="W22" i="12"/>
  <c r="U29" i="12"/>
  <c r="L21" i="114" s="1"/>
  <c r="U22" i="12"/>
  <c r="Y29" i="12"/>
  <c r="Y22" i="12"/>
  <c r="Z19" i="42"/>
  <c r="U25" i="45" s="1"/>
  <c r="U24" i="30"/>
  <c r="V18" i="30"/>
  <c r="V24" i="30" s="1"/>
  <c r="AB19" i="42"/>
  <c r="W24" i="30"/>
  <c r="V17" i="12"/>
  <c r="AA13" i="42" s="1"/>
  <c r="G182" i="98" s="1"/>
  <c r="Y22" i="116"/>
  <c r="Y26" i="116" s="1"/>
  <c r="G135" i="98"/>
  <c r="G168" i="98"/>
  <c r="I164" i="98"/>
  <c r="J164" i="98"/>
  <c r="H135" i="98"/>
  <c r="D43" i="98"/>
  <c r="AB79" i="86"/>
  <c r="Z13" i="98"/>
  <c r="AU24" i="42"/>
  <c r="AQ25" i="42"/>
  <c r="AU25" i="42"/>
  <c r="AA101" i="41"/>
  <c r="AR24" i="42"/>
  <c r="AV24" i="42"/>
  <c r="BL68" i="36"/>
  <c r="BL56" i="36" s="1"/>
  <c r="CH68" i="36"/>
  <c r="X42" i="41"/>
  <c r="X76" i="41" s="1"/>
  <c r="Y42" i="41"/>
  <c r="Y76" i="41" s="1"/>
  <c r="J65" i="98"/>
  <c r="J69" i="98" s="1"/>
  <c r="AB12" i="12"/>
  <c r="I65" i="98"/>
  <c r="I69" i="98" s="1"/>
  <c r="AA12" i="12"/>
  <c r="AA96" i="116"/>
  <c r="AA99" i="116" s="1"/>
  <c r="BM68" i="36"/>
  <c r="BM56" i="36" s="1"/>
  <c r="D21" i="98"/>
  <c r="AB96" i="116"/>
  <c r="AB99" i="116" s="1"/>
  <c r="W39" i="12"/>
  <c r="Y35" i="12"/>
  <c r="G43" i="98" s="1"/>
  <c r="M39" i="12"/>
  <c r="L39" i="12"/>
  <c r="AA90" i="98"/>
  <c r="AA17" i="98"/>
  <c r="AA40" i="98" s="1"/>
  <c r="G71" i="98"/>
  <c r="G79" i="98" s="1"/>
  <c r="G87" i="98" s="1"/>
  <c r="G100" i="98" s="1"/>
  <c r="G104" i="98" s="1"/>
  <c r="H71" i="98"/>
  <c r="H79" i="98" s="1"/>
  <c r="H87" i="98" s="1"/>
  <c r="H100" i="98" s="1"/>
  <c r="H104" i="98" s="1"/>
  <c r="S39" i="12"/>
  <c r="J71" i="98"/>
  <c r="J79" i="98" s="1"/>
  <c r="J87" i="98" s="1"/>
  <c r="J100" i="98" s="1"/>
  <c r="J104" i="98" s="1"/>
  <c r="AB17" i="98"/>
  <c r="AB40" i="98" s="1"/>
  <c r="AB90" i="98"/>
  <c r="I71" i="98"/>
  <c r="I79" i="98" s="1"/>
  <c r="I87" i="98" s="1"/>
  <c r="I100" i="98" s="1"/>
  <c r="I104" i="98" s="1"/>
  <c r="AJ64" i="30"/>
  <c r="AF64" i="30"/>
  <c r="AB64" i="30"/>
  <c r="AH63" i="30"/>
  <c r="AD63" i="30"/>
  <c r="AJ62" i="30"/>
  <c r="AF62" i="30"/>
  <c r="AB62" i="30"/>
  <c r="AH61" i="30"/>
  <c r="AD61" i="30"/>
  <c r="AE64" i="30"/>
  <c r="AG63" i="30"/>
  <c r="AI62" i="30"/>
  <c r="AE62" i="30"/>
  <c r="AG61" i="30"/>
  <c r="AD64" i="30"/>
  <c r="AB63" i="30"/>
  <c r="AF61" i="30"/>
  <c r="AI64" i="30"/>
  <c r="AA64" i="30"/>
  <c r="AC63" i="30"/>
  <c r="AA62" i="30"/>
  <c r="AC61" i="30"/>
  <c r="AH64" i="30"/>
  <c r="AF63" i="30"/>
  <c r="AD62" i="30"/>
  <c r="AB61" i="30"/>
  <c r="AJ63" i="30"/>
  <c r="AH62" i="30"/>
  <c r="AJ61" i="30"/>
  <c r="AI63" i="30"/>
  <c r="AC62" i="30"/>
  <c r="AG62" i="30"/>
  <c r="AE63" i="30"/>
  <c r="AI61" i="30"/>
  <c r="AA61" i="30"/>
  <c r="AG64" i="30"/>
  <c r="AA63" i="30"/>
  <c r="AE61" i="30"/>
  <c r="AC64" i="30"/>
  <c r="AJ57" i="30"/>
  <c r="AF57" i="30"/>
  <c r="AB57" i="30"/>
  <c r="AH56" i="30"/>
  <c r="AD56" i="30"/>
  <c r="AJ55" i="30"/>
  <c r="AF55" i="30"/>
  <c r="AB55" i="30"/>
  <c r="AH54" i="30"/>
  <c r="AD54" i="30"/>
  <c r="AI57" i="30"/>
  <c r="AA57" i="30"/>
  <c r="AC56" i="30"/>
  <c r="AE55" i="30"/>
  <c r="AG54" i="30"/>
  <c r="AD57" i="30"/>
  <c r="AF56" i="30"/>
  <c r="AE57" i="30"/>
  <c r="AG56" i="30"/>
  <c r="AI55" i="30"/>
  <c r="AA55" i="30"/>
  <c r="AC54" i="30"/>
  <c r="AJ56" i="30"/>
  <c r="AH55" i="30"/>
  <c r="AH57" i="30"/>
  <c r="AB56" i="30"/>
  <c r="AG57" i="30"/>
  <c r="AA56" i="30"/>
  <c r="AJ54" i="30"/>
  <c r="AB54" i="30"/>
  <c r="AF54" i="30"/>
  <c r="AC57" i="30"/>
  <c r="AG55" i="30"/>
  <c r="AI54" i="30"/>
  <c r="AA54" i="30"/>
  <c r="AI56" i="30"/>
  <c r="AD55" i="30"/>
  <c r="AE56" i="30"/>
  <c r="AE54" i="30"/>
  <c r="AC55" i="30"/>
  <c r="AJ43" i="30"/>
  <c r="AF43" i="30"/>
  <c r="AB43" i="30"/>
  <c r="AG42" i="30"/>
  <c r="AC42" i="30"/>
  <c r="AH41" i="30"/>
  <c r="AD41" i="30"/>
  <c r="AI40" i="30"/>
  <c r="AE40" i="30"/>
  <c r="AA43" i="30"/>
  <c r="AE43" i="30"/>
  <c r="AF42" i="30"/>
  <c r="AB42" i="30"/>
  <c r="AC41" i="30"/>
  <c r="AD40" i="30"/>
  <c r="AI43" i="30"/>
  <c r="AJ42" i="30"/>
  <c r="AG41" i="30"/>
  <c r="AH40" i="30"/>
  <c r="AA42" i="30"/>
  <c r="AD43" i="30"/>
  <c r="AE42" i="30"/>
  <c r="AF41" i="30"/>
  <c r="AG40" i="30"/>
  <c r="AA41" i="30"/>
  <c r="AI42" i="30"/>
  <c r="AB41" i="30"/>
  <c r="AH42" i="30"/>
  <c r="AB40" i="30"/>
  <c r="AC43" i="30"/>
  <c r="AD42" i="30"/>
  <c r="AE41" i="30"/>
  <c r="AF40" i="30"/>
  <c r="AA40" i="30"/>
  <c r="AH43" i="30"/>
  <c r="AC40" i="30"/>
  <c r="AG43" i="30"/>
  <c r="AJ41" i="30"/>
  <c r="AI41" i="30"/>
  <c r="AJ40" i="30"/>
  <c r="AJ50" i="30"/>
  <c r="AF50" i="30"/>
  <c r="AB50" i="30"/>
  <c r="AH49" i="30"/>
  <c r="AD49" i="30"/>
  <c r="AJ48" i="30"/>
  <c r="AF48" i="30"/>
  <c r="AB48" i="30"/>
  <c r="AH47" i="30"/>
  <c r="AD47" i="30"/>
  <c r="AI50" i="30"/>
  <c r="AE50" i="30"/>
  <c r="AG49" i="30"/>
  <c r="AI48" i="30"/>
  <c r="AA48" i="30"/>
  <c r="AC47" i="30"/>
  <c r="AA50" i="30"/>
  <c r="AC49" i="30"/>
  <c r="AE48" i="30"/>
  <c r="AG47" i="30"/>
  <c r="AD50" i="30"/>
  <c r="AF49" i="30"/>
  <c r="AH48" i="30"/>
  <c r="AJ47" i="30"/>
  <c r="AB47" i="30"/>
  <c r="AD48" i="30"/>
  <c r="AI49" i="30"/>
  <c r="AC50" i="30"/>
  <c r="AE49" i="30"/>
  <c r="AG48" i="30"/>
  <c r="AI47" i="30"/>
  <c r="AA47" i="30"/>
  <c r="AH50" i="30"/>
  <c r="AB49" i="30"/>
  <c r="AG50" i="30"/>
  <c r="AJ49" i="30"/>
  <c r="AF47" i="30"/>
  <c r="AC48" i="30"/>
  <c r="AA49" i="30"/>
  <c r="AE47" i="30"/>
  <c r="Q39" i="12"/>
  <c r="K39" i="12"/>
  <c r="E42" i="98"/>
  <c r="U39" i="12"/>
  <c r="O39" i="12"/>
  <c r="N39" i="12"/>
  <c r="G58" i="98"/>
  <c r="F42" i="98"/>
  <c r="X39" i="12"/>
  <c r="P39" i="12"/>
  <c r="T39" i="12"/>
  <c r="R39" i="12"/>
  <c r="H57" i="98"/>
  <c r="D9" i="98"/>
  <c r="D36" i="98"/>
  <c r="H9" i="98"/>
  <c r="BL68" i="57"/>
  <c r="BL56" i="57" s="1"/>
  <c r="AS56" i="57"/>
  <c r="AX56" i="57"/>
  <c r="BQ68" i="57"/>
  <c r="BQ56" i="57" s="1"/>
  <c r="AT56" i="57"/>
  <c r="BM68" i="57"/>
  <c r="BM56" i="57" s="1"/>
  <c r="AD72" i="30"/>
  <c r="AD16" i="30" s="1"/>
  <c r="AD12" i="98" s="1"/>
  <c r="BO68" i="57"/>
  <c r="BO56" i="57" s="1"/>
  <c r="AV56" i="57"/>
  <c r="BN68" i="57"/>
  <c r="BN56" i="57" s="1"/>
  <c r="AU56" i="57"/>
  <c r="X18" i="57"/>
  <c r="V18" i="57"/>
  <c r="W18" i="57"/>
  <c r="Y18" i="57"/>
  <c r="U18" i="57"/>
  <c r="F94" i="30"/>
  <c r="AE86" i="30"/>
  <c r="AI86" i="30"/>
  <c r="AH86" i="30"/>
  <c r="AD86" i="30"/>
  <c r="AA86" i="30"/>
  <c r="AC86" i="30"/>
  <c r="AJ86" i="30"/>
  <c r="AB86" i="30"/>
  <c r="AG86" i="30"/>
  <c r="AF86" i="30"/>
  <c r="AV56" i="36"/>
  <c r="BP68" i="36"/>
  <c r="BP56" i="36" s="1"/>
  <c r="BQ68" i="36"/>
  <c r="BQ56" i="36" s="1"/>
  <c r="Y22" i="86"/>
  <c r="Y26" i="86" s="1"/>
  <c r="Z14" i="42"/>
  <c r="X510" i="57"/>
  <c r="BN68" i="36"/>
  <c r="BN56" i="36" s="1"/>
  <c r="X17" i="45"/>
  <c r="M22" i="36"/>
  <c r="L22" i="36"/>
  <c r="Z21" i="42"/>
  <c r="V27" i="45"/>
  <c r="V39" i="41" s="1"/>
  <c r="V73" i="41" s="1"/>
  <c r="V99" i="41" s="1"/>
  <c r="V26" i="45"/>
  <c r="V40" i="41" s="1"/>
  <c r="V74" i="41" s="1"/>
  <c r="V100" i="41" s="1"/>
  <c r="U40" i="41"/>
  <c r="U74" i="41" s="1"/>
  <c r="U100" i="41" s="1"/>
  <c r="U109" i="41" s="1"/>
  <c r="Y12" i="36"/>
  <c r="AA12" i="36"/>
  <c r="Z17" i="36"/>
  <c r="X14" i="36"/>
  <c r="AB12" i="36"/>
  <c r="W12" i="36"/>
  <c r="V12" i="36"/>
  <c r="U12" i="36"/>
  <c r="T12" i="36"/>
  <c r="S12" i="36"/>
  <c r="R454" i="36"/>
  <c r="R474" i="36"/>
  <c r="X17" i="57"/>
  <c r="X22" i="57" s="1"/>
  <c r="T17" i="57"/>
  <c r="T22" i="57" s="1"/>
  <c r="AB17" i="57"/>
  <c r="V17" i="57"/>
  <c r="V22" i="57" s="1"/>
  <c r="Z456" i="57"/>
  <c r="Z510" i="57"/>
  <c r="AA456" i="57"/>
  <c r="AA510" i="57"/>
  <c r="Y456" i="57"/>
  <c r="Y510" i="57"/>
  <c r="AB456" i="57"/>
  <c r="AB510" i="57"/>
  <c r="R14" i="36"/>
  <c r="R463" i="36"/>
  <c r="AB28" i="45"/>
  <c r="N14" i="36"/>
  <c r="N17" i="36" s="1"/>
  <c r="N22" i="36" s="1"/>
  <c r="N455" i="36"/>
  <c r="N456" i="36" s="1"/>
  <c r="O14" i="36"/>
  <c r="O17" i="36" s="1"/>
  <c r="O22" i="36" s="1"/>
  <c r="O455" i="36"/>
  <c r="O456" i="36" s="1"/>
  <c r="Q14" i="36"/>
  <c r="Q17" i="36" s="1"/>
  <c r="Q22" i="36" s="1"/>
  <c r="Q455" i="36"/>
  <c r="Q456" i="36" s="1"/>
  <c r="P22" i="36"/>
  <c r="X28" i="45"/>
  <c r="Y28" i="45"/>
  <c r="AA22" i="57"/>
  <c r="Z22" i="57"/>
  <c r="Y22" i="57"/>
  <c r="U14" i="57"/>
  <c r="S22" i="57"/>
  <c r="W22" i="57"/>
  <c r="K22" i="36"/>
  <c r="O22" i="57"/>
  <c r="M57" i="57"/>
  <c r="M12" i="57" s="1"/>
  <c r="M14" i="57" s="1"/>
  <c r="M17" i="57" s="1"/>
  <c r="M22" i="57" s="1"/>
  <c r="Q57" i="57"/>
  <c r="Q12" i="57" s="1"/>
  <c r="Q14" i="57" s="1"/>
  <c r="Q17" i="57" s="1"/>
  <c r="Q22" i="57" s="1"/>
  <c r="R57" i="57"/>
  <c r="R12" i="57" s="1"/>
  <c r="R14" i="57" s="1"/>
  <c r="K57" i="57"/>
  <c r="K12" i="57" s="1"/>
  <c r="K14" i="57" s="1"/>
  <c r="K17" i="57" s="1"/>
  <c r="K22" i="57" s="1"/>
  <c r="P22" i="57"/>
  <c r="L57" i="57"/>
  <c r="L12" i="57" s="1"/>
  <c r="L14" i="57" s="1"/>
  <c r="L17" i="57" s="1"/>
  <c r="L22" i="57" s="1"/>
  <c r="N22" i="57"/>
  <c r="F82" i="30"/>
  <c r="F90" i="30" s="1"/>
  <c r="C44" i="30"/>
  <c r="I82" i="45"/>
  <c r="C58" i="30"/>
  <c r="C51" i="30"/>
  <c r="F85" i="30"/>
  <c r="V28" i="45"/>
  <c r="V42" i="41"/>
  <c r="V76" i="41" s="1"/>
  <c r="Z28" i="45"/>
  <c r="Z76" i="41"/>
  <c r="F83" i="30"/>
  <c r="AB14" i="42"/>
  <c r="AA14" i="42"/>
  <c r="AA79" i="86"/>
  <c r="I135" i="98" s="1"/>
  <c r="C65" i="30"/>
  <c r="W74" i="41"/>
  <c r="W100" i="41" s="1"/>
  <c r="W73" i="41"/>
  <c r="W99" i="41" s="1"/>
  <c r="F84" i="30"/>
  <c r="S260" i="44"/>
  <c r="S186" i="44"/>
  <c r="S193" i="44"/>
  <c r="S191" i="44"/>
  <c r="T191" i="44"/>
  <c r="T186" i="44"/>
  <c r="T193" i="44"/>
  <c r="T188" i="44"/>
  <c r="U310" i="44" l="1"/>
  <c r="U274" i="44"/>
  <c r="V102" i="98"/>
  <c r="U309" i="44"/>
  <c r="V39" i="12"/>
  <c r="D42" i="98"/>
  <c r="D44" i="98" s="1"/>
  <c r="X26" i="86"/>
  <c r="V29" i="12"/>
  <c r="M21" i="114" s="1"/>
  <c r="V22" i="12"/>
  <c r="AB22" i="42"/>
  <c r="X102" i="98"/>
  <c r="AA19" i="42"/>
  <c r="AP21" i="30"/>
  <c r="AP23" i="30" s="1"/>
  <c r="AP24" i="30" s="1"/>
  <c r="J57" i="98"/>
  <c r="J135" i="98"/>
  <c r="I57" i="98"/>
  <c r="AE100" i="116"/>
  <c r="U27" i="45"/>
  <c r="U39" i="41" s="1"/>
  <c r="U73" i="41" s="1"/>
  <c r="U99" i="41" s="1"/>
  <c r="U108" i="41" s="1"/>
  <c r="Z22" i="42"/>
  <c r="X41" i="41"/>
  <c r="X49" i="41" s="1"/>
  <c r="U38" i="41"/>
  <c r="Z63" i="117"/>
  <c r="AC26" i="117"/>
  <c r="AD26" i="117" s="1"/>
  <c r="G57" i="98"/>
  <c r="G60" i="98" s="1"/>
  <c r="Y39" i="12"/>
  <c r="G42" i="98"/>
  <c r="G44" i="98" s="1"/>
  <c r="AE51" i="30"/>
  <c r="AE13" i="30" s="1"/>
  <c r="AE9" i="98" s="1"/>
  <c r="AG44" i="30"/>
  <c r="AG12" i="30" s="1"/>
  <c r="AI51" i="30"/>
  <c r="AI13" i="30" s="1"/>
  <c r="AI9" i="98" s="1"/>
  <c r="AA58" i="30"/>
  <c r="AG58" i="30"/>
  <c r="AG14" i="30" s="1"/>
  <c r="AG10" i="98" s="1"/>
  <c r="AI65" i="30"/>
  <c r="AI15" i="30" s="1"/>
  <c r="AI11" i="98" s="1"/>
  <c r="AA72" i="30"/>
  <c r="AG72" i="30"/>
  <c r="AG16" i="30" s="1"/>
  <c r="AG12" i="98" s="1"/>
  <c r="AF51" i="30"/>
  <c r="AH72" i="30"/>
  <c r="AH16" i="30" s="1"/>
  <c r="AH12" i="98" s="1"/>
  <c r="AF72" i="30"/>
  <c r="AE44" i="30"/>
  <c r="AE12" i="30" s="1"/>
  <c r="AE58" i="30"/>
  <c r="AE14" i="30" s="1"/>
  <c r="AE10" i="98" s="1"/>
  <c r="AA44" i="30"/>
  <c r="AH44" i="30"/>
  <c r="AH12" i="30" s="1"/>
  <c r="AD44" i="30"/>
  <c r="AD12" i="30" s="1"/>
  <c r="AJ51" i="30"/>
  <c r="AJ13" i="30" s="1"/>
  <c r="AJ9" i="98" s="1"/>
  <c r="AB58" i="30"/>
  <c r="AB14" i="30" s="1"/>
  <c r="AB10" i="98" s="1"/>
  <c r="AD14" i="42"/>
  <c r="AI90" i="30"/>
  <c r="AE90" i="30"/>
  <c r="AB90" i="30"/>
  <c r="AF90" i="30"/>
  <c r="AH90" i="30"/>
  <c r="AD90" i="30"/>
  <c r="AJ90" i="30"/>
  <c r="AA90" i="30"/>
  <c r="AG90" i="30"/>
  <c r="AC90" i="30"/>
  <c r="AB44" i="30"/>
  <c r="AB12" i="30" s="1"/>
  <c r="AC44" i="30"/>
  <c r="AC12" i="30" s="1"/>
  <c r="AE65" i="30"/>
  <c r="AE15" i="30" s="1"/>
  <c r="AE11" i="98" s="1"/>
  <c r="AC72" i="30"/>
  <c r="AC16" i="30" s="1"/>
  <c r="AC12" i="98" s="1"/>
  <c r="AD65" i="30"/>
  <c r="AD15" i="30" s="1"/>
  <c r="AD11" i="98" s="1"/>
  <c r="AD51" i="30"/>
  <c r="AD13" i="30" s="1"/>
  <c r="AD9" i="98" s="1"/>
  <c r="AB72" i="30"/>
  <c r="AB16" i="30" s="1"/>
  <c r="AB12" i="98" s="1"/>
  <c r="AC51" i="30"/>
  <c r="AC13" i="30" s="1"/>
  <c r="AC9" i="98" s="1"/>
  <c r="AC65" i="30"/>
  <c r="AC15" i="30" s="1"/>
  <c r="AC11" i="98" s="1"/>
  <c r="AJ65" i="30"/>
  <c r="AJ15" i="30" s="1"/>
  <c r="AJ11" i="98" s="1"/>
  <c r="AD58" i="30"/>
  <c r="AD14" i="30" s="1"/>
  <c r="AD10" i="98" s="1"/>
  <c r="AJ44" i="30"/>
  <c r="AJ12" i="30" s="1"/>
  <c r="AF44" i="30"/>
  <c r="AB51" i="30"/>
  <c r="AB13" i="30" s="1"/>
  <c r="AB9" i="98" s="1"/>
  <c r="AJ58" i="30"/>
  <c r="AJ14" i="30" s="1"/>
  <c r="AJ10" i="98" s="1"/>
  <c r="AB65" i="30"/>
  <c r="AB15" i="30" s="1"/>
  <c r="AB11" i="98" s="1"/>
  <c r="AH58" i="30"/>
  <c r="AH14" i="30" s="1"/>
  <c r="AH10" i="98" s="1"/>
  <c r="AH65" i="30"/>
  <c r="AH15" i="30" s="1"/>
  <c r="AH11" i="98" s="1"/>
  <c r="AJ72" i="30"/>
  <c r="AJ16" i="30" s="1"/>
  <c r="AJ12" i="98" s="1"/>
  <c r="AG51" i="30"/>
  <c r="AG13" i="30" s="1"/>
  <c r="AG9" i="98" s="1"/>
  <c r="AG84" i="30"/>
  <c r="AC84" i="30"/>
  <c r="AH84" i="30"/>
  <c r="AJ84" i="30"/>
  <c r="AF84" i="30"/>
  <c r="AB84" i="30"/>
  <c r="AD84" i="30"/>
  <c r="AI84" i="30"/>
  <c r="AE84" i="30"/>
  <c r="AA84" i="30"/>
  <c r="AI83" i="30"/>
  <c r="AE83" i="30"/>
  <c r="AA83" i="30"/>
  <c r="AJ83" i="30"/>
  <c r="AH83" i="30"/>
  <c r="AD83" i="30"/>
  <c r="AF83" i="30"/>
  <c r="AB83" i="30"/>
  <c r="AG83" i="30"/>
  <c r="AC83" i="30"/>
  <c r="AG82" i="30"/>
  <c r="AC82" i="30"/>
  <c r="AH82" i="30"/>
  <c r="AJ82" i="30"/>
  <c r="AF82" i="30"/>
  <c r="AA82" i="30"/>
  <c r="AD82" i="30"/>
  <c r="AI82" i="30"/>
  <c r="AE82" i="30"/>
  <c r="AB82" i="30"/>
  <c r="AI44" i="30"/>
  <c r="AI12" i="30" s="1"/>
  <c r="AA51" i="30"/>
  <c r="AI58" i="30"/>
  <c r="AI14" i="30" s="1"/>
  <c r="AI10" i="98" s="1"/>
  <c r="AA65" i="30"/>
  <c r="AG65" i="30"/>
  <c r="AG15" i="30" s="1"/>
  <c r="AI72" i="30"/>
  <c r="AI16" i="30" s="1"/>
  <c r="AI12" i="98" s="1"/>
  <c r="AE72" i="30"/>
  <c r="AE16" i="30" s="1"/>
  <c r="AE12" i="98" s="1"/>
  <c r="AH51" i="30"/>
  <c r="AH13" i="30" s="1"/>
  <c r="AH9" i="98" s="1"/>
  <c r="AF58" i="30"/>
  <c r="AF65" i="30"/>
  <c r="AC58" i="30"/>
  <c r="AC14" i="30" s="1"/>
  <c r="AC10" i="98" s="1"/>
  <c r="AE94" i="30"/>
  <c r="AI94" i="30"/>
  <c r="AA94" i="30"/>
  <c r="AD94" i="30"/>
  <c r="AH94" i="30"/>
  <c r="AC94" i="30"/>
  <c r="AJ94" i="30"/>
  <c r="AB94" i="30"/>
  <c r="AG94" i="30"/>
  <c r="AF94" i="30"/>
  <c r="AE85" i="30"/>
  <c r="AA85" i="30"/>
  <c r="AD85" i="30"/>
  <c r="AC85" i="30"/>
  <c r="AJ85" i="30"/>
  <c r="AB85" i="30"/>
  <c r="AI85" i="30"/>
  <c r="AH85" i="30"/>
  <c r="AH87" i="30" s="1"/>
  <c r="AH27" i="30" s="1"/>
  <c r="AM20" i="42" s="1"/>
  <c r="AG85" i="30"/>
  <c r="AF85" i="30"/>
  <c r="AB13" i="42"/>
  <c r="H182" i="98" s="1"/>
  <c r="N21" i="114"/>
  <c r="AC13" i="42"/>
  <c r="I182" i="98" s="1"/>
  <c r="O21" i="114"/>
  <c r="AC14" i="42"/>
  <c r="AD13" i="42"/>
  <c r="J182" i="98" s="1"/>
  <c r="P21" i="114"/>
  <c r="F44" i="98"/>
  <c r="Z13" i="42"/>
  <c r="F182" i="98" s="1"/>
  <c r="AB22" i="57"/>
  <c r="Y17" i="45"/>
  <c r="S259" i="44"/>
  <c r="R458" i="36"/>
  <c r="R496" i="36"/>
  <c r="R465" i="36"/>
  <c r="R17" i="36"/>
  <c r="Z22" i="36"/>
  <c r="X17" i="36"/>
  <c r="AA14" i="36"/>
  <c r="AB14" i="36"/>
  <c r="Y14" i="36"/>
  <c r="W14" i="36"/>
  <c r="V14" i="36"/>
  <c r="U14" i="36"/>
  <c r="T14" i="36"/>
  <c r="S14" i="36"/>
  <c r="R456" i="36"/>
  <c r="E44" i="98"/>
  <c r="R17" i="57"/>
  <c r="R22" i="57" s="1"/>
  <c r="U17" i="57"/>
  <c r="U22" i="57" s="1"/>
  <c r="R464" i="36"/>
  <c r="W25" i="45"/>
  <c r="AB15" i="42"/>
  <c r="Z44" i="30"/>
  <c r="Z51" i="30"/>
  <c r="F92" i="30"/>
  <c r="F91" i="30"/>
  <c r="Z65" i="30"/>
  <c r="F93" i="30"/>
  <c r="Z58" i="30"/>
  <c r="S207" i="44"/>
  <c r="T260" i="44"/>
  <c r="T207" i="44"/>
  <c r="S209" i="44"/>
  <c r="T209" i="44"/>
  <c r="V85" i="41"/>
  <c r="V108" i="41" s="1"/>
  <c r="U99" i="44"/>
  <c r="U193" i="44"/>
  <c r="U84" i="44"/>
  <c r="U186" i="44"/>
  <c r="U188" i="44"/>
  <c r="U191" i="44"/>
  <c r="U96" i="44"/>
  <c r="U89" i="44"/>
  <c r="U137" i="44" s="1"/>
  <c r="U87" i="44"/>
  <c r="U86" i="44"/>
  <c r="U90" i="44"/>
  <c r="U85" i="44"/>
  <c r="AF87" i="30" l="1"/>
  <c r="G140" i="98"/>
  <c r="G132" i="98" s="1"/>
  <c r="Y19" i="116"/>
  <c r="V309" i="44"/>
  <c r="V110" i="41"/>
  <c r="V107" i="41"/>
  <c r="V311" i="44"/>
  <c r="V310" i="44"/>
  <c r="V274" i="44"/>
  <c r="V109" i="41"/>
  <c r="U277" i="44"/>
  <c r="U209" i="44"/>
  <c r="Z13" i="30"/>
  <c r="Z9" i="98" s="1"/>
  <c r="Z52" i="30"/>
  <c r="Z12" i="30"/>
  <c r="Z45" i="30"/>
  <c r="AA16" i="30"/>
  <c r="AA12" i="98" s="1"/>
  <c r="AE73" i="30"/>
  <c r="AA12" i="30"/>
  <c r="AA8" i="98" s="1"/>
  <c r="AE45" i="30"/>
  <c r="Z14" i="30"/>
  <c r="Z10" i="98" s="1"/>
  <c r="Z59" i="30"/>
  <c r="AA15" i="30"/>
  <c r="AA11" i="98" s="1"/>
  <c r="AE66" i="30"/>
  <c r="AA14" i="30"/>
  <c r="AA10" i="98" s="1"/>
  <c r="AE59" i="30"/>
  <c r="Z15" i="30"/>
  <c r="Z11" i="98" s="1"/>
  <c r="Z66" i="30"/>
  <c r="AF12" i="30"/>
  <c r="AF8" i="98" s="1"/>
  <c r="AJ45" i="30"/>
  <c r="AF16" i="30"/>
  <c r="AF12" i="98" s="1"/>
  <c r="AJ73" i="30"/>
  <c r="W102" i="98"/>
  <c r="AA22" i="42"/>
  <c r="AF27" i="30"/>
  <c r="AK20" i="42" s="1"/>
  <c r="AF57" i="41" s="1"/>
  <c r="AF74" i="41" s="1"/>
  <c r="AF100" i="41" s="1"/>
  <c r="AF15" i="30"/>
  <c r="AF11" i="98" s="1"/>
  <c r="AJ66" i="30"/>
  <c r="AA13" i="30"/>
  <c r="AA9" i="98" s="1"/>
  <c r="AE52" i="30"/>
  <c r="AF14" i="30"/>
  <c r="AF10" i="98" s="1"/>
  <c r="AJ59" i="30"/>
  <c r="AF13" i="30"/>
  <c r="AF9" i="98" s="1"/>
  <c r="AJ52" i="30"/>
  <c r="AB17" i="36"/>
  <c r="AA17" i="36"/>
  <c r="W38" i="41"/>
  <c r="W72" i="41" s="1"/>
  <c r="Y41" i="41"/>
  <c r="Y49" i="41" s="1"/>
  <c r="Y28" i="116"/>
  <c r="Y44" i="116" s="1"/>
  <c r="AA63" i="117"/>
  <c r="AB63" i="117" s="1"/>
  <c r="AI8" i="98"/>
  <c r="AI14" i="98" s="1"/>
  <c r="AI26" i="98" s="1"/>
  <c r="AI18" i="30"/>
  <c r="AI37" i="30" s="1"/>
  <c r="AH8" i="98"/>
  <c r="AH14" i="98" s="1"/>
  <c r="AH26" i="98" s="1"/>
  <c r="AH18" i="30"/>
  <c r="AH37" i="30" s="1"/>
  <c r="AG8" i="98"/>
  <c r="AG18" i="30"/>
  <c r="AG37" i="30" s="1"/>
  <c r="AC8" i="98"/>
  <c r="AC14" i="98" s="1"/>
  <c r="AC26" i="98" s="1"/>
  <c r="AC18" i="30"/>
  <c r="AJ8" i="98"/>
  <c r="AJ14" i="98" s="1"/>
  <c r="AJ26" i="98" s="1"/>
  <c r="AJ18" i="30"/>
  <c r="AJ37" i="30" s="1"/>
  <c r="AB8" i="98"/>
  <c r="AB14" i="98" s="1"/>
  <c r="AB26" i="98" s="1"/>
  <c r="AB18" i="30"/>
  <c r="AD8" i="98"/>
  <c r="AD14" i="98" s="1"/>
  <c r="AD26" i="98" s="1"/>
  <c r="AD18" i="30"/>
  <c r="AE8" i="98"/>
  <c r="AE14" i="98" s="1"/>
  <c r="AE26" i="98" s="1"/>
  <c r="AE18" i="30"/>
  <c r="AB87" i="30"/>
  <c r="AB27" i="30" s="1"/>
  <c r="AG20" i="42" s="1"/>
  <c r="AA87" i="30"/>
  <c r="AJ87" i="30"/>
  <c r="AJ27" i="30" s="1"/>
  <c r="AO20" i="42" s="1"/>
  <c r="AJ57" i="41" s="1"/>
  <c r="AJ74" i="41" s="1"/>
  <c r="AJ100" i="41" s="1"/>
  <c r="AC87" i="30"/>
  <c r="AC27" i="30" s="1"/>
  <c r="AG11" i="98"/>
  <c r="AI87" i="30"/>
  <c r="AI27" i="30" s="1"/>
  <c r="AD87" i="30"/>
  <c r="AD27" i="30" s="1"/>
  <c r="AI20" i="42" s="1"/>
  <c r="AD57" i="41" s="1"/>
  <c r="AD74" i="41" s="1"/>
  <c r="AD100" i="41" s="1"/>
  <c r="AG87" i="30"/>
  <c r="AG27" i="30" s="1"/>
  <c r="AE87" i="30"/>
  <c r="AE27" i="30" s="1"/>
  <c r="AJ20" i="42" s="1"/>
  <c r="AE57" i="41" s="1"/>
  <c r="AE74" i="41" s="1"/>
  <c r="AE100" i="41" s="1"/>
  <c r="AG91" i="30"/>
  <c r="AC91" i="30"/>
  <c r="AD91" i="30"/>
  <c r="AJ91" i="30"/>
  <c r="AF91" i="30"/>
  <c r="AB91" i="30"/>
  <c r="AH91" i="30"/>
  <c r="AI91" i="30"/>
  <c r="AE91" i="30"/>
  <c r="AA91" i="30"/>
  <c r="AI92" i="30"/>
  <c r="AE92" i="30"/>
  <c r="AA92" i="30"/>
  <c r="AJ92" i="30"/>
  <c r="AF92" i="30"/>
  <c r="AB92" i="30"/>
  <c r="AH92" i="30"/>
  <c r="AD92" i="30"/>
  <c r="AG92" i="30"/>
  <c r="AC92" i="30"/>
  <c r="V84" i="44"/>
  <c r="V99" i="44"/>
  <c r="V89" i="44"/>
  <c r="V137" i="44" s="1"/>
  <c r="V96" i="44"/>
  <c r="V90" i="44"/>
  <c r="V123" i="44" s="1"/>
  <c r="V87" i="44"/>
  <c r="V85" i="44"/>
  <c r="V86" i="44"/>
  <c r="AH57" i="41"/>
  <c r="AH74" i="41" s="1"/>
  <c r="AH100" i="41" s="1"/>
  <c r="AH26" i="45"/>
  <c r="AC93" i="30"/>
  <c r="AG93" i="30"/>
  <c r="AJ93" i="30"/>
  <c r="AB93" i="30"/>
  <c r="AI93" i="30"/>
  <c r="AA93" i="30"/>
  <c r="AD93" i="30"/>
  <c r="AH93" i="30"/>
  <c r="AF93" i="30"/>
  <c r="AE93" i="30"/>
  <c r="Y19" i="86"/>
  <c r="AD15" i="42"/>
  <c r="AC15" i="42"/>
  <c r="S206" i="44"/>
  <c r="T206" i="44"/>
  <c r="T259" i="44"/>
  <c r="R22" i="36"/>
  <c r="X22" i="36"/>
  <c r="Y17" i="36"/>
  <c r="W17" i="36"/>
  <c r="V17" i="36"/>
  <c r="U17" i="36"/>
  <c r="T17" i="36"/>
  <c r="S17" i="36"/>
  <c r="V25" i="45"/>
  <c r="Z15" i="42"/>
  <c r="H10" i="98"/>
  <c r="G10" i="98"/>
  <c r="D10" i="98"/>
  <c r="E10" i="98"/>
  <c r="F10" i="98"/>
  <c r="AA15" i="42"/>
  <c r="Z87" i="30"/>
  <c r="Y27" i="30"/>
  <c r="AD20" i="42" s="1"/>
  <c r="X27" i="30"/>
  <c r="AC20" i="42" s="1"/>
  <c r="U206" i="44"/>
  <c r="U259" i="44"/>
  <c r="U124" i="44"/>
  <c r="V191" i="44"/>
  <c r="V193" i="44"/>
  <c r="V188" i="44"/>
  <c r="V186" i="44"/>
  <c r="U260" i="44"/>
  <c r="U125" i="44"/>
  <c r="W85" i="41"/>
  <c r="U126" i="44"/>
  <c r="U123" i="44"/>
  <c r="U207" i="44"/>
  <c r="W110" i="41" l="1"/>
  <c r="W107" i="41"/>
  <c r="W311" i="44"/>
  <c r="W310" i="44"/>
  <c r="W274" i="44"/>
  <c r="W309" i="44"/>
  <c r="W108" i="41"/>
  <c r="W109" i="41"/>
  <c r="W111" i="41"/>
  <c r="V126" i="44"/>
  <c r="V277" i="44"/>
  <c r="V209" i="44"/>
  <c r="U111" i="41"/>
  <c r="V111" i="41"/>
  <c r="V125" i="44"/>
  <c r="V124" i="44"/>
  <c r="AA14" i="98"/>
  <c r="AA26" i="98" s="1"/>
  <c r="AA18" i="30"/>
  <c r="AA24" i="30" s="1"/>
  <c r="AA27" i="30"/>
  <c r="AF20" i="42" s="1"/>
  <c r="AA26" i="45" s="1"/>
  <c r="AE88" i="30"/>
  <c r="AJ88" i="30"/>
  <c r="Z27" i="30"/>
  <c r="AE20" i="42" s="1"/>
  <c r="Z88" i="30"/>
  <c r="AF18" i="30"/>
  <c r="AF37" i="30" s="1"/>
  <c r="W27" i="114" s="1"/>
  <c r="AF14" i="98"/>
  <c r="AF26" i="98" s="1"/>
  <c r="Z8" i="98"/>
  <c r="Z14" i="98" s="1"/>
  <c r="Z18" i="30"/>
  <c r="AB24" i="30"/>
  <c r="AB37" i="30"/>
  <c r="S27" i="114" s="1"/>
  <c r="AD24" i="30"/>
  <c r="AD37" i="30"/>
  <c r="U27" i="114" s="1"/>
  <c r="AE24" i="30"/>
  <c r="AE37" i="30"/>
  <c r="V27" i="114" s="1"/>
  <c r="AC24" i="30"/>
  <c r="AC37" i="30"/>
  <c r="T27" i="114" s="1"/>
  <c r="Y46" i="116"/>
  <c r="AB54" i="116"/>
  <c r="AC54" i="116" s="1"/>
  <c r="AD54" i="116" s="1"/>
  <c r="AA22" i="36"/>
  <c r="AB22" i="36"/>
  <c r="AJ26" i="45"/>
  <c r="AI95" i="30"/>
  <c r="AI28" i="30" s="1"/>
  <c r="AN21" i="42" s="1"/>
  <c r="AI56" i="41" s="1"/>
  <c r="AI73" i="41" s="1"/>
  <c r="AI99" i="41" s="1"/>
  <c r="AL20" i="42"/>
  <c r="AN20" i="42"/>
  <c r="AI26" i="45" s="1"/>
  <c r="AH20" i="42"/>
  <c r="AI19" i="42"/>
  <c r="AE103" i="98" s="1"/>
  <c r="AA27" i="114"/>
  <c r="AO19" i="42"/>
  <c r="Z27" i="114"/>
  <c r="AN19" i="42"/>
  <c r="X27" i="114"/>
  <c r="AL19" i="42"/>
  <c r="Y27" i="114"/>
  <c r="AM19" i="42"/>
  <c r="AJ19" i="42"/>
  <c r="AF103" i="98" s="1"/>
  <c r="AG19" i="42"/>
  <c r="AC103" i="98" s="1"/>
  <c r="AH19" i="42"/>
  <c r="AD103" i="98" s="1"/>
  <c r="AF19" i="42"/>
  <c r="AB103" i="98" s="1"/>
  <c r="V38" i="41"/>
  <c r="V72" i="41" s="1"/>
  <c r="V136" i="44" s="1"/>
  <c r="V51" i="44" s="1"/>
  <c r="V138" i="44" s="1"/>
  <c r="AA36" i="30"/>
  <c r="V95" i="44"/>
  <c r="AA70" i="117"/>
  <c r="V83" i="44"/>
  <c r="V122" i="44" s="1"/>
  <c r="AG14" i="98"/>
  <c r="AG26" i="98" s="1"/>
  <c r="AA95" i="30"/>
  <c r="AE95" i="30"/>
  <c r="AE28" i="30" s="1"/>
  <c r="AJ21" i="42" s="1"/>
  <c r="AE56" i="41" s="1"/>
  <c r="AE73" i="41" s="1"/>
  <c r="AE99" i="41" s="1"/>
  <c r="AG36" i="30"/>
  <c r="AH95" i="30"/>
  <c r="AH28" i="30" s="1"/>
  <c r="AD95" i="30"/>
  <c r="AD28" i="30" s="1"/>
  <c r="AC95" i="30"/>
  <c r="AC28" i="30" s="1"/>
  <c r="AH21" i="42" s="1"/>
  <c r="AF95" i="30"/>
  <c r="AB95" i="30"/>
  <c r="AB28" i="30" s="1"/>
  <c r="AG21" i="42" s="1"/>
  <c r="AH36" i="30"/>
  <c r="AJ95" i="30"/>
  <c r="AJ28" i="30" s="1"/>
  <c r="AC63" i="117"/>
  <c r="AB70" i="117"/>
  <c r="AB93" i="117" s="1"/>
  <c r="AD36" i="30"/>
  <c r="W70" i="98"/>
  <c r="F37" i="98"/>
  <c r="Z63" i="116"/>
  <c r="AC26" i="116"/>
  <c r="AD26" i="116" s="1"/>
  <c r="Y28" i="86"/>
  <c r="Y44" i="86" s="1"/>
  <c r="X19" i="86"/>
  <c r="AG95" i="30"/>
  <c r="AG28" i="30" s="1"/>
  <c r="AL21" i="42" s="1"/>
  <c r="AJ36" i="30"/>
  <c r="AE36" i="30"/>
  <c r="AC36" i="30"/>
  <c r="AI36" i="30"/>
  <c r="AB36" i="30"/>
  <c r="W136" i="44"/>
  <c r="W83" i="44"/>
  <c r="W122" i="44" s="1"/>
  <c r="W95" i="44"/>
  <c r="W278" i="44" s="1"/>
  <c r="W84" i="44"/>
  <c r="W99" i="44"/>
  <c r="W89" i="44"/>
  <c r="W137" i="44" s="1"/>
  <c r="W86" i="44"/>
  <c r="W96" i="44"/>
  <c r="W87" i="44"/>
  <c r="W85" i="44"/>
  <c r="W90" i="44"/>
  <c r="W123" i="44" s="1"/>
  <c r="U95" i="44"/>
  <c r="S210" i="44"/>
  <c r="Y22" i="36"/>
  <c r="W22" i="36"/>
  <c r="V22" i="36"/>
  <c r="U22" i="36"/>
  <c r="U83" i="44"/>
  <c r="U273" i="44" s="1"/>
  <c r="T22" i="36"/>
  <c r="S22" i="36"/>
  <c r="T210" i="44"/>
  <c r="AB26" i="45"/>
  <c r="AB57" i="41"/>
  <c r="AB74" i="41" s="1"/>
  <c r="AB100" i="41" s="1"/>
  <c r="Y26" i="45"/>
  <c r="Y40" i="41" s="1"/>
  <c r="Y74" i="41" s="1"/>
  <c r="Y100" i="41" s="1"/>
  <c r="X26" i="45"/>
  <c r="X40" i="41" s="1"/>
  <c r="X74" i="41" s="1"/>
  <c r="X100" i="41" s="1"/>
  <c r="AD26" i="45"/>
  <c r="AE26" i="45"/>
  <c r="AF26" i="45"/>
  <c r="X28" i="30"/>
  <c r="AC21" i="42" s="1"/>
  <c r="Z95" i="30"/>
  <c r="Y28" i="30"/>
  <c r="AD21" i="42" s="1"/>
  <c r="V260" i="44"/>
  <c r="V207" i="44"/>
  <c r="W191" i="44"/>
  <c r="W186" i="44"/>
  <c r="W188" i="44"/>
  <c r="W193" i="44"/>
  <c r="V206" i="44"/>
  <c r="V259" i="44"/>
  <c r="S258" i="44"/>
  <c r="W51" i="44" l="1"/>
  <c r="W138" i="44" s="1"/>
  <c r="W139" i="44" s="1"/>
  <c r="AA57" i="41"/>
  <c r="AA74" i="41" s="1"/>
  <c r="AA100" i="41" s="1"/>
  <c r="AR20" i="42"/>
  <c r="AE20" i="30"/>
  <c r="AF21" i="30" s="1"/>
  <c r="AC22" i="42"/>
  <c r="AD22" i="42"/>
  <c r="AQ20" i="42"/>
  <c r="W126" i="44"/>
  <c r="W277" i="44"/>
  <c r="W209" i="44"/>
  <c r="U128" i="44"/>
  <c r="U278" i="44"/>
  <c r="V128" i="44"/>
  <c r="V210" i="44" s="1"/>
  <c r="V278" i="44"/>
  <c r="V139" i="44"/>
  <c r="W125" i="44"/>
  <c r="W258" i="44"/>
  <c r="W124" i="44"/>
  <c r="Z28" i="30"/>
  <c r="AE21" i="42" s="1"/>
  <c r="Z96" i="30"/>
  <c r="Z26" i="45"/>
  <c r="Z40" i="41" s="1"/>
  <c r="Z74" i="41" s="1"/>
  <c r="Z100" i="41" s="1"/>
  <c r="AA37" i="30"/>
  <c r="R27" i="114" s="1"/>
  <c r="AF28" i="30"/>
  <c r="AK21" i="42" s="1"/>
  <c r="AF56" i="41" s="1"/>
  <c r="AF73" i="41" s="1"/>
  <c r="AF99" i="41" s="1"/>
  <c r="AJ96" i="30"/>
  <c r="AF36" i="30"/>
  <c r="AA28" i="30"/>
  <c r="AF21" i="42" s="1"/>
  <c r="AF22" i="42" s="1"/>
  <c r="AE96" i="30"/>
  <c r="AU20" i="42"/>
  <c r="AK19" i="42"/>
  <c r="AS19" i="42" s="1"/>
  <c r="AP15" i="30"/>
  <c r="AE19" i="42" s="1"/>
  <c r="Z20" i="30"/>
  <c r="AA21" i="30" s="1"/>
  <c r="Z24" i="30"/>
  <c r="F36" i="98"/>
  <c r="V70" i="98"/>
  <c r="AA93" i="117"/>
  <c r="AI27" i="45"/>
  <c r="AS20" i="42"/>
  <c r="AW20" i="42"/>
  <c r="AR19" i="42"/>
  <c r="AV19" i="42"/>
  <c r="AV20" i="42"/>
  <c r="AC26" i="45"/>
  <c r="AG25" i="45"/>
  <c r="AI21" i="42"/>
  <c r="AD27" i="45" s="1"/>
  <c r="AM21" i="42"/>
  <c r="AM22" i="42" s="1"/>
  <c r="AH22" i="42"/>
  <c r="AJ22" i="42"/>
  <c r="AL22" i="42"/>
  <c r="AI57" i="41"/>
  <c r="AI74" i="41" s="1"/>
  <c r="AI100" i="41" s="1"/>
  <c r="AO21" i="42"/>
  <c r="AJ27" i="45" s="1"/>
  <c r="AG57" i="41"/>
  <c r="AG74" i="41" s="1"/>
  <c r="AG100" i="41" s="1"/>
  <c r="AG22" i="42"/>
  <c r="AN22" i="42"/>
  <c r="AC57" i="41"/>
  <c r="AC74" i="41" s="1"/>
  <c r="AC100" i="41" s="1"/>
  <c r="AG26" i="45"/>
  <c r="AH55" i="41"/>
  <c r="AH72" i="41" s="1"/>
  <c r="AG55" i="41"/>
  <c r="AG72" i="41" s="1"/>
  <c r="V205" i="44"/>
  <c r="V273" i="44" s="1"/>
  <c r="AC55" i="41"/>
  <c r="AC72" i="41" s="1"/>
  <c r="AB55" i="41"/>
  <c r="AB72" i="41" s="1"/>
  <c r="AC25" i="45"/>
  <c r="AA55" i="41"/>
  <c r="AA72" i="41" s="1"/>
  <c r="AE55" i="41"/>
  <c r="AE72" i="41" s="1"/>
  <c r="AE25" i="45"/>
  <c r="AH25" i="45"/>
  <c r="AB25" i="45"/>
  <c r="AD63" i="117"/>
  <c r="AC70" i="117"/>
  <c r="AC93" i="117" s="1"/>
  <c r="Z46" i="86"/>
  <c r="Z47" i="86" s="1"/>
  <c r="AA63" i="116"/>
  <c r="AG27" i="45"/>
  <c r="AG56" i="41"/>
  <c r="AG73" i="41" s="1"/>
  <c r="AG99" i="41" s="1"/>
  <c r="AI55" i="41"/>
  <c r="AI72" i="41" s="1"/>
  <c r="AI25" i="45"/>
  <c r="AJ55" i="41"/>
  <c r="AJ72" i="41" s="1"/>
  <c r="AJ25" i="45"/>
  <c r="W128" i="44"/>
  <c r="U205" i="44"/>
  <c r="U122" i="44"/>
  <c r="T205" i="44"/>
  <c r="S205" i="44"/>
  <c r="AC25" i="86"/>
  <c r="AD25" i="86" s="1"/>
  <c r="AD25" i="45"/>
  <c r="AD55" i="41"/>
  <c r="X25" i="45"/>
  <c r="Y27" i="45"/>
  <c r="AC56" i="41"/>
  <c r="AC73" i="41" s="1"/>
  <c r="AC99" i="41" s="1"/>
  <c r="AE27" i="45"/>
  <c r="AC27" i="45"/>
  <c r="X27" i="45"/>
  <c r="X39" i="41" s="1"/>
  <c r="X73" i="41" s="1"/>
  <c r="X99" i="41" s="1"/>
  <c r="Z27" i="45"/>
  <c r="Z39" i="41" s="1"/>
  <c r="Z73" i="41" s="1"/>
  <c r="Z99" i="41" s="1"/>
  <c r="Y25" i="45"/>
  <c r="AA25" i="45"/>
  <c r="U72" i="41"/>
  <c r="U136" i="44" s="1"/>
  <c r="U51" i="44" s="1"/>
  <c r="U138" i="44" s="1"/>
  <c r="W206" i="44"/>
  <c r="W259" i="44"/>
  <c r="W207" i="44"/>
  <c r="W205" i="44"/>
  <c r="W273" i="44" s="1"/>
  <c r="W260" i="44"/>
  <c r="V258" i="44"/>
  <c r="T258" i="44"/>
  <c r="U166" i="44" l="1"/>
  <c r="AF25" i="45"/>
  <c r="AF55" i="41"/>
  <c r="AF27" i="45"/>
  <c r="AQ21" i="42"/>
  <c r="AU21" i="42"/>
  <c r="U210" i="44"/>
  <c r="V166" i="44"/>
  <c r="U139" i="44"/>
  <c r="AW21" i="42"/>
  <c r="AA56" i="41"/>
  <c r="AA73" i="41" s="1"/>
  <c r="AA99" i="41" s="1"/>
  <c r="AA27" i="45"/>
  <c r="AK22" i="42"/>
  <c r="AV21" i="42"/>
  <c r="AW19" i="42"/>
  <c r="AS21" i="42"/>
  <c r="AA102" i="98"/>
  <c r="AA103" i="98"/>
  <c r="AU19" i="42"/>
  <c r="AQ19" i="42"/>
  <c r="Z25" i="45"/>
  <c r="Z38" i="41" s="1"/>
  <c r="Z72" i="41" s="1"/>
  <c r="AR21" i="42"/>
  <c r="AE22" i="42"/>
  <c r="AI22" i="42"/>
  <c r="AR22" i="42" s="1"/>
  <c r="AO22" i="42"/>
  <c r="AJ56" i="41"/>
  <c r="AJ73" i="41" s="1"/>
  <c r="AJ99" i="41" s="1"/>
  <c r="AH56" i="41"/>
  <c r="AH73" i="41" s="1"/>
  <c r="AH99" i="41" s="1"/>
  <c r="AH27" i="45"/>
  <c r="AD56" i="41"/>
  <c r="AD73" i="41" s="1"/>
  <c r="AD99" i="41" s="1"/>
  <c r="X38" i="41"/>
  <c r="X72" i="41" s="1"/>
  <c r="Y39" i="41"/>
  <c r="Y73" i="41" s="1"/>
  <c r="Y99" i="41" s="1"/>
  <c r="Y38" i="41"/>
  <c r="Y72" i="41" s="1"/>
  <c r="AD70" i="117"/>
  <c r="AD93" i="117" s="1"/>
  <c r="AE63" i="117"/>
  <c r="Z13" i="86"/>
  <c r="AA70" i="116"/>
  <c r="AB63" i="116"/>
  <c r="AA46" i="86"/>
  <c r="U258" i="44"/>
  <c r="AB27" i="45"/>
  <c r="AB56" i="41"/>
  <c r="AB73" i="41" s="1"/>
  <c r="AB99" i="41" s="1"/>
  <c r="AF72" i="41"/>
  <c r="AD72" i="41"/>
  <c r="W166" i="44"/>
  <c r="W210" i="44"/>
  <c r="AW22" i="42" l="1"/>
  <c r="AQ22" i="42"/>
  <c r="AU22" i="42"/>
  <c r="AA93" i="116"/>
  <c r="AS22" i="42"/>
  <c r="AV22" i="42"/>
  <c r="AE70" i="117"/>
  <c r="AE93" i="117" s="1"/>
  <c r="AF63" i="117"/>
  <c r="AA47" i="86"/>
  <c r="AA11" i="86"/>
  <c r="AA13" i="86"/>
  <c r="AB70" i="116"/>
  <c r="AB93" i="116" s="1"/>
  <c r="AB102" i="116" s="1"/>
  <c r="AB46" i="86"/>
  <c r="AC63" i="116"/>
  <c r="AA102" i="116" l="1"/>
  <c r="AE71" i="117"/>
  <c r="AE94" i="117"/>
  <c r="AF70" i="117"/>
  <c r="AG63" i="117"/>
  <c r="AC70" i="116"/>
  <c r="AC93" i="116" s="1"/>
  <c r="AC102" i="116" s="1"/>
  <c r="AD63" i="116"/>
  <c r="AC46" i="86"/>
  <c r="AC13" i="86" s="1"/>
  <c r="AB11" i="86"/>
  <c r="AB47" i="86"/>
  <c r="AB13" i="86"/>
  <c r="U17" i="45"/>
  <c r="V17" i="45"/>
  <c r="AF93" i="117" l="1"/>
  <c r="AG70" i="117"/>
  <c r="AG93" i="117" s="1"/>
  <c r="AH63" i="117"/>
  <c r="AC47" i="86"/>
  <c r="AC11" i="86"/>
  <c r="AD46" i="86"/>
  <c r="AE63" i="116"/>
  <c r="AD70" i="116"/>
  <c r="AD93" i="116" s="1"/>
  <c r="AD102" i="116" s="1"/>
  <c r="U29" i="45"/>
  <c r="U30" i="45" s="1"/>
  <c r="U41" i="41"/>
  <c r="U75" i="41" s="1"/>
  <c r="U78" i="41" s="1"/>
  <c r="V29" i="45"/>
  <c r="V41" i="41"/>
  <c r="S242" i="44"/>
  <c r="AH70" i="117" l="1"/>
  <c r="AH93" i="117" s="1"/>
  <c r="AI63" i="117"/>
  <c r="AE46" i="86"/>
  <c r="AE70" i="116"/>
  <c r="AE93" i="116" s="1"/>
  <c r="AE102" i="116" s="1"/>
  <c r="AE103" i="116" s="1"/>
  <c r="AF63" i="116"/>
  <c r="AD13" i="86"/>
  <c r="AD11" i="86"/>
  <c r="AD47" i="86"/>
  <c r="V75" i="41"/>
  <c r="V49" i="41"/>
  <c r="U12" i="45"/>
  <c r="V71" i="41"/>
  <c r="W17" i="45"/>
  <c r="AE94" i="116" l="1"/>
  <c r="AE71" i="116"/>
  <c r="AJ63" i="117"/>
  <c r="AJ70" i="117" s="1"/>
  <c r="AJ93" i="117" s="1"/>
  <c r="AI70" i="117"/>
  <c r="AI93" i="117" s="1"/>
  <c r="AE47" i="86"/>
  <c r="AE11" i="86"/>
  <c r="H11" i="86" s="1"/>
  <c r="AE13" i="86"/>
  <c r="H13" i="86" s="1"/>
  <c r="AF70" i="116"/>
  <c r="AG63" i="116"/>
  <c r="AF46" i="86"/>
  <c r="V78" i="41"/>
  <c r="W71" i="41" s="1"/>
  <c r="U43" i="41"/>
  <c r="U45" i="41" s="1"/>
  <c r="U103" i="41" s="1"/>
  <c r="U104" i="41" s="1"/>
  <c r="V24" i="45"/>
  <c r="V30" i="45" s="1"/>
  <c r="U79" i="41"/>
  <c r="W41" i="41"/>
  <c r="U13" i="45"/>
  <c r="W29" i="45"/>
  <c r="T242" i="44"/>
  <c r="U114" i="41" l="1"/>
  <c r="U298" i="44"/>
  <c r="U81" i="41"/>
  <c r="U80" i="41"/>
  <c r="L47" i="114" s="1"/>
  <c r="AF93" i="116"/>
  <c r="AF102" i="116" s="1"/>
  <c r="AJ71" i="117"/>
  <c r="AJ94" i="117"/>
  <c r="AF11" i="86"/>
  <c r="AF47" i="86"/>
  <c r="AF13" i="86"/>
  <c r="AH63" i="116"/>
  <c r="AG46" i="86"/>
  <c r="AG11" i="86" s="1"/>
  <c r="AG70" i="116"/>
  <c r="AG93" i="116" s="1"/>
  <c r="AG102" i="116" s="1"/>
  <c r="W75" i="41"/>
  <c r="W49" i="41"/>
  <c r="W24" i="45"/>
  <c r="V37" i="41"/>
  <c r="V91" i="98" s="1"/>
  <c r="V93" i="98" s="1"/>
  <c r="V12" i="45"/>
  <c r="U242" i="44"/>
  <c r="U289" i="44" l="1"/>
  <c r="U291" i="44" s="1"/>
  <c r="U281" i="44"/>
  <c r="U116" i="41"/>
  <c r="U117" i="41" s="1"/>
  <c r="U118" i="41" s="1"/>
  <c r="U120" i="41" s="1"/>
  <c r="W37" i="41"/>
  <c r="W91" i="98" s="1"/>
  <c r="W93" i="98" s="1"/>
  <c r="W30" i="45"/>
  <c r="AH70" i="116"/>
  <c r="AH93" i="116" s="1"/>
  <c r="AH102" i="116" s="1"/>
  <c r="AH46" i="86"/>
  <c r="AI63" i="116"/>
  <c r="AG13" i="86"/>
  <c r="AG47" i="86"/>
  <c r="V43" i="41"/>
  <c r="V45" i="41" s="1"/>
  <c r="V103" i="41" s="1"/>
  <c r="V104" i="41" s="1"/>
  <c r="W31" i="45"/>
  <c r="W78" i="41"/>
  <c r="X71" i="41" s="1"/>
  <c r="W12" i="45"/>
  <c r="V79" i="41"/>
  <c r="V13" i="45"/>
  <c r="AA54" i="41"/>
  <c r="AA92" i="98" s="1"/>
  <c r="U49" i="41"/>
  <c r="V114" i="41" l="1"/>
  <c r="V298" i="44"/>
  <c r="U279" i="44"/>
  <c r="U283" i="44" s="1"/>
  <c r="U122" i="41"/>
  <c r="V81" i="41"/>
  <c r="V80" i="41"/>
  <c r="M47" i="114" s="1"/>
  <c r="V242" i="44"/>
  <c r="W43" i="41"/>
  <c r="W45" i="41" s="1"/>
  <c r="W103" i="41" s="1"/>
  <c r="W104" i="41" s="1"/>
  <c r="AJ63" i="116"/>
  <c r="AI46" i="86"/>
  <c r="AI70" i="116"/>
  <c r="AI93" i="116" s="1"/>
  <c r="AH13" i="86"/>
  <c r="AH11" i="86"/>
  <c r="AH47" i="86"/>
  <c r="X24" i="45"/>
  <c r="AA60" i="41"/>
  <c r="AB54" i="41" s="1"/>
  <c r="AB92" i="98" s="1"/>
  <c r="U307" i="44" l="1"/>
  <c r="U313" i="44" s="1"/>
  <c r="U297" i="44"/>
  <c r="U288" i="44"/>
  <c r="W114" i="41"/>
  <c r="W298" i="44"/>
  <c r="V289" i="44"/>
  <c r="V291" i="44" s="1"/>
  <c r="V281" i="44"/>
  <c r="V116" i="41"/>
  <c r="V117" i="41" s="1"/>
  <c r="V118" i="41" s="1"/>
  <c r="V120" i="41" s="1"/>
  <c r="AI102" i="116"/>
  <c r="X37" i="41"/>
  <c r="X91" i="98" s="1"/>
  <c r="X93" i="98" s="1"/>
  <c r="AI13" i="86"/>
  <c r="AI11" i="86"/>
  <c r="AI47" i="86"/>
  <c r="AJ70" i="116"/>
  <c r="AJ46" i="86"/>
  <c r="W79" i="41"/>
  <c r="W13" i="45"/>
  <c r="AA62" i="41"/>
  <c r="AB60" i="41"/>
  <c r="AC54" i="41" s="1"/>
  <c r="AC92" i="98" s="1"/>
  <c r="U302" i="44" l="1"/>
  <c r="U303" i="44" s="1"/>
  <c r="L64" i="114" s="1"/>
  <c r="U314" i="44"/>
  <c r="L67" i="114" s="1"/>
  <c r="U293" i="44"/>
  <c r="U294" i="44" s="1"/>
  <c r="L63" i="114" s="1"/>
  <c r="W289" i="44"/>
  <c r="W291" i="44" s="1"/>
  <c r="W281" i="44"/>
  <c r="W116" i="41"/>
  <c r="W117" i="41" s="1"/>
  <c r="W118" i="41" s="1"/>
  <c r="W120" i="41" s="1"/>
  <c r="V122" i="41"/>
  <c r="V279" i="44"/>
  <c r="V283" i="44" s="1"/>
  <c r="W80" i="41"/>
  <c r="N47" i="114" s="1"/>
  <c r="AJ93" i="116"/>
  <c r="AJ71" i="116"/>
  <c r="X43" i="41"/>
  <c r="X45" i="41" s="1"/>
  <c r="X103" i="41" s="1"/>
  <c r="X104" i="41" s="1"/>
  <c r="AJ13" i="86"/>
  <c r="AJ11" i="86"/>
  <c r="AJ47" i="86"/>
  <c r="X12" i="45"/>
  <c r="W81" i="41"/>
  <c r="AB62" i="41"/>
  <c r="AC60" i="41"/>
  <c r="AD54" i="41" s="1"/>
  <c r="AD92" i="98" s="1"/>
  <c r="W122" i="41" l="1"/>
  <c r="W279" i="44"/>
  <c r="W283" i="44" s="1"/>
  <c r="V297" i="44"/>
  <c r="V307" i="44"/>
  <c r="V313" i="44" s="1"/>
  <c r="V288" i="44"/>
  <c r="AJ102" i="116"/>
  <c r="AJ94" i="116"/>
  <c r="W242" i="44"/>
  <c r="X75" i="41"/>
  <c r="X78" i="41" s="1"/>
  <c r="Y71" i="41" s="1"/>
  <c r="Y75" i="41"/>
  <c r="AC62" i="41"/>
  <c r="AD60" i="41"/>
  <c r="AE54" i="41" s="1"/>
  <c r="AE92" i="98" s="1"/>
  <c r="V302" i="44" l="1"/>
  <c r="V303" i="44" s="1"/>
  <c r="M64" i="114" s="1"/>
  <c r="V314" i="44"/>
  <c r="M67" i="114" s="1"/>
  <c r="V293" i="44"/>
  <c r="V294" i="44" s="1"/>
  <c r="M63" i="114" s="1"/>
  <c r="W307" i="44"/>
  <c r="W313" i="44" s="1"/>
  <c r="W297" i="44"/>
  <c r="W288" i="44"/>
  <c r="AJ103" i="116"/>
  <c r="X29" i="45"/>
  <c r="X30" i="45" s="1"/>
  <c r="Y78" i="41"/>
  <c r="Z71" i="41" s="1"/>
  <c r="Y29" i="45"/>
  <c r="AD62" i="41"/>
  <c r="AE60" i="41"/>
  <c r="AF54" i="41" s="1"/>
  <c r="AF92" i="98" s="1"/>
  <c r="W302" i="44" l="1"/>
  <c r="W303" i="44" s="1"/>
  <c r="N64" i="114" s="1"/>
  <c r="W314" i="44"/>
  <c r="N67" i="114" s="1"/>
  <c r="W293" i="44"/>
  <c r="W294" i="44" s="1"/>
  <c r="N63" i="114" s="1"/>
  <c r="Y24" i="45"/>
  <c r="X13" i="45"/>
  <c r="X79" i="41"/>
  <c r="AE62" i="41"/>
  <c r="X81" i="41" l="1"/>
  <c r="X80" i="41"/>
  <c r="Y37" i="41"/>
  <c r="Y91" i="98" s="1"/>
  <c r="Y93" i="98" s="1"/>
  <c r="Y30" i="45"/>
  <c r="Y12" i="45"/>
  <c r="O47" i="114"/>
  <c r="Y43" i="41" l="1"/>
  <c r="Y45" i="41" s="1"/>
  <c r="Y103" i="41" s="1"/>
  <c r="Y104" i="41" s="1"/>
  <c r="Z24" i="45"/>
  <c r="Y13" i="45"/>
  <c r="Y79" i="41"/>
  <c r="S187" i="44"/>
  <c r="S189" i="44" s="1"/>
  <c r="Y80" i="41" l="1"/>
  <c r="P47" i="114" s="1"/>
  <c r="Z12" i="45"/>
  <c r="Z37" i="41"/>
  <c r="Y81" i="41"/>
  <c r="S192" i="44"/>
  <c r="S195" i="44" s="1"/>
  <c r="S241" i="44"/>
  <c r="S250" i="44"/>
  <c r="Z91" i="98" l="1"/>
  <c r="Z93" i="98" s="1"/>
  <c r="Z17" i="45"/>
  <c r="S240" i="44"/>
  <c r="S244" i="44" s="1"/>
  <c r="S248" i="44"/>
  <c r="S212" i="44"/>
  <c r="S222" i="44" s="1"/>
  <c r="Z41" i="41" l="1"/>
  <c r="Z49" i="41" s="1"/>
  <c r="V71" i="98"/>
  <c r="Z29" i="45"/>
  <c r="Z30" i="45" s="1"/>
  <c r="S213" i="44"/>
  <c r="S221" i="44" s="1"/>
  <c r="S223" i="44" s="1"/>
  <c r="AA45" i="45" l="1"/>
  <c r="AA53" i="45"/>
  <c r="AA54" i="45"/>
  <c r="AA41" i="45"/>
  <c r="AA52" i="45"/>
  <c r="AA42" i="45"/>
  <c r="AA43" i="45"/>
  <c r="AA51" i="45"/>
  <c r="AA50" i="45"/>
  <c r="AA46" i="45"/>
  <c r="AA48" i="45"/>
  <c r="AA47" i="45"/>
  <c r="AA44" i="45"/>
  <c r="AA49" i="45"/>
  <c r="Z75" i="41"/>
  <c r="Z78" i="41" s="1"/>
  <c r="AA71" i="41" s="1"/>
  <c r="Z43" i="41"/>
  <c r="Z45" i="41" s="1"/>
  <c r="Z103" i="41" s="1"/>
  <c r="Z104" i="41" s="1"/>
  <c r="AB42" i="45" l="1"/>
  <c r="AC42" i="45"/>
  <c r="AD42" i="45"/>
  <c r="AE42" i="45" s="1"/>
  <c r="AF42" i="45"/>
  <c r="AG42" i="45" s="1"/>
  <c r="AH42" i="45" s="1"/>
  <c r="AI42" i="45" s="1"/>
  <c r="AJ42" i="45" s="1"/>
  <c r="AB49" i="45"/>
  <c r="AC49" i="45" s="1"/>
  <c r="AD49" i="45"/>
  <c r="AE49" i="45"/>
  <c r="AF49" i="45"/>
  <c r="AG49" i="45" s="1"/>
  <c r="AH49" i="45" s="1"/>
  <c r="AI49" i="45" s="1"/>
  <c r="AJ49" i="45" s="1"/>
  <c r="AB44" i="45"/>
  <c r="AC44" i="45" s="1"/>
  <c r="AD44" i="45"/>
  <c r="AE44" i="45" s="1"/>
  <c r="AF44" i="45" s="1"/>
  <c r="AB47" i="45"/>
  <c r="AC47" i="45"/>
  <c r="AD47" i="45"/>
  <c r="AE47" i="45"/>
  <c r="AF47" i="45" s="1"/>
  <c r="AG47" i="45"/>
  <c r="AH47" i="45" s="1"/>
  <c r="AI47" i="45" s="1"/>
  <c r="AJ47" i="45" s="1"/>
  <c r="AB48" i="45"/>
  <c r="AC48" i="45"/>
  <c r="AD48" i="45" s="1"/>
  <c r="AE48" i="45"/>
  <c r="AF48" i="45" s="1"/>
  <c r="AG48" i="45" s="1"/>
  <c r="AH48" i="45" s="1"/>
  <c r="AB46" i="45"/>
  <c r="AE46" i="45" s="1"/>
  <c r="AC46" i="45"/>
  <c r="AD46" i="45" s="1"/>
  <c r="AB50" i="45"/>
  <c r="AC50" i="45" s="1"/>
  <c r="AB51" i="45"/>
  <c r="AC51" i="45"/>
  <c r="AD51" i="45"/>
  <c r="AE51" i="45" s="1"/>
  <c r="AB43" i="45"/>
  <c r="AC43" i="45"/>
  <c r="AD43" i="45"/>
  <c r="AE43" i="45" s="1"/>
  <c r="AF43" i="45"/>
  <c r="AG43" i="45" s="1"/>
  <c r="AH43" i="45"/>
  <c r="AI43" i="45" s="1"/>
  <c r="AB52" i="45"/>
  <c r="AB41" i="45"/>
  <c r="AC41" i="45"/>
  <c r="AD41" i="45" s="1"/>
  <c r="AB54" i="45"/>
  <c r="AC54" i="45" s="1"/>
  <c r="AD54" i="45" s="1"/>
  <c r="AB53" i="45"/>
  <c r="AD53" i="45" s="1"/>
  <c r="AC53" i="45"/>
  <c r="AB45" i="45"/>
  <c r="AC45" i="45"/>
  <c r="AD45" i="45" s="1"/>
  <c r="AE45" i="45"/>
  <c r="AG45" i="45" s="1"/>
  <c r="AH45" i="45" s="1"/>
  <c r="AF45" i="45"/>
  <c r="G84" i="45"/>
  <c r="Q30" i="114" s="1"/>
  <c r="Z79" i="41"/>
  <c r="Z13" i="45"/>
  <c r="AA24" i="45"/>
  <c r="AA37" i="41"/>
  <c r="AA91" i="98" s="1"/>
  <c r="AA93" i="98" s="1"/>
  <c r="AF51" i="45" l="1"/>
  <c r="AG51" i="45"/>
  <c r="AG44" i="45"/>
  <c r="AH44" i="45" s="1"/>
  <c r="AI44" i="45" s="1"/>
  <c r="AJ44" i="45" s="1"/>
  <c r="AH51" i="45"/>
  <c r="AI51" i="45" s="1"/>
  <c r="AD50" i="45"/>
  <c r="AG50" i="45" s="1"/>
  <c r="AE50" i="45"/>
  <c r="AF50" i="45" s="1"/>
  <c r="AF46" i="45"/>
  <c r="AG46" i="45" s="1"/>
  <c r="AH46" i="45" s="1"/>
  <c r="AI46" i="45" s="1"/>
  <c r="AE54" i="45"/>
  <c r="AF54" i="45" s="1"/>
  <c r="AC52" i="45"/>
  <c r="AD52" i="45" s="1"/>
  <c r="AI48" i="45"/>
  <c r="AJ48" i="45" s="1"/>
  <c r="AI45" i="45"/>
  <c r="AJ45" i="45" s="1"/>
  <c r="AJ43" i="45"/>
  <c r="AE41" i="45"/>
  <c r="AE53" i="45"/>
  <c r="AJ51" i="45"/>
  <c r="AJ46" i="45"/>
  <c r="Z80" i="41"/>
  <c r="Q47" i="114" s="1"/>
  <c r="G85" i="45"/>
  <c r="Z81" i="41"/>
  <c r="AA12" i="45"/>
  <c r="S211" i="44"/>
  <c r="S215" i="44" s="1"/>
  <c r="AE52" i="45" l="1"/>
  <c r="AF52" i="45" s="1"/>
  <c r="AF53" i="45"/>
  <c r="AG53" i="45" s="1"/>
  <c r="AH53" i="45" s="1"/>
  <c r="AI53" i="45" s="1"/>
  <c r="AG54" i="45"/>
  <c r="AH54" i="45" s="1"/>
  <c r="AI54" i="45" s="1"/>
  <c r="AJ54" i="45" s="1"/>
  <c r="AF41" i="45"/>
  <c r="AG41" i="45" s="1"/>
  <c r="AH50" i="45"/>
  <c r="AI50" i="45" s="1"/>
  <c r="AJ50" i="45" s="1"/>
  <c r="AA82" i="45"/>
  <c r="AA15" i="45" s="1"/>
  <c r="S257" i="44"/>
  <c r="S220" i="44"/>
  <c r="S225" i="44" s="1"/>
  <c r="S247" i="44"/>
  <c r="S253" i="44" s="1"/>
  <c r="S256" i="44"/>
  <c r="AH41" i="45" l="1"/>
  <c r="AI41" i="45" s="1"/>
  <c r="AJ41" i="45"/>
  <c r="AG52" i="45"/>
  <c r="AH52" i="45" s="1"/>
  <c r="AI52" i="45"/>
  <c r="AJ52" i="45" s="1"/>
  <c r="AJ53" i="45"/>
  <c r="AA41" i="41"/>
  <c r="AF28" i="42"/>
  <c r="AA17" i="45"/>
  <c r="S262" i="44"/>
  <c r="AF30" i="42" l="1"/>
  <c r="AA75" i="41"/>
  <c r="AA78" i="41" s="1"/>
  <c r="AA43" i="41"/>
  <c r="AA17" i="41"/>
  <c r="AA29" i="45"/>
  <c r="T187" i="44"/>
  <c r="T189" i="44" s="1"/>
  <c r="AA30" i="45" l="1"/>
  <c r="AB71" i="41"/>
  <c r="AA45" i="41"/>
  <c r="AB37" i="41"/>
  <c r="T192" i="44"/>
  <c r="T195" i="44" s="1"/>
  <c r="T250" i="44"/>
  <c r="T241" i="44"/>
  <c r="AA103" i="41" l="1"/>
  <c r="AA104" i="41" s="1"/>
  <c r="AA79" i="41"/>
  <c r="AA13" i="45"/>
  <c r="AB24" i="45"/>
  <c r="AB91" i="98"/>
  <c r="AB93" i="98" s="1"/>
  <c r="T212" i="44"/>
  <c r="T222" i="44" s="1"/>
  <c r="T240" i="44"/>
  <c r="T244" i="44" s="1"/>
  <c r="T248" i="44"/>
  <c r="AB82" i="45" l="1"/>
  <c r="AB15" i="45" s="1"/>
  <c r="AG28" i="42" s="1"/>
  <c r="AA80" i="41"/>
  <c r="R47" i="114" s="1"/>
  <c r="AA81" i="41"/>
  <c r="AB12" i="45"/>
  <c r="T213" i="44"/>
  <c r="T221" i="44" s="1"/>
  <c r="T223" i="44" s="1"/>
  <c r="AB41" i="41" l="1"/>
  <c r="AB17" i="45"/>
  <c r="AB17" i="41" s="1"/>
  <c r="AC82" i="45"/>
  <c r="AC15" i="45" s="1"/>
  <c r="AC41" i="41" s="1"/>
  <c r="AC75" i="41" s="1"/>
  <c r="AB75" i="41"/>
  <c r="AB78" i="41" s="1"/>
  <c r="AC71" i="41" s="1"/>
  <c r="AB43" i="41"/>
  <c r="AG30" i="42"/>
  <c r="AB29" i="45" l="1"/>
  <c r="AB30" i="45" s="1"/>
  <c r="AC24" i="45" s="1"/>
  <c r="AC12" i="45" s="1"/>
  <c r="AC78" i="41"/>
  <c r="AD71" i="41" s="1"/>
  <c r="AH28" i="42"/>
  <c r="AH30" i="42" s="1"/>
  <c r="AD82" i="45"/>
  <c r="AD15" i="45" s="1"/>
  <c r="AC17" i="45"/>
  <c r="AB45" i="41"/>
  <c r="AB103" i="41" s="1"/>
  <c r="AB104" i="41" s="1"/>
  <c r="AC37" i="41"/>
  <c r="T211" i="44"/>
  <c r="T215" i="44" s="1"/>
  <c r="AB79" i="41" l="1"/>
  <c r="AB81" i="41" s="1"/>
  <c r="AB13" i="45"/>
  <c r="AE82" i="45"/>
  <c r="AE15" i="45" s="1"/>
  <c r="AI28" i="42"/>
  <c r="AI30" i="42" s="1"/>
  <c r="AD17" i="45"/>
  <c r="AD41" i="41"/>
  <c r="AD75" i="41" s="1"/>
  <c r="AD78" i="41" s="1"/>
  <c r="AE71" i="41" s="1"/>
  <c r="AC17" i="41"/>
  <c r="AC29" i="45"/>
  <c r="AC30" i="45" s="1"/>
  <c r="AC13" i="45" s="1"/>
  <c r="AC43" i="41"/>
  <c r="AD37" i="41" s="1"/>
  <c r="AC91" i="98"/>
  <c r="AC93" i="98" s="1"/>
  <c r="T256" i="44"/>
  <c r="T247" i="44"/>
  <c r="T253" i="44" s="1"/>
  <c r="T220" i="44"/>
  <c r="T225" i="44" s="1"/>
  <c r="T257" i="44"/>
  <c r="AB80" i="41" l="1"/>
  <c r="S47" i="114" s="1"/>
  <c r="AD43" i="41"/>
  <c r="AE37" i="41" s="1"/>
  <c r="AE91" i="98" s="1"/>
  <c r="AE93" i="98" s="1"/>
  <c r="AC79" i="41"/>
  <c r="AC80" i="41" s="1"/>
  <c r="T47" i="114" s="1"/>
  <c r="AD24" i="45"/>
  <c r="AD12" i="45" s="1"/>
  <c r="AD17" i="41"/>
  <c r="AD29" i="45"/>
  <c r="AF82" i="45"/>
  <c r="AF15" i="45" s="1"/>
  <c r="AJ28" i="42"/>
  <c r="AR28" i="42" s="1"/>
  <c r="AE17" i="45"/>
  <c r="W71" i="98" s="1"/>
  <c r="AE41" i="41"/>
  <c r="AE75" i="41" s="1"/>
  <c r="AE78" i="41" s="1"/>
  <c r="AF71" i="41" s="1"/>
  <c r="AD91" i="98"/>
  <c r="AD93" i="98" s="1"/>
  <c r="AC45" i="41"/>
  <c r="AC103" i="41" s="1"/>
  <c r="AC104" i="41" s="1"/>
  <c r="T262" i="44"/>
  <c r="AD45" i="41" l="1"/>
  <c r="AC81" i="41"/>
  <c r="AD30" i="45"/>
  <c r="AD13" i="45" s="1"/>
  <c r="AE43" i="41"/>
  <c r="AF37" i="41" s="1"/>
  <c r="AF91" i="98" s="1"/>
  <c r="AF93" i="98" s="1"/>
  <c r="AG82" i="45"/>
  <c r="AG15" i="45" s="1"/>
  <c r="AK28" i="42"/>
  <c r="AF41" i="41"/>
  <c r="AE17" i="41"/>
  <c r="D20" i="98" s="1"/>
  <c r="AE29" i="45"/>
  <c r="AJ30" i="42"/>
  <c r="AV28" i="42"/>
  <c r="AD103" i="41"/>
  <c r="AD104" i="41" s="1"/>
  <c r="U187" i="44"/>
  <c r="U251" i="44" s="1"/>
  <c r="AE45" i="41" l="1"/>
  <c r="AE103" i="41" s="1"/>
  <c r="AE104" i="41" s="1"/>
  <c r="AF43" i="41"/>
  <c r="AG37" i="41" s="1"/>
  <c r="AG91" i="98" s="1"/>
  <c r="AD79" i="41"/>
  <c r="AD81" i="41" s="1"/>
  <c r="AE24" i="45"/>
  <c r="AE12" i="45" s="1"/>
  <c r="AH82" i="45"/>
  <c r="AH15" i="45" s="1"/>
  <c r="AV30" i="42"/>
  <c r="AR30" i="42"/>
  <c r="AL28" i="42"/>
  <c r="AG41" i="41"/>
  <c r="U189" i="44"/>
  <c r="U232" i="44"/>
  <c r="U192" i="44"/>
  <c r="U241" i="44"/>
  <c r="U249" i="44" l="1"/>
  <c r="U61" i="44"/>
  <c r="U194" i="44" s="1"/>
  <c r="AF45" i="41"/>
  <c r="AG43" i="41"/>
  <c r="AH37" i="41" s="1"/>
  <c r="AH91" i="98" s="1"/>
  <c r="AE30" i="45"/>
  <c r="AF24" i="45" s="1"/>
  <c r="AF12" i="45" s="1"/>
  <c r="AD80" i="41"/>
  <c r="U47" i="114" s="1"/>
  <c r="AI82" i="45"/>
  <c r="AI15" i="45" s="1"/>
  <c r="AJ82" i="45"/>
  <c r="AJ15" i="45" s="1"/>
  <c r="AM28" i="42"/>
  <c r="AH41" i="41"/>
  <c r="AH43" i="41" s="1"/>
  <c r="U195" i="44"/>
  <c r="U230" i="44"/>
  <c r="U88" i="44"/>
  <c r="U212" i="44"/>
  <c r="U222" i="44" s="1"/>
  <c r="U130" i="44"/>
  <c r="U240" i="44"/>
  <c r="U244" i="44" s="1"/>
  <c r="AG45" i="41" l="1"/>
  <c r="AE79" i="41"/>
  <c r="AE80" i="41" s="1"/>
  <c r="V47" i="114" s="1"/>
  <c r="AE13" i="45"/>
  <c r="AI41" i="41"/>
  <c r="AN28" i="42"/>
  <c r="AO28" i="42"/>
  <c r="AJ41" i="41"/>
  <c r="U245" i="44"/>
  <c r="L57" i="114" s="1"/>
  <c r="AH45" i="41"/>
  <c r="AI37" i="41"/>
  <c r="U131" i="44"/>
  <c r="U167" i="44"/>
  <c r="U98" i="44"/>
  <c r="U101" i="44" s="1"/>
  <c r="U213" i="44"/>
  <c r="U221" i="44" s="1"/>
  <c r="U223" i="44" s="1"/>
  <c r="U165" i="44"/>
  <c r="U92" i="44"/>
  <c r="U172" i="44" l="1"/>
  <c r="U174" i="44" s="1"/>
  <c r="AE81" i="41"/>
  <c r="AS28" i="42"/>
  <c r="AW28" i="42"/>
  <c r="AI91" i="98"/>
  <c r="AI43" i="41"/>
  <c r="U103" i="44"/>
  <c r="AI45" i="41" l="1"/>
  <c r="AJ37" i="41"/>
  <c r="U105" i="44"/>
  <c r="U107" i="44"/>
  <c r="U109" i="44" s="1"/>
  <c r="U248" i="44" s="1"/>
  <c r="U211" i="44"/>
  <c r="U129" i="44"/>
  <c r="U41" i="44" l="1"/>
  <c r="U132" i="44" s="1"/>
  <c r="U208" i="44" s="1"/>
  <c r="U215" i="44" s="1"/>
  <c r="AJ91" i="98"/>
  <c r="AJ43" i="41"/>
  <c r="AJ45" i="41" s="1"/>
  <c r="U257" i="44"/>
  <c r="U141" i="44"/>
  <c r="U111" i="44"/>
  <c r="U220" i="44" l="1"/>
  <c r="U225" i="44" s="1"/>
  <c r="U226" i="44" s="1"/>
  <c r="L53" i="114" s="1"/>
  <c r="U229" i="44"/>
  <c r="U234" i="44" s="1"/>
  <c r="U235" i="44" s="1"/>
  <c r="L54" i="114" s="1"/>
  <c r="U247" i="44"/>
  <c r="U253" i="44" s="1"/>
  <c r="U254" i="44" s="1"/>
  <c r="L58" i="114" s="1"/>
  <c r="U256" i="44"/>
  <c r="U262" i="44" s="1"/>
  <c r="U263" i="44" s="1"/>
  <c r="L59" i="114" s="1"/>
  <c r="U133" i="44"/>
  <c r="U143" i="44" s="1"/>
  <c r="U156" i="44" s="1"/>
  <c r="U157" i="44" s="1"/>
  <c r="V155" i="44" s="1"/>
  <c r="V187" i="44" l="1"/>
  <c r="V251" i="44" s="1"/>
  <c r="U160" i="44"/>
  <c r="U161" i="44" s="1"/>
  <c r="V159" i="44" s="1"/>
  <c r="V189" i="44" l="1"/>
  <c r="V88" i="44" s="1"/>
  <c r="V92" i="44" s="1"/>
  <c r="V232" i="44"/>
  <c r="V192" i="44"/>
  <c r="V61" i="44" s="1"/>
  <c r="V194" i="44" s="1"/>
  <c r="V241" i="44"/>
  <c r="V130" i="44" l="1"/>
  <c r="V249" i="44"/>
  <c r="V195" i="44"/>
  <c r="V98" i="44" s="1"/>
  <c r="V101" i="44" s="1"/>
  <c r="V103" i="44" s="1"/>
  <c r="V107" i="44" s="1"/>
  <c r="V230" i="44"/>
  <c r="V212" i="44"/>
  <c r="V222" i="44" s="1"/>
  <c r="V240" i="44"/>
  <c r="V244" i="44" s="1"/>
  <c r="V131" i="44" l="1"/>
  <c r="V245" i="44"/>
  <c r="M57" i="114" s="1"/>
  <c r="V105" i="44"/>
  <c r="V167" i="44"/>
  <c r="V213" i="44"/>
  <c r="V221" i="44" s="1"/>
  <c r="V223" i="44" s="1"/>
  <c r="V165" i="44"/>
  <c r="V172" i="44" l="1"/>
  <c r="V174" i="44" s="1"/>
  <c r="V129" i="44" s="1"/>
  <c r="V41" i="44" l="1"/>
  <c r="V132" i="44" s="1"/>
  <c r="V208" i="44" s="1"/>
  <c r="W169" i="44"/>
  <c r="V109" i="44"/>
  <c r="V248" i="44" s="1"/>
  <c r="V211" i="44"/>
  <c r="V215" i="44" l="1"/>
  <c r="V247" i="44" s="1"/>
  <c r="V253" i="44" s="1"/>
  <c r="V133" i="44"/>
  <c r="V257" i="44"/>
  <c r="V141" i="44"/>
  <c r="V111" i="44"/>
  <c r="V256" i="44" l="1"/>
  <c r="V262" i="44" s="1"/>
  <c r="V263" i="44" s="1"/>
  <c r="M59" i="114" s="1"/>
  <c r="V220" i="44"/>
  <c r="V225" i="44" s="1"/>
  <c r="D101" i="98" s="1"/>
  <c r="V229" i="44"/>
  <c r="V234" i="44" s="1"/>
  <c r="V235" i="44" s="1"/>
  <c r="M54" i="114" s="1"/>
  <c r="V143" i="44"/>
  <c r="V156" i="44" s="1"/>
  <c r="V157" i="44" s="1"/>
  <c r="W155" i="44" s="1"/>
  <c r="W187" i="44" s="1"/>
  <c r="W251" i="44" s="1"/>
  <c r="V254" i="44"/>
  <c r="M58" i="114" s="1"/>
  <c r="V226" i="44" l="1"/>
  <c r="M53" i="114" s="1"/>
  <c r="V160" i="44"/>
  <c r="V161" i="44" s="1"/>
  <c r="W159" i="44" s="1"/>
  <c r="W192" i="44" s="1"/>
  <c r="W61" i="44" s="1"/>
  <c r="W194" i="44" s="1"/>
  <c r="W189" i="44"/>
  <c r="W130" i="44" s="1"/>
  <c r="W232" i="44"/>
  <c r="D105" i="98"/>
  <c r="W241" i="44"/>
  <c r="W88" i="44" l="1"/>
  <c r="W92" i="44" s="1"/>
  <c r="W249" i="44"/>
  <c r="W195" i="44"/>
  <c r="W98" i="44" s="1"/>
  <c r="W101" i="44" s="1"/>
  <c r="W230" i="44"/>
  <c r="W212" i="44"/>
  <c r="W222" i="44" s="1"/>
  <c r="W240" i="44"/>
  <c r="W244" i="44" s="1"/>
  <c r="W103" i="44" l="1"/>
  <c r="W107" i="44" s="1"/>
  <c r="W245" i="44"/>
  <c r="N57" i="114" s="1"/>
  <c r="W131" i="44"/>
  <c r="W213" i="44"/>
  <c r="W221" i="44" s="1"/>
  <c r="W223" i="44" s="1"/>
  <c r="W167" i="44"/>
  <c r="W165" i="44"/>
  <c r="W172" i="44" l="1"/>
  <c r="X169" i="44" s="1"/>
  <c r="W105" i="44"/>
  <c r="W174" i="44" l="1"/>
  <c r="W129" i="44" s="1"/>
  <c r="W41" i="44" l="1"/>
  <c r="W132" i="44" s="1"/>
  <c r="W208" i="44" s="1"/>
  <c r="W109" i="44"/>
  <c r="W211" i="44"/>
  <c r="W215" i="44" l="1"/>
  <c r="W247" i="44" s="1"/>
  <c r="W133" i="44"/>
  <c r="W141" i="44"/>
  <c r="W248" i="44"/>
  <c r="W111" i="44"/>
  <c r="W257" i="44"/>
  <c r="W220" i="44" l="1"/>
  <c r="W225" i="44" s="1"/>
  <c r="E101" i="98" s="1"/>
  <c r="W256" i="44"/>
  <c r="W262" i="44" s="1"/>
  <c r="W263" i="44" s="1"/>
  <c r="N59" i="114" s="1"/>
  <c r="W229" i="44"/>
  <c r="W234" i="44" s="1"/>
  <c r="W235" i="44" s="1"/>
  <c r="N54" i="114" s="1"/>
  <c r="W253" i="44"/>
  <c r="W254" i="44" s="1"/>
  <c r="N58" i="114" s="1"/>
  <c r="W143" i="44"/>
  <c r="W156" i="44" s="1"/>
  <c r="W157" i="44" s="1"/>
  <c r="X155" i="44" s="1"/>
  <c r="X187" i="44" s="1"/>
  <c r="W226" i="44" l="1"/>
  <c r="N53" i="114" s="1"/>
  <c r="W160" i="44"/>
  <c r="W161" i="44" s="1"/>
  <c r="X159" i="44" s="1"/>
  <c r="X192" i="44" s="1"/>
  <c r="X232" i="44"/>
  <c r="X251" i="44"/>
  <c r="E105" i="98"/>
  <c r="X241" i="44"/>
  <c r="X230" i="44" l="1"/>
  <c r="X249" i="44"/>
  <c r="X240" i="44"/>
  <c r="AB14" i="40"/>
  <c r="W84" i="41" s="1"/>
  <c r="AD14" i="40" l="1"/>
  <c r="Y84" i="41" s="1"/>
  <c r="AE14" i="40"/>
  <c r="AG14" i="40"/>
  <c r="AB84" i="41" s="1"/>
  <c r="AF38" i="40"/>
  <c r="AF42" i="40" s="1"/>
  <c r="AD30" i="36" s="1"/>
  <c r="AG44" i="40"/>
  <c r="AF14" i="40"/>
  <c r="AA84" i="41" s="1"/>
  <c r="AA64" i="41" l="1"/>
  <c r="AA47" i="41"/>
  <c r="Z84" i="41"/>
  <c r="AH44" i="40"/>
  <c r="AG38" i="40"/>
  <c r="AG42" i="40" s="1"/>
  <c r="AB64" i="41" l="1"/>
  <c r="AB66" i="41" s="1"/>
  <c r="AB47" i="41"/>
  <c r="AB49" i="41" s="1"/>
  <c r="AA99" i="12"/>
  <c r="AA105" i="117" s="1"/>
  <c r="Z101" i="12"/>
  <c r="Z32" i="12"/>
  <c r="H165" i="98" s="1"/>
  <c r="AI44" i="40"/>
  <c r="AH38" i="40"/>
  <c r="AH42" i="40" s="1"/>
  <c r="AI30" i="57"/>
  <c r="AD30" i="57"/>
  <c r="AI30" i="36"/>
  <c r="AA36" i="62"/>
  <c r="AA66" i="62"/>
  <c r="AA38" i="62"/>
  <c r="AA68" i="62"/>
  <c r="AA58" i="62"/>
  <c r="AA48" i="62"/>
  <c r="AA26" i="62"/>
  <c r="AA28" i="62"/>
  <c r="AA46" i="62"/>
  <c r="AA56" i="62"/>
  <c r="AA66" i="41"/>
  <c r="AA49" i="41"/>
  <c r="AC64" i="41" l="1"/>
  <c r="AC66" i="41" s="1"/>
  <c r="AC47" i="41"/>
  <c r="AC49" i="41" s="1"/>
  <c r="H136" i="98"/>
  <c r="H58" i="98"/>
  <c r="H60" i="98" s="1"/>
  <c r="AB99" i="12"/>
  <c r="AB105" i="117" s="1"/>
  <c r="AA32" i="12"/>
  <c r="AJ44" i="40"/>
  <c r="AI38" i="40"/>
  <c r="AI42" i="40" s="1"/>
  <c r="X71" i="62"/>
  <c r="Y71" i="62" s="1"/>
  <c r="X51" i="62"/>
  <c r="Y51" i="62" s="1"/>
  <c r="X61" i="62"/>
  <c r="Y61" i="62" s="1"/>
  <c r="X41" i="62"/>
  <c r="Y41" i="62" s="1"/>
  <c r="X31" i="62"/>
  <c r="Y31" i="62" s="1"/>
  <c r="AB16" i="41"/>
  <c r="AA16" i="41"/>
  <c r="AC16" i="41" l="1"/>
  <c r="AD64" i="41"/>
  <c r="AD66" i="41" s="1"/>
  <c r="AD47" i="41"/>
  <c r="I165" i="98"/>
  <c r="AA97" i="117"/>
  <c r="AA99" i="117" s="1"/>
  <c r="AA80" i="86"/>
  <c r="AA35" i="12"/>
  <c r="AC99" i="12"/>
  <c r="AC105" i="117" s="1"/>
  <c r="AB32" i="12"/>
  <c r="AK44" i="40"/>
  <c r="AJ38" i="40"/>
  <c r="AJ42" i="40" s="1"/>
  <c r="AC14" i="40"/>
  <c r="AE64" i="41" l="1"/>
  <c r="AE66" i="41" s="1"/>
  <c r="AE47" i="41"/>
  <c r="AD49" i="41"/>
  <c r="AD16" i="41"/>
  <c r="AD99" i="12"/>
  <c r="AD105" i="117" s="1"/>
  <c r="AC32" i="12"/>
  <c r="AA102" i="117"/>
  <c r="J165" i="98"/>
  <c r="AB97" i="117"/>
  <c r="AB99" i="117" s="1"/>
  <c r="AB102" i="117" s="1"/>
  <c r="AB106" i="117" s="1"/>
  <c r="AB80" i="86"/>
  <c r="AB35" i="12"/>
  <c r="AF14" i="42"/>
  <c r="I43" i="98"/>
  <c r="I136" i="98"/>
  <c r="AA83" i="86"/>
  <c r="I58" i="98"/>
  <c r="I60" i="98" s="1"/>
  <c r="I168" i="98"/>
  <c r="AL44" i="40"/>
  <c r="AK38" i="40"/>
  <c r="AK42" i="40" s="1"/>
  <c r="AF47" i="41" s="1"/>
  <c r="AF49" i="41" s="1"/>
  <c r="X84" i="41"/>
  <c r="AE49" i="41" l="1"/>
  <c r="AE16" i="41"/>
  <c r="D19" i="98" s="1"/>
  <c r="J58" i="98"/>
  <c r="J60" i="98" s="1"/>
  <c r="J168" i="98"/>
  <c r="I116" i="98"/>
  <c r="I173" i="98" s="1"/>
  <c r="AA84" i="86"/>
  <c r="J43" i="98"/>
  <c r="AG14" i="42"/>
  <c r="K165" i="98"/>
  <c r="AC97" i="117"/>
  <c r="AC99" i="117" s="1"/>
  <c r="AC80" i="86"/>
  <c r="AC35" i="12"/>
  <c r="AA106" i="117"/>
  <c r="AA107" i="117"/>
  <c r="AB107" i="117"/>
  <c r="J136" i="98"/>
  <c r="AB83" i="86"/>
  <c r="AE99" i="12"/>
  <c r="AE105" i="117" s="1"/>
  <c r="AD32" i="12"/>
  <c r="AL38" i="40"/>
  <c r="AL42" i="40" s="1"/>
  <c r="AG47" i="41" s="1"/>
  <c r="AG49" i="41" s="1"/>
  <c r="AM44" i="40"/>
  <c r="X85" i="41"/>
  <c r="X110" i="41" l="1"/>
  <c r="X107" i="41"/>
  <c r="X309" i="44"/>
  <c r="X111" i="41"/>
  <c r="X311" i="44"/>
  <c r="X109" i="41"/>
  <c r="X310" i="44"/>
  <c r="X274" i="44"/>
  <c r="X108" i="41"/>
  <c r="X298" i="44"/>
  <c r="X114" i="41"/>
  <c r="K136" i="98"/>
  <c r="AC83" i="86"/>
  <c r="AC102" i="117"/>
  <c r="L165" i="98"/>
  <c r="AD97" i="117"/>
  <c r="AD99" i="117" s="1"/>
  <c r="AD102" i="117" s="1"/>
  <c r="AD107" i="117" s="1"/>
  <c r="AD80" i="86"/>
  <c r="AD35" i="12"/>
  <c r="AF99" i="12"/>
  <c r="AF105" i="117" s="1"/>
  <c r="AE32" i="12"/>
  <c r="AE101" i="12"/>
  <c r="K58" i="98"/>
  <c r="K60" i="98" s="1"/>
  <c r="K168" i="98"/>
  <c r="AB84" i="86"/>
  <c r="J116" i="98"/>
  <c r="J117" i="98" s="1"/>
  <c r="J118" i="98" s="1"/>
  <c r="AH14" i="42"/>
  <c r="K43" i="98"/>
  <c r="AN44" i="40"/>
  <c r="AM38" i="40"/>
  <c r="AM42" i="40" s="1"/>
  <c r="AH47" i="41" s="1"/>
  <c r="AH49" i="41" s="1"/>
  <c r="X84" i="44"/>
  <c r="X95" i="44"/>
  <c r="X278" i="44" s="1"/>
  <c r="X83" i="44"/>
  <c r="X122" i="44" s="1"/>
  <c r="X99" i="44"/>
  <c r="X86" i="44"/>
  <c r="X85" i="44"/>
  <c r="X89" i="44"/>
  <c r="X137" i="44" s="1"/>
  <c r="X87" i="44"/>
  <c r="X96" i="44"/>
  <c r="X90" i="44"/>
  <c r="X123" i="44" s="1"/>
  <c r="X136" i="44"/>
  <c r="X186" i="44"/>
  <c r="X191" i="44"/>
  <c r="X61" i="44" s="1"/>
  <c r="X194" i="44" s="1"/>
  <c r="X193" i="44"/>
  <c r="X188" i="44"/>
  <c r="X242" i="44"/>
  <c r="X244" i="44" s="1"/>
  <c r="Y85" i="41"/>
  <c r="X51" i="44" l="1"/>
  <c r="X138" i="44" s="1"/>
  <c r="X139" i="44" s="1"/>
  <c r="AD106" i="117"/>
  <c r="X289" i="44"/>
  <c r="X291" i="44" s="1"/>
  <c r="X281" i="44"/>
  <c r="X116" i="41"/>
  <c r="X117" i="41" s="1"/>
  <c r="X118" i="41" s="1"/>
  <c r="X120" i="41" s="1"/>
  <c r="Y110" i="41"/>
  <c r="Y107" i="41"/>
  <c r="Y309" i="44"/>
  <c r="Y311" i="44"/>
  <c r="Y111" i="41"/>
  <c r="Y109" i="41"/>
  <c r="Y310" i="44"/>
  <c r="Y274" i="44"/>
  <c r="Y108" i="41"/>
  <c r="Y114" i="41"/>
  <c r="Y298" i="44"/>
  <c r="X126" i="44"/>
  <c r="X277" i="44"/>
  <c r="X209" i="44"/>
  <c r="X125" i="44"/>
  <c r="X124" i="44"/>
  <c r="X245" i="44"/>
  <c r="O57" i="114" s="1"/>
  <c r="J173" i="98"/>
  <c r="L43" i="98"/>
  <c r="AI14" i="42"/>
  <c r="L136" i="98"/>
  <c r="AD83" i="86"/>
  <c r="AC107" i="117"/>
  <c r="AC106" i="117"/>
  <c r="L58" i="98"/>
  <c r="L60" i="98" s="1"/>
  <c r="L168" i="98"/>
  <c r="AC84" i="86"/>
  <c r="K116" i="98"/>
  <c r="K117" i="98" s="1"/>
  <c r="K118" i="98" s="1"/>
  <c r="M165" i="98"/>
  <c r="AE97" i="117"/>
  <c r="AE99" i="117" s="1"/>
  <c r="AE102" i="117" s="1"/>
  <c r="AE103" i="117" s="1"/>
  <c r="AE80" i="86"/>
  <c r="AE35" i="12"/>
  <c r="AG99" i="12"/>
  <c r="AG105" i="117" s="1"/>
  <c r="AF32" i="12"/>
  <c r="AO44" i="40"/>
  <c r="AO38" i="40" s="1"/>
  <c r="AO42" i="40" s="1"/>
  <c r="AJ47" i="41" s="1"/>
  <c r="AJ49" i="41" s="1"/>
  <c r="AN38" i="40"/>
  <c r="AN42" i="40" s="1"/>
  <c r="AI47" i="41" s="1"/>
  <c r="AI49" i="41" s="1"/>
  <c r="X128" i="44"/>
  <c r="X189" i="44"/>
  <c r="X88" i="44" s="1"/>
  <c r="X92" i="44" s="1"/>
  <c r="Y99" i="44"/>
  <c r="Y95" i="44"/>
  <c r="Y278" i="44" s="1"/>
  <c r="Y83" i="44"/>
  <c r="Y122" i="44" s="1"/>
  <c r="Y84" i="44"/>
  <c r="Y87" i="44"/>
  <c r="Y90" i="44"/>
  <c r="Y123" i="44" s="1"/>
  <c r="Y86" i="44"/>
  <c r="Y96" i="44"/>
  <c r="Y89" i="44"/>
  <c r="Y137" i="44" s="1"/>
  <c r="Y85" i="44"/>
  <c r="Y136" i="44"/>
  <c r="X195" i="44"/>
  <c r="X131" i="44" s="1"/>
  <c r="X207" i="44"/>
  <c r="X205" i="44"/>
  <c r="X273" i="44" s="1"/>
  <c r="Y242" i="44"/>
  <c r="Y186" i="44"/>
  <c r="Y191" i="44"/>
  <c r="Y188" i="44"/>
  <c r="Y193" i="44"/>
  <c r="X258" i="44"/>
  <c r="X260" i="44"/>
  <c r="Z85" i="41"/>
  <c r="AF15" i="40"/>
  <c r="X206" i="44"/>
  <c r="X259" i="44"/>
  <c r="Y51" i="44" l="1"/>
  <c r="Y138" i="44" s="1"/>
  <c r="Y139" i="44" s="1"/>
  <c r="Z110" i="41"/>
  <c r="Z107" i="41"/>
  <c r="Z311" i="44"/>
  <c r="Z109" i="41"/>
  <c r="Z108" i="41"/>
  <c r="Z309" i="44"/>
  <c r="Z310" i="44"/>
  <c r="Z274" i="44"/>
  <c r="Z114" i="41"/>
  <c r="Z298" i="44"/>
  <c r="Y281" i="44"/>
  <c r="Y289" i="44"/>
  <c r="Y291" i="44" s="1"/>
  <c r="Y116" i="41"/>
  <c r="Y117" i="41" s="1"/>
  <c r="Y118" i="41" s="1"/>
  <c r="Y120" i="41" s="1"/>
  <c r="X122" i="41"/>
  <c r="X279" i="44"/>
  <c r="X283" i="44" s="1"/>
  <c r="Y126" i="44"/>
  <c r="Y277" i="44"/>
  <c r="Y209" i="44"/>
  <c r="Y125" i="44"/>
  <c r="Y124" i="44"/>
  <c r="L116" i="98"/>
  <c r="L117" i="98" s="1"/>
  <c r="L118" i="98" s="1"/>
  <c r="AD84" i="86"/>
  <c r="M43" i="98"/>
  <c r="AJ14" i="42"/>
  <c r="AE37" i="12"/>
  <c r="M136" i="98"/>
  <c r="AE83" i="86"/>
  <c r="AE100" i="117"/>
  <c r="N165" i="98"/>
  <c r="AF97" i="117"/>
  <c r="AF99" i="117" s="1"/>
  <c r="AF80" i="86"/>
  <c r="AF35" i="12"/>
  <c r="AH99" i="12"/>
  <c r="AH105" i="117" s="1"/>
  <c r="AG32" i="12"/>
  <c r="M58" i="98"/>
  <c r="M60" i="98" s="1"/>
  <c r="M168" i="98"/>
  <c r="AE106" i="117"/>
  <c r="K173" i="98"/>
  <c r="AE107" i="117"/>
  <c r="CE341" i="90"/>
  <c r="DE341" i="90" s="1"/>
  <c r="CE342" i="90"/>
  <c r="DE342" i="90" s="1"/>
  <c r="CE343" i="90"/>
  <c r="DE343" i="90" s="1"/>
  <c r="CE344" i="90"/>
  <c r="DE344" i="90" s="1"/>
  <c r="CE346" i="90"/>
  <c r="DE346" i="90" s="1"/>
  <c r="CE345" i="90"/>
  <c r="DE345" i="90" s="1"/>
  <c r="CE348" i="90"/>
  <c r="DE348" i="90" s="1"/>
  <c r="CE349" i="90"/>
  <c r="DE349" i="90" s="1"/>
  <c r="CE355" i="90"/>
  <c r="DE355" i="90" s="1"/>
  <c r="CE340" i="90"/>
  <c r="DE340" i="90" s="1"/>
  <c r="CE347" i="90"/>
  <c r="DE347" i="90" s="1"/>
  <c r="CE350" i="90"/>
  <c r="DE350" i="90" s="1"/>
  <c r="CE352" i="90"/>
  <c r="DE352" i="90" s="1"/>
  <c r="CE353" i="90"/>
  <c r="DE353" i="90" s="1"/>
  <c r="CE354" i="90"/>
  <c r="DE354" i="90" s="1"/>
  <c r="CE351" i="90"/>
  <c r="DE351" i="90" s="1"/>
  <c r="CE358" i="90"/>
  <c r="DE358" i="90" s="1"/>
  <c r="CE359" i="90"/>
  <c r="DE359" i="90" s="1"/>
  <c r="CE360" i="90"/>
  <c r="DE360" i="90" s="1"/>
  <c r="CE357" i="90"/>
  <c r="DE357" i="90" s="1"/>
  <c r="CE361" i="90"/>
  <c r="DE361" i="90" s="1"/>
  <c r="CE249" i="90"/>
  <c r="DE249" i="90" s="1"/>
  <c r="CE250" i="90"/>
  <c r="DE250" i="90" s="1"/>
  <c r="CE252" i="90"/>
  <c r="DE252" i="90" s="1"/>
  <c r="CE257" i="90"/>
  <c r="DE257" i="90" s="1"/>
  <c r="CE261" i="90"/>
  <c r="DE261" i="90" s="1"/>
  <c r="CE363" i="90"/>
  <c r="DE363" i="90" s="1"/>
  <c r="CE356" i="90"/>
  <c r="DE356" i="90" s="1"/>
  <c r="CE362" i="90"/>
  <c r="DE362" i="90" s="1"/>
  <c r="CE364" i="90"/>
  <c r="DE364" i="90" s="1"/>
  <c r="CE251" i="90"/>
  <c r="DE251" i="90" s="1"/>
  <c r="CE255" i="90"/>
  <c r="DE255" i="90" s="1"/>
  <c r="CE258" i="90"/>
  <c r="DE258" i="90" s="1"/>
  <c r="CE253" i="90"/>
  <c r="DE253" i="90" s="1"/>
  <c r="CE259" i="90"/>
  <c r="DE259" i="90" s="1"/>
  <c r="CE275" i="90"/>
  <c r="DE275" i="90" s="1"/>
  <c r="CE262" i="90"/>
  <c r="DE262" i="90" s="1"/>
  <c r="CE270" i="90"/>
  <c r="DE270" i="90" s="1"/>
  <c r="CE274" i="90"/>
  <c r="DE274" i="90" s="1"/>
  <c r="CE264" i="90"/>
  <c r="DE264" i="90" s="1"/>
  <c r="CE265" i="90"/>
  <c r="DE265" i="90" s="1"/>
  <c r="CE266" i="90"/>
  <c r="DE266" i="90" s="1"/>
  <c r="CE269" i="90"/>
  <c r="DE269" i="90" s="1"/>
  <c r="CE271" i="90"/>
  <c r="DE271" i="90" s="1"/>
  <c r="CE272" i="90"/>
  <c r="DE272" i="90" s="1"/>
  <c r="CE276" i="90"/>
  <c r="DE276" i="90" s="1"/>
  <c r="CE277" i="90"/>
  <c r="DE277" i="90" s="1"/>
  <c r="CE254" i="90"/>
  <c r="DE254" i="90" s="1"/>
  <c r="CE256" i="90"/>
  <c r="DE256" i="90" s="1"/>
  <c r="CE260" i="90"/>
  <c r="DE260" i="90" s="1"/>
  <c r="CE263" i="90"/>
  <c r="DE263" i="90" s="1"/>
  <c r="CE267" i="90"/>
  <c r="DE267" i="90" s="1"/>
  <c r="CE268" i="90"/>
  <c r="DE268" i="90" s="1"/>
  <c r="CE273" i="90"/>
  <c r="DE273" i="90" s="1"/>
  <c r="CE278" i="90"/>
  <c r="DE278" i="90" s="1"/>
  <c r="CE286" i="90"/>
  <c r="DE286" i="90" s="1"/>
  <c r="CE289" i="90"/>
  <c r="DE289" i="90" s="1"/>
  <c r="CE290" i="90"/>
  <c r="DE290" i="90" s="1"/>
  <c r="CE292" i="90"/>
  <c r="DE292" i="90" s="1"/>
  <c r="CE295" i="90"/>
  <c r="DE295" i="90" s="1"/>
  <c r="CE281" i="90"/>
  <c r="DE281" i="90" s="1"/>
  <c r="CE283" i="90"/>
  <c r="DE283" i="90" s="1"/>
  <c r="CE285" i="90"/>
  <c r="DE285" i="90" s="1"/>
  <c r="CE287" i="90"/>
  <c r="DE287" i="90" s="1"/>
  <c r="CE291" i="90"/>
  <c r="DE291" i="90" s="1"/>
  <c r="CE294" i="90"/>
  <c r="DE294" i="90" s="1"/>
  <c r="CE279" i="90"/>
  <c r="DE279" i="90" s="1"/>
  <c r="CE280" i="90"/>
  <c r="DE280" i="90" s="1"/>
  <c r="CE282" i="90"/>
  <c r="DE282" i="90" s="1"/>
  <c r="CE284" i="90"/>
  <c r="DE284" i="90" s="1"/>
  <c r="CE293" i="90"/>
  <c r="DE293" i="90" s="1"/>
  <c r="CE299" i="90"/>
  <c r="DE299" i="90" s="1"/>
  <c r="CE204" i="90"/>
  <c r="DE204" i="90" s="1"/>
  <c r="CE205" i="90"/>
  <c r="DE205" i="90" s="1"/>
  <c r="CE296" i="90"/>
  <c r="DE296" i="90" s="1"/>
  <c r="CE297" i="90"/>
  <c r="DE297" i="90" s="1"/>
  <c r="CE300" i="90"/>
  <c r="DE300" i="90" s="1"/>
  <c r="CE301" i="90"/>
  <c r="DE301" i="90" s="1"/>
  <c r="CE302" i="90"/>
  <c r="DE302" i="90" s="1"/>
  <c r="CE303" i="90"/>
  <c r="DE303" i="90" s="1"/>
  <c r="CE304" i="90"/>
  <c r="DE304" i="90" s="1"/>
  <c r="CE206" i="90"/>
  <c r="DE206" i="90" s="1"/>
  <c r="CE207" i="90"/>
  <c r="DE207" i="90" s="1"/>
  <c r="CE208" i="90"/>
  <c r="DE208" i="90" s="1"/>
  <c r="CE306" i="90"/>
  <c r="DE306" i="90" s="1"/>
  <c r="CE210" i="90"/>
  <c r="DE210" i="90" s="1"/>
  <c r="CE212" i="90"/>
  <c r="DE212" i="90" s="1"/>
  <c r="CE216" i="90"/>
  <c r="DE216" i="90" s="1"/>
  <c r="CE305" i="90"/>
  <c r="DE305" i="90" s="1"/>
  <c r="CE307" i="90"/>
  <c r="DE307" i="90" s="1"/>
  <c r="CE308" i="90"/>
  <c r="DE308" i="90" s="1"/>
  <c r="CE209" i="90"/>
  <c r="DE209" i="90" s="1"/>
  <c r="CE217" i="90"/>
  <c r="DE217" i="90" s="1"/>
  <c r="CE218" i="90"/>
  <c r="DE218" i="90" s="1"/>
  <c r="CE219" i="90"/>
  <c r="DE219" i="90" s="1"/>
  <c r="CE220" i="90"/>
  <c r="DE220" i="90" s="1"/>
  <c r="CE225" i="90"/>
  <c r="DE225" i="90" s="1"/>
  <c r="CE226" i="90"/>
  <c r="DE226" i="90" s="1"/>
  <c r="CE232" i="90"/>
  <c r="DE232" i="90" s="1"/>
  <c r="CE233" i="90"/>
  <c r="DE233" i="90" s="1"/>
  <c r="CE234" i="90"/>
  <c r="DE234" i="90" s="1"/>
  <c r="CE235" i="90"/>
  <c r="DE235" i="90" s="1"/>
  <c r="CE222" i="90"/>
  <c r="DE222" i="90" s="1"/>
  <c r="CE228" i="90"/>
  <c r="DE228" i="90" s="1"/>
  <c r="CE231" i="90"/>
  <c r="DE231" i="90" s="1"/>
  <c r="CE89" i="90"/>
  <c r="DE89" i="90" s="1"/>
  <c r="CE93" i="90"/>
  <c r="DE93" i="90" s="1"/>
  <c r="CE96" i="90"/>
  <c r="DE96" i="90" s="1"/>
  <c r="CE97" i="90"/>
  <c r="DE97" i="90" s="1"/>
  <c r="CE99" i="90"/>
  <c r="DE99" i="90" s="1"/>
  <c r="CE102" i="90"/>
  <c r="DE102" i="90" s="1"/>
  <c r="CE111" i="90"/>
  <c r="DE111" i="90" s="1"/>
  <c r="CE120" i="90"/>
  <c r="DE120" i="90" s="1"/>
  <c r="CE213" i="90"/>
  <c r="DE213" i="90" s="1"/>
  <c r="CE215" i="90"/>
  <c r="DE215" i="90" s="1"/>
  <c r="CE223" i="90"/>
  <c r="DE223" i="90" s="1"/>
  <c r="CE90" i="90"/>
  <c r="DE90" i="90" s="1"/>
  <c r="CE94" i="90"/>
  <c r="DE94" i="90" s="1"/>
  <c r="CE100" i="90"/>
  <c r="DE100" i="90" s="1"/>
  <c r="CE103" i="90"/>
  <c r="DE103" i="90" s="1"/>
  <c r="CE104" i="90"/>
  <c r="DE104" i="90" s="1"/>
  <c r="CE105" i="90"/>
  <c r="DE105" i="90" s="1"/>
  <c r="CE112" i="90"/>
  <c r="DE112" i="90" s="1"/>
  <c r="CE114" i="90"/>
  <c r="DE114" i="90" s="1"/>
  <c r="CE115" i="90"/>
  <c r="DE115" i="90" s="1"/>
  <c r="CE117" i="90"/>
  <c r="DE117" i="90" s="1"/>
  <c r="CE118" i="90"/>
  <c r="DE118" i="90" s="1"/>
  <c r="CE119" i="90"/>
  <c r="DE119" i="90" s="1"/>
  <c r="CE123" i="90"/>
  <c r="DE123" i="90" s="1"/>
  <c r="CE127" i="90"/>
  <c r="DE127" i="90" s="1"/>
  <c r="CE128" i="90"/>
  <c r="DE128" i="90" s="1"/>
  <c r="CE140" i="90"/>
  <c r="DE140" i="90" s="1"/>
  <c r="CE143" i="90"/>
  <c r="DE143" i="90" s="1"/>
  <c r="CE144" i="90"/>
  <c r="DE144" i="90" s="1"/>
  <c r="CE146" i="90"/>
  <c r="DE146" i="90" s="1"/>
  <c r="CE147" i="90"/>
  <c r="DE147" i="90" s="1"/>
  <c r="CE148" i="90"/>
  <c r="DE148" i="90" s="1"/>
  <c r="CE152" i="90"/>
  <c r="DE152" i="90" s="1"/>
  <c r="CE153" i="90"/>
  <c r="DE153" i="90" s="1"/>
  <c r="CE154" i="90"/>
  <c r="DE154" i="90" s="1"/>
  <c r="CE155" i="90"/>
  <c r="DE155" i="90" s="1"/>
  <c r="CE211" i="90"/>
  <c r="DE211" i="90" s="1"/>
  <c r="CE224" i="90"/>
  <c r="DE224" i="90" s="1"/>
  <c r="CE230" i="90"/>
  <c r="DE230" i="90" s="1"/>
  <c r="CE91" i="90"/>
  <c r="DE91" i="90" s="1"/>
  <c r="CE214" i="90"/>
  <c r="DE214" i="90" s="1"/>
  <c r="CE229" i="90"/>
  <c r="DE229" i="90" s="1"/>
  <c r="CE109" i="90"/>
  <c r="DE109" i="90" s="1"/>
  <c r="CE288" i="90"/>
  <c r="DE288" i="90" s="1"/>
  <c r="CE92" i="90"/>
  <c r="DE92" i="90" s="1"/>
  <c r="CE101" i="90"/>
  <c r="DE101" i="90" s="1"/>
  <c r="CE107" i="90"/>
  <c r="DE107" i="90" s="1"/>
  <c r="CE122" i="90"/>
  <c r="DE122" i="90" s="1"/>
  <c r="CE125" i="90"/>
  <c r="DE125" i="90" s="1"/>
  <c r="CE298" i="90"/>
  <c r="DE298" i="90" s="1"/>
  <c r="CE106" i="90"/>
  <c r="DE106" i="90" s="1"/>
  <c r="CE108" i="90"/>
  <c r="DE108" i="90" s="1"/>
  <c r="CE110" i="90"/>
  <c r="DE110" i="90" s="1"/>
  <c r="CE113" i="90"/>
  <c r="DE113" i="90" s="1"/>
  <c r="CE116" i="90"/>
  <c r="DE116" i="90" s="1"/>
  <c r="CE221" i="90"/>
  <c r="DE221" i="90" s="1"/>
  <c r="CE98" i="90"/>
  <c r="DE98" i="90" s="1"/>
  <c r="CE135" i="90"/>
  <c r="DE135" i="90" s="1"/>
  <c r="CE151" i="90"/>
  <c r="DE151" i="90" s="1"/>
  <c r="CE157" i="90"/>
  <c r="DE157" i="90" s="1"/>
  <c r="CE171" i="90"/>
  <c r="DE171" i="90" s="1"/>
  <c r="CE172" i="90"/>
  <c r="DE172" i="90" s="1"/>
  <c r="CE173" i="90"/>
  <c r="DE173" i="90" s="1"/>
  <c r="CE174" i="90"/>
  <c r="DE174" i="90" s="1"/>
  <c r="CE175" i="90"/>
  <c r="DE175" i="90" s="1"/>
  <c r="CE132" i="90"/>
  <c r="DE132" i="90" s="1"/>
  <c r="CE136" i="90"/>
  <c r="DE136" i="90" s="1"/>
  <c r="CE138" i="90"/>
  <c r="DE138" i="90" s="1"/>
  <c r="CE141" i="90"/>
  <c r="DE141" i="90" s="1"/>
  <c r="CE164" i="90"/>
  <c r="DE164" i="90" s="1"/>
  <c r="CE176" i="90"/>
  <c r="DE176" i="90" s="1"/>
  <c r="CE179" i="90"/>
  <c r="DE179" i="90" s="1"/>
  <c r="CE121" i="90"/>
  <c r="DE121" i="90" s="1"/>
  <c r="CE130" i="90"/>
  <c r="DE130" i="90" s="1"/>
  <c r="CE133" i="90"/>
  <c r="DE133" i="90" s="1"/>
  <c r="CE137" i="90"/>
  <c r="DE137" i="90" s="1"/>
  <c r="CE139" i="90"/>
  <c r="DE139" i="90" s="1"/>
  <c r="CE142" i="90"/>
  <c r="DE142" i="90" s="1"/>
  <c r="CE145" i="90"/>
  <c r="DE145" i="90" s="1"/>
  <c r="CE150" i="90"/>
  <c r="DE150" i="90" s="1"/>
  <c r="CE156" i="90"/>
  <c r="DE156" i="90" s="1"/>
  <c r="CE158" i="90"/>
  <c r="DE158" i="90" s="1"/>
  <c r="CE165" i="90"/>
  <c r="DE165" i="90" s="1"/>
  <c r="CE166" i="90"/>
  <c r="DE166" i="90" s="1"/>
  <c r="CE167" i="90"/>
  <c r="DE167" i="90" s="1"/>
  <c r="CE168" i="90"/>
  <c r="DE168" i="90" s="1"/>
  <c r="CE181" i="90"/>
  <c r="DE181" i="90" s="1"/>
  <c r="CE227" i="90"/>
  <c r="DE227" i="90" s="1"/>
  <c r="CE236" i="90"/>
  <c r="DE236" i="90" s="1"/>
  <c r="CE95" i="90"/>
  <c r="DE95" i="90" s="1"/>
  <c r="CE124" i="90"/>
  <c r="DE124" i="90" s="1"/>
  <c r="CE126" i="90"/>
  <c r="DE126" i="90" s="1"/>
  <c r="CE129" i="90"/>
  <c r="DE129" i="90" s="1"/>
  <c r="CE131" i="90"/>
  <c r="DE131" i="90" s="1"/>
  <c r="CE134" i="90"/>
  <c r="DE134" i="90" s="1"/>
  <c r="CE159" i="90"/>
  <c r="DE159" i="90" s="1"/>
  <c r="CE160" i="90"/>
  <c r="DE160" i="90" s="1"/>
  <c r="CE161" i="90"/>
  <c r="DE161" i="90" s="1"/>
  <c r="CE162" i="90"/>
  <c r="DE162" i="90" s="1"/>
  <c r="CE163" i="90"/>
  <c r="DE163" i="90" s="1"/>
  <c r="CE169" i="90"/>
  <c r="DE169" i="90" s="1"/>
  <c r="CE170" i="90"/>
  <c r="DE170" i="90" s="1"/>
  <c r="CE202" i="90"/>
  <c r="DE202" i="90" s="1"/>
  <c r="CE203" i="90"/>
  <c r="DE203" i="90" s="1"/>
  <c r="CE149" i="90"/>
  <c r="DE149" i="90" s="1"/>
  <c r="CE177" i="90"/>
  <c r="DE177" i="90" s="1"/>
  <c r="CE178" i="90"/>
  <c r="DE178" i="90" s="1"/>
  <c r="CE183" i="90"/>
  <c r="DE183" i="90" s="1"/>
  <c r="CE187" i="90"/>
  <c r="DE187" i="90" s="1"/>
  <c r="CE188" i="90"/>
  <c r="DE188" i="90" s="1"/>
  <c r="CE189" i="90"/>
  <c r="DE189" i="90" s="1"/>
  <c r="CE190" i="90"/>
  <c r="DE190" i="90" s="1"/>
  <c r="CE191" i="90"/>
  <c r="DE191" i="90" s="1"/>
  <c r="CE196" i="90"/>
  <c r="DE196" i="90" s="1"/>
  <c r="CE197" i="90"/>
  <c r="DE197" i="90" s="1"/>
  <c r="CE73" i="90"/>
  <c r="DE73" i="90" s="1"/>
  <c r="CE77" i="90"/>
  <c r="DE77" i="90" s="1"/>
  <c r="CE78" i="90"/>
  <c r="DE78" i="90" s="1"/>
  <c r="CE180" i="90"/>
  <c r="DE180" i="90" s="1"/>
  <c r="CE184" i="90"/>
  <c r="DE184" i="90" s="1"/>
  <c r="CE185" i="90"/>
  <c r="DE185" i="90" s="1"/>
  <c r="CE186" i="90"/>
  <c r="DE186" i="90" s="1"/>
  <c r="CE192" i="90"/>
  <c r="DE192" i="90" s="1"/>
  <c r="CE193" i="90"/>
  <c r="DE193" i="90" s="1"/>
  <c r="CE198" i="90"/>
  <c r="DE198" i="90" s="1"/>
  <c r="CE199" i="90"/>
  <c r="DE199" i="90" s="1"/>
  <c r="CE75" i="90"/>
  <c r="DE75" i="90" s="1"/>
  <c r="CE76" i="90"/>
  <c r="DE76" i="90" s="1"/>
  <c r="CE82" i="90"/>
  <c r="DE82" i="90" s="1"/>
  <c r="CE83" i="90"/>
  <c r="DE83" i="90" s="1"/>
  <c r="CE84" i="90"/>
  <c r="DE84" i="90" s="1"/>
  <c r="CE85" i="90"/>
  <c r="DE85" i="90" s="1"/>
  <c r="CE86" i="90"/>
  <c r="DE86" i="90" s="1"/>
  <c r="CE64" i="90"/>
  <c r="DE64" i="90" s="1"/>
  <c r="CE182" i="90"/>
  <c r="DE182" i="90" s="1"/>
  <c r="CE194" i="90"/>
  <c r="DE194" i="90" s="1"/>
  <c r="CE195" i="90"/>
  <c r="DE195" i="90" s="1"/>
  <c r="CE200" i="90"/>
  <c r="DE200" i="90" s="1"/>
  <c r="CE201" i="90"/>
  <c r="DE201" i="90" s="1"/>
  <c r="CE74" i="90"/>
  <c r="DE74" i="90" s="1"/>
  <c r="CE87" i="90"/>
  <c r="DE87" i="90" s="1"/>
  <c r="CE65" i="90"/>
  <c r="DE65" i="90" s="1"/>
  <c r="CE81" i="90"/>
  <c r="DE81" i="90" s="1"/>
  <c r="CE70" i="90"/>
  <c r="DE70" i="90" s="1"/>
  <c r="CE71" i="90"/>
  <c r="DE71" i="90" s="1"/>
  <c r="CE72" i="90"/>
  <c r="DE72" i="90" s="1"/>
  <c r="CE79" i="90"/>
  <c r="DE79" i="90" s="1"/>
  <c r="CE80" i="90"/>
  <c r="DE80" i="90" s="1"/>
  <c r="CE69" i="90"/>
  <c r="DE69" i="90" s="1"/>
  <c r="CE66" i="90"/>
  <c r="DE66" i="90" s="1"/>
  <c r="CE88" i="90"/>
  <c r="DE88" i="90" s="1"/>
  <c r="CE67" i="90"/>
  <c r="DE67" i="90" s="1"/>
  <c r="CE68" i="90"/>
  <c r="DE68" i="90" s="1"/>
  <c r="CE57" i="90"/>
  <c r="DE57" i="90" s="1"/>
  <c r="CE59" i="90"/>
  <c r="DE59" i="90" s="1"/>
  <c r="CE60" i="90"/>
  <c r="DE60" i="90" s="1"/>
  <c r="CE58" i="90"/>
  <c r="DE58" i="90" s="1"/>
  <c r="CE56" i="90"/>
  <c r="DE56" i="90" s="1"/>
  <c r="CE55" i="90"/>
  <c r="DE55" i="90" s="1"/>
  <c r="X130" i="44"/>
  <c r="Y128" i="44"/>
  <c r="Z99" i="44"/>
  <c r="Z83" i="44"/>
  <c r="Z122" i="44" s="1"/>
  <c r="Z84" i="44"/>
  <c r="Z86" i="44"/>
  <c r="Z89" i="44"/>
  <c r="Z137" i="44" s="1"/>
  <c r="Z87" i="44"/>
  <c r="Z85" i="44"/>
  <c r="Z90" i="44"/>
  <c r="Z123" i="44" s="1"/>
  <c r="Z96" i="44"/>
  <c r="Z136" i="44"/>
  <c r="CE395" i="90"/>
  <c r="DE395" i="90" s="1"/>
  <c r="FG395" i="90" s="1"/>
  <c r="CP395" i="90" s="1"/>
  <c r="AA395" i="56" s="1"/>
  <c r="CE391" i="90"/>
  <c r="DE391" i="90" s="1"/>
  <c r="FG391" i="90" s="1"/>
  <c r="CP391" i="90" s="1"/>
  <c r="AA391" i="56" s="1"/>
  <c r="CE387" i="90"/>
  <c r="DE387" i="90" s="1"/>
  <c r="FG387" i="90" s="1"/>
  <c r="CP387" i="90" s="1"/>
  <c r="AA387" i="56" s="1"/>
  <c r="CE383" i="90"/>
  <c r="DE383" i="90" s="1"/>
  <c r="FG383" i="90" s="1"/>
  <c r="CP383" i="90" s="1"/>
  <c r="AA383" i="56" s="1"/>
  <c r="CE379" i="90"/>
  <c r="DE379" i="90" s="1"/>
  <c r="FG379" i="90" s="1"/>
  <c r="CP379" i="90" s="1"/>
  <c r="AA379" i="56" s="1"/>
  <c r="CE375" i="90"/>
  <c r="DE375" i="90" s="1"/>
  <c r="FG375" i="90" s="1"/>
  <c r="CP375" i="90" s="1"/>
  <c r="AA375" i="56" s="1"/>
  <c r="CE371" i="90"/>
  <c r="DE371" i="90" s="1"/>
  <c r="FG371" i="90" s="1"/>
  <c r="CP371" i="90" s="1"/>
  <c r="AA371" i="56" s="1"/>
  <c r="CE367" i="90"/>
  <c r="DE367" i="90" s="1"/>
  <c r="FG367" i="90" s="1"/>
  <c r="CP367" i="90" s="1"/>
  <c r="AA367" i="56" s="1"/>
  <c r="CE338" i="90"/>
  <c r="DE338" i="90" s="1"/>
  <c r="CE334" i="90"/>
  <c r="DE334" i="90" s="1"/>
  <c r="FG334" i="90" s="1"/>
  <c r="CP334" i="90" s="1"/>
  <c r="AA334" i="56" s="1"/>
  <c r="CE330" i="90"/>
  <c r="DE330" i="90" s="1"/>
  <c r="FG330" i="90" s="1"/>
  <c r="CP330" i="90" s="1"/>
  <c r="AA330" i="56" s="1"/>
  <c r="CE326" i="90"/>
  <c r="DE326" i="90" s="1"/>
  <c r="FG326" i="90" s="1"/>
  <c r="CP326" i="90" s="1"/>
  <c r="AA326" i="56" s="1"/>
  <c r="CE322" i="90"/>
  <c r="DE322" i="90" s="1"/>
  <c r="FG322" i="90" s="1"/>
  <c r="CP322" i="90" s="1"/>
  <c r="AA322" i="56" s="1"/>
  <c r="CE318" i="90"/>
  <c r="DE318" i="90" s="1"/>
  <c r="FG318" i="90" s="1"/>
  <c r="CP318" i="90" s="1"/>
  <c r="AA318" i="56" s="1"/>
  <c r="CE314" i="90"/>
  <c r="DE314" i="90" s="1"/>
  <c r="FG314" i="90" s="1"/>
  <c r="CP314" i="90" s="1"/>
  <c r="AA314" i="56" s="1"/>
  <c r="CE310" i="90"/>
  <c r="DE310" i="90" s="1"/>
  <c r="FG310" i="90" s="1"/>
  <c r="CP310" i="90" s="1"/>
  <c r="AA310" i="56" s="1"/>
  <c r="CE394" i="90"/>
  <c r="DE394" i="90" s="1"/>
  <c r="FG394" i="90" s="1"/>
  <c r="CP394" i="90" s="1"/>
  <c r="AA394" i="56" s="1"/>
  <c r="CE390" i="90"/>
  <c r="DE390" i="90" s="1"/>
  <c r="FG390" i="90" s="1"/>
  <c r="CP390" i="90" s="1"/>
  <c r="AA390" i="56" s="1"/>
  <c r="CE386" i="90"/>
  <c r="DE386" i="90" s="1"/>
  <c r="FG386" i="90" s="1"/>
  <c r="CP386" i="90" s="1"/>
  <c r="AA386" i="56" s="1"/>
  <c r="CE382" i="90"/>
  <c r="DE382" i="90" s="1"/>
  <c r="FG382" i="90" s="1"/>
  <c r="CP382" i="90" s="1"/>
  <c r="AA382" i="56" s="1"/>
  <c r="CE378" i="90"/>
  <c r="DE378" i="90" s="1"/>
  <c r="FG378" i="90" s="1"/>
  <c r="CP378" i="90" s="1"/>
  <c r="AA378" i="56" s="1"/>
  <c r="CE374" i="90"/>
  <c r="DE374" i="90" s="1"/>
  <c r="FG374" i="90" s="1"/>
  <c r="CP374" i="90" s="1"/>
  <c r="AA374" i="56" s="1"/>
  <c r="CE370" i="90"/>
  <c r="DE370" i="90" s="1"/>
  <c r="FG370" i="90" s="1"/>
  <c r="CP370" i="90" s="1"/>
  <c r="AA370" i="56" s="1"/>
  <c r="CE366" i="90"/>
  <c r="DE366" i="90" s="1"/>
  <c r="FG366" i="90" s="1"/>
  <c r="CP366" i="90" s="1"/>
  <c r="AA366" i="56" s="1"/>
  <c r="CE337" i="90"/>
  <c r="DE337" i="90" s="1"/>
  <c r="FG337" i="90" s="1"/>
  <c r="CP337" i="90" s="1"/>
  <c r="AA337" i="56" s="1"/>
  <c r="CE333" i="90"/>
  <c r="DE333" i="90" s="1"/>
  <c r="FG333" i="90" s="1"/>
  <c r="CP333" i="90" s="1"/>
  <c r="AA333" i="56" s="1"/>
  <c r="CE329" i="90"/>
  <c r="DE329" i="90" s="1"/>
  <c r="FG329" i="90" s="1"/>
  <c r="CP329" i="90" s="1"/>
  <c r="AA329" i="56" s="1"/>
  <c r="CE325" i="90"/>
  <c r="DE325" i="90" s="1"/>
  <c r="FG325" i="90" s="1"/>
  <c r="CP325" i="90" s="1"/>
  <c r="AA325" i="56" s="1"/>
  <c r="CE321" i="90"/>
  <c r="DE321" i="90" s="1"/>
  <c r="FG321" i="90" s="1"/>
  <c r="CP321" i="90" s="1"/>
  <c r="AA321" i="56" s="1"/>
  <c r="CE317" i="90"/>
  <c r="DE317" i="90" s="1"/>
  <c r="FG317" i="90" s="1"/>
  <c r="CP317" i="90" s="1"/>
  <c r="AA317" i="56" s="1"/>
  <c r="CE313" i="90"/>
  <c r="DE313" i="90" s="1"/>
  <c r="FG313" i="90" s="1"/>
  <c r="CP313" i="90" s="1"/>
  <c r="AA313" i="56" s="1"/>
  <c r="CE392" i="90"/>
  <c r="DE392" i="90" s="1"/>
  <c r="FG392" i="90" s="1"/>
  <c r="CP392" i="90" s="1"/>
  <c r="AA392" i="56" s="1"/>
  <c r="CE377" i="90"/>
  <c r="DE377" i="90" s="1"/>
  <c r="FG377" i="90" s="1"/>
  <c r="CP377" i="90" s="1"/>
  <c r="AA377" i="56" s="1"/>
  <c r="CE335" i="90"/>
  <c r="DE335" i="90" s="1"/>
  <c r="FG335" i="90" s="1"/>
  <c r="CP335" i="90" s="1"/>
  <c r="AA335" i="56" s="1"/>
  <c r="CE320" i="90"/>
  <c r="DE320" i="90" s="1"/>
  <c r="FG320" i="90" s="1"/>
  <c r="CP320" i="90" s="1"/>
  <c r="AA320" i="56" s="1"/>
  <c r="CE393" i="90"/>
  <c r="DE393" i="90" s="1"/>
  <c r="FG393" i="90" s="1"/>
  <c r="CP393" i="90" s="1"/>
  <c r="AA393" i="56" s="1"/>
  <c r="CE336" i="90"/>
  <c r="DE336" i="90" s="1"/>
  <c r="FG336" i="90" s="1"/>
  <c r="CP336" i="90" s="1"/>
  <c r="AA336" i="56" s="1"/>
  <c r="CE319" i="90"/>
  <c r="DE319" i="90" s="1"/>
  <c r="FG319" i="90" s="1"/>
  <c r="CP319" i="90" s="1"/>
  <c r="AA319" i="56" s="1"/>
  <c r="CE396" i="90"/>
  <c r="DE396" i="90" s="1"/>
  <c r="FG396" i="90" s="1"/>
  <c r="CP396" i="90" s="1"/>
  <c r="AA396" i="56" s="1"/>
  <c r="CE381" i="90"/>
  <c r="DE381" i="90" s="1"/>
  <c r="FG381" i="90" s="1"/>
  <c r="CP381" i="90" s="1"/>
  <c r="AA381" i="56" s="1"/>
  <c r="CE339" i="90"/>
  <c r="DE339" i="90" s="1"/>
  <c r="FG339" i="90" s="1"/>
  <c r="CP339" i="90" s="1"/>
  <c r="AA339" i="56" s="1"/>
  <c r="CE324" i="90"/>
  <c r="DE324" i="90" s="1"/>
  <c r="FG324" i="90" s="1"/>
  <c r="CP324" i="90" s="1"/>
  <c r="AA324" i="56" s="1"/>
  <c r="CE245" i="90"/>
  <c r="DE245" i="90" s="1"/>
  <c r="FG245" i="90" s="1"/>
  <c r="CP245" i="90" s="1"/>
  <c r="AA245" i="56" s="1"/>
  <c r="CE241" i="90"/>
  <c r="DE241" i="90" s="1"/>
  <c r="FG241" i="90" s="1"/>
  <c r="CP241" i="90" s="1"/>
  <c r="AA241" i="56" s="1"/>
  <c r="CE237" i="90"/>
  <c r="DE237" i="90" s="1"/>
  <c r="FG237" i="90" s="1"/>
  <c r="CP237" i="90" s="1"/>
  <c r="AA237" i="56" s="1"/>
  <c r="CE51" i="90"/>
  <c r="DE51" i="90" s="1"/>
  <c r="FG51" i="90" s="1"/>
  <c r="CP51" i="90" s="1"/>
  <c r="AA51" i="56" s="1"/>
  <c r="CE47" i="90"/>
  <c r="DE47" i="90" s="1"/>
  <c r="FG47" i="90" s="1"/>
  <c r="CP47" i="90" s="1"/>
  <c r="AA47" i="56" s="1"/>
  <c r="CE385" i="90"/>
  <c r="DE385" i="90" s="1"/>
  <c r="FG385" i="90" s="1"/>
  <c r="CP385" i="90" s="1"/>
  <c r="AA385" i="56" s="1"/>
  <c r="CE368" i="90"/>
  <c r="DE368" i="90" s="1"/>
  <c r="FG368" i="90" s="1"/>
  <c r="CP368" i="90" s="1"/>
  <c r="AA368" i="56" s="1"/>
  <c r="CE328" i="90"/>
  <c r="DE328" i="90" s="1"/>
  <c r="FG328" i="90" s="1"/>
  <c r="CP328" i="90" s="1"/>
  <c r="AA328" i="56" s="1"/>
  <c r="CE389" i="90"/>
  <c r="DE389" i="90" s="1"/>
  <c r="FG389" i="90" s="1"/>
  <c r="CP389" i="90" s="1"/>
  <c r="AA389" i="56" s="1"/>
  <c r="CE372" i="90"/>
  <c r="DE372" i="90" s="1"/>
  <c r="FG372" i="90" s="1"/>
  <c r="CP372" i="90" s="1"/>
  <c r="AA372" i="56" s="1"/>
  <c r="CE332" i="90"/>
  <c r="DE332" i="90" s="1"/>
  <c r="FG332" i="90" s="1"/>
  <c r="CP332" i="90" s="1"/>
  <c r="AA332" i="56" s="1"/>
  <c r="CE315" i="90"/>
  <c r="DE315" i="90" s="1"/>
  <c r="FG315" i="90" s="1"/>
  <c r="CP315" i="90" s="1"/>
  <c r="AA315" i="56" s="1"/>
  <c r="CE311" i="90"/>
  <c r="DE311" i="90" s="1"/>
  <c r="FG311" i="90" s="1"/>
  <c r="CP311" i="90" s="1"/>
  <c r="AA311" i="56" s="1"/>
  <c r="CE248" i="90"/>
  <c r="DE248" i="90" s="1"/>
  <c r="FG248" i="90" s="1"/>
  <c r="CP248" i="90" s="1"/>
  <c r="AA248" i="56" s="1"/>
  <c r="CE244" i="90"/>
  <c r="DE244" i="90" s="1"/>
  <c r="FG244" i="90" s="1"/>
  <c r="CP244" i="90" s="1"/>
  <c r="AA244" i="56" s="1"/>
  <c r="CE240" i="90"/>
  <c r="DE240" i="90" s="1"/>
  <c r="FG240" i="90" s="1"/>
  <c r="CP240" i="90" s="1"/>
  <c r="AA240" i="56" s="1"/>
  <c r="CE54" i="90"/>
  <c r="DE54" i="90" s="1"/>
  <c r="FG54" i="90" s="1"/>
  <c r="CP54" i="90" s="1"/>
  <c r="AA54" i="56" s="1"/>
  <c r="CE50" i="90"/>
  <c r="DE50" i="90" s="1"/>
  <c r="FG50" i="90" s="1"/>
  <c r="CP50" i="90" s="1"/>
  <c r="AA50" i="56" s="1"/>
  <c r="CE46" i="90"/>
  <c r="DE46" i="90" s="1"/>
  <c r="FG46" i="90" s="1"/>
  <c r="CP46" i="90" s="1"/>
  <c r="AA46" i="56" s="1"/>
  <c r="CE376" i="90"/>
  <c r="DE376" i="90" s="1"/>
  <c r="FG376" i="90" s="1"/>
  <c r="CP376" i="90" s="1"/>
  <c r="AA376" i="56" s="1"/>
  <c r="CE309" i="90"/>
  <c r="DE309" i="90" s="1"/>
  <c r="FG309" i="90" s="1"/>
  <c r="CP309" i="90" s="1"/>
  <c r="AA309" i="56" s="1"/>
  <c r="CE384" i="90"/>
  <c r="DE384" i="90" s="1"/>
  <c r="FG384" i="90" s="1"/>
  <c r="CP384" i="90" s="1"/>
  <c r="AA384" i="56" s="1"/>
  <c r="CE369" i="90"/>
  <c r="DE369" i="90" s="1"/>
  <c r="FG369" i="90" s="1"/>
  <c r="CP369" i="90" s="1"/>
  <c r="AA369" i="56" s="1"/>
  <c r="CE327" i="90"/>
  <c r="DE327" i="90" s="1"/>
  <c r="FG327" i="90" s="1"/>
  <c r="CP327" i="90" s="1"/>
  <c r="AA327" i="56" s="1"/>
  <c r="CE312" i="90"/>
  <c r="DE312" i="90" s="1"/>
  <c r="FG312" i="90" s="1"/>
  <c r="CP312" i="90" s="1"/>
  <c r="AA312" i="56" s="1"/>
  <c r="CE242" i="90"/>
  <c r="DE242" i="90" s="1"/>
  <c r="FG242" i="90" s="1"/>
  <c r="CP242" i="90" s="1"/>
  <c r="AA242" i="56" s="1"/>
  <c r="CE49" i="90"/>
  <c r="DE49" i="90" s="1"/>
  <c r="FG49" i="90" s="1"/>
  <c r="CP49" i="90" s="1"/>
  <c r="AA49" i="56" s="1"/>
  <c r="CE331" i="90"/>
  <c r="DE331" i="90" s="1"/>
  <c r="FG331" i="90" s="1"/>
  <c r="CP331" i="90" s="1"/>
  <c r="AA331" i="56" s="1"/>
  <c r="CE48" i="90"/>
  <c r="DE48" i="90" s="1"/>
  <c r="FG48" i="90" s="1"/>
  <c r="CP48" i="90" s="1"/>
  <c r="AA48" i="56" s="1"/>
  <c r="CE246" i="90"/>
  <c r="DE246" i="90" s="1"/>
  <c r="FG246" i="90" s="1"/>
  <c r="CP246" i="90" s="1"/>
  <c r="AA246" i="56" s="1"/>
  <c r="CE53" i="90"/>
  <c r="DE53" i="90" s="1"/>
  <c r="FG53" i="90" s="1"/>
  <c r="CP53" i="90" s="1"/>
  <c r="AA53" i="56" s="1"/>
  <c r="CE316" i="90"/>
  <c r="DE316" i="90" s="1"/>
  <c r="FG316" i="90" s="1"/>
  <c r="CP316" i="90" s="1"/>
  <c r="AA316" i="56" s="1"/>
  <c r="CE63" i="90"/>
  <c r="DE63" i="90" s="1"/>
  <c r="FG63" i="90" s="1"/>
  <c r="CP63" i="90" s="1"/>
  <c r="AA63" i="56" s="1"/>
  <c r="CE373" i="90"/>
  <c r="DE373" i="90" s="1"/>
  <c r="FG373" i="90" s="1"/>
  <c r="CP373" i="90" s="1"/>
  <c r="AA373" i="56" s="1"/>
  <c r="CE243" i="90"/>
  <c r="DE243" i="90" s="1"/>
  <c r="FG243" i="90" s="1"/>
  <c r="CP243" i="90" s="1"/>
  <c r="AA243" i="56" s="1"/>
  <c r="CE247" i="90"/>
  <c r="DE247" i="90" s="1"/>
  <c r="FG247" i="90" s="1"/>
  <c r="CP247" i="90" s="1"/>
  <c r="AA247" i="56" s="1"/>
  <c r="CE365" i="90"/>
  <c r="DE365" i="90" s="1"/>
  <c r="FG365" i="90" s="1"/>
  <c r="CP365" i="90" s="1"/>
  <c r="AA365" i="56" s="1"/>
  <c r="CE323" i="90"/>
  <c r="DE323" i="90" s="1"/>
  <c r="FG323" i="90" s="1"/>
  <c r="CP323" i="90" s="1"/>
  <c r="AA323" i="56" s="1"/>
  <c r="CE239" i="90"/>
  <c r="DE239" i="90" s="1"/>
  <c r="FG239" i="90" s="1"/>
  <c r="CP239" i="90" s="1"/>
  <c r="AA239" i="56" s="1"/>
  <c r="CE52" i="90"/>
  <c r="DE52" i="90" s="1"/>
  <c r="FG52" i="90" s="1"/>
  <c r="CP52" i="90" s="1"/>
  <c r="AA52" i="56" s="1"/>
  <c r="CE388" i="90"/>
  <c r="DE388" i="90" s="1"/>
  <c r="FG388" i="90" s="1"/>
  <c r="CP388" i="90" s="1"/>
  <c r="AA388" i="56" s="1"/>
  <c r="CE62" i="90"/>
  <c r="DE62" i="90" s="1"/>
  <c r="FG62" i="90" s="1"/>
  <c r="CP62" i="90" s="1"/>
  <c r="AA62" i="56" s="1"/>
  <c r="CE238" i="90"/>
  <c r="DE238" i="90" s="1"/>
  <c r="FG238" i="90" s="1"/>
  <c r="CP238" i="90" s="1"/>
  <c r="AA238" i="56" s="1"/>
  <c r="CE380" i="90"/>
  <c r="DE380" i="90" s="1"/>
  <c r="FG380" i="90" s="1"/>
  <c r="CP380" i="90" s="1"/>
  <c r="AA380" i="56" s="1"/>
  <c r="X165" i="44"/>
  <c r="X213" i="44"/>
  <c r="X221" i="44" s="1"/>
  <c r="X98" i="44"/>
  <c r="X101" i="44" s="1"/>
  <c r="X103" i="44" s="1"/>
  <c r="FG338" i="90"/>
  <c r="CP338" i="90" s="1"/>
  <c r="AA338" i="56" s="1"/>
  <c r="X167" i="44"/>
  <c r="X212" i="44"/>
  <c r="X222" i="44" s="1"/>
  <c r="Y260" i="44"/>
  <c r="Y258" i="44"/>
  <c r="AA85" i="41"/>
  <c r="AA39" i="93"/>
  <c r="AG15" i="40"/>
  <c r="Z242" i="44"/>
  <c r="Z186" i="44"/>
  <c r="Z191" i="44"/>
  <c r="Z193" i="44"/>
  <c r="Z188" i="44"/>
  <c r="X166" i="44"/>
  <c r="X210" i="44"/>
  <c r="Y206" i="44"/>
  <c r="Y259" i="44"/>
  <c r="Y207" i="44"/>
  <c r="Y205" i="44"/>
  <c r="Y273" i="44" s="1"/>
  <c r="Z51" i="44" l="1"/>
  <c r="Z138" i="44" s="1"/>
  <c r="Z139" i="44" s="1"/>
  <c r="AA309" i="44"/>
  <c r="AA311" i="44"/>
  <c r="AA274" i="44"/>
  <c r="AA310" i="44"/>
  <c r="AA298" i="44"/>
  <c r="Y122" i="41"/>
  <c r="Y279" i="44"/>
  <c r="Y283" i="44" s="1"/>
  <c r="Z289" i="44"/>
  <c r="Z291" i="44" s="1"/>
  <c r="Z281" i="44"/>
  <c r="Z126" i="44"/>
  <c r="Z277" i="44"/>
  <c r="Z209" i="44"/>
  <c r="X297" i="44"/>
  <c r="X302" i="44" s="1"/>
  <c r="X288" i="44"/>
  <c r="X307" i="44"/>
  <c r="X313" i="44" s="1"/>
  <c r="Z125" i="44"/>
  <c r="Z124" i="44"/>
  <c r="AA83" i="44"/>
  <c r="AA114" i="41"/>
  <c r="L173" i="98"/>
  <c r="N136" i="98"/>
  <c r="AF83" i="86"/>
  <c r="AF102" i="117"/>
  <c r="O165" i="98"/>
  <c r="AG97" i="117"/>
  <c r="AG99" i="117" s="1"/>
  <c r="AG102" i="117" s="1"/>
  <c r="AG106" i="117" s="1"/>
  <c r="AG80" i="86"/>
  <c r="AG35" i="12"/>
  <c r="N58" i="98"/>
  <c r="N60" i="98" s="1"/>
  <c r="N168" i="98"/>
  <c r="AR14" i="42"/>
  <c r="AV14" i="42"/>
  <c r="AI99" i="12"/>
  <c r="AI105" i="117" s="1"/>
  <c r="AH32" i="12"/>
  <c r="AE84" i="86"/>
  <c r="M116" i="98"/>
  <c r="AK14" i="42"/>
  <c r="N43" i="98"/>
  <c r="FG55" i="90"/>
  <c r="CP55" i="90" s="1"/>
  <c r="AA55" i="56" s="1"/>
  <c r="FG88" i="90"/>
  <c r="CP88" i="90" s="1"/>
  <c r="AA88" i="56" s="1"/>
  <c r="FG201" i="90"/>
  <c r="CP201" i="90" s="1"/>
  <c r="AA201" i="56" s="1"/>
  <c r="FG75" i="90"/>
  <c r="CP75" i="90" s="1"/>
  <c r="AA75" i="56" s="1"/>
  <c r="FG197" i="90"/>
  <c r="CP197" i="90" s="1"/>
  <c r="AA197" i="56" s="1"/>
  <c r="FG202" i="90"/>
  <c r="CP202" i="90" s="1"/>
  <c r="AA202" i="56" s="1"/>
  <c r="FG124" i="90"/>
  <c r="CP124" i="90" s="1"/>
  <c r="AA124" i="56" s="1"/>
  <c r="FG145" i="90"/>
  <c r="CP145" i="90" s="1"/>
  <c r="AA145" i="56" s="1"/>
  <c r="FG176" i="90"/>
  <c r="CP176" i="90" s="1"/>
  <c r="AA176" i="56" s="1"/>
  <c r="FG151" i="90"/>
  <c r="CP151" i="90" s="1"/>
  <c r="AA151" i="56" s="1"/>
  <c r="FG107" i="90"/>
  <c r="CP107" i="90" s="1"/>
  <c r="AA107" i="56" s="1"/>
  <c r="FG230" i="90"/>
  <c r="CP230" i="90" s="1"/>
  <c r="AA230" i="56" s="1"/>
  <c r="FG119" i="90"/>
  <c r="CP119" i="90" s="1"/>
  <c r="AA119" i="56" s="1"/>
  <c r="FG111" i="90"/>
  <c r="CP111" i="90" s="1"/>
  <c r="AA111" i="56" s="1"/>
  <c r="FG233" i="90"/>
  <c r="CP233" i="90" s="1"/>
  <c r="AA233" i="56" s="1"/>
  <c r="FG216" i="90"/>
  <c r="CP216" i="90" s="1"/>
  <c r="AA216" i="56" s="1"/>
  <c r="FG297" i="90"/>
  <c r="CP297" i="90" s="1"/>
  <c r="AA297" i="56" s="1"/>
  <c r="FG280" i="90"/>
  <c r="CP280" i="90" s="1"/>
  <c r="AA280" i="56" s="1"/>
  <c r="FG295" i="90"/>
  <c r="CP295" i="90" s="1"/>
  <c r="AA295" i="56" s="1"/>
  <c r="FG286" i="90"/>
  <c r="CP286" i="90" s="1"/>
  <c r="AA286" i="56" s="1"/>
  <c r="FG271" i="90"/>
  <c r="CP271" i="90" s="1"/>
  <c r="AA271" i="56" s="1"/>
  <c r="FG264" i="90"/>
  <c r="CP264" i="90" s="1"/>
  <c r="AA264" i="56" s="1"/>
  <c r="FG275" i="90"/>
  <c r="CP275" i="90" s="1"/>
  <c r="AA275" i="56" s="1"/>
  <c r="FG255" i="90"/>
  <c r="CP255" i="90" s="1"/>
  <c r="AA255" i="56" s="1"/>
  <c r="FG356" i="90"/>
  <c r="CP356" i="90" s="1"/>
  <c r="AA356" i="56" s="1"/>
  <c r="FG252" i="90"/>
  <c r="CP252" i="90" s="1"/>
  <c r="AA252" i="56" s="1"/>
  <c r="FG357" i="90"/>
  <c r="CP357" i="90" s="1"/>
  <c r="AA357" i="56" s="1"/>
  <c r="FG351" i="90"/>
  <c r="CP351" i="90" s="1"/>
  <c r="AA351" i="56" s="1"/>
  <c r="FG350" i="90"/>
  <c r="CP350" i="90" s="1"/>
  <c r="AA350" i="56" s="1"/>
  <c r="FG349" i="90"/>
  <c r="CP349" i="90" s="1"/>
  <c r="AA349" i="56" s="1"/>
  <c r="FG344" i="90"/>
  <c r="CP344" i="90" s="1"/>
  <c r="AA344" i="56" s="1"/>
  <c r="FG56" i="90"/>
  <c r="CP56" i="90" s="1"/>
  <c r="AA56" i="56" s="1"/>
  <c r="FG57" i="90"/>
  <c r="CP57" i="90" s="1"/>
  <c r="AA57" i="56" s="1"/>
  <c r="FG66" i="90"/>
  <c r="CP66" i="90" s="1"/>
  <c r="AA66" i="56" s="1"/>
  <c r="FG72" i="90"/>
  <c r="CP72" i="90" s="1"/>
  <c r="AA72" i="56" s="1"/>
  <c r="FG65" i="90"/>
  <c r="CP65" i="90" s="1"/>
  <c r="AA65" i="56" s="1"/>
  <c r="FG200" i="90"/>
  <c r="CP200" i="90" s="1"/>
  <c r="AA200" i="56" s="1"/>
  <c r="FG64" i="90"/>
  <c r="CP64" i="90" s="1"/>
  <c r="AA64" i="56" s="1"/>
  <c r="FG83" i="90"/>
  <c r="CP83" i="90" s="1"/>
  <c r="AA83" i="56" s="1"/>
  <c r="FG199" i="90"/>
  <c r="CP199" i="90" s="1"/>
  <c r="AA199" i="56" s="1"/>
  <c r="FG186" i="90"/>
  <c r="CP186" i="90" s="1"/>
  <c r="AA186" i="56" s="1"/>
  <c r="FG78" i="90"/>
  <c r="CP78" i="90" s="1"/>
  <c r="AA78" i="56" s="1"/>
  <c r="FG196" i="90"/>
  <c r="CP196" i="90" s="1"/>
  <c r="AA196" i="56" s="1"/>
  <c r="FG188" i="90"/>
  <c r="CP188" i="90" s="1"/>
  <c r="AA188" i="56" s="1"/>
  <c r="FG177" i="90"/>
  <c r="CP177" i="90" s="1"/>
  <c r="AA177" i="56" s="1"/>
  <c r="FG170" i="90"/>
  <c r="CP170" i="90" s="1"/>
  <c r="AA170" i="56" s="1"/>
  <c r="FG161" i="90"/>
  <c r="CP161" i="90" s="1"/>
  <c r="AA161" i="56" s="1"/>
  <c r="FG131" i="90"/>
  <c r="CP131" i="90" s="1"/>
  <c r="AA131" i="56" s="1"/>
  <c r="FG95" i="90"/>
  <c r="CP95" i="90" s="1"/>
  <c r="AA95" i="56" s="1"/>
  <c r="FG168" i="90"/>
  <c r="CP168" i="90" s="1"/>
  <c r="AA168" i="56" s="1"/>
  <c r="FG158" i="90"/>
  <c r="CP158" i="90" s="1"/>
  <c r="AA158" i="56" s="1"/>
  <c r="FG142" i="90"/>
  <c r="CP142" i="90" s="1"/>
  <c r="AA142" i="56" s="1"/>
  <c r="FG130" i="90"/>
  <c r="CP130" i="90" s="1"/>
  <c r="AA130" i="56" s="1"/>
  <c r="FG164" i="90"/>
  <c r="CP164" i="90" s="1"/>
  <c r="AA164" i="56" s="1"/>
  <c r="FG132" i="90"/>
  <c r="CP132" i="90" s="1"/>
  <c r="AA132" i="56" s="1"/>
  <c r="FG172" i="90"/>
  <c r="CP172" i="90" s="1"/>
  <c r="AA172" i="56" s="1"/>
  <c r="FG135" i="90"/>
  <c r="CP135" i="90" s="1"/>
  <c r="AA135" i="56" s="1"/>
  <c r="FG113" i="90"/>
  <c r="CP113" i="90" s="1"/>
  <c r="AA113" i="56" s="1"/>
  <c r="FG298" i="90"/>
  <c r="CP298" i="90" s="1"/>
  <c r="AA298" i="56" s="1"/>
  <c r="FG101" i="90"/>
  <c r="CP101" i="90" s="1"/>
  <c r="AA101" i="56" s="1"/>
  <c r="FG229" i="90"/>
  <c r="CP229" i="90" s="1"/>
  <c r="AA229" i="56" s="1"/>
  <c r="FG224" i="90"/>
  <c r="CP224" i="90" s="1"/>
  <c r="AA224" i="56" s="1"/>
  <c r="FG153" i="90"/>
  <c r="CP153" i="90" s="1"/>
  <c r="AA153" i="56" s="1"/>
  <c r="FG146" i="90"/>
  <c r="CP146" i="90" s="1"/>
  <c r="AA146" i="56" s="1"/>
  <c r="FG128" i="90"/>
  <c r="CP128" i="90" s="1"/>
  <c r="AA128" i="56" s="1"/>
  <c r="FG118" i="90"/>
  <c r="CP118" i="90" s="1"/>
  <c r="AA118" i="56" s="1"/>
  <c r="FG112" i="90"/>
  <c r="CP112" i="90" s="1"/>
  <c r="AA112" i="56" s="1"/>
  <c r="FG100" i="90"/>
  <c r="CP100" i="90" s="1"/>
  <c r="AA100" i="56" s="1"/>
  <c r="FG215" i="90"/>
  <c r="CP215" i="90" s="1"/>
  <c r="AA215" i="56" s="1"/>
  <c r="FG102" i="90"/>
  <c r="CP102" i="90" s="1"/>
  <c r="AA102" i="56" s="1"/>
  <c r="FG93" i="90"/>
  <c r="CP93" i="90" s="1"/>
  <c r="AA93" i="56" s="1"/>
  <c r="FG222" i="90"/>
  <c r="CP222" i="90" s="1"/>
  <c r="AA222" i="56" s="1"/>
  <c r="FG232" i="90"/>
  <c r="CP232" i="90" s="1"/>
  <c r="AA232" i="56" s="1"/>
  <c r="FG219" i="90"/>
  <c r="CP219" i="90" s="1"/>
  <c r="AA219" i="56" s="1"/>
  <c r="FG308" i="90"/>
  <c r="CP308" i="90" s="1"/>
  <c r="AA308" i="56" s="1"/>
  <c r="FG212" i="90"/>
  <c r="CP212" i="90" s="1"/>
  <c r="AA212" i="56" s="1"/>
  <c r="FG207" i="90"/>
  <c r="CP207" i="90" s="1"/>
  <c r="AA207" i="56" s="1"/>
  <c r="FG302" i="90"/>
  <c r="CP302" i="90" s="1"/>
  <c r="AA302" i="56" s="1"/>
  <c r="FG296" i="90"/>
  <c r="CP296" i="90" s="1"/>
  <c r="AA296" i="56" s="1"/>
  <c r="FG293" i="90"/>
  <c r="CP293" i="90" s="1"/>
  <c r="AA293" i="56" s="1"/>
  <c r="FG279" i="90"/>
  <c r="CP279" i="90" s="1"/>
  <c r="AA279" i="56" s="1"/>
  <c r="FG285" i="90"/>
  <c r="CP285" i="90" s="1"/>
  <c r="AA285" i="56" s="1"/>
  <c r="FG292" i="90"/>
  <c r="CP292" i="90" s="1"/>
  <c r="AA292" i="56" s="1"/>
  <c r="FG278" i="90"/>
  <c r="CP278" i="90" s="1"/>
  <c r="AA278" i="56" s="1"/>
  <c r="FG263" i="90"/>
  <c r="CP263" i="90" s="1"/>
  <c r="AA263" i="56" s="1"/>
  <c r="FG277" i="90"/>
  <c r="CP277" i="90" s="1"/>
  <c r="AA277" i="56" s="1"/>
  <c r="FG269" i="90"/>
  <c r="CP269" i="90" s="1"/>
  <c r="AA269" i="56" s="1"/>
  <c r="FG274" i="90"/>
  <c r="CP274" i="90" s="1"/>
  <c r="AA274" i="56" s="1"/>
  <c r="FG259" i="90"/>
  <c r="CP259" i="90" s="1"/>
  <c r="AA259" i="56" s="1"/>
  <c r="FG251" i="90"/>
  <c r="CP251" i="90" s="1"/>
  <c r="AA251" i="56" s="1"/>
  <c r="FG363" i="90"/>
  <c r="CP363" i="90" s="1"/>
  <c r="AA363" i="56" s="1"/>
  <c r="FG250" i="90"/>
  <c r="CP250" i="90" s="1"/>
  <c r="AA250" i="56" s="1"/>
  <c r="FG360" i="90"/>
  <c r="CP360" i="90" s="1"/>
  <c r="AA360" i="56" s="1"/>
  <c r="FG354" i="90"/>
  <c r="CP354" i="90" s="1"/>
  <c r="AA354" i="56" s="1"/>
  <c r="FG347" i="90"/>
  <c r="CP347" i="90" s="1"/>
  <c r="AA347" i="56" s="1"/>
  <c r="FG348" i="90"/>
  <c r="CP348" i="90" s="1"/>
  <c r="AA348" i="56" s="1"/>
  <c r="FG343" i="90"/>
  <c r="CP343" i="90" s="1"/>
  <c r="AA343" i="56" s="1"/>
  <c r="FG59" i="90"/>
  <c r="CP59" i="90" s="1"/>
  <c r="AA59" i="56" s="1"/>
  <c r="FG81" i="90"/>
  <c r="CP81" i="90" s="1"/>
  <c r="AA81" i="56" s="1"/>
  <c r="FG84" i="90"/>
  <c r="CP84" i="90" s="1"/>
  <c r="AA84" i="56" s="1"/>
  <c r="FG192" i="90"/>
  <c r="CP192" i="90" s="1"/>
  <c r="AA192" i="56" s="1"/>
  <c r="FG189" i="90"/>
  <c r="CP189" i="90" s="1"/>
  <c r="AA189" i="56" s="1"/>
  <c r="FG162" i="90"/>
  <c r="CP162" i="90" s="1"/>
  <c r="AA162" i="56" s="1"/>
  <c r="FG181" i="90"/>
  <c r="CP181" i="90" s="1"/>
  <c r="AA181" i="56" s="1"/>
  <c r="FG133" i="90"/>
  <c r="CP133" i="90" s="1"/>
  <c r="AA133" i="56" s="1"/>
  <c r="FG136" i="90"/>
  <c r="CP136" i="90" s="1"/>
  <c r="AA136" i="56" s="1"/>
  <c r="FG116" i="90"/>
  <c r="CP116" i="90" s="1"/>
  <c r="AA116" i="56" s="1"/>
  <c r="FG109" i="90"/>
  <c r="CP109" i="90" s="1"/>
  <c r="AA109" i="56" s="1"/>
  <c r="FG147" i="90"/>
  <c r="CP147" i="90" s="1"/>
  <c r="AA147" i="56" s="1"/>
  <c r="FG114" i="90"/>
  <c r="CP114" i="90" s="1"/>
  <c r="AA114" i="56" s="1"/>
  <c r="FG223" i="90"/>
  <c r="CP223" i="90" s="1"/>
  <c r="AA223" i="56" s="1"/>
  <c r="FG228" i="90"/>
  <c r="CP228" i="90" s="1"/>
  <c r="AA228" i="56" s="1"/>
  <c r="FG209" i="90"/>
  <c r="CP209" i="90" s="1"/>
  <c r="AA209" i="56" s="1"/>
  <c r="FG303" i="90"/>
  <c r="CP303" i="90" s="1"/>
  <c r="AA303" i="56" s="1"/>
  <c r="FG299" i="90"/>
  <c r="CP299" i="90" s="1"/>
  <c r="AA299" i="56" s="1"/>
  <c r="FG287" i="90"/>
  <c r="CP287" i="90" s="1"/>
  <c r="AA287" i="56" s="1"/>
  <c r="FG254" i="90"/>
  <c r="CP254" i="90" s="1"/>
  <c r="AA254" i="56" s="1"/>
  <c r="CF343" i="90"/>
  <c r="DF343" i="90" s="1"/>
  <c r="FH343" i="90" s="1"/>
  <c r="CQ343" i="90" s="1"/>
  <c r="AB343" i="56" s="1"/>
  <c r="CF341" i="90"/>
  <c r="DF341" i="90" s="1"/>
  <c r="FH341" i="90" s="1"/>
  <c r="CQ341" i="90" s="1"/>
  <c r="AB341" i="56" s="1"/>
  <c r="CF342" i="90"/>
  <c r="DF342" i="90" s="1"/>
  <c r="FH342" i="90" s="1"/>
  <c r="CQ342" i="90" s="1"/>
  <c r="AB342" i="56" s="1"/>
  <c r="CF346" i="90"/>
  <c r="DF346" i="90" s="1"/>
  <c r="CF340" i="90"/>
  <c r="DF340" i="90" s="1"/>
  <c r="CF344" i="90"/>
  <c r="DF344" i="90" s="1"/>
  <c r="CF347" i="90"/>
  <c r="DF347" i="90" s="1"/>
  <c r="CF351" i="90"/>
  <c r="DF351" i="90" s="1"/>
  <c r="CF349" i="90"/>
  <c r="DF349" i="90" s="1"/>
  <c r="CF355" i="90"/>
  <c r="DF355" i="90" s="1"/>
  <c r="CF356" i="90"/>
  <c r="DF356" i="90" s="1"/>
  <c r="CF357" i="90"/>
  <c r="DF357" i="90" s="1"/>
  <c r="FH357" i="90" s="1"/>
  <c r="CQ357" i="90" s="1"/>
  <c r="AB357" i="56" s="1"/>
  <c r="CF358" i="90"/>
  <c r="DF358" i="90" s="1"/>
  <c r="CF345" i="90"/>
  <c r="DF345" i="90" s="1"/>
  <c r="FH345" i="90" s="1"/>
  <c r="CQ345" i="90" s="1"/>
  <c r="AB345" i="56" s="1"/>
  <c r="CF350" i="90"/>
  <c r="DF350" i="90" s="1"/>
  <c r="CF352" i="90"/>
  <c r="DF352" i="90" s="1"/>
  <c r="FH352" i="90" s="1"/>
  <c r="CQ352" i="90" s="1"/>
  <c r="AB352" i="56" s="1"/>
  <c r="CF353" i="90"/>
  <c r="DF353" i="90" s="1"/>
  <c r="FH353" i="90" s="1"/>
  <c r="CQ353" i="90" s="1"/>
  <c r="AB353" i="56" s="1"/>
  <c r="CF348" i="90"/>
  <c r="DF348" i="90" s="1"/>
  <c r="CF354" i="90"/>
  <c r="DF354" i="90" s="1"/>
  <c r="FH354" i="90" s="1"/>
  <c r="CQ354" i="90" s="1"/>
  <c r="AB354" i="56" s="1"/>
  <c r="CF362" i="90"/>
  <c r="DF362" i="90" s="1"/>
  <c r="CF359" i="90"/>
  <c r="DF359" i="90" s="1"/>
  <c r="CF360" i="90"/>
  <c r="DF360" i="90" s="1"/>
  <c r="CF253" i="90"/>
  <c r="DF253" i="90" s="1"/>
  <c r="FH253" i="90" s="1"/>
  <c r="CQ253" i="90" s="1"/>
  <c r="AB253" i="56" s="1"/>
  <c r="CF254" i="90"/>
  <c r="DF254" i="90" s="1"/>
  <c r="CF256" i="90"/>
  <c r="DF256" i="90" s="1"/>
  <c r="CF259" i="90"/>
  <c r="DF259" i="90" s="1"/>
  <c r="CF260" i="90"/>
  <c r="DF260" i="90" s="1"/>
  <c r="FH260" i="90" s="1"/>
  <c r="CQ260" i="90" s="1"/>
  <c r="AB260" i="56" s="1"/>
  <c r="CF361" i="90"/>
  <c r="DF361" i="90" s="1"/>
  <c r="CF249" i="90"/>
  <c r="DF249" i="90" s="1"/>
  <c r="CF250" i="90"/>
  <c r="DF250" i="90" s="1"/>
  <c r="CF252" i="90"/>
  <c r="DF252" i="90" s="1"/>
  <c r="CF363" i="90"/>
  <c r="DF363" i="90" s="1"/>
  <c r="CF364" i="90"/>
  <c r="DF364" i="90" s="1"/>
  <c r="FH364" i="90" s="1"/>
  <c r="CQ364" i="90" s="1"/>
  <c r="AB364" i="56" s="1"/>
  <c r="CF263" i="90"/>
  <c r="DF263" i="90" s="1"/>
  <c r="CF267" i="90"/>
  <c r="DF267" i="90" s="1"/>
  <c r="FH267" i="90" s="1"/>
  <c r="CQ267" i="90" s="1"/>
  <c r="AB267" i="56" s="1"/>
  <c r="CF268" i="90"/>
  <c r="DF268" i="90" s="1"/>
  <c r="CF273" i="90"/>
  <c r="DF273" i="90" s="1"/>
  <c r="CF255" i="90"/>
  <c r="DF255" i="90" s="1"/>
  <c r="CF275" i="90"/>
  <c r="DF275" i="90" s="1"/>
  <c r="CF258" i="90"/>
  <c r="DF258" i="90" s="1"/>
  <c r="CF262" i="90"/>
  <c r="DF262" i="90" s="1"/>
  <c r="FH262" i="90" s="1"/>
  <c r="CQ262" i="90" s="1"/>
  <c r="AB262" i="56" s="1"/>
  <c r="CF270" i="90"/>
  <c r="DF270" i="90" s="1"/>
  <c r="CF274" i="90"/>
  <c r="DF274" i="90" s="1"/>
  <c r="CF251" i="90"/>
  <c r="DF251" i="90" s="1"/>
  <c r="CF257" i="90"/>
  <c r="DF257" i="90" s="1"/>
  <c r="CF261" i="90"/>
  <c r="DF261" i="90" s="1"/>
  <c r="FH261" i="90" s="1"/>
  <c r="CQ261" i="90" s="1"/>
  <c r="AB261" i="56" s="1"/>
  <c r="CF264" i="90"/>
  <c r="DF264" i="90" s="1"/>
  <c r="CF265" i="90"/>
  <c r="DF265" i="90" s="1"/>
  <c r="CF266" i="90"/>
  <c r="DF266" i="90" s="1"/>
  <c r="FH266" i="90" s="1"/>
  <c r="CQ266" i="90" s="1"/>
  <c r="AB266" i="56" s="1"/>
  <c r="CF269" i="90"/>
  <c r="DF269" i="90" s="1"/>
  <c r="CF271" i="90"/>
  <c r="DF271" i="90" s="1"/>
  <c r="CF272" i="90"/>
  <c r="DF272" i="90" s="1"/>
  <c r="CF276" i="90"/>
  <c r="DF276" i="90" s="1"/>
  <c r="CF279" i="90"/>
  <c r="DF279" i="90" s="1"/>
  <c r="CF280" i="90"/>
  <c r="DF280" i="90" s="1"/>
  <c r="CF282" i="90"/>
  <c r="DF282" i="90" s="1"/>
  <c r="CF284" i="90"/>
  <c r="DF284" i="90" s="1"/>
  <c r="FH284" i="90" s="1"/>
  <c r="CQ284" i="90" s="1"/>
  <c r="AB284" i="56" s="1"/>
  <c r="CF288" i="90"/>
  <c r="DF288" i="90" s="1"/>
  <c r="FH288" i="90" s="1"/>
  <c r="CQ288" i="90" s="1"/>
  <c r="AB288" i="56" s="1"/>
  <c r="CF278" i="90"/>
  <c r="DF278" i="90" s="1"/>
  <c r="CF286" i="90"/>
  <c r="DF286" i="90" s="1"/>
  <c r="CF289" i="90"/>
  <c r="DF289" i="90" s="1"/>
  <c r="CF290" i="90"/>
  <c r="DF290" i="90" s="1"/>
  <c r="FH290" i="90" s="1"/>
  <c r="CQ290" i="90" s="1"/>
  <c r="AB290" i="56" s="1"/>
  <c r="CF296" i="90"/>
  <c r="DF296" i="90" s="1"/>
  <c r="FH296" i="90" s="1"/>
  <c r="CQ296" i="90" s="1"/>
  <c r="AB296" i="56" s="1"/>
  <c r="CF297" i="90"/>
  <c r="DF297" i="90" s="1"/>
  <c r="CF299" i="90"/>
  <c r="DF299" i="90" s="1"/>
  <c r="FH299" i="90" s="1"/>
  <c r="CQ299" i="90" s="1"/>
  <c r="AB299" i="56" s="1"/>
  <c r="CF292" i="90"/>
  <c r="DF292" i="90" s="1"/>
  <c r="CF295" i="90"/>
  <c r="DF295" i="90" s="1"/>
  <c r="FH295" i="90" s="1"/>
  <c r="CQ295" i="90" s="1"/>
  <c r="AB295" i="56" s="1"/>
  <c r="CF277" i="90"/>
  <c r="DF277" i="90" s="1"/>
  <c r="FH277" i="90" s="1"/>
  <c r="CQ277" i="90" s="1"/>
  <c r="AB277" i="56" s="1"/>
  <c r="CF281" i="90"/>
  <c r="DF281" i="90" s="1"/>
  <c r="CF283" i="90"/>
  <c r="DF283" i="90" s="1"/>
  <c r="FH283" i="90" s="1"/>
  <c r="CQ283" i="90" s="1"/>
  <c r="AB283" i="56" s="1"/>
  <c r="CF285" i="90"/>
  <c r="DF285" i="90" s="1"/>
  <c r="FH285" i="90" s="1"/>
  <c r="CQ285" i="90" s="1"/>
  <c r="AB285" i="56" s="1"/>
  <c r="CF300" i="90"/>
  <c r="DF300" i="90" s="1"/>
  <c r="CF301" i="90"/>
  <c r="DF301" i="90" s="1"/>
  <c r="FH301" i="90" s="1"/>
  <c r="CQ301" i="90" s="1"/>
  <c r="AB301" i="56" s="1"/>
  <c r="CF302" i="90"/>
  <c r="DF302" i="90" s="1"/>
  <c r="CF287" i="90"/>
  <c r="DF287" i="90" s="1"/>
  <c r="CF293" i="90"/>
  <c r="DF293" i="90" s="1"/>
  <c r="CF209" i="90"/>
  <c r="DF209" i="90" s="1"/>
  <c r="FH209" i="90" s="1"/>
  <c r="CQ209" i="90" s="1"/>
  <c r="AB209" i="56" s="1"/>
  <c r="CF210" i="90"/>
  <c r="DF210" i="90" s="1"/>
  <c r="FH210" i="90" s="1"/>
  <c r="CQ210" i="90" s="1"/>
  <c r="AB210" i="56" s="1"/>
  <c r="CF211" i="90"/>
  <c r="DF211" i="90" s="1"/>
  <c r="FH211" i="90" s="1"/>
  <c r="CQ211" i="90" s="1"/>
  <c r="AB211" i="56" s="1"/>
  <c r="CF291" i="90"/>
  <c r="DF291" i="90" s="1"/>
  <c r="CF294" i="90"/>
  <c r="DF294" i="90" s="1"/>
  <c r="FH294" i="90" s="1"/>
  <c r="CQ294" i="90" s="1"/>
  <c r="AB294" i="56" s="1"/>
  <c r="CF298" i="90"/>
  <c r="DF298" i="90" s="1"/>
  <c r="CF305" i="90"/>
  <c r="DF305" i="90" s="1"/>
  <c r="FH305" i="90" s="1"/>
  <c r="CQ305" i="90" s="1"/>
  <c r="AB305" i="56" s="1"/>
  <c r="CF306" i="90"/>
  <c r="DF306" i="90" s="1"/>
  <c r="CF307" i="90"/>
  <c r="DF307" i="90" s="1"/>
  <c r="CF308" i="90"/>
  <c r="DF308" i="90" s="1"/>
  <c r="CF303" i="90"/>
  <c r="DF303" i="90" s="1"/>
  <c r="CF207" i="90"/>
  <c r="DF207" i="90" s="1"/>
  <c r="FH207" i="90" s="1"/>
  <c r="CQ207" i="90" s="1"/>
  <c r="AB207" i="56" s="1"/>
  <c r="CF213" i="90"/>
  <c r="DF213" i="90" s="1"/>
  <c r="FH213" i="90" s="1"/>
  <c r="CQ213" i="90" s="1"/>
  <c r="AB213" i="56" s="1"/>
  <c r="CF214" i="90"/>
  <c r="DF214" i="90" s="1"/>
  <c r="FH214" i="90" s="1"/>
  <c r="CQ214" i="90" s="1"/>
  <c r="AB214" i="56" s="1"/>
  <c r="CF215" i="90"/>
  <c r="DF215" i="90" s="1"/>
  <c r="FH215" i="90" s="1"/>
  <c r="CQ215" i="90" s="1"/>
  <c r="AB215" i="56" s="1"/>
  <c r="CF204" i="90"/>
  <c r="DF204" i="90" s="1"/>
  <c r="CF212" i="90"/>
  <c r="DF212" i="90" s="1"/>
  <c r="FH212" i="90" s="1"/>
  <c r="CQ212" i="90" s="1"/>
  <c r="AB212" i="56" s="1"/>
  <c r="CF216" i="90"/>
  <c r="DF216" i="90" s="1"/>
  <c r="CF221" i="90"/>
  <c r="DF221" i="90" s="1"/>
  <c r="FH221" i="90" s="1"/>
  <c r="CQ221" i="90" s="1"/>
  <c r="AB221" i="56" s="1"/>
  <c r="CF222" i="90"/>
  <c r="DF222" i="90" s="1"/>
  <c r="FH222" i="90" s="1"/>
  <c r="CQ222" i="90" s="1"/>
  <c r="AB222" i="56" s="1"/>
  <c r="CF223" i="90"/>
  <c r="DF223" i="90" s="1"/>
  <c r="FH223" i="90" s="1"/>
  <c r="CQ223" i="90" s="1"/>
  <c r="AB223" i="56" s="1"/>
  <c r="CF224" i="90"/>
  <c r="DF224" i="90" s="1"/>
  <c r="CF227" i="90"/>
  <c r="DF227" i="90" s="1"/>
  <c r="FH227" i="90" s="1"/>
  <c r="CQ227" i="90" s="1"/>
  <c r="AB227" i="56" s="1"/>
  <c r="CF228" i="90"/>
  <c r="DF228" i="90" s="1"/>
  <c r="CF96" i="90"/>
  <c r="DF96" i="90" s="1"/>
  <c r="FH96" i="90" s="1"/>
  <c r="CQ96" i="90" s="1"/>
  <c r="AB96" i="56" s="1"/>
  <c r="CF97" i="90"/>
  <c r="DF97" i="90" s="1"/>
  <c r="FH97" i="90" s="1"/>
  <c r="CQ97" i="90" s="1"/>
  <c r="AB97" i="56" s="1"/>
  <c r="CF102" i="90"/>
  <c r="DF102" i="90" s="1"/>
  <c r="CF220" i="90"/>
  <c r="DF220" i="90" s="1"/>
  <c r="CF225" i="90"/>
  <c r="DF225" i="90" s="1"/>
  <c r="FH225" i="90" s="1"/>
  <c r="CQ225" i="90" s="1"/>
  <c r="AB225" i="56" s="1"/>
  <c r="CF229" i="90"/>
  <c r="DF229" i="90" s="1"/>
  <c r="CF234" i="90"/>
  <c r="DF234" i="90" s="1"/>
  <c r="FH234" i="90" s="1"/>
  <c r="CQ234" i="90" s="1"/>
  <c r="AB234" i="56" s="1"/>
  <c r="CF236" i="90"/>
  <c r="DF236" i="90" s="1"/>
  <c r="FH236" i="90" s="1"/>
  <c r="CQ236" i="90" s="1"/>
  <c r="AB236" i="56" s="1"/>
  <c r="CF92" i="90"/>
  <c r="DF92" i="90" s="1"/>
  <c r="FH92" i="90" s="1"/>
  <c r="CQ92" i="90" s="1"/>
  <c r="AB92" i="56" s="1"/>
  <c r="CF98" i="90"/>
  <c r="DF98" i="90" s="1"/>
  <c r="FH98" i="90" s="1"/>
  <c r="CQ98" i="90" s="1"/>
  <c r="AB98" i="56" s="1"/>
  <c r="CF108" i="90"/>
  <c r="DF108" i="90" s="1"/>
  <c r="FH108" i="90" s="1"/>
  <c r="CQ108" i="90" s="1"/>
  <c r="AB108" i="56" s="1"/>
  <c r="CF109" i="90"/>
  <c r="DF109" i="90" s="1"/>
  <c r="CF110" i="90"/>
  <c r="DF110" i="90" s="1"/>
  <c r="FH110" i="90" s="1"/>
  <c r="CQ110" i="90" s="1"/>
  <c r="AB110" i="56" s="1"/>
  <c r="CF208" i="90"/>
  <c r="DF208" i="90" s="1"/>
  <c r="FH208" i="90" s="1"/>
  <c r="CQ208" i="90" s="1"/>
  <c r="AB208" i="56" s="1"/>
  <c r="CF219" i="90"/>
  <c r="DF219" i="90" s="1"/>
  <c r="CF226" i="90"/>
  <c r="DF226" i="90" s="1"/>
  <c r="CF231" i="90"/>
  <c r="DF231" i="90" s="1"/>
  <c r="CF235" i="90"/>
  <c r="DF235" i="90" s="1"/>
  <c r="FH235" i="90" s="1"/>
  <c r="CQ235" i="90" s="1"/>
  <c r="AB235" i="56" s="1"/>
  <c r="CF89" i="90"/>
  <c r="DF89" i="90" s="1"/>
  <c r="FH89" i="90" s="1"/>
  <c r="CQ89" i="90" s="1"/>
  <c r="AB89" i="56" s="1"/>
  <c r="CF93" i="90"/>
  <c r="DF93" i="90" s="1"/>
  <c r="CF99" i="90"/>
  <c r="DF99" i="90" s="1"/>
  <c r="FH99" i="90" s="1"/>
  <c r="CQ99" i="90" s="1"/>
  <c r="AB99" i="56" s="1"/>
  <c r="CF111" i="90"/>
  <c r="DF111" i="90" s="1"/>
  <c r="CF120" i="90"/>
  <c r="DF120" i="90" s="1"/>
  <c r="FH120" i="90" s="1"/>
  <c r="CQ120" i="90" s="1"/>
  <c r="AB120" i="56" s="1"/>
  <c r="CF132" i="90"/>
  <c r="DF132" i="90" s="1"/>
  <c r="FH132" i="90" s="1"/>
  <c r="CQ132" i="90" s="1"/>
  <c r="AB132" i="56" s="1"/>
  <c r="CF133" i="90"/>
  <c r="DF133" i="90" s="1"/>
  <c r="FH133" i="90" s="1"/>
  <c r="CQ133" i="90" s="1"/>
  <c r="AB133" i="56" s="1"/>
  <c r="CF134" i="90"/>
  <c r="DF134" i="90" s="1"/>
  <c r="FH134" i="90" s="1"/>
  <c r="CQ134" i="90" s="1"/>
  <c r="AB134" i="56" s="1"/>
  <c r="CF135" i="90"/>
  <c r="DF135" i="90" s="1"/>
  <c r="FH135" i="90" s="1"/>
  <c r="CQ135" i="90" s="1"/>
  <c r="AB135" i="56" s="1"/>
  <c r="CF136" i="90"/>
  <c r="DF136" i="90" s="1"/>
  <c r="CF137" i="90"/>
  <c r="DF137" i="90" s="1"/>
  <c r="FH137" i="90" s="1"/>
  <c r="CQ137" i="90" s="1"/>
  <c r="AB137" i="56" s="1"/>
  <c r="CF141" i="90"/>
  <c r="DF141" i="90" s="1"/>
  <c r="FH141" i="90" s="1"/>
  <c r="CQ141" i="90" s="1"/>
  <c r="AB141" i="56" s="1"/>
  <c r="CF142" i="90"/>
  <c r="DF142" i="90" s="1"/>
  <c r="CF151" i="90"/>
  <c r="DF151" i="90" s="1"/>
  <c r="CF304" i="90"/>
  <c r="DF304" i="90" s="1"/>
  <c r="CF205" i="90"/>
  <c r="DF205" i="90" s="1"/>
  <c r="FH205" i="90" s="1"/>
  <c r="CQ205" i="90" s="1"/>
  <c r="AB205" i="56" s="1"/>
  <c r="CF206" i="90"/>
  <c r="DF206" i="90" s="1"/>
  <c r="FH206" i="90" s="1"/>
  <c r="CQ206" i="90" s="1"/>
  <c r="AB206" i="56" s="1"/>
  <c r="CF217" i="90"/>
  <c r="DF217" i="90" s="1"/>
  <c r="CF218" i="90"/>
  <c r="DF218" i="90" s="1"/>
  <c r="FH218" i="90" s="1"/>
  <c r="CQ218" i="90" s="1"/>
  <c r="AB218" i="56" s="1"/>
  <c r="CF232" i="90"/>
  <c r="DF232" i="90" s="1"/>
  <c r="CF90" i="90"/>
  <c r="DF90" i="90" s="1"/>
  <c r="FH90" i="90" s="1"/>
  <c r="CQ90" i="90" s="1"/>
  <c r="AB90" i="56" s="1"/>
  <c r="CF94" i="90"/>
  <c r="DF94" i="90" s="1"/>
  <c r="CF95" i="90"/>
  <c r="DF95" i="90" s="1"/>
  <c r="CF104" i="90"/>
  <c r="DF104" i="90" s="1"/>
  <c r="FH104" i="90" s="1"/>
  <c r="CQ104" i="90" s="1"/>
  <c r="AB104" i="56" s="1"/>
  <c r="CF114" i="90"/>
  <c r="DF114" i="90" s="1"/>
  <c r="CF121" i="90"/>
  <c r="DF121" i="90" s="1"/>
  <c r="CF124" i="90"/>
  <c r="DF124" i="90" s="1"/>
  <c r="CF126" i="90"/>
  <c r="DF126" i="90" s="1"/>
  <c r="FH126" i="90" s="1"/>
  <c r="CQ126" i="90" s="1"/>
  <c r="AB126" i="56" s="1"/>
  <c r="CF233" i="90"/>
  <c r="DF233" i="90" s="1"/>
  <c r="CF103" i="90"/>
  <c r="DF103" i="90" s="1"/>
  <c r="CF119" i="90"/>
  <c r="DF119" i="90" s="1"/>
  <c r="CF127" i="90"/>
  <c r="DF127" i="90" s="1"/>
  <c r="FH127" i="90" s="1"/>
  <c r="CQ127" i="90" s="1"/>
  <c r="AB127" i="56" s="1"/>
  <c r="CF230" i="90"/>
  <c r="DF230" i="90" s="1"/>
  <c r="CF91" i="90"/>
  <c r="DF91" i="90" s="1"/>
  <c r="CF100" i="90"/>
  <c r="DF100" i="90" s="1"/>
  <c r="CF101" i="90"/>
  <c r="DF101" i="90" s="1"/>
  <c r="CF107" i="90"/>
  <c r="DF107" i="90" s="1"/>
  <c r="CF118" i="90"/>
  <c r="DF118" i="90" s="1"/>
  <c r="CF122" i="90"/>
  <c r="DF122" i="90" s="1"/>
  <c r="FH122" i="90" s="1"/>
  <c r="CQ122" i="90" s="1"/>
  <c r="AB122" i="56" s="1"/>
  <c r="CF123" i="90"/>
  <c r="DF123" i="90" s="1"/>
  <c r="FH123" i="90" s="1"/>
  <c r="CQ123" i="90" s="1"/>
  <c r="AB123" i="56" s="1"/>
  <c r="CF125" i="90"/>
  <c r="DF125" i="90" s="1"/>
  <c r="FH125" i="90" s="1"/>
  <c r="CQ125" i="90" s="1"/>
  <c r="AB125" i="56" s="1"/>
  <c r="CF112" i="90"/>
  <c r="DF112" i="90" s="1"/>
  <c r="CF117" i="90"/>
  <c r="DF117" i="90" s="1"/>
  <c r="FH117" i="90" s="1"/>
  <c r="CQ117" i="90" s="1"/>
  <c r="AB117" i="56" s="1"/>
  <c r="CF129" i="90"/>
  <c r="DF129" i="90" s="1"/>
  <c r="FH129" i="90" s="1"/>
  <c r="CQ129" i="90" s="1"/>
  <c r="AB129" i="56" s="1"/>
  <c r="CF131" i="90"/>
  <c r="DF131" i="90" s="1"/>
  <c r="CF143" i="90"/>
  <c r="DF143" i="90" s="1"/>
  <c r="FH143" i="90" s="1"/>
  <c r="CQ143" i="90" s="1"/>
  <c r="AB143" i="56" s="1"/>
  <c r="CF146" i="90"/>
  <c r="DF146" i="90" s="1"/>
  <c r="FH146" i="90" s="1"/>
  <c r="CQ146" i="90" s="1"/>
  <c r="AB146" i="56" s="1"/>
  <c r="CF149" i="90"/>
  <c r="DF149" i="90" s="1"/>
  <c r="FH149" i="90" s="1"/>
  <c r="CQ149" i="90" s="1"/>
  <c r="AB149" i="56" s="1"/>
  <c r="CF154" i="90"/>
  <c r="DF154" i="90" s="1"/>
  <c r="FH154" i="90" s="1"/>
  <c r="CQ154" i="90" s="1"/>
  <c r="AB154" i="56" s="1"/>
  <c r="CF159" i="90"/>
  <c r="DF159" i="90" s="1"/>
  <c r="FH159" i="90" s="1"/>
  <c r="CQ159" i="90" s="1"/>
  <c r="AB159" i="56" s="1"/>
  <c r="CF160" i="90"/>
  <c r="DF160" i="90" s="1"/>
  <c r="FH160" i="90" s="1"/>
  <c r="CQ160" i="90" s="1"/>
  <c r="AB160" i="56" s="1"/>
  <c r="CF161" i="90"/>
  <c r="DF161" i="90" s="1"/>
  <c r="CF162" i="90"/>
  <c r="DF162" i="90" s="1"/>
  <c r="CF163" i="90"/>
  <c r="DF163" i="90" s="1"/>
  <c r="CF169" i="90"/>
  <c r="DF169" i="90" s="1"/>
  <c r="FH169" i="90" s="1"/>
  <c r="CQ169" i="90" s="1"/>
  <c r="AB169" i="56" s="1"/>
  <c r="CF170" i="90"/>
  <c r="DF170" i="90" s="1"/>
  <c r="CF177" i="90"/>
  <c r="DF177" i="90" s="1"/>
  <c r="CF178" i="90"/>
  <c r="DF178" i="90" s="1"/>
  <c r="CF105" i="90"/>
  <c r="DF105" i="90" s="1"/>
  <c r="FH105" i="90" s="1"/>
  <c r="CQ105" i="90" s="1"/>
  <c r="AB105" i="56" s="1"/>
  <c r="CF115" i="90"/>
  <c r="DF115" i="90" s="1"/>
  <c r="FH115" i="90" s="1"/>
  <c r="CQ115" i="90" s="1"/>
  <c r="AB115" i="56" s="1"/>
  <c r="CF144" i="90"/>
  <c r="DF144" i="90" s="1"/>
  <c r="FH144" i="90" s="1"/>
  <c r="CQ144" i="90" s="1"/>
  <c r="AB144" i="56" s="1"/>
  <c r="CF147" i="90"/>
  <c r="DF147" i="90" s="1"/>
  <c r="CF155" i="90"/>
  <c r="DF155" i="90" s="1"/>
  <c r="FH155" i="90" s="1"/>
  <c r="CQ155" i="90" s="1"/>
  <c r="AB155" i="56" s="1"/>
  <c r="CF157" i="90"/>
  <c r="DF157" i="90" s="1"/>
  <c r="FH157" i="90" s="1"/>
  <c r="CQ157" i="90" s="1"/>
  <c r="AB157" i="56" s="1"/>
  <c r="CF171" i="90"/>
  <c r="DF171" i="90" s="1"/>
  <c r="FH171" i="90" s="1"/>
  <c r="CQ171" i="90" s="1"/>
  <c r="AB171" i="56" s="1"/>
  <c r="CF172" i="90"/>
  <c r="DF172" i="90" s="1"/>
  <c r="FH172" i="90" s="1"/>
  <c r="CQ172" i="90" s="1"/>
  <c r="AB172" i="56" s="1"/>
  <c r="CF173" i="90"/>
  <c r="DF173" i="90" s="1"/>
  <c r="FH173" i="90" s="1"/>
  <c r="CQ173" i="90" s="1"/>
  <c r="AB173" i="56" s="1"/>
  <c r="CF174" i="90"/>
  <c r="DF174" i="90" s="1"/>
  <c r="FH174" i="90" s="1"/>
  <c r="CQ174" i="90" s="1"/>
  <c r="AB174" i="56" s="1"/>
  <c r="CF175" i="90"/>
  <c r="DF175" i="90" s="1"/>
  <c r="FH175" i="90" s="1"/>
  <c r="CQ175" i="90" s="1"/>
  <c r="AB175" i="56" s="1"/>
  <c r="CF113" i="90"/>
  <c r="DF113" i="90" s="1"/>
  <c r="CF138" i="90"/>
  <c r="DF138" i="90" s="1"/>
  <c r="CF140" i="90"/>
  <c r="DF140" i="90" s="1"/>
  <c r="FH140" i="90" s="1"/>
  <c r="CQ140" i="90" s="1"/>
  <c r="AB140" i="56" s="1"/>
  <c r="CF148" i="90"/>
  <c r="DF148" i="90" s="1"/>
  <c r="FH148" i="90" s="1"/>
  <c r="CQ148" i="90" s="1"/>
  <c r="AB148" i="56" s="1"/>
  <c r="CF152" i="90"/>
  <c r="DF152" i="90" s="1"/>
  <c r="CF164" i="90"/>
  <c r="DF164" i="90" s="1"/>
  <c r="CF176" i="90"/>
  <c r="DF176" i="90" s="1"/>
  <c r="CF179" i="90"/>
  <c r="DF179" i="90" s="1"/>
  <c r="FH179" i="90" s="1"/>
  <c r="CQ179" i="90" s="1"/>
  <c r="AB179" i="56" s="1"/>
  <c r="CF180" i="90"/>
  <c r="DF180" i="90" s="1"/>
  <c r="CF106" i="90"/>
  <c r="DF106" i="90" s="1"/>
  <c r="FH106" i="90" s="1"/>
  <c r="CQ106" i="90" s="1"/>
  <c r="AB106" i="56" s="1"/>
  <c r="CF116" i="90"/>
  <c r="DF116" i="90" s="1"/>
  <c r="CF128" i="90"/>
  <c r="DF128" i="90" s="1"/>
  <c r="FH128" i="90" s="1"/>
  <c r="CQ128" i="90" s="1"/>
  <c r="AB128" i="56" s="1"/>
  <c r="CF130" i="90"/>
  <c r="DF130" i="90" s="1"/>
  <c r="CF139" i="90"/>
  <c r="DF139" i="90" s="1"/>
  <c r="FH139" i="90" s="1"/>
  <c r="CQ139" i="90" s="1"/>
  <c r="AB139" i="56" s="1"/>
  <c r="CF150" i="90"/>
  <c r="DF150" i="90" s="1"/>
  <c r="FH150" i="90" s="1"/>
  <c r="CQ150" i="90" s="1"/>
  <c r="AB150" i="56" s="1"/>
  <c r="CF181" i="90"/>
  <c r="DF181" i="90" s="1"/>
  <c r="FH181" i="90" s="1"/>
  <c r="CQ181" i="90" s="1"/>
  <c r="AB181" i="56" s="1"/>
  <c r="CF182" i="90"/>
  <c r="DF182" i="90" s="1"/>
  <c r="CF194" i="90"/>
  <c r="DF194" i="90" s="1"/>
  <c r="CF195" i="90"/>
  <c r="DF195" i="90" s="1"/>
  <c r="FH195" i="90" s="1"/>
  <c r="CQ195" i="90" s="1"/>
  <c r="AB195" i="56" s="1"/>
  <c r="CF200" i="90"/>
  <c r="DF200" i="90" s="1"/>
  <c r="FH200" i="90" s="1"/>
  <c r="CQ200" i="90" s="1"/>
  <c r="AB200" i="56" s="1"/>
  <c r="CF201" i="90"/>
  <c r="DF201" i="90" s="1"/>
  <c r="CF74" i="90"/>
  <c r="DF74" i="90" s="1"/>
  <c r="FH74" i="90" s="1"/>
  <c r="CQ74" i="90" s="1"/>
  <c r="AB74" i="56" s="1"/>
  <c r="CF156" i="90"/>
  <c r="DF156" i="90" s="1"/>
  <c r="FH156" i="90" s="1"/>
  <c r="CQ156" i="90" s="1"/>
  <c r="AB156" i="56" s="1"/>
  <c r="CF202" i="90"/>
  <c r="DF202" i="90" s="1"/>
  <c r="CF203" i="90"/>
  <c r="DF203" i="90" s="1"/>
  <c r="FH203" i="90" s="1"/>
  <c r="CQ203" i="90" s="1"/>
  <c r="AB203" i="56" s="1"/>
  <c r="CF145" i="90"/>
  <c r="DF145" i="90" s="1"/>
  <c r="CF158" i="90"/>
  <c r="DF158" i="90" s="1"/>
  <c r="CF183" i="90"/>
  <c r="DF183" i="90" s="1"/>
  <c r="FH183" i="90" s="1"/>
  <c r="CQ183" i="90" s="1"/>
  <c r="AB183" i="56" s="1"/>
  <c r="CF187" i="90"/>
  <c r="DF187" i="90" s="1"/>
  <c r="CF188" i="90"/>
  <c r="DF188" i="90" s="1"/>
  <c r="CF189" i="90"/>
  <c r="DF189" i="90" s="1"/>
  <c r="CF190" i="90"/>
  <c r="DF190" i="90" s="1"/>
  <c r="FH190" i="90" s="1"/>
  <c r="CQ190" i="90" s="1"/>
  <c r="AB190" i="56" s="1"/>
  <c r="CF191" i="90"/>
  <c r="DF191" i="90" s="1"/>
  <c r="CF196" i="90"/>
  <c r="DF196" i="90" s="1"/>
  <c r="CF197" i="90"/>
  <c r="DF197" i="90" s="1"/>
  <c r="CF73" i="90"/>
  <c r="DF73" i="90" s="1"/>
  <c r="FH73" i="90" s="1"/>
  <c r="CQ73" i="90" s="1"/>
  <c r="AB73" i="56" s="1"/>
  <c r="CF77" i="90"/>
  <c r="DF77" i="90" s="1"/>
  <c r="CF78" i="90"/>
  <c r="DF78" i="90" s="1"/>
  <c r="CF79" i="90"/>
  <c r="DF79" i="90" s="1"/>
  <c r="FH79" i="90" s="1"/>
  <c r="CQ79" i="90" s="1"/>
  <c r="AB79" i="56" s="1"/>
  <c r="CF80" i="90"/>
  <c r="DF80" i="90" s="1"/>
  <c r="FH80" i="90" s="1"/>
  <c r="CQ80" i="90" s="1"/>
  <c r="AB80" i="56" s="1"/>
  <c r="CF81" i="90"/>
  <c r="DF81" i="90" s="1"/>
  <c r="CF88" i="90"/>
  <c r="DF88" i="90" s="1"/>
  <c r="CF66" i="90"/>
  <c r="DF66" i="90" s="1"/>
  <c r="CF67" i="90"/>
  <c r="DF67" i="90" s="1"/>
  <c r="FH67" i="90" s="1"/>
  <c r="CQ67" i="90" s="1"/>
  <c r="AB67" i="56" s="1"/>
  <c r="CF68" i="90"/>
  <c r="DF68" i="90" s="1"/>
  <c r="CF153" i="90"/>
  <c r="DF153" i="90" s="1"/>
  <c r="FH153" i="90" s="1"/>
  <c r="CQ153" i="90" s="1"/>
  <c r="AB153" i="56" s="1"/>
  <c r="CF165" i="90"/>
  <c r="DF165" i="90" s="1"/>
  <c r="FH165" i="90" s="1"/>
  <c r="CQ165" i="90" s="1"/>
  <c r="AB165" i="56" s="1"/>
  <c r="CF166" i="90"/>
  <c r="DF166" i="90" s="1"/>
  <c r="FH166" i="90" s="1"/>
  <c r="CQ166" i="90" s="1"/>
  <c r="AB166" i="56" s="1"/>
  <c r="CF167" i="90"/>
  <c r="DF167" i="90" s="1"/>
  <c r="CF168" i="90"/>
  <c r="DF168" i="90" s="1"/>
  <c r="CF184" i="90"/>
  <c r="DF184" i="90" s="1"/>
  <c r="FH184" i="90" s="1"/>
  <c r="CQ184" i="90" s="1"/>
  <c r="AB184" i="56" s="1"/>
  <c r="CF185" i="90"/>
  <c r="DF185" i="90" s="1"/>
  <c r="CF186" i="90"/>
  <c r="DF186" i="90" s="1"/>
  <c r="CF192" i="90"/>
  <c r="DF192" i="90" s="1"/>
  <c r="FH192" i="90" s="1"/>
  <c r="CQ192" i="90" s="1"/>
  <c r="AB192" i="56" s="1"/>
  <c r="CF193" i="90"/>
  <c r="DF193" i="90" s="1"/>
  <c r="FH193" i="90" s="1"/>
  <c r="CQ193" i="90" s="1"/>
  <c r="AB193" i="56" s="1"/>
  <c r="CF198" i="90"/>
  <c r="DF198" i="90" s="1"/>
  <c r="FH198" i="90" s="1"/>
  <c r="CQ198" i="90" s="1"/>
  <c r="AB198" i="56" s="1"/>
  <c r="CF199" i="90"/>
  <c r="DF199" i="90" s="1"/>
  <c r="CF75" i="90"/>
  <c r="DF75" i="90" s="1"/>
  <c r="CF76" i="90"/>
  <c r="DF76" i="90" s="1"/>
  <c r="FH76" i="90" s="1"/>
  <c r="CQ76" i="90" s="1"/>
  <c r="AB76" i="56" s="1"/>
  <c r="CF82" i="90"/>
  <c r="DF82" i="90" s="1"/>
  <c r="FH82" i="90" s="1"/>
  <c r="CQ82" i="90" s="1"/>
  <c r="AB82" i="56" s="1"/>
  <c r="CF83" i="90"/>
  <c r="DF83" i="90" s="1"/>
  <c r="CF84" i="90"/>
  <c r="DF84" i="90" s="1"/>
  <c r="FH84" i="90" s="1"/>
  <c r="CQ84" i="90" s="1"/>
  <c r="AB84" i="56" s="1"/>
  <c r="CF85" i="90"/>
  <c r="DF85" i="90" s="1"/>
  <c r="FH85" i="90" s="1"/>
  <c r="CQ85" i="90" s="1"/>
  <c r="AB85" i="56" s="1"/>
  <c r="CF86" i="90"/>
  <c r="DF86" i="90" s="1"/>
  <c r="CF64" i="90"/>
  <c r="DF64" i="90" s="1"/>
  <c r="CF65" i="90"/>
  <c r="DF65" i="90" s="1"/>
  <c r="CF70" i="90"/>
  <c r="DF70" i="90" s="1"/>
  <c r="FH70" i="90" s="1"/>
  <c r="CQ70" i="90" s="1"/>
  <c r="AB70" i="56" s="1"/>
  <c r="CF71" i="90"/>
  <c r="DF71" i="90" s="1"/>
  <c r="FH71" i="90" s="1"/>
  <c r="CQ71" i="90" s="1"/>
  <c r="AB71" i="56" s="1"/>
  <c r="CF72" i="90"/>
  <c r="DF72" i="90" s="1"/>
  <c r="CF87" i="90"/>
  <c r="DF87" i="90" s="1"/>
  <c r="FH87" i="90" s="1"/>
  <c r="CQ87" i="90" s="1"/>
  <c r="AB87" i="56" s="1"/>
  <c r="CF69" i="90"/>
  <c r="DF69" i="90" s="1"/>
  <c r="FH69" i="90" s="1"/>
  <c r="CQ69" i="90" s="1"/>
  <c r="AB69" i="56" s="1"/>
  <c r="CF55" i="90"/>
  <c r="DF55" i="90" s="1"/>
  <c r="CF57" i="90"/>
  <c r="DF57" i="90" s="1"/>
  <c r="CF59" i="90"/>
  <c r="DF59" i="90" s="1"/>
  <c r="FH59" i="90" s="1"/>
  <c r="CQ59" i="90" s="1"/>
  <c r="AB59" i="56" s="1"/>
  <c r="CF60" i="90"/>
  <c r="DF60" i="90" s="1"/>
  <c r="FH60" i="90" s="1"/>
  <c r="CQ60" i="90" s="1"/>
  <c r="AB60" i="56" s="1"/>
  <c r="CF56" i="90"/>
  <c r="DF56" i="90" s="1"/>
  <c r="FH56" i="90" s="1"/>
  <c r="CQ56" i="90" s="1"/>
  <c r="AB56" i="56" s="1"/>
  <c r="CF58" i="90"/>
  <c r="DF58" i="90" s="1"/>
  <c r="FG58" i="90"/>
  <c r="CP58" i="90" s="1"/>
  <c r="AA58" i="56" s="1"/>
  <c r="FG68" i="90"/>
  <c r="CP68" i="90" s="1"/>
  <c r="AA68" i="56" s="1"/>
  <c r="FG69" i="90"/>
  <c r="CP69" i="90" s="1"/>
  <c r="AA69" i="56" s="1"/>
  <c r="FG71" i="90"/>
  <c r="CP71" i="90" s="1"/>
  <c r="AA71" i="56" s="1"/>
  <c r="FG87" i="90"/>
  <c r="CP87" i="90" s="1"/>
  <c r="AA87" i="56" s="1"/>
  <c r="FG195" i="90"/>
  <c r="CP195" i="90" s="1"/>
  <c r="AA195" i="56" s="1"/>
  <c r="FG86" i="90"/>
  <c r="CP86" i="90" s="1"/>
  <c r="AA86" i="56" s="1"/>
  <c r="FG82" i="90"/>
  <c r="CP82" i="90" s="1"/>
  <c r="AA82" i="56" s="1"/>
  <c r="FG198" i="90"/>
  <c r="CP198" i="90" s="1"/>
  <c r="AA198" i="56" s="1"/>
  <c r="FG185" i="90"/>
  <c r="CP185" i="90" s="1"/>
  <c r="AA185" i="56" s="1"/>
  <c r="FG77" i="90"/>
  <c r="CP77" i="90" s="1"/>
  <c r="AA77" i="56" s="1"/>
  <c r="FG191" i="90"/>
  <c r="CP191" i="90" s="1"/>
  <c r="AA191" i="56" s="1"/>
  <c r="FG187" i="90"/>
  <c r="CP187" i="90" s="1"/>
  <c r="AA187" i="56" s="1"/>
  <c r="FG149" i="90"/>
  <c r="CP149" i="90" s="1"/>
  <c r="AA149" i="56" s="1"/>
  <c r="FG169" i="90"/>
  <c r="CP169" i="90" s="1"/>
  <c r="AA169" i="56" s="1"/>
  <c r="FG160" i="90"/>
  <c r="CP160" i="90" s="1"/>
  <c r="AA160" i="56" s="1"/>
  <c r="FG129" i="90"/>
  <c r="CP129" i="90" s="1"/>
  <c r="AA129" i="56" s="1"/>
  <c r="FG236" i="90"/>
  <c r="CP236" i="90" s="1"/>
  <c r="AA236" i="56" s="1"/>
  <c r="FG167" i="90"/>
  <c r="CP167" i="90" s="1"/>
  <c r="AA167" i="56" s="1"/>
  <c r="FG156" i="90"/>
  <c r="CP156" i="90" s="1"/>
  <c r="AA156" i="56" s="1"/>
  <c r="FG139" i="90"/>
  <c r="CP139" i="90" s="1"/>
  <c r="AA139" i="56" s="1"/>
  <c r="FG121" i="90"/>
  <c r="CP121" i="90" s="1"/>
  <c r="AA121" i="56" s="1"/>
  <c r="FG141" i="90"/>
  <c r="CP141" i="90" s="1"/>
  <c r="AA141" i="56" s="1"/>
  <c r="FG175" i="90"/>
  <c r="CP175" i="90" s="1"/>
  <c r="AA175" i="56" s="1"/>
  <c r="FG171" i="90"/>
  <c r="CP171" i="90" s="1"/>
  <c r="AA171" i="56" s="1"/>
  <c r="FG98" i="90"/>
  <c r="CP98" i="90" s="1"/>
  <c r="AA98" i="56" s="1"/>
  <c r="FG110" i="90"/>
  <c r="CP110" i="90" s="1"/>
  <c r="AA110" i="56" s="1"/>
  <c r="FG125" i="90"/>
  <c r="CP125" i="90" s="1"/>
  <c r="AA125" i="56" s="1"/>
  <c r="FG92" i="90"/>
  <c r="CP92" i="90" s="1"/>
  <c r="AA92" i="56" s="1"/>
  <c r="FG214" i="90"/>
  <c r="CP214" i="90" s="1"/>
  <c r="AA214" i="56" s="1"/>
  <c r="FG211" i="90"/>
  <c r="CP211" i="90" s="1"/>
  <c r="AA211" i="56" s="1"/>
  <c r="FG152" i="90"/>
  <c r="CP152" i="90" s="1"/>
  <c r="AA152" i="56" s="1"/>
  <c r="FG144" i="90"/>
  <c r="CP144" i="90" s="1"/>
  <c r="AA144" i="56" s="1"/>
  <c r="FG127" i="90"/>
  <c r="CP127" i="90" s="1"/>
  <c r="AA127" i="56" s="1"/>
  <c r="FG117" i="90"/>
  <c r="CP117" i="90" s="1"/>
  <c r="AA117" i="56" s="1"/>
  <c r="FG105" i="90"/>
  <c r="CP105" i="90" s="1"/>
  <c r="AA105" i="56" s="1"/>
  <c r="FG94" i="90"/>
  <c r="CP94" i="90" s="1"/>
  <c r="AA94" i="56" s="1"/>
  <c r="FG213" i="90"/>
  <c r="CP213" i="90" s="1"/>
  <c r="AA213" i="56" s="1"/>
  <c r="FG99" i="90"/>
  <c r="CP99" i="90" s="1"/>
  <c r="AA99" i="56" s="1"/>
  <c r="FG89" i="90"/>
  <c r="CP89" i="90" s="1"/>
  <c r="AA89" i="56" s="1"/>
  <c r="FG235" i="90"/>
  <c r="CP235" i="90" s="1"/>
  <c r="AA235" i="56" s="1"/>
  <c r="FG226" i="90"/>
  <c r="CP226" i="90" s="1"/>
  <c r="AA226" i="56" s="1"/>
  <c r="FG218" i="90"/>
  <c r="CP218" i="90" s="1"/>
  <c r="AA218" i="56" s="1"/>
  <c r="FH307" i="90"/>
  <c r="CQ307" i="90" s="1"/>
  <c r="AB307" i="56" s="1"/>
  <c r="FG307" i="90"/>
  <c r="CP307" i="90" s="1"/>
  <c r="AA307" i="56" s="1"/>
  <c r="FG210" i="90"/>
  <c r="CP210" i="90" s="1"/>
  <c r="AA210" i="56" s="1"/>
  <c r="FG206" i="90"/>
  <c r="CP206" i="90" s="1"/>
  <c r="AA206" i="56" s="1"/>
  <c r="FG301" i="90"/>
  <c r="CP301" i="90" s="1"/>
  <c r="AA301" i="56" s="1"/>
  <c r="FG205" i="90"/>
  <c r="CP205" i="90" s="1"/>
  <c r="AA205" i="56" s="1"/>
  <c r="FG284" i="90"/>
  <c r="CP284" i="90" s="1"/>
  <c r="AA284" i="56" s="1"/>
  <c r="FG294" i="90"/>
  <c r="CP294" i="90" s="1"/>
  <c r="AA294" i="56" s="1"/>
  <c r="FG283" i="90"/>
  <c r="CP283" i="90" s="1"/>
  <c r="AA283" i="56" s="1"/>
  <c r="FG290" i="90"/>
  <c r="CP290" i="90" s="1"/>
  <c r="AA290" i="56" s="1"/>
  <c r="FG273" i="90"/>
  <c r="CP273" i="90" s="1"/>
  <c r="AA273" i="56" s="1"/>
  <c r="FH273" i="90"/>
  <c r="CQ273" i="90" s="1"/>
  <c r="AB273" i="56" s="1"/>
  <c r="FG260" i="90"/>
  <c r="CP260" i="90" s="1"/>
  <c r="AA260" i="56" s="1"/>
  <c r="FG276" i="90"/>
  <c r="CP276" i="90" s="1"/>
  <c r="AA276" i="56" s="1"/>
  <c r="FH276" i="90"/>
  <c r="CQ276" i="90" s="1"/>
  <c r="AB276" i="56" s="1"/>
  <c r="FG266" i="90"/>
  <c r="CP266" i="90" s="1"/>
  <c r="AA266" i="56" s="1"/>
  <c r="FG270" i="90"/>
  <c r="CP270" i="90" s="1"/>
  <c r="AA270" i="56" s="1"/>
  <c r="FH270" i="90"/>
  <c r="CQ270" i="90" s="1"/>
  <c r="AB270" i="56" s="1"/>
  <c r="FG253" i="90"/>
  <c r="CP253" i="90" s="1"/>
  <c r="AA253" i="56" s="1"/>
  <c r="FG364" i="90"/>
  <c r="CP364" i="90" s="1"/>
  <c r="AA364" i="56" s="1"/>
  <c r="FG261" i="90"/>
  <c r="CP261" i="90" s="1"/>
  <c r="AA261" i="56" s="1"/>
  <c r="FG249" i="90"/>
  <c r="CP249" i="90" s="1"/>
  <c r="AA249" i="56" s="1"/>
  <c r="FH249" i="90"/>
  <c r="CQ249" i="90" s="1"/>
  <c r="AB249" i="56" s="1"/>
  <c r="FH359" i="90"/>
  <c r="CQ359" i="90" s="1"/>
  <c r="AB359" i="56" s="1"/>
  <c r="FG359" i="90"/>
  <c r="CP359" i="90" s="1"/>
  <c r="AA359" i="56" s="1"/>
  <c r="FG353" i="90"/>
  <c r="CP353" i="90" s="1"/>
  <c r="AA353" i="56" s="1"/>
  <c r="FG340" i="90"/>
  <c r="CP340" i="90" s="1"/>
  <c r="AA340" i="56" s="1"/>
  <c r="FH340" i="90"/>
  <c r="CQ340" i="90" s="1"/>
  <c r="AB340" i="56" s="1"/>
  <c r="FG345" i="90"/>
  <c r="CP345" i="90" s="1"/>
  <c r="AA345" i="56" s="1"/>
  <c r="FG342" i="90"/>
  <c r="CP342" i="90" s="1"/>
  <c r="AA342" i="56" s="1"/>
  <c r="FG79" i="90"/>
  <c r="CP79" i="90" s="1"/>
  <c r="AA79" i="56" s="1"/>
  <c r="FG182" i="90"/>
  <c r="CP182" i="90" s="1"/>
  <c r="AA182" i="56" s="1"/>
  <c r="FG180" i="90"/>
  <c r="CP180" i="90" s="1"/>
  <c r="AA180" i="56" s="1"/>
  <c r="FG178" i="90"/>
  <c r="CP178" i="90" s="1"/>
  <c r="AA178" i="56" s="1"/>
  <c r="FG134" i="90"/>
  <c r="CP134" i="90" s="1"/>
  <c r="AA134" i="56" s="1"/>
  <c r="FG165" i="90"/>
  <c r="CP165" i="90" s="1"/>
  <c r="AA165" i="56" s="1"/>
  <c r="FG173" i="90"/>
  <c r="CP173" i="90" s="1"/>
  <c r="AA173" i="56" s="1"/>
  <c r="FG106" i="90"/>
  <c r="CP106" i="90" s="1"/>
  <c r="AA106" i="56" s="1"/>
  <c r="FG154" i="90"/>
  <c r="CP154" i="90" s="1"/>
  <c r="AA154" i="56" s="1"/>
  <c r="FG140" i="90"/>
  <c r="CP140" i="90" s="1"/>
  <c r="AA140" i="56" s="1"/>
  <c r="FG103" i="90"/>
  <c r="CP103" i="90" s="1"/>
  <c r="AA103" i="56" s="1"/>
  <c r="FG96" i="90"/>
  <c r="CP96" i="90" s="1"/>
  <c r="AA96" i="56" s="1"/>
  <c r="FG220" i="90"/>
  <c r="CP220" i="90" s="1"/>
  <c r="AA220" i="56" s="1"/>
  <c r="FG208" i="90"/>
  <c r="CP208" i="90" s="1"/>
  <c r="AA208" i="56" s="1"/>
  <c r="FG267" i="90"/>
  <c r="CP267" i="90" s="1"/>
  <c r="AA267" i="56" s="1"/>
  <c r="FG60" i="90"/>
  <c r="CP60" i="90" s="1"/>
  <c r="AA60" i="56" s="1"/>
  <c r="FG67" i="90"/>
  <c r="CP67" i="90" s="1"/>
  <c r="AA67" i="56" s="1"/>
  <c r="FG80" i="90"/>
  <c r="CP80" i="90" s="1"/>
  <c r="AA80" i="56" s="1"/>
  <c r="FG70" i="90"/>
  <c r="CP70" i="90" s="1"/>
  <c r="AA70" i="56" s="1"/>
  <c r="FG74" i="90"/>
  <c r="CP74" i="90" s="1"/>
  <c r="AA74" i="56" s="1"/>
  <c r="FH194" i="90"/>
  <c r="CQ194" i="90" s="1"/>
  <c r="AB194" i="56" s="1"/>
  <c r="FG194" i="90"/>
  <c r="CP194" i="90" s="1"/>
  <c r="AA194" i="56" s="1"/>
  <c r="FG85" i="90"/>
  <c r="CP85" i="90" s="1"/>
  <c r="AA85" i="56" s="1"/>
  <c r="FG76" i="90"/>
  <c r="CP76" i="90" s="1"/>
  <c r="AA76" i="56" s="1"/>
  <c r="FG193" i="90"/>
  <c r="CP193" i="90" s="1"/>
  <c r="AA193" i="56" s="1"/>
  <c r="FG184" i="90"/>
  <c r="CP184" i="90" s="1"/>
  <c r="AA184" i="56" s="1"/>
  <c r="FG73" i="90"/>
  <c r="CP73" i="90" s="1"/>
  <c r="AA73" i="56" s="1"/>
  <c r="FG190" i="90"/>
  <c r="CP190" i="90" s="1"/>
  <c r="AA190" i="56" s="1"/>
  <c r="FG183" i="90"/>
  <c r="CP183" i="90" s="1"/>
  <c r="AA183" i="56" s="1"/>
  <c r="FG203" i="90"/>
  <c r="CP203" i="90" s="1"/>
  <c r="AA203" i="56" s="1"/>
  <c r="FG163" i="90"/>
  <c r="CP163" i="90" s="1"/>
  <c r="AA163" i="56" s="1"/>
  <c r="FG159" i="90"/>
  <c r="CP159" i="90" s="1"/>
  <c r="AA159" i="56" s="1"/>
  <c r="FG126" i="90"/>
  <c r="CP126" i="90" s="1"/>
  <c r="AA126" i="56" s="1"/>
  <c r="FG227" i="90"/>
  <c r="CP227" i="90" s="1"/>
  <c r="AA227" i="56" s="1"/>
  <c r="FG166" i="90"/>
  <c r="CP166" i="90" s="1"/>
  <c r="AA166" i="56" s="1"/>
  <c r="FG150" i="90"/>
  <c r="CP150" i="90" s="1"/>
  <c r="AA150" i="56" s="1"/>
  <c r="FG137" i="90"/>
  <c r="CP137" i="90" s="1"/>
  <c r="AA137" i="56" s="1"/>
  <c r="FG179" i="90"/>
  <c r="CP179" i="90" s="1"/>
  <c r="AA179" i="56" s="1"/>
  <c r="FH138" i="90"/>
  <c r="CQ138" i="90" s="1"/>
  <c r="AB138" i="56" s="1"/>
  <c r="FG138" i="90"/>
  <c r="CP138" i="90" s="1"/>
  <c r="AA138" i="56" s="1"/>
  <c r="FG174" i="90"/>
  <c r="CP174" i="90" s="1"/>
  <c r="AA174" i="56" s="1"/>
  <c r="FG157" i="90"/>
  <c r="CP157" i="90" s="1"/>
  <c r="AA157" i="56" s="1"/>
  <c r="FG221" i="90"/>
  <c r="CP221" i="90" s="1"/>
  <c r="AA221" i="56" s="1"/>
  <c r="FG108" i="90"/>
  <c r="CP108" i="90" s="1"/>
  <c r="AA108" i="56" s="1"/>
  <c r="FG122" i="90"/>
  <c r="CP122" i="90" s="1"/>
  <c r="AA122" i="56" s="1"/>
  <c r="FG288" i="90"/>
  <c r="CP288" i="90" s="1"/>
  <c r="AA288" i="56" s="1"/>
  <c r="FG91" i="90"/>
  <c r="CP91" i="90" s="1"/>
  <c r="AA91" i="56" s="1"/>
  <c r="FG155" i="90"/>
  <c r="CP155" i="90" s="1"/>
  <c r="AA155" i="56" s="1"/>
  <c r="FG148" i="90"/>
  <c r="CP148" i="90" s="1"/>
  <c r="AA148" i="56" s="1"/>
  <c r="FG143" i="90"/>
  <c r="CP143" i="90" s="1"/>
  <c r="AA143" i="56" s="1"/>
  <c r="FG123" i="90"/>
  <c r="CP123" i="90" s="1"/>
  <c r="AA123" i="56" s="1"/>
  <c r="FG115" i="90"/>
  <c r="CP115" i="90" s="1"/>
  <c r="AA115" i="56" s="1"/>
  <c r="FG104" i="90"/>
  <c r="CP104" i="90" s="1"/>
  <c r="AA104" i="56" s="1"/>
  <c r="FG90" i="90"/>
  <c r="CP90" i="90" s="1"/>
  <c r="AA90" i="56" s="1"/>
  <c r="FG120" i="90"/>
  <c r="CP120" i="90" s="1"/>
  <c r="AA120" i="56" s="1"/>
  <c r="FG97" i="90"/>
  <c r="CP97" i="90" s="1"/>
  <c r="AA97" i="56" s="1"/>
  <c r="FG231" i="90"/>
  <c r="CP231" i="90" s="1"/>
  <c r="AA231" i="56" s="1"/>
  <c r="FH231" i="90"/>
  <c r="CQ231" i="90" s="1"/>
  <c r="AB231" i="56" s="1"/>
  <c r="FG234" i="90"/>
  <c r="CP234" i="90" s="1"/>
  <c r="AA234" i="56" s="1"/>
  <c r="FG225" i="90"/>
  <c r="CP225" i="90" s="1"/>
  <c r="AA225" i="56" s="1"/>
  <c r="FG217" i="90"/>
  <c r="CP217" i="90" s="1"/>
  <c r="AA217" i="56" s="1"/>
  <c r="FG305" i="90"/>
  <c r="CP305" i="90" s="1"/>
  <c r="AA305" i="56" s="1"/>
  <c r="FG306" i="90"/>
  <c r="CP306" i="90" s="1"/>
  <c r="AA306" i="56" s="1"/>
  <c r="FG304" i="90"/>
  <c r="CP304" i="90" s="1"/>
  <c r="AA304" i="56" s="1"/>
  <c r="FH304" i="90"/>
  <c r="CQ304" i="90" s="1"/>
  <c r="AB304" i="56" s="1"/>
  <c r="FG300" i="90"/>
  <c r="CP300" i="90" s="1"/>
  <c r="AA300" i="56" s="1"/>
  <c r="FG204" i="90"/>
  <c r="CP204" i="90" s="1"/>
  <c r="AA204" i="56" s="1"/>
  <c r="FG282" i="90"/>
  <c r="CP282" i="90" s="1"/>
  <c r="AA282" i="56" s="1"/>
  <c r="FG291" i="90"/>
  <c r="CP291" i="90" s="1"/>
  <c r="AA291" i="56" s="1"/>
  <c r="FG281" i="90"/>
  <c r="CP281" i="90" s="1"/>
  <c r="AA281" i="56" s="1"/>
  <c r="FH281" i="90"/>
  <c r="CQ281" i="90" s="1"/>
  <c r="AB281" i="56" s="1"/>
  <c r="FG289" i="90"/>
  <c r="CP289" i="90" s="1"/>
  <c r="AA289" i="56" s="1"/>
  <c r="FH289" i="90"/>
  <c r="CQ289" i="90" s="1"/>
  <c r="AB289" i="56" s="1"/>
  <c r="FG268" i="90"/>
  <c r="CP268" i="90" s="1"/>
  <c r="AA268" i="56" s="1"/>
  <c r="FH256" i="90"/>
  <c r="CQ256" i="90" s="1"/>
  <c r="AB256" i="56" s="1"/>
  <c r="FG256" i="90"/>
  <c r="CP256" i="90" s="1"/>
  <c r="AA256" i="56" s="1"/>
  <c r="FG272" i="90"/>
  <c r="CP272" i="90" s="1"/>
  <c r="AA272" i="56" s="1"/>
  <c r="FG265" i="90"/>
  <c r="CP265" i="90" s="1"/>
  <c r="AA265" i="56" s="1"/>
  <c r="FG262" i="90"/>
  <c r="CP262" i="90" s="1"/>
  <c r="AA262" i="56" s="1"/>
  <c r="FG258" i="90"/>
  <c r="CP258" i="90" s="1"/>
  <c r="AA258" i="56" s="1"/>
  <c r="FG362" i="90"/>
  <c r="CP362" i="90" s="1"/>
  <c r="AA362" i="56" s="1"/>
  <c r="FG257" i="90"/>
  <c r="CP257" i="90" s="1"/>
  <c r="AA257" i="56" s="1"/>
  <c r="FH257" i="90"/>
  <c r="CQ257" i="90" s="1"/>
  <c r="AB257" i="56" s="1"/>
  <c r="FG361" i="90"/>
  <c r="CP361" i="90" s="1"/>
  <c r="AA361" i="56" s="1"/>
  <c r="FG358" i="90"/>
  <c r="CP358" i="90" s="1"/>
  <c r="AA358" i="56" s="1"/>
  <c r="FH358" i="90"/>
  <c r="CQ358" i="90" s="1"/>
  <c r="AB358" i="56" s="1"/>
  <c r="FG352" i="90"/>
  <c r="CP352" i="90" s="1"/>
  <c r="AA352" i="56" s="1"/>
  <c r="FG355" i="90"/>
  <c r="CP355" i="90" s="1"/>
  <c r="AA355" i="56" s="1"/>
  <c r="FH355" i="90"/>
  <c r="CQ355" i="90" s="1"/>
  <c r="AB355" i="56" s="1"/>
  <c r="FG346" i="90"/>
  <c r="CP346" i="90" s="1"/>
  <c r="AA346" i="56" s="1"/>
  <c r="FG341" i="90"/>
  <c r="CP341" i="90" s="1"/>
  <c r="AA341" i="56" s="1"/>
  <c r="DE45" i="90"/>
  <c r="CE45" i="90"/>
  <c r="AA99" i="44"/>
  <c r="AA84" i="44"/>
  <c r="AA89" i="44"/>
  <c r="AA137" i="44" s="1"/>
  <c r="AA85" i="44"/>
  <c r="AA96" i="44"/>
  <c r="AA90" i="44"/>
  <c r="AA123" i="44" s="1"/>
  <c r="AA87" i="44"/>
  <c r="AA86" i="44"/>
  <c r="AA136" i="44"/>
  <c r="CF395" i="90"/>
  <c r="DF395" i="90" s="1"/>
  <c r="FH395" i="90" s="1"/>
  <c r="CQ395" i="90" s="1"/>
  <c r="AB395" i="56" s="1"/>
  <c r="CF391" i="90"/>
  <c r="DF391" i="90" s="1"/>
  <c r="FH391" i="90" s="1"/>
  <c r="CQ391" i="90" s="1"/>
  <c r="AB391" i="56" s="1"/>
  <c r="CF387" i="90"/>
  <c r="DF387" i="90" s="1"/>
  <c r="FH387" i="90" s="1"/>
  <c r="CQ387" i="90" s="1"/>
  <c r="AB387" i="56" s="1"/>
  <c r="CF383" i="90"/>
  <c r="DF383" i="90" s="1"/>
  <c r="FH383" i="90" s="1"/>
  <c r="CQ383" i="90" s="1"/>
  <c r="AB383" i="56" s="1"/>
  <c r="CF379" i="90"/>
  <c r="DF379" i="90" s="1"/>
  <c r="FH379" i="90" s="1"/>
  <c r="CQ379" i="90" s="1"/>
  <c r="AB379" i="56" s="1"/>
  <c r="CF375" i="90"/>
  <c r="DF375" i="90" s="1"/>
  <c r="FH375" i="90" s="1"/>
  <c r="CQ375" i="90" s="1"/>
  <c r="AB375" i="56" s="1"/>
  <c r="CF371" i="90"/>
  <c r="DF371" i="90" s="1"/>
  <c r="FH371" i="90" s="1"/>
  <c r="CQ371" i="90" s="1"/>
  <c r="AB371" i="56" s="1"/>
  <c r="CF367" i="90"/>
  <c r="DF367" i="90" s="1"/>
  <c r="FH367" i="90" s="1"/>
  <c r="CQ367" i="90" s="1"/>
  <c r="AB367" i="56" s="1"/>
  <c r="CF338" i="90"/>
  <c r="DF338" i="90" s="1"/>
  <c r="FH338" i="90" s="1"/>
  <c r="CQ338" i="90" s="1"/>
  <c r="AB338" i="56" s="1"/>
  <c r="CF334" i="90"/>
  <c r="DF334" i="90" s="1"/>
  <c r="FH334" i="90" s="1"/>
  <c r="CQ334" i="90" s="1"/>
  <c r="AB334" i="56" s="1"/>
  <c r="CF330" i="90"/>
  <c r="DF330" i="90" s="1"/>
  <c r="FH330" i="90" s="1"/>
  <c r="CQ330" i="90" s="1"/>
  <c r="AB330" i="56" s="1"/>
  <c r="CF326" i="90"/>
  <c r="DF326" i="90" s="1"/>
  <c r="FH326" i="90" s="1"/>
  <c r="CQ326" i="90" s="1"/>
  <c r="AB326" i="56" s="1"/>
  <c r="CF322" i="90"/>
  <c r="DF322" i="90" s="1"/>
  <c r="FH322" i="90" s="1"/>
  <c r="CQ322" i="90" s="1"/>
  <c r="AB322" i="56" s="1"/>
  <c r="CF318" i="90"/>
  <c r="DF318" i="90" s="1"/>
  <c r="FH318" i="90" s="1"/>
  <c r="CQ318" i="90" s="1"/>
  <c r="AB318" i="56" s="1"/>
  <c r="CF314" i="90"/>
  <c r="DF314" i="90" s="1"/>
  <c r="FH314" i="90" s="1"/>
  <c r="CQ314" i="90" s="1"/>
  <c r="AB314" i="56" s="1"/>
  <c r="CF310" i="90"/>
  <c r="DF310" i="90" s="1"/>
  <c r="FH310" i="90" s="1"/>
  <c r="CQ310" i="90" s="1"/>
  <c r="AB310" i="56" s="1"/>
  <c r="CF394" i="90"/>
  <c r="DF394" i="90" s="1"/>
  <c r="FH394" i="90" s="1"/>
  <c r="CQ394" i="90" s="1"/>
  <c r="AB394" i="56" s="1"/>
  <c r="CF390" i="90"/>
  <c r="DF390" i="90" s="1"/>
  <c r="FH390" i="90" s="1"/>
  <c r="CQ390" i="90" s="1"/>
  <c r="AB390" i="56" s="1"/>
  <c r="CF386" i="90"/>
  <c r="DF386" i="90" s="1"/>
  <c r="FH386" i="90" s="1"/>
  <c r="CQ386" i="90" s="1"/>
  <c r="AB386" i="56" s="1"/>
  <c r="CF382" i="90"/>
  <c r="DF382" i="90" s="1"/>
  <c r="FH382" i="90" s="1"/>
  <c r="CQ382" i="90" s="1"/>
  <c r="AB382" i="56" s="1"/>
  <c r="CF378" i="90"/>
  <c r="DF378" i="90" s="1"/>
  <c r="FH378" i="90" s="1"/>
  <c r="CQ378" i="90" s="1"/>
  <c r="AB378" i="56" s="1"/>
  <c r="CF374" i="90"/>
  <c r="DF374" i="90" s="1"/>
  <c r="FH374" i="90" s="1"/>
  <c r="CQ374" i="90" s="1"/>
  <c r="AB374" i="56" s="1"/>
  <c r="CF370" i="90"/>
  <c r="DF370" i="90" s="1"/>
  <c r="FH370" i="90" s="1"/>
  <c r="CQ370" i="90" s="1"/>
  <c r="AB370" i="56" s="1"/>
  <c r="CF366" i="90"/>
  <c r="DF366" i="90" s="1"/>
  <c r="FH366" i="90" s="1"/>
  <c r="CQ366" i="90" s="1"/>
  <c r="AB366" i="56" s="1"/>
  <c r="CF337" i="90"/>
  <c r="DF337" i="90" s="1"/>
  <c r="FH337" i="90" s="1"/>
  <c r="CQ337" i="90" s="1"/>
  <c r="AB337" i="56" s="1"/>
  <c r="CF333" i="90"/>
  <c r="DF333" i="90" s="1"/>
  <c r="FH333" i="90" s="1"/>
  <c r="CQ333" i="90" s="1"/>
  <c r="AB333" i="56" s="1"/>
  <c r="CF329" i="90"/>
  <c r="DF329" i="90" s="1"/>
  <c r="FH329" i="90" s="1"/>
  <c r="CQ329" i="90" s="1"/>
  <c r="AB329" i="56" s="1"/>
  <c r="CF325" i="90"/>
  <c r="DF325" i="90" s="1"/>
  <c r="FH325" i="90" s="1"/>
  <c r="CQ325" i="90" s="1"/>
  <c r="AB325" i="56" s="1"/>
  <c r="CF321" i="90"/>
  <c r="DF321" i="90" s="1"/>
  <c r="FH321" i="90" s="1"/>
  <c r="CQ321" i="90" s="1"/>
  <c r="AB321" i="56" s="1"/>
  <c r="CF317" i="90"/>
  <c r="DF317" i="90" s="1"/>
  <c r="FH317" i="90" s="1"/>
  <c r="CQ317" i="90" s="1"/>
  <c r="AB317" i="56" s="1"/>
  <c r="CF313" i="90"/>
  <c r="DF313" i="90" s="1"/>
  <c r="FH313" i="90" s="1"/>
  <c r="CQ313" i="90" s="1"/>
  <c r="AB313" i="56" s="1"/>
  <c r="CF309" i="90"/>
  <c r="DF309" i="90" s="1"/>
  <c r="FH309" i="90" s="1"/>
  <c r="CQ309" i="90" s="1"/>
  <c r="AB309" i="56" s="1"/>
  <c r="CF396" i="90"/>
  <c r="DF396" i="90" s="1"/>
  <c r="FH396" i="90" s="1"/>
  <c r="CQ396" i="90" s="1"/>
  <c r="AB396" i="56" s="1"/>
  <c r="CF392" i="90"/>
  <c r="DF392" i="90" s="1"/>
  <c r="FH392" i="90" s="1"/>
  <c r="CQ392" i="90" s="1"/>
  <c r="AB392" i="56" s="1"/>
  <c r="CF388" i="90"/>
  <c r="DF388" i="90" s="1"/>
  <c r="FH388" i="90" s="1"/>
  <c r="CQ388" i="90" s="1"/>
  <c r="AB388" i="56" s="1"/>
  <c r="CF384" i="90"/>
  <c r="DF384" i="90" s="1"/>
  <c r="FH384" i="90" s="1"/>
  <c r="CQ384" i="90" s="1"/>
  <c r="AB384" i="56" s="1"/>
  <c r="CF380" i="90"/>
  <c r="DF380" i="90" s="1"/>
  <c r="FH380" i="90" s="1"/>
  <c r="CQ380" i="90" s="1"/>
  <c r="AB380" i="56" s="1"/>
  <c r="CF376" i="90"/>
  <c r="DF376" i="90" s="1"/>
  <c r="FH376" i="90" s="1"/>
  <c r="CQ376" i="90" s="1"/>
  <c r="AB376" i="56" s="1"/>
  <c r="CF372" i="90"/>
  <c r="DF372" i="90" s="1"/>
  <c r="FH372" i="90" s="1"/>
  <c r="CQ372" i="90" s="1"/>
  <c r="AB372" i="56" s="1"/>
  <c r="CF368" i="90"/>
  <c r="DF368" i="90" s="1"/>
  <c r="FH368" i="90" s="1"/>
  <c r="CQ368" i="90" s="1"/>
  <c r="AB368" i="56" s="1"/>
  <c r="CF339" i="90"/>
  <c r="DF339" i="90" s="1"/>
  <c r="FH339" i="90" s="1"/>
  <c r="CQ339" i="90" s="1"/>
  <c r="AB339" i="56" s="1"/>
  <c r="CF335" i="90"/>
  <c r="DF335" i="90" s="1"/>
  <c r="FH335" i="90" s="1"/>
  <c r="CQ335" i="90" s="1"/>
  <c r="AB335" i="56" s="1"/>
  <c r="CF331" i="90"/>
  <c r="DF331" i="90" s="1"/>
  <c r="FH331" i="90" s="1"/>
  <c r="CQ331" i="90" s="1"/>
  <c r="AB331" i="56" s="1"/>
  <c r="CF327" i="90"/>
  <c r="DF327" i="90" s="1"/>
  <c r="FH327" i="90" s="1"/>
  <c r="CQ327" i="90" s="1"/>
  <c r="AB327" i="56" s="1"/>
  <c r="CF323" i="90"/>
  <c r="DF323" i="90" s="1"/>
  <c r="FH323" i="90" s="1"/>
  <c r="CQ323" i="90" s="1"/>
  <c r="AB323" i="56" s="1"/>
  <c r="CF319" i="90"/>
  <c r="DF319" i="90" s="1"/>
  <c r="FH319" i="90" s="1"/>
  <c r="CQ319" i="90" s="1"/>
  <c r="AB319" i="56" s="1"/>
  <c r="CF315" i="90"/>
  <c r="DF315" i="90" s="1"/>
  <c r="FH315" i="90" s="1"/>
  <c r="CQ315" i="90" s="1"/>
  <c r="AB315" i="56" s="1"/>
  <c r="CF311" i="90"/>
  <c r="DF311" i="90" s="1"/>
  <c r="FH311" i="90" s="1"/>
  <c r="CQ311" i="90" s="1"/>
  <c r="AB311" i="56" s="1"/>
  <c r="CF381" i="90"/>
  <c r="DF381" i="90" s="1"/>
  <c r="FH381" i="90" s="1"/>
  <c r="CQ381" i="90" s="1"/>
  <c r="AB381" i="56" s="1"/>
  <c r="CF324" i="90"/>
  <c r="DF324" i="90" s="1"/>
  <c r="FH324" i="90" s="1"/>
  <c r="CQ324" i="90" s="1"/>
  <c r="AB324" i="56" s="1"/>
  <c r="CF245" i="90"/>
  <c r="DF245" i="90" s="1"/>
  <c r="FH245" i="90" s="1"/>
  <c r="CQ245" i="90" s="1"/>
  <c r="AB245" i="56" s="1"/>
  <c r="CF241" i="90"/>
  <c r="DF241" i="90" s="1"/>
  <c r="FH241" i="90" s="1"/>
  <c r="CQ241" i="90" s="1"/>
  <c r="AB241" i="56" s="1"/>
  <c r="CF237" i="90"/>
  <c r="DF237" i="90" s="1"/>
  <c r="FH237" i="90" s="1"/>
  <c r="CQ237" i="90" s="1"/>
  <c r="AB237" i="56" s="1"/>
  <c r="CF51" i="90"/>
  <c r="DF51" i="90" s="1"/>
  <c r="FH51" i="90" s="1"/>
  <c r="CQ51" i="90" s="1"/>
  <c r="AB51" i="56" s="1"/>
  <c r="CF47" i="90"/>
  <c r="DF47" i="90" s="1"/>
  <c r="FH47" i="90" s="1"/>
  <c r="CQ47" i="90" s="1"/>
  <c r="AB47" i="56" s="1"/>
  <c r="CF385" i="90"/>
  <c r="DF385" i="90" s="1"/>
  <c r="FH385" i="90" s="1"/>
  <c r="CQ385" i="90" s="1"/>
  <c r="AB385" i="56" s="1"/>
  <c r="CF328" i="90"/>
  <c r="DF328" i="90" s="1"/>
  <c r="FH328" i="90" s="1"/>
  <c r="CQ328" i="90" s="1"/>
  <c r="AB328" i="56" s="1"/>
  <c r="CF365" i="90"/>
  <c r="DF365" i="90" s="1"/>
  <c r="FH365" i="90" s="1"/>
  <c r="CQ365" i="90" s="1"/>
  <c r="AB365" i="56" s="1"/>
  <c r="CF389" i="90"/>
  <c r="DF389" i="90" s="1"/>
  <c r="FH389" i="90" s="1"/>
  <c r="CQ389" i="90" s="1"/>
  <c r="AB389" i="56" s="1"/>
  <c r="CF332" i="90"/>
  <c r="DF332" i="90" s="1"/>
  <c r="FH332" i="90" s="1"/>
  <c r="CQ332" i="90" s="1"/>
  <c r="AB332" i="56" s="1"/>
  <c r="CF248" i="90"/>
  <c r="DF248" i="90" s="1"/>
  <c r="FH248" i="90" s="1"/>
  <c r="CQ248" i="90" s="1"/>
  <c r="AB248" i="56" s="1"/>
  <c r="CF244" i="90"/>
  <c r="DF244" i="90" s="1"/>
  <c r="FH244" i="90" s="1"/>
  <c r="CQ244" i="90" s="1"/>
  <c r="AB244" i="56" s="1"/>
  <c r="CF240" i="90"/>
  <c r="DF240" i="90" s="1"/>
  <c r="FH240" i="90" s="1"/>
  <c r="CQ240" i="90" s="1"/>
  <c r="AB240" i="56" s="1"/>
  <c r="CF54" i="90"/>
  <c r="DF54" i="90" s="1"/>
  <c r="FH54" i="90" s="1"/>
  <c r="CQ54" i="90" s="1"/>
  <c r="AB54" i="56" s="1"/>
  <c r="CF50" i="90"/>
  <c r="DF50" i="90" s="1"/>
  <c r="FH50" i="90" s="1"/>
  <c r="CQ50" i="90" s="1"/>
  <c r="AB50" i="56" s="1"/>
  <c r="CF46" i="90"/>
  <c r="DF46" i="90" s="1"/>
  <c r="FH46" i="90" s="1"/>
  <c r="CQ46" i="90" s="1"/>
  <c r="AB46" i="56" s="1"/>
  <c r="CF393" i="90"/>
  <c r="DF393" i="90" s="1"/>
  <c r="FH393" i="90" s="1"/>
  <c r="CQ393" i="90" s="1"/>
  <c r="AB393" i="56" s="1"/>
  <c r="CF336" i="90"/>
  <c r="DF336" i="90" s="1"/>
  <c r="FH336" i="90" s="1"/>
  <c r="CQ336" i="90" s="1"/>
  <c r="AB336" i="56" s="1"/>
  <c r="CF373" i="90"/>
  <c r="DF373" i="90" s="1"/>
  <c r="FH373" i="90" s="1"/>
  <c r="CQ373" i="90" s="1"/>
  <c r="AB373" i="56" s="1"/>
  <c r="CF316" i="90"/>
  <c r="DF316" i="90" s="1"/>
  <c r="FH316" i="90" s="1"/>
  <c r="CQ316" i="90" s="1"/>
  <c r="AB316" i="56" s="1"/>
  <c r="CF246" i="90"/>
  <c r="DF246" i="90" s="1"/>
  <c r="FH246" i="90" s="1"/>
  <c r="CQ246" i="90" s="1"/>
  <c r="AB246" i="56" s="1"/>
  <c r="CF242" i="90"/>
  <c r="DF242" i="90" s="1"/>
  <c r="FH242" i="90" s="1"/>
  <c r="CQ242" i="90" s="1"/>
  <c r="AB242" i="56" s="1"/>
  <c r="CF238" i="90"/>
  <c r="DF238" i="90" s="1"/>
  <c r="FH238" i="90" s="1"/>
  <c r="CQ238" i="90" s="1"/>
  <c r="AB238" i="56" s="1"/>
  <c r="CF62" i="90"/>
  <c r="DF62" i="90" s="1"/>
  <c r="FH62" i="90" s="1"/>
  <c r="CQ62" i="90" s="1"/>
  <c r="AB62" i="56" s="1"/>
  <c r="CF52" i="90"/>
  <c r="DF52" i="90" s="1"/>
  <c r="FH52" i="90" s="1"/>
  <c r="CQ52" i="90" s="1"/>
  <c r="AB52" i="56" s="1"/>
  <c r="CF48" i="90"/>
  <c r="DF48" i="90" s="1"/>
  <c r="FH48" i="90" s="1"/>
  <c r="CQ48" i="90" s="1"/>
  <c r="AB48" i="56" s="1"/>
  <c r="CF377" i="90"/>
  <c r="DF377" i="90" s="1"/>
  <c r="FH377" i="90" s="1"/>
  <c r="CQ377" i="90" s="1"/>
  <c r="AB377" i="56" s="1"/>
  <c r="CF53" i="90"/>
  <c r="DF53" i="90" s="1"/>
  <c r="FH53" i="90" s="1"/>
  <c r="CQ53" i="90" s="1"/>
  <c r="AB53" i="56" s="1"/>
  <c r="CF63" i="90"/>
  <c r="DF63" i="90" s="1"/>
  <c r="FH63" i="90" s="1"/>
  <c r="CQ63" i="90" s="1"/>
  <c r="AB63" i="56" s="1"/>
  <c r="CF239" i="90"/>
  <c r="DF239" i="90" s="1"/>
  <c r="FH239" i="90" s="1"/>
  <c r="CQ239" i="90" s="1"/>
  <c r="AB239" i="56" s="1"/>
  <c r="CF243" i="90"/>
  <c r="DF243" i="90" s="1"/>
  <c r="FH243" i="90" s="1"/>
  <c r="CQ243" i="90" s="1"/>
  <c r="AB243" i="56" s="1"/>
  <c r="CF247" i="90"/>
  <c r="DF247" i="90" s="1"/>
  <c r="FH247" i="90" s="1"/>
  <c r="CQ247" i="90" s="1"/>
  <c r="AB247" i="56" s="1"/>
  <c r="CF312" i="90"/>
  <c r="DF312" i="90" s="1"/>
  <c r="FH312" i="90" s="1"/>
  <c r="CQ312" i="90" s="1"/>
  <c r="AB312" i="56" s="1"/>
  <c r="CF320" i="90"/>
  <c r="DF320" i="90" s="1"/>
  <c r="FH320" i="90" s="1"/>
  <c r="CQ320" i="90" s="1"/>
  <c r="AB320" i="56" s="1"/>
  <c r="CF369" i="90"/>
  <c r="DF369" i="90" s="1"/>
  <c r="FH369" i="90" s="1"/>
  <c r="CQ369" i="90" s="1"/>
  <c r="AB369" i="56" s="1"/>
  <c r="CF49" i="90"/>
  <c r="DF49" i="90" s="1"/>
  <c r="FH49" i="90" s="1"/>
  <c r="CQ49" i="90" s="1"/>
  <c r="AB49" i="56" s="1"/>
  <c r="X223" i="44"/>
  <c r="X105" i="44"/>
  <c r="X107" i="44"/>
  <c r="AA110" i="41"/>
  <c r="Z260" i="44"/>
  <c r="Y210" i="44"/>
  <c r="Y166" i="44"/>
  <c r="Z258" i="44"/>
  <c r="AA108" i="41"/>
  <c r="AA242" i="44"/>
  <c r="AA193" i="44"/>
  <c r="AA186" i="44"/>
  <c r="AA188" i="44"/>
  <c r="AA109" i="41"/>
  <c r="Z207" i="44"/>
  <c r="AB39" i="93"/>
  <c r="AB85" i="41"/>
  <c r="AH15" i="40"/>
  <c r="X172" i="44"/>
  <c r="Y169" i="44" s="1"/>
  <c r="Z205" i="44"/>
  <c r="Z273" i="44" s="1"/>
  <c r="Z259" i="44"/>
  <c r="Z206" i="44"/>
  <c r="AA51" i="44" l="1"/>
  <c r="AA138" i="44" s="1"/>
  <c r="AB309" i="44"/>
  <c r="AB311" i="44"/>
  <c r="AB274" i="44"/>
  <c r="AB310" i="44"/>
  <c r="AB298" i="44"/>
  <c r="X314" i="44"/>
  <c r="O67" i="114" s="1"/>
  <c r="X293" i="44"/>
  <c r="X294" i="44" s="1"/>
  <c r="O63" i="114" s="1"/>
  <c r="AA126" i="44"/>
  <c r="AA277" i="44"/>
  <c r="AA209" i="44"/>
  <c r="X303" i="44"/>
  <c r="O64" i="114" s="1"/>
  <c r="AA281" i="44"/>
  <c r="AA289" i="44"/>
  <c r="AA291" i="44" s="1"/>
  <c r="Y288" i="44"/>
  <c r="Y307" i="44"/>
  <c r="Y313" i="44" s="1"/>
  <c r="Y297" i="44"/>
  <c r="AA125" i="44"/>
  <c r="AA124" i="44"/>
  <c r="AG107" i="117"/>
  <c r="AB83" i="44"/>
  <c r="AB114" i="41"/>
  <c r="M117" i="98"/>
  <c r="M118" i="98" s="1"/>
  <c r="AF107" i="117"/>
  <c r="AF106" i="117"/>
  <c r="O43" i="98"/>
  <c r="AL14" i="42"/>
  <c r="O136" i="98"/>
  <c r="AG83" i="86"/>
  <c r="P165" i="98"/>
  <c r="AH97" i="117"/>
  <c r="AH99" i="117" s="1"/>
  <c r="AH80" i="86"/>
  <c r="AH35" i="12"/>
  <c r="N116" i="98"/>
  <c r="N117" i="98" s="1"/>
  <c r="N118" i="98" s="1"/>
  <c r="AF84" i="86"/>
  <c r="M173" i="98"/>
  <c r="AJ99" i="12"/>
  <c r="AJ105" i="117" s="1"/>
  <c r="AI32" i="12"/>
  <c r="O58" i="98"/>
  <c r="O60" i="98" s="1"/>
  <c r="O168" i="98"/>
  <c r="FG45" i="90"/>
  <c r="FH182" i="90"/>
  <c r="CQ182" i="90" s="1"/>
  <c r="AB182" i="56" s="1"/>
  <c r="FH226" i="90"/>
  <c r="CQ226" i="90" s="1"/>
  <c r="AB226" i="56" s="1"/>
  <c r="FH187" i="90"/>
  <c r="CQ187" i="90" s="1"/>
  <c r="AB187" i="56" s="1"/>
  <c r="FH68" i="90"/>
  <c r="CQ68" i="90" s="1"/>
  <c r="AB68" i="56" s="1"/>
  <c r="FH58" i="90"/>
  <c r="CQ58" i="90" s="1"/>
  <c r="AB58" i="56" s="1"/>
  <c r="FH347" i="90"/>
  <c r="CQ347" i="90" s="1"/>
  <c r="AB347" i="56" s="1"/>
  <c r="FH274" i="90"/>
  <c r="CQ274" i="90" s="1"/>
  <c r="AB274" i="56" s="1"/>
  <c r="FH293" i="90"/>
  <c r="CQ293" i="90" s="1"/>
  <c r="AB293" i="56" s="1"/>
  <c r="FH302" i="90"/>
  <c r="CQ302" i="90" s="1"/>
  <c r="AB302" i="56" s="1"/>
  <c r="FH168" i="90"/>
  <c r="CQ168" i="90" s="1"/>
  <c r="AB168" i="56" s="1"/>
  <c r="FH170" i="90"/>
  <c r="CQ170" i="90" s="1"/>
  <c r="AB170" i="56" s="1"/>
  <c r="FH83" i="90"/>
  <c r="CQ83" i="90" s="1"/>
  <c r="AB83" i="56" s="1"/>
  <c r="FH65" i="90"/>
  <c r="CQ65" i="90" s="1"/>
  <c r="AB65" i="56" s="1"/>
  <c r="FH351" i="90"/>
  <c r="CQ351" i="90" s="1"/>
  <c r="AB351" i="56" s="1"/>
  <c r="FH255" i="90"/>
  <c r="CQ255" i="90" s="1"/>
  <c r="AB255" i="56" s="1"/>
  <c r="FH264" i="90"/>
  <c r="CQ264" i="90" s="1"/>
  <c r="AB264" i="56" s="1"/>
  <c r="FH151" i="90"/>
  <c r="CQ151" i="90" s="1"/>
  <c r="AB151" i="56" s="1"/>
  <c r="FH88" i="90"/>
  <c r="CQ88" i="90" s="1"/>
  <c r="AB88" i="56" s="1"/>
  <c r="FH265" i="90"/>
  <c r="CQ265" i="90" s="1"/>
  <c r="AB265" i="56" s="1"/>
  <c r="FH268" i="90"/>
  <c r="CQ268" i="90" s="1"/>
  <c r="AB268" i="56" s="1"/>
  <c r="FH258" i="90"/>
  <c r="CQ258" i="90" s="1"/>
  <c r="AB258" i="56" s="1"/>
  <c r="FH291" i="90"/>
  <c r="CQ291" i="90" s="1"/>
  <c r="AB291" i="56" s="1"/>
  <c r="FH282" i="90"/>
  <c r="CQ282" i="90" s="1"/>
  <c r="AB282" i="56" s="1"/>
  <c r="FH204" i="90"/>
  <c r="CQ204" i="90" s="1"/>
  <c r="AB204" i="56" s="1"/>
  <c r="FH217" i="90"/>
  <c r="CQ217" i="90" s="1"/>
  <c r="AB217" i="56" s="1"/>
  <c r="FH103" i="90"/>
  <c r="CQ103" i="90" s="1"/>
  <c r="AB103" i="56" s="1"/>
  <c r="FH178" i="90"/>
  <c r="CQ178" i="90" s="1"/>
  <c r="AB178" i="56" s="1"/>
  <c r="FH152" i="90"/>
  <c r="CQ152" i="90" s="1"/>
  <c r="AB152" i="56" s="1"/>
  <c r="FH121" i="90"/>
  <c r="CQ121" i="90" s="1"/>
  <c r="AB121" i="56" s="1"/>
  <c r="FH167" i="90"/>
  <c r="CQ167" i="90" s="1"/>
  <c r="AB167" i="56" s="1"/>
  <c r="FH191" i="90"/>
  <c r="CQ191" i="90" s="1"/>
  <c r="AB191" i="56" s="1"/>
  <c r="FH77" i="90"/>
  <c r="CQ77" i="90" s="1"/>
  <c r="AB77" i="56" s="1"/>
  <c r="FH185" i="90"/>
  <c r="CQ185" i="90" s="1"/>
  <c r="AB185" i="56" s="1"/>
  <c r="FH86" i="90"/>
  <c r="CQ86" i="90" s="1"/>
  <c r="AB86" i="56" s="1"/>
  <c r="FH254" i="90"/>
  <c r="CQ254" i="90" s="1"/>
  <c r="AB254" i="56" s="1"/>
  <c r="FH287" i="90"/>
  <c r="CQ287" i="90" s="1"/>
  <c r="AB287" i="56" s="1"/>
  <c r="FH303" i="90"/>
  <c r="CQ303" i="90" s="1"/>
  <c r="AB303" i="56" s="1"/>
  <c r="FH228" i="90"/>
  <c r="CQ228" i="90" s="1"/>
  <c r="AB228" i="56" s="1"/>
  <c r="FH114" i="90"/>
  <c r="CQ114" i="90" s="1"/>
  <c r="AB114" i="56" s="1"/>
  <c r="FH147" i="90"/>
  <c r="CQ147" i="90" s="1"/>
  <c r="AB147" i="56" s="1"/>
  <c r="FH109" i="90"/>
  <c r="CQ109" i="90" s="1"/>
  <c r="AB109" i="56" s="1"/>
  <c r="FH116" i="90"/>
  <c r="CQ116" i="90" s="1"/>
  <c r="AB116" i="56" s="1"/>
  <c r="FH136" i="90"/>
  <c r="CQ136" i="90" s="1"/>
  <c r="AB136" i="56" s="1"/>
  <c r="FH162" i="90"/>
  <c r="CQ162" i="90" s="1"/>
  <c r="AB162" i="56" s="1"/>
  <c r="FH189" i="90"/>
  <c r="CQ189" i="90" s="1"/>
  <c r="AB189" i="56" s="1"/>
  <c r="FH81" i="90"/>
  <c r="CQ81" i="90" s="1"/>
  <c r="AB81" i="56" s="1"/>
  <c r="FH348" i="90"/>
  <c r="CQ348" i="90" s="1"/>
  <c r="AB348" i="56" s="1"/>
  <c r="FH360" i="90"/>
  <c r="CQ360" i="90" s="1"/>
  <c r="AB360" i="56" s="1"/>
  <c r="FH250" i="90"/>
  <c r="CQ250" i="90" s="1"/>
  <c r="AB250" i="56" s="1"/>
  <c r="FH363" i="90"/>
  <c r="CQ363" i="90" s="1"/>
  <c r="AB363" i="56" s="1"/>
  <c r="FH251" i="90"/>
  <c r="CQ251" i="90" s="1"/>
  <c r="AB251" i="56" s="1"/>
  <c r="FH259" i="90"/>
  <c r="CQ259" i="90" s="1"/>
  <c r="AB259" i="56" s="1"/>
  <c r="FH269" i="90"/>
  <c r="CQ269" i="90" s="1"/>
  <c r="AB269" i="56" s="1"/>
  <c r="FH263" i="90"/>
  <c r="CQ263" i="90" s="1"/>
  <c r="AB263" i="56" s="1"/>
  <c r="FH278" i="90"/>
  <c r="CQ278" i="90" s="1"/>
  <c r="AB278" i="56" s="1"/>
  <c r="FH292" i="90"/>
  <c r="CQ292" i="90" s="1"/>
  <c r="AB292" i="56" s="1"/>
  <c r="FH279" i="90"/>
  <c r="CQ279" i="90" s="1"/>
  <c r="AB279" i="56" s="1"/>
  <c r="FH308" i="90"/>
  <c r="CQ308" i="90" s="1"/>
  <c r="AB308" i="56" s="1"/>
  <c r="FH219" i="90"/>
  <c r="CQ219" i="90" s="1"/>
  <c r="AB219" i="56" s="1"/>
  <c r="FH232" i="90"/>
  <c r="CQ232" i="90" s="1"/>
  <c r="AB232" i="56" s="1"/>
  <c r="FH93" i="90"/>
  <c r="CQ93" i="90" s="1"/>
  <c r="AB93" i="56" s="1"/>
  <c r="FH102" i="90"/>
  <c r="CQ102" i="90" s="1"/>
  <c r="AB102" i="56" s="1"/>
  <c r="FH100" i="90"/>
  <c r="CQ100" i="90" s="1"/>
  <c r="AB100" i="56" s="1"/>
  <c r="FH112" i="90"/>
  <c r="CQ112" i="90" s="1"/>
  <c r="AB112" i="56" s="1"/>
  <c r="FH118" i="90"/>
  <c r="CQ118" i="90" s="1"/>
  <c r="AB118" i="56" s="1"/>
  <c r="FH224" i="90"/>
  <c r="CQ224" i="90" s="1"/>
  <c r="AB224" i="56" s="1"/>
  <c r="FH229" i="90"/>
  <c r="CQ229" i="90" s="1"/>
  <c r="AB229" i="56" s="1"/>
  <c r="FH101" i="90"/>
  <c r="CQ101" i="90" s="1"/>
  <c r="AB101" i="56" s="1"/>
  <c r="FH298" i="90"/>
  <c r="CQ298" i="90" s="1"/>
  <c r="AB298" i="56" s="1"/>
  <c r="FH113" i="90"/>
  <c r="CQ113" i="90" s="1"/>
  <c r="AB113" i="56" s="1"/>
  <c r="FH164" i="90"/>
  <c r="CQ164" i="90" s="1"/>
  <c r="AB164" i="56" s="1"/>
  <c r="FH130" i="90"/>
  <c r="CQ130" i="90" s="1"/>
  <c r="AB130" i="56" s="1"/>
  <c r="FH142" i="90"/>
  <c r="CQ142" i="90" s="1"/>
  <c r="AB142" i="56" s="1"/>
  <c r="FH158" i="90"/>
  <c r="CQ158" i="90" s="1"/>
  <c r="AB158" i="56" s="1"/>
  <c r="FH95" i="90"/>
  <c r="CQ95" i="90" s="1"/>
  <c r="AB95" i="56" s="1"/>
  <c r="FH131" i="90"/>
  <c r="CQ131" i="90" s="1"/>
  <c r="AB131" i="56" s="1"/>
  <c r="FH161" i="90"/>
  <c r="CQ161" i="90" s="1"/>
  <c r="AB161" i="56" s="1"/>
  <c r="FH177" i="90"/>
  <c r="CQ177" i="90" s="1"/>
  <c r="AB177" i="56" s="1"/>
  <c r="FH188" i="90"/>
  <c r="CQ188" i="90" s="1"/>
  <c r="AB188" i="56" s="1"/>
  <c r="FH196" i="90"/>
  <c r="CQ196" i="90" s="1"/>
  <c r="AB196" i="56" s="1"/>
  <c r="FH78" i="90"/>
  <c r="CQ78" i="90" s="1"/>
  <c r="AB78" i="56" s="1"/>
  <c r="FH186" i="90"/>
  <c r="CQ186" i="90" s="1"/>
  <c r="AB186" i="56" s="1"/>
  <c r="FH199" i="90"/>
  <c r="CQ199" i="90" s="1"/>
  <c r="AB199" i="56" s="1"/>
  <c r="FH64" i="90"/>
  <c r="CQ64" i="90" s="1"/>
  <c r="AB64" i="56" s="1"/>
  <c r="FH72" i="90"/>
  <c r="CQ72" i="90" s="1"/>
  <c r="AB72" i="56" s="1"/>
  <c r="FH66" i="90"/>
  <c r="CQ66" i="90" s="1"/>
  <c r="AB66" i="56" s="1"/>
  <c r="FH57" i="90"/>
  <c r="CQ57" i="90" s="1"/>
  <c r="AB57" i="56" s="1"/>
  <c r="FH344" i="90"/>
  <c r="CQ344" i="90" s="1"/>
  <c r="AB344" i="56" s="1"/>
  <c r="FH349" i="90"/>
  <c r="CQ349" i="90" s="1"/>
  <c r="AB349" i="56" s="1"/>
  <c r="FH350" i="90"/>
  <c r="CQ350" i="90" s="1"/>
  <c r="AB350" i="56" s="1"/>
  <c r="FH252" i="90"/>
  <c r="CQ252" i="90" s="1"/>
  <c r="AB252" i="56" s="1"/>
  <c r="FH356" i="90"/>
  <c r="CQ356" i="90" s="1"/>
  <c r="AB356" i="56" s="1"/>
  <c r="FH275" i="90"/>
  <c r="CQ275" i="90" s="1"/>
  <c r="AB275" i="56" s="1"/>
  <c r="FH271" i="90"/>
  <c r="CQ271" i="90" s="1"/>
  <c r="AB271" i="56" s="1"/>
  <c r="FH286" i="90"/>
  <c r="CQ286" i="90" s="1"/>
  <c r="AB286" i="56" s="1"/>
  <c r="FH280" i="90"/>
  <c r="CQ280" i="90" s="1"/>
  <c r="AB280" i="56" s="1"/>
  <c r="FH297" i="90"/>
  <c r="CQ297" i="90" s="1"/>
  <c r="AB297" i="56" s="1"/>
  <c r="FH216" i="90"/>
  <c r="CQ216" i="90" s="1"/>
  <c r="AB216" i="56" s="1"/>
  <c r="FH233" i="90"/>
  <c r="CQ233" i="90" s="1"/>
  <c r="AB233" i="56" s="1"/>
  <c r="FH111" i="90"/>
  <c r="CQ111" i="90" s="1"/>
  <c r="AB111" i="56" s="1"/>
  <c r="FH119" i="90"/>
  <c r="CQ119" i="90" s="1"/>
  <c r="AB119" i="56" s="1"/>
  <c r="FH230" i="90"/>
  <c r="CQ230" i="90" s="1"/>
  <c r="AB230" i="56" s="1"/>
  <c r="FH107" i="90"/>
  <c r="CQ107" i="90" s="1"/>
  <c r="AB107" i="56" s="1"/>
  <c r="FH176" i="90"/>
  <c r="CQ176" i="90" s="1"/>
  <c r="AB176" i="56" s="1"/>
  <c r="FH145" i="90"/>
  <c r="CQ145" i="90" s="1"/>
  <c r="AB145" i="56" s="1"/>
  <c r="FH124" i="90"/>
  <c r="CQ124" i="90" s="1"/>
  <c r="AB124" i="56" s="1"/>
  <c r="FH202" i="90"/>
  <c r="CQ202" i="90" s="1"/>
  <c r="AB202" i="56" s="1"/>
  <c r="FH197" i="90"/>
  <c r="CQ197" i="90" s="1"/>
  <c r="AB197" i="56" s="1"/>
  <c r="FH75" i="90"/>
  <c r="CQ75" i="90" s="1"/>
  <c r="AB75" i="56" s="1"/>
  <c r="FH201" i="90"/>
  <c r="CQ201" i="90" s="1"/>
  <c r="AB201" i="56" s="1"/>
  <c r="FH55" i="90"/>
  <c r="CQ55" i="90" s="1"/>
  <c r="AB55" i="56" s="1"/>
  <c r="FH346" i="90"/>
  <c r="CQ346" i="90" s="1"/>
  <c r="AB346" i="56" s="1"/>
  <c r="CG340" i="90"/>
  <c r="DG340" i="90" s="1"/>
  <c r="CG345" i="90"/>
  <c r="DG345" i="90" s="1"/>
  <c r="CG344" i="90"/>
  <c r="DG344" i="90" s="1"/>
  <c r="CG343" i="90"/>
  <c r="DG343" i="90" s="1"/>
  <c r="CG348" i="90"/>
  <c r="DG348" i="90" s="1"/>
  <c r="CG349" i="90"/>
  <c r="DG349" i="90" s="1"/>
  <c r="CG350" i="90"/>
  <c r="DG350" i="90" s="1"/>
  <c r="CG354" i="90"/>
  <c r="DG354" i="90" s="1"/>
  <c r="CG342" i="90"/>
  <c r="DG342" i="90" s="1"/>
  <c r="CG346" i="90"/>
  <c r="DG346" i="90" s="1"/>
  <c r="CG351" i="90"/>
  <c r="DG351" i="90" s="1"/>
  <c r="CG347" i="90"/>
  <c r="DG347" i="90" s="1"/>
  <c r="FI347" i="90" s="1"/>
  <c r="CR347" i="90" s="1"/>
  <c r="AC347" i="56" s="1"/>
  <c r="CG355" i="90"/>
  <c r="DG355" i="90" s="1"/>
  <c r="CG341" i="90"/>
  <c r="DG341" i="90" s="1"/>
  <c r="CG352" i="90"/>
  <c r="DG352" i="90" s="1"/>
  <c r="CG353" i="90"/>
  <c r="DG353" i="90" s="1"/>
  <c r="CG356" i="90"/>
  <c r="DG356" i="90" s="1"/>
  <c r="CG363" i="90"/>
  <c r="DG363" i="90" s="1"/>
  <c r="CG358" i="90"/>
  <c r="DG358" i="90" s="1"/>
  <c r="CG362" i="90"/>
  <c r="DG362" i="90" s="1"/>
  <c r="FI362" i="90" s="1"/>
  <c r="CR362" i="90" s="1"/>
  <c r="AC362" i="56" s="1"/>
  <c r="CG364" i="90"/>
  <c r="DG364" i="90" s="1"/>
  <c r="CG251" i="90"/>
  <c r="DG251" i="90" s="1"/>
  <c r="CG255" i="90"/>
  <c r="DG255" i="90" s="1"/>
  <c r="CG258" i="90"/>
  <c r="DG258" i="90" s="1"/>
  <c r="CG357" i="90"/>
  <c r="DG357" i="90" s="1"/>
  <c r="CG359" i="90"/>
  <c r="DG359" i="90" s="1"/>
  <c r="CG360" i="90"/>
  <c r="DG360" i="90" s="1"/>
  <c r="CG361" i="90"/>
  <c r="DG361" i="90" s="1"/>
  <c r="CG249" i="90"/>
  <c r="DG249" i="90" s="1"/>
  <c r="CG250" i="90"/>
  <c r="DG250" i="90" s="1"/>
  <c r="CG252" i="90"/>
  <c r="DG252" i="90" s="1"/>
  <c r="CG257" i="90"/>
  <c r="DG257" i="90" s="1"/>
  <c r="CG261" i="90"/>
  <c r="DG261" i="90" s="1"/>
  <c r="CG254" i="90"/>
  <c r="DG254" i="90" s="1"/>
  <c r="CG256" i="90"/>
  <c r="DG256" i="90" s="1"/>
  <c r="CG260" i="90"/>
  <c r="DG260" i="90" s="1"/>
  <c r="CG264" i="90"/>
  <c r="DG264" i="90" s="1"/>
  <c r="CG265" i="90"/>
  <c r="DG265" i="90" s="1"/>
  <c r="CG266" i="90"/>
  <c r="DG266" i="90" s="1"/>
  <c r="CG269" i="90"/>
  <c r="DG269" i="90" s="1"/>
  <c r="CG271" i="90"/>
  <c r="DG271" i="90" s="1"/>
  <c r="CG272" i="90"/>
  <c r="DG272" i="90" s="1"/>
  <c r="CG276" i="90"/>
  <c r="DG276" i="90" s="1"/>
  <c r="CG277" i="90"/>
  <c r="DG277" i="90" s="1"/>
  <c r="FI277" i="90" s="1"/>
  <c r="CR277" i="90" s="1"/>
  <c r="AC277" i="56" s="1"/>
  <c r="CG279" i="90"/>
  <c r="DG279" i="90" s="1"/>
  <c r="FI279" i="90" s="1"/>
  <c r="CR279" i="90" s="1"/>
  <c r="AC279" i="56" s="1"/>
  <c r="CG280" i="90"/>
  <c r="DG280" i="90" s="1"/>
  <c r="CG253" i="90"/>
  <c r="DG253" i="90" s="1"/>
  <c r="CG259" i="90"/>
  <c r="DG259" i="90" s="1"/>
  <c r="CG263" i="90"/>
  <c r="DG263" i="90" s="1"/>
  <c r="FI263" i="90" s="1"/>
  <c r="CR263" i="90" s="1"/>
  <c r="AC263" i="56" s="1"/>
  <c r="CG267" i="90"/>
  <c r="DG267" i="90" s="1"/>
  <c r="CG268" i="90"/>
  <c r="DG268" i="90" s="1"/>
  <c r="FI268" i="90" s="1"/>
  <c r="CR268" i="90" s="1"/>
  <c r="AC268" i="56" s="1"/>
  <c r="CG273" i="90"/>
  <c r="DG273" i="90" s="1"/>
  <c r="CG275" i="90"/>
  <c r="DG275" i="90" s="1"/>
  <c r="CG262" i="90"/>
  <c r="DG262" i="90" s="1"/>
  <c r="CG270" i="90"/>
  <c r="DG270" i="90" s="1"/>
  <c r="CG281" i="90"/>
  <c r="DG281" i="90" s="1"/>
  <c r="CG283" i="90"/>
  <c r="DG283" i="90" s="1"/>
  <c r="CG285" i="90"/>
  <c r="DG285" i="90" s="1"/>
  <c r="CG287" i="90"/>
  <c r="DG287" i="90" s="1"/>
  <c r="CG291" i="90"/>
  <c r="DG291" i="90" s="1"/>
  <c r="CG282" i="90"/>
  <c r="DG282" i="90" s="1"/>
  <c r="FI282" i="90" s="1"/>
  <c r="CR282" i="90" s="1"/>
  <c r="AC282" i="56" s="1"/>
  <c r="CG284" i="90"/>
  <c r="DG284" i="90" s="1"/>
  <c r="CG288" i="90"/>
  <c r="DG288" i="90" s="1"/>
  <c r="CG293" i="90"/>
  <c r="DG293" i="90" s="1"/>
  <c r="CG298" i="90"/>
  <c r="DG298" i="90" s="1"/>
  <c r="CG300" i="90"/>
  <c r="DG300" i="90" s="1"/>
  <c r="CG278" i="90"/>
  <c r="DG278" i="90" s="1"/>
  <c r="CG286" i="90"/>
  <c r="DG286" i="90" s="1"/>
  <c r="CG289" i="90"/>
  <c r="DG289" i="90" s="1"/>
  <c r="CG290" i="90"/>
  <c r="DG290" i="90" s="1"/>
  <c r="CG274" i="90"/>
  <c r="DG274" i="90" s="1"/>
  <c r="CG292" i="90"/>
  <c r="DG292" i="90" s="1"/>
  <c r="CG294" i="90"/>
  <c r="DG294" i="90" s="1"/>
  <c r="CG295" i="90"/>
  <c r="DG295" i="90" s="1"/>
  <c r="CG296" i="90"/>
  <c r="DG296" i="90" s="1"/>
  <c r="CG297" i="90"/>
  <c r="DG297" i="90" s="1"/>
  <c r="CG299" i="90"/>
  <c r="DG299" i="90" s="1"/>
  <c r="CG301" i="90"/>
  <c r="DG301" i="90" s="1"/>
  <c r="CG302" i="90"/>
  <c r="DG302" i="90" s="1"/>
  <c r="CG303" i="90"/>
  <c r="DG303" i="90" s="1"/>
  <c r="CG304" i="90"/>
  <c r="DG304" i="90" s="1"/>
  <c r="CG206" i="90"/>
  <c r="DG206" i="90" s="1"/>
  <c r="CG207" i="90"/>
  <c r="DG207" i="90" s="1"/>
  <c r="CG208" i="90"/>
  <c r="DG208" i="90" s="1"/>
  <c r="CG204" i="90"/>
  <c r="DG204" i="90" s="1"/>
  <c r="FI204" i="90" s="1"/>
  <c r="CR204" i="90" s="1"/>
  <c r="AC204" i="56" s="1"/>
  <c r="CG205" i="90"/>
  <c r="DG205" i="90" s="1"/>
  <c r="CG211" i="90"/>
  <c r="DG211" i="90" s="1"/>
  <c r="CG306" i="90"/>
  <c r="DG306" i="90" s="1"/>
  <c r="CG210" i="90"/>
  <c r="DG210" i="90" s="1"/>
  <c r="CG213" i="90"/>
  <c r="DG213" i="90" s="1"/>
  <c r="CG214" i="90"/>
  <c r="DG214" i="90" s="1"/>
  <c r="CG215" i="90"/>
  <c r="DG215" i="90" s="1"/>
  <c r="CG229" i="90"/>
  <c r="DG229" i="90" s="1"/>
  <c r="CG236" i="90"/>
  <c r="DG236" i="90" s="1"/>
  <c r="CG89" i="90"/>
  <c r="DG89" i="90" s="1"/>
  <c r="CG90" i="90"/>
  <c r="DG90" i="90" s="1"/>
  <c r="CG91" i="90"/>
  <c r="DG91" i="90" s="1"/>
  <c r="CG92" i="90"/>
  <c r="DG92" i="90" s="1"/>
  <c r="CG93" i="90"/>
  <c r="DG93" i="90" s="1"/>
  <c r="FI93" i="90" s="1"/>
  <c r="CR93" i="90" s="1"/>
  <c r="AC93" i="56" s="1"/>
  <c r="CG94" i="90"/>
  <c r="DG94" i="90" s="1"/>
  <c r="CG95" i="90"/>
  <c r="DG95" i="90" s="1"/>
  <c r="CG98" i="90"/>
  <c r="DG98" i="90" s="1"/>
  <c r="CG99" i="90"/>
  <c r="DG99" i="90" s="1"/>
  <c r="CG100" i="90"/>
  <c r="DG100" i="90" s="1"/>
  <c r="CG101" i="90"/>
  <c r="DG101" i="90" s="1"/>
  <c r="FI101" i="90" s="1"/>
  <c r="CR101" i="90" s="1"/>
  <c r="AC101" i="56" s="1"/>
  <c r="CG212" i="90"/>
  <c r="DG212" i="90" s="1"/>
  <c r="CG216" i="90"/>
  <c r="DG216" i="90" s="1"/>
  <c r="CG221" i="90"/>
  <c r="DG221" i="90" s="1"/>
  <c r="CG227" i="90"/>
  <c r="DG227" i="90" s="1"/>
  <c r="CG230" i="90"/>
  <c r="DG230" i="90" s="1"/>
  <c r="FI230" i="90" s="1"/>
  <c r="CR230" i="90" s="1"/>
  <c r="AC230" i="56" s="1"/>
  <c r="CG233" i="90"/>
  <c r="DG233" i="90" s="1"/>
  <c r="CG106" i="90"/>
  <c r="DG106" i="90" s="1"/>
  <c r="CG107" i="90"/>
  <c r="DG107" i="90" s="1"/>
  <c r="CG113" i="90"/>
  <c r="DG113" i="90" s="1"/>
  <c r="CG116" i="90"/>
  <c r="DG116" i="90" s="1"/>
  <c r="CG220" i="90"/>
  <c r="DG220" i="90" s="1"/>
  <c r="CG222" i="90"/>
  <c r="DG222" i="90" s="1"/>
  <c r="CG225" i="90"/>
  <c r="DG225" i="90" s="1"/>
  <c r="CG228" i="90"/>
  <c r="DG228" i="90" s="1"/>
  <c r="FI228" i="90" s="1"/>
  <c r="CR228" i="90" s="1"/>
  <c r="AC228" i="56" s="1"/>
  <c r="CG234" i="90"/>
  <c r="DG234" i="90" s="1"/>
  <c r="CG96" i="90"/>
  <c r="DG96" i="90" s="1"/>
  <c r="CG97" i="90"/>
  <c r="DG97" i="90" s="1"/>
  <c r="CG102" i="90"/>
  <c r="DG102" i="90" s="1"/>
  <c r="CG108" i="90"/>
  <c r="DG108" i="90" s="1"/>
  <c r="CG109" i="90"/>
  <c r="DG109" i="90" s="1"/>
  <c r="CG110" i="90"/>
  <c r="DG110" i="90" s="1"/>
  <c r="CG130" i="90"/>
  <c r="DG130" i="90" s="1"/>
  <c r="CG131" i="90"/>
  <c r="DG131" i="90" s="1"/>
  <c r="CG138" i="90"/>
  <c r="DG138" i="90" s="1"/>
  <c r="CG139" i="90"/>
  <c r="DG139" i="90" s="1"/>
  <c r="CG150" i="90"/>
  <c r="DG150" i="90" s="1"/>
  <c r="CG209" i="90"/>
  <c r="DG209" i="90" s="1"/>
  <c r="CG219" i="90"/>
  <c r="DG219" i="90" s="1"/>
  <c r="FI219" i="90" s="1"/>
  <c r="CR219" i="90" s="1"/>
  <c r="AC219" i="56" s="1"/>
  <c r="CG223" i="90"/>
  <c r="DG223" i="90" s="1"/>
  <c r="CG226" i="90"/>
  <c r="DG226" i="90" s="1"/>
  <c r="CG231" i="90"/>
  <c r="DG231" i="90" s="1"/>
  <c r="CG235" i="90"/>
  <c r="DG235" i="90" s="1"/>
  <c r="CG308" i="90"/>
  <c r="DG308" i="90" s="1"/>
  <c r="CG224" i="90"/>
  <c r="DG224" i="90" s="1"/>
  <c r="CG105" i="90"/>
  <c r="DG105" i="90" s="1"/>
  <c r="CG112" i="90"/>
  <c r="DG112" i="90" s="1"/>
  <c r="CG115" i="90"/>
  <c r="DG115" i="90" s="1"/>
  <c r="CG117" i="90"/>
  <c r="DG117" i="90" s="1"/>
  <c r="CG307" i="90"/>
  <c r="DG307" i="90" s="1"/>
  <c r="CG217" i="90"/>
  <c r="DG217" i="90" s="1"/>
  <c r="CG218" i="90"/>
  <c r="DG218" i="90" s="1"/>
  <c r="CG104" i="90"/>
  <c r="DG104" i="90" s="1"/>
  <c r="CG111" i="90"/>
  <c r="DG111" i="90" s="1"/>
  <c r="CG114" i="90"/>
  <c r="DG114" i="90" s="1"/>
  <c r="FI114" i="90" s="1"/>
  <c r="CR114" i="90" s="1"/>
  <c r="AC114" i="56" s="1"/>
  <c r="CG121" i="90"/>
  <c r="DG121" i="90" s="1"/>
  <c r="CG124" i="90"/>
  <c r="DG124" i="90" s="1"/>
  <c r="CG126" i="90"/>
  <c r="DG126" i="90" s="1"/>
  <c r="CG305" i="90"/>
  <c r="DG305" i="90" s="1"/>
  <c r="CG232" i="90"/>
  <c r="DG232" i="90" s="1"/>
  <c r="CG103" i="90"/>
  <c r="DG103" i="90" s="1"/>
  <c r="CG119" i="90"/>
  <c r="DG119" i="90" s="1"/>
  <c r="FI119" i="90" s="1"/>
  <c r="CR119" i="90" s="1"/>
  <c r="AC119" i="56" s="1"/>
  <c r="CG120" i="90"/>
  <c r="DG120" i="90" s="1"/>
  <c r="CG127" i="90"/>
  <c r="DG127" i="90" s="1"/>
  <c r="CG122" i="90"/>
  <c r="DG122" i="90" s="1"/>
  <c r="CG123" i="90"/>
  <c r="DG123" i="90" s="1"/>
  <c r="CG128" i="90"/>
  <c r="DG128" i="90" s="1"/>
  <c r="FI128" i="90" s="1"/>
  <c r="CR128" i="90" s="1"/>
  <c r="AC128" i="56" s="1"/>
  <c r="CG134" i="90"/>
  <c r="DG134" i="90" s="1"/>
  <c r="CG145" i="90"/>
  <c r="DG145" i="90" s="1"/>
  <c r="CG153" i="90"/>
  <c r="DG153" i="90" s="1"/>
  <c r="CG156" i="90"/>
  <c r="DG156" i="90" s="1"/>
  <c r="CG158" i="90"/>
  <c r="DG158" i="90" s="1"/>
  <c r="CG165" i="90"/>
  <c r="DG165" i="90" s="1"/>
  <c r="CG166" i="90"/>
  <c r="DG166" i="90" s="1"/>
  <c r="FI166" i="90" s="1"/>
  <c r="CR166" i="90" s="1"/>
  <c r="AC166" i="56" s="1"/>
  <c r="CG167" i="90"/>
  <c r="DG167" i="90" s="1"/>
  <c r="CG168" i="90"/>
  <c r="DG168" i="90" s="1"/>
  <c r="CG118" i="90"/>
  <c r="DG118" i="90" s="1"/>
  <c r="FI118" i="90" s="1"/>
  <c r="CR118" i="90" s="1"/>
  <c r="AC118" i="56" s="1"/>
  <c r="CG125" i="90"/>
  <c r="DG125" i="90" s="1"/>
  <c r="CG129" i="90"/>
  <c r="DG129" i="90" s="1"/>
  <c r="CG135" i="90"/>
  <c r="DG135" i="90" s="1"/>
  <c r="CG143" i="90"/>
  <c r="DG143" i="90" s="1"/>
  <c r="CG146" i="90"/>
  <c r="DG146" i="90" s="1"/>
  <c r="CG149" i="90"/>
  <c r="DG149" i="90" s="1"/>
  <c r="CG151" i="90"/>
  <c r="DG151" i="90" s="1"/>
  <c r="CG154" i="90"/>
  <c r="DG154" i="90" s="1"/>
  <c r="CG159" i="90"/>
  <c r="DG159" i="90" s="1"/>
  <c r="FI159" i="90" s="1"/>
  <c r="CR159" i="90" s="1"/>
  <c r="AC159" i="56" s="1"/>
  <c r="CG160" i="90"/>
  <c r="DG160" i="90" s="1"/>
  <c r="CG161" i="90"/>
  <c r="DG161" i="90" s="1"/>
  <c r="CG162" i="90"/>
  <c r="DG162" i="90" s="1"/>
  <c r="CG163" i="90"/>
  <c r="DG163" i="90" s="1"/>
  <c r="CG169" i="90"/>
  <c r="DG169" i="90" s="1"/>
  <c r="CG170" i="90"/>
  <c r="DG170" i="90" s="1"/>
  <c r="CG177" i="90"/>
  <c r="DG177" i="90" s="1"/>
  <c r="CG178" i="90"/>
  <c r="DG178" i="90" s="1"/>
  <c r="CG132" i="90"/>
  <c r="DG132" i="90" s="1"/>
  <c r="CG136" i="90"/>
  <c r="DG136" i="90" s="1"/>
  <c r="CG141" i="90"/>
  <c r="DG141" i="90" s="1"/>
  <c r="CG144" i="90"/>
  <c r="DG144" i="90" s="1"/>
  <c r="CG147" i="90"/>
  <c r="DG147" i="90" s="1"/>
  <c r="FI147" i="90" s="1"/>
  <c r="CR147" i="90" s="1"/>
  <c r="AC147" i="56" s="1"/>
  <c r="CG155" i="90"/>
  <c r="DG155" i="90" s="1"/>
  <c r="CG157" i="90"/>
  <c r="DG157" i="90" s="1"/>
  <c r="CG171" i="90"/>
  <c r="DG171" i="90" s="1"/>
  <c r="CG172" i="90"/>
  <c r="DG172" i="90" s="1"/>
  <c r="CG173" i="90"/>
  <c r="DG173" i="90" s="1"/>
  <c r="CG174" i="90"/>
  <c r="DG174" i="90" s="1"/>
  <c r="CG175" i="90"/>
  <c r="DG175" i="90" s="1"/>
  <c r="CG133" i="90"/>
  <c r="DG133" i="90" s="1"/>
  <c r="CG137" i="90"/>
  <c r="DG137" i="90" s="1"/>
  <c r="CG140" i="90"/>
  <c r="DG140" i="90" s="1"/>
  <c r="CG152" i="90"/>
  <c r="DG152" i="90" s="1"/>
  <c r="CG176" i="90"/>
  <c r="DG176" i="90" s="1"/>
  <c r="CG179" i="90"/>
  <c r="DG179" i="90" s="1"/>
  <c r="CG184" i="90"/>
  <c r="DG184" i="90" s="1"/>
  <c r="CG185" i="90"/>
  <c r="DG185" i="90" s="1"/>
  <c r="CG186" i="90"/>
  <c r="DG186" i="90" s="1"/>
  <c r="FI186" i="90" s="1"/>
  <c r="CR186" i="90" s="1"/>
  <c r="AC186" i="56" s="1"/>
  <c r="CG192" i="90"/>
  <c r="DG192" i="90" s="1"/>
  <c r="CG193" i="90"/>
  <c r="DG193" i="90" s="1"/>
  <c r="CG198" i="90"/>
  <c r="DG198" i="90" s="1"/>
  <c r="CG199" i="90"/>
  <c r="DG199" i="90" s="1"/>
  <c r="CG75" i="90"/>
  <c r="DG75" i="90" s="1"/>
  <c r="FI75" i="90" s="1"/>
  <c r="CR75" i="90" s="1"/>
  <c r="AC75" i="56" s="1"/>
  <c r="CG76" i="90"/>
  <c r="DG76" i="90" s="1"/>
  <c r="CG181" i="90"/>
  <c r="DG181" i="90" s="1"/>
  <c r="CG182" i="90"/>
  <c r="DG182" i="90" s="1"/>
  <c r="FI182" i="90" s="1"/>
  <c r="CR182" i="90" s="1"/>
  <c r="AC182" i="56" s="1"/>
  <c r="CG194" i="90"/>
  <c r="DG194" i="90" s="1"/>
  <c r="CG195" i="90"/>
  <c r="DG195" i="90" s="1"/>
  <c r="CG200" i="90"/>
  <c r="DG200" i="90" s="1"/>
  <c r="CG201" i="90"/>
  <c r="DG201" i="90" s="1"/>
  <c r="CG74" i="90"/>
  <c r="DG74" i="90" s="1"/>
  <c r="CG142" i="90"/>
  <c r="DG142" i="90" s="1"/>
  <c r="CG148" i="90"/>
  <c r="DG148" i="90" s="1"/>
  <c r="CG202" i="90"/>
  <c r="DG202" i="90" s="1"/>
  <c r="CG203" i="90"/>
  <c r="DG203" i="90" s="1"/>
  <c r="CG164" i="90"/>
  <c r="DG164" i="90" s="1"/>
  <c r="CG180" i="90"/>
  <c r="DG180" i="90" s="1"/>
  <c r="CG183" i="90"/>
  <c r="DG183" i="90" s="1"/>
  <c r="CG187" i="90"/>
  <c r="DG187" i="90" s="1"/>
  <c r="CG188" i="90"/>
  <c r="DG188" i="90" s="1"/>
  <c r="CG189" i="90"/>
  <c r="DG189" i="90" s="1"/>
  <c r="CG190" i="90"/>
  <c r="DG190" i="90" s="1"/>
  <c r="CG191" i="90"/>
  <c r="DG191" i="90" s="1"/>
  <c r="CG196" i="90"/>
  <c r="DG196" i="90" s="1"/>
  <c r="CG197" i="90"/>
  <c r="DG197" i="90" s="1"/>
  <c r="FI197" i="90" s="1"/>
  <c r="CR197" i="90" s="1"/>
  <c r="AC197" i="56" s="1"/>
  <c r="CG73" i="90"/>
  <c r="DG73" i="90" s="1"/>
  <c r="CG77" i="90"/>
  <c r="DG77" i="90" s="1"/>
  <c r="CG78" i="90"/>
  <c r="DG78" i="90" s="1"/>
  <c r="CG79" i="90"/>
  <c r="DG79" i="90" s="1"/>
  <c r="CG80" i="90"/>
  <c r="DG80" i="90" s="1"/>
  <c r="CG81" i="90"/>
  <c r="DG81" i="90" s="1"/>
  <c r="CG88" i="90"/>
  <c r="DG88" i="90" s="1"/>
  <c r="CG82" i="90"/>
  <c r="DG82" i="90" s="1"/>
  <c r="CG84" i="90"/>
  <c r="DG84" i="90" s="1"/>
  <c r="CG86" i="90"/>
  <c r="DG86" i="90" s="1"/>
  <c r="CG67" i="90"/>
  <c r="DG67" i="90" s="1"/>
  <c r="CG68" i="90"/>
  <c r="DG68" i="90" s="1"/>
  <c r="CG65" i="90"/>
  <c r="DG65" i="90" s="1"/>
  <c r="CG83" i="90"/>
  <c r="DG83" i="90" s="1"/>
  <c r="CG85" i="90"/>
  <c r="DG85" i="90" s="1"/>
  <c r="CG64" i="90"/>
  <c r="DG64" i="90" s="1"/>
  <c r="CG70" i="90"/>
  <c r="DG70" i="90" s="1"/>
  <c r="CG71" i="90"/>
  <c r="DG71" i="90" s="1"/>
  <c r="CG72" i="90"/>
  <c r="DG72" i="90" s="1"/>
  <c r="FI72" i="90" s="1"/>
  <c r="CR72" i="90" s="1"/>
  <c r="AC72" i="56" s="1"/>
  <c r="CG87" i="90"/>
  <c r="DG87" i="90" s="1"/>
  <c r="CG66" i="90"/>
  <c r="DG66" i="90" s="1"/>
  <c r="FI66" i="90" s="1"/>
  <c r="CR66" i="90" s="1"/>
  <c r="AC66" i="56" s="1"/>
  <c r="CG69" i="90"/>
  <c r="DG69" i="90" s="1"/>
  <c r="CG56" i="90"/>
  <c r="DG56" i="90" s="1"/>
  <c r="CG58" i="90"/>
  <c r="DG58" i="90" s="1"/>
  <c r="CG55" i="90"/>
  <c r="DG55" i="90" s="1"/>
  <c r="CG59" i="90"/>
  <c r="DG59" i="90" s="1"/>
  <c r="CG57" i="90"/>
  <c r="DG57" i="90" s="1"/>
  <c r="FI57" i="90" s="1"/>
  <c r="CR57" i="90" s="1"/>
  <c r="AC57" i="56" s="1"/>
  <c r="CG60" i="90"/>
  <c r="DG60" i="90" s="1"/>
  <c r="FH361" i="90"/>
  <c r="CQ361" i="90" s="1"/>
  <c r="AB361" i="56" s="1"/>
  <c r="FH362" i="90"/>
  <c r="CQ362" i="90" s="1"/>
  <c r="AB362" i="56" s="1"/>
  <c r="FH272" i="90"/>
  <c r="CQ272" i="90" s="1"/>
  <c r="AB272" i="56" s="1"/>
  <c r="FH300" i="90"/>
  <c r="CQ300" i="90" s="1"/>
  <c r="AB300" i="56" s="1"/>
  <c r="FH306" i="90"/>
  <c r="CQ306" i="90" s="1"/>
  <c r="AB306" i="56" s="1"/>
  <c r="FH91" i="90"/>
  <c r="CQ91" i="90" s="1"/>
  <c r="AB91" i="56" s="1"/>
  <c r="FH163" i="90"/>
  <c r="CQ163" i="90" s="1"/>
  <c r="AB163" i="56" s="1"/>
  <c r="FH220" i="90"/>
  <c r="CQ220" i="90" s="1"/>
  <c r="AB220" i="56" s="1"/>
  <c r="FH180" i="90"/>
  <c r="CQ180" i="90" s="1"/>
  <c r="AB180" i="56" s="1"/>
  <c r="FH94" i="90"/>
  <c r="CQ94" i="90" s="1"/>
  <c r="AB94" i="56" s="1"/>
  <c r="AA139" i="44"/>
  <c r="CF45" i="90"/>
  <c r="AB99" i="44"/>
  <c r="AB84" i="44"/>
  <c r="AB89" i="44"/>
  <c r="AB137" i="44" s="1"/>
  <c r="AB90" i="44"/>
  <c r="AB123" i="44" s="1"/>
  <c r="AB85" i="44"/>
  <c r="AB96" i="44"/>
  <c r="AB87" i="44"/>
  <c r="AB86" i="44"/>
  <c r="AB136" i="44"/>
  <c r="DF45" i="90"/>
  <c r="CG394" i="90"/>
  <c r="DG394" i="90" s="1"/>
  <c r="FI394" i="90" s="1"/>
  <c r="CR394" i="90" s="1"/>
  <c r="AC394" i="56" s="1"/>
  <c r="CG390" i="90"/>
  <c r="DG390" i="90" s="1"/>
  <c r="FI390" i="90" s="1"/>
  <c r="CR390" i="90" s="1"/>
  <c r="AC390" i="56" s="1"/>
  <c r="CG386" i="90"/>
  <c r="DG386" i="90" s="1"/>
  <c r="FI386" i="90" s="1"/>
  <c r="CR386" i="90" s="1"/>
  <c r="AC386" i="56" s="1"/>
  <c r="CG382" i="90"/>
  <c r="DG382" i="90" s="1"/>
  <c r="FI382" i="90" s="1"/>
  <c r="CR382" i="90" s="1"/>
  <c r="AC382" i="56" s="1"/>
  <c r="CG378" i="90"/>
  <c r="DG378" i="90" s="1"/>
  <c r="FI378" i="90" s="1"/>
  <c r="CR378" i="90" s="1"/>
  <c r="AC378" i="56" s="1"/>
  <c r="CG374" i="90"/>
  <c r="DG374" i="90" s="1"/>
  <c r="FI374" i="90" s="1"/>
  <c r="CR374" i="90" s="1"/>
  <c r="AC374" i="56" s="1"/>
  <c r="CG370" i="90"/>
  <c r="DG370" i="90" s="1"/>
  <c r="FI370" i="90" s="1"/>
  <c r="CR370" i="90" s="1"/>
  <c r="AC370" i="56" s="1"/>
  <c r="CG366" i="90"/>
  <c r="DG366" i="90" s="1"/>
  <c r="FI366" i="90" s="1"/>
  <c r="CR366" i="90" s="1"/>
  <c r="AC366" i="56" s="1"/>
  <c r="CG337" i="90"/>
  <c r="DG337" i="90" s="1"/>
  <c r="FI337" i="90" s="1"/>
  <c r="CR337" i="90" s="1"/>
  <c r="AC337" i="56" s="1"/>
  <c r="CG333" i="90"/>
  <c r="DG333" i="90" s="1"/>
  <c r="FI333" i="90" s="1"/>
  <c r="CR333" i="90" s="1"/>
  <c r="AC333" i="56" s="1"/>
  <c r="CG329" i="90"/>
  <c r="DG329" i="90" s="1"/>
  <c r="FI329" i="90" s="1"/>
  <c r="CR329" i="90" s="1"/>
  <c r="AC329" i="56" s="1"/>
  <c r="CG325" i="90"/>
  <c r="DG325" i="90" s="1"/>
  <c r="FI325" i="90" s="1"/>
  <c r="CR325" i="90" s="1"/>
  <c r="AC325" i="56" s="1"/>
  <c r="CG321" i="90"/>
  <c r="DG321" i="90" s="1"/>
  <c r="FI321" i="90" s="1"/>
  <c r="CR321" i="90" s="1"/>
  <c r="AC321" i="56" s="1"/>
  <c r="CG317" i="90"/>
  <c r="DG317" i="90" s="1"/>
  <c r="FI317" i="90" s="1"/>
  <c r="CR317" i="90" s="1"/>
  <c r="AC317" i="56" s="1"/>
  <c r="CG313" i="90"/>
  <c r="DG313" i="90" s="1"/>
  <c r="FI313" i="90" s="1"/>
  <c r="CR313" i="90" s="1"/>
  <c r="AC313" i="56" s="1"/>
  <c r="CG309" i="90"/>
  <c r="DG309" i="90" s="1"/>
  <c r="FI309" i="90" s="1"/>
  <c r="CR309" i="90" s="1"/>
  <c r="AC309" i="56" s="1"/>
  <c r="CG393" i="90"/>
  <c r="DG393" i="90" s="1"/>
  <c r="FI393" i="90" s="1"/>
  <c r="CR393" i="90" s="1"/>
  <c r="AC393" i="56" s="1"/>
  <c r="CG389" i="90"/>
  <c r="DG389" i="90" s="1"/>
  <c r="FI389" i="90" s="1"/>
  <c r="CR389" i="90" s="1"/>
  <c r="AC389" i="56" s="1"/>
  <c r="CG385" i="90"/>
  <c r="DG385" i="90" s="1"/>
  <c r="FI385" i="90" s="1"/>
  <c r="CR385" i="90" s="1"/>
  <c r="AC385" i="56" s="1"/>
  <c r="CG381" i="90"/>
  <c r="DG381" i="90" s="1"/>
  <c r="FI381" i="90" s="1"/>
  <c r="CR381" i="90" s="1"/>
  <c r="AC381" i="56" s="1"/>
  <c r="CG377" i="90"/>
  <c r="DG377" i="90" s="1"/>
  <c r="FI377" i="90" s="1"/>
  <c r="CR377" i="90" s="1"/>
  <c r="AC377" i="56" s="1"/>
  <c r="CG373" i="90"/>
  <c r="DG373" i="90" s="1"/>
  <c r="FI373" i="90" s="1"/>
  <c r="CR373" i="90" s="1"/>
  <c r="AC373" i="56" s="1"/>
  <c r="CG369" i="90"/>
  <c r="DG369" i="90" s="1"/>
  <c r="FI369" i="90" s="1"/>
  <c r="CR369" i="90" s="1"/>
  <c r="AC369" i="56" s="1"/>
  <c r="CG365" i="90"/>
  <c r="DG365" i="90" s="1"/>
  <c r="FI365" i="90" s="1"/>
  <c r="CR365" i="90" s="1"/>
  <c r="AC365" i="56" s="1"/>
  <c r="CG336" i="90"/>
  <c r="DG336" i="90" s="1"/>
  <c r="FI336" i="90" s="1"/>
  <c r="CR336" i="90" s="1"/>
  <c r="AC336" i="56" s="1"/>
  <c r="CG332" i="90"/>
  <c r="DG332" i="90" s="1"/>
  <c r="FI332" i="90" s="1"/>
  <c r="CR332" i="90" s="1"/>
  <c r="AC332" i="56" s="1"/>
  <c r="CG328" i="90"/>
  <c r="DG328" i="90" s="1"/>
  <c r="FI328" i="90" s="1"/>
  <c r="CR328" i="90" s="1"/>
  <c r="AC328" i="56" s="1"/>
  <c r="CG324" i="90"/>
  <c r="DG324" i="90" s="1"/>
  <c r="FI324" i="90" s="1"/>
  <c r="CR324" i="90" s="1"/>
  <c r="AC324" i="56" s="1"/>
  <c r="CG320" i="90"/>
  <c r="DG320" i="90" s="1"/>
  <c r="FI320" i="90" s="1"/>
  <c r="CR320" i="90" s="1"/>
  <c r="AC320" i="56" s="1"/>
  <c r="CG316" i="90"/>
  <c r="DG316" i="90" s="1"/>
  <c r="FI316" i="90" s="1"/>
  <c r="CR316" i="90" s="1"/>
  <c r="AC316" i="56" s="1"/>
  <c r="CG312" i="90"/>
  <c r="DG312" i="90" s="1"/>
  <c r="FI312" i="90" s="1"/>
  <c r="CR312" i="90" s="1"/>
  <c r="AC312" i="56" s="1"/>
  <c r="CG396" i="90"/>
  <c r="DG396" i="90" s="1"/>
  <c r="FI396" i="90" s="1"/>
  <c r="CR396" i="90" s="1"/>
  <c r="AC396" i="56" s="1"/>
  <c r="CG379" i="90"/>
  <c r="DG379" i="90" s="1"/>
  <c r="FI379" i="90" s="1"/>
  <c r="CR379" i="90" s="1"/>
  <c r="AC379" i="56" s="1"/>
  <c r="CG339" i="90"/>
  <c r="DG339" i="90" s="1"/>
  <c r="FI339" i="90" s="1"/>
  <c r="CR339" i="90" s="1"/>
  <c r="AC339" i="56" s="1"/>
  <c r="CG322" i="90"/>
  <c r="DG322" i="90" s="1"/>
  <c r="FI322" i="90" s="1"/>
  <c r="CR322" i="90" s="1"/>
  <c r="AC322" i="56" s="1"/>
  <c r="CG380" i="90"/>
  <c r="DG380" i="90" s="1"/>
  <c r="FI380" i="90" s="1"/>
  <c r="CR380" i="90" s="1"/>
  <c r="AC380" i="56" s="1"/>
  <c r="CG383" i="90"/>
  <c r="DG383" i="90" s="1"/>
  <c r="FI383" i="90" s="1"/>
  <c r="CR383" i="90" s="1"/>
  <c r="AC383" i="56" s="1"/>
  <c r="CG368" i="90"/>
  <c r="DG368" i="90" s="1"/>
  <c r="FI368" i="90" s="1"/>
  <c r="CR368" i="90" s="1"/>
  <c r="AC368" i="56" s="1"/>
  <c r="CG326" i="90"/>
  <c r="DG326" i="90" s="1"/>
  <c r="FI326" i="90" s="1"/>
  <c r="CR326" i="90" s="1"/>
  <c r="AC326" i="56" s="1"/>
  <c r="CG248" i="90"/>
  <c r="DG248" i="90" s="1"/>
  <c r="FI248" i="90" s="1"/>
  <c r="CR248" i="90" s="1"/>
  <c r="AC248" i="56" s="1"/>
  <c r="CG244" i="90"/>
  <c r="DG244" i="90" s="1"/>
  <c r="FI244" i="90" s="1"/>
  <c r="CR244" i="90" s="1"/>
  <c r="AC244" i="56" s="1"/>
  <c r="CG240" i="90"/>
  <c r="DG240" i="90" s="1"/>
  <c r="FI240" i="90" s="1"/>
  <c r="CR240" i="90" s="1"/>
  <c r="AC240" i="56" s="1"/>
  <c r="CG54" i="90"/>
  <c r="DG54" i="90" s="1"/>
  <c r="FI54" i="90" s="1"/>
  <c r="CR54" i="90" s="1"/>
  <c r="AC54" i="56" s="1"/>
  <c r="CG50" i="90"/>
  <c r="DG50" i="90" s="1"/>
  <c r="FI50" i="90" s="1"/>
  <c r="CR50" i="90" s="1"/>
  <c r="AC50" i="56" s="1"/>
  <c r="CG46" i="90"/>
  <c r="DG46" i="90" s="1"/>
  <c r="CG323" i="90"/>
  <c r="DG323" i="90" s="1"/>
  <c r="FI323" i="90" s="1"/>
  <c r="CR323" i="90" s="1"/>
  <c r="AC323" i="56" s="1"/>
  <c r="CG387" i="90"/>
  <c r="DG387" i="90" s="1"/>
  <c r="FI387" i="90" s="1"/>
  <c r="CR387" i="90" s="1"/>
  <c r="AC387" i="56" s="1"/>
  <c r="CG372" i="90"/>
  <c r="DG372" i="90" s="1"/>
  <c r="FI372" i="90" s="1"/>
  <c r="CR372" i="90" s="1"/>
  <c r="AC372" i="56" s="1"/>
  <c r="CG330" i="90"/>
  <c r="DG330" i="90" s="1"/>
  <c r="FI330" i="90" s="1"/>
  <c r="CR330" i="90" s="1"/>
  <c r="AC330" i="56" s="1"/>
  <c r="CG315" i="90"/>
  <c r="DG315" i="90" s="1"/>
  <c r="FI315" i="90" s="1"/>
  <c r="CR315" i="90" s="1"/>
  <c r="AC315" i="56" s="1"/>
  <c r="CG311" i="90"/>
  <c r="DG311" i="90" s="1"/>
  <c r="FI311" i="90" s="1"/>
  <c r="CR311" i="90" s="1"/>
  <c r="AC311" i="56" s="1"/>
  <c r="CG395" i="90"/>
  <c r="DG395" i="90" s="1"/>
  <c r="FI395" i="90" s="1"/>
  <c r="CR395" i="90" s="1"/>
  <c r="AC395" i="56" s="1"/>
  <c r="CG338" i="90"/>
  <c r="DG338" i="90" s="1"/>
  <c r="FI338" i="90" s="1"/>
  <c r="CR338" i="90" s="1"/>
  <c r="AC338" i="56" s="1"/>
  <c r="CG391" i="90"/>
  <c r="DG391" i="90" s="1"/>
  <c r="FI391" i="90" s="1"/>
  <c r="CR391" i="90" s="1"/>
  <c r="AC391" i="56" s="1"/>
  <c r="CG376" i="90"/>
  <c r="DG376" i="90" s="1"/>
  <c r="FI376" i="90" s="1"/>
  <c r="CR376" i="90" s="1"/>
  <c r="AC376" i="56" s="1"/>
  <c r="CG334" i="90"/>
  <c r="DG334" i="90" s="1"/>
  <c r="FI334" i="90" s="1"/>
  <c r="CR334" i="90" s="1"/>
  <c r="AC334" i="56" s="1"/>
  <c r="CG319" i="90"/>
  <c r="DG319" i="90" s="1"/>
  <c r="FI319" i="90" s="1"/>
  <c r="CR319" i="90" s="1"/>
  <c r="AC319" i="56" s="1"/>
  <c r="CG247" i="90"/>
  <c r="DG247" i="90" s="1"/>
  <c r="FI247" i="90" s="1"/>
  <c r="CR247" i="90" s="1"/>
  <c r="AC247" i="56" s="1"/>
  <c r="CG243" i="90"/>
  <c r="DG243" i="90" s="1"/>
  <c r="FI243" i="90" s="1"/>
  <c r="CR243" i="90" s="1"/>
  <c r="AC243" i="56" s="1"/>
  <c r="CG239" i="90"/>
  <c r="DG239" i="90" s="1"/>
  <c r="FI239" i="90" s="1"/>
  <c r="CR239" i="90" s="1"/>
  <c r="AC239" i="56" s="1"/>
  <c r="CG63" i="90"/>
  <c r="DG63" i="90" s="1"/>
  <c r="FI63" i="90" s="1"/>
  <c r="CR63" i="90" s="1"/>
  <c r="AC63" i="56" s="1"/>
  <c r="CG53" i="90"/>
  <c r="DG53" i="90" s="1"/>
  <c r="FI53" i="90" s="1"/>
  <c r="CR53" i="90" s="1"/>
  <c r="AC53" i="56" s="1"/>
  <c r="CG49" i="90"/>
  <c r="DG49" i="90" s="1"/>
  <c r="FI49" i="90" s="1"/>
  <c r="CR49" i="90" s="1"/>
  <c r="AC49" i="56" s="1"/>
  <c r="CG388" i="90"/>
  <c r="DG388" i="90" s="1"/>
  <c r="FI388" i="90" s="1"/>
  <c r="CR388" i="90" s="1"/>
  <c r="AC388" i="56" s="1"/>
  <c r="CG371" i="90"/>
  <c r="DG371" i="90" s="1"/>
  <c r="FI371" i="90" s="1"/>
  <c r="CR371" i="90" s="1"/>
  <c r="AC371" i="56" s="1"/>
  <c r="CG331" i="90"/>
  <c r="DG331" i="90" s="1"/>
  <c r="FI331" i="90" s="1"/>
  <c r="CR331" i="90" s="1"/>
  <c r="AC331" i="56" s="1"/>
  <c r="CG314" i="90"/>
  <c r="DG314" i="90" s="1"/>
  <c r="FI314" i="90" s="1"/>
  <c r="CR314" i="90" s="1"/>
  <c r="AC314" i="56" s="1"/>
  <c r="CG335" i="90"/>
  <c r="DG335" i="90" s="1"/>
  <c r="FI335" i="90" s="1"/>
  <c r="CR335" i="90" s="1"/>
  <c r="AC335" i="56" s="1"/>
  <c r="CG318" i="90"/>
  <c r="DG318" i="90" s="1"/>
  <c r="FI318" i="90" s="1"/>
  <c r="CR318" i="90" s="1"/>
  <c r="AC318" i="56" s="1"/>
  <c r="CG310" i="90"/>
  <c r="DG310" i="90" s="1"/>
  <c r="FI310" i="90" s="1"/>
  <c r="CR310" i="90" s="1"/>
  <c r="AC310" i="56" s="1"/>
  <c r="CG246" i="90"/>
  <c r="DG246" i="90" s="1"/>
  <c r="FI246" i="90" s="1"/>
  <c r="CR246" i="90" s="1"/>
  <c r="AC246" i="56" s="1"/>
  <c r="CG51" i="90"/>
  <c r="DG51" i="90" s="1"/>
  <c r="FI51" i="90" s="1"/>
  <c r="CR51" i="90" s="1"/>
  <c r="AC51" i="56" s="1"/>
  <c r="CG245" i="90"/>
  <c r="DG245" i="90" s="1"/>
  <c r="FI245" i="90" s="1"/>
  <c r="CR245" i="90" s="1"/>
  <c r="AC245" i="56" s="1"/>
  <c r="CG384" i="90"/>
  <c r="DG384" i="90" s="1"/>
  <c r="FI384" i="90" s="1"/>
  <c r="CR384" i="90" s="1"/>
  <c r="AC384" i="56" s="1"/>
  <c r="CG367" i="90"/>
  <c r="DG367" i="90" s="1"/>
  <c r="FI367" i="90" s="1"/>
  <c r="CR367" i="90" s="1"/>
  <c r="AC367" i="56" s="1"/>
  <c r="CG52" i="90"/>
  <c r="DG52" i="90" s="1"/>
  <c r="FI52" i="90" s="1"/>
  <c r="CR52" i="90" s="1"/>
  <c r="AC52" i="56" s="1"/>
  <c r="CG392" i="90"/>
  <c r="DG392" i="90" s="1"/>
  <c r="FI392" i="90" s="1"/>
  <c r="CR392" i="90" s="1"/>
  <c r="AC392" i="56" s="1"/>
  <c r="CG375" i="90"/>
  <c r="DG375" i="90" s="1"/>
  <c r="FI375" i="90" s="1"/>
  <c r="CR375" i="90" s="1"/>
  <c r="AC375" i="56" s="1"/>
  <c r="CG237" i="90"/>
  <c r="DG237" i="90" s="1"/>
  <c r="FI237" i="90" s="1"/>
  <c r="CR237" i="90" s="1"/>
  <c r="AC237" i="56" s="1"/>
  <c r="CG241" i="90"/>
  <c r="DG241" i="90" s="1"/>
  <c r="FI241" i="90" s="1"/>
  <c r="CR241" i="90" s="1"/>
  <c r="AC241" i="56" s="1"/>
  <c r="CG48" i="90"/>
  <c r="DG48" i="90" s="1"/>
  <c r="FI48" i="90" s="1"/>
  <c r="CR48" i="90" s="1"/>
  <c r="AC48" i="56" s="1"/>
  <c r="CG238" i="90"/>
  <c r="DG238" i="90" s="1"/>
  <c r="FI238" i="90" s="1"/>
  <c r="CR238" i="90" s="1"/>
  <c r="AC238" i="56" s="1"/>
  <c r="CG327" i="90"/>
  <c r="DG327" i="90" s="1"/>
  <c r="FI327" i="90" s="1"/>
  <c r="CR327" i="90" s="1"/>
  <c r="AC327" i="56" s="1"/>
  <c r="CG242" i="90"/>
  <c r="DG242" i="90" s="1"/>
  <c r="FI242" i="90" s="1"/>
  <c r="CR242" i="90" s="1"/>
  <c r="AC242" i="56" s="1"/>
  <c r="CG47" i="90"/>
  <c r="DG47" i="90" s="1"/>
  <c r="FI47" i="90" s="1"/>
  <c r="CR47" i="90" s="1"/>
  <c r="AC47" i="56" s="1"/>
  <c r="CG62" i="90"/>
  <c r="DG62" i="90" s="1"/>
  <c r="FI62" i="90" s="1"/>
  <c r="CR62" i="90" s="1"/>
  <c r="AC62" i="56" s="1"/>
  <c r="AB110" i="41"/>
  <c r="X174" i="44"/>
  <c r="X129" i="44" s="1"/>
  <c r="AA206" i="44"/>
  <c r="AA259" i="44"/>
  <c r="AC39" i="93"/>
  <c r="AC85" i="41"/>
  <c r="AI15" i="40"/>
  <c r="AB191" i="44"/>
  <c r="AB109" i="41"/>
  <c r="AB242" i="44"/>
  <c r="AB108" i="41"/>
  <c r="AB188" i="44"/>
  <c r="AB193" i="44"/>
  <c r="AB186" i="44"/>
  <c r="AA260" i="44"/>
  <c r="CP45" i="90"/>
  <c r="Z19" i="56"/>
  <c r="AA258" i="44"/>
  <c r="AA207" i="44"/>
  <c r="AB51" i="44" l="1"/>
  <c r="AB138" i="44" s="1"/>
  <c r="X41" i="44"/>
  <c r="X132" i="44" s="1"/>
  <c r="X208" i="44" s="1"/>
  <c r="AC309" i="44"/>
  <c r="AC274" i="44"/>
  <c r="AC310" i="44"/>
  <c r="AC311" i="44"/>
  <c r="AC298" i="44"/>
  <c r="Y302" i="44"/>
  <c r="Y303" i="44" s="1"/>
  <c r="P64" i="114" s="1"/>
  <c r="Y314" i="44"/>
  <c r="P67" i="114" s="1"/>
  <c r="Y293" i="44"/>
  <c r="Y294" i="44" s="1"/>
  <c r="P63" i="114" s="1"/>
  <c r="AB126" i="44"/>
  <c r="AB277" i="44"/>
  <c r="AB209" i="44"/>
  <c r="AB281" i="44"/>
  <c r="AB289" i="44"/>
  <c r="AB291" i="44" s="1"/>
  <c r="AB125" i="44"/>
  <c r="AB124" i="44"/>
  <c r="AB45" i="56"/>
  <c r="AC83" i="44"/>
  <c r="AC114" i="41"/>
  <c r="N173" i="98"/>
  <c r="P136" i="98"/>
  <c r="AH83" i="86"/>
  <c r="AH102" i="117"/>
  <c r="AI97" i="117"/>
  <c r="AI99" i="117" s="1"/>
  <c r="AI102" i="117" s="1"/>
  <c r="AI107" i="117" s="1"/>
  <c r="Q165" i="98"/>
  <c r="AI80" i="86"/>
  <c r="AI35" i="12"/>
  <c r="P58" i="98"/>
  <c r="P60" i="98" s="1"/>
  <c r="P168" i="98"/>
  <c r="AJ32" i="12"/>
  <c r="AJ101" i="12"/>
  <c r="O116" i="98"/>
  <c r="O117" i="98" s="1"/>
  <c r="O118" i="98" s="1"/>
  <c r="AG84" i="86"/>
  <c r="P43" i="98"/>
  <c r="AM14" i="42"/>
  <c r="X109" i="44"/>
  <c r="FH45" i="90"/>
  <c r="CH340" i="90"/>
  <c r="DH340" i="90" s="1"/>
  <c r="CH344" i="90"/>
  <c r="DH344" i="90" s="1"/>
  <c r="CH347" i="90"/>
  <c r="DH347" i="90" s="1"/>
  <c r="CH341" i="90"/>
  <c r="DH341" i="90" s="1"/>
  <c r="FJ341" i="90" s="1"/>
  <c r="CS341" i="90" s="1"/>
  <c r="AD341" i="56" s="1"/>
  <c r="CH342" i="90"/>
  <c r="DH342" i="90" s="1"/>
  <c r="CH345" i="90"/>
  <c r="DH345" i="90" s="1"/>
  <c r="CH346" i="90"/>
  <c r="DH346" i="90" s="1"/>
  <c r="CH343" i="90"/>
  <c r="DH343" i="90" s="1"/>
  <c r="CH348" i="90"/>
  <c r="DH348" i="90" s="1"/>
  <c r="CH352" i="90"/>
  <c r="DH352" i="90" s="1"/>
  <c r="CH353" i="90"/>
  <c r="DH353" i="90" s="1"/>
  <c r="FJ353" i="90" s="1"/>
  <c r="CS353" i="90" s="1"/>
  <c r="AD353" i="56" s="1"/>
  <c r="CH354" i="90"/>
  <c r="DH354" i="90" s="1"/>
  <c r="FJ354" i="90" s="1"/>
  <c r="CS354" i="90" s="1"/>
  <c r="AD354" i="56" s="1"/>
  <c r="CH349" i="90"/>
  <c r="DH349" i="90" s="1"/>
  <c r="FJ349" i="90" s="1"/>
  <c r="CS349" i="90" s="1"/>
  <c r="AD349" i="56" s="1"/>
  <c r="CH351" i="90"/>
  <c r="DH351" i="90" s="1"/>
  <c r="FJ351" i="90" s="1"/>
  <c r="CS351" i="90" s="1"/>
  <c r="AD351" i="56" s="1"/>
  <c r="CH350" i="90"/>
  <c r="DH350" i="90" s="1"/>
  <c r="CH355" i="90"/>
  <c r="DH355" i="90" s="1"/>
  <c r="CH356" i="90"/>
  <c r="DH356" i="90" s="1"/>
  <c r="CH357" i="90"/>
  <c r="DH357" i="90" s="1"/>
  <c r="CH361" i="90"/>
  <c r="DH361" i="90" s="1"/>
  <c r="FJ361" i="90" s="1"/>
  <c r="CS361" i="90" s="1"/>
  <c r="AD361" i="56" s="1"/>
  <c r="CH363" i="90"/>
  <c r="DH363" i="90" s="1"/>
  <c r="FJ363" i="90" s="1"/>
  <c r="CS363" i="90" s="1"/>
  <c r="AD363" i="56" s="1"/>
  <c r="CH262" i="90"/>
  <c r="DH262" i="90" s="1"/>
  <c r="FJ262" i="90" s="1"/>
  <c r="CS262" i="90" s="1"/>
  <c r="AD262" i="56" s="1"/>
  <c r="CH358" i="90"/>
  <c r="DH358" i="90" s="1"/>
  <c r="CH362" i="90"/>
  <c r="DH362" i="90" s="1"/>
  <c r="CH364" i="90"/>
  <c r="DH364" i="90" s="1"/>
  <c r="CH251" i="90"/>
  <c r="DH251" i="90" s="1"/>
  <c r="FJ251" i="90" s="1"/>
  <c r="CS251" i="90" s="1"/>
  <c r="AD251" i="56" s="1"/>
  <c r="CH359" i="90"/>
  <c r="DH359" i="90" s="1"/>
  <c r="CH360" i="90"/>
  <c r="DH360" i="90" s="1"/>
  <c r="FJ360" i="90" s="1"/>
  <c r="CS360" i="90" s="1"/>
  <c r="AD360" i="56" s="1"/>
  <c r="CH253" i="90"/>
  <c r="DH253" i="90" s="1"/>
  <c r="FJ253" i="90" s="1"/>
  <c r="CS253" i="90" s="1"/>
  <c r="AD253" i="56" s="1"/>
  <c r="CH254" i="90"/>
  <c r="DH254" i="90" s="1"/>
  <c r="FJ254" i="90" s="1"/>
  <c r="CS254" i="90" s="1"/>
  <c r="AD254" i="56" s="1"/>
  <c r="CH256" i="90"/>
  <c r="DH256" i="90" s="1"/>
  <c r="CH259" i="90"/>
  <c r="DH259" i="90" s="1"/>
  <c r="CH260" i="90"/>
  <c r="DH260" i="90" s="1"/>
  <c r="CH250" i="90"/>
  <c r="DH250" i="90" s="1"/>
  <c r="CH252" i="90"/>
  <c r="DH252" i="90" s="1"/>
  <c r="CH257" i="90"/>
  <c r="DH257" i="90" s="1"/>
  <c r="FJ257" i="90" s="1"/>
  <c r="CS257" i="90" s="1"/>
  <c r="AD257" i="56" s="1"/>
  <c r="CH261" i="90"/>
  <c r="DH261" i="90" s="1"/>
  <c r="FJ261" i="90" s="1"/>
  <c r="CS261" i="90" s="1"/>
  <c r="AD261" i="56" s="1"/>
  <c r="CH270" i="90"/>
  <c r="DH270" i="90" s="1"/>
  <c r="FJ270" i="90" s="1"/>
  <c r="CS270" i="90" s="1"/>
  <c r="AD270" i="56" s="1"/>
  <c r="CH274" i="90"/>
  <c r="DH274" i="90" s="1"/>
  <c r="CH278" i="90"/>
  <c r="DH278" i="90" s="1"/>
  <c r="CH249" i="90"/>
  <c r="DH249" i="90" s="1"/>
  <c r="CH264" i="90"/>
  <c r="DH264" i="90" s="1"/>
  <c r="CH265" i="90"/>
  <c r="DH265" i="90" s="1"/>
  <c r="CH266" i="90"/>
  <c r="DH266" i="90" s="1"/>
  <c r="FJ266" i="90" s="1"/>
  <c r="CS266" i="90" s="1"/>
  <c r="AD266" i="56" s="1"/>
  <c r="CH269" i="90"/>
  <c r="DH269" i="90" s="1"/>
  <c r="FJ269" i="90" s="1"/>
  <c r="CS269" i="90" s="1"/>
  <c r="AD269" i="56" s="1"/>
  <c r="CH271" i="90"/>
  <c r="DH271" i="90" s="1"/>
  <c r="FJ271" i="90" s="1"/>
  <c r="CS271" i="90" s="1"/>
  <c r="AD271" i="56" s="1"/>
  <c r="CH272" i="90"/>
  <c r="DH272" i="90" s="1"/>
  <c r="FJ272" i="90" s="1"/>
  <c r="CS272" i="90" s="1"/>
  <c r="AD272" i="56" s="1"/>
  <c r="CH276" i="90"/>
  <c r="DH276" i="90" s="1"/>
  <c r="CH255" i="90"/>
  <c r="DH255" i="90" s="1"/>
  <c r="CH263" i="90"/>
  <c r="DH263" i="90" s="1"/>
  <c r="CH267" i="90"/>
  <c r="DH267" i="90" s="1"/>
  <c r="FJ267" i="90" s="1"/>
  <c r="CS267" i="90" s="1"/>
  <c r="AD267" i="56" s="1"/>
  <c r="CH268" i="90"/>
  <c r="DH268" i="90" s="1"/>
  <c r="CH273" i="90"/>
  <c r="DH273" i="90" s="1"/>
  <c r="FJ273" i="90" s="1"/>
  <c r="CS273" i="90" s="1"/>
  <c r="AD273" i="56" s="1"/>
  <c r="CH258" i="90"/>
  <c r="DH258" i="90" s="1"/>
  <c r="FJ258" i="90" s="1"/>
  <c r="CS258" i="90" s="1"/>
  <c r="AD258" i="56" s="1"/>
  <c r="CH277" i="90"/>
  <c r="DH277" i="90" s="1"/>
  <c r="FJ277" i="90" s="1"/>
  <c r="CS277" i="90" s="1"/>
  <c r="AD277" i="56" s="1"/>
  <c r="CH292" i="90"/>
  <c r="DH292" i="90" s="1"/>
  <c r="CH275" i="90"/>
  <c r="DH275" i="90" s="1"/>
  <c r="CH279" i="90"/>
  <c r="DH279" i="90" s="1"/>
  <c r="CH280" i="90"/>
  <c r="DH280" i="90" s="1"/>
  <c r="FJ280" i="90" s="1"/>
  <c r="CS280" i="90" s="1"/>
  <c r="AD280" i="56" s="1"/>
  <c r="CH281" i="90"/>
  <c r="DH281" i="90" s="1"/>
  <c r="FJ281" i="90" s="1"/>
  <c r="CS281" i="90" s="1"/>
  <c r="AD281" i="56" s="1"/>
  <c r="CH283" i="90"/>
  <c r="DH283" i="90" s="1"/>
  <c r="FJ283" i="90" s="1"/>
  <c r="CS283" i="90" s="1"/>
  <c r="AD283" i="56" s="1"/>
  <c r="CH285" i="90"/>
  <c r="DH285" i="90" s="1"/>
  <c r="FJ285" i="90" s="1"/>
  <c r="CS285" i="90" s="1"/>
  <c r="AD285" i="56" s="1"/>
  <c r="CH287" i="90"/>
  <c r="DH287" i="90" s="1"/>
  <c r="FJ287" i="90" s="1"/>
  <c r="CS287" i="90" s="1"/>
  <c r="AD287" i="56" s="1"/>
  <c r="CH291" i="90"/>
  <c r="DH291" i="90" s="1"/>
  <c r="CH294" i="90"/>
  <c r="DH294" i="90" s="1"/>
  <c r="CH282" i="90"/>
  <c r="DH282" i="90" s="1"/>
  <c r="CH284" i="90"/>
  <c r="DH284" i="90" s="1"/>
  <c r="FJ284" i="90" s="1"/>
  <c r="CS284" i="90" s="1"/>
  <c r="AD284" i="56" s="1"/>
  <c r="CH288" i="90"/>
  <c r="DH288" i="90" s="1"/>
  <c r="FJ288" i="90" s="1"/>
  <c r="CS288" i="90" s="1"/>
  <c r="AD288" i="56" s="1"/>
  <c r="CH293" i="90"/>
  <c r="DH293" i="90" s="1"/>
  <c r="FJ293" i="90" s="1"/>
  <c r="CS293" i="90" s="1"/>
  <c r="AD293" i="56" s="1"/>
  <c r="CH290" i="90"/>
  <c r="DH290" i="90" s="1"/>
  <c r="FJ290" i="90" s="1"/>
  <c r="CS290" i="90" s="1"/>
  <c r="AD290" i="56" s="1"/>
  <c r="CH298" i="90"/>
  <c r="DH298" i="90" s="1"/>
  <c r="FJ298" i="90" s="1"/>
  <c r="CS298" i="90" s="1"/>
  <c r="AD298" i="56" s="1"/>
  <c r="CH286" i="90"/>
  <c r="DH286" i="90" s="1"/>
  <c r="CH295" i="90"/>
  <c r="DH295" i="90" s="1"/>
  <c r="CH296" i="90"/>
  <c r="DH296" i="90" s="1"/>
  <c r="CH297" i="90"/>
  <c r="DH297" i="90" s="1"/>
  <c r="FJ297" i="90" s="1"/>
  <c r="CS297" i="90" s="1"/>
  <c r="AD297" i="56" s="1"/>
  <c r="CH300" i="90"/>
  <c r="DH300" i="90" s="1"/>
  <c r="CH305" i="90"/>
  <c r="DH305" i="90" s="1"/>
  <c r="FJ305" i="90" s="1"/>
  <c r="CS305" i="90" s="1"/>
  <c r="AD305" i="56" s="1"/>
  <c r="CH306" i="90"/>
  <c r="DH306" i="90" s="1"/>
  <c r="FJ306" i="90" s="1"/>
  <c r="CS306" i="90" s="1"/>
  <c r="AD306" i="56" s="1"/>
  <c r="CH307" i="90"/>
  <c r="DH307" i="90" s="1"/>
  <c r="FJ307" i="90" s="1"/>
  <c r="CS307" i="90" s="1"/>
  <c r="AD307" i="56" s="1"/>
  <c r="CH308" i="90"/>
  <c r="DH308" i="90" s="1"/>
  <c r="CH289" i="90"/>
  <c r="DH289" i="90" s="1"/>
  <c r="CH209" i="90"/>
  <c r="DH209" i="90" s="1"/>
  <c r="CH210" i="90"/>
  <c r="DH210" i="90" s="1"/>
  <c r="CH211" i="90"/>
  <c r="DH211" i="90" s="1"/>
  <c r="CH212" i="90"/>
  <c r="DH212" i="90" s="1"/>
  <c r="FJ212" i="90" s="1"/>
  <c r="CS212" i="90" s="1"/>
  <c r="AD212" i="56" s="1"/>
  <c r="CH299" i="90"/>
  <c r="DH299" i="90" s="1"/>
  <c r="CH205" i="90"/>
  <c r="DH205" i="90" s="1"/>
  <c r="CH217" i="90"/>
  <c r="DH217" i="90" s="1"/>
  <c r="CH218" i="90"/>
  <c r="DH218" i="90" s="1"/>
  <c r="CH219" i="90"/>
  <c r="DH219" i="90" s="1"/>
  <c r="CH220" i="90"/>
  <c r="DH220" i="90" s="1"/>
  <c r="FJ220" i="90" s="1"/>
  <c r="CS220" i="90" s="1"/>
  <c r="AD220" i="56" s="1"/>
  <c r="CH302" i="90"/>
  <c r="DH302" i="90" s="1"/>
  <c r="FJ302" i="90" s="1"/>
  <c r="CS302" i="90" s="1"/>
  <c r="AD302" i="56" s="1"/>
  <c r="CH303" i="90"/>
  <c r="DH303" i="90" s="1"/>
  <c r="FJ303" i="90" s="1"/>
  <c r="CS303" i="90" s="1"/>
  <c r="AD303" i="56" s="1"/>
  <c r="CH207" i="90"/>
  <c r="DH207" i="90" s="1"/>
  <c r="CH230" i="90"/>
  <c r="DH230" i="90" s="1"/>
  <c r="CH231" i="90"/>
  <c r="DH231" i="90" s="1"/>
  <c r="CH214" i="90"/>
  <c r="DH214" i="90" s="1"/>
  <c r="CH224" i="90"/>
  <c r="DH224" i="90" s="1"/>
  <c r="CH232" i="90"/>
  <c r="DH232" i="90" s="1"/>
  <c r="CH91" i="90"/>
  <c r="DH91" i="90" s="1"/>
  <c r="CH95" i="90"/>
  <c r="DH95" i="90" s="1"/>
  <c r="FJ95" i="90" s="1"/>
  <c r="CS95" i="90" s="1"/>
  <c r="AD95" i="56" s="1"/>
  <c r="CH101" i="90"/>
  <c r="DH101" i="90" s="1"/>
  <c r="FJ101" i="90" s="1"/>
  <c r="CS101" i="90" s="1"/>
  <c r="AD101" i="56" s="1"/>
  <c r="CH103" i="90"/>
  <c r="DH103" i="90" s="1"/>
  <c r="FJ103" i="90" s="1"/>
  <c r="CS103" i="90" s="1"/>
  <c r="AD103" i="56" s="1"/>
  <c r="CH104" i="90"/>
  <c r="DH104" i="90" s="1"/>
  <c r="FJ104" i="90" s="1"/>
  <c r="CS104" i="90" s="1"/>
  <c r="AD104" i="56" s="1"/>
  <c r="CH105" i="90"/>
  <c r="DH105" i="90" s="1"/>
  <c r="CH112" i="90"/>
  <c r="DH112" i="90" s="1"/>
  <c r="CH114" i="90"/>
  <c r="DH114" i="90" s="1"/>
  <c r="FJ114" i="90" s="1"/>
  <c r="CS114" i="90" s="1"/>
  <c r="AD114" i="56" s="1"/>
  <c r="CH115" i="90"/>
  <c r="DH115" i="90" s="1"/>
  <c r="FJ115" i="90" s="1"/>
  <c r="CS115" i="90" s="1"/>
  <c r="AD115" i="56" s="1"/>
  <c r="CH117" i="90"/>
  <c r="DH117" i="90" s="1"/>
  <c r="FJ117" i="90" s="1"/>
  <c r="CS117" i="90" s="1"/>
  <c r="AD117" i="56" s="1"/>
  <c r="CH118" i="90"/>
  <c r="DH118" i="90" s="1"/>
  <c r="CH119" i="90"/>
  <c r="DH119" i="90" s="1"/>
  <c r="CH216" i="90"/>
  <c r="DH216" i="90" s="1"/>
  <c r="FJ216" i="90" s="1"/>
  <c r="CS216" i="90" s="1"/>
  <c r="AD216" i="56" s="1"/>
  <c r="CH221" i="90"/>
  <c r="DH221" i="90" s="1"/>
  <c r="CH227" i="90"/>
  <c r="DH227" i="90" s="1"/>
  <c r="CH229" i="90"/>
  <c r="DH229" i="90" s="1"/>
  <c r="CH233" i="90"/>
  <c r="DH233" i="90" s="1"/>
  <c r="FJ233" i="90" s="1"/>
  <c r="CS233" i="90" s="1"/>
  <c r="AD233" i="56" s="1"/>
  <c r="CH236" i="90"/>
  <c r="DH236" i="90" s="1"/>
  <c r="FJ236" i="90" s="1"/>
  <c r="CS236" i="90" s="1"/>
  <c r="AD236" i="56" s="1"/>
  <c r="CH92" i="90"/>
  <c r="DH92" i="90" s="1"/>
  <c r="FJ92" i="90" s="1"/>
  <c r="CS92" i="90" s="1"/>
  <c r="AD92" i="56" s="1"/>
  <c r="CH98" i="90"/>
  <c r="DH98" i="90" s="1"/>
  <c r="FJ98" i="90" s="1"/>
  <c r="CS98" i="90" s="1"/>
  <c r="AD98" i="56" s="1"/>
  <c r="CH106" i="90"/>
  <c r="DH106" i="90" s="1"/>
  <c r="CH107" i="90"/>
  <c r="DH107" i="90" s="1"/>
  <c r="CH113" i="90"/>
  <c r="DH113" i="90" s="1"/>
  <c r="CH116" i="90"/>
  <c r="DH116" i="90" s="1"/>
  <c r="CH121" i="90"/>
  <c r="DH121" i="90" s="1"/>
  <c r="FJ121" i="90" s="1"/>
  <c r="CS121" i="90" s="1"/>
  <c r="AD121" i="56" s="1"/>
  <c r="CH122" i="90"/>
  <c r="DH122" i="90" s="1"/>
  <c r="FJ122" i="90" s="1"/>
  <c r="CS122" i="90" s="1"/>
  <c r="AD122" i="56" s="1"/>
  <c r="CH124" i="90"/>
  <c r="DH124" i="90" s="1"/>
  <c r="FJ124" i="90" s="1"/>
  <c r="CS124" i="90" s="1"/>
  <c r="AD124" i="56" s="1"/>
  <c r="CH125" i="90"/>
  <c r="DH125" i="90" s="1"/>
  <c r="CH126" i="90"/>
  <c r="DH126" i="90" s="1"/>
  <c r="CH129" i="90"/>
  <c r="DH129" i="90" s="1"/>
  <c r="CH145" i="90"/>
  <c r="DH145" i="90" s="1"/>
  <c r="CH149" i="90"/>
  <c r="DH149" i="90" s="1"/>
  <c r="FJ149" i="90" s="1"/>
  <c r="CS149" i="90" s="1"/>
  <c r="AD149" i="56" s="1"/>
  <c r="CH156" i="90"/>
  <c r="DH156" i="90" s="1"/>
  <c r="CH157" i="90"/>
  <c r="DH157" i="90" s="1"/>
  <c r="FJ157" i="90" s="1"/>
  <c r="CS157" i="90" s="1"/>
  <c r="AD157" i="56" s="1"/>
  <c r="CH158" i="90"/>
  <c r="DH158" i="90" s="1"/>
  <c r="FJ158" i="90" s="1"/>
  <c r="CS158" i="90" s="1"/>
  <c r="AD158" i="56" s="1"/>
  <c r="CH208" i="90"/>
  <c r="DH208" i="90" s="1"/>
  <c r="CH213" i="90"/>
  <c r="DH213" i="90" s="1"/>
  <c r="CH215" i="90"/>
  <c r="DH215" i="90" s="1"/>
  <c r="CH222" i="90"/>
  <c r="DH222" i="90" s="1"/>
  <c r="CH225" i="90"/>
  <c r="DH225" i="90" s="1"/>
  <c r="CH228" i="90"/>
  <c r="DH228" i="90" s="1"/>
  <c r="CH234" i="90"/>
  <c r="DH234" i="90" s="1"/>
  <c r="FJ234" i="90" s="1"/>
  <c r="CS234" i="90" s="1"/>
  <c r="AD234" i="56" s="1"/>
  <c r="CH89" i="90"/>
  <c r="DH89" i="90" s="1"/>
  <c r="FJ89" i="90" s="1"/>
  <c r="CS89" i="90" s="1"/>
  <c r="AD89" i="56" s="1"/>
  <c r="CH301" i="90"/>
  <c r="DH301" i="90" s="1"/>
  <c r="FJ301" i="90" s="1"/>
  <c r="CS301" i="90" s="1"/>
  <c r="AD301" i="56" s="1"/>
  <c r="CH204" i="90"/>
  <c r="DH204" i="90" s="1"/>
  <c r="CH235" i="90"/>
  <c r="DH235" i="90" s="1"/>
  <c r="CH93" i="90"/>
  <c r="DH93" i="90" s="1"/>
  <c r="CH102" i="90"/>
  <c r="DH102" i="90" s="1"/>
  <c r="CH123" i="90"/>
  <c r="DH123" i="90" s="1"/>
  <c r="FJ123" i="90" s="1"/>
  <c r="CS123" i="90" s="1"/>
  <c r="AD123" i="56" s="1"/>
  <c r="CH226" i="90"/>
  <c r="DH226" i="90" s="1"/>
  <c r="FJ226" i="90" s="1"/>
  <c r="CS226" i="90" s="1"/>
  <c r="AD226" i="56" s="1"/>
  <c r="CH94" i="90"/>
  <c r="DH94" i="90" s="1"/>
  <c r="FJ94" i="90" s="1"/>
  <c r="CS94" i="90" s="1"/>
  <c r="AD94" i="56" s="1"/>
  <c r="CH109" i="90"/>
  <c r="DH109" i="90" s="1"/>
  <c r="CH304" i="90"/>
  <c r="DH304" i="90" s="1"/>
  <c r="CH223" i="90"/>
  <c r="DH223" i="90" s="1"/>
  <c r="CH96" i="90"/>
  <c r="DH96" i="90" s="1"/>
  <c r="CH99" i="90"/>
  <c r="DH99" i="90" s="1"/>
  <c r="CH111" i="90"/>
  <c r="DH111" i="90" s="1"/>
  <c r="CH90" i="90"/>
  <c r="DH90" i="90" s="1"/>
  <c r="FJ90" i="90" s="1"/>
  <c r="CS90" i="90" s="1"/>
  <c r="AD90" i="56" s="1"/>
  <c r="CH127" i="90"/>
  <c r="DH127" i="90" s="1"/>
  <c r="CH130" i="90"/>
  <c r="DH130" i="90" s="1"/>
  <c r="CH133" i="90"/>
  <c r="DH133" i="90" s="1"/>
  <c r="CH137" i="90"/>
  <c r="DH137" i="90" s="1"/>
  <c r="CH139" i="90"/>
  <c r="DH139" i="90" s="1"/>
  <c r="FJ139" i="90" s="1"/>
  <c r="CS139" i="90" s="1"/>
  <c r="AD139" i="56" s="1"/>
  <c r="CH140" i="90"/>
  <c r="DH140" i="90" s="1"/>
  <c r="CH142" i="90"/>
  <c r="DH142" i="90" s="1"/>
  <c r="FJ142" i="90" s="1"/>
  <c r="CS142" i="90" s="1"/>
  <c r="AD142" i="56" s="1"/>
  <c r="CH148" i="90"/>
  <c r="DH148" i="90" s="1"/>
  <c r="FJ148" i="90" s="1"/>
  <c r="CS148" i="90" s="1"/>
  <c r="AD148" i="56" s="1"/>
  <c r="CH150" i="90"/>
  <c r="DH150" i="90" s="1"/>
  <c r="FJ150" i="90" s="1"/>
  <c r="CS150" i="90" s="1"/>
  <c r="AD150" i="56" s="1"/>
  <c r="CH152" i="90"/>
  <c r="DH152" i="90" s="1"/>
  <c r="FJ152" i="90" s="1"/>
  <c r="CS152" i="90" s="1"/>
  <c r="AD152" i="56" s="1"/>
  <c r="CH164" i="90"/>
  <c r="DH164" i="90" s="1"/>
  <c r="FJ164" i="90" s="1"/>
  <c r="CS164" i="90" s="1"/>
  <c r="AD164" i="56" s="1"/>
  <c r="CH176" i="90"/>
  <c r="DH176" i="90" s="1"/>
  <c r="CH179" i="90"/>
  <c r="DH179" i="90" s="1"/>
  <c r="CH206" i="90"/>
  <c r="DH206" i="90" s="1"/>
  <c r="CH108" i="90"/>
  <c r="DH108" i="90" s="1"/>
  <c r="CH128" i="90"/>
  <c r="DH128" i="90" s="1"/>
  <c r="FJ128" i="90" s="1"/>
  <c r="CS128" i="90" s="1"/>
  <c r="AD128" i="56" s="1"/>
  <c r="CH131" i="90"/>
  <c r="DH131" i="90" s="1"/>
  <c r="FJ131" i="90" s="1"/>
  <c r="CS131" i="90" s="1"/>
  <c r="AD131" i="56" s="1"/>
  <c r="CH134" i="90"/>
  <c r="DH134" i="90" s="1"/>
  <c r="FJ134" i="90" s="1"/>
  <c r="CS134" i="90" s="1"/>
  <c r="AD134" i="56" s="1"/>
  <c r="CH153" i="90"/>
  <c r="DH153" i="90" s="1"/>
  <c r="CH165" i="90"/>
  <c r="DH165" i="90" s="1"/>
  <c r="FJ165" i="90" s="1"/>
  <c r="CS165" i="90" s="1"/>
  <c r="AD165" i="56" s="1"/>
  <c r="CH166" i="90"/>
  <c r="DH166" i="90" s="1"/>
  <c r="CH167" i="90"/>
  <c r="DH167" i="90" s="1"/>
  <c r="FJ167" i="90" s="1"/>
  <c r="CS167" i="90" s="1"/>
  <c r="AD167" i="56" s="1"/>
  <c r="CH168" i="90"/>
  <c r="DH168" i="90" s="1"/>
  <c r="FJ168" i="90" s="1"/>
  <c r="CS168" i="90" s="1"/>
  <c r="AD168" i="56" s="1"/>
  <c r="CH100" i="90"/>
  <c r="DH100" i="90" s="1"/>
  <c r="FJ100" i="90" s="1"/>
  <c r="CS100" i="90" s="1"/>
  <c r="AD100" i="56" s="1"/>
  <c r="CH110" i="90"/>
  <c r="DH110" i="90" s="1"/>
  <c r="FJ110" i="90" s="1"/>
  <c r="CS110" i="90" s="1"/>
  <c r="AD110" i="56" s="1"/>
  <c r="CH120" i="90"/>
  <c r="DH120" i="90" s="1"/>
  <c r="CH135" i="90"/>
  <c r="DH135" i="90" s="1"/>
  <c r="CH143" i="90"/>
  <c r="DH143" i="90" s="1"/>
  <c r="CH146" i="90"/>
  <c r="DH146" i="90" s="1"/>
  <c r="FJ146" i="90" s="1"/>
  <c r="CS146" i="90" s="1"/>
  <c r="AD146" i="56" s="1"/>
  <c r="CH151" i="90"/>
  <c r="DH151" i="90" s="1"/>
  <c r="FJ151" i="90" s="1"/>
  <c r="CS151" i="90" s="1"/>
  <c r="AD151" i="56" s="1"/>
  <c r="CH154" i="90"/>
  <c r="DH154" i="90" s="1"/>
  <c r="FJ154" i="90" s="1"/>
  <c r="CS154" i="90" s="1"/>
  <c r="AD154" i="56" s="1"/>
  <c r="CH159" i="90"/>
  <c r="DH159" i="90" s="1"/>
  <c r="FJ159" i="90" s="1"/>
  <c r="CS159" i="90" s="1"/>
  <c r="AD159" i="56" s="1"/>
  <c r="CH160" i="90"/>
  <c r="DH160" i="90" s="1"/>
  <c r="FJ160" i="90" s="1"/>
  <c r="CS160" i="90" s="1"/>
  <c r="AD160" i="56" s="1"/>
  <c r="CH161" i="90"/>
  <c r="DH161" i="90" s="1"/>
  <c r="CH162" i="90"/>
  <c r="DH162" i="90" s="1"/>
  <c r="FJ162" i="90" s="1"/>
  <c r="CS162" i="90" s="1"/>
  <c r="AD162" i="56" s="1"/>
  <c r="CH163" i="90"/>
  <c r="DH163" i="90" s="1"/>
  <c r="CH169" i="90"/>
  <c r="DH169" i="90" s="1"/>
  <c r="CH170" i="90"/>
  <c r="DH170" i="90" s="1"/>
  <c r="CH177" i="90"/>
  <c r="DH177" i="90" s="1"/>
  <c r="FJ177" i="90" s="1"/>
  <c r="CS177" i="90" s="1"/>
  <c r="AD177" i="56" s="1"/>
  <c r="CH178" i="90"/>
  <c r="DH178" i="90" s="1"/>
  <c r="FJ178" i="90" s="1"/>
  <c r="CS178" i="90" s="1"/>
  <c r="AD178" i="56" s="1"/>
  <c r="CH97" i="90"/>
  <c r="DH97" i="90" s="1"/>
  <c r="FJ97" i="90" s="1"/>
  <c r="CS97" i="90" s="1"/>
  <c r="AD97" i="56" s="1"/>
  <c r="CH132" i="90"/>
  <c r="DH132" i="90" s="1"/>
  <c r="CH136" i="90"/>
  <c r="DH136" i="90" s="1"/>
  <c r="CH138" i="90"/>
  <c r="DH138" i="90" s="1"/>
  <c r="FJ138" i="90" s="1"/>
  <c r="CS138" i="90" s="1"/>
  <c r="AD138" i="56" s="1"/>
  <c r="CH141" i="90"/>
  <c r="DH141" i="90" s="1"/>
  <c r="CH147" i="90"/>
  <c r="DH147" i="90" s="1"/>
  <c r="CH172" i="90"/>
  <c r="DH172" i="90" s="1"/>
  <c r="CH180" i="90"/>
  <c r="DH180" i="90" s="1"/>
  <c r="FJ180" i="90" s="1"/>
  <c r="CS180" i="90" s="1"/>
  <c r="AD180" i="56" s="1"/>
  <c r="CH183" i="90"/>
  <c r="DH183" i="90" s="1"/>
  <c r="FJ183" i="90" s="1"/>
  <c r="CS183" i="90" s="1"/>
  <c r="AD183" i="56" s="1"/>
  <c r="CH187" i="90"/>
  <c r="DH187" i="90" s="1"/>
  <c r="FJ187" i="90" s="1"/>
  <c r="CS187" i="90" s="1"/>
  <c r="AD187" i="56" s="1"/>
  <c r="CH188" i="90"/>
  <c r="DH188" i="90" s="1"/>
  <c r="FJ188" i="90" s="1"/>
  <c r="CS188" i="90" s="1"/>
  <c r="AD188" i="56" s="1"/>
  <c r="CH189" i="90"/>
  <c r="DH189" i="90" s="1"/>
  <c r="FJ189" i="90" s="1"/>
  <c r="CS189" i="90" s="1"/>
  <c r="AD189" i="56" s="1"/>
  <c r="CH190" i="90"/>
  <c r="DH190" i="90" s="1"/>
  <c r="CH191" i="90"/>
  <c r="DH191" i="90" s="1"/>
  <c r="CH196" i="90"/>
  <c r="DH196" i="90" s="1"/>
  <c r="FJ196" i="90" s="1"/>
  <c r="CS196" i="90" s="1"/>
  <c r="AD196" i="56" s="1"/>
  <c r="CH197" i="90"/>
  <c r="DH197" i="90" s="1"/>
  <c r="FJ197" i="90" s="1"/>
  <c r="CS197" i="90" s="1"/>
  <c r="AD197" i="56" s="1"/>
  <c r="CH73" i="90"/>
  <c r="DH73" i="90" s="1"/>
  <c r="CH77" i="90"/>
  <c r="DH77" i="90" s="1"/>
  <c r="FJ77" i="90" s="1"/>
  <c r="CS77" i="90" s="1"/>
  <c r="AD77" i="56" s="1"/>
  <c r="CH78" i="90"/>
  <c r="DH78" i="90" s="1"/>
  <c r="FJ78" i="90" s="1"/>
  <c r="CS78" i="90" s="1"/>
  <c r="AD78" i="56" s="1"/>
  <c r="CH79" i="90"/>
  <c r="DH79" i="90" s="1"/>
  <c r="FJ79" i="90" s="1"/>
  <c r="CS79" i="90" s="1"/>
  <c r="AD79" i="56" s="1"/>
  <c r="CH80" i="90"/>
  <c r="DH80" i="90" s="1"/>
  <c r="CH171" i="90"/>
  <c r="DH171" i="90" s="1"/>
  <c r="CH175" i="90"/>
  <c r="DH175" i="90" s="1"/>
  <c r="CH184" i="90"/>
  <c r="DH184" i="90" s="1"/>
  <c r="FJ184" i="90" s="1"/>
  <c r="CS184" i="90" s="1"/>
  <c r="AD184" i="56" s="1"/>
  <c r="CH185" i="90"/>
  <c r="DH185" i="90" s="1"/>
  <c r="FJ185" i="90" s="1"/>
  <c r="CS185" i="90" s="1"/>
  <c r="AD185" i="56" s="1"/>
  <c r="CH186" i="90"/>
  <c r="DH186" i="90" s="1"/>
  <c r="FJ186" i="90" s="1"/>
  <c r="CS186" i="90" s="1"/>
  <c r="AD186" i="56" s="1"/>
  <c r="CH192" i="90"/>
  <c r="DH192" i="90" s="1"/>
  <c r="FJ192" i="90" s="1"/>
  <c r="CS192" i="90" s="1"/>
  <c r="AD192" i="56" s="1"/>
  <c r="CH193" i="90"/>
  <c r="DH193" i="90" s="1"/>
  <c r="FJ193" i="90" s="1"/>
  <c r="CS193" i="90" s="1"/>
  <c r="AD193" i="56" s="1"/>
  <c r="CH198" i="90"/>
  <c r="DH198" i="90" s="1"/>
  <c r="CH199" i="90"/>
  <c r="DH199" i="90" s="1"/>
  <c r="CH75" i="90"/>
  <c r="DH75" i="90" s="1"/>
  <c r="FJ75" i="90" s="1"/>
  <c r="CS75" i="90" s="1"/>
  <c r="AD75" i="56" s="1"/>
  <c r="CH76" i="90"/>
  <c r="DH76" i="90" s="1"/>
  <c r="FJ76" i="90" s="1"/>
  <c r="CS76" i="90" s="1"/>
  <c r="AD76" i="56" s="1"/>
  <c r="CH155" i="90"/>
  <c r="DH155" i="90" s="1"/>
  <c r="FJ155" i="90" s="1"/>
  <c r="CS155" i="90" s="1"/>
  <c r="AD155" i="56" s="1"/>
  <c r="CH174" i="90"/>
  <c r="DH174" i="90" s="1"/>
  <c r="CH181" i="90"/>
  <c r="DH181" i="90" s="1"/>
  <c r="CH182" i="90"/>
  <c r="DH182" i="90" s="1"/>
  <c r="CH194" i="90"/>
  <c r="DH194" i="90" s="1"/>
  <c r="CH195" i="90"/>
  <c r="DH195" i="90" s="1"/>
  <c r="CH200" i="90"/>
  <c r="DH200" i="90" s="1"/>
  <c r="FJ200" i="90" s="1"/>
  <c r="CS200" i="90" s="1"/>
  <c r="AD200" i="56" s="1"/>
  <c r="CH201" i="90"/>
  <c r="DH201" i="90" s="1"/>
  <c r="FJ201" i="90" s="1"/>
  <c r="CS201" i="90" s="1"/>
  <c r="AD201" i="56" s="1"/>
  <c r="CH74" i="90"/>
  <c r="DH74" i="90" s="1"/>
  <c r="FJ74" i="90" s="1"/>
  <c r="CS74" i="90" s="1"/>
  <c r="AD74" i="56" s="1"/>
  <c r="CH87" i="90"/>
  <c r="DH87" i="90" s="1"/>
  <c r="FJ87" i="90" s="1"/>
  <c r="CS87" i="90" s="1"/>
  <c r="AD87" i="56" s="1"/>
  <c r="CH65" i="90"/>
  <c r="DH65" i="90" s="1"/>
  <c r="CH69" i="90"/>
  <c r="DH69" i="90" s="1"/>
  <c r="FJ69" i="90" s="1"/>
  <c r="CS69" i="90" s="1"/>
  <c r="AD69" i="56" s="1"/>
  <c r="CH144" i="90"/>
  <c r="DH144" i="90" s="1"/>
  <c r="CH173" i="90"/>
  <c r="DH173" i="90" s="1"/>
  <c r="FJ173" i="90" s="1"/>
  <c r="CS173" i="90" s="1"/>
  <c r="AD173" i="56" s="1"/>
  <c r="CH202" i="90"/>
  <c r="DH202" i="90" s="1"/>
  <c r="FJ202" i="90" s="1"/>
  <c r="CS202" i="90" s="1"/>
  <c r="AD202" i="56" s="1"/>
  <c r="CH203" i="90"/>
  <c r="DH203" i="90" s="1"/>
  <c r="FJ203" i="90" s="1"/>
  <c r="CS203" i="90" s="1"/>
  <c r="AD203" i="56" s="1"/>
  <c r="CH88" i="90"/>
  <c r="DH88" i="90" s="1"/>
  <c r="FJ88" i="90" s="1"/>
  <c r="CS88" i="90" s="1"/>
  <c r="AD88" i="56" s="1"/>
  <c r="CH66" i="90"/>
  <c r="DH66" i="90" s="1"/>
  <c r="FJ66" i="90" s="1"/>
  <c r="CS66" i="90" s="1"/>
  <c r="AD66" i="56" s="1"/>
  <c r="CH81" i="90"/>
  <c r="DH81" i="90" s="1"/>
  <c r="FJ81" i="90" s="1"/>
  <c r="CS81" i="90" s="1"/>
  <c r="AD81" i="56" s="1"/>
  <c r="CH82" i="90"/>
  <c r="DH82" i="90" s="1"/>
  <c r="CH84" i="90"/>
  <c r="DH84" i="90" s="1"/>
  <c r="CH86" i="90"/>
  <c r="DH86" i="90" s="1"/>
  <c r="FJ86" i="90" s="1"/>
  <c r="CS86" i="90" s="1"/>
  <c r="AD86" i="56" s="1"/>
  <c r="CH67" i="90"/>
  <c r="DH67" i="90" s="1"/>
  <c r="FJ67" i="90" s="1"/>
  <c r="CS67" i="90" s="1"/>
  <c r="AD67" i="56" s="1"/>
  <c r="CH68" i="90"/>
  <c r="DH68" i="90" s="1"/>
  <c r="FJ68" i="90" s="1"/>
  <c r="CS68" i="90" s="1"/>
  <c r="AD68" i="56" s="1"/>
  <c r="CH83" i="90"/>
  <c r="DH83" i="90" s="1"/>
  <c r="FJ83" i="90" s="1"/>
  <c r="CS83" i="90" s="1"/>
  <c r="AD83" i="56" s="1"/>
  <c r="CH85" i="90"/>
  <c r="DH85" i="90" s="1"/>
  <c r="CH64" i="90"/>
  <c r="DH64" i="90" s="1"/>
  <c r="FJ64" i="90" s="1"/>
  <c r="CS64" i="90" s="1"/>
  <c r="AD64" i="56" s="1"/>
  <c r="CH70" i="90"/>
  <c r="DH70" i="90" s="1"/>
  <c r="FJ70" i="90" s="1"/>
  <c r="CS70" i="90" s="1"/>
  <c r="AD70" i="56" s="1"/>
  <c r="CH71" i="90"/>
  <c r="DH71" i="90" s="1"/>
  <c r="FJ71" i="90" s="1"/>
  <c r="CS71" i="90" s="1"/>
  <c r="AD71" i="56" s="1"/>
  <c r="CH72" i="90"/>
  <c r="DH72" i="90" s="1"/>
  <c r="CH60" i="90"/>
  <c r="DH60" i="90" s="1"/>
  <c r="FJ60" i="90" s="1"/>
  <c r="CS60" i="90" s="1"/>
  <c r="AD60" i="56" s="1"/>
  <c r="CH56" i="90"/>
  <c r="DH56" i="90" s="1"/>
  <c r="FJ56" i="90" s="1"/>
  <c r="CS56" i="90" s="1"/>
  <c r="AD56" i="56" s="1"/>
  <c r="CH58" i="90"/>
  <c r="DH58" i="90" s="1"/>
  <c r="FJ58" i="90" s="1"/>
  <c r="CS58" i="90" s="1"/>
  <c r="AD58" i="56" s="1"/>
  <c r="CH59" i="90"/>
  <c r="DH59" i="90" s="1"/>
  <c r="CH55" i="90"/>
  <c r="DH55" i="90" s="1"/>
  <c r="FJ55" i="90" s="1"/>
  <c r="CS55" i="90" s="1"/>
  <c r="AD55" i="56" s="1"/>
  <c r="CH57" i="90"/>
  <c r="DH57" i="90" s="1"/>
  <c r="FI67" i="90"/>
  <c r="CR67" i="90" s="1"/>
  <c r="AC67" i="56" s="1"/>
  <c r="FI195" i="90"/>
  <c r="CR195" i="90" s="1"/>
  <c r="AC195" i="56" s="1"/>
  <c r="FI76" i="90"/>
  <c r="CR76" i="90" s="1"/>
  <c r="AC76" i="56" s="1"/>
  <c r="FI193" i="90"/>
  <c r="CR193" i="90" s="1"/>
  <c r="AC193" i="56" s="1"/>
  <c r="FI184" i="90"/>
  <c r="CR184" i="90" s="1"/>
  <c r="AC184" i="56" s="1"/>
  <c r="FI140" i="90"/>
  <c r="CR140" i="90" s="1"/>
  <c r="AC140" i="56" s="1"/>
  <c r="FI174" i="90"/>
  <c r="CR174" i="90" s="1"/>
  <c r="AC174" i="56" s="1"/>
  <c r="FI157" i="90"/>
  <c r="CR157" i="90" s="1"/>
  <c r="AC157" i="56" s="1"/>
  <c r="FJ141" i="90"/>
  <c r="CS141" i="90" s="1"/>
  <c r="AD141" i="56" s="1"/>
  <c r="FI141" i="90"/>
  <c r="CR141" i="90" s="1"/>
  <c r="AC141" i="56" s="1"/>
  <c r="FI154" i="90"/>
  <c r="CR154" i="90" s="1"/>
  <c r="AC154" i="56" s="1"/>
  <c r="FI165" i="90"/>
  <c r="CR165" i="90" s="1"/>
  <c r="AC165" i="56" s="1"/>
  <c r="FJ145" i="90"/>
  <c r="CS145" i="90" s="1"/>
  <c r="AD145" i="56" s="1"/>
  <c r="FI122" i="90"/>
  <c r="CR122" i="90" s="1"/>
  <c r="AC122" i="56" s="1"/>
  <c r="FI104" i="90"/>
  <c r="CR104" i="90" s="1"/>
  <c r="AC104" i="56" s="1"/>
  <c r="FI117" i="90"/>
  <c r="CR117" i="90" s="1"/>
  <c r="AC117" i="56" s="1"/>
  <c r="FJ224" i="90"/>
  <c r="CS224" i="90" s="1"/>
  <c r="AD224" i="56" s="1"/>
  <c r="FI150" i="90"/>
  <c r="CR150" i="90" s="1"/>
  <c r="AC150" i="56" s="1"/>
  <c r="FI99" i="90"/>
  <c r="CR99" i="90" s="1"/>
  <c r="AC99" i="56" s="1"/>
  <c r="FI89" i="90"/>
  <c r="CR89" i="90" s="1"/>
  <c r="AC89" i="56" s="1"/>
  <c r="FJ214" i="90"/>
  <c r="CS214" i="90" s="1"/>
  <c r="AD214" i="56" s="1"/>
  <c r="FI214" i="90"/>
  <c r="CR214" i="90" s="1"/>
  <c r="AC214" i="56" s="1"/>
  <c r="FI211" i="90"/>
  <c r="CR211" i="90" s="1"/>
  <c r="AC211" i="56" s="1"/>
  <c r="FJ211" i="90"/>
  <c r="CS211" i="90" s="1"/>
  <c r="AD211" i="56" s="1"/>
  <c r="FJ296" i="90"/>
  <c r="CS296" i="90" s="1"/>
  <c r="AD296" i="56" s="1"/>
  <c r="FJ278" i="90"/>
  <c r="CS278" i="90" s="1"/>
  <c r="AD278" i="56" s="1"/>
  <c r="FI288" i="90"/>
  <c r="CR288" i="90" s="1"/>
  <c r="AC288" i="56" s="1"/>
  <c r="FI270" i="90"/>
  <c r="CR270" i="90" s="1"/>
  <c r="AC270" i="56" s="1"/>
  <c r="FJ268" i="90"/>
  <c r="CS268" i="90" s="1"/>
  <c r="AD268" i="56" s="1"/>
  <c r="FI253" i="90"/>
  <c r="CR253" i="90" s="1"/>
  <c r="AC253" i="56" s="1"/>
  <c r="FI276" i="90"/>
  <c r="CR276" i="90" s="1"/>
  <c r="AC276" i="56" s="1"/>
  <c r="FJ276" i="90"/>
  <c r="CS276" i="90" s="1"/>
  <c r="AD276" i="56" s="1"/>
  <c r="FI266" i="90"/>
  <c r="CR266" i="90" s="1"/>
  <c r="AC266" i="56" s="1"/>
  <c r="FI256" i="90"/>
  <c r="CR256" i="90" s="1"/>
  <c r="AC256" i="56" s="1"/>
  <c r="FJ255" i="90"/>
  <c r="CS255" i="90" s="1"/>
  <c r="AD255" i="56" s="1"/>
  <c r="FI358" i="90"/>
  <c r="CR358" i="90" s="1"/>
  <c r="AC358" i="56" s="1"/>
  <c r="FJ350" i="90"/>
  <c r="CS350" i="90" s="1"/>
  <c r="AD350" i="56" s="1"/>
  <c r="FI291" i="90"/>
  <c r="CR291" i="90" s="1"/>
  <c r="AC291" i="56" s="1"/>
  <c r="FJ93" i="90"/>
  <c r="CS93" i="90" s="1"/>
  <c r="AD93" i="56" s="1"/>
  <c r="FI351" i="90"/>
  <c r="CR351" i="90" s="1"/>
  <c r="AC351" i="56" s="1"/>
  <c r="FI56" i="90"/>
  <c r="CR56" i="90" s="1"/>
  <c r="AC56" i="56" s="1"/>
  <c r="FI65" i="90"/>
  <c r="CR65" i="90" s="1"/>
  <c r="AC65" i="56" s="1"/>
  <c r="FI293" i="90"/>
  <c r="CR293" i="90" s="1"/>
  <c r="AC293" i="56" s="1"/>
  <c r="FI226" i="90"/>
  <c r="CR226" i="90" s="1"/>
  <c r="AC226" i="56" s="1"/>
  <c r="FI91" i="90"/>
  <c r="CR91" i="90" s="1"/>
  <c r="AC91" i="56" s="1"/>
  <c r="FJ118" i="90"/>
  <c r="CS118" i="90" s="1"/>
  <c r="AD118" i="56" s="1"/>
  <c r="FJ207" i="90"/>
  <c r="CS207" i="90" s="1"/>
  <c r="AD207" i="56" s="1"/>
  <c r="FI202" i="90"/>
  <c r="CR202" i="90" s="1"/>
  <c r="AC202" i="56" s="1"/>
  <c r="FI145" i="90"/>
  <c r="CR145" i="90" s="1"/>
  <c r="AC145" i="56" s="1"/>
  <c r="FI111" i="90"/>
  <c r="CR111" i="90" s="1"/>
  <c r="AC111" i="56" s="1"/>
  <c r="FI216" i="90"/>
  <c r="CR216" i="90" s="1"/>
  <c r="AC216" i="56" s="1"/>
  <c r="FI280" i="90"/>
  <c r="CR280" i="90" s="1"/>
  <c r="AC280" i="56" s="1"/>
  <c r="FI286" i="90"/>
  <c r="CR286" i="90" s="1"/>
  <c r="AC286" i="56" s="1"/>
  <c r="FI252" i="90"/>
  <c r="CR252" i="90" s="1"/>
  <c r="AC252" i="56" s="1"/>
  <c r="FI344" i="90"/>
  <c r="CR344" i="90" s="1"/>
  <c r="AC344" i="56" s="1"/>
  <c r="FJ222" i="90"/>
  <c r="CS222" i="90" s="1"/>
  <c r="AD222" i="56" s="1"/>
  <c r="FI59" i="90"/>
  <c r="CR59" i="90" s="1"/>
  <c r="AC59" i="56" s="1"/>
  <c r="FI69" i="90"/>
  <c r="CR69" i="90" s="1"/>
  <c r="AC69" i="56" s="1"/>
  <c r="FI71" i="90"/>
  <c r="CR71" i="90" s="1"/>
  <c r="AC71" i="56" s="1"/>
  <c r="FI86" i="90"/>
  <c r="CR86" i="90" s="1"/>
  <c r="AC86" i="56" s="1"/>
  <c r="FI74" i="90"/>
  <c r="CR74" i="90" s="1"/>
  <c r="AC74" i="56" s="1"/>
  <c r="FI194" i="90"/>
  <c r="CR194" i="90" s="1"/>
  <c r="AC194" i="56" s="1"/>
  <c r="FJ194" i="90"/>
  <c r="CS194" i="90" s="1"/>
  <c r="AD194" i="56" s="1"/>
  <c r="FI192" i="90"/>
  <c r="CR192" i="90" s="1"/>
  <c r="AC192" i="56" s="1"/>
  <c r="FJ179" i="90"/>
  <c r="CS179" i="90" s="1"/>
  <c r="AD179" i="56" s="1"/>
  <c r="FI179" i="90"/>
  <c r="CR179" i="90" s="1"/>
  <c r="AC179" i="56" s="1"/>
  <c r="FI137" i="90"/>
  <c r="CR137" i="90" s="1"/>
  <c r="AC137" i="56" s="1"/>
  <c r="FJ137" i="90"/>
  <c r="CS137" i="90" s="1"/>
  <c r="AD137" i="56" s="1"/>
  <c r="FI173" i="90"/>
  <c r="CR173" i="90" s="1"/>
  <c r="AC173" i="56" s="1"/>
  <c r="FI155" i="90"/>
  <c r="CR155" i="90" s="1"/>
  <c r="AC155" i="56" s="1"/>
  <c r="FJ135" i="90"/>
  <c r="CS135" i="90" s="1"/>
  <c r="AD135" i="56" s="1"/>
  <c r="FI134" i="90"/>
  <c r="CR134" i="90" s="1"/>
  <c r="AC134" i="56" s="1"/>
  <c r="FI127" i="90"/>
  <c r="CR127" i="90" s="1"/>
  <c r="AC127" i="56" s="1"/>
  <c r="FJ127" i="90"/>
  <c r="CS127" i="90" s="1"/>
  <c r="AD127" i="56" s="1"/>
  <c r="FI218" i="90"/>
  <c r="CR218" i="90" s="1"/>
  <c r="AC218" i="56" s="1"/>
  <c r="FJ218" i="90"/>
  <c r="CS218" i="90" s="1"/>
  <c r="AD218" i="56" s="1"/>
  <c r="FI115" i="90"/>
  <c r="CR115" i="90" s="1"/>
  <c r="AC115" i="56" s="1"/>
  <c r="FJ308" i="90"/>
  <c r="CS308" i="90" s="1"/>
  <c r="AD308" i="56" s="1"/>
  <c r="FI223" i="90"/>
  <c r="CR223" i="90" s="1"/>
  <c r="AC223" i="56" s="1"/>
  <c r="FJ223" i="90"/>
  <c r="CS223" i="90" s="1"/>
  <c r="AD223" i="56" s="1"/>
  <c r="FI139" i="90"/>
  <c r="CR139" i="90" s="1"/>
  <c r="AC139" i="56" s="1"/>
  <c r="FI110" i="90"/>
  <c r="CR110" i="90" s="1"/>
  <c r="AC110" i="56" s="1"/>
  <c r="FI97" i="90"/>
  <c r="CR97" i="90" s="1"/>
  <c r="AC97" i="56" s="1"/>
  <c r="FI225" i="90"/>
  <c r="CR225" i="90" s="1"/>
  <c r="AC225" i="56" s="1"/>
  <c r="FI212" i="90"/>
  <c r="CR212" i="90" s="1"/>
  <c r="AC212" i="56" s="1"/>
  <c r="FI98" i="90"/>
  <c r="CR98" i="90" s="1"/>
  <c r="AC98" i="56" s="1"/>
  <c r="FI92" i="90"/>
  <c r="CR92" i="90" s="1"/>
  <c r="AC92" i="56" s="1"/>
  <c r="FI213" i="90"/>
  <c r="CR213" i="90" s="1"/>
  <c r="AC213" i="56" s="1"/>
  <c r="FJ213" i="90"/>
  <c r="CS213" i="90" s="1"/>
  <c r="AD213" i="56" s="1"/>
  <c r="FI205" i="90"/>
  <c r="CR205" i="90" s="1"/>
  <c r="AC205" i="56" s="1"/>
  <c r="FI206" i="90"/>
  <c r="CR206" i="90" s="1"/>
  <c r="AC206" i="56" s="1"/>
  <c r="FI301" i="90"/>
  <c r="CR301" i="90" s="1"/>
  <c r="AC301" i="56" s="1"/>
  <c r="FJ295" i="90"/>
  <c r="CS295" i="90" s="1"/>
  <c r="AD295" i="56" s="1"/>
  <c r="FI290" i="90"/>
  <c r="CR290" i="90" s="1"/>
  <c r="AC290" i="56" s="1"/>
  <c r="FJ300" i="90"/>
  <c r="CS300" i="90" s="1"/>
  <c r="AD300" i="56" s="1"/>
  <c r="FI284" i="90"/>
  <c r="CR284" i="90" s="1"/>
  <c r="AC284" i="56" s="1"/>
  <c r="FI262" i="90"/>
  <c r="CR262" i="90" s="1"/>
  <c r="AC262" i="56" s="1"/>
  <c r="FI267" i="90"/>
  <c r="CR267" i="90" s="1"/>
  <c r="AC267" i="56" s="1"/>
  <c r="FJ250" i="90"/>
  <c r="CS250" i="90" s="1"/>
  <c r="AD250" i="56" s="1"/>
  <c r="FI359" i="90"/>
  <c r="CR359" i="90" s="1"/>
  <c r="AC359" i="56" s="1"/>
  <c r="FI341" i="90"/>
  <c r="CR341" i="90" s="1"/>
  <c r="AC341" i="56" s="1"/>
  <c r="FJ346" i="90"/>
  <c r="CS346" i="90" s="1"/>
  <c r="AD346" i="56" s="1"/>
  <c r="FI349" i="90"/>
  <c r="CR349" i="90" s="1"/>
  <c r="AC349" i="56" s="1"/>
  <c r="FI345" i="90"/>
  <c r="CR345" i="90" s="1"/>
  <c r="AC345" i="56" s="1"/>
  <c r="FI300" i="90"/>
  <c r="CR300" i="90" s="1"/>
  <c r="AC300" i="56" s="1"/>
  <c r="FI361" i="90"/>
  <c r="CR361" i="90" s="1"/>
  <c r="AC361" i="56" s="1"/>
  <c r="FJ113" i="90"/>
  <c r="CS113" i="90" s="1"/>
  <c r="AD113" i="56" s="1"/>
  <c r="FI264" i="90"/>
  <c r="CR264" i="90" s="1"/>
  <c r="AC264" i="56" s="1"/>
  <c r="FI255" i="90"/>
  <c r="CR255" i="90" s="1"/>
  <c r="AC255" i="56" s="1"/>
  <c r="FI83" i="90"/>
  <c r="CR83" i="90" s="1"/>
  <c r="AC83" i="56" s="1"/>
  <c r="FI132" i="90"/>
  <c r="CR132" i="90" s="1"/>
  <c r="AC132" i="56" s="1"/>
  <c r="FI302" i="90"/>
  <c r="CR302" i="90" s="1"/>
  <c r="AC302" i="56" s="1"/>
  <c r="FI68" i="90"/>
  <c r="CR68" i="90" s="1"/>
  <c r="AC68" i="56" s="1"/>
  <c r="FI346" i="90"/>
  <c r="CR346" i="90" s="1"/>
  <c r="AC346" i="56" s="1"/>
  <c r="FJ286" i="90"/>
  <c r="CS286" i="90" s="1"/>
  <c r="AD286" i="56" s="1"/>
  <c r="FJ57" i="90"/>
  <c r="CS57" i="90" s="1"/>
  <c r="AD57" i="56" s="1"/>
  <c r="FJ112" i="90"/>
  <c r="CS112" i="90" s="1"/>
  <c r="AD112" i="56" s="1"/>
  <c r="FI64" i="90"/>
  <c r="CR64" i="90" s="1"/>
  <c r="AC64" i="56" s="1"/>
  <c r="FI199" i="90"/>
  <c r="CR199" i="90" s="1"/>
  <c r="AC199" i="56" s="1"/>
  <c r="FI78" i="90"/>
  <c r="CR78" i="90" s="1"/>
  <c r="AC78" i="56" s="1"/>
  <c r="FI188" i="90"/>
  <c r="CR188" i="90" s="1"/>
  <c r="AC188" i="56" s="1"/>
  <c r="FI131" i="90"/>
  <c r="CR131" i="90" s="1"/>
  <c r="AC131" i="56" s="1"/>
  <c r="FI158" i="90"/>
  <c r="CR158" i="90" s="1"/>
  <c r="AC158" i="56" s="1"/>
  <c r="FI130" i="90"/>
  <c r="CR130" i="90" s="1"/>
  <c r="AC130" i="56" s="1"/>
  <c r="FI172" i="90"/>
  <c r="CR172" i="90" s="1"/>
  <c r="AC172" i="56" s="1"/>
  <c r="FI113" i="90"/>
  <c r="CR113" i="90" s="1"/>
  <c r="AC113" i="56" s="1"/>
  <c r="FI224" i="90"/>
  <c r="CR224" i="90" s="1"/>
  <c r="AC224" i="56" s="1"/>
  <c r="FI112" i="90"/>
  <c r="CR112" i="90" s="1"/>
  <c r="AC112" i="56" s="1"/>
  <c r="FI102" i="90"/>
  <c r="CR102" i="90" s="1"/>
  <c r="AC102" i="56" s="1"/>
  <c r="FI222" i="90"/>
  <c r="CR222" i="90" s="1"/>
  <c r="AC222" i="56" s="1"/>
  <c r="FI207" i="90"/>
  <c r="CR207" i="90" s="1"/>
  <c r="AC207" i="56" s="1"/>
  <c r="FI296" i="90"/>
  <c r="CR296" i="90" s="1"/>
  <c r="AC296" i="56" s="1"/>
  <c r="FI292" i="90"/>
  <c r="CR292" i="90" s="1"/>
  <c r="AC292" i="56" s="1"/>
  <c r="FI269" i="90"/>
  <c r="CR269" i="90" s="1"/>
  <c r="AC269" i="56" s="1"/>
  <c r="FI259" i="90"/>
  <c r="CR259" i="90" s="1"/>
  <c r="AC259" i="56" s="1"/>
  <c r="FI363" i="90"/>
  <c r="CR363" i="90" s="1"/>
  <c r="AC363" i="56" s="1"/>
  <c r="FI360" i="90"/>
  <c r="CR360" i="90" s="1"/>
  <c r="AC360" i="56" s="1"/>
  <c r="FI81" i="90"/>
  <c r="CR81" i="90" s="1"/>
  <c r="AC81" i="56" s="1"/>
  <c r="FI162" i="90"/>
  <c r="CR162" i="90" s="1"/>
  <c r="AC162" i="56" s="1"/>
  <c r="FI136" i="90"/>
  <c r="CR136" i="90" s="1"/>
  <c r="AC136" i="56" s="1"/>
  <c r="FI109" i="90"/>
  <c r="CR109" i="90" s="1"/>
  <c r="AC109" i="56" s="1"/>
  <c r="FI303" i="90"/>
  <c r="CR303" i="90" s="1"/>
  <c r="AC303" i="56" s="1"/>
  <c r="FI254" i="90"/>
  <c r="CR254" i="90" s="1"/>
  <c r="AC254" i="56" s="1"/>
  <c r="FI191" i="90"/>
  <c r="CR191" i="90" s="1"/>
  <c r="AC191" i="56" s="1"/>
  <c r="FI236" i="90"/>
  <c r="CR236" i="90" s="1"/>
  <c r="AC236" i="56" s="1"/>
  <c r="FI121" i="90"/>
  <c r="CR121" i="90" s="1"/>
  <c r="AC121" i="56" s="1"/>
  <c r="FI94" i="90"/>
  <c r="CR94" i="90" s="1"/>
  <c r="AC94" i="56" s="1"/>
  <c r="FI178" i="90"/>
  <c r="CR178" i="90" s="1"/>
  <c r="AC178" i="56" s="1"/>
  <c r="FI220" i="90"/>
  <c r="CR220" i="90" s="1"/>
  <c r="AC220" i="56" s="1"/>
  <c r="FJ228" i="90"/>
  <c r="CS228" i="90" s="1"/>
  <c r="AD228" i="56" s="1"/>
  <c r="FI70" i="90"/>
  <c r="CR70" i="90" s="1"/>
  <c r="AC70" i="56" s="1"/>
  <c r="FJ65" i="90"/>
  <c r="CS65" i="90" s="1"/>
  <c r="AD65" i="56" s="1"/>
  <c r="FJ84" i="90"/>
  <c r="CS84" i="90" s="1"/>
  <c r="AD84" i="56" s="1"/>
  <c r="FJ80" i="90"/>
  <c r="CS80" i="90" s="1"/>
  <c r="AD80" i="56" s="1"/>
  <c r="FI80" i="90"/>
  <c r="CR80" i="90" s="1"/>
  <c r="AC80" i="56" s="1"/>
  <c r="FI73" i="90"/>
  <c r="CR73" i="90" s="1"/>
  <c r="AC73" i="56" s="1"/>
  <c r="FJ73" i="90"/>
  <c r="CS73" i="90" s="1"/>
  <c r="AD73" i="56" s="1"/>
  <c r="FI190" i="90"/>
  <c r="CR190" i="90" s="1"/>
  <c r="AC190" i="56" s="1"/>
  <c r="FJ190" i="90"/>
  <c r="CS190" i="90" s="1"/>
  <c r="AD190" i="56" s="1"/>
  <c r="FI183" i="90"/>
  <c r="CR183" i="90" s="1"/>
  <c r="AC183" i="56" s="1"/>
  <c r="FJ182" i="90"/>
  <c r="CS182" i="90" s="1"/>
  <c r="AD182" i="56" s="1"/>
  <c r="FJ176" i="90"/>
  <c r="CS176" i="90" s="1"/>
  <c r="AD176" i="56" s="1"/>
  <c r="FI133" i="90"/>
  <c r="CR133" i="90" s="1"/>
  <c r="AC133" i="56" s="1"/>
  <c r="FJ133" i="90"/>
  <c r="CS133" i="90" s="1"/>
  <c r="AD133" i="56" s="1"/>
  <c r="FJ169" i="90"/>
  <c r="CS169" i="90" s="1"/>
  <c r="AD169" i="56" s="1"/>
  <c r="FI169" i="90"/>
  <c r="CR169" i="90" s="1"/>
  <c r="AC169" i="56" s="1"/>
  <c r="FI160" i="90"/>
  <c r="CR160" i="90" s="1"/>
  <c r="AC160" i="56" s="1"/>
  <c r="FI149" i="90"/>
  <c r="CR149" i="90" s="1"/>
  <c r="AC149" i="56" s="1"/>
  <c r="FJ129" i="90"/>
  <c r="CS129" i="90" s="1"/>
  <c r="AD129" i="56" s="1"/>
  <c r="FI129" i="90"/>
  <c r="CR129" i="90" s="1"/>
  <c r="AC129" i="56" s="1"/>
  <c r="FJ156" i="90"/>
  <c r="CS156" i="90" s="1"/>
  <c r="AD156" i="56" s="1"/>
  <c r="FI156" i="90"/>
  <c r="CR156" i="90" s="1"/>
  <c r="AC156" i="56" s="1"/>
  <c r="FI120" i="90"/>
  <c r="CR120" i="90" s="1"/>
  <c r="AC120" i="56" s="1"/>
  <c r="FI305" i="90"/>
  <c r="CR305" i="90" s="1"/>
  <c r="AC305" i="56" s="1"/>
  <c r="FJ217" i="90"/>
  <c r="CS217" i="90" s="1"/>
  <c r="AD217" i="56" s="1"/>
  <c r="FI235" i="90"/>
  <c r="CR235" i="90" s="1"/>
  <c r="AC235" i="56" s="1"/>
  <c r="FJ235" i="90"/>
  <c r="CS235" i="90" s="1"/>
  <c r="AD235" i="56" s="1"/>
  <c r="FJ219" i="90"/>
  <c r="CS219" i="90" s="1"/>
  <c r="AD219" i="56" s="1"/>
  <c r="FI138" i="90"/>
  <c r="CR138" i="90" s="1"/>
  <c r="AC138" i="56" s="1"/>
  <c r="FI96" i="90"/>
  <c r="CR96" i="90" s="1"/>
  <c r="AC96" i="56" s="1"/>
  <c r="FJ96" i="90"/>
  <c r="CS96" i="90" s="1"/>
  <c r="AD96" i="56" s="1"/>
  <c r="FJ107" i="90"/>
  <c r="CS107" i="90" s="1"/>
  <c r="AD107" i="56" s="1"/>
  <c r="FJ227" i="90"/>
  <c r="CS227" i="90" s="1"/>
  <c r="AD227" i="56" s="1"/>
  <c r="FI227" i="90"/>
  <c r="CR227" i="90" s="1"/>
  <c r="AC227" i="56" s="1"/>
  <c r="FI95" i="90"/>
  <c r="CR95" i="90" s="1"/>
  <c r="AC95" i="56" s="1"/>
  <c r="FJ91" i="90"/>
  <c r="CS91" i="90" s="1"/>
  <c r="AD91" i="56" s="1"/>
  <c r="FI210" i="90"/>
  <c r="CR210" i="90" s="1"/>
  <c r="AC210" i="56" s="1"/>
  <c r="FJ204" i="90"/>
  <c r="CS204" i="90" s="1"/>
  <c r="AD204" i="56" s="1"/>
  <c r="FJ304" i="90"/>
  <c r="CS304" i="90" s="1"/>
  <c r="AD304" i="56" s="1"/>
  <c r="FI304" i="90"/>
  <c r="CR304" i="90" s="1"/>
  <c r="AC304" i="56" s="1"/>
  <c r="FJ299" i="90"/>
  <c r="CS299" i="90" s="1"/>
  <c r="AD299" i="56" s="1"/>
  <c r="FI299" i="90"/>
  <c r="CR299" i="90" s="1"/>
  <c r="AC299" i="56" s="1"/>
  <c r="FJ294" i="90"/>
  <c r="CS294" i="90" s="1"/>
  <c r="AD294" i="56" s="1"/>
  <c r="FI294" i="90"/>
  <c r="CR294" i="90" s="1"/>
  <c r="AC294" i="56" s="1"/>
  <c r="FI289" i="90"/>
  <c r="CR289" i="90" s="1"/>
  <c r="AC289" i="56" s="1"/>
  <c r="FJ289" i="90"/>
  <c r="CS289" i="90" s="1"/>
  <c r="AD289" i="56" s="1"/>
  <c r="FJ282" i="90"/>
  <c r="CS282" i="90" s="1"/>
  <c r="AD282" i="56" s="1"/>
  <c r="FI283" i="90"/>
  <c r="CR283" i="90" s="1"/>
  <c r="AC283" i="56" s="1"/>
  <c r="FJ275" i="90"/>
  <c r="CS275" i="90" s="1"/>
  <c r="AD275" i="56" s="1"/>
  <c r="FJ263" i="90"/>
  <c r="CS263" i="90" s="1"/>
  <c r="AD263" i="56" s="1"/>
  <c r="FJ279" i="90"/>
  <c r="CS279" i="90" s="1"/>
  <c r="AD279" i="56" s="1"/>
  <c r="FJ264" i="90"/>
  <c r="CS264" i="90" s="1"/>
  <c r="AD264" i="56" s="1"/>
  <c r="FI261" i="90"/>
  <c r="CR261" i="90" s="1"/>
  <c r="AC261" i="56" s="1"/>
  <c r="FI249" i="90"/>
  <c r="CR249" i="90" s="1"/>
  <c r="AC249" i="56" s="1"/>
  <c r="FJ249" i="90"/>
  <c r="CS249" i="90" s="1"/>
  <c r="AD249" i="56" s="1"/>
  <c r="FJ364" i="90"/>
  <c r="CS364" i="90" s="1"/>
  <c r="AD364" i="56" s="1"/>
  <c r="FI364" i="90"/>
  <c r="CR364" i="90" s="1"/>
  <c r="AC364" i="56" s="1"/>
  <c r="FJ356" i="90"/>
  <c r="CS356" i="90" s="1"/>
  <c r="AD356" i="56" s="1"/>
  <c r="FJ355" i="90"/>
  <c r="CS355" i="90" s="1"/>
  <c r="AD355" i="56" s="1"/>
  <c r="FI355" i="90"/>
  <c r="CR355" i="90" s="1"/>
  <c r="AC355" i="56" s="1"/>
  <c r="FJ342" i="90"/>
  <c r="CS342" i="90" s="1"/>
  <c r="AD342" i="56" s="1"/>
  <c r="FI342" i="90"/>
  <c r="CR342" i="90" s="1"/>
  <c r="AC342" i="56" s="1"/>
  <c r="FJ348" i="90"/>
  <c r="CS348" i="90" s="1"/>
  <c r="AD348" i="56" s="1"/>
  <c r="FI340" i="90"/>
  <c r="CR340" i="90" s="1"/>
  <c r="AC340" i="56" s="1"/>
  <c r="FJ340" i="90"/>
  <c r="CS340" i="90" s="1"/>
  <c r="AD340" i="56" s="1"/>
  <c r="FI258" i="90"/>
  <c r="CR258" i="90" s="1"/>
  <c r="AC258" i="56" s="1"/>
  <c r="FJ136" i="90"/>
  <c r="CS136" i="90" s="1"/>
  <c r="AD136" i="56" s="1"/>
  <c r="FI88" i="90"/>
  <c r="CR88" i="90" s="1"/>
  <c r="AC88" i="56" s="1"/>
  <c r="FI151" i="90"/>
  <c r="CR151" i="90" s="1"/>
  <c r="AC151" i="56" s="1"/>
  <c r="FI274" i="90"/>
  <c r="CR274" i="90" s="1"/>
  <c r="AC274" i="56" s="1"/>
  <c r="FI187" i="90"/>
  <c r="CR187" i="90" s="1"/>
  <c r="AC187" i="56" s="1"/>
  <c r="FI143" i="90"/>
  <c r="CR143" i="90" s="1"/>
  <c r="AC143" i="56" s="1"/>
  <c r="FI352" i="90"/>
  <c r="CR352" i="90" s="1"/>
  <c r="AC352" i="56" s="1"/>
  <c r="FI55" i="90"/>
  <c r="CR55" i="90" s="1"/>
  <c r="AC55" i="56" s="1"/>
  <c r="FI201" i="90"/>
  <c r="CR201" i="90" s="1"/>
  <c r="AC201" i="56" s="1"/>
  <c r="FI124" i="90"/>
  <c r="CR124" i="90" s="1"/>
  <c r="AC124" i="56" s="1"/>
  <c r="FI176" i="90"/>
  <c r="CR176" i="90" s="1"/>
  <c r="AC176" i="56" s="1"/>
  <c r="FI107" i="90"/>
  <c r="CR107" i="90" s="1"/>
  <c r="AC107" i="56" s="1"/>
  <c r="FI233" i="90"/>
  <c r="CR233" i="90" s="1"/>
  <c r="AC233" i="56" s="1"/>
  <c r="FI297" i="90"/>
  <c r="CR297" i="90" s="1"/>
  <c r="AC297" i="56" s="1"/>
  <c r="FI295" i="90"/>
  <c r="CR295" i="90" s="1"/>
  <c r="AC295" i="56" s="1"/>
  <c r="FI271" i="90"/>
  <c r="CR271" i="90" s="1"/>
  <c r="AC271" i="56" s="1"/>
  <c r="FI275" i="90"/>
  <c r="CR275" i="90" s="1"/>
  <c r="AC275" i="56" s="1"/>
  <c r="FI356" i="90"/>
  <c r="CR356" i="90" s="1"/>
  <c r="AC356" i="56" s="1"/>
  <c r="FI357" i="90"/>
  <c r="CR357" i="90" s="1"/>
  <c r="AC357" i="56" s="1"/>
  <c r="FI350" i="90"/>
  <c r="CR350" i="90" s="1"/>
  <c r="AC350" i="56" s="1"/>
  <c r="FI285" i="90"/>
  <c r="CR285" i="90" s="1"/>
  <c r="AC285" i="56" s="1"/>
  <c r="FI265" i="90"/>
  <c r="CR265" i="90" s="1"/>
  <c r="AC265" i="56" s="1"/>
  <c r="FI60" i="90"/>
  <c r="CR60" i="90" s="1"/>
  <c r="AC60" i="56" s="1"/>
  <c r="FI87" i="90"/>
  <c r="CR87" i="90" s="1"/>
  <c r="AC87" i="56" s="1"/>
  <c r="FJ82" i="90"/>
  <c r="CS82" i="90" s="1"/>
  <c r="AD82" i="56" s="1"/>
  <c r="FI82" i="90"/>
  <c r="CR82" i="90" s="1"/>
  <c r="AC82" i="56" s="1"/>
  <c r="FI79" i="90"/>
  <c r="CR79" i="90" s="1"/>
  <c r="AC79" i="56" s="1"/>
  <c r="FI148" i="90"/>
  <c r="CR148" i="90" s="1"/>
  <c r="AC148" i="56" s="1"/>
  <c r="FJ181" i="90"/>
  <c r="CS181" i="90" s="1"/>
  <c r="AD181" i="56" s="1"/>
  <c r="FJ198" i="90"/>
  <c r="CS198" i="90" s="1"/>
  <c r="AD198" i="56" s="1"/>
  <c r="FI198" i="90"/>
  <c r="CR198" i="90" s="1"/>
  <c r="AC198" i="56" s="1"/>
  <c r="FI185" i="90"/>
  <c r="CR185" i="90" s="1"/>
  <c r="AC185" i="56" s="1"/>
  <c r="FJ175" i="90"/>
  <c r="CS175" i="90" s="1"/>
  <c r="AD175" i="56" s="1"/>
  <c r="FI175" i="90"/>
  <c r="CR175" i="90" s="1"/>
  <c r="AC175" i="56" s="1"/>
  <c r="FI171" i="90"/>
  <c r="CR171" i="90" s="1"/>
  <c r="AC171" i="56" s="1"/>
  <c r="FJ144" i="90"/>
  <c r="CS144" i="90" s="1"/>
  <c r="AD144" i="56" s="1"/>
  <c r="FI144" i="90"/>
  <c r="CR144" i="90" s="1"/>
  <c r="AC144" i="56" s="1"/>
  <c r="FJ163" i="90"/>
  <c r="CS163" i="90" s="1"/>
  <c r="AD163" i="56" s="1"/>
  <c r="FI146" i="90"/>
  <c r="CR146" i="90" s="1"/>
  <c r="AC146" i="56" s="1"/>
  <c r="FI125" i="90"/>
  <c r="CR125" i="90" s="1"/>
  <c r="AC125" i="56" s="1"/>
  <c r="FJ166" i="90"/>
  <c r="CS166" i="90" s="1"/>
  <c r="AD166" i="56" s="1"/>
  <c r="FJ153" i="90"/>
  <c r="CS153" i="90" s="1"/>
  <c r="AD153" i="56" s="1"/>
  <c r="FI123" i="90"/>
  <c r="CR123" i="90" s="1"/>
  <c r="AC123" i="56" s="1"/>
  <c r="FI126" i="90"/>
  <c r="CR126" i="90" s="1"/>
  <c r="AC126" i="56" s="1"/>
  <c r="FJ126" i="90"/>
  <c r="CS126" i="90" s="1"/>
  <c r="AD126" i="56" s="1"/>
  <c r="FJ111" i="90"/>
  <c r="CS111" i="90" s="1"/>
  <c r="AD111" i="56" s="1"/>
  <c r="FI307" i="90"/>
  <c r="CR307" i="90" s="1"/>
  <c r="AC307" i="56" s="1"/>
  <c r="FJ105" i="90"/>
  <c r="CS105" i="90" s="1"/>
  <c r="AD105" i="56" s="1"/>
  <c r="FI105" i="90"/>
  <c r="CR105" i="90" s="1"/>
  <c r="AC105" i="56" s="1"/>
  <c r="FJ231" i="90"/>
  <c r="CS231" i="90" s="1"/>
  <c r="AD231" i="56" s="1"/>
  <c r="FI231" i="90"/>
  <c r="CR231" i="90" s="1"/>
  <c r="AC231" i="56" s="1"/>
  <c r="FI209" i="90"/>
  <c r="CR209" i="90" s="1"/>
  <c r="AC209" i="56" s="1"/>
  <c r="FJ209" i="90"/>
  <c r="CS209" i="90" s="1"/>
  <c r="AD209" i="56" s="1"/>
  <c r="FI108" i="90"/>
  <c r="CR108" i="90" s="1"/>
  <c r="AC108" i="56" s="1"/>
  <c r="FJ108" i="90"/>
  <c r="CS108" i="90" s="1"/>
  <c r="AD108" i="56" s="1"/>
  <c r="FI234" i="90"/>
  <c r="CR234" i="90" s="1"/>
  <c r="AC234" i="56" s="1"/>
  <c r="FJ106" i="90"/>
  <c r="CS106" i="90" s="1"/>
  <c r="AD106" i="56" s="1"/>
  <c r="FI106" i="90"/>
  <c r="CR106" i="90" s="1"/>
  <c r="AC106" i="56" s="1"/>
  <c r="FI221" i="90"/>
  <c r="CR221" i="90" s="1"/>
  <c r="AC221" i="56" s="1"/>
  <c r="FJ221" i="90"/>
  <c r="CS221" i="90" s="1"/>
  <c r="AD221" i="56" s="1"/>
  <c r="FI100" i="90"/>
  <c r="CR100" i="90" s="1"/>
  <c r="AC100" i="56" s="1"/>
  <c r="FI90" i="90"/>
  <c r="CR90" i="90" s="1"/>
  <c r="AC90" i="56" s="1"/>
  <c r="FJ215" i="90"/>
  <c r="CS215" i="90" s="1"/>
  <c r="AD215" i="56" s="1"/>
  <c r="FI208" i="90"/>
  <c r="CR208" i="90" s="1"/>
  <c r="AC208" i="56" s="1"/>
  <c r="FJ292" i="90"/>
  <c r="CS292" i="90" s="1"/>
  <c r="AD292" i="56" s="1"/>
  <c r="FJ291" i="90"/>
  <c r="CS291" i="90" s="1"/>
  <c r="AD291" i="56" s="1"/>
  <c r="FI281" i="90"/>
  <c r="CR281" i="90" s="1"/>
  <c r="AC281" i="56" s="1"/>
  <c r="FI273" i="90"/>
  <c r="CR273" i="90" s="1"/>
  <c r="AC273" i="56" s="1"/>
  <c r="FJ259" i="90"/>
  <c r="CS259" i="90" s="1"/>
  <c r="AD259" i="56" s="1"/>
  <c r="FJ260" i="90"/>
  <c r="CS260" i="90" s="1"/>
  <c r="AD260" i="56" s="1"/>
  <c r="FI260" i="90"/>
  <c r="CR260" i="90" s="1"/>
  <c r="AC260" i="56" s="1"/>
  <c r="FI257" i="90"/>
  <c r="CR257" i="90" s="1"/>
  <c r="AC257" i="56" s="1"/>
  <c r="FJ362" i="90"/>
  <c r="CS362" i="90" s="1"/>
  <c r="AD362" i="56" s="1"/>
  <c r="FI353" i="90"/>
  <c r="CR353" i="90" s="1"/>
  <c r="AC353" i="56" s="1"/>
  <c r="FJ347" i="90"/>
  <c r="CS347" i="90" s="1"/>
  <c r="AD347" i="56" s="1"/>
  <c r="FJ343" i="90"/>
  <c r="CS343" i="90" s="1"/>
  <c r="AD343" i="56" s="1"/>
  <c r="FI343" i="90"/>
  <c r="CR343" i="90" s="1"/>
  <c r="AC343" i="56" s="1"/>
  <c r="FI203" i="90"/>
  <c r="CR203" i="90" s="1"/>
  <c r="AC203" i="56" s="1"/>
  <c r="FI306" i="90"/>
  <c r="CR306" i="90" s="1"/>
  <c r="AC306" i="56" s="1"/>
  <c r="FI170" i="90"/>
  <c r="CR170" i="90" s="1"/>
  <c r="AC170" i="56" s="1"/>
  <c r="FI168" i="90"/>
  <c r="CR168" i="90" s="1"/>
  <c r="AC168" i="56" s="1"/>
  <c r="FI58" i="90"/>
  <c r="CR58" i="90" s="1"/>
  <c r="AC58" i="56" s="1"/>
  <c r="FI217" i="90"/>
  <c r="CR217" i="90" s="1"/>
  <c r="AC217" i="56" s="1"/>
  <c r="FI200" i="90"/>
  <c r="CR200" i="90" s="1"/>
  <c r="AC200" i="56" s="1"/>
  <c r="FI196" i="90"/>
  <c r="CR196" i="90" s="1"/>
  <c r="AC196" i="56" s="1"/>
  <c r="FI177" i="90"/>
  <c r="CR177" i="90" s="1"/>
  <c r="AC177" i="56" s="1"/>
  <c r="FI161" i="90"/>
  <c r="CR161" i="90" s="1"/>
  <c r="AC161" i="56" s="1"/>
  <c r="FI142" i="90"/>
  <c r="CR142" i="90" s="1"/>
  <c r="AC142" i="56" s="1"/>
  <c r="FI164" i="90"/>
  <c r="CR164" i="90" s="1"/>
  <c r="AC164" i="56" s="1"/>
  <c r="FI135" i="90"/>
  <c r="CR135" i="90" s="1"/>
  <c r="AC135" i="56" s="1"/>
  <c r="FI298" i="90"/>
  <c r="CR298" i="90" s="1"/>
  <c r="AC298" i="56" s="1"/>
  <c r="FI229" i="90"/>
  <c r="CR229" i="90" s="1"/>
  <c r="AC229" i="56" s="1"/>
  <c r="FI153" i="90"/>
  <c r="CR153" i="90" s="1"/>
  <c r="AC153" i="56" s="1"/>
  <c r="FI215" i="90"/>
  <c r="CR215" i="90" s="1"/>
  <c r="AC215" i="56" s="1"/>
  <c r="FI232" i="90"/>
  <c r="CR232" i="90" s="1"/>
  <c r="AC232" i="56" s="1"/>
  <c r="FI308" i="90"/>
  <c r="CR308" i="90" s="1"/>
  <c r="AC308" i="56" s="1"/>
  <c r="FI278" i="90"/>
  <c r="CR278" i="90" s="1"/>
  <c r="AC278" i="56" s="1"/>
  <c r="FI251" i="90"/>
  <c r="CR251" i="90" s="1"/>
  <c r="AC251" i="56" s="1"/>
  <c r="FI250" i="90"/>
  <c r="CR250" i="90" s="1"/>
  <c r="AC250" i="56" s="1"/>
  <c r="FI354" i="90"/>
  <c r="CR354" i="90" s="1"/>
  <c r="AC354" i="56" s="1"/>
  <c r="FI348" i="90"/>
  <c r="CR348" i="90" s="1"/>
  <c r="AC348" i="56" s="1"/>
  <c r="FI189" i="90"/>
  <c r="CR189" i="90" s="1"/>
  <c r="AC189" i="56" s="1"/>
  <c r="FI181" i="90"/>
  <c r="CR181" i="90" s="1"/>
  <c r="AC181" i="56" s="1"/>
  <c r="FI116" i="90"/>
  <c r="CR116" i="90" s="1"/>
  <c r="AC116" i="56" s="1"/>
  <c r="FI287" i="90"/>
  <c r="CR287" i="90" s="1"/>
  <c r="AC287" i="56" s="1"/>
  <c r="FI77" i="90"/>
  <c r="CR77" i="90" s="1"/>
  <c r="AC77" i="56" s="1"/>
  <c r="FI167" i="90"/>
  <c r="CR167" i="90" s="1"/>
  <c r="AC167" i="56" s="1"/>
  <c r="FI152" i="90"/>
  <c r="CR152" i="90" s="1"/>
  <c r="AC152" i="56" s="1"/>
  <c r="FI180" i="90"/>
  <c r="CR180" i="90" s="1"/>
  <c r="AC180" i="56" s="1"/>
  <c r="FI103" i="90"/>
  <c r="CR103" i="90" s="1"/>
  <c r="AC103" i="56" s="1"/>
  <c r="FI163" i="90"/>
  <c r="CR163" i="90" s="1"/>
  <c r="AC163" i="56" s="1"/>
  <c r="FI272" i="90"/>
  <c r="CR272" i="90" s="1"/>
  <c r="AC272" i="56" s="1"/>
  <c r="FI84" i="90"/>
  <c r="CR84" i="90" s="1"/>
  <c r="AC84" i="56" s="1"/>
  <c r="FI85" i="90"/>
  <c r="CR85" i="90" s="1"/>
  <c r="AC85" i="56" s="1"/>
  <c r="AB139" i="44"/>
  <c r="CG45" i="90"/>
  <c r="AC99" i="44"/>
  <c r="AC84" i="44"/>
  <c r="AC85" i="44"/>
  <c r="AC96" i="44"/>
  <c r="AC90" i="44"/>
  <c r="AC123" i="44" s="1"/>
  <c r="AC89" i="44"/>
  <c r="AC137" i="44" s="1"/>
  <c r="AC87" i="44"/>
  <c r="AC86" i="44"/>
  <c r="AC136" i="44"/>
  <c r="CH394" i="90"/>
  <c r="DH394" i="90" s="1"/>
  <c r="FJ394" i="90" s="1"/>
  <c r="CS394" i="90" s="1"/>
  <c r="AD394" i="56" s="1"/>
  <c r="CH390" i="90"/>
  <c r="DH390" i="90" s="1"/>
  <c r="FJ390" i="90" s="1"/>
  <c r="CS390" i="90" s="1"/>
  <c r="AD390" i="56" s="1"/>
  <c r="CH386" i="90"/>
  <c r="DH386" i="90" s="1"/>
  <c r="FJ386" i="90" s="1"/>
  <c r="CS386" i="90" s="1"/>
  <c r="AD386" i="56" s="1"/>
  <c r="CH382" i="90"/>
  <c r="DH382" i="90" s="1"/>
  <c r="FJ382" i="90" s="1"/>
  <c r="CS382" i="90" s="1"/>
  <c r="AD382" i="56" s="1"/>
  <c r="CH378" i="90"/>
  <c r="DH378" i="90" s="1"/>
  <c r="FJ378" i="90" s="1"/>
  <c r="CS378" i="90" s="1"/>
  <c r="AD378" i="56" s="1"/>
  <c r="CH374" i="90"/>
  <c r="DH374" i="90" s="1"/>
  <c r="FJ374" i="90" s="1"/>
  <c r="CS374" i="90" s="1"/>
  <c r="AD374" i="56" s="1"/>
  <c r="CH370" i="90"/>
  <c r="DH370" i="90" s="1"/>
  <c r="FJ370" i="90" s="1"/>
  <c r="CS370" i="90" s="1"/>
  <c r="AD370" i="56" s="1"/>
  <c r="CH366" i="90"/>
  <c r="DH366" i="90" s="1"/>
  <c r="FJ366" i="90" s="1"/>
  <c r="CS366" i="90" s="1"/>
  <c r="AD366" i="56" s="1"/>
  <c r="CH337" i="90"/>
  <c r="DH337" i="90" s="1"/>
  <c r="FJ337" i="90" s="1"/>
  <c r="CS337" i="90" s="1"/>
  <c r="AD337" i="56" s="1"/>
  <c r="CH333" i="90"/>
  <c r="DH333" i="90" s="1"/>
  <c r="FJ333" i="90" s="1"/>
  <c r="CS333" i="90" s="1"/>
  <c r="AD333" i="56" s="1"/>
  <c r="CH329" i="90"/>
  <c r="DH329" i="90" s="1"/>
  <c r="FJ329" i="90" s="1"/>
  <c r="CS329" i="90" s="1"/>
  <c r="AD329" i="56" s="1"/>
  <c r="CH325" i="90"/>
  <c r="DH325" i="90" s="1"/>
  <c r="FJ325" i="90" s="1"/>
  <c r="CS325" i="90" s="1"/>
  <c r="AD325" i="56" s="1"/>
  <c r="CH321" i="90"/>
  <c r="DH321" i="90" s="1"/>
  <c r="FJ321" i="90" s="1"/>
  <c r="CS321" i="90" s="1"/>
  <c r="AD321" i="56" s="1"/>
  <c r="CH317" i="90"/>
  <c r="DH317" i="90" s="1"/>
  <c r="FJ317" i="90" s="1"/>
  <c r="CS317" i="90" s="1"/>
  <c r="AD317" i="56" s="1"/>
  <c r="CH313" i="90"/>
  <c r="DH313" i="90" s="1"/>
  <c r="FJ313" i="90" s="1"/>
  <c r="CS313" i="90" s="1"/>
  <c r="AD313" i="56" s="1"/>
  <c r="CH309" i="90"/>
  <c r="DH309" i="90" s="1"/>
  <c r="FJ309" i="90" s="1"/>
  <c r="CS309" i="90" s="1"/>
  <c r="AD309" i="56" s="1"/>
  <c r="CH393" i="90"/>
  <c r="DH393" i="90" s="1"/>
  <c r="FJ393" i="90" s="1"/>
  <c r="CS393" i="90" s="1"/>
  <c r="AD393" i="56" s="1"/>
  <c r="CH389" i="90"/>
  <c r="DH389" i="90" s="1"/>
  <c r="FJ389" i="90" s="1"/>
  <c r="CS389" i="90" s="1"/>
  <c r="AD389" i="56" s="1"/>
  <c r="CH385" i="90"/>
  <c r="DH385" i="90" s="1"/>
  <c r="FJ385" i="90" s="1"/>
  <c r="CS385" i="90" s="1"/>
  <c r="AD385" i="56" s="1"/>
  <c r="CH381" i="90"/>
  <c r="DH381" i="90" s="1"/>
  <c r="FJ381" i="90" s="1"/>
  <c r="CS381" i="90" s="1"/>
  <c r="AD381" i="56" s="1"/>
  <c r="CH377" i="90"/>
  <c r="DH377" i="90" s="1"/>
  <c r="FJ377" i="90" s="1"/>
  <c r="CS377" i="90" s="1"/>
  <c r="AD377" i="56" s="1"/>
  <c r="CH373" i="90"/>
  <c r="DH373" i="90" s="1"/>
  <c r="FJ373" i="90" s="1"/>
  <c r="CS373" i="90" s="1"/>
  <c r="AD373" i="56" s="1"/>
  <c r="CH369" i="90"/>
  <c r="DH369" i="90" s="1"/>
  <c r="FJ369" i="90" s="1"/>
  <c r="CS369" i="90" s="1"/>
  <c r="AD369" i="56" s="1"/>
  <c r="CH365" i="90"/>
  <c r="DH365" i="90" s="1"/>
  <c r="FJ365" i="90" s="1"/>
  <c r="CS365" i="90" s="1"/>
  <c r="AD365" i="56" s="1"/>
  <c r="CH336" i="90"/>
  <c r="DH336" i="90" s="1"/>
  <c r="FJ336" i="90" s="1"/>
  <c r="CS336" i="90" s="1"/>
  <c r="AD336" i="56" s="1"/>
  <c r="CH332" i="90"/>
  <c r="DH332" i="90" s="1"/>
  <c r="FJ332" i="90" s="1"/>
  <c r="CS332" i="90" s="1"/>
  <c r="AD332" i="56" s="1"/>
  <c r="CH328" i="90"/>
  <c r="DH328" i="90" s="1"/>
  <c r="FJ328" i="90" s="1"/>
  <c r="CS328" i="90" s="1"/>
  <c r="AD328" i="56" s="1"/>
  <c r="CH324" i="90"/>
  <c r="DH324" i="90" s="1"/>
  <c r="FJ324" i="90" s="1"/>
  <c r="CS324" i="90" s="1"/>
  <c r="AD324" i="56" s="1"/>
  <c r="CH320" i="90"/>
  <c r="DH320" i="90" s="1"/>
  <c r="FJ320" i="90" s="1"/>
  <c r="CS320" i="90" s="1"/>
  <c r="AD320" i="56" s="1"/>
  <c r="CH316" i="90"/>
  <c r="DH316" i="90" s="1"/>
  <c r="FJ316" i="90" s="1"/>
  <c r="CS316" i="90" s="1"/>
  <c r="AD316" i="56" s="1"/>
  <c r="CH312" i="90"/>
  <c r="DH312" i="90" s="1"/>
  <c r="FJ312" i="90" s="1"/>
  <c r="CS312" i="90" s="1"/>
  <c r="AD312" i="56" s="1"/>
  <c r="CH395" i="90"/>
  <c r="DH395" i="90" s="1"/>
  <c r="FJ395" i="90" s="1"/>
  <c r="CS395" i="90" s="1"/>
  <c r="AD395" i="56" s="1"/>
  <c r="CH391" i="90"/>
  <c r="DH391" i="90" s="1"/>
  <c r="FJ391" i="90" s="1"/>
  <c r="CS391" i="90" s="1"/>
  <c r="AD391" i="56" s="1"/>
  <c r="CH387" i="90"/>
  <c r="DH387" i="90" s="1"/>
  <c r="FJ387" i="90" s="1"/>
  <c r="CS387" i="90" s="1"/>
  <c r="AD387" i="56" s="1"/>
  <c r="CH383" i="90"/>
  <c r="DH383" i="90" s="1"/>
  <c r="FJ383" i="90" s="1"/>
  <c r="CS383" i="90" s="1"/>
  <c r="AD383" i="56" s="1"/>
  <c r="CH379" i="90"/>
  <c r="DH379" i="90" s="1"/>
  <c r="FJ379" i="90" s="1"/>
  <c r="CS379" i="90" s="1"/>
  <c r="AD379" i="56" s="1"/>
  <c r="CH375" i="90"/>
  <c r="DH375" i="90" s="1"/>
  <c r="FJ375" i="90" s="1"/>
  <c r="CS375" i="90" s="1"/>
  <c r="AD375" i="56" s="1"/>
  <c r="CH371" i="90"/>
  <c r="DH371" i="90" s="1"/>
  <c r="FJ371" i="90" s="1"/>
  <c r="CS371" i="90" s="1"/>
  <c r="AD371" i="56" s="1"/>
  <c r="CH367" i="90"/>
  <c r="DH367" i="90" s="1"/>
  <c r="FJ367" i="90" s="1"/>
  <c r="CS367" i="90" s="1"/>
  <c r="AD367" i="56" s="1"/>
  <c r="CH338" i="90"/>
  <c r="DH338" i="90" s="1"/>
  <c r="FJ338" i="90" s="1"/>
  <c r="CS338" i="90" s="1"/>
  <c r="AD338" i="56" s="1"/>
  <c r="CH334" i="90"/>
  <c r="DH334" i="90" s="1"/>
  <c r="FJ334" i="90" s="1"/>
  <c r="CS334" i="90" s="1"/>
  <c r="AD334" i="56" s="1"/>
  <c r="CH330" i="90"/>
  <c r="DH330" i="90" s="1"/>
  <c r="FJ330" i="90" s="1"/>
  <c r="CS330" i="90" s="1"/>
  <c r="AD330" i="56" s="1"/>
  <c r="CH326" i="90"/>
  <c r="DH326" i="90" s="1"/>
  <c r="FJ326" i="90" s="1"/>
  <c r="CS326" i="90" s="1"/>
  <c r="AD326" i="56" s="1"/>
  <c r="CH322" i="90"/>
  <c r="DH322" i="90" s="1"/>
  <c r="FJ322" i="90" s="1"/>
  <c r="CS322" i="90" s="1"/>
  <c r="AD322" i="56" s="1"/>
  <c r="CH318" i="90"/>
  <c r="DH318" i="90" s="1"/>
  <c r="FJ318" i="90" s="1"/>
  <c r="CS318" i="90" s="1"/>
  <c r="AD318" i="56" s="1"/>
  <c r="CH314" i="90"/>
  <c r="DH314" i="90" s="1"/>
  <c r="FJ314" i="90" s="1"/>
  <c r="CS314" i="90" s="1"/>
  <c r="AD314" i="56" s="1"/>
  <c r="CH310" i="90"/>
  <c r="DH310" i="90" s="1"/>
  <c r="FJ310" i="90" s="1"/>
  <c r="CS310" i="90" s="1"/>
  <c r="AD310" i="56" s="1"/>
  <c r="CH368" i="90"/>
  <c r="DH368" i="90" s="1"/>
  <c r="FJ368" i="90" s="1"/>
  <c r="CS368" i="90" s="1"/>
  <c r="AD368" i="56" s="1"/>
  <c r="CH248" i="90"/>
  <c r="DH248" i="90" s="1"/>
  <c r="FJ248" i="90" s="1"/>
  <c r="CS248" i="90" s="1"/>
  <c r="AD248" i="56" s="1"/>
  <c r="CH244" i="90"/>
  <c r="DH244" i="90" s="1"/>
  <c r="FJ244" i="90" s="1"/>
  <c r="CS244" i="90" s="1"/>
  <c r="AD244" i="56" s="1"/>
  <c r="CH240" i="90"/>
  <c r="DH240" i="90" s="1"/>
  <c r="FJ240" i="90" s="1"/>
  <c r="CS240" i="90" s="1"/>
  <c r="AD240" i="56" s="1"/>
  <c r="CH54" i="90"/>
  <c r="DH54" i="90" s="1"/>
  <c r="FJ54" i="90" s="1"/>
  <c r="CS54" i="90" s="1"/>
  <c r="AD54" i="56" s="1"/>
  <c r="CH50" i="90"/>
  <c r="DH50" i="90" s="1"/>
  <c r="FJ50" i="90" s="1"/>
  <c r="CS50" i="90" s="1"/>
  <c r="AD50" i="56" s="1"/>
  <c r="CH46" i="90"/>
  <c r="DH46" i="90" s="1"/>
  <c r="CH327" i="90"/>
  <c r="DH327" i="90" s="1"/>
  <c r="FJ327" i="90" s="1"/>
  <c r="CS327" i="90" s="1"/>
  <c r="AD327" i="56" s="1"/>
  <c r="CH372" i="90"/>
  <c r="DH372" i="90" s="1"/>
  <c r="FJ372" i="90" s="1"/>
  <c r="CS372" i="90" s="1"/>
  <c r="AD372" i="56" s="1"/>
  <c r="CH315" i="90"/>
  <c r="DH315" i="90" s="1"/>
  <c r="FJ315" i="90" s="1"/>
  <c r="CS315" i="90" s="1"/>
  <c r="AD315" i="56" s="1"/>
  <c r="CH311" i="90"/>
  <c r="DH311" i="90" s="1"/>
  <c r="FJ311" i="90" s="1"/>
  <c r="CS311" i="90" s="1"/>
  <c r="AD311" i="56" s="1"/>
  <c r="CH376" i="90"/>
  <c r="DH376" i="90" s="1"/>
  <c r="FJ376" i="90" s="1"/>
  <c r="CS376" i="90" s="1"/>
  <c r="AD376" i="56" s="1"/>
  <c r="CH319" i="90"/>
  <c r="DH319" i="90" s="1"/>
  <c r="FJ319" i="90" s="1"/>
  <c r="CS319" i="90" s="1"/>
  <c r="AD319" i="56" s="1"/>
  <c r="CH247" i="90"/>
  <c r="DH247" i="90" s="1"/>
  <c r="FJ247" i="90" s="1"/>
  <c r="CS247" i="90" s="1"/>
  <c r="AD247" i="56" s="1"/>
  <c r="CH243" i="90"/>
  <c r="DH243" i="90" s="1"/>
  <c r="FJ243" i="90" s="1"/>
  <c r="CS243" i="90" s="1"/>
  <c r="AD243" i="56" s="1"/>
  <c r="CH239" i="90"/>
  <c r="DH239" i="90" s="1"/>
  <c r="FJ239" i="90" s="1"/>
  <c r="CS239" i="90" s="1"/>
  <c r="AD239" i="56" s="1"/>
  <c r="CH63" i="90"/>
  <c r="DH63" i="90" s="1"/>
  <c r="FJ63" i="90" s="1"/>
  <c r="CS63" i="90" s="1"/>
  <c r="AD63" i="56" s="1"/>
  <c r="CH53" i="90"/>
  <c r="DH53" i="90" s="1"/>
  <c r="FJ53" i="90" s="1"/>
  <c r="CS53" i="90" s="1"/>
  <c r="AD53" i="56" s="1"/>
  <c r="CH49" i="90"/>
  <c r="DH49" i="90" s="1"/>
  <c r="FJ49" i="90" s="1"/>
  <c r="CS49" i="90" s="1"/>
  <c r="AD49" i="56" s="1"/>
  <c r="CH384" i="90"/>
  <c r="DH384" i="90" s="1"/>
  <c r="FJ384" i="90" s="1"/>
  <c r="CS384" i="90" s="1"/>
  <c r="AD384" i="56" s="1"/>
  <c r="CH380" i="90"/>
  <c r="DH380" i="90" s="1"/>
  <c r="FJ380" i="90" s="1"/>
  <c r="CS380" i="90" s="1"/>
  <c r="AD380" i="56" s="1"/>
  <c r="CH323" i="90"/>
  <c r="DH323" i="90" s="1"/>
  <c r="FJ323" i="90" s="1"/>
  <c r="CS323" i="90" s="1"/>
  <c r="AD323" i="56" s="1"/>
  <c r="CH392" i="90"/>
  <c r="DH392" i="90" s="1"/>
  <c r="FJ392" i="90" s="1"/>
  <c r="CS392" i="90" s="1"/>
  <c r="AD392" i="56" s="1"/>
  <c r="CH335" i="90"/>
  <c r="DH335" i="90" s="1"/>
  <c r="FJ335" i="90" s="1"/>
  <c r="CS335" i="90" s="1"/>
  <c r="AD335" i="56" s="1"/>
  <c r="CH245" i="90"/>
  <c r="DH245" i="90" s="1"/>
  <c r="FJ245" i="90" s="1"/>
  <c r="CS245" i="90" s="1"/>
  <c r="AD245" i="56" s="1"/>
  <c r="CH241" i="90"/>
  <c r="DH241" i="90" s="1"/>
  <c r="FJ241" i="90" s="1"/>
  <c r="CS241" i="90" s="1"/>
  <c r="AD241" i="56" s="1"/>
  <c r="CH237" i="90"/>
  <c r="DH237" i="90" s="1"/>
  <c r="FJ237" i="90" s="1"/>
  <c r="CS237" i="90" s="1"/>
  <c r="AD237" i="56" s="1"/>
  <c r="CH51" i="90"/>
  <c r="DH51" i="90" s="1"/>
  <c r="FJ51" i="90" s="1"/>
  <c r="CS51" i="90" s="1"/>
  <c r="AD51" i="56" s="1"/>
  <c r="CH47" i="90"/>
  <c r="DH47" i="90" s="1"/>
  <c r="FJ47" i="90" s="1"/>
  <c r="CS47" i="90" s="1"/>
  <c r="AD47" i="56" s="1"/>
  <c r="CH48" i="90"/>
  <c r="DH48" i="90" s="1"/>
  <c r="FJ48" i="90" s="1"/>
  <c r="CS48" i="90" s="1"/>
  <c r="AD48" i="56" s="1"/>
  <c r="CH238" i="90"/>
  <c r="DH238" i="90" s="1"/>
  <c r="FJ238" i="90" s="1"/>
  <c r="CS238" i="90" s="1"/>
  <c r="AD238" i="56" s="1"/>
  <c r="CH331" i="90"/>
  <c r="DH331" i="90" s="1"/>
  <c r="FJ331" i="90" s="1"/>
  <c r="CS331" i="90" s="1"/>
  <c r="AD331" i="56" s="1"/>
  <c r="CH52" i="90"/>
  <c r="DH52" i="90" s="1"/>
  <c r="FJ52" i="90" s="1"/>
  <c r="CS52" i="90" s="1"/>
  <c r="AD52" i="56" s="1"/>
  <c r="CH339" i="90"/>
  <c r="DH339" i="90" s="1"/>
  <c r="FJ339" i="90" s="1"/>
  <c r="CS339" i="90" s="1"/>
  <c r="AD339" i="56" s="1"/>
  <c r="CH62" i="90"/>
  <c r="DH62" i="90" s="1"/>
  <c r="FJ62" i="90" s="1"/>
  <c r="CS62" i="90" s="1"/>
  <c r="AD62" i="56" s="1"/>
  <c r="CH396" i="90"/>
  <c r="DH396" i="90" s="1"/>
  <c r="FJ396" i="90" s="1"/>
  <c r="CS396" i="90" s="1"/>
  <c r="AD396" i="56" s="1"/>
  <c r="CH242" i="90"/>
  <c r="DH242" i="90" s="1"/>
  <c r="FJ242" i="90" s="1"/>
  <c r="CS242" i="90" s="1"/>
  <c r="AD242" i="56" s="1"/>
  <c r="CH246" i="90"/>
  <c r="DH246" i="90" s="1"/>
  <c r="FJ246" i="90" s="1"/>
  <c r="CS246" i="90" s="1"/>
  <c r="AD246" i="56" s="1"/>
  <c r="CH388" i="90"/>
  <c r="DH388" i="90" s="1"/>
  <c r="FJ388" i="90" s="1"/>
  <c r="CS388" i="90" s="1"/>
  <c r="AD388" i="56" s="1"/>
  <c r="AC110" i="41"/>
  <c r="FI46" i="90"/>
  <c r="CR46" i="90" s="1"/>
  <c r="AC46" i="56" s="1"/>
  <c r="Z168" i="44"/>
  <c r="AC109" i="41"/>
  <c r="AC108" i="41"/>
  <c r="AC191" i="44"/>
  <c r="AC193" i="44"/>
  <c r="AC188" i="44"/>
  <c r="AC186" i="44"/>
  <c r="AC242" i="44"/>
  <c r="AB259" i="44"/>
  <c r="AB206" i="44"/>
  <c r="DG45" i="90"/>
  <c r="CQ45" i="90"/>
  <c r="AA45" i="56"/>
  <c r="AA19" i="56" s="1"/>
  <c r="AB258" i="44"/>
  <c r="AD85" i="41"/>
  <c r="AD39" i="93"/>
  <c r="AJ15" i="40"/>
  <c r="AB260" i="44"/>
  <c r="AB207" i="44"/>
  <c r="X211" i="44"/>
  <c r="X215" i="44" s="1"/>
  <c r="AI106" i="117" l="1"/>
  <c r="AC51" i="44"/>
  <c r="AC138" i="44" s="1"/>
  <c r="AC139" i="44" s="1"/>
  <c r="X133" i="44"/>
  <c r="O173" i="98"/>
  <c r="AD309" i="44"/>
  <c r="AD274" i="44"/>
  <c r="AD310" i="44"/>
  <c r="AD311" i="44"/>
  <c r="AD298" i="44"/>
  <c r="AC126" i="44"/>
  <c r="AC277" i="44"/>
  <c r="AC209" i="44"/>
  <c r="AC281" i="44"/>
  <c r="AC289" i="44"/>
  <c r="AC291" i="44" s="1"/>
  <c r="AC125" i="44"/>
  <c r="AC124" i="44"/>
  <c r="X229" i="44"/>
  <c r="X234" i="44" s="1"/>
  <c r="X235" i="44" s="1"/>
  <c r="O54" i="114" s="1"/>
  <c r="X247" i="44"/>
  <c r="X141" i="44"/>
  <c r="X248" i="44"/>
  <c r="AC45" i="56"/>
  <c r="AD83" i="44"/>
  <c r="AD114" i="41"/>
  <c r="R165" i="98"/>
  <c r="AJ97" i="117"/>
  <c r="AJ99" i="117" s="1"/>
  <c r="AJ80" i="86"/>
  <c r="AJ35" i="12"/>
  <c r="AJ37" i="12" s="1"/>
  <c r="AH107" i="117"/>
  <c r="AH106" i="117"/>
  <c r="Q43" i="98"/>
  <c r="AN14" i="42"/>
  <c r="Q136" i="98"/>
  <c r="AI83" i="86"/>
  <c r="Q58" i="98"/>
  <c r="Q60" i="98" s="1"/>
  <c r="Q168" i="98"/>
  <c r="P116" i="98"/>
  <c r="P117" i="98" s="1"/>
  <c r="P118" i="98" s="1"/>
  <c r="AH84" i="86"/>
  <c r="X257" i="44"/>
  <c r="X111" i="44"/>
  <c r="CI341" i="90"/>
  <c r="DI341" i="90" s="1"/>
  <c r="CI342" i="90"/>
  <c r="DI342" i="90" s="1"/>
  <c r="FK342" i="90" s="1"/>
  <c r="CT342" i="90" s="1"/>
  <c r="AE342" i="56" s="1"/>
  <c r="CI343" i="90"/>
  <c r="DI343" i="90" s="1"/>
  <c r="CI344" i="90"/>
  <c r="DI344" i="90" s="1"/>
  <c r="CI345" i="90"/>
  <c r="DI345" i="90" s="1"/>
  <c r="CI346" i="90"/>
  <c r="DI346" i="90" s="1"/>
  <c r="CI340" i="90"/>
  <c r="DI340" i="90" s="1"/>
  <c r="CI348" i="90"/>
  <c r="DI348" i="90" s="1"/>
  <c r="CI349" i="90"/>
  <c r="DI349" i="90" s="1"/>
  <c r="CI350" i="90"/>
  <c r="DI350" i="90" s="1"/>
  <c r="CI355" i="90"/>
  <c r="DI355" i="90" s="1"/>
  <c r="CI352" i="90"/>
  <c r="DI352" i="90" s="1"/>
  <c r="CI353" i="90"/>
  <c r="DI353" i="90" s="1"/>
  <c r="CI354" i="90"/>
  <c r="DI354" i="90" s="1"/>
  <c r="CI347" i="90"/>
  <c r="DI347" i="90" s="1"/>
  <c r="FK347" i="90" s="1"/>
  <c r="CT347" i="90" s="1"/>
  <c r="AE347" i="56" s="1"/>
  <c r="CI351" i="90"/>
  <c r="DI351" i="90" s="1"/>
  <c r="FK351" i="90" s="1"/>
  <c r="CT351" i="90" s="1"/>
  <c r="AE351" i="56" s="1"/>
  <c r="CI359" i="90"/>
  <c r="DI359" i="90" s="1"/>
  <c r="FK359" i="90" s="1"/>
  <c r="CT359" i="90" s="1"/>
  <c r="AE359" i="56" s="1"/>
  <c r="CI360" i="90"/>
  <c r="DI360" i="90" s="1"/>
  <c r="CI356" i="90"/>
  <c r="DI356" i="90" s="1"/>
  <c r="CI361" i="90"/>
  <c r="DI361" i="90" s="1"/>
  <c r="CI249" i="90"/>
  <c r="DI249" i="90" s="1"/>
  <c r="CI250" i="90"/>
  <c r="DI250" i="90" s="1"/>
  <c r="CI252" i="90"/>
  <c r="DI252" i="90" s="1"/>
  <c r="FK252" i="90" s="1"/>
  <c r="CT252" i="90" s="1"/>
  <c r="AE252" i="56" s="1"/>
  <c r="CI257" i="90"/>
  <c r="DI257" i="90" s="1"/>
  <c r="CI261" i="90"/>
  <c r="DI261" i="90" s="1"/>
  <c r="FK261" i="90" s="1"/>
  <c r="CT261" i="90" s="1"/>
  <c r="AE261" i="56" s="1"/>
  <c r="CI363" i="90"/>
  <c r="DI363" i="90" s="1"/>
  <c r="CI357" i="90"/>
  <c r="DI357" i="90" s="1"/>
  <c r="FK357" i="90" s="1"/>
  <c r="CT357" i="90" s="1"/>
  <c r="AE357" i="56" s="1"/>
  <c r="CI358" i="90"/>
  <c r="DI358" i="90" s="1"/>
  <c r="CI362" i="90"/>
  <c r="DI362" i="90" s="1"/>
  <c r="CI364" i="90"/>
  <c r="DI364" i="90" s="1"/>
  <c r="CI251" i="90"/>
  <c r="DI251" i="90" s="1"/>
  <c r="CI255" i="90"/>
  <c r="DI255" i="90" s="1"/>
  <c r="CI258" i="90"/>
  <c r="DI258" i="90" s="1"/>
  <c r="CI262" i="90"/>
  <c r="DI262" i="90" s="1"/>
  <c r="CI275" i="90"/>
  <c r="DI275" i="90" s="1"/>
  <c r="CI254" i="90"/>
  <c r="DI254" i="90" s="1"/>
  <c r="CI256" i="90"/>
  <c r="DI256" i="90" s="1"/>
  <c r="FK256" i="90" s="1"/>
  <c r="CT256" i="90" s="1"/>
  <c r="AE256" i="56" s="1"/>
  <c r="CI260" i="90"/>
  <c r="DI260" i="90" s="1"/>
  <c r="FK260" i="90" s="1"/>
  <c r="CT260" i="90" s="1"/>
  <c r="AE260" i="56" s="1"/>
  <c r="CI270" i="90"/>
  <c r="DI270" i="90" s="1"/>
  <c r="CI274" i="90"/>
  <c r="DI274" i="90" s="1"/>
  <c r="FK274" i="90" s="1"/>
  <c r="CT274" i="90" s="1"/>
  <c r="AE274" i="56" s="1"/>
  <c r="CI253" i="90"/>
  <c r="DI253" i="90" s="1"/>
  <c r="CI259" i="90"/>
  <c r="DI259" i="90" s="1"/>
  <c r="CI264" i="90"/>
  <c r="DI264" i="90" s="1"/>
  <c r="CI265" i="90"/>
  <c r="DI265" i="90" s="1"/>
  <c r="CI266" i="90"/>
  <c r="DI266" i="90" s="1"/>
  <c r="CI269" i="90"/>
  <c r="DI269" i="90" s="1"/>
  <c r="CI271" i="90"/>
  <c r="DI271" i="90" s="1"/>
  <c r="CI272" i="90"/>
  <c r="DI272" i="90" s="1"/>
  <c r="FK272" i="90" s="1"/>
  <c r="CT272" i="90" s="1"/>
  <c r="AE272" i="56" s="1"/>
  <c r="CI276" i="90"/>
  <c r="DI276" i="90" s="1"/>
  <c r="CI277" i="90"/>
  <c r="DI277" i="90" s="1"/>
  <c r="FK277" i="90" s="1"/>
  <c r="CT277" i="90" s="1"/>
  <c r="AE277" i="56" s="1"/>
  <c r="CI263" i="90"/>
  <c r="DI263" i="90" s="1"/>
  <c r="CI267" i="90"/>
  <c r="DI267" i="90" s="1"/>
  <c r="CI268" i="90"/>
  <c r="DI268" i="90" s="1"/>
  <c r="CI273" i="90"/>
  <c r="DI273" i="90" s="1"/>
  <c r="CI286" i="90"/>
  <c r="DI286" i="90" s="1"/>
  <c r="CI289" i="90"/>
  <c r="DI289" i="90" s="1"/>
  <c r="CI290" i="90"/>
  <c r="DI290" i="90" s="1"/>
  <c r="CI292" i="90"/>
  <c r="DI292" i="90" s="1"/>
  <c r="CI295" i="90"/>
  <c r="DI295" i="90" s="1"/>
  <c r="FK295" i="90" s="1"/>
  <c r="CT295" i="90" s="1"/>
  <c r="AE295" i="56" s="1"/>
  <c r="CI279" i="90"/>
  <c r="DI279" i="90" s="1"/>
  <c r="CI280" i="90"/>
  <c r="DI280" i="90" s="1"/>
  <c r="FK280" i="90" s="1"/>
  <c r="CT280" i="90" s="1"/>
  <c r="AE280" i="56" s="1"/>
  <c r="CI281" i="90"/>
  <c r="DI281" i="90" s="1"/>
  <c r="CI283" i="90"/>
  <c r="DI283" i="90" s="1"/>
  <c r="CI285" i="90"/>
  <c r="DI285" i="90" s="1"/>
  <c r="FK285" i="90" s="1"/>
  <c r="CT285" i="90" s="1"/>
  <c r="AE285" i="56" s="1"/>
  <c r="CI287" i="90"/>
  <c r="DI287" i="90" s="1"/>
  <c r="CI291" i="90"/>
  <c r="DI291" i="90" s="1"/>
  <c r="CI294" i="90"/>
  <c r="DI294" i="90" s="1"/>
  <c r="CI278" i="90"/>
  <c r="DI278" i="90" s="1"/>
  <c r="CI282" i="90"/>
  <c r="DI282" i="90" s="1"/>
  <c r="CI284" i="90"/>
  <c r="DI284" i="90" s="1"/>
  <c r="CI298" i="90"/>
  <c r="DI298" i="90" s="1"/>
  <c r="FK298" i="90" s="1"/>
  <c r="CT298" i="90" s="1"/>
  <c r="AE298" i="56" s="1"/>
  <c r="CI204" i="90"/>
  <c r="DI204" i="90" s="1"/>
  <c r="CI205" i="90"/>
  <c r="DI205" i="90" s="1"/>
  <c r="FK205" i="90" s="1"/>
  <c r="CT205" i="90" s="1"/>
  <c r="AE205" i="56" s="1"/>
  <c r="CI288" i="90"/>
  <c r="DI288" i="90" s="1"/>
  <c r="CI299" i="90"/>
  <c r="DI299" i="90" s="1"/>
  <c r="CI301" i="90"/>
  <c r="DI301" i="90" s="1"/>
  <c r="CI302" i="90"/>
  <c r="DI302" i="90" s="1"/>
  <c r="CI303" i="90"/>
  <c r="DI303" i="90" s="1"/>
  <c r="CI304" i="90"/>
  <c r="DI304" i="90" s="1"/>
  <c r="CI206" i="90"/>
  <c r="DI206" i="90" s="1"/>
  <c r="FK206" i="90" s="1"/>
  <c r="CT206" i="90" s="1"/>
  <c r="AE206" i="56" s="1"/>
  <c r="CI207" i="90"/>
  <c r="DI207" i="90" s="1"/>
  <c r="CI208" i="90"/>
  <c r="DI208" i="90" s="1"/>
  <c r="CI296" i="90"/>
  <c r="DI296" i="90" s="1"/>
  <c r="FK296" i="90" s="1"/>
  <c r="CT296" i="90" s="1"/>
  <c r="AE296" i="56" s="1"/>
  <c r="CI216" i="90"/>
  <c r="DI216" i="90" s="1"/>
  <c r="CI300" i="90"/>
  <c r="DI300" i="90" s="1"/>
  <c r="CI211" i="90"/>
  <c r="DI211" i="90" s="1"/>
  <c r="CI217" i="90"/>
  <c r="DI217" i="90" s="1"/>
  <c r="CI218" i="90"/>
  <c r="DI218" i="90" s="1"/>
  <c r="CI219" i="90"/>
  <c r="DI219" i="90" s="1"/>
  <c r="CI220" i="90"/>
  <c r="DI220" i="90" s="1"/>
  <c r="FK220" i="90" s="1"/>
  <c r="CT220" i="90" s="1"/>
  <c r="AE220" i="56" s="1"/>
  <c r="CI225" i="90"/>
  <c r="DI225" i="90" s="1"/>
  <c r="CI226" i="90"/>
  <c r="DI226" i="90" s="1"/>
  <c r="CI232" i="90"/>
  <c r="DI232" i="90" s="1"/>
  <c r="CI233" i="90"/>
  <c r="DI233" i="90" s="1"/>
  <c r="CI234" i="90"/>
  <c r="DI234" i="90" s="1"/>
  <c r="CI235" i="90"/>
  <c r="DI235" i="90" s="1"/>
  <c r="CI305" i="90"/>
  <c r="DI305" i="90" s="1"/>
  <c r="CI307" i="90"/>
  <c r="DI307" i="90" s="1"/>
  <c r="CI308" i="90"/>
  <c r="DI308" i="90" s="1"/>
  <c r="CI223" i="90"/>
  <c r="DI223" i="90" s="1"/>
  <c r="CI90" i="90"/>
  <c r="DI90" i="90" s="1"/>
  <c r="CI94" i="90"/>
  <c r="DI94" i="90" s="1"/>
  <c r="CI100" i="90"/>
  <c r="DI100" i="90" s="1"/>
  <c r="CI111" i="90"/>
  <c r="DI111" i="90" s="1"/>
  <c r="CI120" i="90"/>
  <c r="DI120" i="90" s="1"/>
  <c r="FK120" i="90" s="1"/>
  <c r="CT120" i="90" s="1"/>
  <c r="AE120" i="56" s="1"/>
  <c r="CI297" i="90"/>
  <c r="DI297" i="90" s="1"/>
  <c r="FK297" i="90" s="1"/>
  <c r="CT297" i="90" s="1"/>
  <c r="AE297" i="56" s="1"/>
  <c r="CI212" i="90"/>
  <c r="DI212" i="90" s="1"/>
  <c r="FK212" i="90" s="1"/>
  <c r="CT212" i="90" s="1"/>
  <c r="AE212" i="56" s="1"/>
  <c r="CI214" i="90"/>
  <c r="DI214" i="90" s="1"/>
  <c r="CI224" i="90"/>
  <c r="DI224" i="90" s="1"/>
  <c r="CI230" i="90"/>
  <c r="DI230" i="90" s="1"/>
  <c r="CI91" i="90"/>
  <c r="DI91" i="90" s="1"/>
  <c r="CI95" i="90"/>
  <c r="DI95" i="90" s="1"/>
  <c r="CI101" i="90"/>
  <c r="DI101" i="90" s="1"/>
  <c r="CI103" i="90"/>
  <c r="DI103" i="90" s="1"/>
  <c r="FK103" i="90" s="1"/>
  <c r="CT103" i="90" s="1"/>
  <c r="AE103" i="56" s="1"/>
  <c r="CI104" i="90"/>
  <c r="DI104" i="90" s="1"/>
  <c r="CI105" i="90"/>
  <c r="DI105" i="90" s="1"/>
  <c r="CI112" i="90"/>
  <c r="DI112" i="90" s="1"/>
  <c r="CI114" i="90"/>
  <c r="DI114" i="90" s="1"/>
  <c r="FK114" i="90" s="1"/>
  <c r="CT114" i="90" s="1"/>
  <c r="AE114" i="56" s="1"/>
  <c r="CI115" i="90"/>
  <c r="DI115" i="90" s="1"/>
  <c r="CI117" i="90"/>
  <c r="DI117" i="90" s="1"/>
  <c r="CI118" i="90"/>
  <c r="DI118" i="90" s="1"/>
  <c r="CI119" i="90"/>
  <c r="DI119" i="90" s="1"/>
  <c r="FK119" i="90" s="1"/>
  <c r="CT119" i="90" s="1"/>
  <c r="AE119" i="56" s="1"/>
  <c r="CI123" i="90"/>
  <c r="DI123" i="90" s="1"/>
  <c r="CI127" i="90"/>
  <c r="DI127" i="90" s="1"/>
  <c r="CI128" i="90"/>
  <c r="DI128" i="90" s="1"/>
  <c r="FK128" i="90" s="1"/>
  <c r="CT128" i="90" s="1"/>
  <c r="AE128" i="56" s="1"/>
  <c r="CI140" i="90"/>
  <c r="DI140" i="90" s="1"/>
  <c r="CI143" i="90"/>
  <c r="DI143" i="90" s="1"/>
  <c r="CI144" i="90"/>
  <c r="DI144" i="90" s="1"/>
  <c r="CI146" i="90"/>
  <c r="DI146" i="90" s="1"/>
  <c r="FK146" i="90" s="1"/>
  <c r="CT146" i="90" s="1"/>
  <c r="AE146" i="56" s="1"/>
  <c r="CI147" i="90"/>
  <c r="DI147" i="90" s="1"/>
  <c r="CI148" i="90"/>
  <c r="DI148" i="90" s="1"/>
  <c r="FK148" i="90" s="1"/>
  <c r="CT148" i="90" s="1"/>
  <c r="AE148" i="56" s="1"/>
  <c r="CI152" i="90"/>
  <c r="DI152" i="90" s="1"/>
  <c r="CI153" i="90"/>
  <c r="DI153" i="90" s="1"/>
  <c r="FK153" i="90" s="1"/>
  <c r="CT153" i="90" s="1"/>
  <c r="AE153" i="56" s="1"/>
  <c r="CI154" i="90"/>
  <c r="DI154" i="90" s="1"/>
  <c r="FK154" i="90" s="1"/>
  <c r="CT154" i="90" s="1"/>
  <c r="AE154" i="56" s="1"/>
  <c r="CI155" i="90"/>
  <c r="DI155" i="90" s="1"/>
  <c r="CI210" i="90"/>
  <c r="DI210" i="90" s="1"/>
  <c r="FK210" i="90" s="1"/>
  <c r="CT210" i="90" s="1"/>
  <c r="AE210" i="56" s="1"/>
  <c r="CI221" i="90"/>
  <c r="DI221" i="90" s="1"/>
  <c r="CI227" i="90"/>
  <c r="DI227" i="90" s="1"/>
  <c r="CI229" i="90"/>
  <c r="DI229" i="90" s="1"/>
  <c r="FK229" i="90" s="1"/>
  <c r="CT229" i="90" s="1"/>
  <c r="AE229" i="56" s="1"/>
  <c r="CI236" i="90"/>
  <c r="DI236" i="90" s="1"/>
  <c r="CI293" i="90"/>
  <c r="DI293" i="90" s="1"/>
  <c r="CI231" i="90"/>
  <c r="DI231" i="90" s="1"/>
  <c r="CI97" i="90"/>
  <c r="DI97" i="90" s="1"/>
  <c r="CI98" i="90"/>
  <c r="DI98" i="90" s="1"/>
  <c r="FK98" i="90" s="1"/>
  <c r="CT98" i="90" s="1"/>
  <c r="AE98" i="56" s="1"/>
  <c r="CI106" i="90"/>
  <c r="DI106" i="90" s="1"/>
  <c r="CI108" i="90"/>
  <c r="DI108" i="90" s="1"/>
  <c r="CI110" i="90"/>
  <c r="DI110" i="90" s="1"/>
  <c r="CI113" i="90"/>
  <c r="DI113" i="90" s="1"/>
  <c r="FK113" i="90" s="1"/>
  <c r="CT113" i="90" s="1"/>
  <c r="AE113" i="56" s="1"/>
  <c r="CI116" i="90"/>
  <c r="DI116" i="90" s="1"/>
  <c r="FK116" i="90" s="1"/>
  <c r="CT116" i="90" s="1"/>
  <c r="AE116" i="56" s="1"/>
  <c r="CI122" i="90"/>
  <c r="DI122" i="90" s="1"/>
  <c r="CI125" i="90"/>
  <c r="DI125" i="90" s="1"/>
  <c r="FK125" i="90" s="1"/>
  <c r="CT125" i="90" s="1"/>
  <c r="AE125" i="56" s="1"/>
  <c r="CI306" i="90"/>
  <c r="DI306" i="90" s="1"/>
  <c r="FK306" i="90" s="1"/>
  <c r="CT306" i="90" s="1"/>
  <c r="AE306" i="56" s="1"/>
  <c r="CI215" i="90"/>
  <c r="DI215" i="90" s="1"/>
  <c r="FK215" i="90" s="1"/>
  <c r="CT215" i="90" s="1"/>
  <c r="AE215" i="56" s="1"/>
  <c r="CI222" i="90"/>
  <c r="DI222" i="90" s="1"/>
  <c r="FK222" i="90" s="1"/>
  <c r="CT222" i="90" s="1"/>
  <c r="AE222" i="56" s="1"/>
  <c r="CI228" i="90"/>
  <c r="DI228" i="90" s="1"/>
  <c r="CI89" i="90"/>
  <c r="DI89" i="90" s="1"/>
  <c r="CI93" i="90"/>
  <c r="DI93" i="90" s="1"/>
  <c r="CI102" i="90"/>
  <c r="DI102" i="90" s="1"/>
  <c r="CI209" i="90"/>
  <c r="DI209" i="90" s="1"/>
  <c r="CI92" i="90"/>
  <c r="DI92" i="90" s="1"/>
  <c r="CI109" i="90"/>
  <c r="DI109" i="90" s="1"/>
  <c r="FK109" i="90" s="1"/>
  <c r="CT109" i="90" s="1"/>
  <c r="AE109" i="56" s="1"/>
  <c r="CI121" i="90"/>
  <c r="DI121" i="90" s="1"/>
  <c r="CI124" i="90"/>
  <c r="DI124" i="90" s="1"/>
  <c r="CI126" i="90"/>
  <c r="DI126" i="90" s="1"/>
  <c r="CI107" i="90"/>
  <c r="DI107" i="90" s="1"/>
  <c r="CI132" i="90"/>
  <c r="DI132" i="90" s="1"/>
  <c r="FK132" i="90" s="1"/>
  <c r="CT132" i="90" s="1"/>
  <c r="AE132" i="56" s="1"/>
  <c r="CI136" i="90"/>
  <c r="DI136" i="90" s="1"/>
  <c r="CI138" i="90"/>
  <c r="DI138" i="90" s="1"/>
  <c r="CI141" i="90"/>
  <c r="DI141" i="90" s="1"/>
  <c r="CI171" i="90"/>
  <c r="DI171" i="90" s="1"/>
  <c r="CI172" i="90"/>
  <c r="DI172" i="90" s="1"/>
  <c r="FK172" i="90" s="1"/>
  <c r="CT172" i="90" s="1"/>
  <c r="AE172" i="56" s="1"/>
  <c r="CI173" i="90"/>
  <c r="DI173" i="90" s="1"/>
  <c r="CI174" i="90"/>
  <c r="DI174" i="90" s="1"/>
  <c r="CI175" i="90"/>
  <c r="DI175" i="90" s="1"/>
  <c r="CI130" i="90"/>
  <c r="DI130" i="90" s="1"/>
  <c r="FK130" i="90" s="1"/>
  <c r="CT130" i="90" s="1"/>
  <c r="AE130" i="56" s="1"/>
  <c r="CI133" i="90"/>
  <c r="DI133" i="90" s="1"/>
  <c r="CI137" i="90"/>
  <c r="DI137" i="90" s="1"/>
  <c r="CI139" i="90"/>
  <c r="DI139" i="90" s="1"/>
  <c r="CI142" i="90"/>
  <c r="DI142" i="90" s="1"/>
  <c r="CI145" i="90"/>
  <c r="DI145" i="90" s="1"/>
  <c r="CI150" i="90"/>
  <c r="DI150" i="90" s="1"/>
  <c r="CI156" i="90"/>
  <c r="DI156" i="90" s="1"/>
  <c r="CI158" i="90"/>
  <c r="DI158" i="90" s="1"/>
  <c r="CI164" i="90"/>
  <c r="DI164" i="90" s="1"/>
  <c r="CI176" i="90"/>
  <c r="DI176" i="90" s="1"/>
  <c r="CI179" i="90"/>
  <c r="DI179" i="90" s="1"/>
  <c r="CI96" i="90"/>
  <c r="DI96" i="90" s="1"/>
  <c r="CI129" i="90"/>
  <c r="DI129" i="90" s="1"/>
  <c r="CI131" i="90"/>
  <c r="DI131" i="90" s="1"/>
  <c r="CI134" i="90"/>
  <c r="DI134" i="90" s="1"/>
  <c r="FK134" i="90" s="1"/>
  <c r="CT134" i="90" s="1"/>
  <c r="AE134" i="56" s="1"/>
  <c r="CI149" i="90"/>
  <c r="DI149" i="90" s="1"/>
  <c r="FK149" i="90" s="1"/>
  <c r="CT149" i="90" s="1"/>
  <c r="AE149" i="56" s="1"/>
  <c r="CI165" i="90"/>
  <c r="DI165" i="90" s="1"/>
  <c r="CI166" i="90"/>
  <c r="DI166" i="90" s="1"/>
  <c r="FK166" i="90" s="1"/>
  <c r="CT166" i="90" s="1"/>
  <c r="AE166" i="56" s="1"/>
  <c r="CI167" i="90"/>
  <c r="DI167" i="90" s="1"/>
  <c r="CI168" i="90"/>
  <c r="DI168" i="90" s="1"/>
  <c r="CI213" i="90"/>
  <c r="DI213" i="90" s="1"/>
  <c r="CI99" i="90"/>
  <c r="DI99" i="90" s="1"/>
  <c r="FK99" i="90" s="1"/>
  <c r="CT99" i="90" s="1"/>
  <c r="AE99" i="56" s="1"/>
  <c r="CI135" i="90"/>
  <c r="DI135" i="90" s="1"/>
  <c r="FK135" i="90" s="1"/>
  <c r="CT135" i="90" s="1"/>
  <c r="AE135" i="56" s="1"/>
  <c r="CI202" i="90"/>
  <c r="DI202" i="90" s="1"/>
  <c r="CI203" i="90"/>
  <c r="DI203" i="90" s="1"/>
  <c r="FK203" i="90" s="1"/>
  <c r="CT203" i="90" s="1"/>
  <c r="AE203" i="56" s="1"/>
  <c r="CI159" i="90"/>
  <c r="DI159" i="90" s="1"/>
  <c r="FK159" i="90" s="1"/>
  <c r="CT159" i="90" s="1"/>
  <c r="AE159" i="56" s="1"/>
  <c r="CI160" i="90"/>
  <c r="DI160" i="90" s="1"/>
  <c r="CI161" i="90"/>
  <c r="DI161" i="90" s="1"/>
  <c r="FK161" i="90" s="1"/>
  <c r="CT161" i="90" s="1"/>
  <c r="AE161" i="56" s="1"/>
  <c r="CI162" i="90"/>
  <c r="DI162" i="90" s="1"/>
  <c r="CI163" i="90"/>
  <c r="DI163" i="90" s="1"/>
  <c r="CI169" i="90"/>
  <c r="DI169" i="90" s="1"/>
  <c r="CI170" i="90"/>
  <c r="DI170" i="90" s="1"/>
  <c r="FK170" i="90" s="1"/>
  <c r="CT170" i="90" s="1"/>
  <c r="AE170" i="56" s="1"/>
  <c r="CI180" i="90"/>
  <c r="DI180" i="90" s="1"/>
  <c r="CI183" i="90"/>
  <c r="DI183" i="90" s="1"/>
  <c r="FK183" i="90" s="1"/>
  <c r="CT183" i="90" s="1"/>
  <c r="AE183" i="56" s="1"/>
  <c r="CI187" i="90"/>
  <c r="DI187" i="90" s="1"/>
  <c r="FK187" i="90" s="1"/>
  <c r="CT187" i="90" s="1"/>
  <c r="AE187" i="56" s="1"/>
  <c r="CI188" i="90"/>
  <c r="DI188" i="90" s="1"/>
  <c r="CI189" i="90"/>
  <c r="DI189" i="90" s="1"/>
  <c r="CI190" i="90"/>
  <c r="DI190" i="90" s="1"/>
  <c r="FK190" i="90" s="1"/>
  <c r="CT190" i="90" s="1"/>
  <c r="AE190" i="56" s="1"/>
  <c r="CI191" i="90"/>
  <c r="DI191" i="90" s="1"/>
  <c r="FK191" i="90" s="1"/>
  <c r="CT191" i="90" s="1"/>
  <c r="AE191" i="56" s="1"/>
  <c r="CI196" i="90"/>
  <c r="DI196" i="90" s="1"/>
  <c r="CI197" i="90"/>
  <c r="DI197" i="90" s="1"/>
  <c r="CI73" i="90"/>
  <c r="DI73" i="90" s="1"/>
  <c r="CI77" i="90"/>
  <c r="DI77" i="90" s="1"/>
  <c r="FK77" i="90" s="1"/>
  <c r="CT77" i="90" s="1"/>
  <c r="AE77" i="56" s="1"/>
  <c r="CI78" i="90"/>
  <c r="DI78" i="90" s="1"/>
  <c r="CI151" i="90"/>
  <c r="DI151" i="90" s="1"/>
  <c r="CI177" i="90"/>
  <c r="DI177" i="90" s="1"/>
  <c r="CI178" i="90"/>
  <c r="DI178" i="90" s="1"/>
  <c r="CI184" i="90"/>
  <c r="DI184" i="90" s="1"/>
  <c r="CI185" i="90"/>
  <c r="DI185" i="90" s="1"/>
  <c r="FK185" i="90" s="1"/>
  <c r="CT185" i="90" s="1"/>
  <c r="AE185" i="56" s="1"/>
  <c r="CI186" i="90"/>
  <c r="DI186" i="90" s="1"/>
  <c r="CI192" i="90"/>
  <c r="DI192" i="90" s="1"/>
  <c r="CI193" i="90"/>
  <c r="DI193" i="90" s="1"/>
  <c r="CI198" i="90"/>
  <c r="DI198" i="90" s="1"/>
  <c r="CI199" i="90"/>
  <c r="DI199" i="90" s="1"/>
  <c r="CI75" i="90"/>
  <c r="DI75" i="90" s="1"/>
  <c r="CI76" i="90"/>
  <c r="DI76" i="90" s="1"/>
  <c r="FK76" i="90" s="1"/>
  <c r="CT76" i="90" s="1"/>
  <c r="AE76" i="56" s="1"/>
  <c r="CI82" i="90"/>
  <c r="DI82" i="90" s="1"/>
  <c r="FK82" i="90" s="1"/>
  <c r="CT82" i="90" s="1"/>
  <c r="AE82" i="56" s="1"/>
  <c r="CI83" i="90"/>
  <c r="DI83" i="90" s="1"/>
  <c r="CI84" i="90"/>
  <c r="DI84" i="90" s="1"/>
  <c r="FK84" i="90" s="1"/>
  <c r="CT84" i="90" s="1"/>
  <c r="AE84" i="56" s="1"/>
  <c r="CI85" i="90"/>
  <c r="DI85" i="90" s="1"/>
  <c r="FK85" i="90" s="1"/>
  <c r="CT85" i="90" s="1"/>
  <c r="AE85" i="56" s="1"/>
  <c r="CI86" i="90"/>
  <c r="DI86" i="90" s="1"/>
  <c r="FK86" i="90" s="1"/>
  <c r="CT86" i="90" s="1"/>
  <c r="AE86" i="56" s="1"/>
  <c r="CI64" i="90"/>
  <c r="DI64" i="90" s="1"/>
  <c r="CI157" i="90"/>
  <c r="DI157" i="90" s="1"/>
  <c r="CI181" i="90"/>
  <c r="DI181" i="90" s="1"/>
  <c r="FK181" i="90" s="1"/>
  <c r="CT181" i="90" s="1"/>
  <c r="AE181" i="56" s="1"/>
  <c r="CI182" i="90"/>
  <c r="DI182" i="90" s="1"/>
  <c r="CI194" i="90"/>
  <c r="DI194" i="90" s="1"/>
  <c r="CI195" i="90"/>
  <c r="DI195" i="90" s="1"/>
  <c r="FK195" i="90" s="1"/>
  <c r="CT195" i="90" s="1"/>
  <c r="AE195" i="56" s="1"/>
  <c r="CI200" i="90"/>
  <c r="DI200" i="90" s="1"/>
  <c r="FK200" i="90" s="1"/>
  <c r="CT200" i="90" s="1"/>
  <c r="AE200" i="56" s="1"/>
  <c r="CI201" i="90"/>
  <c r="DI201" i="90" s="1"/>
  <c r="FK201" i="90" s="1"/>
  <c r="CT201" i="90" s="1"/>
  <c r="AE201" i="56" s="1"/>
  <c r="CI74" i="90"/>
  <c r="DI74" i="90" s="1"/>
  <c r="CI87" i="90"/>
  <c r="DI87" i="90" s="1"/>
  <c r="FK87" i="90" s="1"/>
  <c r="CT87" i="90" s="1"/>
  <c r="AE87" i="56" s="1"/>
  <c r="CI65" i="90"/>
  <c r="DI65" i="90" s="1"/>
  <c r="CI69" i="90"/>
  <c r="DI69" i="90" s="1"/>
  <c r="CI70" i="90"/>
  <c r="DI70" i="90" s="1"/>
  <c r="FK70" i="90" s="1"/>
  <c r="CT70" i="90" s="1"/>
  <c r="AE70" i="56" s="1"/>
  <c r="CI71" i="90"/>
  <c r="DI71" i="90" s="1"/>
  <c r="CI72" i="90"/>
  <c r="DI72" i="90" s="1"/>
  <c r="FK72" i="90" s="1"/>
  <c r="CT72" i="90" s="1"/>
  <c r="AE72" i="56" s="1"/>
  <c r="CI88" i="90"/>
  <c r="DI88" i="90" s="1"/>
  <c r="CI66" i="90"/>
  <c r="DI66" i="90" s="1"/>
  <c r="FK66" i="90" s="1"/>
  <c r="CT66" i="90" s="1"/>
  <c r="AE66" i="56" s="1"/>
  <c r="CI79" i="90"/>
  <c r="DI79" i="90" s="1"/>
  <c r="CI80" i="90"/>
  <c r="DI80" i="90" s="1"/>
  <c r="CI81" i="90"/>
  <c r="DI81" i="90" s="1"/>
  <c r="CI67" i="90"/>
  <c r="DI67" i="90" s="1"/>
  <c r="CI68" i="90"/>
  <c r="DI68" i="90" s="1"/>
  <c r="CI57" i="90"/>
  <c r="DI57" i="90" s="1"/>
  <c r="CI60" i="90"/>
  <c r="DI60" i="90" s="1"/>
  <c r="CI56" i="90"/>
  <c r="DI56" i="90" s="1"/>
  <c r="FK56" i="90" s="1"/>
  <c r="CT56" i="90" s="1"/>
  <c r="AE56" i="56" s="1"/>
  <c r="CI58" i="90"/>
  <c r="DI58" i="90" s="1"/>
  <c r="FK58" i="90" s="1"/>
  <c r="CT58" i="90" s="1"/>
  <c r="AE58" i="56" s="1"/>
  <c r="CI59" i="90"/>
  <c r="DI59" i="90" s="1"/>
  <c r="FK59" i="90" s="1"/>
  <c r="CT59" i="90" s="1"/>
  <c r="AE59" i="56" s="1"/>
  <c r="CI55" i="90"/>
  <c r="DI55" i="90" s="1"/>
  <c r="FK174" i="90"/>
  <c r="CT174" i="90" s="1"/>
  <c r="AE174" i="56" s="1"/>
  <c r="FK267" i="90"/>
  <c r="CT267" i="90" s="1"/>
  <c r="AE267" i="56" s="1"/>
  <c r="FK265" i="90"/>
  <c r="CT265" i="90" s="1"/>
  <c r="AE265" i="56" s="1"/>
  <c r="FK352" i="90"/>
  <c r="CT352" i="90" s="1"/>
  <c r="AE352" i="56" s="1"/>
  <c r="FK152" i="90"/>
  <c r="CT152" i="90" s="1"/>
  <c r="AE152" i="56" s="1"/>
  <c r="FJ125" i="90"/>
  <c r="CS125" i="90" s="1"/>
  <c r="AD125" i="56" s="1"/>
  <c r="FJ171" i="90"/>
  <c r="CS171" i="90" s="1"/>
  <c r="AD171" i="56" s="1"/>
  <c r="FJ109" i="90"/>
  <c r="CS109" i="90" s="1"/>
  <c r="AD109" i="56" s="1"/>
  <c r="FJ132" i="90"/>
  <c r="CS132" i="90" s="1"/>
  <c r="AD132" i="56" s="1"/>
  <c r="FJ229" i="90"/>
  <c r="CS229" i="90" s="1"/>
  <c r="AD229" i="56" s="1"/>
  <c r="FJ199" i="90"/>
  <c r="CS199" i="90" s="1"/>
  <c r="AD199" i="56" s="1"/>
  <c r="FJ72" i="90"/>
  <c r="CS72" i="90" s="1"/>
  <c r="AD72" i="56" s="1"/>
  <c r="FJ345" i="90"/>
  <c r="CS345" i="90" s="1"/>
  <c r="AD345" i="56" s="1"/>
  <c r="FJ230" i="90"/>
  <c r="CS230" i="90" s="1"/>
  <c r="AD230" i="56" s="1"/>
  <c r="FJ232" i="90"/>
  <c r="CS232" i="90" s="1"/>
  <c r="AD232" i="56" s="1"/>
  <c r="FJ170" i="90"/>
  <c r="CS170" i="90" s="1"/>
  <c r="AD170" i="56" s="1"/>
  <c r="FK173" i="90"/>
  <c r="CT173" i="90" s="1"/>
  <c r="AE173" i="56" s="1"/>
  <c r="FJ191" i="90"/>
  <c r="CS191" i="90" s="1"/>
  <c r="AD191" i="56" s="1"/>
  <c r="FJ59" i="90"/>
  <c r="CS59" i="90" s="1"/>
  <c r="AD59" i="56" s="1"/>
  <c r="FK358" i="90"/>
  <c r="CT358" i="90" s="1"/>
  <c r="AE358" i="56" s="1"/>
  <c r="FJ274" i="90"/>
  <c r="CS274" i="90" s="1"/>
  <c r="AD274" i="56" s="1"/>
  <c r="FJ99" i="90"/>
  <c r="CS99" i="90" s="1"/>
  <c r="AD99" i="56" s="1"/>
  <c r="FJ102" i="90"/>
  <c r="CS102" i="90" s="1"/>
  <c r="AD102" i="56" s="1"/>
  <c r="FJ140" i="90"/>
  <c r="CS140" i="90" s="1"/>
  <c r="AD140" i="56" s="1"/>
  <c r="FJ85" i="90"/>
  <c r="CS85" i="90" s="1"/>
  <c r="AD85" i="56" s="1"/>
  <c r="FK199" i="90"/>
  <c r="CT199" i="90" s="1"/>
  <c r="AE199" i="56" s="1"/>
  <c r="FJ208" i="90"/>
  <c r="CS208" i="90" s="1"/>
  <c r="AD208" i="56" s="1"/>
  <c r="FK232" i="90"/>
  <c r="CT232" i="90" s="1"/>
  <c r="AE232" i="56" s="1"/>
  <c r="FK151" i="90"/>
  <c r="CT151" i="90" s="1"/>
  <c r="AE151" i="56" s="1"/>
  <c r="FJ130" i="90"/>
  <c r="CS130" i="90" s="1"/>
  <c r="AD130" i="56" s="1"/>
  <c r="FJ120" i="90"/>
  <c r="CS120" i="90" s="1"/>
  <c r="AD120" i="56" s="1"/>
  <c r="FJ359" i="90"/>
  <c r="CS359" i="90" s="1"/>
  <c r="AD359" i="56" s="1"/>
  <c r="FJ206" i="90"/>
  <c r="CS206" i="90" s="1"/>
  <c r="AD206" i="56" s="1"/>
  <c r="FJ225" i="90"/>
  <c r="CS225" i="90" s="1"/>
  <c r="AD225" i="56" s="1"/>
  <c r="FJ161" i="90"/>
  <c r="CS161" i="90" s="1"/>
  <c r="AD161" i="56" s="1"/>
  <c r="FJ147" i="90"/>
  <c r="CS147" i="90" s="1"/>
  <c r="AD147" i="56" s="1"/>
  <c r="FJ344" i="90"/>
  <c r="CS344" i="90" s="1"/>
  <c r="AD344" i="56" s="1"/>
  <c r="FJ352" i="90"/>
  <c r="CS352" i="90" s="1"/>
  <c r="AD352" i="56" s="1"/>
  <c r="FJ252" i="90"/>
  <c r="CS252" i="90" s="1"/>
  <c r="AD252" i="56" s="1"/>
  <c r="FJ256" i="90"/>
  <c r="CS256" i="90" s="1"/>
  <c r="AD256" i="56" s="1"/>
  <c r="FJ116" i="90"/>
  <c r="CS116" i="90" s="1"/>
  <c r="AD116" i="56" s="1"/>
  <c r="FJ174" i="90"/>
  <c r="CS174" i="90" s="1"/>
  <c r="AD174" i="56" s="1"/>
  <c r="FJ195" i="90"/>
  <c r="CS195" i="90" s="1"/>
  <c r="AD195" i="56" s="1"/>
  <c r="FK198" i="90"/>
  <c r="CT198" i="90" s="1"/>
  <c r="AE198" i="56" s="1"/>
  <c r="FK127" i="90"/>
  <c r="CT127" i="90" s="1"/>
  <c r="AE127" i="56" s="1"/>
  <c r="FK207" i="90"/>
  <c r="CT207" i="90" s="1"/>
  <c r="AE207" i="56" s="1"/>
  <c r="FJ172" i="90"/>
  <c r="CS172" i="90" s="1"/>
  <c r="AD172" i="56" s="1"/>
  <c r="FJ119" i="90"/>
  <c r="CS119" i="90" s="1"/>
  <c r="AD119" i="56" s="1"/>
  <c r="FJ357" i="90"/>
  <c r="CS357" i="90" s="1"/>
  <c r="AD357" i="56" s="1"/>
  <c r="FJ210" i="90"/>
  <c r="CS210" i="90" s="1"/>
  <c r="AD210" i="56" s="1"/>
  <c r="FJ265" i="90"/>
  <c r="CS265" i="90" s="1"/>
  <c r="AD265" i="56" s="1"/>
  <c r="FJ205" i="90"/>
  <c r="CS205" i="90" s="1"/>
  <c r="AD205" i="56" s="1"/>
  <c r="FJ358" i="90"/>
  <c r="CS358" i="90" s="1"/>
  <c r="AD358" i="56" s="1"/>
  <c r="FJ143" i="90"/>
  <c r="CS143" i="90" s="1"/>
  <c r="AD143" i="56" s="1"/>
  <c r="FK236" i="90"/>
  <c r="CT236" i="90" s="1"/>
  <c r="AE236" i="56" s="1"/>
  <c r="FK180" i="90"/>
  <c r="CT180" i="90" s="1"/>
  <c r="AE180" i="56" s="1"/>
  <c r="DH45" i="90"/>
  <c r="CH45" i="90"/>
  <c r="CI393" i="90"/>
  <c r="DI393" i="90" s="1"/>
  <c r="FK393" i="90" s="1"/>
  <c r="CT393" i="90" s="1"/>
  <c r="AE393" i="56" s="1"/>
  <c r="CI389" i="90"/>
  <c r="DI389" i="90" s="1"/>
  <c r="FK389" i="90" s="1"/>
  <c r="CT389" i="90" s="1"/>
  <c r="AE389" i="56" s="1"/>
  <c r="CI385" i="90"/>
  <c r="DI385" i="90" s="1"/>
  <c r="FK385" i="90" s="1"/>
  <c r="CT385" i="90" s="1"/>
  <c r="AE385" i="56" s="1"/>
  <c r="CI381" i="90"/>
  <c r="DI381" i="90" s="1"/>
  <c r="FK381" i="90" s="1"/>
  <c r="CT381" i="90" s="1"/>
  <c r="AE381" i="56" s="1"/>
  <c r="CI377" i="90"/>
  <c r="DI377" i="90" s="1"/>
  <c r="FK377" i="90" s="1"/>
  <c r="CT377" i="90" s="1"/>
  <c r="AE377" i="56" s="1"/>
  <c r="CI373" i="90"/>
  <c r="DI373" i="90" s="1"/>
  <c r="FK373" i="90" s="1"/>
  <c r="CT373" i="90" s="1"/>
  <c r="AE373" i="56" s="1"/>
  <c r="CI369" i="90"/>
  <c r="DI369" i="90" s="1"/>
  <c r="FK369" i="90" s="1"/>
  <c r="CT369" i="90" s="1"/>
  <c r="AE369" i="56" s="1"/>
  <c r="CI365" i="90"/>
  <c r="DI365" i="90" s="1"/>
  <c r="FK365" i="90" s="1"/>
  <c r="CT365" i="90" s="1"/>
  <c r="AE365" i="56" s="1"/>
  <c r="CI336" i="90"/>
  <c r="DI336" i="90" s="1"/>
  <c r="FK336" i="90" s="1"/>
  <c r="CT336" i="90" s="1"/>
  <c r="AE336" i="56" s="1"/>
  <c r="CI332" i="90"/>
  <c r="DI332" i="90" s="1"/>
  <c r="FK332" i="90" s="1"/>
  <c r="CT332" i="90" s="1"/>
  <c r="AE332" i="56" s="1"/>
  <c r="CI328" i="90"/>
  <c r="DI328" i="90" s="1"/>
  <c r="FK328" i="90" s="1"/>
  <c r="CT328" i="90" s="1"/>
  <c r="AE328" i="56" s="1"/>
  <c r="CI324" i="90"/>
  <c r="DI324" i="90" s="1"/>
  <c r="FK324" i="90" s="1"/>
  <c r="CT324" i="90" s="1"/>
  <c r="AE324" i="56" s="1"/>
  <c r="CI320" i="90"/>
  <c r="DI320" i="90" s="1"/>
  <c r="FK320" i="90" s="1"/>
  <c r="CT320" i="90" s="1"/>
  <c r="AE320" i="56" s="1"/>
  <c r="CI316" i="90"/>
  <c r="DI316" i="90" s="1"/>
  <c r="FK316" i="90" s="1"/>
  <c r="CT316" i="90" s="1"/>
  <c r="AE316" i="56" s="1"/>
  <c r="CI312" i="90"/>
  <c r="DI312" i="90" s="1"/>
  <c r="FK312" i="90" s="1"/>
  <c r="CT312" i="90" s="1"/>
  <c r="AE312" i="56" s="1"/>
  <c r="CI396" i="90"/>
  <c r="DI396" i="90" s="1"/>
  <c r="FK396" i="90" s="1"/>
  <c r="CT396" i="90" s="1"/>
  <c r="AE396" i="56" s="1"/>
  <c r="CI392" i="90"/>
  <c r="DI392" i="90" s="1"/>
  <c r="FK392" i="90" s="1"/>
  <c r="CT392" i="90" s="1"/>
  <c r="AE392" i="56" s="1"/>
  <c r="CI388" i="90"/>
  <c r="DI388" i="90" s="1"/>
  <c r="FK388" i="90" s="1"/>
  <c r="CT388" i="90" s="1"/>
  <c r="AE388" i="56" s="1"/>
  <c r="CI384" i="90"/>
  <c r="DI384" i="90" s="1"/>
  <c r="FK384" i="90" s="1"/>
  <c r="CT384" i="90" s="1"/>
  <c r="AE384" i="56" s="1"/>
  <c r="CI380" i="90"/>
  <c r="DI380" i="90" s="1"/>
  <c r="FK380" i="90" s="1"/>
  <c r="CT380" i="90" s="1"/>
  <c r="AE380" i="56" s="1"/>
  <c r="CI376" i="90"/>
  <c r="DI376" i="90" s="1"/>
  <c r="FK376" i="90" s="1"/>
  <c r="CT376" i="90" s="1"/>
  <c r="AE376" i="56" s="1"/>
  <c r="CI372" i="90"/>
  <c r="DI372" i="90" s="1"/>
  <c r="FK372" i="90" s="1"/>
  <c r="CT372" i="90" s="1"/>
  <c r="AE372" i="56" s="1"/>
  <c r="CI368" i="90"/>
  <c r="DI368" i="90" s="1"/>
  <c r="FK368" i="90" s="1"/>
  <c r="CT368" i="90" s="1"/>
  <c r="AE368" i="56" s="1"/>
  <c r="CI339" i="90"/>
  <c r="DI339" i="90" s="1"/>
  <c r="FK339" i="90" s="1"/>
  <c r="CT339" i="90" s="1"/>
  <c r="AE339" i="56" s="1"/>
  <c r="CI335" i="90"/>
  <c r="DI335" i="90" s="1"/>
  <c r="FK335" i="90" s="1"/>
  <c r="CT335" i="90" s="1"/>
  <c r="AE335" i="56" s="1"/>
  <c r="CI331" i="90"/>
  <c r="DI331" i="90" s="1"/>
  <c r="FK331" i="90" s="1"/>
  <c r="CT331" i="90" s="1"/>
  <c r="AE331" i="56" s="1"/>
  <c r="CI327" i="90"/>
  <c r="DI327" i="90" s="1"/>
  <c r="FK327" i="90" s="1"/>
  <c r="CT327" i="90" s="1"/>
  <c r="AE327" i="56" s="1"/>
  <c r="CI323" i="90"/>
  <c r="DI323" i="90" s="1"/>
  <c r="FK323" i="90" s="1"/>
  <c r="CT323" i="90" s="1"/>
  <c r="AE323" i="56" s="1"/>
  <c r="CI319" i="90"/>
  <c r="DI319" i="90" s="1"/>
  <c r="FK319" i="90" s="1"/>
  <c r="CT319" i="90" s="1"/>
  <c r="AE319" i="56" s="1"/>
  <c r="CI315" i="90"/>
  <c r="DI315" i="90" s="1"/>
  <c r="FK315" i="90" s="1"/>
  <c r="CT315" i="90" s="1"/>
  <c r="AE315" i="56" s="1"/>
  <c r="CI383" i="90"/>
  <c r="DI383" i="90" s="1"/>
  <c r="FK383" i="90" s="1"/>
  <c r="CT383" i="90" s="1"/>
  <c r="AE383" i="56" s="1"/>
  <c r="CI366" i="90"/>
  <c r="DI366" i="90" s="1"/>
  <c r="FK366" i="90" s="1"/>
  <c r="CT366" i="90" s="1"/>
  <c r="AE366" i="56" s="1"/>
  <c r="CI326" i="90"/>
  <c r="DI326" i="90" s="1"/>
  <c r="FK326" i="90" s="1"/>
  <c r="CT326" i="90" s="1"/>
  <c r="AE326" i="56" s="1"/>
  <c r="CI311" i="90"/>
  <c r="DI311" i="90" s="1"/>
  <c r="FK311" i="90" s="1"/>
  <c r="CT311" i="90" s="1"/>
  <c r="AE311" i="56" s="1"/>
  <c r="CI387" i="90"/>
  <c r="DI387" i="90" s="1"/>
  <c r="FK387" i="90" s="1"/>
  <c r="CT387" i="90" s="1"/>
  <c r="AE387" i="56" s="1"/>
  <c r="CI370" i="90"/>
  <c r="DI370" i="90" s="1"/>
  <c r="FK370" i="90" s="1"/>
  <c r="CT370" i="90" s="1"/>
  <c r="AE370" i="56" s="1"/>
  <c r="CI330" i="90"/>
  <c r="DI330" i="90" s="1"/>
  <c r="FK330" i="90" s="1"/>
  <c r="CT330" i="90" s="1"/>
  <c r="AE330" i="56" s="1"/>
  <c r="CI313" i="90"/>
  <c r="DI313" i="90" s="1"/>
  <c r="FK313" i="90" s="1"/>
  <c r="CT313" i="90" s="1"/>
  <c r="AE313" i="56" s="1"/>
  <c r="CI247" i="90"/>
  <c r="DI247" i="90" s="1"/>
  <c r="FK247" i="90" s="1"/>
  <c r="CT247" i="90" s="1"/>
  <c r="AE247" i="56" s="1"/>
  <c r="CI243" i="90"/>
  <c r="DI243" i="90" s="1"/>
  <c r="FK243" i="90" s="1"/>
  <c r="CT243" i="90" s="1"/>
  <c r="AE243" i="56" s="1"/>
  <c r="CI239" i="90"/>
  <c r="DI239" i="90" s="1"/>
  <c r="FK239" i="90" s="1"/>
  <c r="CT239" i="90" s="1"/>
  <c r="AE239" i="56" s="1"/>
  <c r="CI63" i="90"/>
  <c r="DI63" i="90" s="1"/>
  <c r="FK63" i="90" s="1"/>
  <c r="CT63" i="90" s="1"/>
  <c r="AE63" i="56" s="1"/>
  <c r="CI53" i="90"/>
  <c r="DI53" i="90" s="1"/>
  <c r="FK53" i="90" s="1"/>
  <c r="CT53" i="90" s="1"/>
  <c r="AE53" i="56" s="1"/>
  <c r="CI49" i="90"/>
  <c r="DI49" i="90" s="1"/>
  <c r="FK49" i="90" s="1"/>
  <c r="CT49" i="90" s="1"/>
  <c r="AE49" i="56" s="1"/>
  <c r="CI382" i="90"/>
  <c r="DI382" i="90" s="1"/>
  <c r="FK382" i="90" s="1"/>
  <c r="CT382" i="90" s="1"/>
  <c r="AE382" i="56" s="1"/>
  <c r="CI391" i="90"/>
  <c r="DI391" i="90" s="1"/>
  <c r="FK391" i="90" s="1"/>
  <c r="CT391" i="90" s="1"/>
  <c r="AE391" i="56" s="1"/>
  <c r="CI374" i="90"/>
  <c r="DI374" i="90" s="1"/>
  <c r="FK374" i="90" s="1"/>
  <c r="CT374" i="90" s="1"/>
  <c r="AE374" i="56" s="1"/>
  <c r="CI334" i="90"/>
  <c r="DI334" i="90" s="1"/>
  <c r="FK334" i="90" s="1"/>
  <c r="CT334" i="90" s="1"/>
  <c r="AE334" i="56" s="1"/>
  <c r="CI317" i="90"/>
  <c r="DI317" i="90" s="1"/>
  <c r="FK317" i="90" s="1"/>
  <c r="CT317" i="90" s="1"/>
  <c r="AE317" i="56" s="1"/>
  <c r="CI395" i="90"/>
  <c r="DI395" i="90" s="1"/>
  <c r="FK395" i="90" s="1"/>
  <c r="CT395" i="90" s="1"/>
  <c r="AE395" i="56" s="1"/>
  <c r="CI378" i="90"/>
  <c r="DI378" i="90" s="1"/>
  <c r="FK378" i="90" s="1"/>
  <c r="CT378" i="90" s="1"/>
  <c r="AE378" i="56" s="1"/>
  <c r="CI338" i="90"/>
  <c r="DI338" i="90" s="1"/>
  <c r="FK338" i="90" s="1"/>
  <c r="CT338" i="90" s="1"/>
  <c r="AE338" i="56" s="1"/>
  <c r="CI321" i="90"/>
  <c r="DI321" i="90" s="1"/>
  <c r="FK321" i="90" s="1"/>
  <c r="CT321" i="90" s="1"/>
  <c r="AE321" i="56" s="1"/>
  <c r="CI309" i="90"/>
  <c r="DI309" i="90" s="1"/>
  <c r="FK309" i="90" s="1"/>
  <c r="CT309" i="90" s="1"/>
  <c r="AE309" i="56" s="1"/>
  <c r="CI246" i="90"/>
  <c r="DI246" i="90" s="1"/>
  <c r="FK246" i="90" s="1"/>
  <c r="CT246" i="90" s="1"/>
  <c r="AE246" i="56" s="1"/>
  <c r="CI242" i="90"/>
  <c r="DI242" i="90" s="1"/>
  <c r="FK242" i="90" s="1"/>
  <c r="CT242" i="90" s="1"/>
  <c r="AE242" i="56" s="1"/>
  <c r="CI238" i="90"/>
  <c r="DI238" i="90" s="1"/>
  <c r="FK238" i="90" s="1"/>
  <c r="CT238" i="90" s="1"/>
  <c r="AE238" i="56" s="1"/>
  <c r="CI62" i="90"/>
  <c r="DI62" i="90" s="1"/>
  <c r="FK62" i="90" s="1"/>
  <c r="CT62" i="90" s="1"/>
  <c r="AE62" i="56" s="1"/>
  <c r="CI52" i="90"/>
  <c r="DI52" i="90" s="1"/>
  <c r="FK52" i="90" s="1"/>
  <c r="CT52" i="90" s="1"/>
  <c r="AE52" i="56" s="1"/>
  <c r="CI48" i="90"/>
  <c r="DI48" i="90" s="1"/>
  <c r="FK48" i="90" s="1"/>
  <c r="CT48" i="90" s="1"/>
  <c r="AE48" i="56" s="1"/>
  <c r="CI367" i="90"/>
  <c r="DI367" i="90" s="1"/>
  <c r="FK367" i="90" s="1"/>
  <c r="CT367" i="90" s="1"/>
  <c r="AE367" i="56" s="1"/>
  <c r="CI325" i="90"/>
  <c r="DI325" i="90" s="1"/>
  <c r="FK325" i="90" s="1"/>
  <c r="CT325" i="90" s="1"/>
  <c r="AE325" i="56" s="1"/>
  <c r="CI390" i="90"/>
  <c r="DI390" i="90" s="1"/>
  <c r="FK390" i="90" s="1"/>
  <c r="CT390" i="90" s="1"/>
  <c r="AE390" i="56" s="1"/>
  <c r="CI375" i="90"/>
  <c r="DI375" i="90" s="1"/>
  <c r="FK375" i="90" s="1"/>
  <c r="CT375" i="90" s="1"/>
  <c r="AE375" i="56" s="1"/>
  <c r="CI333" i="90"/>
  <c r="DI333" i="90" s="1"/>
  <c r="FK333" i="90" s="1"/>
  <c r="CT333" i="90" s="1"/>
  <c r="AE333" i="56" s="1"/>
  <c r="CI318" i="90"/>
  <c r="DI318" i="90" s="1"/>
  <c r="FK318" i="90" s="1"/>
  <c r="CT318" i="90" s="1"/>
  <c r="AE318" i="56" s="1"/>
  <c r="CI310" i="90"/>
  <c r="DI310" i="90" s="1"/>
  <c r="FK310" i="90" s="1"/>
  <c r="CT310" i="90" s="1"/>
  <c r="AE310" i="56" s="1"/>
  <c r="CI394" i="90"/>
  <c r="DI394" i="90" s="1"/>
  <c r="FK394" i="90" s="1"/>
  <c r="CT394" i="90" s="1"/>
  <c r="AE394" i="56" s="1"/>
  <c r="CI248" i="90"/>
  <c r="DI248" i="90" s="1"/>
  <c r="FK248" i="90" s="1"/>
  <c r="CT248" i="90" s="1"/>
  <c r="AE248" i="56" s="1"/>
  <c r="CI329" i="90"/>
  <c r="DI329" i="90" s="1"/>
  <c r="FK329" i="90" s="1"/>
  <c r="CT329" i="90" s="1"/>
  <c r="AE329" i="56" s="1"/>
  <c r="CI237" i="90"/>
  <c r="DI237" i="90" s="1"/>
  <c r="FK237" i="90" s="1"/>
  <c r="CT237" i="90" s="1"/>
  <c r="AE237" i="56" s="1"/>
  <c r="CI322" i="90"/>
  <c r="DI322" i="90" s="1"/>
  <c r="FK322" i="90" s="1"/>
  <c r="CT322" i="90" s="1"/>
  <c r="AE322" i="56" s="1"/>
  <c r="CI241" i="90"/>
  <c r="DI241" i="90" s="1"/>
  <c r="FK241" i="90" s="1"/>
  <c r="CT241" i="90" s="1"/>
  <c r="AE241" i="56" s="1"/>
  <c r="CI46" i="90"/>
  <c r="CI54" i="90"/>
  <c r="DI54" i="90" s="1"/>
  <c r="FK54" i="90" s="1"/>
  <c r="CT54" i="90" s="1"/>
  <c r="AE54" i="56" s="1"/>
  <c r="CI371" i="90"/>
  <c r="DI371" i="90" s="1"/>
  <c r="FK371" i="90" s="1"/>
  <c r="CT371" i="90" s="1"/>
  <c r="AE371" i="56" s="1"/>
  <c r="CI314" i="90"/>
  <c r="DI314" i="90" s="1"/>
  <c r="FK314" i="90" s="1"/>
  <c r="CT314" i="90" s="1"/>
  <c r="AE314" i="56" s="1"/>
  <c r="CI245" i="90"/>
  <c r="DI245" i="90" s="1"/>
  <c r="FK245" i="90" s="1"/>
  <c r="CT245" i="90" s="1"/>
  <c r="AE245" i="56" s="1"/>
  <c r="CI50" i="90"/>
  <c r="DI50" i="90" s="1"/>
  <c r="FK50" i="90" s="1"/>
  <c r="CT50" i="90" s="1"/>
  <c r="AE50" i="56" s="1"/>
  <c r="CI379" i="90"/>
  <c r="DI379" i="90" s="1"/>
  <c r="FK379" i="90" s="1"/>
  <c r="CT379" i="90" s="1"/>
  <c r="AE379" i="56" s="1"/>
  <c r="CI337" i="90"/>
  <c r="DI337" i="90" s="1"/>
  <c r="FK337" i="90" s="1"/>
  <c r="CT337" i="90" s="1"/>
  <c r="AE337" i="56" s="1"/>
  <c r="CI240" i="90"/>
  <c r="DI240" i="90" s="1"/>
  <c r="FK240" i="90" s="1"/>
  <c r="CT240" i="90" s="1"/>
  <c r="AE240" i="56" s="1"/>
  <c r="CI47" i="90"/>
  <c r="DI47" i="90" s="1"/>
  <c r="FK47" i="90" s="1"/>
  <c r="CT47" i="90" s="1"/>
  <c r="AE47" i="56" s="1"/>
  <c r="CI386" i="90"/>
  <c r="DI386" i="90" s="1"/>
  <c r="FK386" i="90" s="1"/>
  <c r="CT386" i="90" s="1"/>
  <c r="AE386" i="56" s="1"/>
  <c r="CI244" i="90"/>
  <c r="DI244" i="90" s="1"/>
  <c r="FK244" i="90" s="1"/>
  <c r="CT244" i="90" s="1"/>
  <c r="AE244" i="56" s="1"/>
  <c r="CI51" i="90"/>
  <c r="DI51" i="90" s="1"/>
  <c r="FK51" i="90" s="1"/>
  <c r="CT51" i="90" s="1"/>
  <c r="AE51" i="56" s="1"/>
  <c r="AD84" i="44"/>
  <c r="AD99" i="44"/>
  <c r="AD85" i="44"/>
  <c r="AD96" i="44"/>
  <c r="AD89" i="44"/>
  <c r="AD137" i="44" s="1"/>
  <c r="AD90" i="44"/>
  <c r="AD123" i="44" s="1"/>
  <c r="AD87" i="44"/>
  <c r="AD86" i="44"/>
  <c r="AD136" i="44"/>
  <c r="AD110" i="41"/>
  <c r="FJ46" i="90"/>
  <c r="CS46" i="90" s="1"/>
  <c r="AD46" i="56" s="1"/>
  <c r="AA112" i="41"/>
  <c r="AA168" i="44"/>
  <c r="AC207" i="44"/>
  <c r="AC260" i="44"/>
  <c r="AE39" i="93"/>
  <c r="AE85" i="41"/>
  <c r="AK15" i="40"/>
  <c r="AC258" i="44"/>
  <c r="X220" i="44"/>
  <c r="X225" i="44" s="1"/>
  <c r="X256" i="44"/>
  <c r="FI45" i="90"/>
  <c r="AD109" i="41"/>
  <c r="AD191" i="44"/>
  <c r="AD242" i="44"/>
  <c r="AD188" i="44"/>
  <c r="AD186" i="44"/>
  <c r="AD108" i="41"/>
  <c r="AD193" i="44"/>
  <c r="AC259" i="44"/>
  <c r="AC206" i="44"/>
  <c r="AD51" i="44" l="1"/>
  <c r="AD138" i="44" s="1"/>
  <c r="AD139" i="44" s="1"/>
  <c r="AE309" i="44"/>
  <c r="AE310" i="44"/>
  <c r="AE274" i="44"/>
  <c r="AE311" i="44"/>
  <c r="AE298" i="44"/>
  <c r="X253" i="44"/>
  <c r="X254" i="44" s="1"/>
  <c r="O58" i="114" s="1"/>
  <c r="AD126" i="44"/>
  <c r="AD277" i="44"/>
  <c r="AD209" i="44"/>
  <c r="AD281" i="44"/>
  <c r="AD289" i="44"/>
  <c r="AD291" i="44" s="1"/>
  <c r="AD125" i="44"/>
  <c r="AD124" i="44"/>
  <c r="X143" i="44"/>
  <c r="AE83" i="44"/>
  <c r="AE114" i="41"/>
  <c r="R43" i="98"/>
  <c r="AO14" i="42"/>
  <c r="R136" i="98"/>
  <c r="AJ83" i="86"/>
  <c r="AJ102" i="117"/>
  <c r="AJ100" i="117"/>
  <c r="R58" i="98"/>
  <c r="R60" i="98" s="1"/>
  <c r="R168" i="98"/>
  <c r="P173" i="98"/>
  <c r="AI84" i="86"/>
  <c r="Q116" i="98"/>
  <c r="Q117" i="98" s="1"/>
  <c r="Q118" i="98" s="1"/>
  <c r="F101" i="98"/>
  <c r="X226" i="44"/>
  <c r="O53" i="114" s="1"/>
  <c r="X262" i="44"/>
  <c r="X263" i="44" s="1"/>
  <c r="O59" i="114" s="1"/>
  <c r="FK79" i="90"/>
  <c r="CT79" i="90" s="1"/>
  <c r="AE79" i="56" s="1"/>
  <c r="FK169" i="90"/>
  <c r="CT169" i="90" s="1"/>
  <c r="AE169" i="56" s="1"/>
  <c r="FK156" i="90"/>
  <c r="CT156" i="90" s="1"/>
  <c r="AE156" i="56" s="1"/>
  <c r="FK175" i="90"/>
  <c r="CT175" i="90" s="1"/>
  <c r="AE175" i="56" s="1"/>
  <c r="FK108" i="90"/>
  <c r="CT108" i="90" s="1"/>
  <c r="AE108" i="56" s="1"/>
  <c r="FK307" i="90"/>
  <c r="CT307" i="90" s="1"/>
  <c r="AE307" i="56" s="1"/>
  <c r="FK292" i="90"/>
  <c r="CT292" i="90" s="1"/>
  <c r="AE292" i="56" s="1"/>
  <c r="FK269" i="90"/>
  <c r="CT269" i="90" s="1"/>
  <c r="AE269" i="56" s="1"/>
  <c r="FK262" i="90"/>
  <c r="CT262" i="90" s="1"/>
  <c r="AE262" i="56" s="1"/>
  <c r="FK250" i="90"/>
  <c r="CT250" i="90" s="1"/>
  <c r="AE250" i="56" s="1"/>
  <c r="FK346" i="90"/>
  <c r="CT346" i="90" s="1"/>
  <c r="AE346" i="56" s="1"/>
  <c r="FK208" i="90"/>
  <c r="CT208" i="90" s="1"/>
  <c r="AE208" i="56" s="1"/>
  <c r="FK354" i="90"/>
  <c r="CT354" i="90" s="1"/>
  <c r="AE354" i="56" s="1"/>
  <c r="FK67" i="90"/>
  <c r="CT67" i="90" s="1"/>
  <c r="AE67" i="56" s="1"/>
  <c r="FK74" i="90"/>
  <c r="CT74" i="90" s="1"/>
  <c r="AE74" i="56" s="1"/>
  <c r="FK194" i="90"/>
  <c r="CT194" i="90" s="1"/>
  <c r="AE194" i="56" s="1"/>
  <c r="FK64" i="90"/>
  <c r="CT64" i="90" s="1"/>
  <c r="AE64" i="56" s="1"/>
  <c r="FK83" i="90"/>
  <c r="CT83" i="90" s="1"/>
  <c r="AE83" i="56" s="1"/>
  <c r="FK186" i="90"/>
  <c r="CT186" i="90" s="1"/>
  <c r="AE186" i="56" s="1"/>
  <c r="FK177" i="90"/>
  <c r="CT177" i="90" s="1"/>
  <c r="AE177" i="56" s="1"/>
  <c r="FK73" i="90"/>
  <c r="CT73" i="90" s="1"/>
  <c r="AE73" i="56" s="1"/>
  <c r="FK163" i="90"/>
  <c r="CT163" i="90" s="1"/>
  <c r="AE163" i="56" s="1"/>
  <c r="FK131" i="90"/>
  <c r="CT131" i="90" s="1"/>
  <c r="AE131" i="56" s="1"/>
  <c r="FK150" i="90"/>
  <c r="CT150" i="90" s="1"/>
  <c r="AE150" i="56" s="1"/>
  <c r="FK137" i="90"/>
  <c r="CT137" i="90" s="1"/>
  <c r="AE137" i="56" s="1"/>
  <c r="FK141" i="90"/>
  <c r="CT141" i="90" s="1"/>
  <c r="AE141" i="56" s="1"/>
  <c r="FK107" i="90"/>
  <c r="CT107" i="90" s="1"/>
  <c r="AE107" i="56" s="1"/>
  <c r="FK93" i="90"/>
  <c r="CT93" i="90" s="1"/>
  <c r="AE93" i="56" s="1"/>
  <c r="FK106" i="90"/>
  <c r="CT106" i="90" s="1"/>
  <c r="AE106" i="56" s="1"/>
  <c r="FK293" i="90"/>
  <c r="CT293" i="90" s="1"/>
  <c r="AE293" i="56" s="1"/>
  <c r="FK221" i="90"/>
  <c r="CT221" i="90" s="1"/>
  <c r="AE221" i="56" s="1"/>
  <c r="FK118" i="90"/>
  <c r="CT118" i="90" s="1"/>
  <c r="AE118" i="56" s="1"/>
  <c r="FK112" i="90"/>
  <c r="CT112" i="90" s="1"/>
  <c r="AE112" i="56" s="1"/>
  <c r="FK101" i="90"/>
  <c r="CT101" i="90" s="1"/>
  <c r="AE101" i="56" s="1"/>
  <c r="FK224" i="90"/>
  <c r="CT224" i="90" s="1"/>
  <c r="AE224" i="56" s="1"/>
  <c r="FK90" i="90"/>
  <c r="CT90" i="90" s="1"/>
  <c r="AE90" i="56" s="1"/>
  <c r="FK305" i="90"/>
  <c r="CT305" i="90" s="1"/>
  <c r="AE305" i="56" s="1"/>
  <c r="FK219" i="90"/>
  <c r="CT219" i="90" s="1"/>
  <c r="AE219" i="56" s="1"/>
  <c r="FK300" i="90"/>
  <c r="CT300" i="90" s="1"/>
  <c r="AE300" i="56" s="1"/>
  <c r="FK302" i="90"/>
  <c r="CT302" i="90" s="1"/>
  <c r="AE302" i="56" s="1"/>
  <c r="FK282" i="90"/>
  <c r="CT282" i="90" s="1"/>
  <c r="AE282" i="56" s="1"/>
  <c r="FK287" i="90"/>
  <c r="CT287" i="90" s="1"/>
  <c r="AE287" i="56" s="1"/>
  <c r="FK290" i="90"/>
  <c r="CT290" i="90" s="1"/>
  <c r="AE290" i="56" s="1"/>
  <c r="FK268" i="90"/>
  <c r="CT268" i="90" s="1"/>
  <c r="AE268" i="56" s="1"/>
  <c r="FK276" i="90"/>
  <c r="CT276" i="90" s="1"/>
  <c r="AE276" i="56" s="1"/>
  <c r="FK266" i="90"/>
  <c r="CT266" i="90" s="1"/>
  <c r="AE266" i="56" s="1"/>
  <c r="FK253" i="90"/>
  <c r="CT253" i="90" s="1"/>
  <c r="AE253" i="56" s="1"/>
  <c r="FK258" i="90"/>
  <c r="CT258" i="90" s="1"/>
  <c r="AE258" i="56" s="1"/>
  <c r="FK362" i="90"/>
  <c r="CT362" i="90" s="1"/>
  <c r="AE362" i="56" s="1"/>
  <c r="FK249" i="90"/>
  <c r="CT249" i="90" s="1"/>
  <c r="AE249" i="56" s="1"/>
  <c r="FK353" i="90"/>
  <c r="CT353" i="90" s="1"/>
  <c r="AE353" i="56" s="1"/>
  <c r="FK349" i="90"/>
  <c r="CT349" i="90" s="1"/>
  <c r="AE349" i="56" s="1"/>
  <c r="FK341" i="90"/>
  <c r="CT341" i="90" s="1"/>
  <c r="AE341" i="56" s="1"/>
  <c r="FK345" i="90"/>
  <c r="CT345" i="90" s="1"/>
  <c r="AE345" i="56" s="1"/>
  <c r="FK230" i="90"/>
  <c r="CT230" i="90" s="1"/>
  <c r="AE230" i="56" s="1"/>
  <c r="FK176" i="90"/>
  <c r="CT176" i="90" s="1"/>
  <c r="AE176" i="56" s="1"/>
  <c r="FK68" i="90"/>
  <c r="CT68" i="90" s="1"/>
  <c r="AE68" i="56" s="1"/>
  <c r="FK157" i="90"/>
  <c r="CT157" i="90" s="1"/>
  <c r="AE157" i="56" s="1"/>
  <c r="FK75" i="90"/>
  <c r="CT75" i="90" s="1"/>
  <c r="AE75" i="56" s="1"/>
  <c r="FK178" i="90"/>
  <c r="CT178" i="90" s="1"/>
  <c r="AE178" i="56" s="1"/>
  <c r="FK121" i="90"/>
  <c r="CT121" i="90" s="1"/>
  <c r="AE121" i="56" s="1"/>
  <c r="FK122" i="90"/>
  <c r="CT122" i="90" s="1"/>
  <c r="AE122" i="56" s="1"/>
  <c r="FK211" i="90"/>
  <c r="CT211" i="90" s="1"/>
  <c r="AE211" i="56" s="1"/>
  <c r="FK303" i="90"/>
  <c r="CT303" i="90" s="1"/>
  <c r="AE303" i="56" s="1"/>
  <c r="FK291" i="90"/>
  <c r="CT291" i="90" s="1"/>
  <c r="AE291" i="56" s="1"/>
  <c r="FK273" i="90"/>
  <c r="CT273" i="90" s="1"/>
  <c r="AE273" i="56" s="1"/>
  <c r="FK259" i="90"/>
  <c r="CT259" i="90" s="1"/>
  <c r="AE259" i="56" s="1"/>
  <c r="FK364" i="90"/>
  <c r="CT364" i="90" s="1"/>
  <c r="AE364" i="56" s="1"/>
  <c r="FK360" i="90"/>
  <c r="CT360" i="90" s="1"/>
  <c r="AE360" i="56" s="1"/>
  <c r="FK350" i="90"/>
  <c r="CT350" i="90" s="1"/>
  <c r="AE350" i="56" s="1"/>
  <c r="CJ341" i="90"/>
  <c r="DJ341" i="90" s="1"/>
  <c r="FL341" i="90" s="1"/>
  <c r="CU341" i="90" s="1"/>
  <c r="AF341" i="56" s="1"/>
  <c r="CJ342" i="90"/>
  <c r="DJ342" i="90" s="1"/>
  <c r="CJ345" i="90"/>
  <c r="DJ345" i="90" s="1"/>
  <c r="CJ346" i="90"/>
  <c r="DJ346" i="90" s="1"/>
  <c r="CJ343" i="90"/>
  <c r="DJ343" i="90" s="1"/>
  <c r="FL343" i="90" s="1"/>
  <c r="CU343" i="90" s="1"/>
  <c r="AF343" i="56" s="1"/>
  <c r="CJ347" i="90"/>
  <c r="DJ347" i="90" s="1"/>
  <c r="FL347" i="90" s="1"/>
  <c r="CU347" i="90" s="1"/>
  <c r="AF347" i="56" s="1"/>
  <c r="CJ344" i="90"/>
  <c r="DJ344" i="90" s="1"/>
  <c r="CJ351" i="90"/>
  <c r="DJ351" i="90" s="1"/>
  <c r="FL351" i="90" s="1"/>
  <c r="CU351" i="90" s="1"/>
  <c r="AF351" i="56" s="1"/>
  <c r="CJ348" i="90"/>
  <c r="DJ348" i="90" s="1"/>
  <c r="FL348" i="90" s="1"/>
  <c r="CU348" i="90" s="1"/>
  <c r="AF348" i="56" s="1"/>
  <c r="CJ350" i="90"/>
  <c r="DJ350" i="90" s="1"/>
  <c r="CJ355" i="90"/>
  <c r="DJ355" i="90" s="1"/>
  <c r="CJ356" i="90"/>
  <c r="DJ356" i="90" s="1"/>
  <c r="CJ357" i="90"/>
  <c r="DJ357" i="90" s="1"/>
  <c r="FL357" i="90" s="1"/>
  <c r="CU357" i="90" s="1"/>
  <c r="AF357" i="56" s="1"/>
  <c r="CJ340" i="90"/>
  <c r="DJ340" i="90" s="1"/>
  <c r="FL340" i="90" s="1"/>
  <c r="CU340" i="90" s="1"/>
  <c r="AF340" i="56" s="1"/>
  <c r="CJ352" i="90"/>
  <c r="DJ352" i="90" s="1"/>
  <c r="FL352" i="90" s="1"/>
  <c r="CU352" i="90" s="1"/>
  <c r="AF352" i="56" s="1"/>
  <c r="CJ353" i="90"/>
  <c r="DJ353" i="90" s="1"/>
  <c r="FL353" i="90" s="1"/>
  <c r="CU353" i="90" s="1"/>
  <c r="AF353" i="56" s="1"/>
  <c r="CJ349" i="90"/>
  <c r="DJ349" i="90" s="1"/>
  <c r="CJ354" i="90"/>
  <c r="DJ354" i="90" s="1"/>
  <c r="FL354" i="90" s="1"/>
  <c r="CU354" i="90" s="1"/>
  <c r="AF354" i="56" s="1"/>
  <c r="CJ358" i="90"/>
  <c r="DJ358" i="90" s="1"/>
  <c r="CJ362" i="90"/>
  <c r="DJ362" i="90" s="1"/>
  <c r="CJ359" i="90"/>
  <c r="DJ359" i="90" s="1"/>
  <c r="CJ360" i="90"/>
  <c r="DJ360" i="90" s="1"/>
  <c r="FL360" i="90" s="1"/>
  <c r="CU360" i="90" s="1"/>
  <c r="AF360" i="56" s="1"/>
  <c r="CJ253" i="90"/>
  <c r="DJ253" i="90" s="1"/>
  <c r="CJ254" i="90"/>
  <c r="DJ254" i="90" s="1"/>
  <c r="CJ256" i="90"/>
  <c r="DJ256" i="90" s="1"/>
  <c r="CJ259" i="90"/>
  <c r="DJ259" i="90" s="1"/>
  <c r="FL259" i="90" s="1"/>
  <c r="CU259" i="90" s="1"/>
  <c r="AF259" i="56" s="1"/>
  <c r="CJ260" i="90"/>
  <c r="DJ260" i="90" s="1"/>
  <c r="CJ361" i="90"/>
  <c r="DJ361" i="90" s="1"/>
  <c r="CJ249" i="90"/>
  <c r="DJ249" i="90" s="1"/>
  <c r="FL249" i="90" s="1"/>
  <c r="CU249" i="90" s="1"/>
  <c r="AF249" i="56" s="1"/>
  <c r="CJ250" i="90"/>
  <c r="DJ250" i="90" s="1"/>
  <c r="FL250" i="90" s="1"/>
  <c r="CU250" i="90" s="1"/>
  <c r="AF250" i="56" s="1"/>
  <c r="CJ252" i="90"/>
  <c r="DJ252" i="90" s="1"/>
  <c r="CJ363" i="90"/>
  <c r="DJ363" i="90" s="1"/>
  <c r="CJ251" i="90"/>
  <c r="DJ251" i="90" s="1"/>
  <c r="FL251" i="90" s="1"/>
  <c r="CU251" i="90" s="1"/>
  <c r="AF251" i="56" s="1"/>
  <c r="CJ258" i="90"/>
  <c r="DJ258" i="90" s="1"/>
  <c r="CJ263" i="90"/>
  <c r="DJ263" i="90" s="1"/>
  <c r="CJ267" i="90"/>
  <c r="DJ267" i="90" s="1"/>
  <c r="CJ268" i="90"/>
  <c r="DJ268" i="90" s="1"/>
  <c r="FL268" i="90" s="1"/>
  <c r="CU268" i="90" s="1"/>
  <c r="AF268" i="56" s="1"/>
  <c r="CJ273" i="90"/>
  <c r="DJ273" i="90" s="1"/>
  <c r="CJ364" i="90"/>
  <c r="DJ364" i="90" s="1"/>
  <c r="CJ257" i="90"/>
  <c r="DJ257" i="90" s="1"/>
  <c r="CJ261" i="90"/>
  <c r="DJ261" i="90" s="1"/>
  <c r="CJ262" i="90"/>
  <c r="DJ262" i="90" s="1"/>
  <c r="CJ275" i="90"/>
  <c r="DJ275" i="90" s="1"/>
  <c r="CJ270" i="90"/>
  <c r="DJ270" i="90" s="1"/>
  <c r="CJ274" i="90"/>
  <c r="DJ274" i="90" s="1"/>
  <c r="FL274" i="90" s="1"/>
  <c r="CU274" i="90" s="1"/>
  <c r="AF274" i="56" s="1"/>
  <c r="CJ255" i="90"/>
  <c r="DJ255" i="90" s="1"/>
  <c r="FL255" i="90" s="1"/>
  <c r="CU255" i="90" s="1"/>
  <c r="AF255" i="56" s="1"/>
  <c r="CJ264" i="90"/>
  <c r="DJ264" i="90" s="1"/>
  <c r="FL264" i="90" s="1"/>
  <c r="CU264" i="90" s="1"/>
  <c r="AF264" i="56" s="1"/>
  <c r="CJ265" i="90"/>
  <c r="DJ265" i="90" s="1"/>
  <c r="CJ266" i="90"/>
  <c r="DJ266" i="90" s="1"/>
  <c r="CJ269" i="90"/>
  <c r="DJ269" i="90" s="1"/>
  <c r="CJ271" i="90"/>
  <c r="DJ271" i="90" s="1"/>
  <c r="FL271" i="90" s="1"/>
  <c r="CU271" i="90" s="1"/>
  <c r="AF271" i="56" s="1"/>
  <c r="CJ272" i="90"/>
  <c r="DJ272" i="90" s="1"/>
  <c r="CJ278" i="90"/>
  <c r="DJ278" i="90" s="1"/>
  <c r="FL278" i="90" s="1"/>
  <c r="CU278" i="90" s="1"/>
  <c r="AF278" i="56" s="1"/>
  <c r="CJ282" i="90"/>
  <c r="DJ282" i="90" s="1"/>
  <c r="FL282" i="90" s="1"/>
  <c r="CU282" i="90" s="1"/>
  <c r="AF282" i="56" s="1"/>
  <c r="CJ284" i="90"/>
  <c r="DJ284" i="90" s="1"/>
  <c r="FL284" i="90" s="1"/>
  <c r="CU284" i="90" s="1"/>
  <c r="AF284" i="56" s="1"/>
  <c r="CJ288" i="90"/>
  <c r="DJ288" i="90" s="1"/>
  <c r="CJ276" i="90"/>
  <c r="DJ276" i="90" s="1"/>
  <c r="CJ277" i="90"/>
  <c r="DJ277" i="90" s="1"/>
  <c r="CJ286" i="90"/>
  <c r="DJ286" i="90" s="1"/>
  <c r="CJ289" i="90"/>
  <c r="DJ289" i="90" s="1"/>
  <c r="CJ290" i="90"/>
  <c r="DJ290" i="90" s="1"/>
  <c r="CJ296" i="90"/>
  <c r="DJ296" i="90" s="1"/>
  <c r="FL296" i="90" s="1"/>
  <c r="CU296" i="90" s="1"/>
  <c r="AF296" i="56" s="1"/>
  <c r="CJ297" i="90"/>
  <c r="DJ297" i="90" s="1"/>
  <c r="FL297" i="90" s="1"/>
  <c r="CU297" i="90" s="1"/>
  <c r="AF297" i="56" s="1"/>
  <c r="CJ299" i="90"/>
  <c r="DJ299" i="90" s="1"/>
  <c r="CJ292" i="90"/>
  <c r="DJ292" i="90" s="1"/>
  <c r="FL292" i="90" s="1"/>
  <c r="CU292" i="90" s="1"/>
  <c r="AF292" i="56" s="1"/>
  <c r="CJ295" i="90"/>
  <c r="DJ295" i="90" s="1"/>
  <c r="FL295" i="90" s="1"/>
  <c r="CU295" i="90" s="1"/>
  <c r="AF295" i="56" s="1"/>
  <c r="CJ279" i="90"/>
  <c r="DJ279" i="90" s="1"/>
  <c r="CJ280" i="90"/>
  <c r="DJ280" i="90" s="1"/>
  <c r="CJ281" i="90"/>
  <c r="DJ281" i="90" s="1"/>
  <c r="FL281" i="90" s="1"/>
  <c r="CU281" i="90" s="1"/>
  <c r="AF281" i="56" s="1"/>
  <c r="CJ283" i="90"/>
  <c r="DJ283" i="90" s="1"/>
  <c r="FL283" i="90" s="1"/>
  <c r="CU283" i="90" s="1"/>
  <c r="AF283" i="56" s="1"/>
  <c r="CJ285" i="90"/>
  <c r="DJ285" i="90" s="1"/>
  <c r="FL285" i="90" s="1"/>
  <c r="CU285" i="90" s="1"/>
  <c r="AF285" i="56" s="1"/>
  <c r="CJ291" i="90"/>
  <c r="DJ291" i="90" s="1"/>
  <c r="CJ301" i="90"/>
  <c r="DJ301" i="90" s="1"/>
  <c r="CJ302" i="90"/>
  <c r="DJ302" i="90" s="1"/>
  <c r="CJ294" i="90"/>
  <c r="DJ294" i="90" s="1"/>
  <c r="CJ209" i="90"/>
  <c r="DJ209" i="90" s="1"/>
  <c r="CJ210" i="90"/>
  <c r="DJ210" i="90" s="1"/>
  <c r="CJ211" i="90"/>
  <c r="DJ211" i="90" s="1"/>
  <c r="CJ293" i="90"/>
  <c r="DJ293" i="90" s="1"/>
  <c r="CJ300" i="90"/>
  <c r="DJ300" i="90" s="1"/>
  <c r="CJ305" i="90"/>
  <c r="DJ305" i="90" s="1"/>
  <c r="FL305" i="90" s="1"/>
  <c r="CU305" i="90" s="1"/>
  <c r="AF305" i="56" s="1"/>
  <c r="CJ306" i="90"/>
  <c r="DJ306" i="90" s="1"/>
  <c r="FL306" i="90" s="1"/>
  <c r="CU306" i="90" s="1"/>
  <c r="AF306" i="56" s="1"/>
  <c r="CJ307" i="90"/>
  <c r="DJ307" i="90" s="1"/>
  <c r="CJ308" i="90"/>
  <c r="DJ308" i="90" s="1"/>
  <c r="CJ304" i="90"/>
  <c r="DJ304" i="90" s="1"/>
  <c r="FL304" i="90" s="1"/>
  <c r="CU304" i="90" s="1"/>
  <c r="AF304" i="56" s="1"/>
  <c r="CJ206" i="90"/>
  <c r="DJ206" i="90" s="1"/>
  <c r="FL206" i="90" s="1"/>
  <c r="CU206" i="90" s="1"/>
  <c r="AF206" i="56" s="1"/>
  <c r="CJ208" i="90"/>
  <c r="DJ208" i="90" s="1"/>
  <c r="CJ212" i="90"/>
  <c r="DJ212" i="90" s="1"/>
  <c r="CJ213" i="90"/>
  <c r="DJ213" i="90" s="1"/>
  <c r="FL213" i="90" s="1"/>
  <c r="CU213" i="90" s="1"/>
  <c r="AF213" i="56" s="1"/>
  <c r="CJ214" i="90"/>
  <c r="DJ214" i="90" s="1"/>
  <c r="FL214" i="90" s="1"/>
  <c r="CU214" i="90" s="1"/>
  <c r="AF214" i="56" s="1"/>
  <c r="CJ215" i="90"/>
  <c r="DJ215" i="90" s="1"/>
  <c r="CJ205" i="90"/>
  <c r="DJ205" i="90" s="1"/>
  <c r="CJ216" i="90"/>
  <c r="DJ216" i="90" s="1"/>
  <c r="FL216" i="90" s="1"/>
  <c r="CU216" i="90" s="1"/>
  <c r="AF216" i="56" s="1"/>
  <c r="CJ221" i="90"/>
  <c r="DJ221" i="90" s="1"/>
  <c r="CJ222" i="90"/>
  <c r="DJ222" i="90" s="1"/>
  <c r="FL222" i="90" s="1"/>
  <c r="CU222" i="90" s="1"/>
  <c r="AF222" i="56" s="1"/>
  <c r="CJ223" i="90"/>
  <c r="DJ223" i="90" s="1"/>
  <c r="CJ224" i="90"/>
  <c r="DJ224" i="90" s="1"/>
  <c r="CJ227" i="90"/>
  <c r="DJ227" i="90" s="1"/>
  <c r="FL227" i="90" s="1"/>
  <c r="CU227" i="90" s="1"/>
  <c r="AF227" i="56" s="1"/>
  <c r="CJ228" i="90"/>
  <c r="DJ228" i="90" s="1"/>
  <c r="CJ96" i="90"/>
  <c r="DJ96" i="90" s="1"/>
  <c r="CJ97" i="90"/>
  <c r="DJ97" i="90" s="1"/>
  <c r="FL97" i="90" s="1"/>
  <c r="CU97" i="90" s="1"/>
  <c r="AF97" i="56" s="1"/>
  <c r="CJ102" i="90"/>
  <c r="DJ102" i="90" s="1"/>
  <c r="CJ298" i="90"/>
  <c r="DJ298" i="90" s="1"/>
  <c r="FL298" i="90" s="1"/>
  <c r="CU298" i="90" s="1"/>
  <c r="AF298" i="56" s="1"/>
  <c r="CJ303" i="90"/>
  <c r="DJ303" i="90" s="1"/>
  <c r="CJ204" i="90"/>
  <c r="DJ204" i="90" s="1"/>
  <c r="FL204" i="90" s="1"/>
  <c r="CU204" i="90" s="1"/>
  <c r="AF204" i="56" s="1"/>
  <c r="CJ217" i="90"/>
  <c r="DJ217" i="90" s="1"/>
  <c r="FL217" i="90" s="1"/>
  <c r="CU217" i="90" s="1"/>
  <c r="AF217" i="56" s="1"/>
  <c r="CJ218" i="90"/>
  <c r="DJ218" i="90" s="1"/>
  <c r="FL218" i="90" s="1"/>
  <c r="CU218" i="90" s="1"/>
  <c r="AF218" i="56" s="1"/>
  <c r="CJ226" i="90"/>
  <c r="DJ226" i="90" s="1"/>
  <c r="CJ231" i="90"/>
  <c r="DJ231" i="90" s="1"/>
  <c r="FL231" i="90" s="1"/>
  <c r="CU231" i="90" s="1"/>
  <c r="AF231" i="56" s="1"/>
  <c r="CJ235" i="90"/>
  <c r="DJ235" i="90" s="1"/>
  <c r="FL235" i="90" s="1"/>
  <c r="CU235" i="90" s="1"/>
  <c r="AF235" i="56" s="1"/>
  <c r="CJ89" i="90"/>
  <c r="DJ89" i="90" s="1"/>
  <c r="FL89" i="90" s="1"/>
  <c r="CU89" i="90" s="1"/>
  <c r="AF89" i="56" s="1"/>
  <c r="CJ93" i="90"/>
  <c r="DJ93" i="90" s="1"/>
  <c r="CJ99" i="90"/>
  <c r="DJ99" i="90" s="1"/>
  <c r="CJ108" i="90"/>
  <c r="DJ108" i="90" s="1"/>
  <c r="CJ109" i="90"/>
  <c r="DJ109" i="90" s="1"/>
  <c r="CJ110" i="90"/>
  <c r="DJ110" i="90" s="1"/>
  <c r="CJ232" i="90"/>
  <c r="DJ232" i="90" s="1"/>
  <c r="CJ90" i="90"/>
  <c r="DJ90" i="90" s="1"/>
  <c r="CJ94" i="90"/>
  <c r="DJ94" i="90" s="1"/>
  <c r="FL94" i="90" s="1"/>
  <c r="CU94" i="90" s="1"/>
  <c r="AF94" i="56" s="1"/>
  <c r="CJ100" i="90"/>
  <c r="DJ100" i="90" s="1"/>
  <c r="CJ111" i="90"/>
  <c r="DJ111" i="90" s="1"/>
  <c r="FL111" i="90" s="1"/>
  <c r="CU111" i="90" s="1"/>
  <c r="AF111" i="56" s="1"/>
  <c r="CJ120" i="90"/>
  <c r="DJ120" i="90" s="1"/>
  <c r="CJ132" i="90"/>
  <c r="DJ132" i="90" s="1"/>
  <c r="FL132" i="90" s="1"/>
  <c r="CU132" i="90" s="1"/>
  <c r="AF132" i="56" s="1"/>
  <c r="CJ133" i="90"/>
  <c r="DJ133" i="90" s="1"/>
  <c r="CJ134" i="90"/>
  <c r="DJ134" i="90" s="1"/>
  <c r="FL134" i="90" s="1"/>
  <c r="CU134" i="90" s="1"/>
  <c r="AF134" i="56" s="1"/>
  <c r="CJ135" i="90"/>
  <c r="DJ135" i="90" s="1"/>
  <c r="FL135" i="90" s="1"/>
  <c r="CU135" i="90" s="1"/>
  <c r="AF135" i="56" s="1"/>
  <c r="CJ136" i="90"/>
  <c r="DJ136" i="90" s="1"/>
  <c r="FL136" i="90" s="1"/>
  <c r="CU136" i="90" s="1"/>
  <c r="AF136" i="56" s="1"/>
  <c r="CJ137" i="90"/>
  <c r="DJ137" i="90" s="1"/>
  <c r="CJ141" i="90"/>
  <c r="DJ141" i="90" s="1"/>
  <c r="CJ142" i="90"/>
  <c r="DJ142" i="90" s="1"/>
  <c r="FL142" i="90" s="1"/>
  <c r="CU142" i="90" s="1"/>
  <c r="AF142" i="56" s="1"/>
  <c r="CJ151" i="90"/>
  <c r="DJ151" i="90" s="1"/>
  <c r="CJ220" i="90"/>
  <c r="DJ220" i="90" s="1"/>
  <c r="FL220" i="90" s="1"/>
  <c r="CU220" i="90" s="1"/>
  <c r="AF220" i="56" s="1"/>
  <c r="CJ230" i="90"/>
  <c r="DJ230" i="90" s="1"/>
  <c r="FL230" i="90" s="1"/>
  <c r="CU230" i="90" s="1"/>
  <c r="AF230" i="56" s="1"/>
  <c r="CJ233" i="90"/>
  <c r="DJ233" i="90" s="1"/>
  <c r="FL233" i="90" s="1"/>
  <c r="CU233" i="90" s="1"/>
  <c r="AF233" i="56" s="1"/>
  <c r="CJ91" i="90"/>
  <c r="DJ91" i="90" s="1"/>
  <c r="FL91" i="90" s="1"/>
  <c r="CU91" i="90" s="1"/>
  <c r="AF91" i="56" s="1"/>
  <c r="CJ225" i="90"/>
  <c r="DJ225" i="90" s="1"/>
  <c r="CJ236" i="90"/>
  <c r="DJ236" i="90" s="1"/>
  <c r="FL236" i="90" s="1"/>
  <c r="CU236" i="90" s="1"/>
  <c r="AF236" i="56" s="1"/>
  <c r="CJ107" i="90"/>
  <c r="DJ107" i="90" s="1"/>
  <c r="CJ118" i="90"/>
  <c r="DJ118" i="90" s="1"/>
  <c r="CJ127" i="90"/>
  <c r="DJ127" i="90" s="1"/>
  <c r="CJ219" i="90"/>
  <c r="DJ219" i="90" s="1"/>
  <c r="FL219" i="90" s="1"/>
  <c r="CU219" i="90" s="1"/>
  <c r="AF219" i="56" s="1"/>
  <c r="CJ229" i="90"/>
  <c r="DJ229" i="90" s="1"/>
  <c r="FL229" i="90" s="1"/>
  <c r="CU229" i="90" s="1"/>
  <c r="AF229" i="56" s="1"/>
  <c r="CJ95" i="90"/>
  <c r="DJ95" i="90" s="1"/>
  <c r="FL95" i="90" s="1"/>
  <c r="CU95" i="90" s="1"/>
  <c r="AF95" i="56" s="1"/>
  <c r="CJ98" i="90"/>
  <c r="DJ98" i="90" s="1"/>
  <c r="CJ105" i="90"/>
  <c r="DJ105" i="90" s="1"/>
  <c r="FL105" i="90" s="1"/>
  <c r="CU105" i="90" s="1"/>
  <c r="AF105" i="56" s="1"/>
  <c r="CJ106" i="90"/>
  <c r="DJ106" i="90" s="1"/>
  <c r="CJ112" i="90"/>
  <c r="DJ112" i="90" s="1"/>
  <c r="CJ113" i="90"/>
  <c r="DJ113" i="90" s="1"/>
  <c r="CJ115" i="90"/>
  <c r="DJ115" i="90" s="1"/>
  <c r="FL115" i="90" s="1"/>
  <c r="CU115" i="90" s="1"/>
  <c r="AF115" i="56" s="1"/>
  <c r="CJ116" i="90"/>
  <c r="DJ116" i="90" s="1"/>
  <c r="CJ117" i="90"/>
  <c r="DJ117" i="90" s="1"/>
  <c r="FL117" i="90" s="1"/>
  <c r="CU117" i="90" s="1"/>
  <c r="AF117" i="56" s="1"/>
  <c r="CJ122" i="90"/>
  <c r="DJ122" i="90" s="1"/>
  <c r="FL122" i="90" s="1"/>
  <c r="CU122" i="90" s="1"/>
  <c r="AF122" i="56" s="1"/>
  <c r="CJ123" i="90"/>
  <c r="DJ123" i="90" s="1"/>
  <c r="FL123" i="90" s="1"/>
  <c r="CU123" i="90" s="1"/>
  <c r="AF123" i="56" s="1"/>
  <c r="CJ125" i="90"/>
  <c r="DJ125" i="90" s="1"/>
  <c r="FL125" i="90" s="1"/>
  <c r="CU125" i="90" s="1"/>
  <c r="AF125" i="56" s="1"/>
  <c r="CJ128" i="90"/>
  <c r="DJ128" i="90" s="1"/>
  <c r="CJ287" i="90"/>
  <c r="DJ287" i="90" s="1"/>
  <c r="FL287" i="90" s="1"/>
  <c r="CU287" i="90" s="1"/>
  <c r="AF287" i="56" s="1"/>
  <c r="CJ207" i="90"/>
  <c r="DJ207" i="90" s="1"/>
  <c r="CJ104" i="90"/>
  <c r="DJ104" i="90" s="1"/>
  <c r="FL104" i="90" s="1"/>
  <c r="CU104" i="90" s="1"/>
  <c r="AF104" i="56" s="1"/>
  <c r="CJ114" i="90"/>
  <c r="DJ114" i="90" s="1"/>
  <c r="FL114" i="90" s="1"/>
  <c r="CU114" i="90" s="1"/>
  <c r="AF114" i="56" s="1"/>
  <c r="CJ103" i="90"/>
  <c r="DJ103" i="90" s="1"/>
  <c r="FL103" i="90" s="1"/>
  <c r="CU103" i="90" s="1"/>
  <c r="AF103" i="56" s="1"/>
  <c r="CJ124" i="90"/>
  <c r="DJ124" i="90" s="1"/>
  <c r="FL124" i="90" s="1"/>
  <c r="CU124" i="90" s="1"/>
  <c r="AF124" i="56" s="1"/>
  <c r="CJ126" i="90"/>
  <c r="DJ126" i="90" s="1"/>
  <c r="FL126" i="90" s="1"/>
  <c r="CU126" i="90" s="1"/>
  <c r="AF126" i="56" s="1"/>
  <c r="CJ144" i="90"/>
  <c r="DJ144" i="90" s="1"/>
  <c r="FL144" i="90" s="1"/>
  <c r="CU144" i="90" s="1"/>
  <c r="AF144" i="56" s="1"/>
  <c r="CJ147" i="90"/>
  <c r="DJ147" i="90" s="1"/>
  <c r="CJ155" i="90"/>
  <c r="DJ155" i="90" s="1"/>
  <c r="FL155" i="90" s="1"/>
  <c r="CU155" i="90" s="1"/>
  <c r="AF155" i="56" s="1"/>
  <c r="CJ157" i="90"/>
  <c r="DJ157" i="90" s="1"/>
  <c r="CJ159" i="90"/>
  <c r="DJ159" i="90" s="1"/>
  <c r="FL159" i="90" s="1"/>
  <c r="CU159" i="90" s="1"/>
  <c r="AF159" i="56" s="1"/>
  <c r="CJ160" i="90"/>
  <c r="DJ160" i="90" s="1"/>
  <c r="CJ161" i="90"/>
  <c r="DJ161" i="90" s="1"/>
  <c r="FL161" i="90" s="1"/>
  <c r="CU161" i="90" s="1"/>
  <c r="AF161" i="56" s="1"/>
  <c r="CJ162" i="90"/>
  <c r="DJ162" i="90" s="1"/>
  <c r="FL162" i="90" s="1"/>
  <c r="CU162" i="90" s="1"/>
  <c r="AF162" i="56" s="1"/>
  <c r="CJ163" i="90"/>
  <c r="DJ163" i="90" s="1"/>
  <c r="FL163" i="90" s="1"/>
  <c r="CU163" i="90" s="1"/>
  <c r="AF163" i="56" s="1"/>
  <c r="CJ169" i="90"/>
  <c r="DJ169" i="90" s="1"/>
  <c r="CJ170" i="90"/>
  <c r="DJ170" i="90" s="1"/>
  <c r="CJ177" i="90"/>
  <c r="DJ177" i="90" s="1"/>
  <c r="FL177" i="90" s="1"/>
  <c r="CU177" i="90" s="1"/>
  <c r="AF177" i="56" s="1"/>
  <c r="CJ178" i="90"/>
  <c r="DJ178" i="90" s="1"/>
  <c r="FL178" i="90" s="1"/>
  <c r="CU178" i="90" s="1"/>
  <c r="AF178" i="56" s="1"/>
  <c r="CJ234" i="90"/>
  <c r="DJ234" i="90" s="1"/>
  <c r="CJ101" i="90"/>
  <c r="DJ101" i="90" s="1"/>
  <c r="FL101" i="90" s="1"/>
  <c r="CU101" i="90" s="1"/>
  <c r="AF101" i="56" s="1"/>
  <c r="CJ119" i="90"/>
  <c r="DJ119" i="90" s="1"/>
  <c r="FL119" i="90" s="1"/>
  <c r="CU119" i="90" s="1"/>
  <c r="AF119" i="56" s="1"/>
  <c r="CJ138" i="90"/>
  <c r="DJ138" i="90" s="1"/>
  <c r="FL138" i="90" s="1"/>
  <c r="CU138" i="90" s="1"/>
  <c r="AF138" i="56" s="1"/>
  <c r="CJ140" i="90"/>
  <c r="DJ140" i="90" s="1"/>
  <c r="CJ148" i="90"/>
  <c r="DJ148" i="90" s="1"/>
  <c r="FL148" i="90" s="1"/>
  <c r="CU148" i="90" s="1"/>
  <c r="AF148" i="56" s="1"/>
  <c r="CJ152" i="90"/>
  <c r="DJ152" i="90" s="1"/>
  <c r="CJ171" i="90"/>
  <c r="DJ171" i="90" s="1"/>
  <c r="FL171" i="90" s="1"/>
  <c r="CU171" i="90" s="1"/>
  <c r="AF171" i="56" s="1"/>
  <c r="CJ172" i="90"/>
  <c r="DJ172" i="90" s="1"/>
  <c r="CJ173" i="90"/>
  <c r="DJ173" i="90" s="1"/>
  <c r="FL173" i="90" s="1"/>
  <c r="CU173" i="90" s="1"/>
  <c r="AF173" i="56" s="1"/>
  <c r="CJ174" i="90"/>
  <c r="DJ174" i="90" s="1"/>
  <c r="CJ175" i="90"/>
  <c r="DJ175" i="90" s="1"/>
  <c r="CJ92" i="90"/>
  <c r="DJ92" i="90" s="1"/>
  <c r="CJ130" i="90"/>
  <c r="DJ130" i="90" s="1"/>
  <c r="FL130" i="90" s="1"/>
  <c r="CU130" i="90" s="1"/>
  <c r="AF130" i="56" s="1"/>
  <c r="CJ139" i="90"/>
  <c r="DJ139" i="90" s="1"/>
  <c r="FL139" i="90" s="1"/>
  <c r="CU139" i="90" s="1"/>
  <c r="AF139" i="56" s="1"/>
  <c r="CJ145" i="90"/>
  <c r="DJ145" i="90" s="1"/>
  <c r="FL145" i="90" s="1"/>
  <c r="CU145" i="90" s="1"/>
  <c r="AF145" i="56" s="1"/>
  <c r="CJ150" i="90"/>
  <c r="DJ150" i="90" s="1"/>
  <c r="CJ153" i="90"/>
  <c r="DJ153" i="90" s="1"/>
  <c r="CJ156" i="90"/>
  <c r="DJ156" i="90" s="1"/>
  <c r="CJ158" i="90"/>
  <c r="DJ158" i="90" s="1"/>
  <c r="FL158" i="90" s="1"/>
  <c r="CU158" i="90" s="1"/>
  <c r="AF158" i="56" s="1"/>
  <c r="CJ164" i="90"/>
  <c r="DJ164" i="90" s="1"/>
  <c r="FL164" i="90" s="1"/>
  <c r="CU164" i="90" s="1"/>
  <c r="AF164" i="56" s="1"/>
  <c r="CJ176" i="90"/>
  <c r="DJ176" i="90" s="1"/>
  <c r="CJ179" i="90"/>
  <c r="DJ179" i="90" s="1"/>
  <c r="FL179" i="90" s="1"/>
  <c r="CU179" i="90" s="1"/>
  <c r="AF179" i="56" s="1"/>
  <c r="CJ180" i="90"/>
  <c r="DJ180" i="90" s="1"/>
  <c r="FL180" i="90" s="1"/>
  <c r="CU180" i="90" s="1"/>
  <c r="AF180" i="56" s="1"/>
  <c r="CJ121" i="90"/>
  <c r="DJ121" i="90" s="1"/>
  <c r="CJ129" i="90"/>
  <c r="DJ129" i="90" s="1"/>
  <c r="FL129" i="90" s="1"/>
  <c r="CU129" i="90" s="1"/>
  <c r="AF129" i="56" s="1"/>
  <c r="CJ131" i="90"/>
  <c r="DJ131" i="90" s="1"/>
  <c r="CJ165" i="90"/>
  <c r="DJ165" i="90" s="1"/>
  <c r="FL165" i="90" s="1"/>
  <c r="CU165" i="90" s="1"/>
  <c r="AF165" i="56" s="1"/>
  <c r="CJ166" i="90"/>
  <c r="DJ166" i="90" s="1"/>
  <c r="FL166" i="90" s="1"/>
  <c r="CU166" i="90" s="1"/>
  <c r="AF166" i="56" s="1"/>
  <c r="CJ167" i="90"/>
  <c r="DJ167" i="90" s="1"/>
  <c r="FL167" i="90" s="1"/>
  <c r="CU167" i="90" s="1"/>
  <c r="AF167" i="56" s="1"/>
  <c r="CJ168" i="90"/>
  <c r="DJ168" i="90" s="1"/>
  <c r="FL168" i="90" s="1"/>
  <c r="CU168" i="90" s="1"/>
  <c r="AF168" i="56" s="1"/>
  <c r="CJ181" i="90"/>
  <c r="DJ181" i="90" s="1"/>
  <c r="FL181" i="90" s="1"/>
  <c r="CU181" i="90" s="1"/>
  <c r="AF181" i="56" s="1"/>
  <c r="CJ182" i="90"/>
  <c r="DJ182" i="90" s="1"/>
  <c r="FL182" i="90" s="1"/>
  <c r="CU182" i="90" s="1"/>
  <c r="AF182" i="56" s="1"/>
  <c r="CJ194" i="90"/>
  <c r="DJ194" i="90" s="1"/>
  <c r="CJ195" i="90"/>
  <c r="DJ195" i="90" s="1"/>
  <c r="FL195" i="90" s="1"/>
  <c r="CU195" i="90" s="1"/>
  <c r="AF195" i="56" s="1"/>
  <c r="CJ200" i="90"/>
  <c r="DJ200" i="90" s="1"/>
  <c r="FL200" i="90" s="1"/>
  <c r="CU200" i="90" s="1"/>
  <c r="AF200" i="56" s="1"/>
  <c r="CJ201" i="90"/>
  <c r="DJ201" i="90" s="1"/>
  <c r="FL201" i="90" s="1"/>
  <c r="CU201" i="90" s="1"/>
  <c r="AF201" i="56" s="1"/>
  <c r="CJ74" i="90"/>
  <c r="DJ74" i="90" s="1"/>
  <c r="CJ154" i="90"/>
  <c r="DJ154" i="90" s="1"/>
  <c r="FL154" i="90" s="1"/>
  <c r="CU154" i="90" s="1"/>
  <c r="AF154" i="56" s="1"/>
  <c r="CJ202" i="90"/>
  <c r="DJ202" i="90" s="1"/>
  <c r="FL202" i="90" s="1"/>
  <c r="CU202" i="90" s="1"/>
  <c r="AF202" i="56" s="1"/>
  <c r="CJ203" i="90"/>
  <c r="DJ203" i="90" s="1"/>
  <c r="FL203" i="90" s="1"/>
  <c r="CU203" i="90" s="1"/>
  <c r="AF203" i="56" s="1"/>
  <c r="CJ143" i="90"/>
  <c r="DJ143" i="90" s="1"/>
  <c r="FL143" i="90" s="1"/>
  <c r="CU143" i="90" s="1"/>
  <c r="AF143" i="56" s="1"/>
  <c r="CJ149" i="90"/>
  <c r="DJ149" i="90" s="1"/>
  <c r="CJ183" i="90"/>
  <c r="DJ183" i="90" s="1"/>
  <c r="CJ187" i="90"/>
  <c r="DJ187" i="90" s="1"/>
  <c r="FL187" i="90" s="1"/>
  <c r="CU187" i="90" s="1"/>
  <c r="AF187" i="56" s="1"/>
  <c r="CJ188" i="90"/>
  <c r="DJ188" i="90" s="1"/>
  <c r="FL188" i="90" s="1"/>
  <c r="CU188" i="90" s="1"/>
  <c r="AF188" i="56" s="1"/>
  <c r="CJ189" i="90"/>
  <c r="DJ189" i="90" s="1"/>
  <c r="FL189" i="90" s="1"/>
  <c r="CU189" i="90" s="1"/>
  <c r="AF189" i="56" s="1"/>
  <c r="CJ190" i="90"/>
  <c r="DJ190" i="90" s="1"/>
  <c r="CJ191" i="90"/>
  <c r="DJ191" i="90" s="1"/>
  <c r="FL191" i="90" s="1"/>
  <c r="CU191" i="90" s="1"/>
  <c r="AF191" i="56" s="1"/>
  <c r="CJ196" i="90"/>
  <c r="DJ196" i="90" s="1"/>
  <c r="FL196" i="90" s="1"/>
  <c r="CU196" i="90" s="1"/>
  <c r="AF196" i="56" s="1"/>
  <c r="CJ197" i="90"/>
  <c r="DJ197" i="90" s="1"/>
  <c r="FL197" i="90" s="1"/>
  <c r="CU197" i="90" s="1"/>
  <c r="AF197" i="56" s="1"/>
  <c r="CJ73" i="90"/>
  <c r="DJ73" i="90" s="1"/>
  <c r="CJ77" i="90"/>
  <c r="DJ77" i="90" s="1"/>
  <c r="FL77" i="90" s="1"/>
  <c r="CU77" i="90" s="1"/>
  <c r="AF77" i="56" s="1"/>
  <c r="CJ78" i="90"/>
  <c r="DJ78" i="90" s="1"/>
  <c r="FL78" i="90" s="1"/>
  <c r="CU78" i="90" s="1"/>
  <c r="AF78" i="56" s="1"/>
  <c r="CJ79" i="90"/>
  <c r="DJ79" i="90" s="1"/>
  <c r="CJ80" i="90"/>
  <c r="DJ80" i="90" s="1"/>
  <c r="FL80" i="90" s="1"/>
  <c r="CU80" i="90" s="1"/>
  <c r="AF80" i="56" s="1"/>
  <c r="CJ81" i="90"/>
  <c r="DJ81" i="90" s="1"/>
  <c r="FL81" i="90" s="1"/>
  <c r="CU81" i="90" s="1"/>
  <c r="AF81" i="56" s="1"/>
  <c r="CJ88" i="90"/>
  <c r="DJ88" i="90" s="1"/>
  <c r="FL88" i="90" s="1"/>
  <c r="CU88" i="90" s="1"/>
  <c r="AF88" i="56" s="1"/>
  <c r="CJ66" i="90"/>
  <c r="DJ66" i="90" s="1"/>
  <c r="FL66" i="90" s="1"/>
  <c r="CU66" i="90" s="1"/>
  <c r="AF66" i="56" s="1"/>
  <c r="CJ67" i="90"/>
  <c r="DJ67" i="90" s="1"/>
  <c r="FL67" i="90" s="1"/>
  <c r="CU67" i="90" s="1"/>
  <c r="AF67" i="56" s="1"/>
  <c r="CJ68" i="90"/>
  <c r="DJ68" i="90" s="1"/>
  <c r="CJ146" i="90"/>
  <c r="DJ146" i="90" s="1"/>
  <c r="FL146" i="90" s="1"/>
  <c r="CU146" i="90" s="1"/>
  <c r="AF146" i="56" s="1"/>
  <c r="CJ184" i="90"/>
  <c r="DJ184" i="90" s="1"/>
  <c r="FL184" i="90" s="1"/>
  <c r="CU184" i="90" s="1"/>
  <c r="AF184" i="56" s="1"/>
  <c r="CJ185" i="90"/>
  <c r="DJ185" i="90" s="1"/>
  <c r="FL185" i="90" s="1"/>
  <c r="CU185" i="90" s="1"/>
  <c r="AF185" i="56" s="1"/>
  <c r="CJ186" i="90"/>
  <c r="DJ186" i="90" s="1"/>
  <c r="FL186" i="90" s="1"/>
  <c r="CU186" i="90" s="1"/>
  <c r="AF186" i="56" s="1"/>
  <c r="CJ192" i="90"/>
  <c r="DJ192" i="90" s="1"/>
  <c r="FL192" i="90" s="1"/>
  <c r="CU192" i="90" s="1"/>
  <c r="AF192" i="56" s="1"/>
  <c r="CJ193" i="90"/>
  <c r="DJ193" i="90" s="1"/>
  <c r="FL193" i="90" s="1"/>
  <c r="CU193" i="90" s="1"/>
  <c r="AF193" i="56" s="1"/>
  <c r="CJ198" i="90"/>
  <c r="DJ198" i="90" s="1"/>
  <c r="FL198" i="90" s="1"/>
  <c r="CU198" i="90" s="1"/>
  <c r="AF198" i="56" s="1"/>
  <c r="CJ199" i="90"/>
  <c r="DJ199" i="90" s="1"/>
  <c r="FL199" i="90" s="1"/>
  <c r="CU199" i="90" s="1"/>
  <c r="AF199" i="56" s="1"/>
  <c r="CJ75" i="90"/>
  <c r="DJ75" i="90" s="1"/>
  <c r="CJ76" i="90"/>
  <c r="DJ76" i="90" s="1"/>
  <c r="FL76" i="90" s="1"/>
  <c r="CU76" i="90" s="1"/>
  <c r="AF76" i="56" s="1"/>
  <c r="CJ82" i="90"/>
  <c r="DJ82" i="90" s="1"/>
  <c r="FL82" i="90" s="1"/>
  <c r="CU82" i="90" s="1"/>
  <c r="AF82" i="56" s="1"/>
  <c r="CJ83" i="90"/>
  <c r="DJ83" i="90" s="1"/>
  <c r="CJ84" i="90"/>
  <c r="DJ84" i="90" s="1"/>
  <c r="FL84" i="90" s="1"/>
  <c r="CU84" i="90" s="1"/>
  <c r="AF84" i="56" s="1"/>
  <c r="CJ85" i="90"/>
  <c r="DJ85" i="90" s="1"/>
  <c r="FL85" i="90" s="1"/>
  <c r="CU85" i="90" s="1"/>
  <c r="AF85" i="56" s="1"/>
  <c r="CJ86" i="90"/>
  <c r="DJ86" i="90" s="1"/>
  <c r="CJ64" i="90"/>
  <c r="DJ64" i="90" s="1"/>
  <c r="CJ87" i="90"/>
  <c r="DJ87" i="90" s="1"/>
  <c r="CJ69" i="90"/>
  <c r="DJ69" i="90" s="1"/>
  <c r="FL69" i="90" s="1"/>
  <c r="CU69" i="90" s="1"/>
  <c r="AF69" i="56" s="1"/>
  <c r="CJ70" i="90"/>
  <c r="DJ70" i="90" s="1"/>
  <c r="FL70" i="90" s="1"/>
  <c r="CU70" i="90" s="1"/>
  <c r="AF70" i="56" s="1"/>
  <c r="CJ71" i="90"/>
  <c r="DJ71" i="90" s="1"/>
  <c r="CJ72" i="90"/>
  <c r="DJ72" i="90" s="1"/>
  <c r="FL72" i="90" s="1"/>
  <c r="CU72" i="90" s="1"/>
  <c r="AF72" i="56" s="1"/>
  <c r="CJ65" i="90"/>
  <c r="DJ65" i="90" s="1"/>
  <c r="FL65" i="90" s="1"/>
  <c r="CU65" i="90" s="1"/>
  <c r="AF65" i="56" s="1"/>
  <c r="CJ55" i="90"/>
  <c r="DJ55" i="90" s="1"/>
  <c r="FL55" i="90" s="1"/>
  <c r="CU55" i="90" s="1"/>
  <c r="AF55" i="56" s="1"/>
  <c r="CJ57" i="90"/>
  <c r="DJ57" i="90" s="1"/>
  <c r="CJ59" i="90"/>
  <c r="DJ59" i="90" s="1"/>
  <c r="FL59" i="90" s="1"/>
  <c r="CU59" i="90" s="1"/>
  <c r="AF59" i="56" s="1"/>
  <c r="CJ60" i="90"/>
  <c r="DJ60" i="90" s="1"/>
  <c r="FL60" i="90" s="1"/>
  <c r="CU60" i="90" s="1"/>
  <c r="AF60" i="56" s="1"/>
  <c r="CJ56" i="90"/>
  <c r="DJ56" i="90" s="1"/>
  <c r="CJ58" i="90"/>
  <c r="DJ58" i="90" s="1"/>
  <c r="FL58" i="90" s="1"/>
  <c r="CU58" i="90" s="1"/>
  <c r="AF58" i="56" s="1"/>
  <c r="FK167" i="90"/>
  <c r="CT167" i="90" s="1"/>
  <c r="AE167" i="56" s="1"/>
  <c r="FL140" i="90"/>
  <c r="CU140" i="90" s="1"/>
  <c r="AF140" i="56" s="1"/>
  <c r="FK55" i="90"/>
  <c r="CT55" i="90" s="1"/>
  <c r="AE55" i="56" s="1"/>
  <c r="FK60" i="90"/>
  <c r="CT60" i="90" s="1"/>
  <c r="AE60" i="56" s="1"/>
  <c r="FK81" i="90"/>
  <c r="CT81" i="90" s="1"/>
  <c r="AE81" i="56" s="1"/>
  <c r="FK88" i="90"/>
  <c r="CT88" i="90" s="1"/>
  <c r="AE88" i="56" s="1"/>
  <c r="FK69" i="90"/>
  <c r="CT69" i="90" s="1"/>
  <c r="AE69" i="56" s="1"/>
  <c r="FK182" i="90"/>
  <c r="CT182" i="90" s="1"/>
  <c r="AE182" i="56" s="1"/>
  <c r="FK197" i="90"/>
  <c r="CT197" i="90" s="1"/>
  <c r="AE197" i="56" s="1"/>
  <c r="FK189" i="90"/>
  <c r="CT189" i="90" s="1"/>
  <c r="AE189" i="56" s="1"/>
  <c r="FK162" i="90"/>
  <c r="CT162" i="90" s="1"/>
  <c r="AE162" i="56" s="1"/>
  <c r="FK213" i="90"/>
  <c r="CT213" i="90" s="1"/>
  <c r="AE213" i="56" s="1"/>
  <c r="FK165" i="90"/>
  <c r="CT165" i="90" s="1"/>
  <c r="AE165" i="56" s="1"/>
  <c r="FK164" i="90"/>
  <c r="CT164" i="90" s="1"/>
  <c r="AE164" i="56" s="1"/>
  <c r="FK145" i="90"/>
  <c r="CT145" i="90" s="1"/>
  <c r="AE145" i="56" s="1"/>
  <c r="FL133" i="90"/>
  <c r="CU133" i="90" s="1"/>
  <c r="AF133" i="56" s="1"/>
  <c r="FK133" i="90"/>
  <c r="CT133" i="90" s="1"/>
  <c r="AE133" i="56" s="1"/>
  <c r="FK138" i="90"/>
  <c r="CT138" i="90" s="1"/>
  <c r="AE138" i="56" s="1"/>
  <c r="FK126" i="90"/>
  <c r="CT126" i="90" s="1"/>
  <c r="AE126" i="56" s="1"/>
  <c r="FK92" i="90"/>
  <c r="CT92" i="90" s="1"/>
  <c r="AE92" i="56" s="1"/>
  <c r="FL92" i="90"/>
  <c r="CU92" i="90" s="1"/>
  <c r="AF92" i="56" s="1"/>
  <c r="FK89" i="90"/>
  <c r="CT89" i="90" s="1"/>
  <c r="AE89" i="56" s="1"/>
  <c r="FL113" i="90"/>
  <c r="CU113" i="90" s="1"/>
  <c r="AF113" i="56" s="1"/>
  <c r="FK144" i="90"/>
  <c r="CT144" i="90" s="1"/>
  <c r="AE144" i="56" s="1"/>
  <c r="FL127" i="90"/>
  <c r="CU127" i="90" s="1"/>
  <c r="AF127" i="56" s="1"/>
  <c r="FK117" i="90"/>
  <c r="CT117" i="90" s="1"/>
  <c r="AE117" i="56" s="1"/>
  <c r="FK105" i="90"/>
  <c r="CT105" i="90" s="1"/>
  <c r="AE105" i="56" s="1"/>
  <c r="FK95" i="90"/>
  <c r="CT95" i="90" s="1"/>
  <c r="AE95" i="56" s="1"/>
  <c r="FK214" i="90"/>
  <c r="CT214" i="90" s="1"/>
  <c r="AE214" i="56" s="1"/>
  <c r="FK111" i="90"/>
  <c r="CT111" i="90" s="1"/>
  <c r="AE111" i="56" s="1"/>
  <c r="FK223" i="90"/>
  <c r="CT223" i="90" s="1"/>
  <c r="AE223" i="56" s="1"/>
  <c r="FL223" i="90"/>
  <c r="CU223" i="90" s="1"/>
  <c r="AF223" i="56" s="1"/>
  <c r="FK235" i="90"/>
  <c r="CT235" i="90" s="1"/>
  <c r="AE235" i="56" s="1"/>
  <c r="FL226" i="90"/>
  <c r="CU226" i="90" s="1"/>
  <c r="AF226" i="56" s="1"/>
  <c r="FK226" i="90"/>
  <c r="CT226" i="90" s="1"/>
  <c r="AE226" i="56" s="1"/>
  <c r="FK218" i="90"/>
  <c r="CT218" i="90" s="1"/>
  <c r="AE218" i="56" s="1"/>
  <c r="FK216" i="90"/>
  <c r="CT216" i="90" s="1"/>
  <c r="AE216" i="56" s="1"/>
  <c r="FK301" i="90"/>
  <c r="CT301" i="90" s="1"/>
  <c r="AE301" i="56" s="1"/>
  <c r="FK204" i="90"/>
  <c r="CT204" i="90" s="1"/>
  <c r="AE204" i="56" s="1"/>
  <c r="FK278" i="90"/>
  <c r="CT278" i="90" s="1"/>
  <c r="AE278" i="56" s="1"/>
  <c r="FL279" i="90"/>
  <c r="CU279" i="90" s="1"/>
  <c r="AF279" i="56" s="1"/>
  <c r="FK279" i="90"/>
  <c r="CT279" i="90" s="1"/>
  <c r="AE279" i="56" s="1"/>
  <c r="FK289" i="90"/>
  <c r="CT289" i="90" s="1"/>
  <c r="AE289" i="56" s="1"/>
  <c r="FL289" i="90"/>
  <c r="CU289" i="90" s="1"/>
  <c r="AF289" i="56" s="1"/>
  <c r="FL254" i="90"/>
  <c r="CU254" i="90" s="1"/>
  <c r="AF254" i="56" s="1"/>
  <c r="FK254" i="90"/>
  <c r="CT254" i="90" s="1"/>
  <c r="AE254" i="56" s="1"/>
  <c r="FK255" i="90"/>
  <c r="CT255" i="90" s="1"/>
  <c r="AE255" i="56" s="1"/>
  <c r="FK257" i="90"/>
  <c r="CT257" i="90" s="1"/>
  <c r="AE257" i="56" s="1"/>
  <c r="FL257" i="90"/>
  <c r="CU257" i="90" s="1"/>
  <c r="AF257" i="56" s="1"/>
  <c r="FK361" i="90"/>
  <c r="CT361" i="90" s="1"/>
  <c r="AE361" i="56" s="1"/>
  <c r="FK348" i="90"/>
  <c r="CT348" i="90" s="1"/>
  <c r="AE348" i="56" s="1"/>
  <c r="FK344" i="90"/>
  <c r="CT344" i="90" s="1"/>
  <c r="AE344" i="56" s="1"/>
  <c r="FK140" i="90"/>
  <c r="CT140" i="90" s="1"/>
  <c r="AE140" i="56" s="1"/>
  <c r="FK284" i="90"/>
  <c r="CT284" i="90" s="1"/>
  <c r="AE284" i="56" s="1"/>
  <c r="FK129" i="90"/>
  <c r="CT129" i="90" s="1"/>
  <c r="AE129" i="56" s="1"/>
  <c r="FL160" i="90"/>
  <c r="CU160" i="90" s="1"/>
  <c r="AF160" i="56" s="1"/>
  <c r="FK160" i="90"/>
  <c r="CT160" i="90" s="1"/>
  <c r="AE160" i="56" s="1"/>
  <c r="FK179" i="90"/>
  <c r="CT179" i="90" s="1"/>
  <c r="AE179" i="56" s="1"/>
  <c r="FK139" i="90"/>
  <c r="CT139" i="90" s="1"/>
  <c r="AE139" i="56" s="1"/>
  <c r="FK231" i="90"/>
  <c r="CT231" i="90" s="1"/>
  <c r="AE231" i="56" s="1"/>
  <c r="FL147" i="90"/>
  <c r="CU147" i="90" s="1"/>
  <c r="AF147" i="56" s="1"/>
  <c r="FK147" i="90"/>
  <c r="CT147" i="90" s="1"/>
  <c r="AE147" i="56" s="1"/>
  <c r="FK94" i="90"/>
  <c r="CT94" i="90" s="1"/>
  <c r="AE94" i="56" s="1"/>
  <c r="FK233" i="90"/>
  <c r="CT233" i="90" s="1"/>
  <c r="AE233" i="56" s="1"/>
  <c r="FK288" i="90"/>
  <c r="CT288" i="90" s="1"/>
  <c r="AE288" i="56" s="1"/>
  <c r="FL288" i="90"/>
  <c r="CU288" i="90" s="1"/>
  <c r="AF288" i="56" s="1"/>
  <c r="FK281" i="90"/>
  <c r="CT281" i="90" s="1"/>
  <c r="AE281" i="56" s="1"/>
  <c r="FL260" i="90"/>
  <c r="CU260" i="90" s="1"/>
  <c r="AF260" i="56" s="1"/>
  <c r="FK363" i="90"/>
  <c r="CT363" i="90" s="1"/>
  <c r="AE363" i="56" s="1"/>
  <c r="FL363" i="90"/>
  <c r="CU363" i="90" s="1"/>
  <c r="AF363" i="56" s="1"/>
  <c r="FL342" i="90"/>
  <c r="CU342" i="90" s="1"/>
  <c r="AF342" i="56" s="1"/>
  <c r="FL121" i="90"/>
  <c r="CU121" i="90" s="1"/>
  <c r="AF121" i="56" s="1"/>
  <c r="FK227" i="90"/>
  <c r="CT227" i="90" s="1"/>
  <c r="AE227" i="56" s="1"/>
  <c r="FK71" i="90"/>
  <c r="CT71" i="90" s="1"/>
  <c r="AE71" i="56" s="1"/>
  <c r="FK171" i="90"/>
  <c r="CT171" i="90" s="1"/>
  <c r="AE171" i="56" s="1"/>
  <c r="FK192" i="90"/>
  <c r="CT192" i="90" s="1"/>
  <c r="AE192" i="56" s="1"/>
  <c r="FK102" i="90"/>
  <c r="CT102" i="90" s="1"/>
  <c r="AE102" i="56" s="1"/>
  <c r="FL57" i="90"/>
  <c r="CU57" i="90" s="1"/>
  <c r="AF57" i="56" s="1"/>
  <c r="FK57" i="90"/>
  <c r="CT57" i="90" s="1"/>
  <c r="AE57" i="56" s="1"/>
  <c r="FK80" i="90"/>
  <c r="CT80" i="90" s="1"/>
  <c r="AE80" i="56" s="1"/>
  <c r="FK65" i="90"/>
  <c r="CT65" i="90" s="1"/>
  <c r="AE65" i="56" s="1"/>
  <c r="FK193" i="90"/>
  <c r="CT193" i="90" s="1"/>
  <c r="AE193" i="56" s="1"/>
  <c r="FK184" i="90"/>
  <c r="CT184" i="90" s="1"/>
  <c r="AE184" i="56" s="1"/>
  <c r="FK78" i="90"/>
  <c r="CT78" i="90" s="1"/>
  <c r="AE78" i="56" s="1"/>
  <c r="FK196" i="90"/>
  <c r="CT196" i="90" s="1"/>
  <c r="AE196" i="56" s="1"/>
  <c r="FK188" i="90"/>
  <c r="CT188" i="90" s="1"/>
  <c r="AE188" i="56" s="1"/>
  <c r="FK202" i="90"/>
  <c r="CT202" i="90" s="1"/>
  <c r="AE202" i="56" s="1"/>
  <c r="FK168" i="90"/>
  <c r="CT168" i="90" s="1"/>
  <c r="AE168" i="56" s="1"/>
  <c r="FK96" i="90"/>
  <c r="CT96" i="90" s="1"/>
  <c r="AE96" i="56" s="1"/>
  <c r="FL96" i="90"/>
  <c r="CU96" i="90" s="1"/>
  <c r="AF96" i="56" s="1"/>
  <c r="FK158" i="90"/>
  <c r="CT158" i="90" s="1"/>
  <c r="AE158" i="56" s="1"/>
  <c r="FK142" i="90"/>
  <c r="CT142" i="90" s="1"/>
  <c r="AE142" i="56" s="1"/>
  <c r="FL172" i="90"/>
  <c r="CU172" i="90" s="1"/>
  <c r="AF172" i="56" s="1"/>
  <c r="FK136" i="90"/>
  <c r="CT136" i="90" s="1"/>
  <c r="AE136" i="56" s="1"/>
  <c r="FK124" i="90"/>
  <c r="CT124" i="90" s="1"/>
  <c r="AE124" i="56" s="1"/>
  <c r="FL209" i="90"/>
  <c r="CU209" i="90" s="1"/>
  <c r="AF209" i="56" s="1"/>
  <c r="FK209" i="90"/>
  <c r="CT209" i="90" s="1"/>
  <c r="AE209" i="56" s="1"/>
  <c r="FK228" i="90"/>
  <c r="CT228" i="90" s="1"/>
  <c r="AE228" i="56" s="1"/>
  <c r="FL228" i="90"/>
  <c r="CU228" i="90" s="1"/>
  <c r="AF228" i="56" s="1"/>
  <c r="FK110" i="90"/>
  <c r="CT110" i="90" s="1"/>
  <c r="AE110" i="56" s="1"/>
  <c r="FL110" i="90"/>
  <c r="CU110" i="90" s="1"/>
  <c r="AF110" i="56" s="1"/>
  <c r="FK97" i="90"/>
  <c r="CT97" i="90" s="1"/>
  <c r="AE97" i="56" s="1"/>
  <c r="FK155" i="90"/>
  <c r="CT155" i="90" s="1"/>
  <c r="AE155" i="56" s="1"/>
  <c r="FK143" i="90"/>
  <c r="CT143" i="90" s="1"/>
  <c r="AE143" i="56" s="1"/>
  <c r="FK123" i="90"/>
  <c r="CT123" i="90" s="1"/>
  <c r="AE123" i="56" s="1"/>
  <c r="FK115" i="90"/>
  <c r="CT115" i="90" s="1"/>
  <c r="AE115" i="56" s="1"/>
  <c r="FK104" i="90"/>
  <c r="CT104" i="90" s="1"/>
  <c r="AE104" i="56" s="1"/>
  <c r="FK91" i="90"/>
  <c r="CT91" i="90" s="1"/>
  <c r="AE91" i="56" s="1"/>
  <c r="FL212" i="90"/>
  <c r="CU212" i="90" s="1"/>
  <c r="AF212" i="56" s="1"/>
  <c r="FL100" i="90"/>
  <c r="CU100" i="90" s="1"/>
  <c r="AF100" i="56" s="1"/>
  <c r="FK100" i="90"/>
  <c r="CT100" i="90" s="1"/>
  <c r="AE100" i="56" s="1"/>
  <c r="FK308" i="90"/>
  <c r="CT308" i="90" s="1"/>
  <c r="AE308" i="56" s="1"/>
  <c r="FL308" i="90"/>
  <c r="CU308" i="90" s="1"/>
  <c r="AF308" i="56" s="1"/>
  <c r="FK234" i="90"/>
  <c r="CT234" i="90" s="1"/>
  <c r="AE234" i="56" s="1"/>
  <c r="FL234" i="90"/>
  <c r="CU234" i="90" s="1"/>
  <c r="AF234" i="56" s="1"/>
  <c r="FK217" i="90"/>
  <c r="CT217" i="90" s="1"/>
  <c r="AE217" i="56" s="1"/>
  <c r="FK304" i="90"/>
  <c r="CT304" i="90" s="1"/>
  <c r="AE304" i="56" s="1"/>
  <c r="FK299" i="90"/>
  <c r="CT299" i="90" s="1"/>
  <c r="AE299" i="56" s="1"/>
  <c r="FL299" i="90"/>
  <c r="CU299" i="90" s="1"/>
  <c r="AF299" i="56" s="1"/>
  <c r="FL294" i="90"/>
  <c r="CU294" i="90" s="1"/>
  <c r="AF294" i="56" s="1"/>
  <c r="FK294" i="90"/>
  <c r="CT294" i="90" s="1"/>
  <c r="AE294" i="56" s="1"/>
  <c r="FK283" i="90"/>
  <c r="CT283" i="90" s="1"/>
  <c r="AE283" i="56" s="1"/>
  <c r="FK286" i="90"/>
  <c r="CT286" i="90" s="1"/>
  <c r="AE286" i="56" s="1"/>
  <c r="FL286" i="90"/>
  <c r="CU286" i="90" s="1"/>
  <c r="AF286" i="56" s="1"/>
  <c r="FL263" i="90"/>
  <c r="CU263" i="90" s="1"/>
  <c r="AF263" i="56" s="1"/>
  <c r="FK263" i="90"/>
  <c r="CT263" i="90" s="1"/>
  <c r="AE263" i="56" s="1"/>
  <c r="FK271" i="90"/>
  <c r="CT271" i="90" s="1"/>
  <c r="AE271" i="56" s="1"/>
  <c r="FK264" i="90"/>
  <c r="CT264" i="90" s="1"/>
  <c r="AE264" i="56" s="1"/>
  <c r="FL270" i="90"/>
  <c r="CU270" i="90" s="1"/>
  <c r="AF270" i="56" s="1"/>
  <c r="FK270" i="90"/>
  <c r="CT270" i="90" s="1"/>
  <c r="AE270" i="56" s="1"/>
  <c r="FK275" i="90"/>
  <c r="CT275" i="90" s="1"/>
  <c r="AE275" i="56" s="1"/>
  <c r="FL275" i="90"/>
  <c r="CU275" i="90" s="1"/>
  <c r="AF275" i="56" s="1"/>
  <c r="FK251" i="90"/>
  <c r="CT251" i="90" s="1"/>
  <c r="AE251" i="56" s="1"/>
  <c r="FK356" i="90"/>
  <c r="CT356" i="90" s="1"/>
  <c r="AE356" i="56" s="1"/>
  <c r="FL356" i="90"/>
  <c r="CU356" i="90" s="1"/>
  <c r="AF356" i="56" s="1"/>
  <c r="FK355" i="90"/>
  <c r="CT355" i="90" s="1"/>
  <c r="AE355" i="56" s="1"/>
  <c r="FL355" i="90"/>
  <c r="CU355" i="90" s="1"/>
  <c r="AF355" i="56" s="1"/>
  <c r="FK340" i="90"/>
  <c r="CT340" i="90" s="1"/>
  <c r="AE340" i="56" s="1"/>
  <c r="FK343" i="90"/>
  <c r="CT343" i="90" s="1"/>
  <c r="AE343" i="56" s="1"/>
  <c r="FL258" i="90"/>
  <c r="CU258" i="90" s="1"/>
  <c r="AF258" i="56" s="1"/>
  <c r="FL83" i="90"/>
  <c r="CU83" i="90" s="1"/>
  <c r="AF83" i="56" s="1"/>
  <c r="FK225" i="90"/>
  <c r="CT225" i="90" s="1"/>
  <c r="AE225" i="56" s="1"/>
  <c r="FL358" i="90"/>
  <c r="CU358" i="90" s="1"/>
  <c r="AF358" i="56" s="1"/>
  <c r="CI45" i="90"/>
  <c r="DI46" i="90"/>
  <c r="FK46" i="90" s="1"/>
  <c r="CT46" i="90" s="1"/>
  <c r="AE46" i="56" s="1"/>
  <c r="AE84" i="44"/>
  <c r="AE99" i="44"/>
  <c r="AE89" i="44"/>
  <c r="AE137" i="44" s="1"/>
  <c r="AE85" i="44"/>
  <c r="AE90" i="44"/>
  <c r="AE123" i="44" s="1"/>
  <c r="AE96" i="44"/>
  <c r="AE87" i="44"/>
  <c r="AE86" i="44"/>
  <c r="AE136" i="44"/>
  <c r="AL15" i="40"/>
  <c r="CJ393" i="90"/>
  <c r="DJ393" i="90" s="1"/>
  <c r="FL393" i="90" s="1"/>
  <c r="CU393" i="90" s="1"/>
  <c r="AF393" i="56" s="1"/>
  <c r="CJ389" i="90"/>
  <c r="DJ389" i="90" s="1"/>
  <c r="FL389" i="90" s="1"/>
  <c r="CU389" i="90" s="1"/>
  <c r="AF389" i="56" s="1"/>
  <c r="CJ385" i="90"/>
  <c r="DJ385" i="90" s="1"/>
  <c r="FL385" i="90" s="1"/>
  <c r="CU385" i="90" s="1"/>
  <c r="AF385" i="56" s="1"/>
  <c r="CJ381" i="90"/>
  <c r="DJ381" i="90" s="1"/>
  <c r="FL381" i="90" s="1"/>
  <c r="CU381" i="90" s="1"/>
  <c r="AF381" i="56" s="1"/>
  <c r="CJ377" i="90"/>
  <c r="DJ377" i="90" s="1"/>
  <c r="FL377" i="90" s="1"/>
  <c r="CU377" i="90" s="1"/>
  <c r="AF377" i="56" s="1"/>
  <c r="CJ373" i="90"/>
  <c r="DJ373" i="90" s="1"/>
  <c r="FL373" i="90" s="1"/>
  <c r="CU373" i="90" s="1"/>
  <c r="AF373" i="56" s="1"/>
  <c r="CJ369" i="90"/>
  <c r="DJ369" i="90" s="1"/>
  <c r="FL369" i="90" s="1"/>
  <c r="CU369" i="90" s="1"/>
  <c r="AF369" i="56" s="1"/>
  <c r="CJ365" i="90"/>
  <c r="DJ365" i="90" s="1"/>
  <c r="FL365" i="90" s="1"/>
  <c r="CU365" i="90" s="1"/>
  <c r="AF365" i="56" s="1"/>
  <c r="CJ336" i="90"/>
  <c r="DJ336" i="90" s="1"/>
  <c r="FL336" i="90" s="1"/>
  <c r="CU336" i="90" s="1"/>
  <c r="AF336" i="56" s="1"/>
  <c r="CJ332" i="90"/>
  <c r="DJ332" i="90" s="1"/>
  <c r="FL332" i="90" s="1"/>
  <c r="CU332" i="90" s="1"/>
  <c r="AF332" i="56" s="1"/>
  <c r="CJ328" i="90"/>
  <c r="DJ328" i="90" s="1"/>
  <c r="FL328" i="90" s="1"/>
  <c r="CU328" i="90" s="1"/>
  <c r="AF328" i="56" s="1"/>
  <c r="CJ324" i="90"/>
  <c r="DJ324" i="90" s="1"/>
  <c r="FL324" i="90" s="1"/>
  <c r="CU324" i="90" s="1"/>
  <c r="AF324" i="56" s="1"/>
  <c r="CJ320" i="90"/>
  <c r="DJ320" i="90" s="1"/>
  <c r="FL320" i="90" s="1"/>
  <c r="CU320" i="90" s="1"/>
  <c r="AF320" i="56" s="1"/>
  <c r="CJ316" i="90"/>
  <c r="DJ316" i="90" s="1"/>
  <c r="FL316" i="90" s="1"/>
  <c r="CU316" i="90" s="1"/>
  <c r="AF316" i="56" s="1"/>
  <c r="CJ312" i="90"/>
  <c r="DJ312" i="90" s="1"/>
  <c r="CJ396" i="90"/>
  <c r="DJ396" i="90" s="1"/>
  <c r="FL396" i="90" s="1"/>
  <c r="CU396" i="90" s="1"/>
  <c r="AF396" i="56" s="1"/>
  <c r="CJ392" i="90"/>
  <c r="DJ392" i="90" s="1"/>
  <c r="FL392" i="90" s="1"/>
  <c r="CU392" i="90" s="1"/>
  <c r="AF392" i="56" s="1"/>
  <c r="CJ388" i="90"/>
  <c r="DJ388" i="90" s="1"/>
  <c r="FL388" i="90" s="1"/>
  <c r="CU388" i="90" s="1"/>
  <c r="AF388" i="56" s="1"/>
  <c r="CJ384" i="90"/>
  <c r="DJ384" i="90" s="1"/>
  <c r="FL384" i="90" s="1"/>
  <c r="CU384" i="90" s="1"/>
  <c r="AF384" i="56" s="1"/>
  <c r="CJ380" i="90"/>
  <c r="DJ380" i="90" s="1"/>
  <c r="FL380" i="90" s="1"/>
  <c r="CU380" i="90" s="1"/>
  <c r="AF380" i="56" s="1"/>
  <c r="CJ376" i="90"/>
  <c r="DJ376" i="90" s="1"/>
  <c r="FL376" i="90" s="1"/>
  <c r="CU376" i="90" s="1"/>
  <c r="AF376" i="56" s="1"/>
  <c r="CJ372" i="90"/>
  <c r="DJ372" i="90" s="1"/>
  <c r="FL372" i="90" s="1"/>
  <c r="CU372" i="90" s="1"/>
  <c r="AF372" i="56" s="1"/>
  <c r="CJ368" i="90"/>
  <c r="DJ368" i="90" s="1"/>
  <c r="FL368" i="90" s="1"/>
  <c r="CU368" i="90" s="1"/>
  <c r="AF368" i="56" s="1"/>
  <c r="CJ339" i="90"/>
  <c r="DJ339" i="90" s="1"/>
  <c r="FL339" i="90" s="1"/>
  <c r="CU339" i="90" s="1"/>
  <c r="AF339" i="56" s="1"/>
  <c r="CJ335" i="90"/>
  <c r="DJ335" i="90" s="1"/>
  <c r="FL335" i="90" s="1"/>
  <c r="CU335" i="90" s="1"/>
  <c r="AF335" i="56" s="1"/>
  <c r="CJ331" i="90"/>
  <c r="DJ331" i="90" s="1"/>
  <c r="FL331" i="90" s="1"/>
  <c r="CU331" i="90" s="1"/>
  <c r="AF331" i="56" s="1"/>
  <c r="CJ327" i="90"/>
  <c r="DJ327" i="90" s="1"/>
  <c r="FL327" i="90" s="1"/>
  <c r="CU327" i="90" s="1"/>
  <c r="AF327" i="56" s="1"/>
  <c r="CJ323" i="90"/>
  <c r="DJ323" i="90" s="1"/>
  <c r="FL323" i="90" s="1"/>
  <c r="CU323" i="90" s="1"/>
  <c r="AF323" i="56" s="1"/>
  <c r="CJ319" i="90"/>
  <c r="DJ319" i="90" s="1"/>
  <c r="FL319" i="90" s="1"/>
  <c r="CU319" i="90" s="1"/>
  <c r="AF319" i="56" s="1"/>
  <c r="CJ315" i="90"/>
  <c r="DJ315" i="90" s="1"/>
  <c r="FL315" i="90" s="1"/>
  <c r="CU315" i="90" s="1"/>
  <c r="AF315" i="56" s="1"/>
  <c r="CJ311" i="90"/>
  <c r="DJ311" i="90" s="1"/>
  <c r="FL311" i="90" s="1"/>
  <c r="CU311" i="90" s="1"/>
  <c r="AF311" i="56" s="1"/>
  <c r="CJ394" i="90"/>
  <c r="DJ394" i="90" s="1"/>
  <c r="FL394" i="90" s="1"/>
  <c r="CU394" i="90" s="1"/>
  <c r="AF394" i="56" s="1"/>
  <c r="CJ390" i="90"/>
  <c r="DJ390" i="90" s="1"/>
  <c r="FL390" i="90" s="1"/>
  <c r="CU390" i="90" s="1"/>
  <c r="AF390" i="56" s="1"/>
  <c r="CJ386" i="90"/>
  <c r="DJ386" i="90" s="1"/>
  <c r="FL386" i="90" s="1"/>
  <c r="CU386" i="90" s="1"/>
  <c r="AF386" i="56" s="1"/>
  <c r="CJ382" i="90"/>
  <c r="DJ382" i="90" s="1"/>
  <c r="FL382" i="90" s="1"/>
  <c r="CU382" i="90" s="1"/>
  <c r="AF382" i="56" s="1"/>
  <c r="CJ378" i="90"/>
  <c r="DJ378" i="90" s="1"/>
  <c r="FL378" i="90" s="1"/>
  <c r="CU378" i="90" s="1"/>
  <c r="AF378" i="56" s="1"/>
  <c r="CJ374" i="90"/>
  <c r="DJ374" i="90" s="1"/>
  <c r="FL374" i="90" s="1"/>
  <c r="CU374" i="90" s="1"/>
  <c r="AF374" i="56" s="1"/>
  <c r="CJ370" i="90"/>
  <c r="DJ370" i="90" s="1"/>
  <c r="FL370" i="90" s="1"/>
  <c r="CU370" i="90" s="1"/>
  <c r="AF370" i="56" s="1"/>
  <c r="CJ366" i="90"/>
  <c r="DJ366" i="90" s="1"/>
  <c r="FL366" i="90" s="1"/>
  <c r="CU366" i="90" s="1"/>
  <c r="AF366" i="56" s="1"/>
  <c r="CJ337" i="90"/>
  <c r="DJ337" i="90" s="1"/>
  <c r="FL337" i="90" s="1"/>
  <c r="CU337" i="90" s="1"/>
  <c r="AF337" i="56" s="1"/>
  <c r="CJ333" i="90"/>
  <c r="DJ333" i="90" s="1"/>
  <c r="FL333" i="90" s="1"/>
  <c r="CU333" i="90" s="1"/>
  <c r="AF333" i="56" s="1"/>
  <c r="CJ329" i="90"/>
  <c r="DJ329" i="90" s="1"/>
  <c r="FL329" i="90" s="1"/>
  <c r="CU329" i="90" s="1"/>
  <c r="AF329" i="56" s="1"/>
  <c r="CJ325" i="90"/>
  <c r="DJ325" i="90" s="1"/>
  <c r="FL325" i="90" s="1"/>
  <c r="CU325" i="90" s="1"/>
  <c r="AF325" i="56" s="1"/>
  <c r="CJ321" i="90"/>
  <c r="DJ321" i="90" s="1"/>
  <c r="FL321" i="90" s="1"/>
  <c r="CU321" i="90" s="1"/>
  <c r="AF321" i="56" s="1"/>
  <c r="CJ317" i="90"/>
  <c r="DJ317" i="90" s="1"/>
  <c r="FL317" i="90" s="1"/>
  <c r="CU317" i="90" s="1"/>
  <c r="AF317" i="56" s="1"/>
  <c r="CJ313" i="90"/>
  <c r="DJ313" i="90" s="1"/>
  <c r="FL313" i="90" s="1"/>
  <c r="CU313" i="90" s="1"/>
  <c r="AF313" i="56" s="1"/>
  <c r="CJ309" i="90"/>
  <c r="DJ309" i="90" s="1"/>
  <c r="FL309" i="90" s="1"/>
  <c r="CU309" i="90" s="1"/>
  <c r="AF309" i="56" s="1"/>
  <c r="CJ387" i="90"/>
  <c r="DJ387" i="90" s="1"/>
  <c r="FL387" i="90" s="1"/>
  <c r="CU387" i="90" s="1"/>
  <c r="AF387" i="56" s="1"/>
  <c r="CJ330" i="90"/>
  <c r="DJ330" i="90" s="1"/>
  <c r="FL330" i="90" s="1"/>
  <c r="CU330" i="90" s="1"/>
  <c r="AF330" i="56" s="1"/>
  <c r="CJ247" i="90"/>
  <c r="DJ247" i="90" s="1"/>
  <c r="FL247" i="90" s="1"/>
  <c r="CU247" i="90" s="1"/>
  <c r="AF247" i="56" s="1"/>
  <c r="CJ243" i="90"/>
  <c r="DJ243" i="90" s="1"/>
  <c r="FL243" i="90" s="1"/>
  <c r="CU243" i="90" s="1"/>
  <c r="AF243" i="56" s="1"/>
  <c r="CJ239" i="90"/>
  <c r="DJ239" i="90" s="1"/>
  <c r="FL239" i="90" s="1"/>
  <c r="CU239" i="90" s="1"/>
  <c r="AF239" i="56" s="1"/>
  <c r="CJ63" i="90"/>
  <c r="DJ63" i="90" s="1"/>
  <c r="FL63" i="90" s="1"/>
  <c r="CU63" i="90" s="1"/>
  <c r="AF63" i="56" s="1"/>
  <c r="CJ53" i="90"/>
  <c r="DJ53" i="90" s="1"/>
  <c r="FL53" i="90" s="1"/>
  <c r="CU53" i="90" s="1"/>
  <c r="AF53" i="56" s="1"/>
  <c r="CJ49" i="90"/>
  <c r="DJ49" i="90" s="1"/>
  <c r="FL49" i="90" s="1"/>
  <c r="CU49" i="90" s="1"/>
  <c r="AF49" i="56" s="1"/>
  <c r="CJ391" i="90"/>
  <c r="DJ391" i="90" s="1"/>
  <c r="FL391" i="90" s="1"/>
  <c r="CU391" i="90" s="1"/>
  <c r="AF391" i="56" s="1"/>
  <c r="CJ334" i="90"/>
  <c r="DJ334" i="90" s="1"/>
  <c r="FL334" i="90" s="1"/>
  <c r="CU334" i="90" s="1"/>
  <c r="AF334" i="56" s="1"/>
  <c r="CJ314" i="90"/>
  <c r="DJ314" i="90" s="1"/>
  <c r="FL314" i="90" s="1"/>
  <c r="CU314" i="90" s="1"/>
  <c r="AF314" i="56" s="1"/>
  <c r="CJ395" i="90"/>
  <c r="DJ395" i="90" s="1"/>
  <c r="FL395" i="90" s="1"/>
  <c r="CU395" i="90" s="1"/>
  <c r="AF395" i="56" s="1"/>
  <c r="CJ338" i="90"/>
  <c r="DJ338" i="90" s="1"/>
  <c r="FL338" i="90" s="1"/>
  <c r="CU338" i="90" s="1"/>
  <c r="AF338" i="56" s="1"/>
  <c r="CJ246" i="90"/>
  <c r="DJ246" i="90" s="1"/>
  <c r="FL246" i="90" s="1"/>
  <c r="CU246" i="90" s="1"/>
  <c r="AF246" i="56" s="1"/>
  <c r="CJ242" i="90"/>
  <c r="DJ242" i="90" s="1"/>
  <c r="FL242" i="90" s="1"/>
  <c r="CU242" i="90" s="1"/>
  <c r="AF242" i="56" s="1"/>
  <c r="CJ238" i="90"/>
  <c r="DJ238" i="90" s="1"/>
  <c r="FL238" i="90" s="1"/>
  <c r="CU238" i="90" s="1"/>
  <c r="AF238" i="56" s="1"/>
  <c r="CJ62" i="90"/>
  <c r="CJ52" i="90"/>
  <c r="DJ52" i="90" s="1"/>
  <c r="FL52" i="90" s="1"/>
  <c r="CU52" i="90" s="1"/>
  <c r="AF52" i="56" s="1"/>
  <c r="CJ48" i="90"/>
  <c r="DJ48" i="90" s="1"/>
  <c r="FL48" i="90" s="1"/>
  <c r="CU48" i="90" s="1"/>
  <c r="AF48" i="56" s="1"/>
  <c r="CJ371" i="90"/>
  <c r="DJ371" i="90" s="1"/>
  <c r="FL371" i="90" s="1"/>
  <c r="CU371" i="90" s="1"/>
  <c r="AF371" i="56" s="1"/>
  <c r="CJ367" i="90"/>
  <c r="DJ367" i="90" s="1"/>
  <c r="FL367" i="90" s="1"/>
  <c r="CU367" i="90" s="1"/>
  <c r="AF367" i="56" s="1"/>
  <c r="CJ379" i="90"/>
  <c r="DJ379" i="90" s="1"/>
  <c r="FL379" i="90" s="1"/>
  <c r="CU379" i="90" s="1"/>
  <c r="AF379" i="56" s="1"/>
  <c r="CJ322" i="90"/>
  <c r="DJ322" i="90" s="1"/>
  <c r="FL322" i="90" s="1"/>
  <c r="CU322" i="90" s="1"/>
  <c r="AF322" i="56" s="1"/>
  <c r="CJ248" i="90"/>
  <c r="DJ248" i="90" s="1"/>
  <c r="FL248" i="90" s="1"/>
  <c r="CU248" i="90" s="1"/>
  <c r="AF248" i="56" s="1"/>
  <c r="CJ244" i="90"/>
  <c r="DJ244" i="90" s="1"/>
  <c r="FL244" i="90" s="1"/>
  <c r="CU244" i="90" s="1"/>
  <c r="AF244" i="56" s="1"/>
  <c r="CJ240" i="90"/>
  <c r="DJ240" i="90" s="1"/>
  <c r="FL240" i="90" s="1"/>
  <c r="CU240" i="90" s="1"/>
  <c r="AF240" i="56" s="1"/>
  <c r="CJ54" i="90"/>
  <c r="DJ54" i="90" s="1"/>
  <c r="FL54" i="90" s="1"/>
  <c r="CU54" i="90" s="1"/>
  <c r="AF54" i="56" s="1"/>
  <c r="CJ50" i="90"/>
  <c r="DJ50" i="90" s="1"/>
  <c r="FL50" i="90" s="1"/>
  <c r="CU50" i="90" s="1"/>
  <c r="AF50" i="56" s="1"/>
  <c r="CJ46" i="90"/>
  <c r="DJ46" i="90" s="1"/>
  <c r="CJ326" i="90"/>
  <c r="DJ326" i="90" s="1"/>
  <c r="FL326" i="90" s="1"/>
  <c r="CU326" i="90" s="1"/>
  <c r="AF326" i="56" s="1"/>
  <c r="CJ237" i="90"/>
  <c r="DJ237" i="90" s="1"/>
  <c r="FL237" i="90" s="1"/>
  <c r="CU237" i="90" s="1"/>
  <c r="AF237" i="56" s="1"/>
  <c r="CJ375" i="90"/>
  <c r="DJ375" i="90" s="1"/>
  <c r="FL375" i="90" s="1"/>
  <c r="CU375" i="90" s="1"/>
  <c r="AF375" i="56" s="1"/>
  <c r="CJ241" i="90"/>
  <c r="DJ241" i="90" s="1"/>
  <c r="FL241" i="90" s="1"/>
  <c r="CU241" i="90" s="1"/>
  <c r="AF241" i="56" s="1"/>
  <c r="CJ383" i="90"/>
  <c r="DJ383" i="90" s="1"/>
  <c r="FL383" i="90" s="1"/>
  <c r="CU383" i="90" s="1"/>
  <c r="AF383" i="56" s="1"/>
  <c r="CJ245" i="90"/>
  <c r="DJ245" i="90" s="1"/>
  <c r="FL245" i="90" s="1"/>
  <c r="CU245" i="90" s="1"/>
  <c r="AF245" i="56" s="1"/>
  <c r="CJ51" i="90"/>
  <c r="DJ51" i="90" s="1"/>
  <c r="FL51" i="90" s="1"/>
  <c r="CU51" i="90" s="1"/>
  <c r="AF51" i="56" s="1"/>
  <c r="CJ318" i="90"/>
  <c r="DJ318" i="90" s="1"/>
  <c r="FL318" i="90" s="1"/>
  <c r="CU318" i="90" s="1"/>
  <c r="AF318" i="56" s="1"/>
  <c r="CJ310" i="90"/>
  <c r="DJ310" i="90" s="1"/>
  <c r="FL310" i="90" s="1"/>
  <c r="CU310" i="90" s="1"/>
  <c r="AF310" i="56" s="1"/>
  <c r="CJ47" i="90"/>
  <c r="DJ47" i="90" s="1"/>
  <c r="FL47" i="90" s="1"/>
  <c r="CU47" i="90" s="1"/>
  <c r="AF47" i="56" s="1"/>
  <c r="FL312" i="90"/>
  <c r="CU312" i="90" s="1"/>
  <c r="AF312" i="56" s="1"/>
  <c r="AE110" i="41"/>
  <c r="AD258" i="44"/>
  <c r="AE186" i="44"/>
  <c r="AE242" i="44"/>
  <c r="AE108" i="41"/>
  <c r="AE109" i="41"/>
  <c r="AE188" i="44"/>
  <c r="AF39" i="93"/>
  <c r="AF85" i="41"/>
  <c r="AD260" i="44"/>
  <c r="AD207" i="44"/>
  <c r="AD206" i="44"/>
  <c r="AD259" i="44"/>
  <c r="FJ45" i="90"/>
  <c r="CR45" i="90"/>
  <c r="X156" i="44" l="1"/>
  <c r="X157" i="44" s="1"/>
  <c r="Y155" i="44" s="1"/>
  <c r="Y187" i="44" s="1"/>
  <c r="Y251" i="44" s="1"/>
  <c r="AE51" i="44"/>
  <c r="AE138" i="44" s="1"/>
  <c r="AE139" i="44" s="1"/>
  <c r="AF83" i="44"/>
  <c r="AF309" i="44"/>
  <c r="AF311" i="44"/>
  <c r="AF310" i="44"/>
  <c r="AF274" i="44"/>
  <c r="AE126" i="44"/>
  <c r="AE277" i="44"/>
  <c r="AE209" i="44"/>
  <c r="AE281" i="44"/>
  <c r="AE289" i="44"/>
  <c r="AE291" i="44" s="1"/>
  <c r="AE125" i="44"/>
  <c r="AE124" i="44"/>
  <c r="AE45" i="56"/>
  <c r="AJ84" i="86"/>
  <c r="R116" i="98"/>
  <c r="R117" i="98" s="1"/>
  <c r="R118" i="98" s="1"/>
  <c r="AS14" i="42"/>
  <c r="AW14" i="42"/>
  <c r="AJ106" i="117"/>
  <c r="AJ103" i="117"/>
  <c r="AJ107" i="117"/>
  <c r="Q173" i="98"/>
  <c r="F105" i="98"/>
  <c r="FL46" i="90"/>
  <c r="CU46" i="90" s="1"/>
  <c r="AF46" i="56" s="1"/>
  <c r="DI45" i="90"/>
  <c r="FK45" i="90"/>
  <c r="FL87" i="90"/>
  <c r="CU87" i="90" s="1"/>
  <c r="AF87" i="56" s="1"/>
  <c r="FL170" i="90"/>
  <c r="CU170" i="90" s="1"/>
  <c r="AF170" i="56" s="1"/>
  <c r="FL232" i="90"/>
  <c r="CU232" i="90" s="1"/>
  <c r="AF232" i="56" s="1"/>
  <c r="FL210" i="90"/>
  <c r="CU210" i="90" s="1"/>
  <c r="AF210" i="56" s="1"/>
  <c r="FL301" i="90"/>
  <c r="CU301" i="90" s="1"/>
  <c r="AF301" i="56" s="1"/>
  <c r="FL359" i="90"/>
  <c r="CU359" i="90" s="1"/>
  <c r="AF359" i="56" s="1"/>
  <c r="FL350" i="90"/>
  <c r="CU350" i="90" s="1"/>
  <c r="AF350" i="56" s="1"/>
  <c r="FL364" i="90"/>
  <c r="CU364" i="90" s="1"/>
  <c r="AF364" i="56" s="1"/>
  <c r="FL291" i="90"/>
  <c r="CU291" i="90" s="1"/>
  <c r="AF291" i="56" s="1"/>
  <c r="FL75" i="90"/>
  <c r="CU75" i="90" s="1"/>
  <c r="AF75" i="56" s="1"/>
  <c r="FL345" i="90"/>
  <c r="CU345" i="90" s="1"/>
  <c r="AF345" i="56" s="1"/>
  <c r="FL256" i="90"/>
  <c r="CU256" i="90" s="1"/>
  <c r="AF256" i="56" s="1"/>
  <c r="FL266" i="90"/>
  <c r="CU266" i="90" s="1"/>
  <c r="AF266" i="56" s="1"/>
  <c r="FL276" i="90"/>
  <c r="CU276" i="90" s="1"/>
  <c r="AF276" i="56" s="1"/>
  <c r="FL118" i="90"/>
  <c r="CU118" i="90" s="1"/>
  <c r="AF118" i="56" s="1"/>
  <c r="FL293" i="90"/>
  <c r="CU293" i="90" s="1"/>
  <c r="AF293" i="56" s="1"/>
  <c r="FL107" i="90"/>
  <c r="CU107" i="90" s="1"/>
  <c r="AF107" i="56" s="1"/>
  <c r="FL174" i="90"/>
  <c r="CU174" i="90" s="1"/>
  <c r="AF174" i="56" s="1"/>
  <c r="FL150" i="90"/>
  <c r="CU150" i="90" s="1"/>
  <c r="AF150" i="56" s="1"/>
  <c r="FL176" i="90"/>
  <c r="CU176" i="90" s="1"/>
  <c r="AF176" i="56" s="1"/>
  <c r="FL183" i="90"/>
  <c r="CU183" i="90" s="1"/>
  <c r="AF183" i="56" s="1"/>
  <c r="FL190" i="90"/>
  <c r="CU190" i="90" s="1"/>
  <c r="AF190" i="56" s="1"/>
  <c r="FL73" i="90"/>
  <c r="CU73" i="90" s="1"/>
  <c r="AF73" i="56" s="1"/>
  <c r="FL194" i="90"/>
  <c r="CU194" i="90" s="1"/>
  <c r="AF194" i="56" s="1"/>
  <c r="FL74" i="90"/>
  <c r="CU74" i="90" s="1"/>
  <c r="AF74" i="56" s="1"/>
  <c r="FL56" i="90"/>
  <c r="CU56" i="90" s="1"/>
  <c r="AF56" i="56" s="1"/>
  <c r="FL307" i="90"/>
  <c r="CU307" i="90" s="1"/>
  <c r="AF307" i="56" s="1"/>
  <c r="FL346" i="90"/>
  <c r="CU346" i="90" s="1"/>
  <c r="AF346" i="56" s="1"/>
  <c r="FL262" i="90"/>
  <c r="CU262" i="90" s="1"/>
  <c r="AF262" i="56" s="1"/>
  <c r="FL269" i="90"/>
  <c r="CU269" i="90" s="1"/>
  <c r="AF269" i="56" s="1"/>
  <c r="FL108" i="90"/>
  <c r="CU108" i="90" s="1"/>
  <c r="AF108" i="56" s="1"/>
  <c r="FL175" i="90"/>
  <c r="CU175" i="90" s="1"/>
  <c r="AF175" i="56" s="1"/>
  <c r="FL98" i="90"/>
  <c r="CU98" i="90" s="1"/>
  <c r="AF98" i="56" s="1"/>
  <c r="FL225" i="90"/>
  <c r="CU225" i="90" s="1"/>
  <c r="AF225" i="56" s="1"/>
  <c r="FL205" i="90"/>
  <c r="CU205" i="90" s="1"/>
  <c r="AF205" i="56" s="1"/>
  <c r="FL300" i="90"/>
  <c r="CU300" i="90" s="1"/>
  <c r="AF300" i="56" s="1"/>
  <c r="FL280" i="90"/>
  <c r="CU280" i="90" s="1"/>
  <c r="AF280" i="56" s="1"/>
  <c r="FL272" i="90"/>
  <c r="CU272" i="90" s="1"/>
  <c r="AF272" i="56" s="1"/>
  <c r="FL265" i="90"/>
  <c r="CU265" i="90" s="1"/>
  <c r="AF265" i="56" s="1"/>
  <c r="FL267" i="90"/>
  <c r="CU267" i="90" s="1"/>
  <c r="AF267" i="56" s="1"/>
  <c r="FL361" i="90"/>
  <c r="CU361" i="90" s="1"/>
  <c r="AF361" i="56" s="1"/>
  <c r="FL273" i="90"/>
  <c r="CU273" i="90" s="1"/>
  <c r="AF273" i="56" s="1"/>
  <c r="FL303" i="90"/>
  <c r="CU303" i="90" s="1"/>
  <c r="AF303" i="56" s="1"/>
  <c r="FL211" i="90"/>
  <c r="CU211" i="90" s="1"/>
  <c r="AF211" i="56" s="1"/>
  <c r="FL157" i="90"/>
  <c r="CU157" i="90" s="1"/>
  <c r="AF157" i="56" s="1"/>
  <c r="FL68" i="90"/>
  <c r="CU68" i="90" s="1"/>
  <c r="AF68" i="56" s="1"/>
  <c r="FL290" i="90"/>
  <c r="CU290" i="90" s="1"/>
  <c r="AF290" i="56" s="1"/>
  <c r="FL207" i="90"/>
  <c r="CU207" i="90" s="1"/>
  <c r="AF207" i="56" s="1"/>
  <c r="FL90" i="90"/>
  <c r="CU90" i="90" s="1"/>
  <c r="AF90" i="56" s="1"/>
  <c r="FL224" i="90"/>
  <c r="CU224" i="90" s="1"/>
  <c r="AF224" i="56" s="1"/>
  <c r="FL128" i="90"/>
  <c r="CU128" i="90" s="1"/>
  <c r="AF128" i="56" s="1"/>
  <c r="FL153" i="90"/>
  <c r="CU153" i="90" s="1"/>
  <c r="AF153" i="56" s="1"/>
  <c r="FL221" i="90"/>
  <c r="CU221" i="90" s="1"/>
  <c r="AF221" i="56" s="1"/>
  <c r="FL93" i="90"/>
  <c r="CU93" i="90" s="1"/>
  <c r="AF93" i="56" s="1"/>
  <c r="FL131" i="90"/>
  <c r="CU131" i="90" s="1"/>
  <c r="AF131" i="56" s="1"/>
  <c r="FL156" i="90"/>
  <c r="CU156" i="90" s="1"/>
  <c r="AF156" i="56" s="1"/>
  <c r="FL79" i="90"/>
  <c r="CU79" i="90" s="1"/>
  <c r="AF79" i="56" s="1"/>
  <c r="FL86" i="90"/>
  <c r="CU86" i="90" s="1"/>
  <c r="AF86" i="56" s="1"/>
  <c r="FL151" i="90"/>
  <c r="CU151" i="90" s="1"/>
  <c r="AF151" i="56" s="1"/>
  <c r="FL109" i="90"/>
  <c r="CU109" i="90" s="1"/>
  <c r="AF109" i="56" s="1"/>
  <c r="FL252" i="90"/>
  <c r="CU252" i="90" s="1"/>
  <c r="AF252" i="56" s="1"/>
  <c r="FL344" i="90"/>
  <c r="CU344" i="90" s="1"/>
  <c r="AF344" i="56" s="1"/>
  <c r="FL71" i="90"/>
  <c r="CU71" i="90" s="1"/>
  <c r="AF71" i="56" s="1"/>
  <c r="FL349" i="90"/>
  <c r="CU349" i="90" s="1"/>
  <c r="AF349" i="56" s="1"/>
  <c r="FL261" i="90"/>
  <c r="CU261" i="90" s="1"/>
  <c r="AF261" i="56" s="1"/>
  <c r="FL362" i="90"/>
  <c r="CU362" i="90" s="1"/>
  <c r="AF362" i="56" s="1"/>
  <c r="FL253" i="90"/>
  <c r="CU253" i="90" s="1"/>
  <c r="AF253" i="56" s="1"/>
  <c r="FL302" i="90"/>
  <c r="CU302" i="90" s="1"/>
  <c r="AF302" i="56" s="1"/>
  <c r="FL106" i="90"/>
  <c r="CU106" i="90" s="1"/>
  <c r="AF106" i="56" s="1"/>
  <c r="FL215" i="90"/>
  <c r="CU215" i="90" s="1"/>
  <c r="AF215" i="56" s="1"/>
  <c r="FL141" i="90"/>
  <c r="CU141" i="90" s="1"/>
  <c r="AF141" i="56" s="1"/>
  <c r="FL137" i="90"/>
  <c r="CU137" i="90" s="1"/>
  <c r="AF137" i="56" s="1"/>
  <c r="FL64" i="90"/>
  <c r="CU64" i="90" s="1"/>
  <c r="AF64" i="56" s="1"/>
  <c r="FL102" i="90"/>
  <c r="CU102" i="90" s="1"/>
  <c r="AF102" i="56" s="1"/>
  <c r="FL169" i="90"/>
  <c r="CU169" i="90" s="1"/>
  <c r="AF169" i="56" s="1"/>
  <c r="FL208" i="90"/>
  <c r="CU208" i="90" s="1"/>
  <c r="AF208" i="56" s="1"/>
  <c r="CK340" i="90"/>
  <c r="DK340" i="90" s="1"/>
  <c r="CK345" i="90"/>
  <c r="DK345" i="90" s="1"/>
  <c r="FM345" i="90" s="1"/>
  <c r="CV345" i="90" s="1"/>
  <c r="AG345" i="56" s="1"/>
  <c r="CK343" i="90"/>
  <c r="DK343" i="90" s="1"/>
  <c r="CK341" i="90"/>
  <c r="DK341" i="90" s="1"/>
  <c r="FM341" i="90" s="1"/>
  <c r="CV341" i="90" s="1"/>
  <c r="AG341" i="56" s="1"/>
  <c r="CK342" i="90"/>
  <c r="DK342" i="90" s="1"/>
  <c r="CK348" i="90"/>
  <c r="DK348" i="90" s="1"/>
  <c r="CK349" i="90"/>
  <c r="DK349" i="90" s="1"/>
  <c r="FM349" i="90" s="1"/>
  <c r="CV349" i="90" s="1"/>
  <c r="AG349" i="56" s="1"/>
  <c r="CK344" i="90"/>
  <c r="DK344" i="90" s="1"/>
  <c r="CK350" i="90"/>
  <c r="DK350" i="90" s="1"/>
  <c r="CK347" i="90"/>
  <c r="DK347" i="90" s="1"/>
  <c r="CK354" i="90"/>
  <c r="DK354" i="90" s="1"/>
  <c r="CK351" i="90"/>
  <c r="DK351" i="90" s="1"/>
  <c r="CK346" i="90"/>
  <c r="DK346" i="90" s="1"/>
  <c r="CK355" i="90"/>
  <c r="DK355" i="90" s="1"/>
  <c r="CK352" i="90"/>
  <c r="DK352" i="90" s="1"/>
  <c r="FM352" i="90" s="1"/>
  <c r="CV352" i="90" s="1"/>
  <c r="AG352" i="56" s="1"/>
  <c r="CK353" i="90"/>
  <c r="DK353" i="90" s="1"/>
  <c r="CK357" i="90"/>
  <c r="DK357" i="90" s="1"/>
  <c r="FM357" i="90" s="1"/>
  <c r="CV357" i="90" s="1"/>
  <c r="AG357" i="56" s="1"/>
  <c r="CK363" i="90"/>
  <c r="DK363" i="90" s="1"/>
  <c r="CK358" i="90"/>
  <c r="DK358" i="90" s="1"/>
  <c r="FM358" i="90" s="1"/>
  <c r="CV358" i="90" s="1"/>
  <c r="AG358" i="56" s="1"/>
  <c r="CK362" i="90"/>
  <c r="DK362" i="90" s="1"/>
  <c r="CK364" i="90"/>
  <c r="DK364" i="90" s="1"/>
  <c r="FM364" i="90" s="1"/>
  <c r="CV364" i="90" s="1"/>
  <c r="AG364" i="56" s="1"/>
  <c r="CK251" i="90"/>
  <c r="DK251" i="90" s="1"/>
  <c r="CK255" i="90"/>
  <c r="DK255" i="90" s="1"/>
  <c r="CK258" i="90"/>
  <c r="DK258" i="90" s="1"/>
  <c r="FM258" i="90" s="1"/>
  <c r="CV258" i="90" s="1"/>
  <c r="AG258" i="56" s="1"/>
  <c r="CK356" i="90"/>
  <c r="DK356" i="90" s="1"/>
  <c r="CK359" i="90"/>
  <c r="DK359" i="90" s="1"/>
  <c r="CK360" i="90"/>
  <c r="DK360" i="90" s="1"/>
  <c r="CK361" i="90"/>
  <c r="DK361" i="90" s="1"/>
  <c r="FM361" i="90" s="1"/>
  <c r="CV361" i="90" s="1"/>
  <c r="AG361" i="56" s="1"/>
  <c r="CK249" i="90"/>
  <c r="DK249" i="90" s="1"/>
  <c r="CK250" i="90"/>
  <c r="DK250" i="90" s="1"/>
  <c r="CK252" i="90"/>
  <c r="DK252" i="90" s="1"/>
  <c r="FM252" i="90" s="1"/>
  <c r="CV252" i="90" s="1"/>
  <c r="AG252" i="56" s="1"/>
  <c r="CK257" i="90"/>
  <c r="DK257" i="90" s="1"/>
  <c r="CK261" i="90"/>
  <c r="DK261" i="90" s="1"/>
  <c r="FM261" i="90" s="1"/>
  <c r="CV261" i="90" s="1"/>
  <c r="AG261" i="56" s="1"/>
  <c r="CK264" i="90"/>
  <c r="DK264" i="90" s="1"/>
  <c r="FM264" i="90" s="1"/>
  <c r="CV264" i="90" s="1"/>
  <c r="AG264" i="56" s="1"/>
  <c r="CK265" i="90"/>
  <c r="DK265" i="90" s="1"/>
  <c r="FM265" i="90" s="1"/>
  <c r="CV265" i="90" s="1"/>
  <c r="AG265" i="56" s="1"/>
  <c r="CK266" i="90"/>
  <c r="DK266" i="90" s="1"/>
  <c r="CK269" i="90"/>
  <c r="DK269" i="90" s="1"/>
  <c r="CK271" i="90"/>
  <c r="DK271" i="90" s="1"/>
  <c r="CK272" i="90"/>
  <c r="DK272" i="90" s="1"/>
  <c r="CK276" i="90"/>
  <c r="DK276" i="90" s="1"/>
  <c r="FM276" i="90" s="1"/>
  <c r="CV276" i="90" s="1"/>
  <c r="AG276" i="56" s="1"/>
  <c r="CK277" i="90"/>
  <c r="DK277" i="90" s="1"/>
  <c r="FM277" i="90" s="1"/>
  <c r="CV277" i="90" s="1"/>
  <c r="AG277" i="56" s="1"/>
  <c r="CK279" i="90"/>
  <c r="DK279" i="90" s="1"/>
  <c r="CK280" i="90"/>
  <c r="DK280" i="90" s="1"/>
  <c r="CK263" i="90"/>
  <c r="DK263" i="90" s="1"/>
  <c r="CK267" i="90"/>
  <c r="DK267" i="90" s="1"/>
  <c r="CK268" i="90"/>
  <c r="DK268" i="90" s="1"/>
  <c r="FM268" i="90" s="1"/>
  <c r="CV268" i="90" s="1"/>
  <c r="AG268" i="56" s="1"/>
  <c r="CK273" i="90"/>
  <c r="DK273" i="90" s="1"/>
  <c r="CK254" i="90"/>
  <c r="DK254" i="90" s="1"/>
  <c r="CK256" i="90"/>
  <c r="DK256" i="90" s="1"/>
  <c r="FM256" i="90" s="1"/>
  <c r="CV256" i="90" s="1"/>
  <c r="AG256" i="56" s="1"/>
  <c r="CK260" i="90"/>
  <c r="DK260" i="90" s="1"/>
  <c r="CK262" i="90"/>
  <c r="DK262" i="90" s="1"/>
  <c r="CK275" i="90"/>
  <c r="DK275" i="90" s="1"/>
  <c r="CK253" i="90"/>
  <c r="DK253" i="90" s="1"/>
  <c r="CK259" i="90"/>
  <c r="DK259" i="90" s="1"/>
  <c r="FM259" i="90" s="1"/>
  <c r="CV259" i="90" s="1"/>
  <c r="AG259" i="56" s="1"/>
  <c r="CK270" i="90"/>
  <c r="DK270" i="90" s="1"/>
  <c r="CK274" i="90"/>
  <c r="DK274" i="90" s="1"/>
  <c r="CK281" i="90"/>
  <c r="DK281" i="90" s="1"/>
  <c r="CK283" i="90"/>
  <c r="DK283" i="90" s="1"/>
  <c r="CK285" i="90"/>
  <c r="DK285" i="90" s="1"/>
  <c r="FM285" i="90" s="1"/>
  <c r="CV285" i="90" s="1"/>
  <c r="AG285" i="56" s="1"/>
  <c r="CK287" i="90"/>
  <c r="DK287" i="90" s="1"/>
  <c r="FM287" i="90" s="1"/>
  <c r="CV287" i="90" s="1"/>
  <c r="AG287" i="56" s="1"/>
  <c r="CK291" i="90"/>
  <c r="DK291" i="90" s="1"/>
  <c r="FM291" i="90" s="1"/>
  <c r="CV291" i="90" s="1"/>
  <c r="AG291" i="56" s="1"/>
  <c r="CK278" i="90"/>
  <c r="DK278" i="90" s="1"/>
  <c r="CK282" i="90"/>
  <c r="DK282" i="90" s="1"/>
  <c r="FM282" i="90" s="1"/>
  <c r="CV282" i="90" s="1"/>
  <c r="AG282" i="56" s="1"/>
  <c r="CK284" i="90"/>
  <c r="DK284" i="90" s="1"/>
  <c r="CK288" i="90"/>
  <c r="DK288" i="90" s="1"/>
  <c r="CK293" i="90"/>
  <c r="DK293" i="90" s="1"/>
  <c r="FM293" i="90" s="1"/>
  <c r="CV293" i="90" s="1"/>
  <c r="AG293" i="56" s="1"/>
  <c r="CK298" i="90"/>
  <c r="DK298" i="90" s="1"/>
  <c r="CK300" i="90"/>
  <c r="DK300" i="90" s="1"/>
  <c r="CK286" i="90"/>
  <c r="DK286" i="90" s="1"/>
  <c r="CK289" i="90"/>
  <c r="DK289" i="90" s="1"/>
  <c r="CK290" i="90"/>
  <c r="DK290" i="90" s="1"/>
  <c r="CK299" i="90"/>
  <c r="DK299" i="90" s="1"/>
  <c r="CK292" i="90"/>
  <c r="DK292" i="90" s="1"/>
  <c r="CK301" i="90"/>
  <c r="DK301" i="90" s="1"/>
  <c r="FM301" i="90" s="1"/>
  <c r="CV301" i="90" s="1"/>
  <c r="AG301" i="56" s="1"/>
  <c r="CK302" i="90"/>
  <c r="DK302" i="90" s="1"/>
  <c r="FM302" i="90" s="1"/>
  <c r="CV302" i="90" s="1"/>
  <c r="AG302" i="56" s="1"/>
  <c r="CK303" i="90"/>
  <c r="DK303" i="90" s="1"/>
  <c r="CK304" i="90"/>
  <c r="DK304" i="90" s="1"/>
  <c r="CK206" i="90"/>
  <c r="DK206" i="90" s="1"/>
  <c r="CK207" i="90"/>
  <c r="DK207" i="90" s="1"/>
  <c r="FM207" i="90" s="1"/>
  <c r="CV207" i="90" s="1"/>
  <c r="AG207" i="56" s="1"/>
  <c r="CK208" i="90"/>
  <c r="DK208" i="90" s="1"/>
  <c r="FM208" i="90" s="1"/>
  <c r="CV208" i="90" s="1"/>
  <c r="AG208" i="56" s="1"/>
  <c r="CK296" i="90"/>
  <c r="DK296" i="90" s="1"/>
  <c r="CK297" i="90"/>
  <c r="DK297" i="90" s="1"/>
  <c r="CK204" i="90"/>
  <c r="DK204" i="90" s="1"/>
  <c r="CK205" i="90"/>
  <c r="DK205" i="90" s="1"/>
  <c r="FM205" i="90" s="1"/>
  <c r="CV205" i="90" s="1"/>
  <c r="AG205" i="56" s="1"/>
  <c r="CK305" i="90"/>
  <c r="DK305" i="90" s="1"/>
  <c r="CK307" i="90"/>
  <c r="DK307" i="90" s="1"/>
  <c r="FM307" i="90" s="1"/>
  <c r="CV307" i="90" s="1"/>
  <c r="AG307" i="56" s="1"/>
  <c r="CK308" i="90"/>
  <c r="DK308" i="90" s="1"/>
  <c r="CK209" i="90"/>
  <c r="DK209" i="90" s="1"/>
  <c r="CK295" i="90"/>
  <c r="DK295" i="90" s="1"/>
  <c r="CK212" i="90"/>
  <c r="DK212" i="90" s="1"/>
  <c r="CK213" i="90"/>
  <c r="DK213" i="90" s="1"/>
  <c r="CK214" i="90"/>
  <c r="DK214" i="90" s="1"/>
  <c r="CK215" i="90"/>
  <c r="DK215" i="90" s="1"/>
  <c r="CK229" i="90"/>
  <c r="DK229" i="90" s="1"/>
  <c r="FM229" i="90" s="1"/>
  <c r="CV229" i="90" s="1"/>
  <c r="AG229" i="56" s="1"/>
  <c r="CK236" i="90"/>
  <c r="DK236" i="90" s="1"/>
  <c r="CK89" i="90"/>
  <c r="DK89" i="90" s="1"/>
  <c r="CK90" i="90"/>
  <c r="DK90" i="90" s="1"/>
  <c r="CK91" i="90"/>
  <c r="DK91" i="90" s="1"/>
  <c r="CK92" i="90"/>
  <c r="DK92" i="90" s="1"/>
  <c r="CK93" i="90"/>
  <c r="DK93" i="90" s="1"/>
  <c r="FM93" i="90" s="1"/>
  <c r="CV93" i="90" s="1"/>
  <c r="AG93" i="56" s="1"/>
  <c r="CK94" i="90"/>
  <c r="DK94" i="90" s="1"/>
  <c r="FM94" i="90" s="1"/>
  <c r="CV94" i="90" s="1"/>
  <c r="AG94" i="56" s="1"/>
  <c r="CK95" i="90"/>
  <c r="DK95" i="90" s="1"/>
  <c r="CK98" i="90"/>
  <c r="DK98" i="90" s="1"/>
  <c r="FM98" i="90" s="1"/>
  <c r="CV98" i="90" s="1"/>
  <c r="AG98" i="56" s="1"/>
  <c r="CK99" i="90"/>
  <c r="DK99" i="90" s="1"/>
  <c r="FM99" i="90" s="1"/>
  <c r="CV99" i="90" s="1"/>
  <c r="AG99" i="56" s="1"/>
  <c r="CK100" i="90"/>
  <c r="DK100" i="90" s="1"/>
  <c r="CK101" i="90"/>
  <c r="DK101" i="90" s="1"/>
  <c r="FM101" i="90" s="1"/>
  <c r="CV101" i="90" s="1"/>
  <c r="AG101" i="56" s="1"/>
  <c r="CK306" i="90"/>
  <c r="DK306" i="90" s="1"/>
  <c r="CK219" i="90"/>
  <c r="DK219" i="90" s="1"/>
  <c r="CK222" i="90"/>
  <c r="DK222" i="90" s="1"/>
  <c r="CK225" i="90"/>
  <c r="DK225" i="90" s="1"/>
  <c r="FM225" i="90" s="1"/>
  <c r="CV225" i="90" s="1"/>
  <c r="AG225" i="56" s="1"/>
  <c r="CK228" i="90"/>
  <c r="DK228" i="90" s="1"/>
  <c r="CK234" i="90"/>
  <c r="DK234" i="90" s="1"/>
  <c r="CK96" i="90"/>
  <c r="DK96" i="90" s="1"/>
  <c r="CK97" i="90"/>
  <c r="DK97" i="90" s="1"/>
  <c r="CK102" i="90"/>
  <c r="DK102" i="90" s="1"/>
  <c r="FM102" i="90" s="1"/>
  <c r="CV102" i="90" s="1"/>
  <c r="AG102" i="56" s="1"/>
  <c r="CK106" i="90"/>
  <c r="DK106" i="90" s="1"/>
  <c r="FM106" i="90" s="1"/>
  <c r="CV106" i="90" s="1"/>
  <c r="AG106" i="56" s="1"/>
  <c r="CK107" i="90"/>
  <c r="DK107" i="90" s="1"/>
  <c r="CK113" i="90"/>
  <c r="DK113" i="90" s="1"/>
  <c r="CK116" i="90"/>
  <c r="DK116" i="90" s="1"/>
  <c r="FM116" i="90" s="1"/>
  <c r="CV116" i="90" s="1"/>
  <c r="AG116" i="56" s="1"/>
  <c r="CK217" i="90"/>
  <c r="DK217" i="90" s="1"/>
  <c r="CK218" i="90"/>
  <c r="DK218" i="90" s="1"/>
  <c r="CK223" i="90"/>
  <c r="DK223" i="90" s="1"/>
  <c r="CK226" i="90"/>
  <c r="DK226" i="90" s="1"/>
  <c r="CK231" i="90"/>
  <c r="DK231" i="90" s="1"/>
  <c r="CK235" i="90"/>
  <c r="DK235" i="90" s="1"/>
  <c r="CK108" i="90"/>
  <c r="DK108" i="90" s="1"/>
  <c r="FM108" i="90" s="1"/>
  <c r="CV108" i="90" s="1"/>
  <c r="AG108" i="56" s="1"/>
  <c r="CK109" i="90"/>
  <c r="DK109" i="90" s="1"/>
  <c r="FM109" i="90" s="1"/>
  <c r="CV109" i="90" s="1"/>
  <c r="AG109" i="56" s="1"/>
  <c r="CK110" i="90"/>
  <c r="DK110" i="90" s="1"/>
  <c r="CK130" i="90"/>
  <c r="DK130" i="90" s="1"/>
  <c r="FM130" i="90" s="1"/>
  <c r="CV130" i="90" s="1"/>
  <c r="AG130" i="56" s="1"/>
  <c r="CK131" i="90"/>
  <c r="DK131" i="90" s="1"/>
  <c r="FM131" i="90" s="1"/>
  <c r="CV131" i="90" s="1"/>
  <c r="AG131" i="56" s="1"/>
  <c r="CK138" i="90"/>
  <c r="DK138" i="90" s="1"/>
  <c r="CK139" i="90"/>
  <c r="DK139" i="90" s="1"/>
  <c r="CK150" i="90"/>
  <c r="DK150" i="90" s="1"/>
  <c r="FM150" i="90" s="1"/>
  <c r="CV150" i="90" s="1"/>
  <c r="AG150" i="56" s="1"/>
  <c r="CK294" i="90"/>
  <c r="DK294" i="90" s="1"/>
  <c r="CK216" i="90"/>
  <c r="DK216" i="90" s="1"/>
  <c r="CK224" i="90"/>
  <c r="DK224" i="90" s="1"/>
  <c r="FM224" i="90" s="1"/>
  <c r="CV224" i="90" s="1"/>
  <c r="AG224" i="56" s="1"/>
  <c r="CK232" i="90"/>
  <c r="DK232" i="90" s="1"/>
  <c r="CK221" i="90"/>
  <c r="DK221" i="90" s="1"/>
  <c r="FM221" i="90" s="1"/>
  <c r="CV221" i="90" s="1"/>
  <c r="AG221" i="56" s="1"/>
  <c r="CK227" i="90"/>
  <c r="DK227" i="90" s="1"/>
  <c r="CK103" i="90"/>
  <c r="DK103" i="90" s="1"/>
  <c r="CK119" i="90"/>
  <c r="DK119" i="90" s="1"/>
  <c r="CK120" i="90"/>
  <c r="DK120" i="90" s="1"/>
  <c r="FM120" i="90" s="1"/>
  <c r="CV120" i="90" s="1"/>
  <c r="AG120" i="56" s="1"/>
  <c r="CK121" i="90"/>
  <c r="DK121" i="90" s="1"/>
  <c r="CK124" i="90"/>
  <c r="DK124" i="90" s="1"/>
  <c r="CK126" i="90"/>
  <c r="DK126" i="90" s="1"/>
  <c r="CK118" i="90"/>
  <c r="DK118" i="90" s="1"/>
  <c r="FM118" i="90" s="1"/>
  <c r="CV118" i="90" s="1"/>
  <c r="AG118" i="56" s="1"/>
  <c r="CK127" i="90"/>
  <c r="DK127" i="90" s="1"/>
  <c r="CK210" i="90"/>
  <c r="DK210" i="90" s="1"/>
  <c r="CK211" i="90"/>
  <c r="DK211" i="90" s="1"/>
  <c r="CK220" i="90"/>
  <c r="DK220" i="90" s="1"/>
  <c r="CK233" i="90"/>
  <c r="DK233" i="90" s="1"/>
  <c r="CK105" i="90"/>
  <c r="DK105" i="90" s="1"/>
  <c r="CK112" i="90"/>
  <c r="DK112" i="90" s="1"/>
  <c r="CK115" i="90"/>
  <c r="DK115" i="90" s="1"/>
  <c r="CK117" i="90"/>
  <c r="DK117" i="90" s="1"/>
  <c r="CK122" i="90"/>
  <c r="DK122" i="90" s="1"/>
  <c r="FM122" i="90" s="1"/>
  <c r="CV122" i="90" s="1"/>
  <c r="AG122" i="56" s="1"/>
  <c r="CK123" i="90"/>
  <c r="DK123" i="90" s="1"/>
  <c r="CK125" i="90"/>
  <c r="DK125" i="90" s="1"/>
  <c r="CK129" i="90"/>
  <c r="DK129" i="90" s="1"/>
  <c r="CK135" i="90"/>
  <c r="DK135" i="90" s="1"/>
  <c r="FM135" i="90" s="1"/>
  <c r="CV135" i="90" s="1"/>
  <c r="AG135" i="56" s="1"/>
  <c r="CK143" i="90"/>
  <c r="DK143" i="90" s="1"/>
  <c r="CK146" i="90"/>
  <c r="DK146" i="90" s="1"/>
  <c r="FM146" i="90" s="1"/>
  <c r="CV146" i="90" s="1"/>
  <c r="AG146" i="56" s="1"/>
  <c r="CK149" i="90"/>
  <c r="DK149" i="90" s="1"/>
  <c r="FM149" i="90" s="1"/>
  <c r="CV149" i="90" s="1"/>
  <c r="AG149" i="56" s="1"/>
  <c r="CK151" i="90"/>
  <c r="DK151" i="90" s="1"/>
  <c r="CK154" i="90"/>
  <c r="DK154" i="90" s="1"/>
  <c r="CK165" i="90"/>
  <c r="DK165" i="90" s="1"/>
  <c r="CK166" i="90"/>
  <c r="DK166" i="90" s="1"/>
  <c r="FM166" i="90" s="1"/>
  <c r="CV166" i="90" s="1"/>
  <c r="AG166" i="56" s="1"/>
  <c r="CK167" i="90"/>
  <c r="DK167" i="90" s="1"/>
  <c r="FM167" i="90" s="1"/>
  <c r="CV167" i="90" s="1"/>
  <c r="AG167" i="56" s="1"/>
  <c r="CK168" i="90"/>
  <c r="DK168" i="90" s="1"/>
  <c r="FM168" i="90" s="1"/>
  <c r="CV168" i="90" s="1"/>
  <c r="AG168" i="56" s="1"/>
  <c r="CK230" i="90"/>
  <c r="DK230" i="90" s="1"/>
  <c r="FM230" i="90" s="1"/>
  <c r="CV230" i="90" s="1"/>
  <c r="AG230" i="56" s="1"/>
  <c r="CK104" i="90"/>
  <c r="DK104" i="90" s="1"/>
  <c r="CK114" i="90"/>
  <c r="DK114" i="90" s="1"/>
  <c r="CK132" i="90"/>
  <c r="DK132" i="90" s="1"/>
  <c r="FM132" i="90" s="1"/>
  <c r="CV132" i="90" s="1"/>
  <c r="AG132" i="56" s="1"/>
  <c r="CK136" i="90"/>
  <c r="DK136" i="90" s="1"/>
  <c r="CK141" i="90"/>
  <c r="DK141" i="90" s="1"/>
  <c r="FM141" i="90" s="1"/>
  <c r="CV141" i="90" s="1"/>
  <c r="AG141" i="56" s="1"/>
  <c r="CK144" i="90"/>
  <c r="DK144" i="90" s="1"/>
  <c r="CK147" i="90"/>
  <c r="DK147" i="90" s="1"/>
  <c r="CK155" i="90"/>
  <c r="DK155" i="90" s="1"/>
  <c r="CK157" i="90"/>
  <c r="DK157" i="90" s="1"/>
  <c r="FM157" i="90" s="1"/>
  <c r="CV157" i="90" s="1"/>
  <c r="AG157" i="56" s="1"/>
  <c r="CK159" i="90"/>
  <c r="DK159" i="90" s="1"/>
  <c r="FM159" i="90" s="1"/>
  <c r="CV159" i="90" s="1"/>
  <c r="AG159" i="56" s="1"/>
  <c r="CK160" i="90"/>
  <c r="DK160" i="90" s="1"/>
  <c r="CK161" i="90"/>
  <c r="DK161" i="90" s="1"/>
  <c r="FM161" i="90" s="1"/>
  <c r="CV161" i="90" s="1"/>
  <c r="AG161" i="56" s="1"/>
  <c r="CK162" i="90"/>
  <c r="DK162" i="90" s="1"/>
  <c r="CK163" i="90"/>
  <c r="DK163" i="90" s="1"/>
  <c r="FM163" i="90" s="1"/>
  <c r="CV163" i="90" s="1"/>
  <c r="AG163" i="56" s="1"/>
  <c r="CK169" i="90"/>
  <c r="DK169" i="90" s="1"/>
  <c r="CK170" i="90"/>
  <c r="DK170" i="90" s="1"/>
  <c r="CK177" i="90"/>
  <c r="DK177" i="90" s="1"/>
  <c r="FM177" i="90" s="1"/>
  <c r="CV177" i="90" s="1"/>
  <c r="AG177" i="56" s="1"/>
  <c r="CK178" i="90"/>
  <c r="DK178" i="90" s="1"/>
  <c r="FM178" i="90" s="1"/>
  <c r="CV178" i="90" s="1"/>
  <c r="AG178" i="56" s="1"/>
  <c r="CK128" i="90"/>
  <c r="DK128" i="90" s="1"/>
  <c r="CK133" i="90"/>
  <c r="DK133" i="90" s="1"/>
  <c r="CK137" i="90"/>
  <c r="DK137" i="90" s="1"/>
  <c r="CK140" i="90"/>
  <c r="DK140" i="90" s="1"/>
  <c r="FM140" i="90" s="1"/>
  <c r="CV140" i="90" s="1"/>
  <c r="AG140" i="56" s="1"/>
  <c r="CK142" i="90"/>
  <c r="DK142" i="90" s="1"/>
  <c r="CK148" i="90"/>
  <c r="DK148" i="90" s="1"/>
  <c r="CK152" i="90"/>
  <c r="DK152" i="90" s="1"/>
  <c r="FM152" i="90" s="1"/>
  <c r="CV152" i="90" s="1"/>
  <c r="AG152" i="56" s="1"/>
  <c r="CK171" i="90"/>
  <c r="DK171" i="90" s="1"/>
  <c r="FM171" i="90" s="1"/>
  <c r="CV171" i="90" s="1"/>
  <c r="AG171" i="56" s="1"/>
  <c r="CK172" i="90"/>
  <c r="DK172" i="90" s="1"/>
  <c r="CK173" i="90"/>
  <c r="DK173" i="90" s="1"/>
  <c r="FM173" i="90" s="1"/>
  <c r="CV173" i="90" s="1"/>
  <c r="AG173" i="56" s="1"/>
  <c r="CK174" i="90"/>
  <c r="DK174" i="90" s="1"/>
  <c r="FM174" i="90" s="1"/>
  <c r="CV174" i="90" s="1"/>
  <c r="AG174" i="56" s="1"/>
  <c r="CK175" i="90"/>
  <c r="DK175" i="90" s="1"/>
  <c r="CK111" i="90"/>
  <c r="DK111" i="90" s="1"/>
  <c r="CK134" i="90"/>
  <c r="DK134" i="90" s="1"/>
  <c r="CK153" i="90"/>
  <c r="DK153" i="90" s="1"/>
  <c r="FM153" i="90" s="1"/>
  <c r="CV153" i="90" s="1"/>
  <c r="AG153" i="56" s="1"/>
  <c r="CK164" i="90"/>
  <c r="DK164" i="90" s="1"/>
  <c r="CK184" i="90"/>
  <c r="DK184" i="90" s="1"/>
  <c r="CK185" i="90"/>
  <c r="DK185" i="90" s="1"/>
  <c r="CK186" i="90"/>
  <c r="DK186" i="90" s="1"/>
  <c r="FM186" i="90" s="1"/>
  <c r="CV186" i="90" s="1"/>
  <c r="AG186" i="56" s="1"/>
  <c r="CK192" i="90"/>
  <c r="DK192" i="90" s="1"/>
  <c r="CK193" i="90"/>
  <c r="DK193" i="90" s="1"/>
  <c r="CK198" i="90"/>
  <c r="DK198" i="90" s="1"/>
  <c r="CK199" i="90"/>
  <c r="DK199" i="90" s="1"/>
  <c r="CK75" i="90"/>
  <c r="DK75" i="90" s="1"/>
  <c r="CK76" i="90"/>
  <c r="DK76" i="90" s="1"/>
  <c r="CK176" i="90"/>
  <c r="DK176" i="90" s="1"/>
  <c r="FM176" i="90" s="1"/>
  <c r="CV176" i="90" s="1"/>
  <c r="AG176" i="56" s="1"/>
  <c r="CK179" i="90"/>
  <c r="DK179" i="90" s="1"/>
  <c r="CK181" i="90"/>
  <c r="DK181" i="90" s="1"/>
  <c r="FM181" i="90" s="1"/>
  <c r="CV181" i="90" s="1"/>
  <c r="AG181" i="56" s="1"/>
  <c r="CK182" i="90"/>
  <c r="DK182" i="90" s="1"/>
  <c r="CK194" i="90"/>
  <c r="DK194" i="90" s="1"/>
  <c r="CK195" i="90"/>
  <c r="DK195" i="90" s="1"/>
  <c r="CK200" i="90"/>
  <c r="DK200" i="90" s="1"/>
  <c r="CK201" i="90"/>
  <c r="DK201" i="90" s="1"/>
  <c r="CK74" i="90"/>
  <c r="DK74" i="90" s="1"/>
  <c r="CK156" i="90"/>
  <c r="DK156" i="90" s="1"/>
  <c r="CK180" i="90"/>
  <c r="DK180" i="90" s="1"/>
  <c r="CK202" i="90"/>
  <c r="DK202" i="90" s="1"/>
  <c r="CK203" i="90"/>
  <c r="DK203" i="90" s="1"/>
  <c r="FM203" i="90" s="1"/>
  <c r="CV203" i="90" s="1"/>
  <c r="AG203" i="56" s="1"/>
  <c r="CK145" i="90"/>
  <c r="DK145" i="90" s="1"/>
  <c r="CK158" i="90"/>
  <c r="DK158" i="90" s="1"/>
  <c r="CK183" i="90"/>
  <c r="DK183" i="90" s="1"/>
  <c r="FM183" i="90" s="1"/>
  <c r="CV183" i="90" s="1"/>
  <c r="AG183" i="56" s="1"/>
  <c r="CK187" i="90"/>
  <c r="DK187" i="90" s="1"/>
  <c r="CK188" i="90"/>
  <c r="DK188" i="90" s="1"/>
  <c r="CK189" i="90"/>
  <c r="DK189" i="90" s="1"/>
  <c r="CK190" i="90"/>
  <c r="DK190" i="90" s="1"/>
  <c r="CK191" i="90"/>
  <c r="DK191" i="90" s="1"/>
  <c r="FM191" i="90" s="1"/>
  <c r="CV191" i="90" s="1"/>
  <c r="AG191" i="56" s="1"/>
  <c r="CK196" i="90"/>
  <c r="DK196" i="90" s="1"/>
  <c r="CK197" i="90"/>
  <c r="DK197" i="90" s="1"/>
  <c r="CK73" i="90"/>
  <c r="DK73" i="90" s="1"/>
  <c r="FM73" i="90" s="1"/>
  <c r="CV73" i="90" s="1"/>
  <c r="AG73" i="56" s="1"/>
  <c r="CK77" i="90"/>
  <c r="DK77" i="90" s="1"/>
  <c r="FM77" i="90" s="1"/>
  <c r="CV77" i="90" s="1"/>
  <c r="AG77" i="56" s="1"/>
  <c r="CK78" i="90"/>
  <c r="DK78" i="90" s="1"/>
  <c r="CK79" i="90"/>
  <c r="DK79" i="90" s="1"/>
  <c r="FM79" i="90" s="1"/>
  <c r="CV79" i="90" s="1"/>
  <c r="AG79" i="56" s="1"/>
  <c r="CK80" i="90"/>
  <c r="DK80" i="90" s="1"/>
  <c r="CK81" i="90"/>
  <c r="DK81" i="90" s="1"/>
  <c r="CK88" i="90"/>
  <c r="DK88" i="90" s="1"/>
  <c r="CK83" i="90"/>
  <c r="DK83" i="90" s="1"/>
  <c r="FM83" i="90" s="1"/>
  <c r="CV83" i="90" s="1"/>
  <c r="AG83" i="56" s="1"/>
  <c r="CK85" i="90"/>
  <c r="DK85" i="90" s="1"/>
  <c r="CK64" i="90"/>
  <c r="DK64" i="90" s="1"/>
  <c r="CK87" i="90"/>
  <c r="DK87" i="90" s="1"/>
  <c r="FM87" i="90" s="1"/>
  <c r="CV87" i="90" s="1"/>
  <c r="AG87" i="56" s="1"/>
  <c r="CK82" i="90"/>
  <c r="DK82" i="90" s="1"/>
  <c r="CK84" i="90"/>
  <c r="DK84" i="90" s="1"/>
  <c r="CK86" i="90"/>
  <c r="DK86" i="90" s="1"/>
  <c r="FM86" i="90" s="1"/>
  <c r="CV86" i="90" s="1"/>
  <c r="AG86" i="56" s="1"/>
  <c r="CK66" i="90"/>
  <c r="DK66" i="90" s="1"/>
  <c r="FM66" i="90" s="1"/>
  <c r="CV66" i="90" s="1"/>
  <c r="AG66" i="56" s="1"/>
  <c r="CK69" i="90"/>
  <c r="DK69" i="90" s="1"/>
  <c r="CK70" i="90"/>
  <c r="DK70" i="90" s="1"/>
  <c r="CK71" i="90"/>
  <c r="DK71" i="90" s="1"/>
  <c r="FM71" i="90" s="1"/>
  <c r="CV71" i="90" s="1"/>
  <c r="AG71" i="56" s="1"/>
  <c r="CK72" i="90"/>
  <c r="DK72" i="90" s="1"/>
  <c r="FM72" i="90" s="1"/>
  <c r="CV72" i="90" s="1"/>
  <c r="AG72" i="56" s="1"/>
  <c r="CK65" i="90"/>
  <c r="DK65" i="90" s="1"/>
  <c r="CK67" i="90"/>
  <c r="DK67" i="90" s="1"/>
  <c r="CK68" i="90"/>
  <c r="DK68" i="90" s="1"/>
  <c r="FM68" i="90" s="1"/>
  <c r="CV68" i="90" s="1"/>
  <c r="AG68" i="56" s="1"/>
  <c r="CK56" i="90"/>
  <c r="DK56" i="90" s="1"/>
  <c r="FM56" i="90" s="1"/>
  <c r="CV56" i="90" s="1"/>
  <c r="AG56" i="56" s="1"/>
  <c r="CK58" i="90"/>
  <c r="DK58" i="90" s="1"/>
  <c r="CK55" i="90"/>
  <c r="DK55" i="90" s="1"/>
  <c r="FM55" i="90" s="1"/>
  <c r="CV55" i="90" s="1"/>
  <c r="AG55" i="56" s="1"/>
  <c r="CK57" i="90"/>
  <c r="DK57" i="90" s="1"/>
  <c r="CK59" i="90"/>
  <c r="DK59" i="90" s="1"/>
  <c r="CK60" i="90"/>
  <c r="DK60" i="90" s="1"/>
  <c r="FL149" i="90"/>
  <c r="CU149" i="90" s="1"/>
  <c r="AF149" i="56" s="1"/>
  <c r="FL152" i="90"/>
  <c r="CU152" i="90" s="1"/>
  <c r="AF152" i="56" s="1"/>
  <c r="FL116" i="90"/>
  <c r="CU116" i="90" s="1"/>
  <c r="AF116" i="56" s="1"/>
  <c r="FL120" i="90"/>
  <c r="CU120" i="90" s="1"/>
  <c r="AF120" i="56" s="1"/>
  <c r="FM206" i="90"/>
  <c r="CV206" i="90" s="1"/>
  <c r="AG206" i="56" s="1"/>
  <c r="FL277" i="90"/>
  <c r="CU277" i="90" s="1"/>
  <c r="AF277" i="56" s="1"/>
  <c r="FL99" i="90"/>
  <c r="CU99" i="90" s="1"/>
  <c r="AF99" i="56" s="1"/>
  <c r="FM300" i="90"/>
  <c r="CV300" i="90" s="1"/>
  <c r="AG300" i="56" s="1"/>
  <c r="FL112" i="90"/>
  <c r="CU112" i="90" s="1"/>
  <c r="AF112" i="56" s="1"/>
  <c r="AF188" i="44"/>
  <c r="AF186" i="44"/>
  <c r="AF84" i="44"/>
  <c r="AF99" i="44"/>
  <c r="AF89" i="44"/>
  <c r="AF137" i="44" s="1"/>
  <c r="AF90" i="44"/>
  <c r="AF123" i="44" s="1"/>
  <c r="AF85" i="44"/>
  <c r="AF96" i="44"/>
  <c r="AF87" i="44"/>
  <c r="AF86" i="44"/>
  <c r="AF136" i="44"/>
  <c r="CJ45" i="90"/>
  <c r="DJ62" i="90"/>
  <c r="FL62" i="90" s="1"/>
  <c r="CU62" i="90" s="1"/>
  <c r="AF62" i="56" s="1"/>
  <c r="AM15" i="40"/>
  <c r="AG39" i="93"/>
  <c r="AG85" i="41"/>
  <c r="CK396" i="90"/>
  <c r="DK396" i="90" s="1"/>
  <c r="FM396" i="90" s="1"/>
  <c r="CV396" i="90" s="1"/>
  <c r="AG396" i="56" s="1"/>
  <c r="CK392" i="90"/>
  <c r="DK392" i="90" s="1"/>
  <c r="FM392" i="90" s="1"/>
  <c r="CV392" i="90" s="1"/>
  <c r="AG392" i="56" s="1"/>
  <c r="CK388" i="90"/>
  <c r="DK388" i="90" s="1"/>
  <c r="FM388" i="90" s="1"/>
  <c r="CV388" i="90" s="1"/>
  <c r="AG388" i="56" s="1"/>
  <c r="CK384" i="90"/>
  <c r="DK384" i="90" s="1"/>
  <c r="FM384" i="90" s="1"/>
  <c r="CV384" i="90" s="1"/>
  <c r="AG384" i="56" s="1"/>
  <c r="CK380" i="90"/>
  <c r="DK380" i="90" s="1"/>
  <c r="FM380" i="90" s="1"/>
  <c r="CV380" i="90" s="1"/>
  <c r="AG380" i="56" s="1"/>
  <c r="CK376" i="90"/>
  <c r="DK376" i="90" s="1"/>
  <c r="FM376" i="90" s="1"/>
  <c r="CV376" i="90" s="1"/>
  <c r="AG376" i="56" s="1"/>
  <c r="CK372" i="90"/>
  <c r="DK372" i="90" s="1"/>
  <c r="FM372" i="90" s="1"/>
  <c r="CV372" i="90" s="1"/>
  <c r="AG372" i="56" s="1"/>
  <c r="CK368" i="90"/>
  <c r="DK368" i="90" s="1"/>
  <c r="FM368" i="90" s="1"/>
  <c r="CV368" i="90" s="1"/>
  <c r="AG368" i="56" s="1"/>
  <c r="CK339" i="90"/>
  <c r="DK339" i="90" s="1"/>
  <c r="FM339" i="90" s="1"/>
  <c r="CV339" i="90" s="1"/>
  <c r="AG339" i="56" s="1"/>
  <c r="CK335" i="90"/>
  <c r="DK335" i="90" s="1"/>
  <c r="CK331" i="90"/>
  <c r="DK331" i="90" s="1"/>
  <c r="FM331" i="90" s="1"/>
  <c r="CV331" i="90" s="1"/>
  <c r="AG331" i="56" s="1"/>
  <c r="CK327" i="90"/>
  <c r="DK327" i="90" s="1"/>
  <c r="FM327" i="90" s="1"/>
  <c r="CV327" i="90" s="1"/>
  <c r="AG327" i="56" s="1"/>
  <c r="CK323" i="90"/>
  <c r="DK323" i="90" s="1"/>
  <c r="FM323" i="90" s="1"/>
  <c r="CV323" i="90" s="1"/>
  <c r="AG323" i="56" s="1"/>
  <c r="CK319" i="90"/>
  <c r="DK319" i="90" s="1"/>
  <c r="FM319" i="90" s="1"/>
  <c r="CV319" i="90" s="1"/>
  <c r="AG319" i="56" s="1"/>
  <c r="CK315" i="90"/>
  <c r="DK315" i="90" s="1"/>
  <c r="CK311" i="90"/>
  <c r="DK311" i="90" s="1"/>
  <c r="FM311" i="90" s="1"/>
  <c r="CV311" i="90" s="1"/>
  <c r="AG311" i="56" s="1"/>
  <c r="CK395" i="90"/>
  <c r="DK395" i="90" s="1"/>
  <c r="FM395" i="90" s="1"/>
  <c r="CV395" i="90" s="1"/>
  <c r="AG395" i="56" s="1"/>
  <c r="CK391" i="90"/>
  <c r="DK391" i="90" s="1"/>
  <c r="FM391" i="90" s="1"/>
  <c r="CV391" i="90" s="1"/>
  <c r="AG391" i="56" s="1"/>
  <c r="CK387" i="90"/>
  <c r="DK387" i="90" s="1"/>
  <c r="FM387" i="90" s="1"/>
  <c r="CV387" i="90" s="1"/>
  <c r="AG387" i="56" s="1"/>
  <c r="CK383" i="90"/>
  <c r="DK383" i="90" s="1"/>
  <c r="FM383" i="90" s="1"/>
  <c r="CV383" i="90" s="1"/>
  <c r="AG383" i="56" s="1"/>
  <c r="CK379" i="90"/>
  <c r="DK379" i="90" s="1"/>
  <c r="FM379" i="90" s="1"/>
  <c r="CV379" i="90" s="1"/>
  <c r="AG379" i="56" s="1"/>
  <c r="CK375" i="90"/>
  <c r="DK375" i="90" s="1"/>
  <c r="FM375" i="90" s="1"/>
  <c r="CV375" i="90" s="1"/>
  <c r="AG375" i="56" s="1"/>
  <c r="CK371" i="90"/>
  <c r="DK371" i="90" s="1"/>
  <c r="FM371" i="90" s="1"/>
  <c r="CV371" i="90" s="1"/>
  <c r="AG371" i="56" s="1"/>
  <c r="CK367" i="90"/>
  <c r="DK367" i="90" s="1"/>
  <c r="FM367" i="90" s="1"/>
  <c r="CV367" i="90" s="1"/>
  <c r="AG367" i="56" s="1"/>
  <c r="CK338" i="90"/>
  <c r="DK338" i="90" s="1"/>
  <c r="FM338" i="90" s="1"/>
  <c r="CV338" i="90" s="1"/>
  <c r="AG338" i="56" s="1"/>
  <c r="CK334" i="90"/>
  <c r="DK334" i="90" s="1"/>
  <c r="FM334" i="90" s="1"/>
  <c r="CV334" i="90" s="1"/>
  <c r="AG334" i="56" s="1"/>
  <c r="CK330" i="90"/>
  <c r="DK330" i="90" s="1"/>
  <c r="FM330" i="90" s="1"/>
  <c r="CV330" i="90" s="1"/>
  <c r="AG330" i="56" s="1"/>
  <c r="CK326" i="90"/>
  <c r="DK326" i="90" s="1"/>
  <c r="FM326" i="90" s="1"/>
  <c r="CV326" i="90" s="1"/>
  <c r="AG326" i="56" s="1"/>
  <c r="CK322" i="90"/>
  <c r="DK322" i="90" s="1"/>
  <c r="FM322" i="90" s="1"/>
  <c r="CV322" i="90" s="1"/>
  <c r="AG322" i="56" s="1"/>
  <c r="CK318" i="90"/>
  <c r="DK318" i="90" s="1"/>
  <c r="FM318" i="90" s="1"/>
  <c r="CV318" i="90" s="1"/>
  <c r="AG318" i="56" s="1"/>
  <c r="CK314" i="90"/>
  <c r="DK314" i="90" s="1"/>
  <c r="FM314" i="90" s="1"/>
  <c r="CV314" i="90" s="1"/>
  <c r="AG314" i="56" s="1"/>
  <c r="CK385" i="90"/>
  <c r="DK385" i="90" s="1"/>
  <c r="FM385" i="90" s="1"/>
  <c r="CV385" i="90" s="1"/>
  <c r="AG385" i="56" s="1"/>
  <c r="CK370" i="90"/>
  <c r="DK370" i="90" s="1"/>
  <c r="FM370" i="90" s="1"/>
  <c r="CV370" i="90" s="1"/>
  <c r="AG370" i="56" s="1"/>
  <c r="CK328" i="90"/>
  <c r="DK328" i="90" s="1"/>
  <c r="FM328" i="90" s="1"/>
  <c r="CV328" i="90" s="1"/>
  <c r="AG328" i="56" s="1"/>
  <c r="CK313" i="90"/>
  <c r="DK313" i="90" s="1"/>
  <c r="FM313" i="90" s="1"/>
  <c r="CV313" i="90" s="1"/>
  <c r="AG313" i="56" s="1"/>
  <c r="CK369" i="90"/>
  <c r="DK369" i="90" s="1"/>
  <c r="FM369" i="90" s="1"/>
  <c r="CV369" i="90" s="1"/>
  <c r="AG369" i="56" s="1"/>
  <c r="CK310" i="90"/>
  <c r="DK310" i="90" s="1"/>
  <c r="FM310" i="90" s="1"/>
  <c r="CV310" i="90" s="1"/>
  <c r="AG310" i="56" s="1"/>
  <c r="CK389" i="90"/>
  <c r="DK389" i="90" s="1"/>
  <c r="FM389" i="90" s="1"/>
  <c r="CV389" i="90" s="1"/>
  <c r="AG389" i="56" s="1"/>
  <c r="CK374" i="90"/>
  <c r="DK374" i="90" s="1"/>
  <c r="FM374" i="90" s="1"/>
  <c r="CV374" i="90" s="1"/>
  <c r="AG374" i="56" s="1"/>
  <c r="CK332" i="90"/>
  <c r="DK332" i="90" s="1"/>
  <c r="FM332" i="90" s="1"/>
  <c r="CV332" i="90" s="1"/>
  <c r="AG332" i="56" s="1"/>
  <c r="CK317" i="90"/>
  <c r="DK317" i="90" s="1"/>
  <c r="FM317" i="90" s="1"/>
  <c r="CV317" i="90" s="1"/>
  <c r="AG317" i="56" s="1"/>
  <c r="CK246" i="90"/>
  <c r="DK246" i="90" s="1"/>
  <c r="FM246" i="90" s="1"/>
  <c r="CV246" i="90" s="1"/>
  <c r="AG246" i="56" s="1"/>
  <c r="CK242" i="90"/>
  <c r="DK242" i="90" s="1"/>
  <c r="FM242" i="90" s="1"/>
  <c r="CV242" i="90" s="1"/>
  <c r="AG242" i="56" s="1"/>
  <c r="CK238" i="90"/>
  <c r="DK238" i="90" s="1"/>
  <c r="FM238" i="90" s="1"/>
  <c r="CV238" i="90" s="1"/>
  <c r="AG238" i="56" s="1"/>
  <c r="CK62" i="90"/>
  <c r="DK62" i="90" s="1"/>
  <c r="FM62" i="90" s="1"/>
  <c r="CV62" i="90" s="1"/>
  <c r="AG62" i="56" s="1"/>
  <c r="CK52" i="90"/>
  <c r="DK52" i="90" s="1"/>
  <c r="FM52" i="90" s="1"/>
  <c r="CV52" i="90" s="1"/>
  <c r="AG52" i="56" s="1"/>
  <c r="CK48" i="90"/>
  <c r="DK48" i="90" s="1"/>
  <c r="FM48" i="90" s="1"/>
  <c r="CV48" i="90" s="1"/>
  <c r="AG48" i="56" s="1"/>
  <c r="CK393" i="90"/>
  <c r="DK393" i="90" s="1"/>
  <c r="FM393" i="90" s="1"/>
  <c r="CV393" i="90" s="1"/>
  <c r="AG393" i="56" s="1"/>
  <c r="CK378" i="90"/>
  <c r="DK378" i="90" s="1"/>
  <c r="FM378" i="90" s="1"/>
  <c r="CV378" i="90" s="1"/>
  <c r="AG378" i="56" s="1"/>
  <c r="CK336" i="90"/>
  <c r="DK336" i="90" s="1"/>
  <c r="FM336" i="90" s="1"/>
  <c r="CV336" i="90" s="1"/>
  <c r="AG336" i="56" s="1"/>
  <c r="CK321" i="90"/>
  <c r="DK321" i="90" s="1"/>
  <c r="FM321" i="90" s="1"/>
  <c r="CV321" i="90" s="1"/>
  <c r="AG321" i="56" s="1"/>
  <c r="CK309" i="90"/>
  <c r="DK309" i="90" s="1"/>
  <c r="FM309" i="90" s="1"/>
  <c r="CV309" i="90" s="1"/>
  <c r="AG309" i="56" s="1"/>
  <c r="CK329" i="90"/>
  <c r="DK329" i="90" s="1"/>
  <c r="FM329" i="90" s="1"/>
  <c r="CV329" i="90" s="1"/>
  <c r="AG329" i="56" s="1"/>
  <c r="CK312" i="90"/>
  <c r="DK312" i="90" s="1"/>
  <c r="FM312" i="90" s="1"/>
  <c r="CV312" i="90" s="1"/>
  <c r="AG312" i="56" s="1"/>
  <c r="CK382" i="90"/>
  <c r="DK382" i="90" s="1"/>
  <c r="FM382" i="90" s="1"/>
  <c r="CV382" i="90" s="1"/>
  <c r="AG382" i="56" s="1"/>
  <c r="CK365" i="90"/>
  <c r="DK365" i="90" s="1"/>
  <c r="FM365" i="90" s="1"/>
  <c r="CV365" i="90" s="1"/>
  <c r="AG365" i="56" s="1"/>
  <c r="CK325" i="90"/>
  <c r="DK325" i="90" s="1"/>
  <c r="FM325" i="90" s="1"/>
  <c r="CV325" i="90" s="1"/>
  <c r="AG325" i="56" s="1"/>
  <c r="CK245" i="90"/>
  <c r="DK245" i="90" s="1"/>
  <c r="FM245" i="90" s="1"/>
  <c r="CV245" i="90" s="1"/>
  <c r="AG245" i="56" s="1"/>
  <c r="CK241" i="90"/>
  <c r="DK241" i="90" s="1"/>
  <c r="FM241" i="90" s="1"/>
  <c r="CV241" i="90" s="1"/>
  <c r="AG241" i="56" s="1"/>
  <c r="CK237" i="90"/>
  <c r="DK237" i="90" s="1"/>
  <c r="FM237" i="90" s="1"/>
  <c r="CV237" i="90" s="1"/>
  <c r="AG237" i="56" s="1"/>
  <c r="CK51" i="90"/>
  <c r="DK51" i="90" s="1"/>
  <c r="FM51" i="90" s="1"/>
  <c r="CV51" i="90" s="1"/>
  <c r="AG51" i="56" s="1"/>
  <c r="CK47" i="90"/>
  <c r="DK47" i="90" s="1"/>
  <c r="FM47" i="90" s="1"/>
  <c r="CV47" i="90" s="1"/>
  <c r="AG47" i="56" s="1"/>
  <c r="CK386" i="90"/>
  <c r="DK386" i="90" s="1"/>
  <c r="FM386" i="90" s="1"/>
  <c r="CV386" i="90" s="1"/>
  <c r="AG386" i="56" s="1"/>
  <c r="CK394" i="90"/>
  <c r="DK394" i="90" s="1"/>
  <c r="FM394" i="90" s="1"/>
  <c r="CV394" i="90" s="1"/>
  <c r="AG394" i="56" s="1"/>
  <c r="CK377" i="90"/>
  <c r="DK377" i="90" s="1"/>
  <c r="FM377" i="90" s="1"/>
  <c r="CV377" i="90" s="1"/>
  <c r="AG377" i="56" s="1"/>
  <c r="CK337" i="90"/>
  <c r="DK337" i="90" s="1"/>
  <c r="FM337" i="90" s="1"/>
  <c r="CV337" i="90" s="1"/>
  <c r="AG337" i="56" s="1"/>
  <c r="CK320" i="90"/>
  <c r="DK320" i="90" s="1"/>
  <c r="FM320" i="90" s="1"/>
  <c r="CV320" i="90" s="1"/>
  <c r="AG320" i="56" s="1"/>
  <c r="CK63" i="90"/>
  <c r="DK63" i="90" s="1"/>
  <c r="FM63" i="90" s="1"/>
  <c r="CV63" i="90" s="1"/>
  <c r="AG63" i="56" s="1"/>
  <c r="CK333" i="90"/>
  <c r="DK333" i="90" s="1"/>
  <c r="FM333" i="90" s="1"/>
  <c r="CV333" i="90" s="1"/>
  <c r="AG333" i="56" s="1"/>
  <c r="CK316" i="90"/>
  <c r="DK316" i="90" s="1"/>
  <c r="FM316" i="90" s="1"/>
  <c r="CV316" i="90" s="1"/>
  <c r="AG316" i="56" s="1"/>
  <c r="CK239" i="90"/>
  <c r="DK239" i="90" s="1"/>
  <c r="FM239" i="90" s="1"/>
  <c r="CV239" i="90" s="1"/>
  <c r="AG239" i="56" s="1"/>
  <c r="CK46" i="90"/>
  <c r="CK381" i="90"/>
  <c r="DK381" i="90" s="1"/>
  <c r="FM381" i="90" s="1"/>
  <c r="CV381" i="90" s="1"/>
  <c r="AG381" i="56" s="1"/>
  <c r="CK240" i="90"/>
  <c r="DK240" i="90" s="1"/>
  <c r="FM240" i="90" s="1"/>
  <c r="CV240" i="90" s="1"/>
  <c r="AG240" i="56" s="1"/>
  <c r="CK366" i="90"/>
  <c r="DK366" i="90" s="1"/>
  <c r="FM366" i="90" s="1"/>
  <c r="CV366" i="90" s="1"/>
  <c r="AG366" i="56" s="1"/>
  <c r="CK324" i="90"/>
  <c r="DK324" i="90" s="1"/>
  <c r="FM324" i="90" s="1"/>
  <c r="CV324" i="90" s="1"/>
  <c r="AG324" i="56" s="1"/>
  <c r="CK243" i="90"/>
  <c r="DK243" i="90" s="1"/>
  <c r="FM243" i="90" s="1"/>
  <c r="CV243" i="90" s="1"/>
  <c r="AG243" i="56" s="1"/>
  <c r="CK50" i="90"/>
  <c r="DK50" i="90" s="1"/>
  <c r="FM50" i="90" s="1"/>
  <c r="CV50" i="90" s="1"/>
  <c r="AG50" i="56" s="1"/>
  <c r="CK390" i="90"/>
  <c r="DK390" i="90" s="1"/>
  <c r="FM390" i="90" s="1"/>
  <c r="CV390" i="90" s="1"/>
  <c r="AG390" i="56" s="1"/>
  <c r="CK373" i="90"/>
  <c r="DK373" i="90" s="1"/>
  <c r="FM373" i="90" s="1"/>
  <c r="CV373" i="90" s="1"/>
  <c r="AG373" i="56" s="1"/>
  <c r="CK247" i="90"/>
  <c r="DK247" i="90" s="1"/>
  <c r="FM247" i="90" s="1"/>
  <c r="CV247" i="90" s="1"/>
  <c r="AG247" i="56" s="1"/>
  <c r="CK54" i="90"/>
  <c r="DK54" i="90" s="1"/>
  <c r="FM54" i="90" s="1"/>
  <c r="CV54" i="90" s="1"/>
  <c r="AG54" i="56" s="1"/>
  <c r="CK244" i="90"/>
  <c r="DK244" i="90" s="1"/>
  <c r="FM244" i="90" s="1"/>
  <c r="CV244" i="90" s="1"/>
  <c r="AG244" i="56" s="1"/>
  <c r="CK49" i="90"/>
  <c r="DK49" i="90" s="1"/>
  <c r="FM49" i="90" s="1"/>
  <c r="CV49" i="90" s="1"/>
  <c r="AG49" i="56" s="1"/>
  <c r="CK248" i="90"/>
  <c r="DK248" i="90" s="1"/>
  <c r="FM248" i="90" s="1"/>
  <c r="CV248" i="90" s="1"/>
  <c r="AG248" i="56" s="1"/>
  <c r="CK53" i="90"/>
  <c r="DK53" i="90" s="1"/>
  <c r="FM53" i="90" s="1"/>
  <c r="CV53" i="90" s="1"/>
  <c r="AG53" i="56" s="1"/>
  <c r="AF110" i="41"/>
  <c r="FM335" i="90"/>
  <c r="CV335" i="90" s="1"/>
  <c r="AG335" i="56" s="1"/>
  <c r="FM315" i="90"/>
  <c r="CV315" i="90" s="1"/>
  <c r="AG315" i="56" s="1"/>
  <c r="AE206" i="44"/>
  <c r="AE259" i="44"/>
  <c r="AE260" i="44"/>
  <c r="AB19" i="56"/>
  <c r="AE207" i="44"/>
  <c r="CS45" i="90"/>
  <c r="AC19" i="56"/>
  <c r="AE258" i="44"/>
  <c r="CT45" i="90"/>
  <c r="AD45" i="56"/>
  <c r="AD19" i="56" s="1"/>
  <c r="AF109" i="41"/>
  <c r="AF108" i="41"/>
  <c r="Y241" i="44" l="1"/>
  <c r="Y232" i="44"/>
  <c r="Y189" i="44"/>
  <c r="Y130" i="44" s="1"/>
  <c r="X160" i="44"/>
  <c r="X161" i="44" s="1"/>
  <c r="Y159" i="44" s="1"/>
  <c r="Y192" i="44" s="1"/>
  <c r="Y61" i="44" s="1"/>
  <c r="Y194" i="44" s="1"/>
  <c r="Y195" i="44" s="1"/>
  <c r="Y98" i="44" s="1"/>
  <c r="Y101" i="44" s="1"/>
  <c r="AG83" i="44"/>
  <c r="AG309" i="44"/>
  <c r="AG311" i="44"/>
  <c r="AG310" i="44"/>
  <c r="AG274" i="44"/>
  <c r="AF126" i="44"/>
  <c r="AF277" i="44"/>
  <c r="AF209" i="44"/>
  <c r="AF125" i="44"/>
  <c r="AF124" i="44"/>
  <c r="AF45" i="56"/>
  <c r="R173" i="98"/>
  <c r="DJ45" i="90"/>
  <c r="FM84" i="90"/>
  <c r="CV84" i="90" s="1"/>
  <c r="AG84" i="56" s="1"/>
  <c r="FM85" i="90"/>
  <c r="CV85" i="90" s="1"/>
  <c r="AG85" i="56" s="1"/>
  <c r="FM80" i="90"/>
  <c r="CV80" i="90" s="1"/>
  <c r="AG80" i="56" s="1"/>
  <c r="FM202" i="90"/>
  <c r="CV202" i="90" s="1"/>
  <c r="AG202" i="56" s="1"/>
  <c r="FM201" i="90"/>
  <c r="CV201" i="90" s="1"/>
  <c r="AG201" i="56" s="1"/>
  <c r="FM182" i="90"/>
  <c r="CV182" i="90" s="1"/>
  <c r="AG182" i="56" s="1"/>
  <c r="FM76" i="90"/>
  <c r="CV76" i="90" s="1"/>
  <c r="AG76" i="56" s="1"/>
  <c r="FM193" i="90"/>
  <c r="CV193" i="90" s="1"/>
  <c r="AG193" i="56" s="1"/>
  <c r="FM184" i="90"/>
  <c r="CV184" i="90" s="1"/>
  <c r="AG184" i="56" s="1"/>
  <c r="FM111" i="90"/>
  <c r="CV111" i="90" s="1"/>
  <c r="AG111" i="56" s="1"/>
  <c r="FM172" i="90"/>
  <c r="CV172" i="90" s="1"/>
  <c r="AG172" i="56" s="1"/>
  <c r="FM142" i="90"/>
  <c r="CV142" i="90" s="1"/>
  <c r="AG142" i="56" s="1"/>
  <c r="FM160" i="90"/>
  <c r="CV160" i="90" s="1"/>
  <c r="AG160" i="56" s="1"/>
  <c r="FM154" i="90"/>
  <c r="CV154" i="90" s="1"/>
  <c r="AG154" i="56" s="1"/>
  <c r="FM143" i="90"/>
  <c r="CV143" i="90" s="1"/>
  <c r="AG143" i="56" s="1"/>
  <c r="FM123" i="90"/>
  <c r="CV123" i="90" s="1"/>
  <c r="AG123" i="56" s="1"/>
  <c r="FM126" i="90"/>
  <c r="CV126" i="90" s="1"/>
  <c r="AG126" i="56" s="1"/>
  <c r="FM119" i="90"/>
  <c r="CV119" i="90" s="1"/>
  <c r="AG119" i="56" s="1"/>
  <c r="FM235" i="90"/>
  <c r="CV235" i="90" s="1"/>
  <c r="AG235" i="56" s="1"/>
  <c r="FM218" i="90"/>
  <c r="CV218" i="90" s="1"/>
  <c r="AG218" i="56" s="1"/>
  <c r="FM96" i="90"/>
  <c r="CV96" i="90" s="1"/>
  <c r="AG96" i="56" s="1"/>
  <c r="FM222" i="90"/>
  <c r="CV222" i="90" s="1"/>
  <c r="AG222" i="56" s="1"/>
  <c r="FM100" i="90"/>
  <c r="CV100" i="90" s="1"/>
  <c r="AG100" i="56" s="1"/>
  <c r="FM295" i="90"/>
  <c r="CV295" i="90" s="1"/>
  <c r="AG295" i="56" s="1"/>
  <c r="FM296" i="90"/>
  <c r="CV296" i="90" s="1"/>
  <c r="AG296" i="56" s="1"/>
  <c r="FM304" i="90"/>
  <c r="CV304" i="90" s="1"/>
  <c r="AG304" i="56" s="1"/>
  <c r="FM286" i="90"/>
  <c r="CV286" i="90" s="1"/>
  <c r="AG286" i="56" s="1"/>
  <c r="FM288" i="90"/>
  <c r="CV288" i="90" s="1"/>
  <c r="AG288" i="56" s="1"/>
  <c r="FM281" i="90"/>
  <c r="CV281" i="90" s="1"/>
  <c r="AG281" i="56" s="1"/>
  <c r="FM356" i="90"/>
  <c r="CV356" i="90" s="1"/>
  <c r="AG356" i="56" s="1"/>
  <c r="FM342" i="90"/>
  <c r="CV342" i="90" s="1"/>
  <c r="AG342" i="56" s="1"/>
  <c r="FM340" i="90"/>
  <c r="CV340" i="90" s="1"/>
  <c r="AG340" i="56" s="1"/>
  <c r="FM284" i="90"/>
  <c r="CV284" i="90" s="1"/>
  <c r="AG284" i="56" s="1"/>
  <c r="FM298" i="90"/>
  <c r="CV298" i="90" s="1"/>
  <c r="AG298" i="56" s="1"/>
  <c r="FM187" i="90"/>
  <c r="CV187" i="90" s="1"/>
  <c r="AG187" i="56" s="1"/>
  <c r="FM70" i="90"/>
  <c r="CV70" i="90" s="1"/>
  <c r="AG70" i="56" s="1"/>
  <c r="FM199" i="90"/>
  <c r="CV199" i="90" s="1"/>
  <c r="AG199" i="56" s="1"/>
  <c r="FM266" i="90"/>
  <c r="CV266" i="90" s="1"/>
  <c r="AG266" i="56" s="1"/>
  <c r="FM249" i="90"/>
  <c r="CV249" i="90" s="1"/>
  <c r="AG249" i="56" s="1"/>
  <c r="FM227" i="90"/>
  <c r="CV227" i="90" s="1"/>
  <c r="AG227" i="56" s="1"/>
  <c r="FM267" i="90"/>
  <c r="CV267" i="90" s="1"/>
  <c r="AG267" i="56" s="1"/>
  <c r="FM272" i="90"/>
  <c r="CV272" i="90" s="1"/>
  <c r="AG272" i="56" s="1"/>
  <c r="FM280" i="90"/>
  <c r="CV280" i="90" s="1"/>
  <c r="AG280" i="56" s="1"/>
  <c r="FM292" i="90"/>
  <c r="CV292" i="90" s="1"/>
  <c r="AG292" i="56" s="1"/>
  <c r="FM67" i="90"/>
  <c r="CV67" i="90" s="1"/>
  <c r="AG67" i="56" s="1"/>
  <c r="FM353" i="90"/>
  <c r="CV353" i="90" s="1"/>
  <c r="AG353" i="56" s="1"/>
  <c r="FM359" i="90"/>
  <c r="CV359" i="90" s="1"/>
  <c r="AG359" i="56" s="1"/>
  <c r="FM170" i="90"/>
  <c r="CV170" i="90" s="1"/>
  <c r="AG170" i="56" s="1"/>
  <c r="FM273" i="90"/>
  <c r="CV273" i="90" s="1"/>
  <c r="AG273" i="56" s="1"/>
  <c r="FM128" i="90"/>
  <c r="CV128" i="90" s="1"/>
  <c r="AG128" i="56" s="1"/>
  <c r="FM362" i="90"/>
  <c r="CV362" i="90" s="1"/>
  <c r="AG362" i="56" s="1"/>
  <c r="CL344" i="90"/>
  <c r="CL343" i="90"/>
  <c r="CL347" i="90"/>
  <c r="CL340" i="90"/>
  <c r="CL346" i="90"/>
  <c r="CL341" i="90"/>
  <c r="CL349" i="90"/>
  <c r="CL352" i="90"/>
  <c r="CL353" i="90"/>
  <c r="CL354" i="90"/>
  <c r="CL342" i="90"/>
  <c r="CL348" i="90"/>
  <c r="CL350" i="90"/>
  <c r="CL351" i="90"/>
  <c r="CL345" i="90"/>
  <c r="CL355" i="90"/>
  <c r="CL356" i="90"/>
  <c r="CL357" i="90"/>
  <c r="CL361" i="90"/>
  <c r="CL363" i="90"/>
  <c r="CL358" i="90"/>
  <c r="CL362" i="90"/>
  <c r="CL364" i="90"/>
  <c r="CL251" i="90"/>
  <c r="CL359" i="90"/>
  <c r="CL360" i="90"/>
  <c r="CL253" i="90"/>
  <c r="CL254" i="90"/>
  <c r="CL256" i="90"/>
  <c r="CL259" i="90"/>
  <c r="CL260" i="90"/>
  <c r="CL255" i="90"/>
  <c r="CL270" i="90"/>
  <c r="CL274" i="90"/>
  <c r="CL278" i="90"/>
  <c r="CL250" i="90"/>
  <c r="CL252" i="90"/>
  <c r="CL258" i="90"/>
  <c r="CL264" i="90"/>
  <c r="CL265" i="90"/>
  <c r="CL266" i="90"/>
  <c r="CL269" i="90"/>
  <c r="CL271" i="90"/>
  <c r="CL272" i="90"/>
  <c r="CL276" i="90"/>
  <c r="CL249" i="90"/>
  <c r="CL257" i="90"/>
  <c r="CL261" i="90"/>
  <c r="CL263" i="90"/>
  <c r="CL267" i="90"/>
  <c r="CL268" i="90"/>
  <c r="CL273" i="90"/>
  <c r="CL262" i="90"/>
  <c r="CL279" i="90"/>
  <c r="CL280" i="90"/>
  <c r="CL292" i="90"/>
  <c r="CL281" i="90"/>
  <c r="CL283" i="90"/>
  <c r="CL285" i="90"/>
  <c r="CL287" i="90"/>
  <c r="CL291" i="90"/>
  <c r="CL294" i="90"/>
  <c r="CL275" i="90"/>
  <c r="CL277" i="90"/>
  <c r="CL282" i="90"/>
  <c r="CL284" i="90"/>
  <c r="CL288" i="90"/>
  <c r="CL293" i="90"/>
  <c r="CL289" i="90"/>
  <c r="CL296" i="90"/>
  <c r="CL297" i="90"/>
  <c r="CL300" i="90"/>
  <c r="CL290" i="90"/>
  <c r="CL299" i="90"/>
  <c r="CL305" i="90"/>
  <c r="CL306" i="90"/>
  <c r="CL307" i="90"/>
  <c r="CL308" i="90"/>
  <c r="CL295" i="90"/>
  <c r="CL298" i="90"/>
  <c r="CL209" i="90"/>
  <c r="CL210" i="90"/>
  <c r="CL211" i="90"/>
  <c r="CL212" i="90"/>
  <c r="CL204" i="90"/>
  <c r="CL217" i="90"/>
  <c r="CL218" i="90"/>
  <c r="CL219" i="90"/>
  <c r="CL220" i="90"/>
  <c r="CL304" i="90"/>
  <c r="CL206" i="90"/>
  <c r="CL208" i="90"/>
  <c r="CL230" i="90"/>
  <c r="CL231" i="90"/>
  <c r="CL301" i="90"/>
  <c r="CL207" i="90"/>
  <c r="CL213" i="90"/>
  <c r="CL215" i="90"/>
  <c r="CL221" i="90"/>
  <c r="CL227" i="90"/>
  <c r="CL229" i="90"/>
  <c r="CL233" i="90"/>
  <c r="CL236" i="90"/>
  <c r="CL92" i="90"/>
  <c r="CL98" i="90"/>
  <c r="CL103" i="90"/>
  <c r="CL104" i="90"/>
  <c r="CL105" i="90"/>
  <c r="CL112" i="90"/>
  <c r="CL114" i="90"/>
  <c r="CL115" i="90"/>
  <c r="CL117" i="90"/>
  <c r="CL118" i="90"/>
  <c r="CL119" i="90"/>
  <c r="CL302" i="90"/>
  <c r="CL303" i="90"/>
  <c r="CL222" i="90"/>
  <c r="CL225" i="90"/>
  <c r="CL228" i="90"/>
  <c r="CL234" i="90"/>
  <c r="CL89" i="90"/>
  <c r="CL93" i="90"/>
  <c r="CL96" i="90"/>
  <c r="CL97" i="90"/>
  <c r="CL99" i="90"/>
  <c r="CL102" i="90"/>
  <c r="CL106" i="90"/>
  <c r="CL107" i="90"/>
  <c r="CL113" i="90"/>
  <c r="CL116" i="90"/>
  <c r="CL121" i="90"/>
  <c r="CL122" i="90"/>
  <c r="CL124" i="90"/>
  <c r="CL125" i="90"/>
  <c r="CL126" i="90"/>
  <c r="CL129" i="90"/>
  <c r="CL145" i="90"/>
  <c r="CL149" i="90"/>
  <c r="CL156" i="90"/>
  <c r="CL157" i="90"/>
  <c r="CL158" i="90"/>
  <c r="CL214" i="90"/>
  <c r="CL223" i="90"/>
  <c r="CL226" i="90"/>
  <c r="CL235" i="90"/>
  <c r="CL90" i="90"/>
  <c r="CL205" i="90"/>
  <c r="CL100" i="90"/>
  <c r="CL101" i="90"/>
  <c r="CL111" i="90"/>
  <c r="CL216" i="90"/>
  <c r="CL224" i="90"/>
  <c r="CL108" i="90"/>
  <c r="CL110" i="90"/>
  <c r="CL120" i="90"/>
  <c r="CL286" i="90"/>
  <c r="CL94" i="90"/>
  <c r="CL95" i="90"/>
  <c r="CL232" i="90"/>
  <c r="CL131" i="90"/>
  <c r="CL134" i="90"/>
  <c r="CL153" i="90"/>
  <c r="CL164" i="90"/>
  <c r="CL176" i="90"/>
  <c r="CL179" i="90"/>
  <c r="CL123" i="90"/>
  <c r="CL127" i="90"/>
  <c r="CL135" i="90"/>
  <c r="CL143" i="90"/>
  <c r="CL146" i="90"/>
  <c r="CL151" i="90"/>
  <c r="CL154" i="90"/>
  <c r="CL165" i="90"/>
  <c r="CL166" i="90"/>
  <c r="CL167" i="90"/>
  <c r="CL168" i="90"/>
  <c r="CL109" i="90"/>
  <c r="CL132" i="90"/>
  <c r="CL136" i="90"/>
  <c r="CL138" i="90"/>
  <c r="CL141" i="90"/>
  <c r="CL144" i="90"/>
  <c r="CL147" i="90"/>
  <c r="CL155" i="90"/>
  <c r="CL159" i="90"/>
  <c r="CL160" i="90"/>
  <c r="CL161" i="90"/>
  <c r="CL162" i="90"/>
  <c r="CL163" i="90"/>
  <c r="CL169" i="90"/>
  <c r="CL170" i="90"/>
  <c r="CL177" i="90"/>
  <c r="CL178" i="90"/>
  <c r="CL91" i="90"/>
  <c r="CL128" i="90"/>
  <c r="CL130" i="90"/>
  <c r="CL133" i="90"/>
  <c r="CL137" i="90"/>
  <c r="CL139" i="90"/>
  <c r="CL140" i="90"/>
  <c r="CL173" i="90"/>
  <c r="CL183" i="90"/>
  <c r="CL187" i="90"/>
  <c r="CL188" i="90"/>
  <c r="CL189" i="90"/>
  <c r="CL190" i="90"/>
  <c r="CL191" i="90"/>
  <c r="CL196" i="90"/>
  <c r="CL197" i="90"/>
  <c r="CL73" i="90"/>
  <c r="CL77" i="90"/>
  <c r="CL78" i="90"/>
  <c r="CL79" i="90"/>
  <c r="CL80" i="90"/>
  <c r="CL150" i="90"/>
  <c r="CL152" i="90"/>
  <c r="CL172" i="90"/>
  <c r="CL184" i="90"/>
  <c r="CL185" i="90"/>
  <c r="CL186" i="90"/>
  <c r="CL192" i="90"/>
  <c r="CL193" i="90"/>
  <c r="CL198" i="90"/>
  <c r="CL199" i="90"/>
  <c r="CL75" i="90"/>
  <c r="CL76" i="90"/>
  <c r="CL171" i="90"/>
  <c r="CL175" i="90"/>
  <c r="CL181" i="90"/>
  <c r="CL182" i="90"/>
  <c r="CL194" i="90"/>
  <c r="CL195" i="90"/>
  <c r="CL200" i="90"/>
  <c r="CL201" i="90"/>
  <c r="CL74" i="90"/>
  <c r="CL87" i="90"/>
  <c r="CL65" i="90"/>
  <c r="CL69" i="90"/>
  <c r="CL142" i="90"/>
  <c r="CL148" i="90"/>
  <c r="CL174" i="90"/>
  <c r="CL180" i="90"/>
  <c r="CL202" i="90"/>
  <c r="CL203" i="90"/>
  <c r="CL67" i="90"/>
  <c r="CL68" i="90"/>
  <c r="CL83" i="90"/>
  <c r="CL85" i="90"/>
  <c r="CL64" i="90"/>
  <c r="CL88" i="90"/>
  <c r="CL81" i="90"/>
  <c r="CL82" i="90"/>
  <c r="CL84" i="90"/>
  <c r="CL86" i="90"/>
  <c r="CL66" i="90"/>
  <c r="CL70" i="90"/>
  <c r="CL71" i="90"/>
  <c r="CL72" i="90"/>
  <c r="CL60" i="90"/>
  <c r="CL56" i="90"/>
  <c r="CL58" i="90"/>
  <c r="CL55" i="90"/>
  <c r="CL57" i="90"/>
  <c r="CL59" i="90"/>
  <c r="FM60" i="90"/>
  <c r="CV60" i="90" s="1"/>
  <c r="AG60" i="56" s="1"/>
  <c r="FM58" i="90"/>
  <c r="CV58" i="90" s="1"/>
  <c r="AG58" i="56" s="1"/>
  <c r="FM65" i="90"/>
  <c r="CV65" i="90" s="1"/>
  <c r="AG65" i="56" s="1"/>
  <c r="FM69" i="90"/>
  <c r="CV69" i="90" s="1"/>
  <c r="AG69" i="56" s="1"/>
  <c r="FM82" i="90"/>
  <c r="CV82" i="90" s="1"/>
  <c r="AG82" i="56" s="1"/>
  <c r="FM197" i="90"/>
  <c r="CV197" i="90" s="1"/>
  <c r="AG197" i="56" s="1"/>
  <c r="FM189" i="90"/>
  <c r="CV189" i="90" s="1"/>
  <c r="AG189" i="56" s="1"/>
  <c r="FM158" i="90"/>
  <c r="CV158" i="90" s="1"/>
  <c r="AG158" i="56" s="1"/>
  <c r="FM180" i="90"/>
  <c r="CV180" i="90" s="1"/>
  <c r="AG180" i="56" s="1"/>
  <c r="FM200" i="90"/>
  <c r="CV200" i="90" s="1"/>
  <c r="AG200" i="56" s="1"/>
  <c r="FM192" i="90"/>
  <c r="CV192" i="90" s="1"/>
  <c r="AG192" i="56" s="1"/>
  <c r="FM164" i="90"/>
  <c r="CV164" i="90" s="1"/>
  <c r="AG164" i="56" s="1"/>
  <c r="FM144" i="90"/>
  <c r="CV144" i="90" s="1"/>
  <c r="AG144" i="56" s="1"/>
  <c r="FM105" i="90"/>
  <c r="CV105" i="90" s="1"/>
  <c r="AG105" i="56" s="1"/>
  <c r="FM124" i="90"/>
  <c r="CV124" i="90" s="1"/>
  <c r="AG124" i="56" s="1"/>
  <c r="FM103" i="90"/>
  <c r="CV103" i="90" s="1"/>
  <c r="AG103" i="56" s="1"/>
  <c r="FM139" i="90"/>
  <c r="CV139" i="90" s="1"/>
  <c r="AG139" i="56" s="1"/>
  <c r="FM110" i="90"/>
  <c r="CV110" i="90" s="1"/>
  <c r="AG110" i="56" s="1"/>
  <c r="FM231" i="90"/>
  <c r="CV231" i="90" s="1"/>
  <c r="AG231" i="56" s="1"/>
  <c r="FM217" i="90"/>
  <c r="CV217" i="90" s="1"/>
  <c r="AG217" i="56" s="1"/>
  <c r="FM234" i="90"/>
  <c r="CV234" i="90" s="1"/>
  <c r="AG234" i="56" s="1"/>
  <c r="FM89" i="90"/>
  <c r="CV89" i="90" s="1"/>
  <c r="AG89" i="56" s="1"/>
  <c r="FM214" i="90"/>
  <c r="CV214" i="90" s="1"/>
  <c r="AG214" i="56" s="1"/>
  <c r="FM209" i="90"/>
  <c r="CV209" i="90" s="1"/>
  <c r="AG209" i="56" s="1"/>
  <c r="FM299" i="90"/>
  <c r="CV299" i="90" s="1"/>
  <c r="AG299" i="56" s="1"/>
  <c r="FM274" i="90"/>
  <c r="CV274" i="90" s="1"/>
  <c r="AG274" i="56" s="1"/>
  <c r="FM275" i="90"/>
  <c r="CV275" i="90" s="1"/>
  <c r="AG275" i="56" s="1"/>
  <c r="FM254" i="90"/>
  <c r="CV254" i="90" s="1"/>
  <c r="AG254" i="56" s="1"/>
  <c r="FM263" i="90"/>
  <c r="CV263" i="90" s="1"/>
  <c r="AG263" i="56" s="1"/>
  <c r="FM257" i="90"/>
  <c r="CV257" i="90" s="1"/>
  <c r="AG257" i="56" s="1"/>
  <c r="FM351" i="90"/>
  <c r="CV351" i="90" s="1"/>
  <c r="AG351" i="56" s="1"/>
  <c r="FM175" i="90"/>
  <c r="CV175" i="90" s="1"/>
  <c r="AG175" i="56" s="1"/>
  <c r="FM151" i="90"/>
  <c r="CV151" i="90" s="1"/>
  <c r="AG151" i="56" s="1"/>
  <c r="FM74" i="90"/>
  <c r="CV74" i="90" s="1"/>
  <c r="AG74" i="56" s="1"/>
  <c r="FM137" i="90"/>
  <c r="CV137" i="90" s="1"/>
  <c r="AG137" i="56" s="1"/>
  <c r="FM253" i="90"/>
  <c r="CV253" i="90" s="1"/>
  <c r="AG253" i="56" s="1"/>
  <c r="FM232" i="90"/>
  <c r="CV232" i="90" s="1"/>
  <c r="AG232" i="56" s="1"/>
  <c r="FM156" i="90"/>
  <c r="CV156" i="90" s="1"/>
  <c r="AG156" i="56" s="1"/>
  <c r="FM90" i="90"/>
  <c r="CV90" i="90" s="1"/>
  <c r="AG90" i="56" s="1"/>
  <c r="FM211" i="90"/>
  <c r="CV211" i="90" s="1"/>
  <c r="AG211" i="56" s="1"/>
  <c r="FM350" i="90"/>
  <c r="CV350" i="90" s="1"/>
  <c r="AG350" i="56" s="1"/>
  <c r="FM262" i="90"/>
  <c r="CV262" i="90" s="1"/>
  <c r="AG262" i="56" s="1"/>
  <c r="FM114" i="90"/>
  <c r="CV114" i="90" s="1"/>
  <c r="AG114" i="56" s="1"/>
  <c r="FM64" i="90"/>
  <c r="CV64" i="90" s="1"/>
  <c r="AG64" i="56" s="1"/>
  <c r="FL45" i="90"/>
  <c r="FM59" i="90"/>
  <c r="CV59" i="90" s="1"/>
  <c r="AG59" i="56" s="1"/>
  <c r="FM88" i="90"/>
  <c r="CV88" i="90" s="1"/>
  <c r="AG88" i="56" s="1"/>
  <c r="FM78" i="90"/>
  <c r="CV78" i="90" s="1"/>
  <c r="AG78" i="56" s="1"/>
  <c r="FM196" i="90"/>
  <c r="CV196" i="90" s="1"/>
  <c r="AG196" i="56" s="1"/>
  <c r="FM188" i="90"/>
  <c r="CV188" i="90" s="1"/>
  <c r="AG188" i="56" s="1"/>
  <c r="FM145" i="90"/>
  <c r="CV145" i="90" s="1"/>
  <c r="AG145" i="56" s="1"/>
  <c r="FM179" i="90"/>
  <c r="CV179" i="90" s="1"/>
  <c r="AG179" i="56" s="1"/>
  <c r="FM162" i="90"/>
  <c r="CV162" i="90" s="1"/>
  <c r="AG162" i="56" s="1"/>
  <c r="FM104" i="90"/>
  <c r="CV104" i="90" s="1"/>
  <c r="AG104" i="56" s="1"/>
  <c r="FM129" i="90"/>
  <c r="CV129" i="90" s="1"/>
  <c r="AG129" i="56" s="1"/>
  <c r="FM117" i="90"/>
  <c r="CV117" i="90" s="1"/>
  <c r="AG117" i="56" s="1"/>
  <c r="FM233" i="90"/>
  <c r="CV233" i="90" s="1"/>
  <c r="AG233" i="56" s="1"/>
  <c r="FM127" i="90"/>
  <c r="CV127" i="90" s="1"/>
  <c r="AG127" i="56" s="1"/>
  <c r="FM216" i="90"/>
  <c r="CV216" i="90" s="1"/>
  <c r="AG216" i="56" s="1"/>
  <c r="FM138" i="90"/>
  <c r="CV138" i="90" s="1"/>
  <c r="AG138" i="56" s="1"/>
  <c r="FM226" i="90"/>
  <c r="CV226" i="90" s="1"/>
  <c r="AG226" i="56" s="1"/>
  <c r="FM228" i="90"/>
  <c r="CV228" i="90" s="1"/>
  <c r="AG228" i="56" s="1"/>
  <c r="FM306" i="90"/>
  <c r="CV306" i="90" s="1"/>
  <c r="AG306" i="56" s="1"/>
  <c r="FM92" i="90"/>
  <c r="CV92" i="90" s="1"/>
  <c r="AG92" i="56" s="1"/>
  <c r="FM236" i="90"/>
  <c r="CV236" i="90" s="1"/>
  <c r="AG236" i="56" s="1"/>
  <c r="FM213" i="90"/>
  <c r="CV213" i="90" s="1"/>
  <c r="AG213" i="56" s="1"/>
  <c r="FM308" i="90"/>
  <c r="CV308" i="90" s="1"/>
  <c r="AG308" i="56" s="1"/>
  <c r="FM204" i="90"/>
  <c r="CV204" i="90" s="1"/>
  <c r="AG204" i="56" s="1"/>
  <c r="FM270" i="90"/>
  <c r="CV270" i="90" s="1"/>
  <c r="AG270" i="56" s="1"/>
  <c r="FM255" i="90"/>
  <c r="CV255" i="90" s="1"/>
  <c r="AG255" i="56" s="1"/>
  <c r="FM354" i="90"/>
  <c r="CV354" i="90" s="1"/>
  <c r="AG354" i="56" s="1"/>
  <c r="FM343" i="90"/>
  <c r="CV343" i="90" s="1"/>
  <c r="AG343" i="56" s="1"/>
  <c r="FM219" i="90"/>
  <c r="CV219" i="90" s="1"/>
  <c r="AG219" i="56" s="1"/>
  <c r="FM344" i="90"/>
  <c r="CV344" i="90" s="1"/>
  <c r="AG344" i="56" s="1"/>
  <c r="FM112" i="90"/>
  <c r="CV112" i="90" s="1"/>
  <c r="AG112" i="56" s="1"/>
  <c r="FM194" i="90"/>
  <c r="CV194" i="90" s="1"/>
  <c r="AG194" i="56" s="1"/>
  <c r="FM305" i="90"/>
  <c r="CV305" i="90" s="1"/>
  <c r="AG305" i="56" s="1"/>
  <c r="FM290" i="90"/>
  <c r="CV290" i="90" s="1"/>
  <c r="AG290" i="56" s="1"/>
  <c r="FM303" i="90"/>
  <c r="CV303" i="90" s="1"/>
  <c r="AG303" i="56" s="1"/>
  <c r="FM210" i="90"/>
  <c r="CV210" i="90" s="1"/>
  <c r="AG210" i="56" s="1"/>
  <c r="FM360" i="90"/>
  <c r="CV360" i="90" s="1"/>
  <c r="AG360" i="56" s="1"/>
  <c r="FM269" i="90"/>
  <c r="CV269" i="90" s="1"/>
  <c r="AG269" i="56" s="1"/>
  <c r="FM195" i="90"/>
  <c r="CV195" i="90" s="1"/>
  <c r="AG195" i="56" s="1"/>
  <c r="FM147" i="90"/>
  <c r="CV147" i="90" s="1"/>
  <c r="AG147" i="56" s="1"/>
  <c r="FM121" i="90"/>
  <c r="CV121" i="90" s="1"/>
  <c r="AG121" i="56" s="1"/>
  <c r="FM57" i="90"/>
  <c r="CV57" i="90" s="1"/>
  <c r="AG57" i="56" s="1"/>
  <c r="FM81" i="90"/>
  <c r="CV81" i="90" s="1"/>
  <c r="AG81" i="56" s="1"/>
  <c r="FM198" i="90"/>
  <c r="CV198" i="90" s="1"/>
  <c r="AG198" i="56" s="1"/>
  <c r="FM185" i="90"/>
  <c r="CV185" i="90" s="1"/>
  <c r="AG185" i="56" s="1"/>
  <c r="FM148" i="90"/>
  <c r="CV148" i="90" s="1"/>
  <c r="AG148" i="56" s="1"/>
  <c r="FM133" i="90"/>
  <c r="CV133" i="90" s="1"/>
  <c r="AG133" i="56" s="1"/>
  <c r="FM155" i="90"/>
  <c r="CV155" i="90" s="1"/>
  <c r="AG155" i="56" s="1"/>
  <c r="FM136" i="90"/>
  <c r="CV136" i="90" s="1"/>
  <c r="AG136" i="56" s="1"/>
  <c r="FM165" i="90"/>
  <c r="CV165" i="90" s="1"/>
  <c r="AG165" i="56" s="1"/>
  <c r="FM125" i="90"/>
  <c r="CV125" i="90" s="1"/>
  <c r="AG125" i="56" s="1"/>
  <c r="FM115" i="90"/>
  <c r="CV115" i="90" s="1"/>
  <c r="AG115" i="56" s="1"/>
  <c r="FM220" i="90"/>
  <c r="CV220" i="90" s="1"/>
  <c r="AG220" i="56" s="1"/>
  <c r="FM294" i="90"/>
  <c r="CV294" i="90" s="1"/>
  <c r="AG294" i="56" s="1"/>
  <c r="FM223" i="90"/>
  <c r="CV223" i="90" s="1"/>
  <c r="AG223" i="56" s="1"/>
  <c r="FM113" i="90"/>
  <c r="CV113" i="90" s="1"/>
  <c r="AG113" i="56" s="1"/>
  <c r="FM97" i="90"/>
  <c r="CV97" i="90" s="1"/>
  <c r="AG97" i="56" s="1"/>
  <c r="FM95" i="90"/>
  <c r="CV95" i="90" s="1"/>
  <c r="AG95" i="56" s="1"/>
  <c r="FM91" i="90"/>
  <c r="CV91" i="90" s="1"/>
  <c r="AG91" i="56" s="1"/>
  <c r="FM212" i="90"/>
  <c r="CV212" i="90" s="1"/>
  <c r="AG212" i="56" s="1"/>
  <c r="FM297" i="90"/>
  <c r="CV297" i="90" s="1"/>
  <c r="AG297" i="56" s="1"/>
  <c r="FM289" i="90"/>
  <c r="CV289" i="90" s="1"/>
  <c r="AG289" i="56" s="1"/>
  <c r="FM278" i="90"/>
  <c r="CV278" i="90" s="1"/>
  <c r="AG278" i="56" s="1"/>
  <c r="FM283" i="90"/>
  <c r="CV283" i="90" s="1"/>
  <c r="AG283" i="56" s="1"/>
  <c r="FM260" i="90"/>
  <c r="CV260" i="90" s="1"/>
  <c r="AG260" i="56" s="1"/>
  <c r="FM279" i="90"/>
  <c r="CV279" i="90" s="1"/>
  <c r="AG279" i="56" s="1"/>
  <c r="FM271" i="90"/>
  <c r="CV271" i="90" s="1"/>
  <c r="AG271" i="56" s="1"/>
  <c r="FM251" i="90"/>
  <c r="CV251" i="90" s="1"/>
  <c r="AG251" i="56" s="1"/>
  <c r="FM363" i="90"/>
  <c r="CV363" i="90" s="1"/>
  <c r="AG363" i="56" s="1"/>
  <c r="FM355" i="90"/>
  <c r="CV355" i="90" s="1"/>
  <c r="AG355" i="56" s="1"/>
  <c r="FM347" i="90"/>
  <c r="CV347" i="90" s="1"/>
  <c r="AG347" i="56" s="1"/>
  <c r="FM348" i="90"/>
  <c r="CV348" i="90" s="1"/>
  <c r="AG348" i="56" s="1"/>
  <c r="FM107" i="90"/>
  <c r="CV107" i="90" s="1"/>
  <c r="AG107" i="56" s="1"/>
  <c r="FM169" i="90"/>
  <c r="CV169" i="90" s="1"/>
  <c r="AG169" i="56" s="1"/>
  <c r="FM190" i="90"/>
  <c r="CV190" i="90" s="1"/>
  <c r="AG190" i="56" s="1"/>
  <c r="FM75" i="90"/>
  <c r="CV75" i="90" s="1"/>
  <c r="AG75" i="56" s="1"/>
  <c r="FM250" i="90"/>
  <c r="CV250" i="90" s="1"/>
  <c r="AG250" i="56" s="1"/>
  <c r="FM134" i="90"/>
  <c r="CV134" i="90" s="1"/>
  <c r="AG134" i="56" s="1"/>
  <c r="FM215" i="90"/>
  <c r="CV215" i="90" s="1"/>
  <c r="AG215" i="56" s="1"/>
  <c r="FM346" i="90"/>
  <c r="CV346" i="90" s="1"/>
  <c r="AG346" i="56" s="1"/>
  <c r="AF139" i="44"/>
  <c r="CK45" i="90"/>
  <c r="DK46" i="90"/>
  <c r="FM46" i="90" s="1"/>
  <c r="CV46" i="90" s="1"/>
  <c r="AG46" i="56" s="1"/>
  <c r="AG110" i="41"/>
  <c r="AG188" i="44"/>
  <c r="AG186" i="44"/>
  <c r="AG84" i="44"/>
  <c r="AG99" i="44"/>
  <c r="AG89" i="44"/>
  <c r="AG137" i="44" s="1"/>
  <c r="AG90" i="44"/>
  <c r="AG85" i="44"/>
  <c r="AG96" i="44"/>
  <c r="AG136" i="44"/>
  <c r="AG87" i="44"/>
  <c r="AG109" i="41"/>
  <c r="AG86" i="44"/>
  <c r="AG108" i="41"/>
  <c r="AN15" i="40"/>
  <c r="AH39" i="93"/>
  <c r="AH85" i="41"/>
  <c r="CL396" i="90"/>
  <c r="CL392" i="90"/>
  <c r="CL388" i="90"/>
  <c r="CL384" i="90"/>
  <c r="CL380" i="90"/>
  <c r="CL376" i="90"/>
  <c r="CL372" i="90"/>
  <c r="CL368" i="90"/>
  <c r="CL339" i="90"/>
  <c r="CL335" i="90"/>
  <c r="CL331" i="90"/>
  <c r="CL327" i="90"/>
  <c r="CL323" i="90"/>
  <c r="CL319" i="90"/>
  <c r="CL315" i="90"/>
  <c r="CL311" i="90"/>
  <c r="CL395" i="90"/>
  <c r="CL391" i="90"/>
  <c r="CL387" i="90"/>
  <c r="CL383" i="90"/>
  <c r="CL379" i="90"/>
  <c r="CL375" i="90"/>
  <c r="CL371" i="90"/>
  <c r="CL367" i="90"/>
  <c r="CL338" i="90"/>
  <c r="CL334" i="90"/>
  <c r="CL330" i="90"/>
  <c r="CL326" i="90"/>
  <c r="CL322" i="90"/>
  <c r="CL318" i="90"/>
  <c r="CL314" i="90"/>
  <c r="CL310" i="90"/>
  <c r="CL393" i="90"/>
  <c r="CL389" i="90"/>
  <c r="CL385" i="90"/>
  <c r="CL381" i="90"/>
  <c r="CL377" i="90"/>
  <c r="CL373" i="90"/>
  <c r="CL369" i="90"/>
  <c r="CL365" i="90"/>
  <c r="CL336" i="90"/>
  <c r="CL332" i="90"/>
  <c r="CL328" i="90"/>
  <c r="CL324" i="90"/>
  <c r="CL320" i="90"/>
  <c r="CL316" i="90"/>
  <c r="CL312" i="90"/>
  <c r="CL374" i="90"/>
  <c r="CL317" i="90"/>
  <c r="CL246" i="90"/>
  <c r="CL242" i="90"/>
  <c r="CL238" i="90"/>
  <c r="CL62" i="90"/>
  <c r="CL52" i="90"/>
  <c r="CL48" i="90"/>
  <c r="CL378" i="90"/>
  <c r="CL321" i="90"/>
  <c r="CL309" i="90"/>
  <c r="CL390" i="90"/>
  <c r="CL382" i="90"/>
  <c r="CL325" i="90"/>
  <c r="CL245" i="90"/>
  <c r="CL241" i="90"/>
  <c r="CL237" i="90"/>
  <c r="CL51" i="90"/>
  <c r="CL47" i="90"/>
  <c r="CL386" i="90"/>
  <c r="CL329" i="90"/>
  <c r="CL333" i="90"/>
  <c r="CL366" i="90"/>
  <c r="CL247" i="90"/>
  <c r="CL243" i="90"/>
  <c r="CL239" i="90"/>
  <c r="CL63" i="90"/>
  <c r="CL53" i="90"/>
  <c r="CL49" i="90"/>
  <c r="CL46" i="90"/>
  <c r="CL50" i="90"/>
  <c r="CL240" i="90"/>
  <c r="CL337" i="90"/>
  <c r="CL54" i="90"/>
  <c r="CL313" i="90"/>
  <c r="CL244" i="90"/>
  <c r="CL370" i="90"/>
  <c r="CL248" i="90"/>
  <c r="CL394" i="90"/>
  <c r="AB112" i="41"/>
  <c r="AB168" i="44"/>
  <c r="AF258" i="44"/>
  <c r="Y240" i="44"/>
  <c r="Y244" i="44" s="1"/>
  <c r="AF207" i="44"/>
  <c r="CU45" i="90"/>
  <c r="AE19" i="56"/>
  <c r="AF260" i="44"/>
  <c r="AF259" i="44"/>
  <c r="AF206" i="44"/>
  <c r="Y212" i="44"/>
  <c r="Y222" i="44" s="1"/>
  <c r="Y88" i="44" l="1"/>
  <c r="Y92" i="44" s="1"/>
  <c r="Y103" i="44" s="1"/>
  <c r="Y105" i="44" s="1"/>
  <c r="Y249" i="44"/>
  <c r="Y230" i="44"/>
  <c r="AH83" i="44"/>
  <c r="AH309" i="44"/>
  <c r="AH311" i="44"/>
  <c r="AH274" i="44"/>
  <c r="AH310" i="44"/>
  <c r="AG277" i="44"/>
  <c r="AG209" i="44"/>
  <c r="Y131" i="44"/>
  <c r="Y245" i="44"/>
  <c r="P57" i="114" s="1"/>
  <c r="AG45" i="56"/>
  <c r="AG19" i="56" s="1"/>
  <c r="AG112" i="41" s="1"/>
  <c r="CM341" i="90"/>
  <c r="CM342" i="90"/>
  <c r="CM343" i="90"/>
  <c r="CM344" i="90"/>
  <c r="CM340" i="90"/>
  <c r="CM346" i="90"/>
  <c r="CM345" i="90"/>
  <c r="CM348" i="90"/>
  <c r="CM349" i="90"/>
  <c r="CM355" i="90"/>
  <c r="CM347" i="90"/>
  <c r="CM352" i="90"/>
  <c r="CM353" i="90"/>
  <c r="CM354" i="90"/>
  <c r="CM350" i="90"/>
  <c r="CM351" i="90"/>
  <c r="CM359" i="90"/>
  <c r="CM360" i="90"/>
  <c r="CM357" i="90"/>
  <c r="CM361" i="90"/>
  <c r="CM249" i="90"/>
  <c r="CM250" i="90"/>
  <c r="CM252" i="90"/>
  <c r="CM257" i="90"/>
  <c r="CM261" i="90"/>
  <c r="CM363" i="90"/>
  <c r="CM356" i="90"/>
  <c r="CM358" i="90"/>
  <c r="CM362" i="90"/>
  <c r="CM364" i="90"/>
  <c r="CM251" i="90"/>
  <c r="CM255" i="90"/>
  <c r="CM258" i="90"/>
  <c r="CM253" i="90"/>
  <c r="CM259" i="90"/>
  <c r="CM262" i="90"/>
  <c r="CM275" i="90"/>
  <c r="CM270" i="90"/>
  <c r="CM274" i="90"/>
  <c r="CM264" i="90"/>
  <c r="CM265" i="90"/>
  <c r="CM266" i="90"/>
  <c r="CM269" i="90"/>
  <c r="CM271" i="90"/>
  <c r="CM272" i="90"/>
  <c r="CM276" i="90"/>
  <c r="CM277" i="90"/>
  <c r="CM254" i="90"/>
  <c r="CM256" i="90"/>
  <c r="CM260" i="90"/>
  <c r="CM263" i="90"/>
  <c r="CM267" i="90"/>
  <c r="CM268" i="90"/>
  <c r="CM273" i="90"/>
  <c r="CM286" i="90"/>
  <c r="CM289" i="90"/>
  <c r="CM290" i="90"/>
  <c r="CM279" i="90"/>
  <c r="CM280" i="90"/>
  <c r="CM292" i="90"/>
  <c r="CM295" i="90"/>
  <c r="CM278" i="90"/>
  <c r="CM281" i="90"/>
  <c r="CM283" i="90"/>
  <c r="CM285" i="90"/>
  <c r="CM287" i="90"/>
  <c r="CM291" i="90"/>
  <c r="CM294" i="90"/>
  <c r="CM282" i="90"/>
  <c r="CM284" i="90"/>
  <c r="CM288" i="90"/>
  <c r="CM293" i="90"/>
  <c r="CM298" i="90"/>
  <c r="CM296" i="90"/>
  <c r="CM297" i="90"/>
  <c r="CM300" i="90"/>
  <c r="CM204" i="90"/>
  <c r="CM205" i="90"/>
  <c r="CM301" i="90"/>
  <c r="CM302" i="90"/>
  <c r="CM303" i="90"/>
  <c r="CM304" i="90"/>
  <c r="CM206" i="90"/>
  <c r="CM207" i="90"/>
  <c r="CM208" i="90"/>
  <c r="CM306" i="90"/>
  <c r="CM210" i="90"/>
  <c r="CM216" i="90"/>
  <c r="CM299" i="90"/>
  <c r="CM305" i="90"/>
  <c r="CM307" i="90"/>
  <c r="CM308" i="90"/>
  <c r="CM209" i="90"/>
  <c r="CM217" i="90"/>
  <c r="CM218" i="90"/>
  <c r="CM219" i="90"/>
  <c r="CM220" i="90"/>
  <c r="CM225" i="90"/>
  <c r="CM226" i="90"/>
  <c r="CM232" i="90"/>
  <c r="CM233" i="90"/>
  <c r="CM234" i="90"/>
  <c r="CM235" i="90"/>
  <c r="CM211" i="90"/>
  <c r="CM224" i="90"/>
  <c r="CM230" i="90"/>
  <c r="CM91" i="90"/>
  <c r="CM95" i="90"/>
  <c r="CM101" i="90"/>
  <c r="CM111" i="90"/>
  <c r="CM120" i="90"/>
  <c r="CM213" i="90"/>
  <c r="CM215" i="90"/>
  <c r="CM221" i="90"/>
  <c r="CM227" i="90"/>
  <c r="CM229" i="90"/>
  <c r="CM236" i="90"/>
  <c r="CM92" i="90"/>
  <c r="CM98" i="90"/>
  <c r="CM103" i="90"/>
  <c r="CM104" i="90"/>
  <c r="CM105" i="90"/>
  <c r="CM112" i="90"/>
  <c r="CM114" i="90"/>
  <c r="CM115" i="90"/>
  <c r="CM117" i="90"/>
  <c r="CM118" i="90"/>
  <c r="CM119" i="90"/>
  <c r="CM123" i="90"/>
  <c r="CM127" i="90"/>
  <c r="CM128" i="90"/>
  <c r="CM140" i="90"/>
  <c r="CM143" i="90"/>
  <c r="CM144" i="90"/>
  <c r="CM146" i="90"/>
  <c r="CM147" i="90"/>
  <c r="CM148" i="90"/>
  <c r="CM152" i="90"/>
  <c r="CM153" i="90"/>
  <c r="CM154" i="90"/>
  <c r="CM155" i="90"/>
  <c r="CM212" i="90"/>
  <c r="CM222" i="90"/>
  <c r="CM228" i="90"/>
  <c r="CM231" i="90"/>
  <c r="CM89" i="90"/>
  <c r="CM90" i="90"/>
  <c r="CM96" i="90"/>
  <c r="CM99" i="90"/>
  <c r="CM109" i="90"/>
  <c r="CM214" i="90"/>
  <c r="CM97" i="90"/>
  <c r="CM100" i="90"/>
  <c r="CM107" i="90"/>
  <c r="CM121" i="90"/>
  <c r="CM124" i="90"/>
  <c r="CM126" i="90"/>
  <c r="CM93" i="90"/>
  <c r="CM102" i="90"/>
  <c r="CM106" i="90"/>
  <c r="CM108" i="90"/>
  <c r="CM110" i="90"/>
  <c r="CM113" i="90"/>
  <c r="CM116" i="90"/>
  <c r="CM94" i="90"/>
  <c r="CM130" i="90"/>
  <c r="CM133" i="90"/>
  <c r="CM137" i="90"/>
  <c r="CM139" i="90"/>
  <c r="CM142" i="90"/>
  <c r="CM145" i="90"/>
  <c r="CM150" i="90"/>
  <c r="CM156" i="90"/>
  <c r="CM158" i="90"/>
  <c r="CM171" i="90"/>
  <c r="CM172" i="90"/>
  <c r="CM173" i="90"/>
  <c r="CM174" i="90"/>
  <c r="CM175" i="90"/>
  <c r="CM223" i="90"/>
  <c r="CM122" i="90"/>
  <c r="CM129" i="90"/>
  <c r="CM131" i="90"/>
  <c r="CM134" i="90"/>
  <c r="CM149" i="90"/>
  <c r="CM164" i="90"/>
  <c r="CM176" i="90"/>
  <c r="CM179" i="90"/>
  <c r="CM125" i="90"/>
  <c r="CM135" i="90"/>
  <c r="CM151" i="90"/>
  <c r="CM157" i="90"/>
  <c r="CM165" i="90"/>
  <c r="CM166" i="90"/>
  <c r="CM167" i="90"/>
  <c r="CM168" i="90"/>
  <c r="CM132" i="90"/>
  <c r="CM136" i="90"/>
  <c r="CM138" i="90"/>
  <c r="CM141" i="90"/>
  <c r="CM180" i="90"/>
  <c r="CM202" i="90"/>
  <c r="CM203" i="90"/>
  <c r="CM183" i="90"/>
  <c r="CM187" i="90"/>
  <c r="CM188" i="90"/>
  <c r="CM189" i="90"/>
  <c r="CM190" i="90"/>
  <c r="CM191" i="90"/>
  <c r="CM196" i="90"/>
  <c r="CM197" i="90"/>
  <c r="CM73" i="90"/>
  <c r="CM77" i="90"/>
  <c r="CM78" i="90"/>
  <c r="CM159" i="90"/>
  <c r="CM160" i="90"/>
  <c r="CM161" i="90"/>
  <c r="CM162" i="90"/>
  <c r="CM163" i="90"/>
  <c r="CM169" i="90"/>
  <c r="CM170" i="90"/>
  <c r="CM184" i="90"/>
  <c r="CM185" i="90"/>
  <c r="CM186" i="90"/>
  <c r="CM192" i="90"/>
  <c r="CM193" i="90"/>
  <c r="CM198" i="90"/>
  <c r="CM199" i="90"/>
  <c r="CM75" i="90"/>
  <c r="CM76" i="90"/>
  <c r="CM82" i="90"/>
  <c r="CM83" i="90"/>
  <c r="CM84" i="90"/>
  <c r="CM85" i="90"/>
  <c r="CM86" i="90"/>
  <c r="CM64" i="90"/>
  <c r="CM177" i="90"/>
  <c r="CM178" i="90"/>
  <c r="CM181" i="90"/>
  <c r="CM182" i="90"/>
  <c r="CM194" i="90"/>
  <c r="CM195" i="90"/>
  <c r="CM200" i="90"/>
  <c r="CM201" i="90"/>
  <c r="CM74" i="90"/>
  <c r="CM87" i="90"/>
  <c r="CM65" i="90"/>
  <c r="CM81" i="90"/>
  <c r="CM66" i="90"/>
  <c r="CM70" i="90"/>
  <c r="CM71" i="90"/>
  <c r="CM72" i="90"/>
  <c r="CM67" i="90"/>
  <c r="CM68" i="90"/>
  <c r="CM79" i="90"/>
  <c r="CM80" i="90"/>
  <c r="CM88" i="90"/>
  <c r="CM69" i="90"/>
  <c r="CM57" i="90"/>
  <c r="CM59" i="90"/>
  <c r="CM60" i="90"/>
  <c r="CM58" i="90"/>
  <c r="CM56" i="90"/>
  <c r="CM55" i="90"/>
  <c r="DK45" i="90"/>
  <c r="CL45" i="90"/>
  <c r="AG258" i="44"/>
  <c r="AG139" i="44"/>
  <c r="AH110" i="41"/>
  <c r="AH186" i="44"/>
  <c r="AH188" i="44"/>
  <c r="AH99" i="44"/>
  <c r="AH84" i="44"/>
  <c r="AH90" i="44"/>
  <c r="AH96" i="44"/>
  <c r="AH85" i="44"/>
  <c r="AH89" i="44"/>
  <c r="AH137" i="44" s="1"/>
  <c r="AH136" i="44"/>
  <c r="AH87" i="44"/>
  <c r="AH109" i="41"/>
  <c r="AH86" i="44"/>
  <c r="AH108" i="41"/>
  <c r="AG125" i="44"/>
  <c r="AG260" i="44"/>
  <c r="AG123" i="44"/>
  <c r="AG207" i="44"/>
  <c r="AG126" i="44"/>
  <c r="AO15" i="40"/>
  <c r="AI39" i="93"/>
  <c r="AI85" i="41"/>
  <c r="CM395" i="90"/>
  <c r="CM391" i="90"/>
  <c r="CM387" i="90"/>
  <c r="CM383" i="90"/>
  <c r="CM379" i="90"/>
  <c r="CM375" i="90"/>
  <c r="CM371" i="90"/>
  <c r="CM367" i="90"/>
  <c r="CM338" i="90"/>
  <c r="CM334" i="90"/>
  <c r="CM330" i="90"/>
  <c r="CM326" i="90"/>
  <c r="CM322" i="90"/>
  <c r="CM318" i="90"/>
  <c r="CM314" i="90"/>
  <c r="CM310" i="90"/>
  <c r="CM394" i="90"/>
  <c r="CM390" i="90"/>
  <c r="CM386" i="90"/>
  <c r="CM382" i="90"/>
  <c r="CM378" i="90"/>
  <c r="CM374" i="90"/>
  <c r="CM370" i="90"/>
  <c r="CM366" i="90"/>
  <c r="CM337" i="90"/>
  <c r="CM333" i="90"/>
  <c r="CM329" i="90"/>
  <c r="CM325" i="90"/>
  <c r="CM321" i="90"/>
  <c r="CM317" i="90"/>
  <c r="CM313" i="90"/>
  <c r="CM389" i="90"/>
  <c r="CM372" i="90"/>
  <c r="CM332" i="90"/>
  <c r="CM315" i="90"/>
  <c r="CM309" i="90"/>
  <c r="CM393" i="90"/>
  <c r="CM376" i="90"/>
  <c r="CM336" i="90"/>
  <c r="CM319" i="90"/>
  <c r="CM245" i="90"/>
  <c r="CM241" i="90"/>
  <c r="CM237" i="90"/>
  <c r="CM51" i="90"/>
  <c r="CM47" i="90"/>
  <c r="CM373" i="90"/>
  <c r="CM331" i="90"/>
  <c r="CM380" i="90"/>
  <c r="CM365" i="90"/>
  <c r="CM323" i="90"/>
  <c r="CM388" i="90"/>
  <c r="CM384" i="90"/>
  <c r="CM369" i="90"/>
  <c r="CM327" i="90"/>
  <c r="CM312" i="90"/>
  <c r="CM248" i="90"/>
  <c r="CM244" i="90"/>
  <c r="CM240" i="90"/>
  <c r="CM54" i="90"/>
  <c r="CM50" i="90"/>
  <c r="CM46" i="90"/>
  <c r="CM316" i="90"/>
  <c r="CM396" i="90"/>
  <c r="CM381" i="90"/>
  <c r="CM339" i="90"/>
  <c r="CM324" i="90"/>
  <c r="CM385" i="90"/>
  <c r="CM368" i="90"/>
  <c r="CM239" i="90"/>
  <c r="CM392" i="90"/>
  <c r="CM243" i="90"/>
  <c r="CM48" i="90"/>
  <c r="CM247" i="90"/>
  <c r="CM52" i="90"/>
  <c r="CM49" i="90"/>
  <c r="CM62" i="90"/>
  <c r="CM328" i="90"/>
  <c r="CM311" i="90"/>
  <c r="CM246" i="90"/>
  <c r="CM53" i="90"/>
  <c r="CM377" i="90"/>
  <c r="CM335" i="90"/>
  <c r="CM63" i="90"/>
  <c r="CM238" i="90"/>
  <c r="CM320" i="90"/>
  <c r="CM242" i="90"/>
  <c r="AG206" i="44"/>
  <c r="AG124" i="44"/>
  <c r="AG259" i="44"/>
  <c r="AD112" i="41"/>
  <c r="AD168" i="44"/>
  <c r="AC112" i="41"/>
  <c r="AC168" i="44"/>
  <c r="Y167" i="44"/>
  <c r="Y213" i="44"/>
  <c r="Y221" i="44" s="1"/>
  <c r="Y223" i="44" s="1"/>
  <c r="FM45" i="90"/>
  <c r="Y165" i="44" l="1"/>
  <c r="Y172" i="44" s="1"/>
  <c r="Z169" i="44" s="1"/>
  <c r="AI83" i="44"/>
  <c r="AI309" i="44"/>
  <c r="AI311" i="44"/>
  <c r="AI274" i="44"/>
  <c r="AI310" i="44"/>
  <c r="AH277" i="44"/>
  <c r="AH209" i="44"/>
  <c r="AG168" i="44"/>
  <c r="CN345" i="90"/>
  <c r="DL345" i="90" s="1"/>
  <c r="FN345" i="90" s="1"/>
  <c r="CW345" i="90" s="1"/>
  <c r="AH345" i="56" s="1"/>
  <c r="CN340" i="90"/>
  <c r="DL340" i="90" s="1"/>
  <c r="FN340" i="90" s="1"/>
  <c r="CW340" i="90" s="1"/>
  <c r="AH340" i="56" s="1"/>
  <c r="CN344" i="90"/>
  <c r="DL344" i="90" s="1"/>
  <c r="FN344" i="90" s="1"/>
  <c r="CW344" i="90" s="1"/>
  <c r="AH344" i="56" s="1"/>
  <c r="CN346" i="90"/>
  <c r="DL346" i="90" s="1"/>
  <c r="FN346" i="90" s="1"/>
  <c r="CW346" i="90" s="1"/>
  <c r="AH346" i="56" s="1"/>
  <c r="CN341" i="90"/>
  <c r="DL341" i="90" s="1"/>
  <c r="FN341" i="90" s="1"/>
  <c r="CW341" i="90" s="1"/>
  <c r="AH341" i="56" s="1"/>
  <c r="CN342" i="90"/>
  <c r="DL342" i="90" s="1"/>
  <c r="FN342" i="90" s="1"/>
  <c r="CW342" i="90" s="1"/>
  <c r="AH342" i="56" s="1"/>
  <c r="CN347" i="90"/>
  <c r="DL347" i="90" s="1"/>
  <c r="FN347" i="90" s="1"/>
  <c r="CW347" i="90" s="1"/>
  <c r="AH347" i="56" s="1"/>
  <c r="CN350" i="90"/>
  <c r="DL350" i="90" s="1"/>
  <c r="FN350" i="90" s="1"/>
  <c r="CW350" i="90" s="1"/>
  <c r="AH350" i="56" s="1"/>
  <c r="CN351" i="90"/>
  <c r="DL351" i="90" s="1"/>
  <c r="FN351" i="90" s="1"/>
  <c r="CW351" i="90" s="1"/>
  <c r="AH351" i="56" s="1"/>
  <c r="CN343" i="90"/>
  <c r="DL343" i="90" s="1"/>
  <c r="FN343" i="90" s="1"/>
  <c r="CW343" i="90" s="1"/>
  <c r="AH343" i="56" s="1"/>
  <c r="CN349" i="90"/>
  <c r="DL349" i="90" s="1"/>
  <c r="FN349" i="90" s="1"/>
  <c r="CW349" i="90" s="1"/>
  <c r="AH349" i="56" s="1"/>
  <c r="CN355" i="90"/>
  <c r="DL355" i="90" s="1"/>
  <c r="FN355" i="90" s="1"/>
  <c r="CW355" i="90" s="1"/>
  <c r="AH355" i="56" s="1"/>
  <c r="CN356" i="90"/>
  <c r="DL356" i="90" s="1"/>
  <c r="FN356" i="90" s="1"/>
  <c r="CW356" i="90" s="1"/>
  <c r="AH356" i="56" s="1"/>
  <c r="CN357" i="90"/>
  <c r="DL357" i="90" s="1"/>
  <c r="FN357" i="90" s="1"/>
  <c r="CW357" i="90" s="1"/>
  <c r="AH357" i="56" s="1"/>
  <c r="CN352" i="90"/>
  <c r="DL352" i="90" s="1"/>
  <c r="FN352" i="90" s="1"/>
  <c r="CW352" i="90" s="1"/>
  <c r="AH352" i="56" s="1"/>
  <c r="CN353" i="90"/>
  <c r="DL353" i="90" s="1"/>
  <c r="FN353" i="90" s="1"/>
  <c r="CW353" i="90" s="1"/>
  <c r="AH353" i="56" s="1"/>
  <c r="CN348" i="90"/>
  <c r="DL348" i="90" s="1"/>
  <c r="FN348" i="90" s="1"/>
  <c r="CW348" i="90" s="1"/>
  <c r="AH348" i="56" s="1"/>
  <c r="CN354" i="90"/>
  <c r="DL354" i="90" s="1"/>
  <c r="FN354" i="90" s="1"/>
  <c r="CW354" i="90" s="1"/>
  <c r="AH354" i="56" s="1"/>
  <c r="CN358" i="90"/>
  <c r="DL358" i="90" s="1"/>
  <c r="FN358" i="90" s="1"/>
  <c r="CW358" i="90" s="1"/>
  <c r="AH358" i="56" s="1"/>
  <c r="CN362" i="90"/>
  <c r="DL362" i="90" s="1"/>
  <c r="FN362" i="90" s="1"/>
  <c r="CW362" i="90" s="1"/>
  <c r="AH362" i="56" s="1"/>
  <c r="CN359" i="90"/>
  <c r="DL359" i="90" s="1"/>
  <c r="FN359" i="90" s="1"/>
  <c r="CW359" i="90" s="1"/>
  <c r="AH359" i="56" s="1"/>
  <c r="CN360" i="90"/>
  <c r="DL360" i="90" s="1"/>
  <c r="FN360" i="90" s="1"/>
  <c r="CW360" i="90" s="1"/>
  <c r="AH360" i="56" s="1"/>
  <c r="CN253" i="90"/>
  <c r="DL253" i="90" s="1"/>
  <c r="FN253" i="90" s="1"/>
  <c r="CW253" i="90" s="1"/>
  <c r="AH253" i="56" s="1"/>
  <c r="CN254" i="90"/>
  <c r="DL254" i="90" s="1"/>
  <c r="FN254" i="90" s="1"/>
  <c r="CW254" i="90" s="1"/>
  <c r="AH254" i="56" s="1"/>
  <c r="CN256" i="90"/>
  <c r="DL256" i="90" s="1"/>
  <c r="FN256" i="90" s="1"/>
  <c r="CW256" i="90" s="1"/>
  <c r="AH256" i="56" s="1"/>
  <c r="CN259" i="90"/>
  <c r="DL259" i="90" s="1"/>
  <c r="FN259" i="90" s="1"/>
  <c r="CW259" i="90" s="1"/>
  <c r="AH259" i="56" s="1"/>
  <c r="CN260" i="90"/>
  <c r="DL260" i="90" s="1"/>
  <c r="FN260" i="90" s="1"/>
  <c r="CW260" i="90" s="1"/>
  <c r="AH260" i="56" s="1"/>
  <c r="CN361" i="90"/>
  <c r="DL361" i="90" s="1"/>
  <c r="FN361" i="90" s="1"/>
  <c r="CW361" i="90" s="1"/>
  <c r="AH361" i="56" s="1"/>
  <c r="CN249" i="90"/>
  <c r="DL249" i="90" s="1"/>
  <c r="FN249" i="90" s="1"/>
  <c r="CW249" i="90" s="1"/>
  <c r="AH249" i="56" s="1"/>
  <c r="CN250" i="90"/>
  <c r="DL250" i="90" s="1"/>
  <c r="FN250" i="90" s="1"/>
  <c r="CW250" i="90" s="1"/>
  <c r="AH250" i="56" s="1"/>
  <c r="CN252" i="90"/>
  <c r="DL252" i="90" s="1"/>
  <c r="FN252" i="90" s="1"/>
  <c r="CW252" i="90" s="1"/>
  <c r="AH252" i="56" s="1"/>
  <c r="CN363" i="90"/>
  <c r="DL363" i="90" s="1"/>
  <c r="FN363" i="90" s="1"/>
  <c r="CW363" i="90" s="1"/>
  <c r="AH363" i="56" s="1"/>
  <c r="CN263" i="90"/>
  <c r="DL263" i="90" s="1"/>
  <c r="FN263" i="90" s="1"/>
  <c r="CW263" i="90" s="1"/>
  <c r="AH263" i="56" s="1"/>
  <c r="CN267" i="90"/>
  <c r="DL267" i="90" s="1"/>
  <c r="FN267" i="90" s="1"/>
  <c r="CW267" i="90" s="1"/>
  <c r="AH267" i="56" s="1"/>
  <c r="CN268" i="90"/>
  <c r="DL268" i="90" s="1"/>
  <c r="FN268" i="90" s="1"/>
  <c r="CW268" i="90" s="1"/>
  <c r="AH268" i="56" s="1"/>
  <c r="CN273" i="90"/>
  <c r="DL273" i="90" s="1"/>
  <c r="FN273" i="90" s="1"/>
  <c r="CW273" i="90" s="1"/>
  <c r="AH273" i="56" s="1"/>
  <c r="CN251" i="90"/>
  <c r="DL251" i="90" s="1"/>
  <c r="FN251" i="90" s="1"/>
  <c r="CW251" i="90" s="1"/>
  <c r="AH251" i="56" s="1"/>
  <c r="CN255" i="90"/>
  <c r="DL255" i="90" s="1"/>
  <c r="FN255" i="90" s="1"/>
  <c r="CW255" i="90" s="1"/>
  <c r="AH255" i="56" s="1"/>
  <c r="CN262" i="90"/>
  <c r="DL262" i="90" s="1"/>
  <c r="FN262" i="90" s="1"/>
  <c r="CW262" i="90" s="1"/>
  <c r="AH262" i="56" s="1"/>
  <c r="CN275" i="90"/>
  <c r="DL275" i="90" s="1"/>
  <c r="FN275" i="90" s="1"/>
  <c r="CW275" i="90" s="1"/>
  <c r="AH275" i="56" s="1"/>
  <c r="CN364" i="90"/>
  <c r="DL364" i="90" s="1"/>
  <c r="FN364" i="90" s="1"/>
  <c r="CW364" i="90" s="1"/>
  <c r="AH364" i="56" s="1"/>
  <c r="CN258" i="90"/>
  <c r="DL258" i="90" s="1"/>
  <c r="FN258" i="90" s="1"/>
  <c r="CW258" i="90" s="1"/>
  <c r="AH258" i="56" s="1"/>
  <c r="CN270" i="90"/>
  <c r="DL270" i="90" s="1"/>
  <c r="FN270" i="90" s="1"/>
  <c r="CW270" i="90" s="1"/>
  <c r="AH270" i="56" s="1"/>
  <c r="CN274" i="90"/>
  <c r="DL274" i="90" s="1"/>
  <c r="FN274" i="90" s="1"/>
  <c r="CW274" i="90" s="1"/>
  <c r="AH274" i="56" s="1"/>
  <c r="CN257" i="90"/>
  <c r="DL257" i="90" s="1"/>
  <c r="FN257" i="90" s="1"/>
  <c r="CW257" i="90" s="1"/>
  <c r="AH257" i="56" s="1"/>
  <c r="CN261" i="90"/>
  <c r="DL261" i="90" s="1"/>
  <c r="FN261" i="90" s="1"/>
  <c r="CW261" i="90" s="1"/>
  <c r="AH261" i="56" s="1"/>
  <c r="CN264" i="90"/>
  <c r="DL264" i="90" s="1"/>
  <c r="FN264" i="90" s="1"/>
  <c r="CW264" i="90" s="1"/>
  <c r="AH264" i="56" s="1"/>
  <c r="CN265" i="90"/>
  <c r="DL265" i="90" s="1"/>
  <c r="FN265" i="90" s="1"/>
  <c r="CW265" i="90" s="1"/>
  <c r="AH265" i="56" s="1"/>
  <c r="CN266" i="90"/>
  <c r="DL266" i="90" s="1"/>
  <c r="FN266" i="90" s="1"/>
  <c r="CW266" i="90" s="1"/>
  <c r="AH266" i="56" s="1"/>
  <c r="CN269" i="90"/>
  <c r="DL269" i="90" s="1"/>
  <c r="FN269" i="90" s="1"/>
  <c r="CW269" i="90" s="1"/>
  <c r="AH269" i="56" s="1"/>
  <c r="CN271" i="90"/>
  <c r="DL271" i="90" s="1"/>
  <c r="FN271" i="90" s="1"/>
  <c r="CW271" i="90" s="1"/>
  <c r="AH271" i="56" s="1"/>
  <c r="CN272" i="90"/>
  <c r="DL272" i="90" s="1"/>
  <c r="FN272" i="90" s="1"/>
  <c r="CW272" i="90" s="1"/>
  <c r="AH272" i="56" s="1"/>
  <c r="CN282" i="90"/>
  <c r="DL282" i="90" s="1"/>
  <c r="FN282" i="90" s="1"/>
  <c r="CW282" i="90" s="1"/>
  <c r="AH282" i="56" s="1"/>
  <c r="CN284" i="90"/>
  <c r="DL284" i="90" s="1"/>
  <c r="FN284" i="90" s="1"/>
  <c r="CW284" i="90" s="1"/>
  <c r="AH284" i="56" s="1"/>
  <c r="CN288" i="90"/>
  <c r="DL288" i="90" s="1"/>
  <c r="FN288" i="90" s="1"/>
  <c r="CW288" i="90" s="1"/>
  <c r="AH288" i="56" s="1"/>
  <c r="CN286" i="90"/>
  <c r="DL286" i="90" s="1"/>
  <c r="FN286" i="90" s="1"/>
  <c r="CW286" i="90" s="1"/>
  <c r="AH286" i="56" s="1"/>
  <c r="CN289" i="90"/>
  <c r="DL289" i="90" s="1"/>
  <c r="FN289" i="90" s="1"/>
  <c r="CW289" i="90" s="1"/>
  <c r="AH289" i="56" s="1"/>
  <c r="CN290" i="90"/>
  <c r="DL290" i="90" s="1"/>
  <c r="FN290" i="90" s="1"/>
  <c r="CW290" i="90" s="1"/>
  <c r="AH290" i="56" s="1"/>
  <c r="CN296" i="90"/>
  <c r="DL296" i="90" s="1"/>
  <c r="FN296" i="90" s="1"/>
  <c r="CW296" i="90" s="1"/>
  <c r="AH296" i="56" s="1"/>
  <c r="CN297" i="90"/>
  <c r="DL297" i="90" s="1"/>
  <c r="FN297" i="90" s="1"/>
  <c r="CW297" i="90" s="1"/>
  <c r="AH297" i="56" s="1"/>
  <c r="CN299" i="90"/>
  <c r="DL299" i="90" s="1"/>
  <c r="FN299" i="90" s="1"/>
  <c r="CW299" i="90" s="1"/>
  <c r="AH299" i="56" s="1"/>
  <c r="CN276" i="90"/>
  <c r="DL276" i="90" s="1"/>
  <c r="FN276" i="90" s="1"/>
  <c r="CW276" i="90" s="1"/>
  <c r="AH276" i="56" s="1"/>
  <c r="CN279" i="90"/>
  <c r="DL279" i="90" s="1"/>
  <c r="FN279" i="90" s="1"/>
  <c r="CW279" i="90" s="1"/>
  <c r="AH279" i="56" s="1"/>
  <c r="CN280" i="90"/>
  <c r="DL280" i="90" s="1"/>
  <c r="FN280" i="90" s="1"/>
  <c r="CW280" i="90" s="1"/>
  <c r="AH280" i="56" s="1"/>
  <c r="CN292" i="90"/>
  <c r="DL292" i="90" s="1"/>
  <c r="FN292" i="90" s="1"/>
  <c r="CW292" i="90" s="1"/>
  <c r="AH292" i="56" s="1"/>
  <c r="CN295" i="90"/>
  <c r="DL295" i="90" s="1"/>
  <c r="FN295" i="90" s="1"/>
  <c r="CW295" i="90" s="1"/>
  <c r="AH295" i="56" s="1"/>
  <c r="CN277" i="90"/>
  <c r="DL277" i="90" s="1"/>
  <c r="FN277" i="90" s="1"/>
  <c r="CW277" i="90" s="1"/>
  <c r="AH277" i="56" s="1"/>
  <c r="CN278" i="90"/>
  <c r="DL278" i="90" s="1"/>
  <c r="FN278" i="90" s="1"/>
  <c r="CW278" i="90" s="1"/>
  <c r="AH278" i="56" s="1"/>
  <c r="CN281" i="90"/>
  <c r="DL281" i="90" s="1"/>
  <c r="FN281" i="90" s="1"/>
  <c r="CW281" i="90" s="1"/>
  <c r="AH281" i="56" s="1"/>
  <c r="CN283" i="90"/>
  <c r="DL283" i="90" s="1"/>
  <c r="FN283" i="90" s="1"/>
  <c r="CW283" i="90" s="1"/>
  <c r="AH283" i="56" s="1"/>
  <c r="CN285" i="90"/>
  <c r="DL285" i="90" s="1"/>
  <c r="FN285" i="90" s="1"/>
  <c r="CW285" i="90" s="1"/>
  <c r="AH285" i="56" s="1"/>
  <c r="CN301" i="90"/>
  <c r="DL301" i="90" s="1"/>
  <c r="FN301" i="90" s="1"/>
  <c r="CW301" i="90" s="1"/>
  <c r="AH301" i="56" s="1"/>
  <c r="CN302" i="90"/>
  <c r="DL302" i="90" s="1"/>
  <c r="FN302" i="90" s="1"/>
  <c r="CW302" i="90" s="1"/>
  <c r="AH302" i="56" s="1"/>
  <c r="CN291" i="90"/>
  <c r="DL291" i="90" s="1"/>
  <c r="FN291" i="90" s="1"/>
  <c r="CW291" i="90" s="1"/>
  <c r="AH291" i="56" s="1"/>
  <c r="CN293" i="90"/>
  <c r="DL293" i="90" s="1"/>
  <c r="FN293" i="90" s="1"/>
  <c r="CW293" i="90" s="1"/>
  <c r="AH293" i="56" s="1"/>
  <c r="CN298" i="90"/>
  <c r="DL298" i="90" s="1"/>
  <c r="FN298" i="90" s="1"/>
  <c r="CW298" i="90" s="1"/>
  <c r="AH298" i="56" s="1"/>
  <c r="CN209" i="90"/>
  <c r="DL209" i="90" s="1"/>
  <c r="FN209" i="90" s="1"/>
  <c r="CW209" i="90" s="1"/>
  <c r="AH209" i="56" s="1"/>
  <c r="CN210" i="90"/>
  <c r="DL210" i="90" s="1"/>
  <c r="FN210" i="90" s="1"/>
  <c r="CW210" i="90" s="1"/>
  <c r="AH210" i="56" s="1"/>
  <c r="CN211" i="90"/>
  <c r="DL211" i="90" s="1"/>
  <c r="FN211" i="90" s="1"/>
  <c r="CW211" i="90" s="1"/>
  <c r="AH211" i="56" s="1"/>
  <c r="CN287" i="90"/>
  <c r="DL287" i="90" s="1"/>
  <c r="FN287" i="90" s="1"/>
  <c r="CW287" i="90" s="1"/>
  <c r="AH287" i="56" s="1"/>
  <c r="CN294" i="90"/>
  <c r="DL294" i="90" s="1"/>
  <c r="FN294" i="90" s="1"/>
  <c r="CW294" i="90" s="1"/>
  <c r="AH294" i="56" s="1"/>
  <c r="CN305" i="90"/>
  <c r="DL305" i="90" s="1"/>
  <c r="FN305" i="90" s="1"/>
  <c r="CW305" i="90" s="1"/>
  <c r="AH305" i="56" s="1"/>
  <c r="CN306" i="90"/>
  <c r="DL306" i="90" s="1"/>
  <c r="FN306" i="90" s="1"/>
  <c r="CW306" i="90" s="1"/>
  <c r="AH306" i="56" s="1"/>
  <c r="CN307" i="90"/>
  <c r="DL307" i="90" s="1"/>
  <c r="FN307" i="90" s="1"/>
  <c r="CW307" i="90" s="1"/>
  <c r="AH307" i="56" s="1"/>
  <c r="CN308" i="90"/>
  <c r="DL308" i="90" s="1"/>
  <c r="FN308" i="90" s="1"/>
  <c r="CW308" i="90" s="1"/>
  <c r="AH308" i="56" s="1"/>
  <c r="CN303" i="90"/>
  <c r="DL303" i="90" s="1"/>
  <c r="FN303" i="90" s="1"/>
  <c r="CW303" i="90" s="1"/>
  <c r="AH303" i="56" s="1"/>
  <c r="CN207" i="90"/>
  <c r="DL207" i="90" s="1"/>
  <c r="FN207" i="90" s="1"/>
  <c r="CW207" i="90" s="1"/>
  <c r="AH207" i="56" s="1"/>
  <c r="CN213" i="90"/>
  <c r="DL213" i="90" s="1"/>
  <c r="FN213" i="90" s="1"/>
  <c r="CW213" i="90" s="1"/>
  <c r="AH213" i="56" s="1"/>
  <c r="CN214" i="90"/>
  <c r="DL214" i="90" s="1"/>
  <c r="FN214" i="90" s="1"/>
  <c r="CW214" i="90" s="1"/>
  <c r="AH214" i="56" s="1"/>
  <c r="CN215" i="90"/>
  <c r="DL215" i="90" s="1"/>
  <c r="FN215" i="90" s="1"/>
  <c r="CW215" i="90" s="1"/>
  <c r="AH215" i="56" s="1"/>
  <c r="CN204" i="90"/>
  <c r="DL204" i="90" s="1"/>
  <c r="FN204" i="90" s="1"/>
  <c r="CW204" i="90" s="1"/>
  <c r="AH204" i="56" s="1"/>
  <c r="CN216" i="90"/>
  <c r="DL216" i="90" s="1"/>
  <c r="FN216" i="90" s="1"/>
  <c r="CW216" i="90" s="1"/>
  <c r="AH216" i="56" s="1"/>
  <c r="CN221" i="90"/>
  <c r="DL221" i="90" s="1"/>
  <c r="FN221" i="90" s="1"/>
  <c r="CW221" i="90" s="1"/>
  <c r="AH221" i="56" s="1"/>
  <c r="CN222" i="90"/>
  <c r="DL222" i="90" s="1"/>
  <c r="FN222" i="90" s="1"/>
  <c r="CW222" i="90" s="1"/>
  <c r="AH222" i="56" s="1"/>
  <c r="CN223" i="90"/>
  <c r="DL223" i="90" s="1"/>
  <c r="FN223" i="90" s="1"/>
  <c r="CW223" i="90" s="1"/>
  <c r="AH223" i="56" s="1"/>
  <c r="CN224" i="90"/>
  <c r="DL224" i="90" s="1"/>
  <c r="FN224" i="90" s="1"/>
  <c r="CW224" i="90" s="1"/>
  <c r="AH224" i="56" s="1"/>
  <c r="CN227" i="90"/>
  <c r="DL227" i="90" s="1"/>
  <c r="FN227" i="90" s="1"/>
  <c r="CW227" i="90" s="1"/>
  <c r="AH227" i="56" s="1"/>
  <c r="CN228" i="90"/>
  <c r="DL228" i="90" s="1"/>
  <c r="FN228" i="90" s="1"/>
  <c r="CW228" i="90" s="1"/>
  <c r="AH228" i="56" s="1"/>
  <c r="CN96" i="90"/>
  <c r="DL96" i="90" s="1"/>
  <c r="FN96" i="90" s="1"/>
  <c r="CW96" i="90" s="1"/>
  <c r="AH96" i="56" s="1"/>
  <c r="CN97" i="90"/>
  <c r="DL97" i="90" s="1"/>
  <c r="FN97" i="90" s="1"/>
  <c r="CW97" i="90" s="1"/>
  <c r="AH97" i="56" s="1"/>
  <c r="CN304" i="90"/>
  <c r="DL304" i="90" s="1"/>
  <c r="FN304" i="90" s="1"/>
  <c r="CW304" i="90" s="1"/>
  <c r="AH304" i="56" s="1"/>
  <c r="CN205" i="90"/>
  <c r="DL205" i="90" s="1"/>
  <c r="FN205" i="90" s="1"/>
  <c r="CW205" i="90" s="1"/>
  <c r="AH205" i="56" s="1"/>
  <c r="CN206" i="90"/>
  <c r="DL206" i="90" s="1"/>
  <c r="FN206" i="90" s="1"/>
  <c r="CW206" i="90" s="1"/>
  <c r="AH206" i="56" s="1"/>
  <c r="CN220" i="90"/>
  <c r="DL220" i="90" s="1"/>
  <c r="FN220" i="90" s="1"/>
  <c r="CW220" i="90" s="1"/>
  <c r="AH220" i="56" s="1"/>
  <c r="CN232" i="90"/>
  <c r="DL232" i="90" s="1"/>
  <c r="FN232" i="90" s="1"/>
  <c r="CW232" i="90" s="1"/>
  <c r="AH232" i="56" s="1"/>
  <c r="CN90" i="90"/>
  <c r="DL90" i="90" s="1"/>
  <c r="FN90" i="90" s="1"/>
  <c r="CW90" i="90" s="1"/>
  <c r="AH90" i="56" s="1"/>
  <c r="CN94" i="90"/>
  <c r="DL94" i="90" s="1"/>
  <c r="FN94" i="90" s="1"/>
  <c r="CW94" i="90" s="1"/>
  <c r="AH94" i="56" s="1"/>
  <c r="CN100" i="90"/>
  <c r="DL100" i="90" s="1"/>
  <c r="FN100" i="90" s="1"/>
  <c r="CW100" i="90" s="1"/>
  <c r="AH100" i="56" s="1"/>
  <c r="CN108" i="90"/>
  <c r="DL108" i="90" s="1"/>
  <c r="FN108" i="90" s="1"/>
  <c r="CW108" i="90" s="1"/>
  <c r="AH108" i="56" s="1"/>
  <c r="CN109" i="90"/>
  <c r="DL109" i="90" s="1"/>
  <c r="FN109" i="90" s="1"/>
  <c r="CW109" i="90" s="1"/>
  <c r="AH109" i="56" s="1"/>
  <c r="CN110" i="90"/>
  <c r="DL110" i="90" s="1"/>
  <c r="FN110" i="90" s="1"/>
  <c r="CW110" i="90" s="1"/>
  <c r="AH110" i="56" s="1"/>
  <c r="CN219" i="90"/>
  <c r="DL219" i="90" s="1"/>
  <c r="FN219" i="90" s="1"/>
  <c r="CW219" i="90" s="1"/>
  <c r="AH219" i="56" s="1"/>
  <c r="CN230" i="90"/>
  <c r="DL230" i="90" s="1"/>
  <c r="FN230" i="90" s="1"/>
  <c r="CW230" i="90" s="1"/>
  <c r="AH230" i="56" s="1"/>
  <c r="CN233" i="90"/>
  <c r="DL233" i="90" s="1"/>
  <c r="FN233" i="90" s="1"/>
  <c r="CW233" i="90" s="1"/>
  <c r="AH233" i="56" s="1"/>
  <c r="CN91" i="90"/>
  <c r="DL91" i="90" s="1"/>
  <c r="FN91" i="90" s="1"/>
  <c r="CW91" i="90" s="1"/>
  <c r="AH91" i="56" s="1"/>
  <c r="CN95" i="90"/>
  <c r="DL95" i="90" s="1"/>
  <c r="FN95" i="90" s="1"/>
  <c r="CW95" i="90" s="1"/>
  <c r="AH95" i="56" s="1"/>
  <c r="CN101" i="90"/>
  <c r="DL101" i="90" s="1"/>
  <c r="FN101" i="90" s="1"/>
  <c r="CW101" i="90" s="1"/>
  <c r="AH101" i="56" s="1"/>
  <c r="CN111" i="90"/>
  <c r="DL111" i="90" s="1"/>
  <c r="FN111" i="90" s="1"/>
  <c r="CW111" i="90" s="1"/>
  <c r="AH111" i="56" s="1"/>
  <c r="CN120" i="90"/>
  <c r="DL120" i="90" s="1"/>
  <c r="FN120" i="90" s="1"/>
  <c r="CW120" i="90" s="1"/>
  <c r="AH120" i="56" s="1"/>
  <c r="CN132" i="90"/>
  <c r="DL132" i="90" s="1"/>
  <c r="FN132" i="90" s="1"/>
  <c r="CW132" i="90" s="1"/>
  <c r="AH132" i="56" s="1"/>
  <c r="CN133" i="90"/>
  <c r="DL133" i="90" s="1"/>
  <c r="FN133" i="90" s="1"/>
  <c r="CW133" i="90" s="1"/>
  <c r="AH133" i="56" s="1"/>
  <c r="CN134" i="90"/>
  <c r="DL134" i="90" s="1"/>
  <c r="FN134" i="90" s="1"/>
  <c r="CW134" i="90" s="1"/>
  <c r="AH134" i="56" s="1"/>
  <c r="CN135" i="90"/>
  <c r="DL135" i="90" s="1"/>
  <c r="FN135" i="90" s="1"/>
  <c r="CW135" i="90" s="1"/>
  <c r="AH135" i="56" s="1"/>
  <c r="CN136" i="90"/>
  <c r="DL136" i="90" s="1"/>
  <c r="FN136" i="90" s="1"/>
  <c r="CW136" i="90" s="1"/>
  <c r="AH136" i="56" s="1"/>
  <c r="CN137" i="90"/>
  <c r="DL137" i="90" s="1"/>
  <c r="FN137" i="90" s="1"/>
  <c r="CW137" i="90" s="1"/>
  <c r="AH137" i="56" s="1"/>
  <c r="CN141" i="90"/>
  <c r="DL141" i="90" s="1"/>
  <c r="FN141" i="90" s="1"/>
  <c r="CW141" i="90" s="1"/>
  <c r="AH141" i="56" s="1"/>
  <c r="CN142" i="90"/>
  <c r="DL142" i="90" s="1"/>
  <c r="FN142" i="90" s="1"/>
  <c r="CW142" i="90" s="1"/>
  <c r="AH142" i="56" s="1"/>
  <c r="CN151" i="90"/>
  <c r="DL151" i="90" s="1"/>
  <c r="FN151" i="90" s="1"/>
  <c r="CW151" i="90" s="1"/>
  <c r="AH151" i="56" s="1"/>
  <c r="CN300" i="90"/>
  <c r="DL300" i="90" s="1"/>
  <c r="FN300" i="90" s="1"/>
  <c r="CW300" i="90" s="1"/>
  <c r="AH300" i="56" s="1"/>
  <c r="CN217" i="90"/>
  <c r="DL217" i="90" s="1"/>
  <c r="FN217" i="90" s="1"/>
  <c r="CW217" i="90" s="1"/>
  <c r="AH217" i="56" s="1"/>
  <c r="CN218" i="90"/>
  <c r="DL218" i="90" s="1"/>
  <c r="FN218" i="90" s="1"/>
  <c r="CW218" i="90" s="1"/>
  <c r="AH218" i="56" s="1"/>
  <c r="CN225" i="90"/>
  <c r="DL225" i="90" s="1"/>
  <c r="FN225" i="90" s="1"/>
  <c r="CW225" i="90" s="1"/>
  <c r="AH225" i="56" s="1"/>
  <c r="CN229" i="90"/>
  <c r="DL229" i="90" s="1"/>
  <c r="FN229" i="90" s="1"/>
  <c r="CW229" i="90" s="1"/>
  <c r="AH229" i="56" s="1"/>
  <c r="CN234" i="90"/>
  <c r="DL234" i="90" s="1"/>
  <c r="FN234" i="90" s="1"/>
  <c r="CW234" i="90" s="1"/>
  <c r="AH234" i="56" s="1"/>
  <c r="CN236" i="90"/>
  <c r="DL236" i="90" s="1"/>
  <c r="FN236" i="90" s="1"/>
  <c r="CW236" i="90" s="1"/>
  <c r="AH236" i="56" s="1"/>
  <c r="CN92" i="90"/>
  <c r="DL92" i="90" s="1"/>
  <c r="FN92" i="90" s="1"/>
  <c r="CW92" i="90" s="1"/>
  <c r="AH92" i="56" s="1"/>
  <c r="CN104" i="90"/>
  <c r="DL104" i="90" s="1"/>
  <c r="FN104" i="90" s="1"/>
  <c r="CW104" i="90" s="1"/>
  <c r="AH104" i="56" s="1"/>
  <c r="CN114" i="90"/>
  <c r="DL114" i="90" s="1"/>
  <c r="FN114" i="90" s="1"/>
  <c r="CW114" i="90" s="1"/>
  <c r="AH114" i="56" s="1"/>
  <c r="CN122" i="90"/>
  <c r="DL122" i="90" s="1"/>
  <c r="FN122" i="90" s="1"/>
  <c r="CW122" i="90" s="1"/>
  <c r="AH122" i="56" s="1"/>
  <c r="CN123" i="90"/>
  <c r="DL123" i="90" s="1"/>
  <c r="FN123" i="90" s="1"/>
  <c r="CW123" i="90" s="1"/>
  <c r="AH123" i="56" s="1"/>
  <c r="CN125" i="90"/>
  <c r="DL125" i="90" s="1"/>
  <c r="FN125" i="90" s="1"/>
  <c r="CW125" i="90" s="1"/>
  <c r="AH125" i="56" s="1"/>
  <c r="CN231" i="90"/>
  <c r="DL231" i="90" s="1"/>
  <c r="FN231" i="90" s="1"/>
  <c r="CW231" i="90" s="1"/>
  <c r="AH231" i="56" s="1"/>
  <c r="CN235" i="90"/>
  <c r="DL235" i="90" s="1"/>
  <c r="FN235" i="90" s="1"/>
  <c r="CW235" i="90" s="1"/>
  <c r="AH235" i="56" s="1"/>
  <c r="CN99" i="90"/>
  <c r="DL99" i="90" s="1"/>
  <c r="FN99" i="90" s="1"/>
  <c r="CW99" i="90" s="1"/>
  <c r="AH99" i="56" s="1"/>
  <c r="CN103" i="90"/>
  <c r="DL103" i="90" s="1"/>
  <c r="FN103" i="90" s="1"/>
  <c r="CW103" i="90" s="1"/>
  <c r="AH103" i="56" s="1"/>
  <c r="CN119" i="90"/>
  <c r="DL119" i="90" s="1"/>
  <c r="FN119" i="90" s="1"/>
  <c r="CW119" i="90" s="1"/>
  <c r="AH119" i="56" s="1"/>
  <c r="CN208" i="90"/>
  <c r="DL208" i="90" s="1"/>
  <c r="FN208" i="90" s="1"/>
  <c r="CW208" i="90" s="1"/>
  <c r="AH208" i="56" s="1"/>
  <c r="CN212" i="90"/>
  <c r="DL212" i="90" s="1"/>
  <c r="FN212" i="90" s="1"/>
  <c r="CW212" i="90" s="1"/>
  <c r="AH212" i="56" s="1"/>
  <c r="CN226" i="90"/>
  <c r="DL226" i="90" s="1"/>
  <c r="FN226" i="90" s="1"/>
  <c r="CW226" i="90" s="1"/>
  <c r="AH226" i="56" s="1"/>
  <c r="CN89" i="90"/>
  <c r="DL89" i="90" s="1"/>
  <c r="FN89" i="90" s="1"/>
  <c r="CW89" i="90" s="1"/>
  <c r="AH89" i="56" s="1"/>
  <c r="CN98" i="90"/>
  <c r="DL98" i="90" s="1"/>
  <c r="FN98" i="90" s="1"/>
  <c r="CW98" i="90" s="1"/>
  <c r="AH98" i="56" s="1"/>
  <c r="CN107" i="90"/>
  <c r="DL107" i="90" s="1"/>
  <c r="FN107" i="90" s="1"/>
  <c r="CW107" i="90" s="1"/>
  <c r="AH107" i="56" s="1"/>
  <c r="CN118" i="90"/>
  <c r="DL118" i="90" s="1"/>
  <c r="FN118" i="90" s="1"/>
  <c r="CW118" i="90" s="1"/>
  <c r="AH118" i="56" s="1"/>
  <c r="CN121" i="90"/>
  <c r="DL121" i="90" s="1"/>
  <c r="FN121" i="90" s="1"/>
  <c r="CW121" i="90" s="1"/>
  <c r="AH121" i="56" s="1"/>
  <c r="CN124" i="90"/>
  <c r="DL124" i="90" s="1"/>
  <c r="FN124" i="90" s="1"/>
  <c r="CW124" i="90" s="1"/>
  <c r="AH124" i="56" s="1"/>
  <c r="CN126" i="90"/>
  <c r="DL126" i="90" s="1"/>
  <c r="FN126" i="90" s="1"/>
  <c r="CW126" i="90" s="1"/>
  <c r="AH126" i="56" s="1"/>
  <c r="CN93" i="90"/>
  <c r="DL93" i="90" s="1"/>
  <c r="FN93" i="90" s="1"/>
  <c r="CW93" i="90" s="1"/>
  <c r="AH93" i="56" s="1"/>
  <c r="CN106" i="90"/>
  <c r="DL106" i="90" s="1"/>
  <c r="FN106" i="90" s="1"/>
  <c r="CW106" i="90" s="1"/>
  <c r="AH106" i="56" s="1"/>
  <c r="CN116" i="90"/>
  <c r="DL116" i="90" s="1"/>
  <c r="FN116" i="90" s="1"/>
  <c r="CW116" i="90" s="1"/>
  <c r="AH116" i="56" s="1"/>
  <c r="CN128" i="90"/>
  <c r="DL128" i="90" s="1"/>
  <c r="FN128" i="90" s="1"/>
  <c r="CW128" i="90" s="1"/>
  <c r="AH128" i="56" s="1"/>
  <c r="CN138" i="90"/>
  <c r="DL138" i="90" s="1"/>
  <c r="FN138" i="90" s="1"/>
  <c r="CW138" i="90" s="1"/>
  <c r="AH138" i="56" s="1"/>
  <c r="CN140" i="90"/>
  <c r="DL140" i="90" s="1"/>
  <c r="FN140" i="90" s="1"/>
  <c r="CW140" i="90" s="1"/>
  <c r="AH140" i="56" s="1"/>
  <c r="CN148" i="90"/>
  <c r="DL148" i="90" s="1"/>
  <c r="FN148" i="90" s="1"/>
  <c r="CW148" i="90" s="1"/>
  <c r="AH148" i="56" s="1"/>
  <c r="CN152" i="90"/>
  <c r="DL152" i="90" s="1"/>
  <c r="FN152" i="90" s="1"/>
  <c r="CW152" i="90" s="1"/>
  <c r="AH152" i="56" s="1"/>
  <c r="CN159" i="90"/>
  <c r="DL159" i="90" s="1"/>
  <c r="FN159" i="90" s="1"/>
  <c r="CW159" i="90" s="1"/>
  <c r="AH159" i="56" s="1"/>
  <c r="CN160" i="90"/>
  <c r="DL160" i="90" s="1"/>
  <c r="FN160" i="90" s="1"/>
  <c r="CW160" i="90" s="1"/>
  <c r="AH160" i="56" s="1"/>
  <c r="CN161" i="90"/>
  <c r="DL161" i="90" s="1"/>
  <c r="FN161" i="90" s="1"/>
  <c r="CW161" i="90" s="1"/>
  <c r="AH161" i="56" s="1"/>
  <c r="CN162" i="90"/>
  <c r="DL162" i="90" s="1"/>
  <c r="FN162" i="90" s="1"/>
  <c r="CW162" i="90" s="1"/>
  <c r="AH162" i="56" s="1"/>
  <c r="CN163" i="90"/>
  <c r="DL163" i="90" s="1"/>
  <c r="FN163" i="90" s="1"/>
  <c r="CW163" i="90" s="1"/>
  <c r="AH163" i="56" s="1"/>
  <c r="CN169" i="90"/>
  <c r="DL169" i="90" s="1"/>
  <c r="FN169" i="90" s="1"/>
  <c r="CW169" i="90" s="1"/>
  <c r="AH169" i="56" s="1"/>
  <c r="CN170" i="90"/>
  <c r="DL170" i="90" s="1"/>
  <c r="FN170" i="90" s="1"/>
  <c r="CW170" i="90" s="1"/>
  <c r="AH170" i="56" s="1"/>
  <c r="CN177" i="90"/>
  <c r="DL177" i="90" s="1"/>
  <c r="FN177" i="90" s="1"/>
  <c r="CW177" i="90" s="1"/>
  <c r="AH177" i="56" s="1"/>
  <c r="CN178" i="90"/>
  <c r="DL178" i="90" s="1"/>
  <c r="FN178" i="90" s="1"/>
  <c r="CW178" i="90" s="1"/>
  <c r="AH178" i="56" s="1"/>
  <c r="CN102" i="90"/>
  <c r="DL102" i="90" s="1"/>
  <c r="FN102" i="90" s="1"/>
  <c r="CW102" i="90" s="1"/>
  <c r="AH102" i="56" s="1"/>
  <c r="CN112" i="90"/>
  <c r="DL112" i="90" s="1"/>
  <c r="FN112" i="90" s="1"/>
  <c r="CW112" i="90" s="1"/>
  <c r="AH112" i="56" s="1"/>
  <c r="CN117" i="90"/>
  <c r="DL117" i="90" s="1"/>
  <c r="FN117" i="90" s="1"/>
  <c r="CW117" i="90" s="1"/>
  <c r="AH117" i="56" s="1"/>
  <c r="CN130" i="90"/>
  <c r="DL130" i="90" s="1"/>
  <c r="FN130" i="90" s="1"/>
  <c r="CW130" i="90" s="1"/>
  <c r="AH130" i="56" s="1"/>
  <c r="CN139" i="90"/>
  <c r="DL139" i="90" s="1"/>
  <c r="FN139" i="90" s="1"/>
  <c r="CW139" i="90" s="1"/>
  <c r="AH139" i="56" s="1"/>
  <c r="CN145" i="90"/>
  <c r="DL145" i="90" s="1"/>
  <c r="FN145" i="90" s="1"/>
  <c r="CW145" i="90" s="1"/>
  <c r="AH145" i="56" s="1"/>
  <c r="CN150" i="90"/>
  <c r="DL150" i="90" s="1"/>
  <c r="FN150" i="90" s="1"/>
  <c r="CW150" i="90" s="1"/>
  <c r="AH150" i="56" s="1"/>
  <c r="CN153" i="90"/>
  <c r="DL153" i="90" s="1"/>
  <c r="FN153" i="90" s="1"/>
  <c r="CW153" i="90" s="1"/>
  <c r="AH153" i="56" s="1"/>
  <c r="CN156" i="90"/>
  <c r="DL156" i="90" s="1"/>
  <c r="FN156" i="90" s="1"/>
  <c r="CW156" i="90" s="1"/>
  <c r="AH156" i="56" s="1"/>
  <c r="CN158" i="90"/>
  <c r="DL158" i="90" s="1"/>
  <c r="FN158" i="90" s="1"/>
  <c r="CW158" i="90" s="1"/>
  <c r="AH158" i="56" s="1"/>
  <c r="CN171" i="90"/>
  <c r="DL171" i="90" s="1"/>
  <c r="FN171" i="90" s="1"/>
  <c r="CW171" i="90" s="1"/>
  <c r="AH171" i="56" s="1"/>
  <c r="CN172" i="90"/>
  <c r="DL172" i="90" s="1"/>
  <c r="FN172" i="90" s="1"/>
  <c r="CW172" i="90" s="1"/>
  <c r="AH172" i="56" s="1"/>
  <c r="CN173" i="90"/>
  <c r="DL173" i="90" s="1"/>
  <c r="FN173" i="90" s="1"/>
  <c r="CW173" i="90" s="1"/>
  <c r="AH173" i="56" s="1"/>
  <c r="CN174" i="90"/>
  <c r="DL174" i="90" s="1"/>
  <c r="FN174" i="90" s="1"/>
  <c r="CW174" i="90" s="1"/>
  <c r="AH174" i="56" s="1"/>
  <c r="CN175" i="90"/>
  <c r="DL175" i="90" s="1"/>
  <c r="FN175" i="90" s="1"/>
  <c r="CW175" i="90" s="1"/>
  <c r="AH175" i="56" s="1"/>
  <c r="CN105" i="90"/>
  <c r="DL105" i="90" s="1"/>
  <c r="FN105" i="90" s="1"/>
  <c r="CW105" i="90" s="1"/>
  <c r="AH105" i="56" s="1"/>
  <c r="CN115" i="90"/>
  <c r="DL115" i="90" s="1"/>
  <c r="FN115" i="90" s="1"/>
  <c r="CW115" i="90" s="1"/>
  <c r="AH115" i="56" s="1"/>
  <c r="CN127" i="90"/>
  <c r="DL127" i="90" s="1"/>
  <c r="FN127" i="90" s="1"/>
  <c r="CW127" i="90" s="1"/>
  <c r="AH127" i="56" s="1"/>
  <c r="CN129" i="90"/>
  <c r="DL129" i="90" s="1"/>
  <c r="FN129" i="90" s="1"/>
  <c r="CW129" i="90" s="1"/>
  <c r="AH129" i="56" s="1"/>
  <c r="CN131" i="90"/>
  <c r="DL131" i="90" s="1"/>
  <c r="FN131" i="90" s="1"/>
  <c r="CW131" i="90" s="1"/>
  <c r="AH131" i="56" s="1"/>
  <c r="CN143" i="90"/>
  <c r="DL143" i="90" s="1"/>
  <c r="FN143" i="90" s="1"/>
  <c r="CW143" i="90" s="1"/>
  <c r="AH143" i="56" s="1"/>
  <c r="CN146" i="90"/>
  <c r="DL146" i="90" s="1"/>
  <c r="FN146" i="90" s="1"/>
  <c r="CW146" i="90" s="1"/>
  <c r="AH146" i="56" s="1"/>
  <c r="CN149" i="90"/>
  <c r="DL149" i="90" s="1"/>
  <c r="FN149" i="90" s="1"/>
  <c r="CW149" i="90" s="1"/>
  <c r="AH149" i="56" s="1"/>
  <c r="CN154" i="90"/>
  <c r="DL154" i="90" s="1"/>
  <c r="FN154" i="90" s="1"/>
  <c r="CW154" i="90" s="1"/>
  <c r="AH154" i="56" s="1"/>
  <c r="CN164" i="90"/>
  <c r="DL164" i="90" s="1"/>
  <c r="FN164" i="90" s="1"/>
  <c r="CW164" i="90" s="1"/>
  <c r="AH164" i="56" s="1"/>
  <c r="CN176" i="90"/>
  <c r="DL176" i="90" s="1"/>
  <c r="FN176" i="90" s="1"/>
  <c r="CW176" i="90" s="1"/>
  <c r="AH176" i="56" s="1"/>
  <c r="CN179" i="90"/>
  <c r="DL179" i="90" s="1"/>
  <c r="FN179" i="90" s="1"/>
  <c r="CW179" i="90" s="1"/>
  <c r="AH179" i="56" s="1"/>
  <c r="CN180" i="90"/>
  <c r="DL180" i="90" s="1"/>
  <c r="FN180" i="90" s="1"/>
  <c r="CW180" i="90" s="1"/>
  <c r="AH180" i="56" s="1"/>
  <c r="CN113" i="90"/>
  <c r="DL113" i="90" s="1"/>
  <c r="FN113" i="90" s="1"/>
  <c r="CW113" i="90" s="1"/>
  <c r="AH113" i="56" s="1"/>
  <c r="CN144" i="90"/>
  <c r="DL144" i="90" s="1"/>
  <c r="FN144" i="90" s="1"/>
  <c r="CW144" i="90" s="1"/>
  <c r="AH144" i="56" s="1"/>
  <c r="CN157" i="90"/>
  <c r="DL157" i="90" s="1"/>
  <c r="FN157" i="90" s="1"/>
  <c r="CW157" i="90" s="1"/>
  <c r="AH157" i="56" s="1"/>
  <c r="CN181" i="90"/>
  <c r="DL181" i="90" s="1"/>
  <c r="FN181" i="90" s="1"/>
  <c r="CW181" i="90" s="1"/>
  <c r="AH181" i="56" s="1"/>
  <c r="CN182" i="90"/>
  <c r="DL182" i="90" s="1"/>
  <c r="FN182" i="90" s="1"/>
  <c r="CW182" i="90" s="1"/>
  <c r="AH182" i="56" s="1"/>
  <c r="CN194" i="90"/>
  <c r="DL194" i="90" s="1"/>
  <c r="FN194" i="90" s="1"/>
  <c r="CW194" i="90" s="1"/>
  <c r="AH194" i="56" s="1"/>
  <c r="CN195" i="90"/>
  <c r="DL195" i="90" s="1"/>
  <c r="FN195" i="90" s="1"/>
  <c r="CW195" i="90" s="1"/>
  <c r="AH195" i="56" s="1"/>
  <c r="CN200" i="90"/>
  <c r="DL200" i="90" s="1"/>
  <c r="FN200" i="90" s="1"/>
  <c r="CW200" i="90" s="1"/>
  <c r="AH200" i="56" s="1"/>
  <c r="CN201" i="90"/>
  <c r="DL201" i="90" s="1"/>
  <c r="FN201" i="90" s="1"/>
  <c r="CW201" i="90" s="1"/>
  <c r="AH201" i="56" s="1"/>
  <c r="CN74" i="90"/>
  <c r="DL74" i="90" s="1"/>
  <c r="FN74" i="90" s="1"/>
  <c r="CW74" i="90" s="1"/>
  <c r="AH74" i="56" s="1"/>
  <c r="CN147" i="90"/>
  <c r="DL147" i="90" s="1"/>
  <c r="FN147" i="90" s="1"/>
  <c r="CW147" i="90" s="1"/>
  <c r="AH147" i="56" s="1"/>
  <c r="CN165" i="90"/>
  <c r="DL165" i="90" s="1"/>
  <c r="FN165" i="90" s="1"/>
  <c r="CW165" i="90" s="1"/>
  <c r="AH165" i="56" s="1"/>
  <c r="CN166" i="90"/>
  <c r="DL166" i="90" s="1"/>
  <c r="FN166" i="90" s="1"/>
  <c r="CW166" i="90" s="1"/>
  <c r="AH166" i="56" s="1"/>
  <c r="CN167" i="90"/>
  <c r="DL167" i="90" s="1"/>
  <c r="FN167" i="90" s="1"/>
  <c r="CW167" i="90" s="1"/>
  <c r="AH167" i="56" s="1"/>
  <c r="CN168" i="90"/>
  <c r="DL168" i="90" s="1"/>
  <c r="FN168" i="90" s="1"/>
  <c r="CW168" i="90" s="1"/>
  <c r="AH168" i="56" s="1"/>
  <c r="CN202" i="90"/>
  <c r="DL202" i="90" s="1"/>
  <c r="FN202" i="90" s="1"/>
  <c r="CW202" i="90" s="1"/>
  <c r="AH202" i="56" s="1"/>
  <c r="CN203" i="90"/>
  <c r="DL203" i="90" s="1"/>
  <c r="FN203" i="90" s="1"/>
  <c r="CW203" i="90" s="1"/>
  <c r="AH203" i="56" s="1"/>
  <c r="CN183" i="90"/>
  <c r="DL183" i="90" s="1"/>
  <c r="FN183" i="90" s="1"/>
  <c r="CW183" i="90" s="1"/>
  <c r="AH183" i="56" s="1"/>
  <c r="CN187" i="90"/>
  <c r="DL187" i="90" s="1"/>
  <c r="FN187" i="90" s="1"/>
  <c r="CW187" i="90" s="1"/>
  <c r="AH187" i="56" s="1"/>
  <c r="CN188" i="90"/>
  <c r="DL188" i="90" s="1"/>
  <c r="FN188" i="90" s="1"/>
  <c r="CW188" i="90" s="1"/>
  <c r="AH188" i="56" s="1"/>
  <c r="CN189" i="90"/>
  <c r="DL189" i="90" s="1"/>
  <c r="FN189" i="90" s="1"/>
  <c r="CW189" i="90" s="1"/>
  <c r="AH189" i="56" s="1"/>
  <c r="CN190" i="90"/>
  <c r="DL190" i="90" s="1"/>
  <c r="FN190" i="90" s="1"/>
  <c r="CW190" i="90" s="1"/>
  <c r="AH190" i="56" s="1"/>
  <c r="CN191" i="90"/>
  <c r="DL191" i="90" s="1"/>
  <c r="FN191" i="90" s="1"/>
  <c r="CW191" i="90" s="1"/>
  <c r="AH191" i="56" s="1"/>
  <c r="CN196" i="90"/>
  <c r="DL196" i="90" s="1"/>
  <c r="FN196" i="90" s="1"/>
  <c r="CW196" i="90" s="1"/>
  <c r="AH196" i="56" s="1"/>
  <c r="CN197" i="90"/>
  <c r="DL197" i="90" s="1"/>
  <c r="FN197" i="90" s="1"/>
  <c r="CW197" i="90" s="1"/>
  <c r="AH197" i="56" s="1"/>
  <c r="CN73" i="90"/>
  <c r="DL73" i="90" s="1"/>
  <c r="FN73" i="90" s="1"/>
  <c r="CW73" i="90" s="1"/>
  <c r="AH73" i="56" s="1"/>
  <c r="CN77" i="90"/>
  <c r="DL77" i="90" s="1"/>
  <c r="FN77" i="90" s="1"/>
  <c r="CW77" i="90" s="1"/>
  <c r="AH77" i="56" s="1"/>
  <c r="CN78" i="90"/>
  <c r="DL78" i="90" s="1"/>
  <c r="FN78" i="90" s="1"/>
  <c r="CW78" i="90" s="1"/>
  <c r="AH78" i="56" s="1"/>
  <c r="CN79" i="90"/>
  <c r="DL79" i="90" s="1"/>
  <c r="FN79" i="90" s="1"/>
  <c r="CW79" i="90" s="1"/>
  <c r="AH79" i="56" s="1"/>
  <c r="CN80" i="90"/>
  <c r="DL80" i="90" s="1"/>
  <c r="FN80" i="90" s="1"/>
  <c r="CW80" i="90" s="1"/>
  <c r="AH80" i="56" s="1"/>
  <c r="CN81" i="90"/>
  <c r="DL81" i="90" s="1"/>
  <c r="FN81" i="90" s="1"/>
  <c r="CW81" i="90" s="1"/>
  <c r="AH81" i="56" s="1"/>
  <c r="CN88" i="90"/>
  <c r="DL88" i="90" s="1"/>
  <c r="FN88" i="90" s="1"/>
  <c r="CW88" i="90" s="1"/>
  <c r="AH88" i="56" s="1"/>
  <c r="CN66" i="90"/>
  <c r="DL66" i="90" s="1"/>
  <c r="FN66" i="90" s="1"/>
  <c r="CW66" i="90" s="1"/>
  <c r="AH66" i="56" s="1"/>
  <c r="CN67" i="90"/>
  <c r="DL67" i="90" s="1"/>
  <c r="FN67" i="90" s="1"/>
  <c r="CW67" i="90" s="1"/>
  <c r="AH67" i="56" s="1"/>
  <c r="CN68" i="90"/>
  <c r="DL68" i="90" s="1"/>
  <c r="FN68" i="90" s="1"/>
  <c r="CW68" i="90" s="1"/>
  <c r="AH68" i="56" s="1"/>
  <c r="CN155" i="90"/>
  <c r="DL155" i="90" s="1"/>
  <c r="FN155" i="90" s="1"/>
  <c r="CW155" i="90" s="1"/>
  <c r="AH155" i="56" s="1"/>
  <c r="CN184" i="90"/>
  <c r="DL184" i="90" s="1"/>
  <c r="FN184" i="90" s="1"/>
  <c r="CW184" i="90" s="1"/>
  <c r="AH184" i="56" s="1"/>
  <c r="CN185" i="90"/>
  <c r="DL185" i="90" s="1"/>
  <c r="FN185" i="90" s="1"/>
  <c r="CW185" i="90" s="1"/>
  <c r="AH185" i="56" s="1"/>
  <c r="CN186" i="90"/>
  <c r="DL186" i="90" s="1"/>
  <c r="FN186" i="90" s="1"/>
  <c r="CW186" i="90" s="1"/>
  <c r="AH186" i="56" s="1"/>
  <c r="CN192" i="90"/>
  <c r="DL192" i="90" s="1"/>
  <c r="FN192" i="90" s="1"/>
  <c r="CW192" i="90" s="1"/>
  <c r="AH192" i="56" s="1"/>
  <c r="CN193" i="90"/>
  <c r="DL193" i="90" s="1"/>
  <c r="FN193" i="90" s="1"/>
  <c r="CW193" i="90" s="1"/>
  <c r="AH193" i="56" s="1"/>
  <c r="CN198" i="90"/>
  <c r="DL198" i="90" s="1"/>
  <c r="FN198" i="90" s="1"/>
  <c r="CW198" i="90" s="1"/>
  <c r="AH198" i="56" s="1"/>
  <c r="CN199" i="90"/>
  <c r="DL199" i="90" s="1"/>
  <c r="FN199" i="90" s="1"/>
  <c r="CW199" i="90" s="1"/>
  <c r="AH199" i="56" s="1"/>
  <c r="CN75" i="90"/>
  <c r="DL75" i="90" s="1"/>
  <c r="FN75" i="90" s="1"/>
  <c r="CW75" i="90" s="1"/>
  <c r="AH75" i="56" s="1"/>
  <c r="CN76" i="90"/>
  <c r="DL76" i="90" s="1"/>
  <c r="FN76" i="90" s="1"/>
  <c r="CW76" i="90" s="1"/>
  <c r="AH76" i="56" s="1"/>
  <c r="CN82" i="90"/>
  <c r="DL82" i="90" s="1"/>
  <c r="FN82" i="90" s="1"/>
  <c r="CW82" i="90" s="1"/>
  <c r="AH82" i="56" s="1"/>
  <c r="CN83" i="90"/>
  <c r="DL83" i="90" s="1"/>
  <c r="FN83" i="90" s="1"/>
  <c r="CW83" i="90" s="1"/>
  <c r="AH83" i="56" s="1"/>
  <c r="CN84" i="90"/>
  <c r="DL84" i="90" s="1"/>
  <c r="FN84" i="90" s="1"/>
  <c r="CW84" i="90" s="1"/>
  <c r="AH84" i="56" s="1"/>
  <c r="CN85" i="90"/>
  <c r="DL85" i="90" s="1"/>
  <c r="FN85" i="90" s="1"/>
  <c r="CW85" i="90" s="1"/>
  <c r="AH85" i="56" s="1"/>
  <c r="CN86" i="90"/>
  <c r="DL86" i="90" s="1"/>
  <c r="FN86" i="90" s="1"/>
  <c r="CW86" i="90" s="1"/>
  <c r="AH86" i="56" s="1"/>
  <c r="CN64" i="90"/>
  <c r="DL64" i="90" s="1"/>
  <c r="FN64" i="90" s="1"/>
  <c r="CW64" i="90" s="1"/>
  <c r="AH64" i="56" s="1"/>
  <c r="CN65" i="90"/>
  <c r="DL65" i="90" s="1"/>
  <c r="FN65" i="90" s="1"/>
  <c r="CW65" i="90" s="1"/>
  <c r="AH65" i="56" s="1"/>
  <c r="CN69" i="90"/>
  <c r="DL69" i="90" s="1"/>
  <c r="FN69" i="90" s="1"/>
  <c r="CW69" i="90" s="1"/>
  <c r="AH69" i="56" s="1"/>
  <c r="CN70" i="90"/>
  <c r="DL70" i="90" s="1"/>
  <c r="FN70" i="90" s="1"/>
  <c r="CW70" i="90" s="1"/>
  <c r="AH70" i="56" s="1"/>
  <c r="CN71" i="90"/>
  <c r="DL71" i="90" s="1"/>
  <c r="FN71" i="90" s="1"/>
  <c r="CW71" i="90" s="1"/>
  <c r="AH71" i="56" s="1"/>
  <c r="CN72" i="90"/>
  <c r="DL72" i="90" s="1"/>
  <c r="FN72" i="90" s="1"/>
  <c r="CW72" i="90" s="1"/>
  <c r="AH72" i="56" s="1"/>
  <c r="CN87" i="90"/>
  <c r="DL87" i="90" s="1"/>
  <c r="FN87" i="90" s="1"/>
  <c r="CW87" i="90" s="1"/>
  <c r="AH87" i="56" s="1"/>
  <c r="CN55" i="90"/>
  <c r="DL55" i="90" s="1"/>
  <c r="FN55" i="90" s="1"/>
  <c r="CW55" i="90" s="1"/>
  <c r="AH55" i="56" s="1"/>
  <c r="CN57" i="90"/>
  <c r="DL57" i="90" s="1"/>
  <c r="FN57" i="90" s="1"/>
  <c r="CW57" i="90" s="1"/>
  <c r="AH57" i="56" s="1"/>
  <c r="CN59" i="90"/>
  <c r="DL59" i="90" s="1"/>
  <c r="FN59" i="90" s="1"/>
  <c r="CW59" i="90" s="1"/>
  <c r="AH59" i="56" s="1"/>
  <c r="CN60" i="90"/>
  <c r="DL60" i="90" s="1"/>
  <c r="FN60" i="90" s="1"/>
  <c r="CW60" i="90" s="1"/>
  <c r="AH60" i="56" s="1"/>
  <c r="CN56" i="90"/>
  <c r="DL56" i="90" s="1"/>
  <c r="FN56" i="90" s="1"/>
  <c r="CW56" i="90" s="1"/>
  <c r="AH56" i="56" s="1"/>
  <c r="CN58" i="90"/>
  <c r="DL58" i="90" s="1"/>
  <c r="FN58" i="90" s="1"/>
  <c r="CW58" i="90" s="1"/>
  <c r="AH58" i="56" s="1"/>
  <c r="CM45" i="90"/>
  <c r="AH259" i="44"/>
  <c r="AH206" i="44"/>
  <c r="AH124" i="44"/>
  <c r="AH123" i="44"/>
  <c r="AH207" i="44"/>
  <c r="AI186" i="44"/>
  <c r="AI188" i="44"/>
  <c r="AI99" i="44"/>
  <c r="AI84" i="44"/>
  <c r="AI110" i="41"/>
  <c r="AI85" i="44"/>
  <c r="AI90" i="44"/>
  <c r="AI96" i="44"/>
  <c r="AI89" i="44"/>
  <c r="AI137" i="44" s="1"/>
  <c r="AI136" i="44"/>
  <c r="AI87" i="44"/>
  <c r="AI109" i="41"/>
  <c r="AI86" i="44"/>
  <c r="AI108" i="41"/>
  <c r="AH126" i="44"/>
  <c r="AH260" i="44"/>
  <c r="AH125" i="44"/>
  <c r="AJ39" i="93"/>
  <c r="AJ85" i="41"/>
  <c r="CN395" i="90"/>
  <c r="DL395" i="90" s="1"/>
  <c r="FN395" i="90" s="1"/>
  <c r="CW395" i="90" s="1"/>
  <c r="AH395" i="56" s="1"/>
  <c r="CN391" i="90"/>
  <c r="DL391" i="90" s="1"/>
  <c r="FN391" i="90" s="1"/>
  <c r="CW391" i="90" s="1"/>
  <c r="AH391" i="56" s="1"/>
  <c r="CN387" i="90"/>
  <c r="DL387" i="90" s="1"/>
  <c r="FN387" i="90" s="1"/>
  <c r="CW387" i="90" s="1"/>
  <c r="AH387" i="56" s="1"/>
  <c r="CN383" i="90"/>
  <c r="DL383" i="90" s="1"/>
  <c r="FN383" i="90" s="1"/>
  <c r="CW383" i="90" s="1"/>
  <c r="AH383" i="56" s="1"/>
  <c r="CN379" i="90"/>
  <c r="DL379" i="90" s="1"/>
  <c r="FN379" i="90" s="1"/>
  <c r="CW379" i="90" s="1"/>
  <c r="AH379" i="56" s="1"/>
  <c r="CN375" i="90"/>
  <c r="DL375" i="90" s="1"/>
  <c r="FN375" i="90" s="1"/>
  <c r="CW375" i="90" s="1"/>
  <c r="AH375" i="56" s="1"/>
  <c r="CN371" i="90"/>
  <c r="DL371" i="90" s="1"/>
  <c r="FN371" i="90" s="1"/>
  <c r="CW371" i="90" s="1"/>
  <c r="AH371" i="56" s="1"/>
  <c r="CN367" i="90"/>
  <c r="DL367" i="90" s="1"/>
  <c r="FN367" i="90" s="1"/>
  <c r="CW367" i="90" s="1"/>
  <c r="AH367" i="56" s="1"/>
  <c r="CN338" i="90"/>
  <c r="DL338" i="90" s="1"/>
  <c r="FN338" i="90" s="1"/>
  <c r="CW338" i="90" s="1"/>
  <c r="AH338" i="56" s="1"/>
  <c r="CN334" i="90"/>
  <c r="DL334" i="90" s="1"/>
  <c r="FN334" i="90" s="1"/>
  <c r="CW334" i="90" s="1"/>
  <c r="AH334" i="56" s="1"/>
  <c r="CN330" i="90"/>
  <c r="DL330" i="90" s="1"/>
  <c r="FN330" i="90" s="1"/>
  <c r="CW330" i="90" s="1"/>
  <c r="AH330" i="56" s="1"/>
  <c r="CN326" i="90"/>
  <c r="DL326" i="90" s="1"/>
  <c r="FN326" i="90" s="1"/>
  <c r="CW326" i="90" s="1"/>
  <c r="AH326" i="56" s="1"/>
  <c r="CN322" i="90"/>
  <c r="DL322" i="90" s="1"/>
  <c r="FN322" i="90" s="1"/>
  <c r="CW322" i="90" s="1"/>
  <c r="AH322" i="56" s="1"/>
  <c r="CN318" i="90"/>
  <c r="DL318" i="90" s="1"/>
  <c r="FN318" i="90" s="1"/>
  <c r="CW318" i="90" s="1"/>
  <c r="AH318" i="56" s="1"/>
  <c r="CN314" i="90"/>
  <c r="DL314" i="90" s="1"/>
  <c r="FN314" i="90" s="1"/>
  <c r="CW314" i="90" s="1"/>
  <c r="AH314" i="56" s="1"/>
  <c r="CN310" i="90"/>
  <c r="DL310" i="90" s="1"/>
  <c r="FN310" i="90" s="1"/>
  <c r="CW310" i="90" s="1"/>
  <c r="AH310" i="56" s="1"/>
  <c r="CN394" i="90"/>
  <c r="DL394" i="90" s="1"/>
  <c r="FN394" i="90" s="1"/>
  <c r="CW394" i="90" s="1"/>
  <c r="AH394" i="56" s="1"/>
  <c r="CN390" i="90"/>
  <c r="DL390" i="90" s="1"/>
  <c r="FN390" i="90" s="1"/>
  <c r="CW390" i="90" s="1"/>
  <c r="AH390" i="56" s="1"/>
  <c r="CN386" i="90"/>
  <c r="DL386" i="90" s="1"/>
  <c r="FN386" i="90" s="1"/>
  <c r="CW386" i="90" s="1"/>
  <c r="AH386" i="56" s="1"/>
  <c r="CN382" i="90"/>
  <c r="DL382" i="90" s="1"/>
  <c r="FN382" i="90" s="1"/>
  <c r="CW382" i="90" s="1"/>
  <c r="AH382" i="56" s="1"/>
  <c r="CN378" i="90"/>
  <c r="DL378" i="90" s="1"/>
  <c r="FN378" i="90" s="1"/>
  <c r="CW378" i="90" s="1"/>
  <c r="AH378" i="56" s="1"/>
  <c r="CN374" i="90"/>
  <c r="DL374" i="90" s="1"/>
  <c r="FN374" i="90" s="1"/>
  <c r="CW374" i="90" s="1"/>
  <c r="AH374" i="56" s="1"/>
  <c r="CN370" i="90"/>
  <c r="DL370" i="90" s="1"/>
  <c r="FN370" i="90" s="1"/>
  <c r="CW370" i="90" s="1"/>
  <c r="AH370" i="56" s="1"/>
  <c r="CN366" i="90"/>
  <c r="DL366" i="90" s="1"/>
  <c r="FN366" i="90" s="1"/>
  <c r="CW366" i="90" s="1"/>
  <c r="AH366" i="56" s="1"/>
  <c r="CN337" i="90"/>
  <c r="DL337" i="90" s="1"/>
  <c r="FN337" i="90" s="1"/>
  <c r="CW337" i="90" s="1"/>
  <c r="AH337" i="56" s="1"/>
  <c r="CN333" i="90"/>
  <c r="DL333" i="90" s="1"/>
  <c r="FN333" i="90" s="1"/>
  <c r="CW333" i="90" s="1"/>
  <c r="AH333" i="56" s="1"/>
  <c r="CN329" i="90"/>
  <c r="DL329" i="90" s="1"/>
  <c r="FN329" i="90" s="1"/>
  <c r="CW329" i="90" s="1"/>
  <c r="AH329" i="56" s="1"/>
  <c r="CN325" i="90"/>
  <c r="DL325" i="90" s="1"/>
  <c r="FN325" i="90" s="1"/>
  <c r="CW325" i="90" s="1"/>
  <c r="AH325" i="56" s="1"/>
  <c r="CN321" i="90"/>
  <c r="DL321" i="90" s="1"/>
  <c r="FN321" i="90" s="1"/>
  <c r="CW321" i="90" s="1"/>
  <c r="AH321" i="56" s="1"/>
  <c r="CN317" i="90"/>
  <c r="DL317" i="90" s="1"/>
  <c r="FN317" i="90" s="1"/>
  <c r="CW317" i="90" s="1"/>
  <c r="AH317" i="56" s="1"/>
  <c r="CN313" i="90"/>
  <c r="DL313" i="90" s="1"/>
  <c r="FN313" i="90" s="1"/>
  <c r="CW313" i="90" s="1"/>
  <c r="AH313" i="56" s="1"/>
  <c r="CN309" i="90"/>
  <c r="DL309" i="90" s="1"/>
  <c r="FN309" i="90" s="1"/>
  <c r="CW309" i="90" s="1"/>
  <c r="AH309" i="56" s="1"/>
  <c r="CN396" i="90"/>
  <c r="DL396" i="90" s="1"/>
  <c r="FN396" i="90" s="1"/>
  <c r="CW396" i="90" s="1"/>
  <c r="AH396" i="56" s="1"/>
  <c r="CN392" i="90"/>
  <c r="DL392" i="90" s="1"/>
  <c r="FN392" i="90" s="1"/>
  <c r="CW392" i="90" s="1"/>
  <c r="AH392" i="56" s="1"/>
  <c r="CN388" i="90"/>
  <c r="DL388" i="90" s="1"/>
  <c r="FN388" i="90" s="1"/>
  <c r="CW388" i="90" s="1"/>
  <c r="AH388" i="56" s="1"/>
  <c r="CN384" i="90"/>
  <c r="DL384" i="90" s="1"/>
  <c r="FN384" i="90" s="1"/>
  <c r="CW384" i="90" s="1"/>
  <c r="AH384" i="56" s="1"/>
  <c r="CN380" i="90"/>
  <c r="DL380" i="90" s="1"/>
  <c r="FN380" i="90" s="1"/>
  <c r="CW380" i="90" s="1"/>
  <c r="AH380" i="56" s="1"/>
  <c r="CN376" i="90"/>
  <c r="DL376" i="90" s="1"/>
  <c r="FN376" i="90" s="1"/>
  <c r="CW376" i="90" s="1"/>
  <c r="AH376" i="56" s="1"/>
  <c r="CN372" i="90"/>
  <c r="DL372" i="90" s="1"/>
  <c r="FN372" i="90" s="1"/>
  <c r="CW372" i="90" s="1"/>
  <c r="AH372" i="56" s="1"/>
  <c r="CN368" i="90"/>
  <c r="DL368" i="90" s="1"/>
  <c r="FN368" i="90" s="1"/>
  <c r="CW368" i="90" s="1"/>
  <c r="AH368" i="56" s="1"/>
  <c r="CN339" i="90"/>
  <c r="DL339" i="90" s="1"/>
  <c r="FN339" i="90" s="1"/>
  <c r="CW339" i="90" s="1"/>
  <c r="AH339" i="56" s="1"/>
  <c r="CN335" i="90"/>
  <c r="DL335" i="90" s="1"/>
  <c r="FN335" i="90" s="1"/>
  <c r="CW335" i="90" s="1"/>
  <c r="AH335" i="56" s="1"/>
  <c r="CN331" i="90"/>
  <c r="DL331" i="90" s="1"/>
  <c r="FN331" i="90" s="1"/>
  <c r="CW331" i="90" s="1"/>
  <c r="AH331" i="56" s="1"/>
  <c r="CN327" i="90"/>
  <c r="DL327" i="90" s="1"/>
  <c r="FN327" i="90" s="1"/>
  <c r="CW327" i="90" s="1"/>
  <c r="AH327" i="56" s="1"/>
  <c r="CN323" i="90"/>
  <c r="DL323" i="90" s="1"/>
  <c r="FN323" i="90" s="1"/>
  <c r="CW323" i="90" s="1"/>
  <c r="AH323" i="56" s="1"/>
  <c r="CN319" i="90"/>
  <c r="DL319" i="90" s="1"/>
  <c r="FN319" i="90" s="1"/>
  <c r="CW319" i="90" s="1"/>
  <c r="AH319" i="56" s="1"/>
  <c r="CN315" i="90"/>
  <c r="DL315" i="90" s="1"/>
  <c r="FN315" i="90" s="1"/>
  <c r="CW315" i="90" s="1"/>
  <c r="AH315" i="56" s="1"/>
  <c r="CN311" i="90"/>
  <c r="DL311" i="90" s="1"/>
  <c r="FN311" i="90" s="1"/>
  <c r="CW311" i="90" s="1"/>
  <c r="AH311" i="56" s="1"/>
  <c r="CN393" i="90"/>
  <c r="DL393" i="90" s="1"/>
  <c r="FN393" i="90" s="1"/>
  <c r="CW393" i="90" s="1"/>
  <c r="AH393" i="56" s="1"/>
  <c r="CN336" i="90"/>
  <c r="DL336" i="90" s="1"/>
  <c r="FN336" i="90" s="1"/>
  <c r="CW336" i="90" s="1"/>
  <c r="AH336" i="56" s="1"/>
  <c r="CN245" i="90"/>
  <c r="DL245" i="90" s="1"/>
  <c r="FN245" i="90" s="1"/>
  <c r="CW245" i="90" s="1"/>
  <c r="AH245" i="56" s="1"/>
  <c r="CN241" i="90"/>
  <c r="DL241" i="90" s="1"/>
  <c r="FN241" i="90" s="1"/>
  <c r="CW241" i="90" s="1"/>
  <c r="AH241" i="56" s="1"/>
  <c r="CN237" i="90"/>
  <c r="DL237" i="90" s="1"/>
  <c r="FN237" i="90" s="1"/>
  <c r="CW237" i="90" s="1"/>
  <c r="AH237" i="56" s="1"/>
  <c r="CN51" i="90"/>
  <c r="DL51" i="90" s="1"/>
  <c r="FN51" i="90" s="1"/>
  <c r="CW51" i="90" s="1"/>
  <c r="AH51" i="56" s="1"/>
  <c r="CN47" i="90"/>
  <c r="DL47" i="90" s="1"/>
  <c r="FN47" i="90" s="1"/>
  <c r="CW47" i="90" s="1"/>
  <c r="AH47" i="56" s="1"/>
  <c r="CN365" i="90"/>
  <c r="DL365" i="90" s="1"/>
  <c r="FN365" i="90" s="1"/>
  <c r="CW365" i="90" s="1"/>
  <c r="AH365" i="56" s="1"/>
  <c r="CN369" i="90"/>
  <c r="DL369" i="90" s="1"/>
  <c r="FN369" i="90" s="1"/>
  <c r="CW369" i="90" s="1"/>
  <c r="AH369" i="56" s="1"/>
  <c r="CN312" i="90"/>
  <c r="DL312" i="90" s="1"/>
  <c r="FN312" i="90" s="1"/>
  <c r="CW312" i="90" s="1"/>
  <c r="AH312" i="56" s="1"/>
  <c r="CN248" i="90"/>
  <c r="DL248" i="90" s="1"/>
  <c r="FN248" i="90" s="1"/>
  <c r="CW248" i="90" s="1"/>
  <c r="AH248" i="56" s="1"/>
  <c r="CN244" i="90"/>
  <c r="DL244" i="90" s="1"/>
  <c r="FN244" i="90" s="1"/>
  <c r="CW244" i="90" s="1"/>
  <c r="AH244" i="56" s="1"/>
  <c r="CN240" i="90"/>
  <c r="DL240" i="90" s="1"/>
  <c r="FN240" i="90" s="1"/>
  <c r="CW240" i="90" s="1"/>
  <c r="AH240" i="56" s="1"/>
  <c r="CN54" i="90"/>
  <c r="DL54" i="90" s="1"/>
  <c r="FN54" i="90" s="1"/>
  <c r="CW54" i="90" s="1"/>
  <c r="AH54" i="56" s="1"/>
  <c r="CN50" i="90"/>
  <c r="DL50" i="90" s="1"/>
  <c r="FN50" i="90" s="1"/>
  <c r="CW50" i="90" s="1"/>
  <c r="AH50" i="56" s="1"/>
  <c r="CN46" i="90"/>
  <c r="CN377" i="90"/>
  <c r="DL377" i="90" s="1"/>
  <c r="FN377" i="90" s="1"/>
  <c r="CW377" i="90" s="1"/>
  <c r="AH377" i="56" s="1"/>
  <c r="CN320" i="90"/>
  <c r="DL320" i="90" s="1"/>
  <c r="FN320" i="90" s="1"/>
  <c r="CW320" i="90" s="1"/>
  <c r="AH320" i="56" s="1"/>
  <c r="CN373" i="90"/>
  <c r="DL373" i="90" s="1"/>
  <c r="FN373" i="90" s="1"/>
  <c r="CW373" i="90" s="1"/>
  <c r="AH373" i="56" s="1"/>
  <c r="CN316" i="90"/>
  <c r="DL316" i="90" s="1"/>
  <c r="FN316" i="90" s="1"/>
  <c r="CW316" i="90" s="1"/>
  <c r="AH316" i="56" s="1"/>
  <c r="CN385" i="90"/>
  <c r="DL385" i="90" s="1"/>
  <c r="FN385" i="90" s="1"/>
  <c r="CW385" i="90" s="1"/>
  <c r="AH385" i="56" s="1"/>
  <c r="CN328" i="90"/>
  <c r="DL328" i="90" s="1"/>
  <c r="FN328" i="90" s="1"/>
  <c r="CW328" i="90" s="1"/>
  <c r="AH328" i="56" s="1"/>
  <c r="CN246" i="90"/>
  <c r="DL246" i="90" s="1"/>
  <c r="FN246" i="90" s="1"/>
  <c r="CW246" i="90" s="1"/>
  <c r="AH246" i="56" s="1"/>
  <c r="CN242" i="90"/>
  <c r="DL242" i="90" s="1"/>
  <c r="FN242" i="90" s="1"/>
  <c r="CW242" i="90" s="1"/>
  <c r="AH242" i="56" s="1"/>
  <c r="CN238" i="90"/>
  <c r="DL238" i="90" s="1"/>
  <c r="FN238" i="90" s="1"/>
  <c r="CW238" i="90" s="1"/>
  <c r="AH238" i="56" s="1"/>
  <c r="CN62" i="90"/>
  <c r="DL62" i="90" s="1"/>
  <c r="FN62" i="90" s="1"/>
  <c r="CW62" i="90" s="1"/>
  <c r="AH62" i="56" s="1"/>
  <c r="CN52" i="90"/>
  <c r="DL52" i="90" s="1"/>
  <c r="FN52" i="90" s="1"/>
  <c r="CW52" i="90" s="1"/>
  <c r="AH52" i="56" s="1"/>
  <c r="CN48" i="90"/>
  <c r="DL48" i="90" s="1"/>
  <c r="FN48" i="90" s="1"/>
  <c r="CW48" i="90" s="1"/>
  <c r="AH48" i="56" s="1"/>
  <c r="CN243" i="90"/>
  <c r="DL243" i="90" s="1"/>
  <c r="FN243" i="90" s="1"/>
  <c r="CW243" i="90" s="1"/>
  <c r="AH243" i="56" s="1"/>
  <c r="CN389" i="90"/>
  <c r="DL389" i="90" s="1"/>
  <c r="FN389" i="90" s="1"/>
  <c r="CW389" i="90" s="1"/>
  <c r="AH389" i="56" s="1"/>
  <c r="CN324" i="90"/>
  <c r="DL324" i="90" s="1"/>
  <c r="FN324" i="90" s="1"/>
  <c r="CW324" i="90" s="1"/>
  <c r="AH324" i="56" s="1"/>
  <c r="CN247" i="90"/>
  <c r="DL247" i="90" s="1"/>
  <c r="FN247" i="90" s="1"/>
  <c r="CW247" i="90" s="1"/>
  <c r="AH247" i="56" s="1"/>
  <c r="CN53" i="90"/>
  <c r="DL53" i="90" s="1"/>
  <c r="FN53" i="90" s="1"/>
  <c r="CW53" i="90" s="1"/>
  <c r="AH53" i="56" s="1"/>
  <c r="CN332" i="90"/>
  <c r="DL332" i="90" s="1"/>
  <c r="FN332" i="90" s="1"/>
  <c r="CW332" i="90" s="1"/>
  <c r="AH332" i="56" s="1"/>
  <c r="CN49" i="90"/>
  <c r="DL49" i="90" s="1"/>
  <c r="FN49" i="90" s="1"/>
  <c r="CW49" i="90" s="1"/>
  <c r="AH49" i="56" s="1"/>
  <c r="CN381" i="90"/>
  <c r="DL381" i="90" s="1"/>
  <c r="FN381" i="90" s="1"/>
  <c r="CW381" i="90" s="1"/>
  <c r="AH381" i="56" s="1"/>
  <c r="CN63" i="90"/>
  <c r="DL63" i="90" s="1"/>
  <c r="FN63" i="90" s="1"/>
  <c r="CW63" i="90" s="1"/>
  <c r="AH63" i="56" s="1"/>
  <c r="CN239" i="90"/>
  <c r="DL239" i="90" s="1"/>
  <c r="FN239" i="90" s="1"/>
  <c r="CW239" i="90" s="1"/>
  <c r="AH239" i="56" s="1"/>
  <c r="AH258" i="44"/>
  <c r="AH139" i="44"/>
  <c r="AE112" i="41"/>
  <c r="AE168" i="44"/>
  <c r="CV45" i="90"/>
  <c r="AF19" i="56"/>
  <c r="AJ83" i="44" l="1"/>
  <c r="AJ309" i="44"/>
  <c r="AJ311" i="44"/>
  <c r="AJ274" i="44"/>
  <c r="AJ310" i="44"/>
  <c r="AI277" i="44"/>
  <c r="AI209" i="44"/>
  <c r="AI123" i="44"/>
  <c r="AI207" i="44"/>
  <c r="AI259" i="44"/>
  <c r="AI206" i="44"/>
  <c r="AI124" i="44"/>
  <c r="AI126" i="44"/>
  <c r="AI258" i="44"/>
  <c r="AI139" i="44"/>
  <c r="AI125" i="44"/>
  <c r="AI260" i="44"/>
  <c r="CN45" i="90"/>
  <c r="DL46" i="90"/>
  <c r="AJ186" i="44"/>
  <c r="AJ188" i="44"/>
  <c r="AJ99" i="44"/>
  <c r="AJ84" i="44"/>
  <c r="AJ110" i="41"/>
  <c r="AJ85" i="44"/>
  <c r="AJ89" i="44"/>
  <c r="AJ137" i="44" s="1"/>
  <c r="AJ90" i="44"/>
  <c r="AJ96" i="44"/>
  <c r="AJ136" i="44"/>
  <c r="AJ87" i="44"/>
  <c r="AJ109" i="41"/>
  <c r="AJ86" i="44"/>
  <c r="AJ108" i="41"/>
  <c r="Y107" i="44"/>
  <c r="Y174" i="44"/>
  <c r="CY45" i="90"/>
  <c r="AJ45" i="56"/>
  <c r="AJ19" i="56" s="1"/>
  <c r="AJ277" i="44" l="1"/>
  <c r="AJ209" i="44"/>
  <c r="Y109" i="44"/>
  <c r="DL45" i="90"/>
  <c r="FN46" i="90"/>
  <c r="AJ123" i="44"/>
  <c r="AJ207" i="44"/>
  <c r="AJ206" i="44"/>
  <c r="AJ124" i="44"/>
  <c r="AJ259" i="44"/>
  <c r="AJ260" i="44"/>
  <c r="AJ125" i="44"/>
  <c r="AJ258" i="44"/>
  <c r="AJ139" i="44"/>
  <c r="AJ126" i="44"/>
  <c r="AJ112" i="41"/>
  <c r="AJ168" i="44"/>
  <c r="Y211" i="44"/>
  <c r="Y129" i="44"/>
  <c r="AF112" i="41"/>
  <c r="AF168" i="44"/>
  <c r="Y41" i="44" l="1"/>
  <c r="Y132" i="44" s="1"/>
  <c r="Y208" i="44" s="1"/>
  <c r="Y215" i="44" s="1"/>
  <c r="Y141" i="44"/>
  <c r="Y248" i="44"/>
  <c r="FN45" i="90"/>
  <c r="CW46" i="90"/>
  <c r="Y257" i="44"/>
  <c r="Y111" i="44"/>
  <c r="Y247" i="44" l="1"/>
  <c r="Y253" i="44" s="1"/>
  <c r="Y254" i="44" s="1"/>
  <c r="P58" i="114" s="1"/>
  <c r="Y229" i="44"/>
  <c r="Y234" i="44" s="1"/>
  <c r="Y235" i="44" s="1"/>
  <c r="P54" i="114" s="1"/>
  <c r="Y220" i="44"/>
  <c r="Y225" i="44" s="1"/>
  <c r="G101" i="98" s="1"/>
  <c r="Y256" i="44"/>
  <c r="Y262" i="44" s="1"/>
  <c r="Y263" i="44" s="1"/>
  <c r="P59" i="114" s="1"/>
  <c r="Y133" i="44"/>
  <c r="Y143" i="44" s="1"/>
  <c r="AH46" i="56"/>
  <c r="AH45" i="56" s="1"/>
  <c r="AH19" i="56" s="1"/>
  <c r="CW45" i="90"/>
  <c r="Y226" i="44" l="1"/>
  <c r="P53" i="114" s="1"/>
  <c r="Y156" i="44"/>
  <c r="Y157" i="44" s="1"/>
  <c r="Z155" i="44" s="1"/>
  <c r="Z187" i="44" s="1"/>
  <c r="G105" i="98"/>
  <c r="AH168" i="44"/>
  <c r="AH112" i="41"/>
  <c r="Y160" i="44" l="1"/>
  <c r="Y161" i="44" s="1"/>
  <c r="Z159" i="44" s="1"/>
  <c r="Z192" i="44" s="1"/>
  <c r="Z61" i="44" s="1"/>
  <c r="Z194" i="44" s="1"/>
  <c r="Z251" i="44"/>
  <c r="Z189" i="44"/>
  <c r="Z232" i="44"/>
  <c r="Z241" i="44"/>
  <c r="Z195" i="44" l="1"/>
  <c r="Z240" i="44"/>
  <c r="Z244" i="44" s="1"/>
  <c r="Z245" i="44" s="1"/>
  <c r="Q57" i="114" s="1"/>
  <c r="Z230" i="44"/>
  <c r="Z249" i="44"/>
  <c r="Z88" i="44"/>
  <c r="Z130" i="44"/>
  <c r="Z212" i="44"/>
  <c r="Z222" i="44" s="1"/>
  <c r="AB53" i="86"/>
  <c r="AA53" i="86"/>
  <c r="Z98" i="44" l="1"/>
  <c r="Z131" i="44"/>
  <c r="Z167" i="44"/>
  <c r="Z213" i="44"/>
  <c r="Z221" i="44" s="1"/>
  <c r="Z223" i="44" s="1"/>
  <c r="Z92" i="44"/>
  <c r="Z165" i="44"/>
  <c r="AA76" i="86"/>
  <c r="I111" i="98" s="1"/>
  <c r="I121" i="98" s="1"/>
  <c r="I133" i="98"/>
  <c r="AB76" i="86"/>
  <c r="J111" i="98" s="1"/>
  <c r="J133" i="98"/>
  <c r="AC53" i="86"/>
  <c r="J140" i="98" l="1"/>
  <c r="J143" i="98" s="1"/>
  <c r="J112" i="98"/>
  <c r="J113" i="98" s="1"/>
  <c r="J121" i="98"/>
  <c r="AC76" i="86"/>
  <c r="K111" i="98" s="1"/>
  <c r="K121" i="98" s="1"/>
  <c r="K133" i="98"/>
  <c r="I140" i="98"/>
  <c r="AD53" i="86"/>
  <c r="AB86" i="86"/>
  <c r="AA86" i="86"/>
  <c r="K140" i="98" l="1"/>
  <c r="K143" i="98" s="1"/>
  <c r="J172" i="98"/>
  <c r="J122" i="98"/>
  <c r="J123" i="98" s="1"/>
  <c r="I150" i="98"/>
  <c r="I148" i="98"/>
  <c r="I144" i="98"/>
  <c r="I147" i="98"/>
  <c r="I146" i="98"/>
  <c r="I145" i="98"/>
  <c r="I149" i="98"/>
  <c r="K112" i="98"/>
  <c r="K113" i="98" s="1"/>
  <c r="K122" i="98"/>
  <c r="K123" i="98" s="1"/>
  <c r="AD76" i="86"/>
  <c r="L111" i="98" s="1"/>
  <c r="L133" i="98"/>
  <c r="I172" i="98"/>
  <c r="I143" i="98"/>
  <c r="J146" i="98"/>
  <c r="J145" i="98"/>
  <c r="J150" i="98"/>
  <c r="J148" i="98"/>
  <c r="J149" i="98"/>
  <c r="J144" i="98"/>
  <c r="J147" i="98"/>
  <c r="AA87" i="86"/>
  <c r="I127" i="98"/>
  <c r="I170" i="98"/>
  <c r="I128" i="98"/>
  <c r="J127" i="98"/>
  <c r="J170" i="98"/>
  <c r="J128" i="98"/>
  <c r="AB87" i="86"/>
  <c r="AE53" i="86"/>
  <c r="AG15" i="42"/>
  <c r="AC86" i="86"/>
  <c r="AF15" i="42"/>
  <c r="AA43" i="12"/>
  <c r="AB43" i="12"/>
  <c r="K172" i="98" l="1"/>
  <c r="L112" i="98"/>
  <c r="L113" i="98" s="1"/>
  <c r="L121" i="98"/>
  <c r="AE76" i="86"/>
  <c r="M111" i="98" s="1"/>
  <c r="M133" i="98"/>
  <c r="L140" i="98"/>
  <c r="L143" i="98" s="1"/>
  <c r="K146" i="98"/>
  <c r="K145" i="98"/>
  <c r="K150" i="98"/>
  <c r="K147" i="98"/>
  <c r="K144" i="98"/>
  <c r="K148" i="98"/>
  <c r="K149" i="98"/>
  <c r="J129" i="98"/>
  <c r="K127" i="98"/>
  <c r="K170" i="98"/>
  <c r="K128" i="98"/>
  <c r="I129" i="98"/>
  <c r="AA95" i="44"/>
  <c r="AB95" i="44"/>
  <c r="AH15" i="42"/>
  <c r="AC87" i="86"/>
  <c r="AF53" i="86"/>
  <c r="N133" i="98" s="1"/>
  <c r="AA15" i="41"/>
  <c r="AC43" i="12"/>
  <c r="AB15" i="41"/>
  <c r="AD86" i="86"/>
  <c r="AB128" i="44" l="1"/>
  <c r="AB278" i="44"/>
  <c r="AA128" i="44"/>
  <c r="AA278" i="44"/>
  <c r="L146" i="98"/>
  <c r="L149" i="98"/>
  <c r="L150" i="98"/>
  <c r="L144" i="98"/>
  <c r="L147" i="98"/>
  <c r="L148" i="98"/>
  <c r="L145" i="98"/>
  <c r="M140" i="98"/>
  <c r="N140" i="98"/>
  <c r="N143" i="98" s="1"/>
  <c r="M112" i="98"/>
  <c r="M113" i="98" s="1"/>
  <c r="M121" i="98"/>
  <c r="L172" i="98"/>
  <c r="L122" i="98"/>
  <c r="L123" i="98" s="1"/>
  <c r="K129" i="98"/>
  <c r="L127" i="98"/>
  <c r="L170" i="98"/>
  <c r="L128" i="98"/>
  <c r="AC95" i="44"/>
  <c r="AD87" i="86"/>
  <c r="AG53" i="86"/>
  <c r="O133" i="98" s="1"/>
  <c r="AI15" i="42"/>
  <c r="AC15" i="41"/>
  <c r="AE86" i="86"/>
  <c r="AD43" i="12"/>
  <c r="AB98" i="41"/>
  <c r="AB107" i="41" s="1"/>
  <c r="AB102" i="41"/>
  <c r="AB111" i="41" s="1"/>
  <c r="AA98" i="41"/>
  <c r="AA107" i="41" s="1"/>
  <c r="AA102" i="41"/>
  <c r="AA111" i="41" s="1"/>
  <c r="AF76" i="86"/>
  <c r="N111" i="98" s="1"/>
  <c r="AC128" i="44" l="1"/>
  <c r="AC278" i="44"/>
  <c r="O140" i="98"/>
  <c r="O143" i="98" s="1"/>
  <c r="M148" i="98"/>
  <c r="M150" i="98"/>
  <c r="M147" i="98"/>
  <c r="M145" i="98"/>
  <c r="M144" i="98"/>
  <c r="M149" i="98"/>
  <c r="M146" i="98"/>
  <c r="M172" i="98"/>
  <c r="M122" i="98"/>
  <c r="M123" i="98" s="1"/>
  <c r="N149" i="98"/>
  <c r="N150" i="98"/>
  <c r="N145" i="98"/>
  <c r="N146" i="98"/>
  <c r="N147" i="98"/>
  <c r="N144" i="98"/>
  <c r="N148" i="98"/>
  <c r="N112" i="98"/>
  <c r="N113" i="98" s="1"/>
  <c r="N121" i="98"/>
  <c r="M143" i="98"/>
  <c r="M127" i="98"/>
  <c r="M170" i="98"/>
  <c r="M128" i="98"/>
  <c r="L129" i="98"/>
  <c r="AD95" i="44"/>
  <c r="AE87" i="86"/>
  <c r="AH53" i="86"/>
  <c r="P133" i="98" s="1"/>
  <c r="AJ15" i="42"/>
  <c r="AV15" i="42" s="1"/>
  <c r="AG76" i="86"/>
  <c r="O111" i="98" s="1"/>
  <c r="AF86" i="86"/>
  <c r="AA210" i="44"/>
  <c r="AA166" i="44"/>
  <c r="AC102" i="41"/>
  <c r="AC111" i="41" s="1"/>
  <c r="AC98" i="41"/>
  <c r="AC107" i="41" s="1"/>
  <c r="AB210" i="44"/>
  <c r="AB166" i="44"/>
  <c r="AE43" i="12"/>
  <c r="AD15" i="41"/>
  <c r="AA116" i="41"/>
  <c r="AA117" i="41" s="1"/>
  <c r="AD128" i="44" l="1"/>
  <c r="AD278" i="44"/>
  <c r="P140" i="98"/>
  <c r="P143" i="98" s="1"/>
  <c r="N172" i="98"/>
  <c r="N122" i="98"/>
  <c r="N123" i="98" s="1"/>
  <c r="O112" i="98"/>
  <c r="O113" i="98" s="1"/>
  <c r="O121" i="98"/>
  <c r="O149" i="98"/>
  <c r="O148" i="98"/>
  <c r="O150" i="98"/>
  <c r="O147" i="98"/>
  <c r="O145" i="98"/>
  <c r="O144" i="98"/>
  <c r="O146" i="98"/>
  <c r="N127" i="98"/>
  <c r="N170" i="98"/>
  <c r="N128" i="98"/>
  <c r="M129" i="98"/>
  <c r="AR15" i="42"/>
  <c r="AE95" i="44"/>
  <c r="AF87" i="86"/>
  <c r="AJ53" i="86"/>
  <c r="R133" i="98" s="1"/>
  <c r="AK15" i="42"/>
  <c r="AH76" i="86"/>
  <c r="P111" i="98" s="1"/>
  <c r="AG86" i="86"/>
  <c r="AC166" i="44"/>
  <c r="AC210" i="44"/>
  <c r="AA118" i="41"/>
  <c r="AB115" i="41"/>
  <c r="AB116" i="41" s="1"/>
  <c r="AB117" i="41" s="1"/>
  <c r="AF43" i="12"/>
  <c r="AD98" i="41"/>
  <c r="AD107" i="41" s="1"/>
  <c r="AD102" i="41"/>
  <c r="AD111" i="41" s="1"/>
  <c r="AE15" i="41"/>
  <c r="AE128" i="44" l="1"/>
  <c r="AE278" i="44"/>
  <c r="P112" i="98"/>
  <c r="P113" i="98" s="1"/>
  <c r="P121" i="98"/>
  <c r="P172" i="98" s="1"/>
  <c r="R140" i="98"/>
  <c r="R143" i="98" s="1"/>
  <c r="O172" i="98"/>
  <c r="O122" i="98"/>
  <c r="O123" i="98" s="1"/>
  <c r="P146" i="98"/>
  <c r="P147" i="98"/>
  <c r="P145" i="98"/>
  <c r="P144" i="98"/>
  <c r="P149" i="98"/>
  <c r="P150" i="98"/>
  <c r="P148" i="98"/>
  <c r="O127" i="98"/>
  <c r="O170" i="98"/>
  <c r="O128" i="98"/>
  <c r="N129" i="98"/>
  <c r="AF95" i="44"/>
  <c r="D18" i="98"/>
  <c r="AL15" i="42"/>
  <c r="AG87" i="86"/>
  <c r="AI53" i="86"/>
  <c r="AG43" i="12"/>
  <c r="AJ76" i="86"/>
  <c r="R111" i="98" s="1"/>
  <c r="AH86" i="86"/>
  <c r="AD166" i="44"/>
  <c r="AD210" i="44"/>
  <c r="AB118" i="41"/>
  <c r="AC115" i="41"/>
  <c r="AC116" i="41" s="1"/>
  <c r="AC117" i="41" s="1"/>
  <c r="AF15" i="41"/>
  <c r="AA120" i="41"/>
  <c r="AA279" i="44" s="1"/>
  <c r="AE102" i="41"/>
  <c r="AE111" i="41" s="1"/>
  <c r="AE98" i="41"/>
  <c r="AE107" i="41" s="1"/>
  <c r="AF128" i="44" l="1"/>
  <c r="AF278" i="44"/>
  <c r="AA122" i="41"/>
  <c r="AA20" i="41" s="1"/>
  <c r="P122" i="98"/>
  <c r="P123" i="98" s="1"/>
  <c r="AI76" i="86"/>
  <c r="Q111" i="98" s="1"/>
  <c r="R112" i="98" s="1"/>
  <c r="R113" i="98" s="1"/>
  <c r="Q133" i="98"/>
  <c r="R146" i="98"/>
  <c r="R149" i="98"/>
  <c r="R147" i="98"/>
  <c r="R145" i="98"/>
  <c r="R150" i="98"/>
  <c r="R148" i="98"/>
  <c r="R144" i="98"/>
  <c r="R121" i="98"/>
  <c r="P127" i="98"/>
  <c r="P170" i="98"/>
  <c r="P128" i="98"/>
  <c r="O129" i="98"/>
  <c r="AG95" i="44"/>
  <c r="AG15" i="41"/>
  <c r="AM15" i="42"/>
  <c r="AH87" i="86"/>
  <c r="AH43" i="12"/>
  <c r="AJ86" i="86"/>
  <c r="AE166" i="44"/>
  <c r="AE210" i="44"/>
  <c r="Z18" i="57"/>
  <c r="AF102" i="41"/>
  <c r="AF111" i="41" s="1"/>
  <c r="AD115" i="41"/>
  <c r="AD116" i="41" s="1"/>
  <c r="AD117" i="41" s="1"/>
  <c r="AC118" i="41"/>
  <c r="AB120" i="41"/>
  <c r="AB279" i="44" s="1"/>
  <c r="AG128" i="44" l="1"/>
  <c r="AG166" i="44" s="1"/>
  <c r="AG278" i="44"/>
  <c r="AB122" i="41"/>
  <c r="AB20" i="41" s="1"/>
  <c r="AB23" i="41" s="1"/>
  <c r="AG33" i="42" s="1"/>
  <c r="AI86" i="86"/>
  <c r="R172" i="98"/>
  <c r="Q140" i="98"/>
  <c r="Q143" i="98" s="1"/>
  <c r="Q112" i="98"/>
  <c r="Q113" i="98" s="1"/>
  <c r="Q121" i="98"/>
  <c r="R127" i="98"/>
  <c r="R170" i="98"/>
  <c r="R128" i="98"/>
  <c r="P129" i="98"/>
  <c r="AG102" i="41"/>
  <c r="AG111" i="41" s="1"/>
  <c r="AH95" i="44"/>
  <c r="AH15" i="41"/>
  <c r="AA23" i="41"/>
  <c r="AF33" i="42" s="1"/>
  <c r="AJ87" i="86"/>
  <c r="AO15" i="42"/>
  <c r="AJ43" i="12"/>
  <c r="AE115" i="41"/>
  <c r="AE116" i="41" s="1"/>
  <c r="AE117" i="41" s="1"/>
  <c r="AD118" i="41"/>
  <c r="AF210" i="44"/>
  <c r="AF166" i="44"/>
  <c r="AC120" i="41"/>
  <c r="AC279" i="44" s="1"/>
  <c r="AG210" i="44" l="1"/>
  <c r="AH128" i="44"/>
  <c r="AH166" i="44" s="1"/>
  <c r="AH278" i="44"/>
  <c r="AC122" i="41"/>
  <c r="AC20" i="41" s="1"/>
  <c r="AC23" i="41" s="1"/>
  <c r="AH33" i="42" s="1"/>
  <c r="Q128" i="98"/>
  <c r="Q170" i="98"/>
  <c r="AI87" i="86"/>
  <c r="Q127" i="98"/>
  <c r="AI43" i="12"/>
  <c r="AN15" i="42"/>
  <c r="AW15" i="42" s="1"/>
  <c r="Q172" i="98"/>
  <c r="Q122" i="98"/>
  <c r="Q123" i="98" s="1"/>
  <c r="Q150" i="98"/>
  <c r="Q147" i="98"/>
  <c r="Q144" i="98"/>
  <c r="Q149" i="98"/>
  <c r="Q145" i="98"/>
  <c r="Q146" i="98"/>
  <c r="Q148" i="98"/>
  <c r="R122" i="98"/>
  <c r="R123" i="98" s="1"/>
  <c r="R129" i="98"/>
  <c r="AB205" i="44"/>
  <c r="AB273" i="44" s="1"/>
  <c r="AB283" i="44" s="1"/>
  <c r="AA205" i="44"/>
  <c r="AA273" i="44" s="1"/>
  <c r="AA283" i="44" s="1"/>
  <c r="I9" i="98"/>
  <c r="AA18" i="57"/>
  <c r="AA18" i="36"/>
  <c r="AH102" i="41"/>
  <c r="AH111" i="41" s="1"/>
  <c r="AB18" i="36"/>
  <c r="J9" i="98"/>
  <c r="AJ15" i="41"/>
  <c r="AJ95" i="44"/>
  <c r="AD120" i="41"/>
  <c r="AD279" i="44" s="1"/>
  <c r="AE118" i="41"/>
  <c r="AF115" i="41"/>
  <c r="AB18" i="57"/>
  <c r="AH210" i="44" l="1"/>
  <c r="AJ128" i="44"/>
  <c r="AJ210" i="44" s="1"/>
  <c r="AJ278" i="44"/>
  <c r="AD122" i="41"/>
  <c r="AD20" i="41" s="1"/>
  <c r="AD23" i="41" s="1"/>
  <c r="AI33" i="42" s="1"/>
  <c r="AB297" i="44"/>
  <c r="AB302" i="44" s="1"/>
  <c r="AB288" i="44"/>
  <c r="AB293" i="44" s="1"/>
  <c r="AB307" i="44"/>
  <c r="AB313" i="44" s="1"/>
  <c r="AA288" i="44"/>
  <c r="AA307" i="44"/>
  <c r="AA313" i="44" s="1"/>
  <c r="AA297" i="44"/>
  <c r="AA302" i="44" s="1"/>
  <c r="Q129" i="98"/>
  <c r="AI95" i="44"/>
  <c r="AI15" i="41"/>
  <c r="AI102" i="41" s="1"/>
  <c r="AI111" i="41" s="1"/>
  <c r="AS15" i="42"/>
  <c r="AA122" i="44"/>
  <c r="AB122" i="44"/>
  <c r="AC122" i="44"/>
  <c r="AC18" i="36"/>
  <c r="AC18" i="57"/>
  <c r="K9" i="98"/>
  <c r="AJ102" i="41"/>
  <c r="AJ111" i="41" s="1"/>
  <c r="AE120" i="41"/>
  <c r="AE279" i="44" s="1"/>
  <c r="AA303" i="44" l="1"/>
  <c r="R64" i="114" s="1"/>
  <c r="AB303" i="44"/>
  <c r="S64" i="114" s="1"/>
  <c r="AJ166" i="44"/>
  <c r="AB314" i="44"/>
  <c r="S67" i="114" s="1"/>
  <c r="AA314" i="44"/>
  <c r="R67" i="114" s="1"/>
  <c r="AB294" i="44"/>
  <c r="S63" i="114" s="1"/>
  <c r="AA293" i="44"/>
  <c r="AA294" i="44" s="1"/>
  <c r="R63" i="114" s="1"/>
  <c r="AI128" i="44"/>
  <c r="AI210" i="44" s="1"/>
  <c r="AI278" i="44"/>
  <c r="AE122" i="41"/>
  <c r="AE20" i="41" s="1"/>
  <c r="AE23" i="41" s="1"/>
  <c r="AC205" i="44"/>
  <c r="AC273" i="44" s="1"/>
  <c r="AC283" i="44" s="1"/>
  <c r="AD122" i="44"/>
  <c r="AD18" i="57"/>
  <c r="L9" i="98"/>
  <c r="AD18" i="36"/>
  <c r="AJ33" i="42" l="1"/>
  <c r="AR33" i="42" s="1"/>
  <c r="AI166" i="44"/>
  <c r="AC307" i="44"/>
  <c r="AC313" i="44" s="1"/>
  <c r="AC297" i="44"/>
  <c r="AC302" i="44" s="1"/>
  <c r="AC288" i="44"/>
  <c r="D23" i="98"/>
  <c r="D24" i="98" s="1"/>
  <c r="AD205" i="44"/>
  <c r="AD273" i="44" s="1"/>
  <c r="AD283" i="44" s="1"/>
  <c r="AE122" i="44"/>
  <c r="D37" i="98"/>
  <c r="AE18" i="57"/>
  <c r="AD31" i="57" s="1"/>
  <c r="AD32" i="57" s="1"/>
  <c r="AE18" i="36"/>
  <c r="M9" i="98"/>
  <c r="J11" i="98" s="1"/>
  <c r="AV33" i="42" l="1"/>
  <c r="AC303" i="44"/>
  <c r="T64" i="114" s="1"/>
  <c r="AC314" i="44"/>
  <c r="T67" i="114" s="1"/>
  <c r="AC293" i="44"/>
  <c r="AC294" i="44" s="1"/>
  <c r="T63" i="114" s="1"/>
  <c r="AD307" i="44"/>
  <c r="AD313" i="44" s="1"/>
  <c r="AD288" i="44"/>
  <c r="AD297" i="44"/>
  <c r="AD302" i="44" s="1"/>
  <c r="AE205" i="44"/>
  <c r="AE273" i="44" s="1"/>
  <c r="AE283" i="44" s="1"/>
  <c r="AD31" i="36"/>
  <c r="AD32" i="36" s="1"/>
  <c r="I11" i="98"/>
  <c r="M11" i="98"/>
  <c r="K11" i="98"/>
  <c r="AB34" i="57"/>
  <c r="L11" i="98"/>
  <c r="E24" i="98"/>
  <c r="R40" i="114" l="1"/>
  <c r="Q40" i="114"/>
  <c r="AD303" i="44"/>
  <c r="U64" i="114" s="1"/>
  <c r="AD314" i="44"/>
  <c r="U67" i="114" s="1"/>
  <c r="AD293" i="44"/>
  <c r="AD294" i="44" s="1"/>
  <c r="U63" i="114" s="1"/>
  <c r="AE307" i="44"/>
  <c r="AE313" i="44" s="1"/>
  <c r="AE297" i="44"/>
  <c r="AE302" i="44" s="1"/>
  <c r="AE288" i="44"/>
  <c r="AB34" i="36"/>
  <c r="Q33" i="114" s="1"/>
  <c r="AE303" i="44" l="1"/>
  <c r="V64" i="114" s="1"/>
  <c r="AE314" i="44"/>
  <c r="V67" i="114" s="1"/>
  <c r="AE293" i="44"/>
  <c r="AE294" i="44" s="1"/>
  <c r="V63" i="114" s="1"/>
  <c r="R33" i="114"/>
  <c r="Z33" i="12"/>
  <c r="H166" i="98" s="1"/>
  <c r="H64" i="98"/>
  <c r="H69" i="98" s="1"/>
  <c r="Z57" i="12"/>
  <c r="Z58" i="12" s="1"/>
  <c r="H137" i="98" l="1"/>
  <c r="H168" i="98"/>
  <c r="Z12" i="12"/>
  <c r="Z17" i="12" s="1"/>
  <c r="Z35" i="12"/>
  <c r="Z37" i="12" s="1"/>
  <c r="Z29" i="12" l="1"/>
  <c r="Z22" i="12"/>
  <c r="H42" i="98"/>
  <c r="Z19" i="12"/>
  <c r="Q21" i="114"/>
  <c r="AE13" i="42"/>
  <c r="H43" i="98"/>
  <c r="AE14" i="42"/>
  <c r="Z39" i="12"/>
  <c r="H44" i="98" l="1"/>
  <c r="K182" i="98"/>
  <c r="K183" i="98"/>
  <c r="Z41" i="12"/>
  <c r="H140" i="98"/>
  <c r="H132" i="98" s="1"/>
  <c r="AQ14" i="42"/>
  <c r="AU14" i="42"/>
  <c r="AU13" i="42"/>
  <c r="AQ13" i="42"/>
  <c r="E36" i="98"/>
  <c r="AE15" i="42"/>
  <c r="Z111" i="41" s="1"/>
  <c r="Z116" i="41" s="1"/>
  <c r="Z117" i="41" s="1"/>
  <c r="Z118" i="41" s="1"/>
  <c r="Z120" i="41" s="1"/>
  <c r="Z122" i="41" l="1"/>
  <c r="Z279" i="44"/>
  <c r="AQ15" i="42"/>
  <c r="AU15" i="42"/>
  <c r="Z95" i="44"/>
  <c r="Z278" i="44" s="1"/>
  <c r="Z283" i="44" l="1"/>
  <c r="Z101" i="44"/>
  <c r="Z103" i="44" s="1"/>
  <c r="Z128" i="44"/>
  <c r="Z210" i="44" l="1"/>
  <c r="Z166" i="44"/>
  <c r="Z107" i="44"/>
  <c r="Z105" i="44"/>
  <c r="Z172" i="44" l="1"/>
  <c r="Z174" i="44" s="1"/>
  <c r="Z288" i="44"/>
  <c r="Z307" i="44"/>
  <c r="Z313" i="44" s="1"/>
  <c r="Z297" i="44"/>
  <c r="Z302" i="44" s="1"/>
  <c r="Z109" i="44" l="1"/>
  <c r="Z111" i="44" s="1"/>
  <c r="Z129" i="44"/>
  <c r="Z211" i="44"/>
  <c r="Z314" i="44"/>
  <c r="Q67" i="114" s="1"/>
  <c r="Z293" i="44"/>
  <c r="Z294" i="44" s="1"/>
  <c r="Q63" i="114" s="1"/>
  <c r="Z303" i="44"/>
  <c r="Q64" i="114" s="1"/>
  <c r="Z141" i="44" l="1"/>
  <c r="Z257" i="44"/>
  <c r="Z248" i="44"/>
  <c r="Z41" i="44"/>
  <c r="Z132" i="44" s="1"/>
  <c r="Z208" i="44" l="1"/>
  <c r="Z215" i="44" s="1"/>
  <c r="Z133" i="44"/>
  <c r="Z143" i="44" s="1"/>
  <c r="Z156" i="44" s="1"/>
  <c r="Z157" i="44" s="1"/>
  <c r="AA155" i="44" s="1"/>
  <c r="AA187" i="44" s="1"/>
  <c r="Z160" i="44" l="1"/>
  <c r="Z161" i="44" s="1"/>
  <c r="AA159" i="44" s="1"/>
  <c r="Z220" i="44"/>
  <c r="Z225" i="44" s="1"/>
  <c r="Z256" i="44"/>
  <c r="Z262" i="44" s="1"/>
  <c r="Z229" i="44"/>
  <c r="Z234" i="44" s="1"/>
  <c r="Z235" i="44" s="1"/>
  <c r="Q54" i="114" s="1"/>
  <c r="Z247" i="44"/>
  <c r="Z253" i="44" s="1"/>
  <c r="Z254" i="44" s="1"/>
  <c r="Q58" i="114" s="1"/>
  <c r="AA232" i="44"/>
  <c r="AA251" i="44"/>
  <c r="AA189" i="44"/>
  <c r="AA241" i="44"/>
  <c r="AA192" i="44" l="1"/>
  <c r="AA240" i="44" s="1"/>
  <c r="AA244" i="44" s="1"/>
  <c r="Z263" i="44"/>
  <c r="Q59" i="114" s="1"/>
  <c r="H105" i="98"/>
  <c r="H101" i="98"/>
  <c r="Z226" i="44"/>
  <c r="Q53" i="114" s="1"/>
  <c r="AA212" i="44"/>
  <c r="AA222" i="44" s="1"/>
  <c r="AA130" i="44"/>
  <c r="AA88" i="44"/>
  <c r="AA249" i="44" l="1"/>
  <c r="AA230" i="44"/>
  <c r="AA61" i="44"/>
  <c r="AA194" i="44" s="1"/>
  <c r="AA195" i="44" s="1"/>
  <c r="AA213" i="44" s="1"/>
  <c r="AA221" i="44" s="1"/>
  <c r="AA223" i="44" s="1"/>
  <c r="AA92" i="44"/>
  <c r="AA165" i="44"/>
  <c r="AA167" i="44" l="1"/>
  <c r="AA172" i="44" s="1"/>
  <c r="AA98" i="44"/>
  <c r="AA101" i="44" s="1"/>
  <c r="AA103" i="44" s="1"/>
  <c r="AA131" i="44"/>
  <c r="AA105" i="44" l="1"/>
  <c r="AA107" i="44"/>
  <c r="AA174" i="44"/>
  <c r="AA211" i="44" s="1"/>
  <c r="AB169" i="44"/>
  <c r="AA109" i="44" l="1"/>
  <c r="AA248" i="44" s="1"/>
  <c r="AA129" i="44"/>
  <c r="AA111" i="44" l="1"/>
  <c r="AA257" i="44"/>
  <c r="AA141" i="44"/>
  <c r="AA41" i="44"/>
  <c r="AA132" i="44" s="1"/>
  <c r="AA208" i="44" l="1"/>
  <c r="AA215" i="44" s="1"/>
  <c r="AA133" i="44"/>
  <c r="AA143" i="44" s="1"/>
  <c r="AA156" i="44" s="1"/>
  <c r="AA157" i="44" s="1"/>
  <c r="AB155" i="44" s="1"/>
  <c r="AB187" i="44" s="1"/>
  <c r="AA160" i="44" l="1"/>
  <c r="AA161" i="44" s="1"/>
  <c r="AB159" i="44" s="1"/>
  <c r="AB192" i="44" s="1"/>
  <c r="AB61" i="44" s="1"/>
  <c r="AB194" i="44" s="1"/>
  <c r="AA229" i="44"/>
  <c r="AA234" i="44" s="1"/>
  <c r="AA235" i="44" s="1"/>
  <c r="R54" i="114" s="1"/>
  <c r="AA247" i="44"/>
  <c r="AA253" i="44" s="1"/>
  <c r="AA254" i="44" s="1"/>
  <c r="R58" i="114" s="1"/>
  <c r="AA220" i="44"/>
  <c r="AA225" i="44" s="1"/>
  <c r="AA256" i="44"/>
  <c r="AA262" i="44" s="1"/>
  <c r="AB232" i="44"/>
  <c r="AB251" i="44"/>
  <c r="AB241" i="44"/>
  <c r="AB189" i="44"/>
  <c r="I101" i="98" l="1"/>
  <c r="AA226" i="44"/>
  <c r="R53" i="114" s="1"/>
  <c r="AA263" i="44"/>
  <c r="R59" i="114" s="1"/>
  <c r="I105" i="98"/>
  <c r="AB230" i="44"/>
  <c r="AB249" i="44"/>
  <c r="AB212" i="44"/>
  <c r="AB222" i="44" s="1"/>
  <c r="AB88" i="44"/>
  <c r="AB130" i="44"/>
  <c r="AB195" i="44"/>
  <c r="AB240" i="44"/>
  <c r="AB244" i="44" l="1"/>
  <c r="AB245" i="44" s="1"/>
  <c r="S57" i="114" s="1"/>
  <c r="AA245" i="44"/>
  <c r="R57" i="114" s="1"/>
  <c r="AB213" i="44"/>
  <c r="AB221" i="44" s="1"/>
  <c r="AB223" i="44" s="1"/>
  <c r="AB98" i="44"/>
  <c r="AB101" i="44" s="1"/>
  <c r="AB131" i="44"/>
  <c r="AB167" i="44"/>
  <c r="AB165" i="44"/>
  <c r="AB92" i="44"/>
  <c r="AB172" i="44" l="1"/>
  <c r="AC169" i="44" s="1"/>
  <c r="AB103" i="44"/>
  <c r="AB107" i="44" s="1"/>
  <c r="AB105" i="44" l="1"/>
  <c r="AB174" i="44"/>
  <c r="AB109" i="44" s="1"/>
  <c r="AB248" i="44" s="1"/>
  <c r="AB129" i="44" l="1"/>
  <c r="AB211" i="44"/>
  <c r="AB141" i="44"/>
  <c r="AB257" i="44"/>
  <c r="AB111" i="44"/>
  <c r="AB41" i="44" l="1"/>
  <c r="AB132" i="44" s="1"/>
  <c r="AB208" i="44" l="1"/>
  <c r="AB215" i="44" s="1"/>
  <c r="AB133" i="44"/>
  <c r="AB143" i="44" s="1"/>
  <c r="AB156" i="44" l="1"/>
  <c r="AB157" i="44" s="1"/>
  <c r="AC155" i="44" s="1"/>
  <c r="AC187" i="44" s="1"/>
  <c r="AB247" i="44"/>
  <c r="AB253" i="44" s="1"/>
  <c r="AB254" i="44" s="1"/>
  <c r="S58" i="114" s="1"/>
  <c r="AB229" i="44"/>
  <c r="AB234" i="44" s="1"/>
  <c r="AB235" i="44" s="1"/>
  <c r="S54" i="114" s="1"/>
  <c r="AB220" i="44"/>
  <c r="AB225" i="44" s="1"/>
  <c r="AB256" i="44"/>
  <c r="AB262" i="44" s="1"/>
  <c r="AB160" i="44" l="1"/>
  <c r="AB161" i="44" s="1"/>
  <c r="AC159" i="44" s="1"/>
  <c r="AC192" i="44" s="1"/>
  <c r="AC61" i="44" s="1"/>
  <c r="AC194" i="44" s="1"/>
  <c r="AB263" i="44"/>
  <c r="S59" i="114" s="1"/>
  <c r="J105" i="98"/>
  <c r="J101" i="98"/>
  <c r="AB226" i="44"/>
  <c r="S53" i="114" s="1"/>
  <c r="AC232" i="44"/>
  <c r="AC251" i="44"/>
  <c r="AC241" i="44"/>
  <c r="AC189" i="44"/>
  <c r="AC195" i="44" l="1"/>
  <c r="AC249" i="44"/>
  <c r="AC240" i="44"/>
  <c r="AC244" i="44" s="1"/>
  <c r="AC245" i="44" s="1"/>
  <c r="T57" i="114" s="1"/>
  <c r="AC230" i="44"/>
  <c r="AC88" i="44"/>
  <c r="AC212" i="44"/>
  <c r="AC222" i="44" s="1"/>
  <c r="AC130" i="44"/>
  <c r="AC98" i="44" l="1"/>
  <c r="AC101" i="44" s="1"/>
  <c r="AC167" i="44"/>
  <c r="AC131" i="44"/>
  <c r="AC213" i="44"/>
  <c r="AC221" i="44" s="1"/>
  <c r="AC223" i="44" s="1"/>
  <c r="AC165" i="44"/>
  <c r="AC92" i="44"/>
  <c r="AC172" i="44" l="1"/>
  <c r="AC174" i="44" s="1"/>
  <c r="AC129" i="44" s="1"/>
  <c r="AC103" i="44"/>
  <c r="AC105" i="44" s="1"/>
  <c r="AC107" i="44" l="1"/>
  <c r="AC109" i="44" s="1"/>
  <c r="AD169" i="44"/>
  <c r="AC211" i="44"/>
  <c r="AC41" i="44" s="1"/>
  <c r="AC132" i="44" s="1"/>
  <c r="AC248" i="44" l="1"/>
  <c r="AC141" i="44"/>
  <c r="AC257" i="44"/>
  <c r="AC111" i="44"/>
  <c r="AC208" i="44"/>
  <c r="AC215" i="44" s="1"/>
  <c r="AC133" i="44"/>
  <c r="AC143" i="44" l="1"/>
  <c r="AC156" i="44" s="1"/>
  <c r="AC157" i="44" s="1"/>
  <c r="AD155" i="44" s="1"/>
  <c r="AD187" i="44" s="1"/>
  <c r="AD232" i="44" s="1"/>
  <c r="AC229" i="44"/>
  <c r="AC234" i="44" s="1"/>
  <c r="AC235" i="44" s="1"/>
  <c r="T54" i="114" s="1"/>
  <c r="AC220" i="44"/>
  <c r="AC225" i="44" s="1"/>
  <c r="AC256" i="44"/>
  <c r="AC262" i="44" s="1"/>
  <c r="AC247" i="44"/>
  <c r="AC253" i="44" s="1"/>
  <c r="AC254" i="44" s="1"/>
  <c r="T58" i="114" s="1"/>
  <c r="AD189" i="44" l="1"/>
  <c r="AD212" i="44" s="1"/>
  <c r="AD222" i="44" s="1"/>
  <c r="AD241" i="44"/>
  <c r="AD251" i="44"/>
  <c r="AC160" i="44"/>
  <c r="AC161" i="44" s="1"/>
  <c r="AD159" i="44" s="1"/>
  <c r="AD192" i="44" s="1"/>
  <c r="AD61" i="44" s="1"/>
  <c r="AD194" i="44" s="1"/>
  <c r="AD195" i="44" s="1"/>
  <c r="AC263" i="44"/>
  <c r="T59" i="114" s="1"/>
  <c r="K105" i="98"/>
  <c r="K101" i="98"/>
  <c r="AC226" i="44"/>
  <c r="T53" i="114" s="1"/>
  <c r="AD88" i="44" l="1"/>
  <c r="AD92" i="44" s="1"/>
  <c r="AD130" i="44"/>
  <c r="AD240" i="44"/>
  <c r="AD244" i="44" s="1"/>
  <c r="AD245" i="44" s="1"/>
  <c r="U57" i="114" s="1"/>
  <c r="AD249" i="44"/>
  <c r="AD230" i="44"/>
  <c r="AD213" i="44"/>
  <c r="AD221" i="44" s="1"/>
  <c r="AD223" i="44" s="1"/>
  <c r="AD98" i="44"/>
  <c r="AD101" i="44" s="1"/>
  <c r="AD167" i="44"/>
  <c r="AD131" i="44"/>
  <c r="AD165" i="44" l="1"/>
  <c r="AD172" i="44" s="1"/>
  <c r="AD174" i="44" s="1"/>
  <c r="AD103" i="44"/>
  <c r="AD107" i="44" s="1"/>
  <c r="AD105" i="44" l="1"/>
  <c r="AE169" i="44"/>
  <c r="AD211" i="44"/>
  <c r="AD129" i="44"/>
  <c r="AD109" i="44"/>
  <c r="AD248" i="44" s="1"/>
  <c r="AD257" i="44" l="1"/>
  <c r="AD141" i="44"/>
  <c r="AD111" i="44"/>
  <c r="AD41" i="44" l="1"/>
  <c r="AD132" i="44" s="1"/>
  <c r="AD208" i="44" l="1"/>
  <c r="AD215" i="44" s="1"/>
  <c r="AD133" i="44"/>
  <c r="AD143" i="44" s="1"/>
  <c r="AD156" i="44" s="1"/>
  <c r="AD157" i="44" s="1"/>
  <c r="AE155" i="44" s="1"/>
  <c r="AE187" i="44" s="1"/>
  <c r="AD160" i="44" l="1"/>
  <c r="AD229" i="44"/>
  <c r="AD234" i="44" s="1"/>
  <c r="AD235" i="44" s="1"/>
  <c r="U54" i="114" s="1"/>
  <c r="AD247" i="44"/>
  <c r="AD253" i="44" s="1"/>
  <c r="AD254" i="44" s="1"/>
  <c r="U58" i="114" s="1"/>
  <c r="AD256" i="44"/>
  <c r="AD262" i="44" s="1"/>
  <c r="AD220" i="44"/>
  <c r="AD225" i="44" s="1"/>
  <c r="AE232" i="44"/>
  <c r="AE251" i="44"/>
  <c r="AE241" i="44"/>
  <c r="AE189" i="44"/>
  <c r="AD161" i="44" l="1"/>
  <c r="AE159" i="44" s="1"/>
  <c r="AE192" i="44" s="1"/>
  <c r="AE249" i="44" s="1"/>
  <c r="AD263" i="44"/>
  <c r="U59" i="114" s="1"/>
  <c r="L105" i="98"/>
  <c r="L101" i="98"/>
  <c r="AD226" i="44"/>
  <c r="U53" i="114" s="1"/>
  <c r="AE212" i="44"/>
  <c r="AE222" i="44" s="1"/>
  <c r="AE130" i="44"/>
  <c r="AE88" i="44"/>
  <c r="AE240" i="44" l="1"/>
  <c r="AE244" i="44" s="1"/>
  <c r="AE245" i="44" s="1"/>
  <c r="V57" i="114" s="1"/>
  <c r="AE230" i="44"/>
  <c r="AE165" i="44"/>
  <c r="AE92" i="44"/>
  <c r="AN30" i="42" l="1"/>
  <c r="AI17" i="45"/>
  <c r="AL30" i="42"/>
  <c r="AG58" i="41"/>
  <c r="AG75" i="41" s="1"/>
  <c r="AO30" i="42"/>
  <c r="AJ17" i="45"/>
  <c r="AM30" i="42"/>
  <c r="AH17" i="45"/>
  <c r="AI58" i="41" l="1"/>
  <c r="AI75" i="41" s="1"/>
  <c r="AJ58" i="41"/>
  <c r="AJ75" i="41" s="1"/>
  <c r="AJ29" i="45"/>
  <c r="AJ17" i="41"/>
  <c r="AH17" i="41"/>
  <c r="AH29" i="45"/>
  <c r="AI29" i="45"/>
  <c r="AI17" i="41"/>
  <c r="AG17" i="45"/>
  <c r="AH58" i="41"/>
  <c r="AH75" i="41" s="1"/>
  <c r="AG29" i="45" l="1"/>
  <c r="AG17" i="41"/>
  <c r="AK30" i="42"/>
  <c r="AF58" i="41"/>
  <c r="AS30" i="42" l="1"/>
  <c r="AW30" i="42"/>
  <c r="AF75" i="41"/>
  <c r="AF78" i="41" s="1"/>
  <c r="AF60" i="41"/>
  <c r="AF17" i="45"/>
  <c r="AF29" i="45" l="1"/>
  <c r="AF17" i="41"/>
  <c r="AG54" i="41"/>
  <c r="AF62" i="41"/>
  <c r="AF64" i="41" s="1"/>
  <c r="AG71" i="41"/>
  <c r="AG78" i="41" s="1"/>
  <c r="AF30" i="45" l="1"/>
  <c r="AF242" i="44"/>
  <c r="AF103" i="41"/>
  <c r="AF104" i="41" s="1"/>
  <c r="AG92" i="98"/>
  <c r="AG93" i="98" s="1"/>
  <c r="AG60" i="41"/>
  <c r="AH54" i="41" s="1"/>
  <c r="AH71" i="41"/>
  <c r="AH78" i="41" s="1"/>
  <c r="AF114" i="41" l="1"/>
  <c r="AF281" i="44" s="1"/>
  <c r="AF298" i="44"/>
  <c r="AF13" i="45"/>
  <c r="AF79" i="41"/>
  <c r="AG24" i="45"/>
  <c r="AI71" i="41"/>
  <c r="AI78" i="41" s="1"/>
  <c r="AH60" i="41"/>
  <c r="AI54" i="41" s="1"/>
  <c r="AH92" i="98"/>
  <c r="AH93" i="98" s="1"/>
  <c r="AG62" i="41"/>
  <c r="AG64" i="41" s="1"/>
  <c r="AF16" i="41"/>
  <c r="AF66" i="41"/>
  <c r="AF289" i="44" l="1"/>
  <c r="AF291" i="44" s="1"/>
  <c r="AF81" i="41"/>
  <c r="AF80" i="41"/>
  <c r="W47" i="114" s="1"/>
  <c r="AG12" i="45"/>
  <c r="AG30" i="45"/>
  <c r="AJ71" i="41"/>
  <c r="AJ78" i="41" s="1"/>
  <c r="AF98" i="41"/>
  <c r="AF107" i="41" s="1"/>
  <c r="AF116" i="41" s="1"/>
  <c r="AF117" i="41" s="1"/>
  <c r="AG242" i="44"/>
  <c r="AG103" i="41"/>
  <c r="AG104" i="41" s="1"/>
  <c r="AI92" i="98"/>
  <c r="AI93" i="98" s="1"/>
  <c r="AI60" i="41"/>
  <c r="AJ54" i="41" s="1"/>
  <c r="AH62" i="41"/>
  <c r="AH64" i="41" s="1"/>
  <c r="AG114" i="41" l="1"/>
  <c r="AG281" i="44" s="1"/>
  <c r="AG298" i="44"/>
  <c r="AH24" i="45"/>
  <c r="AH12" i="45" s="1"/>
  <c r="AG13" i="45"/>
  <c r="AG79" i="41"/>
  <c r="AH103" i="41"/>
  <c r="AH104" i="41" s="1"/>
  <c r="AH242" i="44"/>
  <c r="AJ60" i="41"/>
  <c r="AJ62" i="41" s="1"/>
  <c r="AJ64" i="41" s="1"/>
  <c r="AJ92" i="98"/>
  <c r="AJ93" i="98" s="1"/>
  <c r="AI62" i="41"/>
  <c r="AI64" i="41" s="1"/>
  <c r="AG16" i="41"/>
  <c r="AG66" i="41"/>
  <c r="AG115" i="41"/>
  <c r="AF118" i="41"/>
  <c r="AG289" i="44" l="1"/>
  <c r="AG291" i="44" s="1"/>
  <c r="AH114" i="41"/>
  <c r="AH281" i="44" s="1"/>
  <c r="AH298" i="44"/>
  <c r="AG80" i="41"/>
  <c r="X47" i="114" s="1"/>
  <c r="AH30" i="45"/>
  <c r="AH79" i="41" s="1"/>
  <c r="AH80" i="41" s="1"/>
  <c r="AG81" i="41"/>
  <c r="AJ103" i="41"/>
  <c r="AJ104" i="41" s="1"/>
  <c r="AJ242" i="44"/>
  <c r="AI242" i="44"/>
  <c r="AI103" i="41"/>
  <c r="AI104" i="41" s="1"/>
  <c r="AH16" i="41"/>
  <c r="AH66" i="41"/>
  <c r="AF120" i="41"/>
  <c r="AF279" i="44" s="1"/>
  <c r="AG98" i="41"/>
  <c r="AG107" i="41" s="1"/>
  <c r="AG116" i="41" s="1"/>
  <c r="AG117" i="41" s="1"/>
  <c r="AH289" i="44" l="1"/>
  <c r="AH291" i="44" s="1"/>
  <c r="AI114" i="41"/>
  <c r="AI281" i="44" s="1"/>
  <c r="AI298" i="44"/>
  <c r="AJ114" i="41"/>
  <c r="AJ281" i="44" s="1"/>
  <c r="AJ298" i="44"/>
  <c r="AF122" i="41"/>
  <c r="AF20" i="41" s="1"/>
  <c r="AF23" i="41" s="1"/>
  <c r="AK33" i="42" s="1"/>
  <c r="AI24" i="45"/>
  <c r="AI12" i="45" s="1"/>
  <c r="AH13" i="45"/>
  <c r="AH115" i="41"/>
  <c r="AG118" i="41"/>
  <c r="AH98" i="41"/>
  <c r="AH107" i="41" s="1"/>
  <c r="Y47" i="114"/>
  <c r="AH81" i="41"/>
  <c r="AI66" i="41"/>
  <c r="AI16" i="41"/>
  <c r="AJ16" i="41"/>
  <c r="AJ66" i="41"/>
  <c r="AI289" i="44" l="1"/>
  <c r="AI291" i="44" s="1"/>
  <c r="AJ289" i="44"/>
  <c r="AJ291" i="44" s="1"/>
  <c r="AI30" i="45"/>
  <c r="AJ24" i="45" s="1"/>
  <c r="AF122" i="44"/>
  <c r="N9" i="98"/>
  <c r="AF18" i="36"/>
  <c r="AF18" i="57"/>
  <c r="AH116" i="41"/>
  <c r="AJ98" i="41"/>
  <c r="AJ107" i="41" s="1"/>
  <c r="AI98" i="41"/>
  <c r="AI107" i="41" s="1"/>
  <c r="AG120" i="41"/>
  <c r="AG279" i="44" s="1"/>
  <c r="AG122" i="41" l="1"/>
  <c r="AG20" i="41" s="1"/>
  <c r="AG23" i="41" s="1"/>
  <c r="AL33" i="42" s="1"/>
  <c r="AH117" i="41"/>
  <c r="AH118" i="41" s="1"/>
  <c r="AH120" i="41" s="1"/>
  <c r="AH279" i="44" s="1"/>
  <c r="AI13" i="45"/>
  <c r="AI79" i="41"/>
  <c r="AF205" i="44"/>
  <c r="AF273" i="44" s="1"/>
  <c r="AF283" i="44" s="1"/>
  <c r="AI115" i="41"/>
  <c r="AI116" i="41" s="1"/>
  <c r="AJ30" i="45"/>
  <c r="AJ12" i="45"/>
  <c r="AH122" i="41" l="1"/>
  <c r="AH20" i="41" s="1"/>
  <c r="AH23" i="41" s="1"/>
  <c r="AM33" i="42" s="1"/>
  <c r="AF297" i="44"/>
  <c r="AF302" i="44" s="1"/>
  <c r="AF307" i="44"/>
  <c r="AF313" i="44" s="1"/>
  <c r="AF288" i="44"/>
  <c r="AJ115" i="41"/>
  <c r="AJ116" i="41" s="1"/>
  <c r="AI117" i="41"/>
  <c r="AI80" i="41"/>
  <c r="Z47" i="114" s="1"/>
  <c r="AI81" i="41"/>
  <c r="AG205" i="44"/>
  <c r="AG273" i="44" s="1"/>
  <c r="AG283" i="44" s="1"/>
  <c r="AG18" i="36"/>
  <c r="AG18" i="57"/>
  <c r="O9" i="98"/>
  <c r="AJ79" i="41"/>
  <c r="AJ80" i="41" s="1"/>
  <c r="AJ13" i="45"/>
  <c r="AF314" i="44" l="1"/>
  <c r="W67" i="114" s="1"/>
  <c r="AF293" i="44"/>
  <c r="AF294" i="44" s="1"/>
  <c r="W63" i="114" s="1"/>
  <c r="AF303" i="44"/>
  <c r="W64" i="114" s="1"/>
  <c r="AG288" i="44"/>
  <c r="AG307" i="44"/>
  <c r="AG313" i="44" s="1"/>
  <c r="AG297" i="44"/>
  <c r="AG302" i="44" s="1"/>
  <c r="AJ117" i="41"/>
  <c r="AI118" i="41"/>
  <c r="AI120" i="41" s="1"/>
  <c r="AI279" i="44" s="1"/>
  <c r="AG122" i="44"/>
  <c r="AH122" i="44"/>
  <c r="P9" i="98"/>
  <c r="AH18" i="36"/>
  <c r="AH18" i="57"/>
  <c r="AA47" i="114"/>
  <c r="AJ81" i="41"/>
  <c r="AG303" i="44" l="1"/>
  <c r="X64" i="114" s="1"/>
  <c r="AG314" i="44"/>
  <c r="X67" i="114" s="1"/>
  <c r="AG293" i="44"/>
  <c r="AG294" i="44" s="1"/>
  <c r="X63" i="114" s="1"/>
  <c r="AI122" i="41"/>
  <c r="AI20" i="41" s="1"/>
  <c r="AI23" i="41" s="1"/>
  <c r="AJ118" i="41"/>
  <c r="AJ120" i="41" s="1"/>
  <c r="AJ279" i="44" s="1"/>
  <c r="AH205" i="44"/>
  <c r="AH273" i="44" s="1"/>
  <c r="AH283" i="44" s="1"/>
  <c r="AI122" i="44"/>
  <c r="AJ205" i="44"/>
  <c r="AJ273" i="44" s="1"/>
  <c r="AJ283" i="44" l="1"/>
  <c r="AN33" i="42"/>
  <c r="AI18" i="36"/>
  <c r="AI18" i="57"/>
  <c r="AJ122" i="41"/>
  <c r="AJ20" i="41" s="1"/>
  <c r="AJ23" i="41" s="1"/>
  <c r="AJ18" i="57" s="1"/>
  <c r="Q9" i="98"/>
  <c r="AH297" i="44"/>
  <c r="AH302" i="44" s="1"/>
  <c r="AH307" i="44"/>
  <c r="AH313" i="44" s="1"/>
  <c r="AH288" i="44"/>
  <c r="AI205" i="44"/>
  <c r="AI273" i="44" s="1"/>
  <c r="AI283" i="44" s="1"/>
  <c r="AJ122" i="44"/>
  <c r="AI31" i="57" l="1"/>
  <c r="AG34" i="57" s="1"/>
  <c r="Q42" i="114" s="1"/>
  <c r="AH303" i="44"/>
  <c r="Y64" i="114" s="1"/>
  <c r="AH314" i="44"/>
  <c r="Y67" i="114" s="1"/>
  <c r="AH293" i="44"/>
  <c r="AH294" i="44" s="1"/>
  <c r="Y63" i="114" s="1"/>
  <c r="AI288" i="44"/>
  <c r="AI297" i="44"/>
  <c r="AI302" i="44" s="1"/>
  <c r="AI307" i="44"/>
  <c r="AI313" i="44" s="1"/>
  <c r="AO33" i="42"/>
  <c r="AW33" i="42" s="1"/>
  <c r="R9" i="98"/>
  <c r="R12" i="98" s="1"/>
  <c r="AJ18" i="36"/>
  <c r="AI31" i="36" s="1"/>
  <c r="AG34" i="36" s="1"/>
  <c r="Q35" i="114" s="1"/>
  <c r="AJ307" i="44"/>
  <c r="AJ313" i="44" s="1"/>
  <c r="AJ288" i="44"/>
  <c r="AJ297" i="44"/>
  <c r="AJ302" i="44" s="1"/>
  <c r="AI32" i="57" l="1"/>
  <c r="R42" i="114"/>
  <c r="AI303" i="44"/>
  <c r="Z64" i="114" s="1"/>
  <c r="AJ303" i="44"/>
  <c r="AA64" i="114" s="1"/>
  <c r="AI314" i="44"/>
  <c r="Z67" i="114" s="1"/>
  <c r="AJ314" i="44"/>
  <c r="AA67" i="114" s="1"/>
  <c r="AI293" i="44"/>
  <c r="AI294" i="44" s="1"/>
  <c r="Z63" i="114" s="1"/>
  <c r="AJ293" i="44"/>
  <c r="AJ294" i="44" s="1"/>
  <c r="AA63" i="114" s="1"/>
  <c r="AS33" i="42"/>
  <c r="Q12" i="98"/>
  <c r="N12" i="98"/>
  <c r="AI32" i="36"/>
  <c r="P12" i="98"/>
  <c r="O12" i="98"/>
  <c r="R35" i="114"/>
  <c r="AE14" i="56" l="1"/>
  <c r="AE191" i="44" s="1"/>
  <c r="AE61" i="44" s="1"/>
  <c r="AE194" i="44" s="1"/>
  <c r="AE15" i="56" l="1"/>
  <c r="AE193" i="44" s="1"/>
  <c r="AE195" i="44" s="1"/>
  <c r="AE98" i="44" l="1"/>
  <c r="AE101" i="44" s="1"/>
  <c r="AE103" i="44" s="1"/>
  <c r="AE213" i="44"/>
  <c r="AE221" i="44" s="1"/>
  <c r="AE223" i="44" s="1"/>
  <c r="AE167" i="44"/>
  <c r="AE131" i="44"/>
  <c r="AE105" i="44" l="1"/>
  <c r="AE107" i="44"/>
  <c r="AE172" i="44" l="1"/>
  <c r="AF169" i="44" l="1"/>
  <c r="AE174" i="44"/>
  <c r="AE129" i="44" l="1"/>
  <c r="AE211" i="44"/>
  <c r="AE109" i="44"/>
  <c r="AE41" i="44" l="1"/>
  <c r="AE132" i="44" s="1"/>
  <c r="AE133" i="44" s="1"/>
  <c r="AE111" i="44"/>
  <c r="AE141" i="44"/>
  <c r="AE257" i="44"/>
  <c r="AE248" i="44"/>
  <c r="AE143" i="44" l="1"/>
  <c r="AE156" i="44" s="1"/>
  <c r="AE157" i="44" s="1"/>
  <c r="AF155" i="44" s="1"/>
  <c r="AF187" i="44" s="1"/>
  <c r="AE208" i="44"/>
  <c r="AE215" i="44" s="1"/>
  <c r="AE247" i="44" s="1"/>
  <c r="AE253" i="44" s="1"/>
  <c r="AE254" i="44" s="1"/>
  <c r="V58" i="114" s="1"/>
  <c r="AE256" i="44" l="1"/>
  <c r="AE262" i="44" s="1"/>
  <c r="M105" i="98" s="1"/>
  <c r="AE229" i="44"/>
  <c r="AE234" i="44" s="1"/>
  <c r="AE235" i="44" s="1"/>
  <c r="V54" i="114" s="1"/>
  <c r="AE220" i="44"/>
  <c r="AE225" i="44" s="1"/>
  <c r="AE226" i="44" s="1"/>
  <c r="V53" i="114" s="1"/>
  <c r="AE160" i="44"/>
  <c r="AF232" i="44"/>
  <c r="AF251" i="44"/>
  <c r="AF189" i="44"/>
  <c r="AF241" i="44"/>
  <c r="AE263" i="44" l="1"/>
  <c r="V59" i="114" s="1"/>
  <c r="AE161" i="44"/>
  <c r="AF159" i="44" s="1"/>
  <c r="AF192" i="44" s="1"/>
  <c r="AF240" i="44" s="1"/>
  <c r="AF244" i="44" s="1"/>
  <c r="AF245" i="44" s="1"/>
  <c r="W57" i="114" s="1"/>
  <c r="M101" i="98"/>
  <c r="AF130" i="44"/>
  <c r="AF88" i="44"/>
  <c r="AF212" i="44"/>
  <c r="AF222" i="44" s="1"/>
  <c r="AF14" i="56"/>
  <c r="AF191" i="44" s="1"/>
  <c r="AF230" i="44" l="1"/>
  <c r="AF249" i="44"/>
  <c r="AF165" i="44"/>
  <c r="AF92" i="44"/>
  <c r="AF15" i="56"/>
  <c r="AF193" i="44" s="1"/>
  <c r="AF195" i="44" s="1"/>
  <c r="AF213" i="44" l="1"/>
  <c r="AF221" i="44" s="1"/>
  <c r="AF223" i="44" s="1"/>
  <c r="AF98" i="44"/>
  <c r="AF101" i="44" s="1"/>
  <c r="AF103" i="44" s="1"/>
  <c r="AF131" i="44"/>
  <c r="AF167" i="44"/>
  <c r="AF172" i="44" s="1"/>
  <c r="AF174" i="44" l="1"/>
  <c r="AG169" i="44"/>
  <c r="AF105" i="44"/>
  <c r="AF107" i="44"/>
  <c r="AF109" i="44" l="1"/>
  <c r="AF248" i="44" s="1"/>
  <c r="AF129" i="44"/>
  <c r="AF133" i="44" s="1"/>
  <c r="AF211" i="44"/>
  <c r="AF215" i="44" s="1"/>
  <c r="AF111" i="44" l="1"/>
  <c r="AF257" i="44"/>
  <c r="AF141" i="44"/>
  <c r="AF143" i="44" s="1"/>
  <c r="AF156" i="44" s="1"/>
  <c r="AF157" i="44" s="1"/>
  <c r="AG155" i="44" s="1"/>
  <c r="AG187" i="44" s="1"/>
  <c r="AF256" i="44"/>
  <c r="AF247" i="44"/>
  <c r="AF253" i="44" s="1"/>
  <c r="AF254" i="44" s="1"/>
  <c r="W58" i="114" s="1"/>
  <c r="AF220" i="44"/>
  <c r="AF225" i="44" s="1"/>
  <c r="AF229" i="44"/>
  <c r="AF234" i="44" s="1"/>
  <c r="AF235" i="44" s="1"/>
  <c r="W54" i="114" s="1"/>
  <c r="AF262" i="44" l="1"/>
  <c r="AF263" i="44" s="1"/>
  <c r="W59" i="114" s="1"/>
  <c r="AF160" i="44"/>
  <c r="N101" i="98"/>
  <c r="AF226" i="44"/>
  <c r="W53" i="114" s="1"/>
  <c r="AG241" i="44"/>
  <c r="AG189" i="44"/>
  <c r="AG232" i="44"/>
  <c r="AG251" i="44"/>
  <c r="AF161" i="44" l="1"/>
  <c r="AG159" i="44" s="1"/>
  <c r="AG192" i="44" s="1"/>
  <c r="AG230" i="44" s="1"/>
  <c r="N105" i="98"/>
  <c r="AG14" i="56"/>
  <c r="AG191" i="44" s="1"/>
  <c r="AG212" i="44"/>
  <c r="AG222" i="44" s="1"/>
  <c r="AG88" i="44"/>
  <c r="AG130" i="44"/>
  <c r="AG240" i="44" l="1"/>
  <c r="AG244" i="44" s="1"/>
  <c r="AG245" i="44" s="1"/>
  <c r="X57" i="114" s="1"/>
  <c r="AG249" i="44"/>
  <c r="AG15" i="56"/>
  <c r="AG193" i="44" s="1"/>
  <c r="AG195" i="44" s="1"/>
  <c r="AG165" i="44"/>
  <c r="AG92" i="44"/>
  <c r="AG213" i="44" l="1"/>
  <c r="AG221" i="44" s="1"/>
  <c r="AG223" i="44" s="1"/>
  <c r="AG131" i="44"/>
  <c r="AG167" i="44"/>
  <c r="AG172" i="44" s="1"/>
  <c r="AG98" i="44"/>
  <c r="AG101" i="44" s="1"/>
  <c r="AG103" i="44" s="1"/>
  <c r="AG105" i="44" l="1"/>
  <c r="AG107" i="44"/>
  <c r="AG174" i="44"/>
  <c r="AH169" i="44"/>
  <c r="AG211" i="44" l="1"/>
  <c r="AG215" i="44" s="1"/>
  <c r="AG129" i="44"/>
  <c r="AG133" i="44" s="1"/>
  <c r="AG109" i="44"/>
  <c r="AG248" i="44" l="1"/>
  <c r="AG257" i="44"/>
  <c r="AG141" i="44"/>
  <c r="AG143" i="44" s="1"/>
  <c r="AG111" i="44"/>
  <c r="AG229" i="44"/>
  <c r="AG234" i="44" s="1"/>
  <c r="AG235" i="44" s="1"/>
  <c r="X54" i="114" s="1"/>
  <c r="AG256" i="44"/>
  <c r="AG247" i="44"/>
  <c r="AG220" i="44"/>
  <c r="AG225" i="44" s="1"/>
  <c r="AG262" i="44" l="1"/>
  <c r="AG263" i="44" s="1"/>
  <c r="X59" i="114" s="1"/>
  <c r="AG253" i="44"/>
  <c r="AG254" i="44" s="1"/>
  <c r="X58" i="114" s="1"/>
  <c r="AG156" i="44"/>
  <c r="AG157" i="44" s="1"/>
  <c r="AH155" i="44" s="1"/>
  <c r="AH187" i="44" s="1"/>
  <c r="O101" i="98"/>
  <c r="AG226" i="44"/>
  <c r="X53" i="114" s="1"/>
  <c r="O105" i="98" l="1"/>
  <c r="AG160" i="44"/>
  <c r="AH232" i="44"/>
  <c r="AH251" i="44"/>
  <c r="AH241" i="44"/>
  <c r="AH189" i="44"/>
  <c r="AG161" i="44" l="1"/>
  <c r="AH159" i="44" s="1"/>
  <c r="AH192" i="44" s="1"/>
  <c r="AH230" i="44" s="1"/>
  <c r="AH130" i="44"/>
  <c r="AH212" i="44"/>
  <c r="AH222" i="44" s="1"/>
  <c r="AH88" i="44"/>
  <c r="AH240" i="44" l="1"/>
  <c r="AH244" i="44" s="1"/>
  <c r="AH245" i="44" s="1"/>
  <c r="Y57" i="114" s="1"/>
  <c r="AH249" i="44"/>
  <c r="AH14" i="56"/>
  <c r="AH191" i="44" s="1"/>
  <c r="AH92" i="44"/>
  <c r="AH165" i="44"/>
  <c r="AH15" i="56"/>
  <c r="AH193" i="44" s="1"/>
  <c r="AH195" i="44" l="1"/>
  <c r="AH131" i="44" s="1"/>
  <c r="AH98" i="44" l="1"/>
  <c r="AH101" i="44" s="1"/>
  <c r="AH103" i="44" s="1"/>
  <c r="AH105" i="44" s="1"/>
  <c r="AH213" i="44"/>
  <c r="AH221" i="44" s="1"/>
  <c r="AH223" i="44" s="1"/>
  <c r="AH167" i="44"/>
  <c r="AH172" i="44" s="1"/>
  <c r="AH174" i="44" s="1"/>
  <c r="AH107" i="44" l="1"/>
  <c r="AH109" i="44" s="1"/>
  <c r="AH111" i="44" s="1"/>
  <c r="AI169" i="44"/>
  <c r="AH211" i="44"/>
  <c r="AH215" i="44" s="1"/>
  <c r="AH129" i="44"/>
  <c r="AH133" i="44" s="1"/>
  <c r="AH257" i="44" l="1"/>
  <c r="AH141" i="44"/>
  <c r="AH143" i="44" s="1"/>
  <c r="AH156" i="44" s="1"/>
  <c r="AH157" i="44" s="1"/>
  <c r="AI155" i="44" s="1"/>
  <c r="AI187" i="44" s="1"/>
  <c r="AH248" i="44"/>
  <c r="AH229" i="44"/>
  <c r="AH234" i="44" s="1"/>
  <c r="AH235" i="44" s="1"/>
  <c r="Y54" i="114" s="1"/>
  <c r="AH247" i="44"/>
  <c r="AH220" i="44"/>
  <c r="AH225" i="44" s="1"/>
  <c r="AH256" i="44"/>
  <c r="AH262" i="44" l="1"/>
  <c r="AH263" i="44" s="1"/>
  <c r="Y59" i="114" s="1"/>
  <c r="AH253" i="44"/>
  <c r="AH254" i="44" s="1"/>
  <c r="Y58" i="114" s="1"/>
  <c r="P101" i="98"/>
  <c r="AH226" i="44"/>
  <c r="Y53" i="114" s="1"/>
  <c r="AH160" i="44"/>
  <c r="AI232" i="44"/>
  <c r="AI241" i="44"/>
  <c r="AI189" i="44"/>
  <c r="AI251" i="44"/>
  <c r="P105" i="98" l="1"/>
  <c r="AH161" i="44"/>
  <c r="AI159" i="44" s="1"/>
  <c r="AI192" i="44" s="1"/>
  <c r="AI240" i="44" s="1"/>
  <c r="AI244" i="44" s="1"/>
  <c r="AI245" i="44" s="1"/>
  <c r="Z57" i="114" s="1"/>
  <c r="AI14" i="56"/>
  <c r="AI191" i="44" s="1"/>
  <c r="AI212" i="44"/>
  <c r="AI222" i="44" s="1"/>
  <c r="AI88" i="44"/>
  <c r="AI130" i="44"/>
  <c r="AI15" i="56" l="1"/>
  <c r="AI193" i="44" s="1"/>
  <c r="AI195" i="44" s="1"/>
  <c r="AI249" i="44"/>
  <c r="AI230" i="44"/>
  <c r="AI165" i="44"/>
  <c r="AI92" i="44"/>
  <c r="AI98" i="44" l="1"/>
  <c r="AI101" i="44" s="1"/>
  <c r="AI103" i="44" s="1"/>
  <c r="AI167" i="44"/>
  <c r="AI172" i="44" s="1"/>
  <c r="AI131" i="44"/>
  <c r="AI213" i="44"/>
  <c r="AI221" i="44" s="1"/>
  <c r="AI223" i="44" s="1"/>
  <c r="AJ169" i="44" l="1"/>
  <c r="AI174" i="44"/>
  <c r="AI105" i="44"/>
  <c r="AI107" i="44"/>
  <c r="AI211" i="44" l="1"/>
  <c r="AI215" i="44" s="1"/>
  <c r="AI129" i="44"/>
  <c r="AI133" i="44" s="1"/>
  <c r="AI109" i="44"/>
  <c r="AI111" i="44" l="1"/>
  <c r="AI141" i="44"/>
  <c r="AI143" i="44" s="1"/>
  <c r="AI248" i="44"/>
  <c r="AI257" i="44"/>
  <c r="AI247" i="44"/>
  <c r="AI256" i="44"/>
  <c r="AI229" i="44"/>
  <c r="AI234" i="44" s="1"/>
  <c r="AI235" i="44" s="1"/>
  <c r="Z54" i="114" s="1"/>
  <c r="AI220" i="44"/>
  <c r="AI225" i="44" s="1"/>
  <c r="AI262" i="44" l="1"/>
  <c r="AI263" i="44" s="1"/>
  <c r="Z59" i="114" s="1"/>
  <c r="Q101" i="98"/>
  <c r="AI226" i="44"/>
  <c r="Z53" i="114" s="1"/>
  <c r="AI253" i="44"/>
  <c r="AI254" i="44" s="1"/>
  <c r="Z58" i="114" s="1"/>
  <c r="AI156" i="44"/>
  <c r="AI157" i="44" s="1"/>
  <c r="AJ155" i="44" s="1"/>
  <c r="AJ187" i="44" s="1"/>
  <c r="Q105" i="98" l="1"/>
  <c r="AI160" i="44"/>
  <c r="AJ232" i="44"/>
  <c r="AJ189" i="44"/>
  <c r="AJ241" i="44"/>
  <c r="AJ251" i="44"/>
  <c r="AI161" i="44" l="1"/>
  <c r="AJ159" i="44" s="1"/>
  <c r="AJ192" i="44" s="1"/>
  <c r="AJ15" i="56"/>
  <c r="AJ193" i="44" s="1"/>
  <c r="AJ130" i="44"/>
  <c r="AJ212" i="44"/>
  <c r="AJ222" i="44" s="1"/>
  <c r="AJ88" i="44"/>
  <c r="AJ14" i="56" l="1"/>
  <c r="AJ191" i="44" s="1"/>
  <c r="AJ195" i="44" s="1"/>
  <c r="AJ249" i="44"/>
  <c r="AJ230" i="44"/>
  <c r="AJ240" i="44"/>
  <c r="AJ244" i="44" s="1"/>
  <c r="AJ245" i="44" s="1"/>
  <c r="AA57" i="114" s="1"/>
  <c r="AJ92" i="44"/>
  <c r="AJ165" i="44"/>
  <c r="AJ131" i="44" l="1"/>
  <c r="AJ98" i="44"/>
  <c r="AJ101" i="44" s="1"/>
  <c r="AJ103" i="44" s="1"/>
  <c r="AJ213" i="44"/>
  <c r="AJ221" i="44" s="1"/>
  <c r="AJ223" i="44" s="1"/>
  <c r="AJ167" i="44"/>
  <c r="AJ172" i="44" s="1"/>
  <c r="AJ174" i="44" s="1"/>
  <c r="AJ105" i="44" l="1"/>
  <c r="AJ107" i="44"/>
  <c r="AJ109" i="44" s="1"/>
  <c r="AJ211" i="44"/>
  <c r="AJ215" i="44" s="1"/>
  <c r="AJ129" i="44"/>
  <c r="AJ133" i="44" s="1"/>
  <c r="AJ111" i="44" l="1"/>
  <c r="AJ229" i="44"/>
  <c r="AJ234" i="44" s="1"/>
  <c r="AJ235" i="44" s="1"/>
  <c r="AA54" i="114" s="1"/>
  <c r="AJ247" i="44"/>
  <c r="AJ220" i="44"/>
  <c r="AJ225" i="44" s="1"/>
  <c r="AJ256" i="44"/>
  <c r="AJ248" i="44"/>
  <c r="AJ141" i="44"/>
  <c r="AJ143" i="44" s="1"/>
  <c r="AJ257" i="44"/>
  <c r="AJ262" i="44" l="1"/>
  <c r="AJ263" i="44" s="1"/>
  <c r="AA59" i="114" s="1"/>
  <c r="AJ253" i="44"/>
  <c r="AJ254" i="44" s="1"/>
  <c r="AA58" i="114" s="1"/>
  <c r="AJ156" i="44"/>
  <c r="AJ157" i="44" s="1"/>
  <c r="R101" i="98"/>
  <c r="AJ226" i="44"/>
  <c r="AA53" i="114" s="1"/>
  <c r="R105" i="98" l="1"/>
  <c r="AJ160" i="44"/>
  <c r="AJ161" i="44" s="1"/>
  <c r="O42" i="98" l="1"/>
  <c r="O44" i="98" s="1"/>
  <c r="I42" i="98"/>
  <c r="I44" i="98" s="1"/>
  <c r="AH17" i="12"/>
  <c r="P42" i="98" s="1"/>
  <c r="P44" i="98" s="1"/>
  <c r="AJ17" i="12"/>
  <c r="R42" i="98" s="1"/>
  <c r="R44" i="98" s="1"/>
  <c r="AA17" i="12"/>
  <c r="AA22" i="12" s="1"/>
  <c r="AA39" i="12"/>
  <c r="AA45" i="12" s="1"/>
  <c r="R19" i="114" s="1"/>
  <c r="AA44" i="12"/>
  <c r="AD17" i="12"/>
  <c r="AI13" i="42" s="1"/>
  <c r="O183" i="98" s="1"/>
  <c r="AD22" i="12"/>
  <c r="AB22" i="12"/>
  <c r="AB17" i="12"/>
  <c r="AG13" i="42" s="1"/>
  <c r="J42" i="98"/>
  <c r="J44" i="98" s="1"/>
  <c r="AF17" i="12"/>
  <c r="AF39" i="12"/>
  <c r="AF44" i="12" s="1"/>
  <c r="AF105" i="116"/>
  <c r="AF107" i="116" s="1"/>
  <c r="AC17" i="12"/>
  <c r="K42" i="98" s="1"/>
  <c r="K44" i="98" s="1"/>
  <c r="AE17" i="12"/>
  <c r="AJ13" i="42" s="1"/>
  <c r="P183" i="98" s="1"/>
  <c r="AG17" i="12"/>
  <c r="AL13" i="42" s="1"/>
  <c r="AI17" i="12"/>
  <c r="AN13" i="42" s="1"/>
  <c r="AB39" i="12" l="1"/>
  <c r="M42" i="98"/>
  <c r="M44" i="98" s="1"/>
  <c r="AF13" i="42"/>
  <c r="L183" i="98" s="1"/>
  <c r="AE29" i="12"/>
  <c r="V21" i="114" s="1"/>
  <c r="AG29" i="12"/>
  <c r="X21" i="114" s="1"/>
  <c r="AA89" i="86"/>
  <c r="AF45" i="12"/>
  <c r="W19" i="114" s="1"/>
  <c r="AO13" i="42"/>
  <c r="AE39" i="12"/>
  <c r="AJ29" i="12"/>
  <c r="AA21" i="114" s="1"/>
  <c r="AG39" i="12"/>
  <c r="AB29" i="12"/>
  <c r="S21" i="114" s="1"/>
  <c r="AJ39" i="12"/>
  <c r="AJ45" i="12" s="1"/>
  <c r="AA19" i="114" s="1"/>
  <c r="AM13" i="42"/>
  <c r="AF89" i="86"/>
  <c r="AF90" i="86" s="1"/>
  <c r="AC39" i="12"/>
  <c r="AJ19" i="12"/>
  <c r="AI39" i="12"/>
  <c r="AE22" i="12"/>
  <c r="M183" i="98"/>
  <c r="AV13" i="42"/>
  <c r="AA29" i="12"/>
  <c r="R21" i="114" s="1"/>
  <c r="AA105" i="116"/>
  <c r="AH13" i="42"/>
  <c r="N183" i="98" s="1"/>
  <c r="AG105" i="116"/>
  <c r="AC44" i="12"/>
  <c r="AK13" i="42"/>
  <c r="AG89" i="86"/>
  <c r="AB45" i="12"/>
  <c r="S19" i="114" s="1"/>
  <c r="AC45" i="12"/>
  <c r="T19" i="114" s="1"/>
  <c r="Q42" i="98"/>
  <c r="Q44" i="98" s="1"/>
  <c r="AC22" i="12"/>
  <c r="N42" i="98"/>
  <c r="N44" i="98" s="1"/>
  <c r="AC29" i="12"/>
  <c r="T21" i="114" s="1"/>
  <c r="AI29" i="12"/>
  <c r="Z21" i="114" s="1"/>
  <c r="AH29" i="12"/>
  <c r="Y21" i="114" s="1"/>
  <c r="AF29" i="12"/>
  <c r="W21" i="114" s="1"/>
  <c r="AE19" i="12"/>
  <c r="AH39" i="12"/>
  <c r="L42" i="98"/>
  <c r="L44" i="98" s="1"/>
  <c r="AF106" i="116"/>
  <c r="AD39" i="12"/>
  <c r="AD29" i="12"/>
  <c r="U21" i="114" s="1"/>
  <c r="AB89" i="86"/>
  <c r="AF91" i="86"/>
  <c r="W16" i="114" s="1"/>
  <c r="AJ44" i="12" l="1"/>
  <c r="AG45" i="12"/>
  <c r="X19" i="114" s="1"/>
  <c r="AG44" i="12"/>
  <c r="AE105" i="116"/>
  <c r="AE44" i="12"/>
  <c r="AE89" i="86"/>
  <c r="AE45" i="12"/>
  <c r="V19" i="114" s="1"/>
  <c r="AA91" i="86"/>
  <c r="R16" i="114" s="1"/>
  <c r="AA90" i="86"/>
  <c r="AI45" i="12"/>
  <c r="Z19" i="114" s="1"/>
  <c r="AI44" i="12"/>
  <c r="AI89" i="86"/>
  <c r="AJ41" i="12"/>
  <c r="AJ89" i="86"/>
  <c r="AJ91" i="86" s="1"/>
  <c r="AA16" i="114" s="1"/>
  <c r="AJ105" i="116"/>
  <c r="AJ107" i="116" s="1"/>
  <c r="AI105" i="116"/>
  <c r="AI107" i="116" s="1"/>
  <c r="AC105" i="116"/>
  <c r="AC89" i="86"/>
  <c r="AB105" i="116"/>
  <c r="AB44" i="12"/>
  <c r="AD89" i="86"/>
  <c r="AD105" i="116"/>
  <c r="AD44" i="12"/>
  <c r="AD45" i="12"/>
  <c r="U19" i="114" s="1"/>
  <c r="E37" i="98"/>
  <c r="AB91" i="86"/>
  <c r="S16" i="114" s="1"/>
  <c r="AB90" i="86"/>
  <c r="AG91" i="86"/>
  <c r="X16" i="114" s="1"/>
  <c r="AG90" i="86"/>
  <c r="AI106" i="116"/>
  <c r="AH44" i="12"/>
  <c r="AH105" i="116"/>
  <c r="AH45" i="12"/>
  <c r="Y19" i="114" s="1"/>
  <c r="AH89" i="86"/>
  <c r="AA106" i="116"/>
  <c r="AA107" i="116"/>
  <c r="AE41" i="12"/>
  <c r="AG106" i="116"/>
  <c r="AG107" i="116"/>
  <c r="AW13" i="42"/>
  <c r="AS13" i="42"/>
  <c r="AR13" i="42"/>
  <c r="AI91" i="86" l="1"/>
  <c r="Z16" i="114" s="1"/>
  <c r="AI90" i="86"/>
  <c r="AE90" i="86"/>
  <c r="AE91" i="86"/>
  <c r="V16" i="114" s="1"/>
  <c r="AB107" i="116"/>
  <c r="AB106" i="116"/>
  <c r="AC91" i="86"/>
  <c r="T16" i="114" s="1"/>
  <c r="AC90" i="86"/>
  <c r="AE106" i="116"/>
  <c r="AE107" i="116"/>
  <c r="AJ106" i="116"/>
  <c r="AC106" i="116"/>
  <c r="AC107" i="116"/>
  <c r="AJ90" i="86"/>
  <c r="AD107" i="116"/>
  <c r="AD106" i="116"/>
  <c r="I9" i="114"/>
  <c r="AH90" i="86"/>
  <c r="AH91" i="86"/>
  <c r="Y16" i="114" s="1"/>
  <c r="AH106" i="116"/>
  <c r="AH107" i="116"/>
  <c r="AD91" i="86"/>
  <c r="U16" i="114" s="1"/>
  <c r="AD90" i="8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Matthew Donoghue</author>
  </authors>
  <commentList>
    <comment ref="M42" authorId="0" shapeId="0" xr:uid="{00000000-0006-0000-0200-000001000000}">
      <text>
        <r>
          <rPr>
            <b/>
            <sz val="9"/>
            <color indexed="81"/>
            <rFont val="Tahoma"/>
            <family val="2"/>
          </rPr>
          <t>ESC:</t>
        </r>
        <r>
          <rPr>
            <sz val="9"/>
            <color indexed="81"/>
            <rFont val="Tahoma"/>
            <family val="2"/>
          </rPr>
          <t xml:space="preserve"> note drainage and waterways previously had a WACC of 5.80 per cent rather the 5.10 per cent for other services.
Ref:  MELBOURNE WATER’S DRAINAGE AND WATERWAYS WATER PLAN 2008-2013, June 2008,  p36
See below 
http://www.esc.vic.gov.au/NR/rdonlyres/E1E7BB85-FF86-4CBC-BB9D-475542B5AFE1/0/FDP2008WaterPriceReviewFinalDecision20080619.pdf</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tc={3C195588-E6B2-4D93-BAAE-154F9B2366E5}</author>
    <author>tc={C73050B4-77EF-4B65-96CD-F7A72E0B698D}</author>
  </authors>
  <commentList>
    <comment ref="G34" authorId="0" shapeId="0" xr:uid="{3C195588-E6B2-4D93-BAAE-154F9B2366E5}">
      <text>
        <t>[Threaded comment]
Your version of Excel allows you to read this threaded comment; however, any edits to it will get removed if the file is opened in a newer version of Excel. Learn more: https://go.microsoft.com/fwlink/?linkid=870924
Comment:
    FD_MW 2021 Price Review Model</t>
      </text>
    </comment>
    <comment ref="N56" authorId="1" shapeId="0" xr:uid="{C73050B4-77EF-4B65-96CD-F7A72E0B698D}">
      <text>
        <t>[Threaded comment]
Your version of Excel allows you to read this threaded comment; however, any edits to it will get removed if the file is opened in a newer version of Excel. Learn more: https://go.microsoft.com/fwlink/?linkid=870924
Comment:
    Advised by MW 15/8/2025</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tc={8957352F-8940-4B83-8EEA-2E95D76F4184}</author>
    <author>tc={523929F3-A933-4B69-8DD6-7FEFAE0C48CC}</author>
    <author>Kean Chan (ESC)</author>
  </authors>
  <commentList>
    <comment ref="Y19" authorId="0" shapeId="0" xr:uid="{8957352F-8940-4B83-8EEA-2E95D76F4184}">
      <text>
        <t>[Threaded comment]
Your version of Excel allows you to read this threaded comment; however, any edits to it will get removed if the file is opened in a newer version of Excel. Learn more: https://go.microsoft.com/fwlink/?linkid=870924
Comment:
    updated to exclude diversions which have been reclassified as part of W&amp;D</t>
      </text>
    </comment>
    <comment ref="AB26" authorId="1" shapeId="0" xr:uid="{523929F3-A933-4B69-8DD6-7FEFAE0C48CC}">
      <text>
        <t>[Threaded comment]
Your version of Excel allows you to read this threaded comment; however, any edits to it will get removed if the file is opened in a newer version of Excel. Learn more: https://go.microsoft.com/fwlink/?linkid=870924
Comment:
    removed diversion following a change in opex classification - ESC approved). 
=removed 1.121677m $26  (0.92955m in $21)</t>
      </text>
    </comment>
    <comment ref="H71" authorId="2" shapeId="0" xr:uid="{A7A76A97-3F3B-443A-87E3-FB9EED6B0935}">
      <text>
        <r>
          <rPr>
            <sz val="9"/>
            <color indexed="81"/>
            <rFont val="Tahoma"/>
            <family val="2"/>
          </rPr>
          <t>Must</t>
        </r>
        <r>
          <rPr>
            <b/>
            <sz val="9"/>
            <color indexed="81"/>
            <rFont val="Tahoma"/>
            <family val="2"/>
          </rPr>
          <t xml:space="preserve"> NOT </t>
        </r>
        <r>
          <rPr>
            <sz val="9"/>
            <color indexed="81"/>
            <rFont val="Tahoma"/>
            <family val="2"/>
          </rPr>
          <t>select waterways &amp; drainage service</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tc={C2D29650-D68C-4EFC-97C1-49BA0A6A61E9}</author>
    <author>tc={BF1638ED-B5F4-4F8B-B8F2-3E6CA24A3592}</author>
    <author>Kean Chan (ESC)</author>
  </authors>
  <commentList>
    <comment ref="Y19" authorId="0" shapeId="0" xr:uid="{C2D29650-D68C-4EFC-97C1-49BA0A6A61E9}">
      <text>
        <t>[Threaded comment]
Your version of Excel allows you to read this threaded comment; however, any edits to it will get removed if the file is opened in a newer version of Excel. Learn more: https://go.microsoft.com/fwlink/?linkid=870924
Comment:
    Diversions have been reclassified from W &amp;S</t>
      </text>
    </comment>
    <comment ref="AB26" authorId="1" shapeId="0" xr:uid="{BF1638ED-B5F4-4F8B-B8F2-3E6CA24A3592}">
      <text>
        <t xml:space="preserve">[Threaded comment]
Your version of Excel allows you to read this threaded comment; however, any edits to it will get removed if the file is opened in a newer version of Excel. Learn more: https://go.microsoft.com/fwlink/?linkid=870924
Comment:
    added Diversion following a change in opex classification. 
=1.121677m $26  (0.92955m in $21)
</t>
      </text>
    </comment>
    <comment ref="H71" authorId="2" shapeId="0" xr:uid="{71EC8213-B9A2-4994-A873-E8608F69F789}">
      <text>
        <r>
          <rPr>
            <b/>
            <sz val="9"/>
            <color indexed="81"/>
            <rFont val="Tahoma"/>
            <family val="2"/>
          </rPr>
          <t>Must select only waterways &amp; drainage service</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Kean Chan (ESC)</author>
  </authors>
  <commentList>
    <comment ref="AP15" authorId="0" shapeId="0" xr:uid="{02293B80-C137-4A0E-AB24-D683DE05B601}">
      <text>
        <r>
          <rPr>
            <sz val="9"/>
            <color indexed="81"/>
            <rFont val="Tahoma"/>
            <family val="2"/>
          </rPr>
          <t>Feeds to Summary_FO AE19</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Kean Chan (ESC)</author>
  </authors>
  <commentList>
    <comment ref="D40" authorId="0" shapeId="0" xr:uid="{3DCA0045-01C6-45EC-8303-F5F7781AFCDA}">
      <text>
        <r>
          <rPr>
            <sz val="9"/>
            <color indexed="81"/>
            <rFont val="Tahoma"/>
            <family val="2"/>
          </rPr>
          <t xml:space="preserve">&lt;&lt;&lt;Enter a breakdown of each asset class with its respective remaining asset life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Kean Chan (ESC)</author>
  </authors>
  <commentList>
    <comment ref="F91" authorId="0" shapeId="0" xr:uid="{45387E9F-4C91-44AE-8908-23A700538B1A}">
      <text>
        <r>
          <rPr>
            <sz val="9"/>
            <color indexed="81"/>
            <rFont val="Tahoma"/>
            <family val="2"/>
          </rPr>
          <t xml:space="preserve">Trailing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Kean Chan (ESC)</author>
  </authors>
  <commentList>
    <comment ref="H225" authorId="0" shapeId="0" xr:uid="{B136DBAC-AC6C-4050-93C8-36C07ACE8D50}">
      <text>
        <r>
          <rPr>
            <sz val="9"/>
            <color indexed="81"/>
            <rFont val="Tahoma"/>
            <family val="2"/>
          </rPr>
          <t xml:space="preserve">No change to this threshold
</t>
        </r>
      </text>
    </comment>
    <comment ref="H234" authorId="0" shapeId="0" xr:uid="{87D39311-0AFD-4048-9711-7A0DB9E9A2E8}">
      <text>
        <r>
          <rPr>
            <sz val="9"/>
            <color indexed="81"/>
            <rFont val="Tahoma"/>
            <family val="2"/>
          </rPr>
          <t>Previously 10%</t>
        </r>
      </text>
    </comment>
    <comment ref="H244" authorId="0" shapeId="0" xr:uid="{FA19A645-D60E-40AE-B919-A72C67047C80}">
      <text>
        <r>
          <rPr>
            <sz val="9"/>
            <color indexed="81"/>
            <rFont val="Tahoma"/>
            <family val="2"/>
          </rPr>
          <t>Previously 70%, No gearing ratio for the notional test</t>
        </r>
      </text>
    </comment>
    <comment ref="E246" authorId="0" shapeId="0" xr:uid="{7D00EB90-AB37-456C-9462-0D326D8C474C}">
      <text>
        <r>
          <rPr>
            <sz val="9"/>
            <color indexed="81"/>
            <rFont val="Tahoma"/>
            <family val="2"/>
          </rPr>
          <t>New indicator</t>
        </r>
      </text>
    </comment>
    <comment ref="E248" authorId="0" shapeId="0" xr:uid="{F10598CD-E8FE-4BD0-AC28-D3F846EED7C7}">
      <text>
        <r>
          <rPr>
            <b/>
            <sz val="9"/>
            <color indexed="81"/>
            <rFont val="Tahoma"/>
            <family val="2"/>
          </rPr>
          <t>Kean Chan (ESC):</t>
        </r>
        <r>
          <rPr>
            <sz val="9"/>
            <color indexed="81"/>
            <rFont val="Tahoma"/>
            <family val="2"/>
          </rPr>
          <t xml:space="preserve">
Ordinary dividends</t>
        </r>
      </text>
    </comment>
    <comment ref="H262" authorId="0" shapeId="0" xr:uid="{3039A06C-A7FC-4C43-8BC2-A15CEC240475}">
      <text>
        <r>
          <rPr>
            <sz val="9"/>
            <color indexed="81"/>
            <rFont val="Tahoma"/>
            <family val="2"/>
          </rPr>
          <t>No change to this threshold</t>
        </r>
      </text>
    </comment>
    <comment ref="D269" authorId="0" shapeId="0" xr:uid="{734CE10C-6078-48D4-8C27-A7E3C0E5B841}">
      <text>
        <r>
          <rPr>
            <sz val="9"/>
            <color indexed="81"/>
            <rFont val="Tahoma"/>
            <family val="2"/>
          </rPr>
          <t xml:space="preserve">ESC adopts a notional test on the effectiveness of price controls. 
</t>
        </r>
      </text>
    </comment>
    <comment ref="E272" authorId="0" shapeId="0" xr:uid="{007D382E-A135-4599-ABC5-E7548630CC42}">
      <text>
        <r>
          <rPr>
            <sz val="9"/>
            <color indexed="81"/>
            <rFont val="Tahoma"/>
            <family val="2"/>
          </rPr>
          <t xml:space="preserve">non-prescribed revenue
, interest revenue
these are not part of the notional tests,
removed all non-prescribed items </t>
        </r>
      </text>
    </comment>
    <comment ref="E276" authorId="0" shapeId="0" xr:uid="{21B3D0FE-0436-456A-B033-7F866A30DF6A}">
      <text>
        <r>
          <rPr>
            <sz val="9"/>
            <color indexed="81"/>
            <rFont val="Tahoma"/>
            <family val="2"/>
          </rPr>
          <t>operating
adjustments are outside the buiiding blocks methodology</t>
        </r>
      </text>
    </comment>
    <comment ref="E280" authorId="0" shapeId="0" xr:uid="{E286F7B4-DA75-42BD-930E-F8169F990CCD}">
      <text>
        <r>
          <rPr>
            <sz val="9"/>
            <color indexed="81"/>
            <rFont val="Tahoma"/>
            <family val="2"/>
          </rPr>
          <t xml:space="preserve">interest revenue is outside the notional test
</t>
        </r>
      </text>
    </comment>
    <comment ref="E290" authorId="0" shapeId="0" xr:uid="{615B534B-727F-4014-8C97-48776C8A19DF}">
      <text>
        <r>
          <rPr>
            <sz val="9"/>
            <color indexed="81"/>
            <rFont val="Tahoma"/>
            <family val="2"/>
          </rPr>
          <t>0 as interest revenue is not part of the notional test</t>
        </r>
      </text>
    </comment>
    <comment ref="E298" authorId="0" shapeId="0" xr:uid="{6F242D72-CBC9-4669-897D-BF22C6E97263}">
      <text>
        <r>
          <rPr>
            <sz val="9"/>
            <color indexed="81"/>
            <rFont val="Tahoma"/>
            <family val="2"/>
          </rPr>
          <t xml:space="preserve"> 60% Average Regulatory Asset Base</t>
        </r>
      </text>
    </comment>
    <comment ref="E299" authorId="0" shapeId="0" xr:uid="{23566AE2-7142-4474-9047-5831E8C2418C}">
      <text>
        <r>
          <rPr>
            <sz val="9"/>
            <color indexed="81"/>
            <rFont val="Tahoma"/>
            <family val="2"/>
          </rPr>
          <t>part of the 60% gearing under building blocks methodology</t>
        </r>
      </text>
    </comment>
    <comment ref="E300" authorId="0" shapeId="0" xr:uid="{BC726C7A-E93E-416D-9EBB-6E8BBDD0B1D7}">
      <text>
        <r>
          <rPr>
            <sz val="9"/>
            <color indexed="81"/>
            <rFont val="Tahoma"/>
            <family val="2"/>
          </rPr>
          <t xml:space="preserve">0 cash assets for notional test (pricing control principles apply)
</t>
        </r>
      </text>
    </comment>
    <comment ref="E308" authorId="0" shapeId="0" xr:uid="{2DB444C5-2532-42FC-A2D9-49D7868A081A}">
      <text>
        <r>
          <rPr>
            <sz val="9"/>
            <color indexed="81"/>
            <rFont val="Tahoma"/>
            <family val="2"/>
          </rPr>
          <t xml:space="preserve"> 0 dividends as the notional test is price control based</t>
        </r>
      </text>
    </comment>
    <comment ref="E309" authorId="0" shapeId="0" xr:uid="{DA707F1D-8143-40B5-94E6-CABC533D2133}">
      <text>
        <r>
          <rPr>
            <b/>
            <sz val="9"/>
            <color indexed="81"/>
            <rFont val="Tahoma"/>
            <family val="2"/>
          </rPr>
          <t xml:space="preserve">
</t>
        </r>
        <r>
          <rPr>
            <sz val="9"/>
            <color indexed="81"/>
            <rFont val="Tahoma"/>
            <family val="2"/>
          </rPr>
          <t>prescribed only</t>
        </r>
      </text>
    </comment>
    <comment ref="E310" authorId="0" shapeId="0" xr:uid="{4213B8AF-92B5-4DFB-8539-59A831BA8335}">
      <text>
        <r>
          <rPr>
            <sz val="9"/>
            <color indexed="81"/>
            <rFont val="Tahoma"/>
            <family val="2"/>
          </rPr>
          <t>prescribed only</t>
        </r>
      </text>
    </comment>
    <comment ref="E311" authorId="0" shapeId="0" xr:uid="{0DF1F5F7-7515-43A5-B59D-E0178B955A53}">
      <text>
        <r>
          <rPr>
            <sz val="9"/>
            <color indexed="81"/>
            <rFont val="Tahoma"/>
            <family val="2"/>
          </rPr>
          <t>Prescribed only</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Kean Chan (ESC)</author>
  </authors>
  <commentList>
    <comment ref="D7" authorId="0" shapeId="0" xr:uid="{9304C98D-C80F-4FAB-9AC4-CFE96D728B3B}">
      <text>
        <r>
          <rPr>
            <b/>
            <sz val="9"/>
            <color indexed="81"/>
            <rFont val="Tahoma"/>
            <family val="2"/>
          </rPr>
          <t>2026-27</t>
        </r>
        <r>
          <rPr>
            <sz val="9"/>
            <color indexed="81"/>
            <rFont val="Tahoma"/>
            <family val="2"/>
          </rPr>
          <t xml:space="preserve">
</t>
        </r>
      </text>
    </comment>
    <comment ref="E7" authorId="0" shapeId="0" xr:uid="{0D33857A-6197-447E-80D4-5BA96B0C0DE0}">
      <text>
        <r>
          <rPr>
            <sz val="9"/>
            <color indexed="81"/>
            <rFont val="Tahoma"/>
            <family val="2"/>
          </rPr>
          <t xml:space="preserve">2025-26 Inflation adjusted prices
</t>
        </r>
      </text>
    </comment>
    <comment ref="E10" authorId="0" shapeId="0" xr:uid="{259C4C8E-7093-4EF0-9256-7CED4A885539}">
      <text>
        <r>
          <rPr>
            <b/>
            <sz val="9"/>
            <color indexed="81"/>
            <rFont val="Tahoma"/>
            <family val="2"/>
          </rPr>
          <t>ESC will update the 2026-27 inflation around early May 2026</t>
        </r>
        <r>
          <rPr>
            <sz val="9"/>
            <color indexed="81"/>
            <rFont val="Tahoma"/>
            <family val="2"/>
          </rPr>
          <t xml:space="preserve">
</t>
        </r>
      </text>
    </comment>
    <comment ref="D13" authorId="0" shapeId="0" xr:uid="{E57DA4F0-C027-4CFB-9A51-4D34BD4FECE5}">
      <text>
        <r>
          <rPr>
            <sz val="9"/>
            <color indexed="81"/>
            <rFont val="Tahoma"/>
            <family val="2"/>
          </rPr>
          <t>Please link through from
Revenue price cap or revenue tariff basket</t>
        </r>
      </text>
    </comment>
    <comment ref="F13" authorId="0" shapeId="0" xr:uid="{811B5B8E-24F5-4F0A-8FD2-CB686A3DBE8E}">
      <text>
        <r>
          <rPr>
            <sz val="9"/>
            <color indexed="81"/>
            <rFont val="Tahoma"/>
            <family val="2"/>
          </rPr>
          <t>Please link PPM in % from AW to BA in the Revenue PriceCap or Revenue Tariff Basket</t>
        </r>
      </text>
    </comment>
    <comment ref="D16" authorId="0" shapeId="0" xr:uid="{BC852849-CAA9-4B8A-8186-C80310196DC3}">
      <text>
        <r>
          <rPr>
            <sz val="9"/>
            <color indexed="81"/>
            <rFont val="Tahoma"/>
            <family val="2"/>
          </rPr>
          <t>Please link through from
Revenue price cap or revenue tariff basket</t>
        </r>
      </text>
    </comment>
    <comment ref="F16" authorId="0" shapeId="0" xr:uid="{29E0E511-F4A0-44D7-B5F7-5B3BD014BB21}">
      <text>
        <r>
          <rPr>
            <sz val="9"/>
            <color indexed="81"/>
            <rFont val="Tahoma"/>
            <family val="2"/>
          </rPr>
          <t>Please link PPM in % from AW to BA in the Revenue PriceCap or Revenue Tariff Basket</t>
        </r>
      </text>
    </comment>
    <comment ref="D19" authorId="0" shapeId="0" xr:uid="{DE77B6F8-C775-44ED-89DA-806EABC3119B}">
      <text>
        <r>
          <rPr>
            <sz val="9"/>
            <color indexed="81"/>
            <rFont val="Tahoma"/>
            <family val="2"/>
          </rPr>
          <t>Please link through from
Revenue price cap or revenue tariff basket</t>
        </r>
      </text>
    </comment>
    <comment ref="F19" authorId="0" shapeId="0" xr:uid="{0486A483-4B20-4279-A1F9-E201FDE8ACCA}">
      <text>
        <r>
          <rPr>
            <sz val="9"/>
            <color indexed="81"/>
            <rFont val="Tahoma"/>
            <family val="2"/>
          </rPr>
          <t>Please link PPM in % from AW to BA in the Revenue PriceCap or Revenue Tariff Basket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Kean Chan (ESC)</author>
  </authors>
  <commentList>
    <comment ref="D7" authorId="0" shapeId="0" xr:uid="{D1C87FDC-37F8-489B-9A80-6AF3ECB49A2B}">
      <text>
        <r>
          <rPr>
            <b/>
            <sz val="9"/>
            <color indexed="81"/>
            <rFont val="Tahoma"/>
            <family val="2"/>
          </rPr>
          <t>2026-27</t>
        </r>
        <r>
          <rPr>
            <sz val="9"/>
            <color indexed="81"/>
            <rFont val="Tahoma"/>
            <family val="2"/>
          </rPr>
          <t xml:space="preserve">
</t>
        </r>
      </text>
    </comment>
    <comment ref="E7" authorId="0" shapeId="0" xr:uid="{CFAAB921-5066-4DD5-8833-5014E5612129}">
      <text>
        <r>
          <rPr>
            <sz val="9"/>
            <color indexed="81"/>
            <rFont val="Tahoma"/>
            <family val="2"/>
          </rPr>
          <t xml:space="preserve">2025-26 Inflation adjusted prices
</t>
        </r>
      </text>
    </comment>
    <comment ref="E10" authorId="0" shapeId="0" xr:uid="{A1FD4C2C-5A79-4966-A09C-10DA86205DDE}">
      <text>
        <r>
          <rPr>
            <b/>
            <sz val="9"/>
            <color indexed="81"/>
            <rFont val="Tahoma"/>
            <family val="2"/>
          </rPr>
          <t>ESC will update the 2026-27 inflation around early May 2026</t>
        </r>
        <r>
          <rPr>
            <sz val="9"/>
            <color indexed="81"/>
            <rFont val="Tahoma"/>
            <family val="2"/>
          </rPr>
          <t xml:space="preserve">
</t>
        </r>
      </text>
    </comment>
    <comment ref="D13" authorId="0" shapeId="0" xr:uid="{4B86BDE2-170F-4566-8922-39B0305497D1}">
      <text>
        <r>
          <rPr>
            <sz val="9"/>
            <color indexed="81"/>
            <rFont val="Tahoma"/>
            <family val="2"/>
          </rPr>
          <t>Please link through from
Revenue price cap or revenue tariff basket</t>
        </r>
      </text>
    </comment>
    <comment ref="F13" authorId="0" shapeId="0" xr:uid="{46674F2A-BCF0-4C68-A268-7DD81AD83869}">
      <text>
        <r>
          <rPr>
            <sz val="9"/>
            <color indexed="81"/>
            <rFont val="Tahoma"/>
            <family val="2"/>
          </rPr>
          <t>Please link PPM in % from AW to BA in the Revenue PriceCap or Revenue Tariff Basket</t>
        </r>
      </text>
    </comment>
    <comment ref="D15" authorId="0" shapeId="0" xr:uid="{25B99DAD-FCC3-4835-BE23-5B541015B2F5}">
      <text>
        <r>
          <rPr>
            <sz val="9"/>
            <color indexed="81"/>
            <rFont val="Tahoma"/>
            <family val="2"/>
          </rPr>
          <t>Please link through from
Revenue price cap or revenue tariff basket</t>
        </r>
      </text>
    </comment>
    <comment ref="F15" authorId="0" shapeId="0" xr:uid="{B3BD81ED-1222-4B99-82E5-D9679200C285}">
      <text>
        <r>
          <rPr>
            <sz val="9"/>
            <color indexed="81"/>
            <rFont val="Tahoma"/>
            <family val="2"/>
          </rPr>
          <t>Please link PPM in % from AW to BA in the Revenue PriceCap or Revenue Tariff Basket</t>
        </r>
      </text>
    </comment>
    <comment ref="D16" authorId="0" shapeId="0" xr:uid="{4FA26652-1A16-4695-A130-A71AB8F5B505}">
      <text>
        <r>
          <rPr>
            <sz val="9"/>
            <color indexed="81"/>
            <rFont val="Tahoma"/>
            <family val="2"/>
          </rPr>
          <t>Please link through from
Revenue price cap or revenue tariff basket</t>
        </r>
      </text>
    </comment>
    <comment ref="F16" authorId="0" shapeId="0" xr:uid="{5EBDBCD1-1E70-4183-8ECF-4A5FA7B1089E}">
      <text>
        <r>
          <rPr>
            <sz val="9"/>
            <color indexed="81"/>
            <rFont val="Tahoma"/>
            <family val="2"/>
          </rPr>
          <t>Please link PPM in % from AW to BA in the Revenue PriceCap or Revenue Tariff Basket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<sst xmlns="http://schemas.openxmlformats.org/spreadsheetml/2006/main" count="6824" uniqueCount="1536">
  <si>
    <t>ESC USE ONLY</t>
  </si>
  <si>
    <r>
      <t xml:space="preserve">ESSENTIAL SERVICES </t>
    </r>
    <r>
      <rPr>
        <sz val="11"/>
        <rFont val="Calibri"/>
        <family val="2"/>
        <scheme val="minor"/>
      </rPr>
      <t>COMMISSION</t>
    </r>
  </si>
  <si>
    <t>Water Price Review - 2026</t>
  </si>
  <si>
    <t xml:space="preserve">Financial Model Template </t>
  </si>
  <si>
    <t>Table of Contents</t>
  </si>
  <si>
    <t>Water Business:</t>
  </si>
  <si>
    <t>Section &amp; Sheet Titles</t>
  </si>
  <si>
    <t>Regulatory Period:</t>
  </si>
  <si>
    <t>2026-27 to 2030-31 (Sixth)</t>
  </si>
  <si>
    <t>[Decision]</t>
  </si>
  <si>
    <t>[Month]</t>
  </si>
  <si>
    <t>[Year]</t>
  </si>
  <si>
    <t>[Version]</t>
  </si>
  <si>
    <t>Model Name:</t>
  </si>
  <si>
    <t>MW 25-26 Price Review Template</t>
  </si>
  <si>
    <t>Final</t>
  </si>
  <si>
    <t>Jun</t>
  </si>
  <si>
    <t xml:space="preserve"> - v1</t>
  </si>
  <si>
    <t xml:space="preserve"> &lt;&lt; Select</t>
  </si>
  <si>
    <t>ESC Adjustments log</t>
  </si>
  <si>
    <t>Decision type:</t>
  </si>
  <si>
    <t>Draft</t>
  </si>
  <si>
    <t>Jan</t>
  </si>
  <si>
    <t>MW Adjustment Log</t>
  </si>
  <si>
    <t>Feb</t>
  </si>
  <si>
    <t>- v1.2</t>
  </si>
  <si>
    <t>Model Key:</t>
  </si>
  <si>
    <t>Mar</t>
  </si>
  <si>
    <t xml:space="preserve"> - v3</t>
  </si>
  <si>
    <t>Apr</t>
  </si>
  <si>
    <t xml:space="preserve"> - v3.1</t>
  </si>
  <si>
    <t>BLUE</t>
  </si>
  <si>
    <t>May</t>
  </si>
  <si>
    <t xml:space="preserve"> - v4</t>
  </si>
  <si>
    <t xml:space="preserve"> - v4.1</t>
  </si>
  <si>
    <t>PURPLE</t>
  </si>
  <si>
    <t>NOTES / INSTRUCTIONS</t>
  </si>
  <si>
    <t>Jul</t>
  </si>
  <si>
    <t xml:space="preserve"> - v5</t>
  </si>
  <si>
    <t>Aug</t>
  </si>
  <si>
    <t xml:space="preserve"> - v5.1</t>
  </si>
  <si>
    <t>GREY</t>
  </si>
  <si>
    <t>MODEL PARAMETERS / ASSUMPTIONS</t>
  </si>
  <si>
    <t>Sep</t>
  </si>
  <si>
    <t xml:space="preserve"> - v6</t>
  </si>
  <si>
    <t>Oct</t>
  </si>
  <si>
    <t xml:space="preserve"> - v6.1</t>
  </si>
  <si>
    <t>WHITE</t>
  </si>
  <si>
    <t>FORMULA / HARDCODED VALUES</t>
  </si>
  <si>
    <t>Nov</t>
  </si>
  <si>
    <t xml:space="preserve"> - v7</t>
  </si>
  <si>
    <t>Dec</t>
  </si>
  <si>
    <t xml:space="preserve"> - v7.1</t>
  </si>
  <si>
    <t>ORANGE</t>
  </si>
  <si>
    <t>FORMULA DIFFERENT TO ADJACENT CELL</t>
  </si>
  <si>
    <t>[Business]</t>
  </si>
  <si>
    <t>Revenue forecast (tariff basket)</t>
  </si>
  <si>
    <t>GREEN</t>
  </si>
  <si>
    <t>DATA FROM 2021 DECISION OR PERFORMANCE REPORT</t>
  </si>
  <si>
    <t>Melbourne Water</t>
  </si>
  <si>
    <t>Barwon Water</t>
  </si>
  <si>
    <t>BW</t>
  </si>
  <si>
    <t>RED</t>
  </si>
  <si>
    <t>ERROR CHECK</t>
  </si>
  <si>
    <t>Central Highlands Water</t>
  </si>
  <si>
    <t>CHW</t>
  </si>
  <si>
    <t>City West Water</t>
  </si>
  <si>
    <t>CWW</t>
  </si>
  <si>
    <t>Coliban Water</t>
  </si>
  <si>
    <t>CW</t>
  </si>
  <si>
    <t>East Gippsland Water</t>
  </si>
  <si>
    <t>EGW</t>
  </si>
  <si>
    <t>Schedule 2 - W&amp;S</t>
  </si>
  <si>
    <t>Gippsland Water</t>
  </si>
  <si>
    <t>CGW</t>
  </si>
  <si>
    <t>Schedule 2 - W&amp;D</t>
  </si>
  <si>
    <t>Goulburn Valley Water</t>
  </si>
  <si>
    <t>GVW</t>
  </si>
  <si>
    <t>GWM Water</t>
  </si>
  <si>
    <t>GWMW</t>
  </si>
  <si>
    <t>diff model</t>
  </si>
  <si>
    <t>Dashboard - Pricing</t>
  </si>
  <si>
    <t>Lower Murray Water - Urban</t>
  </si>
  <si>
    <t>LMW-U</t>
  </si>
  <si>
    <t>Dashboard - Opex</t>
  </si>
  <si>
    <t>Lower Murray Water - Rural</t>
  </si>
  <si>
    <t>LMW-R</t>
  </si>
  <si>
    <t>Dashboard - Capex</t>
  </si>
  <si>
    <t>North East Water</t>
  </si>
  <si>
    <t>NEW</t>
  </si>
  <si>
    <t>Dashboard - Data</t>
  </si>
  <si>
    <t>South East Water</t>
  </si>
  <si>
    <t>SEW</t>
  </si>
  <si>
    <t>South Gippsland Water</t>
  </si>
  <si>
    <t>SGW</t>
  </si>
  <si>
    <t>MW</t>
  </si>
  <si>
    <t>Wannon Water</t>
  </si>
  <si>
    <t>WNW</t>
  </si>
  <si>
    <t>Western Water</t>
  </si>
  <si>
    <t>WW</t>
  </si>
  <si>
    <t>Westernport Water</t>
  </si>
  <si>
    <t>WPW</t>
  </si>
  <si>
    <t>Yarra Valley Water</t>
  </si>
  <si>
    <t>YVW</t>
  </si>
  <si>
    <t>Operating expenditure</t>
  </si>
  <si>
    <t>$m 2025-26</t>
  </si>
  <si>
    <t>At Draft decision stage only</t>
  </si>
  <si>
    <t>Model Updates</t>
  </si>
  <si>
    <t>2026-27</t>
  </si>
  <si>
    <t>2027-28</t>
  </si>
  <si>
    <t>2028-29</t>
  </si>
  <si>
    <t>2029-30</t>
  </si>
  <si>
    <t>2030-31</t>
  </si>
  <si>
    <t>Total</t>
  </si>
  <si>
    <t>No.</t>
  </si>
  <si>
    <t>Date</t>
  </si>
  <si>
    <t>Topic</t>
  </si>
  <si>
    <t>Tab</t>
  </si>
  <si>
    <t>Cell</t>
  </si>
  <si>
    <t>Comments</t>
  </si>
  <si>
    <t>Proposed - controllable operating expenditure</t>
  </si>
  <si>
    <t>DD adjustments</t>
  </si>
  <si>
    <t>xx</t>
  </si>
  <si>
    <t>FD adjustments</t>
  </si>
  <si>
    <t>Total adjustments</t>
  </si>
  <si>
    <t>Final decision - controllable operating expenditure</t>
  </si>
  <si>
    <t>Proposed - non-controllable operating expenditure</t>
  </si>
  <si>
    <t>Final decision - non-controllable operating expenditure</t>
  </si>
  <si>
    <t>Proposed - total operating expenditure</t>
  </si>
  <si>
    <t>Final decision - total operating expenditure</t>
  </si>
  <si>
    <t>Check</t>
  </si>
  <si>
    <t>Capital expenditure</t>
  </si>
  <si>
    <t>2023-24</t>
  </si>
  <si>
    <t>2024-25</t>
  </si>
  <si>
    <t>2025-26</t>
  </si>
  <si>
    <t>Proposed - capital expenditure</t>
  </si>
  <si>
    <t>Draft decision - capital expenditure</t>
  </si>
  <si>
    <t>Model Quality Check</t>
  </si>
  <si>
    <t>Go to Table of Contents</t>
  </si>
  <si>
    <t>FIFTH REG PERIOD</t>
  </si>
  <si>
    <t>SIXTH REG PERIOD</t>
  </si>
  <si>
    <t>SEVENTH REG PERIOD</t>
  </si>
  <si>
    <t>Straight Line</t>
  </si>
  <si>
    <t>Declining Balance</t>
  </si>
  <si>
    <t xml:space="preserve">  Model ready for submission:</t>
  </si>
  <si>
    <t>(If No, please ensure that the error check is corrected at the source)</t>
  </si>
  <si>
    <t>1.</t>
  </si>
  <si>
    <t>KeyAssumptionsPriceControl_FO</t>
  </si>
  <si>
    <t>March quarter annual CPI</t>
  </si>
  <si>
    <t>2.</t>
  </si>
  <si>
    <t>Opex_FO_Summary</t>
  </si>
  <si>
    <t xml:space="preserve">Reconciliation to 'Opex_Breakdown' tab </t>
  </si>
  <si>
    <t>3.</t>
  </si>
  <si>
    <t>Opex_Breakdown</t>
  </si>
  <si>
    <t>Reconciliation to 'Opex_FO_Summary' tab</t>
  </si>
  <si>
    <t>Reconciliation of Opex by service and function</t>
  </si>
  <si>
    <t>4.</t>
  </si>
  <si>
    <t>Capex_FO input</t>
  </si>
  <si>
    <t>Reconciliation of total prescribed capex between cost driver and capital type</t>
  </si>
  <si>
    <t>5.</t>
  </si>
  <si>
    <t>Capex_FO_AC</t>
  </si>
  <si>
    <t>Reconciliation to 'Capex_FO input' tab</t>
  </si>
  <si>
    <t>6.</t>
  </si>
  <si>
    <t>RollForward_FO</t>
  </si>
  <si>
    <t>Reconciliation of existing assets book value to RAB</t>
  </si>
  <si>
    <t>7.</t>
  </si>
  <si>
    <t>RevenuePriceCap_FO</t>
  </si>
  <si>
    <t>Price control -Sixth period</t>
  </si>
  <si>
    <t>Price control -Seventh period</t>
  </si>
  <si>
    <t>Tariff revenue reconciliation</t>
  </si>
  <si>
    <t>8.</t>
  </si>
  <si>
    <t>RevenueTariffBasket_FO</t>
  </si>
  <si>
    <t>9.</t>
  </si>
  <si>
    <t>Rev&amp;RAV_FO</t>
  </si>
  <si>
    <t>Rolled forward RAV reconciliation</t>
  </si>
  <si>
    <t>Actual Test</t>
  </si>
  <si>
    <t>Primary Indicator</t>
  </si>
  <si>
    <t>FFO interest cover</t>
  </si>
  <si>
    <t>FFO / Net debt</t>
  </si>
  <si>
    <t>Secondary indicators</t>
  </si>
  <si>
    <t>Net debt / RAV</t>
  </si>
  <si>
    <t>Retained Cashflows/Net Debt (%)</t>
  </si>
  <si>
    <t>Internal financing ratio</t>
  </si>
  <si>
    <t>Notional Test</t>
  </si>
  <si>
    <t>NFFO interest cover</t>
  </si>
  <si>
    <t>NFFO / Net debt</t>
  </si>
  <si>
    <t>Key Assumptions Price Control</t>
  </si>
  <si>
    <t>FIRST REG PERIOD</t>
  </si>
  <si>
    <t>SECOND REG PERIOD</t>
  </si>
  <si>
    <t>THIRD REG PERIOD</t>
  </si>
  <si>
    <t>FOURTH REG PERIOD</t>
  </si>
  <si>
    <t>2003-04</t>
  </si>
  <si>
    <t>2004-05</t>
  </si>
  <si>
    <t>Inflation assumptions</t>
  </si>
  <si>
    <t>Actual</t>
  </si>
  <si>
    <t>Inflation</t>
  </si>
  <si>
    <t>Inflation factor</t>
  </si>
  <si>
    <t xml:space="preserve">CPI index re-referenced in 2012-13, shaded values have been hardcoded to lock in RAB value. </t>
  </si>
  <si>
    <r>
      <t xml:space="preserve">Cost of debt - 10 year trailing average </t>
    </r>
    <r>
      <rPr>
        <sz val="9"/>
        <color theme="8"/>
        <rFont val="Calibri"/>
        <family val="2"/>
        <scheme val="minor"/>
      </rPr>
      <t>(Nominal)</t>
    </r>
  </si>
  <si>
    <t>Estimate</t>
  </si>
  <si>
    <t>Cost of debt</t>
  </si>
  <si>
    <t>Re-financing weightings - average 10 yrs</t>
  </si>
  <si>
    <t xml:space="preserve">Cost of debt - 10 year trailing average  </t>
  </si>
  <si>
    <r>
      <t xml:space="preserve">WACC assumptions </t>
    </r>
    <r>
      <rPr>
        <sz val="9"/>
        <color theme="8"/>
        <rFont val="Calibri"/>
        <family val="2"/>
        <scheme val="minor"/>
      </rPr>
      <t>(retained for historical purposes only)</t>
    </r>
  </si>
  <si>
    <t>Form of price control selected</t>
  </si>
  <si>
    <r>
      <t xml:space="preserve">Regulatory Rate of Return (RRR) - </t>
    </r>
    <r>
      <rPr>
        <sz val="9"/>
        <color theme="8"/>
        <rFont val="Calibri"/>
        <family val="2"/>
        <scheme val="minor"/>
      </rPr>
      <t>Nominal</t>
    </r>
  </si>
  <si>
    <t>1st period</t>
  </si>
  <si>
    <t>2nd period</t>
  </si>
  <si>
    <t>3rd period</t>
  </si>
  <si>
    <t>4th period</t>
  </si>
  <si>
    <t>Price caps</t>
  </si>
  <si>
    <t>Cost of Debt</t>
  </si>
  <si>
    <t>&lt;&lt; Linked to Benchmark tax liability calculation (Rev&amp;RAV_FO)</t>
  </si>
  <si>
    <t>Parameters</t>
  </si>
  <si>
    <t>Risk Free Rate (Real)</t>
  </si>
  <si>
    <t>Revenue cap / Hybrid Tariff Basket</t>
  </si>
  <si>
    <t>Debt Premium</t>
  </si>
  <si>
    <t>Equity Premium</t>
  </si>
  <si>
    <r>
      <t xml:space="preserve">Regulatory Rate of Return (RRR) - </t>
    </r>
    <r>
      <rPr>
        <sz val="9"/>
        <color theme="8"/>
        <rFont val="Calibri"/>
        <family val="2"/>
        <scheme val="minor"/>
      </rPr>
      <t>Real</t>
    </r>
  </si>
  <si>
    <t>Equity Beta</t>
  </si>
  <si>
    <t>Gearing (Debt/Assets)</t>
  </si>
  <si>
    <t>Forecast Inflation</t>
  </si>
  <si>
    <t>Franking credit value</t>
  </si>
  <si>
    <t>Return on Equity</t>
  </si>
  <si>
    <t>'Vanilla' After Tax WACC (Real)</t>
  </si>
  <si>
    <r>
      <t xml:space="preserve">RRR </t>
    </r>
    <r>
      <rPr>
        <sz val="9"/>
        <rFont val="Calibri"/>
        <family val="2"/>
        <scheme val="minor"/>
      </rPr>
      <t>(real)</t>
    </r>
  </si>
  <si>
    <t>Gearing</t>
  </si>
  <si>
    <r>
      <t xml:space="preserve">PREMO Graded Scoring System </t>
    </r>
    <r>
      <rPr>
        <sz val="9"/>
        <color theme="0" tint="-4.9989318521683403E-2"/>
        <rFont val="Calibri"/>
        <family val="2"/>
        <scheme val="minor"/>
      </rPr>
      <t>(for reference only)</t>
    </r>
  </si>
  <si>
    <r>
      <t xml:space="preserve">PREMO Assessment Matrix </t>
    </r>
    <r>
      <rPr>
        <sz val="9"/>
        <color theme="8"/>
        <rFont val="Calibri"/>
        <family val="2"/>
        <scheme val="minor"/>
      </rPr>
      <t>(linked to Regulatory Rate of Return calculation above)</t>
    </r>
  </si>
  <si>
    <t xml:space="preserve">Water business </t>
  </si>
  <si>
    <t xml:space="preserve">ESC assessment </t>
  </si>
  <si>
    <t>Difference</t>
  </si>
  <si>
    <t>Water business self-assessment</t>
  </si>
  <si>
    <t>self-assessment</t>
  </si>
  <si>
    <t>of submission</t>
  </si>
  <si>
    <t>Leading</t>
  </si>
  <si>
    <t>Advanced</t>
  </si>
  <si>
    <t>Standard</t>
  </si>
  <si>
    <t>Basic</t>
  </si>
  <si>
    <t xml:space="preserve">Risk </t>
  </si>
  <si>
    <t>[Select]</t>
  </si>
  <si>
    <t>ESC assessment of submission</t>
  </si>
  <si>
    <t>Engagement</t>
  </si>
  <si>
    <t>Management</t>
  </si>
  <si>
    <t>Outcomes</t>
  </si>
  <si>
    <t>Total Score</t>
  </si>
  <si>
    <r>
      <t xml:space="preserve">Water business self-assessment </t>
    </r>
    <r>
      <rPr>
        <sz val="9"/>
        <rFont val="Calibri"/>
        <family val="2"/>
        <scheme val="minor"/>
      </rPr>
      <t>(Maximum allowable ROE)</t>
    </r>
  </si>
  <si>
    <r>
      <t>ROE Override</t>
    </r>
    <r>
      <rPr>
        <b/>
        <i/>
        <sz val="9"/>
        <rFont val="Calibri"/>
        <family val="2"/>
        <scheme val="minor"/>
      </rPr>
      <t xml:space="preserve"> </t>
    </r>
    <r>
      <rPr>
        <sz val="9"/>
        <rFont val="Calibri"/>
        <family val="2"/>
        <scheme val="minor"/>
      </rPr>
      <t>(Must be less than Maximum allowable ROE)</t>
    </r>
  </si>
  <si>
    <t>Rating</t>
  </si>
  <si>
    <t>Aggregate score for overall PREMO rating</t>
  </si>
  <si>
    <t>Business self assessment</t>
  </si>
  <si>
    <t>15.5 to 16.0</t>
  </si>
  <si>
    <t>11.5 to 15.25</t>
  </si>
  <si>
    <t>7.5 to 11.25</t>
  </si>
  <si>
    <t>4.0 to 7.25</t>
  </si>
  <si>
    <t>downgrading</t>
  </si>
  <si>
    <t>CHECK</t>
  </si>
  <si>
    <t>Expenditure and Revenue Summary</t>
  </si>
  <si>
    <t>Regulatory Period (Total)</t>
  </si>
  <si>
    <t>Regulatory Period (Annual average)</t>
  </si>
  <si>
    <r>
      <t>5</t>
    </r>
    <r>
      <rPr>
        <b/>
        <vertAlign val="superscript"/>
        <sz val="9"/>
        <color theme="8"/>
        <rFont val="Calibri"/>
        <family val="2"/>
        <scheme val="minor"/>
      </rPr>
      <t>th</t>
    </r>
    <r>
      <rPr>
        <b/>
        <sz val="9"/>
        <color theme="8"/>
        <rFont val="Calibri"/>
        <family val="2"/>
        <scheme val="minor"/>
      </rPr>
      <t xml:space="preserve"> Reg Period</t>
    </r>
  </si>
  <si>
    <r>
      <t>6</t>
    </r>
    <r>
      <rPr>
        <b/>
        <vertAlign val="superscript"/>
        <sz val="9"/>
        <color theme="8"/>
        <rFont val="Calibri"/>
        <family val="2"/>
        <scheme val="minor"/>
      </rPr>
      <t>th</t>
    </r>
    <r>
      <rPr>
        <b/>
        <sz val="9"/>
        <color theme="8"/>
        <rFont val="Calibri"/>
        <family val="2"/>
        <scheme val="minor"/>
      </rPr>
      <t xml:space="preserve"> Reg Period</t>
    </r>
  </si>
  <si>
    <r>
      <t>7</t>
    </r>
    <r>
      <rPr>
        <b/>
        <vertAlign val="superscript"/>
        <sz val="9"/>
        <color theme="8"/>
        <rFont val="Calibri"/>
        <family val="2"/>
        <scheme val="minor"/>
      </rPr>
      <t>th</t>
    </r>
    <r>
      <rPr>
        <b/>
        <sz val="9"/>
        <color theme="8"/>
        <rFont val="Calibri"/>
        <family val="2"/>
        <scheme val="minor"/>
      </rPr>
      <t xml:space="preserve"> Reg Period</t>
    </r>
  </si>
  <si>
    <t>Operating Expenditure</t>
  </si>
  <si>
    <t>Total Controllable Operating Expenditure</t>
  </si>
  <si>
    <t>Total Non-controllable Operating Expenditure</t>
  </si>
  <si>
    <t>Total Prescribed Operating Expenditure</t>
  </si>
  <si>
    <t>Capital Expenditure</t>
  </si>
  <si>
    <r>
      <t>Total Gross Capital Expenditure (</t>
    </r>
    <r>
      <rPr>
        <sz val="9"/>
        <color rgb="FFFF0000"/>
        <rFont val="Calibri"/>
        <family val="2"/>
        <scheme val="minor"/>
      </rPr>
      <t>incl. cap. desal</t>
    </r>
    <r>
      <rPr>
        <sz val="9"/>
        <rFont val="Calibri"/>
        <family val="2"/>
        <scheme val="minor"/>
      </rPr>
      <t>)</t>
    </r>
  </si>
  <si>
    <t>Total Government Contributions</t>
  </si>
  <si>
    <t>Total Customer Contributions</t>
  </si>
  <si>
    <t>Total Net Capital Expenditure</t>
  </si>
  <si>
    <t>Gifted Assets</t>
  </si>
  <si>
    <t>Proceeds from Disposals</t>
  </si>
  <si>
    <t>Depreciation</t>
  </si>
  <si>
    <t>Regulatory Depreciation - Existing Assets</t>
  </si>
  <si>
    <t>Regulatory Depreciation - New Assets</t>
  </si>
  <si>
    <t>Regulatory Depreciation - Total</t>
  </si>
  <si>
    <t>Revenue Requirement</t>
  </si>
  <si>
    <t>Revenue Requirement Total</t>
  </si>
  <si>
    <t>Expenditure - Detail</t>
  </si>
  <si>
    <t>$m, 01/01/26</t>
  </si>
  <si>
    <t>This worksheet outlines the key cost drivers of operating expenditure - capitalised costs are excluded. This tab does not link to the Rev&amp;RAV_FO worksheet</t>
  </si>
  <si>
    <t>Expenditure Summary</t>
  </si>
  <si>
    <t>Total FTEs (current and forecast at 30 June)</t>
  </si>
  <si>
    <t>Forecast FTEs (FD 2020-21 forecasts)</t>
  </si>
  <si>
    <t>Total Labour costs (actual and forecast $m)</t>
  </si>
  <si>
    <t>Total Labour costs (FD 2020-21 forecasts)</t>
  </si>
  <si>
    <t>Difference ($m)</t>
  </si>
  <si>
    <t>Total Energy costs (actual and forecast $m)</t>
  </si>
  <si>
    <t>Total Energy costs (FD 2020-21 forecasts)</t>
  </si>
  <si>
    <t>Total IT costs (actual and forecast $m)</t>
  </si>
  <si>
    <t>Total IT costs (FD 2020-21 forecasts)</t>
  </si>
  <si>
    <t>Total Chemical costs (actual and forecast $m)</t>
  </si>
  <si>
    <t>Total Chemical costs (FD 2020-21 forecasts)</t>
  </si>
  <si>
    <t>Labour assumptions</t>
  </si>
  <si>
    <t>Current FTEs (at 30 June)</t>
  </si>
  <si>
    <t>Actual and forecast labour costs for current FTEs ($m)</t>
  </si>
  <si>
    <t>Cost per FTE ($000)</t>
  </si>
  <si>
    <t>Annual growth in labour costs for current FTEs</t>
  </si>
  <si>
    <t>Change in FTEs in future periods (net no. annual change)</t>
  </si>
  <si>
    <t>Increase or decrease in  labour costs ($m)</t>
  </si>
  <si>
    <t>Total FTEs</t>
  </si>
  <si>
    <t>Total labour costs ($m)</t>
  </si>
  <si>
    <t>Cost per FTE</t>
  </si>
  <si>
    <t>Annual growth in total labour costs</t>
  </si>
  <si>
    <t>Annual growth in total labour costs per FTE</t>
  </si>
  <si>
    <t>Energy assumptions</t>
  </si>
  <si>
    <t>Electricity - traditional sources</t>
  </si>
  <si>
    <t>BASE LOAD</t>
  </si>
  <si>
    <t>Large sites</t>
  </si>
  <si>
    <t>Total kWh</t>
  </si>
  <si>
    <t>Total electricity costs ($m)</t>
  </si>
  <si>
    <t>Average c/kWh</t>
  </si>
  <si>
    <t>% increase p.a.</t>
  </si>
  <si>
    <t>Medium sites</t>
  </si>
  <si>
    <t>Small sites</t>
  </si>
  <si>
    <t>NEW PROJECTS</t>
  </si>
  <si>
    <t>Greenhouse Gas Offsets</t>
  </si>
  <si>
    <t>TOTAL ENERGY COSTS</t>
  </si>
  <si>
    <t>IT cost assumptions</t>
  </si>
  <si>
    <t>Water related IT costs</t>
  </si>
  <si>
    <t>Sewerage and trade waste related IT costs</t>
  </si>
  <si>
    <t>Other IT costs</t>
  </si>
  <si>
    <t>Total IT costs</t>
  </si>
  <si>
    <t>Chemical cost assumptions</t>
  </si>
  <si>
    <t>Water related chemical costs</t>
  </si>
  <si>
    <t>Sewerage and trade waste related chemical costs</t>
  </si>
  <si>
    <t>Other chemical costs</t>
  </si>
  <si>
    <t>Total chemical costs</t>
  </si>
  <si>
    <t>Operating Expenditure -  Forecast - Summary</t>
  </si>
  <si>
    <t xml:space="preserve">5th period </t>
  </si>
  <si>
    <t>6th period</t>
  </si>
  <si>
    <t>Cost efficiency improvement rate (% per annum)</t>
  </si>
  <si>
    <t>&lt;&lt;&lt;</t>
  </si>
  <si>
    <t>Weighted-average calculation</t>
  </si>
  <si>
    <t>Growth forecast (% per annum)</t>
  </si>
  <si>
    <t>Baseline Forecast</t>
  </si>
  <si>
    <t>Baseline year - total prescribed operating expenditure in 2024-25:</t>
  </si>
  <si>
    <t>Comparison with approved 2024-25 total controllable opex</t>
  </si>
  <si>
    <t>per FD2021 determination model</t>
  </si>
  <si>
    <t>Less non-controllable expenditure items incurred in 2024-25:</t>
  </si>
  <si>
    <t>Environment Contribution (W&amp;D)</t>
  </si>
  <si>
    <t>%</t>
  </si>
  <si>
    <t>check</t>
  </si>
  <si>
    <t>($, 2025-26)</t>
  </si>
  <si>
    <t>Baseline year - total controllable operating expenditure in 2024-25:</t>
  </si>
  <si>
    <t>Total adjustments for non-recurring expenditure items incurred in 2024-25 and any efficiency savings to be realised from 2024-25:</t>
  </si>
  <si>
    <t>Adjusted baseline controllable operating expenditure (2024-25)</t>
  </si>
  <si>
    <t>Adjusted baseline controllable operating expenditure (Forecast)</t>
  </si>
  <si>
    <t>Operating expenditure - reconciliation</t>
  </si>
  <si>
    <t>Total forecast variations required to baseline operating expenditure (above or below baseline)</t>
  </si>
  <si>
    <t>Total controllable operating expenditure</t>
  </si>
  <si>
    <t>Non-controllable operating expenditure</t>
  </si>
  <si>
    <t>Total non-controllable operating expenditure</t>
  </si>
  <si>
    <t>Total prescribed operating expenditure</t>
  </si>
  <si>
    <t>This variance is due to not allocating the above FD adjustment to W&amp;S and W&amp;D without guidance from MW &gt;&gt;&gt;</t>
  </si>
  <si>
    <t>To reconcile to 'Opex_Breakdown' tab &gt;&gt;</t>
  </si>
  <si>
    <t>Test</t>
  </si>
  <si>
    <t>Total prescribed operating expenditure ($m)</t>
  </si>
  <si>
    <t>2021-22</t>
  </si>
  <si>
    <t>2022-23</t>
  </si>
  <si>
    <t>2031-32</t>
  </si>
  <si>
    <t>2032-33</t>
  </si>
  <si>
    <t>2033-34</t>
  </si>
  <si>
    <t>2034-35</t>
  </si>
  <si>
    <t>2035-36</t>
  </si>
  <si>
    <t>Controllable opex</t>
  </si>
  <si>
    <t>Non-controllable opex</t>
  </si>
  <si>
    <t>Total prescribed opex</t>
  </si>
  <si>
    <t>Operating Expenditure -  Forecast - Water &amp; Sewerage (W&amp;S)</t>
  </si>
  <si>
    <t>Opex growth forecast (% per annum)</t>
  </si>
  <si>
    <t>Comparison with approved 2024-25 total controllable opex for W&amp;S</t>
  </si>
  <si>
    <t>per FD 2021 model</t>
  </si>
  <si>
    <t>Desalination Payments (W&amp;S)</t>
  </si>
  <si>
    <t>Adjustments for non-recurring expenditure items incurred in 2024-25 and any efficiency savings to be realised from 2024-25:</t>
  </si>
  <si>
    <t>Labour base year adjustments (delayed EA changes and increased contractor spend)</t>
  </si>
  <si>
    <t>Capitalisation of projects (IT SaaS and New Water)</t>
  </si>
  <si>
    <t>Electricity benchmark adjustment</t>
  </si>
  <si>
    <t>Higher than normal carbon costs</t>
  </si>
  <si>
    <t xml:space="preserve">New obligations </t>
  </si>
  <si>
    <t>One-off projects and accounting adjustments</t>
  </si>
  <si>
    <t>Superannuation guarantee change to occur from 1 July 2025</t>
  </si>
  <si>
    <t>Approved  2024-25 total controllable operating expenditure (FD 2021 Model)</t>
  </si>
  <si>
    <t>Variations to the baseline year benchmark</t>
  </si>
  <si>
    <t>Discrepancy between approved 24-25 benchmark (per FD2021 model) and actual 24-25 controllable opex</t>
  </si>
  <si>
    <t>Water - maintenance</t>
  </si>
  <si>
    <t>Water - chemicals</t>
  </si>
  <si>
    <t>Cyber</t>
  </si>
  <si>
    <t>Proposed baseline difference</t>
  </si>
  <si>
    <t>Unexplained Difference</t>
  </si>
  <si>
    <t xml:space="preserve">Remaining unexplained (%) </t>
  </si>
  <si>
    <t>Other IT</t>
  </si>
  <si>
    <t>Insurance</t>
  </si>
  <si>
    <t>Labour and superannuation guarantee changes.</t>
  </si>
  <si>
    <t>Mental health care levy</t>
  </si>
  <si>
    <t>Corporate cost allocation</t>
  </si>
  <si>
    <t>Controllable</t>
  </si>
  <si>
    <t>Forecast variations to baseline operating expenditure (above or below baseline)</t>
  </si>
  <si>
    <t>only</t>
  </si>
  <si>
    <t>Burndap Birrarung burndap umarkoo (Yarra Strategic Plan)</t>
  </si>
  <si>
    <t>Water</t>
  </si>
  <si>
    <t>Sewerage</t>
  </si>
  <si>
    <t>Traditional Owner partners</t>
  </si>
  <si>
    <t xml:space="preserve">Hardship and vulnerability </t>
  </si>
  <si>
    <t>Sewerage capex from opex</t>
  </si>
  <si>
    <t>Water capex from opex</t>
  </si>
  <si>
    <t>Chemical costs - flouride</t>
  </si>
  <si>
    <t>Tarago recreational</t>
  </si>
  <si>
    <t>Electricity and carbon</t>
  </si>
  <si>
    <t>Corporate - IT, Asset Knowledge and Technology, and Insurance</t>
  </si>
  <si>
    <t>Recycled Water</t>
  </si>
  <si>
    <t>Total changes required to baseline operating expenditure</t>
  </si>
  <si>
    <t>Operating Expenditure -  Forecast - Waterways &amp; Drainage (W&amp;D)</t>
  </si>
  <si>
    <t>5th period</t>
  </si>
  <si>
    <t>Comparison with approved 2024-25 total controllable opex for W&amp;D</t>
  </si>
  <si>
    <t>per FD2021 model</t>
  </si>
  <si>
    <t>Urban Planning and Development - Backlog</t>
  </si>
  <si>
    <t>WWD uplift from PS21</t>
  </si>
  <si>
    <t>Land Development</t>
  </si>
  <si>
    <t>Waterways and Drainage</t>
  </si>
  <si>
    <t>Hardship and vulnerability</t>
  </si>
  <si>
    <t>Waterways and Drainage opex uplift (new obligations, opex from capex, and levels of service)</t>
  </si>
  <si>
    <t>Quiet Lakes - Bore Flushing (increased levels of service)</t>
  </si>
  <si>
    <t>Patterson Lakes - Jetties (cost changes)</t>
  </si>
  <si>
    <t>Koo Wee Rup - Longwarry flood protection district (increased levels of service)</t>
  </si>
  <si>
    <t>Diversions (increased levels of service)</t>
  </si>
  <si>
    <t>Diversions</t>
  </si>
  <si>
    <t>[Service]</t>
  </si>
  <si>
    <t>Operating Expenditure - Breakdown</t>
  </si>
  <si>
    <t>r</t>
  </si>
  <si>
    <t>Operating Expenditure Summary</t>
  </si>
  <si>
    <t>Regulatory Period Total</t>
  </si>
  <si>
    <t>FD 2020/21 - Approved Benchmarks and Forecasts</t>
  </si>
  <si>
    <t xml:space="preserve">% difference </t>
  </si>
  <si>
    <t>Operations &amp; Maintenance</t>
  </si>
  <si>
    <t>Customer Service and billing</t>
  </si>
  <si>
    <t>Corporate</t>
  </si>
  <si>
    <t>Other operating expenditure</t>
  </si>
  <si>
    <t>Licence fees</t>
  </si>
  <si>
    <t>Other non-controllable</t>
  </si>
  <si>
    <t>To reconcile to 'Opex_FO_Summary' tab &gt;&gt;</t>
  </si>
  <si>
    <t>Total operating expenditure</t>
  </si>
  <si>
    <t>Total Bulk water</t>
  </si>
  <si>
    <t>Essential Services Commission</t>
  </si>
  <si>
    <t>Department of Health</t>
  </si>
  <si>
    <t>Environment Protection Authority</t>
  </si>
  <si>
    <t>Other non-controllable (W&amp;S)</t>
  </si>
  <si>
    <t>Land Tax - Water</t>
  </si>
  <si>
    <t>LGRE - Water</t>
  </si>
  <si>
    <t>Land Tax - Sewerage / RW</t>
  </si>
  <si>
    <t>LGRE - Sewerage / RW</t>
  </si>
  <si>
    <t>ECL - Water allocation</t>
  </si>
  <si>
    <t>ECL - Sewerage allocation</t>
  </si>
  <si>
    <t>[Non-controllable 7]</t>
  </si>
  <si>
    <t>[Non-controllable 8]</t>
  </si>
  <si>
    <t>[Non-controllable 9]</t>
  </si>
  <si>
    <t>[Non-controllable 10]</t>
  </si>
  <si>
    <t>Other non-controllable (W&amp;D)</t>
  </si>
  <si>
    <t>Land Tax</t>
  </si>
  <si>
    <t>LGRE incl.  Fire services Levy</t>
  </si>
  <si>
    <t>[Non-controllable 3]</t>
  </si>
  <si>
    <t>[Non-controllable 4]</t>
  </si>
  <si>
    <t>[Non-controllable 5]</t>
  </si>
  <si>
    <t>[Non-controllable 6]</t>
  </si>
  <si>
    <t>Capital Expenditure - Forecast Input</t>
  </si>
  <si>
    <t>NOT RELEVANT FOR MW</t>
  </si>
  <si>
    <t>Tax Depreciation - Declining Balance Method</t>
  </si>
  <si>
    <t>Instructions</t>
  </si>
  <si>
    <t>Input Summary</t>
  </si>
  <si>
    <t>For each item of CAPEX</t>
  </si>
  <si>
    <t>1. Change tax depreciation method in column M to 'Declining Balance'</t>
  </si>
  <si>
    <t>By Cost Driver</t>
  </si>
  <si>
    <t>2. Populate declining balance multiple in comun CM, (&gt;0)</t>
  </si>
  <si>
    <t>Net capital expenditure - Renewals</t>
  </si>
  <si>
    <t>Net capital expenditure - Growth</t>
  </si>
  <si>
    <t>Net capital expenditure - Improvements / Compliance</t>
  </si>
  <si>
    <t>Government Contributions</t>
  </si>
  <si>
    <t>Customer Contributions</t>
  </si>
  <si>
    <t>Total prescribed capex</t>
  </si>
  <si>
    <t>By Capital Type</t>
  </si>
  <si>
    <t>Top 15 Major Projects</t>
  </si>
  <si>
    <t>Significant projects</t>
  </si>
  <si>
    <t>Capital Programs / Allocation</t>
  </si>
  <si>
    <t>Other Capital expenditure</t>
  </si>
  <si>
    <t>Desal security payment cost capitalisation</t>
  </si>
  <si>
    <t>Regulatory Depreciation</t>
  </si>
  <si>
    <t>Gross capital expenditure</t>
  </si>
  <si>
    <t>Government contributions</t>
  </si>
  <si>
    <t>Customer contributions</t>
  </si>
  <si>
    <t>Net capital expenditure</t>
  </si>
  <si>
    <t>Accumulated capex</t>
  </si>
  <si>
    <t>Tax Depreciation</t>
  </si>
  <si>
    <t>Gross CAPEX to depreciate</t>
  </si>
  <si>
    <t>Declining balance cumulative depreciation term - first period capex</t>
  </si>
  <si>
    <t>Declining balance cumulative depreciation term - period 2+ capex</t>
  </si>
  <si>
    <t>Periodic depreciation % - first period capex</t>
  </si>
  <si>
    <t>Periodic depreciation % - period 2+ capex</t>
  </si>
  <si>
    <t>Reversed depreciation - first period capex</t>
  </si>
  <si>
    <t>Tax Depreciation - declining balance</t>
  </si>
  <si>
    <t>Nominal,$</t>
  </si>
  <si>
    <t>2020-21</t>
  </si>
  <si>
    <t>Project/program Name</t>
  </si>
  <si>
    <t>Service</t>
  </si>
  <si>
    <t>Major cost driver</t>
  </si>
  <si>
    <t>Asset category</t>
  </si>
  <si>
    <t>Capital type</t>
  </si>
  <si>
    <t>Reg Depreciation Method</t>
  </si>
  <si>
    <t>Year asset operational</t>
  </si>
  <si>
    <t>Asset life (Regulatory)</t>
  </si>
  <si>
    <t>Tax Depreciation Method</t>
  </si>
  <si>
    <t>Asset life (Tax)</t>
  </si>
  <si>
    <t>Declining balance
 multiple</t>
  </si>
  <si>
    <t>Cardinia Dam Safety Upgrade Works</t>
  </si>
  <si>
    <t>Improvements / Compliance</t>
  </si>
  <si>
    <t>Headworks</t>
  </si>
  <si>
    <t>Straight line</t>
  </si>
  <si>
    <t>must be &gt; 0</t>
  </si>
  <si>
    <t>No</t>
  </si>
  <si>
    <t>Cardinia Pump Station Upgrade</t>
  </si>
  <si>
    <t>Growth</t>
  </si>
  <si>
    <t>ETP PST and Grit Tank Augmentation</t>
  </si>
  <si>
    <t>Treatment</t>
  </si>
  <si>
    <t>ETP Sludge Dewatering Upgrade</t>
  </si>
  <si>
    <t>Link Main Stage 1</t>
  </si>
  <si>
    <t>Pipelines/network</t>
  </si>
  <si>
    <t>Maroondah Res Outlet and Aqueduct Stage 3A</t>
  </si>
  <si>
    <t>Renewals</t>
  </si>
  <si>
    <t>WTP Full Preliminary Treatment Augmentation</t>
  </si>
  <si>
    <t>WTP Primary Treatment Capacity Augmentation</t>
  </si>
  <si>
    <t>WTS - Shallow Conduit Rehabilitation</t>
  </si>
  <si>
    <t>Olinda Mitcham Main Renewals - Stage 2 M054 and M055</t>
  </si>
  <si>
    <t>must be &gt; 1</t>
  </si>
  <si>
    <t>DRB013 Cardinia Ck Drop Structure RB Upgrade</t>
  </si>
  <si>
    <t>must be &gt; 2</t>
  </si>
  <si>
    <t>Elsternwick Creek and Elwood MD Flood Mitigation Works</t>
  </si>
  <si>
    <t>must be &gt; 3</t>
  </si>
  <si>
    <t>Elwood Diversion Drain 4925 - Outfall Renewal</t>
  </si>
  <si>
    <t>must be &gt; 4</t>
  </si>
  <si>
    <t>Reimagining Eumemmerring Creek</t>
  </si>
  <si>
    <t>must be &gt; 5</t>
  </si>
  <si>
    <t>Reimagining Tarralla Creek Stage 2</t>
  </si>
  <si>
    <t>must be &gt; 6</t>
  </si>
  <si>
    <t>Eastern Treatment Plant - Other Program</t>
  </si>
  <si>
    <t>Ongoing</t>
  </si>
  <si>
    <t>Eastern Treatment Plant - Solids Program</t>
  </si>
  <si>
    <t>Eastern Treatment Plant - Supporting Services Program</t>
  </si>
  <si>
    <t>Eastern Treatment Plant - Wastewater Program</t>
  </si>
  <si>
    <t>must be &gt; 7</t>
  </si>
  <si>
    <t>must be &gt; 8</t>
  </si>
  <si>
    <t>Production and Storage - Maroondah-Sugarloaf Program</t>
  </si>
  <si>
    <t>must be &gt; 9</t>
  </si>
  <si>
    <t>must be &gt; 10</t>
  </si>
  <si>
    <t>must be &gt; 11</t>
  </si>
  <si>
    <t>Production and Storage - Off-Stream Storages Program</t>
  </si>
  <si>
    <t>must be &gt; 12</t>
  </si>
  <si>
    <t>must be &gt; 13</t>
  </si>
  <si>
    <t>Production and Storage - Other Program</t>
  </si>
  <si>
    <t>must be &gt; 14</t>
  </si>
  <si>
    <t>must be &gt; 15</t>
  </si>
  <si>
    <t>must be &gt; 16</t>
  </si>
  <si>
    <t>Production and Storage - Tarago Program</t>
  </si>
  <si>
    <t>must be &gt; 17</t>
  </si>
  <si>
    <t>must be &gt; 18</t>
  </si>
  <si>
    <t>Production and Storage - Thomson-Silvan Program</t>
  </si>
  <si>
    <t>must be &gt; 19</t>
  </si>
  <si>
    <t>must be &gt; 20</t>
  </si>
  <si>
    <t>Production and Storage - Wallaby-Yan Yean Program</t>
  </si>
  <si>
    <t>must be &gt; 21</t>
  </si>
  <si>
    <t>Sewerage Transfer - East Program</t>
  </si>
  <si>
    <t>must be &gt; 22</t>
  </si>
  <si>
    <t>must be &gt; 23</t>
  </si>
  <si>
    <t>must be &gt; 24</t>
  </si>
  <si>
    <t>must be &gt; 25</t>
  </si>
  <si>
    <t>must be &gt; 26</t>
  </si>
  <si>
    <t>Sewerage Transfer - Other Program</t>
  </si>
  <si>
    <t>must be &gt; 27</t>
  </si>
  <si>
    <t>must be &gt; 28</t>
  </si>
  <si>
    <t>must be &gt; 29</t>
  </si>
  <si>
    <t>must be &gt; 30</t>
  </si>
  <si>
    <t>Sewerage Transfer - West Program</t>
  </si>
  <si>
    <t>must be &gt; 31</t>
  </si>
  <si>
    <t>must be &gt; 32</t>
  </si>
  <si>
    <t>must be &gt; 33</t>
  </si>
  <si>
    <t>must be &gt; 34</t>
  </si>
  <si>
    <t>must be &gt; 35</t>
  </si>
  <si>
    <t>must be &gt; 36</t>
  </si>
  <si>
    <t>Water Quality - Catchment Management Program</t>
  </si>
  <si>
    <t>must be &gt; 37</t>
  </si>
  <si>
    <t>Water Quality - Primary Treatment Program</t>
  </si>
  <si>
    <t>must be &gt; 38</t>
  </si>
  <si>
    <t>must be &gt; 39</t>
  </si>
  <si>
    <t>must be &gt; 40</t>
  </si>
  <si>
    <t>Water Quality - Reservoir Treatment Program</t>
  </si>
  <si>
    <t>must be &gt; 41</t>
  </si>
  <si>
    <t>must be &gt; 42</t>
  </si>
  <si>
    <t>Water Transfer - Greater Western Water Program</t>
  </si>
  <si>
    <t>must be &gt; 43</t>
  </si>
  <si>
    <t>must be &gt; 44</t>
  </si>
  <si>
    <t>must be &gt; 45</t>
  </si>
  <si>
    <t>Water Transfer - Other Program</t>
  </si>
  <si>
    <t>must be &gt; 46</t>
  </si>
  <si>
    <t>must be &gt; 47</t>
  </si>
  <si>
    <t>must be &gt; 48</t>
  </si>
  <si>
    <t>Water Transfer - South East Water Program</t>
  </si>
  <si>
    <t>must be &gt; 49</t>
  </si>
  <si>
    <t>must be &gt; 50</t>
  </si>
  <si>
    <t>must be &gt; 51</t>
  </si>
  <si>
    <t>must be &gt; 52</t>
  </si>
  <si>
    <t>must be &gt; 53</t>
  </si>
  <si>
    <t>Water Transfer - Yarra Valley Water Program</t>
  </si>
  <si>
    <t>must be &gt; 54</t>
  </si>
  <si>
    <t>must be &gt; 55</t>
  </si>
  <si>
    <t>must be &gt; 56</t>
  </si>
  <si>
    <t>must be &gt; 57</t>
  </si>
  <si>
    <t>must be &gt; 58</t>
  </si>
  <si>
    <t>must be &gt; 59</t>
  </si>
  <si>
    <t>Western Treatment Plant - Environment Program</t>
  </si>
  <si>
    <t>must be &gt; 60</t>
  </si>
  <si>
    <t>must be &gt; 61</t>
  </si>
  <si>
    <t>Western Treatment Plant - Other Program</t>
  </si>
  <si>
    <t>must be &gt; 62</t>
  </si>
  <si>
    <t>must be &gt; 63</t>
  </si>
  <si>
    <t>Western Treatment Plant - Solids Program</t>
  </si>
  <si>
    <t>must be &gt; 64</t>
  </si>
  <si>
    <t>Western Treatment Plant - Supporting Services Program</t>
  </si>
  <si>
    <t>must be &gt; 65</t>
  </si>
  <si>
    <t>must be &gt; 66</t>
  </si>
  <si>
    <t>must be &gt; 67</t>
  </si>
  <si>
    <t>Western Treatment Plant - Wastewater Program</t>
  </si>
  <si>
    <t>must be &gt; 68</t>
  </si>
  <si>
    <t>must be &gt; 69</t>
  </si>
  <si>
    <t>must be &gt; 70</t>
  </si>
  <si>
    <t>Water Quality - Other Program</t>
  </si>
  <si>
    <t>must be &gt; 71</t>
  </si>
  <si>
    <t>must be &gt; 72</t>
  </si>
  <si>
    <t>Manufactured and New Water Sources Program</t>
  </si>
  <si>
    <t>must be &gt; 73</t>
  </si>
  <si>
    <t>must be &gt; 74</t>
  </si>
  <si>
    <t>Western Treatment Plant - Tertiary Program</t>
  </si>
  <si>
    <t>must be &gt; 75</t>
  </si>
  <si>
    <t>Eastern Treatment Plant - Tertiary Program</t>
  </si>
  <si>
    <t>must be &gt; 76</t>
  </si>
  <si>
    <t>must be &gt; 77</t>
  </si>
  <si>
    <t>Drainage Management Program</t>
  </si>
  <si>
    <t>must be &gt; 78</t>
  </si>
  <si>
    <t>must be &gt; 79</t>
  </si>
  <si>
    <t>Flood Risk Management Program</t>
  </si>
  <si>
    <t>must be &gt; 80</t>
  </si>
  <si>
    <t>Land &amp; Biodiversity Management Program</t>
  </si>
  <si>
    <t>must be &gt; 81</t>
  </si>
  <si>
    <t>must be &gt; 82</t>
  </si>
  <si>
    <t>Stormwater Program</t>
  </si>
  <si>
    <t>must be &gt; 83</t>
  </si>
  <si>
    <t>must be &gt; 84</t>
  </si>
  <si>
    <t>Urban Development Program</t>
  </si>
  <si>
    <t>must be &gt; 85</t>
  </si>
  <si>
    <t>must be &gt; 86</t>
  </si>
  <si>
    <t>Waterways Management  Program</t>
  </si>
  <si>
    <t>must be &gt; 87</t>
  </si>
  <si>
    <t>must be &gt; 88</t>
  </si>
  <si>
    <t>must be &gt; 89</t>
  </si>
  <si>
    <t>must be &gt; 90</t>
  </si>
  <si>
    <t>Community Access &amp; Recreation (WC) Program</t>
  </si>
  <si>
    <t>must be &gt; 91</t>
  </si>
  <si>
    <t>Community Access &amp; Recreation (SQ) Program</t>
  </si>
  <si>
    <t>must be &gt; 92</t>
  </si>
  <si>
    <t>Corporate Support - Improvements/Compliance Program</t>
  </si>
  <si>
    <t>must be &gt; 93</t>
  </si>
  <si>
    <t>must be &gt; 94</t>
  </si>
  <si>
    <t>must be &gt; 95</t>
  </si>
  <si>
    <t>must be &gt; 96</t>
  </si>
  <si>
    <t>Corporate Support - Renewals Program</t>
  </si>
  <si>
    <t>must be &gt; 97</t>
  </si>
  <si>
    <t>must be &gt; 98</t>
  </si>
  <si>
    <t>must be &gt; 99</t>
  </si>
  <si>
    <t>must be &gt; 100</t>
  </si>
  <si>
    <t>Information Technology - Improvements/Compliance Program</t>
  </si>
  <si>
    <t>must be &gt; 101</t>
  </si>
  <si>
    <t>must be &gt; 102</t>
  </si>
  <si>
    <t>must be &gt; 103</t>
  </si>
  <si>
    <t>must be &gt; 104</t>
  </si>
  <si>
    <t>Information Technology - Renewals Program</t>
  </si>
  <si>
    <t>must be &gt; 105</t>
  </si>
  <si>
    <t>must be &gt; 106</t>
  </si>
  <si>
    <t>must be &gt; 107</t>
  </si>
  <si>
    <t>must be &gt; 108</t>
  </si>
  <si>
    <t>SaaS (Capitalised Opex) - IT</t>
  </si>
  <si>
    <t>must be &gt; 109</t>
  </si>
  <si>
    <t>must be &gt; 110</t>
  </si>
  <si>
    <t>must be &gt; 111</t>
  </si>
  <si>
    <t>must be &gt; 112</t>
  </si>
  <si>
    <t>SaaS (Capitalised Opex) - AKT</t>
  </si>
  <si>
    <t>must be &gt; 113</t>
  </si>
  <si>
    <t>must be &gt; 114</t>
  </si>
  <si>
    <t>must be &gt; 115</t>
  </si>
  <si>
    <t>must be &gt; 116</t>
  </si>
  <si>
    <t>Descumming - 55E (Capitalied Opex)</t>
  </si>
  <si>
    <t>must be &gt; 117</t>
  </si>
  <si>
    <t>Desludging - low (Capitalised Opex)</t>
  </si>
  <si>
    <t>must be &gt; 118</t>
  </si>
  <si>
    <t>Waterways &amp; Drainage Developer Contributions Revenue</t>
  </si>
  <si>
    <t>must be &gt; 119</t>
  </si>
  <si>
    <t>Stormwater Quality Contributions</t>
  </si>
  <si>
    <t>must be &gt; 120</t>
  </si>
  <si>
    <t>must be &gt; 121</t>
  </si>
  <si>
    <t>must be &gt; 122</t>
  </si>
  <si>
    <t>must be &gt; 123</t>
  </si>
  <si>
    <t>must be &gt; 124</t>
  </si>
  <si>
    <t>must be &gt; 125</t>
  </si>
  <si>
    <t>must be &gt; 126</t>
  </si>
  <si>
    <t>must be &gt; 127</t>
  </si>
  <si>
    <t>must be &gt; 128</t>
  </si>
  <si>
    <t>must be &gt; 129</t>
  </si>
  <si>
    <t>must be &gt; 130</t>
  </si>
  <si>
    <t>must be &gt; 131</t>
  </si>
  <si>
    <t>must be &gt; 132</t>
  </si>
  <si>
    <t>must be &gt; 133</t>
  </si>
  <si>
    <t>must be &gt; 134</t>
  </si>
  <si>
    <t>must be &gt; 135</t>
  </si>
  <si>
    <t>must be &gt; 136</t>
  </si>
  <si>
    <t>must be &gt; 137</t>
  </si>
  <si>
    <t>must be &gt; 138</t>
  </si>
  <si>
    <t>must be &gt; 139</t>
  </si>
  <si>
    <t>must be &gt; 140</t>
  </si>
  <si>
    <t>must be &gt; 141</t>
  </si>
  <si>
    <t>must be &gt; 142</t>
  </si>
  <si>
    <t>must be &gt; 143</t>
  </si>
  <si>
    <t>must be &gt; 144</t>
  </si>
  <si>
    <t>must be &gt; 145</t>
  </si>
  <si>
    <t>must be &gt; 146</t>
  </si>
  <si>
    <t>must be &gt; 147</t>
  </si>
  <si>
    <t>must be &gt; 148</t>
  </si>
  <si>
    <t>must be &gt; 149</t>
  </si>
  <si>
    <t>must be &gt; 150</t>
  </si>
  <si>
    <t>must be &gt; 151</t>
  </si>
  <si>
    <t>must be &gt; 152</t>
  </si>
  <si>
    <t>must be &gt; 153</t>
  </si>
  <si>
    <t>must be &gt; 154</t>
  </si>
  <si>
    <t>must be &gt; 155</t>
  </si>
  <si>
    <t>must be &gt; 156</t>
  </si>
  <si>
    <t>must be &gt; 157</t>
  </si>
  <si>
    <t>must be &gt; 158</t>
  </si>
  <si>
    <t>must be &gt; 159</t>
  </si>
  <si>
    <t>must be &gt; 160</t>
  </si>
  <si>
    <t>must be &gt; 161</t>
  </si>
  <si>
    <t>must be &gt; 162</t>
  </si>
  <si>
    <t>must be &gt; 163</t>
  </si>
  <si>
    <t>must be &gt; 164</t>
  </si>
  <si>
    <t>must be &gt; 165</t>
  </si>
  <si>
    <t>must be &gt; 166</t>
  </si>
  <si>
    <t>must be &gt; 167</t>
  </si>
  <si>
    <t>must be &gt; 168</t>
  </si>
  <si>
    <t>must be &gt; 169</t>
  </si>
  <si>
    <t>must be &gt; 170</t>
  </si>
  <si>
    <t>must be &gt; 171</t>
  </si>
  <si>
    <t>must be &gt; 172</t>
  </si>
  <si>
    <t>must be &gt; 173</t>
  </si>
  <si>
    <t>Capital Expenditure - Asset Category Breakdown</t>
  </si>
  <si>
    <t>ê</t>
  </si>
  <si>
    <t>Capital Expenditure Summary</t>
  </si>
  <si>
    <t>Select FD 2020-21 outlook or updated forecast for RAB calculation</t>
  </si>
  <si>
    <t>$, 2025-26</t>
  </si>
  <si>
    <t>Amount applied to RAB calculations</t>
  </si>
  <si>
    <t>Comparison: benchmark 2020-21 to 2025-26 total capex</t>
  </si>
  <si>
    <t>5th Reg Period</t>
  </si>
  <si>
    <t>6th Reg Period Forecast</t>
  </si>
  <si>
    <t>FD20/21 5th Reg Period Forecast</t>
  </si>
  <si>
    <t>FD20/21 6th Reg Period Forecast</t>
  </si>
  <si>
    <t>Actual 2020-21 to 2024-25</t>
  </si>
  <si>
    <t>Benchmark 2020-21 to 2024-25</t>
  </si>
  <si>
    <t>FD2020-21 - Approved Benchmarks and Forecasts</t>
  </si>
  <si>
    <t>$ Difference</t>
  </si>
  <si>
    <t>% difference</t>
  </si>
  <si>
    <t>% Difference</t>
  </si>
  <si>
    <t>Proceeds from disposals</t>
  </si>
  <si>
    <t>Written down value of assets disposed</t>
  </si>
  <si>
    <t>DIFFERENCE</t>
  </si>
  <si>
    <t>Total capital expenditure</t>
  </si>
  <si>
    <t>TEST</t>
  </si>
  <si>
    <t>Above figures include contributions from:</t>
  </si>
  <si>
    <t>Asset disposals</t>
  </si>
  <si>
    <t>Rolled forward regulatory asset base (RAB)</t>
  </si>
  <si>
    <t>Rolled forward asset base</t>
  </si>
  <si>
    <t>Opening asset base</t>
  </si>
  <si>
    <t>Closing asset base</t>
  </si>
  <si>
    <t>Regulatory depreciation - Existing Assets</t>
  </si>
  <si>
    <t>Regulatory depreciation - New Assets</t>
  </si>
  <si>
    <t>Regulatory depreciation - Total</t>
  </si>
  <si>
    <r>
      <t>plus Gross capex (</t>
    </r>
    <r>
      <rPr>
        <sz val="9"/>
        <color rgb="FFFF0000"/>
        <rFont val="Calibri"/>
        <family val="2"/>
        <scheme val="minor"/>
      </rPr>
      <t>includes capitalised desal</t>
    </r>
    <r>
      <rPr>
        <sz val="9"/>
        <rFont val="Calibri"/>
        <family val="2"/>
        <scheme val="minor"/>
      </rPr>
      <t>)</t>
    </r>
  </si>
  <si>
    <t>less Government contributions</t>
  </si>
  <si>
    <t>less Customer contributions</t>
  </si>
  <si>
    <t>less Proceeds from disposals</t>
  </si>
  <si>
    <t>less Regulatory depreciation</t>
  </si>
  <si>
    <t>Business to provide separate depreciation reconciliation workbook if (new assets) override is used</t>
  </si>
  <si>
    <r>
      <t xml:space="preserve">Depreciation override </t>
    </r>
    <r>
      <rPr>
        <sz val="9"/>
        <rFont val="Calibri"/>
        <family val="2"/>
        <scheme val="minor"/>
      </rPr>
      <t>(New assets)</t>
    </r>
    <r>
      <rPr>
        <b/>
        <sz val="9"/>
        <rFont val="Calibri"/>
        <family val="2"/>
        <scheme val="minor"/>
      </rPr>
      <t>:</t>
    </r>
  </si>
  <si>
    <t>Business to provide separate depreciation reconciliation workbook if (existing assets) override is used</t>
  </si>
  <si>
    <r>
      <t xml:space="preserve">Depreciation override </t>
    </r>
    <r>
      <rPr>
        <sz val="9"/>
        <rFont val="Calibri"/>
        <family val="2"/>
        <scheme val="minor"/>
      </rPr>
      <t>(Existing assets)</t>
    </r>
    <r>
      <rPr>
        <b/>
        <sz val="9"/>
        <rFont val="Calibri"/>
        <family val="2"/>
        <scheme val="minor"/>
      </rPr>
      <t>:</t>
    </r>
  </si>
  <si>
    <t>Asset class</t>
  </si>
  <si>
    <t>Remaining Life</t>
  </si>
  <si>
    <t>Book Value</t>
  </si>
  <si>
    <t>% of total</t>
  </si>
  <si>
    <t>Average Asset life</t>
  </si>
  <si>
    <t>IT &amp; Corporate Water</t>
  </si>
  <si>
    <t>IT &amp; Corporate  Sewerage</t>
  </si>
  <si>
    <t>Sewerage Transfer Program</t>
  </si>
  <si>
    <t>Eastern Treatment Plant Program</t>
  </si>
  <si>
    <t>Western Treatment Plant Program</t>
  </si>
  <si>
    <t>Production/Storage Program</t>
  </si>
  <si>
    <t>Drinking Water Quality Program</t>
  </si>
  <si>
    <t>Water Transfer Program</t>
  </si>
  <si>
    <t>Drainage and Flood Protection &amp; Developer Services</t>
  </si>
  <si>
    <t>Waterway Condition</t>
  </si>
  <si>
    <t>Stormwater Quality</t>
  </si>
  <si>
    <t>WW&amp;D Corporate &amp; IT</t>
  </si>
  <si>
    <t>Desal Capitalisation</t>
  </si>
  <si>
    <t>Correction to Production &amp; Storage RAB</t>
  </si>
  <si>
    <t>Total assets</t>
  </si>
  <si>
    <r>
      <t>Total regulatory depreciation</t>
    </r>
    <r>
      <rPr>
        <sz val="9"/>
        <rFont val="Calibri"/>
        <family val="2"/>
        <scheme val="minor"/>
      </rPr>
      <t xml:space="preserve"> (Existing assets)</t>
    </r>
    <r>
      <rPr>
        <b/>
        <sz val="9"/>
        <rFont val="Calibri"/>
        <family val="2"/>
        <scheme val="minor"/>
      </rPr>
      <t>:</t>
    </r>
  </si>
  <si>
    <t>RAB Rolled forward</t>
  </si>
  <si>
    <t>Previous period adjustments</t>
  </si>
  <si>
    <t>Adjustments Summary</t>
  </si>
  <si>
    <t>Total adjustments required</t>
  </si>
  <si>
    <t>Business must inform ESC in advance before completing this tab</t>
  </si>
  <si>
    <t>Correction for Desal Depreciation</t>
  </si>
  <si>
    <t>Additional expenses incurred to be carried forward</t>
  </si>
  <si>
    <t>NPV:</t>
  </si>
  <si>
    <t>Allocation of carried forward expenses (NPV of cash flows should equate to net present cost to recover)</t>
  </si>
  <si>
    <t>Revenue forecast (price caps)</t>
  </si>
  <si>
    <t>Water and Sewerage</t>
  </si>
  <si>
    <t>Revenue Summary</t>
  </si>
  <si>
    <t>Non-scheduled tariff revenue</t>
  </si>
  <si>
    <t>Tariff revenue</t>
  </si>
  <si>
    <t>Total prescribed revenue</t>
  </si>
  <si>
    <t>Revenue not collected</t>
  </si>
  <si>
    <t>Net prescribed revenue</t>
  </si>
  <si>
    <t>Revenue requirement</t>
  </si>
  <si>
    <t>Non-prescribed revenue</t>
  </si>
  <si>
    <t>TOTAL REVENUE</t>
  </si>
  <si>
    <t>NPV Net Prescribed Revenue</t>
  </si>
  <si>
    <t>NPV Revenue Requirement</t>
  </si>
  <si>
    <t>Variance</t>
  </si>
  <si>
    <t>Fixed</t>
  </si>
  <si>
    <t>Variable</t>
  </si>
  <si>
    <t>Revenue forecast</t>
  </si>
  <si>
    <t>Contract revenue</t>
  </si>
  <si>
    <t>Trade Waste Contract Revenue</t>
  </si>
  <si>
    <t>Water &amp; Sewerage</t>
  </si>
  <si>
    <t>Sewerage Contract Revenue</t>
  </si>
  <si>
    <t>Water Contract Revenue</t>
  </si>
  <si>
    <t>Recycled Water Contract Revenue</t>
  </si>
  <si>
    <t>Other non-scheduled tariff revenue</t>
  </si>
  <si>
    <t>Miscellaneous Services</t>
  </si>
  <si>
    <t>Government contribution to operations</t>
  </si>
  <si>
    <t>Other Revenue</t>
  </si>
  <si>
    <t>1 - Simple Moving Averages</t>
  </si>
  <si>
    <t>2 - Revenue-Weighted Moving Averages</t>
  </si>
  <si>
    <t>Price</t>
  </si>
  <si>
    <t>Quantity</t>
  </si>
  <si>
    <t>Revenue</t>
  </si>
  <si>
    <t>Price - Avg. YoY Growth for each Reg Period</t>
  </si>
  <si>
    <t>Price - Wgt. Avg. YoY Growth for each Reg Period</t>
  </si>
  <si>
    <t>Non-prescribed revenue offset of revenue requirement</t>
  </si>
  <si>
    <t>Enter negative figures only&gt;&gt;&gt;</t>
  </si>
  <si>
    <t>Quantity -  Avg. YoY Growth for each Reg Period</t>
  </si>
  <si>
    <t>Quantity -  Wgt. Avg. YoY Growth for each Reg Period</t>
  </si>
  <si>
    <t>Revenue -  Avg. YoY Growth for each Reg Period</t>
  </si>
  <si>
    <t>Revenue -  Wgt. Avg. YoY Growth for each Reg Period</t>
  </si>
  <si>
    <t>3 - Compound Annual Growth Rate (CAGR)</t>
  </si>
  <si>
    <t>Forecast</t>
  </si>
  <si>
    <r>
      <t xml:space="preserve">FOURTH REG PERIOD - Base Period: </t>
    </r>
    <r>
      <rPr>
        <b/>
        <sz val="9"/>
        <color rgb="FFC00000"/>
        <rFont val="Calibri"/>
        <family val="2"/>
        <scheme val="minor"/>
      </rPr>
      <t>2015-16</t>
    </r>
  </si>
  <si>
    <r>
      <t xml:space="preserve">FIFTH REG PERIOD - Base Period: </t>
    </r>
    <r>
      <rPr>
        <b/>
        <sz val="9"/>
        <color rgb="FFC00000"/>
        <rFont val="Calibri"/>
        <family val="2"/>
        <scheme val="minor"/>
      </rPr>
      <t>2020-21</t>
    </r>
  </si>
  <si>
    <t>PQR</t>
  </si>
  <si>
    <t>Category</t>
  </si>
  <si>
    <t>Tariff Description</t>
  </si>
  <si>
    <t>Type</t>
  </si>
  <si>
    <t>Unit</t>
  </si>
  <si>
    <t>GWW</t>
  </si>
  <si>
    <t>Greater Yarra System - Thomson River</t>
  </si>
  <si>
    <t>$</t>
  </si>
  <si>
    <t>Qty</t>
  </si>
  <si>
    <t>Entitlements</t>
  </si>
  <si>
    <t>Rev</t>
  </si>
  <si>
    <t>$m</t>
  </si>
  <si>
    <t>Victorian Desalination Plant</t>
  </si>
  <si>
    <t>North South Pipeline</t>
  </si>
  <si>
    <t>Transfer</t>
  </si>
  <si>
    <t>Ml</t>
  </si>
  <si>
    <t>GW</t>
  </si>
  <si>
    <t>Tarago Headworks/Transfer</t>
  </si>
  <si>
    <t>months</t>
  </si>
  <si>
    <t>Western Treatment</t>
  </si>
  <si>
    <t>Eastern Treatment</t>
  </si>
  <si>
    <t>Western Transfer</t>
  </si>
  <si>
    <t>Eastern Transfer</t>
  </si>
  <si>
    <t>Trade waste - BOD Western</t>
  </si>
  <si>
    <t>tonnes</t>
  </si>
  <si>
    <t>Trade waste - BOD Eastern</t>
  </si>
  <si>
    <t>Trade waste - SS Western</t>
  </si>
  <si>
    <t>Trade waste - SS Eastern</t>
  </si>
  <si>
    <t>Trade waste - TN/TKN Western</t>
  </si>
  <si>
    <t>Trade waste - TN/TKN Eastern</t>
  </si>
  <si>
    <t>Trade waste - TDS/inorganic TDS Western</t>
  </si>
  <si>
    <t>Sewerage Treatment/Transfer Fixed</t>
  </si>
  <si>
    <t>ALL</t>
  </si>
  <si>
    <t>Residential on minimum</t>
  </si>
  <si>
    <t>cust</t>
  </si>
  <si>
    <t>Non residential on minimum</t>
  </si>
  <si>
    <t>Non residential above minimum</t>
  </si>
  <si>
    <t>NAV $</t>
  </si>
  <si>
    <t>Rural</t>
  </si>
  <si>
    <t>Patterson Lakes Timber Jetty charge</t>
  </si>
  <si>
    <t>Patterson Lakes Concrete Jetty charge</t>
  </si>
  <si>
    <t>Patterson Lakes Jetty Annual Maintenance</t>
  </si>
  <si>
    <t>Quiet Lakes Bore Flushing</t>
  </si>
  <si>
    <t>Koo Wee Rup Longwarry Flood Protection Disctrict average customer charge</t>
  </si>
  <si>
    <t>[Pricing Unit]</t>
  </si>
  <si>
    <t>Trade waste - TDS//inorganic TDS Eastern</t>
  </si>
  <si>
    <t>Trade waste - TDS/inorganic TDS Eastern</t>
  </si>
  <si>
    <t>Victorian Desalination Plant Water Order</t>
  </si>
  <si>
    <t>[Price]</t>
  </si>
  <si>
    <t>W&amp;D rev:</t>
  </si>
  <si>
    <r>
      <rPr>
        <b/>
        <sz val="9"/>
        <rFont val="Calibri"/>
        <family val="2"/>
        <scheme val="minor"/>
      </rPr>
      <t>Tariff Revenue</t>
    </r>
    <r>
      <rPr>
        <sz val="9"/>
        <rFont val="Calibri"/>
        <family val="2"/>
        <scheme val="minor"/>
      </rPr>
      <t xml:space="preserve"> - By Service</t>
    </r>
  </si>
  <si>
    <r>
      <rPr>
        <b/>
        <sz val="9"/>
        <rFont val="Calibri"/>
        <family val="2"/>
        <scheme val="minor"/>
      </rPr>
      <t>Tariff Revenue</t>
    </r>
    <r>
      <rPr>
        <sz val="9"/>
        <rFont val="Calibri"/>
        <family val="2"/>
        <scheme val="minor"/>
      </rPr>
      <t xml:space="preserve"> - Fixed vs. Variable</t>
    </r>
  </si>
  <si>
    <t>Fixed %</t>
  </si>
  <si>
    <t>Variable %</t>
  </si>
  <si>
    <t>4 - Tariff Revenue - By Service and Type</t>
  </si>
  <si>
    <t>W&amp;D customers (res)</t>
  </si>
  <si>
    <t>W&amp;D customers (non-res)</t>
  </si>
  <si>
    <t>W&amp;D customers (other)</t>
  </si>
  <si>
    <t>W&amp;D customers (TOTAL)</t>
  </si>
  <si>
    <t>W&amp;D avg. cus:</t>
  </si>
  <si>
    <t>FO</t>
  </si>
  <si>
    <t>Non-tariff revenue</t>
  </si>
  <si>
    <t>Revenue cap services</t>
  </si>
  <si>
    <t>Price cap services</t>
  </si>
  <si>
    <t>Total tariff revenue</t>
  </si>
  <si>
    <t>District</t>
  </si>
  <si>
    <t>South-Central Pool</t>
  </si>
  <si>
    <t>Price cap - Fixed</t>
  </si>
  <si>
    <t>Transfer-Treated Water</t>
  </si>
  <si>
    <t xml:space="preserve">Price cap - Variable </t>
  </si>
  <si>
    <t xml:space="preserve">Transfer-Raw Water </t>
  </si>
  <si>
    <t xml:space="preserve">Revenue cap - Fixed </t>
  </si>
  <si>
    <t>Revenue cap - Variable</t>
  </si>
  <si>
    <t>ESC ASSESSMENT</t>
  </si>
  <si>
    <t>Non Prescribed Services</t>
  </si>
  <si>
    <t>Non Prescribed Services summary</t>
  </si>
  <si>
    <t>Net capital expenditure - non-prescribed</t>
  </si>
  <si>
    <t>Total Non Prescribed Services</t>
  </si>
  <si>
    <t>[Not prescribed service 7]</t>
  </si>
  <si>
    <t>[Not prescribed service 8]</t>
  </si>
  <si>
    <t>[Not prescribed service 9]</t>
  </si>
  <si>
    <t>[Not prescribed service 10]</t>
  </si>
  <si>
    <t>[Not prescribed service 11]</t>
  </si>
  <si>
    <t>[Not prescribed service 12]</t>
  </si>
  <si>
    <t>[Not prescribed service 13]</t>
  </si>
  <si>
    <t>[Not prescribed service 14]</t>
  </si>
  <si>
    <t>[Not prescribed service 15]</t>
  </si>
  <si>
    <t>[Not prescribed service 1]</t>
  </si>
  <si>
    <t>[Not prescribed service 2]</t>
  </si>
  <si>
    <t>[Not prescribed service 3]</t>
  </si>
  <si>
    <t>[Not prescribed service 4]</t>
  </si>
  <si>
    <t>[Not prescribed service 5]</t>
  </si>
  <si>
    <t>[Not prescribed service 6]</t>
  </si>
  <si>
    <t>Cash, debt and tax assumptions</t>
  </si>
  <si>
    <t>Finance and tax summary</t>
  </si>
  <si>
    <t>Opening cash balance</t>
  </si>
  <si>
    <t>Interest earned</t>
  </si>
  <si>
    <t>Opening debt balance</t>
  </si>
  <si>
    <t>Interest incurred</t>
  </si>
  <si>
    <t>Book depreciation</t>
  </si>
  <si>
    <t>Tax depreciation - existing assets</t>
  </si>
  <si>
    <t>Tax depreciation - new assets</t>
  </si>
  <si>
    <t>Tax losses brought forward</t>
  </si>
  <si>
    <t>Cash and Debt</t>
  </si>
  <si>
    <t>$m, MOD</t>
  </si>
  <si>
    <t>&lt;&lt;&lt; enter positive value</t>
  </si>
  <si>
    <t>Tax depreciation - existing assets (incl non-prescribed)</t>
  </si>
  <si>
    <t>Tax depreciation - new assets (incl non-prescribed)</t>
  </si>
  <si>
    <r>
      <rPr>
        <u/>
        <sz val="9"/>
        <rFont val="Calibri"/>
        <family val="2"/>
        <scheme val="minor"/>
      </rPr>
      <t>Non-Prescribed</t>
    </r>
    <r>
      <rPr>
        <sz val="9"/>
        <rFont val="Calibri"/>
        <family val="2"/>
        <scheme val="minor"/>
      </rPr>
      <t xml:space="preserve"> Tax Depreciation - new assets</t>
    </r>
  </si>
  <si>
    <t>Revenue requirement detail</t>
  </si>
  <si>
    <t>Revenue requirement and RAV outputs</t>
  </si>
  <si>
    <t>Revenue requirement - Building Blocks</t>
  </si>
  <si>
    <t>Return on assets</t>
  </si>
  <si>
    <t>Regulatory depreciation of assets</t>
  </si>
  <si>
    <t>Adjustments from last period</t>
  </si>
  <si>
    <t>Tax liability</t>
  </si>
  <si>
    <t>Total revenue requirement</t>
  </si>
  <si>
    <t>Tax rate</t>
  </si>
  <si>
    <t>Existing assets detail</t>
  </si>
  <si>
    <t>plus capital expenditure</t>
  </si>
  <si>
    <t>less customer contributions</t>
  </si>
  <si>
    <t>less government contributions</t>
  </si>
  <si>
    <t>less regulatory depreciation</t>
  </si>
  <si>
    <t>less disposals</t>
  </si>
  <si>
    <t>Average asset base</t>
  </si>
  <si>
    <t>Return on assets (existing)</t>
  </si>
  <si>
    <t>Return on and of existing assets</t>
  </si>
  <si>
    <t>New capital expenditure</t>
  </si>
  <si>
    <t>less disposals (all disposals included in existing assets)</t>
  </si>
  <si>
    <t>Return on assets (new)</t>
  </si>
  <si>
    <t>Return on and of new assets</t>
  </si>
  <si>
    <t>Rolled forward RAV</t>
  </si>
  <si>
    <t>Benchmark tax liability</t>
  </si>
  <si>
    <t>Forecast inflation</t>
  </si>
  <si>
    <t>Cost of debt (nominal)</t>
  </si>
  <si>
    <t>Taxation calculation</t>
  </si>
  <si>
    <t>Gifted assets</t>
  </si>
  <si>
    <t>Operating &amp; maintenance expenditure</t>
  </si>
  <si>
    <t>Average RAV</t>
  </si>
  <si>
    <t>Debt (60% of ARAV)</t>
  </si>
  <si>
    <t>$m (MOD)</t>
  </si>
  <si>
    <t>Tax depreciation (new)</t>
  </si>
  <si>
    <t>Tax depreciation (existing)</t>
  </si>
  <si>
    <t>Interest</t>
  </si>
  <si>
    <t>Before tax net income</t>
  </si>
  <si>
    <t>Benchmark gross tax liability</t>
  </si>
  <si>
    <t>Franking benefit</t>
  </si>
  <si>
    <t>Benchmark tax liability (MOD)</t>
  </si>
  <si>
    <t>Benchmark tax liability (real)</t>
  </si>
  <si>
    <t>Financial indicators</t>
  </si>
  <si>
    <t>Adjustments to financial indicator inputs</t>
  </si>
  <si>
    <t>All adjustments must be defined and explained</t>
  </si>
  <si>
    <t>[Note: any adjustments due to non-prescribed services should be included on the Non Prescribed worksheet, rather than below]</t>
  </si>
  <si>
    <t>Revenue adjustments</t>
  </si>
  <si>
    <t>Admin fee adjustment DSS</t>
  </si>
  <si>
    <t>[Adjustment 2]</t>
  </si>
  <si>
    <t>[Adjustment 3]</t>
  </si>
  <si>
    <t>[Adjustment 4]</t>
  </si>
  <si>
    <t>Operating expenditure adjustments</t>
  </si>
  <si>
    <t>Desal Interest adjustment</t>
  </si>
  <si>
    <t>WIP Writeoff</t>
  </si>
  <si>
    <t>Operating cash flow adjustments</t>
  </si>
  <si>
    <t>Operating Cashflow adjustment</t>
  </si>
  <si>
    <t>FFO Balance</t>
  </si>
  <si>
    <t>[Adjustment 5]</t>
  </si>
  <si>
    <t>[Adjustment 6]</t>
  </si>
  <si>
    <t>[Adjustment 7]</t>
  </si>
  <si>
    <t>[Adjustment 8]</t>
  </si>
  <si>
    <t>[Adjustment 9]</t>
  </si>
  <si>
    <t>Investing cash flow adjustments</t>
  </si>
  <si>
    <t>Investing Cashflow adjustment</t>
  </si>
  <si>
    <t>Interest payment adjustments</t>
  </si>
  <si>
    <t>Align to interest expense</t>
  </si>
  <si>
    <t xml:space="preserve">Desal interest </t>
  </si>
  <si>
    <t>Other inputs required for the calculation of indicators</t>
  </si>
  <si>
    <t>RP4</t>
  </si>
  <si>
    <t>RP5</t>
  </si>
  <si>
    <t>RP6</t>
  </si>
  <si>
    <t>Dividend plus tax equivalents benchmark</t>
  </si>
  <si>
    <t>Only for Metro businesses</t>
  </si>
  <si>
    <t>Marginal Interest Rate - Borrowings</t>
  </si>
  <si>
    <t>ESC to update prior to final decision</t>
  </si>
  <si>
    <t>Marginal Interest Rate - Cash</t>
  </si>
  <si>
    <t>Dividends - whole of business</t>
  </si>
  <si>
    <t>Revenue from ordinary activities</t>
  </si>
  <si>
    <t>Prescribed revenue</t>
  </si>
  <si>
    <t>(less income not received)</t>
  </si>
  <si>
    <t>Government and developer contributed assets</t>
  </si>
  <si>
    <t>Developer cash contributions</t>
  </si>
  <si>
    <t>Government cash contributions</t>
  </si>
  <si>
    <t>Investment income</t>
  </si>
  <si>
    <t>Proceeds from asset disposal</t>
  </si>
  <si>
    <t>Other non-prescribed revenue</t>
  </si>
  <si>
    <r>
      <t xml:space="preserve">Revenue adjustments </t>
    </r>
    <r>
      <rPr>
        <vertAlign val="superscript"/>
        <sz val="9"/>
        <rFont val="Calibri"/>
        <family val="2"/>
        <scheme val="minor"/>
      </rPr>
      <t>1</t>
    </r>
  </si>
  <si>
    <t>Total revenue from ordinary activities</t>
  </si>
  <si>
    <t>Expenditure from ordinary activities</t>
  </si>
  <si>
    <t>Operating expenditure (prescribed)</t>
  </si>
  <si>
    <t>Operating expenditure (non-prescribed)</t>
  </si>
  <si>
    <t>Interest expense</t>
  </si>
  <si>
    <r>
      <t xml:space="preserve">Expenditure adjustments </t>
    </r>
    <r>
      <rPr>
        <vertAlign val="superscript"/>
        <sz val="9"/>
        <rFont val="Calibri"/>
        <family val="2"/>
        <scheme val="minor"/>
      </rPr>
      <t>2</t>
    </r>
  </si>
  <si>
    <t>Total expenditure from ordinary activities</t>
  </si>
  <si>
    <t>Profit from ordinary activities (before tax)</t>
  </si>
  <si>
    <t>Prima facie income tax expense</t>
  </si>
  <si>
    <t>Return to government</t>
  </si>
  <si>
    <t>Dividend payments (offset)</t>
  </si>
  <si>
    <t>Retained revenue</t>
  </si>
  <si>
    <t>Adjusted cash flow statement</t>
  </si>
  <si>
    <t>Operating Activities</t>
  </si>
  <si>
    <t>Customer cash contributions</t>
  </si>
  <si>
    <t>Payments to suppliers and employees (opex)</t>
  </si>
  <si>
    <t>Income tax paid</t>
  </si>
  <si>
    <t>Interest received</t>
  </si>
  <si>
    <t>Interest paid</t>
  </si>
  <si>
    <r>
      <t xml:space="preserve">Operating Adjustments </t>
    </r>
    <r>
      <rPr>
        <vertAlign val="superscript"/>
        <sz val="9"/>
        <rFont val="Calibri"/>
        <family val="2"/>
        <scheme val="minor"/>
      </rPr>
      <t>3</t>
    </r>
  </si>
  <si>
    <t xml:space="preserve">Net cash inflows from operating activities </t>
  </si>
  <si>
    <t>Investing activities</t>
  </si>
  <si>
    <t>Payment for property, plant, equipment and WIP (capex)</t>
  </si>
  <si>
    <t>Proceeds from sale of property, plant and equipment</t>
  </si>
  <si>
    <r>
      <t xml:space="preserve">Investing adjustments </t>
    </r>
    <r>
      <rPr>
        <vertAlign val="superscript"/>
        <sz val="9"/>
        <rFont val="Calibri"/>
        <family val="2"/>
        <scheme val="minor"/>
      </rPr>
      <t>4</t>
    </r>
  </si>
  <si>
    <t xml:space="preserve">Net cash (outflow) from investing activities </t>
  </si>
  <si>
    <t>Dividend payable</t>
  </si>
  <si>
    <t>Net cash (outflow) for cash or debt</t>
  </si>
  <si>
    <t>Adjusted cash and debt</t>
  </si>
  <si>
    <t>Target cash balance</t>
  </si>
  <si>
    <t>Target Cash ($)</t>
  </si>
  <si>
    <t>Cash at the beginning of the financial year</t>
  </si>
  <si>
    <t>Increase in Cash</t>
  </si>
  <si>
    <t>Cash at the end of the financial year</t>
  </si>
  <si>
    <t>Enter 2019-20 closing balance here&gt;&gt;&gt;</t>
  </si>
  <si>
    <t>Debt at the beginning of the financial year</t>
  </si>
  <si>
    <t>Increase in Debt</t>
  </si>
  <si>
    <t>Debt at the end of the financial year</t>
  </si>
  <si>
    <t>TAX PAYABLE CALCULATION</t>
  </si>
  <si>
    <t>less Opex</t>
  </si>
  <si>
    <t>less Interest</t>
  </si>
  <si>
    <t>less Tax Depreciation</t>
  </si>
  <si>
    <t>less Tax Losses brought forward</t>
  </si>
  <si>
    <t>add taxable income adjustment</t>
  </si>
  <si>
    <t>Taxable Income</t>
  </si>
  <si>
    <t>Tax Payable</t>
  </si>
  <si>
    <t>Interest adjustments</t>
  </si>
  <si>
    <t>Forecast Cash (opening)</t>
  </si>
  <si>
    <t>Adjusted Cash</t>
  </si>
  <si>
    <t>Forecast Interest Earned</t>
  </si>
  <si>
    <t>Adjusted Interest Earned</t>
  </si>
  <si>
    <t>Forecast Debt  (opening)</t>
  </si>
  <si>
    <t>Adjusted Debt</t>
  </si>
  <si>
    <t>Forecast Interest Paid</t>
  </si>
  <si>
    <t>Interest paid adjustments</t>
  </si>
  <si>
    <t>Adjusted Interest Paid</t>
  </si>
  <si>
    <t>Financial indicators - Actual Test</t>
  </si>
  <si>
    <t>Funds from operations ($m)</t>
  </si>
  <si>
    <t>plus developer charges</t>
  </si>
  <si>
    <t>plus non-prescribed revenue</t>
  </si>
  <si>
    <t>plus operating adjustments</t>
  </si>
  <si>
    <t>less Income not received</t>
  </si>
  <si>
    <t>less Total operating expenditure</t>
  </si>
  <si>
    <t>less Income tax paid</t>
  </si>
  <si>
    <t>plus Interest revenue</t>
  </si>
  <si>
    <t>less Interest expense</t>
  </si>
  <si>
    <t>Funds from operations</t>
  </si>
  <si>
    <t>FFO interest cover (times)</t>
  </si>
  <si>
    <t xml:space="preserve">FFO  </t>
  </si>
  <si>
    <t>plus Interest expense</t>
  </si>
  <si>
    <t>less Interest revenue</t>
  </si>
  <si>
    <t>divided by Net interest expense</t>
  </si>
  <si>
    <t>&gt; 1.5 times</t>
  </si>
  <si>
    <t>FFO / Net debt (%)</t>
  </si>
  <si>
    <t>FFO</t>
  </si>
  <si>
    <t>(divided by Non-current interest bearing liabilities</t>
  </si>
  <si>
    <t>plus Current interest bearing liabilities</t>
  </si>
  <si>
    <t>less cash assets)</t>
  </si>
  <si>
    <t>&gt; 6 per cent</t>
  </si>
  <si>
    <t>Secondary Indicators</t>
  </si>
  <si>
    <t>Net Debt / RAV (Gearing) (%)</t>
  </si>
  <si>
    <t>Interest bearing liabilities</t>
  </si>
  <si>
    <t>less cash assets</t>
  </si>
  <si>
    <t>divided by Average regulatory asset base</t>
  </si>
  <si>
    <t>&lt; 80 per cent</t>
  </si>
  <si>
    <t>less Dividends</t>
  </si>
  <si>
    <t>&gt; 4 per cent</t>
  </si>
  <si>
    <t>Internal financing ratio (%)</t>
  </si>
  <si>
    <t>(divided by Gross capital expenditure</t>
  </si>
  <si>
    <t>less Customer cash contributions</t>
  </si>
  <si>
    <t>less Government cash contributions)</t>
  </si>
  <si>
    <t>&gt; 35 per cent</t>
  </si>
  <si>
    <t>Financial indicators - Notional Test</t>
  </si>
  <si>
    <t>Notional Funds from operations ($m)</t>
  </si>
  <si>
    <t>n/a</t>
  </si>
  <si>
    <t>less tax liability</t>
  </si>
  <si>
    <t>plus interest revenue</t>
  </si>
  <si>
    <t>Notional Funds from operations (NFFO)</t>
  </si>
  <si>
    <t>Primary Indicators</t>
  </si>
  <si>
    <t>NFFO interest cover (times)</t>
  </si>
  <si>
    <t xml:space="preserve">NFFO  </t>
  </si>
  <si>
    <t>NFFO / Net debt (%)</t>
  </si>
  <si>
    <t>NFFO</t>
  </si>
  <si>
    <t>(divided by interest bearing liabilities</t>
  </si>
  <si>
    <t>Secondary Indicator</t>
  </si>
  <si>
    <t>Minimum flow rates</t>
  </si>
  <si>
    <t>20mm</t>
  </si>
  <si>
    <t>25mm</t>
  </si>
  <si>
    <t>32mm</t>
  </si>
  <si>
    <t>40mm</t>
  </si>
  <si>
    <t>50mm</t>
  </si>
  <si>
    <t>Business proposed outcomes and outputs</t>
  </si>
  <si>
    <t>ACTUAL</t>
  </si>
  <si>
    <t>FORECAST</t>
  </si>
  <si>
    <t>Outcome 1</t>
  </si>
  <si>
    <t>Safe and reliable bulk water supplies now and for the long term</t>
  </si>
  <si>
    <t>Output descriptor</t>
  </si>
  <si>
    <t xml:space="preserve"> Unit of measurement</t>
  </si>
  <si>
    <t>Number of Safe Drinking Water Act non-compliances (water sampling and audit)</t>
  </si>
  <si>
    <t>Number</t>
  </si>
  <si>
    <t>Percentage of time compliant with water corporation pressure requirements (cumulative across the year)</t>
  </si>
  <si>
    <t>Percentage</t>
  </si>
  <si>
    <t>Percentage of transfer system losses as a percentage of water supplied to water corporations</t>
  </si>
  <si>
    <t>&lt; 1%</t>
  </si>
  <si>
    <t>Conduct detailed investigations to progress the critical path for new large-scale water infrastructure</t>
  </si>
  <si>
    <t>On track / Met</t>
  </si>
  <si>
    <t>On track</t>
  </si>
  <si>
    <t>Met</t>
  </si>
  <si>
    <t>Output 5</t>
  </si>
  <si>
    <t>Output 6</t>
  </si>
  <si>
    <t>Output 7</t>
  </si>
  <si>
    <t>Output 8</t>
  </si>
  <si>
    <t>Output 9</t>
  </si>
  <si>
    <t>Output 10</t>
  </si>
  <si>
    <t>Outcome 2</t>
  </si>
  <si>
    <t>Environmentally sustainable bulk sewerage services</t>
  </si>
  <si>
    <t>Non-compliances with our EPA licence conditions for all effluent discharge limits at Eastern Treatment Plant</t>
  </si>
  <si>
    <t>Non-compliances with our EPA licence conditions for all effluent discharge limits at Western Treatment Plant</t>
  </si>
  <si>
    <t>Net amount of greenhouse gas emissions (CO2-e) produced at all sites</t>
  </si>
  <si>
    <t>Kiloton (kT) of CO2e</t>
  </si>
  <si>
    <t>On-track</t>
  </si>
  <si>
    <t>on-track</t>
  </si>
  <si>
    <t>&lt;204.38 kT of CO2e net total reportable Scope 2 emissions
=0 kT of CO2e net total reportable Scope 1 emissions,</t>
  </si>
  <si>
    <t>&lt;204.38 kT of CO2e net total reportable Scope 2 emissions,
=0 kT of CO2e net total reportable Scope 1 emissions,</t>
  </si>
  <si>
    <t>Number of sewer spills across our transfer network due to system failure</t>
  </si>
  <si>
    <t>Volume of sewer spills across our transfer network due to system failure</t>
  </si>
  <si>
    <t>Volume (ML)</t>
  </si>
  <si>
    <t>Outcome 3</t>
  </si>
  <si>
    <t>Healthy, resilient waterways</t>
  </si>
  <si>
    <t>Length (kms) along waterways managed for ecological benefit (cumulative)</t>
  </si>
  <si>
    <t>Kilometres (km) (cumulative)</t>
  </si>
  <si>
    <t>Number of projects funded within the waterways and drainage incentives program</t>
  </si>
  <si>
    <t>Overall satisfaction with our Waterways Service</t>
  </si>
  <si>
    <t>&gt;= 85%</t>
  </si>
  <si>
    <t>Output 4</t>
  </si>
  <si>
    <t>Outcome 4</t>
  </si>
  <si>
    <t>Urban drainage and flood resilience</t>
  </si>
  <si>
    <t>Number of catchments where new flood information is completed</t>
  </si>
  <si>
    <t>Number of Secondary Catchment (cumulative)</t>
  </si>
  <si>
    <t>Average estimated flood damages reduced as a result of Melbourne Water’s programs</t>
  </si>
  <si>
    <t>$m real 2025-26</t>
  </si>
  <si>
    <t>Responses to our urban planning and development statutory and non-statutory applications are completed within the agreed timeline</t>
  </si>
  <si>
    <t>&gt;=90%</t>
  </si>
  <si>
    <t>Developer Application satisfaction score</t>
  </si>
  <si>
    <t>Score</t>
  </si>
  <si>
    <t>&gt;=7</t>
  </si>
  <si>
    <t>Outcome 5</t>
  </si>
  <si>
    <t>A valued partner in water cycle services</t>
  </si>
  <si>
    <t>Water Corporations Relationship Health Metric</t>
  </si>
  <si>
    <t>&gt;=70%</t>
  </si>
  <si>
    <t>Number of initiatives delivered that engage community and foster shared outcomes for healthy land, water and people.</t>
  </si>
  <si>
    <t>Number (Cumulative)</t>
  </si>
  <si>
    <t>Percentage of the community surveyed with a moderate or better level of water literacy</t>
  </si>
  <si>
    <t>&gt;=75%</t>
  </si>
  <si>
    <t>Outcome 6</t>
  </si>
  <si>
    <t>Output 1</t>
  </si>
  <si>
    <t>Output 2</t>
  </si>
  <si>
    <t>Output 3</t>
  </si>
  <si>
    <t>Outcome 7</t>
  </si>
  <si>
    <t>Outcome 8</t>
  </si>
  <si>
    <t>Outcome 9</t>
  </si>
  <si>
    <t>Outcome 10</t>
  </si>
  <si>
    <t>Other</t>
  </si>
  <si>
    <t xml:space="preserve">Examples of standards required by Customer Service Code </t>
  </si>
  <si>
    <t>Number of unplanned water supply interruptions for each customer in any 12 month period</t>
  </si>
  <si>
    <t>Number of sewer blockages for each customer in any 12 month period</t>
  </si>
  <si>
    <t>Hours from notification to attend water bursts and leaks, and sewer spills and blockages</t>
  </si>
  <si>
    <t>Hours to restore an interruption to water services</t>
  </si>
  <si>
    <t>Hours for clearance of sewer blockages in the water business's pipe</t>
  </si>
  <si>
    <t>Hours for containment of sewer spills</t>
  </si>
  <si>
    <t>Guaranteed Service Levels (GSL)</t>
  </si>
  <si>
    <t>$,nominal</t>
  </si>
  <si>
    <t>Guaranteed Service Levels</t>
  </si>
  <si>
    <t>Current</t>
  </si>
  <si>
    <t>Proposed</t>
  </si>
  <si>
    <t>Number of GSL applicable events for each GSL indicator</t>
  </si>
  <si>
    <t>GSL payment/rebate</t>
  </si>
  <si>
    <t>GSL 1</t>
  </si>
  <si>
    <t>GSL 2</t>
  </si>
  <si>
    <t>GSL 3</t>
  </si>
  <si>
    <t>GSL 4</t>
  </si>
  <si>
    <t>GSL 5</t>
  </si>
  <si>
    <t>GSL 6</t>
  </si>
  <si>
    <t>GSL 7</t>
  </si>
  <si>
    <t>GSL 8</t>
  </si>
  <si>
    <t>GSL 9</t>
  </si>
  <si>
    <t>GSL 10</t>
  </si>
  <si>
    <t>GSL 11</t>
  </si>
  <si>
    <t>GSL 12</t>
  </si>
  <si>
    <t>GSL 13</t>
  </si>
  <si>
    <t>GSL 14</t>
  </si>
  <si>
    <t>GSL 15</t>
  </si>
  <si>
    <t>GSL 16</t>
  </si>
  <si>
    <t>GSL 17</t>
  </si>
  <si>
    <t>GSL 18</t>
  </si>
  <si>
    <t>GSL 19</t>
  </si>
  <si>
    <t>GSL 20</t>
  </si>
  <si>
    <t>$, (nominal)</t>
  </si>
  <si>
    <t>$,million (nominal)</t>
  </si>
  <si>
    <t>$,million (real)</t>
  </si>
  <si>
    <t>Check to GSL Payments (Opex_Breakdown)(real)</t>
  </si>
  <si>
    <t>Schedule of prices to be included in the Determination</t>
  </si>
  <si>
    <t>Variable water, wastewater, tradewaste charges and non-residential waterways and drainage inflation adjusted prices are rounded down to 4 decimal places. All other prices are rounded down to 2 decimal places. Inflation is rounded to 6 decimal places (absolute number)</t>
  </si>
  <si>
    <t>Tariff and Price Component</t>
  </si>
  <si>
    <t>Real Prices</t>
  </si>
  <si>
    <t>Prices</t>
  </si>
  <si>
    <t>PPM2</t>
  </si>
  <si>
    <t>PPM3</t>
  </si>
  <si>
    <t>PPM4</t>
  </si>
  <si>
    <t>PPM5</t>
  </si>
  <si>
    <t>($2026)</t>
  </si>
  <si>
    <t>(1 July 2026)</t>
  </si>
  <si>
    <t>(1 July 2027)</t>
  </si>
  <si>
    <t>(1 July 2028)</t>
  </si>
  <si>
    <t>(1 July 2029)</t>
  </si>
  <si>
    <t>(1 July 2030)</t>
  </si>
  <si>
    <t>2026-27 Inflation</t>
  </si>
  <si>
    <t>1.1 Storage operator and bulk water headworks charges -  Greater Yarra System -Thompson River ($/ML Entitlement)</t>
  </si>
  <si>
    <t>Greater Western Water, South East Water, Yarra Valley Water, Barwon Water, Westernport Water, South Gippsland Water, Gippsland Water</t>
  </si>
  <si>
    <t>1.2 Storage operator and bulk water headworks charges -  Victorian Desalination Plant ($/ML Entitlement)</t>
  </si>
  <si>
    <t>Greater Western Water, South East Water, Yarra Valley Water</t>
  </si>
  <si>
    <t/>
  </si>
  <si>
    <t>1.3 Victorian Desalination Plant Water Order charge ($/ML Entitlement)</t>
  </si>
  <si>
    <t>1.4 Storage operator and bulk water headworks charges -  North South Pipeline ($/ML Entitlement)</t>
  </si>
  <si>
    <t>1.5 Bulk drinking water usage charges - South-Central Pool ($/ML supplied)</t>
  </si>
  <si>
    <t>1.6 Bulk water headworks charge ($/month)</t>
  </si>
  <si>
    <t>1.7 Bulk sewerage usage charges - Treatment ($/ML)</t>
  </si>
  <si>
    <t>Western System (Greater Western Water, South East Water, Yarra Valley Water)</t>
  </si>
  <si>
    <t>Eastern System (South East Water, Yarra Valley Water)</t>
  </si>
  <si>
    <t>1.8 Bulk sewerage usage charges – Transfer ($/ML)</t>
  </si>
  <si>
    <t>1.9 Bulk sewerage usage charges – Load ($/tonne)</t>
  </si>
  <si>
    <t>Biochemical oxygen demand – Eastern System</t>
  </si>
  <si>
    <t>Biochemical oxygen demand – Western System</t>
  </si>
  <si>
    <t>Suspended solids – Eastern System</t>
  </si>
  <si>
    <t>Suspended solids – Western System</t>
  </si>
  <si>
    <t>Total kjeldahl nitrogen - Eastern System</t>
  </si>
  <si>
    <t>Total kjeldahl nitrogen - Western System</t>
  </si>
  <si>
    <t>Inorganic total dissolved solids - Western System</t>
  </si>
  <si>
    <t>1.10 Bulk sewerage service charge ($/month)</t>
  </si>
  <si>
    <t>Greater Western Water</t>
  </si>
  <si>
    <t>1.11 Bulk water headworks charges – South-Central Pool ($/month)</t>
  </si>
  <si>
    <t xml:space="preserve">South East Water </t>
  </si>
  <si>
    <t xml:space="preserve">Yarra Valley Water </t>
  </si>
  <si>
    <t>1.12  Storage operator and bulk water usage charges -  Transfer Raw Water ($/ML supplied)</t>
  </si>
  <si>
    <t>Gippsland Water, South East Water, Yarra Valley Water</t>
  </si>
  <si>
    <t>1.13 Other</t>
  </si>
  <si>
    <t>Melbourne Water  - Schedule 2 Table of the Determination</t>
  </si>
  <si>
    <t>2.1 Waterways and drainage charge – All properties located within the area designated as the Urban Growth Boundary and major airports, except those indicated in 2.2</t>
  </si>
  <si>
    <t>Residential charge ($ per annum)</t>
  </si>
  <si>
    <t>Non-residential charges:</t>
  </si>
  <si>
    <t>- Minimum fee ($ per annum)</t>
  </si>
  <si>
    <t>- Rate in $ NAV (cents per annum)</t>
  </si>
  <si>
    <t>2.2 Waterways and drainage charge – All non-residential properties included in the waterway management district as a result of extending Melbourne Water’s service area in November 2005 (including all properties within the Shire of Mornington Peninsula), non-residential properties located in the extension of the Urban Growth Boundary since 2010, except those indicated in 2.3</t>
  </si>
  <si>
    <t>Non-residential charge:</t>
  </si>
  <si>
    <t>2.3 Waterways charge – All properties located outside the area designated as the Urban Growth Boundary, except major airports and those indicated in 2.4</t>
  </si>
  <si>
    <t>2.4 Special drainage area charge - All properties in the following parts of the area of the former Dandenong Valley and Western Port Authority as at 5 November 1991, which up to 1997, were subject to a special drainage and river improvement rate</t>
  </si>
  <si>
    <t>Koo Wee Rup - Longwarry Flood Protection District ($ per annum)</t>
  </si>
  <si>
    <t>Patterson Lakes</t>
  </si>
  <si>
    <t>Properties with access to timber jetties</t>
  </si>
  <si>
    <t>Properties with access to concrete jetties</t>
  </si>
  <si>
    <t>Jetties annual maintenance</t>
  </si>
  <si>
    <t>2.5 Miscellaneous services</t>
  </si>
  <si>
    <t>Property information statements</t>
  </si>
  <si>
    <t>Property information statements (Greater Western Water (former CWW), South East Water, Yarra Valley Water)</t>
  </si>
  <si>
    <t>Provision of flood level certificates</t>
  </si>
  <si>
    <t>Provision of flood feasibility study ($ per half day)</t>
  </si>
  <si>
    <t>s</t>
  </si>
  <si>
    <t>Storm frequency analysis for selected storm events</t>
  </si>
  <si>
    <t>Hydrological data ($ per dataset – daily, hourly, 6 minute)</t>
  </si>
  <si>
    <t>Other requests ($ per hour)</t>
  </si>
  <si>
    <t>Construction, works &amp; connections</t>
  </si>
  <si>
    <t>Application / connection fee</t>
  </si>
  <si>
    <t>Additional connections/works/build over</t>
  </si>
  <si>
    <t>Application fee for construction over or near Melbourne Water easements or assets</t>
  </si>
  <si>
    <t>Fast track assessments</t>
  </si>
  <si>
    <t>Inspection charges</t>
  </si>
  <si>
    <t>Water supply inspections ($ per hour)</t>
  </si>
  <si>
    <t>Inspection fee (maximum three inspections)</t>
  </si>
  <si>
    <t>2.6 Diversion charges - unregulated waterways</t>
  </si>
  <si>
    <t>Licence service fee – all licences ($ per annum)</t>
  </si>
  <si>
    <t>Power generation licences ($ per kilowatt)</t>
  </si>
  <si>
    <t>Charge $ per ML – All months</t>
  </si>
  <si>
    <t>Charge $ per ML – On–stream winter-fill</t>
  </si>
  <si>
    <t>Charge $ per ML – Off–stream winter-fill</t>
  </si>
  <si>
    <t>Charge $ per ML – Licensed farm dam</t>
  </si>
  <si>
    <t>Charge $ per ML – Non-consumptive</t>
  </si>
  <si>
    <t>Works operating licences - General ($ per annum)</t>
  </si>
  <si>
    <t>Works operating licences - Hazardous dams ($ per annum)</t>
  </si>
  <si>
    <t>2.7 Diversion charges - regulated waterways</t>
  </si>
  <si>
    <t>Charge $ per ML – Off-stream winter-fill</t>
  </si>
  <si>
    <t>2.8 Stormwater harvesting charges</t>
  </si>
  <si>
    <t>Licence service fee</t>
  </si>
  <si>
    <t>2.9 Application Fees</t>
  </si>
  <si>
    <t>Transfer - Sale of Land</t>
  </si>
  <si>
    <t>Amalgamation, subdivision (existing licences)</t>
  </si>
  <si>
    <t>Minor Amendment (eg. add / remove parcel, party or existing entity to existing licence)</t>
  </si>
  <si>
    <t>Transfer - Downstream Trade</t>
  </si>
  <si>
    <t>Transfer - Upstream Trade</t>
  </si>
  <si>
    <t>Transfer - Repeat Trade Application</t>
  </si>
  <si>
    <t>New Licence - Stormwater</t>
  </si>
  <si>
    <t>New Licence - Non consumptive / Power Generation</t>
  </si>
  <si>
    <t>Additional Charge Where Irrigation &amp; Drainage Plan required</t>
  </si>
  <si>
    <t>Works Licence - Amendment (eg. Pump replacement)</t>
  </si>
  <si>
    <t>New Works Construction Licence - Dam / Stormwater</t>
  </si>
  <si>
    <t>New Works Construction Licence - Pump Only</t>
  </si>
  <si>
    <t>Re-issue - Failure to renew - Domestic and Stock</t>
  </si>
  <si>
    <t>Re-issue - Failure to renew (all-licences)</t>
  </si>
  <si>
    <t>Reissue - Following Revocation</t>
  </si>
  <si>
    <t>Copy of Record</t>
  </si>
  <si>
    <t>Domestic and Stock Dam Registration</t>
  </si>
  <si>
    <t>Application to Renew</t>
  </si>
  <si>
    <t>Land Information Statement</t>
  </si>
  <si>
    <t>3.0 Other</t>
  </si>
  <si>
    <t>3.1 Other</t>
  </si>
  <si>
    <t>REVENUE REQUIREMENT</t>
  </si>
  <si>
    <t>CAPITAL EXPENDITURE</t>
  </si>
  <si>
    <t>Revenue requirement ($m)</t>
  </si>
  <si>
    <t>Total prescribed capital expenditure by service category ($m)</t>
  </si>
  <si>
    <t>Values</t>
  </si>
  <si>
    <t>Reg period average</t>
  </si>
  <si>
    <t>REVENUE REQUIREMENT - BUILDING BLOCKS</t>
  </si>
  <si>
    <t>Total prescribed capital expenditure by cost driver ($m)</t>
  </si>
  <si>
    <t>VARIABLE COSTS VS FIXED COSTS</t>
  </si>
  <si>
    <t>Total tariff revenue - Fixed vs Variable ($m)</t>
  </si>
  <si>
    <t xml:space="preserve">Fixed </t>
  </si>
  <si>
    <t>DIFFERENCES BETWEEN REGULATORY PERIOD 5 AND REGULATORY PERIOD 6 (REV RAV, OPEX, CAPEX)</t>
  </si>
  <si>
    <t xml:space="preserve">Total revenue requirement </t>
  </si>
  <si>
    <t>5th regulatory period</t>
  </si>
  <si>
    <t>6th regulatory period</t>
  </si>
  <si>
    <t>OPERATING EXPENDITURE</t>
  </si>
  <si>
    <t>Total prescribed capital expenditure by capital type ($m)</t>
  </si>
  <si>
    <t>Forecast variations to baseline operating expenditure ($m)</t>
  </si>
  <si>
    <t>Rural water</t>
  </si>
  <si>
    <t>Bulk Water</t>
  </si>
  <si>
    <t>Forecast variations to baseline operating expenditure</t>
  </si>
  <si>
    <t>Non-controllable operating expenditure ($m)</t>
  </si>
  <si>
    <t>License fees</t>
  </si>
  <si>
    <t>Environmental Contribution</t>
  </si>
  <si>
    <t>Total prescribed operating expenditure - Water ($m)</t>
  </si>
  <si>
    <t>CAPITAL EXPENDITURE VS REGULATORY DEPRECIATION</t>
  </si>
  <si>
    <t>Total prescribed opex - Water</t>
  </si>
  <si>
    <t>Total prescribed operating expenditure - Sewerage ($m)</t>
  </si>
  <si>
    <t>Regulatory depreciation</t>
  </si>
  <si>
    <t>Total prescribed opex - Sewerage</t>
  </si>
  <si>
    <t>Total prescribed operating expenditure - Recycled Water ($m)</t>
  </si>
  <si>
    <t>Total prescribed opex - Recycled Water</t>
  </si>
  <si>
    <t>Total prescribed operating expenditure - Waterways and Drainage ($m)</t>
  </si>
  <si>
    <t>COMPOSITION OF RAV</t>
  </si>
  <si>
    <t xml:space="preserve">Existing assets </t>
  </si>
  <si>
    <t>New assets</t>
  </si>
  <si>
    <t>Total prescribed opex - Waterways and Drainage</t>
  </si>
  <si>
    <t>Prescribed Capex:Current vs Previous Review</t>
  </si>
  <si>
    <t>INTEREST COVER</t>
  </si>
  <si>
    <t>FD 2020/21 Benchmarks</t>
  </si>
  <si>
    <t>Interest cover</t>
  </si>
  <si>
    <t>FD 2020/21 Forecast</t>
  </si>
  <si>
    <t>PS5 Actual (2021-2025)</t>
  </si>
  <si>
    <t>INTERNAL FINANCING RATIO</t>
  </si>
  <si>
    <t>PS6 Proposed</t>
  </si>
  <si>
    <t xml:space="preserve">Baseline Opex </t>
  </si>
  <si>
    <r>
      <t xml:space="preserve">Total </t>
    </r>
    <r>
      <rPr>
        <b/>
        <u/>
        <sz val="9"/>
        <rFont val="Calibri"/>
        <family val="2"/>
        <scheme val="minor"/>
      </rPr>
      <t>controllable</t>
    </r>
    <r>
      <rPr>
        <b/>
        <sz val="9"/>
        <rFont val="Calibri"/>
        <family val="2"/>
        <scheme val="minor"/>
      </rPr>
      <t xml:space="preserve"> opex</t>
    </r>
  </si>
  <si>
    <t>Change - $</t>
  </si>
  <si>
    <t>Change - %</t>
  </si>
  <si>
    <r>
      <t xml:space="preserve">Total </t>
    </r>
    <r>
      <rPr>
        <b/>
        <u/>
        <sz val="9"/>
        <rFont val="Calibri"/>
        <family val="2"/>
        <scheme val="minor"/>
      </rPr>
      <t>non-controllable</t>
    </r>
    <r>
      <rPr>
        <b/>
        <sz val="9"/>
        <rFont val="Calibri"/>
        <family val="2"/>
        <scheme val="minor"/>
      </rPr>
      <t xml:space="preserve"> opex</t>
    </r>
  </si>
  <si>
    <r>
      <t xml:space="preserve">Total </t>
    </r>
    <r>
      <rPr>
        <b/>
        <u/>
        <sz val="9"/>
        <rFont val="Calibri"/>
        <family val="2"/>
        <scheme val="minor"/>
      </rPr>
      <t>prescribed</t>
    </r>
    <r>
      <rPr>
        <b/>
        <sz val="9"/>
        <rFont val="Calibri"/>
        <family val="2"/>
        <scheme val="minor"/>
      </rPr>
      <t xml:space="preserve"> opex</t>
    </r>
  </si>
  <si>
    <r>
      <t xml:space="preserve">Controllable </t>
    </r>
    <r>
      <rPr>
        <b/>
        <u/>
        <sz val="9"/>
        <rFont val="Calibri"/>
        <family val="2"/>
        <scheme val="minor"/>
      </rPr>
      <t>vs.</t>
    </r>
    <r>
      <rPr>
        <b/>
        <sz val="9"/>
        <rFont val="Calibri"/>
        <family val="2"/>
        <scheme val="minor"/>
      </rPr>
      <t xml:space="preserve"> Non-controllable opex - %</t>
    </r>
  </si>
  <si>
    <t>Controllable opex - %</t>
  </si>
  <si>
    <t>Non-controllable opex - %</t>
  </si>
  <si>
    <t>1st</t>
  </si>
  <si>
    <t>Fourth Reg period Opex</t>
  </si>
  <si>
    <t>Adjusted baseline opex</t>
  </si>
  <si>
    <t>Environment Contribution</t>
  </si>
  <si>
    <t>Desalination Payments</t>
  </si>
  <si>
    <t>External bulk water charges (excl. temporary purchases)</t>
  </si>
  <si>
    <t>External temporary water purchases</t>
  </si>
  <si>
    <t>2nd</t>
  </si>
  <si>
    <t>Total Non-controllable operating expenditure</t>
  </si>
  <si>
    <t>Controllable Opex:Current vs Previous Review</t>
  </si>
  <si>
    <t>PS5 Actual (2021-2026)</t>
  </si>
  <si>
    <t>Water business 1</t>
  </si>
  <si>
    <t>Water business 2</t>
  </si>
  <si>
    <t>Parameter 1</t>
  </si>
  <si>
    <t>Parameter 2</t>
  </si>
  <si>
    <t>ID</t>
  </si>
  <si>
    <t>Year</t>
  </si>
  <si>
    <t>Index</t>
  </si>
  <si>
    <t>2015-16</t>
  </si>
  <si>
    <t>2016-17</t>
  </si>
  <si>
    <t>2017-18</t>
  </si>
  <si>
    <t>2018-19</t>
  </si>
  <si>
    <t>2019-20</t>
  </si>
  <si>
    <t>WACC - HISTORIC</t>
  </si>
  <si>
    <t>MW3</t>
  </si>
  <si>
    <t>MW4</t>
  </si>
  <si>
    <t>MW5</t>
  </si>
  <si>
    <t>RAV (Opening Base)</t>
  </si>
  <si>
    <t>RoA</t>
  </si>
  <si>
    <t>Revenue Req</t>
  </si>
  <si>
    <t>RegDepEx</t>
  </si>
  <si>
    <t>RegDepNew</t>
  </si>
  <si>
    <t>INDICATORS - HISTORIC</t>
  </si>
  <si>
    <t>Total controllable opex</t>
  </si>
  <si>
    <t>Total controllable opex W&amp;D</t>
  </si>
  <si>
    <t>Total controllable opex W&amp;S</t>
  </si>
  <si>
    <t>Total Labour costs</t>
  </si>
  <si>
    <t>Marginal Interest Rate - Borrowings :</t>
  </si>
  <si>
    <t>Total Energy costs</t>
  </si>
  <si>
    <t>Marginal Interest Rate - Cash :</t>
  </si>
  <si>
    <t>Total Chemical costs</t>
  </si>
  <si>
    <t>RRR (real)</t>
  </si>
  <si>
    <t>COST EFFICIENCY AND CUSTOMER GROWTH</t>
  </si>
  <si>
    <t>ok</t>
  </si>
  <si>
    <t>Customer growth forecast (% per annum)</t>
  </si>
  <si>
    <t>WACC - HISTORIC (Reference Info Only)</t>
  </si>
  <si>
    <t>MW1</t>
  </si>
  <si>
    <t>MW2</t>
  </si>
  <si>
    <t>MW6</t>
  </si>
  <si>
    <t>Total controllable opex - Diversions</t>
  </si>
  <si>
    <t>change in cateogrisation</t>
  </si>
  <si>
    <t>REGULATORY RATE OF RETURN</t>
  </si>
  <si>
    <t>BL</t>
  </si>
  <si>
    <t>General Lookup</t>
  </si>
  <si>
    <t>Method of Depreciation</t>
  </si>
  <si>
    <t>Service by Asset Class</t>
  </si>
  <si>
    <t>Depreciation Method</t>
  </si>
  <si>
    <t>[Asset category]</t>
  </si>
  <si>
    <t>Service by Cost Driver</t>
  </si>
  <si>
    <t>Depreciation deferral</t>
  </si>
  <si>
    <t>[Major Cost Driver]</t>
  </si>
  <si>
    <t>[Year finalised?]</t>
  </si>
  <si>
    <t>[Capital type]</t>
  </si>
  <si>
    <t>2036-37</t>
  </si>
  <si>
    <t>2037-38</t>
  </si>
  <si>
    <t>2038-39</t>
  </si>
  <si>
    <t>2039-40</t>
  </si>
  <si>
    <t>2040-41</t>
  </si>
  <si>
    <t>2041-42</t>
  </si>
  <si>
    <t>2042-43</t>
  </si>
  <si>
    <t>2043-44</t>
  </si>
  <si>
    <t>2044-45</t>
  </si>
  <si>
    <t>2045-46</t>
  </si>
  <si>
    <t>Service for pricing by Asset Class</t>
  </si>
  <si>
    <t>Tariff - fixed or variable</t>
  </si>
  <si>
    <t>Trade Waste</t>
  </si>
  <si>
    <t>Pricing Unit</t>
  </si>
  <si>
    <t>Form of price control</t>
  </si>
  <si>
    <t>kL</t>
  </si>
  <si>
    <t>[Price Control]</t>
  </si>
  <si>
    <t>kg</t>
  </si>
  <si>
    <t>Revenue Cap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</si>
</sst>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4">
    <numFmt numFmtId="6" formatCode="&quot;$&quot;#,##0;[Red]\-&quot;$&quot;#,##0"/>
    <numFmt numFmtId="43" formatCode="_-* #,##0.00_-;\-* #,##0.00_-;_-* &quot;-&quot;??_-;_-@_-"/>
    <numFmt numFmtId="164" formatCode="_(###0_);\(###0\);_(###0_)"/>
    <numFmt numFmtId="165" formatCode="_(#,##0.0_);\(#,##0.0\);_(&quot;-&quot;_)"/>
    <numFmt numFmtId="166" formatCode="_(#,##0.0%_);\(#,##0.0%\);_(&quot;-&quot;_)"/>
    <numFmt numFmtId="167" formatCode="_(#,##0.0\x_);\(#,##0.0\x\);_(&quot;-&quot;_)"/>
    <numFmt numFmtId="168" formatCode="_(&quot;$&quot;#,##0.0_);\(&quot;$&quot;#,##0.0\);_(&quot;-&quot;_)"/>
    <numFmt numFmtId="169" formatCode="_)d\-mmm\-yy_)"/>
    <numFmt numFmtId="170" formatCode="_(#,##0_);\(#,##0\);_(&quot;-&quot;_)"/>
    <numFmt numFmtId="171" formatCode="0.0"/>
    <numFmt numFmtId="172" formatCode="_(#,##0.00_);\(#,##0.00\);_(&quot;-&quot;_)"/>
    <numFmt numFmtId="173" formatCode="0.0%"/>
    <numFmt numFmtId="174" formatCode="_(#,##0.000_);\(#,##0.000\);_(&quot;-&quot;_)"/>
    <numFmt numFmtId="175" formatCode="_(#,##0.000000_);\(#,##0.000000\);_(&quot;-&quot;_)"/>
    <numFmt numFmtId="176" formatCode="0.000000"/>
    <numFmt numFmtId="177" formatCode="0.000"/>
    <numFmt numFmtId="178" formatCode="0.0000000"/>
    <numFmt numFmtId="179" formatCode="#,##0.0_ ;\-#,##0.0\ "/>
    <numFmt numFmtId="180" formatCode="0.000%"/>
    <numFmt numFmtId="181" formatCode="\+0.0%;\-0.0%"/>
    <numFmt numFmtId="182" formatCode="&quot;$&quot;#,##0.0"/>
    <numFmt numFmtId="183" formatCode="#,##0.0"/>
    <numFmt numFmtId="184" formatCode="#,##0.00_ ;\-#,##0.00\ "/>
    <numFmt numFmtId="185" formatCode="#,##0.000"/>
    <numFmt numFmtId="186" formatCode="_(#,##0.0%_);\(#,##0.0%\);_(&quot;-&quot;_);_)@_)"/>
    <numFmt numFmtId="187" formatCode="_(#,##0.00%_);\(#,##0.00%\);_(&quot;-&quot;_);_)@_)"/>
    <numFmt numFmtId="188" formatCode="0.0000"/>
    <numFmt numFmtId="189" formatCode="_-* #,##0.00000_-;\-* #,##0.00000_-;_-* &quot;-&quot;??_-;_-@_-"/>
    <numFmt numFmtId="190" formatCode="_(#,##0.0000_);\(#,##0.0000\);_(&quot;-&quot;_)"/>
    <numFmt numFmtId="191" formatCode="#,##0.00_ ;[Red]\-#,##0.00\ "/>
    <numFmt numFmtId="192" formatCode="0.000000%"/>
    <numFmt numFmtId="193" formatCode="#,##0.0_ ;[Red]\-#,##0.0\ "/>
    <numFmt numFmtId="194" formatCode="0.00000"/>
    <numFmt numFmtId="195" formatCode="_-* #,##0.0_-;\-* #,##0.0_-;_-* &quot;-&quot;??_-;_-@_-"/>
    <numFmt numFmtId="196" formatCode="_-* #,##0.0_-;\-* #,##0.0_-;_-* &quot;-&quot;?_-;_-@_-"/>
    <numFmt numFmtId="197" formatCode="_-* #,##0.00_-;\-* #,##0.00_-;_-* &quot;-&quot;?_-;_-@_-"/>
    <numFmt numFmtId="198" formatCode="[Green][=0]\ &quot;OK&quot;;[Red]\ &quot;ERROR&quot;"/>
    <numFmt numFmtId="199" formatCode="[Green][=0]&quot;OK&quot;;[Red]&quot;Error&quot;"/>
    <numFmt numFmtId="200" formatCode="_-* #,##0_-;\-* #,##0_-;_-* &quot;-&quot;??_-;_-@_-"/>
    <numFmt numFmtId="201" formatCode="_-* #,##0.00000000_-;\-* #,##0.00000000_-;_-* &quot;-&quot;??_-;_-@_-"/>
    <numFmt numFmtId="202" formatCode="_-* #,##0.000_-;\-* #,##0.000_-;_-* &quot;-&quot;??_-;_-@_-"/>
    <numFmt numFmtId="203" formatCode="[Green][=0]\ &quot;OK&quot;;[Red]\ &quot;BREACH&quot;"/>
    <numFmt numFmtId="204" formatCode="#,##0.0000"/>
    <numFmt numFmtId="205" formatCode="0.00000000%"/>
  </numFmts>
  <fonts count="164">
    <font>
      <sz val="8"/>
      <name val="Arial"/>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4"/>
      <name val="Arial"/>
      <family val="2"/>
    </font>
    <font>
      <b/>
      <sz val="13"/>
      <name val="Arial"/>
      <family val="2"/>
    </font>
    <font>
      <b/>
      <sz val="12"/>
      <name val="Arial"/>
      <family val="2"/>
    </font>
    <font>
      <b/>
      <sz val="10"/>
      <name val="Arial"/>
      <family val="2"/>
    </font>
    <font>
      <b/>
      <sz val="9"/>
      <name val="Arial"/>
      <family val="2"/>
    </font>
    <font>
      <b/>
      <sz val="8"/>
      <name val="Arial"/>
      <family val="2"/>
    </font>
    <font>
      <b/>
      <u/>
      <sz val="8"/>
      <color indexed="56"/>
      <name val="Arial"/>
      <family val="2"/>
    </font>
    <font>
      <b/>
      <sz val="10"/>
      <color indexed="56"/>
      <name val="Wingdings"/>
      <charset val="2"/>
    </font>
    <font>
      <b/>
      <u/>
      <sz val="9.5"/>
      <color indexed="56"/>
      <name val="Arial"/>
      <family val="2"/>
    </font>
    <font>
      <b/>
      <u/>
      <sz val="9"/>
      <color indexed="56"/>
      <name val="Arial"/>
      <family val="2"/>
    </font>
    <font>
      <b/>
      <u/>
      <sz val="7.5"/>
      <color indexed="56"/>
      <name val="Arial"/>
      <family val="2"/>
    </font>
    <font>
      <b/>
      <sz val="14"/>
      <color indexed="60"/>
      <name val="Arial"/>
      <family val="2"/>
    </font>
    <font>
      <b/>
      <sz val="8"/>
      <color indexed="60"/>
      <name val="Arial"/>
      <family val="2"/>
    </font>
    <font>
      <sz val="8"/>
      <color indexed="60"/>
      <name val="Arial"/>
      <family val="2"/>
    </font>
    <font>
      <sz val="8"/>
      <color indexed="9"/>
      <name val="Arial"/>
      <family val="2"/>
    </font>
    <font>
      <b/>
      <sz val="10"/>
      <color indexed="60"/>
      <name val="Arial"/>
      <family val="2"/>
    </font>
    <font>
      <sz val="8"/>
      <name val="Arial"/>
      <family val="2"/>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sz val="11"/>
      <color indexed="52"/>
      <name val="Calibri"/>
      <family val="2"/>
    </font>
    <font>
      <b/>
      <sz val="11"/>
      <color indexed="8"/>
      <name val="Calibri"/>
      <family val="2"/>
    </font>
    <font>
      <sz val="11"/>
      <color indexed="10"/>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60"/>
      <name val="Calibri"/>
      <family val="2"/>
    </font>
    <font>
      <b/>
      <sz val="11"/>
      <color indexed="63"/>
      <name val="Calibri"/>
      <family val="2"/>
    </font>
    <font>
      <sz val="10"/>
      <color indexed="8"/>
      <name val="Arial"/>
      <family val="2"/>
    </font>
    <font>
      <b/>
      <sz val="18"/>
      <color indexed="56"/>
      <name val="Cambria"/>
      <family val="2"/>
    </font>
    <font>
      <sz val="11"/>
      <color theme="1"/>
      <name val="Calibri"/>
      <family val="2"/>
      <scheme val="minor"/>
    </font>
    <font>
      <sz val="11"/>
      <color rgb="FF9C0006"/>
      <name val="Calibri"/>
      <family val="2"/>
      <scheme val="minor"/>
    </font>
    <font>
      <b/>
      <sz val="8"/>
      <color theme="8"/>
      <name val="Arial"/>
      <family val="2"/>
    </font>
    <font>
      <sz val="10"/>
      <name val="Arial"/>
      <family val="2"/>
    </font>
    <font>
      <sz val="10"/>
      <color theme="1"/>
      <name val="Arial"/>
      <family val="2"/>
    </font>
    <font>
      <sz val="11"/>
      <color theme="0" tint="-0.499984740745262"/>
      <name val="Calibri"/>
      <family val="2"/>
      <scheme val="minor"/>
    </font>
    <font>
      <sz val="11"/>
      <name val="Calibri"/>
      <family val="2"/>
      <scheme val="minor"/>
    </font>
    <font>
      <sz val="8"/>
      <color theme="1"/>
      <name val="Tahoma"/>
      <family val="2"/>
    </font>
    <font>
      <sz val="10"/>
      <name val="Tahoma"/>
      <family val="2"/>
    </font>
    <font>
      <sz val="8"/>
      <name val="Calibri"/>
      <family val="2"/>
      <scheme val="minor"/>
    </font>
    <font>
      <sz val="10"/>
      <name val="Calibri"/>
      <family val="2"/>
      <scheme val="minor"/>
    </font>
    <font>
      <sz val="8"/>
      <name val="Cambria"/>
      <family val="2"/>
      <scheme val="major"/>
    </font>
    <font>
      <b/>
      <sz val="8"/>
      <name val="Cambria"/>
      <family val="2"/>
      <scheme val="major"/>
    </font>
    <font>
      <sz val="10"/>
      <color rgb="FFFF0000"/>
      <name val="Calibri"/>
      <family val="2"/>
      <scheme val="minor"/>
    </font>
    <font>
      <sz val="9"/>
      <color theme="1"/>
      <name val="Calibri"/>
      <family val="2"/>
      <scheme val="minor"/>
    </font>
    <font>
      <b/>
      <sz val="9"/>
      <color theme="1"/>
      <name val="Calibri"/>
      <family val="2"/>
      <scheme val="minor"/>
    </font>
    <font>
      <sz val="10"/>
      <color theme="0" tint="-0.499984740745262"/>
      <name val="Calibri"/>
      <family val="2"/>
      <scheme val="minor"/>
    </font>
    <font>
      <b/>
      <sz val="10"/>
      <color theme="0" tint="-0.499984740745262"/>
      <name val="Calibri"/>
      <family val="2"/>
      <scheme val="minor"/>
    </font>
    <font>
      <u/>
      <sz val="8"/>
      <color theme="0" tint="-0.499984740745262"/>
      <name val="Calibri"/>
      <family val="2"/>
      <scheme val="minor"/>
    </font>
    <font>
      <b/>
      <sz val="10"/>
      <color indexed="56"/>
      <name val="Calibri"/>
      <family val="2"/>
      <scheme val="minor"/>
    </font>
    <font>
      <sz val="8"/>
      <color theme="0" tint="-0.499984740745262"/>
      <name val="Calibri"/>
      <family val="2"/>
      <scheme val="minor"/>
    </font>
    <font>
      <sz val="10"/>
      <color indexed="9"/>
      <name val="Calibri"/>
      <family val="2"/>
      <scheme val="minor"/>
    </font>
    <font>
      <b/>
      <sz val="10"/>
      <name val="Calibri"/>
      <family val="2"/>
      <scheme val="minor"/>
    </font>
    <font>
      <sz val="9"/>
      <color indexed="9"/>
      <name val="Calibri"/>
      <family val="2"/>
      <scheme val="minor"/>
    </font>
    <font>
      <b/>
      <sz val="9"/>
      <color theme="8"/>
      <name val="Calibri"/>
      <family val="2"/>
      <scheme val="minor"/>
    </font>
    <font>
      <sz val="9"/>
      <name val="Calibri"/>
      <family val="2"/>
      <scheme val="minor"/>
    </font>
    <font>
      <u/>
      <sz val="9"/>
      <color theme="0" tint="-0.499984740745262"/>
      <name val="Calibri"/>
      <family val="2"/>
      <scheme val="minor"/>
    </font>
    <font>
      <b/>
      <u/>
      <sz val="9"/>
      <color indexed="56"/>
      <name val="Calibri"/>
      <family val="2"/>
      <scheme val="minor"/>
    </font>
    <font>
      <b/>
      <sz val="9"/>
      <color indexed="56"/>
      <name val="Calibri"/>
      <family val="2"/>
      <scheme val="minor"/>
    </font>
    <font>
      <b/>
      <sz val="9"/>
      <name val="Calibri"/>
      <family val="2"/>
      <scheme val="minor"/>
    </font>
    <font>
      <b/>
      <sz val="9"/>
      <color indexed="59"/>
      <name val="Calibri"/>
      <family val="2"/>
      <scheme val="minor"/>
    </font>
    <font>
      <sz val="9"/>
      <color indexed="63"/>
      <name val="Calibri"/>
      <family val="2"/>
      <scheme val="minor"/>
    </font>
    <font>
      <b/>
      <sz val="9"/>
      <color indexed="63"/>
      <name val="Calibri"/>
      <family val="2"/>
      <scheme val="minor"/>
    </font>
    <font>
      <b/>
      <sz val="9"/>
      <color theme="0"/>
      <name val="Calibri"/>
      <family val="2"/>
      <scheme val="minor"/>
    </font>
    <font>
      <sz val="9"/>
      <color rgb="FFFF0000"/>
      <name val="Calibri"/>
      <family val="2"/>
      <scheme val="minor"/>
    </font>
    <font>
      <sz val="9"/>
      <color theme="8"/>
      <name val="Calibri"/>
      <family val="2"/>
      <scheme val="minor"/>
    </font>
    <font>
      <b/>
      <sz val="9"/>
      <color indexed="60"/>
      <name val="Calibri"/>
      <family val="2"/>
      <scheme val="minor"/>
    </font>
    <font>
      <sz val="9"/>
      <color theme="0" tint="-0.499984740745262"/>
      <name val="Calibri"/>
      <family val="2"/>
      <scheme val="minor"/>
    </font>
    <font>
      <b/>
      <sz val="9"/>
      <color theme="0" tint="-0.34998626667073579"/>
      <name val="Calibri"/>
      <family val="2"/>
      <scheme val="minor"/>
    </font>
    <font>
      <sz val="9"/>
      <color theme="0" tint="-0.34998626667073579"/>
      <name val="Calibri"/>
      <family val="2"/>
      <scheme val="minor"/>
    </font>
    <font>
      <sz val="9"/>
      <color theme="0"/>
      <name val="Calibri"/>
      <family val="2"/>
      <scheme val="minor"/>
    </font>
    <font>
      <b/>
      <sz val="11"/>
      <color theme="8"/>
      <name val="Calibri"/>
      <family val="2"/>
      <scheme val="minor"/>
    </font>
    <font>
      <b/>
      <sz val="11"/>
      <color indexed="60"/>
      <name val="Calibri"/>
      <family val="2"/>
      <scheme val="minor"/>
    </font>
    <font>
      <b/>
      <sz val="11"/>
      <name val="Calibri"/>
      <family val="2"/>
      <scheme val="minor"/>
    </font>
    <font>
      <u/>
      <sz val="11"/>
      <color indexed="56"/>
      <name val="Calibri"/>
      <family val="2"/>
      <scheme val="minor"/>
    </font>
    <font>
      <b/>
      <sz val="9"/>
      <color indexed="10"/>
      <name val="Calibri"/>
      <family val="2"/>
      <scheme val="minor"/>
    </font>
    <font>
      <i/>
      <sz val="9"/>
      <name val="Calibri"/>
      <family val="2"/>
      <scheme val="minor"/>
    </font>
    <font>
      <i/>
      <sz val="9"/>
      <color rgb="FFFF0000"/>
      <name val="Calibri"/>
      <family val="2"/>
      <scheme val="minor"/>
    </font>
    <font>
      <i/>
      <sz val="9"/>
      <color theme="0" tint="-0.249977111117893"/>
      <name val="Calibri"/>
      <family val="2"/>
      <scheme val="minor"/>
    </font>
    <font>
      <i/>
      <sz val="9"/>
      <color theme="0" tint="-0.14999847407452621"/>
      <name val="Calibri"/>
      <family val="2"/>
      <scheme val="minor"/>
    </font>
    <font>
      <sz val="9"/>
      <color theme="0" tint="-0.249977111117893"/>
      <name val="Calibri"/>
      <family val="2"/>
      <scheme val="minor"/>
    </font>
    <font>
      <i/>
      <sz val="9"/>
      <color indexed="10"/>
      <name val="Calibri"/>
      <family val="2"/>
      <scheme val="minor"/>
    </font>
    <font>
      <sz val="9"/>
      <color indexed="10"/>
      <name val="Calibri"/>
      <family val="2"/>
      <scheme val="minor"/>
    </font>
    <font>
      <sz val="9"/>
      <color indexed="60"/>
      <name val="Calibri"/>
      <family val="2"/>
      <scheme val="minor"/>
    </font>
    <font>
      <sz val="9"/>
      <color indexed="22"/>
      <name val="Calibri"/>
      <family val="2"/>
      <scheme val="minor"/>
    </font>
    <font>
      <b/>
      <sz val="9"/>
      <color indexed="9"/>
      <name val="Calibri"/>
      <family val="2"/>
      <scheme val="minor"/>
    </font>
    <font>
      <u/>
      <sz val="9"/>
      <name val="Calibri"/>
      <family val="2"/>
      <scheme val="minor"/>
    </font>
    <font>
      <sz val="9"/>
      <color indexed="59"/>
      <name val="Calibri"/>
      <family val="2"/>
      <scheme val="minor"/>
    </font>
    <font>
      <sz val="9"/>
      <color rgb="FF9C0006"/>
      <name val="Calibri"/>
      <family val="2"/>
      <scheme val="minor"/>
    </font>
    <font>
      <vertAlign val="superscript"/>
      <sz val="9"/>
      <name val="Calibri"/>
      <family val="2"/>
      <scheme val="minor"/>
    </font>
    <font>
      <b/>
      <sz val="10"/>
      <color theme="8"/>
      <name val="Calibri"/>
      <family val="2"/>
      <scheme val="minor"/>
    </font>
    <font>
      <b/>
      <sz val="9"/>
      <color theme="0" tint="-0.499984740745262"/>
      <name val="Calibri"/>
      <family val="2"/>
      <scheme val="minor"/>
    </font>
    <font>
      <u/>
      <sz val="8"/>
      <name val="Arial"/>
      <family val="2"/>
    </font>
    <font>
      <b/>
      <sz val="14"/>
      <name val="Calibri"/>
      <family val="2"/>
      <scheme val="minor"/>
    </font>
    <font>
      <b/>
      <sz val="9"/>
      <color indexed="81"/>
      <name val="Tahoma"/>
      <family val="2"/>
    </font>
    <font>
      <sz val="9"/>
      <color indexed="81"/>
      <name val="Tahoma"/>
      <family val="2"/>
    </font>
    <font>
      <b/>
      <sz val="9"/>
      <color rgb="FFC00000"/>
      <name val="Calibri"/>
      <family val="2"/>
      <scheme val="minor"/>
    </font>
    <font>
      <sz val="9"/>
      <color rgb="FFC00000"/>
      <name val="Calibri"/>
      <family val="2"/>
      <scheme val="minor"/>
    </font>
    <font>
      <i/>
      <sz val="9"/>
      <color rgb="FFC00000"/>
      <name val="Calibri"/>
      <family val="2"/>
      <scheme val="minor"/>
    </font>
    <font>
      <i/>
      <sz val="9"/>
      <color theme="0"/>
      <name val="Calibri"/>
      <family val="2"/>
      <scheme val="minor"/>
    </font>
    <font>
      <sz val="9"/>
      <color theme="9" tint="-0.499984740745262"/>
      <name val="Calibri"/>
      <family val="2"/>
      <scheme val="minor"/>
    </font>
    <font>
      <b/>
      <sz val="9"/>
      <color theme="9" tint="-0.499984740745262"/>
      <name val="Calibri"/>
      <family val="2"/>
      <scheme val="minor"/>
    </font>
    <font>
      <b/>
      <sz val="9"/>
      <color rgb="FFFF0000"/>
      <name val="Calibri"/>
      <family val="2"/>
      <scheme val="minor"/>
    </font>
    <font>
      <b/>
      <sz val="10"/>
      <color rgb="FFC00000"/>
      <name val="Calibri"/>
      <family val="2"/>
      <scheme val="minor"/>
    </font>
    <font>
      <b/>
      <u/>
      <sz val="8"/>
      <color rgb="FFC00000"/>
      <name val="Arial"/>
      <family val="2"/>
    </font>
    <font>
      <sz val="8"/>
      <color rgb="FFC00000"/>
      <name val="Arial"/>
      <family val="2"/>
    </font>
    <font>
      <b/>
      <i/>
      <sz val="9"/>
      <name val="Calibri"/>
      <family val="2"/>
      <scheme val="minor"/>
    </font>
    <font>
      <sz val="9"/>
      <color theme="0" tint="-0.14999847407452621"/>
      <name val="Calibri"/>
      <family val="2"/>
      <scheme val="minor"/>
    </font>
    <font>
      <b/>
      <sz val="9"/>
      <color theme="0" tint="-0.14999847407452621"/>
      <name val="Calibri"/>
      <family val="2"/>
      <scheme val="minor"/>
    </font>
    <font>
      <sz val="8"/>
      <color rgb="FFFF0000"/>
      <name val="Arial"/>
      <family val="2"/>
    </font>
    <font>
      <sz val="11"/>
      <color rgb="FFFF0000"/>
      <name val="Calibri"/>
      <family val="2"/>
      <scheme val="minor"/>
    </font>
    <font>
      <sz val="8"/>
      <color rgb="FFCC6600"/>
      <name val="Arial"/>
      <family val="2"/>
    </font>
    <font>
      <i/>
      <sz val="8"/>
      <color rgb="FFFF0000"/>
      <name val="Arial"/>
      <family val="2"/>
    </font>
    <font>
      <b/>
      <sz val="9"/>
      <color rgb="FF4BACC6"/>
      <name val="Calibri"/>
      <family val="2"/>
      <scheme val="minor"/>
    </font>
    <font>
      <b/>
      <sz val="9"/>
      <color rgb="FFFFFFFF"/>
      <name val="Calibri"/>
      <family val="2"/>
      <scheme val="minor"/>
    </font>
    <font>
      <b/>
      <sz val="9"/>
      <color rgb="FF0000FF"/>
      <name val="Calibri"/>
      <family val="2"/>
      <scheme val="minor"/>
    </font>
    <font>
      <i/>
      <sz val="9"/>
      <color theme="1"/>
      <name val="Calibri"/>
      <family val="2"/>
      <scheme val="minor"/>
    </font>
    <font>
      <i/>
      <sz val="9"/>
      <color rgb="FF0000FF"/>
      <name val="Calibri"/>
      <family val="2"/>
      <scheme val="minor"/>
    </font>
    <font>
      <b/>
      <i/>
      <sz val="9"/>
      <color theme="1"/>
      <name val="Calibri"/>
      <family val="2"/>
      <scheme val="minor"/>
    </font>
    <font>
      <sz val="9"/>
      <color rgb="FF0000FF"/>
      <name val="Calibri"/>
      <family val="2"/>
      <scheme val="minor"/>
    </font>
    <font>
      <sz val="9"/>
      <color rgb="FF000000"/>
      <name val="Arial"/>
      <family val="2"/>
    </font>
    <font>
      <b/>
      <vertAlign val="superscript"/>
      <sz val="9"/>
      <color theme="8"/>
      <name val="Calibri"/>
      <family val="2"/>
      <scheme val="minor"/>
    </font>
    <font>
      <b/>
      <i/>
      <sz val="9"/>
      <color rgb="FFC00000"/>
      <name val="Calibri"/>
      <family val="2"/>
      <scheme val="minor"/>
    </font>
    <font>
      <b/>
      <sz val="9"/>
      <color rgb="FFFF0000"/>
      <name val="Wingdings"/>
      <charset val="2"/>
    </font>
    <font>
      <b/>
      <sz val="9"/>
      <color rgb="FF00B050"/>
      <name val="Calibri"/>
      <family val="2"/>
      <scheme val="minor"/>
    </font>
    <font>
      <i/>
      <sz val="9"/>
      <color theme="0" tint="-0.34998626667073579"/>
      <name val="Calibri"/>
      <family val="2"/>
      <scheme val="minor"/>
    </font>
    <font>
      <b/>
      <sz val="9"/>
      <color theme="0" tint="-4.9989318521683403E-2"/>
      <name val="Calibri"/>
      <family val="2"/>
      <scheme val="minor"/>
    </font>
    <font>
      <sz val="9"/>
      <color theme="0" tint="-4.9989318521683403E-2"/>
      <name val="Calibri"/>
      <family val="2"/>
      <scheme val="minor"/>
    </font>
    <font>
      <i/>
      <sz val="9"/>
      <color theme="0" tint="-4.9989318521683403E-2"/>
      <name val="Calibri"/>
      <family val="2"/>
      <scheme val="minor"/>
    </font>
    <font>
      <i/>
      <sz val="8"/>
      <name val="Arial"/>
      <family val="2"/>
    </font>
    <font>
      <b/>
      <u/>
      <sz val="9"/>
      <name val="Calibri"/>
      <family val="2"/>
      <scheme val="minor"/>
    </font>
    <font>
      <b/>
      <sz val="8"/>
      <color rgb="FFFF0000"/>
      <name val="Arial"/>
      <family val="2"/>
    </font>
    <font>
      <sz val="9"/>
      <color theme="1"/>
      <name val="Arial"/>
      <family val="2"/>
    </font>
    <font>
      <b/>
      <sz val="10"/>
      <color theme="1"/>
      <name val="Arial"/>
      <family val="2"/>
    </font>
    <font>
      <sz val="9"/>
      <name val="Arial"/>
      <family val="2"/>
    </font>
    <font>
      <b/>
      <sz val="10"/>
      <color theme="0"/>
      <name val="Arial"/>
      <family val="2"/>
    </font>
    <font>
      <b/>
      <sz val="12"/>
      <name val="Cambria"/>
      <family val="2"/>
      <scheme val="major"/>
    </font>
    <font>
      <sz val="16"/>
      <color theme="9"/>
      <name val="Tahoma"/>
      <family val="2"/>
    </font>
    <font>
      <b/>
      <sz val="14"/>
      <name val="Cambria"/>
      <family val="2"/>
      <scheme val="major"/>
    </font>
    <font>
      <sz val="12"/>
      <color theme="8" tint="0.39997558519241921"/>
      <name val="Tahoma"/>
      <family val="2"/>
    </font>
    <font>
      <b/>
      <sz val="20"/>
      <color theme="8" tint="-0.249977111117893"/>
      <name val="Tahoma"/>
      <family val="2"/>
    </font>
    <font>
      <b/>
      <sz val="12"/>
      <name val="Times New Roman"/>
      <family val="1"/>
    </font>
    <font>
      <b/>
      <sz val="9"/>
      <color theme="1"/>
      <name val="Arial"/>
      <family val="2"/>
    </font>
    <font>
      <i/>
      <sz val="10"/>
      <name val="Arial"/>
      <family val="2"/>
    </font>
    <font>
      <b/>
      <i/>
      <sz val="10"/>
      <color theme="1"/>
      <name val="Arial"/>
      <family val="2"/>
    </font>
    <font>
      <sz val="20"/>
      <color theme="5"/>
      <name val="Tahoma"/>
      <family val="2"/>
    </font>
    <font>
      <sz val="16"/>
      <color theme="5"/>
      <name val="Tahoma"/>
      <family val="2"/>
    </font>
    <font>
      <b/>
      <sz val="11"/>
      <color theme="9"/>
      <name val="Arial"/>
      <family val="2"/>
    </font>
    <font>
      <b/>
      <sz val="12"/>
      <color theme="8"/>
      <name val="Calibri"/>
      <family val="2"/>
      <scheme val="minor"/>
    </font>
    <font>
      <b/>
      <sz val="16"/>
      <name val="Calibri"/>
      <family val="2"/>
      <scheme val="minor"/>
    </font>
    <font>
      <sz val="11"/>
      <color rgb="FF242424"/>
      <name val="Aptos Narrow"/>
      <family val="2"/>
    </font>
    <font>
      <sz val="8"/>
      <color rgb="FF000000"/>
      <name val="Tahoma"/>
      <family val="2"/>
    </font>
    <font>
      <sz val="8"/>
      <color rgb="FF000000"/>
      <name val="Segoe UI"/>
      <family val="2"/>
    </font>
  </fonts>
  <fills count="62">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62"/>
      </patternFill>
    </fill>
    <fill>
      <patternFill patternType="solid">
        <fgColor indexed="36"/>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63"/>
        <bgColor indexed="64"/>
      </patternFill>
    </fill>
    <fill>
      <patternFill patternType="solid">
        <fgColor rgb="FFFFC7CE"/>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lightGray">
        <fgColor indexed="9"/>
        <bgColor indexed="26"/>
      </patternFill>
    </fill>
    <fill>
      <patternFill patternType="lightGray">
        <fgColor indexed="9"/>
        <bgColor theme="0"/>
      </patternFill>
    </fill>
    <fill>
      <patternFill patternType="solid">
        <fgColor theme="0" tint="-0.249977111117893"/>
        <bgColor indexed="64"/>
      </patternFill>
    </fill>
    <fill>
      <patternFill patternType="solid">
        <fgColor theme="1"/>
        <bgColor indexed="64"/>
      </patternFill>
    </fill>
    <fill>
      <patternFill patternType="solid">
        <fgColor theme="6" tint="0.59999389629810485"/>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bgColor indexed="64"/>
      </patternFill>
    </fill>
    <fill>
      <patternFill patternType="lightUp">
        <fgColor theme="5" tint="0.39994506668294322"/>
        <bgColor theme="5" tint="0.79989013336588644"/>
      </patternFill>
    </fill>
    <fill>
      <patternFill patternType="solid">
        <fgColor theme="7" tint="0.79998168889431442"/>
        <bgColor indexed="64"/>
      </patternFill>
    </fill>
    <fill>
      <patternFill patternType="solid">
        <fgColor rgb="FF00FFFF"/>
        <bgColor indexed="64"/>
      </patternFill>
    </fill>
    <fill>
      <patternFill patternType="solid">
        <fgColor rgb="FF66FFCC"/>
        <bgColor indexed="64"/>
      </patternFill>
    </fill>
    <fill>
      <patternFill patternType="solid">
        <fgColor rgb="FFFFCCFF"/>
        <bgColor indexed="64"/>
      </patternFill>
    </fill>
    <fill>
      <patternFill patternType="solid">
        <fgColor rgb="FF4986A0"/>
        <bgColor indexed="64"/>
      </patternFill>
    </fill>
    <fill>
      <patternFill patternType="solid">
        <fgColor theme="4" tint="0.79998168889431442"/>
        <bgColor indexed="64"/>
      </patternFill>
    </fill>
    <fill>
      <patternFill patternType="solid">
        <fgColor rgb="FFF2F2F2"/>
        <bgColor indexed="64"/>
      </patternFill>
    </fill>
    <fill>
      <patternFill patternType="solid">
        <fgColor rgb="FFFFFFFF"/>
        <bgColor indexed="64"/>
      </patternFill>
    </fill>
    <fill>
      <patternFill patternType="solid">
        <fgColor rgb="FF99CCFF"/>
        <bgColor indexed="64"/>
      </patternFill>
    </fill>
    <fill>
      <patternFill patternType="solid">
        <fgColor rgb="FF84A0F0"/>
        <bgColor indexed="64"/>
      </patternFill>
    </fill>
    <fill>
      <patternFill patternType="solid">
        <fgColor theme="3" tint="0.59999389629810485"/>
        <bgColor indexed="64"/>
      </patternFill>
    </fill>
    <fill>
      <patternFill patternType="solid">
        <fgColor rgb="FFDAEEF3"/>
        <bgColor indexed="64"/>
      </patternFill>
    </fill>
    <fill>
      <patternFill patternType="solid">
        <fgColor rgb="FFD8E4BC"/>
        <bgColor indexed="64"/>
      </patternFill>
    </fill>
    <fill>
      <patternFill patternType="solid">
        <fgColor rgb="FFB7DEE8"/>
        <bgColor indexed="64"/>
      </patternFill>
    </fill>
    <fill>
      <patternFill patternType="solid">
        <fgColor theme="8" tint="-0.249977111117893"/>
        <bgColor indexed="64"/>
      </patternFill>
    </fill>
  </fills>
  <borders count="127">
    <border>
      <left/>
      <right/>
      <top/>
      <bottom/>
      <diagonal/>
    </border>
    <border>
      <left style="medium">
        <color indexed="18"/>
      </left>
      <right style="medium">
        <color indexed="18"/>
      </right>
      <top style="medium">
        <color indexed="18"/>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top style="thin">
        <color indexed="64"/>
      </top>
      <bottom style="thin">
        <color indexed="64"/>
      </bottom>
      <diagonal/>
    </border>
    <border>
      <left style="medium">
        <color indexed="64"/>
      </left>
      <right style="thin">
        <color auto="1"/>
      </right>
      <top style="thin">
        <color auto="1"/>
      </top>
      <bottom style="thin">
        <color auto="1"/>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bottom style="thin">
        <color auto="1"/>
      </bottom>
      <diagonal/>
    </border>
    <border>
      <left style="thin">
        <color indexed="64"/>
      </left>
      <right style="medium">
        <color indexed="64"/>
      </right>
      <top/>
      <bottom style="thin">
        <color indexed="64"/>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auto="1"/>
      </left>
      <right style="medium">
        <color indexed="64"/>
      </right>
      <top/>
      <bottom/>
      <diagonal/>
    </border>
    <border>
      <left style="medium">
        <color indexed="64"/>
      </left>
      <right style="thin">
        <color auto="1"/>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thin">
        <color theme="0" tint="-0.34998626667073579"/>
      </right>
      <top style="thin">
        <color indexed="64"/>
      </top>
      <bottom style="thin">
        <color indexed="64"/>
      </bottom>
      <diagonal/>
    </border>
    <border>
      <left/>
      <right style="thin">
        <color theme="0" tint="-0.34998626667073579"/>
      </right>
      <top style="thin">
        <color indexed="64"/>
      </top>
      <bottom/>
      <diagonal/>
    </border>
    <border>
      <left/>
      <right style="thin">
        <color theme="0" tint="-0.34998626667073579"/>
      </right>
      <top/>
      <bottom style="thin">
        <color indexed="64"/>
      </bottom>
      <diagonal/>
    </border>
    <border>
      <left/>
      <right style="dotted">
        <color indexed="64"/>
      </right>
      <top style="medium">
        <color indexed="64"/>
      </top>
      <bottom style="medium">
        <color indexed="64"/>
      </bottom>
      <diagonal/>
    </border>
    <border>
      <left style="dotted">
        <color indexed="64"/>
      </left>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bottom style="thin">
        <color indexed="64"/>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auto="1"/>
      </left>
      <right/>
      <top style="medium">
        <color indexed="64"/>
      </top>
      <bottom style="thin">
        <color auto="1"/>
      </bottom>
      <diagonal/>
    </border>
    <border>
      <left style="dotted">
        <color indexed="64"/>
      </left>
      <right/>
      <top style="medium">
        <color indexed="64"/>
      </top>
      <bottom/>
      <diagonal/>
    </border>
    <border>
      <left style="dotted">
        <color indexed="64"/>
      </left>
      <right/>
      <top/>
      <bottom/>
      <diagonal/>
    </border>
    <border>
      <left style="dotted">
        <color indexed="64"/>
      </left>
      <right/>
      <top style="thin">
        <color indexed="64"/>
      </top>
      <bottom/>
      <diagonal/>
    </border>
    <border>
      <left style="dotted">
        <color indexed="64"/>
      </left>
      <right/>
      <top/>
      <bottom style="thin">
        <color indexed="64"/>
      </bottom>
      <diagonal/>
    </border>
    <border>
      <left style="dotted">
        <color indexed="64"/>
      </left>
      <right/>
      <top/>
      <bottom style="medium">
        <color indexed="64"/>
      </bottom>
      <diagonal/>
    </border>
    <border>
      <left style="thin">
        <color indexed="64"/>
      </left>
      <right style="thin">
        <color indexed="64"/>
      </right>
      <top style="medium">
        <color indexed="64"/>
      </top>
      <bottom/>
      <diagonal/>
    </border>
    <border>
      <left/>
      <right/>
      <top/>
      <bottom style="medium">
        <color rgb="FFFFFFFF"/>
      </bottom>
      <diagonal/>
    </border>
  </borders>
  <cellStyleXfs count="225">
    <xf numFmtId="0" fontId="0" fillId="0" borderId="0"/>
    <xf numFmtId="0" fontId="23" fillId="2" borderId="0" applyNumberFormat="0" applyBorder="0" applyAlignment="0" applyProtection="0"/>
    <xf numFmtId="0" fontId="23" fillId="4"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3"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9" borderId="0" applyNumberFormat="0" applyBorder="0" applyAlignment="0" applyProtection="0"/>
    <xf numFmtId="0" fontId="23" fillId="13"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24" fillId="12" borderId="0" applyNumberFormat="0" applyBorder="0" applyAlignment="0" applyProtection="0"/>
    <xf numFmtId="0" fontId="24" fillId="17" borderId="0" applyNumberFormat="0" applyBorder="0" applyAlignment="0" applyProtection="0"/>
    <xf numFmtId="0" fontId="24" fillId="14" borderId="0" applyNumberFormat="0" applyBorder="0" applyAlignment="0" applyProtection="0"/>
    <xf numFmtId="0" fontId="24" fillId="18" borderId="0" applyNumberFormat="0" applyBorder="0" applyAlignment="0" applyProtection="0"/>
    <xf numFmtId="0" fontId="24" fillId="16"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4" fillId="17" borderId="0" applyNumberFormat="0" applyBorder="0" applyAlignment="0" applyProtection="0"/>
    <xf numFmtId="0" fontId="24" fillId="14" borderId="0" applyNumberFormat="0" applyBorder="0" applyAlignment="0" applyProtection="0"/>
    <xf numFmtId="0" fontId="24" fillId="21" borderId="0" applyNumberFormat="0" applyBorder="0" applyAlignment="0" applyProtection="0"/>
    <xf numFmtId="168" fontId="4" fillId="0" borderId="1">
      <alignment horizontal="center" vertical="center"/>
      <protection locked="0"/>
    </xf>
    <xf numFmtId="168" fontId="21" fillId="0" borderId="1">
      <alignment horizontal="center" vertical="center"/>
      <protection locked="0"/>
    </xf>
    <xf numFmtId="15" fontId="4" fillId="0" borderId="1">
      <alignment horizontal="center" vertical="center"/>
      <protection locked="0"/>
    </xf>
    <xf numFmtId="15" fontId="21" fillId="0" borderId="1">
      <alignment horizontal="center" vertical="center"/>
      <protection locked="0"/>
    </xf>
    <xf numFmtId="167" fontId="4" fillId="0" borderId="1">
      <alignment horizontal="center" vertical="center"/>
      <protection locked="0"/>
    </xf>
    <xf numFmtId="167" fontId="21" fillId="0" borderId="1">
      <alignment horizontal="center" vertical="center"/>
      <protection locked="0"/>
    </xf>
    <xf numFmtId="165" fontId="4" fillId="0" borderId="1">
      <alignment horizontal="center" vertical="center"/>
      <protection locked="0"/>
    </xf>
    <xf numFmtId="165" fontId="21" fillId="0" borderId="1">
      <alignment horizontal="center" vertical="center"/>
      <protection locked="0"/>
    </xf>
    <xf numFmtId="166" fontId="4" fillId="0" borderId="1">
      <alignment horizontal="center" vertical="center"/>
      <protection locked="0"/>
    </xf>
    <xf numFmtId="166" fontId="21" fillId="0" borderId="1">
      <alignment horizontal="center" vertical="center"/>
      <protection locked="0"/>
    </xf>
    <xf numFmtId="164" fontId="4" fillId="0" borderId="1">
      <alignment horizontal="center" vertical="center"/>
      <protection locked="0"/>
    </xf>
    <xf numFmtId="164" fontId="21" fillId="0" borderId="1">
      <alignment horizontal="center" vertical="center"/>
      <protection locked="0"/>
    </xf>
    <xf numFmtId="0" fontId="4" fillId="0" borderId="1">
      <alignment vertical="center"/>
      <protection locked="0"/>
    </xf>
    <xf numFmtId="0" fontId="21" fillId="0" borderId="1">
      <alignment vertical="center"/>
      <protection locked="0"/>
    </xf>
    <xf numFmtId="168" fontId="4" fillId="0" borderId="1">
      <alignment horizontal="right" vertical="center"/>
      <protection locked="0"/>
    </xf>
    <xf numFmtId="168" fontId="21" fillId="0" borderId="1">
      <alignment horizontal="right" vertical="center"/>
      <protection locked="0"/>
    </xf>
    <xf numFmtId="169" fontId="4" fillId="0" borderId="1">
      <alignment horizontal="right" vertical="center"/>
      <protection locked="0"/>
    </xf>
    <xf numFmtId="169" fontId="21" fillId="0" borderId="1">
      <alignment horizontal="right" vertical="center"/>
      <protection locked="0"/>
    </xf>
    <xf numFmtId="167" fontId="4" fillId="0" borderId="1">
      <alignment horizontal="right" vertical="center"/>
      <protection locked="0"/>
    </xf>
    <xf numFmtId="167" fontId="21" fillId="0" borderId="1">
      <alignment horizontal="right" vertical="center"/>
      <protection locked="0"/>
    </xf>
    <xf numFmtId="165" fontId="4" fillId="0" borderId="1">
      <alignment horizontal="right" vertical="center"/>
      <protection locked="0"/>
    </xf>
    <xf numFmtId="165" fontId="21" fillId="0" borderId="1">
      <alignment horizontal="right" vertical="center"/>
      <protection locked="0"/>
    </xf>
    <xf numFmtId="166" fontId="4" fillId="0" borderId="1">
      <alignment horizontal="right" vertical="center"/>
      <protection locked="0"/>
    </xf>
    <xf numFmtId="166" fontId="21" fillId="0" borderId="1">
      <alignment horizontal="right" vertical="center"/>
      <protection locked="0"/>
    </xf>
    <xf numFmtId="164" fontId="4" fillId="0" borderId="1">
      <alignment horizontal="right" vertical="center"/>
      <protection locked="0"/>
    </xf>
    <xf numFmtId="164" fontId="21" fillId="0" borderId="1">
      <alignment horizontal="right" vertical="center"/>
      <protection locked="0"/>
    </xf>
    <xf numFmtId="0" fontId="42" fillId="26" borderId="0" applyNumberFormat="0" applyBorder="0" applyAlignment="0" applyProtection="0"/>
    <xf numFmtId="0" fontId="25" fillId="4" borderId="0" applyNumberFormat="0" applyBorder="0" applyAlignment="0" applyProtection="0"/>
    <xf numFmtId="0" fontId="26" fillId="22" borderId="2" applyNumberFormat="0" applyAlignment="0" applyProtection="0"/>
    <xf numFmtId="0" fontId="4" fillId="0" borderId="0" applyNumberFormat="0" applyFont="0" applyFill="0" applyBorder="0">
      <alignment horizontal="center" vertical="center"/>
      <protection locked="0"/>
    </xf>
    <xf numFmtId="0" fontId="21" fillId="0" borderId="0" applyNumberFormat="0" applyFont="0" applyFill="0" applyBorder="0">
      <alignment horizontal="center" vertical="center"/>
      <protection locked="0"/>
    </xf>
    <xf numFmtId="168" fontId="4" fillId="0" borderId="0" applyFill="0" applyBorder="0">
      <alignment horizontal="center" vertical="center"/>
    </xf>
    <xf numFmtId="168" fontId="21" fillId="0" borderId="0" applyFill="0" applyBorder="0">
      <alignment horizontal="center" vertical="center"/>
    </xf>
    <xf numFmtId="15" fontId="4" fillId="0" borderId="0" applyFill="0" applyBorder="0">
      <alignment horizontal="center" vertical="center"/>
    </xf>
    <xf numFmtId="15" fontId="21" fillId="0" borderId="0" applyFill="0" applyBorder="0">
      <alignment horizontal="center" vertical="center"/>
    </xf>
    <xf numFmtId="167" fontId="4" fillId="0" borderId="0" applyFill="0" applyBorder="0">
      <alignment horizontal="center" vertical="center"/>
    </xf>
    <xf numFmtId="167" fontId="21" fillId="0" borderId="0" applyFill="0" applyBorder="0">
      <alignment horizontal="center" vertical="center"/>
    </xf>
    <xf numFmtId="165" fontId="4" fillId="0" borderId="0" applyFill="0" applyBorder="0">
      <alignment horizontal="center" vertical="center"/>
    </xf>
    <xf numFmtId="165" fontId="21" fillId="0" borderId="0" applyFill="0" applyBorder="0">
      <alignment horizontal="center" vertical="center"/>
    </xf>
    <xf numFmtId="166" fontId="4" fillId="0" borderId="0" applyFill="0" applyBorder="0">
      <alignment horizontal="center" vertical="center"/>
    </xf>
    <xf numFmtId="166" fontId="21" fillId="0" borderId="0" applyFill="0" applyBorder="0">
      <alignment horizontal="center" vertical="center"/>
    </xf>
    <xf numFmtId="164" fontId="4" fillId="0" borderId="0" applyFill="0" applyBorder="0">
      <alignment horizontal="center" vertical="center"/>
    </xf>
    <xf numFmtId="164" fontId="21" fillId="0" borderId="0" applyFill="0" applyBorder="0">
      <alignment horizontal="center" vertical="center"/>
    </xf>
    <xf numFmtId="0" fontId="27" fillId="23" borderId="3" applyNumberFormat="0" applyAlignment="0" applyProtection="0"/>
    <xf numFmtId="43" fontId="4" fillId="0" borderId="0" applyFont="0" applyFill="0" applyBorder="0" applyAlignment="0" applyProtection="0"/>
    <xf numFmtId="0" fontId="28" fillId="0" borderId="0" applyNumberFormat="0" applyFill="0" applyBorder="0" applyAlignment="0" applyProtection="0"/>
    <xf numFmtId="0" fontId="29" fillId="6" borderId="0" applyNumberFormat="0" applyBorder="0" applyAlignment="0" applyProtection="0"/>
    <xf numFmtId="0" fontId="8" fillId="0" borderId="0" applyFill="0" applyBorder="0">
      <alignment vertical="center"/>
    </xf>
    <xf numFmtId="0" fontId="33" fillId="0" borderId="4" applyNumberFormat="0" applyFill="0" applyAlignment="0" applyProtection="0"/>
    <xf numFmtId="0" fontId="9" fillId="0" borderId="0" applyFill="0" applyBorder="0">
      <alignment vertical="center"/>
    </xf>
    <xf numFmtId="0" fontId="34" fillId="0" borderId="5" applyNumberFormat="0" applyFill="0" applyAlignment="0" applyProtection="0"/>
    <xf numFmtId="0" fontId="10" fillId="0" borderId="0" applyFill="0" applyBorder="0">
      <alignment vertical="center"/>
    </xf>
    <xf numFmtId="0" fontId="35" fillId="0" borderId="6" applyNumberFormat="0" applyFill="0" applyAlignment="0" applyProtection="0"/>
    <xf numFmtId="0" fontId="4" fillId="0" borderId="0" applyFill="0" applyBorder="0">
      <alignment vertical="center"/>
    </xf>
    <xf numFmtId="0" fontId="35" fillId="0" borderId="0" applyNumberFormat="0" applyFill="0" applyBorder="0" applyAlignment="0" applyProtection="0"/>
    <xf numFmtId="0" fontId="12" fillId="0" borderId="0" applyFill="0" applyBorder="0">
      <alignment horizontal="center" vertical="center"/>
      <protection locked="0"/>
    </xf>
    <xf numFmtId="0" fontId="12" fillId="0" borderId="0" applyFill="0" applyBorder="0">
      <alignment horizontal="center" vertical="center"/>
      <protection locked="0"/>
    </xf>
    <xf numFmtId="0" fontId="11" fillId="0" borderId="0" applyFill="0" applyBorder="0">
      <alignment horizontal="left" vertical="center"/>
      <protection locked="0"/>
    </xf>
    <xf numFmtId="0" fontId="11" fillId="0" borderId="0" applyFill="0" applyBorder="0">
      <alignment horizontal="left" vertical="center"/>
      <protection locked="0"/>
    </xf>
    <xf numFmtId="0" fontId="11" fillId="0" borderId="0" applyFill="0" applyBorder="0">
      <alignment horizontal="left" vertical="center"/>
      <protection locked="0"/>
    </xf>
    <xf numFmtId="0" fontId="36" fillId="3" borderId="2" applyNumberFormat="0" applyAlignment="0" applyProtection="0"/>
    <xf numFmtId="0" fontId="30" fillId="0" borderId="7" applyNumberFormat="0" applyFill="0" applyAlignment="0" applyProtection="0"/>
    <xf numFmtId="0" fontId="10" fillId="0" borderId="8" applyFill="0">
      <alignment horizontal="center" vertical="center"/>
    </xf>
    <xf numFmtId="0" fontId="10" fillId="0" borderId="8" applyFill="0">
      <alignment horizontal="center" vertical="center"/>
    </xf>
    <xf numFmtId="0" fontId="4" fillId="0" borderId="8" applyFill="0">
      <alignment horizontal="center" vertical="center"/>
    </xf>
    <xf numFmtId="0" fontId="21" fillId="0" borderId="8" applyFill="0">
      <alignment horizontal="center" vertical="center"/>
    </xf>
    <xf numFmtId="170" fontId="4" fillId="0" borderId="8" applyFill="0">
      <alignment horizontal="center" vertical="center"/>
    </xf>
    <xf numFmtId="170" fontId="21" fillId="0" borderId="8" applyFill="0">
      <alignment horizontal="center" vertical="center"/>
    </xf>
    <xf numFmtId="0" fontId="7" fillId="0" borderId="0" applyFill="0" applyBorder="0">
      <alignment horizontal="left" vertical="center"/>
    </xf>
    <xf numFmtId="0" fontId="7" fillId="0" borderId="0" applyFill="0" applyBorder="0">
      <alignment horizontal="left" vertical="center"/>
    </xf>
    <xf numFmtId="0" fontId="7" fillId="0" borderId="0" applyFill="0" applyBorder="0">
      <alignment horizontal="left" vertical="center"/>
    </xf>
    <xf numFmtId="0" fontId="37" fillId="11" borderId="0" applyNumberFormat="0" applyBorder="0" applyAlignment="0" applyProtection="0"/>
    <xf numFmtId="0" fontId="21" fillId="0" borderId="0"/>
    <xf numFmtId="0" fontId="21" fillId="0" borderId="0"/>
    <xf numFmtId="0" fontId="23" fillId="5" borderId="10" applyNumberFormat="0" applyFont="0" applyAlignment="0" applyProtection="0"/>
    <xf numFmtId="0" fontId="38" fillId="22" borderId="11" applyNumberFormat="0" applyAlignment="0" applyProtection="0"/>
    <xf numFmtId="9" fontId="4" fillId="0" borderId="0" applyFont="0" applyFill="0" applyBorder="0" applyAlignment="0" applyProtection="0"/>
    <xf numFmtId="9" fontId="21" fillId="0" borderId="0" applyFont="0" applyFill="0" applyBorder="0" applyAlignment="0" applyProtection="0"/>
    <xf numFmtId="0" fontId="10" fillId="0" borderId="0" applyFill="0" applyBorder="0">
      <alignment vertical="center"/>
    </xf>
    <xf numFmtId="0" fontId="10" fillId="0" borderId="0" applyFill="0" applyBorder="0">
      <alignment vertical="center"/>
    </xf>
    <xf numFmtId="168" fontId="4" fillId="0" borderId="0" applyFill="0" applyBorder="0">
      <alignment horizontal="right" vertical="center"/>
    </xf>
    <xf numFmtId="168" fontId="21" fillId="0" borderId="0" applyFill="0" applyBorder="0">
      <alignment horizontal="right" vertical="center"/>
    </xf>
    <xf numFmtId="169" fontId="4" fillId="0" borderId="0" applyFill="0" applyBorder="0">
      <alignment horizontal="right" vertical="center"/>
    </xf>
    <xf numFmtId="169" fontId="21" fillId="0" borderId="0" applyFill="0" applyBorder="0">
      <alignment horizontal="right" vertical="center"/>
    </xf>
    <xf numFmtId="167" fontId="4" fillId="0" borderId="0" applyFill="0" applyBorder="0">
      <alignment horizontal="right" vertical="center"/>
    </xf>
    <xf numFmtId="167" fontId="21" fillId="0" borderId="0" applyFill="0" applyBorder="0">
      <alignment horizontal="right" vertical="center"/>
    </xf>
    <xf numFmtId="165" fontId="4" fillId="0" borderId="0" applyFill="0" applyBorder="0">
      <alignment horizontal="right" vertical="center"/>
    </xf>
    <xf numFmtId="165" fontId="21" fillId="0" borderId="0" applyFill="0" applyBorder="0">
      <alignment horizontal="right" vertical="center"/>
    </xf>
    <xf numFmtId="165" fontId="21" fillId="0" borderId="0" applyFill="0" applyBorder="0">
      <alignment horizontal="right" vertical="center"/>
    </xf>
    <xf numFmtId="165" fontId="21" fillId="0" borderId="0" applyFill="0" applyBorder="0">
      <alignment horizontal="right" vertical="center"/>
    </xf>
    <xf numFmtId="165" fontId="21" fillId="0" borderId="0" applyFill="0" applyBorder="0">
      <alignment horizontal="right" vertical="center"/>
    </xf>
    <xf numFmtId="166" fontId="4" fillId="0" borderId="0" applyFill="0" applyBorder="0">
      <alignment horizontal="right" vertical="center"/>
    </xf>
    <xf numFmtId="166" fontId="21" fillId="0" borderId="0" applyFill="0" applyBorder="0">
      <alignment horizontal="right" vertical="center"/>
    </xf>
    <xf numFmtId="164" fontId="4" fillId="0" borderId="0" applyFill="0" applyBorder="0">
      <alignment horizontal="right" vertical="center"/>
    </xf>
    <xf numFmtId="164" fontId="21" fillId="0" borderId="0" applyFill="0" applyBorder="0">
      <alignment horizontal="right" vertical="center"/>
    </xf>
    <xf numFmtId="0" fontId="6" fillId="0" borderId="0" applyFill="0" applyBorder="0">
      <alignment horizontal="left" vertical="center"/>
    </xf>
    <xf numFmtId="0" fontId="6" fillId="0" borderId="0" applyFill="0" applyBorder="0">
      <alignment horizontal="left" vertical="center"/>
    </xf>
    <xf numFmtId="0" fontId="5" fillId="0" borderId="0" applyFill="0" applyBorder="0">
      <alignment horizontal="left" vertical="center"/>
    </xf>
    <xf numFmtId="0" fontId="5" fillId="0" borderId="0" applyFill="0" applyBorder="0">
      <alignment horizontal="left" vertical="center"/>
    </xf>
    <xf numFmtId="0" fontId="5" fillId="0" borderId="0" applyFill="0" applyBorder="0">
      <alignment horizontal="left" vertical="center"/>
    </xf>
    <xf numFmtId="0" fontId="39" fillId="0" borderId="0">
      <alignment vertical="top"/>
    </xf>
    <xf numFmtId="0" fontId="40" fillId="0" borderId="0" applyNumberFormat="0" applyFill="0" applyBorder="0" applyAlignment="0" applyProtection="0"/>
    <xf numFmtId="0" fontId="13" fillId="0" borderId="0" applyFill="0" applyBorder="0">
      <alignment horizontal="left" vertical="center"/>
      <protection locked="0"/>
    </xf>
    <xf numFmtId="0" fontId="13" fillId="0" borderId="0" applyFill="0" applyBorder="0">
      <alignment horizontal="left" vertical="center"/>
      <protection locked="0"/>
    </xf>
    <xf numFmtId="0" fontId="14" fillId="0" borderId="0" applyFill="0" applyBorder="0">
      <alignment horizontal="left" vertical="center"/>
      <protection locked="0"/>
    </xf>
    <xf numFmtId="0" fontId="14" fillId="0" borderId="0" applyFill="0" applyBorder="0">
      <alignment horizontal="left" vertical="center"/>
      <protection locked="0"/>
    </xf>
    <xf numFmtId="0" fontId="11" fillId="0" borderId="0" applyFill="0" applyBorder="0">
      <alignment horizontal="left" vertical="center"/>
      <protection locked="0"/>
    </xf>
    <xf numFmtId="0" fontId="11" fillId="0" borderId="0" applyFill="0" applyBorder="0">
      <alignment horizontal="left" vertical="center"/>
      <protection locked="0"/>
    </xf>
    <xf numFmtId="0" fontId="15" fillId="0" borderId="0" applyFill="0" applyBorder="0">
      <alignment horizontal="left" vertical="center"/>
      <protection locked="0"/>
    </xf>
    <xf numFmtId="0" fontId="15" fillId="0" borderId="0" applyFill="0" applyBorder="0">
      <alignment horizontal="left" vertical="center"/>
      <protection locked="0"/>
    </xf>
    <xf numFmtId="0" fontId="31" fillId="0" borderId="12" applyNumberFormat="0" applyFill="0" applyAlignment="0" applyProtection="0"/>
    <xf numFmtId="0" fontId="32" fillId="0" borderId="0" applyNumberFormat="0" applyFill="0" applyBorder="0" applyAlignment="0" applyProtection="0"/>
    <xf numFmtId="0" fontId="21" fillId="0" borderId="0"/>
    <xf numFmtId="0" fontId="8" fillId="0" borderId="0" applyFill="0" applyBorder="0">
      <alignment vertical="center"/>
    </xf>
    <xf numFmtId="0" fontId="44" fillId="35" borderId="0" applyNumberFormat="0" applyFont="0" applyBorder="0" applyAlignment="0">
      <protection hidden="1"/>
    </xf>
    <xf numFmtId="0" fontId="41" fillId="0" borderId="0"/>
    <xf numFmtId="0" fontId="21" fillId="0" borderId="0" applyFill="0" applyBorder="0">
      <alignment vertical="center"/>
    </xf>
    <xf numFmtId="0" fontId="21" fillId="0" borderId="0"/>
    <xf numFmtId="0" fontId="21" fillId="0" borderId="0"/>
    <xf numFmtId="0" fontId="21" fillId="0" borderId="0"/>
    <xf numFmtId="0" fontId="21" fillId="0" borderId="1">
      <alignment vertical="center"/>
      <protection locked="0"/>
    </xf>
    <xf numFmtId="43" fontId="48" fillId="0" borderId="0" applyFont="0" applyFill="0" applyBorder="0" applyAlignment="0" applyProtection="0"/>
    <xf numFmtId="43" fontId="44" fillId="0" borderId="0" applyFont="0" applyFill="0" applyBorder="0" applyAlignment="0" applyProtection="0"/>
    <xf numFmtId="43" fontId="49" fillId="0" borderId="0" applyFont="0" applyFill="0" applyBorder="0" applyAlignment="0" applyProtection="0"/>
    <xf numFmtId="43" fontId="2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9" fillId="0" borderId="0" applyFill="0" applyBorder="0">
      <alignment vertical="center"/>
    </xf>
    <xf numFmtId="0" fontId="21" fillId="0" borderId="0"/>
    <xf numFmtId="0" fontId="45" fillId="0" borderId="0"/>
    <xf numFmtId="0" fontId="21" fillId="0" borderId="0"/>
    <xf numFmtId="0" fontId="21" fillId="0" borderId="0"/>
    <xf numFmtId="0" fontId="49" fillId="0" borderId="0"/>
    <xf numFmtId="0" fontId="50" fillId="0" borderId="0" applyFill="0" applyBorder="0">
      <alignment vertical="center"/>
    </xf>
    <xf numFmtId="0" fontId="48" fillId="0" borderId="0"/>
    <xf numFmtId="9" fontId="49" fillId="0" borderId="0" applyFont="0" applyFill="0" applyBorder="0" applyAlignment="0" applyProtection="0"/>
    <xf numFmtId="9" fontId="45" fillId="0" borderId="0" applyFont="0" applyFill="0" applyBorder="0" applyAlignment="0" applyProtection="0"/>
    <xf numFmtId="165" fontId="21" fillId="0" borderId="0" applyFill="0" applyBorder="0">
      <alignment horizontal="right" vertical="center"/>
    </xf>
    <xf numFmtId="165" fontId="21" fillId="0" borderId="0" applyFill="0" applyBorder="0">
      <alignment horizontal="right" vertical="center"/>
    </xf>
    <xf numFmtId="165" fontId="21" fillId="0" borderId="0" applyFill="0" applyBorder="0">
      <alignment horizontal="right" vertical="center"/>
    </xf>
    <xf numFmtId="186" fontId="50" fillId="0" borderId="9">
      <alignment vertical="center"/>
      <protection locked="0"/>
    </xf>
    <xf numFmtId="186" fontId="50" fillId="0" borderId="0" applyFill="0" applyBorder="0">
      <alignment vertical="center"/>
    </xf>
    <xf numFmtId="0" fontId="52" fillId="0" borderId="0" applyFill="0" applyBorder="0">
      <alignment vertical="center"/>
    </xf>
    <xf numFmtId="0" fontId="53" fillId="0" borderId="0" applyFill="0" applyBorder="0">
      <alignment vertical="center"/>
    </xf>
    <xf numFmtId="0" fontId="4" fillId="0" borderId="0"/>
    <xf numFmtId="0" fontId="4" fillId="0" borderId="0"/>
    <xf numFmtId="0" fontId="4" fillId="0" borderId="0"/>
    <xf numFmtId="0" fontId="4" fillId="0" borderId="1">
      <alignment vertical="center"/>
      <protection locked="0"/>
    </xf>
    <xf numFmtId="0" fontId="4" fillId="0" borderId="0" applyFill="0" applyBorder="0">
      <alignment vertical="center"/>
    </xf>
    <xf numFmtId="168" fontId="4" fillId="0" borderId="1">
      <alignment horizontal="center" vertical="center"/>
      <protection locked="0"/>
    </xf>
    <xf numFmtId="15" fontId="4" fillId="0" borderId="1">
      <alignment horizontal="center" vertical="center"/>
      <protection locked="0"/>
    </xf>
    <xf numFmtId="167" fontId="4" fillId="0" borderId="1">
      <alignment horizontal="center" vertical="center"/>
      <protection locked="0"/>
    </xf>
    <xf numFmtId="165" fontId="4" fillId="0" borderId="1">
      <alignment horizontal="center" vertical="center"/>
      <protection locked="0"/>
    </xf>
    <xf numFmtId="166" fontId="4" fillId="0" borderId="1">
      <alignment horizontal="center" vertical="center"/>
      <protection locked="0"/>
    </xf>
    <xf numFmtId="164" fontId="4" fillId="0" borderId="1">
      <alignment horizontal="center" vertical="center"/>
      <protection locked="0"/>
    </xf>
    <xf numFmtId="0" fontId="4" fillId="0" borderId="1">
      <alignment vertical="center"/>
      <protection locked="0"/>
    </xf>
    <xf numFmtId="0" fontId="4" fillId="0" borderId="1">
      <alignment vertical="center"/>
      <protection locked="0"/>
    </xf>
    <xf numFmtId="168" fontId="4" fillId="0" borderId="1">
      <alignment horizontal="right" vertical="center"/>
      <protection locked="0"/>
    </xf>
    <xf numFmtId="169" fontId="4" fillId="0" borderId="1">
      <alignment horizontal="right" vertical="center"/>
      <protection locked="0"/>
    </xf>
    <xf numFmtId="167" fontId="4" fillId="0" borderId="1">
      <alignment horizontal="right" vertical="center"/>
      <protection locked="0"/>
    </xf>
    <xf numFmtId="165" fontId="4" fillId="0" borderId="1">
      <alignment horizontal="right" vertical="center"/>
      <protection locked="0"/>
    </xf>
    <xf numFmtId="166" fontId="4" fillId="0" borderId="1">
      <alignment horizontal="right" vertical="center"/>
      <protection locked="0"/>
    </xf>
    <xf numFmtId="164" fontId="4" fillId="0" borderId="1">
      <alignment horizontal="right" vertical="center"/>
      <protection locked="0"/>
    </xf>
    <xf numFmtId="0" fontId="4" fillId="0" borderId="0" applyNumberFormat="0" applyFont="0" applyFill="0" applyBorder="0">
      <alignment horizontal="center" vertical="center"/>
      <protection locked="0"/>
    </xf>
    <xf numFmtId="168" fontId="4" fillId="0" borderId="0" applyFill="0" applyBorder="0">
      <alignment horizontal="center" vertical="center"/>
    </xf>
    <xf numFmtId="15" fontId="4" fillId="0" borderId="0" applyFill="0" applyBorder="0">
      <alignment horizontal="center" vertical="center"/>
    </xf>
    <xf numFmtId="167" fontId="4" fillId="0" borderId="0" applyFill="0" applyBorder="0">
      <alignment horizontal="center" vertical="center"/>
    </xf>
    <xf numFmtId="165" fontId="4" fillId="0" borderId="0" applyFill="0" applyBorder="0">
      <alignment horizontal="center" vertical="center"/>
    </xf>
    <xf numFmtId="166" fontId="4" fillId="0" borderId="0" applyFill="0" applyBorder="0">
      <alignment horizontal="center" vertical="center"/>
    </xf>
    <xf numFmtId="164" fontId="4" fillId="0" borderId="0" applyFill="0" applyBorder="0">
      <alignment horizontal="center" vertical="center"/>
    </xf>
    <xf numFmtId="43" fontId="4" fillId="0" borderId="0" applyFont="0" applyFill="0" applyBorder="0" applyAlignment="0" applyProtection="0"/>
    <xf numFmtId="0" fontId="4" fillId="0" borderId="0" applyFill="0" applyBorder="0">
      <alignment vertical="center"/>
    </xf>
    <xf numFmtId="0" fontId="4" fillId="0" borderId="8" applyFill="0">
      <alignment horizontal="center" vertical="center"/>
    </xf>
    <xf numFmtId="170" fontId="4" fillId="0" borderId="8" applyFill="0">
      <alignment horizontal="center"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9" fontId="4" fillId="0" borderId="0" applyFont="0" applyFill="0" applyBorder="0" applyAlignment="0" applyProtection="0"/>
    <xf numFmtId="168" fontId="4" fillId="0" borderId="0" applyFill="0" applyBorder="0">
      <alignment horizontal="right" vertical="center"/>
    </xf>
    <xf numFmtId="169" fontId="4" fillId="0" borderId="0" applyFill="0" applyBorder="0">
      <alignment horizontal="right" vertical="center"/>
    </xf>
    <xf numFmtId="167" fontId="4" fillId="0" borderId="0" applyFill="0" applyBorder="0">
      <alignment horizontal="right" vertical="center"/>
    </xf>
    <xf numFmtId="165" fontId="4" fillId="0" borderId="0" applyFill="0" applyBorder="0">
      <alignment horizontal="right" vertical="center"/>
    </xf>
    <xf numFmtId="165" fontId="4" fillId="0" borderId="0" applyFill="0" applyBorder="0">
      <alignment horizontal="right" vertical="center"/>
    </xf>
    <xf numFmtId="165" fontId="4" fillId="0" borderId="0" applyFill="0" applyBorder="0">
      <alignment horizontal="right" vertical="center"/>
    </xf>
    <xf numFmtId="165" fontId="4" fillId="0" borderId="0" applyFill="0" applyBorder="0">
      <alignment horizontal="right" vertical="center"/>
    </xf>
    <xf numFmtId="165" fontId="4" fillId="0" borderId="0" applyFill="0" applyBorder="0">
      <alignment horizontal="right" vertical="center"/>
    </xf>
    <xf numFmtId="165" fontId="4" fillId="0" borderId="0" applyFill="0" applyBorder="0">
      <alignment horizontal="right" vertical="center"/>
    </xf>
    <xf numFmtId="165" fontId="4" fillId="0" borderId="0" applyFill="0" applyBorder="0">
      <alignment horizontal="right" vertical="center"/>
    </xf>
    <xf numFmtId="166" fontId="4" fillId="0" borderId="0" applyFill="0" applyBorder="0">
      <alignment horizontal="right" vertical="center"/>
    </xf>
    <xf numFmtId="164" fontId="4" fillId="0" borderId="0" applyFill="0" applyBorder="0">
      <alignment horizontal="right" vertical="center"/>
    </xf>
    <xf numFmtId="0" fontId="2" fillId="0" borderId="0"/>
    <xf numFmtId="0" fontId="44" fillId="0" borderId="0"/>
    <xf numFmtId="0" fontId="50" fillId="0" borderId="0" applyFill="0" applyBorder="0">
      <alignment vertical="center"/>
    </xf>
    <xf numFmtId="0" fontId="2" fillId="0" borderId="0"/>
    <xf numFmtId="0" fontId="2" fillId="0" borderId="0"/>
  </cellStyleXfs>
  <cellXfs count="2152">
    <xf numFmtId="0" fontId="0" fillId="0" borderId="0" xfId="0"/>
    <xf numFmtId="0" fontId="50" fillId="27" borderId="0" xfId="0" applyFont="1" applyFill="1"/>
    <xf numFmtId="0" fontId="50" fillId="29" borderId="0" xfId="0" applyFont="1" applyFill="1"/>
    <xf numFmtId="0" fontId="51" fillId="29" borderId="0" xfId="0" applyFont="1" applyFill="1"/>
    <xf numFmtId="0" fontId="66" fillId="0" borderId="0" xfId="0" applyFont="1" applyProtection="1">
      <protection locked="0"/>
    </xf>
    <xf numFmtId="0" fontId="62" fillId="27" borderId="0" xfId="0" applyFont="1" applyFill="1"/>
    <xf numFmtId="0" fontId="51" fillId="27" borderId="0" xfId="0" applyFont="1" applyFill="1"/>
    <xf numFmtId="0" fontId="47" fillId="27" borderId="0" xfId="0" applyFont="1" applyFill="1"/>
    <xf numFmtId="0" fontId="51" fillId="28" borderId="30" xfId="0" applyFont="1" applyFill="1" applyBorder="1"/>
    <xf numFmtId="0" fontId="51" fillId="28" borderId="0" xfId="0" applyFont="1" applyFill="1" applyAlignment="1">
      <alignment horizontal="center"/>
    </xf>
    <xf numFmtId="0" fontId="51" fillId="28" borderId="0" xfId="0" applyFont="1" applyFill="1"/>
    <xf numFmtId="0" fontId="83" fillId="27" borderId="0" xfId="122" applyFont="1" applyFill="1">
      <alignment horizontal="left" vertical="center"/>
    </xf>
    <xf numFmtId="0" fontId="84" fillId="27" borderId="0" xfId="76" applyFont="1" applyFill="1" applyAlignment="1">
      <alignment horizontal="left" vertical="center"/>
    </xf>
    <xf numFmtId="0" fontId="47" fillId="27" borderId="0" xfId="122" applyFont="1" applyFill="1">
      <alignment horizontal="left" vertical="center"/>
    </xf>
    <xf numFmtId="0" fontId="51" fillId="28" borderId="0" xfId="0" applyFont="1" applyFill="1" applyAlignment="1">
      <alignment vertical="center"/>
    </xf>
    <xf numFmtId="0" fontId="84" fillId="29" borderId="0" xfId="93" applyFont="1" applyFill="1">
      <alignment horizontal="left" vertical="center"/>
    </xf>
    <xf numFmtId="0" fontId="47" fillId="29" borderId="0" xfId="0" applyFont="1" applyFill="1"/>
    <xf numFmtId="0" fontId="47" fillId="28" borderId="30" xfId="0" applyFont="1" applyFill="1" applyBorder="1"/>
    <xf numFmtId="0" fontId="84" fillId="29" borderId="0" xfId="122" applyFont="1" applyFill="1">
      <alignment horizontal="left" vertical="center"/>
    </xf>
    <xf numFmtId="0" fontId="84" fillId="29" borderId="0" xfId="0" applyFont="1" applyFill="1"/>
    <xf numFmtId="0" fontId="57" fillId="29" borderId="0" xfId="0" applyFont="1" applyFill="1" applyAlignment="1" applyProtection="1">
      <alignment horizontal="left"/>
      <protection hidden="1"/>
    </xf>
    <xf numFmtId="0" fontId="60" fillId="29" borderId="0" xfId="80" applyFont="1" applyFill="1" applyBorder="1">
      <alignment horizontal="center" vertical="center"/>
      <protection locked="0"/>
    </xf>
    <xf numFmtId="0" fontId="47" fillId="29" borderId="0" xfId="72" applyFont="1" applyFill="1" applyBorder="1" applyAlignment="1">
      <alignment horizontal="left" vertical="center"/>
    </xf>
    <xf numFmtId="0" fontId="46" fillId="29" borderId="0" xfId="0" applyFont="1" applyFill="1" applyProtection="1">
      <protection hidden="1"/>
    </xf>
    <xf numFmtId="0" fontId="57" fillId="28" borderId="0" xfId="0" applyFont="1" applyFill="1"/>
    <xf numFmtId="0" fontId="57" fillId="28" borderId="0" xfId="0" applyFont="1" applyFill="1" applyAlignment="1">
      <alignment horizontal="center"/>
    </xf>
    <xf numFmtId="0" fontId="63" fillId="29" borderId="0" xfId="0" applyFont="1" applyFill="1" applyAlignment="1">
      <alignment horizontal="left" indent="1"/>
    </xf>
    <xf numFmtId="0" fontId="63" fillId="29" borderId="0" xfId="0" applyFont="1" applyFill="1"/>
    <xf numFmtId="0" fontId="57" fillId="29" borderId="0" xfId="0" applyFont="1" applyFill="1" applyProtection="1">
      <protection hidden="1"/>
    </xf>
    <xf numFmtId="0" fontId="63" fillId="29" borderId="8" xfId="0" applyFont="1" applyFill="1" applyBorder="1" applyAlignment="1">
      <alignment vertical="center"/>
    </xf>
    <xf numFmtId="0" fontId="63" fillId="29" borderId="8" xfId="0" applyFont="1" applyFill="1" applyBorder="1" applyAlignment="1">
      <alignment horizontal="center" vertical="center"/>
    </xf>
    <xf numFmtId="0" fontId="63" fillId="29" borderId="8" xfId="0" applyFont="1" applyFill="1" applyBorder="1" applyAlignment="1">
      <alignment horizontal="right" vertical="center"/>
    </xf>
    <xf numFmtId="0" fontId="50" fillId="29" borderId="0" xfId="0" quotePrefix="1" applyFont="1" applyFill="1"/>
    <xf numFmtId="0" fontId="61" fillId="29" borderId="0" xfId="0" applyFont="1" applyFill="1" applyProtection="1">
      <protection hidden="1"/>
    </xf>
    <xf numFmtId="0" fontId="57" fillId="28" borderId="8" xfId="0" applyFont="1" applyFill="1" applyBorder="1"/>
    <xf numFmtId="0" fontId="57" fillId="28" borderId="8" xfId="0" applyFont="1" applyFill="1" applyBorder="1" applyAlignment="1">
      <alignment horizontal="center"/>
    </xf>
    <xf numFmtId="0" fontId="57" fillId="28" borderId="8" xfId="0" applyFont="1" applyFill="1" applyBorder="1" applyAlignment="1">
      <alignment horizontal="right"/>
    </xf>
    <xf numFmtId="0" fontId="85" fillId="29" borderId="0" xfId="131" quotePrefix="1" applyFont="1" applyFill="1">
      <alignment horizontal="left" vertical="center"/>
      <protection locked="0"/>
    </xf>
    <xf numFmtId="0" fontId="57" fillId="28" borderId="8" xfId="0" quotePrefix="1" applyFont="1" applyFill="1" applyBorder="1" applyAlignment="1">
      <alignment horizontal="right"/>
    </xf>
    <xf numFmtId="0" fontId="51" fillId="29" borderId="57" xfId="0" applyFont="1" applyFill="1" applyBorder="1"/>
    <xf numFmtId="0" fontId="51" fillId="29" borderId="58" xfId="0" applyFont="1" applyFill="1" applyBorder="1"/>
    <xf numFmtId="0" fontId="51" fillId="29" borderId="59" xfId="0" applyFont="1" applyFill="1" applyBorder="1"/>
    <xf numFmtId="0" fontId="51" fillId="29" borderId="60" xfId="0" applyFont="1" applyFill="1" applyBorder="1"/>
    <xf numFmtId="0" fontId="51" fillId="32" borderId="8" xfId="38" applyFont="1" applyFill="1" applyBorder="1" applyAlignment="1" applyProtection="1">
      <alignment horizontal="center" vertical="center"/>
    </xf>
    <xf numFmtId="0" fontId="51" fillId="29" borderId="0" xfId="0" applyFont="1" applyFill="1" applyAlignment="1">
      <alignment horizontal="left" vertical="center" indent="2"/>
    </xf>
    <xf numFmtId="0" fontId="51" fillId="29" borderId="61" xfId="0" applyFont="1" applyFill="1" applyBorder="1"/>
    <xf numFmtId="0" fontId="51" fillId="29" borderId="0" xfId="0" applyFont="1" applyFill="1" applyAlignment="1">
      <alignment vertical="center"/>
    </xf>
    <xf numFmtId="0" fontId="51" fillId="29" borderId="0" xfId="0" applyFont="1" applyFill="1" applyAlignment="1">
      <alignment horizontal="left" indent="2"/>
    </xf>
    <xf numFmtId="0" fontId="51" fillId="28" borderId="8" xfId="0" applyFont="1" applyFill="1" applyBorder="1" applyAlignment="1">
      <alignment horizontal="center" vertical="center"/>
    </xf>
    <xf numFmtId="0" fontId="51" fillId="27" borderId="8" xfId="0" applyFont="1" applyFill="1" applyBorder="1" applyAlignment="1">
      <alignment horizontal="center" vertical="center"/>
    </xf>
    <xf numFmtId="0" fontId="51" fillId="34" borderId="8" xfId="0" applyFont="1" applyFill="1" applyBorder="1" applyAlignment="1">
      <alignment horizontal="center" vertical="center"/>
    </xf>
    <xf numFmtId="0" fontId="63" fillId="28" borderId="8" xfId="0" applyFont="1" applyFill="1" applyBorder="1" applyAlignment="1">
      <alignment horizontal="right" vertical="center"/>
    </xf>
    <xf numFmtId="0" fontId="57" fillId="28" borderId="8" xfId="0" applyFont="1" applyFill="1" applyBorder="1" applyAlignment="1">
      <alignment horizontal="left"/>
    </xf>
    <xf numFmtId="0" fontId="54" fillId="31" borderId="8" xfId="0" applyFont="1" applyFill="1" applyBorder="1" applyAlignment="1">
      <alignment horizontal="center" vertical="center"/>
    </xf>
    <xf numFmtId="0" fontId="51" fillId="29" borderId="62" xfId="0" applyFont="1" applyFill="1" applyBorder="1"/>
    <xf numFmtId="0" fontId="51" fillId="29" borderId="63" xfId="0" applyFont="1" applyFill="1" applyBorder="1"/>
    <xf numFmtId="0" fontId="51" fillId="29" borderId="64" xfId="0" applyFont="1" applyFill="1" applyBorder="1"/>
    <xf numFmtId="0" fontId="66" fillId="0" borderId="0" xfId="0" applyFont="1" applyAlignment="1">
      <alignment horizontal="left"/>
    </xf>
    <xf numFmtId="0" fontId="73" fillId="27" borderId="0" xfId="103" applyFont="1" applyFill="1" applyAlignment="1">
      <alignment horizontal="right" vertical="center"/>
    </xf>
    <xf numFmtId="0" fontId="73" fillId="0" borderId="0" xfId="103" applyFont="1" applyAlignment="1">
      <alignment horizontal="right" vertical="center"/>
    </xf>
    <xf numFmtId="0" fontId="81" fillId="0" borderId="0" xfId="103" applyFont="1" applyAlignment="1">
      <alignment horizontal="right" vertical="center"/>
    </xf>
    <xf numFmtId="0" fontId="65" fillId="0" borderId="13" xfId="103" applyFont="1" applyBorder="1" applyAlignment="1">
      <alignment horizontal="right" vertical="center"/>
    </xf>
    <xf numFmtId="0" fontId="66" fillId="0" borderId="0" xfId="0" applyFont="1" applyAlignment="1">
      <alignment horizontal="center" vertical="center"/>
    </xf>
    <xf numFmtId="0" fontId="66" fillId="0" borderId="0" xfId="0" applyFont="1"/>
    <xf numFmtId="0" fontId="68" fillId="0" borderId="0" xfId="82" applyFont="1" applyAlignment="1" applyProtection="1">
      <alignment vertical="center"/>
    </xf>
    <xf numFmtId="0" fontId="69" fillId="0" borderId="0" xfId="80" applyFont="1" applyAlignment="1" applyProtection="1">
      <alignment horizontal="right" vertical="center"/>
    </xf>
    <xf numFmtId="0" fontId="69" fillId="0" borderId="0" xfId="80" applyFont="1" applyAlignment="1" applyProtection="1">
      <alignment horizontal="left" vertical="center"/>
    </xf>
    <xf numFmtId="0" fontId="66" fillId="27" borderId="0" xfId="0" applyFont="1" applyFill="1"/>
    <xf numFmtId="0" fontId="66" fillId="0" borderId="13" xfId="0" applyFont="1" applyBorder="1"/>
    <xf numFmtId="0" fontId="66" fillId="0" borderId="27" xfId="0" applyFont="1" applyBorder="1"/>
    <xf numFmtId="0" fontId="66" fillId="0" borderId="28" xfId="0" applyFont="1" applyBorder="1"/>
    <xf numFmtId="0" fontId="70" fillId="0" borderId="28" xfId="0" applyFont="1" applyBorder="1"/>
    <xf numFmtId="0" fontId="66" fillId="27" borderId="28" xfId="0" applyFont="1" applyFill="1" applyBorder="1"/>
    <xf numFmtId="0" fontId="66" fillId="0" borderId="29" xfId="0" applyFont="1" applyBorder="1"/>
    <xf numFmtId="0" fontId="66" fillId="0" borderId="14" xfId="0" applyFont="1" applyBorder="1"/>
    <xf numFmtId="0" fontId="66" fillId="0" borderId="30" xfId="0" applyFont="1" applyBorder="1"/>
    <xf numFmtId="0" fontId="87" fillId="0" borderId="0" xfId="0" applyFont="1"/>
    <xf numFmtId="2" fontId="66" fillId="0" borderId="0" xfId="0" applyNumberFormat="1" applyFont="1"/>
    <xf numFmtId="0" fontId="66" fillId="27" borderId="0" xfId="0" applyFont="1" applyFill="1" applyAlignment="1">
      <alignment horizontal="left"/>
    </xf>
    <xf numFmtId="173" fontId="66" fillId="29" borderId="8" xfId="0" applyNumberFormat="1" applyFont="1" applyFill="1" applyBorder="1" applyAlignment="1">
      <alignment horizontal="center"/>
    </xf>
    <xf numFmtId="171" fontId="66" fillId="0" borderId="0" xfId="0" applyNumberFormat="1" applyFont="1"/>
    <xf numFmtId="0" fontId="66" fillId="0" borderId="31" xfId="0" applyFont="1" applyBorder="1"/>
    <xf numFmtId="0" fontId="88" fillId="0" borderId="13" xfId="0" applyFont="1" applyBorder="1"/>
    <xf numFmtId="0" fontId="66" fillId="0" borderId="15" xfId="0" applyFont="1" applyBorder="1"/>
    <xf numFmtId="0" fontId="87" fillId="0" borderId="0" xfId="0" quotePrefix="1" applyFont="1"/>
    <xf numFmtId="0" fontId="70" fillId="27" borderId="0" xfId="0" applyFont="1" applyFill="1" applyAlignment="1">
      <alignment horizontal="left"/>
    </xf>
    <xf numFmtId="0" fontId="87" fillId="0" borderId="0" xfId="0" applyFont="1" applyAlignment="1">
      <alignment horizontal="left" indent="1"/>
    </xf>
    <xf numFmtId="2" fontId="66" fillId="27" borderId="0" xfId="0" applyNumberFormat="1" applyFont="1" applyFill="1"/>
    <xf numFmtId="0" fontId="75" fillId="0" borderId="0" xfId="0" applyFont="1"/>
    <xf numFmtId="0" fontId="70" fillId="0" borderId="0" xfId="0" applyFont="1"/>
    <xf numFmtId="172" fontId="90" fillId="0" borderId="0" xfId="0" applyNumberFormat="1" applyFont="1"/>
    <xf numFmtId="0" fontId="66" fillId="27" borderId="14" xfId="0" applyFont="1" applyFill="1" applyBorder="1"/>
    <xf numFmtId="0" fontId="70" fillId="27" borderId="0" xfId="0" applyFont="1" applyFill="1" applyAlignment="1">
      <alignment horizontal="left" indent="1"/>
    </xf>
    <xf numFmtId="0" fontId="70" fillId="27" borderId="0" xfId="0" applyFont="1" applyFill="1"/>
    <xf numFmtId="0" fontId="66" fillId="0" borderId="0" xfId="0" applyFont="1" applyAlignment="1">
      <alignment horizontal="right"/>
    </xf>
    <xf numFmtId="172" fontId="66" fillId="27" borderId="24" xfId="0" applyNumberFormat="1" applyFont="1" applyFill="1" applyBorder="1"/>
    <xf numFmtId="172" fontId="66" fillId="27" borderId="25" xfId="0" applyNumberFormat="1" applyFont="1" applyFill="1" applyBorder="1"/>
    <xf numFmtId="172" fontId="66" fillId="27" borderId="26" xfId="0" applyNumberFormat="1" applyFont="1" applyFill="1" applyBorder="1"/>
    <xf numFmtId="172" fontId="70" fillId="27" borderId="0" xfId="0" applyNumberFormat="1" applyFont="1" applyFill="1"/>
    <xf numFmtId="0" fontId="66" fillId="27" borderId="0" xfId="0" applyFont="1" applyFill="1" applyAlignment="1">
      <alignment horizontal="left" indent="3"/>
    </xf>
    <xf numFmtId="172" fontId="66" fillId="27" borderId="27" xfId="114" applyNumberFormat="1" applyFont="1" applyFill="1" applyBorder="1">
      <alignment horizontal="right" vertical="center"/>
    </xf>
    <xf numFmtId="172" fontId="66" fillId="27" borderId="28" xfId="114" applyNumberFormat="1" applyFont="1" applyFill="1" applyBorder="1">
      <alignment horizontal="right" vertical="center"/>
    </xf>
    <xf numFmtId="172" fontId="66" fillId="27" borderId="29" xfId="114" applyNumberFormat="1" applyFont="1" applyFill="1" applyBorder="1">
      <alignment horizontal="right" vertical="center"/>
    </xf>
    <xf numFmtId="0" fontId="66" fillId="27" borderId="0" xfId="0" applyFont="1" applyFill="1" applyAlignment="1">
      <alignment horizontal="left" indent="2"/>
    </xf>
    <xf numFmtId="172" fontId="66" fillId="27" borderId="30" xfId="114" applyNumberFormat="1" applyFont="1" applyFill="1" applyBorder="1">
      <alignment horizontal="right" vertical="center"/>
    </xf>
    <xf numFmtId="172" fontId="66" fillId="27" borderId="0" xfId="114" applyNumberFormat="1" applyFont="1" applyFill="1" applyBorder="1">
      <alignment horizontal="right" vertical="center"/>
    </xf>
    <xf numFmtId="172" fontId="66" fillId="27" borderId="14" xfId="114" applyNumberFormat="1" applyFont="1" applyFill="1" applyBorder="1">
      <alignment horizontal="right" vertical="center"/>
    </xf>
    <xf numFmtId="0" fontId="66" fillId="0" borderId="0" xfId="0" applyFont="1" applyAlignment="1">
      <alignment horizontal="left" indent="2"/>
    </xf>
    <xf numFmtId="172" fontId="66" fillId="27" borderId="31" xfId="114" applyNumberFormat="1" applyFont="1" applyFill="1" applyBorder="1">
      <alignment horizontal="right" vertical="center"/>
    </xf>
    <xf numFmtId="172" fontId="66" fillId="27" borderId="13" xfId="114" applyNumberFormat="1" applyFont="1" applyFill="1" applyBorder="1">
      <alignment horizontal="right" vertical="center"/>
    </xf>
    <xf numFmtId="172" fontId="66" fillId="27" borderId="15" xfId="114" applyNumberFormat="1" applyFont="1" applyFill="1" applyBorder="1">
      <alignment horizontal="right" vertical="center"/>
    </xf>
    <xf numFmtId="172" fontId="66" fillId="27" borderId="0" xfId="0" applyNumberFormat="1" applyFont="1" applyFill="1"/>
    <xf numFmtId="0" fontId="78" fillId="27" borderId="0" xfId="0" applyFont="1" applyFill="1"/>
    <xf numFmtId="0" fontId="91" fillId="0" borderId="13" xfId="0" applyFont="1" applyBorder="1"/>
    <xf numFmtId="173" fontId="91" fillId="0" borderId="13" xfId="102" applyNumberFormat="1" applyFont="1" applyBorder="1" applyProtection="1"/>
    <xf numFmtId="0" fontId="64" fillId="24" borderId="0" xfId="0" applyFont="1" applyFill="1"/>
    <xf numFmtId="172" fontId="66" fillId="0" borderId="0" xfId="0" applyNumberFormat="1" applyFont="1"/>
    <xf numFmtId="0" fontId="70" fillId="24" borderId="0" xfId="0" applyFont="1" applyFill="1"/>
    <xf numFmtId="0" fontId="66" fillId="27" borderId="0" xfId="0" applyFont="1" applyFill="1" applyAlignment="1">
      <alignment horizontal="left" indent="1"/>
    </xf>
    <xf numFmtId="0" fontId="57" fillId="31" borderId="8" xfId="0" applyFont="1" applyFill="1" applyBorder="1" applyAlignment="1">
      <alignment horizontal="left"/>
    </xf>
    <xf numFmtId="0" fontId="57" fillId="31" borderId="8" xfId="0" applyFont="1" applyFill="1" applyBorder="1" applyAlignment="1">
      <alignment horizontal="right"/>
    </xf>
    <xf numFmtId="0" fontId="51" fillId="33" borderId="8" xfId="0" applyFont="1" applyFill="1" applyBorder="1" applyAlignment="1">
      <alignment horizontal="center" vertical="center"/>
    </xf>
    <xf numFmtId="0" fontId="91" fillId="0" borderId="0" xfId="0" applyFont="1"/>
    <xf numFmtId="0" fontId="91" fillId="27" borderId="0" xfId="0" applyFont="1" applyFill="1" applyAlignment="1">
      <alignment horizontal="right" indent="1"/>
    </xf>
    <xf numFmtId="0" fontId="91" fillId="27" borderId="0" xfId="0" applyFont="1" applyFill="1"/>
    <xf numFmtId="0" fontId="80" fillId="29" borderId="0" xfId="0" applyFont="1" applyFill="1"/>
    <xf numFmtId="0" fontId="102" fillId="0" borderId="0" xfId="0" applyFont="1"/>
    <xf numFmtId="0" fontId="70" fillId="29" borderId="65" xfId="0" applyFont="1" applyFill="1" applyBorder="1" applyAlignment="1">
      <alignment horizontal="right"/>
    </xf>
    <xf numFmtId="0" fontId="70" fillId="29" borderId="66" xfId="0" applyFont="1" applyFill="1" applyBorder="1" applyAlignment="1">
      <alignment horizontal="right"/>
    </xf>
    <xf numFmtId="0" fontId="70" fillId="29" borderId="66" xfId="0" applyFont="1" applyFill="1" applyBorder="1"/>
    <xf numFmtId="0" fontId="70" fillId="29" borderId="67" xfId="0" applyFont="1" applyFill="1" applyBorder="1"/>
    <xf numFmtId="2" fontId="78" fillId="29" borderId="98" xfId="0" applyNumberFormat="1" applyFont="1" applyFill="1" applyBorder="1" applyAlignment="1">
      <alignment horizontal="right" indent="1"/>
    </xf>
    <xf numFmtId="0" fontId="66" fillId="29" borderId="99" xfId="0" applyFont="1" applyFill="1" applyBorder="1"/>
    <xf numFmtId="0" fontId="66" fillId="29" borderId="68" xfId="0" applyFont="1" applyFill="1" applyBorder="1"/>
    <xf numFmtId="0" fontId="66" fillId="29" borderId="69" xfId="0" applyFont="1" applyFill="1" applyBorder="1" applyAlignment="1">
      <alignment horizontal="right"/>
    </xf>
    <xf numFmtId="0" fontId="66" fillId="29" borderId="69" xfId="0" applyFont="1" applyFill="1" applyBorder="1"/>
    <xf numFmtId="0" fontId="66" fillId="29" borderId="70" xfId="0" applyFont="1" applyFill="1" applyBorder="1"/>
    <xf numFmtId="9" fontId="78" fillId="29" borderId="0" xfId="101" applyFont="1" applyFill="1" applyBorder="1" applyAlignment="1" applyProtection="1">
      <alignment horizontal="center"/>
    </xf>
    <xf numFmtId="0" fontId="66" fillId="27" borderId="30" xfId="0" applyFont="1" applyFill="1" applyBorder="1"/>
    <xf numFmtId="0" fontId="64" fillId="0" borderId="0" xfId="0" applyFont="1"/>
    <xf numFmtId="0" fontId="82" fillId="0" borderId="0" xfId="122" applyFont="1">
      <alignment horizontal="left" vertical="center"/>
    </xf>
    <xf numFmtId="177" fontId="66" fillId="0" borderId="0" xfId="0" applyNumberFormat="1" applyFont="1"/>
    <xf numFmtId="0" fontId="58" fillId="0" borderId="0" xfId="93" applyFont="1">
      <alignment horizontal="left" vertical="center"/>
    </xf>
    <xf numFmtId="0" fontId="66" fillId="25" borderId="0" xfId="0" applyFont="1" applyFill="1"/>
    <xf numFmtId="177" fontId="66" fillId="25" borderId="0" xfId="0" applyNumberFormat="1" applyFont="1" applyFill="1"/>
    <xf numFmtId="175" fontId="66" fillId="24" borderId="0" xfId="0" applyNumberFormat="1" applyFont="1" applyFill="1" applyAlignment="1">
      <alignment vertical="center"/>
    </xf>
    <xf numFmtId="0" fontId="68" fillId="0" borderId="0" xfId="82" applyFont="1" applyProtection="1">
      <alignment horizontal="left" vertical="center"/>
    </xf>
    <xf numFmtId="0" fontId="69" fillId="0" borderId="0" xfId="80" applyFont="1" applyProtection="1">
      <alignment horizontal="center" vertical="center"/>
    </xf>
    <xf numFmtId="0" fontId="71" fillId="0" borderId="0" xfId="103" applyFont="1" applyAlignment="1">
      <alignment horizontal="left" vertical="center"/>
    </xf>
    <xf numFmtId="0" fontId="72" fillId="0" borderId="0" xfId="0" applyFont="1"/>
    <xf numFmtId="0" fontId="71" fillId="0" borderId="13" xfId="103" applyFont="1" applyBorder="1" applyAlignment="1">
      <alignment horizontal="left" vertical="center"/>
    </xf>
    <xf numFmtId="0" fontId="72" fillId="0" borderId="13" xfId="0" applyFont="1" applyBorder="1"/>
    <xf numFmtId="0" fontId="66" fillId="0" borderId="16" xfId="0" applyFont="1" applyBorder="1"/>
    <xf numFmtId="0" fontId="66" fillId="0" borderId="17" xfId="0" applyFont="1" applyBorder="1"/>
    <xf numFmtId="0" fontId="66" fillId="0" borderId="18" xfId="0" applyFont="1" applyBorder="1"/>
    <xf numFmtId="0" fontId="66" fillId="0" borderId="19" xfId="0" applyFont="1" applyBorder="1"/>
    <xf numFmtId="0" fontId="65" fillId="0" borderId="0" xfId="72" applyFont="1" applyFill="1" applyBorder="1">
      <alignment vertical="center"/>
    </xf>
    <xf numFmtId="0" fontId="66" fillId="0" borderId="20" xfId="0" applyFont="1" applyBorder="1"/>
    <xf numFmtId="0" fontId="66" fillId="33" borderId="0" xfId="0" applyFont="1" applyFill="1"/>
    <xf numFmtId="165" fontId="66" fillId="33" borderId="0" xfId="111" applyFont="1" applyFill="1" applyBorder="1">
      <alignment horizontal="right" vertical="center"/>
    </xf>
    <xf numFmtId="165" fontId="66" fillId="29" borderId="24" xfId="111" applyFont="1" applyFill="1" applyBorder="1">
      <alignment horizontal="right" vertical="center"/>
    </xf>
    <xf numFmtId="165" fontId="66" fillId="29" borderId="25" xfId="111" applyFont="1" applyFill="1" applyBorder="1">
      <alignment horizontal="right" vertical="center"/>
    </xf>
    <xf numFmtId="10" fontId="66" fillId="33" borderId="0" xfId="111" applyNumberFormat="1" applyFont="1" applyFill="1" applyBorder="1">
      <alignment horizontal="right" vertical="center"/>
    </xf>
    <xf numFmtId="10" fontId="66" fillId="33" borderId="0" xfId="112" applyNumberFormat="1" applyFont="1" applyFill="1" applyBorder="1">
      <alignment horizontal="right" vertical="center"/>
    </xf>
    <xf numFmtId="10" fontId="66" fillId="0" borderId="0" xfId="112" applyNumberFormat="1" applyFont="1" applyFill="1" applyBorder="1">
      <alignment horizontal="right" vertical="center"/>
    </xf>
    <xf numFmtId="174" fontId="66" fillId="33" borderId="0" xfId="111" applyNumberFormat="1" applyFont="1" applyFill="1" applyBorder="1">
      <alignment horizontal="right" vertical="center"/>
    </xf>
    <xf numFmtId="165" fontId="66" fillId="0" borderId="0" xfId="111" applyFont="1" applyBorder="1">
      <alignment horizontal="right" vertical="center"/>
    </xf>
    <xf numFmtId="0" fontId="66" fillId="0" borderId="21" xfId="0" applyFont="1" applyBorder="1"/>
    <xf numFmtId="0" fontId="66" fillId="0" borderId="22" xfId="0" applyFont="1" applyBorder="1"/>
    <xf numFmtId="165" fontId="66" fillId="0" borderId="22" xfId="111" applyFont="1" applyBorder="1">
      <alignment horizontal="right" vertical="center"/>
    </xf>
    <xf numFmtId="0" fontId="66" fillId="0" borderId="23" xfId="0" applyFont="1" applyBorder="1"/>
    <xf numFmtId="0" fontId="66" fillId="27" borderId="19" xfId="0" applyFont="1" applyFill="1" applyBorder="1" applyAlignment="1">
      <alignment vertical="center"/>
    </xf>
    <xf numFmtId="0" fontId="66" fillId="0" borderId="0" xfId="167" applyFont="1" applyFill="1">
      <alignment vertical="center"/>
    </xf>
    <xf numFmtId="0" fontId="75" fillId="27" borderId="0" xfId="0" applyFont="1" applyFill="1" applyAlignment="1">
      <alignment vertical="center"/>
    </xf>
    <xf numFmtId="0" fontId="66" fillId="27" borderId="0" xfId="0" applyFont="1" applyFill="1" applyAlignment="1">
      <alignment vertical="center"/>
    </xf>
    <xf numFmtId="0" fontId="66" fillId="27" borderId="19" xfId="0" applyFont="1" applyFill="1" applyBorder="1"/>
    <xf numFmtId="0" fontId="75" fillId="27" borderId="0" xfId="0" applyFont="1" applyFill="1"/>
    <xf numFmtId="0" fontId="66" fillId="27" borderId="20" xfId="0" applyFont="1" applyFill="1" applyBorder="1"/>
    <xf numFmtId="0" fontId="55" fillId="0" borderId="0" xfId="140" applyFont="1"/>
    <xf numFmtId="0" fontId="66" fillId="0" borderId="0" xfId="168" applyFont="1" applyFill="1">
      <alignment vertical="center"/>
    </xf>
    <xf numFmtId="0" fontId="66" fillId="27" borderId="21" xfId="0" applyFont="1" applyFill="1" applyBorder="1"/>
    <xf numFmtId="0" fontId="66" fillId="27" borderId="22" xfId="0" applyFont="1" applyFill="1" applyBorder="1"/>
    <xf numFmtId="0" fontId="75" fillId="27" borderId="22" xfId="0" applyFont="1" applyFill="1" applyBorder="1"/>
    <xf numFmtId="0" fontId="66" fillId="27" borderId="23" xfId="0" applyFont="1" applyFill="1" applyBorder="1"/>
    <xf numFmtId="0" fontId="65" fillId="0" borderId="19" xfId="138" applyFont="1" applyFill="1" applyBorder="1" applyAlignment="1">
      <alignment horizontal="left" vertical="center" indent="1"/>
    </xf>
    <xf numFmtId="0" fontId="56" fillId="36" borderId="30" xfId="139" applyFont="1" applyFill="1" applyBorder="1" applyAlignment="1" applyProtection="1">
      <alignment horizontal="left" indent="1"/>
    </xf>
    <xf numFmtId="10" fontId="66" fillId="27" borderId="0" xfId="101" applyNumberFormat="1" applyFont="1" applyFill="1" applyBorder="1" applyProtection="1"/>
    <xf numFmtId="0" fontId="65" fillId="0" borderId="0" xfId="0" applyFont="1" applyAlignment="1">
      <alignment horizontal="right" wrapText="1"/>
    </xf>
    <xf numFmtId="10" fontId="66" fillId="29" borderId="33" xfId="0" applyNumberFormat="1" applyFont="1" applyFill="1" applyBorder="1"/>
    <xf numFmtId="10" fontId="66" fillId="29" borderId="34" xfId="0" applyNumberFormat="1" applyFont="1" applyFill="1" applyBorder="1"/>
    <xf numFmtId="0" fontId="56" fillId="36" borderId="16" xfId="139" applyFont="1" applyFill="1" applyBorder="1" applyAlignment="1" applyProtection="1">
      <alignment horizontal="left" indent="1"/>
    </xf>
    <xf numFmtId="0" fontId="56" fillId="36" borderId="17" xfId="139" applyFont="1" applyFill="1" applyBorder="1" applyAlignment="1" applyProtection="1">
      <alignment horizontal="left" indent="1"/>
    </xf>
    <xf numFmtId="0" fontId="56" fillId="36" borderId="0" xfId="139" applyFont="1" applyFill="1" applyBorder="1" applyAlignment="1" applyProtection="1">
      <alignment horizontal="left" indent="1"/>
    </xf>
    <xf numFmtId="184" fontId="66" fillId="29" borderId="34" xfId="0" applyNumberFormat="1" applyFont="1" applyFill="1" applyBorder="1"/>
    <xf numFmtId="179" fontId="66" fillId="29" borderId="35" xfId="0" applyNumberFormat="1" applyFont="1" applyFill="1" applyBorder="1"/>
    <xf numFmtId="10" fontId="70" fillId="29" borderId="8" xfId="0" applyNumberFormat="1" applyFont="1" applyFill="1" applyBorder="1"/>
    <xf numFmtId="0" fontId="66" fillId="24" borderId="0" xfId="0" applyFont="1" applyFill="1"/>
    <xf numFmtId="0" fontId="77" fillId="0" borderId="0" xfId="72" applyFont="1" applyFill="1" applyBorder="1">
      <alignment vertical="center"/>
    </xf>
    <xf numFmtId="0" fontId="79" fillId="29" borderId="0" xfId="0" applyFont="1" applyFill="1" applyAlignment="1">
      <alignment vertical="top"/>
    </xf>
    <xf numFmtId="165" fontId="66" fillId="32" borderId="25" xfId="111" applyFont="1" applyFill="1" applyBorder="1" applyProtection="1">
      <alignment horizontal="right" vertical="center"/>
      <protection locked="0"/>
    </xf>
    <xf numFmtId="0" fontId="66" fillId="0" borderId="22" xfId="0" applyFont="1" applyBorder="1" applyProtection="1">
      <protection locked="0"/>
    </xf>
    <xf numFmtId="10" fontId="66" fillId="0" borderId="0" xfId="111" applyNumberFormat="1" applyFont="1" applyBorder="1">
      <alignment horizontal="right" vertical="center"/>
    </xf>
    <xf numFmtId="183" fontId="66" fillId="0" borderId="0" xfId="111" applyNumberFormat="1" applyFont="1" applyBorder="1">
      <alignment horizontal="right" vertical="center"/>
    </xf>
    <xf numFmtId="182" fontId="66" fillId="0" borderId="0" xfId="111" applyNumberFormat="1" applyFont="1" applyBorder="1">
      <alignment horizontal="right" vertical="center"/>
    </xf>
    <xf numFmtId="182" fontId="66" fillId="33" borderId="0" xfId="111" applyNumberFormat="1" applyFont="1" applyFill="1" applyBorder="1">
      <alignment horizontal="right" vertical="center"/>
    </xf>
    <xf numFmtId="182" fontId="66" fillId="27" borderId="0" xfId="111" applyNumberFormat="1" applyFont="1" applyFill="1" applyBorder="1">
      <alignment horizontal="right" vertical="center"/>
    </xf>
    <xf numFmtId="10" fontId="66" fillId="27" borderId="0" xfId="111" applyNumberFormat="1" applyFont="1" applyFill="1" applyBorder="1">
      <alignment horizontal="right" vertical="center"/>
    </xf>
    <xf numFmtId="10" fontId="66" fillId="0" borderId="0" xfId="111" applyNumberFormat="1" applyFont="1" applyFill="1" applyBorder="1">
      <alignment horizontal="right" vertical="center"/>
    </xf>
    <xf numFmtId="174" fontId="66" fillId="0" borderId="0" xfId="111" applyNumberFormat="1" applyFont="1" applyFill="1" applyBorder="1">
      <alignment horizontal="right" vertical="center"/>
    </xf>
    <xf numFmtId="174" fontId="86" fillId="0" borderId="0" xfId="111" applyNumberFormat="1" applyFont="1" applyFill="1" applyBorder="1" applyAlignment="1">
      <alignment horizontal="left" vertical="center"/>
    </xf>
    <xf numFmtId="174" fontId="66" fillId="0" borderId="0" xfId="111" applyNumberFormat="1" applyFont="1" applyBorder="1">
      <alignment horizontal="right" vertical="center"/>
    </xf>
    <xf numFmtId="165" fontId="66" fillId="27" borderId="0" xfId="111" applyFont="1" applyFill="1" applyBorder="1">
      <alignment horizontal="right" vertical="center"/>
    </xf>
    <xf numFmtId="165" fontId="66" fillId="0" borderId="0" xfId="111" applyFont="1" applyFill="1" applyBorder="1">
      <alignment horizontal="right" vertical="center"/>
    </xf>
    <xf numFmtId="188" fontId="66" fillId="27" borderId="0" xfId="111" applyNumberFormat="1" applyFont="1" applyFill="1" applyBorder="1">
      <alignment horizontal="right" vertical="center"/>
    </xf>
    <xf numFmtId="174" fontId="70" fillId="0" borderId="0" xfId="111" applyNumberFormat="1" applyFont="1" applyBorder="1">
      <alignment horizontal="right" vertical="center"/>
    </xf>
    <xf numFmtId="0" fontId="65" fillId="0" borderId="0" xfId="0" applyFont="1"/>
    <xf numFmtId="165" fontId="70" fillId="0" borderId="0" xfId="111" applyFont="1" applyBorder="1">
      <alignment horizontal="right" vertical="center"/>
    </xf>
    <xf numFmtId="172" fontId="70" fillId="0" borderId="0" xfId="111" applyNumberFormat="1" applyFont="1" applyBorder="1">
      <alignment horizontal="right" vertical="center"/>
    </xf>
    <xf numFmtId="0" fontId="65" fillId="27" borderId="0" xfId="0" applyFont="1" applyFill="1"/>
    <xf numFmtId="165" fontId="70" fillId="0" borderId="32" xfId="111" applyFont="1" applyBorder="1">
      <alignment horizontal="right" vertical="center"/>
    </xf>
    <xf numFmtId="0" fontId="66" fillId="27" borderId="17" xfId="0" applyFont="1" applyFill="1" applyBorder="1"/>
    <xf numFmtId="165" fontId="66" fillId="27" borderId="22" xfId="111" applyFont="1" applyFill="1" applyBorder="1">
      <alignment horizontal="right" vertical="center"/>
    </xf>
    <xf numFmtId="165" fontId="66" fillId="32" borderId="26" xfId="111" applyFont="1" applyFill="1" applyBorder="1" applyProtection="1">
      <alignment horizontal="right" vertical="center"/>
      <protection locked="0"/>
    </xf>
    <xf numFmtId="165" fontId="66" fillId="32" borderId="13" xfId="111" applyFont="1" applyFill="1" applyBorder="1" applyProtection="1">
      <alignment horizontal="right" vertical="center"/>
      <protection locked="0"/>
    </xf>
    <xf numFmtId="170" fontId="66" fillId="32" borderId="24" xfId="111" applyNumberFormat="1" applyFont="1" applyFill="1" applyBorder="1" applyProtection="1">
      <alignment horizontal="right" vertical="center"/>
      <protection locked="0"/>
    </xf>
    <xf numFmtId="170" fontId="66" fillId="32" borderId="25" xfId="111" applyNumberFormat="1" applyFont="1" applyFill="1" applyBorder="1" applyProtection="1">
      <alignment horizontal="right" vertical="center"/>
      <protection locked="0"/>
    </xf>
    <xf numFmtId="170" fontId="66" fillId="32" borderId="26" xfId="111" applyNumberFormat="1" applyFont="1" applyFill="1" applyBorder="1" applyProtection="1">
      <alignment horizontal="right" vertical="center"/>
      <protection locked="0"/>
    </xf>
    <xf numFmtId="174" fontId="66" fillId="32" borderId="31" xfId="111" applyNumberFormat="1" applyFont="1" applyFill="1" applyBorder="1" applyProtection="1">
      <alignment horizontal="right" vertical="center"/>
      <protection locked="0"/>
    </xf>
    <xf numFmtId="174" fontId="66" fillId="32" borderId="13" xfId="111" applyNumberFormat="1" applyFont="1" applyFill="1" applyBorder="1" applyProtection="1">
      <alignment horizontal="right" vertical="center"/>
      <protection locked="0"/>
    </xf>
    <xf numFmtId="174" fontId="66" fillId="32" borderId="15" xfId="111" applyNumberFormat="1" applyFont="1" applyFill="1" applyBorder="1" applyProtection="1">
      <alignment horizontal="right" vertical="center"/>
      <protection locked="0"/>
    </xf>
    <xf numFmtId="0" fontId="65" fillId="0" borderId="30" xfId="138" applyFont="1" applyFill="1" applyBorder="1" applyAlignment="1">
      <alignment horizontal="left" vertical="center" indent="1"/>
    </xf>
    <xf numFmtId="0" fontId="78" fillId="0" borderId="0" xfId="0" applyFont="1"/>
    <xf numFmtId="0" fontId="102" fillId="29" borderId="98" xfId="0" applyFont="1" applyFill="1" applyBorder="1" applyAlignment="1">
      <alignment horizontal="right" indent="1"/>
    </xf>
    <xf numFmtId="0" fontId="102" fillId="29" borderId="0" xfId="0" applyFont="1" applyFill="1" applyAlignment="1">
      <alignment horizontal="center"/>
    </xf>
    <xf numFmtId="0" fontId="70" fillId="29" borderId="99" xfId="0" applyFont="1" applyFill="1" applyBorder="1"/>
    <xf numFmtId="0" fontId="78" fillId="29" borderId="98" xfId="0" applyFont="1" applyFill="1" applyBorder="1"/>
    <xf numFmtId="0" fontId="78" fillId="29" borderId="0" xfId="0" applyFont="1" applyFill="1" applyAlignment="1">
      <alignment horizontal="center"/>
    </xf>
    <xf numFmtId="172" fontId="75" fillId="27" borderId="0" xfId="112" applyNumberFormat="1" applyFont="1" applyFill="1" applyBorder="1" applyAlignment="1">
      <alignment horizontal="left" vertical="center"/>
    </xf>
    <xf numFmtId="172" fontId="91" fillId="27" borderId="0" xfId="112" applyNumberFormat="1" applyFont="1" applyFill="1" applyBorder="1">
      <alignment horizontal="right" vertical="center"/>
    </xf>
    <xf numFmtId="172" fontId="91" fillId="27" borderId="65" xfId="112" applyNumberFormat="1" applyFont="1" applyFill="1" applyBorder="1">
      <alignment horizontal="right" vertical="center"/>
    </xf>
    <xf numFmtId="172" fontId="91" fillId="27" borderId="66" xfId="112" applyNumberFormat="1" applyFont="1" applyFill="1" applyBorder="1">
      <alignment horizontal="right" vertical="center"/>
    </xf>
    <xf numFmtId="172" fontId="91" fillId="27" borderId="67" xfId="112" applyNumberFormat="1" applyFont="1" applyFill="1" applyBorder="1">
      <alignment horizontal="right" vertical="center"/>
    </xf>
    <xf numFmtId="181" fontId="91" fillId="27" borderId="0" xfId="112" applyNumberFormat="1" applyFont="1" applyFill="1" applyBorder="1">
      <alignment horizontal="right" vertical="center"/>
    </xf>
    <xf numFmtId="173" fontId="66" fillId="32" borderId="24" xfId="102" applyNumberFormat="1" applyFont="1" applyFill="1" applyBorder="1" applyProtection="1">
      <protection locked="0"/>
    </xf>
    <xf numFmtId="173" fontId="66" fillId="32" borderId="25" xfId="102" applyNumberFormat="1" applyFont="1" applyFill="1" applyBorder="1" applyProtection="1">
      <protection locked="0"/>
    </xf>
    <xf numFmtId="173" fontId="66" fillId="32" borderId="26" xfId="102" applyNumberFormat="1" applyFont="1" applyFill="1" applyBorder="1" applyProtection="1">
      <protection locked="0"/>
    </xf>
    <xf numFmtId="0" fontId="66" fillId="32" borderId="25" xfId="0" applyFont="1" applyFill="1" applyBorder="1" applyProtection="1">
      <protection locked="0"/>
    </xf>
    <xf numFmtId="0" fontId="66" fillId="32" borderId="26" xfId="0" applyFont="1" applyFill="1" applyBorder="1" applyProtection="1">
      <protection locked="0"/>
    </xf>
    <xf numFmtId="172" fontId="66" fillId="32" borderId="24" xfId="114" applyNumberFormat="1" applyFont="1" applyFill="1" applyBorder="1" applyAlignment="1" applyProtection="1">
      <alignment horizontal="left" vertical="center" indent="1"/>
      <protection locked="0"/>
    </xf>
    <xf numFmtId="0" fontId="66" fillId="32" borderId="25" xfId="38" applyFont="1" applyFill="1" applyBorder="1">
      <alignment vertical="center"/>
      <protection locked="0"/>
    </xf>
    <xf numFmtId="0" fontId="66" fillId="32" borderId="26" xfId="38" applyFont="1" applyFill="1" applyBorder="1">
      <alignment vertical="center"/>
      <protection locked="0"/>
    </xf>
    <xf numFmtId="0" fontId="87" fillId="0" borderId="0" xfId="0" applyFont="1" applyProtection="1">
      <protection locked="0"/>
    </xf>
    <xf numFmtId="172" fontId="66" fillId="32" borderId="33" xfId="114" applyNumberFormat="1" applyFont="1" applyFill="1" applyBorder="1" applyAlignment="1" applyProtection="1">
      <alignment vertical="center"/>
      <protection locked="0"/>
    </xf>
    <xf numFmtId="172" fontId="66" fillId="32" borderId="34" xfId="114" applyNumberFormat="1" applyFont="1" applyFill="1" applyBorder="1" applyAlignment="1" applyProtection="1">
      <alignment vertical="center"/>
      <protection locked="0"/>
    </xf>
    <xf numFmtId="172" fontId="66" fillId="32" borderId="35" xfId="114" applyNumberFormat="1" applyFont="1" applyFill="1" applyBorder="1" applyAlignment="1" applyProtection="1">
      <alignment vertical="center"/>
      <protection locked="0"/>
    </xf>
    <xf numFmtId="0" fontId="66" fillId="32" borderId="8" xfId="37" applyFont="1" applyFill="1" applyBorder="1" applyAlignment="1">
      <alignment horizontal="left" vertical="center"/>
      <protection locked="0"/>
    </xf>
    <xf numFmtId="172" fontId="66" fillId="32" borderId="27" xfId="114" applyNumberFormat="1" applyFont="1" applyFill="1" applyBorder="1" applyAlignment="1" applyProtection="1">
      <alignment vertical="center"/>
      <protection locked="0"/>
    </xf>
    <xf numFmtId="172" fontId="66" fillId="32" borderId="28" xfId="114" applyNumberFormat="1" applyFont="1" applyFill="1" applyBorder="1" applyAlignment="1" applyProtection="1">
      <alignment vertical="center"/>
      <protection locked="0"/>
    </xf>
    <xf numFmtId="172" fontId="66" fillId="32" borderId="29" xfId="114" applyNumberFormat="1" applyFont="1" applyFill="1" applyBorder="1" applyAlignment="1" applyProtection="1">
      <alignment vertical="center"/>
      <protection locked="0"/>
    </xf>
    <xf numFmtId="172" fontId="66" fillId="32" borderId="30" xfId="114" applyNumberFormat="1" applyFont="1" applyFill="1" applyBorder="1" applyAlignment="1" applyProtection="1">
      <alignment vertical="center"/>
      <protection locked="0"/>
    </xf>
    <xf numFmtId="172" fontId="66" fillId="32" borderId="0" xfId="114" applyNumberFormat="1" applyFont="1" applyFill="1" applyBorder="1" applyAlignment="1" applyProtection="1">
      <alignment vertical="center"/>
      <protection locked="0"/>
    </xf>
    <xf numFmtId="172" fontId="66" fillId="32" borderId="14" xfId="114" applyNumberFormat="1" applyFont="1" applyFill="1" applyBorder="1" applyAlignment="1" applyProtection="1">
      <alignment vertical="center"/>
      <protection locked="0"/>
    </xf>
    <xf numFmtId="176" fontId="66" fillId="0" borderId="0" xfId="0" applyNumberFormat="1" applyFont="1"/>
    <xf numFmtId="0" fontId="71" fillId="0" borderId="13" xfId="103" applyFont="1" applyBorder="1" applyAlignment="1">
      <alignment horizontal="right" vertical="center"/>
    </xf>
    <xf numFmtId="0" fontId="66" fillId="27" borderId="16" xfId="0" applyFont="1" applyFill="1" applyBorder="1"/>
    <xf numFmtId="0" fontId="66" fillId="27" borderId="18" xfId="0" applyFont="1" applyFill="1" applyBorder="1"/>
    <xf numFmtId="0" fontId="65" fillId="27" borderId="0" xfId="72" applyFont="1" applyFill="1" applyBorder="1">
      <alignment vertical="center"/>
    </xf>
    <xf numFmtId="0" fontId="77" fillId="27" borderId="0" xfId="72" applyFont="1" applyFill="1" applyBorder="1">
      <alignment vertical="center"/>
    </xf>
    <xf numFmtId="0" fontId="66" fillId="27" borderId="0" xfId="141" applyFont="1" applyFill="1" applyBorder="1" applyAlignment="1">
      <alignment horizontal="left" vertical="center" indent="1"/>
    </xf>
    <xf numFmtId="0" fontId="66" fillId="27" borderId="0" xfId="142" applyFont="1" applyFill="1"/>
    <xf numFmtId="172" fontId="66" fillId="27" borderId="0" xfId="111" applyNumberFormat="1" applyFont="1" applyFill="1" applyBorder="1">
      <alignment horizontal="right" vertical="center"/>
    </xf>
    <xf numFmtId="172" fontId="66" fillId="27" borderId="32" xfId="111" applyNumberFormat="1" applyFont="1" applyFill="1" applyBorder="1">
      <alignment horizontal="right" vertical="center"/>
    </xf>
    <xf numFmtId="172" fontId="70" fillId="27" borderId="32" xfId="111" applyNumberFormat="1" applyFont="1" applyFill="1" applyBorder="1">
      <alignment horizontal="right" vertical="center"/>
    </xf>
    <xf numFmtId="0" fontId="87" fillId="27" borderId="0" xfId="142" applyFont="1" applyFill="1"/>
    <xf numFmtId="172" fontId="66" fillId="27" borderId="0" xfId="112" applyNumberFormat="1" applyFont="1" applyFill="1" applyBorder="1">
      <alignment horizontal="right" vertical="center"/>
    </xf>
    <xf numFmtId="172" fontId="70" fillId="27" borderId="32" xfId="112" applyNumberFormat="1" applyFont="1" applyFill="1" applyBorder="1">
      <alignment horizontal="right" vertical="center"/>
    </xf>
    <xf numFmtId="0" fontId="70" fillId="27" borderId="0" xfId="142" applyFont="1" applyFill="1"/>
    <xf numFmtId="172" fontId="80" fillId="27" borderId="0" xfId="112" applyNumberFormat="1" applyFont="1" applyFill="1" applyBorder="1">
      <alignment horizontal="right" vertical="center"/>
    </xf>
    <xf numFmtId="0" fontId="87" fillId="27" borderId="0" xfId="0" applyFont="1" applyFill="1"/>
    <xf numFmtId="172" fontId="80" fillId="27" borderId="65" xfId="112" applyNumberFormat="1" applyFont="1" applyFill="1" applyBorder="1">
      <alignment horizontal="right" vertical="center"/>
    </xf>
    <xf numFmtId="172" fontId="80" fillId="27" borderId="66" xfId="112" applyNumberFormat="1" applyFont="1" applyFill="1" applyBorder="1">
      <alignment horizontal="right" vertical="center"/>
    </xf>
    <xf numFmtId="172" fontId="80" fillId="27" borderId="67" xfId="112" applyNumberFormat="1" applyFont="1" applyFill="1" applyBorder="1">
      <alignment horizontal="right" vertical="center"/>
    </xf>
    <xf numFmtId="172" fontId="80" fillId="27" borderId="68" xfId="112" applyNumberFormat="1" applyFont="1" applyFill="1" applyBorder="1">
      <alignment horizontal="right" vertical="center"/>
    </xf>
    <xf numFmtId="172" fontId="80" fillId="27" borderId="69" xfId="112" applyNumberFormat="1" applyFont="1" applyFill="1" applyBorder="1">
      <alignment horizontal="right" vertical="center"/>
    </xf>
    <xf numFmtId="172" fontId="80" fillId="27" borderId="70" xfId="112" applyNumberFormat="1" applyFont="1" applyFill="1" applyBorder="1">
      <alignment horizontal="right" vertical="center"/>
    </xf>
    <xf numFmtId="0" fontId="87" fillId="27" borderId="19" xfId="0" applyFont="1" applyFill="1" applyBorder="1"/>
    <xf numFmtId="172" fontId="87" fillId="27" borderId="0" xfId="112" applyNumberFormat="1" applyFont="1" applyFill="1" applyBorder="1">
      <alignment horizontal="right" vertical="center"/>
    </xf>
    <xf numFmtId="181" fontId="92" fillId="27" borderId="0" xfId="112" applyNumberFormat="1" applyFont="1" applyFill="1" applyBorder="1">
      <alignment horizontal="right" vertical="center"/>
    </xf>
    <xf numFmtId="181" fontId="80" fillId="27" borderId="0" xfId="112" applyNumberFormat="1" applyFont="1" applyFill="1" applyBorder="1">
      <alignment horizontal="right" vertical="center"/>
    </xf>
    <xf numFmtId="0" fontId="87" fillId="27" borderId="20" xfId="0" applyFont="1" applyFill="1" applyBorder="1"/>
    <xf numFmtId="0" fontId="86" fillId="27" borderId="22" xfId="0" applyFont="1" applyFill="1" applyBorder="1"/>
    <xf numFmtId="0" fontId="93" fillId="27" borderId="22" xfId="0" applyFont="1" applyFill="1" applyBorder="1"/>
    <xf numFmtId="172" fontId="66" fillId="27" borderId="22" xfId="111" applyNumberFormat="1" applyFont="1" applyFill="1" applyBorder="1">
      <alignment horizontal="right" vertical="center"/>
    </xf>
    <xf numFmtId="172" fontId="66" fillId="0" borderId="0" xfId="111" applyNumberFormat="1" applyFont="1">
      <alignment horizontal="right" vertical="center"/>
    </xf>
    <xf numFmtId="172" fontId="66" fillId="25" borderId="0" xfId="111" applyNumberFormat="1" applyFont="1" applyFill="1">
      <alignment horizontal="right" vertical="center"/>
    </xf>
    <xf numFmtId="0" fontId="65" fillId="0" borderId="0" xfId="72" applyFont="1">
      <alignment vertical="center"/>
    </xf>
    <xf numFmtId="172" fontId="66" fillId="0" borderId="0" xfId="111" applyNumberFormat="1" applyFont="1" applyFill="1" applyBorder="1">
      <alignment horizontal="right" vertical="center"/>
    </xf>
    <xf numFmtId="10" fontId="66" fillId="0" borderId="0" xfId="101" applyNumberFormat="1" applyFont="1" applyProtection="1"/>
    <xf numFmtId="0" fontId="65" fillId="0" borderId="0" xfId="74" applyFont="1" applyFill="1">
      <alignment vertical="center"/>
    </xf>
    <xf numFmtId="172" fontId="66" fillId="24" borderId="0" xfId="111" applyNumberFormat="1" applyFont="1" applyFill="1">
      <alignment horizontal="right" vertical="center"/>
    </xf>
    <xf numFmtId="172" fontId="66" fillId="0" borderId="0" xfId="111" applyNumberFormat="1" applyFont="1" applyFill="1">
      <alignment horizontal="right" vertical="center"/>
    </xf>
    <xf numFmtId="0" fontId="66" fillId="0" borderId="0" xfId="78" applyFont="1" applyFill="1">
      <alignment vertical="center"/>
    </xf>
    <xf numFmtId="172" fontId="66" fillId="27" borderId="27" xfId="111" applyNumberFormat="1" applyFont="1" applyFill="1" applyBorder="1">
      <alignment horizontal="right" vertical="center"/>
    </xf>
    <xf numFmtId="172" fontId="66" fillId="27" borderId="28" xfId="111" applyNumberFormat="1" applyFont="1" applyFill="1" applyBorder="1">
      <alignment horizontal="right" vertical="center"/>
    </xf>
    <xf numFmtId="172" fontId="66" fillId="27" borderId="30" xfId="111" applyNumberFormat="1" applyFont="1" applyFill="1" applyBorder="1">
      <alignment horizontal="right" vertical="center"/>
    </xf>
    <xf numFmtId="172" fontId="66" fillId="27" borderId="31" xfId="111" applyNumberFormat="1" applyFont="1" applyFill="1" applyBorder="1">
      <alignment horizontal="right" vertical="center"/>
    </xf>
    <xf numFmtId="172" fontId="66" fillId="27" borderId="13" xfId="111" applyNumberFormat="1" applyFont="1" applyFill="1" applyBorder="1">
      <alignment horizontal="right" vertical="center"/>
    </xf>
    <xf numFmtId="0" fontId="77" fillId="0" borderId="0" xfId="74" applyFont="1" applyFill="1">
      <alignment vertical="center"/>
    </xf>
    <xf numFmtId="0" fontId="65" fillId="27" borderId="0" xfId="74" applyFont="1" applyFill="1">
      <alignment vertical="center"/>
    </xf>
    <xf numFmtId="0" fontId="77" fillId="27" borderId="0" xfId="74" applyFont="1" applyFill="1">
      <alignment vertical="center"/>
    </xf>
    <xf numFmtId="172" fontId="66" fillId="24" borderId="0" xfId="111" applyNumberFormat="1" applyFont="1" applyFill="1" applyBorder="1">
      <alignment horizontal="right" vertical="center"/>
    </xf>
    <xf numFmtId="172" fontId="66" fillId="27" borderId="24" xfId="111" applyNumberFormat="1" applyFont="1" applyFill="1" applyBorder="1">
      <alignment horizontal="right" vertical="center"/>
    </xf>
    <xf numFmtId="172" fontId="66" fillId="27" borderId="25" xfId="111" applyNumberFormat="1" applyFont="1" applyFill="1" applyBorder="1">
      <alignment horizontal="right" vertical="center"/>
    </xf>
    <xf numFmtId="172" fontId="66" fillId="27" borderId="26" xfId="111" applyNumberFormat="1" applyFont="1" applyFill="1" applyBorder="1">
      <alignment horizontal="right" vertical="center"/>
    </xf>
    <xf numFmtId="0" fontId="94" fillId="0" borderId="0" xfId="78" applyFont="1" applyFill="1">
      <alignment vertical="center"/>
    </xf>
    <xf numFmtId="165" fontId="66" fillId="27" borderId="0" xfId="111" applyFont="1" applyFill="1">
      <alignment horizontal="right" vertical="center"/>
    </xf>
    <xf numFmtId="165" fontId="66" fillId="0" borderId="0" xfId="111" applyFont="1">
      <alignment horizontal="right" vertical="center"/>
    </xf>
    <xf numFmtId="0" fontId="66" fillId="27" borderId="29" xfId="0" applyFont="1" applyFill="1" applyBorder="1"/>
    <xf numFmtId="0" fontId="66" fillId="27" borderId="13" xfId="0" applyFont="1" applyFill="1" applyBorder="1"/>
    <xf numFmtId="0" fontId="66" fillId="27" borderId="15" xfId="0" applyFont="1" applyFill="1" applyBorder="1"/>
    <xf numFmtId="0" fontId="76" fillId="27" borderId="0" xfId="74" applyFont="1" applyFill="1" applyBorder="1">
      <alignment vertical="center"/>
    </xf>
    <xf numFmtId="0" fontId="66" fillId="30" borderId="0" xfId="0" applyFont="1" applyFill="1"/>
    <xf numFmtId="0" fontId="66" fillId="29" borderId="0" xfId="0" applyFont="1" applyFill="1"/>
    <xf numFmtId="0" fontId="66" fillId="29" borderId="13" xfId="0" applyFont="1" applyFill="1" applyBorder="1"/>
    <xf numFmtId="172" fontId="66" fillId="32" borderId="27" xfId="111" applyNumberFormat="1" applyFont="1" applyFill="1" applyBorder="1" applyProtection="1">
      <alignment horizontal="right" vertical="center"/>
      <protection locked="0"/>
    </xf>
    <xf numFmtId="172" fontId="66" fillId="32" borderId="28" xfId="111" applyNumberFormat="1" applyFont="1" applyFill="1" applyBorder="1" applyProtection="1">
      <alignment horizontal="right" vertical="center"/>
      <protection locked="0"/>
    </xf>
    <xf numFmtId="172" fontId="66" fillId="32" borderId="29" xfId="111" applyNumberFormat="1" applyFont="1" applyFill="1" applyBorder="1" applyProtection="1">
      <alignment horizontal="right" vertical="center"/>
      <protection locked="0"/>
    </xf>
    <xf numFmtId="172" fontId="66" fillId="32" borderId="30" xfId="111" applyNumberFormat="1" applyFont="1" applyFill="1" applyBorder="1" applyProtection="1">
      <alignment horizontal="right" vertical="center"/>
      <protection locked="0"/>
    </xf>
    <xf numFmtId="172" fontId="66" fillId="32" borderId="0" xfId="111" applyNumberFormat="1" applyFont="1" applyFill="1" applyBorder="1" applyProtection="1">
      <alignment horizontal="right" vertical="center"/>
      <protection locked="0"/>
    </xf>
    <xf numFmtId="172" fontId="66" fillId="32" borderId="14" xfId="111" applyNumberFormat="1" applyFont="1" applyFill="1" applyBorder="1" applyProtection="1">
      <alignment horizontal="right" vertical="center"/>
      <protection locked="0"/>
    </xf>
    <xf numFmtId="172" fontId="66" fillId="32" borderId="31" xfId="111" applyNumberFormat="1" applyFont="1" applyFill="1" applyBorder="1" applyProtection="1">
      <alignment horizontal="right" vertical="center"/>
      <protection locked="0"/>
    </xf>
    <xf numFmtId="172" fontId="66" fillId="32" borderId="13" xfId="111" applyNumberFormat="1" applyFont="1" applyFill="1" applyBorder="1" applyProtection="1">
      <alignment horizontal="right" vertical="center"/>
      <protection locked="0"/>
    </xf>
    <xf numFmtId="172" fontId="66" fillId="32" borderId="15" xfId="111" applyNumberFormat="1" applyFont="1" applyFill="1" applyBorder="1" applyProtection="1">
      <alignment horizontal="right" vertical="center"/>
      <protection locked="0"/>
    </xf>
    <xf numFmtId="172" fontId="66" fillId="32" borderId="24" xfId="111" applyNumberFormat="1" applyFont="1" applyFill="1" applyBorder="1" applyProtection="1">
      <alignment horizontal="right" vertical="center"/>
      <protection locked="0"/>
    </xf>
    <xf numFmtId="172" fontId="66" fillId="32" borderId="25" xfId="111" applyNumberFormat="1" applyFont="1" applyFill="1" applyBorder="1" applyProtection="1">
      <alignment horizontal="right" vertical="center"/>
      <protection locked="0"/>
    </xf>
    <xf numFmtId="172" fontId="66" fillId="32" borderId="26" xfId="111" applyNumberFormat="1" applyFont="1" applyFill="1" applyBorder="1" applyProtection="1">
      <alignment horizontal="right" vertical="center"/>
      <protection locked="0"/>
    </xf>
    <xf numFmtId="172" fontId="66" fillId="32" borderId="8" xfId="111" applyNumberFormat="1" applyFont="1" applyFill="1" applyBorder="1" applyProtection="1">
      <alignment horizontal="right" vertical="center"/>
      <protection locked="0"/>
    </xf>
    <xf numFmtId="2" fontId="66" fillId="32" borderId="27" xfId="0" applyNumberFormat="1" applyFont="1" applyFill="1" applyBorder="1" applyProtection="1">
      <protection locked="0"/>
    </xf>
    <xf numFmtId="2" fontId="66" fillId="32" borderId="28" xfId="0" applyNumberFormat="1" applyFont="1" applyFill="1" applyBorder="1" applyProtection="1">
      <protection locked="0"/>
    </xf>
    <xf numFmtId="2" fontId="66" fillId="32" borderId="29" xfId="0" applyNumberFormat="1" applyFont="1" applyFill="1" applyBorder="1" applyProtection="1">
      <protection locked="0"/>
    </xf>
    <xf numFmtId="2" fontId="66" fillId="32" borderId="30" xfId="0" applyNumberFormat="1" applyFont="1" applyFill="1" applyBorder="1" applyProtection="1">
      <protection locked="0"/>
    </xf>
    <xf numFmtId="2" fontId="66" fillId="32" borderId="0" xfId="0" applyNumberFormat="1" applyFont="1" applyFill="1" applyProtection="1">
      <protection locked="0"/>
    </xf>
    <xf numFmtId="2" fontId="66" fillId="32" borderId="14" xfId="0" applyNumberFormat="1" applyFont="1" applyFill="1" applyBorder="1" applyProtection="1">
      <protection locked="0"/>
    </xf>
    <xf numFmtId="2" fontId="66" fillId="32" borderId="31" xfId="0" applyNumberFormat="1" applyFont="1" applyFill="1" applyBorder="1" applyProtection="1">
      <protection locked="0"/>
    </xf>
    <xf numFmtId="2" fontId="66" fillId="32" borderId="13" xfId="0" applyNumberFormat="1" applyFont="1" applyFill="1" applyBorder="1" applyProtection="1">
      <protection locked="0"/>
    </xf>
    <xf numFmtId="2" fontId="66" fillId="32" borderId="15" xfId="0" applyNumberFormat="1" applyFont="1" applyFill="1" applyBorder="1" applyProtection="1">
      <protection locked="0"/>
    </xf>
    <xf numFmtId="0" fontId="66" fillId="32" borderId="8" xfId="0" applyFont="1" applyFill="1" applyBorder="1" applyAlignment="1" applyProtection="1">
      <alignment horizontal="center" vertical="center"/>
      <protection locked="0"/>
    </xf>
    <xf numFmtId="0" fontId="66" fillId="0" borderId="0" xfId="143" applyFont="1"/>
    <xf numFmtId="0" fontId="59" fillId="0" borderId="0" xfId="82" applyFont="1" applyAlignment="1" applyProtection="1">
      <alignment vertical="center"/>
    </xf>
    <xf numFmtId="0" fontId="66" fillId="27" borderId="16" xfId="143" applyFont="1" applyFill="1" applyBorder="1"/>
    <xf numFmtId="0" fontId="66" fillId="27" borderId="17" xfId="143" applyFont="1" applyFill="1" applyBorder="1"/>
    <xf numFmtId="0" fontId="66" fillId="27" borderId="19" xfId="143" applyFont="1" applyFill="1" applyBorder="1"/>
    <xf numFmtId="0" fontId="66" fillId="27" borderId="25" xfId="0" applyFont="1" applyFill="1" applyBorder="1"/>
    <xf numFmtId="0" fontId="66" fillId="27" borderId="0" xfId="143" applyFont="1" applyFill="1"/>
    <xf numFmtId="0" fontId="70" fillId="27" borderId="28" xfId="0" applyFont="1" applyFill="1" applyBorder="1" applyAlignment="1">
      <alignment horizontal="center"/>
    </xf>
    <xf numFmtId="0" fontId="65" fillId="27" borderId="0" xfId="103" applyFont="1" applyFill="1" applyBorder="1" applyAlignment="1">
      <alignment horizontal="right" vertical="center"/>
    </xf>
    <xf numFmtId="0" fontId="65" fillId="27" borderId="0" xfId="144" applyFont="1" applyFill="1"/>
    <xf numFmtId="0" fontId="66" fillId="27" borderId="0" xfId="144" applyFont="1" applyFill="1" applyAlignment="1">
      <alignment horizontal="left" indent="1"/>
    </xf>
    <xf numFmtId="2" fontId="66" fillId="27" borderId="0" xfId="143" applyNumberFormat="1" applyFont="1" applyFill="1"/>
    <xf numFmtId="0" fontId="70" fillId="27" borderId="0" xfId="144" applyFont="1" applyFill="1"/>
    <xf numFmtId="0" fontId="66" fillId="27" borderId="0" xfId="143" applyFont="1" applyFill="1" applyAlignment="1">
      <alignment horizontal="left" indent="1"/>
    </xf>
    <xf numFmtId="2" fontId="80" fillId="0" borderId="65" xfId="0" applyNumberFormat="1" applyFont="1" applyBorder="1"/>
    <xf numFmtId="2" fontId="80" fillId="0" borderId="66" xfId="0" applyNumberFormat="1" applyFont="1" applyBorder="1"/>
    <xf numFmtId="0" fontId="66" fillId="27" borderId="0" xfId="143" applyFont="1" applyFill="1" applyAlignment="1">
      <alignment horizontal="right"/>
    </xf>
    <xf numFmtId="0" fontId="66" fillId="27" borderId="21" xfId="143" applyFont="1" applyFill="1" applyBorder="1"/>
    <xf numFmtId="0" fontId="70" fillId="27" borderId="22" xfId="0" applyFont="1" applyFill="1" applyBorder="1"/>
    <xf numFmtId="0" fontId="66" fillId="27" borderId="22" xfId="143" applyFont="1" applyFill="1" applyBorder="1"/>
    <xf numFmtId="2" fontId="66" fillId="27" borderId="22" xfId="143" applyNumberFormat="1" applyFont="1" applyFill="1" applyBorder="1"/>
    <xf numFmtId="173" fontId="66" fillId="0" borderId="0" xfId="101" applyNumberFormat="1" applyFont="1" applyProtection="1"/>
    <xf numFmtId="0" fontId="70" fillId="0" borderId="0" xfId="143" applyFont="1"/>
    <xf numFmtId="0" fontId="56" fillId="0" borderId="0" xfId="143" applyFont="1"/>
    <xf numFmtId="0" fontId="65" fillId="0" borderId="0" xfId="103" applyFont="1" applyBorder="1" applyAlignment="1">
      <alignment horizontal="right" vertical="top"/>
    </xf>
    <xf numFmtId="0" fontId="76" fillId="0" borderId="0" xfId="143" applyFont="1"/>
    <xf numFmtId="0" fontId="80" fillId="27" borderId="0" xfId="0" applyFont="1" applyFill="1"/>
    <xf numFmtId="0" fontId="80" fillId="0" borderId="0" xfId="143" applyFont="1"/>
    <xf numFmtId="0" fontId="56" fillId="0" borderId="16" xfId="143" applyFont="1" applyBorder="1" applyAlignment="1">
      <alignment vertical="top"/>
    </xf>
    <xf numFmtId="0" fontId="56" fillId="0" borderId="54" xfId="143" applyFont="1" applyBorder="1" applyAlignment="1">
      <alignment vertical="top"/>
    </xf>
    <xf numFmtId="0" fontId="56" fillId="0" borderId="56" xfId="143" applyFont="1" applyBorder="1" applyAlignment="1">
      <alignment vertical="top"/>
    </xf>
    <xf numFmtId="0" fontId="56" fillId="0" borderId="51" xfId="143" applyFont="1" applyBorder="1" applyAlignment="1">
      <alignment horizontal="center" vertical="top" wrapText="1"/>
    </xf>
    <xf numFmtId="0" fontId="66" fillId="0" borderId="0" xfId="143" applyFont="1" applyAlignment="1">
      <alignment vertical="top"/>
    </xf>
    <xf numFmtId="2" fontId="70" fillId="27" borderId="54" xfId="0" applyNumberFormat="1" applyFont="1" applyFill="1" applyBorder="1" applyAlignment="1">
      <alignment vertical="top"/>
    </xf>
    <xf numFmtId="2" fontId="70" fillId="27" borderId="55" xfId="0" applyNumberFormat="1" applyFont="1" applyFill="1" applyBorder="1" applyAlignment="1">
      <alignment vertical="top"/>
    </xf>
    <xf numFmtId="2" fontId="70" fillId="27" borderId="56" xfId="0" applyNumberFormat="1" applyFont="1" applyFill="1" applyBorder="1" applyAlignment="1">
      <alignment vertical="top"/>
    </xf>
    <xf numFmtId="172" fontId="66" fillId="29" borderId="74" xfId="112" applyNumberFormat="1" applyFont="1" applyFill="1" applyBorder="1">
      <alignment horizontal="right" vertical="center"/>
    </xf>
    <xf numFmtId="172" fontId="66" fillId="29" borderId="75" xfId="112" applyNumberFormat="1" applyFont="1" applyFill="1" applyBorder="1">
      <alignment horizontal="right" vertical="center"/>
    </xf>
    <xf numFmtId="172" fontId="66" fillId="29" borderId="76" xfId="112" applyNumberFormat="1" applyFont="1" applyFill="1" applyBorder="1">
      <alignment horizontal="right" vertical="center"/>
    </xf>
    <xf numFmtId="172" fontId="66" fillId="29" borderId="78" xfId="112" applyNumberFormat="1" applyFont="1" applyFill="1" applyBorder="1">
      <alignment horizontal="right" vertical="center"/>
    </xf>
    <xf numFmtId="172" fontId="66" fillId="29" borderId="8" xfId="112" applyNumberFormat="1" applyFont="1" applyFill="1" applyBorder="1">
      <alignment horizontal="right" vertical="center"/>
    </xf>
    <xf numFmtId="172" fontId="66" fillId="29" borderId="52" xfId="112" applyNumberFormat="1" applyFont="1" applyFill="1" applyBorder="1">
      <alignment horizontal="right" vertical="center"/>
    </xf>
    <xf numFmtId="172" fontId="66" fillId="29" borderId="81" xfId="112" applyNumberFormat="1" applyFont="1" applyFill="1" applyBorder="1">
      <alignment horizontal="right" vertical="center"/>
    </xf>
    <xf numFmtId="172" fontId="66" fillId="29" borderId="82" xfId="112" applyNumberFormat="1" applyFont="1" applyFill="1" applyBorder="1">
      <alignment horizontal="right" vertical="center"/>
    </xf>
    <xf numFmtId="172" fontId="66" fillId="29" borderId="83" xfId="112" applyNumberFormat="1" applyFont="1" applyFill="1" applyBorder="1">
      <alignment horizontal="right" vertical="center"/>
    </xf>
    <xf numFmtId="0" fontId="56" fillId="0" borderId="55" xfId="143" applyFont="1" applyBorder="1"/>
    <xf numFmtId="172" fontId="66" fillId="29" borderId="84" xfId="112" applyNumberFormat="1" applyFont="1" applyFill="1" applyBorder="1">
      <alignment horizontal="right" vertical="center"/>
    </xf>
    <xf numFmtId="172" fontId="66" fillId="29" borderId="35" xfId="112" applyNumberFormat="1" applyFont="1" applyFill="1" applyBorder="1">
      <alignment horizontal="right" vertical="center"/>
    </xf>
    <xf numFmtId="172" fontId="66" fillId="29" borderId="85" xfId="112" applyNumberFormat="1" applyFont="1" applyFill="1" applyBorder="1">
      <alignment horizontal="right" vertical="center"/>
    </xf>
    <xf numFmtId="0" fontId="66" fillId="32" borderId="71" xfId="143" applyFont="1" applyFill="1" applyBorder="1" applyProtection="1">
      <protection locked="0"/>
    </xf>
    <xf numFmtId="0" fontId="66" fillId="32" borderId="37" xfId="143" applyFont="1" applyFill="1" applyBorder="1" applyProtection="1">
      <protection locked="0"/>
    </xf>
    <xf numFmtId="0" fontId="66" fillId="32" borderId="72" xfId="143" applyFont="1" applyFill="1" applyBorder="1" applyProtection="1">
      <protection locked="0"/>
    </xf>
    <xf numFmtId="0" fontId="66" fillId="32" borderId="72" xfId="143" applyFont="1" applyFill="1" applyBorder="1" applyAlignment="1" applyProtection="1">
      <alignment horizontal="center"/>
      <protection locked="0"/>
    </xf>
    <xf numFmtId="0" fontId="66" fillId="32" borderId="77" xfId="143" applyFont="1" applyFill="1" applyBorder="1" applyProtection="1">
      <protection locked="0"/>
    </xf>
    <xf numFmtId="0" fontId="66" fillId="32" borderId="53" xfId="143" applyFont="1" applyFill="1" applyBorder="1" applyProtection="1">
      <protection locked="0"/>
    </xf>
    <xf numFmtId="0" fontId="66" fillId="32" borderId="45" xfId="143" applyFont="1" applyFill="1" applyBorder="1" applyProtection="1">
      <protection locked="0"/>
    </xf>
    <xf numFmtId="0" fontId="66" fillId="32" borderId="45" xfId="143" applyFont="1" applyFill="1" applyBorder="1" applyAlignment="1" applyProtection="1">
      <alignment horizontal="center"/>
      <protection locked="0"/>
    </xf>
    <xf numFmtId="0" fontId="66" fillId="32" borderId="79" xfId="143" applyFont="1" applyFill="1" applyBorder="1" applyProtection="1">
      <protection locked="0"/>
    </xf>
    <xf numFmtId="0" fontId="66" fillId="32" borderId="44" xfId="143" applyFont="1" applyFill="1" applyBorder="1" applyProtection="1">
      <protection locked="0"/>
    </xf>
    <xf numFmtId="0" fontId="66" fillId="32" borderId="80" xfId="143" applyFont="1" applyFill="1" applyBorder="1" applyProtection="1">
      <protection locked="0"/>
    </xf>
    <xf numFmtId="0" fontId="66" fillId="32" borderId="80" xfId="143" applyFont="1" applyFill="1" applyBorder="1" applyAlignment="1" applyProtection="1">
      <alignment horizontal="center"/>
      <protection locked="0"/>
    </xf>
    <xf numFmtId="0" fontId="56" fillId="0" borderId="0" xfId="143" applyFont="1" applyProtection="1">
      <protection locked="0"/>
    </xf>
    <xf numFmtId="0" fontId="66" fillId="32" borderId="71" xfId="143" applyFont="1" applyFill="1" applyBorder="1" applyAlignment="1" applyProtection="1">
      <alignment horizontal="center"/>
      <protection locked="0"/>
    </xf>
    <xf numFmtId="0" fontId="66" fillId="32" borderId="46" xfId="143" applyFont="1" applyFill="1" applyBorder="1" applyProtection="1">
      <protection locked="0"/>
    </xf>
    <xf numFmtId="0" fontId="66" fillId="32" borderId="77" xfId="143" applyFont="1" applyFill="1" applyBorder="1" applyAlignment="1" applyProtection="1">
      <alignment horizontal="center"/>
      <protection locked="0"/>
    </xf>
    <xf numFmtId="0" fontId="66" fillId="32" borderId="23" xfId="143" applyFont="1" applyFill="1" applyBorder="1" applyProtection="1">
      <protection locked="0"/>
    </xf>
    <xf numFmtId="0" fontId="66" fillId="32" borderId="79" xfId="143" applyFont="1" applyFill="1" applyBorder="1" applyAlignment="1" applyProtection="1">
      <alignment horizontal="center"/>
      <protection locked="0"/>
    </xf>
    <xf numFmtId="0" fontId="66" fillId="0" borderId="0" xfId="143" applyFont="1" applyProtection="1">
      <protection locked="0"/>
    </xf>
    <xf numFmtId="2" fontId="66" fillId="24" borderId="0" xfId="0" applyNumberFormat="1" applyFont="1" applyFill="1"/>
    <xf numFmtId="176" fontId="66" fillId="24" borderId="0" xfId="0" applyNumberFormat="1" applyFont="1" applyFill="1"/>
    <xf numFmtId="0" fontId="75" fillId="27" borderId="0" xfId="0" applyFont="1" applyFill="1" applyAlignment="1">
      <alignment horizontal="left"/>
    </xf>
    <xf numFmtId="0" fontId="66" fillId="24" borderId="13" xfId="0" applyFont="1" applyFill="1" applyBorder="1"/>
    <xf numFmtId="0" fontId="87" fillId="0" borderId="19" xfId="0" applyFont="1" applyBorder="1"/>
    <xf numFmtId="172" fontId="87" fillId="27" borderId="17" xfId="111" applyNumberFormat="1" applyFont="1" applyFill="1" applyBorder="1">
      <alignment horizontal="right" vertical="center"/>
    </xf>
    <xf numFmtId="172" fontId="87" fillId="27" borderId="0" xfId="111" applyNumberFormat="1" applyFont="1" applyFill="1" applyBorder="1">
      <alignment horizontal="right" vertical="center"/>
    </xf>
    <xf numFmtId="0" fontId="87" fillId="0" borderId="20" xfId="0" applyFont="1" applyBorder="1"/>
    <xf numFmtId="172" fontId="66" fillId="0" borderId="22" xfId="111" applyNumberFormat="1" applyFont="1" applyBorder="1">
      <alignment horizontal="right" vertical="center"/>
    </xf>
    <xf numFmtId="172" fontId="66" fillId="0" borderId="0" xfId="112" applyNumberFormat="1" applyFont="1">
      <alignment horizontal="right" vertical="center"/>
    </xf>
    <xf numFmtId="172" fontId="80" fillId="29" borderId="65" xfId="112" applyNumberFormat="1" applyFont="1" applyFill="1" applyBorder="1">
      <alignment horizontal="right" vertical="center"/>
    </xf>
    <xf numFmtId="172" fontId="80" fillId="29" borderId="66" xfId="112" applyNumberFormat="1" applyFont="1" applyFill="1" applyBorder="1">
      <alignment horizontal="right" vertical="center"/>
    </xf>
    <xf numFmtId="172" fontId="80" fillId="29" borderId="67" xfId="112" applyNumberFormat="1" applyFont="1" applyFill="1" applyBorder="1">
      <alignment horizontal="right" vertical="center"/>
    </xf>
    <xf numFmtId="172" fontId="80" fillId="29" borderId="68" xfId="112" applyNumberFormat="1" applyFont="1" applyFill="1" applyBorder="1">
      <alignment horizontal="right" vertical="center"/>
    </xf>
    <xf numFmtId="172" fontId="80" fillId="29" borderId="69" xfId="112" applyNumberFormat="1" applyFont="1" applyFill="1" applyBorder="1">
      <alignment horizontal="right" vertical="center"/>
    </xf>
    <xf numFmtId="172" fontId="80" fillId="29" borderId="70" xfId="112" applyNumberFormat="1" applyFont="1" applyFill="1" applyBorder="1">
      <alignment horizontal="right" vertical="center"/>
    </xf>
    <xf numFmtId="172" fontId="66" fillId="27" borderId="0" xfId="111" applyNumberFormat="1" applyFont="1" applyFill="1">
      <alignment horizontal="right" vertical="center"/>
    </xf>
    <xf numFmtId="172" fontId="66" fillId="29" borderId="27" xfId="111" applyNumberFormat="1" applyFont="1" applyFill="1" applyBorder="1">
      <alignment horizontal="right" vertical="center"/>
    </xf>
    <xf numFmtId="172" fontId="66" fillId="29" borderId="28" xfId="111" applyNumberFormat="1" applyFont="1" applyFill="1" applyBorder="1">
      <alignment horizontal="right" vertical="center"/>
    </xf>
    <xf numFmtId="172" fontId="66" fillId="29" borderId="29" xfId="111" applyNumberFormat="1" applyFont="1" applyFill="1" applyBorder="1">
      <alignment horizontal="right" vertical="center"/>
    </xf>
    <xf numFmtId="172" fontId="66" fillId="29" borderId="30" xfId="111" applyNumberFormat="1" applyFont="1" applyFill="1" applyBorder="1">
      <alignment horizontal="right" vertical="center"/>
    </xf>
    <xf numFmtId="172" fontId="66" fillId="29" borderId="0" xfId="111" applyNumberFormat="1" applyFont="1" applyFill="1" applyBorder="1">
      <alignment horizontal="right" vertical="center"/>
    </xf>
    <xf numFmtId="172" fontId="66" fillId="29" borderId="14" xfId="111" applyNumberFormat="1" applyFont="1" applyFill="1" applyBorder="1">
      <alignment horizontal="right" vertical="center"/>
    </xf>
    <xf numFmtId="172" fontId="66" fillId="29" borderId="31" xfId="111" applyNumberFormat="1" applyFont="1" applyFill="1" applyBorder="1">
      <alignment horizontal="right" vertical="center"/>
    </xf>
    <xf numFmtId="172" fontId="66" fillId="29" borderId="13" xfId="111" applyNumberFormat="1" applyFont="1" applyFill="1" applyBorder="1">
      <alignment horizontal="right" vertical="center"/>
    </xf>
    <xf numFmtId="172" fontId="66" fillId="29" borderId="15" xfId="111" applyNumberFormat="1" applyFont="1" applyFill="1" applyBorder="1">
      <alignment horizontal="right" vertical="center"/>
    </xf>
    <xf numFmtId="0" fontId="77" fillId="27" borderId="27" xfId="74" applyFont="1" applyFill="1" applyBorder="1">
      <alignment vertical="center"/>
    </xf>
    <xf numFmtId="0" fontId="65" fillId="27" borderId="0" xfId="74" applyFont="1" applyFill="1" applyBorder="1">
      <alignment vertical="center"/>
    </xf>
    <xf numFmtId="0" fontId="77" fillId="27" borderId="0" xfId="74" applyFont="1" applyFill="1" applyBorder="1">
      <alignment vertical="center"/>
    </xf>
    <xf numFmtId="0" fontId="66" fillId="27" borderId="0" xfId="78" applyFont="1" applyFill="1" applyBorder="1">
      <alignment vertical="center"/>
    </xf>
    <xf numFmtId="0" fontId="94" fillId="27" borderId="0" xfId="78" applyFont="1" applyFill="1" applyBorder="1">
      <alignment vertical="center"/>
    </xf>
    <xf numFmtId="0" fontId="66" fillId="27" borderId="31" xfId="0" applyFont="1" applyFill="1" applyBorder="1"/>
    <xf numFmtId="172" fontId="66" fillId="27" borderId="8" xfId="111" applyNumberFormat="1" applyFont="1" applyFill="1" applyBorder="1">
      <alignment horizontal="right" vertical="center"/>
    </xf>
    <xf numFmtId="0" fontId="66" fillId="0" borderId="0" xfId="78" applyFont="1" applyFill="1" applyBorder="1">
      <alignment vertical="center"/>
    </xf>
    <xf numFmtId="172" fontId="66" fillId="32" borderId="33" xfId="111" applyNumberFormat="1" applyFont="1" applyFill="1" applyBorder="1" applyProtection="1">
      <alignment horizontal="right" vertical="center"/>
      <protection locked="0"/>
    </xf>
    <xf numFmtId="172" fontId="66" fillId="32" borderId="34" xfId="111" applyNumberFormat="1" applyFont="1" applyFill="1" applyBorder="1" applyProtection="1">
      <alignment horizontal="right" vertical="center"/>
      <protection locked="0"/>
    </xf>
    <xf numFmtId="172" fontId="66" fillId="32" borderId="35" xfId="111" applyNumberFormat="1" applyFont="1" applyFill="1" applyBorder="1" applyProtection="1">
      <alignment horizontal="right" vertical="center"/>
      <protection locked="0"/>
    </xf>
    <xf numFmtId="0" fontId="67" fillId="0" borderId="0" xfId="82" applyFont="1" applyProtection="1">
      <alignment horizontal="left" vertical="center"/>
    </xf>
    <xf numFmtId="165" fontId="66" fillId="0" borderId="13" xfId="111" applyFont="1" applyBorder="1">
      <alignment horizontal="right" vertical="center"/>
    </xf>
    <xf numFmtId="165" fontId="66" fillId="0" borderId="0" xfId="111" applyFont="1" applyFill="1">
      <alignment horizontal="right" vertical="center"/>
    </xf>
    <xf numFmtId="165" fontId="66" fillId="0" borderId="17" xfId="111" applyFont="1" applyFill="1" applyBorder="1">
      <alignment horizontal="right" vertical="center"/>
    </xf>
    <xf numFmtId="0" fontId="66" fillId="0" borderId="19" xfId="37" applyFont="1" applyBorder="1" applyProtection="1">
      <alignment vertical="center"/>
    </xf>
    <xf numFmtId="0" fontId="65" fillId="0" borderId="0" xfId="74" applyFont="1" applyFill="1" applyBorder="1">
      <alignment vertical="center"/>
    </xf>
    <xf numFmtId="172" fontId="66" fillId="33" borderId="0" xfId="111" applyNumberFormat="1" applyFont="1" applyFill="1" applyBorder="1">
      <alignment horizontal="right" vertical="center"/>
    </xf>
    <xf numFmtId="0" fontId="70" fillId="0" borderId="19" xfId="78" applyFont="1" applyFill="1" applyBorder="1">
      <alignment vertical="center"/>
    </xf>
    <xf numFmtId="0" fontId="77" fillId="0" borderId="0" xfId="72" applyFont="1">
      <alignment vertical="center"/>
    </xf>
    <xf numFmtId="165" fontId="66" fillId="0" borderId="22" xfId="111" applyFont="1" applyFill="1" applyBorder="1">
      <alignment horizontal="right" vertical="center"/>
    </xf>
    <xf numFmtId="172" fontId="66" fillId="0" borderId="22" xfId="0" applyNumberFormat="1" applyFont="1" applyBorder="1"/>
    <xf numFmtId="165" fontId="70" fillId="0" borderId="0" xfId="111" applyFont="1" applyFill="1" applyBorder="1">
      <alignment horizontal="right" vertical="center"/>
    </xf>
    <xf numFmtId="172" fontId="70" fillId="0" borderId="0" xfId="0" applyNumberFormat="1" applyFont="1"/>
    <xf numFmtId="172" fontId="66" fillId="0" borderId="0" xfId="0" quotePrefix="1" applyNumberFormat="1" applyFont="1"/>
    <xf numFmtId="0" fontId="95" fillId="0" borderId="0" xfId="0" applyFont="1"/>
    <xf numFmtId="172" fontId="66" fillId="34" borderId="0" xfId="0" applyNumberFormat="1" applyFont="1" applyFill="1"/>
    <xf numFmtId="172" fontId="66" fillId="0" borderId="0" xfId="111" applyNumberFormat="1" applyFont="1" applyBorder="1">
      <alignment horizontal="right" vertical="center"/>
    </xf>
    <xf numFmtId="172" fontId="70" fillId="0" borderId="25" xfId="111" applyNumberFormat="1" applyFont="1" applyBorder="1">
      <alignment horizontal="right" vertical="center"/>
    </xf>
    <xf numFmtId="172" fontId="72" fillId="27" borderId="0" xfId="111" applyNumberFormat="1" applyFont="1" applyFill="1">
      <alignment horizontal="right" vertical="center"/>
    </xf>
    <xf numFmtId="0" fontId="93" fillId="0" borderId="0" xfId="0" applyFont="1"/>
    <xf numFmtId="0" fontId="70" fillId="0" borderId="0" xfId="78" applyFont="1" applyFill="1" applyBorder="1">
      <alignment vertical="center"/>
    </xf>
    <xf numFmtId="172" fontId="70" fillId="0" borderId="36" xfId="111" applyNumberFormat="1" applyFont="1" applyBorder="1">
      <alignment horizontal="right" vertical="center"/>
    </xf>
    <xf numFmtId="172" fontId="66" fillId="27" borderId="0" xfId="112" applyNumberFormat="1" applyFont="1" applyFill="1">
      <alignment horizontal="right" vertical="center"/>
    </xf>
    <xf numFmtId="172" fontId="70" fillId="27" borderId="0" xfId="0" applyNumberFormat="1" applyFont="1" applyFill="1" applyAlignment="1">
      <alignment horizontal="right" indent="1"/>
    </xf>
    <xf numFmtId="172" fontId="66" fillId="25" borderId="0" xfId="0" applyNumberFormat="1" applyFont="1" applyFill="1"/>
    <xf numFmtId="172" fontId="70" fillId="0" borderId="0" xfId="0" applyNumberFormat="1" applyFont="1" applyAlignment="1">
      <alignment horizontal="right" indent="1"/>
    </xf>
    <xf numFmtId="0" fontId="70" fillId="0" borderId="0" xfId="0" applyFont="1" applyAlignment="1">
      <alignment vertical="top"/>
    </xf>
    <xf numFmtId="0" fontId="70" fillId="0" borderId="0" xfId="0" applyFont="1" applyAlignment="1">
      <alignment horizontal="right" vertical="top" wrapText="1"/>
    </xf>
    <xf numFmtId="173" fontId="66" fillId="0" borderId="0" xfId="0" applyNumberFormat="1" applyFont="1"/>
    <xf numFmtId="172" fontId="70" fillId="0" borderId="32" xfId="0" applyNumberFormat="1" applyFont="1" applyBorder="1"/>
    <xf numFmtId="172" fontId="70" fillId="24" borderId="0" xfId="0" applyNumberFormat="1" applyFont="1" applyFill="1"/>
    <xf numFmtId="0" fontId="70" fillId="0" borderId="0" xfId="0" applyFont="1" applyAlignment="1">
      <alignment horizontal="right" indent="1"/>
    </xf>
    <xf numFmtId="0" fontId="80" fillId="29" borderId="0" xfId="0" applyFont="1" applyFill="1" applyAlignment="1">
      <alignment horizontal="right"/>
    </xf>
    <xf numFmtId="172" fontId="80" fillId="29" borderId="86" xfId="0" applyNumberFormat="1" applyFont="1" applyFill="1" applyBorder="1"/>
    <xf numFmtId="172" fontId="80" fillId="29" borderId="87" xfId="0" applyNumberFormat="1" applyFont="1" applyFill="1" applyBorder="1"/>
    <xf numFmtId="0" fontId="70" fillId="0" borderId="0" xfId="0" applyFont="1" applyAlignment="1">
      <alignment horizontal="right"/>
    </xf>
    <xf numFmtId="171" fontId="70" fillId="0" borderId="0" xfId="0" applyNumberFormat="1" applyFont="1"/>
    <xf numFmtId="172" fontId="66" fillId="32" borderId="24" xfId="0" applyNumberFormat="1" applyFont="1" applyFill="1" applyBorder="1" applyProtection="1">
      <protection locked="0"/>
    </xf>
    <xf numFmtId="172" fontId="66" fillId="32" borderId="25" xfId="0" applyNumberFormat="1" applyFont="1" applyFill="1" applyBorder="1" applyProtection="1">
      <protection locked="0"/>
    </xf>
    <xf numFmtId="172" fontId="66" fillId="32" borderId="26" xfId="0" applyNumberFormat="1" applyFont="1" applyFill="1" applyBorder="1" applyProtection="1">
      <protection locked="0"/>
    </xf>
    <xf numFmtId="172" fontId="66" fillId="32" borderId="24" xfId="111" applyNumberFormat="1" applyFont="1" applyFill="1" applyBorder="1" applyAlignment="1" applyProtection="1">
      <alignment vertical="center"/>
      <protection locked="0"/>
    </xf>
    <xf numFmtId="172" fontId="66" fillId="32" borderId="26" xfId="111" applyNumberFormat="1" applyFont="1" applyFill="1" applyBorder="1" applyAlignment="1" applyProtection="1">
      <alignment vertical="center"/>
      <protection locked="0"/>
    </xf>
    <xf numFmtId="172" fontId="66" fillId="32" borderId="8" xfId="111" applyNumberFormat="1" applyFont="1" applyFill="1" applyBorder="1" applyAlignment="1" applyProtection="1">
      <alignment vertical="center"/>
      <protection locked="0"/>
    </xf>
    <xf numFmtId="0" fontId="71" fillId="27" borderId="13" xfId="103" applyFont="1" applyFill="1" applyBorder="1" applyAlignment="1">
      <alignment horizontal="right" vertical="center"/>
    </xf>
    <xf numFmtId="0" fontId="95" fillId="24" borderId="0" xfId="0" applyFont="1" applyFill="1"/>
    <xf numFmtId="172" fontId="93" fillId="0" borderId="0" xfId="111" applyNumberFormat="1" applyFont="1">
      <alignment horizontal="right" vertical="center"/>
    </xf>
    <xf numFmtId="172" fontId="93" fillId="27" borderId="0" xfId="111" applyNumberFormat="1" applyFont="1" applyFill="1">
      <alignment horizontal="right" vertical="center"/>
    </xf>
    <xf numFmtId="172" fontId="72" fillId="0" borderId="0" xfId="111" applyNumberFormat="1" applyFont="1">
      <alignment horizontal="right" vertical="center"/>
    </xf>
    <xf numFmtId="172" fontId="72" fillId="0" borderId="0" xfId="111" applyNumberFormat="1" applyFont="1" applyFill="1">
      <alignment horizontal="right" vertical="center"/>
    </xf>
    <xf numFmtId="172" fontId="66" fillId="0" borderId="0" xfId="111" applyNumberFormat="1" applyFont="1" applyFill="1" applyAlignment="1">
      <alignment horizontal="left" vertical="center"/>
    </xf>
    <xf numFmtId="0" fontId="77" fillId="0" borderId="0" xfId="74" applyFont="1" applyFill="1" applyBorder="1">
      <alignment vertical="center"/>
    </xf>
    <xf numFmtId="0" fontId="66" fillId="27" borderId="28" xfId="37" applyFont="1" applyFill="1" applyBorder="1" applyAlignment="1" applyProtection="1">
      <alignment horizontal="center" vertical="center"/>
    </xf>
    <xf numFmtId="172" fontId="66" fillId="0" borderId="28" xfId="0" applyNumberFormat="1" applyFont="1" applyBorder="1"/>
    <xf numFmtId="172" fontId="66" fillId="0" borderId="29" xfId="0" applyNumberFormat="1" applyFont="1" applyBorder="1"/>
    <xf numFmtId="0" fontId="66" fillId="0" borderId="0" xfId="37" applyFont="1" applyBorder="1" applyProtection="1">
      <alignment vertical="center"/>
    </xf>
    <xf numFmtId="172" fontId="64" fillId="0" borderId="0" xfId="0" applyNumberFormat="1" applyFont="1"/>
    <xf numFmtId="172" fontId="66" fillId="0" borderId="14" xfId="0" applyNumberFormat="1" applyFont="1" applyBorder="1"/>
    <xf numFmtId="172" fontId="70" fillId="0" borderId="0" xfId="0" applyNumberFormat="1" applyFont="1" applyAlignment="1">
      <alignment horizontal="right"/>
    </xf>
    <xf numFmtId="172" fontId="93" fillId="0" borderId="0" xfId="0" applyNumberFormat="1" applyFont="1" applyAlignment="1">
      <alignment horizontal="right"/>
    </xf>
    <xf numFmtId="180" fontId="78" fillId="27" borderId="13" xfId="102" applyNumberFormat="1" applyFont="1" applyFill="1" applyBorder="1" applyProtection="1"/>
    <xf numFmtId="0" fontId="78" fillId="27" borderId="13" xfId="0" applyFont="1" applyFill="1" applyBorder="1"/>
    <xf numFmtId="173" fontId="78" fillId="27" borderId="0" xfId="102" applyNumberFormat="1" applyFont="1" applyFill="1" applyProtection="1"/>
    <xf numFmtId="0" fontId="66" fillId="32" borderId="8" xfId="37" applyFont="1" applyFill="1" applyBorder="1" applyAlignment="1">
      <alignment horizontal="center" vertical="center"/>
      <protection locked="0"/>
    </xf>
    <xf numFmtId="178" fontId="66" fillId="24" borderId="0" xfId="0" applyNumberFormat="1" applyFont="1" applyFill="1"/>
    <xf numFmtId="0" fontId="66" fillId="24" borderId="25" xfId="0" applyFont="1" applyFill="1" applyBorder="1"/>
    <xf numFmtId="172" fontId="66" fillId="0" borderId="25" xfId="111" applyNumberFormat="1" applyFont="1" applyBorder="1">
      <alignment horizontal="right" vertical="center"/>
    </xf>
    <xf numFmtId="172" fontId="66" fillId="0" borderId="32" xfId="111" applyNumberFormat="1" applyFont="1" applyBorder="1">
      <alignment horizontal="right" vertical="center"/>
    </xf>
    <xf numFmtId="0" fontId="87" fillId="0" borderId="0" xfId="78" applyFont="1" applyFill="1" applyBorder="1">
      <alignment vertical="center"/>
    </xf>
    <xf numFmtId="172" fontId="75" fillId="27" borderId="0" xfId="111" applyNumberFormat="1" applyFont="1" applyFill="1" applyBorder="1">
      <alignment horizontal="right" vertical="center"/>
    </xf>
    <xf numFmtId="172" fontId="86" fillId="0" borderId="0" xfId="0" applyNumberFormat="1" applyFont="1" applyAlignment="1">
      <alignment horizontal="center"/>
    </xf>
    <xf numFmtId="170" fontId="72" fillId="0" borderId="0" xfId="0" applyNumberFormat="1" applyFont="1"/>
    <xf numFmtId="0" fontId="70" fillId="27" borderId="0" xfId="97" applyFont="1" applyFill="1"/>
    <xf numFmtId="0" fontId="66" fillId="27" borderId="0" xfId="97" applyFont="1" applyFill="1"/>
    <xf numFmtId="0" fontId="65" fillId="0" borderId="19" xfId="72" applyFont="1" applyFill="1" applyBorder="1" applyAlignment="1">
      <alignment horizontal="left" vertical="center" indent="2"/>
    </xf>
    <xf numFmtId="172" fontId="66" fillId="0" borderId="20" xfId="0" applyNumberFormat="1" applyFont="1" applyBorder="1"/>
    <xf numFmtId="172" fontId="66" fillId="24" borderId="0" xfId="0" applyNumberFormat="1" applyFont="1" applyFill="1"/>
    <xf numFmtId="0" fontId="66" fillId="0" borderId="19" xfId="78" applyFont="1" applyFill="1" applyBorder="1" applyAlignment="1">
      <alignment horizontal="left" vertical="center" indent="4"/>
    </xf>
    <xf numFmtId="172" fontId="66" fillId="0" borderId="8" xfId="0" applyNumberFormat="1" applyFont="1" applyBorder="1"/>
    <xf numFmtId="0" fontId="70" fillId="27" borderId="0" xfId="0" applyFont="1" applyFill="1" applyAlignment="1">
      <alignment horizontal="right"/>
    </xf>
    <xf numFmtId="173" fontId="66" fillId="27" borderId="0" xfId="0" applyNumberFormat="1" applyFont="1" applyFill="1"/>
    <xf numFmtId="0" fontId="66" fillId="27" borderId="0" xfId="97" applyFont="1" applyFill="1" applyAlignment="1">
      <alignment horizontal="right"/>
    </xf>
    <xf numFmtId="0" fontId="66" fillId="27" borderId="0" xfId="0" applyFont="1" applyFill="1" applyAlignment="1">
      <alignment horizontal="right"/>
    </xf>
    <xf numFmtId="0" fontId="70" fillId="0" borderId="19" xfId="0" applyFont="1" applyBorder="1" applyAlignment="1">
      <alignment horizontal="center"/>
    </xf>
    <xf numFmtId="0" fontId="70" fillId="0" borderId="21" xfId="74" applyFont="1" applyBorder="1">
      <alignment vertical="center"/>
    </xf>
    <xf numFmtId="172" fontId="66" fillId="0" borderId="23" xfId="0" applyNumberFormat="1" applyFont="1" applyBorder="1"/>
    <xf numFmtId="0" fontId="70" fillId="0" borderId="0" xfId="72" applyFont="1" applyFill="1">
      <alignment vertical="center"/>
    </xf>
    <xf numFmtId="0" fontId="70" fillId="0" borderId="0" xfId="74" applyFont="1" applyBorder="1">
      <alignment vertical="center"/>
    </xf>
    <xf numFmtId="0" fontId="70" fillId="0" borderId="0" xfId="74" applyFont="1" applyFill="1">
      <alignment vertical="center"/>
    </xf>
    <xf numFmtId="0" fontId="70" fillId="0" borderId="0" xfId="76" applyFont="1" applyFill="1">
      <alignment vertical="center"/>
    </xf>
    <xf numFmtId="0" fontId="70" fillId="24" borderId="0" xfId="74" applyFont="1" applyFill="1">
      <alignment vertical="center"/>
    </xf>
    <xf numFmtId="185" fontId="66" fillId="0" borderId="0" xfId="0" applyNumberFormat="1" applyFont="1"/>
    <xf numFmtId="2" fontId="66" fillId="27" borderId="0" xfId="102" applyNumberFormat="1" applyFont="1" applyFill="1" applyBorder="1" applyAlignment="1" applyProtection="1">
      <alignment horizontal="center"/>
    </xf>
    <xf numFmtId="0" fontId="70" fillId="0" borderId="0" xfId="97" applyFont="1"/>
    <xf numFmtId="0" fontId="66" fillId="0" borderId="0" xfId="97" applyFont="1"/>
    <xf numFmtId="0" fontId="66" fillId="29" borderId="24" xfId="0" applyFont="1" applyFill="1" applyBorder="1"/>
    <xf numFmtId="0" fontId="66" fillId="29" borderId="25" xfId="0" applyFont="1" applyFill="1" applyBorder="1"/>
    <xf numFmtId="0" fontId="70" fillId="24" borderId="0" xfId="103" applyFont="1" applyFill="1" applyBorder="1" applyAlignment="1">
      <alignment horizontal="right" vertical="center"/>
    </xf>
    <xf numFmtId="0" fontId="70" fillId="0" borderId="0" xfId="103" applyFont="1" applyBorder="1" applyAlignment="1">
      <alignment horizontal="right" vertical="center"/>
    </xf>
    <xf numFmtId="0" fontId="66" fillId="0" borderId="38" xfId="78" applyFont="1" applyFill="1" applyBorder="1">
      <alignment vertical="center"/>
    </xf>
    <xf numFmtId="172" fontId="66" fillId="32" borderId="16" xfId="114" applyNumberFormat="1" applyFont="1" applyFill="1" applyBorder="1">
      <alignment horizontal="right" vertical="center"/>
    </xf>
    <xf numFmtId="172" fontId="66" fillId="32" borderId="17" xfId="114" applyNumberFormat="1" applyFont="1" applyFill="1" applyBorder="1">
      <alignment horizontal="right" vertical="center"/>
    </xf>
    <xf numFmtId="0" fontId="66" fillId="0" borderId="19" xfId="78" applyFont="1" applyFill="1" applyBorder="1">
      <alignment vertical="center"/>
    </xf>
    <xf numFmtId="172" fontId="80" fillId="24" borderId="27" xfId="111" applyNumberFormat="1" applyFont="1" applyFill="1" applyBorder="1" applyAlignment="1">
      <alignment horizontal="left" vertical="center"/>
    </xf>
    <xf numFmtId="172" fontId="80" fillId="24" borderId="28" xfId="111" applyNumberFormat="1" applyFont="1" applyFill="1" applyBorder="1" applyAlignment="1">
      <alignment horizontal="left" vertical="center"/>
    </xf>
    <xf numFmtId="172" fontId="80" fillId="24" borderId="88" xfId="111" applyNumberFormat="1" applyFont="1" applyFill="1" applyBorder="1" applyAlignment="1">
      <alignment horizontal="left" vertical="center"/>
    </xf>
    <xf numFmtId="170" fontId="66" fillId="32" borderId="77" xfId="114" applyNumberFormat="1" applyFont="1" applyFill="1" applyBorder="1">
      <alignment horizontal="right" vertical="center"/>
    </xf>
    <xf numFmtId="170" fontId="66" fillId="32" borderId="25" xfId="114" applyNumberFormat="1" applyFont="1" applyFill="1" applyBorder="1">
      <alignment horizontal="right" vertical="center"/>
    </xf>
    <xf numFmtId="0" fontId="66" fillId="0" borderId="21" xfId="78" applyFont="1" applyFill="1" applyBorder="1">
      <alignment vertical="center"/>
    </xf>
    <xf numFmtId="172" fontId="80" fillId="24" borderId="41" xfId="111" applyNumberFormat="1" applyFont="1" applyFill="1" applyBorder="1" applyAlignment="1">
      <alignment horizontal="left" vertical="center"/>
    </xf>
    <xf numFmtId="172" fontId="80" fillId="24" borderId="22" xfId="111" applyNumberFormat="1" applyFont="1" applyFill="1" applyBorder="1" applyAlignment="1">
      <alignment horizontal="left" vertical="center"/>
    </xf>
    <xf numFmtId="172" fontId="80" fillId="24" borderId="23" xfId="111" applyNumberFormat="1" applyFont="1" applyFill="1" applyBorder="1" applyAlignment="1">
      <alignment horizontal="left" vertical="center"/>
    </xf>
    <xf numFmtId="0" fontId="66" fillId="24" borderId="23" xfId="0" applyFont="1" applyFill="1" applyBorder="1"/>
    <xf numFmtId="172" fontId="66" fillId="24" borderId="21" xfId="111" applyNumberFormat="1" applyFont="1" applyFill="1" applyBorder="1">
      <alignment horizontal="right" vertical="center"/>
    </xf>
    <xf numFmtId="172" fontId="66" fillId="24" borderId="22" xfId="111" applyNumberFormat="1" applyFont="1" applyFill="1" applyBorder="1">
      <alignment horizontal="right" vertical="center"/>
    </xf>
    <xf numFmtId="172" fontId="66" fillId="24" borderId="23" xfId="111" applyNumberFormat="1" applyFont="1" applyFill="1" applyBorder="1">
      <alignment horizontal="right" vertical="center"/>
    </xf>
    <xf numFmtId="0" fontId="66" fillId="0" borderId="39" xfId="78" applyFont="1" applyFill="1" applyBorder="1">
      <alignment vertical="center"/>
    </xf>
    <xf numFmtId="0" fontId="66" fillId="0" borderId="40" xfId="78" applyFont="1" applyFill="1" applyBorder="1">
      <alignment vertical="center"/>
    </xf>
    <xf numFmtId="172" fontId="66" fillId="0" borderId="0" xfId="114" applyNumberFormat="1" applyFont="1" applyBorder="1">
      <alignment horizontal="right" vertical="center"/>
    </xf>
    <xf numFmtId="0" fontId="64" fillId="0" borderId="13" xfId="0" applyFont="1" applyBorder="1"/>
    <xf numFmtId="0" fontId="66" fillId="0" borderId="13" xfId="97" applyFont="1" applyBorder="1"/>
    <xf numFmtId="172" fontId="66" fillId="0" borderId="13" xfId="114" applyNumberFormat="1" applyFont="1" applyBorder="1">
      <alignment horizontal="right" vertical="center"/>
    </xf>
    <xf numFmtId="0" fontId="4" fillId="29" borderId="0" xfId="89" applyFill="1" applyBorder="1" applyAlignment="1">
      <alignment horizontal="left" vertical="center"/>
    </xf>
    <xf numFmtId="0" fontId="4" fillId="29" borderId="13" xfId="89" applyFill="1" applyBorder="1" applyAlignment="1">
      <alignment horizontal="left" vertical="center"/>
    </xf>
    <xf numFmtId="2" fontId="66" fillId="29" borderId="13" xfId="0" applyNumberFormat="1" applyFont="1" applyFill="1" applyBorder="1"/>
    <xf numFmtId="2" fontId="66" fillId="29" borderId="31" xfId="0" applyNumberFormat="1" applyFont="1" applyFill="1" applyBorder="1"/>
    <xf numFmtId="2" fontId="66" fillId="29" borderId="15" xfId="0" applyNumberFormat="1" applyFont="1" applyFill="1" applyBorder="1"/>
    <xf numFmtId="172" fontId="66" fillId="29" borderId="28" xfId="114" applyNumberFormat="1" applyFont="1" applyFill="1" applyBorder="1" applyAlignment="1">
      <alignment horizontal="left" vertical="center"/>
    </xf>
    <xf numFmtId="172" fontId="66" fillId="29" borderId="28" xfId="114" applyNumberFormat="1" applyFont="1" applyFill="1" applyBorder="1">
      <alignment horizontal="right" vertical="center"/>
    </xf>
    <xf numFmtId="2" fontId="66" fillId="29" borderId="28" xfId="0" applyNumberFormat="1" applyFont="1" applyFill="1" applyBorder="1"/>
    <xf numFmtId="2" fontId="66" fillId="29" borderId="27" xfId="0" applyNumberFormat="1" applyFont="1" applyFill="1" applyBorder="1"/>
    <xf numFmtId="9" fontId="66" fillId="0" borderId="0" xfId="101" applyFont="1" applyProtection="1"/>
    <xf numFmtId="172" fontId="87" fillId="27" borderId="0" xfId="114" applyNumberFormat="1" applyFont="1" applyFill="1" applyBorder="1" applyAlignment="1">
      <alignment horizontal="left" vertical="center"/>
    </xf>
    <xf numFmtId="9" fontId="87" fillId="27" borderId="0" xfId="101" applyFont="1" applyFill="1" applyBorder="1" applyAlignment="1" applyProtection="1">
      <alignment horizontal="right" vertical="center"/>
    </xf>
    <xf numFmtId="9" fontId="87" fillId="27" borderId="14" xfId="101" applyFont="1" applyFill="1" applyBorder="1" applyAlignment="1" applyProtection="1">
      <alignment horizontal="right" vertical="center"/>
    </xf>
    <xf numFmtId="172" fontId="87" fillId="27" borderId="13" xfId="114" applyNumberFormat="1" applyFont="1" applyFill="1" applyBorder="1" applyAlignment="1">
      <alignment horizontal="left" vertical="center"/>
    </xf>
    <xf numFmtId="9" fontId="87" fillId="27" borderId="13" xfId="101" applyFont="1" applyFill="1" applyBorder="1" applyAlignment="1" applyProtection="1">
      <alignment horizontal="right" vertical="center"/>
    </xf>
    <xf numFmtId="9" fontId="87" fillId="27" borderId="15" xfId="101" applyFont="1" applyFill="1" applyBorder="1" applyAlignment="1" applyProtection="1">
      <alignment horizontal="right" vertical="center"/>
    </xf>
    <xf numFmtId="0" fontId="66" fillId="32" borderId="18" xfId="0" applyFont="1" applyFill="1" applyBorder="1" applyProtection="1">
      <protection locked="0"/>
    </xf>
    <xf numFmtId="0" fontId="66" fillId="32" borderId="53" xfId="0" applyFont="1" applyFill="1" applyBorder="1" applyProtection="1">
      <protection locked="0"/>
    </xf>
    <xf numFmtId="172" fontId="66" fillId="32" borderId="17" xfId="114" applyNumberFormat="1" applyFont="1" applyFill="1" applyBorder="1" applyProtection="1">
      <alignment horizontal="right" vertical="center"/>
      <protection locked="0"/>
    </xf>
    <xf numFmtId="172" fontId="66" fillId="32" borderId="37" xfId="111" applyNumberFormat="1" applyFont="1" applyFill="1" applyBorder="1" applyProtection="1">
      <alignment horizontal="right" vertical="center"/>
      <protection locked="0"/>
    </xf>
    <xf numFmtId="170" fontId="66" fillId="32" borderId="25" xfId="114" applyNumberFormat="1" applyFont="1" applyFill="1" applyBorder="1" applyProtection="1">
      <alignment horizontal="right" vertical="center"/>
      <protection locked="0"/>
    </xf>
    <xf numFmtId="170" fontId="66" fillId="32" borderId="46" xfId="111" applyNumberFormat="1" applyFont="1" applyFill="1" applyBorder="1" applyProtection="1">
      <alignment horizontal="right" vertical="center"/>
      <protection locked="0"/>
    </xf>
    <xf numFmtId="0" fontId="66" fillId="32" borderId="17" xfId="38" applyFont="1" applyFill="1" applyBorder="1">
      <alignment vertical="center"/>
      <protection locked="0"/>
    </xf>
    <xf numFmtId="165" fontId="66" fillId="24" borderId="0" xfId="111" applyFont="1" applyFill="1" applyBorder="1">
      <alignment horizontal="right" vertical="center"/>
    </xf>
    <xf numFmtId="172" fontId="66" fillId="25" borderId="0" xfId="111" applyNumberFormat="1" applyFont="1" applyFill="1" applyBorder="1">
      <alignment horizontal="right" vertical="center"/>
    </xf>
    <xf numFmtId="0" fontId="66" fillId="0" borderId="22" xfId="78" applyFont="1" applyFill="1" applyBorder="1">
      <alignment vertical="center"/>
    </xf>
    <xf numFmtId="0" fontId="77" fillId="0" borderId="0" xfId="72" applyFont="1" applyFill="1" applyBorder="1" applyAlignment="1">
      <alignment horizontal="left" vertical="center"/>
    </xf>
    <xf numFmtId="0" fontId="77" fillId="0" borderId="0" xfId="72" applyFont="1" applyFill="1" applyBorder="1" applyAlignment="1">
      <alignment horizontal="left" vertical="center" indent="1"/>
    </xf>
    <xf numFmtId="172" fontId="66" fillId="27" borderId="19" xfId="0" applyNumberFormat="1" applyFont="1" applyFill="1" applyBorder="1"/>
    <xf numFmtId="0" fontId="66" fillId="0" borderId="0" xfId="78" applyFont="1" applyFill="1" applyBorder="1" applyAlignment="1">
      <alignment horizontal="right" vertical="center"/>
    </xf>
    <xf numFmtId="172" fontId="66" fillId="0" borderId="0" xfId="0" applyNumberFormat="1" applyFont="1" applyAlignment="1">
      <alignment horizontal="right"/>
    </xf>
    <xf numFmtId="172" fontId="66" fillId="27" borderId="0" xfId="0" applyNumberFormat="1" applyFont="1" applyFill="1" applyAlignment="1">
      <alignment horizontal="left"/>
    </xf>
    <xf numFmtId="0" fontId="66" fillId="27" borderId="0" xfId="78" applyFont="1" applyFill="1" applyBorder="1" applyAlignment="1">
      <alignment horizontal="right" vertical="center"/>
    </xf>
    <xf numFmtId="172" fontId="66" fillId="24" borderId="8" xfId="0" applyNumberFormat="1" applyFont="1" applyFill="1" applyBorder="1" applyAlignment="1">
      <alignment horizontal="right"/>
    </xf>
    <xf numFmtId="0" fontId="96" fillId="0" borderId="0" xfId="0" applyFont="1"/>
    <xf numFmtId="0" fontId="64" fillId="24" borderId="0" xfId="0" applyFont="1" applyFill="1" applyAlignment="1">
      <alignment horizontal="center"/>
    </xf>
    <xf numFmtId="172" fontId="70" fillId="27" borderId="0" xfId="0" applyNumberFormat="1" applyFont="1" applyFill="1" applyAlignment="1">
      <alignment horizontal="left"/>
    </xf>
    <xf numFmtId="170" fontId="70" fillId="0" borderId="0" xfId="0" applyNumberFormat="1" applyFont="1" applyAlignment="1">
      <alignment horizontal="right"/>
    </xf>
    <xf numFmtId="172" fontId="66" fillId="27" borderId="22" xfId="0" applyNumberFormat="1" applyFont="1" applyFill="1" applyBorder="1"/>
    <xf numFmtId="170" fontId="70" fillId="27" borderId="22" xfId="0" applyNumberFormat="1" applyFont="1" applyFill="1" applyBorder="1" applyAlignment="1">
      <alignment horizontal="right"/>
    </xf>
    <xf numFmtId="170" fontId="70" fillId="27" borderId="0" xfId="0" applyNumberFormat="1" applyFont="1" applyFill="1" applyAlignment="1">
      <alignment horizontal="right"/>
    </xf>
    <xf numFmtId="172" fontId="66" fillId="27" borderId="0" xfId="0" applyNumberFormat="1" applyFont="1" applyFill="1" applyAlignment="1">
      <alignment horizontal="right" vertical="center" indent="1"/>
    </xf>
    <xf numFmtId="2" fontId="66" fillId="29" borderId="29" xfId="0" applyNumberFormat="1" applyFont="1" applyFill="1" applyBorder="1"/>
    <xf numFmtId="0" fontId="66" fillId="0" borderId="0" xfId="0" applyFont="1" applyAlignment="1">
      <alignment horizontal="right" vertical="center" indent="1"/>
    </xf>
    <xf numFmtId="0" fontId="66" fillId="0" borderId="0" xfId="0" applyFont="1" applyAlignment="1">
      <alignment horizontal="right" indent="1"/>
    </xf>
    <xf numFmtId="172" fontId="66" fillId="24" borderId="28" xfId="111" applyNumberFormat="1" applyFont="1" applyFill="1" applyBorder="1">
      <alignment horizontal="right" vertical="center"/>
    </xf>
    <xf numFmtId="172" fontId="66" fillId="24" borderId="24" xfId="111" applyNumberFormat="1" applyFont="1" applyFill="1" applyBorder="1">
      <alignment horizontal="right" vertical="center"/>
    </xf>
    <xf numFmtId="172" fontId="66" fillId="24" borderId="25" xfId="111" applyNumberFormat="1" applyFont="1" applyFill="1" applyBorder="1">
      <alignment horizontal="right" vertical="center"/>
    </xf>
    <xf numFmtId="2" fontId="66" fillId="0" borderId="0" xfId="0" applyNumberFormat="1" applyFont="1" applyAlignment="1">
      <alignment horizontal="right"/>
    </xf>
    <xf numFmtId="172" fontId="66" fillId="29" borderId="0" xfId="114" applyNumberFormat="1" applyFont="1" applyFill="1" applyBorder="1" applyAlignment="1">
      <alignment horizontal="left" vertical="center"/>
    </xf>
    <xf numFmtId="172" fontId="66" fillId="29" borderId="0" xfId="114" applyNumberFormat="1" applyFont="1" applyFill="1" applyBorder="1">
      <alignment horizontal="right" vertical="center"/>
    </xf>
    <xf numFmtId="2" fontId="66" fillId="29" borderId="0" xfId="0" applyNumberFormat="1" applyFont="1" applyFill="1" applyAlignment="1">
      <alignment horizontal="right"/>
    </xf>
    <xf numFmtId="2" fontId="66" fillId="29" borderId="14" xfId="0" applyNumberFormat="1" applyFont="1" applyFill="1" applyBorder="1" applyAlignment="1">
      <alignment horizontal="right"/>
    </xf>
    <xf numFmtId="172" fontId="93" fillId="27" borderId="0" xfId="111" applyNumberFormat="1" applyFont="1" applyFill="1" applyAlignment="1">
      <alignment horizontal="left" vertical="center"/>
    </xf>
    <xf numFmtId="172" fontId="66" fillId="0" borderId="28" xfId="111" applyNumberFormat="1" applyFont="1" applyFill="1" applyBorder="1">
      <alignment horizontal="right" vertical="center"/>
    </xf>
    <xf numFmtId="0" fontId="77" fillId="0" borderId="30" xfId="74" applyFont="1" applyFill="1" applyBorder="1">
      <alignment vertical="center"/>
    </xf>
    <xf numFmtId="172" fontId="66" fillId="0" borderId="13" xfId="111" applyNumberFormat="1" applyFont="1" applyFill="1" applyBorder="1">
      <alignment horizontal="right" vertical="center"/>
    </xf>
    <xf numFmtId="172" fontId="66" fillId="0" borderId="0" xfId="111" applyNumberFormat="1" applyFont="1" applyFill="1" applyBorder="1" applyProtection="1">
      <alignment horizontal="right" vertical="center"/>
      <protection locked="0"/>
    </xf>
    <xf numFmtId="0" fontId="71" fillId="24" borderId="13" xfId="103" applyFont="1" applyFill="1" applyBorder="1" applyAlignment="1">
      <alignment horizontal="center" vertical="center"/>
    </xf>
    <xf numFmtId="165" fontId="66" fillId="0" borderId="17" xfId="111" applyFont="1" applyBorder="1">
      <alignment horizontal="right" vertical="center"/>
    </xf>
    <xf numFmtId="0" fontId="66" fillId="24" borderId="17" xfId="0" applyFont="1" applyFill="1" applyBorder="1"/>
    <xf numFmtId="0" fontId="66" fillId="24" borderId="22" xfId="0" applyFont="1" applyFill="1" applyBorder="1"/>
    <xf numFmtId="165" fontId="66" fillId="0" borderId="0" xfId="111" applyFont="1" applyFill="1" applyAlignment="1">
      <alignment horizontal="left" vertical="center"/>
    </xf>
    <xf numFmtId="172" fontId="66" fillId="27" borderId="0" xfId="111" applyNumberFormat="1" applyFont="1" applyFill="1" applyBorder="1" applyAlignment="1">
      <alignment horizontal="center" vertical="center"/>
    </xf>
    <xf numFmtId="172" fontId="66" fillId="24" borderId="0" xfId="111" applyNumberFormat="1" applyFont="1" applyFill="1" applyBorder="1" applyAlignment="1">
      <alignment horizontal="center" vertical="center"/>
    </xf>
    <xf numFmtId="0" fontId="66" fillId="27" borderId="55" xfId="0" applyFont="1" applyFill="1" applyBorder="1"/>
    <xf numFmtId="0" fontId="56" fillId="0" borderId="91" xfId="143" applyFont="1" applyBorder="1" applyAlignment="1">
      <alignment horizontal="center" vertical="top" wrapText="1"/>
    </xf>
    <xf numFmtId="0" fontId="66" fillId="27" borderId="89" xfId="0" applyFont="1" applyFill="1" applyBorder="1"/>
    <xf numFmtId="0" fontId="66" fillId="27" borderId="90" xfId="0" applyFont="1" applyFill="1" applyBorder="1"/>
    <xf numFmtId="0" fontId="66" fillId="29" borderId="37" xfId="143" applyFont="1" applyFill="1" applyBorder="1" applyAlignment="1">
      <alignment horizontal="center"/>
    </xf>
    <xf numFmtId="0" fontId="66" fillId="29" borderId="53" xfId="143" applyFont="1" applyFill="1" applyBorder="1" applyAlignment="1">
      <alignment horizontal="center"/>
    </xf>
    <xf numFmtId="0" fontId="66" fillId="29" borderId="44" xfId="143" applyFont="1" applyFill="1" applyBorder="1" applyAlignment="1">
      <alignment horizontal="center"/>
    </xf>
    <xf numFmtId="0" fontId="66" fillId="27" borderId="41" xfId="0" applyFont="1" applyFill="1" applyBorder="1"/>
    <xf numFmtId="0" fontId="66" fillId="27" borderId="42" xfId="0" applyFont="1" applyFill="1" applyBorder="1"/>
    <xf numFmtId="0" fontId="66" fillId="0" borderId="0" xfId="0" applyFont="1" applyAlignment="1">
      <alignment horizontal="center"/>
    </xf>
    <xf numFmtId="0" fontId="66" fillId="27" borderId="47" xfId="0" applyFont="1" applyFill="1" applyBorder="1"/>
    <xf numFmtId="0" fontId="66" fillId="27" borderId="48" xfId="0" applyFont="1" applyFill="1" applyBorder="1"/>
    <xf numFmtId="172" fontId="66" fillId="29" borderId="93" xfId="112" applyNumberFormat="1" applyFont="1" applyFill="1" applyBorder="1">
      <alignment horizontal="right" vertical="center"/>
    </xf>
    <xf numFmtId="172" fontId="66" fillId="29" borderId="94" xfId="112" applyNumberFormat="1" applyFont="1" applyFill="1" applyBorder="1">
      <alignment horizontal="right" vertical="center"/>
    </xf>
    <xf numFmtId="172" fontId="66" fillId="29" borderId="95" xfId="112" applyNumberFormat="1" applyFont="1" applyFill="1" applyBorder="1">
      <alignment horizontal="right" vertical="center"/>
    </xf>
    <xf numFmtId="172" fontId="66" fillId="32" borderId="27" xfId="0" applyNumberFormat="1" applyFont="1" applyFill="1" applyBorder="1" applyProtection="1">
      <protection locked="0"/>
    </xf>
    <xf numFmtId="172" fontId="66" fillId="32" borderId="28" xfId="0" applyNumberFormat="1" applyFont="1" applyFill="1" applyBorder="1" applyProtection="1">
      <protection locked="0"/>
    </xf>
    <xf numFmtId="172" fontId="66" fillId="32" borderId="29" xfId="0" applyNumberFormat="1" applyFont="1" applyFill="1" applyBorder="1" applyProtection="1">
      <protection locked="0"/>
    </xf>
    <xf numFmtId="172" fontId="66" fillId="32" borderId="31" xfId="0" applyNumberFormat="1" applyFont="1" applyFill="1" applyBorder="1" applyProtection="1">
      <protection locked="0"/>
    </xf>
    <xf numFmtId="172" fontId="66" fillId="32" borderId="13" xfId="0" applyNumberFormat="1" applyFont="1" applyFill="1" applyBorder="1" applyProtection="1">
      <protection locked="0"/>
    </xf>
    <xf numFmtId="172" fontId="66" fillId="32" borderId="15" xfId="0" applyNumberFormat="1" applyFont="1" applyFill="1" applyBorder="1" applyProtection="1">
      <protection locked="0"/>
    </xf>
    <xf numFmtId="172" fontId="66" fillId="0" borderId="0" xfId="0" applyNumberFormat="1" applyFont="1" applyProtection="1">
      <protection locked="0"/>
    </xf>
    <xf numFmtId="0" fontId="72" fillId="27" borderId="0" xfId="0" applyFont="1" applyFill="1"/>
    <xf numFmtId="0" fontId="65" fillId="27" borderId="13" xfId="103" applyFont="1" applyFill="1" applyBorder="1" applyAlignment="1">
      <alignment horizontal="right" vertical="center"/>
    </xf>
    <xf numFmtId="0" fontId="66" fillId="24" borderId="16" xfId="0" applyFont="1" applyFill="1" applyBorder="1"/>
    <xf numFmtId="165" fontId="66" fillId="27" borderId="17" xfId="111" applyFont="1" applyFill="1" applyBorder="1">
      <alignment horizontal="right" vertical="center"/>
    </xf>
    <xf numFmtId="165" fontId="66" fillId="24" borderId="17" xfId="111" applyFont="1" applyFill="1" applyBorder="1">
      <alignment horizontal="right" vertical="center"/>
    </xf>
    <xf numFmtId="0" fontId="66" fillId="24" borderId="18" xfId="0" applyFont="1" applyFill="1" applyBorder="1"/>
    <xf numFmtId="0" fontId="66" fillId="24" borderId="19" xfId="0" applyFont="1" applyFill="1" applyBorder="1"/>
    <xf numFmtId="0" fontId="65" fillId="24" borderId="0" xfId="76" applyFont="1" applyFill="1" applyBorder="1">
      <alignment vertical="center"/>
    </xf>
    <xf numFmtId="0" fontId="66" fillId="24" borderId="20" xfId="0" applyFont="1" applyFill="1" applyBorder="1"/>
    <xf numFmtId="9" fontId="66" fillId="27" borderId="0" xfId="101" applyFont="1" applyFill="1" applyBorder="1" applyAlignment="1" applyProtection="1">
      <alignment horizontal="right" vertical="center"/>
    </xf>
    <xf numFmtId="0" fontId="66" fillId="24" borderId="21" xfId="0" applyFont="1" applyFill="1" applyBorder="1"/>
    <xf numFmtId="172" fontId="66" fillId="27" borderId="17" xfId="0" applyNumberFormat="1" applyFont="1" applyFill="1" applyBorder="1"/>
    <xf numFmtId="172" fontId="66" fillId="0" borderId="17" xfId="0" applyNumberFormat="1" applyFont="1" applyBorder="1"/>
    <xf numFmtId="9" fontId="66" fillId="0" borderId="0" xfId="111" applyNumberFormat="1" applyFont="1" applyBorder="1">
      <alignment horizontal="right" vertical="center"/>
    </xf>
    <xf numFmtId="0" fontId="65" fillId="0" borderId="0" xfId="76" applyFont="1" applyBorder="1">
      <alignment vertical="center"/>
    </xf>
    <xf numFmtId="0" fontId="98" fillId="27" borderId="0" xfId="0" applyFont="1" applyFill="1" applyAlignment="1">
      <alignment horizontal="right"/>
    </xf>
    <xf numFmtId="165" fontId="66" fillId="27" borderId="0" xfId="111" applyFont="1" applyFill="1" applyBorder="1" applyAlignment="1">
      <alignment horizontal="left" vertical="center"/>
    </xf>
    <xf numFmtId="170" fontId="66" fillId="27" borderId="0" xfId="111" applyNumberFormat="1" applyFont="1" applyFill="1" applyBorder="1">
      <alignment horizontal="right" vertical="center"/>
    </xf>
    <xf numFmtId="170" fontId="66" fillId="24" borderId="0" xfId="111" applyNumberFormat="1" applyFont="1" applyFill="1" applyBorder="1">
      <alignment horizontal="right" vertical="center"/>
    </xf>
    <xf numFmtId="172" fontId="87" fillId="27" borderId="0" xfId="0" applyNumberFormat="1" applyFont="1" applyFill="1"/>
    <xf numFmtId="172" fontId="70" fillId="27" borderId="25" xfId="111" applyNumberFormat="1" applyFont="1" applyFill="1" applyBorder="1">
      <alignment horizontal="right" vertical="center"/>
    </xf>
    <xf numFmtId="172" fontId="80" fillId="29" borderId="0" xfId="111" applyNumberFormat="1" applyFont="1" applyFill="1" applyBorder="1">
      <alignment horizontal="right" vertical="center"/>
    </xf>
    <xf numFmtId="165" fontId="75" fillId="27" borderId="0" xfId="111" applyFont="1" applyFill="1" applyBorder="1">
      <alignment horizontal="right" vertical="center"/>
    </xf>
    <xf numFmtId="173" fontId="66" fillId="27" borderId="0" xfId="111" applyNumberFormat="1" applyFont="1" applyFill="1" applyBorder="1">
      <alignment horizontal="right" vertical="center"/>
    </xf>
    <xf numFmtId="173" fontId="66" fillId="0" borderId="0" xfId="111" applyNumberFormat="1" applyFont="1" applyBorder="1">
      <alignment horizontal="right" vertical="center"/>
    </xf>
    <xf numFmtId="174" fontId="66" fillId="27" borderId="0" xfId="111" applyNumberFormat="1" applyFont="1" applyFill="1" applyBorder="1">
      <alignment horizontal="right" vertical="center"/>
    </xf>
    <xf numFmtId="9" fontId="66" fillId="27" borderId="0" xfId="111" applyNumberFormat="1" applyFont="1" applyFill="1" applyBorder="1">
      <alignment horizontal="right" vertical="center"/>
    </xf>
    <xf numFmtId="173" fontId="66" fillId="0" borderId="0" xfId="111" quotePrefix="1" applyNumberFormat="1" applyFont="1" applyBorder="1">
      <alignment horizontal="right" vertical="center"/>
    </xf>
    <xf numFmtId="165" fontId="66" fillId="25" borderId="0" xfId="111" applyFont="1" applyFill="1" applyBorder="1">
      <alignment horizontal="right" vertical="center"/>
    </xf>
    <xf numFmtId="0" fontId="97" fillId="0" borderId="0" xfId="0" applyFont="1"/>
    <xf numFmtId="172" fontId="70" fillId="0" borderId="0" xfId="111" applyNumberFormat="1" applyFont="1" applyFill="1" applyBorder="1">
      <alignment horizontal="right" vertical="center"/>
    </xf>
    <xf numFmtId="172" fontId="70" fillId="0" borderId="32" xfId="111" applyNumberFormat="1" applyFont="1" applyBorder="1">
      <alignment horizontal="right" vertical="center"/>
    </xf>
    <xf numFmtId="9" fontId="66" fillId="32" borderId="24" xfId="111" applyNumberFormat="1" applyFont="1" applyFill="1" applyBorder="1" applyProtection="1">
      <alignment horizontal="right" vertical="center"/>
      <protection locked="0"/>
    </xf>
    <xf numFmtId="9" fontId="66" fillId="32" borderId="25" xfId="111" applyNumberFormat="1" applyFont="1" applyFill="1" applyBorder="1" applyProtection="1">
      <alignment horizontal="right" vertical="center"/>
      <protection locked="0"/>
    </xf>
    <xf numFmtId="9" fontId="66" fillId="32" borderId="26" xfId="111" applyNumberFormat="1" applyFont="1" applyFill="1" applyBorder="1" applyProtection="1">
      <alignment horizontal="right" vertical="center"/>
      <protection locked="0"/>
    </xf>
    <xf numFmtId="0" fontId="99" fillId="27" borderId="0" xfId="51" applyFont="1" applyFill="1" applyProtection="1"/>
    <xf numFmtId="0" fontId="70" fillId="0" borderId="16" xfId="0" applyFont="1" applyBorder="1"/>
    <xf numFmtId="0" fontId="70" fillId="0" borderId="19" xfId="0" applyFont="1" applyBorder="1"/>
    <xf numFmtId="165" fontId="70" fillId="24" borderId="0" xfId="111" applyFont="1" applyFill="1" applyBorder="1">
      <alignment horizontal="right" vertical="center"/>
    </xf>
    <xf numFmtId="0" fontId="70" fillId="0" borderId="20" xfId="0" applyFont="1" applyBorder="1"/>
    <xf numFmtId="0" fontId="99" fillId="27" borderId="0" xfId="51" applyFont="1" applyFill="1" applyBorder="1" applyProtection="1"/>
    <xf numFmtId="0" fontId="65" fillId="0" borderId="0" xfId="0" applyFont="1" applyAlignment="1">
      <alignment horizontal="center"/>
    </xf>
    <xf numFmtId="0" fontId="80" fillId="0" borderId="0" xfId="0" applyFont="1" applyAlignment="1">
      <alignment horizontal="left" indent="1"/>
    </xf>
    <xf numFmtId="10" fontId="66" fillId="0" borderId="0" xfId="111" applyNumberFormat="1" applyFont="1" applyFill="1" applyBorder="1" applyAlignment="1">
      <alignment horizontal="center" vertical="center"/>
    </xf>
    <xf numFmtId="9" fontId="66" fillId="29" borderId="8" xfId="111" applyNumberFormat="1" applyFont="1" applyFill="1" applyBorder="1" applyAlignment="1">
      <alignment horizontal="center" vertical="center"/>
    </xf>
    <xf numFmtId="172" fontId="70" fillId="27" borderId="28" xfId="111" applyNumberFormat="1" applyFont="1" applyFill="1" applyBorder="1">
      <alignment horizontal="right" vertical="center"/>
    </xf>
    <xf numFmtId="172" fontId="70" fillId="24" borderId="28" xfId="111" applyNumberFormat="1" applyFont="1" applyFill="1" applyBorder="1">
      <alignment horizontal="right" vertical="center"/>
    </xf>
    <xf numFmtId="0" fontId="70" fillId="24" borderId="20" xfId="0" applyFont="1" applyFill="1" applyBorder="1"/>
    <xf numFmtId="165" fontId="66" fillId="24" borderId="22" xfId="111" applyFont="1" applyFill="1" applyBorder="1">
      <alignment horizontal="right" vertical="center"/>
    </xf>
    <xf numFmtId="0" fontId="99" fillId="27" borderId="22" xfId="51" applyFont="1" applyFill="1" applyBorder="1" applyProtection="1"/>
    <xf numFmtId="0" fontId="77" fillId="0" borderId="0" xfId="0" applyFont="1"/>
    <xf numFmtId="172" fontId="70" fillId="27" borderId="24" xfId="111" applyNumberFormat="1" applyFont="1" applyFill="1" applyBorder="1">
      <alignment horizontal="right" vertical="center"/>
    </xf>
    <xf numFmtId="10" fontId="66" fillId="29" borderId="8" xfId="111" applyNumberFormat="1" applyFont="1" applyFill="1" applyBorder="1" applyAlignment="1">
      <alignment horizontal="center" vertical="center"/>
    </xf>
    <xf numFmtId="172" fontId="70" fillId="33" borderId="24" xfId="111" applyNumberFormat="1" applyFont="1" applyFill="1" applyBorder="1">
      <alignment horizontal="right" vertical="center"/>
    </xf>
    <xf numFmtId="0" fontId="66" fillId="24" borderId="0" xfId="0" applyFont="1" applyFill="1" applyAlignment="1">
      <alignment horizontal="right"/>
    </xf>
    <xf numFmtId="9" fontId="66" fillId="24" borderId="0" xfId="0" applyNumberFormat="1" applyFont="1" applyFill="1" applyAlignment="1">
      <alignment horizontal="center"/>
    </xf>
    <xf numFmtId="0" fontId="70" fillId="24" borderId="24" xfId="0" applyFont="1" applyFill="1" applyBorder="1"/>
    <xf numFmtId="172" fontId="70" fillId="24" borderId="25" xfId="111" applyNumberFormat="1" applyFont="1" applyFill="1" applyBorder="1">
      <alignment horizontal="right" vertical="center"/>
    </xf>
    <xf numFmtId="0" fontId="66" fillId="0" borderId="92" xfId="0" applyFont="1" applyBorder="1"/>
    <xf numFmtId="0" fontId="70" fillId="24" borderId="25" xfId="0" applyFont="1" applyFill="1" applyBorder="1"/>
    <xf numFmtId="172" fontId="70" fillId="24" borderId="25" xfId="111" applyNumberFormat="1" applyFont="1" applyFill="1" applyBorder="1" applyAlignment="1">
      <alignment horizontal="left" vertical="center"/>
    </xf>
    <xf numFmtId="0" fontId="70" fillId="27" borderId="25" xfId="0" applyFont="1" applyFill="1" applyBorder="1"/>
    <xf numFmtId="172" fontId="66" fillId="24" borderId="0" xfId="111" applyNumberFormat="1" applyFont="1" applyFill="1" applyBorder="1" applyAlignment="1">
      <alignment horizontal="left" vertical="center"/>
    </xf>
    <xf numFmtId="0" fontId="70" fillId="0" borderId="24" xfId="0" applyFont="1" applyBorder="1"/>
    <xf numFmtId="0" fontId="70" fillId="0" borderId="25" xfId="0" applyFont="1" applyBorder="1"/>
    <xf numFmtId="173" fontId="70" fillId="27" borderId="25" xfId="111" applyNumberFormat="1" applyFont="1" applyFill="1" applyBorder="1">
      <alignment horizontal="right" vertical="center"/>
    </xf>
    <xf numFmtId="173" fontId="70" fillId="27" borderId="24" xfId="111" applyNumberFormat="1" applyFont="1" applyFill="1" applyBorder="1">
      <alignment horizontal="right" vertical="center"/>
    </xf>
    <xf numFmtId="173" fontId="70" fillId="0" borderId="25" xfId="111" applyNumberFormat="1" applyFont="1" applyBorder="1">
      <alignment horizontal="right" vertical="center"/>
    </xf>
    <xf numFmtId="0" fontId="66" fillId="27" borderId="0" xfId="51" applyFont="1" applyFill="1" applyProtection="1"/>
    <xf numFmtId="165" fontId="70" fillId="24" borderId="0" xfId="111" applyFont="1" applyFill="1" applyBorder="1" applyProtection="1">
      <alignment horizontal="right" vertical="center"/>
      <protection locked="0"/>
    </xf>
    <xf numFmtId="0" fontId="66" fillId="27" borderId="0" xfId="0" applyFont="1" applyFill="1" applyAlignment="1" applyProtection="1">
      <alignment horizontal="left"/>
      <protection locked="0"/>
    </xf>
    <xf numFmtId="165" fontId="66" fillId="24" borderId="0" xfId="111" applyFont="1" applyFill="1" applyBorder="1" applyProtection="1">
      <alignment horizontal="right" vertical="center"/>
      <protection locked="0"/>
    </xf>
    <xf numFmtId="9" fontId="66" fillId="32" borderId="33" xfId="111" applyNumberFormat="1" applyFont="1" applyFill="1" applyBorder="1" applyAlignment="1" applyProtection="1">
      <alignment horizontal="center" vertical="center"/>
      <protection locked="0"/>
    </xf>
    <xf numFmtId="0" fontId="101" fillId="0" borderId="0" xfId="0" applyFont="1"/>
    <xf numFmtId="0" fontId="65" fillId="0" borderId="0" xfId="74" applyFont="1">
      <alignment vertical="center"/>
    </xf>
    <xf numFmtId="0" fontId="101" fillId="0" borderId="0" xfId="76" applyFont="1" applyBorder="1">
      <alignment vertical="center"/>
    </xf>
    <xf numFmtId="0" fontId="66" fillId="29" borderId="26" xfId="0" applyFont="1" applyFill="1" applyBorder="1"/>
    <xf numFmtId="0" fontId="66" fillId="32" borderId="8" xfId="0" applyFont="1" applyFill="1" applyBorder="1" applyProtection="1">
      <protection locked="0"/>
    </xf>
    <xf numFmtId="0" fontId="66" fillId="32" borderId="24" xfId="0" applyFont="1" applyFill="1" applyBorder="1" applyProtection="1">
      <protection locked="0"/>
    </xf>
    <xf numFmtId="0" fontId="87" fillId="32" borderId="25" xfId="0" applyFont="1" applyFill="1" applyBorder="1" applyProtection="1">
      <protection locked="0"/>
    </xf>
    <xf numFmtId="0" fontId="87" fillId="32" borderId="26" xfId="0" applyFont="1" applyFill="1" applyBorder="1" applyProtection="1">
      <protection locked="0"/>
    </xf>
    <xf numFmtId="0" fontId="66" fillId="32" borderId="27" xfId="0" applyFont="1" applyFill="1" applyBorder="1" applyProtection="1">
      <protection locked="0"/>
    </xf>
    <xf numFmtId="0" fontId="66" fillId="32" borderId="28" xfId="0" applyFont="1" applyFill="1" applyBorder="1" applyProtection="1">
      <protection locked="0"/>
    </xf>
    <xf numFmtId="0" fontId="66" fillId="32" borderId="29" xfId="0" applyFont="1" applyFill="1" applyBorder="1" applyProtection="1">
      <protection locked="0"/>
    </xf>
    <xf numFmtId="0" fontId="66" fillId="32" borderId="8" xfId="0" applyFont="1" applyFill="1" applyBorder="1" applyAlignment="1" applyProtection="1">
      <alignment horizontal="center"/>
      <protection locked="0"/>
    </xf>
    <xf numFmtId="0" fontId="66" fillId="32" borderId="30" xfId="0" applyFont="1" applyFill="1" applyBorder="1" applyProtection="1">
      <protection locked="0"/>
    </xf>
    <xf numFmtId="0" fontId="66" fillId="32" borderId="0" xfId="0" applyFont="1" applyFill="1" applyProtection="1">
      <protection locked="0"/>
    </xf>
    <xf numFmtId="0" fontId="66" fillId="32" borderId="14" xfId="0" applyFont="1" applyFill="1" applyBorder="1" applyProtection="1">
      <protection locked="0"/>
    </xf>
    <xf numFmtId="0" fontId="66" fillId="32" borderId="31" xfId="0" applyFont="1" applyFill="1" applyBorder="1" applyProtection="1">
      <protection locked="0"/>
    </xf>
    <xf numFmtId="0" fontId="66" fillId="32" borderId="13" xfId="0" applyFont="1" applyFill="1" applyBorder="1" applyProtection="1">
      <protection locked="0"/>
    </xf>
    <xf numFmtId="0" fontId="66" fillId="32" borderId="15" xfId="0" applyFont="1" applyFill="1" applyBorder="1" applyProtection="1">
      <protection locked="0"/>
    </xf>
    <xf numFmtId="0" fontId="65" fillId="0" borderId="0" xfId="74" applyFont="1" applyAlignment="1">
      <alignment horizontal="center" vertical="center"/>
    </xf>
    <xf numFmtId="0" fontId="76" fillId="0" borderId="0" xfId="74" applyFont="1" applyAlignment="1">
      <alignment horizontal="center" vertical="center"/>
    </xf>
    <xf numFmtId="0" fontId="76" fillId="0" borderId="0" xfId="0" applyFont="1" applyAlignment="1">
      <alignment horizontal="center"/>
    </xf>
    <xf numFmtId="0" fontId="80" fillId="0" borderId="0" xfId="0" applyFont="1" applyAlignment="1">
      <alignment horizontal="right"/>
    </xf>
    <xf numFmtId="188" fontId="80" fillId="0" borderId="98" xfId="0" applyNumberFormat="1" applyFont="1" applyBorder="1"/>
    <xf numFmtId="188" fontId="80" fillId="0" borderId="0" xfId="0" applyNumberFormat="1" applyFont="1"/>
    <xf numFmtId="188" fontId="80" fillId="0" borderId="99" xfId="0" applyNumberFormat="1" applyFont="1" applyBorder="1"/>
    <xf numFmtId="177" fontId="80" fillId="0" borderId="98" xfId="0" applyNumberFormat="1" applyFont="1" applyBorder="1"/>
    <xf numFmtId="177" fontId="80" fillId="0" borderId="0" xfId="0" applyNumberFormat="1" applyFont="1"/>
    <xf numFmtId="177" fontId="80" fillId="0" borderId="99" xfId="0" applyNumberFormat="1" applyFont="1" applyBorder="1"/>
    <xf numFmtId="177" fontId="80" fillId="27" borderId="98" xfId="0" applyNumberFormat="1" applyFont="1" applyFill="1" applyBorder="1"/>
    <xf numFmtId="177" fontId="80" fillId="27" borderId="0" xfId="0" applyNumberFormat="1" applyFont="1" applyFill="1"/>
    <xf numFmtId="177" fontId="80" fillId="27" borderId="99" xfId="0" applyNumberFormat="1" applyFont="1" applyFill="1" applyBorder="1"/>
    <xf numFmtId="177" fontId="80" fillId="27" borderId="68" xfId="0" applyNumberFormat="1" applyFont="1" applyFill="1" applyBorder="1"/>
    <xf numFmtId="177" fontId="80" fillId="27" borderId="69" xfId="0" applyNumberFormat="1" applyFont="1" applyFill="1" applyBorder="1"/>
    <xf numFmtId="177" fontId="80" fillId="27" borderId="70" xfId="0" applyNumberFormat="1" applyFont="1" applyFill="1" applyBorder="1"/>
    <xf numFmtId="188" fontId="66" fillId="0" borderId="0" xfId="0" applyNumberFormat="1" applyFont="1"/>
    <xf numFmtId="0" fontId="7" fillId="27" borderId="0" xfId="169" applyFont="1" applyFill="1"/>
    <xf numFmtId="0" fontId="4" fillId="27" borderId="0" xfId="169" applyFill="1"/>
    <xf numFmtId="0" fontId="10" fillId="27" borderId="0" xfId="169" applyFont="1" applyFill="1"/>
    <xf numFmtId="0" fontId="10" fillId="27" borderId="13" xfId="169" applyFont="1" applyFill="1" applyBorder="1" applyAlignment="1">
      <alignment horizontal="right"/>
    </xf>
    <xf numFmtId="2" fontId="4" fillId="28" borderId="0" xfId="169" applyNumberFormat="1" applyFill="1"/>
    <xf numFmtId="0" fontId="4" fillId="27" borderId="0" xfId="169" applyFill="1" applyAlignment="1">
      <alignment horizontal="right"/>
    </xf>
    <xf numFmtId="4" fontId="4" fillId="28" borderId="0" xfId="169" applyNumberFormat="1" applyFill="1"/>
    <xf numFmtId="0" fontId="4" fillId="28" borderId="0" xfId="169" applyFill="1"/>
    <xf numFmtId="2" fontId="10" fillId="27" borderId="25" xfId="169" applyNumberFormat="1" applyFont="1" applyFill="1" applyBorder="1"/>
    <xf numFmtId="0" fontId="4" fillId="27" borderId="0" xfId="170" applyFill="1"/>
    <xf numFmtId="4" fontId="4" fillId="28" borderId="28" xfId="169" applyNumberFormat="1" applyFill="1" applyBorder="1"/>
    <xf numFmtId="0" fontId="10" fillId="27" borderId="0" xfId="169" applyFont="1" applyFill="1" applyAlignment="1">
      <alignment horizontal="right"/>
    </xf>
    <xf numFmtId="4" fontId="10" fillId="27" borderId="25" xfId="169" applyNumberFormat="1" applyFont="1" applyFill="1" applyBorder="1"/>
    <xf numFmtId="0" fontId="4" fillId="27" borderId="13" xfId="169" applyFill="1" applyBorder="1"/>
    <xf numFmtId="0" fontId="10" fillId="27" borderId="0" xfId="170" applyFont="1" applyFill="1"/>
    <xf numFmtId="0" fontId="10" fillId="27" borderId="13" xfId="169" applyFont="1" applyFill="1" applyBorder="1" applyAlignment="1">
      <alignment horizontal="right" wrapText="1"/>
    </xf>
    <xf numFmtId="43" fontId="4" fillId="28" borderId="0" xfId="69" applyFill="1"/>
    <xf numFmtId="0" fontId="4" fillId="27" borderId="0" xfId="170" applyFill="1" applyAlignment="1">
      <alignment horizontal="left" indent="1"/>
    </xf>
    <xf numFmtId="0" fontId="4" fillId="27" borderId="0" xfId="169" applyFill="1" applyAlignment="1">
      <alignment wrapText="1"/>
    </xf>
    <xf numFmtId="0" fontId="10" fillId="27" borderId="0" xfId="169" applyFont="1" applyFill="1" applyAlignment="1">
      <alignment wrapText="1"/>
    </xf>
    <xf numFmtId="2" fontId="10" fillId="27" borderId="25" xfId="169" applyNumberFormat="1" applyFont="1" applyFill="1" applyBorder="1" applyAlignment="1">
      <alignment horizontal="right"/>
    </xf>
    <xf numFmtId="2" fontId="4" fillId="27" borderId="0" xfId="169" applyNumberFormat="1" applyFill="1"/>
    <xf numFmtId="0" fontId="10" fillId="27" borderId="0" xfId="170" applyFont="1" applyFill="1" applyAlignment="1">
      <alignment horizontal="left" indent="1"/>
    </xf>
    <xf numFmtId="0" fontId="10" fillId="27" borderId="0" xfId="169" applyFont="1" applyFill="1" applyAlignment="1">
      <alignment horizontal="center" vertical="center"/>
    </xf>
    <xf numFmtId="0" fontId="10" fillId="27" borderId="0" xfId="169" applyFont="1" applyFill="1" applyAlignment="1">
      <alignment horizontal="center"/>
    </xf>
    <xf numFmtId="0" fontId="10" fillId="27" borderId="0" xfId="169" applyFont="1" applyFill="1" applyAlignment="1">
      <alignment horizontal="right" wrapText="1"/>
    </xf>
    <xf numFmtId="2" fontId="4" fillId="28" borderId="0" xfId="169" applyNumberFormat="1" applyFill="1" applyAlignment="1">
      <alignment horizontal="right"/>
    </xf>
    <xf numFmtId="0" fontId="4" fillId="27" borderId="0" xfId="169" applyFill="1" applyAlignment="1">
      <alignment horizontal="center" vertical="center"/>
    </xf>
    <xf numFmtId="0" fontId="4" fillId="27" borderId="0" xfId="169" applyFill="1" applyAlignment="1">
      <alignment horizontal="center"/>
    </xf>
    <xf numFmtId="0" fontId="19" fillId="0" borderId="0" xfId="78" applyFont="1" applyAlignment="1">
      <alignment horizontal="left" vertical="center"/>
    </xf>
    <xf numFmtId="0" fontId="16" fillId="0" borderId="0" xfId="122" applyFont="1">
      <alignment horizontal="left" vertical="center"/>
    </xf>
    <xf numFmtId="0" fontId="7" fillId="0" borderId="0" xfId="93">
      <alignment horizontal="left" vertical="center"/>
    </xf>
    <xf numFmtId="0" fontId="12" fillId="0" borderId="0" xfId="80" applyProtection="1">
      <alignment horizontal="center" vertical="center"/>
    </xf>
    <xf numFmtId="0" fontId="12" fillId="0" borderId="0" xfId="80" applyAlignment="1" applyProtection="1">
      <alignment horizontal="right" vertical="center"/>
    </xf>
    <xf numFmtId="0" fontId="12" fillId="0" borderId="0" xfId="80" applyAlignment="1" applyProtection="1">
      <alignment horizontal="left" vertical="center"/>
    </xf>
    <xf numFmtId="0" fontId="20" fillId="0" borderId="0" xfId="72" applyFont="1" applyAlignment="1">
      <alignment horizontal="left" vertical="center"/>
    </xf>
    <xf numFmtId="0" fontId="17" fillId="32" borderId="8" xfId="87" applyFont="1" applyFill="1">
      <alignment horizontal="center" vertical="center"/>
    </xf>
    <xf numFmtId="0" fontId="18" fillId="32" borderId="8" xfId="89" applyFont="1" applyFill="1">
      <alignment horizontal="center" vertical="center"/>
    </xf>
    <xf numFmtId="0" fontId="18" fillId="0" borderId="8" xfId="89" applyFont="1">
      <alignment horizontal="center" vertical="center"/>
    </xf>
    <xf numFmtId="0" fontId="18" fillId="27" borderId="8" xfId="89" applyFont="1" applyFill="1">
      <alignment horizontal="center" vertical="center"/>
    </xf>
    <xf numFmtId="0" fontId="20" fillId="0" borderId="0" xfId="72" applyFont="1" applyFill="1" applyBorder="1">
      <alignment vertical="center"/>
    </xf>
    <xf numFmtId="0" fontId="17" fillId="0" borderId="8" xfId="87" applyFont="1">
      <alignment horizontal="center" vertical="center"/>
    </xf>
    <xf numFmtId="0" fontId="17" fillId="0" borderId="8" xfId="87" applyFont="1" applyFill="1">
      <alignment horizontal="center" vertical="center"/>
    </xf>
    <xf numFmtId="0" fontId="20" fillId="0" borderId="0" xfId="72" applyFont="1" applyFill="1" applyAlignment="1">
      <alignment horizontal="left" vertical="center"/>
    </xf>
    <xf numFmtId="0" fontId="18" fillId="0" borderId="8" xfId="89" applyFont="1" applyFill="1">
      <alignment horizontal="center" vertical="center"/>
    </xf>
    <xf numFmtId="4" fontId="4" fillId="27" borderId="0" xfId="169" applyNumberFormat="1" applyFill="1"/>
    <xf numFmtId="0" fontId="4" fillId="28" borderId="13" xfId="169" applyFill="1" applyBorder="1"/>
    <xf numFmtId="4" fontId="4" fillId="28" borderId="13" xfId="169" applyNumberFormat="1" applyFill="1" applyBorder="1"/>
    <xf numFmtId="43" fontId="4" fillId="28" borderId="13" xfId="69" applyFill="1" applyBorder="1"/>
    <xf numFmtId="2" fontId="4" fillId="28" borderId="13" xfId="169" applyNumberFormat="1" applyFill="1" applyBorder="1"/>
    <xf numFmtId="10" fontId="4" fillId="28" borderId="25" xfId="169" applyNumberFormat="1" applyFill="1" applyBorder="1" applyAlignment="1">
      <alignment horizontal="right"/>
    </xf>
    <xf numFmtId="2" fontId="4" fillId="28" borderId="25" xfId="169" applyNumberFormat="1" applyFill="1" applyBorder="1" applyAlignment="1">
      <alignment horizontal="right"/>
    </xf>
    <xf numFmtId="2" fontId="4" fillId="28" borderId="13" xfId="169" applyNumberFormat="1" applyFill="1" applyBorder="1" applyAlignment="1">
      <alignment horizontal="right"/>
    </xf>
    <xf numFmtId="0" fontId="10" fillId="27" borderId="13" xfId="169" applyFont="1" applyFill="1" applyBorder="1"/>
    <xf numFmtId="172" fontId="66" fillId="32" borderId="31" xfId="114" applyNumberFormat="1" applyFont="1" applyFill="1" applyBorder="1" applyAlignment="1" applyProtection="1">
      <alignment vertical="center"/>
      <protection locked="0"/>
    </xf>
    <xf numFmtId="172" fontId="66" fillId="32" borderId="13" xfId="114" applyNumberFormat="1" applyFont="1" applyFill="1" applyBorder="1" applyAlignment="1" applyProtection="1">
      <alignment vertical="center"/>
      <protection locked="0"/>
    </xf>
    <xf numFmtId="172" fontId="66" fillId="32" borderId="15" xfId="114" applyNumberFormat="1" applyFont="1" applyFill="1" applyBorder="1" applyAlignment="1" applyProtection="1">
      <alignment vertical="center"/>
      <protection locked="0"/>
    </xf>
    <xf numFmtId="0" fontId="4" fillId="0" borderId="0" xfId="173" applyFill="1" applyBorder="1">
      <alignment vertical="center"/>
    </xf>
    <xf numFmtId="0" fontId="103" fillId="0" borderId="0" xfId="173" applyFont="1" applyFill="1" applyBorder="1">
      <alignment vertical="center"/>
    </xf>
    <xf numFmtId="4" fontId="0" fillId="0" borderId="0" xfId="0" applyNumberFormat="1"/>
    <xf numFmtId="4" fontId="4" fillId="0" borderId="0" xfId="0" applyNumberFormat="1" applyFont="1"/>
    <xf numFmtId="0" fontId="66" fillId="32" borderId="73" xfId="143" applyFont="1" applyFill="1" applyBorder="1" applyProtection="1">
      <protection locked="0"/>
    </xf>
    <xf numFmtId="10" fontId="66" fillId="29" borderId="74" xfId="112" applyNumberFormat="1" applyFont="1" applyFill="1" applyBorder="1">
      <alignment horizontal="right" vertical="center"/>
    </xf>
    <xf numFmtId="10" fontId="66" fillId="29" borderId="75" xfId="112" applyNumberFormat="1" applyFont="1" applyFill="1" applyBorder="1">
      <alignment horizontal="right" vertical="center"/>
    </xf>
    <xf numFmtId="10" fontId="66" fillId="29" borderId="76" xfId="112" applyNumberFormat="1" applyFont="1" applyFill="1" applyBorder="1">
      <alignment horizontal="right" vertical="center"/>
    </xf>
    <xf numFmtId="10" fontId="66" fillId="0" borderId="0" xfId="0" applyNumberFormat="1" applyFont="1"/>
    <xf numFmtId="10" fontId="66" fillId="29" borderId="78" xfId="112" applyNumberFormat="1" applyFont="1" applyFill="1" applyBorder="1">
      <alignment horizontal="right" vertical="center"/>
    </xf>
    <xf numFmtId="10" fontId="66" fillId="29" borderId="8" xfId="112" applyNumberFormat="1" applyFont="1" applyFill="1" applyBorder="1">
      <alignment horizontal="right" vertical="center"/>
    </xf>
    <xf numFmtId="10" fontId="66" fillId="29" borderId="52" xfId="112" applyNumberFormat="1" applyFont="1" applyFill="1" applyBorder="1">
      <alignment horizontal="right" vertical="center"/>
    </xf>
    <xf numFmtId="10" fontId="66" fillId="29" borderId="81" xfId="112" applyNumberFormat="1" applyFont="1" applyFill="1" applyBorder="1">
      <alignment horizontal="right" vertical="center"/>
    </xf>
    <xf numFmtId="10" fontId="66" fillId="29" borderId="82" xfId="112" applyNumberFormat="1" applyFont="1" applyFill="1" applyBorder="1">
      <alignment horizontal="right" vertical="center"/>
    </xf>
    <xf numFmtId="10" fontId="66" fillId="29" borderId="83" xfId="112" applyNumberFormat="1" applyFont="1" applyFill="1" applyBorder="1">
      <alignment horizontal="right" vertical="center"/>
    </xf>
    <xf numFmtId="10" fontId="56" fillId="0" borderId="55" xfId="143" applyNumberFormat="1" applyFont="1" applyBorder="1"/>
    <xf numFmtId="0" fontId="81" fillId="0" borderId="0" xfId="143" applyFont="1"/>
    <xf numFmtId="43" fontId="66" fillId="0" borderId="0" xfId="69" applyFont="1" applyProtection="1"/>
    <xf numFmtId="0" fontId="70" fillId="0" borderId="0" xfId="143" applyFont="1" applyAlignment="1">
      <alignment horizontal="center"/>
    </xf>
    <xf numFmtId="0" fontId="66" fillId="27" borderId="0" xfId="0" applyFont="1" applyFill="1" applyAlignment="1">
      <alignment horizontal="center"/>
    </xf>
    <xf numFmtId="0" fontId="66" fillId="0" borderId="0" xfId="143" applyFont="1" applyAlignment="1">
      <alignment horizontal="center"/>
    </xf>
    <xf numFmtId="0" fontId="65" fillId="0" borderId="0" xfId="103" applyFont="1" applyBorder="1" applyAlignment="1">
      <alignment horizontal="center" vertical="top"/>
    </xf>
    <xf numFmtId="0" fontId="80" fillId="27" borderId="0" xfId="0" applyFont="1" applyFill="1" applyAlignment="1">
      <alignment horizontal="center"/>
    </xf>
    <xf numFmtId="2" fontId="70" fillId="27" borderId="51" xfId="0" applyNumberFormat="1" applyFont="1" applyFill="1" applyBorder="1" applyAlignment="1">
      <alignment horizontal="center" vertical="top" wrapText="1"/>
    </xf>
    <xf numFmtId="184" fontId="56" fillId="0" borderId="55" xfId="143" applyNumberFormat="1" applyFont="1" applyBorder="1" applyAlignment="1">
      <alignment horizontal="center"/>
    </xf>
    <xf numFmtId="0" fontId="66" fillId="32" borderId="38" xfId="0" applyFont="1" applyFill="1" applyBorder="1"/>
    <xf numFmtId="0" fontId="66" fillId="32" borderId="39" xfId="0" applyFont="1" applyFill="1" applyBorder="1"/>
    <xf numFmtId="0" fontId="66" fillId="32" borderId="39" xfId="143" applyFont="1" applyFill="1" applyBorder="1"/>
    <xf numFmtId="0" fontId="66" fillId="32" borderId="39" xfId="143" applyFont="1" applyFill="1" applyBorder="1" applyAlignment="1">
      <alignment vertical="top"/>
    </xf>
    <xf numFmtId="0" fontId="70" fillId="0" borderId="0" xfId="0" applyFont="1" applyAlignment="1">
      <alignment horizontal="left"/>
    </xf>
    <xf numFmtId="0" fontId="104" fillId="0" borderId="0" xfId="0" applyFont="1" applyAlignment="1">
      <alignment horizontal="left"/>
    </xf>
    <xf numFmtId="0" fontId="66" fillId="40" borderId="0" xfId="0" applyFont="1" applyFill="1"/>
    <xf numFmtId="172" fontId="66" fillId="0" borderId="0" xfId="213" applyNumberFormat="1" applyFont="1" applyBorder="1">
      <alignment horizontal="right" vertical="center"/>
    </xf>
    <xf numFmtId="0" fontId="107" fillId="30" borderId="0" xfId="0" applyFont="1" applyFill="1"/>
    <xf numFmtId="0" fontId="108" fillId="30" borderId="0" xfId="0" applyFont="1" applyFill="1"/>
    <xf numFmtId="0" fontId="107" fillId="0" borderId="0" xfId="0" applyFont="1"/>
    <xf numFmtId="172" fontId="70" fillId="29" borderId="19" xfId="213" applyNumberFormat="1" applyFont="1" applyFill="1" applyBorder="1" applyAlignment="1">
      <alignment horizontal="left" vertical="center"/>
    </xf>
    <xf numFmtId="172" fontId="70" fillId="29" borderId="0" xfId="213" applyNumberFormat="1" applyFont="1" applyFill="1" applyBorder="1">
      <alignment horizontal="right" vertical="center"/>
    </xf>
    <xf numFmtId="2" fontId="70" fillId="29" borderId="0" xfId="0" applyNumberFormat="1" applyFont="1" applyFill="1" applyAlignment="1">
      <alignment horizontal="right"/>
    </xf>
    <xf numFmtId="2" fontId="70" fillId="29" borderId="14" xfId="0" applyNumberFormat="1" applyFont="1" applyFill="1" applyBorder="1" applyAlignment="1">
      <alignment horizontal="right"/>
    </xf>
    <xf numFmtId="172" fontId="108" fillId="0" borderId="0" xfId="0" applyNumberFormat="1" applyFont="1"/>
    <xf numFmtId="172" fontId="66" fillId="29" borderId="19" xfId="213" applyNumberFormat="1" applyFont="1" applyFill="1" applyBorder="1" applyAlignment="1">
      <alignment horizontal="left" vertical="center" indent="1"/>
    </xf>
    <xf numFmtId="172" fontId="66" fillId="29" borderId="0" xfId="213" applyNumberFormat="1" applyFont="1" applyFill="1" applyBorder="1">
      <alignment horizontal="right" vertical="center"/>
    </xf>
    <xf numFmtId="0" fontId="88" fillId="0" borderId="0" xfId="0" applyFont="1"/>
    <xf numFmtId="172" fontId="109" fillId="0" borderId="0" xfId="0" applyNumberFormat="1" applyFont="1"/>
    <xf numFmtId="172" fontId="88" fillId="29" borderId="19" xfId="213" applyNumberFormat="1" applyFont="1" applyFill="1" applyBorder="1" applyAlignment="1">
      <alignment horizontal="left" vertical="center" indent="1"/>
    </xf>
    <xf numFmtId="172" fontId="88" fillId="29" borderId="0" xfId="213" applyNumberFormat="1" applyFont="1" applyFill="1" applyBorder="1">
      <alignment horizontal="right" vertical="center"/>
    </xf>
    <xf numFmtId="2" fontId="88" fillId="29" borderId="0" xfId="0" applyNumberFormat="1" applyFont="1" applyFill="1" applyAlignment="1">
      <alignment horizontal="right"/>
    </xf>
    <xf numFmtId="2" fontId="88" fillId="29" borderId="14" xfId="0" applyNumberFormat="1" applyFont="1" applyFill="1" applyBorder="1" applyAlignment="1">
      <alignment horizontal="right"/>
    </xf>
    <xf numFmtId="43" fontId="88" fillId="29" borderId="14" xfId="69" applyFont="1" applyFill="1" applyBorder="1" applyAlignment="1" applyProtection="1">
      <alignment horizontal="right"/>
    </xf>
    <xf numFmtId="43" fontId="88" fillId="29" borderId="0" xfId="69" applyFont="1" applyFill="1" applyBorder="1" applyAlignment="1" applyProtection="1">
      <alignment horizontal="right"/>
    </xf>
    <xf numFmtId="43" fontId="88" fillId="29" borderId="20" xfId="69" applyFont="1" applyFill="1" applyBorder="1" applyAlignment="1" applyProtection="1">
      <alignment horizontal="right"/>
    </xf>
    <xf numFmtId="0" fontId="70" fillId="40" borderId="0" xfId="0" applyFont="1" applyFill="1"/>
    <xf numFmtId="0" fontId="70" fillId="29" borderId="19" xfId="0" applyFont="1" applyFill="1" applyBorder="1"/>
    <xf numFmtId="0" fontId="70" fillId="29" borderId="0" xfId="0" applyFont="1" applyFill="1"/>
    <xf numFmtId="0" fontId="108" fillId="0" borderId="0" xfId="0" applyFont="1"/>
    <xf numFmtId="0" fontId="88" fillId="40" borderId="0" xfId="0" applyFont="1" applyFill="1"/>
    <xf numFmtId="172" fontId="88" fillId="29" borderId="73" xfId="213" applyNumberFormat="1" applyFont="1" applyFill="1" applyBorder="1" applyAlignment="1">
      <alignment horizontal="left" vertical="center" indent="1"/>
    </xf>
    <xf numFmtId="172" fontId="88" fillId="29" borderId="13" xfId="213" applyNumberFormat="1" applyFont="1" applyFill="1" applyBorder="1">
      <alignment horizontal="right" vertical="center"/>
    </xf>
    <xf numFmtId="0" fontId="70" fillId="27" borderId="79" xfId="0" applyFont="1" applyFill="1" applyBorder="1"/>
    <xf numFmtId="0" fontId="66" fillId="0" borderId="32" xfId="0" applyFont="1" applyBorder="1"/>
    <xf numFmtId="172" fontId="110" fillId="0" borderId="0" xfId="0" applyNumberFormat="1" applyFont="1"/>
    <xf numFmtId="172" fontId="88" fillId="29" borderId="16" xfId="213" applyNumberFormat="1" applyFont="1" applyFill="1" applyBorder="1" applyAlignment="1">
      <alignment horizontal="left" vertical="center" indent="1"/>
    </xf>
    <xf numFmtId="172" fontId="88" fillId="29" borderId="17" xfId="213" applyNumberFormat="1" applyFont="1" applyFill="1" applyBorder="1">
      <alignment horizontal="right" vertical="center"/>
    </xf>
    <xf numFmtId="2" fontId="88" fillId="29" borderId="17" xfId="0" applyNumberFormat="1" applyFont="1" applyFill="1" applyBorder="1" applyAlignment="1">
      <alignment horizontal="right"/>
    </xf>
    <xf numFmtId="2" fontId="88" fillId="29" borderId="48" xfId="0" applyNumberFormat="1" applyFont="1" applyFill="1" applyBorder="1" applyAlignment="1">
      <alignment horizontal="right"/>
    </xf>
    <xf numFmtId="43" fontId="88" fillId="29" borderId="48" xfId="69" applyFont="1" applyFill="1" applyBorder="1" applyAlignment="1" applyProtection="1">
      <alignment horizontal="right"/>
    </xf>
    <xf numFmtId="43" fontId="88" fillId="29" borderId="17" xfId="69" applyFont="1" applyFill="1" applyBorder="1" applyAlignment="1" applyProtection="1">
      <alignment horizontal="right"/>
    </xf>
    <xf numFmtId="43" fontId="88" fillId="29" borderId="18" xfId="69" applyFont="1" applyFill="1" applyBorder="1" applyAlignment="1" applyProtection="1">
      <alignment horizontal="right"/>
    </xf>
    <xf numFmtId="0" fontId="74" fillId="0" borderId="0" xfId="0" applyFont="1"/>
    <xf numFmtId="173" fontId="70" fillId="29" borderId="14" xfId="101" applyNumberFormat="1" applyFont="1" applyFill="1" applyBorder="1" applyAlignment="1" applyProtection="1">
      <alignment horizontal="right"/>
    </xf>
    <xf numFmtId="173" fontId="70" fillId="29" borderId="0" xfId="101" applyNumberFormat="1" applyFont="1" applyFill="1" applyBorder="1" applyAlignment="1" applyProtection="1">
      <alignment horizontal="right"/>
    </xf>
    <xf numFmtId="173" fontId="70" fillId="29" borderId="20" xfId="101" applyNumberFormat="1" applyFont="1" applyFill="1" applyBorder="1" applyAlignment="1" applyProtection="1">
      <alignment horizontal="right"/>
    </xf>
    <xf numFmtId="172" fontId="81" fillId="0" borderId="0" xfId="0" applyNumberFormat="1" applyFont="1"/>
    <xf numFmtId="173" fontId="66" fillId="29" borderId="14" xfId="101" applyNumberFormat="1" applyFont="1" applyFill="1" applyBorder="1" applyAlignment="1" applyProtection="1">
      <alignment horizontal="right"/>
    </xf>
    <xf numFmtId="173" fontId="66" fillId="29" borderId="0" xfId="101" applyNumberFormat="1" applyFont="1" applyFill="1" applyBorder="1" applyAlignment="1" applyProtection="1">
      <alignment horizontal="right"/>
    </xf>
    <xf numFmtId="173" fontId="66" fillId="29" borderId="20" xfId="101" applyNumberFormat="1" applyFont="1" applyFill="1" applyBorder="1" applyAlignment="1" applyProtection="1">
      <alignment horizontal="right"/>
    </xf>
    <xf numFmtId="0" fontId="81" fillId="0" borderId="0" xfId="0" applyFont="1"/>
    <xf numFmtId="172" fontId="88" fillId="29" borderId="21" xfId="213" applyNumberFormat="1" applyFont="1" applyFill="1" applyBorder="1" applyAlignment="1">
      <alignment horizontal="left" vertical="center" indent="1"/>
    </xf>
    <xf numFmtId="172" fontId="88" fillId="29" borderId="22" xfId="213" applyNumberFormat="1" applyFont="1" applyFill="1" applyBorder="1">
      <alignment horizontal="right" vertical="center"/>
    </xf>
    <xf numFmtId="2" fontId="88" fillId="29" borderId="22" xfId="0" applyNumberFormat="1" applyFont="1" applyFill="1" applyBorder="1" applyAlignment="1">
      <alignment horizontal="right"/>
    </xf>
    <xf numFmtId="2" fontId="88" fillId="29" borderId="42" xfId="0" applyNumberFormat="1" applyFont="1" applyFill="1" applyBorder="1" applyAlignment="1">
      <alignment horizontal="right"/>
    </xf>
    <xf numFmtId="43" fontId="88" fillId="29" borderId="42" xfId="69" applyFont="1" applyFill="1" applyBorder="1" applyAlignment="1" applyProtection="1">
      <alignment horizontal="right"/>
    </xf>
    <xf numFmtId="43" fontId="88" fillId="29" borderId="22" xfId="69" applyFont="1" applyFill="1" applyBorder="1" applyAlignment="1" applyProtection="1">
      <alignment horizontal="right"/>
    </xf>
    <xf numFmtId="43" fontId="88" fillId="29" borderId="23" xfId="69" applyFont="1" applyFill="1" applyBorder="1" applyAlignment="1" applyProtection="1">
      <alignment horizontal="right"/>
    </xf>
    <xf numFmtId="0" fontId="87" fillId="40" borderId="0" xfId="0" applyFont="1" applyFill="1"/>
    <xf numFmtId="0" fontId="70" fillId="0" borderId="0" xfId="0" applyFont="1" applyAlignment="1">
      <alignment horizontal="center"/>
    </xf>
    <xf numFmtId="0" fontId="70" fillId="28" borderId="54" xfId="0" applyFont="1" applyFill="1" applyBorder="1"/>
    <xf numFmtId="0" fontId="66" fillId="28" borderId="55" xfId="0" applyFont="1" applyFill="1" applyBorder="1"/>
    <xf numFmtId="0" fontId="70" fillId="28" borderId="54" xfId="169" applyFont="1" applyFill="1" applyBorder="1" applyAlignment="1">
      <alignment horizontal="right"/>
    </xf>
    <xf numFmtId="0" fontId="70" fillId="28" borderId="55" xfId="169" applyFont="1" applyFill="1" applyBorder="1" applyAlignment="1">
      <alignment horizontal="right"/>
    </xf>
    <xf numFmtId="0" fontId="70" fillId="28" borderId="90" xfId="169" applyFont="1" applyFill="1" applyBorder="1" applyAlignment="1">
      <alignment horizontal="right"/>
    </xf>
    <xf numFmtId="0" fontId="70" fillId="28" borderId="56" xfId="169" applyFont="1" applyFill="1" applyBorder="1" applyAlignment="1">
      <alignment horizontal="right"/>
    </xf>
    <xf numFmtId="0" fontId="66" fillId="41" borderId="16" xfId="0" applyFont="1" applyFill="1" applyBorder="1"/>
    <xf numFmtId="0" fontId="66" fillId="41" borderId="17" xfId="0" applyFont="1" applyFill="1" applyBorder="1"/>
    <xf numFmtId="173" fontId="66" fillId="41" borderId="16" xfId="101" applyNumberFormat="1" applyFont="1" applyFill="1" applyBorder="1" applyAlignment="1" applyProtection="1">
      <alignment horizontal="right"/>
    </xf>
    <xf numFmtId="173" fontId="66" fillId="41" borderId="17" xfId="101" applyNumberFormat="1" applyFont="1" applyFill="1" applyBorder="1" applyAlignment="1" applyProtection="1">
      <alignment horizontal="right"/>
    </xf>
    <xf numFmtId="173" fontId="66" fillId="41" borderId="48" xfId="101" applyNumberFormat="1" applyFont="1" applyFill="1" applyBorder="1" applyAlignment="1" applyProtection="1">
      <alignment horizontal="right"/>
    </xf>
    <xf numFmtId="173" fontId="66" fillId="41" borderId="47" xfId="101" applyNumberFormat="1" applyFont="1" applyFill="1" applyBorder="1" applyAlignment="1" applyProtection="1">
      <alignment horizontal="right"/>
    </xf>
    <xf numFmtId="173" fontId="66" fillId="41" borderId="18" xfId="101" applyNumberFormat="1" applyFont="1" applyFill="1" applyBorder="1" applyAlignment="1" applyProtection="1">
      <alignment horizontal="right"/>
    </xf>
    <xf numFmtId="0" fontId="66" fillId="39" borderId="19" xfId="0" applyFont="1" applyFill="1" applyBorder="1"/>
    <xf numFmtId="0" fontId="66" fillId="39" borderId="0" xfId="0" applyFont="1" applyFill="1"/>
    <xf numFmtId="173" fontId="66" fillId="39" borderId="19" xfId="101" applyNumberFormat="1" applyFont="1" applyFill="1" applyBorder="1" applyAlignment="1" applyProtection="1">
      <alignment horizontal="right"/>
    </xf>
    <xf numFmtId="173" fontId="66" fillId="39" borderId="0" xfId="101" applyNumberFormat="1" applyFont="1" applyFill="1" applyBorder="1" applyAlignment="1" applyProtection="1">
      <alignment horizontal="right"/>
    </xf>
    <xf numFmtId="173" fontId="66" fillId="39" borderId="14" xfId="101" applyNumberFormat="1" applyFont="1" applyFill="1" applyBorder="1" applyAlignment="1" applyProtection="1">
      <alignment horizontal="right"/>
    </xf>
    <xf numFmtId="173" fontId="66" fillId="39" borderId="30" xfId="101" applyNumberFormat="1" applyFont="1" applyFill="1" applyBorder="1" applyAlignment="1" applyProtection="1">
      <alignment horizontal="right"/>
    </xf>
    <xf numFmtId="173" fontId="66" fillId="39" borderId="20" xfId="101" applyNumberFormat="1" applyFont="1" applyFill="1" applyBorder="1" applyAlignment="1" applyProtection="1">
      <alignment horizontal="right"/>
    </xf>
    <xf numFmtId="173" fontId="66" fillId="0" borderId="21" xfId="101" applyNumberFormat="1" applyFont="1" applyBorder="1" applyAlignment="1" applyProtection="1">
      <alignment horizontal="right"/>
    </xf>
    <xf numFmtId="173" fontId="66" fillId="0" borderId="22" xfId="101" applyNumberFormat="1" applyFont="1" applyBorder="1" applyAlignment="1" applyProtection="1">
      <alignment horizontal="right"/>
    </xf>
    <xf numFmtId="173" fontId="66" fillId="0" borderId="42" xfId="101" applyNumberFormat="1" applyFont="1" applyBorder="1" applyAlignment="1" applyProtection="1">
      <alignment horizontal="right"/>
    </xf>
    <xf numFmtId="173" fontId="66" fillId="0" borderId="41" xfId="101" applyNumberFormat="1" applyFont="1" applyBorder="1" applyAlignment="1" applyProtection="1">
      <alignment horizontal="right"/>
    </xf>
    <xf numFmtId="173" fontId="66" fillId="0" borderId="23" xfId="101" applyNumberFormat="1" applyFont="1" applyBorder="1" applyAlignment="1" applyProtection="1">
      <alignment horizontal="right"/>
    </xf>
    <xf numFmtId="43" fontId="88" fillId="0" borderId="0" xfId="69" applyFont="1" applyAlignment="1" applyProtection="1">
      <alignment horizontal="right"/>
    </xf>
    <xf numFmtId="184" fontId="88" fillId="0" borderId="0" xfId="69" applyNumberFormat="1" applyFont="1" applyAlignment="1" applyProtection="1">
      <alignment horizontal="right"/>
    </xf>
    <xf numFmtId="0" fontId="70" fillId="28" borderId="51" xfId="78" applyFont="1" applyFill="1" applyBorder="1">
      <alignment vertical="center"/>
    </xf>
    <xf numFmtId="0" fontId="70" fillId="28" borderId="54" xfId="78" applyFont="1" applyFill="1" applyBorder="1">
      <alignment vertical="center"/>
    </xf>
    <xf numFmtId="0" fontId="70" fillId="0" borderId="0" xfId="169" applyFont="1" applyAlignment="1">
      <alignment horizontal="right"/>
    </xf>
    <xf numFmtId="0" fontId="70" fillId="28" borderId="55" xfId="78" applyFont="1" applyFill="1" applyBorder="1">
      <alignment vertical="center"/>
    </xf>
    <xf numFmtId="0" fontId="70" fillId="28" borderId="89" xfId="169" applyFont="1" applyFill="1" applyBorder="1" applyAlignment="1">
      <alignment horizontal="right"/>
    </xf>
    <xf numFmtId="0" fontId="66" fillId="41" borderId="38" xfId="78" applyFont="1" applyFill="1" applyBorder="1">
      <alignment vertical="center"/>
    </xf>
    <xf numFmtId="0" fontId="66" fillId="41" borderId="16" xfId="180" applyFont="1" applyFill="1" applyBorder="1">
      <alignment vertical="center"/>
      <protection locked="0"/>
    </xf>
    <xf numFmtId="0" fontId="66" fillId="41" borderId="18" xfId="0" applyFont="1" applyFill="1" applyBorder="1" applyProtection="1">
      <protection locked="0"/>
    </xf>
    <xf numFmtId="173" fontId="4" fillId="41" borderId="17" xfId="101" applyNumberFormat="1" applyFont="1" applyFill="1" applyBorder="1" applyAlignment="1">
      <alignment horizontal="right"/>
    </xf>
    <xf numFmtId="173" fontId="4" fillId="41" borderId="17" xfId="101" applyNumberFormat="1" applyFont="1" applyFill="1" applyBorder="1" applyAlignment="1" applyProtection="1">
      <alignment horizontal="right"/>
    </xf>
    <xf numFmtId="173" fontId="4" fillId="41" borderId="48" xfId="101" applyNumberFormat="1" applyFont="1" applyFill="1" applyBorder="1" applyAlignment="1" applyProtection="1">
      <alignment horizontal="right"/>
    </xf>
    <xf numFmtId="173" fontId="4" fillId="41" borderId="18" xfId="101" applyNumberFormat="1" applyFont="1" applyFill="1" applyBorder="1" applyAlignment="1" applyProtection="1">
      <alignment horizontal="right"/>
    </xf>
    <xf numFmtId="173" fontId="4" fillId="0" borderId="0" xfId="101" applyNumberFormat="1" applyFont="1" applyFill="1" applyBorder="1" applyAlignment="1" applyProtection="1">
      <alignment horizontal="right"/>
    </xf>
    <xf numFmtId="0" fontId="66" fillId="41" borderId="39" xfId="78" applyFont="1" applyFill="1" applyBorder="1">
      <alignment vertical="center"/>
    </xf>
    <xf numFmtId="0" fontId="66" fillId="41" borderId="19" xfId="180" applyFont="1" applyFill="1" applyBorder="1">
      <alignment vertical="center"/>
      <protection locked="0"/>
    </xf>
    <xf numFmtId="0" fontId="66" fillId="41" borderId="20" xfId="0" applyFont="1" applyFill="1" applyBorder="1" applyProtection="1">
      <protection locked="0"/>
    </xf>
    <xf numFmtId="173" fontId="4" fillId="41" borderId="0" xfId="101" applyNumberFormat="1" applyFont="1" applyFill="1" applyBorder="1" applyAlignment="1" applyProtection="1">
      <alignment horizontal="right"/>
    </xf>
    <xf numFmtId="173" fontId="4" fillId="41" borderId="14" xfId="101" applyNumberFormat="1" applyFont="1" applyFill="1" applyBorder="1" applyAlignment="1" applyProtection="1">
      <alignment horizontal="right"/>
    </xf>
    <xf numFmtId="173" fontId="4" fillId="41" borderId="20" xfId="101" applyNumberFormat="1" applyFont="1" applyFill="1" applyBorder="1" applyAlignment="1" applyProtection="1">
      <alignment horizontal="right"/>
    </xf>
    <xf numFmtId="0" fontId="66" fillId="41" borderId="17" xfId="0" applyFont="1" applyFill="1" applyBorder="1" applyProtection="1">
      <protection locked="0"/>
    </xf>
    <xf numFmtId="173" fontId="4" fillId="41" borderId="19" xfId="101" applyNumberFormat="1" applyFont="1" applyFill="1" applyBorder="1" applyAlignment="1" applyProtection="1">
      <alignment horizontal="right"/>
    </xf>
    <xf numFmtId="0" fontId="70" fillId="40" borderId="0" xfId="0" applyFont="1" applyFill="1" applyAlignment="1">
      <alignment horizontal="center"/>
    </xf>
    <xf numFmtId="0" fontId="66" fillId="39" borderId="39" xfId="78" applyFont="1" applyFill="1" applyBorder="1">
      <alignment vertical="center"/>
    </xf>
    <xf numFmtId="172" fontId="66" fillId="39" borderId="0" xfId="111" applyNumberFormat="1" applyFont="1" applyFill="1" applyBorder="1" applyAlignment="1">
      <alignment horizontal="left" vertical="center"/>
    </xf>
    <xf numFmtId="172" fontId="66" fillId="39" borderId="20" xfId="111" applyNumberFormat="1" applyFont="1" applyFill="1" applyBorder="1" applyAlignment="1">
      <alignment horizontal="left" vertical="center"/>
    </xf>
    <xf numFmtId="173" fontId="4" fillId="39" borderId="0" xfId="101" applyNumberFormat="1" applyFont="1" applyFill="1" applyBorder="1" applyAlignment="1" applyProtection="1">
      <alignment horizontal="right"/>
    </xf>
    <xf numFmtId="173" fontId="4" fillId="39" borderId="14" xfId="101" applyNumberFormat="1" applyFont="1" applyFill="1" applyBorder="1" applyAlignment="1" applyProtection="1">
      <alignment horizontal="right"/>
    </xf>
    <xf numFmtId="173" fontId="4" fillId="39" borderId="20" xfId="101" applyNumberFormat="1" applyFont="1" applyFill="1" applyBorder="1" applyAlignment="1" applyProtection="1">
      <alignment horizontal="right"/>
    </xf>
    <xf numFmtId="173" fontId="4" fillId="39" borderId="19" xfId="101" applyNumberFormat="1" applyFont="1" applyFill="1" applyBorder="1" applyAlignment="1" applyProtection="1">
      <alignment horizontal="right"/>
    </xf>
    <xf numFmtId="0" fontId="70" fillId="40" borderId="0" xfId="103" applyFont="1" applyFill="1" applyBorder="1" applyAlignment="1">
      <alignment horizontal="right" vertical="center"/>
    </xf>
    <xf numFmtId="172" fontId="66" fillId="0" borderId="0" xfId="111" applyNumberFormat="1" applyFont="1" applyFill="1" applyBorder="1" applyAlignment="1">
      <alignment horizontal="left" vertical="center"/>
    </xf>
    <xf numFmtId="172" fontId="66" fillId="0" borderId="20" xfId="111" applyNumberFormat="1" applyFont="1" applyFill="1" applyBorder="1" applyAlignment="1">
      <alignment horizontal="left" vertical="center"/>
    </xf>
    <xf numFmtId="173" fontId="4" fillId="0" borderId="14" xfId="101" applyNumberFormat="1" applyFont="1" applyFill="1" applyBorder="1" applyAlignment="1" applyProtection="1">
      <alignment horizontal="right"/>
    </xf>
    <xf numFmtId="173" fontId="4" fillId="0" borderId="20" xfId="101" applyNumberFormat="1" applyFont="1" applyFill="1" applyBorder="1" applyAlignment="1" applyProtection="1">
      <alignment horizontal="right"/>
    </xf>
    <xf numFmtId="173" fontId="4" fillId="0" borderId="19" xfId="101" applyNumberFormat="1" applyFont="1" applyFill="1" applyBorder="1" applyAlignment="1" applyProtection="1">
      <alignment horizontal="right"/>
    </xf>
    <xf numFmtId="173" fontId="66" fillId="40" borderId="0" xfId="101" applyNumberFormat="1" applyFont="1" applyFill="1" applyBorder="1" applyProtection="1"/>
    <xf numFmtId="0" fontId="66" fillId="41" borderId="105" xfId="78" applyFont="1" applyFill="1" applyBorder="1">
      <alignment vertical="center"/>
    </xf>
    <xf numFmtId="0" fontId="66" fillId="41" borderId="106" xfId="180" applyFont="1" applyFill="1" applyBorder="1">
      <alignment vertical="center"/>
      <protection locked="0"/>
    </xf>
    <xf numFmtId="0" fontId="66" fillId="41" borderId="88" xfId="0" applyFont="1" applyFill="1" applyBorder="1" applyProtection="1">
      <protection locked="0"/>
    </xf>
    <xf numFmtId="173" fontId="4" fillId="41" borderId="28" xfId="101" applyNumberFormat="1" applyFont="1" applyFill="1" applyBorder="1" applyAlignment="1">
      <alignment horizontal="right"/>
    </xf>
    <xf numFmtId="173" fontId="4" fillId="41" borderId="28" xfId="101" applyNumberFormat="1" applyFont="1" applyFill="1" applyBorder="1" applyAlignment="1" applyProtection="1">
      <alignment horizontal="right"/>
    </xf>
    <xf numFmtId="173" fontId="4" fillId="41" borderId="29" xfId="101" applyNumberFormat="1" applyFont="1" applyFill="1" applyBorder="1" applyAlignment="1" applyProtection="1">
      <alignment horizontal="right"/>
    </xf>
    <xf numFmtId="173" fontId="4" fillId="41" borderId="88" xfId="101" applyNumberFormat="1" applyFont="1" applyFill="1" applyBorder="1" applyAlignment="1" applyProtection="1">
      <alignment horizontal="right"/>
    </xf>
    <xf numFmtId="0" fontId="66" fillId="41" borderId="28" xfId="0" applyFont="1" applyFill="1" applyBorder="1" applyProtection="1">
      <protection locked="0"/>
    </xf>
    <xf numFmtId="173" fontId="4" fillId="41" borderId="106" xfId="101" applyNumberFormat="1" applyFont="1" applyFill="1" applyBorder="1" applyAlignment="1" applyProtection="1">
      <alignment horizontal="right"/>
    </xf>
    <xf numFmtId="0" fontId="66" fillId="0" borderId="107" xfId="78" applyFont="1" applyFill="1" applyBorder="1">
      <alignment vertical="center"/>
    </xf>
    <xf numFmtId="172" fontId="66" fillId="0" borderId="13" xfId="111" applyNumberFormat="1" applyFont="1" applyFill="1" applyBorder="1" applyAlignment="1">
      <alignment horizontal="left" vertical="center"/>
    </xf>
    <xf numFmtId="172" fontId="66" fillId="0" borderId="46" xfId="111" applyNumberFormat="1" applyFont="1" applyFill="1" applyBorder="1" applyAlignment="1">
      <alignment horizontal="left" vertical="center"/>
    </xf>
    <xf numFmtId="173" fontId="4" fillId="0" borderId="13" xfId="101" applyNumberFormat="1" applyFont="1" applyFill="1" applyBorder="1" applyAlignment="1" applyProtection="1">
      <alignment horizontal="right"/>
    </xf>
    <xf numFmtId="173" fontId="4" fillId="0" borderId="15" xfId="101" applyNumberFormat="1" applyFont="1" applyFill="1" applyBorder="1" applyAlignment="1" applyProtection="1">
      <alignment horizontal="right"/>
    </xf>
    <xf numFmtId="173" fontId="4" fillId="0" borderId="46" xfId="101" applyNumberFormat="1" applyFont="1" applyFill="1" applyBorder="1" applyAlignment="1" applyProtection="1">
      <alignment horizontal="right"/>
    </xf>
    <xf numFmtId="173" fontId="4" fillId="0" borderId="73" xfId="101" applyNumberFormat="1" applyFont="1" applyFill="1" applyBorder="1" applyAlignment="1" applyProtection="1">
      <alignment horizontal="right"/>
    </xf>
    <xf numFmtId="172" fontId="66" fillId="0" borderId="22" xfId="111" applyNumberFormat="1" applyFont="1" applyFill="1" applyBorder="1" applyAlignment="1">
      <alignment horizontal="left" vertical="center"/>
    </xf>
    <xf numFmtId="172" fontId="66" fillId="0" borderId="23" xfId="111" applyNumberFormat="1" applyFont="1" applyFill="1" applyBorder="1" applyAlignment="1">
      <alignment horizontal="left" vertical="center"/>
    </xf>
    <xf numFmtId="173" fontId="4" fillId="0" borderId="22" xfId="101" applyNumberFormat="1" applyFont="1" applyFill="1" applyBorder="1" applyAlignment="1" applyProtection="1">
      <alignment horizontal="right"/>
    </xf>
    <xf numFmtId="173" fontId="4" fillId="0" borderId="42" xfId="101" applyNumberFormat="1" applyFont="1" applyFill="1" applyBorder="1" applyAlignment="1" applyProtection="1">
      <alignment horizontal="right"/>
    </xf>
    <xf numFmtId="173" fontId="4" fillId="0" borderId="23" xfId="101" applyNumberFormat="1" applyFont="1" applyFill="1" applyBorder="1" applyAlignment="1" applyProtection="1">
      <alignment horizontal="right"/>
    </xf>
    <xf numFmtId="173" fontId="4" fillId="0" borderId="21" xfId="101" applyNumberFormat="1" applyFont="1" applyFill="1" applyBorder="1" applyAlignment="1" applyProtection="1">
      <alignment horizontal="right"/>
    </xf>
    <xf numFmtId="172" fontId="87" fillId="29" borderId="19" xfId="213" applyNumberFormat="1" applyFont="1" applyFill="1" applyBorder="1" applyAlignment="1">
      <alignment horizontal="left" vertical="center" indent="1"/>
    </xf>
    <xf numFmtId="172" fontId="87" fillId="29" borderId="0" xfId="213" applyNumberFormat="1" applyFont="1" applyFill="1" applyBorder="1">
      <alignment horizontal="right" vertical="center"/>
    </xf>
    <xf numFmtId="2" fontId="87" fillId="29" borderId="0" xfId="0" applyNumberFormat="1" applyFont="1" applyFill="1" applyAlignment="1">
      <alignment horizontal="right"/>
    </xf>
    <xf numFmtId="2" fontId="87" fillId="29" borderId="14" xfId="0" applyNumberFormat="1" applyFont="1" applyFill="1" applyBorder="1" applyAlignment="1">
      <alignment horizontal="right"/>
    </xf>
    <xf numFmtId="173" fontId="87" fillId="29" borderId="14" xfId="101" applyNumberFormat="1" applyFont="1" applyFill="1" applyBorder="1" applyAlignment="1" applyProtection="1">
      <alignment horizontal="right"/>
    </xf>
    <xf numFmtId="173" fontId="87" fillId="29" borderId="0" xfId="101" applyNumberFormat="1" applyFont="1" applyFill="1" applyBorder="1" applyAlignment="1" applyProtection="1">
      <alignment horizontal="right"/>
    </xf>
    <xf numFmtId="173" fontId="87" fillId="29" borderId="20" xfId="101" applyNumberFormat="1" applyFont="1" applyFill="1" applyBorder="1" applyAlignment="1" applyProtection="1">
      <alignment horizontal="right"/>
    </xf>
    <xf numFmtId="172" fontId="78" fillId="0" borderId="0" xfId="111" applyNumberFormat="1" applyFont="1">
      <alignment horizontal="right" vertical="center"/>
    </xf>
    <xf numFmtId="172" fontId="78" fillId="27" borderId="0" xfId="111" applyNumberFormat="1" applyFont="1" applyFill="1">
      <alignment horizontal="right" vertical="center"/>
    </xf>
    <xf numFmtId="0" fontId="111" fillId="0" borderId="0" xfId="0" applyFont="1" applyAlignment="1">
      <alignment horizontal="right"/>
    </xf>
    <xf numFmtId="0" fontId="111" fillId="0" borderId="0" xfId="0" applyFont="1"/>
    <xf numFmtId="172" fontId="112" fillId="27" borderId="0" xfId="0" applyNumberFormat="1" applyFont="1" applyFill="1"/>
    <xf numFmtId="0" fontId="108" fillId="0" borderId="0" xfId="0" applyFont="1" applyAlignment="1">
      <alignment horizontal="right"/>
    </xf>
    <xf numFmtId="0" fontId="66" fillId="0" borderId="0" xfId="205" applyFont="1"/>
    <xf numFmtId="184" fontId="66" fillId="32" borderId="72" xfId="112" applyNumberFormat="1" applyFont="1" applyFill="1" applyBorder="1" applyAlignment="1" applyProtection="1">
      <alignment horizontal="center" vertical="center"/>
      <protection locked="0"/>
    </xf>
    <xf numFmtId="184" fontId="66" fillId="32" borderId="45" xfId="112" applyNumberFormat="1" applyFont="1" applyFill="1" applyBorder="1" applyAlignment="1" applyProtection="1">
      <alignment horizontal="center" vertical="center"/>
      <protection locked="0"/>
    </xf>
    <xf numFmtId="184" fontId="66" fillId="32" borderId="80" xfId="112" applyNumberFormat="1" applyFont="1" applyFill="1" applyBorder="1" applyAlignment="1" applyProtection="1">
      <alignment horizontal="center" vertical="center"/>
      <protection locked="0"/>
    </xf>
    <xf numFmtId="0" fontId="81" fillId="27" borderId="0" xfId="143" applyFont="1" applyFill="1"/>
    <xf numFmtId="2" fontId="81" fillId="27" borderId="0" xfId="143" applyNumberFormat="1" applyFont="1" applyFill="1"/>
    <xf numFmtId="172" fontId="70" fillId="27" borderId="54" xfId="0" applyNumberFormat="1" applyFont="1" applyFill="1" applyBorder="1" applyAlignment="1">
      <alignment vertical="top"/>
    </xf>
    <xf numFmtId="172" fontId="70" fillId="27" borderId="55" xfId="0" applyNumberFormat="1" applyFont="1" applyFill="1" applyBorder="1" applyAlignment="1">
      <alignment vertical="top"/>
    </xf>
    <xf numFmtId="172" fontId="70" fillId="27" borderId="56" xfId="0" applyNumberFormat="1" applyFont="1" applyFill="1" applyBorder="1" applyAlignment="1">
      <alignment vertical="top"/>
    </xf>
    <xf numFmtId="172" fontId="66" fillId="27" borderId="0" xfId="143" applyNumberFormat="1" applyFont="1" applyFill="1" applyAlignment="1">
      <alignment vertical="top"/>
    </xf>
    <xf numFmtId="172" fontId="66" fillId="27" borderId="0" xfId="143" applyNumberFormat="1" applyFont="1" applyFill="1" applyAlignment="1">
      <alignment horizontal="right" vertical="top"/>
    </xf>
    <xf numFmtId="172" fontId="66" fillId="32" borderId="77" xfId="143" applyNumberFormat="1" applyFont="1" applyFill="1" applyBorder="1" applyProtection="1">
      <protection locked="0"/>
    </xf>
    <xf numFmtId="172" fontId="66" fillId="32" borderId="25" xfId="143" applyNumberFormat="1" applyFont="1" applyFill="1" applyBorder="1" applyProtection="1">
      <protection locked="0"/>
    </xf>
    <xf numFmtId="172" fontId="66" fillId="32" borderId="53" xfId="143" applyNumberFormat="1" applyFont="1" applyFill="1" applyBorder="1" applyProtection="1">
      <protection locked="0"/>
    </xf>
    <xf numFmtId="172" fontId="66" fillId="0" borderId="0" xfId="143" applyNumberFormat="1" applyFont="1" applyProtection="1">
      <protection locked="0"/>
    </xf>
    <xf numFmtId="172" fontId="66" fillId="0" borderId="0" xfId="143" applyNumberFormat="1" applyFont="1"/>
    <xf numFmtId="172" fontId="66" fillId="32" borderId="79" xfId="143" applyNumberFormat="1" applyFont="1" applyFill="1" applyBorder="1" applyProtection="1">
      <protection locked="0"/>
    </xf>
    <xf numFmtId="172" fontId="66" fillId="32" borderId="32" xfId="143" applyNumberFormat="1" applyFont="1" applyFill="1" applyBorder="1" applyProtection="1">
      <protection locked="0"/>
    </xf>
    <xf numFmtId="172" fontId="66" fillId="32" borderId="44" xfId="143" applyNumberFormat="1" applyFont="1" applyFill="1" applyBorder="1" applyProtection="1">
      <protection locked="0"/>
    </xf>
    <xf numFmtId="172" fontId="56" fillId="0" borderId="55" xfId="143" applyNumberFormat="1" applyFont="1" applyBorder="1" applyProtection="1">
      <protection locked="0"/>
    </xf>
    <xf numFmtId="172" fontId="56" fillId="0" borderId="0" xfId="143" applyNumberFormat="1" applyFont="1" applyProtection="1">
      <protection locked="0"/>
    </xf>
    <xf numFmtId="172" fontId="56" fillId="0" borderId="0" xfId="143" applyNumberFormat="1" applyFont="1"/>
    <xf numFmtId="172" fontId="56" fillId="0" borderId="55" xfId="143" applyNumberFormat="1" applyFont="1" applyBorder="1"/>
    <xf numFmtId="172" fontId="66" fillId="27" borderId="0" xfId="143" applyNumberFormat="1" applyFont="1" applyFill="1"/>
    <xf numFmtId="172" fontId="70" fillId="27" borderId="32" xfId="143" applyNumberFormat="1" applyFont="1" applyFill="1" applyBorder="1"/>
    <xf numFmtId="172" fontId="66" fillId="32" borderId="18" xfId="114" applyNumberFormat="1" applyFont="1" applyFill="1" applyBorder="1" applyProtection="1">
      <alignment horizontal="right" vertical="center"/>
      <protection locked="0"/>
    </xf>
    <xf numFmtId="170" fontId="66" fillId="32" borderId="53" xfId="114" applyNumberFormat="1" applyFont="1" applyFill="1" applyBorder="1" applyProtection="1">
      <alignment horizontal="right" vertical="center"/>
      <protection locked="0"/>
    </xf>
    <xf numFmtId="0" fontId="66" fillId="0" borderId="0" xfId="0" applyFont="1" applyAlignment="1" applyProtection="1">
      <alignment horizontal="left" vertical="center"/>
      <protection locked="0"/>
    </xf>
    <xf numFmtId="0" fontId="66" fillId="0" borderId="0" xfId="0" applyFont="1" applyAlignment="1" applyProtection="1">
      <alignment horizontal="center" vertical="center"/>
      <protection locked="0"/>
    </xf>
    <xf numFmtId="172" fontId="66" fillId="32" borderId="8" xfId="0" applyNumberFormat="1" applyFont="1" applyFill="1" applyBorder="1" applyProtection="1">
      <protection locked="0"/>
    </xf>
    <xf numFmtId="2" fontId="89" fillId="0" borderId="0" xfId="0" applyNumberFormat="1" applyFont="1"/>
    <xf numFmtId="0" fontId="70" fillId="0" borderId="0" xfId="103" applyFont="1" applyFill="1" applyBorder="1" applyAlignment="1">
      <alignment horizontal="right" vertical="center"/>
    </xf>
    <xf numFmtId="173" fontId="70" fillId="0" borderId="25" xfId="111" applyNumberFormat="1" applyFont="1" applyFill="1" applyBorder="1">
      <alignment horizontal="right" vertical="center"/>
    </xf>
    <xf numFmtId="172" fontId="66" fillId="0" borderId="30" xfId="0" applyNumberFormat="1" applyFont="1" applyBorder="1"/>
    <xf numFmtId="9" fontId="87" fillId="27" borderId="30" xfId="101" applyFont="1" applyFill="1" applyBorder="1" applyAlignment="1" applyProtection="1">
      <alignment horizontal="right" vertical="center"/>
    </xf>
    <xf numFmtId="9" fontId="87" fillId="27" borderId="31" xfId="101" applyFont="1" applyFill="1" applyBorder="1" applyAlignment="1" applyProtection="1">
      <alignment horizontal="right" vertical="center"/>
    </xf>
    <xf numFmtId="172" fontId="66" fillId="29" borderId="14" xfId="0" applyNumberFormat="1" applyFont="1" applyFill="1" applyBorder="1"/>
    <xf numFmtId="172" fontId="66" fillId="29" borderId="0" xfId="0" applyNumberFormat="1" applyFont="1" applyFill="1"/>
    <xf numFmtId="172" fontId="66" fillId="29" borderId="30" xfId="0" applyNumberFormat="1" applyFont="1" applyFill="1" applyBorder="1"/>
    <xf numFmtId="172" fontId="66" fillId="29" borderId="15" xfId="0" applyNumberFormat="1" applyFont="1" applyFill="1" applyBorder="1"/>
    <xf numFmtId="172" fontId="66" fillId="29" borderId="13" xfId="0" applyNumberFormat="1" applyFont="1" applyFill="1" applyBorder="1"/>
    <xf numFmtId="172" fontId="66" fillId="29" borderId="31" xfId="0" applyNumberFormat="1" applyFont="1" applyFill="1" applyBorder="1"/>
    <xf numFmtId="172" fontId="70" fillId="0" borderId="28" xfId="0" applyNumberFormat="1" applyFont="1" applyBorder="1"/>
    <xf numFmtId="172" fontId="70" fillId="0" borderId="27" xfId="0" applyNumberFormat="1" applyFont="1" applyBorder="1"/>
    <xf numFmtId="172" fontId="70" fillId="0" borderId="29" xfId="0" applyNumberFormat="1" applyFont="1" applyBorder="1"/>
    <xf numFmtId="172" fontId="66" fillId="0" borderId="13" xfId="0" applyNumberFormat="1" applyFont="1" applyBorder="1"/>
    <xf numFmtId="172" fontId="66" fillId="0" borderId="31" xfId="0" applyNumberFormat="1" applyFont="1" applyBorder="1"/>
    <xf numFmtId="172" fontId="66" fillId="0" borderId="15" xfId="0" applyNumberFormat="1" applyFont="1" applyBorder="1"/>
    <xf numFmtId="172" fontId="66" fillId="29" borderId="28" xfId="0" applyNumberFormat="1" applyFont="1" applyFill="1" applyBorder="1"/>
    <xf numFmtId="172" fontId="66" fillId="29" borderId="27" xfId="0" applyNumberFormat="1" applyFont="1" applyFill="1" applyBorder="1"/>
    <xf numFmtId="172" fontId="66" fillId="29" borderId="29" xfId="0" applyNumberFormat="1" applyFont="1" applyFill="1" applyBorder="1"/>
    <xf numFmtId="172" fontId="70" fillId="27" borderId="29" xfId="0" applyNumberFormat="1" applyFont="1" applyFill="1" applyBorder="1" applyAlignment="1">
      <alignment horizontal="right"/>
    </xf>
    <xf numFmtId="172" fontId="70" fillId="27" borderId="0" xfId="0" applyNumberFormat="1" applyFont="1" applyFill="1" applyAlignment="1">
      <alignment horizontal="right"/>
    </xf>
    <xf numFmtId="172" fontId="70" fillId="27" borderId="30" xfId="0" applyNumberFormat="1" applyFont="1" applyFill="1" applyBorder="1" applyAlignment="1">
      <alignment horizontal="right"/>
    </xf>
    <xf numFmtId="172" fontId="70" fillId="29" borderId="14" xfId="0" applyNumberFormat="1" applyFont="1" applyFill="1" applyBorder="1" applyAlignment="1">
      <alignment horizontal="right"/>
    </xf>
    <xf numFmtId="172" fontId="70" fillId="29" borderId="0" xfId="0" applyNumberFormat="1" applyFont="1" applyFill="1" applyAlignment="1">
      <alignment horizontal="right"/>
    </xf>
    <xf numFmtId="172" fontId="66" fillId="29" borderId="14" xfId="0" applyNumberFormat="1" applyFont="1" applyFill="1" applyBorder="1" applyAlignment="1">
      <alignment horizontal="right"/>
    </xf>
    <xf numFmtId="172" fontId="66" fillId="29" borderId="0" xfId="0" applyNumberFormat="1" applyFont="1" applyFill="1" applyAlignment="1">
      <alignment horizontal="right"/>
    </xf>
    <xf numFmtId="172" fontId="88" fillId="29" borderId="14" xfId="69" applyNumberFormat="1" applyFont="1" applyFill="1" applyBorder="1" applyAlignment="1" applyProtection="1">
      <alignment horizontal="right"/>
    </xf>
    <xf numFmtId="172" fontId="88" fillId="29" borderId="0" xfId="69" applyNumberFormat="1" applyFont="1" applyFill="1" applyBorder="1" applyAlignment="1" applyProtection="1">
      <alignment horizontal="right"/>
    </xf>
    <xf numFmtId="172" fontId="88" fillId="29" borderId="15" xfId="69" applyNumberFormat="1" applyFont="1" applyFill="1" applyBorder="1" applyAlignment="1" applyProtection="1">
      <alignment horizontal="right"/>
    </xf>
    <xf numFmtId="172" fontId="88" fillId="29" borderId="13" xfId="69" applyNumberFormat="1" applyFont="1" applyFill="1" applyBorder="1" applyAlignment="1" applyProtection="1">
      <alignment horizontal="right"/>
    </xf>
    <xf numFmtId="172" fontId="70" fillId="0" borderId="43" xfId="0" applyNumberFormat="1" applyFont="1" applyBorder="1"/>
    <xf numFmtId="172" fontId="88" fillId="29" borderId="48" xfId="69" applyNumberFormat="1" applyFont="1" applyFill="1" applyBorder="1" applyAlignment="1" applyProtection="1">
      <alignment horizontal="right"/>
    </xf>
    <xf numFmtId="172" fontId="88" fillId="29" borderId="17" xfId="69" applyNumberFormat="1" applyFont="1" applyFill="1" applyBorder="1" applyAlignment="1" applyProtection="1">
      <alignment horizontal="right"/>
    </xf>
    <xf numFmtId="172" fontId="66" fillId="34" borderId="51" xfId="111" applyNumberFormat="1" applyFont="1" applyFill="1" applyBorder="1">
      <alignment horizontal="right" vertical="center"/>
    </xf>
    <xf numFmtId="172" fontId="107" fillId="0" borderId="0" xfId="111" applyNumberFormat="1" applyFont="1">
      <alignment horizontal="right" vertical="center"/>
    </xf>
    <xf numFmtId="172" fontId="66" fillId="0" borderId="0" xfId="112" applyNumberFormat="1" applyFont="1" applyFill="1" applyBorder="1">
      <alignment horizontal="right" vertical="center"/>
    </xf>
    <xf numFmtId="10" fontId="66" fillId="0" borderId="0" xfId="211" applyNumberFormat="1" applyFont="1" applyFill="1" applyBorder="1">
      <alignment horizontal="right" vertical="center"/>
    </xf>
    <xf numFmtId="174" fontId="66" fillId="0" borderId="0" xfId="211" applyNumberFormat="1" applyFont="1" applyBorder="1">
      <alignment horizontal="right" vertical="center"/>
    </xf>
    <xf numFmtId="165" fontId="66" fillId="0" borderId="0" xfId="211" applyFont="1" applyBorder="1">
      <alignment horizontal="right" vertical="center"/>
    </xf>
    <xf numFmtId="165" fontId="66" fillId="0" borderId="22" xfId="211" applyFont="1" applyBorder="1">
      <alignment horizontal="right" vertical="center"/>
    </xf>
    <xf numFmtId="0" fontId="107" fillId="0" borderId="0" xfId="0" applyFont="1" applyAlignment="1">
      <alignment horizontal="right"/>
    </xf>
    <xf numFmtId="0" fontId="66" fillId="27" borderId="20" xfId="0" applyFont="1" applyFill="1" applyBorder="1" applyAlignment="1">
      <alignment vertical="center"/>
    </xf>
    <xf numFmtId="0" fontId="66" fillId="0" borderId="16" xfId="205" applyFont="1" applyBorder="1"/>
    <xf numFmtId="0" fontId="66" fillId="0" borderId="17" xfId="205" applyFont="1" applyBorder="1"/>
    <xf numFmtId="0" fontId="66" fillId="0" borderId="18" xfId="205" applyFont="1" applyBorder="1"/>
    <xf numFmtId="0" fontId="66" fillId="27" borderId="0" xfId="205" applyFont="1" applyFill="1"/>
    <xf numFmtId="0" fontId="66" fillId="0" borderId="20" xfId="205" applyFont="1" applyBorder="1"/>
    <xf numFmtId="0" fontId="66" fillId="0" borderId="19" xfId="205" applyFont="1" applyBorder="1" applyAlignment="1">
      <alignment horizontal="left" indent="1"/>
    </xf>
    <xf numFmtId="0" fontId="66" fillId="0" borderId="0" xfId="205" applyFont="1" applyAlignment="1">
      <alignment horizontal="left" indent="1"/>
    </xf>
    <xf numFmtId="0" fontId="56" fillId="27" borderId="19" xfId="205" applyFont="1" applyFill="1" applyBorder="1" applyAlignment="1">
      <alignment horizontal="left" vertical="top" indent="1"/>
    </xf>
    <xf numFmtId="0" fontId="66" fillId="27" borderId="0" xfId="205" applyFont="1" applyFill="1" applyAlignment="1">
      <alignment horizontal="left" indent="1"/>
    </xf>
    <xf numFmtId="0" fontId="66" fillId="0" borderId="21" xfId="205" applyFont="1" applyBorder="1"/>
    <xf numFmtId="0" fontId="66" fillId="0" borderId="22" xfId="205" applyFont="1" applyBorder="1"/>
    <xf numFmtId="0" fontId="66" fillId="0" borderId="23" xfId="205" applyFont="1" applyBorder="1"/>
    <xf numFmtId="0" fontId="66" fillId="27" borderId="17" xfId="205" applyFont="1" applyFill="1" applyBorder="1"/>
    <xf numFmtId="0" fontId="56" fillId="27" borderId="19" xfId="205" applyFont="1" applyFill="1" applyBorder="1" applyAlignment="1">
      <alignment horizontal="left" indent="1"/>
    </xf>
    <xf numFmtId="0" fontId="66" fillId="0" borderId="19" xfId="205" applyFont="1" applyBorder="1"/>
    <xf numFmtId="10" fontId="66" fillId="0" borderId="0" xfId="205" applyNumberFormat="1" applyFont="1"/>
    <xf numFmtId="0" fontId="70" fillId="27" borderId="19" xfId="205" applyFont="1" applyFill="1" applyBorder="1" applyAlignment="1">
      <alignment horizontal="left" indent="1"/>
    </xf>
    <xf numFmtId="0" fontId="55" fillId="27" borderId="19" xfId="205" applyFont="1" applyFill="1" applyBorder="1" applyAlignment="1">
      <alignment horizontal="left" indent="2"/>
    </xf>
    <xf numFmtId="173" fontId="66" fillId="0" borderId="0" xfId="207" applyNumberFormat="1" applyFont="1" applyProtection="1"/>
    <xf numFmtId="0" fontId="56" fillId="0" borderId="0" xfId="140" applyFont="1" applyAlignment="1">
      <alignment vertical="center"/>
    </xf>
    <xf numFmtId="165" fontId="66" fillId="32" borderId="24" xfId="111" applyFont="1" applyFill="1" applyBorder="1" applyProtection="1">
      <alignment horizontal="right" vertical="center"/>
      <protection locked="0"/>
    </xf>
    <xf numFmtId="10" fontId="70" fillId="28" borderId="25" xfId="207" applyNumberFormat="1" applyFont="1" applyFill="1" applyBorder="1" applyAlignment="1" applyProtection="1">
      <alignment horizontal="right" vertical="top" wrapText="1"/>
    </xf>
    <xf numFmtId="10" fontId="70" fillId="28" borderId="26" xfId="207" applyNumberFormat="1" applyFont="1" applyFill="1" applyBorder="1" applyAlignment="1" applyProtection="1">
      <alignment horizontal="right" vertical="top" wrapText="1"/>
    </xf>
    <xf numFmtId="0" fontId="66" fillId="27" borderId="20" xfId="205" applyFont="1" applyFill="1" applyBorder="1"/>
    <xf numFmtId="10" fontId="70" fillId="27" borderId="20" xfId="207" applyNumberFormat="1" applyFont="1" applyFill="1" applyBorder="1" applyAlignment="1" applyProtection="1">
      <alignment horizontal="right" vertical="top" wrapText="1"/>
    </xf>
    <xf numFmtId="0" fontId="66" fillId="27" borderId="18" xfId="205" applyFont="1" applyFill="1" applyBorder="1"/>
    <xf numFmtId="10" fontId="55" fillId="27" borderId="20" xfId="207" applyNumberFormat="1" applyFont="1" applyFill="1" applyBorder="1" applyProtection="1"/>
    <xf numFmtId="0" fontId="114" fillId="30" borderId="0" xfId="0" applyFont="1" applyFill="1"/>
    <xf numFmtId="0" fontId="70" fillId="0" borderId="22" xfId="78" applyFont="1" applyFill="1" applyBorder="1">
      <alignment vertical="center"/>
    </xf>
    <xf numFmtId="172" fontId="66" fillId="0" borderId="22" xfId="111" applyNumberFormat="1" applyFont="1" applyFill="1" applyBorder="1">
      <alignment horizontal="right" vertical="center"/>
    </xf>
    <xf numFmtId="0" fontId="75" fillId="0" borderId="13" xfId="0" applyFont="1" applyBorder="1"/>
    <xf numFmtId="0" fontId="65" fillId="0" borderId="0" xfId="138" applyFont="1" applyFill="1" applyBorder="1" applyAlignment="1">
      <alignment horizontal="center" vertical="center"/>
    </xf>
    <xf numFmtId="0" fontId="77" fillId="0" borderId="0" xfId="0" applyFont="1" applyAlignment="1">
      <alignment horizontal="center" wrapText="1"/>
    </xf>
    <xf numFmtId="10" fontId="4" fillId="0" borderId="0" xfId="101" applyNumberFormat="1" applyFont="1" applyProtection="1"/>
    <xf numFmtId="172" fontId="111" fillId="0" borderId="0" xfId="0" applyNumberFormat="1" applyFont="1"/>
    <xf numFmtId="173" fontId="111" fillId="0" borderId="20" xfId="101" applyNumberFormat="1" applyFont="1" applyFill="1" applyBorder="1" applyAlignment="1" applyProtection="1">
      <alignment horizontal="right"/>
    </xf>
    <xf numFmtId="0" fontId="66" fillId="0" borderId="17" xfId="143" applyFont="1" applyBorder="1"/>
    <xf numFmtId="0" fontId="81" fillId="27" borderId="17" xfId="143" applyFont="1" applyFill="1" applyBorder="1"/>
    <xf numFmtId="0" fontId="81" fillId="0" borderId="18" xfId="143" applyFont="1" applyBorder="1"/>
    <xf numFmtId="0" fontId="81" fillId="0" borderId="20" xfId="143" applyFont="1" applyBorder="1"/>
    <xf numFmtId="0" fontId="81" fillId="0" borderId="23" xfId="143" applyFont="1" applyBorder="1"/>
    <xf numFmtId="0" fontId="66" fillId="32" borderId="107" xfId="143" applyFont="1" applyFill="1" applyBorder="1" applyProtection="1">
      <protection locked="0"/>
    </xf>
    <xf numFmtId="0" fontId="66" fillId="32" borderId="107" xfId="143" applyFont="1" applyFill="1" applyBorder="1" applyAlignment="1" applyProtection="1">
      <alignment horizontal="center"/>
      <protection locked="0"/>
    </xf>
    <xf numFmtId="0" fontId="56" fillId="0" borderId="51" xfId="143" applyFont="1" applyBorder="1" applyAlignment="1">
      <alignment vertical="top" wrapText="1"/>
    </xf>
    <xf numFmtId="0" fontId="56" fillId="0" borderId="51" xfId="143" applyFont="1" applyBorder="1" applyAlignment="1">
      <alignment vertical="top"/>
    </xf>
    <xf numFmtId="0" fontId="56" fillId="0" borderId="55" xfId="0" applyFont="1" applyBorder="1" applyAlignment="1">
      <alignment horizontal="center" vertical="top" wrapText="1"/>
    </xf>
    <xf numFmtId="0" fontId="56" fillId="0" borderId="54" xfId="143" applyFont="1" applyBorder="1" applyAlignment="1">
      <alignment horizontal="center" vertical="top" wrapText="1"/>
    </xf>
    <xf numFmtId="0" fontId="66" fillId="0" borderId="22" xfId="143" applyFont="1" applyBorder="1"/>
    <xf numFmtId="172" fontId="66" fillId="32" borderId="71" xfId="143" applyNumberFormat="1" applyFont="1" applyFill="1" applyBorder="1" applyProtection="1">
      <protection locked="0"/>
    </xf>
    <xf numFmtId="172" fontId="66" fillId="32" borderId="49" xfId="143" applyNumberFormat="1" applyFont="1" applyFill="1" applyBorder="1" applyProtection="1">
      <protection locked="0"/>
    </xf>
    <xf numFmtId="172" fontId="66" fillId="32" borderId="37" xfId="143" applyNumberFormat="1" applyFont="1" applyFill="1" applyBorder="1" applyProtection="1">
      <protection locked="0"/>
    </xf>
    <xf numFmtId="172" fontId="87" fillId="0" borderId="0" xfId="111" applyNumberFormat="1" applyFont="1" applyFill="1" applyBorder="1">
      <alignment horizontal="right" vertical="center"/>
    </xf>
    <xf numFmtId="4" fontId="111" fillId="0" borderId="0" xfId="0" applyNumberFormat="1" applyFont="1"/>
    <xf numFmtId="172" fontId="113" fillId="0" borderId="0" xfId="111" applyNumberFormat="1" applyFont="1" applyAlignment="1">
      <alignment horizontal="left" vertical="center"/>
    </xf>
    <xf numFmtId="172" fontId="66" fillId="32" borderId="16" xfId="114" applyNumberFormat="1" applyFont="1" applyFill="1" applyBorder="1" applyProtection="1">
      <alignment horizontal="right" vertical="center"/>
      <protection locked="0"/>
    </xf>
    <xf numFmtId="170" fontId="66" fillId="32" borderId="77" xfId="114" applyNumberFormat="1" applyFont="1" applyFill="1" applyBorder="1" applyProtection="1">
      <alignment horizontal="right" vertical="center"/>
      <protection locked="0"/>
    </xf>
    <xf numFmtId="0" fontId="4" fillId="29" borderId="27" xfId="89" applyFill="1" applyBorder="1" applyAlignment="1">
      <alignment horizontal="left" vertical="center"/>
    </xf>
    <xf numFmtId="0" fontId="66" fillId="29" borderId="29" xfId="0" applyFont="1" applyFill="1" applyBorder="1"/>
    <xf numFmtId="0" fontId="4" fillId="29" borderId="30" xfId="89" applyFill="1" applyBorder="1" applyAlignment="1">
      <alignment horizontal="left" vertical="center"/>
    </xf>
    <xf numFmtId="0" fontId="66" fillId="29" borderId="14" xfId="0" applyFont="1" applyFill="1" applyBorder="1"/>
    <xf numFmtId="0" fontId="4" fillId="29" borderId="31" xfId="89" applyFill="1" applyBorder="1" applyAlignment="1">
      <alignment horizontal="left" vertical="center"/>
    </xf>
    <xf numFmtId="0" fontId="66" fillId="29" borderId="15" xfId="0" applyFont="1" applyFill="1" applyBorder="1"/>
    <xf numFmtId="172" fontId="66" fillId="29" borderId="27" xfId="114" applyNumberFormat="1" applyFont="1" applyFill="1" applyBorder="1" applyAlignment="1">
      <alignment horizontal="left" vertical="center"/>
    </xf>
    <xf numFmtId="172" fontId="66" fillId="29" borderId="29" xfId="114" applyNumberFormat="1" applyFont="1" applyFill="1" applyBorder="1">
      <alignment horizontal="right" vertical="center"/>
    </xf>
    <xf numFmtId="172" fontId="66" fillId="29" borderId="31" xfId="114" applyNumberFormat="1" applyFont="1" applyFill="1" applyBorder="1" applyAlignment="1">
      <alignment horizontal="left" vertical="center"/>
    </xf>
    <xf numFmtId="172" fontId="66" fillId="29" borderId="15" xfId="114" applyNumberFormat="1" applyFont="1" applyFill="1" applyBorder="1">
      <alignment horizontal="right" vertical="center"/>
    </xf>
    <xf numFmtId="0" fontId="70" fillId="27" borderId="30" xfId="0" applyFont="1" applyFill="1" applyBorder="1"/>
    <xf numFmtId="172" fontId="87" fillId="27" borderId="30" xfId="114" applyNumberFormat="1" applyFont="1" applyFill="1" applyBorder="1" applyAlignment="1">
      <alignment horizontal="left" vertical="center"/>
    </xf>
    <xf numFmtId="172" fontId="87" fillId="27" borderId="31" xfId="114" applyNumberFormat="1" applyFont="1" applyFill="1" applyBorder="1" applyAlignment="1">
      <alignment horizontal="left" vertical="center"/>
    </xf>
    <xf numFmtId="171" fontId="80" fillId="27" borderId="65" xfId="0" applyNumberFormat="1" applyFont="1" applyFill="1" applyBorder="1"/>
    <xf numFmtId="171" fontId="80" fillId="27" borderId="66" xfId="0" applyNumberFormat="1" applyFont="1" applyFill="1" applyBorder="1"/>
    <xf numFmtId="171" fontId="80" fillId="27" borderId="67" xfId="0" applyNumberFormat="1" applyFont="1" applyFill="1" applyBorder="1"/>
    <xf numFmtId="172" fontId="66" fillId="29" borderId="28" xfId="0" applyNumberFormat="1" applyFont="1" applyFill="1" applyBorder="1" applyAlignment="1">
      <alignment horizontal="right"/>
    </xf>
    <xf numFmtId="172" fontId="66" fillId="29" borderId="29" xfId="0" applyNumberFormat="1" applyFont="1" applyFill="1" applyBorder="1" applyAlignment="1">
      <alignment horizontal="right"/>
    </xf>
    <xf numFmtId="172" fontId="66" fillId="29" borderId="13" xfId="0" applyNumberFormat="1" applyFont="1" applyFill="1" applyBorder="1" applyAlignment="1">
      <alignment horizontal="right"/>
    </xf>
    <xf numFmtId="172" fontId="66" fillId="29" borderId="15" xfId="0" applyNumberFormat="1" applyFont="1" applyFill="1" applyBorder="1" applyAlignment="1">
      <alignment horizontal="right"/>
    </xf>
    <xf numFmtId="172" fontId="87" fillId="27" borderId="0" xfId="101" applyNumberFormat="1" applyFont="1" applyFill="1" applyBorder="1" applyAlignment="1" applyProtection="1">
      <alignment horizontal="right" vertical="center"/>
    </xf>
    <xf numFmtId="172" fontId="87" fillId="27" borderId="14" xfId="101" applyNumberFormat="1" applyFont="1" applyFill="1" applyBorder="1" applyAlignment="1" applyProtection="1">
      <alignment horizontal="right" vertical="center"/>
    </xf>
    <xf numFmtId="172" fontId="87" fillId="27" borderId="13" xfId="101" applyNumberFormat="1" applyFont="1" applyFill="1" applyBorder="1" applyAlignment="1" applyProtection="1">
      <alignment horizontal="right" vertical="center"/>
    </xf>
    <xf numFmtId="172" fontId="87" fillId="27" borderId="15" xfId="101" applyNumberFormat="1" applyFont="1" applyFill="1" applyBorder="1" applyAlignment="1" applyProtection="1">
      <alignment horizontal="right" vertical="center"/>
    </xf>
    <xf numFmtId="172" fontId="70" fillId="29" borderId="20" xfId="0" applyNumberFormat="1" applyFont="1" applyFill="1" applyBorder="1" applyAlignment="1">
      <alignment horizontal="right"/>
    </xf>
    <xf numFmtId="172" fontId="66" fillId="29" borderId="20" xfId="0" applyNumberFormat="1" applyFont="1" applyFill="1" applyBorder="1" applyAlignment="1">
      <alignment horizontal="right"/>
    </xf>
    <xf numFmtId="172" fontId="88" fillId="29" borderId="0" xfId="0" applyNumberFormat="1" applyFont="1" applyFill="1" applyAlignment="1">
      <alignment horizontal="right"/>
    </xf>
    <xf numFmtId="172" fontId="88" fillId="29" borderId="14" xfId="0" applyNumberFormat="1" applyFont="1" applyFill="1" applyBorder="1" applyAlignment="1">
      <alignment horizontal="right"/>
    </xf>
    <xf numFmtId="172" fontId="88" fillId="29" borderId="20" xfId="69" applyNumberFormat="1" applyFont="1" applyFill="1" applyBorder="1" applyAlignment="1" applyProtection="1">
      <alignment horizontal="right"/>
    </xf>
    <xf numFmtId="172" fontId="88" fillId="29" borderId="13" xfId="0" applyNumberFormat="1" applyFont="1" applyFill="1" applyBorder="1" applyAlignment="1">
      <alignment horizontal="right"/>
    </xf>
    <xf numFmtId="172" fontId="88" fillId="29" borderId="15" xfId="0" applyNumberFormat="1" applyFont="1" applyFill="1" applyBorder="1" applyAlignment="1">
      <alignment horizontal="right"/>
    </xf>
    <xf numFmtId="172" fontId="88" fillId="29" borderId="46" xfId="69" applyNumberFormat="1" applyFont="1" applyFill="1" applyBorder="1" applyAlignment="1" applyProtection="1">
      <alignment horizontal="right"/>
    </xf>
    <xf numFmtId="172" fontId="70" fillId="0" borderId="44" xfId="0" applyNumberFormat="1" applyFont="1" applyBorder="1"/>
    <xf numFmtId="172" fontId="70" fillId="27" borderId="32" xfId="0" applyNumberFormat="1" applyFont="1" applyFill="1" applyBorder="1"/>
    <xf numFmtId="172" fontId="70" fillId="0" borderId="25" xfId="111" applyNumberFormat="1" applyFont="1" applyFill="1" applyBorder="1">
      <alignment horizontal="right" vertical="center"/>
    </xf>
    <xf numFmtId="173" fontId="70" fillId="0" borderId="24" xfId="111" applyNumberFormat="1" applyFont="1" applyFill="1" applyBorder="1">
      <alignment horizontal="right" vertical="center"/>
    </xf>
    <xf numFmtId="172" fontId="66" fillId="32" borderId="24" xfId="111" applyNumberFormat="1" applyFont="1" applyFill="1" applyBorder="1">
      <alignment horizontal="right" vertical="center"/>
    </xf>
    <xf numFmtId="172" fontId="66" fillId="32" borderId="25" xfId="111" applyNumberFormat="1" applyFont="1" applyFill="1" applyBorder="1">
      <alignment horizontal="right" vertical="center"/>
    </xf>
    <xf numFmtId="0" fontId="59" fillId="0" borderId="0" xfId="82" applyFont="1" applyProtection="1">
      <alignment horizontal="left" vertical="center"/>
    </xf>
    <xf numFmtId="0" fontId="46" fillId="29" borderId="0" xfId="131" applyFont="1" applyFill="1" applyAlignment="1">
      <alignment horizontal="left" vertical="center" indent="1"/>
      <protection locked="0"/>
    </xf>
    <xf numFmtId="0" fontId="46" fillId="29" borderId="0" xfId="131" quotePrefix="1" applyFont="1" applyFill="1">
      <alignment horizontal="left" vertical="center"/>
      <protection locked="0"/>
    </xf>
    <xf numFmtId="0" fontId="46" fillId="29" borderId="0" xfId="131" quotePrefix="1" applyFont="1" applyFill="1" applyAlignment="1">
      <alignment vertical="center"/>
      <protection locked="0"/>
    </xf>
    <xf numFmtId="0" fontId="98" fillId="0" borderId="13" xfId="103" applyFont="1" applyBorder="1" applyAlignment="1">
      <alignment horizontal="left" vertical="center"/>
    </xf>
    <xf numFmtId="0" fontId="84" fillId="45" borderId="54" xfId="0" quotePrefix="1" applyFont="1" applyFill="1" applyBorder="1" applyAlignment="1">
      <alignment vertical="center"/>
    </xf>
    <xf numFmtId="0" fontId="66" fillId="45" borderId="55" xfId="0" applyFont="1" applyFill="1" applyBorder="1" applyAlignment="1">
      <alignment horizontal="left" vertical="center"/>
    </xf>
    <xf numFmtId="0" fontId="66" fillId="45" borderId="55" xfId="0" applyFont="1" applyFill="1" applyBorder="1" applyAlignment="1">
      <alignment horizontal="center" vertical="center"/>
    </xf>
    <xf numFmtId="165" fontId="66" fillId="45" borderId="55" xfId="111" applyFont="1" applyFill="1" applyBorder="1" applyAlignment="1">
      <alignment horizontal="center" vertical="center"/>
    </xf>
    <xf numFmtId="165" fontId="70" fillId="0" borderId="56" xfId="111" applyFont="1" applyFill="1" applyBorder="1" applyAlignment="1">
      <alignment horizontal="center" vertical="center"/>
    </xf>
    <xf numFmtId="49" fontId="65" fillId="0" borderId="0" xfId="74" quotePrefix="1" applyNumberFormat="1" applyFont="1" applyFill="1" applyBorder="1">
      <alignment vertical="center"/>
    </xf>
    <xf numFmtId="172" fontId="70" fillId="0" borderId="0" xfId="111" applyNumberFormat="1" applyFont="1" applyFill="1" applyBorder="1" applyAlignment="1">
      <alignment horizontal="center" vertical="center"/>
    </xf>
    <xf numFmtId="172" fontId="70" fillId="0" borderId="0" xfId="111" applyNumberFormat="1" applyFont="1" applyFill="1" applyBorder="1" applyAlignment="1">
      <alignment horizontal="left" vertical="center"/>
    </xf>
    <xf numFmtId="0" fontId="70" fillId="0" borderId="0" xfId="0" applyFont="1" applyAlignment="1">
      <alignment horizontal="left" vertical="center"/>
    </xf>
    <xf numFmtId="172" fontId="80" fillId="27" borderId="0" xfId="211" applyNumberFormat="1" applyFont="1" applyFill="1" applyBorder="1">
      <alignment horizontal="right" vertical="center"/>
    </xf>
    <xf numFmtId="0" fontId="108" fillId="30" borderId="27" xfId="0" applyFont="1" applyFill="1" applyBorder="1" applyAlignment="1">
      <alignment horizontal="center"/>
    </xf>
    <xf numFmtId="0" fontId="108" fillId="30" borderId="28" xfId="0" applyFont="1" applyFill="1" applyBorder="1" applyAlignment="1">
      <alignment horizontal="center"/>
    </xf>
    <xf numFmtId="0" fontId="108" fillId="30" borderId="29" xfId="0" applyFont="1" applyFill="1" applyBorder="1" applyAlignment="1">
      <alignment horizontal="center"/>
    </xf>
    <xf numFmtId="0" fontId="115" fillId="30" borderId="30" xfId="0" applyFont="1" applyFill="1" applyBorder="1"/>
    <xf numFmtId="0" fontId="116" fillId="30" borderId="0" xfId="0" applyFont="1" applyFill="1"/>
    <xf numFmtId="0" fontId="108" fillId="30" borderId="0" xfId="0" applyFont="1" applyFill="1" applyAlignment="1">
      <alignment horizontal="center"/>
    </xf>
    <xf numFmtId="0" fontId="108" fillId="30" borderId="14" xfId="0" applyFont="1" applyFill="1" applyBorder="1" applyAlignment="1">
      <alignment horizontal="center"/>
    </xf>
    <xf numFmtId="0" fontId="116" fillId="30" borderId="30" xfId="0" applyFont="1" applyFill="1" applyBorder="1"/>
    <xf numFmtId="0" fontId="116" fillId="30" borderId="30" xfId="173" applyFont="1" applyFill="1" applyBorder="1">
      <alignment vertical="center"/>
    </xf>
    <xf numFmtId="0" fontId="116" fillId="30" borderId="31" xfId="173" applyFont="1" applyFill="1" applyBorder="1">
      <alignment vertical="center"/>
    </xf>
    <xf numFmtId="0" fontId="116" fillId="30" borderId="13" xfId="0" applyFont="1" applyFill="1" applyBorder="1"/>
    <xf numFmtId="0" fontId="108" fillId="30" borderId="13" xfId="0" applyFont="1" applyFill="1" applyBorder="1" applyAlignment="1">
      <alignment horizontal="center"/>
    </xf>
    <xf numFmtId="0" fontId="108" fillId="30" borderId="15" xfId="0" applyFont="1" applyFill="1" applyBorder="1" applyAlignment="1">
      <alignment horizontal="center"/>
    </xf>
    <xf numFmtId="172" fontId="66" fillId="33" borderId="8" xfId="111" applyNumberFormat="1" applyFont="1" applyFill="1" applyBorder="1">
      <alignment horizontal="right" vertical="center"/>
    </xf>
    <xf numFmtId="0" fontId="70" fillId="27" borderId="26" xfId="0" applyFont="1" applyFill="1" applyBorder="1"/>
    <xf numFmtId="0" fontId="0" fillId="0" borderId="24" xfId="0" applyBorder="1"/>
    <xf numFmtId="0" fontId="10" fillId="0" borderId="25" xfId="0" applyFont="1" applyBorder="1" applyAlignment="1">
      <alignment horizontal="center"/>
    </xf>
    <xf numFmtId="0" fontId="0" fillId="0" borderId="26" xfId="0" applyBorder="1"/>
    <xf numFmtId="0" fontId="0" fillId="0" borderId="25" xfId="0" applyBorder="1"/>
    <xf numFmtId="0" fontId="10" fillId="0" borderId="26" xfId="0" applyFont="1" applyBorder="1" applyAlignment="1">
      <alignment horizontal="center"/>
    </xf>
    <xf numFmtId="0" fontId="0" fillId="0" borderId="25" xfId="0" applyBorder="1" applyAlignment="1">
      <alignment horizontal="center"/>
    </xf>
    <xf numFmtId="187" fontId="66" fillId="27" borderId="22" xfId="0" applyNumberFormat="1" applyFont="1" applyFill="1" applyBorder="1"/>
    <xf numFmtId="187" fontId="56" fillId="0" borderId="24" xfId="166" applyNumberFormat="1" applyFont="1" applyFill="1" applyBorder="1">
      <alignment vertical="center"/>
    </xf>
    <xf numFmtId="187" fontId="56" fillId="0" borderId="25" xfId="166" applyNumberFormat="1" applyFont="1" applyFill="1" applyBorder="1">
      <alignment vertical="center"/>
    </xf>
    <xf numFmtId="187" fontId="66" fillId="29" borderId="24" xfId="165" applyNumberFormat="1" applyFont="1" applyFill="1" applyBorder="1" applyProtection="1">
      <alignment vertical="center"/>
    </xf>
    <xf numFmtId="187" fontId="66" fillId="29" borderId="25" xfId="165" applyNumberFormat="1" applyFont="1" applyFill="1" applyBorder="1" applyProtection="1">
      <alignment vertical="center"/>
    </xf>
    <xf numFmtId="187" fontId="66" fillId="29" borderId="25" xfId="166" applyNumberFormat="1" applyFont="1" applyFill="1" applyBorder="1">
      <alignment vertical="center"/>
    </xf>
    <xf numFmtId="0" fontId="56" fillId="27" borderId="19" xfId="0" applyFont="1" applyFill="1" applyBorder="1" applyAlignment="1">
      <alignment horizontal="left" vertical="center" indent="2"/>
    </xf>
    <xf numFmtId="2" fontId="55" fillId="0" borderId="8" xfId="140" applyNumberFormat="1" applyFont="1" applyBorder="1" applyAlignment="1">
      <alignment horizontal="center" vertical="center"/>
    </xf>
    <xf numFmtId="0" fontId="66" fillId="0" borderId="0" xfId="140" applyFont="1"/>
    <xf numFmtId="0" fontId="70" fillId="0" borderId="0" xfId="140" applyFont="1" applyAlignment="1">
      <alignment vertical="center"/>
    </xf>
    <xf numFmtId="0" fontId="66" fillId="0" borderId="0" xfId="140" applyFont="1" applyAlignment="1">
      <alignment horizontal="left"/>
    </xf>
    <xf numFmtId="0" fontId="66" fillId="0" borderId="0" xfId="140" applyFont="1" applyAlignment="1">
      <alignment horizontal="center" vertical="top"/>
    </xf>
    <xf numFmtId="2" fontId="66" fillId="0" borderId="0" xfId="140" applyNumberFormat="1" applyFont="1" applyAlignment="1">
      <alignment horizontal="center" vertical="center"/>
    </xf>
    <xf numFmtId="0" fontId="66" fillId="0" borderId="0" xfId="140" applyFont="1" applyAlignment="1">
      <alignment horizontal="center" vertical="center"/>
    </xf>
    <xf numFmtId="2" fontId="66" fillId="0" borderId="0" xfId="0" applyNumberFormat="1" applyFont="1" applyAlignment="1" applyProtection="1">
      <alignment horizontal="center" vertical="center"/>
      <protection locked="0"/>
    </xf>
    <xf numFmtId="0" fontId="66" fillId="0" borderId="0" xfId="140" applyFont="1" applyAlignment="1">
      <alignment horizontal="right"/>
    </xf>
    <xf numFmtId="0" fontId="55" fillId="0" borderId="19" xfId="140" applyFont="1" applyBorder="1"/>
    <xf numFmtId="0" fontId="55" fillId="0" borderId="0" xfId="140" applyFont="1" applyAlignment="1">
      <alignment horizontal="center" vertical="top"/>
    </xf>
    <xf numFmtId="0" fontId="55" fillId="0" borderId="0" xfId="140" applyFont="1" applyAlignment="1">
      <alignment horizontal="left" vertical="center"/>
    </xf>
    <xf numFmtId="0" fontId="55" fillId="37" borderId="8" xfId="140" applyFont="1" applyFill="1" applyBorder="1" applyAlignment="1">
      <alignment horizontal="center" vertical="center"/>
    </xf>
    <xf numFmtId="0" fontId="55" fillId="46" borderId="8" xfId="140" applyFont="1" applyFill="1" applyBorder="1" applyAlignment="1">
      <alignment horizontal="center" vertical="center"/>
    </xf>
    <xf numFmtId="0" fontId="55" fillId="0" borderId="0" xfId="140" applyFont="1" applyAlignment="1">
      <alignment horizontal="left"/>
    </xf>
    <xf numFmtId="0" fontId="55" fillId="0" borderId="0" xfId="140" applyFont="1" applyAlignment="1">
      <alignment horizontal="right" vertical="center"/>
    </xf>
    <xf numFmtId="0" fontId="55" fillId="32" borderId="51" xfId="0" applyFont="1" applyFill="1" applyBorder="1" applyAlignment="1" applyProtection="1">
      <alignment horizontal="center" vertical="center"/>
      <protection locked="0"/>
    </xf>
    <xf numFmtId="0" fontId="66" fillId="0" borderId="19" xfId="0" applyFont="1" applyBorder="1" applyAlignment="1">
      <alignment horizontal="left"/>
    </xf>
    <xf numFmtId="2" fontId="66" fillId="32" borderId="51" xfId="0" applyNumberFormat="1" applyFont="1" applyFill="1" applyBorder="1" applyAlignment="1" applyProtection="1">
      <alignment horizontal="center" vertical="center"/>
      <protection locked="0"/>
    </xf>
    <xf numFmtId="0" fontId="55" fillId="27" borderId="51" xfId="0" applyFont="1" applyFill="1" applyBorder="1" applyAlignment="1">
      <alignment horizontal="center" vertical="center"/>
    </xf>
    <xf numFmtId="0" fontId="78" fillId="0" borderId="22" xfId="140" applyFont="1" applyBorder="1" applyAlignment="1">
      <alignment horizontal="right"/>
    </xf>
    <xf numFmtId="2" fontId="78" fillId="0" borderId="22" xfId="140" applyNumberFormat="1" applyFont="1" applyBorder="1" applyAlignment="1">
      <alignment horizontal="center" vertical="center"/>
    </xf>
    <xf numFmtId="0" fontId="79" fillId="29" borderId="0" xfId="140" applyFont="1" applyFill="1" applyAlignment="1">
      <alignment vertical="center"/>
    </xf>
    <xf numFmtId="0" fontId="80" fillId="29" borderId="0" xfId="140" applyFont="1" applyFill="1"/>
    <xf numFmtId="0" fontId="118" fillId="29" borderId="108" xfId="140" applyFont="1" applyFill="1" applyBorder="1"/>
    <xf numFmtId="0" fontId="118" fillId="29" borderId="0" xfId="0" applyFont="1" applyFill="1"/>
    <xf numFmtId="0" fontId="118" fillId="29" borderId="0" xfId="0" applyFont="1" applyFill="1" applyAlignment="1">
      <alignment vertical="top"/>
    </xf>
    <xf numFmtId="0" fontId="90" fillId="29" borderId="0" xfId="0" applyFont="1" applyFill="1" applyAlignment="1">
      <alignment vertical="top"/>
    </xf>
    <xf numFmtId="0" fontId="118" fillId="29" borderId="0" xfId="140" applyFont="1" applyFill="1"/>
    <xf numFmtId="0" fontId="119" fillId="29" borderId="109" xfId="140" applyFont="1" applyFill="1" applyBorder="1" applyAlignment="1">
      <alignment horizontal="left"/>
    </xf>
    <xf numFmtId="0" fontId="118" fillId="29" borderId="110" xfId="0" applyFont="1" applyFill="1" applyBorder="1" applyAlignment="1">
      <alignment horizontal="left"/>
    </xf>
    <xf numFmtId="0" fontId="118" fillId="29" borderId="110" xfId="140" applyFont="1" applyFill="1" applyBorder="1"/>
    <xf numFmtId="0" fontId="119" fillId="29" borderId="112" xfId="140" applyFont="1" applyFill="1" applyBorder="1"/>
    <xf numFmtId="0" fontId="118" fillId="29" borderId="113" xfId="0" applyFont="1" applyFill="1" applyBorder="1" applyAlignment="1">
      <alignment horizontal="left"/>
    </xf>
    <xf numFmtId="0" fontId="118" fillId="29" borderId="113" xfId="140" applyFont="1" applyFill="1" applyBorder="1"/>
    <xf numFmtId="2" fontId="118" fillId="29" borderId="114" xfId="140" applyNumberFormat="1" applyFont="1" applyFill="1" applyBorder="1"/>
    <xf numFmtId="2" fontId="118" fillId="29" borderId="109" xfId="140" applyNumberFormat="1" applyFont="1" applyFill="1" applyBorder="1" applyAlignment="1">
      <alignment horizontal="left"/>
    </xf>
    <xf numFmtId="0" fontId="118" fillId="29" borderId="115" xfId="0" applyFont="1" applyFill="1" applyBorder="1" applyAlignment="1">
      <alignment horizontal="left"/>
    </xf>
    <xf numFmtId="0" fontId="118" fillId="29" borderId="115" xfId="140" applyFont="1" applyFill="1" applyBorder="1"/>
    <xf numFmtId="2" fontId="118" fillId="29" borderId="117" xfId="140" applyNumberFormat="1" applyFont="1" applyFill="1" applyBorder="1"/>
    <xf numFmtId="2" fontId="118" fillId="29" borderId="0" xfId="140" applyNumberFormat="1" applyFont="1" applyFill="1"/>
    <xf numFmtId="0" fontId="118" fillId="29" borderId="110" xfId="140" applyFont="1" applyFill="1" applyBorder="1" applyAlignment="1">
      <alignment horizontal="left"/>
    </xf>
    <xf numFmtId="2" fontId="118" fillId="29" borderId="112" xfId="140" applyNumberFormat="1" applyFont="1" applyFill="1" applyBorder="1"/>
    <xf numFmtId="0" fontId="118" fillId="29" borderId="113" xfId="140" applyFont="1" applyFill="1" applyBorder="1" applyAlignment="1">
      <alignment horizontal="left"/>
    </xf>
    <xf numFmtId="2" fontId="118" fillId="29" borderId="117" xfId="140" applyNumberFormat="1" applyFont="1" applyFill="1" applyBorder="1" applyAlignment="1">
      <alignment horizontal="right"/>
    </xf>
    <xf numFmtId="2" fontId="118" fillId="29" borderId="118" xfId="140" applyNumberFormat="1" applyFont="1" applyFill="1" applyBorder="1" applyAlignment="1">
      <alignment horizontal="left"/>
    </xf>
    <xf numFmtId="0" fontId="66" fillId="32" borderId="27" xfId="0" applyFont="1" applyFill="1" applyBorder="1"/>
    <xf numFmtId="0" fontId="66" fillId="32" borderId="28" xfId="0" applyFont="1" applyFill="1" applyBorder="1"/>
    <xf numFmtId="0" fontId="66" fillId="32" borderId="24" xfId="0" applyFont="1" applyFill="1" applyBorder="1"/>
    <xf numFmtId="0" fontId="66" fillId="32" borderId="25" xfId="0" applyFont="1" applyFill="1" applyBorder="1"/>
    <xf numFmtId="165" fontId="66" fillId="32" borderId="24" xfId="111" applyFont="1" applyFill="1" applyBorder="1">
      <alignment horizontal="right" vertical="center"/>
    </xf>
    <xf numFmtId="165" fontId="66" fillId="32" borderId="25" xfId="111" applyFont="1" applyFill="1" applyBorder="1">
      <alignment horizontal="right" vertical="center"/>
    </xf>
    <xf numFmtId="170" fontId="66" fillId="32" borderId="25" xfId="111" applyNumberFormat="1" applyFont="1" applyFill="1" applyBorder="1">
      <alignment horizontal="right" vertical="center"/>
    </xf>
    <xf numFmtId="165" fontId="66" fillId="32" borderId="31" xfId="111" applyFont="1" applyFill="1" applyBorder="1">
      <alignment horizontal="right" vertical="center"/>
    </xf>
    <xf numFmtId="165" fontId="66" fillId="32" borderId="13" xfId="111" applyFont="1" applyFill="1" applyBorder="1">
      <alignment horizontal="right" vertical="center"/>
    </xf>
    <xf numFmtId="172" fontId="66" fillId="29" borderId="119" xfId="112" applyNumberFormat="1" applyFont="1" applyFill="1" applyBorder="1">
      <alignment horizontal="right" vertical="center"/>
    </xf>
    <xf numFmtId="172" fontId="66" fillId="29" borderId="24" xfId="112" applyNumberFormat="1" applyFont="1" applyFill="1" applyBorder="1">
      <alignment horizontal="right" vertical="center"/>
    </xf>
    <xf numFmtId="172" fontId="66" fillId="29" borderId="96" xfId="112" applyNumberFormat="1" applyFont="1" applyFill="1" applyBorder="1">
      <alignment horizontal="right" vertical="center"/>
    </xf>
    <xf numFmtId="172" fontId="66" fillId="29" borderId="31" xfId="112" applyNumberFormat="1" applyFont="1" applyFill="1" applyBorder="1">
      <alignment horizontal="right" vertical="center"/>
    </xf>
    <xf numFmtId="172" fontId="66" fillId="29" borderId="71" xfId="112" applyNumberFormat="1" applyFont="1" applyFill="1" applyBorder="1">
      <alignment horizontal="right" vertical="center"/>
    </xf>
    <xf numFmtId="172" fontId="66" fillId="29" borderId="37" xfId="112" applyNumberFormat="1" applyFont="1" applyFill="1" applyBorder="1">
      <alignment horizontal="right" vertical="center"/>
    </xf>
    <xf numFmtId="172" fontId="66" fillId="29" borderId="77" xfId="112" applyNumberFormat="1" applyFont="1" applyFill="1" applyBorder="1">
      <alignment horizontal="right" vertical="center"/>
    </xf>
    <xf numFmtId="172" fontId="66" fillId="29" borderId="53" xfId="112" applyNumberFormat="1" applyFont="1" applyFill="1" applyBorder="1">
      <alignment horizontal="right" vertical="center"/>
    </xf>
    <xf numFmtId="172" fontId="66" fillId="29" borderId="79" xfId="112" applyNumberFormat="1" applyFont="1" applyFill="1" applyBorder="1">
      <alignment horizontal="right" vertical="center"/>
    </xf>
    <xf numFmtId="172" fontId="66" fillId="29" borderId="44" xfId="112" applyNumberFormat="1" applyFont="1" applyFill="1" applyBorder="1">
      <alignment horizontal="right" vertical="center"/>
    </xf>
    <xf numFmtId="0" fontId="113" fillId="0" borderId="0" xfId="0" applyFont="1" applyAlignment="1">
      <alignment horizontal="center"/>
    </xf>
    <xf numFmtId="0" fontId="70" fillId="27" borderId="24" xfId="0" applyFont="1" applyFill="1" applyBorder="1"/>
    <xf numFmtId="172" fontId="66" fillId="32" borderId="27" xfId="111" applyNumberFormat="1" applyFont="1" applyFill="1" applyBorder="1">
      <alignment horizontal="right" vertical="center"/>
    </xf>
    <xf numFmtId="172" fontId="66" fillId="32" borderId="28" xfId="111" applyNumberFormat="1" applyFont="1" applyFill="1" applyBorder="1">
      <alignment horizontal="right" vertical="center"/>
    </xf>
    <xf numFmtId="172" fontId="66" fillId="32" borderId="29" xfId="111" applyNumberFormat="1" applyFont="1" applyFill="1" applyBorder="1">
      <alignment horizontal="right" vertical="center"/>
    </xf>
    <xf numFmtId="172" fontId="66" fillId="32" borderId="31" xfId="111" applyNumberFormat="1" applyFont="1" applyFill="1" applyBorder="1">
      <alignment horizontal="right" vertical="center"/>
    </xf>
    <xf numFmtId="172" fontId="66" fillId="32" borderId="13" xfId="111" applyNumberFormat="1" applyFont="1" applyFill="1" applyBorder="1">
      <alignment horizontal="right" vertical="center"/>
    </xf>
    <xf numFmtId="172" fontId="66" fillId="32" borderId="15" xfId="111" applyNumberFormat="1" applyFont="1" applyFill="1" applyBorder="1">
      <alignment horizontal="right" vertical="center"/>
    </xf>
    <xf numFmtId="170" fontId="66" fillId="32" borderId="8" xfId="111" applyNumberFormat="1" applyFont="1" applyFill="1" applyBorder="1" applyProtection="1">
      <alignment horizontal="right" vertical="center"/>
      <protection locked="0"/>
    </xf>
    <xf numFmtId="174" fontId="66" fillId="32" borderId="35" xfId="111" applyNumberFormat="1" applyFont="1" applyFill="1" applyBorder="1" applyProtection="1">
      <alignment horizontal="right" vertical="center"/>
      <protection locked="0"/>
    </xf>
    <xf numFmtId="172" fontId="66" fillId="32" borderId="30" xfId="111" applyNumberFormat="1" applyFont="1" applyFill="1" applyBorder="1">
      <alignment horizontal="right" vertical="center"/>
    </xf>
    <xf numFmtId="172" fontId="66" fillId="32" borderId="0" xfId="111" applyNumberFormat="1" applyFont="1" applyFill="1" applyBorder="1">
      <alignment horizontal="right" vertical="center"/>
    </xf>
    <xf numFmtId="172" fontId="66" fillId="32" borderId="14" xfId="111" applyNumberFormat="1" applyFont="1" applyFill="1" applyBorder="1">
      <alignment horizontal="right" vertical="center"/>
    </xf>
    <xf numFmtId="172" fontId="66" fillId="29" borderId="41" xfId="112" applyNumberFormat="1" applyFont="1" applyFill="1" applyBorder="1">
      <alignment horizontal="right" vertical="center"/>
    </xf>
    <xf numFmtId="172" fontId="66" fillId="32" borderId="27" xfId="0" applyNumberFormat="1" applyFont="1" applyFill="1" applyBorder="1"/>
    <xf numFmtId="172" fontId="66" fillId="32" borderId="28" xfId="0" applyNumberFormat="1" applyFont="1" applyFill="1" applyBorder="1"/>
    <xf numFmtId="172" fontId="66" fillId="32" borderId="29" xfId="0" applyNumberFormat="1" applyFont="1" applyFill="1" applyBorder="1"/>
    <xf numFmtId="172" fontId="66" fillId="32" borderId="31" xfId="0" applyNumberFormat="1" applyFont="1" applyFill="1" applyBorder="1"/>
    <xf numFmtId="172" fontId="66" fillId="32" borderId="13" xfId="0" applyNumberFormat="1" applyFont="1" applyFill="1" applyBorder="1"/>
    <xf numFmtId="172" fontId="66" fillId="32" borderId="15" xfId="0" applyNumberFormat="1" applyFont="1" applyFill="1" applyBorder="1"/>
    <xf numFmtId="172" fontId="66" fillId="32" borderId="24" xfId="0" applyNumberFormat="1" applyFont="1" applyFill="1" applyBorder="1"/>
    <xf numFmtId="172" fontId="66" fillId="32" borderId="25" xfId="0" applyNumberFormat="1" applyFont="1" applyFill="1" applyBorder="1"/>
    <xf numFmtId="172" fontId="66" fillId="32" borderId="26" xfId="0" applyNumberFormat="1" applyFont="1" applyFill="1" applyBorder="1"/>
    <xf numFmtId="172" fontId="66" fillId="32" borderId="8" xfId="0" applyNumberFormat="1" applyFont="1" applyFill="1" applyBorder="1"/>
    <xf numFmtId="172" fontId="66" fillId="32" borderId="33" xfId="0" applyNumberFormat="1" applyFont="1" applyFill="1" applyBorder="1" applyProtection="1">
      <protection locked="0"/>
    </xf>
    <xf numFmtId="172" fontId="66" fillId="32" borderId="35" xfId="0" applyNumberFormat="1" applyFont="1" applyFill="1" applyBorder="1" applyProtection="1">
      <protection locked="0"/>
    </xf>
    <xf numFmtId="0" fontId="70" fillId="0" borderId="20" xfId="0" applyFont="1" applyBorder="1" applyAlignment="1">
      <alignment horizontal="center"/>
    </xf>
    <xf numFmtId="172" fontId="66" fillId="0" borderId="20" xfId="111" applyNumberFormat="1" applyFont="1" applyBorder="1">
      <alignment horizontal="right" vertical="center"/>
    </xf>
    <xf numFmtId="172" fontId="66" fillId="0" borderId="27" xfId="111" applyNumberFormat="1" applyFont="1" applyFill="1" applyBorder="1">
      <alignment horizontal="right" vertical="center"/>
    </xf>
    <xf numFmtId="172" fontId="66" fillId="0" borderId="30" xfId="111" applyNumberFormat="1" applyFont="1" applyFill="1" applyBorder="1">
      <alignment horizontal="right" vertical="center"/>
    </xf>
    <xf numFmtId="172" fontId="66" fillId="0" borderId="31" xfId="111" applyNumberFormat="1" applyFont="1" applyFill="1" applyBorder="1">
      <alignment horizontal="right" vertical="center"/>
    </xf>
    <xf numFmtId="172" fontId="66" fillId="0" borderId="29" xfId="111" applyNumberFormat="1" applyFont="1" applyFill="1" applyBorder="1" applyProtection="1">
      <alignment horizontal="right" vertical="center"/>
      <protection locked="0"/>
    </xf>
    <xf numFmtId="172" fontId="66" fillId="0" borderId="14" xfId="111" applyNumberFormat="1" applyFont="1" applyFill="1" applyBorder="1" applyProtection="1">
      <alignment horizontal="right" vertical="center"/>
      <protection locked="0"/>
    </xf>
    <xf numFmtId="172" fontId="66" fillId="0" borderId="15" xfId="111" applyNumberFormat="1" applyFont="1" applyFill="1" applyBorder="1" applyProtection="1">
      <alignment horizontal="right" vertical="center"/>
      <protection locked="0"/>
    </xf>
    <xf numFmtId="172" fontId="66" fillId="0" borderId="24" xfId="111" applyNumberFormat="1" applyFont="1" applyFill="1" applyBorder="1">
      <alignment horizontal="right" vertical="center"/>
    </xf>
    <xf numFmtId="172" fontId="66" fillId="0" borderId="25" xfId="111" applyNumberFormat="1" applyFont="1" applyFill="1" applyBorder="1">
      <alignment horizontal="right" vertical="center"/>
    </xf>
    <xf numFmtId="172" fontId="66" fillId="0" borderId="26" xfId="111" applyNumberFormat="1" applyFont="1" applyFill="1" applyBorder="1" applyProtection="1">
      <alignment horizontal="right" vertical="center"/>
      <protection locked="0"/>
    </xf>
    <xf numFmtId="172" fontId="66" fillId="0" borderId="24" xfId="111" applyNumberFormat="1" applyFont="1" applyFill="1" applyBorder="1" applyProtection="1">
      <alignment horizontal="right" vertical="center"/>
      <protection locked="0"/>
    </xf>
    <xf numFmtId="172" fontId="66" fillId="0" borderId="25" xfId="111" applyNumberFormat="1" applyFont="1" applyFill="1" applyBorder="1" applyProtection="1">
      <alignment horizontal="right" vertical="center"/>
      <protection locked="0"/>
    </xf>
    <xf numFmtId="172" fontId="70" fillId="27" borderId="28" xfId="0" applyNumberFormat="1" applyFont="1" applyFill="1" applyBorder="1" applyAlignment="1">
      <alignment horizontal="right"/>
    </xf>
    <xf numFmtId="172" fontId="70" fillId="27" borderId="14" xfId="0" applyNumberFormat="1" applyFont="1" applyFill="1" applyBorder="1" applyAlignment="1">
      <alignment horizontal="right"/>
    </xf>
    <xf numFmtId="172" fontId="70" fillId="29" borderId="47" xfId="0" applyNumberFormat="1" applyFont="1" applyFill="1" applyBorder="1" applyAlignment="1">
      <alignment horizontal="right"/>
    </xf>
    <xf numFmtId="172" fontId="70" fillId="29" borderId="17" xfId="0" applyNumberFormat="1" applyFont="1" applyFill="1" applyBorder="1" applyAlignment="1">
      <alignment horizontal="right"/>
    </xf>
    <xf numFmtId="172" fontId="70" fillId="29" borderId="48" xfId="0" applyNumberFormat="1" applyFont="1" applyFill="1" applyBorder="1" applyAlignment="1">
      <alignment horizontal="right"/>
    </xf>
    <xf numFmtId="172" fontId="66" fillId="29" borderId="30" xfId="0" applyNumberFormat="1" applyFont="1" applyFill="1" applyBorder="1" applyAlignment="1">
      <alignment horizontal="right"/>
    </xf>
    <xf numFmtId="172" fontId="88" fillId="29" borderId="30" xfId="69" applyNumberFormat="1" applyFont="1" applyFill="1" applyBorder="1" applyAlignment="1" applyProtection="1">
      <alignment horizontal="right"/>
    </xf>
    <xf numFmtId="172" fontId="70" fillId="29" borderId="30" xfId="0" applyNumberFormat="1" applyFont="1" applyFill="1" applyBorder="1" applyAlignment="1">
      <alignment horizontal="right"/>
    </xf>
    <xf numFmtId="172" fontId="88" fillId="29" borderId="31" xfId="69" applyNumberFormat="1" applyFont="1" applyFill="1" applyBorder="1" applyAlignment="1" applyProtection="1">
      <alignment horizontal="right"/>
    </xf>
    <xf numFmtId="172" fontId="70" fillId="0" borderId="96" xfId="0" applyNumberFormat="1" applyFont="1" applyBorder="1"/>
    <xf numFmtId="172" fontId="88" fillId="29" borderId="47" xfId="69" applyNumberFormat="1" applyFont="1" applyFill="1" applyBorder="1" applyAlignment="1" applyProtection="1">
      <alignment horizontal="right"/>
    </xf>
    <xf numFmtId="43" fontId="88" fillId="29" borderId="30" xfId="69" applyFont="1" applyFill="1" applyBorder="1" applyAlignment="1" applyProtection="1">
      <alignment horizontal="right"/>
    </xf>
    <xf numFmtId="173" fontId="70" fillId="29" borderId="30" xfId="101" applyNumberFormat="1" applyFont="1" applyFill="1" applyBorder="1" applyAlignment="1" applyProtection="1">
      <alignment horizontal="right"/>
    </xf>
    <xf numFmtId="173" fontId="66" fillId="29" borderId="30" xfId="101" applyNumberFormat="1" applyFont="1" applyFill="1" applyBorder="1" applyAlignment="1" applyProtection="1">
      <alignment horizontal="right"/>
    </xf>
    <xf numFmtId="43" fontId="88" fillId="29" borderId="41" xfId="69" applyFont="1" applyFill="1" applyBorder="1" applyAlignment="1" applyProtection="1">
      <alignment horizontal="right"/>
    </xf>
    <xf numFmtId="173" fontId="4" fillId="41" borderId="16" xfId="101" applyNumberFormat="1" applyFont="1" applyFill="1" applyBorder="1" applyAlignment="1">
      <alignment horizontal="right"/>
    </xf>
    <xf numFmtId="173" fontId="4" fillId="41" borderId="106" xfId="101" applyNumberFormat="1" applyFont="1" applyFill="1" applyBorder="1" applyAlignment="1">
      <alignment horizontal="right"/>
    </xf>
    <xf numFmtId="173" fontId="4" fillId="41" borderId="47" xfId="101" applyNumberFormat="1" applyFont="1" applyFill="1" applyBorder="1" applyAlignment="1" applyProtection="1">
      <alignment horizontal="right"/>
    </xf>
    <xf numFmtId="173" fontId="4" fillId="39" borderId="30" xfId="101" applyNumberFormat="1" applyFont="1" applyFill="1" applyBorder="1" applyAlignment="1" applyProtection="1">
      <alignment horizontal="right"/>
    </xf>
    <xf numFmtId="173" fontId="4" fillId="0" borderId="30" xfId="101" applyNumberFormat="1" applyFont="1" applyFill="1" applyBorder="1" applyAlignment="1" applyProtection="1">
      <alignment horizontal="right"/>
    </xf>
    <xf numFmtId="173" fontId="4" fillId="41" borderId="27" xfId="101" applyNumberFormat="1" applyFont="1" applyFill="1" applyBorder="1" applyAlignment="1" applyProtection="1">
      <alignment horizontal="right"/>
    </xf>
    <xf numFmtId="173" fontId="4" fillId="0" borderId="31" xfId="101" applyNumberFormat="1" applyFont="1" applyFill="1" applyBorder="1" applyAlignment="1" applyProtection="1">
      <alignment horizontal="right"/>
    </xf>
    <xf numFmtId="173" fontId="4" fillId="0" borderId="41" xfId="101" applyNumberFormat="1" applyFont="1" applyFill="1" applyBorder="1" applyAlignment="1" applyProtection="1">
      <alignment horizontal="right"/>
    </xf>
    <xf numFmtId="0" fontId="70" fillId="28" borderId="104" xfId="169" applyFont="1" applyFill="1" applyBorder="1" applyAlignment="1">
      <alignment horizontal="right"/>
    </xf>
    <xf numFmtId="173" fontId="4" fillId="41" borderId="120" xfId="101" applyNumberFormat="1" applyFont="1" applyFill="1" applyBorder="1" applyAlignment="1" applyProtection="1">
      <alignment horizontal="right"/>
    </xf>
    <xf numFmtId="173" fontId="4" fillId="39" borderId="121" xfId="101" applyNumberFormat="1" applyFont="1" applyFill="1" applyBorder="1" applyAlignment="1" applyProtection="1">
      <alignment horizontal="right"/>
    </xf>
    <xf numFmtId="173" fontId="4" fillId="0" borderId="121" xfId="101" applyNumberFormat="1" applyFont="1" applyFill="1" applyBorder="1" applyAlignment="1" applyProtection="1">
      <alignment horizontal="right"/>
    </xf>
    <xf numFmtId="173" fontId="4" fillId="41" borderId="122" xfId="101" applyNumberFormat="1" applyFont="1" applyFill="1" applyBorder="1" applyAlignment="1" applyProtection="1">
      <alignment horizontal="right"/>
    </xf>
    <xf numFmtId="173" fontId="4" fillId="0" borderId="123" xfId="101" applyNumberFormat="1" applyFont="1" applyFill="1" applyBorder="1" applyAlignment="1" applyProtection="1">
      <alignment horizontal="right"/>
    </xf>
    <xf numFmtId="173" fontId="4" fillId="0" borderId="124" xfId="101" applyNumberFormat="1" applyFont="1" applyFill="1" applyBorder="1" applyAlignment="1" applyProtection="1">
      <alignment horizontal="right"/>
    </xf>
    <xf numFmtId="172" fontId="66" fillId="0" borderId="8" xfId="111" applyNumberFormat="1" applyFont="1" applyFill="1" applyBorder="1" applyProtection="1">
      <alignment horizontal="right" vertical="center"/>
      <protection locked="0"/>
    </xf>
    <xf numFmtId="172" fontId="70" fillId="29" borderId="125" xfId="0" applyNumberFormat="1" applyFont="1" applyFill="1" applyBorder="1" applyAlignment="1">
      <alignment horizontal="right"/>
    </xf>
    <xf numFmtId="172" fontId="66" fillId="29" borderId="34" xfId="0" applyNumberFormat="1" applyFont="1" applyFill="1" applyBorder="1" applyAlignment="1">
      <alignment horizontal="right"/>
    </xf>
    <xf numFmtId="172" fontId="88" fillId="29" borderId="34" xfId="69" applyNumberFormat="1" applyFont="1" applyFill="1" applyBorder="1" applyAlignment="1" applyProtection="1">
      <alignment horizontal="right"/>
    </xf>
    <xf numFmtId="172" fontId="70" fillId="29" borderId="34" xfId="0" applyNumberFormat="1" applyFont="1" applyFill="1" applyBorder="1" applyAlignment="1">
      <alignment horizontal="right"/>
    </xf>
    <xf numFmtId="172" fontId="88" fillId="29" borderId="35" xfId="69" applyNumberFormat="1" applyFont="1" applyFill="1" applyBorder="1" applyAlignment="1" applyProtection="1">
      <alignment horizontal="right"/>
    </xf>
    <xf numFmtId="172" fontId="70" fillId="0" borderId="82" xfId="0" applyNumberFormat="1" applyFont="1" applyBorder="1"/>
    <xf numFmtId="172" fontId="88" fillId="29" borderId="125" xfId="69" applyNumberFormat="1" applyFont="1" applyFill="1" applyBorder="1" applyAlignment="1" applyProtection="1">
      <alignment horizontal="right"/>
    </xf>
    <xf numFmtId="43" fontId="88" fillId="29" borderId="34" xfId="69" applyFont="1" applyFill="1" applyBorder="1" applyAlignment="1" applyProtection="1">
      <alignment horizontal="right"/>
    </xf>
    <xf numFmtId="173" fontId="70" fillId="29" borderId="34" xfId="101" applyNumberFormat="1" applyFont="1" applyFill="1" applyBorder="1" applyAlignment="1" applyProtection="1">
      <alignment horizontal="right"/>
    </xf>
    <xf numFmtId="173" fontId="66" fillId="29" borderId="34" xfId="101" applyNumberFormat="1" applyFont="1" applyFill="1" applyBorder="1" applyAlignment="1" applyProtection="1">
      <alignment horizontal="right"/>
    </xf>
    <xf numFmtId="43" fontId="88" fillId="29" borderId="94" xfId="69" applyFont="1" applyFill="1" applyBorder="1" applyAlignment="1" applyProtection="1">
      <alignment horizontal="right"/>
    </xf>
    <xf numFmtId="172" fontId="66" fillId="24" borderId="20" xfId="0" applyNumberFormat="1" applyFont="1" applyFill="1" applyBorder="1" applyAlignment="1">
      <alignment horizontal="right"/>
    </xf>
    <xf numFmtId="172" fontId="66" fillId="27" borderId="20" xfId="111" applyNumberFormat="1" applyFont="1" applyFill="1" applyBorder="1">
      <alignment horizontal="right" vertical="center"/>
    </xf>
    <xf numFmtId="0" fontId="70" fillId="24" borderId="20" xfId="0" applyFont="1" applyFill="1" applyBorder="1" applyAlignment="1">
      <alignment horizontal="center"/>
    </xf>
    <xf numFmtId="172" fontId="66" fillId="27" borderId="21" xfId="0" applyNumberFormat="1" applyFont="1" applyFill="1" applyBorder="1"/>
    <xf numFmtId="170" fontId="70" fillId="27" borderId="23" xfId="0" applyNumberFormat="1" applyFont="1" applyFill="1" applyBorder="1" applyAlignment="1">
      <alignment horizontal="right"/>
    </xf>
    <xf numFmtId="0" fontId="65" fillId="0" borderId="0" xfId="103" applyFont="1" applyBorder="1" applyAlignment="1">
      <alignment horizontal="right" vertical="center"/>
    </xf>
    <xf numFmtId="172" fontId="70" fillId="0" borderId="32" xfId="111" applyNumberFormat="1" applyFont="1" applyFill="1" applyBorder="1">
      <alignment horizontal="right" vertical="center"/>
    </xf>
    <xf numFmtId="172" fontId="70" fillId="0" borderId="96" xfId="111" applyNumberFormat="1" applyFont="1" applyFill="1" applyBorder="1">
      <alignment horizontal="right" vertical="center"/>
    </xf>
    <xf numFmtId="172" fontId="70" fillId="0" borderId="43" xfId="111" applyNumberFormat="1" applyFont="1" applyFill="1" applyBorder="1">
      <alignment horizontal="right" vertical="center"/>
    </xf>
    <xf numFmtId="172" fontId="66" fillId="24" borderId="8" xfId="111" applyNumberFormat="1" applyFont="1" applyFill="1" applyBorder="1">
      <alignment horizontal="right" vertical="center"/>
    </xf>
    <xf numFmtId="173" fontId="66" fillId="32" borderId="8" xfId="207" applyNumberFormat="1" applyFont="1" applyFill="1" applyBorder="1" applyProtection="1">
      <protection locked="0"/>
    </xf>
    <xf numFmtId="173" fontId="66" fillId="0" borderId="24" xfId="102" applyNumberFormat="1" applyFont="1" applyFill="1" applyBorder="1" applyAlignment="1" applyProtection="1">
      <alignment horizontal="right"/>
    </xf>
    <xf numFmtId="173" fontId="66" fillId="0" borderId="25" xfId="102" applyNumberFormat="1" applyFont="1" applyFill="1" applyBorder="1" applyAlignment="1" applyProtection="1">
      <alignment horizontal="right"/>
    </xf>
    <xf numFmtId="173" fontId="66" fillId="0" borderId="26" xfId="102" applyNumberFormat="1" applyFont="1" applyFill="1" applyBorder="1" applyAlignment="1" applyProtection="1">
      <alignment horizontal="right"/>
    </xf>
    <xf numFmtId="173" fontId="66" fillId="0" borderId="8" xfId="207" applyNumberFormat="1" applyFont="1" applyFill="1" applyBorder="1" applyAlignment="1" applyProtection="1">
      <alignment horizontal="right"/>
    </xf>
    <xf numFmtId="173" fontId="66" fillId="0" borderId="24" xfId="207" applyNumberFormat="1" applyFont="1" applyFill="1" applyBorder="1" applyAlignment="1" applyProtection="1">
      <alignment horizontal="right"/>
    </xf>
    <xf numFmtId="173" fontId="66" fillId="0" borderId="25" xfId="207" applyNumberFormat="1" applyFont="1" applyFill="1" applyBorder="1" applyAlignment="1" applyProtection="1">
      <alignment horizontal="right"/>
    </xf>
    <xf numFmtId="4" fontId="66" fillId="27" borderId="0" xfId="0" applyNumberFormat="1" applyFont="1" applyFill="1"/>
    <xf numFmtId="43" fontId="75" fillId="45" borderId="0" xfId="69" applyFont="1" applyFill="1" applyProtection="1"/>
    <xf numFmtId="43" fontId="75" fillId="45" borderId="13" xfId="69" applyFont="1" applyFill="1" applyBorder="1" applyProtection="1"/>
    <xf numFmtId="43" fontId="75" fillId="45" borderId="0" xfId="69" applyFont="1" applyFill="1" applyBorder="1" applyProtection="1"/>
    <xf numFmtId="0" fontId="56" fillId="0" borderId="22" xfId="143" applyFont="1" applyBorder="1"/>
    <xf numFmtId="0" fontId="66" fillId="0" borderId="0" xfId="144" applyFont="1" applyAlignment="1">
      <alignment horizontal="left" indent="1"/>
    </xf>
    <xf numFmtId="173" fontId="66" fillId="0" borderId="0" xfId="101" applyNumberFormat="1" applyFont="1" applyBorder="1" applyProtection="1"/>
    <xf numFmtId="43" fontId="66" fillId="0" borderId="0" xfId="69" applyFont="1" applyBorder="1" applyProtection="1"/>
    <xf numFmtId="173" fontId="66" fillId="0" borderId="13" xfId="101" applyNumberFormat="1" applyFont="1" applyBorder="1" applyProtection="1"/>
    <xf numFmtId="0" fontId="107" fillId="0" borderId="14" xfId="0" applyFont="1" applyBorder="1"/>
    <xf numFmtId="43" fontId="120" fillId="45" borderId="0" xfId="69" applyFont="1" applyFill="1"/>
    <xf numFmtId="0" fontId="7" fillId="0" borderId="0" xfId="169" applyFont="1"/>
    <xf numFmtId="0" fontId="4" fillId="0" borderId="0" xfId="169"/>
    <xf numFmtId="0" fontId="10" fillId="0" borderId="0" xfId="169" applyFont="1" applyAlignment="1">
      <alignment horizontal="right"/>
    </xf>
    <xf numFmtId="2" fontId="4" fillId="0" borderId="0" xfId="169" applyNumberFormat="1" applyAlignment="1">
      <alignment horizontal="right"/>
    </xf>
    <xf numFmtId="0" fontId="10" fillId="0" borderId="0" xfId="169" applyFont="1"/>
    <xf numFmtId="2" fontId="4" fillId="0" borderId="0" xfId="169" applyNumberFormat="1"/>
    <xf numFmtId="0" fontId="4" fillId="0" borderId="0" xfId="170"/>
    <xf numFmtId="2" fontId="10" fillId="0" borderId="0" xfId="169" applyNumberFormat="1" applyFont="1"/>
    <xf numFmtId="0" fontId="4" fillId="0" borderId="0" xfId="170" applyAlignment="1">
      <alignment horizontal="left" indent="1"/>
    </xf>
    <xf numFmtId="0" fontId="4" fillId="0" borderId="0" xfId="171" applyAlignment="1">
      <alignment horizontal="left" indent="1"/>
    </xf>
    <xf numFmtId="0" fontId="10" fillId="0" borderId="0" xfId="170" applyFont="1" applyAlignment="1">
      <alignment horizontal="left" indent="1"/>
    </xf>
    <xf numFmtId="172" fontId="66" fillId="47" borderId="0" xfId="111" applyNumberFormat="1" applyFont="1" applyFill="1" applyBorder="1">
      <alignment horizontal="right" vertical="center"/>
    </xf>
    <xf numFmtId="172" fontId="88" fillId="45" borderId="0" xfId="111" applyNumberFormat="1" applyFont="1" applyFill="1" applyBorder="1">
      <alignment horizontal="right" vertical="center"/>
    </xf>
    <xf numFmtId="0" fontId="56" fillId="0" borderId="0" xfId="143" applyFont="1" applyAlignment="1">
      <alignment horizontal="left" vertical="top"/>
    </xf>
    <xf numFmtId="0" fontId="66" fillId="0" borderId="0" xfId="143" applyFont="1" applyAlignment="1">
      <alignment horizontal="left"/>
    </xf>
    <xf numFmtId="0" fontId="55" fillId="0" borderId="0" xfId="143" applyFont="1" applyAlignment="1">
      <alignment horizontal="left" vertical="top"/>
    </xf>
    <xf numFmtId="172" fontId="66" fillId="29" borderId="24" xfId="111" applyNumberFormat="1" applyFont="1" applyFill="1" applyBorder="1">
      <alignment horizontal="right" vertical="center"/>
    </xf>
    <xf numFmtId="172" fontId="66" fillId="29" borderId="25" xfId="111" applyNumberFormat="1" applyFont="1" applyFill="1" applyBorder="1">
      <alignment horizontal="right" vertical="center"/>
    </xf>
    <xf numFmtId="172" fontId="66" fillId="29" borderId="26" xfId="111" applyNumberFormat="1" applyFont="1" applyFill="1" applyBorder="1">
      <alignment horizontal="right" vertical="center"/>
    </xf>
    <xf numFmtId="0" fontId="121" fillId="29" borderId="0" xfId="131" quotePrefix="1" applyFont="1" applyFill="1">
      <alignment horizontal="left" vertical="center"/>
      <protection locked="0"/>
    </xf>
    <xf numFmtId="2" fontId="122" fillId="28" borderId="0" xfId="169" applyNumberFormat="1" applyFont="1" applyFill="1"/>
    <xf numFmtId="0" fontId="122" fillId="27" borderId="0" xfId="169" applyFont="1" applyFill="1"/>
    <xf numFmtId="43" fontId="123" fillId="45" borderId="0" xfId="69" applyFont="1" applyFill="1" applyBorder="1"/>
    <xf numFmtId="2" fontId="123" fillId="0" borderId="0" xfId="169" applyNumberFormat="1" applyFont="1"/>
    <xf numFmtId="0" fontId="75" fillId="0" borderId="0" xfId="0" applyFont="1" applyAlignment="1">
      <alignment horizontal="right"/>
    </xf>
    <xf numFmtId="0" fontId="70" fillId="0" borderId="0" xfId="72" applyFont="1">
      <alignment vertical="center"/>
    </xf>
    <xf numFmtId="172" fontId="66" fillId="0" borderId="14" xfId="111" applyNumberFormat="1" applyFont="1" applyFill="1" applyBorder="1">
      <alignment horizontal="right" vertical="center"/>
    </xf>
    <xf numFmtId="43" fontId="66" fillId="0" borderId="0" xfId="101" applyNumberFormat="1" applyFont="1" applyProtection="1"/>
    <xf numFmtId="43" fontId="75" fillId="45" borderId="69" xfId="69" applyFont="1" applyFill="1" applyBorder="1" applyAlignment="1" applyProtection="1">
      <alignment horizontal="right"/>
    </xf>
    <xf numFmtId="172" fontId="66" fillId="27" borderId="8" xfId="0" applyNumberFormat="1" applyFont="1" applyFill="1" applyBorder="1"/>
    <xf numFmtId="172" fontId="66" fillId="27" borderId="33" xfId="0" applyNumberFormat="1" applyFont="1" applyFill="1" applyBorder="1"/>
    <xf numFmtId="172" fontId="66" fillId="27" borderId="34" xfId="0" applyNumberFormat="1" applyFont="1" applyFill="1" applyBorder="1"/>
    <xf numFmtId="172" fontId="66" fillId="27" borderId="35" xfId="0" applyNumberFormat="1" applyFont="1" applyFill="1" applyBorder="1"/>
    <xf numFmtId="172" fontId="78" fillId="34" borderId="97" xfId="0" applyNumberFormat="1" applyFont="1" applyFill="1" applyBorder="1" applyAlignment="1">
      <alignment horizontal="center"/>
    </xf>
    <xf numFmtId="172" fontId="78" fillId="29" borderId="0" xfId="0" applyNumberFormat="1" applyFont="1" applyFill="1" applyAlignment="1">
      <alignment horizontal="center"/>
    </xf>
    <xf numFmtId="172" fontId="70" fillId="27" borderId="24" xfId="0" applyNumberFormat="1" applyFont="1" applyFill="1" applyBorder="1"/>
    <xf numFmtId="172" fontId="70" fillId="27" borderId="25" xfId="0" applyNumberFormat="1" applyFont="1" applyFill="1" applyBorder="1"/>
    <xf numFmtId="172" fontId="70" fillId="27" borderId="26" xfId="0" applyNumberFormat="1" applyFont="1" applyFill="1" applyBorder="1"/>
    <xf numFmtId="172" fontId="111" fillId="27" borderId="0" xfId="0" applyNumberFormat="1" applyFont="1" applyFill="1"/>
    <xf numFmtId="0" fontId="124" fillId="27" borderId="0" xfId="74" applyFont="1" applyFill="1">
      <alignment vertical="center"/>
    </xf>
    <xf numFmtId="172" fontId="66" fillId="32" borderId="24" xfId="143" applyNumberFormat="1" applyFont="1" applyFill="1" applyBorder="1" applyAlignment="1" applyProtection="1">
      <alignment horizontal="right"/>
      <protection locked="0"/>
    </xf>
    <xf numFmtId="172" fontId="66" fillId="32" borderId="25" xfId="143" applyNumberFormat="1" applyFont="1" applyFill="1" applyBorder="1" applyAlignment="1" applyProtection="1">
      <alignment horizontal="right"/>
      <protection locked="0"/>
    </xf>
    <xf numFmtId="172" fontId="66" fillId="32" borderId="26" xfId="143" applyNumberFormat="1" applyFont="1" applyFill="1" applyBorder="1" applyAlignment="1" applyProtection="1">
      <alignment horizontal="right"/>
      <protection locked="0"/>
    </xf>
    <xf numFmtId="0" fontId="66" fillId="32" borderId="27" xfId="0" applyFont="1" applyFill="1" applyBorder="1" applyAlignment="1" applyProtection="1">
      <alignment horizontal="right"/>
      <protection locked="0"/>
    </xf>
    <xf numFmtId="0" fontId="66" fillId="32" borderId="28" xfId="0" applyFont="1" applyFill="1" applyBorder="1" applyAlignment="1" applyProtection="1">
      <alignment horizontal="right"/>
      <protection locked="0"/>
    </xf>
    <xf numFmtId="0" fontId="66" fillId="32" borderId="29" xfId="0" applyFont="1" applyFill="1" applyBorder="1" applyAlignment="1" applyProtection="1">
      <alignment horizontal="right"/>
      <protection locked="0"/>
    </xf>
    <xf numFmtId="0" fontId="66" fillId="32" borderId="30" xfId="0" applyFont="1" applyFill="1" applyBorder="1" applyAlignment="1" applyProtection="1">
      <alignment horizontal="right"/>
      <protection locked="0"/>
    </xf>
    <xf numFmtId="0" fontId="66" fillId="32" borderId="0" xfId="0" applyFont="1" applyFill="1" applyAlignment="1" applyProtection="1">
      <alignment horizontal="right"/>
      <protection locked="0"/>
    </xf>
    <xf numFmtId="0" fontId="66" fillId="32" borderId="14" xfId="0" applyFont="1" applyFill="1" applyBorder="1" applyAlignment="1" applyProtection="1">
      <alignment horizontal="right"/>
      <protection locked="0"/>
    </xf>
    <xf numFmtId="9" fontId="66" fillId="32" borderId="0" xfId="101" applyFont="1" applyFill="1" applyBorder="1" applyAlignment="1" applyProtection="1">
      <alignment horizontal="right"/>
      <protection locked="0"/>
    </xf>
    <xf numFmtId="9" fontId="66" fillId="32" borderId="14" xfId="101" applyFont="1" applyFill="1" applyBorder="1" applyAlignment="1" applyProtection="1">
      <alignment horizontal="right"/>
      <protection locked="0"/>
    </xf>
    <xf numFmtId="9" fontId="66" fillId="32" borderId="30" xfId="101" applyFont="1" applyFill="1" applyBorder="1" applyAlignment="1" applyProtection="1">
      <alignment horizontal="right"/>
      <protection locked="0"/>
    </xf>
    <xf numFmtId="173" fontId="66" fillId="32" borderId="0" xfId="101" applyNumberFormat="1" applyFont="1" applyFill="1" applyBorder="1" applyAlignment="1" applyProtection="1">
      <alignment horizontal="right"/>
      <protection locked="0"/>
    </xf>
    <xf numFmtId="173" fontId="66" fillId="32" borderId="14" xfId="101" applyNumberFormat="1" applyFont="1" applyFill="1" applyBorder="1" applyAlignment="1" applyProtection="1">
      <alignment horizontal="right"/>
      <protection locked="0"/>
    </xf>
    <xf numFmtId="173" fontId="66" fillId="32" borderId="30" xfId="101" applyNumberFormat="1" applyFont="1" applyFill="1" applyBorder="1" applyAlignment="1" applyProtection="1">
      <alignment horizontal="right"/>
      <protection locked="0"/>
    </xf>
    <xf numFmtId="9" fontId="66" fillId="32" borderId="27" xfId="101" applyFont="1" applyFill="1" applyBorder="1" applyAlignment="1" applyProtection="1">
      <alignment horizontal="right"/>
      <protection locked="0"/>
    </xf>
    <xf numFmtId="9" fontId="66" fillId="32" borderId="28" xfId="101" applyFont="1" applyFill="1" applyBorder="1" applyAlignment="1" applyProtection="1">
      <alignment horizontal="right"/>
      <protection locked="0"/>
    </xf>
    <xf numFmtId="9" fontId="66" fillId="32" borderId="29" xfId="101" applyFont="1" applyFill="1" applyBorder="1" applyAlignment="1" applyProtection="1">
      <alignment horizontal="right"/>
      <protection locked="0"/>
    </xf>
    <xf numFmtId="0" fontId="70" fillId="0" borderId="27" xfId="0" applyFont="1" applyBorder="1"/>
    <xf numFmtId="0" fontId="66" fillId="49" borderId="0" xfId="0" applyFont="1" applyFill="1"/>
    <xf numFmtId="0" fontId="70" fillId="45" borderId="0" xfId="0" quotePrefix="1" applyFont="1" applyFill="1" applyAlignment="1">
      <alignment horizontal="center"/>
    </xf>
    <xf numFmtId="0" fontId="56" fillId="27" borderId="0" xfId="0" applyFont="1" applyFill="1"/>
    <xf numFmtId="0" fontId="55" fillId="27" borderId="0" xfId="0" applyFont="1" applyFill="1"/>
    <xf numFmtId="0" fontId="125" fillId="51" borderId="126" xfId="0" applyFont="1" applyFill="1" applyBorder="1" applyAlignment="1">
      <alignment vertical="center" wrapText="1"/>
    </xf>
    <xf numFmtId="0" fontId="125" fillId="51" borderId="126" xfId="0" applyFont="1" applyFill="1" applyBorder="1" applyAlignment="1">
      <alignment horizontal="right" vertical="center" wrapText="1"/>
    </xf>
    <xf numFmtId="0" fontId="56" fillId="29" borderId="126" xfId="0" applyFont="1" applyFill="1" applyBorder="1" applyAlignment="1">
      <alignment vertical="center" wrapText="1"/>
    </xf>
    <xf numFmtId="172" fontId="126" fillId="29" borderId="126" xfId="69" applyNumberFormat="1" applyFont="1" applyFill="1" applyBorder="1" applyAlignment="1">
      <alignment horizontal="right" vertical="center" wrapText="1"/>
    </xf>
    <xf numFmtId="172" fontId="56" fillId="29" borderId="126" xfId="69" applyNumberFormat="1" applyFont="1" applyFill="1" applyBorder="1" applyAlignment="1">
      <alignment horizontal="right" vertical="center" wrapText="1"/>
    </xf>
    <xf numFmtId="172" fontId="128" fillId="29" borderId="126" xfId="69" applyNumberFormat="1" applyFont="1" applyFill="1" applyBorder="1" applyAlignment="1">
      <alignment horizontal="right" vertical="center" wrapText="1"/>
    </xf>
    <xf numFmtId="172" fontId="127" fillId="29" borderId="126" xfId="69" applyNumberFormat="1" applyFont="1" applyFill="1" applyBorder="1" applyAlignment="1">
      <alignment horizontal="right" vertical="center" wrapText="1"/>
    </xf>
    <xf numFmtId="0" fontId="117" fillId="0" borderId="0" xfId="0" applyFont="1"/>
    <xf numFmtId="0" fontId="129" fillId="29" borderId="0" xfId="0" quotePrefix="1" applyFont="1" applyFill="1" applyAlignment="1">
      <alignment horizontal="left" vertical="center" wrapText="1" indent="1"/>
    </xf>
    <xf numFmtId="0" fontId="56" fillId="28" borderId="32" xfId="0" applyFont="1" applyFill="1" applyBorder="1" applyAlignment="1">
      <alignment vertical="center" wrapText="1"/>
    </xf>
    <xf numFmtId="172" fontId="56" fillId="28" borderId="32" xfId="69" applyNumberFormat="1" applyFont="1" applyFill="1" applyBorder="1" applyAlignment="1">
      <alignment horizontal="right" vertical="center" wrapText="1"/>
    </xf>
    <xf numFmtId="172" fontId="70" fillId="29" borderId="126" xfId="69" applyNumberFormat="1" applyFont="1" applyFill="1" applyBorder="1" applyAlignment="1">
      <alignment horizontal="right" vertical="center" wrapText="1"/>
    </xf>
    <xf numFmtId="0" fontId="127" fillId="29" borderId="0" xfId="0" quotePrefix="1" applyFont="1" applyFill="1" applyAlignment="1">
      <alignment horizontal="left" vertical="center" wrapText="1" indent="1"/>
    </xf>
    <xf numFmtId="172" fontId="109" fillId="31" borderId="126" xfId="69" applyNumberFormat="1" applyFont="1" applyFill="1" applyBorder="1" applyAlignment="1">
      <alignment horizontal="left" vertical="center" wrapText="1"/>
    </xf>
    <xf numFmtId="172" fontId="109" fillId="31" borderId="126" xfId="69" applyNumberFormat="1" applyFont="1" applyFill="1" applyBorder="1" applyAlignment="1">
      <alignment horizontal="right" vertical="center" wrapText="1"/>
    </xf>
    <xf numFmtId="172" fontId="129" fillId="29" borderId="0" xfId="69" applyNumberFormat="1" applyFont="1" applyFill="1" applyBorder="1" applyAlignment="1">
      <alignment horizontal="right" vertical="center" wrapText="1"/>
    </xf>
    <xf numFmtId="172" fontId="127" fillId="29" borderId="0" xfId="69" applyNumberFormat="1" applyFont="1" applyFill="1" applyBorder="1" applyAlignment="1">
      <alignment horizontal="right" vertical="center" wrapText="1"/>
    </xf>
    <xf numFmtId="191" fontId="66" fillId="0" borderId="0" xfId="0" applyNumberFormat="1" applyFont="1"/>
    <xf numFmtId="191" fontId="66" fillId="0" borderId="0" xfId="69" applyNumberFormat="1" applyFont="1" applyProtection="1"/>
    <xf numFmtId="189" fontId="66" fillId="0" borderId="0" xfId="69" applyNumberFormat="1" applyFont="1" applyProtection="1"/>
    <xf numFmtId="43" fontId="109" fillId="31" borderId="126" xfId="69" applyFont="1" applyFill="1" applyBorder="1" applyAlignment="1">
      <alignment horizontal="right" vertical="center" wrapText="1"/>
    </xf>
    <xf numFmtId="0" fontId="113" fillId="0" borderId="0" xfId="0" applyFont="1" applyAlignment="1">
      <alignment horizontal="right"/>
    </xf>
    <xf numFmtId="192" fontId="66" fillId="0" borderId="0" xfId="101" applyNumberFormat="1" applyFont="1" applyFill="1" applyBorder="1" applyAlignment="1" applyProtection="1">
      <alignment horizontal="right" vertical="center"/>
    </xf>
    <xf numFmtId="0" fontId="127" fillId="29" borderId="126" xfId="0" quotePrefix="1" applyFont="1" applyFill="1" applyBorder="1" applyAlignment="1">
      <alignment horizontal="left" vertical="center" indent="2"/>
    </xf>
    <xf numFmtId="0" fontId="113" fillId="48" borderId="0" xfId="0" applyFont="1" applyFill="1"/>
    <xf numFmtId="0" fontId="66" fillId="0" borderId="29" xfId="0" applyFont="1" applyBorder="1" applyAlignment="1">
      <alignment horizontal="right"/>
    </xf>
    <xf numFmtId="0" fontId="66" fillId="0" borderId="14" xfId="0" applyFont="1" applyBorder="1" applyAlignment="1">
      <alignment horizontal="right"/>
    </xf>
    <xf numFmtId="0" fontId="70" fillId="0" borderId="15" xfId="0" applyFont="1" applyBorder="1" applyAlignment="1">
      <alignment horizontal="right"/>
    </xf>
    <xf numFmtId="170" fontId="66" fillId="0" borderId="33" xfId="0" applyNumberFormat="1" applyFont="1" applyBorder="1"/>
    <xf numFmtId="170" fontId="66" fillId="0" borderId="27" xfId="0" applyNumberFormat="1" applyFont="1" applyBorder="1"/>
    <xf numFmtId="170" fontId="66" fillId="0" borderId="28" xfId="0" applyNumberFormat="1" applyFont="1" applyBorder="1"/>
    <xf numFmtId="170" fontId="66" fillId="0" borderId="29" xfId="0" applyNumberFormat="1" applyFont="1" applyBorder="1"/>
    <xf numFmtId="170" fontId="66" fillId="0" borderId="34" xfId="0" applyNumberFormat="1" applyFont="1" applyBorder="1"/>
    <xf numFmtId="170" fontId="66" fillId="0" borderId="30" xfId="0" applyNumberFormat="1" applyFont="1" applyBorder="1"/>
    <xf numFmtId="170" fontId="66" fillId="0" borderId="0" xfId="0" applyNumberFormat="1" applyFont="1"/>
    <xf numFmtId="170" fontId="66" fillId="0" borderId="14" xfId="0" applyNumberFormat="1" applyFont="1" applyBorder="1"/>
    <xf numFmtId="170" fontId="70" fillId="0" borderId="35" xfId="0" applyNumberFormat="1" applyFont="1" applyBorder="1"/>
    <xf numFmtId="170" fontId="70" fillId="0" borderId="31" xfId="0" applyNumberFormat="1" applyFont="1" applyBorder="1"/>
    <xf numFmtId="170" fontId="70" fillId="0" borderId="13" xfId="0" applyNumberFormat="1" applyFont="1" applyBorder="1"/>
    <xf numFmtId="170" fontId="70" fillId="0" borderId="15" xfId="0" applyNumberFormat="1" applyFont="1" applyBorder="1"/>
    <xf numFmtId="43" fontId="66" fillId="0" borderId="0" xfId="0" applyNumberFormat="1" applyFont="1"/>
    <xf numFmtId="43" fontId="56" fillId="0" borderId="0" xfId="69" applyFont="1" applyBorder="1" applyAlignment="1" applyProtection="1"/>
    <xf numFmtId="10" fontId="56" fillId="0" borderId="8" xfId="207" quotePrefix="1" applyNumberFormat="1" applyFont="1" applyFill="1" applyBorder="1" applyProtection="1"/>
    <xf numFmtId="0" fontId="75" fillId="0" borderId="22" xfId="205" applyFont="1" applyBorder="1"/>
    <xf numFmtId="172" fontId="66" fillId="0" borderId="24" xfId="0" applyNumberFormat="1" applyFont="1" applyBorder="1"/>
    <xf numFmtId="172" fontId="66" fillId="0" borderId="25" xfId="0" applyNumberFormat="1" applyFont="1" applyBorder="1"/>
    <xf numFmtId="172" fontId="66" fillId="0" borderId="26" xfId="0" applyNumberFormat="1" applyFont="1" applyBorder="1"/>
    <xf numFmtId="194" fontId="66" fillId="0" borderId="0" xfId="0" applyNumberFormat="1" applyFont="1"/>
    <xf numFmtId="172" fontId="75" fillId="0" borderId="0" xfId="111" applyNumberFormat="1" applyFont="1">
      <alignment horizontal="right" vertical="center"/>
    </xf>
    <xf numFmtId="43" fontId="130" fillId="0" borderId="0" xfId="69" applyFont="1" applyAlignment="1" applyProtection="1">
      <alignment wrapText="1"/>
    </xf>
    <xf numFmtId="173" fontId="4" fillId="49" borderId="27" xfId="101" applyNumberFormat="1" applyFont="1" applyFill="1" applyBorder="1" applyAlignment="1" applyProtection="1">
      <alignment horizontal="right"/>
    </xf>
    <xf numFmtId="172" fontId="75" fillId="0" borderId="0" xfId="111" applyNumberFormat="1" applyFont="1" applyBorder="1" applyAlignment="1">
      <alignment horizontal="left" vertical="center"/>
    </xf>
    <xf numFmtId="193" fontId="66" fillId="0" borderId="0" xfId="0" applyNumberFormat="1" applyFont="1"/>
    <xf numFmtId="195" fontId="66" fillId="0" borderId="0" xfId="69" applyNumberFormat="1" applyFont="1" applyProtection="1"/>
    <xf numFmtId="196" fontId="66" fillId="0" borderId="0" xfId="0" applyNumberFormat="1" applyFont="1"/>
    <xf numFmtId="193" fontId="66" fillId="0" borderId="0" xfId="69" applyNumberFormat="1" applyFont="1" applyProtection="1"/>
    <xf numFmtId="193" fontId="131" fillId="0" borderId="0" xfId="69" applyNumberFormat="1" applyFont="1" applyFill="1" applyBorder="1" applyAlignment="1">
      <alignment horizontal="right" vertical="center" wrapText="1" readingOrder="1"/>
    </xf>
    <xf numFmtId="197" fontId="66" fillId="0" borderId="0" xfId="0" applyNumberFormat="1" applyFont="1"/>
    <xf numFmtId="190" fontId="91" fillId="27" borderId="68" xfId="112" applyNumberFormat="1" applyFont="1" applyFill="1" applyBorder="1">
      <alignment horizontal="right" vertical="center"/>
    </xf>
    <xf numFmtId="190" fontId="91" fillId="27" borderId="69" xfId="112" applyNumberFormat="1" applyFont="1" applyFill="1" applyBorder="1">
      <alignment horizontal="right" vertical="center"/>
    </xf>
    <xf numFmtId="190" fontId="91" fillId="27" borderId="70" xfId="112" applyNumberFormat="1" applyFont="1" applyFill="1" applyBorder="1">
      <alignment horizontal="right" vertical="center"/>
    </xf>
    <xf numFmtId="0" fontId="113" fillId="0" borderId="0" xfId="0" applyFont="1"/>
    <xf numFmtId="0" fontId="113" fillId="0" borderId="0" xfId="0" applyFont="1" applyAlignment="1">
      <alignment horizontal="left"/>
    </xf>
    <xf numFmtId="165" fontId="66" fillId="27" borderId="32" xfId="111" applyFont="1" applyFill="1" applyBorder="1">
      <alignment horizontal="right" vertical="center"/>
    </xf>
    <xf numFmtId="43" fontId="75" fillId="31" borderId="0" xfId="69" applyFont="1" applyFill="1" applyProtection="1"/>
    <xf numFmtId="172" fontId="70" fillId="24" borderId="0" xfId="111" applyNumberFormat="1" applyFont="1" applyFill="1" applyBorder="1">
      <alignment horizontal="right" vertical="center"/>
    </xf>
    <xf numFmtId="10" fontId="66" fillId="32" borderId="34" xfId="111" applyNumberFormat="1" applyFont="1" applyFill="1" applyBorder="1" applyAlignment="1" applyProtection="1">
      <alignment horizontal="center" vertical="center"/>
      <protection locked="0"/>
    </xf>
    <xf numFmtId="43" fontId="75" fillId="49" borderId="0" xfId="69" applyFont="1" applyFill="1" applyProtection="1"/>
    <xf numFmtId="0" fontId="70" fillId="49" borderId="0" xfId="0" applyFont="1" applyFill="1" applyAlignment="1">
      <alignment horizontal="right"/>
    </xf>
    <xf numFmtId="173" fontId="70" fillId="49" borderId="0" xfId="0" applyNumberFormat="1" applyFont="1" applyFill="1"/>
    <xf numFmtId="0" fontId="87" fillId="49" borderId="0" xfId="0" applyFont="1" applyFill="1" applyAlignment="1">
      <alignment horizontal="right"/>
    </xf>
    <xf numFmtId="173" fontId="87" fillId="49" borderId="0" xfId="101" applyNumberFormat="1" applyFont="1" applyFill="1" applyProtection="1"/>
    <xf numFmtId="0" fontId="66" fillId="49" borderId="0" xfId="0" applyFont="1" applyFill="1" applyAlignment="1">
      <alignment horizontal="right"/>
    </xf>
    <xf numFmtId="173" fontId="66" fillId="49" borderId="0" xfId="0" applyNumberFormat="1" applyFont="1" applyFill="1"/>
    <xf numFmtId="173" fontId="66" fillId="49" borderId="0" xfId="101" applyNumberFormat="1" applyFont="1" applyFill="1" applyProtection="1"/>
    <xf numFmtId="9" fontId="66" fillId="0" borderId="0" xfId="0" applyNumberFormat="1" applyFont="1"/>
    <xf numFmtId="2" fontId="66" fillId="0" borderId="13" xfId="0" applyNumberFormat="1" applyFont="1" applyBorder="1"/>
    <xf numFmtId="10" fontId="70" fillId="0" borderId="0" xfId="101" applyNumberFormat="1" applyFont="1" applyAlignment="1" applyProtection="1">
      <alignment horizontal="right"/>
    </xf>
    <xf numFmtId="190" fontId="66" fillId="32" borderId="18" xfId="114" applyNumberFormat="1" applyFont="1" applyFill="1" applyBorder="1" applyProtection="1">
      <alignment horizontal="right" vertical="center"/>
      <protection locked="0"/>
    </xf>
    <xf numFmtId="190" fontId="66" fillId="32" borderId="17" xfId="114" applyNumberFormat="1" applyFont="1" applyFill="1" applyBorder="1" applyProtection="1">
      <alignment horizontal="right" vertical="center"/>
      <protection locked="0"/>
    </xf>
    <xf numFmtId="173" fontId="66" fillId="41" borderId="39" xfId="78" applyNumberFormat="1" applyFont="1" applyFill="1" applyBorder="1">
      <alignment vertical="center"/>
    </xf>
    <xf numFmtId="173" fontId="66" fillId="41" borderId="19" xfId="180" applyNumberFormat="1" applyFont="1" applyFill="1" applyBorder="1">
      <alignment vertical="center"/>
      <protection locked="0"/>
    </xf>
    <xf numFmtId="173" fontId="66" fillId="41" borderId="20" xfId="0" applyNumberFormat="1" applyFont="1" applyFill="1" applyBorder="1" applyProtection="1">
      <protection locked="0"/>
    </xf>
    <xf numFmtId="173" fontId="66" fillId="39" borderId="39" xfId="78" applyNumberFormat="1" applyFont="1" applyFill="1" applyBorder="1">
      <alignment vertical="center"/>
    </xf>
    <xf numFmtId="173" fontId="66" fillId="39" borderId="0" xfId="111" applyNumberFormat="1" applyFont="1" applyFill="1" applyBorder="1" applyAlignment="1">
      <alignment horizontal="left" vertical="center"/>
    </xf>
    <xf numFmtId="173" fontId="66" fillId="39" borderId="20" xfId="111" applyNumberFormat="1" applyFont="1" applyFill="1" applyBorder="1" applyAlignment="1">
      <alignment horizontal="left" vertical="center"/>
    </xf>
    <xf numFmtId="173" fontId="66" fillId="0" borderId="39" xfId="78" applyNumberFormat="1" applyFont="1" applyFill="1" applyBorder="1">
      <alignment vertical="center"/>
    </xf>
    <xf numFmtId="173" fontId="66" fillId="0" borderId="0" xfId="111" applyNumberFormat="1" applyFont="1" applyFill="1" applyBorder="1" applyAlignment="1">
      <alignment horizontal="left" vertical="center"/>
    </xf>
    <xf numFmtId="173" fontId="66" fillId="0" borderId="20" xfId="111" applyNumberFormat="1" applyFont="1" applyFill="1" applyBorder="1" applyAlignment="1">
      <alignment horizontal="left" vertical="center"/>
    </xf>
    <xf numFmtId="173" fontId="66" fillId="41" borderId="105" xfId="78" applyNumberFormat="1" applyFont="1" applyFill="1" applyBorder="1">
      <alignment vertical="center"/>
    </xf>
    <xf numFmtId="173" fontId="66" fillId="41" borderId="106" xfId="180" applyNumberFormat="1" applyFont="1" applyFill="1" applyBorder="1">
      <alignment vertical="center"/>
      <protection locked="0"/>
    </xf>
    <xf numFmtId="173" fontId="66" fillId="41" borderId="88" xfId="0" applyNumberFormat="1" applyFont="1" applyFill="1" applyBorder="1" applyProtection="1">
      <protection locked="0"/>
    </xf>
    <xf numFmtId="173" fontId="66" fillId="0" borderId="107" xfId="78" applyNumberFormat="1" applyFont="1" applyFill="1" applyBorder="1">
      <alignment vertical="center"/>
    </xf>
    <xf numFmtId="173" fontId="66" fillId="0" borderId="13" xfId="111" applyNumberFormat="1" applyFont="1" applyFill="1" applyBorder="1" applyAlignment="1">
      <alignment horizontal="left" vertical="center"/>
    </xf>
    <xf numFmtId="173" fontId="66" fillId="0" borderId="46" xfId="111" applyNumberFormat="1" applyFont="1" applyFill="1" applyBorder="1" applyAlignment="1">
      <alignment horizontal="left" vertical="center"/>
    </xf>
    <xf numFmtId="173" fontId="66" fillId="0" borderId="40" xfId="78" applyNumberFormat="1" applyFont="1" applyFill="1" applyBorder="1">
      <alignment vertical="center"/>
    </xf>
    <xf numFmtId="173" fontId="66" fillId="0" borderId="22" xfId="111" applyNumberFormat="1" applyFont="1" applyFill="1" applyBorder="1" applyAlignment="1">
      <alignment horizontal="left" vertical="center"/>
    </xf>
    <xf numFmtId="173" fontId="66" fillId="0" borderId="23" xfId="111" applyNumberFormat="1" applyFont="1" applyFill="1" applyBorder="1" applyAlignment="1">
      <alignment horizontal="left" vertical="center"/>
    </xf>
    <xf numFmtId="0" fontId="65" fillId="0" borderId="13" xfId="103" applyFont="1" applyBorder="1" applyAlignment="1">
      <alignment horizontal="center" vertical="center"/>
    </xf>
    <xf numFmtId="0" fontId="10" fillId="0" borderId="25" xfId="0" applyFont="1" applyBorder="1" applyAlignment="1">
      <alignment horizontal="right"/>
    </xf>
    <xf numFmtId="165" fontId="113" fillId="32" borderId="8" xfId="111" applyFont="1" applyFill="1" applyBorder="1" applyProtection="1">
      <alignment horizontal="right" vertical="center"/>
      <protection locked="0"/>
    </xf>
    <xf numFmtId="187" fontId="75" fillId="32" borderId="0" xfId="101" applyNumberFormat="1" applyFont="1" applyFill="1" applyBorder="1" applyAlignment="1" applyProtection="1">
      <alignment vertical="center"/>
      <protection locked="0"/>
    </xf>
    <xf numFmtId="186" fontId="66" fillId="54" borderId="0" xfId="166" applyFont="1" applyFill="1" applyBorder="1">
      <alignment vertical="center"/>
    </xf>
    <xf numFmtId="186" fontId="66" fillId="0" borderId="0" xfId="166" applyFont="1" applyFill="1" applyBorder="1">
      <alignment vertical="center"/>
    </xf>
    <xf numFmtId="187" fontId="56" fillId="0" borderId="26" xfId="166" applyNumberFormat="1" applyFont="1" applyFill="1" applyBorder="1">
      <alignment vertical="center"/>
    </xf>
    <xf numFmtId="0" fontId="66" fillId="0" borderId="16" xfId="0" applyFont="1" applyBorder="1" applyProtection="1">
      <protection locked="0"/>
    </xf>
    <xf numFmtId="0" fontId="66" fillId="0" borderId="17" xfId="0" applyFont="1" applyBorder="1" applyProtection="1">
      <protection locked="0"/>
    </xf>
    <xf numFmtId="0" fontId="66" fillId="0" borderId="18" xfId="0" applyFont="1" applyBorder="1" applyProtection="1">
      <protection locked="0"/>
    </xf>
    <xf numFmtId="0" fontId="66" fillId="0" borderId="19" xfId="0" applyFont="1" applyBorder="1" applyProtection="1">
      <protection locked="0"/>
    </xf>
    <xf numFmtId="0" fontId="65" fillId="0" borderId="0" xfId="72" applyFont="1" applyFill="1" applyBorder="1" applyProtection="1">
      <alignment vertical="center"/>
      <protection locked="0"/>
    </xf>
    <xf numFmtId="0" fontId="66" fillId="0" borderId="20" xfId="0" applyFont="1" applyBorder="1" applyProtection="1">
      <protection locked="0"/>
    </xf>
    <xf numFmtId="0" fontId="77" fillId="0" borderId="0" xfId="72" applyFont="1" applyFill="1" applyBorder="1" applyProtection="1">
      <alignment vertical="center"/>
      <protection locked="0"/>
    </xf>
    <xf numFmtId="0" fontId="66" fillId="24" borderId="0" xfId="0" applyFont="1" applyFill="1" applyProtection="1">
      <protection locked="0"/>
    </xf>
    <xf numFmtId="0" fontId="118" fillId="0" borderId="0" xfId="0" applyFont="1" applyProtection="1">
      <protection locked="0"/>
    </xf>
    <xf numFmtId="0" fontId="66" fillId="0" borderId="21" xfId="0" applyFont="1" applyBorder="1" applyProtection="1">
      <protection locked="0"/>
    </xf>
    <xf numFmtId="0" fontId="66" fillId="0" borderId="23" xfId="0" applyFont="1" applyBorder="1" applyProtection="1">
      <protection locked="0"/>
    </xf>
    <xf numFmtId="0" fontId="10" fillId="0" borderId="24" xfId="0" applyFont="1" applyBorder="1"/>
    <xf numFmtId="10" fontId="70" fillId="27" borderId="25" xfId="207" applyNumberFormat="1" applyFont="1" applyFill="1" applyBorder="1" applyAlignment="1" applyProtection="1">
      <alignment horizontal="right" vertical="top" wrapText="1"/>
    </xf>
    <xf numFmtId="10" fontId="70" fillId="27" borderId="26" xfId="207" applyNumberFormat="1" applyFont="1" applyFill="1" applyBorder="1" applyAlignment="1" applyProtection="1">
      <alignment horizontal="right" vertical="top" wrapText="1"/>
    </xf>
    <xf numFmtId="10" fontId="70" fillId="29" borderId="24" xfId="207" applyNumberFormat="1" applyFont="1" applyFill="1" applyBorder="1" applyProtection="1"/>
    <xf numFmtId="10" fontId="70" fillId="29" borderId="25" xfId="207" applyNumberFormat="1" applyFont="1" applyFill="1" applyBorder="1" applyProtection="1"/>
    <xf numFmtId="10" fontId="70" fillId="29" borderId="26" xfId="207" applyNumberFormat="1" applyFont="1" applyFill="1" applyBorder="1" applyProtection="1"/>
    <xf numFmtId="10" fontId="55" fillId="27" borderId="13" xfId="207" applyNumberFormat="1" applyFont="1" applyFill="1" applyBorder="1" applyProtection="1"/>
    <xf numFmtId="10" fontId="55" fillId="27" borderId="15" xfId="207" applyNumberFormat="1" applyFont="1" applyFill="1" applyBorder="1" applyProtection="1"/>
    <xf numFmtId="9" fontId="66" fillId="55" borderId="8" xfId="207" applyFont="1" applyFill="1" applyBorder="1" applyProtection="1"/>
    <xf numFmtId="10" fontId="66" fillId="55" borderId="35" xfId="207" applyNumberFormat="1" applyFont="1" applyFill="1" applyBorder="1" applyProtection="1"/>
    <xf numFmtId="9" fontId="55" fillId="27" borderId="25" xfId="207" applyFont="1" applyFill="1" applyBorder="1" applyProtection="1"/>
    <xf numFmtId="9" fontId="55" fillId="27" borderId="26" xfId="207" applyFont="1" applyFill="1" applyBorder="1" applyProtection="1"/>
    <xf numFmtId="10" fontId="70" fillId="27" borderId="24" xfId="207" applyNumberFormat="1" applyFont="1" applyFill="1" applyBorder="1" applyAlignment="1" applyProtection="1">
      <alignment horizontal="right" vertical="top" wrapText="1"/>
    </xf>
    <xf numFmtId="0" fontId="65" fillId="0" borderId="0" xfId="0" applyFont="1" applyAlignment="1">
      <alignment horizontal="right"/>
    </xf>
    <xf numFmtId="43" fontId="66" fillId="0" borderId="20" xfId="69" applyFont="1" applyBorder="1" applyProtection="1"/>
    <xf numFmtId="172" fontId="66" fillId="0" borderId="20" xfId="111" applyNumberFormat="1" applyFont="1" applyFill="1" applyBorder="1">
      <alignment horizontal="right" vertical="center"/>
    </xf>
    <xf numFmtId="170" fontId="66" fillId="0" borderId="29" xfId="111" applyNumberFormat="1" applyFont="1" applyFill="1" applyBorder="1">
      <alignment horizontal="right" vertical="center"/>
    </xf>
    <xf numFmtId="172" fontId="66" fillId="0" borderId="33" xfId="111" applyNumberFormat="1" applyFont="1" applyBorder="1">
      <alignment horizontal="right" vertical="center"/>
    </xf>
    <xf numFmtId="172" fontId="66" fillId="0" borderId="28" xfId="111" applyNumberFormat="1" applyFont="1" applyBorder="1">
      <alignment horizontal="right" vertical="center"/>
    </xf>
    <xf numFmtId="172" fontId="66" fillId="0" borderId="29" xfId="111" applyNumberFormat="1" applyFont="1" applyFill="1" applyBorder="1">
      <alignment horizontal="right" vertical="center"/>
    </xf>
    <xf numFmtId="172" fontId="66" fillId="0" borderId="35" xfId="111" applyNumberFormat="1" applyFont="1" applyBorder="1">
      <alignment horizontal="right" vertical="center"/>
    </xf>
    <xf numFmtId="172" fontId="66" fillId="0" borderId="13" xfId="111" applyNumberFormat="1" applyFont="1" applyBorder="1">
      <alignment horizontal="right" vertical="center"/>
    </xf>
    <xf numFmtId="172" fontId="66" fillId="0" borderId="15" xfId="111" applyNumberFormat="1" applyFont="1" applyBorder="1">
      <alignment horizontal="right" vertical="center"/>
    </xf>
    <xf numFmtId="170" fontId="75" fillId="0" borderId="0" xfId="111" applyNumberFormat="1" applyFont="1" applyFill="1" applyBorder="1">
      <alignment horizontal="right" vertical="center"/>
    </xf>
    <xf numFmtId="172" fontId="75" fillId="0" borderId="0" xfId="111" applyNumberFormat="1" applyFont="1" applyFill="1" applyBorder="1">
      <alignment horizontal="right" vertical="center"/>
    </xf>
    <xf numFmtId="165" fontId="75" fillId="27" borderId="0" xfId="111" applyFont="1" applyFill="1" applyBorder="1" applyAlignment="1">
      <alignment horizontal="left" vertical="center"/>
    </xf>
    <xf numFmtId="173" fontId="66" fillId="32" borderId="24" xfId="207" applyNumberFormat="1" applyFont="1" applyFill="1" applyBorder="1" applyProtection="1">
      <protection locked="0"/>
    </xf>
    <xf numFmtId="173" fontId="66" fillId="32" borderId="25" xfId="207" applyNumberFormat="1" applyFont="1" applyFill="1" applyBorder="1" applyProtection="1">
      <protection locked="0"/>
    </xf>
    <xf numFmtId="0" fontId="66" fillId="32" borderId="77" xfId="171" applyFont="1" applyFill="1" applyBorder="1" applyProtection="1">
      <protection locked="0"/>
    </xf>
    <xf numFmtId="0" fontId="66" fillId="32" borderId="46" xfId="171" applyFont="1" applyFill="1" applyBorder="1" applyProtection="1">
      <protection locked="0"/>
    </xf>
    <xf numFmtId="0" fontId="66" fillId="32" borderId="45" xfId="171" applyFont="1" applyFill="1" applyBorder="1" applyProtection="1">
      <protection locked="0"/>
    </xf>
    <xf numFmtId="0" fontId="66" fillId="32" borderId="77" xfId="171" applyFont="1" applyFill="1" applyBorder="1" applyAlignment="1" applyProtection="1">
      <alignment horizontal="center"/>
      <protection locked="0"/>
    </xf>
    <xf numFmtId="0" fontId="66" fillId="32" borderId="45" xfId="171" applyFont="1" applyFill="1" applyBorder="1" applyAlignment="1" applyProtection="1">
      <alignment horizontal="center"/>
      <protection locked="0"/>
    </xf>
    <xf numFmtId="172" fontId="70" fillId="0" borderId="32" xfId="112" applyNumberFormat="1" applyFont="1" applyFill="1" applyBorder="1">
      <alignment horizontal="right" vertical="center"/>
    </xf>
    <xf numFmtId="0" fontId="70" fillId="0" borderId="26" xfId="0" applyFont="1" applyBorder="1"/>
    <xf numFmtId="0" fontId="4" fillId="56" borderId="8" xfId="169" applyFill="1" applyBorder="1"/>
    <xf numFmtId="0" fontId="4" fillId="52" borderId="8" xfId="169" applyFill="1" applyBorder="1" applyAlignment="1">
      <alignment horizontal="center"/>
    </xf>
    <xf numFmtId="14" fontId="4" fillId="52" borderId="8" xfId="169" applyNumberFormat="1" applyFill="1" applyBorder="1" applyAlignment="1">
      <alignment horizontal="center"/>
    </xf>
    <xf numFmtId="0" fontId="4" fillId="52" borderId="8" xfId="169" applyFill="1" applyBorder="1"/>
    <xf numFmtId="0" fontId="4" fillId="52" borderId="8" xfId="169" applyFill="1" applyBorder="1" applyAlignment="1">
      <alignment wrapText="1"/>
    </xf>
    <xf numFmtId="0" fontId="127" fillId="29" borderId="126" xfId="0" quotePrefix="1" applyFont="1" applyFill="1" applyBorder="1" applyAlignment="1">
      <alignment horizontal="left" vertical="center" wrapText="1" indent="2"/>
    </xf>
    <xf numFmtId="43" fontId="70" fillId="0" borderId="0" xfId="69" applyFont="1"/>
    <xf numFmtId="0" fontId="129" fillId="29" borderId="0" xfId="0" quotePrefix="1" applyFont="1" applyFill="1" applyAlignment="1">
      <alignment horizontal="left" vertical="center" wrapText="1"/>
    </xf>
    <xf numFmtId="0" fontId="56" fillId="28" borderId="36" xfId="0" applyFont="1" applyFill="1" applyBorder="1" applyAlignment="1">
      <alignment vertical="center" wrapText="1"/>
    </xf>
    <xf numFmtId="172" fontId="56" fillId="28" borderId="36" xfId="69" applyNumberFormat="1" applyFont="1" applyFill="1" applyBorder="1" applyAlignment="1">
      <alignment horizontal="right" vertical="center" wrapText="1"/>
    </xf>
    <xf numFmtId="43" fontId="133" fillId="31" borderId="126" xfId="69" applyFont="1" applyFill="1" applyBorder="1" applyAlignment="1">
      <alignment horizontal="right" vertical="center" wrapText="1"/>
    </xf>
    <xf numFmtId="172" fontId="133" fillId="31" borderId="126" xfId="69" applyNumberFormat="1" applyFont="1" applyFill="1" applyBorder="1" applyAlignment="1">
      <alignment horizontal="right" vertical="center" wrapText="1"/>
    </xf>
    <xf numFmtId="190" fontId="66" fillId="32" borderId="16" xfId="114" applyNumberFormat="1" applyFont="1" applyFill="1" applyBorder="1" applyProtection="1">
      <alignment horizontal="right" vertical="center"/>
      <protection locked="0"/>
    </xf>
    <xf numFmtId="0" fontId="134" fillId="0" borderId="0" xfId="0" applyFont="1"/>
    <xf numFmtId="172" fontId="63" fillId="54" borderId="0" xfId="111" applyNumberFormat="1" applyFont="1" applyFill="1" applyBorder="1" applyAlignment="1">
      <alignment horizontal="left" vertical="center"/>
    </xf>
    <xf numFmtId="0" fontId="70" fillId="29" borderId="16" xfId="0" applyFont="1" applyFill="1" applyBorder="1"/>
    <xf numFmtId="0" fontId="66" fillId="29" borderId="17" xfId="0" applyFont="1" applyFill="1" applyBorder="1"/>
    <xf numFmtId="0" fontId="66" fillId="29" borderId="18" xfId="0" applyFont="1" applyFill="1" applyBorder="1"/>
    <xf numFmtId="43" fontId="66" fillId="29" borderId="19" xfId="69" applyFont="1" applyFill="1" applyBorder="1" applyProtection="1"/>
    <xf numFmtId="0" fontId="66" fillId="29" borderId="20" xfId="0" applyFont="1" applyFill="1" applyBorder="1"/>
    <xf numFmtId="0" fontId="66" fillId="29" borderId="19" xfId="0" applyFont="1" applyFill="1" applyBorder="1"/>
    <xf numFmtId="43" fontId="66" fillId="29" borderId="0" xfId="69" applyFont="1" applyFill="1" applyBorder="1" applyProtection="1"/>
    <xf numFmtId="43" fontId="66" fillId="29" borderId="20" xfId="69" applyFont="1" applyFill="1" applyBorder="1" applyProtection="1"/>
    <xf numFmtId="0" fontId="70" fillId="29" borderId="0" xfId="0" applyFont="1" applyFill="1" applyAlignment="1">
      <alignment horizontal="right"/>
    </xf>
    <xf numFmtId="43" fontId="135" fillId="29" borderId="0" xfId="69" applyFont="1" applyFill="1" applyBorder="1"/>
    <xf numFmtId="0" fontId="66" fillId="29" borderId="21" xfId="0" applyFont="1" applyFill="1" applyBorder="1"/>
    <xf numFmtId="43" fontId="66" fillId="29" borderId="22" xfId="69" applyFont="1" applyFill="1" applyBorder="1" applyProtection="1"/>
    <xf numFmtId="43" fontId="66" fillId="29" borderId="23" xfId="69" applyFont="1" applyFill="1" applyBorder="1" applyProtection="1"/>
    <xf numFmtId="0" fontId="102" fillId="27" borderId="0" xfId="0" applyFont="1" applyFill="1" applyAlignment="1">
      <alignment horizontal="center"/>
    </xf>
    <xf numFmtId="0" fontId="70" fillId="29" borderId="16" xfId="0" applyFont="1" applyFill="1" applyBorder="1" applyAlignment="1">
      <alignment horizontal="right"/>
    </xf>
    <xf numFmtId="0" fontId="70" fillId="29" borderId="17" xfId="0" applyFont="1" applyFill="1" applyBorder="1" applyAlignment="1">
      <alignment horizontal="right"/>
    </xf>
    <xf numFmtId="0" fontId="70" fillId="29" borderId="17" xfId="0" applyFont="1" applyFill="1" applyBorder="1"/>
    <xf numFmtId="0" fontId="78" fillId="29" borderId="18" xfId="0" applyFont="1" applyFill="1" applyBorder="1" applyAlignment="1">
      <alignment horizontal="center"/>
    </xf>
    <xf numFmtId="0" fontId="102" fillId="29" borderId="19" xfId="0" applyFont="1" applyFill="1" applyBorder="1" applyAlignment="1">
      <alignment horizontal="right" indent="1"/>
    </xf>
    <xf numFmtId="0" fontId="56" fillId="29" borderId="0" xfId="0" applyFont="1" applyFill="1"/>
    <xf numFmtId="172" fontId="66" fillId="29" borderId="0" xfId="0" applyNumberFormat="1" applyFont="1" applyFill="1" applyAlignment="1">
      <alignment horizontal="right" vertical="center"/>
    </xf>
    <xf numFmtId="0" fontId="78" fillId="29" borderId="20" xfId="0" applyFont="1" applyFill="1" applyBorder="1" applyAlignment="1">
      <alignment horizontal="center"/>
    </xf>
    <xf numFmtId="172" fontId="55" fillId="29" borderId="0" xfId="0" applyNumberFormat="1" applyFont="1" applyFill="1" applyAlignment="1">
      <alignment horizontal="right" vertical="center"/>
    </xf>
    <xf numFmtId="0" fontId="56" fillId="29" borderId="0" xfId="0" applyFont="1" applyFill="1" applyAlignment="1">
      <alignment horizontal="left"/>
    </xf>
    <xf numFmtId="43" fontId="78" fillId="29" borderId="0" xfId="69" applyFont="1" applyFill="1" applyAlignment="1">
      <alignment horizontal="right" vertical="center"/>
    </xf>
    <xf numFmtId="0" fontId="78" fillId="29" borderId="19" xfId="0" applyFont="1" applyFill="1" applyBorder="1"/>
    <xf numFmtId="9" fontId="136" fillId="29" borderId="0" xfId="101" applyFont="1" applyFill="1" applyBorder="1" applyAlignment="1">
      <alignment horizontal="right" vertical="center"/>
    </xf>
    <xf numFmtId="0" fontId="87" fillId="29" borderId="20" xfId="0" applyFont="1" applyFill="1" applyBorder="1"/>
    <xf numFmtId="2" fontId="78" fillId="29" borderId="21" xfId="0" applyNumberFormat="1" applyFont="1" applyFill="1" applyBorder="1" applyAlignment="1">
      <alignment horizontal="right" indent="1"/>
    </xf>
    <xf numFmtId="0" fontId="66" fillId="29" borderId="22" xfId="0" applyFont="1" applyFill="1" applyBorder="1"/>
    <xf numFmtId="0" fontId="66" fillId="29" borderId="23" xfId="0" applyFont="1" applyFill="1" applyBorder="1"/>
    <xf numFmtId="172" fontId="66" fillId="0" borderId="8" xfId="111" applyNumberFormat="1" applyFont="1" applyFill="1" applyBorder="1">
      <alignment horizontal="right" vertical="center"/>
    </xf>
    <xf numFmtId="0" fontId="87" fillId="0" borderId="0" xfId="0" applyFont="1" applyAlignment="1">
      <alignment horizontal="right"/>
    </xf>
    <xf numFmtId="173" fontId="66" fillId="0" borderId="0" xfId="101" applyNumberFormat="1" applyFont="1" applyFill="1" applyBorder="1" applyAlignment="1">
      <alignment horizontal="right" vertical="center"/>
    </xf>
    <xf numFmtId="172" fontId="66" fillId="34" borderId="8" xfId="111" applyNumberFormat="1" applyFont="1" applyFill="1" applyBorder="1">
      <alignment horizontal="right" vertical="center"/>
    </xf>
    <xf numFmtId="173" fontId="87" fillId="0" borderId="25" xfId="101" applyNumberFormat="1" applyFont="1" applyFill="1" applyBorder="1" applyAlignment="1">
      <alignment horizontal="right" vertical="center"/>
    </xf>
    <xf numFmtId="198" fontId="70" fillId="0" borderId="0" xfId="111" applyNumberFormat="1" applyFont="1" applyFill="1" applyBorder="1" applyAlignment="1">
      <alignment horizontal="center" vertical="center"/>
    </xf>
    <xf numFmtId="172" fontId="66" fillId="58" borderId="33" xfId="213" applyNumberFormat="1" applyFont="1" applyFill="1" applyBorder="1" applyAlignment="1" applyProtection="1">
      <alignment vertical="center"/>
      <protection locked="0"/>
    </xf>
    <xf numFmtId="172" fontId="66" fillId="58" borderId="34" xfId="213" applyNumberFormat="1" applyFont="1" applyFill="1" applyBorder="1" applyAlignment="1" applyProtection="1">
      <alignment vertical="center"/>
      <protection locked="0"/>
    </xf>
    <xf numFmtId="172" fontId="66" fillId="32" borderId="34" xfId="213" applyNumberFormat="1" applyFont="1" applyFill="1" applyBorder="1" applyAlignment="1" applyProtection="1">
      <alignment vertical="center"/>
      <protection locked="0"/>
    </xf>
    <xf numFmtId="172" fontId="66" fillId="32" borderId="35" xfId="213" applyNumberFormat="1" applyFont="1" applyFill="1" applyBorder="1" applyAlignment="1" applyProtection="1">
      <alignment vertical="center"/>
      <protection locked="0"/>
    </xf>
    <xf numFmtId="0" fontId="70" fillId="29" borderId="27" xfId="0" applyFont="1" applyFill="1" applyBorder="1" applyAlignment="1">
      <alignment horizontal="right"/>
    </xf>
    <xf numFmtId="0" fontId="70" fillId="29" borderId="28" xfId="0" applyFont="1" applyFill="1" applyBorder="1" applyAlignment="1">
      <alignment horizontal="right"/>
    </xf>
    <xf numFmtId="0" fontId="70" fillId="29" borderId="28" xfId="0" applyFont="1" applyFill="1" applyBorder="1"/>
    <xf numFmtId="0" fontId="70" fillId="29" borderId="29" xfId="0" applyFont="1" applyFill="1" applyBorder="1"/>
    <xf numFmtId="0" fontId="102" fillId="29" borderId="30" xfId="0" applyFont="1" applyFill="1" applyBorder="1" applyAlignment="1">
      <alignment horizontal="right" indent="1"/>
    </xf>
    <xf numFmtId="0" fontId="102" fillId="29" borderId="0" xfId="0" applyFont="1" applyFill="1" applyAlignment="1">
      <alignment horizontal="left" vertical="center" wrapText="1"/>
    </xf>
    <xf numFmtId="0" fontId="70" fillId="29" borderId="14" xfId="0" applyFont="1" applyFill="1" applyBorder="1"/>
    <xf numFmtId="0" fontId="78" fillId="29" borderId="30" xfId="0" applyFont="1" applyFill="1" applyBorder="1"/>
    <xf numFmtId="2" fontId="78" fillId="29" borderId="30" xfId="0" applyNumberFormat="1" applyFont="1" applyFill="1" applyBorder="1" applyAlignment="1">
      <alignment horizontal="right" indent="1"/>
    </xf>
    <xf numFmtId="9" fontId="78" fillId="53" borderId="0" xfId="101" applyFont="1" applyFill="1" applyBorder="1" applyAlignment="1" applyProtection="1">
      <alignment horizontal="center"/>
    </xf>
    <xf numFmtId="199" fontId="135" fillId="29" borderId="14" xfId="111" applyNumberFormat="1" applyFont="1" applyFill="1" applyBorder="1" applyAlignment="1">
      <alignment horizontal="center" vertical="center"/>
    </xf>
    <xf numFmtId="0" fontId="66" fillId="29" borderId="31" xfId="0" applyFont="1" applyFill="1" applyBorder="1"/>
    <xf numFmtId="0" fontId="66" fillId="29" borderId="13" xfId="0" applyFont="1" applyFill="1" applyBorder="1" applyAlignment="1">
      <alignment horizontal="right"/>
    </xf>
    <xf numFmtId="172" fontId="66" fillId="27" borderId="33" xfId="0" applyNumberFormat="1" applyFont="1" applyFill="1" applyBorder="1" applyAlignment="1">
      <alignment horizontal="right"/>
    </xf>
    <xf numFmtId="172" fontId="66" fillId="27" borderId="34" xfId="0" applyNumberFormat="1" applyFont="1" applyFill="1" applyBorder="1" applyAlignment="1">
      <alignment horizontal="right"/>
    </xf>
    <xf numFmtId="172" fontId="66" fillId="27" borderId="35" xfId="0" applyNumberFormat="1" applyFont="1" applyFill="1" applyBorder="1" applyAlignment="1">
      <alignment horizontal="right"/>
    </xf>
    <xf numFmtId="172" fontId="78" fillId="53" borderId="0" xfId="0" applyNumberFormat="1" applyFont="1" applyFill="1" applyAlignment="1">
      <alignment horizontal="center"/>
    </xf>
    <xf numFmtId="0" fontId="137" fillId="0" borderId="0" xfId="138" applyFont="1" applyFill="1" applyBorder="1" applyAlignment="1">
      <alignment horizontal="left" vertical="center" indent="1"/>
    </xf>
    <xf numFmtId="0" fontId="138" fillId="0" borderId="0" xfId="0" applyFont="1"/>
    <xf numFmtId="0" fontId="137" fillId="0" borderId="0" xfId="0" applyFont="1" applyAlignment="1">
      <alignment horizontal="center" vertical="top"/>
    </xf>
    <xf numFmtId="0" fontId="138" fillId="0" borderId="0" xfId="140" applyFont="1" applyAlignment="1">
      <alignment horizontal="left"/>
    </xf>
    <xf numFmtId="0" fontId="138" fillId="0" borderId="0" xfId="0" applyFont="1" applyAlignment="1">
      <alignment horizontal="left"/>
    </xf>
    <xf numFmtId="0" fontId="139" fillId="0" borderId="0" xfId="0" applyFont="1" applyAlignment="1">
      <alignment horizontal="left"/>
    </xf>
    <xf numFmtId="0" fontId="137" fillId="0" borderId="0" xfId="0" applyFont="1" applyAlignment="1">
      <alignment horizontal="left" vertical="center" indent="2"/>
    </xf>
    <xf numFmtId="2" fontId="138" fillId="0" borderId="0" xfId="140" applyNumberFormat="1" applyFont="1" applyAlignment="1" applyProtection="1">
      <alignment horizontal="center" vertical="center"/>
      <protection locked="0"/>
    </xf>
    <xf numFmtId="2" fontId="138" fillId="0" borderId="0" xfId="140" applyNumberFormat="1" applyFont="1" applyAlignment="1">
      <alignment horizontal="center" vertical="center"/>
    </xf>
    <xf numFmtId="2" fontId="138" fillId="0" borderId="0" xfId="140" applyNumberFormat="1" applyFont="1" applyAlignment="1">
      <alignment horizontal="left" vertical="center"/>
    </xf>
    <xf numFmtId="2" fontId="137" fillId="0" borderId="0" xfId="140" applyNumberFormat="1" applyFont="1" applyAlignment="1">
      <alignment horizontal="center" vertical="center"/>
    </xf>
    <xf numFmtId="0" fontId="138" fillId="0" borderId="0" xfId="0" applyFont="1" applyAlignment="1">
      <alignment horizontal="left" indent="3"/>
    </xf>
    <xf numFmtId="0" fontId="138" fillId="0" borderId="0" xfId="0" applyFont="1" applyAlignment="1">
      <alignment horizontal="center"/>
    </xf>
    <xf numFmtId="0" fontId="66" fillId="27" borderId="0" xfId="196" applyFont="1" applyFill="1" applyBorder="1" applyAlignment="1">
      <alignment horizontal="left" vertical="center" indent="1"/>
    </xf>
    <xf numFmtId="0" fontId="4" fillId="0" borderId="0" xfId="199"/>
    <xf numFmtId="0" fontId="10" fillId="53" borderId="8" xfId="199" applyFont="1" applyFill="1" applyBorder="1" applyAlignment="1">
      <alignment horizontal="center"/>
    </xf>
    <xf numFmtId="0" fontId="10" fillId="0" borderId="0" xfId="199" applyFont="1"/>
    <xf numFmtId="0" fontId="10" fillId="37" borderId="0" xfId="199" applyFont="1" applyFill="1"/>
    <xf numFmtId="0" fontId="43" fillId="0" borderId="0" xfId="199" applyFont="1" applyAlignment="1">
      <alignment horizontal="right"/>
    </xf>
    <xf numFmtId="0" fontId="10" fillId="29" borderId="0" xfId="199" applyFont="1" applyFill="1"/>
    <xf numFmtId="0" fontId="4" fillId="29" borderId="0" xfId="199" applyFill="1"/>
    <xf numFmtId="2" fontId="4" fillId="59" borderId="8" xfId="199" applyNumberFormat="1" applyFill="1" applyBorder="1"/>
    <xf numFmtId="10" fontId="4" fillId="59" borderId="33" xfId="169" applyNumberFormat="1" applyFill="1" applyBorder="1" applyAlignment="1">
      <alignment horizontal="center" vertical="center"/>
    </xf>
    <xf numFmtId="10" fontId="4" fillId="59" borderId="34" xfId="169" applyNumberFormat="1" applyFill="1" applyBorder="1" applyAlignment="1">
      <alignment horizontal="center" vertical="center"/>
    </xf>
    <xf numFmtId="184" fontId="4" fillId="59" borderId="34" xfId="169" applyNumberFormat="1" applyFill="1" applyBorder="1" applyAlignment="1">
      <alignment horizontal="center" vertical="center"/>
    </xf>
    <xf numFmtId="179" fontId="4" fillId="59" borderId="35" xfId="169" applyNumberFormat="1" applyFill="1" applyBorder="1" applyAlignment="1">
      <alignment horizontal="center" vertical="center"/>
    </xf>
    <xf numFmtId="0" fontId="4" fillId="0" borderId="0" xfId="169" applyAlignment="1">
      <alignment horizontal="center" vertical="center"/>
    </xf>
    <xf numFmtId="9" fontId="4" fillId="59" borderId="33" xfId="111" applyNumberFormat="1" applyFill="1" applyBorder="1" applyAlignment="1">
      <alignment horizontal="center" vertical="center"/>
    </xf>
    <xf numFmtId="10" fontId="4" fillId="59" borderId="35" xfId="169" applyNumberFormat="1" applyFill="1" applyBorder="1" applyAlignment="1">
      <alignment horizontal="center" vertical="center"/>
    </xf>
    <xf numFmtId="1" fontId="4" fillId="59" borderId="8" xfId="199" applyNumberFormat="1" applyFill="1" applyBorder="1"/>
    <xf numFmtId="0" fontId="10" fillId="0" borderId="27" xfId="199" applyFont="1" applyBorder="1"/>
    <xf numFmtId="0" fontId="10" fillId="0" borderId="28" xfId="199" applyFont="1" applyBorder="1"/>
    <xf numFmtId="0" fontId="10" fillId="0" borderId="29" xfId="199" applyFont="1" applyBorder="1"/>
    <xf numFmtId="0" fontId="4" fillId="0" borderId="31" xfId="199" applyBorder="1"/>
    <xf numFmtId="0" fontId="4" fillId="0" borderId="13" xfId="199" applyBorder="1"/>
    <xf numFmtId="0" fontId="4" fillId="0" borderId="15" xfId="199" applyBorder="1"/>
    <xf numFmtId="43" fontId="4" fillId="0" borderId="0" xfId="199" applyNumberFormat="1"/>
    <xf numFmtId="173" fontId="4" fillId="59" borderId="35" xfId="101" applyNumberFormat="1" applyFont="1" applyFill="1" applyBorder="1" applyAlignment="1" applyProtection="1">
      <alignment horizontal="center" vertical="center"/>
    </xf>
    <xf numFmtId="2" fontId="4" fillId="60" borderId="8" xfId="199" applyNumberFormat="1" applyFill="1" applyBorder="1"/>
    <xf numFmtId="2" fontId="4" fillId="42" borderId="8" xfId="199" applyNumberFormat="1" applyFill="1" applyBorder="1"/>
    <xf numFmtId="1" fontId="4" fillId="42" borderId="8" xfId="199" applyNumberFormat="1" applyFill="1" applyBorder="1"/>
    <xf numFmtId="43" fontId="4" fillId="42" borderId="8" xfId="69" applyFill="1" applyBorder="1"/>
    <xf numFmtId="0" fontId="140" fillId="0" borderId="0" xfId="199" applyFont="1"/>
    <xf numFmtId="10" fontId="4" fillId="60" borderId="33" xfId="169" applyNumberFormat="1" applyFill="1" applyBorder="1" applyAlignment="1">
      <alignment horizontal="center" vertical="center"/>
    </xf>
    <xf numFmtId="10" fontId="4" fillId="60" borderId="33" xfId="169" quotePrefix="1" applyNumberFormat="1" applyFill="1" applyBorder="1" applyAlignment="1">
      <alignment horizontal="center" vertical="center"/>
    </xf>
    <xf numFmtId="10" fontId="4" fillId="60" borderId="34" xfId="169" applyNumberFormat="1" applyFill="1" applyBorder="1" applyAlignment="1">
      <alignment horizontal="center" vertical="center"/>
    </xf>
    <xf numFmtId="184" fontId="4" fillId="60" borderId="34" xfId="169" applyNumberFormat="1" applyFill="1" applyBorder="1" applyAlignment="1">
      <alignment horizontal="center" vertical="center"/>
    </xf>
    <xf numFmtId="9" fontId="4" fillId="60" borderId="35" xfId="101" applyFill="1" applyBorder="1" applyAlignment="1">
      <alignment horizontal="center" vertical="center"/>
    </xf>
    <xf numFmtId="1" fontId="4" fillId="60" borderId="8" xfId="199" applyNumberFormat="1" applyFill="1" applyBorder="1"/>
    <xf numFmtId="10" fontId="4" fillId="42" borderId="33" xfId="169" applyNumberFormat="1" applyFill="1" applyBorder="1" applyAlignment="1">
      <alignment horizontal="center" vertical="center"/>
    </xf>
    <xf numFmtId="10" fontId="4" fillId="42" borderId="34" xfId="169" applyNumberFormat="1" applyFill="1" applyBorder="1" applyAlignment="1">
      <alignment horizontal="center" vertical="center"/>
    </xf>
    <xf numFmtId="10" fontId="4" fillId="42" borderId="35" xfId="169" applyNumberFormat="1" applyFill="1" applyBorder="1" applyAlignment="1">
      <alignment horizontal="center" vertical="center"/>
    </xf>
    <xf numFmtId="173" fontId="4" fillId="42" borderId="35" xfId="101" applyNumberFormat="1" applyFont="1" applyFill="1" applyBorder="1" applyAlignment="1" applyProtection="1">
      <alignment horizontal="center" vertical="center"/>
    </xf>
    <xf numFmtId="43" fontId="4" fillId="60" borderId="8" xfId="69" applyFill="1" applyBorder="1"/>
    <xf numFmtId="6" fontId="4" fillId="0" borderId="0" xfId="199" applyNumberFormat="1" applyAlignment="1">
      <alignment horizontal="center"/>
    </xf>
    <xf numFmtId="170" fontId="66" fillId="0" borderId="33" xfId="111" applyNumberFormat="1" applyFont="1" applyFill="1" applyBorder="1">
      <alignment horizontal="right" vertical="center"/>
    </xf>
    <xf numFmtId="170" fontId="66" fillId="0" borderId="28" xfId="111" applyNumberFormat="1" applyFont="1" applyFill="1" applyBorder="1">
      <alignment horizontal="right" vertical="center"/>
    </xf>
    <xf numFmtId="170" fontId="66" fillId="0" borderId="35" xfId="111" applyNumberFormat="1" applyFont="1" applyFill="1" applyBorder="1">
      <alignment horizontal="right" vertical="center"/>
    </xf>
    <xf numFmtId="170" fontId="66" fillId="0" borderId="13" xfId="111" applyNumberFormat="1" applyFont="1" applyFill="1" applyBorder="1">
      <alignment horizontal="right" vertical="center"/>
    </xf>
    <xf numFmtId="170" fontId="66" fillId="0" borderId="15" xfId="111" applyNumberFormat="1" applyFont="1" applyFill="1" applyBorder="1">
      <alignment horizontal="right" vertical="center"/>
    </xf>
    <xf numFmtId="43" fontId="66" fillId="0" borderId="13" xfId="69" applyFont="1" applyFill="1" applyBorder="1" applyAlignment="1">
      <alignment horizontal="right" vertical="center"/>
    </xf>
    <xf numFmtId="43" fontId="66" fillId="0" borderId="15" xfId="69" applyFont="1" applyFill="1" applyBorder="1" applyAlignment="1">
      <alignment horizontal="right" vertical="center"/>
    </xf>
    <xf numFmtId="43" fontId="66" fillId="34" borderId="35" xfId="69" applyFont="1" applyFill="1" applyBorder="1" applyAlignment="1">
      <alignment horizontal="right" vertical="center"/>
    </xf>
    <xf numFmtId="43" fontId="66" fillId="34" borderId="13" xfId="69" applyFont="1" applyFill="1" applyBorder="1" applyAlignment="1">
      <alignment horizontal="right" vertical="center"/>
    </xf>
    <xf numFmtId="43" fontId="66" fillId="34" borderId="15" xfId="69" applyFont="1" applyFill="1" applyBorder="1" applyAlignment="1">
      <alignment horizontal="right" vertical="center"/>
    </xf>
    <xf numFmtId="200" fontId="66" fillId="34" borderId="35" xfId="69" applyNumberFormat="1" applyFont="1" applyFill="1" applyBorder="1" applyAlignment="1">
      <alignment horizontal="right" vertical="center"/>
    </xf>
    <xf numFmtId="200" fontId="66" fillId="34" borderId="13" xfId="69" applyNumberFormat="1" applyFont="1" applyFill="1" applyBorder="1" applyAlignment="1">
      <alignment horizontal="right" vertical="center"/>
    </xf>
    <xf numFmtId="200" fontId="66" fillId="34" borderId="15" xfId="69" applyNumberFormat="1" applyFont="1" applyFill="1" applyBorder="1" applyAlignment="1">
      <alignment horizontal="right" vertical="center"/>
    </xf>
    <xf numFmtId="172" fontId="78" fillId="29" borderId="97" xfId="0" applyNumberFormat="1" applyFont="1" applyFill="1" applyBorder="1" applyAlignment="1">
      <alignment horizontal="center"/>
    </xf>
    <xf numFmtId="0" fontId="66" fillId="29" borderId="0" xfId="0" applyFont="1" applyFill="1" applyAlignment="1">
      <alignment horizontal="center" vertical="center"/>
    </xf>
    <xf numFmtId="9" fontId="4" fillId="59" borderId="34" xfId="111" applyNumberFormat="1" applyFill="1" applyBorder="1" applyAlignment="1">
      <alignment horizontal="center" vertical="center"/>
    </xf>
    <xf numFmtId="200" fontId="66" fillId="0" borderId="0" xfId="69" applyNumberFormat="1" applyFont="1"/>
    <xf numFmtId="0" fontId="87" fillId="29" borderId="68" xfId="0" applyFont="1" applyFill="1" applyBorder="1"/>
    <xf numFmtId="0" fontId="70" fillId="27" borderId="13" xfId="0" applyFont="1" applyFill="1" applyBorder="1" applyAlignment="1">
      <alignment horizontal="right"/>
    </xf>
    <xf numFmtId="43" fontId="66" fillId="29" borderId="0" xfId="69" applyFont="1" applyFill="1" applyProtection="1"/>
    <xf numFmtId="43" fontId="66" fillId="29" borderId="0" xfId="0" applyNumberFormat="1" applyFont="1" applyFill="1"/>
    <xf numFmtId="173" fontId="66" fillId="29" borderId="13" xfId="102" applyNumberFormat="1" applyFont="1" applyFill="1" applyBorder="1" applyProtection="1"/>
    <xf numFmtId="9" fontId="66" fillId="29" borderId="0" xfId="102" applyFont="1" applyFill="1" applyProtection="1"/>
    <xf numFmtId="9" fontId="66" fillId="29" borderId="13" xfId="102" applyFont="1" applyFill="1" applyBorder="1" applyProtection="1"/>
    <xf numFmtId="9" fontId="66" fillId="0" borderId="0" xfId="102" applyFont="1" applyBorder="1" applyProtection="1"/>
    <xf numFmtId="0" fontId="70" fillId="30" borderId="13" xfId="0" applyFont="1" applyFill="1" applyBorder="1" applyAlignment="1">
      <alignment horizontal="right"/>
    </xf>
    <xf numFmtId="0" fontId="66" fillId="27" borderId="0" xfId="0" applyFont="1" applyFill="1" applyAlignment="1">
      <alignment horizontal="right" indent="1"/>
    </xf>
    <xf numFmtId="171" fontId="70" fillId="29" borderId="28" xfId="0" applyNumberFormat="1" applyFont="1" applyFill="1" applyBorder="1" applyAlignment="1">
      <alignment horizontal="right"/>
    </xf>
    <xf numFmtId="171" fontId="70" fillId="29" borderId="101" xfId="0" applyNumberFormat="1" applyFont="1" applyFill="1" applyBorder="1" applyAlignment="1">
      <alignment horizontal="right"/>
    </xf>
    <xf numFmtId="171" fontId="66" fillId="29" borderId="0" xfId="0" applyNumberFormat="1" applyFont="1" applyFill="1" applyAlignment="1">
      <alignment horizontal="right"/>
    </xf>
    <xf numFmtId="171" fontId="66" fillId="29" borderId="99" xfId="0" applyNumberFormat="1" applyFont="1" applyFill="1" applyBorder="1"/>
    <xf numFmtId="171" fontId="66" fillId="29" borderId="13" xfId="0" applyNumberFormat="1" applyFont="1" applyFill="1" applyBorder="1"/>
    <xf numFmtId="171" fontId="66" fillId="29" borderId="102" xfId="0" applyNumberFormat="1" applyFont="1" applyFill="1" applyBorder="1"/>
    <xf numFmtId="0" fontId="70" fillId="27" borderId="0" xfId="0" applyFont="1" applyFill="1" applyAlignment="1">
      <alignment horizontal="right" indent="1"/>
    </xf>
    <xf numFmtId="171" fontId="70" fillId="27" borderId="13" xfId="0" applyNumberFormat="1" applyFont="1" applyFill="1" applyBorder="1"/>
    <xf numFmtId="171" fontId="70" fillId="27" borderId="102" xfId="0" applyNumberFormat="1" applyFont="1" applyFill="1" applyBorder="1"/>
    <xf numFmtId="171" fontId="70" fillId="27" borderId="0" xfId="0" applyNumberFormat="1" applyFont="1" applyFill="1"/>
    <xf numFmtId="43" fontId="66" fillId="0" borderId="28" xfId="69" applyFont="1" applyBorder="1" applyProtection="1"/>
    <xf numFmtId="173" fontId="66" fillId="29" borderId="0" xfId="102" applyNumberFormat="1" applyFont="1" applyFill="1" applyProtection="1"/>
    <xf numFmtId="173" fontId="70" fillId="27" borderId="25" xfId="102" applyNumberFormat="1" applyFont="1" applyFill="1" applyBorder="1" applyProtection="1"/>
    <xf numFmtId="171" fontId="66" fillId="29" borderId="0" xfId="0" applyNumberFormat="1" applyFont="1" applyFill="1"/>
    <xf numFmtId="171" fontId="70" fillId="27" borderId="25" xfId="0" applyNumberFormat="1" applyFont="1" applyFill="1" applyBorder="1"/>
    <xf numFmtId="171" fontId="66" fillId="27" borderId="28" xfId="0" applyNumberFormat="1" applyFont="1" applyFill="1" applyBorder="1"/>
    <xf numFmtId="171" fontId="66" fillId="27" borderId="101" xfId="0" applyNumberFormat="1" applyFont="1" applyFill="1" applyBorder="1"/>
    <xf numFmtId="171" fontId="66" fillId="27" borderId="0" xfId="0" applyNumberFormat="1" applyFont="1" applyFill="1"/>
    <xf numFmtId="171" fontId="66" fillId="27" borderId="99" xfId="0" applyNumberFormat="1" applyFont="1" applyFill="1" applyBorder="1"/>
    <xf numFmtId="171" fontId="66" fillId="27" borderId="13" xfId="0" applyNumberFormat="1" applyFont="1" applyFill="1" applyBorder="1"/>
    <xf numFmtId="171" fontId="66" fillId="27" borderId="102" xfId="0" applyNumberFormat="1" applyFont="1" applyFill="1" applyBorder="1"/>
    <xf numFmtId="171" fontId="70" fillId="27" borderId="100" xfId="0" applyNumberFormat="1" applyFont="1" applyFill="1" applyBorder="1"/>
    <xf numFmtId="0" fontId="66" fillId="29" borderId="0" xfId="0" applyFont="1" applyFill="1" applyAlignment="1">
      <alignment vertical="center"/>
    </xf>
    <xf numFmtId="6" fontId="4" fillId="27" borderId="0" xfId="169" applyNumberFormat="1" applyFill="1"/>
    <xf numFmtId="172" fontId="70" fillId="34" borderId="25" xfId="111" applyNumberFormat="1" applyFont="1" applyFill="1" applyBorder="1">
      <alignment horizontal="right" vertical="center"/>
    </xf>
    <xf numFmtId="172" fontId="70" fillId="34" borderId="32" xfId="111" applyNumberFormat="1" applyFont="1" applyFill="1" applyBorder="1">
      <alignment horizontal="right" vertical="center"/>
    </xf>
    <xf numFmtId="172" fontId="70" fillId="0" borderId="8" xfId="111" applyNumberFormat="1" applyFont="1" applyFill="1" applyBorder="1">
      <alignment horizontal="right" vertical="center"/>
    </xf>
    <xf numFmtId="172" fontId="70" fillId="0" borderId="8" xfId="0" applyNumberFormat="1" applyFont="1" applyBorder="1"/>
    <xf numFmtId="172" fontId="66" fillId="33" borderId="29" xfId="111" applyNumberFormat="1" applyFont="1" applyFill="1" applyBorder="1" applyProtection="1">
      <alignment horizontal="right" vertical="center"/>
      <protection locked="0"/>
    </xf>
    <xf numFmtId="172" fontId="66" fillId="33" borderId="14" xfId="111" applyNumberFormat="1" applyFont="1" applyFill="1" applyBorder="1" applyProtection="1">
      <alignment horizontal="right" vertical="center"/>
      <protection locked="0"/>
    </xf>
    <xf numFmtId="172" fontId="66" fillId="33" borderId="15" xfId="111" applyNumberFormat="1" applyFont="1" applyFill="1" applyBorder="1" applyProtection="1">
      <alignment horizontal="right" vertical="center"/>
      <protection locked="0"/>
    </xf>
    <xf numFmtId="172" fontId="66" fillId="0" borderId="27" xfId="111" applyNumberFormat="1" applyFont="1" applyFill="1" applyBorder="1" applyProtection="1">
      <alignment horizontal="right" vertical="center"/>
      <protection locked="0"/>
    </xf>
    <xf numFmtId="172" fontId="66" fillId="0" borderId="28" xfId="111" applyNumberFormat="1" applyFont="1" applyFill="1" applyBorder="1" applyProtection="1">
      <alignment horizontal="right" vertical="center"/>
      <protection locked="0"/>
    </xf>
    <xf numFmtId="172" fontId="66" fillId="0" borderId="30" xfId="111" applyNumberFormat="1" applyFont="1" applyFill="1" applyBorder="1" applyProtection="1">
      <alignment horizontal="right" vertical="center"/>
      <protection locked="0"/>
    </xf>
    <xf numFmtId="172" fontId="66" fillId="0" borderId="31" xfId="111" applyNumberFormat="1" applyFont="1" applyFill="1" applyBorder="1" applyProtection="1">
      <alignment horizontal="right" vertical="center"/>
      <protection locked="0"/>
    </xf>
    <xf numFmtId="172" fontId="66" fillId="0" borderId="13" xfId="111" applyNumberFormat="1" applyFont="1" applyFill="1" applyBorder="1" applyProtection="1">
      <alignment horizontal="right" vertical="center"/>
      <protection locked="0"/>
    </xf>
    <xf numFmtId="172" fontId="66" fillId="0" borderId="19" xfId="0" applyNumberFormat="1" applyFont="1" applyBorder="1"/>
    <xf numFmtId="172" fontId="66" fillId="27" borderId="20" xfId="0" applyNumberFormat="1" applyFont="1" applyFill="1" applyBorder="1"/>
    <xf numFmtId="172" fontId="70" fillId="24" borderId="26" xfId="111" applyNumberFormat="1" applyFont="1" applyFill="1" applyBorder="1">
      <alignment horizontal="right" vertical="center"/>
    </xf>
    <xf numFmtId="172" fontId="70" fillId="27" borderId="26" xfId="111" applyNumberFormat="1" applyFont="1" applyFill="1" applyBorder="1">
      <alignment horizontal="right" vertical="center"/>
    </xf>
    <xf numFmtId="172" fontId="70" fillId="24" borderId="8" xfId="111" applyNumberFormat="1" applyFont="1" applyFill="1" applyBorder="1">
      <alignment horizontal="right" vertical="center"/>
    </xf>
    <xf numFmtId="172" fontId="70" fillId="24" borderId="24" xfId="111" applyNumberFormat="1" applyFont="1" applyFill="1" applyBorder="1">
      <alignment horizontal="right" vertical="center"/>
    </xf>
    <xf numFmtId="173" fontId="70" fillId="24" borderId="8" xfId="101" applyNumberFormat="1" applyFont="1" applyFill="1" applyBorder="1" applyAlignment="1" applyProtection="1">
      <alignment horizontal="right" vertical="center"/>
    </xf>
    <xf numFmtId="173" fontId="70" fillId="24" borderId="24" xfId="101" applyNumberFormat="1" applyFont="1" applyFill="1" applyBorder="1" applyAlignment="1" applyProtection="1">
      <alignment horizontal="right" vertical="center"/>
    </xf>
    <xf numFmtId="173" fontId="70" fillId="24" borderId="25" xfId="101" applyNumberFormat="1" applyFont="1" applyFill="1" applyBorder="1" applyAlignment="1" applyProtection="1">
      <alignment horizontal="right" vertical="center"/>
    </xf>
    <xf numFmtId="173" fontId="70" fillId="27" borderId="25" xfId="101" applyNumberFormat="1" applyFont="1" applyFill="1" applyBorder="1" applyAlignment="1" applyProtection="1">
      <alignment horizontal="right" vertical="center"/>
    </xf>
    <xf numFmtId="173" fontId="70" fillId="27" borderId="24" xfId="101" applyNumberFormat="1" applyFont="1" applyFill="1" applyBorder="1" applyAlignment="1" applyProtection="1">
      <alignment horizontal="right" vertical="center"/>
    </xf>
    <xf numFmtId="173" fontId="70" fillId="27" borderId="26" xfId="101" applyNumberFormat="1" applyFont="1" applyFill="1" applyBorder="1" applyAlignment="1" applyProtection="1">
      <alignment horizontal="right" vertical="center"/>
    </xf>
    <xf numFmtId="0" fontId="66" fillId="27" borderId="17" xfId="38" applyFont="1" applyFill="1" applyBorder="1">
      <alignment vertical="center"/>
      <protection locked="0"/>
    </xf>
    <xf numFmtId="0" fontId="66" fillId="27" borderId="18" xfId="0" applyFont="1" applyFill="1" applyBorder="1" applyProtection="1">
      <protection locked="0"/>
    </xf>
    <xf numFmtId="172" fontId="80" fillId="27" borderId="28" xfId="111" applyNumberFormat="1" applyFont="1" applyFill="1" applyBorder="1" applyAlignment="1">
      <alignment horizontal="left" vertical="center"/>
    </xf>
    <xf numFmtId="172" fontId="80" fillId="27" borderId="88" xfId="111" applyNumberFormat="1" applyFont="1" applyFill="1" applyBorder="1" applyAlignment="1">
      <alignment horizontal="left" vertical="center"/>
    </xf>
    <xf numFmtId="172" fontId="80" fillId="27" borderId="22" xfId="111" applyNumberFormat="1" applyFont="1" applyFill="1" applyBorder="1" applyAlignment="1">
      <alignment horizontal="left" vertical="center"/>
    </xf>
    <xf numFmtId="172" fontId="80" fillId="27" borderId="23" xfId="111" applyNumberFormat="1" applyFont="1" applyFill="1" applyBorder="1" applyAlignment="1">
      <alignment horizontal="left" vertical="center"/>
    </xf>
    <xf numFmtId="173" fontId="66" fillId="0" borderId="0" xfId="111" applyNumberFormat="1" applyFont="1" applyFill="1" applyBorder="1">
      <alignment horizontal="right" vertical="center"/>
    </xf>
    <xf numFmtId="0" fontId="128" fillId="0" borderId="0" xfId="0" applyFont="1"/>
    <xf numFmtId="172" fontId="128" fillId="0" borderId="0" xfId="111" applyNumberFormat="1" applyFont="1" applyFill="1" applyBorder="1">
      <alignment horizontal="right" vertical="center"/>
    </xf>
    <xf numFmtId="190" fontId="66" fillId="33" borderId="26" xfId="111" applyNumberFormat="1" applyFont="1" applyFill="1" applyBorder="1" applyProtection="1">
      <alignment horizontal="right" vertical="center"/>
      <protection locked="0"/>
    </xf>
    <xf numFmtId="0" fontId="142" fillId="52" borderId="8" xfId="169" applyFont="1" applyFill="1" applyBorder="1"/>
    <xf numFmtId="0" fontId="66" fillId="29" borderId="25" xfId="0" applyFont="1" applyFill="1" applyBorder="1" applyAlignment="1">
      <alignment horizontal="center"/>
    </xf>
    <xf numFmtId="0" fontId="66" fillId="29" borderId="26" xfId="0" applyFont="1" applyFill="1" applyBorder="1" applyAlignment="1">
      <alignment horizontal="center"/>
    </xf>
    <xf numFmtId="2" fontId="66" fillId="27" borderId="99" xfId="0" applyNumberFormat="1" applyFont="1" applyFill="1" applyBorder="1"/>
    <xf numFmtId="201" fontId="66" fillId="0" borderId="0" xfId="69" applyNumberFormat="1" applyFont="1" applyProtection="1"/>
    <xf numFmtId="172" fontId="66" fillId="33" borderId="0" xfId="0" applyNumberFormat="1" applyFont="1" applyFill="1"/>
    <xf numFmtId="0" fontId="75" fillId="0" borderId="19" xfId="0" applyFont="1" applyBorder="1"/>
    <xf numFmtId="172" fontId="75" fillId="0" borderId="0" xfId="111" applyNumberFormat="1" applyFont="1" applyBorder="1">
      <alignment horizontal="right" vertical="center"/>
    </xf>
    <xf numFmtId="0" fontId="75" fillId="0" borderId="20" xfId="0" applyFont="1" applyBorder="1"/>
    <xf numFmtId="9" fontId="66" fillId="0" borderId="0" xfId="101" applyFont="1" applyBorder="1" applyAlignment="1">
      <alignment horizontal="right" vertical="center"/>
    </xf>
    <xf numFmtId="10" fontId="66" fillId="0" borderId="0" xfId="101" applyNumberFormat="1" applyFont="1" applyBorder="1" applyAlignment="1">
      <alignment horizontal="right" vertical="center"/>
    </xf>
    <xf numFmtId="9" fontId="66" fillId="29" borderId="8" xfId="112" applyNumberFormat="1" applyFont="1" applyFill="1" applyBorder="1">
      <alignment horizontal="right" vertical="center"/>
    </xf>
    <xf numFmtId="173" fontId="66" fillId="29" borderId="8" xfId="111" applyNumberFormat="1" applyFont="1" applyFill="1" applyBorder="1">
      <alignment horizontal="right" vertical="center"/>
    </xf>
    <xf numFmtId="0" fontId="87" fillId="0" borderId="0" xfId="0" applyFont="1" applyAlignment="1">
      <alignment wrapText="1"/>
    </xf>
    <xf numFmtId="202" fontId="66" fillId="0" borderId="0" xfId="69" applyNumberFormat="1" applyFont="1" applyBorder="1" applyAlignment="1">
      <alignment horizontal="right" vertical="center"/>
    </xf>
    <xf numFmtId="43" fontId="87" fillId="0" borderId="0" xfId="69" applyFont="1" applyAlignment="1">
      <alignment wrapText="1"/>
    </xf>
    <xf numFmtId="172" fontId="66" fillId="34" borderId="25" xfId="111" applyNumberFormat="1" applyFont="1" applyFill="1" applyBorder="1">
      <alignment horizontal="right" vertical="center"/>
    </xf>
    <xf numFmtId="172" fontId="70" fillId="33" borderId="32" xfId="111" applyNumberFormat="1" applyFont="1" applyFill="1" applyBorder="1">
      <alignment horizontal="right" vertical="center"/>
    </xf>
    <xf numFmtId="172" fontId="70" fillId="32" borderId="8" xfId="111" applyNumberFormat="1" applyFont="1" applyFill="1" applyBorder="1" applyProtection="1">
      <alignment horizontal="right" vertical="center"/>
      <protection locked="0"/>
    </xf>
    <xf numFmtId="2" fontId="4" fillId="30" borderId="0" xfId="169" applyNumberFormat="1" applyFill="1"/>
    <xf numFmtId="0" fontId="10" fillId="30" borderId="13" xfId="169" applyFont="1" applyFill="1" applyBorder="1" applyAlignment="1">
      <alignment horizontal="right"/>
    </xf>
    <xf numFmtId="0" fontId="66" fillId="0" borderId="0" xfId="169" applyFont="1"/>
    <xf numFmtId="203" fontId="70" fillId="0" borderId="0" xfId="111" applyNumberFormat="1" applyFont="1" applyFill="1" applyBorder="1" applyAlignment="1">
      <alignment horizontal="center" vertical="center"/>
    </xf>
    <xf numFmtId="0" fontId="0" fillId="0" borderId="8" xfId="0" applyBorder="1"/>
    <xf numFmtId="10" fontId="66" fillId="32" borderId="35" xfId="111" applyNumberFormat="1" applyFont="1" applyFill="1" applyBorder="1" applyAlignment="1" applyProtection="1">
      <alignment horizontal="center" vertical="center"/>
      <protection locked="0"/>
    </xf>
    <xf numFmtId="0" fontId="51" fillId="50" borderId="8" xfId="0" applyFont="1" applyFill="1" applyBorder="1" applyAlignment="1">
      <alignment horizontal="center" vertical="center"/>
    </xf>
    <xf numFmtId="0" fontId="66" fillId="50" borderId="0" xfId="0" applyFont="1" applyFill="1"/>
    <xf numFmtId="0" fontId="107" fillId="50" borderId="0" xfId="0" applyFont="1" applyFill="1"/>
    <xf numFmtId="0" fontId="66" fillId="50" borderId="0" xfId="0" applyFont="1" applyFill="1" applyAlignment="1">
      <alignment horizontal="right"/>
    </xf>
    <xf numFmtId="0" fontId="70" fillId="50" borderId="0" xfId="0" applyFont="1" applyFill="1" applyAlignment="1">
      <alignment horizontal="right"/>
    </xf>
    <xf numFmtId="172" fontId="70" fillId="27" borderId="43" xfId="143" applyNumberFormat="1" applyFont="1" applyFill="1" applyBorder="1"/>
    <xf numFmtId="172" fontId="70" fillId="27" borderId="28" xfId="143" applyNumberFormat="1" applyFont="1" applyFill="1" applyBorder="1"/>
    <xf numFmtId="172" fontId="66" fillId="27" borderId="8" xfId="143" applyNumberFormat="1" applyFont="1" applyFill="1" applyBorder="1"/>
    <xf numFmtId="172" fontId="66" fillId="50" borderId="0" xfId="111" applyNumberFormat="1" applyFont="1" applyFill="1">
      <alignment horizontal="right" vertical="center"/>
    </xf>
    <xf numFmtId="0" fontId="70" fillId="50" borderId="0" xfId="0" applyFont="1" applyFill="1"/>
    <xf numFmtId="10" fontId="66" fillId="50" borderId="0" xfId="101" applyNumberFormat="1" applyFont="1" applyFill="1" applyProtection="1"/>
    <xf numFmtId="172" fontId="66" fillId="50" borderId="0" xfId="111" applyNumberFormat="1" applyFont="1" applyFill="1" applyBorder="1">
      <alignment horizontal="right" vertical="center"/>
    </xf>
    <xf numFmtId="172" fontId="70" fillId="50" borderId="0" xfId="111" applyNumberFormat="1" applyFont="1" applyFill="1" applyBorder="1">
      <alignment horizontal="right" vertical="center"/>
    </xf>
    <xf numFmtId="172" fontId="66" fillId="50" borderId="0" xfId="0" applyNumberFormat="1" applyFont="1" applyFill="1" applyProtection="1">
      <protection locked="0"/>
    </xf>
    <xf numFmtId="172" fontId="70" fillId="50" borderId="0" xfId="0" applyNumberFormat="1" applyFont="1" applyFill="1" applyAlignment="1">
      <alignment horizontal="left"/>
    </xf>
    <xf numFmtId="172" fontId="66" fillId="50" borderId="0" xfId="0" applyNumberFormat="1" applyFont="1" applyFill="1"/>
    <xf numFmtId="2" fontId="80" fillId="0" borderId="67" xfId="0" applyNumberFormat="1" applyFont="1" applyBorder="1"/>
    <xf numFmtId="0" fontId="70" fillId="50" borderId="0" xfId="205" applyFont="1" applyFill="1" applyAlignment="1">
      <alignment horizontal="left"/>
    </xf>
    <xf numFmtId="0" fontId="51" fillId="50" borderId="0" xfId="0" applyFont="1" applyFill="1" applyAlignment="1">
      <alignment horizontal="left" vertical="center"/>
    </xf>
    <xf numFmtId="172" fontId="66" fillId="39" borderId="0" xfId="111" applyNumberFormat="1" applyFont="1" applyFill="1" applyBorder="1">
      <alignment horizontal="right" vertical="center"/>
    </xf>
    <xf numFmtId="165" fontId="113" fillId="0" borderId="0" xfId="111" applyFont="1" applyBorder="1">
      <alignment horizontal="right" vertical="center"/>
    </xf>
    <xf numFmtId="0" fontId="2" fillId="0" borderId="0" xfId="220"/>
    <xf numFmtId="4" fontId="143" fillId="27" borderId="22" xfId="220" applyNumberFormat="1" applyFont="1" applyFill="1" applyBorder="1" applyAlignment="1">
      <alignment horizontal="right" vertical="center"/>
    </xf>
    <xf numFmtId="0" fontId="45" fillId="27" borderId="22" xfId="220" applyFont="1" applyFill="1" applyBorder="1" applyAlignment="1">
      <alignment horizontal="center" vertical="justify" wrapText="1"/>
    </xf>
    <xf numFmtId="0" fontId="8" fillId="27" borderId="0" xfId="220" applyFont="1" applyFill="1" applyAlignment="1">
      <alignment horizontal="center" vertical="justify" wrapText="1"/>
    </xf>
    <xf numFmtId="0" fontId="8" fillId="27" borderId="0" xfId="220" applyFont="1" applyFill="1" applyAlignment="1">
      <alignment horizontal="right" vertical="center" wrapText="1"/>
    </xf>
    <xf numFmtId="0" fontId="2" fillId="27" borderId="0" xfId="220" applyFill="1" applyAlignment="1">
      <alignment horizontal="right" vertical="center"/>
    </xf>
    <xf numFmtId="0" fontId="2" fillId="27" borderId="0" xfId="220" applyFill="1" applyAlignment="1">
      <alignment horizontal="center" vertical="justify"/>
    </xf>
    <xf numFmtId="0" fontId="146" fillId="61" borderId="0" xfId="221" applyFont="1" applyFill="1" applyAlignment="1">
      <alignment horizontal="center"/>
    </xf>
    <xf numFmtId="0" fontId="146" fillId="61" borderId="0" xfId="221" quotePrefix="1" applyFont="1" applyFill="1" applyAlignment="1">
      <alignment horizontal="center"/>
    </xf>
    <xf numFmtId="0" fontId="146" fillId="61" borderId="0" xfId="221" applyFont="1" applyFill="1" applyAlignment="1">
      <alignment horizontal="left"/>
    </xf>
    <xf numFmtId="0" fontId="145" fillId="27" borderId="0" xfId="220" applyFont="1" applyFill="1" applyAlignment="1">
      <alignment vertical="center"/>
    </xf>
    <xf numFmtId="0" fontId="143" fillId="27" borderId="0" xfId="220" applyFont="1" applyFill="1" applyAlignment="1">
      <alignment horizontal="right" vertical="center"/>
    </xf>
    <xf numFmtId="0" fontId="147" fillId="27" borderId="0" xfId="220" applyFont="1" applyFill="1" applyAlignment="1">
      <alignment vertical="center"/>
    </xf>
    <xf numFmtId="10" fontId="148" fillId="27" borderId="0" xfId="221" applyNumberFormat="1" applyFont="1" applyFill="1" applyAlignment="1">
      <alignment vertical="center"/>
    </xf>
    <xf numFmtId="0" fontId="148" fillId="27" borderId="0" xfId="221" applyFont="1" applyFill="1" applyAlignment="1">
      <alignment vertical="center"/>
    </xf>
    <xf numFmtId="0" fontId="149" fillId="27" borderId="0" xfId="220" applyFont="1" applyFill="1" applyAlignment="1">
      <alignment vertical="center"/>
    </xf>
    <xf numFmtId="194" fontId="150" fillId="27" borderId="0" xfId="221" applyNumberFormat="1" applyFont="1" applyFill="1" applyAlignment="1">
      <alignment vertical="center"/>
    </xf>
    <xf numFmtId="0" fontId="151" fillId="27" borderId="0" xfId="221" applyFont="1" applyFill="1" applyAlignment="1">
      <alignment vertical="center"/>
    </xf>
    <xf numFmtId="0" fontId="50" fillId="27" borderId="0" xfId="222" applyFill="1" applyAlignment="1">
      <alignment horizontal="right" vertical="center"/>
    </xf>
    <xf numFmtId="0" fontId="50" fillId="27" borderId="0" xfId="222" applyFill="1">
      <alignment vertical="center"/>
    </xf>
    <xf numFmtId="4" fontId="145" fillId="27" borderId="22" xfId="222" applyNumberFormat="1" applyFont="1" applyFill="1" applyBorder="1" applyAlignment="1">
      <alignment horizontal="right" vertical="top"/>
    </xf>
    <xf numFmtId="0" fontId="44" fillId="27" borderId="22" xfId="222" applyFont="1" applyFill="1" applyBorder="1" applyAlignment="1">
      <alignment horizontal="left" vertical="top" wrapText="1" indent="2"/>
    </xf>
    <xf numFmtId="188" fontId="143" fillId="27" borderId="0" xfId="222" applyNumberFormat="1" applyFont="1" applyFill="1" applyAlignment="1">
      <alignment horizontal="right" vertical="top"/>
    </xf>
    <xf numFmtId="4" fontId="145" fillId="27" borderId="0" xfId="222" applyNumberFormat="1" applyFont="1" applyFill="1" applyAlignment="1">
      <alignment horizontal="right" vertical="top"/>
    </xf>
    <xf numFmtId="0" fontId="8" fillId="27" borderId="0" xfId="222" applyFont="1" applyFill="1" applyAlignment="1">
      <alignment horizontal="left" vertical="top" wrapText="1"/>
    </xf>
    <xf numFmtId="0" fontId="145" fillId="27" borderId="0" xfId="222" applyFont="1" applyFill="1">
      <alignment vertical="center"/>
    </xf>
    <xf numFmtId="2" fontId="143" fillId="27" borderId="0" xfId="222" applyNumberFormat="1" applyFont="1" applyFill="1" applyAlignment="1">
      <alignment horizontal="right" vertical="center"/>
    </xf>
    <xf numFmtId="10" fontId="145" fillId="27" borderId="0" xfId="222" applyNumberFormat="1" applyFont="1" applyFill="1">
      <alignment vertical="center"/>
    </xf>
    <xf numFmtId="173" fontId="145" fillId="27" borderId="0" xfId="222" applyNumberFormat="1" applyFont="1" applyFill="1">
      <alignment vertical="center"/>
    </xf>
    <xf numFmtId="2" fontId="145" fillId="27" borderId="0" xfId="222" applyNumberFormat="1" applyFont="1" applyFill="1">
      <alignment vertical="center"/>
    </xf>
    <xf numFmtId="0" fontId="145" fillId="27" borderId="0" xfId="222" applyFont="1" applyFill="1" applyAlignment="1">
      <alignment horizontal="right" vertical="center"/>
    </xf>
    <xf numFmtId="0" fontId="8" fillId="27" borderId="0" xfId="222" applyFont="1" applyFill="1" applyAlignment="1">
      <alignment horizontal="right" vertical="top" wrapText="1"/>
    </xf>
    <xf numFmtId="173" fontId="143" fillId="27" borderId="0" xfId="222" applyNumberFormat="1" applyFont="1" applyFill="1" applyBorder="1" applyAlignment="1">
      <alignment horizontal="right" vertical="top"/>
    </xf>
    <xf numFmtId="185" fontId="155" fillId="27" borderId="0" xfId="222" applyNumberFormat="1" applyFont="1" applyFill="1" applyBorder="1" applyAlignment="1">
      <alignment horizontal="right" vertical="top"/>
    </xf>
    <xf numFmtId="0" fontId="154" fillId="27" borderId="0" xfId="222" applyFont="1" applyFill="1" applyBorder="1" applyAlignment="1">
      <alignment horizontal="left" vertical="top" wrapText="1"/>
    </xf>
    <xf numFmtId="0" fontId="143" fillId="27" borderId="0" xfId="222" applyFont="1" applyFill="1" applyBorder="1" applyAlignment="1">
      <alignment horizontal="right" vertical="center"/>
    </xf>
    <xf numFmtId="0" fontId="145" fillId="27" borderId="0" xfId="222" applyFont="1" applyFill="1" applyBorder="1" applyAlignment="1">
      <alignment vertical="center" wrapText="1"/>
    </xf>
    <xf numFmtId="0" fontId="144" fillId="27" borderId="0" xfId="222" applyFont="1" applyFill="1" applyBorder="1" applyAlignment="1">
      <alignment horizontal="right" vertical="center"/>
    </xf>
    <xf numFmtId="0" fontId="147" fillId="27" borderId="0" xfId="222" applyFont="1" applyFill="1" applyBorder="1">
      <alignment vertical="center"/>
    </xf>
    <xf numFmtId="0" fontId="148" fillId="27" borderId="0" xfId="223" applyFont="1" applyFill="1"/>
    <xf numFmtId="0" fontId="149" fillId="27" borderId="0" xfId="222" applyFont="1" applyFill="1" applyBorder="1">
      <alignment vertical="center"/>
    </xf>
    <xf numFmtId="0" fontId="156" fillId="27" borderId="0" xfId="221" applyFont="1" applyFill="1" applyAlignment="1">
      <alignment vertical="top"/>
    </xf>
    <xf numFmtId="0" fontId="157" fillId="0" borderId="0" xfId="224" applyFont="1" applyAlignment="1">
      <alignment horizontal="left"/>
    </xf>
    <xf numFmtId="0" fontId="5" fillId="27" borderId="0" xfId="122" applyFill="1">
      <alignment horizontal="left" vertical="center"/>
    </xf>
    <xf numFmtId="0" fontId="158" fillId="27" borderId="0" xfId="221" applyFont="1" applyFill="1" applyAlignment="1">
      <alignment vertical="center"/>
    </xf>
    <xf numFmtId="0" fontId="158" fillId="27" borderId="0" xfId="122" applyFont="1" applyFill="1">
      <alignment horizontal="left" vertical="center"/>
    </xf>
    <xf numFmtId="0" fontId="51" fillId="50" borderId="0" xfId="0" applyFont="1" applyFill="1"/>
    <xf numFmtId="172" fontId="70" fillId="50" borderId="0" xfId="111" applyNumberFormat="1" applyFont="1" applyFill="1" applyAlignment="1">
      <alignment horizontal="left" vertical="center"/>
    </xf>
    <xf numFmtId="172" fontId="70" fillId="0" borderId="25" xfId="111" applyNumberFormat="1" applyFont="1" applyFill="1" applyBorder="1" applyAlignment="1">
      <alignment horizontal="left" vertical="center"/>
    </xf>
    <xf numFmtId="173" fontId="70" fillId="27" borderId="8" xfId="111" applyNumberFormat="1" applyFont="1" applyFill="1" applyBorder="1">
      <alignment horizontal="right" vertical="center"/>
    </xf>
    <xf numFmtId="173" fontId="70" fillId="27" borderId="26" xfId="111" applyNumberFormat="1" applyFont="1" applyFill="1" applyBorder="1">
      <alignment horizontal="right" vertical="center"/>
    </xf>
    <xf numFmtId="0" fontId="159" fillId="0" borderId="0" xfId="76" applyFont="1" applyBorder="1">
      <alignment vertical="center"/>
    </xf>
    <xf numFmtId="0" fontId="160" fillId="0" borderId="17" xfId="76" applyFont="1" applyFill="1" applyBorder="1">
      <alignment vertical="center"/>
    </xf>
    <xf numFmtId="0" fontId="65" fillId="0" borderId="0" xfId="76" applyFont="1" applyFill="1" applyBorder="1">
      <alignment vertical="center"/>
    </xf>
    <xf numFmtId="173" fontId="70" fillId="0" borderId="26" xfId="111" applyNumberFormat="1" applyFont="1" applyFill="1" applyBorder="1">
      <alignment horizontal="right" vertical="center"/>
    </xf>
    <xf numFmtId="173" fontId="70" fillId="0" borderId="8" xfId="111" applyNumberFormat="1" applyFont="1" applyFill="1" applyBorder="1">
      <alignment horizontal="right" vertical="center"/>
    </xf>
    <xf numFmtId="0" fontId="146" fillId="0" borderId="0" xfId="221" applyFont="1" applyAlignment="1">
      <alignment horizontal="left"/>
    </xf>
    <xf numFmtId="0" fontId="146" fillId="0" borderId="0" xfId="221" quotePrefix="1" applyFont="1" applyAlignment="1">
      <alignment horizontal="center"/>
    </xf>
    <xf numFmtId="0" fontId="146" fillId="0" borderId="0" xfId="221" applyFont="1" applyAlignment="1">
      <alignment horizontal="center"/>
    </xf>
    <xf numFmtId="0" fontId="146" fillId="27" borderId="0" xfId="221" applyFont="1" applyFill="1" applyAlignment="1">
      <alignment horizontal="left"/>
    </xf>
    <xf numFmtId="0" fontId="146" fillId="27" borderId="0" xfId="221" quotePrefix="1" applyFont="1" applyFill="1" applyAlignment="1">
      <alignment horizontal="center"/>
    </xf>
    <xf numFmtId="0" fontId="44" fillId="32" borderId="8" xfId="220" applyFont="1" applyFill="1" applyBorder="1" applyAlignment="1" applyProtection="1">
      <alignment horizontal="center" vertical="center" wrapText="1"/>
      <protection locked="0"/>
    </xf>
    <xf numFmtId="204" fontId="143" fillId="32" borderId="8" xfId="220" applyNumberFormat="1" applyFont="1" applyFill="1" applyBorder="1" applyAlignment="1" applyProtection="1">
      <alignment horizontal="right" vertical="center"/>
      <protection locked="0"/>
    </xf>
    <xf numFmtId="0" fontId="44" fillId="27" borderId="0" xfId="220" applyFont="1" applyFill="1" applyAlignment="1" applyProtection="1">
      <alignment horizontal="center" vertical="justify" wrapText="1"/>
      <protection locked="0"/>
    </xf>
    <xf numFmtId="0" fontId="144" fillId="27" borderId="0" xfId="220" applyFont="1" applyFill="1" applyAlignment="1" applyProtection="1">
      <alignment horizontal="center" vertical="justify" wrapText="1"/>
      <protection locked="0"/>
    </xf>
    <xf numFmtId="4" fontId="143" fillId="27" borderId="0" xfId="220" applyNumberFormat="1" applyFont="1" applyFill="1" applyAlignment="1" applyProtection="1">
      <alignment horizontal="right" vertical="center"/>
      <protection locked="0"/>
    </xf>
    <xf numFmtId="0" fontId="8" fillId="27" borderId="0" xfId="220" applyFont="1" applyFill="1" applyAlignment="1" applyProtection="1">
      <alignment horizontal="center" vertical="justify" wrapText="1"/>
      <protection locked="0"/>
    </xf>
    <xf numFmtId="0" fontId="45" fillId="27" borderId="0" xfId="220" applyFont="1" applyFill="1" applyAlignment="1" applyProtection="1">
      <alignment horizontal="center" vertical="justify" wrapText="1"/>
      <protection locked="0"/>
    </xf>
    <xf numFmtId="0" fontId="45" fillId="27" borderId="0" xfId="220" applyFont="1" applyFill="1" applyAlignment="1" applyProtection="1">
      <alignment horizontal="left" vertical="center" wrapText="1" indent="1"/>
      <protection locked="0"/>
    </xf>
    <xf numFmtId="0" fontId="144" fillId="27" borderId="0" xfId="220" applyFont="1" applyFill="1" applyAlignment="1" applyProtection="1">
      <alignment wrapText="1"/>
      <protection locked="0"/>
    </xf>
    <xf numFmtId="4" fontId="143" fillId="32" borderId="8" xfId="220" applyNumberFormat="1" applyFont="1" applyFill="1" applyBorder="1" applyAlignment="1" applyProtection="1">
      <alignment horizontal="right" vertical="center"/>
      <protection locked="0"/>
    </xf>
    <xf numFmtId="0" fontId="44" fillId="27" borderId="0" xfId="222" applyFont="1" applyFill="1" applyAlignment="1" applyProtection="1">
      <alignment horizontal="left" vertical="top" wrapText="1"/>
      <protection locked="0"/>
    </xf>
    <xf numFmtId="2" fontId="143" fillId="27" borderId="0" xfId="222" applyNumberFormat="1" applyFont="1" applyFill="1" applyAlignment="1" applyProtection="1">
      <alignment horizontal="right" vertical="top"/>
      <protection locked="0"/>
    </xf>
    <xf numFmtId="0" fontId="50" fillId="27" borderId="0" xfId="222" applyFill="1" applyProtection="1">
      <alignment vertical="center"/>
      <protection locked="0"/>
    </xf>
    <xf numFmtId="0" fontId="8" fillId="27" borderId="0" xfId="222" applyFont="1" applyFill="1" applyAlignment="1" applyProtection="1">
      <alignment horizontal="left" vertical="top" wrapText="1"/>
      <protection locked="0"/>
    </xf>
    <xf numFmtId="0" fontId="50" fillId="27" borderId="0" xfId="222" applyFill="1" applyAlignment="1" applyProtection="1">
      <alignment vertical="top"/>
      <protection locked="0"/>
    </xf>
    <xf numFmtId="0" fontId="50" fillId="27" borderId="0" xfId="222" applyFill="1" applyBorder="1" applyProtection="1">
      <alignment vertical="center"/>
      <protection locked="0"/>
    </xf>
    <xf numFmtId="0" fontId="143" fillId="27" borderId="0" xfId="222" applyFont="1" applyFill="1" applyAlignment="1" applyProtection="1">
      <alignment vertical="top" wrapText="1"/>
      <protection locked="0"/>
    </xf>
    <xf numFmtId="49" fontId="8" fillId="27" borderId="0" xfId="222" applyNumberFormat="1" applyFont="1" applyFill="1" applyAlignment="1" applyProtection="1">
      <alignment horizontal="left" vertical="top" wrapText="1"/>
      <protection locked="0"/>
    </xf>
    <xf numFmtId="4" fontId="145" fillId="27" borderId="0" xfId="222" applyNumberFormat="1" applyFont="1" applyFill="1" applyAlignment="1" applyProtection="1">
      <alignment horizontal="right" vertical="top"/>
      <protection locked="0"/>
    </xf>
    <xf numFmtId="0" fontId="8" fillId="27" borderId="0" xfId="222" applyFont="1" applyFill="1" applyProtection="1">
      <alignment vertical="center"/>
      <protection locked="0"/>
    </xf>
    <xf numFmtId="0" fontId="154" fillId="27" borderId="0" xfId="222" applyFont="1" applyFill="1" applyBorder="1" applyAlignment="1" applyProtection="1">
      <alignment vertical="top" wrapText="1"/>
      <protection locked="0"/>
    </xf>
    <xf numFmtId="49" fontId="44" fillId="27" borderId="0" xfId="222" applyNumberFormat="1" applyFont="1" applyFill="1" applyAlignment="1" applyProtection="1">
      <alignment horizontal="left" vertical="top" wrapText="1" indent="2"/>
      <protection locked="0"/>
    </xf>
    <xf numFmtId="0" fontId="153" fillId="27" borderId="0" xfId="222" applyFont="1" applyFill="1" applyProtection="1">
      <alignment vertical="center"/>
      <protection locked="0"/>
    </xf>
    <xf numFmtId="0" fontId="152" fillId="27" borderId="0" xfId="222" applyFont="1" applyFill="1" applyBorder="1" applyAlignment="1" applyProtection="1">
      <alignment horizontal="justify"/>
      <protection locked="0"/>
    </xf>
    <xf numFmtId="0" fontId="8" fillId="27" borderId="0" xfId="222" applyFont="1" applyFill="1" applyAlignment="1" applyProtection="1">
      <alignment wrapText="1"/>
      <protection locked="0"/>
    </xf>
    <xf numFmtId="0" fontId="8" fillId="27" borderId="0" xfId="222" applyFont="1" applyFill="1" applyAlignment="1" applyProtection="1">
      <alignment horizontal="left" vertical="top"/>
      <protection locked="0"/>
    </xf>
    <xf numFmtId="0" fontId="44" fillId="27" borderId="0" xfId="222" applyFont="1" applyFill="1" applyBorder="1" applyAlignment="1" applyProtection="1">
      <alignment horizontal="left" vertical="top" wrapText="1" indent="2"/>
      <protection locked="0"/>
    </xf>
    <xf numFmtId="4" fontId="145" fillId="27" borderId="0" xfId="222" applyNumberFormat="1" applyFont="1" applyFill="1" applyBorder="1" applyAlignment="1" applyProtection="1">
      <alignment horizontal="right" vertical="top"/>
      <protection locked="0"/>
    </xf>
    <xf numFmtId="2" fontId="8" fillId="27" borderId="0" xfId="222" applyNumberFormat="1" applyFont="1" applyFill="1" applyAlignment="1" applyProtection="1">
      <alignment horizontal="right" vertical="top" wrapText="1"/>
      <protection locked="0"/>
    </xf>
    <xf numFmtId="185" fontId="144" fillId="27" borderId="0" xfId="222" applyNumberFormat="1" applyFont="1" applyFill="1" applyBorder="1" applyAlignment="1" applyProtection="1">
      <alignment horizontal="right" vertical="top"/>
      <protection locked="0"/>
    </xf>
    <xf numFmtId="0" fontId="50" fillId="27" borderId="0" xfId="222" applyFill="1" applyAlignment="1" applyProtection="1">
      <alignment horizontal="right" vertical="top"/>
      <protection locked="0"/>
    </xf>
    <xf numFmtId="0" fontId="145" fillId="27" borderId="0" xfId="222" applyFont="1" applyFill="1" applyAlignment="1" applyProtection="1">
      <alignment horizontal="right" vertical="top"/>
      <protection locked="0"/>
    </xf>
    <xf numFmtId="0" fontId="1" fillId="27" borderId="0" xfId="220" applyFont="1" applyFill="1" applyAlignment="1" applyProtection="1">
      <alignment vertical="center"/>
      <protection locked="0"/>
    </xf>
    <xf numFmtId="0" fontId="2" fillId="27" borderId="0" xfId="220" applyFill="1" applyAlignment="1" applyProtection="1">
      <alignment vertical="center"/>
      <protection locked="0"/>
    </xf>
    <xf numFmtId="0" fontId="44" fillId="27" borderId="0" xfId="220" applyFont="1" applyFill="1" applyAlignment="1" applyProtection="1">
      <alignment horizontal="left" vertical="top" wrapText="1"/>
      <protection locked="0"/>
    </xf>
    <xf numFmtId="0" fontId="45" fillId="27" borderId="0" xfId="220" applyFont="1" applyFill="1" applyAlignment="1" applyProtection="1">
      <alignment wrapText="1"/>
      <protection locked="0"/>
    </xf>
    <xf numFmtId="10" fontId="55" fillId="32" borderId="8" xfId="101" applyNumberFormat="1" applyFont="1" applyFill="1" applyBorder="1" applyAlignment="1">
      <alignment horizontal="center" vertical="center"/>
    </xf>
    <xf numFmtId="0" fontId="66" fillId="32" borderId="13" xfId="143" applyFont="1" applyFill="1" applyBorder="1" applyAlignment="1" applyProtection="1">
      <alignment horizontal="center"/>
      <protection locked="0"/>
    </xf>
    <xf numFmtId="0" fontId="66" fillId="32" borderId="25" xfId="143" applyFont="1" applyFill="1" applyBorder="1" applyAlignment="1" applyProtection="1">
      <alignment horizontal="center"/>
      <protection locked="0"/>
    </xf>
    <xf numFmtId="0" fontId="66" fillId="32" borderId="32" xfId="143" applyFont="1" applyFill="1" applyBorder="1" applyAlignment="1" applyProtection="1">
      <alignment horizontal="center"/>
      <protection locked="0"/>
    </xf>
    <xf numFmtId="0" fontId="56" fillId="0" borderId="18" xfId="143" applyFont="1" applyBorder="1" applyAlignment="1">
      <alignment vertical="top"/>
    </xf>
    <xf numFmtId="172" fontId="66" fillId="58" borderId="26" xfId="111" applyNumberFormat="1" applyFont="1" applyFill="1" applyBorder="1" applyAlignment="1" applyProtection="1">
      <alignment vertical="center"/>
      <protection locked="0"/>
    </xf>
    <xf numFmtId="172" fontId="66" fillId="58" borderId="8" xfId="111" applyNumberFormat="1" applyFont="1" applyFill="1" applyBorder="1" applyAlignment="1" applyProtection="1">
      <alignment vertical="center"/>
      <protection locked="0"/>
    </xf>
    <xf numFmtId="204" fontId="143" fillId="27" borderId="0" xfId="220" applyNumberFormat="1" applyFont="1" applyFill="1" applyAlignment="1">
      <alignment horizontal="right" vertical="center"/>
    </xf>
    <xf numFmtId="0" fontId="44" fillId="27" borderId="0" xfId="220" applyFont="1" applyFill="1" applyAlignment="1">
      <alignment horizontal="center" vertical="justify" wrapText="1"/>
    </xf>
    <xf numFmtId="4" fontId="143" fillId="27" borderId="0" xfId="220" applyNumberFormat="1" applyFont="1" applyFill="1" applyAlignment="1">
      <alignment horizontal="right" vertical="center"/>
    </xf>
    <xf numFmtId="0" fontId="66" fillId="29" borderId="71" xfId="143" applyFont="1" applyFill="1" applyBorder="1" applyProtection="1">
      <protection locked="0"/>
    </xf>
    <xf numFmtId="0" fontId="66" fillId="29" borderId="49" xfId="143" applyFont="1" applyFill="1" applyBorder="1" applyProtection="1">
      <protection locked="0"/>
    </xf>
    <xf numFmtId="0" fontId="66" fillId="29" borderId="50" xfId="143" applyFont="1" applyFill="1" applyBorder="1" applyProtection="1">
      <protection locked="0"/>
    </xf>
    <xf numFmtId="0" fontId="66" fillId="29" borderId="77" xfId="143" applyFont="1" applyFill="1" applyBorder="1" applyProtection="1">
      <protection locked="0"/>
    </xf>
    <xf numFmtId="0" fontId="66" fillId="29" borderId="25" xfId="143" applyFont="1" applyFill="1" applyBorder="1" applyProtection="1">
      <protection locked="0"/>
    </xf>
    <xf numFmtId="0" fontId="66" fillId="29" borderId="26" xfId="143" applyFont="1" applyFill="1" applyBorder="1" applyProtection="1">
      <protection locked="0"/>
    </xf>
    <xf numFmtId="0" fontId="66" fillId="29" borderId="79" xfId="143" applyFont="1" applyFill="1" applyBorder="1" applyProtection="1">
      <protection locked="0"/>
    </xf>
    <xf numFmtId="0" fontId="66" fillId="29" borderId="32" xfId="143" applyFont="1" applyFill="1" applyBorder="1" applyProtection="1">
      <protection locked="0"/>
    </xf>
    <xf numFmtId="0" fontId="66" fillId="29" borderId="43" xfId="143" applyFont="1" applyFill="1" applyBorder="1" applyProtection="1">
      <protection locked="0"/>
    </xf>
    <xf numFmtId="0" fontId="66" fillId="29" borderId="77" xfId="143" applyFont="1" applyFill="1" applyBorder="1" applyAlignment="1" applyProtection="1">
      <alignment horizontal="left"/>
      <protection locked="0"/>
    </xf>
    <xf numFmtId="0" fontId="66" fillId="29" borderId="25" xfId="143" applyFont="1" applyFill="1" applyBorder="1" applyAlignment="1" applyProtection="1">
      <alignment horizontal="left"/>
      <protection locked="0"/>
    </xf>
    <xf numFmtId="0" fontId="66" fillId="29" borderId="26" xfId="143" applyFont="1" applyFill="1" applyBorder="1" applyAlignment="1" applyProtection="1">
      <alignment horizontal="left"/>
      <protection locked="0"/>
    </xf>
    <xf numFmtId="0" fontId="44" fillId="27" borderId="0" xfId="221" applyFill="1" applyAlignment="1">
      <alignment horizontal="left"/>
    </xf>
    <xf numFmtId="49" fontId="44" fillId="27" borderId="0" xfId="222" applyNumberFormat="1" applyFont="1" applyFill="1" applyAlignment="1">
      <alignment horizontal="left" vertical="top" wrapText="1" indent="2"/>
    </xf>
    <xf numFmtId="0" fontId="50" fillId="27" borderId="0" xfId="222" applyFill="1" applyBorder="1">
      <alignment vertical="center"/>
    </xf>
    <xf numFmtId="0" fontId="154" fillId="27" borderId="0" xfId="222" applyFont="1" applyFill="1" applyBorder="1" applyAlignment="1">
      <alignment vertical="top" wrapText="1"/>
    </xf>
    <xf numFmtId="0" fontId="152" fillId="27" borderId="0" xfId="222" applyFont="1" applyFill="1" applyBorder="1" applyAlignment="1">
      <alignment horizontal="justify"/>
    </xf>
    <xf numFmtId="0" fontId="44" fillId="27" borderId="0" xfId="222" applyFont="1" applyFill="1" applyBorder="1" applyAlignment="1">
      <alignment horizontal="left" vertical="top" wrapText="1" indent="2"/>
    </xf>
    <xf numFmtId="0" fontId="45" fillId="27" borderId="22" xfId="220" applyFont="1" applyFill="1" applyBorder="1" applyAlignment="1" applyProtection="1">
      <alignment horizontal="left" vertical="center" wrapText="1" indent="1"/>
      <protection locked="0"/>
    </xf>
    <xf numFmtId="0" fontId="66" fillId="0" borderId="0" xfId="51" applyFont="1" applyFill="1" applyBorder="1" applyProtection="1"/>
    <xf numFmtId="0" fontId="66" fillId="0" borderId="25" xfId="0" applyFont="1" applyBorder="1"/>
    <xf numFmtId="172" fontId="70" fillId="0" borderId="24" xfId="111" applyNumberFormat="1" applyFont="1" applyFill="1" applyBorder="1">
      <alignment horizontal="right" vertical="center"/>
    </xf>
    <xf numFmtId="172" fontId="70" fillId="0" borderId="26" xfId="111" applyNumberFormat="1" applyFont="1" applyFill="1" applyBorder="1">
      <alignment horizontal="right" vertical="center"/>
    </xf>
    <xf numFmtId="0" fontId="70" fillId="0" borderId="17" xfId="0" applyFont="1" applyBorder="1"/>
    <xf numFmtId="0" fontId="66" fillId="32" borderId="0" xfId="0" applyFont="1" applyFill="1"/>
    <xf numFmtId="165" fontId="66" fillId="32" borderId="0" xfId="111" applyFont="1" applyFill="1" applyBorder="1">
      <alignment horizontal="right" vertical="center"/>
    </xf>
    <xf numFmtId="0" fontId="4" fillId="57" borderId="8" xfId="169" applyFill="1" applyBorder="1" applyProtection="1">
      <protection locked="0"/>
    </xf>
    <xf numFmtId="0" fontId="4" fillId="32" borderId="8" xfId="169" applyFill="1" applyBorder="1" applyAlignment="1" applyProtection="1">
      <alignment horizontal="center"/>
      <protection locked="0"/>
    </xf>
    <xf numFmtId="14" fontId="4" fillId="32" borderId="8" xfId="169" applyNumberFormat="1" applyFill="1" applyBorder="1" applyProtection="1">
      <protection locked="0"/>
    </xf>
    <xf numFmtId="0" fontId="4" fillId="32" borderId="8" xfId="169" applyFill="1" applyBorder="1" applyProtection="1">
      <protection locked="0"/>
    </xf>
    <xf numFmtId="0" fontId="4" fillId="32" borderId="8" xfId="169" applyFill="1" applyBorder="1" applyAlignment="1" applyProtection="1">
      <alignment wrapText="1"/>
      <protection locked="0"/>
    </xf>
    <xf numFmtId="0" fontId="137" fillId="0" borderId="0" xfId="103" applyFont="1" applyAlignment="1">
      <alignment horizontal="left" vertical="center"/>
    </xf>
    <xf numFmtId="0" fontId="137" fillId="0" borderId="0" xfId="103" applyFont="1" applyAlignment="1">
      <alignment horizontal="right" vertical="center"/>
    </xf>
    <xf numFmtId="0" fontId="65" fillId="0" borderId="0" xfId="74" quotePrefix="1" applyFont="1" applyFill="1" applyBorder="1">
      <alignment vertical="center"/>
    </xf>
    <xf numFmtId="0" fontId="8" fillId="32" borderId="0" xfId="220" applyFont="1" applyFill="1" applyAlignment="1" applyProtection="1">
      <alignment vertical="top" wrapText="1"/>
      <protection locked="0"/>
    </xf>
    <xf numFmtId="0" fontId="44" fillId="32" borderId="0" xfId="220" applyFont="1" applyFill="1" applyAlignment="1" applyProtection="1">
      <alignment horizontal="left" vertical="top" wrapText="1" indent="1"/>
      <protection locked="0"/>
    </xf>
    <xf numFmtId="0" fontId="144" fillId="32" borderId="0" xfId="220" applyFont="1" applyFill="1" applyAlignment="1" applyProtection="1">
      <alignment horizontal="left" wrapText="1"/>
      <protection locked="0"/>
    </xf>
    <xf numFmtId="0" fontId="144" fillId="32" borderId="0" xfId="220" applyFont="1" applyFill="1" applyAlignment="1" applyProtection="1">
      <alignment wrapText="1"/>
      <protection locked="0"/>
    </xf>
    <xf numFmtId="0" fontId="45" fillId="32" borderId="0" xfId="220" applyFont="1" applyFill="1" applyAlignment="1" applyProtection="1">
      <alignment horizontal="left" wrapText="1" indent="1"/>
      <protection locked="0"/>
    </xf>
    <xf numFmtId="0" fontId="45" fillId="32" borderId="0" xfId="220" applyFont="1" applyFill="1" applyAlignment="1" applyProtection="1">
      <alignment horizontal="left" vertical="top" wrapText="1" indent="1"/>
      <protection locked="0"/>
    </xf>
    <xf numFmtId="0" fontId="45" fillId="32" borderId="0" xfId="220" applyFont="1" applyFill="1" applyAlignment="1" applyProtection="1">
      <alignment horizontal="left" vertical="center" wrapText="1" indent="1"/>
      <protection locked="0"/>
    </xf>
    <xf numFmtId="0" fontId="8" fillId="32" borderId="0" xfId="222" applyFont="1" applyFill="1" applyAlignment="1">
      <alignment horizontal="left" vertical="top" wrapText="1"/>
    </xf>
    <xf numFmtId="0" fontId="143" fillId="32" borderId="0" xfId="222" applyFont="1" applyFill="1">
      <alignment vertical="center"/>
    </xf>
    <xf numFmtId="0" fontId="44" fillId="32" borderId="0" xfId="222" applyFont="1" applyFill="1" applyAlignment="1">
      <alignment horizontal="left" vertical="top" wrapText="1"/>
    </xf>
    <xf numFmtId="49" fontId="44" fillId="32" borderId="0" xfId="222" applyNumberFormat="1" applyFont="1" applyFill="1" applyAlignment="1">
      <alignment horizontal="left" vertical="top" wrapText="1" indent="2"/>
    </xf>
    <xf numFmtId="49" fontId="8" fillId="32" borderId="0" xfId="222" applyNumberFormat="1" applyFont="1" applyFill="1" applyAlignment="1">
      <alignment horizontal="left" vertical="top" wrapText="1"/>
    </xf>
    <xf numFmtId="0" fontId="143" fillId="32" borderId="0" xfId="222" applyFont="1" applyFill="1" applyAlignment="1">
      <alignment vertical="center" wrapText="1"/>
    </xf>
    <xf numFmtId="0" fontId="8" fillId="32" borderId="0" xfId="222" applyFont="1" applyFill="1">
      <alignment vertical="center"/>
    </xf>
    <xf numFmtId="49" fontId="44" fillId="32" borderId="0" xfId="222" applyNumberFormat="1" applyFont="1" applyFill="1" applyAlignment="1">
      <alignment horizontal="left" vertical="top" wrapText="1" indent="1"/>
    </xf>
    <xf numFmtId="0" fontId="44" fillId="32" borderId="0" xfId="222" applyFont="1" applyFill="1" applyAlignment="1">
      <alignment horizontal="left" vertical="top" wrapText="1" indent="1"/>
    </xf>
    <xf numFmtId="0" fontId="153" fillId="32" borderId="0" xfId="222" applyFont="1" applyFill="1">
      <alignment vertical="center"/>
    </xf>
    <xf numFmtId="0" fontId="8" fillId="32" borderId="0" xfId="222" applyFont="1" applyFill="1" applyAlignment="1">
      <alignment wrapText="1"/>
    </xf>
    <xf numFmtId="0" fontId="44" fillId="32" borderId="0" xfId="222" applyFont="1" applyFill="1" applyAlignment="1">
      <alignment horizontal="left" vertical="top" wrapText="1" indent="2"/>
    </xf>
    <xf numFmtId="0" fontId="8" fillId="32" borderId="0" xfId="222" applyFont="1" applyFill="1" applyAlignment="1">
      <alignment horizontal="left" vertical="top"/>
    </xf>
    <xf numFmtId="0" fontId="44" fillId="32" borderId="0" xfId="222" applyFont="1" applyFill="1" applyBorder="1" applyAlignment="1">
      <alignment horizontal="left" vertical="top" wrapText="1" indent="2"/>
    </xf>
    <xf numFmtId="0" fontId="51" fillId="50" borderId="0" xfId="0" applyFont="1" applyFill="1" applyAlignment="1">
      <alignment horizontal="center" vertical="center"/>
    </xf>
    <xf numFmtId="43" fontId="4" fillId="60" borderId="8" xfId="69" applyFont="1" applyFill="1" applyBorder="1"/>
    <xf numFmtId="43" fontId="4" fillId="30" borderId="8" xfId="69" applyFill="1" applyBorder="1"/>
    <xf numFmtId="2" fontId="4" fillId="30" borderId="8" xfId="199" applyNumberFormat="1" applyFill="1" applyBorder="1"/>
    <xf numFmtId="0" fontId="142" fillId="0" borderId="0" xfId="199" applyFont="1"/>
    <xf numFmtId="172" fontId="91" fillId="27" borderId="27" xfId="112" applyNumberFormat="1" applyFont="1" applyFill="1" applyBorder="1">
      <alignment horizontal="right" vertical="center"/>
    </xf>
    <xf numFmtId="172" fontId="91" fillId="27" borderId="28" xfId="112" applyNumberFormat="1" applyFont="1" applyFill="1" applyBorder="1">
      <alignment horizontal="right" vertical="center"/>
    </xf>
    <xf numFmtId="172" fontId="91" fillId="27" borderId="29" xfId="112" applyNumberFormat="1" applyFont="1" applyFill="1" applyBorder="1">
      <alignment horizontal="right" vertical="center"/>
    </xf>
    <xf numFmtId="172" fontId="91" fillId="27" borderId="31" xfId="112" applyNumberFormat="1" applyFont="1" applyFill="1" applyBorder="1">
      <alignment horizontal="right" vertical="center"/>
    </xf>
    <xf numFmtId="172" fontId="91" fillId="27" borderId="13" xfId="112" applyNumberFormat="1" applyFont="1" applyFill="1" applyBorder="1">
      <alignment horizontal="right" vertical="center"/>
    </xf>
    <xf numFmtId="172" fontId="91" fillId="27" borderId="15" xfId="112" applyNumberFormat="1" applyFont="1" applyFill="1" applyBorder="1">
      <alignment horizontal="right" vertical="center"/>
    </xf>
    <xf numFmtId="10" fontId="1" fillId="32" borderId="8" xfId="101" applyNumberFormat="1" applyFont="1" applyFill="1" applyBorder="1" applyAlignment="1">
      <alignment horizontal="center" vertical="center"/>
    </xf>
    <xf numFmtId="0" fontId="66" fillId="32" borderId="17" xfId="180" applyFont="1" applyFill="1" applyBorder="1">
      <alignment vertical="center"/>
      <protection locked="0"/>
    </xf>
    <xf numFmtId="172" fontId="66" fillId="32" borderId="16" xfId="213" applyNumberFormat="1" applyFont="1" applyFill="1" applyBorder="1">
      <alignment horizontal="right" vertical="center"/>
    </xf>
    <xf numFmtId="172" fontId="66" fillId="32" borderId="17" xfId="213" applyNumberFormat="1" applyFont="1" applyFill="1" applyBorder="1">
      <alignment horizontal="right" vertical="center"/>
    </xf>
    <xf numFmtId="172" fontId="66" fillId="32" borderId="18" xfId="213" applyNumberFormat="1" applyFont="1" applyFill="1" applyBorder="1" applyProtection="1">
      <alignment horizontal="right" vertical="center"/>
      <protection locked="0"/>
    </xf>
    <xf numFmtId="172" fontId="66" fillId="32" borderId="16" xfId="213" applyNumberFormat="1" applyFont="1" applyFill="1" applyBorder="1" applyProtection="1">
      <alignment horizontal="right" vertical="center"/>
      <protection locked="0"/>
    </xf>
    <xf numFmtId="172" fontId="66" fillId="32" borderId="17" xfId="213" applyNumberFormat="1" applyFont="1" applyFill="1" applyBorder="1" applyProtection="1">
      <alignment horizontal="right" vertical="center"/>
      <protection locked="0"/>
    </xf>
    <xf numFmtId="43" fontId="143" fillId="32" borderId="8" xfId="69" applyFont="1" applyFill="1" applyBorder="1" applyAlignment="1" applyProtection="1">
      <alignment horizontal="right" vertical="center"/>
      <protection locked="0"/>
    </xf>
    <xf numFmtId="9" fontId="143" fillId="32" borderId="8" xfId="220" applyNumberFormat="1" applyFont="1" applyFill="1" applyBorder="1" applyAlignment="1" applyProtection="1">
      <alignment horizontal="right" vertical="center"/>
      <protection locked="0"/>
    </xf>
    <xf numFmtId="173" fontId="143" fillId="32" borderId="8" xfId="220" applyNumberFormat="1" applyFont="1" applyFill="1" applyBorder="1" applyAlignment="1" applyProtection="1">
      <alignment horizontal="right" vertical="center"/>
      <protection locked="0"/>
    </xf>
    <xf numFmtId="9" fontId="145" fillId="32" borderId="8" xfId="222" applyNumberFormat="1" applyFont="1" applyFill="1" applyBorder="1" applyAlignment="1" applyProtection="1">
      <alignment horizontal="right" vertical="top"/>
      <protection locked="0"/>
    </xf>
    <xf numFmtId="1" fontId="66" fillId="32" borderId="45" xfId="143" applyNumberFormat="1" applyFont="1" applyFill="1" applyBorder="1" applyAlignment="1" applyProtection="1">
      <alignment horizontal="center"/>
      <protection locked="0"/>
    </xf>
    <xf numFmtId="43" fontId="66" fillId="32" borderId="8" xfId="69" applyFont="1" applyFill="1" applyBorder="1" applyProtection="1">
      <protection locked="0"/>
    </xf>
    <xf numFmtId="43" fontId="66" fillId="32" borderId="25" xfId="69" applyFont="1" applyFill="1" applyBorder="1" applyProtection="1">
      <protection locked="0"/>
    </xf>
    <xf numFmtId="43" fontId="66" fillId="32" borderId="26" xfId="69" applyFont="1" applyFill="1" applyBorder="1" applyProtection="1">
      <protection locked="0"/>
    </xf>
    <xf numFmtId="173" fontId="66" fillId="24" borderId="0" xfId="101" applyNumberFormat="1" applyFont="1" applyFill="1" applyBorder="1" applyAlignment="1">
      <alignment horizontal="right" vertical="center"/>
    </xf>
    <xf numFmtId="0" fontId="161" fillId="0" borderId="0" xfId="0" applyFont="1"/>
    <xf numFmtId="0" fontId="66" fillId="32" borderId="30" xfId="101" applyNumberFormat="1" applyFont="1" applyFill="1" applyBorder="1" applyAlignment="1" applyProtection="1">
      <alignment horizontal="right"/>
      <protection locked="0"/>
    </xf>
    <xf numFmtId="0" fontId="66" fillId="32" borderId="0" xfId="101" applyNumberFormat="1" applyFont="1" applyFill="1" applyBorder="1" applyAlignment="1" applyProtection="1">
      <alignment horizontal="right"/>
      <protection locked="0"/>
    </xf>
    <xf numFmtId="0" fontId="66" fillId="32" borderId="14" xfId="101" applyNumberFormat="1" applyFont="1" applyFill="1" applyBorder="1" applyAlignment="1" applyProtection="1">
      <alignment horizontal="right"/>
      <protection locked="0"/>
    </xf>
    <xf numFmtId="205" fontId="66" fillId="0" borderId="17" xfId="0" applyNumberFormat="1" applyFont="1" applyBorder="1"/>
    <xf numFmtId="10" fontId="66" fillId="29" borderId="25" xfId="166" applyNumberFormat="1" applyFont="1" applyFill="1" applyBorder="1">
      <alignment vertical="center"/>
    </xf>
    <xf numFmtId="10" fontId="66" fillId="53" borderId="25" xfId="166" applyNumberFormat="1" applyFont="1" applyFill="1" applyBorder="1">
      <alignment vertical="center"/>
    </xf>
    <xf numFmtId="10" fontId="66" fillId="53" borderId="25" xfId="101" applyNumberFormat="1" applyFont="1" applyFill="1" applyBorder="1" applyAlignment="1" applyProtection="1">
      <alignment horizontal="right" vertical="center"/>
    </xf>
    <xf numFmtId="10" fontId="66" fillId="29" borderId="26" xfId="166" applyNumberFormat="1" applyFont="1" applyFill="1" applyBorder="1">
      <alignment vertical="center"/>
    </xf>
    <xf numFmtId="10" fontId="75" fillId="32" borderId="0" xfId="101" applyNumberFormat="1" applyFont="1" applyFill="1" applyBorder="1" applyAlignment="1" applyProtection="1">
      <alignment vertical="center"/>
      <protection locked="0"/>
    </xf>
    <xf numFmtId="180" fontId="66" fillId="27" borderId="0" xfId="205" applyNumberFormat="1" applyFont="1" applyFill="1"/>
    <xf numFmtId="180" fontId="66" fillId="27" borderId="17" xfId="205" applyNumberFormat="1" applyFont="1" applyFill="1" applyBorder="1"/>
    <xf numFmtId="0" fontId="45" fillId="32" borderId="0" xfId="220" applyFont="1" applyFill="1" applyAlignment="1" applyProtection="1">
      <alignment wrapText="1"/>
      <protection locked="0"/>
    </xf>
    <xf numFmtId="4" fontId="66" fillId="0" borderId="0" xfId="0" applyNumberFormat="1" applyFont="1"/>
    <xf numFmtId="43" fontId="66" fillId="0" borderId="0" xfId="69" applyFont="1" applyAlignment="1">
      <alignment horizontal="right" vertical="center"/>
    </xf>
    <xf numFmtId="43" fontId="66" fillId="0" borderId="0" xfId="69" applyFont="1"/>
    <xf numFmtId="0" fontId="66" fillId="32" borderId="0" xfId="101" applyNumberFormat="1" applyFont="1" applyFill="1" applyAlignment="1" applyProtection="1">
      <alignment horizontal="right"/>
      <protection locked="0"/>
    </xf>
    <xf numFmtId="0" fontId="57" fillId="29" borderId="0" xfId="0" applyFont="1" applyFill="1" applyAlignment="1" applyProtection="1">
      <alignment horizontal="right"/>
      <protection hidden="1"/>
    </xf>
    <xf numFmtId="0" fontId="59" fillId="0" borderId="0" xfId="82" applyFont="1" applyProtection="1">
      <alignment horizontal="left" vertical="center"/>
    </xf>
    <xf numFmtId="0" fontId="118" fillId="29" borderId="116" xfId="0" applyFont="1" applyFill="1" applyBorder="1" applyAlignment="1">
      <alignment horizontal="center"/>
    </xf>
    <xf numFmtId="0" fontId="118" fillId="29" borderId="117" xfId="0" applyFont="1" applyFill="1" applyBorder="1" applyAlignment="1">
      <alignment horizontal="center"/>
    </xf>
    <xf numFmtId="0" fontId="118" fillId="29" borderId="111" xfId="0" applyFont="1" applyFill="1" applyBorder="1" applyAlignment="1">
      <alignment horizontal="center"/>
    </xf>
    <xf numFmtId="0" fontId="118" fillId="29" borderId="112" xfId="0" applyFont="1" applyFill="1" applyBorder="1" applyAlignment="1">
      <alignment horizontal="center"/>
    </xf>
    <xf numFmtId="0" fontId="56" fillId="0" borderId="0" xfId="140" applyFont="1" applyAlignment="1">
      <alignment horizontal="center" vertical="center"/>
    </xf>
    <xf numFmtId="0" fontId="56" fillId="0" borderId="19" xfId="140" applyFont="1" applyBorder="1" applyAlignment="1">
      <alignment horizontal="center" vertical="center" textRotation="90"/>
    </xf>
    <xf numFmtId="0" fontId="118" fillId="29" borderId="0" xfId="0" applyFont="1" applyFill="1" applyAlignment="1">
      <alignment horizontal="center"/>
    </xf>
    <xf numFmtId="0" fontId="118" fillId="29" borderId="114" xfId="0" applyFont="1" applyFill="1" applyBorder="1" applyAlignment="1">
      <alignment horizontal="center"/>
    </xf>
    <xf numFmtId="0" fontId="70" fillId="0" borderId="24" xfId="0" applyFont="1" applyBorder="1" applyAlignment="1">
      <alignment horizontal="center"/>
    </xf>
    <xf numFmtId="0" fontId="10" fillId="0" borderId="25" xfId="0" applyFont="1" applyBorder="1" applyAlignment="1">
      <alignment horizontal="center"/>
    </xf>
    <xf numFmtId="0" fontId="0" fillId="0" borderId="26" xfId="0" applyBorder="1"/>
    <xf numFmtId="0" fontId="66" fillId="32" borderId="8" xfId="0" applyFont="1" applyFill="1" applyBorder="1" applyAlignment="1" applyProtection="1">
      <alignment horizontal="left"/>
      <protection locked="0"/>
    </xf>
    <xf numFmtId="0" fontId="66" fillId="32" borderId="78" xfId="143" applyFont="1" applyFill="1" applyBorder="1" applyAlignment="1" applyProtection="1">
      <alignment horizontal="left"/>
      <protection locked="0"/>
    </xf>
    <xf numFmtId="0" fontId="0" fillId="0" borderId="52" xfId="0" applyBorder="1" applyAlignment="1" applyProtection="1">
      <alignment horizontal="left"/>
      <protection locked="0"/>
    </xf>
    <xf numFmtId="0" fontId="66" fillId="32" borderId="74" xfId="143" applyFont="1" applyFill="1" applyBorder="1" applyAlignment="1" applyProtection="1">
      <alignment horizontal="left"/>
      <protection locked="0"/>
    </xf>
    <xf numFmtId="0" fontId="0" fillId="0" borderId="76" xfId="0" applyBorder="1" applyAlignment="1" applyProtection="1">
      <alignment horizontal="left"/>
      <protection locked="0"/>
    </xf>
    <xf numFmtId="0" fontId="66" fillId="32" borderId="81" xfId="143" applyFont="1" applyFill="1" applyBorder="1" applyAlignment="1" applyProtection="1">
      <alignment horizontal="left"/>
      <protection locked="0"/>
    </xf>
    <xf numFmtId="0" fontId="0" fillId="0" borderId="83" xfId="0" applyBorder="1" applyAlignment="1" applyProtection="1">
      <alignment horizontal="left"/>
      <protection locked="0"/>
    </xf>
    <xf numFmtId="0" fontId="66" fillId="32" borderId="24" xfId="37" applyFont="1" applyFill="1" applyBorder="1" applyAlignment="1">
      <alignment horizontal="left" vertical="center"/>
      <protection locked="0"/>
    </xf>
    <xf numFmtId="0" fontId="66" fillId="32" borderId="25" xfId="37" applyFont="1" applyFill="1" applyBorder="1" applyAlignment="1">
      <alignment horizontal="left" vertical="center"/>
      <protection locked="0"/>
    </xf>
    <xf numFmtId="0" fontId="66" fillId="32" borderId="26" xfId="37" applyFont="1" applyFill="1" applyBorder="1" applyAlignment="1">
      <alignment horizontal="left" vertical="center"/>
      <protection locked="0"/>
    </xf>
    <xf numFmtId="0" fontId="70" fillId="0" borderId="25" xfId="0" applyFont="1" applyBorder="1" applyAlignment="1">
      <alignment horizontal="center"/>
    </xf>
    <xf numFmtId="0" fontId="70" fillId="0" borderId="26" xfId="0" applyFont="1" applyBorder="1" applyAlignment="1">
      <alignment horizontal="center"/>
    </xf>
    <xf numFmtId="0" fontId="74" fillId="38" borderId="54" xfId="0" applyFont="1" applyFill="1" applyBorder="1" applyAlignment="1">
      <alignment horizontal="center"/>
    </xf>
    <xf numFmtId="0" fontId="74" fillId="38" borderId="55" xfId="0" applyFont="1" applyFill="1" applyBorder="1" applyAlignment="1">
      <alignment horizontal="center"/>
    </xf>
    <xf numFmtId="0" fontId="74" fillId="38" borderId="56" xfId="0" applyFont="1" applyFill="1" applyBorder="1" applyAlignment="1">
      <alignment horizontal="center"/>
    </xf>
    <xf numFmtId="0" fontId="70" fillId="37" borderId="54" xfId="0" applyFont="1" applyFill="1" applyBorder="1" applyAlignment="1">
      <alignment horizontal="center"/>
    </xf>
    <xf numFmtId="0" fontId="70" fillId="37" borderId="55" xfId="0" applyFont="1" applyFill="1" applyBorder="1" applyAlignment="1">
      <alignment horizontal="center"/>
    </xf>
    <xf numFmtId="0" fontId="70" fillId="37" borderId="90" xfId="0" applyFont="1" applyFill="1" applyBorder="1" applyAlignment="1">
      <alignment horizontal="center"/>
    </xf>
    <xf numFmtId="0" fontId="74" fillId="38" borderId="21" xfId="0" applyFont="1" applyFill="1" applyBorder="1" applyAlignment="1">
      <alignment horizontal="center" vertical="center"/>
    </xf>
    <xf numFmtId="0" fontId="74" fillId="38" borderId="22" xfId="0" applyFont="1" applyFill="1" applyBorder="1" applyAlignment="1">
      <alignment horizontal="center" vertical="center"/>
    </xf>
    <xf numFmtId="0" fontId="74" fillId="38" borderId="23" xfId="0" applyFont="1" applyFill="1" applyBorder="1" applyAlignment="1">
      <alignment horizontal="center" vertical="center"/>
    </xf>
    <xf numFmtId="0" fontId="70" fillId="37" borderId="56" xfId="0" applyFont="1" applyFill="1" applyBorder="1" applyAlignment="1">
      <alignment horizontal="center"/>
    </xf>
    <xf numFmtId="0" fontId="70" fillId="44" borderId="54" xfId="0" applyFont="1" applyFill="1" applyBorder="1" applyAlignment="1">
      <alignment horizontal="center"/>
    </xf>
    <xf numFmtId="0" fontId="70" fillId="44" borderId="55" xfId="0" applyFont="1" applyFill="1" applyBorder="1" applyAlignment="1">
      <alignment horizontal="center"/>
    </xf>
    <xf numFmtId="0" fontId="70" fillId="43" borderId="104" xfId="0" applyFont="1" applyFill="1" applyBorder="1" applyAlignment="1">
      <alignment horizontal="center"/>
    </xf>
    <xf numFmtId="0" fontId="70" fillId="43" borderId="55" xfId="0" applyFont="1" applyFill="1" applyBorder="1" applyAlignment="1">
      <alignment horizontal="center"/>
    </xf>
    <xf numFmtId="0" fontId="70" fillId="43" borderId="56" xfId="0" applyFont="1" applyFill="1" applyBorder="1" applyAlignment="1">
      <alignment horizontal="center"/>
    </xf>
    <xf numFmtId="0" fontId="70" fillId="44" borderId="103" xfId="0" applyFont="1" applyFill="1" applyBorder="1" applyAlignment="1">
      <alignment horizontal="center"/>
    </xf>
    <xf numFmtId="0" fontId="70" fillId="37" borderId="89" xfId="0" applyFont="1" applyFill="1" applyBorder="1" applyAlignment="1">
      <alignment horizontal="center"/>
    </xf>
    <xf numFmtId="0" fontId="70" fillId="27" borderId="0" xfId="0" applyFont="1" applyFill="1" applyAlignment="1">
      <alignment horizontal="center"/>
    </xf>
    <xf numFmtId="0" fontId="70" fillId="0" borderId="0" xfId="0" applyFont="1" applyAlignment="1">
      <alignment horizontal="center"/>
    </xf>
    <xf numFmtId="0" fontId="70" fillId="24" borderId="24" xfId="0" applyFont="1" applyFill="1" applyBorder="1" applyAlignment="1">
      <alignment horizontal="center"/>
    </xf>
    <xf numFmtId="0" fontId="70" fillId="24" borderId="25" xfId="0" applyFont="1" applyFill="1" applyBorder="1" applyAlignment="1">
      <alignment horizontal="center"/>
    </xf>
    <xf numFmtId="0" fontId="70" fillId="24" borderId="26" xfId="0" applyFont="1" applyFill="1" applyBorder="1" applyAlignment="1">
      <alignment horizontal="center"/>
    </xf>
    <xf numFmtId="0" fontId="66" fillId="32" borderId="24" xfId="37" applyFont="1" applyFill="1" applyBorder="1">
      <alignment vertical="center"/>
      <protection locked="0"/>
    </xf>
    <xf numFmtId="0" fontId="66" fillId="32" borderId="25" xfId="37" applyFont="1" applyFill="1" applyBorder="1">
      <alignment vertical="center"/>
      <protection locked="0"/>
    </xf>
    <xf numFmtId="0" fontId="66" fillId="32" borderId="26" xfId="37" applyFont="1" applyFill="1" applyBorder="1">
      <alignment vertical="center"/>
      <protection locked="0"/>
    </xf>
    <xf numFmtId="0" fontId="66" fillId="29" borderId="77" xfId="143" applyFont="1" applyFill="1" applyBorder="1" applyAlignment="1" applyProtection="1">
      <alignment horizontal="left"/>
      <protection locked="0"/>
    </xf>
    <xf numFmtId="0" fontId="66" fillId="29" borderId="25" xfId="143" applyFont="1" applyFill="1" applyBorder="1" applyAlignment="1" applyProtection="1">
      <alignment horizontal="left"/>
      <protection locked="0"/>
    </xf>
    <xf numFmtId="0" fontId="66" fillId="29" borderId="26" xfId="143" applyFont="1" applyFill="1" applyBorder="1" applyAlignment="1" applyProtection="1">
      <alignment horizontal="left"/>
      <protection locked="0"/>
    </xf>
    <xf numFmtId="0" fontId="66" fillId="29" borderId="71" xfId="143" applyFont="1" applyFill="1" applyBorder="1" applyAlignment="1" applyProtection="1">
      <alignment horizontal="left"/>
      <protection locked="0"/>
    </xf>
    <xf numFmtId="0" fontId="66" fillId="29" borderId="49" xfId="143" applyFont="1" applyFill="1" applyBorder="1" applyAlignment="1" applyProtection="1">
      <alignment horizontal="left"/>
      <protection locked="0"/>
    </xf>
    <xf numFmtId="0" fontId="66" fillId="29" borderId="50" xfId="143" applyFont="1" applyFill="1" applyBorder="1" applyAlignment="1" applyProtection="1">
      <alignment horizontal="left"/>
      <protection locked="0"/>
    </xf>
    <xf numFmtId="0" fontId="66" fillId="29" borderId="79" xfId="143" applyFont="1" applyFill="1" applyBorder="1" applyAlignment="1" applyProtection="1">
      <alignment horizontal="left"/>
      <protection locked="0"/>
    </xf>
    <xf numFmtId="0" fontId="66" fillId="29" borderId="32" xfId="143" applyFont="1" applyFill="1" applyBorder="1" applyAlignment="1" applyProtection="1">
      <alignment horizontal="left"/>
      <protection locked="0"/>
    </xf>
    <xf numFmtId="0" fontId="66" fillId="29" borderId="43" xfId="143" applyFont="1" applyFill="1" applyBorder="1" applyAlignment="1" applyProtection="1">
      <alignment horizontal="left"/>
      <protection locked="0"/>
    </xf>
    <xf numFmtId="0" fontId="66" fillId="32" borderId="27" xfId="0" applyFont="1" applyFill="1" applyBorder="1" applyAlignment="1" applyProtection="1">
      <alignment horizontal="left"/>
      <protection locked="0"/>
    </xf>
    <xf numFmtId="0" fontId="66" fillId="32" borderId="28" xfId="0" applyFont="1" applyFill="1" applyBorder="1" applyAlignment="1" applyProtection="1">
      <alignment horizontal="left"/>
      <protection locked="0"/>
    </xf>
    <xf numFmtId="0" fontId="66" fillId="32" borderId="29" xfId="0" applyFont="1" applyFill="1" applyBorder="1" applyAlignment="1" applyProtection="1">
      <alignment horizontal="left"/>
      <protection locked="0"/>
    </xf>
    <xf numFmtId="0" fontId="66" fillId="32" borderId="30" xfId="0" applyFont="1" applyFill="1" applyBorder="1" applyAlignment="1" applyProtection="1">
      <alignment horizontal="left"/>
      <protection locked="0"/>
    </xf>
    <xf numFmtId="0" fontId="66" fillId="32" borderId="0" xfId="0" applyFont="1" applyFill="1" applyAlignment="1" applyProtection="1">
      <alignment horizontal="left"/>
      <protection locked="0"/>
    </xf>
    <xf numFmtId="0" fontId="66" fillId="32" borderId="14" xfId="0" applyFont="1" applyFill="1" applyBorder="1" applyAlignment="1" applyProtection="1">
      <alignment horizontal="left"/>
      <protection locked="0"/>
    </xf>
    <xf numFmtId="0" fontId="66" fillId="32" borderId="31" xfId="0" applyFont="1" applyFill="1" applyBorder="1" applyAlignment="1" applyProtection="1">
      <alignment horizontal="left"/>
      <protection locked="0"/>
    </xf>
    <xf numFmtId="0" fontId="66" fillId="32" borderId="13" xfId="0" applyFont="1" applyFill="1" applyBorder="1" applyAlignment="1" applyProtection="1">
      <alignment horizontal="left"/>
      <protection locked="0"/>
    </xf>
    <xf numFmtId="0" fontId="66" fillId="32" borderId="15" xfId="0" applyFont="1" applyFill="1" applyBorder="1" applyAlignment="1" applyProtection="1">
      <alignment horizontal="left"/>
      <protection locked="0"/>
    </xf>
    <xf numFmtId="0" fontId="66" fillId="29" borderId="24" xfId="0" applyFont="1" applyFill="1" applyBorder="1" applyAlignment="1">
      <alignment horizontal="center"/>
    </xf>
    <xf numFmtId="0" fontId="66" fillId="29" borderId="25" xfId="0" applyFont="1" applyFill="1" applyBorder="1" applyAlignment="1">
      <alignment horizontal="center"/>
    </xf>
    <xf numFmtId="0" fontId="66" fillId="32" borderId="24" xfId="0" applyFont="1" applyFill="1" applyBorder="1" applyAlignment="1" applyProtection="1">
      <alignment horizontal="left" vertical="center" wrapText="1"/>
      <protection locked="0"/>
    </xf>
    <xf numFmtId="0" fontId="66" fillId="32" borderId="25" xfId="0" applyFont="1" applyFill="1" applyBorder="1" applyAlignment="1" applyProtection="1">
      <alignment horizontal="left" vertical="center" wrapText="1"/>
      <protection locked="0"/>
    </xf>
    <xf numFmtId="0" fontId="66" fillId="32" borderId="26" xfId="0" applyFont="1" applyFill="1" applyBorder="1" applyAlignment="1" applyProtection="1">
      <alignment horizontal="left" vertical="center" wrapText="1"/>
      <protection locked="0"/>
    </xf>
    <xf numFmtId="0" fontId="66" fillId="29" borderId="26" xfId="0" applyFont="1" applyFill="1" applyBorder="1" applyAlignment="1">
      <alignment horizontal="center"/>
    </xf>
    <xf numFmtId="4" fontId="145" fillId="27" borderId="0" xfId="220" applyNumberFormat="1" applyFont="1" applyFill="1" applyAlignment="1">
      <alignment horizontal="left" vertical="center" wrapText="1"/>
    </xf>
    <xf numFmtId="4" fontId="145" fillId="27" borderId="0" xfId="222" applyNumberFormat="1" applyFont="1" applyFill="1" applyBorder="1" applyAlignment="1">
      <alignment horizontal="left" vertical="top" wrapText="1"/>
    </xf>
    <xf numFmtId="0" fontId="0" fillId="0" borderId="0" xfId="0" applyAlignment="1">
      <alignment wrapText="1"/>
    </xf>
    <xf numFmtId="0" fontId="11" fillId="0" borderId="0" xfId="82" applyProtection="1">
      <alignment horizontal="left" vertical="center"/>
    </xf>
  </cellXfs>
  <cellStyles count="225">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Assumption Percentage." xfId="165" xr:uid="{00000000-0005-0000-0000-000018000000}"/>
    <cellStyle name="Assumptions Center Currency" xfId="25" xr:uid="{00000000-0005-0000-0000-000019000000}"/>
    <cellStyle name="Assumptions Center Currency 2" xfId="26" xr:uid="{00000000-0005-0000-0000-00001A000000}"/>
    <cellStyle name="Assumptions Center Currency 2 2" xfId="174" xr:uid="{00000000-0005-0000-0000-00001B000000}"/>
    <cellStyle name="Assumptions Center Date" xfId="27" xr:uid="{00000000-0005-0000-0000-00001C000000}"/>
    <cellStyle name="Assumptions Center Date 2" xfId="28" xr:uid="{00000000-0005-0000-0000-00001D000000}"/>
    <cellStyle name="Assumptions Center Date 2 2" xfId="175" xr:uid="{00000000-0005-0000-0000-00001E000000}"/>
    <cellStyle name="Assumptions Center Multiple" xfId="29" xr:uid="{00000000-0005-0000-0000-00001F000000}"/>
    <cellStyle name="Assumptions Center Multiple 2" xfId="30" xr:uid="{00000000-0005-0000-0000-000020000000}"/>
    <cellStyle name="Assumptions Center Multiple 2 2" xfId="176" xr:uid="{00000000-0005-0000-0000-000021000000}"/>
    <cellStyle name="Assumptions Center Number" xfId="31" xr:uid="{00000000-0005-0000-0000-000022000000}"/>
    <cellStyle name="Assumptions Center Number 2" xfId="32" xr:uid="{00000000-0005-0000-0000-000023000000}"/>
    <cellStyle name="Assumptions Center Number 2 2" xfId="177" xr:uid="{00000000-0005-0000-0000-000024000000}"/>
    <cellStyle name="Assumptions Center Percentage" xfId="33" xr:uid="{00000000-0005-0000-0000-000025000000}"/>
    <cellStyle name="Assumptions Center Percentage 2" xfId="34" xr:uid="{00000000-0005-0000-0000-000026000000}"/>
    <cellStyle name="Assumptions Center Percentage 2 2" xfId="178" xr:uid="{00000000-0005-0000-0000-000027000000}"/>
    <cellStyle name="Assumptions Center Year" xfId="35" xr:uid="{00000000-0005-0000-0000-000028000000}"/>
    <cellStyle name="Assumptions Center Year 2" xfId="36" xr:uid="{00000000-0005-0000-0000-000029000000}"/>
    <cellStyle name="Assumptions Center Year 2 2" xfId="179" xr:uid="{00000000-0005-0000-0000-00002A000000}"/>
    <cellStyle name="Assumptions Heading" xfId="37" xr:uid="{00000000-0005-0000-0000-00002B000000}"/>
    <cellStyle name="Assumptions Heading 2" xfId="38" xr:uid="{00000000-0005-0000-0000-00002C000000}"/>
    <cellStyle name="Assumptions Heading 2 2" xfId="180" xr:uid="{00000000-0005-0000-0000-00002D000000}"/>
    <cellStyle name="Assumptions Heading 4" xfId="145" xr:uid="{00000000-0005-0000-0000-00002E000000}"/>
    <cellStyle name="Assumptions Heading 4 2" xfId="181" xr:uid="{00000000-0005-0000-0000-00002F000000}"/>
    <cellStyle name="Assumptions Heading_BAUCapex3Per_CD_FO" xfId="172" xr:uid="{00000000-0005-0000-0000-000030000000}"/>
    <cellStyle name="Assumptions Right Currency" xfId="39" xr:uid="{00000000-0005-0000-0000-000031000000}"/>
    <cellStyle name="Assumptions Right Currency 2" xfId="40" xr:uid="{00000000-0005-0000-0000-000032000000}"/>
    <cellStyle name="Assumptions Right Currency 2 2" xfId="182" xr:uid="{00000000-0005-0000-0000-000033000000}"/>
    <cellStyle name="Assumptions Right Date" xfId="41" xr:uid="{00000000-0005-0000-0000-000034000000}"/>
    <cellStyle name="Assumptions Right Date 2" xfId="42" xr:uid="{00000000-0005-0000-0000-000035000000}"/>
    <cellStyle name="Assumptions Right Date 2 2" xfId="183" xr:uid="{00000000-0005-0000-0000-000036000000}"/>
    <cellStyle name="Assumptions Right Multiple" xfId="43" xr:uid="{00000000-0005-0000-0000-000037000000}"/>
    <cellStyle name="Assumptions Right Multiple 2" xfId="44" xr:uid="{00000000-0005-0000-0000-000038000000}"/>
    <cellStyle name="Assumptions Right Multiple 2 2" xfId="184" xr:uid="{00000000-0005-0000-0000-000039000000}"/>
    <cellStyle name="Assumptions Right Number" xfId="45" xr:uid="{00000000-0005-0000-0000-00003A000000}"/>
    <cellStyle name="Assumptions Right Number 2" xfId="46" xr:uid="{00000000-0005-0000-0000-00003B000000}"/>
    <cellStyle name="Assumptions Right Number 2 2" xfId="185" xr:uid="{00000000-0005-0000-0000-00003C000000}"/>
    <cellStyle name="Assumptions Right Percentage" xfId="47" xr:uid="{00000000-0005-0000-0000-00003D000000}"/>
    <cellStyle name="Assumptions Right Percentage 2" xfId="48" xr:uid="{00000000-0005-0000-0000-00003E000000}"/>
    <cellStyle name="Assumptions Right Percentage 2 2" xfId="186" xr:uid="{00000000-0005-0000-0000-00003F000000}"/>
    <cellStyle name="Assumptions Right Year" xfId="49" xr:uid="{00000000-0005-0000-0000-000040000000}"/>
    <cellStyle name="Assumptions Right Year 2" xfId="50" xr:uid="{00000000-0005-0000-0000-000041000000}"/>
    <cellStyle name="Assumptions Right Year 2 2" xfId="187" xr:uid="{00000000-0005-0000-0000-000042000000}"/>
    <cellStyle name="Bad" xfId="51" builtinId="27"/>
    <cellStyle name="Bad 2" xfId="52" xr:uid="{00000000-0005-0000-0000-000044000000}"/>
    <cellStyle name="Calculation 2" xfId="53" xr:uid="{00000000-0005-0000-0000-000045000000}"/>
    <cellStyle name="Cell Link" xfId="54" xr:uid="{00000000-0005-0000-0000-000046000000}"/>
    <cellStyle name="Cell Link 2" xfId="55" xr:uid="{00000000-0005-0000-0000-000047000000}"/>
    <cellStyle name="Cell Link 2 2" xfId="188" xr:uid="{00000000-0005-0000-0000-000048000000}"/>
    <cellStyle name="Center Currency" xfId="56" xr:uid="{00000000-0005-0000-0000-000049000000}"/>
    <cellStyle name="Center Currency 2" xfId="57" xr:uid="{00000000-0005-0000-0000-00004A000000}"/>
    <cellStyle name="Center Currency 2 2" xfId="189" xr:uid="{00000000-0005-0000-0000-00004B000000}"/>
    <cellStyle name="Center Date" xfId="58" xr:uid="{00000000-0005-0000-0000-00004C000000}"/>
    <cellStyle name="Center Date 2" xfId="59" xr:uid="{00000000-0005-0000-0000-00004D000000}"/>
    <cellStyle name="Center Date 2 2" xfId="190" xr:uid="{00000000-0005-0000-0000-00004E000000}"/>
    <cellStyle name="Center Multiple" xfId="60" xr:uid="{00000000-0005-0000-0000-00004F000000}"/>
    <cellStyle name="Center Multiple 2" xfId="61" xr:uid="{00000000-0005-0000-0000-000050000000}"/>
    <cellStyle name="Center Multiple 2 2" xfId="191" xr:uid="{00000000-0005-0000-0000-000051000000}"/>
    <cellStyle name="Center Number" xfId="62" xr:uid="{00000000-0005-0000-0000-000052000000}"/>
    <cellStyle name="Center Number 2" xfId="63" xr:uid="{00000000-0005-0000-0000-000053000000}"/>
    <cellStyle name="Center Number 2 2" xfId="192" xr:uid="{00000000-0005-0000-0000-000054000000}"/>
    <cellStyle name="Center Percentage" xfId="64" xr:uid="{00000000-0005-0000-0000-000055000000}"/>
    <cellStyle name="Center Percentage 2" xfId="65" xr:uid="{00000000-0005-0000-0000-000056000000}"/>
    <cellStyle name="Center Percentage 2 2" xfId="193" xr:uid="{00000000-0005-0000-0000-000057000000}"/>
    <cellStyle name="Center Year" xfId="66" xr:uid="{00000000-0005-0000-0000-000058000000}"/>
    <cellStyle name="Center Year 2" xfId="67" xr:uid="{00000000-0005-0000-0000-000059000000}"/>
    <cellStyle name="Center Year 2 2" xfId="194" xr:uid="{00000000-0005-0000-0000-00005A000000}"/>
    <cellStyle name="Check Cell 2" xfId="68" xr:uid="{00000000-0005-0000-0000-00005B000000}"/>
    <cellStyle name="Comma" xfId="69" builtinId="3"/>
    <cellStyle name="Comma 10 2" xfId="146" xr:uid="{00000000-0005-0000-0000-00005D000000}"/>
    <cellStyle name="Comma 12" xfId="147" xr:uid="{00000000-0005-0000-0000-00005E000000}"/>
    <cellStyle name="Comma 13" xfId="148" xr:uid="{00000000-0005-0000-0000-00005F000000}"/>
    <cellStyle name="Comma 3" xfId="149" xr:uid="{00000000-0005-0000-0000-000060000000}"/>
    <cellStyle name="Comma 3 2" xfId="195" xr:uid="{00000000-0005-0000-0000-000061000000}"/>
    <cellStyle name="Comma 33" xfId="150" xr:uid="{00000000-0005-0000-0000-000062000000}"/>
    <cellStyle name="Comma 43" xfId="151" xr:uid="{00000000-0005-0000-0000-000063000000}"/>
    <cellStyle name="Explanatory Text 2" xfId="70" xr:uid="{00000000-0005-0000-0000-000064000000}"/>
    <cellStyle name="Good 2" xfId="71" xr:uid="{00000000-0005-0000-0000-000065000000}"/>
    <cellStyle name="Heading 1" xfId="72" builtinId="16" customBuiltin="1"/>
    <cellStyle name="Heading 1 2" xfId="73" xr:uid="{00000000-0005-0000-0000-000067000000}"/>
    <cellStyle name="Heading 1 3" xfId="138" xr:uid="{00000000-0005-0000-0000-000068000000}"/>
    <cellStyle name="Heading 2" xfId="74" builtinId="17" customBuiltin="1"/>
    <cellStyle name="Heading 2 2" xfId="75" xr:uid="{00000000-0005-0000-0000-00006A000000}"/>
    <cellStyle name="Heading 2 6" xfId="152" xr:uid="{00000000-0005-0000-0000-00006B000000}"/>
    <cellStyle name="Heading 3" xfId="76" builtinId="18" customBuiltin="1"/>
    <cellStyle name="Heading 3 2" xfId="77" xr:uid="{00000000-0005-0000-0000-00006D000000}"/>
    <cellStyle name="Heading 3." xfId="168" xr:uid="{00000000-0005-0000-0000-00006E000000}"/>
    <cellStyle name="Heading 4" xfId="78" builtinId="19" customBuiltin="1"/>
    <cellStyle name="Heading 4 2" xfId="79" xr:uid="{00000000-0005-0000-0000-000070000000}"/>
    <cellStyle name="Heading 4 3" xfId="173" xr:uid="{00000000-0005-0000-0000-000071000000}"/>
    <cellStyle name="Heading 4 4" xfId="141" xr:uid="{00000000-0005-0000-0000-000072000000}"/>
    <cellStyle name="Heading 4 4 2" xfId="196" xr:uid="{00000000-0005-0000-0000-000073000000}"/>
    <cellStyle name="Heading 4." xfId="167" xr:uid="{00000000-0005-0000-0000-000074000000}"/>
    <cellStyle name="Hyperlink Arrow" xfId="80" xr:uid="{00000000-0005-0000-0000-000075000000}"/>
    <cellStyle name="Hyperlink Check" xfId="81" xr:uid="{00000000-0005-0000-0000-000076000000}"/>
    <cellStyle name="Hyperlink Text" xfId="82" xr:uid="{00000000-0005-0000-0000-000077000000}"/>
    <cellStyle name="Hyperlink Text 2" xfId="83" xr:uid="{00000000-0005-0000-0000-000078000000}"/>
    <cellStyle name="Hyperlink Text 2 2" xfId="84" xr:uid="{00000000-0005-0000-0000-000079000000}"/>
    <cellStyle name="Input 2" xfId="85" xr:uid="{00000000-0005-0000-0000-00007A000000}"/>
    <cellStyle name="Linked Cell 2" xfId="86" xr:uid="{00000000-0005-0000-0000-00007B000000}"/>
    <cellStyle name="Lookup Table Heading" xfId="87" xr:uid="{00000000-0005-0000-0000-00007C000000}"/>
    <cellStyle name="Lookup Table Heading 2" xfId="88" xr:uid="{00000000-0005-0000-0000-00007D000000}"/>
    <cellStyle name="Lookup Table Label" xfId="89" xr:uid="{00000000-0005-0000-0000-00007E000000}"/>
    <cellStyle name="Lookup Table Label 2" xfId="90" xr:uid="{00000000-0005-0000-0000-00007F000000}"/>
    <cellStyle name="Lookup Table Label 2 2" xfId="197" xr:uid="{00000000-0005-0000-0000-000080000000}"/>
    <cellStyle name="Lookup Table Number" xfId="91" xr:uid="{00000000-0005-0000-0000-000081000000}"/>
    <cellStyle name="Lookup Table Number 2" xfId="92" xr:uid="{00000000-0005-0000-0000-000082000000}"/>
    <cellStyle name="Lookup Table Number 2 2" xfId="198" xr:uid="{00000000-0005-0000-0000-000083000000}"/>
    <cellStyle name="Model Name" xfId="93" xr:uid="{00000000-0005-0000-0000-000084000000}"/>
    <cellStyle name="Model Name 2" xfId="94" xr:uid="{00000000-0005-0000-0000-000085000000}"/>
    <cellStyle name="Model Name 2 2" xfId="95" xr:uid="{00000000-0005-0000-0000-000086000000}"/>
    <cellStyle name="Neutral 2" xfId="96" xr:uid="{00000000-0005-0000-0000-000087000000}"/>
    <cellStyle name="Normal" xfId="0" builtinId="0"/>
    <cellStyle name="Normal 10" xfId="169" xr:uid="{00000000-0005-0000-0000-000089000000}"/>
    <cellStyle name="Normal 11" xfId="142" xr:uid="{00000000-0005-0000-0000-00008A000000}"/>
    <cellStyle name="Normal 11 2" xfId="199" xr:uid="{00000000-0005-0000-0000-00008B000000}"/>
    <cellStyle name="Normal 12" xfId="143" xr:uid="{00000000-0005-0000-0000-00008C000000}"/>
    <cellStyle name="Normal 12 2" xfId="171" xr:uid="{00000000-0005-0000-0000-00008D000000}"/>
    <cellStyle name="Normal 13" xfId="220" xr:uid="{AD20C0C6-8AE1-4797-9BC0-61D45F7AEB0F}"/>
    <cellStyle name="Normal 14" xfId="153" xr:uid="{00000000-0005-0000-0000-00008E000000}"/>
    <cellStyle name="Normal 14 2" xfId="200" xr:uid="{00000000-0005-0000-0000-00008F000000}"/>
    <cellStyle name="Normal 15" xfId="154" xr:uid="{00000000-0005-0000-0000-000090000000}"/>
    <cellStyle name="Normal 2" xfId="97" xr:uid="{00000000-0005-0000-0000-000091000000}"/>
    <cellStyle name="Normal 2 2" xfId="155" xr:uid="{00000000-0005-0000-0000-000092000000}"/>
    <cellStyle name="Normal 2 2 2" xfId="156" xr:uid="{00000000-0005-0000-0000-000093000000}"/>
    <cellStyle name="Normal 2 2 2 2" xfId="201" xr:uid="{00000000-0005-0000-0000-000094000000}"/>
    <cellStyle name="Normal 2 2 3" xfId="202" xr:uid="{00000000-0005-0000-0000-000095000000}"/>
    <cellStyle name="Normal 2 2 4" xfId="223" xr:uid="{B70F56FD-6EAC-4BBF-A26A-866A65730A9D}"/>
    <cellStyle name="Normal 2 3" xfId="203" xr:uid="{00000000-0005-0000-0000-000096000000}"/>
    <cellStyle name="Normal 2 3 2" xfId="221" xr:uid="{36424A39-703E-44CF-93FB-1FE4F0D579AF}"/>
    <cellStyle name="Normal 3" xfId="144" xr:uid="{00000000-0005-0000-0000-000097000000}"/>
    <cellStyle name="Normal 3 2" xfId="170" xr:uid="{00000000-0005-0000-0000-000098000000}"/>
    <cellStyle name="Normal 3 3" xfId="222" xr:uid="{33E7723C-8C92-480B-A2E9-F812838AE353}"/>
    <cellStyle name="Normal 4" xfId="98" xr:uid="{00000000-0005-0000-0000-000099000000}"/>
    <cellStyle name="Normal 4 2" xfId="204" xr:uid="{00000000-0005-0000-0000-00009A000000}"/>
    <cellStyle name="Normal 4 3" xfId="224" xr:uid="{41F3F087-9E2D-4D8D-97B3-3B35A87F9E40}"/>
    <cellStyle name="Normal 5" xfId="157" xr:uid="{00000000-0005-0000-0000-00009B000000}"/>
    <cellStyle name="Normal 6" xfId="158" xr:uid="{00000000-0005-0000-0000-00009C000000}"/>
    <cellStyle name="Normal 7" xfId="159" xr:uid="{00000000-0005-0000-0000-00009D000000}"/>
    <cellStyle name="Normal 8" xfId="137" xr:uid="{00000000-0005-0000-0000-00009E000000}"/>
    <cellStyle name="Normal 8 2" xfId="205" xr:uid="{00000000-0005-0000-0000-00009F000000}"/>
    <cellStyle name="Normal 9" xfId="140" xr:uid="{00000000-0005-0000-0000-0000A0000000}"/>
    <cellStyle name="Normal 9 2" xfId="206" xr:uid="{00000000-0005-0000-0000-0000A1000000}"/>
    <cellStyle name="Note 2" xfId="99" xr:uid="{00000000-0005-0000-0000-0000A2000000}"/>
    <cellStyle name="Output 2" xfId="100" xr:uid="{00000000-0005-0000-0000-0000A3000000}"/>
    <cellStyle name="Percent" xfId="101" builtinId="5"/>
    <cellStyle name="Percent 2" xfId="102" xr:uid="{00000000-0005-0000-0000-0000A5000000}"/>
    <cellStyle name="Percent 2 2" xfId="207" xr:uid="{00000000-0005-0000-0000-0000A6000000}"/>
    <cellStyle name="Percent 4" xfId="160" xr:uid="{00000000-0005-0000-0000-0000A7000000}"/>
    <cellStyle name="Percent 6" xfId="161" xr:uid="{00000000-0005-0000-0000-0000A8000000}"/>
    <cellStyle name="Percentage." xfId="166" xr:uid="{00000000-0005-0000-0000-0000A9000000}"/>
    <cellStyle name="Period Title" xfId="103" xr:uid="{00000000-0005-0000-0000-0000AA000000}"/>
    <cellStyle name="Period Title 2" xfId="104" xr:uid="{00000000-0005-0000-0000-0000AB000000}"/>
    <cellStyle name="Right Currency" xfId="105" xr:uid="{00000000-0005-0000-0000-0000AC000000}"/>
    <cellStyle name="Right Currency 2" xfId="106" xr:uid="{00000000-0005-0000-0000-0000AD000000}"/>
    <cellStyle name="Right Currency 2 2" xfId="208" xr:uid="{00000000-0005-0000-0000-0000AE000000}"/>
    <cellStyle name="Right Date" xfId="107" xr:uid="{00000000-0005-0000-0000-0000AF000000}"/>
    <cellStyle name="Right Date 2" xfId="108" xr:uid="{00000000-0005-0000-0000-0000B0000000}"/>
    <cellStyle name="Right Date 2 2" xfId="209" xr:uid="{00000000-0005-0000-0000-0000B1000000}"/>
    <cellStyle name="Right Multiple" xfId="109" xr:uid="{00000000-0005-0000-0000-0000B2000000}"/>
    <cellStyle name="Right Multiple 2" xfId="110" xr:uid="{00000000-0005-0000-0000-0000B3000000}"/>
    <cellStyle name="Right Multiple 2 2" xfId="210" xr:uid="{00000000-0005-0000-0000-0000B4000000}"/>
    <cellStyle name="Right Number" xfId="111" xr:uid="{00000000-0005-0000-0000-0000B5000000}"/>
    <cellStyle name="Right Number 10" xfId="112" xr:uid="{00000000-0005-0000-0000-0000B6000000}"/>
    <cellStyle name="Right Number 10 2" xfId="113" xr:uid="{00000000-0005-0000-0000-0000B7000000}"/>
    <cellStyle name="Right Number 10 2 2" xfId="211" xr:uid="{00000000-0005-0000-0000-0000B8000000}"/>
    <cellStyle name="Right Number 10 3" xfId="212" xr:uid="{00000000-0005-0000-0000-0000B9000000}"/>
    <cellStyle name="Right Number 2" xfId="114" xr:uid="{00000000-0005-0000-0000-0000BA000000}"/>
    <cellStyle name="Right Number 2 2" xfId="162" xr:uid="{00000000-0005-0000-0000-0000BB000000}"/>
    <cellStyle name="Right Number 2 2 2" xfId="163" xr:uid="{00000000-0005-0000-0000-0000BC000000}"/>
    <cellStyle name="Right Number 2 2 2 2" xfId="213" xr:uid="{00000000-0005-0000-0000-0000BD000000}"/>
    <cellStyle name="Right Number 2 2 3" xfId="214" xr:uid="{00000000-0005-0000-0000-0000BE000000}"/>
    <cellStyle name="Right Number 2 3" xfId="215" xr:uid="{00000000-0005-0000-0000-0000BF000000}"/>
    <cellStyle name="Right Number 3" xfId="115" xr:uid="{00000000-0005-0000-0000-0000C0000000}"/>
    <cellStyle name="Right Number 3 2" xfId="216" xr:uid="{00000000-0005-0000-0000-0000C1000000}"/>
    <cellStyle name="Right Number 5" xfId="164" xr:uid="{00000000-0005-0000-0000-0000C2000000}"/>
    <cellStyle name="Right Number 5 2" xfId="217" xr:uid="{00000000-0005-0000-0000-0000C3000000}"/>
    <cellStyle name="Right Percentage" xfId="116" xr:uid="{00000000-0005-0000-0000-0000C4000000}"/>
    <cellStyle name="Right Percentage 2" xfId="117" xr:uid="{00000000-0005-0000-0000-0000C5000000}"/>
    <cellStyle name="Right Percentage 2 2" xfId="218" xr:uid="{00000000-0005-0000-0000-0000C6000000}"/>
    <cellStyle name="Right Year" xfId="118" xr:uid="{00000000-0005-0000-0000-0000C7000000}"/>
    <cellStyle name="Right Year 2" xfId="119" xr:uid="{00000000-0005-0000-0000-0000C8000000}"/>
    <cellStyle name="Right Year 2 2" xfId="219" xr:uid="{00000000-0005-0000-0000-0000C9000000}"/>
    <cellStyle name="Section Number" xfId="120" xr:uid="{00000000-0005-0000-0000-0000CA000000}"/>
    <cellStyle name="Section Number 2" xfId="121" xr:uid="{00000000-0005-0000-0000-0000CB000000}"/>
    <cellStyle name="Sheet Title" xfId="122" xr:uid="{00000000-0005-0000-0000-0000CC000000}"/>
    <cellStyle name="Sheet Title 2" xfId="123" xr:uid="{00000000-0005-0000-0000-0000CD000000}"/>
    <cellStyle name="Sheet Title 2 2" xfId="124" xr:uid="{00000000-0005-0000-0000-0000CE000000}"/>
    <cellStyle name="Style 1" xfId="125" xr:uid="{00000000-0005-0000-0000-0000CF000000}"/>
    <cellStyle name="Title 2" xfId="126" xr:uid="{00000000-0005-0000-0000-0000D0000000}"/>
    <cellStyle name="TOC 1" xfId="127" xr:uid="{00000000-0005-0000-0000-0000D1000000}"/>
    <cellStyle name="TOC 1 2" xfId="128" xr:uid="{00000000-0005-0000-0000-0000D2000000}"/>
    <cellStyle name="TOC 2" xfId="129" xr:uid="{00000000-0005-0000-0000-0000D3000000}"/>
    <cellStyle name="TOC 2 2" xfId="130" xr:uid="{00000000-0005-0000-0000-0000D4000000}"/>
    <cellStyle name="TOC 3" xfId="131" xr:uid="{00000000-0005-0000-0000-0000D5000000}"/>
    <cellStyle name="TOC 3 2" xfId="132" xr:uid="{00000000-0005-0000-0000-0000D6000000}"/>
    <cellStyle name="TOC 4" xfId="133" xr:uid="{00000000-0005-0000-0000-0000D7000000}"/>
    <cellStyle name="TOC 4 2" xfId="134" xr:uid="{00000000-0005-0000-0000-0000D8000000}"/>
    <cellStyle name="Total 2" xfId="135" xr:uid="{00000000-0005-0000-0000-0000D9000000}"/>
    <cellStyle name="Warning Text 2" xfId="136" xr:uid="{00000000-0005-0000-0000-0000DA000000}"/>
    <cellStyle name="Yellow Box" xfId="139" xr:uid="{00000000-0005-0000-0000-0000DB000000}"/>
  </cellStyles>
  <dxfs count="219">
    <dxf>
      <font>
        <color rgb="FFFF0000"/>
      </font>
    </dxf>
    <dxf>
      <font>
        <color theme="0"/>
      </font>
      <fill>
        <patternFill>
          <bgColor rgb="FFC00000"/>
        </patternFill>
      </fill>
    </dxf>
    <dxf>
      <font>
        <color rgb="FF006100"/>
      </font>
      <fill>
        <patternFill>
          <bgColor rgb="FFC6EFCE"/>
        </patternFill>
      </fill>
    </dxf>
    <dxf>
      <font>
        <color rgb="FFFF0000"/>
      </font>
    </dxf>
    <dxf>
      <font>
        <color rgb="FF006100"/>
      </font>
      <fill>
        <patternFill>
          <bgColor rgb="FFC6EFCE"/>
        </patternFill>
      </fill>
    </dxf>
    <dxf>
      <font>
        <color rgb="FFFF0000"/>
      </font>
    </dxf>
    <dxf>
      <font>
        <color rgb="FF006100"/>
      </font>
      <fill>
        <patternFill>
          <bgColor rgb="FFC6EFCE"/>
        </patternFill>
      </fill>
    </dxf>
    <dxf>
      <font>
        <color rgb="FFFF0000"/>
      </font>
    </dxf>
    <dxf>
      <font>
        <color rgb="FF006100"/>
      </font>
      <fill>
        <patternFill>
          <bgColor rgb="FFC6EFCE"/>
        </patternFill>
      </fill>
    </dxf>
    <dxf>
      <font>
        <color rgb="FFFF0000"/>
      </font>
      <fill>
        <patternFill>
          <bgColor theme="5" tint="0.79998168889431442"/>
        </patternFill>
      </fill>
    </dxf>
    <dxf>
      <font>
        <color rgb="FF006100"/>
      </font>
      <fill>
        <patternFill>
          <bgColor rgb="FFC6EFCE"/>
        </patternFill>
      </fill>
    </dxf>
    <dxf>
      <font>
        <color rgb="FFFF0000"/>
      </font>
      <fill>
        <patternFill>
          <bgColor theme="5" tint="0.79998168889431442"/>
        </patternFill>
      </fill>
    </dxf>
    <dxf>
      <font>
        <color rgb="FF006100"/>
      </font>
      <fill>
        <patternFill>
          <bgColor rgb="FFC6EFCE"/>
        </patternFill>
      </fill>
    </dxf>
    <dxf>
      <font>
        <color rgb="FFFF0000"/>
      </font>
      <fill>
        <patternFill>
          <bgColor theme="5" tint="0.79998168889431442"/>
        </patternFill>
      </fill>
    </dxf>
    <dxf>
      <font>
        <color rgb="FF006100"/>
      </font>
      <fill>
        <patternFill>
          <bgColor rgb="FFC6EFCE"/>
        </patternFill>
      </fill>
    </dxf>
    <dxf>
      <font>
        <color rgb="FFFF0000"/>
      </font>
    </dxf>
    <dxf>
      <font>
        <color rgb="FF006100"/>
      </font>
      <fill>
        <patternFill>
          <bgColor rgb="FFC6EFCE"/>
        </patternFill>
      </fill>
    </dxf>
    <dxf>
      <font>
        <color rgb="FFFF0000"/>
      </font>
    </dxf>
    <dxf>
      <font>
        <color rgb="FF006100"/>
      </font>
      <fill>
        <patternFill>
          <bgColor rgb="FFC6EFCE"/>
        </patternFill>
      </fill>
    </dxf>
    <dxf>
      <font>
        <color rgb="FFFF0000"/>
      </font>
    </dxf>
    <dxf>
      <font>
        <color rgb="FF006100"/>
      </font>
      <fill>
        <patternFill>
          <bgColor rgb="FFC6EFCE"/>
        </patternFill>
      </fill>
    </dxf>
    <dxf>
      <font>
        <color rgb="FFFF0000"/>
      </font>
    </dxf>
    <dxf>
      <font>
        <color rgb="FF006100"/>
      </font>
      <fill>
        <patternFill>
          <bgColor rgb="FFC6EFCE"/>
        </patternFill>
      </fill>
    </dxf>
    <dxf>
      <font>
        <color rgb="FFFF0000"/>
      </font>
    </dxf>
    <dxf>
      <font>
        <color rgb="FF006100"/>
      </font>
      <fill>
        <patternFill>
          <bgColor rgb="FFC6EFCE"/>
        </patternFill>
      </fill>
    </dxf>
    <dxf>
      <font>
        <color rgb="FFFF0000"/>
      </font>
    </dxf>
    <dxf>
      <font>
        <color rgb="FF9C0006"/>
      </font>
      <fill>
        <patternFill>
          <bgColor rgb="FFFFC7CE"/>
        </patternFill>
      </fill>
    </dxf>
    <dxf>
      <font>
        <color rgb="FF006100"/>
      </font>
      <fill>
        <patternFill>
          <bgColor rgb="FFC6EFCE"/>
        </patternFill>
      </fill>
    </dxf>
    <dxf>
      <font>
        <color rgb="FFFF0000"/>
      </font>
    </dxf>
    <dxf>
      <font>
        <b/>
        <i val="0"/>
        <condense val="0"/>
        <extend val="0"/>
      </font>
      <fill>
        <patternFill>
          <bgColor indexed="51"/>
        </patternFill>
      </fill>
    </dxf>
    <dxf>
      <font>
        <b/>
        <i val="0"/>
        <condense val="0"/>
        <extend val="0"/>
        <color indexed="9"/>
      </font>
      <fill>
        <patternFill>
          <bgColor indexed="58"/>
        </patternFill>
      </fill>
    </dxf>
    <dxf>
      <font>
        <b/>
        <i val="0"/>
        <condense val="0"/>
        <extend val="0"/>
        <color indexed="9"/>
      </font>
      <fill>
        <patternFill>
          <bgColor indexed="17"/>
        </patternFill>
      </fill>
    </dxf>
    <dxf>
      <font>
        <b/>
        <i val="0"/>
        <condense val="0"/>
        <extend val="0"/>
      </font>
      <fill>
        <patternFill>
          <bgColor indexed="51"/>
        </patternFill>
      </fill>
    </dxf>
    <dxf>
      <font>
        <b/>
        <i val="0"/>
        <condense val="0"/>
        <extend val="0"/>
        <color indexed="9"/>
      </font>
      <fill>
        <patternFill>
          <bgColor indexed="58"/>
        </patternFill>
      </fill>
    </dxf>
    <dxf>
      <font>
        <b/>
        <i val="0"/>
        <condense val="0"/>
        <extend val="0"/>
        <color indexed="9"/>
      </font>
      <fill>
        <patternFill>
          <bgColor indexed="17"/>
        </patternFill>
      </fill>
    </dxf>
    <dxf>
      <font>
        <b/>
        <i val="0"/>
        <condense val="0"/>
        <extend val="0"/>
      </font>
      <fill>
        <patternFill>
          <bgColor indexed="51"/>
        </patternFill>
      </fill>
    </dxf>
    <dxf>
      <font>
        <b/>
        <i val="0"/>
        <condense val="0"/>
        <extend val="0"/>
        <color indexed="9"/>
      </font>
      <fill>
        <patternFill>
          <bgColor indexed="58"/>
        </patternFill>
      </fill>
    </dxf>
    <dxf>
      <font>
        <b/>
        <i val="0"/>
        <condense val="0"/>
        <extend val="0"/>
        <color indexed="9"/>
      </font>
      <fill>
        <patternFill>
          <bgColor indexed="17"/>
        </patternFill>
      </fill>
    </dxf>
    <dxf>
      <font>
        <color rgb="FFFF0000"/>
      </font>
    </dxf>
    <dxf>
      <font>
        <color rgb="FFFF0000"/>
      </font>
    </dxf>
    <dxf>
      <font>
        <b/>
        <i val="0"/>
        <condense val="0"/>
        <extend val="0"/>
      </font>
      <fill>
        <patternFill>
          <bgColor indexed="51"/>
        </patternFill>
      </fill>
    </dxf>
    <dxf>
      <font>
        <b/>
        <i val="0"/>
        <condense val="0"/>
        <extend val="0"/>
        <color indexed="9"/>
      </font>
      <fill>
        <patternFill>
          <bgColor indexed="58"/>
        </patternFill>
      </fill>
    </dxf>
    <dxf>
      <font>
        <b/>
        <i val="0"/>
        <condense val="0"/>
        <extend val="0"/>
        <color indexed="9"/>
      </font>
      <fill>
        <patternFill>
          <bgColor indexed="17"/>
        </patternFill>
      </fill>
    </dxf>
    <dxf>
      <font>
        <condense val="0"/>
        <extend val="0"/>
        <color indexed="9"/>
      </font>
      <fill>
        <patternFill>
          <bgColor indexed="58"/>
        </patternFill>
      </fill>
    </dxf>
    <dxf>
      <font>
        <condense val="0"/>
        <extend val="0"/>
        <color indexed="63"/>
      </font>
      <fill>
        <patternFill>
          <bgColor indexed="17"/>
        </patternFill>
      </fill>
    </dxf>
    <dxf>
      <font>
        <b/>
        <i val="0"/>
        <condense val="0"/>
        <extend val="0"/>
      </font>
      <fill>
        <patternFill>
          <bgColor indexed="51"/>
        </patternFill>
      </fill>
    </dxf>
    <dxf>
      <font>
        <b/>
        <i val="0"/>
        <condense val="0"/>
        <extend val="0"/>
        <color indexed="9"/>
      </font>
      <fill>
        <patternFill>
          <bgColor indexed="58"/>
        </patternFill>
      </fill>
    </dxf>
    <dxf>
      <font>
        <b/>
        <i val="0"/>
        <condense val="0"/>
        <extend val="0"/>
        <color indexed="9"/>
      </font>
      <fill>
        <patternFill>
          <bgColor indexed="17"/>
        </patternFill>
      </fill>
    </dxf>
    <dxf>
      <font>
        <color rgb="FF006100"/>
      </font>
      <fill>
        <patternFill>
          <bgColor rgb="FFC6EFCE"/>
        </patternFill>
      </fill>
    </dxf>
    <dxf>
      <font>
        <color rgb="FFFF0000"/>
      </font>
    </dxf>
    <dxf>
      <font>
        <color rgb="FFFF0000"/>
      </font>
    </dxf>
    <dxf>
      <font>
        <b/>
        <i val="0"/>
        <condense val="0"/>
        <extend val="0"/>
      </font>
      <fill>
        <patternFill>
          <bgColor indexed="51"/>
        </patternFill>
      </fill>
    </dxf>
    <dxf>
      <font>
        <b/>
        <i val="0"/>
        <condense val="0"/>
        <extend val="0"/>
        <color indexed="9"/>
      </font>
      <fill>
        <patternFill>
          <bgColor indexed="58"/>
        </patternFill>
      </fill>
    </dxf>
    <dxf>
      <font>
        <b/>
        <i val="0"/>
        <condense val="0"/>
        <extend val="0"/>
        <color indexed="9"/>
      </font>
      <fill>
        <patternFill>
          <bgColor indexed="17"/>
        </patternFill>
      </fill>
    </dxf>
    <dxf>
      <font>
        <b/>
        <i val="0"/>
        <condense val="0"/>
        <extend val="0"/>
      </font>
      <fill>
        <patternFill>
          <bgColor indexed="51"/>
        </patternFill>
      </fill>
    </dxf>
    <dxf>
      <font>
        <b/>
        <i val="0"/>
        <condense val="0"/>
        <extend val="0"/>
        <color indexed="9"/>
      </font>
      <fill>
        <patternFill>
          <bgColor indexed="58"/>
        </patternFill>
      </fill>
    </dxf>
    <dxf>
      <font>
        <b/>
        <i val="0"/>
        <condense val="0"/>
        <extend val="0"/>
        <color indexed="9"/>
      </font>
      <fill>
        <patternFill>
          <bgColor indexed="17"/>
        </patternFill>
      </fill>
    </dxf>
    <dxf>
      <font>
        <b/>
        <i val="0"/>
        <condense val="0"/>
        <extend val="0"/>
      </font>
      <fill>
        <patternFill>
          <bgColor indexed="51"/>
        </patternFill>
      </fill>
    </dxf>
    <dxf>
      <font>
        <b/>
        <i val="0"/>
        <condense val="0"/>
        <extend val="0"/>
        <color indexed="9"/>
      </font>
      <fill>
        <patternFill>
          <bgColor indexed="58"/>
        </patternFill>
      </fill>
    </dxf>
    <dxf>
      <font>
        <b/>
        <i val="0"/>
        <condense val="0"/>
        <extend val="0"/>
        <color indexed="9"/>
      </font>
      <fill>
        <patternFill>
          <bgColor indexed="17"/>
        </patternFill>
      </fill>
    </dxf>
    <dxf>
      <font>
        <color rgb="FFFF0000"/>
      </font>
    </dxf>
    <dxf>
      <font>
        <color rgb="FFFF0000"/>
      </font>
    </dxf>
    <dxf>
      <font>
        <color rgb="FFFF0000"/>
      </font>
    </dxf>
    <dxf>
      <font>
        <color rgb="FFFF0000"/>
      </font>
    </dxf>
    <dxf>
      <font>
        <color rgb="FFFF0000"/>
      </font>
    </dxf>
    <dxf>
      <fill>
        <patternFill>
          <bgColor indexed="51"/>
        </patternFill>
      </fill>
    </dxf>
    <dxf>
      <font>
        <condense val="0"/>
        <extend val="0"/>
        <color indexed="9"/>
      </font>
      <fill>
        <patternFill>
          <bgColor indexed="17"/>
        </patternFill>
      </fill>
    </dxf>
    <dxf>
      <font>
        <condense val="0"/>
        <extend val="0"/>
        <color indexed="9"/>
      </font>
      <fill>
        <patternFill>
          <bgColor indexed="58"/>
        </patternFill>
      </fill>
    </dxf>
    <dxf>
      <font>
        <b/>
        <i val="0"/>
        <condense val="0"/>
        <extend val="0"/>
      </font>
      <fill>
        <patternFill>
          <bgColor indexed="41"/>
        </patternFill>
      </fill>
    </dxf>
    <dxf>
      <font>
        <b/>
        <i val="0"/>
        <condense val="0"/>
        <extend val="0"/>
      </font>
      <fill>
        <patternFill>
          <bgColor indexed="10"/>
        </patternFill>
      </fill>
    </dxf>
    <dxf>
      <font>
        <b/>
        <i val="0"/>
        <condense val="0"/>
        <extend val="0"/>
      </font>
      <fill>
        <patternFill>
          <bgColor indexed="42"/>
        </patternFill>
      </fill>
    </dxf>
    <dxf>
      <fill>
        <patternFill>
          <bgColor indexed="51"/>
        </patternFill>
      </fill>
    </dxf>
    <dxf>
      <font>
        <condense val="0"/>
        <extend val="0"/>
        <color indexed="9"/>
      </font>
      <fill>
        <patternFill>
          <bgColor indexed="17"/>
        </patternFill>
      </fill>
    </dxf>
    <dxf>
      <font>
        <condense val="0"/>
        <extend val="0"/>
        <color indexed="9"/>
      </font>
      <fill>
        <patternFill>
          <bgColor indexed="58"/>
        </patternFill>
      </fill>
    </dxf>
    <dxf>
      <font>
        <b/>
        <i val="0"/>
        <condense val="0"/>
        <extend val="0"/>
      </font>
      <fill>
        <patternFill>
          <bgColor indexed="41"/>
        </patternFill>
      </fill>
    </dxf>
    <dxf>
      <font>
        <b/>
        <i val="0"/>
        <condense val="0"/>
        <extend val="0"/>
      </font>
      <fill>
        <patternFill>
          <bgColor indexed="10"/>
        </patternFill>
      </fill>
    </dxf>
    <dxf>
      <font>
        <b/>
        <i val="0"/>
        <condense val="0"/>
        <extend val="0"/>
      </font>
      <fill>
        <patternFill>
          <bgColor indexed="42"/>
        </patternFill>
      </fill>
    </dxf>
    <dxf>
      <font>
        <color rgb="FF9C0006"/>
      </font>
      <fill>
        <patternFill patternType="solid">
          <bgColor theme="0" tint="-4.9989318521683403E-2"/>
        </patternFill>
      </fill>
    </dxf>
    <dxf>
      <font>
        <color rgb="FF006100"/>
      </font>
      <fill>
        <patternFill>
          <bgColor rgb="FFC6EFCE"/>
        </patternFill>
      </fill>
    </dxf>
    <dxf>
      <font>
        <color rgb="FFFF0000"/>
      </font>
    </dxf>
    <dxf>
      <font>
        <color rgb="FFFF0000"/>
      </font>
    </dxf>
    <dxf>
      <font>
        <color theme="8"/>
      </font>
    </dxf>
    <dxf>
      <font>
        <color rgb="FF006100"/>
      </font>
      <fill>
        <patternFill>
          <bgColor rgb="FFC6EFCE"/>
        </patternFill>
      </fill>
    </dxf>
    <dxf>
      <font>
        <color rgb="FFFF0000"/>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auto="1"/>
      </font>
      <fill>
        <patternFill>
          <bgColor theme="5" tint="0.79998168889431442"/>
        </patternFill>
      </fill>
    </dxf>
    <dxf>
      <font>
        <color rgb="FF006100"/>
      </font>
      <fill>
        <patternFill>
          <bgColor rgb="FFC6EFCE"/>
        </patternFill>
      </fill>
    </dxf>
    <dxf>
      <font>
        <color rgb="FFFF0000"/>
      </font>
    </dxf>
    <dxf>
      <font>
        <color rgb="FF006100"/>
      </font>
      <fill>
        <patternFill>
          <bgColor rgb="FFC6EFCE"/>
        </patternFill>
      </fill>
    </dxf>
    <dxf>
      <font>
        <color rgb="FFFF0000"/>
      </font>
    </dxf>
    <dxf>
      <font>
        <color rgb="FF006100"/>
      </font>
      <fill>
        <patternFill>
          <bgColor rgb="FFC6EFCE"/>
        </patternFill>
      </fill>
    </dxf>
    <dxf>
      <font>
        <color rgb="FF9C0006"/>
      </font>
      <fill>
        <patternFill>
          <bgColor rgb="FFFFC7CE"/>
        </patternFill>
      </fill>
    </dxf>
    <dxf>
      <font>
        <color rgb="FFFF0000"/>
      </font>
    </dxf>
    <dxf>
      <font>
        <color theme="8" tint="-0.24994659260841701"/>
      </font>
    </dxf>
    <dxf>
      <font>
        <color rgb="FFFF0000"/>
      </font>
    </dxf>
    <dxf>
      <font>
        <color rgb="FF006100"/>
      </font>
      <fill>
        <patternFill>
          <bgColor rgb="FFC6EFCE"/>
        </patternFill>
      </fill>
    </dxf>
    <dxf>
      <font>
        <color rgb="FF9C0006"/>
      </font>
      <fill>
        <patternFill>
          <bgColor rgb="FFFFC7CE"/>
        </patternFill>
      </fill>
    </dxf>
    <dxf>
      <font>
        <color rgb="FFFF0000"/>
      </font>
    </dxf>
    <dxf>
      <font>
        <color theme="8" tint="-0.24994659260841701"/>
      </font>
    </dxf>
    <dxf>
      <font>
        <color rgb="FFFF0000"/>
      </font>
    </dxf>
    <dxf>
      <font>
        <color rgb="FF006100"/>
      </font>
      <fill>
        <patternFill>
          <bgColor rgb="FFC6EFCE"/>
        </patternFill>
      </fill>
    </dxf>
    <dxf>
      <font>
        <color rgb="FFFF0000"/>
      </font>
    </dxf>
    <dxf>
      <font>
        <color theme="0"/>
      </font>
      <fill>
        <patternFill>
          <bgColor theme="0"/>
        </patternFill>
      </fill>
    </dxf>
    <dxf>
      <font>
        <color auto="1"/>
      </font>
    </dxf>
    <dxf>
      <font>
        <color theme="0"/>
      </font>
      <fill>
        <patternFill>
          <bgColor theme="0"/>
        </patternFill>
      </fill>
    </dxf>
    <dxf>
      <font>
        <color auto="1"/>
      </font>
    </dxf>
    <dxf>
      <font>
        <color theme="0"/>
      </font>
      <fill>
        <patternFill>
          <bgColor theme="0"/>
        </patternFill>
      </fill>
    </dxf>
    <dxf>
      <font>
        <color auto="1"/>
      </font>
    </dxf>
    <dxf>
      <font>
        <color theme="0"/>
      </font>
      <fill>
        <patternFill>
          <bgColor theme="0"/>
        </patternFill>
      </fill>
    </dxf>
    <dxf>
      <font>
        <color auto="1"/>
      </font>
    </dxf>
    <dxf>
      <fill>
        <patternFill patternType="solid">
          <bgColor theme="9" tint="0.39994506668294322"/>
        </patternFill>
      </fill>
    </dxf>
    <dxf>
      <fill>
        <patternFill>
          <bgColor rgb="FFFFFF99"/>
        </patternFill>
      </fill>
    </dxf>
    <dxf>
      <fill>
        <patternFill>
          <bgColor theme="6" tint="0.59996337778862885"/>
        </patternFill>
      </fill>
    </dxf>
    <dxf>
      <fill>
        <patternFill>
          <bgColor theme="4" tint="0.59996337778862885"/>
        </patternFill>
      </fill>
    </dxf>
    <dxf>
      <fill>
        <patternFill patternType="solid">
          <bgColor theme="9" tint="0.39994506668294322"/>
        </patternFill>
      </fill>
    </dxf>
    <dxf>
      <fill>
        <patternFill>
          <bgColor rgb="FFFFFF99"/>
        </patternFill>
      </fill>
    </dxf>
    <dxf>
      <fill>
        <patternFill>
          <bgColor theme="6" tint="0.59996337778862885"/>
        </patternFill>
      </fill>
    </dxf>
    <dxf>
      <fill>
        <patternFill>
          <bgColor theme="4" tint="0.59996337778862885"/>
        </patternFill>
      </fill>
    </dxf>
    <dxf>
      <fill>
        <patternFill patternType="solid">
          <bgColor theme="9" tint="0.39994506668294322"/>
        </patternFill>
      </fill>
    </dxf>
    <dxf>
      <fill>
        <patternFill>
          <bgColor rgb="FFFFFF99"/>
        </patternFill>
      </fill>
    </dxf>
    <dxf>
      <fill>
        <patternFill>
          <bgColor theme="6" tint="0.59996337778862885"/>
        </patternFill>
      </fill>
    </dxf>
    <dxf>
      <fill>
        <patternFill>
          <bgColor theme="4" tint="0.59996337778862885"/>
        </patternFill>
      </fill>
    </dxf>
    <dxf>
      <fill>
        <patternFill patternType="solid">
          <bgColor theme="9" tint="0.39994506668294322"/>
        </patternFill>
      </fill>
    </dxf>
    <dxf>
      <fill>
        <patternFill>
          <bgColor rgb="FFFFFF99"/>
        </patternFill>
      </fill>
    </dxf>
    <dxf>
      <fill>
        <patternFill>
          <bgColor theme="6" tint="0.59996337778862885"/>
        </patternFill>
      </fill>
    </dxf>
    <dxf>
      <fill>
        <patternFill>
          <bgColor theme="4" tint="0.59996337778862885"/>
        </patternFill>
      </fill>
    </dxf>
    <dxf>
      <fill>
        <patternFill patternType="solid">
          <bgColor theme="9" tint="0.39994506668294322"/>
        </patternFill>
      </fill>
    </dxf>
    <dxf>
      <fill>
        <patternFill>
          <bgColor rgb="FFFFFF99"/>
        </patternFill>
      </fill>
    </dxf>
    <dxf>
      <fill>
        <patternFill>
          <bgColor theme="6" tint="0.59996337778862885"/>
        </patternFill>
      </fill>
    </dxf>
    <dxf>
      <fill>
        <patternFill>
          <bgColor theme="4" tint="0.5999633777886288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FF0000"/>
      </font>
    </dxf>
    <dxf>
      <font>
        <color rgb="FF006100"/>
      </font>
      <fill>
        <patternFill>
          <bgColor rgb="FFC6EFCE"/>
        </patternFill>
      </fill>
    </dxf>
    <dxf>
      <font>
        <color rgb="FFFF0000"/>
      </font>
    </dxf>
    <dxf>
      <font>
        <color rgb="FF006100"/>
      </font>
      <fill>
        <patternFill>
          <bgColor rgb="FFC6EFCE"/>
        </patternFill>
      </fill>
    </dxf>
    <dxf>
      <font>
        <color rgb="FFFF0000"/>
      </font>
    </dxf>
    <dxf>
      <font>
        <color rgb="FF006100"/>
      </font>
      <fill>
        <patternFill>
          <bgColor rgb="FFC6EFCE"/>
        </patternFill>
      </fill>
    </dxf>
    <dxf>
      <font>
        <color rgb="FFFF0000"/>
      </font>
    </dxf>
    <dxf>
      <font>
        <color rgb="FF006100"/>
      </font>
      <fill>
        <patternFill>
          <bgColor rgb="FFC6EFCE"/>
        </patternFill>
      </fill>
    </dxf>
    <dxf>
      <font>
        <color rgb="FFFF0000"/>
      </font>
    </dxf>
    <dxf>
      <font>
        <color rgb="FF006100"/>
      </font>
      <fill>
        <patternFill>
          <bgColor rgb="FFC6EFCE"/>
        </patternFill>
      </fill>
    </dxf>
    <dxf>
      <font>
        <color rgb="FFFF0000"/>
      </font>
    </dxf>
    <dxf>
      <font>
        <color rgb="FF006100"/>
      </font>
      <fill>
        <patternFill>
          <bgColor rgb="FFC6EFCE"/>
        </patternFill>
      </fill>
    </dxf>
    <dxf>
      <font>
        <color rgb="FFFF0000"/>
      </font>
    </dxf>
    <dxf>
      <font>
        <color rgb="FF006100"/>
      </font>
      <fill>
        <patternFill>
          <bgColor rgb="FFC6EFCE"/>
        </patternFill>
      </fill>
    </dxf>
    <dxf>
      <font>
        <color rgb="FFFF0000"/>
      </font>
    </dxf>
    <dxf>
      <font>
        <color rgb="FF006100"/>
      </font>
      <fill>
        <patternFill>
          <bgColor rgb="FFC6EFCE"/>
        </patternFill>
      </fill>
    </dxf>
    <dxf>
      <font>
        <color rgb="FFFF0000"/>
      </font>
    </dxf>
    <dxf>
      <font>
        <color rgb="FF006100"/>
      </font>
      <fill>
        <patternFill>
          <bgColor rgb="FFC6EFCE"/>
        </patternFill>
      </fill>
    </dxf>
    <dxf>
      <font>
        <color rgb="FFFF0000"/>
      </font>
    </dxf>
    <dxf>
      <font>
        <color rgb="FF006100"/>
      </font>
      <fill>
        <patternFill>
          <bgColor rgb="FFC6EFCE"/>
        </patternFill>
      </fill>
    </dxf>
    <dxf>
      <font>
        <color rgb="FFFF0000"/>
      </font>
    </dxf>
    <dxf>
      <font>
        <color rgb="FF006100"/>
      </font>
      <fill>
        <patternFill>
          <bgColor rgb="FFC6EFCE"/>
        </patternFill>
      </fill>
    </dxf>
    <dxf>
      <font>
        <color rgb="FFFF0000"/>
      </font>
    </dxf>
    <dxf>
      <font>
        <color rgb="FF006100"/>
      </font>
      <fill>
        <patternFill>
          <bgColor rgb="FFC6EFCE"/>
        </patternFill>
      </fill>
    </dxf>
    <dxf>
      <font>
        <color rgb="FFFF0000"/>
      </font>
    </dxf>
    <dxf>
      <font>
        <color rgb="FF006100"/>
      </font>
      <fill>
        <patternFill>
          <bgColor rgb="FFC6EFCE"/>
        </patternFill>
      </fill>
    </dxf>
    <dxf>
      <font>
        <color rgb="FFFF000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C0C0C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993366"/>
      <rgbColor rgb="00339966"/>
      <rgbColor rgb="00CB2840"/>
      <rgbColor rgb="00007767"/>
      <rgbColor rgb="000069B3"/>
      <rgbColor rgb="00993366"/>
      <rgbColor rgb="00FFFF78"/>
      <rgbColor rgb="00FFFFFF"/>
    </indexedColors>
    <mruColors>
      <color rgb="FFABC674"/>
      <color rgb="FFFFCCFF"/>
      <color rgb="FF97BAE5"/>
      <color rgb="FF3399FF"/>
      <color rgb="FF0000FF"/>
      <color rgb="FFDBE6C4"/>
      <color rgb="FF99CCFF"/>
      <color rgb="FF00CC00"/>
      <color rgb="FFCCFF66"/>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sheetMetadata" Target="metadata.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styles" Target="styles.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haredStrings" Target="sharedStrings.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Revenue</a:t>
            </a:r>
            <a:r>
              <a:rPr lang="en-AU" baseline="0"/>
              <a:t> requirement ($m)</a:t>
            </a:r>
            <a:endParaRPr lang="en-AU"/>
          </a:p>
        </c:rich>
      </c:tx>
      <c:overlay val="0"/>
    </c:title>
    <c:autoTitleDeleted val="0"/>
    <c:plotArea>
      <c:layout/>
      <c:barChart>
        <c:barDir val="col"/>
        <c:grouping val="clustered"/>
        <c:varyColors val="0"/>
        <c:ser>
          <c:idx val="0"/>
          <c:order val="0"/>
          <c:tx>
            <c:strRef>
              <c:f>'Dashboard - Data'!$C$9</c:f>
              <c:strCache>
                <c:ptCount val="1"/>
                <c:pt idx="0">
                  <c:v>Values</c:v>
                </c:pt>
              </c:strCache>
            </c:strRef>
          </c:tx>
          <c:spPr>
            <a:solidFill>
              <a:schemeClr val="accent1">
                <a:lumMod val="40000"/>
                <a:lumOff val="60000"/>
              </a:schemeClr>
            </a:solidFill>
          </c:spPr>
          <c:invertIfNegative val="0"/>
          <c:cat>
            <c:multiLvlStrRef>
              <c:f>'Dashboard - Data'!$D$7:$R$8</c:f>
              <c:multiLvlStrCache>
                <c:ptCount val="15"/>
                <c:lvl>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lvl>
                <c:lvl>
                  <c:pt idx="0">
                    <c:v>FIFTH REG PERIOD</c:v>
                  </c:pt>
                  <c:pt idx="5">
                    <c:v>SIXTH REG PERIOD</c:v>
                  </c:pt>
                  <c:pt idx="10">
                    <c:v>SEVENTH REG PERIOD</c:v>
                  </c:pt>
                </c:lvl>
              </c:multiLvlStrCache>
            </c:multiLvlStrRef>
          </c:cat>
          <c:val>
            <c:numRef>
              <c:f>'Dashboard - Data'!$D$9:$R$9</c:f>
              <c:numCache>
                <c:formatCode>#,##0.00</c:formatCode>
                <c:ptCount val="15"/>
                <c:pt idx="0">
                  <c:v>1858.5664789427162</c:v>
                </c:pt>
                <c:pt idx="1">
                  <c:v>1893.0493600804243</c:v>
                </c:pt>
                <c:pt idx="2">
                  <c:v>1925.145146714148</c:v>
                </c:pt>
                <c:pt idx="3">
                  <c:v>1940.8329096597854</c:v>
                </c:pt>
                <c:pt idx="4">
                  <c:v>1958.4335203749017</c:v>
                </c:pt>
                <c:pt idx="5">
                  <c:v>1929.643416118794</c:v>
                </c:pt>
                <c:pt idx="6">
                  <c:v>1983.0288928167606</c:v>
                </c:pt>
                <c:pt idx="7">
                  <c:v>2046.3168200095809</c:v>
                </c:pt>
                <c:pt idx="8">
                  <c:v>2066.00886448548</c:v>
                </c:pt>
                <c:pt idx="9">
                  <c:v>2107.3949994914656</c:v>
                </c:pt>
                <c:pt idx="10">
                  <c:v>2174.3164651308389</c:v>
                </c:pt>
                <c:pt idx="11">
                  <c:v>2253.6926450828537</c:v>
                </c:pt>
                <c:pt idx="12">
                  <c:v>2275.4042948123283</c:v>
                </c:pt>
                <c:pt idx="13">
                  <c:v>2312.3961382469506</c:v>
                </c:pt>
                <c:pt idx="14">
                  <c:v>2359.6732068373431</c:v>
                </c:pt>
              </c:numCache>
            </c:numRef>
          </c:val>
          <c:extLst>
            <c:ext xmlns:c16="http://schemas.microsoft.com/office/drawing/2014/chart" uri="{C3380CC4-5D6E-409C-BE32-E72D297353CC}">
              <c16:uniqueId val="{00000000-3682-4B56-B42B-8E1D298B1FCD}"/>
            </c:ext>
          </c:extLst>
        </c:ser>
        <c:dLbls>
          <c:showLegendKey val="0"/>
          <c:showVal val="0"/>
          <c:showCatName val="0"/>
          <c:showSerName val="0"/>
          <c:showPercent val="0"/>
          <c:showBubbleSize val="0"/>
        </c:dLbls>
        <c:gapWidth val="75"/>
        <c:overlap val="-25"/>
        <c:axId val="209237504"/>
        <c:axId val="209239040"/>
      </c:barChart>
      <c:lineChart>
        <c:grouping val="standard"/>
        <c:varyColors val="0"/>
        <c:ser>
          <c:idx val="1"/>
          <c:order val="1"/>
          <c:tx>
            <c:strRef>
              <c:f>'Dashboard - Data'!$C$10</c:f>
              <c:strCache>
                <c:ptCount val="1"/>
                <c:pt idx="0">
                  <c:v>Reg period average</c:v>
                </c:pt>
              </c:strCache>
            </c:strRef>
          </c:tx>
          <c:spPr>
            <a:ln>
              <a:solidFill>
                <a:schemeClr val="tx1"/>
              </a:solidFill>
            </a:ln>
          </c:spPr>
          <c:marker>
            <c:symbol val="none"/>
          </c:marker>
          <c:cat>
            <c:multiLvlStrRef>
              <c:f>'Dashboard - Data'!$D$7:$R$8</c:f>
              <c:multiLvlStrCache>
                <c:ptCount val="15"/>
                <c:lvl>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lvl>
                <c:lvl>
                  <c:pt idx="0">
                    <c:v>FIFTH REG PERIOD</c:v>
                  </c:pt>
                  <c:pt idx="5">
                    <c:v>SIXTH REG PERIOD</c:v>
                  </c:pt>
                  <c:pt idx="10">
                    <c:v>SEVENTH REG PERIOD</c:v>
                  </c:pt>
                </c:lvl>
              </c:multiLvlStrCache>
            </c:multiLvlStrRef>
          </c:cat>
          <c:val>
            <c:numRef>
              <c:f>'Dashboard - Data'!$D$10:$R$10</c:f>
              <c:numCache>
                <c:formatCode>#,##0.00</c:formatCode>
                <c:ptCount val="15"/>
                <c:pt idx="0">
                  <c:v>1915.2054831543951</c:v>
                </c:pt>
                <c:pt idx="1">
                  <c:v>1915.2054831543951</c:v>
                </c:pt>
                <c:pt idx="2">
                  <c:v>1915.2054831543951</c:v>
                </c:pt>
                <c:pt idx="3">
                  <c:v>1915.2054831543951</c:v>
                </c:pt>
                <c:pt idx="4">
                  <c:v>1915.2054831543951</c:v>
                </c:pt>
              </c:numCache>
            </c:numRef>
          </c:val>
          <c:smooth val="0"/>
          <c:extLst>
            <c:ext xmlns:c16="http://schemas.microsoft.com/office/drawing/2014/chart" uri="{C3380CC4-5D6E-409C-BE32-E72D297353CC}">
              <c16:uniqueId val="{00000001-3682-4B56-B42B-8E1D298B1FCD}"/>
            </c:ext>
          </c:extLst>
        </c:ser>
        <c:ser>
          <c:idx val="2"/>
          <c:order val="2"/>
          <c:tx>
            <c:strRef>
              <c:f>'Dashboard - Data'!$C$11</c:f>
              <c:strCache>
                <c:ptCount val="1"/>
                <c:pt idx="0">
                  <c:v>Reg period average</c:v>
                </c:pt>
              </c:strCache>
            </c:strRef>
          </c:tx>
          <c:spPr>
            <a:ln>
              <a:solidFill>
                <a:schemeClr val="tx1"/>
              </a:solidFill>
            </a:ln>
          </c:spPr>
          <c:marker>
            <c:symbol val="none"/>
          </c:marker>
          <c:cat>
            <c:multiLvlStrRef>
              <c:f>'Dashboard - Data'!$D$7:$R$8</c:f>
              <c:multiLvlStrCache>
                <c:ptCount val="15"/>
                <c:lvl>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lvl>
                <c:lvl>
                  <c:pt idx="0">
                    <c:v>FIFTH REG PERIOD</c:v>
                  </c:pt>
                  <c:pt idx="5">
                    <c:v>SIXTH REG PERIOD</c:v>
                  </c:pt>
                  <c:pt idx="10">
                    <c:v>SEVENTH REG PERIOD</c:v>
                  </c:pt>
                </c:lvl>
              </c:multiLvlStrCache>
            </c:multiLvlStrRef>
          </c:cat>
          <c:val>
            <c:numRef>
              <c:f>'Dashboard - Data'!$D$11:$R$11</c:f>
              <c:numCache>
                <c:formatCode>General</c:formatCode>
                <c:ptCount val="15"/>
                <c:pt idx="5" formatCode="#,##0.00">
                  <c:v>2026.4785985844162</c:v>
                </c:pt>
                <c:pt idx="6" formatCode="#,##0.00">
                  <c:v>2026.4785985844162</c:v>
                </c:pt>
                <c:pt idx="7" formatCode="#,##0.00">
                  <c:v>2026.4785985844162</c:v>
                </c:pt>
                <c:pt idx="8" formatCode="#,##0.00">
                  <c:v>2026.4785985844162</c:v>
                </c:pt>
                <c:pt idx="9" formatCode="#,##0.00">
                  <c:v>2026.4785985844162</c:v>
                </c:pt>
              </c:numCache>
            </c:numRef>
          </c:val>
          <c:smooth val="0"/>
          <c:extLst>
            <c:ext xmlns:c16="http://schemas.microsoft.com/office/drawing/2014/chart" uri="{C3380CC4-5D6E-409C-BE32-E72D297353CC}">
              <c16:uniqueId val="{00000002-3682-4B56-B42B-8E1D298B1FCD}"/>
            </c:ext>
          </c:extLst>
        </c:ser>
        <c:ser>
          <c:idx val="3"/>
          <c:order val="3"/>
          <c:tx>
            <c:strRef>
              <c:f>'Dashboard - Data'!$C$12</c:f>
              <c:strCache>
                <c:ptCount val="1"/>
                <c:pt idx="0">
                  <c:v>Reg period average</c:v>
                </c:pt>
              </c:strCache>
            </c:strRef>
          </c:tx>
          <c:spPr>
            <a:ln>
              <a:solidFill>
                <a:schemeClr val="tx1"/>
              </a:solidFill>
            </a:ln>
          </c:spPr>
          <c:marker>
            <c:symbol val="none"/>
          </c:marker>
          <c:cat>
            <c:multiLvlStrRef>
              <c:f>'Dashboard - Data'!$D$7:$R$8</c:f>
              <c:multiLvlStrCache>
                <c:ptCount val="15"/>
                <c:lvl>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lvl>
                <c:lvl>
                  <c:pt idx="0">
                    <c:v>FIFTH REG PERIOD</c:v>
                  </c:pt>
                  <c:pt idx="5">
                    <c:v>SIXTH REG PERIOD</c:v>
                  </c:pt>
                  <c:pt idx="10">
                    <c:v>SEVENTH REG PERIOD</c:v>
                  </c:pt>
                </c:lvl>
              </c:multiLvlStrCache>
            </c:multiLvlStrRef>
          </c:cat>
          <c:val>
            <c:numRef>
              <c:f>'Dashboard - Data'!$D$12:$R$12</c:f>
              <c:numCache>
                <c:formatCode>General</c:formatCode>
                <c:ptCount val="15"/>
                <c:pt idx="10" formatCode="#,##0.00">
                  <c:v>2275.0965500220627</c:v>
                </c:pt>
                <c:pt idx="11" formatCode="#,##0.00">
                  <c:v>2275.0965500220627</c:v>
                </c:pt>
                <c:pt idx="12" formatCode="#,##0.00">
                  <c:v>2275.0965500220627</c:v>
                </c:pt>
                <c:pt idx="13" formatCode="#,##0.00">
                  <c:v>2275.0965500220627</c:v>
                </c:pt>
                <c:pt idx="14" formatCode="#,##0.00">
                  <c:v>2275.0965500220627</c:v>
                </c:pt>
              </c:numCache>
            </c:numRef>
          </c:val>
          <c:smooth val="0"/>
          <c:extLst>
            <c:ext xmlns:c16="http://schemas.microsoft.com/office/drawing/2014/chart" uri="{C3380CC4-5D6E-409C-BE32-E72D297353CC}">
              <c16:uniqueId val="{00000003-3682-4B56-B42B-8E1D298B1FCD}"/>
            </c:ext>
          </c:extLst>
        </c:ser>
        <c:ser>
          <c:idx val="4"/>
          <c:order val="4"/>
          <c:tx>
            <c:strRef>
              <c:f>'Dashboard - Data'!$C$13</c:f>
              <c:strCache>
                <c:ptCount val="1"/>
              </c:strCache>
            </c:strRef>
          </c:tx>
          <c:spPr>
            <a:ln>
              <a:solidFill>
                <a:schemeClr val="tx1"/>
              </a:solidFill>
            </a:ln>
          </c:spPr>
          <c:marker>
            <c:symbol val="none"/>
          </c:marker>
          <c:cat>
            <c:multiLvlStrRef>
              <c:f>'Dashboard - Data'!$D$7:$R$8</c:f>
              <c:multiLvlStrCache>
                <c:ptCount val="15"/>
                <c:lvl>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lvl>
                <c:lvl>
                  <c:pt idx="0">
                    <c:v>FIFTH REG PERIOD</c:v>
                  </c:pt>
                  <c:pt idx="5">
                    <c:v>SIXTH REG PERIOD</c:v>
                  </c:pt>
                  <c:pt idx="10">
                    <c:v>SEVENTH REG PERIOD</c:v>
                  </c:pt>
                </c:lvl>
              </c:multiLvlStrCache>
            </c:multiLvlStrRef>
          </c:cat>
          <c:val>
            <c:numRef>
              <c:f>'Dashboard - Data'!$D$13:$R$13</c:f>
              <c:numCache>
                <c:formatCode>General</c:formatCode>
                <c:ptCount val="15"/>
              </c:numCache>
            </c:numRef>
          </c:val>
          <c:smooth val="0"/>
          <c:extLst>
            <c:ext xmlns:c16="http://schemas.microsoft.com/office/drawing/2014/chart" uri="{C3380CC4-5D6E-409C-BE32-E72D297353CC}">
              <c16:uniqueId val="{00000004-3682-4B56-B42B-8E1D298B1FCD}"/>
            </c:ext>
          </c:extLst>
        </c:ser>
        <c:dLbls>
          <c:showLegendKey val="0"/>
          <c:showVal val="0"/>
          <c:showCatName val="0"/>
          <c:showSerName val="0"/>
          <c:showPercent val="0"/>
          <c:showBubbleSize val="0"/>
        </c:dLbls>
        <c:marker val="1"/>
        <c:smooth val="0"/>
        <c:axId val="209237504"/>
        <c:axId val="209239040"/>
      </c:lineChart>
      <c:catAx>
        <c:axId val="209237504"/>
        <c:scaling>
          <c:orientation val="minMax"/>
        </c:scaling>
        <c:delete val="0"/>
        <c:axPos val="b"/>
        <c:numFmt formatCode="General" sourceLinked="0"/>
        <c:majorTickMark val="none"/>
        <c:minorTickMark val="none"/>
        <c:tickLblPos val="nextTo"/>
        <c:crossAx val="209239040"/>
        <c:crosses val="autoZero"/>
        <c:auto val="1"/>
        <c:lblAlgn val="ctr"/>
        <c:lblOffset val="100"/>
        <c:noMultiLvlLbl val="0"/>
      </c:catAx>
      <c:valAx>
        <c:axId val="209239040"/>
        <c:scaling>
          <c:orientation val="minMax"/>
        </c:scaling>
        <c:delete val="0"/>
        <c:axPos val="l"/>
        <c:majorGridlines/>
        <c:numFmt formatCode="#,##0" sourceLinked="0"/>
        <c:majorTickMark val="none"/>
        <c:minorTickMark val="none"/>
        <c:tickLblPos val="nextTo"/>
        <c:spPr>
          <a:ln w="9525">
            <a:noFill/>
          </a:ln>
        </c:spPr>
        <c:crossAx val="209237504"/>
        <c:crosses val="autoZero"/>
        <c:crossBetween val="between"/>
      </c:valAx>
    </c:plotArea>
    <c:legend>
      <c:legendPos val="b"/>
      <c:legendEntry>
        <c:idx val="0"/>
        <c:delete val="1"/>
      </c:legendEntry>
      <c:legendEntry>
        <c:idx val="1"/>
        <c:delete val="1"/>
      </c:legendEntry>
      <c:legendEntry>
        <c:idx val="2"/>
        <c:delete val="1"/>
      </c:legendEntry>
      <c:legendEntry>
        <c:idx val="4"/>
        <c:delete val="1"/>
      </c:legendEntry>
      <c:layout>
        <c:manualLayout>
          <c:xMode val="edge"/>
          <c:yMode val="edge"/>
          <c:x val="0.37434906526254769"/>
          <c:y val="0.91425755225584382"/>
          <c:w val="0.24084259259259258"/>
          <c:h val="6.3792500000000002E-2"/>
        </c:manualLayout>
      </c:layout>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Forecast variations to baseline operating</a:t>
            </a:r>
            <a:r>
              <a:rPr lang="en-AU" baseline="0"/>
              <a:t> </a:t>
            </a:r>
            <a:r>
              <a:rPr lang="en-AU"/>
              <a:t>expenditure ($m)</a:t>
            </a:r>
          </a:p>
        </c:rich>
      </c:tx>
      <c:layout>
        <c:manualLayout>
          <c:xMode val="edge"/>
          <c:yMode val="edge"/>
          <c:x val="0.18895061029196367"/>
          <c:y val="6.3414116580374734E-3"/>
        </c:manualLayout>
      </c:layout>
      <c:overlay val="0"/>
    </c:title>
    <c:autoTitleDeleted val="0"/>
    <c:plotArea>
      <c:layout>
        <c:manualLayout>
          <c:layoutTarget val="inner"/>
          <c:xMode val="edge"/>
          <c:yMode val="edge"/>
          <c:x val="5.053147375804605E-2"/>
          <c:y val="0.16833950013467727"/>
          <c:w val="0.92604116114260981"/>
          <c:h val="0.63511041510977717"/>
        </c:manualLayout>
      </c:layout>
      <c:barChart>
        <c:barDir val="col"/>
        <c:grouping val="stacked"/>
        <c:varyColors val="0"/>
        <c:ser>
          <c:idx val="0"/>
          <c:order val="0"/>
          <c:tx>
            <c:strRef>
              <c:f>'Dashboard - Data'!$C$47</c:f>
              <c:strCache>
                <c:ptCount val="1"/>
                <c:pt idx="0">
                  <c:v>Water</c:v>
                </c:pt>
              </c:strCache>
            </c:strRef>
          </c:tx>
          <c:invertIfNegative val="0"/>
          <c:cat>
            <c:strRef>
              <c:f>'Dashboard - Data'!$K$46:$R$46</c:f>
              <c:strCache>
                <c:ptCount val="8"/>
                <c:pt idx="0">
                  <c:v>2028-29</c:v>
                </c:pt>
                <c:pt idx="1">
                  <c:v>2029-30</c:v>
                </c:pt>
                <c:pt idx="2">
                  <c:v>2030-31</c:v>
                </c:pt>
                <c:pt idx="3">
                  <c:v>2031-32</c:v>
                </c:pt>
                <c:pt idx="4">
                  <c:v>2032-33</c:v>
                </c:pt>
                <c:pt idx="5">
                  <c:v>2033-34</c:v>
                </c:pt>
                <c:pt idx="6">
                  <c:v>2034-35</c:v>
                </c:pt>
                <c:pt idx="7">
                  <c:v>2035-36</c:v>
                </c:pt>
              </c:strCache>
            </c:strRef>
          </c:cat>
          <c:val>
            <c:numRef>
              <c:f>'Dashboard - Data'!$K$47:$R$47</c:f>
              <c:numCache>
                <c:formatCode>0.00</c:formatCode>
                <c:ptCount val="8"/>
                <c:pt idx="0">
                  <c:v>11.73667473297256</c:v>
                </c:pt>
                <c:pt idx="1">
                  <c:v>11.307612333448985</c:v>
                </c:pt>
                <c:pt idx="2">
                  <c:v>11.169129219653115</c:v>
                </c:pt>
                <c:pt idx="3">
                  <c:v>11.378299592550015</c:v>
                </c:pt>
                <c:pt idx="4">
                  <c:v>11.414136606361</c:v>
                </c:pt>
                <c:pt idx="5">
                  <c:v>11.494644825888731</c:v>
                </c:pt>
                <c:pt idx="6">
                  <c:v>11.340000999564415</c:v>
                </c:pt>
                <c:pt idx="7">
                  <c:v>11.006655104423096</c:v>
                </c:pt>
              </c:numCache>
            </c:numRef>
          </c:val>
          <c:extLst>
            <c:ext xmlns:c16="http://schemas.microsoft.com/office/drawing/2014/chart" uri="{C3380CC4-5D6E-409C-BE32-E72D297353CC}">
              <c16:uniqueId val="{00000000-100E-4129-851E-EE3387816CF6}"/>
            </c:ext>
          </c:extLst>
        </c:ser>
        <c:ser>
          <c:idx val="1"/>
          <c:order val="1"/>
          <c:tx>
            <c:strRef>
              <c:f>'Dashboard - Data'!$C$48</c:f>
              <c:strCache>
                <c:ptCount val="1"/>
                <c:pt idx="0">
                  <c:v>Sewerage</c:v>
                </c:pt>
              </c:strCache>
            </c:strRef>
          </c:tx>
          <c:spPr>
            <a:solidFill>
              <a:schemeClr val="tx2">
                <a:lumMod val="40000"/>
                <a:lumOff val="60000"/>
              </a:schemeClr>
            </a:solidFill>
          </c:spPr>
          <c:invertIfNegative val="0"/>
          <c:cat>
            <c:strRef>
              <c:f>'Dashboard - Data'!$K$46:$R$46</c:f>
              <c:strCache>
                <c:ptCount val="8"/>
                <c:pt idx="0">
                  <c:v>2028-29</c:v>
                </c:pt>
                <c:pt idx="1">
                  <c:v>2029-30</c:v>
                </c:pt>
                <c:pt idx="2">
                  <c:v>2030-31</c:v>
                </c:pt>
                <c:pt idx="3">
                  <c:v>2031-32</c:v>
                </c:pt>
                <c:pt idx="4">
                  <c:v>2032-33</c:v>
                </c:pt>
                <c:pt idx="5">
                  <c:v>2033-34</c:v>
                </c:pt>
                <c:pt idx="6">
                  <c:v>2034-35</c:v>
                </c:pt>
                <c:pt idx="7">
                  <c:v>2035-36</c:v>
                </c:pt>
              </c:strCache>
            </c:strRef>
          </c:cat>
          <c:val>
            <c:numRef>
              <c:f>'Dashboard - Data'!$K$48:$R$48</c:f>
              <c:numCache>
                <c:formatCode>0.00</c:formatCode>
                <c:ptCount val="8"/>
                <c:pt idx="0">
                  <c:v>21.890149366433693</c:v>
                </c:pt>
                <c:pt idx="1">
                  <c:v>26.532255644945398</c:v>
                </c:pt>
                <c:pt idx="2">
                  <c:v>27.607694022397059</c:v>
                </c:pt>
                <c:pt idx="3">
                  <c:v>27.298694839334747</c:v>
                </c:pt>
                <c:pt idx="4">
                  <c:v>27.033097256505823</c:v>
                </c:pt>
                <c:pt idx="5">
                  <c:v>26.350353935862795</c:v>
                </c:pt>
                <c:pt idx="6">
                  <c:v>27.816002209328882</c:v>
                </c:pt>
                <c:pt idx="7">
                  <c:v>26.371183992118898</c:v>
                </c:pt>
              </c:numCache>
            </c:numRef>
          </c:val>
          <c:extLst>
            <c:ext xmlns:c16="http://schemas.microsoft.com/office/drawing/2014/chart" uri="{C3380CC4-5D6E-409C-BE32-E72D297353CC}">
              <c16:uniqueId val="{00000001-100E-4129-851E-EE3387816CF6}"/>
            </c:ext>
          </c:extLst>
        </c:ser>
        <c:ser>
          <c:idx val="2"/>
          <c:order val="2"/>
          <c:tx>
            <c:strRef>
              <c:f>'Dashboard - Data'!$C$49</c:f>
              <c:strCache>
                <c:ptCount val="1"/>
                <c:pt idx="0">
                  <c:v>Recycled Water</c:v>
                </c:pt>
              </c:strCache>
            </c:strRef>
          </c:tx>
          <c:invertIfNegative val="0"/>
          <c:cat>
            <c:strRef>
              <c:f>'Dashboard - Data'!$K$46:$R$46</c:f>
              <c:strCache>
                <c:ptCount val="8"/>
                <c:pt idx="0">
                  <c:v>2028-29</c:v>
                </c:pt>
                <c:pt idx="1">
                  <c:v>2029-30</c:v>
                </c:pt>
                <c:pt idx="2">
                  <c:v>2030-31</c:v>
                </c:pt>
                <c:pt idx="3">
                  <c:v>2031-32</c:v>
                </c:pt>
                <c:pt idx="4">
                  <c:v>2032-33</c:v>
                </c:pt>
                <c:pt idx="5">
                  <c:v>2033-34</c:v>
                </c:pt>
                <c:pt idx="6">
                  <c:v>2034-35</c:v>
                </c:pt>
                <c:pt idx="7">
                  <c:v>2035-36</c:v>
                </c:pt>
              </c:strCache>
            </c:strRef>
          </c:cat>
          <c:val>
            <c:numRef>
              <c:f>'Dashboard - Data'!$K$49:$R$49</c:f>
              <c:numCache>
                <c:formatCode>0.00</c:formatCode>
                <c:ptCount val="8"/>
                <c:pt idx="0">
                  <c:v>6.9008521158827482E-2</c:v>
                </c:pt>
                <c:pt idx="1">
                  <c:v>3.7446658698747373E-2</c:v>
                </c:pt>
                <c:pt idx="2">
                  <c:v>3.4362969513279898E-2</c:v>
                </c:pt>
                <c:pt idx="3">
                  <c:v>3.5264766618044507E-2</c:v>
                </c:pt>
                <c:pt idx="4">
                  <c:v>3.5264766618044507E-2</c:v>
                </c:pt>
                <c:pt idx="5">
                  <c:v>3.5264766618044507E-2</c:v>
                </c:pt>
                <c:pt idx="6">
                  <c:v>3.5264766618044507E-2</c:v>
                </c:pt>
                <c:pt idx="7">
                  <c:v>3.5264766618044507E-2</c:v>
                </c:pt>
              </c:numCache>
            </c:numRef>
          </c:val>
          <c:extLst>
            <c:ext xmlns:c16="http://schemas.microsoft.com/office/drawing/2014/chart" uri="{C3380CC4-5D6E-409C-BE32-E72D297353CC}">
              <c16:uniqueId val="{00000002-100E-4129-851E-EE3387816CF6}"/>
            </c:ext>
          </c:extLst>
        </c:ser>
        <c:ser>
          <c:idx val="3"/>
          <c:order val="3"/>
          <c:tx>
            <c:strRef>
              <c:f>'Dashboard - Data'!$C$50</c:f>
              <c:strCache>
                <c:ptCount val="1"/>
                <c:pt idx="0">
                  <c:v>Rural water</c:v>
                </c:pt>
              </c:strCache>
            </c:strRef>
          </c:tx>
          <c:spPr>
            <a:solidFill>
              <a:schemeClr val="accent1">
                <a:lumMod val="40000"/>
                <a:lumOff val="60000"/>
              </a:schemeClr>
            </a:solidFill>
          </c:spPr>
          <c:invertIfNegative val="0"/>
          <c:cat>
            <c:strRef>
              <c:f>'Dashboard - Data'!$K$46:$R$46</c:f>
              <c:strCache>
                <c:ptCount val="8"/>
                <c:pt idx="0">
                  <c:v>2028-29</c:v>
                </c:pt>
                <c:pt idx="1">
                  <c:v>2029-30</c:v>
                </c:pt>
                <c:pt idx="2">
                  <c:v>2030-31</c:v>
                </c:pt>
                <c:pt idx="3">
                  <c:v>2031-32</c:v>
                </c:pt>
                <c:pt idx="4">
                  <c:v>2032-33</c:v>
                </c:pt>
                <c:pt idx="5">
                  <c:v>2033-34</c:v>
                </c:pt>
                <c:pt idx="6">
                  <c:v>2034-35</c:v>
                </c:pt>
                <c:pt idx="7">
                  <c:v>2035-36</c:v>
                </c:pt>
              </c:strCache>
            </c:strRef>
          </c:cat>
          <c:val>
            <c:numRef>
              <c:f>'Dashboard - Data'!$K$50:$R$50</c:f>
              <c:numCache>
                <c:formatCode>0.00</c:formatCode>
                <c:ptCount val="8"/>
                <c:pt idx="0">
                  <c:v>10.328864112794539</c:v>
                </c:pt>
                <c:pt idx="1">
                  <c:v>9.4475006866988771</c:v>
                </c:pt>
                <c:pt idx="2">
                  <c:v>9.4115698601261233</c:v>
                </c:pt>
                <c:pt idx="3">
                  <c:v>9.5791381090685732</c:v>
                </c:pt>
                <c:pt idx="4">
                  <c:v>9.4965997201420596</c:v>
                </c:pt>
                <c:pt idx="5">
                  <c:v>9.5052120768831969</c:v>
                </c:pt>
                <c:pt idx="6">
                  <c:v>9.5919295496613302</c:v>
                </c:pt>
                <c:pt idx="7">
                  <c:v>9.4852155313818649</c:v>
                </c:pt>
              </c:numCache>
            </c:numRef>
          </c:val>
          <c:extLst>
            <c:ext xmlns:c16="http://schemas.microsoft.com/office/drawing/2014/chart" uri="{C3380CC4-5D6E-409C-BE32-E72D297353CC}">
              <c16:uniqueId val="{00000003-100E-4129-851E-EE3387816CF6}"/>
            </c:ext>
          </c:extLst>
        </c:ser>
        <c:ser>
          <c:idx val="4"/>
          <c:order val="4"/>
          <c:tx>
            <c:strRef>
              <c:f>'Dashboard - Data'!$C$51</c:f>
              <c:strCache>
                <c:ptCount val="1"/>
                <c:pt idx="0">
                  <c:v>Bulk Water</c:v>
                </c:pt>
              </c:strCache>
            </c:strRef>
          </c:tx>
          <c:invertIfNegative val="0"/>
          <c:cat>
            <c:strRef>
              <c:f>'Dashboard - Data'!$K$46:$R$46</c:f>
              <c:strCache>
                <c:ptCount val="8"/>
                <c:pt idx="0">
                  <c:v>2028-29</c:v>
                </c:pt>
                <c:pt idx="1">
                  <c:v>2029-30</c:v>
                </c:pt>
                <c:pt idx="2">
                  <c:v>2030-31</c:v>
                </c:pt>
                <c:pt idx="3">
                  <c:v>2031-32</c:v>
                </c:pt>
                <c:pt idx="4">
                  <c:v>2032-33</c:v>
                </c:pt>
                <c:pt idx="5">
                  <c:v>2033-34</c:v>
                </c:pt>
                <c:pt idx="6">
                  <c:v>2034-35</c:v>
                </c:pt>
                <c:pt idx="7">
                  <c:v>2035-36</c:v>
                </c:pt>
              </c:strCache>
            </c:strRef>
          </c:cat>
          <c:val>
            <c:numRef>
              <c:f>'Dashboard - Data'!$K$51:$R$51</c:f>
              <c:numCache>
                <c:formatCode>0.00</c:formatCode>
                <c:ptCount val="8"/>
                <c:pt idx="0">
                  <c:v>5.8029521934540709E-2</c:v>
                </c:pt>
                <c:pt idx="1">
                  <c:v>5.6217617115165805E-2</c:v>
                </c:pt>
                <c:pt idx="2">
                  <c:v>5.4449908539946891E-2</c:v>
                </c:pt>
                <c:pt idx="3">
                  <c:v>5.5660673616863089E-2</c:v>
                </c:pt>
                <c:pt idx="4">
                  <c:v>5.6870290239881258E-2</c:v>
                </c:pt>
                <c:pt idx="5">
                  <c:v>5.8078759498350556E-2</c:v>
                </c:pt>
                <c:pt idx="6">
                  <c:v>5.9286082480587532E-2</c:v>
                </c:pt>
                <c:pt idx="7">
                  <c:v>6.04922602738759E-2</c:v>
                </c:pt>
              </c:numCache>
            </c:numRef>
          </c:val>
          <c:extLst>
            <c:ext xmlns:c16="http://schemas.microsoft.com/office/drawing/2014/chart" uri="{C3380CC4-5D6E-409C-BE32-E72D297353CC}">
              <c16:uniqueId val="{00000004-100E-4129-851E-EE3387816CF6}"/>
            </c:ext>
          </c:extLst>
        </c:ser>
        <c:dLbls>
          <c:showLegendKey val="0"/>
          <c:showVal val="0"/>
          <c:showCatName val="0"/>
          <c:showSerName val="0"/>
          <c:showPercent val="0"/>
          <c:showBubbleSize val="0"/>
        </c:dLbls>
        <c:gapWidth val="75"/>
        <c:overlap val="100"/>
        <c:axId val="209777792"/>
        <c:axId val="209779328"/>
      </c:barChart>
      <c:catAx>
        <c:axId val="209777792"/>
        <c:scaling>
          <c:orientation val="minMax"/>
        </c:scaling>
        <c:delete val="0"/>
        <c:axPos val="b"/>
        <c:numFmt formatCode="General" sourceLinked="0"/>
        <c:majorTickMark val="none"/>
        <c:minorTickMark val="none"/>
        <c:tickLblPos val="nextTo"/>
        <c:crossAx val="209779328"/>
        <c:crosses val="autoZero"/>
        <c:auto val="1"/>
        <c:lblAlgn val="ctr"/>
        <c:lblOffset val="100"/>
        <c:noMultiLvlLbl val="0"/>
      </c:catAx>
      <c:valAx>
        <c:axId val="209779328"/>
        <c:scaling>
          <c:orientation val="minMax"/>
        </c:scaling>
        <c:delete val="0"/>
        <c:axPos val="l"/>
        <c:majorGridlines/>
        <c:numFmt formatCode="#,##0" sourceLinked="0"/>
        <c:majorTickMark val="none"/>
        <c:minorTickMark val="none"/>
        <c:tickLblPos val="nextTo"/>
        <c:spPr>
          <a:ln w="9525">
            <a:noFill/>
          </a:ln>
        </c:spPr>
        <c:txPr>
          <a:bodyPr/>
          <a:lstStyle/>
          <a:p>
            <a:pPr>
              <a:defRPr sz="1050"/>
            </a:pPr>
            <a:endParaRPr lang="en-US"/>
          </a:p>
        </c:txPr>
        <c:crossAx val="209777792"/>
        <c:crosses val="autoZero"/>
        <c:crossBetween val="between"/>
      </c:valAx>
    </c:plotArea>
    <c:legend>
      <c:legendPos val="b"/>
      <c:layout>
        <c:manualLayout>
          <c:xMode val="edge"/>
          <c:yMode val="edge"/>
          <c:x val="0.14196768038187221"/>
          <c:y val="0.89295308775489945"/>
          <c:w val="0.71215992466349676"/>
          <c:h val="6.2036350711764311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Total operating expenditure</a:t>
            </a:r>
            <a:r>
              <a:rPr lang="en-AU" baseline="0"/>
              <a:t> by cost category - Water ($m)</a:t>
            </a:r>
            <a:endParaRPr lang="en-AU"/>
          </a:p>
        </c:rich>
      </c:tx>
      <c:overlay val="0"/>
    </c:title>
    <c:autoTitleDeleted val="0"/>
    <c:plotArea>
      <c:layout>
        <c:manualLayout>
          <c:layoutTarget val="inner"/>
          <c:xMode val="edge"/>
          <c:yMode val="edge"/>
          <c:x val="5.3070983445429612E-2"/>
          <c:y val="0.19006735250708687"/>
          <c:w val="0.94486966556371477"/>
          <c:h val="0.49250410350207013"/>
        </c:manualLayout>
      </c:layout>
      <c:barChart>
        <c:barDir val="col"/>
        <c:grouping val="stacked"/>
        <c:varyColors val="0"/>
        <c:ser>
          <c:idx val="0"/>
          <c:order val="0"/>
          <c:tx>
            <c:strRef>
              <c:f>'Dashboard - Data'!$C$63</c:f>
              <c:strCache>
                <c:ptCount val="1"/>
                <c:pt idx="0">
                  <c:v>Operations &amp; Maintenance</c:v>
                </c:pt>
              </c:strCache>
            </c:strRef>
          </c:tx>
          <c:invertIfNegative val="0"/>
          <c:cat>
            <c:strRef>
              <c:f>'Dashboard - Data'!$D$62:$R$62</c:f>
              <c:strCache>
                <c:ptCount val="15"/>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strCache>
            </c:strRef>
          </c:cat>
          <c:val>
            <c:numRef>
              <c:f>'Dashboard - Data'!$D$63:$R$63</c:f>
              <c:numCache>
                <c:formatCode>0.00</c:formatCode>
                <c:ptCount val="15"/>
                <c:pt idx="0">
                  <c:v>79.574254677642315</c:v>
                </c:pt>
                <c:pt idx="1">
                  <c:v>78.110333248721261</c:v>
                </c:pt>
                <c:pt idx="2">
                  <c:v>80.321029257452864</c:v>
                </c:pt>
                <c:pt idx="3">
                  <c:v>97.982745893113844</c:v>
                </c:pt>
                <c:pt idx="4">
                  <c:v>96.9947640565141</c:v>
                </c:pt>
                <c:pt idx="5">
                  <c:v>99.17280593799714</c:v>
                </c:pt>
                <c:pt idx="6">
                  <c:v>99.522671927895345</c:v>
                </c:pt>
                <c:pt idx="7">
                  <c:v>100.97091882585207</c:v>
                </c:pt>
                <c:pt idx="8">
                  <c:v>102.40054168983019</c:v>
                </c:pt>
                <c:pt idx="9">
                  <c:v>102.45522515364785</c:v>
                </c:pt>
                <c:pt idx="10">
                  <c:v>102.52024194312881</c:v>
                </c:pt>
                <c:pt idx="11">
                  <c:v>102.46762199306249</c:v>
                </c:pt>
                <c:pt idx="12">
                  <c:v>102.45974760593474</c:v>
                </c:pt>
                <c:pt idx="13">
                  <c:v>102.21679572871689</c:v>
                </c:pt>
                <c:pt idx="14">
                  <c:v>101.79521652921262</c:v>
                </c:pt>
              </c:numCache>
            </c:numRef>
          </c:val>
          <c:extLst>
            <c:ext xmlns:c16="http://schemas.microsoft.com/office/drawing/2014/chart" uri="{C3380CC4-5D6E-409C-BE32-E72D297353CC}">
              <c16:uniqueId val="{00000000-C1D5-444B-85BC-08B6924DAA87}"/>
            </c:ext>
          </c:extLst>
        </c:ser>
        <c:ser>
          <c:idx val="1"/>
          <c:order val="1"/>
          <c:tx>
            <c:strRef>
              <c:f>'Dashboard - Data'!$C$64</c:f>
              <c:strCache>
                <c:ptCount val="1"/>
                <c:pt idx="0">
                  <c:v>Desalination Payments (W&amp;S)</c:v>
                </c:pt>
              </c:strCache>
            </c:strRef>
          </c:tx>
          <c:spPr>
            <a:solidFill>
              <a:schemeClr val="tx2">
                <a:lumMod val="40000"/>
                <a:lumOff val="60000"/>
              </a:schemeClr>
            </a:solidFill>
          </c:spPr>
          <c:invertIfNegative val="0"/>
          <c:cat>
            <c:strRef>
              <c:f>'Dashboard - Data'!$D$62:$R$62</c:f>
              <c:strCache>
                <c:ptCount val="15"/>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strCache>
            </c:strRef>
          </c:cat>
          <c:val>
            <c:numRef>
              <c:f>'Dashboard - Data'!$D$64:$R$64</c:f>
              <c:numCache>
                <c:formatCode>0.00</c:formatCode>
                <c:ptCount val="15"/>
                <c:pt idx="0">
                  <c:v>637.96739843424859</c:v>
                </c:pt>
                <c:pt idx="1">
                  <c:v>614.70472301684106</c:v>
                </c:pt>
                <c:pt idx="2">
                  <c:v>577.90251660274885</c:v>
                </c:pt>
                <c:pt idx="3">
                  <c:v>547.30412034433414</c:v>
                </c:pt>
                <c:pt idx="4">
                  <c:v>530.2797577844874</c:v>
                </c:pt>
                <c:pt idx="5">
                  <c:v>519.65610716115782</c:v>
                </c:pt>
                <c:pt idx="6">
                  <c:v>507.23378314127302</c:v>
                </c:pt>
                <c:pt idx="7">
                  <c:v>502.13734976423558</c:v>
                </c:pt>
                <c:pt idx="8">
                  <c:v>480.98866546624782</c:v>
                </c:pt>
                <c:pt idx="9">
                  <c:v>460.29627939238156</c:v>
                </c:pt>
                <c:pt idx="10">
                  <c:v>438.03112520239159</c:v>
                </c:pt>
                <c:pt idx="11">
                  <c:v>414.00398512234364</c:v>
                </c:pt>
                <c:pt idx="12">
                  <c:v>378.84409564776519</c:v>
                </c:pt>
                <c:pt idx="13">
                  <c:v>351.94541390923274</c:v>
                </c:pt>
                <c:pt idx="14">
                  <c:v>323.92970971699924</c:v>
                </c:pt>
              </c:numCache>
            </c:numRef>
          </c:val>
          <c:extLst>
            <c:ext xmlns:c16="http://schemas.microsoft.com/office/drawing/2014/chart" uri="{C3380CC4-5D6E-409C-BE32-E72D297353CC}">
              <c16:uniqueId val="{00000001-C1D5-444B-85BC-08B6924DAA87}"/>
            </c:ext>
          </c:extLst>
        </c:ser>
        <c:ser>
          <c:idx val="4"/>
          <c:order val="2"/>
          <c:tx>
            <c:strRef>
              <c:f>'Dashboard - Data'!$C$65</c:f>
              <c:strCache>
                <c:ptCount val="1"/>
                <c:pt idx="0">
                  <c:v>Licence fees</c:v>
                </c:pt>
              </c:strCache>
            </c:strRef>
          </c:tx>
          <c:invertIfNegative val="0"/>
          <c:cat>
            <c:strRef>
              <c:f>'Dashboard - Data'!$D$62:$R$62</c:f>
              <c:strCache>
                <c:ptCount val="15"/>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strCache>
            </c:strRef>
          </c:cat>
          <c:val>
            <c:numRef>
              <c:f>'Dashboard - Data'!$D$65:$R$65</c:f>
              <c:numCache>
                <c:formatCode>0.00</c:formatCode>
                <c:ptCount val="15"/>
                <c:pt idx="0">
                  <c:v>0.79824940938182598</c:v>
                </c:pt>
                <c:pt idx="1">
                  <c:v>0.67207406650050749</c:v>
                </c:pt>
                <c:pt idx="2">
                  <c:v>0.67723870267739383</c:v>
                </c:pt>
                <c:pt idx="3">
                  <c:v>0.67086948527205137</c:v>
                </c:pt>
                <c:pt idx="4">
                  <c:v>0.67086948527205137</c:v>
                </c:pt>
                <c:pt idx="5">
                  <c:v>0.67086948527205137</c:v>
                </c:pt>
                <c:pt idx="6">
                  <c:v>0.67086948527205137</c:v>
                </c:pt>
                <c:pt idx="7">
                  <c:v>0.67086948527205137</c:v>
                </c:pt>
                <c:pt idx="8">
                  <c:v>0.67086948527205137</c:v>
                </c:pt>
                <c:pt idx="9">
                  <c:v>0.67086948527205137</c:v>
                </c:pt>
                <c:pt idx="10">
                  <c:v>0.67086948527205137</c:v>
                </c:pt>
                <c:pt idx="11">
                  <c:v>0.67086948527205137</c:v>
                </c:pt>
                <c:pt idx="12">
                  <c:v>0.67086948527205137</c:v>
                </c:pt>
                <c:pt idx="13">
                  <c:v>0.67086948527205137</c:v>
                </c:pt>
                <c:pt idx="14">
                  <c:v>0.67086948527205137</c:v>
                </c:pt>
              </c:numCache>
            </c:numRef>
          </c:val>
          <c:extLst>
            <c:ext xmlns:c16="http://schemas.microsoft.com/office/drawing/2014/chart" uri="{C3380CC4-5D6E-409C-BE32-E72D297353CC}">
              <c16:uniqueId val="{00000004-C1D5-444B-85BC-08B6924DAA87}"/>
            </c:ext>
          </c:extLst>
        </c:ser>
        <c:ser>
          <c:idx val="5"/>
          <c:order val="3"/>
          <c:tx>
            <c:strRef>
              <c:f>'Dashboard - Data'!$C$66</c:f>
              <c:strCache>
                <c:ptCount val="1"/>
                <c:pt idx="0">
                  <c:v>Corporate</c:v>
                </c:pt>
              </c:strCache>
            </c:strRef>
          </c:tx>
          <c:spPr>
            <a:solidFill>
              <a:schemeClr val="accent5">
                <a:lumMod val="75000"/>
              </a:schemeClr>
            </a:solidFill>
          </c:spPr>
          <c:invertIfNegative val="0"/>
          <c:cat>
            <c:strRef>
              <c:f>'Dashboard - Data'!$D$62:$R$62</c:f>
              <c:strCache>
                <c:ptCount val="15"/>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strCache>
            </c:strRef>
          </c:cat>
          <c:val>
            <c:numRef>
              <c:f>'Dashboard - Data'!$D$66:$R$66</c:f>
              <c:numCache>
                <c:formatCode>0.00</c:formatCode>
                <c:ptCount val="15"/>
                <c:pt idx="0">
                  <c:v>47.331311602293283</c:v>
                </c:pt>
                <c:pt idx="1">
                  <c:v>51.910898501789191</c:v>
                </c:pt>
                <c:pt idx="2">
                  <c:v>55.237897383493582</c:v>
                </c:pt>
                <c:pt idx="3">
                  <c:v>62.062690261667868</c:v>
                </c:pt>
                <c:pt idx="4">
                  <c:v>56.806837367511889</c:v>
                </c:pt>
                <c:pt idx="5">
                  <c:v>53.598095514152696</c:v>
                </c:pt>
                <c:pt idx="6">
                  <c:v>55.353918019516009</c:v>
                </c:pt>
                <c:pt idx="7">
                  <c:v>55.927082317289567</c:v>
                </c:pt>
                <c:pt idx="8">
                  <c:v>54.068397053787862</c:v>
                </c:pt>
                <c:pt idx="9">
                  <c:v>53.875230476174352</c:v>
                </c:pt>
                <c:pt idx="10">
                  <c:v>53.881693359420069</c:v>
                </c:pt>
                <c:pt idx="11">
                  <c:v>53.832590227671666</c:v>
                </c:pt>
                <c:pt idx="12">
                  <c:v>53.783543219362841</c:v>
                </c:pt>
                <c:pt idx="13">
                  <c:v>53.734552012187926</c:v>
                </c:pt>
                <c:pt idx="14">
                  <c:v>53.685616291730121</c:v>
                </c:pt>
              </c:numCache>
            </c:numRef>
          </c:val>
          <c:extLst>
            <c:ext xmlns:c16="http://schemas.microsoft.com/office/drawing/2014/chart" uri="{C3380CC4-5D6E-409C-BE32-E72D297353CC}">
              <c16:uniqueId val="{00000005-C1D5-444B-85BC-08B6924DAA87}"/>
            </c:ext>
          </c:extLst>
        </c:ser>
        <c:ser>
          <c:idx val="6"/>
          <c:order val="4"/>
          <c:tx>
            <c:strRef>
              <c:f>'Dashboard - Data'!$C$67</c:f>
              <c:strCache>
                <c:ptCount val="1"/>
                <c:pt idx="0">
                  <c:v>Other operating expenditure</c:v>
                </c:pt>
              </c:strCache>
            </c:strRef>
          </c:tx>
          <c:invertIfNegative val="0"/>
          <c:cat>
            <c:strRef>
              <c:f>'Dashboard - Data'!$D$62:$R$62</c:f>
              <c:strCache>
                <c:ptCount val="15"/>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strCache>
            </c:strRef>
          </c:cat>
          <c:val>
            <c:numRef>
              <c:f>'Dashboard - Data'!$D$67:$R$67</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C1D5-444B-85BC-08B6924DAA87}"/>
            </c:ext>
          </c:extLst>
        </c:ser>
        <c:dLbls>
          <c:showLegendKey val="0"/>
          <c:showVal val="0"/>
          <c:showCatName val="0"/>
          <c:showSerName val="0"/>
          <c:showPercent val="0"/>
          <c:showBubbleSize val="0"/>
        </c:dLbls>
        <c:gapWidth val="75"/>
        <c:overlap val="100"/>
        <c:axId val="209826176"/>
        <c:axId val="209827712"/>
      </c:barChart>
      <c:catAx>
        <c:axId val="209826176"/>
        <c:scaling>
          <c:orientation val="minMax"/>
        </c:scaling>
        <c:delete val="0"/>
        <c:axPos val="b"/>
        <c:numFmt formatCode="General" sourceLinked="0"/>
        <c:majorTickMark val="none"/>
        <c:minorTickMark val="none"/>
        <c:tickLblPos val="nextTo"/>
        <c:txPr>
          <a:bodyPr rot="-5400000" vert="horz"/>
          <a:lstStyle/>
          <a:p>
            <a:pPr>
              <a:defRPr/>
            </a:pPr>
            <a:endParaRPr lang="en-US"/>
          </a:p>
        </c:txPr>
        <c:crossAx val="209827712"/>
        <c:crosses val="autoZero"/>
        <c:auto val="1"/>
        <c:lblAlgn val="ctr"/>
        <c:lblOffset val="100"/>
        <c:noMultiLvlLbl val="0"/>
      </c:catAx>
      <c:valAx>
        <c:axId val="209827712"/>
        <c:scaling>
          <c:orientation val="minMax"/>
        </c:scaling>
        <c:delete val="0"/>
        <c:axPos val="l"/>
        <c:majorGridlines/>
        <c:numFmt formatCode="#,##0" sourceLinked="0"/>
        <c:majorTickMark val="none"/>
        <c:minorTickMark val="none"/>
        <c:tickLblPos val="nextTo"/>
        <c:spPr>
          <a:ln w="9525">
            <a:noFill/>
          </a:ln>
        </c:spPr>
        <c:crossAx val="209826176"/>
        <c:crosses val="autoZero"/>
        <c:crossBetween val="between"/>
      </c:valAx>
    </c:plotArea>
    <c:legend>
      <c:legendPos val="b"/>
      <c:layout>
        <c:manualLayout>
          <c:xMode val="edge"/>
          <c:yMode val="edge"/>
          <c:x val="0"/>
          <c:y val="0.83423429108006164"/>
          <c:w val="1"/>
          <c:h val="0.16225099124724598"/>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Total</a:t>
            </a:r>
            <a:r>
              <a:rPr lang="en-AU" baseline="0"/>
              <a:t> operating expenditure by cost category - Sewerage ($m)</a:t>
            </a:r>
            <a:endParaRPr lang="en-AU"/>
          </a:p>
        </c:rich>
      </c:tx>
      <c:overlay val="0"/>
    </c:title>
    <c:autoTitleDeleted val="0"/>
    <c:plotArea>
      <c:layout>
        <c:manualLayout>
          <c:layoutTarget val="inner"/>
          <c:xMode val="edge"/>
          <c:yMode val="edge"/>
          <c:x val="5.4582280922600569E-2"/>
          <c:y val="0.17245864656178803"/>
          <c:w val="0.92396382046480785"/>
          <c:h val="0.53314264032722658"/>
        </c:manualLayout>
      </c:layout>
      <c:barChart>
        <c:barDir val="col"/>
        <c:grouping val="stacked"/>
        <c:varyColors val="0"/>
        <c:ser>
          <c:idx val="0"/>
          <c:order val="0"/>
          <c:tx>
            <c:strRef>
              <c:f>'Dashboard - Data'!$C$72</c:f>
              <c:strCache>
                <c:ptCount val="1"/>
                <c:pt idx="0">
                  <c:v>Operations &amp; Maintenance</c:v>
                </c:pt>
              </c:strCache>
            </c:strRef>
          </c:tx>
          <c:invertIfNegative val="0"/>
          <c:cat>
            <c:strRef>
              <c:f>'Dashboard - Data'!$D$71:$R$71</c:f>
              <c:strCache>
                <c:ptCount val="15"/>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strCache>
            </c:strRef>
          </c:cat>
          <c:val>
            <c:numRef>
              <c:f>'Dashboard - Data'!$D$72:$R$72</c:f>
              <c:numCache>
                <c:formatCode>0.00</c:formatCode>
                <c:ptCount val="15"/>
                <c:pt idx="0">
                  <c:v>142.31287771015707</c:v>
                </c:pt>
                <c:pt idx="1">
                  <c:v>130.21968306897546</c:v>
                </c:pt>
                <c:pt idx="2">
                  <c:v>124.47510760466518</c:v>
                </c:pt>
                <c:pt idx="3">
                  <c:v>128.40679787659383</c:v>
                </c:pt>
                <c:pt idx="4">
                  <c:v>127.162104274794</c:v>
                </c:pt>
                <c:pt idx="5">
                  <c:v>130.06604670692201</c:v>
                </c:pt>
                <c:pt idx="6">
                  <c:v>129.37886474426384</c:v>
                </c:pt>
                <c:pt idx="7">
                  <c:v>136.1639478351278</c:v>
                </c:pt>
                <c:pt idx="8">
                  <c:v>143.2746421621662</c:v>
                </c:pt>
                <c:pt idx="9">
                  <c:v>144.60740147043984</c:v>
                </c:pt>
                <c:pt idx="10">
                  <c:v>144.11115671817379</c:v>
                </c:pt>
                <c:pt idx="11">
                  <c:v>143.72673517413847</c:v>
                </c:pt>
                <c:pt idx="12">
                  <c:v>142.93106811743473</c:v>
                </c:pt>
                <c:pt idx="13">
                  <c:v>144.27248385706977</c:v>
                </c:pt>
                <c:pt idx="14">
                  <c:v>142.73185020895929</c:v>
                </c:pt>
              </c:numCache>
            </c:numRef>
          </c:val>
          <c:extLst>
            <c:ext xmlns:c16="http://schemas.microsoft.com/office/drawing/2014/chart" uri="{C3380CC4-5D6E-409C-BE32-E72D297353CC}">
              <c16:uniqueId val="{00000000-213A-487F-AA2D-F67BD5FAC506}"/>
            </c:ext>
          </c:extLst>
        </c:ser>
        <c:ser>
          <c:idx val="4"/>
          <c:order val="1"/>
          <c:tx>
            <c:strRef>
              <c:f>'Dashboard - Data'!$C$73</c:f>
              <c:strCache>
                <c:ptCount val="1"/>
                <c:pt idx="0">
                  <c:v>Licence fees</c:v>
                </c:pt>
              </c:strCache>
            </c:strRef>
          </c:tx>
          <c:spPr>
            <a:solidFill>
              <a:schemeClr val="accent6">
                <a:lumMod val="20000"/>
                <a:lumOff val="80000"/>
              </a:schemeClr>
            </a:solidFill>
          </c:spPr>
          <c:invertIfNegative val="0"/>
          <c:cat>
            <c:strRef>
              <c:f>'Dashboard - Data'!$D$71:$R$71</c:f>
              <c:strCache>
                <c:ptCount val="15"/>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strCache>
            </c:strRef>
          </c:cat>
          <c:val>
            <c:numRef>
              <c:f>'Dashboard - Data'!$D$73:$R$73</c:f>
              <c:numCache>
                <c:formatCode>0.00</c:formatCode>
                <c:ptCount val="15"/>
                <c:pt idx="0">
                  <c:v>1.5727299335440748</c:v>
                </c:pt>
                <c:pt idx="1">
                  <c:v>1.6437962600872373</c:v>
                </c:pt>
                <c:pt idx="2">
                  <c:v>3.495691514581559</c:v>
                </c:pt>
                <c:pt idx="3">
                  <c:v>1.9717857751176666</c:v>
                </c:pt>
                <c:pt idx="4">
                  <c:v>1.9717857751176666</c:v>
                </c:pt>
                <c:pt idx="5">
                  <c:v>1.9717857751176666</c:v>
                </c:pt>
                <c:pt idx="6">
                  <c:v>1.9717857751176666</c:v>
                </c:pt>
                <c:pt idx="7">
                  <c:v>1.9717857751176666</c:v>
                </c:pt>
                <c:pt idx="8">
                  <c:v>1.9717857751176666</c:v>
                </c:pt>
                <c:pt idx="9">
                  <c:v>1.9717857751176666</c:v>
                </c:pt>
                <c:pt idx="10">
                  <c:v>1.9717857751176666</c:v>
                </c:pt>
                <c:pt idx="11">
                  <c:v>1.9717857751176666</c:v>
                </c:pt>
                <c:pt idx="12">
                  <c:v>1.9717857751176666</c:v>
                </c:pt>
                <c:pt idx="13">
                  <c:v>1.9717857751176666</c:v>
                </c:pt>
                <c:pt idx="14">
                  <c:v>1.9717857751176666</c:v>
                </c:pt>
              </c:numCache>
            </c:numRef>
          </c:val>
          <c:extLst>
            <c:ext xmlns:c16="http://schemas.microsoft.com/office/drawing/2014/chart" uri="{C3380CC4-5D6E-409C-BE32-E72D297353CC}">
              <c16:uniqueId val="{00000004-213A-487F-AA2D-F67BD5FAC506}"/>
            </c:ext>
          </c:extLst>
        </c:ser>
        <c:ser>
          <c:idx val="5"/>
          <c:order val="2"/>
          <c:tx>
            <c:strRef>
              <c:f>'Dashboard - Data'!$C$74</c:f>
              <c:strCache>
                <c:ptCount val="1"/>
                <c:pt idx="0">
                  <c:v>Corporate</c:v>
                </c:pt>
              </c:strCache>
            </c:strRef>
          </c:tx>
          <c:spPr>
            <a:solidFill>
              <a:schemeClr val="tx2">
                <a:lumMod val="20000"/>
                <a:lumOff val="80000"/>
              </a:schemeClr>
            </a:solidFill>
          </c:spPr>
          <c:invertIfNegative val="0"/>
          <c:cat>
            <c:strRef>
              <c:f>'Dashboard - Data'!$D$71:$R$71</c:f>
              <c:strCache>
                <c:ptCount val="15"/>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strCache>
            </c:strRef>
          </c:cat>
          <c:val>
            <c:numRef>
              <c:f>'Dashboard - Data'!$D$74:$R$74</c:f>
              <c:numCache>
                <c:formatCode>0.00</c:formatCode>
                <c:ptCount val="15"/>
                <c:pt idx="0">
                  <c:v>62.585726929428397</c:v>
                </c:pt>
                <c:pt idx="1">
                  <c:v>68.722977629214967</c:v>
                </c:pt>
                <c:pt idx="2">
                  <c:v>73.372289412118391</c:v>
                </c:pt>
                <c:pt idx="3">
                  <c:v>81.035035448548228</c:v>
                </c:pt>
                <c:pt idx="4">
                  <c:v>74.100926465952853</c:v>
                </c:pt>
                <c:pt idx="5">
                  <c:v>69.840368225779116</c:v>
                </c:pt>
                <c:pt idx="6">
                  <c:v>72.174718826066595</c:v>
                </c:pt>
                <c:pt idx="7">
                  <c:v>72.936773742750304</c:v>
                </c:pt>
                <c:pt idx="8">
                  <c:v>70.465785997838864</c:v>
                </c:pt>
                <c:pt idx="9">
                  <c:v>70.209033274306478</c:v>
                </c:pt>
                <c:pt idx="10">
                  <c:v>70.217994800748528</c:v>
                </c:pt>
                <c:pt idx="11">
                  <c:v>70.153081881151095</c:v>
                </c:pt>
                <c:pt idx="12">
                  <c:v>70.088241836018355</c:v>
                </c:pt>
                <c:pt idx="13">
                  <c:v>70.023474277698512</c:v>
                </c:pt>
                <c:pt idx="14">
                  <c:v>69.958778827884473</c:v>
                </c:pt>
              </c:numCache>
            </c:numRef>
          </c:val>
          <c:extLst>
            <c:ext xmlns:c16="http://schemas.microsoft.com/office/drawing/2014/chart" uri="{C3380CC4-5D6E-409C-BE32-E72D297353CC}">
              <c16:uniqueId val="{00000005-213A-487F-AA2D-F67BD5FAC506}"/>
            </c:ext>
          </c:extLst>
        </c:ser>
        <c:ser>
          <c:idx val="6"/>
          <c:order val="3"/>
          <c:tx>
            <c:strRef>
              <c:f>'Dashboard - Data'!$C$75</c:f>
              <c:strCache>
                <c:ptCount val="1"/>
                <c:pt idx="0">
                  <c:v>Other operating expenditure</c:v>
                </c:pt>
              </c:strCache>
            </c:strRef>
          </c:tx>
          <c:invertIfNegative val="0"/>
          <c:cat>
            <c:strRef>
              <c:f>'Dashboard - Data'!$D$71:$R$71</c:f>
              <c:strCache>
                <c:ptCount val="15"/>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strCache>
            </c:strRef>
          </c:cat>
          <c:val>
            <c:numRef>
              <c:f>'Dashboard - Data'!$D$75:$R$75</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213A-487F-AA2D-F67BD5FAC506}"/>
            </c:ext>
          </c:extLst>
        </c:ser>
        <c:dLbls>
          <c:showLegendKey val="0"/>
          <c:showVal val="0"/>
          <c:showCatName val="0"/>
          <c:showSerName val="0"/>
          <c:showPercent val="0"/>
          <c:showBubbleSize val="0"/>
        </c:dLbls>
        <c:gapWidth val="75"/>
        <c:overlap val="100"/>
        <c:axId val="210025856"/>
        <c:axId val="210031744"/>
      </c:barChart>
      <c:catAx>
        <c:axId val="210025856"/>
        <c:scaling>
          <c:orientation val="minMax"/>
        </c:scaling>
        <c:delete val="0"/>
        <c:axPos val="b"/>
        <c:numFmt formatCode="General" sourceLinked="0"/>
        <c:majorTickMark val="none"/>
        <c:minorTickMark val="none"/>
        <c:tickLblPos val="nextTo"/>
        <c:txPr>
          <a:bodyPr rot="-5400000" vert="horz"/>
          <a:lstStyle/>
          <a:p>
            <a:pPr>
              <a:defRPr/>
            </a:pPr>
            <a:endParaRPr lang="en-US"/>
          </a:p>
        </c:txPr>
        <c:crossAx val="210031744"/>
        <c:crosses val="autoZero"/>
        <c:auto val="1"/>
        <c:lblAlgn val="ctr"/>
        <c:lblOffset val="100"/>
        <c:noMultiLvlLbl val="0"/>
      </c:catAx>
      <c:valAx>
        <c:axId val="210031744"/>
        <c:scaling>
          <c:orientation val="minMax"/>
          <c:max val="160"/>
        </c:scaling>
        <c:delete val="0"/>
        <c:axPos val="l"/>
        <c:majorGridlines/>
        <c:numFmt formatCode="#,##0" sourceLinked="0"/>
        <c:majorTickMark val="none"/>
        <c:minorTickMark val="none"/>
        <c:tickLblPos val="nextTo"/>
        <c:spPr>
          <a:ln w="9525">
            <a:noFill/>
          </a:ln>
        </c:spPr>
        <c:crossAx val="210025856"/>
        <c:crosses val="autoZero"/>
        <c:crossBetween val="between"/>
      </c:valAx>
    </c:plotArea>
    <c:legend>
      <c:legendPos val="b"/>
      <c:layout>
        <c:manualLayout>
          <c:xMode val="edge"/>
          <c:yMode val="edge"/>
          <c:x val="0"/>
          <c:y val="0.84640248378017102"/>
          <c:w val="0.99462347179365185"/>
          <c:h val="0.1535975162198288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Non-controllable operating</a:t>
            </a:r>
            <a:r>
              <a:rPr lang="en-AU" baseline="0"/>
              <a:t> expenditure without Desalination payments ($m)</a:t>
            </a:r>
            <a:endParaRPr lang="en-AU"/>
          </a:p>
        </c:rich>
      </c:tx>
      <c:overlay val="0"/>
    </c:title>
    <c:autoTitleDeleted val="0"/>
    <c:plotArea>
      <c:layout>
        <c:manualLayout>
          <c:layoutTarget val="inner"/>
          <c:xMode val="edge"/>
          <c:yMode val="edge"/>
          <c:x val="7.7379166666666666E-2"/>
          <c:y val="0.19434783367234051"/>
          <c:w val="0.91420317955751029"/>
          <c:h val="0.60779462919677996"/>
        </c:manualLayout>
      </c:layout>
      <c:barChart>
        <c:barDir val="col"/>
        <c:grouping val="stacked"/>
        <c:varyColors val="0"/>
        <c:ser>
          <c:idx val="2"/>
          <c:order val="0"/>
          <c:tx>
            <c:strRef>
              <c:f>'Dashboard - Data'!$C$57</c:f>
              <c:strCache>
                <c:ptCount val="1"/>
                <c:pt idx="0">
                  <c:v>License fees</c:v>
                </c:pt>
              </c:strCache>
            </c:strRef>
          </c:tx>
          <c:spPr>
            <a:solidFill>
              <a:schemeClr val="accent5">
                <a:lumMod val="40000"/>
                <a:lumOff val="60000"/>
              </a:schemeClr>
            </a:solidFill>
          </c:spPr>
          <c:invertIfNegative val="0"/>
          <c:cat>
            <c:strRef>
              <c:f>'Dashboard - Data'!$G$54:$R$54</c:f>
              <c:strCache>
                <c:ptCount val="12"/>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strCache>
            </c:strRef>
          </c:cat>
          <c:val>
            <c:numRef>
              <c:f>'Dashboard - Data'!$I$57:$R$57</c:f>
              <c:numCache>
                <c:formatCode>0.00</c:formatCode>
                <c:ptCount val="10"/>
                <c:pt idx="0">
                  <c:v>2.8978902757641918</c:v>
                </c:pt>
                <c:pt idx="1">
                  <c:v>2.8978902757641918</c:v>
                </c:pt>
                <c:pt idx="2">
                  <c:v>2.8978902757641918</c:v>
                </c:pt>
                <c:pt idx="3">
                  <c:v>2.8978902757641918</c:v>
                </c:pt>
                <c:pt idx="4">
                  <c:v>2.8978902757641918</c:v>
                </c:pt>
                <c:pt idx="5">
                  <c:v>2.8978902757641918</c:v>
                </c:pt>
                <c:pt idx="6">
                  <c:v>2.8978902757641918</c:v>
                </c:pt>
                <c:pt idx="7">
                  <c:v>2.8978902757641918</c:v>
                </c:pt>
                <c:pt idx="8">
                  <c:v>2.8978902757641918</c:v>
                </c:pt>
                <c:pt idx="9">
                  <c:v>2.8978902757641918</c:v>
                </c:pt>
              </c:numCache>
            </c:numRef>
          </c:val>
          <c:extLst>
            <c:ext xmlns:c16="http://schemas.microsoft.com/office/drawing/2014/chart" uri="{C3380CC4-5D6E-409C-BE32-E72D297353CC}">
              <c16:uniqueId val="{00000002-625D-4A6A-A912-C8B31AB8962A}"/>
            </c:ext>
          </c:extLst>
        </c:ser>
        <c:ser>
          <c:idx val="3"/>
          <c:order val="1"/>
          <c:tx>
            <c:strRef>
              <c:f>'Dashboard - Data'!$C$58</c:f>
              <c:strCache>
                <c:ptCount val="1"/>
                <c:pt idx="0">
                  <c:v>Environmental Contribution</c:v>
                </c:pt>
              </c:strCache>
            </c:strRef>
          </c:tx>
          <c:invertIfNegative val="0"/>
          <c:cat>
            <c:strRef>
              <c:f>'Dashboard - Data'!$G$54:$R$54</c:f>
              <c:strCache>
                <c:ptCount val="12"/>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strCache>
            </c:strRef>
          </c:cat>
          <c:val>
            <c:numRef>
              <c:f>'Dashboard - Data'!$I$58:$R$58</c:f>
              <c:numCache>
                <c:formatCode>0.00</c:formatCode>
                <c:ptCount val="10"/>
                <c:pt idx="0">
                  <c:v>3.4786437220602547E-2</c:v>
                </c:pt>
                <c:pt idx="1">
                  <c:v>3.3806061438875171E-2</c:v>
                </c:pt>
                <c:pt idx="2">
                  <c:v>3.2853315295311152E-2</c:v>
                </c:pt>
                <c:pt idx="3">
                  <c:v>3.1927420112061372E-2</c:v>
                </c:pt>
                <c:pt idx="4">
                  <c:v>3.1027619156522229E-2</c:v>
                </c:pt>
                <c:pt idx="5">
                  <c:v>3.0153177022859311E-2</c:v>
                </c:pt>
                <c:pt idx="6">
                  <c:v>2.9303379030961432E-2</c:v>
                </c:pt>
                <c:pt idx="7">
                  <c:v>2.8477530642333757E-2</c:v>
                </c:pt>
                <c:pt idx="8">
                  <c:v>2.7674956892452633E-2</c:v>
                </c:pt>
                <c:pt idx="9">
                  <c:v>2.6895001839118207E-2</c:v>
                </c:pt>
              </c:numCache>
            </c:numRef>
          </c:val>
          <c:extLst>
            <c:ext xmlns:c16="http://schemas.microsoft.com/office/drawing/2014/chart" uri="{C3380CC4-5D6E-409C-BE32-E72D297353CC}">
              <c16:uniqueId val="{00000003-625D-4A6A-A912-C8B31AB8962A}"/>
            </c:ext>
          </c:extLst>
        </c:ser>
        <c:ser>
          <c:idx val="4"/>
          <c:order val="2"/>
          <c:tx>
            <c:strRef>
              <c:f>'Dashboard - Data'!$C$59</c:f>
              <c:strCache>
                <c:ptCount val="1"/>
                <c:pt idx="0">
                  <c:v>Other non-controllable</c:v>
                </c:pt>
              </c:strCache>
            </c:strRef>
          </c:tx>
          <c:invertIfNegative val="0"/>
          <c:cat>
            <c:strRef>
              <c:f>'Dashboard - Data'!$G$54:$R$54</c:f>
              <c:strCache>
                <c:ptCount val="12"/>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strCache>
            </c:strRef>
          </c:cat>
          <c:val>
            <c:numRef>
              <c:f>'Dashboard - Data'!$G$59:$R$59</c:f>
              <c:numCache>
                <c:formatCode>0.00</c:formatCode>
                <c:ptCount val="12"/>
                <c:pt idx="0">
                  <c:v>46.284554643604579</c:v>
                </c:pt>
                <c:pt idx="1">
                  <c:v>52.760150598720088</c:v>
                </c:pt>
                <c:pt idx="2">
                  <c:v>47.043857033064519</c:v>
                </c:pt>
                <c:pt idx="3">
                  <c:v>47.241439292764042</c:v>
                </c:pt>
                <c:pt idx="4">
                  <c:v>47.440273774173868</c:v>
                </c:pt>
                <c:pt idx="5">
                  <c:v>47.640358457637717</c:v>
                </c:pt>
                <c:pt idx="6">
                  <c:v>47.632351912201202</c:v>
                </c:pt>
                <c:pt idx="7">
                  <c:v>47.624571012846005</c:v>
                </c:pt>
                <c:pt idx="8">
                  <c:v>47.61700940025591</c:v>
                </c:pt>
                <c:pt idx="9">
                  <c:v>47.609660894337438</c:v>
                </c:pt>
                <c:pt idx="10">
                  <c:v>47.60251948916887</c:v>
                </c:pt>
                <c:pt idx="11">
                  <c:v>47.595579348091547</c:v>
                </c:pt>
              </c:numCache>
            </c:numRef>
          </c:val>
          <c:extLst>
            <c:ext xmlns:c16="http://schemas.microsoft.com/office/drawing/2014/chart" uri="{C3380CC4-5D6E-409C-BE32-E72D297353CC}">
              <c16:uniqueId val="{00000004-625D-4A6A-A912-C8B31AB8962A}"/>
            </c:ext>
          </c:extLst>
        </c:ser>
        <c:dLbls>
          <c:showLegendKey val="0"/>
          <c:showVal val="0"/>
          <c:showCatName val="0"/>
          <c:showSerName val="0"/>
          <c:showPercent val="0"/>
          <c:showBubbleSize val="0"/>
        </c:dLbls>
        <c:gapWidth val="75"/>
        <c:overlap val="100"/>
        <c:axId val="210153856"/>
        <c:axId val="210155392"/>
      </c:barChart>
      <c:catAx>
        <c:axId val="210153856"/>
        <c:scaling>
          <c:orientation val="minMax"/>
        </c:scaling>
        <c:delete val="0"/>
        <c:axPos val="b"/>
        <c:numFmt formatCode="General" sourceLinked="0"/>
        <c:majorTickMark val="none"/>
        <c:minorTickMark val="none"/>
        <c:tickLblPos val="nextTo"/>
        <c:crossAx val="210155392"/>
        <c:crosses val="autoZero"/>
        <c:auto val="1"/>
        <c:lblAlgn val="ctr"/>
        <c:lblOffset val="100"/>
        <c:noMultiLvlLbl val="0"/>
      </c:catAx>
      <c:valAx>
        <c:axId val="210155392"/>
        <c:scaling>
          <c:orientation val="minMax"/>
        </c:scaling>
        <c:delete val="0"/>
        <c:axPos val="l"/>
        <c:majorGridlines/>
        <c:numFmt formatCode="#,##0" sourceLinked="0"/>
        <c:majorTickMark val="none"/>
        <c:minorTickMark val="none"/>
        <c:tickLblPos val="nextTo"/>
        <c:spPr>
          <a:ln w="9525">
            <a:noFill/>
          </a:ln>
        </c:spPr>
        <c:txPr>
          <a:bodyPr/>
          <a:lstStyle/>
          <a:p>
            <a:pPr>
              <a:defRPr sz="1050"/>
            </a:pPr>
            <a:endParaRPr lang="en-US"/>
          </a:p>
        </c:txPr>
        <c:crossAx val="210153856"/>
        <c:crosses val="autoZero"/>
        <c:crossBetween val="between"/>
      </c:valAx>
    </c:plotArea>
    <c:legend>
      <c:legendPos val="b"/>
      <c:layout>
        <c:manualLayout>
          <c:xMode val="edge"/>
          <c:yMode val="edge"/>
          <c:x val="0"/>
          <c:y val="0.86756566276406366"/>
          <c:w val="1"/>
          <c:h val="9.2865041223396186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Total operating expenditure</a:t>
            </a:r>
            <a:r>
              <a:rPr lang="en-AU" baseline="0"/>
              <a:t> by cost category - Recycled Water ($m)</a:t>
            </a:r>
            <a:endParaRPr lang="en-AU"/>
          </a:p>
        </c:rich>
      </c:tx>
      <c:overlay val="0"/>
    </c:title>
    <c:autoTitleDeleted val="0"/>
    <c:plotArea>
      <c:layout>
        <c:manualLayout>
          <c:layoutTarget val="inner"/>
          <c:xMode val="edge"/>
          <c:yMode val="edge"/>
          <c:x val="5.3070983445429612E-2"/>
          <c:y val="0.19006735250708687"/>
          <c:w val="0.94486966556371477"/>
          <c:h val="0.49250410350207013"/>
        </c:manualLayout>
      </c:layout>
      <c:barChart>
        <c:barDir val="col"/>
        <c:grouping val="stacked"/>
        <c:varyColors val="0"/>
        <c:ser>
          <c:idx val="0"/>
          <c:order val="0"/>
          <c:tx>
            <c:strRef>
              <c:f>'Dashboard - Data'!$C$80</c:f>
              <c:strCache>
                <c:ptCount val="1"/>
                <c:pt idx="0">
                  <c:v>Operations &amp; Maintenance</c:v>
                </c:pt>
              </c:strCache>
            </c:strRef>
          </c:tx>
          <c:invertIfNegative val="0"/>
          <c:cat>
            <c:strRef>
              <c:f>'Dashboard - Data'!$D$79:$R$79</c:f>
              <c:strCache>
                <c:ptCount val="15"/>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strCache>
            </c:strRef>
          </c:cat>
          <c:val>
            <c:numRef>
              <c:f>'Dashboard - Data'!$D$80:$R$80</c:f>
              <c:numCache>
                <c:formatCode>0.00</c:formatCode>
                <c:ptCount val="15"/>
                <c:pt idx="0">
                  <c:v>3.0962116542462197</c:v>
                </c:pt>
                <c:pt idx="1">
                  <c:v>1.6110311625916953</c:v>
                </c:pt>
                <c:pt idx="2">
                  <c:v>1.8685968790615961</c:v>
                </c:pt>
                <c:pt idx="3">
                  <c:v>2.5114951382484798</c:v>
                </c:pt>
                <c:pt idx="4">
                  <c:v>2.5090691703711387</c:v>
                </c:pt>
                <c:pt idx="5">
                  <c:v>2.5066432024937977</c:v>
                </c:pt>
                <c:pt idx="6">
                  <c:v>2.5063774631659173</c:v>
                </c:pt>
                <c:pt idx="7">
                  <c:v>2.5068511699787628</c:v>
                </c:pt>
                <c:pt idx="8">
                  <c:v>2.508215179983051</c:v>
                </c:pt>
                <c:pt idx="9">
                  <c:v>2.5080756664230082</c:v>
                </c:pt>
                <c:pt idx="10">
                  <c:v>2.5067608257352272</c:v>
                </c:pt>
                <c:pt idx="11">
                  <c:v>2.5110589463546371</c:v>
                </c:pt>
                <c:pt idx="12">
                  <c:v>2.5095442271307973</c:v>
                </c:pt>
                <c:pt idx="13">
                  <c:v>2.5194262068765974</c:v>
                </c:pt>
                <c:pt idx="14">
                  <c:v>2.5009794834236923</c:v>
                </c:pt>
              </c:numCache>
            </c:numRef>
          </c:val>
          <c:extLst>
            <c:ext xmlns:c16="http://schemas.microsoft.com/office/drawing/2014/chart" uri="{C3380CC4-5D6E-409C-BE32-E72D297353CC}">
              <c16:uniqueId val="{00000000-A995-4647-B1BE-90BFB58FBADB}"/>
            </c:ext>
          </c:extLst>
        </c:ser>
        <c:ser>
          <c:idx val="4"/>
          <c:order val="1"/>
          <c:tx>
            <c:strRef>
              <c:f>'Dashboard - Data'!$C$81</c:f>
              <c:strCache>
                <c:ptCount val="1"/>
                <c:pt idx="0">
                  <c:v>Licence fees</c:v>
                </c:pt>
              </c:strCache>
            </c:strRef>
          </c:tx>
          <c:invertIfNegative val="0"/>
          <c:cat>
            <c:strRef>
              <c:f>'Dashboard - Data'!$D$79:$R$79</c:f>
              <c:strCache>
                <c:ptCount val="15"/>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strCache>
            </c:strRef>
          </c:cat>
          <c:val>
            <c:numRef>
              <c:f>'Dashboard - Data'!$D$81:$R$81</c:f>
              <c:numCache>
                <c:formatCode>0.00</c:formatCode>
                <c:ptCount val="15"/>
                <c:pt idx="0">
                  <c:v>8.317104267744577E-3</c:v>
                </c:pt>
                <c:pt idx="1">
                  <c:v>6.4183989679825314E-3</c:v>
                </c:pt>
                <c:pt idx="2">
                  <c:v>6.4188316610565574E-3</c:v>
                </c:pt>
                <c:pt idx="3">
                  <c:v>6.4109739287983563E-3</c:v>
                </c:pt>
                <c:pt idx="4">
                  <c:v>6.4109739287983563E-3</c:v>
                </c:pt>
                <c:pt idx="5">
                  <c:v>6.4109739287983563E-3</c:v>
                </c:pt>
                <c:pt idx="6">
                  <c:v>6.4109739287983563E-3</c:v>
                </c:pt>
                <c:pt idx="7">
                  <c:v>6.4109739287983563E-3</c:v>
                </c:pt>
                <c:pt idx="8">
                  <c:v>6.4109739287983563E-3</c:v>
                </c:pt>
                <c:pt idx="9">
                  <c:v>6.4109739287983563E-3</c:v>
                </c:pt>
                <c:pt idx="10">
                  <c:v>6.4109739287983563E-3</c:v>
                </c:pt>
                <c:pt idx="11">
                  <c:v>6.4109739287983563E-3</c:v>
                </c:pt>
                <c:pt idx="12">
                  <c:v>6.4109739287983563E-3</c:v>
                </c:pt>
                <c:pt idx="13">
                  <c:v>6.4109739287983563E-3</c:v>
                </c:pt>
                <c:pt idx="14">
                  <c:v>6.4109739287983563E-3</c:v>
                </c:pt>
              </c:numCache>
            </c:numRef>
          </c:val>
          <c:extLst>
            <c:ext xmlns:c16="http://schemas.microsoft.com/office/drawing/2014/chart" uri="{C3380CC4-5D6E-409C-BE32-E72D297353CC}">
              <c16:uniqueId val="{00000004-A995-4647-B1BE-90BFB58FBADB}"/>
            </c:ext>
          </c:extLst>
        </c:ser>
        <c:ser>
          <c:idx val="5"/>
          <c:order val="2"/>
          <c:tx>
            <c:strRef>
              <c:f>'Dashboard - Data'!$C$82</c:f>
              <c:strCache>
                <c:ptCount val="1"/>
                <c:pt idx="0">
                  <c:v>Corporate</c:v>
                </c:pt>
              </c:strCache>
            </c:strRef>
          </c:tx>
          <c:spPr>
            <a:solidFill>
              <a:schemeClr val="tx2">
                <a:lumMod val="20000"/>
                <a:lumOff val="80000"/>
              </a:schemeClr>
            </a:solidFill>
          </c:spPr>
          <c:invertIfNegative val="0"/>
          <c:cat>
            <c:strRef>
              <c:f>'Dashboard - Data'!$D$79:$R$79</c:f>
              <c:strCache>
                <c:ptCount val="15"/>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strCache>
            </c:strRef>
          </c:cat>
          <c:val>
            <c:numRef>
              <c:f>'Dashboard - Data'!$D$82:$R$82</c:f>
              <c:numCache>
                <c:formatCode>0.00</c:formatCode>
                <c:ptCount val="15"/>
                <c:pt idx="0">
                  <c:v>1.3269530805436434</c:v>
                </c:pt>
                <c:pt idx="1">
                  <c:v>1.49451222612406</c:v>
                </c:pt>
                <c:pt idx="2">
                  <c:v>1.4732598303559075</c:v>
                </c:pt>
                <c:pt idx="3">
                  <c:v>1.5905814513582075</c:v>
                </c:pt>
                <c:pt idx="4">
                  <c:v>1.5110885780800944</c:v>
                </c:pt>
                <c:pt idx="5">
                  <c:v>1.4315957048019814</c:v>
                </c:pt>
                <c:pt idx="6">
                  <c:v>1.4596478496560563</c:v>
                </c:pt>
                <c:pt idx="7">
                  <c:v>1.4685374563400626</c:v>
                </c:pt>
                <c:pt idx="8">
                  <c:v>1.4380112802603819</c:v>
                </c:pt>
                <c:pt idx="9">
                  <c:v>1.4344988973454311</c:v>
                </c:pt>
                <c:pt idx="10">
                  <c:v>1.4337183260011994</c:v>
                </c:pt>
                <c:pt idx="11">
                  <c:v>1.4320477860261536</c:v>
                </c:pt>
                <c:pt idx="12">
                  <c:v>1.4303887749205522</c:v>
                </c:pt>
                <c:pt idx="13">
                  <c:v>1.4287410014915363</c:v>
                </c:pt>
                <c:pt idx="14">
                  <c:v>1.4271041827208626</c:v>
                </c:pt>
              </c:numCache>
            </c:numRef>
          </c:val>
          <c:extLst>
            <c:ext xmlns:c16="http://schemas.microsoft.com/office/drawing/2014/chart" uri="{C3380CC4-5D6E-409C-BE32-E72D297353CC}">
              <c16:uniqueId val="{00000005-A995-4647-B1BE-90BFB58FBADB}"/>
            </c:ext>
          </c:extLst>
        </c:ser>
        <c:ser>
          <c:idx val="6"/>
          <c:order val="3"/>
          <c:tx>
            <c:strRef>
              <c:f>'Dashboard - Data'!$C$83</c:f>
              <c:strCache>
                <c:ptCount val="1"/>
                <c:pt idx="0">
                  <c:v>Other operating expenditure</c:v>
                </c:pt>
              </c:strCache>
            </c:strRef>
          </c:tx>
          <c:invertIfNegative val="0"/>
          <c:cat>
            <c:strRef>
              <c:f>'Dashboard - Data'!$D$79:$R$79</c:f>
              <c:strCache>
                <c:ptCount val="15"/>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strCache>
            </c:strRef>
          </c:cat>
          <c:val>
            <c:numRef>
              <c:f>'Dashboard - Data'!$D$83:$R$83</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A995-4647-B1BE-90BFB58FBADB}"/>
            </c:ext>
          </c:extLst>
        </c:ser>
        <c:dLbls>
          <c:showLegendKey val="0"/>
          <c:showVal val="0"/>
          <c:showCatName val="0"/>
          <c:showSerName val="0"/>
          <c:showPercent val="0"/>
          <c:showBubbleSize val="0"/>
        </c:dLbls>
        <c:gapWidth val="75"/>
        <c:overlap val="100"/>
        <c:axId val="209826176"/>
        <c:axId val="209827712"/>
      </c:barChart>
      <c:catAx>
        <c:axId val="209826176"/>
        <c:scaling>
          <c:orientation val="minMax"/>
        </c:scaling>
        <c:delete val="0"/>
        <c:axPos val="b"/>
        <c:numFmt formatCode="General" sourceLinked="0"/>
        <c:majorTickMark val="none"/>
        <c:minorTickMark val="none"/>
        <c:tickLblPos val="nextTo"/>
        <c:txPr>
          <a:bodyPr rot="-5400000" vert="horz"/>
          <a:lstStyle/>
          <a:p>
            <a:pPr>
              <a:defRPr/>
            </a:pPr>
            <a:endParaRPr lang="en-US"/>
          </a:p>
        </c:txPr>
        <c:crossAx val="209827712"/>
        <c:crosses val="autoZero"/>
        <c:auto val="1"/>
        <c:lblAlgn val="ctr"/>
        <c:lblOffset val="100"/>
        <c:noMultiLvlLbl val="0"/>
      </c:catAx>
      <c:valAx>
        <c:axId val="209827712"/>
        <c:scaling>
          <c:orientation val="minMax"/>
        </c:scaling>
        <c:delete val="0"/>
        <c:axPos val="l"/>
        <c:majorGridlines/>
        <c:numFmt formatCode="#,##0" sourceLinked="0"/>
        <c:majorTickMark val="none"/>
        <c:minorTickMark val="none"/>
        <c:tickLblPos val="nextTo"/>
        <c:spPr>
          <a:ln w="9525">
            <a:noFill/>
          </a:ln>
        </c:spPr>
        <c:txPr>
          <a:bodyPr/>
          <a:lstStyle/>
          <a:p>
            <a:pPr>
              <a:defRPr sz="1100"/>
            </a:pPr>
            <a:endParaRPr lang="en-US"/>
          </a:p>
        </c:txPr>
        <c:crossAx val="209826176"/>
        <c:crosses val="autoZero"/>
        <c:crossBetween val="between"/>
      </c:valAx>
    </c:plotArea>
    <c:legend>
      <c:legendPos val="b"/>
      <c:layout>
        <c:manualLayout>
          <c:xMode val="edge"/>
          <c:yMode val="edge"/>
          <c:x val="0"/>
          <c:y val="0.83423429108006164"/>
          <c:w val="1"/>
          <c:h val="0.16225099124724598"/>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Total operating expenditure</a:t>
            </a:r>
            <a:r>
              <a:rPr lang="en-AU" baseline="0"/>
              <a:t> by cost category - Waterways and Drainage ($m)</a:t>
            </a:r>
            <a:endParaRPr lang="en-AU"/>
          </a:p>
        </c:rich>
      </c:tx>
      <c:overlay val="0"/>
    </c:title>
    <c:autoTitleDeleted val="0"/>
    <c:plotArea>
      <c:layout>
        <c:manualLayout>
          <c:layoutTarget val="inner"/>
          <c:xMode val="edge"/>
          <c:yMode val="edge"/>
          <c:x val="5.3070983445429612E-2"/>
          <c:y val="0.19006735250708687"/>
          <c:w val="0.94486966556371477"/>
          <c:h val="0.49250410350207013"/>
        </c:manualLayout>
      </c:layout>
      <c:barChart>
        <c:barDir val="col"/>
        <c:grouping val="stacked"/>
        <c:varyColors val="0"/>
        <c:ser>
          <c:idx val="0"/>
          <c:order val="0"/>
          <c:tx>
            <c:strRef>
              <c:f>'Dashboard - Data'!$C$88</c:f>
              <c:strCache>
                <c:ptCount val="1"/>
                <c:pt idx="0">
                  <c:v>Operations &amp; Maintenance</c:v>
                </c:pt>
              </c:strCache>
            </c:strRef>
          </c:tx>
          <c:invertIfNegative val="0"/>
          <c:cat>
            <c:strRef>
              <c:f>'Dashboard - Data'!$D$87:$R$87</c:f>
              <c:strCache>
                <c:ptCount val="15"/>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strCache>
            </c:strRef>
          </c:cat>
          <c:val>
            <c:numRef>
              <c:f>'Dashboard - Data'!$D$88:$R$88</c:f>
              <c:numCache>
                <c:formatCode>0.00</c:formatCode>
                <c:ptCount val="15"/>
                <c:pt idx="0">
                  <c:v>115.24386312281433</c:v>
                </c:pt>
                <c:pt idx="1">
                  <c:v>115.9652263014066</c:v>
                </c:pt>
                <c:pt idx="2">
                  <c:v>116.25184942533647</c:v>
                </c:pt>
                <c:pt idx="3">
                  <c:v>135.02705814191035</c:v>
                </c:pt>
                <c:pt idx="4">
                  <c:v>132.78442509515372</c:v>
                </c:pt>
                <c:pt idx="5">
                  <c:v>134.91273653998249</c:v>
                </c:pt>
                <c:pt idx="6">
                  <c:v>135.71856257682342</c:v>
                </c:pt>
                <c:pt idx="7">
                  <c:v>136.58483015975736</c:v>
                </c:pt>
                <c:pt idx="8">
                  <c:v>136.8723235503372</c:v>
                </c:pt>
                <c:pt idx="9">
                  <c:v>136.95723362298705</c:v>
                </c:pt>
                <c:pt idx="10">
                  <c:v>136.96676552318755</c:v>
                </c:pt>
                <c:pt idx="11">
                  <c:v>136.76132083892301</c:v>
                </c:pt>
                <c:pt idx="12">
                  <c:v>136.64715574045906</c:v>
                </c:pt>
                <c:pt idx="13">
                  <c:v>136.61122413046039</c:v>
                </c:pt>
                <c:pt idx="14">
                  <c:v>136.38198894430829</c:v>
                </c:pt>
              </c:numCache>
            </c:numRef>
          </c:val>
          <c:extLst>
            <c:ext xmlns:c16="http://schemas.microsoft.com/office/drawing/2014/chart" uri="{C3380CC4-5D6E-409C-BE32-E72D297353CC}">
              <c16:uniqueId val="{00000000-8567-4B97-BEF0-0698A43AAE41}"/>
            </c:ext>
          </c:extLst>
        </c:ser>
        <c:ser>
          <c:idx val="2"/>
          <c:order val="1"/>
          <c:tx>
            <c:strRef>
              <c:f>'Dashboard - Data'!$C$89</c:f>
              <c:strCache>
                <c:ptCount val="1"/>
                <c:pt idx="0">
                  <c:v>Customer Service and billing</c:v>
                </c:pt>
              </c:strCache>
            </c:strRef>
          </c:tx>
          <c:spPr>
            <a:solidFill>
              <a:schemeClr val="tx2">
                <a:lumMod val="40000"/>
                <a:lumOff val="60000"/>
              </a:schemeClr>
            </a:solidFill>
          </c:spPr>
          <c:invertIfNegative val="0"/>
          <c:cat>
            <c:strRef>
              <c:f>'Dashboard - Data'!$D$87:$R$87</c:f>
              <c:strCache>
                <c:ptCount val="15"/>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strCache>
            </c:strRef>
          </c:cat>
          <c:val>
            <c:numRef>
              <c:f>'Dashboard - Data'!$D$89:$R$89</c:f>
              <c:numCache>
                <c:formatCode>0.00</c:formatCode>
                <c:ptCount val="15"/>
                <c:pt idx="0">
                  <c:v>17.987072545674302</c:v>
                </c:pt>
                <c:pt idx="1">
                  <c:v>17.314434391186438</c:v>
                </c:pt>
                <c:pt idx="2">
                  <c:v>18.638119526923077</c:v>
                </c:pt>
                <c:pt idx="3">
                  <c:v>18.176835241746723</c:v>
                </c:pt>
                <c:pt idx="4">
                  <c:v>18.14048157126323</c:v>
                </c:pt>
                <c:pt idx="5">
                  <c:v>18.14048157126323</c:v>
                </c:pt>
                <c:pt idx="6">
                  <c:v>18.14048157126323</c:v>
                </c:pt>
                <c:pt idx="7">
                  <c:v>18.14048157126323</c:v>
                </c:pt>
                <c:pt idx="8">
                  <c:v>18.14048157126323</c:v>
                </c:pt>
                <c:pt idx="9">
                  <c:v>18.14048157126323</c:v>
                </c:pt>
                <c:pt idx="10">
                  <c:v>18.14048157126323</c:v>
                </c:pt>
                <c:pt idx="11">
                  <c:v>18.14048157126323</c:v>
                </c:pt>
                <c:pt idx="12">
                  <c:v>18.14048157126323</c:v>
                </c:pt>
                <c:pt idx="13">
                  <c:v>18.14048157126323</c:v>
                </c:pt>
                <c:pt idx="14">
                  <c:v>18.14048157126323</c:v>
                </c:pt>
              </c:numCache>
            </c:numRef>
          </c:val>
          <c:extLst>
            <c:ext xmlns:c16="http://schemas.microsoft.com/office/drawing/2014/chart" uri="{C3380CC4-5D6E-409C-BE32-E72D297353CC}">
              <c16:uniqueId val="{00000002-8567-4B97-BEF0-0698A43AAE41}"/>
            </c:ext>
          </c:extLst>
        </c:ser>
        <c:ser>
          <c:idx val="4"/>
          <c:order val="2"/>
          <c:tx>
            <c:strRef>
              <c:f>'Dashboard - Data'!$C$90</c:f>
              <c:strCache>
                <c:ptCount val="1"/>
                <c:pt idx="0">
                  <c:v>Licence fees</c:v>
                </c:pt>
              </c:strCache>
            </c:strRef>
          </c:tx>
          <c:invertIfNegative val="0"/>
          <c:cat>
            <c:strRef>
              <c:f>'Dashboard - Data'!$D$87:$R$87</c:f>
              <c:strCache>
                <c:ptCount val="15"/>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strCache>
            </c:strRef>
          </c:cat>
          <c:val>
            <c:numRef>
              <c:f>'Dashboard - Data'!$D$90:$R$90</c:f>
              <c:numCache>
                <c:formatCode>0.00</c:formatCode>
                <c:ptCount val="15"/>
                <c:pt idx="0">
                  <c:v>0.32280516502009521</c:v>
                </c:pt>
                <c:pt idx="1">
                  <c:v>0.24911222359681479</c:v>
                </c:pt>
                <c:pt idx="2">
                  <c:v>0.24912901736958323</c:v>
                </c:pt>
                <c:pt idx="3">
                  <c:v>0.24882404144567552</c:v>
                </c:pt>
                <c:pt idx="4">
                  <c:v>0.24882404144567552</c:v>
                </c:pt>
                <c:pt idx="5">
                  <c:v>0.24882404144567552</c:v>
                </c:pt>
                <c:pt idx="6">
                  <c:v>0.24882404144567552</c:v>
                </c:pt>
                <c:pt idx="7">
                  <c:v>0.24882404144567552</c:v>
                </c:pt>
                <c:pt idx="8">
                  <c:v>0.24882404144567552</c:v>
                </c:pt>
                <c:pt idx="9">
                  <c:v>0.24882404144567552</c:v>
                </c:pt>
                <c:pt idx="10">
                  <c:v>0.24882404144567552</c:v>
                </c:pt>
                <c:pt idx="11">
                  <c:v>0.24882404144567552</c:v>
                </c:pt>
                <c:pt idx="12">
                  <c:v>0.24882404144567552</c:v>
                </c:pt>
                <c:pt idx="13">
                  <c:v>0.24882404144567552</c:v>
                </c:pt>
                <c:pt idx="14">
                  <c:v>0.24882404144567552</c:v>
                </c:pt>
              </c:numCache>
            </c:numRef>
          </c:val>
          <c:extLst>
            <c:ext xmlns:c16="http://schemas.microsoft.com/office/drawing/2014/chart" uri="{C3380CC4-5D6E-409C-BE32-E72D297353CC}">
              <c16:uniqueId val="{00000004-8567-4B97-BEF0-0698A43AAE41}"/>
            </c:ext>
          </c:extLst>
        </c:ser>
        <c:ser>
          <c:idx val="5"/>
          <c:order val="3"/>
          <c:tx>
            <c:strRef>
              <c:f>'Dashboard - Data'!$C$91</c:f>
              <c:strCache>
                <c:ptCount val="1"/>
                <c:pt idx="0">
                  <c:v>Corporate</c:v>
                </c:pt>
              </c:strCache>
            </c:strRef>
          </c:tx>
          <c:spPr>
            <a:solidFill>
              <a:schemeClr val="tx2">
                <a:lumMod val="20000"/>
                <a:lumOff val="80000"/>
              </a:schemeClr>
            </a:solidFill>
          </c:spPr>
          <c:invertIfNegative val="0"/>
          <c:cat>
            <c:strRef>
              <c:f>'Dashboard - Data'!$D$87:$R$87</c:f>
              <c:strCache>
                <c:ptCount val="15"/>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strCache>
            </c:strRef>
          </c:cat>
          <c:val>
            <c:numRef>
              <c:f>'Dashboard - Data'!$D$91:$R$91</c:f>
              <c:numCache>
                <c:formatCode>0.00</c:formatCode>
                <c:ptCount val="15"/>
                <c:pt idx="0">
                  <c:v>30.795625093179723</c:v>
                </c:pt>
                <c:pt idx="1">
                  <c:v>33.72941327490642</c:v>
                </c:pt>
                <c:pt idx="2">
                  <c:v>35.636401294212824</c:v>
                </c:pt>
                <c:pt idx="3">
                  <c:v>39.980942327644698</c:v>
                </c:pt>
                <c:pt idx="4">
                  <c:v>36.557198393375806</c:v>
                </c:pt>
                <c:pt idx="5">
                  <c:v>34.452550323338272</c:v>
                </c:pt>
                <c:pt idx="6">
                  <c:v>35.558184792648305</c:v>
                </c:pt>
                <c:pt idx="7">
                  <c:v>35.919603471514364</c:v>
                </c:pt>
                <c:pt idx="8">
                  <c:v>34.750746654838814</c:v>
                </c:pt>
                <c:pt idx="9">
                  <c:v>34.629905755616214</c:v>
                </c:pt>
                <c:pt idx="10">
                  <c:v>34.616905892851491</c:v>
                </c:pt>
                <c:pt idx="11">
                  <c:v>34.568938210635302</c:v>
                </c:pt>
                <c:pt idx="12">
                  <c:v>34.521003768353822</c:v>
                </c:pt>
                <c:pt idx="13">
                  <c:v>34.473102879973034</c:v>
                </c:pt>
                <c:pt idx="14">
                  <c:v>34.425235849424112</c:v>
                </c:pt>
              </c:numCache>
            </c:numRef>
          </c:val>
          <c:extLst>
            <c:ext xmlns:c16="http://schemas.microsoft.com/office/drawing/2014/chart" uri="{C3380CC4-5D6E-409C-BE32-E72D297353CC}">
              <c16:uniqueId val="{00000005-8567-4B97-BEF0-0698A43AAE41}"/>
            </c:ext>
          </c:extLst>
        </c:ser>
        <c:ser>
          <c:idx val="6"/>
          <c:order val="4"/>
          <c:tx>
            <c:strRef>
              <c:f>'Dashboard - Data'!$C$92</c:f>
              <c:strCache>
                <c:ptCount val="1"/>
                <c:pt idx="0">
                  <c:v>Other operating expenditure</c:v>
                </c:pt>
              </c:strCache>
            </c:strRef>
          </c:tx>
          <c:invertIfNegative val="0"/>
          <c:cat>
            <c:strRef>
              <c:f>'Dashboard - Data'!$D$87:$R$87</c:f>
              <c:strCache>
                <c:ptCount val="15"/>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strCache>
            </c:strRef>
          </c:cat>
          <c:val>
            <c:numRef>
              <c:f>'Dashboard - Data'!$D$92:$R$92</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8567-4B97-BEF0-0698A43AAE41}"/>
            </c:ext>
          </c:extLst>
        </c:ser>
        <c:dLbls>
          <c:showLegendKey val="0"/>
          <c:showVal val="0"/>
          <c:showCatName val="0"/>
          <c:showSerName val="0"/>
          <c:showPercent val="0"/>
          <c:showBubbleSize val="0"/>
        </c:dLbls>
        <c:gapWidth val="75"/>
        <c:overlap val="100"/>
        <c:axId val="209826176"/>
        <c:axId val="209827712"/>
      </c:barChart>
      <c:catAx>
        <c:axId val="209826176"/>
        <c:scaling>
          <c:orientation val="minMax"/>
        </c:scaling>
        <c:delete val="0"/>
        <c:axPos val="b"/>
        <c:numFmt formatCode="General" sourceLinked="0"/>
        <c:majorTickMark val="none"/>
        <c:minorTickMark val="none"/>
        <c:tickLblPos val="nextTo"/>
        <c:txPr>
          <a:bodyPr rot="-5400000" vert="horz"/>
          <a:lstStyle/>
          <a:p>
            <a:pPr>
              <a:defRPr/>
            </a:pPr>
            <a:endParaRPr lang="en-US"/>
          </a:p>
        </c:txPr>
        <c:crossAx val="209827712"/>
        <c:crosses val="autoZero"/>
        <c:auto val="1"/>
        <c:lblAlgn val="ctr"/>
        <c:lblOffset val="100"/>
        <c:noMultiLvlLbl val="0"/>
      </c:catAx>
      <c:valAx>
        <c:axId val="209827712"/>
        <c:scaling>
          <c:orientation val="minMax"/>
        </c:scaling>
        <c:delete val="0"/>
        <c:axPos val="l"/>
        <c:majorGridlines/>
        <c:numFmt formatCode="#,##0" sourceLinked="0"/>
        <c:majorTickMark val="none"/>
        <c:minorTickMark val="none"/>
        <c:tickLblPos val="nextTo"/>
        <c:spPr>
          <a:ln w="9525">
            <a:noFill/>
          </a:ln>
        </c:spPr>
        <c:crossAx val="209826176"/>
        <c:crosses val="autoZero"/>
        <c:crossBetween val="between"/>
      </c:valAx>
    </c:plotArea>
    <c:legend>
      <c:legendPos val="b"/>
      <c:layout>
        <c:manualLayout>
          <c:xMode val="edge"/>
          <c:yMode val="edge"/>
          <c:x val="0"/>
          <c:y val="0.83423429108006164"/>
          <c:w val="1"/>
          <c:h val="0.16225099124724598"/>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AU" sz="1800" b="1" i="0" u="none" strike="noStrike" baseline="0">
                <a:effectLst/>
              </a:rPr>
              <a:t>Total prescribed operating expenditure (Baseline categories, $m)</a:t>
            </a:r>
            <a:endParaRPr lang="en-AU" sz="1800"/>
          </a:p>
        </c:rich>
      </c:tx>
      <c:overlay val="0"/>
    </c:title>
    <c:autoTitleDeleted val="0"/>
    <c:plotArea>
      <c:layout>
        <c:manualLayout>
          <c:layoutTarget val="inner"/>
          <c:xMode val="edge"/>
          <c:yMode val="edge"/>
          <c:x val="8.142664966515617E-2"/>
          <c:y val="5.0136291703163589E-2"/>
          <c:w val="0.89655825943567757"/>
          <c:h val="0.67697679347250184"/>
        </c:manualLayout>
      </c:layout>
      <c:barChart>
        <c:barDir val="col"/>
        <c:grouping val="stacked"/>
        <c:varyColors val="0"/>
        <c:ser>
          <c:idx val="0"/>
          <c:order val="0"/>
          <c:tx>
            <c:strRef>
              <c:f>'Dashboard - Data'!$F$132</c:f>
              <c:strCache>
                <c:ptCount val="1"/>
                <c:pt idx="0">
                  <c:v>Fourth Reg period Opex</c:v>
                </c:pt>
              </c:strCache>
            </c:strRef>
          </c:tx>
          <c:invertIfNegative val="0"/>
          <c:cat>
            <c:strRef>
              <c:f>'Dashboard - Data'!$G$131:$R$131</c:f>
              <c:strCache>
                <c:ptCount val="12"/>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strCache>
            </c:strRef>
          </c:cat>
          <c:val>
            <c:numRef>
              <c:f>'Dashboard - Data'!$G$132:$R$132</c:f>
              <c:numCache>
                <c:formatCode>0.0</c:formatCode>
                <c:ptCount val="12"/>
                <c:pt idx="0">
                  <c:v>568.05319685796928</c:v>
                </c:pt>
                <c:pt idx="1">
                  <c:v>547.84335201999988</c:v>
                </c:pt>
              </c:numCache>
            </c:numRef>
          </c:val>
          <c:extLst>
            <c:ext xmlns:c16="http://schemas.microsoft.com/office/drawing/2014/chart" uri="{C3380CC4-5D6E-409C-BE32-E72D297353CC}">
              <c16:uniqueId val="{00000000-B7C9-40E3-A851-E8B486E627B6}"/>
            </c:ext>
          </c:extLst>
        </c:ser>
        <c:ser>
          <c:idx val="1"/>
          <c:order val="1"/>
          <c:tx>
            <c:strRef>
              <c:f>'Dashboard - Data'!$F$133</c:f>
              <c:strCache>
                <c:ptCount val="1"/>
                <c:pt idx="0">
                  <c:v>Adjusted baseline opex</c:v>
                </c:pt>
              </c:strCache>
            </c:strRef>
          </c:tx>
          <c:spPr>
            <a:solidFill>
              <a:schemeClr val="accent5">
                <a:lumMod val="60000"/>
                <a:lumOff val="40000"/>
              </a:schemeClr>
            </a:solidFill>
          </c:spPr>
          <c:invertIfNegative val="0"/>
          <c:cat>
            <c:strRef>
              <c:f>'Dashboard - Data'!$G$131:$R$131</c:f>
              <c:strCache>
                <c:ptCount val="12"/>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strCache>
            </c:strRef>
          </c:cat>
          <c:val>
            <c:numRef>
              <c:f>'Dashboard - Data'!$G$133:$R$133</c:f>
              <c:numCache>
                <c:formatCode>0.0</c:formatCode>
                <c:ptCount val="12"/>
                <c:pt idx="2">
                  <c:v>517.87078686349673</c:v>
                </c:pt>
                <c:pt idx="3">
                  <c:v>517.87078686349673</c:v>
                </c:pt>
                <c:pt idx="4">
                  <c:v>517.87078686349673</c:v>
                </c:pt>
                <c:pt idx="5">
                  <c:v>517.87078686349673</c:v>
                </c:pt>
                <c:pt idx="6">
                  <c:v>517.87078686349673</c:v>
                </c:pt>
                <c:pt idx="7">
                  <c:v>517.37956793484454</c:v>
                </c:pt>
                <c:pt idx="8">
                  <c:v>516.88881494488203</c:v>
                </c:pt>
                <c:pt idx="9">
                  <c:v>516.39852745164978</c:v>
                </c:pt>
                <c:pt idx="10">
                  <c:v>515.90870501360746</c:v>
                </c:pt>
                <c:pt idx="11">
                  <c:v>515.41934718963375</c:v>
                </c:pt>
              </c:numCache>
            </c:numRef>
          </c:val>
          <c:extLst>
            <c:ext xmlns:c16="http://schemas.microsoft.com/office/drawing/2014/chart" uri="{C3380CC4-5D6E-409C-BE32-E72D297353CC}">
              <c16:uniqueId val="{00000001-B7C9-40E3-A851-E8B486E627B6}"/>
            </c:ext>
          </c:extLst>
        </c:ser>
        <c:ser>
          <c:idx val="2"/>
          <c:order val="2"/>
          <c:tx>
            <c:strRef>
              <c:f>'Dashboard - Data'!$F$134</c:f>
              <c:strCache>
                <c:ptCount val="1"/>
                <c:pt idx="0">
                  <c:v>Forecast variations to baseline operating expenditure</c:v>
                </c:pt>
              </c:strCache>
            </c:strRef>
          </c:tx>
          <c:spPr>
            <a:solidFill>
              <a:schemeClr val="accent6">
                <a:lumMod val="60000"/>
                <a:lumOff val="40000"/>
              </a:schemeClr>
            </a:solidFill>
          </c:spPr>
          <c:invertIfNegative val="0"/>
          <c:cat>
            <c:strRef>
              <c:f>'Dashboard - Data'!$G$131:$R$131</c:f>
              <c:strCache>
                <c:ptCount val="12"/>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strCache>
            </c:strRef>
          </c:cat>
          <c:val>
            <c:numRef>
              <c:f>'Dashboard - Data'!$G$134:$R$134</c:f>
              <c:numCache>
                <c:formatCode>0.0</c:formatCode>
                <c:ptCount val="12"/>
                <c:pt idx="2">
                  <c:v>27.588946330051836</c:v>
                </c:pt>
                <c:pt idx="3">
                  <c:v>33.279063582018608</c:v>
                </c:pt>
                <c:pt idx="4">
                  <c:v>44.082726255294162</c:v>
                </c:pt>
                <c:pt idx="5">
                  <c:v>47.381032940907176</c:v>
                </c:pt>
                <c:pt idx="6">
                  <c:v>48.277205980229525</c:v>
                </c:pt>
                <c:pt idx="7">
                  <c:v>48.347057981188236</c:v>
                </c:pt>
                <c:pt idx="8">
                  <c:v>48.035968639866816</c:v>
                </c:pt>
                <c:pt idx="9">
                  <c:v>47.443554364751122</c:v>
                </c:pt>
                <c:pt idx="10">
                  <c:v>48.842483607653264</c:v>
                </c:pt>
                <c:pt idx="11">
                  <c:v>46.958811654815776</c:v>
                </c:pt>
              </c:numCache>
            </c:numRef>
          </c:val>
          <c:extLst>
            <c:ext xmlns:c16="http://schemas.microsoft.com/office/drawing/2014/chart" uri="{C3380CC4-5D6E-409C-BE32-E72D297353CC}">
              <c16:uniqueId val="{00000002-B7C9-40E3-A851-E8B486E627B6}"/>
            </c:ext>
          </c:extLst>
        </c:ser>
        <c:ser>
          <c:idx val="3"/>
          <c:order val="3"/>
          <c:tx>
            <c:strRef>
              <c:f>'Dashboard - Data'!$F$135</c:f>
              <c:strCache>
                <c:ptCount val="1"/>
                <c:pt idx="0">
                  <c:v>Licence fees</c:v>
                </c:pt>
              </c:strCache>
            </c:strRef>
          </c:tx>
          <c:spPr>
            <a:solidFill>
              <a:schemeClr val="accent3">
                <a:lumMod val="40000"/>
                <a:lumOff val="60000"/>
              </a:schemeClr>
            </a:solidFill>
          </c:spPr>
          <c:invertIfNegative val="0"/>
          <c:cat>
            <c:strRef>
              <c:f>'Dashboard - Data'!$G$131:$R$131</c:f>
              <c:strCache>
                <c:ptCount val="12"/>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strCache>
            </c:strRef>
          </c:cat>
          <c:val>
            <c:numRef>
              <c:f>'Dashboard - Data'!$G$135:$R$135</c:f>
              <c:numCache>
                <c:formatCode>0.0</c:formatCode>
                <c:ptCount val="12"/>
                <c:pt idx="0">
                  <c:v>2.8978902757641918</c:v>
                </c:pt>
                <c:pt idx="1">
                  <c:v>2.8978902757641918</c:v>
                </c:pt>
                <c:pt idx="2">
                  <c:v>2.8978902757641918</c:v>
                </c:pt>
                <c:pt idx="3">
                  <c:v>2.8978902757641918</c:v>
                </c:pt>
                <c:pt idx="4">
                  <c:v>2.8978902757641918</c:v>
                </c:pt>
                <c:pt idx="5">
                  <c:v>2.8978902757641918</c:v>
                </c:pt>
                <c:pt idx="6">
                  <c:v>2.8978902757641918</c:v>
                </c:pt>
                <c:pt idx="7">
                  <c:v>2.8978902757641918</c:v>
                </c:pt>
                <c:pt idx="8">
                  <c:v>2.8978902757641918</c:v>
                </c:pt>
                <c:pt idx="9">
                  <c:v>2.8978902757641918</c:v>
                </c:pt>
                <c:pt idx="10">
                  <c:v>2.8978902757641918</c:v>
                </c:pt>
                <c:pt idx="11">
                  <c:v>2.8978902757641918</c:v>
                </c:pt>
              </c:numCache>
            </c:numRef>
          </c:val>
          <c:extLst>
            <c:ext xmlns:c16="http://schemas.microsoft.com/office/drawing/2014/chart" uri="{C3380CC4-5D6E-409C-BE32-E72D297353CC}">
              <c16:uniqueId val="{00000003-B7C9-40E3-A851-E8B486E627B6}"/>
            </c:ext>
          </c:extLst>
        </c:ser>
        <c:ser>
          <c:idx val="4"/>
          <c:order val="4"/>
          <c:tx>
            <c:strRef>
              <c:f>'Dashboard - Data'!$F$136</c:f>
              <c:strCache>
                <c:ptCount val="1"/>
                <c:pt idx="0">
                  <c:v>Environment Contribution</c:v>
                </c:pt>
              </c:strCache>
            </c:strRef>
          </c:tx>
          <c:invertIfNegative val="0"/>
          <c:cat>
            <c:strRef>
              <c:f>'Dashboard - Data'!$G$131:$R$131</c:f>
              <c:strCache>
                <c:ptCount val="12"/>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strCache>
            </c:strRef>
          </c:cat>
          <c:val>
            <c:numRef>
              <c:f>'Dashboard - Data'!$G$136:$R$136</c:f>
              <c:numCache>
                <c:formatCode>0.0</c:formatCode>
                <c:ptCount val="12"/>
                <c:pt idx="0">
                  <c:v>3.665495499803495E-2</c:v>
                </c:pt>
                <c:pt idx="1">
                  <c:v>3.5795243900000016E-2</c:v>
                </c:pt>
                <c:pt idx="2">
                  <c:v>3.4786437220602547E-2</c:v>
                </c:pt>
                <c:pt idx="3">
                  <c:v>3.3806061438875171E-2</c:v>
                </c:pt>
                <c:pt idx="4">
                  <c:v>3.2853315295311152E-2</c:v>
                </c:pt>
                <c:pt idx="5">
                  <c:v>3.1927420112061372E-2</c:v>
                </c:pt>
                <c:pt idx="6">
                  <c:v>3.1027619156522229E-2</c:v>
                </c:pt>
                <c:pt idx="7">
                  <c:v>3.0153177022859311E-2</c:v>
                </c:pt>
                <c:pt idx="8">
                  <c:v>2.9303379030961432E-2</c:v>
                </c:pt>
                <c:pt idx="9">
                  <c:v>2.8477530642333757E-2</c:v>
                </c:pt>
                <c:pt idx="10">
                  <c:v>2.7674956892452633E-2</c:v>
                </c:pt>
                <c:pt idx="11">
                  <c:v>2.6895001839118207E-2</c:v>
                </c:pt>
              </c:numCache>
            </c:numRef>
          </c:val>
          <c:extLst>
            <c:ext xmlns:c16="http://schemas.microsoft.com/office/drawing/2014/chart" uri="{C3380CC4-5D6E-409C-BE32-E72D297353CC}">
              <c16:uniqueId val="{00000004-B7C9-40E3-A851-E8B486E627B6}"/>
            </c:ext>
          </c:extLst>
        </c:ser>
        <c:ser>
          <c:idx val="7"/>
          <c:order val="5"/>
          <c:tx>
            <c:strRef>
              <c:f>'Dashboard - Data'!$F$137</c:f>
              <c:strCache>
                <c:ptCount val="1"/>
                <c:pt idx="0">
                  <c:v>Desalination Payments</c:v>
                </c:pt>
              </c:strCache>
            </c:strRef>
          </c:tx>
          <c:spPr>
            <a:solidFill>
              <a:schemeClr val="tx2">
                <a:lumMod val="40000"/>
                <a:lumOff val="60000"/>
              </a:schemeClr>
            </a:solidFill>
          </c:spPr>
          <c:invertIfNegative val="0"/>
          <c:cat>
            <c:strRef>
              <c:f>'Dashboard - Data'!$G$131:$R$131</c:f>
              <c:strCache>
                <c:ptCount val="12"/>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strCache>
            </c:strRef>
          </c:cat>
          <c:val>
            <c:numRef>
              <c:f>'Dashboard - Data'!$G$137:$R$137</c:f>
              <c:numCache>
                <c:formatCode>0.0</c:formatCode>
                <c:ptCount val="12"/>
                <c:pt idx="0">
                  <c:v>547.30412034433414</c:v>
                </c:pt>
                <c:pt idx="1">
                  <c:v>530.2797577844874</c:v>
                </c:pt>
                <c:pt idx="2">
                  <c:v>519.65610716115782</c:v>
                </c:pt>
                <c:pt idx="3">
                  <c:v>507.23378314127302</c:v>
                </c:pt>
                <c:pt idx="4">
                  <c:v>502.13734976423558</c:v>
                </c:pt>
                <c:pt idx="5">
                  <c:v>480.98866546624782</c:v>
                </c:pt>
                <c:pt idx="6">
                  <c:v>460.29627939238156</c:v>
                </c:pt>
                <c:pt idx="7">
                  <c:v>438.03112520239159</c:v>
                </c:pt>
                <c:pt idx="8">
                  <c:v>414.00398512234364</c:v>
                </c:pt>
                <c:pt idx="9">
                  <c:v>378.84409564776519</c:v>
                </c:pt>
                <c:pt idx="10">
                  <c:v>351.94541390923274</c:v>
                </c:pt>
                <c:pt idx="11">
                  <c:v>323.92970971699924</c:v>
                </c:pt>
              </c:numCache>
            </c:numRef>
          </c:val>
          <c:extLst>
            <c:ext xmlns:c16="http://schemas.microsoft.com/office/drawing/2014/chart" uri="{C3380CC4-5D6E-409C-BE32-E72D297353CC}">
              <c16:uniqueId val="{00000005-B7C9-40E3-A851-E8B486E627B6}"/>
            </c:ext>
          </c:extLst>
        </c:ser>
        <c:ser>
          <c:idx val="5"/>
          <c:order val="6"/>
          <c:tx>
            <c:strRef>
              <c:f>'Dashboard - Data'!$F$138</c:f>
              <c:strCache>
                <c:ptCount val="1"/>
              </c:strCache>
            </c:strRef>
          </c:tx>
          <c:invertIfNegative val="0"/>
          <c:cat>
            <c:strRef>
              <c:f>'Dashboard - Data'!$G$131:$R$131</c:f>
              <c:strCache>
                <c:ptCount val="12"/>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strCache>
            </c:strRef>
          </c:cat>
          <c:val>
            <c:numRef>
              <c:f>'Dashboard - Data'!$G$138:$R$138</c:f>
              <c:numCache>
                <c:formatCode>0.0</c:formatCode>
                <c:ptCount val="12"/>
              </c:numCache>
            </c:numRef>
          </c:val>
          <c:extLst>
            <c:ext xmlns:c16="http://schemas.microsoft.com/office/drawing/2014/chart" uri="{C3380CC4-5D6E-409C-BE32-E72D297353CC}">
              <c16:uniqueId val="{00000006-B7C9-40E3-A851-E8B486E627B6}"/>
            </c:ext>
          </c:extLst>
        </c:ser>
        <c:ser>
          <c:idx val="6"/>
          <c:order val="7"/>
          <c:tx>
            <c:strRef>
              <c:f>'Dashboard - Data'!$F$139</c:f>
              <c:strCache>
                <c:ptCount val="1"/>
                <c:pt idx="0">
                  <c:v>Other non-controllable</c:v>
                </c:pt>
              </c:strCache>
            </c:strRef>
          </c:tx>
          <c:spPr>
            <a:solidFill>
              <a:schemeClr val="tx2"/>
            </a:solidFill>
          </c:spPr>
          <c:invertIfNegative val="0"/>
          <c:cat>
            <c:strRef>
              <c:f>'Dashboard - Data'!$G$131:$R$131</c:f>
              <c:strCache>
                <c:ptCount val="12"/>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strCache>
            </c:strRef>
          </c:cat>
          <c:val>
            <c:numRef>
              <c:f>'Dashboard - Data'!$G$139:$R$139</c:f>
              <c:numCache>
                <c:formatCode>0.0</c:formatCode>
                <c:ptCount val="12"/>
                <c:pt idx="0">
                  <c:v>46.284554643604579</c:v>
                </c:pt>
                <c:pt idx="1">
                  <c:v>52.760150598720088</c:v>
                </c:pt>
                <c:pt idx="2">
                  <c:v>47.043857033064519</c:v>
                </c:pt>
                <c:pt idx="3">
                  <c:v>47.241439292764042</c:v>
                </c:pt>
                <c:pt idx="4">
                  <c:v>47.440273774173868</c:v>
                </c:pt>
                <c:pt idx="5">
                  <c:v>47.640358457637717</c:v>
                </c:pt>
                <c:pt idx="6">
                  <c:v>47.632351912201202</c:v>
                </c:pt>
                <c:pt idx="7">
                  <c:v>47.624571012846005</c:v>
                </c:pt>
                <c:pt idx="8">
                  <c:v>47.61700940025591</c:v>
                </c:pt>
                <c:pt idx="9">
                  <c:v>47.609660894337438</c:v>
                </c:pt>
                <c:pt idx="10">
                  <c:v>47.60251948916887</c:v>
                </c:pt>
                <c:pt idx="11">
                  <c:v>47.595579348091547</c:v>
                </c:pt>
              </c:numCache>
            </c:numRef>
          </c:val>
          <c:extLst>
            <c:ext xmlns:c16="http://schemas.microsoft.com/office/drawing/2014/chart" uri="{C3380CC4-5D6E-409C-BE32-E72D297353CC}">
              <c16:uniqueId val="{00000007-B7C9-40E3-A851-E8B486E627B6}"/>
            </c:ext>
          </c:extLst>
        </c:ser>
        <c:dLbls>
          <c:showLegendKey val="0"/>
          <c:showVal val="0"/>
          <c:showCatName val="0"/>
          <c:showSerName val="0"/>
          <c:showPercent val="0"/>
          <c:showBubbleSize val="0"/>
        </c:dLbls>
        <c:gapWidth val="82"/>
        <c:overlap val="100"/>
        <c:axId val="197949696"/>
        <c:axId val="197967872"/>
      </c:barChart>
      <c:catAx>
        <c:axId val="197949696"/>
        <c:scaling>
          <c:orientation val="minMax"/>
        </c:scaling>
        <c:delete val="0"/>
        <c:axPos val="b"/>
        <c:numFmt formatCode="General" sourceLinked="1"/>
        <c:majorTickMark val="out"/>
        <c:minorTickMark val="none"/>
        <c:tickLblPos val="nextTo"/>
        <c:crossAx val="197967872"/>
        <c:crosses val="autoZero"/>
        <c:auto val="1"/>
        <c:lblAlgn val="ctr"/>
        <c:lblOffset val="100"/>
        <c:noMultiLvlLbl val="0"/>
      </c:catAx>
      <c:valAx>
        <c:axId val="197967872"/>
        <c:scaling>
          <c:orientation val="minMax"/>
          <c:max val="1200"/>
        </c:scaling>
        <c:delete val="0"/>
        <c:axPos val="l"/>
        <c:majorGridlines>
          <c:spPr>
            <a:ln>
              <a:solidFill>
                <a:schemeClr val="bg1">
                  <a:lumMod val="85000"/>
                </a:schemeClr>
              </a:solidFill>
            </a:ln>
          </c:spPr>
        </c:majorGridlines>
        <c:numFmt formatCode="#,##0" sourceLinked="0"/>
        <c:majorTickMark val="out"/>
        <c:minorTickMark val="none"/>
        <c:tickLblPos val="nextTo"/>
        <c:crossAx val="197949696"/>
        <c:crosses val="autoZero"/>
        <c:crossBetween val="between"/>
      </c:valAx>
    </c:plotArea>
    <c:legend>
      <c:legendPos val="r"/>
      <c:legendEntry>
        <c:idx val="1"/>
        <c:delete val="1"/>
      </c:legendEntry>
      <c:layout>
        <c:manualLayout>
          <c:xMode val="edge"/>
          <c:yMode val="edge"/>
          <c:x val="0"/>
          <c:y val="0.83185334322348214"/>
          <c:w val="1"/>
          <c:h val="0.15530862562254955"/>
        </c:manualLayout>
      </c:layout>
      <c:overlay val="0"/>
      <c:txPr>
        <a:bodyPr/>
        <a:lstStyle/>
        <a:p>
          <a:pPr>
            <a:defRPr sz="105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AU" sz="1800"/>
              <a:t> Non-controllable operating expenditure with Desalination payments ($m)</a:t>
            </a:r>
          </a:p>
        </c:rich>
      </c:tx>
      <c:overlay val="1"/>
    </c:title>
    <c:autoTitleDeleted val="0"/>
    <c:plotArea>
      <c:layout>
        <c:manualLayout>
          <c:layoutTarget val="inner"/>
          <c:xMode val="edge"/>
          <c:yMode val="edge"/>
          <c:x val="5.8487565353348321E-2"/>
          <c:y val="7.826462221984154E-2"/>
          <c:w val="0.91736522309711288"/>
          <c:h val="0.65673371570738992"/>
        </c:manualLayout>
      </c:layout>
      <c:barChart>
        <c:barDir val="col"/>
        <c:grouping val="stacked"/>
        <c:varyColors val="0"/>
        <c:ser>
          <c:idx val="2"/>
          <c:order val="0"/>
          <c:tx>
            <c:strRef>
              <c:f>'Dashboard - Data'!$F$164</c:f>
              <c:strCache>
                <c:ptCount val="1"/>
                <c:pt idx="0">
                  <c:v>Licence fees</c:v>
                </c:pt>
              </c:strCache>
            </c:strRef>
          </c:tx>
          <c:spPr>
            <a:solidFill>
              <a:schemeClr val="accent6">
                <a:lumMod val="60000"/>
                <a:lumOff val="40000"/>
              </a:schemeClr>
            </a:solidFill>
          </c:spPr>
          <c:invertIfNegative val="0"/>
          <c:cat>
            <c:strRef>
              <c:f>'Dashboard - Data'!$G$161:$R$163</c:f>
              <c:strCache>
                <c:ptCount val="12"/>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strCache>
            </c:strRef>
          </c:cat>
          <c:val>
            <c:numRef>
              <c:f>'Dashboard - Data'!$G$164:$R$164</c:f>
              <c:numCache>
                <c:formatCode>0.0</c:formatCode>
                <c:ptCount val="12"/>
                <c:pt idx="0">
                  <c:v>2.8978902757641918</c:v>
                </c:pt>
                <c:pt idx="1">
                  <c:v>2.8978902757641918</c:v>
                </c:pt>
                <c:pt idx="2">
                  <c:v>2.8978902757641918</c:v>
                </c:pt>
                <c:pt idx="3">
                  <c:v>2.8978902757641918</c:v>
                </c:pt>
                <c:pt idx="4">
                  <c:v>2.8978902757641918</c:v>
                </c:pt>
                <c:pt idx="5">
                  <c:v>2.8978902757641918</c:v>
                </c:pt>
                <c:pt idx="6">
                  <c:v>2.8978902757641918</c:v>
                </c:pt>
                <c:pt idx="7">
                  <c:v>2.8978902757641918</c:v>
                </c:pt>
                <c:pt idx="8">
                  <c:v>2.8978902757641918</c:v>
                </c:pt>
                <c:pt idx="9">
                  <c:v>2.8978902757641918</c:v>
                </c:pt>
                <c:pt idx="10">
                  <c:v>2.8978902757641918</c:v>
                </c:pt>
                <c:pt idx="11">
                  <c:v>2.8978902757641918</c:v>
                </c:pt>
              </c:numCache>
            </c:numRef>
          </c:val>
          <c:extLst>
            <c:ext xmlns:c16="http://schemas.microsoft.com/office/drawing/2014/chart" uri="{C3380CC4-5D6E-409C-BE32-E72D297353CC}">
              <c16:uniqueId val="{00000000-9C39-4F87-9217-EE9A570F3ECF}"/>
            </c:ext>
          </c:extLst>
        </c:ser>
        <c:ser>
          <c:idx val="3"/>
          <c:order val="1"/>
          <c:tx>
            <c:strRef>
              <c:f>'Dashboard - Data'!$F$165</c:f>
              <c:strCache>
                <c:ptCount val="1"/>
                <c:pt idx="0">
                  <c:v>Environment Contribution</c:v>
                </c:pt>
              </c:strCache>
            </c:strRef>
          </c:tx>
          <c:spPr>
            <a:solidFill>
              <a:schemeClr val="bg1">
                <a:lumMod val="75000"/>
              </a:schemeClr>
            </a:solidFill>
          </c:spPr>
          <c:invertIfNegative val="0"/>
          <c:cat>
            <c:strRef>
              <c:f>'Dashboard - Data'!$G$161:$R$163</c:f>
              <c:strCache>
                <c:ptCount val="12"/>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strCache>
            </c:strRef>
          </c:cat>
          <c:val>
            <c:numRef>
              <c:f>'Dashboard - Data'!$G$165:$R$165</c:f>
              <c:numCache>
                <c:formatCode>0.00</c:formatCode>
                <c:ptCount val="12"/>
                <c:pt idx="0">
                  <c:v>3.665495499803495E-2</c:v>
                </c:pt>
                <c:pt idx="1">
                  <c:v>3.5795243900000016E-2</c:v>
                </c:pt>
                <c:pt idx="2">
                  <c:v>3.4786437220602547E-2</c:v>
                </c:pt>
                <c:pt idx="3">
                  <c:v>3.3806061438875171E-2</c:v>
                </c:pt>
                <c:pt idx="4">
                  <c:v>3.2853315295311152E-2</c:v>
                </c:pt>
                <c:pt idx="5">
                  <c:v>3.1927420112061372E-2</c:v>
                </c:pt>
                <c:pt idx="6">
                  <c:v>3.1027619156522229E-2</c:v>
                </c:pt>
                <c:pt idx="7">
                  <c:v>3.0153177022859311E-2</c:v>
                </c:pt>
                <c:pt idx="8">
                  <c:v>2.9303379030961432E-2</c:v>
                </c:pt>
                <c:pt idx="9">
                  <c:v>2.8477530642333757E-2</c:v>
                </c:pt>
                <c:pt idx="10">
                  <c:v>2.7674956892452633E-2</c:v>
                </c:pt>
                <c:pt idx="11">
                  <c:v>2.6895001839118207E-2</c:v>
                </c:pt>
              </c:numCache>
            </c:numRef>
          </c:val>
          <c:extLst>
            <c:ext xmlns:c16="http://schemas.microsoft.com/office/drawing/2014/chart" uri="{C3380CC4-5D6E-409C-BE32-E72D297353CC}">
              <c16:uniqueId val="{00000001-9C39-4F87-9217-EE9A570F3ECF}"/>
            </c:ext>
          </c:extLst>
        </c:ser>
        <c:ser>
          <c:idx val="4"/>
          <c:order val="2"/>
          <c:tx>
            <c:strRef>
              <c:f>'Dashboard - Data'!$F$166</c:f>
              <c:strCache>
                <c:ptCount val="1"/>
                <c:pt idx="0">
                  <c:v>Desalination Payments</c:v>
                </c:pt>
              </c:strCache>
            </c:strRef>
          </c:tx>
          <c:invertIfNegative val="0"/>
          <c:cat>
            <c:strRef>
              <c:f>'Dashboard - Data'!$G$161:$R$163</c:f>
              <c:strCache>
                <c:ptCount val="12"/>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strCache>
            </c:strRef>
          </c:cat>
          <c:val>
            <c:numRef>
              <c:f>'Dashboard - Data'!$G$166:$R$166</c:f>
              <c:numCache>
                <c:formatCode>0.0</c:formatCode>
                <c:ptCount val="12"/>
                <c:pt idx="0">
                  <c:v>547.30412034433414</c:v>
                </c:pt>
                <c:pt idx="1">
                  <c:v>530.2797577844874</c:v>
                </c:pt>
                <c:pt idx="2">
                  <c:v>519.65610716115782</c:v>
                </c:pt>
                <c:pt idx="3">
                  <c:v>507.23378314127302</c:v>
                </c:pt>
                <c:pt idx="4">
                  <c:v>502.13734976423558</c:v>
                </c:pt>
                <c:pt idx="5">
                  <c:v>480.98866546624782</c:v>
                </c:pt>
                <c:pt idx="6">
                  <c:v>460.29627939238156</c:v>
                </c:pt>
                <c:pt idx="7">
                  <c:v>438.03112520239159</c:v>
                </c:pt>
                <c:pt idx="8">
                  <c:v>414.00398512234364</c:v>
                </c:pt>
                <c:pt idx="9">
                  <c:v>378.84409564776519</c:v>
                </c:pt>
                <c:pt idx="10">
                  <c:v>351.94541390923274</c:v>
                </c:pt>
                <c:pt idx="11">
                  <c:v>323.92970971699924</c:v>
                </c:pt>
              </c:numCache>
            </c:numRef>
          </c:val>
          <c:extLst>
            <c:ext xmlns:c16="http://schemas.microsoft.com/office/drawing/2014/chart" uri="{C3380CC4-5D6E-409C-BE32-E72D297353CC}">
              <c16:uniqueId val="{00000002-9C39-4F87-9217-EE9A570F3ECF}"/>
            </c:ext>
          </c:extLst>
        </c:ser>
        <c:ser>
          <c:idx val="0"/>
          <c:order val="3"/>
          <c:tx>
            <c:strRef>
              <c:f>'Dashboard - Data'!$F$167</c:f>
              <c:strCache>
                <c:ptCount val="1"/>
                <c:pt idx="0">
                  <c:v>Other non-controllable</c:v>
                </c:pt>
              </c:strCache>
            </c:strRef>
          </c:tx>
          <c:invertIfNegative val="0"/>
          <c:cat>
            <c:strRef>
              <c:f>'Dashboard - Data'!$G$161:$R$163</c:f>
              <c:strCache>
                <c:ptCount val="12"/>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strCache>
            </c:strRef>
          </c:cat>
          <c:val>
            <c:numRef>
              <c:f>'Dashboard - Data'!$G$167:$R$167</c:f>
              <c:numCache>
                <c:formatCode>0.0</c:formatCode>
                <c:ptCount val="12"/>
                <c:pt idx="0">
                  <c:v>46.284554643604579</c:v>
                </c:pt>
                <c:pt idx="1">
                  <c:v>52.760150598720088</c:v>
                </c:pt>
                <c:pt idx="2">
                  <c:v>47.043857033064519</c:v>
                </c:pt>
                <c:pt idx="3">
                  <c:v>47.241439292764042</c:v>
                </c:pt>
                <c:pt idx="4">
                  <c:v>47.440273774173868</c:v>
                </c:pt>
                <c:pt idx="5">
                  <c:v>47.640358457637717</c:v>
                </c:pt>
                <c:pt idx="6">
                  <c:v>47.632351912201202</c:v>
                </c:pt>
                <c:pt idx="7">
                  <c:v>47.624571012846005</c:v>
                </c:pt>
                <c:pt idx="8">
                  <c:v>47.61700940025591</c:v>
                </c:pt>
                <c:pt idx="9">
                  <c:v>47.609660894337438</c:v>
                </c:pt>
                <c:pt idx="10">
                  <c:v>47.60251948916887</c:v>
                </c:pt>
                <c:pt idx="11">
                  <c:v>47.595579348091547</c:v>
                </c:pt>
              </c:numCache>
            </c:numRef>
          </c:val>
          <c:extLst>
            <c:ext xmlns:c16="http://schemas.microsoft.com/office/drawing/2014/chart" uri="{C3380CC4-5D6E-409C-BE32-E72D297353CC}">
              <c16:uniqueId val="{00000003-9C39-4F87-9217-EE9A570F3ECF}"/>
            </c:ext>
          </c:extLst>
        </c:ser>
        <c:dLbls>
          <c:showLegendKey val="0"/>
          <c:showVal val="0"/>
          <c:showCatName val="0"/>
          <c:showSerName val="0"/>
          <c:showPercent val="0"/>
          <c:showBubbleSize val="0"/>
        </c:dLbls>
        <c:gapWidth val="96"/>
        <c:overlap val="100"/>
        <c:axId val="198046080"/>
        <c:axId val="198047616"/>
      </c:barChart>
      <c:catAx>
        <c:axId val="198046080"/>
        <c:scaling>
          <c:orientation val="minMax"/>
        </c:scaling>
        <c:delete val="0"/>
        <c:axPos val="b"/>
        <c:numFmt formatCode="General" sourceLinked="1"/>
        <c:majorTickMark val="out"/>
        <c:minorTickMark val="none"/>
        <c:tickLblPos val="nextTo"/>
        <c:crossAx val="198047616"/>
        <c:crosses val="autoZero"/>
        <c:auto val="1"/>
        <c:lblAlgn val="ctr"/>
        <c:lblOffset val="100"/>
        <c:noMultiLvlLbl val="0"/>
      </c:catAx>
      <c:valAx>
        <c:axId val="198047616"/>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50"/>
            </a:pPr>
            <a:endParaRPr lang="en-US"/>
          </a:p>
        </c:txPr>
        <c:crossAx val="198046080"/>
        <c:crosses val="autoZero"/>
        <c:crossBetween val="between"/>
      </c:valAx>
    </c:plotArea>
    <c:legend>
      <c:legendPos val="b"/>
      <c:layout>
        <c:manualLayout>
          <c:xMode val="edge"/>
          <c:yMode val="edge"/>
          <c:x val="3.2268337865343021E-2"/>
          <c:y val="0.83065800380052379"/>
          <c:w val="0.90673450358294538"/>
          <c:h val="0.130317615948373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AU" sz="1800" b="1"/>
              <a:t>Controllable Opex: Current vs Previous Review</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9392217799650988E-2"/>
          <c:y val="7.3707059738757075E-2"/>
          <c:w val="0.92309893433462087"/>
          <c:h val="0.63471940042914321"/>
        </c:manualLayout>
      </c:layout>
      <c:lineChart>
        <c:grouping val="standard"/>
        <c:varyColors val="0"/>
        <c:ser>
          <c:idx val="0"/>
          <c:order val="0"/>
          <c:tx>
            <c:strRef>
              <c:f>'Dashboard - Data'!$E$180</c:f>
              <c:strCache>
                <c:ptCount val="1"/>
                <c:pt idx="0">
                  <c:v>FD 2020/21 Benchmarks</c:v>
                </c:pt>
              </c:strCache>
            </c:strRef>
          </c:tx>
          <c:spPr>
            <a:ln w="38100" cap="rnd">
              <a:solidFill>
                <a:schemeClr val="tx2"/>
              </a:solidFill>
              <a:round/>
            </a:ln>
            <a:effectLst/>
          </c:spPr>
          <c:marker>
            <c:symbol val="none"/>
          </c:marker>
          <c:cat>
            <c:strRef>
              <c:f>'Dashboard - Data'!$F$179:$P$179</c:f>
              <c:strCache>
                <c:ptCount val="11"/>
                <c:pt idx="0">
                  <c:v>2020-21</c:v>
                </c:pt>
                <c:pt idx="1">
                  <c:v>2021-22</c:v>
                </c:pt>
                <c:pt idx="2">
                  <c:v>2022-23</c:v>
                </c:pt>
                <c:pt idx="3">
                  <c:v>2023-24</c:v>
                </c:pt>
                <c:pt idx="4">
                  <c:v>2024-25</c:v>
                </c:pt>
                <c:pt idx="5">
                  <c:v>2025-26</c:v>
                </c:pt>
                <c:pt idx="6">
                  <c:v>2026-27</c:v>
                </c:pt>
                <c:pt idx="7">
                  <c:v>2027-28</c:v>
                </c:pt>
                <c:pt idx="8">
                  <c:v>2028-29</c:v>
                </c:pt>
                <c:pt idx="9">
                  <c:v>2029-30</c:v>
                </c:pt>
                <c:pt idx="10">
                  <c:v>2030-31</c:v>
                </c:pt>
              </c:strCache>
            </c:strRef>
          </c:cat>
          <c:val>
            <c:numRef>
              <c:f>'Dashboard - Data'!$F$180:$P$180</c:f>
              <c:numCache>
                <c:formatCode>0.00</c:formatCode>
                <c:ptCount val="11"/>
                <c:pt idx="0">
                  <c:v>478.88790661522034</c:v>
                </c:pt>
                <c:pt idx="1">
                  <c:v>464.35261142983683</c:v>
                </c:pt>
                <c:pt idx="2">
                  <c:v>460.38395741805232</c:v>
                </c:pt>
                <c:pt idx="3">
                  <c:v>462.2812313055486</c:v>
                </c:pt>
                <c:pt idx="4">
                  <c:v>467.3678224714638</c:v>
                </c:pt>
                <c:pt idx="5">
                  <c:v>471.79175435209817</c:v>
                </c:pt>
              </c:numCache>
            </c:numRef>
          </c:val>
          <c:smooth val="1"/>
          <c:extLst>
            <c:ext xmlns:c16="http://schemas.microsoft.com/office/drawing/2014/chart" uri="{C3380CC4-5D6E-409C-BE32-E72D297353CC}">
              <c16:uniqueId val="{00000000-AB44-4F70-ABB3-D36FDCF79BB9}"/>
            </c:ext>
          </c:extLst>
        </c:ser>
        <c:ser>
          <c:idx val="1"/>
          <c:order val="1"/>
          <c:tx>
            <c:strRef>
              <c:f>'Dashboard - Data'!$E$181</c:f>
              <c:strCache>
                <c:ptCount val="1"/>
                <c:pt idx="0">
                  <c:v>FD 2020/21 Forecast</c:v>
                </c:pt>
              </c:strCache>
            </c:strRef>
          </c:tx>
          <c:spPr>
            <a:ln w="38100" cap="rnd">
              <a:solidFill>
                <a:srgbClr val="3399FF"/>
              </a:solidFill>
              <a:round/>
            </a:ln>
            <a:effectLst/>
          </c:spPr>
          <c:marker>
            <c:symbol val="none"/>
          </c:marker>
          <c:cat>
            <c:strRef>
              <c:f>'Dashboard - Data'!$F$179:$P$179</c:f>
              <c:strCache>
                <c:ptCount val="11"/>
                <c:pt idx="0">
                  <c:v>2020-21</c:v>
                </c:pt>
                <c:pt idx="1">
                  <c:v>2021-22</c:v>
                </c:pt>
                <c:pt idx="2">
                  <c:v>2022-23</c:v>
                </c:pt>
                <c:pt idx="3">
                  <c:v>2023-24</c:v>
                </c:pt>
                <c:pt idx="4">
                  <c:v>2024-25</c:v>
                </c:pt>
                <c:pt idx="5">
                  <c:v>2025-26</c:v>
                </c:pt>
                <c:pt idx="6">
                  <c:v>2026-27</c:v>
                </c:pt>
                <c:pt idx="7">
                  <c:v>2027-28</c:v>
                </c:pt>
                <c:pt idx="8">
                  <c:v>2028-29</c:v>
                </c:pt>
                <c:pt idx="9">
                  <c:v>2029-30</c:v>
                </c:pt>
                <c:pt idx="10">
                  <c:v>2030-31</c:v>
                </c:pt>
              </c:strCache>
            </c:strRef>
          </c:cat>
          <c:val>
            <c:numRef>
              <c:f>'Dashboard - Data'!$F$181:$P$181</c:f>
              <c:numCache>
                <c:formatCode>General</c:formatCode>
                <c:ptCount val="11"/>
                <c:pt idx="5" formatCode="0.00">
                  <c:v>471.79175435209817</c:v>
                </c:pt>
                <c:pt idx="6" formatCode="0.00">
                  <c:v>471.78802568142913</c:v>
                </c:pt>
                <c:pt idx="7" formatCode="0.00">
                  <c:v>471.79206809137764</c:v>
                </c:pt>
                <c:pt idx="8" formatCode="0.00">
                  <c:v>471.78730166770691</c:v>
                </c:pt>
                <c:pt idx="9" formatCode="0.00">
                  <c:v>471.79291277405355</c:v>
                </c:pt>
                <c:pt idx="10" formatCode="0.00">
                  <c:v>471.78730166770691</c:v>
                </c:pt>
              </c:numCache>
            </c:numRef>
          </c:val>
          <c:smooth val="1"/>
          <c:extLst>
            <c:ext xmlns:c16="http://schemas.microsoft.com/office/drawing/2014/chart" uri="{C3380CC4-5D6E-409C-BE32-E72D297353CC}">
              <c16:uniqueId val="{00000001-AB44-4F70-ABB3-D36FDCF79BB9}"/>
            </c:ext>
          </c:extLst>
        </c:ser>
        <c:ser>
          <c:idx val="2"/>
          <c:order val="2"/>
          <c:tx>
            <c:strRef>
              <c:f>'Dashboard - Data'!$E$182</c:f>
              <c:strCache>
                <c:ptCount val="1"/>
                <c:pt idx="0">
                  <c:v>PS5 Actual (2021-2026)</c:v>
                </c:pt>
              </c:strCache>
            </c:strRef>
          </c:tx>
          <c:spPr>
            <a:ln w="38100" cap="rnd">
              <a:solidFill>
                <a:srgbClr val="FF0000"/>
              </a:solidFill>
              <a:round/>
            </a:ln>
            <a:effectLst/>
          </c:spPr>
          <c:marker>
            <c:symbol val="none"/>
          </c:marker>
          <c:cat>
            <c:strRef>
              <c:f>'Dashboard - Data'!$F$179:$P$179</c:f>
              <c:strCache>
                <c:ptCount val="11"/>
                <c:pt idx="0">
                  <c:v>2020-21</c:v>
                </c:pt>
                <c:pt idx="1">
                  <c:v>2021-22</c:v>
                </c:pt>
                <c:pt idx="2">
                  <c:v>2022-23</c:v>
                </c:pt>
                <c:pt idx="3">
                  <c:v>2023-24</c:v>
                </c:pt>
                <c:pt idx="4">
                  <c:v>2024-25</c:v>
                </c:pt>
                <c:pt idx="5">
                  <c:v>2025-26</c:v>
                </c:pt>
                <c:pt idx="6">
                  <c:v>2026-27</c:v>
                </c:pt>
                <c:pt idx="7">
                  <c:v>2027-28</c:v>
                </c:pt>
                <c:pt idx="8">
                  <c:v>2028-29</c:v>
                </c:pt>
                <c:pt idx="9">
                  <c:v>2029-30</c:v>
                </c:pt>
                <c:pt idx="10">
                  <c:v>2030-31</c:v>
                </c:pt>
              </c:strCache>
            </c:strRef>
          </c:cat>
          <c:val>
            <c:numRef>
              <c:f>'Dashboard - Data'!$F$182:$P$182</c:f>
              <c:numCache>
                <c:formatCode>0.00</c:formatCode>
                <c:ptCount val="11"/>
                <c:pt idx="0">
                  <c:v>463.4341967889622</c:v>
                </c:pt>
                <c:pt idx="1">
                  <c:v>501.2491774159792</c:v>
                </c:pt>
                <c:pt idx="2">
                  <c:v>500.26722780491616</c:v>
                </c:pt>
                <c:pt idx="3">
                  <c:v>508.48725061361989</c:v>
                </c:pt>
                <c:pt idx="4">
                  <c:v>568.05319685796928</c:v>
                </c:pt>
                <c:pt idx="5">
                  <c:v>547.84335201999977</c:v>
                </c:pt>
              </c:numCache>
            </c:numRef>
          </c:val>
          <c:smooth val="1"/>
          <c:extLst>
            <c:ext xmlns:c16="http://schemas.microsoft.com/office/drawing/2014/chart" uri="{C3380CC4-5D6E-409C-BE32-E72D297353CC}">
              <c16:uniqueId val="{00000002-AB44-4F70-ABB3-D36FDCF79BB9}"/>
            </c:ext>
          </c:extLst>
        </c:ser>
        <c:ser>
          <c:idx val="3"/>
          <c:order val="3"/>
          <c:tx>
            <c:strRef>
              <c:f>'Dashboard - Data'!$E$183</c:f>
              <c:strCache>
                <c:ptCount val="1"/>
                <c:pt idx="0">
                  <c:v>PS6 Proposed</c:v>
                </c:pt>
              </c:strCache>
            </c:strRef>
          </c:tx>
          <c:spPr>
            <a:ln w="38100" cap="rnd">
              <a:solidFill>
                <a:schemeClr val="accent3"/>
              </a:solidFill>
              <a:round/>
            </a:ln>
            <a:effectLst/>
          </c:spPr>
          <c:marker>
            <c:symbol val="none"/>
          </c:marker>
          <c:cat>
            <c:strRef>
              <c:f>'Dashboard - Data'!$F$179:$P$179</c:f>
              <c:strCache>
                <c:ptCount val="11"/>
                <c:pt idx="0">
                  <c:v>2020-21</c:v>
                </c:pt>
                <c:pt idx="1">
                  <c:v>2021-22</c:v>
                </c:pt>
                <c:pt idx="2">
                  <c:v>2022-23</c:v>
                </c:pt>
                <c:pt idx="3">
                  <c:v>2023-24</c:v>
                </c:pt>
                <c:pt idx="4">
                  <c:v>2024-25</c:v>
                </c:pt>
                <c:pt idx="5">
                  <c:v>2025-26</c:v>
                </c:pt>
                <c:pt idx="6">
                  <c:v>2026-27</c:v>
                </c:pt>
                <c:pt idx="7">
                  <c:v>2027-28</c:v>
                </c:pt>
                <c:pt idx="8">
                  <c:v>2028-29</c:v>
                </c:pt>
                <c:pt idx="9">
                  <c:v>2029-30</c:v>
                </c:pt>
                <c:pt idx="10">
                  <c:v>2030-31</c:v>
                </c:pt>
              </c:strCache>
            </c:strRef>
          </c:cat>
          <c:val>
            <c:numRef>
              <c:f>'Dashboard - Data'!$F$183:$P$183</c:f>
              <c:numCache>
                <c:formatCode>General</c:formatCode>
                <c:ptCount val="11"/>
                <c:pt idx="5" formatCode="0.00">
                  <c:v>547.84335201999977</c:v>
                </c:pt>
                <c:pt idx="6" formatCode="0.00">
                  <c:v>545.45973319354857</c:v>
                </c:pt>
                <c:pt idx="7" formatCode="0.00">
                  <c:v>551.14985044551531</c:v>
                </c:pt>
                <c:pt idx="8" formatCode="0.00">
                  <c:v>561.95351311879097</c:v>
                </c:pt>
                <c:pt idx="9" formatCode="0.00">
                  <c:v>565.25181980440391</c:v>
                </c:pt>
                <c:pt idx="10" formatCode="0.00">
                  <c:v>566.14799284372646</c:v>
                </c:pt>
              </c:numCache>
            </c:numRef>
          </c:val>
          <c:smooth val="1"/>
          <c:extLst>
            <c:ext xmlns:c16="http://schemas.microsoft.com/office/drawing/2014/chart" uri="{C3380CC4-5D6E-409C-BE32-E72D297353CC}">
              <c16:uniqueId val="{00000003-AB44-4F70-ABB3-D36FDCF79BB9}"/>
            </c:ext>
          </c:extLst>
        </c:ser>
        <c:dLbls>
          <c:showLegendKey val="0"/>
          <c:showVal val="0"/>
          <c:showCatName val="0"/>
          <c:showSerName val="0"/>
          <c:showPercent val="0"/>
          <c:showBubbleSize val="0"/>
        </c:dLbls>
        <c:dropLines>
          <c:spPr>
            <a:ln w="28575" cap="flat" cmpd="sng" algn="ctr">
              <a:solidFill>
                <a:schemeClr val="bg1">
                  <a:lumMod val="85000"/>
                </a:schemeClr>
              </a:solidFill>
              <a:round/>
            </a:ln>
            <a:effectLst/>
          </c:spPr>
        </c:dropLines>
        <c:smooth val="0"/>
        <c:axId val="1368197440"/>
        <c:axId val="753656496"/>
      </c:lineChart>
      <c:catAx>
        <c:axId val="1368197440"/>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53656496"/>
        <c:crosses val="autoZero"/>
        <c:auto val="1"/>
        <c:lblAlgn val="ctr"/>
        <c:lblOffset val="100"/>
        <c:noMultiLvlLbl val="0"/>
      </c:catAx>
      <c:valAx>
        <c:axId val="75365649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36819744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Total capex by service category ($m)</a:t>
            </a:r>
          </a:p>
        </c:rich>
      </c:tx>
      <c:overlay val="0"/>
    </c:title>
    <c:autoTitleDeleted val="0"/>
    <c:plotArea>
      <c:layout>
        <c:manualLayout>
          <c:layoutTarget val="inner"/>
          <c:xMode val="edge"/>
          <c:yMode val="edge"/>
          <c:x val="9.6671028219900396E-2"/>
          <c:y val="0.14317877593714531"/>
          <c:w val="0.88150297822478274"/>
          <c:h val="0.55031867817416213"/>
        </c:manualLayout>
      </c:layout>
      <c:barChart>
        <c:barDir val="col"/>
        <c:grouping val="stacked"/>
        <c:varyColors val="0"/>
        <c:ser>
          <c:idx val="0"/>
          <c:order val="0"/>
          <c:tx>
            <c:strRef>
              <c:f>'Dashboard - Data'!$U$8</c:f>
              <c:strCache>
                <c:ptCount val="1"/>
                <c:pt idx="0">
                  <c:v>Water</c:v>
                </c:pt>
              </c:strCache>
            </c:strRef>
          </c:tx>
          <c:spPr>
            <a:solidFill>
              <a:schemeClr val="accent6">
                <a:lumMod val="50000"/>
              </a:schemeClr>
            </a:solidFill>
          </c:spPr>
          <c:invertIfNegative val="0"/>
          <c:cat>
            <c:strRef>
              <c:f>'Dashboard - Data'!$V$7:$AJ$7</c:f>
              <c:strCache>
                <c:ptCount val="15"/>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strCache>
            </c:strRef>
          </c:cat>
          <c:val>
            <c:numRef>
              <c:f>'Dashboard - Data'!$V$8:$AJ$8</c:f>
              <c:numCache>
                <c:formatCode>0.00</c:formatCode>
                <c:ptCount val="15"/>
                <c:pt idx="0">
                  <c:v>160.58106018646654</c:v>
                </c:pt>
                <c:pt idx="1">
                  <c:v>220.50499895080904</c:v>
                </c:pt>
                <c:pt idx="2">
                  <c:v>252.99562358098612</c:v>
                </c:pt>
                <c:pt idx="3">
                  <c:v>213.81725434633634</c:v>
                </c:pt>
                <c:pt idx="4">
                  <c:v>195.66018431652603</c:v>
                </c:pt>
                <c:pt idx="5">
                  <c:v>238.35409665567732</c:v>
                </c:pt>
                <c:pt idx="6">
                  <c:v>427.9467740890334</c:v>
                </c:pt>
                <c:pt idx="7">
                  <c:v>544.92121023433981</c:v>
                </c:pt>
                <c:pt idx="8">
                  <c:v>508.33385109977695</c:v>
                </c:pt>
                <c:pt idx="9">
                  <c:v>553.51477434246692</c:v>
                </c:pt>
                <c:pt idx="10">
                  <c:v>557.29577419724069</c:v>
                </c:pt>
                <c:pt idx="11">
                  <c:v>765.99040897459759</c:v>
                </c:pt>
                <c:pt idx="12">
                  <c:v>839.71302273238746</c:v>
                </c:pt>
                <c:pt idx="13">
                  <c:v>873.45183130946896</c:v>
                </c:pt>
                <c:pt idx="14">
                  <c:v>735.74152732830646</c:v>
                </c:pt>
              </c:numCache>
            </c:numRef>
          </c:val>
          <c:extLst>
            <c:ext xmlns:c16="http://schemas.microsoft.com/office/drawing/2014/chart" uri="{C3380CC4-5D6E-409C-BE32-E72D297353CC}">
              <c16:uniqueId val="{00000000-88F5-4C3E-8BEB-489B9F318129}"/>
            </c:ext>
          </c:extLst>
        </c:ser>
        <c:ser>
          <c:idx val="1"/>
          <c:order val="1"/>
          <c:tx>
            <c:strRef>
              <c:f>'Dashboard - Data'!$U$9</c:f>
              <c:strCache>
                <c:ptCount val="1"/>
                <c:pt idx="0">
                  <c:v>Sewerage</c:v>
                </c:pt>
              </c:strCache>
            </c:strRef>
          </c:tx>
          <c:spPr>
            <a:solidFill>
              <a:schemeClr val="accent6">
                <a:lumMod val="75000"/>
              </a:schemeClr>
            </a:solidFill>
          </c:spPr>
          <c:invertIfNegative val="0"/>
          <c:cat>
            <c:strRef>
              <c:f>'Dashboard - Data'!$V$7:$AJ$7</c:f>
              <c:strCache>
                <c:ptCount val="15"/>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strCache>
            </c:strRef>
          </c:cat>
          <c:val>
            <c:numRef>
              <c:f>'Dashboard - Data'!$V$9:$AJ$9</c:f>
              <c:numCache>
                <c:formatCode>0.00</c:formatCode>
                <c:ptCount val="15"/>
                <c:pt idx="0">
                  <c:v>309.11093404552605</c:v>
                </c:pt>
                <c:pt idx="1">
                  <c:v>350.73801118076074</c:v>
                </c:pt>
                <c:pt idx="2">
                  <c:v>428.25333241749422</c:v>
                </c:pt>
                <c:pt idx="3">
                  <c:v>416.95984200084467</c:v>
                </c:pt>
                <c:pt idx="4">
                  <c:v>433.93458881100798</c:v>
                </c:pt>
                <c:pt idx="5">
                  <c:v>551.51807250819627</c:v>
                </c:pt>
                <c:pt idx="6">
                  <c:v>493.92685339452834</c:v>
                </c:pt>
                <c:pt idx="7">
                  <c:v>548.94011845555701</c:v>
                </c:pt>
                <c:pt idx="8">
                  <c:v>612.73341221888086</c:v>
                </c:pt>
                <c:pt idx="9">
                  <c:v>530.49166560593574</c:v>
                </c:pt>
                <c:pt idx="10">
                  <c:v>636.15282948604147</c:v>
                </c:pt>
                <c:pt idx="11">
                  <c:v>494.31935722932718</c:v>
                </c:pt>
                <c:pt idx="12">
                  <c:v>226.21620908625147</c:v>
                </c:pt>
                <c:pt idx="13">
                  <c:v>429.92037276851232</c:v>
                </c:pt>
                <c:pt idx="14">
                  <c:v>660.68827196773452</c:v>
                </c:pt>
              </c:numCache>
            </c:numRef>
          </c:val>
          <c:extLst>
            <c:ext xmlns:c16="http://schemas.microsoft.com/office/drawing/2014/chart" uri="{C3380CC4-5D6E-409C-BE32-E72D297353CC}">
              <c16:uniqueId val="{00000001-88F5-4C3E-8BEB-489B9F318129}"/>
            </c:ext>
          </c:extLst>
        </c:ser>
        <c:ser>
          <c:idx val="2"/>
          <c:order val="2"/>
          <c:tx>
            <c:strRef>
              <c:f>'Dashboard - Data'!$U$10</c:f>
              <c:strCache>
                <c:ptCount val="1"/>
                <c:pt idx="0">
                  <c:v>Recycled Water</c:v>
                </c:pt>
              </c:strCache>
            </c:strRef>
          </c:tx>
          <c:invertIfNegative val="0"/>
          <c:cat>
            <c:strRef>
              <c:f>'Dashboard - Data'!$V$7:$AJ$7</c:f>
              <c:strCache>
                <c:ptCount val="15"/>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strCache>
            </c:strRef>
          </c:cat>
          <c:val>
            <c:numRef>
              <c:f>'Dashboard - Data'!$V$10:$AJ$10</c:f>
              <c:numCache>
                <c:formatCode>0.00</c:formatCode>
                <c:ptCount val="15"/>
                <c:pt idx="0">
                  <c:v>0.12723309171601016</c:v>
                </c:pt>
                <c:pt idx="1">
                  <c:v>8.0920574624067751E-2</c:v>
                </c:pt>
                <c:pt idx="2">
                  <c:v>0.11153135236333934</c:v>
                </c:pt>
                <c:pt idx="3">
                  <c:v>0.19871305666035805</c:v>
                </c:pt>
                <c:pt idx="4">
                  <c:v>0.18036526631200003</c:v>
                </c:pt>
                <c:pt idx="5">
                  <c:v>1.2900821579531556</c:v>
                </c:pt>
                <c:pt idx="6">
                  <c:v>2.2504586598816543</c:v>
                </c:pt>
                <c:pt idx="7">
                  <c:v>4.9454212327565292</c:v>
                </c:pt>
                <c:pt idx="8">
                  <c:v>4.7962078474367669</c:v>
                </c:pt>
                <c:pt idx="9">
                  <c:v>4.6625624939347698</c:v>
                </c:pt>
                <c:pt idx="10">
                  <c:v>2.8123650217485552</c:v>
                </c:pt>
                <c:pt idx="11">
                  <c:v>12.852377748895282</c:v>
                </c:pt>
                <c:pt idx="12">
                  <c:v>20.763473246376336</c:v>
                </c:pt>
                <c:pt idx="13">
                  <c:v>16.250643162416068</c:v>
                </c:pt>
                <c:pt idx="14">
                  <c:v>27.109203137127032</c:v>
                </c:pt>
              </c:numCache>
            </c:numRef>
          </c:val>
          <c:extLst>
            <c:ext xmlns:c16="http://schemas.microsoft.com/office/drawing/2014/chart" uri="{C3380CC4-5D6E-409C-BE32-E72D297353CC}">
              <c16:uniqueId val="{00000002-88F5-4C3E-8BEB-489B9F318129}"/>
            </c:ext>
          </c:extLst>
        </c:ser>
        <c:ser>
          <c:idx val="3"/>
          <c:order val="3"/>
          <c:tx>
            <c:strRef>
              <c:f>'Dashboard - Data'!$U$11</c:f>
              <c:strCache>
                <c:ptCount val="1"/>
                <c:pt idx="0">
                  <c:v>Waterways and Drainage</c:v>
                </c:pt>
              </c:strCache>
            </c:strRef>
          </c:tx>
          <c:spPr>
            <a:solidFill>
              <a:schemeClr val="accent6">
                <a:lumMod val="60000"/>
                <a:lumOff val="40000"/>
              </a:schemeClr>
            </a:solidFill>
          </c:spPr>
          <c:invertIfNegative val="0"/>
          <c:cat>
            <c:strRef>
              <c:f>'Dashboard - Data'!$V$7:$AJ$7</c:f>
              <c:strCache>
                <c:ptCount val="15"/>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strCache>
            </c:strRef>
          </c:cat>
          <c:val>
            <c:numRef>
              <c:f>'Dashboard - Data'!$V$11:$AJ$11</c:f>
              <c:numCache>
                <c:formatCode>0.00</c:formatCode>
                <c:ptCount val="15"/>
                <c:pt idx="0">
                  <c:v>256.73197407608779</c:v>
                </c:pt>
                <c:pt idx="1">
                  <c:v>275.02814930075527</c:v>
                </c:pt>
                <c:pt idx="2">
                  <c:v>239.41018117942784</c:v>
                </c:pt>
                <c:pt idx="3">
                  <c:v>361.26719718120216</c:v>
                </c:pt>
                <c:pt idx="4">
                  <c:v>463.470747296154</c:v>
                </c:pt>
                <c:pt idx="5">
                  <c:v>555.67932538182436</c:v>
                </c:pt>
                <c:pt idx="6">
                  <c:v>533.33733456169023</c:v>
                </c:pt>
                <c:pt idx="7">
                  <c:v>378.27118645961377</c:v>
                </c:pt>
                <c:pt idx="8">
                  <c:v>384.02327605403127</c:v>
                </c:pt>
                <c:pt idx="9">
                  <c:v>353.14795033900714</c:v>
                </c:pt>
                <c:pt idx="10">
                  <c:v>449.87763170151476</c:v>
                </c:pt>
                <c:pt idx="11">
                  <c:v>425.59018479164865</c:v>
                </c:pt>
                <c:pt idx="12">
                  <c:v>427.56908429741759</c:v>
                </c:pt>
                <c:pt idx="13">
                  <c:v>416.60425890024231</c:v>
                </c:pt>
                <c:pt idx="14">
                  <c:v>415.76199608318598</c:v>
                </c:pt>
              </c:numCache>
            </c:numRef>
          </c:val>
          <c:extLst>
            <c:ext xmlns:c16="http://schemas.microsoft.com/office/drawing/2014/chart" uri="{C3380CC4-5D6E-409C-BE32-E72D297353CC}">
              <c16:uniqueId val="{00000003-88F5-4C3E-8BEB-489B9F318129}"/>
            </c:ext>
          </c:extLst>
        </c:ser>
        <c:ser>
          <c:idx val="4"/>
          <c:order val="4"/>
          <c:tx>
            <c:strRef>
              <c:f>'Dashboard - Data'!$U$12</c:f>
              <c:strCache>
                <c:ptCount val="1"/>
                <c:pt idx="0">
                  <c:v>Diversions</c:v>
                </c:pt>
              </c:strCache>
            </c:strRef>
          </c:tx>
          <c:invertIfNegative val="0"/>
          <c:cat>
            <c:strRef>
              <c:f>'Dashboard - Data'!$V$7:$AJ$7</c:f>
              <c:strCache>
                <c:ptCount val="15"/>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strCache>
            </c:strRef>
          </c:cat>
          <c:val>
            <c:numRef>
              <c:f>'Dashboard - Data'!$V$12:$AJ$12</c:f>
              <c:numCache>
                <c:formatCode>0.00</c:formatCode>
                <c:ptCount val="15"/>
                <c:pt idx="0">
                  <c:v>0.83045111582697206</c:v>
                </c:pt>
                <c:pt idx="1">
                  <c:v>0.87602266067796575</c:v>
                </c:pt>
                <c:pt idx="2">
                  <c:v>0.20945219552036198</c:v>
                </c:pt>
                <c:pt idx="3">
                  <c:v>0.5102891113318776</c:v>
                </c:pt>
                <c:pt idx="4">
                  <c:v>1.0902278000000001</c:v>
                </c:pt>
                <c:pt idx="5">
                  <c:v>0.3902439024390244</c:v>
                </c:pt>
                <c:pt idx="6">
                  <c:v>0.38072575847709705</c:v>
                </c:pt>
                <c:pt idx="7">
                  <c:v>0.37143976436789955</c:v>
                </c:pt>
                <c:pt idx="8">
                  <c:v>0.36238025791990203</c:v>
                </c:pt>
                <c:pt idx="9">
                  <c:v>0.35354171504380694</c:v>
                </c:pt>
                <c:pt idx="10">
                  <c:v>0.34491874638420195</c:v>
                </c:pt>
                <c:pt idx="11">
                  <c:v>0.33650609403336773</c:v>
                </c:pt>
                <c:pt idx="12">
                  <c:v>0.32829862832523693</c:v>
                </c:pt>
                <c:pt idx="13">
                  <c:v>0.32029134470754822</c:v>
                </c:pt>
                <c:pt idx="14">
                  <c:v>0.15623968034514546</c:v>
                </c:pt>
              </c:numCache>
            </c:numRef>
          </c:val>
          <c:extLst>
            <c:ext xmlns:c16="http://schemas.microsoft.com/office/drawing/2014/chart" uri="{C3380CC4-5D6E-409C-BE32-E72D297353CC}">
              <c16:uniqueId val="{00000004-88F5-4C3E-8BEB-489B9F318129}"/>
            </c:ext>
          </c:extLst>
        </c:ser>
        <c:ser>
          <c:idx val="5"/>
          <c:order val="5"/>
          <c:tx>
            <c:strRef>
              <c:f>'Dashboard - Data'!$U$13</c:f>
              <c:strCache>
                <c:ptCount val="1"/>
                <c:pt idx="0">
                  <c:v>Desal security payment cost capitalisation</c:v>
                </c:pt>
              </c:strCache>
            </c:strRef>
          </c:tx>
          <c:invertIfNegative val="0"/>
          <c:cat>
            <c:strRef>
              <c:f>'Dashboard - Data'!$V$7:$AJ$7</c:f>
              <c:strCache>
                <c:ptCount val="15"/>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strCache>
            </c:strRef>
          </c:cat>
          <c:val>
            <c:numRef>
              <c:f>'Dashboard - Data'!$V$13:$AJ$13</c:f>
              <c:numCache>
                <c:formatCode>0.00</c:formatCode>
                <c:ptCount val="15"/>
                <c:pt idx="0">
                  <c:v>24.480184262952481</c:v>
                </c:pt>
                <c:pt idx="1">
                  <c:v>36.103751559430009</c:v>
                </c:pt>
                <c:pt idx="2">
                  <c:v>54.504723216255655</c:v>
                </c:pt>
                <c:pt idx="3">
                  <c:v>65.979940791036981</c:v>
                </c:pt>
                <c:pt idx="4">
                  <c:v>75.920242215512587</c:v>
                </c:pt>
                <c:pt idx="5">
                  <c:v>80.635863641761844</c:v>
                </c:pt>
                <c:pt idx="6">
                  <c:v>112.3221039301982</c:v>
                </c:pt>
                <c:pt idx="7">
                  <c:v>129.96682378290575</c:v>
                </c:pt>
                <c:pt idx="8">
                  <c:v>140.29860512110415</c:v>
                </c:pt>
                <c:pt idx="9">
                  <c:v>157.91655740021756</c:v>
                </c:pt>
                <c:pt idx="10">
                  <c:v>175.94832753327148</c:v>
                </c:pt>
                <c:pt idx="11">
                  <c:v>195.49751441483352</c:v>
                </c:pt>
                <c:pt idx="12">
                  <c:v>215.22256214434148</c:v>
                </c:pt>
                <c:pt idx="13">
                  <c:v>234.92707998494794</c:v>
                </c:pt>
                <c:pt idx="14">
                  <c:v>255.51406739517921</c:v>
                </c:pt>
              </c:numCache>
            </c:numRef>
          </c:val>
          <c:extLst>
            <c:ext xmlns:c16="http://schemas.microsoft.com/office/drawing/2014/chart" uri="{C3380CC4-5D6E-409C-BE32-E72D297353CC}">
              <c16:uniqueId val="{00000000-2B76-4ECE-B646-87AFE7341099}"/>
            </c:ext>
          </c:extLst>
        </c:ser>
        <c:dLbls>
          <c:showLegendKey val="0"/>
          <c:showVal val="0"/>
          <c:showCatName val="0"/>
          <c:showSerName val="0"/>
          <c:showPercent val="0"/>
          <c:showBubbleSize val="0"/>
        </c:dLbls>
        <c:gapWidth val="75"/>
        <c:overlap val="100"/>
        <c:axId val="211766656"/>
        <c:axId val="211772544"/>
      </c:barChart>
      <c:catAx>
        <c:axId val="211766656"/>
        <c:scaling>
          <c:orientation val="minMax"/>
        </c:scaling>
        <c:delete val="0"/>
        <c:axPos val="b"/>
        <c:numFmt formatCode="General" sourceLinked="0"/>
        <c:majorTickMark val="none"/>
        <c:minorTickMark val="none"/>
        <c:tickLblPos val="nextTo"/>
        <c:txPr>
          <a:bodyPr rot="-5400000" vert="horz"/>
          <a:lstStyle/>
          <a:p>
            <a:pPr>
              <a:defRPr/>
            </a:pPr>
            <a:endParaRPr lang="en-US"/>
          </a:p>
        </c:txPr>
        <c:crossAx val="211772544"/>
        <c:crosses val="autoZero"/>
        <c:auto val="1"/>
        <c:lblAlgn val="ctr"/>
        <c:lblOffset val="100"/>
        <c:noMultiLvlLbl val="0"/>
      </c:catAx>
      <c:valAx>
        <c:axId val="211772544"/>
        <c:scaling>
          <c:orientation val="minMax"/>
        </c:scaling>
        <c:delete val="0"/>
        <c:axPos val="l"/>
        <c:majorGridlines/>
        <c:numFmt formatCode="0.00" sourceLinked="1"/>
        <c:majorTickMark val="none"/>
        <c:minorTickMark val="none"/>
        <c:tickLblPos val="nextTo"/>
        <c:spPr>
          <a:ln w="9525">
            <a:noFill/>
          </a:ln>
        </c:spPr>
        <c:crossAx val="211766656"/>
        <c:crosses val="autoZero"/>
        <c:crossBetween val="between"/>
      </c:valAx>
    </c:plotArea>
    <c:legend>
      <c:legendPos val="b"/>
      <c:layout>
        <c:manualLayout>
          <c:xMode val="edge"/>
          <c:yMode val="edge"/>
          <c:x val="2.329991211795723E-2"/>
          <c:y val="0.83752369857449527"/>
          <c:w val="0.96332092569085048"/>
          <c:h val="0.14205989241999287"/>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Differences between regulatory period 5 and regulatory period 6 ($m)</a:t>
            </a:r>
          </a:p>
        </c:rich>
      </c:tx>
      <c:overlay val="0"/>
    </c:title>
    <c:autoTitleDeleted val="0"/>
    <c:plotArea>
      <c:layout/>
      <c:barChart>
        <c:barDir val="col"/>
        <c:grouping val="clustered"/>
        <c:varyColors val="0"/>
        <c:ser>
          <c:idx val="0"/>
          <c:order val="0"/>
          <c:tx>
            <c:strRef>
              <c:f>'Dashboard - Data'!$C$36</c:f>
              <c:strCache>
                <c:ptCount val="1"/>
                <c:pt idx="0">
                  <c:v>5th regulatory period</c:v>
                </c:pt>
              </c:strCache>
            </c:strRef>
          </c:tx>
          <c:invertIfNegative val="0"/>
          <c:cat>
            <c:strRef>
              <c:f>'Dashboard - Data'!$D$35:$F$35</c:f>
              <c:strCache>
                <c:ptCount val="3"/>
                <c:pt idx="0">
                  <c:v>Total revenue requirement </c:v>
                </c:pt>
                <c:pt idx="1">
                  <c:v>Total operating expenditure</c:v>
                </c:pt>
                <c:pt idx="2">
                  <c:v>Total capital expenditure</c:v>
                </c:pt>
              </c:strCache>
            </c:strRef>
          </c:cat>
          <c:val>
            <c:numRef>
              <c:f>'Dashboard - Data'!$D$36:$F$36</c:f>
              <c:numCache>
                <c:formatCode>_(* #,##0.00_);_(* \(#,##0.00\);_(* "-"??_);_(@_)</c:formatCode>
                <c:ptCount val="3"/>
                <c:pt idx="0">
                  <c:v>9576.0274157719759</c:v>
                </c:pt>
                <c:pt idx="1">
                  <c:v>5798.8248923698029</c:v>
                </c:pt>
                <c:pt idx="2" formatCode="0.00">
                  <c:v>4839.6681271406051</c:v>
                </c:pt>
              </c:numCache>
            </c:numRef>
          </c:val>
          <c:extLst>
            <c:ext xmlns:c16="http://schemas.microsoft.com/office/drawing/2014/chart" uri="{C3380CC4-5D6E-409C-BE32-E72D297353CC}">
              <c16:uniqueId val="{00000000-8209-4644-9001-DC7BD96A0F9F}"/>
            </c:ext>
          </c:extLst>
        </c:ser>
        <c:ser>
          <c:idx val="1"/>
          <c:order val="1"/>
          <c:tx>
            <c:strRef>
              <c:f>'Dashboard - Data'!$C$37</c:f>
              <c:strCache>
                <c:ptCount val="1"/>
                <c:pt idx="0">
                  <c:v>6th regulatory period</c:v>
                </c:pt>
              </c:strCache>
            </c:strRef>
          </c:tx>
          <c:spPr>
            <a:solidFill>
              <a:schemeClr val="accent1">
                <a:lumMod val="40000"/>
                <a:lumOff val="60000"/>
              </a:schemeClr>
            </a:solidFill>
          </c:spPr>
          <c:invertIfNegative val="0"/>
          <c:cat>
            <c:strRef>
              <c:f>'Dashboard - Data'!$D$35:$F$35</c:f>
              <c:strCache>
                <c:ptCount val="3"/>
                <c:pt idx="0">
                  <c:v>Total revenue requirement </c:v>
                </c:pt>
                <c:pt idx="1">
                  <c:v>Total operating expenditure</c:v>
                </c:pt>
                <c:pt idx="2">
                  <c:v>Total capital expenditure</c:v>
                </c:pt>
              </c:strCache>
            </c:strRef>
          </c:cat>
          <c:val>
            <c:numRef>
              <c:f>'Dashboard - Data'!$D$37:$F$37</c:f>
              <c:numCache>
                <c:formatCode>_(* #,##0.00_);_(* \(#,##0.00\);_(* "-"??_);_(@_)</c:formatCode>
                <c:ptCount val="3"/>
                <c:pt idx="0">
                  <c:v>10132.392992922081</c:v>
                </c:pt>
                <c:pt idx="1">
                  <c:v>5511.9272270331667</c:v>
                </c:pt>
                <c:pt idx="2" formatCode="0.00">
                  <c:v>7856.0829190669574</c:v>
                </c:pt>
              </c:numCache>
            </c:numRef>
          </c:val>
          <c:extLst>
            <c:ext xmlns:c16="http://schemas.microsoft.com/office/drawing/2014/chart" uri="{C3380CC4-5D6E-409C-BE32-E72D297353CC}">
              <c16:uniqueId val="{00000001-8209-4644-9001-DC7BD96A0F9F}"/>
            </c:ext>
          </c:extLst>
        </c:ser>
        <c:dLbls>
          <c:showLegendKey val="0"/>
          <c:showVal val="0"/>
          <c:showCatName val="0"/>
          <c:showSerName val="0"/>
          <c:showPercent val="0"/>
          <c:showBubbleSize val="0"/>
        </c:dLbls>
        <c:gapWidth val="75"/>
        <c:overlap val="-25"/>
        <c:axId val="209255808"/>
        <c:axId val="209273984"/>
      </c:barChart>
      <c:catAx>
        <c:axId val="209255808"/>
        <c:scaling>
          <c:orientation val="minMax"/>
        </c:scaling>
        <c:delete val="0"/>
        <c:axPos val="b"/>
        <c:numFmt formatCode="General" sourceLinked="0"/>
        <c:majorTickMark val="none"/>
        <c:minorTickMark val="none"/>
        <c:tickLblPos val="nextTo"/>
        <c:crossAx val="209273984"/>
        <c:crosses val="autoZero"/>
        <c:auto val="1"/>
        <c:lblAlgn val="ctr"/>
        <c:lblOffset val="100"/>
        <c:noMultiLvlLbl val="0"/>
      </c:catAx>
      <c:valAx>
        <c:axId val="209273984"/>
        <c:scaling>
          <c:orientation val="minMax"/>
        </c:scaling>
        <c:delete val="0"/>
        <c:axPos val="l"/>
        <c:majorGridlines/>
        <c:numFmt formatCode="_(* #,##0_);_(* \(#,##0\);_(* &quot;-&quot;_);_(@_)" sourceLinked="0"/>
        <c:majorTickMark val="none"/>
        <c:minorTickMark val="none"/>
        <c:tickLblPos val="nextTo"/>
        <c:spPr>
          <a:ln w="9525">
            <a:noFill/>
          </a:ln>
        </c:spPr>
        <c:crossAx val="20925580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Total</a:t>
            </a:r>
            <a:r>
              <a:rPr lang="en-AU" baseline="0"/>
              <a:t> capex by cost driver ($m)</a:t>
            </a:r>
            <a:endParaRPr lang="en-AU"/>
          </a:p>
        </c:rich>
      </c:tx>
      <c:overlay val="0"/>
    </c:title>
    <c:autoTitleDeleted val="0"/>
    <c:plotArea>
      <c:layout>
        <c:manualLayout>
          <c:layoutTarget val="inner"/>
          <c:xMode val="edge"/>
          <c:yMode val="edge"/>
          <c:x val="8.9556341689172911E-2"/>
          <c:y val="0.15224804364034605"/>
          <c:w val="0.90542356118528666"/>
          <c:h val="0.60164765269605402"/>
        </c:manualLayout>
      </c:layout>
      <c:barChart>
        <c:barDir val="col"/>
        <c:grouping val="stacked"/>
        <c:varyColors val="0"/>
        <c:ser>
          <c:idx val="0"/>
          <c:order val="0"/>
          <c:tx>
            <c:strRef>
              <c:f>'Dashboard - Data'!$U$18:$Z$18</c:f>
              <c:strCache>
                <c:ptCount val="6"/>
                <c:pt idx="0">
                  <c:v>Net capital expenditure - Renewals</c:v>
                </c:pt>
              </c:strCache>
            </c:strRef>
          </c:tx>
          <c:spPr>
            <a:solidFill>
              <a:schemeClr val="tx2">
                <a:lumMod val="75000"/>
              </a:schemeClr>
            </a:solidFill>
          </c:spPr>
          <c:invertIfNegative val="0"/>
          <c:cat>
            <c:strRef>
              <c:f>'Dashboard - Data'!$AA$17:$AJ$17</c:f>
              <c:strCache>
                <c:ptCount val="10"/>
                <c:pt idx="0">
                  <c:v>2026-27</c:v>
                </c:pt>
                <c:pt idx="1">
                  <c:v>2027-28</c:v>
                </c:pt>
                <c:pt idx="2">
                  <c:v>2028-29</c:v>
                </c:pt>
                <c:pt idx="3">
                  <c:v>2029-30</c:v>
                </c:pt>
                <c:pt idx="4">
                  <c:v>2030-31</c:v>
                </c:pt>
                <c:pt idx="5">
                  <c:v>2031-32</c:v>
                </c:pt>
                <c:pt idx="6">
                  <c:v>2032-33</c:v>
                </c:pt>
                <c:pt idx="7">
                  <c:v>2033-34</c:v>
                </c:pt>
                <c:pt idx="8">
                  <c:v>2034-35</c:v>
                </c:pt>
                <c:pt idx="9">
                  <c:v>2035-36</c:v>
                </c:pt>
              </c:strCache>
            </c:strRef>
          </c:cat>
          <c:val>
            <c:numRef>
              <c:f>'Dashboard - Data'!$AA$18:$AJ$18</c:f>
              <c:numCache>
                <c:formatCode>0.00</c:formatCode>
                <c:ptCount val="10"/>
                <c:pt idx="0">
                  <c:v>389.01969680611728</c:v>
                </c:pt>
                <c:pt idx="1">
                  <c:v>469.61563014807314</c:v>
                </c:pt>
                <c:pt idx="2">
                  <c:v>367.01374222584082</c:v>
                </c:pt>
                <c:pt idx="3">
                  <c:v>482.90693539057577</c:v>
                </c:pt>
                <c:pt idx="4">
                  <c:v>507.18141381319504</c:v>
                </c:pt>
                <c:pt idx="5">
                  <c:v>459.04787556285186</c:v>
                </c:pt>
                <c:pt idx="6">
                  <c:v>527.53026046321691</c:v>
                </c:pt>
                <c:pt idx="7">
                  <c:v>614.26689955382824</c:v>
                </c:pt>
                <c:pt idx="8">
                  <c:v>638.27704142287268</c:v>
                </c:pt>
                <c:pt idx="9">
                  <c:v>629.96831915816733</c:v>
                </c:pt>
              </c:numCache>
            </c:numRef>
          </c:val>
          <c:extLst>
            <c:ext xmlns:c16="http://schemas.microsoft.com/office/drawing/2014/chart" uri="{C3380CC4-5D6E-409C-BE32-E72D297353CC}">
              <c16:uniqueId val="{00000000-9A39-4CEE-814B-57280A95F6B8}"/>
            </c:ext>
          </c:extLst>
        </c:ser>
        <c:ser>
          <c:idx val="1"/>
          <c:order val="1"/>
          <c:tx>
            <c:strRef>
              <c:f>'Dashboard - Data'!$U$19:$Z$19</c:f>
              <c:strCache>
                <c:ptCount val="6"/>
                <c:pt idx="0">
                  <c:v>Net capital expenditure - Growth</c:v>
                </c:pt>
              </c:strCache>
            </c:strRef>
          </c:tx>
          <c:spPr>
            <a:solidFill>
              <a:schemeClr val="tx2">
                <a:lumMod val="60000"/>
                <a:lumOff val="40000"/>
              </a:schemeClr>
            </a:solidFill>
          </c:spPr>
          <c:invertIfNegative val="0"/>
          <c:cat>
            <c:strRef>
              <c:f>'Dashboard - Data'!$AA$17:$AJ$17</c:f>
              <c:strCache>
                <c:ptCount val="10"/>
                <c:pt idx="0">
                  <c:v>2026-27</c:v>
                </c:pt>
                <c:pt idx="1">
                  <c:v>2027-28</c:v>
                </c:pt>
                <c:pt idx="2">
                  <c:v>2028-29</c:v>
                </c:pt>
                <c:pt idx="3">
                  <c:v>2029-30</c:v>
                </c:pt>
                <c:pt idx="4">
                  <c:v>2030-31</c:v>
                </c:pt>
                <c:pt idx="5">
                  <c:v>2031-32</c:v>
                </c:pt>
                <c:pt idx="6">
                  <c:v>2032-33</c:v>
                </c:pt>
                <c:pt idx="7">
                  <c:v>2033-34</c:v>
                </c:pt>
                <c:pt idx="8">
                  <c:v>2034-35</c:v>
                </c:pt>
                <c:pt idx="9">
                  <c:v>2035-36</c:v>
                </c:pt>
              </c:strCache>
            </c:strRef>
          </c:cat>
          <c:val>
            <c:numRef>
              <c:f>'Dashboard - Data'!$AA$19:$AJ$19</c:f>
              <c:numCache>
                <c:formatCode>0.00</c:formatCode>
                <c:ptCount val="10"/>
                <c:pt idx="0">
                  <c:v>338.82790934749289</c:v>
                </c:pt>
                <c:pt idx="1">
                  <c:v>304.04358517043744</c:v>
                </c:pt>
                <c:pt idx="2">
                  <c:v>442.6075799919185</c:v>
                </c:pt>
                <c:pt idx="3">
                  <c:v>408.23250261235313</c:v>
                </c:pt>
                <c:pt idx="4">
                  <c:v>399.32107073702639</c:v>
                </c:pt>
                <c:pt idx="5">
                  <c:v>262.23600552609099</c:v>
                </c:pt>
                <c:pt idx="6">
                  <c:v>296.13316814291738</c:v>
                </c:pt>
                <c:pt idx="7">
                  <c:v>411.54643971425844</c:v>
                </c:pt>
                <c:pt idx="8">
                  <c:v>694.12446774472608</c:v>
                </c:pt>
                <c:pt idx="9">
                  <c:v>830.02717874210339</c:v>
                </c:pt>
              </c:numCache>
            </c:numRef>
          </c:val>
          <c:extLst>
            <c:ext xmlns:c16="http://schemas.microsoft.com/office/drawing/2014/chart" uri="{C3380CC4-5D6E-409C-BE32-E72D297353CC}">
              <c16:uniqueId val="{00000001-9A39-4CEE-814B-57280A95F6B8}"/>
            </c:ext>
          </c:extLst>
        </c:ser>
        <c:ser>
          <c:idx val="2"/>
          <c:order val="2"/>
          <c:tx>
            <c:strRef>
              <c:f>'Dashboard - Data'!$U$20:$Z$20</c:f>
              <c:strCache>
                <c:ptCount val="6"/>
                <c:pt idx="0">
                  <c:v>Net capital expenditure - Improvements / Compliance</c:v>
                </c:pt>
              </c:strCache>
            </c:strRef>
          </c:tx>
          <c:spPr>
            <a:solidFill>
              <a:schemeClr val="tx2">
                <a:lumMod val="40000"/>
                <a:lumOff val="60000"/>
              </a:schemeClr>
            </a:solidFill>
          </c:spPr>
          <c:invertIfNegative val="0"/>
          <c:cat>
            <c:strRef>
              <c:f>'Dashboard - Data'!$AA$17:$AJ$17</c:f>
              <c:strCache>
                <c:ptCount val="10"/>
                <c:pt idx="0">
                  <c:v>2026-27</c:v>
                </c:pt>
                <c:pt idx="1">
                  <c:v>2027-28</c:v>
                </c:pt>
                <c:pt idx="2">
                  <c:v>2028-29</c:v>
                </c:pt>
                <c:pt idx="3">
                  <c:v>2029-30</c:v>
                </c:pt>
                <c:pt idx="4">
                  <c:v>2030-31</c:v>
                </c:pt>
                <c:pt idx="5">
                  <c:v>2031-32</c:v>
                </c:pt>
                <c:pt idx="6">
                  <c:v>2032-33</c:v>
                </c:pt>
                <c:pt idx="7">
                  <c:v>2033-34</c:v>
                </c:pt>
                <c:pt idx="8">
                  <c:v>2034-35</c:v>
                </c:pt>
                <c:pt idx="9">
                  <c:v>2035-36</c:v>
                </c:pt>
              </c:strCache>
            </c:strRef>
          </c:cat>
          <c:val>
            <c:numRef>
              <c:f>'Dashboard - Data'!$AA$20:$AJ$20</c:f>
              <c:numCache>
                <c:formatCode>0.00</c:formatCode>
                <c:ptCount val="10"/>
                <c:pt idx="0">
                  <c:v>353.38782799699646</c:v>
                </c:pt>
                <c:pt idx="1">
                  <c:v>403.40472573175157</c:v>
                </c:pt>
                <c:pt idx="2">
                  <c:v>400.91207580393467</c:v>
                </c:pt>
                <c:pt idx="3">
                  <c:v>353.25723324251379</c:v>
                </c:pt>
                <c:pt idx="4">
                  <c:v>273.91146087155033</c:v>
                </c:pt>
                <c:pt idx="5">
                  <c:v>658.90780396707112</c:v>
                </c:pt>
                <c:pt idx="6">
                  <c:v>616.33270022466616</c:v>
                </c:pt>
                <c:pt idx="7">
                  <c:v>238.75887614963059</c:v>
                </c:pt>
                <c:pt idx="8">
                  <c:v>162.87514794259457</c:v>
                </c:pt>
                <c:pt idx="9">
                  <c:v>146.62235711742159</c:v>
                </c:pt>
              </c:numCache>
            </c:numRef>
          </c:val>
          <c:extLst>
            <c:ext xmlns:c16="http://schemas.microsoft.com/office/drawing/2014/chart" uri="{C3380CC4-5D6E-409C-BE32-E72D297353CC}">
              <c16:uniqueId val="{00000002-9A39-4CEE-814B-57280A95F6B8}"/>
            </c:ext>
          </c:extLst>
        </c:ser>
        <c:ser>
          <c:idx val="3"/>
          <c:order val="3"/>
          <c:tx>
            <c:strRef>
              <c:f>'Dashboard - Data'!$U$21:$Z$21</c:f>
              <c:strCache>
                <c:ptCount val="6"/>
                <c:pt idx="0">
                  <c:v>Government Contributions</c:v>
                </c:pt>
              </c:strCache>
            </c:strRef>
          </c:tx>
          <c:invertIfNegative val="0"/>
          <c:cat>
            <c:strRef>
              <c:f>'Dashboard - Data'!$AA$17:$AJ$17</c:f>
              <c:strCache>
                <c:ptCount val="10"/>
                <c:pt idx="0">
                  <c:v>2026-27</c:v>
                </c:pt>
                <c:pt idx="1">
                  <c:v>2027-28</c:v>
                </c:pt>
                <c:pt idx="2">
                  <c:v>2028-29</c:v>
                </c:pt>
                <c:pt idx="3">
                  <c:v>2029-30</c:v>
                </c:pt>
                <c:pt idx="4">
                  <c:v>2030-31</c:v>
                </c:pt>
                <c:pt idx="5">
                  <c:v>2031-32</c:v>
                </c:pt>
                <c:pt idx="6">
                  <c:v>2032-33</c:v>
                </c:pt>
                <c:pt idx="7">
                  <c:v>2033-34</c:v>
                </c:pt>
                <c:pt idx="8">
                  <c:v>2034-35</c:v>
                </c:pt>
                <c:pt idx="9">
                  <c:v>2035-36</c:v>
                </c:pt>
              </c:strCache>
            </c:strRef>
          </c:cat>
          <c:val>
            <c:numRef>
              <c:f>'Dashboard - Data'!$AA$21:$AJ$21</c:f>
              <c:numCache>
                <c:formatCode>0.00</c:formatCode>
                <c:ptCount val="10"/>
                <c:pt idx="0">
                  <c:v>9.3121997121680415</c:v>
                </c:pt>
                <c:pt idx="1">
                  <c:v>14.957255803937155</c:v>
                </c:pt>
                <c:pt idx="2">
                  <c:v>2.3374750439277121E-2</c:v>
                </c:pt>
                <c:pt idx="3">
                  <c:v>1.5203089716603002E-2</c:v>
                </c:pt>
                <c:pt idx="4">
                  <c:v>0</c:v>
                </c:pt>
                <c:pt idx="5">
                  <c:v>0</c:v>
                </c:pt>
                <c:pt idx="6">
                  <c:v>0</c:v>
                </c:pt>
                <c:pt idx="7">
                  <c:v>0</c:v>
                </c:pt>
                <c:pt idx="8">
                  <c:v>0</c:v>
                </c:pt>
                <c:pt idx="9">
                  <c:v>0</c:v>
                </c:pt>
              </c:numCache>
            </c:numRef>
          </c:val>
          <c:extLst>
            <c:ext xmlns:c16="http://schemas.microsoft.com/office/drawing/2014/chart" uri="{C3380CC4-5D6E-409C-BE32-E72D297353CC}">
              <c16:uniqueId val="{00000003-9A39-4CEE-814B-57280A95F6B8}"/>
            </c:ext>
          </c:extLst>
        </c:ser>
        <c:ser>
          <c:idx val="4"/>
          <c:order val="4"/>
          <c:tx>
            <c:strRef>
              <c:f>'Dashboard - Data'!$U$22:$Z$22</c:f>
              <c:strCache>
                <c:ptCount val="6"/>
                <c:pt idx="0">
                  <c:v>Customer Contributions</c:v>
                </c:pt>
              </c:strCache>
            </c:strRef>
          </c:tx>
          <c:spPr>
            <a:solidFill>
              <a:schemeClr val="accent5">
                <a:lumMod val="40000"/>
                <a:lumOff val="60000"/>
              </a:schemeClr>
            </a:solidFill>
          </c:spPr>
          <c:invertIfNegative val="0"/>
          <c:cat>
            <c:strRef>
              <c:f>'Dashboard - Data'!$AA$17:$AJ$17</c:f>
              <c:strCache>
                <c:ptCount val="10"/>
                <c:pt idx="0">
                  <c:v>2026-27</c:v>
                </c:pt>
                <c:pt idx="1">
                  <c:v>2027-28</c:v>
                </c:pt>
                <c:pt idx="2">
                  <c:v>2028-29</c:v>
                </c:pt>
                <c:pt idx="3">
                  <c:v>2029-30</c:v>
                </c:pt>
                <c:pt idx="4">
                  <c:v>2030-31</c:v>
                </c:pt>
                <c:pt idx="5">
                  <c:v>2031-32</c:v>
                </c:pt>
                <c:pt idx="6">
                  <c:v>2032-33</c:v>
                </c:pt>
                <c:pt idx="7">
                  <c:v>2033-34</c:v>
                </c:pt>
                <c:pt idx="8">
                  <c:v>2034-35</c:v>
                </c:pt>
                <c:pt idx="9">
                  <c:v>2035-36</c:v>
                </c:pt>
              </c:strCache>
            </c:strRef>
          </c:cat>
          <c:val>
            <c:numRef>
              <c:f>'Dashboard - Data'!$AA$22:$AJ$22</c:f>
              <c:numCache>
                <c:formatCode>0.00</c:formatCode>
                <c:ptCount val="10"/>
                <c:pt idx="0">
                  <c:v>256.68418674331554</c:v>
                </c:pt>
                <c:pt idx="1">
                  <c:v>265.82094960941134</c:v>
                </c:pt>
                <c:pt idx="2">
                  <c:v>266.89260337450156</c:v>
                </c:pt>
                <c:pt idx="3">
                  <c:v>265.83725314288654</c:v>
                </c:pt>
                <c:pt idx="4">
                  <c:v>261.75654907461649</c:v>
                </c:pt>
                <c:pt idx="5">
                  <c:v>266.29183409691552</c:v>
                </c:pt>
                <c:pt idx="6">
                  <c:v>259.09270600770168</c:v>
                </c:pt>
                <c:pt idx="7">
                  <c:v>250.01787257304056</c:v>
                </c:pt>
                <c:pt idx="8">
                  <c:v>241.27074037515396</c:v>
                </c:pt>
                <c:pt idx="9">
                  <c:v>232.83938317900669</c:v>
                </c:pt>
              </c:numCache>
            </c:numRef>
          </c:val>
          <c:extLst>
            <c:ext xmlns:c16="http://schemas.microsoft.com/office/drawing/2014/chart" uri="{C3380CC4-5D6E-409C-BE32-E72D297353CC}">
              <c16:uniqueId val="{00000004-9A39-4CEE-814B-57280A95F6B8}"/>
            </c:ext>
          </c:extLst>
        </c:ser>
        <c:ser>
          <c:idx val="5"/>
          <c:order val="5"/>
          <c:tx>
            <c:strRef>
              <c:f>'Dashboard - Data'!$U$23:$Z$23</c:f>
              <c:strCache>
                <c:ptCount val="6"/>
                <c:pt idx="0">
                  <c:v>Desal security payment cost capitalisation</c:v>
                </c:pt>
              </c:strCache>
            </c:strRef>
          </c:tx>
          <c:spPr>
            <a:solidFill>
              <a:schemeClr val="accent1"/>
            </a:solidFill>
          </c:spPr>
          <c:invertIfNegative val="0"/>
          <c:cat>
            <c:strRef>
              <c:f>'Dashboard - Data'!$AA$17:$AJ$17</c:f>
              <c:strCache>
                <c:ptCount val="10"/>
                <c:pt idx="0">
                  <c:v>2026-27</c:v>
                </c:pt>
                <c:pt idx="1">
                  <c:v>2027-28</c:v>
                </c:pt>
                <c:pt idx="2">
                  <c:v>2028-29</c:v>
                </c:pt>
                <c:pt idx="3">
                  <c:v>2029-30</c:v>
                </c:pt>
                <c:pt idx="4">
                  <c:v>2030-31</c:v>
                </c:pt>
                <c:pt idx="5">
                  <c:v>2031-32</c:v>
                </c:pt>
                <c:pt idx="6">
                  <c:v>2032-33</c:v>
                </c:pt>
                <c:pt idx="7">
                  <c:v>2033-34</c:v>
                </c:pt>
                <c:pt idx="8">
                  <c:v>2034-35</c:v>
                </c:pt>
                <c:pt idx="9">
                  <c:v>2035-36</c:v>
                </c:pt>
              </c:strCache>
            </c:strRef>
          </c:cat>
          <c:val>
            <c:numRef>
              <c:f>'Dashboard - Data'!$AA$23:$AJ$23</c:f>
              <c:numCache>
                <c:formatCode>0.00</c:formatCode>
                <c:ptCount val="10"/>
                <c:pt idx="0">
                  <c:v>80.635863641761844</c:v>
                </c:pt>
                <c:pt idx="1">
                  <c:v>112.3221039301982</c:v>
                </c:pt>
                <c:pt idx="2">
                  <c:v>129.96682378290575</c:v>
                </c:pt>
                <c:pt idx="3">
                  <c:v>140.29860512110415</c:v>
                </c:pt>
                <c:pt idx="4">
                  <c:v>157.91655740021756</c:v>
                </c:pt>
                <c:pt idx="5">
                  <c:v>175.94832753327148</c:v>
                </c:pt>
                <c:pt idx="6">
                  <c:v>195.49751441483352</c:v>
                </c:pt>
                <c:pt idx="7">
                  <c:v>215.22256214434148</c:v>
                </c:pt>
                <c:pt idx="8">
                  <c:v>234.92707998494794</c:v>
                </c:pt>
                <c:pt idx="9">
                  <c:v>255.51406739517921</c:v>
                </c:pt>
              </c:numCache>
            </c:numRef>
          </c:val>
          <c:extLst>
            <c:ext xmlns:c16="http://schemas.microsoft.com/office/drawing/2014/chart" uri="{C3380CC4-5D6E-409C-BE32-E72D297353CC}">
              <c16:uniqueId val="{00000000-A775-473D-8EBD-FCF7718D41FE}"/>
            </c:ext>
          </c:extLst>
        </c:ser>
        <c:dLbls>
          <c:showLegendKey val="0"/>
          <c:showVal val="0"/>
          <c:showCatName val="0"/>
          <c:showSerName val="0"/>
          <c:showPercent val="0"/>
          <c:showBubbleSize val="0"/>
        </c:dLbls>
        <c:gapWidth val="75"/>
        <c:overlap val="100"/>
        <c:axId val="211808640"/>
        <c:axId val="211810176"/>
      </c:barChart>
      <c:catAx>
        <c:axId val="211808640"/>
        <c:scaling>
          <c:orientation val="minMax"/>
        </c:scaling>
        <c:delete val="0"/>
        <c:axPos val="b"/>
        <c:numFmt formatCode="General" sourceLinked="0"/>
        <c:majorTickMark val="none"/>
        <c:minorTickMark val="none"/>
        <c:tickLblPos val="nextTo"/>
        <c:crossAx val="211810176"/>
        <c:crosses val="autoZero"/>
        <c:auto val="1"/>
        <c:lblAlgn val="ctr"/>
        <c:lblOffset val="100"/>
        <c:noMultiLvlLbl val="0"/>
      </c:catAx>
      <c:valAx>
        <c:axId val="211810176"/>
        <c:scaling>
          <c:orientation val="minMax"/>
        </c:scaling>
        <c:delete val="0"/>
        <c:axPos val="l"/>
        <c:majorGridlines/>
        <c:numFmt formatCode="0.00" sourceLinked="1"/>
        <c:majorTickMark val="none"/>
        <c:minorTickMark val="none"/>
        <c:tickLblPos val="nextTo"/>
        <c:spPr>
          <a:ln w="9525">
            <a:noFill/>
          </a:ln>
        </c:spPr>
        <c:crossAx val="211808640"/>
        <c:crosses val="autoZero"/>
        <c:crossBetween val="between"/>
      </c:valAx>
    </c:plotArea>
    <c:legend>
      <c:legendPos val="b"/>
      <c:layout>
        <c:manualLayout>
          <c:xMode val="edge"/>
          <c:yMode val="edge"/>
          <c:x val="0"/>
          <c:y val="0.83025034736833403"/>
          <c:w val="1"/>
          <c:h val="0.16974971623970919"/>
        </c:manualLayout>
      </c:layout>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AU"/>
              <a:t>Total capex by capital type ($m)</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9.2480667651884771E-2"/>
          <c:y val="0.10934519837731549"/>
          <c:w val="0.88246215277777773"/>
          <c:h val="0.73662780304685482"/>
        </c:manualLayout>
      </c:layout>
      <c:barChart>
        <c:barDir val="col"/>
        <c:grouping val="stacked"/>
        <c:varyColors val="0"/>
        <c:ser>
          <c:idx val="0"/>
          <c:order val="0"/>
          <c:tx>
            <c:strRef>
              <c:f>'Dashboard - Data'!$U$41</c:f>
              <c:strCache>
                <c:ptCount val="1"/>
                <c:pt idx="0">
                  <c:v>Top 15 Major Projects</c:v>
                </c:pt>
              </c:strCache>
            </c:strRef>
          </c:tx>
          <c:spPr>
            <a:solidFill>
              <a:schemeClr val="accent5">
                <a:tint val="58000"/>
              </a:schemeClr>
            </a:solidFill>
            <a:ln>
              <a:noFill/>
            </a:ln>
            <a:effectLst/>
          </c:spPr>
          <c:invertIfNegative val="0"/>
          <c:cat>
            <c:strRef>
              <c:f>'Dashboard - Data'!$AA$40:$AJ$40</c:f>
              <c:strCache>
                <c:ptCount val="10"/>
                <c:pt idx="0">
                  <c:v>2026-27</c:v>
                </c:pt>
                <c:pt idx="1">
                  <c:v>2027-28</c:v>
                </c:pt>
                <c:pt idx="2">
                  <c:v>2028-29</c:v>
                </c:pt>
                <c:pt idx="3">
                  <c:v>2029-30</c:v>
                </c:pt>
                <c:pt idx="4">
                  <c:v>2030-31</c:v>
                </c:pt>
                <c:pt idx="5">
                  <c:v>2031-32</c:v>
                </c:pt>
                <c:pt idx="6">
                  <c:v>2032-33</c:v>
                </c:pt>
                <c:pt idx="7">
                  <c:v>2033-34</c:v>
                </c:pt>
                <c:pt idx="8">
                  <c:v>2034-35</c:v>
                </c:pt>
                <c:pt idx="9">
                  <c:v>2035-36</c:v>
                </c:pt>
              </c:strCache>
            </c:strRef>
          </c:cat>
          <c:val>
            <c:numRef>
              <c:f>'Dashboard - Data'!$AA$41:$AJ$41</c:f>
              <c:numCache>
                <c:formatCode>0.00</c:formatCode>
                <c:ptCount val="10"/>
                <c:pt idx="0">
                  <c:v>259.14327551944751</c:v>
                </c:pt>
                <c:pt idx="1">
                  <c:v>304.66113375043432</c:v>
                </c:pt>
                <c:pt idx="2">
                  <c:v>370.18120168852789</c:v>
                </c:pt>
                <c:pt idx="3">
                  <c:v>421.06946084244248</c:v>
                </c:pt>
                <c:pt idx="4">
                  <c:v>494.74671954154638</c:v>
                </c:pt>
                <c:pt idx="5">
                  <c:v>224.54454419624614</c:v>
                </c:pt>
                <c:pt idx="6">
                  <c:v>49.91742419465556</c:v>
                </c:pt>
                <c:pt idx="7">
                  <c:v>0.44735038066138832</c:v>
                </c:pt>
                <c:pt idx="8">
                  <c:v>0</c:v>
                </c:pt>
                <c:pt idx="9">
                  <c:v>0</c:v>
                </c:pt>
              </c:numCache>
            </c:numRef>
          </c:val>
          <c:extLst>
            <c:ext xmlns:c16="http://schemas.microsoft.com/office/drawing/2014/chart" uri="{C3380CC4-5D6E-409C-BE32-E72D297353CC}">
              <c16:uniqueId val="{00000000-51B6-4BB4-8F72-D0EC05375B25}"/>
            </c:ext>
          </c:extLst>
        </c:ser>
        <c:ser>
          <c:idx val="1"/>
          <c:order val="1"/>
          <c:tx>
            <c:strRef>
              <c:f>'Dashboard - Data'!$U$42</c:f>
              <c:strCache>
                <c:ptCount val="1"/>
                <c:pt idx="0">
                  <c:v>Significant projects</c:v>
                </c:pt>
              </c:strCache>
            </c:strRef>
          </c:tx>
          <c:spPr>
            <a:solidFill>
              <a:schemeClr val="accent5">
                <a:tint val="86000"/>
              </a:schemeClr>
            </a:solidFill>
            <a:ln>
              <a:noFill/>
            </a:ln>
            <a:effectLst/>
          </c:spPr>
          <c:invertIfNegative val="0"/>
          <c:cat>
            <c:strRef>
              <c:f>'Dashboard - Data'!$AA$40:$AJ$40</c:f>
              <c:strCache>
                <c:ptCount val="10"/>
                <c:pt idx="0">
                  <c:v>2026-27</c:v>
                </c:pt>
                <c:pt idx="1">
                  <c:v>2027-28</c:v>
                </c:pt>
                <c:pt idx="2">
                  <c:v>2028-29</c:v>
                </c:pt>
                <c:pt idx="3">
                  <c:v>2029-30</c:v>
                </c:pt>
                <c:pt idx="4">
                  <c:v>2030-31</c:v>
                </c:pt>
                <c:pt idx="5">
                  <c:v>2031-32</c:v>
                </c:pt>
                <c:pt idx="6">
                  <c:v>2032-33</c:v>
                </c:pt>
                <c:pt idx="7">
                  <c:v>2033-34</c:v>
                </c:pt>
                <c:pt idx="8">
                  <c:v>2034-35</c:v>
                </c:pt>
                <c:pt idx="9">
                  <c:v>2035-36</c:v>
                </c:pt>
              </c:strCache>
            </c:strRef>
          </c:cat>
          <c:val>
            <c:numRef>
              <c:f>'Dashboard - Data'!$AA$42:$AJ$42</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51B6-4BB4-8F72-D0EC05375B25}"/>
            </c:ext>
          </c:extLst>
        </c:ser>
        <c:ser>
          <c:idx val="2"/>
          <c:order val="2"/>
          <c:tx>
            <c:strRef>
              <c:f>'Dashboard - Data'!$U$43</c:f>
              <c:strCache>
                <c:ptCount val="1"/>
                <c:pt idx="0">
                  <c:v>Capital Programs / Allocation</c:v>
                </c:pt>
              </c:strCache>
            </c:strRef>
          </c:tx>
          <c:spPr>
            <a:solidFill>
              <a:schemeClr val="accent5">
                <a:shade val="86000"/>
              </a:schemeClr>
            </a:solidFill>
            <a:ln>
              <a:noFill/>
            </a:ln>
            <a:effectLst/>
          </c:spPr>
          <c:invertIfNegative val="0"/>
          <c:cat>
            <c:strRef>
              <c:f>'Dashboard - Data'!$AA$40:$AJ$40</c:f>
              <c:strCache>
                <c:ptCount val="10"/>
                <c:pt idx="0">
                  <c:v>2026-27</c:v>
                </c:pt>
                <c:pt idx="1">
                  <c:v>2027-28</c:v>
                </c:pt>
                <c:pt idx="2">
                  <c:v>2028-29</c:v>
                </c:pt>
                <c:pt idx="3">
                  <c:v>2029-30</c:v>
                </c:pt>
                <c:pt idx="4">
                  <c:v>2030-31</c:v>
                </c:pt>
                <c:pt idx="5">
                  <c:v>2031-32</c:v>
                </c:pt>
                <c:pt idx="6">
                  <c:v>2032-33</c:v>
                </c:pt>
                <c:pt idx="7">
                  <c:v>2033-34</c:v>
                </c:pt>
                <c:pt idx="8">
                  <c:v>2034-35</c:v>
                </c:pt>
                <c:pt idx="9">
                  <c:v>2035-36</c:v>
                </c:pt>
              </c:strCache>
            </c:strRef>
          </c:cat>
          <c:val>
            <c:numRef>
              <c:f>'Dashboard - Data'!$AA$43:$AJ$43</c:f>
              <c:numCache>
                <c:formatCode>0.00</c:formatCode>
                <c:ptCount val="10"/>
                <c:pt idx="0">
                  <c:v>1088.0885450866426</c:v>
                </c:pt>
                <c:pt idx="1">
                  <c:v>1153.181012713176</c:v>
                </c:pt>
                <c:pt idx="2">
                  <c:v>1107.2681744581066</c:v>
                </c:pt>
                <c:pt idx="3">
                  <c:v>1089.1796666356031</c:v>
                </c:pt>
                <c:pt idx="4">
                  <c:v>947.42377495484186</c:v>
                </c:pt>
                <c:pt idx="5">
                  <c:v>1421.9389749566835</c:v>
                </c:pt>
                <c:pt idx="6">
                  <c:v>1649.1714106438471</c:v>
                </c:pt>
                <c:pt idx="7">
                  <c:v>1514.1427376100967</c:v>
                </c:pt>
                <c:pt idx="8">
                  <c:v>1736.5473974853476</c:v>
                </c:pt>
                <c:pt idx="9">
                  <c:v>1839.4572381966984</c:v>
                </c:pt>
              </c:numCache>
            </c:numRef>
          </c:val>
          <c:extLst>
            <c:ext xmlns:c16="http://schemas.microsoft.com/office/drawing/2014/chart" uri="{C3380CC4-5D6E-409C-BE32-E72D297353CC}">
              <c16:uniqueId val="{00000002-51B6-4BB4-8F72-D0EC05375B25}"/>
            </c:ext>
          </c:extLst>
        </c:ser>
        <c:ser>
          <c:idx val="3"/>
          <c:order val="3"/>
          <c:tx>
            <c:strRef>
              <c:f>'Dashboard - Data'!$U$44</c:f>
              <c:strCache>
                <c:ptCount val="1"/>
                <c:pt idx="0">
                  <c:v>Other Capital expenditure</c:v>
                </c:pt>
              </c:strCache>
            </c:strRef>
          </c:tx>
          <c:spPr>
            <a:solidFill>
              <a:schemeClr val="accent5">
                <a:shade val="58000"/>
              </a:schemeClr>
            </a:solidFill>
            <a:ln>
              <a:noFill/>
            </a:ln>
            <a:effectLst/>
          </c:spPr>
          <c:invertIfNegative val="0"/>
          <c:cat>
            <c:strRef>
              <c:f>'Dashboard - Data'!$AA$40:$AJ$40</c:f>
              <c:strCache>
                <c:ptCount val="10"/>
                <c:pt idx="0">
                  <c:v>2026-27</c:v>
                </c:pt>
                <c:pt idx="1">
                  <c:v>2027-28</c:v>
                </c:pt>
                <c:pt idx="2">
                  <c:v>2028-29</c:v>
                </c:pt>
                <c:pt idx="3">
                  <c:v>2029-30</c:v>
                </c:pt>
                <c:pt idx="4">
                  <c:v>2030-31</c:v>
                </c:pt>
                <c:pt idx="5">
                  <c:v>2031-32</c:v>
                </c:pt>
                <c:pt idx="6">
                  <c:v>2032-33</c:v>
                </c:pt>
                <c:pt idx="7">
                  <c:v>2033-34</c:v>
                </c:pt>
                <c:pt idx="8">
                  <c:v>2034-35</c:v>
                </c:pt>
                <c:pt idx="9">
                  <c:v>2035-36</c:v>
                </c:pt>
              </c:strCache>
            </c:strRef>
          </c:cat>
          <c:val>
            <c:numRef>
              <c:f>'Dashboard - Data'!$AA$44:$AJ$44</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51B6-4BB4-8F72-D0EC05375B25}"/>
            </c:ext>
          </c:extLst>
        </c:ser>
        <c:dLbls>
          <c:showLegendKey val="0"/>
          <c:showVal val="0"/>
          <c:showCatName val="0"/>
          <c:showSerName val="0"/>
          <c:showPercent val="0"/>
          <c:showBubbleSize val="0"/>
        </c:dLbls>
        <c:gapWidth val="75"/>
        <c:overlap val="100"/>
        <c:axId val="212231296"/>
        <c:axId val="212232832"/>
      </c:barChart>
      <c:catAx>
        <c:axId val="212231296"/>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212232832"/>
        <c:crosses val="autoZero"/>
        <c:auto val="1"/>
        <c:lblAlgn val="ctr"/>
        <c:lblOffset val="100"/>
        <c:noMultiLvlLbl val="0"/>
      </c:catAx>
      <c:valAx>
        <c:axId val="212232832"/>
        <c:scaling>
          <c:orientation val="minMax"/>
          <c:min val="-200"/>
        </c:scaling>
        <c:delete val="0"/>
        <c:axPos val="l"/>
        <c:majorGridlines>
          <c:spPr>
            <a:ln w="9525" cap="flat" cmpd="sng" algn="ctr">
              <a:solidFill>
                <a:schemeClr val="tx1">
                  <a:tint val="75000"/>
                  <a:shade val="95000"/>
                  <a:satMod val="105000"/>
                </a:schemeClr>
              </a:solidFill>
              <a:prstDash val="solid"/>
              <a:round/>
            </a:ln>
            <a:effectLst/>
          </c:spPr>
        </c:majorGridlines>
        <c:numFmt formatCode="0.00"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212231296"/>
        <c:crosses val="autoZero"/>
        <c:crossBetween val="between"/>
      </c:valAx>
      <c:spPr>
        <a:solidFill>
          <a:schemeClr val="bg1"/>
        </a:solidFill>
        <a:ln>
          <a:noFill/>
        </a:ln>
        <a:effectLst/>
      </c:spPr>
    </c:plotArea>
    <c:legend>
      <c:legendPos val="b"/>
      <c:layout>
        <c:manualLayout>
          <c:xMode val="edge"/>
          <c:yMode val="edge"/>
          <c:x val="0"/>
          <c:y val="0.88370331520866818"/>
          <c:w val="1"/>
          <c:h val="9.771536885366904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Prescribed Capex: Current vs Previous Review</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'Dashboard - Data'!$E$180</c:f>
              <c:strCache>
                <c:ptCount val="1"/>
                <c:pt idx="0">
                  <c:v>FD 2020/21 Benchmarks</c:v>
                </c:pt>
              </c:strCache>
            </c:strRef>
          </c:tx>
          <c:spPr>
            <a:ln w="38100" cap="rnd">
              <a:solidFill>
                <a:schemeClr val="tx2"/>
              </a:solidFill>
              <a:round/>
            </a:ln>
            <a:effectLst/>
          </c:spPr>
          <c:marker>
            <c:symbol val="none"/>
          </c:marker>
          <c:cat>
            <c:strRef>
              <c:f>'Dashboard - Data'!$V$99:$AF$99</c:f>
              <c:strCache>
                <c:ptCount val="11"/>
                <c:pt idx="0">
                  <c:v>2020-21</c:v>
                </c:pt>
                <c:pt idx="1">
                  <c:v>2021-22</c:v>
                </c:pt>
                <c:pt idx="2">
                  <c:v>2022-23</c:v>
                </c:pt>
                <c:pt idx="3">
                  <c:v>2023-24</c:v>
                </c:pt>
                <c:pt idx="4">
                  <c:v>2024-25</c:v>
                </c:pt>
                <c:pt idx="5">
                  <c:v>2025-26</c:v>
                </c:pt>
                <c:pt idx="6">
                  <c:v>2026-27</c:v>
                </c:pt>
                <c:pt idx="7">
                  <c:v>2027-28</c:v>
                </c:pt>
                <c:pt idx="8">
                  <c:v>2028-29</c:v>
                </c:pt>
                <c:pt idx="9">
                  <c:v>2029-30</c:v>
                </c:pt>
                <c:pt idx="10">
                  <c:v>2030-31</c:v>
                </c:pt>
              </c:strCache>
            </c:strRef>
          </c:cat>
          <c:val>
            <c:numRef>
              <c:f>'Dashboard - Data'!$V$100:$AF$100</c:f>
              <c:numCache>
                <c:formatCode>0.00</c:formatCode>
                <c:ptCount val="11"/>
                <c:pt idx="0">
                  <c:v>550.34498315723476</c:v>
                </c:pt>
                <c:pt idx="1">
                  <c:v>927.06243643349524</c:v>
                </c:pt>
                <c:pt idx="2">
                  <c:v>1109.5112280953947</c:v>
                </c:pt>
                <c:pt idx="3">
                  <c:v>829.31472941982076</c:v>
                </c:pt>
                <c:pt idx="4">
                  <c:v>831.8436266888491</c:v>
                </c:pt>
                <c:pt idx="5">
                  <c:v>678.85510206620143</c:v>
                </c:pt>
              </c:numCache>
            </c:numRef>
          </c:val>
          <c:smooth val="1"/>
          <c:extLst>
            <c:ext xmlns:c16="http://schemas.microsoft.com/office/drawing/2014/chart" uri="{C3380CC4-5D6E-409C-BE32-E72D297353CC}">
              <c16:uniqueId val="{00000000-19F6-4891-A98F-29BCDA620284}"/>
            </c:ext>
          </c:extLst>
        </c:ser>
        <c:ser>
          <c:idx val="1"/>
          <c:order val="1"/>
          <c:tx>
            <c:strRef>
              <c:f>'Dashboard - Data'!$E$181</c:f>
              <c:strCache>
                <c:ptCount val="1"/>
                <c:pt idx="0">
                  <c:v>FD 2020/21 Forecast</c:v>
                </c:pt>
              </c:strCache>
            </c:strRef>
          </c:tx>
          <c:spPr>
            <a:ln w="38100" cap="rnd">
              <a:solidFill>
                <a:srgbClr val="3399FF"/>
              </a:solidFill>
              <a:round/>
            </a:ln>
            <a:effectLst/>
          </c:spPr>
          <c:marker>
            <c:symbol val="none"/>
          </c:marker>
          <c:cat>
            <c:strRef>
              <c:f>'Dashboard - Data'!$V$99:$AF$99</c:f>
              <c:strCache>
                <c:ptCount val="11"/>
                <c:pt idx="0">
                  <c:v>2020-21</c:v>
                </c:pt>
                <c:pt idx="1">
                  <c:v>2021-22</c:v>
                </c:pt>
                <c:pt idx="2">
                  <c:v>2022-23</c:v>
                </c:pt>
                <c:pt idx="3">
                  <c:v>2023-24</c:v>
                </c:pt>
                <c:pt idx="4">
                  <c:v>2024-25</c:v>
                </c:pt>
                <c:pt idx="5">
                  <c:v>2025-26</c:v>
                </c:pt>
                <c:pt idx="6">
                  <c:v>2026-27</c:v>
                </c:pt>
                <c:pt idx="7">
                  <c:v>2027-28</c:v>
                </c:pt>
                <c:pt idx="8">
                  <c:v>2028-29</c:v>
                </c:pt>
                <c:pt idx="9">
                  <c:v>2029-30</c:v>
                </c:pt>
                <c:pt idx="10">
                  <c:v>2030-31</c:v>
                </c:pt>
              </c:strCache>
            </c:strRef>
          </c:cat>
          <c:val>
            <c:numRef>
              <c:f>'Dashboard - Data'!$V$101:$AF$101</c:f>
              <c:numCache>
                <c:formatCode>General</c:formatCode>
                <c:ptCount val="11"/>
                <c:pt idx="5" formatCode="0.00">
                  <c:v>678.85510206620143</c:v>
                </c:pt>
                <c:pt idx="6" formatCode="0.00">
                  <c:v>807.53216060687657</c:v>
                </c:pt>
                <c:pt idx="7" formatCode="0.00">
                  <c:v>770.44178331775004</c:v>
                </c:pt>
                <c:pt idx="8" formatCode="0.00">
                  <c:v>784.80776674452045</c:v>
                </c:pt>
                <c:pt idx="9" formatCode="0.00">
                  <c:v>814.24641575700412</c:v>
                </c:pt>
                <c:pt idx="10" formatCode="0.00">
                  <c:v>786.28968618234512</c:v>
                </c:pt>
              </c:numCache>
            </c:numRef>
          </c:val>
          <c:smooth val="1"/>
          <c:extLst>
            <c:ext xmlns:c16="http://schemas.microsoft.com/office/drawing/2014/chart" uri="{C3380CC4-5D6E-409C-BE32-E72D297353CC}">
              <c16:uniqueId val="{00000001-19F6-4891-A98F-29BCDA620284}"/>
            </c:ext>
          </c:extLst>
        </c:ser>
        <c:ser>
          <c:idx val="2"/>
          <c:order val="2"/>
          <c:tx>
            <c:strRef>
              <c:f>'Dashboard - Data'!$E$182</c:f>
              <c:strCache>
                <c:ptCount val="1"/>
                <c:pt idx="0">
                  <c:v>PS5 Actual (2021-2026)</c:v>
                </c:pt>
              </c:strCache>
            </c:strRef>
          </c:tx>
          <c:spPr>
            <a:ln w="38100" cap="rnd">
              <a:solidFill>
                <a:srgbClr val="FF0000"/>
              </a:solidFill>
              <a:round/>
            </a:ln>
            <a:effectLst/>
          </c:spPr>
          <c:marker>
            <c:symbol val="none"/>
          </c:marker>
          <c:cat>
            <c:strRef>
              <c:f>'Dashboard - Data'!$V$99:$AF$99</c:f>
              <c:strCache>
                <c:ptCount val="11"/>
                <c:pt idx="0">
                  <c:v>2020-21</c:v>
                </c:pt>
                <c:pt idx="1">
                  <c:v>2021-22</c:v>
                </c:pt>
                <c:pt idx="2">
                  <c:v>2022-23</c:v>
                </c:pt>
                <c:pt idx="3">
                  <c:v>2023-24</c:v>
                </c:pt>
                <c:pt idx="4">
                  <c:v>2024-25</c:v>
                </c:pt>
                <c:pt idx="5">
                  <c:v>2025-26</c:v>
                </c:pt>
                <c:pt idx="6">
                  <c:v>2026-27</c:v>
                </c:pt>
                <c:pt idx="7">
                  <c:v>2027-28</c:v>
                </c:pt>
                <c:pt idx="8">
                  <c:v>2028-29</c:v>
                </c:pt>
                <c:pt idx="9">
                  <c:v>2029-30</c:v>
                </c:pt>
                <c:pt idx="10">
                  <c:v>2030-31</c:v>
                </c:pt>
              </c:strCache>
            </c:strRef>
          </c:cat>
          <c:val>
            <c:numRef>
              <c:f>'Dashboard - Data'!$V$102:$AF$102</c:f>
              <c:numCache>
                <c:formatCode>0.00</c:formatCode>
                <c:ptCount val="11"/>
                <c:pt idx="0">
                  <c:v>797.02440927545513</c:v>
                </c:pt>
                <c:pt idx="1">
                  <c:v>751.86183677857571</c:v>
                </c:pt>
                <c:pt idx="2">
                  <c:v>883.33185422705719</c:v>
                </c:pt>
                <c:pt idx="3">
                  <c:v>975.48484394204763</c:v>
                </c:pt>
                <c:pt idx="4">
                  <c:v>1058.7332364874123</c:v>
                </c:pt>
                <c:pt idx="5">
                  <c:v>678.85510206620143</c:v>
                </c:pt>
              </c:numCache>
            </c:numRef>
          </c:val>
          <c:smooth val="1"/>
          <c:extLst>
            <c:ext xmlns:c16="http://schemas.microsoft.com/office/drawing/2014/chart" uri="{C3380CC4-5D6E-409C-BE32-E72D297353CC}">
              <c16:uniqueId val="{00000002-19F6-4891-A98F-29BCDA620284}"/>
            </c:ext>
          </c:extLst>
        </c:ser>
        <c:ser>
          <c:idx val="3"/>
          <c:order val="3"/>
          <c:tx>
            <c:strRef>
              <c:f>'Dashboard - Data'!$E$183</c:f>
              <c:strCache>
                <c:ptCount val="1"/>
                <c:pt idx="0">
                  <c:v>PS6 Proposed</c:v>
                </c:pt>
              </c:strCache>
            </c:strRef>
          </c:tx>
          <c:spPr>
            <a:ln w="38100" cap="rnd">
              <a:solidFill>
                <a:schemeClr val="accent3"/>
              </a:solidFill>
              <a:round/>
            </a:ln>
            <a:effectLst/>
          </c:spPr>
          <c:marker>
            <c:symbol val="none"/>
          </c:marker>
          <c:cat>
            <c:strRef>
              <c:f>'Dashboard - Data'!$V$99:$AF$99</c:f>
              <c:strCache>
                <c:ptCount val="11"/>
                <c:pt idx="0">
                  <c:v>2020-21</c:v>
                </c:pt>
                <c:pt idx="1">
                  <c:v>2021-22</c:v>
                </c:pt>
                <c:pt idx="2">
                  <c:v>2022-23</c:v>
                </c:pt>
                <c:pt idx="3">
                  <c:v>2023-24</c:v>
                </c:pt>
                <c:pt idx="4">
                  <c:v>2024-25</c:v>
                </c:pt>
                <c:pt idx="5">
                  <c:v>2025-26</c:v>
                </c:pt>
                <c:pt idx="6">
                  <c:v>2026-27</c:v>
                </c:pt>
                <c:pt idx="7">
                  <c:v>2027-28</c:v>
                </c:pt>
                <c:pt idx="8">
                  <c:v>2028-29</c:v>
                </c:pt>
                <c:pt idx="9">
                  <c:v>2029-30</c:v>
                </c:pt>
                <c:pt idx="10">
                  <c:v>2030-31</c:v>
                </c:pt>
              </c:strCache>
            </c:strRef>
          </c:cat>
          <c:val>
            <c:numRef>
              <c:f>'Dashboard - Data'!$V$103:$AF$103</c:f>
              <c:numCache>
                <c:formatCode>General</c:formatCode>
                <c:ptCount val="11"/>
                <c:pt idx="5" formatCode="0.00">
                  <c:v>678.85510206620143</c:v>
                </c:pt>
                <c:pt idx="6" formatCode="0.00">
                  <c:v>1427.8676842478524</c:v>
                </c:pt>
                <c:pt idx="7" formatCode="0.00">
                  <c:v>1570.164250393809</c:v>
                </c:pt>
                <c:pt idx="8" formatCode="0.00">
                  <c:v>1607.4161999295407</c:v>
                </c:pt>
                <c:pt idx="9" formatCode="0.00">
                  <c:v>1650.5477325991501</c:v>
                </c:pt>
                <c:pt idx="10" formatCode="0.00">
                  <c:v>1600.0870518966058</c:v>
                </c:pt>
              </c:numCache>
            </c:numRef>
          </c:val>
          <c:smooth val="1"/>
          <c:extLst>
            <c:ext xmlns:c16="http://schemas.microsoft.com/office/drawing/2014/chart" uri="{C3380CC4-5D6E-409C-BE32-E72D297353CC}">
              <c16:uniqueId val="{00000003-19F6-4891-A98F-29BCDA620284}"/>
            </c:ext>
          </c:extLst>
        </c:ser>
        <c:dLbls>
          <c:showLegendKey val="0"/>
          <c:showVal val="0"/>
          <c:showCatName val="0"/>
          <c:showSerName val="0"/>
          <c:showPercent val="0"/>
          <c:showBubbleSize val="0"/>
        </c:dLbls>
        <c:dropLines>
          <c:spPr>
            <a:ln w="28575" cap="flat" cmpd="sng" algn="ctr">
              <a:solidFill>
                <a:schemeClr val="bg1">
                  <a:lumMod val="85000"/>
                </a:schemeClr>
              </a:solidFill>
              <a:round/>
            </a:ln>
            <a:effectLst/>
          </c:spPr>
        </c:dropLines>
        <c:smooth val="0"/>
        <c:axId val="1368197440"/>
        <c:axId val="753656496"/>
      </c:lineChart>
      <c:catAx>
        <c:axId val="1368197440"/>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53656496"/>
        <c:crosses val="autoZero"/>
        <c:auto val="1"/>
        <c:lblAlgn val="ctr"/>
        <c:lblOffset val="100"/>
        <c:noMultiLvlLbl val="0"/>
      </c:catAx>
      <c:valAx>
        <c:axId val="753656496"/>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819744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Total</a:t>
            </a:r>
            <a:r>
              <a:rPr lang="en-AU" baseline="0"/>
              <a:t> tariff revenue - Fixed vs Variable ($m)</a:t>
            </a:r>
            <a:endParaRPr lang="en-AU"/>
          </a:p>
        </c:rich>
      </c:tx>
      <c:overlay val="0"/>
    </c:title>
    <c:autoTitleDeleted val="0"/>
    <c:plotArea>
      <c:layout/>
      <c:barChart>
        <c:barDir val="col"/>
        <c:grouping val="stacked"/>
        <c:varyColors val="0"/>
        <c:ser>
          <c:idx val="0"/>
          <c:order val="0"/>
          <c:tx>
            <c:strRef>
              <c:f>'Dashboard - Data'!$C$29</c:f>
              <c:strCache>
                <c:ptCount val="1"/>
                <c:pt idx="0">
                  <c:v>Fixed </c:v>
                </c:pt>
              </c:strCache>
            </c:strRef>
          </c:tx>
          <c:invertIfNegative val="0"/>
          <c:cat>
            <c:strRef>
              <c:f>'Dashboard - Data'!$D$28:$R$28</c:f>
              <c:strCache>
                <c:ptCount val="15"/>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strCache>
            </c:strRef>
          </c:cat>
          <c:val>
            <c:numRef>
              <c:f>'Dashboard - Data'!$D$29:$R$29</c:f>
              <c:numCache>
                <c:formatCode>0.00</c:formatCode>
                <c:ptCount val="15"/>
                <c:pt idx="0">
                  <c:v>1674.6840549448489</c:v>
                </c:pt>
                <c:pt idx="1">
                  <c:v>1652.5634087981452</c:v>
                </c:pt>
                <c:pt idx="2">
                  <c:v>1654.5832960652176</c:v>
                </c:pt>
                <c:pt idx="3">
                  <c:v>1665.0721446488483</c:v>
                </c:pt>
                <c:pt idx="4">
                  <c:v>1662.8114824694694</c:v>
                </c:pt>
                <c:pt idx="5">
                  <c:v>1413.3925049115305</c:v>
                </c:pt>
                <c:pt idx="6">
                  <c:v>1484.2021654567366</c:v>
                </c:pt>
                <c:pt idx="7">
                  <c:v>1514.8302093166812</c:v>
                </c:pt>
                <c:pt idx="8">
                  <c:v>1546.7782559091204</c:v>
                </c:pt>
                <c:pt idx="9">
                  <c:v>1580.1421854462596</c:v>
                </c:pt>
                <c:pt idx="10">
                  <c:v>1600.0512239554785</c:v>
                </c:pt>
                <c:pt idx="11">
                  <c:v>1623.55693742057</c:v>
                </c:pt>
                <c:pt idx="12">
                  <c:v>1648.9402493595962</c:v>
                </c:pt>
                <c:pt idx="13">
                  <c:v>1676.2550308645009</c:v>
                </c:pt>
                <c:pt idx="14">
                  <c:v>1705.6968430912898</c:v>
                </c:pt>
              </c:numCache>
            </c:numRef>
          </c:val>
          <c:extLst>
            <c:ext xmlns:c16="http://schemas.microsoft.com/office/drawing/2014/chart" uri="{C3380CC4-5D6E-409C-BE32-E72D297353CC}">
              <c16:uniqueId val="{00000000-EE10-48E0-BCE4-8D273DEC9888}"/>
            </c:ext>
          </c:extLst>
        </c:ser>
        <c:ser>
          <c:idx val="1"/>
          <c:order val="1"/>
          <c:tx>
            <c:strRef>
              <c:f>'Dashboard - Data'!$C$30</c:f>
              <c:strCache>
                <c:ptCount val="1"/>
                <c:pt idx="0">
                  <c:v>Variable</c:v>
                </c:pt>
              </c:strCache>
            </c:strRef>
          </c:tx>
          <c:spPr>
            <a:solidFill>
              <a:schemeClr val="tx2">
                <a:lumMod val="20000"/>
                <a:lumOff val="80000"/>
              </a:schemeClr>
            </a:solidFill>
          </c:spPr>
          <c:invertIfNegative val="0"/>
          <c:cat>
            <c:strRef>
              <c:f>'Dashboard - Data'!$D$28:$R$28</c:f>
              <c:strCache>
                <c:ptCount val="15"/>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strCache>
            </c:strRef>
          </c:cat>
          <c:val>
            <c:numRef>
              <c:f>'Dashboard - Data'!$D$30:$R$30</c:f>
              <c:numCache>
                <c:formatCode>0.00</c:formatCode>
                <c:ptCount val="15"/>
                <c:pt idx="0">
                  <c:v>188.80731756934512</c:v>
                </c:pt>
                <c:pt idx="1">
                  <c:v>197.75481806481847</c:v>
                </c:pt>
                <c:pt idx="2">
                  <c:v>206.41065063533338</c:v>
                </c:pt>
                <c:pt idx="3">
                  <c:v>219.57611078287448</c:v>
                </c:pt>
                <c:pt idx="4">
                  <c:v>221.02917690874295</c:v>
                </c:pt>
                <c:pt idx="5">
                  <c:v>479.89040362456439</c:v>
                </c:pt>
                <c:pt idx="6">
                  <c:v>482.45692160211524</c:v>
                </c:pt>
                <c:pt idx="7">
                  <c:v>489.75057125487507</c:v>
                </c:pt>
                <c:pt idx="8">
                  <c:v>495.95223444989415</c:v>
                </c:pt>
                <c:pt idx="9">
                  <c:v>501.83964911104476</c:v>
                </c:pt>
                <c:pt idx="10">
                  <c:v>579.72408662665589</c:v>
                </c:pt>
                <c:pt idx="11">
                  <c:v>586.74979699855487</c:v>
                </c:pt>
                <c:pt idx="12">
                  <c:v>593.74028311326254</c:v>
                </c:pt>
                <c:pt idx="13">
                  <c:v>605.03556607945484</c:v>
                </c:pt>
                <c:pt idx="14">
                  <c:v>611.25072246036711</c:v>
                </c:pt>
              </c:numCache>
            </c:numRef>
          </c:val>
          <c:extLst>
            <c:ext xmlns:c16="http://schemas.microsoft.com/office/drawing/2014/chart" uri="{C3380CC4-5D6E-409C-BE32-E72D297353CC}">
              <c16:uniqueId val="{00000001-EE10-48E0-BCE4-8D273DEC9888}"/>
            </c:ext>
          </c:extLst>
        </c:ser>
        <c:dLbls>
          <c:showLegendKey val="0"/>
          <c:showVal val="0"/>
          <c:showCatName val="0"/>
          <c:showSerName val="0"/>
          <c:showPercent val="0"/>
          <c:showBubbleSize val="0"/>
        </c:dLbls>
        <c:gapWidth val="75"/>
        <c:overlap val="100"/>
        <c:axId val="209303424"/>
        <c:axId val="209304960"/>
      </c:barChart>
      <c:catAx>
        <c:axId val="209303424"/>
        <c:scaling>
          <c:orientation val="minMax"/>
        </c:scaling>
        <c:delete val="0"/>
        <c:axPos val="b"/>
        <c:numFmt formatCode="General" sourceLinked="0"/>
        <c:majorTickMark val="none"/>
        <c:minorTickMark val="none"/>
        <c:tickLblPos val="nextTo"/>
        <c:crossAx val="209304960"/>
        <c:crosses val="autoZero"/>
        <c:auto val="1"/>
        <c:lblAlgn val="ctr"/>
        <c:lblOffset val="100"/>
        <c:noMultiLvlLbl val="0"/>
      </c:catAx>
      <c:valAx>
        <c:axId val="209304960"/>
        <c:scaling>
          <c:orientation val="minMax"/>
        </c:scaling>
        <c:delete val="0"/>
        <c:axPos val="l"/>
        <c:majorGridlines/>
        <c:numFmt formatCode="#,##0" sourceLinked="0"/>
        <c:majorTickMark val="none"/>
        <c:minorTickMark val="none"/>
        <c:tickLblPos val="nextTo"/>
        <c:spPr>
          <a:ln w="9525">
            <a:noFill/>
          </a:ln>
        </c:spPr>
        <c:crossAx val="20930342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Interest cover (times)</a:t>
            </a:r>
          </a:p>
        </c:rich>
      </c:tx>
      <c:overlay val="0"/>
    </c:title>
    <c:autoTitleDeleted val="0"/>
    <c:plotArea>
      <c:layout/>
      <c:barChart>
        <c:barDir val="col"/>
        <c:grouping val="clustered"/>
        <c:varyColors val="0"/>
        <c:ser>
          <c:idx val="0"/>
          <c:order val="0"/>
          <c:tx>
            <c:strRef>
              <c:f>'Dashboard - Data'!$C$101</c:f>
              <c:strCache>
                <c:ptCount val="1"/>
                <c:pt idx="0">
                  <c:v>Interest cover</c:v>
                </c:pt>
              </c:strCache>
            </c:strRef>
          </c:tx>
          <c:spPr>
            <a:solidFill>
              <a:schemeClr val="tx2">
                <a:lumMod val="60000"/>
                <a:lumOff val="40000"/>
              </a:schemeClr>
            </a:solidFill>
          </c:spPr>
          <c:invertIfNegative val="0"/>
          <c:cat>
            <c:strRef>
              <c:f>'Dashboard - Data'!$D$100:$R$100</c:f>
              <c:strCache>
                <c:ptCount val="15"/>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strCache>
            </c:strRef>
          </c:cat>
          <c:val>
            <c:numRef>
              <c:f>'Dashboard - Data'!$D$101:$R$101</c:f>
              <c:numCache>
                <c:formatCode>0.00</c:formatCode>
                <c:ptCount val="15"/>
                <c:pt idx="0">
                  <c:v>2.0505948090367712</c:v>
                </c:pt>
                <c:pt idx="1">
                  <c:v>2.1056701853388624</c:v>
                </c:pt>
                <c:pt idx="2">
                  <c:v>2.2696778091722414</c:v>
                </c:pt>
                <c:pt idx="3">
                  <c:v>1.886308901794771</c:v>
                </c:pt>
                <c:pt idx="4">
                  <c:v>2.1014085674906093</c:v>
                </c:pt>
                <c:pt idx="5">
                  <c:v>2.0086710636508895</c:v>
                </c:pt>
                <c:pt idx="6">
                  <c:v>1.9894987638690764</c:v>
                </c:pt>
                <c:pt idx="7">
                  <c:v>1.9230661620230858</c:v>
                </c:pt>
                <c:pt idx="8">
                  <c:v>1.9228988412265136</c:v>
                </c:pt>
                <c:pt idx="9">
                  <c:v>1.950256095627622</c:v>
                </c:pt>
                <c:pt idx="10">
                  <c:v>1.9923847586405761</c:v>
                </c:pt>
                <c:pt idx="11">
                  <c:v>2.0118127272508892</c:v>
                </c:pt>
                <c:pt idx="12">
                  <c:v>2.0612307366714226</c:v>
                </c:pt>
                <c:pt idx="13">
                  <c:v>2.1206453236153417</c:v>
                </c:pt>
                <c:pt idx="14">
                  <c:v>2.1644842226462835</c:v>
                </c:pt>
              </c:numCache>
            </c:numRef>
          </c:val>
          <c:extLst>
            <c:ext xmlns:c16="http://schemas.microsoft.com/office/drawing/2014/chart" uri="{C3380CC4-5D6E-409C-BE32-E72D297353CC}">
              <c16:uniqueId val="{00000000-A3D1-43BD-A662-BF7A8713A9B4}"/>
            </c:ext>
          </c:extLst>
        </c:ser>
        <c:dLbls>
          <c:showLegendKey val="0"/>
          <c:showVal val="0"/>
          <c:showCatName val="0"/>
          <c:showSerName val="0"/>
          <c:showPercent val="0"/>
          <c:showBubbleSize val="0"/>
        </c:dLbls>
        <c:gapWidth val="75"/>
        <c:overlap val="-25"/>
        <c:axId val="209368192"/>
        <c:axId val="209369728"/>
      </c:barChart>
      <c:catAx>
        <c:axId val="209368192"/>
        <c:scaling>
          <c:orientation val="minMax"/>
        </c:scaling>
        <c:delete val="0"/>
        <c:axPos val="b"/>
        <c:numFmt formatCode="General" sourceLinked="0"/>
        <c:majorTickMark val="none"/>
        <c:minorTickMark val="none"/>
        <c:tickLblPos val="nextTo"/>
        <c:crossAx val="209369728"/>
        <c:crosses val="autoZero"/>
        <c:auto val="1"/>
        <c:lblAlgn val="ctr"/>
        <c:lblOffset val="100"/>
        <c:noMultiLvlLbl val="0"/>
      </c:catAx>
      <c:valAx>
        <c:axId val="209369728"/>
        <c:scaling>
          <c:orientation val="minMax"/>
        </c:scaling>
        <c:delete val="0"/>
        <c:axPos val="l"/>
        <c:majorGridlines/>
        <c:numFmt formatCode="0" sourceLinked="0"/>
        <c:majorTickMark val="none"/>
        <c:minorTickMark val="none"/>
        <c:tickLblPos val="nextTo"/>
        <c:spPr>
          <a:ln w="9525">
            <a:noFill/>
          </a:ln>
        </c:spPr>
        <c:crossAx val="20936819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Internal financing ratio (%)</a:t>
            </a:r>
          </a:p>
        </c:rich>
      </c:tx>
      <c:overlay val="0"/>
    </c:title>
    <c:autoTitleDeleted val="0"/>
    <c:plotArea>
      <c:layout/>
      <c:barChart>
        <c:barDir val="col"/>
        <c:grouping val="clustered"/>
        <c:varyColors val="0"/>
        <c:ser>
          <c:idx val="0"/>
          <c:order val="0"/>
          <c:tx>
            <c:strRef>
              <c:f>'Dashboard - Data'!$C$105</c:f>
              <c:strCache>
                <c:ptCount val="1"/>
                <c:pt idx="0">
                  <c:v>Internal financing ratio</c:v>
                </c:pt>
              </c:strCache>
            </c:strRef>
          </c:tx>
          <c:spPr>
            <a:solidFill>
              <a:srgbClr val="97BAE5"/>
            </a:solidFill>
          </c:spPr>
          <c:invertIfNegative val="0"/>
          <c:cat>
            <c:strRef>
              <c:f>'Dashboard - Data'!$D$104:$R$104</c:f>
              <c:strCache>
                <c:ptCount val="15"/>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strCache>
            </c:strRef>
          </c:cat>
          <c:val>
            <c:numRef>
              <c:f>'Dashboard - Data'!$D$105:$R$105</c:f>
              <c:numCache>
                <c:formatCode>0.00%</c:formatCode>
                <c:ptCount val="15"/>
                <c:pt idx="0">
                  <c:v>1.2737926113546671</c:v>
                </c:pt>
                <c:pt idx="1">
                  <c:v>1.0393236867415432</c:v>
                </c:pt>
                <c:pt idx="2">
                  <c:v>0.89126274541510975</c:v>
                </c:pt>
                <c:pt idx="3">
                  <c:v>0.62592268212421853</c:v>
                </c:pt>
                <c:pt idx="4">
                  <c:v>1.3713077405800258</c:v>
                </c:pt>
                <c:pt idx="5">
                  <c:v>0.48684089510544709</c:v>
                </c:pt>
                <c:pt idx="6">
                  <c:v>0.46535700313013234</c:v>
                </c:pt>
                <c:pt idx="7">
                  <c:v>0.47248764190731463</c:v>
                </c:pt>
                <c:pt idx="8">
                  <c:v>0.48443399158390782</c:v>
                </c:pt>
                <c:pt idx="9">
                  <c:v>0.52615955855882812</c:v>
                </c:pt>
                <c:pt idx="10">
                  <c:v>0.47009923215609772</c:v>
                </c:pt>
                <c:pt idx="11">
                  <c:v>0.45749322002489912</c:v>
                </c:pt>
                <c:pt idx="12">
                  <c:v>0.52608155143230095</c:v>
                </c:pt>
                <c:pt idx="13">
                  <c:v>0.47336301272493531</c:v>
                </c:pt>
                <c:pt idx="14">
                  <c:v>0.45556903733639625</c:v>
                </c:pt>
              </c:numCache>
            </c:numRef>
          </c:val>
          <c:extLst>
            <c:ext xmlns:c16="http://schemas.microsoft.com/office/drawing/2014/chart" uri="{C3380CC4-5D6E-409C-BE32-E72D297353CC}">
              <c16:uniqueId val="{00000000-A2FE-43A7-8997-F20F1A305B75}"/>
            </c:ext>
          </c:extLst>
        </c:ser>
        <c:dLbls>
          <c:showLegendKey val="0"/>
          <c:showVal val="0"/>
          <c:showCatName val="0"/>
          <c:showSerName val="0"/>
          <c:showPercent val="0"/>
          <c:showBubbleSize val="0"/>
        </c:dLbls>
        <c:gapWidth val="75"/>
        <c:overlap val="-25"/>
        <c:axId val="209525376"/>
        <c:axId val="209535360"/>
      </c:barChart>
      <c:catAx>
        <c:axId val="209525376"/>
        <c:scaling>
          <c:orientation val="minMax"/>
        </c:scaling>
        <c:delete val="0"/>
        <c:axPos val="b"/>
        <c:numFmt formatCode="General" sourceLinked="0"/>
        <c:majorTickMark val="none"/>
        <c:minorTickMark val="none"/>
        <c:tickLblPos val="nextTo"/>
        <c:crossAx val="209535360"/>
        <c:crosses val="autoZero"/>
        <c:auto val="1"/>
        <c:lblAlgn val="ctr"/>
        <c:lblOffset val="100"/>
        <c:noMultiLvlLbl val="0"/>
      </c:catAx>
      <c:valAx>
        <c:axId val="209535360"/>
        <c:scaling>
          <c:orientation val="minMax"/>
        </c:scaling>
        <c:delete val="0"/>
        <c:axPos val="l"/>
        <c:majorGridlines/>
        <c:numFmt formatCode="0%" sourceLinked="0"/>
        <c:majorTickMark val="none"/>
        <c:minorTickMark val="none"/>
        <c:tickLblPos val="nextTo"/>
        <c:spPr>
          <a:ln w="9525">
            <a:noFill/>
          </a:ln>
        </c:spPr>
        <c:crossAx val="20952537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Composition of RAV ($)</a:t>
            </a:r>
          </a:p>
        </c:rich>
      </c:tx>
      <c:overlay val="0"/>
    </c:title>
    <c:autoTitleDeleted val="0"/>
    <c:plotArea>
      <c:layout/>
      <c:areaChart>
        <c:grouping val="stacked"/>
        <c:varyColors val="0"/>
        <c:ser>
          <c:idx val="0"/>
          <c:order val="0"/>
          <c:tx>
            <c:strRef>
              <c:f>'Dashboard - Data'!$U$91</c:f>
              <c:strCache>
                <c:ptCount val="1"/>
                <c:pt idx="0">
                  <c:v>Existing assets </c:v>
                </c:pt>
              </c:strCache>
            </c:strRef>
          </c:tx>
          <c:cat>
            <c:strRef>
              <c:f>'Dashboard - Data'!$V$90:$AJ$90</c:f>
              <c:strCache>
                <c:ptCount val="15"/>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strCache>
            </c:strRef>
          </c:cat>
          <c:val>
            <c:numRef>
              <c:f>'Dashboard - Data'!$V$91:$AJ$91</c:f>
              <c:numCache>
                <c:formatCode>0.00</c:formatCode>
                <c:ptCount val="15"/>
                <c:pt idx="0">
                  <c:v>13974.996721133981</c:v>
                </c:pt>
                <c:pt idx="1">
                  <c:v>14252.112733443315</c:v>
                </c:pt>
                <c:pt idx="2">
                  <c:v>14629.706817244683</c:v>
                </c:pt>
                <c:pt idx="3">
                  <c:v>15089.678563567777</c:v>
                </c:pt>
                <c:pt idx="4">
                  <c:v>15621.166079286351</c:v>
                </c:pt>
                <c:pt idx="5">
                  <c:v>15733.028038124707</c:v>
                </c:pt>
                <c:pt idx="6">
                  <c:v>15404.782063377126</c:v>
                </c:pt>
                <c:pt idx="7">
                  <c:v>15077.960240919849</c:v>
                </c:pt>
                <c:pt idx="8">
                  <c:v>14757.155054713678</c:v>
                </c:pt>
                <c:pt idx="9">
                  <c:v>14467.356756868503</c:v>
                </c:pt>
                <c:pt idx="10">
                  <c:v>14200.829818895205</c:v>
                </c:pt>
                <c:pt idx="11">
                  <c:v>13944.708709696555</c:v>
                </c:pt>
                <c:pt idx="12">
                  <c:v>13688.587600497905</c:v>
                </c:pt>
                <c:pt idx="13">
                  <c:v>13432.466491299256</c:v>
                </c:pt>
                <c:pt idx="14">
                  <c:v>13176.345382100606</c:v>
                </c:pt>
              </c:numCache>
            </c:numRef>
          </c:val>
          <c:extLst>
            <c:ext xmlns:c16="http://schemas.microsoft.com/office/drawing/2014/chart" uri="{C3380CC4-5D6E-409C-BE32-E72D297353CC}">
              <c16:uniqueId val="{00000000-7FB9-4571-B0EF-88D298EBCDA3}"/>
            </c:ext>
          </c:extLst>
        </c:ser>
        <c:ser>
          <c:idx val="1"/>
          <c:order val="1"/>
          <c:tx>
            <c:strRef>
              <c:f>'Dashboard - Data'!$U$92</c:f>
              <c:strCache>
                <c:ptCount val="1"/>
                <c:pt idx="0">
                  <c:v>New assets</c:v>
                </c:pt>
              </c:strCache>
            </c:strRef>
          </c:tx>
          <c:spPr>
            <a:solidFill>
              <a:schemeClr val="tx2">
                <a:lumMod val="20000"/>
                <a:lumOff val="80000"/>
              </a:schemeClr>
            </a:solidFill>
            <a:ln w="25400">
              <a:noFill/>
            </a:ln>
          </c:spPr>
          <c:cat>
            <c:strRef>
              <c:f>'Dashboard - Data'!$V$90:$AJ$90</c:f>
              <c:strCache>
                <c:ptCount val="15"/>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strCache>
            </c:strRef>
          </c:cat>
          <c:val>
            <c:numRef>
              <c:f>'Dashboard - Data'!$V$92:$AJ$92</c:f>
              <c:numCache>
                <c:formatCode>General</c:formatCode>
                <c:ptCount val="15"/>
                <c:pt idx="5" formatCode="0.00">
                  <c:v>0</c:v>
                </c:pt>
                <c:pt idx="6" formatCode="0.00">
                  <c:v>1150.0944100594832</c:v>
                </c:pt>
                <c:pt idx="7" formatCode="0.00">
                  <c:v>2403.762716450472</c:v>
                </c:pt>
                <c:pt idx="8" formatCode="0.00">
                  <c:v>3682.4102062851834</c:v>
                </c:pt>
                <c:pt idx="9" formatCode="0.00">
                  <c:v>4974.4752046432604</c:v>
                </c:pt>
                <c:pt idx="10" formatCode="0.00">
                  <c:v>6190.0452675888537</c:v>
                </c:pt>
                <c:pt idx="11" formatCode="0.00">
                  <c:v>7592.6611104505273</c:v>
                </c:pt>
                <c:pt idx="12" formatCode="0.00">
                  <c:v>9039.3239808962026</c:v>
                </c:pt>
                <c:pt idx="13" formatCode="0.00">
                  <c:v>10293.14089171277</c:v>
                </c:pt>
                <c:pt idx="14" formatCode="0.00">
                  <c:v>11763.066472490917</c:v>
                </c:pt>
              </c:numCache>
            </c:numRef>
          </c:val>
          <c:extLst>
            <c:ext xmlns:c16="http://schemas.microsoft.com/office/drawing/2014/chart" uri="{C3380CC4-5D6E-409C-BE32-E72D297353CC}">
              <c16:uniqueId val="{00000001-7FB9-4571-B0EF-88D298EBCDA3}"/>
            </c:ext>
          </c:extLst>
        </c:ser>
        <c:dLbls>
          <c:showLegendKey val="0"/>
          <c:showVal val="0"/>
          <c:showCatName val="0"/>
          <c:showSerName val="0"/>
          <c:showPercent val="0"/>
          <c:showBubbleSize val="0"/>
        </c:dLbls>
        <c:axId val="209577088"/>
        <c:axId val="209578624"/>
      </c:areaChart>
      <c:catAx>
        <c:axId val="209577088"/>
        <c:scaling>
          <c:orientation val="minMax"/>
        </c:scaling>
        <c:delete val="0"/>
        <c:axPos val="b"/>
        <c:numFmt formatCode="General" sourceLinked="0"/>
        <c:majorTickMark val="none"/>
        <c:minorTickMark val="none"/>
        <c:tickLblPos val="nextTo"/>
        <c:crossAx val="209578624"/>
        <c:crosses val="autoZero"/>
        <c:auto val="1"/>
        <c:lblAlgn val="ctr"/>
        <c:lblOffset val="100"/>
        <c:noMultiLvlLbl val="0"/>
      </c:catAx>
      <c:valAx>
        <c:axId val="209578624"/>
        <c:scaling>
          <c:orientation val="minMax"/>
        </c:scaling>
        <c:delete val="0"/>
        <c:axPos val="l"/>
        <c:majorGridlines/>
        <c:numFmt formatCode="#,##0" sourceLinked="0"/>
        <c:majorTickMark val="none"/>
        <c:minorTickMark val="none"/>
        <c:tickLblPos val="nextTo"/>
        <c:crossAx val="209577088"/>
        <c:crosses val="autoZero"/>
        <c:crossBetween val="midCat"/>
      </c:valAx>
    </c:plotArea>
    <c:legend>
      <c:legendPos val="b"/>
      <c:overlay val="0"/>
    </c:legend>
    <c:plotVisOnly val="1"/>
    <c:dispBlanksAs val="zero"/>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Composition of revenue requirement</a:t>
            </a:r>
            <a:r>
              <a:rPr lang="en-AU" baseline="0"/>
              <a:t> for regulatory period ($m)</a:t>
            </a:r>
            <a:endParaRPr lang="en-AU"/>
          </a:p>
        </c:rich>
      </c:tx>
      <c:overlay val="0"/>
    </c:title>
    <c:autoTitleDeleted val="0"/>
    <c:plotArea>
      <c:layout>
        <c:manualLayout>
          <c:layoutTarget val="inner"/>
          <c:xMode val="edge"/>
          <c:yMode val="edge"/>
          <c:x val="0.20400184328104026"/>
          <c:y val="0.20949489026637627"/>
          <c:w val="0.65961138827112265"/>
          <c:h val="0.47118194002345454"/>
        </c:manualLayout>
      </c:layout>
      <c:barChart>
        <c:barDir val="col"/>
        <c:grouping val="stacked"/>
        <c:varyColors val="0"/>
        <c:ser>
          <c:idx val="0"/>
          <c:order val="0"/>
          <c:tx>
            <c:strRef>
              <c:f>'Dashboard - Data'!$C$18</c:f>
              <c:strCache>
                <c:ptCount val="1"/>
                <c:pt idx="0">
                  <c:v>Operating expenditure</c:v>
                </c:pt>
              </c:strCache>
            </c:strRef>
          </c:tx>
          <c:invertIfNegative val="0"/>
          <c:cat>
            <c:strRef>
              <c:f>'Dashboard - Data'!$D$17</c:f>
              <c:strCache>
                <c:ptCount val="1"/>
                <c:pt idx="0">
                  <c:v>SIXTH REG PERIOD</c:v>
                </c:pt>
              </c:strCache>
            </c:strRef>
          </c:cat>
          <c:val>
            <c:numRef>
              <c:f>'Dashboard - Data'!$D$18</c:f>
              <c:numCache>
                <c:formatCode>#,##0.00</c:formatCode>
                <c:ptCount val="1"/>
                <c:pt idx="0">
                  <c:v>5511.9272270331667</c:v>
                </c:pt>
              </c:numCache>
            </c:numRef>
          </c:val>
          <c:extLst>
            <c:ext xmlns:c16="http://schemas.microsoft.com/office/drawing/2014/chart" uri="{C3380CC4-5D6E-409C-BE32-E72D297353CC}">
              <c16:uniqueId val="{00000000-8299-4F81-AB56-0F8101CDBCE8}"/>
            </c:ext>
          </c:extLst>
        </c:ser>
        <c:ser>
          <c:idx val="1"/>
          <c:order val="1"/>
          <c:tx>
            <c:strRef>
              <c:f>'Dashboard - Data'!$C$19</c:f>
              <c:strCache>
                <c:ptCount val="1"/>
                <c:pt idx="0">
                  <c:v>Return on assets</c:v>
                </c:pt>
              </c:strCache>
            </c:strRef>
          </c:tx>
          <c:spPr>
            <a:solidFill>
              <a:schemeClr val="tx2">
                <a:lumMod val="40000"/>
                <a:lumOff val="60000"/>
              </a:schemeClr>
            </a:solidFill>
          </c:spPr>
          <c:invertIfNegative val="0"/>
          <c:cat>
            <c:strRef>
              <c:f>'Dashboard - Data'!$D$17</c:f>
              <c:strCache>
                <c:ptCount val="1"/>
                <c:pt idx="0">
                  <c:v>SIXTH REG PERIOD</c:v>
                </c:pt>
              </c:strCache>
            </c:strRef>
          </c:cat>
          <c:val>
            <c:numRef>
              <c:f>'Dashboard - Data'!$D$19</c:f>
              <c:numCache>
                <c:formatCode>#,##0.00</c:formatCode>
                <c:ptCount val="1"/>
                <c:pt idx="0">
                  <c:v>2673.2751308587058</c:v>
                </c:pt>
              </c:numCache>
            </c:numRef>
          </c:val>
          <c:extLst>
            <c:ext xmlns:c16="http://schemas.microsoft.com/office/drawing/2014/chart" uri="{C3380CC4-5D6E-409C-BE32-E72D297353CC}">
              <c16:uniqueId val="{00000001-8299-4F81-AB56-0F8101CDBCE8}"/>
            </c:ext>
          </c:extLst>
        </c:ser>
        <c:ser>
          <c:idx val="2"/>
          <c:order val="2"/>
          <c:tx>
            <c:strRef>
              <c:f>'Dashboard - Data'!$C$20</c:f>
              <c:strCache>
                <c:ptCount val="1"/>
                <c:pt idx="0">
                  <c:v>Regulatory depreciation of assets</c:v>
                </c:pt>
              </c:strCache>
            </c:strRef>
          </c:tx>
          <c:spPr>
            <a:solidFill>
              <a:schemeClr val="accent5">
                <a:lumMod val="20000"/>
                <a:lumOff val="80000"/>
              </a:schemeClr>
            </a:solidFill>
          </c:spPr>
          <c:invertIfNegative val="0"/>
          <c:cat>
            <c:strRef>
              <c:f>'Dashboard - Data'!$D$17</c:f>
              <c:strCache>
                <c:ptCount val="1"/>
                <c:pt idx="0">
                  <c:v>SIXTH REG PERIOD</c:v>
                </c:pt>
              </c:strCache>
            </c:strRef>
          </c:cat>
          <c:val>
            <c:numRef>
              <c:f>'Dashboard - Data'!$D$20</c:f>
              <c:numCache>
                <c:formatCode>0.00</c:formatCode>
                <c:ptCount val="1"/>
                <c:pt idx="0">
                  <c:v>1827.680326151311</c:v>
                </c:pt>
              </c:numCache>
            </c:numRef>
          </c:val>
          <c:extLst>
            <c:ext xmlns:c16="http://schemas.microsoft.com/office/drawing/2014/chart" uri="{C3380CC4-5D6E-409C-BE32-E72D297353CC}">
              <c16:uniqueId val="{00000002-8299-4F81-AB56-0F8101CDBCE8}"/>
            </c:ext>
          </c:extLst>
        </c:ser>
        <c:ser>
          <c:idx val="3"/>
          <c:order val="3"/>
          <c:tx>
            <c:strRef>
              <c:f>'Dashboard - Data'!$C$21</c:f>
              <c:strCache>
                <c:ptCount val="1"/>
                <c:pt idx="0">
                  <c:v>Adjustments from last period</c:v>
                </c:pt>
              </c:strCache>
            </c:strRef>
          </c:tx>
          <c:invertIfNegative val="0"/>
          <c:cat>
            <c:strRef>
              <c:f>'Dashboard - Data'!$D$17</c:f>
              <c:strCache>
                <c:ptCount val="1"/>
                <c:pt idx="0">
                  <c:v>SIXTH REG PERIOD</c:v>
                </c:pt>
              </c:strCache>
            </c:strRef>
          </c:cat>
          <c:val>
            <c:numRef>
              <c:f>'Dashboard - Data'!$D$21</c:f>
              <c:numCache>
                <c:formatCode>0.00</c:formatCode>
                <c:ptCount val="1"/>
                <c:pt idx="0">
                  <c:v>-9.7265997418980312</c:v>
                </c:pt>
              </c:numCache>
            </c:numRef>
          </c:val>
          <c:extLst>
            <c:ext xmlns:c16="http://schemas.microsoft.com/office/drawing/2014/chart" uri="{C3380CC4-5D6E-409C-BE32-E72D297353CC}">
              <c16:uniqueId val="{00000003-8299-4F81-AB56-0F8101CDBCE8}"/>
            </c:ext>
          </c:extLst>
        </c:ser>
        <c:ser>
          <c:idx val="4"/>
          <c:order val="4"/>
          <c:tx>
            <c:strRef>
              <c:f>'Dashboard - Data'!$C$22</c:f>
              <c:strCache>
                <c:ptCount val="1"/>
                <c:pt idx="0">
                  <c:v>Non-prescribed revenue offset of revenue requirement</c:v>
                </c:pt>
              </c:strCache>
            </c:strRef>
          </c:tx>
          <c:invertIfNegative val="0"/>
          <c:cat>
            <c:strRef>
              <c:f>'Dashboard - Data'!$D$17</c:f>
              <c:strCache>
                <c:ptCount val="1"/>
                <c:pt idx="0">
                  <c:v>SIXTH REG PERIOD</c:v>
                </c:pt>
              </c:strCache>
            </c:strRef>
          </c:cat>
          <c:val>
            <c:numRef>
              <c:f>'Dashboard - Data'!$D$22</c:f>
              <c:numCache>
                <c:formatCode>0.00</c:formatCode>
                <c:ptCount val="1"/>
                <c:pt idx="0">
                  <c:v>0</c:v>
                </c:pt>
              </c:numCache>
            </c:numRef>
          </c:val>
          <c:extLst>
            <c:ext xmlns:c16="http://schemas.microsoft.com/office/drawing/2014/chart" uri="{C3380CC4-5D6E-409C-BE32-E72D297353CC}">
              <c16:uniqueId val="{00000004-8299-4F81-AB56-0F8101CDBCE8}"/>
            </c:ext>
          </c:extLst>
        </c:ser>
        <c:ser>
          <c:idx val="5"/>
          <c:order val="5"/>
          <c:tx>
            <c:strRef>
              <c:f>'Dashboard - Data'!$C$23</c:f>
              <c:strCache>
                <c:ptCount val="1"/>
                <c:pt idx="0">
                  <c:v>Tax liability</c:v>
                </c:pt>
              </c:strCache>
            </c:strRef>
          </c:tx>
          <c:spPr>
            <a:solidFill>
              <a:schemeClr val="tx2">
                <a:lumMod val="75000"/>
              </a:schemeClr>
            </a:solidFill>
          </c:spPr>
          <c:invertIfNegative val="0"/>
          <c:cat>
            <c:strRef>
              <c:f>'Dashboard - Data'!$D$17</c:f>
              <c:strCache>
                <c:ptCount val="1"/>
                <c:pt idx="0">
                  <c:v>SIXTH REG PERIOD</c:v>
                </c:pt>
              </c:strCache>
            </c:strRef>
          </c:cat>
          <c:val>
            <c:numRef>
              <c:f>'Dashboard - Data'!$D$23</c:f>
              <c:numCache>
                <c:formatCode>0.00</c:formatCode>
                <c:ptCount val="1"/>
                <c:pt idx="0">
                  <c:v>129.2369086207961</c:v>
                </c:pt>
              </c:numCache>
            </c:numRef>
          </c:val>
          <c:extLst>
            <c:ext xmlns:c16="http://schemas.microsoft.com/office/drawing/2014/chart" uri="{C3380CC4-5D6E-409C-BE32-E72D297353CC}">
              <c16:uniqueId val="{00000005-8299-4F81-AB56-0F8101CDBCE8}"/>
            </c:ext>
          </c:extLst>
        </c:ser>
        <c:dLbls>
          <c:showLegendKey val="0"/>
          <c:showVal val="0"/>
          <c:showCatName val="0"/>
          <c:showSerName val="0"/>
          <c:showPercent val="0"/>
          <c:showBubbleSize val="0"/>
        </c:dLbls>
        <c:gapWidth val="75"/>
        <c:overlap val="100"/>
        <c:axId val="209631872"/>
        <c:axId val="209633664"/>
      </c:barChart>
      <c:catAx>
        <c:axId val="209631872"/>
        <c:scaling>
          <c:orientation val="minMax"/>
        </c:scaling>
        <c:delete val="0"/>
        <c:axPos val="b"/>
        <c:numFmt formatCode="General" sourceLinked="0"/>
        <c:majorTickMark val="none"/>
        <c:minorTickMark val="none"/>
        <c:tickLblPos val="nextTo"/>
        <c:crossAx val="209633664"/>
        <c:crosses val="autoZero"/>
        <c:auto val="1"/>
        <c:lblAlgn val="ctr"/>
        <c:lblOffset val="100"/>
        <c:noMultiLvlLbl val="0"/>
      </c:catAx>
      <c:valAx>
        <c:axId val="209633664"/>
        <c:scaling>
          <c:orientation val="minMax"/>
        </c:scaling>
        <c:delete val="0"/>
        <c:axPos val="l"/>
        <c:majorGridlines/>
        <c:numFmt formatCode="#,##0" sourceLinked="0"/>
        <c:majorTickMark val="none"/>
        <c:minorTickMark val="none"/>
        <c:tickLblPos val="nextTo"/>
        <c:spPr>
          <a:ln w="9525">
            <a:noFill/>
          </a:ln>
        </c:spPr>
        <c:crossAx val="209631872"/>
        <c:crosses val="autoZero"/>
        <c:crossBetween val="between"/>
      </c:valAx>
    </c:plotArea>
    <c:legend>
      <c:legendPos val="b"/>
      <c:layout>
        <c:manualLayout>
          <c:xMode val="edge"/>
          <c:yMode val="edge"/>
          <c:x val="0"/>
          <c:y val="0.80601918522052984"/>
          <c:w val="1"/>
          <c:h val="0.16620306692100476"/>
        </c:manualLayout>
      </c:layout>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Capex vs Regulatory</a:t>
            </a:r>
            <a:r>
              <a:rPr lang="en-AU" baseline="0"/>
              <a:t> depreciation ($m)</a:t>
            </a:r>
            <a:endParaRPr lang="en-AU"/>
          </a:p>
        </c:rich>
      </c:tx>
      <c:overlay val="0"/>
    </c:title>
    <c:autoTitleDeleted val="0"/>
    <c:plotArea>
      <c:layout/>
      <c:barChart>
        <c:barDir val="col"/>
        <c:grouping val="clustered"/>
        <c:varyColors val="0"/>
        <c:ser>
          <c:idx val="0"/>
          <c:order val="0"/>
          <c:tx>
            <c:strRef>
              <c:f>'Dashboard - Data'!$U$70</c:f>
              <c:strCache>
                <c:ptCount val="1"/>
                <c:pt idx="0">
                  <c:v>Capital expenditure</c:v>
                </c:pt>
              </c:strCache>
            </c:strRef>
          </c:tx>
          <c:invertIfNegative val="0"/>
          <c:cat>
            <c:strRef>
              <c:f>'Dashboard - Data'!$V$69:$W$69</c:f>
              <c:strCache>
                <c:ptCount val="2"/>
                <c:pt idx="0">
                  <c:v>5th regulatory period</c:v>
                </c:pt>
                <c:pt idx="1">
                  <c:v>6th regulatory period</c:v>
                </c:pt>
              </c:strCache>
            </c:strRef>
          </c:cat>
          <c:val>
            <c:numRef>
              <c:f>'Dashboard - Data'!$V$70:$W$70</c:f>
              <c:numCache>
                <c:formatCode>0.00</c:formatCode>
                <c:ptCount val="2"/>
                <c:pt idx="0">
                  <c:v>4839.6681271406051</c:v>
                </c:pt>
                <c:pt idx="1">
                  <c:v>7856.0829190669574</c:v>
                </c:pt>
              </c:numCache>
            </c:numRef>
          </c:val>
          <c:extLst>
            <c:ext xmlns:c16="http://schemas.microsoft.com/office/drawing/2014/chart" uri="{C3380CC4-5D6E-409C-BE32-E72D297353CC}">
              <c16:uniqueId val="{00000000-296C-4F9F-A68F-40C88A8DFE14}"/>
            </c:ext>
          </c:extLst>
        </c:ser>
        <c:ser>
          <c:idx val="1"/>
          <c:order val="1"/>
          <c:tx>
            <c:strRef>
              <c:f>'Dashboard - Data'!$U$71</c:f>
              <c:strCache>
                <c:ptCount val="1"/>
                <c:pt idx="0">
                  <c:v>Regulatory depreciation</c:v>
                </c:pt>
              </c:strCache>
            </c:strRef>
          </c:tx>
          <c:spPr>
            <a:solidFill>
              <a:schemeClr val="tx2">
                <a:lumMod val="20000"/>
                <a:lumOff val="80000"/>
              </a:schemeClr>
            </a:solidFill>
          </c:spPr>
          <c:invertIfNegative val="0"/>
          <c:cat>
            <c:strRef>
              <c:f>'Dashboard - Data'!$V$69:$W$69</c:f>
              <c:strCache>
                <c:ptCount val="2"/>
                <c:pt idx="0">
                  <c:v>5th regulatory period</c:v>
                </c:pt>
                <c:pt idx="1">
                  <c:v>6th regulatory period</c:v>
                </c:pt>
              </c:strCache>
            </c:strRef>
          </c:cat>
          <c:val>
            <c:numRef>
              <c:f>'Dashboard - Data'!$V$71:$W$71</c:f>
              <c:numCache>
                <c:formatCode>0.00</c:formatCode>
                <c:ptCount val="2"/>
                <c:pt idx="0">
                  <c:v>1392.9469272312679</c:v>
                </c:pt>
                <c:pt idx="1">
                  <c:v>1827.680326151311</c:v>
                </c:pt>
              </c:numCache>
            </c:numRef>
          </c:val>
          <c:extLst>
            <c:ext xmlns:c16="http://schemas.microsoft.com/office/drawing/2014/chart" uri="{C3380CC4-5D6E-409C-BE32-E72D297353CC}">
              <c16:uniqueId val="{00000001-296C-4F9F-A68F-40C88A8DFE14}"/>
            </c:ext>
          </c:extLst>
        </c:ser>
        <c:dLbls>
          <c:showLegendKey val="0"/>
          <c:showVal val="0"/>
          <c:showCatName val="0"/>
          <c:showSerName val="0"/>
          <c:showPercent val="0"/>
          <c:showBubbleSize val="0"/>
        </c:dLbls>
        <c:gapWidth val="75"/>
        <c:overlap val="-25"/>
        <c:axId val="209659008"/>
        <c:axId val="209660544"/>
      </c:barChart>
      <c:catAx>
        <c:axId val="209659008"/>
        <c:scaling>
          <c:orientation val="minMax"/>
        </c:scaling>
        <c:delete val="0"/>
        <c:axPos val="b"/>
        <c:numFmt formatCode="General" sourceLinked="0"/>
        <c:majorTickMark val="none"/>
        <c:minorTickMark val="none"/>
        <c:tickLblPos val="nextTo"/>
        <c:crossAx val="209660544"/>
        <c:crosses val="autoZero"/>
        <c:auto val="1"/>
        <c:lblAlgn val="ctr"/>
        <c:lblOffset val="100"/>
        <c:noMultiLvlLbl val="0"/>
      </c:catAx>
      <c:valAx>
        <c:axId val="209660544"/>
        <c:scaling>
          <c:orientation val="minMax"/>
        </c:scaling>
        <c:delete val="0"/>
        <c:axPos val="l"/>
        <c:majorGridlines/>
        <c:numFmt formatCode="#,##0" sourceLinked="0"/>
        <c:majorTickMark val="none"/>
        <c:minorTickMark val="none"/>
        <c:tickLblPos val="nextTo"/>
        <c:spPr>
          <a:ln w="9525">
            <a:noFill/>
          </a:ln>
        </c:spPr>
        <c:crossAx val="20965900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Total</a:t>
            </a:r>
            <a:r>
              <a:rPr lang="en-AU" baseline="0"/>
              <a:t> prescribed operating expenditure ($m)</a:t>
            </a:r>
            <a:endParaRPr lang="en-AU"/>
          </a:p>
        </c:rich>
      </c:tx>
      <c:overlay val="0"/>
    </c:title>
    <c:autoTitleDeleted val="0"/>
    <c:plotArea>
      <c:layout/>
      <c:barChart>
        <c:barDir val="col"/>
        <c:grouping val="stacked"/>
        <c:varyColors val="0"/>
        <c:ser>
          <c:idx val="0"/>
          <c:order val="0"/>
          <c:tx>
            <c:strRef>
              <c:f>'Dashboard - Data'!$C$42</c:f>
              <c:strCache>
                <c:ptCount val="1"/>
                <c:pt idx="0">
                  <c:v>Controllable opex</c:v>
                </c:pt>
              </c:strCache>
            </c:strRef>
          </c:tx>
          <c:spPr>
            <a:solidFill>
              <a:schemeClr val="accent6">
                <a:lumMod val="75000"/>
              </a:schemeClr>
            </a:solidFill>
          </c:spPr>
          <c:invertIfNegative val="0"/>
          <c:cat>
            <c:strRef>
              <c:f>'Dashboard - Data'!$D$41:$R$41</c:f>
              <c:strCache>
                <c:ptCount val="15"/>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strCache>
            </c:strRef>
          </c:cat>
          <c:val>
            <c:numRef>
              <c:f>'Dashboard - Data'!$D$42:$R$42</c:f>
              <c:numCache>
                <c:formatCode>0.00</c:formatCode>
                <c:ptCount val="15"/>
                <c:pt idx="0">
                  <c:v>501.2491774159792</c:v>
                </c:pt>
                <c:pt idx="1">
                  <c:v>500.26722780491616</c:v>
                </c:pt>
                <c:pt idx="2">
                  <c:v>508.48725061361989</c:v>
                </c:pt>
                <c:pt idx="3">
                  <c:v>568.05319685796928</c:v>
                </c:pt>
                <c:pt idx="4">
                  <c:v>547.84335201999977</c:v>
                </c:pt>
                <c:pt idx="5">
                  <c:v>545.45973319354857</c:v>
                </c:pt>
                <c:pt idx="6">
                  <c:v>551.14985044551531</c:v>
                </c:pt>
                <c:pt idx="7">
                  <c:v>561.95351311879097</c:v>
                </c:pt>
                <c:pt idx="8">
                  <c:v>565.25181980440391</c:v>
                </c:pt>
                <c:pt idx="9">
                  <c:v>566.14799284372646</c:v>
                </c:pt>
                <c:pt idx="10">
                  <c:v>565.72662591603273</c:v>
                </c:pt>
                <c:pt idx="11">
                  <c:v>564.92478358474898</c:v>
                </c:pt>
                <c:pt idx="12">
                  <c:v>563.84208181640099</c:v>
                </c:pt>
                <c:pt idx="13">
                  <c:v>564.75118862126078</c:v>
                </c:pt>
                <c:pt idx="14">
                  <c:v>562.37815884444956</c:v>
                </c:pt>
              </c:numCache>
            </c:numRef>
          </c:val>
          <c:extLst>
            <c:ext xmlns:c16="http://schemas.microsoft.com/office/drawing/2014/chart" uri="{C3380CC4-5D6E-409C-BE32-E72D297353CC}">
              <c16:uniqueId val="{00000000-DB34-467C-A8CA-3B2370FF601B}"/>
            </c:ext>
          </c:extLst>
        </c:ser>
        <c:ser>
          <c:idx val="1"/>
          <c:order val="1"/>
          <c:tx>
            <c:strRef>
              <c:f>'Dashboard - Data'!$C$43</c:f>
              <c:strCache>
                <c:ptCount val="1"/>
                <c:pt idx="0">
                  <c:v>Non-controllable opex</c:v>
                </c:pt>
              </c:strCache>
            </c:strRef>
          </c:tx>
          <c:spPr>
            <a:solidFill>
              <a:schemeClr val="accent6">
                <a:lumMod val="60000"/>
                <a:lumOff val="40000"/>
              </a:schemeClr>
            </a:solidFill>
          </c:spPr>
          <c:invertIfNegative val="0"/>
          <c:cat>
            <c:strRef>
              <c:f>'Dashboard - Data'!$D$41:$R$41</c:f>
              <c:strCache>
                <c:ptCount val="15"/>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strCache>
            </c:strRef>
          </c:cat>
          <c:val>
            <c:numRef>
              <c:f>'Dashboard - Data'!$D$43:$R$43</c:f>
              <c:numCache>
                <c:formatCode>0.00</c:formatCode>
                <c:ptCount val="15"/>
                <c:pt idx="0">
                  <c:v>685.8611776663605</c:v>
                </c:pt>
                <c:pt idx="1">
                  <c:v>665.782828117858</c:v>
                </c:pt>
                <c:pt idx="2">
                  <c:v>638.78386775152717</c:v>
                </c:pt>
                <c:pt idx="3">
                  <c:v>596.52322021870089</c:v>
                </c:pt>
                <c:pt idx="4">
                  <c:v>585.9735939028717</c:v>
                </c:pt>
                <c:pt idx="5">
                  <c:v>569.63264090720713</c:v>
                </c:pt>
                <c:pt idx="6">
                  <c:v>557.40691877124016</c:v>
                </c:pt>
                <c:pt idx="7">
                  <c:v>552.50836712946898</c:v>
                </c:pt>
                <c:pt idx="8">
                  <c:v>531.55884161976178</c:v>
                </c:pt>
                <c:pt idx="9">
                  <c:v>510.85754919950347</c:v>
                </c:pt>
                <c:pt idx="10">
                  <c:v>488.58373966802463</c:v>
                </c:pt>
                <c:pt idx="11">
                  <c:v>464.54818817739465</c:v>
                </c:pt>
                <c:pt idx="12">
                  <c:v>429.38012434850913</c:v>
                </c:pt>
                <c:pt idx="13">
                  <c:v>402.47349863105825</c:v>
                </c:pt>
                <c:pt idx="14">
                  <c:v>374.45007434269405</c:v>
                </c:pt>
              </c:numCache>
            </c:numRef>
          </c:val>
          <c:extLst>
            <c:ext xmlns:c16="http://schemas.microsoft.com/office/drawing/2014/chart" uri="{C3380CC4-5D6E-409C-BE32-E72D297353CC}">
              <c16:uniqueId val="{00000001-DB34-467C-A8CA-3B2370FF601B}"/>
            </c:ext>
          </c:extLst>
        </c:ser>
        <c:dLbls>
          <c:showLegendKey val="0"/>
          <c:showVal val="0"/>
          <c:showCatName val="0"/>
          <c:showSerName val="0"/>
          <c:showPercent val="0"/>
          <c:showBubbleSize val="0"/>
        </c:dLbls>
        <c:gapWidth val="75"/>
        <c:overlap val="100"/>
        <c:axId val="209736064"/>
        <c:axId val="209737600"/>
      </c:barChart>
      <c:catAx>
        <c:axId val="209736064"/>
        <c:scaling>
          <c:orientation val="minMax"/>
        </c:scaling>
        <c:delete val="0"/>
        <c:axPos val="b"/>
        <c:numFmt formatCode="General" sourceLinked="0"/>
        <c:majorTickMark val="none"/>
        <c:minorTickMark val="none"/>
        <c:tickLblPos val="nextTo"/>
        <c:txPr>
          <a:bodyPr rot="-5400000" vert="horz"/>
          <a:lstStyle/>
          <a:p>
            <a:pPr>
              <a:defRPr/>
            </a:pPr>
            <a:endParaRPr lang="en-US"/>
          </a:p>
        </c:txPr>
        <c:crossAx val="209737600"/>
        <c:crosses val="autoZero"/>
        <c:auto val="1"/>
        <c:lblAlgn val="ctr"/>
        <c:lblOffset val="100"/>
        <c:noMultiLvlLbl val="0"/>
      </c:catAx>
      <c:valAx>
        <c:axId val="209737600"/>
        <c:scaling>
          <c:orientation val="minMax"/>
        </c:scaling>
        <c:delete val="0"/>
        <c:axPos val="l"/>
        <c:majorGridlines/>
        <c:numFmt formatCode="#,##0" sourceLinked="0"/>
        <c:majorTickMark val="none"/>
        <c:minorTickMark val="none"/>
        <c:tickLblPos val="nextTo"/>
        <c:spPr>
          <a:ln w="9525">
            <a:noFill/>
          </a:ln>
        </c:spPr>
        <c:crossAx val="209736064"/>
        <c:crosses val="autoZero"/>
        <c:crossBetween val="between"/>
      </c:valAx>
    </c:plotArea>
    <c:legend>
      <c:legendPos val="b"/>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Reversed" id="25">
  <a:schemeClr val="accent5"/>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Radio" firstButton="1" fmlaLink="$X$32" lockText="1"/>
</file>

<file path=xl/ctrlProps/ctrlProp2.xml><?xml version="1.0" encoding="utf-8"?>
<formControlPr xmlns="http://schemas.microsoft.com/office/spreadsheetml/2009/9/main" objectType="Radio" checked="Checked" lockText="1"/>
</file>

<file path=xl/ctrlProps/ctrlProp3.xml><?xml version="1.0" encoding="utf-8"?>
<formControlPr xmlns="http://schemas.microsoft.com/office/spreadsheetml/2009/9/main" objectType="Radio" checked="Checked" firstButton="1" fmlaLink="$AU$10" lockText="1"/>
</file>

<file path=xl/ctrlProps/ctrlProp4.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10" Type="http://schemas.openxmlformats.org/officeDocument/2006/relationships/chart" Target="../charts/chart18.xml"/><Relationship Id="rId4" Type="http://schemas.openxmlformats.org/officeDocument/2006/relationships/chart" Target="../charts/chart12.xml"/><Relationship Id="rId9" Type="http://schemas.openxmlformats.org/officeDocument/2006/relationships/chart" Target="../charts/chart17.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editAs="oneCell">
    <xdr:from>
      <xdr:col>1</xdr:col>
      <xdr:colOff>19051</xdr:colOff>
      <xdr:row>0</xdr:row>
      <xdr:rowOff>85726</xdr:rowOff>
    </xdr:from>
    <xdr:to>
      <xdr:col>2</xdr:col>
      <xdr:colOff>438150</xdr:colOff>
      <xdr:row>4</xdr:row>
      <xdr:rowOff>101472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19076" y="85726"/>
          <a:ext cx="771524" cy="777746"/>
        </a:xfrm>
        <a:prstGeom prst="rect">
          <a:avLst/>
        </a:prstGeom>
        <a:effectLst>
          <a:outerShdw blurRad="50800" dist="38100" dir="2700000" algn="tl" rotWithShape="0">
            <a:prstClr val="black">
              <a:alpha val="40000"/>
            </a:prstClr>
          </a:outerShdw>
        </a:effectLst>
      </xdr:spPr>
    </xdr:pic>
    <xdr:clientData/>
  </xdr:twoCellAnchor>
  <xdr:twoCellAnchor editAs="oneCell">
    <xdr:from>
      <xdr:col>7</xdr:col>
      <xdr:colOff>1543050</xdr:colOff>
      <xdr:row>1</xdr:row>
      <xdr:rowOff>89440</xdr:rowOff>
    </xdr:from>
    <xdr:to>
      <xdr:col>8</xdr:col>
      <xdr:colOff>593386</xdr:colOff>
      <xdr:row>3</xdr:row>
      <xdr:rowOff>76200</xdr:rowOff>
    </xdr:to>
    <xdr:pic>
      <xdr:nvPicPr>
        <xdr:cNvPr id="3" name="Picture 2" descr="Melbourne Water - BizTalk Server Monitoring &amp; Management Solution |  BizTalk360">
          <a:extLst>
            <a:ext uri="{FF2B5EF4-FFF2-40B4-BE49-F238E27FC236}">
              <a16:creationId xmlns:a16="http://schemas.microsoft.com/office/drawing/2014/main" id="{BB461873-D936-28F2-8982-A2D95AC9072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24900" y="279940"/>
          <a:ext cx="1564936" cy="367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23</xdr:col>
          <xdr:colOff>38100</xdr:colOff>
          <xdr:row>31</xdr:row>
          <xdr:rowOff>0</xdr:rowOff>
        </xdr:from>
        <xdr:to>
          <xdr:col>23</xdr:col>
          <xdr:colOff>409575</xdr:colOff>
          <xdr:row>32</xdr:row>
          <xdr:rowOff>47625</xdr:rowOff>
        </xdr:to>
        <xdr:sp macro="" textlink="">
          <xdr:nvSpPr>
            <xdr:cNvPr id="22717" name="Option Button 189" hidden="1">
              <a:extLst>
                <a:ext uri="{63B3BB69-23CF-44E3-9099-C40C66FF867C}">
                  <a14:compatExt spid="_x0000_s22717"/>
                </a:ext>
                <a:ext uri="{FF2B5EF4-FFF2-40B4-BE49-F238E27FC236}">
                  <a16:creationId xmlns:a16="http://schemas.microsoft.com/office/drawing/2014/main" id="{00000000-0008-0000-0400-0000BD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32</xdr:row>
          <xdr:rowOff>85725</xdr:rowOff>
        </xdr:from>
        <xdr:to>
          <xdr:col>23</xdr:col>
          <xdr:colOff>409575</xdr:colOff>
          <xdr:row>34</xdr:row>
          <xdr:rowOff>28575</xdr:rowOff>
        </xdr:to>
        <xdr:sp macro="" textlink="">
          <xdr:nvSpPr>
            <xdr:cNvPr id="22718" name="Option Button 190" hidden="1">
              <a:extLst>
                <a:ext uri="{63B3BB69-23CF-44E3-9099-C40C66FF867C}">
                  <a14:compatExt spid="_x0000_s22718"/>
                </a:ext>
                <a:ext uri="{FF2B5EF4-FFF2-40B4-BE49-F238E27FC236}">
                  <a16:creationId xmlns:a16="http://schemas.microsoft.com/office/drawing/2014/main" id="{00000000-0008-0000-0400-0000BE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 </a:t>
              </a:r>
            </a:p>
          </xdr:txBody>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38</xdr:col>
          <xdr:colOff>76200</xdr:colOff>
          <xdr:row>10</xdr:row>
          <xdr:rowOff>85725</xdr:rowOff>
        </xdr:from>
        <xdr:to>
          <xdr:col>40</xdr:col>
          <xdr:colOff>238125</xdr:colOff>
          <xdr:row>13</xdr:row>
          <xdr:rowOff>9525</xdr:rowOff>
        </xdr:to>
        <xdr:sp macro="" textlink="">
          <xdr:nvSpPr>
            <xdr:cNvPr id="134156" name="Option Button 12" descr="FD 2020/21's 25-26 Outlook" hidden="1">
              <a:extLst>
                <a:ext uri="{63B3BB69-23CF-44E3-9099-C40C66FF867C}">
                  <a14:compatExt spid="_x0000_s134156"/>
                </a:ext>
                <a:ext uri="{FF2B5EF4-FFF2-40B4-BE49-F238E27FC236}">
                  <a16:creationId xmlns:a16="http://schemas.microsoft.com/office/drawing/2014/main" id="{00000000-0008-0000-0C00-00000C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Segoe UI"/>
                  <a:cs typeface="Segoe UI"/>
                </a:rPr>
                <a:t>FD 2020-21's 25-26 Outlook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209550</xdr:colOff>
          <xdr:row>10</xdr:row>
          <xdr:rowOff>76200</xdr:rowOff>
        </xdr:from>
        <xdr:to>
          <xdr:col>42</xdr:col>
          <xdr:colOff>161925</xdr:colOff>
          <xdr:row>13</xdr:row>
          <xdr:rowOff>9525</xdr:rowOff>
        </xdr:to>
        <xdr:sp macro="" textlink="">
          <xdr:nvSpPr>
            <xdr:cNvPr id="134157" name="Option Button 13" hidden="1">
              <a:extLst>
                <a:ext uri="{63B3BB69-23CF-44E3-9099-C40C66FF867C}">
                  <a14:compatExt spid="_x0000_s134157"/>
                </a:ext>
                <a:ext uri="{FF2B5EF4-FFF2-40B4-BE49-F238E27FC236}">
                  <a16:creationId xmlns:a16="http://schemas.microsoft.com/office/drawing/2014/main" id="{00000000-0008-0000-0C00-00000D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Segoe UI"/>
                  <a:cs typeface="Segoe UI"/>
                </a:rPr>
                <a:t>25-26 Updated Forecast</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26</xdr:col>
      <xdr:colOff>9525</xdr:colOff>
      <xdr:row>44</xdr:row>
      <xdr:rowOff>9525</xdr:rowOff>
    </xdr:from>
    <xdr:to>
      <xdr:col>27</xdr:col>
      <xdr:colOff>0</xdr:colOff>
      <xdr:row>45</xdr:row>
      <xdr:rowOff>0</xdr:rowOff>
    </xdr:to>
    <xdr:sp macro="" textlink="">
      <xdr:nvSpPr>
        <xdr:cNvPr id="11" name="Rectangle 136">
          <a:extLst>
            <a:ext uri="{FF2B5EF4-FFF2-40B4-BE49-F238E27FC236}">
              <a16:creationId xmlns:a16="http://schemas.microsoft.com/office/drawing/2014/main" id="{3710759A-8CE1-93FF-5B8B-EA602CB947F8}"/>
            </a:ext>
          </a:extLst>
        </xdr:cNvPr>
        <xdr:cNvSpPr/>
      </xdr:nvSpPr>
      <xdr:spPr>
        <a:xfrm>
          <a:off x="7981950" y="6819900"/>
          <a:ext cx="666750" cy="142875"/>
        </a:xfrm>
        <a:prstGeom prst="rect">
          <a:avLst/>
        </a:prstGeom>
        <a:solidFill>
          <a:srgbClr val="5F8CED">
            <a:alpha val="5000"/>
          </a:srgbClr>
        </a:solidFill>
        <a:ln w="19050" cap="flat" cmpd="sng" algn="ctr">
          <a:solidFill>
            <a:srgbClr val="5F8CED"/>
          </a:solidFill>
          <a:prstDash val="solid"/>
          <a:round/>
          <a:headEnd type="none" w="med" len="med"/>
          <a:tailEnd type="none" w="med" len="med"/>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25</xdr:col>
      <xdr:colOff>666750</xdr:colOff>
      <xdr:row>43</xdr:row>
      <xdr:rowOff>142875</xdr:rowOff>
    </xdr:from>
    <xdr:to>
      <xdr:col>26</xdr:col>
      <xdr:colOff>28575</xdr:colOff>
      <xdr:row>44</xdr:row>
      <xdr:rowOff>28575</xdr:rowOff>
    </xdr:to>
    <xdr:sp macro="" textlink="">
      <xdr:nvSpPr>
        <xdr:cNvPr id="138" name="Rectangle 137">
          <a:extLst>
            <a:ext uri="{FF2B5EF4-FFF2-40B4-BE49-F238E27FC236}">
              <a16:creationId xmlns:a16="http://schemas.microsoft.com/office/drawing/2014/main" id="{72960DFE-4078-9F5A-091D-E7905395BFE5}"/>
            </a:ext>
          </a:extLst>
        </xdr:cNvPr>
        <xdr:cNvSpPr/>
      </xdr:nvSpPr>
      <xdr:spPr>
        <a:xfrm>
          <a:off x="7962900" y="6800850"/>
          <a:ext cx="38100" cy="38100"/>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4</xdr:row>
      <xdr:rowOff>0</xdr:rowOff>
    </xdr:from>
    <xdr:to>
      <xdr:col>13</xdr:col>
      <xdr:colOff>50625</xdr:colOff>
      <xdr:row>29</xdr:row>
      <xdr:rowOff>28125</xdr:rowOff>
    </xdr:to>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29</xdr:row>
      <xdr:rowOff>57150</xdr:rowOff>
    </xdr:from>
    <xdr:to>
      <xdr:col>13</xdr:col>
      <xdr:colOff>50625</xdr:colOff>
      <xdr:row>54</xdr:row>
      <xdr:rowOff>85275</xdr:rowOff>
    </xdr:to>
    <xdr:graphicFrame macro="">
      <xdr:nvGraphicFramePr>
        <xdr:cNvPr id="3" name="Chart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211928</xdr:colOff>
      <xdr:row>4</xdr:row>
      <xdr:rowOff>23813</xdr:rowOff>
    </xdr:from>
    <xdr:to>
      <xdr:col>37</xdr:col>
      <xdr:colOff>262553</xdr:colOff>
      <xdr:row>29</xdr:row>
      <xdr:rowOff>51938</xdr:rowOff>
    </xdr:to>
    <xdr:graphicFrame macro="">
      <xdr:nvGraphicFramePr>
        <xdr:cNvPr id="4" name="Chart 3">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130968</xdr:colOff>
      <xdr:row>29</xdr:row>
      <xdr:rowOff>119063</xdr:rowOff>
    </xdr:from>
    <xdr:to>
      <xdr:col>25</xdr:col>
      <xdr:colOff>181593</xdr:colOff>
      <xdr:row>54</xdr:row>
      <xdr:rowOff>147188</xdr:rowOff>
    </xdr:to>
    <xdr:graphicFrame macro="">
      <xdr:nvGraphicFramePr>
        <xdr:cNvPr id="6" name="Chart 5">
          <a:extLst>
            <a:ext uri="{FF2B5EF4-FFF2-40B4-BE49-F238E27FC236}">
              <a16:creationId xmlns:a16="http://schemas.microsoft.com/office/drawing/2014/main" id="{00000000-0008-0000-1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250031</xdr:colOff>
      <xdr:row>29</xdr:row>
      <xdr:rowOff>107157</xdr:rowOff>
    </xdr:from>
    <xdr:to>
      <xdr:col>37</xdr:col>
      <xdr:colOff>300656</xdr:colOff>
      <xdr:row>54</xdr:row>
      <xdr:rowOff>135281</xdr:rowOff>
    </xdr:to>
    <xdr:graphicFrame macro="">
      <xdr:nvGraphicFramePr>
        <xdr:cNvPr id="7" name="Chart 6">
          <a:extLst>
            <a:ext uri="{FF2B5EF4-FFF2-40B4-BE49-F238E27FC236}">
              <a16:creationId xmlns:a16="http://schemas.microsoft.com/office/drawing/2014/main" id="{00000000-0008-0000-1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126205</xdr:colOff>
      <xdr:row>55</xdr:row>
      <xdr:rowOff>30955</xdr:rowOff>
    </xdr:from>
    <xdr:to>
      <xdr:col>25</xdr:col>
      <xdr:colOff>176830</xdr:colOff>
      <xdr:row>80</xdr:row>
      <xdr:rowOff>59080</xdr:rowOff>
    </xdr:to>
    <xdr:graphicFrame macro="">
      <xdr:nvGraphicFramePr>
        <xdr:cNvPr id="8" name="Chart 7">
          <a:extLst>
            <a:ext uri="{FF2B5EF4-FFF2-40B4-BE49-F238E27FC236}">
              <a16:creationId xmlns:a16="http://schemas.microsoft.com/office/drawing/2014/main" id="{00000000-0008-0000-1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102393</xdr:colOff>
      <xdr:row>4</xdr:row>
      <xdr:rowOff>40481</xdr:rowOff>
    </xdr:from>
    <xdr:to>
      <xdr:col>25</xdr:col>
      <xdr:colOff>153018</xdr:colOff>
      <xdr:row>29</xdr:row>
      <xdr:rowOff>68606</xdr:rowOff>
    </xdr:to>
    <xdr:graphicFrame macro="">
      <xdr:nvGraphicFramePr>
        <xdr:cNvPr id="9" name="Chart 8">
          <a:extLst>
            <a:ext uri="{FF2B5EF4-FFF2-40B4-BE49-F238E27FC236}">
              <a16:creationId xmlns:a16="http://schemas.microsoft.com/office/drawing/2014/main" id="{00000000-0008-0000-1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154779</xdr:colOff>
      <xdr:row>55</xdr:row>
      <xdr:rowOff>47625</xdr:rowOff>
    </xdr:from>
    <xdr:to>
      <xdr:col>13</xdr:col>
      <xdr:colOff>50623</xdr:colOff>
      <xdr:row>80</xdr:row>
      <xdr:rowOff>75750</xdr:rowOff>
    </xdr:to>
    <xdr:graphicFrame macro="">
      <xdr:nvGraphicFramePr>
        <xdr:cNvPr id="10" name="Chart 9">
          <a:extLst>
            <a:ext uri="{FF2B5EF4-FFF2-40B4-BE49-F238E27FC236}">
              <a16:creationId xmlns:a16="http://schemas.microsoft.com/office/drawing/2014/main" id="{00000000-0008-0000-1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4</xdr:row>
      <xdr:rowOff>0</xdr:rowOff>
    </xdr:from>
    <xdr:to>
      <xdr:col>13</xdr:col>
      <xdr:colOff>50625</xdr:colOff>
      <xdr:row>29</xdr:row>
      <xdr:rowOff>28125</xdr:rowOff>
    </xdr:to>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107155</xdr:colOff>
      <xdr:row>4</xdr:row>
      <xdr:rowOff>0</xdr:rowOff>
    </xdr:from>
    <xdr:to>
      <xdr:col>25</xdr:col>
      <xdr:colOff>157780</xdr:colOff>
      <xdr:row>29</xdr:row>
      <xdr:rowOff>28125</xdr:rowOff>
    </xdr:to>
    <xdr:graphicFrame macro="">
      <xdr:nvGraphicFramePr>
        <xdr:cNvPr id="3" name="Chart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29</xdr:row>
      <xdr:rowOff>88107</xdr:rowOff>
    </xdr:from>
    <xdr:to>
      <xdr:col>13</xdr:col>
      <xdr:colOff>50625</xdr:colOff>
      <xdr:row>54</xdr:row>
      <xdr:rowOff>116232</xdr:rowOff>
    </xdr:to>
    <xdr:graphicFrame macro="">
      <xdr:nvGraphicFramePr>
        <xdr:cNvPr id="4" name="Chart 3">
          <a:extLst>
            <a:ext uri="{FF2B5EF4-FFF2-40B4-BE49-F238E27FC236}">
              <a16:creationId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90488</xdr:colOff>
      <xdr:row>55</xdr:row>
      <xdr:rowOff>28574</xdr:rowOff>
    </xdr:from>
    <xdr:to>
      <xdr:col>25</xdr:col>
      <xdr:colOff>141113</xdr:colOff>
      <xdr:row>80</xdr:row>
      <xdr:rowOff>56700</xdr:rowOff>
    </xdr:to>
    <xdr:graphicFrame macro="">
      <xdr:nvGraphicFramePr>
        <xdr:cNvPr id="5" name="Chart 4">
          <a:extLst>
            <a:ext uri="{FF2B5EF4-FFF2-40B4-BE49-F238E27FC236}">
              <a16:creationId xmlns:a16="http://schemas.microsoft.com/office/drawing/2014/main" id="{00000000-0008-0000-1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204787</xdr:colOff>
      <xdr:row>4</xdr:row>
      <xdr:rowOff>0</xdr:rowOff>
    </xdr:from>
    <xdr:to>
      <xdr:col>37</xdr:col>
      <xdr:colOff>255412</xdr:colOff>
      <xdr:row>29</xdr:row>
      <xdr:rowOff>28125</xdr:rowOff>
    </xdr:to>
    <xdr:graphicFrame macro="">
      <xdr:nvGraphicFramePr>
        <xdr:cNvPr id="6" name="Chart 5">
          <a:extLst>
            <a:ext uri="{FF2B5EF4-FFF2-40B4-BE49-F238E27FC236}">
              <a16:creationId xmlns:a16="http://schemas.microsoft.com/office/drawing/2014/main" id="{00000000-0008-0000-1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25</xdr:col>
      <xdr:colOff>190504</xdr:colOff>
      <xdr:row>55</xdr:row>
      <xdr:rowOff>23809</xdr:rowOff>
    </xdr:from>
    <xdr:to>
      <xdr:col>37</xdr:col>
      <xdr:colOff>275166</xdr:colOff>
      <xdr:row>80</xdr:row>
      <xdr:rowOff>51935</xdr:rowOff>
    </xdr:to>
    <xdr:graphicFrame macro="">
      <xdr:nvGraphicFramePr>
        <xdr:cNvPr id="15" name="Chart 14">
          <a:extLst>
            <a:ext uri="{FF2B5EF4-FFF2-40B4-BE49-F238E27FC236}">
              <a16:creationId xmlns:a16="http://schemas.microsoft.com/office/drawing/2014/main" id="{00000000-0008-0000-1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55</xdr:row>
      <xdr:rowOff>23812</xdr:rowOff>
    </xdr:from>
    <xdr:to>
      <xdr:col>13</xdr:col>
      <xdr:colOff>50625</xdr:colOff>
      <xdr:row>80</xdr:row>
      <xdr:rowOff>51938</xdr:rowOff>
    </xdr:to>
    <xdr:graphicFrame macro="">
      <xdr:nvGraphicFramePr>
        <xdr:cNvPr id="16" name="Chart 15">
          <a:extLst>
            <a:ext uri="{FF2B5EF4-FFF2-40B4-BE49-F238E27FC236}">
              <a16:creationId xmlns:a16="http://schemas.microsoft.com/office/drawing/2014/main" id="{00000000-0008-0000-1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142875</xdr:colOff>
      <xdr:row>29</xdr:row>
      <xdr:rowOff>93697</xdr:rowOff>
    </xdr:from>
    <xdr:to>
      <xdr:col>25</xdr:col>
      <xdr:colOff>130970</xdr:colOff>
      <xdr:row>54</xdr:row>
      <xdr:rowOff>127863</xdr:rowOff>
    </xdr:to>
    <xdr:graphicFrame macro="">
      <xdr:nvGraphicFramePr>
        <xdr:cNvPr id="7" name="Chart 6">
          <a:extLst>
            <a:ext uri="{FF2B5EF4-FFF2-40B4-BE49-F238E27FC236}">
              <a16:creationId xmlns:a16="http://schemas.microsoft.com/office/drawing/2014/main" id="{3A9F2371-6A3E-4515-A71E-9D8765E42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25</xdr:col>
      <xdr:colOff>179917</xdr:colOff>
      <xdr:row>29</xdr:row>
      <xdr:rowOff>96572</xdr:rowOff>
    </xdr:from>
    <xdr:to>
      <xdr:col>37</xdr:col>
      <xdr:colOff>278551</xdr:colOff>
      <xdr:row>54</xdr:row>
      <xdr:rowOff>132291</xdr:rowOff>
    </xdr:to>
    <xdr:graphicFrame macro="">
      <xdr:nvGraphicFramePr>
        <xdr:cNvPr id="8" name="Chart 7">
          <a:extLst>
            <a:ext uri="{FF2B5EF4-FFF2-40B4-BE49-F238E27FC236}">
              <a16:creationId xmlns:a16="http://schemas.microsoft.com/office/drawing/2014/main" id="{DE94DCEF-577E-4B3F-A976-15AFF480CD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133614</xdr:colOff>
      <xdr:row>81</xdr:row>
      <xdr:rowOff>6613</xdr:rowOff>
    </xdr:from>
    <xdr:to>
      <xdr:col>13</xdr:col>
      <xdr:colOff>50271</xdr:colOff>
      <xdr:row>105</xdr:row>
      <xdr:rowOff>47625</xdr:rowOff>
    </xdr:to>
    <xdr:graphicFrame macro="">
      <xdr:nvGraphicFramePr>
        <xdr:cNvPr id="9" name="Chart 8">
          <a:extLst>
            <a:ext uri="{FF2B5EF4-FFF2-40B4-BE49-F238E27FC236}">
              <a16:creationId xmlns:a16="http://schemas.microsoft.com/office/drawing/2014/main" id="{68377579-671D-421D-B41C-FC6F8A720D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0.23334</cdr:x>
      <cdr:y>0.74699</cdr:y>
    </cdr:from>
    <cdr:to>
      <cdr:x>0.60503</cdr:x>
      <cdr:y>0.78948</cdr:y>
    </cdr:to>
    <cdr:sp macro="" textlink="">
      <cdr:nvSpPr>
        <cdr:cNvPr id="2" name="Rectangle 1"/>
        <cdr:cNvSpPr/>
      </cdr:nvSpPr>
      <cdr:spPr>
        <a:xfrm xmlns:a="http://schemas.openxmlformats.org/drawingml/2006/main">
          <a:off x="1481478" y="2819731"/>
          <a:ext cx="2359911" cy="160391"/>
        </a:xfrm>
        <a:prstGeom xmlns:a="http://schemas.openxmlformats.org/drawingml/2006/main" prst="rect">
          <a:avLst/>
        </a:prstGeom>
        <a:noFill xmlns:a="http://schemas.openxmlformats.org/drawingml/2006/main"/>
        <a:ln xmlns:a="http://schemas.openxmlformats.org/drawingml/2006/main" w="25400" cmpd="sng">
          <a:solidFill>
            <a:srgbClr val="00B0F0"/>
          </a:solidFill>
          <a:prstDash val="solid"/>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userShapes>
</file>

<file path=xl/drawings/drawing8.xml><?xml version="1.0" encoding="utf-8"?>
<c:userShapes xmlns:c="http://schemas.openxmlformats.org/drawingml/2006/chart">
  <cdr:relSizeAnchor xmlns:cdr="http://schemas.openxmlformats.org/drawingml/2006/chartDrawing">
    <cdr:from>
      <cdr:x>0.21952</cdr:x>
      <cdr:y>0.7559</cdr:y>
    </cdr:from>
    <cdr:to>
      <cdr:x>0.60259</cdr:x>
      <cdr:y>0.79704</cdr:y>
    </cdr:to>
    <cdr:sp macro="" textlink="">
      <cdr:nvSpPr>
        <cdr:cNvPr id="3" name="Rectangle 2"/>
        <cdr:cNvSpPr/>
      </cdr:nvSpPr>
      <cdr:spPr>
        <a:xfrm xmlns:a="http://schemas.openxmlformats.org/drawingml/2006/main">
          <a:off x="1433014" y="2951997"/>
          <a:ext cx="2500685" cy="160662"/>
        </a:xfrm>
        <a:prstGeom xmlns:a="http://schemas.openxmlformats.org/drawingml/2006/main" prst="rect">
          <a:avLst/>
        </a:prstGeom>
        <a:noFill xmlns:a="http://schemas.openxmlformats.org/drawingml/2006/main"/>
        <a:ln xmlns:a="http://schemas.openxmlformats.org/drawingml/2006/main" w="25400" cmpd="sng">
          <a:solidFill>
            <a:srgbClr val="00B0F0"/>
          </a:solidFill>
          <a:prstDash val="solid"/>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4</xdr:row>
      <xdr:rowOff>0</xdr:rowOff>
    </xdr:from>
    <xdr:to>
      <xdr:col>13</xdr:col>
      <xdr:colOff>50625</xdr:colOff>
      <xdr:row>29</xdr:row>
      <xdr:rowOff>28125</xdr:rowOff>
    </xdr:to>
    <xdr:graphicFrame macro="">
      <xdr:nvGraphicFramePr>
        <xdr:cNvPr id="2" name="Chart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128586</xdr:colOff>
      <xdr:row>4</xdr:row>
      <xdr:rowOff>0</xdr:rowOff>
    </xdr:from>
    <xdr:to>
      <xdr:col>25</xdr:col>
      <xdr:colOff>179211</xdr:colOff>
      <xdr:row>29</xdr:row>
      <xdr:rowOff>28125</xdr:rowOff>
    </xdr:to>
    <xdr:graphicFrame macro="">
      <xdr:nvGraphicFramePr>
        <xdr:cNvPr id="3" name="Chart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214314</xdr:colOff>
      <xdr:row>3</xdr:row>
      <xdr:rowOff>147636</xdr:rowOff>
    </xdr:from>
    <xdr:to>
      <xdr:col>36</xdr:col>
      <xdr:colOff>455083</xdr:colOff>
      <xdr:row>29</xdr:row>
      <xdr:rowOff>20981</xdr:rowOff>
    </xdr:to>
    <xdr:graphicFrame macro="">
      <xdr:nvGraphicFramePr>
        <xdr:cNvPr id="6" name="Chart 5">
          <a:extLst>
            <a:ext uri="{FF2B5EF4-FFF2-40B4-BE49-F238E27FC236}">
              <a16:creationId xmlns:a16="http://schemas.microsoft.com/office/drawing/2014/main" id="{00000000-0008-0000-1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137584</xdr:colOff>
      <xdr:row>29</xdr:row>
      <xdr:rowOff>148166</xdr:rowOff>
    </xdr:from>
    <xdr:to>
      <xdr:col>13</xdr:col>
      <xdr:colOff>76731</xdr:colOff>
      <xdr:row>53</xdr:row>
      <xdr:rowOff>37043</xdr:rowOff>
    </xdr:to>
    <xdr:graphicFrame macro="">
      <xdr:nvGraphicFramePr>
        <xdr:cNvPr id="4" name="Chart 3">
          <a:extLst>
            <a:ext uri="{FF2B5EF4-FFF2-40B4-BE49-F238E27FC236}">
              <a16:creationId xmlns:a16="http://schemas.microsoft.com/office/drawing/2014/main" id="{0110ED69-0E3B-4F4D-BD76-DA31E6EB7D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wc.melbournewater.com.au\DFS\Water\Annual%20Tariff%20Approvals\2020-21%20Tariff%20Approvals\Urbans\001%20-%20Templates%20sent%20to%20business\MW\Book27.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scvic.sharepoint.com/Users/CPLUNK~1/AppData/Local/Temp/notes50DD3D/Book27.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elbwater.sharepoint.com/Water/2021%20Price%20Review%20-%20MW/001%20Financial%20Models/000%20-%20Admin%20and%20Prior%20Work/CPI%20Converter%20-%20XXXXXXXX.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wc.melbournewater.com.au\DFS\personal\patrice_yee_esc_vic_gov_au\Documents\Microsoft%20Teams%20Chat%20Files\FD_GMW_2020%20Price%20Review%20Model.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inflo/inflo/cs.exe/33619976/WWD_Revenue_Model_Excl_Precept_RESPONSE_to_ESC_DD.xlsm?func=doc.Fetch&amp;nodeid=33619976&amp;viewType=1"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melbwater.sharepoint.com/Water/Annual%20Tariff%20Approvals/2021-22%20Tariff%20Approvals/Rurals/001%20-%20Templates%20sent%20to%20business/GMW/GMW%20-%20Tariff%20Approval%202021-22%20v2.0%20-%20DRAFT.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J:\Water\Annual%20Tariff%20Approvals\2024-25%20Tariff%20Approvals\Melbourne%20Water\003%20-%20Approved%20and%20final\MW%20-%202024-25%20Tariff%20Approval%20-%20Approved%20and%20Final_Calc.xlsx" TargetMode="External"/><Relationship Id="rId1" Type="http://schemas.openxmlformats.org/officeDocument/2006/relationships/externalLinkPath" Target="https://melbwater.sharepoint.com/Water/Annual%20Tariff%20Approvals/2024-25%20Tariff%20Approvals/Melbourne%20Water/003%20-%20Approved%20and%20final/MW%20-%202024-25%20Tariff%20Approval%20-%20Approved%20and%20Final_Cal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Ass_SC"/>
      <sheetName val="TS_BA"/>
      <sheetName val="Op_Ann_TA"/>
      <sheetName val="Assets_Bk_BA"/>
      <sheetName val="Assets_Bk_Ann_TA"/>
      <sheetName val="Out_SC"/>
      <sheetName val="Op_Ann_TO"/>
      <sheetName val="Assets_Bk_Ann_TO"/>
      <sheetName val="IS_Ann_TO"/>
      <sheetName val="Pres_Out_SC"/>
      <sheetName val="Dashboard_P_MS"/>
      <sheetName val="App_SC"/>
      <sheetName val="LU_SSC"/>
      <sheetName val="TS_LU"/>
      <sheetName val="Assets_Bk_LU"/>
      <sheetName val="Chks_SSC"/>
      <sheetName val="Chks_BO"/>
    </sheetNames>
    <sheetDataSet>
      <sheetData sheetId="0"/>
      <sheetData sheetId="1"/>
      <sheetData sheetId="2"/>
      <sheetData sheetId="3">
        <row r="10">
          <cell r="H10">
            <v>6</v>
          </cell>
        </row>
      </sheetData>
      <sheetData sheetId="4">
        <row r="14">
          <cell r="B14" t="str">
            <v>Revenue - Assumptions</v>
          </cell>
        </row>
        <row r="24">
          <cell r="B24" t="str">
            <v>Expenses - Assumptions</v>
          </cell>
        </row>
      </sheetData>
      <sheetData sheetId="5"/>
      <sheetData sheetId="6"/>
      <sheetData sheetId="7"/>
      <sheetData sheetId="8">
        <row r="14">
          <cell r="B14" t="str">
            <v>Revenue - Outputs</v>
          </cell>
        </row>
        <row r="27">
          <cell r="I27">
            <v>0</v>
          </cell>
        </row>
        <row r="29">
          <cell r="I29">
            <v>0</v>
          </cell>
        </row>
        <row r="34">
          <cell r="B34" t="str">
            <v>Expenses - Outputs</v>
          </cell>
        </row>
        <row r="47">
          <cell r="I47">
            <v>0</v>
          </cell>
        </row>
        <row r="49">
          <cell r="I49">
            <v>0</v>
          </cell>
        </row>
      </sheetData>
      <sheetData sheetId="9"/>
      <sheetData sheetId="10">
        <row r="1">
          <cell r="B1" t="str">
            <v>Income Statement</v>
          </cell>
        </row>
        <row r="86">
          <cell r="I86">
            <v>0</v>
          </cell>
        </row>
      </sheetData>
      <sheetData sheetId="11"/>
      <sheetData sheetId="12"/>
      <sheetData sheetId="13"/>
      <sheetData sheetId="14"/>
      <sheetData sheetId="15">
        <row r="47">
          <cell r="D47" t="str">
            <v>January</v>
          </cell>
        </row>
      </sheetData>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Ass_SC"/>
      <sheetName val="TS_BA"/>
      <sheetName val="Op_Ann_TA"/>
      <sheetName val="Assets_Bk_BA"/>
      <sheetName val="Assets_Bk_Ann_TA"/>
      <sheetName val="Out_SC"/>
      <sheetName val="Op_Ann_TO"/>
      <sheetName val="Assets_Bk_Ann_TO"/>
      <sheetName val="IS_Ann_TO"/>
      <sheetName val="Pres_Out_SC"/>
      <sheetName val="Dashboard_P_MS"/>
      <sheetName val="App_SC"/>
      <sheetName val="LU_SSC"/>
      <sheetName val="TS_LU"/>
      <sheetName val="Assets_Bk_LU"/>
      <sheetName val="Chks_SSC"/>
      <sheetName val="Chks_BO"/>
    </sheetNames>
    <sheetDataSet>
      <sheetData sheetId="0"/>
      <sheetData sheetId="1"/>
      <sheetData sheetId="2"/>
      <sheetData sheetId="3">
        <row r="10">
          <cell r="H10">
            <v>6</v>
          </cell>
        </row>
      </sheetData>
      <sheetData sheetId="4">
        <row r="14">
          <cell r="B14" t="str">
            <v>Revenue - Assumptions</v>
          </cell>
        </row>
        <row r="24">
          <cell r="B24" t="str">
            <v>Expenses - Assumptions</v>
          </cell>
        </row>
      </sheetData>
      <sheetData sheetId="5"/>
      <sheetData sheetId="6"/>
      <sheetData sheetId="7"/>
      <sheetData sheetId="8">
        <row r="14">
          <cell r="B14" t="str">
            <v>Revenue - Outputs</v>
          </cell>
        </row>
        <row r="27">
          <cell r="I27">
            <v>0</v>
          </cell>
        </row>
        <row r="29">
          <cell r="I29">
            <v>0</v>
          </cell>
        </row>
        <row r="34">
          <cell r="B34" t="str">
            <v>Expenses - Outputs</v>
          </cell>
        </row>
        <row r="47">
          <cell r="I47">
            <v>0</v>
          </cell>
        </row>
        <row r="49">
          <cell r="I49">
            <v>0</v>
          </cell>
        </row>
      </sheetData>
      <sheetData sheetId="9"/>
      <sheetData sheetId="10">
        <row r="1">
          <cell r="B1" t="str">
            <v>Income Statement</v>
          </cell>
        </row>
        <row r="86">
          <cell r="I86">
            <v>0</v>
          </cell>
        </row>
      </sheetData>
      <sheetData sheetId="11"/>
      <sheetData sheetId="12"/>
      <sheetData sheetId="13"/>
      <sheetData sheetId="14"/>
      <sheetData sheetId="15">
        <row r="47">
          <cell r="D47" t="str">
            <v>January</v>
          </cell>
        </row>
      </sheetData>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 Converter (BULK) (3)"/>
      <sheetName val="CPI Converter (BULK) (2)"/>
      <sheetName val="CPI Converter"/>
      <sheetName val="CPI Converter (BULK)"/>
      <sheetName val="CPI"/>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djustments Log"/>
      <sheetName val="Model_Quality_Check"/>
      <sheetName val="KeyAssumptionsPriceControl_FO"/>
      <sheetName val="Expenditure_Detail"/>
      <sheetName val="Opex_FO"/>
      <sheetName val="Opex_Breakdown"/>
      <sheetName val="Capex_FO input"/>
      <sheetName val="Capex_FO_AC"/>
      <sheetName val="ExpSummary_FO"/>
      <sheetName val="RollForward_FO"/>
      <sheetName val="PrevPerAdj_FO"/>
      <sheetName val="RevenuePriceCap_FO"/>
      <sheetName val="RevenueTariffBasket_FO"/>
      <sheetName val="NotPres_FO"/>
      <sheetName val="Finance&amp;Tax_FO"/>
      <sheetName val="Rev&amp;RAV_FO"/>
      <sheetName val="Indicators_FO"/>
      <sheetName val="Outcomes - NOT USED"/>
      <sheetName val="GSL"/>
      <sheetName val="Dashboard - Pricing"/>
      <sheetName val="Dashboard - Opex"/>
      <sheetName val="Dashboard - Capex"/>
      <sheetName val="Dashboard - Data"/>
      <sheetName val="Determination_Lookup - NOT USED"/>
      <sheetName val="General_B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40">
          <cell r="C40" t="str">
            <v>[Service]</v>
          </cell>
        </row>
        <row r="41">
          <cell r="C41" t="str">
            <v>Irrigation</v>
          </cell>
        </row>
        <row r="42">
          <cell r="C42" t="str">
            <v>Drainage</v>
          </cell>
        </row>
        <row r="43">
          <cell r="C43" t="str">
            <v>Water supply districts</v>
          </cell>
        </row>
        <row r="44">
          <cell r="C44" t="str">
            <v>Surface water diversions</v>
          </cell>
        </row>
        <row r="45">
          <cell r="C45" t="str">
            <v>Groundwater diversions</v>
          </cell>
        </row>
        <row r="46">
          <cell r="C46" t="str">
            <v>Trade Waste</v>
          </cell>
        </row>
        <row r="47">
          <cell r="C47" t="str">
            <v>Bulk water services</v>
          </cell>
        </row>
        <row r="48">
          <cell r="C48" t="str">
            <v>Customer service and billing</v>
          </cell>
        </row>
        <row r="55">
          <cell r="C55" t="str">
            <v>[Pricing Unit]</v>
          </cell>
        </row>
        <row r="56">
          <cell r="C56" t="str">
            <v>kL</v>
          </cell>
        </row>
        <row r="57">
          <cell r="C57" t="str">
            <v>cust</v>
          </cell>
        </row>
        <row r="58">
          <cell r="C58" t="str">
            <v>kg</v>
          </cell>
        </row>
        <row r="59">
          <cell r="C59" t="str">
            <v>Ml</v>
          </cell>
        </row>
        <row r="63">
          <cell r="F63" t="str">
            <v>[Price]</v>
          </cell>
        </row>
        <row r="64">
          <cell r="F64" t="str">
            <v>Price cap - Fixed</v>
          </cell>
        </row>
        <row r="65">
          <cell r="F65" t="str">
            <v xml:space="preserve">Price cap - Variable </v>
          </cell>
        </row>
        <row r="66">
          <cell r="F66" t="str">
            <v xml:space="preserve">Revenue cap - Fixed </v>
          </cell>
        </row>
        <row r="67">
          <cell r="F67" t="str">
            <v>Revenue cap - Variable</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ModelDesc_BO"/>
      <sheetName val="Mod_OutputsSummaries_BO"/>
      <sheetName val="Ass_SC"/>
      <sheetName val="Ind_TA"/>
      <sheetName val="WACC_BA"/>
      <sheetName val="TS_BA"/>
      <sheetName val="2013Det_SC"/>
      <sheetName val="Detopex_TA"/>
      <sheetName val="TaxWp3_TA"/>
      <sheetName val="Detcapex_TA"/>
      <sheetName val="DetRAB_TA"/>
      <sheetName val="Opex_SC"/>
      <sheetName val="opexinputs_TA"/>
      <sheetName val="Diversions_TA"/>
      <sheetName val="PreceptOpex_BO"/>
      <sheetName val="opexout_TO"/>
      <sheetName val="Capex_SC"/>
      <sheetName val="Capex_inputs_SSC"/>
      <sheetName val="Capex_Input_TA"/>
      <sheetName val="Capex_Input_REGDEP_TA"/>
      <sheetName val="PreceptCapex_TA"/>
      <sheetName val="MajorCapex_TA"/>
      <sheetName val="Capex_TO"/>
      <sheetName val="RegDep_SSC"/>
      <sheetName val="Assets_Bk_BA"/>
      <sheetName val="Assets_Bk_Ann_TA"/>
      <sheetName val="Assets_Bk_Ann_TO"/>
      <sheetName val="RegDepOLD_TO"/>
      <sheetName val="Disposals_TA"/>
      <sheetName val="Cont_SSC"/>
      <sheetName val="DevCont_TA"/>
      <sheetName val="RAB_SC"/>
      <sheetName val="DetRABbyProg_TA"/>
      <sheetName val="DetRABbyprod_TA"/>
      <sheetName val="Reg_Acc_TA"/>
      <sheetName val="Roll_FWD_RAB_TO"/>
      <sheetName val="Roll_FWD_Prog_TO"/>
      <sheetName val="CustNo_SC"/>
      <sheetName val="DetCustomer_TA"/>
      <sheetName val="Data_Import_Cus_MI_TO"/>
      <sheetName val="CustGrowth_TA"/>
      <sheetName val="CWW_Cust_TA"/>
      <sheetName val="SEW_Cust_TA"/>
      <sheetName val="YVW_Cust_TA"/>
      <sheetName val="WW_Cust_TA"/>
      <sheetName val="BW_Cust_TA"/>
      <sheetName val="CHW_Cust_TA"/>
      <sheetName val="WPW_Cust_TA"/>
      <sheetName val="CustNo_TO"/>
      <sheetName val="RevReq_SC"/>
      <sheetName val="MiscServ_TA"/>
      <sheetName val="NonTariff_BA"/>
      <sheetName val="RevReq_TO"/>
      <sheetName val="RevReq_byProg_TO"/>
      <sheetName val="TarRev_SC"/>
      <sheetName val="Price_TA"/>
      <sheetName val="TariffReform_TA"/>
      <sheetName val="PQR_TO"/>
      <sheetName val="CustScenario_TO"/>
      <sheetName val="RevenueByCust_TO"/>
      <sheetName val="FinInd_SC"/>
      <sheetName val="Tax_SC"/>
      <sheetName val="TaxCalc_TO"/>
      <sheetName val="Tax_inputs_TA"/>
      <sheetName val="TaxOutputs_TO"/>
      <sheetName val="Sensitivity_SC"/>
      <sheetName val="SensInputs_TA"/>
      <sheetName val="SensDevCont_BA"/>
      <sheetName val="Waterfall_BA"/>
      <sheetName val="SensRevReq_TO"/>
      <sheetName val="SensRevforFinace_TO"/>
      <sheetName val="FWB_savings_calculation_TO"/>
      <sheetName val="SensPQR_TO"/>
      <sheetName val="SenRAB_SSC"/>
      <sheetName val="SensRoll_FWD_RAB_TO"/>
      <sheetName val="SensAssets_Bk_BA"/>
      <sheetName val="SensAssets_Bk_Ann_TA"/>
      <sheetName val="SensAssets_Bk_Ann_TO"/>
      <sheetName val="SensTax_SC"/>
      <sheetName val="SensTaxCalc_TO"/>
      <sheetName val="SensTax_inputs_TA"/>
      <sheetName val="SensWwysInputs_TO"/>
      <sheetName val="SensCust_SSC"/>
      <sheetName val="SensCWW_Cust_TA"/>
      <sheetName val="SensSEW_Cust_TA"/>
      <sheetName val="SensYVW_Cust_TA"/>
      <sheetName val="SensWW_Cust_TA"/>
      <sheetName val="SensBW_Cust_TA"/>
      <sheetName val="SensCHW_Cust_TA"/>
      <sheetName val="SensWPW_Cust_TA"/>
      <sheetName val="SensCustNo_TO"/>
      <sheetName val="SensRevbyCust_TO"/>
      <sheetName val="Scenarios_SC"/>
      <sheetName val="Nov_to_Jan_FMC_changes_SSC"/>
      <sheetName val="NovtoJanFMCWaterfall_BA"/>
      <sheetName val="NovtoJanFMCSensRevReq_TO"/>
      <sheetName val="NovRevReq_TO"/>
      <sheetName val="NovRevReq_TO 2015"/>
      <sheetName val="FMCNovJancom_TO"/>
      <sheetName val="NovtoJanFMCSensPQR_TO"/>
      <sheetName val="Appendices_SC"/>
      <sheetName val="Lookup_Tables_SSC"/>
      <sheetName val="TS_LU"/>
      <sheetName val="Assets_Bk_LU"/>
      <sheetName val="Checks_SSC"/>
      <sheetName val="Checks_BO"/>
    </sheetNames>
    <sheetDataSet>
      <sheetData sheetId="0">
        <row r="10">
          <cell r="C10" t="str">
            <v>Waterways and Drainage Revenue and Pricing Model</v>
          </cell>
        </row>
      </sheetData>
      <sheetData sheetId="1"/>
      <sheetData sheetId="2"/>
      <sheetData sheetId="3"/>
      <sheetData sheetId="4"/>
      <sheetData sheetId="5"/>
      <sheetData sheetId="6">
        <row r="18">
          <cell r="H18">
            <v>0.04</v>
          </cell>
        </row>
      </sheetData>
      <sheetData sheetId="7">
        <row r="12">
          <cell r="J12" t="str">
            <v>Annual</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7">
          <cell r="B7" t="str">
            <v>Book Assets - Assumptions</v>
          </cell>
        </row>
      </sheetData>
      <sheetData sheetId="27">
        <row r="14">
          <cell r="B14" t="str">
            <v>Book Assets - Capital Expenditure Assumptions</v>
          </cell>
        </row>
      </sheetData>
      <sheetData sheetId="28">
        <row r="14">
          <cell r="B14" t="str">
            <v>Book Assets - Summary</v>
          </cell>
        </row>
        <row r="161">
          <cell r="B161" t="str">
            <v>Book Assets - Schedules</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31">
          <cell r="R31">
            <v>353449.06899999996</v>
          </cell>
        </row>
      </sheetData>
      <sheetData sheetId="44">
        <row r="31">
          <cell r="R31">
            <v>631078.71000000008</v>
          </cell>
        </row>
      </sheetData>
      <sheetData sheetId="45">
        <row r="31">
          <cell r="R31">
            <v>616882.63500000001</v>
          </cell>
        </row>
      </sheetData>
      <sheetData sheetId="46">
        <row r="31">
          <cell r="R31">
            <v>32979.489000000001</v>
          </cell>
        </row>
      </sheetData>
      <sheetData sheetId="47">
        <row r="31">
          <cell r="R31">
            <v>0</v>
          </cell>
        </row>
      </sheetData>
      <sheetData sheetId="48">
        <row r="31">
          <cell r="R31">
            <v>0</v>
          </cell>
        </row>
      </sheetData>
      <sheetData sheetId="49">
        <row r="31">
          <cell r="R31">
            <v>0</v>
          </cell>
        </row>
      </sheetData>
      <sheetData sheetId="50"/>
      <sheetData sheetId="51"/>
      <sheetData sheetId="52"/>
      <sheetData sheetId="53"/>
      <sheetData sheetId="54"/>
      <sheetData sheetId="55"/>
      <sheetData sheetId="56"/>
      <sheetData sheetId="57"/>
      <sheetData sheetId="58"/>
      <sheetData sheetId="59">
        <row r="23">
          <cell r="G23" t="str">
            <v>Non residential above minimum</v>
          </cell>
        </row>
      </sheetData>
      <sheetData sheetId="60"/>
      <sheetData sheetId="61"/>
      <sheetData sheetId="62"/>
      <sheetData sheetId="63"/>
      <sheetData sheetId="64"/>
      <sheetData sheetId="65"/>
      <sheetData sheetId="66"/>
      <sheetData sheetId="67"/>
      <sheetData sheetId="68">
        <row r="16">
          <cell r="G16">
            <v>2</v>
          </cell>
        </row>
      </sheetData>
      <sheetData sheetId="69"/>
      <sheetData sheetId="70">
        <row r="9">
          <cell r="H9">
            <v>0</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ow r="12">
          <cell r="D12">
            <v>1</v>
          </cell>
        </row>
      </sheetData>
      <sheetData sheetId="105">
        <row r="12">
          <cell r="D12" t="str">
            <v>Start of Period</v>
          </cell>
        </row>
      </sheetData>
      <sheetData sheetId="106"/>
      <sheetData sheetId="107">
        <row r="7">
          <cell r="B7" t="str">
            <v>Error Checks</v>
          </cell>
        </row>
        <row r="23">
          <cell r="B23" t="str">
            <v>Sensitivity Checks</v>
          </cell>
        </row>
        <row r="39">
          <cell r="B39" t="str">
            <v>Alert Checks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tion"/>
      <sheetName val="Revenue cap"/>
      <sheetName val="MDBA adjustment"/>
      <sheetName val="PxQ"/>
      <sheetName val="GMW Appendix A (updated)"/>
    </sheetNames>
    <sheetDataSet>
      <sheetData sheetId="0"/>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formation"/>
      <sheetName val="MW Schedule 2 - W&amp;S"/>
      <sheetName val="MW Schedule 2 - W&amp;D"/>
      <sheetName val="1. RRR Adjustment"/>
      <sheetName val="1.1 RRR-Adjusted Prices"/>
      <sheetName val="2. Desal Contract Cost Adj."/>
      <sheetName val="3. Desal Water Order Cost Adj."/>
      <sheetName val="4. Tariff Basket Check"/>
      <sheetName val="PDF of Schedule 2 - W&amp;S"/>
      <sheetName val="PDF of Schedule 2 - W&amp;D"/>
    </sheetNames>
    <sheetDataSet>
      <sheetData sheetId="0"/>
      <sheetData sheetId="1"/>
      <sheetData sheetId="2">
        <row r="29">
          <cell r="C29" t="str">
            <v>Residential charge ($ per annum)</v>
          </cell>
        </row>
        <row r="54">
          <cell r="L54" t="str">
            <v/>
          </cell>
        </row>
      </sheetData>
      <sheetData sheetId="3">
        <row r="43">
          <cell r="H43" t="str">
            <v>2025-26</v>
          </cell>
        </row>
      </sheetData>
      <sheetData sheetId="4"/>
      <sheetData sheetId="5"/>
      <sheetData sheetId="6"/>
      <sheetData sheetId="7"/>
      <sheetData sheetId="8"/>
      <sheetData sheetId="9"/>
    </sheetDataSet>
  </externalBook>
</externalLink>
</file>

<file path=xl/persons/person.xml><?xml version="1.0" encoding="utf-8"?>
<personList xmlns="http://schemas.microsoft.com/office/spreadsheetml/2018/threadedcomments" xmlns:x="http://schemas.openxmlformats.org/spreadsheetml/2006/main">
  <person displayName="Kean Chan (ESC)" id="{FFF5214D-EE4E-4045-800C-1A789EC8961C}" userId="S::Kean.Chan@esc.vic.gov.au::01ac8037-e9f1-4739-8932-33f2b106671d"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Y19" dT="2025-08-29T06:17:53.56" personId="{FFF5214D-EE4E-4045-800C-1A789EC8961C}" id="{8957352F-8940-4B83-8EEA-2E95D76F4184}">
    <text>updated to exclude diversions which have been reclassified as part of W&amp;D</text>
  </threadedComment>
  <threadedComment ref="AB26" dT="2025-08-29T06:32:51.06" personId="{FFF5214D-EE4E-4045-800C-1A789EC8961C}" id="{523929F3-A933-4B69-8DD6-7FEFAE0C48CC}">
    <text>removed diversion following a change in opex classification - ESC approved). 
=removed 1.121677m $26  (0.92955m in $21)</text>
  </threadedComment>
</ThreadedComments>
</file>

<file path=xl/threadedComments/threadedComment2.xml><?xml version="1.0" encoding="utf-8"?>
<ThreadedComments xmlns="http://schemas.microsoft.com/office/spreadsheetml/2018/threadedcomments" xmlns:x="http://schemas.openxmlformats.org/spreadsheetml/2006/main">
  <threadedComment ref="Y19" dT="2025-08-29T06:16:43.57" personId="{FFF5214D-EE4E-4045-800C-1A789EC8961C}" id="{C2D29650-D68C-4EFC-97C1-49BA0A6A61E9}">
    <text>Diversions have been reclassified from W &amp;S</text>
  </threadedComment>
  <threadedComment ref="AB26" dT="2025-08-29T06:36:42.55" personId="{FFF5214D-EE4E-4045-800C-1A789EC8961C}" id="{BF1638ED-B5F4-4F8B-B8F2-3E6CA24A3592}">
    <text xml:space="preserve">added Diversion following a change in opex classification. 
=1.121677m $26  (0.92955m in $21)
</text>
  </threadedComment>
</ThreadedComments>
</file>

<file path=xl/threadedComments/threadedComment3.xml><?xml version="1.0" encoding="utf-8"?>
<ThreadedComments xmlns="http://schemas.microsoft.com/office/spreadsheetml/2018/threadedcomments" xmlns:x="http://schemas.openxmlformats.org/spreadsheetml/2006/main">
  <threadedComment ref="G34" dT="2024-02-05T03:15:16.37" personId="{FFF5214D-EE4E-4045-800C-1A789EC8961C}" id="{3C195588-E6B2-4D93-BAAE-154F9B2366E5}">
    <text>FD_MW 2021 Price Review Model</text>
  </threadedComment>
  <threadedComment ref="N56" dT="2025-09-01T01:16:57.97" personId="{FFF5214D-EE4E-4045-800C-1A789EC8961C}" id="{C73050B4-77EF-4B65-96CD-F7A72E0B698D}">
    <text>Advised by MW 15/8/2025</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 Id="rId4" Type="http://schemas.microsoft.com/office/2017/10/relationships/threadedComment" Target="../threadedComments/threadedComment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13.bin"/><Relationship Id="rId6" Type="http://schemas.openxmlformats.org/officeDocument/2006/relationships/comments" Target="../comments4.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0.bin"/><Relationship Id="rId4" Type="http://schemas.openxmlformats.org/officeDocument/2006/relationships/comments" Target="../comments6.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0.bin"/><Relationship Id="rId4" Type="http://schemas.microsoft.com/office/2017/10/relationships/threadedComment" Target="../threadedComments/threadedComment3.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IV43"/>
  <sheetViews>
    <sheetView showGridLines="0" tabSelected="1" zoomScale="115" zoomScaleNormal="115" workbookViewId="0">
      <pane ySplit="5" topLeftCell="A16" activePane="bottomLeft" state="frozen"/>
      <selection activeCell="C35" sqref="C35"/>
      <selection pane="bottomLeft" activeCell="D2" sqref="D2"/>
    </sheetView>
  </sheetViews>
  <sheetFormatPr defaultColWidth="10.83203125" defaultRowHeight="12.75" outlineLevelCol="1"/>
  <cols>
    <col min="1" max="1" width="3.5" style="3" customWidth="1"/>
    <col min="2" max="2" width="6.1640625" style="3" customWidth="1"/>
    <col min="3" max="3" width="12" style="3" customWidth="1"/>
    <col min="4" max="4" width="72.83203125" style="3" customWidth="1"/>
    <col min="5" max="5" width="10" style="3" customWidth="1"/>
    <col min="6" max="6" width="4.33203125" style="3" customWidth="1"/>
    <col min="7" max="7" width="16.83203125" style="3" customWidth="1"/>
    <col min="8" max="8" width="44" style="3" customWidth="1"/>
    <col min="9" max="9" width="10.83203125" style="3" customWidth="1"/>
    <col min="10" max="10" width="4.33203125" style="3" customWidth="1"/>
    <col min="11" max="12" width="10" style="3" customWidth="1"/>
    <col min="13" max="13" width="16.5" style="8" hidden="1" customWidth="1" outlineLevel="1"/>
    <col min="14" max="14" width="24.33203125" style="9" hidden="1" customWidth="1" outlineLevel="1"/>
    <col min="15" max="15" width="8.5" style="10" hidden="1" customWidth="1" outlineLevel="1"/>
    <col min="16" max="18" width="10.83203125" style="10" hidden="1" customWidth="1" outlineLevel="1"/>
    <col min="19" max="19" width="10" style="3" customWidth="1" collapsed="1"/>
    <col min="20" max="256" width="10" style="3" customWidth="1"/>
    <col min="257" max="16384" width="10.83203125" style="3"/>
  </cols>
  <sheetData>
    <row r="1" spans="1:256" s="1" customFormat="1" ht="15">
      <c r="A1" s="5">
        <v>80</v>
      </c>
      <c r="B1" s="6"/>
      <c r="C1" s="7"/>
      <c r="D1" s="7"/>
      <c r="E1" s="7"/>
      <c r="F1" s="7"/>
      <c r="G1" s="7"/>
      <c r="H1" s="6"/>
      <c r="I1" s="6"/>
      <c r="J1" s="6"/>
      <c r="K1" s="6"/>
      <c r="L1" s="6"/>
      <c r="M1" s="8" t="s">
        <v>0</v>
      </c>
      <c r="N1" s="9"/>
      <c r="O1" s="10"/>
      <c r="P1" s="10"/>
      <c r="Q1" s="10"/>
      <c r="R1" s="10"/>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6" s="1" customFormat="1" ht="15">
      <c r="A2" s="5"/>
      <c r="B2" s="11"/>
      <c r="C2" s="7"/>
      <c r="D2" s="12" t="s">
        <v>1</v>
      </c>
      <c r="E2" s="12"/>
      <c r="F2" s="12"/>
      <c r="G2" s="12"/>
      <c r="H2" s="6"/>
      <c r="I2" s="6"/>
      <c r="J2" s="6"/>
      <c r="K2" s="6"/>
      <c r="L2" s="6"/>
      <c r="M2" s="8"/>
      <c r="N2" s="9"/>
      <c r="O2" s="10"/>
      <c r="P2" s="10"/>
      <c r="Q2" s="10"/>
      <c r="R2" s="10"/>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row>
    <row r="3" spans="1:256" s="1" customFormat="1" ht="15">
      <c r="A3" s="5"/>
      <c r="B3" s="11"/>
      <c r="C3" s="6"/>
      <c r="D3" s="13" t="s">
        <v>2</v>
      </c>
      <c r="E3" s="13"/>
      <c r="F3" s="13"/>
      <c r="G3" s="13"/>
      <c r="H3" s="6"/>
      <c r="I3" s="6"/>
      <c r="J3" s="6"/>
      <c r="K3" s="6"/>
      <c r="L3" s="6"/>
      <c r="M3" s="8"/>
      <c r="N3" s="14"/>
      <c r="O3" s="14"/>
      <c r="P3" s="14"/>
      <c r="Q3" s="14"/>
      <c r="R3" s="10"/>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row>
    <row r="4" spans="1:256" s="1" customFormat="1" ht="15">
      <c r="A4" s="5"/>
      <c r="B4" s="11"/>
      <c r="C4" s="6"/>
      <c r="D4" s="13" t="s">
        <v>3</v>
      </c>
      <c r="E4" s="13"/>
      <c r="F4" s="13"/>
      <c r="G4" s="13"/>
      <c r="H4" s="6"/>
      <c r="I4" s="6"/>
      <c r="J4" s="6"/>
      <c r="K4" s="6"/>
      <c r="L4" s="6"/>
      <c r="M4" s="8"/>
      <c r="N4" s="9"/>
      <c r="O4" s="10"/>
      <c r="P4" s="10"/>
      <c r="Q4" s="10"/>
      <c r="R4" s="10"/>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row>
    <row r="5" spans="1:256" s="1" customFormat="1" ht="15">
      <c r="A5" s="5"/>
      <c r="B5" s="11"/>
      <c r="C5" s="6"/>
      <c r="D5" s="6"/>
      <c r="E5" s="6"/>
      <c r="F5" s="6"/>
      <c r="G5" s="6"/>
      <c r="H5" s="6"/>
      <c r="I5" s="6"/>
      <c r="J5" s="6"/>
      <c r="K5" s="6"/>
      <c r="L5" s="6"/>
      <c r="M5" s="8"/>
      <c r="N5" s="9"/>
      <c r="O5" s="10"/>
      <c r="P5" s="10"/>
      <c r="Q5" s="10"/>
      <c r="R5" s="10"/>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row>
    <row r="6" spans="1:256" ht="15">
      <c r="B6" s="15"/>
      <c r="C6" s="16"/>
      <c r="D6" s="16"/>
      <c r="E6" s="16"/>
      <c r="F6" s="16"/>
      <c r="G6" s="16"/>
      <c r="H6" s="16"/>
      <c r="M6" s="17"/>
    </row>
    <row r="7" spans="1:256" ht="15">
      <c r="B7" s="18" t="s">
        <v>4</v>
      </c>
      <c r="D7" s="1180"/>
      <c r="F7" s="19" t="s">
        <v>5</v>
      </c>
      <c r="H7" s="20" t="str">
        <f>+N25</f>
        <v>Melbourne Water</v>
      </c>
      <c r="I7" s="2074" t="str">
        <f>+O25</f>
        <v>MW</v>
      </c>
      <c r="J7" s="2074"/>
      <c r="M7" s="17"/>
    </row>
    <row r="8" spans="1:256" ht="15">
      <c r="A8" s="21"/>
      <c r="B8" s="22" t="s">
        <v>6</v>
      </c>
      <c r="F8" s="19" t="s">
        <v>7</v>
      </c>
      <c r="H8" s="20" t="s">
        <v>8</v>
      </c>
      <c r="I8" s="23"/>
      <c r="J8" s="23"/>
      <c r="M8" s="17"/>
      <c r="N8" s="24" t="s">
        <v>9</v>
      </c>
      <c r="O8" s="25" t="s">
        <v>10</v>
      </c>
      <c r="P8" s="24" t="s">
        <v>11</v>
      </c>
      <c r="Q8" s="24" t="s">
        <v>12</v>
      </c>
    </row>
    <row r="9" spans="1:256" ht="15">
      <c r="B9" s="26"/>
      <c r="E9" s="27"/>
      <c r="F9" s="19" t="s">
        <v>13</v>
      </c>
      <c r="G9" s="27"/>
      <c r="H9" s="20" t="s">
        <v>14</v>
      </c>
      <c r="I9" s="28"/>
      <c r="J9" s="28"/>
      <c r="L9" s="27"/>
      <c r="M9" s="17"/>
      <c r="N9" s="29" t="s">
        <v>15</v>
      </c>
      <c r="O9" s="30" t="s">
        <v>16</v>
      </c>
      <c r="P9" s="29">
        <v>2021</v>
      </c>
      <c r="Q9" s="31" t="s">
        <v>17</v>
      </c>
      <c r="R9" s="10" t="s">
        <v>18</v>
      </c>
    </row>
    <row r="10" spans="1:256" ht="17.25" customHeight="1">
      <c r="B10" s="1179">
        <v>1</v>
      </c>
      <c r="C10" s="1180" t="s">
        <v>19</v>
      </c>
      <c r="D10" s="1180"/>
      <c r="E10" s="32"/>
      <c r="F10" s="19" t="s">
        <v>20</v>
      </c>
      <c r="G10" s="32"/>
      <c r="H10" s="20" t="str">
        <f>+N10&amp;" Decision"</f>
        <v>Draft Decision</v>
      </c>
      <c r="I10" s="33"/>
      <c r="J10" s="33"/>
      <c r="K10" s="2"/>
      <c r="L10" s="32"/>
      <c r="M10" s="17"/>
      <c r="N10" s="34" t="s">
        <v>21</v>
      </c>
      <c r="O10" s="35" t="s">
        <v>22</v>
      </c>
      <c r="P10" s="34">
        <v>2016</v>
      </c>
      <c r="Q10" s="36" t="s">
        <v>17</v>
      </c>
    </row>
    <row r="11" spans="1:256" ht="17.25" customHeight="1">
      <c r="B11" s="1179">
        <f>B10+1</f>
        <v>2</v>
      </c>
      <c r="C11" s="1180" t="s">
        <v>23</v>
      </c>
      <c r="D11" s="1180"/>
      <c r="E11" s="37"/>
      <c r="F11" s="32"/>
      <c r="G11" s="32"/>
      <c r="H11" s="2"/>
      <c r="I11" s="2"/>
      <c r="J11" s="2"/>
      <c r="K11" s="2"/>
      <c r="L11" s="32"/>
      <c r="M11" s="17"/>
      <c r="N11" s="34"/>
      <c r="O11" s="35" t="s">
        <v>24</v>
      </c>
      <c r="P11" s="34">
        <v>2017</v>
      </c>
      <c r="Q11" s="38" t="s">
        <v>25</v>
      </c>
    </row>
    <row r="12" spans="1:256" ht="17.25" customHeight="1">
      <c r="B12" s="1179">
        <f>B11+1</f>
        <v>3</v>
      </c>
      <c r="C12" s="1180" t="str">
        <f>'Model Quality Check'!B1</f>
        <v>Model Quality Check</v>
      </c>
      <c r="D12" s="1180"/>
      <c r="E12" s="37"/>
      <c r="F12" s="16" t="s">
        <v>26</v>
      </c>
      <c r="L12" s="37"/>
      <c r="M12" s="17"/>
      <c r="N12" s="34"/>
      <c r="O12" s="35" t="s">
        <v>27</v>
      </c>
      <c r="P12" s="34">
        <v>2018</v>
      </c>
      <c r="Q12" s="36" t="s">
        <v>28</v>
      </c>
    </row>
    <row r="13" spans="1:256" ht="17.25" customHeight="1">
      <c r="B13" s="1179">
        <f>B12+1</f>
        <v>4</v>
      </c>
      <c r="C13" s="1180" t="str">
        <f>KeyAssumptionsPriceControl_FO!B1</f>
        <v>Key Assumptions Price Control</v>
      </c>
      <c r="D13" s="1180"/>
      <c r="E13" s="37"/>
      <c r="F13" s="16"/>
      <c r="L13" s="37"/>
      <c r="M13" s="17"/>
      <c r="N13" s="34"/>
      <c r="O13" s="35"/>
      <c r="P13" s="34"/>
      <c r="Q13" s="36"/>
    </row>
    <row r="14" spans="1:256" ht="17.25" customHeight="1">
      <c r="B14" s="1179">
        <f t="shared" ref="B14:B35" si="0">B13+1</f>
        <v>5</v>
      </c>
      <c r="C14" s="1180" t="str">
        <f>Summary_FO!B1</f>
        <v>Expenditure and Revenue Summary</v>
      </c>
      <c r="D14" s="1180"/>
      <c r="E14" s="37"/>
      <c r="F14" s="39"/>
      <c r="G14" s="40"/>
      <c r="H14" s="40"/>
      <c r="I14" s="40"/>
      <c r="J14" s="41"/>
      <c r="K14" s="2"/>
      <c r="L14" s="32"/>
      <c r="M14" s="17"/>
      <c r="N14" s="34"/>
      <c r="O14" s="35" t="s">
        <v>29</v>
      </c>
      <c r="P14" s="34">
        <v>2019</v>
      </c>
      <c r="Q14" s="36" t="s">
        <v>30</v>
      </c>
    </row>
    <row r="15" spans="1:256" ht="17.25" customHeight="1">
      <c r="B15" s="1179">
        <f t="shared" si="0"/>
        <v>6</v>
      </c>
      <c r="C15" s="1180" t="str">
        <f>Expenditure_Detail!B1</f>
        <v>Expenditure - Detail</v>
      </c>
      <c r="D15" s="1180"/>
      <c r="E15" s="37"/>
      <c r="F15" s="42"/>
      <c r="G15" s="43" t="s">
        <v>31</v>
      </c>
      <c r="H15" s="44" t="str">
        <f>+I7&amp;" - DATA INPUT CELL"</f>
        <v>MW - DATA INPUT CELL</v>
      </c>
      <c r="J15" s="45"/>
      <c r="L15" s="37"/>
      <c r="M15" s="17"/>
      <c r="N15" s="34"/>
      <c r="O15" s="35" t="s">
        <v>32</v>
      </c>
      <c r="P15" s="34">
        <v>2020</v>
      </c>
      <c r="Q15" s="36" t="s">
        <v>33</v>
      </c>
    </row>
    <row r="16" spans="1:256" ht="17.25" customHeight="1">
      <c r="B16" s="1179">
        <f t="shared" si="0"/>
        <v>7</v>
      </c>
      <c r="C16" s="1180" t="str">
        <f>Opex_FO_Summary!B1</f>
        <v>Operating Expenditure -  Forecast - Summary</v>
      </c>
      <c r="D16" s="1180"/>
      <c r="E16" s="37"/>
      <c r="F16" s="42"/>
      <c r="G16" s="46"/>
      <c r="H16" s="47"/>
      <c r="J16" s="45"/>
      <c r="K16" s="2"/>
      <c r="L16" s="32"/>
      <c r="M16" s="17"/>
      <c r="N16" s="34"/>
      <c r="O16" s="35" t="s">
        <v>16</v>
      </c>
      <c r="P16" s="34">
        <v>2021</v>
      </c>
      <c r="Q16" s="36" t="s">
        <v>34</v>
      </c>
    </row>
    <row r="17" spans="2:17" ht="17.25" customHeight="1">
      <c r="B17" s="1179">
        <f t="shared" si="0"/>
        <v>8</v>
      </c>
      <c r="C17" s="1180" t="str">
        <f>'Opex_FO_W&amp;S'!B1</f>
        <v>Operating Expenditure -  Forecast - Water &amp; Sewerage (W&amp;S)</v>
      </c>
      <c r="D17" s="1181"/>
      <c r="E17" s="37"/>
      <c r="F17" s="42"/>
      <c r="G17" s="1847" t="s">
        <v>35</v>
      </c>
      <c r="H17" s="44" t="s">
        <v>36</v>
      </c>
      <c r="J17" s="45"/>
      <c r="L17" s="37"/>
      <c r="M17" s="17"/>
      <c r="N17" s="34"/>
      <c r="O17" s="35" t="s">
        <v>37</v>
      </c>
      <c r="P17" s="34"/>
      <c r="Q17" s="36" t="s">
        <v>38</v>
      </c>
    </row>
    <row r="18" spans="2:17" ht="17.25" customHeight="1">
      <c r="B18" s="1179">
        <f t="shared" si="0"/>
        <v>9</v>
      </c>
      <c r="C18" s="1180" t="str">
        <f>'Opex_FO_W&amp;D'!B1</f>
        <v>Operating Expenditure -  Forecast - Waterways &amp; Drainage (W&amp;D)</v>
      </c>
      <c r="D18" s="1180"/>
      <c r="E18" s="37"/>
      <c r="F18" s="42"/>
      <c r="H18" s="47"/>
      <c r="J18" s="45"/>
      <c r="L18" s="37"/>
      <c r="M18" s="17"/>
      <c r="N18" s="34"/>
      <c r="O18" s="35" t="s">
        <v>39</v>
      </c>
      <c r="P18" s="34"/>
      <c r="Q18" s="36" t="s">
        <v>40</v>
      </c>
    </row>
    <row r="19" spans="2:17" ht="17.25" customHeight="1">
      <c r="B19" s="1179">
        <f t="shared" si="0"/>
        <v>10</v>
      </c>
      <c r="C19" s="1180" t="str">
        <f>Opex_Breakdown!B1</f>
        <v>Operating Expenditure - Breakdown</v>
      </c>
      <c r="D19" s="1180"/>
      <c r="E19" s="37"/>
      <c r="F19" s="42"/>
      <c r="G19" s="48" t="s">
        <v>41</v>
      </c>
      <c r="H19" s="44" t="s">
        <v>42</v>
      </c>
      <c r="J19" s="45"/>
      <c r="K19" s="2"/>
      <c r="L19" s="32"/>
      <c r="M19" s="17"/>
      <c r="N19" s="34"/>
      <c r="O19" s="35" t="s">
        <v>43</v>
      </c>
      <c r="P19" s="34"/>
      <c r="Q19" s="36" t="s">
        <v>44</v>
      </c>
    </row>
    <row r="20" spans="2:17" ht="17.25" customHeight="1">
      <c r="B20" s="1179">
        <f t="shared" si="0"/>
        <v>11</v>
      </c>
      <c r="C20" s="1180" t="str">
        <f>'Capex_FO input'!B1</f>
        <v>Capital Expenditure - Forecast Input</v>
      </c>
      <c r="D20" s="1180"/>
      <c r="E20" s="37"/>
      <c r="F20" s="42"/>
      <c r="H20" s="47"/>
      <c r="J20" s="45"/>
      <c r="L20" s="37"/>
      <c r="M20" s="17"/>
      <c r="N20" s="34"/>
      <c r="O20" s="35" t="s">
        <v>45</v>
      </c>
      <c r="P20" s="34"/>
      <c r="Q20" s="36" t="s">
        <v>46</v>
      </c>
    </row>
    <row r="21" spans="2:17" ht="17.25" customHeight="1">
      <c r="B21" s="1179">
        <f t="shared" si="0"/>
        <v>12</v>
      </c>
      <c r="C21" s="1180" t="str">
        <f>Capex_FO_AC!B1</f>
        <v>Capital Expenditure - Asset Category Breakdown</v>
      </c>
      <c r="D21" s="1180"/>
      <c r="E21" s="37"/>
      <c r="F21" s="42"/>
      <c r="G21" s="49" t="s">
        <v>47</v>
      </c>
      <c r="H21" s="44" t="s">
        <v>48</v>
      </c>
      <c r="J21" s="45"/>
      <c r="L21" s="37"/>
      <c r="M21" s="17"/>
      <c r="N21" s="34"/>
      <c r="O21" s="35" t="s">
        <v>49</v>
      </c>
      <c r="P21" s="34"/>
      <c r="Q21" s="36" t="s">
        <v>50</v>
      </c>
    </row>
    <row r="22" spans="2:17" ht="17.25" customHeight="1">
      <c r="B22" s="1179">
        <f t="shared" si="0"/>
        <v>13</v>
      </c>
      <c r="C22" s="1180" t="str">
        <f>RollForward_FO!B1</f>
        <v>Rolled forward regulatory asset base (RAB)</v>
      </c>
      <c r="D22" s="1180"/>
      <c r="E22" s="37"/>
      <c r="F22" s="42"/>
      <c r="G22" s="46"/>
      <c r="H22" s="47"/>
      <c r="J22" s="45"/>
      <c r="L22" s="37"/>
      <c r="M22" s="17"/>
      <c r="N22" s="34"/>
      <c r="O22" s="35" t="s">
        <v>51</v>
      </c>
      <c r="P22" s="34"/>
      <c r="Q22" s="36" t="s">
        <v>52</v>
      </c>
    </row>
    <row r="23" spans="2:17" ht="17.25" customHeight="1">
      <c r="B23" s="1179">
        <f t="shared" si="0"/>
        <v>14</v>
      </c>
      <c r="C23" s="1180" t="str">
        <f>PrevPerAdj_FO!B1</f>
        <v>Previous period adjustments</v>
      </c>
      <c r="D23" s="1180"/>
      <c r="E23" s="37"/>
      <c r="F23" s="42"/>
      <c r="G23" s="121" t="s">
        <v>53</v>
      </c>
      <c r="H23" s="44" t="s">
        <v>54</v>
      </c>
      <c r="J23" s="45"/>
      <c r="L23" s="37"/>
      <c r="M23" s="17"/>
    </row>
    <row r="24" spans="2:17" ht="17.25" customHeight="1">
      <c r="B24" s="1179">
        <f t="shared" si="0"/>
        <v>15</v>
      </c>
      <c r="C24" s="1180" t="str">
        <f>RevenuePriceCap_FO!C1</f>
        <v>Revenue forecast (price caps)</v>
      </c>
      <c r="D24" s="1180"/>
      <c r="E24" s="37"/>
      <c r="F24" s="42"/>
      <c r="H24" s="47"/>
      <c r="J24" s="45"/>
      <c r="L24" s="37"/>
      <c r="M24" s="17"/>
      <c r="N24" s="24" t="s">
        <v>55</v>
      </c>
      <c r="O24" s="9"/>
    </row>
    <row r="25" spans="2:17" ht="17.25" customHeight="1">
      <c r="B25" s="1179">
        <f t="shared" si="0"/>
        <v>16</v>
      </c>
      <c r="C25" s="1180" t="s">
        <v>56</v>
      </c>
      <c r="D25" s="1180"/>
      <c r="E25" s="37"/>
      <c r="F25" s="42"/>
      <c r="G25" s="50" t="s">
        <v>57</v>
      </c>
      <c r="H25" s="44" t="s">
        <v>58</v>
      </c>
      <c r="J25" s="45"/>
      <c r="K25" s="2"/>
      <c r="L25" s="32"/>
      <c r="M25" s="17"/>
      <c r="N25" s="29" t="s">
        <v>59</v>
      </c>
      <c r="O25" s="51" t="str">
        <f>+VLOOKUP(N25,N26:O43,2,FALSE)</f>
        <v>MW</v>
      </c>
    </row>
    <row r="26" spans="2:17" ht="17.25" customHeight="1">
      <c r="B26" s="1179">
        <f t="shared" si="0"/>
        <v>17</v>
      </c>
      <c r="C26" s="1180" t="str">
        <f>NotPres_FO!B1</f>
        <v>Non Prescribed Services</v>
      </c>
      <c r="D26" s="1180"/>
      <c r="E26" s="37"/>
      <c r="F26" s="42"/>
      <c r="J26" s="45"/>
      <c r="L26" s="37"/>
      <c r="M26" s="17"/>
      <c r="N26" s="52" t="s">
        <v>60</v>
      </c>
      <c r="O26" s="36" t="s">
        <v>61</v>
      </c>
    </row>
    <row r="27" spans="2:17" ht="17.25" customHeight="1">
      <c r="B27" s="1179">
        <f t="shared" si="0"/>
        <v>18</v>
      </c>
      <c r="C27" s="1180" t="str">
        <f>'Finance&amp;Tax_FO'!B1</f>
        <v>Cash, debt and tax assumptions</v>
      </c>
      <c r="D27" s="1180"/>
      <c r="E27" s="37"/>
      <c r="F27" s="42"/>
      <c r="G27" s="53" t="s">
        <v>62</v>
      </c>
      <c r="H27" s="44" t="s">
        <v>63</v>
      </c>
      <c r="J27" s="45"/>
      <c r="L27" s="32"/>
      <c r="M27" s="17"/>
      <c r="N27" s="52" t="s">
        <v>64</v>
      </c>
      <c r="O27" s="36" t="s">
        <v>65</v>
      </c>
    </row>
    <row r="28" spans="2:17" ht="17.25" customHeight="1">
      <c r="B28" s="1179">
        <f t="shared" si="0"/>
        <v>19</v>
      </c>
      <c r="C28" s="1180" t="str">
        <f>'Rev&amp;RAV_FO'!B1</f>
        <v>Revenue requirement detail</v>
      </c>
      <c r="D28" s="1180"/>
      <c r="F28" s="54"/>
      <c r="G28" s="55"/>
      <c r="H28" s="55"/>
      <c r="I28" s="55"/>
      <c r="J28" s="56"/>
      <c r="M28" s="17"/>
      <c r="N28" s="52" t="s">
        <v>66</v>
      </c>
      <c r="O28" s="36" t="s">
        <v>67</v>
      </c>
    </row>
    <row r="29" spans="2:17" ht="17.25" customHeight="1">
      <c r="B29" s="1179">
        <f t="shared" si="0"/>
        <v>20</v>
      </c>
      <c r="C29" s="1180" t="str">
        <f>Indicators_FO!B1</f>
        <v>Financial indicators</v>
      </c>
      <c r="D29" s="1180"/>
      <c r="M29" s="17"/>
      <c r="N29" s="52" t="s">
        <v>68</v>
      </c>
      <c r="O29" s="36" t="s">
        <v>69</v>
      </c>
    </row>
    <row r="30" spans="2:17" ht="17.25" customHeight="1">
      <c r="B30" s="1179">
        <f t="shared" si="0"/>
        <v>21</v>
      </c>
      <c r="C30" s="1180" t="str">
        <f>Outcomes!B1</f>
        <v>Outcomes</v>
      </c>
      <c r="D30" s="1180"/>
      <c r="M30" s="17"/>
      <c r="N30" s="52" t="s">
        <v>70</v>
      </c>
      <c r="O30" s="36" t="s">
        <v>71</v>
      </c>
    </row>
    <row r="31" spans="2:17" ht="17.25" customHeight="1">
      <c r="B31" s="1179">
        <f t="shared" si="0"/>
        <v>22</v>
      </c>
      <c r="C31" s="1180" t="s">
        <v>72</v>
      </c>
      <c r="D31" s="1180"/>
      <c r="M31" s="17"/>
      <c r="N31" s="52" t="s">
        <v>73</v>
      </c>
      <c r="O31" s="36" t="s">
        <v>74</v>
      </c>
    </row>
    <row r="32" spans="2:17" ht="17.25" customHeight="1">
      <c r="B32" s="1179">
        <f t="shared" si="0"/>
        <v>23</v>
      </c>
      <c r="C32" s="1180" t="s">
        <v>75</v>
      </c>
      <c r="D32" s="1180"/>
      <c r="M32" s="17"/>
      <c r="N32" s="52" t="s">
        <v>76</v>
      </c>
      <c r="O32" s="36" t="s">
        <v>77</v>
      </c>
    </row>
    <row r="33" spans="2:16" ht="17.25" customHeight="1">
      <c r="B33" s="1179">
        <f t="shared" si="0"/>
        <v>24</v>
      </c>
      <c r="C33" s="1414" t="str">
        <f>'GSL (not applicable)'!B1&amp;" "&amp;"[NOT APPLICABLE]"</f>
        <v>Guaranteed Service Levels (GSL) [NOT APPLICABLE]</v>
      </c>
      <c r="D33" s="1180"/>
      <c r="M33" s="17"/>
      <c r="N33" s="119" t="s">
        <v>78</v>
      </c>
      <c r="O33" s="120" t="s">
        <v>79</v>
      </c>
      <c r="P33" s="10" t="s">
        <v>80</v>
      </c>
    </row>
    <row r="34" spans="2:16" ht="15">
      <c r="B34" s="1179">
        <f t="shared" si="0"/>
        <v>25</v>
      </c>
      <c r="C34" s="1180" t="s">
        <v>81</v>
      </c>
      <c r="N34" s="119" t="s">
        <v>82</v>
      </c>
      <c r="O34" s="120" t="s">
        <v>83</v>
      </c>
      <c r="P34" s="10" t="s">
        <v>80</v>
      </c>
    </row>
    <row r="35" spans="2:16" ht="15">
      <c r="B35" s="1179">
        <f t="shared" si="0"/>
        <v>26</v>
      </c>
      <c r="C35" s="1180" t="s">
        <v>84</v>
      </c>
      <c r="N35" s="52" t="s">
        <v>85</v>
      </c>
      <c r="O35" s="36" t="s">
        <v>86</v>
      </c>
    </row>
    <row r="36" spans="2:16" ht="15">
      <c r="B36" s="1179">
        <v>27</v>
      </c>
      <c r="C36" s="1180" t="s">
        <v>87</v>
      </c>
      <c r="N36" s="52" t="s">
        <v>88</v>
      </c>
      <c r="O36" s="36" t="s">
        <v>89</v>
      </c>
    </row>
    <row r="37" spans="2:16" ht="15">
      <c r="B37" s="1179">
        <v>28</v>
      </c>
      <c r="C37" s="1180" t="s">
        <v>90</v>
      </c>
      <c r="N37" s="52" t="s">
        <v>91</v>
      </c>
      <c r="O37" s="36" t="s">
        <v>92</v>
      </c>
    </row>
    <row r="38" spans="2:16" ht="15">
      <c r="B38" s="1179">
        <v>29</v>
      </c>
      <c r="N38" s="52" t="s">
        <v>93</v>
      </c>
      <c r="O38" s="36" t="s">
        <v>94</v>
      </c>
    </row>
    <row r="39" spans="2:16">
      <c r="N39" s="119" t="s">
        <v>59</v>
      </c>
      <c r="O39" s="120" t="s">
        <v>95</v>
      </c>
    </row>
    <row r="40" spans="2:16">
      <c r="N40" s="52" t="s">
        <v>96</v>
      </c>
      <c r="O40" s="36" t="s">
        <v>97</v>
      </c>
    </row>
    <row r="41" spans="2:16">
      <c r="N41" s="52" t="s">
        <v>98</v>
      </c>
      <c r="O41" s="36" t="s">
        <v>99</v>
      </c>
    </row>
    <row r="42" spans="2:16">
      <c r="N42" s="52" t="s">
        <v>100</v>
      </c>
      <c r="O42" s="36" t="s">
        <v>101</v>
      </c>
    </row>
    <row r="43" spans="2:16">
      <c r="N43" s="52" t="s">
        <v>102</v>
      </c>
      <c r="O43" s="36" t="s">
        <v>103</v>
      </c>
    </row>
  </sheetData>
  <sortState xmlns:xlrd2="http://schemas.microsoft.com/office/spreadsheetml/2017/richdata2" ref="N26:O42">
    <sortCondition ref="N26:N42"/>
  </sortState>
  <mergeCells count="1">
    <mergeCell ref="I7:J7"/>
  </mergeCells>
  <phoneticPr fontId="0" type="noConversion"/>
  <dataValidations count="5">
    <dataValidation type="list" allowBlank="1" showInputMessage="1" showErrorMessage="1" sqref="Q9" xr:uid="{00000000-0002-0000-0000-000000000000}">
      <formula1>$Q$10:$Q$22</formula1>
    </dataValidation>
    <dataValidation type="list" allowBlank="1" showInputMessage="1" showErrorMessage="1" sqref="P9" xr:uid="{00000000-0002-0000-0000-000001000000}">
      <formula1>$P$10:$P$22</formula1>
    </dataValidation>
    <dataValidation type="list" allowBlank="1" showInputMessage="1" showErrorMessage="1" sqref="O9" xr:uid="{00000000-0002-0000-0000-000002000000}">
      <formula1>$O$10:$O$22</formula1>
    </dataValidation>
    <dataValidation type="list" allowBlank="1" showInputMessage="1" showErrorMessage="1" sqref="N9" xr:uid="{00000000-0002-0000-0000-000003000000}">
      <formula1>$N$10:$N$22</formula1>
    </dataValidation>
    <dataValidation type="list" allowBlank="1" showInputMessage="1" showErrorMessage="1" sqref="N25" xr:uid="{00000000-0002-0000-0000-000004000000}">
      <formula1>$N$26:$N$43</formula1>
    </dataValidation>
  </dataValidations>
  <hyperlinks>
    <hyperlink ref="C14" location="ExpSummary_FO!A1" tooltip="Go to Adjustments required from first period" display="ExpSummary_FO!A1" xr:uid="{00000000-0004-0000-0000-000002000000}"/>
    <hyperlink ref="C22" location="'RollForward_FO'!A1" tooltip="Go to Rolled forward regulatory asset base" display="'RollForward_FO'!A1" xr:uid="{00000000-0004-0000-0000-000003000000}"/>
    <hyperlink ref="C23" location="PrevPerAdj_FO!A1" tooltip="Go to Adjustments required from first period" display="PrevPerAdj_FO!A1" xr:uid="{00000000-0004-0000-0000-000004000000}"/>
    <hyperlink ref="C24" location="'RevenuePriceCap_FO'!A1" tooltip="Go to Revenue forecast (price caps)" display="'RevenuePriceCap_FO'!A1" xr:uid="{00000000-0004-0000-0000-000005000000}"/>
    <hyperlink ref="C26" location="'NotPres_FO'!A1" tooltip="Go to Services not prescribed" display="'NotPres_FO'!A1" xr:uid="{00000000-0004-0000-0000-000006000000}"/>
    <hyperlink ref="C27" location="'Finance&amp;Tax_FO'!A1" tooltip="Go to Cash, debt and tax assumptions" display="'Finance&amp;Tax_FO'!A1" xr:uid="{00000000-0004-0000-0000-000007000000}"/>
    <hyperlink ref="C25" location="RevenueTariffBasket_FO!A1" display="Revenue forecast (tariff basket)" xr:uid="{00000000-0004-0000-0000-00000B000000}"/>
    <hyperlink ref="C13" location="KeyAssumptionsPriceControl_FO!B1" display="KeyAssumptionsPriceControl_FO!B1" xr:uid="{00000000-0004-0000-0000-00000C000000}"/>
    <hyperlink ref="C15:D15" location="Opex_Breakdown!A1" tooltip="Go to Operating Expenditure forecast" display="Opex_Breakdown!A1" xr:uid="{00000000-0004-0000-0000-00000E000000}"/>
    <hyperlink ref="C20:D20" location="PrevPerAdj_FO!A1" tooltip="Go to Adjustments required from first period" display="PrevPerAdj_FO!A1" xr:uid="{00000000-0004-0000-0000-00000F000000}"/>
    <hyperlink ref="C15" location="Expenditure_Detail!A1" display="Expenditure_Detail!A1" xr:uid="{00000000-0004-0000-0000-000011000000}"/>
    <hyperlink ref="C10:D10" location="'Model Quality Check'!A1" display="Model Quality Check" xr:uid="{00000000-0004-0000-0000-000014000000}"/>
    <hyperlink ref="C34" location="'Dashboard - Pricing'!A1" display="Dashboard - Pricing" xr:uid="{00000000-0004-0000-0000-000015000000}"/>
    <hyperlink ref="C35" location="'Dashboard - Opex'!A1" display="Dashboard - Opex" xr:uid="{00000000-0004-0000-0000-000016000000}"/>
    <hyperlink ref="C36" location="'Dashboard - Capex'!A1" display="Dashboard - Capex" xr:uid="{00000000-0004-0000-0000-000017000000}"/>
    <hyperlink ref="C37" location="'Dashboard - Data'!A1" display="Dashboard - Data" xr:uid="{00000000-0004-0000-0000-000018000000}"/>
    <hyperlink ref="C14:D14" location="Opex_FO_Summary!A1" display="Opex_FO_Summary!A1" xr:uid="{E11B4742-7B5C-4247-89E9-84FEB5BB1FD9}"/>
    <hyperlink ref="C12" location="'Model Quality Check'!A1" display="'Model Quality Check'!A1" xr:uid="{7FDAB6F7-9F2C-46DD-B3D2-C73385F6D32F}"/>
    <hyperlink ref="C30" location="Outcomes!A1" display="Outcomes!A1" xr:uid="{4348EC7F-4F31-492E-8470-37253C76649A}"/>
    <hyperlink ref="C33" location="GSL!A1" display="GSL!A1" xr:uid="{F07A11F0-5716-495E-8A7D-188BA2550E59}"/>
    <hyperlink ref="C28" location="'Rev&amp;RAV_FO'!A1" display="'Rev&amp;RAV_FO'!A1" xr:uid="{28A5C37C-7172-466B-B1AA-05469B0943FA}"/>
    <hyperlink ref="C29" location="Indicators_FO!A1" display="Indicators_FO!A1" xr:uid="{5924F417-86F4-415D-A346-D39A2AD28799}"/>
    <hyperlink ref="C10" location="'ESC Adjustments log'!A1" display="ESC Adjustments log" xr:uid="{B2A531AB-A5F5-4DA2-BA38-508A129AB5CF}"/>
    <hyperlink ref="C11" location="'MW Adjustment Log'!A1" display="MW Adjustment Log" xr:uid="{8AC71C58-7486-4F5D-9ACE-A109E785A0EF}"/>
    <hyperlink ref="C18" location="'Opex_FO_W&amp;D'!A1" display="'Opex_FO_W&amp;D'!A1" xr:uid="{E70DACEB-6868-4A50-AA16-D5EA885D7367}"/>
    <hyperlink ref="C17" location="'Opex_FO_W&amp;S'!A1" tooltip="Go to Operating Expenditure forecast" display="'Opex_FO_W&amp;S'!A1" xr:uid="{83DABF91-96B4-440E-B048-8F079DEB86DA}"/>
    <hyperlink ref="C20" location="'CAPEX_FO input'!A1" display="'CAPEX_FO input'!A1" xr:uid="{00000000-0004-0000-0000-000010000000}"/>
    <hyperlink ref="C21" location="Capex_FO_AC!A1" tooltip="Go to Capital Expenditure forecast by Asset Category" display="Capex_FO_AC!A1" xr:uid="{00000000-0004-0000-0000-000001000000}"/>
    <hyperlink ref="C19" location="Opex_Breakdown!A1" tooltip="Go to Operating Expenditure forecast" display="Opex_Breakdown!A1" xr:uid="{00000000-0004-0000-0000-000000000000}"/>
  </hyperlinks>
  <pageMargins left="0.39370078740157499" right="0.39370078740157499" top="0.59055118110236249" bottom="0.98425196850393748" header="0" footer="0.31496062992125973"/>
  <pageSetup paperSize="9" orientation="landscape" r:id="rId1"/>
  <headerFooter alignWithMargins="0">
    <oddHeader>&amp;C&amp;"Calibri"&amp;14&amp;KFF0000 OFFICIAL&amp;1#_x000D_&amp;"Arial"&amp;8&amp;K000000&amp;"Arial"&amp;8&amp;K000000&amp;B&amp;"Arial"&amp;12&amp;Kff0000​‌OFFICIAL‌​</oddHeader>
  </headerFooter>
  <ignoredErrors>
    <ignoredError sqref="L22:L25 L11 L14:L20 L27 A14 D11 D12 D14 A15:A28 D15:D22 D28 A11:B12 B13:B33 D24:D26 B34:B35 C12:C13 C22:C37 C14:C21" unlockedFormula="1"/>
  </ignoredError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EAE40-7EB6-4D29-BA34-90BE9302A337}">
  <sheetPr codeName="Sheet15">
    <pageSetUpPr autoPageBreaks="0"/>
  </sheetPr>
  <dimension ref="A1:AW111"/>
  <sheetViews>
    <sheetView showGridLines="0" topLeftCell="D1" zoomScaleNormal="100" workbookViewId="0">
      <pane ySplit="6" topLeftCell="A75" activePane="bottomLeft" state="frozen"/>
      <selection activeCell="E52" sqref="E52"/>
      <selection pane="bottomLeft" activeCell="AA38" sqref="AA38"/>
    </sheetView>
  </sheetViews>
  <sheetFormatPr defaultColWidth="9.33203125" defaultRowHeight="12" outlineLevelRow="1" outlineLevelCol="1"/>
  <cols>
    <col min="1" max="2" width="4" style="63" customWidth="1"/>
    <col min="3" max="3" width="10.33203125" style="63" customWidth="1"/>
    <col min="4" max="4" width="9.33203125" style="63"/>
    <col min="5" max="5" width="53.1640625" style="63" bestFit="1" customWidth="1"/>
    <col min="6" max="8" width="14.6640625" style="63" customWidth="1"/>
    <col min="9" max="9" width="10" style="63" customWidth="1"/>
    <col min="10" max="10" width="14.5" style="63" hidden="1" customWidth="1" outlineLevel="1"/>
    <col min="11" max="18" width="9.33203125" style="63" hidden="1" customWidth="1" outlineLevel="1"/>
    <col min="19" max="20" width="11" style="63" hidden="1" customWidth="1" outlineLevel="1"/>
    <col min="21" max="21" width="11" style="63" customWidth="1" collapsed="1"/>
    <col min="22" max="28" width="11" style="63" customWidth="1"/>
    <col min="29" max="29" width="13.6640625" style="63" customWidth="1"/>
    <col min="30" max="36" width="11" style="63" customWidth="1"/>
    <col min="37" max="37" width="5.6640625" style="63" customWidth="1"/>
    <col min="38" max="16384" width="9.33203125" style="63"/>
  </cols>
  <sheetData>
    <row r="1" spans="1:40" ht="15">
      <c r="B1" s="140" t="s">
        <v>413</v>
      </c>
      <c r="G1" s="57"/>
    </row>
    <row r="2" spans="1:40" ht="12.75">
      <c r="B2" s="142" t="str">
        <f>Model_Name</f>
        <v>Melbourne Water</v>
      </c>
      <c r="G2" s="57"/>
    </row>
    <row r="3" spans="1:40">
      <c r="B3" s="2075" t="s">
        <v>138</v>
      </c>
      <c r="C3" s="2075"/>
      <c r="D3" s="2075"/>
      <c r="E3" s="2075"/>
      <c r="F3" s="2075"/>
      <c r="H3" s="64"/>
      <c r="I3" s="64"/>
      <c r="J3" s="64"/>
    </row>
    <row r="4" spans="1:40">
      <c r="B4" s="65"/>
      <c r="C4" s="66"/>
      <c r="K4" s="1208"/>
      <c r="L4" s="1209"/>
      <c r="M4" s="1210"/>
      <c r="N4" s="1208"/>
      <c r="O4" s="1211"/>
      <c r="P4" s="1209"/>
      <c r="Q4" s="1211"/>
      <c r="R4" s="1210"/>
      <c r="S4" s="1208"/>
      <c r="T4" s="1209"/>
      <c r="U4" s="1211"/>
      <c r="V4" s="1208"/>
      <c r="W4" s="1211"/>
      <c r="X4" s="1209" t="s">
        <v>139</v>
      </c>
      <c r="Y4" s="1211"/>
      <c r="Z4" s="1210"/>
      <c r="AA4" s="1287"/>
      <c r="AB4" s="721"/>
      <c r="AC4" s="1209" t="s">
        <v>140</v>
      </c>
      <c r="AD4" s="721"/>
      <c r="AE4" s="1207"/>
      <c r="AF4" s="1287"/>
      <c r="AG4" s="721"/>
      <c r="AH4" s="1209" t="s">
        <v>141</v>
      </c>
      <c r="AI4" s="721"/>
      <c r="AJ4" s="1207"/>
    </row>
    <row r="5" spans="1:40">
      <c r="B5" s="67"/>
      <c r="K5" s="58"/>
      <c r="L5" s="59"/>
      <c r="M5" s="59"/>
      <c r="N5" s="59"/>
      <c r="O5" s="59"/>
      <c r="P5" s="59"/>
      <c r="Q5" s="59"/>
      <c r="R5" s="59"/>
      <c r="S5" s="60"/>
      <c r="T5" s="60"/>
      <c r="U5" s="60">
        <v>2021</v>
      </c>
      <c r="V5" s="60">
        <v>2022</v>
      </c>
      <c r="W5" s="60">
        <v>2023</v>
      </c>
      <c r="X5" s="60">
        <v>2024</v>
      </c>
      <c r="Y5" s="60">
        <v>2025</v>
      </c>
      <c r="Z5" s="60">
        <v>2026</v>
      </c>
      <c r="AA5" s="60">
        <v>2027</v>
      </c>
      <c r="AB5" s="60">
        <v>2028</v>
      </c>
      <c r="AC5" s="60">
        <v>2029</v>
      </c>
      <c r="AD5" s="60">
        <v>2030</v>
      </c>
      <c r="AE5" s="60">
        <v>2031</v>
      </c>
      <c r="AF5" s="63">
        <f>AE5+1</f>
        <v>2032</v>
      </c>
      <c r="AG5" s="63">
        <f>AF5+1</f>
        <v>2033</v>
      </c>
      <c r="AH5" s="63">
        <f>AG5+1</f>
        <v>2034</v>
      </c>
      <c r="AI5" s="63">
        <f>AH5+1</f>
        <v>2035</v>
      </c>
      <c r="AJ5" s="63">
        <f>AI5+1</f>
        <v>2036</v>
      </c>
    </row>
    <row r="6" spans="1:40">
      <c r="A6" s="68"/>
      <c r="B6" s="63" t="str">
        <f>Expenditure_Detail!$B$6</f>
        <v>$m, 01/01/26</v>
      </c>
      <c r="C6" s="68"/>
      <c r="D6" s="68"/>
      <c r="E6" s="68"/>
      <c r="F6" s="68"/>
      <c r="G6" s="68"/>
      <c r="H6" s="68"/>
      <c r="I6" s="68"/>
      <c r="J6" s="68"/>
      <c r="K6" s="61"/>
      <c r="L6" s="61"/>
      <c r="M6" s="61"/>
      <c r="N6" s="61"/>
      <c r="O6" s="61"/>
      <c r="P6" s="61"/>
      <c r="Q6" s="61"/>
      <c r="R6" s="61"/>
      <c r="S6" s="61"/>
      <c r="T6" s="61"/>
      <c r="U6" s="61" t="str">
        <f t="shared" ref="U6:AJ6" si="0">+CONCATENATE(U5-1,"-",RIGHT(U5,2))</f>
        <v>2020-21</v>
      </c>
      <c r="V6" s="61" t="str">
        <f t="shared" si="0"/>
        <v>2021-22</v>
      </c>
      <c r="W6" s="61" t="str">
        <f t="shared" si="0"/>
        <v>2022-23</v>
      </c>
      <c r="X6" s="61" t="str">
        <f t="shared" si="0"/>
        <v>2023-24</v>
      </c>
      <c r="Y6" s="61" t="str">
        <f t="shared" si="0"/>
        <v>2024-25</v>
      </c>
      <c r="Z6" s="61" t="str">
        <f t="shared" si="0"/>
        <v>2025-26</v>
      </c>
      <c r="AA6" s="61" t="str">
        <f t="shared" si="0"/>
        <v>2026-27</v>
      </c>
      <c r="AB6" s="61" t="str">
        <f t="shared" si="0"/>
        <v>2027-28</v>
      </c>
      <c r="AC6" s="61" t="str">
        <f t="shared" si="0"/>
        <v>2028-29</v>
      </c>
      <c r="AD6" s="61" t="str">
        <f t="shared" si="0"/>
        <v>2029-30</v>
      </c>
      <c r="AE6" s="61" t="str">
        <f t="shared" si="0"/>
        <v>2030-31</v>
      </c>
      <c r="AF6" s="61" t="str">
        <f t="shared" si="0"/>
        <v>2031-32</v>
      </c>
      <c r="AG6" s="61" t="str">
        <f t="shared" si="0"/>
        <v>2032-33</v>
      </c>
      <c r="AH6" s="61" t="str">
        <f t="shared" si="0"/>
        <v>2033-34</v>
      </c>
      <c r="AI6" s="61" t="str">
        <f t="shared" si="0"/>
        <v>2034-35</v>
      </c>
      <c r="AJ6" s="61" t="str">
        <f t="shared" si="0"/>
        <v>2035-36</v>
      </c>
      <c r="AK6" s="68"/>
      <c r="AL6" s="68"/>
      <c r="AM6" s="68"/>
      <c r="AN6" s="68"/>
    </row>
    <row r="8" spans="1:40">
      <c r="C8" s="69"/>
      <c r="D8" s="70"/>
      <c r="E8" s="70"/>
      <c r="F8" s="70"/>
      <c r="G8" s="70"/>
      <c r="H8" s="70"/>
      <c r="I8" s="70"/>
      <c r="J8" s="70"/>
      <c r="K8" s="70"/>
      <c r="L8" s="70"/>
      <c r="M8" s="70"/>
      <c r="N8" s="70"/>
      <c r="O8" s="70"/>
      <c r="P8" s="70"/>
      <c r="Q8" s="70"/>
      <c r="R8" s="70"/>
      <c r="S8" s="70"/>
      <c r="T8" s="71"/>
      <c r="U8" s="70"/>
      <c r="V8" s="70"/>
      <c r="W8" s="70"/>
      <c r="X8" s="70"/>
      <c r="Y8" s="72"/>
      <c r="Z8" s="70"/>
      <c r="AA8" s="70"/>
      <c r="AB8" s="70"/>
      <c r="AC8" s="70"/>
      <c r="AD8" s="70"/>
      <c r="AE8" s="70"/>
      <c r="AF8" s="70"/>
      <c r="AG8" s="70"/>
      <c r="AH8" s="70"/>
      <c r="AI8" s="70"/>
      <c r="AJ8" s="70"/>
      <c r="AK8" s="73"/>
    </row>
    <row r="9" spans="1:40">
      <c r="C9" s="230" t="s">
        <v>213</v>
      </c>
      <c r="F9" s="1115" t="s">
        <v>414</v>
      </c>
      <c r="H9" s="1115" t="s">
        <v>332</v>
      </c>
      <c r="Y9" s="67"/>
      <c r="AK9" s="74"/>
    </row>
    <row r="10" spans="1:40">
      <c r="C10" s="75"/>
      <c r="F10" s="1116"/>
      <c r="H10" s="647"/>
      <c r="T10" s="62"/>
      <c r="U10" s="76"/>
      <c r="AA10" s="1419"/>
      <c r="AE10" s="77"/>
      <c r="AK10" s="74"/>
    </row>
    <row r="11" spans="1:40">
      <c r="C11" s="75"/>
      <c r="D11" s="78" t="s">
        <v>333</v>
      </c>
      <c r="F11" s="79">
        <v>1.2E-2</v>
      </c>
      <c r="H11" s="79">
        <f>IFERROR(AVERAGE(AA11:AE11),"-")</f>
        <v>2.006741470273643E-2</v>
      </c>
      <c r="S11" s="80"/>
      <c r="U11" s="76"/>
      <c r="Z11" s="243">
        <v>1.2E-2</v>
      </c>
      <c r="AA11" s="243">
        <v>2.006741470273643E-2</v>
      </c>
      <c r="AB11" s="244">
        <v>2.006741470273643E-2</v>
      </c>
      <c r="AC11" s="244">
        <v>2.006741470273643E-2</v>
      </c>
      <c r="AD11" s="244">
        <v>2.006741470273643E-2</v>
      </c>
      <c r="AE11" s="245">
        <v>2.006741470273643E-2</v>
      </c>
      <c r="AF11" s="244">
        <v>0.02</v>
      </c>
      <c r="AG11" s="244">
        <v>0.02</v>
      </c>
      <c r="AH11" s="244">
        <v>0.02</v>
      </c>
      <c r="AI11" s="244">
        <v>0.02</v>
      </c>
      <c r="AJ11" s="245">
        <v>0.02</v>
      </c>
      <c r="AK11" s="74"/>
    </row>
    <row r="12" spans="1:40">
      <c r="C12" s="75"/>
      <c r="D12" s="78"/>
      <c r="F12" s="844"/>
      <c r="H12" s="844"/>
      <c r="I12" s="78"/>
      <c r="T12" s="62"/>
      <c r="U12" s="76"/>
      <c r="AA12" s="1419"/>
      <c r="AK12" s="74"/>
    </row>
    <row r="13" spans="1:40">
      <c r="C13" s="75"/>
      <c r="D13" s="63" t="s">
        <v>371</v>
      </c>
      <c r="F13" s="79">
        <v>0.01</v>
      </c>
      <c r="H13" s="79">
        <f>IFERROR(AVERAGE(AA13:AE13),"-")</f>
        <v>2.006741470273643E-2</v>
      </c>
      <c r="S13" s="80"/>
      <c r="U13" s="76"/>
      <c r="Y13" s="94"/>
      <c r="Z13" s="1377">
        <v>0.01</v>
      </c>
      <c r="AA13" s="1600">
        <v>2.006741470273643E-2</v>
      </c>
      <c r="AB13" s="1601">
        <v>2.006741470273643E-2</v>
      </c>
      <c r="AC13" s="244">
        <v>2.006741470273643E-2</v>
      </c>
      <c r="AD13" s="244">
        <v>2.006741470273643E-2</v>
      </c>
      <c r="AE13" s="244">
        <v>2.006741470273643E-2</v>
      </c>
      <c r="AF13" s="243">
        <v>1.9051464301303334E-2</v>
      </c>
      <c r="AG13" s="244">
        <v>1.9051464301303334E-2</v>
      </c>
      <c r="AH13" s="244">
        <v>1.9051464301303334E-2</v>
      </c>
      <c r="AI13" s="244">
        <v>1.9051464301303334E-2</v>
      </c>
      <c r="AJ13" s="245">
        <v>1.9051464301303334E-2</v>
      </c>
      <c r="AK13" s="74"/>
    </row>
    <row r="14" spans="1:40">
      <c r="C14" s="81"/>
      <c r="D14" s="68"/>
      <c r="E14" s="68"/>
      <c r="F14" s="68"/>
      <c r="G14" s="68"/>
      <c r="H14" s="68"/>
      <c r="I14" s="68"/>
      <c r="J14" s="68"/>
      <c r="K14" s="68"/>
      <c r="L14" s="68"/>
      <c r="M14" s="68"/>
      <c r="N14" s="68"/>
      <c r="O14" s="68"/>
      <c r="P14" s="68"/>
      <c r="Q14" s="68"/>
      <c r="R14" s="68"/>
      <c r="S14" s="68"/>
      <c r="T14" s="68"/>
      <c r="U14" s="82"/>
      <c r="V14" s="68"/>
      <c r="W14" s="68"/>
      <c r="X14" s="68"/>
      <c r="Y14" s="68"/>
      <c r="Z14" s="68"/>
      <c r="AA14" s="68"/>
      <c r="AB14" s="68"/>
      <c r="AC14" s="68"/>
      <c r="AD14" s="68"/>
      <c r="AE14" s="68"/>
      <c r="AF14" s="68"/>
      <c r="AG14" s="68"/>
      <c r="AH14" s="68"/>
      <c r="AI14" s="68"/>
      <c r="AJ14" s="68"/>
      <c r="AK14" s="83"/>
    </row>
    <row r="15" spans="1:40">
      <c r="U15" s="84"/>
    </row>
    <row r="16" spans="1:40">
      <c r="C16" s="69"/>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3"/>
    </row>
    <row r="17" spans="3:37">
      <c r="C17" s="230" t="s">
        <v>337</v>
      </c>
      <c r="AK17" s="74"/>
    </row>
    <row r="18" spans="3:37">
      <c r="C18" s="75"/>
      <c r="AK18" s="74"/>
    </row>
    <row r="19" spans="3:37">
      <c r="C19" s="75"/>
      <c r="D19" s="85" t="s">
        <v>338</v>
      </c>
      <c r="U19" s="77"/>
      <c r="Y19" s="1424">
        <f>Opex_Breakdown!Y79+Opex_Breakdown!Y99+Opex_Breakdown!Y130+Opex_Breakdown!Y86</f>
        <v>207.24345126348578</v>
      </c>
      <c r="Z19" s="1040"/>
      <c r="AA19" s="126" t="s">
        <v>415</v>
      </c>
      <c r="AB19" s="86"/>
      <c r="AK19" s="74"/>
    </row>
    <row r="20" spans="3:37">
      <c r="C20" s="75"/>
      <c r="D20" s="67"/>
      <c r="Y20" s="111"/>
      <c r="AA20" s="231" t="s">
        <v>416</v>
      </c>
      <c r="AK20" s="74"/>
    </row>
    <row r="21" spans="3:37">
      <c r="C21" s="75"/>
      <c r="D21" s="85" t="s">
        <v>341</v>
      </c>
      <c r="Y21" s="111"/>
      <c r="AK21" s="74"/>
    </row>
    <row r="22" spans="3:37">
      <c r="C22" s="75"/>
      <c r="D22" s="67"/>
      <c r="E22" s="67" t="str">
        <f>Opex_Breakdown!E31</f>
        <v>Licence fees</v>
      </c>
      <c r="Y22" s="1425">
        <f>Opex_Breakdown!Y76</f>
        <v>0.24882404144567552</v>
      </c>
      <c r="AA22" s="127"/>
      <c r="AB22" s="128"/>
      <c r="AC22" s="128"/>
      <c r="AD22" s="129"/>
      <c r="AE22" s="130"/>
      <c r="AK22" s="74"/>
    </row>
    <row r="23" spans="3:37">
      <c r="C23" s="75"/>
      <c r="E23" s="67" t="s">
        <v>342</v>
      </c>
      <c r="Y23" s="1426">
        <f>Opex_Breakdown!Y32</f>
        <v>3.665495499803495E-2</v>
      </c>
      <c r="AA23" s="232"/>
      <c r="AB23" s="233" t="s">
        <v>133</v>
      </c>
      <c r="AC23" s="233" t="s">
        <v>231</v>
      </c>
      <c r="AD23" s="233" t="s">
        <v>343</v>
      </c>
      <c r="AE23" s="234"/>
      <c r="AK23" s="74"/>
    </row>
    <row r="24" spans="3:37" hidden="1" outlineLevel="1">
      <c r="C24" s="75"/>
      <c r="E24" s="67"/>
      <c r="Y24" s="1426"/>
      <c r="AA24" s="232"/>
      <c r="AB24" s="233"/>
      <c r="AC24" s="233"/>
      <c r="AD24" s="233"/>
      <c r="AE24" s="234"/>
      <c r="AK24" s="74"/>
    </row>
    <row r="25" spans="3:37" collapsed="1">
      <c r="C25" s="75"/>
      <c r="E25" s="63" t="str">
        <f>Opex_Breakdown!E34</f>
        <v>Other non-controllable</v>
      </c>
      <c r="Y25" s="1427">
        <f>Opex_Breakdown!Y130</f>
        <v>12.494121478603077</v>
      </c>
      <c r="AA25" s="235"/>
      <c r="AB25" s="233"/>
      <c r="AC25" s="233"/>
      <c r="AD25" s="233"/>
      <c r="AE25" s="132"/>
      <c r="AK25" s="74"/>
    </row>
    <row r="26" spans="3:37">
      <c r="C26" s="75"/>
      <c r="D26" s="67"/>
      <c r="E26" s="76"/>
      <c r="U26" s="77"/>
      <c r="Y26" s="111">
        <f>SUM(Y22:Y25)</f>
        <v>12.779600475046788</v>
      </c>
      <c r="AA26" s="131"/>
      <c r="AB26" s="1428">
        <f>'Determination Lookup'!R20</f>
        <v>182.26061124507007</v>
      </c>
      <c r="AC26" s="1429">
        <f>+Y44-AB26</f>
        <v>-0.30419026638932678</v>
      </c>
      <c r="AD26" s="137">
        <f>+AC26/AB26</f>
        <v>-1.6689852201818222E-3</v>
      </c>
      <c r="AE26" s="132"/>
      <c r="AK26" s="74"/>
    </row>
    <row r="27" spans="3:37">
      <c r="C27" s="75"/>
      <c r="E27" s="76"/>
      <c r="U27" s="77"/>
      <c r="Y27" s="111"/>
      <c r="AA27" s="133"/>
      <c r="AB27" s="134"/>
      <c r="AC27" s="135"/>
      <c r="AD27" s="135"/>
      <c r="AE27" s="136"/>
      <c r="AK27" s="74"/>
    </row>
    <row r="28" spans="3:37">
      <c r="C28" s="75"/>
      <c r="D28" s="93" t="s">
        <v>346</v>
      </c>
      <c r="E28" s="76"/>
      <c r="U28" s="77"/>
      <c r="Y28" s="1424">
        <f>+Y19-Y26</f>
        <v>194.463850788439</v>
      </c>
      <c r="AA28" s="231" t="s">
        <v>345</v>
      </c>
      <c r="AK28" s="74"/>
    </row>
    <row r="29" spans="3:37">
      <c r="C29" s="75"/>
      <c r="E29" s="76"/>
      <c r="U29" s="77"/>
      <c r="Y29" s="116"/>
      <c r="AK29" s="74"/>
    </row>
    <row r="30" spans="3:37">
      <c r="C30" s="75"/>
      <c r="D30" s="85" t="s">
        <v>375</v>
      </c>
      <c r="E30" s="67"/>
      <c r="F30" s="67"/>
      <c r="G30" s="67"/>
      <c r="H30" s="67"/>
      <c r="I30" s="67"/>
      <c r="J30" s="67"/>
      <c r="K30" s="67"/>
      <c r="L30" s="67"/>
      <c r="M30" s="67"/>
      <c r="N30" s="67"/>
      <c r="O30" s="67"/>
      <c r="P30" s="67"/>
      <c r="Q30" s="67"/>
      <c r="R30" s="67"/>
      <c r="S30" s="67"/>
      <c r="Y30" s="116"/>
      <c r="AK30" s="74"/>
    </row>
    <row r="31" spans="3:37">
      <c r="C31" s="75"/>
      <c r="E31" s="76"/>
      <c r="Y31" s="116"/>
      <c r="AK31" s="74"/>
    </row>
    <row r="32" spans="3:37">
      <c r="C32" s="75"/>
      <c r="D32" s="63">
        <v>1</v>
      </c>
      <c r="E32" s="248" t="s">
        <v>417</v>
      </c>
      <c r="F32" s="249"/>
      <c r="G32" s="249"/>
      <c r="H32" s="250"/>
      <c r="X32" s="1419"/>
      <c r="Y32" s="252">
        <v>-3.9382868358406107</v>
      </c>
      <c r="Z32" s="88"/>
      <c r="AK32" s="74"/>
    </row>
    <row r="33" spans="3:38">
      <c r="C33" s="75"/>
      <c r="D33" s="63">
        <v>2</v>
      </c>
      <c r="E33" s="248" t="s">
        <v>376</v>
      </c>
      <c r="F33" s="249"/>
      <c r="G33" s="249"/>
      <c r="H33" s="250"/>
      <c r="X33" s="1419"/>
      <c r="Y33" s="253">
        <v>-1.8043546904417487</v>
      </c>
      <c r="Z33" s="88"/>
      <c r="AK33" s="74"/>
    </row>
    <row r="34" spans="3:38">
      <c r="C34" s="75"/>
      <c r="D34" s="63">
        <v>3</v>
      </c>
      <c r="E34" s="248" t="s">
        <v>377</v>
      </c>
      <c r="F34" s="249"/>
      <c r="G34" s="249"/>
      <c r="H34" s="250"/>
      <c r="Y34" s="253">
        <v>-2.0777278493883755</v>
      </c>
      <c r="Z34" s="88"/>
      <c r="AK34" s="74"/>
    </row>
    <row r="35" spans="3:38">
      <c r="C35" s="75"/>
      <c r="D35" s="63">
        <v>4</v>
      </c>
      <c r="E35" s="248" t="s">
        <v>378</v>
      </c>
      <c r="F35" s="249"/>
      <c r="G35" s="249"/>
      <c r="H35" s="250"/>
      <c r="X35" s="1419"/>
      <c r="Y35" s="253">
        <v>-6.5052866895028413E-2</v>
      </c>
      <c r="Z35" s="88"/>
      <c r="AK35" s="74"/>
    </row>
    <row r="36" spans="3:38">
      <c r="C36" s="75"/>
      <c r="D36" s="63">
        <v>5</v>
      </c>
      <c r="E36" s="248" t="s">
        <v>379</v>
      </c>
      <c r="F36" s="249"/>
      <c r="G36" s="249"/>
      <c r="H36" s="250"/>
      <c r="Y36" s="253">
        <v>-9.5732145970685561E-3</v>
      </c>
      <c r="Z36" s="88"/>
      <c r="AK36" s="74"/>
    </row>
    <row r="37" spans="3:38">
      <c r="C37" s="75"/>
      <c r="D37" s="63">
        <v>6</v>
      </c>
      <c r="E37" s="248" t="s">
        <v>380</v>
      </c>
      <c r="F37" s="249"/>
      <c r="G37" s="249"/>
      <c r="H37" s="250"/>
      <c r="Y37" s="253">
        <v>0.25615702896349063</v>
      </c>
      <c r="Z37" s="88"/>
      <c r="AK37" s="74"/>
      <c r="AL37" s="89"/>
    </row>
    <row r="38" spans="3:38">
      <c r="C38" s="75"/>
      <c r="D38" s="63">
        <v>7</v>
      </c>
      <c r="E38" s="248" t="s">
        <v>381</v>
      </c>
      <c r="F38" s="249"/>
      <c r="G38" s="249"/>
      <c r="H38" s="250"/>
      <c r="Y38" s="253">
        <v>-5.0558611145646086</v>
      </c>
      <c r="Z38" s="88"/>
      <c r="AK38" s="74"/>
    </row>
    <row r="39" spans="3:38">
      <c r="C39" s="75"/>
      <c r="D39" s="63">
        <v>8</v>
      </c>
      <c r="E39" s="248" t="s">
        <v>382</v>
      </c>
      <c r="F39" s="249"/>
      <c r="G39" s="249"/>
      <c r="H39" s="250"/>
      <c r="Y39" s="253">
        <v>0.18726973300567043</v>
      </c>
      <c r="Z39" s="88"/>
      <c r="AK39" s="74"/>
    </row>
    <row r="40" spans="3:38">
      <c r="C40" s="75"/>
      <c r="D40" s="63">
        <v>9</v>
      </c>
      <c r="E40" s="248"/>
      <c r="F40" s="249"/>
      <c r="G40" s="249"/>
      <c r="H40" s="250"/>
      <c r="Y40" s="253"/>
      <c r="Z40" s="88"/>
      <c r="AK40" s="74"/>
    </row>
    <row r="41" spans="3:38">
      <c r="C41" s="75"/>
      <c r="D41" s="63">
        <v>10</v>
      </c>
      <c r="E41" s="248"/>
      <c r="F41" s="249"/>
      <c r="G41" s="249"/>
      <c r="H41" s="250"/>
      <c r="Y41" s="254"/>
      <c r="Z41" s="88"/>
      <c r="AK41" s="74"/>
    </row>
    <row r="42" spans="3:38">
      <c r="C42" s="75"/>
      <c r="E42" s="251"/>
      <c r="F42" s="4"/>
      <c r="G42" s="4"/>
      <c r="H42" s="4"/>
      <c r="Y42" s="116">
        <f>SUM(Y32:Y41)</f>
        <v>-12.507429809758278</v>
      </c>
      <c r="AK42" s="74"/>
    </row>
    <row r="43" spans="3:38">
      <c r="C43" s="75"/>
      <c r="Y43" s="90"/>
      <c r="AK43" s="74"/>
    </row>
    <row r="44" spans="3:38">
      <c r="C44" s="75"/>
      <c r="D44" s="63" t="s">
        <v>348</v>
      </c>
      <c r="U44" s="77"/>
      <c r="Y44" s="1678">
        <f>+Y28+Y42</f>
        <v>181.95642097868074</v>
      </c>
      <c r="Z44" s="87"/>
      <c r="AA44" s="67"/>
      <c r="AB44" s="67"/>
      <c r="AC44" s="67"/>
      <c r="AD44" s="67"/>
      <c r="AE44" s="67"/>
      <c r="AF44" s="67"/>
      <c r="AG44" s="67"/>
      <c r="AH44" s="67"/>
      <c r="AI44" s="67"/>
      <c r="AJ44" s="67"/>
      <c r="AK44" s="74"/>
    </row>
    <row r="45" spans="3:38">
      <c r="C45" s="75"/>
      <c r="D45" s="63" t="s">
        <v>383</v>
      </c>
      <c r="U45" s="77"/>
      <c r="Y45" s="1679">
        <f>AB26</f>
        <v>182.26061124507007</v>
      </c>
      <c r="Z45" s="87"/>
      <c r="AA45" s="67"/>
      <c r="AB45" s="67"/>
      <c r="AC45" s="67"/>
      <c r="AD45" s="67"/>
      <c r="AE45" s="67"/>
      <c r="AF45" s="67"/>
      <c r="AG45" s="67"/>
      <c r="AH45" s="67"/>
      <c r="AI45" s="67"/>
      <c r="AJ45" s="67"/>
      <c r="AK45" s="74"/>
    </row>
    <row r="46" spans="3:38">
      <c r="C46" s="75"/>
      <c r="D46" s="63" t="s">
        <v>231</v>
      </c>
      <c r="U46" s="77"/>
      <c r="Y46" s="1680">
        <f>Y44-Y45</f>
        <v>-0.30419026638932678</v>
      </c>
      <c r="Z46" s="87"/>
      <c r="AA46" s="67"/>
      <c r="AB46" s="67"/>
      <c r="AC46" s="67"/>
      <c r="AD46" s="67"/>
      <c r="AE46" s="67"/>
      <c r="AF46" s="67"/>
      <c r="AG46" s="67"/>
      <c r="AH46" s="67"/>
      <c r="AI46" s="67"/>
      <c r="AJ46" s="67"/>
      <c r="AK46" s="74"/>
    </row>
    <row r="47" spans="3:38">
      <c r="C47" s="75"/>
      <c r="V47" s="67"/>
      <c r="W47" s="67"/>
      <c r="X47" s="87"/>
      <c r="Y47" s="87"/>
      <c r="Z47" s="67"/>
      <c r="AA47" s="87"/>
      <c r="AB47" s="87"/>
      <c r="AC47" s="87"/>
      <c r="AD47" s="87"/>
      <c r="AE47" s="87"/>
      <c r="AF47" s="87"/>
      <c r="AG47" s="87"/>
      <c r="AH47" s="87"/>
      <c r="AI47" s="87"/>
      <c r="AJ47" s="87"/>
      <c r="AK47" s="74"/>
    </row>
    <row r="48" spans="3:38">
      <c r="C48" s="75"/>
      <c r="D48" s="89" t="s">
        <v>384</v>
      </c>
      <c r="V48" s="67"/>
      <c r="W48" s="67"/>
      <c r="X48" s="87"/>
      <c r="Y48" s="87"/>
      <c r="Z48" s="67"/>
      <c r="AA48" s="126" t="s">
        <v>385</v>
      </c>
      <c r="AB48" s="86"/>
      <c r="AG48" s="87"/>
      <c r="AH48" s="87"/>
      <c r="AI48" s="87"/>
      <c r="AJ48" s="87"/>
      <c r="AK48" s="74"/>
    </row>
    <row r="49" spans="3:38">
      <c r="C49" s="75"/>
      <c r="V49" s="67"/>
      <c r="W49" s="67"/>
      <c r="X49" s="87"/>
      <c r="Z49" s="67"/>
      <c r="AA49" s="231"/>
      <c r="AG49" s="87"/>
      <c r="AH49" s="87"/>
      <c r="AI49" s="87"/>
      <c r="AJ49" s="87"/>
      <c r="AK49" s="74"/>
    </row>
    <row r="50" spans="3:38">
      <c r="C50" s="75"/>
      <c r="D50" s="63">
        <v>1</v>
      </c>
      <c r="E50" s="248" t="s">
        <v>418</v>
      </c>
      <c r="F50" s="249"/>
      <c r="G50" s="249"/>
      <c r="H50" s="250"/>
      <c r="V50" s="67"/>
      <c r="W50" s="67"/>
      <c r="X50" s="87"/>
      <c r="Y50" s="1661">
        <v>-1.2591988085999244</v>
      </c>
      <c r="Z50" s="67"/>
      <c r="AA50" s="231"/>
      <c r="AG50" s="87"/>
      <c r="AH50" s="87"/>
      <c r="AI50" s="87"/>
      <c r="AJ50" s="87"/>
      <c r="AK50" s="74"/>
    </row>
    <row r="51" spans="3:38">
      <c r="C51" s="75"/>
      <c r="D51" s="63">
        <v>2</v>
      </c>
      <c r="E51" s="248" t="s">
        <v>419</v>
      </c>
      <c r="F51" s="249"/>
      <c r="G51" s="249"/>
      <c r="H51" s="250"/>
      <c r="V51" s="67"/>
      <c r="W51" s="67"/>
      <c r="X51" s="87"/>
      <c r="Y51" s="1662">
        <v>9.3111678154378197</v>
      </c>
      <c r="Z51" s="67"/>
      <c r="AA51" s="1665"/>
      <c r="AB51" s="1666"/>
      <c r="AC51" s="1666"/>
      <c r="AD51" s="1667"/>
      <c r="AE51" s="1668"/>
      <c r="AG51" s="87"/>
      <c r="AH51" s="87"/>
      <c r="AI51" s="87"/>
      <c r="AJ51" s="87"/>
      <c r="AK51" s="74"/>
    </row>
    <row r="52" spans="3:38" ht="36">
      <c r="C52" s="75"/>
      <c r="D52" s="63">
        <v>3</v>
      </c>
      <c r="E52" s="248" t="s">
        <v>388</v>
      </c>
      <c r="F52" s="249"/>
      <c r="G52" s="249"/>
      <c r="H52" s="250"/>
      <c r="V52" s="67"/>
      <c r="W52" s="67"/>
      <c r="X52" s="87"/>
      <c r="Y52" s="1662">
        <v>1.1527815227279374</v>
      </c>
      <c r="Z52" s="67"/>
      <c r="AA52" s="1669"/>
      <c r="AB52" s="1670" t="s">
        <v>389</v>
      </c>
      <c r="AC52" s="1670" t="s">
        <v>390</v>
      </c>
      <c r="AD52" s="1670" t="s">
        <v>391</v>
      </c>
      <c r="AE52" s="1671"/>
      <c r="AG52" s="87"/>
      <c r="AH52" s="87"/>
      <c r="AI52" s="87"/>
      <c r="AJ52" s="87"/>
      <c r="AK52" s="74"/>
    </row>
    <row r="53" spans="3:38">
      <c r="C53" s="75"/>
      <c r="D53" s="63">
        <v>4</v>
      </c>
      <c r="E53" s="248" t="s">
        <v>392</v>
      </c>
      <c r="F53" s="249"/>
      <c r="G53" s="249"/>
      <c r="H53" s="250"/>
      <c r="V53" s="67"/>
      <c r="W53" s="67"/>
      <c r="X53" s="87"/>
      <c r="Y53" s="1662">
        <v>1.848474719466402</v>
      </c>
      <c r="Z53" s="67"/>
      <c r="AA53" s="1672"/>
      <c r="AB53" s="236"/>
      <c r="AC53" s="236"/>
      <c r="AD53" s="236"/>
      <c r="AE53" s="1143"/>
      <c r="AG53" s="87"/>
      <c r="AH53" s="87"/>
      <c r="AI53" s="87"/>
      <c r="AJ53" s="87"/>
      <c r="AK53" s="74"/>
    </row>
    <row r="54" spans="3:38">
      <c r="C54" s="75"/>
      <c r="D54" s="63">
        <v>5</v>
      </c>
      <c r="E54" s="248" t="s">
        <v>393</v>
      </c>
      <c r="F54" s="249"/>
      <c r="G54" s="249"/>
      <c r="H54" s="250"/>
      <c r="V54" s="67"/>
      <c r="W54" s="67"/>
      <c r="X54" s="87"/>
      <c r="Y54" s="1663">
        <v>0.24137719202963451</v>
      </c>
      <c r="Z54" s="67"/>
      <c r="AA54" s="1673"/>
      <c r="AB54" s="1428">
        <f>+Y44-AB26</f>
        <v>-0.30419026638932678</v>
      </c>
      <c r="AC54" s="1681">
        <f>AB54-Y60</f>
        <v>0.48008626460758919</v>
      </c>
      <c r="AD54" s="1674">
        <f>+AC54/AB54</f>
        <v>-1.5782433485006282</v>
      </c>
      <c r="AE54" s="1675"/>
      <c r="AG54" s="87"/>
      <c r="AH54" s="87"/>
      <c r="AI54" s="87"/>
      <c r="AJ54" s="87"/>
      <c r="AK54" s="74"/>
    </row>
    <row r="55" spans="3:38">
      <c r="C55" s="75"/>
      <c r="D55" s="63">
        <v>6</v>
      </c>
      <c r="E55" s="248" t="s">
        <v>394</v>
      </c>
      <c r="F55" s="249"/>
      <c r="G55" s="249"/>
      <c r="H55" s="250"/>
      <c r="V55" s="67"/>
      <c r="W55" s="67"/>
      <c r="X55" s="87"/>
      <c r="Y55" s="1663">
        <v>2.0361977562801488</v>
      </c>
      <c r="Z55" s="67"/>
      <c r="AA55" s="1676"/>
      <c r="AB55" s="1677"/>
      <c r="AC55" s="323"/>
      <c r="AD55" s="323"/>
      <c r="AE55" s="1145"/>
      <c r="AG55" s="87"/>
      <c r="AH55" s="87"/>
      <c r="AI55" s="87"/>
      <c r="AJ55" s="87"/>
      <c r="AK55" s="74"/>
    </row>
    <row r="56" spans="3:38">
      <c r="C56" s="75"/>
      <c r="D56" s="63">
        <v>7</v>
      </c>
      <c r="E56" s="248" t="s">
        <v>395</v>
      </c>
      <c r="F56" s="249"/>
      <c r="G56" s="249"/>
      <c r="H56" s="250"/>
      <c r="V56" s="67"/>
      <c r="W56" s="67"/>
      <c r="X56" s="87"/>
      <c r="Y56" s="1663">
        <v>0.67253829516639418</v>
      </c>
      <c r="Z56" s="67"/>
      <c r="AA56" s="231" t="s">
        <v>345</v>
      </c>
      <c r="AG56" s="87"/>
      <c r="AH56" s="87"/>
      <c r="AI56" s="87"/>
      <c r="AJ56" s="87"/>
      <c r="AK56" s="74"/>
    </row>
    <row r="57" spans="3:38">
      <c r="C57" s="75"/>
      <c r="D57" s="63">
        <v>8</v>
      </c>
      <c r="E57" s="248" t="s">
        <v>396</v>
      </c>
      <c r="F57" s="249"/>
      <c r="G57" s="249"/>
      <c r="H57" s="250"/>
      <c r="V57" s="67"/>
      <c r="W57" s="67"/>
      <c r="X57" s="87"/>
      <c r="Y57" s="1663">
        <v>-14.787615023505328</v>
      </c>
      <c r="Z57" s="67"/>
      <c r="AA57" s="87"/>
      <c r="AB57" s="87"/>
      <c r="AC57" s="87"/>
      <c r="AD57" s="87"/>
      <c r="AE57" s="87"/>
      <c r="AF57" s="87"/>
      <c r="AG57" s="87"/>
      <c r="AH57" s="87"/>
      <c r="AI57" s="87"/>
      <c r="AJ57" s="87"/>
      <c r="AK57" s="74"/>
    </row>
    <row r="58" spans="3:38">
      <c r="C58" s="75"/>
      <c r="D58" s="63">
        <v>9</v>
      </c>
      <c r="E58" s="248"/>
      <c r="F58" s="249"/>
      <c r="G58" s="249"/>
      <c r="H58" s="250"/>
      <c r="V58" s="67"/>
      <c r="W58" s="67"/>
      <c r="X58" s="87"/>
      <c r="Y58" s="1663"/>
      <c r="Z58" s="67"/>
      <c r="AA58" s="87"/>
      <c r="AB58" s="87"/>
      <c r="AC58" s="87"/>
      <c r="AD58" s="87"/>
      <c r="AE58" s="87"/>
      <c r="AF58" s="87"/>
      <c r="AG58" s="87"/>
      <c r="AH58" s="87"/>
      <c r="AI58" s="87"/>
      <c r="AJ58" s="87"/>
      <c r="AK58" s="74"/>
    </row>
    <row r="59" spans="3:38">
      <c r="C59" s="75"/>
      <c r="D59" s="63">
        <v>10</v>
      </c>
      <c r="E59" s="248"/>
      <c r="F59" s="249"/>
      <c r="G59" s="249"/>
      <c r="H59" s="250"/>
      <c r="V59" s="67"/>
      <c r="W59" s="67"/>
      <c r="X59" s="87"/>
      <c r="Y59" s="1664"/>
      <c r="Z59" s="67"/>
      <c r="AA59" s="87"/>
      <c r="AB59" s="87"/>
      <c r="AC59" s="87"/>
      <c r="AD59" s="87"/>
      <c r="AE59" s="87"/>
      <c r="AF59" s="87"/>
      <c r="AG59" s="87"/>
      <c r="AH59" s="87"/>
      <c r="AI59" s="87"/>
      <c r="AJ59" s="87"/>
      <c r="AK59" s="74"/>
    </row>
    <row r="60" spans="3:38">
      <c r="C60" s="75"/>
      <c r="V60" s="67"/>
      <c r="W60" s="67"/>
      <c r="X60" s="87"/>
      <c r="Y60" s="77">
        <f>SUM(Y50:Y59)</f>
        <v>-0.78427653099691597</v>
      </c>
      <c r="Z60" s="67"/>
      <c r="AA60" s="87"/>
      <c r="AB60" s="87"/>
      <c r="AC60" s="87"/>
      <c r="AD60" s="87"/>
      <c r="AE60" s="87"/>
      <c r="AF60" s="87"/>
      <c r="AG60" s="87"/>
      <c r="AH60" s="87"/>
      <c r="AI60" s="87"/>
      <c r="AJ60" s="87"/>
      <c r="AK60" s="74"/>
    </row>
    <row r="61" spans="3:38">
      <c r="C61" s="75"/>
      <c r="V61" s="67"/>
      <c r="W61" s="67"/>
      <c r="X61" s="87"/>
      <c r="Y61" s="87"/>
      <c r="Z61" s="67"/>
      <c r="AA61" s="87"/>
      <c r="AB61" s="87"/>
      <c r="AC61" s="87"/>
      <c r="AD61" s="87"/>
      <c r="AE61" s="87"/>
      <c r="AF61" s="87"/>
      <c r="AG61" s="87"/>
      <c r="AH61" s="87"/>
      <c r="AI61" s="87"/>
      <c r="AJ61" s="87"/>
      <c r="AK61" s="74"/>
    </row>
    <row r="62" spans="3:38">
      <c r="C62" s="75"/>
      <c r="V62" s="67"/>
      <c r="W62" s="67"/>
      <c r="X62" s="87"/>
      <c r="Y62" s="87"/>
      <c r="Z62" s="67"/>
      <c r="AA62" s="87"/>
      <c r="AB62" s="87"/>
      <c r="AC62" s="87"/>
      <c r="AD62" s="87"/>
      <c r="AE62" s="87"/>
      <c r="AF62" s="87"/>
      <c r="AG62" s="87"/>
      <c r="AH62" s="87"/>
      <c r="AI62" s="87"/>
      <c r="AJ62" s="87"/>
      <c r="AK62" s="74"/>
    </row>
    <row r="63" spans="3:38">
      <c r="C63" s="75"/>
      <c r="D63" s="89" t="s">
        <v>349</v>
      </c>
      <c r="V63" s="67"/>
      <c r="Z63" s="1424">
        <f>+Y44*(1+$Z$13-$F$11)</f>
        <v>181.59250813672338</v>
      </c>
      <c r="AA63" s="95">
        <f>+Z63*(1+AA$13-AA$11)</f>
        <v>181.59250813672338</v>
      </c>
      <c r="AB63" s="96">
        <f t="shared" ref="AB63:AJ63" si="1">+AA63*(1+AB$13-AB$11)</f>
        <v>181.59250813672338</v>
      </c>
      <c r="AC63" s="96">
        <f t="shared" si="1"/>
        <v>181.59250813672338</v>
      </c>
      <c r="AD63" s="96">
        <f t="shared" si="1"/>
        <v>181.59250813672338</v>
      </c>
      <c r="AE63" s="97">
        <f t="shared" si="1"/>
        <v>181.59250813672338</v>
      </c>
      <c r="AF63" s="96">
        <f t="shared" si="1"/>
        <v>181.42026116013983</v>
      </c>
      <c r="AG63" s="96">
        <f t="shared" si="1"/>
        <v>181.24817756596255</v>
      </c>
      <c r="AH63" s="96">
        <f t="shared" si="1"/>
        <v>181.07625719921751</v>
      </c>
      <c r="AI63" s="96">
        <f t="shared" si="1"/>
        <v>180.90449990507767</v>
      </c>
      <c r="AJ63" s="97">
        <f t="shared" si="1"/>
        <v>180.73290552886283</v>
      </c>
      <c r="AK63" s="74"/>
      <c r="AL63" s="237"/>
    </row>
    <row r="64" spans="3:38">
      <c r="C64" s="81"/>
      <c r="D64" s="68"/>
      <c r="E64" s="68"/>
      <c r="F64" s="68"/>
      <c r="G64" s="68"/>
      <c r="H64" s="68"/>
      <c r="I64" s="68"/>
      <c r="J64" s="68"/>
      <c r="K64" s="68"/>
      <c r="L64" s="68"/>
      <c r="M64" s="68"/>
      <c r="N64" s="68"/>
      <c r="O64" s="68"/>
      <c r="P64" s="68"/>
      <c r="Q64" s="68"/>
      <c r="R64" s="68"/>
      <c r="S64" s="68"/>
      <c r="T64" s="68"/>
      <c r="U64" s="68"/>
      <c r="V64" s="68"/>
      <c r="W64" s="1114"/>
      <c r="X64" s="68"/>
      <c r="Y64" s="68"/>
      <c r="Z64" s="68"/>
      <c r="AA64" s="68"/>
      <c r="AB64" s="68"/>
      <c r="AC64" s="68"/>
      <c r="AD64" s="68"/>
      <c r="AE64" s="68"/>
      <c r="AF64" s="68"/>
      <c r="AG64" s="68"/>
      <c r="AH64" s="68"/>
      <c r="AI64" s="68"/>
      <c r="AJ64" s="68"/>
      <c r="AK64" s="83"/>
    </row>
    <row r="66" spans="3:49">
      <c r="C66" s="69"/>
      <c r="D66" s="70"/>
      <c r="E66" s="70"/>
      <c r="F66" s="70"/>
      <c r="G66" s="70"/>
      <c r="H66" s="72"/>
      <c r="I66" s="70"/>
      <c r="J66" s="70"/>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c r="AJ66" s="70"/>
      <c r="AK66" s="73"/>
    </row>
    <row r="67" spans="3:49">
      <c r="C67" s="230" t="s">
        <v>350</v>
      </c>
      <c r="H67" s="67"/>
      <c r="AK67" s="74"/>
    </row>
    <row r="68" spans="3:49">
      <c r="C68" s="75"/>
      <c r="H68" s="67"/>
      <c r="AK68" s="74"/>
    </row>
    <row r="69" spans="3:49">
      <c r="C69" s="75"/>
      <c r="H69" s="67"/>
      <c r="AK69" s="74"/>
    </row>
    <row r="70" spans="3:49">
      <c r="C70" s="75"/>
      <c r="D70" s="92" t="s">
        <v>349</v>
      </c>
      <c r="AA70" s="95">
        <f t="shared" ref="AA70:AJ70" si="2">+AA63</f>
        <v>181.59250813672338</v>
      </c>
      <c r="AB70" s="96">
        <f t="shared" si="2"/>
        <v>181.59250813672338</v>
      </c>
      <c r="AC70" s="96">
        <f t="shared" si="2"/>
        <v>181.59250813672338</v>
      </c>
      <c r="AD70" s="96">
        <f t="shared" si="2"/>
        <v>181.59250813672338</v>
      </c>
      <c r="AE70" s="97">
        <f t="shared" si="2"/>
        <v>181.59250813672338</v>
      </c>
      <c r="AF70" s="96">
        <f t="shared" si="2"/>
        <v>181.42026116013983</v>
      </c>
      <c r="AG70" s="96">
        <f t="shared" si="2"/>
        <v>181.24817756596255</v>
      </c>
      <c r="AH70" s="96">
        <f t="shared" si="2"/>
        <v>181.07625719921751</v>
      </c>
      <c r="AI70" s="96">
        <f t="shared" si="2"/>
        <v>180.90449990507767</v>
      </c>
      <c r="AJ70" s="97">
        <f t="shared" si="2"/>
        <v>180.73290552886283</v>
      </c>
      <c r="AK70" s="74"/>
      <c r="AL70" s="237"/>
      <c r="AM70" s="842"/>
      <c r="AN70" s="842"/>
      <c r="AO70" s="842"/>
      <c r="AP70" s="842"/>
      <c r="AQ70" s="842"/>
      <c r="AR70" s="842"/>
      <c r="AS70" s="842"/>
      <c r="AT70" s="842"/>
      <c r="AU70" s="842"/>
      <c r="AV70" s="842"/>
      <c r="AW70" s="842"/>
    </row>
    <row r="71" spans="3:49">
      <c r="C71" s="75"/>
      <c r="E71" s="93"/>
      <c r="H71" s="1751" t="s">
        <v>397</v>
      </c>
      <c r="AA71" s="116"/>
      <c r="AB71" s="116"/>
      <c r="AC71" s="116"/>
      <c r="AD71" s="116"/>
      <c r="AE71" s="529">
        <f>SUM(AA70:AE70)</f>
        <v>907.96254068361691</v>
      </c>
      <c r="AF71" s="116"/>
      <c r="AG71" s="116"/>
      <c r="AH71" s="116"/>
      <c r="AI71" s="116"/>
      <c r="AJ71" s="529">
        <f>SUM(AF70:AJ70)</f>
        <v>905.38210135926033</v>
      </c>
      <c r="AK71" s="74"/>
      <c r="AM71" s="842"/>
      <c r="AN71" s="842"/>
      <c r="AO71" s="842"/>
      <c r="AP71" s="842"/>
      <c r="AQ71" s="842"/>
      <c r="AR71" s="842"/>
      <c r="AS71" s="842"/>
      <c r="AT71" s="842"/>
      <c r="AU71" s="842"/>
      <c r="AV71" s="842"/>
    </row>
    <row r="72" spans="3:49" ht="10.5" customHeight="1">
      <c r="C72" s="75"/>
      <c r="D72" s="92" t="s">
        <v>398</v>
      </c>
      <c r="H72" s="1751" t="s">
        <v>399</v>
      </c>
      <c r="J72" s="321"/>
      <c r="K72" s="321"/>
      <c r="L72" s="321"/>
      <c r="M72" s="321"/>
      <c r="N72" s="321"/>
      <c r="O72" s="321"/>
      <c r="P72" s="321"/>
      <c r="Q72" s="321"/>
      <c r="R72" s="321"/>
      <c r="S72" s="321"/>
      <c r="T72" s="321"/>
      <c r="Y72" s="1520"/>
      <c r="Z72" s="1520"/>
      <c r="AA72" s="1520"/>
      <c r="AB72" s="1520"/>
      <c r="AC72" s="1520"/>
      <c r="AD72" s="1520"/>
      <c r="AE72" s="1520"/>
      <c r="AF72" s="1520"/>
      <c r="AJ72" s="116"/>
      <c r="AK72" s="74"/>
      <c r="AM72" s="842"/>
      <c r="AN72" s="842"/>
      <c r="AO72" s="842"/>
      <c r="AP72" s="842"/>
      <c r="AQ72" s="842"/>
      <c r="AR72" s="842"/>
      <c r="AS72" s="842"/>
      <c r="AT72" s="842"/>
      <c r="AU72" s="842"/>
      <c r="AV72" s="842"/>
    </row>
    <row r="73" spans="3:49">
      <c r="C73" s="75"/>
      <c r="S73" s="67"/>
      <c r="AA73" s="116"/>
      <c r="AB73" s="116"/>
      <c r="AC73" s="116"/>
      <c r="AD73" s="116"/>
      <c r="AE73" s="116"/>
      <c r="AF73" s="116"/>
      <c r="AG73" s="116"/>
      <c r="AH73" s="116"/>
      <c r="AI73" s="116"/>
      <c r="AJ73" s="116"/>
      <c r="AK73" s="74"/>
      <c r="AM73" s="842"/>
      <c r="AN73" s="842"/>
      <c r="AO73" s="842"/>
      <c r="AP73" s="842"/>
      <c r="AQ73" s="842"/>
      <c r="AR73" s="842"/>
      <c r="AS73" s="842"/>
      <c r="AT73" s="842"/>
      <c r="AU73" s="842"/>
      <c r="AV73" s="842"/>
    </row>
    <row r="74" spans="3:49">
      <c r="C74" s="75"/>
      <c r="D74" s="63">
        <v>1</v>
      </c>
      <c r="E74" s="248" t="s">
        <v>400</v>
      </c>
      <c r="F74" s="249"/>
      <c r="G74" s="249"/>
      <c r="H74" s="255" t="s">
        <v>420</v>
      </c>
      <c r="AA74" s="256">
        <v>1.765720580336862E-2</v>
      </c>
      <c r="AB74" s="257">
        <v>0.15617280224828975</v>
      </c>
      <c r="AC74" s="257">
        <v>0.2224523526973059</v>
      </c>
      <c r="AD74" s="257">
        <v>0.14913330751105761</v>
      </c>
      <c r="AE74" s="257">
        <v>6.1193773255173375E-2</v>
      </c>
      <c r="AF74" s="256">
        <v>6.1193773255173327E-2</v>
      </c>
      <c r="AG74" s="257">
        <v>6.1193773255173375E-2</v>
      </c>
      <c r="AH74" s="257">
        <v>6.1193773255173375E-2</v>
      </c>
      <c r="AI74" s="257">
        <v>6.1193773255173375E-2</v>
      </c>
      <c r="AJ74" s="258">
        <v>6.1193773255173327E-2</v>
      </c>
      <c r="AK74" s="74"/>
      <c r="AM74" s="842"/>
      <c r="AN74" s="842"/>
      <c r="AO74" s="842"/>
      <c r="AP74" s="842"/>
      <c r="AQ74" s="842"/>
      <c r="AR74" s="842"/>
      <c r="AS74" s="842"/>
      <c r="AT74" s="842"/>
      <c r="AU74" s="842"/>
      <c r="AV74" s="842"/>
    </row>
    <row r="75" spans="3:49">
      <c r="C75" s="75"/>
      <c r="D75" s="63">
        <v>2</v>
      </c>
      <c r="E75" s="248" t="s">
        <v>403</v>
      </c>
      <c r="F75" s="249"/>
      <c r="G75" s="249"/>
      <c r="H75" s="255" t="s">
        <v>420</v>
      </c>
      <c r="AA75" s="259">
        <v>0.13417798324974647</v>
      </c>
      <c r="AB75" s="260">
        <v>0.20998792657378462</v>
      </c>
      <c r="AC75" s="260">
        <v>0.26413788609095468</v>
      </c>
      <c r="AD75" s="260">
        <v>0.3724378051252949</v>
      </c>
      <c r="AE75" s="260">
        <v>0.45907774035276711</v>
      </c>
      <c r="AF75" s="259">
        <v>0.50159626040767014</v>
      </c>
      <c r="AG75" s="260">
        <v>0.50159626040767014</v>
      </c>
      <c r="AH75" s="260">
        <v>0.50159626040767014</v>
      </c>
      <c r="AI75" s="260">
        <v>0.50159626040767014</v>
      </c>
      <c r="AJ75" s="261">
        <v>0.50159626040767014</v>
      </c>
      <c r="AK75" s="74"/>
      <c r="AM75" s="842"/>
      <c r="AN75" s="842"/>
      <c r="AO75" s="842"/>
      <c r="AP75" s="842"/>
      <c r="AQ75" s="842"/>
      <c r="AR75" s="842"/>
      <c r="AS75" s="842"/>
      <c r="AT75" s="842"/>
      <c r="AU75" s="842"/>
      <c r="AV75" s="842"/>
    </row>
    <row r="76" spans="3:49">
      <c r="C76" s="75"/>
      <c r="D76" s="63">
        <v>3</v>
      </c>
      <c r="E76" s="248" t="s">
        <v>421</v>
      </c>
      <c r="F76" s="249"/>
      <c r="G76" s="249"/>
      <c r="H76" s="255" t="s">
        <v>420</v>
      </c>
      <c r="AA76" s="259">
        <v>0.19565569594412896</v>
      </c>
      <c r="AB76" s="260">
        <v>0.24853561376686653</v>
      </c>
      <c r="AC76" s="260">
        <v>0.3014155315896041</v>
      </c>
      <c r="AD76" s="260">
        <v>0.35429544941234165</v>
      </c>
      <c r="AE76" s="260">
        <v>0.35429544941234165</v>
      </c>
      <c r="AF76" s="259">
        <v>0.35429544941234165</v>
      </c>
      <c r="AG76" s="260">
        <v>0.35429544941234165</v>
      </c>
      <c r="AH76" s="260">
        <v>0.35429544941234165</v>
      </c>
      <c r="AI76" s="260">
        <v>0.35429544941234165</v>
      </c>
      <c r="AJ76" s="261">
        <v>0.35429544941234165</v>
      </c>
      <c r="AK76" s="74"/>
      <c r="AM76" s="842"/>
      <c r="AN76" s="842"/>
      <c r="AO76" s="842"/>
      <c r="AP76" s="842"/>
      <c r="AQ76" s="842"/>
      <c r="AR76" s="842"/>
      <c r="AS76" s="842"/>
      <c r="AT76" s="842"/>
      <c r="AU76" s="842"/>
      <c r="AV76" s="842"/>
    </row>
    <row r="77" spans="3:49">
      <c r="C77" s="75"/>
      <c r="D77" s="63">
        <v>4</v>
      </c>
      <c r="E77" s="248" t="s">
        <v>422</v>
      </c>
      <c r="F77" s="249"/>
      <c r="G77" s="249"/>
      <c r="H77" s="255" t="s">
        <v>420</v>
      </c>
      <c r="AA77" s="259">
        <v>5.2465726887447275</v>
      </c>
      <c r="AB77" s="260">
        <v>5.939300419479431</v>
      </c>
      <c r="AC77" s="260">
        <v>6.6970872479681374</v>
      </c>
      <c r="AD77" s="260">
        <v>6.7888092573666503</v>
      </c>
      <c r="AE77" s="260">
        <v>6.9884527940309917</v>
      </c>
      <c r="AF77" s="259">
        <v>6.9963395952727314</v>
      </c>
      <c r="AG77" s="260">
        <v>6.9954820369562958</v>
      </c>
      <c r="AH77" s="260">
        <v>7.0038540551137656</v>
      </c>
      <c r="AI77" s="260">
        <v>6.9879296705530667</v>
      </c>
      <c r="AJ77" s="261">
        <v>6.9833775161380407</v>
      </c>
      <c r="AK77" s="74"/>
      <c r="AM77" s="842"/>
      <c r="AN77" s="842"/>
      <c r="AO77" s="842"/>
      <c r="AP77" s="842"/>
      <c r="AQ77" s="842"/>
      <c r="AR77" s="842"/>
      <c r="AS77" s="842"/>
      <c r="AT77" s="842"/>
      <c r="AU77" s="842"/>
      <c r="AV77" s="842"/>
    </row>
    <row r="78" spans="3:49">
      <c r="C78" s="75"/>
      <c r="D78" s="63">
        <v>5</v>
      </c>
      <c r="E78" s="248" t="s">
        <v>409</v>
      </c>
      <c r="F78" s="249"/>
      <c r="G78" s="249"/>
      <c r="H78" s="255" t="s">
        <v>420</v>
      </c>
      <c r="Z78" s="1419"/>
      <c r="AA78" s="259">
        <v>7.6407719689501746E-2</v>
      </c>
      <c r="AB78" s="260">
        <v>5.8565425152909273E-2</v>
      </c>
      <c r="AC78" s="260">
        <v>4.9773428322667068E-2</v>
      </c>
      <c r="AD78" s="260">
        <v>0.1382350245539582</v>
      </c>
      <c r="AE78" s="260">
        <v>0.12432791918704583</v>
      </c>
      <c r="AF78" s="259">
        <v>0.12432791918704586</v>
      </c>
      <c r="AG78" s="260">
        <v>0.1243279191870458</v>
      </c>
      <c r="AH78" s="260">
        <v>0.12432791918704586</v>
      </c>
      <c r="AI78" s="260">
        <v>0.12432791918704586</v>
      </c>
      <c r="AJ78" s="261">
        <v>0.1243279191870458</v>
      </c>
      <c r="AK78" s="74"/>
      <c r="AM78" s="842"/>
      <c r="AN78" s="842"/>
      <c r="AO78" s="842"/>
      <c r="AP78" s="842"/>
      <c r="AQ78" s="842"/>
      <c r="AR78" s="842"/>
      <c r="AS78" s="842"/>
      <c r="AT78" s="842"/>
      <c r="AU78" s="842"/>
      <c r="AV78" s="842"/>
    </row>
    <row r="79" spans="3:49">
      <c r="C79" s="75"/>
      <c r="D79" s="63">
        <v>6</v>
      </c>
      <c r="E79" s="248" t="s">
        <v>410</v>
      </c>
      <c r="F79" s="249"/>
      <c r="G79" s="249"/>
      <c r="H79" s="255" t="s">
        <v>420</v>
      </c>
      <c r="Z79" s="1419"/>
      <c r="AA79" s="259">
        <v>1.3157330468860668</v>
      </c>
      <c r="AB79" s="260">
        <v>2.3695563307165943</v>
      </c>
      <c r="AC79" s="260">
        <v>2.6783729460817369</v>
      </c>
      <c r="AD79" s="260">
        <v>1.4533874352856142</v>
      </c>
      <c r="AE79" s="260">
        <v>1.3337026550615652</v>
      </c>
      <c r="AF79" s="259">
        <v>1.3687033901548054</v>
      </c>
      <c r="AG79" s="260">
        <v>1.3687033901548054</v>
      </c>
      <c r="AH79" s="260">
        <v>1.3687033901548054</v>
      </c>
      <c r="AI79" s="260">
        <v>1.3687033901548054</v>
      </c>
      <c r="AJ79" s="261">
        <v>1.3687033901548054</v>
      </c>
      <c r="AK79" s="74"/>
      <c r="AM79" s="842"/>
      <c r="AN79" s="842"/>
      <c r="AO79" s="842"/>
      <c r="AP79" s="842"/>
      <c r="AQ79" s="842"/>
      <c r="AR79" s="842"/>
      <c r="AS79" s="842"/>
      <c r="AT79" s="842"/>
      <c r="AU79" s="842"/>
      <c r="AV79" s="842"/>
    </row>
    <row r="80" spans="3:49">
      <c r="C80" s="75"/>
      <c r="D80" s="63">
        <v>7</v>
      </c>
      <c r="E80" s="248" t="s">
        <v>423</v>
      </c>
      <c r="F80" s="249"/>
      <c r="G80" s="249"/>
      <c r="H80" s="255" t="s">
        <v>420</v>
      </c>
      <c r="AA80" s="259">
        <v>5.34644151293278E-2</v>
      </c>
      <c r="AB80" s="260">
        <v>5.093214103989379E-2</v>
      </c>
      <c r="AC80" s="260">
        <v>4.7497528027346123E-2</v>
      </c>
      <c r="AD80" s="260">
        <v>5.3079868702281673E-2</v>
      </c>
      <c r="AE80" s="260">
        <v>5.4798736809451076E-2</v>
      </c>
      <c r="AF80" s="259">
        <v>5.4841757872252414E-2</v>
      </c>
      <c r="AG80" s="260">
        <v>5.4884738128039894E-2</v>
      </c>
      <c r="AH80" s="260">
        <v>5.4927677615520414E-2</v>
      </c>
      <c r="AI80" s="260">
        <v>5.497057637336418E-2</v>
      </c>
      <c r="AJ80" s="261">
        <v>5.5013434440204699E-2</v>
      </c>
      <c r="AK80" s="74"/>
      <c r="AM80" s="842"/>
      <c r="AN80" s="842"/>
      <c r="AO80" s="842"/>
      <c r="AP80" s="842"/>
      <c r="AQ80" s="842"/>
      <c r="AR80" s="842"/>
      <c r="AS80" s="842"/>
      <c r="AT80" s="842"/>
      <c r="AU80" s="842"/>
      <c r="AV80" s="842"/>
    </row>
    <row r="81" spans="2:48">
      <c r="C81" s="75"/>
      <c r="D81" s="63">
        <v>8</v>
      </c>
      <c r="E81" s="248" t="s">
        <v>424</v>
      </c>
      <c r="F81" s="249"/>
      <c r="G81" s="249"/>
      <c r="H81" s="255" t="s">
        <v>420</v>
      </c>
      <c r="AA81" s="259">
        <v>2.8129811116157217E-2</v>
      </c>
      <c r="AB81" s="260">
        <v>-5.3791586263755423E-2</v>
      </c>
      <c r="AC81" s="260">
        <v>-5.3791586263755423E-2</v>
      </c>
      <c r="AD81" s="260">
        <v>1.620376046113536E-2</v>
      </c>
      <c r="AE81" s="260">
        <v>-8.6197986263755424E-2</v>
      </c>
      <c r="AF81" s="259">
        <v>-4.078814773990685E-3</v>
      </c>
      <c r="AG81" s="260">
        <v>-8.580262563985476E-2</v>
      </c>
      <c r="AH81" s="260">
        <v>-8.5605226543668311E-2</v>
      </c>
      <c r="AI81" s="260">
        <v>1.6993732037319277E-2</v>
      </c>
      <c r="AJ81" s="261">
        <v>-8.5210989893960393E-2</v>
      </c>
      <c r="AK81" s="74"/>
      <c r="AM81" s="842"/>
      <c r="AN81" s="842"/>
      <c r="AO81" s="842"/>
      <c r="AP81" s="842"/>
      <c r="AQ81" s="842"/>
      <c r="AR81" s="842"/>
      <c r="AS81" s="842"/>
      <c r="AT81" s="842"/>
      <c r="AU81" s="842"/>
      <c r="AV81" s="842"/>
    </row>
    <row r="82" spans="2:48">
      <c r="C82" s="75"/>
      <c r="D82" s="63">
        <v>9</v>
      </c>
      <c r="E82" s="248" t="s">
        <v>425</v>
      </c>
      <c r="F82" s="249"/>
      <c r="G82" s="249"/>
      <c r="H82" s="255" t="s">
        <v>420</v>
      </c>
      <c r="AA82" s="259">
        <v>0.12191877828054298</v>
      </c>
      <c r="AB82" s="260">
        <v>0.12191877828054298</v>
      </c>
      <c r="AC82" s="260">
        <v>0.12191877828054298</v>
      </c>
      <c r="AD82" s="260">
        <v>0.12191877828054298</v>
      </c>
      <c r="AE82" s="260">
        <v>0.12191877828054298</v>
      </c>
      <c r="AF82" s="259">
        <v>0.12191877828054298</v>
      </c>
      <c r="AG82" s="260">
        <v>0.12191877828054298</v>
      </c>
      <c r="AH82" s="260">
        <v>0.12191877828054298</v>
      </c>
      <c r="AI82" s="260">
        <v>0.12191877828054298</v>
      </c>
      <c r="AJ82" s="261">
        <v>0.12191877828054298</v>
      </c>
      <c r="AK82" s="74"/>
      <c r="AM82" s="842"/>
      <c r="AN82" s="842"/>
      <c r="AO82" s="842"/>
      <c r="AP82" s="842"/>
      <c r="AQ82" s="842"/>
      <c r="AR82" s="842"/>
      <c r="AS82" s="842"/>
      <c r="AT82" s="842"/>
      <c r="AU82" s="842"/>
      <c r="AV82" s="842"/>
    </row>
    <row r="83" spans="2:48">
      <c r="C83" s="75"/>
      <c r="D83" s="63">
        <v>10</v>
      </c>
      <c r="E83" s="248" t="s">
        <v>426</v>
      </c>
      <c r="F83" s="249"/>
      <c r="G83" s="249"/>
      <c r="H83" s="255" t="s">
        <v>427</v>
      </c>
      <c r="V83" s="94"/>
      <c r="AA83" s="259">
        <v>6.1952419834996109E-2</v>
      </c>
      <c r="AB83" s="260">
        <v>5.9965627233729932E-2</v>
      </c>
      <c r="AC83" s="260">
        <v>5.8029521934540709E-2</v>
      </c>
      <c r="AD83" s="260">
        <v>5.6217617115165805E-2</v>
      </c>
      <c r="AE83" s="260">
        <v>5.4449908539946891E-2</v>
      </c>
      <c r="AF83" s="259">
        <v>5.5660673616863089E-2</v>
      </c>
      <c r="AG83" s="260">
        <v>5.6870290239881258E-2</v>
      </c>
      <c r="AH83" s="260">
        <v>5.8078759498350556E-2</v>
      </c>
      <c r="AI83" s="260">
        <v>5.9286082480587532E-2</v>
      </c>
      <c r="AJ83" s="261">
        <v>6.04922602738759E-2</v>
      </c>
      <c r="AK83" s="74"/>
      <c r="AM83" s="842"/>
      <c r="AN83" s="842"/>
      <c r="AO83" s="842"/>
      <c r="AP83" s="842"/>
      <c r="AQ83" s="842"/>
      <c r="AR83" s="842"/>
      <c r="AS83" s="842"/>
      <c r="AT83" s="842"/>
      <c r="AU83" s="842"/>
      <c r="AV83" s="842"/>
    </row>
    <row r="84" spans="2:48">
      <c r="C84" s="75"/>
      <c r="D84" s="63">
        <v>11</v>
      </c>
      <c r="E84" s="248"/>
      <c r="F84" s="249"/>
      <c r="G84" s="249"/>
      <c r="H84" s="255" t="s">
        <v>428</v>
      </c>
      <c r="AA84" s="259"/>
      <c r="AB84" s="260"/>
      <c r="AC84" s="260"/>
      <c r="AD84" s="260"/>
      <c r="AE84" s="260"/>
      <c r="AF84" s="259"/>
      <c r="AG84" s="260"/>
      <c r="AH84" s="260"/>
      <c r="AI84" s="260"/>
      <c r="AJ84" s="261"/>
      <c r="AK84" s="74"/>
      <c r="AM84" s="842"/>
      <c r="AN84" s="842"/>
      <c r="AO84" s="842"/>
      <c r="AP84" s="842"/>
      <c r="AQ84" s="842"/>
      <c r="AR84" s="842"/>
      <c r="AS84" s="842"/>
      <c r="AT84" s="842"/>
      <c r="AU84" s="842"/>
      <c r="AV84" s="842"/>
    </row>
    <row r="85" spans="2:48">
      <c r="C85" s="75"/>
      <c r="D85" s="63">
        <v>12</v>
      </c>
      <c r="E85" s="248"/>
      <c r="F85" s="249"/>
      <c r="G85" s="249"/>
      <c r="H85" s="255" t="s">
        <v>428</v>
      </c>
      <c r="AA85" s="259"/>
      <c r="AB85" s="260"/>
      <c r="AC85" s="260"/>
      <c r="AD85" s="260"/>
      <c r="AE85" s="260"/>
      <c r="AF85" s="259"/>
      <c r="AG85" s="260"/>
      <c r="AH85" s="260"/>
      <c r="AI85" s="260"/>
      <c r="AJ85" s="261"/>
      <c r="AK85" s="74"/>
      <c r="AM85" s="842"/>
      <c r="AN85" s="842"/>
      <c r="AO85" s="842"/>
      <c r="AP85" s="842"/>
      <c r="AQ85" s="842"/>
      <c r="AR85" s="842"/>
      <c r="AS85" s="842"/>
      <c r="AT85" s="842"/>
      <c r="AU85" s="842"/>
      <c r="AV85" s="842"/>
    </row>
    <row r="86" spans="2:48">
      <c r="C86" s="75"/>
      <c r="D86" s="63">
        <v>13</v>
      </c>
      <c r="E86" s="248"/>
      <c r="F86" s="249"/>
      <c r="G86" s="249"/>
      <c r="H86" s="255" t="s">
        <v>428</v>
      </c>
      <c r="AA86" s="259"/>
      <c r="AB86" s="260"/>
      <c r="AC86" s="260"/>
      <c r="AD86" s="260"/>
      <c r="AE86" s="260"/>
      <c r="AF86" s="259"/>
      <c r="AG86" s="260"/>
      <c r="AH86" s="260"/>
      <c r="AI86" s="260"/>
      <c r="AJ86" s="261"/>
      <c r="AK86" s="74"/>
      <c r="AM86" s="842"/>
      <c r="AN86" s="842"/>
      <c r="AO86" s="842"/>
      <c r="AP86" s="842"/>
      <c r="AQ86" s="842"/>
      <c r="AR86" s="842"/>
      <c r="AS86" s="842"/>
      <c r="AT86" s="842"/>
      <c r="AU86" s="842"/>
      <c r="AV86" s="842"/>
    </row>
    <row r="87" spans="2:48">
      <c r="C87" s="75"/>
      <c r="D87" s="63">
        <v>14</v>
      </c>
      <c r="E87" s="248"/>
      <c r="F87" s="249"/>
      <c r="G87" s="249"/>
      <c r="H87" s="255" t="s">
        <v>428</v>
      </c>
      <c r="AA87" s="259"/>
      <c r="AB87" s="260"/>
      <c r="AC87" s="260"/>
      <c r="AD87" s="260"/>
      <c r="AE87" s="260"/>
      <c r="AF87" s="259"/>
      <c r="AG87" s="260"/>
      <c r="AH87" s="260"/>
      <c r="AI87" s="260"/>
      <c r="AJ87" s="261"/>
      <c r="AK87" s="74"/>
      <c r="AM87" s="842"/>
      <c r="AN87" s="842"/>
      <c r="AO87" s="842"/>
      <c r="AP87" s="842"/>
      <c r="AQ87" s="842"/>
      <c r="AR87" s="842"/>
      <c r="AS87" s="842"/>
      <c r="AT87" s="842"/>
      <c r="AU87" s="842"/>
      <c r="AV87" s="842"/>
    </row>
    <row r="88" spans="2:48">
      <c r="C88" s="75"/>
      <c r="D88" s="63">
        <v>15</v>
      </c>
      <c r="E88" s="248"/>
      <c r="F88" s="249"/>
      <c r="G88" s="249"/>
      <c r="H88" s="255" t="s">
        <v>428</v>
      </c>
      <c r="AA88" s="822"/>
      <c r="AB88" s="823"/>
      <c r="AC88" s="823"/>
      <c r="AD88" s="823"/>
      <c r="AE88" s="823"/>
      <c r="AF88" s="822"/>
      <c r="AG88" s="823"/>
      <c r="AH88" s="823"/>
      <c r="AI88" s="823"/>
      <c r="AJ88" s="824"/>
      <c r="AK88" s="74"/>
      <c r="AM88" s="842"/>
      <c r="AN88" s="842"/>
      <c r="AO88" s="842"/>
      <c r="AP88" s="842"/>
      <c r="AQ88" s="842"/>
      <c r="AR88" s="842"/>
      <c r="AS88" s="842"/>
      <c r="AT88" s="842"/>
      <c r="AU88" s="842"/>
      <c r="AV88" s="842"/>
    </row>
    <row r="89" spans="2:48">
      <c r="B89" s="67"/>
      <c r="C89" s="138"/>
      <c r="E89" s="4"/>
      <c r="F89" s="4"/>
      <c r="G89" s="4"/>
      <c r="H89" s="4"/>
      <c r="AA89" s="659"/>
      <c r="AB89" s="659"/>
      <c r="AC89" s="659"/>
      <c r="AD89" s="659"/>
      <c r="AE89" s="659"/>
      <c r="AF89" s="659"/>
      <c r="AG89" s="659"/>
      <c r="AH89" s="659"/>
      <c r="AI89" s="659"/>
      <c r="AJ89" s="659"/>
      <c r="AK89" s="74"/>
      <c r="AM89" s="842"/>
      <c r="AN89" s="842"/>
      <c r="AO89" s="842"/>
      <c r="AP89" s="842"/>
      <c r="AQ89" s="842"/>
      <c r="AR89" s="842"/>
      <c r="AS89" s="842"/>
      <c r="AT89" s="842"/>
      <c r="AU89" s="842"/>
      <c r="AV89" s="842"/>
    </row>
    <row r="90" spans="2:48">
      <c r="C90" s="75"/>
      <c r="D90" s="92" t="s">
        <v>412</v>
      </c>
      <c r="Z90" s="1479"/>
      <c r="AA90" s="1502">
        <f t="shared" ref="AA90:AJ90" si="3">SUM(AA74:AA89)</f>
        <v>7.2516697646785646</v>
      </c>
      <c r="AB90" s="1503">
        <f t="shared" si="3"/>
        <v>9.1611434782282863</v>
      </c>
      <c r="AC90" s="1503">
        <f t="shared" si="3"/>
        <v>10.386893634729081</v>
      </c>
      <c r="AD90" s="1503">
        <f t="shared" si="3"/>
        <v>9.5037183038140434</v>
      </c>
      <c r="AE90" s="1504">
        <f t="shared" si="3"/>
        <v>9.4660197686660705</v>
      </c>
      <c r="AF90" s="96">
        <f t="shared" si="3"/>
        <v>9.6347987826854364</v>
      </c>
      <c r="AG90" s="96">
        <f t="shared" si="3"/>
        <v>9.5534700103819414</v>
      </c>
      <c r="AH90" s="96">
        <f t="shared" si="3"/>
        <v>9.5632908363815474</v>
      </c>
      <c r="AI90" s="96">
        <f t="shared" si="3"/>
        <v>9.651215632141918</v>
      </c>
      <c r="AJ90" s="97">
        <f t="shared" si="3"/>
        <v>9.5457077916557402</v>
      </c>
      <c r="AK90" s="74"/>
      <c r="AM90" s="842"/>
      <c r="AN90" s="842"/>
      <c r="AO90" s="842"/>
      <c r="AP90" s="842"/>
      <c r="AQ90" s="842"/>
      <c r="AR90" s="842"/>
      <c r="AS90" s="842"/>
      <c r="AT90" s="842"/>
      <c r="AU90" s="842"/>
      <c r="AV90" s="842"/>
    </row>
    <row r="91" spans="2:48">
      <c r="C91" s="75"/>
      <c r="AA91" s="116"/>
      <c r="AB91" s="116"/>
      <c r="AC91" s="116"/>
      <c r="AD91" s="116"/>
      <c r="AE91" s="529">
        <f>SUM(AA90:AE90)</f>
        <v>45.769444950116046</v>
      </c>
      <c r="AF91" s="116"/>
      <c r="AG91" s="116"/>
      <c r="AH91" s="116"/>
      <c r="AI91" s="116"/>
      <c r="AJ91" s="529">
        <f>SUM(AF90:AJ90)</f>
        <v>47.948483053246591</v>
      </c>
      <c r="AK91" s="74"/>
      <c r="AM91" s="842"/>
      <c r="AN91" s="842"/>
      <c r="AO91" s="842"/>
      <c r="AP91" s="842"/>
      <c r="AQ91" s="842"/>
      <c r="AR91" s="842"/>
      <c r="AS91" s="842"/>
      <c r="AT91" s="842"/>
      <c r="AU91" s="842"/>
      <c r="AV91" s="842"/>
    </row>
    <row r="92" spans="2:48">
      <c r="C92" s="75"/>
      <c r="AA92" s="116"/>
      <c r="AB92" s="116"/>
      <c r="AC92" s="116"/>
      <c r="AD92" s="116"/>
      <c r="AE92" s="116"/>
      <c r="AF92" s="116"/>
      <c r="AG92" s="116"/>
      <c r="AH92" s="116"/>
      <c r="AI92" s="116"/>
      <c r="AJ92" s="116"/>
      <c r="AK92" s="74"/>
      <c r="AM92" s="842"/>
      <c r="AN92" s="842"/>
      <c r="AO92" s="842"/>
      <c r="AP92" s="842"/>
      <c r="AQ92" s="842"/>
      <c r="AR92" s="842"/>
      <c r="AS92" s="842"/>
      <c r="AT92" s="842"/>
      <c r="AU92" s="842"/>
      <c r="AV92" s="842"/>
    </row>
    <row r="93" spans="2:48">
      <c r="C93" s="75"/>
      <c r="D93" s="92" t="s">
        <v>352</v>
      </c>
      <c r="E93" s="67"/>
      <c r="F93" s="67"/>
      <c r="G93" s="67"/>
      <c r="H93" s="67"/>
      <c r="I93" s="67"/>
      <c r="J93" s="67"/>
      <c r="K93" s="67"/>
      <c r="L93" s="67"/>
      <c r="M93" s="67"/>
      <c r="N93" s="67"/>
      <c r="O93" s="67"/>
      <c r="P93" s="67"/>
      <c r="Q93" s="67"/>
      <c r="R93" s="67"/>
      <c r="S93" s="67"/>
      <c r="T93" s="67"/>
      <c r="U93" s="67"/>
      <c r="V93" s="67"/>
      <c r="AA93" s="95">
        <f t="shared" ref="AA93:AJ93" si="4">+AA90+AA70</f>
        <v>188.84417790140193</v>
      </c>
      <c r="AB93" s="96">
        <f t="shared" si="4"/>
        <v>190.75365161495168</v>
      </c>
      <c r="AC93" s="96">
        <f t="shared" si="4"/>
        <v>191.97940177145247</v>
      </c>
      <c r="AD93" s="96">
        <f t="shared" si="4"/>
        <v>191.09622644053744</v>
      </c>
      <c r="AE93" s="97">
        <f t="shared" si="4"/>
        <v>191.05852790538944</v>
      </c>
      <c r="AF93" s="96">
        <f t="shared" si="4"/>
        <v>191.05505994282527</v>
      </c>
      <c r="AG93" s="96">
        <f t="shared" si="4"/>
        <v>190.80164757634449</v>
      </c>
      <c r="AH93" s="96">
        <f t="shared" si="4"/>
        <v>190.63954803559906</v>
      </c>
      <c r="AI93" s="96">
        <f t="shared" si="4"/>
        <v>190.55571553721958</v>
      </c>
      <c r="AJ93" s="97">
        <f t="shared" si="4"/>
        <v>190.27861332051856</v>
      </c>
      <c r="AK93" s="74"/>
      <c r="AM93" s="842"/>
      <c r="AN93" s="842"/>
      <c r="AO93" s="842"/>
      <c r="AP93" s="842"/>
      <c r="AQ93" s="842"/>
      <c r="AR93" s="842"/>
      <c r="AS93" s="842"/>
      <c r="AT93" s="842"/>
      <c r="AU93" s="842"/>
      <c r="AV93" s="842"/>
    </row>
    <row r="94" spans="2:48">
      <c r="C94" s="75"/>
      <c r="D94" s="92"/>
      <c r="E94" s="67"/>
      <c r="F94" s="67"/>
      <c r="G94" s="67"/>
      <c r="H94" s="67"/>
      <c r="I94" s="67"/>
      <c r="J94" s="67"/>
      <c r="K94" s="67"/>
      <c r="L94" s="67"/>
      <c r="M94" s="67"/>
      <c r="N94" s="67"/>
      <c r="O94" s="67"/>
      <c r="P94" s="67"/>
      <c r="Q94" s="67"/>
      <c r="R94" s="67"/>
      <c r="S94" s="67"/>
      <c r="T94" s="67"/>
      <c r="U94" s="67"/>
      <c r="V94" s="67"/>
      <c r="W94" s="1006"/>
      <c r="AA94" s="1008"/>
      <c r="AB94" s="98"/>
      <c r="AC94" s="98"/>
      <c r="AD94" s="98"/>
      <c r="AE94" s="529">
        <f>SUM(AA93:AE93)</f>
        <v>953.73198563373285</v>
      </c>
      <c r="AF94" s="116"/>
      <c r="AG94" s="116"/>
      <c r="AH94" s="116"/>
      <c r="AI94" s="116"/>
      <c r="AJ94" s="529">
        <f>SUM(AF93:AJ93)</f>
        <v>953.33058441250705</v>
      </c>
      <c r="AK94" s="74"/>
      <c r="AM94" s="842"/>
      <c r="AN94" s="842"/>
      <c r="AO94" s="842"/>
      <c r="AP94" s="842"/>
      <c r="AQ94" s="842"/>
      <c r="AR94" s="842"/>
      <c r="AS94" s="842"/>
      <c r="AT94" s="842"/>
      <c r="AU94" s="842"/>
      <c r="AV94" s="842"/>
    </row>
    <row r="95" spans="2:48">
      <c r="C95" s="75"/>
      <c r="D95" s="92" t="s">
        <v>353</v>
      </c>
      <c r="E95" s="67"/>
      <c r="F95" s="67"/>
      <c r="G95" s="67"/>
      <c r="H95" s="67"/>
      <c r="I95" s="67"/>
      <c r="J95" s="67"/>
      <c r="K95" s="67"/>
      <c r="L95" s="67"/>
      <c r="M95" s="67"/>
      <c r="N95" s="67"/>
      <c r="O95" s="67"/>
      <c r="P95" s="67"/>
      <c r="Q95" s="67"/>
      <c r="R95" s="67"/>
      <c r="S95" s="67"/>
      <c r="T95" s="67"/>
      <c r="U95" s="67"/>
      <c r="V95" s="67"/>
      <c r="AA95" s="111"/>
      <c r="AB95" s="111"/>
      <c r="AC95" s="111"/>
      <c r="AD95" s="111"/>
      <c r="AE95" s="111"/>
      <c r="AF95" s="111"/>
      <c r="AG95" s="111"/>
      <c r="AH95" s="111"/>
      <c r="AI95" s="111"/>
      <c r="AJ95" s="111"/>
      <c r="AK95" s="74"/>
      <c r="AM95" s="842"/>
      <c r="AN95" s="842"/>
      <c r="AO95" s="842"/>
      <c r="AP95" s="842"/>
      <c r="AQ95" s="842"/>
      <c r="AR95" s="842"/>
      <c r="AS95" s="842"/>
      <c r="AT95" s="842"/>
      <c r="AU95" s="842"/>
      <c r="AV95" s="842"/>
    </row>
    <row r="96" spans="2:48">
      <c r="C96" s="75"/>
      <c r="D96" s="99" t="str">
        <f>Opex_Breakdown!E31</f>
        <v>Licence fees</v>
      </c>
      <c r="E96" s="103"/>
      <c r="F96" s="67"/>
      <c r="G96" s="67"/>
      <c r="H96" s="67"/>
      <c r="I96" s="67"/>
      <c r="J96" s="67"/>
      <c r="K96" s="67"/>
      <c r="L96" s="67"/>
      <c r="M96" s="67"/>
      <c r="N96" s="67"/>
      <c r="O96" s="67"/>
      <c r="P96" s="67"/>
      <c r="Q96" s="67"/>
      <c r="R96" s="67"/>
      <c r="S96" s="67"/>
      <c r="T96" s="67"/>
      <c r="U96" s="67"/>
      <c r="V96" s="67"/>
      <c r="AA96" s="100">
        <f>Opex_Breakdown!AA76</f>
        <v>0.24882404144567552</v>
      </c>
      <c r="AB96" s="101">
        <f>Opex_Breakdown!AB76</f>
        <v>0.24882404144567552</v>
      </c>
      <c r="AC96" s="101">
        <f>Opex_Breakdown!AC76</f>
        <v>0.24882404144567552</v>
      </c>
      <c r="AD96" s="101">
        <f>Opex_Breakdown!AD76</f>
        <v>0.24882404144567552</v>
      </c>
      <c r="AE96" s="102">
        <f>Opex_Breakdown!AE76</f>
        <v>0.24882404144567552</v>
      </c>
      <c r="AF96" s="101">
        <f>Opex_Breakdown!AF76</f>
        <v>0.24882404144567552</v>
      </c>
      <c r="AG96" s="101">
        <f>Opex_Breakdown!AG76</f>
        <v>0.24882404144567552</v>
      </c>
      <c r="AH96" s="101">
        <f>Opex_Breakdown!AH76</f>
        <v>0.24882404144567552</v>
      </c>
      <c r="AI96" s="101">
        <f>Opex_Breakdown!AI76</f>
        <v>0.24882404144567552</v>
      </c>
      <c r="AJ96" s="102">
        <f>Opex_Breakdown!AJ76</f>
        <v>0.24882404144567552</v>
      </c>
      <c r="AK96" s="74"/>
      <c r="AM96" s="842"/>
      <c r="AN96" s="842"/>
      <c r="AO96" s="842"/>
      <c r="AP96" s="842"/>
      <c r="AQ96" s="842"/>
      <c r="AR96" s="842"/>
      <c r="AS96" s="842"/>
      <c r="AT96" s="842"/>
      <c r="AU96" s="842"/>
      <c r="AV96" s="842"/>
    </row>
    <row r="97" spans="3:48">
      <c r="C97" s="75"/>
      <c r="D97" s="99" t="str">
        <f>Opex_Breakdown!E32</f>
        <v>Environment Contribution (W&amp;D)</v>
      </c>
      <c r="E97" s="103"/>
      <c r="F97" s="67"/>
      <c r="G97" s="67"/>
      <c r="H97" s="67"/>
      <c r="I97" s="67"/>
      <c r="J97" s="67"/>
      <c r="K97" s="67"/>
      <c r="L97" s="67"/>
      <c r="M97" s="67"/>
      <c r="N97" s="67"/>
      <c r="O97" s="67"/>
      <c r="P97" s="67"/>
      <c r="Q97" s="67"/>
      <c r="R97" s="67"/>
      <c r="S97" s="67"/>
      <c r="T97" s="67"/>
      <c r="U97" s="67"/>
      <c r="V97" s="67"/>
      <c r="AA97" s="104">
        <f>Opex_Breakdown!AA32</f>
        <v>3.4786437220602547E-2</v>
      </c>
      <c r="AB97" s="105">
        <f>Opex_Breakdown!AB32</f>
        <v>3.3806061438875171E-2</v>
      </c>
      <c r="AC97" s="105">
        <f>Opex_Breakdown!AC32</f>
        <v>3.2853315295311152E-2</v>
      </c>
      <c r="AD97" s="105">
        <f>Opex_Breakdown!AD32</f>
        <v>3.1927420112061372E-2</v>
      </c>
      <c r="AE97" s="106">
        <f>Opex_Breakdown!AE32</f>
        <v>3.1027619156522229E-2</v>
      </c>
      <c r="AF97" s="105">
        <f>Opex_Breakdown!AF32</f>
        <v>3.0153177022859311E-2</v>
      </c>
      <c r="AG97" s="105">
        <f>Opex_Breakdown!AG32</f>
        <v>2.9303379030961432E-2</v>
      </c>
      <c r="AH97" s="105">
        <f>Opex_Breakdown!AH32</f>
        <v>2.8477530642333757E-2</v>
      </c>
      <c r="AI97" s="105">
        <f>Opex_Breakdown!AI32</f>
        <v>2.7674956892452633E-2</v>
      </c>
      <c r="AJ97" s="106">
        <f>Opex_Breakdown!AJ32</f>
        <v>2.6895001839118207E-2</v>
      </c>
      <c r="AK97" s="74"/>
      <c r="AM97" s="842"/>
      <c r="AN97" s="842"/>
      <c r="AO97" s="842"/>
      <c r="AP97" s="842"/>
      <c r="AQ97" s="842"/>
      <c r="AR97" s="842"/>
      <c r="AS97" s="842"/>
      <c r="AT97" s="842"/>
      <c r="AU97" s="842"/>
      <c r="AV97" s="842"/>
    </row>
    <row r="98" spans="3:48">
      <c r="C98" s="75"/>
      <c r="D98" s="99" t="str">
        <f>Opex_Breakdown!E34</f>
        <v>Other non-controllable</v>
      </c>
      <c r="E98" s="107"/>
      <c r="F98" s="67"/>
      <c r="G98" s="67"/>
      <c r="H98" s="67"/>
      <c r="I98" s="67"/>
      <c r="J98" s="67"/>
      <c r="K98" s="67"/>
      <c r="L98" s="67"/>
      <c r="M98" s="67"/>
      <c r="N98" s="67"/>
      <c r="O98" s="67"/>
      <c r="P98" s="67"/>
      <c r="Q98" s="67"/>
      <c r="R98" s="67"/>
      <c r="S98" s="67"/>
      <c r="T98" s="67"/>
      <c r="U98" s="67"/>
      <c r="V98" s="67"/>
      <c r="AA98" s="108">
        <f>Opex_Breakdown!AA130</f>
        <v>12.703389449704312</v>
      </c>
      <c r="AB98" s="109">
        <f>Opex_Breakdown!AB130</f>
        <v>12.759030115974388</v>
      </c>
      <c r="AC98" s="109">
        <f>Opex_Breakdown!AC130</f>
        <v>12.814942200128714</v>
      </c>
      <c r="AD98" s="109">
        <f>Opex_Breakdown!AD130</f>
        <v>12.871127026156959</v>
      </c>
      <c r="AE98" s="110">
        <f>Opex_Breakdown!AE130</f>
        <v>12.871127026156959</v>
      </c>
      <c r="AF98" s="109">
        <f>Opex_Breakdown!AF130</f>
        <v>12.871127026156959</v>
      </c>
      <c r="AG98" s="109">
        <f>Opex_Breakdown!AG130</f>
        <v>12.871127026156959</v>
      </c>
      <c r="AH98" s="109">
        <f>Opex_Breakdown!AH130</f>
        <v>12.871127026156959</v>
      </c>
      <c r="AI98" s="109">
        <f>Opex_Breakdown!AI130</f>
        <v>12.871127026156959</v>
      </c>
      <c r="AJ98" s="110">
        <f>Opex_Breakdown!AJ130</f>
        <v>12.871127026156959</v>
      </c>
      <c r="AK98" s="74"/>
      <c r="AM98" s="842"/>
      <c r="AN98" s="842"/>
      <c r="AO98" s="842"/>
      <c r="AP98" s="842"/>
      <c r="AQ98" s="842"/>
      <c r="AR98" s="842"/>
      <c r="AS98" s="842"/>
      <c r="AT98" s="842"/>
      <c r="AU98" s="842"/>
      <c r="AV98" s="842"/>
    </row>
    <row r="99" spans="3:48">
      <c r="C99" s="75"/>
      <c r="D99" s="92" t="s">
        <v>354</v>
      </c>
      <c r="E99" s="67"/>
      <c r="F99" s="67"/>
      <c r="G99" s="67"/>
      <c r="H99" s="67"/>
      <c r="I99" s="67"/>
      <c r="J99" s="67"/>
      <c r="K99" s="67"/>
      <c r="L99" s="67"/>
      <c r="M99" s="67"/>
      <c r="N99" s="67"/>
      <c r="O99" s="67"/>
      <c r="P99" s="67"/>
      <c r="Q99" s="67"/>
      <c r="R99" s="67"/>
      <c r="S99" s="67"/>
      <c r="T99" s="67"/>
      <c r="U99" s="67"/>
      <c r="V99" s="67"/>
      <c r="AA99" s="111">
        <f t="shared" ref="AA99:AJ99" si="5">SUM(AA96:AA98)</f>
        <v>12.98699992837059</v>
      </c>
      <c r="AB99" s="111">
        <f t="shared" si="5"/>
        <v>13.041660218858938</v>
      </c>
      <c r="AC99" s="111">
        <f t="shared" si="5"/>
        <v>13.096619556869701</v>
      </c>
      <c r="AD99" s="111">
        <f t="shared" si="5"/>
        <v>13.151878487714695</v>
      </c>
      <c r="AE99" s="111">
        <f t="shared" si="5"/>
        <v>13.150978686759156</v>
      </c>
      <c r="AF99" s="111">
        <f t="shared" si="5"/>
        <v>13.150104244625494</v>
      </c>
      <c r="AG99" s="111">
        <f t="shared" si="5"/>
        <v>13.149254446633595</v>
      </c>
      <c r="AH99" s="111">
        <f t="shared" si="5"/>
        <v>13.148428598244967</v>
      </c>
      <c r="AI99" s="111">
        <f t="shared" si="5"/>
        <v>13.147626024495088</v>
      </c>
      <c r="AJ99" s="111">
        <f t="shared" si="5"/>
        <v>13.146846069441752</v>
      </c>
      <c r="AK99" s="74"/>
      <c r="AM99" s="842"/>
      <c r="AN99" s="842"/>
      <c r="AO99" s="842"/>
      <c r="AP99" s="842"/>
      <c r="AQ99" s="842"/>
      <c r="AR99" s="842"/>
      <c r="AS99" s="842"/>
      <c r="AT99" s="842"/>
      <c r="AU99" s="842"/>
      <c r="AV99" s="842"/>
    </row>
    <row r="100" spans="3:48">
      <c r="C100" s="75"/>
      <c r="D100" s="92"/>
      <c r="E100" s="67"/>
      <c r="F100" s="67"/>
      <c r="G100" s="67"/>
      <c r="W100" s="1006"/>
      <c r="AA100" s="1008"/>
      <c r="AB100" s="98"/>
      <c r="AC100" s="98"/>
      <c r="AD100" s="98"/>
      <c r="AE100" s="529">
        <f>SUM(AA99:AE99)</f>
        <v>65.428136878573085</v>
      </c>
      <c r="AF100" s="116"/>
      <c r="AG100" s="116"/>
      <c r="AH100" s="116"/>
      <c r="AI100" s="116"/>
      <c r="AJ100" s="529">
        <f>SUM(AF99:AJ99)</f>
        <v>65.742259383440896</v>
      </c>
      <c r="AK100" s="74"/>
      <c r="AM100" s="842"/>
      <c r="AN100" s="842"/>
      <c r="AO100" s="842"/>
      <c r="AP100" s="842"/>
      <c r="AQ100" s="842"/>
      <c r="AR100" s="842"/>
      <c r="AS100" s="842"/>
      <c r="AT100" s="842"/>
      <c r="AU100" s="842"/>
      <c r="AV100" s="842"/>
    </row>
    <row r="101" spans="3:48">
      <c r="C101" s="75"/>
      <c r="D101" s="112"/>
      <c r="E101" s="112"/>
      <c r="F101" s="67"/>
      <c r="G101" s="67"/>
      <c r="H101" s="67"/>
      <c r="I101" s="67"/>
      <c r="J101" s="67"/>
      <c r="K101" s="67"/>
      <c r="L101" s="67"/>
      <c r="M101" s="67"/>
      <c r="N101" s="67"/>
      <c r="O101" s="67"/>
      <c r="P101" s="67"/>
      <c r="Q101" s="67"/>
      <c r="R101" s="67"/>
      <c r="S101" s="67"/>
      <c r="T101" s="67"/>
      <c r="U101" s="67"/>
      <c r="V101" s="67"/>
      <c r="AA101" s="111"/>
      <c r="AB101" s="111"/>
      <c r="AC101" s="111"/>
      <c r="AD101" s="111"/>
      <c r="AE101" s="111"/>
      <c r="AF101" s="111"/>
      <c r="AG101" s="111"/>
      <c r="AH101" s="111"/>
      <c r="AI101" s="111"/>
      <c r="AJ101" s="111"/>
      <c r="AK101" s="74"/>
      <c r="AM101" s="842"/>
      <c r="AN101" s="842"/>
      <c r="AO101" s="842"/>
      <c r="AP101" s="842"/>
      <c r="AQ101" s="842"/>
      <c r="AR101" s="842"/>
      <c r="AS101" s="842"/>
      <c r="AT101" s="842"/>
      <c r="AU101" s="842"/>
      <c r="AV101" s="842"/>
    </row>
    <row r="102" spans="3:48">
      <c r="C102" s="75"/>
      <c r="D102" s="92" t="s">
        <v>355</v>
      </c>
      <c r="E102" s="67"/>
      <c r="F102" s="67"/>
      <c r="AA102" s="1430">
        <f t="shared" ref="AA102:AJ102" si="6">+AA99+AA93</f>
        <v>201.83117782977251</v>
      </c>
      <c r="AB102" s="1431">
        <f t="shared" si="6"/>
        <v>203.79531183381062</v>
      </c>
      <c r="AC102" s="1431">
        <f t="shared" si="6"/>
        <v>205.07602132832218</v>
      </c>
      <c r="AD102" s="1431">
        <f t="shared" si="6"/>
        <v>204.24810492825213</v>
      </c>
      <c r="AE102" s="1432">
        <f t="shared" si="6"/>
        <v>204.20950659214859</v>
      </c>
      <c r="AF102" s="1431">
        <f t="shared" si="6"/>
        <v>204.20516418745075</v>
      </c>
      <c r="AG102" s="1431">
        <f t="shared" si="6"/>
        <v>203.95090202297808</v>
      </c>
      <c r="AH102" s="1431">
        <f t="shared" si="6"/>
        <v>203.78797663384404</v>
      </c>
      <c r="AI102" s="1431">
        <f t="shared" si="6"/>
        <v>203.70334156171467</v>
      </c>
      <c r="AJ102" s="1432">
        <f t="shared" si="6"/>
        <v>203.42545938996031</v>
      </c>
      <c r="AK102" s="74"/>
      <c r="AM102" s="842"/>
      <c r="AN102" s="842"/>
      <c r="AO102" s="842"/>
      <c r="AP102" s="842"/>
      <c r="AQ102" s="842"/>
      <c r="AR102" s="842"/>
      <c r="AS102" s="842"/>
      <c r="AT102" s="842"/>
      <c r="AU102" s="842"/>
      <c r="AV102" s="842"/>
    </row>
    <row r="103" spans="3:48">
      <c r="C103" s="75"/>
      <c r="D103" s="92"/>
      <c r="E103" s="67"/>
      <c r="F103" s="67"/>
      <c r="G103" s="67"/>
      <c r="H103" s="67"/>
      <c r="I103" s="67"/>
      <c r="J103" s="67"/>
      <c r="K103" s="67"/>
      <c r="L103" s="67"/>
      <c r="M103" s="67"/>
      <c r="N103" s="67"/>
      <c r="O103" s="67"/>
      <c r="P103" s="67"/>
      <c r="Q103" s="67"/>
      <c r="R103" s="67"/>
      <c r="S103" s="67"/>
      <c r="T103" s="67"/>
      <c r="U103" s="67"/>
      <c r="V103" s="67"/>
      <c r="W103" s="1006"/>
      <c r="Y103" s="1391"/>
      <c r="AA103" s="1433"/>
      <c r="AB103" s="111"/>
      <c r="AC103" s="111"/>
      <c r="AD103" s="111"/>
      <c r="AE103" s="529">
        <f>SUM(AA102:AE102)</f>
        <v>1019.1601225123061</v>
      </c>
      <c r="AF103" s="116"/>
      <c r="AG103" s="116"/>
      <c r="AH103" s="116"/>
      <c r="AI103" s="116"/>
      <c r="AJ103" s="529">
        <f>SUM(AF102:AJ102)</f>
        <v>1019.0728437959478</v>
      </c>
      <c r="AK103" s="74"/>
      <c r="AM103" s="842"/>
      <c r="AN103" s="842"/>
      <c r="AO103" s="842"/>
      <c r="AP103" s="842"/>
      <c r="AQ103" s="842"/>
      <c r="AR103" s="842"/>
      <c r="AS103" s="842"/>
      <c r="AT103" s="842"/>
      <c r="AU103" s="842"/>
      <c r="AV103" s="842"/>
    </row>
    <row r="104" spans="3:48">
      <c r="C104" s="75"/>
      <c r="D104" s="92"/>
      <c r="E104" s="67"/>
      <c r="F104" s="67"/>
      <c r="G104" s="67"/>
      <c r="H104" s="67"/>
      <c r="I104" s="67"/>
      <c r="J104" s="67"/>
      <c r="K104" s="67"/>
      <c r="L104" s="67"/>
      <c r="M104" s="67"/>
      <c r="N104" s="67"/>
      <c r="O104" s="67"/>
      <c r="P104" s="67"/>
      <c r="Q104" s="67"/>
      <c r="R104" s="67"/>
      <c r="S104" s="67"/>
      <c r="T104" s="67"/>
      <c r="U104" s="67"/>
      <c r="V104" s="67"/>
      <c r="AA104" s="111"/>
      <c r="AB104" s="111"/>
      <c r="AC104" s="111"/>
      <c r="AD104" s="111"/>
      <c r="AE104" s="111"/>
      <c r="AF104" s="111"/>
      <c r="AG104" s="111"/>
      <c r="AH104" s="111"/>
      <c r="AI104" s="111"/>
      <c r="AJ104" s="111"/>
      <c r="AK104" s="74"/>
      <c r="AM104" s="842"/>
      <c r="AN104" s="842"/>
      <c r="AO104" s="842"/>
      <c r="AP104" s="842"/>
      <c r="AQ104" s="842"/>
      <c r="AR104" s="842"/>
      <c r="AS104" s="842"/>
      <c r="AT104" s="842"/>
      <c r="AU104" s="842"/>
      <c r="AV104" s="842"/>
    </row>
    <row r="105" spans="3:48">
      <c r="C105" s="75"/>
      <c r="D105" s="92"/>
      <c r="E105" s="67"/>
      <c r="F105" s="67"/>
      <c r="G105" s="67"/>
      <c r="H105" s="67"/>
      <c r="I105" s="67"/>
      <c r="J105" s="67"/>
      <c r="K105" s="67"/>
      <c r="L105" s="67"/>
      <c r="M105" s="67"/>
      <c r="N105" s="67"/>
      <c r="O105" s="67"/>
      <c r="P105" s="67"/>
      <c r="Q105" s="67"/>
      <c r="R105" s="67"/>
      <c r="S105" s="67"/>
      <c r="T105" s="67"/>
      <c r="U105" s="67"/>
      <c r="Z105" s="238" t="s">
        <v>357</v>
      </c>
      <c r="AA105" s="2035">
        <f>Opex_Breakdown!AA79+Opex_Breakdown!AA99+Opex_Breakdown!AA130+Opex_Breakdown!AA86</f>
        <v>201.83117782977249</v>
      </c>
      <c r="AB105" s="2036">
        <f>Opex_Breakdown!AB79+Opex_Breakdown!AB99+Opex_Breakdown!AB130+Opex_Breakdown!AB86</f>
        <v>203.79531183381056</v>
      </c>
      <c r="AC105" s="2036">
        <f>Opex_Breakdown!AC79+Opex_Breakdown!AC99+Opex_Breakdown!AC130+Opex_Breakdown!AC86</f>
        <v>205.07602132832213</v>
      </c>
      <c r="AD105" s="2036">
        <f>Opex_Breakdown!AD79+Opex_Breakdown!AD99+Opex_Breakdown!AD130+Opex_Breakdown!AD86</f>
        <v>204.24810492825205</v>
      </c>
      <c r="AE105" s="2036">
        <f>Opex_Breakdown!AE79+Opex_Breakdown!AE99+Opex_Breakdown!AE130+Opex_Breakdown!AE86</f>
        <v>204.20950659214856</v>
      </c>
      <c r="AF105" s="2036">
        <f>Opex_Breakdown!AF79+Opex_Breakdown!AF99+Opex_Breakdown!AF130+Opex_Breakdown!AF86</f>
        <v>204.20516418745066</v>
      </c>
      <c r="AG105" s="2036">
        <f>Opex_Breakdown!AG79+Opex_Breakdown!AG99+Opex_Breakdown!AG130+Opex_Breakdown!AG86</f>
        <v>203.95090202297803</v>
      </c>
      <c r="AH105" s="2036">
        <f>Opex_Breakdown!AH79+Opex_Breakdown!AH99+Opex_Breakdown!AH130+Opex_Breakdown!AH86</f>
        <v>203.78797663384395</v>
      </c>
      <c r="AI105" s="2036">
        <f>Opex_Breakdown!AI79+Opex_Breakdown!AI99+Opex_Breakdown!AI130+Opex_Breakdown!AI86</f>
        <v>203.70334156171461</v>
      </c>
      <c r="AJ105" s="2037">
        <f>Opex_Breakdown!AJ79+Opex_Breakdown!AJ99+Opex_Breakdown!AJ130+Opex_Breakdown!AJ86</f>
        <v>203.42545938996025</v>
      </c>
      <c r="AK105" s="74"/>
      <c r="AM105" s="842"/>
      <c r="AN105" s="842"/>
      <c r="AO105" s="842"/>
      <c r="AP105" s="842"/>
      <c r="AQ105" s="842"/>
      <c r="AR105" s="842"/>
      <c r="AS105" s="842"/>
      <c r="AT105" s="842"/>
      <c r="AU105" s="842"/>
      <c r="AV105" s="842"/>
    </row>
    <row r="106" spans="3:48">
      <c r="C106" s="75"/>
      <c r="D106" s="92"/>
      <c r="E106" s="67"/>
      <c r="F106" s="67"/>
      <c r="G106" s="67"/>
      <c r="H106" s="67"/>
      <c r="I106" s="67"/>
      <c r="J106" s="67"/>
      <c r="K106" s="67"/>
      <c r="L106" s="67"/>
      <c r="M106" s="67"/>
      <c r="N106" s="67"/>
      <c r="O106" s="67"/>
      <c r="P106" s="67"/>
      <c r="Q106" s="67"/>
      <c r="R106" s="67"/>
      <c r="S106" s="67"/>
      <c r="T106" s="67"/>
      <c r="U106" s="67"/>
      <c r="Z106" s="238" t="s">
        <v>231</v>
      </c>
      <c r="AA106" s="2038">
        <f t="shared" ref="AA106:AJ106" si="7">+AA105-AA102</f>
        <v>0</v>
      </c>
      <c r="AB106" s="2039">
        <f t="shared" si="7"/>
        <v>0</v>
      </c>
      <c r="AC106" s="2039">
        <f t="shared" si="7"/>
        <v>0</v>
      </c>
      <c r="AD106" s="2039">
        <f t="shared" si="7"/>
        <v>0</v>
      </c>
      <c r="AE106" s="2039">
        <f t="shared" si="7"/>
        <v>0</v>
      </c>
      <c r="AF106" s="2039">
        <f t="shared" si="7"/>
        <v>0</v>
      </c>
      <c r="AG106" s="2039">
        <f t="shared" si="7"/>
        <v>0</v>
      </c>
      <c r="AH106" s="2039">
        <f t="shared" si="7"/>
        <v>0</v>
      </c>
      <c r="AI106" s="2039">
        <f t="shared" si="7"/>
        <v>0</v>
      </c>
      <c r="AJ106" s="2040">
        <f t="shared" si="7"/>
        <v>0</v>
      </c>
      <c r="AK106" s="74"/>
      <c r="AM106" s="842"/>
      <c r="AN106" s="842"/>
      <c r="AO106" s="842"/>
      <c r="AP106" s="842"/>
      <c r="AQ106" s="842"/>
      <c r="AR106" s="842"/>
      <c r="AS106" s="842"/>
      <c r="AT106" s="842"/>
      <c r="AU106" s="842"/>
      <c r="AV106" s="842"/>
    </row>
    <row r="107" spans="3:48">
      <c r="C107" s="75"/>
      <c r="D107" s="92"/>
      <c r="E107" s="67"/>
      <c r="F107" s="67"/>
      <c r="G107" s="67"/>
      <c r="H107" s="67"/>
      <c r="I107" s="67"/>
      <c r="J107" s="67"/>
      <c r="K107" s="67"/>
      <c r="L107" s="67"/>
      <c r="M107" s="67"/>
      <c r="N107" s="67"/>
      <c r="O107" s="67"/>
      <c r="P107" s="67"/>
      <c r="Q107" s="67"/>
      <c r="R107" s="67"/>
      <c r="S107" s="67"/>
      <c r="T107" s="67"/>
      <c r="U107" s="67"/>
      <c r="Z107" s="238" t="s">
        <v>358</v>
      </c>
      <c r="AA107" s="242" t="b">
        <f t="shared" ref="AA107:AJ107" si="8">ROUND(AA105,2)=ROUND(AA102,2)</f>
        <v>1</v>
      </c>
      <c r="AB107" s="242" t="b">
        <f t="shared" si="8"/>
        <v>1</v>
      </c>
      <c r="AC107" s="242" t="b">
        <f t="shared" si="8"/>
        <v>1</v>
      </c>
      <c r="AD107" s="242" t="b">
        <f t="shared" si="8"/>
        <v>1</v>
      </c>
      <c r="AE107" s="242" t="b">
        <f t="shared" si="8"/>
        <v>1</v>
      </c>
      <c r="AF107" s="242" t="b">
        <f t="shared" si="8"/>
        <v>1</v>
      </c>
      <c r="AG107" s="242" t="b">
        <f t="shared" si="8"/>
        <v>1</v>
      </c>
      <c r="AH107" s="242" t="b">
        <f t="shared" si="8"/>
        <v>1</v>
      </c>
      <c r="AI107" s="242" t="b">
        <f t="shared" si="8"/>
        <v>1</v>
      </c>
      <c r="AJ107" s="242" t="b">
        <f t="shared" si="8"/>
        <v>1</v>
      </c>
      <c r="AK107" s="74"/>
      <c r="AM107" s="842"/>
      <c r="AN107" s="842"/>
      <c r="AO107" s="842"/>
      <c r="AP107" s="842"/>
      <c r="AQ107" s="842"/>
      <c r="AR107" s="842"/>
      <c r="AS107" s="842"/>
      <c r="AT107" s="842"/>
      <c r="AU107" s="842"/>
      <c r="AV107" s="842"/>
    </row>
    <row r="108" spans="3:48">
      <c r="C108" s="81"/>
      <c r="D108" s="68"/>
      <c r="E108" s="68"/>
      <c r="F108" s="68"/>
      <c r="G108" s="68"/>
      <c r="H108" s="68"/>
      <c r="I108" s="68"/>
      <c r="J108" s="68"/>
      <c r="K108" s="68"/>
      <c r="L108" s="68"/>
      <c r="M108" s="68"/>
      <c r="N108" s="68"/>
      <c r="O108" s="68"/>
      <c r="P108" s="68"/>
      <c r="Q108" s="68"/>
      <c r="R108" s="68"/>
      <c r="S108" s="68"/>
      <c r="T108" s="68"/>
      <c r="U108" s="68"/>
      <c r="V108" s="113"/>
      <c r="W108" s="68"/>
      <c r="X108" s="114"/>
      <c r="Y108" s="114"/>
      <c r="Z108" s="114"/>
      <c r="AA108" s="114"/>
      <c r="AB108" s="114"/>
      <c r="AC108" s="114"/>
      <c r="AD108" s="114"/>
      <c r="AE108" s="114"/>
      <c r="AF108" s="114"/>
      <c r="AG108" s="114"/>
      <c r="AH108" s="114"/>
      <c r="AI108" s="114"/>
      <c r="AJ108" s="114"/>
      <c r="AK108" s="83"/>
      <c r="AM108" s="842"/>
      <c r="AN108" s="842"/>
      <c r="AO108" s="842"/>
      <c r="AP108" s="842"/>
      <c r="AQ108" s="842"/>
      <c r="AR108" s="842"/>
      <c r="AS108" s="842"/>
      <c r="AT108" s="842"/>
      <c r="AU108" s="842"/>
      <c r="AV108" s="842"/>
    </row>
    <row r="111" spans="3:48">
      <c r="AA111" s="2072"/>
      <c r="AB111" s="2072"/>
      <c r="AC111" s="2072"/>
      <c r="AD111" s="2072"/>
      <c r="AE111" s="2072"/>
      <c r="AF111" s="2072"/>
      <c r="AG111" s="2072"/>
      <c r="AH111" s="2072"/>
      <c r="AI111" s="2072"/>
      <c r="AJ111" s="2072"/>
    </row>
  </sheetData>
  <dataConsolidate/>
  <mergeCells count="1">
    <mergeCell ref="B3:F3"/>
  </mergeCells>
  <conditionalFormatting sqref="AA107:AJ107">
    <cfRule type="containsText" dxfId="140" priority="6" operator="containsText" text="FALSE">
      <formula>NOT(ISERROR(SEARCH("FALSE",AA107)))</formula>
    </cfRule>
  </conditionalFormatting>
  <conditionalFormatting sqref="H74:H88">
    <cfRule type="containsText" dxfId="139" priority="5" stopIfTrue="1" operator="containsText" text="[Service]">
      <formula>NOT(ISERROR(SEARCH("[Service]",H74)))</formula>
    </cfRule>
  </conditionalFormatting>
  <conditionalFormatting sqref="AE54">
    <cfRule type="containsText" dxfId="138" priority="3" operator="containsText" text="FALSE">
      <formula>NOT(ISERROR(SEARCH("FALSE",AE54)))</formula>
    </cfRule>
  </conditionalFormatting>
  <conditionalFormatting sqref="AE54">
    <cfRule type="containsText" dxfId="137" priority="1" operator="containsText" text="FALSE">
      <formula>NOT(ISERROR(SEARCH("FALSE",AE54)))</formula>
    </cfRule>
    <cfRule type="containsText" dxfId="136" priority="2" operator="containsText" text="TRUE">
      <formula>NOT(ISERROR(SEARCH("TRUE",AE54)))</formula>
    </cfRule>
  </conditionalFormatting>
  <dataValidations count="1">
    <dataValidation type="list" allowBlank="1" showInputMessage="1" showErrorMessage="1" sqref="H74:H88" xr:uid="{97E209A7-9B6B-46BA-909C-DE53DD598CAA}">
      <formula1>Asset_Class</formula1>
    </dataValidation>
  </dataValidations>
  <hyperlinks>
    <hyperlink ref="B3" location="HL_Home" tooltip="Go to Table of Contents" display="HL_Home" xr:uid="{2E8BEF20-4641-44EA-B719-765AF5EA2D2B}"/>
  </hyperlinks>
  <pageMargins left="0.75" right="0.75" top="1" bottom="1" header="0.5" footer="0.5"/>
  <pageSetup paperSize="9" orientation="portrait" r:id="rId1"/>
  <headerFooter alignWithMargins="0">
    <oddHeader>&amp;C&amp;"Calibri"&amp;14&amp;KFF0000 OFFICIAL&amp;1#_x000D_&amp;"Arial"&amp;8&amp;K000000&amp;"Arial"&amp;8&amp;K000000&amp;B&amp;"Arial"&amp;12&amp;Kff0000​‌OFFICIAL‌​</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pageSetUpPr autoPageBreaks="0"/>
  </sheetPr>
  <dimension ref="A1:BB131"/>
  <sheetViews>
    <sheetView showGridLines="0" zoomScaleNormal="100" workbookViewId="0">
      <pane ySplit="7" topLeftCell="A17" activePane="bottomLeft" state="frozen"/>
      <selection activeCell="L16" sqref="L16"/>
      <selection pane="bottomLeft" activeCell="U39" sqref="U39:AJ39"/>
    </sheetView>
  </sheetViews>
  <sheetFormatPr defaultColWidth="10.83203125" defaultRowHeight="12" outlineLevelCol="1"/>
  <cols>
    <col min="1" max="1" width="3.83203125" style="63" customWidth="1"/>
    <col min="2" max="2" width="5" style="63" customWidth="1"/>
    <col min="3" max="5" width="3.83203125" style="63" customWidth="1"/>
    <col min="6" max="6" width="10.83203125" style="63" customWidth="1"/>
    <col min="7" max="7" width="13.5" style="63" customWidth="1"/>
    <col min="8" max="8" width="22" style="63" bestFit="1" customWidth="1"/>
    <col min="9" max="9" width="11" style="63" customWidth="1"/>
    <col min="10" max="10" width="11" style="63" hidden="1" customWidth="1" outlineLevel="1"/>
    <col min="11" max="20" width="10.83203125" style="63" hidden="1" customWidth="1" outlineLevel="1"/>
    <col min="21" max="21" width="10.83203125" style="63" customWidth="1" collapsed="1"/>
    <col min="22" max="26" width="10.83203125" style="63" customWidth="1"/>
    <col min="27" max="27" width="12" style="63" bestFit="1" customWidth="1"/>
    <col min="28" max="28" width="10.83203125" style="63" customWidth="1"/>
    <col min="29" max="30" width="11.33203125" style="63" customWidth="1"/>
    <col min="31" max="35" width="11.1640625" style="63" customWidth="1"/>
    <col min="36" max="36" width="12.33203125" style="63" customWidth="1"/>
    <col min="37" max="37" width="6" style="63" customWidth="1"/>
    <col min="38" max="38" width="0" style="63" hidden="1" customWidth="1"/>
    <col min="39" max="39" width="17.6640625" style="63" hidden="1" customWidth="1"/>
    <col min="40" max="40" width="0" style="63" hidden="1" customWidth="1"/>
    <col min="41" max="41" width="16.83203125" style="63" hidden="1" customWidth="1"/>
    <col min="42" max="43" width="0" style="63" hidden="1" customWidth="1"/>
    <col min="44" max="16384" width="10.83203125" style="63"/>
  </cols>
  <sheetData>
    <row r="1" spans="1:54" ht="15">
      <c r="A1" s="139">
        <v>80</v>
      </c>
      <c r="B1" s="140" t="s">
        <v>429</v>
      </c>
      <c r="Y1" s="196"/>
    </row>
    <row r="2" spans="1:54" ht="12.75">
      <c r="B2" s="142" t="str">
        <f>+Contents!H7</f>
        <v>Melbourne Water</v>
      </c>
      <c r="N2" s="262"/>
      <c r="U2" s="2070"/>
      <c r="V2" s="2070"/>
      <c r="W2" s="2070"/>
      <c r="X2" s="2070"/>
      <c r="Y2" s="2070"/>
      <c r="Z2" s="2070"/>
      <c r="AA2" s="2070"/>
      <c r="AB2" s="2070"/>
      <c r="AC2" s="2070"/>
      <c r="AD2" s="2070"/>
      <c r="AE2" s="2070"/>
      <c r="AF2" s="2070"/>
      <c r="AG2" s="2070"/>
      <c r="AH2" s="2070"/>
      <c r="AI2" s="2070"/>
      <c r="AJ2" s="2070"/>
    </row>
    <row r="3" spans="1:54">
      <c r="B3" s="2075" t="s">
        <v>138</v>
      </c>
      <c r="C3" s="2075"/>
      <c r="D3" s="2075"/>
      <c r="E3" s="2075"/>
      <c r="F3" s="2075"/>
      <c r="G3" s="64"/>
    </row>
    <row r="4" spans="1:54">
      <c r="A4" s="147"/>
      <c r="B4" s="65"/>
      <c r="C4" s="66"/>
      <c r="F4" s="57"/>
      <c r="K4" s="1208"/>
      <c r="L4" s="1209" t="s">
        <v>187</v>
      </c>
      <c r="M4" s="1210"/>
      <c r="N4" s="1208"/>
      <c r="O4" s="1211"/>
      <c r="P4" s="1209" t="s">
        <v>188</v>
      </c>
      <c r="Q4" s="1211"/>
      <c r="R4" s="1210"/>
      <c r="S4" s="1208"/>
      <c r="T4" s="1209" t="s">
        <v>189</v>
      </c>
      <c r="U4" s="1211"/>
      <c r="V4" s="1208"/>
      <c r="W4" s="1211"/>
      <c r="X4" s="1209" t="str">
        <f>'Opex_FO_W&amp;D'!X4</f>
        <v>FIFTH REG PERIOD</v>
      </c>
      <c r="Y4" s="1213"/>
      <c r="Z4" s="1210"/>
      <c r="AA4" s="1208"/>
      <c r="AB4" s="1211"/>
      <c r="AC4" s="1209" t="str">
        <f>'Opex_FO_W&amp;D'!AC4</f>
        <v>SIXTH REG PERIOD</v>
      </c>
      <c r="AD4" s="1211"/>
      <c r="AE4" s="1210"/>
      <c r="AF4" s="1287"/>
      <c r="AG4" s="721"/>
      <c r="AH4" s="1209" t="str">
        <f>'Opex_FO_W&amp;D'!AH4</f>
        <v>SEVENTH REG PERIOD</v>
      </c>
      <c r="AI4" s="721"/>
      <c r="AJ4" s="1207"/>
    </row>
    <row r="6" spans="1:54">
      <c r="B6" s="148"/>
      <c r="K6" s="59">
        <v>2006</v>
      </c>
      <c r="L6" s="59">
        <v>2007</v>
      </c>
      <c r="M6" s="59">
        <v>2008</v>
      </c>
      <c r="N6" s="59">
        <v>2009</v>
      </c>
      <c r="O6" s="59">
        <v>2010</v>
      </c>
      <c r="P6" s="59">
        <v>2011</v>
      </c>
      <c r="Q6" s="59">
        <v>2012</v>
      </c>
      <c r="R6" s="59">
        <v>2013</v>
      </c>
      <c r="S6" s="59">
        <v>2014</v>
      </c>
      <c r="T6" s="59">
        <v>2015</v>
      </c>
      <c r="U6" s="59">
        <v>2021</v>
      </c>
      <c r="V6" s="59">
        <v>2022</v>
      </c>
      <c r="W6" s="59">
        <v>2023</v>
      </c>
      <c r="X6" s="60">
        <v>2024</v>
      </c>
      <c r="Y6" s="60">
        <v>2025</v>
      </c>
      <c r="Z6" s="60">
        <v>2026</v>
      </c>
      <c r="AA6" s="60">
        <v>2027</v>
      </c>
      <c r="AB6" s="60">
        <v>2028</v>
      </c>
      <c r="AC6" s="60">
        <v>2029</v>
      </c>
      <c r="AD6" s="60">
        <v>2030</v>
      </c>
      <c r="AE6" s="60">
        <v>2031</v>
      </c>
      <c r="AF6" s="60">
        <f>AE6+1</f>
        <v>2032</v>
      </c>
      <c r="AG6" s="60">
        <f>AF6+1</f>
        <v>2033</v>
      </c>
      <c r="AH6" s="60">
        <f>AG6+1</f>
        <v>2034</v>
      </c>
      <c r="AI6" s="60">
        <f>AH6+1</f>
        <v>2035</v>
      </c>
      <c r="AJ6" s="60">
        <f>AI6+1</f>
        <v>2036</v>
      </c>
    </row>
    <row r="7" spans="1:54">
      <c r="A7" s="68"/>
      <c r="B7" s="63" t="str">
        <f>Expenditure_Detail!$B$6</f>
        <v>$m, 01/01/26</v>
      </c>
      <c r="C7" s="68"/>
      <c r="D7" s="68"/>
      <c r="E7" s="68"/>
      <c r="F7" s="68"/>
      <c r="G7" s="68"/>
      <c r="H7" s="68"/>
      <c r="I7" s="68"/>
      <c r="J7" s="68"/>
      <c r="K7" s="61" t="str">
        <f>+CONCATENATE(K6-1,"-",RIGHT(K6,2))</f>
        <v>2005-06</v>
      </c>
      <c r="L7" s="61" t="str">
        <f t="shared" ref="L7:T7" si="0">+CONCATENATE(L6-1,"-",RIGHT(L6,2))</f>
        <v>2006-07</v>
      </c>
      <c r="M7" s="61" t="str">
        <f t="shared" si="0"/>
        <v>2007-08</v>
      </c>
      <c r="N7" s="61" t="str">
        <f t="shared" si="0"/>
        <v>2008-09</v>
      </c>
      <c r="O7" s="61" t="str">
        <f t="shared" si="0"/>
        <v>2009-10</v>
      </c>
      <c r="P7" s="61" t="str">
        <f t="shared" si="0"/>
        <v>2010-11</v>
      </c>
      <c r="Q7" s="61" t="str">
        <f t="shared" si="0"/>
        <v>2011-12</v>
      </c>
      <c r="R7" s="61" t="str">
        <f t="shared" si="0"/>
        <v>2012-13</v>
      </c>
      <c r="S7" s="61" t="str">
        <f t="shared" si="0"/>
        <v>2013-14</v>
      </c>
      <c r="T7" s="61" t="str">
        <f t="shared" si="0"/>
        <v>2014-15</v>
      </c>
      <c r="U7" s="61" t="str">
        <f t="shared" ref="U7:AJ7" si="1">+CONCATENATE(U6-1,"-",RIGHT(U6,2))</f>
        <v>2020-21</v>
      </c>
      <c r="V7" s="61" t="str">
        <f t="shared" si="1"/>
        <v>2021-22</v>
      </c>
      <c r="W7" s="61" t="str">
        <f t="shared" si="1"/>
        <v>2022-23</v>
      </c>
      <c r="X7" s="61" t="str">
        <f t="shared" si="1"/>
        <v>2023-24</v>
      </c>
      <c r="Y7" s="61" t="str">
        <f t="shared" si="1"/>
        <v>2024-25</v>
      </c>
      <c r="Z7" s="61" t="str">
        <f t="shared" si="1"/>
        <v>2025-26</v>
      </c>
      <c r="AA7" s="61" t="str">
        <f t="shared" si="1"/>
        <v>2026-27</v>
      </c>
      <c r="AB7" s="61" t="str">
        <f t="shared" si="1"/>
        <v>2027-28</v>
      </c>
      <c r="AC7" s="61" t="str">
        <f t="shared" si="1"/>
        <v>2028-29</v>
      </c>
      <c r="AD7" s="61" t="str">
        <f t="shared" si="1"/>
        <v>2029-30</v>
      </c>
      <c r="AE7" s="61" t="str">
        <f t="shared" si="1"/>
        <v>2030-31</v>
      </c>
      <c r="AF7" s="61" t="str">
        <f t="shared" si="1"/>
        <v>2031-32</v>
      </c>
      <c r="AG7" s="61" t="str">
        <f t="shared" si="1"/>
        <v>2032-33</v>
      </c>
      <c r="AH7" s="61" t="str">
        <f t="shared" si="1"/>
        <v>2033-34</v>
      </c>
      <c r="AI7" s="61" t="str">
        <f t="shared" si="1"/>
        <v>2034-35</v>
      </c>
      <c r="AJ7" s="61" t="str">
        <f t="shared" si="1"/>
        <v>2035-36</v>
      </c>
    </row>
    <row r="8" spans="1:54" ht="12.75" thickBot="1">
      <c r="AT8" s="63" t="s">
        <v>430</v>
      </c>
    </row>
    <row r="9" spans="1:54">
      <c r="C9" s="264"/>
      <c r="D9" s="220"/>
      <c r="E9" s="220"/>
      <c r="F9" s="220"/>
      <c r="G9" s="220"/>
      <c r="H9" s="220"/>
      <c r="I9" s="220"/>
      <c r="J9" s="220"/>
      <c r="K9" s="220"/>
      <c r="L9" s="220"/>
      <c r="M9" s="220"/>
      <c r="N9" s="220"/>
      <c r="O9" s="220"/>
      <c r="P9" s="220"/>
      <c r="Q9" s="220"/>
      <c r="R9" s="220"/>
      <c r="S9" s="220"/>
      <c r="T9" s="220"/>
      <c r="U9" s="220"/>
      <c r="V9" s="220"/>
      <c r="W9" s="220"/>
      <c r="X9" s="220"/>
      <c r="Y9" s="220"/>
      <c r="Z9" s="220"/>
      <c r="AA9" s="220"/>
      <c r="AB9" s="220"/>
      <c r="AC9" s="220"/>
      <c r="AD9" s="220"/>
      <c r="AE9" s="220"/>
      <c r="AF9" s="220"/>
      <c r="AG9" s="220"/>
      <c r="AH9" s="220"/>
      <c r="AI9" s="220"/>
      <c r="AJ9" s="220"/>
      <c r="AK9" s="265"/>
    </row>
    <row r="10" spans="1:54" ht="12.75" customHeight="1">
      <c r="C10" s="175"/>
      <c r="D10" s="266" t="s">
        <v>431</v>
      </c>
      <c r="E10" s="67"/>
      <c r="F10" s="67"/>
      <c r="G10" s="67"/>
      <c r="H10" s="67"/>
      <c r="I10" s="67"/>
      <c r="J10" s="67"/>
      <c r="K10" s="67"/>
      <c r="L10" s="67"/>
      <c r="M10" s="67"/>
      <c r="N10" s="67"/>
      <c r="O10" s="67"/>
      <c r="P10" s="67"/>
      <c r="Q10" s="67"/>
      <c r="R10" s="67"/>
      <c r="S10" s="67"/>
      <c r="T10" s="67"/>
      <c r="U10" s="67"/>
      <c r="V10" s="67"/>
      <c r="W10" s="67"/>
      <c r="X10" s="111"/>
      <c r="Y10" s="67"/>
      <c r="Z10" s="67"/>
      <c r="AA10" s="67"/>
      <c r="AB10" s="67"/>
      <c r="AC10" s="67"/>
      <c r="AD10" s="67"/>
      <c r="AE10" s="67"/>
      <c r="AF10" s="67"/>
      <c r="AG10" s="67"/>
      <c r="AH10" s="67"/>
      <c r="AI10" s="67"/>
      <c r="AJ10" s="67"/>
      <c r="AK10" s="177"/>
    </row>
    <row r="11" spans="1:54" ht="10.5" customHeight="1">
      <c r="C11" s="175"/>
      <c r="D11" s="267"/>
      <c r="E11" s="67"/>
      <c r="F11" s="67"/>
      <c r="G11" s="67"/>
      <c r="H11" s="67"/>
      <c r="I11" s="67"/>
      <c r="J11" s="67"/>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177"/>
      <c r="AR11" s="842"/>
      <c r="AS11" s="842"/>
      <c r="AT11" s="842"/>
      <c r="AU11" s="842"/>
      <c r="AV11" s="842"/>
      <c r="AW11" s="842"/>
      <c r="AX11" s="842"/>
      <c r="AY11" s="842"/>
      <c r="AZ11" s="842"/>
      <c r="BA11" s="842"/>
      <c r="BB11" s="842"/>
    </row>
    <row r="12" spans="1:54">
      <c r="C12" s="175"/>
      <c r="D12" s="67"/>
      <c r="E12" s="268" t="str">
        <f>General_BL!F10</f>
        <v>Water</v>
      </c>
      <c r="F12" s="269"/>
      <c r="G12" s="67"/>
      <c r="H12" s="67"/>
      <c r="I12" s="67"/>
      <c r="J12" s="67"/>
      <c r="K12" s="458">
        <f t="shared" ref="K12:AJ12" si="2">+K57-K54-K53</f>
        <v>0</v>
      </c>
      <c r="L12" s="458">
        <f t="shared" si="2"/>
        <v>0</v>
      </c>
      <c r="M12" s="458">
        <f t="shared" si="2"/>
        <v>0</v>
      </c>
      <c r="N12" s="458">
        <f t="shared" si="2"/>
        <v>0</v>
      </c>
      <c r="O12" s="458">
        <f t="shared" si="2"/>
        <v>0</v>
      </c>
      <c r="P12" s="458">
        <f t="shared" si="2"/>
        <v>0</v>
      </c>
      <c r="Q12" s="458">
        <f t="shared" si="2"/>
        <v>0</v>
      </c>
      <c r="R12" s="458">
        <f t="shared" si="2"/>
        <v>0</v>
      </c>
      <c r="S12" s="458">
        <f t="shared" si="2"/>
        <v>0</v>
      </c>
      <c r="T12" s="458">
        <f t="shared" si="2"/>
        <v>0</v>
      </c>
      <c r="U12" s="296">
        <f t="shared" si="2"/>
        <v>125.00980160387883</v>
      </c>
      <c r="V12" s="296">
        <f t="shared" si="2"/>
        <v>126.90556627993556</v>
      </c>
      <c r="W12" s="296">
        <f t="shared" si="2"/>
        <v>130.02123175051054</v>
      </c>
      <c r="X12" s="296">
        <f t="shared" si="2"/>
        <v>135.55892664094642</v>
      </c>
      <c r="Y12" s="296">
        <f t="shared" si="2"/>
        <v>160.04543615478167</v>
      </c>
      <c r="Z12" s="296">
        <f t="shared" si="2"/>
        <v>153.80160142402599</v>
      </c>
      <c r="AA12" s="296">
        <f t="shared" si="2"/>
        <v>152.77090145214981</v>
      </c>
      <c r="AB12" s="296">
        <f t="shared" si="2"/>
        <v>154.87658994741133</v>
      </c>
      <c r="AC12" s="296">
        <f t="shared" si="2"/>
        <v>156.89800114314158</v>
      </c>
      <c r="AD12" s="296">
        <f t="shared" si="2"/>
        <v>156.46893874361803</v>
      </c>
      <c r="AE12" s="296">
        <f t="shared" si="2"/>
        <v>156.33045562982221</v>
      </c>
      <c r="AF12" s="296">
        <f t="shared" si="2"/>
        <v>156.40193530254891</v>
      </c>
      <c r="AG12" s="296">
        <f t="shared" si="2"/>
        <v>156.30021222073418</v>
      </c>
      <c r="AH12" s="296">
        <f t="shared" si="2"/>
        <v>156.24329082529761</v>
      </c>
      <c r="AI12" s="296">
        <f t="shared" si="2"/>
        <v>155.95134774090479</v>
      </c>
      <c r="AJ12" s="296">
        <f t="shared" si="2"/>
        <v>155.48083282094274</v>
      </c>
      <c r="AK12" s="177"/>
      <c r="AM12" s="1475"/>
      <c r="AN12" s="1475"/>
      <c r="AO12" s="1476"/>
      <c r="AR12" s="842"/>
      <c r="AS12" s="842"/>
      <c r="AT12" s="842"/>
      <c r="AU12" s="842"/>
      <c r="AV12" s="842"/>
      <c r="AW12" s="842"/>
      <c r="AX12" s="842"/>
      <c r="AY12" s="842"/>
      <c r="AZ12" s="842"/>
      <c r="BA12" s="842"/>
      <c r="BB12" s="842"/>
    </row>
    <row r="13" spans="1:54">
      <c r="C13" s="175"/>
      <c r="D13" s="67"/>
      <c r="E13" s="268" t="str">
        <f>General_BL!F11</f>
        <v>Sewerage</v>
      </c>
      <c r="F13" s="269"/>
      <c r="G13" s="67"/>
      <c r="H13" s="67"/>
      <c r="I13" s="67"/>
      <c r="J13" s="67"/>
      <c r="K13" s="1406">
        <f t="shared" ref="K13:T13" si="3">K64-K61</f>
        <v>0</v>
      </c>
      <c r="L13" s="1406">
        <f t="shared" si="3"/>
        <v>0</v>
      </c>
      <c r="M13" s="1406">
        <f t="shared" si="3"/>
        <v>0</v>
      </c>
      <c r="N13" s="1406">
        <f t="shared" si="3"/>
        <v>0</v>
      </c>
      <c r="O13" s="1406">
        <f t="shared" si="3"/>
        <v>0</v>
      </c>
      <c r="P13" s="1406">
        <f t="shared" si="3"/>
        <v>0</v>
      </c>
      <c r="Q13" s="1406">
        <f t="shared" si="3"/>
        <v>0</v>
      </c>
      <c r="R13" s="1406">
        <f t="shared" si="3"/>
        <v>0</v>
      </c>
      <c r="S13" s="1406">
        <f t="shared" si="3"/>
        <v>0</v>
      </c>
      <c r="T13" s="1406">
        <f t="shared" si="3"/>
        <v>0</v>
      </c>
      <c r="U13" s="296">
        <f>U64-U61</f>
        <v>189.36893031672102</v>
      </c>
      <c r="V13" s="296">
        <f t="shared" ref="V13:AJ13" si="4">V64-V61</f>
        <v>204.89860463958547</v>
      </c>
      <c r="W13" s="296">
        <f t="shared" si="4"/>
        <v>198.94266069819042</v>
      </c>
      <c r="X13" s="296">
        <f t="shared" si="4"/>
        <v>197.84739701678359</v>
      </c>
      <c r="Y13" s="296">
        <f t="shared" si="4"/>
        <v>209.44183332514206</v>
      </c>
      <c r="Z13" s="296">
        <f t="shared" si="4"/>
        <v>201.26303074074684</v>
      </c>
      <c r="AA13" s="296">
        <f t="shared" si="4"/>
        <v>199.90641493270113</v>
      </c>
      <c r="AB13" s="296">
        <f t="shared" si="4"/>
        <v>201.55358357033043</v>
      </c>
      <c r="AC13" s="296">
        <f t="shared" si="4"/>
        <v>209.10072157787812</v>
      </c>
      <c r="AD13" s="296">
        <f t="shared" si="4"/>
        <v>213.74042816000508</v>
      </c>
      <c r="AE13" s="296">
        <f t="shared" si="4"/>
        <v>214.81643474474632</v>
      </c>
      <c r="AF13" s="296">
        <f t="shared" si="4"/>
        <v>214.32915151892232</v>
      </c>
      <c r="AG13" s="296">
        <f t="shared" si="4"/>
        <v>213.87981705528955</v>
      </c>
      <c r="AH13" s="296">
        <f t="shared" si="4"/>
        <v>213.0193099534531</v>
      </c>
      <c r="AI13" s="296">
        <f t="shared" si="4"/>
        <v>214.29595813476828</v>
      </c>
      <c r="AJ13" s="296">
        <f t="shared" si="4"/>
        <v>212.69062903684375</v>
      </c>
      <c r="AK13" s="177"/>
      <c r="AM13" s="1475"/>
      <c r="AN13" s="1475"/>
      <c r="AO13" s="1476"/>
      <c r="AR13" s="842"/>
      <c r="AS13" s="842"/>
      <c r="AT13" s="842"/>
      <c r="AU13" s="842"/>
      <c r="AV13" s="842"/>
      <c r="AW13" s="842"/>
      <c r="AX13" s="842"/>
      <c r="AY13" s="842"/>
      <c r="AZ13" s="842"/>
      <c r="BA13" s="842"/>
      <c r="BB13" s="842"/>
    </row>
    <row r="14" spans="1:54">
      <c r="C14" s="175"/>
      <c r="D14" s="67"/>
      <c r="E14" s="268" t="str">
        <f>General_BL!F12</f>
        <v>Recycled Water</v>
      </c>
      <c r="F14" s="269"/>
      <c r="G14" s="67"/>
      <c r="H14" s="67"/>
      <c r="I14" s="67"/>
      <c r="J14" s="67"/>
      <c r="K14" s="1406">
        <f t="shared" ref="K14:X14" si="5">K71-K68</f>
        <v>0</v>
      </c>
      <c r="L14" s="1406">
        <f t="shared" si="5"/>
        <v>0</v>
      </c>
      <c r="M14" s="1406">
        <f t="shared" si="5"/>
        <v>0</v>
      </c>
      <c r="N14" s="1406">
        <f t="shared" si="5"/>
        <v>0</v>
      </c>
      <c r="O14" s="1406">
        <f t="shared" si="5"/>
        <v>0</v>
      </c>
      <c r="P14" s="1406">
        <f t="shared" si="5"/>
        <v>0</v>
      </c>
      <c r="Q14" s="1406">
        <f t="shared" si="5"/>
        <v>0</v>
      </c>
      <c r="R14" s="1406">
        <f t="shared" si="5"/>
        <v>0</v>
      </c>
      <c r="S14" s="1406">
        <f t="shared" si="5"/>
        <v>0</v>
      </c>
      <c r="T14" s="1406">
        <f t="shared" si="5"/>
        <v>0</v>
      </c>
      <c r="U14" s="296">
        <f t="shared" si="5"/>
        <v>3.954000331018785</v>
      </c>
      <c r="V14" s="296">
        <f t="shared" si="5"/>
        <v>4.4231647347898626</v>
      </c>
      <c r="W14" s="296">
        <f t="shared" si="5"/>
        <v>3.1055433887157551</v>
      </c>
      <c r="X14" s="296">
        <f t="shared" si="5"/>
        <v>3.3418567094175033</v>
      </c>
      <c r="Y14" s="296">
        <f t="shared" ref="Y14:AJ14" si="6">Y71-Y68</f>
        <v>4.1020765896066864</v>
      </c>
      <c r="Z14" s="296">
        <f t="shared" si="6"/>
        <v>4.0201577484512327</v>
      </c>
      <c r="AA14" s="296">
        <f t="shared" si="6"/>
        <v>3.9382389072957791</v>
      </c>
      <c r="AB14" s="296">
        <f t="shared" si="6"/>
        <v>3.9660253128219733</v>
      </c>
      <c r="AC14" s="296">
        <f t="shared" si="6"/>
        <v>3.9753886263188254</v>
      </c>
      <c r="AD14" s="296">
        <f t="shared" si="6"/>
        <v>3.9462264602434329</v>
      </c>
      <c r="AE14" s="296">
        <f t="shared" si="6"/>
        <v>3.9425745637684391</v>
      </c>
      <c r="AF14" s="296">
        <f t="shared" si="6"/>
        <v>3.9404791517364264</v>
      </c>
      <c r="AG14" s="296">
        <f t="shared" si="6"/>
        <v>3.9431067323807905</v>
      </c>
      <c r="AH14" s="296">
        <f t="shared" si="6"/>
        <v>3.9399330020513497</v>
      </c>
      <c r="AI14" s="296">
        <f t="shared" si="6"/>
        <v>3.9481672083681336</v>
      </c>
      <c r="AJ14" s="296">
        <f t="shared" si="6"/>
        <v>3.9280836661445551</v>
      </c>
      <c r="AK14" s="177"/>
      <c r="AM14" s="1475"/>
      <c r="AN14" s="1475"/>
      <c r="AO14" s="1476"/>
      <c r="AR14" s="842"/>
      <c r="AS14" s="842"/>
      <c r="AT14" s="842"/>
      <c r="AU14" s="842"/>
      <c r="AV14" s="842"/>
      <c r="AW14" s="842"/>
      <c r="AX14" s="842"/>
      <c r="AY14" s="842"/>
      <c r="AZ14" s="842"/>
      <c r="BA14" s="842"/>
      <c r="BB14" s="842"/>
    </row>
    <row r="15" spans="1:54">
      <c r="C15" s="175"/>
      <c r="D15" s="67"/>
      <c r="E15" s="268" t="str">
        <f>General_BL!F13</f>
        <v>Waterways and Drainage</v>
      </c>
      <c r="F15" s="269"/>
      <c r="G15" s="67"/>
      <c r="H15" s="67"/>
      <c r="I15" s="67"/>
      <c r="J15" s="67"/>
      <c r="K15" s="1406">
        <f t="shared" ref="K15:X15" si="7">K79-K76</f>
        <v>0</v>
      </c>
      <c r="L15" s="1406">
        <f t="shared" si="7"/>
        <v>0</v>
      </c>
      <c r="M15" s="1406">
        <f t="shared" si="7"/>
        <v>0</v>
      </c>
      <c r="N15" s="1406">
        <f t="shared" si="7"/>
        <v>0</v>
      </c>
      <c r="O15" s="1406">
        <f t="shared" si="7"/>
        <v>0</v>
      </c>
      <c r="P15" s="1406">
        <f t="shared" si="7"/>
        <v>0</v>
      </c>
      <c r="Q15" s="1406">
        <f t="shared" si="7"/>
        <v>0</v>
      </c>
      <c r="R15" s="1406">
        <f t="shared" si="7"/>
        <v>0</v>
      </c>
      <c r="S15" s="1406">
        <f t="shared" si="7"/>
        <v>0</v>
      </c>
      <c r="T15" s="1406">
        <f t="shared" si="7"/>
        <v>0</v>
      </c>
      <c r="U15" s="296">
        <f t="shared" si="7"/>
        <v>144.42667453734353</v>
      </c>
      <c r="V15" s="296">
        <f t="shared" si="7"/>
        <v>164.02656076166835</v>
      </c>
      <c r="W15" s="296">
        <f t="shared" si="7"/>
        <v>167.00907396749946</v>
      </c>
      <c r="X15" s="296">
        <f t="shared" si="7"/>
        <v>170.52637024647237</v>
      </c>
      <c r="Y15" s="296">
        <f t="shared" ref="Y15:AJ15" si="8">Y79-Y76</f>
        <v>193.18483571130176</v>
      </c>
      <c r="Z15" s="296">
        <f t="shared" si="8"/>
        <v>187.48210505979276</v>
      </c>
      <c r="AA15" s="296">
        <f t="shared" si="8"/>
        <v>187.50576843458398</v>
      </c>
      <c r="AB15" s="296">
        <f t="shared" si="8"/>
        <v>189.41722894073496</v>
      </c>
      <c r="AC15" s="296">
        <f t="shared" si="8"/>
        <v>190.64491520253495</v>
      </c>
      <c r="AD15" s="296">
        <f t="shared" si="8"/>
        <v>189.76355177643924</v>
      </c>
      <c r="AE15" s="296">
        <f t="shared" si="8"/>
        <v>189.72762094986649</v>
      </c>
      <c r="AF15" s="296">
        <f t="shared" si="8"/>
        <v>189.72415298730226</v>
      </c>
      <c r="AG15" s="296">
        <f t="shared" si="8"/>
        <v>189.47074062082154</v>
      </c>
      <c r="AH15" s="296">
        <f t="shared" si="8"/>
        <v>189.30864108007609</v>
      </c>
      <c r="AI15" s="296">
        <f t="shared" si="8"/>
        <v>189.22480858169664</v>
      </c>
      <c r="AJ15" s="296">
        <f t="shared" si="8"/>
        <v>188.94770636499561</v>
      </c>
      <c r="AK15" s="177"/>
      <c r="AM15" s="1475"/>
      <c r="AN15" s="1475"/>
      <c r="AO15" s="1476"/>
      <c r="AR15" s="842"/>
      <c r="AS15" s="842"/>
      <c r="AT15" s="842"/>
      <c r="AU15" s="842"/>
      <c r="AV15" s="842"/>
      <c r="AW15" s="842"/>
      <c r="AX15" s="842"/>
      <c r="AY15" s="842"/>
      <c r="AZ15" s="842"/>
      <c r="BA15" s="842"/>
      <c r="BB15" s="842"/>
    </row>
    <row r="16" spans="1:54">
      <c r="C16" s="175"/>
      <c r="D16" s="67"/>
      <c r="E16" s="268" t="str">
        <f>General_BL!F14</f>
        <v>Diversions</v>
      </c>
      <c r="F16" s="269"/>
      <c r="G16" s="67"/>
      <c r="H16" s="67"/>
      <c r="I16" s="67"/>
      <c r="J16" s="67"/>
      <c r="K16" s="1406">
        <f t="shared" ref="K16:X16" si="9">K86-K83</f>
        <v>0</v>
      </c>
      <c r="L16" s="1406">
        <f t="shared" si="9"/>
        <v>0</v>
      </c>
      <c r="M16" s="1406">
        <f t="shared" si="9"/>
        <v>0</v>
      </c>
      <c r="N16" s="1406">
        <f t="shared" si="9"/>
        <v>0</v>
      </c>
      <c r="O16" s="1406">
        <f t="shared" si="9"/>
        <v>0</v>
      </c>
      <c r="P16" s="1406">
        <f t="shared" si="9"/>
        <v>0</v>
      </c>
      <c r="Q16" s="1406">
        <f t="shared" si="9"/>
        <v>0</v>
      </c>
      <c r="R16" s="1406">
        <f t="shared" si="9"/>
        <v>0</v>
      </c>
      <c r="S16" s="1406">
        <f t="shared" si="9"/>
        <v>0</v>
      </c>
      <c r="T16" s="1406">
        <f t="shared" si="9"/>
        <v>0</v>
      </c>
      <c r="U16" s="296">
        <f t="shared" si="9"/>
        <v>0.67479</v>
      </c>
      <c r="V16" s="296">
        <f t="shared" si="9"/>
        <v>0.99528099999999997</v>
      </c>
      <c r="W16" s="296">
        <f t="shared" si="9"/>
        <v>1.1887179999999999</v>
      </c>
      <c r="X16" s="296">
        <f t="shared" si="9"/>
        <v>1.2126999999999999</v>
      </c>
      <c r="Y16" s="296">
        <f t="shared" ref="Y16:AJ16" si="10">Y86-Y83</f>
        <v>1.2790150771372126</v>
      </c>
      <c r="Z16" s="296">
        <f t="shared" si="10"/>
        <v>1.2764570469829382</v>
      </c>
      <c r="AA16" s="296">
        <f t="shared" si="10"/>
        <v>1.3384094668179343</v>
      </c>
      <c r="AB16" s="296">
        <f t="shared" si="10"/>
        <v>1.336422674216668</v>
      </c>
      <c r="AC16" s="296">
        <f t="shared" si="10"/>
        <v>1.334486568917479</v>
      </c>
      <c r="AD16" s="296">
        <f t="shared" si="10"/>
        <v>1.332674664098104</v>
      </c>
      <c r="AE16" s="296">
        <f t="shared" si="10"/>
        <v>1.3309069555228852</v>
      </c>
      <c r="AF16" s="296">
        <f t="shared" si="10"/>
        <v>1.3309069555228852</v>
      </c>
      <c r="AG16" s="296">
        <f t="shared" si="10"/>
        <v>1.3309069555228852</v>
      </c>
      <c r="AH16" s="296">
        <f t="shared" si="10"/>
        <v>1.3309069555228852</v>
      </c>
      <c r="AI16" s="296">
        <f t="shared" si="10"/>
        <v>1.3309069555228852</v>
      </c>
      <c r="AJ16" s="296">
        <f t="shared" si="10"/>
        <v>1.3309069555228852</v>
      </c>
      <c r="AK16" s="177"/>
      <c r="AM16" s="1475"/>
      <c r="AN16" s="1475"/>
      <c r="AO16" s="1476"/>
      <c r="AR16" s="842"/>
      <c r="AS16" s="842"/>
      <c r="AT16" s="842"/>
      <c r="AU16" s="842"/>
      <c r="AV16" s="842"/>
      <c r="AW16" s="842"/>
      <c r="AX16" s="842"/>
      <c r="AY16" s="842"/>
      <c r="AZ16" s="842"/>
      <c r="BA16" s="842"/>
      <c r="BB16" s="842"/>
    </row>
    <row r="17" spans="3:54" ht="12.75" thickBot="1">
      <c r="C17" s="175"/>
      <c r="D17" s="67"/>
      <c r="E17" s="93" t="s">
        <v>352</v>
      </c>
      <c r="F17" s="67"/>
      <c r="G17" s="67"/>
      <c r="H17" s="67"/>
      <c r="I17" s="67"/>
      <c r="J17" s="67"/>
      <c r="K17" s="272">
        <f t="shared" ref="K17:Z17" si="11">SUM(K12:K16)</f>
        <v>0</v>
      </c>
      <c r="L17" s="272">
        <f t="shared" si="11"/>
        <v>0</v>
      </c>
      <c r="M17" s="272">
        <f t="shared" si="11"/>
        <v>0</v>
      </c>
      <c r="N17" s="272">
        <f t="shared" si="11"/>
        <v>0</v>
      </c>
      <c r="O17" s="272">
        <f t="shared" si="11"/>
        <v>0</v>
      </c>
      <c r="P17" s="272">
        <f t="shared" si="11"/>
        <v>0</v>
      </c>
      <c r="Q17" s="272">
        <f t="shared" si="11"/>
        <v>0</v>
      </c>
      <c r="R17" s="272">
        <f t="shared" si="11"/>
        <v>0</v>
      </c>
      <c r="S17" s="272">
        <f t="shared" si="11"/>
        <v>0</v>
      </c>
      <c r="T17" s="272">
        <f t="shared" si="11"/>
        <v>0</v>
      </c>
      <c r="U17" s="1373">
        <f>SUM(U12:U16)</f>
        <v>463.4341967889622</v>
      </c>
      <c r="V17" s="1373">
        <f t="shared" si="11"/>
        <v>501.2491774159792</v>
      </c>
      <c r="W17" s="1373">
        <f t="shared" si="11"/>
        <v>500.26722780491616</v>
      </c>
      <c r="X17" s="1373">
        <f t="shared" si="11"/>
        <v>508.48725061361989</v>
      </c>
      <c r="Y17" s="1373">
        <f t="shared" si="11"/>
        <v>568.05319685796928</v>
      </c>
      <c r="Z17" s="1373">
        <f t="shared" si="11"/>
        <v>547.84335201999977</v>
      </c>
      <c r="AA17" s="1373">
        <f t="shared" ref="AA17:AJ17" si="12">SUM(AA12:AA16)+AA2</f>
        <v>545.45973319354857</v>
      </c>
      <c r="AB17" s="1373">
        <f t="shared" si="12"/>
        <v>551.14985044551531</v>
      </c>
      <c r="AC17" s="1373">
        <f t="shared" si="12"/>
        <v>561.95351311879097</v>
      </c>
      <c r="AD17" s="1373">
        <f t="shared" si="12"/>
        <v>565.25181980440391</v>
      </c>
      <c r="AE17" s="1373">
        <f t="shared" si="12"/>
        <v>566.14799284372646</v>
      </c>
      <c r="AF17" s="1373">
        <f t="shared" si="12"/>
        <v>565.72662591603273</v>
      </c>
      <c r="AG17" s="1373">
        <f t="shared" si="12"/>
        <v>564.92478358474898</v>
      </c>
      <c r="AH17" s="1373">
        <f t="shared" si="12"/>
        <v>563.84208181640099</v>
      </c>
      <c r="AI17" s="1373">
        <f t="shared" si="12"/>
        <v>564.75118862126078</v>
      </c>
      <c r="AJ17" s="1373">
        <f t="shared" si="12"/>
        <v>562.37815884444956</v>
      </c>
      <c r="AK17" s="177"/>
      <c r="AM17" s="1475"/>
      <c r="AN17" s="1475"/>
      <c r="AO17" s="1476"/>
      <c r="AR17" s="842"/>
      <c r="AS17" s="842"/>
      <c r="AT17" s="842"/>
      <c r="AU17" s="842"/>
      <c r="AV17" s="842"/>
      <c r="AW17" s="842"/>
      <c r="AX17" s="842"/>
      <c r="AY17" s="842"/>
      <c r="AZ17" s="842"/>
      <c r="BA17" s="842"/>
      <c r="BB17" s="842"/>
    </row>
    <row r="18" spans="3:54">
      <c r="C18" s="175"/>
      <c r="D18" s="67"/>
      <c r="E18" s="67"/>
      <c r="F18" s="67"/>
      <c r="G18" s="67"/>
      <c r="H18" s="67"/>
      <c r="I18" s="67"/>
      <c r="K18" s="1118"/>
      <c r="L18" s="1118"/>
      <c r="M18" s="1118"/>
      <c r="N18" s="1118"/>
      <c r="O18" s="1118"/>
      <c r="P18" s="1118"/>
      <c r="Q18" s="1118"/>
      <c r="R18" s="1118"/>
      <c r="S18" s="1118"/>
      <c r="T18" s="1118"/>
      <c r="U18" s="1118"/>
      <c r="V18" s="1118"/>
      <c r="W18" s="1118"/>
      <c r="X18" s="1118"/>
      <c r="Y18" s="1118"/>
      <c r="Z18" s="116"/>
      <c r="AA18" s="603"/>
      <c r="AB18" s="116"/>
      <c r="AC18" s="116"/>
      <c r="AD18" s="116"/>
      <c r="AE18" s="116"/>
      <c r="AF18" s="116"/>
      <c r="AG18" s="116"/>
      <c r="AH18" s="116"/>
      <c r="AI18" s="116"/>
      <c r="AJ18" s="116"/>
      <c r="AK18" s="157"/>
      <c r="AM18" s="1475"/>
      <c r="AN18" s="1475"/>
      <c r="AO18" s="1476"/>
      <c r="AR18" s="842"/>
      <c r="AS18" s="842"/>
      <c r="AT18" s="842"/>
      <c r="AU18" s="842"/>
      <c r="AV18" s="842"/>
      <c r="AW18" s="842"/>
      <c r="AX18" s="842"/>
      <c r="AY18" s="842"/>
      <c r="AZ18" s="842"/>
      <c r="BA18" s="842"/>
      <c r="BB18" s="842"/>
    </row>
    <row r="19" spans="3:54">
      <c r="C19" s="175"/>
      <c r="D19" s="67"/>
      <c r="E19" s="67" t="s">
        <v>432</v>
      </c>
      <c r="F19" s="67"/>
      <c r="G19" s="67"/>
      <c r="H19" s="67"/>
      <c r="I19" s="67"/>
      <c r="K19" s="1118"/>
      <c r="L19" s="1118"/>
      <c r="M19" s="1118"/>
      <c r="N19" s="1118"/>
      <c r="O19" s="1118"/>
      <c r="P19" s="1118"/>
      <c r="Q19" s="1118"/>
      <c r="R19" s="1118"/>
      <c r="S19" s="1118"/>
      <c r="T19" s="1118"/>
      <c r="U19" s="1118"/>
      <c r="V19" s="1118"/>
      <c r="W19" s="1118"/>
      <c r="X19" s="1118"/>
      <c r="Y19" s="1118"/>
      <c r="Z19" s="1790">
        <f>SUM(V17:Z17)</f>
        <v>2625.9002047124841</v>
      </c>
      <c r="AA19" s="603"/>
      <c r="AB19" s="116"/>
      <c r="AC19" s="116"/>
      <c r="AD19" s="116"/>
      <c r="AE19" s="1790">
        <f>SUM(AA17:AE17)</f>
        <v>2789.9629094059856</v>
      </c>
      <c r="AF19" s="116"/>
      <c r="AG19" s="116"/>
      <c r="AH19" s="116"/>
      <c r="AI19" s="116"/>
      <c r="AJ19" s="1790">
        <f>SUM(AF17:AJ17)</f>
        <v>2821.6228387828928</v>
      </c>
      <c r="AK19" s="157"/>
      <c r="AM19" s="1475"/>
      <c r="AN19" s="1475"/>
      <c r="AO19" s="1476"/>
      <c r="AR19" s="842"/>
      <c r="AS19" s="842"/>
      <c r="AT19" s="842"/>
      <c r="AU19" s="842"/>
      <c r="AV19" s="842"/>
      <c r="AW19" s="842"/>
      <c r="AX19" s="842"/>
      <c r="AY19" s="842"/>
      <c r="AZ19" s="842"/>
      <c r="BA19" s="842"/>
      <c r="BB19" s="842"/>
    </row>
    <row r="20" spans="3:54">
      <c r="C20" s="175"/>
      <c r="D20" s="67"/>
      <c r="E20" s="67"/>
      <c r="F20" s="67"/>
      <c r="G20" s="67"/>
      <c r="H20" s="67"/>
      <c r="I20" s="67"/>
      <c r="K20" s="1118"/>
      <c r="L20" s="1118"/>
      <c r="M20" s="1118"/>
      <c r="N20" s="1118"/>
      <c r="O20" s="1118"/>
      <c r="P20" s="1118"/>
      <c r="Q20" s="1118"/>
      <c r="R20" s="1118"/>
      <c r="S20" s="1118"/>
      <c r="T20" s="1118"/>
      <c r="U20" s="1118"/>
      <c r="V20" s="1118"/>
      <c r="W20" s="1118"/>
      <c r="X20" s="1118"/>
      <c r="Y20" s="1118"/>
      <c r="Z20" s="116"/>
      <c r="AA20" s="603"/>
      <c r="AB20" s="116"/>
      <c r="AC20" s="116"/>
      <c r="AD20" s="116"/>
      <c r="AE20" s="116"/>
      <c r="AF20" s="116"/>
      <c r="AG20" s="116"/>
      <c r="AH20" s="116"/>
      <c r="AI20" s="116"/>
      <c r="AJ20" s="116"/>
      <c r="AK20" s="1119"/>
      <c r="AM20" s="1475"/>
      <c r="AN20" s="1475"/>
      <c r="AO20" s="1476"/>
      <c r="AR20" s="842"/>
      <c r="AS20" s="842"/>
      <c r="AT20" s="842"/>
      <c r="AU20" s="842"/>
      <c r="AV20" s="842"/>
      <c r="AW20" s="842"/>
      <c r="AX20" s="842"/>
      <c r="AY20" s="842"/>
      <c r="AZ20" s="842"/>
      <c r="BA20" s="842"/>
      <c r="BB20" s="842"/>
    </row>
    <row r="21" spans="3:54">
      <c r="C21" s="175"/>
      <c r="D21" s="67"/>
      <c r="E21" s="89" t="s">
        <v>433</v>
      </c>
      <c r="F21" s="67"/>
      <c r="G21" s="67"/>
      <c r="H21" s="67"/>
      <c r="I21" s="67"/>
      <c r="K21" s="1118"/>
      <c r="L21" s="1118"/>
      <c r="M21" s="1118"/>
      <c r="N21" s="1118"/>
      <c r="O21" s="1118"/>
      <c r="P21" s="1118"/>
      <c r="Q21" s="1118"/>
      <c r="R21" s="1118"/>
      <c r="S21" s="1118"/>
      <c r="T21" s="1118"/>
      <c r="U21" s="1838">
        <f>'Determination Lookup'!N19</f>
        <v>478.88790661522034</v>
      </c>
      <c r="V21" s="1838">
        <f>'Determination Lookup'!O19</f>
        <v>464.35261142983683</v>
      </c>
      <c r="W21" s="1838">
        <f>'Determination Lookup'!P19</f>
        <v>460.38395741805232</v>
      </c>
      <c r="X21" s="1838">
        <f>'Determination Lookup'!Q19</f>
        <v>462.2812313055486</v>
      </c>
      <c r="Y21" s="1838">
        <f>'Determination Lookup'!R19</f>
        <v>467.3678224714638</v>
      </c>
      <c r="Z21" s="1838">
        <f>'Determination Lookup'!S19</f>
        <v>471.79175435209817</v>
      </c>
      <c r="AA21" s="1838">
        <f>'Determination Lookup'!T19</f>
        <v>471.78802568142913</v>
      </c>
      <c r="AB21" s="1838">
        <f>'Determination Lookup'!U19</f>
        <v>471.79206809137764</v>
      </c>
      <c r="AC21" s="1838">
        <f>'Determination Lookup'!V19</f>
        <v>471.78730166770691</v>
      </c>
      <c r="AD21" s="1838">
        <f>'Determination Lookup'!W19</f>
        <v>471.79291277405355</v>
      </c>
      <c r="AE21" s="1838">
        <f>'Determination Lookup'!X19</f>
        <v>471.78730166770691</v>
      </c>
      <c r="AF21" s="1838"/>
      <c r="AG21" s="1838"/>
      <c r="AH21" s="1838"/>
      <c r="AI21" s="1838"/>
      <c r="AJ21" s="1838"/>
      <c r="AK21" s="1119"/>
      <c r="AL21" s="1838"/>
      <c r="AM21" s="1838"/>
      <c r="AN21" s="1475"/>
      <c r="AO21" s="1476"/>
      <c r="AR21" s="842"/>
      <c r="AS21" s="842"/>
      <c r="AT21" s="842"/>
      <c r="AU21" s="842"/>
      <c r="AV21" s="842"/>
      <c r="AW21" s="842"/>
      <c r="AX21" s="842"/>
      <c r="AY21" s="842"/>
      <c r="AZ21" s="842"/>
      <c r="BA21" s="842"/>
      <c r="BB21" s="842"/>
    </row>
    <row r="22" spans="3:54">
      <c r="C22" s="175"/>
      <c r="D22" s="67"/>
      <c r="E22" s="76" t="s">
        <v>434</v>
      </c>
      <c r="F22" s="67"/>
      <c r="G22" s="67"/>
      <c r="H22" s="67"/>
      <c r="I22" s="67"/>
      <c r="K22" s="1118"/>
      <c r="L22" s="1118"/>
      <c r="M22" s="1118"/>
      <c r="N22" s="1118"/>
      <c r="O22" s="1118"/>
      <c r="P22" s="1118"/>
      <c r="Q22" s="1118"/>
      <c r="R22" s="1118"/>
      <c r="S22" s="1118"/>
      <c r="T22" s="1118"/>
      <c r="U22" s="1659">
        <f>IF(U21=0,"-",U17/U21-1)</f>
        <v>-3.2269993902090732E-2</v>
      </c>
      <c r="V22" s="1659">
        <f t="shared" ref="V22:AM22" si="13">IF(V21=0,"-",V17/V21-1)</f>
        <v>7.9458077930325999E-2</v>
      </c>
      <c r="W22" s="1659">
        <f t="shared" si="13"/>
        <v>8.6630452135081137E-2</v>
      </c>
      <c r="X22" s="1659">
        <f t="shared" si="13"/>
        <v>9.9952185334409638E-2</v>
      </c>
      <c r="Y22" s="1659">
        <f t="shared" si="13"/>
        <v>0.21543069408175408</v>
      </c>
      <c r="Z22" s="1659">
        <f t="shared" si="13"/>
        <v>0.16119738627552249</v>
      </c>
      <c r="AA22" s="1659">
        <f t="shared" si="13"/>
        <v>0.15615425466916277</v>
      </c>
      <c r="AB22" s="1659">
        <f t="shared" si="13"/>
        <v>0.16820499478759254</v>
      </c>
      <c r="AC22" s="1659">
        <f t="shared" si="13"/>
        <v>0.19111623210789741</v>
      </c>
      <c r="AD22" s="1659">
        <f t="shared" si="13"/>
        <v>0.19809307113332753</v>
      </c>
      <c r="AE22" s="1659">
        <f t="shared" si="13"/>
        <v>0.20000684809121982</v>
      </c>
      <c r="AF22" s="1659" t="str">
        <f t="shared" si="13"/>
        <v>-</v>
      </c>
      <c r="AG22" s="1659" t="str">
        <f t="shared" si="13"/>
        <v>-</v>
      </c>
      <c r="AH22" s="1659" t="str">
        <f t="shared" si="13"/>
        <v>-</v>
      </c>
      <c r="AI22" s="1659" t="str">
        <f t="shared" si="13"/>
        <v>-</v>
      </c>
      <c r="AJ22" s="1659" t="str">
        <f t="shared" si="13"/>
        <v>-</v>
      </c>
      <c r="AK22" s="1119"/>
      <c r="AL22" s="1659" t="str">
        <f t="shared" si="13"/>
        <v>-</v>
      </c>
      <c r="AM22" s="1659" t="str">
        <f t="shared" si="13"/>
        <v>-</v>
      </c>
      <c r="AN22" s="1475"/>
      <c r="AO22" s="1476"/>
      <c r="AR22" s="842"/>
      <c r="AS22" s="842"/>
      <c r="AT22" s="842"/>
      <c r="AU22" s="842"/>
      <c r="AV22" s="842"/>
      <c r="AW22" s="842"/>
      <c r="AX22" s="842"/>
      <c r="AY22" s="842"/>
      <c r="AZ22" s="842"/>
      <c r="BA22" s="842"/>
      <c r="BB22" s="842"/>
    </row>
    <row r="23" spans="3:54">
      <c r="C23" s="175"/>
      <c r="D23" s="67"/>
      <c r="E23" s="67"/>
      <c r="F23" s="67"/>
      <c r="G23" s="67"/>
      <c r="H23" s="67"/>
      <c r="I23" s="67"/>
      <c r="K23" s="1118"/>
      <c r="L23" s="1118"/>
      <c r="M23" s="1118"/>
      <c r="N23" s="1118"/>
      <c r="O23" s="1118"/>
      <c r="P23" s="1118"/>
      <c r="Q23" s="1118"/>
      <c r="R23" s="1118"/>
      <c r="S23" s="1118"/>
      <c r="T23" s="1118"/>
      <c r="U23" s="1118"/>
      <c r="V23" s="1118"/>
      <c r="W23" s="1118"/>
      <c r="X23" s="1118"/>
      <c r="Y23" s="1118"/>
      <c r="Z23" s="116"/>
      <c r="AA23" s="603"/>
      <c r="AB23" s="116"/>
      <c r="AC23" s="116"/>
      <c r="AD23" s="116"/>
      <c r="AE23" s="116"/>
      <c r="AF23" s="116"/>
      <c r="AG23" s="116"/>
      <c r="AH23" s="116"/>
      <c r="AI23" s="116"/>
      <c r="AJ23" s="116"/>
      <c r="AK23" s="1119"/>
      <c r="AM23" s="1475"/>
      <c r="AN23" s="1475"/>
      <c r="AO23" s="1476"/>
      <c r="AR23" s="842"/>
      <c r="AS23" s="842"/>
      <c r="AT23" s="842"/>
      <c r="AU23" s="842"/>
      <c r="AV23" s="842"/>
      <c r="AW23" s="842"/>
      <c r="AX23" s="842"/>
      <c r="AY23" s="842"/>
      <c r="AZ23" s="842"/>
      <c r="BA23" s="842"/>
      <c r="BB23" s="842"/>
    </row>
    <row r="24" spans="3:54">
      <c r="C24" s="175"/>
      <c r="D24" s="67"/>
      <c r="E24" s="268" t="s">
        <v>435</v>
      </c>
      <c r="F24" s="269"/>
      <c r="G24" s="273"/>
      <c r="H24" s="67"/>
      <c r="I24" s="67"/>
      <c r="J24" s="67"/>
      <c r="K24" s="274">
        <f t="shared" ref="K24:AJ24" si="14">SUMIF($D$52:$D$85,$E24,K52:K85)</f>
        <v>0</v>
      </c>
      <c r="L24" s="274">
        <f t="shared" si="14"/>
        <v>0</v>
      </c>
      <c r="M24" s="274">
        <f t="shared" si="14"/>
        <v>0</v>
      </c>
      <c r="N24" s="274">
        <f t="shared" si="14"/>
        <v>0</v>
      </c>
      <c r="O24" s="274">
        <f t="shared" si="14"/>
        <v>0</v>
      </c>
      <c r="P24" s="274">
        <f t="shared" si="14"/>
        <v>0</v>
      </c>
      <c r="Q24" s="274">
        <f t="shared" si="14"/>
        <v>0</v>
      </c>
      <c r="R24" s="274">
        <f t="shared" si="14"/>
        <v>0</v>
      </c>
      <c r="S24" s="274">
        <f t="shared" si="14"/>
        <v>0</v>
      </c>
      <c r="T24" s="274">
        <f t="shared" si="14"/>
        <v>0</v>
      </c>
      <c r="U24" s="274">
        <f t="shared" si="14"/>
        <v>322.72573218766706</v>
      </c>
      <c r="V24" s="274">
        <f t="shared" si="14"/>
        <v>341.2224881648599</v>
      </c>
      <c r="W24" s="274">
        <f t="shared" si="14"/>
        <v>327.09499178169506</v>
      </c>
      <c r="X24" s="274">
        <f t="shared" si="14"/>
        <v>324.12928316651607</v>
      </c>
      <c r="Y24" s="274">
        <f t="shared" si="14"/>
        <v>365.20711212700371</v>
      </c>
      <c r="Z24" s="274">
        <f t="shared" si="14"/>
        <v>360.72681964381593</v>
      </c>
      <c r="AA24" s="274">
        <f t="shared" si="14"/>
        <v>367.99664185421335</v>
      </c>
      <c r="AB24" s="274">
        <f t="shared" si="14"/>
        <v>368.46289938636517</v>
      </c>
      <c r="AC24" s="274">
        <f t="shared" si="14"/>
        <v>377.56103455963347</v>
      </c>
      <c r="AD24" s="274">
        <f t="shared" si="14"/>
        <v>386.38839724641474</v>
      </c>
      <c r="AE24" s="274">
        <f t="shared" si="14"/>
        <v>387.85884286902058</v>
      </c>
      <c r="AF24" s="274">
        <f t="shared" si="14"/>
        <v>387.43583196574826</v>
      </c>
      <c r="AG24" s="274">
        <f t="shared" si="14"/>
        <v>386.79764390800153</v>
      </c>
      <c r="AH24" s="274">
        <f t="shared" si="14"/>
        <v>385.87842264648225</v>
      </c>
      <c r="AI24" s="274">
        <f t="shared" si="14"/>
        <v>386.95083687864656</v>
      </c>
      <c r="AJ24" s="274">
        <f t="shared" si="14"/>
        <v>384.74094212142677</v>
      </c>
      <c r="AK24" s="177"/>
      <c r="AM24" s="1475"/>
      <c r="AN24" s="1475"/>
      <c r="AO24" s="1476"/>
      <c r="AR24" s="842"/>
      <c r="AS24" s="842"/>
      <c r="AT24" s="842"/>
      <c r="AU24" s="842"/>
      <c r="AV24" s="842"/>
      <c r="AW24" s="842"/>
      <c r="AX24" s="842"/>
      <c r="AY24" s="842"/>
      <c r="AZ24" s="842"/>
      <c r="BA24" s="842"/>
      <c r="BB24" s="842"/>
    </row>
    <row r="25" spans="3:54">
      <c r="C25" s="175"/>
      <c r="D25" s="67"/>
      <c r="E25" s="268" t="s">
        <v>436</v>
      </c>
      <c r="F25" s="269"/>
      <c r="G25" s="273"/>
      <c r="H25" s="67"/>
      <c r="I25" s="67"/>
      <c r="J25" s="67"/>
      <c r="K25" s="274">
        <f t="shared" ref="K25:AJ25" si="15">SUMIF($D$52:$D$85,$E25,K52:K85)</f>
        <v>0</v>
      </c>
      <c r="L25" s="274">
        <f t="shared" si="15"/>
        <v>0</v>
      </c>
      <c r="M25" s="274">
        <f t="shared" si="15"/>
        <v>0</v>
      </c>
      <c r="N25" s="274">
        <f t="shared" si="15"/>
        <v>0</v>
      </c>
      <c r="O25" s="274">
        <f t="shared" si="15"/>
        <v>0</v>
      </c>
      <c r="P25" s="274">
        <f t="shared" si="15"/>
        <v>0</v>
      </c>
      <c r="Q25" s="274">
        <f t="shared" si="15"/>
        <v>0</v>
      </c>
      <c r="R25" s="274">
        <f t="shared" si="15"/>
        <v>0</v>
      </c>
      <c r="S25" s="274">
        <f t="shared" si="15"/>
        <v>0</v>
      </c>
      <c r="T25" s="274">
        <f t="shared" si="15"/>
        <v>0</v>
      </c>
      <c r="U25" s="274">
        <f t="shared" si="15"/>
        <v>17.478022005746141</v>
      </c>
      <c r="V25" s="274">
        <f t="shared" si="15"/>
        <v>17.987072545674302</v>
      </c>
      <c r="W25" s="274">
        <f t="shared" si="15"/>
        <v>17.314434391186438</v>
      </c>
      <c r="X25" s="274">
        <f t="shared" si="15"/>
        <v>18.638119526923077</v>
      </c>
      <c r="Y25" s="274">
        <f t="shared" si="15"/>
        <v>18.176835241746723</v>
      </c>
      <c r="Z25" s="274">
        <f t="shared" si="15"/>
        <v>18.14048157126323</v>
      </c>
      <c r="AA25" s="274">
        <f t="shared" si="15"/>
        <v>18.14048157126323</v>
      </c>
      <c r="AB25" s="274">
        <f t="shared" si="15"/>
        <v>18.14048157126323</v>
      </c>
      <c r="AC25" s="274">
        <f t="shared" si="15"/>
        <v>18.14048157126323</v>
      </c>
      <c r="AD25" s="274">
        <f t="shared" si="15"/>
        <v>18.14048157126323</v>
      </c>
      <c r="AE25" s="274">
        <f t="shared" si="15"/>
        <v>18.14048157126323</v>
      </c>
      <c r="AF25" s="274">
        <f t="shared" si="15"/>
        <v>18.14048157126323</v>
      </c>
      <c r="AG25" s="274">
        <f t="shared" si="15"/>
        <v>18.14048157126323</v>
      </c>
      <c r="AH25" s="274">
        <f t="shared" si="15"/>
        <v>18.14048157126323</v>
      </c>
      <c r="AI25" s="274">
        <f t="shared" si="15"/>
        <v>18.14048157126323</v>
      </c>
      <c r="AJ25" s="274">
        <f t="shared" si="15"/>
        <v>18.14048157126323</v>
      </c>
      <c r="AK25" s="177"/>
      <c r="AM25" s="1475"/>
      <c r="AN25" s="1475"/>
      <c r="AO25" s="1476"/>
      <c r="AR25" s="842"/>
      <c r="AS25" s="842"/>
      <c r="AT25" s="842"/>
      <c r="AU25" s="842"/>
      <c r="AV25" s="842"/>
      <c r="AW25" s="842"/>
      <c r="AX25" s="842"/>
      <c r="AY25" s="842"/>
      <c r="AZ25" s="842"/>
      <c r="BA25" s="842"/>
      <c r="BB25" s="842"/>
    </row>
    <row r="26" spans="3:54">
      <c r="C26" s="175"/>
      <c r="D26" s="67"/>
      <c r="E26" s="1695" t="s">
        <v>437</v>
      </c>
      <c r="F26" s="269"/>
      <c r="G26" s="273"/>
      <c r="H26" s="67"/>
      <c r="I26" s="67"/>
      <c r="J26" s="67"/>
      <c r="K26" s="274">
        <f t="shared" ref="K26:AJ26" si="16">SUMIF($D$52:$D$85,$E26,K52:K85)</f>
        <v>0</v>
      </c>
      <c r="L26" s="274">
        <f t="shared" si="16"/>
        <v>0</v>
      </c>
      <c r="M26" s="274">
        <f t="shared" si="16"/>
        <v>0</v>
      </c>
      <c r="N26" s="274">
        <f t="shared" si="16"/>
        <v>0</v>
      </c>
      <c r="O26" s="274">
        <f t="shared" si="16"/>
        <v>0</v>
      </c>
      <c r="P26" s="274">
        <f t="shared" si="16"/>
        <v>0</v>
      </c>
      <c r="Q26" s="274">
        <f t="shared" si="16"/>
        <v>0</v>
      </c>
      <c r="R26" s="274">
        <f t="shared" si="16"/>
        <v>0</v>
      </c>
      <c r="S26" s="274">
        <f t="shared" si="16"/>
        <v>0</v>
      </c>
      <c r="T26" s="274">
        <f t="shared" si="16"/>
        <v>0</v>
      </c>
      <c r="U26" s="274">
        <f t="shared" si="16"/>
        <v>123.23044259554895</v>
      </c>
      <c r="V26" s="274">
        <f t="shared" si="16"/>
        <v>142.03961670544504</v>
      </c>
      <c r="W26" s="274">
        <f t="shared" si="16"/>
        <v>155.85780163203464</v>
      </c>
      <c r="X26" s="274">
        <f t="shared" si="16"/>
        <v>165.71984792018071</v>
      </c>
      <c r="Y26" s="274">
        <f t="shared" si="16"/>
        <v>184.669249489219</v>
      </c>
      <c r="Z26" s="274">
        <f t="shared" si="16"/>
        <v>168.97605080492065</v>
      </c>
      <c r="AA26" s="274">
        <f t="shared" si="16"/>
        <v>159.32260976807208</v>
      </c>
      <c r="AB26" s="274">
        <f t="shared" si="16"/>
        <v>164.54646948788695</v>
      </c>
      <c r="AC26" s="274">
        <f t="shared" si="16"/>
        <v>166.2519969878943</v>
      </c>
      <c r="AD26" s="274">
        <f t="shared" si="16"/>
        <v>160.72294098672592</v>
      </c>
      <c r="AE26" s="274">
        <f t="shared" si="16"/>
        <v>160.14866840344249</v>
      </c>
      <c r="AF26" s="274">
        <f t="shared" si="16"/>
        <v>160.15031237902127</v>
      </c>
      <c r="AG26" s="274">
        <f t="shared" si="16"/>
        <v>159.98665810548422</v>
      </c>
      <c r="AH26" s="274">
        <f t="shared" si="16"/>
        <v>159.82317759865558</v>
      </c>
      <c r="AI26" s="274">
        <f t="shared" si="16"/>
        <v>159.659870171351</v>
      </c>
      <c r="AJ26" s="274">
        <f t="shared" si="16"/>
        <v>159.49673515175957</v>
      </c>
      <c r="AK26" s="177"/>
      <c r="AM26" s="1475"/>
      <c r="AN26" s="1475"/>
      <c r="AO26" s="1476"/>
      <c r="AR26" s="842"/>
      <c r="AS26" s="842"/>
      <c r="AT26" s="842"/>
      <c r="AU26" s="842"/>
      <c r="AV26" s="842"/>
      <c r="AW26" s="842"/>
      <c r="AX26" s="842"/>
      <c r="AY26" s="842"/>
      <c r="AZ26" s="842"/>
      <c r="BA26" s="842"/>
      <c r="BB26" s="842"/>
    </row>
    <row r="27" spans="3:54">
      <c r="C27" s="175"/>
      <c r="D27" s="67"/>
      <c r="E27" s="268" t="s">
        <v>438</v>
      </c>
      <c r="F27" s="269"/>
      <c r="G27" s="273"/>
      <c r="H27" s="67"/>
      <c r="I27" s="67"/>
      <c r="J27" s="67"/>
      <c r="K27" s="274">
        <f t="shared" ref="K27:AJ27" si="17">SUMIF($D$52:$D$85,$E27,K52:K85)</f>
        <v>0</v>
      </c>
      <c r="L27" s="274">
        <f t="shared" si="17"/>
        <v>0</v>
      </c>
      <c r="M27" s="274">
        <f t="shared" si="17"/>
        <v>0</v>
      </c>
      <c r="N27" s="274">
        <f t="shared" si="17"/>
        <v>0</v>
      </c>
      <c r="O27" s="274">
        <f t="shared" si="17"/>
        <v>0</v>
      </c>
      <c r="P27" s="274">
        <f t="shared" si="17"/>
        <v>0</v>
      </c>
      <c r="Q27" s="274">
        <f t="shared" si="17"/>
        <v>0</v>
      </c>
      <c r="R27" s="274">
        <f t="shared" si="17"/>
        <v>0</v>
      </c>
      <c r="S27" s="274">
        <f t="shared" si="17"/>
        <v>0</v>
      </c>
      <c r="T27" s="274">
        <f t="shared" si="17"/>
        <v>0</v>
      </c>
      <c r="U27" s="274">
        <f t="shared" si="17"/>
        <v>0</v>
      </c>
      <c r="V27" s="274">
        <f t="shared" si="17"/>
        <v>0</v>
      </c>
      <c r="W27" s="274">
        <f t="shared" si="17"/>
        <v>0</v>
      </c>
      <c r="X27" s="274">
        <f t="shared" si="17"/>
        <v>0</v>
      </c>
      <c r="Y27" s="274">
        <f t="shared" si="17"/>
        <v>0</v>
      </c>
      <c r="Z27" s="274">
        <f t="shared" si="17"/>
        <v>0</v>
      </c>
      <c r="AA27" s="274">
        <f t="shared" si="17"/>
        <v>0</v>
      </c>
      <c r="AB27" s="274">
        <f t="shared" si="17"/>
        <v>0</v>
      </c>
      <c r="AC27" s="274">
        <f t="shared" si="17"/>
        <v>0</v>
      </c>
      <c r="AD27" s="274">
        <f t="shared" si="17"/>
        <v>0</v>
      </c>
      <c r="AE27" s="274">
        <f t="shared" si="17"/>
        <v>0</v>
      </c>
      <c r="AF27" s="274">
        <f t="shared" si="17"/>
        <v>0</v>
      </c>
      <c r="AG27" s="274">
        <f t="shared" si="17"/>
        <v>0</v>
      </c>
      <c r="AH27" s="274">
        <f t="shared" si="17"/>
        <v>0</v>
      </c>
      <c r="AI27" s="274">
        <f t="shared" si="17"/>
        <v>0</v>
      </c>
      <c r="AJ27" s="274">
        <f t="shared" si="17"/>
        <v>0</v>
      </c>
      <c r="AK27" s="177"/>
      <c r="AM27" s="1475"/>
      <c r="AN27" s="1475"/>
      <c r="AO27" s="1476"/>
      <c r="AR27" s="842"/>
      <c r="AS27" s="842"/>
      <c r="AT27" s="842"/>
      <c r="AU27" s="842"/>
      <c r="AV27" s="842"/>
      <c r="AW27" s="842"/>
      <c r="AX27" s="842"/>
      <c r="AY27" s="842"/>
      <c r="AZ27" s="842"/>
      <c r="BA27" s="842"/>
      <c r="BB27" s="842"/>
    </row>
    <row r="28" spans="3:54" ht="12.75" thickBot="1">
      <c r="C28" s="175"/>
      <c r="D28" s="67"/>
      <c r="E28" s="93" t="s">
        <v>352</v>
      </c>
      <c r="F28" s="269"/>
      <c r="G28" s="273"/>
      <c r="H28" s="67"/>
      <c r="I28" s="67"/>
      <c r="J28" s="67"/>
      <c r="K28" s="275">
        <f t="shared" ref="K28:AJ28" si="18">SUM(K24:K27)</f>
        <v>0</v>
      </c>
      <c r="L28" s="275">
        <f t="shared" si="18"/>
        <v>0</v>
      </c>
      <c r="M28" s="275">
        <f t="shared" si="18"/>
        <v>0</v>
      </c>
      <c r="N28" s="275">
        <f t="shared" si="18"/>
        <v>0</v>
      </c>
      <c r="O28" s="275">
        <f t="shared" si="18"/>
        <v>0</v>
      </c>
      <c r="P28" s="275">
        <f t="shared" si="18"/>
        <v>0</v>
      </c>
      <c r="Q28" s="275">
        <f t="shared" si="18"/>
        <v>0</v>
      </c>
      <c r="R28" s="275">
        <f t="shared" si="18"/>
        <v>0</v>
      </c>
      <c r="S28" s="275">
        <f t="shared" si="18"/>
        <v>0</v>
      </c>
      <c r="T28" s="275">
        <f t="shared" si="18"/>
        <v>0</v>
      </c>
      <c r="U28" s="1607">
        <f t="shared" si="18"/>
        <v>463.43419678896214</v>
      </c>
      <c r="V28" s="1607">
        <f t="shared" si="18"/>
        <v>501.24917741597926</v>
      </c>
      <c r="W28" s="1607">
        <f t="shared" si="18"/>
        <v>500.2672278049161</v>
      </c>
      <c r="X28" s="1607">
        <f t="shared" si="18"/>
        <v>508.48725061361989</v>
      </c>
      <c r="Y28" s="1607">
        <f t="shared" si="18"/>
        <v>568.0531968579694</v>
      </c>
      <c r="Z28" s="1607">
        <f t="shared" si="18"/>
        <v>547.84335201999988</v>
      </c>
      <c r="AA28" s="1607">
        <f t="shared" si="18"/>
        <v>545.45973319354869</v>
      </c>
      <c r="AB28" s="1607">
        <f t="shared" si="18"/>
        <v>551.14985044551531</v>
      </c>
      <c r="AC28" s="1607">
        <f t="shared" si="18"/>
        <v>561.95351311879108</v>
      </c>
      <c r="AD28" s="1607">
        <f t="shared" si="18"/>
        <v>565.25181980440391</v>
      </c>
      <c r="AE28" s="1607">
        <f t="shared" si="18"/>
        <v>566.14799284372634</v>
      </c>
      <c r="AF28" s="1607">
        <f t="shared" si="18"/>
        <v>565.72662591603284</v>
      </c>
      <c r="AG28" s="1607">
        <f t="shared" si="18"/>
        <v>564.92478358474898</v>
      </c>
      <c r="AH28" s="1607">
        <f t="shared" si="18"/>
        <v>563.84208181640111</v>
      </c>
      <c r="AI28" s="1607">
        <f t="shared" si="18"/>
        <v>564.75118862126078</v>
      </c>
      <c r="AJ28" s="1607">
        <f t="shared" si="18"/>
        <v>562.37815884444956</v>
      </c>
      <c r="AK28" s="177"/>
      <c r="AM28" s="1475"/>
      <c r="AN28" s="1475"/>
      <c r="AO28" s="1476"/>
      <c r="AR28" s="842"/>
      <c r="AS28" s="842"/>
      <c r="AT28" s="842"/>
      <c r="AU28" s="842"/>
      <c r="AV28" s="842"/>
      <c r="AW28" s="842"/>
      <c r="AX28" s="842"/>
      <c r="AY28" s="842"/>
      <c r="AZ28" s="842"/>
      <c r="BA28" s="842"/>
      <c r="BB28" s="842"/>
    </row>
    <row r="29" spans="3:54">
      <c r="C29" s="175"/>
      <c r="D29" s="67"/>
      <c r="E29" s="276"/>
      <c r="F29" s="269"/>
      <c r="G29" s="273"/>
      <c r="H29" s="67"/>
      <c r="I29" s="67"/>
      <c r="J29" s="67"/>
      <c r="K29" s="1192" t="b">
        <f t="shared" ref="K29:T29" si="19">ROUND(K28,2)=ROUND(K17,2)</f>
        <v>1</v>
      </c>
      <c r="L29" s="1192" t="b">
        <f t="shared" si="19"/>
        <v>1</v>
      </c>
      <c r="M29" s="1192" t="b">
        <f t="shared" si="19"/>
        <v>1</v>
      </c>
      <c r="N29" s="1192" t="b">
        <f t="shared" si="19"/>
        <v>1</v>
      </c>
      <c r="O29" s="1192" t="b">
        <f t="shared" si="19"/>
        <v>1</v>
      </c>
      <c r="P29" s="1192" t="b">
        <f t="shared" si="19"/>
        <v>1</v>
      </c>
      <c r="Q29" s="1192" t="b">
        <f t="shared" si="19"/>
        <v>1</v>
      </c>
      <c r="R29" s="1192" t="b">
        <f t="shared" si="19"/>
        <v>1</v>
      </c>
      <c r="S29" s="1192" t="b">
        <f t="shared" si="19"/>
        <v>1</v>
      </c>
      <c r="T29" s="1192" t="b">
        <f t="shared" si="19"/>
        <v>1</v>
      </c>
      <c r="U29" s="1660">
        <f t="shared" ref="U29:AJ29" si="20">IF(ROUND(U28,2)=ROUND(U17,2),0,1)</f>
        <v>0</v>
      </c>
      <c r="V29" s="1660">
        <f t="shared" si="20"/>
        <v>0</v>
      </c>
      <c r="W29" s="1660">
        <f t="shared" si="20"/>
        <v>0</v>
      </c>
      <c r="X29" s="1660">
        <f t="shared" si="20"/>
        <v>0</v>
      </c>
      <c r="Y29" s="1660">
        <f t="shared" si="20"/>
        <v>0</v>
      </c>
      <c r="Z29" s="1660">
        <f t="shared" si="20"/>
        <v>0</v>
      </c>
      <c r="AA29" s="1660">
        <f t="shared" si="20"/>
        <v>0</v>
      </c>
      <c r="AB29" s="1660">
        <f t="shared" si="20"/>
        <v>0</v>
      </c>
      <c r="AC29" s="1660">
        <f t="shared" si="20"/>
        <v>0</v>
      </c>
      <c r="AD29" s="1660">
        <f t="shared" si="20"/>
        <v>0</v>
      </c>
      <c r="AE29" s="1660">
        <f t="shared" si="20"/>
        <v>0</v>
      </c>
      <c r="AF29" s="1660">
        <f t="shared" si="20"/>
        <v>0</v>
      </c>
      <c r="AG29" s="1660">
        <f t="shared" si="20"/>
        <v>0</v>
      </c>
      <c r="AH29" s="1660">
        <f t="shared" si="20"/>
        <v>0</v>
      </c>
      <c r="AI29" s="1660">
        <f t="shared" si="20"/>
        <v>0</v>
      </c>
      <c r="AJ29" s="1660">
        <f t="shared" si="20"/>
        <v>0</v>
      </c>
      <c r="AK29" s="177"/>
      <c r="AM29" s="1475"/>
      <c r="AN29" s="1475"/>
      <c r="AO29" s="1476"/>
      <c r="AR29" s="842"/>
      <c r="AS29" s="842"/>
      <c r="AT29" s="842"/>
      <c r="AU29" s="842"/>
      <c r="AV29" s="842"/>
      <c r="AW29" s="842"/>
      <c r="AX29" s="842"/>
      <c r="AY29" s="842"/>
      <c r="AZ29" s="842"/>
      <c r="BA29" s="842"/>
      <c r="BB29" s="842"/>
    </row>
    <row r="30" spans="3:54">
      <c r="C30" s="175"/>
      <c r="D30" s="67"/>
      <c r="E30" s="278"/>
      <c r="F30" s="93"/>
      <c r="G30" s="93"/>
      <c r="H30" s="93"/>
      <c r="I30" s="67"/>
      <c r="J30" s="67"/>
      <c r="K30" s="270"/>
      <c r="L30" s="270"/>
      <c r="M30" s="270"/>
      <c r="N30" s="270"/>
      <c r="O30" s="270"/>
      <c r="P30" s="270"/>
      <c r="Q30" s="270"/>
      <c r="R30" s="270"/>
      <c r="S30" s="270"/>
      <c r="T30" s="270"/>
      <c r="U30" s="270"/>
      <c r="V30" s="270"/>
      <c r="W30" s="270"/>
      <c r="X30" s="270"/>
      <c r="Y30" s="270"/>
      <c r="Z30" s="270"/>
      <c r="AA30" s="270"/>
      <c r="AB30" s="270"/>
      <c r="AC30" s="270"/>
      <c r="AD30" s="270"/>
      <c r="AE30" s="270"/>
      <c r="AF30" s="270"/>
      <c r="AG30" s="270"/>
      <c r="AH30" s="270"/>
      <c r="AI30" s="270"/>
      <c r="AJ30" s="270"/>
      <c r="AK30" s="177"/>
      <c r="AM30" s="1475"/>
      <c r="AN30" s="1475"/>
      <c r="AO30" s="1476"/>
      <c r="AR30" s="842"/>
      <c r="AS30" s="842"/>
      <c r="AT30" s="842"/>
      <c r="AU30" s="842"/>
      <c r="AV30" s="842"/>
      <c r="AW30" s="842"/>
      <c r="AX30" s="842"/>
      <c r="AY30" s="842"/>
      <c r="AZ30" s="842"/>
      <c r="BA30" s="842"/>
      <c r="BB30" s="842"/>
    </row>
    <row r="31" spans="3:54">
      <c r="C31" s="175"/>
      <c r="D31" s="67"/>
      <c r="E31" s="118" t="s">
        <v>439</v>
      </c>
      <c r="F31" s="67"/>
      <c r="G31" s="67"/>
      <c r="H31" s="67"/>
      <c r="I31" s="67"/>
      <c r="J31" s="67"/>
      <c r="K31" s="270">
        <f t="shared" ref="K31:X31" si="21">+K94</f>
        <v>0</v>
      </c>
      <c r="L31" s="270">
        <f t="shared" si="21"/>
        <v>0</v>
      </c>
      <c r="M31" s="270">
        <f t="shared" si="21"/>
        <v>0</v>
      </c>
      <c r="N31" s="270">
        <f t="shared" si="21"/>
        <v>0</v>
      </c>
      <c r="O31" s="270">
        <f t="shared" si="21"/>
        <v>0</v>
      </c>
      <c r="P31" s="270">
        <f t="shared" si="21"/>
        <v>0</v>
      </c>
      <c r="Q31" s="270">
        <f t="shared" si="21"/>
        <v>0</v>
      </c>
      <c r="R31" s="270">
        <f t="shared" si="21"/>
        <v>0</v>
      </c>
      <c r="S31" s="270">
        <f t="shared" si="21"/>
        <v>0</v>
      </c>
      <c r="T31" s="270">
        <f t="shared" si="21"/>
        <v>0</v>
      </c>
      <c r="U31" s="270">
        <f t="shared" si="21"/>
        <v>3.3039345108576326</v>
      </c>
      <c r="V31" s="270">
        <f t="shared" si="21"/>
        <v>2.7021016122137405</v>
      </c>
      <c r="W31" s="270">
        <f t="shared" si="21"/>
        <v>2.5714009491525425</v>
      </c>
      <c r="X31" s="270">
        <f t="shared" si="21"/>
        <v>4.4284780662895926</v>
      </c>
      <c r="Y31" s="270">
        <f t="shared" ref="Y31:AJ31" si="22">+Y94</f>
        <v>2.8978902757641918</v>
      </c>
      <c r="Z31" s="270">
        <f t="shared" si="22"/>
        <v>2.8978902757641918</v>
      </c>
      <c r="AA31" s="270">
        <f t="shared" si="22"/>
        <v>2.8978902757641918</v>
      </c>
      <c r="AB31" s="270">
        <f t="shared" si="22"/>
        <v>2.8978902757641918</v>
      </c>
      <c r="AC31" s="270">
        <f t="shared" si="22"/>
        <v>2.8978902757641918</v>
      </c>
      <c r="AD31" s="270">
        <f t="shared" si="22"/>
        <v>2.8978902757641918</v>
      </c>
      <c r="AE31" s="270">
        <f t="shared" si="22"/>
        <v>2.8978902757641918</v>
      </c>
      <c r="AF31" s="270">
        <f t="shared" si="22"/>
        <v>2.8978902757641918</v>
      </c>
      <c r="AG31" s="270">
        <f t="shared" si="22"/>
        <v>2.8978902757641918</v>
      </c>
      <c r="AH31" s="270">
        <f t="shared" si="22"/>
        <v>2.8978902757641918</v>
      </c>
      <c r="AI31" s="270">
        <f t="shared" si="22"/>
        <v>2.8978902757641918</v>
      </c>
      <c r="AJ31" s="270">
        <f t="shared" si="22"/>
        <v>2.8978902757641918</v>
      </c>
      <c r="AK31" s="177"/>
      <c r="AM31" s="1475"/>
      <c r="AN31" s="1475"/>
      <c r="AO31" s="1476"/>
      <c r="AR31" s="842"/>
      <c r="AS31" s="842"/>
      <c r="AT31" s="842"/>
      <c r="AU31" s="842"/>
      <c r="AV31" s="842"/>
      <c r="AW31" s="842"/>
      <c r="AX31" s="842"/>
      <c r="AY31" s="842"/>
      <c r="AZ31" s="842"/>
      <c r="BA31" s="842"/>
      <c r="BB31" s="842"/>
    </row>
    <row r="32" spans="3:54">
      <c r="C32" s="175"/>
      <c r="D32" s="67"/>
      <c r="E32" s="118" t="s">
        <v>342</v>
      </c>
      <c r="F32" s="67"/>
      <c r="G32" s="67"/>
      <c r="H32" s="67"/>
      <c r="I32" s="67"/>
      <c r="J32" s="67"/>
      <c r="K32" s="270">
        <f t="shared" ref="K32:X32" si="23">K99</f>
        <v>0</v>
      </c>
      <c r="L32" s="270">
        <f t="shared" si="23"/>
        <v>0</v>
      </c>
      <c r="M32" s="270">
        <f t="shared" si="23"/>
        <v>0</v>
      </c>
      <c r="N32" s="270">
        <f t="shared" si="23"/>
        <v>0</v>
      </c>
      <c r="O32" s="270">
        <f t="shared" si="23"/>
        <v>0</v>
      </c>
      <c r="P32" s="270">
        <f t="shared" si="23"/>
        <v>0</v>
      </c>
      <c r="Q32" s="270">
        <f t="shared" si="23"/>
        <v>0</v>
      </c>
      <c r="R32" s="270">
        <f t="shared" si="23"/>
        <v>0</v>
      </c>
      <c r="S32" s="270">
        <f t="shared" si="23"/>
        <v>0</v>
      </c>
      <c r="T32" s="270">
        <f t="shared" si="23"/>
        <v>0</v>
      </c>
      <c r="U32" s="270">
        <f t="shared" si="23"/>
        <v>0.12780418807821611</v>
      </c>
      <c r="V32" s="270">
        <f t="shared" si="23"/>
        <v>0.10753478505445292</v>
      </c>
      <c r="W32" s="270">
        <f t="shared" si="23"/>
        <v>0.10232728941016948</v>
      </c>
      <c r="X32" s="270">
        <f t="shared" si="23"/>
        <v>9.2861306789140272E-2</v>
      </c>
      <c r="Y32" s="270">
        <f t="shared" ref="Y32:AJ32" si="24">Y99</f>
        <v>3.665495499803495E-2</v>
      </c>
      <c r="Z32" s="270">
        <f t="shared" si="24"/>
        <v>3.5795243900000016E-2</v>
      </c>
      <c r="AA32" s="270">
        <f t="shared" si="24"/>
        <v>3.4786437220602547E-2</v>
      </c>
      <c r="AB32" s="270">
        <f t="shared" si="24"/>
        <v>3.3806061438875171E-2</v>
      </c>
      <c r="AC32" s="270">
        <f t="shared" si="24"/>
        <v>3.2853315295311152E-2</v>
      </c>
      <c r="AD32" s="270">
        <f t="shared" si="24"/>
        <v>3.1927420112061372E-2</v>
      </c>
      <c r="AE32" s="270">
        <f t="shared" si="24"/>
        <v>3.1027619156522229E-2</v>
      </c>
      <c r="AF32" s="270">
        <f t="shared" si="24"/>
        <v>3.0153177022859311E-2</v>
      </c>
      <c r="AG32" s="270">
        <f t="shared" si="24"/>
        <v>2.9303379030961432E-2</v>
      </c>
      <c r="AH32" s="270">
        <f t="shared" si="24"/>
        <v>2.8477530642333757E-2</v>
      </c>
      <c r="AI32" s="270">
        <f t="shared" si="24"/>
        <v>2.7674956892452633E-2</v>
      </c>
      <c r="AJ32" s="270">
        <f t="shared" si="24"/>
        <v>2.6895001839118207E-2</v>
      </c>
      <c r="AK32" s="177"/>
      <c r="AM32" s="1475"/>
      <c r="AN32" s="1475"/>
      <c r="AO32" s="1476"/>
      <c r="AR32" s="842"/>
      <c r="AS32" s="842"/>
      <c r="AT32" s="842"/>
      <c r="AU32" s="842"/>
      <c r="AV32" s="842"/>
      <c r="AW32" s="842"/>
      <c r="AX32" s="842"/>
      <c r="AY32" s="842"/>
      <c r="AZ32" s="842"/>
      <c r="BA32" s="842"/>
      <c r="BB32" s="842"/>
    </row>
    <row r="33" spans="3:54">
      <c r="C33" s="175"/>
      <c r="D33" s="67"/>
      <c r="E33" s="118" t="s">
        <v>374</v>
      </c>
      <c r="F33" s="67"/>
      <c r="G33" s="67"/>
      <c r="H33" s="67"/>
      <c r="I33" s="67"/>
      <c r="J33" s="67"/>
      <c r="K33" s="270">
        <f>K103</f>
        <v>0</v>
      </c>
      <c r="L33" s="270">
        <f t="shared" ref="L33:AJ33" si="25">L103</f>
        <v>0</v>
      </c>
      <c r="M33" s="270">
        <f t="shared" si="25"/>
        <v>0</v>
      </c>
      <c r="N33" s="270">
        <f t="shared" si="25"/>
        <v>0</v>
      </c>
      <c r="O33" s="270">
        <f t="shared" si="25"/>
        <v>0</v>
      </c>
      <c r="P33" s="270">
        <f t="shared" si="25"/>
        <v>0</v>
      </c>
      <c r="Q33" s="270">
        <f t="shared" si="25"/>
        <v>0</v>
      </c>
      <c r="R33" s="270">
        <f t="shared" si="25"/>
        <v>0</v>
      </c>
      <c r="S33" s="270">
        <f t="shared" si="25"/>
        <v>0</v>
      </c>
      <c r="T33" s="270">
        <f t="shared" si="25"/>
        <v>0</v>
      </c>
      <c r="U33" s="270">
        <f t="shared" si="25"/>
        <v>650.70394318422723</v>
      </c>
      <c r="V33" s="270">
        <f t="shared" si="25"/>
        <v>637.96739843424859</v>
      </c>
      <c r="W33" s="270">
        <f t="shared" si="25"/>
        <v>614.70472301684106</v>
      </c>
      <c r="X33" s="270">
        <f t="shared" si="25"/>
        <v>577.90251660274885</v>
      </c>
      <c r="Y33" s="270">
        <f t="shared" si="25"/>
        <v>547.30412034433414</v>
      </c>
      <c r="Z33" s="270">
        <f t="shared" si="25"/>
        <v>530.2797577844874</v>
      </c>
      <c r="AA33" s="270">
        <f t="shared" si="25"/>
        <v>519.65610716115782</v>
      </c>
      <c r="AB33" s="270">
        <f t="shared" si="25"/>
        <v>507.23378314127302</v>
      </c>
      <c r="AC33" s="270">
        <f t="shared" si="25"/>
        <v>502.13734976423558</v>
      </c>
      <c r="AD33" s="270">
        <f t="shared" si="25"/>
        <v>480.98866546624782</v>
      </c>
      <c r="AE33" s="270">
        <f t="shared" si="25"/>
        <v>460.29627939238156</v>
      </c>
      <c r="AF33" s="270">
        <f t="shared" si="25"/>
        <v>438.03112520239159</v>
      </c>
      <c r="AG33" s="270">
        <f t="shared" si="25"/>
        <v>414.00398512234364</v>
      </c>
      <c r="AH33" s="270">
        <f t="shared" si="25"/>
        <v>378.84409564776519</v>
      </c>
      <c r="AI33" s="270">
        <f t="shared" si="25"/>
        <v>351.94541390923274</v>
      </c>
      <c r="AJ33" s="270">
        <f t="shared" si="25"/>
        <v>323.92970971699924</v>
      </c>
      <c r="AK33" s="177"/>
      <c r="AM33" s="1475"/>
      <c r="AN33" s="1475"/>
      <c r="AO33" s="1476"/>
      <c r="AR33" s="842"/>
      <c r="AS33" s="842"/>
      <c r="AT33" s="842"/>
      <c r="AU33" s="842"/>
      <c r="AV33" s="842"/>
      <c r="AW33" s="842"/>
      <c r="AX33" s="842"/>
      <c r="AY33" s="842"/>
      <c r="AZ33" s="842"/>
      <c r="BA33" s="842"/>
      <c r="BB33" s="842"/>
    </row>
    <row r="34" spans="3:54">
      <c r="C34" s="175"/>
      <c r="D34" s="67"/>
      <c r="E34" s="118" t="s">
        <v>440</v>
      </c>
      <c r="F34" s="67"/>
      <c r="G34" s="67"/>
      <c r="H34" s="67"/>
      <c r="I34" s="67"/>
      <c r="J34" s="67"/>
      <c r="K34" s="274">
        <f>+K117+K130</f>
        <v>0</v>
      </c>
      <c r="L34" s="274">
        <f t="shared" ref="L34:AJ34" si="26">+L117+L130</f>
        <v>0</v>
      </c>
      <c r="M34" s="274">
        <f t="shared" si="26"/>
        <v>0</v>
      </c>
      <c r="N34" s="274">
        <f t="shared" si="26"/>
        <v>0</v>
      </c>
      <c r="O34" s="274">
        <f t="shared" si="26"/>
        <v>0</v>
      </c>
      <c r="P34" s="274">
        <f t="shared" si="26"/>
        <v>0</v>
      </c>
      <c r="Q34" s="274">
        <f t="shared" si="26"/>
        <v>0</v>
      </c>
      <c r="R34" s="274">
        <f t="shared" si="26"/>
        <v>0</v>
      </c>
      <c r="S34" s="274">
        <f t="shared" si="26"/>
        <v>0</v>
      </c>
      <c r="T34" s="274">
        <f t="shared" si="26"/>
        <v>0</v>
      </c>
      <c r="U34" s="274">
        <f t="shared" si="26"/>
        <v>31.92788892708473</v>
      </c>
      <c r="V34" s="274">
        <f t="shared" si="26"/>
        <v>45.084142834843767</v>
      </c>
      <c r="W34" s="274">
        <f t="shared" si="26"/>
        <v>48.404376862454228</v>
      </c>
      <c r="X34" s="274">
        <f t="shared" si="26"/>
        <v>56.360011775699547</v>
      </c>
      <c r="Y34" s="274">
        <f t="shared" si="26"/>
        <v>46.284554643604579</v>
      </c>
      <c r="Z34" s="274">
        <f t="shared" si="26"/>
        <v>52.760150598720088</v>
      </c>
      <c r="AA34" s="274">
        <f t="shared" si="26"/>
        <v>47.043857033064519</v>
      </c>
      <c r="AB34" s="274">
        <f t="shared" si="26"/>
        <v>47.241439292764042</v>
      </c>
      <c r="AC34" s="274">
        <f t="shared" si="26"/>
        <v>47.440273774173868</v>
      </c>
      <c r="AD34" s="274">
        <f t="shared" si="26"/>
        <v>47.640358457637717</v>
      </c>
      <c r="AE34" s="274">
        <f t="shared" si="26"/>
        <v>47.632351912201202</v>
      </c>
      <c r="AF34" s="274">
        <f t="shared" si="26"/>
        <v>47.624571012846005</v>
      </c>
      <c r="AG34" s="274">
        <f t="shared" si="26"/>
        <v>47.61700940025591</v>
      </c>
      <c r="AH34" s="274">
        <f t="shared" si="26"/>
        <v>47.609660894337438</v>
      </c>
      <c r="AI34" s="274">
        <f t="shared" si="26"/>
        <v>47.60251948916887</v>
      </c>
      <c r="AJ34" s="274">
        <f t="shared" si="26"/>
        <v>47.595579348091547</v>
      </c>
      <c r="AK34" s="177"/>
      <c r="AM34" s="1475"/>
      <c r="AN34" s="1475"/>
      <c r="AO34" s="1476"/>
      <c r="AR34" s="842"/>
      <c r="AS34" s="842"/>
      <c r="AT34" s="842"/>
      <c r="AU34" s="842"/>
      <c r="AV34" s="842"/>
      <c r="AW34" s="842"/>
      <c r="AX34" s="842"/>
      <c r="AY34" s="842"/>
      <c r="AZ34" s="842"/>
      <c r="BA34" s="842"/>
      <c r="BB34" s="842"/>
    </row>
    <row r="35" spans="3:54" ht="12.75" thickBot="1">
      <c r="C35" s="175"/>
      <c r="D35" s="67"/>
      <c r="E35" s="93" t="s">
        <v>354</v>
      </c>
      <c r="F35" s="67"/>
      <c r="G35" s="67"/>
      <c r="H35" s="67"/>
      <c r="I35" s="67"/>
      <c r="J35" s="67"/>
      <c r="K35" s="275">
        <f t="shared" ref="K35:AJ35" si="27">SUM(K31:K34)</f>
        <v>0</v>
      </c>
      <c r="L35" s="275">
        <f t="shared" si="27"/>
        <v>0</v>
      </c>
      <c r="M35" s="275">
        <f t="shared" si="27"/>
        <v>0</v>
      </c>
      <c r="N35" s="275">
        <f t="shared" si="27"/>
        <v>0</v>
      </c>
      <c r="O35" s="275">
        <f t="shared" si="27"/>
        <v>0</v>
      </c>
      <c r="P35" s="275">
        <f t="shared" si="27"/>
        <v>0</v>
      </c>
      <c r="Q35" s="275">
        <f t="shared" si="27"/>
        <v>0</v>
      </c>
      <c r="R35" s="275">
        <f t="shared" si="27"/>
        <v>0</v>
      </c>
      <c r="S35" s="275">
        <f t="shared" si="27"/>
        <v>0</v>
      </c>
      <c r="T35" s="275">
        <f t="shared" si="27"/>
        <v>0</v>
      </c>
      <c r="U35" s="275">
        <f t="shared" si="27"/>
        <v>686.06357081024782</v>
      </c>
      <c r="V35" s="275">
        <f t="shared" si="27"/>
        <v>685.8611776663605</v>
      </c>
      <c r="W35" s="275">
        <f t="shared" si="27"/>
        <v>665.782828117858</v>
      </c>
      <c r="X35" s="275">
        <f t="shared" si="27"/>
        <v>638.78386775152717</v>
      </c>
      <c r="Y35" s="275">
        <f t="shared" si="27"/>
        <v>596.52322021870089</v>
      </c>
      <c r="Z35" s="275">
        <f t="shared" si="27"/>
        <v>585.9735939028717</v>
      </c>
      <c r="AA35" s="275">
        <f t="shared" si="27"/>
        <v>569.63264090720713</v>
      </c>
      <c r="AB35" s="275">
        <f t="shared" si="27"/>
        <v>557.40691877124016</v>
      </c>
      <c r="AC35" s="275">
        <f t="shared" si="27"/>
        <v>552.50836712946898</v>
      </c>
      <c r="AD35" s="275">
        <f t="shared" si="27"/>
        <v>531.55884161976178</v>
      </c>
      <c r="AE35" s="275">
        <f t="shared" si="27"/>
        <v>510.85754919950347</v>
      </c>
      <c r="AF35" s="275">
        <f t="shared" si="27"/>
        <v>488.58373966802463</v>
      </c>
      <c r="AG35" s="275">
        <f t="shared" si="27"/>
        <v>464.54818817739465</v>
      </c>
      <c r="AH35" s="275">
        <f t="shared" si="27"/>
        <v>429.38012434850913</v>
      </c>
      <c r="AI35" s="275">
        <f t="shared" si="27"/>
        <v>402.47349863105825</v>
      </c>
      <c r="AJ35" s="275">
        <f t="shared" si="27"/>
        <v>374.45007434269405</v>
      </c>
      <c r="AK35" s="177"/>
      <c r="AM35" s="1475"/>
      <c r="AN35" s="1475"/>
      <c r="AO35" s="1476"/>
      <c r="AR35" s="842"/>
      <c r="AS35" s="842"/>
      <c r="AT35" s="842"/>
      <c r="AU35" s="842"/>
      <c r="AV35" s="842"/>
      <c r="AW35" s="842"/>
      <c r="AX35" s="842"/>
      <c r="AY35" s="842"/>
      <c r="AZ35" s="842"/>
      <c r="BA35" s="842"/>
      <c r="BB35" s="842"/>
    </row>
    <row r="36" spans="3:54">
      <c r="C36" s="175"/>
      <c r="D36" s="67"/>
      <c r="E36" s="67"/>
      <c r="F36" s="67"/>
      <c r="G36" s="67"/>
      <c r="H36" s="67"/>
      <c r="I36" s="67"/>
      <c r="J36" s="67"/>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157"/>
      <c r="AM36" s="1475"/>
      <c r="AN36" s="1475"/>
      <c r="AO36" s="1476"/>
      <c r="AR36" s="842"/>
      <c r="AS36" s="842"/>
      <c r="AT36" s="842"/>
      <c r="AU36" s="842"/>
      <c r="AV36" s="842"/>
      <c r="AW36" s="842"/>
      <c r="AX36" s="842"/>
      <c r="AY36" s="842"/>
      <c r="AZ36" s="842"/>
      <c r="BA36" s="842"/>
      <c r="BB36" s="842"/>
    </row>
    <row r="37" spans="3:54">
      <c r="C37" s="175"/>
      <c r="D37" s="67"/>
      <c r="E37" s="67" t="s">
        <v>432</v>
      </c>
      <c r="F37" s="67"/>
      <c r="G37" s="67"/>
      <c r="H37" s="67"/>
      <c r="I37" s="67"/>
      <c r="J37" s="67"/>
      <c r="K37" s="67"/>
      <c r="L37" s="67"/>
      <c r="M37" s="67"/>
      <c r="N37" s="67"/>
      <c r="O37" s="67"/>
      <c r="P37" s="67"/>
      <c r="Q37" s="67"/>
      <c r="R37" s="67"/>
      <c r="S37" s="67"/>
      <c r="T37" s="67"/>
      <c r="U37" s="67"/>
      <c r="V37" s="67"/>
      <c r="W37" s="67"/>
      <c r="X37" s="67"/>
      <c r="Y37" s="67"/>
      <c r="Z37" s="1790">
        <f>SUM(V35:Z35)</f>
        <v>3172.9246876573179</v>
      </c>
      <c r="AA37" s="603"/>
      <c r="AB37" s="116"/>
      <c r="AC37" s="116"/>
      <c r="AD37" s="116"/>
      <c r="AE37" s="1790">
        <f>SUM(AA35:AE35)</f>
        <v>2721.9643176271816</v>
      </c>
      <c r="AF37" s="116"/>
      <c r="AG37" s="116"/>
      <c r="AH37" s="116"/>
      <c r="AI37" s="116"/>
      <c r="AJ37" s="1790">
        <f>SUM(AF35:AJ35)</f>
        <v>2159.4356251676809</v>
      </c>
      <c r="AK37" s="157"/>
      <c r="AM37" s="1475"/>
      <c r="AN37" s="1475"/>
      <c r="AO37" s="1476"/>
      <c r="AR37" s="842"/>
      <c r="AS37" s="842"/>
      <c r="AT37" s="842"/>
      <c r="AU37" s="842"/>
      <c r="AV37" s="842"/>
      <c r="AW37" s="842"/>
      <c r="AX37" s="842"/>
      <c r="AY37" s="842"/>
      <c r="AZ37" s="842"/>
      <c r="BA37" s="842"/>
      <c r="BB37" s="842"/>
    </row>
    <row r="38" spans="3:54">
      <c r="C38" s="175"/>
      <c r="D38" s="67"/>
      <c r="E38" s="67"/>
      <c r="F38" s="67"/>
      <c r="G38" s="67"/>
      <c r="H38" s="67"/>
      <c r="I38" s="67"/>
      <c r="J38" s="67"/>
      <c r="K38" s="67"/>
      <c r="L38" s="67"/>
      <c r="M38" s="67"/>
      <c r="N38" s="67"/>
      <c r="O38" s="67"/>
      <c r="P38" s="67"/>
      <c r="Q38" s="67"/>
      <c r="R38" s="67"/>
      <c r="S38" s="67"/>
      <c r="T38" s="67"/>
      <c r="U38" s="67"/>
      <c r="V38" s="67"/>
      <c r="W38" s="67"/>
      <c r="X38" s="67"/>
      <c r="Y38" s="67"/>
      <c r="Z38" s="67"/>
      <c r="AA38" s="67"/>
      <c r="AB38" s="67"/>
      <c r="AC38" s="67"/>
      <c r="AD38" s="67"/>
      <c r="AE38" s="67"/>
      <c r="AF38" s="67"/>
      <c r="AG38" s="67"/>
      <c r="AH38" s="67"/>
      <c r="AI38" s="67"/>
      <c r="AJ38" s="67"/>
      <c r="AK38" s="1119"/>
      <c r="AM38" s="1475"/>
      <c r="AN38" s="1475"/>
      <c r="AO38" s="1476"/>
      <c r="AR38" s="842"/>
      <c r="AS38" s="842"/>
      <c r="AT38" s="842"/>
      <c r="AU38" s="842"/>
      <c r="AV38" s="842"/>
      <c r="AW38" s="842"/>
      <c r="AX38" s="842"/>
      <c r="AY38" s="842"/>
      <c r="AZ38" s="842"/>
      <c r="BA38" s="842"/>
      <c r="BB38" s="842"/>
    </row>
    <row r="39" spans="3:54" ht="12" customHeight="1" thickBot="1">
      <c r="C39" s="175"/>
      <c r="D39" s="67"/>
      <c r="E39" s="218" t="s">
        <v>355</v>
      </c>
      <c r="F39" s="93"/>
      <c r="G39" s="93"/>
      <c r="H39" s="93"/>
      <c r="I39" s="93"/>
      <c r="J39" s="93"/>
      <c r="K39" s="275">
        <f t="shared" ref="K39:AJ39" si="28">+K35+K17</f>
        <v>0</v>
      </c>
      <c r="L39" s="275">
        <f t="shared" si="28"/>
        <v>0</v>
      </c>
      <c r="M39" s="275">
        <f t="shared" si="28"/>
        <v>0</v>
      </c>
      <c r="N39" s="275">
        <f t="shared" si="28"/>
        <v>0</v>
      </c>
      <c r="O39" s="275">
        <f t="shared" si="28"/>
        <v>0</v>
      </c>
      <c r="P39" s="275">
        <f t="shared" si="28"/>
        <v>0</v>
      </c>
      <c r="Q39" s="275">
        <f t="shared" si="28"/>
        <v>0</v>
      </c>
      <c r="R39" s="275">
        <f t="shared" si="28"/>
        <v>0</v>
      </c>
      <c r="S39" s="275">
        <f t="shared" si="28"/>
        <v>0</v>
      </c>
      <c r="T39" s="275">
        <f t="shared" si="28"/>
        <v>0</v>
      </c>
      <c r="U39" s="275">
        <f t="shared" si="28"/>
        <v>1149.49776759921</v>
      </c>
      <c r="V39" s="275">
        <f t="shared" si="28"/>
        <v>1187.1103550823398</v>
      </c>
      <c r="W39" s="275">
        <f t="shared" si="28"/>
        <v>1166.0500559227742</v>
      </c>
      <c r="X39" s="275">
        <f t="shared" si="28"/>
        <v>1147.271118365147</v>
      </c>
      <c r="Y39" s="275">
        <f t="shared" si="28"/>
        <v>1164.5764170766702</v>
      </c>
      <c r="Z39" s="275">
        <f t="shared" si="28"/>
        <v>1133.8169459228716</v>
      </c>
      <c r="AA39" s="275">
        <f t="shared" si="28"/>
        <v>1115.0923741007557</v>
      </c>
      <c r="AB39" s="275">
        <f t="shared" si="28"/>
        <v>1108.5567692167556</v>
      </c>
      <c r="AC39" s="275">
        <f t="shared" si="28"/>
        <v>1114.4618802482601</v>
      </c>
      <c r="AD39" s="275">
        <f t="shared" si="28"/>
        <v>1096.8106614241656</v>
      </c>
      <c r="AE39" s="275">
        <f t="shared" si="28"/>
        <v>1077.00554204323</v>
      </c>
      <c r="AF39" s="275">
        <f t="shared" si="28"/>
        <v>1054.3103655840573</v>
      </c>
      <c r="AG39" s="275">
        <f t="shared" si="28"/>
        <v>1029.4729717621435</v>
      </c>
      <c r="AH39" s="275">
        <f t="shared" si="28"/>
        <v>993.22220616491018</v>
      </c>
      <c r="AI39" s="275">
        <f t="shared" si="28"/>
        <v>967.22468725231897</v>
      </c>
      <c r="AJ39" s="275">
        <f t="shared" si="28"/>
        <v>936.82823318714361</v>
      </c>
      <c r="AK39" s="177"/>
      <c r="AM39" s="1475"/>
      <c r="AN39" s="1475"/>
      <c r="AO39" s="1476"/>
      <c r="AR39" s="842"/>
      <c r="AS39" s="842"/>
      <c r="AT39" s="842"/>
      <c r="AU39" s="842"/>
      <c r="AV39" s="842"/>
      <c r="AW39" s="842"/>
      <c r="AX39" s="842"/>
      <c r="AY39" s="842"/>
      <c r="AZ39" s="842"/>
      <c r="BA39" s="842"/>
      <c r="BB39" s="842"/>
    </row>
    <row r="40" spans="3:54">
      <c r="C40" s="175"/>
      <c r="D40" s="67"/>
      <c r="E40" s="67"/>
      <c r="F40" s="67"/>
      <c r="G40" s="67"/>
      <c r="H40" s="67"/>
      <c r="I40" s="67"/>
      <c r="J40" s="67"/>
      <c r="K40" s="67"/>
      <c r="L40" s="67"/>
      <c r="M40" s="67"/>
      <c r="N40" s="67"/>
      <c r="O40" s="67"/>
      <c r="P40" s="67"/>
      <c r="Q40" s="67"/>
      <c r="V40" s="1009"/>
      <c r="W40" s="865"/>
      <c r="X40" s="1007"/>
      <c r="Y40" s="1007"/>
      <c r="AA40" s="621"/>
      <c r="AB40" s="116"/>
      <c r="AK40" s="157"/>
      <c r="AO40" s="368"/>
      <c r="AR40" s="842"/>
      <c r="AS40" s="842"/>
      <c r="AT40" s="842"/>
      <c r="AU40" s="842"/>
      <c r="AV40" s="842"/>
      <c r="AW40" s="842"/>
      <c r="AX40" s="842"/>
      <c r="AY40" s="842"/>
      <c r="AZ40" s="842"/>
      <c r="BA40" s="842"/>
      <c r="BB40" s="842"/>
    </row>
    <row r="41" spans="3:54">
      <c r="C41" s="175"/>
      <c r="D41" s="67"/>
      <c r="E41" s="67" t="s">
        <v>432</v>
      </c>
      <c r="F41" s="67"/>
      <c r="G41" s="67"/>
      <c r="H41" s="67"/>
      <c r="I41" s="67"/>
      <c r="J41" s="67"/>
      <c r="K41" s="67"/>
      <c r="L41" s="67"/>
      <c r="M41" s="67"/>
      <c r="N41" s="67"/>
      <c r="O41" s="67"/>
      <c r="P41" s="67"/>
      <c r="Q41" s="67"/>
      <c r="V41" s="1009"/>
      <c r="W41" s="865"/>
      <c r="X41" s="1007"/>
      <c r="Y41" s="1007"/>
      <c r="Z41" s="1790">
        <f>SUM(V39:Z39)</f>
        <v>5798.8248923698029</v>
      </c>
      <c r="AA41" s="603"/>
      <c r="AB41" s="116"/>
      <c r="AC41" s="116"/>
      <c r="AD41" s="116"/>
      <c r="AE41" s="1790">
        <f>SUM(AA39:AE39)</f>
        <v>5511.9272270331667</v>
      </c>
      <c r="AF41" s="116"/>
      <c r="AG41" s="116"/>
      <c r="AH41" s="116"/>
      <c r="AI41" s="116"/>
      <c r="AJ41" s="1790">
        <f>SUM(AF39:AJ39)</f>
        <v>4981.0584639505732</v>
      </c>
      <c r="AK41" s="157"/>
      <c r="AO41" s="368"/>
      <c r="AR41" s="842"/>
      <c r="AS41" s="842"/>
      <c r="AT41" s="842"/>
      <c r="AU41" s="842"/>
      <c r="AV41" s="842"/>
      <c r="AW41" s="842"/>
      <c r="AX41" s="842"/>
      <c r="AY41" s="842"/>
      <c r="AZ41" s="842"/>
      <c r="BA41" s="842"/>
      <c r="BB41" s="842"/>
    </row>
    <row r="42" spans="3:54">
      <c r="C42" s="175"/>
      <c r="D42" s="67"/>
      <c r="E42" s="67"/>
      <c r="F42" s="67"/>
      <c r="G42" s="67"/>
      <c r="H42" s="67"/>
      <c r="I42" s="67"/>
      <c r="J42" s="67"/>
      <c r="K42" s="67"/>
      <c r="L42" s="67"/>
      <c r="M42" s="67"/>
      <c r="N42" s="67"/>
      <c r="O42" s="67"/>
      <c r="P42" s="67"/>
      <c r="Q42" s="67"/>
      <c r="V42" s="1007"/>
      <c r="W42" s="1007"/>
      <c r="X42" s="1007"/>
      <c r="Y42" s="1007"/>
      <c r="Z42" s="1007"/>
      <c r="AA42" s="1006"/>
      <c r="AB42" s="1118"/>
      <c r="AK42" s="1119"/>
      <c r="AO42" s="368"/>
      <c r="AR42" s="842"/>
      <c r="AS42" s="842"/>
      <c r="AT42" s="842"/>
      <c r="AU42" s="842"/>
      <c r="AV42" s="842"/>
      <c r="AW42" s="842"/>
      <c r="AX42" s="842"/>
      <c r="AY42" s="842"/>
      <c r="AZ42" s="842"/>
      <c r="BA42" s="842"/>
      <c r="BB42" s="842"/>
    </row>
    <row r="43" spans="3:54">
      <c r="C43" s="175"/>
      <c r="D43" s="67"/>
      <c r="E43" s="278"/>
      <c r="F43" s="93"/>
      <c r="G43" s="93"/>
      <c r="H43" s="93"/>
      <c r="I43" s="67"/>
      <c r="J43" s="67"/>
      <c r="K43" s="67"/>
      <c r="L43" s="67"/>
      <c r="M43" s="67"/>
      <c r="N43" s="274"/>
      <c r="O43" s="274"/>
      <c r="P43" s="274"/>
      <c r="Q43" s="274"/>
      <c r="R43" s="274"/>
      <c r="S43" s="274"/>
      <c r="T43" s="274"/>
      <c r="U43" s="274"/>
      <c r="X43" s="1007"/>
      <c r="Z43" s="277" t="s">
        <v>441</v>
      </c>
      <c r="AA43" s="279">
        <f>+Opex_FO_Summary!AA86</f>
        <v>1115.0923741007557</v>
      </c>
      <c r="AB43" s="280">
        <f>+Opex_FO_Summary!AB86</f>
        <v>1108.5567692167556</v>
      </c>
      <c r="AC43" s="280">
        <f>+Opex_FO_Summary!AC86</f>
        <v>1114.4618802482598</v>
      </c>
      <c r="AD43" s="280">
        <f>+Opex_FO_Summary!AD86</f>
        <v>1096.8106614241656</v>
      </c>
      <c r="AE43" s="281">
        <f>+Opex_FO_Summary!AE86</f>
        <v>1077.0055420432298</v>
      </c>
      <c r="AF43" s="280">
        <f>+Opex_FO_Summary!AF86</f>
        <v>1054.3103655840573</v>
      </c>
      <c r="AG43" s="280">
        <f>+Opex_FO_Summary!AG86</f>
        <v>1029.4729717621435</v>
      </c>
      <c r="AH43" s="280">
        <f>+Opex_FO_Summary!AH86</f>
        <v>993.22220616490995</v>
      </c>
      <c r="AI43" s="280">
        <f>+Opex_FO_Summary!AI86</f>
        <v>967.22468725231897</v>
      </c>
      <c r="AJ43" s="281">
        <f>+Opex_FO_Summary!AJ86</f>
        <v>936.82823318714361</v>
      </c>
      <c r="AK43" s="177"/>
      <c r="AO43" s="368"/>
      <c r="AR43" s="842"/>
      <c r="AS43" s="842"/>
      <c r="AT43" s="842"/>
      <c r="AU43" s="842"/>
      <c r="AV43" s="842"/>
      <c r="AW43" s="842"/>
      <c r="AX43" s="842"/>
      <c r="AY43" s="842"/>
      <c r="AZ43" s="842"/>
      <c r="BA43" s="842"/>
      <c r="BB43" s="842"/>
    </row>
    <row r="44" spans="3:54">
      <c r="C44" s="175"/>
      <c r="D44" s="67"/>
      <c r="E44" s="278"/>
      <c r="F44" s="93"/>
      <c r="G44" s="93"/>
      <c r="H44" s="93"/>
      <c r="I44" s="67"/>
      <c r="J44" s="67"/>
      <c r="K44" s="67"/>
      <c r="L44" s="67"/>
      <c r="M44" s="67"/>
      <c r="N44" s="274"/>
      <c r="O44" s="274"/>
      <c r="P44" s="274"/>
      <c r="Q44" s="274"/>
      <c r="R44" s="274"/>
      <c r="S44" s="274"/>
      <c r="T44" s="274"/>
      <c r="U44" s="274"/>
      <c r="X44" s="1007"/>
      <c r="Z44" s="277" t="s">
        <v>231</v>
      </c>
      <c r="AA44" s="282">
        <f t="shared" ref="AA44:AJ44" si="29">+AA43-AA39</f>
        <v>0</v>
      </c>
      <c r="AB44" s="283">
        <f t="shared" si="29"/>
        <v>0</v>
      </c>
      <c r="AC44" s="283">
        <f t="shared" si="29"/>
        <v>0</v>
      </c>
      <c r="AD44" s="283">
        <f t="shared" si="29"/>
        <v>0</v>
      </c>
      <c r="AE44" s="284">
        <f t="shared" si="29"/>
        <v>0</v>
      </c>
      <c r="AF44" s="283">
        <f t="shared" si="29"/>
        <v>0</v>
      </c>
      <c r="AG44" s="283">
        <f>+AG43-AG39</f>
        <v>0</v>
      </c>
      <c r="AH44" s="283">
        <f>+AH43-AH39</f>
        <v>0</v>
      </c>
      <c r="AI44" s="283">
        <f>+AI43-AI39</f>
        <v>0</v>
      </c>
      <c r="AJ44" s="284">
        <f t="shared" si="29"/>
        <v>0</v>
      </c>
      <c r="AK44" s="177"/>
      <c r="AO44" s="297"/>
      <c r="AR44" s="842"/>
      <c r="AS44" s="842"/>
      <c r="AT44" s="842"/>
      <c r="AU44" s="842"/>
      <c r="AV44" s="842"/>
      <c r="AW44" s="842"/>
      <c r="AX44" s="842"/>
      <c r="AY44" s="842"/>
      <c r="AZ44" s="842"/>
      <c r="BA44" s="842"/>
      <c r="BB44" s="842"/>
    </row>
    <row r="45" spans="3:54" s="76" customFormat="1">
      <c r="C45" s="285"/>
      <c r="D45" s="278"/>
      <c r="E45" s="278"/>
      <c r="F45" s="278"/>
      <c r="G45" s="278"/>
      <c r="H45" s="278"/>
      <c r="I45" s="278"/>
      <c r="J45" s="278"/>
      <c r="K45" s="286"/>
      <c r="L45" s="286"/>
      <c r="M45" s="286"/>
      <c r="N45" s="287"/>
      <c r="O45" s="287"/>
      <c r="P45" s="287"/>
      <c r="Q45" s="287"/>
      <c r="R45" s="287"/>
      <c r="S45" s="287"/>
      <c r="T45" s="287"/>
      <c r="U45" s="287"/>
      <c r="X45" s="1007"/>
      <c r="Z45" s="288" t="s">
        <v>358</v>
      </c>
      <c r="AA45" s="1660">
        <f>IF(AA43=AA39,0,1)</f>
        <v>0</v>
      </c>
      <c r="AB45" s="1660">
        <f t="shared" ref="AB45:AJ45" si="30">IF(AB43=AB39,0,1)</f>
        <v>0</v>
      </c>
      <c r="AC45" s="1660">
        <f t="shared" si="30"/>
        <v>0</v>
      </c>
      <c r="AD45" s="1660">
        <f t="shared" si="30"/>
        <v>0</v>
      </c>
      <c r="AE45" s="1660">
        <f t="shared" si="30"/>
        <v>0</v>
      </c>
      <c r="AF45" s="1660">
        <f t="shared" si="30"/>
        <v>0</v>
      </c>
      <c r="AG45" s="1660">
        <f t="shared" si="30"/>
        <v>0</v>
      </c>
      <c r="AH45" s="1660">
        <f t="shared" si="30"/>
        <v>0</v>
      </c>
      <c r="AI45" s="1660">
        <f t="shared" si="30"/>
        <v>0</v>
      </c>
      <c r="AJ45" s="1660">
        <f t="shared" si="30"/>
        <v>0</v>
      </c>
      <c r="AK45" s="289"/>
      <c r="AR45" s="842"/>
      <c r="AS45" s="842"/>
      <c r="AT45" s="842"/>
      <c r="AU45" s="842"/>
      <c r="AV45" s="842"/>
      <c r="AW45" s="842"/>
      <c r="AX45" s="842"/>
      <c r="AY45" s="842"/>
      <c r="AZ45" s="842"/>
      <c r="BA45" s="842"/>
      <c r="BB45" s="842"/>
    </row>
    <row r="46" spans="3:54" ht="12.75" thickBot="1">
      <c r="C46" s="180"/>
      <c r="D46" s="181"/>
      <c r="E46" s="290"/>
      <c r="F46" s="291"/>
      <c r="G46" s="291"/>
      <c r="H46" s="291"/>
      <c r="I46" s="181"/>
      <c r="J46" s="181"/>
      <c r="K46" s="292"/>
      <c r="L46" s="292"/>
      <c r="M46" s="292"/>
      <c r="N46" s="292"/>
      <c r="O46" s="292"/>
      <c r="P46" s="292"/>
      <c r="Q46" s="292"/>
      <c r="R46" s="292"/>
      <c r="S46" s="292"/>
      <c r="T46" s="292"/>
      <c r="U46" s="292"/>
      <c r="V46" s="292"/>
      <c r="W46" s="292"/>
      <c r="X46" s="292"/>
      <c r="Y46" s="292"/>
      <c r="Z46" s="292"/>
      <c r="AA46" s="292"/>
      <c r="AB46" s="292"/>
      <c r="AC46" s="292"/>
      <c r="AD46" s="292"/>
      <c r="AE46" s="292"/>
      <c r="AF46" s="292"/>
      <c r="AG46" s="292"/>
      <c r="AH46" s="292"/>
      <c r="AI46" s="292"/>
      <c r="AJ46" s="292"/>
      <c r="AK46" s="183"/>
      <c r="AR46" s="842"/>
      <c r="AS46" s="842"/>
      <c r="AT46" s="842"/>
      <c r="AU46" s="842"/>
      <c r="AV46" s="842"/>
      <c r="AW46" s="842"/>
      <c r="AX46" s="842"/>
      <c r="AY46" s="842"/>
      <c r="AZ46" s="842"/>
      <c r="BA46" s="842"/>
      <c r="BB46" s="842"/>
    </row>
    <row r="47" spans="3:54">
      <c r="K47" s="293"/>
      <c r="L47" s="293"/>
      <c r="M47" s="293"/>
      <c r="N47" s="293"/>
      <c r="O47" s="293"/>
      <c r="P47" s="293"/>
      <c r="Q47" s="293"/>
      <c r="R47" s="294"/>
      <c r="S47" s="293"/>
      <c r="T47" s="293"/>
      <c r="U47" s="2071"/>
      <c r="V47" s="2071"/>
      <c r="W47" s="2071"/>
      <c r="X47" s="2071"/>
      <c r="Y47" s="2071"/>
      <c r="Z47" s="2071"/>
      <c r="AA47" s="2071"/>
      <c r="AB47" s="2071"/>
      <c r="AC47" s="2072"/>
      <c r="AD47" s="2072"/>
      <c r="AE47" s="2072"/>
      <c r="AF47" s="2072"/>
      <c r="AG47" s="2072"/>
      <c r="AH47" s="2072"/>
      <c r="AI47" s="2072"/>
      <c r="AJ47" s="2072"/>
      <c r="AR47" s="842"/>
      <c r="AS47" s="842"/>
      <c r="AT47" s="842"/>
      <c r="AU47" s="842"/>
      <c r="AV47" s="842"/>
      <c r="AW47" s="842"/>
      <c r="AX47" s="842"/>
      <c r="AY47" s="842"/>
      <c r="AZ47" s="842"/>
      <c r="BA47" s="842"/>
      <c r="BB47" s="842"/>
    </row>
    <row r="48" spans="3:54">
      <c r="K48" s="293"/>
      <c r="L48" s="293"/>
      <c r="M48" s="293"/>
      <c r="N48" s="293"/>
      <c r="O48" s="293"/>
      <c r="P48" s="293"/>
      <c r="Q48" s="293"/>
      <c r="R48" s="293"/>
      <c r="S48" s="293"/>
      <c r="T48" s="293"/>
      <c r="U48" s="293"/>
      <c r="V48" s="293"/>
      <c r="W48" s="293"/>
      <c r="X48" s="293"/>
      <c r="Y48" s="293"/>
      <c r="Z48" s="293"/>
      <c r="AA48" s="293"/>
      <c r="AB48" s="293"/>
      <c r="AR48" s="842"/>
      <c r="AS48" s="842"/>
      <c r="AT48" s="842"/>
      <c r="AU48" s="842"/>
      <c r="AV48" s="842"/>
      <c r="AW48" s="842"/>
      <c r="AX48" s="842"/>
      <c r="AY48" s="842"/>
      <c r="AZ48" s="842"/>
      <c r="BA48" s="842"/>
      <c r="BB48" s="842"/>
    </row>
    <row r="49" spans="2:54">
      <c r="B49" s="1420" t="s">
        <v>442</v>
      </c>
      <c r="L49" s="296"/>
      <c r="M49" s="296"/>
      <c r="N49" s="296"/>
      <c r="O49" s="293"/>
      <c r="P49" s="293"/>
      <c r="Q49" s="293"/>
      <c r="R49" s="293"/>
      <c r="S49" s="293"/>
      <c r="T49" s="293"/>
      <c r="U49" s="293"/>
      <c r="V49" s="293"/>
      <c r="W49" s="293"/>
      <c r="X49" s="1422"/>
      <c r="Y49" s="842"/>
      <c r="Z49" s="842"/>
      <c r="AA49" s="1826"/>
      <c r="AB49" s="297"/>
      <c r="AC49" s="297"/>
      <c r="AD49" s="297"/>
      <c r="AE49" s="297"/>
      <c r="AF49" s="297"/>
      <c r="AG49" s="297"/>
      <c r="AH49" s="297"/>
      <c r="AI49" s="297"/>
      <c r="AJ49" s="297"/>
      <c r="AR49" s="842"/>
      <c r="AS49" s="842"/>
      <c r="AT49" s="842"/>
      <c r="AU49" s="842"/>
      <c r="AV49" s="842"/>
      <c r="AW49" s="842"/>
      <c r="AX49" s="842"/>
      <c r="AY49" s="842"/>
      <c r="AZ49" s="842"/>
      <c r="BA49" s="842"/>
      <c r="BB49" s="842"/>
    </row>
    <row r="50" spans="2:54">
      <c r="K50" s="296"/>
      <c r="L50" s="296"/>
      <c r="M50" s="296"/>
      <c r="N50" s="296"/>
      <c r="O50" s="293"/>
      <c r="P50" s="293"/>
      <c r="Q50" s="293"/>
      <c r="R50" s="294"/>
      <c r="S50" s="293"/>
      <c r="T50" s="293"/>
      <c r="U50" s="293"/>
      <c r="V50" s="293"/>
      <c r="W50" s="293"/>
      <c r="X50" s="293"/>
      <c r="Y50" s="293"/>
      <c r="Z50" s="293"/>
      <c r="AA50" s="293"/>
      <c r="AB50" s="293"/>
      <c r="AC50" s="293"/>
      <c r="AD50" s="293"/>
      <c r="AE50" s="293"/>
      <c r="AF50" s="293"/>
      <c r="AG50" s="293"/>
      <c r="AH50" s="293"/>
      <c r="AI50" s="293"/>
      <c r="AJ50" s="293"/>
      <c r="AR50" s="842"/>
      <c r="AS50" s="842"/>
      <c r="AT50" s="842"/>
      <c r="AU50" s="842"/>
      <c r="AV50" s="842"/>
      <c r="AW50" s="842"/>
      <c r="AX50" s="842"/>
      <c r="AY50" s="842"/>
      <c r="AZ50" s="842"/>
      <c r="BA50" s="842"/>
      <c r="BB50" s="842"/>
    </row>
    <row r="51" spans="2:54">
      <c r="C51" s="298" t="str">
        <f>E12</f>
        <v>Water</v>
      </c>
      <c r="K51" s="299"/>
      <c r="L51" s="299"/>
      <c r="M51" s="299"/>
      <c r="N51" s="300"/>
      <c r="O51" s="300"/>
      <c r="P51" s="300"/>
      <c r="Q51" s="300"/>
      <c r="R51" s="294"/>
      <c r="S51" s="300"/>
      <c r="T51" s="300"/>
      <c r="U51" s="300"/>
      <c r="V51" s="300"/>
      <c r="W51" s="300"/>
      <c r="X51" s="300"/>
      <c r="Y51" s="300"/>
      <c r="Z51" s="300"/>
      <c r="AA51" s="300"/>
      <c r="AB51" s="300"/>
      <c r="AC51" s="300"/>
      <c r="AD51" s="300"/>
      <c r="AE51" s="300"/>
      <c r="AF51" s="300"/>
      <c r="AG51" s="300"/>
      <c r="AH51" s="300"/>
      <c r="AI51" s="300"/>
      <c r="AJ51" s="300"/>
      <c r="AK51" s="300"/>
      <c r="AR51" s="842"/>
      <c r="AS51" s="842"/>
      <c r="AT51" s="842"/>
      <c r="AU51" s="842"/>
      <c r="AV51" s="842"/>
      <c r="AW51" s="842"/>
      <c r="AX51" s="842"/>
      <c r="AY51" s="842"/>
      <c r="AZ51" s="842"/>
      <c r="BA51" s="842"/>
      <c r="BB51" s="842"/>
    </row>
    <row r="52" spans="2:54">
      <c r="D52" s="301" t="str">
        <f>E$24</f>
        <v>Operations &amp; Maintenance</v>
      </c>
      <c r="K52" s="324"/>
      <c r="L52" s="325"/>
      <c r="M52" s="325"/>
      <c r="N52" s="324"/>
      <c r="O52" s="325"/>
      <c r="P52" s="325"/>
      <c r="Q52" s="325"/>
      <c r="R52" s="326"/>
      <c r="S52" s="324"/>
      <c r="T52" s="325"/>
      <c r="U52" s="449">
        <v>83.882046525962025</v>
      </c>
      <c r="V52" s="324">
        <v>79.574254677642315</v>
      </c>
      <c r="W52" s="325">
        <v>78.110333248721261</v>
      </c>
      <c r="X52" s="325">
        <v>80.321029257452864</v>
      </c>
      <c r="Y52" s="325">
        <v>97.982745893113844</v>
      </c>
      <c r="Z52" s="326">
        <v>96.9947640565141</v>
      </c>
      <c r="AA52" s="324">
        <v>99.17280593799714</v>
      </c>
      <c r="AB52" s="325">
        <v>99.522671927895345</v>
      </c>
      <c r="AC52" s="325">
        <v>100.97091882585207</v>
      </c>
      <c r="AD52" s="325">
        <v>102.40054168983019</v>
      </c>
      <c r="AE52" s="326">
        <v>102.45522515364785</v>
      </c>
      <c r="AF52" s="324">
        <v>102.52024194312881</v>
      </c>
      <c r="AG52" s="325">
        <v>102.46762199306249</v>
      </c>
      <c r="AH52" s="325">
        <v>102.45974760593474</v>
      </c>
      <c r="AI52" s="325">
        <v>102.21679572871689</v>
      </c>
      <c r="AJ52" s="326">
        <v>101.79521652921262</v>
      </c>
      <c r="AM52" s="842">
        <v>0</v>
      </c>
      <c r="AN52" s="842">
        <v>0</v>
      </c>
      <c r="AO52" s="842">
        <v>0</v>
      </c>
      <c r="AP52" s="842">
        <v>0</v>
      </c>
      <c r="AQ52" s="842">
        <v>0</v>
      </c>
      <c r="AR52" s="842"/>
      <c r="AS52" s="842"/>
      <c r="AT52" s="842"/>
      <c r="AU52" s="842"/>
      <c r="AV52" s="842"/>
      <c r="AW52" s="842"/>
      <c r="AX52" s="842"/>
      <c r="AY52" s="842"/>
      <c r="AZ52" s="842"/>
      <c r="BA52" s="842"/>
      <c r="BB52" s="842"/>
    </row>
    <row r="53" spans="2:54">
      <c r="D53" s="301" t="str">
        <f>E$33</f>
        <v>Desalination Payments (W&amp;S)</v>
      </c>
      <c r="K53" s="1315">
        <f t="shared" ref="K53:T53" si="31">K103</f>
        <v>0</v>
      </c>
      <c r="L53" s="296">
        <f t="shared" si="31"/>
        <v>0</v>
      </c>
      <c r="M53" s="296">
        <f t="shared" si="31"/>
        <v>0</v>
      </c>
      <c r="N53" s="1315">
        <f t="shared" si="31"/>
        <v>0</v>
      </c>
      <c r="O53" s="296">
        <f t="shared" si="31"/>
        <v>0</v>
      </c>
      <c r="P53" s="296">
        <f t="shared" si="31"/>
        <v>0</v>
      </c>
      <c r="Q53" s="296">
        <f t="shared" si="31"/>
        <v>0</v>
      </c>
      <c r="R53" s="1421">
        <f t="shared" si="31"/>
        <v>0</v>
      </c>
      <c r="S53" s="1315">
        <f t="shared" si="31"/>
        <v>0</v>
      </c>
      <c r="T53" s="296">
        <f t="shared" si="31"/>
        <v>0</v>
      </c>
      <c r="U53" s="450">
        <v>650.70394318422723</v>
      </c>
      <c r="V53" s="327">
        <v>637.96739843424859</v>
      </c>
      <c r="W53" s="328">
        <v>614.70472301684106</v>
      </c>
      <c r="X53" s="328">
        <v>577.90251660274885</v>
      </c>
      <c r="Y53" s="328">
        <v>547.30412034433414</v>
      </c>
      <c r="Z53" s="329">
        <v>530.2797577844874</v>
      </c>
      <c r="AA53" s="327">
        <v>519.65610716115782</v>
      </c>
      <c r="AB53" s="328">
        <v>507.23378314127302</v>
      </c>
      <c r="AC53" s="328">
        <v>502.13734976423558</v>
      </c>
      <c r="AD53" s="328">
        <v>480.98866546624782</v>
      </c>
      <c r="AE53" s="329">
        <v>460.29627939238156</v>
      </c>
      <c r="AF53" s="327">
        <v>438.03112520239159</v>
      </c>
      <c r="AG53" s="328">
        <v>414.00398512234364</v>
      </c>
      <c r="AH53" s="328">
        <v>378.84409564776519</v>
      </c>
      <c r="AI53" s="328">
        <v>351.94541390923274</v>
      </c>
      <c r="AJ53" s="329">
        <v>323.92970971699924</v>
      </c>
      <c r="AM53" s="842"/>
      <c r="AN53" s="842"/>
      <c r="AO53" s="842"/>
      <c r="AP53" s="842"/>
      <c r="AQ53" s="842"/>
      <c r="AR53" s="842"/>
      <c r="AS53" s="842"/>
      <c r="AT53" s="842"/>
      <c r="AU53" s="842"/>
      <c r="AV53" s="842"/>
      <c r="AW53" s="842"/>
      <c r="AX53" s="842"/>
      <c r="AY53" s="842"/>
      <c r="AZ53" s="842"/>
      <c r="BA53" s="842"/>
      <c r="BB53" s="842"/>
    </row>
    <row r="54" spans="2:54">
      <c r="D54" s="301" t="str">
        <f>E$31</f>
        <v>Licence fees</v>
      </c>
      <c r="K54" s="327"/>
      <c r="L54" s="328"/>
      <c r="M54" s="328"/>
      <c r="N54" s="327"/>
      <c r="O54" s="328"/>
      <c r="P54" s="328"/>
      <c r="Q54" s="328"/>
      <c r="R54" s="329"/>
      <c r="S54" s="327"/>
      <c r="T54" s="328"/>
      <c r="U54" s="450">
        <v>0.87186476865967433</v>
      </c>
      <c r="V54" s="327">
        <v>0.79824940938182598</v>
      </c>
      <c r="W54" s="328">
        <v>0.67207406650050749</v>
      </c>
      <c r="X54" s="328">
        <v>0.67723870267739383</v>
      </c>
      <c r="Y54" s="328">
        <v>0.67086948527205137</v>
      </c>
      <c r="Z54" s="329">
        <v>0.67086948527205137</v>
      </c>
      <c r="AA54" s="327">
        <v>0.67086948527205137</v>
      </c>
      <c r="AB54" s="328">
        <v>0.67086948527205137</v>
      </c>
      <c r="AC54" s="328">
        <v>0.67086948527205137</v>
      </c>
      <c r="AD54" s="328">
        <v>0.67086948527205137</v>
      </c>
      <c r="AE54" s="329">
        <v>0.67086948527205137</v>
      </c>
      <c r="AF54" s="327">
        <v>0.67086948527205137</v>
      </c>
      <c r="AG54" s="328">
        <v>0.67086948527205137</v>
      </c>
      <c r="AH54" s="328">
        <v>0.67086948527205137</v>
      </c>
      <c r="AI54" s="328">
        <v>0.67086948527205137</v>
      </c>
      <c r="AJ54" s="329">
        <v>0.67086948527205137</v>
      </c>
      <c r="AK54" s="88"/>
      <c r="AM54" s="842"/>
      <c r="AN54" s="842"/>
      <c r="AO54" s="842"/>
      <c r="AP54" s="842"/>
      <c r="AQ54" s="842"/>
      <c r="AR54" s="842"/>
      <c r="AS54" s="842"/>
      <c r="AT54" s="842"/>
      <c r="AU54" s="842"/>
      <c r="AV54" s="842"/>
      <c r="AW54" s="842"/>
      <c r="AX54" s="842"/>
      <c r="AY54" s="842"/>
      <c r="AZ54" s="842"/>
      <c r="BA54" s="842"/>
      <c r="BB54" s="842"/>
    </row>
    <row r="55" spans="2:54">
      <c r="D55" s="301" t="str">
        <f>E$26</f>
        <v>Corporate</v>
      </c>
      <c r="K55" s="327"/>
      <c r="L55" s="328"/>
      <c r="M55" s="328"/>
      <c r="N55" s="327"/>
      <c r="O55" s="328"/>
      <c r="P55" s="328"/>
      <c r="Q55" s="328"/>
      <c r="R55" s="329"/>
      <c r="S55" s="327"/>
      <c r="T55" s="328"/>
      <c r="U55" s="450">
        <v>41.127755077916824</v>
      </c>
      <c r="V55" s="327">
        <v>47.331311602293283</v>
      </c>
      <c r="W55" s="328">
        <v>51.910898501789191</v>
      </c>
      <c r="X55" s="328">
        <v>55.237897383493582</v>
      </c>
      <c r="Y55" s="328">
        <v>62.062690261667868</v>
      </c>
      <c r="Z55" s="329">
        <v>56.806837367511889</v>
      </c>
      <c r="AA55" s="327">
        <v>53.598095514152696</v>
      </c>
      <c r="AB55" s="328">
        <v>55.353918019516009</v>
      </c>
      <c r="AC55" s="328">
        <v>55.927082317289567</v>
      </c>
      <c r="AD55" s="328">
        <v>54.068397053787862</v>
      </c>
      <c r="AE55" s="329">
        <v>53.875230476174352</v>
      </c>
      <c r="AF55" s="327">
        <v>53.881693359420069</v>
      </c>
      <c r="AG55" s="328">
        <v>53.832590227671666</v>
      </c>
      <c r="AH55" s="328">
        <v>53.783543219362841</v>
      </c>
      <c r="AI55" s="328">
        <v>53.734552012187926</v>
      </c>
      <c r="AJ55" s="329">
        <v>53.685616291730121</v>
      </c>
      <c r="AM55" s="842"/>
      <c r="AN55" s="842"/>
      <c r="AO55" s="842"/>
      <c r="AP55" s="842"/>
      <c r="AQ55" s="842"/>
      <c r="AR55" s="842"/>
      <c r="AS55" s="842"/>
      <c r="AT55" s="842"/>
      <c r="AU55" s="842"/>
      <c r="AV55" s="842"/>
      <c r="AW55" s="842"/>
      <c r="AX55" s="842"/>
      <c r="AY55" s="842"/>
      <c r="AZ55" s="842"/>
      <c r="BA55" s="842"/>
      <c r="BB55" s="842"/>
    </row>
    <row r="56" spans="2:54">
      <c r="D56" s="301" t="str">
        <f>E$27</f>
        <v>Other operating expenditure</v>
      </c>
      <c r="K56" s="330"/>
      <c r="L56" s="331"/>
      <c r="M56" s="331"/>
      <c r="N56" s="330"/>
      <c r="O56" s="331"/>
      <c r="P56" s="331"/>
      <c r="Q56" s="331"/>
      <c r="R56" s="332"/>
      <c r="S56" s="330"/>
      <c r="T56" s="331"/>
      <c r="U56" s="451"/>
      <c r="V56" s="330"/>
      <c r="W56" s="331"/>
      <c r="X56" s="331"/>
      <c r="Y56" s="331"/>
      <c r="Z56" s="332"/>
      <c r="AA56" s="330"/>
      <c r="AB56" s="331"/>
      <c r="AC56" s="331"/>
      <c r="AD56" s="331"/>
      <c r="AE56" s="332"/>
      <c r="AF56" s="330"/>
      <c r="AG56" s="331"/>
      <c r="AH56" s="331"/>
      <c r="AI56" s="331"/>
      <c r="AJ56" s="332"/>
      <c r="AM56" s="842"/>
      <c r="AN56" s="842"/>
      <c r="AO56" s="842"/>
      <c r="AP56" s="842"/>
      <c r="AQ56" s="842"/>
      <c r="AR56" s="842"/>
      <c r="AS56" s="842"/>
      <c r="AT56" s="842"/>
      <c r="AU56" s="842"/>
      <c r="AV56" s="842"/>
      <c r="AW56" s="842"/>
      <c r="AX56" s="842"/>
      <c r="AY56" s="842"/>
      <c r="AZ56" s="842"/>
      <c r="BA56" s="842"/>
      <c r="BB56" s="842"/>
    </row>
    <row r="57" spans="2:54">
      <c r="C57" s="298" t="str">
        <f>+CONCATENATE("Total ",C51)</f>
        <v>Total Water</v>
      </c>
      <c r="K57" s="270">
        <f t="shared" ref="K57:AJ57" si="32">+SUM(K52:K56)</f>
        <v>0</v>
      </c>
      <c r="L57" s="270">
        <f t="shared" si="32"/>
        <v>0</v>
      </c>
      <c r="M57" s="270">
        <f t="shared" si="32"/>
        <v>0</v>
      </c>
      <c r="N57" s="296">
        <f t="shared" si="32"/>
        <v>0</v>
      </c>
      <c r="O57" s="296">
        <f t="shared" si="32"/>
        <v>0</v>
      </c>
      <c r="P57" s="296">
        <f t="shared" si="32"/>
        <v>0</v>
      </c>
      <c r="Q57" s="296">
        <f t="shared" si="32"/>
        <v>0</v>
      </c>
      <c r="R57" s="296">
        <f t="shared" si="32"/>
        <v>0</v>
      </c>
      <c r="S57" s="296">
        <f t="shared" si="32"/>
        <v>0</v>
      </c>
      <c r="T57" s="296">
        <f t="shared" si="32"/>
        <v>0</v>
      </c>
      <c r="U57" s="296">
        <f t="shared" si="32"/>
        <v>776.58560955676569</v>
      </c>
      <c r="V57" s="296">
        <f t="shared" si="32"/>
        <v>765.67121412356596</v>
      </c>
      <c r="W57" s="296">
        <f t="shared" si="32"/>
        <v>745.39802883385209</v>
      </c>
      <c r="X57" s="296">
        <f t="shared" si="32"/>
        <v>714.13868194637269</v>
      </c>
      <c r="Y57" s="296">
        <f t="shared" si="32"/>
        <v>708.02042598438788</v>
      </c>
      <c r="Z57" s="296">
        <f t="shared" si="32"/>
        <v>684.75222869378547</v>
      </c>
      <c r="AA57" s="296">
        <f t="shared" si="32"/>
        <v>673.09787809857971</v>
      </c>
      <c r="AB57" s="296">
        <f t="shared" si="32"/>
        <v>662.78124257395643</v>
      </c>
      <c r="AC57" s="296">
        <f t="shared" si="32"/>
        <v>659.70622039264924</v>
      </c>
      <c r="AD57" s="296">
        <f t="shared" si="32"/>
        <v>638.12847369513793</v>
      </c>
      <c r="AE57" s="296">
        <f t="shared" si="32"/>
        <v>617.29760450747585</v>
      </c>
      <c r="AF57" s="296">
        <f t="shared" si="32"/>
        <v>595.10392999021258</v>
      </c>
      <c r="AG57" s="296">
        <f t="shared" si="32"/>
        <v>570.9750668283499</v>
      </c>
      <c r="AH57" s="296">
        <f t="shared" si="32"/>
        <v>535.75825595833487</v>
      </c>
      <c r="AI57" s="296">
        <f t="shared" si="32"/>
        <v>508.56763113540961</v>
      </c>
      <c r="AJ57" s="296">
        <f t="shared" si="32"/>
        <v>480.08141202321406</v>
      </c>
      <c r="AM57" s="842"/>
      <c r="AN57" s="842"/>
      <c r="AO57" s="842"/>
      <c r="AP57" s="842"/>
      <c r="AQ57" s="842"/>
      <c r="AR57" s="842"/>
      <c r="AS57" s="842"/>
      <c r="AT57" s="842"/>
      <c r="AU57" s="842"/>
      <c r="AV57" s="842"/>
      <c r="AW57" s="842"/>
      <c r="AX57" s="842"/>
      <c r="AY57" s="842"/>
      <c r="AZ57" s="842"/>
      <c r="BA57" s="842"/>
      <c r="BB57" s="842"/>
    </row>
    <row r="58" spans="2:54">
      <c r="K58" s="270"/>
      <c r="L58" s="270"/>
      <c r="M58" s="270"/>
      <c r="N58" s="296"/>
      <c r="O58" s="296"/>
      <c r="P58" s="296"/>
      <c r="Q58" s="296"/>
      <c r="R58" s="296"/>
      <c r="S58" s="296"/>
      <c r="T58" s="296"/>
      <c r="U58" s="296"/>
      <c r="V58" s="296"/>
      <c r="W58" s="296"/>
      <c r="X58" s="296"/>
      <c r="Y58" s="296"/>
      <c r="Z58" s="1790">
        <f>SUM(V57:Z57)</f>
        <v>3617.9805795819639</v>
      </c>
      <c r="AA58" s="603"/>
      <c r="AB58" s="116"/>
      <c r="AC58" s="116"/>
      <c r="AD58" s="116"/>
      <c r="AE58" s="1790">
        <f>SUM(AA57:AE57)</f>
        <v>3251.0114192677993</v>
      </c>
      <c r="AF58" s="116"/>
      <c r="AG58" s="116"/>
      <c r="AH58" s="116"/>
      <c r="AI58" s="116"/>
      <c r="AJ58" s="1790">
        <f>SUM(AF57:AJ57)</f>
        <v>2690.486295935521</v>
      </c>
      <c r="AM58" s="842"/>
      <c r="AN58" s="842"/>
      <c r="AO58" s="842"/>
      <c r="AP58" s="842"/>
      <c r="AQ58" s="842"/>
      <c r="AR58" s="842"/>
      <c r="AS58" s="842"/>
      <c r="AT58" s="842"/>
      <c r="AU58" s="842"/>
      <c r="AV58" s="842"/>
      <c r="AW58" s="842"/>
      <c r="AX58" s="842"/>
      <c r="AY58" s="842"/>
      <c r="AZ58" s="842"/>
      <c r="BA58" s="842"/>
      <c r="BB58" s="842"/>
    </row>
    <row r="59" spans="2:54">
      <c r="C59" s="298" t="str">
        <f>E13</f>
        <v>Sewerage</v>
      </c>
      <c r="K59" s="270"/>
      <c r="L59" s="270"/>
      <c r="M59" s="270"/>
      <c r="N59" s="296"/>
      <c r="O59" s="296"/>
      <c r="P59" s="296"/>
      <c r="Q59" s="296"/>
      <c r="R59" s="296"/>
      <c r="S59" s="296"/>
      <c r="T59" s="296"/>
      <c r="U59" s="296"/>
      <c r="V59" s="296"/>
      <c r="W59" s="296"/>
      <c r="X59" s="296"/>
      <c r="Y59" s="296"/>
      <c r="Z59" s="296"/>
      <c r="AA59" s="296"/>
      <c r="AB59" s="296"/>
      <c r="AC59" s="296"/>
      <c r="AD59" s="296"/>
      <c r="AE59" s="296"/>
      <c r="AF59" s="296"/>
      <c r="AG59" s="296"/>
      <c r="AH59" s="296"/>
      <c r="AI59" s="296"/>
      <c r="AJ59" s="296"/>
      <c r="AM59" s="842"/>
      <c r="AN59" s="842"/>
      <c r="AO59" s="842"/>
      <c r="AP59" s="842"/>
      <c r="AQ59" s="842"/>
      <c r="AR59" s="842"/>
      <c r="AS59" s="842"/>
      <c r="AT59" s="842"/>
      <c r="AU59" s="842"/>
      <c r="AV59" s="842"/>
      <c r="AW59" s="842"/>
      <c r="AX59" s="842"/>
      <c r="AY59" s="842"/>
      <c r="AZ59" s="842"/>
      <c r="BA59" s="842"/>
      <c r="BB59" s="842"/>
    </row>
    <row r="60" spans="2:54">
      <c r="D60" s="301" t="str">
        <f>E$24</f>
        <v>Operations &amp; Maintenance</v>
      </c>
      <c r="K60" s="324"/>
      <c r="L60" s="325"/>
      <c r="M60" s="325"/>
      <c r="N60" s="324"/>
      <c r="O60" s="325"/>
      <c r="P60" s="325"/>
      <c r="Q60" s="325"/>
      <c r="R60" s="326"/>
      <c r="S60" s="324"/>
      <c r="T60" s="325"/>
      <c r="U60" s="449">
        <v>134.93397805955036</v>
      </c>
      <c r="V60" s="324">
        <v>142.31287771015707</v>
      </c>
      <c r="W60" s="325">
        <v>130.21968306897546</v>
      </c>
      <c r="X60" s="325">
        <v>124.47510760466518</v>
      </c>
      <c r="Y60" s="325">
        <v>128.40679787659383</v>
      </c>
      <c r="Z60" s="326">
        <v>127.162104274794</v>
      </c>
      <c r="AA60" s="324">
        <v>130.06604670692201</v>
      </c>
      <c r="AB60" s="325">
        <v>129.37886474426384</v>
      </c>
      <c r="AC60" s="325">
        <v>136.1639478351278</v>
      </c>
      <c r="AD60" s="325">
        <v>143.2746421621662</v>
      </c>
      <c r="AE60" s="326">
        <v>144.60740147043984</v>
      </c>
      <c r="AF60" s="324">
        <v>144.11115671817379</v>
      </c>
      <c r="AG60" s="325">
        <v>143.72673517413847</v>
      </c>
      <c r="AH60" s="325">
        <v>142.93106811743473</v>
      </c>
      <c r="AI60" s="325">
        <v>144.27248385706977</v>
      </c>
      <c r="AJ60" s="326">
        <v>142.73185020895929</v>
      </c>
      <c r="AM60" s="842"/>
      <c r="AN60" s="842"/>
      <c r="AO60" s="842"/>
      <c r="AP60" s="842"/>
      <c r="AQ60" s="842"/>
      <c r="AR60" s="842"/>
      <c r="AS60" s="842"/>
      <c r="AT60" s="842"/>
      <c r="AU60" s="842"/>
      <c r="AV60" s="842"/>
      <c r="AW60" s="842"/>
      <c r="AX60" s="842"/>
      <c r="AY60" s="842"/>
      <c r="AZ60" s="842"/>
      <c r="BA60" s="842"/>
      <c r="BB60" s="842"/>
    </row>
    <row r="61" spans="2:54">
      <c r="D61" s="301" t="str">
        <f>E$31</f>
        <v>Licence fees</v>
      </c>
      <c r="K61" s="327"/>
      <c r="L61" s="328"/>
      <c r="M61" s="328"/>
      <c r="N61" s="327"/>
      <c r="O61" s="328"/>
      <c r="P61" s="328"/>
      <c r="Q61" s="328"/>
      <c r="R61" s="329"/>
      <c r="S61" s="327"/>
      <c r="T61" s="328"/>
      <c r="U61" s="450">
        <v>2.0694075201385935</v>
      </c>
      <c r="V61" s="327">
        <v>1.5727299335440748</v>
      </c>
      <c r="W61" s="328">
        <v>1.6437962600872373</v>
      </c>
      <c r="X61" s="328">
        <v>3.495691514581559</v>
      </c>
      <c r="Y61" s="328">
        <v>1.9717857751176666</v>
      </c>
      <c r="Z61" s="329">
        <v>1.9717857751176666</v>
      </c>
      <c r="AA61" s="327">
        <v>1.9717857751176666</v>
      </c>
      <c r="AB61" s="328">
        <v>1.9717857751176666</v>
      </c>
      <c r="AC61" s="328">
        <v>1.9717857751176666</v>
      </c>
      <c r="AD61" s="328">
        <v>1.9717857751176666</v>
      </c>
      <c r="AE61" s="329">
        <v>1.9717857751176666</v>
      </c>
      <c r="AF61" s="327">
        <v>1.9717857751176666</v>
      </c>
      <c r="AG61" s="328">
        <v>1.9717857751176666</v>
      </c>
      <c r="AH61" s="328">
        <v>1.9717857751176666</v>
      </c>
      <c r="AI61" s="328">
        <v>1.9717857751176666</v>
      </c>
      <c r="AJ61" s="329">
        <v>1.9717857751176666</v>
      </c>
      <c r="AK61" s="88"/>
      <c r="AM61" s="842"/>
      <c r="AN61" s="842"/>
      <c r="AO61" s="842"/>
      <c r="AP61" s="842"/>
      <c r="AQ61" s="842"/>
      <c r="AR61" s="842"/>
      <c r="AS61" s="842"/>
      <c r="AT61" s="842"/>
      <c r="AU61" s="842"/>
      <c r="AV61" s="842"/>
      <c r="AW61" s="842"/>
      <c r="AX61" s="842"/>
      <c r="AY61" s="842"/>
      <c r="AZ61" s="842"/>
      <c r="BA61" s="842"/>
      <c r="BB61" s="842"/>
    </row>
    <row r="62" spans="2:54">
      <c r="D62" s="301" t="str">
        <f>E$26</f>
        <v>Corporate</v>
      </c>
      <c r="K62" s="327"/>
      <c r="L62" s="328"/>
      <c r="M62" s="328"/>
      <c r="N62" s="327"/>
      <c r="O62" s="328"/>
      <c r="P62" s="328"/>
      <c r="Q62" s="328"/>
      <c r="R62" s="329"/>
      <c r="S62" s="327"/>
      <c r="T62" s="328"/>
      <c r="U62" s="450">
        <v>54.434952257170671</v>
      </c>
      <c r="V62" s="327">
        <v>62.585726929428397</v>
      </c>
      <c r="W62" s="328">
        <v>68.722977629214967</v>
      </c>
      <c r="X62" s="328">
        <v>73.372289412118391</v>
      </c>
      <c r="Y62" s="328">
        <v>81.035035448548228</v>
      </c>
      <c r="Z62" s="329">
        <v>74.100926465952853</v>
      </c>
      <c r="AA62" s="327">
        <v>69.840368225779116</v>
      </c>
      <c r="AB62" s="328">
        <v>72.174718826066595</v>
      </c>
      <c r="AC62" s="328">
        <v>72.936773742750304</v>
      </c>
      <c r="AD62" s="328">
        <v>70.465785997838864</v>
      </c>
      <c r="AE62" s="329">
        <v>70.209033274306478</v>
      </c>
      <c r="AF62" s="327">
        <v>70.217994800748528</v>
      </c>
      <c r="AG62" s="328">
        <v>70.153081881151095</v>
      </c>
      <c r="AH62" s="328">
        <v>70.088241836018355</v>
      </c>
      <c r="AI62" s="328">
        <v>70.023474277698512</v>
      </c>
      <c r="AJ62" s="329">
        <v>69.958778827884473</v>
      </c>
      <c r="AM62" s="842"/>
      <c r="AN62" s="842"/>
      <c r="AO62" s="842"/>
      <c r="AP62" s="842"/>
      <c r="AQ62" s="842"/>
      <c r="AR62" s="842"/>
      <c r="AS62" s="842"/>
      <c r="AT62" s="842"/>
      <c r="AU62" s="842"/>
      <c r="AV62" s="842"/>
      <c r="AW62" s="842"/>
      <c r="AX62" s="842"/>
      <c r="AY62" s="842"/>
      <c r="AZ62" s="842"/>
      <c r="BA62" s="842"/>
      <c r="BB62" s="842"/>
    </row>
    <row r="63" spans="2:54">
      <c r="D63" s="301" t="str">
        <f>E$27</f>
        <v>Other operating expenditure</v>
      </c>
      <c r="K63" s="330"/>
      <c r="L63" s="331"/>
      <c r="M63" s="331"/>
      <c r="N63" s="330"/>
      <c r="O63" s="331"/>
      <c r="P63" s="331"/>
      <c r="Q63" s="331"/>
      <c r="R63" s="332"/>
      <c r="S63" s="330"/>
      <c r="T63" s="331"/>
      <c r="U63" s="451"/>
      <c r="V63" s="330"/>
      <c r="W63" s="331"/>
      <c r="X63" s="331"/>
      <c r="Y63" s="331"/>
      <c r="Z63" s="332"/>
      <c r="AA63" s="330"/>
      <c r="AB63" s="331"/>
      <c r="AC63" s="331"/>
      <c r="AD63" s="331"/>
      <c r="AE63" s="332"/>
      <c r="AF63" s="330"/>
      <c r="AG63" s="331"/>
      <c r="AH63" s="331"/>
      <c r="AI63" s="331"/>
      <c r="AJ63" s="332"/>
      <c r="AM63" s="842"/>
      <c r="AN63" s="842"/>
      <c r="AO63" s="842"/>
      <c r="AP63" s="842"/>
      <c r="AQ63" s="842"/>
      <c r="AR63" s="842"/>
      <c r="AS63" s="842"/>
      <c r="AT63" s="842"/>
      <c r="AU63" s="842"/>
      <c r="AV63" s="842"/>
      <c r="AW63" s="842"/>
      <c r="AX63" s="842"/>
      <c r="AY63" s="842"/>
      <c r="AZ63" s="842"/>
      <c r="BA63" s="842"/>
      <c r="BB63" s="842"/>
    </row>
    <row r="64" spans="2:54">
      <c r="C64" s="298" t="str">
        <f>+CONCATENATE("Total ",C59)</f>
        <v>Total Sewerage</v>
      </c>
      <c r="K64" s="270">
        <f t="shared" ref="K64:AJ64" si="33">+SUM(K60:K63)</f>
        <v>0</v>
      </c>
      <c r="L64" s="270">
        <f t="shared" si="33"/>
        <v>0</v>
      </c>
      <c r="M64" s="270">
        <f t="shared" si="33"/>
        <v>0</v>
      </c>
      <c r="N64" s="296">
        <f t="shared" si="33"/>
        <v>0</v>
      </c>
      <c r="O64" s="296">
        <f t="shared" si="33"/>
        <v>0</v>
      </c>
      <c r="P64" s="296">
        <f t="shared" si="33"/>
        <v>0</v>
      </c>
      <c r="Q64" s="296">
        <f t="shared" si="33"/>
        <v>0</v>
      </c>
      <c r="R64" s="296">
        <f t="shared" si="33"/>
        <v>0</v>
      </c>
      <c r="S64" s="296">
        <f t="shared" si="33"/>
        <v>0</v>
      </c>
      <c r="T64" s="296">
        <f t="shared" si="33"/>
        <v>0</v>
      </c>
      <c r="U64" s="296">
        <f t="shared" si="33"/>
        <v>191.4383378368596</v>
      </c>
      <c r="V64" s="296">
        <f t="shared" si="33"/>
        <v>206.47133457312955</v>
      </c>
      <c r="W64" s="296">
        <f t="shared" si="33"/>
        <v>200.58645695827767</v>
      </c>
      <c r="X64" s="296">
        <f t="shared" si="33"/>
        <v>201.34308853136514</v>
      </c>
      <c r="Y64" s="296">
        <f t="shared" si="33"/>
        <v>211.41361910025972</v>
      </c>
      <c r="Z64" s="296">
        <f t="shared" si="33"/>
        <v>203.23481651586451</v>
      </c>
      <c r="AA64" s="296">
        <f t="shared" si="33"/>
        <v>201.87820070781879</v>
      </c>
      <c r="AB64" s="296">
        <f t="shared" si="33"/>
        <v>203.5253693454481</v>
      </c>
      <c r="AC64" s="296">
        <f t="shared" si="33"/>
        <v>211.07250735299579</v>
      </c>
      <c r="AD64" s="296">
        <f t="shared" si="33"/>
        <v>215.71221393512275</v>
      </c>
      <c r="AE64" s="296">
        <f t="shared" si="33"/>
        <v>216.78822051986398</v>
      </c>
      <c r="AF64" s="296">
        <f t="shared" si="33"/>
        <v>216.30093729403998</v>
      </c>
      <c r="AG64" s="296">
        <f t="shared" si="33"/>
        <v>215.85160283040722</v>
      </c>
      <c r="AH64" s="296">
        <f t="shared" si="33"/>
        <v>214.99109572857077</v>
      </c>
      <c r="AI64" s="296">
        <f t="shared" si="33"/>
        <v>216.26774390988595</v>
      </c>
      <c r="AJ64" s="296">
        <f t="shared" si="33"/>
        <v>214.66241481196141</v>
      </c>
      <c r="AM64" s="842"/>
      <c r="AN64" s="842"/>
      <c r="AO64" s="842"/>
      <c r="AP64" s="842"/>
      <c r="AQ64" s="842"/>
      <c r="AR64" s="842"/>
      <c r="AS64" s="842"/>
      <c r="AT64" s="842"/>
      <c r="AU64" s="842"/>
      <c r="AV64" s="842"/>
      <c r="AW64" s="842"/>
      <c r="AX64" s="842"/>
      <c r="AY64" s="842"/>
      <c r="AZ64" s="842"/>
      <c r="BA64" s="842"/>
      <c r="BB64" s="842"/>
    </row>
    <row r="65" spans="3:54">
      <c r="K65" s="270"/>
      <c r="L65" s="270"/>
      <c r="M65" s="270"/>
      <c r="N65" s="296"/>
      <c r="O65" s="296"/>
      <c r="P65" s="296"/>
      <c r="Q65" s="296"/>
      <c r="R65" s="296"/>
      <c r="S65" s="296"/>
      <c r="T65" s="296"/>
      <c r="U65" s="296"/>
      <c r="V65" s="296"/>
      <c r="W65" s="296"/>
      <c r="X65" s="296"/>
      <c r="Y65" s="296"/>
      <c r="Z65" s="1790">
        <f>SUM(V64:Z64)</f>
        <v>1023.0493156788965</v>
      </c>
      <c r="AA65" s="603"/>
      <c r="AB65" s="116"/>
      <c r="AC65" s="116"/>
      <c r="AD65" s="116"/>
      <c r="AE65" s="1790">
        <f>SUM(AA64:AE64)</f>
        <v>1048.9765118612493</v>
      </c>
      <c r="AF65" s="116"/>
      <c r="AG65" s="116"/>
      <c r="AH65" s="116"/>
      <c r="AI65" s="116"/>
      <c r="AJ65" s="1790">
        <f>SUM(AF64:AJ64)</f>
        <v>1078.0737945748651</v>
      </c>
      <c r="AM65" s="842"/>
      <c r="AN65" s="842"/>
      <c r="AO65" s="842"/>
      <c r="AP65" s="842"/>
      <c r="AQ65" s="842"/>
      <c r="AR65" s="842"/>
      <c r="AS65" s="842"/>
      <c r="AT65" s="842"/>
      <c r="AU65" s="842"/>
      <c r="AV65" s="842"/>
      <c r="AW65" s="842"/>
      <c r="AX65" s="842"/>
      <c r="AY65" s="842"/>
      <c r="AZ65" s="842"/>
      <c r="BA65" s="842"/>
      <c r="BB65" s="842"/>
    </row>
    <row r="66" spans="3:54">
      <c r="C66" s="298" t="str">
        <f>E14</f>
        <v>Recycled Water</v>
      </c>
      <c r="K66" s="270"/>
      <c r="L66" s="270"/>
      <c r="M66" s="270"/>
      <c r="N66" s="296"/>
      <c r="O66" s="296"/>
      <c r="P66" s="296"/>
      <c r="Q66" s="296"/>
      <c r="R66" s="296"/>
      <c r="S66" s="296"/>
      <c r="T66" s="296"/>
      <c r="U66" s="296"/>
      <c r="V66" s="296"/>
      <c r="W66" s="296"/>
      <c r="X66" s="296"/>
      <c r="Y66" s="296"/>
      <c r="Z66" s="296"/>
      <c r="AA66" s="296"/>
      <c r="AB66" s="296"/>
      <c r="AC66" s="116"/>
      <c r="AD66" s="116"/>
      <c r="AE66" s="116"/>
      <c r="AF66" s="116"/>
      <c r="AG66" s="116"/>
      <c r="AH66" s="116"/>
      <c r="AI66" s="116"/>
      <c r="AJ66" s="116"/>
      <c r="AM66" s="842">
        <v>0</v>
      </c>
      <c r="AN66" s="842">
        <v>0</v>
      </c>
      <c r="AO66" s="842">
        <v>0</v>
      </c>
      <c r="AP66" s="842">
        <v>0</v>
      </c>
      <c r="AQ66" s="842">
        <v>0</v>
      </c>
      <c r="AR66" s="842"/>
      <c r="AS66" s="842"/>
      <c r="AT66" s="842"/>
      <c r="AU66" s="842"/>
      <c r="AV66" s="842"/>
      <c r="AW66" s="842"/>
      <c r="AX66" s="842"/>
      <c r="AY66" s="842"/>
      <c r="AZ66" s="842"/>
      <c r="BA66" s="842"/>
      <c r="BB66" s="842"/>
    </row>
    <row r="67" spans="3:54">
      <c r="D67" s="301" t="str">
        <f>E$24</f>
        <v>Operations &amp; Maintenance</v>
      </c>
      <c r="K67" s="324"/>
      <c r="L67" s="325"/>
      <c r="M67" s="325"/>
      <c r="N67" s="324"/>
      <c r="O67" s="325"/>
      <c r="P67" s="325"/>
      <c r="Q67" s="325"/>
      <c r="R67" s="326"/>
      <c r="S67" s="324"/>
      <c r="T67" s="325"/>
      <c r="U67" s="449">
        <v>2.8213780881652992</v>
      </c>
      <c r="V67" s="324">
        <v>3.0962116542462197</v>
      </c>
      <c r="W67" s="325">
        <v>1.6110311625916953</v>
      </c>
      <c r="X67" s="325">
        <v>1.8685968790615961</v>
      </c>
      <c r="Y67" s="325">
        <v>2.5114951382484798</v>
      </c>
      <c r="Z67" s="326">
        <v>2.5090691703711387</v>
      </c>
      <c r="AA67" s="324">
        <v>2.5066432024937977</v>
      </c>
      <c r="AB67" s="325">
        <v>2.5063774631659173</v>
      </c>
      <c r="AC67" s="325">
        <v>2.5068511699787628</v>
      </c>
      <c r="AD67" s="325">
        <v>2.508215179983051</v>
      </c>
      <c r="AE67" s="326">
        <v>2.5080756664230082</v>
      </c>
      <c r="AF67" s="324">
        <v>2.5067608257352272</v>
      </c>
      <c r="AG67" s="325">
        <v>2.5110589463546371</v>
      </c>
      <c r="AH67" s="325">
        <v>2.5095442271307973</v>
      </c>
      <c r="AI67" s="325">
        <v>2.5194262068765974</v>
      </c>
      <c r="AJ67" s="326">
        <v>2.5009794834236923</v>
      </c>
      <c r="AM67" s="842">
        <v>0</v>
      </c>
      <c r="AN67" s="842">
        <v>0</v>
      </c>
      <c r="AO67" s="842">
        <v>0</v>
      </c>
      <c r="AP67" s="842">
        <v>0</v>
      </c>
      <c r="AQ67" s="842">
        <v>0</v>
      </c>
      <c r="AR67" s="842"/>
      <c r="AS67" s="842"/>
      <c r="AT67" s="842"/>
      <c r="AU67" s="842"/>
      <c r="AV67" s="842"/>
      <c r="AW67" s="842"/>
      <c r="AX67" s="842"/>
      <c r="AY67" s="842"/>
      <c r="AZ67" s="842"/>
      <c r="BA67" s="842"/>
      <c r="BB67" s="842"/>
    </row>
    <row r="68" spans="3:54">
      <c r="D68" s="301" t="str">
        <f>E$31</f>
        <v>Licence fees</v>
      </c>
      <c r="K68" s="327"/>
      <c r="L68" s="328"/>
      <c r="M68" s="328"/>
      <c r="N68" s="327"/>
      <c r="O68" s="328"/>
      <c r="P68" s="328"/>
      <c r="Q68" s="328"/>
      <c r="R68" s="329"/>
      <c r="S68" s="327"/>
      <c r="T68" s="328"/>
      <c r="U68" s="450">
        <v>9.1093224304332459E-3</v>
      </c>
      <c r="V68" s="327">
        <v>8.317104267744577E-3</v>
      </c>
      <c r="W68" s="328">
        <v>6.4183989679825314E-3</v>
      </c>
      <c r="X68" s="328">
        <v>6.4188316610565574E-3</v>
      </c>
      <c r="Y68" s="328">
        <v>6.4109739287983563E-3</v>
      </c>
      <c r="Z68" s="329">
        <v>6.4109739287983563E-3</v>
      </c>
      <c r="AA68" s="327">
        <v>6.4109739287983563E-3</v>
      </c>
      <c r="AB68" s="328">
        <v>6.4109739287983563E-3</v>
      </c>
      <c r="AC68" s="328">
        <v>6.4109739287983563E-3</v>
      </c>
      <c r="AD68" s="328">
        <v>6.4109739287983563E-3</v>
      </c>
      <c r="AE68" s="329">
        <v>6.4109739287983563E-3</v>
      </c>
      <c r="AF68" s="327">
        <v>6.4109739287983563E-3</v>
      </c>
      <c r="AG68" s="328">
        <v>6.4109739287983563E-3</v>
      </c>
      <c r="AH68" s="328">
        <v>6.4109739287983563E-3</v>
      </c>
      <c r="AI68" s="328">
        <v>6.4109739287983563E-3</v>
      </c>
      <c r="AJ68" s="329">
        <v>6.4109739287983563E-3</v>
      </c>
      <c r="AM68" s="842">
        <v>0</v>
      </c>
      <c r="AN68" s="842">
        <v>0</v>
      </c>
      <c r="AO68" s="842">
        <v>0</v>
      </c>
      <c r="AP68" s="842">
        <v>0</v>
      </c>
      <c r="AQ68" s="842">
        <v>0</v>
      </c>
      <c r="AR68" s="842"/>
      <c r="AS68" s="842"/>
      <c r="AT68" s="842"/>
      <c r="AU68" s="842"/>
      <c r="AV68" s="842"/>
      <c r="AW68" s="842"/>
      <c r="AX68" s="842"/>
      <c r="AY68" s="842"/>
      <c r="AZ68" s="842"/>
      <c r="BA68" s="842"/>
      <c r="BB68" s="842"/>
    </row>
    <row r="69" spans="3:54">
      <c r="D69" s="301" t="str">
        <f>E$26</f>
        <v>Corporate</v>
      </c>
      <c r="K69" s="327"/>
      <c r="L69" s="328"/>
      <c r="M69" s="328"/>
      <c r="N69" s="327"/>
      <c r="O69" s="328"/>
      <c r="P69" s="328"/>
      <c r="Q69" s="328"/>
      <c r="R69" s="329"/>
      <c r="S69" s="327"/>
      <c r="T69" s="328"/>
      <c r="U69" s="450">
        <v>1.1326222428534858</v>
      </c>
      <c r="V69" s="327">
        <v>1.3269530805436434</v>
      </c>
      <c r="W69" s="328">
        <v>1.49451222612406</v>
      </c>
      <c r="X69" s="328">
        <v>1.4732598303559075</v>
      </c>
      <c r="Y69" s="328">
        <v>1.5905814513582075</v>
      </c>
      <c r="Z69" s="329">
        <v>1.5110885780800944</v>
      </c>
      <c r="AA69" s="327">
        <v>1.4315957048019814</v>
      </c>
      <c r="AB69" s="328">
        <v>1.4596478496560563</v>
      </c>
      <c r="AC69" s="328">
        <v>1.4685374563400626</v>
      </c>
      <c r="AD69" s="328">
        <v>1.4380112802603819</v>
      </c>
      <c r="AE69" s="329">
        <v>1.4344988973454311</v>
      </c>
      <c r="AF69" s="327">
        <v>1.4337183260011994</v>
      </c>
      <c r="AG69" s="328">
        <v>1.4320477860261536</v>
      </c>
      <c r="AH69" s="328">
        <v>1.4303887749205522</v>
      </c>
      <c r="AI69" s="328">
        <v>1.4287410014915363</v>
      </c>
      <c r="AJ69" s="329">
        <v>1.4271041827208626</v>
      </c>
      <c r="AM69" s="842">
        <v>0</v>
      </c>
      <c r="AN69" s="842">
        <v>0</v>
      </c>
      <c r="AO69" s="842">
        <v>0</v>
      </c>
      <c r="AP69" s="842">
        <v>0</v>
      </c>
      <c r="AQ69" s="842">
        <v>0</v>
      </c>
      <c r="AR69" s="842"/>
      <c r="AS69" s="842"/>
      <c r="AT69" s="842"/>
      <c r="AU69" s="842"/>
      <c r="AV69" s="842"/>
      <c r="AW69" s="842"/>
      <c r="AX69" s="842"/>
      <c r="AY69" s="842"/>
      <c r="AZ69" s="842"/>
      <c r="BA69" s="842"/>
      <c r="BB69" s="842"/>
    </row>
    <row r="70" spans="3:54">
      <c r="D70" s="301" t="str">
        <f>E$27</f>
        <v>Other operating expenditure</v>
      </c>
      <c r="K70" s="330"/>
      <c r="L70" s="331"/>
      <c r="M70" s="331"/>
      <c r="N70" s="330"/>
      <c r="O70" s="331"/>
      <c r="P70" s="331"/>
      <c r="Q70" s="331"/>
      <c r="R70" s="332"/>
      <c r="S70" s="330"/>
      <c r="T70" s="331"/>
      <c r="U70" s="451"/>
      <c r="V70" s="330"/>
      <c r="W70" s="331"/>
      <c r="X70" s="331"/>
      <c r="Y70" s="331"/>
      <c r="Z70" s="332"/>
      <c r="AA70" s="330"/>
      <c r="AB70" s="331"/>
      <c r="AC70" s="331"/>
      <c r="AD70" s="331"/>
      <c r="AE70" s="332"/>
      <c r="AF70" s="330"/>
      <c r="AG70" s="331"/>
      <c r="AH70" s="331"/>
      <c r="AI70" s="331"/>
      <c r="AJ70" s="332"/>
      <c r="AM70" s="842">
        <v>0</v>
      </c>
      <c r="AN70" s="842">
        <v>0</v>
      </c>
      <c r="AO70" s="842">
        <v>0</v>
      </c>
      <c r="AP70" s="842">
        <v>0</v>
      </c>
      <c r="AQ70" s="842">
        <v>0</v>
      </c>
      <c r="AR70" s="842"/>
      <c r="AS70" s="842"/>
      <c r="AT70" s="842"/>
      <c r="AU70" s="842"/>
      <c r="AV70" s="842"/>
      <c r="AW70" s="842"/>
      <c r="AX70" s="842"/>
      <c r="AY70" s="842"/>
      <c r="AZ70" s="842"/>
      <c r="BA70" s="842"/>
      <c r="BB70" s="842"/>
    </row>
    <row r="71" spans="3:54">
      <c r="C71" s="298" t="str">
        <f>+CONCATENATE("Total ",C66)</f>
        <v>Total Recycled Water</v>
      </c>
      <c r="K71" s="270">
        <f t="shared" ref="K71:AJ71" si="34">+SUM(K67:K70)</f>
        <v>0</v>
      </c>
      <c r="L71" s="270">
        <f t="shared" si="34"/>
        <v>0</v>
      </c>
      <c r="M71" s="270">
        <f t="shared" si="34"/>
        <v>0</v>
      </c>
      <c r="N71" s="296">
        <f t="shared" si="34"/>
        <v>0</v>
      </c>
      <c r="O71" s="296">
        <f t="shared" si="34"/>
        <v>0</v>
      </c>
      <c r="P71" s="296">
        <f t="shared" si="34"/>
        <v>0</v>
      </c>
      <c r="Q71" s="296">
        <f t="shared" si="34"/>
        <v>0</v>
      </c>
      <c r="R71" s="296">
        <f t="shared" si="34"/>
        <v>0</v>
      </c>
      <c r="S71" s="296">
        <f t="shared" si="34"/>
        <v>0</v>
      </c>
      <c r="T71" s="296">
        <f t="shared" si="34"/>
        <v>0</v>
      </c>
      <c r="U71" s="296">
        <f t="shared" si="34"/>
        <v>3.9631096534492181</v>
      </c>
      <c r="V71" s="296">
        <f t="shared" si="34"/>
        <v>4.4314818390576072</v>
      </c>
      <c r="W71" s="296">
        <f t="shared" si="34"/>
        <v>3.1119617876837378</v>
      </c>
      <c r="X71" s="296">
        <f t="shared" si="34"/>
        <v>3.3482755410785598</v>
      </c>
      <c r="Y71" s="296">
        <f t="shared" si="34"/>
        <v>4.1084875635354852</v>
      </c>
      <c r="Z71" s="296">
        <f t="shared" si="34"/>
        <v>4.0265687223800315</v>
      </c>
      <c r="AA71" s="296">
        <f t="shared" si="34"/>
        <v>3.9446498812245774</v>
      </c>
      <c r="AB71" s="296">
        <f t="shared" si="34"/>
        <v>3.9724362867507717</v>
      </c>
      <c r="AC71" s="296">
        <f t="shared" si="34"/>
        <v>3.9817996002476237</v>
      </c>
      <c r="AD71" s="296">
        <f t="shared" si="34"/>
        <v>3.9526374341722312</v>
      </c>
      <c r="AE71" s="296">
        <f t="shared" si="34"/>
        <v>3.9489855376972374</v>
      </c>
      <c r="AF71" s="296">
        <f t="shared" si="34"/>
        <v>3.9468901256652247</v>
      </c>
      <c r="AG71" s="296">
        <f t="shared" si="34"/>
        <v>3.9495177063095888</v>
      </c>
      <c r="AH71" s="296">
        <f t="shared" si="34"/>
        <v>3.946343975980148</v>
      </c>
      <c r="AI71" s="296">
        <f t="shared" si="34"/>
        <v>3.9545781822969319</v>
      </c>
      <c r="AJ71" s="296">
        <f t="shared" si="34"/>
        <v>3.9344946400733534</v>
      </c>
      <c r="AM71" s="842">
        <v>0</v>
      </c>
      <c r="AN71" s="842">
        <v>0</v>
      </c>
      <c r="AO71" s="842">
        <v>0</v>
      </c>
      <c r="AP71" s="842">
        <v>0</v>
      </c>
      <c r="AQ71" s="842">
        <v>0</v>
      </c>
      <c r="AR71" s="842"/>
      <c r="AS71" s="842"/>
      <c r="AT71" s="842"/>
      <c r="AU71" s="842"/>
      <c r="AV71" s="842"/>
      <c r="AW71" s="842"/>
      <c r="AX71" s="842"/>
      <c r="AY71" s="842"/>
      <c r="AZ71" s="842"/>
      <c r="BA71" s="842"/>
      <c r="BB71" s="842"/>
    </row>
    <row r="72" spans="3:54">
      <c r="C72" s="307"/>
      <c r="K72" s="270"/>
      <c r="L72" s="270"/>
      <c r="M72" s="270"/>
      <c r="N72" s="296"/>
      <c r="O72" s="296"/>
      <c r="P72" s="296"/>
      <c r="Q72" s="296"/>
      <c r="R72" s="296"/>
      <c r="S72" s="296"/>
      <c r="T72" s="296"/>
      <c r="U72" s="296"/>
      <c r="V72" s="296"/>
      <c r="W72" s="296"/>
      <c r="X72" s="296"/>
      <c r="Y72" s="296"/>
      <c r="Z72" s="1790">
        <f>SUM(V71:Z71)</f>
        <v>19.026775453735421</v>
      </c>
      <c r="AA72" s="603"/>
      <c r="AB72" s="116"/>
      <c r="AC72" s="116"/>
      <c r="AD72" s="116"/>
      <c r="AE72" s="1790">
        <f>SUM(AA71:AE71)</f>
        <v>19.80050874009244</v>
      </c>
      <c r="AF72" s="116"/>
      <c r="AG72" s="116"/>
      <c r="AH72" s="116"/>
      <c r="AI72" s="116"/>
      <c r="AJ72" s="1790">
        <f>SUM(AF71:AJ71)</f>
        <v>19.731824630325246</v>
      </c>
      <c r="AM72" s="842">
        <v>0</v>
      </c>
      <c r="AN72" s="842">
        <v>0</v>
      </c>
      <c r="AO72" s="842">
        <v>0</v>
      </c>
      <c r="AP72" s="842">
        <v>0</v>
      </c>
      <c r="AQ72" s="842">
        <v>0</v>
      </c>
      <c r="AR72" s="842"/>
      <c r="AS72" s="842"/>
      <c r="AT72" s="842"/>
      <c r="AU72" s="842"/>
      <c r="AV72" s="842"/>
      <c r="AW72" s="842"/>
      <c r="AX72" s="842"/>
      <c r="AY72" s="842"/>
      <c r="AZ72" s="842"/>
      <c r="BA72" s="842"/>
      <c r="BB72" s="842"/>
    </row>
    <row r="73" spans="3:54">
      <c r="C73" s="308" t="str">
        <f>E15</f>
        <v>Waterways and Drainage</v>
      </c>
      <c r="D73" s="67"/>
      <c r="E73" s="67"/>
      <c r="F73" s="67"/>
      <c r="G73" s="67"/>
      <c r="H73" s="67"/>
      <c r="I73" s="67"/>
      <c r="J73" s="67"/>
      <c r="K73" s="270"/>
      <c r="L73" s="270"/>
      <c r="M73" s="270"/>
      <c r="N73" s="296"/>
      <c r="O73" s="296"/>
      <c r="P73" s="296"/>
      <c r="Q73" s="296"/>
      <c r="R73" s="296"/>
      <c r="S73" s="296"/>
      <c r="T73" s="296"/>
      <c r="U73" s="296"/>
      <c r="V73" s="296"/>
      <c r="W73" s="296"/>
      <c r="X73" s="296"/>
      <c r="Y73" s="296"/>
      <c r="Z73" s="296"/>
      <c r="AA73" s="296"/>
      <c r="AB73" s="296"/>
      <c r="AC73" s="296"/>
      <c r="AD73" s="296"/>
      <c r="AE73" s="296"/>
      <c r="AF73" s="296"/>
      <c r="AG73" s="296"/>
      <c r="AH73" s="296"/>
      <c r="AI73" s="296"/>
      <c r="AJ73" s="296"/>
      <c r="AM73" s="842">
        <v>0</v>
      </c>
      <c r="AN73" s="842">
        <v>0</v>
      </c>
      <c r="AO73" s="842">
        <v>0</v>
      </c>
      <c r="AP73" s="842">
        <v>0</v>
      </c>
      <c r="AQ73" s="842">
        <v>0</v>
      </c>
      <c r="AR73" s="842"/>
      <c r="AS73" s="842"/>
      <c r="AT73" s="842"/>
      <c r="AU73" s="842"/>
      <c r="AV73" s="842"/>
      <c r="AW73" s="842"/>
      <c r="AX73" s="842"/>
      <c r="AY73" s="842"/>
      <c r="AZ73" s="842"/>
      <c r="BA73" s="842"/>
      <c r="BB73" s="842"/>
    </row>
    <row r="74" spans="3:54">
      <c r="C74" s="67"/>
      <c r="D74" s="301" t="str">
        <f>E$24</f>
        <v>Operations &amp; Maintenance</v>
      </c>
      <c r="E74" s="67"/>
      <c r="F74" s="67"/>
      <c r="G74" s="67"/>
      <c r="H74" s="67"/>
      <c r="I74" s="67"/>
      <c r="J74" s="67"/>
      <c r="K74" s="324"/>
      <c r="L74" s="325"/>
      <c r="M74" s="325"/>
      <c r="N74" s="324"/>
      <c r="O74" s="325"/>
      <c r="P74" s="325"/>
      <c r="Q74" s="325"/>
      <c r="R74" s="326"/>
      <c r="S74" s="324"/>
      <c r="T74" s="325"/>
      <c r="U74" s="449">
        <v>100.41353951398942</v>
      </c>
      <c r="V74" s="324">
        <v>115.24386312281433</v>
      </c>
      <c r="W74" s="325">
        <v>115.9652263014066</v>
      </c>
      <c r="X74" s="325">
        <v>116.25184942533647</v>
      </c>
      <c r="Y74" s="325">
        <v>135.02705814191035</v>
      </c>
      <c r="Z74" s="326">
        <v>132.78442509515372</v>
      </c>
      <c r="AA74" s="324">
        <v>134.91273653998249</v>
      </c>
      <c r="AB74" s="325">
        <v>135.71856257682342</v>
      </c>
      <c r="AC74" s="325">
        <v>136.58483015975736</v>
      </c>
      <c r="AD74" s="325">
        <v>136.8723235503372</v>
      </c>
      <c r="AE74" s="326">
        <v>136.95723362298705</v>
      </c>
      <c r="AF74" s="324">
        <v>136.96676552318755</v>
      </c>
      <c r="AG74" s="325">
        <v>136.76132083892301</v>
      </c>
      <c r="AH74" s="325">
        <v>136.64715574045906</v>
      </c>
      <c r="AI74" s="325">
        <v>136.61122413046039</v>
      </c>
      <c r="AJ74" s="326">
        <v>136.38198894430829</v>
      </c>
      <c r="AM74" s="842">
        <v>0</v>
      </c>
      <c r="AN74" s="842">
        <v>0</v>
      </c>
      <c r="AO74" s="842">
        <v>0</v>
      </c>
      <c r="AP74" s="842">
        <v>0</v>
      </c>
      <c r="AQ74" s="842">
        <v>0</v>
      </c>
      <c r="AR74" s="842"/>
      <c r="AS74" s="842"/>
      <c r="AT74" s="842"/>
      <c r="AU74" s="842"/>
      <c r="AV74" s="842"/>
      <c r="AW74" s="842"/>
      <c r="AX74" s="842"/>
      <c r="AY74" s="842"/>
      <c r="AZ74" s="842"/>
      <c r="BA74" s="842"/>
      <c r="BB74" s="842"/>
    </row>
    <row r="75" spans="3:54">
      <c r="C75" s="67"/>
      <c r="D75" s="301" t="str">
        <f>E$25</f>
        <v>Customer Service and billing</v>
      </c>
      <c r="E75" s="67"/>
      <c r="F75" s="67"/>
      <c r="G75" s="67"/>
      <c r="H75" s="67"/>
      <c r="I75" s="67"/>
      <c r="J75" s="67"/>
      <c r="K75" s="327"/>
      <c r="L75" s="328"/>
      <c r="M75" s="328"/>
      <c r="N75" s="327"/>
      <c r="O75" s="328"/>
      <c r="P75" s="328"/>
      <c r="Q75" s="328"/>
      <c r="R75" s="329"/>
      <c r="S75" s="327"/>
      <c r="T75" s="328"/>
      <c r="U75" s="450">
        <v>17.478022005746141</v>
      </c>
      <c r="V75" s="327">
        <v>17.987072545674302</v>
      </c>
      <c r="W75" s="328">
        <v>17.314434391186438</v>
      </c>
      <c r="X75" s="328">
        <v>18.638119526923077</v>
      </c>
      <c r="Y75" s="328">
        <v>18.176835241746723</v>
      </c>
      <c r="Z75" s="329">
        <v>18.14048157126323</v>
      </c>
      <c r="AA75" s="327">
        <v>18.14048157126323</v>
      </c>
      <c r="AB75" s="328">
        <v>18.14048157126323</v>
      </c>
      <c r="AC75" s="328">
        <v>18.14048157126323</v>
      </c>
      <c r="AD75" s="328">
        <v>18.14048157126323</v>
      </c>
      <c r="AE75" s="329">
        <v>18.14048157126323</v>
      </c>
      <c r="AF75" s="327">
        <v>18.14048157126323</v>
      </c>
      <c r="AG75" s="328">
        <v>18.14048157126323</v>
      </c>
      <c r="AH75" s="328">
        <v>18.14048157126323</v>
      </c>
      <c r="AI75" s="328">
        <v>18.14048157126323</v>
      </c>
      <c r="AJ75" s="329">
        <v>18.14048157126323</v>
      </c>
      <c r="AM75" s="842">
        <v>0</v>
      </c>
      <c r="AN75" s="842">
        <v>0</v>
      </c>
      <c r="AO75" s="842">
        <v>0</v>
      </c>
      <c r="AP75" s="842">
        <v>0</v>
      </c>
      <c r="AQ75" s="842">
        <v>0</v>
      </c>
      <c r="AR75" s="842"/>
      <c r="AS75" s="842"/>
      <c r="AT75" s="842"/>
      <c r="AU75" s="842"/>
      <c r="AV75" s="842"/>
      <c r="AW75" s="842"/>
      <c r="AX75" s="842"/>
      <c r="AY75" s="842"/>
      <c r="AZ75" s="842"/>
      <c r="BA75" s="842"/>
      <c r="BB75" s="842"/>
    </row>
    <row r="76" spans="3:54">
      <c r="C76" s="67"/>
      <c r="D76" s="301" t="str">
        <f>E$31</f>
        <v>Licence fees</v>
      </c>
      <c r="E76" s="67"/>
      <c r="F76" s="67"/>
      <c r="G76" s="67"/>
      <c r="H76" s="67"/>
      <c r="I76" s="67"/>
      <c r="J76" s="67"/>
      <c r="K76" s="327"/>
      <c r="L76" s="328"/>
      <c r="M76" s="328"/>
      <c r="N76" s="327"/>
      <c r="O76" s="328"/>
      <c r="P76" s="328"/>
      <c r="Q76" s="328"/>
      <c r="R76" s="329"/>
      <c r="S76" s="327"/>
      <c r="T76" s="328"/>
      <c r="U76" s="450">
        <v>0.35355289962893172</v>
      </c>
      <c r="V76" s="327">
        <v>0.32280516502009521</v>
      </c>
      <c r="W76" s="328">
        <v>0.24911222359681479</v>
      </c>
      <c r="X76" s="328">
        <v>0.24912901736958323</v>
      </c>
      <c r="Y76" s="328">
        <v>0.24882404144567552</v>
      </c>
      <c r="Z76" s="329">
        <v>0.24882404144567552</v>
      </c>
      <c r="AA76" s="327">
        <v>0.24882404144567552</v>
      </c>
      <c r="AB76" s="328">
        <v>0.24882404144567552</v>
      </c>
      <c r="AC76" s="328">
        <v>0.24882404144567552</v>
      </c>
      <c r="AD76" s="328">
        <v>0.24882404144567552</v>
      </c>
      <c r="AE76" s="329">
        <v>0.24882404144567552</v>
      </c>
      <c r="AF76" s="327">
        <v>0.24882404144567552</v>
      </c>
      <c r="AG76" s="328">
        <v>0.24882404144567552</v>
      </c>
      <c r="AH76" s="328">
        <v>0.24882404144567552</v>
      </c>
      <c r="AI76" s="328">
        <v>0.24882404144567552</v>
      </c>
      <c r="AJ76" s="329">
        <v>0.24882404144567552</v>
      </c>
      <c r="AK76" s="88"/>
      <c r="AM76" s="842">
        <v>0</v>
      </c>
      <c r="AN76" s="842">
        <v>0</v>
      </c>
      <c r="AO76" s="842">
        <v>0</v>
      </c>
      <c r="AP76" s="842">
        <v>0</v>
      </c>
      <c r="AQ76" s="842">
        <v>0</v>
      </c>
      <c r="AR76" s="842"/>
      <c r="AS76" s="842"/>
      <c r="AT76" s="842"/>
      <c r="AU76" s="842"/>
      <c r="AV76" s="842"/>
      <c r="AW76" s="842"/>
      <c r="AX76" s="842"/>
      <c r="AY76" s="842"/>
      <c r="AZ76" s="842"/>
      <c r="BA76" s="842"/>
      <c r="BB76" s="842"/>
    </row>
    <row r="77" spans="3:54">
      <c r="C77" s="67"/>
      <c r="D77" s="301" t="str">
        <f>E$26</f>
        <v>Corporate</v>
      </c>
      <c r="E77" s="67"/>
      <c r="F77" s="67"/>
      <c r="G77" s="67"/>
      <c r="H77" s="67"/>
      <c r="I77" s="67"/>
      <c r="J77" s="67"/>
      <c r="K77" s="327"/>
      <c r="L77" s="328"/>
      <c r="M77" s="328"/>
      <c r="N77" s="327"/>
      <c r="O77" s="328"/>
      <c r="P77" s="328"/>
      <c r="Q77" s="328"/>
      <c r="R77" s="329"/>
      <c r="S77" s="327"/>
      <c r="T77" s="328"/>
      <c r="U77" s="450">
        <v>26.535113017607966</v>
      </c>
      <c r="V77" s="327">
        <v>30.795625093179723</v>
      </c>
      <c r="W77" s="328">
        <v>33.72941327490642</v>
      </c>
      <c r="X77" s="328">
        <v>35.636401294212824</v>
      </c>
      <c r="Y77" s="328">
        <v>39.980942327644698</v>
      </c>
      <c r="Z77" s="329">
        <v>36.557198393375806</v>
      </c>
      <c r="AA77" s="327">
        <v>34.452550323338272</v>
      </c>
      <c r="AB77" s="328">
        <v>35.558184792648305</v>
      </c>
      <c r="AC77" s="328">
        <v>35.919603471514364</v>
      </c>
      <c r="AD77" s="328">
        <v>34.750746654838814</v>
      </c>
      <c r="AE77" s="329">
        <v>34.629905755616214</v>
      </c>
      <c r="AF77" s="327">
        <v>34.616905892851491</v>
      </c>
      <c r="AG77" s="328">
        <v>34.568938210635302</v>
      </c>
      <c r="AH77" s="328">
        <v>34.521003768353822</v>
      </c>
      <c r="AI77" s="328">
        <v>34.473102879973034</v>
      </c>
      <c r="AJ77" s="329">
        <v>34.425235849424112</v>
      </c>
      <c r="AM77" s="842">
        <v>0</v>
      </c>
      <c r="AN77" s="842">
        <v>0</v>
      </c>
      <c r="AO77" s="842">
        <v>0</v>
      </c>
      <c r="AP77" s="842">
        <v>0</v>
      </c>
      <c r="AQ77" s="842">
        <v>0</v>
      </c>
      <c r="AR77" s="842"/>
      <c r="AS77" s="842"/>
      <c r="AT77" s="842"/>
      <c r="AU77" s="842"/>
      <c r="AV77" s="842"/>
      <c r="AW77" s="842"/>
      <c r="AX77" s="842"/>
      <c r="AY77" s="842"/>
      <c r="AZ77" s="842"/>
      <c r="BA77" s="842"/>
      <c r="BB77" s="842"/>
    </row>
    <row r="78" spans="3:54">
      <c r="C78" s="67"/>
      <c r="D78" s="301" t="str">
        <f>E$27</f>
        <v>Other operating expenditure</v>
      </c>
      <c r="E78" s="67"/>
      <c r="F78" s="67"/>
      <c r="G78" s="67"/>
      <c r="H78" s="67"/>
      <c r="I78" s="67"/>
      <c r="J78" s="67"/>
      <c r="K78" s="330"/>
      <c r="L78" s="331"/>
      <c r="M78" s="331"/>
      <c r="N78" s="330"/>
      <c r="O78" s="331"/>
      <c r="P78" s="331"/>
      <c r="Q78" s="331"/>
      <c r="R78" s="332"/>
      <c r="S78" s="330"/>
      <c r="T78" s="331"/>
      <c r="U78" s="451"/>
      <c r="V78" s="330"/>
      <c r="W78" s="331"/>
      <c r="X78" s="331"/>
      <c r="Y78" s="331"/>
      <c r="Z78" s="332"/>
      <c r="AA78" s="330"/>
      <c r="AB78" s="331"/>
      <c r="AC78" s="331"/>
      <c r="AD78" s="331"/>
      <c r="AE78" s="332"/>
      <c r="AF78" s="330"/>
      <c r="AG78" s="331"/>
      <c r="AH78" s="331"/>
      <c r="AI78" s="331"/>
      <c r="AJ78" s="332"/>
      <c r="AM78" s="842">
        <v>0</v>
      </c>
      <c r="AN78" s="842">
        <v>0</v>
      </c>
      <c r="AO78" s="842">
        <v>0</v>
      </c>
      <c r="AP78" s="842">
        <v>0</v>
      </c>
      <c r="AQ78" s="842">
        <v>0</v>
      </c>
      <c r="AR78" s="842"/>
      <c r="AS78" s="842"/>
      <c r="AT78" s="842"/>
      <c r="AU78" s="842"/>
      <c r="AV78" s="842"/>
      <c r="AW78" s="842"/>
      <c r="AX78" s="842"/>
      <c r="AY78" s="842"/>
      <c r="AZ78" s="842"/>
      <c r="BA78" s="842"/>
      <c r="BB78" s="842"/>
    </row>
    <row r="79" spans="3:54">
      <c r="C79" s="308" t="str">
        <f>+CONCATENATE("Total ",C73)</f>
        <v>Total Waterways and Drainage</v>
      </c>
      <c r="D79" s="67"/>
      <c r="E79" s="67"/>
      <c r="F79" s="67"/>
      <c r="G79" s="67"/>
      <c r="H79" s="67"/>
      <c r="I79" s="67"/>
      <c r="J79" s="67"/>
      <c r="K79" s="270">
        <f t="shared" ref="K79:AJ79" si="35">+SUM(K74:K78)</f>
        <v>0</v>
      </c>
      <c r="L79" s="270">
        <f t="shared" si="35"/>
        <v>0</v>
      </c>
      <c r="M79" s="270">
        <f t="shared" si="35"/>
        <v>0</v>
      </c>
      <c r="N79" s="296">
        <f t="shared" si="35"/>
        <v>0</v>
      </c>
      <c r="O79" s="296">
        <f t="shared" si="35"/>
        <v>0</v>
      </c>
      <c r="P79" s="296">
        <f t="shared" si="35"/>
        <v>0</v>
      </c>
      <c r="Q79" s="296">
        <f t="shared" si="35"/>
        <v>0</v>
      </c>
      <c r="R79" s="296">
        <f t="shared" si="35"/>
        <v>0</v>
      </c>
      <c r="S79" s="296">
        <f t="shared" si="35"/>
        <v>0</v>
      </c>
      <c r="T79" s="296">
        <f t="shared" si="35"/>
        <v>0</v>
      </c>
      <c r="U79" s="296">
        <f t="shared" si="35"/>
        <v>144.78022743697247</v>
      </c>
      <c r="V79" s="296">
        <f t="shared" si="35"/>
        <v>164.34936592668845</v>
      </c>
      <c r="W79" s="296">
        <f t="shared" si="35"/>
        <v>167.25818619109629</v>
      </c>
      <c r="X79" s="296">
        <f t="shared" si="35"/>
        <v>170.77549926384197</v>
      </c>
      <c r="Y79" s="296">
        <f t="shared" si="35"/>
        <v>193.43365975274745</v>
      </c>
      <c r="Z79" s="296">
        <f t="shared" si="35"/>
        <v>187.73092910123844</v>
      </c>
      <c r="AA79" s="296">
        <f t="shared" si="35"/>
        <v>187.75459247602967</v>
      </c>
      <c r="AB79" s="296">
        <f t="shared" si="35"/>
        <v>189.66605298218064</v>
      </c>
      <c r="AC79" s="296">
        <f t="shared" si="35"/>
        <v>190.89373924398063</v>
      </c>
      <c r="AD79" s="296">
        <f t="shared" si="35"/>
        <v>190.01237581788493</v>
      </c>
      <c r="AE79" s="296">
        <f t="shared" si="35"/>
        <v>189.97644499131218</v>
      </c>
      <c r="AF79" s="296">
        <f t="shared" si="35"/>
        <v>189.97297702874795</v>
      </c>
      <c r="AG79" s="296">
        <f t="shared" si="35"/>
        <v>189.71956466226723</v>
      </c>
      <c r="AH79" s="296">
        <f t="shared" si="35"/>
        <v>189.55746512152177</v>
      </c>
      <c r="AI79" s="296">
        <f t="shared" si="35"/>
        <v>189.47363262314232</v>
      </c>
      <c r="AJ79" s="296">
        <f t="shared" si="35"/>
        <v>189.1965304064413</v>
      </c>
      <c r="AM79" s="842">
        <v>0</v>
      </c>
      <c r="AN79" s="842">
        <v>0</v>
      </c>
      <c r="AO79" s="842">
        <v>0</v>
      </c>
      <c r="AP79" s="842">
        <v>0</v>
      </c>
      <c r="AQ79" s="842">
        <v>0</v>
      </c>
      <c r="AR79" s="842"/>
      <c r="AS79" s="842"/>
      <c r="AT79" s="842"/>
      <c r="AU79" s="842"/>
      <c r="AV79" s="842"/>
      <c r="AW79" s="842"/>
      <c r="AX79" s="842"/>
      <c r="AY79" s="842"/>
      <c r="AZ79" s="842"/>
      <c r="BA79" s="842"/>
      <c r="BB79" s="842"/>
    </row>
    <row r="80" spans="3:54">
      <c r="C80" s="309"/>
      <c r="D80" s="67"/>
      <c r="E80" s="67"/>
      <c r="F80" s="67"/>
      <c r="G80" s="67"/>
      <c r="H80" s="67"/>
      <c r="K80" s="270"/>
      <c r="L80" s="270"/>
      <c r="M80" s="270"/>
      <c r="N80" s="296"/>
      <c r="O80" s="296"/>
      <c r="P80" s="296"/>
      <c r="Q80" s="296"/>
      <c r="R80" s="296"/>
      <c r="S80" s="296"/>
      <c r="T80" s="296"/>
      <c r="U80" s="296"/>
      <c r="V80" s="296"/>
      <c r="W80" s="296"/>
      <c r="X80" s="296"/>
      <c r="Y80" s="296"/>
      <c r="Z80" s="1790">
        <f>SUM(V79:Z79)</f>
        <v>883.54764023561256</v>
      </c>
      <c r="AA80" s="603"/>
      <c r="AB80" s="116"/>
      <c r="AC80" s="116"/>
      <c r="AD80" s="116"/>
      <c r="AE80" s="1790">
        <f>SUM(AA79:AE79)</f>
        <v>948.303205511388</v>
      </c>
      <c r="AF80" s="116"/>
      <c r="AG80" s="116"/>
      <c r="AH80" s="116"/>
      <c r="AI80" s="116"/>
      <c r="AJ80" s="1790">
        <f>SUM(AF79:AJ79)</f>
        <v>947.92016984212057</v>
      </c>
      <c r="AM80" s="842">
        <v>0</v>
      </c>
      <c r="AN80" s="842">
        <v>0</v>
      </c>
      <c r="AO80" s="842">
        <v>0</v>
      </c>
      <c r="AP80" s="842">
        <v>0</v>
      </c>
      <c r="AQ80" s="842">
        <v>0</v>
      </c>
      <c r="AR80" s="842"/>
      <c r="AS80" s="842"/>
      <c r="AT80" s="842"/>
      <c r="AU80" s="842"/>
      <c r="AV80" s="842"/>
      <c r="AW80" s="842"/>
      <c r="AX80" s="842"/>
      <c r="AY80" s="842"/>
      <c r="AZ80" s="842"/>
      <c r="BA80" s="842"/>
      <c r="BB80" s="842"/>
    </row>
    <row r="81" spans="2:54">
      <c r="C81" s="298" t="str">
        <f>E16</f>
        <v>Diversions</v>
      </c>
      <c r="I81" s="196"/>
      <c r="J81" s="196"/>
      <c r="K81" s="270"/>
      <c r="L81" s="270"/>
      <c r="M81" s="270"/>
      <c r="N81" s="296"/>
      <c r="O81" s="296"/>
      <c r="P81" s="296"/>
      <c r="Q81" s="296"/>
      <c r="R81" s="296"/>
      <c r="S81" s="296"/>
      <c r="T81" s="296"/>
      <c r="U81" s="296"/>
      <c r="V81" s="296"/>
      <c r="W81" s="296"/>
      <c r="X81" s="296"/>
      <c r="Y81" s="296"/>
      <c r="Z81" s="296"/>
      <c r="AA81" s="296"/>
      <c r="AB81" s="296"/>
      <c r="AC81" s="296"/>
      <c r="AD81" s="296"/>
      <c r="AE81" s="296"/>
      <c r="AF81" s="296"/>
      <c r="AG81" s="296"/>
      <c r="AH81" s="296"/>
      <c r="AI81" s="296"/>
      <c r="AJ81" s="296"/>
      <c r="AM81" s="842">
        <v>0</v>
      </c>
      <c r="AN81" s="842">
        <v>0</v>
      </c>
      <c r="AO81" s="842">
        <v>0</v>
      </c>
      <c r="AP81" s="842">
        <v>0</v>
      </c>
      <c r="AQ81" s="842">
        <v>0</v>
      </c>
      <c r="AR81" s="842"/>
      <c r="AS81" s="842"/>
      <c r="AT81" s="842"/>
      <c r="AU81" s="842"/>
      <c r="AV81" s="842"/>
      <c r="AW81" s="842"/>
      <c r="AX81" s="842"/>
      <c r="AY81" s="842"/>
      <c r="AZ81" s="842"/>
      <c r="BA81" s="842"/>
      <c r="BB81" s="842"/>
    </row>
    <row r="82" spans="2:54">
      <c r="D82" s="301" t="str">
        <f>E$24</f>
        <v>Operations &amp; Maintenance</v>
      </c>
      <c r="I82" s="196"/>
      <c r="J82" s="196"/>
      <c r="K82" s="324"/>
      <c r="L82" s="325"/>
      <c r="M82" s="325"/>
      <c r="N82" s="324"/>
      <c r="O82" s="325"/>
      <c r="P82" s="325"/>
      <c r="Q82" s="325"/>
      <c r="R82" s="326"/>
      <c r="S82" s="324"/>
      <c r="T82" s="325"/>
      <c r="U82" s="449">
        <v>0.67479</v>
      </c>
      <c r="V82" s="324">
        <v>0.99528099999999997</v>
      </c>
      <c r="W82" s="325">
        <v>1.1887179999999999</v>
      </c>
      <c r="X82" s="325">
        <v>1.2126999999999999</v>
      </c>
      <c r="Y82" s="325">
        <v>1.2790150771372126</v>
      </c>
      <c r="Z82" s="326">
        <v>1.2764570469829382</v>
      </c>
      <c r="AA82" s="324">
        <v>1.3384094668179343</v>
      </c>
      <c r="AB82" s="325">
        <v>1.336422674216668</v>
      </c>
      <c r="AC82" s="325">
        <v>1.334486568917479</v>
      </c>
      <c r="AD82" s="325">
        <v>1.332674664098104</v>
      </c>
      <c r="AE82" s="326">
        <v>1.3309069555228852</v>
      </c>
      <c r="AF82" s="324">
        <v>1.3309069555228852</v>
      </c>
      <c r="AG82" s="325">
        <v>1.3309069555228852</v>
      </c>
      <c r="AH82" s="325">
        <v>1.3309069555228852</v>
      </c>
      <c r="AI82" s="325">
        <v>1.3309069555228852</v>
      </c>
      <c r="AJ82" s="326">
        <v>1.3309069555228852</v>
      </c>
      <c r="AM82" s="842">
        <v>0</v>
      </c>
      <c r="AN82" s="842">
        <v>0</v>
      </c>
      <c r="AO82" s="842">
        <v>0</v>
      </c>
      <c r="AP82" s="842">
        <v>0</v>
      </c>
      <c r="AQ82" s="842">
        <v>0</v>
      </c>
      <c r="AR82" s="842"/>
      <c r="AS82" s="842"/>
      <c r="AT82" s="842"/>
      <c r="AU82" s="842"/>
      <c r="AV82" s="842"/>
      <c r="AW82" s="842"/>
      <c r="AX82" s="842"/>
      <c r="AY82" s="842"/>
      <c r="AZ82" s="842"/>
      <c r="BA82" s="842"/>
      <c r="BB82" s="842"/>
    </row>
    <row r="83" spans="2:54">
      <c r="D83" s="301" t="str">
        <f>E$31</f>
        <v>Licence fees</v>
      </c>
      <c r="I83" s="196"/>
      <c r="J83" s="196"/>
      <c r="K83" s="327"/>
      <c r="L83" s="328"/>
      <c r="M83" s="328"/>
      <c r="N83" s="327"/>
      <c r="O83" s="328"/>
      <c r="P83" s="328"/>
      <c r="Q83" s="328"/>
      <c r="R83" s="329"/>
      <c r="S83" s="327"/>
      <c r="T83" s="328"/>
      <c r="U83" s="450"/>
      <c r="V83" s="327"/>
      <c r="W83" s="328"/>
      <c r="X83" s="328"/>
      <c r="Y83" s="328"/>
      <c r="Z83" s="329"/>
      <c r="AA83" s="327"/>
      <c r="AB83" s="328"/>
      <c r="AC83" s="328"/>
      <c r="AD83" s="328"/>
      <c r="AE83" s="329"/>
      <c r="AF83" s="327"/>
      <c r="AG83" s="328"/>
      <c r="AH83" s="328"/>
      <c r="AI83" s="328"/>
      <c r="AJ83" s="329"/>
      <c r="AM83" s="842">
        <v>0</v>
      </c>
      <c r="AN83" s="842">
        <v>0</v>
      </c>
      <c r="AO83" s="842">
        <v>0</v>
      </c>
      <c r="AP83" s="842">
        <v>0</v>
      </c>
      <c r="AQ83" s="842">
        <v>0</v>
      </c>
      <c r="AR83" s="842"/>
      <c r="AS83" s="842"/>
      <c r="AT83" s="842"/>
      <c r="AU83" s="842"/>
      <c r="AV83" s="842"/>
      <c r="AW83" s="842"/>
      <c r="AX83" s="842"/>
      <c r="AY83" s="842"/>
      <c r="AZ83" s="842"/>
      <c r="BA83" s="842"/>
      <c r="BB83" s="842"/>
    </row>
    <row r="84" spans="2:54">
      <c r="D84" s="301" t="str">
        <f>E$26</f>
        <v>Corporate</v>
      </c>
      <c r="I84" s="196"/>
      <c r="J84" s="196"/>
      <c r="K84" s="327"/>
      <c r="L84" s="328"/>
      <c r="M84" s="328"/>
      <c r="N84" s="327"/>
      <c r="O84" s="328"/>
      <c r="P84" s="328"/>
      <c r="Q84" s="328"/>
      <c r="R84" s="329"/>
      <c r="S84" s="327"/>
      <c r="T84" s="328"/>
      <c r="U84" s="450"/>
      <c r="V84" s="327"/>
      <c r="W84" s="328"/>
      <c r="X84" s="328"/>
      <c r="Y84" s="328"/>
      <c r="Z84" s="329"/>
      <c r="AA84" s="327"/>
      <c r="AB84" s="328"/>
      <c r="AC84" s="328"/>
      <c r="AD84" s="328"/>
      <c r="AE84" s="329"/>
      <c r="AF84" s="327"/>
      <c r="AG84" s="328"/>
      <c r="AH84" s="328"/>
      <c r="AI84" s="328"/>
      <c r="AJ84" s="329"/>
      <c r="AM84" s="842">
        <v>0</v>
      </c>
      <c r="AN84" s="842">
        <v>0</v>
      </c>
      <c r="AO84" s="842">
        <v>0</v>
      </c>
      <c r="AP84" s="842">
        <v>0</v>
      </c>
      <c r="AQ84" s="842">
        <v>0</v>
      </c>
      <c r="AR84" s="842"/>
      <c r="AS84" s="842"/>
      <c r="AT84" s="842"/>
      <c r="AU84" s="842"/>
      <c r="AV84" s="842"/>
      <c r="AW84" s="842"/>
      <c r="AX84" s="842"/>
      <c r="AY84" s="842"/>
      <c r="AZ84" s="842"/>
      <c r="BA84" s="842"/>
      <c r="BB84" s="842"/>
    </row>
    <row r="85" spans="2:54">
      <c r="D85" s="301" t="str">
        <f>E$27</f>
        <v>Other operating expenditure</v>
      </c>
      <c r="I85" s="196"/>
      <c r="J85" s="196"/>
      <c r="K85" s="330"/>
      <c r="L85" s="331"/>
      <c r="M85" s="331"/>
      <c r="N85" s="330"/>
      <c r="O85" s="331"/>
      <c r="P85" s="331"/>
      <c r="Q85" s="331"/>
      <c r="R85" s="332"/>
      <c r="S85" s="330"/>
      <c r="T85" s="331"/>
      <c r="U85" s="451"/>
      <c r="V85" s="330"/>
      <c r="W85" s="331"/>
      <c r="X85" s="331"/>
      <c r="Y85" s="331"/>
      <c r="Z85" s="332"/>
      <c r="AA85" s="330"/>
      <c r="AB85" s="331"/>
      <c r="AC85" s="331"/>
      <c r="AD85" s="331"/>
      <c r="AE85" s="332"/>
      <c r="AF85" s="330"/>
      <c r="AG85" s="331"/>
      <c r="AH85" s="331"/>
      <c r="AI85" s="331"/>
      <c r="AJ85" s="332"/>
      <c r="AM85" s="842">
        <v>0</v>
      </c>
      <c r="AN85" s="842">
        <v>0</v>
      </c>
      <c r="AO85" s="842">
        <v>0</v>
      </c>
      <c r="AP85" s="842">
        <v>0</v>
      </c>
      <c r="AQ85" s="842">
        <v>0</v>
      </c>
      <c r="AR85" s="842"/>
      <c r="AS85" s="842"/>
      <c r="AT85" s="842"/>
      <c r="AU85" s="842"/>
      <c r="AV85" s="842"/>
      <c r="AW85" s="842"/>
      <c r="AX85" s="842"/>
      <c r="AY85" s="842"/>
      <c r="AZ85" s="842"/>
      <c r="BA85" s="842"/>
      <c r="BB85" s="842"/>
    </row>
    <row r="86" spans="2:54" s="196" customFormat="1">
      <c r="C86" s="298" t="s">
        <v>443</v>
      </c>
      <c r="D86" s="63"/>
      <c r="E86" s="63"/>
      <c r="F86" s="63"/>
      <c r="G86" s="63"/>
      <c r="H86" s="63"/>
      <c r="K86" s="270">
        <f t="shared" ref="K86:AJ86" si="36">+SUM(K82:K85)</f>
        <v>0</v>
      </c>
      <c r="L86" s="270">
        <f t="shared" si="36"/>
        <v>0</v>
      </c>
      <c r="M86" s="270">
        <f t="shared" si="36"/>
        <v>0</v>
      </c>
      <c r="N86" s="310">
        <f t="shared" si="36"/>
        <v>0</v>
      </c>
      <c r="O86" s="310">
        <f t="shared" si="36"/>
        <v>0</v>
      </c>
      <c r="P86" s="310">
        <f t="shared" si="36"/>
        <v>0</v>
      </c>
      <c r="Q86" s="310">
        <f t="shared" si="36"/>
        <v>0</v>
      </c>
      <c r="R86" s="310">
        <f t="shared" si="36"/>
        <v>0</v>
      </c>
      <c r="S86" s="310">
        <f t="shared" si="36"/>
        <v>0</v>
      </c>
      <c r="T86" s="310">
        <f t="shared" si="36"/>
        <v>0</v>
      </c>
      <c r="U86" s="310">
        <f t="shared" si="36"/>
        <v>0.67479</v>
      </c>
      <c r="V86" s="310">
        <f t="shared" si="36"/>
        <v>0.99528099999999997</v>
      </c>
      <c r="W86" s="310">
        <f t="shared" si="36"/>
        <v>1.1887179999999999</v>
      </c>
      <c r="X86" s="310">
        <f t="shared" si="36"/>
        <v>1.2126999999999999</v>
      </c>
      <c r="Y86" s="310">
        <f t="shared" si="36"/>
        <v>1.2790150771372126</v>
      </c>
      <c r="Z86" s="310">
        <f t="shared" si="36"/>
        <v>1.2764570469829382</v>
      </c>
      <c r="AA86" s="310">
        <f t="shared" si="36"/>
        <v>1.3384094668179343</v>
      </c>
      <c r="AB86" s="310">
        <f t="shared" si="36"/>
        <v>1.336422674216668</v>
      </c>
      <c r="AC86" s="310">
        <f t="shared" si="36"/>
        <v>1.334486568917479</v>
      </c>
      <c r="AD86" s="310">
        <f t="shared" si="36"/>
        <v>1.332674664098104</v>
      </c>
      <c r="AE86" s="310">
        <f t="shared" si="36"/>
        <v>1.3309069555228852</v>
      </c>
      <c r="AF86" s="310">
        <f t="shared" si="36"/>
        <v>1.3309069555228852</v>
      </c>
      <c r="AG86" s="310">
        <f t="shared" si="36"/>
        <v>1.3309069555228852</v>
      </c>
      <c r="AH86" s="310">
        <f t="shared" si="36"/>
        <v>1.3309069555228852</v>
      </c>
      <c r="AI86" s="310">
        <f t="shared" si="36"/>
        <v>1.3309069555228852</v>
      </c>
      <c r="AJ86" s="310">
        <f t="shared" si="36"/>
        <v>1.3309069555228852</v>
      </c>
      <c r="AL86" s="63"/>
      <c r="AM86" s="842">
        <v>0</v>
      </c>
      <c r="AN86" s="842">
        <v>0</v>
      </c>
      <c r="AO86" s="842">
        <v>0</v>
      </c>
      <c r="AP86" s="842">
        <v>0</v>
      </c>
      <c r="AQ86" s="842">
        <v>0</v>
      </c>
      <c r="AR86" s="842"/>
      <c r="AS86" s="842"/>
      <c r="AT86" s="842"/>
      <c r="AU86" s="842"/>
      <c r="AV86" s="842"/>
      <c r="AW86" s="842"/>
      <c r="AX86" s="842"/>
      <c r="AY86" s="842"/>
      <c r="AZ86" s="842"/>
      <c r="BA86" s="842"/>
      <c r="BB86" s="842"/>
    </row>
    <row r="87" spans="2:54">
      <c r="K87" s="270"/>
      <c r="L87" s="270"/>
      <c r="M87" s="270"/>
      <c r="N87" s="296"/>
      <c r="O87" s="296"/>
      <c r="P87" s="296"/>
      <c r="Q87" s="296"/>
      <c r="R87" s="296"/>
      <c r="S87" s="296"/>
      <c r="T87" s="296"/>
      <c r="U87" s="296"/>
      <c r="V87" s="296"/>
      <c r="W87" s="296"/>
      <c r="X87" s="296"/>
      <c r="Y87" s="296"/>
      <c r="Z87" s="1790">
        <f>SUM(V86:Z86)</f>
        <v>5.9521711241201505</v>
      </c>
      <c r="AA87" s="603"/>
      <c r="AB87" s="116"/>
      <c r="AC87" s="116"/>
      <c r="AD87" s="116"/>
      <c r="AE87" s="1790">
        <f>SUM(AA86:AE86)</f>
        <v>6.6729003295730704</v>
      </c>
      <c r="AF87" s="116"/>
      <c r="AG87" s="116"/>
      <c r="AH87" s="116"/>
      <c r="AI87" s="116"/>
      <c r="AJ87" s="1790">
        <f>SUM(AF86:AJ86)</f>
        <v>6.6545347776144261</v>
      </c>
      <c r="AM87" s="842">
        <v>0</v>
      </c>
      <c r="AN87" s="842">
        <v>0</v>
      </c>
      <c r="AO87" s="842">
        <v>0</v>
      </c>
      <c r="AP87" s="842">
        <v>0</v>
      </c>
      <c r="AQ87" s="842">
        <v>0</v>
      </c>
      <c r="AR87" s="842"/>
      <c r="AS87" s="842"/>
      <c r="AT87" s="842"/>
      <c r="AU87" s="842"/>
      <c r="AV87" s="842"/>
      <c r="AW87" s="842"/>
      <c r="AX87" s="842"/>
      <c r="AY87" s="842"/>
      <c r="AZ87" s="842"/>
      <c r="BA87" s="842"/>
      <c r="BB87" s="842"/>
    </row>
    <row r="88" spans="2:54">
      <c r="B88" s="1420" t="s">
        <v>353</v>
      </c>
      <c r="K88" s="270"/>
      <c r="L88" s="270"/>
      <c r="M88" s="270"/>
      <c r="N88" s="296"/>
      <c r="O88" s="296"/>
      <c r="P88" s="296"/>
      <c r="Q88" s="296"/>
      <c r="R88" s="296"/>
      <c r="S88" s="296"/>
      <c r="T88" s="296"/>
      <c r="U88" s="296"/>
      <c r="V88" s="296"/>
      <c r="W88" s="296"/>
      <c r="X88" s="296"/>
      <c r="Y88" s="296"/>
      <c r="Z88" s="296"/>
      <c r="AA88" s="1480"/>
      <c r="AB88" s="1480"/>
      <c r="AC88" s="1480"/>
      <c r="AD88" s="1480"/>
      <c r="AE88" s="1480"/>
      <c r="AF88" s="296"/>
      <c r="AG88" s="296"/>
      <c r="AH88" s="296"/>
      <c r="AI88" s="296"/>
      <c r="AJ88" s="296"/>
      <c r="AM88" s="842">
        <v>0</v>
      </c>
      <c r="AN88" s="842">
        <v>0</v>
      </c>
      <c r="AO88" s="842">
        <v>0</v>
      </c>
      <c r="AP88" s="842">
        <v>0</v>
      </c>
      <c r="AQ88" s="842">
        <v>0</v>
      </c>
      <c r="AR88" s="842"/>
      <c r="AS88" s="842"/>
      <c r="AT88" s="842"/>
      <c r="AU88" s="842"/>
      <c r="AV88" s="842"/>
      <c r="AW88" s="842"/>
      <c r="AX88" s="842"/>
      <c r="AY88" s="842"/>
      <c r="AZ88" s="842"/>
      <c r="BA88" s="842"/>
      <c r="BB88" s="842"/>
    </row>
    <row r="89" spans="2:54">
      <c r="C89" s="307"/>
      <c r="K89" s="270"/>
      <c r="L89" s="270"/>
      <c r="M89" s="270"/>
      <c r="N89" s="270"/>
      <c r="O89" s="270"/>
      <c r="P89" s="270"/>
      <c r="Q89" s="270"/>
      <c r="R89" s="296"/>
      <c r="S89" s="296"/>
      <c r="T89" s="296"/>
      <c r="U89" s="296"/>
      <c r="V89" s="296"/>
      <c r="W89" s="842"/>
      <c r="X89" s="842"/>
      <c r="Y89" s="842"/>
      <c r="Z89" s="842"/>
      <c r="AA89" s="842"/>
      <c r="AB89" s="842"/>
      <c r="AC89" s="842"/>
      <c r="AD89" s="842"/>
      <c r="AE89" s="842"/>
      <c r="AF89" s="842"/>
      <c r="AG89" s="842"/>
      <c r="AH89" s="842"/>
      <c r="AI89" s="842"/>
      <c r="AJ89" s="842"/>
      <c r="AK89" s="842"/>
      <c r="AL89" s="842"/>
      <c r="AM89" s="842"/>
      <c r="AN89" s="842"/>
      <c r="AO89" s="842"/>
      <c r="AP89" s="842"/>
      <c r="AQ89" s="842"/>
      <c r="AR89" s="842"/>
      <c r="AS89" s="842"/>
      <c r="AT89" s="842"/>
      <c r="AU89" s="842"/>
      <c r="AV89" s="842"/>
      <c r="AW89" s="842"/>
      <c r="AX89" s="842"/>
      <c r="AY89" s="842"/>
      <c r="AZ89" s="842"/>
      <c r="BA89" s="842"/>
      <c r="BB89" s="842"/>
    </row>
    <row r="90" spans="2:54">
      <c r="C90" s="298" t="str">
        <f>E31</f>
        <v>Licence fees</v>
      </c>
      <c r="K90" s="270"/>
      <c r="L90" s="270"/>
      <c r="M90" s="270"/>
      <c r="N90" s="270"/>
      <c r="O90" s="270"/>
      <c r="P90" s="270"/>
      <c r="Q90" s="270"/>
      <c r="R90" s="296"/>
      <c r="S90" s="296"/>
      <c r="T90" s="296"/>
      <c r="U90" s="296"/>
      <c r="V90" s="296"/>
      <c r="W90" s="296"/>
      <c r="X90" s="296"/>
      <c r="Y90" s="296"/>
      <c r="Z90" s="296"/>
      <c r="AA90" s="296"/>
      <c r="AB90" s="296"/>
      <c r="AC90" s="296"/>
      <c r="AD90" s="296"/>
      <c r="AE90" s="296"/>
      <c r="AF90" s="296"/>
      <c r="AG90" s="296"/>
      <c r="AH90" s="296"/>
      <c r="AI90" s="296"/>
      <c r="AJ90" s="296"/>
      <c r="AM90" s="842">
        <v>0</v>
      </c>
      <c r="AN90" s="842">
        <v>0</v>
      </c>
      <c r="AO90" s="842">
        <v>0</v>
      </c>
      <c r="AP90" s="842">
        <v>0</v>
      </c>
      <c r="AQ90" s="842">
        <v>0</v>
      </c>
      <c r="AR90" s="842"/>
      <c r="AS90" s="842"/>
      <c r="AT90" s="842"/>
      <c r="AU90" s="842"/>
      <c r="AV90" s="842"/>
      <c r="AW90" s="842"/>
      <c r="AX90" s="842"/>
      <c r="AY90" s="842"/>
      <c r="AZ90" s="842"/>
      <c r="BA90" s="842"/>
      <c r="BB90" s="842"/>
    </row>
    <row r="91" spans="2:54">
      <c r="C91" s="307"/>
      <c r="D91" s="301" t="s">
        <v>444</v>
      </c>
      <c r="K91" s="324"/>
      <c r="L91" s="325"/>
      <c r="M91" s="325"/>
      <c r="N91" s="324"/>
      <c r="O91" s="325"/>
      <c r="P91" s="325"/>
      <c r="Q91" s="325"/>
      <c r="R91" s="326"/>
      <c r="S91" s="324"/>
      <c r="T91" s="325"/>
      <c r="U91" s="449">
        <v>1.6714894528301885</v>
      </c>
      <c r="V91" s="324">
        <v>1.5261236132315523</v>
      </c>
      <c r="W91" s="325">
        <v>1.1777260340677966</v>
      </c>
      <c r="X91" s="325">
        <v>1.1778054298642533</v>
      </c>
      <c r="Y91" s="325">
        <v>1.1763635974235807</v>
      </c>
      <c r="Z91" s="1792">
        <f>$Y$91</f>
        <v>1.1763635974235807</v>
      </c>
      <c r="AA91" s="1795">
        <f t="shared" ref="AA91:AJ91" si="37">$Y$91</f>
        <v>1.1763635974235807</v>
      </c>
      <c r="AB91" s="1796">
        <f t="shared" si="37"/>
        <v>1.1763635974235807</v>
      </c>
      <c r="AC91" s="1796">
        <f t="shared" si="37"/>
        <v>1.1763635974235807</v>
      </c>
      <c r="AD91" s="1796">
        <f t="shared" si="37"/>
        <v>1.1763635974235807</v>
      </c>
      <c r="AE91" s="1317">
        <f t="shared" si="37"/>
        <v>1.1763635974235807</v>
      </c>
      <c r="AF91" s="1795">
        <f t="shared" si="37"/>
        <v>1.1763635974235807</v>
      </c>
      <c r="AG91" s="1796">
        <f t="shared" si="37"/>
        <v>1.1763635974235807</v>
      </c>
      <c r="AH91" s="1796">
        <f t="shared" si="37"/>
        <v>1.1763635974235807</v>
      </c>
      <c r="AI91" s="1796">
        <f t="shared" si="37"/>
        <v>1.1763635974235807</v>
      </c>
      <c r="AJ91" s="1317">
        <f t="shared" si="37"/>
        <v>1.1763635974235807</v>
      </c>
      <c r="AM91" s="842">
        <v>0</v>
      </c>
      <c r="AN91" s="842">
        <v>0</v>
      </c>
      <c r="AO91" s="842">
        <v>0</v>
      </c>
      <c r="AP91" s="842">
        <v>0</v>
      </c>
      <c r="AQ91" s="842">
        <v>0</v>
      </c>
      <c r="AR91" s="842"/>
      <c r="AS91" s="842"/>
      <c r="AT91" s="842"/>
      <c r="AU91" s="842"/>
      <c r="AV91" s="842"/>
      <c r="AW91" s="842"/>
      <c r="AX91" s="842"/>
      <c r="AY91" s="842"/>
      <c r="AZ91" s="842"/>
      <c r="BA91" s="842"/>
      <c r="BB91" s="842"/>
    </row>
    <row r="92" spans="2:54">
      <c r="C92" s="307"/>
      <c r="D92" s="301" t="s">
        <v>445</v>
      </c>
      <c r="K92" s="327"/>
      <c r="L92" s="328"/>
      <c r="M92" s="328"/>
      <c r="N92" s="327"/>
      <c r="O92" s="328"/>
      <c r="P92" s="328"/>
      <c r="Q92" s="328"/>
      <c r="R92" s="329"/>
      <c r="S92" s="327"/>
      <c r="T92" s="328"/>
      <c r="U92" s="450">
        <v>0.31000556495711834</v>
      </c>
      <c r="V92" s="327">
        <v>0.28525389114503819</v>
      </c>
      <c r="W92" s="328">
        <v>0.27618989830508472</v>
      </c>
      <c r="X92" s="328">
        <v>0.28132784615384615</v>
      </c>
      <c r="Y92" s="328">
        <v>0.27544329039301307</v>
      </c>
      <c r="Z92" s="1793">
        <f>$Y$92</f>
        <v>0.27544329039301307</v>
      </c>
      <c r="AA92" s="1797">
        <f t="shared" ref="AA92:AJ92" si="38">$Y$92</f>
        <v>0.27544329039301307</v>
      </c>
      <c r="AB92" s="630">
        <f t="shared" si="38"/>
        <v>0.27544329039301307</v>
      </c>
      <c r="AC92" s="630">
        <f t="shared" si="38"/>
        <v>0.27544329039301307</v>
      </c>
      <c r="AD92" s="630">
        <f t="shared" si="38"/>
        <v>0.27544329039301307</v>
      </c>
      <c r="AE92" s="1318">
        <f t="shared" si="38"/>
        <v>0.27544329039301307</v>
      </c>
      <c r="AF92" s="1797">
        <f t="shared" si="38"/>
        <v>0.27544329039301307</v>
      </c>
      <c r="AG92" s="630">
        <f t="shared" si="38"/>
        <v>0.27544329039301307</v>
      </c>
      <c r="AH92" s="630">
        <f t="shared" si="38"/>
        <v>0.27544329039301307</v>
      </c>
      <c r="AI92" s="630">
        <f t="shared" si="38"/>
        <v>0.27544329039301307</v>
      </c>
      <c r="AJ92" s="1318">
        <f t="shared" si="38"/>
        <v>0.27544329039301307</v>
      </c>
      <c r="AL92" s="196"/>
      <c r="AM92" s="842">
        <v>0</v>
      </c>
      <c r="AN92" s="842">
        <v>0</v>
      </c>
      <c r="AO92" s="842">
        <v>0</v>
      </c>
      <c r="AP92" s="842">
        <v>0</v>
      </c>
      <c r="AQ92" s="842">
        <v>0</v>
      </c>
      <c r="AR92" s="842"/>
      <c r="AS92" s="842"/>
      <c r="AT92" s="842"/>
      <c r="AU92" s="842"/>
      <c r="AV92" s="842"/>
      <c r="AW92" s="842"/>
      <c r="AX92" s="842"/>
      <c r="AY92" s="842"/>
      <c r="AZ92" s="842"/>
      <c r="BA92" s="842"/>
      <c r="BB92" s="842"/>
    </row>
    <row r="93" spans="2:54">
      <c r="C93" s="307"/>
      <c r="D93" s="301" t="s">
        <v>446</v>
      </c>
      <c r="K93" s="330"/>
      <c r="L93" s="331"/>
      <c r="M93" s="331"/>
      <c r="N93" s="330"/>
      <c r="O93" s="331"/>
      <c r="P93" s="331"/>
      <c r="Q93" s="331"/>
      <c r="R93" s="332"/>
      <c r="S93" s="330"/>
      <c r="T93" s="331"/>
      <c r="U93" s="451">
        <v>1.3224394930703258</v>
      </c>
      <c r="V93" s="330">
        <v>0.89072410783715006</v>
      </c>
      <c r="W93" s="331">
        <v>1.1174850167796611</v>
      </c>
      <c r="X93" s="331">
        <v>2.9693447902714936</v>
      </c>
      <c r="Y93" s="331">
        <v>1.4460833879475981</v>
      </c>
      <c r="Z93" s="1794">
        <f>$Y$93</f>
        <v>1.4460833879475981</v>
      </c>
      <c r="AA93" s="1798">
        <f t="shared" ref="AA93:AJ93" si="39">$Y$93</f>
        <v>1.4460833879475981</v>
      </c>
      <c r="AB93" s="1799">
        <f t="shared" si="39"/>
        <v>1.4460833879475981</v>
      </c>
      <c r="AC93" s="1799">
        <f t="shared" si="39"/>
        <v>1.4460833879475981</v>
      </c>
      <c r="AD93" s="1799">
        <f t="shared" si="39"/>
        <v>1.4460833879475981</v>
      </c>
      <c r="AE93" s="1319">
        <f t="shared" si="39"/>
        <v>1.4460833879475981</v>
      </c>
      <c r="AF93" s="1798">
        <f t="shared" si="39"/>
        <v>1.4460833879475981</v>
      </c>
      <c r="AG93" s="1799">
        <f t="shared" si="39"/>
        <v>1.4460833879475981</v>
      </c>
      <c r="AH93" s="1799">
        <f t="shared" si="39"/>
        <v>1.4460833879475981</v>
      </c>
      <c r="AI93" s="1799">
        <f t="shared" si="39"/>
        <v>1.4460833879475981</v>
      </c>
      <c r="AJ93" s="1319">
        <f t="shared" si="39"/>
        <v>1.4460833879475981</v>
      </c>
      <c r="AM93" s="842">
        <v>0</v>
      </c>
      <c r="AN93" s="842">
        <v>0</v>
      </c>
      <c r="AO93" s="842">
        <v>0</v>
      </c>
      <c r="AP93" s="842">
        <v>0</v>
      </c>
      <c r="AQ93" s="842">
        <v>0</v>
      </c>
      <c r="AR93" s="842"/>
      <c r="AS93" s="842"/>
      <c r="AT93" s="842"/>
      <c r="AU93" s="842"/>
      <c r="AV93" s="842"/>
      <c r="AW93" s="842"/>
      <c r="AX93" s="842"/>
      <c r="AY93" s="842"/>
      <c r="AZ93" s="842"/>
      <c r="BA93" s="842"/>
      <c r="BB93" s="842"/>
    </row>
    <row r="94" spans="2:54">
      <c r="C94" s="298" t="str">
        <f>+CONCATENATE("Total ",C90)</f>
        <v>Total Licence fees</v>
      </c>
      <c r="D94" s="314"/>
      <c r="K94" s="270">
        <f>+SUM(K91:K93)</f>
        <v>0</v>
      </c>
      <c r="L94" s="270">
        <f t="shared" ref="L94:W94" si="40">+SUM(L91:L93)</f>
        <v>0</v>
      </c>
      <c r="M94" s="270">
        <f t="shared" si="40"/>
        <v>0</v>
      </c>
      <c r="N94" s="270">
        <f t="shared" si="40"/>
        <v>0</v>
      </c>
      <c r="O94" s="270">
        <f t="shared" si="40"/>
        <v>0</v>
      </c>
      <c r="P94" s="270">
        <f t="shared" si="40"/>
        <v>0</v>
      </c>
      <c r="Q94" s="270">
        <f t="shared" si="40"/>
        <v>0</v>
      </c>
      <c r="R94" s="296">
        <f t="shared" si="40"/>
        <v>0</v>
      </c>
      <c r="S94" s="296">
        <f t="shared" si="40"/>
        <v>0</v>
      </c>
      <c r="T94" s="296">
        <f t="shared" si="40"/>
        <v>0</v>
      </c>
      <c r="U94" s="296">
        <f t="shared" si="40"/>
        <v>3.3039345108576326</v>
      </c>
      <c r="V94" s="296">
        <f t="shared" si="40"/>
        <v>2.7021016122137405</v>
      </c>
      <c r="W94" s="296">
        <f t="shared" si="40"/>
        <v>2.5714009491525425</v>
      </c>
      <c r="X94" s="296">
        <f>+SUM(X91:X93)</f>
        <v>4.4284780662895926</v>
      </c>
      <c r="Y94" s="296">
        <f>+SUM(Y91:Y93)</f>
        <v>2.8978902757641918</v>
      </c>
      <c r="Z94" s="296">
        <f>+SUM(Z91:Z93)</f>
        <v>2.8978902757641918</v>
      </c>
      <c r="AA94" s="296">
        <f>+SUM(AA91:AA93)</f>
        <v>2.8978902757641918</v>
      </c>
      <c r="AB94" s="296">
        <f>+SUM(AB91:AB93)</f>
        <v>2.8978902757641918</v>
      </c>
      <c r="AC94" s="296">
        <f t="shared" ref="AC94:AJ94" si="41">+SUM(AC91:AC93)</f>
        <v>2.8978902757641918</v>
      </c>
      <c r="AD94" s="296">
        <f t="shared" si="41"/>
        <v>2.8978902757641918</v>
      </c>
      <c r="AE94" s="296">
        <f t="shared" si="41"/>
        <v>2.8978902757641918</v>
      </c>
      <c r="AF94" s="296">
        <f t="shared" si="41"/>
        <v>2.8978902757641918</v>
      </c>
      <c r="AG94" s="296">
        <f>+SUM(AG91:AG93)</f>
        <v>2.8978902757641918</v>
      </c>
      <c r="AH94" s="296">
        <f>+SUM(AH91:AH93)</f>
        <v>2.8978902757641918</v>
      </c>
      <c r="AI94" s="296">
        <f>+SUM(AI91:AI93)</f>
        <v>2.8978902757641918</v>
      </c>
      <c r="AJ94" s="296">
        <f t="shared" si="41"/>
        <v>2.8978902757641918</v>
      </c>
      <c r="AM94" s="842">
        <v>0</v>
      </c>
      <c r="AN94" s="842">
        <v>0</v>
      </c>
      <c r="AO94" s="842">
        <v>0</v>
      </c>
      <c r="AP94" s="842">
        <v>0</v>
      </c>
      <c r="AQ94" s="842">
        <v>0</v>
      </c>
      <c r="AR94" s="842"/>
      <c r="AS94" s="842"/>
      <c r="AT94" s="842"/>
      <c r="AU94" s="842"/>
      <c r="AV94" s="842"/>
      <c r="AW94" s="842"/>
      <c r="AX94" s="842"/>
      <c r="AY94" s="842"/>
      <c r="AZ94" s="842"/>
      <c r="BA94" s="842"/>
      <c r="BB94" s="842"/>
    </row>
    <row r="95" spans="2:54">
      <c r="C95" s="298"/>
      <c r="D95" s="314"/>
      <c r="I95" s="1819"/>
      <c r="J95" s="1819"/>
      <c r="K95" s="1820"/>
      <c r="L95" s="1820"/>
      <c r="M95" s="1820"/>
      <c r="N95" s="1820"/>
      <c r="O95" s="1820"/>
      <c r="P95" s="1820"/>
      <c r="Q95" s="1820"/>
      <c r="R95" s="1820"/>
      <c r="S95" s="1820"/>
      <c r="T95" s="1820"/>
      <c r="U95" s="1820"/>
      <c r="V95" s="1820"/>
      <c r="W95" s="1820"/>
      <c r="X95" s="1820"/>
      <c r="Y95" s="1820"/>
      <c r="Z95" s="1820"/>
      <c r="AA95" s="1820"/>
      <c r="AB95" s="1820"/>
      <c r="AC95" s="1820"/>
      <c r="AD95" s="1820"/>
      <c r="AE95" s="1820"/>
      <c r="AF95" s="1820"/>
      <c r="AG95" s="1820"/>
      <c r="AH95" s="1820"/>
      <c r="AI95" s="1820"/>
      <c r="AJ95" s="1820"/>
      <c r="AK95" s="88"/>
      <c r="AL95" s="1482"/>
      <c r="AM95" s="842"/>
      <c r="AN95" s="842"/>
      <c r="AO95" s="842"/>
      <c r="AP95" s="842"/>
      <c r="AQ95" s="842"/>
      <c r="AR95" s="842"/>
      <c r="AS95" s="842"/>
      <c r="AT95" s="842"/>
      <c r="AU95" s="842"/>
      <c r="AV95" s="842"/>
      <c r="AW95" s="842"/>
      <c r="AX95" s="842"/>
      <c r="AY95" s="842"/>
      <c r="AZ95" s="842"/>
      <c r="BA95" s="842"/>
      <c r="BB95" s="842"/>
    </row>
    <row r="96" spans="2:54">
      <c r="C96" s="298"/>
      <c r="D96" s="314"/>
      <c r="I96" s="868"/>
      <c r="J96" s="868"/>
      <c r="K96" s="1407"/>
      <c r="L96" s="1407"/>
      <c r="M96" s="1407"/>
      <c r="N96" s="1407"/>
      <c r="O96" s="1407"/>
      <c r="P96" s="1407"/>
      <c r="Q96" s="1407"/>
      <c r="R96" s="1407"/>
      <c r="S96" s="1407"/>
      <c r="T96" s="1407"/>
      <c r="Z96" s="1790">
        <f>SUM(V94:Z94)</f>
        <v>15.497761179184259</v>
      </c>
      <c r="AA96" s="603"/>
      <c r="AB96" s="116"/>
      <c r="AC96" s="116"/>
      <c r="AD96" s="116"/>
      <c r="AE96" s="1790">
        <f>SUM(AA94:AE94)</f>
        <v>14.489451378820959</v>
      </c>
      <c r="AF96" s="116"/>
      <c r="AG96" s="116"/>
      <c r="AH96" s="116"/>
      <c r="AI96" s="116"/>
      <c r="AJ96" s="1790">
        <f>SUM(AF94:AJ94)</f>
        <v>14.489451378820959</v>
      </c>
      <c r="AK96" s="88"/>
      <c r="AL96" s="1482"/>
      <c r="AM96" s="842"/>
      <c r="AN96" s="842"/>
      <c r="AO96" s="842"/>
      <c r="AP96" s="842"/>
      <c r="AQ96" s="842"/>
      <c r="AR96" s="842"/>
      <c r="AS96" s="842"/>
      <c r="AT96" s="842"/>
      <c r="AU96" s="842"/>
      <c r="AV96" s="842"/>
      <c r="AW96" s="842"/>
      <c r="AX96" s="842"/>
      <c r="AY96" s="842"/>
      <c r="AZ96" s="842"/>
      <c r="BA96" s="842"/>
      <c r="BB96" s="842"/>
    </row>
    <row r="97" spans="3:54">
      <c r="C97" s="298"/>
      <c r="D97" s="314"/>
      <c r="I97" s="868"/>
      <c r="J97" s="868"/>
      <c r="K97" s="1407"/>
      <c r="L97" s="1407"/>
      <c r="M97" s="1407"/>
      <c r="N97" s="1407"/>
      <c r="O97" s="1407"/>
      <c r="P97" s="1407"/>
      <c r="Q97" s="1407"/>
      <c r="R97" s="1407"/>
      <c r="S97" s="1407"/>
      <c r="T97" s="1407"/>
      <c r="AK97" s="88"/>
      <c r="AL97" s="1482"/>
      <c r="AM97" s="842"/>
      <c r="AN97" s="842"/>
      <c r="AO97" s="842"/>
      <c r="AP97" s="842"/>
      <c r="AQ97" s="842"/>
      <c r="AR97" s="842"/>
      <c r="AS97" s="842"/>
      <c r="AT97" s="842"/>
      <c r="AU97" s="842"/>
      <c r="AV97" s="842"/>
      <c r="AW97" s="842"/>
      <c r="AX97" s="842"/>
      <c r="AY97" s="842"/>
      <c r="AZ97" s="842"/>
      <c r="BA97" s="842"/>
      <c r="BB97" s="842"/>
    </row>
    <row r="98" spans="3:54">
      <c r="K98" s="315"/>
      <c r="L98" s="315"/>
      <c r="M98" s="315"/>
      <c r="N98" s="315"/>
      <c r="O98" s="315"/>
      <c r="P98" s="315"/>
      <c r="Q98" s="315"/>
      <c r="R98" s="293"/>
      <c r="S98" s="293"/>
      <c r="T98" s="293"/>
      <c r="U98" s="293"/>
      <c r="V98" s="293"/>
      <c r="W98" s="293"/>
      <c r="X98" s="293"/>
      <c r="Y98" s="293"/>
      <c r="Z98" s="293"/>
      <c r="AA98" s="293"/>
      <c r="AB98" s="468"/>
      <c r="AC98" s="468"/>
      <c r="AD98" s="468"/>
      <c r="AE98" s="468"/>
      <c r="AF98" s="468"/>
      <c r="AG98" s="468"/>
      <c r="AH98" s="468"/>
      <c r="AI98" s="468"/>
      <c r="AJ98" s="468"/>
      <c r="AM98" s="842"/>
      <c r="AN98" s="842"/>
      <c r="AO98" s="842"/>
      <c r="AP98" s="842"/>
      <c r="AQ98" s="842"/>
      <c r="AR98" s="842"/>
      <c r="AS98" s="842"/>
      <c r="AT98" s="842"/>
      <c r="AU98" s="842"/>
      <c r="AV98" s="842"/>
      <c r="AW98" s="842"/>
      <c r="AX98" s="842"/>
      <c r="AY98" s="842"/>
      <c r="AZ98" s="842"/>
      <c r="BA98" s="842"/>
      <c r="BB98" s="842"/>
    </row>
    <row r="99" spans="3:54">
      <c r="C99" s="298" t="str">
        <f>E32</f>
        <v>Environment Contribution (W&amp;D)</v>
      </c>
      <c r="K99" s="333"/>
      <c r="L99" s="334"/>
      <c r="M99" s="334"/>
      <c r="N99" s="333"/>
      <c r="O99" s="334"/>
      <c r="P99" s="334"/>
      <c r="Q99" s="334"/>
      <c r="R99" s="335"/>
      <c r="S99" s="333"/>
      <c r="T99" s="334"/>
      <c r="U99" s="336">
        <v>0.12780418807821611</v>
      </c>
      <c r="V99" s="333">
        <v>0.10753478505445292</v>
      </c>
      <c r="W99" s="334">
        <v>0.10232728941016948</v>
      </c>
      <c r="X99" s="334">
        <v>9.2861306789140272E-2</v>
      </c>
      <c r="Y99" s="334">
        <v>3.665495499803495E-2</v>
      </c>
      <c r="Z99" s="1821">
        <f>Y99/(1+KeyAssumptionsPriceControl_FO!AE14)</f>
        <v>3.5795243900000016E-2</v>
      </c>
      <c r="AA99" s="1323">
        <f>Z99/(1+KeyAssumptionsPriceControl_FO!AF14)</f>
        <v>3.4786437220602547E-2</v>
      </c>
      <c r="AB99" s="1324">
        <f>AA99/(1+KeyAssumptionsPriceControl_FO!AG14)</f>
        <v>3.3806061438875171E-2</v>
      </c>
      <c r="AC99" s="1324">
        <f>AB99/(1+KeyAssumptionsPriceControl_FO!AH14)</f>
        <v>3.2853315295311152E-2</v>
      </c>
      <c r="AD99" s="1324">
        <f>AC99/(1+KeyAssumptionsPriceControl_FO!AI14)</f>
        <v>3.1927420112061372E-2</v>
      </c>
      <c r="AE99" s="1322">
        <f>AD99/(1+KeyAssumptionsPriceControl_FO!AJ14)</f>
        <v>3.1027619156522229E-2</v>
      </c>
      <c r="AF99" s="1323">
        <f>AE99/(1+KeyAssumptionsPriceControl_FO!AK14)</f>
        <v>3.0153177022859311E-2</v>
      </c>
      <c r="AG99" s="1324">
        <f>AF99/(1+KeyAssumptionsPriceControl_FO!AL14)</f>
        <v>2.9303379030961432E-2</v>
      </c>
      <c r="AH99" s="1324">
        <f>AG99/(1+KeyAssumptionsPriceControl_FO!AM14)</f>
        <v>2.8477530642333757E-2</v>
      </c>
      <c r="AI99" s="1324">
        <f>AH99/(1+KeyAssumptionsPriceControl_FO!AN14)</f>
        <v>2.7674956892452633E-2</v>
      </c>
      <c r="AJ99" s="1322">
        <f>AI99/(1+KeyAssumptionsPriceControl_FO!AO14)</f>
        <v>2.6895001839118207E-2</v>
      </c>
      <c r="AM99" s="842"/>
      <c r="AN99" s="842"/>
      <c r="AO99" s="842"/>
      <c r="AP99" s="842"/>
      <c r="AQ99" s="842"/>
      <c r="AR99" s="842"/>
      <c r="AS99" s="842"/>
      <c r="AT99" s="842"/>
      <c r="AU99" s="842"/>
      <c r="AV99" s="842"/>
      <c r="AW99" s="842"/>
      <c r="AX99" s="842"/>
      <c r="AY99" s="842"/>
      <c r="AZ99" s="842"/>
      <c r="BA99" s="842"/>
      <c r="BB99" s="842"/>
    </row>
    <row r="100" spans="3:54">
      <c r="K100" s="315"/>
      <c r="L100" s="315"/>
      <c r="M100" s="315"/>
      <c r="N100" s="316"/>
      <c r="O100" s="316"/>
      <c r="P100" s="316"/>
      <c r="Q100" s="316"/>
      <c r="R100" s="293"/>
      <c r="S100" s="293"/>
      <c r="T100" s="293"/>
      <c r="U100" s="293"/>
      <c r="V100" s="293"/>
      <c r="W100" s="293"/>
      <c r="X100" s="293"/>
      <c r="Y100" s="293"/>
      <c r="Z100" s="293"/>
      <c r="AA100" s="293"/>
      <c r="AB100" s="293"/>
      <c r="AC100" s="293"/>
      <c r="AD100" s="293"/>
      <c r="AE100" s="293"/>
      <c r="AF100" s="293"/>
      <c r="AG100" s="293"/>
      <c r="AH100" s="293"/>
      <c r="AI100" s="293"/>
      <c r="AJ100" s="293"/>
      <c r="AK100" s="316"/>
      <c r="AL100" s="316"/>
      <c r="AM100" s="842"/>
      <c r="AN100" s="842"/>
      <c r="AO100" s="842"/>
      <c r="AP100" s="842"/>
      <c r="AQ100" s="842"/>
      <c r="AR100" s="842"/>
      <c r="AS100" s="842"/>
      <c r="AT100" s="842"/>
      <c r="AU100" s="842"/>
      <c r="AV100" s="842"/>
      <c r="AW100" s="842"/>
      <c r="AX100" s="842"/>
      <c r="AY100" s="842"/>
      <c r="AZ100" s="842"/>
      <c r="BA100" s="842"/>
      <c r="BB100" s="842"/>
    </row>
    <row r="101" spans="3:54">
      <c r="K101" s="315"/>
      <c r="L101" s="315"/>
      <c r="M101" s="315"/>
      <c r="N101" s="316"/>
      <c r="O101" s="316"/>
      <c r="P101" s="316"/>
      <c r="Q101" s="316"/>
      <c r="R101" s="293"/>
      <c r="S101" s="293"/>
      <c r="T101" s="293"/>
      <c r="U101" s="293"/>
      <c r="V101" s="293"/>
      <c r="W101" s="293"/>
      <c r="X101" s="293"/>
      <c r="Y101" s="293"/>
      <c r="Z101" s="1790">
        <f>SUM(V99:Z99)</f>
        <v>0.37517358015179764</v>
      </c>
      <c r="AA101" s="603"/>
      <c r="AB101" s="116"/>
      <c r="AC101" s="116"/>
      <c r="AD101" s="116"/>
      <c r="AE101" s="1790">
        <f>SUM(AA99:AE99)</f>
        <v>0.16440085322337247</v>
      </c>
      <c r="AF101" s="116"/>
      <c r="AG101" s="116"/>
      <c r="AH101" s="116"/>
      <c r="AI101" s="116"/>
      <c r="AJ101" s="1790">
        <f>SUM(AF99:AJ99)</f>
        <v>0.14250404542772532</v>
      </c>
      <c r="AK101" s="316"/>
      <c r="AL101" s="316"/>
      <c r="AM101" s="842"/>
      <c r="AN101" s="842"/>
      <c r="AO101" s="842"/>
      <c r="AP101" s="842"/>
      <c r="AQ101" s="842"/>
      <c r="AR101" s="842"/>
      <c r="AS101" s="842"/>
      <c r="AT101" s="842"/>
      <c r="AU101" s="842"/>
      <c r="AV101" s="842"/>
      <c r="AW101" s="842"/>
      <c r="AX101" s="842"/>
      <c r="AY101" s="842"/>
      <c r="AZ101" s="842"/>
      <c r="BA101" s="842"/>
      <c r="BB101" s="842"/>
    </row>
    <row r="102" spans="3:54">
      <c r="K102" s="315"/>
      <c r="L102" s="315"/>
      <c r="M102" s="315"/>
      <c r="N102" s="316"/>
      <c r="O102" s="316"/>
      <c r="P102" s="316"/>
      <c r="Q102" s="316"/>
      <c r="R102" s="293"/>
      <c r="S102" s="293"/>
      <c r="T102" s="293"/>
      <c r="U102" s="293"/>
      <c r="V102" s="293"/>
      <c r="W102" s="293"/>
      <c r="X102" s="293"/>
      <c r="Y102" s="293"/>
      <c r="Z102" s="293"/>
      <c r="AA102" s="293"/>
      <c r="AB102" s="293"/>
      <c r="AC102" s="293"/>
      <c r="AD102" s="293"/>
      <c r="AE102" s="293"/>
      <c r="AF102" s="293"/>
      <c r="AG102" s="293"/>
      <c r="AH102" s="293"/>
      <c r="AI102" s="293"/>
      <c r="AJ102" s="293"/>
      <c r="AK102" s="316"/>
      <c r="AL102" s="316"/>
      <c r="AM102" s="842"/>
      <c r="AN102" s="842"/>
      <c r="AO102" s="842"/>
      <c r="AP102" s="842"/>
      <c r="AQ102" s="842"/>
      <c r="AR102" s="842"/>
      <c r="AS102" s="842"/>
      <c r="AT102" s="842"/>
      <c r="AU102" s="842"/>
      <c r="AV102" s="842"/>
      <c r="AW102" s="842"/>
      <c r="AX102" s="842"/>
      <c r="AY102" s="842"/>
      <c r="AZ102" s="842"/>
      <c r="BA102" s="842"/>
      <c r="BB102" s="842"/>
    </row>
    <row r="103" spans="3:54">
      <c r="C103" s="298" t="str">
        <f>E33</f>
        <v>Desalination Payments (W&amp;S)</v>
      </c>
      <c r="K103" s="333"/>
      <c r="L103" s="334"/>
      <c r="M103" s="334"/>
      <c r="N103" s="333"/>
      <c r="O103" s="334"/>
      <c r="P103" s="334"/>
      <c r="Q103" s="334"/>
      <c r="R103" s="335"/>
      <c r="S103" s="333"/>
      <c r="T103" s="334"/>
      <c r="U103" s="336">
        <v>650.70394318422723</v>
      </c>
      <c r="V103" s="333">
        <v>637.96739843424859</v>
      </c>
      <c r="W103" s="334">
        <v>614.70472301684106</v>
      </c>
      <c r="X103" s="334">
        <v>577.90251660274885</v>
      </c>
      <c r="Y103" s="334">
        <v>547.30412034433414</v>
      </c>
      <c r="Z103" s="335">
        <v>530.2797577844874</v>
      </c>
      <c r="AA103" s="333">
        <v>519.65610716115782</v>
      </c>
      <c r="AB103" s="334">
        <v>507.23378314127302</v>
      </c>
      <c r="AC103" s="334">
        <v>502.13734976423558</v>
      </c>
      <c r="AD103" s="334">
        <v>480.98866546624782</v>
      </c>
      <c r="AE103" s="335">
        <v>460.29627939238156</v>
      </c>
      <c r="AF103" s="333">
        <v>438.03112520239159</v>
      </c>
      <c r="AG103" s="334">
        <v>414.00398512234364</v>
      </c>
      <c r="AH103" s="334">
        <v>378.84409564776519</v>
      </c>
      <c r="AI103" s="334">
        <v>351.94541390923274</v>
      </c>
      <c r="AJ103" s="335">
        <v>323.92970971699924</v>
      </c>
      <c r="AM103" s="842"/>
      <c r="AN103" s="842"/>
      <c r="AO103" s="842"/>
      <c r="AP103" s="842"/>
      <c r="AQ103" s="842"/>
      <c r="AR103" s="842"/>
      <c r="AS103" s="842"/>
      <c r="AT103" s="842"/>
      <c r="AU103" s="842"/>
      <c r="AV103" s="842"/>
      <c r="AW103" s="842"/>
      <c r="AX103" s="842"/>
      <c r="AY103" s="842"/>
      <c r="AZ103" s="842"/>
      <c r="BA103" s="842"/>
      <c r="BB103" s="842"/>
    </row>
    <row r="104" spans="3:54">
      <c r="C104" s="298"/>
      <c r="K104" s="328"/>
      <c r="L104" s="328"/>
      <c r="M104" s="328"/>
      <c r="N104" s="328"/>
      <c r="O104" s="328"/>
      <c r="P104" s="328"/>
      <c r="Q104" s="328"/>
      <c r="R104" s="328"/>
      <c r="S104" s="328"/>
      <c r="T104" s="328"/>
      <c r="U104" s="630"/>
      <c r="V104" s="630"/>
      <c r="W104" s="630"/>
      <c r="X104" s="630"/>
      <c r="Y104" s="630"/>
      <c r="Z104" s="630"/>
      <c r="AA104" s="630"/>
      <c r="AB104" s="630"/>
      <c r="AC104" s="630"/>
      <c r="AD104" s="630"/>
      <c r="AE104" s="630"/>
      <c r="AF104" s="630"/>
      <c r="AG104" s="630"/>
      <c r="AH104" s="630"/>
      <c r="AI104" s="630"/>
      <c r="AJ104" s="630"/>
      <c r="AM104" s="842"/>
      <c r="AN104" s="842"/>
      <c r="AO104" s="842"/>
      <c r="AP104" s="842"/>
      <c r="AQ104" s="842"/>
      <c r="AR104" s="842"/>
      <c r="AS104" s="842"/>
      <c r="AT104" s="842"/>
      <c r="AU104" s="842"/>
      <c r="AV104" s="842"/>
      <c r="AW104" s="842"/>
      <c r="AX104" s="842"/>
      <c r="AY104" s="842"/>
      <c r="AZ104" s="842"/>
      <c r="BA104" s="842"/>
      <c r="BB104" s="842"/>
    </row>
    <row r="105" spans="3:54">
      <c r="C105" s="298"/>
      <c r="U105" s="842"/>
      <c r="V105" s="842"/>
      <c r="W105" s="842"/>
      <c r="X105" s="842"/>
      <c r="Y105" s="842"/>
      <c r="Z105" s="1790">
        <f>SUM(V103:Z103)</f>
        <v>2908.1585161826597</v>
      </c>
      <c r="AA105" s="603"/>
      <c r="AB105" s="116"/>
      <c r="AC105" s="116"/>
      <c r="AD105" s="116"/>
      <c r="AE105" s="1790">
        <f>SUM(AA103:AE103)</f>
        <v>2470.3121849252957</v>
      </c>
      <c r="AF105" s="116"/>
      <c r="AG105" s="116"/>
      <c r="AH105" s="116"/>
      <c r="AI105" s="116"/>
      <c r="AJ105" s="1790">
        <f>SUM(AF103:AJ103)</f>
        <v>1906.7543295987323</v>
      </c>
      <c r="AM105" s="842"/>
      <c r="AN105" s="842"/>
      <c r="AO105" s="842"/>
      <c r="AP105" s="842"/>
      <c r="AQ105" s="842"/>
      <c r="AR105" s="842"/>
      <c r="AS105" s="842"/>
      <c r="AT105" s="842"/>
      <c r="AU105" s="842"/>
      <c r="AV105" s="842"/>
      <c r="AW105" s="842"/>
      <c r="AX105" s="842"/>
      <c r="AY105" s="842"/>
      <c r="AZ105" s="842"/>
      <c r="BA105" s="842"/>
      <c r="BB105" s="842"/>
    </row>
    <row r="106" spans="3:54">
      <c r="C106" s="1434" t="s">
        <v>447</v>
      </c>
      <c r="D106" s="67"/>
      <c r="E106" s="67"/>
      <c r="F106" s="67"/>
      <c r="G106" s="67"/>
      <c r="H106" s="67"/>
      <c r="K106" s="143"/>
      <c r="L106" s="143"/>
      <c r="M106" s="143"/>
      <c r="R106" s="116"/>
      <c r="S106" s="116"/>
      <c r="T106" s="116"/>
      <c r="U106" s="116"/>
      <c r="V106" s="116"/>
      <c r="W106" s="116"/>
      <c r="X106" s="116"/>
      <c r="Y106" s="88"/>
      <c r="Z106" s="88"/>
      <c r="AA106" s="88"/>
      <c r="AB106" s="88"/>
      <c r="AC106" s="88"/>
      <c r="AD106" s="88"/>
      <c r="AE106" s="88"/>
      <c r="AF106" s="88"/>
      <c r="AG106" s="116"/>
      <c r="AH106" s="116"/>
      <c r="AI106" s="116"/>
      <c r="AJ106" s="116"/>
      <c r="AM106" s="842"/>
      <c r="AN106" s="842"/>
      <c r="AO106" s="842"/>
      <c r="AP106" s="842"/>
      <c r="AQ106" s="842"/>
      <c r="AR106" s="842"/>
      <c r="AS106" s="842"/>
      <c r="AT106" s="842"/>
      <c r="AU106" s="842"/>
      <c r="AV106" s="842"/>
      <c r="AW106" s="842"/>
      <c r="AX106" s="842"/>
      <c r="AY106" s="842"/>
      <c r="AZ106" s="842"/>
      <c r="BA106" s="842"/>
      <c r="BB106" s="842"/>
    </row>
    <row r="107" spans="3:54">
      <c r="D107" s="2087" t="s">
        <v>448</v>
      </c>
      <c r="E107" s="2087"/>
      <c r="F107" s="2087"/>
      <c r="G107" s="2087"/>
      <c r="H107" s="2087"/>
      <c r="I107" s="2087"/>
      <c r="J107" s="2087"/>
      <c r="K107" s="324"/>
      <c r="L107" s="325"/>
      <c r="M107" s="325"/>
      <c r="N107" s="324"/>
      <c r="O107" s="325"/>
      <c r="P107" s="325"/>
      <c r="Q107" s="325"/>
      <c r="R107" s="326"/>
      <c r="S107" s="324"/>
      <c r="T107" s="325"/>
      <c r="U107" s="449">
        <v>12.784170526864063</v>
      </c>
      <c r="V107" s="324">
        <v>19.156652262875319</v>
      </c>
      <c r="W107" s="325">
        <v>20.778094724918642</v>
      </c>
      <c r="X107" s="325">
        <v>25.02355637013552</v>
      </c>
      <c r="Y107" s="325">
        <v>20.343209569854142</v>
      </c>
      <c r="Z107" s="326">
        <v>23.52</v>
      </c>
      <c r="AA107" s="324">
        <v>20.723414634146344</v>
      </c>
      <c r="AB107" s="325">
        <v>20.824504461629985</v>
      </c>
      <c r="AC107" s="325">
        <v>20.926087410223307</v>
      </c>
      <c r="AD107" s="325">
        <v>21.028165885395129</v>
      </c>
      <c r="AE107" s="326">
        <v>21.028165885395129</v>
      </c>
      <c r="AF107" s="324">
        <v>21.028165885395129</v>
      </c>
      <c r="AG107" s="325">
        <v>21.028165885395129</v>
      </c>
      <c r="AH107" s="325">
        <v>21.028165885395129</v>
      </c>
      <c r="AI107" s="325">
        <v>21.028165885395129</v>
      </c>
      <c r="AJ107" s="326">
        <v>21.028165885395129</v>
      </c>
      <c r="AM107" s="842"/>
      <c r="AN107" s="842"/>
      <c r="AO107" s="842"/>
      <c r="AP107" s="842"/>
      <c r="AQ107" s="842"/>
      <c r="AR107" s="842"/>
      <c r="AS107" s="842"/>
      <c r="AT107" s="842"/>
      <c r="AU107" s="842"/>
      <c r="AV107" s="842"/>
      <c r="AW107" s="842"/>
      <c r="AX107" s="842"/>
      <c r="AY107" s="842"/>
      <c r="AZ107" s="842"/>
      <c r="BA107" s="842"/>
      <c r="BB107" s="842"/>
    </row>
    <row r="108" spans="3:54">
      <c r="D108" s="2087" t="s">
        <v>449</v>
      </c>
      <c r="E108" s="2087"/>
      <c r="F108" s="2087"/>
      <c r="G108" s="2087"/>
      <c r="H108" s="2087"/>
      <c r="I108" s="2087"/>
      <c r="J108" s="2087"/>
      <c r="K108" s="327"/>
      <c r="L108" s="328"/>
      <c r="M108" s="328"/>
      <c r="N108" s="327"/>
      <c r="O108" s="328"/>
      <c r="P108" s="328"/>
      <c r="Q108" s="328"/>
      <c r="R108" s="329"/>
      <c r="S108" s="327"/>
      <c r="T108" s="328"/>
      <c r="U108" s="450">
        <v>2.5530035776056428</v>
      </c>
      <c r="V108" s="327">
        <v>2.6384414819756996</v>
      </c>
      <c r="W108" s="328">
        <v>2.6491080073871185</v>
      </c>
      <c r="X108" s="328">
        <v>2.3206122917455883</v>
      </c>
      <c r="Y108" s="328">
        <v>2.3439791511756005</v>
      </c>
      <c r="Z108" s="329">
        <v>2.3439791511756005</v>
      </c>
      <c r="AA108" s="327">
        <v>2.3439791511756005</v>
      </c>
      <c r="AB108" s="328">
        <v>2.3439791511756005</v>
      </c>
      <c r="AC108" s="328">
        <v>2.3439791511756005</v>
      </c>
      <c r="AD108" s="328">
        <v>2.3439791511756005</v>
      </c>
      <c r="AE108" s="329">
        <v>2.3439791511756005</v>
      </c>
      <c r="AF108" s="327">
        <v>2.3439791511756005</v>
      </c>
      <c r="AG108" s="328">
        <v>2.3439791511756005</v>
      </c>
      <c r="AH108" s="328">
        <v>2.3439791511756005</v>
      </c>
      <c r="AI108" s="328">
        <v>2.3439791511756005</v>
      </c>
      <c r="AJ108" s="329">
        <v>2.3439791511756005</v>
      </c>
      <c r="AM108" s="842"/>
      <c r="AN108" s="842"/>
      <c r="AO108" s="842"/>
      <c r="AP108" s="842"/>
      <c r="AQ108" s="842"/>
      <c r="AR108" s="842"/>
      <c r="AS108" s="842"/>
      <c r="AT108" s="842"/>
      <c r="AU108" s="842"/>
      <c r="AV108" s="842"/>
      <c r="AW108" s="842"/>
      <c r="AX108" s="842"/>
      <c r="AY108" s="842"/>
      <c r="AZ108" s="842"/>
      <c r="BA108" s="842"/>
      <c r="BB108" s="842"/>
    </row>
    <row r="109" spans="3:54">
      <c r="D109" s="2087" t="s">
        <v>450</v>
      </c>
      <c r="E109" s="2087"/>
      <c r="F109" s="2087"/>
      <c r="G109" s="2087"/>
      <c r="H109" s="2087"/>
      <c r="I109" s="2087"/>
      <c r="J109" s="2087"/>
      <c r="K109" s="327"/>
      <c r="L109" s="328"/>
      <c r="M109" s="328"/>
      <c r="N109" s="327"/>
      <c r="O109" s="328"/>
      <c r="P109" s="328"/>
      <c r="Q109" s="328"/>
      <c r="R109" s="329"/>
      <c r="S109" s="327"/>
      <c r="T109" s="328"/>
      <c r="U109" s="450">
        <v>6.2694615869498653</v>
      </c>
      <c r="V109" s="327">
        <v>9.3945786505488531</v>
      </c>
      <c r="W109" s="328">
        <v>10.189747270199895</v>
      </c>
      <c r="X109" s="328">
        <v>12.271756317844011</v>
      </c>
      <c r="Y109" s="328">
        <v>9.9764760400733703</v>
      </c>
      <c r="Z109" s="329">
        <v>11.5344</v>
      </c>
      <c r="AA109" s="327">
        <v>10.162931707317073</v>
      </c>
      <c r="AB109" s="328">
        <v>10.212506983938134</v>
      </c>
      <c r="AC109" s="328">
        <v>10.262324091176858</v>
      </c>
      <c r="AD109" s="328">
        <v>10.312384208694793</v>
      </c>
      <c r="AE109" s="329">
        <v>10.312384208694793</v>
      </c>
      <c r="AF109" s="327">
        <v>10.312384208694793</v>
      </c>
      <c r="AG109" s="328">
        <v>10.312384208694793</v>
      </c>
      <c r="AH109" s="328">
        <v>10.312384208694793</v>
      </c>
      <c r="AI109" s="328">
        <v>10.312384208694793</v>
      </c>
      <c r="AJ109" s="329">
        <v>10.312384208694793</v>
      </c>
      <c r="AK109" s="88"/>
      <c r="AM109" s="842"/>
      <c r="AN109" s="842"/>
      <c r="AO109" s="842"/>
      <c r="AP109" s="842"/>
      <c r="AQ109" s="842"/>
      <c r="AR109" s="842"/>
      <c r="AS109" s="842"/>
      <c r="AT109" s="842"/>
      <c r="AU109" s="842"/>
      <c r="AV109" s="842"/>
      <c r="AW109" s="842"/>
      <c r="AX109" s="842"/>
      <c r="AY109" s="842"/>
      <c r="AZ109" s="842"/>
      <c r="BA109" s="842"/>
      <c r="BB109" s="842"/>
    </row>
    <row r="110" spans="3:54">
      <c r="D110" s="2087" t="s">
        <v>451</v>
      </c>
      <c r="E110" s="2087"/>
      <c r="F110" s="2087"/>
      <c r="G110" s="2087"/>
      <c r="H110" s="2087"/>
      <c r="I110" s="2087"/>
      <c r="J110" s="2087"/>
      <c r="K110" s="327"/>
      <c r="L110" s="328"/>
      <c r="M110" s="328"/>
      <c r="N110" s="327"/>
      <c r="O110" s="328"/>
      <c r="P110" s="328"/>
      <c r="Q110" s="328"/>
      <c r="R110" s="329"/>
      <c r="S110" s="327"/>
      <c r="T110" s="328"/>
      <c r="U110" s="450">
        <v>0.85707037200787806</v>
      </c>
      <c r="V110" s="327">
        <v>0.88655482970849353</v>
      </c>
      <c r="W110" s="328">
        <v>0.90772788612250821</v>
      </c>
      <c r="X110" s="328">
        <v>0.79724131855022606</v>
      </c>
      <c r="Y110" s="328">
        <v>0.80060786710602838</v>
      </c>
      <c r="Z110" s="329">
        <v>0.80060786710602838</v>
      </c>
      <c r="AA110" s="327">
        <v>0.80060786710602827</v>
      </c>
      <c r="AB110" s="328">
        <v>0.80060786710602827</v>
      </c>
      <c r="AC110" s="328">
        <v>0.80060786710602827</v>
      </c>
      <c r="AD110" s="328">
        <v>0.80060786710602827</v>
      </c>
      <c r="AE110" s="329">
        <v>0.80060786710602827</v>
      </c>
      <c r="AF110" s="327">
        <v>0.80060786710602827</v>
      </c>
      <c r="AG110" s="328">
        <v>0.80060786710602827</v>
      </c>
      <c r="AH110" s="328">
        <v>0.80060786710602827</v>
      </c>
      <c r="AI110" s="328">
        <v>0.80060786710602827</v>
      </c>
      <c r="AJ110" s="329">
        <v>0.80060786710602827</v>
      </c>
      <c r="AK110" s="88"/>
      <c r="AM110" s="842"/>
      <c r="AN110" s="842"/>
      <c r="AO110" s="842"/>
      <c r="AP110" s="842"/>
      <c r="AQ110" s="842"/>
      <c r="AR110" s="842"/>
      <c r="AS110" s="842"/>
      <c r="AT110" s="842"/>
      <c r="AU110" s="842"/>
      <c r="AV110" s="842"/>
      <c r="AW110" s="842"/>
      <c r="AX110" s="842"/>
      <c r="AY110" s="842"/>
      <c r="AZ110" s="842"/>
      <c r="BA110" s="842"/>
      <c r="BB110" s="842"/>
    </row>
    <row r="111" spans="3:54">
      <c r="D111" s="2087" t="s">
        <v>452</v>
      </c>
      <c r="E111" s="2087"/>
      <c r="F111" s="2087"/>
      <c r="G111" s="2087"/>
      <c r="H111" s="2087"/>
      <c r="I111" s="2087"/>
      <c r="J111" s="2087"/>
      <c r="K111" s="327"/>
      <c r="L111" s="328"/>
      <c r="M111" s="328"/>
      <c r="N111" s="327"/>
      <c r="O111" s="328"/>
      <c r="P111" s="328"/>
      <c r="Q111" s="328"/>
      <c r="R111" s="329"/>
      <c r="S111" s="327"/>
      <c r="T111" s="328"/>
      <c r="U111" s="450">
        <v>0.17008487110522127</v>
      </c>
      <c r="V111" s="327">
        <v>0.16820946540177101</v>
      </c>
      <c r="W111" s="328">
        <v>0.16006372857844067</v>
      </c>
      <c r="X111" s="328">
        <v>0.14525672565952941</v>
      </c>
      <c r="Y111" s="328">
        <v>5.146559692668997E-2</v>
      </c>
      <c r="Z111" s="329">
        <v>5.0258514696000026E-2</v>
      </c>
      <c r="AA111" s="327">
        <v>4.8842093970845504E-2</v>
      </c>
      <c r="AB111" s="328">
        <v>4.7465591808401847E-2</v>
      </c>
      <c r="AC111" s="328">
        <v>4.6127883195725805E-2</v>
      </c>
      <c r="AD111" s="328">
        <v>4.4827874825778248E-2</v>
      </c>
      <c r="AE111" s="329">
        <v>4.3564504203866136E-2</v>
      </c>
      <c r="AF111" s="327">
        <v>4.2336738779267379E-2</v>
      </c>
      <c r="AG111" s="328">
        <v>4.1143575101328836E-2</v>
      </c>
      <c r="AH111" s="328">
        <v>3.9984037999347757E-2</v>
      </c>
      <c r="AI111" s="328">
        <v>3.885717978556634E-2</v>
      </c>
      <c r="AJ111" s="329">
        <v>3.7762079480628132E-2</v>
      </c>
      <c r="AM111" s="842"/>
      <c r="AN111" s="842"/>
      <c r="AO111" s="842"/>
      <c r="AP111" s="842"/>
      <c r="AQ111" s="842"/>
      <c r="AR111" s="842"/>
      <c r="AS111" s="842"/>
      <c r="AT111" s="842"/>
      <c r="AU111" s="842"/>
      <c r="AV111" s="842"/>
      <c r="AW111" s="842"/>
      <c r="AX111" s="842"/>
      <c r="AY111" s="842"/>
      <c r="AZ111" s="842"/>
      <c r="BA111" s="842"/>
      <c r="BB111" s="842"/>
    </row>
    <row r="112" spans="3:54">
      <c r="D112" s="2087" t="s">
        <v>453</v>
      </c>
      <c r="E112" s="2087"/>
      <c r="F112" s="2087"/>
      <c r="G112" s="2087"/>
      <c r="H112" s="2087"/>
      <c r="I112" s="2087"/>
      <c r="J112" s="2087"/>
      <c r="K112" s="327"/>
      <c r="L112" s="328"/>
      <c r="M112" s="328"/>
      <c r="N112" s="327"/>
      <c r="O112" s="328"/>
      <c r="P112" s="328"/>
      <c r="Q112" s="328"/>
      <c r="R112" s="329"/>
      <c r="S112" s="327"/>
      <c r="T112" s="328"/>
      <c r="U112" s="450">
        <v>0.86443528191433261</v>
      </c>
      <c r="V112" s="327">
        <v>0.85490376481095165</v>
      </c>
      <c r="W112" s="328">
        <v>0.81350406675715259</v>
      </c>
      <c r="X112" s="328">
        <v>0.73824930918028964</v>
      </c>
      <c r="Y112" s="328">
        <v>0.27469493986566818</v>
      </c>
      <c r="Z112" s="329">
        <v>0.26825220140400013</v>
      </c>
      <c r="AA112" s="327">
        <v>0.26069212964431504</v>
      </c>
      <c r="AB112" s="328">
        <v>0.25334512113150148</v>
      </c>
      <c r="AC112" s="328">
        <v>0.24620517116763993</v>
      </c>
      <c r="AD112" s="328">
        <v>0.23926644428342078</v>
      </c>
      <c r="AE112" s="329">
        <v>0.23252326946882484</v>
      </c>
      <c r="AF112" s="327">
        <v>0.22597013553821663</v>
      </c>
      <c r="AG112" s="328">
        <v>0.21960168662606083</v>
      </c>
      <c r="AH112" s="328">
        <v>0.21341271780958287</v>
      </c>
      <c r="AI112" s="328">
        <v>0.2073981708547939</v>
      </c>
      <c r="AJ112" s="329">
        <v>0.20155313008240425</v>
      </c>
      <c r="AM112" s="842"/>
      <c r="AN112" s="842"/>
      <c r="AO112" s="842"/>
      <c r="AP112" s="842"/>
      <c r="AQ112" s="842"/>
      <c r="AR112" s="842"/>
      <c r="AS112" s="842"/>
      <c r="AT112" s="842"/>
      <c r="AU112" s="842"/>
      <c r="AV112" s="842"/>
      <c r="AW112" s="842"/>
      <c r="AX112" s="842"/>
      <c r="AY112" s="842"/>
      <c r="AZ112" s="842"/>
      <c r="BA112" s="842"/>
      <c r="BB112" s="842"/>
    </row>
    <row r="113" spans="3:54">
      <c r="D113" s="2087" t="s">
        <v>454</v>
      </c>
      <c r="E113" s="2087"/>
      <c r="F113" s="2087"/>
      <c r="G113" s="2087"/>
      <c r="H113" s="2087"/>
      <c r="I113" s="2087"/>
      <c r="J113" s="2087"/>
      <c r="K113" s="327"/>
      <c r="L113" s="328"/>
      <c r="M113" s="328"/>
      <c r="N113" s="327"/>
      <c r="O113" s="328"/>
      <c r="P113" s="328"/>
      <c r="Q113" s="328"/>
      <c r="R113" s="329"/>
      <c r="S113" s="327"/>
      <c r="T113" s="328"/>
      <c r="U113" s="450"/>
      <c r="V113" s="327"/>
      <c r="W113" s="328"/>
      <c r="X113" s="328"/>
      <c r="Y113" s="328"/>
      <c r="Z113" s="329"/>
      <c r="AA113" s="327"/>
      <c r="AB113" s="328"/>
      <c r="AC113" s="328"/>
      <c r="AD113" s="328"/>
      <c r="AE113" s="329"/>
      <c r="AF113" s="327"/>
      <c r="AG113" s="328"/>
      <c r="AH113" s="328"/>
      <c r="AI113" s="328"/>
      <c r="AJ113" s="329"/>
      <c r="AM113" s="842"/>
      <c r="AN113" s="842"/>
      <c r="AO113" s="842"/>
      <c r="AP113" s="842"/>
      <c r="AQ113" s="842"/>
      <c r="AR113" s="842"/>
      <c r="AS113" s="842"/>
      <c r="AT113" s="842"/>
      <c r="AU113" s="842"/>
      <c r="AV113" s="842"/>
      <c r="AW113" s="842"/>
      <c r="AX113" s="842"/>
      <c r="AY113" s="842"/>
      <c r="AZ113" s="842"/>
      <c r="BA113" s="842"/>
      <c r="BB113" s="842"/>
    </row>
    <row r="114" spans="3:54">
      <c r="D114" s="2087" t="s">
        <v>455</v>
      </c>
      <c r="E114" s="2087"/>
      <c r="F114" s="2087"/>
      <c r="G114" s="2087"/>
      <c r="H114" s="2087"/>
      <c r="I114" s="2087"/>
      <c r="J114" s="2087"/>
      <c r="K114" s="327"/>
      <c r="L114" s="328"/>
      <c r="M114" s="328"/>
      <c r="N114" s="327"/>
      <c r="O114" s="328"/>
      <c r="P114" s="328"/>
      <c r="Q114" s="328"/>
      <c r="R114" s="329"/>
      <c r="S114" s="327"/>
      <c r="T114" s="328"/>
      <c r="U114" s="450"/>
      <c r="V114" s="327"/>
      <c r="W114" s="328"/>
      <c r="X114" s="328"/>
      <c r="Y114" s="328"/>
      <c r="Z114" s="329"/>
      <c r="AA114" s="327"/>
      <c r="AB114" s="328"/>
      <c r="AC114" s="328"/>
      <c r="AD114" s="328"/>
      <c r="AE114" s="329"/>
      <c r="AF114" s="327"/>
      <c r="AG114" s="328"/>
      <c r="AH114" s="328"/>
      <c r="AI114" s="328"/>
      <c r="AJ114" s="329"/>
      <c r="AM114" s="842"/>
      <c r="AN114" s="842"/>
      <c r="AO114" s="842"/>
      <c r="AP114" s="842"/>
      <c r="AQ114" s="842"/>
      <c r="AR114" s="842"/>
      <c r="AS114" s="842"/>
      <c r="AT114" s="842"/>
      <c r="AU114" s="842"/>
      <c r="AV114" s="842"/>
      <c r="AW114" s="842"/>
      <c r="AX114" s="842"/>
      <c r="AY114" s="842"/>
      <c r="AZ114" s="842"/>
      <c r="BA114" s="842"/>
      <c r="BB114" s="842"/>
    </row>
    <row r="115" spans="3:54">
      <c r="D115" s="2087" t="s">
        <v>456</v>
      </c>
      <c r="E115" s="2087"/>
      <c r="F115" s="2087"/>
      <c r="G115" s="2087"/>
      <c r="H115" s="2087"/>
      <c r="I115" s="2087"/>
      <c r="J115" s="2087"/>
      <c r="K115" s="327"/>
      <c r="L115" s="328"/>
      <c r="M115" s="328"/>
      <c r="N115" s="327"/>
      <c r="O115" s="328"/>
      <c r="P115" s="328"/>
      <c r="Q115" s="328"/>
      <c r="R115" s="329"/>
      <c r="S115" s="327"/>
      <c r="T115" s="328"/>
      <c r="U115" s="450"/>
      <c r="V115" s="327"/>
      <c r="W115" s="328"/>
      <c r="X115" s="328"/>
      <c r="Y115" s="328"/>
      <c r="Z115" s="329"/>
      <c r="AA115" s="327"/>
      <c r="AB115" s="328"/>
      <c r="AC115" s="328"/>
      <c r="AD115" s="328"/>
      <c r="AE115" s="329"/>
      <c r="AF115" s="327"/>
      <c r="AG115" s="328"/>
      <c r="AH115" s="328"/>
      <c r="AI115" s="328"/>
      <c r="AJ115" s="329"/>
      <c r="AM115" s="842"/>
      <c r="AN115" s="842"/>
      <c r="AO115" s="842"/>
      <c r="AP115" s="842"/>
      <c r="AQ115" s="842"/>
      <c r="AR115" s="842"/>
      <c r="AS115" s="842"/>
      <c r="AT115" s="842"/>
      <c r="AU115" s="842"/>
      <c r="AV115" s="842"/>
      <c r="AW115" s="842"/>
      <c r="AX115" s="842"/>
      <c r="AY115" s="842"/>
      <c r="AZ115" s="842"/>
      <c r="BA115" s="842"/>
      <c r="BB115" s="842"/>
    </row>
    <row r="116" spans="3:54">
      <c r="D116" s="2087" t="s">
        <v>457</v>
      </c>
      <c r="E116" s="2087"/>
      <c r="F116" s="2087"/>
      <c r="G116" s="2087"/>
      <c r="H116" s="2087"/>
      <c r="I116" s="2087"/>
      <c r="J116" s="2087"/>
      <c r="K116" s="330"/>
      <c r="L116" s="331"/>
      <c r="M116" s="331"/>
      <c r="N116" s="330"/>
      <c r="O116" s="331"/>
      <c r="P116" s="331"/>
      <c r="Q116" s="331"/>
      <c r="R116" s="332"/>
      <c r="S116" s="330"/>
      <c r="T116" s="331"/>
      <c r="U116" s="451"/>
      <c r="V116" s="330"/>
      <c r="W116" s="331"/>
      <c r="X116" s="331"/>
      <c r="Y116" s="331"/>
      <c r="Z116" s="332"/>
      <c r="AA116" s="330"/>
      <c r="AB116" s="331"/>
      <c r="AC116" s="331"/>
      <c r="AD116" s="331"/>
      <c r="AE116" s="332"/>
      <c r="AF116" s="330"/>
      <c r="AG116" s="331"/>
      <c r="AH116" s="331"/>
      <c r="AI116" s="331"/>
      <c r="AJ116" s="332"/>
      <c r="AM116" s="842"/>
      <c r="AN116" s="842"/>
      <c r="AO116" s="842"/>
      <c r="AP116" s="842"/>
      <c r="AQ116" s="842"/>
      <c r="AR116" s="842"/>
      <c r="AS116" s="842"/>
      <c r="AT116" s="842"/>
      <c r="AU116" s="842"/>
      <c r="AV116" s="842"/>
      <c r="AW116" s="842"/>
      <c r="AX116" s="842"/>
      <c r="AY116" s="842"/>
      <c r="AZ116" s="842"/>
      <c r="BA116" s="842"/>
      <c r="BB116" s="842"/>
    </row>
    <row r="117" spans="3:54">
      <c r="C117" s="298" t="str">
        <f>+CONCATENATE("Total ",C106)</f>
        <v>Total Other non-controllable (W&amp;S)</v>
      </c>
      <c r="K117" s="270">
        <f t="shared" ref="K117:AJ117" si="42">SUM(K107:K116)</f>
        <v>0</v>
      </c>
      <c r="L117" s="270">
        <f t="shared" si="42"/>
        <v>0</v>
      </c>
      <c r="M117" s="270">
        <f t="shared" si="42"/>
        <v>0</v>
      </c>
      <c r="N117" s="270">
        <f t="shared" si="42"/>
        <v>0</v>
      </c>
      <c r="O117" s="270">
        <f t="shared" si="42"/>
        <v>0</v>
      </c>
      <c r="P117" s="270">
        <f t="shared" si="42"/>
        <v>0</v>
      </c>
      <c r="Q117" s="270">
        <f t="shared" si="42"/>
        <v>0</v>
      </c>
      <c r="R117" s="270">
        <f t="shared" si="42"/>
        <v>0</v>
      </c>
      <c r="S117" s="296">
        <f t="shared" si="42"/>
        <v>0</v>
      </c>
      <c r="T117" s="296">
        <f t="shared" si="42"/>
        <v>0</v>
      </c>
      <c r="U117" s="296">
        <f t="shared" si="42"/>
        <v>23.498226216447005</v>
      </c>
      <c r="V117" s="296">
        <f t="shared" si="42"/>
        <v>33.099340455321091</v>
      </c>
      <c r="W117" s="296">
        <f t="shared" si="42"/>
        <v>35.498245683963759</v>
      </c>
      <c r="X117" s="296">
        <f t="shared" si="42"/>
        <v>41.296672333115161</v>
      </c>
      <c r="Y117" s="296">
        <f t="shared" si="42"/>
        <v>33.790433165001502</v>
      </c>
      <c r="Z117" s="296">
        <f t="shared" si="42"/>
        <v>38.517497734381628</v>
      </c>
      <c r="AA117" s="296">
        <f t="shared" si="42"/>
        <v>34.340467583360208</v>
      </c>
      <c r="AB117" s="296">
        <f t="shared" si="42"/>
        <v>34.482409176789652</v>
      </c>
      <c r="AC117" s="296">
        <f t="shared" si="42"/>
        <v>34.625331574045155</v>
      </c>
      <c r="AD117" s="296">
        <f t="shared" si="42"/>
        <v>34.769231431480755</v>
      </c>
      <c r="AE117" s="296">
        <f t="shared" si="42"/>
        <v>34.761224886044246</v>
      </c>
      <c r="AF117" s="296">
        <f t="shared" si="42"/>
        <v>34.753443986689042</v>
      </c>
      <c r="AG117" s="296">
        <f>SUM(AG107:AG116)</f>
        <v>34.745882374098947</v>
      </c>
      <c r="AH117" s="296">
        <f>SUM(AH107:AH116)</f>
        <v>34.738533868180483</v>
      </c>
      <c r="AI117" s="296">
        <f>SUM(AI107:AI116)</f>
        <v>34.731392463011915</v>
      </c>
      <c r="AJ117" s="296">
        <f t="shared" si="42"/>
        <v>34.724452321934585</v>
      </c>
      <c r="AM117" s="842"/>
      <c r="AN117" s="842"/>
      <c r="AO117" s="842"/>
      <c r="AP117" s="842"/>
      <c r="AQ117" s="842"/>
      <c r="AR117" s="842"/>
      <c r="AS117" s="842"/>
      <c r="AT117" s="842"/>
      <c r="AU117" s="842"/>
      <c r="AV117" s="842"/>
      <c r="AW117" s="842"/>
      <c r="AX117" s="842"/>
      <c r="AY117" s="842"/>
      <c r="AZ117" s="842"/>
      <c r="BA117" s="842"/>
      <c r="BB117" s="842"/>
    </row>
    <row r="118" spans="3:54">
      <c r="K118" s="270"/>
      <c r="L118" s="270"/>
      <c r="M118" s="270"/>
      <c r="N118" s="270"/>
      <c r="O118" s="270"/>
      <c r="P118" s="270"/>
      <c r="Q118" s="270"/>
      <c r="R118" s="270"/>
      <c r="S118" s="296"/>
      <c r="T118" s="296"/>
      <c r="U118" s="296"/>
      <c r="V118" s="296"/>
      <c r="W118" s="296"/>
      <c r="X118" s="296"/>
      <c r="Y118" s="296"/>
      <c r="Z118" s="1791">
        <f>SUM(V117:Z117)</f>
        <v>182.20218937178316</v>
      </c>
      <c r="AA118" s="89"/>
      <c r="AB118" s="89"/>
      <c r="AC118" s="89"/>
      <c r="AD118" s="89"/>
      <c r="AE118" s="1791">
        <f>SUM(AA117:AE117)</f>
        <v>172.97866465172001</v>
      </c>
      <c r="AF118" s="89"/>
      <c r="AG118" s="89"/>
      <c r="AH118" s="89"/>
      <c r="AI118" s="89"/>
      <c r="AJ118" s="1791">
        <f>SUM(AF117:AJ117)</f>
        <v>173.69370501391498</v>
      </c>
      <c r="AM118" s="842"/>
      <c r="AN118" s="842"/>
      <c r="AO118" s="842"/>
      <c r="AP118" s="842"/>
      <c r="AQ118" s="842"/>
      <c r="AR118" s="842"/>
      <c r="AS118" s="842"/>
      <c r="AT118" s="842"/>
      <c r="AU118" s="842"/>
      <c r="AV118" s="842"/>
      <c r="AW118" s="842"/>
      <c r="AX118" s="842"/>
      <c r="AY118" s="842"/>
      <c r="AZ118" s="842"/>
      <c r="BA118" s="842"/>
      <c r="BB118" s="842"/>
    </row>
    <row r="119" spans="3:54">
      <c r="C119" s="308" t="s">
        <v>458</v>
      </c>
      <c r="D119" s="67"/>
      <c r="E119" s="67"/>
      <c r="F119" s="67"/>
      <c r="G119" s="67"/>
      <c r="H119" s="67"/>
      <c r="K119" s="143"/>
      <c r="L119" s="143"/>
      <c r="M119" s="143"/>
      <c r="R119" s="116"/>
      <c r="S119" s="116"/>
      <c r="T119" s="116"/>
      <c r="U119" s="116"/>
      <c r="V119" s="116"/>
      <c r="W119" s="116"/>
      <c r="X119" s="116"/>
      <c r="Y119" s="116"/>
      <c r="Z119" s="116"/>
      <c r="AA119" s="116"/>
      <c r="AB119" s="116"/>
      <c r="AC119" s="116"/>
      <c r="AD119" s="116"/>
      <c r="AE119" s="116"/>
      <c r="AF119" s="116"/>
      <c r="AG119" s="116"/>
      <c r="AH119" s="116"/>
      <c r="AI119" s="116"/>
      <c r="AJ119" s="116"/>
      <c r="AM119" s="842"/>
      <c r="AN119" s="842"/>
      <c r="AO119" s="842"/>
      <c r="AP119" s="842"/>
      <c r="AQ119" s="842"/>
      <c r="AR119" s="842"/>
      <c r="AS119" s="842"/>
      <c r="AT119" s="842"/>
      <c r="AU119" s="842"/>
      <c r="AV119" s="842"/>
      <c r="AW119" s="842"/>
      <c r="AX119" s="842"/>
      <c r="AY119" s="842"/>
      <c r="AZ119" s="842"/>
      <c r="BA119" s="842"/>
      <c r="BB119" s="842"/>
    </row>
    <row r="120" spans="3:54">
      <c r="D120" s="2087" t="s">
        <v>459</v>
      </c>
      <c r="E120" s="2087"/>
      <c r="F120" s="2087"/>
      <c r="G120" s="2087"/>
      <c r="H120" s="2087"/>
      <c r="I120" s="2087"/>
      <c r="J120" s="2087"/>
      <c r="K120" s="324"/>
      <c r="L120" s="325"/>
      <c r="M120" s="325"/>
      <c r="N120" s="324"/>
      <c r="O120" s="325"/>
      <c r="P120" s="325"/>
      <c r="Q120" s="325"/>
      <c r="R120" s="326"/>
      <c r="S120" s="324"/>
      <c r="T120" s="325"/>
      <c r="U120" s="449">
        <v>7.0365118185617108</v>
      </c>
      <c r="V120" s="324">
        <v>10.543977786321374</v>
      </c>
      <c r="W120" s="325">
        <v>11.436432953695014</v>
      </c>
      <c r="X120" s="325">
        <v>13.773169700052142</v>
      </c>
      <c r="Y120" s="325">
        <v>11.197068614264619</v>
      </c>
      <c r="Z120" s="326">
        <v>12.945600000000001</v>
      </c>
      <c r="AA120" s="324">
        <v>11.406336585365855</v>
      </c>
      <c r="AB120" s="325">
        <v>11.461977251635931</v>
      </c>
      <c r="AC120" s="325">
        <v>11.517889335790256</v>
      </c>
      <c r="AD120" s="325">
        <v>11.574074161818501</v>
      </c>
      <c r="AE120" s="326">
        <v>11.574074161818501</v>
      </c>
      <c r="AF120" s="324">
        <v>11.574074161818501</v>
      </c>
      <c r="AG120" s="325">
        <v>11.574074161818501</v>
      </c>
      <c r="AH120" s="325">
        <v>11.574074161818501</v>
      </c>
      <c r="AI120" s="325">
        <v>11.574074161818501</v>
      </c>
      <c r="AJ120" s="326">
        <v>11.574074161818501</v>
      </c>
      <c r="AM120" s="842"/>
      <c r="AN120" s="842"/>
      <c r="AO120" s="842"/>
      <c r="AP120" s="842"/>
      <c r="AQ120" s="842"/>
      <c r="AR120" s="842"/>
      <c r="AS120" s="842"/>
      <c r="AT120" s="842"/>
      <c r="AU120" s="842"/>
      <c r="AV120" s="842"/>
      <c r="AW120" s="842"/>
      <c r="AX120" s="842"/>
      <c r="AY120" s="842"/>
      <c r="AZ120" s="842"/>
      <c r="BA120" s="842"/>
      <c r="BB120" s="842"/>
    </row>
    <row r="121" spans="3:54">
      <c r="D121" s="2087" t="s">
        <v>460</v>
      </c>
      <c r="E121" s="2087"/>
      <c r="F121" s="2087"/>
      <c r="G121" s="2087"/>
      <c r="H121" s="2087"/>
      <c r="I121" s="2087"/>
      <c r="J121" s="2087"/>
      <c r="K121" s="327"/>
      <c r="L121" s="328"/>
      <c r="M121" s="328"/>
      <c r="N121" s="327"/>
      <c r="O121" s="328"/>
      <c r="P121" s="328"/>
      <c r="Q121" s="328"/>
      <c r="R121" s="329"/>
      <c r="S121" s="327"/>
      <c r="T121" s="328"/>
      <c r="U121" s="450">
        <v>1.3931508920760152</v>
      </c>
      <c r="V121" s="327">
        <v>1.4408245932013029</v>
      </c>
      <c r="W121" s="328">
        <v>1.4696982247954575</v>
      </c>
      <c r="X121" s="328">
        <v>1.29016974253224</v>
      </c>
      <c r="Y121" s="328">
        <v>1.2970528643384582</v>
      </c>
      <c r="Z121" s="329">
        <v>1.2970528643384582</v>
      </c>
      <c r="AA121" s="327">
        <v>1.2970528643384582</v>
      </c>
      <c r="AB121" s="328">
        <v>1.2970528643384582</v>
      </c>
      <c r="AC121" s="328">
        <v>1.2970528643384582</v>
      </c>
      <c r="AD121" s="328">
        <v>1.2970528643384582</v>
      </c>
      <c r="AE121" s="329">
        <v>1.2970528643384582</v>
      </c>
      <c r="AF121" s="327">
        <v>1.2970528643384582</v>
      </c>
      <c r="AG121" s="328">
        <v>1.2970528643384582</v>
      </c>
      <c r="AH121" s="328">
        <v>1.2970528643384582</v>
      </c>
      <c r="AI121" s="328">
        <v>1.2970528643384582</v>
      </c>
      <c r="AJ121" s="329">
        <v>1.2970528643384582</v>
      </c>
      <c r="AK121" s="88"/>
      <c r="AM121" s="842"/>
      <c r="AN121" s="842"/>
      <c r="AO121" s="842"/>
      <c r="AP121" s="842"/>
      <c r="AQ121" s="842"/>
      <c r="AR121" s="842"/>
      <c r="AS121" s="842"/>
      <c r="AT121" s="842"/>
      <c r="AU121" s="842"/>
      <c r="AV121" s="842"/>
      <c r="AW121" s="842"/>
      <c r="AX121" s="842"/>
      <c r="AY121" s="842"/>
      <c r="AZ121" s="842"/>
      <c r="BA121" s="842"/>
      <c r="BB121" s="842"/>
    </row>
    <row r="122" spans="3:54">
      <c r="D122" s="2087" t="s">
        <v>461</v>
      </c>
      <c r="E122" s="2087"/>
      <c r="F122" s="2087"/>
      <c r="G122" s="2087"/>
      <c r="H122" s="2087"/>
      <c r="I122" s="2087"/>
      <c r="J122" s="2087"/>
      <c r="K122" s="327"/>
      <c r="L122" s="328"/>
      <c r="M122" s="328"/>
      <c r="N122" s="327"/>
      <c r="O122" s="328"/>
      <c r="P122" s="328"/>
      <c r="Q122" s="328"/>
      <c r="R122" s="329"/>
      <c r="S122" s="327"/>
      <c r="T122" s="328"/>
      <c r="U122" s="450"/>
      <c r="V122" s="327"/>
      <c r="W122" s="328"/>
      <c r="X122" s="328"/>
      <c r="Y122" s="328"/>
      <c r="Z122" s="329"/>
      <c r="AA122" s="327"/>
      <c r="AB122" s="328"/>
      <c r="AC122" s="328"/>
      <c r="AD122" s="328"/>
      <c r="AE122" s="329"/>
      <c r="AF122" s="327"/>
      <c r="AG122" s="328"/>
      <c r="AH122" s="328"/>
      <c r="AI122" s="328"/>
      <c r="AJ122" s="329"/>
      <c r="AK122" s="88"/>
      <c r="AM122" s="842"/>
      <c r="AN122" s="842"/>
      <c r="AO122" s="842"/>
      <c r="AP122" s="842"/>
      <c r="AQ122" s="842"/>
      <c r="AR122" s="842"/>
      <c r="AS122" s="842"/>
      <c r="AT122" s="842"/>
      <c r="AU122" s="842"/>
      <c r="AV122" s="842"/>
      <c r="AW122" s="842"/>
      <c r="AX122" s="842"/>
      <c r="AY122" s="842"/>
      <c r="AZ122" s="842"/>
      <c r="BA122" s="842"/>
      <c r="BB122" s="842"/>
    </row>
    <row r="123" spans="3:54">
      <c r="D123" s="2087" t="s">
        <v>462</v>
      </c>
      <c r="E123" s="2087"/>
      <c r="F123" s="2087"/>
      <c r="G123" s="2087"/>
      <c r="H123" s="2087"/>
      <c r="I123" s="2087"/>
      <c r="J123" s="2087"/>
      <c r="K123" s="327"/>
      <c r="L123" s="328"/>
      <c r="M123" s="328"/>
      <c r="N123" s="327"/>
      <c r="O123" s="328"/>
      <c r="P123" s="328"/>
      <c r="Q123" s="328"/>
      <c r="R123" s="329"/>
      <c r="S123" s="327"/>
      <c r="T123" s="328"/>
      <c r="U123" s="450"/>
      <c r="V123" s="327"/>
      <c r="W123" s="328"/>
      <c r="X123" s="328"/>
      <c r="Y123" s="328"/>
      <c r="Z123" s="329"/>
      <c r="AA123" s="327"/>
      <c r="AB123" s="328"/>
      <c r="AC123" s="328"/>
      <c r="AD123" s="328"/>
      <c r="AE123" s="329"/>
      <c r="AF123" s="327"/>
      <c r="AG123" s="328"/>
      <c r="AH123" s="328"/>
      <c r="AI123" s="328"/>
      <c r="AJ123" s="329"/>
      <c r="AM123" s="842"/>
      <c r="AN123" s="842"/>
      <c r="AO123" s="842"/>
      <c r="AP123" s="842"/>
      <c r="AQ123" s="842"/>
      <c r="AR123" s="842"/>
      <c r="AS123" s="842"/>
      <c r="AT123" s="842"/>
      <c r="AU123" s="842"/>
      <c r="AV123" s="842"/>
      <c r="AW123" s="842"/>
      <c r="AX123" s="842"/>
      <c r="AY123" s="842"/>
      <c r="AZ123" s="842"/>
      <c r="BA123" s="842"/>
      <c r="BB123" s="842"/>
    </row>
    <row r="124" spans="3:54">
      <c r="D124" s="2087" t="s">
        <v>463</v>
      </c>
      <c r="E124" s="2087"/>
      <c r="F124" s="2087"/>
      <c r="G124" s="2087"/>
      <c r="H124" s="2087"/>
      <c r="I124" s="2087"/>
      <c r="J124" s="2087"/>
      <c r="K124" s="327"/>
      <c r="L124" s="328"/>
      <c r="M124" s="328"/>
      <c r="N124" s="327"/>
      <c r="O124" s="328"/>
      <c r="P124" s="328"/>
      <c r="Q124" s="328"/>
      <c r="R124" s="329"/>
      <c r="S124" s="327"/>
      <c r="T124" s="328"/>
      <c r="U124" s="450"/>
      <c r="V124" s="327"/>
      <c r="W124" s="328"/>
      <c r="X124" s="328"/>
      <c r="Y124" s="328"/>
      <c r="Z124" s="329"/>
      <c r="AA124" s="327"/>
      <c r="AB124" s="328"/>
      <c r="AC124" s="328"/>
      <c r="AD124" s="328"/>
      <c r="AE124" s="329"/>
      <c r="AF124" s="327"/>
      <c r="AG124" s="328"/>
      <c r="AH124" s="328"/>
      <c r="AI124" s="328"/>
      <c r="AJ124" s="329"/>
      <c r="AM124" s="842"/>
      <c r="AN124" s="842"/>
      <c r="AO124" s="842"/>
      <c r="AP124" s="842"/>
      <c r="AQ124" s="842"/>
      <c r="AR124" s="842"/>
      <c r="AS124" s="842"/>
      <c r="AT124" s="842"/>
      <c r="AU124" s="842"/>
      <c r="AV124" s="842"/>
      <c r="AW124" s="842"/>
      <c r="AX124" s="842"/>
      <c r="AY124" s="842"/>
      <c r="AZ124" s="842"/>
      <c r="BA124" s="842"/>
      <c r="BB124" s="842"/>
    </row>
    <row r="125" spans="3:54">
      <c r="D125" s="2087" t="s">
        <v>464</v>
      </c>
      <c r="E125" s="2087"/>
      <c r="F125" s="2087"/>
      <c r="G125" s="2087"/>
      <c r="H125" s="2087"/>
      <c r="I125" s="2087"/>
      <c r="J125" s="2087"/>
      <c r="K125" s="327"/>
      <c r="L125" s="328"/>
      <c r="M125" s="328"/>
      <c r="N125" s="327"/>
      <c r="O125" s="328"/>
      <c r="P125" s="328"/>
      <c r="Q125" s="328"/>
      <c r="R125" s="329"/>
      <c r="S125" s="327"/>
      <c r="T125" s="328"/>
      <c r="U125" s="450"/>
      <c r="V125" s="327"/>
      <c r="W125" s="328"/>
      <c r="X125" s="328"/>
      <c r="Y125" s="328"/>
      <c r="Z125" s="329"/>
      <c r="AA125" s="327"/>
      <c r="AB125" s="328"/>
      <c r="AC125" s="328"/>
      <c r="AD125" s="328"/>
      <c r="AE125" s="329"/>
      <c r="AF125" s="327"/>
      <c r="AG125" s="328"/>
      <c r="AH125" s="328"/>
      <c r="AI125" s="328"/>
      <c r="AJ125" s="329"/>
      <c r="AM125" s="842"/>
      <c r="AN125" s="842"/>
      <c r="AO125" s="842"/>
      <c r="AP125" s="842"/>
      <c r="AQ125" s="842"/>
      <c r="AR125" s="842"/>
      <c r="AS125" s="842"/>
      <c r="AT125" s="842"/>
      <c r="AU125" s="842"/>
      <c r="AV125" s="842"/>
      <c r="AW125" s="842"/>
      <c r="AX125" s="842"/>
      <c r="AY125" s="842"/>
      <c r="AZ125" s="842"/>
      <c r="BA125" s="842"/>
      <c r="BB125" s="842"/>
    </row>
    <row r="126" spans="3:54">
      <c r="D126" s="2087" t="s">
        <v>454</v>
      </c>
      <c r="E126" s="2087"/>
      <c r="F126" s="2087"/>
      <c r="G126" s="2087"/>
      <c r="H126" s="2087"/>
      <c r="I126" s="2087"/>
      <c r="J126" s="2087"/>
      <c r="K126" s="327"/>
      <c r="L126" s="328"/>
      <c r="M126" s="328"/>
      <c r="N126" s="327"/>
      <c r="O126" s="328"/>
      <c r="P126" s="328"/>
      <c r="Q126" s="328"/>
      <c r="R126" s="329"/>
      <c r="S126" s="327"/>
      <c r="T126" s="328"/>
      <c r="U126" s="450"/>
      <c r="V126" s="327"/>
      <c r="W126" s="328"/>
      <c r="X126" s="328"/>
      <c r="Y126" s="328"/>
      <c r="Z126" s="329"/>
      <c r="AA126" s="327"/>
      <c r="AB126" s="328"/>
      <c r="AC126" s="328"/>
      <c r="AD126" s="328"/>
      <c r="AE126" s="329"/>
      <c r="AF126" s="327"/>
      <c r="AG126" s="328"/>
      <c r="AH126" s="328"/>
      <c r="AI126" s="328"/>
      <c r="AJ126" s="329"/>
      <c r="AM126" s="842"/>
      <c r="AN126" s="842"/>
      <c r="AO126" s="842"/>
      <c r="AP126" s="842"/>
      <c r="AQ126" s="842"/>
      <c r="AR126" s="842"/>
      <c r="AS126" s="842"/>
      <c r="AT126" s="842"/>
      <c r="AU126" s="842"/>
      <c r="AV126" s="842"/>
      <c r="AW126" s="842"/>
      <c r="AX126" s="842"/>
      <c r="AY126" s="842"/>
      <c r="AZ126" s="842"/>
      <c r="BA126" s="842"/>
      <c r="BB126" s="842"/>
    </row>
    <row r="127" spans="3:54">
      <c r="D127" s="2087" t="s">
        <v>455</v>
      </c>
      <c r="E127" s="2087"/>
      <c r="F127" s="2087"/>
      <c r="G127" s="2087"/>
      <c r="H127" s="2087"/>
      <c r="I127" s="2087"/>
      <c r="J127" s="2087"/>
      <c r="K127" s="327"/>
      <c r="L127" s="328"/>
      <c r="M127" s="328"/>
      <c r="N127" s="327"/>
      <c r="O127" s="328"/>
      <c r="P127" s="328"/>
      <c r="Q127" s="328"/>
      <c r="R127" s="329"/>
      <c r="S127" s="327"/>
      <c r="T127" s="328"/>
      <c r="U127" s="450"/>
      <c r="V127" s="327"/>
      <c r="W127" s="328"/>
      <c r="X127" s="328"/>
      <c r="Y127" s="328"/>
      <c r="Z127" s="329"/>
      <c r="AA127" s="327"/>
      <c r="AB127" s="328"/>
      <c r="AC127" s="328"/>
      <c r="AD127" s="328"/>
      <c r="AE127" s="329"/>
      <c r="AF127" s="327"/>
      <c r="AG127" s="328"/>
      <c r="AH127" s="328"/>
      <c r="AI127" s="328"/>
      <c r="AJ127" s="329"/>
      <c r="AM127" s="842"/>
      <c r="AN127" s="842"/>
      <c r="AO127" s="842"/>
      <c r="AP127" s="842"/>
      <c r="AQ127" s="842"/>
      <c r="AR127" s="842"/>
      <c r="AS127" s="842"/>
      <c r="AT127" s="842"/>
      <c r="AU127" s="842"/>
      <c r="AV127" s="842"/>
      <c r="AW127" s="842"/>
      <c r="AX127" s="842"/>
      <c r="AY127" s="842"/>
      <c r="AZ127" s="842"/>
      <c r="BA127" s="842"/>
      <c r="BB127" s="842"/>
    </row>
    <row r="128" spans="3:54">
      <c r="D128" s="2087" t="s">
        <v>456</v>
      </c>
      <c r="E128" s="2087"/>
      <c r="F128" s="2087"/>
      <c r="G128" s="2087"/>
      <c r="H128" s="2087"/>
      <c r="I128" s="2087"/>
      <c r="J128" s="2087"/>
      <c r="K128" s="327"/>
      <c r="L128" s="328"/>
      <c r="M128" s="328"/>
      <c r="N128" s="327"/>
      <c r="O128" s="328"/>
      <c r="P128" s="328"/>
      <c r="Q128" s="328"/>
      <c r="R128" s="329"/>
      <c r="S128" s="327"/>
      <c r="T128" s="328"/>
      <c r="U128" s="450"/>
      <c r="V128" s="327"/>
      <c r="W128" s="328"/>
      <c r="X128" s="328"/>
      <c r="Y128" s="328"/>
      <c r="Z128" s="329"/>
      <c r="AA128" s="327"/>
      <c r="AB128" s="328"/>
      <c r="AC128" s="328"/>
      <c r="AD128" s="328"/>
      <c r="AE128" s="329"/>
      <c r="AF128" s="327"/>
      <c r="AG128" s="328"/>
      <c r="AH128" s="328"/>
      <c r="AI128" s="328"/>
      <c r="AJ128" s="329"/>
      <c r="AM128" s="842"/>
      <c r="AN128" s="842"/>
      <c r="AO128" s="842"/>
      <c r="AP128" s="842"/>
      <c r="AQ128" s="842"/>
      <c r="AR128" s="842"/>
      <c r="AS128" s="842"/>
      <c r="AT128" s="842"/>
      <c r="AU128" s="842"/>
      <c r="AV128" s="842"/>
      <c r="AW128" s="842"/>
      <c r="AX128" s="842"/>
      <c r="AY128" s="842"/>
      <c r="AZ128" s="842"/>
      <c r="BA128" s="842"/>
      <c r="BB128" s="842"/>
    </row>
    <row r="129" spans="3:54">
      <c r="D129" s="2087" t="s">
        <v>457</v>
      </c>
      <c r="E129" s="2087"/>
      <c r="F129" s="2087"/>
      <c r="G129" s="2087"/>
      <c r="H129" s="2087"/>
      <c r="I129" s="2087"/>
      <c r="J129" s="2087"/>
      <c r="K129" s="330"/>
      <c r="L129" s="331"/>
      <c r="M129" s="331"/>
      <c r="N129" s="330"/>
      <c r="O129" s="331"/>
      <c r="P129" s="331"/>
      <c r="Q129" s="331"/>
      <c r="R129" s="332"/>
      <c r="S129" s="330"/>
      <c r="T129" s="331"/>
      <c r="U129" s="451"/>
      <c r="V129" s="330"/>
      <c r="W129" s="331"/>
      <c r="X129" s="331"/>
      <c r="Y129" s="331"/>
      <c r="Z129" s="332"/>
      <c r="AA129" s="330"/>
      <c r="AB129" s="331"/>
      <c r="AC129" s="331"/>
      <c r="AD129" s="331"/>
      <c r="AE129" s="332"/>
      <c r="AF129" s="330"/>
      <c r="AG129" s="331"/>
      <c r="AH129" s="331"/>
      <c r="AI129" s="331"/>
      <c r="AJ129" s="332"/>
      <c r="AM129" s="842"/>
      <c r="AN129" s="842"/>
      <c r="AO129" s="842"/>
      <c r="AP129" s="842"/>
      <c r="AQ129" s="842"/>
      <c r="AR129" s="842"/>
      <c r="AS129" s="842"/>
      <c r="AT129" s="842"/>
      <c r="AU129" s="842"/>
      <c r="AV129" s="842"/>
      <c r="AW129" s="842"/>
      <c r="AX129" s="842"/>
      <c r="AY129" s="842"/>
      <c r="AZ129" s="842"/>
      <c r="BA129" s="842"/>
      <c r="BB129" s="842"/>
    </row>
    <row r="130" spans="3:54">
      <c r="C130" s="298" t="str">
        <f>+CONCATENATE("Total ",C119)</f>
        <v>Total Other non-controllable (W&amp;D)</v>
      </c>
      <c r="K130" s="270">
        <f t="shared" ref="K130:AJ130" si="43">SUM(K120:K129)</f>
        <v>0</v>
      </c>
      <c r="L130" s="270">
        <f t="shared" si="43"/>
        <v>0</v>
      </c>
      <c r="M130" s="270">
        <f t="shared" si="43"/>
        <v>0</v>
      </c>
      <c r="N130" s="270">
        <f t="shared" si="43"/>
        <v>0</v>
      </c>
      <c r="O130" s="270">
        <f t="shared" si="43"/>
        <v>0</v>
      </c>
      <c r="P130" s="270">
        <f t="shared" si="43"/>
        <v>0</v>
      </c>
      <c r="Q130" s="270">
        <f t="shared" si="43"/>
        <v>0</v>
      </c>
      <c r="R130" s="270">
        <f t="shared" si="43"/>
        <v>0</v>
      </c>
      <c r="S130" s="296">
        <f t="shared" si="43"/>
        <v>0</v>
      </c>
      <c r="T130" s="296">
        <f t="shared" si="43"/>
        <v>0</v>
      </c>
      <c r="U130" s="296">
        <f t="shared" si="43"/>
        <v>8.4296627106377251</v>
      </c>
      <c r="V130" s="296">
        <f t="shared" si="43"/>
        <v>11.984802379522677</v>
      </c>
      <c r="W130" s="296">
        <f t="shared" si="43"/>
        <v>12.906131178490472</v>
      </c>
      <c r="X130" s="296">
        <f t="shared" si="43"/>
        <v>15.063339442584383</v>
      </c>
      <c r="Y130" s="296">
        <f t="shared" si="43"/>
        <v>12.494121478603077</v>
      </c>
      <c r="Z130" s="296">
        <f t="shared" si="43"/>
        <v>14.242652864338458</v>
      </c>
      <c r="AA130" s="296">
        <f t="shared" si="43"/>
        <v>12.703389449704312</v>
      </c>
      <c r="AB130" s="296">
        <f t="shared" si="43"/>
        <v>12.759030115974388</v>
      </c>
      <c r="AC130" s="296">
        <f t="shared" si="43"/>
        <v>12.814942200128714</v>
      </c>
      <c r="AD130" s="296">
        <f t="shared" si="43"/>
        <v>12.871127026156959</v>
      </c>
      <c r="AE130" s="296">
        <f t="shared" si="43"/>
        <v>12.871127026156959</v>
      </c>
      <c r="AF130" s="296">
        <f t="shared" si="43"/>
        <v>12.871127026156959</v>
      </c>
      <c r="AG130" s="296">
        <f t="shared" si="43"/>
        <v>12.871127026156959</v>
      </c>
      <c r="AH130" s="296">
        <f t="shared" si="43"/>
        <v>12.871127026156959</v>
      </c>
      <c r="AI130" s="296">
        <f t="shared" si="43"/>
        <v>12.871127026156959</v>
      </c>
      <c r="AJ130" s="296">
        <f t="shared" si="43"/>
        <v>12.871127026156959</v>
      </c>
      <c r="AM130" s="842"/>
      <c r="AN130" s="842"/>
      <c r="AO130" s="842"/>
      <c r="AP130" s="842"/>
      <c r="AQ130" s="842"/>
      <c r="AR130" s="842"/>
      <c r="AS130" s="842"/>
      <c r="AT130" s="842"/>
      <c r="AU130" s="842"/>
      <c r="AV130" s="842"/>
      <c r="AW130" s="842"/>
      <c r="AX130" s="842"/>
      <c r="AY130" s="842"/>
      <c r="AZ130" s="842"/>
      <c r="BA130" s="842"/>
      <c r="BB130" s="842"/>
    </row>
    <row r="131" spans="3:54">
      <c r="Z131" s="1791">
        <f>SUM(V130:Z130)</f>
        <v>66.691047343539068</v>
      </c>
      <c r="AA131" s="89"/>
      <c r="AB131" s="89"/>
      <c r="AC131" s="89"/>
      <c r="AD131" s="89"/>
      <c r="AE131" s="1791">
        <f>SUM(AA130:AE130)</f>
        <v>64.019615818121324</v>
      </c>
      <c r="AF131" s="89"/>
      <c r="AG131" s="89"/>
      <c r="AH131" s="89"/>
      <c r="AI131" s="89"/>
      <c r="AJ131" s="1791">
        <f>SUM(AF130:AJ130)</f>
        <v>64.35563513078479</v>
      </c>
    </row>
  </sheetData>
  <mergeCells count="21">
    <mergeCell ref="D125:J125"/>
    <mergeCell ref="D126:J126"/>
    <mergeCell ref="D127:J127"/>
    <mergeCell ref="D128:J128"/>
    <mergeCell ref="D129:J129"/>
    <mergeCell ref="D120:J120"/>
    <mergeCell ref="D121:J121"/>
    <mergeCell ref="D122:J122"/>
    <mergeCell ref="D123:J123"/>
    <mergeCell ref="D124:J124"/>
    <mergeCell ref="B3:F3"/>
    <mergeCell ref="D115:J115"/>
    <mergeCell ref="D116:J116"/>
    <mergeCell ref="D107:J107"/>
    <mergeCell ref="D108:J108"/>
    <mergeCell ref="D109:J109"/>
    <mergeCell ref="D110:J110"/>
    <mergeCell ref="D111:J111"/>
    <mergeCell ref="D112:J112"/>
    <mergeCell ref="D113:J113"/>
    <mergeCell ref="D114:J114"/>
  </mergeCells>
  <phoneticPr fontId="0" type="noConversion"/>
  <conditionalFormatting sqref="AA45:AJ45">
    <cfRule type="containsText" dxfId="135" priority="4" operator="containsText" text="FALSE">
      <formula>NOT(ISERROR(SEARCH("FALSE",AA45)))</formula>
    </cfRule>
  </conditionalFormatting>
  <conditionalFormatting sqref="AA45:AJ45">
    <cfRule type="cellIs" dxfId="134" priority="3" operator="equal">
      <formula>0</formula>
    </cfRule>
  </conditionalFormatting>
  <conditionalFormatting sqref="U29:AJ29">
    <cfRule type="containsText" dxfId="133" priority="2" operator="containsText" text="FALSE">
      <formula>NOT(ISERROR(SEARCH("FALSE",U29)))</formula>
    </cfRule>
  </conditionalFormatting>
  <conditionalFormatting sqref="U29:AJ29">
    <cfRule type="cellIs" dxfId="132" priority="1" operator="equal">
      <formula>0</formula>
    </cfRule>
  </conditionalFormatting>
  <hyperlinks>
    <hyperlink ref="B3" location="HL_Home" tooltip="Go to Table of Contents" display="HL_Home" xr:uid="{00000000-0004-0000-0500-000000000000}"/>
  </hyperlinks>
  <pageMargins left="0.39370078740157499" right="0.39370078740157499" top="0.59055118110236249" bottom="0.98425196850393748" header="0" footer="0.31496062992125973"/>
  <pageSetup paperSize="9" scale="53" orientation="landscape" r:id="rId1"/>
  <headerFooter alignWithMargins="0">
    <oddHeader>&amp;C&amp;"Calibri"&amp;14&amp;KFF0000 OFFICIAL&amp;1#_x000D_&amp;"Arial"&amp;8&amp;K000000&amp;"Arial"&amp;8&amp;K000000&amp;B&amp;"Arial"&amp;12&amp;Kff0000​‌OFFICIAL‌​</oddHeader>
    <oddFooter>&amp;C&amp;"Arial,Bold"&amp;8Sheet c.
Page &amp;P of &amp;N&amp;L&amp;"Arial,Bold"&amp;7&amp;F
&amp;A
Printed: &amp;T on &amp;D</oddFooter>
  </headerFooter>
  <rowBreaks count="1" manualBreakCount="1">
    <brk id="65" min="1" max="23" man="1"/>
  </rowBreaks>
  <ignoredErrors>
    <ignoredError sqref="Z101 AE101:AJ101 Z105:AJ105" formulaRange="1"/>
    <ignoredError sqref="Z91:Z93 AA91:AJ94 AA99:AJ99"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autoPageBreaks="0"/>
  </sheetPr>
  <dimension ref="B1:FR399"/>
  <sheetViews>
    <sheetView showGridLines="0" zoomScaleNormal="100" workbookViewId="0">
      <pane ySplit="3" topLeftCell="A4" activePane="bottomLeft" state="frozen"/>
      <selection activeCell="L16" sqref="L16"/>
      <selection pane="bottomLeft" activeCell="U45" sqref="U45"/>
    </sheetView>
  </sheetViews>
  <sheetFormatPr defaultColWidth="9.33203125" defaultRowHeight="12" outlineLevelCol="1"/>
  <cols>
    <col min="1" max="1" width="3.5" style="63" customWidth="1"/>
    <col min="2" max="2" width="4.33203125" style="57" customWidth="1"/>
    <col min="3" max="3" width="50.6640625" style="63" customWidth="1"/>
    <col min="4" max="6" width="17.5" style="63" customWidth="1"/>
    <col min="7" max="7" width="19" style="63" customWidth="1"/>
    <col min="8" max="8" width="13.5" style="63" bestFit="1" customWidth="1"/>
    <col min="9" max="9" width="11.83203125" style="63" customWidth="1"/>
    <col min="10" max="10" width="15.6640625" style="63" customWidth="1"/>
    <col min="11" max="11" width="16.83203125" style="63" customWidth="1"/>
    <col min="12" max="12" width="15.33203125" style="63" customWidth="1"/>
    <col min="13" max="13" width="15.33203125" style="63" bestFit="1" customWidth="1"/>
    <col min="14" max="14" width="16.83203125" style="63" customWidth="1"/>
    <col min="15" max="15" width="3.6640625" style="63" customWidth="1"/>
    <col min="16" max="16" width="9.33203125" style="63"/>
    <col min="17" max="26" width="9.5" style="63" bestFit="1" customWidth="1"/>
    <col min="27" max="27" width="9.33203125" style="63" customWidth="1"/>
    <col min="28" max="36" width="9.33203125" style="63" customWidth="1" outlineLevel="1"/>
    <col min="37" max="37" width="8.5" style="63" customWidth="1" outlineLevel="1"/>
    <col min="38" max="47" width="9.33203125" style="63" customWidth="1" outlineLevel="1"/>
    <col min="48" max="48" width="8.6640625" style="63" customWidth="1" outlineLevel="1"/>
    <col min="49" max="58" width="9.33203125" style="63" customWidth="1" outlineLevel="1"/>
    <col min="59" max="59" width="11" style="63" customWidth="1" outlineLevel="1"/>
    <col min="60" max="69" width="9.33203125" style="63" customWidth="1" outlineLevel="1"/>
    <col min="70" max="70" width="9.1640625" style="63" customWidth="1" outlineLevel="1"/>
    <col min="71" max="80" width="9.33203125" style="63" customWidth="1" outlineLevel="1"/>
    <col min="81" max="81" width="11" style="63" customWidth="1" outlineLevel="1"/>
    <col min="82" max="91" width="9.33203125" style="63" customWidth="1" outlineLevel="1"/>
    <col min="92" max="92" width="11.83203125" style="63" customWidth="1" outlineLevel="1"/>
    <col min="93" max="103" width="9.33203125" style="63" customWidth="1" outlineLevel="1"/>
    <col min="104" max="104" width="9.33203125" style="63"/>
    <col min="105" max="105" width="2" style="851" hidden="1" customWidth="1" outlineLevel="1"/>
    <col min="106" max="106" width="9.33203125" style="63" hidden="1" customWidth="1" outlineLevel="1"/>
    <col min="107" max="107" width="16.6640625" style="647" hidden="1" customWidth="1" outlineLevel="1"/>
    <col min="108" max="171" width="9.33203125" style="63" hidden="1" customWidth="1" outlineLevel="1"/>
    <col min="172" max="172" width="9.33203125" style="63" collapsed="1"/>
    <col min="173" max="174" width="9.33203125" style="63"/>
    <col min="175" max="175" width="21" style="63" bestFit="1" customWidth="1"/>
    <col min="176" max="176" width="9.33203125" style="63"/>
    <col min="177" max="177" width="17.6640625" style="63" bestFit="1" customWidth="1"/>
    <col min="178" max="16384" width="9.33203125" style="63"/>
  </cols>
  <sheetData>
    <row r="1" spans="2:120" ht="15">
      <c r="B1" s="140" t="s">
        <v>465</v>
      </c>
      <c r="G1" s="347"/>
      <c r="H1" s="347"/>
      <c r="I1" s="347"/>
      <c r="J1" s="347"/>
      <c r="K1" s="347"/>
      <c r="L1" s="347"/>
      <c r="M1" s="347"/>
      <c r="N1" s="347"/>
      <c r="O1" s="347"/>
      <c r="P1" s="347"/>
      <c r="Q1" s="369" t="str">
        <f>Q40</f>
        <v>Gross capital expenditure</v>
      </c>
      <c r="R1" s="347"/>
      <c r="S1" s="347"/>
      <c r="T1" s="347"/>
      <c r="U1" s="347"/>
      <c r="V1" s="347"/>
      <c r="W1" s="347"/>
      <c r="X1" s="347"/>
      <c r="Y1" s="347"/>
      <c r="Z1" s="347"/>
      <c r="AA1" s="347"/>
      <c r="AB1" s="369" t="str">
        <f>AB40</f>
        <v>Government contributions</v>
      </c>
      <c r="AC1" s="347"/>
      <c r="AD1" s="347"/>
      <c r="AE1" s="347"/>
      <c r="AF1" s="347"/>
      <c r="AG1" s="347"/>
      <c r="AH1" s="347"/>
      <c r="AI1" s="347"/>
      <c r="AJ1" s="347"/>
      <c r="AK1" s="347"/>
      <c r="AL1" s="347"/>
      <c r="AM1" s="369" t="str">
        <f>AM40</f>
        <v>Customer contributions</v>
      </c>
      <c r="AN1" s="347"/>
      <c r="AO1" s="347"/>
      <c r="AP1" s="347"/>
      <c r="AQ1" s="347"/>
      <c r="AR1" s="347"/>
      <c r="AS1" s="347"/>
      <c r="AT1" s="347"/>
      <c r="AU1" s="347"/>
      <c r="AV1" s="347"/>
      <c r="AW1" s="347"/>
      <c r="AX1" s="369" t="str">
        <f>AX40</f>
        <v>Net capital expenditure</v>
      </c>
      <c r="AY1" s="347"/>
      <c r="AZ1" s="347"/>
      <c r="BA1" s="347"/>
      <c r="BB1" s="347"/>
      <c r="BC1" s="347"/>
      <c r="BD1" s="347"/>
      <c r="BE1" s="347"/>
      <c r="BF1" s="347"/>
      <c r="BG1" s="347"/>
      <c r="BH1" s="347"/>
      <c r="BI1" s="369" t="str">
        <f>BI40</f>
        <v>Regulatory Depreciation</v>
      </c>
      <c r="BJ1" s="347"/>
      <c r="BK1" s="347"/>
      <c r="BL1" s="347"/>
      <c r="BM1" s="347"/>
      <c r="BN1" s="347"/>
      <c r="BO1" s="347"/>
      <c r="BP1" s="347"/>
      <c r="BQ1" s="347"/>
      <c r="BR1" s="347"/>
      <c r="BS1" s="347"/>
      <c r="BT1" s="369" t="str">
        <f>BT40</f>
        <v>Accumulated capex</v>
      </c>
      <c r="BU1" s="347"/>
      <c r="BV1" s="347"/>
      <c r="BW1" s="347"/>
      <c r="BX1" s="347"/>
      <c r="BY1" s="347"/>
      <c r="BZ1" s="347"/>
      <c r="CA1" s="347"/>
      <c r="CB1" s="347"/>
      <c r="CC1" s="347"/>
      <c r="CD1" s="347"/>
      <c r="CE1" s="369" t="str">
        <f>CE40</f>
        <v>Gross capital expenditure</v>
      </c>
      <c r="CF1" s="347"/>
      <c r="CG1" s="347"/>
      <c r="CH1" s="347"/>
      <c r="CI1" s="347"/>
      <c r="CJ1" s="347"/>
      <c r="CK1" s="347"/>
      <c r="CL1" s="347"/>
      <c r="CM1" s="347"/>
      <c r="CN1" s="347"/>
      <c r="CO1" s="347"/>
      <c r="CP1" s="369" t="str">
        <f>CP40</f>
        <v>Tax Depreciation</v>
      </c>
      <c r="CQ1" s="347"/>
      <c r="CR1" s="347"/>
      <c r="CS1" s="347"/>
      <c r="CT1" s="347"/>
      <c r="CU1" s="347"/>
      <c r="CV1" s="347"/>
      <c r="CW1" s="347"/>
      <c r="CX1" s="347"/>
      <c r="CY1" s="347"/>
      <c r="DA1" s="850"/>
    </row>
    <row r="2" spans="2:120" ht="12.75">
      <c r="B2" s="142" t="str">
        <f>+Contents!H7</f>
        <v>Melbourne Water</v>
      </c>
      <c r="G2" s="347"/>
      <c r="H2" s="347"/>
      <c r="I2" s="347"/>
      <c r="J2" s="347"/>
      <c r="K2" s="347"/>
      <c r="L2" s="347"/>
      <c r="M2" s="347"/>
      <c r="N2" s="347"/>
      <c r="O2" s="347"/>
      <c r="P2" s="347"/>
      <c r="Q2" s="67" t="str">
        <f>Q41</f>
        <v>$m, 01/01/26</v>
      </c>
      <c r="R2" s="347"/>
      <c r="S2" s="347"/>
      <c r="T2" s="347"/>
      <c r="U2" s="347"/>
      <c r="V2" s="347"/>
      <c r="W2" s="347"/>
      <c r="X2" s="347"/>
      <c r="Y2" s="347"/>
      <c r="Z2" s="347"/>
      <c r="AA2" s="347"/>
      <c r="AB2" s="67" t="str">
        <f>AB41</f>
        <v>$m, 01/01/26</v>
      </c>
      <c r="AC2" s="347"/>
      <c r="AD2" s="347"/>
      <c r="AE2" s="347"/>
      <c r="AF2" s="347"/>
      <c r="AG2" s="347"/>
      <c r="AH2" s="347"/>
      <c r="AI2" s="347"/>
      <c r="AJ2" s="347"/>
      <c r="AK2" s="347"/>
      <c r="AL2" s="347"/>
      <c r="AM2" s="67" t="str">
        <f>AM41</f>
        <v>$m, 01/01/26</v>
      </c>
      <c r="AN2" s="347"/>
      <c r="AO2" s="347"/>
      <c r="AP2" s="347"/>
      <c r="AQ2" s="347"/>
      <c r="AR2" s="347"/>
      <c r="AS2" s="347"/>
      <c r="AT2" s="347"/>
      <c r="AU2" s="347"/>
      <c r="AV2" s="347"/>
      <c r="AW2" s="347"/>
      <c r="AX2" s="67" t="str">
        <f>AX41</f>
        <v>$m, 01/01/26</v>
      </c>
      <c r="AY2" s="347"/>
      <c r="AZ2" s="347"/>
      <c r="BA2" s="347"/>
      <c r="BB2" s="347"/>
      <c r="BC2" s="347"/>
      <c r="BD2" s="347"/>
      <c r="BE2" s="347"/>
      <c r="BF2" s="347"/>
      <c r="BG2" s="347"/>
      <c r="BH2" s="347"/>
      <c r="BI2" s="67" t="str">
        <f>BI41</f>
        <v>$m, 01/01/26</v>
      </c>
      <c r="BJ2" s="347"/>
      <c r="BK2" s="347"/>
      <c r="BL2" s="347"/>
      <c r="BM2" s="347"/>
      <c r="BN2" s="347"/>
      <c r="BO2" s="347"/>
      <c r="BP2" s="347"/>
      <c r="BQ2" s="347"/>
      <c r="BR2" s="347"/>
      <c r="BS2" s="347"/>
      <c r="BT2" s="67" t="str">
        <f>BT41</f>
        <v>$m, 01/01/26</v>
      </c>
      <c r="BU2" s="347"/>
      <c r="BV2" s="347"/>
      <c r="BW2" s="347"/>
      <c r="BX2" s="347"/>
      <c r="BY2" s="347"/>
      <c r="BZ2" s="347"/>
      <c r="CA2" s="347"/>
      <c r="CB2" s="347"/>
      <c r="CC2" s="347"/>
      <c r="CD2" s="347"/>
      <c r="CE2" s="67" t="str">
        <f>CE41</f>
        <v>Nominal,$</v>
      </c>
      <c r="CF2" s="347"/>
      <c r="CG2" s="347"/>
      <c r="CH2" s="347"/>
      <c r="CI2" s="347"/>
      <c r="CJ2" s="347"/>
      <c r="CK2" s="347"/>
      <c r="CL2" s="347"/>
      <c r="CM2" s="347"/>
      <c r="CN2" s="347"/>
      <c r="CO2" s="347"/>
      <c r="CP2" s="67" t="str">
        <f>CP41</f>
        <v>Nominal,$</v>
      </c>
      <c r="CQ2" s="347"/>
      <c r="CR2" s="347"/>
      <c r="CS2" s="347"/>
      <c r="CT2" s="347"/>
      <c r="CU2" s="347"/>
      <c r="CV2" s="347"/>
      <c r="CW2" s="347"/>
      <c r="CX2" s="347"/>
      <c r="CY2" s="347"/>
      <c r="DC2" s="1286" t="s">
        <v>466</v>
      </c>
    </row>
    <row r="3" spans="2:120" ht="18.75">
      <c r="B3" s="348" t="s">
        <v>138</v>
      </c>
      <c r="C3" s="348"/>
      <c r="D3" s="348"/>
      <c r="E3" s="348"/>
      <c r="F3" s="348"/>
      <c r="G3" s="347"/>
      <c r="H3" s="347"/>
      <c r="I3" s="347"/>
      <c r="J3" s="347"/>
      <c r="K3" s="347"/>
      <c r="L3" s="347"/>
      <c r="M3" s="347"/>
      <c r="N3" s="347"/>
      <c r="O3" s="347"/>
      <c r="P3" s="347"/>
      <c r="Q3" s="371" t="str">
        <f>Q43</f>
        <v>2026-27</v>
      </c>
      <c r="R3" s="371" t="str">
        <f t="shared" ref="R3:Z3" si="0">R43</f>
        <v>2027-28</v>
      </c>
      <c r="S3" s="371" t="str">
        <f t="shared" si="0"/>
        <v>2028-29</v>
      </c>
      <c r="T3" s="371" t="str">
        <f t="shared" si="0"/>
        <v>2029-30</v>
      </c>
      <c r="U3" s="371" t="str">
        <f t="shared" si="0"/>
        <v>2030-31</v>
      </c>
      <c r="V3" s="371" t="str">
        <f t="shared" si="0"/>
        <v>2031-32</v>
      </c>
      <c r="W3" s="371" t="str">
        <f t="shared" si="0"/>
        <v>2032-33</v>
      </c>
      <c r="X3" s="371" t="str">
        <f t="shared" si="0"/>
        <v>2033-34</v>
      </c>
      <c r="Y3" s="371" t="str">
        <f t="shared" si="0"/>
        <v>2034-35</v>
      </c>
      <c r="Z3" s="371" t="str">
        <f t="shared" si="0"/>
        <v>2035-36</v>
      </c>
      <c r="AA3" s="347"/>
      <c r="AB3" s="371" t="str">
        <f t="shared" ref="AB3:CQ3" si="1">AB43</f>
        <v>2026-27</v>
      </c>
      <c r="AC3" s="371" t="str">
        <f t="shared" si="1"/>
        <v>2027-28</v>
      </c>
      <c r="AD3" s="371" t="str">
        <f t="shared" si="1"/>
        <v>2028-29</v>
      </c>
      <c r="AE3" s="371" t="str">
        <f t="shared" si="1"/>
        <v>2029-30</v>
      </c>
      <c r="AF3" s="371" t="str">
        <f t="shared" si="1"/>
        <v>2030-31</v>
      </c>
      <c r="AG3" s="371" t="str">
        <f t="shared" si="1"/>
        <v>2031-32</v>
      </c>
      <c r="AH3" s="371" t="str">
        <f t="shared" si="1"/>
        <v>2032-33</v>
      </c>
      <c r="AI3" s="371" t="str">
        <f t="shared" si="1"/>
        <v>2033-34</v>
      </c>
      <c r="AJ3" s="371" t="str">
        <f t="shared" si="1"/>
        <v>2034-35</v>
      </c>
      <c r="AK3" s="371" t="str">
        <f t="shared" si="1"/>
        <v>2035-36</v>
      </c>
      <c r="AL3" s="347"/>
      <c r="AM3" s="371" t="str">
        <f t="shared" si="1"/>
        <v>2026-27</v>
      </c>
      <c r="AN3" s="371" t="str">
        <f t="shared" si="1"/>
        <v>2027-28</v>
      </c>
      <c r="AO3" s="371" t="str">
        <f t="shared" si="1"/>
        <v>2028-29</v>
      </c>
      <c r="AP3" s="371" t="str">
        <f t="shared" si="1"/>
        <v>2029-30</v>
      </c>
      <c r="AQ3" s="371" t="str">
        <f t="shared" si="1"/>
        <v>2030-31</v>
      </c>
      <c r="AR3" s="371" t="str">
        <f t="shared" si="1"/>
        <v>2031-32</v>
      </c>
      <c r="AS3" s="371" t="str">
        <f t="shared" si="1"/>
        <v>2032-33</v>
      </c>
      <c r="AT3" s="371" t="str">
        <f t="shared" si="1"/>
        <v>2033-34</v>
      </c>
      <c r="AU3" s="371" t="str">
        <f t="shared" si="1"/>
        <v>2034-35</v>
      </c>
      <c r="AV3" s="371" t="str">
        <f t="shared" si="1"/>
        <v>2035-36</v>
      </c>
      <c r="AW3" s="347"/>
      <c r="AX3" s="371" t="str">
        <f t="shared" si="1"/>
        <v>2026-27</v>
      </c>
      <c r="AY3" s="371" t="str">
        <f t="shared" si="1"/>
        <v>2027-28</v>
      </c>
      <c r="AZ3" s="371" t="str">
        <f t="shared" si="1"/>
        <v>2028-29</v>
      </c>
      <c r="BA3" s="371" t="str">
        <f t="shared" si="1"/>
        <v>2029-30</v>
      </c>
      <c r="BB3" s="371" t="str">
        <f t="shared" si="1"/>
        <v>2030-31</v>
      </c>
      <c r="BC3" s="371" t="str">
        <f t="shared" si="1"/>
        <v>2031-32</v>
      </c>
      <c r="BD3" s="371" t="str">
        <f t="shared" si="1"/>
        <v>2032-33</v>
      </c>
      <c r="BE3" s="371" t="str">
        <f t="shared" si="1"/>
        <v>2033-34</v>
      </c>
      <c r="BF3" s="371" t="str">
        <f t="shared" si="1"/>
        <v>2034-35</v>
      </c>
      <c r="BG3" s="371" t="str">
        <f t="shared" si="1"/>
        <v>2035-36</v>
      </c>
      <c r="BH3" s="347"/>
      <c r="BI3" s="371" t="str">
        <f t="shared" si="1"/>
        <v>2026-27</v>
      </c>
      <c r="BJ3" s="371" t="str">
        <f t="shared" si="1"/>
        <v>2027-28</v>
      </c>
      <c r="BK3" s="371" t="str">
        <f t="shared" si="1"/>
        <v>2028-29</v>
      </c>
      <c r="BL3" s="371" t="str">
        <f t="shared" si="1"/>
        <v>2029-30</v>
      </c>
      <c r="BM3" s="371" t="str">
        <f t="shared" si="1"/>
        <v>2030-31</v>
      </c>
      <c r="BN3" s="371" t="str">
        <f t="shared" si="1"/>
        <v>2031-32</v>
      </c>
      <c r="BO3" s="371" t="str">
        <f t="shared" si="1"/>
        <v>2032-33</v>
      </c>
      <c r="BP3" s="371" t="str">
        <f t="shared" si="1"/>
        <v>2033-34</v>
      </c>
      <c r="BQ3" s="371" t="str">
        <f t="shared" si="1"/>
        <v>2034-35</v>
      </c>
      <c r="BR3" s="371" t="str">
        <f t="shared" si="1"/>
        <v>2035-36</v>
      </c>
      <c r="BS3" s="347"/>
      <c r="BT3" s="371" t="str">
        <f t="shared" si="1"/>
        <v>2026-27</v>
      </c>
      <c r="BU3" s="371" t="str">
        <f t="shared" si="1"/>
        <v>2027-28</v>
      </c>
      <c r="BV3" s="371" t="str">
        <f t="shared" si="1"/>
        <v>2028-29</v>
      </c>
      <c r="BW3" s="371" t="str">
        <f t="shared" si="1"/>
        <v>2029-30</v>
      </c>
      <c r="BX3" s="371" t="str">
        <f t="shared" si="1"/>
        <v>2030-31</v>
      </c>
      <c r="BY3" s="371" t="str">
        <f t="shared" si="1"/>
        <v>2031-32</v>
      </c>
      <c r="BZ3" s="371" t="str">
        <f t="shared" si="1"/>
        <v>2032-33</v>
      </c>
      <c r="CA3" s="371" t="str">
        <f t="shared" si="1"/>
        <v>2033-34</v>
      </c>
      <c r="CB3" s="371" t="str">
        <f t="shared" si="1"/>
        <v>2034-35</v>
      </c>
      <c r="CC3" s="371" t="str">
        <f t="shared" si="1"/>
        <v>2035-36</v>
      </c>
      <c r="CD3" s="347"/>
      <c r="CE3" s="371" t="str">
        <f t="shared" si="1"/>
        <v>2026-27</v>
      </c>
      <c r="CF3" s="371" t="str">
        <f t="shared" si="1"/>
        <v>2027-28</v>
      </c>
      <c r="CG3" s="371" t="str">
        <f t="shared" si="1"/>
        <v>2028-29</v>
      </c>
      <c r="CH3" s="371" t="str">
        <f t="shared" si="1"/>
        <v>2029-30</v>
      </c>
      <c r="CI3" s="371" t="str">
        <f t="shared" si="1"/>
        <v>2030-31</v>
      </c>
      <c r="CJ3" s="371" t="str">
        <f t="shared" si="1"/>
        <v>2031-32</v>
      </c>
      <c r="CK3" s="371" t="str">
        <f t="shared" si="1"/>
        <v>2032-33</v>
      </c>
      <c r="CL3" s="371" t="str">
        <f t="shared" si="1"/>
        <v>2033-34</v>
      </c>
      <c r="CM3" s="371" t="str">
        <f t="shared" si="1"/>
        <v>2034-35</v>
      </c>
      <c r="CN3" s="371" t="str">
        <f t="shared" si="1"/>
        <v>2035-36</v>
      </c>
      <c r="CO3" s="347"/>
      <c r="CP3" s="371" t="str">
        <f t="shared" si="1"/>
        <v>2026-27</v>
      </c>
      <c r="CQ3" s="371" t="str">
        <f t="shared" si="1"/>
        <v>2027-28</v>
      </c>
      <c r="CR3" s="371" t="str">
        <f t="shared" ref="CR3:CY3" si="2">CR43</f>
        <v>2028-29</v>
      </c>
      <c r="CS3" s="371" t="str">
        <f t="shared" si="2"/>
        <v>2029-30</v>
      </c>
      <c r="CT3" s="371" t="str">
        <f t="shared" si="2"/>
        <v>2030-31</v>
      </c>
      <c r="CU3" s="371" t="str">
        <f t="shared" si="2"/>
        <v>2031-32</v>
      </c>
      <c r="CV3" s="371" t="str">
        <f t="shared" si="2"/>
        <v>2032-33</v>
      </c>
      <c r="CW3" s="371" t="str">
        <f t="shared" si="2"/>
        <v>2033-34</v>
      </c>
      <c r="CX3" s="371" t="str">
        <f t="shared" si="2"/>
        <v>2034-35</v>
      </c>
      <c r="CY3" s="371" t="str">
        <f t="shared" si="2"/>
        <v>2035-36</v>
      </c>
      <c r="DC3" s="855" t="s">
        <v>467</v>
      </c>
    </row>
    <row r="4" spans="2:120">
      <c r="B4" s="347"/>
      <c r="C4" s="347"/>
      <c r="D4" s="347"/>
      <c r="E4" s="347"/>
      <c r="F4" s="347"/>
      <c r="G4" s="347"/>
      <c r="H4" s="347"/>
      <c r="I4" s="347"/>
      <c r="J4" s="841"/>
      <c r="K4" s="347"/>
      <c r="L4" s="841"/>
      <c r="M4" s="841"/>
      <c r="N4" s="841"/>
      <c r="O4" s="841"/>
      <c r="W4" s="347"/>
      <c r="X4" s="347"/>
      <c r="Y4" s="347"/>
      <c r="Z4" s="347"/>
      <c r="AA4" s="347"/>
      <c r="AB4" s="347"/>
      <c r="AC4" s="347"/>
      <c r="AD4" s="347"/>
      <c r="AE4" s="347"/>
      <c r="AF4" s="347"/>
      <c r="AG4" s="347"/>
      <c r="AH4" s="347"/>
      <c r="AI4" s="347"/>
      <c r="AJ4" s="347"/>
      <c r="AK4" s="347"/>
      <c r="AL4" s="347"/>
      <c r="AM4" s="347"/>
      <c r="AN4" s="347"/>
      <c r="AO4" s="347"/>
      <c r="AP4" s="347"/>
      <c r="AQ4" s="347"/>
      <c r="AR4" s="347"/>
      <c r="AS4" s="347"/>
      <c r="AT4" s="347"/>
      <c r="AU4" s="347"/>
      <c r="AV4" s="347"/>
      <c r="AW4" s="347"/>
      <c r="AX4" s="347"/>
      <c r="AY4" s="347"/>
      <c r="AZ4" s="347"/>
      <c r="BA4" s="347"/>
      <c r="BB4" s="347"/>
      <c r="BC4" s="347"/>
      <c r="BD4" s="347"/>
      <c r="BE4" s="347"/>
      <c r="BF4" s="347"/>
      <c r="BG4" s="347"/>
      <c r="BH4" s="347"/>
      <c r="BI4" s="347"/>
      <c r="BJ4" s="347"/>
      <c r="BK4" s="347"/>
      <c r="BL4" s="347"/>
      <c r="BM4" s="347"/>
      <c r="BN4" s="347"/>
      <c r="BO4" s="347"/>
      <c r="BP4" s="347"/>
      <c r="BQ4" s="347"/>
      <c r="BR4" s="347"/>
      <c r="BS4" s="347"/>
      <c r="BT4" s="347"/>
      <c r="BU4" s="347"/>
      <c r="BV4" s="347"/>
      <c r="BW4" s="347"/>
      <c r="BX4" s="347"/>
      <c r="BY4" s="347"/>
      <c r="BZ4" s="347"/>
      <c r="CA4" s="347"/>
      <c r="CB4" s="347"/>
      <c r="CC4" s="347"/>
      <c r="CD4" s="347"/>
      <c r="CE4" s="347"/>
      <c r="CF4" s="347"/>
      <c r="CG4" s="347"/>
      <c r="CH4" s="347"/>
      <c r="CI4" s="347"/>
      <c r="CJ4" s="347"/>
      <c r="CK4" s="347"/>
      <c r="CL4" s="347"/>
      <c r="CM4" s="347"/>
      <c r="CN4" s="347"/>
      <c r="CO4" s="347"/>
      <c r="CP4" s="347"/>
      <c r="CQ4" s="347"/>
      <c r="CR4" s="347"/>
      <c r="CS4" s="347"/>
      <c r="CT4" s="347"/>
      <c r="CU4" s="347"/>
      <c r="CV4" s="347"/>
      <c r="CW4" s="347"/>
      <c r="CX4" s="347"/>
      <c r="CY4" s="347"/>
      <c r="DC4" s="854"/>
    </row>
    <row r="5" spans="2:120" ht="12.75" thickBot="1">
      <c r="B5" s="347"/>
      <c r="C5" s="347"/>
      <c r="D5" s="347"/>
      <c r="E5" s="347"/>
      <c r="F5" s="347"/>
      <c r="G5" s="347"/>
      <c r="H5" s="347"/>
      <c r="I5" s="347"/>
      <c r="J5" s="841"/>
      <c r="K5" s="347"/>
      <c r="L5" s="841"/>
      <c r="M5" s="841"/>
      <c r="N5" s="841"/>
      <c r="O5" s="841"/>
      <c r="P5" s="347"/>
      <c r="Q5" s="347"/>
      <c r="R5" s="347"/>
      <c r="S5" s="347"/>
      <c r="T5" s="347"/>
      <c r="U5" s="347"/>
      <c r="V5" s="347"/>
      <c r="W5" s="347"/>
      <c r="X5" s="347"/>
      <c r="Y5" s="347"/>
      <c r="Z5" s="347"/>
      <c r="AA5" s="347"/>
      <c r="AB5" s="347"/>
      <c r="AC5" s="347"/>
      <c r="AD5" s="347"/>
      <c r="AE5" s="347"/>
      <c r="AF5" s="347"/>
      <c r="AG5" s="347"/>
      <c r="AH5" s="347"/>
      <c r="AI5" s="347"/>
      <c r="AJ5" s="347"/>
      <c r="AK5" s="347"/>
      <c r="AL5" s="347"/>
      <c r="AM5" s="347"/>
      <c r="AN5" s="347"/>
      <c r="AO5" s="347"/>
      <c r="AP5" s="347"/>
      <c r="AQ5" s="347"/>
      <c r="AR5" s="347"/>
      <c r="AS5" s="347"/>
      <c r="AT5" s="347"/>
      <c r="AU5" s="347"/>
      <c r="AV5" s="347"/>
      <c r="AW5" s="347"/>
      <c r="AX5" s="347"/>
      <c r="AY5" s="347"/>
      <c r="AZ5" s="347"/>
      <c r="BA5" s="347"/>
      <c r="BB5" s="347"/>
      <c r="BC5" s="347"/>
      <c r="BD5" s="347"/>
      <c r="BE5" s="347"/>
      <c r="BF5" s="347"/>
      <c r="BG5" s="347"/>
      <c r="BH5" s="347"/>
      <c r="BI5" s="347"/>
      <c r="BJ5" s="347"/>
      <c r="BK5" s="347"/>
      <c r="BL5" s="347"/>
      <c r="BM5" s="347"/>
      <c r="BN5" s="347"/>
      <c r="BO5" s="347"/>
      <c r="BP5" s="347"/>
      <c r="BQ5" s="347"/>
      <c r="BR5" s="347"/>
      <c r="BS5" s="347"/>
      <c r="BT5" s="347"/>
      <c r="BU5" s="347"/>
      <c r="BV5" s="347"/>
      <c r="BW5" s="347"/>
      <c r="BX5" s="347"/>
      <c r="BY5" s="347"/>
      <c r="BZ5" s="347"/>
      <c r="CA5" s="347"/>
      <c r="CB5" s="347"/>
      <c r="CC5" s="347"/>
      <c r="CD5" s="347"/>
      <c r="CE5" s="347"/>
      <c r="CF5" s="347"/>
      <c r="CG5" s="347"/>
      <c r="CH5" s="347"/>
      <c r="CI5" s="347"/>
      <c r="CJ5" s="347"/>
      <c r="CK5" s="347"/>
      <c r="CL5" s="347"/>
      <c r="CM5" s="347"/>
      <c r="CN5" s="347"/>
      <c r="CO5" s="347"/>
      <c r="CP5" s="347"/>
      <c r="CQ5" s="347"/>
      <c r="CR5" s="347"/>
      <c r="CS5" s="347"/>
      <c r="CT5" s="347"/>
      <c r="CU5" s="347"/>
      <c r="CV5" s="347"/>
      <c r="CW5" s="347"/>
      <c r="CX5" s="347"/>
      <c r="CY5" s="347"/>
      <c r="DC5" s="1193"/>
      <c r="DD5" s="1194"/>
      <c r="DE5" s="1194"/>
      <c r="DF5" s="1194"/>
      <c r="DG5" s="1194"/>
      <c r="DH5" s="1195"/>
      <c r="DI5" s="647"/>
      <c r="DJ5" s="647"/>
      <c r="DK5" s="647"/>
      <c r="DL5" s="647"/>
      <c r="DM5" s="647"/>
      <c r="DN5" s="647"/>
      <c r="DO5" s="647"/>
      <c r="DP5" s="647"/>
    </row>
    <row r="6" spans="2:120">
      <c r="B6" s="349"/>
      <c r="C6" s="350"/>
      <c r="D6" s="350"/>
      <c r="E6" s="350"/>
      <c r="F6" s="350"/>
      <c r="G6" s="350"/>
      <c r="H6" s="350"/>
      <c r="I6" s="1120"/>
      <c r="J6" s="1121"/>
      <c r="K6" s="1121"/>
      <c r="L6" s="1121"/>
      <c r="M6" s="1120"/>
      <c r="N6" s="1122"/>
      <c r="O6" s="1014"/>
      <c r="P6" s="347"/>
      <c r="Q6" s="347"/>
      <c r="R6" s="347"/>
      <c r="S6" s="347"/>
      <c r="T6" s="347"/>
      <c r="U6" s="347"/>
      <c r="V6" s="347"/>
      <c r="W6" s="347"/>
      <c r="X6" s="347"/>
      <c r="Y6" s="347"/>
      <c r="Z6" s="347"/>
      <c r="AA6" s="347"/>
      <c r="AB6" s="347"/>
      <c r="AC6" s="347"/>
      <c r="AD6" s="347"/>
      <c r="AE6" s="347"/>
      <c r="AF6" s="347"/>
      <c r="AG6" s="347"/>
      <c r="AH6" s="347"/>
      <c r="AI6" s="347"/>
      <c r="AJ6" s="347"/>
      <c r="AK6" s="347"/>
      <c r="AL6" s="347"/>
      <c r="AM6" s="347"/>
      <c r="AN6" s="347"/>
      <c r="AO6" s="347"/>
      <c r="AP6" s="347"/>
      <c r="AQ6" s="347"/>
      <c r="AR6" s="347"/>
      <c r="AS6" s="347"/>
      <c r="AT6" s="347"/>
      <c r="AU6" s="347"/>
      <c r="AV6" s="347"/>
      <c r="AW6" s="347"/>
      <c r="AX6" s="347"/>
      <c r="AY6" s="347"/>
      <c r="AZ6" s="347"/>
      <c r="BA6" s="347"/>
      <c r="BB6" s="347"/>
      <c r="BC6" s="347"/>
      <c r="BD6" s="347"/>
      <c r="BE6" s="347"/>
      <c r="BF6" s="347"/>
      <c r="BG6" s="347"/>
      <c r="BH6" s="347"/>
      <c r="BI6" s="347"/>
      <c r="BJ6" s="347"/>
      <c r="BK6" s="347"/>
      <c r="BL6" s="347"/>
      <c r="BM6" s="347"/>
      <c r="BN6" s="347"/>
      <c r="BO6" s="347"/>
      <c r="BP6" s="347"/>
      <c r="BQ6" s="347"/>
      <c r="BR6" s="347"/>
      <c r="BS6" s="347"/>
      <c r="BT6" s="347"/>
      <c r="BU6" s="347"/>
      <c r="BV6" s="347"/>
      <c r="BW6" s="347"/>
      <c r="BX6" s="347"/>
      <c r="BY6" s="347"/>
      <c r="BZ6" s="347"/>
      <c r="CA6" s="347"/>
      <c r="CB6" s="347"/>
      <c r="CC6" s="347"/>
      <c r="CD6" s="347"/>
      <c r="CE6" s="347"/>
      <c r="CF6" s="347"/>
      <c r="CG6" s="347"/>
      <c r="CH6" s="347"/>
      <c r="CI6" s="347"/>
      <c r="CJ6" s="347"/>
      <c r="CK6" s="347"/>
      <c r="CL6" s="347"/>
      <c r="CM6" s="347"/>
      <c r="CN6" s="347"/>
      <c r="CO6" s="347"/>
      <c r="CP6" s="347"/>
      <c r="CQ6" s="347"/>
      <c r="CR6" s="347"/>
      <c r="CS6" s="347"/>
      <c r="CT6" s="347"/>
      <c r="CU6" s="347"/>
      <c r="CV6" s="347"/>
      <c r="CW6" s="347"/>
      <c r="CX6" s="347"/>
      <c r="CY6" s="347"/>
      <c r="DC6" s="1196" t="s">
        <v>468</v>
      </c>
      <c r="DD6" s="1197"/>
      <c r="DE6" s="1198"/>
      <c r="DF6" s="1198"/>
      <c r="DG6" s="1198"/>
      <c r="DH6" s="1199"/>
      <c r="DI6" s="647"/>
      <c r="DJ6" s="647"/>
      <c r="DK6" s="647"/>
      <c r="DL6" s="647"/>
      <c r="DM6" s="647"/>
      <c r="DN6" s="647"/>
      <c r="DO6" s="647"/>
      <c r="DP6" s="647"/>
    </row>
    <row r="7" spans="2:120">
      <c r="B7" s="351"/>
      <c r="C7" s="266" t="s">
        <v>469</v>
      </c>
      <c r="D7" s="1208"/>
      <c r="E7" s="1211"/>
      <c r="F7" s="1209" t="s">
        <v>140</v>
      </c>
      <c r="G7" s="1211"/>
      <c r="H7" s="1210"/>
      <c r="I7" s="1287"/>
      <c r="J7" s="721"/>
      <c r="K7" s="1209" t="s">
        <v>141</v>
      </c>
      <c r="L7" s="721"/>
      <c r="M7" s="1207"/>
      <c r="N7" s="1123"/>
      <c r="O7" s="1014"/>
      <c r="P7" s="347"/>
      <c r="Q7" s="347"/>
      <c r="R7" s="347"/>
      <c r="S7" s="347"/>
      <c r="T7" s="347"/>
      <c r="U7" s="347"/>
      <c r="V7" s="347"/>
      <c r="W7" s="347"/>
      <c r="X7" s="347"/>
      <c r="Y7" s="347"/>
      <c r="Z7" s="347"/>
      <c r="AA7" s="347"/>
      <c r="AB7" s="347"/>
      <c r="AC7" s="347"/>
      <c r="AD7" s="347"/>
      <c r="AE7" s="347"/>
      <c r="AF7" s="347"/>
      <c r="AG7" s="347"/>
      <c r="AH7" s="347"/>
      <c r="AI7" s="347"/>
      <c r="AJ7" s="347"/>
      <c r="AK7" s="347"/>
      <c r="AL7" s="347"/>
      <c r="AM7" s="347"/>
      <c r="AN7" s="347"/>
      <c r="AO7" s="347"/>
      <c r="AP7" s="347"/>
      <c r="AQ7" s="347"/>
      <c r="AR7" s="347"/>
      <c r="AS7" s="347"/>
      <c r="AT7" s="347"/>
      <c r="AU7" s="347"/>
      <c r="AV7" s="347"/>
      <c r="AW7" s="347"/>
      <c r="AX7" s="347"/>
      <c r="AY7" s="347"/>
      <c r="AZ7" s="347"/>
      <c r="BA7" s="347"/>
      <c r="BB7" s="347"/>
      <c r="BC7" s="347"/>
      <c r="BD7" s="347"/>
      <c r="BE7" s="347"/>
      <c r="BF7" s="347"/>
      <c r="BG7" s="347"/>
      <c r="BH7" s="347"/>
      <c r="BI7" s="347"/>
      <c r="BJ7" s="347"/>
      <c r="BK7" s="347"/>
      <c r="BL7" s="347"/>
      <c r="BM7" s="347"/>
      <c r="BN7" s="347"/>
      <c r="BO7" s="347"/>
      <c r="BP7" s="347"/>
      <c r="BQ7" s="347"/>
      <c r="BR7" s="347"/>
      <c r="BS7" s="347"/>
      <c r="BT7" s="347"/>
      <c r="BU7" s="347"/>
      <c r="BV7" s="347"/>
      <c r="BW7" s="347"/>
      <c r="BX7" s="347"/>
      <c r="BY7" s="347"/>
      <c r="BZ7" s="347"/>
      <c r="CA7" s="347"/>
      <c r="CB7" s="347"/>
      <c r="CC7" s="347"/>
      <c r="CD7" s="347"/>
      <c r="CE7" s="347"/>
      <c r="CF7" s="347"/>
      <c r="CG7" s="347"/>
      <c r="CH7" s="347"/>
      <c r="CI7" s="347"/>
      <c r="CJ7" s="347"/>
      <c r="CK7" s="347"/>
      <c r="CL7" s="347"/>
      <c r="CM7" s="347"/>
      <c r="CN7" s="347"/>
      <c r="CO7" s="347"/>
      <c r="CP7" s="347"/>
      <c r="CQ7" s="347"/>
      <c r="CR7" s="347"/>
      <c r="CS7" s="347"/>
      <c r="CT7" s="347"/>
      <c r="CU7" s="347"/>
      <c r="CV7" s="347"/>
      <c r="CW7" s="347"/>
      <c r="CX7" s="347"/>
      <c r="CY7" s="347"/>
      <c r="DC7" s="1200" t="s">
        <v>470</v>
      </c>
      <c r="DD7" s="1197"/>
      <c r="DE7" s="1198"/>
      <c r="DF7" s="1198"/>
      <c r="DG7" s="1198"/>
      <c r="DH7" s="1199"/>
      <c r="DI7" s="647"/>
      <c r="DJ7" s="647"/>
      <c r="DK7" s="647"/>
      <c r="DL7" s="647"/>
      <c r="DM7" s="647"/>
      <c r="DN7" s="647"/>
      <c r="DO7" s="647"/>
      <c r="DP7" s="647"/>
    </row>
    <row r="8" spans="2:120">
      <c r="B8" s="351"/>
      <c r="C8" s="353"/>
      <c r="D8" s="354"/>
      <c r="E8" s="72"/>
      <c r="F8" s="72"/>
      <c r="H8" s="67"/>
      <c r="I8" s="67"/>
      <c r="J8" s="67"/>
      <c r="K8" s="67"/>
      <c r="L8" s="67"/>
      <c r="M8" s="67"/>
      <c r="N8" s="1123"/>
      <c r="O8" s="1014"/>
      <c r="P8" s="347"/>
      <c r="Q8" s="347"/>
      <c r="R8" s="347"/>
      <c r="S8" s="347"/>
      <c r="T8" s="347"/>
      <c r="U8" s="347"/>
      <c r="V8" s="347"/>
      <c r="W8" s="347"/>
      <c r="X8" s="347"/>
      <c r="Y8" s="347"/>
      <c r="Z8" s="347"/>
      <c r="AA8" s="347"/>
      <c r="AB8" s="347"/>
      <c r="AC8" s="347"/>
      <c r="AD8" s="347"/>
      <c r="AE8" s="347"/>
      <c r="AF8" s="347"/>
      <c r="AG8" s="347"/>
      <c r="AH8" s="347"/>
      <c r="AI8" s="347"/>
      <c r="AJ8" s="347"/>
      <c r="AK8" s="347"/>
      <c r="AL8" s="347"/>
      <c r="AM8" s="347"/>
      <c r="AN8" s="347"/>
      <c r="AO8" s="347"/>
      <c r="AP8" s="347"/>
      <c r="AQ8" s="347"/>
      <c r="AR8" s="347"/>
      <c r="AS8" s="347"/>
      <c r="AT8" s="347"/>
      <c r="AU8" s="347"/>
      <c r="AV8" s="347"/>
      <c r="AW8" s="347"/>
      <c r="AX8" s="347"/>
      <c r="AY8" s="347"/>
      <c r="AZ8" s="347"/>
      <c r="BA8" s="347"/>
      <c r="BB8" s="347"/>
      <c r="BC8" s="347"/>
      <c r="BD8" s="347"/>
      <c r="BE8" s="347"/>
      <c r="BF8" s="347"/>
      <c r="BG8" s="347"/>
      <c r="BH8" s="347"/>
      <c r="BI8" s="347"/>
      <c r="BJ8" s="347"/>
      <c r="BK8" s="347"/>
      <c r="BL8" s="347"/>
      <c r="BM8" s="347"/>
      <c r="BN8" s="347"/>
      <c r="BO8" s="347"/>
      <c r="BP8" s="347"/>
      <c r="BQ8" s="347"/>
      <c r="BR8" s="347"/>
      <c r="BS8" s="347"/>
      <c r="BT8" s="347"/>
      <c r="BU8" s="347"/>
      <c r="BV8" s="347"/>
      <c r="BW8" s="347"/>
      <c r="BX8" s="347"/>
      <c r="BY8" s="347"/>
      <c r="BZ8" s="347"/>
      <c r="CA8" s="347"/>
      <c r="CB8" s="347"/>
      <c r="CC8" s="347"/>
      <c r="CD8" s="347"/>
      <c r="CE8" s="347"/>
      <c r="CF8" s="347"/>
      <c r="CG8" s="347"/>
      <c r="CH8" s="347"/>
      <c r="CI8" s="347"/>
      <c r="CJ8" s="347"/>
      <c r="CK8" s="347"/>
      <c r="CL8" s="347"/>
      <c r="CM8" s="347"/>
      <c r="CN8" s="347"/>
      <c r="CO8" s="347"/>
      <c r="CP8" s="347"/>
      <c r="CQ8" s="347"/>
      <c r="CR8" s="347"/>
      <c r="CS8" s="347"/>
      <c r="CT8" s="347"/>
      <c r="CU8" s="347"/>
      <c r="CV8" s="347"/>
      <c r="CW8" s="347"/>
      <c r="CX8" s="347"/>
      <c r="CY8" s="347"/>
      <c r="DC8" s="1200"/>
      <c r="DD8" s="1197"/>
      <c r="DE8" s="1198"/>
      <c r="DF8" s="1198"/>
      <c r="DG8" s="1198"/>
      <c r="DH8" s="1199"/>
      <c r="DI8" s="647"/>
      <c r="DJ8" s="647"/>
      <c r="DK8" s="647"/>
      <c r="DL8" s="647"/>
      <c r="DM8" s="647"/>
      <c r="DN8" s="647"/>
      <c r="DO8" s="647"/>
      <c r="DP8" s="647"/>
    </row>
    <row r="9" spans="2:120">
      <c r="B9" s="351"/>
      <c r="C9" s="353"/>
      <c r="D9" s="355" t="str">
        <f t="shared" ref="D9:M9" si="3">+Q43</f>
        <v>2026-27</v>
      </c>
      <c r="E9" s="355" t="str">
        <f t="shared" si="3"/>
        <v>2027-28</v>
      </c>
      <c r="F9" s="355" t="str">
        <f t="shared" si="3"/>
        <v>2028-29</v>
      </c>
      <c r="G9" s="355" t="str">
        <f t="shared" si="3"/>
        <v>2029-30</v>
      </c>
      <c r="H9" s="355" t="str">
        <f t="shared" si="3"/>
        <v>2030-31</v>
      </c>
      <c r="I9" s="355" t="str">
        <f t="shared" si="3"/>
        <v>2031-32</v>
      </c>
      <c r="J9" s="355" t="str">
        <f t="shared" si="3"/>
        <v>2032-33</v>
      </c>
      <c r="K9" s="355" t="str">
        <f t="shared" si="3"/>
        <v>2033-34</v>
      </c>
      <c r="L9" s="355" t="str">
        <f t="shared" si="3"/>
        <v>2034-35</v>
      </c>
      <c r="M9" s="355" t="str">
        <f t="shared" si="3"/>
        <v>2035-36</v>
      </c>
      <c r="N9" s="1123"/>
      <c r="O9" s="1014"/>
      <c r="P9" s="347"/>
      <c r="Q9" s="347"/>
      <c r="R9" s="347"/>
      <c r="S9" s="347"/>
      <c r="T9" s="347"/>
      <c r="U9" s="347"/>
      <c r="V9" s="347"/>
      <c r="W9" s="347"/>
      <c r="X9" s="347"/>
      <c r="Y9" s="347"/>
      <c r="Z9" s="347"/>
      <c r="AA9" s="347"/>
      <c r="AB9" s="347"/>
      <c r="AC9" s="347"/>
      <c r="AD9" s="347"/>
      <c r="AE9" s="347"/>
      <c r="AF9" s="347"/>
      <c r="AG9" s="347"/>
      <c r="AH9" s="347"/>
      <c r="AI9" s="347"/>
      <c r="AJ9" s="347"/>
      <c r="AK9" s="347"/>
      <c r="AL9" s="347"/>
      <c r="AM9" s="347"/>
      <c r="AN9" s="347"/>
      <c r="AO9" s="347"/>
      <c r="AP9" s="347"/>
      <c r="AQ9" s="347"/>
      <c r="AR9" s="347"/>
      <c r="AS9" s="347"/>
      <c r="AT9" s="347"/>
      <c r="AU9" s="347"/>
      <c r="AV9" s="347"/>
      <c r="AW9" s="347"/>
      <c r="AX9" s="347"/>
      <c r="AY9" s="347"/>
      <c r="AZ9" s="347"/>
      <c r="BA9" s="347"/>
      <c r="BB9" s="347"/>
      <c r="BC9" s="347"/>
      <c r="BD9" s="347"/>
      <c r="BE9" s="347"/>
      <c r="BF9" s="347"/>
      <c r="BG9" s="347"/>
      <c r="BH9" s="347"/>
      <c r="BI9" s="347"/>
      <c r="BJ9" s="347"/>
      <c r="BK9" s="347"/>
      <c r="BL9" s="347"/>
      <c r="BM9" s="347"/>
      <c r="BN9" s="347"/>
      <c r="BO9" s="347"/>
      <c r="BP9" s="347"/>
      <c r="BQ9" s="347"/>
      <c r="BR9" s="347"/>
      <c r="BS9" s="347"/>
      <c r="BT9" s="347"/>
      <c r="BU9" s="347"/>
      <c r="BV9" s="347"/>
      <c r="BW9" s="347"/>
      <c r="BX9" s="347"/>
      <c r="BY9" s="347"/>
      <c r="BZ9" s="347"/>
      <c r="CA9" s="347"/>
      <c r="CB9" s="347"/>
      <c r="CC9" s="347"/>
      <c r="CD9" s="347"/>
      <c r="CE9" s="347"/>
      <c r="CF9" s="347"/>
      <c r="CG9" s="347"/>
      <c r="CH9" s="347"/>
      <c r="CI9" s="347"/>
      <c r="CJ9" s="347"/>
      <c r="CK9" s="347"/>
      <c r="CL9" s="347"/>
      <c r="CM9" s="347"/>
      <c r="CN9" s="347"/>
      <c r="CO9" s="347"/>
      <c r="CP9" s="347"/>
      <c r="CQ9" s="347"/>
      <c r="CR9" s="347"/>
      <c r="CS9" s="347"/>
      <c r="CT9" s="347"/>
      <c r="CU9" s="347"/>
      <c r="CV9" s="347"/>
      <c r="CW9" s="347"/>
      <c r="CX9" s="347"/>
      <c r="CY9" s="347"/>
      <c r="DC9" s="1200" t="s">
        <v>471</v>
      </c>
      <c r="DD9" s="1197"/>
      <c r="DE9" s="1198"/>
      <c r="DF9" s="1198"/>
      <c r="DG9" s="1198"/>
      <c r="DH9" s="1199"/>
      <c r="DI9" s="647"/>
      <c r="DJ9" s="647"/>
      <c r="DK9" s="647"/>
      <c r="DL9" s="647"/>
      <c r="DM9" s="647"/>
      <c r="DN9" s="647"/>
      <c r="DO9" s="647"/>
      <c r="DP9" s="647"/>
    </row>
    <row r="10" spans="2:120" ht="12" customHeight="1">
      <c r="B10" s="351"/>
      <c r="C10" s="356" t="s">
        <v>472</v>
      </c>
      <c r="D10" s="353"/>
      <c r="E10" s="353"/>
      <c r="F10" s="353"/>
      <c r="G10" s="353"/>
      <c r="H10" s="353"/>
      <c r="I10" s="353"/>
      <c r="J10" s="353"/>
      <c r="K10" s="353"/>
      <c r="L10" s="353"/>
      <c r="M10" s="353"/>
      <c r="N10" s="1123"/>
      <c r="O10" s="1014"/>
      <c r="P10" s="347"/>
      <c r="Q10" s="347"/>
      <c r="R10" s="347"/>
      <c r="S10" s="347"/>
      <c r="T10" s="347"/>
      <c r="U10" s="347"/>
      <c r="V10" s="347"/>
      <c r="W10" s="347"/>
      <c r="X10" s="347"/>
      <c r="Y10" s="347"/>
      <c r="Z10" s="347"/>
      <c r="AA10" s="347"/>
      <c r="AB10" s="347"/>
      <c r="AC10" s="347"/>
      <c r="AD10" s="347"/>
      <c r="AE10" s="347"/>
      <c r="AF10" s="347"/>
      <c r="AG10" s="347"/>
      <c r="AH10" s="347"/>
      <c r="AI10" s="347"/>
      <c r="AJ10" s="347"/>
      <c r="AK10" s="347"/>
      <c r="AL10" s="347"/>
      <c r="AM10" s="347"/>
      <c r="AN10" s="347"/>
      <c r="AO10" s="347"/>
      <c r="AP10" s="347"/>
      <c r="AQ10" s="347"/>
      <c r="AR10" s="347"/>
      <c r="AS10" s="347"/>
      <c r="AT10" s="347"/>
      <c r="AU10" s="347"/>
      <c r="AV10" s="347"/>
      <c r="AW10" s="347"/>
      <c r="AX10" s="347"/>
      <c r="AY10" s="347"/>
      <c r="AZ10" s="347">
        <v>2</v>
      </c>
      <c r="BA10" s="347"/>
      <c r="BB10" s="347"/>
      <c r="BC10" s="347"/>
      <c r="BD10" s="347"/>
      <c r="BE10" s="347"/>
      <c r="BF10" s="347"/>
      <c r="BG10" s="347"/>
      <c r="BH10" s="347"/>
      <c r="BI10" s="347"/>
      <c r="BJ10" s="347"/>
      <c r="BK10" s="347"/>
      <c r="BL10" s="347"/>
      <c r="BM10" s="347"/>
      <c r="BN10" s="347"/>
      <c r="BO10" s="347"/>
      <c r="BP10" s="347"/>
      <c r="BQ10" s="347"/>
      <c r="BR10" s="347"/>
      <c r="BS10" s="347"/>
      <c r="BT10" s="347"/>
      <c r="BU10" s="347"/>
      <c r="BV10" s="347"/>
      <c r="BW10" s="347"/>
      <c r="BX10" s="347"/>
      <c r="BY10" s="347"/>
      <c r="BZ10" s="347"/>
      <c r="CA10" s="347"/>
      <c r="CB10" s="347"/>
      <c r="CC10" s="347"/>
      <c r="CD10" s="347"/>
      <c r="CE10" s="347"/>
      <c r="CF10" s="347"/>
      <c r="CG10" s="347"/>
      <c r="CH10" s="347"/>
      <c r="CI10" s="347"/>
      <c r="CJ10" s="347"/>
      <c r="CK10" s="347"/>
      <c r="CL10" s="347"/>
      <c r="CM10" s="347"/>
      <c r="CN10" s="347"/>
      <c r="CO10" s="347"/>
      <c r="CP10" s="347"/>
      <c r="CQ10" s="347"/>
      <c r="CR10" s="347"/>
      <c r="CS10" s="347"/>
      <c r="CT10" s="347"/>
      <c r="CU10" s="347"/>
      <c r="CV10" s="347"/>
      <c r="CW10" s="347"/>
      <c r="CX10" s="347"/>
      <c r="CY10" s="347"/>
      <c r="DC10" s="1201" t="s">
        <v>473</v>
      </c>
      <c r="DD10" s="1197"/>
      <c r="DE10" s="1198"/>
      <c r="DF10" s="1198"/>
      <c r="DG10" s="1198"/>
      <c r="DH10" s="1199"/>
      <c r="DI10" s="647"/>
      <c r="DJ10" s="647"/>
      <c r="DK10" s="647"/>
      <c r="DL10" s="647"/>
      <c r="DM10" s="647"/>
      <c r="DN10" s="647"/>
      <c r="DO10" s="647"/>
      <c r="DP10" s="647"/>
    </row>
    <row r="11" spans="2:120">
      <c r="B11" s="351"/>
      <c r="C11" s="357" t="s">
        <v>474</v>
      </c>
      <c r="D11" s="1033">
        <f t="shared" ref="D11:M11" si="4">+SUMIF($F$46:$F$1270,"Renewals",AX$46:AX$1270)</f>
        <v>389.01969680611728</v>
      </c>
      <c r="E11" s="1033">
        <f t="shared" si="4"/>
        <v>469.61563014807314</v>
      </c>
      <c r="F11" s="1033">
        <f t="shared" si="4"/>
        <v>367.01374222584082</v>
      </c>
      <c r="G11" s="1033">
        <f t="shared" si="4"/>
        <v>482.90693539057577</v>
      </c>
      <c r="H11" s="1033">
        <f t="shared" si="4"/>
        <v>507.18141381319504</v>
      </c>
      <c r="I11" s="1033">
        <f t="shared" si="4"/>
        <v>459.04787556285186</v>
      </c>
      <c r="J11" s="1033">
        <f t="shared" si="4"/>
        <v>527.53026046321691</v>
      </c>
      <c r="K11" s="1033">
        <f t="shared" si="4"/>
        <v>614.26689955382824</v>
      </c>
      <c r="L11" s="1033">
        <f t="shared" si="4"/>
        <v>638.27704142287268</v>
      </c>
      <c r="M11" s="1033">
        <f t="shared" si="4"/>
        <v>629.96831915816733</v>
      </c>
      <c r="N11" s="1123"/>
      <c r="O11" s="1014"/>
      <c r="P11" s="347"/>
      <c r="Q11" s="347"/>
      <c r="R11" s="347"/>
      <c r="S11" s="347"/>
      <c r="T11" s="347"/>
      <c r="U11" s="347"/>
      <c r="V11" s="347"/>
      <c r="W11" s="347"/>
      <c r="X11" s="347"/>
      <c r="Y11" s="347"/>
      <c r="Z11" s="347"/>
      <c r="AA11" s="842"/>
      <c r="AB11" s="842"/>
      <c r="AC11" s="347"/>
      <c r="AD11" s="347"/>
      <c r="AE11" s="347"/>
      <c r="AF11" s="347"/>
      <c r="AG11" s="347"/>
      <c r="AH11" s="347"/>
      <c r="AI11" s="347"/>
      <c r="AJ11" s="347"/>
      <c r="AK11" s="347"/>
      <c r="AL11" s="347"/>
      <c r="AM11" s="347"/>
      <c r="AN11" s="347"/>
      <c r="AO11" s="347"/>
      <c r="AP11" s="347"/>
      <c r="AQ11" s="347"/>
      <c r="AR11" s="347"/>
      <c r="AS11" s="347"/>
      <c r="AT11" s="347"/>
      <c r="AU11" s="347"/>
      <c r="AV11" s="347"/>
      <c r="AW11" s="347"/>
      <c r="AX11" s="347"/>
      <c r="AY11" s="347"/>
      <c r="AZ11" s="347"/>
      <c r="BA11" s="347"/>
      <c r="BB11" s="347"/>
      <c r="BC11" s="347"/>
      <c r="BD11" s="347"/>
      <c r="BE11" s="347"/>
      <c r="BF11" s="347"/>
      <c r="BG11" s="347"/>
      <c r="BH11" s="347"/>
      <c r="BI11" s="347"/>
      <c r="BJ11" s="347"/>
      <c r="BK11" s="347"/>
      <c r="BL11" s="347"/>
      <c r="BM11" s="347"/>
      <c r="BN11" s="347"/>
      <c r="BO11" s="347"/>
      <c r="BP11" s="347"/>
      <c r="BQ11" s="347"/>
      <c r="BR11" s="347"/>
      <c r="BS11" s="347"/>
      <c r="BT11" s="347"/>
      <c r="BU11" s="347"/>
      <c r="BV11" s="347"/>
      <c r="BW11" s="347"/>
      <c r="BX11" s="347"/>
      <c r="BY11" s="347"/>
      <c r="BZ11" s="347"/>
      <c r="CA11" s="347"/>
      <c r="CB11" s="347"/>
      <c r="CC11" s="347"/>
      <c r="CD11" s="347"/>
      <c r="CE11" s="347"/>
      <c r="CF11" s="347"/>
      <c r="CG11" s="347"/>
      <c r="CH11" s="347"/>
      <c r="CI11" s="347"/>
      <c r="CJ11" s="347"/>
      <c r="CK11" s="347"/>
      <c r="CL11" s="347"/>
      <c r="CM11" s="347"/>
      <c r="CN11" s="347"/>
      <c r="CO11" s="347"/>
      <c r="CP11" s="347"/>
      <c r="CQ11" s="347"/>
      <c r="CR11" s="347"/>
      <c r="CS11" s="347"/>
      <c r="CT11" s="347"/>
      <c r="CU11" s="347"/>
      <c r="CV11" s="347"/>
      <c r="CW11" s="347"/>
      <c r="CX11" s="347"/>
      <c r="CY11" s="347"/>
      <c r="DC11" s="1202"/>
      <c r="DD11" s="1203"/>
      <c r="DE11" s="1204"/>
      <c r="DF11" s="1204"/>
      <c r="DG11" s="1204"/>
      <c r="DH11" s="1205"/>
      <c r="DI11" s="647"/>
      <c r="DJ11" s="647"/>
      <c r="DK11" s="647"/>
      <c r="DL11" s="647"/>
      <c r="DM11" s="647"/>
      <c r="DN11" s="647"/>
      <c r="DO11" s="647"/>
      <c r="DP11" s="647"/>
    </row>
    <row r="12" spans="2:120">
      <c r="B12" s="351"/>
      <c r="C12" s="357" t="s">
        <v>475</v>
      </c>
      <c r="D12" s="1033">
        <f t="shared" ref="D12:M12" si="5">+SUMIF($F$46:$F$1270,"Growth",AX$46:AX$1270)</f>
        <v>338.82790934749289</v>
      </c>
      <c r="E12" s="1033">
        <f t="shared" si="5"/>
        <v>304.04358517043744</v>
      </c>
      <c r="F12" s="1033">
        <f t="shared" si="5"/>
        <v>442.6075799919185</v>
      </c>
      <c r="G12" s="1033">
        <f t="shared" si="5"/>
        <v>408.23250261235313</v>
      </c>
      <c r="H12" s="1033">
        <f t="shared" si="5"/>
        <v>399.32107073702639</v>
      </c>
      <c r="I12" s="1033">
        <f t="shared" si="5"/>
        <v>262.23600552609099</v>
      </c>
      <c r="J12" s="1033">
        <f t="shared" si="5"/>
        <v>296.13316814291738</v>
      </c>
      <c r="K12" s="1033">
        <f t="shared" si="5"/>
        <v>411.54643971425844</v>
      </c>
      <c r="L12" s="1033">
        <f t="shared" si="5"/>
        <v>694.12446774472608</v>
      </c>
      <c r="M12" s="1033">
        <f t="shared" si="5"/>
        <v>830.02717874210339</v>
      </c>
      <c r="N12" s="1123"/>
      <c r="O12" s="1014"/>
      <c r="P12" s="347"/>
      <c r="Q12" s="347"/>
      <c r="R12" s="347"/>
      <c r="S12" s="347"/>
      <c r="T12" s="347"/>
      <c r="U12" s="347"/>
      <c r="V12" s="347"/>
      <c r="W12" s="347"/>
      <c r="X12" s="347"/>
      <c r="Y12" s="347"/>
      <c r="Z12" s="347"/>
      <c r="AA12" s="347"/>
      <c r="AB12" s="347"/>
      <c r="AC12" s="347"/>
      <c r="AD12" s="347"/>
      <c r="AE12" s="347"/>
      <c r="AF12" s="347"/>
      <c r="AG12" s="347"/>
      <c r="AH12" s="347"/>
      <c r="AI12" s="347"/>
      <c r="AJ12" s="347"/>
      <c r="AK12" s="347"/>
      <c r="AL12" s="347"/>
      <c r="AM12" s="347"/>
      <c r="AN12" s="347"/>
      <c r="AO12" s="347"/>
      <c r="AP12" s="347"/>
      <c r="AQ12" s="347"/>
      <c r="AR12" s="347"/>
      <c r="AS12" s="347"/>
      <c r="AT12" s="347"/>
      <c r="AU12" s="347"/>
      <c r="AV12" s="347"/>
      <c r="AW12" s="347"/>
      <c r="AX12" s="347"/>
      <c r="AY12" s="347"/>
      <c r="AZ12" s="347"/>
      <c r="BA12" s="347"/>
      <c r="BB12" s="347"/>
      <c r="BC12" s="347"/>
      <c r="BD12" s="347"/>
      <c r="BE12" s="347"/>
      <c r="BF12" s="347"/>
      <c r="BG12" s="347"/>
      <c r="BH12" s="347"/>
      <c r="BI12" s="347"/>
      <c r="BJ12" s="347"/>
      <c r="BK12" s="347"/>
      <c r="BL12" s="347"/>
      <c r="BM12" s="347"/>
      <c r="BN12" s="347"/>
      <c r="BO12" s="347"/>
      <c r="BP12" s="347"/>
      <c r="BQ12" s="347"/>
      <c r="BR12" s="347"/>
      <c r="BS12" s="347"/>
      <c r="BT12" s="347"/>
      <c r="BU12" s="347"/>
      <c r="BV12" s="347"/>
      <c r="BW12" s="347"/>
      <c r="BX12" s="347"/>
      <c r="BY12" s="347"/>
      <c r="BZ12" s="347"/>
      <c r="CA12" s="347"/>
      <c r="CB12" s="347"/>
      <c r="CC12" s="347"/>
      <c r="CD12" s="347"/>
      <c r="CE12" s="347"/>
      <c r="CF12" s="347"/>
      <c r="CG12" s="347"/>
      <c r="CH12" s="347"/>
      <c r="CI12" s="347"/>
      <c r="CJ12" s="347"/>
      <c r="CK12" s="347"/>
      <c r="CL12" s="347"/>
      <c r="CM12" s="347"/>
      <c r="CN12" s="347"/>
      <c r="CO12" s="347"/>
      <c r="CP12" s="347"/>
      <c r="CQ12" s="347"/>
      <c r="CR12" s="347"/>
      <c r="CS12" s="347"/>
      <c r="CT12" s="347"/>
      <c r="CU12" s="347"/>
      <c r="CV12" s="347"/>
      <c r="CW12" s="347"/>
      <c r="CX12" s="347"/>
      <c r="CY12" s="347"/>
      <c r="DI12" s="647"/>
      <c r="DJ12" s="647"/>
      <c r="DK12" s="647"/>
      <c r="DL12" s="647"/>
      <c r="DM12" s="647"/>
      <c r="DN12" s="647"/>
      <c r="DO12" s="647"/>
      <c r="DP12" s="647"/>
    </row>
    <row r="13" spans="2:120">
      <c r="B13" s="351"/>
      <c r="C13" s="357" t="s">
        <v>476</v>
      </c>
      <c r="D13" s="1033">
        <f t="shared" ref="D13:M13" si="6">+SUMIF($F$46:$F$1270,"Improvements / Compliance",AX$46:AX$1270)</f>
        <v>353.38782799699646</v>
      </c>
      <c r="E13" s="1033">
        <f t="shared" si="6"/>
        <v>403.40472573175157</v>
      </c>
      <c r="F13" s="1033">
        <f t="shared" si="6"/>
        <v>400.91207580393467</v>
      </c>
      <c r="G13" s="1033">
        <f t="shared" si="6"/>
        <v>353.25723324251379</v>
      </c>
      <c r="H13" s="1033">
        <f t="shared" si="6"/>
        <v>273.91146087155033</v>
      </c>
      <c r="I13" s="1033">
        <f t="shared" si="6"/>
        <v>658.90780396707112</v>
      </c>
      <c r="J13" s="1033">
        <f t="shared" si="6"/>
        <v>616.33270022466616</v>
      </c>
      <c r="K13" s="1033">
        <f t="shared" si="6"/>
        <v>238.75887614963059</v>
      </c>
      <c r="L13" s="1033">
        <f t="shared" si="6"/>
        <v>162.87514794259457</v>
      </c>
      <c r="M13" s="1033">
        <f t="shared" si="6"/>
        <v>146.62235711742159</v>
      </c>
      <c r="N13" s="1123"/>
      <c r="O13" s="1014"/>
      <c r="P13" s="347"/>
      <c r="Q13" s="347"/>
      <c r="R13" s="347"/>
      <c r="S13" s="347"/>
      <c r="T13" s="347"/>
      <c r="U13" s="347"/>
      <c r="V13" s="347"/>
      <c r="W13" s="347"/>
      <c r="X13" s="347"/>
      <c r="Y13" s="347"/>
      <c r="Z13" s="347"/>
      <c r="AA13" s="347"/>
      <c r="AB13" s="347"/>
      <c r="AC13" s="347"/>
      <c r="AD13" s="347"/>
      <c r="AE13" s="347"/>
      <c r="AF13" s="347"/>
      <c r="AG13" s="347"/>
      <c r="AH13" s="347"/>
      <c r="AI13" s="347"/>
      <c r="AJ13" s="347"/>
      <c r="AK13" s="347"/>
      <c r="AL13" s="347"/>
      <c r="AM13" s="347"/>
      <c r="AN13" s="347"/>
      <c r="AO13" s="347"/>
      <c r="AP13" s="347"/>
      <c r="AQ13" s="347"/>
      <c r="AR13" s="347"/>
      <c r="AS13" s="347"/>
      <c r="AT13" s="347"/>
      <c r="AU13" s="347"/>
      <c r="AV13" s="347"/>
      <c r="AW13" s="347"/>
      <c r="AX13" s="347"/>
      <c r="AY13" s="347"/>
      <c r="AZ13" s="347"/>
      <c r="BA13" s="347"/>
      <c r="BB13" s="347"/>
      <c r="BC13" s="347"/>
      <c r="BD13" s="347"/>
      <c r="BE13" s="347"/>
      <c r="BF13" s="347"/>
      <c r="BG13" s="347"/>
      <c r="BH13" s="347"/>
      <c r="BI13" s="347"/>
      <c r="BJ13" s="347"/>
      <c r="BK13" s="347"/>
      <c r="BL13" s="347"/>
      <c r="BM13" s="347"/>
      <c r="BN13" s="347"/>
      <c r="BO13" s="347"/>
      <c r="BP13" s="347"/>
      <c r="BQ13" s="347"/>
      <c r="BR13" s="347"/>
      <c r="BS13" s="347"/>
      <c r="BT13" s="347"/>
      <c r="BU13" s="347"/>
      <c r="BV13" s="347"/>
      <c r="BW13" s="347"/>
      <c r="BX13" s="347"/>
      <c r="BY13" s="347"/>
      <c r="BZ13" s="347"/>
      <c r="CA13" s="347"/>
      <c r="CB13" s="347"/>
      <c r="CC13" s="347"/>
      <c r="CD13" s="347"/>
      <c r="CE13" s="347"/>
      <c r="CF13" s="347"/>
      <c r="CG13" s="347"/>
      <c r="CH13" s="347"/>
      <c r="CI13" s="347"/>
      <c r="CJ13" s="347"/>
      <c r="CK13" s="347"/>
      <c r="CL13" s="347"/>
      <c r="CM13" s="347"/>
      <c r="CN13" s="347"/>
      <c r="CO13" s="347"/>
      <c r="CP13" s="347"/>
      <c r="CQ13" s="347"/>
      <c r="CR13" s="347"/>
      <c r="CS13" s="347"/>
      <c r="CT13" s="347"/>
      <c r="CU13" s="347"/>
      <c r="CV13" s="347"/>
      <c r="CW13" s="347"/>
      <c r="CX13" s="347"/>
      <c r="CY13" s="347"/>
      <c r="DC13" s="826"/>
      <c r="DD13"/>
      <c r="DE13" s="647"/>
      <c r="DF13" s="647"/>
      <c r="DG13" s="647"/>
      <c r="DH13" s="647"/>
      <c r="DI13" s="647"/>
      <c r="DJ13" s="647"/>
      <c r="DK13" s="647"/>
      <c r="DL13" s="647"/>
      <c r="DM13" s="647"/>
      <c r="DN13" s="647"/>
      <c r="DO13" s="647"/>
      <c r="DP13" s="647"/>
    </row>
    <row r="14" spans="2:120">
      <c r="B14" s="351"/>
      <c r="C14" s="357" t="s">
        <v>477</v>
      </c>
      <c r="D14" s="1033">
        <f t="shared" ref="D14:M14" si="7">+AB45</f>
        <v>9.3121997121680415</v>
      </c>
      <c r="E14" s="1033">
        <f t="shared" si="7"/>
        <v>14.957255803937155</v>
      </c>
      <c r="F14" s="1033">
        <f t="shared" si="7"/>
        <v>2.3374750439277121E-2</v>
      </c>
      <c r="G14" s="1033">
        <f t="shared" si="7"/>
        <v>1.5203089716603002E-2</v>
      </c>
      <c r="H14" s="1033">
        <f t="shared" si="7"/>
        <v>0</v>
      </c>
      <c r="I14" s="1033">
        <f t="shared" si="7"/>
        <v>0</v>
      </c>
      <c r="J14" s="1033">
        <f t="shared" si="7"/>
        <v>0</v>
      </c>
      <c r="K14" s="1033">
        <f t="shared" si="7"/>
        <v>0</v>
      </c>
      <c r="L14" s="1033">
        <f t="shared" si="7"/>
        <v>0</v>
      </c>
      <c r="M14" s="1033">
        <f t="shared" si="7"/>
        <v>0</v>
      </c>
      <c r="N14" s="1123"/>
      <c r="O14" s="1014"/>
      <c r="P14" s="347"/>
      <c r="Q14" s="347"/>
      <c r="R14" s="347"/>
      <c r="S14" s="347"/>
      <c r="T14" s="347"/>
      <c r="U14" s="347"/>
      <c r="V14" s="347"/>
      <c r="W14" s="347"/>
      <c r="X14" s="347"/>
      <c r="Y14" s="347"/>
      <c r="Z14" s="347"/>
      <c r="AA14" s="347"/>
      <c r="AB14" s="347"/>
      <c r="AC14" s="347"/>
      <c r="AD14" s="347"/>
      <c r="AE14" s="347"/>
      <c r="AF14" s="347"/>
      <c r="AG14" s="347"/>
      <c r="AH14" s="347"/>
      <c r="AI14" s="347"/>
      <c r="AJ14" s="347"/>
      <c r="AK14" s="347"/>
      <c r="AL14" s="347"/>
      <c r="AM14" s="347"/>
      <c r="AN14" s="347"/>
      <c r="AO14" s="347"/>
      <c r="AP14" s="347"/>
      <c r="AQ14" s="347"/>
      <c r="AR14" s="347"/>
      <c r="AS14" s="347"/>
      <c r="AT14" s="347"/>
      <c r="AU14" s="347"/>
      <c r="AV14" s="347"/>
      <c r="AW14" s="347"/>
      <c r="AX14" s="347"/>
      <c r="AY14" s="347"/>
      <c r="AZ14" s="347"/>
      <c r="BA14" s="347"/>
      <c r="BB14" s="347"/>
      <c r="BC14" s="347"/>
      <c r="BD14" s="347"/>
      <c r="BE14" s="347"/>
      <c r="BF14" s="347"/>
      <c r="BG14" s="347"/>
      <c r="BH14" s="347"/>
      <c r="BI14" s="347"/>
      <c r="BJ14" s="347"/>
      <c r="BK14" s="347"/>
      <c r="BL14" s="347"/>
      <c r="BM14" s="347"/>
      <c r="BN14" s="347"/>
      <c r="BO14" s="347"/>
      <c r="BP14" s="347"/>
      <c r="BQ14" s="347"/>
      <c r="BR14" s="347"/>
      <c r="BS14" s="347"/>
      <c r="BT14" s="347"/>
      <c r="BU14" s="347"/>
      <c r="BV14" s="347"/>
      <c r="BW14" s="347"/>
      <c r="BX14" s="347"/>
      <c r="BY14" s="347"/>
      <c r="BZ14" s="347"/>
      <c r="CA14" s="347"/>
      <c r="CB14" s="347"/>
      <c r="CC14" s="347"/>
      <c r="CD14" s="347"/>
      <c r="CE14" s="347"/>
      <c r="CF14" s="347"/>
      <c r="CG14" s="347"/>
      <c r="CH14" s="347"/>
      <c r="CI14" s="347"/>
      <c r="CJ14" s="347"/>
      <c r="CK14" s="347"/>
      <c r="CL14" s="347"/>
      <c r="CM14" s="347"/>
      <c r="CN14" s="347"/>
      <c r="CO14" s="347"/>
      <c r="CP14" s="347"/>
      <c r="CQ14" s="347"/>
      <c r="CR14" s="347"/>
      <c r="CS14" s="347"/>
      <c r="CT14" s="347"/>
      <c r="CU14" s="347"/>
      <c r="CV14" s="347"/>
      <c r="CW14" s="347"/>
      <c r="CX14" s="347"/>
      <c r="CY14" s="347"/>
      <c r="DC14" s="825"/>
      <c r="DD14"/>
      <c r="DE14" s="647"/>
      <c r="DF14" s="647"/>
      <c r="DG14" s="647"/>
      <c r="DH14" s="647"/>
      <c r="DI14" s="647"/>
      <c r="DJ14" s="647"/>
      <c r="DK14" s="647"/>
      <c r="DL14" s="647"/>
      <c r="DM14" s="647"/>
      <c r="DN14" s="647"/>
      <c r="DO14" s="647"/>
      <c r="DP14" s="647"/>
    </row>
    <row r="15" spans="2:120">
      <c r="B15" s="351"/>
      <c r="C15" s="357" t="s">
        <v>478</v>
      </c>
      <c r="D15" s="1033">
        <f t="shared" ref="D15:M15" si="8">+AM45</f>
        <v>256.68418674331554</v>
      </c>
      <c r="E15" s="1033">
        <f t="shared" si="8"/>
        <v>265.82094960941134</v>
      </c>
      <c r="F15" s="1033">
        <f t="shared" si="8"/>
        <v>266.89260337450156</v>
      </c>
      <c r="G15" s="1033">
        <f t="shared" si="8"/>
        <v>265.83725314288654</v>
      </c>
      <c r="H15" s="1033">
        <f t="shared" si="8"/>
        <v>261.75654907461649</v>
      </c>
      <c r="I15" s="1033">
        <f t="shared" si="8"/>
        <v>266.29183409691552</v>
      </c>
      <c r="J15" s="1033">
        <f t="shared" si="8"/>
        <v>259.09270600770168</v>
      </c>
      <c r="K15" s="1033">
        <f t="shared" si="8"/>
        <v>250.01787257304056</v>
      </c>
      <c r="L15" s="1033">
        <f t="shared" si="8"/>
        <v>241.27074037515396</v>
      </c>
      <c r="M15" s="1033">
        <f t="shared" si="8"/>
        <v>232.83938317900669</v>
      </c>
      <c r="N15" s="1123"/>
      <c r="O15" s="1014"/>
      <c r="P15" s="347"/>
      <c r="Q15" s="347"/>
      <c r="R15" s="347"/>
      <c r="S15" s="347"/>
      <c r="T15" s="347"/>
      <c r="U15" s="347"/>
      <c r="V15" s="347"/>
      <c r="W15" s="347"/>
      <c r="X15" s="347"/>
      <c r="Y15" s="347"/>
      <c r="Z15" s="347"/>
      <c r="AA15" s="347"/>
      <c r="AB15" s="347"/>
      <c r="AC15" s="347"/>
      <c r="AD15" s="347"/>
      <c r="AE15" s="347"/>
      <c r="AF15" s="347"/>
      <c r="AG15" s="347"/>
      <c r="AH15" s="347"/>
      <c r="AI15" s="347"/>
      <c r="AJ15" s="347"/>
      <c r="AK15" s="347"/>
      <c r="AL15" s="347"/>
      <c r="AM15" s="347"/>
      <c r="AN15" s="347"/>
      <c r="AO15" s="347"/>
      <c r="AP15" s="347"/>
      <c r="AQ15" s="347"/>
      <c r="AR15" s="347"/>
      <c r="AS15" s="347"/>
      <c r="AT15" s="347"/>
      <c r="AU15" s="347"/>
      <c r="AV15" s="347"/>
      <c r="AW15" s="347"/>
      <c r="AX15" s="347"/>
      <c r="AY15" s="347"/>
      <c r="AZ15" s="347"/>
      <c r="BA15" s="347"/>
      <c r="BB15" s="347"/>
      <c r="BC15" s="347"/>
      <c r="BD15" s="347"/>
      <c r="BE15" s="347"/>
      <c r="BF15" s="347"/>
      <c r="BG15" s="347"/>
      <c r="BH15" s="347"/>
      <c r="BI15" s="347"/>
      <c r="BJ15" s="347"/>
      <c r="BK15" s="347"/>
      <c r="BL15" s="347"/>
      <c r="BM15" s="347"/>
      <c r="BN15" s="347"/>
      <c r="BO15" s="347"/>
      <c r="BP15" s="347"/>
      <c r="BQ15" s="347"/>
      <c r="BR15" s="347"/>
      <c r="BS15" s="347"/>
      <c r="BT15" s="347"/>
      <c r="BU15" s="347"/>
      <c r="BV15" s="347"/>
      <c r="BW15" s="347"/>
      <c r="BX15" s="347"/>
      <c r="BY15" s="347"/>
      <c r="BZ15" s="347"/>
      <c r="CA15" s="347"/>
      <c r="CB15" s="347"/>
      <c r="CC15" s="347"/>
      <c r="CD15" s="347"/>
      <c r="CE15" s="347"/>
      <c r="CF15" s="347"/>
      <c r="CG15" s="347"/>
      <c r="CH15" s="347"/>
      <c r="CI15" s="347"/>
      <c r="CJ15" s="347"/>
      <c r="CK15" s="347"/>
      <c r="CL15" s="347"/>
      <c r="CM15" s="347"/>
      <c r="CN15" s="347"/>
      <c r="CO15" s="347"/>
      <c r="CP15" s="347"/>
      <c r="CQ15" s="347"/>
      <c r="CR15" s="347"/>
      <c r="CS15" s="347"/>
      <c r="CT15" s="347"/>
      <c r="CU15" s="347"/>
      <c r="CV15" s="347"/>
      <c r="CW15" s="347"/>
      <c r="CX15" s="347"/>
      <c r="CY15" s="347"/>
      <c r="DC15" s="825"/>
      <c r="DD15"/>
      <c r="DE15" s="647"/>
      <c r="DF15" s="647"/>
      <c r="DG15" s="647"/>
      <c r="DH15" s="647"/>
      <c r="DI15" s="647"/>
      <c r="DJ15" s="647"/>
      <c r="DK15" s="647"/>
      <c r="DL15" s="647"/>
      <c r="DM15" s="647"/>
      <c r="DN15" s="647"/>
      <c r="DO15" s="647"/>
      <c r="DP15" s="647"/>
    </row>
    <row r="16" spans="2:120" ht="12.75" thickBot="1">
      <c r="B16" s="351"/>
      <c r="C16" s="359" t="s">
        <v>479</v>
      </c>
      <c r="D16" s="1034">
        <f>SUM(D11:D15)</f>
        <v>1347.23182060609</v>
      </c>
      <c r="E16" s="1034">
        <f t="shared" ref="E16:M16" si="9">SUM(E11:E15)</f>
        <v>1457.8421464636108</v>
      </c>
      <c r="F16" s="1034">
        <f t="shared" si="9"/>
        <v>1477.4493761466347</v>
      </c>
      <c r="G16" s="1034">
        <f t="shared" si="9"/>
        <v>1510.2491274780459</v>
      </c>
      <c r="H16" s="1852">
        <f t="shared" si="9"/>
        <v>1442.1704944963883</v>
      </c>
      <c r="I16" s="1034">
        <f t="shared" si="9"/>
        <v>1646.4835191529296</v>
      </c>
      <c r="J16" s="1034">
        <f t="shared" si="9"/>
        <v>1699.0888348385022</v>
      </c>
      <c r="K16" s="1034">
        <f t="shared" si="9"/>
        <v>1514.5900879907576</v>
      </c>
      <c r="L16" s="1034">
        <f t="shared" si="9"/>
        <v>1736.5473974853473</v>
      </c>
      <c r="M16" s="1034">
        <f t="shared" si="9"/>
        <v>1839.4572381966991</v>
      </c>
      <c r="N16" s="1123"/>
      <c r="O16" s="1014"/>
      <c r="P16" s="347"/>
      <c r="Q16" s="347"/>
      <c r="R16" s="347"/>
      <c r="S16" s="347"/>
      <c r="T16" s="347"/>
      <c r="U16" s="347"/>
      <c r="V16" s="347"/>
      <c r="W16" s="347"/>
      <c r="X16" s="347"/>
      <c r="Y16" s="347"/>
      <c r="Z16" s="347"/>
      <c r="AA16" s="347"/>
      <c r="AB16" s="347"/>
      <c r="AC16" s="347"/>
      <c r="AD16" s="347"/>
      <c r="AE16" s="347"/>
      <c r="AF16" s="347"/>
      <c r="AG16" s="347"/>
      <c r="AH16" s="347"/>
      <c r="AI16" s="347"/>
      <c r="AJ16" s="347"/>
      <c r="AK16" s="347"/>
      <c r="AL16" s="347"/>
      <c r="AM16" s="347"/>
      <c r="AN16" s="347"/>
      <c r="AO16" s="347"/>
      <c r="AP16" s="347"/>
      <c r="AQ16" s="347"/>
      <c r="AR16" s="347"/>
      <c r="AS16" s="347"/>
      <c r="AT16" s="347"/>
      <c r="AU16" s="347"/>
      <c r="AV16" s="347"/>
      <c r="AW16" s="347"/>
      <c r="AX16" s="347"/>
      <c r="AY16" s="347"/>
      <c r="AZ16" s="347"/>
      <c r="BA16" s="347"/>
      <c r="BB16" s="347"/>
      <c r="BC16" s="347"/>
      <c r="BD16" s="347"/>
      <c r="BE16" s="347"/>
      <c r="BF16" s="347"/>
      <c r="BG16" s="347"/>
      <c r="BH16" s="347"/>
      <c r="BI16" s="347"/>
      <c r="BJ16" s="347"/>
      <c r="BK16" s="347"/>
      <c r="BL16" s="347"/>
      <c r="BM16" s="347"/>
      <c r="BN16" s="347"/>
      <c r="BO16" s="347"/>
      <c r="BP16" s="347"/>
      <c r="BQ16" s="347"/>
      <c r="BR16" s="347"/>
      <c r="BS16" s="347"/>
      <c r="BT16" s="347"/>
      <c r="BU16" s="347"/>
      <c r="BV16" s="347"/>
      <c r="BW16" s="347"/>
      <c r="BX16" s="347"/>
      <c r="BY16" s="347"/>
      <c r="BZ16" s="347"/>
      <c r="CA16" s="347"/>
      <c r="CB16" s="347"/>
      <c r="CC16" s="347"/>
      <c r="CD16" s="347"/>
      <c r="CE16" s="347"/>
      <c r="CF16" s="347"/>
      <c r="CG16" s="347"/>
      <c r="CH16" s="347"/>
      <c r="CI16" s="347"/>
      <c r="CJ16" s="347"/>
      <c r="CK16" s="347"/>
      <c r="CL16" s="347"/>
      <c r="CM16" s="347"/>
      <c r="CN16" s="347"/>
      <c r="CO16" s="347"/>
      <c r="CP16" s="347"/>
      <c r="CQ16" s="347"/>
      <c r="CR16" s="347"/>
      <c r="CS16" s="347"/>
      <c r="CT16" s="347"/>
      <c r="CU16" s="347"/>
      <c r="CV16" s="347"/>
      <c r="CW16" s="347"/>
      <c r="CX16" s="347"/>
      <c r="CY16" s="347"/>
      <c r="DC16" s="825"/>
      <c r="DD16"/>
      <c r="DE16" s="647"/>
      <c r="DF16" s="647"/>
      <c r="DG16" s="647"/>
      <c r="DH16" s="647"/>
      <c r="DI16" s="647"/>
      <c r="DJ16" s="647"/>
      <c r="DK16" s="647"/>
      <c r="DL16" s="647"/>
      <c r="DM16" s="647"/>
      <c r="DN16" s="647"/>
      <c r="DO16" s="647"/>
      <c r="DP16" s="647"/>
    </row>
    <row r="17" spans="2:152">
      <c r="B17" s="351"/>
      <c r="C17" s="353"/>
      <c r="D17" s="1033"/>
      <c r="E17" s="1033"/>
      <c r="F17" s="1033"/>
      <c r="G17" s="1033"/>
      <c r="H17" s="1854">
        <f>SUM(D16:H16)</f>
        <v>7234.9429651907694</v>
      </c>
      <c r="I17" s="353"/>
      <c r="J17" s="353"/>
      <c r="K17" s="353"/>
      <c r="L17" s="353"/>
      <c r="M17" s="1854">
        <f>SUM(I16:M16)</f>
        <v>8436.167077664235</v>
      </c>
      <c r="N17" s="1123"/>
      <c r="O17" s="1014"/>
      <c r="P17" s="347"/>
      <c r="Q17" s="347"/>
      <c r="R17" s="347"/>
      <c r="S17" s="347"/>
      <c r="T17" s="347"/>
      <c r="U17" s="347"/>
      <c r="V17" s="347"/>
      <c r="W17" s="347"/>
      <c r="X17" s="347"/>
      <c r="Y17" s="347"/>
      <c r="Z17" s="347"/>
      <c r="AA17" s="347"/>
      <c r="AB17" s="347"/>
      <c r="AC17" s="347"/>
      <c r="AD17" s="347"/>
      <c r="AE17" s="347"/>
      <c r="AF17" s="347"/>
      <c r="AG17" s="347"/>
      <c r="AH17" s="347"/>
      <c r="AI17" s="347"/>
      <c r="AJ17" s="347"/>
      <c r="AK17" s="347"/>
      <c r="AL17" s="347"/>
      <c r="AM17" s="347"/>
      <c r="AN17" s="347"/>
      <c r="AO17" s="347"/>
      <c r="AP17" s="347"/>
      <c r="AQ17" s="347"/>
      <c r="AR17" s="347"/>
      <c r="AS17" s="347"/>
      <c r="AT17" s="347"/>
      <c r="AU17" s="347"/>
      <c r="AV17" s="347"/>
      <c r="AW17" s="347"/>
      <c r="AX17" s="347"/>
      <c r="AY17" s="347"/>
      <c r="AZ17" s="347"/>
      <c r="BA17" s="347"/>
      <c r="BB17" s="347"/>
      <c r="BC17" s="347"/>
      <c r="BD17" s="347"/>
      <c r="BE17" s="347"/>
      <c r="BF17" s="347"/>
      <c r="BG17" s="347"/>
      <c r="BH17" s="347"/>
      <c r="BI17" s="347"/>
      <c r="BJ17" s="347"/>
      <c r="BK17" s="347"/>
      <c r="BL17" s="347"/>
      <c r="BM17" s="347"/>
      <c r="BN17" s="347"/>
      <c r="BO17" s="347"/>
      <c r="BP17" s="347"/>
      <c r="BQ17" s="347"/>
      <c r="BR17" s="347"/>
      <c r="BS17" s="347"/>
      <c r="BT17" s="347"/>
      <c r="BU17" s="347"/>
      <c r="BV17" s="347"/>
      <c r="BW17" s="347"/>
      <c r="BX17" s="347"/>
      <c r="BY17" s="347"/>
      <c r="BZ17" s="347"/>
      <c r="CA17" s="347"/>
      <c r="CB17" s="347"/>
      <c r="CC17" s="347"/>
      <c r="CD17" s="347"/>
      <c r="CE17" s="347"/>
      <c r="CF17" s="347"/>
      <c r="CG17" s="347"/>
      <c r="CH17" s="347"/>
      <c r="CI17" s="347"/>
      <c r="CJ17" s="347"/>
      <c r="CK17" s="347"/>
      <c r="CL17" s="347"/>
      <c r="CM17" s="347"/>
      <c r="CN17" s="347"/>
      <c r="CO17" s="347"/>
      <c r="CP17" s="347"/>
      <c r="CQ17" s="347"/>
      <c r="CR17" s="347"/>
      <c r="CS17" s="347"/>
      <c r="CT17" s="347"/>
      <c r="CU17" s="347"/>
      <c r="CV17" s="347"/>
      <c r="CW17" s="347"/>
      <c r="CX17" s="347"/>
      <c r="CY17" s="347"/>
      <c r="DC17" s="825"/>
      <c r="DD17"/>
      <c r="DE17" s="647"/>
      <c r="DF17" s="647"/>
      <c r="DG17" s="647"/>
      <c r="DH17" s="647"/>
      <c r="DI17" s="647"/>
      <c r="DJ17" s="647"/>
      <c r="DK17" s="647"/>
      <c r="DL17" s="647"/>
      <c r="DM17" s="647"/>
      <c r="DN17" s="647"/>
      <c r="DO17" s="647"/>
      <c r="DP17" s="647"/>
    </row>
    <row r="18" spans="2:152">
      <c r="B18" s="351"/>
      <c r="C18" s="356" t="s">
        <v>480</v>
      </c>
      <c r="D18" s="1033"/>
      <c r="E18" s="1033"/>
      <c r="F18" s="1033"/>
      <c r="G18" s="1033"/>
      <c r="H18" s="1033"/>
      <c r="I18" s="1033"/>
      <c r="J18" s="1033"/>
      <c r="K18" s="1033"/>
      <c r="L18" s="1033"/>
      <c r="M18" s="1033"/>
      <c r="N18" s="1123"/>
      <c r="O18" s="1014"/>
      <c r="P18" s="347"/>
      <c r="Q18" s="347"/>
      <c r="R18" s="347"/>
      <c r="S18" s="347"/>
      <c r="T18" s="347"/>
      <c r="U18" s="347"/>
      <c r="V18" s="347"/>
      <c r="W18" s="347"/>
      <c r="X18" s="347"/>
      <c r="Y18" s="347"/>
      <c r="Z18" s="347"/>
      <c r="AA18" s="347"/>
      <c r="AB18" s="347"/>
      <c r="AC18" s="347"/>
      <c r="AD18" s="347"/>
      <c r="AE18" s="347"/>
      <c r="AF18" s="347"/>
      <c r="AG18" s="347"/>
      <c r="AH18" s="347"/>
      <c r="AI18" s="347"/>
      <c r="AJ18" s="347"/>
      <c r="AK18" s="347"/>
      <c r="AL18" s="347"/>
      <c r="AM18" s="347"/>
      <c r="AN18" s="347"/>
      <c r="AO18" s="347"/>
      <c r="AP18" s="347"/>
      <c r="AQ18" s="347"/>
      <c r="AR18" s="347"/>
      <c r="AS18" s="347"/>
      <c r="AT18" s="347"/>
      <c r="AU18" s="347"/>
      <c r="AV18" s="347"/>
      <c r="AW18" s="347"/>
      <c r="AX18" s="347"/>
      <c r="AY18" s="347"/>
      <c r="AZ18" s="347"/>
      <c r="BA18" s="347"/>
      <c r="BB18" s="347"/>
      <c r="BC18" s="347"/>
      <c r="BD18" s="347"/>
      <c r="BE18" s="347"/>
      <c r="BF18" s="347"/>
      <c r="BG18" s="347"/>
      <c r="BH18" s="347"/>
      <c r="BI18" s="347"/>
      <c r="BJ18" s="347"/>
      <c r="BK18" s="347"/>
      <c r="BL18" s="347"/>
      <c r="BM18" s="347"/>
      <c r="BN18" s="347"/>
      <c r="BO18" s="347"/>
      <c r="BP18" s="347"/>
      <c r="BQ18" s="347"/>
      <c r="BR18" s="347"/>
      <c r="BS18" s="347"/>
      <c r="BT18" s="347"/>
      <c r="BU18" s="347"/>
      <c r="BV18" s="347"/>
      <c r="BW18" s="347"/>
      <c r="BX18" s="347"/>
      <c r="BY18" s="347"/>
      <c r="BZ18" s="347"/>
      <c r="CA18" s="347"/>
      <c r="CB18" s="347"/>
      <c r="CC18" s="347"/>
      <c r="CD18" s="347"/>
      <c r="CE18" s="347"/>
      <c r="CF18" s="347"/>
      <c r="CG18" s="347"/>
      <c r="CH18" s="347"/>
      <c r="CI18" s="347"/>
      <c r="CJ18" s="347"/>
      <c r="CK18" s="347"/>
      <c r="CL18" s="347"/>
      <c r="CM18" s="347"/>
      <c r="CN18" s="347"/>
      <c r="CO18" s="347"/>
      <c r="CP18" s="347"/>
      <c r="CQ18" s="347"/>
      <c r="CR18" s="347"/>
      <c r="CS18" s="347"/>
      <c r="CT18" s="347"/>
      <c r="CU18" s="347"/>
      <c r="CV18" s="347"/>
      <c r="CW18" s="347"/>
      <c r="CX18" s="347"/>
      <c r="CY18" s="347"/>
      <c r="DD18"/>
      <c r="DE18" s="647"/>
      <c r="DF18" s="647"/>
      <c r="DG18" s="647"/>
      <c r="DH18" s="647"/>
      <c r="DI18" s="647"/>
      <c r="DJ18" s="647"/>
      <c r="DK18" s="647"/>
      <c r="DL18" s="647"/>
      <c r="DM18" s="647"/>
      <c r="DN18" s="647"/>
      <c r="DO18" s="647"/>
      <c r="DP18" s="647"/>
    </row>
    <row r="19" spans="2:152">
      <c r="B19" s="351"/>
      <c r="C19" s="1389" t="s">
        <v>481</v>
      </c>
      <c r="D19" s="1033">
        <f t="shared" ref="D19:M19" si="10">+SUMIF($H$46:$H$1270,$C$19,Q$46:Q$1270)</f>
        <v>259.14327551944751</v>
      </c>
      <c r="E19" s="1033">
        <f t="shared" si="10"/>
        <v>304.66113375043432</v>
      </c>
      <c r="F19" s="1033">
        <f t="shared" si="10"/>
        <v>370.18120168852789</v>
      </c>
      <c r="G19" s="1033">
        <f t="shared" si="10"/>
        <v>421.06946084244248</v>
      </c>
      <c r="H19" s="1033">
        <f t="shared" si="10"/>
        <v>494.74671954154638</v>
      </c>
      <c r="I19" s="1033">
        <f t="shared" si="10"/>
        <v>224.54454419624614</v>
      </c>
      <c r="J19" s="1033">
        <f t="shared" si="10"/>
        <v>49.91742419465556</v>
      </c>
      <c r="K19" s="1033">
        <f t="shared" si="10"/>
        <v>0.44735038066138832</v>
      </c>
      <c r="L19" s="1033">
        <f t="shared" si="10"/>
        <v>0</v>
      </c>
      <c r="M19" s="1033">
        <f t="shared" si="10"/>
        <v>0</v>
      </c>
      <c r="N19" s="1123"/>
      <c r="O19" s="1014"/>
      <c r="P19" s="347"/>
      <c r="Q19" s="347"/>
      <c r="R19" s="347"/>
      <c r="S19" s="347"/>
      <c r="T19" s="347"/>
      <c r="U19" s="347"/>
      <c r="V19" s="347"/>
      <c r="W19" s="347"/>
      <c r="X19" s="347"/>
      <c r="Y19" s="347"/>
      <c r="Z19" s="347"/>
      <c r="AA19" s="347"/>
      <c r="AB19" s="347"/>
      <c r="AC19" s="347"/>
      <c r="AD19" s="347"/>
      <c r="AE19" s="347"/>
      <c r="AF19" s="347"/>
      <c r="AG19" s="347"/>
      <c r="AH19" s="347"/>
      <c r="AI19" s="347"/>
      <c r="AJ19" s="347"/>
      <c r="AK19" s="347"/>
      <c r="AL19" s="347"/>
      <c r="AM19" s="347"/>
      <c r="AN19" s="347"/>
      <c r="AO19" s="347"/>
      <c r="AP19" s="347"/>
      <c r="AQ19" s="347"/>
      <c r="AR19" s="347"/>
      <c r="AS19" s="347"/>
      <c r="AT19" s="347"/>
      <c r="AU19" s="347"/>
      <c r="AV19" s="347"/>
      <c r="AW19" s="347"/>
      <c r="AX19" s="347"/>
      <c r="AY19" s="347"/>
      <c r="AZ19" s="347"/>
      <c r="BA19" s="347"/>
      <c r="BB19" s="347"/>
      <c r="BC19" s="347"/>
      <c r="BD19" s="347"/>
      <c r="BE19" s="347"/>
      <c r="BF19" s="347"/>
      <c r="BG19" s="347"/>
      <c r="BH19" s="347"/>
      <c r="BI19" s="347"/>
      <c r="BJ19" s="347"/>
      <c r="BK19" s="347"/>
      <c r="BL19" s="347"/>
      <c r="BM19" s="347"/>
      <c r="BN19" s="347"/>
      <c r="BO19" s="347"/>
      <c r="BP19" s="347"/>
      <c r="BQ19" s="347"/>
      <c r="BR19" s="347"/>
      <c r="BS19" s="347"/>
      <c r="BT19" s="347"/>
      <c r="BU19" s="347"/>
      <c r="BV19" s="347"/>
      <c r="BW19" s="347"/>
      <c r="BX19" s="347"/>
      <c r="BY19" s="347"/>
      <c r="BZ19" s="347"/>
      <c r="CA19" s="347"/>
      <c r="CB19" s="347"/>
      <c r="CC19" s="347"/>
      <c r="CD19" s="347"/>
      <c r="CE19" s="347"/>
      <c r="CF19" s="347"/>
      <c r="CG19" s="347"/>
      <c r="CH19" s="347"/>
      <c r="CI19" s="347"/>
      <c r="CJ19" s="347"/>
      <c r="CK19" s="347"/>
      <c r="CL19" s="347"/>
      <c r="CM19" s="347"/>
      <c r="CN19" s="347"/>
      <c r="CO19" s="347"/>
      <c r="CP19" s="347"/>
      <c r="CQ19" s="347"/>
      <c r="CR19" s="347"/>
      <c r="CS19" s="347"/>
      <c r="CT19" s="347"/>
      <c r="CU19" s="347"/>
      <c r="CV19" s="347"/>
      <c r="CW19" s="347"/>
      <c r="CX19" s="347"/>
      <c r="CY19" s="347"/>
      <c r="DC19" s="825"/>
      <c r="DD19"/>
      <c r="DE19" s="647"/>
      <c r="DF19" s="647"/>
      <c r="DG19" s="647"/>
      <c r="DH19" s="647"/>
      <c r="DI19" s="647"/>
      <c r="DJ19" s="647"/>
      <c r="DK19" s="647"/>
      <c r="DL19" s="647"/>
      <c r="DM19" s="647"/>
      <c r="DN19" s="647"/>
      <c r="DO19" s="647"/>
      <c r="DP19" s="647"/>
    </row>
    <row r="20" spans="2:152">
      <c r="B20" s="351"/>
      <c r="C20" s="357" t="s">
        <v>482</v>
      </c>
      <c r="D20" s="1033">
        <f t="shared" ref="D20:M20" si="11">+SUMIF($H$46:$H$1270,$C$20,Q$46:Q$1270)</f>
        <v>0</v>
      </c>
      <c r="E20" s="1033">
        <f t="shared" si="11"/>
        <v>0</v>
      </c>
      <c r="F20" s="1033">
        <f t="shared" si="11"/>
        <v>0</v>
      </c>
      <c r="G20" s="1033">
        <f t="shared" si="11"/>
        <v>0</v>
      </c>
      <c r="H20" s="1033">
        <f t="shared" si="11"/>
        <v>0</v>
      </c>
      <c r="I20" s="1033">
        <f t="shared" si="11"/>
        <v>0</v>
      </c>
      <c r="J20" s="1033">
        <f t="shared" si="11"/>
        <v>0</v>
      </c>
      <c r="K20" s="1033">
        <f t="shared" si="11"/>
        <v>0</v>
      </c>
      <c r="L20" s="1033">
        <f t="shared" si="11"/>
        <v>0</v>
      </c>
      <c r="M20" s="1033">
        <f t="shared" si="11"/>
        <v>0</v>
      </c>
      <c r="N20" s="1123"/>
      <c r="O20" s="1014"/>
      <c r="P20" s="347"/>
      <c r="Q20" s="347"/>
      <c r="R20" s="347"/>
      <c r="S20" s="347"/>
      <c r="T20" s="347"/>
      <c r="U20" s="347"/>
      <c r="V20" s="347"/>
      <c r="W20" s="347"/>
      <c r="X20" s="347"/>
      <c r="Y20" s="347"/>
      <c r="Z20" s="347"/>
      <c r="AA20" s="347"/>
      <c r="AB20" s="347"/>
      <c r="AC20" s="347"/>
      <c r="AD20" s="347"/>
      <c r="AE20" s="347"/>
      <c r="AF20" s="347"/>
      <c r="AG20" s="347"/>
      <c r="AH20" s="347"/>
      <c r="AI20" s="347"/>
      <c r="AJ20" s="347"/>
      <c r="AK20" s="347"/>
      <c r="AL20" s="347"/>
      <c r="AM20" s="347"/>
      <c r="AN20" s="347"/>
      <c r="AO20" s="347"/>
      <c r="AP20" s="347"/>
      <c r="AQ20" s="347"/>
      <c r="AR20" s="347"/>
      <c r="AS20" s="347"/>
      <c r="AT20" s="347"/>
      <c r="AU20" s="347"/>
      <c r="AV20" s="347"/>
      <c r="AW20" s="347"/>
      <c r="AX20" s="347"/>
      <c r="AY20" s="347"/>
      <c r="AZ20" s="347"/>
      <c r="BA20" s="347"/>
      <c r="BB20" s="347"/>
      <c r="BC20" s="347"/>
      <c r="BD20" s="347"/>
      <c r="BE20" s="347"/>
      <c r="BF20" s="347"/>
      <c r="BG20" s="347"/>
      <c r="BH20" s="347"/>
      <c r="BI20" s="347"/>
      <c r="BJ20" s="347"/>
      <c r="BK20" s="347"/>
      <c r="BL20" s="347"/>
      <c r="BM20" s="347"/>
      <c r="BN20" s="347"/>
      <c r="BO20" s="347"/>
      <c r="BP20" s="347"/>
      <c r="BQ20" s="347"/>
      <c r="BR20" s="347"/>
      <c r="BS20" s="347"/>
      <c r="BT20" s="347"/>
      <c r="BU20" s="347"/>
      <c r="BV20" s="347"/>
      <c r="BW20" s="347"/>
      <c r="BX20" s="347"/>
      <c r="BY20" s="347"/>
      <c r="BZ20" s="347"/>
      <c r="CA20" s="347"/>
      <c r="CB20" s="347"/>
      <c r="CC20" s="347"/>
      <c r="CD20" s="347"/>
      <c r="CE20" s="347"/>
      <c r="CF20" s="347"/>
      <c r="CG20" s="347"/>
      <c r="CH20" s="347"/>
      <c r="CI20" s="347"/>
      <c r="CJ20" s="347"/>
      <c r="CK20" s="347"/>
      <c r="CL20" s="347"/>
      <c r="CM20" s="347"/>
      <c r="CN20" s="347"/>
      <c r="CO20" s="347"/>
      <c r="CP20" s="347"/>
      <c r="CQ20" s="347"/>
      <c r="CR20" s="347"/>
      <c r="CS20" s="347"/>
      <c r="CT20" s="347"/>
      <c r="CU20" s="347"/>
      <c r="CV20" s="347"/>
      <c r="CW20" s="347"/>
      <c r="CX20" s="347"/>
      <c r="CY20" s="347"/>
      <c r="DC20"/>
      <c r="DD20"/>
      <c r="DE20" s="647"/>
      <c r="DF20" s="647"/>
      <c r="DG20" s="647"/>
      <c r="DH20" s="647"/>
      <c r="DI20" s="647"/>
      <c r="DJ20" s="647"/>
      <c r="DK20" s="647"/>
      <c r="DL20" s="647"/>
      <c r="DM20" s="647"/>
      <c r="DN20" s="647"/>
      <c r="DO20" s="647"/>
      <c r="DP20" s="647"/>
    </row>
    <row r="21" spans="2:152">
      <c r="B21" s="351"/>
      <c r="C21" s="360" t="s">
        <v>483</v>
      </c>
      <c r="D21" s="1033">
        <f t="shared" ref="D21:M21" si="12">+SUMIF($H$46:$H$1270,$C$21,Q$46:Q$1270)</f>
        <v>1088.0885450866426</v>
      </c>
      <c r="E21" s="1033">
        <f t="shared" si="12"/>
        <v>1153.181012713176</v>
      </c>
      <c r="F21" s="1033">
        <f t="shared" si="12"/>
        <v>1107.2681744581066</v>
      </c>
      <c r="G21" s="1033">
        <f t="shared" si="12"/>
        <v>1089.1796666356031</v>
      </c>
      <c r="H21" s="1033">
        <f t="shared" si="12"/>
        <v>947.42377495484186</v>
      </c>
      <c r="I21" s="1033">
        <f t="shared" si="12"/>
        <v>1421.9389749566835</v>
      </c>
      <c r="J21" s="1033">
        <f t="shared" si="12"/>
        <v>1649.1714106438471</v>
      </c>
      <c r="K21" s="1033">
        <f t="shared" si="12"/>
        <v>1514.1427376100967</v>
      </c>
      <c r="L21" s="1033">
        <f t="shared" si="12"/>
        <v>1736.5473974853476</v>
      </c>
      <c r="M21" s="1033">
        <f t="shared" si="12"/>
        <v>1839.4572381966984</v>
      </c>
      <c r="N21" s="1123"/>
      <c r="O21" s="1014"/>
      <c r="P21" s="347"/>
      <c r="Q21" s="347"/>
      <c r="R21" s="347"/>
      <c r="S21" s="347"/>
      <c r="T21" s="347"/>
      <c r="U21" s="347"/>
      <c r="V21" s="347"/>
      <c r="W21" s="347"/>
      <c r="X21" s="347"/>
      <c r="Y21" s="347"/>
      <c r="Z21" s="347"/>
      <c r="AA21" s="347"/>
      <c r="AB21" s="347"/>
      <c r="AC21" s="347"/>
      <c r="AD21" s="347"/>
      <c r="AE21" s="347"/>
      <c r="AF21" s="347"/>
      <c r="AG21" s="347"/>
      <c r="AH21" s="347"/>
      <c r="AI21" s="347"/>
      <c r="AJ21" s="347"/>
      <c r="AK21" s="347"/>
      <c r="AL21" s="347"/>
      <c r="AM21" s="347"/>
      <c r="AN21" s="347"/>
      <c r="AO21" s="347"/>
      <c r="AP21" s="347"/>
      <c r="AQ21" s="347"/>
      <c r="AR21" s="347"/>
      <c r="AS21" s="347"/>
      <c r="AT21" s="347"/>
      <c r="AU21" s="347"/>
      <c r="AV21" s="347"/>
      <c r="AW21" s="347"/>
      <c r="AX21" s="347"/>
      <c r="AY21" s="347"/>
      <c r="AZ21" s="347"/>
      <c r="BA21" s="347"/>
      <c r="BB21" s="347"/>
      <c r="BC21" s="347"/>
      <c r="BD21" s="347"/>
      <c r="BE21" s="347"/>
      <c r="BF21" s="347"/>
      <c r="BG21" s="347"/>
      <c r="BH21" s="347"/>
      <c r="BI21" s="347"/>
      <c r="BJ21" s="347"/>
      <c r="BK21" s="347"/>
      <c r="BL21" s="347"/>
      <c r="BM21" s="347"/>
      <c r="BN21" s="347"/>
      <c r="BO21" s="347"/>
      <c r="BP21" s="347"/>
      <c r="BQ21" s="347"/>
      <c r="BR21" s="347"/>
      <c r="BS21" s="347"/>
      <c r="BT21" s="347"/>
      <c r="BU21" s="347"/>
      <c r="BV21" s="347"/>
      <c r="BW21" s="347"/>
      <c r="BX21" s="347"/>
      <c r="BY21" s="347"/>
      <c r="BZ21" s="347"/>
      <c r="CA21" s="347"/>
      <c r="CB21" s="347"/>
      <c r="CC21" s="347"/>
      <c r="CD21" s="347"/>
      <c r="CE21" s="347"/>
      <c r="CF21" s="347"/>
      <c r="CG21" s="347"/>
      <c r="CH21" s="347"/>
      <c r="CI21" s="347"/>
      <c r="CJ21" s="347"/>
      <c r="CK21" s="347"/>
      <c r="CL21" s="347"/>
      <c r="CM21" s="347"/>
      <c r="CN21" s="347"/>
      <c r="CO21" s="347"/>
      <c r="CP21" s="347"/>
      <c r="CQ21" s="347"/>
      <c r="CR21" s="347"/>
      <c r="CS21" s="347"/>
      <c r="CT21" s="347"/>
      <c r="CU21" s="347"/>
      <c r="CV21" s="347"/>
      <c r="CW21" s="347"/>
      <c r="CX21" s="347"/>
      <c r="CY21" s="347"/>
      <c r="DC21" s="826"/>
      <c r="DD21"/>
      <c r="DE21" s="647"/>
      <c r="DF21" s="647"/>
      <c r="DG21" s="647"/>
      <c r="DH21" s="647"/>
      <c r="DI21" s="647"/>
      <c r="DJ21" s="647"/>
      <c r="DK21" s="647"/>
      <c r="DL21" s="647"/>
      <c r="DM21" s="647"/>
      <c r="DN21" s="647"/>
      <c r="DO21" s="647"/>
      <c r="DP21" s="647"/>
    </row>
    <row r="22" spans="2:152">
      <c r="B22" s="351"/>
      <c r="C22" s="357" t="s">
        <v>484</v>
      </c>
      <c r="D22" s="1033">
        <f t="shared" ref="D22:M22" si="13">+SUMIF($H$46:$H$1270,$C$22,Q$46:Q$1270)</f>
        <v>0</v>
      </c>
      <c r="E22" s="1033">
        <f t="shared" si="13"/>
        <v>0</v>
      </c>
      <c r="F22" s="1033">
        <f t="shared" si="13"/>
        <v>0</v>
      </c>
      <c r="G22" s="1033">
        <f t="shared" si="13"/>
        <v>0</v>
      </c>
      <c r="H22" s="1033">
        <f t="shared" si="13"/>
        <v>0</v>
      </c>
      <c r="I22" s="1033">
        <f t="shared" si="13"/>
        <v>0</v>
      </c>
      <c r="J22" s="1033">
        <f t="shared" si="13"/>
        <v>0</v>
      </c>
      <c r="K22" s="1033">
        <f t="shared" si="13"/>
        <v>0</v>
      </c>
      <c r="L22" s="1033">
        <f t="shared" si="13"/>
        <v>0</v>
      </c>
      <c r="M22" s="1033">
        <f t="shared" si="13"/>
        <v>0</v>
      </c>
      <c r="N22" s="1123"/>
      <c r="O22" s="1014"/>
      <c r="P22" s="347"/>
      <c r="Q22" s="347"/>
      <c r="R22" s="347"/>
      <c r="S22" s="347"/>
      <c r="T22" s="347"/>
      <c r="U22" s="347"/>
      <c r="V22" s="347"/>
      <c r="W22" s="347"/>
      <c r="X22" s="347"/>
      <c r="Y22" s="347"/>
      <c r="Z22" s="347"/>
      <c r="AA22" s="347"/>
      <c r="AB22" s="347"/>
      <c r="AC22" s="347"/>
      <c r="AD22" s="347"/>
      <c r="AE22" s="347"/>
      <c r="AF22" s="347"/>
      <c r="AG22" s="347"/>
      <c r="AH22" s="347"/>
      <c r="AI22" s="347"/>
      <c r="AJ22" s="347"/>
      <c r="AK22" s="347"/>
      <c r="AL22" s="347"/>
      <c r="AM22" s="347"/>
      <c r="AN22" s="347"/>
      <c r="AO22" s="347"/>
      <c r="AP22" s="347"/>
      <c r="AQ22" s="347"/>
      <c r="AR22" s="347"/>
      <c r="AS22" s="347"/>
      <c r="AT22" s="347"/>
      <c r="AU22" s="347"/>
      <c r="AV22" s="347"/>
      <c r="AW22" s="347"/>
      <c r="AX22" s="347"/>
      <c r="AY22" s="347"/>
      <c r="AZ22" s="347"/>
      <c r="BA22" s="347"/>
      <c r="BB22" s="347"/>
      <c r="BC22" s="347"/>
      <c r="BD22" s="347"/>
      <c r="BE22" s="347"/>
      <c r="BF22" s="347"/>
      <c r="BG22" s="347"/>
      <c r="BH22" s="347"/>
      <c r="BI22" s="347"/>
      <c r="BJ22" s="347"/>
      <c r="BK22" s="347"/>
      <c r="BL22" s="347"/>
      <c r="BM22" s="347"/>
      <c r="BN22" s="347"/>
      <c r="BO22" s="347"/>
      <c r="BP22" s="347"/>
      <c r="BQ22" s="347"/>
      <c r="BR22" s="347"/>
      <c r="BS22" s="347"/>
      <c r="BT22" s="347"/>
      <c r="BU22" s="347"/>
      <c r="BV22" s="347"/>
      <c r="BW22" s="347"/>
      <c r="BX22" s="347"/>
      <c r="BY22" s="347"/>
      <c r="BZ22" s="347"/>
      <c r="CA22" s="347"/>
      <c r="CB22" s="347"/>
      <c r="CC22" s="347"/>
      <c r="CD22" s="347"/>
      <c r="CE22" s="347"/>
      <c r="CF22" s="347"/>
      <c r="CG22" s="347"/>
      <c r="CH22" s="347"/>
      <c r="CI22" s="347"/>
      <c r="CJ22" s="347"/>
      <c r="CK22" s="347"/>
      <c r="CL22" s="347"/>
      <c r="CM22" s="347"/>
      <c r="CN22" s="347"/>
      <c r="CO22" s="347"/>
      <c r="CP22" s="347"/>
      <c r="CQ22" s="347"/>
      <c r="CR22" s="347"/>
      <c r="CS22" s="347"/>
      <c r="CT22" s="347"/>
      <c r="CU22" s="347"/>
      <c r="CV22" s="347"/>
      <c r="CW22" s="347"/>
      <c r="CX22" s="347"/>
      <c r="CY22" s="347"/>
      <c r="DC22" s="825"/>
      <c r="DD22" s="827"/>
      <c r="DE22" s="647"/>
      <c r="DF22" s="647"/>
      <c r="DG22" s="647"/>
      <c r="DH22" s="647"/>
      <c r="DI22" s="647"/>
      <c r="DJ22" s="647"/>
      <c r="DK22" s="647"/>
      <c r="DL22" s="647"/>
      <c r="DM22" s="647"/>
      <c r="DN22" s="647"/>
      <c r="DO22" s="647"/>
      <c r="DP22" s="647"/>
    </row>
    <row r="23" spans="2:152" ht="12.75" thickBot="1">
      <c r="B23" s="351"/>
      <c r="C23" s="359" t="s">
        <v>479</v>
      </c>
      <c r="D23" s="1034">
        <f>SUM(D19:D22)</f>
        <v>1347.2318206060902</v>
      </c>
      <c r="E23" s="1034">
        <f>SUM(E19:E22)</f>
        <v>1457.8421464636103</v>
      </c>
      <c r="F23" s="1034">
        <f t="shared" ref="F23:M23" si="14">SUM(F19:F22)</f>
        <v>1477.4493761466344</v>
      </c>
      <c r="G23" s="1034">
        <f t="shared" si="14"/>
        <v>1510.2491274780455</v>
      </c>
      <c r="H23" s="1852">
        <f t="shared" si="14"/>
        <v>1442.1704944963883</v>
      </c>
      <c r="I23" s="1034">
        <f t="shared" si="14"/>
        <v>1646.4835191529296</v>
      </c>
      <c r="J23" s="1034">
        <f t="shared" si="14"/>
        <v>1699.0888348385026</v>
      </c>
      <c r="K23" s="1034">
        <f t="shared" si="14"/>
        <v>1514.5900879907581</v>
      </c>
      <c r="L23" s="1034">
        <f t="shared" si="14"/>
        <v>1736.5473974853476</v>
      </c>
      <c r="M23" s="1853">
        <f t="shared" si="14"/>
        <v>1839.4572381966984</v>
      </c>
      <c r="N23" s="1123"/>
      <c r="O23" s="1014"/>
      <c r="P23" s="347"/>
      <c r="Q23" s="347"/>
      <c r="R23" s="347"/>
      <c r="S23" s="347"/>
      <c r="T23" s="347"/>
      <c r="U23" s="347"/>
      <c r="V23" s="347"/>
      <c r="W23" s="347"/>
      <c r="X23" s="347"/>
      <c r="Y23" s="347"/>
      <c r="Z23" s="347"/>
      <c r="AA23" s="347"/>
      <c r="AB23" s="347"/>
      <c r="AC23" s="347"/>
      <c r="AD23" s="347"/>
      <c r="AE23" s="347"/>
      <c r="AF23" s="347"/>
      <c r="AG23" s="347"/>
      <c r="AH23" s="347"/>
      <c r="AI23" s="347"/>
      <c r="AJ23" s="347"/>
      <c r="AK23" s="347"/>
      <c r="AL23" s="347"/>
      <c r="AM23" s="347"/>
      <c r="AN23" s="347"/>
      <c r="AO23" s="347"/>
      <c r="AP23" s="347"/>
      <c r="AQ23" s="347"/>
      <c r="AR23" s="347"/>
      <c r="AS23" s="347"/>
      <c r="AT23" s="347"/>
      <c r="AU23" s="347"/>
      <c r="AV23" s="347"/>
      <c r="AW23" s="347"/>
      <c r="AX23" s="347"/>
      <c r="AY23" s="347"/>
      <c r="AZ23" s="347"/>
      <c r="BA23" s="347"/>
      <c r="BB23" s="347"/>
      <c r="BC23" s="347"/>
      <c r="BD23" s="347"/>
      <c r="BE23" s="347"/>
      <c r="BF23" s="347"/>
      <c r="BG23" s="347"/>
      <c r="BH23" s="347"/>
      <c r="BI23" s="347"/>
      <c r="BJ23" s="347"/>
      <c r="BK23" s="347"/>
      <c r="BL23" s="347"/>
      <c r="BM23" s="347"/>
      <c r="BN23" s="347"/>
      <c r="BO23" s="347"/>
      <c r="BP23" s="347"/>
      <c r="BQ23" s="347"/>
      <c r="BR23" s="347"/>
      <c r="BS23" s="347"/>
      <c r="BT23" s="347"/>
      <c r="BU23" s="347"/>
      <c r="BV23" s="347"/>
      <c r="BW23" s="347"/>
      <c r="BX23" s="347"/>
      <c r="BY23" s="347"/>
      <c r="BZ23" s="347"/>
      <c r="CA23" s="347"/>
      <c r="CB23" s="347"/>
      <c r="CC23" s="347"/>
      <c r="CD23" s="347"/>
      <c r="CE23" s="347"/>
      <c r="CF23" s="347"/>
      <c r="CG23" s="347"/>
      <c r="CH23" s="347"/>
      <c r="CI23" s="347"/>
      <c r="CJ23" s="347"/>
      <c r="CK23" s="347"/>
      <c r="CL23" s="347"/>
      <c r="CM23" s="347"/>
      <c r="CN23" s="347"/>
      <c r="CO23" s="347"/>
      <c r="CP23" s="347"/>
      <c r="CQ23" s="347"/>
      <c r="CR23" s="347"/>
      <c r="CS23" s="347"/>
      <c r="CT23" s="347"/>
      <c r="CU23" s="347"/>
      <c r="CV23" s="347"/>
      <c r="CW23" s="347"/>
      <c r="CX23" s="347"/>
      <c r="CY23" s="347"/>
      <c r="DC23" s="828"/>
      <c r="DD23" s="827"/>
      <c r="DE23" s="647"/>
      <c r="DF23" s="647"/>
      <c r="DG23" s="647"/>
      <c r="DH23" s="647"/>
      <c r="DI23" s="647"/>
      <c r="DJ23" s="647"/>
      <c r="DK23" s="647"/>
      <c r="DL23" s="647"/>
      <c r="DM23" s="647"/>
      <c r="DN23" s="647"/>
      <c r="DO23" s="647"/>
      <c r="DP23" s="647"/>
    </row>
    <row r="24" spans="2:152">
      <c r="B24" s="351"/>
      <c r="C24" s="353"/>
      <c r="D24" s="353"/>
      <c r="E24" s="353"/>
      <c r="F24" s="353"/>
      <c r="G24" s="353"/>
      <c r="H24" s="1854">
        <f>SUM(D23:H23)</f>
        <v>7234.9429651907694</v>
      </c>
      <c r="I24" s="353"/>
      <c r="J24" s="353"/>
      <c r="K24" s="353"/>
      <c r="L24" s="353"/>
      <c r="M24" s="1854">
        <f>SUM(I23:M23)</f>
        <v>8436.1670776642368</v>
      </c>
      <c r="N24" s="1123"/>
      <c r="O24" s="1014"/>
      <c r="P24" s="347"/>
      <c r="Q24" s="347"/>
      <c r="R24" s="347"/>
      <c r="S24" s="347"/>
      <c r="T24" s="347"/>
      <c r="U24" s="347"/>
      <c r="V24" s="347"/>
      <c r="W24" s="347"/>
      <c r="X24" s="347"/>
      <c r="Y24" s="347"/>
      <c r="Z24" s="347"/>
      <c r="AA24" s="347"/>
      <c r="AB24" s="347"/>
      <c r="AC24" s="347"/>
      <c r="AD24" s="347"/>
      <c r="AE24" s="347"/>
      <c r="AF24" s="347"/>
      <c r="AG24" s="347"/>
      <c r="AH24" s="347"/>
      <c r="AI24" s="347"/>
      <c r="AJ24" s="347"/>
      <c r="AK24" s="347"/>
      <c r="AL24" s="347"/>
      <c r="AM24" s="347"/>
      <c r="AN24" s="347"/>
      <c r="AO24" s="347"/>
      <c r="AP24" s="347"/>
      <c r="AQ24" s="347"/>
      <c r="AR24" s="347"/>
      <c r="AS24" s="347"/>
      <c r="AT24" s="347"/>
      <c r="AU24" s="347"/>
      <c r="AV24" s="347"/>
      <c r="AW24" s="347"/>
      <c r="AX24" s="347"/>
      <c r="AY24" s="347"/>
      <c r="AZ24" s="347"/>
      <c r="BA24" s="347"/>
      <c r="BB24" s="347"/>
      <c r="BC24" s="347"/>
      <c r="BD24" s="347"/>
      <c r="BE24" s="347"/>
      <c r="BF24" s="347"/>
      <c r="BG24" s="347"/>
      <c r="BH24" s="347"/>
      <c r="BI24" s="347"/>
      <c r="BJ24" s="347"/>
      <c r="BK24" s="347"/>
      <c r="BL24" s="347"/>
      <c r="BM24" s="347"/>
      <c r="BN24" s="347"/>
      <c r="BO24" s="347"/>
      <c r="BP24" s="347"/>
      <c r="BQ24" s="347"/>
      <c r="BR24" s="347"/>
      <c r="BS24" s="347"/>
      <c r="BT24" s="347"/>
      <c r="BU24" s="347"/>
      <c r="BV24" s="347"/>
      <c r="BW24" s="347"/>
      <c r="BX24" s="347"/>
      <c r="BY24" s="347"/>
      <c r="BZ24" s="347"/>
      <c r="CA24" s="347"/>
      <c r="CB24" s="347"/>
      <c r="CC24" s="347"/>
      <c r="CD24" s="347"/>
      <c r="CE24" s="347"/>
      <c r="CF24" s="347"/>
      <c r="CG24" s="347"/>
      <c r="CH24" s="347"/>
      <c r="CI24" s="347"/>
      <c r="CJ24" s="347"/>
      <c r="CK24" s="347"/>
      <c r="CL24" s="347"/>
      <c r="CM24" s="347"/>
      <c r="CN24" s="347"/>
      <c r="CO24" s="347"/>
      <c r="CP24" s="347"/>
      <c r="CQ24" s="347"/>
      <c r="CR24" s="347"/>
      <c r="CS24" s="347"/>
      <c r="CT24" s="347"/>
      <c r="CU24" s="347"/>
      <c r="CV24" s="347"/>
      <c r="CW24" s="347"/>
      <c r="CX24" s="347"/>
      <c r="CY24" s="347"/>
      <c r="DD24" s="647"/>
      <c r="DE24" s="647"/>
      <c r="DF24" s="647"/>
      <c r="DG24" s="647"/>
      <c r="DH24" s="647"/>
      <c r="DI24" s="647"/>
      <c r="DJ24" s="647"/>
      <c r="DK24" s="647"/>
      <c r="DL24" s="647"/>
      <c r="DM24" s="647"/>
      <c r="DN24" s="647"/>
      <c r="DO24" s="647"/>
      <c r="DP24" s="647"/>
    </row>
    <row r="25" spans="2:152">
      <c r="B25" s="351"/>
      <c r="C25" s="353"/>
      <c r="D25" s="353"/>
      <c r="E25" s="353"/>
      <c r="F25" s="353"/>
      <c r="G25" s="353"/>
      <c r="H25" s="1033"/>
      <c r="I25" s="353"/>
      <c r="J25" s="353"/>
      <c r="K25" s="353"/>
      <c r="L25" s="353"/>
      <c r="M25" s="1033"/>
      <c r="N25" s="1123"/>
      <c r="O25" s="1014"/>
      <c r="P25" s="347"/>
      <c r="Q25" s="347"/>
      <c r="R25" s="347"/>
      <c r="S25" s="347"/>
      <c r="T25" s="347"/>
      <c r="U25" s="347"/>
      <c r="V25" s="347"/>
      <c r="W25" s="347"/>
      <c r="X25" s="347"/>
      <c r="Y25" s="347"/>
      <c r="Z25" s="347"/>
      <c r="AA25" s="347"/>
      <c r="AB25" s="347"/>
      <c r="AC25" s="347"/>
      <c r="AD25" s="347"/>
      <c r="AE25" s="347"/>
      <c r="AF25" s="347"/>
      <c r="AG25" s="347"/>
      <c r="AH25" s="347"/>
      <c r="AI25" s="347"/>
      <c r="AJ25" s="347"/>
      <c r="AK25" s="347"/>
      <c r="AL25" s="347"/>
      <c r="AM25" s="347"/>
      <c r="AN25" s="347"/>
      <c r="AO25" s="347"/>
      <c r="AP25" s="347"/>
      <c r="AQ25" s="347"/>
      <c r="AR25" s="347"/>
      <c r="AS25" s="347"/>
      <c r="AT25" s="347"/>
      <c r="AU25" s="347"/>
      <c r="AV25" s="347"/>
      <c r="AW25" s="347"/>
      <c r="AX25" s="347"/>
      <c r="AY25" s="347"/>
      <c r="AZ25" s="347"/>
      <c r="BA25" s="347"/>
      <c r="BB25" s="347"/>
      <c r="BC25" s="347"/>
      <c r="BD25" s="347"/>
      <c r="BE25" s="347"/>
      <c r="BF25" s="347"/>
      <c r="BG25" s="347"/>
      <c r="BH25" s="347"/>
      <c r="BI25" s="347"/>
      <c r="BJ25" s="347"/>
      <c r="BK25" s="347"/>
      <c r="BL25" s="347"/>
      <c r="BM25" s="347"/>
      <c r="BN25" s="347"/>
      <c r="BO25" s="347"/>
      <c r="BP25" s="347"/>
      <c r="BQ25" s="347"/>
      <c r="BR25" s="347"/>
      <c r="BS25" s="347"/>
      <c r="BT25" s="347"/>
      <c r="BU25" s="347"/>
      <c r="BV25" s="347"/>
      <c r="BW25" s="347"/>
      <c r="BX25" s="347"/>
      <c r="BY25" s="347"/>
      <c r="BZ25" s="347"/>
      <c r="CA25" s="347"/>
      <c r="CB25" s="347"/>
      <c r="CC25" s="347"/>
      <c r="CD25" s="347"/>
      <c r="CE25" s="347"/>
      <c r="CF25" s="347"/>
      <c r="CG25" s="347"/>
      <c r="CH25" s="347"/>
      <c r="CI25" s="347"/>
      <c r="CJ25" s="347"/>
      <c r="CK25" s="347"/>
      <c r="CL25" s="347"/>
      <c r="CM25" s="347"/>
      <c r="CN25" s="347"/>
      <c r="CO25" s="347"/>
      <c r="CP25" s="347"/>
      <c r="CQ25" s="347"/>
      <c r="CR25" s="347"/>
      <c r="CS25" s="347"/>
      <c r="CT25" s="347"/>
      <c r="CU25" s="347"/>
      <c r="CV25" s="347"/>
      <c r="CW25" s="347"/>
      <c r="CX25" s="347"/>
      <c r="CY25" s="347"/>
      <c r="DD25" s="647"/>
      <c r="DE25" s="647"/>
      <c r="DF25" s="647"/>
      <c r="DG25" s="647"/>
      <c r="DH25" s="647"/>
      <c r="DI25" s="647"/>
      <c r="DJ25" s="647"/>
      <c r="DK25" s="647"/>
      <c r="DL25" s="647"/>
      <c r="DM25" s="647"/>
      <c r="DN25" s="647"/>
      <c r="DO25" s="647"/>
      <c r="DP25" s="647"/>
    </row>
    <row r="26" spans="2:152">
      <c r="B26" s="351"/>
      <c r="C26" s="277" t="s">
        <v>231</v>
      </c>
      <c r="D26" s="361">
        <f>+D23-D16</f>
        <v>0</v>
      </c>
      <c r="E26" s="362">
        <f t="shared" ref="E26:M26" si="15">+E23-E16</f>
        <v>0</v>
      </c>
      <c r="F26" s="362">
        <f t="shared" si="15"/>
        <v>0</v>
      </c>
      <c r="G26" s="362">
        <f t="shared" si="15"/>
        <v>0</v>
      </c>
      <c r="H26" s="362">
        <f t="shared" si="15"/>
        <v>0</v>
      </c>
      <c r="I26" s="361">
        <f t="shared" si="15"/>
        <v>0</v>
      </c>
      <c r="J26" s="362">
        <f t="shared" si="15"/>
        <v>0</v>
      </c>
      <c r="K26" s="362">
        <f t="shared" si="15"/>
        <v>0</v>
      </c>
      <c r="L26" s="362">
        <f t="shared" si="15"/>
        <v>0</v>
      </c>
      <c r="M26" s="1863">
        <f t="shared" si="15"/>
        <v>0</v>
      </c>
      <c r="N26" s="1123"/>
      <c r="O26" s="1014"/>
      <c r="P26" s="347"/>
      <c r="Q26" s="347"/>
      <c r="R26" s="347"/>
      <c r="S26" s="347"/>
      <c r="T26" s="347"/>
      <c r="U26" s="347"/>
      <c r="V26" s="347"/>
      <c r="W26" s="347"/>
      <c r="X26" s="347"/>
      <c r="Y26" s="347"/>
      <c r="Z26" s="347"/>
      <c r="AA26" s="347"/>
      <c r="AB26" s="347"/>
      <c r="AC26" s="347"/>
      <c r="AD26" s="347"/>
      <c r="AE26" s="347"/>
      <c r="AF26" s="347"/>
      <c r="AG26" s="347"/>
      <c r="AH26" s="347"/>
      <c r="AI26" s="347"/>
      <c r="AJ26" s="347"/>
      <c r="AK26" s="347"/>
      <c r="AL26" s="347"/>
      <c r="AM26" s="347"/>
      <c r="AN26" s="347"/>
      <c r="AO26" s="347"/>
      <c r="AP26" s="347"/>
      <c r="AQ26" s="347"/>
      <c r="AR26" s="347"/>
      <c r="AS26" s="347"/>
      <c r="AT26" s="347"/>
      <c r="AU26" s="347"/>
      <c r="AV26" s="347"/>
      <c r="AW26" s="347"/>
      <c r="AX26" s="347"/>
      <c r="AY26" s="347"/>
      <c r="AZ26" s="347"/>
      <c r="BA26" s="347"/>
      <c r="BB26" s="347"/>
      <c r="BC26" s="347"/>
      <c r="BD26" s="347"/>
      <c r="BE26" s="347"/>
      <c r="BF26" s="347"/>
      <c r="BG26" s="347"/>
      <c r="BH26" s="347"/>
      <c r="BI26" s="347"/>
      <c r="BJ26" s="347"/>
      <c r="BK26" s="347"/>
      <c r="BL26" s="347"/>
      <c r="BM26" s="347"/>
      <c r="BN26" s="347"/>
      <c r="BO26" s="347"/>
      <c r="BP26" s="347"/>
      <c r="BQ26" s="347"/>
      <c r="BR26" s="347"/>
      <c r="BS26" s="347"/>
      <c r="BT26" s="347"/>
      <c r="BU26" s="347"/>
      <c r="BV26" s="347"/>
      <c r="BW26" s="347"/>
      <c r="BX26" s="347"/>
      <c r="BY26" s="347"/>
      <c r="BZ26" s="347"/>
      <c r="CA26" s="347"/>
      <c r="CB26" s="347"/>
      <c r="CC26" s="347"/>
      <c r="CD26" s="347"/>
      <c r="CE26" s="347"/>
      <c r="CF26" s="347"/>
      <c r="CG26" s="347"/>
      <c r="CH26" s="347"/>
      <c r="CI26" s="347"/>
      <c r="CJ26" s="347"/>
      <c r="CK26" s="347"/>
      <c r="CL26" s="347"/>
      <c r="CM26" s="347"/>
      <c r="CN26" s="347"/>
      <c r="CO26" s="347"/>
      <c r="CP26" s="347"/>
      <c r="CQ26" s="347"/>
      <c r="CR26" s="347"/>
      <c r="CS26" s="347"/>
      <c r="CU26" s="347"/>
      <c r="CV26" s="347"/>
      <c r="CW26" s="347"/>
      <c r="CX26" s="347"/>
      <c r="CY26" s="347"/>
      <c r="DD26" s="647"/>
      <c r="DE26" s="647"/>
      <c r="DF26" s="647"/>
      <c r="DG26" s="647"/>
      <c r="DH26" s="647"/>
      <c r="DI26" s="647"/>
      <c r="DJ26" s="647"/>
      <c r="DK26" s="647"/>
      <c r="DL26" s="647"/>
      <c r="DM26" s="647"/>
      <c r="DN26" s="647"/>
      <c r="DO26" s="647"/>
      <c r="DP26" s="647"/>
    </row>
    <row r="27" spans="2:152">
      <c r="B27" s="351"/>
      <c r="C27" s="288" t="s">
        <v>358</v>
      </c>
      <c r="D27" s="1660">
        <f>IF(ROUND(D23,5)=ROUND(D16,5),0,1)</f>
        <v>0</v>
      </c>
      <c r="E27" s="1660">
        <f t="shared" ref="E27:M27" si="16">IF(ROUND(E23,5)=ROUND(E16,5),0,1)</f>
        <v>0</v>
      </c>
      <c r="F27" s="1660">
        <f t="shared" si="16"/>
        <v>0</v>
      </c>
      <c r="G27" s="1660">
        <f t="shared" si="16"/>
        <v>0</v>
      </c>
      <c r="H27" s="1660">
        <f t="shared" si="16"/>
        <v>0</v>
      </c>
      <c r="I27" s="1660">
        <f t="shared" si="16"/>
        <v>0</v>
      </c>
      <c r="J27" s="1660">
        <f t="shared" si="16"/>
        <v>0</v>
      </c>
      <c r="K27" s="1660">
        <f t="shared" si="16"/>
        <v>0</v>
      </c>
      <c r="L27" s="1660">
        <f t="shared" si="16"/>
        <v>0</v>
      </c>
      <c r="M27" s="1660">
        <f t="shared" si="16"/>
        <v>0</v>
      </c>
      <c r="N27" s="1123"/>
      <c r="O27" s="1014"/>
      <c r="P27" s="347"/>
      <c r="Q27" s="347"/>
      <c r="R27" s="347"/>
      <c r="S27" s="347"/>
      <c r="T27" s="347"/>
      <c r="U27" s="347"/>
      <c r="V27" s="347"/>
      <c r="W27" s="347"/>
      <c r="X27" s="347"/>
      <c r="Y27" s="347"/>
      <c r="Z27" s="347"/>
      <c r="AA27" s="347"/>
      <c r="AB27" s="347"/>
      <c r="AC27" s="347"/>
      <c r="AD27" s="347"/>
      <c r="AE27" s="347"/>
      <c r="AF27" s="347"/>
      <c r="AG27" s="347"/>
      <c r="AH27" s="347"/>
      <c r="AI27" s="347"/>
      <c r="AJ27" s="347"/>
      <c r="AK27" s="347"/>
      <c r="AL27" s="347"/>
      <c r="AM27" s="347"/>
      <c r="AN27" s="347"/>
      <c r="AO27" s="347"/>
      <c r="AP27" s="347"/>
      <c r="AQ27" s="347"/>
      <c r="AR27" s="347"/>
      <c r="AS27" s="347"/>
      <c r="AT27" s="347"/>
      <c r="AU27" s="347"/>
      <c r="AV27" s="347"/>
      <c r="AW27" s="347"/>
      <c r="AX27" s="347"/>
      <c r="AY27" s="347"/>
      <c r="AZ27" s="347"/>
      <c r="BA27" s="347"/>
      <c r="BB27" s="347"/>
      <c r="BC27" s="347"/>
      <c r="BD27" s="347"/>
      <c r="BE27" s="347"/>
      <c r="BF27" s="347"/>
      <c r="BG27" s="347"/>
      <c r="BH27" s="347"/>
      <c r="BI27" s="347"/>
      <c r="BJ27" s="347"/>
      <c r="BK27" s="347"/>
      <c r="BL27" s="347"/>
      <c r="BM27" s="347"/>
      <c r="BN27" s="347"/>
      <c r="BO27" s="347"/>
      <c r="BP27" s="347"/>
      <c r="BQ27" s="347"/>
      <c r="BR27" s="347"/>
      <c r="BS27" s="347"/>
      <c r="BT27" s="347"/>
      <c r="BU27" s="347"/>
      <c r="BV27" s="347"/>
      <c r="BW27" s="347"/>
      <c r="BX27" s="347"/>
      <c r="BY27" s="347"/>
      <c r="BZ27" s="347"/>
      <c r="CA27" s="347"/>
      <c r="CB27" s="347"/>
      <c r="CC27" s="347"/>
      <c r="CD27" s="347"/>
      <c r="CE27" s="347"/>
      <c r="CF27" s="347"/>
      <c r="CG27" s="347"/>
      <c r="CH27" s="347"/>
      <c r="CI27" s="347"/>
      <c r="CJ27" s="347"/>
      <c r="CK27" s="347"/>
      <c r="CL27" s="347"/>
      <c r="CM27" s="347"/>
      <c r="CN27" s="347"/>
      <c r="CO27" s="347"/>
      <c r="CP27" s="347"/>
      <c r="CQ27" s="347"/>
      <c r="CR27" s="347"/>
      <c r="CS27" s="347"/>
      <c r="CT27" s="347"/>
      <c r="CU27" s="347"/>
      <c r="CV27" s="347"/>
      <c r="CW27" s="347"/>
      <c r="CX27" s="347"/>
      <c r="CY27" s="347"/>
      <c r="DD27" s="647"/>
      <c r="DE27" s="647"/>
      <c r="DF27" s="647"/>
      <c r="DG27" s="647"/>
      <c r="DH27" s="647"/>
      <c r="DI27" s="647"/>
      <c r="DJ27" s="647"/>
      <c r="DK27" s="647"/>
      <c r="DL27" s="647"/>
      <c r="DM27" s="647"/>
      <c r="DN27" s="647"/>
      <c r="DO27" s="647"/>
      <c r="DP27" s="647"/>
    </row>
    <row r="28" spans="2:152">
      <c r="B28" s="351"/>
      <c r="C28" s="1479"/>
      <c r="D28" s="88"/>
      <c r="E28" s="88"/>
      <c r="F28" s="88"/>
      <c r="G28" s="88"/>
      <c r="H28" s="88"/>
      <c r="I28" s="88"/>
      <c r="J28" s="363"/>
      <c r="K28" s="363"/>
      <c r="L28" s="363"/>
      <c r="M28" s="363"/>
      <c r="N28" s="1123"/>
      <c r="O28" s="1014"/>
      <c r="P28" s="347"/>
      <c r="Q28" s="347"/>
      <c r="R28" s="347"/>
      <c r="S28" s="347"/>
      <c r="T28" s="347"/>
      <c r="U28" s="347"/>
      <c r="V28" s="347"/>
      <c r="W28" s="347"/>
      <c r="X28" s="347"/>
      <c r="Y28" s="347"/>
      <c r="Z28" s="347"/>
      <c r="AA28" s="347"/>
      <c r="AB28" s="347"/>
      <c r="AC28" s="347"/>
      <c r="AD28" s="347"/>
      <c r="AE28" s="347"/>
      <c r="AF28" s="347"/>
      <c r="AG28" s="347"/>
      <c r="AH28" s="347"/>
      <c r="AI28" s="347"/>
      <c r="AJ28" s="347"/>
      <c r="AK28" s="347"/>
      <c r="AL28" s="347"/>
      <c r="AM28" s="347"/>
      <c r="AN28" s="347"/>
      <c r="AO28" s="347"/>
      <c r="AP28" s="347"/>
      <c r="AQ28" s="347"/>
      <c r="AR28" s="347"/>
      <c r="AS28" s="347"/>
      <c r="AT28" s="347"/>
      <c r="AU28" s="347"/>
      <c r="AV28" s="347"/>
      <c r="AW28" s="347"/>
      <c r="AX28" s="347"/>
      <c r="AY28" s="347"/>
      <c r="AZ28" s="347"/>
      <c r="BA28" s="347"/>
      <c r="BB28" s="347"/>
      <c r="BC28" s="347"/>
      <c r="BD28" s="347"/>
      <c r="BE28" s="347"/>
      <c r="BF28" s="347"/>
      <c r="BG28" s="347"/>
      <c r="BH28" s="347"/>
      <c r="BI28" s="347"/>
      <c r="BJ28" s="347"/>
      <c r="BK28" s="347"/>
      <c r="BL28" s="347"/>
      <c r="BM28" s="347"/>
      <c r="BN28" s="347"/>
      <c r="BO28" s="347"/>
      <c r="BP28" s="347"/>
      <c r="BQ28" s="347"/>
      <c r="BR28" s="347"/>
      <c r="BS28" s="347"/>
      <c r="BT28" s="347"/>
      <c r="BU28" s="347"/>
      <c r="BV28" s="347"/>
      <c r="BW28" s="347"/>
      <c r="BX28" s="347"/>
      <c r="BY28" s="347"/>
      <c r="BZ28" s="347"/>
      <c r="CA28" s="347"/>
      <c r="CB28" s="347"/>
      <c r="CC28" s="347"/>
      <c r="CD28" s="347"/>
      <c r="CE28" s="347"/>
      <c r="CF28" s="347"/>
      <c r="CG28" s="347"/>
      <c r="CH28" s="347"/>
      <c r="CI28" s="347"/>
      <c r="CJ28" s="347"/>
      <c r="CK28" s="347"/>
      <c r="CL28" s="347"/>
      <c r="CM28" s="347"/>
      <c r="CN28" s="347"/>
      <c r="CO28" s="347"/>
      <c r="CP28" s="347"/>
      <c r="CQ28" s="347"/>
      <c r="CR28" s="347"/>
      <c r="CS28" s="347"/>
      <c r="CT28" s="347"/>
      <c r="CU28" s="347"/>
      <c r="CV28" s="347"/>
      <c r="CW28" s="347"/>
      <c r="CX28" s="347"/>
      <c r="CY28" s="347"/>
      <c r="DD28" s="647"/>
      <c r="DE28" s="647"/>
      <c r="DF28" s="647"/>
      <c r="DG28" s="647"/>
      <c r="DH28" s="647"/>
      <c r="DI28" s="647"/>
      <c r="DJ28" s="647"/>
      <c r="DK28" s="647"/>
      <c r="DL28" s="647"/>
      <c r="DM28" s="647"/>
      <c r="DN28" s="647"/>
      <c r="DO28" s="647"/>
      <c r="DP28" s="647"/>
    </row>
    <row r="29" spans="2:152">
      <c r="B29" s="351"/>
      <c r="C29" s="1479"/>
      <c r="D29" s="363"/>
      <c r="E29" s="363"/>
      <c r="F29" s="363"/>
      <c r="G29" s="363"/>
      <c r="H29" s="363"/>
      <c r="I29" s="363"/>
      <c r="J29" s="363"/>
      <c r="K29" s="363"/>
      <c r="L29" s="363"/>
      <c r="M29" s="363"/>
      <c r="N29" s="1123"/>
      <c r="O29" s="1014"/>
      <c r="P29" s="347"/>
      <c r="Q29" s="347"/>
      <c r="R29" s="347"/>
      <c r="S29" s="347"/>
      <c r="T29" s="347"/>
      <c r="U29" s="347"/>
      <c r="V29" s="347"/>
      <c r="W29" s="347"/>
      <c r="X29" s="347"/>
      <c r="Y29" s="347"/>
      <c r="Z29" s="347"/>
      <c r="AA29" s="347"/>
      <c r="AB29" s="347"/>
      <c r="AC29" s="347"/>
      <c r="AD29" s="347"/>
      <c r="AE29" s="347"/>
      <c r="AF29" s="347"/>
      <c r="AG29" s="347"/>
      <c r="AH29" s="347"/>
      <c r="AI29" s="347"/>
      <c r="AJ29" s="347"/>
      <c r="AK29" s="347"/>
      <c r="AL29" s="347"/>
      <c r="AM29" s="347"/>
      <c r="AN29" s="347"/>
      <c r="AO29" s="347"/>
      <c r="AP29" s="347"/>
      <c r="AQ29" s="347"/>
      <c r="AR29" s="347"/>
      <c r="AS29" s="347"/>
      <c r="AT29" s="347"/>
      <c r="AU29" s="347"/>
      <c r="AV29" s="347"/>
      <c r="AW29" s="347"/>
      <c r="AX29" s="347"/>
      <c r="AY29" s="347"/>
      <c r="AZ29" s="347"/>
      <c r="BA29" s="347"/>
      <c r="BB29" s="347"/>
      <c r="BC29" s="347"/>
      <c r="BD29" s="347"/>
      <c r="BE29" s="347"/>
      <c r="BF29" s="347"/>
      <c r="BG29" s="347"/>
      <c r="BH29" s="347"/>
      <c r="BI29" s="347"/>
      <c r="BJ29" s="347"/>
      <c r="BK29" s="347"/>
      <c r="BL29" s="347"/>
      <c r="BM29" s="347"/>
      <c r="BN29" s="347"/>
      <c r="BO29" s="347"/>
      <c r="BP29" s="347"/>
      <c r="BQ29" s="347"/>
      <c r="BR29" s="347"/>
      <c r="BS29" s="347"/>
      <c r="BT29" s="347"/>
      <c r="BU29" s="347"/>
      <c r="BV29" s="347"/>
      <c r="BW29" s="347"/>
      <c r="BX29" s="347"/>
      <c r="BY29" s="347"/>
      <c r="BZ29" s="347"/>
      <c r="CA29" s="347"/>
      <c r="CB29" s="347"/>
      <c r="CC29" s="347"/>
      <c r="CD29" s="347"/>
      <c r="CE29" s="347"/>
      <c r="CF29" s="347"/>
      <c r="CG29" s="347"/>
      <c r="CH29" s="347"/>
      <c r="CI29" s="347"/>
      <c r="CJ29" s="347"/>
      <c r="CK29" s="347"/>
      <c r="CL29" s="347"/>
      <c r="CM29" s="347"/>
      <c r="CN29" s="347"/>
      <c r="CO29" s="347"/>
      <c r="CP29" s="347"/>
      <c r="CR29" s="347"/>
      <c r="CS29" s="347"/>
      <c r="CT29" s="347"/>
      <c r="CU29" s="347"/>
      <c r="CV29" s="347"/>
      <c r="CW29" s="347"/>
      <c r="CX29" s="347"/>
      <c r="CY29" s="347"/>
      <c r="DD29" s="647"/>
      <c r="DE29" s="647"/>
      <c r="DF29" s="647"/>
      <c r="DG29" s="647"/>
      <c r="DH29" s="647"/>
      <c r="DI29" s="647"/>
      <c r="DJ29" s="647"/>
      <c r="DK29" s="647"/>
      <c r="DL29" s="647"/>
      <c r="DM29" s="647"/>
      <c r="DN29" s="647"/>
      <c r="DO29" s="647"/>
      <c r="DP29" s="647"/>
      <c r="EF29" s="842"/>
      <c r="EG29" s="842"/>
      <c r="EH29" s="842"/>
      <c r="EI29" s="842"/>
      <c r="EJ29" s="842"/>
      <c r="EK29" s="842"/>
      <c r="EL29" s="842"/>
      <c r="EM29" s="842"/>
      <c r="EO29" s="842"/>
      <c r="EP29" s="842"/>
      <c r="EQ29" s="842"/>
      <c r="ER29" s="842"/>
      <c r="ES29" s="842"/>
      <c r="ET29" s="842"/>
      <c r="EU29" s="842"/>
      <c r="EV29" s="842"/>
    </row>
    <row r="30" spans="2:152">
      <c r="B30" s="351"/>
      <c r="C30" s="356" t="s">
        <v>485</v>
      </c>
      <c r="D30" s="1435">
        <v>80.635863641761844</v>
      </c>
      <c r="E30" s="1436">
        <v>112.3221039301982</v>
      </c>
      <c r="F30" s="1436">
        <v>129.96682378290575</v>
      </c>
      <c r="G30" s="1436">
        <v>140.29860512110415</v>
      </c>
      <c r="H30" s="1436">
        <v>157.91655740021756</v>
      </c>
      <c r="I30" s="1435">
        <v>175.94832753327148</v>
      </c>
      <c r="J30" s="1436">
        <v>195.49751441483352</v>
      </c>
      <c r="K30" s="1436">
        <v>215.22256214434148</v>
      </c>
      <c r="L30" s="1436">
        <v>234.92707998494794</v>
      </c>
      <c r="M30" s="1437">
        <v>255.51406739517921</v>
      </c>
      <c r="N30" s="1123"/>
      <c r="O30" s="1014"/>
      <c r="P30" s="860"/>
      <c r="Q30" s="347"/>
      <c r="R30" s="347"/>
      <c r="S30" s="347"/>
      <c r="T30" s="347"/>
      <c r="U30" s="347"/>
      <c r="V30" s="347"/>
      <c r="W30" s="347"/>
      <c r="X30" s="347"/>
      <c r="Y30" s="347"/>
      <c r="Z30" s="347"/>
      <c r="AA30" s="347"/>
      <c r="AB30" s="347"/>
      <c r="AC30" s="347"/>
      <c r="AD30" s="347"/>
      <c r="AE30" s="347"/>
      <c r="AF30" s="347"/>
      <c r="AG30" s="347"/>
      <c r="AH30" s="347"/>
      <c r="AI30" s="347"/>
      <c r="AJ30" s="347"/>
      <c r="AK30" s="347"/>
      <c r="AL30" s="347"/>
      <c r="AM30" s="347"/>
      <c r="AN30" s="347"/>
      <c r="AO30" s="347"/>
      <c r="AP30" s="347"/>
      <c r="AQ30" s="347"/>
      <c r="AR30" s="347"/>
      <c r="AS30" s="347"/>
      <c r="AT30" s="347"/>
      <c r="AU30" s="347"/>
      <c r="AV30" s="347"/>
      <c r="AW30" s="347"/>
      <c r="AX30" s="347"/>
      <c r="AY30" s="347"/>
      <c r="AZ30" s="347"/>
      <c r="BA30" s="347"/>
      <c r="BB30" s="347"/>
      <c r="BC30" s="347"/>
      <c r="BD30" s="347"/>
      <c r="BE30" s="347"/>
      <c r="BF30" s="347"/>
      <c r="BG30" s="347"/>
      <c r="BH30" s="347"/>
      <c r="BI30" s="347"/>
      <c r="BJ30" s="347"/>
      <c r="BK30" s="347"/>
      <c r="BL30" s="347"/>
      <c r="BM30" s="347"/>
      <c r="BN30" s="347"/>
      <c r="BO30" s="347"/>
      <c r="BP30" s="347"/>
      <c r="BQ30" s="347"/>
      <c r="BR30" s="347"/>
      <c r="BS30" s="347"/>
      <c r="BT30" s="347"/>
      <c r="BU30" s="347"/>
      <c r="BV30" s="347"/>
      <c r="BW30" s="347"/>
      <c r="BX30" s="347"/>
      <c r="BY30" s="347"/>
      <c r="BZ30" s="347"/>
      <c r="CA30" s="347"/>
      <c r="CB30" s="347"/>
      <c r="CC30" s="347"/>
      <c r="CD30" s="347"/>
      <c r="CE30" s="347"/>
      <c r="CF30" s="347"/>
      <c r="CG30" s="347"/>
      <c r="CH30" s="347"/>
      <c r="CI30" s="347"/>
      <c r="CJ30" s="347"/>
      <c r="CK30" s="347"/>
      <c r="CL30" s="347"/>
      <c r="CM30" s="347"/>
      <c r="CN30" s="347"/>
      <c r="CO30" s="347"/>
      <c r="CP30" s="347"/>
      <c r="CR30" s="347"/>
      <c r="CS30" s="347"/>
      <c r="CT30" s="347"/>
      <c r="CU30" s="347"/>
      <c r="CV30" s="347"/>
      <c r="CW30" s="347"/>
      <c r="CX30" s="347"/>
      <c r="CY30" s="347"/>
      <c r="DD30" s="647"/>
      <c r="DE30" s="647"/>
      <c r="DF30" s="647"/>
      <c r="DG30" s="647"/>
      <c r="DH30" s="647"/>
      <c r="DI30" s="647"/>
      <c r="DJ30" s="647"/>
      <c r="DK30" s="647"/>
      <c r="DL30" s="647"/>
      <c r="DM30" s="647"/>
      <c r="DN30" s="647"/>
      <c r="DO30" s="647"/>
      <c r="DP30" s="647"/>
      <c r="EF30" s="842"/>
      <c r="EG30" s="842"/>
      <c r="EH30" s="842"/>
      <c r="EI30" s="842"/>
      <c r="EJ30" s="842"/>
      <c r="EK30" s="842"/>
      <c r="EL30" s="842"/>
      <c r="EM30" s="842"/>
      <c r="EO30" s="842"/>
      <c r="EP30" s="842"/>
      <c r="EQ30" s="842"/>
      <c r="ER30" s="842"/>
      <c r="ES30" s="842"/>
      <c r="ET30" s="842"/>
      <c r="EU30" s="842"/>
      <c r="EV30" s="842"/>
    </row>
    <row r="31" spans="2:152">
      <c r="B31" s="351"/>
      <c r="C31" s="353"/>
      <c r="D31" s="363"/>
      <c r="E31" s="363"/>
      <c r="F31" s="363"/>
      <c r="G31" s="363"/>
      <c r="H31" s="1854">
        <f>SUM(D30:H30)</f>
        <v>621.13995387618752</v>
      </c>
      <c r="I31" s="353"/>
      <c r="J31" s="353"/>
      <c r="K31" s="353"/>
      <c r="L31" s="353"/>
      <c r="M31" s="1854">
        <f>SUM(I30:M30)</f>
        <v>1077.1095514725737</v>
      </c>
      <c r="N31" s="1123"/>
      <c r="O31" s="1014"/>
      <c r="P31" s="347"/>
      <c r="Q31" s="347"/>
      <c r="R31" s="347"/>
      <c r="S31" s="347"/>
      <c r="T31" s="347"/>
      <c r="U31" s="347"/>
      <c r="V31" s="347"/>
      <c r="W31" s="347"/>
      <c r="X31" s="347"/>
      <c r="Y31" s="347"/>
      <c r="Z31" s="347"/>
      <c r="AA31" s="347"/>
      <c r="AB31" s="347"/>
      <c r="AC31" s="347"/>
      <c r="AD31" s="347"/>
      <c r="AE31" s="347"/>
      <c r="AF31" s="347"/>
      <c r="AG31" s="347"/>
      <c r="AH31" s="347"/>
      <c r="AI31" s="347"/>
      <c r="AJ31" s="347"/>
      <c r="AK31" s="347"/>
      <c r="AL31" s="347"/>
      <c r="AM31" s="347"/>
      <c r="AN31" s="347"/>
      <c r="AO31" s="347"/>
      <c r="AP31" s="347"/>
      <c r="AQ31" s="347"/>
      <c r="AR31" s="347"/>
      <c r="AS31" s="347"/>
      <c r="AT31" s="347"/>
      <c r="AU31" s="347"/>
      <c r="AV31" s="347"/>
      <c r="AW31" s="347"/>
      <c r="AX31" s="347"/>
      <c r="AY31" s="347"/>
      <c r="AZ31" s="347"/>
      <c r="BA31" s="347"/>
      <c r="BB31" s="347"/>
      <c r="BC31" s="347"/>
      <c r="BD31" s="347"/>
      <c r="BE31" s="347"/>
      <c r="BF31" s="347"/>
      <c r="BG31" s="347"/>
      <c r="BH31" s="347"/>
      <c r="BI31" s="347"/>
      <c r="BJ31" s="347"/>
      <c r="BK31" s="347"/>
      <c r="BL31" s="347"/>
      <c r="BM31" s="347"/>
      <c r="BN31" s="347"/>
      <c r="BO31" s="347"/>
      <c r="BP31" s="347"/>
      <c r="BQ31" s="347"/>
      <c r="BR31" s="347"/>
      <c r="BS31" s="347"/>
      <c r="BT31" s="347"/>
      <c r="BU31" s="347"/>
      <c r="BV31" s="347"/>
      <c r="BW31" s="347"/>
      <c r="BX31" s="347"/>
      <c r="BY31" s="347"/>
      <c r="BZ31" s="347"/>
      <c r="CA31" s="347"/>
      <c r="CB31" s="347"/>
      <c r="CC31" s="347"/>
      <c r="CD31" s="347"/>
      <c r="CE31" s="347"/>
      <c r="CF31" s="347"/>
      <c r="CG31" s="347"/>
      <c r="CH31" s="347"/>
      <c r="CI31" s="347"/>
      <c r="CJ31" s="347"/>
      <c r="CK31" s="347"/>
      <c r="CL31" s="347"/>
      <c r="CM31" s="347"/>
      <c r="CN31" s="347"/>
      <c r="CO31" s="347"/>
      <c r="CP31" s="347"/>
      <c r="CR31" s="347"/>
      <c r="CS31" s="347"/>
      <c r="CT31" s="347"/>
      <c r="CU31" s="347"/>
      <c r="CV31" s="347"/>
      <c r="CW31" s="347"/>
      <c r="CX31" s="347"/>
      <c r="CY31" s="347"/>
      <c r="DD31" s="647"/>
      <c r="DE31" s="647"/>
      <c r="DF31" s="647"/>
      <c r="DG31" s="647"/>
      <c r="DH31" s="647"/>
      <c r="DI31" s="647"/>
      <c r="DJ31" s="647"/>
      <c r="DK31" s="647"/>
      <c r="DL31" s="647"/>
      <c r="DM31" s="647"/>
      <c r="DN31" s="647"/>
      <c r="DO31" s="647"/>
      <c r="DP31" s="647"/>
      <c r="EF31" s="842"/>
      <c r="EG31" s="842"/>
      <c r="EH31" s="842"/>
      <c r="EI31" s="842"/>
      <c r="EJ31" s="842"/>
      <c r="EK31" s="842"/>
      <c r="EL31" s="842"/>
      <c r="EM31" s="842"/>
      <c r="EO31" s="842"/>
      <c r="EP31" s="842"/>
      <c r="EQ31" s="842"/>
      <c r="ER31" s="842"/>
      <c r="ES31" s="842"/>
      <c r="ET31" s="842"/>
      <c r="EU31" s="842"/>
      <c r="EV31" s="842"/>
    </row>
    <row r="32" spans="2:152">
      <c r="B32" s="351"/>
      <c r="C32" s="353"/>
      <c r="D32" s="363"/>
      <c r="E32" s="363"/>
      <c r="F32" s="363"/>
      <c r="G32" s="363"/>
      <c r="H32" s="363"/>
      <c r="I32" s="363"/>
      <c r="J32" s="363"/>
      <c r="K32" s="363"/>
      <c r="L32" s="363"/>
      <c r="M32" s="363"/>
      <c r="N32" s="1123"/>
      <c r="O32" s="1014"/>
      <c r="P32" s="347"/>
      <c r="Q32" s="347"/>
      <c r="R32" s="347"/>
      <c r="S32" s="347"/>
      <c r="T32" s="347"/>
      <c r="U32" s="347"/>
      <c r="V32" s="347"/>
      <c r="W32" s="347"/>
      <c r="X32" s="347"/>
      <c r="Y32" s="347"/>
      <c r="Z32" s="347"/>
      <c r="AA32" s="347"/>
      <c r="AB32" s="347"/>
      <c r="AC32" s="347"/>
      <c r="AD32" s="347"/>
      <c r="AE32" s="347"/>
      <c r="AF32" s="347"/>
      <c r="AG32" s="347"/>
      <c r="AH32" s="347"/>
      <c r="AI32" s="347"/>
      <c r="AJ32" s="347"/>
      <c r="AK32" s="347"/>
      <c r="AL32" s="347"/>
      <c r="AM32" s="347"/>
      <c r="AN32" s="347"/>
      <c r="AO32" s="347"/>
      <c r="AP32" s="347"/>
      <c r="AQ32" s="347"/>
      <c r="AR32" s="347"/>
      <c r="AS32" s="347"/>
      <c r="AT32" s="347"/>
      <c r="AU32" s="347"/>
      <c r="AV32" s="347"/>
      <c r="AW32" s="347"/>
      <c r="AX32" s="347"/>
      <c r="AY32" s="347"/>
      <c r="AZ32" s="347"/>
      <c r="BA32" s="347"/>
      <c r="BB32" s="347"/>
      <c r="BC32" s="347"/>
      <c r="BD32" s="347"/>
      <c r="BE32" s="347"/>
      <c r="BF32" s="347"/>
      <c r="BG32" s="347"/>
      <c r="BH32" s="347"/>
      <c r="BI32" s="347"/>
      <c r="BJ32" s="347"/>
      <c r="BK32" s="347"/>
      <c r="BL32" s="347"/>
      <c r="BM32" s="347"/>
      <c r="BN32" s="347"/>
      <c r="BO32" s="347"/>
      <c r="BP32" s="347"/>
      <c r="BQ32" s="347"/>
      <c r="BR32" s="347"/>
      <c r="BS32" s="347"/>
      <c r="BT32" s="347"/>
      <c r="BU32" s="347"/>
      <c r="BV32" s="347"/>
      <c r="BW32" s="347"/>
      <c r="BX32" s="347"/>
      <c r="BY32" s="347"/>
      <c r="BZ32" s="347"/>
      <c r="CA32" s="347"/>
      <c r="CB32" s="347"/>
      <c r="CC32" s="347"/>
      <c r="CD32" s="347"/>
      <c r="CE32" s="347"/>
      <c r="CF32" s="347"/>
      <c r="CG32" s="347"/>
      <c r="CH32" s="347"/>
      <c r="CI32" s="347"/>
      <c r="CJ32" s="347"/>
      <c r="CK32" s="347"/>
      <c r="CL32" s="347"/>
      <c r="CM32" s="347"/>
      <c r="CN32" s="347"/>
      <c r="CO32" s="347"/>
      <c r="CP32" s="347"/>
      <c r="CR32" s="347"/>
      <c r="CS32" s="347"/>
      <c r="CT32" s="347"/>
      <c r="CU32" s="347"/>
      <c r="CV32" s="347"/>
      <c r="CW32" s="347"/>
      <c r="CX32" s="347"/>
      <c r="CY32" s="347"/>
      <c r="DD32" s="647"/>
      <c r="DE32" s="647"/>
      <c r="DF32" s="647"/>
      <c r="DG32" s="647"/>
      <c r="DH32" s="647"/>
      <c r="DI32" s="647"/>
      <c r="DJ32" s="647"/>
      <c r="DK32" s="647"/>
      <c r="DL32" s="647"/>
      <c r="DM32" s="647"/>
      <c r="DN32" s="647"/>
      <c r="DO32" s="647"/>
      <c r="DP32" s="647"/>
      <c r="EF32" s="842"/>
      <c r="EG32" s="842"/>
      <c r="EH32" s="842"/>
      <c r="EI32" s="842"/>
      <c r="EJ32" s="842"/>
      <c r="EK32" s="842"/>
      <c r="EL32" s="842"/>
      <c r="EM32" s="842"/>
      <c r="EO32" s="842"/>
      <c r="EP32" s="842"/>
      <c r="EQ32" s="842"/>
      <c r="ER32" s="842"/>
      <c r="ES32" s="842"/>
      <c r="ET32" s="842"/>
      <c r="EU32" s="842"/>
      <c r="EV32" s="842"/>
    </row>
    <row r="33" spans="2:174" ht="12.75" thickBot="1">
      <c r="B33" s="351"/>
      <c r="C33" s="356" t="s">
        <v>479</v>
      </c>
      <c r="D33" s="1034">
        <f>+D23+D30</f>
        <v>1427.8676842478521</v>
      </c>
      <c r="E33" s="1034">
        <f t="shared" ref="E33:M33" si="17">+E23+E30</f>
        <v>1570.1642503938085</v>
      </c>
      <c r="F33" s="1034">
        <f t="shared" si="17"/>
        <v>1607.4161999295402</v>
      </c>
      <c r="G33" s="1034">
        <f t="shared" si="17"/>
        <v>1650.5477325991496</v>
      </c>
      <c r="H33" s="1852">
        <f t="shared" si="17"/>
        <v>1600.0870518966058</v>
      </c>
      <c r="I33" s="1034">
        <f t="shared" si="17"/>
        <v>1822.431846686201</v>
      </c>
      <c r="J33" s="1034">
        <f t="shared" si="17"/>
        <v>1894.5863492533363</v>
      </c>
      <c r="K33" s="1034">
        <f t="shared" si="17"/>
        <v>1729.8126501350996</v>
      </c>
      <c r="L33" s="1034">
        <f t="shared" si="17"/>
        <v>1971.4744774702956</v>
      </c>
      <c r="M33" s="1034">
        <f t="shared" si="17"/>
        <v>2094.9713055918778</v>
      </c>
      <c r="N33" s="1123"/>
      <c r="O33" s="1014"/>
      <c r="P33" s="347"/>
      <c r="Q33" s="347"/>
      <c r="R33" s="347"/>
      <c r="S33" s="347"/>
      <c r="T33" s="347"/>
      <c r="U33" s="347"/>
      <c r="V33" s="347"/>
      <c r="W33" s="347"/>
      <c r="X33" s="347"/>
      <c r="Y33" s="347"/>
      <c r="Z33" s="347"/>
      <c r="AA33" s="347"/>
      <c r="AB33" s="347"/>
      <c r="AC33" s="347"/>
      <c r="AD33" s="347"/>
      <c r="AE33" s="347"/>
      <c r="AF33" s="347"/>
      <c r="AG33" s="347"/>
      <c r="AH33" s="347"/>
      <c r="AI33" s="347"/>
      <c r="AJ33" s="347"/>
      <c r="AK33" s="347"/>
      <c r="AL33" s="347"/>
      <c r="AM33" s="347"/>
      <c r="AN33" s="347"/>
      <c r="AO33" s="347"/>
      <c r="AP33" s="347"/>
      <c r="AQ33" s="347"/>
      <c r="AR33" s="347"/>
      <c r="AS33" s="347"/>
      <c r="AT33" s="347"/>
      <c r="AU33" s="347"/>
      <c r="AV33" s="347"/>
      <c r="AW33" s="347"/>
      <c r="AX33" s="347"/>
      <c r="AY33" s="347"/>
      <c r="AZ33" s="347"/>
      <c r="BA33" s="347"/>
      <c r="BB33" s="347"/>
      <c r="BC33" s="347"/>
      <c r="BD33" s="347"/>
      <c r="BE33" s="347"/>
      <c r="BF33" s="347"/>
      <c r="BG33" s="347"/>
      <c r="BH33" s="347"/>
      <c r="BI33" s="347"/>
      <c r="BJ33" s="347"/>
      <c r="BK33" s="347"/>
      <c r="BL33" s="347"/>
      <c r="BM33" s="347"/>
      <c r="BN33" s="347"/>
      <c r="BO33" s="347"/>
      <c r="BP33" s="347"/>
      <c r="BQ33" s="347"/>
      <c r="BR33" s="347"/>
      <c r="BS33" s="347"/>
      <c r="BT33" s="347"/>
      <c r="BU33" s="347"/>
      <c r="BV33" s="347"/>
      <c r="BW33" s="347"/>
      <c r="BX33" s="347"/>
      <c r="BY33" s="347"/>
      <c r="BZ33" s="347"/>
      <c r="CA33" s="347"/>
      <c r="CB33" s="347"/>
      <c r="CC33" s="347"/>
      <c r="CD33" s="347"/>
      <c r="CE33" s="347"/>
      <c r="CF33" s="347"/>
      <c r="CG33" s="347"/>
      <c r="CH33" s="347"/>
      <c r="CI33" s="347"/>
      <c r="CJ33" s="347"/>
      <c r="CK33" s="347"/>
      <c r="CL33" s="347"/>
      <c r="CM33" s="347"/>
      <c r="CN33" s="347"/>
      <c r="CO33" s="347"/>
      <c r="CP33" s="347"/>
      <c r="CQ33" s="347"/>
      <c r="CR33" s="347"/>
      <c r="CS33" s="347"/>
      <c r="CT33" s="347"/>
      <c r="CU33" s="347"/>
      <c r="CV33" s="347"/>
      <c r="CW33" s="347"/>
      <c r="CX33" s="347"/>
      <c r="CY33" s="347"/>
      <c r="DB33" s="89"/>
      <c r="DD33" s="647"/>
      <c r="DE33" s="647"/>
      <c r="DF33" s="647"/>
      <c r="DG33" s="647"/>
      <c r="DH33" s="647"/>
      <c r="DI33" s="647"/>
      <c r="DJ33" s="647"/>
      <c r="DK33" s="647"/>
      <c r="DL33" s="647"/>
      <c r="DM33" s="647"/>
      <c r="DN33" s="647"/>
      <c r="DO33" s="647"/>
      <c r="DP33" s="647"/>
    </row>
    <row r="34" spans="2:174">
      <c r="B34" s="351"/>
      <c r="C34" s="353"/>
      <c r="D34" s="1033"/>
      <c r="E34" s="1033"/>
      <c r="F34" s="1033"/>
      <c r="G34" s="1033"/>
      <c r="H34" s="1854">
        <f>SUM(D33:H33)</f>
        <v>7856.0829190669565</v>
      </c>
      <c r="I34" s="353"/>
      <c r="J34" s="353"/>
      <c r="K34" s="353"/>
      <c r="L34" s="353"/>
      <c r="M34" s="1854">
        <f>SUM(I33:M33)</f>
        <v>9513.2766291368098</v>
      </c>
      <c r="N34" s="1123"/>
      <c r="O34" s="1014"/>
      <c r="P34" s="347"/>
      <c r="Q34" s="347"/>
      <c r="R34" s="347"/>
      <c r="S34" s="347"/>
      <c r="T34" s="347"/>
      <c r="U34" s="347"/>
      <c r="V34" s="347"/>
      <c r="W34" s="347"/>
      <c r="X34" s="347"/>
      <c r="Y34" s="347"/>
      <c r="Z34" s="347"/>
      <c r="AA34" s="347"/>
      <c r="AB34" s="347"/>
      <c r="AC34" s="347"/>
      <c r="AD34" s="347"/>
      <c r="AE34" s="347"/>
      <c r="AF34" s="347"/>
      <c r="AG34" s="347"/>
      <c r="AH34" s="347"/>
      <c r="AI34" s="347"/>
      <c r="AJ34" s="347"/>
      <c r="AK34" s="347"/>
      <c r="AL34" s="347"/>
      <c r="AM34" s="347"/>
      <c r="AN34" s="347"/>
      <c r="AO34" s="347"/>
      <c r="AP34" s="347"/>
      <c r="AQ34" s="347"/>
      <c r="AR34" s="347"/>
      <c r="AS34" s="347"/>
      <c r="AT34" s="347"/>
      <c r="AU34" s="347"/>
      <c r="AV34" s="347"/>
      <c r="AW34" s="347"/>
      <c r="AX34" s="347"/>
      <c r="AY34" s="347"/>
      <c r="AZ34" s="347"/>
      <c r="BA34" s="347"/>
      <c r="BB34" s="347"/>
      <c r="BC34" s="347"/>
      <c r="BD34" s="347"/>
      <c r="BE34" s="347"/>
      <c r="BF34" s="347"/>
      <c r="BG34" s="347"/>
      <c r="BH34" s="347"/>
      <c r="BI34" s="347"/>
      <c r="BJ34" s="347"/>
      <c r="BK34" s="347"/>
      <c r="BL34" s="347"/>
      <c r="BM34" s="347"/>
      <c r="BN34" s="347"/>
      <c r="BO34" s="347"/>
      <c r="BP34" s="347"/>
      <c r="BQ34" s="347"/>
      <c r="BR34" s="347"/>
      <c r="BS34" s="347"/>
      <c r="BT34" s="347"/>
      <c r="BU34" s="347"/>
      <c r="BV34" s="347"/>
      <c r="BW34" s="347"/>
      <c r="BX34" s="347"/>
      <c r="BY34" s="347"/>
      <c r="BZ34" s="347"/>
      <c r="CA34" s="347"/>
      <c r="CB34" s="347"/>
      <c r="CC34" s="347"/>
      <c r="CD34" s="347"/>
      <c r="CE34" s="347"/>
      <c r="CF34" s="347"/>
      <c r="CG34" s="347"/>
      <c r="CH34" s="347"/>
      <c r="CI34" s="347"/>
      <c r="CJ34" s="347"/>
      <c r="CK34" s="347"/>
      <c r="CL34" s="347"/>
      <c r="CM34" s="347"/>
      <c r="CN34" s="347"/>
      <c r="CO34" s="347"/>
      <c r="CP34" s="347"/>
      <c r="CQ34" s="347"/>
      <c r="CR34" s="347"/>
      <c r="CS34" s="347"/>
      <c r="CT34" s="347"/>
      <c r="CU34" s="347"/>
      <c r="CV34" s="347"/>
      <c r="CW34" s="347"/>
      <c r="CX34" s="347"/>
      <c r="CY34" s="347"/>
      <c r="DD34" s="647"/>
      <c r="DE34" s="647"/>
      <c r="DF34" s="647"/>
      <c r="DG34" s="647"/>
      <c r="DH34" s="647"/>
      <c r="DI34" s="647"/>
      <c r="DJ34" s="647"/>
      <c r="DK34" s="647"/>
      <c r="DL34" s="647"/>
      <c r="DM34" s="647"/>
      <c r="DN34" s="647"/>
      <c r="DO34" s="647"/>
      <c r="DP34" s="647"/>
    </row>
    <row r="35" spans="2:174">
      <c r="B35" s="351"/>
      <c r="C35" s="353"/>
      <c r="D35" s="1033"/>
      <c r="E35" s="1033"/>
      <c r="F35" s="1033"/>
      <c r="G35" s="1033"/>
      <c r="H35" s="1033"/>
      <c r="I35" s="1033"/>
      <c r="J35" s="1033"/>
      <c r="K35" s="1033"/>
      <c r="L35" s="1033"/>
      <c r="M35" s="1033"/>
      <c r="N35" s="1123"/>
      <c r="O35" s="1014"/>
      <c r="P35" s="347"/>
      <c r="Q35" s="347"/>
      <c r="R35" s="347"/>
      <c r="S35" s="347"/>
      <c r="T35" s="347"/>
      <c r="U35" s="347"/>
      <c r="V35" s="347"/>
      <c r="W35" s="347"/>
      <c r="X35" s="347"/>
      <c r="Y35" s="347"/>
      <c r="Z35" s="347"/>
      <c r="AA35" s="347"/>
      <c r="AB35" s="347"/>
      <c r="AC35" s="347"/>
      <c r="AD35" s="347"/>
      <c r="AE35" s="347"/>
      <c r="AF35" s="347"/>
      <c r="AG35" s="347"/>
      <c r="AH35" s="347"/>
      <c r="AI35" s="347"/>
      <c r="AJ35" s="347"/>
      <c r="AK35" s="347"/>
      <c r="AL35" s="347"/>
      <c r="AM35" s="347"/>
      <c r="AN35" s="347"/>
      <c r="AO35" s="1077"/>
      <c r="AP35" s="347"/>
      <c r="AQ35" s="347"/>
      <c r="AR35" s="347"/>
      <c r="AS35" s="347"/>
      <c r="AT35" s="347"/>
      <c r="AU35" s="347"/>
      <c r="AV35" s="347"/>
      <c r="AW35" s="347"/>
      <c r="AX35" s="347"/>
      <c r="AY35" s="347"/>
      <c r="AZ35" s="347"/>
      <c r="BA35" s="347"/>
      <c r="BB35" s="347"/>
      <c r="BC35" s="347"/>
      <c r="BD35" s="347"/>
      <c r="BE35" s="347"/>
      <c r="BF35" s="347"/>
      <c r="BG35" s="347"/>
      <c r="BH35" s="347"/>
      <c r="BI35" s="347"/>
      <c r="BJ35" s="347"/>
      <c r="BK35" s="347"/>
      <c r="BL35" s="347"/>
      <c r="BM35" s="347"/>
      <c r="BN35" s="347"/>
      <c r="BO35" s="347"/>
      <c r="BP35" s="347"/>
      <c r="BQ35" s="347"/>
      <c r="BR35" s="347"/>
      <c r="BS35" s="347"/>
      <c r="BT35" s="347"/>
      <c r="BU35" s="347"/>
      <c r="BV35" s="347"/>
      <c r="BW35" s="347"/>
      <c r="BX35" s="347"/>
      <c r="BY35" s="347"/>
      <c r="BZ35" s="347"/>
      <c r="CA35" s="347"/>
      <c r="CB35" s="347"/>
      <c r="CC35" s="347"/>
      <c r="CD35" s="347"/>
      <c r="CE35" s="347"/>
      <c r="CF35" s="347"/>
      <c r="CG35" s="347"/>
      <c r="CH35" s="347"/>
      <c r="CI35" s="347"/>
      <c r="CJ35" s="347"/>
      <c r="CK35" s="347"/>
      <c r="CL35" s="347"/>
      <c r="CM35" s="347"/>
      <c r="CN35" s="347"/>
      <c r="CO35" s="347"/>
      <c r="CP35" s="347"/>
      <c r="CQ35" s="347"/>
      <c r="CR35" s="347"/>
      <c r="CS35" s="347"/>
      <c r="CT35" s="347"/>
      <c r="CU35" s="347"/>
      <c r="CV35" s="347"/>
      <c r="CW35" s="347"/>
      <c r="CX35" s="347"/>
      <c r="CY35" s="347"/>
      <c r="DD35" s="647"/>
      <c r="DE35" s="647"/>
      <c r="DF35" s="647"/>
      <c r="DG35" s="647"/>
      <c r="DH35" s="647"/>
      <c r="DI35" s="647"/>
      <c r="DJ35" s="647"/>
      <c r="DK35" s="647"/>
      <c r="DL35" s="647"/>
      <c r="DM35" s="647"/>
      <c r="DN35" s="647"/>
      <c r="DO35" s="647"/>
      <c r="DP35" s="647"/>
    </row>
    <row r="36" spans="2:174" ht="12.75" thickBot="1">
      <c r="B36" s="351"/>
      <c r="C36" s="356" t="s">
        <v>486</v>
      </c>
      <c r="D36" s="1034">
        <f t="shared" ref="D36:M36" ca="1" si="18">+BI45</f>
        <v>11.776887732885603</v>
      </c>
      <c r="E36" s="1034">
        <f t="shared" ca="1" si="18"/>
        <v>35.7177385894719</v>
      </c>
      <c r="F36" s="1034">
        <f t="shared" ca="1" si="18"/>
        <v>61.852731969888538</v>
      </c>
      <c r="G36" s="1034">
        <f t="shared" ca="1" si="18"/>
        <v>92.630278008470199</v>
      </c>
      <c r="H36" s="1852">
        <f t="shared" ca="1" si="18"/>
        <v>122.76043987639608</v>
      </c>
      <c r="I36" s="1034">
        <f t="shared" ca="1" si="18"/>
        <v>153.52416972761156</v>
      </c>
      <c r="J36" s="1034">
        <f t="shared" ca="1" si="18"/>
        <v>188.83077279996027</v>
      </c>
      <c r="K36" s="1034">
        <f t="shared" ca="1" si="18"/>
        <v>225.97786674549153</v>
      </c>
      <c r="L36" s="1034">
        <f t="shared" ca="1" si="18"/>
        <v>260.27815631699474</v>
      </c>
      <c r="M36" s="1034">
        <f t="shared" ca="1" si="18"/>
        <v>294.10120829608911</v>
      </c>
      <c r="N36" s="1123"/>
      <c r="O36" s="1014"/>
      <c r="P36" s="347"/>
      <c r="Q36" s="347"/>
      <c r="R36" s="347"/>
      <c r="S36" s="347"/>
      <c r="T36" s="347"/>
      <c r="U36" s="347"/>
      <c r="V36" s="347"/>
      <c r="W36" s="347"/>
      <c r="X36" s="347"/>
      <c r="Y36" s="347"/>
      <c r="Z36" s="347"/>
      <c r="AA36" s="347"/>
      <c r="AB36" s="347"/>
      <c r="AC36" s="347"/>
      <c r="AD36" s="347"/>
      <c r="AE36" s="347"/>
      <c r="AF36" s="347"/>
      <c r="AG36" s="347"/>
      <c r="AH36" s="347"/>
      <c r="AI36" s="347"/>
      <c r="AJ36" s="347"/>
      <c r="AK36" s="347"/>
      <c r="AL36" s="347"/>
      <c r="AM36" s="347"/>
      <c r="AN36" s="347"/>
      <c r="AO36" s="1077"/>
      <c r="AP36" s="347"/>
      <c r="AQ36" s="347"/>
      <c r="AR36" s="347"/>
      <c r="AS36" s="347"/>
      <c r="AT36" s="347"/>
      <c r="AU36" s="347"/>
      <c r="AV36" s="347"/>
      <c r="AW36" s="347"/>
      <c r="AX36" s="347"/>
      <c r="AY36" s="347"/>
      <c r="AZ36" s="347"/>
      <c r="BA36" s="347"/>
      <c r="BB36" s="347"/>
      <c r="BC36" s="347"/>
      <c r="BD36" s="347"/>
      <c r="BE36" s="347"/>
      <c r="BF36" s="347"/>
      <c r="BG36" s="347"/>
      <c r="BH36" s="347"/>
      <c r="BI36" s="347"/>
      <c r="BK36" s="347"/>
      <c r="BL36" s="347"/>
      <c r="BM36" s="347"/>
      <c r="BN36" s="347"/>
      <c r="BO36" s="347"/>
      <c r="BP36" s="347"/>
      <c r="BQ36" s="347"/>
      <c r="BR36" s="347"/>
      <c r="BS36" s="347"/>
      <c r="BT36" s="347"/>
      <c r="BU36" s="347"/>
      <c r="BV36" s="347"/>
      <c r="BW36" s="347"/>
      <c r="BX36" s="347"/>
      <c r="BY36" s="347"/>
      <c r="BZ36" s="347"/>
      <c r="CA36" s="347"/>
      <c r="CB36" s="347"/>
      <c r="CC36" s="347"/>
      <c r="CD36" s="347"/>
      <c r="CE36" s="347"/>
      <c r="CF36" s="347"/>
      <c r="CG36" s="347"/>
      <c r="CH36" s="347"/>
      <c r="CI36" s="347"/>
      <c r="CJ36" s="347"/>
      <c r="CK36" s="347"/>
      <c r="CL36" s="347"/>
      <c r="CM36" s="347"/>
      <c r="CN36" s="347"/>
      <c r="CO36" s="347"/>
      <c r="CP36" s="347"/>
      <c r="CQ36" s="347"/>
      <c r="CR36" s="347"/>
      <c r="CS36" s="347"/>
      <c r="CT36" s="347"/>
      <c r="CU36" s="347"/>
      <c r="CV36" s="347"/>
      <c r="CW36" s="347"/>
      <c r="CX36" s="347"/>
      <c r="CY36" s="347"/>
    </row>
    <row r="37" spans="2:174">
      <c r="B37" s="351"/>
      <c r="C37" s="93"/>
      <c r="D37" s="353"/>
      <c r="E37" s="353"/>
      <c r="F37" s="353"/>
      <c r="G37" s="358"/>
      <c r="H37" s="1854">
        <f ca="1">SUM(D36:H36)</f>
        <v>324.73807617711236</v>
      </c>
      <c r="I37" s="353"/>
      <c r="J37" s="353"/>
      <c r="K37" s="353"/>
      <c r="L37" s="353"/>
      <c r="M37" s="1854">
        <f ca="1">SUM(I36:M36)</f>
        <v>1122.7121738861474</v>
      </c>
      <c r="N37" s="1123"/>
      <c r="O37" s="1015"/>
      <c r="P37" s="358"/>
      <c r="Q37" s="347"/>
      <c r="R37" s="347"/>
      <c r="S37" s="347"/>
      <c r="T37" s="347"/>
      <c r="U37" s="347"/>
      <c r="V37" s="347"/>
      <c r="W37" s="347"/>
      <c r="X37" s="347"/>
      <c r="Y37" s="347"/>
      <c r="Z37" s="347"/>
      <c r="AA37" s="347"/>
      <c r="AB37" s="347"/>
      <c r="AC37" s="347"/>
      <c r="AD37" s="347"/>
      <c r="AE37" s="347"/>
      <c r="AF37" s="347"/>
      <c r="AG37" s="347"/>
      <c r="AH37" s="347"/>
      <c r="AI37" s="347"/>
      <c r="AJ37" s="347"/>
      <c r="AK37" s="347"/>
      <c r="AL37" s="347"/>
      <c r="AM37" s="347"/>
      <c r="AN37" s="347"/>
      <c r="AO37" s="1077"/>
      <c r="AP37" s="347"/>
      <c r="AQ37" s="347"/>
      <c r="AR37" s="347"/>
      <c r="AS37" s="347"/>
      <c r="AT37" s="347"/>
      <c r="AU37" s="347"/>
      <c r="AV37" s="347"/>
      <c r="AW37" s="347"/>
      <c r="AX37" s="347"/>
      <c r="AY37" s="347"/>
      <c r="AZ37" s="347"/>
      <c r="BA37" s="347"/>
      <c r="BB37" s="347"/>
      <c r="BC37" s="347"/>
      <c r="BD37" s="347"/>
      <c r="BE37" s="347"/>
      <c r="BF37" s="347"/>
      <c r="BG37" s="347"/>
      <c r="BH37" s="347"/>
      <c r="BI37" s="347"/>
      <c r="BJ37" s="347"/>
      <c r="BK37" s="347"/>
      <c r="BL37" s="347"/>
      <c r="BM37" s="347"/>
      <c r="BN37" s="347"/>
      <c r="BO37" s="347"/>
      <c r="BP37" s="347"/>
      <c r="BQ37" s="347"/>
      <c r="BR37" s="347"/>
      <c r="BS37" s="347"/>
      <c r="BT37" s="347"/>
      <c r="BU37" s="347"/>
      <c r="BV37" s="347"/>
      <c r="BW37" s="347"/>
      <c r="BX37" s="347"/>
      <c r="BY37" s="347"/>
      <c r="BZ37" s="347"/>
      <c r="CA37" s="347"/>
      <c r="CB37" s="347"/>
      <c r="CC37" s="347"/>
      <c r="CD37" s="347"/>
      <c r="CE37" s="347"/>
      <c r="CF37" s="347"/>
      <c r="CG37" s="347"/>
      <c r="CH37" s="347"/>
      <c r="CI37" s="347"/>
      <c r="CJ37" s="347"/>
      <c r="CK37" s="347"/>
      <c r="CL37" s="347"/>
      <c r="CM37" s="347"/>
      <c r="CN37" s="347"/>
      <c r="CO37" s="347"/>
      <c r="CP37" s="347"/>
      <c r="CQ37" s="347"/>
      <c r="CR37" s="347"/>
      <c r="CS37" s="347"/>
      <c r="CU37" s="347"/>
      <c r="CV37" s="347"/>
      <c r="CW37" s="347"/>
      <c r="CX37" s="347"/>
      <c r="CY37" s="347"/>
    </row>
    <row r="38" spans="2:174" ht="12.75" thickBot="1">
      <c r="B38" s="364"/>
      <c r="C38" s="365"/>
      <c r="D38" s="366"/>
      <c r="E38" s="366"/>
      <c r="F38" s="366"/>
      <c r="G38" s="367"/>
      <c r="H38" s="367"/>
      <c r="I38" s="367"/>
      <c r="J38" s="367"/>
      <c r="K38" s="367"/>
      <c r="L38" s="367"/>
      <c r="M38" s="1131"/>
      <c r="N38" s="1124"/>
      <c r="O38" s="1015"/>
      <c r="P38" s="368"/>
      <c r="Q38" s="368"/>
      <c r="R38" s="368"/>
      <c r="S38" s="368"/>
      <c r="T38" s="368"/>
      <c r="U38" s="368"/>
      <c r="V38" s="368"/>
      <c r="W38" s="368"/>
      <c r="X38" s="368"/>
      <c r="Y38" s="368"/>
      <c r="Z38" s="347"/>
      <c r="AA38" s="347"/>
      <c r="AB38" s="347"/>
      <c r="AC38" s="347"/>
      <c r="AD38" s="347"/>
      <c r="AE38" s="347"/>
      <c r="AF38" s="347"/>
      <c r="AG38" s="347"/>
      <c r="AH38" s="347"/>
      <c r="AI38" s="347"/>
      <c r="AJ38" s="347"/>
      <c r="AK38" s="347"/>
      <c r="AL38" s="347"/>
      <c r="AM38" s="347"/>
      <c r="AN38" s="347"/>
      <c r="AO38" s="1077"/>
      <c r="AP38" s="347"/>
      <c r="AQ38" s="347"/>
      <c r="AR38" s="347"/>
      <c r="AS38" s="347"/>
      <c r="AT38" s="347"/>
      <c r="AU38" s="347"/>
      <c r="AV38" s="347"/>
      <c r="AW38" s="347"/>
      <c r="AX38" s="347"/>
      <c r="AY38" s="347"/>
      <c r="AZ38" s="347"/>
      <c r="BA38" s="347"/>
      <c r="BB38" s="347"/>
      <c r="BC38" s="347"/>
      <c r="BD38" s="347"/>
      <c r="BE38" s="347"/>
      <c r="BF38" s="347"/>
      <c r="BG38" s="347"/>
      <c r="BH38" s="347"/>
      <c r="BI38" s="347"/>
      <c r="BJ38" s="347"/>
      <c r="BK38" s="347"/>
      <c r="BL38" s="347"/>
      <c r="BM38" s="347"/>
      <c r="BN38" s="347"/>
      <c r="BO38" s="347"/>
      <c r="BP38" s="347"/>
      <c r="BQ38" s="347"/>
      <c r="BR38" s="347"/>
      <c r="BS38" s="347"/>
      <c r="BT38" s="347"/>
      <c r="BU38" s="347"/>
      <c r="BV38" s="347"/>
      <c r="BW38" s="347"/>
      <c r="BX38" s="347"/>
      <c r="BY38" s="347"/>
      <c r="BZ38" s="347"/>
      <c r="CA38" s="347"/>
      <c r="CB38" s="347"/>
      <c r="CC38" s="347"/>
      <c r="CD38" s="347"/>
      <c r="CE38" s="347"/>
      <c r="CF38" s="347"/>
      <c r="CG38" s="347"/>
      <c r="CH38" s="347"/>
      <c r="CI38" s="347"/>
      <c r="CJ38" s="347"/>
      <c r="CK38" s="347"/>
      <c r="CL38" s="347"/>
      <c r="CM38" s="347"/>
      <c r="CN38" s="347"/>
      <c r="CO38" s="347"/>
      <c r="CP38" s="347"/>
      <c r="CQ38" s="347"/>
      <c r="CR38" s="347"/>
      <c r="CS38" s="347"/>
      <c r="CT38" s="347"/>
      <c r="CU38" s="347"/>
      <c r="CV38" s="347"/>
      <c r="CW38" s="347"/>
      <c r="CX38" s="347"/>
      <c r="CY38" s="347"/>
    </row>
    <row r="39" spans="2:174">
      <c r="B39" s="63" t="str">
        <f>Expenditure_Detail!$B$6</f>
        <v>$m, 01/01/26</v>
      </c>
      <c r="C39" s="93"/>
      <c r="D39" s="353"/>
      <c r="E39" s="353"/>
      <c r="F39" s="353"/>
      <c r="G39" s="358"/>
      <c r="H39" s="358"/>
      <c r="I39" s="347"/>
      <c r="J39" s="1015"/>
      <c r="K39" s="347"/>
      <c r="L39" s="841"/>
      <c r="M39" s="841"/>
      <c r="N39" s="1015"/>
      <c r="O39" s="1015"/>
      <c r="P39" s="347"/>
      <c r="Q39" s="347"/>
      <c r="R39" s="347"/>
      <c r="S39" s="347"/>
      <c r="T39" s="347"/>
      <c r="U39" s="347"/>
      <c r="V39" s="347"/>
      <c r="W39" s="347"/>
      <c r="X39" s="347"/>
      <c r="Y39" s="347"/>
      <c r="Z39" s="347"/>
      <c r="AA39" s="347"/>
      <c r="AB39" s="347"/>
      <c r="AC39" s="347"/>
      <c r="AD39" s="347"/>
      <c r="AE39" s="347"/>
      <c r="AF39" s="347"/>
      <c r="AG39" s="347"/>
      <c r="AH39" s="347"/>
      <c r="AI39" s="347"/>
      <c r="AJ39" s="347"/>
      <c r="AK39" s="347"/>
      <c r="AL39" s="347"/>
      <c r="AM39" s="347"/>
      <c r="AN39" s="347"/>
      <c r="AO39" s="347"/>
      <c r="AP39" s="347"/>
      <c r="AQ39" s="347"/>
      <c r="AR39" s="347"/>
      <c r="AS39" s="347"/>
      <c r="AT39" s="347"/>
      <c r="AU39" s="347"/>
      <c r="AV39" s="347"/>
      <c r="AW39" s="347"/>
      <c r="AX39" s="347"/>
      <c r="AY39" s="347"/>
      <c r="AZ39" s="347"/>
      <c r="BA39" s="347"/>
      <c r="BB39" s="347"/>
      <c r="BC39" s="347"/>
      <c r="BD39" s="347"/>
      <c r="BE39" s="347"/>
      <c r="BF39" s="347"/>
      <c r="BG39" s="347"/>
      <c r="BH39" s="347"/>
      <c r="BI39" s="347"/>
      <c r="BJ39" s="347"/>
      <c r="BK39" s="347"/>
      <c r="BL39" s="347"/>
      <c r="BM39" s="347"/>
      <c r="BN39" s="347"/>
      <c r="BO39" s="347"/>
      <c r="BP39" s="347"/>
      <c r="BQ39" s="347"/>
      <c r="BR39" s="347"/>
      <c r="BS39" s="347"/>
      <c r="BT39" s="347"/>
      <c r="BU39" s="347"/>
      <c r="BV39" s="347"/>
      <c r="BW39" s="347"/>
      <c r="BX39" s="347"/>
      <c r="BY39" s="347"/>
      <c r="BZ39" s="347"/>
      <c r="CA39" s="347"/>
      <c r="CB39" s="347"/>
      <c r="CC39" s="347"/>
      <c r="CD39" s="347"/>
      <c r="CE39" s="347"/>
      <c r="CF39" s="347"/>
      <c r="CG39" s="347"/>
      <c r="CH39" s="347"/>
      <c r="CI39" s="347"/>
      <c r="CJ39" s="347"/>
      <c r="CK39" s="347"/>
      <c r="CL39" s="347"/>
      <c r="CM39" s="347"/>
      <c r="CN39" s="347"/>
      <c r="CO39" s="347"/>
      <c r="CP39" s="347"/>
      <c r="CQ39" s="347"/>
      <c r="CR39" s="347"/>
      <c r="CS39" s="347"/>
      <c r="CT39" s="347"/>
      <c r="CU39" s="347"/>
      <c r="CV39" s="347"/>
      <c r="CW39" s="347"/>
      <c r="CX39" s="347"/>
      <c r="CY39" s="347"/>
    </row>
    <row r="40" spans="2:174">
      <c r="B40" s="347"/>
      <c r="C40" s="347"/>
      <c r="D40" s="1025"/>
      <c r="E40" s="347"/>
      <c r="F40" s="347"/>
      <c r="G40" s="347"/>
      <c r="H40" s="347"/>
      <c r="I40" s="347"/>
      <c r="J40" s="841"/>
      <c r="K40" s="347"/>
      <c r="L40" s="841"/>
      <c r="M40" s="841"/>
      <c r="N40" s="841"/>
      <c r="O40" s="841"/>
      <c r="P40" s="347"/>
      <c r="Q40" s="369" t="s">
        <v>487</v>
      </c>
      <c r="R40" s="347"/>
      <c r="S40" s="347"/>
      <c r="T40" s="347"/>
      <c r="U40" s="347"/>
      <c r="V40" s="347"/>
      <c r="W40" s="347"/>
      <c r="X40" s="347"/>
      <c r="Y40" s="347"/>
      <c r="Z40" s="347"/>
      <c r="AA40" s="347"/>
      <c r="AB40" s="369" t="s">
        <v>488</v>
      </c>
      <c r="AC40" s="347"/>
      <c r="AD40" s="347"/>
      <c r="AE40" s="347"/>
      <c r="AF40" s="347"/>
      <c r="AG40" s="347"/>
      <c r="AH40" s="347"/>
      <c r="AI40" s="347"/>
      <c r="AJ40" s="347"/>
      <c r="AK40" s="347"/>
      <c r="AL40" s="347"/>
      <c r="AM40" s="369" t="s">
        <v>489</v>
      </c>
      <c r="AN40" s="347"/>
      <c r="AO40" s="347"/>
      <c r="AP40" s="347"/>
      <c r="AQ40" s="347"/>
      <c r="AR40" s="347"/>
      <c r="AS40" s="347"/>
      <c r="AT40" s="347"/>
      <c r="AU40" s="347"/>
      <c r="AV40" s="347"/>
      <c r="AW40" s="347"/>
      <c r="AX40" s="369" t="s">
        <v>490</v>
      </c>
      <c r="AY40" s="347"/>
      <c r="AZ40" s="347"/>
      <c r="BA40" s="347"/>
      <c r="BB40" s="347"/>
      <c r="BC40" s="347"/>
      <c r="BD40" s="347"/>
      <c r="BE40" s="347"/>
      <c r="BF40" s="347"/>
      <c r="BG40" s="347"/>
      <c r="BH40" s="347"/>
      <c r="BI40" s="369" t="s">
        <v>486</v>
      </c>
      <c r="BJ40" s="347"/>
      <c r="BK40" s="347"/>
      <c r="BL40" s="347"/>
      <c r="BM40" s="347"/>
      <c r="BN40" s="347"/>
      <c r="BO40" s="347"/>
      <c r="BP40" s="347"/>
      <c r="BQ40" s="347"/>
      <c r="BR40" s="347"/>
      <c r="BS40" s="347"/>
      <c r="BT40" s="369" t="s">
        <v>491</v>
      </c>
      <c r="BU40" s="347"/>
      <c r="BV40" s="347"/>
      <c r="BW40" s="347"/>
      <c r="BX40" s="347"/>
      <c r="BY40" s="347"/>
      <c r="BZ40" s="347"/>
      <c r="CA40" s="347"/>
      <c r="CB40" s="347"/>
      <c r="CC40" s="347"/>
      <c r="CD40" s="347"/>
      <c r="CE40" s="369" t="s">
        <v>487</v>
      </c>
      <c r="CF40" s="347"/>
      <c r="CG40" s="347"/>
      <c r="CH40" s="347"/>
      <c r="CI40" s="347"/>
      <c r="CJ40" s="347"/>
      <c r="CK40" s="347"/>
      <c r="CL40" s="347"/>
      <c r="CM40" s="347"/>
      <c r="CN40" s="347"/>
      <c r="CO40" s="347"/>
      <c r="CP40" s="369" t="s">
        <v>492</v>
      </c>
      <c r="CQ40" s="347"/>
      <c r="CR40" s="347"/>
      <c r="CS40" s="347"/>
      <c r="CT40" s="347"/>
      <c r="CU40" s="347"/>
      <c r="CV40" s="347"/>
      <c r="CW40" s="347"/>
      <c r="CX40" s="347"/>
      <c r="CY40" s="347"/>
      <c r="CZ40" s="347"/>
      <c r="DA40" s="852"/>
      <c r="DB40" s="347"/>
      <c r="DC40" s="843"/>
      <c r="DD40" s="347"/>
      <c r="DE40" s="369" t="s">
        <v>493</v>
      </c>
      <c r="DF40" s="347"/>
      <c r="DG40" s="347"/>
      <c r="DH40" s="347"/>
      <c r="DI40" s="347"/>
      <c r="DJ40" s="347"/>
      <c r="DK40" s="347"/>
      <c r="DL40" s="347"/>
      <c r="DM40" s="347"/>
      <c r="DN40" s="369" t="s">
        <v>494</v>
      </c>
      <c r="DO40" s="347"/>
      <c r="DP40" s="347"/>
      <c r="DQ40" s="347"/>
      <c r="DR40" s="347"/>
      <c r="DS40" s="347"/>
      <c r="DT40" s="347"/>
      <c r="DU40" s="347"/>
      <c r="DW40" s="369" t="s">
        <v>495</v>
      </c>
      <c r="DX40" s="347"/>
      <c r="DY40" s="347"/>
      <c r="DZ40" s="347"/>
      <c r="EA40" s="347"/>
      <c r="EB40" s="347"/>
      <c r="EC40" s="347"/>
      <c r="ED40" s="347"/>
      <c r="EF40" s="369" t="s">
        <v>496</v>
      </c>
      <c r="EG40" s="347"/>
      <c r="EH40" s="347"/>
      <c r="EI40" s="347"/>
      <c r="EJ40" s="347"/>
      <c r="EK40" s="347"/>
      <c r="EL40" s="347"/>
      <c r="EM40" s="347"/>
      <c r="EO40" s="369" t="s">
        <v>497</v>
      </c>
      <c r="EP40" s="347"/>
      <c r="EQ40" s="347"/>
      <c r="ER40" s="347"/>
      <c r="ES40" s="347"/>
      <c r="ET40" s="347"/>
      <c r="EU40" s="347"/>
      <c r="EV40" s="347"/>
      <c r="EX40" s="369" t="s">
        <v>498</v>
      </c>
      <c r="EY40" s="347"/>
      <c r="EZ40" s="347"/>
      <c r="FA40" s="347"/>
      <c r="FB40" s="347"/>
      <c r="FC40" s="347"/>
      <c r="FD40" s="347"/>
      <c r="FE40" s="347"/>
      <c r="FG40" s="369" t="s">
        <v>499</v>
      </c>
      <c r="FH40" s="347"/>
      <c r="FI40" s="347"/>
      <c r="FJ40" s="347"/>
      <c r="FK40" s="347"/>
      <c r="FL40" s="347"/>
      <c r="FM40" s="347"/>
      <c r="FN40" s="347"/>
    </row>
    <row r="41" spans="2:174">
      <c r="B41" s="370"/>
      <c r="C41" s="347"/>
      <c r="D41" s="1025"/>
      <c r="E41" s="347"/>
      <c r="F41" s="347"/>
      <c r="G41" s="347"/>
      <c r="H41" s="347"/>
      <c r="I41" s="841"/>
      <c r="J41" s="841"/>
      <c r="K41" s="347"/>
      <c r="L41" s="841"/>
      <c r="M41" s="841"/>
      <c r="N41" s="841"/>
      <c r="O41" s="841"/>
      <c r="P41" s="347"/>
      <c r="Q41" s="63" t="str">
        <f>Expenditure_Detail!$B$6</f>
        <v>$m, 01/01/26</v>
      </c>
      <c r="R41" s="347"/>
      <c r="S41" s="347"/>
      <c r="T41" s="347"/>
      <c r="U41" s="347"/>
      <c r="V41" s="347"/>
      <c r="W41" s="347"/>
      <c r="X41" s="347"/>
      <c r="Y41" s="347"/>
      <c r="Z41" s="347"/>
      <c r="AA41" s="347"/>
      <c r="AB41" s="63" t="str">
        <f>Expenditure_Detail!$B$6</f>
        <v>$m, 01/01/26</v>
      </c>
      <c r="AC41" s="347"/>
      <c r="AD41" s="347"/>
      <c r="AE41" s="347"/>
      <c r="AF41" s="347"/>
      <c r="AG41" s="347"/>
      <c r="AH41" s="347"/>
      <c r="AI41" s="347"/>
      <c r="AJ41" s="347"/>
      <c r="AK41" s="347"/>
      <c r="AL41" s="347"/>
      <c r="AM41" s="63" t="str">
        <f>Expenditure_Detail!$B$6</f>
        <v>$m, 01/01/26</v>
      </c>
      <c r="AN41" s="347"/>
      <c r="AO41" s="347"/>
      <c r="AP41" s="347"/>
      <c r="AQ41" s="347"/>
      <c r="AR41" s="347"/>
      <c r="AS41" s="347"/>
      <c r="AT41" s="347"/>
      <c r="AU41" s="347"/>
      <c r="AV41" s="347"/>
      <c r="AW41" s="347"/>
      <c r="AX41" s="63" t="str">
        <f>Expenditure_Detail!$B$6</f>
        <v>$m, 01/01/26</v>
      </c>
      <c r="AY41" s="347"/>
      <c r="AZ41" s="347"/>
      <c r="BA41" s="347"/>
      <c r="BB41" s="347"/>
      <c r="BC41" s="347"/>
      <c r="BD41" s="347"/>
      <c r="BE41" s="347"/>
      <c r="BF41" s="347"/>
      <c r="BG41" s="347"/>
      <c r="BH41" s="347"/>
      <c r="BI41" s="63" t="str">
        <f>Expenditure_Detail!$B$6</f>
        <v>$m, 01/01/26</v>
      </c>
      <c r="BJ41" s="347"/>
      <c r="BK41" s="347"/>
      <c r="BL41" s="347"/>
      <c r="BM41" s="347"/>
      <c r="BN41" s="347"/>
      <c r="BO41" s="347"/>
      <c r="BP41" s="347"/>
      <c r="BQ41" s="347"/>
      <c r="BR41" s="347"/>
      <c r="BS41" s="347"/>
      <c r="BT41" s="63" t="str">
        <f>Expenditure_Detail!$B$6</f>
        <v>$m, 01/01/26</v>
      </c>
      <c r="BU41" s="347"/>
      <c r="BV41" s="347"/>
      <c r="BW41" s="347"/>
      <c r="BX41" s="347"/>
      <c r="BY41" s="347"/>
      <c r="BZ41" s="347"/>
      <c r="CA41" s="347"/>
      <c r="CB41" s="347"/>
      <c r="CC41" s="347"/>
      <c r="CD41" s="347"/>
      <c r="CE41" s="67" t="s">
        <v>500</v>
      </c>
      <c r="CF41" s="347"/>
      <c r="CG41" s="347"/>
      <c r="CH41" s="347"/>
      <c r="CI41" s="347"/>
      <c r="CJ41" s="347"/>
      <c r="CK41" s="347"/>
      <c r="CL41" s="347"/>
      <c r="CM41" s="347"/>
      <c r="CN41" s="347"/>
      <c r="CO41" s="347"/>
      <c r="CP41" s="67" t="s">
        <v>500</v>
      </c>
      <c r="CQ41" s="347"/>
      <c r="CR41" s="347"/>
      <c r="CS41" s="347"/>
      <c r="CT41" s="347"/>
      <c r="CU41" s="347"/>
      <c r="CV41" s="347"/>
      <c r="CW41" s="347"/>
      <c r="CX41" s="347"/>
      <c r="CY41" s="347"/>
      <c r="CZ41" s="347"/>
      <c r="DA41" s="852"/>
      <c r="DB41" s="347"/>
      <c r="DC41" s="844"/>
      <c r="DD41" s="347"/>
      <c r="DE41" s="67" t="s">
        <v>500</v>
      </c>
      <c r="DF41" s="347"/>
      <c r="DG41" s="347"/>
      <c r="DH41" s="347"/>
      <c r="DI41" s="347"/>
      <c r="DJ41" s="347"/>
      <c r="DK41" s="347"/>
      <c r="DL41" s="347"/>
      <c r="DM41" s="347"/>
      <c r="DN41" s="347"/>
      <c r="DO41" s="347"/>
      <c r="DP41" s="347"/>
      <c r="DQ41" s="347"/>
      <c r="DR41" s="347"/>
      <c r="DS41" s="347"/>
      <c r="DT41" s="347"/>
      <c r="DU41" s="347"/>
      <c r="DW41" s="347"/>
      <c r="DX41" s="347"/>
      <c r="DY41" s="347"/>
      <c r="DZ41" s="347"/>
      <c r="EA41" s="347"/>
      <c r="EB41" s="347"/>
      <c r="EC41" s="347"/>
      <c r="ED41" s="347"/>
      <c r="EF41" s="347"/>
      <c r="EG41" s="347"/>
      <c r="EH41" s="347"/>
      <c r="EI41" s="347"/>
      <c r="EJ41" s="347"/>
      <c r="EK41" s="347"/>
      <c r="EL41" s="347"/>
      <c r="EM41" s="347"/>
      <c r="EO41" s="347"/>
      <c r="EP41" s="347"/>
      <c r="EQ41" s="347"/>
      <c r="ER41" s="347"/>
      <c r="ES41" s="347"/>
      <c r="ET41" s="347"/>
      <c r="EU41" s="347"/>
      <c r="EV41" s="347"/>
      <c r="EX41" s="347"/>
      <c r="EY41" s="347"/>
      <c r="EZ41" s="347"/>
      <c r="FA41" s="347"/>
      <c r="FB41" s="347"/>
      <c r="FC41" s="347"/>
      <c r="FD41" s="347"/>
      <c r="FE41" s="347"/>
      <c r="FG41" s="67" t="s">
        <v>500</v>
      </c>
      <c r="FH41" s="347"/>
      <c r="FI41" s="347"/>
      <c r="FJ41" s="347"/>
      <c r="FK41" s="347"/>
      <c r="FL41" s="347"/>
      <c r="FM41" s="347"/>
      <c r="FN41" s="347"/>
    </row>
    <row r="42" spans="2:174">
      <c r="B42" s="370"/>
      <c r="C42" s="370"/>
      <c r="D42" s="1499"/>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7"/>
      <c r="AD42" s="347"/>
      <c r="AE42" s="347"/>
      <c r="AF42" s="347"/>
      <c r="AG42" s="347"/>
      <c r="AH42" s="347"/>
      <c r="AI42" s="347"/>
      <c r="AJ42" s="347"/>
      <c r="AK42" s="347"/>
      <c r="AL42" s="347"/>
      <c r="AM42" s="347"/>
      <c r="AN42" s="347"/>
      <c r="AO42" s="347"/>
      <c r="AP42" s="347"/>
      <c r="AQ42" s="347"/>
      <c r="AR42" s="347"/>
      <c r="AS42" s="347"/>
      <c r="AT42" s="347"/>
      <c r="AU42" s="347"/>
      <c r="AV42" s="347"/>
      <c r="AW42" s="347"/>
      <c r="AX42" s="347"/>
      <c r="AY42" s="347"/>
      <c r="AZ42" s="347"/>
      <c r="BA42" s="347"/>
      <c r="BB42" s="347"/>
      <c r="BC42" s="347"/>
      <c r="BD42" s="347"/>
      <c r="BE42" s="347"/>
      <c r="BF42" s="347"/>
      <c r="BG42" s="347"/>
      <c r="BH42" s="347"/>
      <c r="BI42" s="347"/>
      <c r="BJ42" s="347"/>
      <c r="BK42" s="347"/>
      <c r="BL42" s="347"/>
      <c r="BM42" s="347"/>
      <c r="BN42" s="347"/>
      <c r="BO42" s="347"/>
      <c r="BP42" s="347"/>
      <c r="BQ42" s="347"/>
      <c r="BR42" s="347"/>
      <c r="BS42" s="347"/>
      <c r="BT42" s="347"/>
      <c r="BU42" s="347"/>
      <c r="BV42" s="347"/>
      <c r="BW42" s="347"/>
      <c r="BX42" s="347"/>
      <c r="BY42" s="347"/>
      <c r="BZ42" s="347"/>
      <c r="CA42" s="347"/>
      <c r="CB42" s="347"/>
      <c r="CC42" s="347"/>
      <c r="CD42" s="347"/>
      <c r="CE42" s="347"/>
      <c r="CF42" s="347"/>
      <c r="CG42" s="347"/>
      <c r="CH42" s="347"/>
      <c r="CI42" s="347"/>
      <c r="CJ42" s="347"/>
      <c r="CK42" s="347"/>
      <c r="CL42" s="347"/>
      <c r="CM42" s="347"/>
      <c r="CN42" s="347"/>
      <c r="CO42" s="347"/>
      <c r="CP42" s="347"/>
      <c r="CQ42" s="347"/>
      <c r="CR42" s="347"/>
      <c r="CS42" s="347"/>
      <c r="CT42" s="347"/>
      <c r="CU42" s="347"/>
      <c r="CV42" s="347"/>
      <c r="CW42" s="347"/>
      <c r="CX42" s="347"/>
      <c r="CY42" s="347"/>
      <c r="CZ42" s="347"/>
      <c r="DA42" s="852"/>
      <c r="DB42" s="347"/>
      <c r="DC42" s="845"/>
      <c r="DD42" s="347"/>
      <c r="DE42" s="347"/>
      <c r="DF42" s="347"/>
      <c r="DG42" s="347"/>
      <c r="DH42" s="347"/>
      <c r="DI42" s="347"/>
      <c r="DJ42" s="347"/>
      <c r="DK42" s="347"/>
      <c r="DL42" s="347"/>
      <c r="DM42" s="347"/>
      <c r="DN42" s="347"/>
      <c r="DO42" s="347"/>
      <c r="DP42" s="347"/>
      <c r="DQ42" s="347"/>
      <c r="DR42" s="347"/>
      <c r="DS42" s="347"/>
      <c r="DT42" s="347"/>
      <c r="DU42" s="347"/>
      <c r="DW42" s="347"/>
      <c r="DX42" s="347"/>
      <c r="DY42" s="347"/>
      <c r="DZ42" s="347"/>
      <c r="EA42" s="347"/>
      <c r="EB42" s="347"/>
      <c r="EC42" s="347"/>
      <c r="ED42" s="347"/>
      <c r="EF42" s="347"/>
      <c r="EG42" s="347"/>
      <c r="EH42" s="347"/>
      <c r="EI42" s="347"/>
      <c r="EJ42" s="347"/>
      <c r="EK42" s="347"/>
      <c r="EL42" s="347"/>
      <c r="EM42" s="347"/>
      <c r="EO42" s="347"/>
      <c r="EP42" s="347"/>
      <c r="EQ42" s="347"/>
      <c r="ER42" s="347"/>
      <c r="ES42" s="347"/>
      <c r="ET42" s="347"/>
      <c r="EU42" s="347"/>
      <c r="EV42" s="347"/>
      <c r="EX42" s="347"/>
      <c r="EY42" s="347"/>
      <c r="EZ42" s="347"/>
      <c r="FA42" s="347"/>
      <c r="FB42" s="347"/>
      <c r="FC42" s="347"/>
      <c r="FD42" s="347"/>
      <c r="FE42" s="347"/>
      <c r="FG42" s="347"/>
      <c r="FH42" s="347"/>
      <c r="FI42" s="347"/>
      <c r="FJ42" s="347"/>
      <c r="FK42" s="347"/>
      <c r="FL42" s="347"/>
      <c r="FM42" s="347"/>
      <c r="FN42" s="347"/>
    </row>
    <row r="43" spans="2:174">
      <c r="B43" s="370"/>
      <c r="C43" s="347"/>
      <c r="D43" s="347"/>
      <c r="E43" s="347"/>
      <c r="G43" s="347"/>
      <c r="H43" s="347"/>
      <c r="I43" s="347"/>
      <c r="K43" s="347"/>
      <c r="L43" s="347"/>
      <c r="M43" s="347"/>
      <c r="N43" s="347"/>
      <c r="O43" s="347"/>
      <c r="P43" s="347"/>
      <c r="Q43" s="371" t="s">
        <v>108</v>
      </c>
      <c r="R43" s="371" t="s">
        <v>109</v>
      </c>
      <c r="S43" s="371" t="s">
        <v>110</v>
      </c>
      <c r="T43" s="371" t="s">
        <v>111</v>
      </c>
      <c r="U43" s="371" t="s">
        <v>112</v>
      </c>
      <c r="V43" s="371" t="s">
        <v>362</v>
      </c>
      <c r="W43" s="371" t="s">
        <v>363</v>
      </c>
      <c r="X43" s="371" t="s">
        <v>364</v>
      </c>
      <c r="Y43" s="371" t="s">
        <v>365</v>
      </c>
      <c r="Z43" s="371" t="s">
        <v>366</v>
      </c>
      <c r="AA43" s="372"/>
      <c r="AB43" s="371" t="str">
        <f>Q$43</f>
        <v>2026-27</v>
      </c>
      <c r="AC43" s="371" t="str">
        <f t="shared" ref="AC43:AK43" si="19">R$43</f>
        <v>2027-28</v>
      </c>
      <c r="AD43" s="371" t="str">
        <f t="shared" si="19"/>
        <v>2028-29</v>
      </c>
      <c r="AE43" s="371" t="str">
        <f t="shared" si="19"/>
        <v>2029-30</v>
      </c>
      <c r="AF43" s="371" t="str">
        <f t="shared" si="19"/>
        <v>2030-31</v>
      </c>
      <c r="AG43" s="371" t="str">
        <f t="shared" si="19"/>
        <v>2031-32</v>
      </c>
      <c r="AH43" s="371" t="str">
        <f t="shared" si="19"/>
        <v>2032-33</v>
      </c>
      <c r="AI43" s="371" t="str">
        <f t="shared" si="19"/>
        <v>2033-34</v>
      </c>
      <c r="AJ43" s="371" t="str">
        <f t="shared" si="19"/>
        <v>2034-35</v>
      </c>
      <c r="AK43" s="371" t="str">
        <f t="shared" si="19"/>
        <v>2035-36</v>
      </c>
      <c r="AL43" s="372"/>
      <c r="AM43" s="371" t="str">
        <f t="shared" ref="AM43:AV43" si="20">AB$43</f>
        <v>2026-27</v>
      </c>
      <c r="AN43" s="371" t="str">
        <f t="shared" si="20"/>
        <v>2027-28</v>
      </c>
      <c r="AO43" s="371" t="str">
        <f t="shared" si="20"/>
        <v>2028-29</v>
      </c>
      <c r="AP43" s="371" t="str">
        <f t="shared" si="20"/>
        <v>2029-30</v>
      </c>
      <c r="AQ43" s="371" t="str">
        <f t="shared" si="20"/>
        <v>2030-31</v>
      </c>
      <c r="AR43" s="371" t="str">
        <f t="shared" si="20"/>
        <v>2031-32</v>
      </c>
      <c r="AS43" s="371" t="str">
        <f t="shared" si="20"/>
        <v>2032-33</v>
      </c>
      <c r="AT43" s="371" t="str">
        <f t="shared" si="20"/>
        <v>2033-34</v>
      </c>
      <c r="AU43" s="371" t="str">
        <f t="shared" si="20"/>
        <v>2034-35</v>
      </c>
      <c r="AV43" s="371" t="str">
        <f t="shared" si="20"/>
        <v>2035-36</v>
      </c>
      <c r="AW43" s="372"/>
      <c r="AX43" s="371" t="str">
        <f>AM$43</f>
        <v>2026-27</v>
      </c>
      <c r="AY43" s="371" t="str">
        <f t="shared" ref="AY43:BG43" si="21">AN$43</f>
        <v>2027-28</v>
      </c>
      <c r="AZ43" s="371" t="str">
        <f t="shared" si="21"/>
        <v>2028-29</v>
      </c>
      <c r="BA43" s="371" t="str">
        <f t="shared" si="21"/>
        <v>2029-30</v>
      </c>
      <c r="BB43" s="371" t="str">
        <f t="shared" si="21"/>
        <v>2030-31</v>
      </c>
      <c r="BC43" s="371" t="str">
        <f t="shared" si="21"/>
        <v>2031-32</v>
      </c>
      <c r="BD43" s="371" t="str">
        <f t="shared" si="21"/>
        <v>2032-33</v>
      </c>
      <c r="BE43" s="371" t="str">
        <f t="shared" si="21"/>
        <v>2033-34</v>
      </c>
      <c r="BF43" s="371" t="str">
        <f t="shared" si="21"/>
        <v>2034-35</v>
      </c>
      <c r="BG43" s="371" t="str">
        <f t="shared" si="21"/>
        <v>2035-36</v>
      </c>
      <c r="BH43" s="372"/>
      <c r="BI43" s="371" t="str">
        <f t="shared" ref="BI43:BT43" si="22">AX$43</f>
        <v>2026-27</v>
      </c>
      <c r="BJ43" s="371" t="str">
        <f t="shared" si="22"/>
        <v>2027-28</v>
      </c>
      <c r="BK43" s="371" t="str">
        <f t="shared" si="22"/>
        <v>2028-29</v>
      </c>
      <c r="BL43" s="371" t="str">
        <f t="shared" si="22"/>
        <v>2029-30</v>
      </c>
      <c r="BM43" s="371" t="str">
        <f t="shared" si="22"/>
        <v>2030-31</v>
      </c>
      <c r="BN43" s="371" t="str">
        <f t="shared" si="22"/>
        <v>2031-32</v>
      </c>
      <c r="BO43" s="371" t="str">
        <f t="shared" si="22"/>
        <v>2032-33</v>
      </c>
      <c r="BP43" s="371" t="str">
        <f t="shared" si="22"/>
        <v>2033-34</v>
      </c>
      <c r="BQ43" s="371" t="str">
        <f t="shared" si="22"/>
        <v>2034-35</v>
      </c>
      <c r="BR43" s="371" t="str">
        <f t="shared" si="22"/>
        <v>2035-36</v>
      </c>
      <c r="BS43" s="372"/>
      <c r="BT43" s="371" t="str">
        <f t="shared" si="22"/>
        <v>2026-27</v>
      </c>
      <c r="BU43" s="371" t="str">
        <f t="shared" ref="BU43:CC43" si="23">BJ$43</f>
        <v>2027-28</v>
      </c>
      <c r="BV43" s="371" t="str">
        <f t="shared" si="23"/>
        <v>2028-29</v>
      </c>
      <c r="BW43" s="371" t="str">
        <f t="shared" si="23"/>
        <v>2029-30</v>
      </c>
      <c r="BX43" s="371" t="str">
        <f t="shared" si="23"/>
        <v>2030-31</v>
      </c>
      <c r="BY43" s="371" t="str">
        <f t="shared" si="23"/>
        <v>2031-32</v>
      </c>
      <c r="BZ43" s="371" t="str">
        <f t="shared" si="23"/>
        <v>2032-33</v>
      </c>
      <c r="CA43" s="371" t="str">
        <f t="shared" si="23"/>
        <v>2033-34</v>
      </c>
      <c r="CB43" s="371" t="str">
        <f t="shared" si="23"/>
        <v>2034-35</v>
      </c>
      <c r="CC43" s="371" t="str">
        <f t="shared" si="23"/>
        <v>2035-36</v>
      </c>
      <c r="CD43" s="372"/>
      <c r="CE43" s="371" t="str">
        <f t="shared" ref="CE43:CN43" si="24">BT$43</f>
        <v>2026-27</v>
      </c>
      <c r="CF43" s="371" t="str">
        <f t="shared" si="24"/>
        <v>2027-28</v>
      </c>
      <c r="CG43" s="371" t="str">
        <f t="shared" si="24"/>
        <v>2028-29</v>
      </c>
      <c r="CH43" s="371" t="str">
        <f t="shared" si="24"/>
        <v>2029-30</v>
      </c>
      <c r="CI43" s="371" t="str">
        <f t="shared" si="24"/>
        <v>2030-31</v>
      </c>
      <c r="CJ43" s="371" t="str">
        <f t="shared" si="24"/>
        <v>2031-32</v>
      </c>
      <c r="CK43" s="371" t="str">
        <f t="shared" si="24"/>
        <v>2032-33</v>
      </c>
      <c r="CL43" s="371" t="str">
        <f t="shared" si="24"/>
        <v>2033-34</v>
      </c>
      <c r="CM43" s="371" t="str">
        <f t="shared" si="24"/>
        <v>2034-35</v>
      </c>
      <c r="CN43" s="371" t="str">
        <f t="shared" si="24"/>
        <v>2035-36</v>
      </c>
      <c r="CO43" s="372"/>
      <c r="CP43" s="371" t="str">
        <f t="shared" ref="CP43:CY43" si="25">CE$43</f>
        <v>2026-27</v>
      </c>
      <c r="CQ43" s="371" t="str">
        <f t="shared" si="25"/>
        <v>2027-28</v>
      </c>
      <c r="CR43" s="371" t="str">
        <f t="shared" si="25"/>
        <v>2028-29</v>
      </c>
      <c r="CS43" s="371" t="str">
        <f t="shared" si="25"/>
        <v>2029-30</v>
      </c>
      <c r="CT43" s="371" t="str">
        <f t="shared" si="25"/>
        <v>2030-31</v>
      </c>
      <c r="CU43" s="371" t="str">
        <f t="shared" si="25"/>
        <v>2031-32</v>
      </c>
      <c r="CV43" s="371" t="str">
        <f t="shared" si="25"/>
        <v>2032-33</v>
      </c>
      <c r="CW43" s="371" t="str">
        <f t="shared" si="25"/>
        <v>2033-34</v>
      </c>
      <c r="CX43" s="371" t="str">
        <f t="shared" si="25"/>
        <v>2034-35</v>
      </c>
      <c r="CY43" s="371" t="str">
        <f t="shared" si="25"/>
        <v>2035-36</v>
      </c>
      <c r="CZ43" s="347"/>
      <c r="DA43" s="852"/>
      <c r="DB43" s="347"/>
      <c r="DC43" s="846"/>
      <c r="DD43" s="347"/>
      <c r="DE43" s="371" t="s">
        <v>501</v>
      </c>
      <c r="DF43" s="371" t="s">
        <v>360</v>
      </c>
      <c r="DG43" s="371" t="s">
        <v>361</v>
      </c>
      <c r="DH43" s="371" t="s">
        <v>132</v>
      </c>
      <c r="DI43" s="371" t="s">
        <v>133</v>
      </c>
      <c r="DJ43" s="371" t="s">
        <v>134</v>
      </c>
      <c r="DK43" s="371" t="s">
        <v>108</v>
      </c>
      <c r="DL43" s="371" t="s">
        <v>109</v>
      </c>
      <c r="DM43" s="347"/>
      <c r="DN43" s="371" t="s">
        <v>501</v>
      </c>
      <c r="DO43" s="371" t="s">
        <v>360</v>
      </c>
      <c r="DP43" s="371" t="s">
        <v>361</v>
      </c>
      <c r="DQ43" s="371" t="s">
        <v>132</v>
      </c>
      <c r="DR43" s="371" t="s">
        <v>133</v>
      </c>
      <c r="DS43" s="371" t="s">
        <v>134</v>
      </c>
      <c r="DT43" s="371" t="s">
        <v>108</v>
      </c>
      <c r="DU43" s="371" t="s">
        <v>109</v>
      </c>
      <c r="DW43" s="371" t="s">
        <v>501</v>
      </c>
      <c r="DX43" s="371" t="s">
        <v>360</v>
      </c>
      <c r="DY43" s="371" t="s">
        <v>361</v>
      </c>
      <c r="DZ43" s="371" t="s">
        <v>132</v>
      </c>
      <c r="EA43" s="371" t="s">
        <v>133</v>
      </c>
      <c r="EB43" s="371" t="s">
        <v>134</v>
      </c>
      <c r="EC43" s="371" t="s">
        <v>108</v>
      </c>
      <c r="ED43" s="371" t="s">
        <v>109</v>
      </c>
      <c r="EF43" s="371" t="s">
        <v>501</v>
      </c>
      <c r="EG43" s="371" t="s">
        <v>360</v>
      </c>
      <c r="EH43" s="371" t="s">
        <v>361</v>
      </c>
      <c r="EI43" s="371" t="s">
        <v>132</v>
      </c>
      <c r="EJ43" s="371" t="s">
        <v>133</v>
      </c>
      <c r="EK43" s="371" t="s">
        <v>134</v>
      </c>
      <c r="EL43" s="371" t="s">
        <v>108</v>
      </c>
      <c r="EM43" s="371" t="s">
        <v>109</v>
      </c>
      <c r="EO43" s="371" t="s">
        <v>501</v>
      </c>
      <c r="EP43" s="371" t="s">
        <v>360</v>
      </c>
      <c r="EQ43" s="371" t="s">
        <v>361</v>
      </c>
      <c r="ER43" s="371" t="s">
        <v>132</v>
      </c>
      <c r="ES43" s="371" t="s">
        <v>133</v>
      </c>
      <c r="ET43" s="371" t="s">
        <v>134</v>
      </c>
      <c r="EU43" s="371" t="s">
        <v>108</v>
      </c>
      <c r="EV43" s="371" t="s">
        <v>109</v>
      </c>
      <c r="EX43" s="371" t="s">
        <v>501</v>
      </c>
      <c r="EY43" s="371" t="s">
        <v>360</v>
      </c>
      <c r="EZ43" s="371" t="s">
        <v>361</v>
      </c>
      <c r="FA43" s="371" t="s">
        <v>132</v>
      </c>
      <c r="FB43" s="371" t="s">
        <v>133</v>
      </c>
      <c r="FC43" s="371" t="s">
        <v>134</v>
      </c>
      <c r="FD43" s="371" t="s">
        <v>108</v>
      </c>
      <c r="FE43" s="371" t="s">
        <v>109</v>
      </c>
      <c r="FG43" s="371" t="s">
        <v>501</v>
      </c>
      <c r="FH43" s="371" t="s">
        <v>360</v>
      </c>
      <c r="FI43" s="371" t="s">
        <v>361</v>
      </c>
      <c r="FJ43" s="371" t="s">
        <v>132</v>
      </c>
      <c r="FK43" s="371" t="s">
        <v>133</v>
      </c>
      <c r="FL43" s="371" t="s">
        <v>134</v>
      </c>
      <c r="FM43" s="371" t="s">
        <v>108</v>
      </c>
      <c r="FN43" s="371" t="s">
        <v>109</v>
      </c>
      <c r="FR43" s="116"/>
    </row>
    <row r="44" spans="2:174" ht="12.75" thickBot="1">
      <c r="B44" s="370"/>
      <c r="C44" s="347"/>
      <c r="D44" s="347"/>
      <c r="E44" s="347"/>
      <c r="F44" s="347"/>
      <c r="G44" s="347"/>
      <c r="H44" s="347"/>
      <c r="I44" s="347"/>
      <c r="J44" s="347"/>
      <c r="K44" s="347"/>
      <c r="L44" s="347"/>
      <c r="M44" s="347"/>
      <c r="N44" s="347"/>
      <c r="O44" s="347"/>
      <c r="P44" s="347"/>
      <c r="Q44" s="347"/>
      <c r="R44" s="347"/>
      <c r="S44" s="347"/>
      <c r="T44" s="347"/>
      <c r="U44" s="347"/>
      <c r="V44" s="347"/>
      <c r="W44" s="347"/>
      <c r="X44" s="347"/>
      <c r="Y44" s="347"/>
      <c r="Z44" s="347"/>
      <c r="AA44" s="347"/>
      <c r="AB44" s="347"/>
      <c r="AC44" s="347"/>
      <c r="AD44" s="347"/>
      <c r="AE44" s="347"/>
      <c r="AF44" s="347"/>
      <c r="AG44" s="347"/>
      <c r="AH44" s="347"/>
      <c r="AI44" s="347"/>
      <c r="AJ44" s="347"/>
      <c r="AK44" s="347"/>
      <c r="AL44" s="347"/>
      <c r="AM44" s="347"/>
      <c r="AN44" s="347"/>
      <c r="AO44" s="347"/>
      <c r="AP44" s="347"/>
      <c r="AQ44" s="347"/>
      <c r="AR44" s="347"/>
      <c r="AS44" s="347"/>
      <c r="AT44" s="347"/>
      <c r="AU44" s="347"/>
      <c r="AV44" s="347"/>
      <c r="AW44" s="347"/>
      <c r="AX44" s="347"/>
      <c r="AY44" s="347"/>
      <c r="AZ44" s="347"/>
      <c r="BA44" s="347"/>
      <c r="BB44" s="347"/>
      <c r="BC44" s="347"/>
      <c r="BD44" s="347"/>
      <c r="BE44" s="347"/>
      <c r="BF44" s="347"/>
      <c r="BG44" s="347"/>
      <c r="BH44" s="347"/>
      <c r="BI44" s="373">
        <v>1</v>
      </c>
      <c r="BJ44" s="374">
        <f>BI44+1</f>
        <v>2</v>
      </c>
      <c r="BK44" s="374">
        <f t="shared" ref="BK44:BR44" si="26">BJ44+1</f>
        <v>3</v>
      </c>
      <c r="BL44" s="374">
        <f t="shared" si="26"/>
        <v>4</v>
      </c>
      <c r="BM44" s="374">
        <f t="shared" si="26"/>
        <v>5</v>
      </c>
      <c r="BN44" s="374">
        <f t="shared" si="26"/>
        <v>6</v>
      </c>
      <c r="BO44" s="374">
        <f t="shared" si="26"/>
        <v>7</v>
      </c>
      <c r="BP44" s="374">
        <f t="shared" si="26"/>
        <v>8</v>
      </c>
      <c r="BQ44" s="374">
        <f t="shared" si="26"/>
        <v>9</v>
      </c>
      <c r="BR44" s="374">
        <f t="shared" si="26"/>
        <v>10</v>
      </c>
      <c r="BS44" s="347"/>
      <c r="BT44" s="347"/>
      <c r="BU44" s="347"/>
      <c r="BV44" s="347"/>
      <c r="BW44" s="347"/>
      <c r="BX44" s="347"/>
      <c r="BY44" s="347"/>
      <c r="BZ44" s="347"/>
      <c r="CA44" s="347"/>
      <c r="CB44" s="347"/>
      <c r="CC44" s="347"/>
      <c r="CD44" s="347"/>
      <c r="CE44" s="347"/>
      <c r="CF44" s="347"/>
      <c r="CG44" s="347"/>
      <c r="CH44" s="347"/>
      <c r="CI44" s="347"/>
      <c r="CJ44" s="347"/>
      <c r="CK44" s="347"/>
      <c r="CL44" s="347"/>
      <c r="CM44" s="347"/>
      <c r="CN44" s="347"/>
      <c r="CO44" s="347"/>
      <c r="CP44" s="373">
        <v>1</v>
      </c>
      <c r="CQ44" s="374">
        <f>CP44+1</f>
        <v>2</v>
      </c>
      <c r="CR44" s="374">
        <f t="shared" ref="CR44:CY44" si="27">CQ44+1</f>
        <v>3</v>
      </c>
      <c r="CS44" s="374">
        <f t="shared" si="27"/>
        <v>4</v>
      </c>
      <c r="CT44" s="374">
        <f t="shared" si="27"/>
        <v>5</v>
      </c>
      <c r="CU44" s="374">
        <f t="shared" si="27"/>
        <v>6</v>
      </c>
      <c r="CV44" s="374">
        <f t="shared" si="27"/>
        <v>7</v>
      </c>
      <c r="CW44" s="374">
        <f t="shared" si="27"/>
        <v>8</v>
      </c>
      <c r="CX44" s="374">
        <f t="shared" si="27"/>
        <v>9</v>
      </c>
      <c r="CY44" s="374">
        <f t="shared" si="27"/>
        <v>10</v>
      </c>
      <c r="CZ44" s="347"/>
      <c r="DA44" s="852"/>
      <c r="DB44" s="347"/>
      <c r="DC44" s="847"/>
      <c r="DD44" s="347"/>
      <c r="DE44" s="373">
        <v>1</v>
      </c>
      <c r="DF44" s="374">
        <v>2</v>
      </c>
      <c r="DG44" s="374">
        <v>3</v>
      </c>
      <c r="DH44" s="374">
        <v>4</v>
      </c>
      <c r="DI44" s="374">
        <v>5</v>
      </c>
      <c r="DJ44" s="374">
        <v>6</v>
      </c>
      <c r="DK44" s="374">
        <v>7</v>
      </c>
      <c r="DL44" s="374">
        <v>8</v>
      </c>
      <c r="DM44" s="347"/>
      <c r="DN44" s="373">
        <v>1</v>
      </c>
      <c r="DO44" s="374">
        <v>2</v>
      </c>
      <c r="DP44" s="374">
        <v>3</v>
      </c>
      <c r="DQ44" s="374">
        <v>4</v>
      </c>
      <c r="DR44" s="374">
        <v>5</v>
      </c>
      <c r="DS44" s="374">
        <v>6</v>
      </c>
      <c r="DT44" s="374">
        <v>7</v>
      </c>
      <c r="DU44" s="374">
        <v>8</v>
      </c>
      <c r="DW44" s="373">
        <v>1</v>
      </c>
      <c r="DX44" s="374">
        <v>2</v>
      </c>
      <c r="DY44" s="374">
        <v>3</v>
      </c>
      <c r="DZ44" s="374">
        <v>4</v>
      </c>
      <c r="EA44" s="374">
        <v>5</v>
      </c>
      <c r="EB44" s="374">
        <v>6</v>
      </c>
      <c r="EC44" s="374">
        <v>7</v>
      </c>
      <c r="ED44" s="374">
        <v>8</v>
      </c>
      <c r="EF44" s="373">
        <v>1</v>
      </c>
      <c r="EG44" s="374">
        <v>2</v>
      </c>
      <c r="EH44" s="374">
        <v>3</v>
      </c>
      <c r="EI44" s="374">
        <v>4</v>
      </c>
      <c r="EJ44" s="374">
        <v>5</v>
      </c>
      <c r="EK44" s="374">
        <v>6</v>
      </c>
      <c r="EL44" s="374">
        <v>7</v>
      </c>
      <c r="EM44" s="374">
        <v>8</v>
      </c>
      <c r="EO44" s="373">
        <v>1</v>
      </c>
      <c r="EP44" s="374">
        <v>2</v>
      </c>
      <c r="EQ44" s="374">
        <v>3</v>
      </c>
      <c r="ER44" s="374">
        <v>4</v>
      </c>
      <c r="ES44" s="374">
        <v>5</v>
      </c>
      <c r="ET44" s="374">
        <v>6</v>
      </c>
      <c r="EU44" s="374">
        <v>7</v>
      </c>
      <c r="EV44" s="374">
        <v>8</v>
      </c>
      <c r="EX44" s="373">
        <v>1</v>
      </c>
      <c r="EY44" s="374">
        <v>2</v>
      </c>
      <c r="EZ44" s="374">
        <v>3</v>
      </c>
      <c r="FA44" s="374">
        <v>4</v>
      </c>
      <c r="FB44" s="374">
        <v>5</v>
      </c>
      <c r="FC44" s="374">
        <v>6</v>
      </c>
      <c r="FD44" s="374">
        <v>7</v>
      </c>
      <c r="FE44" s="374">
        <v>8</v>
      </c>
      <c r="FG44" s="373">
        <v>1</v>
      </c>
      <c r="FH44" s="374">
        <v>2</v>
      </c>
      <c r="FI44" s="374">
        <v>3</v>
      </c>
      <c r="FJ44" s="374">
        <v>4</v>
      </c>
      <c r="FK44" s="374">
        <v>5</v>
      </c>
      <c r="FL44" s="374">
        <v>6</v>
      </c>
      <c r="FM44" s="374">
        <v>7</v>
      </c>
      <c r="FN44" s="374">
        <v>8</v>
      </c>
    </row>
    <row r="45" spans="2:174" ht="24.75" thickBot="1">
      <c r="B45" s="1408"/>
      <c r="C45" s="376" t="s">
        <v>502</v>
      </c>
      <c r="D45" s="377"/>
      <c r="E45" s="377" t="s">
        <v>503</v>
      </c>
      <c r="F45" s="1127" t="s">
        <v>504</v>
      </c>
      <c r="G45" s="1128" t="s">
        <v>505</v>
      </c>
      <c r="H45" s="375" t="s">
        <v>506</v>
      </c>
      <c r="I45" s="1969"/>
      <c r="J45" s="378" t="s">
        <v>507</v>
      </c>
      <c r="K45" s="1129" t="s">
        <v>508</v>
      </c>
      <c r="L45" s="1130" t="s">
        <v>509</v>
      </c>
      <c r="M45" s="378" t="s">
        <v>510</v>
      </c>
      <c r="N45" s="378" t="s">
        <v>511</v>
      </c>
      <c r="O45" s="379"/>
      <c r="P45" s="379"/>
      <c r="Q45" s="1016">
        <f t="shared" ref="Q45:Z45" si="28">SUM(Q46:Q1270)</f>
        <v>1347.2318206060897</v>
      </c>
      <c r="R45" s="1017">
        <f t="shared" si="28"/>
        <v>1457.8421464636101</v>
      </c>
      <c r="S45" s="1017">
        <f t="shared" si="28"/>
        <v>1477.4493761466349</v>
      </c>
      <c r="T45" s="1017">
        <f t="shared" si="28"/>
        <v>1510.2491274780455</v>
      </c>
      <c r="U45" s="1018">
        <f t="shared" si="28"/>
        <v>1442.1704944963876</v>
      </c>
      <c r="V45" s="1016">
        <f t="shared" si="28"/>
        <v>1646.4835191529296</v>
      </c>
      <c r="W45" s="1017">
        <f t="shared" si="28"/>
        <v>1699.0888348385026</v>
      </c>
      <c r="X45" s="1017">
        <f t="shared" si="28"/>
        <v>1514.5900879907581</v>
      </c>
      <c r="Y45" s="1017">
        <f t="shared" si="28"/>
        <v>1736.5473974853476</v>
      </c>
      <c r="Z45" s="1018">
        <f t="shared" si="28"/>
        <v>1839.4572381966984</v>
      </c>
      <c r="AA45" s="1019"/>
      <c r="AB45" s="1016">
        <f t="shared" ref="AB45:AK45" si="29">SUM(AB46:AB1270)</f>
        <v>9.3121997121680415</v>
      </c>
      <c r="AC45" s="1017">
        <f t="shared" si="29"/>
        <v>14.957255803937155</v>
      </c>
      <c r="AD45" s="1017">
        <f t="shared" si="29"/>
        <v>2.3374750439277121E-2</v>
      </c>
      <c r="AE45" s="1017">
        <f t="shared" si="29"/>
        <v>1.5203089716603002E-2</v>
      </c>
      <c r="AF45" s="1018">
        <f t="shared" si="29"/>
        <v>0</v>
      </c>
      <c r="AG45" s="1016">
        <f t="shared" si="29"/>
        <v>0</v>
      </c>
      <c r="AH45" s="1017">
        <f t="shared" si="29"/>
        <v>0</v>
      </c>
      <c r="AI45" s="1017">
        <f t="shared" si="29"/>
        <v>0</v>
      </c>
      <c r="AJ45" s="1017">
        <f t="shared" si="29"/>
        <v>0</v>
      </c>
      <c r="AK45" s="1018">
        <f t="shared" si="29"/>
        <v>0</v>
      </c>
      <c r="AL45" s="1020"/>
      <c r="AM45" s="1016">
        <f t="shared" ref="AM45:AV45" si="30">SUM(AM46:AM1270)</f>
        <v>256.68418674331554</v>
      </c>
      <c r="AN45" s="1017">
        <f t="shared" si="30"/>
        <v>265.82094960941134</v>
      </c>
      <c r="AO45" s="1017">
        <f t="shared" si="30"/>
        <v>266.89260337450156</v>
      </c>
      <c r="AP45" s="1017">
        <f t="shared" si="30"/>
        <v>265.83725314288654</v>
      </c>
      <c r="AQ45" s="1018">
        <f t="shared" si="30"/>
        <v>261.75654907461649</v>
      </c>
      <c r="AR45" s="1016">
        <f t="shared" si="30"/>
        <v>266.29183409691552</v>
      </c>
      <c r="AS45" s="1017">
        <f t="shared" si="30"/>
        <v>259.09270600770168</v>
      </c>
      <c r="AT45" s="1017">
        <f t="shared" si="30"/>
        <v>250.01787257304056</v>
      </c>
      <c r="AU45" s="1017">
        <f t="shared" si="30"/>
        <v>241.27074037515396</v>
      </c>
      <c r="AV45" s="1018">
        <f t="shared" si="30"/>
        <v>232.83938317900669</v>
      </c>
      <c r="AW45" s="1020"/>
      <c r="AX45" s="1016">
        <f t="shared" ref="AX45:BG45" si="31">SUM(AX46:AX1270)</f>
        <v>1081.2354341506059</v>
      </c>
      <c r="AY45" s="1017">
        <f t="shared" si="31"/>
        <v>1177.0639410502615</v>
      </c>
      <c r="AZ45" s="1017">
        <f t="shared" si="31"/>
        <v>1210.5333980216942</v>
      </c>
      <c r="BA45" s="1017">
        <f t="shared" si="31"/>
        <v>1244.3966712454423</v>
      </c>
      <c r="BB45" s="1018">
        <f t="shared" si="31"/>
        <v>1180.4139454217711</v>
      </c>
      <c r="BC45" s="1016">
        <f t="shared" si="31"/>
        <v>1380.191685056014</v>
      </c>
      <c r="BD45" s="1017">
        <f t="shared" si="31"/>
        <v>1439.9961288308009</v>
      </c>
      <c r="BE45" s="1017">
        <f t="shared" si="31"/>
        <v>1264.5722154177174</v>
      </c>
      <c r="BF45" s="1017">
        <f t="shared" si="31"/>
        <v>1495.2766571101936</v>
      </c>
      <c r="BG45" s="1018">
        <f t="shared" si="31"/>
        <v>1606.6178550176917</v>
      </c>
      <c r="BH45" s="1020"/>
      <c r="BI45" s="1016">
        <f t="shared" ref="BI45:BR45" ca="1" si="32">SUM(BI46:BI1270)</f>
        <v>11.776887732885603</v>
      </c>
      <c r="BJ45" s="1017">
        <f t="shared" ca="1" si="32"/>
        <v>35.7177385894719</v>
      </c>
      <c r="BK45" s="1017">
        <f t="shared" ca="1" si="32"/>
        <v>61.852731969888538</v>
      </c>
      <c r="BL45" s="1017">
        <f t="shared" ca="1" si="32"/>
        <v>92.630278008470199</v>
      </c>
      <c r="BM45" s="1018">
        <f t="shared" ca="1" si="32"/>
        <v>122.76043987639608</v>
      </c>
      <c r="BN45" s="1016">
        <f t="shared" ca="1" si="32"/>
        <v>153.52416972761156</v>
      </c>
      <c r="BO45" s="1017">
        <f t="shared" ca="1" si="32"/>
        <v>188.83077279996027</v>
      </c>
      <c r="BP45" s="1017">
        <f t="shared" ca="1" si="32"/>
        <v>225.97786674549153</v>
      </c>
      <c r="BQ45" s="1017">
        <f t="shared" ca="1" si="32"/>
        <v>260.27815631699474</v>
      </c>
      <c r="BR45" s="1018">
        <f t="shared" ca="1" si="32"/>
        <v>294.10120829608911</v>
      </c>
      <c r="BS45" s="1019"/>
      <c r="BT45" s="1016">
        <f t="shared" ref="BT45:CC45" si="33">SUM(BT46:BT1270)</f>
        <v>787.31104796524107</v>
      </c>
      <c r="BU45" s="1017">
        <f t="shared" si="33"/>
        <v>842.81100243753099</v>
      </c>
      <c r="BV45" s="1017">
        <f t="shared" si="33"/>
        <v>984.80430036382472</v>
      </c>
      <c r="BW45" s="1017">
        <f t="shared" si="33"/>
        <v>1172.3616625657633</v>
      </c>
      <c r="BX45" s="1018">
        <f t="shared" si="33"/>
        <v>1108.4101652066086</v>
      </c>
      <c r="BY45" s="1016">
        <f t="shared" si="33"/>
        <v>1563.6964357564393</v>
      </c>
      <c r="BZ45" s="1017">
        <f t="shared" si="33"/>
        <v>1531.1341747131842</v>
      </c>
      <c r="CA45" s="1017">
        <f t="shared" si="33"/>
        <v>1485.8967018116366</v>
      </c>
      <c r="CB45" s="1017">
        <f t="shared" si="33"/>
        <v>1415.2038209333066</v>
      </c>
      <c r="CC45" s="1018">
        <f t="shared" si="33"/>
        <v>2188.6686195686602</v>
      </c>
      <c r="CD45" s="1019"/>
      <c r="CE45" s="1016">
        <f t="shared" ref="CE45:CN45" si="34">SUM(CE46:CE1270)</f>
        <v>1386.3015434036665</v>
      </c>
      <c r="CF45" s="1017">
        <f t="shared" si="34"/>
        <v>1543.6230362036763</v>
      </c>
      <c r="CG45" s="1017">
        <f t="shared" si="34"/>
        <v>1609.7511101602447</v>
      </c>
      <c r="CH45" s="1017">
        <f t="shared" si="34"/>
        <v>1693.2071453971471</v>
      </c>
      <c r="CI45" s="1018">
        <f t="shared" si="34"/>
        <v>1663.7707306985023</v>
      </c>
      <c r="CJ45" s="1016">
        <f t="shared" si="34"/>
        <v>1954.5628343152541</v>
      </c>
      <c r="CK45" s="1017">
        <f t="shared" si="34"/>
        <v>2075.5046435617692</v>
      </c>
      <c r="CL45" s="1017">
        <f t="shared" si="34"/>
        <v>1903.7859106911906</v>
      </c>
      <c r="CM45" s="1017">
        <f t="shared" si="34"/>
        <v>2246.0789326053218</v>
      </c>
      <c r="CN45" s="1018">
        <f t="shared" si="34"/>
        <v>2448.1805533511006</v>
      </c>
      <c r="CO45" s="1019"/>
      <c r="CP45" s="1016">
        <f t="shared" ref="CP45:CX45" ca="1" si="35">SUM(CP46:CP1270)</f>
        <v>0</v>
      </c>
      <c r="CQ45" s="1017">
        <f t="shared" ca="1" si="35"/>
        <v>0</v>
      </c>
      <c r="CR45" s="1017">
        <f t="shared" ca="1" si="35"/>
        <v>0</v>
      </c>
      <c r="CS45" s="1017">
        <f t="shared" ca="1" si="35"/>
        <v>0</v>
      </c>
      <c r="CT45" s="1018">
        <f t="shared" ca="1" si="35"/>
        <v>0</v>
      </c>
      <c r="CU45" s="1016">
        <f t="shared" ca="1" si="35"/>
        <v>0</v>
      </c>
      <c r="CV45" s="1017">
        <f t="shared" ca="1" si="35"/>
        <v>0</v>
      </c>
      <c r="CW45" s="1017">
        <f t="shared" ca="1" si="35"/>
        <v>0</v>
      </c>
      <c r="CX45" s="1017">
        <f t="shared" ca="1" si="35"/>
        <v>0</v>
      </c>
      <c r="CY45" s="1018">
        <f ca="1">SUM(CY46:CY1270)</f>
        <v>0</v>
      </c>
      <c r="CZ45" s="379"/>
      <c r="DA45" s="853"/>
      <c r="DB45" s="379"/>
      <c r="DC45" s="848" t="s">
        <v>512</v>
      </c>
      <c r="DD45" s="379"/>
      <c r="DE45" s="1016">
        <f t="shared" ref="DE45:DL45" si="36">SUM(DE46:DE1270)</f>
        <v>1077.4792104551311</v>
      </c>
      <c r="DF45" s="1017">
        <f t="shared" si="36"/>
        <v>1175.683431863672</v>
      </c>
      <c r="DG45" s="1018">
        <f t="shared" si="36"/>
        <v>1134.5866808884136</v>
      </c>
      <c r="DH45" s="1017">
        <f t="shared" si="36"/>
        <v>1142.9185295768805</v>
      </c>
      <c r="DI45" s="1017">
        <f t="shared" si="36"/>
        <v>1058.3338806118199</v>
      </c>
      <c r="DJ45" s="1017">
        <f t="shared" si="36"/>
        <v>1585.6385454878507</v>
      </c>
      <c r="DK45" s="1017">
        <f t="shared" si="36"/>
        <v>1911.7646258567113</v>
      </c>
      <c r="DL45" s="1018">
        <f t="shared" si="36"/>
        <v>2344.2088656325641</v>
      </c>
      <c r="DM45" s="379"/>
      <c r="DN45" s="1016"/>
      <c r="DO45" s="1017"/>
      <c r="DP45" s="1018"/>
      <c r="DQ45" s="1017"/>
      <c r="DR45" s="1017"/>
      <c r="DS45" s="1017"/>
      <c r="DT45" s="1017"/>
      <c r="DU45" s="1018"/>
      <c r="DW45" s="1016"/>
      <c r="DX45" s="1017"/>
      <c r="DY45" s="1018"/>
      <c r="DZ45" s="1017"/>
      <c r="EA45" s="1017"/>
      <c r="EB45" s="1017"/>
      <c r="EC45" s="1017"/>
      <c r="ED45" s="1018"/>
      <c r="EF45" s="380"/>
      <c r="EG45" s="381"/>
      <c r="EH45" s="382"/>
      <c r="EI45" s="381"/>
      <c r="EJ45" s="381"/>
      <c r="EK45" s="381"/>
      <c r="EL45" s="381"/>
      <c r="EM45" s="382"/>
      <c r="EO45" s="380"/>
      <c r="EP45" s="381"/>
      <c r="EQ45" s="382"/>
      <c r="ER45" s="381"/>
      <c r="ES45" s="381"/>
      <c r="ET45" s="381"/>
      <c r="EU45" s="381"/>
      <c r="EV45" s="382"/>
      <c r="EX45" s="380"/>
      <c r="EY45" s="381"/>
      <c r="EZ45" s="382"/>
      <c r="FA45" s="381"/>
      <c r="FB45" s="381"/>
      <c r="FC45" s="381"/>
      <c r="FD45" s="381"/>
      <c r="FE45" s="382"/>
      <c r="FG45" s="380">
        <f t="shared" ref="FG45:FN45" ca="1" si="37">SUM(FG46:FG1270)</f>
        <v>0</v>
      </c>
      <c r="FH45" s="381">
        <f t="shared" ca="1" si="37"/>
        <v>0</v>
      </c>
      <c r="FI45" s="382">
        <f t="shared" ca="1" si="37"/>
        <v>0</v>
      </c>
      <c r="FJ45" s="381">
        <f t="shared" ca="1" si="37"/>
        <v>0</v>
      </c>
      <c r="FK45" s="381">
        <f t="shared" ca="1" si="37"/>
        <v>0</v>
      </c>
      <c r="FL45" s="381">
        <f t="shared" ca="1" si="37"/>
        <v>0</v>
      </c>
      <c r="FM45" s="381">
        <f t="shared" ca="1" si="37"/>
        <v>0</v>
      </c>
      <c r="FN45" s="382">
        <f t="shared" ca="1" si="37"/>
        <v>0</v>
      </c>
      <c r="FR45" s="116"/>
    </row>
    <row r="46" spans="2:174">
      <c r="B46" s="1410">
        <v>1</v>
      </c>
      <c r="C46" s="829" t="s">
        <v>513</v>
      </c>
      <c r="D46" s="410"/>
      <c r="E46" s="1125" t="s">
        <v>401</v>
      </c>
      <c r="F46" s="1125" t="s">
        <v>514</v>
      </c>
      <c r="G46" s="829" t="s">
        <v>515</v>
      </c>
      <c r="H46" s="2090" t="s">
        <v>481</v>
      </c>
      <c r="I46" s="2091"/>
      <c r="J46" s="1966" t="s">
        <v>516</v>
      </c>
      <c r="K46" s="1126" t="s">
        <v>112</v>
      </c>
      <c r="L46" s="1126">
        <v>100</v>
      </c>
      <c r="M46" s="1126" t="s">
        <v>142</v>
      </c>
      <c r="N46" s="1126"/>
      <c r="O46" s="347"/>
      <c r="P46" s="347"/>
      <c r="Q46" s="1021">
        <v>19.512195121951223</v>
      </c>
      <c r="R46" s="1022">
        <v>66.627007733491979</v>
      </c>
      <c r="S46" s="1022">
        <v>65.001958764382422</v>
      </c>
      <c r="T46" s="1022">
        <v>30.982053263244858</v>
      </c>
      <c r="U46" s="1023">
        <v>8.8385428760951736</v>
      </c>
      <c r="V46" s="1021">
        <v>0</v>
      </c>
      <c r="W46" s="1022">
        <v>0</v>
      </c>
      <c r="X46" s="1022">
        <v>0</v>
      </c>
      <c r="Y46" s="1022">
        <v>0</v>
      </c>
      <c r="Z46" s="1023">
        <v>0</v>
      </c>
      <c r="AA46" s="1024"/>
      <c r="AB46" s="1021">
        <v>0</v>
      </c>
      <c r="AC46" s="1022">
        <v>0</v>
      </c>
      <c r="AD46" s="1022">
        <v>0</v>
      </c>
      <c r="AE46" s="1022">
        <v>0</v>
      </c>
      <c r="AF46" s="1023">
        <v>0</v>
      </c>
      <c r="AG46" s="1021">
        <v>0</v>
      </c>
      <c r="AH46" s="1022">
        <v>0</v>
      </c>
      <c r="AI46" s="1022">
        <v>0</v>
      </c>
      <c r="AJ46" s="1022">
        <v>0</v>
      </c>
      <c r="AK46" s="1023">
        <v>0</v>
      </c>
      <c r="AL46" s="1024"/>
      <c r="AM46" s="1021">
        <v>0</v>
      </c>
      <c r="AN46" s="1022">
        <v>0</v>
      </c>
      <c r="AO46" s="1022">
        <v>0</v>
      </c>
      <c r="AP46" s="1022">
        <v>0</v>
      </c>
      <c r="AQ46" s="1023">
        <v>0</v>
      </c>
      <c r="AR46" s="1021">
        <v>0</v>
      </c>
      <c r="AS46" s="1022">
        <v>0</v>
      </c>
      <c r="AT46" s="1022">
        <v>0</v>
      </c>
      <c r="AU46" s="1022">
        <v>0</v>
      </c>
      <c r="AV46" s="1023">
        <v>0</v>
      </c>
      <c r="AW46" s="1025"/>
      <c r="AX46" s="1280">
        <f t="shared" ref="AX46:AX54" si="38">+Q46-AB46-AM46</f>
        <v>19.512195121951223</v>
      </c>
      <c r="AY46" s="384">
        <f t="shared" ref="AY46:AY54" si="39">+R46-AC46-AN46</f>
        <v>66.627007733491979</v>
      </c>
      <c r="AZ46" s="384">
        <f t="shared" ref="AZ46:AZ54" si="40">+S46-AD46-AO46</f>
        <v>65.001958764382422</v>
      </c>
      <c r="BA46" s="384">
        <f t="shared" ref="BA46:BA54" si="41">+T46-AE46-AP46</f>
        <v>30.982053263244858</v>
      </c>
      <c r="BB46" s="1281">
        <f t="shared" ref="BB46:BB54" si="42">+U46-AF46-AQ46</f>
        <v>8.8385428760951736</v>
      </c>
      <c r="BC46" s="383">
        <f t="shared" ref="BC46:BC54" si="43">+V46-AG46-AR46</f>
        <v>0</v>
      </c>
      <c r="BD46" s="384">
        <f t="shared" ref="BD46:BD54" si="44">+W46-AH46-AS46</f>
        <v>0</v>
      </c>
      <c r="BE46" s="1276">
        <f t="shared" ref="BE46:BG54" si="45">+X46-AI46-AT46</f>
        <v>0</v>
      </c>
      <c r="BF46" s="1276">
        <f t="shared" si="45"/>
        <v>0</v>
      </c>
      <c r="BG46" s="385">
        <f t="shared" si="45"/>
        <v>0</v>
      </c>
      <c r="BH46" s="1025"/>
      <c r="BI46" s="1280">
        <f t="shared" ref="BI46:BI54" ca="1" si="46">IF($L46=0,0,
IF($L46&lt;=0.5,BT46,
IF($J46="straight line",
IF((LEFT(BI$43,4)*1)-INT($L46)&lt;LEFT($BI$43,4)*1,0,((OFFSET(BT46,0,-INT($L46+0.5),1,1))/$L46)*(IF($L46-INT($L46)&gt;0.5,$L46-0.5-INT($L46),IF($L46-INT($L46)&lt;=0.5,$L46-0.5-INT($L46)+1,0))))
+BT46/$L46*0.5,
IF($J46="Declining Balance",-$BI$42,0))))</f>
        <v>0</v>
      </c>
      <c r="BJ46" s="384">
        <f t="shared" ref="BJ46:BJ54" ca="1" si="47">IF($L46=0,0,
IF($L46&lt;=0.5,BU46,
IF(AND($J46="straight line",$L46&lt;1.51),(BT46-((BT46/$L46)*0.5))+BU46/$L46*0.5,
IF($J46="straight line",
IF((LEFT(BJ$43,4)*1)-INT($L46)&lt;LEFT($BI$43,4)*1,0,((OFFSET(BU46,0,-INT($L46+0.5),1,1))/$L46)*(IF($L46-INT($L46)&gt;0.5,$L46-0.5-INT($L46),IF($L46-INT($L46)&lt;=0.5,$L46-0.5-INT($L46)+1,0))))
+BU46/$L46*0.5
+SUM(OFFSET(BU46,0,MAX(-INT($L46+(0.5-(10^-12))),-BJ$44)+1,1,MIN(INT($L46+(0.5-(10^-12))),BJ$44)-1))*1/$L46,
IF($J46="Declining Balance",-$BI$42,0)))))</f>
        <v>0</v>
      </c>
      <c r="BK46" s="384">
        <f t="shared" ref="BK46:BK54" ca="1" si="48">IF($L46=0,0,
IF($L46&lt;=0.5,BV46,
IF(AND($J46="straight line",$L46&lt;1.51),(BU46-((BU46/$L46)*0.5))+BV46/$L46*0.5,
IF($J46="straight line",
IF((LEFT(BK$43,4)*1)-INT($L46)&lt;LEFT($BI$43,4)*1,0,((OFFSET(BV46,0,-INT($L46+0.5),1,1))/$L46)*(IF($L46-INT($L46)&gt;0.5,$L46-0.5-INT($L46),IF($L46-INT($L46)&lt;=0.5,$L46-0.5-INT($L46)+1,0))))
+BV46/$L46*0.5
+SUM(OFFSET(BV46,0,MAX(-INT($L46+(0.5-(10^-12))),-BK$44)+1,1,MIN(INT($L46+(0.5-(10^-12))),BK$44)-1))*1/$L46,
IF($J46="Declining Balance",-$BI$42,0)))))</f>
        <v>0</v>
      </c>
      <c r="BL46" s="384">
        <f t="shared" ref="BL46:BL54" ca="1" si="49">IF($L46=0,0,
IF($L46&lt;=0.5,BW46,
IF(AND($J46="straight line",$L46&lt;1.51),(BV46-((BV46/$L46)*0.5))+BW46/$L46*0.5,
IF($J46="straight line",
IF((LEFT(BL$43,4)*1)-INT($L46)&lt;LEFT($BI$43,4)*1,0,((OFFSET(BW46,0,-INT($L46+0.5),1,1))/$L46)*(IF($L46-INT($L46)&gt;0.5,$L46-0.5-INT($L46),IF($L46-INT($L46)&lt;=0.5,$L46-0.5-INT($L46)+1,0))))
+BW46/$L46*0.5
+SUM(OFFSET(BW46,0,MAX(-INT($L46+(0.5-(10^-12))),-BL$44)+1,1,MIN(INT($L46+(0.5-(10^-12))),BL$44)-1))*1/$L46,
IF($J46="Declining Balance",-$BI$42,0)))))</f>
        <v>0</v>
      </c>
      <c r="BM46" s="1281">
        <f t="shared" ref="BM46:BM54" ca="1" si="50">IF($L46=0,0,
IF($L46&lt;=0.5,BX46,
IF(AND($J46="straight line",$L46&lt;1.51),(BW46-((BW46/$L46)*0.5))+BX46/$L46*0.5,
IF($J46="straight line",
IF((LEFT(BM$43,4)*1)-INT($L46)&lt;LEFT($BI$43,4)*1,0,((OFFSET(BX46,0,-INT($L46+0.5),1,1))/$L46)*(IF($L46-INT($L46)&gt;0.5,$L46-0.5-INT($L46),IF($L46-INT($L46)&lt;=0.5,$L46-0.5-INT($L46)+1,0))))
+BX46/$L46*0.5
+SUM(OFFSET(BX46,0,MAX(-INT($L46+(0.5-(10^-12))),-BM$44)+1,1,MIN(INT($L46+(0.5-(10^-12))),BM$44)-1))*1/$L46,
IF($J46="Declining Balance",-$BI$42,0)))))</f>
        <v>0.95480878879582831</v>
      </c>
      <c r="BN46" s="383">
        <f t="shared" ref="BN46:BR54" ca="1" si="51">IF($L46=0,0,
IF($L46&lt;=0.5,BY46,
IF(AND($J46="straight line",$L46&lt;1.51),(BX46-((BX46/$L46)*0.5))+BY46/$L46*0.5,
IF($J46="straight line",
IF((LEFT(BN$43,4)*1)-INT($L46)&lt;LEFT($BI$43,4)*1,0,((OFFSET(BY46,0,-INT($L46+0.5),1,1))/$L46)*(IF($L46-INT($L46)&gt;0.5,$L46-0.5-INT($L46),IF($L46-INT($L46)&lt;=0.5,$L46-0.5-INT($L46)+1,0))))
+BY46/$L46*0.5
+SUM(OFFSET(BY46,0,MAX(-INT($L46+(0.5-(10^-12))),-BN$44)+1,1,MIN(INT($L46+(0.5-(10^-12))),BN$44)-1))*1/$L46,
IF($J46="Declining Balance",-$BI$42,0)))))</f>
        <v>1.9096175775916566</v>
      </c>
      <c r="BO46" s="384">
        <f t="shared" ca="1" si="51"/>
        <v>1.9096175775916566</v>
      </c>
      <c r="BP46" s="1276">
        <f t="shared" ca="1" si="51"/>
        <v>1.9096175775916566</v>
      </c>
      <c r="BQ46" s="1276">
        <f t="shared" ca="1" si="51"/>
        <v>1.9096175775916566</v>
      </c>
      <c r="BR46" s="385">
        <f t="shared" ca="1" si="51"/>
        <v>1.9096175775916566</v>
      </c>
      <c r="BS46" s="1025"/>
      <c r="BT46" s="1280">
        <f>+IF($K46="Ongoing",AX46,IF(RIGHT($K46,2)=RIGHT(BT$43,2),SUM($AX46:AX46),0)+IF(RIGHT(BT$43,2)&gt;RIGHT($K46,2),AX46,0))</f>
        <v>0</v>
      </c>
      <c r="BU46" s="384">
        <f>+IF($K46="Ongoing",AY46,IF(RIGHT($K46,2)=RIGHT(BU$43,2),SUM($AX46:AY46),0)+IF(RIGHT(BU$43,2)&gt;RIGHT($K46,2),AY46,0))</f>
        <v>0</v>
      </c>
      <c r="BV46" s="384">
        <f>+IF($K46="Ongoing",AZ46,IF(RIGHT($K46,2)=RIGHT(BV$43,2),SUM($AX46:AZ46),0)+IF(RIGHT(BV$43,2)&gt;RIGHT($K46,2),AZ46,0))</f>
        <v>0</v>
      </c>
      <c r="BW46" s="384">
        <f>+IF($K46="Ongoing",BA46,IF(RIGHT($K46,2)=RIGHT(BW$43,2),SUM($AX46:BA46),0)+IF(RIGHT(BW$43,2)&gt;RIGHT($K46,2),BA46,0))</f>
        <v>0</v>
      </c>
      <c r="BX46" s="1281">
        <f>+IF($K46="Ongoing",BB46,IF(RIGHT($K46,2)=RIGHT(BX$43,2),SUM($AX46:BB46),0)+IF(RIGHT(BX$43,2)&gt;RIGHT($K46,2),BB46,0))</f>
        <v>190.96175775916566</v>
      </c>
      <c r="BY46" s="383">
        <f>+IF($K46="Ongoing",BC46,IF(RIGHT($K46,2)=RIGHT(BY$43,2),SUM($AX46:BC46),0)+IF(RIGHT(BY$43,2)&gt;RIGHT($K46,2),BC46,0))</f>
        <v>0</v>
      </c>
      <c r="BZ46" s="384">
        <f>+IF($K46="Ongoing",BD46,IF(RIGHT($K46,2)=RIGHT(BZ$43,2),SUM($AX46:BD46),0)+IF(RIGHT(BZ$43,2)&gt;RIGHT($K46,2),BD46,0))</f>
        <v>0</v>
      </c>
      <c r="CA46" s="1276">
        <f>+IF($K46="Ongoing",BE46,IF(RIGHT($K46,2)=RIGHT(CA$43,2),SUM($AX46:BE46),0)+IF(RIGHT(CA$43,2)&gt;RIGHT($K46,2),BE46,0))</f>
        <v>0</v>
      </c>
      <c r="CB46" s="1276">
        <f>+IF($K46="Ongoing",BF46,IF(RIGHT($K46,2)=RIGHT(CB$43,2),SUM($AX46:BF46),0)+IF(RIGHT(CB$43,2)&gt;RIGHT($K46,2),BF46,0))</f>
        <v>0</v>
      </c>
      <c r="CC46" s="385">
        <f>+IF($K46="Ongoing",BG46,IF(RIGHT($K46,2)=RIGHT(CC$43,2),SUM($AX46:BG46),0)+IF(RIGHT(CC$43,2)&gt;RIGHT($K46,2),BG46,0))</f>
        <v>0</v>
      </c>
      <c r="CD46" s="1025"/>
      <c r="CE46" s="1280">
        <f>+Q46*KeyAssumptionsPriceControl_FO!AF$15</f>
        <v>20.078048780487805</v>
      </c>
      <c r="CF46" s="384">
        <f>+R46*KeyAssumptionsPriceControl_FO!AG$15</f>
        <v>70.54740749553838</v>
      </c>
      <c r="CG46" s="384">
        <f>+S46*KeyAssumptionsPriceControl_FO!AH$15</f>
        <v>70.822714451618523</v>
      </c>
      <c r="CH46" s="384">
        <f>+T46*KeyAssumptionsPriceControl_FO!AI$15</f>
        <v>34.735351280753349</v>
      </c>
      <c r="CI46" s="1281">
        <f>+U46*KeyAssumptionsPriceControl_FO!AJ$15</f>
        <v>10.196650808894871</v>
      </c>
      <c r="CJ46" s="383">
        <f>+V46*KeyAssumptionsPriceControl_FO!AK$15</f>
        <v>0</v>
      </c>
      <c r="CK46" s="384">
        <f>+W46*KeyAssumptionsPriceControl_FO!AL$15</f>
        <v>0</v>
      </c>
      <c r="CL46" s="1276">
        <f>+X46*KeyAssumptionsPriceControl_FO!AM$15</f>
        <v>0</v>
      </c>
      <c r="CM46" s="1276">
        <f>+Y46*KeyAssumptionsPriceControl_FO!AN$15</f>
        <v>0</v>
      </c>
      <c r="CN46" s="385">
        <f>+Z46*KeyAssumptionsPriceControl_FO!AO$15</f>
        <v>0</v>
      </c>
      <c r="CO46" s="1025"/>
      <c r="CP46" s="1280">
        <f ca="1">IF($M46="straight line",IF($N46=0,0,
IF($N46&lt;=0.5,CE46,
IF($J46="straight line",
IF((LEFT(CP$43,4)*1)-INT($N46)&lt;LEFT($CP$43,4)*1,0,((OFFSET(CE46,0,-INT($N46+0.5),1,1))/$N46)*(IF($N46-INT($N46)&gt;0.5,$N46-0.5-INT($N46),IF($N46-INT($N46)&lt;=0.5,$N46-0.5-INT($N46)+1,0))))
+CE46/$N46*0.5,
IF($J46="Declining Balance",-$CP$42,0)))),IFERROR(FG46,0))</f>
        <v>0</v>
      </c>
      <c r="CQ46" s="384">
        <f ca="1">IF($M46="straight line",IF($N46=0,0,
IF($N46&lt;=0.5,CF46,
IF($J46="straight line",
IF((LEFT(CQ$43,4)*1)-INT($N46)&lt;LEFT($CP$43,4)*1,0,((OFFSET(CF46,0,-INT($N46+0.5),1,1))/$N46)*(IF($N46-INT($N46)&gt;0.5,$N46-0.5-INT($N46),IF($N46-INT($N46)&lt;=0.5,$N46-0.5-INT($N46)+1,0))))
+CF46/$N46*0.5,
IF($J46="Declining Balance",-$CP$42,0)))),IFERROR(FH46,0))</f>
        <v>0</v>
      </c>
      <c r="CR46" s="384">
        <f ca="1">IF($M46="straight line",IF($N46=0,0,
IF($N46&lt;=0.5,CG46,
IF($J46="straight line",
IF((LEFT(CR$43,4)*1)-INT($N46)&lt;LEFT($CP$43,4)*1,0,((OFFSET(CG46,0,-INT($N46+0.5),1,1))/$N46)*(IF($N46-INT($N46)&gt;0.5,$N46-0.5-INT($N46),IF($N46-INT($N46)&lt;=0.5,$N46-0.5-INT($N46)+1,0))))
+CG46/$N46*0.5,
IF($J46="Declining Balance",-$CP$42,0)))),IFERROR(FI46,0))</f>
        <v>0</v>
      </c>
      <c r="CS46" s="384">
        <f ca="1">IF($M46="straight line",IF($N46=0,0,
IF($N46&lt;=0.5,CH46,
IF($J46="straight line",
IF((LEFT(CS$43,4)*1)-INT($N46)&lt;LEFT($CP$43,4)*1,0,((OFFSET(CH46,0,-INT($N46+0.5),1,1))/$N46)*(IF($N46-INT($N46)&gt;0.5,$N46-0.5-INT($N46),IF($N46-INT($N46)&lt;=0.5,$N46-0.5-INT($N46)+1,0))))
+CH46/$N46*0.5,
IF($J46="Declining Balance",-$CP$42,0)))),IFERROR(FJ46,0))</f>
        <v>0</v>
      </c>
      <c r="CT46" s="1281">
        <f t="shared" ref="CT46:CT54" ca="1" si="52">IF($M46="straight line",IF($N46=0,0,
IF($N46&lt;=0.5,CI46,
IF($J46="straight line",
IF((LEFT(CT$43,4)*1)-INT($N46)&lt;LEFT($CP$43,4)*1,0,((OFFSET(CI46,0,-INT($N46+0.5),1,1))/$N46)*(IF($N46-INT($N46)&gt;0.5,$N46-0.5-INT($N46),IF($N46-INT($N46)&lt;=0.5,$N46-0.5-INT($N46)+1,0))))
+CI46/$N46*0.5,
IF($J46="Declining Balance",-$CP$42,0)))),IFERROR(FK46,0))</f>
        <v>0</v>
      </c>
      <c r="CU46" s="383">
        <f t="shared" ref="CU46:CU54" ca="1" si="53">IF($M46="straight line",IF($N46=0,0,
IF($N46&lt;=0.5,CJ46,
IF($J46="straight line",
IF((LEFT(CU$43,4)*1)-INT($N46)&lt;LEFT($CP$43,4)*1,0,((OFFSET(CJ46,0,-INT($N46+0.5),1,1))/$N46)*(IF($N46-INT($N46)&gt;0.5,$N46-0.5-INT($N46),IF($N46-INT($N46)&lt;=0.5,$N46-0.5-INT($N46)+1,0))))
+CJ46/$N46*0.5,
IF($J46="Declining Balance",-$CP$42,0)))),IFERROR(FL46,0))</f>
        <v>0</v>
      </c>
      <c r="CV46" s="384">
        <f t="shared" ref="CV46:CV54" ca="1" si="54">IF($M46="straight line",IF($N46=0,0,
IF($N46&lt;=0.5,CK46,
IF($J46="straight line",
IF((LEFT(CV$43,4)*1)-INT($N46)&lt;LEFT($CP$43,4)*1,0,((OFFSET(CK46,0,-INT($N46+0.5),1,1))/$N46)*(IF($N46-INT($N46)&gt;0.5,$N46-0.5-INT($N46),IF($N46-INT($N46)&lt;=0.5,$N46-0.5-INT($N46)+1,0))))
+CK46/$N46*0.5,
IF($J46="Declining Balance",-$CP$42,0)))),IFERROR(FM46,0))</f>
        <v>0</v>
      </c>
      <c r="CW46" s="1276">
        <f t="shared" ref="CW46:CW54" ca="1" si="55">IF($M46="straight line",IF($N46=0,0,
IF($N46&lt;=0.5,CL46,
IF($J46="straight line",
IF((LEFT(CW$43,4)*1)-INT($N46)&lt;LEFT($CP$43,4)*1,0,((OFFSET(CL46,0,-INT($N46+0.5),1,1))/$N46)*(IF($N46-INT($N46)&gt;0.5,$N46-0.5-INT($N46),IF($N46-INT($N46)&lt;=0.5,$N46-0.5-INT($N46)+1,0))))
+CL46/$N46*0.5,
IF($J46="Declining Balance",-$CP$42,0)))),IFERROR(FN46,0))</f>
        <v>0</v>
      </c>
      <c r="CX46" s="1276">
        <f t="shared" ref="CX46:CX54" ca="1" si="56">IF($M46="straight line",IF($N46=0,0,
IF($N46&lt;=0.5,CM46,
IF($J46="straight line",
IF((LEFT(CX$43,4)*1)-INT($N46)&lt;LEFT($CP$43,4)*1,0,((OFFSET(CM46,0,-INT($N46+0.5),1,1))/$N46)*(IF($N46-INT($N46)&gt;0.5,$N46-0.5-INT($N46),IF($N46-INT($N46)&lt;=0.5,$N46-0.5-INT($N46)+1,0))))
+CM46/$N46*0.5,
IF($J46="Declining Balance",-$CP$42,0)))),IFERROR(FO46,0))</f>
        <v>0</v>
      </c>
      <c r="CY46" s="385">
        <f t="shared" ref="CY46:CY54" ca="1" si="57">IF($M46="straight line",IF($N46=0,0,
IF($N46&lt;=0.5,CN46,
IF($J46="straight line",
IF((LEFT(CY$43,4)*1)-INT($N46)&lt;LEFT($CP$43,4)*1,0,((OFFSET(CN46,0,-INT($N46+0.5),1,1))/$N46)*(IF($N46-INT($N46)&gt;0.5,$N46-0.5-INT($N46),IF($N46-INT($N46)&lt;=0.5,$N46-0.5-INT($N46)+1,0))))
+CN46/$N46*0.5,
IF($J46="Declining Balance",-$CP$42,0)))),IFERROR(FP46,0))</f>
        <v>0</v>
      </c>
      <c r="CZ46" s="347"/>
      <c r="DA46" s="852"/>
      <c r="DB46" s="347"/>
      <c r="DC46" s="1011" t="s">
        <v>517</v>
      </c>
      <c r="DD46" s="841" t="s">
        <v>518</v>
      </c>
      <c r="DE46" s="383">
        <f>+IF($K46="ongoing",CE46,IF(RIGHT($K46,2)=RIGHT(DE$43,2),SUM($CD46:CE46),0)+IF(RIGHT(DE$43,2)&gt;RIGHT($K46,2),CE46,0))</f>
        <v>0</v>
      </c>
      <c r="DF46" s="384">
        <f>+IF($K46="ongoing",CF46,IF(RIGHT($K46,2)=RIGHT(DF$43,2),SUM($CD46:CF46),0)+IF(RIGHT(DF$43,2)&gt;RIGHT($K46,2),CF46,0))</f>
        <v>0</v>
      </c>
      <c r="DG46" s="385">
        <f>+IF($K46="ongoing",CG46,IF(RIGHT($K46,2)=RIGHT(DG$43,2),SUM($CD46:CG46),0)+IF(RIGHT(DG$43,2)&gt;RIGHT($K46,2),CG46,0))</f>
        <v>0</v>
      </c>
      <c r="DH46" s="383">
        <f>+IF($K46="ongoing",CH46,IF(RIGHT($K46,2)=RIGHT(DH$43,2),SUM($CD46:CH46),0)+IF(RIGHT(DH$43,2)&gt;RIGHT($K46,2),CH46,0))</f>
        <v>0</v>
      </c>
      <c r="DI46" s="384">
        <f>+IF($K46="ongoing",CI46,IF(RIGHT($K46,2)=RIGHT(DI$43,2),SUM($CD46:CI46),0)+IF(RIGHT(DI$43,2)&gt;RIGHT($K46,2),CI46,0))</f>
        <v>0</v>
      </c>
      <c r="DJ46" s="384">
        <f>+IF($K46="ongoing",CJ46,IF(RIGHT($K46,2)=RIGHT(DJ$43,2),SUM($CD46:CJ46),0)+IF(RIGHT(DJ$43,2)&gt;RIGHT($K46,2),CJ46,0))</f>
        <v>0</v>
      </c>
      <c r="DK46" s="384">
        <f>+IF($K46="ongoing",CK46,IF(RIGHT($K46,2)=RIGHT(DK$43,2),SUM($CD46:CK46),0)+IF(RIGHT(DK$43,2)&gt;RIGHT($K46,2),CK46,0))</f>
        <v>0</v>
      </c>
      <c r="DL46" s="385">
        <f>+IF($K46="ongoing",CN46,IF(RIGHT($K46,2)=RIGHT(DL$43,2),SUM($CD46:CN46),0)+IF(RIGHT(DL$43,2)&gt;RIGHT($K46,2),CN46,0))</f>
        <v>0</v>
      </c>
      <c r="DM46" s="841"/>
      <c r="DN46" s="383">
        <f t="shared" ref="DN46:DU54" si="58">+MIN(IF($N46&lt;=$DC46,MIN($N46,1),$N46),IF(DN$44=1,0.5,DM46+1))</f>
        <v>0.5</v>
      </c>
      <c r="DO46" s="384">
        <f t="shared" si="58"/>
        <v>1</v>
      </c>
      <c r="DP46" s="385">
        <f t="shared" si="58"/>
        <v>1</v>
      </c>
      <c r="DQ46" s="383">
        <f t="shared" si="58"/>
        <v>1</v>
      </c>
      <c r="DR46" s="384">
        <f t="shared" si="58"/>
        <v>1</v>
      </c>
      <c r="DS46" s="384">
        <f t="shared" si="58"/>
        <v>1</v>
      </c>
      <c r="DT46" s="384">
        <f t="shared" si="58"/>
        <v>1</v>
      </c>
      <c r="DU46" s="385">
        <f t="shared" si="58"/>
        <v>1</v>
      </c>
      <c r="DW46" s="383">
        <f t="shared" ref="DW46:ED54" si="59">+IF(DW$44=1,0,MIN(IF($N46&lt;=$DC46,MIN($N46,1),$N46),IF(DW$44=2,0.5,DV46+1)))</f>
        <v>0</v>
      </c>
      <c r="DX46" s="384">
        <f t="shared" si="59"/>
        <v>0.5</v>
      </c>
      <c r="DY46" s="385">
        <f t="shared" si="59"/>
        <v>1</v>
      </c>
      <c r="DZ46" s="383">
        <f t="shared" si="59"/>
        <v>1</v>
      </c>
      <c r="EA46" s="384">
        <f t="shared" si="59"/>
        <v>1</v>
      </c>
      <c r="EB46" s="384">
        <f t="shared" si="59"/>
        <v>1</v>
      </c>
      <c r="EC46" s="384">
        <f t="shared" si="59"/>
        <v>1</v>
      </c>
      <c r="ED46" s="385">
        <f t="shared" si="59"/>
        <v>1</v>
      </c>
      <c r="EF46" s="830">
        <f>+IF(DN46=DM46,0,
IF(AND(EF$44&gt;1,DN46=$N46),1-SUM($EE46:EE46),
IF($N46&lt;=1,
IF($N46&gt;0,1/$N46,0),
IF(EF$44=1,0,VDB(1,0,$N46,INT(EF$44-1-1),MIN($N46,INT(EF$44-1-1)+1),$DC46,IF($DD46="No",1,0))/
IF(DM46&gt;=INT($N46),$N46-INT($N46),1)))*
IF(EF$44=1,0,
IF(INT(DN46)=INT(DM46),DN46-DM46,INT(DN46)-DM46))+
IF($N46&lt;=1,
IF($N46&gt;0,1/$N46,0),VDB(1,0,$N46,INT(EF$44-1),MIN($N46,INT(EF$44-1)+1),$DC46,IF($DD46="No",1,0))/
IF(DN46&gt;INT($N46),$N46-INT($N46),1))*
IF(EF$44=1,DN46,
IF(INT(DN46)=INT(DM46),0,DN46-INT(DN46)))))</f>
        <v>0</v>
      </c>
      <c r="EG46" s="831">
        <f>+IF(DO46=DN46,0,
IF(AND(EG$44&gt;1,DO46=$N46),1-SUM($EE46:EF46),
IF($N46&lt;=1,
IF($N46&gt;0,1/$N46,0),
IF(EG$44=1,0,VDB(1,0,$N46,INT(EG$44-1-1),MIN($N46,INT(EG$44-1-1)+1),$DC46,IF($DD46="No",1,0))/
IF(DN46&gt;=INT($N46),$N46-INT($N46),1)))*
IF(EG$44=1,0,
IF(INT(DO46)=INT(DN46),DO46-DN46,INT(DO46)-DN46))+
IF($N46&lt;=1,
IF($N46&gt;0,1/$N46,0),VDB(1,0,$N46,INT(EG$44-1),MIN($N46,INT(EG$44-1)+1),$DC46,IF($DD46="No",1,0))/
IF(DO46&gt;INT($N46),$N46-INT($N46),1))*
IF(EG$44=1,DO46,
IF(INT(DO46)=INT(DN46),0,DO46-INT(DO46)))))</f>
        <v>0</v>
      </c>
      <c r="EH46" s="832">
        <f>+IF(DP46=DO46,0,
IF(AND(EH$44&gt;1,DP46=$N46),1-SUM($EE46:EG46),
IF($N46&lt;=1,
IF($N46&gt;0,1/$N46,0),
IF(EH$44=1,0,VDB(1,0,$N46,INT(EH$44-1-1),MIN($N46,INT(EH$44-1-1)+1),$DC46,IF($DD46="No",1,0))/
IF(DO46&gt;=INT($N46),$N46-INT($N46),1)))*
IF(EH$44=1,0,
IF(INT(DP46)=INT(DO46),DP46-DO46,INT(DP46)-DO46))+
IF($N46&lt;=1,
IF($N46&gt;0,1/$N46,0),VDB(1,0,$N46,INT(EH$44-1),MIN($N46,INT(EH$44-1)+1),$DC46,IF($DD46="No",1,0))/
IF(DP46&gt;INT($N46),$N46-INT($N46),1))*
IF(EH$44=1,DP46,
IF(INT(DP46)=INT(DO46),0,DP46-INT(DP46)))))</f>
        <v>0</v>
      </c>
      <c r="EI46" s="830">
        <f>+IF(DQ46=DP46,0,
IF(AND(EI$44&gt;1,DQ46=$N46),1-SUM($EE46:EH46),
IF($N46&lt;=1,
IF($N46&gt;0,1/$N46,0),
IF(EI$44=1,0,VDB(1,0,$N46,INT(EI$44-1-1),MIN($N46,INT(EI$44-1-1)+1),$DC46,IF($DD46="No",1,0))/
IF(DP46&gt;=INT($N46),$N46-INT($N46),1)))*
IF(EI$44=1,0,
IF(INT(DQ46)=INT(DP46),DQ46-DP46,INT(DQ46)-DP46))+
IF($N46&lt;=1,
IF($N46&gt;0,1/$N46,0),VDB(1,0,$N46,INT(EI$44-1),MIN($N46,INT(EI$44-1)+1),$DC46,IF($DD46="No",1,0))/
IF(DQ46&gt;INT($N46),$N46-INT($N46),1))*
IF(EI$44=1,DQ46,
IF(INT(DQ46)=INT(DP46),0,DQ46-INT(DQ46)))))</f>
        <v>0</v>
      </c>
      <c r="EJ46" s="831">
        <f>+IF(DR46=DQ46,0,
IF(AND(EJ$44&gt;1,DR46=$N46),1-SUM($EE46:EI46),
IF($N46&lt;=1,
IF($N46&gt;0,1/$N46,0),
IF(EJ$44=1,0,VDB(1,0,$N46,INT(EJ$44-1-1),MIN($N46,INT(EJ$44-1-1)+1),$DC46,IF($DD46="No",1,0))/
IF(DQ46&gt;=INT($N46),$N46-INT($N46),1)))*
IF(EJ$44=1,0,
IF(INT(DR46)=INT(DQ46),DR46-DQ46,INT(DR46)-DQ46))+
IF($N46&lt;=1,
IF($N46&gt;0,1/$N46,0),VDB(1,0,$N46,INT(EJ$44-1),MIN($N46,INT(EJ$44-1)+1),$DC46,IF($DD46="No",1,0))/
IF(DR46&gt;INT($N46),$N46-INT($N46),1))*
IF(EJ$44=1,DR46,
IF(INT(DR46)=INT(DQ46),0,DR46-INT(DR46)))))</f>
        <v>0</v>
      </c>
      <c r="EK46" s="831">
        <f>+IF(DS46=DR46,0,
IF(AND(EK$44&gt;1,DS46=$N46),1-SUM($EE46:EJ46),
IF($N46&lt;=1,
IF($N46&gt;0,1/$N46,0),
IF(EK$44=1,0,VDB(1,0,$N46,INT(EK$44-1-1),MIN($N46,INT(EK$44-1-1)+1),$DC46,IF($DD46="No",1,0))/
IF(DR46&gt;=INT($N46),$N46-INT($N46),1)))*
IF(EK$44=1,0,
IF(INT(DS46)=INT(DR46),DS46-DR46,INT(DS46)-DR46))+
IF($N46&lt;=1,
IF($N46&gt;0,1/$N46,0),VDB(1,0,$N46,INT(EK$44-1),MIN($N46,INT(EK$44-1)+1),$DC46,IF($DD46="No",1,0))/
IF(DS46&gt;INT($N46),$N46-INT($N46),1))*
IF(EK$44=1,DS46,
IF(INT(DS46)=INT(DR46),0,DS46-INT(DS46)))))</f>
        <v>0</v>
      </c>
      <c r="EL46" s="831">
        <f>+IF(DT46=DS46,0,
IF(AND(EL$44&gt;1,DT46=$N46),1-SUM($EE46:EK46),
IF($N46&lt;=1,
IF($N46&gt;0,1/$N46,0),
IF(EL$44=1,0,VDB(1,0,$N46,INT(EL$44-1-1),MIN($N46,INT(EL$44-1-1)+1),$DC46,IF($DD46="No",1,0))/
IF(DS46&gt;=INT($N46),$N46-INT($N46),1)))*
IF(EL$44=1,0,
IF(INT(DT46)=INT(DS46),DT46-DS46,INT(DT46)-DS46))+
IF($N46&lt;=1,
IF($N46&gt;0,1/$N46,0),VDB(1,0,$N46,INT(EL$44-1),MIN($N46,INT(EL$44-1)+1),$DC46,IF($DD46="No",1,0))/
IF(DT46&gt;INT($N46),$N46-INT($N46),1))*
IF(EL$44=1,DT46,
IF(INT(DT46)=INT(DS46),0,DT46-INT(DT46)))))</f>
        <v>0</v>
      </c>
      <c r="EM46" s="832">
        <f>+IF(DU46=DT46,0,
IF(AND(EM$44&gt;1,DU46=$N46),1-SUM($EE46:EL46),
IF($N46&lt;=1,
IF($N46&gt;0,1/$N46,0),
IF(EM$44=1,0,VDB(1,0,$N46,INT(EM$44-1-1),MIN($N46,INT(EM$44-1-1)+1),$DC46,IF($DD46="No",1,0))/
IF(DT46&gt;=INT($N46),$N46-INT($N46),1)))*
IF(EM$44=1,0,
IF(INT(DU46)=INT(DT46),DU46-DT46,INT(DU46)-DT46))+
IF($N46&lt;=1,
IF($N46&gt;0,1/$N46,0),VDB(1,0,$N46,INT(EM$44-1),MIN($N46,INT(EM$44-1)+1),$DC46,IF($DD46="No",1,0))/
IF(DU46&gt;INT($N46),$N46-INT($N46),1))*
IF(EM$44=1,DU46,
IF(INT(DU46)=INT(DT46),0,DU46-INT(DU46)))))</f>
        <v>0</v>
      </c>
      <c r="EN46" s="833"/>
      <c r="EO46" s="830">
        <f>+IF(OR(DW46=DV46,EO$44=1),0,
IF(AND(EO$44&gt;1,DW46=$N46),1-SUM($EN46:EN46),
IF($N46&lt;=1,
IF($N46&gt;0,1/$N46,0),
IF(EO$44=2,0,VDB(1,0,$N46,INT(EO$44-2-1),MIN($N46,INT(EO$44-2-1)+1),$DC46,IF($DD46="No",1,0))/
IF(DV46&gt;=INT($N46),$N46-INT($N46),1)))*
IF(EO$44=2,0,
IF(INT(DW46)=INT(DV46),DW46-DV46,INT(DW46)-DV46))+
IF($N46&lt;=1,
IF($N46&gt;0,1/$N46,0),VDB(1,0,$N46,INT(EO$44-2),MIN($N46,INT(EO$44-2)+1),$DC46,IF($DD46="No",1,0))/
IF(DW46&gt;INT($N46),$N46-INT($N46),1))*
IF(EO$44=2,DW46,
IF(INT(DW46)=INT(DV46),0,DW46-INT(DW46)))))</f>
        <v>0</v>
      </c>
      <c r="EP46" s="831">
        <f>+IF(OR(DX46=DW46,EP$44=1),0,
IF(AND(EP$44&gt;1,DX46=$N46),1-SUM($EN46:EO46),
IF($N46&lt;=1,
IF($N46&gt;0,1/$N46,0),
IF(EP$44=2,0,VDB(1,0,$N46,INT(EP$44-2-1),MIN($N46,INT(EP$44-2-1)+1),$DC46,IF($DD46="No",1,0))/
IF(DW46&gt;=INT($N46),$N46-INT($N46),1)))*
IF(EP$44=2,0,
IF(INT(DX46)=INT(DW46),DX46-DW46,INT(DX46)-DW46))+
IF($N46&lt;=1,
IF($N46&gt;0,1/$N46,0),VDB(1,0,$N46,INT(EP$44-2),MIN($N46,INT(EP$44-2)+1),$DC46,IF($DD46="No",1,0))/
IF(DX46&gt;INT($N46),$N46-INT($N46),1))*
IF(EP$44=2,DX46,
IF(INT(DX46)=INT(DW46),0,DX46-INT(DX46)))))</f>
        <v>0</v>
      </c>
      <c r="EQ46" s="832">
        <f>+IF(OR(DY46=DX46,EQ$44=1),0,
IF(AND(EQ$44&gt;1,DY46=$N46),1-SUM($EN46:EP46),
IF($N46&lt;=1,
IF($N46&gt;0,1/$N46,0),
IF(EQ$44=2,0,VDB(1,0,$N46,INT(EQ$44-2-1),MIN($N46,INT(EQ$44-2-1)+1),$DC46,IF($DD46="No",1,0))/
IF(DX46&gt;=INT($N46),$N46-INT($N46),1)))*
IF(EQ$44=2,0,
IF(INT(DY46)=INT(DX46),DY46-DX46,INT(DY46)-DX46))+
IF($N46&lt;=1,
IF($N46&gt;0,1/$N46,0),VDB(1,0,$N46,INT(EQ$44-2),MIN($N46,INT(EQ$44-2)+1),$DC46,IF($DD46="No",1,0))/
IF(DY46&gt;INT($N46),$N46-INT($N46),1))*
IF(EQ$44=2,DY46,
IF(INT(DY46)=INT(DX46),0,DY46-INT(DY46)))))</f>
        <v>0</v>
      </c>
      <c r="ER46" s="830">
        <f>+IF(OR(DZ46=DY46,ER$44=1),0,
IF(AND(ER$44&gt;1,DZ46=$N46),1-SUM($EN46:EQ46),
IF($N46&lt;=1,
IF($N46&gt;0,1/$N46,0),
IF(ER$44=2,0,VDB(1,0,$N46,INT(ER$44-2-1),MIN($N46,INT(ER$44-2-1)+1),$DC46,IF($DD46="No",1,0))/
IF(DY46&gt;=INT($N46),$N46-INT($N46),1)))*
IF(ER$44=2,0,
IF(INT(DZ46)=INT(DY46),DZ46-DY46,INT(DZ46)-DY46))+
IF($N46&lt;=1,
IF($N46&gt;0,1/$N46,0),VDB(1,0,$N46,INT(ER$44-2),MIN($N46,INT(ER$44-2)+1),$DC46,IF($DD46="No",1,0))/
IF(DZ46&gt;INT($N46),$N46-INT($N46),1))*
IF(ER$44=2,DZ46,
IF(INT(DZ46)=INT(DY46),0,DZ46-INT(DZ46)))))</f>
        <v>0</v>
      </c>
      <c r="ES46" s="831">
        <f>+IF(OR(EA46=DZ46,ES$44=1),0,
IF(AND(ES$44&gt;1,EA46=$N46),1-SUM($EN46:ER46),
IF($N46&lt;=1,
IF($N46&gt;0,1/$N46,0),
IF(ES$44=2,0,VDB(1,0,$N46,INT(ES$44-2-1),MIN($N46,INT(ES$44-2-1)+1),$DC46,IF($DD46="No",1,0))/
IF(DZ46&gt;=INT($N46),$N46-INT($N46),1)))*
IF(ES$44=2,0,
IF(INT(EA46)=INT(DZ46),EA46-DZ46,INT(EA46)-DZ46))+
IF($N46&lt;=1,
IF($N46&gt;0,1/$N46,0),VDB(1,0,$N46,INT(ES$44-2),MIN($N46,INT(ES$44-2)+1),$DC46,IF($DD46="No",1,0))/
IF(EA46&gt;INT($N46),$N46-INT($N46),1))*
IF(ES$44=2,EA46,
IF(INT(EA46)=INT(DZ46),0,EA46-INT(EA46)))))</f>
        <v>0</v>
      </c>
      <c r="ET46" s="831">
        <f>+IF(OR(EB46=EA46,ET$44=1),0,
IF(AND(ET$44&gt;1,EB46=$N46),1-SUM($EN46:ES46),
IF($N46&lt;=1,
IF($N46&gt;0,1/$N46,0),
IF(ET$44=2,0,VDB(1,0,$N46,INT(ET$44-2-1),MIN($N46,INT(ET$44-2-1)+1),$DC46,IF($DD46="No",1,0))/
IF(EA46&gt;=INT($N46),$N46-INT($N46),1)))*
IF(ET$44=2,0,
IF(INT(EB46)=INT(EA46),EB46-EA46,INT(EB46)-EA46))+
IF($N46&lt;=1,
IF($N46&gt;0,1/$N46,0),VDB(1,0,$N46,INT(ET$44-2),MIN($N46,INT(ET$44-2)+1),$DC46,IF($DD46="No",1,0))/
IF(EB46&gt;INT($N46),$N46-INT($N46),1))*
IF(ET$44=2,EB46,
IF(INT(EB46)=INT(EA46),0,EB46-INT(EB46)))))</f>
        <v>0</v>
      </c>
      <c r="EU46" s="831">
        <f>+IF(OR(EC46=EB46,EU$44=1),0,
IF(AND(EU$44&gt;1,EC46=$N46),1-SUM($EN46:ET46),
IF($N46&lt;=1,
IF($N46&gt;0,1/$N46,0),
IF(EU$44=2,0,VDB(1,0,$N46,INT(EU$44-2-1),MIN($N46,INT(EU$44-2-1)+1),$DC46,IF($DD46="No",1,0))/
IF(EB46&gt;=INT($N46),$N46-INT($N46),1)))*
IF(EU$44=2,0,
IF(INT(EC46)=INT(EB46),EC46-EB46,INT(EC46)-EB46))+
IF($N46&lt;=1,
IF($N46&gt;0,1/$N46,0),VDB(1,0,$N46,INT(EU$44-2),MIN($N46,INT(EU$44-2)+1),$DC46,IF($DD46="No",1,0))/
IF(EC46&gt;INT($N46),$N46-INT($N46),1))*
IF(EU$44=2,EC46,
IF(INT(EC46)=INT(EB46),0,EC46-INT(EC46)))))</f>
        <v>0</v>
      </c>
      <c r="EV46" s="832">
        <f>+IF(OR(ED46=EC46,EV$44=1),0,
IF(AND(EV$44&gt;1,ED46=$N46),1-SUM($EN46:EU46),
IF($N46&lt;=1,
IF($N46&gt;0,1/$N46,0),
IF(EV$44=2,0,VDB(1,0,$N46,INT(EV$44-2-1),MIN($N46,INT(EV$44-2-1)+1),$DC46,IF($DD46="No",1,0))/
IF(EC46&gt;=INT($N46),$N46-INT($N46),1)))*
IF(EV$44=2,0,
IF(INT(ED46)=INT(EC46),ED46-EC46,INT(ED46)-EC46))+
IF($N46&lt;=1,
IF($N46&gt;0,1/$N46,0),VDB(1,0,$N46,INT(EV$44-2),MIN($N46,INT(EV$44-2)+1),$DC46,IF($DD46="No",1,0))/
IF(ED46&gt;INT($N46),$N46-INT($N46),1))*
IF(EV$44=2,ED46,
IF(INT(ED46)=INT(EC46),0,ED46-INT(ED46)))))</f>
        <v>0</v>
      </c>
      <c r="EW46" s="833"/>
      <c r="EX46" s="830">
        <f t="shared" ref="EX46:FE60" ca="1" si="60">+OFFSET($EO46,0,MAX($EX$44:$HY$44)-EX$44)</f>
        <v>0</v>
      </c>
      <c r="EY46" s="831">
        <f t="shared" ca="1" si="60"/>
        <v>0</v>
      </c>
      <c r="EZ46" s="832">
        <f t="shared" ca="1" si="60"/>
        <v>0</v>
      </c>
      <c r="FA46" s="830">
        <f t="shared" ca="1" si="60"/>
        <v>0</v>
      </c>
      <c r="FB46" s="831">
        <f t="shared" ca="1" si="60"/>
        <v>0</v>
      </c>
      <c r="FC46" s="831">
        <f t="shared" ca="1" si="60"/>
        <v>0</v>
      </c>
      <c r="FD46" s="831">
        <f t="shared" ca="1" si="60"/>
        <v>0</v>
      </c>
      <c r="FE46" s="832">
        <f t="shared" ca="1" si="60"/>
        <v>0</v>
      </c>
      <c r="FG46" s="383">
        <f ca="1">-(-$DE46*(-ISBLANK($DE46)+1)*EF46-
IF(FG$44&gt;1,SUMPRODUCT(OFFSET($DF46,0,0,1,FG$44-1)*(-ISBLANK(OFFSET($DF46,0,0,1,FG$44-1))+1),OFFSET($EX46,0,MAX($FG$44:$HY$44)-FG$44,1,FG$44-1)),0))</f>
        <v>0</v>
      </c>
      <c r="FH46" s="384">
        <f t="shared" ref="FH46:FH54" ca="1" si="61">-(-$DE46*(-ISBLANK($DE46)+1)*EG46-
IF(FH$44&gt;1,SUMPRODUCT(OFFSET($DF46,0,0,1,FH$44-1)*(-ISBLANK(OFFSET($DF46,0,0,1,FH$44-1))+1),OFFSET($EX46,0,MAX($FG$44:$HY$44)-FH$44,1,FH$44-1)),0))</f>
        <v>0</v>
      </c>
      <c r="FI46" s="385">
        <f t="shared" ref="FI46:FI54" ca="1" si="62">-(-$DE46*(-ISBLANK($DE46)+1)*EH46-
IF(FI$44&gt;1,SUMPRODUCT(OFFSET($DF46,0,0,1,FI$44-1)*(-ISBLANK(OFFSET($DF46,0,0,1,FI$44-1))+1),OFFSET($EX46,0,MAX($FG$44:$HY$44)-FI$44,1,FI$44-1)),0))</f>
        <v>0</v>
      </c>
      <c r="FJ46" s="383">
        <f t="shared" ref="FJ46:FJ54" ca="1" si="63">-(-$DE46*(-ISBLANK($DE46)+1)*EI46-
IF(FJ$44&gt;1,SUMPRODUCT(OFFSET($DF46,0,0,1,FJ$44-1)*(-ISBLANK(OFFSET($DF46,0,0,1,FJ$44-1))+1),OFFSET($EX46,0,MAX($FG$44:$HY$44)-FJ$44,1,FJ$44-1)),0))</f>
        <v>0</v>
      </c>
      <c r="FK46" s="384">
        <f t="shared" ref="FK46:FK54" ca="1" si="64">-(-$DE46*(-ISBLANK($DE46)+1)*EJ46-
IF(FK$44&gt;1,SUMPRODUCT(OFFSET($DF46,0,0,1,FK$44-1)*(-ISBLANK(OFFSET($DF46,0,0,1,FK$44-1))+1),OFFSET($EX46,0,MAX($FG$44:$HY$44)-FK$44,1,FK$44-1)),0))</f>
        <v>0</v>
      </c>
      <c r="FL46" s="384">
        <f t="shared" ref="FL46:FL54" ca="1" si="65">-(-$DE46*(-ISBLANK($DE46)+1)*EK46-
IF(FL$44&gt;1,SUMPRODUCT(OFFSET($DF46,0,0,1,FL$44-1)*(-ISBLANK(OFFSET($DF46,0,0,1,FL$44-1))+1),OFFSET($EX46,0,MAX($FG$44:$HY$44)-FL$44,1,FL$44-1)),0))</f>
        <v>0</v>
      </c>
      <c r="FM46" s="384">
        <f t="shared" ref="FM46:FM54" ca="1" si="66">-(-$DE46*(-ISBLANK($DE46)+1)*EL46-
IF(FM$44&gt;1,SUMPRODUCT(OFFSET($DF46,0,0,1,FM$44-1)*(-ISBLANK(OFFSET($DF46,0,0,1,FM$44-1))+1),OFFSET($EX46,0,MAX($FG$44:$HY$44)-FM$44,1,FM$44-1)),0))</f>
        <v>0</v>
      </c>
      <c r="FN46" s="385">
        <f t="shared" ref="FN46:FN54" ca="1" si="67">-(-$DE46*(-ISBLANK($DE46)+1)*EM46-
IF(FN$44&gt;1,SUMPRODUCT(OFFSET($DF46,0,0,1,FN$44-1)*(-ISBLANK(OFFSET($DF46,0,0,1,FN$44-1))+1),OFFSET($EX46,0,MAX($FG$44:$HY$44)-FN$44,1,FN$44-1)),0))</f>
        <v>0</v>
      </c>
      <c r="FR46" s="116"/>
    </row>
    <row r="47" spans="2:174">
      <c r="B47" s="1410">
        <f>B46+1</f>
        <v>2</v>
      </c>
      <c r="C47" s="400" t="s">
        <v>519</v>
      </c>
      <c r="D47" s="401"/>
      <c r="E47" s="402" t="s">
        <v>401</v>
      </c>
      <c r="F47" s="402" t="s">
        <v>520</v>
      </c>
      <c r="G47" s="400" t="s">
        <v>515</v>
      </c>
      <c r="H47" s="2088" t="s">
        <v>481</v>
      </c>
      <c r="I47" s="2089"/>
      <c r="J47" s="1967" t="s">
        <v>516</v>
      </c>
      <c r="K47" s="403" t="s">
        <v>112</v>
      </c>
      <c r="L47" s="403">
        <v>25</v>
      </c>
      <c r="M47" s="403" t="s">
        <v>142</v>
      </c>
      <c r="N47" s="403"/>
      <c r="O47" s="347"/>
      <c r="P47" s="347"/>
      <c r="Q47" s="1021">
        <v>1.4643902439024392</v>
      </c>
      <c r="R47" s="1022">
        <v>4.7590719809637125</v>
      </c>
      <c r="S47" s="1022">
        <v>9.2859941091974907</v>
      </c>
      <c r="T47" s="1022">
        <v>16.891555768516877</v>
      </c>
      <c r="U47" s="1023">
        <v>66.289071570713801</v>
      </c>
      <c r="V47" s="1021">
        <v>0</v>
      </c>
      <c r="W47" s="1022">
        <v>0</v>
      </c>
      <c r="X47" s="1022">
        <v>0</v>
      </c>
      <c r="Y47" s="1022">
        <v>0</v>
      </c>
      <c r="Z47" s="1023">
        <v>0</v>
      </c>
      <c r="AA47" s="1024"/>
      <c r="AB47" s="1021">
        <v>0</v>
      </c>
      <c r="AC47" s="1022">
        <v>0</v>
      </c>
      <c r="AD47" s="1022">
        <v>0</v>
      </c>
      <c r="AE47" s="1022">
        <v>0</v>
      </c>
      <c r="AF47" s="1023">
        <v>0</v>
      </c>
      <c r="AG47" s="1021">
        <v>0</v>
      </c>
      <c r="AH47" s="1022">
        <v>0</v>
      </c>
      <c r="AI47" s="1022">
        <v>0</v>
      </c>
      <c r="AJ47" s="1022">
        <v>0</v>
      </c>
      <c r="AK47" s="1023">
        <v>0</v>
      </c>
      <c r="AL47" s="1024"/>
      <c r="AM47" s="1021">
        <v>0</v>
      </c>
      <c r="AN47" s="1022">
        <v>0</v>
      </c>
      <c r="AO47" s="1022">
        <v>0</v>
      </c>
      <c r="AP47" s="1022">
        <v>0</v>
      </c>
      <c r="AQ47" s="1023">
        <v>0</v>
      </c>
      <c r="AR47" s="1021">
        <v>0</v>
      </c>
      <c r="AS47" s="1022">
        <v>0</v>
      </c>
      <c r="AT47" s="1022">
        <v>0</v>
      </c>
      <c r="AU47" s="1022">
        <v>0</v>
      </c>
      <c r="AV47" s="1023">
        <v>0</v>
      </c>
      <c r="AW47" s="1025"/>
      <c r="AX47" s="1282">
        <f t="shared" si="38"/>
        <v>1.4643902439024392</v>
      </c>
      <c r="AY47" s="387">
        <f t="shared" si="39"/>
        <v>4.7590719809637125</v>
      </c>
      <c r="AZ47" s="387">
        <f t="shared" si="40"/>
        <v>9.2859941091974907</v>
      </c>
      <c r="BA47" s="387">
        <f t="shared" si="41"/>
        <v>16.891555768516877</v>
      </c>
      <c r="BB47" s="1283">
        <f t="shared" si="42"/>
        <v>66.289071570713801</v>
      </c>
      <c r="BC47" s="386">
        <f t="shared" si="43"/>
        <v>0</v>
      </c>
      <c r="BD47" s="387">
        <f t="shared" si="44"/>
        <v>0</v>
      </c>
      <c r="BE47" s="1277">
        <f t="shared" si="45"/>
        <v>0</v>
      </c>
      <c r="BF47" s="1277">
        <f t="shared" si="45"/>
        <v>0</v>
      </c>
      <c r="BG47" s="388">
        <f t="shared" si="45"/>
        <v>0</v>
      </c>
      <c r="BH47" s="1025"/>
      <c r="BI47" s="1282">
        <f t="shared" ca="1" si="46"/>
        <v>0</v>
      </c>
      <c r="BJ47" s="387">
        <f t="shared" ca="1" si="47"/>
        <v>0</v>
      </c>
      <c r="BK47" s="387">
        <f t="shared" ca="1" si="48"/>
        <v>0</v>
      </c>
      <c r="BL47" s="387">
        <f t="shared" ca="1" si="49"/>
        <v>0</v>
      </c>
      <c r="BM47" s="1283">
        <f t="shared" ca="1" si="50"/>
        <v>1.9738016734658865</v>
      </c>
      <c r="BN47" s="386">
        <f t="shared" ca="1" si="51"/>
        <v>3.9476033469317731</v>
      </c>
      <c r="BO47" s="387">
        <f t="shared" ca="1" si="51"/>
        <v>3.9476033469317731</v>
      </c>
      <c r="BP47" s="1277">
        <f t="shared" ca="1" si="51"/>
        <v>3.9476033469317731</v>
      </c>
      <c r="BQ47" s="1277">
        <f t="shared" ca="1" si="51"/>
        <v>3.9476033469317731</v>
      </c>
      <c r="BR47" s="388">
        <f t="shared" ca="1" si="51"/>
        <v>3.9476033469317731</v>
      </c>
      <c r="BS47" s="1025"/>
      <c r="BT47" s="1282">
        <f>+IF($K47="Ongoing",AX47,IF(RIGHT($K47,2)=RIGHT(BT$43,2),SUM($AX47:AX47),0)+IF(RIGHT(BT$43,2)&gt;RIGHT($K47,2),AX47,0))</f>
        <v>0</v>
      </c>
      <c r="BU47" s="387">
        <f>+IF($K47="Ongoing",AY47,IF(RIGHT($K47,2)=RIGHT(BU$43,2),SUM($AX47:AY47),0)+IF(RIGHT(BU$43,2)&gt;RIGHT($K47,2),AY47,0))</f>
        <v>0</v>
      </c>
      <c r="BV47" s="387">
        <f>+IF($K47="Ongoing",AZ47,IF(RIGHT($K47,2)=RIGHT(BV$43,2),SUM($AX47:AZ47),0)+IF(RIGHT(BV$43,2)&gt;RIGHT($K47,2),AZ47,0))</f>
        <v>0</v>
      </c>
      <c r="BW47" s="387">
        <f>+IF($K47="Ongoing",BA47,IF(RIGHT($K47,2)=RIGHT(BW$43,2),SUM($AX47:BA47),0)+IF(RIGHT(BW$43,2)&gt;RIGHT($K47,2),BA47,0))</f>
        <v>0</v>
      </c>
      <c r="BX47" s="1283">
        <f>+IF($K47="Ongoing",BB47,IF(RIGHT($K47,2)=RIGHT(BX$43,2),SUM($AX47:BB47),0)+IF(RIGHT(BX$43,2)&gt;RIGHT($K47,2),BB47,0))</f>
        <v>98.690083673294325</v>
      </c>
      <c r="BY47" s="386">
        <f>+IF($K47="Ongoing",BC47,IF(RIGHT($K47,2)=RIGHT(BY$43,2),SUM($AX47:BC47),0)+IF(RIGHT(BY$43,2)&gt;RIGHT($K47,2),BC47,0))</f>
        <v>0</v>
      </c>
      <c r="BZ47" s="387">
        <f>+IF($K47="Ongoing",BD47,IF(RIGHT($K47,2)=RIGHT(BZ$43,2),SUM($AX47:BD47),0)+IF(RIGHT(BZ$43,2)&gt;RIGHT($K47,2),BD47,0))</f>
        <v>0</v>
      </c>
      <c r="CA47" s="1277">
        <f>+IF($K47="Ongoing",BE47,IF(RIGHT($K47,2)=RIGHT(CA$43,2),SUM($AX47:BE47),0)+IF(RIGHT(CA$43,2)&gt;RIGHT($K47,2),BE47,0))</f>
        <v>0</v>
      </c>
      <c r="CB47" s="1277">
        <f>+IF($K47="Ongoing",BF47,IF(RIGHT($K47,2)=RIGHT(CB$43,2),SUM($AX47:BF47),0)+IF(RIGHT(CB$43,2)&gt;RIGHT($K47,2),BF47,0))</f>
        <v>0</v>
      </c>
      <c r="CC47" s="388">
        <f>+IF($K47="Ongoing",BG47,IF(RIGHT($K47,2)=RIGHT(CC$43,2),SUM($AX47:BG47),0)+IF(RIGHT(CC$43,2)&gt;RIGHT($K47,2),BG47,0))</f>
        <v>0</v>
      </c>
      <c r="CD47" s="1025"/>
      <c r="CE47" s="1282">
        <f>+Q47*KeyAssumptionsPriceControl_FO!AF$15</f>
        <v>1.5068575609756099</v>
      </c>
      <c r="CF47" s="387">
        <f>+R47*KeyAssumptionsPriceControl_FO!AG$15</f>
        <v>5.0391005353955975</v>
      </c>
      <c r="CG47" s="387">
        <f>+S47*KeyAssumptionsPriceControl_FO!AH$15</f>
        <v>10.117530635945505</v>
      </c>
      <c r="CH47" s="387">
        <f>+T47*KeyAssumptionsPriceControl_FO!AI$15</f>
        <v>18.937870847763776</v>
      </c>
      <c r="CI47" s="1283">
        <f>+U47*KeyAssumptionsPriceControl_FO!AJ$15</f>
        <v>76.474881066711532</v>
      </c>
      <c r="CJ47" s="386">
        <f>+V47*KeyAssumptionsPriceControl_FO!AK$15</f>
        <v>0</v>
      </c>
      <c r="CK47" s="387">
        <f>+W47*KeyAssumptionsPriceControl_FO!AL$15</f>
        <v>0</v>
      </c>
      <c r="CL47" s="1277">
        <f>+X47*KeyAssumptionsPriceControl_FO!AM$15</f>
        <v>0</v>
      </c>
      <c r="CM47" s="1277">
        <f>+Y47*KeyAssumptionsPriceControl_FO!AN$15</f>
        <v>0</v>
      </c>
      <c r="CN47" s="388">
        <f>+Z47*KeyAssumptionsPriceControl_FO!AO$15</f>
        <v>0</v>
      </c>
      <c r="CO47" s="1025"/>
      <c r="CP47" s="1282">
        <f t="shared" ref="CP47:CP54" ca="1" si="68">IF($M47="straight line",IF($N47=0,0,
IF($N47&lt;=0.5,CE47,
IF($J47="straight line",
IF((LEFT(CP$43,4)*1)-INT($N47)&lt;LEFT($CP$43,4)*1,0,((OFFSET(CE47,0,-INT($N47+0.5),1,1))/$N47)*(IF($N47-INT($N47)&gt;0.5,$N47-0.5-INT($N47),IF($N47-INT($N47)&lt;=0.5,$N47-0.5-INT($N47)+1,0))))
+CE47/$N47*0.5,
IF($J47="Declining Balance",-$CP$42,0)))),IFERROR(FG47,0))</f>
        <v>0</v>
      </c>
      <c r="CQ47" s="387">
        <f t="shared" ref="CQ47:CQ54" ca="1" si="69">IF($M47="straight line",IF($N47=0,0,
IF($N47&lt;=0.5,CF47,
IF($J47="straight line",
IF((LEFT(CQ$43,4)*1)-INT($N47)&lt;LEFT($CP$43,4)*1,0,((OFFSET(CF47,0,-INT($N47+0.5),1,1))/$N47)*(IF($N47-INT($N47)&gt;0.5,$N47-0.5-INT($N47),IF($N47-INT($N47)&lt;=0.5,$N47-0.5-INT($N47)+1,0))))
+CF47/$N47*0.5,
IF($J47="Declining Balance",-$CP$42,0)))),IFERROR(FH47,0))</f>
        <v>0</v>
      </c>
      <c r="CR47" s="387">
        <f t="shared" ref="CR47:CR54" ca="1" si="70">IF($M47="straight line",IF($N47=0,0,
IF($N47&lt;=0.5,CG47,
IF($J47="straight line",
IF((LEFT(CR$43,4)*1)-INT($N47)&lt;LEFT($CP$43,4)*1,0,((OFFSET(CG47,0,-INT($N47+0.5),1,1))/$N47)*(IF($N47-INT($N47)&gt;0.5,$N47-0.5-INT($N47),IF($N47-INT($N47)&lt;=0.5,$N47-0.5-INT($N47)+1,0))))
+CG47/$N47*0.5,
IF($J47="Declining Balance",-$CP$42,0)))),IFERROR(FI47,0))</f>
        <v>0</v>
      </c>
      <c r="CS47" s="387">
        <f t="shared" ref="CS47:CS54" ca="1" si="71">IF($M47="straight line",IF($N47=0,0,
IF($N47&lt;=0.5,CH47,
IF($J47="straight line",
IF((LEFT(CS$43,4)*1)-INT($N47)&lt;LEFT($CP$43,4)*1,0,((OFFSET(CH47,0,-INT($N47+0.5),1,1))/$N47)*(IF($N47-INT($N47)&gt;0.5,$N47-0.5-INT($N47),IF($N47-INT($N47)&lt;=0.5,$N47-0.5-INT($N47)+1,0))))
+CH47/$N47*0.5,
IF($J47="Declining Balance",-$CP$42,0)))),IFERROR(FJ47,0))</f>
        <v>0</v>
      </c>
      <c r="CT47" s="1283">
        <f t="shared" ca="1" si="52"/>
        <v>0</v>
      </c>
      <c r="CU47" s="386">
        <f t="shared" ca="1" si="53"/>
        <v>0</v>
      </c>
      <c r="CV47" s="387">
        <f t="shared" ca="1" si="54"/>
        <v>0</v>
      </c>
      <c r="CW47" s="1277">
        <f t="shared" ca="1" si="55"/>
        <v>0</v>
      </c>
      <c r="CX47" s="1277">
        <f t="shared" ca="1" si="56"/>
        <v>0</v>
      </c>
      <c r="CY47" s="388">
        <f t="shared" ca="1" si="57"/>
        <v>0</v>
      </c>
      <c r="CZ47" s="347"/>
      <c r="DA47" s="852"/>
      <c r="DB47" s="347"/>
      <c r="DC47" s="1012" t="s">
        <v>517</v>
      </c>
      <c r="DD47" s="841" t="s">
        <v>518</v>
      </c>
      <c r="DE47" s="386">
        <f>+IF($K47="ongoing",CE47,IF(RIGHT($K47,2)=RIGHT(DE$43,2),SUM($CD47:CE47),0)+IF(RIGHT(DE$43,2)&gt;RIGHT($K47,2),CE47,0))</f>
        <v>0</v>
      </c>
      <c r="DF47" s="387">
        <f>+IF($K47="ongoing",CF47,IF(RIGHT($K47,2)=RIGHT(DF$43,2),SUM($CD47:CF47),0)+IF(RIGHT(DF$43,2)&gt;RIGHT($K47,2),CF47,0))</f>
        <v>0</v>
      </c>
      <c r="DG47" s="388">
        <f>+IF($K47="ongoing",CG47,IF(RIGHT($K47,2)=RIGHT(DG$43,2),SUM($CD47:CG47),0)+IF(RIGHT(DG$43,2)&gt;RIGHT($K47,2),CG47,0))</f>
        <v>0</v>
      </c>
      <c r="DH47" s="386">
        <f>+IF($K47="ongoing",CH47,IF(RIGHT($K47,2)=RIGHT(DH$43,2),SUM($CD47:CH47),0)+IF(RIGHT(DH$43,2)&gt;RIGHT($K47,2),CH47,0))</f>
        <v>0</v>
      </c>
      <c r="DI47" s="387">
        <f>+IF($K47="ongoing",CI47,IF(RIGHT($K47,2)=RIGHT(DI$43,2),SUM($CD47:CI47),0)+IF(RIGHT(DI$43,2)&gt;RIGHT($K47,2),CI47,0))</f>
        <v>0</v>
      </c>
      <c r="DJ47" s="387">
        <f>+IF($K47="ongoing",CJ47,IF(RIGHT($K47,2)=RIGHT(DJ$43,2),SUM($CD47:CJ47),0)+IF(RIGHT(DJ$43,2)&gt;RIGHT($K47,2),CJ47,0))</f>
        <v>0</v>
      </c>
      <c r="DK47" s="387">
        <f>+IF($K47="ongoing",CK47,IF(RIGHT($K47,2)=RIGHT(DK$43,2),SUM($CD47:CK47),0)+IF(RIGHT(DK$43,2)&gt;RIGHT($K47,2),CK47,0))</f>
        <v>0</v>
      </c>
      <c r="DL47" s="388">
        <f>+IF($K47="ongoing",CN47,IF(RIGHT($K47,2)=RIGHT(DL$43,2),SUM($CD47:CN47),0)+IF(RIGHT(DL$43,2)&gt;RIGHT($K47,2),CN47,0))</f>
        <v>0</v>
      </c>
      <c r="DM47" s="841"/>
      <c r="DN47" s="386">
        <f t="shared" si="58"/>
        <v>0.5</v>
      </c>
      <c r="DO47" s="387">
        <f t="shared" si="58"/>
        <v>1</v>
      </c>
      <c r="DP47" s="388">
        <f t="shared" si="58"/>
        <v>1</v>
      </c>
      <c r="DQ47" s="386">
        <f t="shared" si="58"/>
        <v>1</v>
      </c>
      <c r="DR47" s="387">
        <f t="shared" si="58"/>
        <v>1</v>
      </c>
      <c r="DS47" s="387">
        <f t="shared" si="58"/>
        <v>1</v>
      </c>
      <c r="DT47" s="387">
        <f t="shared" si="58"/>
        <v>1</v>
      </c>
      <c r="DU47" s="388">
        <f t="shared" si="58"/>
        <v>1</v>
      </c>
      <c r="DW47" s="386">
        <f t="shared" si="59"/>
        <v>0</v>
      </c>
      <c r="DX47" s="387">
        <f t="shared" si="59"/>
        <v>0.5</v>
      </c>
      <c r="DY47" s="388">
        <f t="shared" si="59"/>
        <v>1</v>
      </c>
      <c r="DZ47" s="386">
        <f t="shared" si="59"/>
        <v>1</v>
      </c>
      <c r="EA47" s="387">
        <f t="shared" si="59"/>
        <v>1</v>
      </c>
      <c r="EB47" s="387">
        <f t="shared" si="59"/>
        <v>1</v>
      </c>
      <c r="EC47" s="387">
        <f t="shared" si="59"/>
        <v>1</v>
      </c>
      <c r="ED47" s="388">
        <f t="shared" si="59"/>
        <v>1</v>
      </c>
      <c r="EF47" s="834">
        <f>+IF(DN47=DM47,0,
IF(AND(EF$44&gt;1,DN47=$N47),1-SUM($EE47:EE47),
IF($N47&lt;=1,
IF($N47&gt;0,1/$N47,0),
IF(EF$44=1,0,VDB(1,0,$N47,INT(EF$44-1-1),MIN($N47,INT(EF$44-1-1)+1),$DC47,IF($DD47="No",1,0))/
IF(DM47&gt;=INT($N47),$N47-INT($N47),1)))*
IF(EF$44=1,0,
IF(INT(DN47)=INT(DM47),DN47-DM47,INT(DN47)-DM47))+
IF($N47&lt;=1,
IF($N47&gt;0,1/$N47,0),VDB(1,0,$N47,INT(EF$44-1),MIN($N47,INT(EF$44-1)+1),$DC47,IF($DD47="No",1,0))/
IF(DN47&gt;INT($N47),$N47-INT($N47),1))*
IF(EF$44=1,DN47,
IF(INT(DN47)=INT(DM47),0,DN47-INT(DN47)))))</f>
        <v>0</v>
      </c>
      <c r="EG47" s="835">
        <f>+IF(DO47=DN47,0,
IF(AND(EG$44&gt;1,DO47=$N47),1-SUM($EE47:EF47),
IF($N47&lt;=1,
IF($N47&gt;0,1/$N47,0),
IF(EG$44=1,0,VDB(1,0,$N47,INT(EG$44-1-1),MIN($N47,INT(EG$44-1-1)+1),$DC47,IF($DD47="No",1,0))/
IF(DN47&gt;=INT($N47),$N47-INT($N47),1)))*
IF(EG$44=1,0,
IF(INT(DO47)=INT(DN47),DO47-DN47,INT(DO47)-DN47))+
IF($N47&lt;=1,
IF($N47&gt;0,1/$N47,0),VDB(1,0,$N47,INT(EG$44-1),MIN($N47,INT(EG$44-1)+1),$DC47,IF($DD47="No",1,0))/
IF(DO47&gt;INT($N47),$N47-INT($N47),1))*
IF(EG$44=1,DO47,
IF(INT(DO47)=INT(DN47),0,DO47-INT(DO47)))))</f>
        <v>0</v>
      </c>
      <c r="EH47" s="836">
        <f>+IF(DP47=DO47,0,
IF(AND(EH$44&gt;1,DP47=$N47),1-SUM($EE47:EG47),
IF($N47&lt;=1,
IF($N47&gt;0,1/$N47,0),
IF(EH$44=1,0,VDB(1,0,$N47,INT(EH$44-1-1),MIN($N47,INT(EH$44-1-1)+1),$DC47,IF($DD47="No",1,0))/
IF(DO47&gt;=INT($N47),$N47-INT($N47),1)))*
IF(EH$44=1,0,
IF(INT(DP47)=INT(DO47),DP47-DO47,INT(DP47)-DO47))+
IF($N47&lt;=1,
IF($N47&gt;0,1/$N47,0),VDB(1,0,$N47,INT(EH$44-1),MIN($N47,INT(EH$44-1)+1),$DC47,IF($DD47="No",1,0))/
IF(DP47&gt;INT($N47),$N47-INT($N47),1))*
IF(EH$44=1,DP47,
IF(INT(DP47)=INT(DO47),0,DP47-INT(DP47)))))</f>
        <v>0</v>
      </c>
      <c r="EI47" s="834">
        <f>+IF(DQ47=DP47,0,
IF(AND(EI$44&gt;1,DQ47=$N47),1-SUM($EE47:EH47),
IF($N47&lt;=1,
IF($N47&gt;0,1/$N47,0),
IF(EI$44=1,0,VDB(1,0,$N47,INT(EI$44-1-1),MIN($N47,INT(EI$44-1-1)+1),$DC47,IF($DD47="No",1,0))/
IF(DP47&gt;=INT($N47),$N47-INT($N47),1)))*
IF(EI$44=1,0,
IF(INT(DQ47)=INT(DP47),DQ47-DP47,INT(DQ47)-DP47))+
IF($N47&lt;=1,
IF($N47&gt;0,1/$N47,0),VDB(1,0,$N47,INT(EI$44-1),MIN($N47,INT(EI$44-1)+1),$DC47,IF($DD47="No",1,0))/
IF(DQ47&gt;INT($N47),$N47-INT($N47),1))*
IF(EI$44=1,DQ47,
IF(INT(DQ47)=INT(DP47),0,DQ47-INT(DQ47)))))</f>
        <v>0</v>
      </c>
      <c r="EJ47" s="835">
        <f>+IF(DR47=DQ47,0,
IF(AND(EJ$44&gt;1,DR47=$N47),1-SUM($EE47:EI47),
IF($N47&lt;=1,
IF($N47&gt;0,1/$N47,0),
IF(EJ$44=1,0,VDB(1,0,$N47,INT(EJ$44-1-1),MIN($N47,INT(EJ$44-1-1)+1),$DC47,IF($DD47="No",1,0))/
IF(DQ47&gt;=INT($N47),$N47-INT($N47),1)))*
IF(EJ$44=1,0,
IF(INT(DR47)=INT(DQ47),DR47-DQ47,INT(DR47)-DQ47))+
IF($N47&lt;=1,
IF($N47&gt;0,1/$N47,0),VDB(1,0,$N47,INT(EJ$44-1),MIN($N47,INT(EJ$44-1)+1),$DC47,IF($DD47="No",1,0))/
IF(DR47&gt;INT($N47),$N47-INT($N47),1))*
IF(EJ$44=1,DR47,
IF(INT(DR47)=INT(DQ47),0,DR47-INT(DR47)))))</f>
        <v>0</v>
      </c>
      <c r="EK47" s="835">
        <f>+IF(DS47=DR47,0,
IF(AND(EK$44&gt;1,DS47=$N47),1-SUM($EE47:EJ47),
IF($N47&lt;=1,
IF($N47&gt;0,1/$N47,0),
IF(EK$44=1,0,VDB(1,0,$N47,INT(EK$44-1-1),MIN($N47,INT(EK$44-1-1)+1),$DC47,IF($DD47="No",1,0))/
IF(DR47&gt;=INT($N47),$N47-INT($N47),1)))*
IF(EK$44=1,0,
IF(INT(DS47)=INT(DR47),DS47-DR47,INT(DS47)-DR47))+
IF($N47&lt;=1,
IF($N47&gt;0,1/$N47,0),VDB(1,0,$N47,INT(EK$44-1),MIN($N47,INT(EK$44-1)+1),$DC47,IF($DD47="No",1,0))/
IF(DS47&gt;INT($N47),$N47-INT($N47),1))*
IF(EK$44=1,DS47,
IF(INT(DS47)=INT(DR47),0,DS47-INT(DS47)))))</f>
        <v>0</v>
      </c>
      <c r="EL47" s="835">
        <f>+IF(DT47=DS47,0,
IF(AND(EL$44&gt;1,DT47=$N47),1-SUM($EE47:EK47),
IF($N47&lt;=1,
IF($N47&gt;0,1/$N47,0),
IF(EL$44=1,0,VDB(1,0,$N47,INT(EL$44-1-1),MIN($N47,INT(EL$44-1-1)+1),$DC47,IF($DD47="No",1,0))/
IF(DS47&gt;=INT($N47),$N47-INT($N47),1)))*
IF(EL$44=1,0,
IF(INT(DT47)=INT(DS47),DT47-DS47,INT(DT47)-DS47))+
IF($N47&lt;=1,
IF($N47&gt;0,1/$N47,0),VDB(1,0,$N47,INT(EL$44-1),MIN($N47,INT(EL$44-1)+1),$DC47,IF($DD47="No",1,0))/
IF(DT47&gt;INT($N47),$N47-INT($N47),1))*
IF(EL$44=1,DT47,
IF(INT(DT47)=INT(DS47),0,DT47-INT(DT47)))))</f>
        <v>0</v>
      </c>
      <c r="EM47" s="836">
        <f>+IF(DU47=DT47,0,
IF(AND(EM$44&gt;1,DU47=$N47),1-SUM($EE47:EL47),
IF($N47&lt;=1,
IF($N47&gt;0,1/$N47,0),
IF(EM$44=1,0,VDB(1,0,$N47,INT(EM$44-1-1),MIN($N47,INT(EM$44-1-1)+1),$DC47,IF($DD47="No",1,0))/
IF(DT47&gt;=INT($N47),$N47-INT($N47),1)))*
IF(EM$44=1,0,
IF(INT(DU47)=INT(DT47),DU47-DT47,INT(DU47)-DT47))+
IF($N47&lt;=1,
IF($N47&gt;0,1/$N47,0),VDB(1,0,$N47,INT(EM$44-1),MIN($N47,INT(EM$44-1)+1),$DC47,IF($DD47="No",1,0))/
IF(DU47&gt;INT($N47),$N47-INT($N47),1))*
IF(EM$44=1,DU47,
IF(INT(DU47)=INT(DT47),0,DU47-INT(DU47)))))</f>
        <v>0</v>
      </c>
      <c r="EN47" s="833"/>
      <c r="EO47" s="834">
        <f>+IF(OR(DW47=DV47,EO$44=1),0,
IF(AND(EO$44&gt;1,DW47=$N47),1-SUM($EN47:EN47),
IF($N47&lt;=1,
IF($N47&gt;0,1/$N47,0),
IF(EO$44=2,0,VDB(1,0,$N47,INT(EO$44-2-1),MIN($N47,INT(EO$44-2-1)+1),$DC47,IF($DD47="No",1,0))/
IF(DV47&gt;=INT($N47),$N47-INT($N47),1)))*
IF(EO$44=2,0,
IF(INT(DW47)=INT(DV47),DW47-DV47,INT(DW47)-DV47))+
IF($N47&lt;=1,
IF($N47&gt;0,1/$N47,0),VDB(1,0,$N47,INT(EO$44-2),MIN($N47,INT(EO$44-2)+1),$DC47,IF($DD47="No",1,0))/
IF(DW47&gt;INT($N47),$N47-INT($N47),1))*
IF(EO$44=2,DW47,
IF(INT(DW47)=INT(DV47),0,DW47-INT(DW47)))))</f>
        <v>0</v>
      </c>
      <c r="EP47" s="835">
        <f>+IF(OR(DX47=DW47,EP$44=1),0,
IF(AND(EP$44&gt;1,DX47=$N47),1-SUM($EN47:EO47),
IF($N47&lt;=1,
IF($N47&gt;0,1/$N47,0),
IF(EP$44=2,0,VDB(1,0,$N47,INT(EP$44-2-1),MIN($N47,INT(EP$44-2-1)+1),$DC47,IF($DD47="No",1,0))/
IF(DW47&gt;=INT($N47),$N47-INT($N47),1)))*
IF(EP$44=2,0,
IF(INT(DX47)=INT(DW47),DX47-DW47,INT(DX47)-DW47))+
IF($N47&lt;=1,
IF($N47&gt;0,1/$N47,0),VDB(1,0,$N47,INT(EP$44-2),MIN($N47,INT(EP$44-2)+1),$DC47,IF($DD47="No",1,0))/
IF(DX47&gt;INT($N47),$N47-INT($N47),1))*
IF(EP$44=2,DX47,
IF(INT(DX47)=INT(DW47),0,DX47-INT(DX47)))))</f>
        <v>0</v>
      </c>
      <c r="EQ47" s="836">
        <f>+IF(OR(DY47=DX47,EQ$44=1),0,
IF(AND(EQ$44&gt;1,DY47=$N47),1-SUM($EN47:EP47),
IF($N47&lt;=1,
IF($N47&gt;0,1/$N47,0),
IF(EQ$44=2,0,VDB(1,0,$N47,INT(EQ$44-2-1),MIN($N47,INT(EQ$44-2-1)+1),$DC47,IF($DD47="No",1,0))/
IF(DX47&gt;=INT($N47),$N47-INT($N47),1)))*
IF(EQ$44=2,0,
IF(INT(DY47)=INT(DX47),DY47-DX47,INT(DY47)-DX47))+
IF($N47&lt;=1,
IF($N47&gt;0,1/$N47,0),VDB(1,0,$N47,INT(EQ$44-2),MIN($N47,INT(EQ$44-2)+1),$DC47,IF($DD47="No",1,0))/
IF(DY47&gt;INT($N47),$N47-INT($N47),1))*
IF(EQ$44=2,DY47,
IF(INT(DY47)=INT(DX47),0,DY47-INT(DY47)))))</f>
        <v>0</v>
      </c>
      <c r="ER47" s="834">
        <f>+IF(OR(DZ47=DY47,ER$44=1),0,
IF(AND(ER$44&gt;1,DZ47=$N47),1-SUM($EN47:EQ47),
IF($N47&lt;=1,
IF($N47&gt;0,1/$N47,0),
IF(ER$44=2,0,VDB(1,0,$N47,INT(ER$44-2-1),MIN($N47,INT(ER$44-2-1)+1),$DC47,IF($DD47="No",1,0))/
IF(DY47&gt;=INT($N47),$N47-INT($N47),1)))*
IF(ER$44=2,0,
IF(INT(DZ47)=INT(DY47),DZ47-DY47,INT(DZ47)-DY47))+
IF($N47&lt;=1,
IF($N47&gt;0,1/$N47,0),VDB(1,0,$N47,INT(ER$44-2),MIN($N47,INT(ER$44-2)+1),$DC47,IF($DD47="No",1,0))/
IF(DZ47&gt;INT($N47),$N47-INT($N47),1))*
IF(ER$44=2,DZ47,
IF(INT(DZ47)=INT(DY47),0,DZ47-INT(DZ47)))))</f>
        <v>0</v>
      </c>
      <c r="ES47" s="835">
        <f>+IF(OR(EA47=DZ47,ES$44=1),0,
IF(AND(ES$44&gt;1,EA47=$N47),1-SUM($EN47:ER47),
IF($N47&lt;=1,
IF($N47&gt;0,1/$N47,0),
IF(ES$44=2,0,VDB(1,0,$N47,INT(ES$44-2-1),MIN($N47,INT(ES$44-2-1)+1),$DC47,IF($DD47="No",1,0))/
IF(DZ47&gt;=INT($N47),$N47-INT($N47),1)))*
IF(ES$44=2,0,
IF(INT(EA47)=INT(DZ47),EA47-DZ47,INT(EA47)-DZ47))+
IF($N47&lt;=1,
IF($N47&gt;0,1/$N47,0),VDB(1,0,$N47,INT(ES$44-2),MIN($N47,INT(ES$44-2)+1),$DC47,IF($DD47="No",1,0))/
IF(EA47&gt;INT($N47),$N47-INT($N47),1))*
IF(ES$44=2,EA47,
IF(INT(EA47)=INT(DZ47),0,EA47-INT(EA47)))))</f>
        <v>0</v>
      </c>
      <c r="ET47" s="835">
        <f>+IF(OR(EB47=EA47,ET$44=1),0,
IF(AND(ET$44&gt;1,EB47=$N47),1-SUM($EN47:ES47),
IF($N47&lt;=1,
IF($N47&gt;0,1/$N47,0),
IF(ET$44=2,0,VDB(1,0,$N47,INT(ET$44-2-1),MIN($N47,INT(ET$44-2-1)+1),$DC47,IF($DD47="No",1,0))/
IF(EA47&gt;=INT($N47),$N47-INT($N47),1)))*
IF(ET$44=2,0,
IF(INT(EB47)=INT(EA47),EB47-EA47,INT(EB47)-EA47))+
IF($N47&lt;=1,
IF($N47&gt;0,1/$N47,0),VDB(1,0,$N47,INT(ET$44-2),MIN($N47,INT(ET$44-2)+1),$DC47,IF($DD47="No",1,0))/
IF(EB47&gt;INT($N47),$N47-INT($N47),1))*
IF(ET$44=2,EB47,
IF(INT(EB47)=INT(EA47),0,EB47-INT(EB47)))))</f>
        <v>0</v>
      </c>
      <c r="EU47" s="835">
        <f>+IF(OR(EC47=EB47,EU$44=1),0,
IF(AND(EU$44&gt;1,EC47=$N47),1-SUM($EN47:ET47),
IF($N47&lt;=1,
IF($N47&gt;0,1/$N47,0),
IF(EU$44=2,0,VDB(1,0,$N47,INT(EU$44-2-1),MIN($N47,INT(EU$44-2-1)+1),$DC47,IF($DD47="No",1,0))/
IF(EB47&gt;=INT($N47),$N47-INT($N47),1)))*
IF(EU$44=2,0,
IF(INT(EC47)=INT(EB47),EC47-EB47,INT(EC47)-EB47))+
IF($N47&lt;=1,
IF($N47&gt;0,1/$N47,0),VDB(1,0,$N47,INT(EU$44-2),MIN($N47,INT(EU$44-2)+1),$DC47,IF($DD47="No",1,0))/
IF(EC47&gt;INT($N47),$N47-INT($N47),1))*
IF(EU$44=2,EC47,
IF(INT(EC47)=INT(EB47),0,EC47-INT(EC47)))))</f>
        <v>0</v>
      </c>
      <c r="EV47" s="836">
        <f>+IF(OR(ED47=EC47,EV$44=1),0,
IF(AND(EV$44&gt;1,ED47=$N47),1-SUM($EN47:EU47),
IF($N47&lt;=1,
IF($N47&gt;0,1/$N47,0),
IF(EV$44=2,0,VDB(1,0,$N47,INT(EV$44-2-1),MIN($N47,INT(EV$44-2-1)+1),$DC47,IF($DD47="No",1,0))/
IF(EC47&gt;=INT($N47),$N47-INT($N47),1)))*
IF(EV$44=2,0,
IF(INT(ED47)=INT(EC47),ED47-EC47,INT(ED47)-EC47))+
IF($N47&lt;=1,
IF($N47&gt;0,1/$N47,0),VDB(1,0,$N47,INT(EV$44-2),MIN($N47,INT(EV$44-2)+1),$DC47,IF($DD47="No",1,0))/
IF(ED47&gt;INT($N47),$N47-INT($N47),1))*
IF(EV$44=2,ED47,
IF(INT(ED47)=INT(EC47),0,ED47-INT(ED47)))))</f>
        <v>0</v>
      </c>
      <c r="EW47" s="833"/>
      <c r="EX47" s="834">
        <f t="shared" ca="1" si="60"/>
        <v>0</v>
      </c>
      <c r="EY47" s="835">
        <f t="shared" ca="1" si="60"/>
        <v>0</v>
      </c>
      <c r="EZ47" s="836">
        <f t="shared" ca="1" si="60"/>
        <v>0</v>
      </c>
      <c r="FA47" s="834">
        <f t="shared" ca="1" si="60"/>
        <v>0</v>
      </c>
      <c r="FB47" s="835">
        <f t="shared" ca="1" si="60"/>
        <v>0</v>
      </c>
      <c r="FC47" s="835">
        <f t="shared" ca="1" si="60"/>
        <v>0</v>
      </c>
      <c r="FD47" s="835">
        <f t="shared" ca="1" si="60"/>
        <v>0</v>
      </c>
      <c r="FE47" s="836">
        <f t="shared" ca="1" si="60"/>
        <v>0</v>
      </c>
      <c r="FG47" s="386">
        <f t="shared" ref="FG47:FG54" ca="1" si="72">-(-$DE47*(-ISBLANK($DE47)+1)*EF47-
IF(FG$44&gt;1,SUMPRODUCT(OFFSET($DF47,0,0,1,FG$44-1)*(-ISBLANK(OFFSET($DF47,0,0,1,FG$44-1))+1),OFFSET($EX47,0,MAX($FG$44:$HY$44)-FG$44,1,FG$44-1)),0))</f>
        <v>0</v>
      </c>
      <c r="FH47" s="387">
        <f t="shared" ca="1" si="61"/>
        <v>0</v>
      </c>
      <c r="FI47" s="388">
        <f t="shared" ca="1" si="62"/>
        <v>0</v>
      </c>
      <c r="FJ47" s="386">
        <f t="shared" ca="1" si="63"/>
        <v>0</v>
      </c>
      <c r="FK47" s="387">
        <f t="shared" ca="1" si="64"/>
        <v>0</v>
      </c>
      <c r="FL47" s="387">
        <f t="shared" ca="1" si="65"/>
        <v>0</v>
      </c>
      <c r="FM47" s="387">
        <f t="shared" ca="1" si="66"/>
        <v>0</v>
      </c>
      <c r="FN47" s="388">
        <f t="shared" ca="1" si="67"/>
        <v>0</v>
      </c>
      <c r="FR47" s="116"/>
    </row>
    <row r="48" spans="2:174">
      <c r="B48" s="1410">
        <f t="shared" ref="B48:B60" si="73">B47+1</f>
        <v>3</v>
      </c>
      <c r="C48" s="400" t="s">
        <v>521</v>
      </c>
      <c r="D48" s="401"/>
      <c r="E48" s="402" t="s">
        <v>402</v>
      </c>
      <c r="F48" s="402" t="s">
        <v>520</v>
      </c>
      <c r="G48" s="400" t="s">
        <v>522</v>
      </c>
      <c r="H48" s="2088" t="s">
        <v>481</v>
      </c>
      <c r="I48" s="2089"/>
      <c r="J48" s="1967" t="s">
        <v>516</v>
      </c>
      <c r="K48" s="403" t="s">
        <v>364</v>
      </c>
      <c r="L48" s="403">
        <v>35</v>
      </c>
      <c r="M48" s="403" t="s">
        <v>142</v>
      </c>
      <c r="N48" s="403"/>
      <c r="O48" s="347"/>
      <c r="P48" s="347"/>
      <c r="Q48" s="1021">
        <v>1.5118126829268295</v>
      </c>
      <c r="R48" s="1022">
        <v>2.6578065437239742</v>
      </c>
      <c r="S48" s="1022">
        <v>25.884370569202428</v>
      </c>
      <c r="T48" s="1022">
        <v>68.448183239842308</v>
      </c>
      <c r="U48" s="1023">
        <v>79.200141009284465</v>
      </c>
      <c r="V48" s="1021">
        <v>76.42717946660747</v>
      </c>
      <c r="W48" s="1022">
        <v>49.269649963641328</v>
      </c>
      <c r="X48" s="1022">
        <v>0.44735038066138832</v>
      </c>
      <c r="Y48" s="1022">
        <v>0</v>
      </c>
      <c r="Z48" s="1023">
        <v>0</v>
      </c>
      <c r="AA48" s="1024"/>
      <c r="AB48" s="1021">
        <v>0</v>
      </c>
      <c r="AC48" s="1022">
        <v>0</v>
      </c>
      <c r="AD48" s="1022">
        <v>0</v>
      </c>
      <c r="AE48" s="1022">
        <v>0</v>
      </c>
      <c r="AF48" s="1023">
        <v>0</v>
      </c>
      <c r="AG48" s="1021">
        <v>0</v>
      </c>
      <c r="AH48" s="1022">
        <v>0</v>
      </c>
      <c r="AI48" s="1022">
        <v>0</v>
      </c>
      <c r="AJ48" s="1022">
        <v>0</v>
      </c>
      <c r="AK48" s="1023">
        <v>0</v>
      </c>
      <c r="AL48" s="1024"/>
      <c r="AM48" s="1021">
        <v>0</v>
      </c>
      <c r="AN48" s="1022">
        <v>0</v>
      </c>
      <c r="AO48" s="1022">
        <v>0</v>
      </c>
      <c r="AP48" s="1022">
        <v>0</v>
      </c>
      <c r="AQ48" s="1023">
        <v>0</v>
      </c>
      <c r="AR48" s="1021">
        <v>0</v>
      </c>
      <c r="AS48" s="1022">
        <v>0</v>
      </c>
      <c r="AT48" s="1022">
        <v>0</v>
      </c>
      <c r="AU48" s="1022">
        <v>0</v>
      </c>
      <c r="AV48" s="1023">
        <v>0</v>
      </c>
      <c r="AW48" s="1025"/>
      <c r="AX48" s="1282">
        <f t="shared" si="38"/>
        <v>1.5118126829268295</v>
      </c>
      <c r="AY48" s="387">
        <f t="shared" si="39"/>
        <v>2.6578065437239742</v>
      </c>
      <c r="AZ48" s="387">
        <f t="shared" si="40"/>
        <v>25.884370569202428</v>
      </c>
      <c r="BA48" s="387">
        <f t="shared" si="41"/>
        <v>68.448183239842308</v>
      </c>
      <c r="BB48" s="1283">
        <f t="shared" si="42"/>
        <v>79.200141009284465</v>
      </c>
      <c r="BC48" s="386">
        <f t="shared" si="43"/>
        <v>76.42717946660747</v>
      </c>
      <c r="BD48" s="387">
        <f t="shared" si="44"/>
        <v>49.269649963641328</v>
      </c>
      <c r="BE48" s="1277">
        <f t="shared" si="45"/>
        <v>0.44735038066138832</v>
      </c>
      <c r="BF48" s="1277">
        <f t="shared" si="45"/>
        <v>0</v>
      </c>
      <c r="BG48" s="388">
        <f t="shared" si="45"/>
        <v>0</v>
      </c>
      <c r="BH48" s="1025"/>
      <c r="BI48" s="1282">
        <f t="shared" ca="1" si="46"/>
        <v>0</v>
      </c>
      <c r="BJ48" s="387">
        <f t="shared" ca="1" si="47"/>
        <v>0</v>
      </c>
      <c r="BK48" s="387">
        <f t="shared" ca="1" si="48"/>
        <v>0</v>
      </c>
      <c r="BL48" s="387">
        <f t="shared" ca="1" si="49"/>
        <v>0</v>
      </c>
      <c r="BM48" s="1283">
        <f t="shared" ca="1" si="50"/>
        <v>0</v>
      </c>
      <c r="BN48" s="386">
        <f t="shared" ca="1" si="51"/>
        <v>0</v>
      </c>
      <c r="BO48" s="387">
        <f t="shared" ca="1" si="51"/>
        <v>0</v>
      </c>
      <c r="BP48" s="1277">
        <f t="shared" ca="1" si="51"/>
        <v>4.3406641979412885</v>
      </c>
      <c r="BQ48" s="1277">
        <f t="shared" ca="1" si="51"/>
        <v>8.6813283958825771</v>
      </c>
      <c r="BR48" s="388">
        <f t="shared" ca="1" si="51"/>
        <v>8.6813283958825771</v>
      </c>
      <c r="BS48" s="1025"/>
      <c r="BT48" s="1282">
        <f>+IF($K48="Ongoing",AX48,IF(RIGHT($K48,2)=RIGHT(BT$43,2),SUM($AX48:AX48),0)+IF(RIGHT(BT$43,2)&gt;RIGHT($K48,2),AX48,0))</f>
        <v>0</v>
      </c>
      <c r="BU48" s="387">
        <f>+IF($K48="Ongoing",AY48,IF(RIGHT($K48,2)=RIGHT(BU$43,2),SUM($AX48:AY48),0)+IF(RIGHT(BU$43,2)&gt;RIGHT($K48,2),AY48,0))</f>
        <v>0</v>
      </c>
      <c r="BV48" s="387">
        <f>+IF($K48="Ongoing",AZ48,IF(RIGHT($K48,2)=RIGHT(BV$43,2),SUM($AX48:AZ48),0)+IF(RIGHT(BV$43,2)&gt;RIGHT($K48,2),AZ48,0))</f>
        <v>0</v>
      </c>
      <c r="BW48" s="387">
        <f>+IF($K48="Ongoing",BA48,IF(RIGHT($K48,2)=RIGHT(BW$43,2),SUM($AX48:BA48),0)+IF(RIGHT(BW$43,2)&gt;RIGHT($K48,2),BA48,0))</f>
        <v>0</v>
      </c>
      <c r="BX48" s="1283">
        <f>+IF($K48="Ongoing",BB48,IF(RIGHT($K48,2)=RIGHT(BX$43,2),SUM($AX48:BB48),0)+IF(RIGHT(BX$43,2)&gt;RIGHT($K48,2),BB48,0))</f>
        <v>0</v>
      </c>
      <c r="BY48" s="386">
        <f>+IF($K48="Ongoing",BC48,IF(RIGHT($K48,2)=RIGHT(BY$43,2),SUM($AX48:BC48),0)+IF(RIGHT(BY$43,2)&gt;RIGHT($K48,2),BC48,0))</f>
        <v>0</v>
      </c>
      <c r="BZ48" s="387">
        <f>+IF($K48="Ongoing",BD48,IF(RIGHT($K48,2)=RIGHT(BZ$43,2),SUM($AX48:BD48),0)+IF(RIGHT(BZ$43,2)&gt;RIGHT($K48,2),BD48,0))</f>
        <v>0</v>
      </c>
      <c r="CA48" s="1277">
        <f>+IF($K48="Ongoing",BE48,IF(RIGHT($K48,2)=RIGHT(CA$43,2),SUM($AX48:BE48),0)+IF(RIGHT(CA$43,2)&gt;RIGHT($K48,2),BE48,0))</f>
        <v>303.84649385589017</v>
      </c>
      <c r="CB48" s="1277">
        <f>+IF($K48="Ongoing",BF48,IF(RIGHT($K48,2)=RIGHT(CB$43,2),SUM($AX48:BF48),0)+IF(RIGHT(CB$43,2)&gt;RIGHT($K48,2),BF48,0))</f>
        <v>0</v>
      </c>
      <c r="CC48" s="388">
        <f>+IF($K48="Ongoing",BG48,IF(RIGHT($K48,2)=RIGHT(CC$43,2),SUM($AX48:BG48),0)+IF(RIGHT(CC$43,2)&gt;RIGHT($K48,2),BG48,0))</f>
        <v>0</v>
      </c>
      <c r="CD48" s="1025"/>
      <c r="CE48" s="1282">
        <f>+Q48*KeyAssumptionsPriceControl_FO!AF$15</f>
        <v>1.5556552507317074</v>
      </c>
      <c r="CF48" s="387">
        <f>+R48*KeyAssumptionsPriceControl_FO!AG$15</f>
        <v>2.8141945385632363</v>
      </c>
      <c r="CG48" s="387">
        <f>+S48*KeyAssumptionsPriceControl_FO!AH$15</f>
        <v>28.202248369582943</v>
      </c>
      <c r="CH48" s="387">
        <f>+T48*KeyAssumptionsPriceControl_FO!AI$15</f>
        <v>76.740287971355883</v>
      </c>
      <c r="CI48" s="1283">
        <f>+U48*KeyAssumptionsPriceControl_FO!AJ$15</f>
        <v>91.369832472170089</v>
      </c>
      <c r="CJ48" s="386">
        <f>+V48*KeyAssumptionsPriceControl_FO!AK$15</f>
        <v>90.727737495863678</v>
      </c>
      <c r="CK48" s="387">
        <f>+W48*KeyAssumptionsPriceControl_FO!AL$15</f>
        <v>60.184838596694249</v>
      </c>
      <c r="CL48" s="1277">
        <f>+X48*KeyAssumptionsPriceControl_FO!AM$15</f>
        <v>0.56230352925080618</v>
      </c>
      <c r="CM48" s="1277">
        <f>+Y48*KeyAssumptionsPriceControl_FO!AN$15</f>
        <v>0</v>
      </c>
      <c r="CN48" s="388">
        <f>+Z48*KeyAssumptionsPriceControl_FO!AO$15</f>
        <v>0</v>
      </c>
      <c r="CO48" s="1025"/>
      <c r="CP48" s="1282">
        <f t="shared" ca="1" si="68"/>
        <v>0</v>
      </c>
      <c r="CQ48" s="387">
        <f t="shared" ca="1" si="69"/>
        <v>0</v>
      </c>
      <c r="CR48" s="387">
        <f t="shared" ca="1" si="70"/>
        <v>0</v>
      </c>
      <c r="CS48" s="387">
        <f t="shared" ca="1" si="71"/>
        <v>0</v>
      </c>
      <c r="CT48" s="1283">
        <f t="shared" ca="1" si="52"/>
        <v>0</v>
      </c>
      <c r="CU48" s="386">
        <f t="shared" ca="1" si="53"/>
        <v>0</v>
      </c>
      <c r="CV48" s="387">
        <f t="shared" ca="1" si="54"/>
        <v>0</v>
      </c>
      <c r="CW48" s="1277">
        <f t="shared" ca="1" si="55"/>
        <v>0</v>
      </c>
      <c r="CX48" s="1277">
        <f t="shared" ca="1" si="56"/>
        <v>0</v>
      </c>
      <c r="CY48" s="388">
        <f t="shared" ca="1" si="57"/>
        <v>0</v>
      </c>
      <c r="CZ48" s="347"/>
      <c r="DA48" s="852"/>
      <c r="DB48" s="347"/>
      <c r="DC48" s="1012" t="s">
        <v>517</v>
      </c>
      <c r="DD48" s="841" t="s">
        <v>518</v>
      </c>
      <c r="DE48" s="386">
        <f>+IF($K48="ongoing",CE48,IF(RIGHT($K48,2)=RIGHT(DE$43,2),SUM($CD48:CE48),0)+IF(RIGHT(DE$43,2)&gt;RIGHT($K48,2),CE48,0))</f>
        <v>0</v>
      </c>
      <c r="DF48" s="387">
        <f>+IF($K48="ongoing",CF48,IF(RIGHT($K48,2)=RIGHT(DF$43,2),SUM($CD48:CF48),0)+IF(RIGHT(DF$43,2)&gt;RIGHT($K48,2),CF48,0))</f>
        <v>0</v>
      </c>
      <c r="DG48" s="388">
        <f>+IF($K48="ongoing",CG48,IF(RIGHT($K48,2)=RIGHT(DG$43,2),SUM($CD48:CG48),0)+IF(RIGHT(DG$43,2)&gt;RIGHT($K48,2),CG48,0))</f>
        <v>0</v>
      </c>
      <c r="DH48" s="386">
        <f>+IF($K48="ongoing",CH48,IF(RIGHT($K48,2)=RIGHT(DH$43,2),SUM($CD48:CH48),0)+IF(RIGHT(DH$43,2)&gt;RIGHT($K48,2),CH48,0))</f>
        <v>0</v>
      </c>
      <c r="DI48" s="387">
        <f>+IF($K48="ongoing",CI48,IF(RIGHT($K48,2)=RIGHT(DI$43,2),SUM($CD48:CI48),0)+IF(RIGHT(DI$43,2)&gt;RIGHT($K48,2),CI48,0))</f>
        <v>0</v>
      </c>
      <c r="DJ48" s="387">
        <f>+IF($K48="ongoing",CJ48,IF(RIGHT($K48,2)=RIGHT(DJ$43,2),SUM($CD48:CJ48),0)+IF(RIGHT(DJ$43,2)&gt;RIGHT($K48,2),CJ48,0))</f>
        <v>0</v>
      </c>
      <c r="DK48" s="387">
        <f>+IF($K48="ongoing",CK48,IF(RIGHT($K48,2)=RIGHT(DK$43,2),SUM($CD48:CK48),0)+IF(RIGHT(DK$43,2)&gt;RIGHT($K48,2),CK48,0))</f>
        <v>0</v>
      </c>
      <c r="DL48" s="388">
        <f>+IF($K48="ongoing",CN48,IF(RIGHT($K48,2)=RIGHT(DL$43,2),SUM($CD48:CN48),0)+IF(RIGHT(DL$43,2)&gt;RIGHT($K48,2),CN48,0))</f>
        <v>0</v>
      </c>
      <c r="DM48" s="841"/>
      <c r="DN48" s="386">
        <f t="shared" si="58"/>
        <v>0.5</v>
      </c>
      <c r="DO48" s="387">
        <f t="shared" si="58"/>
        <v>1</v>
      </c>
      <c r="DP48" s="388">
        <f t="shared" si="58"/>
        <v>1</v>
      </c>
      <c r="DQ48" s="386">
        <f t="shared" si="58"/>
        <v>1</v>
      </c>
      <c r="DR48" s="387">
        <f t="shared" si="58"/>
        <v>1</v>
      </c>
      <c r="DS48" s="387">
        <f t="shared" si="58"/>
        <v>1</v>
      </c>
      <c r="DT48" s="387">
        <f t="shared" si="58"/>
        <v>1</v>
      </c>
      <c r="DU48" s="388">
        <f t="shared" si="58"/>
        <v>1</v>
      </c>
      <c r="DW48" s="386">
        <f t="shared" si="59"/>
        <v>0</v>
      </c>
      <c r="DX48" s="387">
        <f t="shared" si="59"/>
        <v>0.5</v>
      </c>
      <c r="DY48" s="388">
        <f t="shared" si="59"/>
        <v>1</v>
      </c>
      <c r="DZ48" s="386">
        <f t="shared" si="59"/>
        <v>1</v>
      </c>
      <c r="EA48" s="387">
        <f t="shared" si="59"/>
        <v>1</v>
      </c>
      <c r="EB48" s="387">
        <f t="shared" si="59"/>
        <v>1</v>
      </c>
      <c r="EC48" s="387">
        <f t="shared" si="59"/>
        <v>1</v>
      </c>
      <c r="ED48" s="388">
        <f t="shared" si="59"/>
        <v>1</v>
      </c>
      <c r="EF48" s="834">
        <f>+IF(DN48=DM48,0,
IF(AND(EF$44&gt;1,DN48=$N48),1-SUM($EE48:EE48),
IF($N48&lt;=1,
IF($N48&gt;0,1/$N48,0),
IF(EF$44=1,0,VDB(1,0,$N48,INT(EF$44-1-1),MIN($N48,INT(EF$44-1-1)+1),$DC48,IF($DD48="No",1,0))/
IF(DM48&gt;=INT($N48),$N48-INT($N48),1)))*
IF(EF$44=1,0,
IF(INT(DN48)=INT(DM48),DN48-DM48,INT(DN48)-DM48))+
IF($N48&lt;=1,
IF($N48&gt;0,1/$N48,0),VDB(1,0,$N48,INT(EF$44-1),MIN($N48,INT(EF$44-1)+1),$DC48,IF($DD48="No",1,0))/
IF(DN48&gt;INT($N48),$N48-INT($N48),1))*
IF(EF$44=1,DN48,
IF(INT(DN48)=INT(DM48),0,DN48-INT(DN48)))))</f>
        <v>0</v>
      </c>
      <c r="EG48" s="835">
        <f>+IF(DO48=DN48,0,
IF(AND(EG$44&gt;1,DO48=$N48),1-SUM($EE48:EF48),
IF($N48&lt;=1,
IF($N48&gt;0,1/$N48,0),
IF(EG$44=1,0,VDB(1,0,$N48,INT(EG$44-1-1),MIN($N48,INT(EG$44-1-1)+1),$DC48,IF($DD48="No",1,0))/
IF(DN48&gt;=INT($N48),$N48-INT($N48),1)))*
IF(EG$44=1,0,
IF(INT(DO48)=INT(DN48),DO48-DN48,INT(DO48)-DN48))+
IF($N48&lt;=1,
IF($N48&gt;0,1/$N48,0),VDB(1,0,$N48,INT(EG$44-1),MIN($N48,INT(EG$44-1)+1),$DC48,IF($DD48="No",1,0))/
IF(DO48&gt;INT($N48),$N48-INT($N48),1))*
IF(EG$44=1,DO48,
IF(INT(DO48)=INT(DN48),0,DO48-INT(DO48)))))</f>
        <v>0</v>
      </c>
      <c r="EH48" s="836">
        <f>+IF(DP48=DO48,0,
IF(AND(EH$44&gt;1,DP48=$N48),1-SUM($EE48:EG48),
IF($N48&lt;=1,
IF($N48&gt;0,1/$N48,0),
IF(EH$44=1,0,VDB(1,0,$N48,INT(EH$44-1-1),MIN($N48,INT(EH$44-1-1)+1),$DC48,IF($DD48="No",1,0))/
IF(DO48&gt;=INT($N48),$N48-INT($N48),1)))*
IF(EH$44=1,0,
IF(INT(DP48)=INT(DO48),DP48-DO48,INT(DP48)-DO48))+
IF($N48&lt;=1,
IF($N48&gt;0,1/$N48,0),VDB(1,0,$N48,INT(EH$44-1),MIN($N48,INT(EH$44-1)+1),$DC48,IF($DD48="No",1,0))/
IF(DP48&gt;INT($N48),$N48-INT($N48),1))*
IF(EH$44=1,DP48,
IF(INT(DP48)=INT(DO48),0,DP48-INT(DP48)))))</f>
        <v>0</v>
      </c>
      <c r="EI48" s="834">
        <f>+IF(DQ48=DP48,0,
IF(AND(EI$44&gt;1,DQ48=$N48),1-SUM($EE48:EH48),
IF($N48&lt;=1,
IF($N48&gt;0,1/$N48,0),
IF(EI$44=1,0,VDB(1,0,$N48,INT(EI$44-1-1),MIN($N48,INT(EI$44-1-1)+1),$DC48,IF($DD48="No",1,0))/
IF(DP48&gt;=INT($N48),$N48-INT($N48),1)))*
IF(EI$44=1,0,
IF(INT(DQ48)=INT(DP48),DQ48-DP48,INT(DQ48)-DP48))+
IF($N48&lt;=1,
IF($N48&gt;0,1/$N48,0),VDB(1,0,$N48,INT(EI$44-1),MIN($N48,INT(EI$44-1)+1),$DC48,IF($DD48="No",1,0))/
IF(DQ48&gt;INT($N48),$N48-INT($N48),1))*
IF(EI$44=1,DQ48,
IF(INT(DQ48)=INT(DP48),0,DQ48-INT(DQ48)))))</f>
        <v>0</v>
      </c>
      <c r="EJ48" s="835">
        <f>+IF(DR48=DQ48,0,
IF(AND(EJ$44&gt;1,DR48=$N48),1-SUM($EE48:EI48),
IF($N48&lt;=1,
IF($N48&gt;0,1/$N48,0),
IF(EJ$44=1,0,VDB(1,0,$N48,INT(EJ$44-1-1),MIN($N48,INT(EJ$44-1-1)+1),$DC48,IF($DD48="No",1,0))/
IF(DQ48&gt;=INT($N48),$N48-INT($N48),1)))*
IF(EJ$44=1,0,
IF(INT(DR48)=INT(DQ48),DR48-DQ48,INT(DR48)-DQ48))+
IF($N48&lt;=1,
IF($N48&gt;0,1/$N48,0),VDB(1,0,$N48,INT(EJ$44-1),MIN($N48,INT(EJ$44-1)+1),$DC48,IF($DD48="No",1,0))/
IF(DR48&gt;INT($N48),$N48-INT($N48),1))*
IF(EJ$44=1,DR48,
IF(INT(DR48)=INT(DQ48),0,DR48-INT(DR48)))))</f>
        <v>0</v>
      </c>
      <c r="EK48" s="835">
        <f>+IF(DS48=DR48,0,
IF(AND(EK$44&gt;1,DS48=$N48),1-SUM($EE48:EJ48),
IF($N48&lt;=1,
IF($N48&gt;0,1/$N48,0),
IF(EK$44=1,0,VDB(1,0,$N48,INT(EK$44-1-1),MIN($N48,INT(EK$44-1-1)+1),$DC48,IF($DD48="No",1,0))/
IF(DR48&gt;=INT($N48),$N48-INT($N48),1)))*
IF(EK$44=1,0,
IF(INT(DS48)=INT(DR48),DS48-DR48,INT(DS48)-DR48))+
IF($N48&lt;=1,
IF($N48&gt;0,1/$N48,0),VDB(1,0,$N48,INT(EK$44-1),MIN($N48,INT(EK$44-1)+1),$DC48,IF($DD48="No",1,0))/
IF(DS48&gt;INT($N48),$N48-INT($N48),1))*
IF(EK$44=1,DS48,
IF(INT(DS48)=INT(DR48),0,DS48-INT(DS48)))))</f>
        <v>0</v>
      </c>
      <c r="EL48" s="835">
        <f>+IF(DT48=DS48,0,
IF(AND(EL$44&gt;1,DT48=$N48),1-SUM($EE48:EK48),
IF($N48&lt;=1,
IF($N48&gt;0,1/$N48,0),
IF(EL$44=1,0,VDB(1,0,$N48,INT(EL$44-1-1),MIN($N48,INT(EL$44-1-1)+1),$DC48,IF($DD48="No",1,0))/
IF(DS48&gt;=INT($N48),$N48-INT($N48),1)))*
IF(EL$44=1,0,
IF(INT(DT48)=INT(DS48),DT48-DS48,INT(DT48)-DS48))+
IF($N48&lt;=1,
IF($N48&gt;0,1/$N48,0),VDB(1,0,$N48,INT(EL$44-1),MIN($N48,INT(EL$44-1)+1),$DC48,IF($DD48="No",1,0))/
IF(DT48&gt;INT($N48),$N48-INT($N48),1))*
IF(EL$44=1,DT48,
IF(INT(DT48)=INT(DS48),0,DT48-INT(DT48)))))</f>
        <v>0</v>
      </c>
      <c r="EM48" s="836">
        <f>+IF(DU48=DT48,0,
IF(AND(EM$44&gt;1,DU48=$N48),1-SUM($EE48:EL48),
IF($N48&lt;=1,
IF($N48&gt;0,1/$N48,0),
IF(EM$44=1,0,VDB(1,0,$N48,INT(EM$44-1-1),MIN($N48,INT(EM$44-1-1)+1),$DC48,IF($DD48="No",1,0))/
IF(DT48&gt;=INT($N48),$N48-INT($N48),1)))*
IF(EM$44=1,0,
IF(INT(DU48)=INT(DT48),DU48-DT48,INT(DU48)-DT48))+
IF($N48&lt;=1,
IF($N48&gt;0,1/$N48,0),VDB(1,0,$N48,INT(EM$44-1),MIN($N48,INT(EM$44-1)+1),$DC48,IF($DD48="No",1,0))/
IF(DU48&gt;INT($N48),$N48-INT($N48),1))*
IF(EM$44=1,DU48,
IF(INT(DU48)=INT(DT48),0,DU48-INT(DU48)))))</f>
        <v>0</v>
      </c>
      <c r="EN48" s="833"/>
      <c r="EO48" s="834">
        <f>+IF(OR(DW48=DV48,EO$44=1),0,
IF(AND(EO$44&gt;1,DW48=$N48),1-SUM($EN48:EN48),
IF($N48&lt;=1,
IF($N48&gt;0,1/$N48,0),
IF(EO$44=2,0,VDB(1,0,$N48,INT(EO$44-2-1),MIN($N48,INT(EO$44-2-1)+1),$DC48,IF($DD48="No",1,0))/
IF(DV48&gt;=INT($N48),$N48-INT($N48),1)))*
IF(EO$44=2,0,
IF(INT(DW48)=INT(DV48),DW48-DV48,INT(DW48)-DV48))+
IF($N48&lt;=1,
IF($N48&gt;0,1/$N48,0),VDB(1,0,$N48,INT(EO$44-2),MIN($N48,INT(EO$44-2)+1),$DC48,IF($DD48="No",1,0))/
IF(DW48&gt;INT($N48),$N48-INT($N48),1))*
IF(EO$44=2,DW48,
IF(INT(DW48)=INT(DV48),0,DW48-INT(DW48)))))</f>
        <v>0</v>
      </c>
      <c r="EP48" s="835">
        <f>+IF(OR(DX48=DW48,EP$44=1),0,
IF(AND(EP$44&gt;1,DX48=$N48),1-SUM($EN48:EO48),
IF($N48&lt;=1,
IF($N48&gt;0,1/$N48,0),
IF(EP$44=2,0,VDB(1,0,$N48,INT(EP$44-2-1),MIN($N48,INT(EP$44-2-1)+1),$DC48,IF($DD48="No",1,0))/
IF(DW48&gt;=INT($N48),$N48-INT($N48),1)))*
IF(EP$44=2,0,
IF(INT(DX48)=INT(DW48),DX48-DW48,INT(DX48)-DW48))+
IF($N48&lt;=1,
IF($N48&gt;0,1/$N48,0),VDB(1,0,$N48,INT(EP$44-2),MIN($N48,INT(EP$44-2)+1),$DC48,IF($DD48="No",1,0))/
IF(DX48&gt;INT($N48),$N48-INT($N48),1))*
IF(EP$44=2,DX48,
IF(INT(DX48)=INT(DW48),0,DX48-INT(DX48)))))</f>
        <v>0</v>
      </c>
      <c r="EQ48" s="836">
        <f>+IF(OR(DY48=DX48,EQ$44=1),0,
IF(AND(EQ$44&gt;1,DY48=$N48),1-SUM($EN48:EP48),
IF($N48&lt;=1,
IF($N48&gt;0,1/$N48,0),
IF(EQ$44=2,0,VDB(1,0,$N48,INT(EQ$44-2-1),MIN($N48,INT(EQ$44-2-1)+1),$DC48,IF($DD48="No",1,0))/
IF(DX48&gt;=INT($N48),$N48-INT($N48),1)))*
IF(EQ$44=2,0,
IF(INT(DY48)=INT(DX48),DY48-DX48,INT(DY48)-DX48))+
IF($N48&lt;=1,
IF($N48&gt;0,1/$N48,0),VDB(1,0,$N48,INT(EQ$44-2),MIN($N48,INT(EQ$44-2)+1),$DC48,IF($DD48="No",1,0))/
IF(DY48&gt;INT($N48),$N48-INT($N48),1))*
IF(EQ$44=2,DY48,
IF(INT(DY48)=INT(DX48),0,DY48-INT(DY48)))))</f>
        <v>0</v>
      </c>
      <c r="ER48" s="834">
        <f>+IF(OR(DZ48=DY48,ER$44=1),0,
IF(AND(ER$44&gt;1,DZ48=$N48),1-SUM($EN48:EQ48),
IF($N48&lt;=1,
IF($N48&gt;0,1/$N48,0),
IF(ER$44=2,0,VDB(1,0,$N48,INT(ER$44-2-1),MIN($N48,INT(ER$44-2-1)+1),$DC48,IF($DD48="No",1,0))/
IF(DY48&gt;=INT($N48),$N48-INT($N48),1)))*
IF(ER$44=2,0,
IF(INT(DZ48)=INT(DY48),DZ48-DY48,INT(DZ48)-DY48))+
IF($N48&lt;=1,
IF($N48&gt;0,1/$N48,0),VDB(1,0,$N48,INT(ER$44-2),MIN($N48,INT(ER$44-2)+1),$DC48,IF($DD48="No",1,0))/
IF(DZ48&gt;INT($N48),$N48-INT($N48),1))*
IF(ER$44=2,DZ48,
IF(INT(DZ48)=INT(DY48),0,DZ48-INT(DZ48)))))</f>
        <v>0</v>
      </c>
      <c r="ES48" s="835">
        <f>+IF(OR(EA48=DZ48,ES$44=1),0,
IF(AND(ES$44&gt;1,EA48=$N48),1-SUM($EN48:ER48),
IF($N48&lt;=1,
IF($N48&gt;0,1/$N48,0),
IF(ES$44=2,0,VDB(1,0,$N48,INT(ES$44-2-1),MIN($N48,INT(ES$44-2-1)+1),$DC48,IF($DD48="No",1,0))/
IF(DZ48&gt;=INT($N48),$N48-INT($N48),1)))*
IF(ES$44=2,0,
IF(INT(EA48)=INT(DZ48),EA48-DZ48,INT(EA48)-DZ48))+
IF($N48&lt;=1,
IF($N48&gt;0,1/$N48,0),VDB(1,0,$N48,INT(ES$44-2),MIN($N48,INT(ES$44-2)+1),$DC48,IF($DD48="No",1,0))/
IF(EA48&gt;INT($N48),$N48-INT($N48),1))*
IF(ES$44=2,EA48,
IF(INT(EA48)=INT(DZ48),0,EA48-INT(EA48)))))</f>
        <v>0</v>
      </c>
      <c r="ET48" s="835">
        <f>+IF(OR(EB48=EA48,ET$44=1),0,
IF(AND(ET$44&gt;1,EB48=$N48),1-SUM($EN48:ES48),
IF($N48&lt;=1,
IF($N48&gt;0,1/$N48,0),
IF(ET$44=2,0,VDB(1,0,$N48,INT(ET$44-2-1),MIN($N48,INT(ET$44-2-1)+1),$DC48,IF($DD48="No",1,0))/
IF(EA48&gt;=INT($N48),$N48-INT($N48),1)))*
IF(ET$44=2,0,
IF(INT(EB48)=INT(EA48),EB48-EA48,INT(EB48)-EA48))+
IF($N48&lt;=1,
IF($N48&gt;0,1/$N48,0),VDB(1,0,$N48,INT(ET$44-2),MIN($N48,INT(ET$44-2)+1),$DC48,IF($DD48="No",1,0))/
IF(EB48&gt;INT($N48),$N48-INT($N48),1))*
IF(ET$44=2,EB48,
IF(INT(EB48)=INT(EA48),0,EB48-INT(EB48)))))</f>
        <v>0</v>
      </c>
      <c r="EU48" s="835">
        <f>+IF(OR(EC48=EB48,EU$44=1),0,
IF(AND(EU$44&gt;1,EC48=$N48),1-SUM($EN48:ET48),
IF($N48&lt;=1,
IF($N48&gt;0,1/$N48,0),
IF(EU$44=2,0,VDB(1,0,$N48,INT(EU$44-2-1),MIN($N48,INT(EU$44-2-1)+1),$DC48,IF($DD48="No",1,0))/
IF(EB48&gt;=INT($N48),$N48-INT($N48),1)))*
IF(EU$44=2,0,
IF(INT(EC48)=INT(EB48),EC48-EB48,INT(EC48)-EB48))+
IF($N48&lt;=1,
IF($N48&gt;0,1/$N48,0),VDB(1,0,$N48,INT(EU$44-2),MIN($N48,INT(EU$44-2)+1),$DC48,IF($DD48="No",1,0))/
IF(EC48&gt;INT($N48),$N48-INT($N48),1))*
IF(EU$44=2,EC48,
IF(INT(EC48)=INT(EB48),0,EC48-INT(EC48)))))</f>
        <v>0</v>
      </c>
      <c r="EV48" s="836">
        <f>+IF(OR(ED48=EC48,EV$44=1),0,
IF(AND(EV$44&gt;1,ED48=$N48),1-SUM($EN48:EU48),
IF($N48&lt;=1,
IF($N48&gt;0,1/$N48,0),
IF(EV$44=2,0,VDB(1,0,$N48,INT(EV$44-2-1),MIN($N48,INT(EV$44-2-1)+1),$DC48,IF($DD48="No",1,0))/
IF(EC48&gt;=INT($N48),$N48-INT($N48),1)))*
IF(EV$44=2,0,
IF(INT(ED48)=INT(EC48),ED48-EC48,INT(ED48)-EC48))+
IF($N48&lt;=1,
IF($N48&gt;0,1/$N48,0),VDB(1,0,$N48,INT(EV$44-2),MIN($N48,INT(EV$44-2)+1),$DC48,IF($DD48="No",1,0))/
IF(ED48&gt;INT($N48),$N48-INT($N48),1))*
IF(EV$44=2,ED48,
IF(INT(ED48)=INT(EC48),0,ED48-INT(ED48)))))</f>
        <v>0</v>
      </c>
      <c r="EW48" s="833"/>
      <c r="EX48" s="834">
        <f t="shared" ca="1" si="60"/>
        <v>0</v>
      </c>
      <c r="EY48" s="835">
        <f t="shared" ca="1" si="60"/>
        <v>0</v>
      </c>
      <c r="EZ48" s="836">
        <f t="shared" ca="1" si="60"/>
        <v>0</v>
      </c>
      <c r="FA48" s="834">
        <f t="shared" ca="1" si="60"/>
        <v>0</v>
      </c>
      <c r="FB48" s="835">
        <f t="shared" ca="1" si="60"/>
        <v>0</v>
      </c>
      <c r="FC48" s="835">
        <f t="shared" ca="1" si="60"/>
        <v>0</v>
      </c>
      <c r="FD48" s="835">
        <f t="shared" ca="1" si="60"/>
        <v>0</v>
      </c>
      <c r="FE48" s="836">
        <f t="shared" ca="1" si="60"/>
        <v>0</v>
      </c>
      <c r="FG48" s="386">
        <f t="shared" ca="1" si="72"/>
        <v>0</v>
      </c>
      <c r="FH48" s="387">
        <f t="shared" ca="1" si="61"/>
        <v>0</v>
      </c>
      <c r="FI48" s="388">
        <f t="shared" ca="1" si="62"/>
        <v>0</v>
      </c>
      <c r="FJ48" s="386">
        <f t="shared" ca="1" si="63"/>
        <v>0</v>
      </c>
      <c r="FK48" s="387">
        <f t="shared" ca="1" si="64"/>
        <v>0</v>
      </c>
      <c r="FL48" s="387">
        <f t="shared" ca="1" si="65"/>
        <v>0</v>
      </c>
      <c r="FM48" s="387">
        <f t="shared" ca="1" si="66"/>
        <v>0</v>
      </c>
      <c r="FN48" s="388">
        <f t="shared" ca="1" si="67"/>
        <v>0</v>
      </c>
      <c r="FR48" s="116"/>
    </row>
    <row r="49" spans="2:174">
      <c r="B49" s="1410">
        <f t="shared" si="73"/>
        <v>4</v>
      </c>
      <c r="C49" s="400" t="s">
        <v>523</v>
      </c>
      <c r="D49" s="401"/>
      <c r="E49" s="402" t="s">
        <v>402</v>
      </c>
      <c r="F49" s="402" t="s">
        <v>520</v>
      </c>
      <c r="G49" s="400" t="s">
        <v>522</v>
      </c>
      <c r="H49" s="2088" t="s">
        <v>481</v>
      </c>
      <c r="I49" s="2089"/>
      <c r="J49" s="1967" t="s">
        <v>516</v>
      </c>
      <c r="K49" s="403" t="s">
        <v>111</v>
      </c>
      <c r="L49" s="403">
        <v>35</v>
      </c>
      <c r="M49" s="403" t="s">
        <v>142</v>
      </c>
      <c r="N49" s="403"/>
      <c r="O49" s="347"/>
      <c r="P49" s="347"/>
      <c r="Q49" s="1021">
        <v>1.1559024390243904</v>
      </c>
      <c r="R49" s="1022">
        <v>31.001244973230225</v>
      </c>
      <c r="S49" s="1022">
        <v>87.456565981340972</v>
      </c>
      <c r="T49" s="1022">
        <v>57.043027432256316</v>
      </c>
      <c r="U49" s="1023">
        <v>0</v>
      </c>
      <c r="V49" s="1021">
        <v>0</v>
      </c>
      <c r="W49" s="1022">
        <v>0</v>
      </c>
      <c r="X49" s="1022">
        <v>0</v>
      </c>
      <c r="Y49" s="1022">
        <v>0</v>
      </c>
      <c r="Z49" s="1023">
        <v>0</v>
      </c>
      <c r="AA49" s="1024"/>
      <c r="AB49" s="1021">
        <v>0</v>
      </c>
      <c r="AC49" s="1022">
        <v>0</v>
      </c>
      <c r="AD49" s="1022">
        <v>0</v>
      </c>
      <c r="AE49" s="1022">
        <v>0</v>
      </c>
      <c r="AF49" s="1023">
        <v>0</v>
      </c>
      <c r="AG49" s="1021">
        <v>0</v>
      </c>
      <c r="AH49" s="1022">
        <v>0</v>
      </c>
      <c r="AI49" s="1022">
        <v>0</v>
      </c>
      <c r="AJ49" s="1022">
        <v>0</v>
      </c>
      <c r="AK49" s="1023">
        <v>0</v>
      </c>
      <c r="AL49" s="1024"/>
      <c r="AM49" s="1021">
        <v>0</v>
      </c>
      <c r="AN49" s="1022">
        <v>0</v>
      </c>
      <c r="AO49" s="1022">
        <v>0</v>
      </c>
      <c r="AP49" s="1022">
        <v>0</v>
      </c>
      <c r="AQ49" s="1023">
        <v>0</v>
      </c>
      <c r="AR49" s="1021">
        <v>0</v>
      </c>
      <c r="AS49" s="1022">
        <v>0</v>
      </c>
      <c r="AT49" s="1022">
        <v>0</v>
      </c>
      <c r="AU49" s="1022">
        <v>0</v>
      </c>
      <c r="AV49" s="1023">
        <v>0</v>
      </c>
      <c r="AW49" s="1025"/>
      <c r="AX49" s="1282">
        <f t="shared" si="38"/>
        <v>1.1559024390243904</v>
      </c>
      <c r="AY49" s="387">
        <f t="shared" si="39"/>
        <v>31.001244973230225</v>
      </c>
      <c r="AZ49" s="387">
        <f t="shared" si="40"/>
        <v>87.456565981340972</v>
      </c>
      <c r="BA49" s="387">
        <f t="shared" si="41"/>
        <v>57.043027432256316</v>
      </c>
      <c r="BB49" s="1283">
        <f t="shared" si="42"/>
        <v>0</v>
      </c>
      <c r="BC49" s="386">
        <f t="shared" si="43"/>
        <v>0</v>
      </c>
      <c r="BD49" s="387">
        <f t="shared" si="44"/>
        <v>0</v>
      </c>
      <c r="BE49" s="1277">
        <f t="shared" si="45"/>
        <v>0</v>
      </c>
      <c r="BF49" s="1277">
        <f t="shared" si="45"/>
        <v>0</v>
      </c>
      <c r="BG49" s="388">
        <f t="shared" si="45"/>
        <v>0</v>
      </c>
      <c r="BH49" s="1025"/>
      <c r="BI49" s="1282">
        <f t="shared" ca="1" si="46"/>
        <v>0</v>
      </c>
      <c r="BJ49" s="387">
        <f t="shared" ca="1" si="47"/>
        <v>0</v>
      </c>
      <c r="BK49" s="387">
        <f t="shared" ca="1" si="48"/>
        <v>0</v>
      </c>
      <c r="BL49" s="387">
        <f t="shared" ca="1" si="49"/>
        <v>2.5236677260835987</v>
      </c>
      <c r="BM49" s="1283">
        <f t="shared" ca="1" si="50"/>
        <v>5.0473354521671974</v>
      </c>
      <c r="BN49" s="386">
        <f t="shared" ca="1" si="51"/>
        <v>5.0473354521671974</v>
      </c>
      <c r="BO49" s="387">
        <f t="shared" ca="1" si="51"/>
        <v>5.0473354521671974</v>
      </c>
      <c r="BP49" s="1277">
        <f t="shared" ca="1" si="51"/>
        <v>5.0473354521671974</v>
      </c>
      <c r="BQ49" s="1277">
        <f t="shared" ca="1" si="51"/>
        <v>5.0473354521671974</v>
      </c>
      <c r="BR49" s="388">
        <f t="shared" ca="1" si="51"/>
        <v>5.0473354521671974</v>
      </c>
      <c r="BS49" s="1025"/>
      <c r="BT49" s="1282">
        <f>+IF($K49="Ongoing",AX49,IF(RIGHT($K49,2)=RIGHT(BT$43,2),SUM($AX49:AX49),0)+IF(RIGHT(BT$43,2)&gt;RIGHT($K49,2),AX49,0))</f>
        <v>0</v>
      </c>
      <c r="BU49" s="387">
        <f>+IF($K49="Ongoing",AY49,IF(RIGHT($K49,2)=RIGHT(BU$43,2),SUM($AX49:AY49),0)+IF(RIGHT(BU$43,2)&gt;RIGHT($K49,2),AY49,0))</f>
        <v>0</v>
      </c>
      <c r="BV49" s="387">
        <f>+IF($K49="Ongoing",AZ49,IF(RIGHT($K49,2)=RIGHT(BV$43,2),SUM($AX49:AZ49),0)+IF(RIGHT(BV$43,2)&gt;RIGHT($K49,2),AZ49,0))</f>
        <v>0</v>
      </c>
      <c r="BW49" s="387">
        <f>+IF($K49="Ongoing",BA49,IF(RIGHT($K49,2)=RIGHT(BW$43,2),SUM($AX49:BA49),0)+IF(RIGHT(BW$43,2)&gt;RIGHT($K49,2),BA49,0))</f>
        <v>176.6567408258519</v>
      </c>
      <c r="BX49" s="1283">
        <f>+IF($K49="Ongoing",BB49,IF(RIGHT($K49,2)=RIGHT(BX$43,2),SUM($AX49:BB49),0)+IF(RIGHT(BX$43,2)&gt;RIGHT($K49,2),BB49,0))</f>
        <v>0</v>
      </c>
      <c r="BY49" s="386">
        <f>+IF($K49="Ongoing",BC49,IF(RIGHT($K49,2)=RIGHT(BY$43,2),SUM($AX49:BC49),0)+IF(RIGHT(BY$43,2)&gt;RIGHT($K49,2),BC49,0))</f>
        <v>0</v>
      </c>
      <c r="BZ49" s="387">
        <f>+IF($K49="Ongoing",BD49,IF(RIGHT($K49,2)=RIGHT(BZ$43,2),SUM($AX49:BD49),0)+IF(RIGHT(BZ$43,2)&gt;RIGHT($K49,2),BD49,0))</f>
        <v>0</v>
      </c>
      <c r="CA49" s="1277">
        <f>+IF($K49="Ongoing",BE49,IF(RIGHT($K49,2)=RIGHT(CA$43,2),SUM($AX49:BE49),0)+IF(RIGHT(CA$43,2)&gt;RIGHT($K49,2),BE49,0))</f>
        <v>0</v>
      </c>
      <c r="CB49" s="1277">
        <f>+IF($K49="Ongoing",BF49,IF(RIGHT($K49,2)=RIGHT(CB$43,2),SUM($AX49:BF49),0)+IF(RIGHT(CB$43,2)&gt;RIGHT($K49,2),BF49,0))</f>
        <v>0</v>
      </c>
      <c r="CC49" s="388">
        <f>+IF($K49="Ongoing",BG49,IF(RIGHT($K49,2)=RIGHT(CC$43,2),SUM($AX49:BG49),0)+IF(RIGHT(CC$43,2)&gt;RIGHT($K49,2),BG49,0))</f>
        <v>0</v>
      </c>
      <c r="CD49" s="1025"/>
      <c r="CE49" s="1282">
        <f>+Q49*KeyAssumptionsPriceControl_FO!AF$15</f>
        <v>1.1894236097560975</v>
      </c>
      <c r="CF49" s="387">
        <f>+R49*KeyAssumptionsPriceControl_FO!AG$15</f>
        <v>32.825389228700061</v>
      </c>
      <c r="CG49" s="387">
        <f>+S49*KeyAssumptionsPriceControl_FO!AH$15</f>
        <v>95.288073115876259</v>
      </c>
      <c r="CH49" s="387">
        <f>+T49*KeyAssumptionsPriceControl_FO!AI$15</f>
        <v>63.953462965854868</v>
      </c>
      <c r="CI49" s="1283">
        <f>+U49*KeyAssumptionsPriceControl_FO!AJ$15</f>
        <v>0</v>
      </c>
      <c r="CJ49" s="386">
        <f>+V49*KeyAssumptionsPriceControl_FO!AK$15</f>
        <v>0</v>
      </c>
      <c r="CK49" s="387">
        <f>+W49*KeyAssumptionsPriceControl_FO!AL$15</f>
        <v>0</v>
      </c>
      <c r="CL49" s="1277">
        <f>+X49*KeyAssumptionsPriceControl_FO!AM$15</f>
        <v>0</v>
      </c>
      <c r="CM49" s="1277">
        <f>+Y49*KeyAssumptionsPriceControl_FO!AN$15</f>
        <v>0</v>
      </c>
      <c r="CN49" s="388">
        <f>+Z49*KeyAssumptionsPriceControl_FO!AO$15</f>
        <v>0</v>
      </c>
      <c r="CO49" s="1025"/>
      <c r="CP49" s="1282">
        <f t="shared" ca="1" si="68"/>
        <v>0</v>
      </c>
      <c r="CQ49" s="387">
        <f t="shared" ca="1" si="69"/>
        <v>0</v>
      </c>
      <c r="CR49" s="387">
        <f t="shared" ca="1" si="70"/>
        <v>0</v>
      </c>
      <c r="CS49" s="387">
        <f t="shared" ca="1" si="71"/>
        <v>0</v>
      </c>
      <c r="CT49" s="1283">
        <f t="shared" ca="1" si="52"/>
        <v>0</v>
      </c>
      <c r="CU49" s="386">
        <f t="shared" ca="1" si="53"/>
        <v>0</v>
      </c>
      <c r="CV49" s="387">
        <f t="shared" ca="1" si="54"/>
        <v>0</v>
      </c>
      <c r="CW49" s="1277">
        <f t="shared" ca="1" si="55"/>
        <v>0</v>
      </c>
      <c r="CX49" s="1277">
        <f t="shared" ca="1" si="56"/>
        <v>0</v>
      </c>
      <c r="CY49" s="388">
        <f t="shared" ca="1" si="57"/>
        <v>0</v>
      </c>
      <c r="CZ49" s="347"/>
      <c r="DA49" s="852"/>
      <c r="DB49" s="347"/>
      <c r="DC49" s="1012" t="s">
        <v>517</v>
      </c>
      <c r="DD49" s="841" t="s">
        <v>518</v>
      </c>
      <c r="DE49" s="386">
        <f>+IF($K49="ongoing",CE49,IF(RIGHT($K49,2)=RIGHT(DE$43,2),SUM($CD49:CE49),0)+IF(RIGHT(DE$43,2)&gt;RIGHT($K49,2),CE49,0))</f>
        <v>0</v>
      </c>
      <c r="DF49" s="387">
        <f>+IF($K49="ongoing",CF49,IF(RIGHT($K49,2)=RIGHT(DF$43,2),SUM($CD49:CF49),0)+IF(RIGHT(DF$43,2)&gt;RIGHT($K49,2),CF49,0))</f>
        <v>0</v>
      </c>
      <c r="DG49" s="388">
        <f>+IF($K49="ongoing",CG49,IF(RIGHT($K49,2)=RIGHT(DG$43,2),SUM($CD49:CG49),0)+IF(RIGHT(DG$43,2)&gt;RIGHT($K49,2),CG49,0))</f>
        <v>0</v>
      </c>
      <c r="DH49" s="386">
        <f>+IF($K49="ongoing",CH49,IF(RIGHT($K49,2)=RIGHT(DH$43,2),SUM($CD49:CH49),0)+IF(RIGHT(DH$43,2)&gt;RIGHT($K49,2),CH49,0))</f>
        <v>0</v>
      </c>
      <c r="DI49" s="387">
        <f>+IF($K49="ongoing",CI49,IF(RIGHT($K49,2)=RIGHT(DI$43,2),SUM($CD49:CI49),0)+IF(RIGHT(DI$43,2)&gt;RIGHT($K49,2),CI49,0))</f>
        <v>0</v>
      </c>
      <c r="DJ49" s="387">
        <f>+IF($K49="ongoing",CJ49,IF(RIGHT($K49,2)=RIGHT(DJ$43,2),SUM($CD49:CJ49),0)+IF(RIGHT(DJ$43,2)&gt;RIGHT($K49,2),CJ49,0))</f>
        <v>0</v>
      </c>
      <c r="DK49" s="387">
        <f>+IF($K49="ongoing",CK49,IF(RIGHT($K49,2)=RIGHT(DK$43,2),SUM($CD49:CK49),0)+IF(RIGHT(DK$43,2)&gt;RIGHT($K49,2),CK49,0))</f>
        <v>0</v>
      </c>
      <c r="DL49" s="388">
        <f>+IF($K49="ongoing",CN49,IF(RIGHT($K49,2)=RIGHT(DL$43,2),SUM($CD49:CN49),0)+IF(RIGHT(DL$43,2)&gt;RIGHT($K49,2),CN49,0))</f>
        <v>0</v>
      </c>
      <c r="DM49" s="841"/>
      <c r="DN49" s="386">
        <f t="shared" si="58"/>
        <v>0.5</v>
      </c>
      <c r="DO49" s="387">
        <f t="shared" si="58"/>
        <v>1</v>
      </c>
      <c r="DP49" s="388">
        <f t="shared" si="58"/>
        <v>1</v>
      </c>
      <c r="DQ49" s="386">
        <f t="shared" si="58"/>
        <v>1</v>
      </c>
      <c r="DR49" s="387">
        <f t="shared" si="58"/>
        <v>1</v>
      </c>
      <c r="DS49" s="387">
        <f t="shared" si="58"/>
        <v>1</v>
      </c>
      <c r="DT49" s="387">
        <f t="shared" si="58"/>
        <v>1</v>
      </c>
      <c r="DU49" s="388">
        <f t="shared" si="58"/>
        <v>1</v>
      </c>
      <c r="DW49" s="386">
        <f t="shared" si="59"/>
        <v>0</v>
      </c>
      <c r="DX49" s="387">
        <f t="shared" si="59"/>
        <v>0.5</v>
      </c>
      <c r="DY49" s="388">
        <f t="shared" si="59"/>
        <v>1</v>
      </c>
      <c r="DZ49" s="386">
        <f t="shared" si="59"/>
        <v>1</v>
      </c>
      <c r="EA49" s="387">
        <f t="shared" si="59"/>
        <v>1</v>
      </c>
      <c r="EB49" s="387">
        <f t="shared" si="59"/>
        <v>1</v>
      </c>
      <c r="EC49" s="387">
        <f t="shared" si="59"/>
        <v>1</v>
      </c>
      <c r="ED49" s="388">
        <f t="shared" si="59"/>
        <v>1</v>
      </c>
      <c r="EF49" s="834">
        <f>+IF(DN49=DM49,0,
IF(AND(EF$44&gt;1,DN49=$N49),1-SUM($EE49:EE49),
IF($N49&lt;=1,
IF($N49&gt;0,1/$N49,0),
IF(EF$44=1,0,VDB(1,0,$N49,INT(EF$44-1-1),MIN($N49,INT(EF$44-1-1)+1),$DC49,IF($DD49="No",1,0))/
IF(DM49&gt;=INT($N49),$N49-INT($N49),1)))*
IF(EF$44=1,0,
IF(INT(DN49)=INT(DM49),DN49-DM49,INT(DN49)-DM49))+
IF($N49&lt;=1,
IF($N49&gt;0,1/$N49,0),VDB(1,0,$N49,INT(EF$44-1),MIN($N49,INT(EF$44-1)+1),$DC49,IF($DD49="No",1,0))/
IF(DN49&gt;INT($N49),$N49-INT($N49),1))*
IF(EF$44=1,DN49,
IF(INT(DN49)=INT(DM49),0,DN49-INT(DN49)))))</f>
        <v>0</v>
      </c>
      <c r="EG49" s="835">
        <f>+IF(DO49=DN49,0,
IF(AND(EG$44&gt;1,DO49=$N49),1-SUM($EE49:EF49),
IF($N49&lt;=1,
IF($N49&gt;0,1/$N49,0),
IF(EG$44=1,0,VDB(1,0,$N49,INT(EG$44-1-1),MIN($N49,INT(EG$44-1-1)+1),$DC49,IF($DD49="No",1,0))/
IF(DN49&gt;=INT($N49),$N49-INT($N49),1)))*
IF(EG$44=1,0,
IF(INT(DO49)=INT(DN49),DO49-DN49,INT(DO49)-DN49))+
IF($N49&lt;=1,
IF($N49&gt;0,1/$N49,0),VDB(1,0,$N49,INT(EG$44-1),MIN($N49,INT(EG$44-1)+1),$DC49,IF($DD49="No",1,0))/
IF(DO49&gt;INT($N49),$N49-INT($N49),1))*
IF(EG$44=1,DO49,
IF(INT(DO49)=INT(DN49),0,DO49-INT(DO49)))))</f>
        <v>0</v>
      </c>
      <c r="EH49" s="836">
        <f>+IF(DP49=DO49,0,
IF(AND(EH$44&gt;1,DP49=$N49),1-SUM($EE49:EG49),
IF($N49&lt;=1,
IF($N49&gt;0,1/$N49,0),
IF(EH$44=1,0,VDB(1,0,$N49,INT(EH$44-1-1),MIN($N49,INT(EH$44-1-1)+1),$DC49,IF($DD49="No",1,0))/
IF(DO49&gt;=INT($N49),$N49-INT($N49),1)))*
IF(EH$44=1,0,
IF(INT(DP49)=INT(DO49),DP49-DO49,INT(DP49)-DO49))+
IF($N49&lt;=1,
IF($N49&gt;0,1/$N49,0),VDB(1,0,$N49,INT(EH$44-1),MIN($N49,INT(EH$44-1)+1),$DC49,IF($DD49="No",1,0))/
IF(DP49&gt;INT($N49),$N49-INT($N49),1))*
IF(EH$44=1,DP49,
IF(INT(DP49)=INT(DO49),0,DP49-INT(DP49)))))</f>
        <v>0</v>
      </c>
      <c r="EI49" s="834">
        <f>+IF(DQ49=DP49,0,
IF(AND(EI$44&gt;1,DQ49=$N49),1-SUM($EE49:EH49),
IF($N49&lt;=1,
IF($N49&gt;0,1/$N49,0),
IF(EI$44=1,0,VDB(1,0,$N49,INT(EI$44-1-1),MIN($N49,INT(EI$44-1-1)+1),$DC49,IF($DD49="No",1,0))/
IF(DP49&gt;=INT($N49),$N49-INT($N49),1)))*
IF(EI$44=1,0,
IF(INT(DQ49)=INT(DP49),DQ49-DP49,INT(DQ49)-DP49))+
IF($N49&lt;=1,
IF($N49&gt;0,1/$N49,0),VDB(1,0,$N49,INT(EI$44-1),MIN($N49,INT(EI$44-1)+1),$DC49,IF($DD49="No",1,0))/
IF(DQ49&gt;INT($N49),$N49-INT($N49),1))*
IF(EI$44=1,DQ49,
IF(INT(DQ49)=INT(DP49),0,DQ49-INT(DQ49)))))</f>
        <v>0</v>
      </c>
      <c r="EJ49" s="835">
        <f>+IF(DR49=DQ49,0,
IF(AND(EJ$44&gt;1,DR49=$N49),1-SUM($EE49:EI49),
IF($N49&lt;=1,
IF($N49&gt;0,1/$N49,0),
IF(EJ$44=1,0,VDB(1,0,$N49,INT(EJ$44-1-1),MIN($N49,INT(EJ$44-1-1)+1),$DC49,IF($DD49="No",1,0))/
IF(DQ49&gt;=INT($N49),$N49-INT($N49),1)))*
IF(EJ$44=1,0,
IF(INT(DR49)=INT(DQ49),DR49-DQ49,INT(DR49)-DQ49))+
IF($N49&lt;=1,
IF($N49&gt;0,1/$N49,0),VDB(1,0,$N49,INT(EJ$44-1),MIN($N49,INT(EJ$44-1)+1),$DC49,IF($DD49="No",1,0))/
IF(DR49&gt;INT($N49),$N49-INT($N49),1))*
IF(EJ$44=1,DR49,
IF(INT(DR49)=INT(DQ49),0,DR49-INT(DR49)))))</f>
        <v>0</v>
      </c>
      <c r="EK49" s="835">
        <f>+IF(DS49=DR49,0,
IF(AND(EK$44&gt;1,DS49=$N49),1-SUM($EE49:EJ49),
IF($N49&lt;=1,
IF($N49&gt;0,1/$N49,0),
IF(EK$44=1,0,VDB(1,0,$N49,INT(EK$44-1-1),MIN($N49,INT(EK$44-1-1)+1),$DC49,IF($DD49="No",1,0))/
IF(DR49&gt;=INT($N49),$N49-INT($N49),1)))*
IF(EK$44=1,0,
IF(INT(DS49)=INT(DR49),DS49-DR49,INT(DS49)-DR49))+
IF($N49&lt;=1,
IF($N49&gt;0,1/$N49,0),VDB(1,0,$N49,INT(EK$44-1),MIN($N49,INT(EK$44-1)+1),$DC49,IF($DD49="No",1,0))/
IF(DS49&gt;INT($N49),$N49-INT($N49),1))*
IF(EK$44=1,DS49,
IF(INT(DS49)=INT(DR49),0,DS49-INT(DS49)))))</f>
        <v>0</v>
      </c>
      <c r="EL49" s="835">
        <f>+IF(DT49=DS49,0,
IF(AND(EL$44&gt;1,DT49=$N49),1-SUM($EE49:EK49),
IF($N49&lt;=1,
IF($N49&gt;0,1/$N49,0),
IF(EL$44=1,0,VDB(1,0,$N49,INT(EL$44-1-1),MIN($N49,INT(EL$44-1-1)+1),$DC49,IF($DD49="No",1,0))/
IF(DS49&gt;=INT($N49),$N49-INT($N49),1)))*
IF(EL$44=1,0,
IF(INT(DT49)=INT(DS49),DT49-DS49,INT(DT49)-DS49))+
IF($N49&lt;=1,
IF($N49&gt;0,1/$N49,0),VDB(1,0,$N49,INT(EL$44-1),MIN($N49,INT(EL$44-1)+1),$DC49,IF($DD49="No",1,0))/
IF(DT49&gt;INT($N49),$N49-INT($N49),1))*
IF(EL$44=1,DT49,
IF(INT(DT49)=INT(DS49),0,DT49-INT(DT49)))))</f>
        <v>0</v>
      </c>
      <c r="EM49" s="836">
        <f>+IF(DU49=DT49,0,
IF(AND(EM$44&gt;1,DU49=$N49),1-SUM($EE49:EL49),
IF($N49&lt;=1,
IF($N49&gt;0,1/$N49,0),
IF(EM$44=1,0,VDB(1,0,$N49,INT(EM$44-1-1),MIN($N49,INT(EM$44-1-1)+1),$DC49,IF($DD49="No",1,0))/
IF(DT49&gt;=INT($N49),$N49-INT($N49),1)))*
IF(EM$44=1,0,
IF(INT(DU49)=INT(DT49),DU49-DT49,INT(DU49)-DT49))+
IF($N49&lt;=1,
IF($N49&gt;0,1/$N49,0),VDB(1,0,$N49,INT(EM$44-1),MIN($N49,INT(EM$44-1)+1),$DC49,IF($DD49="No",1,0))/
IF(DU49&gt;INT($N49),$N49-INT($N49),1))*
IF(EM$44=1,DU49,
IF(INT(DU49)=INT(DT49),0,DU49-INT(DU49)))))</f>
        <v>0</v>
      </c>
      <c r="EN49" s="833"/>
      <c r="EO49" s="834">
        <f>+IF(OR(DW49=DV49,EO$44=1),0,
IF(AND(EO$44&gt;1,DW49=$N49),1-SUM($EN49:EN49),
IF($N49&lt;=1,
IF($N49&gt;0,1/$N49,0),
IF(EO$44=2,0,VDB(1,0,$N49,INT(EO$44-2-1),MIN($N49,INT(EO$44-2-1)+1),$DC49,IF($DD49="No",1,0))/
IF(DV49&gt;=INT($N49),$N49-INT($N49),1)))*
IF(EO$44=2,0,
IF(INT(DW49)=INT(DV49),DW49-DV49,INT(DW49)-DV49))+
IF($N49&lt;=1,
IF($N49&gt;0,1/$N49,0),VDB(1,0,$N49,INT(EO$44-2),MIN($N49,INT(EO$44-2)+1),$DC49,IF($DD49="No",1,0))/
IF(DW49&gt;INT($N49),$N49-INT($N49),1))*
IF(EO$44=2,DW49,
IF(INT(DW49)=INT(DV49),0,DW49-INT(DW49)))))</f>
        <v>0</v>
      </c>
      <c r="EP49" s="835">
        <f>+IF(OR(DX49=DW49,EP$44=1),0,
IF(AND(EP$44&gt;1,DX49=$N49),1-SUM($EN49:EO49),
IF($N49&lt;=1,
IF($N49&gt;0,1/$N49,0),
IF(EP$44=2,0,VDB(1,0,$N49,INT(EP$44-2-1),MIN($N49,INT(EP$44-2-1)+1),$DC49,IF($DD49="No",1,0))/
IF(DW49&gt;=INT($N49),$N49-INT($N49),1)))*
IF(EP$44=2,0,
IF(INT(DX49)=INT(DW49),DX49-DW49,INT(DX49)-DW49))+
IF($N49&lt;=1,
IF($N49&gt;0,1/$N49,0),VDB(1,0,$N49,INT(EP$44-2),MIN($N49,INT(EP$44-2)+1),$DC49,IF($DD49="No",1,0))/
IF(DX49&gt;INT($N49),$N49-INT($N49),1))*
IF(EP$44=2,DX49,
IF(INT(DX49)=INT(DW49),0,DX49-INT(DX49)))))</f>
        <v>0</v>
      </c>
      <c r="EQ49" s="836">
        <f>+IF(OR(DY49=DX49,EQ$44=1),0,
IF(AND(EQ$44&gt;1,DY49=$N49),1-SUM($EN49:EP49),
IF($N49&lt;=1,
IF($N49&gt;0,1/$N49,0),
IF(EQ$44=2,0,VDB(1,0,$N49,INT(EQ$44-2-1),MIN($N49,INT(EQ$44-2-1)+1),$DC49,IF($DD49="No",1,0))/
IF(DX49&gt;=INT($N49),$N49-INT($N49),1)))*
IF(EQ$44=2,0,
IF(INT(DY49)=INT(DX49),DY49-DX49,INT(DY49)-DX49))+
IF($N49&lt;=1,
IF($N49&gt;0,1/$N49,0),VDB(1,0,$N49,INT(EQ$44-2),MIN($N49,INT(EQ$44-2)+1),$DC49,IF($DD49="No",1,0))/
IF(DY49&gt;INT($N49),$N49-INT($N49),1))*
IF(EQ$44=2,DY49,
IF(INT(DY49)=INT(DX49),0,DY49-INT(DY49)))))</f>
        <v>0</v>
      </c>
      <c r="ER49" s="834">
        <f>+IF(OR(DZ49=DY49,ER$44=1),0,
IF(AND(ER$44&gt;1,DZ49=$N49),1-SUM($EN49:EQ49),
IF($N49&lt;=1,
IF($N49&gt;0,1/$N49,0),
IF(ER$44=2,0,VDB(1,0,$N49,INT(ER$44-2-1),MIN($N49,INT(ER$44-2-1)+1),$DC49,IF($DD49="No",1,0))/
IF(DY49&gt;=INT($N49),$N49-INT($N49),1)))*
IF(ER$44=2,0,
IF(INT(DZ49)=INT(DY49),DZ49-DY49,INT(DZ49)-DY49))+
IF($N49&lt;=1,
IF($N49&gt;0,1/$N49,0),VDB(1,0,$N49,INT(ER$44-2),MIN($N49,INT(ER$44-2)+1),$DC49,IF($DD49="No",1,0))/
IF(DZ49&gt;INT($N49),$N49-INT($N49),1))*
IF(ER$44=2,DZ49,
IF(INT(DZ49)=INT(DY49),0,DZ49-INT(DZ49)))))</f>
        <v>0</v>
      </c>
      <c r="ES49" s="835">
        <f>+IF(OR(EA49=DZ49,ES$44=1),0,
IF(AND(ES$44&gt;1,EA49=$N49),1-SUM($EN49:ER49),
IF($N49&lt;=1,
IF($N49&gt;0,1/$N49,0),
IF(ES$44=2,0,VDB(1,0,$N49,INT(ES$44-2-1),MIN($N49,INT(ES$44-2-1)+1),$DC49,IF($DD49="No",1,0))/
IF(DZ49&gt;=INT($N49),$N49-INT($N49),1)))*
IF(ES$44=2,0,
IF(INT(EA49)=INT(DZ49),EA49-DZ49,INT(EA49)-DZ49))+
IF($N49&lt;=1,
IF($N49&gt;0,1/$N49,0),VDB(1,0,$N49,INT(ES$44-2),MIN($N49,INT(ES$44-2)+1),$DC49,IF($DD49="No",1,0))/
IF(EA49&gt;INT($N49),$N49-INT($N49),1))*
IF(ES$44=2,EA49,
IF(INT(EA49)=INT(DZ49),0,EA49-INT(EA49)))))</f>
        <v>0</v>
      </c>
      <c r="ET49" s="835">
        <f>+IF(OR(EB49=EA49,ET$44=1),0,
IF(AND(ET$44&gt;1,EB49=$N49),1-SUM($EN49:ES49),
IF($N49&lt;=1,
IF($N49&gt;0,1/$N49,0),
IF(ET$44=2,0,VDB(1,0,$N49,INT(ET$44-2-1),MIN($N49,INT(ET$44-2-1)+1),$DC49,IF($DD49="No",1,0))/
IF(EA49&gt;=INT($N49),$N49-INT($N49),1)))*
IF(ET$44=2,0,
IF(INT(EB49)=INT(EA49),EB49-EA49,INT(EB49)-EA49))+
IF($N49&lt;=1,
IF($N49&gt;0,1/$N49,0),VDB(1,0,$N49,INT(ET$44-2),MIN($N49,INT(ET$44-2)+1),$DC49,IF($DD49="No",1,0))/
IF(EB49&gt;INT($N49),$N49-INT($N49),1))*
IF(ET$44=2,EB49,
IF(INT(EB49)=INT(EA49),0,EB49-INT(EB49)))))</f>
        <v>0</v>
      </c>
      <c r="EU49" s="835">
        <f>+IF(OR(EC49=EB49,EU$44=1),0,
IF(AND(EU$44&gt;1,EC49=$N49),1-SUM($EN49:ET49),
IF($N49&lt;=1,
IF($N49&gt;0,1/$N49,0),
IF(EU$44=2,0,VDB(1,0,$N49,INT(EU$44-2-1),MIN($N49,INT(EU$44-2-1)+1),$DC49,IF($DD49="No",1,0))/
IF(EB49&gt;=INT($N49),$N49-INT($N49),1)))*
IF(EU$44=2,0,
IF(INT(EC49)=INT(EB49),EC49-EB49,INT(EC49)-EB49))+
IF($N49&lt;=1,
IF($N49&gt;0,1/$N49,0),VDB(1,0,$N49,INT(EU$44-2),MIN($N49,INT(EU$44-2)+1),$DC49,IF($DD49="No",1,0))/
IF(EC49&gt;INT($N49),$N49-INT($N49),1))*
IF(EU$44=2,EC49,
IF(INT(EC49)=INT(EB49),0,EC49-INT(EC49)))))</f>
        <v>0</v>
      </c>
      <c r="EV49" s="836">
        <f>+IF(OR(ED49=EC49,EV$44=1),0,
IF(AND(EV$44&gt;1,ED49=$N49),1-SUM($EN49:EU49),
IF($N49&lt;=1,
IF($N49&gt;0,1/$N49,0),
IF(EV$44=2,0,VDB(1,0,$N49,INT(EV$44-2-1),MIN($N49,INT(EV$44-2-1)+1),$DC49,IF($DD49="No",1,0))/
IF(EC49&gt;=INT($N49),$N49-INT($N49),1)))*
IF(EV$44=2,0,
IF(INT(ED49)=INT(EC49),ED49-EC49,INT(ED49)-EC49))+
IF($N49&lt;=1,
IF($N49&gt;0,1/$N49,0),VDB(1,0,$N49,INT(EV$44-2),MIN($N49,INT(EV$44-2)+1),$DC49,IF($DD49="No",1,0))/
IF(ED49&gt;INT($N49),$N49-INT($N49),1))*
IF(EV$44=2,ED49,
IF(INT(ED49)=INT(EC49),0,ED49-INT(ED49)))))</f>
        <v>0</v>
      </c>
      <c r="EW49" s="833"/>
      <c r="EX49" s="834">
        <f t="shared" ca="1" si="60"/>
        <v>0</v>
      </c>
      <c r="EY49" s="835">
        <f t="shared" ca="1" si="60"/>
        <v>0</v>
      </c>
      <c r="EZ49" s="836">
        <f t="shared" ca="1" si="60"/>
        <v>0</v>
      </c>
      <c r="FA49" s="834">
        <f t="shared" ca="1" si="60"/>
        <v>0</v>
      </c>
      <c r="FB49" s="835">
        <f t="shared" ca="1" si="60"/>
        <v>0</v>
      </c>
      <c r="FC49" s="835">
        <f t="shared" ca="1" si="60"/>
        <v>0</v>
      </c>
      <c r="FD49" s="835">
        <f t="shared" ca="1" si="60"/>
        <v>0</v>
      </c>
      <c r="FE49" s="836">
        <f t="shared" ca="1" si="60"/>
        <v>0</v>
      </c>
      <c r="FG49" s="386">
        <f t="shared" ca="1" si="72"/>
        <v>0</v>
      </c>
      <c r="FH49" s="387">
        <f t="shared" ca="1" si="61"/>
        <v>0</v>
      </c>
      <c r="FI49" s="388">
        <f t="shared" ca="1" si="62"/>
        <v>0</v>
      </c>
      <c r="FJ49" s="386">
        <f t="shared" ca="1" si="63"/>
        <v>0</v>
      </c>
      <c r="FK49" s="387">
        <f t="shared" ca="1" si="64"/>
        <v>0</v>
      </c>
      <c r="FL49" s="387">
        <f t="shared" ca="1" si="65"/>
        <v>0</v>
      </c>
      <c r="FM49" s="387">
        <f t="shared" ca="1" si="66"/>
        <v>0</v>
      </c>
      <c r="FN49" s="388">
        <f t="shared" ca="1" si="67"/>
        <v>0</v>
      </c>
      <c r="FR49" s="116"/>
    </row>
    <row r="50" spans="2:174">
      <c r="B50" s="1410">
        <f t="shared" si="73"/>
        <v>5</v>
      </c>
      <c r="C50" s="400" t="s">
        <v>524</v>
      </c>
      <c r="D50" s="401"/>
      <c r="E50" s="402" t="s">
        <v>401</v>
      </c>
      <c r="F50" s="402" t="s">
        <v>520</v>
      </c>
      <c r="G50" s="400" t="s">
        <v>525</v>
      </c>
      <c r="H50" s="2088" t="s">
        <v>481</v>
      </c>
      <c r="I50" s="2089"/>
      <c r="J50" s="1967" t="s">
        <v>516</v>
      </c>
      <c r="K50" s="403" t="s">
        <v>112</v>
      </c>
      <c r="L50" s="403">
        <v>110</v>
      </c>
      <c r="M50" s="403" t="s">
        <v>142</v>
      </c>
      <c r="N50" s="403"/>
      <c r="O50" s="347"/>
      <c r="P50" s="347"/>
      <c r="Q50" s="1021">
        <v>0.99676195121951228</v>
      </c>
      <c r="R50" s="1022">
        <v>3.3728907935752535</v>
      </c>
      <c r="S50" s="1022">
        <v>34.347617242930326</v>
      </c>
      <c r="T50" s="1022">
        <v>39.947639110314014</v>
      </c>
      <c r="U50" s="1023">
        <v>84.477234574608616</v>
      </c>
      <c r="V50" s="1021">
        <v>0</v>
      </c>
      <c r="W50" s="1022">
        <v>0</v>
      </c>
      <c r="X50" s="1022">
        <v>0</v>
      </c>
      <c r="Y50" s="1022">
        <v>0</v>
      </c>
      <c r="Z50" s="1023">
        <v>0</v>
      </c>
      <c r="AA50" s="1024"/>
      <c r="AB50" s="1021">
        <v>0</v>
      </c>
      <c r="AC50" s="1022">
        <v>0</v>
      </c>
      <c r="AD50" s="1022">
        <v>0</v>
      </c>
      <c r="AE50" s="1022">
        <v>0</v>
      </c>
      <c r="AF50" s="1023">
        <v>0</v>
      </c>
      <c r="AG50" s="1021">
        <v>0</v>
      </c>
      <c r="AH50" s="1022">
        <v>0</v>
      </c>
      <c r="AI50" s="1022">
        <v>0</v>
      </c>
      <c r="AJ50" s="1022">
        <v>0</v>
      </c>
      <c r="AK50" s="1023">
        <v>0</v>
      </c>
      <c r="AL50" s="1024"/>
      <c r="AM50" s="1021">
        <v>0</v>
      </c>
      <c r="AN50" s="1022">
        <v>0</v>
      </c>
      <c r="AO50" s="1022">
        <v>0</v>
      </c>
      <c r="AP50" s="1022">
        <v>0</v>
      </c>
      <c r="AQ50" s="1023">
        <v>0</v>
      </c>
      <c r="AR50" s="1021">
        <v>0</v>
      </c>
      <c r="AS50" s="1022">
        <v>0</v>
      </c>
      <c r="AT50" s="1022">
        <v>0</v>
      </c>
      <c r="AU50" s="1022">
        <v>0</v>
      </c>
      <c r="AV50" s="1023">
        <v>0</v>
      </c>
      <c r="AW50" s="1025"/>
      <c r="AX50" s="1282">
        <f t="shared" si="38"/>
        <v>0.99676195121951228</v>
      </c>
      <c r="AY50" s="387">
        <f t="shared" si="39"/>
        <v>3.3728907935752535</v>
      </c>
      <c r="AZ50" s="387">
        <f t="shared" si="40"/>
        <v>34.347617242930326</v>
      </c>
      <c r="BA50" s="387">
        <f t="shared" si="41"/>
        <v>39.947639110314014</v>
      </c>
      <c r="BB50" s="1283">
        <f t="shared" si="42"/>
        <v>84.477234574608616</v>
      </c>
      <c r="BC50" s="386">
        <f t="shared" si="43"/>
        <v>0</v>
      </c>
      <c r="BD50" s="387">
        <f t="shared" si="44"/>
        <v>0</v>
      </c>
      <c r="BE50" s="1277">
        <f t="shared" si="45"/>
        <v>0</v>
      </c>
      <c r="BF50" s="1277">
        <f t="shared" si="45"/>
        <v>0</v>
      </c>
      <c r="BG50" s="388">
        <f t="shared" si="45"/>
        <v>0</v>
      </c>
      <c r="BH50" s="1025"/>
      <c r="BI50" s="1282">
        <f t="shared" ca="1" si="46"/>
        <v>0</v>
      </c>
      <c r="BJ50" s="387">
        <f t="shared" ca="1" si="47"/>
        <v>0</v>
      </c>
      <c r="BK50" s="387">
        <f t="shared" ca="1" si="48"/>
        <v>0</v>
      </c>
      <c r="BL50" s="387">
        <f t="shared" ca="1" si="49"/>
        <v>0</v>
      </c>
      <c r="BM50" s="1283">
        <f t="shared" ca="1" si="50"/>
        <v>0.741555198512035</v>
      </c>
      <c r="BN50" s="386">
        <f t="shared" ca="1" si="51"/>
        <v>1.48311039702407</v>
      </c>
      <c r="BO50" s="387">
        <f t="shared" ca="1" si="51"/>
        <v>1.48311039702407</v>
      </c>
      <c r="BP50" s="1277">
        <f t="shared" ca="1" si="51"/>
        <v>1.48311039702407</v>
      </c>
      <c r="BQ50" s="1277">
        <f t="shared" ca="1" si="51"/>
        <v>1.48311039702407</v>
      </c>
      <c r="BR50" s="388">
        <f t="shared" ca="1" si="51"/>
        <v>1.48311039702407</v>
      </c>
      <c r="BS50" s="1025"/>
      <c r="BT50" s="1282">
        <f>+IF($K50="Ongoing",AX50,IF(RIGHT($K50,2)=RIGHT(BT$43,2),SUM($AX50:AX50),0)+IF(RIGHT(BT$43,2)&gt;RIGHT($K50,2),AX50,0))</f>
        <v>0</v>
      </c>
      <c r="BU50" s="387">
        <f>+IF($K50="Ongoing",AY50,IF(RIGHT($K50,2)=RIGHT(BU$43,2),SUM($AX50:AY50),0)+IF(RIGHT(BU$43,2)&gt;RIGHT($K50,2),AY50,0))</f>
        <v>0</v>
      </c>
      <c r="BV50" s="387">
        <f>+IF($K50="Ongoing",AZ50,IF(RIGHT($K50,2)=RIGHT(BV$43,2),SUM($AX50:AZ50),0)+IF(RIGHT(BV$43,2)&gt;RIGHT($K50,2),AZ50,0))</f>
        <v>0</v>
      </c>
      <c r="BW50" s="387">
        <f>+IF($K50="Ongoing",BA50,IF(RIGHT($K50,2)=RIGHT(BW$43,2),SUM($AX50:BA50),0)+IF(RIGHT(BW$43,2)&gt;RIGHT($K50,2),BA50,0))</f>
        <v>0</v>
      </c>
      <c r="BX50" s="1283">
        <f>+IF($K50="Ongoing",BB50,IF(RIGHT($K50,2)=RIGHT(BX$43,2),SUM($AX50:BB50),0)+IF(RIGHT(BX$43,2)&gt;RIGHT($K50,2),BB50,0))</f>
        <v>163.14214367264771</v>
      </c>
      <c r="BY50" s="386">
        <f>+IF($K50="Ongoing",BC50,IF(RIGHT($K50,2)=RIGHT(BY$43,2),SUM($AX50:BC50),0)+IF(RIGHT(BY$43,2)&gt;RIGHT($K50,2),BC50,0))</f>
        <v>0</v>
      </c>
      <c r="BZ50" s="387">
        <f>+IF($K50="Ongoing",BD50,IF(RIGHT($K50,2)=RIGHT(BZ$43,2),SUM($AX50:BD50),0)+IF(RIGHT(BZ$43,2)&gt;RIGHT($K50,2),BD50,0))</f>
        <v>0</v>
      </c>
      <c r="CA50" s="1277">
        <f>+IF($K50="Ongoing",BE50,IF(RIGHT($K50,2)=RIGHT(CA$43,2),SUM($AX50:BE50),0)+IF(RIGHT(CA$43,2)&gt;RIGHT($K50,2),BE50,0))</f>
        <v>0</v>
      </c>
      <c r="CB50" s="1277">
        <f>+IF($K50="Ongoing",BF50,IF(RIGHT($K50,2)=RIGHT(CB$43,2),SUM($AX50:BF50),0)+IF(RIGHT(CB$43,2)&gt;RIGHT($K50,2),BF50,0))</f>
        <v>0</v>
      </c>
      <c r="CC50" s="388">
        <f>+IF($K50="Ongoing",BG50,IF(RIGHT($K50,2)=RIGHT(CC$43,2),SUM($AX50:BG50),0)+IF(RIGHT(CC$43,2)&gt;RIGHT($K50,2),BG50,0))</f>
        <v>0</v>
      </c>
      <c r="CD50" s="1025"/>
      <c r="CE50" s="1282">
        <f>+Q50*KeyAssumptionsPriceControl_FO!AF$15</f>
        <v>1.0256680478048781</v>
      </c>
      <c r="CF50" s="387">
        <f>+R50*KeyAssumptionsPriceControl_FO!AG$15</f>
        <v>3.5713550607600149</v>
      </c>
      <c r="CG50" s="387">
        <f>+S50*KeyAssumptionsPriceControl_FO!AH$15</f>
        <v>37.423356685406112</v>
      </c>
      <c r="CH50" s="387">
        <f>+T50*KeyAssumptionsPriceControl_FO!AI$15</f>
        <v>44.787066420148257</v>
      </c>
      <c r="CI50" s="1283">
        <f>+U50*KeyAssumptionsPriceControl_FO!AJ$15</f>
        <v>97.457790761879579</v>
      </c>
      <c r="CJ50" s="386">
        <f>+V50*KeyAssumptionsPriceControl_FO!AK$15</f>
        <v>0</v>
      </c>
      <c r="CK50" s="387">
        <f>+W50*KeyAssumptionsPriceControl_FO!AL$15</f>
        <v>0</v>
      </c>
      <c r="CL50" s="1277">
        <f>+X50*KeyAssumptionsPriceControl_FO!AM$15</f>
        <v>0</v>
      </c>
      <c r="CM50" s="1277">
        <f>+Y50*KeyAssumptionsPriceControl_FO!AN$15</f>
        <v>0</v>
      </c>
      <c r="CN50" s="388">
        <f>+Z50*KeyAssumptionsPriceControl_FO!AO$15</f>
        <v>0</v>
      </c>
      <c r="CO50" s="1025"/>
      <c r="CP50" s="1282">
        <f t="shared" ca="1" si="68"/>
        <v>0</v>
      </c>
      <c r="CQ50" s="387">
        <f t="shared" ca="1" si="69"/>
        <v>0</v>
      </c>
      <c r="CR50" s="387">
        <f t="shared" ca="1" si="70"/>
        <v>0</v>
      </c>
      <c r="CS50" s="387">
        <f t="shared" ca="1" si="71"/>
        <v>0</v>
      </c>
      <c r="CT50" s="1283">
        <f t="shared" ca="1" si="52"/>
        <v>0</v>
      </c>
      <c r="CU50" s="386">
        <f t="shared" ca="1" si="53"/>
        <v>0</v>
      </c>
      <c r="CV50" s="387">
        <f t="shared" ca="1" si="54"/>
        <v>0</v>
      </c>
      <c r="CW50" s="1277">
        <f t="shared" ca="1" si="55"/>
        <v>0</v>
      </c>
      <c r="CX50" s="1277">
        <f t="shared" ca="1" si="56"/>
        <v>0</v>
      </c>
      <c r="CY50" s="388">
        <f t="shared" ca="1" si="57"/>
        <v>0</v>
      </c>
      <c r="CZ50" s="347"/>
      <c r="DA50" s="852"/>
      <c r="DB50" s="347"/>
      <c r="DC50" s="1012" t="s">
        <v>517</v>
      </c>
      <c r="DD50" s="841" t="s">
        <v>518</v>
      </c>
      <c r="DE50" s="386">
        <f>+IF($K50="ongoing",CE50,IF(RIGHT($K50,2)=RIGHT(DE$43,2),SUM($CD50:CE50),0)+IF(RIGHT(DE$43,2)&gt;RIGHT($K50,2),CE50,0))</f>
        <v>0</v>
      </c>
      <c r="DF50" s="387">
        <f>+IF($K50="ongoing",CF50,IF(RIGHT($K50,2)=RIGHT(DF$43,2),SUM($CD50:CF50),0)+IF(RIGHT(DF$43,2)&gt;RIGHT($K50,2),CF50,0))</f>
        <v>0</v>
      </c>
      <c r="DG50" s="388">
        <f>+IF($K50="ongoing",CG50,IF(RIGHT($K50,2)=RIGHT(DG$43,2),SUM($CD50:CG50),0)+IF(RIGHT(DG$43,2)&gt;RIGHT($K50,2),CG50,0))</f>
        <v>0</v>
      </c>
      <c r="DH50" s="386">
        <f>+IF($K50="ongoing",CH50,IF(RIGHT($K50,2)=RIGHT(DH$43,2),SUM($CD50:CH50),0)+IF(RIGHT(DH$43,2)&gt;RIGHT($K50,2),CH50,0))</f>
        <v>0</v>
      </c>
      <c r="DI50" s="387">
        <f>+IF($K50="ongoing",CI50,IF(RIGHT($K50,2)=RIGHT(DI$43,2),SUM($CD50:CI50),0)+IF(RIGHT(DI$43,2)&gt;RIGHT($K50,2),CI50,0))</f>
        <v>0</v>
      </c>
      <c r="DJ50" s="387">
        <f>+IF($K50="ongoing",CJ50,IF(RIGHT($K50,2)=RIGHT(DJ$43,2),SUM($CD50:CJ50),0)+IF(RIGHT(DJ$43,2)&gt;RIGHT($K50,2),CJ50,0))</f>
        <v>0</v>
      </c>
      <c r="DK50" s="387">
        <f>+IF($K50="ongoing",CK50,IF(RIGHT($K50,2)=RIGHT(DK$43,2),SUM($CD50:CK50),0)+IF(RIGHT(DK$43,2)&gt;RIGHT($K50,2),CK50,0))</f>
        <v>0</v>
      </c>
      <c r="DL50" s="388">
        <f>+IF($K50="ongoing",CN50,IF(RIGHT($K50,2)=RIGHT(DL$43,2),SUM($CD50:CN50),0)+IF(RIGHT(DL$43,2)&gt;RIGHT($K50,2),CN50,0))</f>
        <v>0</v>
      </c>
      <c r="DM50" s="841"/>
      <c r="DN50" s="386">
        <f t="shared" si="58"/>
        <v>0.5</v>
      </c>
      <c r="DO50" s="387">
        <f t="shared" si="58"/>
        <v>1</v>
      </c>
      <c r="DP50" s="388">
        <f t="shared" si="58"/>
        <v>1</v>
      </c>
      <c r="DQ50" s="386">
        <f t="shared" si="58"/>
        <v>1</v>
      </c>
      <c r="DR50" s="387">
        <f t="shared" si="58"/>
        <v>1</v>
      </c>
      <c r="DS50" s="387">
        <f t="shared" si="58"/>
        <v>1</v>
      </c>
      <c r="DT50" s="387">
        <f t="shared" si="58"/>
        <v>1</v>
      </c>
      <c r="DU50" s="388">
        <f t="shared" si="58"/>
        <v>1</v>
      </c>
      <c r="DW50" s="386">
        <f t="shared" si="59"/>
        <v>0</v>
      </c>
      <c r="DX50" s="387">
        <f t="shared" si="59"/>
        <v>0.5</v>
      </c>
      <c r="DY50" s="388">
        <f t="shared" si="59"/>
        <v>1</v>
      </c>
      <c r="DZ50" s="386">
        <f t="shared" si="59"/>
        <v>1</v>
      </c>
      <c r="EA50" s="387">
        <f t="shared" si="59"/>
        <v>1</v>
      </c>
      <c r="EB50" s="387">
        <f t="shared" si="59"/>
        <v>1</v>
      </c>
      <c r="EC50" s="387">
        <f t="shared" si="59"/>
        <v>1</v>
      </c>
      <c r="ED50" s="388">
        <f t="shared" si="59"/>
        <v>1</v>
      </c>
      <c r="EF50" s="834">
        <f>+IF(DN50=DM50,0,
IF(AND(EF$44&gt;1,DN50=$N50),1-SUM($EE50:EE50),
IF($N50&lt;=1,
IF($N50&gt;0,1/$N50,0),
IF(EF$44=1,0,VDB(1,0,$N50,INT(EF$44-1-1),MIN($N50,INT(EF$44-1-1)+1),$DC50,IF($DD50="No",1,0))/
IF(DM50&gt;=INT($N50),$N50-INT($N50),1)))*
IF(EF$44=1,0,
IF(INT(DN50)=INT(DM50),DN50-DM50,INT(DN50)-DM50))+
IF($N50&lt;=1,
IF($N50&gt;0,1/$N50,0),VDB(1,0,$N50,INT(EF$44-1),MIN($N50,INT(EF$44-1)+1),$DC50,IF($DD50="No",1,0))/
IF(DN50&gt;INT($N50),$N50-INT($N50),1))*
IF(EF$44=1,DN50,
IF(INT(DN50)=INT(DM50),0,DN50-INT(DN50)))))</f>
        <v>0</v>
      </c>
      <c r="EG50" s="835">
        <f>+IF(DO50=DN50,0,
IF(AND(EG$44&gt;1,DO50=$N50),1-SUM($EE50:EF50),
IF($N50&lt;=1,
IF($N50&gt;0,1/$N50,0),
IF(EG$44=1,0,VDB(1,0,$N50,INT(EG$44-1-1),MIN($N50,INT(EG$44-1-1)+1),$DC50,IF($DD50="No",1,0))/
IF(DN50&gt;=INT($N50),$N50-INT($N50),1)))*
IF(EG$44=1,0,
IF(INT(DO50)=INT(DN50),DO50-DN50,INT(DO50)-DN50))+
IF($N50&lt;=1,
IF($N50&gt;0,1/$N50,0),VDB(1,0,$N50,INT(EG$44-1),MIN($N50,INT(EG$44-1)+1),$DC50,IF($DD50="No",1,0))/
IF(DO50&gt;INT($N50),$N50-INT($N50),1))*
IF(EG$44=1,DO50,
IF(INT(DO50)=INT(DN50),0,DO50-INT(DO50)))))</f>
        <v>0</v>
      </c>
      <c r="EH50" s="836">
        <f>+IF(DP50=DO50,0,
IF(AND(EH$44&gt;1,DP50=$N50),1-SUM($EE50:EG50),
IF($N50&lt;=1,
IF($N50&gt;0,1/$N50,0),
IF(EH$44=1,0,VDB(1,0,$N50,INT(EH$44-1-1),MIN($N50,INT(EH$44-1-1)+1),$DC50,IF($DD50="No",1,0))/
IF(DO50&gt;=INT($N50),$N50-INT($N50),1)))*
IF(EH$44=1,0,
IF(INT(DP50)=INT(DO50),DP50-DO50,INT(DP50)-DO50))+
IF($N50&lt;=1,
IF($N50&gt;0,1/$N50,0),VDB(1,0,$N50,INT(EH$44-1),MIN($N50,INT(EH$44-1)+1),$DC50,IF($DD50="No",1,0))/
IF(DP50&gt;INT($N50),$N50-INT($N50),1))*
IF(EH$44=1,DP50,
IF(INT(DP50)=INT(DO50),0,DP50-INT(DP50)))))</f>
        <v>0</v>
      </c>
      <c r="EI50" s="834">
        <f>+IF(DQ50=DP50,0,
IF(AND(EI$44&gt;1,DQ50=$N50),1-SUM($EE50:EH50),
IF($N50&lt;=1,
IF($N50&gt;0,1/$N50,0),
IF(EI$44=1,0,VDB(1,0,$N50,INT(EI$44-1-1),MIN($N50,INT(EI$44-1-1)+1),$DC50,IF($DD50="No",1,0))/
IF(DP50&gt;=INT($N50),$N50-INT($N50),1)))*
IF(EI$44=1,0,
IF(INT(DQ50)=INT(DP50),DQ50-DP50,INT(DQ50)-DP50))+
IF($N50&lt;=1,
IF($N50&gt;0,1/$N50,0),VDB(1,0,$N50,INT(EI$44-1),MIN($N50,INT(EI$44-1)+1),$DC50,IF($DD50="No",1,0))/
IF(DQ50&gt;INT($N50),$N50-INT($N50),1))*
IF(EI$44=1,DQ50,
IF(INT(DQ50)=INT(DP50),0,DQ50-INT(DQ50)))))</f>
        <v>0</v>
      </c>
      <c r="EJ50" s="835">
        <f>+IF(DR50=DQ50,0,
IF(AND(EJ$44&gt;1,DR50=$N50),1-SUM($EE50:EI50),
IF($N50&lt;=1,
IF($N50&gt;0,1/$N50,0),
IF(EJ$44=1,0,VDB(1,0,$N50,INT(EJ$44-1-1),MIN($N50,INT(EJ$44-1-1)+1),$DC50,IF($DD50="No",1,0))/
IF(DQ50&gt;=INT($N50),$N50-INT($N50),1)))*
IF(EJ$44=1,0,
IF(INT(DR50)=INT(DQ50),DR50-DQ50,INT(DR50)-DQ50))+
IF($N50&lt;=1,
IF($N50&gt;0,1/$N50,0),VDB(1,0,$N50,INT(EJ$44-1),MIN($N50,INT(EJ$44-1)+1),$DC50,IF($DD50="No",1,0))/
IF(DR50&gt;INT($N50),$N50-INT($N50),1))*
IF(EJ$44=1,DR50,
IF(INT(DR50)=INT(DQ50),0,DR50-INT(DR50)))))</f>
        <v>0</v>
      </c>
      <c r="EK50" s="835">
        <f>+IF(DS50=DR50,0,
IF(AND(EK$44&gt;1,DS50=$N50),1-SUM($EE50:EJ50),
IF($N50&lt;=1,
IF($N50&gt;0,1/$N50,0),
IF(EK$44=1,0,VDB(1,0,$N50,INT(EK$44-1-1),MIN($N50,INT(EK$44-1-1)+1),$DC50,IF($DD50="No",1,0))/
IF(DR50&gt;=INT($N50),$N50-INT($N50),1)))*
IF(EK$44=1,0,
IF(INT(DS50)=INT(DR50),DS50-DR50,INT(DS50)-DR50))+
IF($N50&lt;=1,
IF($N50&gt;0,1/$N50,0),VDB(1,0,$N50,INT(EK$44-1),MIN($N50,INT(EK$44-1)+1),$DC50,IF($DD50="No",1,0))/
IF(DS50&gt;INT($N50),$N50-INT($N50),1))*
IF(EK$44=1,DS50,
IF(INT(DS50)=INT(DR50),0,DS50-INT(DS50)))))</f>
        <v>0</v>
      </c>
      <c r="EL50" s="835">
        <f>+IF(DT50=DS50,0,
IF(AND(EL$44&gt;1,DT50=$N50),1-SUM($EE50:EK50),
IF($N50&lt;=1,
IF($N50&gt;0,1/$N50,0),
IF(EL$44=1,0,VDB(1,0,$N50,INT(EL$44-1-1),MIN($N50,INT(EL$44-1-1)+1),$DC50,IF($DD50="No",1,0))/
IF(DS50&gt;=INT($N50),$N50-INT($N50),1)))*
IF(EL$44=1,0,
IF(INT(DT50)=INT(DS50),DT50-DS50,INT(DT50)-DS50))+
IF($N50&lt;=1,
IF($N50&gt;0,1/$N50,0),VDB(1,0,$N50,INT(EL$44-1),MIN($N50,INT(EL$44-1)+1),$DC50,IF($DD50="No",1,0))/
IF(DT50&gt;INT($N50),$N50-INT($N50),1))*
IF(EL$44=1,DT50,
IF(INT(DT50)=INT(DS50),0,DT50-INT(DT50)))))</f>
        <v>0</v>
      </c>
      <c r="EM50" s="836">
        <f>+IF(DU50=DT50,0,
IF(AND(EM$44&gt;1,DU50=$N50),1-SUM($EE50:EL50),
IF($N50&lt;=1,
IF($N50&gt;0,1/$N50,0),
IF(EM$44=1,0,VDB(1,0,$N50,INT(EM$44-1-1),MIN($N50,INT(EM$44-1-1)+1),$DC50,IF($DD50="No",1,0))/
IF(DT50&gt;=INT($N50),$N50-INT($N50),1)))*
IF(EM$44=1,0,
IF(INT(DU50)=INT(DT50),DU50-DT50,INT(DU50)-DT50))+
IF($N50&lt;=1,
IF($N50&gt;0,1/$N50,0),VDB(1,0,$N50,INT(EM$44-1),MIN($N50,INT(EM$44-1)+1),$DC50,IF($DD50="No",1,0))/
IF(DU50&gt;INT($N50),$N50-INT($N50),1))*
IF(EM$44=1,DU50,
IF(INT(DU50)=INT(DT50),0,DU50-INT(DU50)))))</f>
        <v>0</v>
      </c>
      <c r="EN50" s="833"/>
      <c r="EO50" s="834">
        <f>+IF(OR(DW50=DV50,EO$44=1),0,
IF(AND(EO$44&gt;1,DW50=$N50),1-SUM($EN50:EN50),
IF($N50&lt;=1,
IF($N50&gt;0,1/$N50,0),
IF(EO$44=2,0,VDB(1,0,$N50,INT(EO$44-2-1),MIN($N50,INT(EO$44-2-1)+1),$DC50,IF($DD50="No",1,0))/
IF(DV50&gt;=INT($N50),$N50-INT($N50),1)))*
IF(EO$44=2,0,
IF(INT(DW50)=INT(DV50),DW50-DV50,INT(DW50)-DV50))+
IF($N50&lt;=1,
IF($N50&gt;0,1/$N50,0),VDB(1,0,$N50,INT(EO$44-2),MIN($N50,INT(EO$44-2)+1),$DC50,IF($DD50="No",1,0))/
IF(DW50&gt;INT($N50),$N50-INT($N50),1))*
IF(EO$44=2,DW50,
IF(INT(DW50)=INT(DV50),0,DW50-INT(DW50)))))</f>
        <v>0</v>
      </c>
      <c r="EP50" s="835">
        <f>+IF(OR(DX50=DW50,EP$44=1),0,
IF(AND(EP$44&gt;1,DX50=$N50),1-SUM($EN50:EO50),
IF($N50&lt;=1,
IF($N50&gt;0,1/$N50,0),
IF(EP$44=2,0,VDB(1,0,$N50,INT(EP$44-2-1),MIN($N50,INT(EP$44-2-1)+1),$DC50,IF($DD50="No",1,0))/
IF(DW50&gt;=INT($N50),$N50-INT($N50),1)))*
IF(EP$44=2,0,
IF(INT(DX50)=INT(DW50),DX50-DW50,INT(DX50)-DW50))+
IF($N50&lt;=1,
IF($N50&gt;0,1/$N50,0),VDB(1,0,$N50,INT(EP$44-2),MIN($N50,INT(EP$44-2)+1),$DC50,IF($DD50="No",1,0))/
IF(DX50&gt;INT($N50),$N50-INT($N50),1))*
IF(EP$44=2,DX50,
IF(INT(DX50)=INT(DW50),0,DX50-INT(DX50)))))</f>
        <v>0</v>
      </c>
      <c r="EQ50" s="836">
        <f>+IF(OR(DY50=DX50,EQ$44=1),0,
IF(AND(EQ$44&gt;1,DY50=$N50),1-SUM($EN50:EP50),
IF($N50&lt;=1,
IF($N50&gt;0,1/$N50,0),
IF(EQ$44=2,0,VDB(1,0,$N50,INT(EQ$44-2-1),MIN($N50,INT(EQ$44-2-1)+1),$DC50,IF($DD50="No",1,0))/
IF(DX50&gt;=INT($N50),$N50-INT($N50),1)))*
IF(EQ$44=2,0,
IF(INT(DY50)=INT(DX50),DY50-DX50,INT(DY50)-DX50))+
IF($N50&lt;=1,
IF($N50&gt;0,1/$N50,0),VDB(1,0,$N50,INT(EQ$44-2),MIN($N50,INT(EQ$44-2)+1),$DC50,IF($DD50="No",1,0))/
IF(DY50&gt;INT($N50),$N50-INT($N50),1))*
IF(EQ$44=2,DY50,
IF(INT(DY50)=INT(DX50),0,DY50-INT(DY50)))))</f>
        <v>0</v>
      </c>
      <c r="ER50" s="834">
        <f>+IF(OR(DZ50=DY50,ER$44=1),0,
IF(AND(ER$44&gt;1,DZ50=$N50),1-SUM($EN50:EQ50),
IF($N50&lt;=1,
IF($N50&gt;0,1/$N50,0),
IF(ER$44=2,0,VDB(1,0,$N50,INT(ER$44-2-1),MIN($N50,INT(ER$44-2-1)+1),$DC50,IF($DD50="No",1,0))/
IF(DY50&gt;=INT($N50),$N50-INT($N50),1)))*
IF(ER$44=2,0,
IF(INT(DZ50)=INT(DY50),DZ50-DY50,INT(DZ50)-DY50))+
IF($N50&lt;=1,
IF($N50&gt;0,1/$N50,0),VDB(1,0,$N50,INT(ER$44-2),MIN($N50,INT(ER$44-2)+1),$DC50,IF($DD50="No",1,0))/
IF(DZ50&gt;INT($N50),$N50-INT($N50),1))*
IF(ER$44=2,DZ50,
IF(INT(DZ50)=INT(DY50),0,DZ50-INT(DZ50)))))</f>
        <v>0</v>
      </c>
      <c r="ES50" s="835">
        <f>+IF(OR(EA50=DZ50,ES$44=1),0,
IF(AND(ES$44&gt;1,EA50=$N50),1-SUM($EN50:ER50),
IF($N50&lt;=1,
IF($N50&gt;0,1/$N50,0),
IF(ES$44=2,0,VDB(1,0,$N50,INT(ES$44-2-1),MIN($N50,INT(ES$44-2-1)+1),$DC50,IF($DD50="No",1,0))/
IF(DZ50&gt;=INT($N50),$N50-INT($N50),1)))*
IF(ES$44=2,0,
IF(INT(EA50)=INT(DZ50),EA50-DZ50,INT(EA50)-DZ50))+
IF($N50&lt;=1,
IF($N50&gt;0,1/$N50,0),VDB(1,0,$N50,INT(ES$44-2),MIN($N50,INT(ES$44-2)+1),$DC50,IF($DD50="No",1,0))/
IF(EA50&gt;INT($N50),$N50-INT($N50),1))*
IF(ES$44=2,EA50,
IF(INT(EA50)=INT(DZ50),0,EA50-INT(EA50)))))</f>
        <v>0</v>
      </c>
      <c r="ET50" s="835">
        <f>+IF(OR(EB50=EA50,ET$44=1),0,
IF(AND(ET$44&gt;1,EB50=$N50),1-SUM($EN50:ES50),
IF($N50&lt;=1,
IF($N50&gt;0,1/$N50,0),
IF(ET$44=2,0,VDB(1,0,$N50,INT(ET$44-2-1),MIN($N50,INT(ET$44-2-1)+1),$DC50,IF($DD50="No",1,0))/
IF(EA50&gt;=INT($N50),$N50-INT($N50),1)))*
IF(ET$44=2,0,
IF(INT(EB50)=INT(EA50),EB50-EA50,INT(EB50)-EA50))+
IF($N50&lt;=1,
IF($N50&gt;0,1/$N50,0),VDB(1,0,$N50,INT(ET$44-2),MIN($N50,INT(ET$44-2)+1),$DC50,IF($DD50="No",1,0))/
IF(EB50&gt;INT($N50),$N50-INT($N50),1))*
IF(ET$44=2,EB50,
IF(INT(EB50)=INT(EA50),0,EB50-INT(EB50)))))</f>
        <v>0</v>
      </c>
      <c r="EU50" s="835">
        <f>+IF(OR(EC50=EB50,EU$44=1),0,
IF(AND(EU$44&gt;1,EC50=$N50),1-SUM($EN50:ET50),
IF($N50&lt;=1,
IF($N50&gt;0,1/$N50,0),
IF(EU$44=2,0,VDB(1,0,$N50,INT(EU$44-2-1),MIN($N50,INT(EU$44-2-1)+1),$DC50,IF($DD50="No",1,0))/
IF(EB50&gt;=INT($N50),$N50-INT($N50),1)))*
IF(EU$44=2,0,
IF(INT(EC50)=INT(EB50),EC50-EB50,INT(EC50)-EB50))+
IF($N50&lt;=1,
IF($N50&gt;0,1/$N50,0),VDB(1,0,$N50,INT(EU$44-2),MIN($N50,INT(EU$44-2)+1),$DC50,IF($DD50="No",1,0))/
IF(EC50&gt;INT($N50),$N50-INT($N50),1))*
IF(EU$44=2,EC50,
IF(INT(EC50)=INT(EB50),0,EC50-INT(EC50)))))</f>
        <v>0</v>
      </c>
      <c r="EV50" s="836">
        <f>+IF(OR(ED50=EC50,EV$44=1),0,
IF(AND(EV$44&gt;1,ED50=$N50),1-SUM($EN50:EU50),
IF($N50&lt;=1,
IF($N50&gt;0,1/$N50,0),
IF(EV$44=2,0,VDB(1,0,$N50,INT(EV$44-2-1),MIN($N50,INT(EV$44-2-1)+1),$DC50,IF($DD50="No",1,0))/
IF(EC50&gt;=INT($N50),$N50-INT($N50),1)))*
IF(EV$44=2,0,
IF(INT(ED50)=INT(EC50),ED50-EC50,INT(ED50)-EC50))+
IF($N50&lt;=1,
IF($N50&gt;0,1/$N50,0),VDB(1,0,$N50,INT(EV$44-2),MIN($N50,INT(EV$44-2)+1),$DC50,IF($DD50="No",1,0))/
IF(ED50&gt;INT($N50),$N50-INT($N50),1))*
IF(EV$44=2,ED50,
IF(INT(ED50)=INT(EC50),0,ED50-INT(ED50)))))</f>
        <v>0</v>
      </c>
      <c r="EW50" s="833"/>
      <c r="EX50" s="834">
        <f t="shared" ca="1" si="60"/>
        <v>0</v>
      </c>
      <c r="EY50" s="835">
        <f t="shared" ca="1" si="60"/>
        <v>0</v>
      </c>
      <c r="EZ50" s="836">
        <f t="shared" ca="1" si="60"/>
        <v>0</v>
      </c>
      <c r="FA50" s="834">
        <f t="shared" ca="1" si="60"/>
        <v>0</v>
      </c>
      <c r="FB50" s="835">
        <f t="shared" ca="1" si="60"/>
        <v>0</v>
      </c>
      <c r="FC50" s="835">
        <f t="shared" ca="1" si="60"/>
        <v>0</v>
      </c>
      <c r="FD50" s="835">
        <f t="shared" ca="1" si="60"/>
        <v>0</v>
      </c>
      <c r="FE50" s="836">
        <f t="shared" ca="1" si="60"/>
        <v>0</v>
      </c>
      <c r="FG50" s="386">
        <f t="shared" ca="1" si="72"/>
        <v>0</v>
      </c>
      <c r="FH50" s="387">
        <f t="shared" ca="1" si="61"/>
        <v>0</v>
      </c>
      <c r="FI50" s="388">
        <f t="shared" ca="1" si="62"/>
        <v>0</v>
      </c>
      <c r="FJ50" s="386">
        <f t="shared" ca="1" si="63"/>
        <v>0</v>
      </c>
      <c r="FK50" s="387">
        <f t="shared" ca="1" si="64"/>
        <v>0</v>
      </c>
      <c r="FL50" s="387">
        <f t="shared" ca="1" si="65"/>
        <v>0</v>
      </c>
      <c r="FM50" s="387">
        <f t="shared" ca="1" si="66"/>
        <v>0</v>
      </c>
      <c r="FN50" s="388">
        <f t="shared" ca="1" si="67"/>
        <v>0</v>
      </c>
      <c r="FR50" s="116"/>
    </row>
    <row r="51" spans="2:174">
      <c r="B51" s="1410">
        <f t="shared" si="73"/>
        <v>6</v>
      </c>
      <c r="C51" s="400" t="s">
        <v>526</v>
      </c>
      <c r="D51" s="401"/>
      <c r="E51" s="402" t="s">
        <v>401</v>
      </c>
      <c r="F51" s="402" t="s">
        <v>527</v>
      </c>
      <c r="G51" s="400" t="s">
        <v>515</v>
      </c>
      <c r="H51" s="2088" t="s">
        <v>481</v>
      </c>
      <c r="I51" s="2089"/>
      <c r="J51" s="1967" t="s">
        <v>516</v>
      </c>
      <c r="K51" s="403" t="s">
        <v>363</v>
      </c>
      <c r="L51" s="403">
        <v>100</v>
      </c>
      <c r="M51" s="403" t="s">
        <v>142</v>
      </c>
      <c r="N51" s="403"/>
      <c r="O51" s="347"/>
      <c r="P51" s="347"/>
      <c r="Q51" s="1021">
        <v>1.2878048780487805</v>
      </c>
      <c r="R51" s="1022">
        <v>3.4455681142177279</v>
      </c>
      <c r="S51" s="1022">
        <v>0.80788148750018152</v>
      </c>
      <c r="T51" s="1022">
        <v>66.243111147758086</v>
      </c>
      <c r="U51" s="1023">
        <v>84.956074125026802</v>
      </c>
      <c r="V51" s="1021">
        <v>67.793779601814876</v>
      </c>
      <c r="W51" s="1022">
        <v>0.64777423101423282</v>
      </c>
      <c r="X51" s="1022">
        <v>0</v>
      </c>
      <c r="Y51" s="1022">
        <v>0</v>
      </c>
      <c r="Z51" s="1023">
        <v>0</v>
      </c>
      <c r="AA51" s="1024"/>
      <c r="AB51" s="1021">
        <v>0</v>
      </c>
      <c r="AC51" s="1022">
        <v>0</v>
      </c>
      <c r="AD51" s="1022">
        <v>0</v>
      </c>
      <c r="AE51" s="1022">
        <v>0</v>
      </c>
      <c r="AF51" s="1023">
        <v>0</v>
      </c>
      <c r="AG51" s="1021">
        <v>0</v>
      </c>
      <c r="AH51" s="1022">
        <v>0</v>
      </c>
      <c r="AI51" s="1022">
        <v>0</v>
      </c>
      <c r="AJ51" s="1022">
        <v>0</v>
      </c>
      <c r="AK51" s="1023">
        <v>0</v>
      </c>
      <c r="AL51" s="1024"/>
      <c r="AM51" s="1021">
        <v>0</v>
      </c>
      <c r="AN51" s="1022">
        <v>0</v>
      </c>
      <c r="AO51" s="1022">
        <v>0</v>
      </c>
      <c r="AP51" s="1022">
        <v>0</v>
      </c>
      <c r="AQ51" s="1023">
        <v>0</v>
      </c>
      <c r="AR51" s="1021">
        <v>0</v>
      </c>
      <c r="AS51" s="1022">
        <v>0</v>
      </c>
      <c r="AT51" s="1022">
        <v>0</v>
      </c>
      <c r="AU51" s="1022">
        <v>0</v>
      </c>
      <c r="AV51" s="1023">
        <v>0</v>
      </c>
      <c r="AW51" s="1025"/>
      <c r="AX51" s="1282">
        <f t="shared" si="38"/>
        <v>1.2878048780487805</v>
      </c>
      <c r="AY51" s="387">
        <f t="shared" si="39"/>
        <v>3.4455681142177279</v>
      </c>
      <c r="AZ51" s="387">
        <f t="shared" si="40"/>
        <v>0.80788148750018152</v>
      </c>
      <c r="BA51" s="387">
        <f t="shared" si="41"/>
        <v>66.243111147758086</v>
      </c>
      <c r="BB51" s="1283">
        <f t="shared" si="42"/>
        <v>84.956074125026802</v>
      </c>
      <c r="BC51" s="386">
        <f t="shared" si="43"/>
        <v>67.793779601814876</v>
      </c>
      <c r="BD51" s="387">
        <f t="shared" si="44"/>
        <v>0.64777423101423282</v>
      </c>
      <c r="BE51" s="1277">
        <f t="shared" si="45"/>
        <v>0</v>
      </c>
      <c r="BF51" s="1277">
        <f t="shared" si="45"/>
        <v>0</v>
      </c>
      <c r="BG51" s="388">
        <f t="shared" si="45"/>
        <v>0</v>
      </c>
      <c r="BH51" s="1025"/>
      <c r="BI51" s="1282">
        <f t="shared" ca="1" si="46"/>
        <v>0</v>
      </c>
      <c r="BJ51" s="387">
        <f t="shared" ca="1" si="47"/>
        <v>0</v>
      </c>
      <c r="BK51" s="387">
        <f t="shared" ca="1" si="48"/>
        <v>0</v>
      </c>
      <c r="BL51" s="387">
        <f t="shared" ca="1" si="49"/>
        <v>0</v>
      </c>
      <c r="BM51" s="1283">
        <f t="shared" ca="1" si="50"/>
        <v>0</v>
      </c>
      <c r="BN51" s="386">
        <f t="shared" ca="1" si="51"/>
        <v>0</v>
      </c>
      <c r="BO51" s="387">
        <f t="shared" ca="1" si="51"/>
        <v>1.1259099679269036</v>
      </c>
      <c r="BP51" s="1277">
        <f t="shared" ca="1" si="51"/>
        <v>2.2518199358538071</v>
      </c>
      <c r="BQ51" s="1277">
        <f t="shared" ca="1" si="51"/>
        <v>2.2518199358538071</v>
      </c>
      <c r="BR51" s="388">
        <f t="shared" ca="1" si="51"/>
        <v>2.2518199358538071</v>
      </c>
      <c r="BS51" s="1025"/>
      <c r="BT51" s="1282">
        <f>+IF($K51="Ongoing",AX51,IF(RIGHT($K51,2)=RIGHT(BT$43,2),SUM($AX51:AX51),0)+IF(RIGHT(BT$43,2)&gt;RIGHT($K51,2),AX51,0))</f>
        <v>0</v>
      </c>
      <c r="BU51" s="387">
        <f>+IF($K51="Ongoing",AY51,IF(RIGHT($K51,2)=RIGHT(BU$43,2),SUM($AX51:AY51),0)+IF(RIGHT(BU$43,2)&gt;RIGHT($K51,2),AY51,0))</f>
        <v>0</v>
      </c>
      <c r="BV51" s="387">
        <f>+IF($K51="Ongoing",AZ51,IF(RIGHT($K51,2)=RIGHT(BV$43,2),SUM($AX51:AZ51),0)+IF(RIGHT(BV$43,2)&gt;RIGHT($K51,2),AZ51,0))</f>
        <v>0</v>
      </c>
      <c r="BW51" s="387">
        <f>+IF($K51="Ongoing",BA51,IF(RIGHT($K51,2)=RIGHT(BW$43,2),SUM($AX51:BA51),0)+IF(RIGHT(BW$43,2)&gt;RIGHT($K51,2),BA51,0))</f>
        <v>0</v>
      </c>
      <c r="BX51" s="1283">
        <f>+IF($K51="Ongoing",BB51,IF(RIGHT($K51,2)=RIGHT(BX$43,2),SUM($AX51:BB51),0)+IF(RIGHT(BX$43,2)&gt;RIGHT($K51,2),BB51,0))</f>
        <v>0</v>
      </c>
      <c r="BY51" s="386">
        <f>+IF($K51="Ongoing",BC51,IF(RIGHT($K51,2)=RIGHT(BY$43,2),SUM($AX51:BC51),0)+IF(RIGHT(BY$43,2)&gt;RIGHT($K51,2),BC51,0))</f>
        <v>0</v>
      </c>
      <c r="BZ51" s="387">
        <f>+IF($K51="Ongoing",BD51,IF(RIGHT($K51,2)=RIGHT(BZ$43,2),SUM($AX51:BD51),0)+IF(RIGHT(BZ$43,2)&gt;RIGHT($K51,2),BD51,0))</f>
        <v>225.18199358538072</v>
      </c>
      <c r="CA51" s="1277">
        <f>+IF($K51="Ongoing",BE51,IF(RIGHT($K51,2)=RIGHT(CA$43,2),SUM($AX51:BE51),0)+IF(RIGHT(CA$43,2)&gt;RIGHT($K51,2),BE51,0))</f>
        <v>0</v>
      </c>
      <c r="CB51" s="1277">
        <f>+IF($K51="Ongoing",BF51,IF(RIGHT($K51,2)=RIGHT(CB$43,2),SUM($AX51:BF51),0)+IF(RIGHT(CB$43,2)&gt;RIGHT($K51,2),BF51,0))</f>
        <v>0</v>
      </c>
      <c r="CC51" s="388">
        <f>+IF($K51="Ongoing",BG51,IF(RIGHT($K51,2)=RIGHT(CC$43,2),SUM($AX51:BG51),0)+IF(RIGHT(CC$43,2)&gt;RIGHT($K51,2),BG51,0))</f>
        <v>0</v>
      </c>
      <c r="CD51" s="1025"/>
      <c r="CE51" s="1282">
        <f>+Q51*KeyAssumptionsPriceControl_FO!AF$15</f>
        <v>1.3251512195121951</v>
      </c>
      <c r="CF51" s="387">
        <f>+R51*KeyAssumptionsPriceControl_FO!AG$15</f>
        <v>3.6483087876264131</v>
      </c>
      <c r="CG51" s="387">
        <f>+S51*KeyAssumptionsPriceControl_FO!AH$15</f>
        <v>0.88022516532725881</v>
      </c>
      <c r="CH51" s="387">
        <f>+T51*KeyAssumptionsPriceControl_FO!AI$15</f>
        <v>74.268084045194627</v>
      </c>
      <c r="CI51" s="1283">
        <f>+U51*KeyAssumptionsPriceControl_FO!AJ$15</f>
        <v>98.010207575097496</v>
      </c>
      <c r="CJ51" s="386">
        <f>+V51*KeyAssumptionsPriceControl_FO!AK$15</f>
        <v>80.478911854300378</v>
      </c>
      <c r="CK51" s="387">
        <f>+W51*KeyAssumptionsPriceControl_FO!AL$15</f>
        <v>0.7912820076752991</v>
      </c>
      <c r="CL51" s="1277">
        <f>+X51*KeyAssumptionsPriceControl_FO!AM$15</f>
        <v>0</v>
      </c>
      <c r="CM51" s="1277">
        <f>+Y51*KeyAssumptionsPriceControl_FO!AN$15</f>
        <v>0</v>
      </c>
      <c r="CN51" s="388">
        <f>+Z51*KeyAssumptionsPriceControl_FO!AO$15</f>
        <v>0</v>
      </c>
      <c r="CO51" s="1025"/>
      <c r="CP51" s="1282">
        <f t="shared" ca="1" si="68"/>
        <v>0</v>
      </c>
      <c r="CQ51" s="387">
        <f t="shared" ca="1" si="69"/>
        <v>0</v>
      </c>
      <c r="CR51" s="387">
        <f t="shared" ca="1" si="70"/>
        <v>0</v>
      </c>
      <c r="CS51" s="387">
        <f t="shared" ca="1" si="71"/>
        <v>0</v>
      </c>
      <c r="CT51" s="1283">
        <f t="shared" ca="1" si="52"/>
        <v>0</v>
      </c>
      <c r="CU51" s="386">
        <f t="shared" ca="1" si="53"/>
        <v>0</v>
      </c>
      <c r="CV51" s="387">
        <f t="shared" ca="1" si="54"/>
        <v>0</v>
      </c>
      <c r="CW51" s="1277">
        <f t="shared" ca="1" si="55"/>
        <v>0</v>
      </c>
      <c r="CX51" s="1277">
        <f t="shared" ca="1" si="56"/>
        <v>0</v>
      </c>
      <c r="CY51" s="388">
        <f t="shared" ca="1" si="57"/>
        <v>0</v>
      </c>
      <c r="CZ51" s="347"/>
      <c r="DA51" s="852"/>
      <c r="DB51" s="347"/>
      <c r="DC51" s="1012" t="s">
        <v>517</v>
      </c>
      <c r="DD51" s="841" t="s">
        <v>518</v>
      </c>
      <c r="DE51" s="386">
        <f>+IF($K51="ongoing",CE51,IF(RIGHT($K51,2)=RIGHT(DE$43,2),SUM($CD51:CE51),0)+IF(RIGHT(DE$43,2)&gt;RIGHT($K51,2),CE51,0))</f>
        <v>0</v>
      </c>
      <c r="DF51" s="387">
        <f>+IF($K51="ongoing",CF51,IF(RIGHT($K51,2)=RIGHT(DF$43,2),SUM($CD51:CF51),0)+IF(RIGHT(DF$43,2)&gt;RIGHT($K51,2),CF51,0))</f>
        <v>0</v>
      </c>
      <c r="DG51" s="388">
        <f>+IF($K51="ongoing",CG51,IF(RIGHT($K51,2)=RIGHT(DG$43,2),SUM($CD51:CG51),0)+IF(RIGHT(DG$43,2)&gt;RIGHT($K51,2),CG51,0))</f>
        <v>0</v>
      </c>
      <c r="DH51" s="386">
        <f>+IF($K51="ongoing",CH51,IF(RIGHT($K51,2)=RIGHT(DH$43,2),SUM($CD51:CH51),0)+IF(RIGHT(DH$43,2)&gt;RIGHT($K51,2),CH51,0))</f>
        <v>0</v>
      </c>
      <c r="DI51" s="387">
        <f>+IF($K51="ongoing",CI51,IF(RIGHT($K51,2)=RIGHT(DI$43,2),SUM($CD51:CI51),0)+IF(RIGHT(DI$43,2)&gt;RIGHT($K51,2),CI51,0))</f>
        <v>0</v>
      </c>
      <c r="DJ51" s="387">
        <f>+IF($K51="ongoing",CJ51,IF(RIGHT($K51,2)=RIGHT(DJ$43,2),SUM($CD51:CJ51),0)+IF(RIGHT(DJ$43,2)&gt;RIGHT($K51,2),CJ51,0))</f>
        <v>0</v>
      </c>
      <c r="DK51" s="387">
        <f>+IF($K51="ongoing",CK51,IF(RIGHT($K51,2)=RIGHT(DK$43,2),SUM($CD51:CK51),0)+IF(RIGHT(DK$43,2)&gt;RIGHT($K51,2),CK51,0))</f>
        <v>0</v>
      </c>
      <c r="DL51" s="388">
        <f>+IF($K51="ongoing",CN51,IF(RIGHT($K51,2)=RIGHT(DL$43,2),SUM($CD51:CN51),0)+IF(RIGHT(DL$43,2)&gt;RIGHT($K51,2),CN51,0))</f>
        <v>0</v>
      </c>
      <c r="DM51" s="841"/>
      <c r="DN51" s="386">
        <f t="shared" si="58"/>
        <v>0.5</v>
      </c>
      <c r="DO51" s="387">
        <f t="shared" si="58"/>
        <v>1</v>
      </c>
      <c r="DP51" s="388">
        <f t="shared" si="58"/>
        <v>1</v>
      </c>
      <c r="DQ51" s="386">
        <f t="shared" si="58"/>
        <v>1</v>
      </c>
      <c r="DR51" s="387">
        <f t="shared" si="58"/>
        <v>1</v>
      </c>
      <c r="DS51" s="387">
        <f t="shared" si="58"/>
        <v>1</v>
      </c>
      <c r="DT51" s="387">
        <f t="shared" si="58"/>
        <v>1</v>
      </c>
      <c r="DU51" s="388">
        <f t="shared" si="58"/>
        <v>1</v>
      </c>
      <c r="DW51" s="386">
        <f t="shared" si="59"/>
        <v>0</v>
      </c>
      <c r="DX51" s="387">
        <f t="shared" si="59"/>
        <v>0.5</v>
      </c>
      <c r="DY51" s="388">
        <f t="shared" si="59"/>
        <v>1</v>
      </c>
      <c r="DZ51" s="386">
        <f t="shared" si="59"/>
        <v>1</v>
      </c>
      <c r="EA51" s="387">
        <f t="shared" si="59"/>
        <v>1</v>
      </c>
      <c r="EB51" s="387">
        <f t="shared" si="59"/>
        <v>1</v>
      </c>
      <c r="EC51" s="387">
        <f t="shared" si="59"/>
        <v>1</v>
      </c>
      <c r="ED51" s="388">
        <f t="shared" si="59"/>
        <v>1</v>
      </c>
      <c r="EF51" s="834">
        <f>+IF(DN51=DM51,0,
IF(AND(EF$44&gt;1,DN51=$N51),1-SUM($EE51:EE51),
IF($N51&lt;=1,
IF($N51&gt;0,1/$N51,0),
IF(EF$44=1,0,VDB(1,0,$N51,INT(EF$44-1-1),MIN($N51,INT(EF$44-1-1)+1),$DC51,IF($DD51="No",1,0))/
IF(DM51&gt;=INT($N51),$N51-INT($N51),1)))*
IF(EF$44=1,0,
IF(INT(DN51)=INT(DM51),DN51-DM51,INT(DN51)-DM51))+
IF($N51&lt;=1,
IF($N51&gt;0,1/$N51,0),VDB(1,0,$N51,INT(EF$44-1),MIN($N51,INT(EF$44-1)+1),$DC51,IF($DD51="No",1,0))/
IF(DN51&gt;INT($N51),$N51-INT($N51),1))*
IF(EF$44=1,DN51,
IF(INT(DN51)=INT(DM51),0,DN51-INT(DN51)))))</f>
        <v>0</v>
      </c>
      <c r="EG51" s="835">
        <f>+IF(DO51=DN51,0,
IF(AND(EG$44&gt;1,DO51=$N51),1-SUM($EE51:EF51),
IF($N51&lt;=1,
IF($N51&gt;0,1/$N51,0),
IF(EG$44=1,0,VDB(1,0,$N51,INT(EG$44-1-1),MIN($N51,INT(EG$44-1-1)+1),$DC51,IF($DD51="No",1,0))/
IF(DN51&gt;=INT($N51),$N51-INT($N51),1)))*
IF(EG$44=1,0,
IF(INT(DO51)=INT(DN51),DO51-DN51,INT(DO51)-DN51))+
IF($N51&lt;=1,
IF($N51&gt;0,1/$N51,0),VDB(1,0,$N51,INT(EG$44-1),MIN($N51,INT(EG$44-1)+1),$DC51,IF($DD51="No",1,0))/
IF(DO51&gt;INT($N51),$N51-INT($N51),1))*
IF(EG$44=1,DO51,
IF(INT(DO51)=INT(DN51),0,DO51-INT(DO51)))))</f>
        <v>0</v>
      </c>
      <c r="EH51" s="836">
        <f>+IF(DP51=DO51,0,
IF(AND(EH$44&gt;1,DP51=$N51),1-SUM($EE51:EG51),
IF($N51&lt;=1,
IF($N51&gt;0,1/$N51,0),
IF(EH$44=1,0,VDB(1,0,$N51,INT(EH$44-1-1),MIN($N51,INT(EH$44-1-1)+1),$DC51,IF($DD51="No",1,0))/
IF(DO51&gt;=INT($N51),$N51-INT($N51),1)))*
IF(EH$44=1,0,
IF(INT(DP51)=INT(DO51),DP51-DO51,INT(DP51)-DO51))+
IF($N51&lt;=1,
IF($N51&gt;0,1/$N51,0),VDB(1,0,$N51,INT(EH$44-1),MIN($N51,INT(EH$44-1)+1),$DC51,IF($DD51="No",1,0))/
IF(DP51&gt;INT($N51),$N51-INT($N51),1))*
IF(EH$44=1,DP51,
IF(INT(DP51)=INT(DO51),0,DP51-INT(DP51)))))</f>
        <v>0</v>
      </c>
      <c r="EI51" s="834">
        <f>+IF(DQ51=DP51,0,
IF(AND(EI$44&gt;1,DQ51=$N51),1-SUM($EE51:EH51),
IF($N51&lt;=1,
IF($N51&gt;0,1/$N51,0),
IF(EI$44=1,0,VDB(1,0,$N51,INT(EI$44-1-1),MIN($N51,INT(EI$44-1-1)+1),$DC51,IF($DD51="No",1,0))/
IF(DP51&gt;=INT($N51),$N51-INT($N51),1)))*
IF(EI$44=1,0,
IF(INT(DQ51)=INT(DP51),DQ51-DP51,INT(DQ51)-DP51))+
IF($N51&lt;=1,
IF($N51&gt;0,1/$N51,0),VDB(1,0,$N51,INT(EI$44-1),MIN($N51,INT(EI$44-1)+1),$DC51,IF($DD51="No",1,0))/
IF(DQ51&gt;INT($N51),$N51-INT($N51),1))*
IF(EI$44=1,DQ51,
IF(INT(DQ51)=INT(DP51),0,DQ51-INT(DQ51)))))</f>
        <v>0</v>
      </c>
      <c r="EJ51" s="835">
        <f>+IF(DR51=DQ51,0,
IF(AND(EJ$44&gt;1,DR51=$N51),1-SUM($EE51:EI51),
IF($N51&lt;=1,
IF($N51&gt;0,1/$N51,0),
IF(EJ$44=1,0,VDB(1,0,$N51,INT(EJ$44-1-1),MIN($N51,INT(EJ$44-1-1)+1),$DC51,IF($DD51="No",1,0))/
IF(DQ51&gt;=INT($N51),$N51-INT($N51),1)))*
IF(EJ$44=1,0,
IF(INT(DR51)=INT(DQ51),DR51-DQ51,INT(DR51)-DQ51))+
IF($N51&lt;=1,
IF($N51&gt;0,1/$N51,0),VDB(1,0,$N51,INT(EJ$44-1),MIN($N51,INT(EJ$44-1)+1),$DC51,IF($DD51="No",1,0))/
IF(DR51&gt;INT($N51),$N51-INT($N51),1))*
IF(EJ$44=1,DR51,
IF(INT(DR51)=INT(DQ51),0,DR51-INT(DR51)))))</f>
        <v>0</v>
      </c>
      <c r="EK51" s="835">
        <f>+IF(DS51=DR51,0,
IF(AND(EK$44&gt;1,DS51=$N51),1-SUM($EE51:EJ51),
IF($N51&lt;=1,
IF($N51&gt;0,1/$N51,0),
IF(EK$44=1,0,VDB(1,0,$N51,INT(EK$44-1-1),MIN($N51,INT(EK$44-1-1)+1),$DC51,IF($DD51="No",1,0))/
IF(DR51&gt;=INT($N51),$N51-INT($N51),1)))*
IF(EK$44=1,0,
IF(INT(DS51)=INT(DR51),DS51-DR51,INT(DS51)-DR51))+
IF($N51&lt;=1,
IF($N51&gt;0,1/$N51,0),VDB(1,0,$N51,INT(EK$44-1),MIN($N51,INT(EK$44-1)+1),$DC51,IF($DD51="No",1,0))/
IF(DS51&gt;INT($N51),$N51-INT($N51),1))*
IF(EK$44=1,DS51,
IF(INT(DS51)=INT(DR51),0,DS51-INT(DS51)))))</f>
        <v>0</v>
      </c>
      <c r="EL51" s="835">
        <f>+IF(DT51=DS51,0,
IF(AND(EL$44&gt;1,DT51=$N51),1-SUM($EE51:EK51),
IF($N51&lt;=1,
IF($N51&gt;0,1/$N51,0),
IF(EL$44=1,0,VDB(1,0,$N51,INT(EL$44-1-1),MIN($N51,INT(EL$44-1-1)+1),$DC51,IF($DD51="No",1,0))/
IF(DS51&gt;=INT($N51),$N51-INT($N51),1)))*
IF(EL$44=1,0,
IF(INT(DT51)=INT(DS51),DT51-DS51,INT(DT51)-DS51))+
IF($N51&lt;=1,
IF($N51&gt;0,1/$N51,0),VDB(1,0,$N51,INT(EL$44-1),MIN($N51,INT(EL$44-1)+1),$DC51,IF($DD51="No",1,0))/
IF(DT51&gt;INT($N51),$N51-INT($N51),1))*
IF(EL$44=1,DT51,
IF(INT(DT51)=INT(DS51),0,DT51-INT(DT51)))))</f>
        <v>0</v>
      </c>
      <c r="EM51" s="836">
        <f>+IF(DU51=DT51,0,
IF(AND(EM$44&gt;1,DU51=$N51),1-SUM($EE51:EL51),
IF($N51&lt;=1,
IF($N51&gt;0,1/$N51,0),
IF(EM$44=1,0,VDB(1,0,$N51,INT(EM$44-1-1),MIN($N51,INT(EM$44-1-1)+1),$DC51,IF($DD51="No",1,0))/
IF(DT51&gt;=INT($N51),$N51-INT($N51),1)))*
IF(EM$44=1,0,
IF(INT(DU51)=INT(DT51),DU51-DT51,INT(DU51)-DT51))+
IF($N51&lt;=1,
IF($N51&gt;0,1/$N51,0),VDB(1,0,$N51,INT(EM$44-1),MIN($N51,INT(EM$44-1)+1),$DC51,IF($DD51="No",1,0))/
IF(DU51&gt;INT($N51),$N51-INT($N51),1))*
IF(EM$44=1,DU51,
IF(INT(DU51)=INT(DT51),0,DU51-INT(DU51)))))</f>
        <v>0</v>
      </c>
      <c r="EN51" s="833"/>
      <c r="EO51" s="834">
        <f>+IF(OR(DW51=DV51,EO$44=1),0,
IF(AND(EO$44&gt;1,DW51=$N51),1-SUM($EN51:EN51),
IF($N51&lt;=1,
IF($N51&gt;0,1/$N51,0),
IF(EO$44=2,0,VDB(1,0,$N51,INT(EO$44-2-1),MIN($N51,INT(EO$44-2-1)+1),$DC51,IF($DD51="No",1,0))/
IF(DV51&gt;=INT($N51),$N51-INT($N51),1)))*
IF(EO$44=2,0,
IF(INT(DW51)=INT(DV51),DW51-DV51,INT(DW51)-DV51))+
IF($N51&lt;=1,
IF($N51&gt;0,1/$N51,0),VDB(1,0,$N51,INT(EO$44-2),MIN($N51,INT(EO$44-2)+1),$DC51,IF($DD51="No",1,0))/
IF(DW51&gt;INT($N51),$N51-INT($N51),1))*
IF(EO$44=2,DW51,
IF(INT(DW51)=INT(DV51),0,DW51-INT(DW51)))))</f>
        <v>0</v>
      </c>
      <c r="EP51" s="835">
        <f>+IF(OR(DX51=DW51,EP$44=1),0,
IF(AND(EP$44&gt;1,DX51=$N51),1-SUM($EN51:EO51),
IF($N51&lt;=1,
IF($N51&gt;0,1/$N51,0),
IF(EP$44=2,0,VDB(1,0,$N51,INT(EP$44-2-1),MIN($N51,INT(EP$44-2-1)+1),$DC51,IF($DD51="No",1,0))/
IF(DW51&gt;=INT($N51),$N51-INT($N51),1)))*
IF(EP$44=2,0,
IF(INT(DX51)=INT(DW51),DX51-DW51,INT(DX51)-DW51))+
IF($N51&lt;=1,
IF($N51&gt;0,1/$N51,0),VDB(1,0,$N51,INT(EP$44-2),MIN($N51,INT(EP$44-2)+1),$DC51,IF($DD51="No",1,0))/
IF(DX51&gt;INT($N51),$N51-INT($N51),1))*
IF(EP$44=2,DX51,
IF(INT(DX51)=INT(DW51),0,DX51-INT(DX51)))))</f>
        <v>0</v>
      </c>
      <c r="EQ51" s="836">
        <f>+IF(OR(DY51=DX51,EQ$44=1),0,
IF(AND(EQ$44&gt;1,DY51=$N51),1-SUM($EN51:EP51),
IF($N51&lt;=1,
IF($N51&gt;0,1/$N51,0),
IF(EQ$44=2,0,VDB(1,0,$N51,INT(EQ$44-2-1),MIN($N51,INT(EQ$44-2-1)+1),$DC51,IF($DD51="No",1,0))/
IF(DX51&gt;=INT($N51),$N51-INT($N51),1)))*
IF(EQ$44=2,0,
IF(INT(DY51)=INT(DX51),DY51-DX51,INT(DY51)-DX51))+
IF($N51&lt;=1,
IF($N51&gt;0,1/$N51,0),VDB(1,0,$N51,INT(EQ$44-2),MIN($N51,INT(EQ$44-2)+1),$DC51,IF($DD51="No",1,0))/
IF(DY51&gt;INT($N51),$N51-INT($N51),1))*
IF(EQ$44=2,DY51,
IF(INT(DY51)=INT(DX51),0,DY51-INT(DY51)))))</f>
        <v>0</v>
      </c>
      <c r="ER51" s="834">
        <f>+IF(OR(DZ51=DY51,ER$44=1),0,
IF(AND(ER$44&gt;1,DZ51=$N51),1-SUM($EN51:EQ51),
IF($N51&lt;=1,
IF($N51&gt;0,1/$N51,0),
IF(ER$44=2,0,VDB(1,0,$N51,INT(ER$44-2-1),MIN($N51,INT(ER$44-2-1)+1),$DC51,IF($DD51="No",1,0))/
IF(DY51&gt;=INT($N51),$N51-INT($N51),1)))*
IF(ER$44=2,0,
IF(INT(DZ51)=INT(DY51),DZ51-DY51,INT(DZ51)-DY51))+
IF($N51&lt;=1,
IF($N51&gt;0,1/$N51,0),VDB(1,0,$N51,INT(ER$44-2),MIN($N51,INT(ER$44-2)+1),$DC51,IF($DD51="No",1,0))/
IF(DZ51&gt;INT($N51),$N51-INT($N51),1))*
IF(ER$44=2,DZ51,
IF(INT(DZ51)=INT(DY51),0,DZ51-INT(DZ51)))))</f>
        <v>0</v>
      </c>
      <c r="ES51" s="835">
        <f>+IF(OR(EA51=DZ51,ES$44=1),0,
IF(AND(ES$44&gt;1,EA51=$N51),1-SUM($EN51:ER51),
IF($N51&lt;=1,
IF($N51&gt;0,1/$N51,0),
IF(ES$44=2,0,VDB(1,0,$N51,INT(ES$44-2-1),MIN($N51,INT(ES$44-2-1)+1),$DC51,IF($DD51="No",1,0))/
IF(DZ51&gt;=INT($N51),$N51-INT($N51),1)))*
IF(ES$44=2,0,
IF(INT(EA51)=INT(DZ51),EA51-DZ51,INT(EA51)-DZ51))+
IF($N51&lt;=1,
IF($N51&gt;0,1/$N51,0),VDB(1,0,$N51,INT(ES$44-2),MIN($N51,INT(ES$44-2)+1),$DC51,IF($DD51="No",1,0))/
IF(EA51&gt;INT($N51),$N51-INT($N51),1))*
IF(ES$44=2,EA51,
IF(INT(EA51)=INT(DZ51),0,EA51-INT(EA51)))))</f>
        <v>0</v>
      </c>
      <c r="ET51" s="835">
        <f>+IF(OR(EB51=EA51,ET$44=1),0,
IF(AND(ET$44&gt;1,EB51=$N51),1-SUM($EN51:ES51),
IF($N51&lt;=1,
IF($N51&gt;0,1/$N51,0),
IF(ET$44=2,0,VDB(1,0,$N51,INT(ET$44-2-1),MIN($N51,INT(ET$44-2-1)+1),$DC51,IF($DD51="No",1,0))/
IF(EA51&gt;=INT($N51),$N51-INT($N51),1)))*
IF(ET$44=2,0,
IF(INT(EB51)=INT(EA51),EB51-EA51,INT(EB51)-EA51))+
IF($N51&lt;=1,
IF($N51&gt;0,1/$N51,0),VDB(1,0,$N51,INT(ET$44-2),MIN($N51,INT(ET$44-2)+1),$DC51,IF($DD51="No",1,0))/
IF(EB51&gt;INT($N51),$N51-INT($N51),1))*
IF(ET$44=2,EB51,
IF(INT(EB51)=INT(EA51),0,EB51-INT(EB51)))))</f>
        <v>0</v>
      </c>
      <c r="EU51" s="835">
        <f>+IF(OR(EC51=EB51,EU$44=1),0,
IF(AND(EU$44&gt;1,EC51=$N51),1-SUM($EN51:ET51),
IF($N51&lt;=1,
IF($N51&gt;0,1/$N51,0),
IF(EU$44=2,0,VDB(1,0,$N51,INT(EU$44-2-1),MIN($N51,INT(EU$44-2-1)+1),$DC51,IF($DD51="No",1,0))/
IF(EB51&gt;=INT($N51),$N51-INT($N51),1)))*
IF(EU$44=2,0,
IF(INT(EC51)=INT(EB51),EC51-EB51,INT(EC51)-EB51))+
IF($N51&lt;=1,
IF($N51&gt;0,1/$N51,0),VDB(1,0,$N51,INT(EU$44-2),MIN($N51,INT(EU$44-2)+1),$DC51,IF($DD51="No",1,0))/
IF(EC51&gt;INT($N51),$N51-INT($N51),1))*
IF(EU$44=2,EC51,
IF(INT(EC51)=INT(EB51),0,EC51-INT(EC51)))))</f>
        <v>0</v>
      </c>
      <c r="EV51" s="836">
        <f>+IF(OR(ED51=EC51,EV$44=1),0,
IF(AND(EV$44&gt;1,ED51=$N51),1-SUM($EN51:EU51),
IF($N51&lt;=1,
IF($N51&gt;0,1/$N51,0),
IF(EV$44=2,0,VDB(1,0,$N51,INT(EV$44-2-1),MIN($N51,INT(EV$44-2-1)+1),$DC51,IF($DD51="No",1,0))/
IF(EC51&gt;=INT($N51),$N51-INT($N51),1)))*
IF(EV$44=2,0,
IF(INT(ED51)=INT(EC51),ED51-EC51,INT(ED51)-EC51))+
IF($N51&lt;=1,
IF($N51&gt;0,1/$N51,0),VDB(1,0,$N51,INT(EV$44-2),MIN($N51,INT(EV$44-2)+1),$DC51,IF($DD51="No",1,0))/
IF(ED51&gt;INT($N51),$N51-INT($N51),1))*
IF(EV$44=2,ED51,
IF(INT(ED51)=INT(EC51),0,ED51-INT(ED51)))))</f>
        <v>0</v>
      </c>
      <c r="EW51" s="833"/>
      <c r="EX51" s="834">
        <f t="shared" ca="1" si="60"/>
        <v>0</v>
      </c>
      <c r="EY51" s="835">
        <f t="shared" ca="1" si="60"/>
        <v>0</v>
      </c>
      <c r="EZ51" s="836">
        <f t="shared" ca="1" si="60"/>
        <v>0</v>
      </c>
      <c r="FA51" s="834">
        <f t="shared" ca="1" si="60"/>
        <v>0</v>
      </c>
      <c r="FB51" s="835">
        <f t="shared" ca="1" si="60"/>
        <v>0</v>
      </c>
      <c r="FC51" s="835">
        <f t="shared" ca="1" si="60"/>
        <v>0</v>
      </c>
      <c r="FD51" s="835">
        <f t="shared" ca="1" si="60"/>
        <v>0</v>
      </c>
      <c r="FE51" s="836">
        <f t="shared" ca="1" si="60"/>
        <v>0</v>
      </c>
      <c r="FG51" s="386">
        <f t="shared" ca="1" si="72"/>
        <v>0</v>
      </c>
      <c r="FH51" s="387">
        <f t="shared" ca="1" si="61"/>
        <v>0</v>
      </c>
      <c r="FI51" s="388">
        <f t="shared" ca="1" si="62"/>
        <v>0</v>
      </c>
      <c r="FJ51" s="386">
        <f t="shared" ca="1" si="63"/>
        <v>0</v>
      </c>
      <c r="FK51" s="387">
        <f t="shared" ca="1" si="64"/>
        <v>0</v>
      </c>
      <c r="FL51" s="387">
        <f t="shared" ca="1" si="65"/>
        <v>0</v>
      </c>
      <c r="FM51" s="387">
        <f t="shared" ca="1" si="66"/>
        <v>0</v>
      </c>
      <c r="FN51" s="388">
        <f t="shared" ca="1" si="67"/>
        <v>0</v>
      </c>
      <c r="FR51" s="116"/>
    </row>
    <row r="52" spans="2:174">
      <c r="B52" s="1410">
        <f t="shared" si="73"/>
        <v>7</v>
      </c>
      <c r="C52" s="400" t="s">
        <v>528</v>
      </c>
      <c r="D52" s="401"/>
      <c r="E52" s="402" t="s">
        <v>402</v>
      </c>
      <c r="F52" s="402" t="s">
        <v>514</v>
      </c>
      <c r="G52" s="400" t="s">
        <v>522</v>
      </c>
      <c r="H52" s="2088" t="s">
        <v>481</v>
      </c>
      <c r="I52" s="2089"/>
      <c r="J52" s="1967" t="s">
        <v>516</v>
      </c>
      <c r="K52" s="403" t="s">
        <v>362</v>
      </c>
      <c r="L52" s="403">
        <v>50</v>
      </c>
      <c r="M52" s="403" t="s">
        <v>142</v>
      </c>
      <c r="N52" s="403"/>
      <c r="O52" s="347"/>
      <c r="P52" s="347"/>
      <c r="Q52" s="1021">
        <v>5.6595121951219518</v>
      </c>
      <c r="R52" s="1022">
        <v>18.636525877453902</v>
      </c>
      <c r="S52" s="1022">
        <v>87.891934243554232</v>
      </c>
      <c r="T52" s="1022">
        <v>90.595064479975505</v>
      </c>
      <c r="U52" s="1023">
        <v>88.385428760951726</v>
      </c>
      <c r="V52" s="1021">
        <v>45.809980608381373</v>
      </c>
      <c r="W52" s="1022">
        <v>0</v>
      </c>
      <c r="X52" s="1022">
        <v>0</v>
      </c>
      <c r="Y52" s="1022">
        <v>0</v>
      </c>
      <c r="Z52" s="1023">
        <v>0</v>
      </c>
      <c r="AA52" s="1024"/>
      <c r="AB52" s="1021">
        <v>0</v>
      </c>
      <c r="AC52" s="1022">
        <v>0</v>
      </c>
      <c r="AD52" s="1022">
        <v>0</v>
      </c>
      <c r="AE52" s="1022">
        <v>0</v>
      </c>
      <c r="AF52" s="1023">
        <v>0</v>
      </c>
      <c r="AG52" s="1021">
        <v>0</v>
      </c>
      <c r="AH52" s="1022">
        <v>0</v>
      </c>
      <c r="AI52" s="1022">
        <v>0</v>
      </c>
      <c r="AJ52" s="1022">
        <v>0</v>
      </c>
      <c r="AK52" s="1023">
        <v>0</v>
      </c>
      <c r="AL52" s="1024"/>
      <c r="AM52" s="1021">
        <v>0</v>
      </c>
      <c r="AN52" s="1022">
        <v>0</v>
      </c>
      <c r="AO52" s="1022">
        <v>0</v>
      </c>
      <c r="AP52" s="1022">
        <v>0</v>
      </c>
      <c r="AQ52" s="1023">
        <v>0</v>
      </c>
      <c r="AR52" s="1021">
        <v>0</v>
      </c>
      <c r="AS52" s="1022">
        <v>0</v>
      </c>
      <c r="AT52" s="1022">
        <v>0</v>
      </c>
      <c r="AU52" s="1022">
        <v>0</v>
      </c>
      <c r="AV52" s="1023">
        <v>0</v>
      </c>
      <c r="AW52" s="1025"/>
      <c r="AX52" s="1282">
        <f t="shared" si="38"/>
        <v>5.6595121951219518</v>
      </c>
      <c r="AY52" s="387">
        <f t="shared" si="39"/>
        <v>18.636525877453902</v>
      </c>
      <c r="AZ52" s="387">
        <f t="shared" si="40"/>
        <v>87.891934243554232</v>
      </c>
      <c r="BA52" s="387">
        <f t="shared" si="41"/>
        <v>90.595064479975505</v>
      </c>
      <c r="BB52" s="1283">
        <f t="shared" si="42"/>
        <v>88.385428760951726</v>
      </c>
      <c r="BC52" s="386">
        <f t="shared" si="43"/>
        <v>45.809980608381373</v>
      </c>
      <c r="BD52" s="387">
        <f t="shared" si="44"/>
        <v>0</v>
      </c>
      <c r="BE52" s="1277">
        <f t="shared" si="45"/>
        <v>0</v>
      </c>
      <c r="BF52" s="1277">
        <f t="shared" si="45"/>
        <v>0</v>
      </c>
      <c r="BG52" s="388">
        <f t="shared" si="45"/>
        <v>0</v>
      </c>
      <c r="BH52" s="1025"/>
      <c r="BI52" s="1282">
        <f t="shared" ca="1" si="46"/>
        <v>0</v>
      </c>
      <c r="BJ52" s="387">
        <f t="shared" ca="1" si="47"/>
        <v>0</v>
      </c>
      <c r="BK52" s="387">
        <f t="shared" ca="1" si="48"/>
        <v>0</v>
      </c>
      <c r="BL52" s="387">
        <f t="shared" ca="1" si="49"/>
        <v>0</v>
      </c>
      <c r="BM52" s="1283">
        <f t="shared" ca="1" si="50"/>
        <v>0</v>
      </c>
      <c r="BN52" s="386">
        <f t="shared" ca="1" si="51"/>
        <v>3.3697844616543864</v>
      </c>
      <c r="BO52" s="387">
        <f t="shared" ca="1" si="51"/>
        <v>6.7395689233087728</v>
      </c>
      <c r="BP52" s="1277">
        <f t="shared" ca="1" si="51"/>
        <v>6.7395689233087728</v>
      </c>
      <c r="BQ52" s="1277">
        <f t="shared" ca="1" si="51"/>
        <v>6.7395689233087728</v>
      </c>
      <c r="BR52" s="388">
        <f t="shared" ca="1" si="51"/>
        <v>6.7395689233087728</v>
      </c>
      <c r="BS52" s="1025"/>
      <c r="BT52" s="1282">
        <f>+IF($K52="Ongoing",AX52,IF(RIGHT($K52,2)=RIGHT(BT$43,2),SUM($AX52:AX52),0)+IF(RIGHT(BT$43,2)&gt;RIGHT($K52,2),AX52,0))</f>
        <v>0</v>
      </c>
      <c r="BU52" s="387">
        <f>+IF($K52="Ongoing",AY52,IF(RIGHT($K52,2)=RIGHT(BU$43,2),SUM($AX52:AY52),0)+IF(RIGHT(BU$43,2)&gt;RIGHT($K52,2),AY52,0))</f>
        <v>0</v>
      </c>
      <c r="BV52" s="387">
        <f>+IF($K52="Ongoing",AZ52,IF(RIGHT($K52,2)=RIGHT(BV$43,2),SUM($AX52:AZ52),0)+IF(RIGHT(BV$43,2)&gt;RIGHT($K52,2),AZ52,0))</f>
        <v>0</v>
      </c>
      <c r="BW52" s="387">
        <f>+IF($K52="Ongoing",BA52,IF(RIGHT($K52,2)=RIGHT(BW$43,2),SUM($AX52:BA52),0)+IF(RIGHT(BW$43,2)&gt;RIGHT($K52,2),BA52,0))</f>
        <v>0</v>
      </c>
      <c r="BX52" s="1283">
        <f>+IF($K52="Ongoing",BB52,IF(RIGHT($K52,2)=RIGHT(BX$43,2),SUM($AX52:BB52),0)+IF(RIGHT(BX$43,2)&gt;RIGHT($K52,2),BB52,0))</f>
        <v>0</v>
      </c>
      <c r="BY52" s="386">
        <f>+IF($K52="Ongoing",BC52,IF(RIGHT($K52,2)=RIGHT(BY$43,2),SUM($AX52:BC52),0)+IF(RIGHT(BY$43,2)&gt;RIGHT($K52,2),BC52,0))</f>
        <v>336.97844616543864</v>
      </c>
      <c r="BZ52" s="387">
        <f>+IF($K52="Ongoing",BD52,IF(RIGHT($K52,2)=RIGHT(BZ$43,2),SUM($AX52:BD52),0)+IF(RIGHT(BZ$43,2)&gt;RIGHT($K52,2),BD52,0))</f>
        <v>0</v>
      </c>
      <c r="CA52" s="1277">
        <f>+IF($K52="Ongoing",BE52,IF(RIGHT($K52,2)=RIGHT(CA$43,2),SUM($AX52:BE52),0)+IF(RIGHT(CA$43,2)&gt;RIGHT($K52,2),BE52,0))</f>
        <v>0</v>
      </c>
      <c r="CB52" s="1277">
        <f>+IF($K52="Ongoing",BF52,IF(RIGHT($K52,2)=RIGHT(CB$43,2),SUM($AX52:BF52),0)+IF(RIGHT(CB$43,2)&gt;RIGHT($K52,2),BF52,0))</f>
        <v>0</v>
      </c>
      <c r="CC52" s="388">
        <f>+IF($K52="Ongoing",BG52,IF(RIGHT($K52,2)=RIGHT(CC$43,2),SUM($AX52:BG52),0)+IF(RIGHT(CC$43,2)&gt;RIGHT($K52,2),BG52,0))</f>
        <v>0</v>
      </c>
      <c r="CD52" s="1025"/>
      <c r="CE52" s="1282">
        <f>+Q52*KeyAssumptionsPriceControl_FO!AF$15</f>
        <v>5.823638048780488</v>
      </c>
      <c r="CF52" s="387">
        <f>+R52*KeyAssumptionsPriceControl_FO!AG$15</f>
        <v>19.733117696609167</v>
      </c>
      <c r="CG52" s="387">
        <f>+S52*KeyAssumptionsPriceControl_FO!AH$15</f>
        <v>95.762427469224193</v>
      </c>
      <c r="CH52" s="387">
        <f>+T52*KeyAssumptionsPriceControl_FO!AI$15</f>
        <v>101.57013682329681</v>
      </c>
      <c r="CI52" s="1283">
        <f>+U52*KeyAssumptionsPriceControl_FO!AJ$15</f>
        <v>101.9665080889487</v>
      </c>
      <c r="CJ52" s="386">
        <f>+V52*KeyAssumptionsPriceControl_FO!AK$15</f>
        <v>54.381647004829894</v>
      </c>
      <c r="CK52" s="387">
        <f>+W52*KeyAssumptionsPriceControl_FO!AL$15</f>
        <v>0</v>
      </c>
      <c r="CL52" s="1277">
        <f>+X52*KeyAssumptionsPriceControl_FO!AM$15</f>
        <v>0</v>
      </c>
      <c r="CM52" s="1277">
        <f>+Y52*KeyAssumptionsPriceControl_FO!AN$15</f>
        <v>0</v>
      </c>
      <c r="CN52" s="388">
        <f>+Z52*KeyAssumptionsPriceControl_FO!AO$15</f>
        <v>0</v>
      </c>
      <c r="CO52" s="1025"/>
      <c r="CP52" s="1282">
        <f t="shared" ca="1" si="68"/>
        <v>0</v>
      </c>
      <c r="CQ52" s="387">
        <f t="shared" ca="1" si="69"/>
        <v>0</v>
      </c>
      <c r="CR52" s="387">
        <f t="shared" ca="1" si="70"/>
        <v>0</v>
      </c>
      <c r="CS52" s="387">
        <f t="shared" ca="1" si="71"/>
        <v>0</v>
      </c>
      <c r="CT52" s="1283">
        <f t="shared" ca="1" si="52"/>
        <v>0</v>
      </c>
      <c r="CU52" s="386">
        <f t="shared" ca="1" si="53"/>
        <v>0</v>
      </c>
      <c r="CV52" s="387">
        <f t="shared" ca="1" si="54"/>
        <v>0</v>
      </c>
      <c r="CW52" s="1277">
        <f t="shared" ca="1" si="55"/>
        <v>0</v>
      </c>
      <c r="CX52" s="1277">
        <f t="shared" ca="1" si="56"/>
        <v>0</v>
      </c>
      <c r="CY52" s="388">
        <f t="shared" ca="1" si="57"/>
        <v>0</v>
      </c>
      <c r="CZ52" s="347"/>
      <c r="DA52" s="852"/>
      <c r="DB52" s="347"/>
      <c r="DC52" s="1012" t="s">
        <v>517</v>
      </c>
      <c r="DD52" s="841" t="s">
        <v>518</v>
      </c>
      <c r="DE52" s="386">
        <f>+IF($K52="ongoing",CE52,IF(RIGHT($K52,2)=RIGHT(DE$43,2),SUM($CD52:CE52),0)+IF(RIGHT(DE$43,2)&gt;RIGHT($K52,2),CE52,0))</f>
        <v>0</v>
      </c>
      <c r="DF52" s="387">
        <f>+IF($K52="ongoing",CF52,IF(RIGHT($K52,2)=RIGHT(DF$43,2),SUM($CD52:CF52),0)+IF(RIGHT(DF$43,2)&gt;RIGHT($K52,2),CF52,0))</f>
        <v>0</v>
      </c>
      <c r="DG52" s="388">
        <f>+IF($K52="ongoing",CG52,IF(RIGHT($K52,2)=RIGHT(DG$43,2),SUM($CD52:CG52),0)+IF(RIGHT(DG$43,2)&gt;RIGHT($K52,2),CG52,0))</f>
        <v>0</v>
      </c>
      <c r="DH52" s="386">
        <f>+IF($K52="ongoing",CH52,IF(RIGHT($K52,2)=RIGHT(DH$43,2),SUM($CD52:CH52),0)+IF(RIGHT(DH$43,2)&gt;RIGHT($K52,2),CH52,0))</f>
        <v>0</v>
      </c>
      <c r="DI52" s="387">
        <f>+IF($K52="ongoing",CI52,IF(RIGHT($K52,2)=RIGHT(DI$43,2),SUM($CD52:CI52),0)+IF(RIGHT(DI$43,2)&gt;RIGHT($K52,2),CI52,0))</f>
        <v>0</v>
      </c>
      <c r="DJ52" s="387">
        <f>+IF($K52="ongoing",CJ52,IF(RIGHT($K52,2)=RIGHT(DJ$43,2),SUM($CD52:CJ52),0)+IF(RIGHT(DJ$43,2)&gt;RIGHT($K52,2),CJ52,0))</f>
        <v>0</v>
      </c>
      <c r="DK52" s="387">
        <f>+IF($K52="ongoing",CK52,IF(RIGHT($K52,2)=RIGHT(DK$43,2),SUM($CD52:CK52),0)+IF(RIGHT(DK$43,2)&gt;RIGHT($K52,2),CK52,0))</f>
        <v>0</v>
      </c>
      <c r="DL52" s="388">
        <f>+IF($K52="ongoing",CN52,IF(RIGHT($K52,2)=RIGHT(DL$43,2),SUM($CD52:CN52),0)+IF(RIGHT(DL$43,2)&gt;RIGHT($K52,2),CN52,0))</f>
        <v>0</v>
      </c>
      <c r="DM52" s="841"/>
      <c r="DN52" s="386">
        <f t="shared" si="58"/>
        <v>0.5</v>
      </c>
      <c r="DO52" s="387">
        <f t="shared" si="58"/>
        <v>1</v>
      </c>
      <c r="DP52" s="388">
        <f t="shared" si="58"/>
        <v>1</v>
      </c>
      <c r="DQ52" s="386">
        <f t="shared" si="58"/>
        <v>1</v>
      </c>
      <c r="DR52" s="387">
        <f t="shared" si="58"/>
        <v>1</v>
      </c>
      <c r="DS52" s="387">
        <f t="shared" si="58"/>
        <v>1</v>
      </c>
      <c r="DT52" s="387">
        <f t="shared" si="58"/>
        <v>1</v>
      </c>
      <c r="DU52" s="388">
        <f t="shared" si="58"/>
        <v>1</v>
      </c>
      <c r="DW52" s="386">
        <f t="shared" si="59"/>
        <v>0</v>
      </c>
      <c r="DX52" s="387">
        <f t="shared" si="59"/>
        <v>0.5</v>
      </c>
      <c r="DY52" s="388">
        <f t="shared" si="59"/>
        <v>1</v>
      </c>
      <c r="DZ52" s="386">
        <f t="shared" si="59"/>
        <v>1</v>
      </c>
      <c r="EA52" s="387">
        <f t="shared" si="59"/>
        <v>1</v>
      </c>
      <c r="EB52" s="387">
        <f t="shared" si="59"/>
        <v>1</v>
      </c>
      <c r="EC52" s="387">
        <f t="shared" si="59"/>
        <v>1</v>
      </c>
      <c r="ED52" s="388">
        <f t="shared" si="59"/>
        <v>1</v>
      </c>
      <c r="EF52" s="834">
        <f>+IF(DN52=DM52,0,
IF(AND(EF$44&gt;1,DN52=$N52),1-SUM($EE52:EE52),
IF($N52&lt;=1,
IF($N52&gt;0,1/$N52,0),
IF(EF$44=1,0,VDB(1,0,$N52,INT(EF$44-1-1),MIN($N52,INT(EF$44-1-1)+1),$DC52,IF($DD52="No",1,0))/
IF(DM52&gt;=INT($N52),$N52-INT($N52),1)))*
IF(EF$44=1,0,
IF(INT(DN52)=INT(DM52),DN52-DM52,INT(DN52)-DM52))+
IF($N52&lt;=1,
IF($N52&gt;0,1/$N52,0),VDB(1,0,$N52,INT(EF$44-1),MIN($N52,INT(EF$44-1)+1),$DC52,IF($DD52="No",1,0))/
IF(DN52&gt;INT($N52),$N52-INT($N52),1))*
IF(EF$44=1,DN52,
IF(INT(DN52)=INT(DM52),0,DN52-INT(DN52)))))</f>
        <v>0</v>
      </c>
      <c r="EG52" s="835">
        <f>+IF(DO52=DN52,0,
IF(AND(EG$44&gt;1,DO52=$N52),1-SUM($EE52:EF52),
IF($N52&lt;=1,
IF($N52&gt;0,1/$N52,0),
IF(EG$44=1,0,VDB(1,0,$N52,INT(EG$44-1-1),MIN($N52,INT(EG$44-1-1)+1),$DC52,IF($DD52="No",1,0))/
IF(DN52&gt;=INT($N52),$N52-INT($N52),1)))*
IF(EG$44=1,0,
IF(INT(DO52)=INT(DN52),DO52-DN52,INT(DO52)-DN52))+
IF($N52&lt;=1,
IF($N52&gt;0,1/$N52,0),VDB(1,0,$N52,INT(EG$44-1),MIN($N52,INT(EG$44-1)+1),$DC52,IF($DD52="No",1,0))/
IF(DO52&gt;INT($N52),$N52-INT($N52),1))*
IF(EG$44=1,DO52,
IF(INT(DO52)=INT(DN52),0,DO52-INT(DO52)))))</f>
        <v>0</v>
      </c>
      <c r="EH52" s="836">
        <f>+IF(DP52=DO52,0,
IF(AND(EH$44&gt;1,DP52=$N52),1-SUM($EE52:EG52),
IF($N52&lt;=1,
IF($N52&gt;0,1/$N52,0),
IF(EH$44=1,0,VDB(1,0,$N52,INT(EH$44-1-1),MIN($N52,INT(EH$44-1-1)+1),$DC52,IF($DD52="No",1,0))/
IF(DO52&gt;=INT($N52),$N52-INT($N52),1)))*
IF(EH$44=1,0,
IF(INT(DP52)=INT(DO52),DP52-DO52,INT(DP52)-DO52))+
IF($N52&lt;=1,
IF($N52&gt;0,1/$N52,0),VDB(1,0,$N52,INT(EH$44-1),MIN($N52,INT(EH$44-1)+1),$DC52,IF($DD52="No",1,0))/
IF(DP52&gt;INT($N52),$N52-INT($N52),1))*
IF(EH$44=1,DP52,
IF(INT(DP52)=INT(DO52),0,DP52-INT(DP52)))))</f>
        <v>0</v>
      </c>
      <c r="EI52" s="834">
        <f>+IF(DQ52=DP52,0,
IF(AND(EI$44&gt;1,DQ52=$N52),1-SUM($EE52:EH52),
IF($N52&lt;=1,
IF($N52&gt;0,1/$N52,0),
IF(EI$44=1,0,VDB(1,0,$N52,INT(EI$44-1-1),MIN($N52,INT(EI$44-1-1)+1),$DC52,IF($DD52="No",1,0))/
IF(DP52&gt;=INT($N52),$N52-INT($N52),1)))*
IF(EI$44=1,0,
IF(INT(DQ52)=INT(DP52),DQ52-DP52,INT(DQ52)-DP52))+
IF($N52&lt;=1,
IF($N52&gt;0,1/$N52,0),VDB(1,0,$N52,INT(EI$44-1),MIN($N52,INT(EI$44-1)+1),$DC52,IF($DD52="No",1,0))/
IF(DQ52&gt;INT($N52),$N52-INT($N52),1))*
IF(EI$44=1,DQ52,
IF(INT(DQ52)=INT(DP52),0,DQ52-INT(DQ52)))))</f>
        <v>0</v>
      </c>
      <c r="EJ52" s="835">
        <f>+IF(DR52=DQ52,0,
IF(AND(EJ$44&gt;1,DR52=$N52),1-SUM($EE52:EI52),
IF($N52&lt;=1,
IF($N52&gt;0,1/$N52,0),
IF(EJ$44=1,0,VDB(1,0,$N52,INT(EJ$44-1-1),MIN($N52,INT(EJ$44-1-1)+1),$DC52,IF($DD52="No",1,0))/
IF(DQ52&gt;=INT($N52),$N52-INT($N52),1)))*
IF(EJ$44=1,0,
IF(INT(DR52)=INT(DQ52),DR52-DQ52,INT(DR52)-DQ52))+
IF($N52&lt;=1,
IF($N52&gt;0,1/$N52,0),VDB(1,0,$N52,INT(EJ$44-1),MIN($N52,INT(EJ$44-1)+1),$DC52,IF($DD52="No",1,0))/
IF(DR52&gt;INT($N52),$N52-INT($N52),1))*
IF(EJ$44=1,DR52,
IF(INT(DR52)=INT(DQ52),0,DR52-INT(DR52)))))</f>
        <v>0</v>
      </c>
      <c r="EK52" s="835">
        <f>+IF(DS52=DR52,0,
IF(AND(EK$44&gt;1,DS52=$N52),1-SUM($EE52:EJ52),
IF($N52&lt;=1,
IF($N52&gt;0,1/$N52,0),
IF(EK$44=1,0,VDB(1,0,$N52,INT(EK$44-1-1),MIN($N52,INT(EK$44-1-1)+1),$DC52,IF($DD52="No",1,0))/
IF(DR52&gt;=INT($N52),$N52-INT($N52),1)))*
IF(EK$44=1,0,
IF(INT(DS52)=INT(DR52),DS52-DR52,INT(DS52)-DR52))+
IF($N52&lt;=1,
IF($N52&gt;0,1/$N52,0),VDB(1,0,$N52,INT(EK$44-1),MIN($N52,INT(EK$44-1)+1),$DC52,IF($DD52="No",1,0))/
IF(DS52&gt;INT($N52),$N52-INT($N52),1))*
IF(EK$44=1,DS52,
IF(INT(DS52)=INT(DR52),0,DS52-INT(DS52)))))</f>
        <v>0</v>
      </c>
      <c r="EL52" s="835">
        <f>+IF(DT52=DS52,0,
IF(AND(EL$44&gt;1,DT52=$N52),1-SUM($EE52:EK52),
IF($N52&lt;=1,
IF($N52&gt;0,1/$N52,0),
IF(EL$44=1,0,VDB(1,0,$N52,INT(EL$44-1-1),MIN($N52,INT(EL$44-1-1)+1),$DC52,IF($DD52="No",1,0))/
IF(DS52&gt;=INT($N52),$N52-INT($N52),1)))*
IF(EL$44=1,0,
IF(INT(DT52)=INT(DS52),DT52-DS52,INT(DT52)-DS52))+
IF($N52&lt;=1,
IF($N52&gt;0,1/$N52,0),VDB(1,0,$N52,INT(EL$44-1),MIN($N52,INT(EL$44-1)+1),$DC52,IF($DD52="No",1,0))/
IF(DT52&gt;INT($N52),$N52-INT($N52),1))*
IF(EL$44=1,DT52,
IF(INT(DT52)=INT(DS52),0,DT52-INT(DT52)))))</f>
        <v>0</v>
      </c>
      <c r="EM52" s="836">
        <f>+IF(DU52=DT52,0,
IF(AND(EM$44&gt;1,DU52=$N52),1-SUM($EE52:EL52),
IF($N52&lt;=1,
IF($N52&gt;0,1/$N52,0),
IF(EM$44=1,0,VDB(1,0,$N52,INT(EM$44-1-1),MIN($N52,INT(EM$44-1-1)+1),$DC52,IF($DD52="No",1,0))/
IF(DT52&gt;=INT($N52),$N52-INT($N52),1)))*
IF(EM$44=1,0,
IF(INT(DU52)=INT(DT52),DU52-DT52,INT(DU52)-DT52))+
IF($N52&lt;=1,
IF($N52&gt;0,1/$N52,0),VDB(1,0,$N52,INT(EM$44-1),MIN($N52,INT(EM$44-1)+1),$DC52,IF($DD52="No",1,0))/
IF(DU52&gt;INT($N52),$N52-INT($N52),1))*
IF(EM$44=1,DU52,
IF(INT(DU52)=INT(DT52),0,DU52-INT(DU52)))))</f>
        <v>0</v>
      </c>
      <c r="EN52" s="833"/>
      <c r="EO52" s="834">
        <f>+IF(OR(DW52=DV52,EO$44=1),0,
IF(AND(EO$44&gt;1,DW52=$N52),1-SUM($EN52:EN52),
IF($N52&lt;=1,
IF($N52&gt;0,1/$N52,0),
IF(EO$44=2,0,VDB(1,0,$N52,INT(EO$44-2-1),MIN($N52,INT(EO$44-2-1)+1),$DC52,IF($DD52="No",1,0))/
IF(DV52&gt;=INT($N52),$N52-INT($N52),1)))*
IF(EO$44=2,0,
IF(INT(DW52)=INT(DV52),DW52-DV52,INT(DW52)-DV52))+
IF($N52&lt;=1,
IF($N52&gt;0,1/$N52,0),VDB(1,0,$N52,INT(EO$44-2),MIN($N52,INT(EO$44-2)+1),$DC52,IF($DD52="No",1,0))/
IF(DW52&gt;INT($N52),$N52-INT($N52),1))*
IF(EO$44=2,DW52,
IF(INT(DW52)=INT(DV52),0,DW52-INT(DW52)))))</f>
        <v>0</v>
      </c>
      <c r="EP52" s="835">
        <f>+IF(OR(DX52=DW52,EP$44=1),0,
IF(AND(EP$44&gt;1,DX52=$N52),1-SUM($EN52:EO52),
IF($N52&lt;=1,
IF($N52&gt;0,1/$N52,0),
IF(EP$44=2,0,VDB(1,0,$N52,INT(EP$44-2-1),MIN($N52,INT(EP$44-2-1)+1),$DC52,IF($DD52="No",1,0))/
IF(DW52&gt;=INT($N52),$N52-INT($N52),1)))*
IF(EP$44=2,0,
IF(INT(DX52)=INT(DW52),DX52-DW52,INT(DX52)-DW52))+
IF($N52&lt;=1,
IF($N52&gt;0,1/$N52,0),VDB(1,0,$N52,INT(EP$44-2),MIN($N52,INT(EP$44-2)+1),$DC52,IF($DD52="No",1,0))/
IF(DX52&gt;INT($N52),$N52-INT($N52),1))*
IF(EP$44=2,DX52,
IF(INT(DX52)=INT(DW52),0,DX52-INT(DX52)))))</f>
        <v>0</v>
      </c>
      <c r="EQ52" s="836">
        <f>+IF(OR(DY52=DX52,EQ$44=1),0,
IF(AND(EQ$44&gt;1,DY52=$N52),1-SUM($EN52:EP52),
IF($N52&lt;=1,
IF($N52&gt;0,1/$N52,0),
IF(EQ$44=2,0,VDB(1,0,$N52,INT(EQ$44-2-1),MIN($N52,INT(EQ$44-2-1)+1),$DC52,IF($DD52="No",1,0))/
IF(DX52&gt;=INT($N52),$N52-INT($N52),1)))*
IF(EQ$44=2,0,
IF(INT(DY52)=INT(DX52),DY52-DX52,INT(DY52)-DX52))+
IF($N52&lt;=1,
IF($N52&gt;0,1/$N52,0),VDB(1,0,$N52,INT(EQ$44-2),MIN($N52,INT(EQ$44-2)+1),$DC52,IF($DD52="No",1,0))/
IF(DY52&gt;INT($N52),$N52-INT($N52),1))*
IF(EQ$44=2,DY52,
IF(INT(DY52)=INT(DX52),0,DY52-INT(DY52)))))</f>
        <v>0</v>
      </c>
      <c r="ER52" s="834">
        <f>+IF(OR(DZ52=DY52,ER$44=1),0,
IF(AND(ER$44&gt;1,DZ52=$N52),1-SUM($EN52:EQ52),
IF($N52&lt;=1,
IF($N52&gt;0,1/$N52,0),
IF(ER$44=2,0,VDB(1,0,$N52,INT(ER$44-2-1),MIN($N52,INT(ER$44-2-1)+1),$DC52,IF($DD52="No",1,0))/
IF(DY52&gt;=INT($N52),$N52-INT($N52),1)))*
IF(ER$44=2,0,
IF(INT(DZ52)=INT(DY52),DZ52-DY52,INT(DZ52)-DY52))+
IF($N52&lt;=1,
IF($N52&gt;0,1/$N52,0),VDB(1,0,$N52,INT(ER$44-2),MIN($N52,INT(ER$44-2)+1),$DC52,IF($DD52="No",1,0))/
IF(DZ52&gt;INT($N52),$N52-INT($N52),1))*
IF(ER$44=2,DZ52,
IF(INT(DZ52)=INT(DY52),0,DZ52-INT(DZ52)))))</f>
        <v>0</v>
      </c>
      <c r="ES52" s="835">
        <f>+IF(OR(EA52=DZ52,ES$44=1),0,
IF(AND(ES$44&gt;1,EA52=$N52),1-SUM($EN52:ER52),
IF($N52&lt;=1,
IF($N52&gt;0,1/$N52,0),
IF(ES$44=2,0,VDB(1,0,$N52,INT(ES$44-2-1),MIN($N52,INT(ES$44-2-1)+1),$DC52,IF($DD52="No",1,0))/
IF(DZ52&gt;=INT($N52),$N52-INT($N52),1)))*
IF(ES$44=2,0,
IF(INT(EA52)=INT(DZ52),EA52-DZ52,INT(EA52)-DZ52))+
IF($N52&lt;=1,
IF($N52&gt;0,1/$N52,0),VDB(1,0,$N52,INT(ES$44-2),MIN($N52,INT(ES$44-2)+1),$DC52,IF($DD52="No",1,0))/
IF(EA52&gt;INT($N52),$N52-INT($N52),1))*
IF(ES$44=2,EA52,
IF(INT(EA52)=INT(DZ52),0,EA52-INT(EA52)))))</f>
        <v>0</v>
      </c>
      <c r="ET52" s="835">
        <f>+IF(OR(EB52=EA52,ET$44=1),0,
IF(AND(ET$44&gt;1,EB52=$N52),1-SUM($EN52:ES52),
IF($N52&lt;=1,
IF($N52&gt;0,1/$N52,0),
IF(ET$44=2,0,VDB(1,0,$N52,INT(ET$44-2-1),MIN($N52,INT(ET$44-2-1)+1),$DC52,IF($DD52="No",1,0))/
IF(EA52&gt;=INT($N52),$N52-INT($N52),1)))*
IF(ET$44=2,0,
IF(INT(EB52)=INT(EA52),EB52-EA52,INT(EB52)-EA52))+
IF($N52&lt;=1,
IF($N52&gt;0,1/$N52,0),VDB(1,0,$N52,INT(ET$44-2),MIN($N52,INT(ET$44-2)+1),$DC52,IF($DD52="No",1,0))/
IF(EB52&gt;INT($N52),$N52-INT($N52),1))*
IF(ET$44=2,EB52,
IF(INT(EB52)=INT(EA52),0,EB52-INT(EB52)))))</f>
        <v>0</v>
      </c>
      <c r="EU52" s="835">
        <f>+IF(OR(EC52=EB52,EU$44=1),0,
IF(AND(EU$44&gt;1,EC52=$N52),1-SUM($EN52:ET52),
IF($N52&lt;=1,
IF($N52&gt;0,1/$N52,0),
IF(EU$44=2,0,VDB(1,0,$N52,INT(EU$44-2-1),MIN($N52,INT(EU$44-2-1)+1),$DC52,IF($DD52="No",1,0))/
IF(EB52&gt;=INT($N52),$N52-INT($N52),1)))*
IF(EU$44=2,0,
IF(INT(EC52)=INT(EB52),EC52-EB52,INT(EC52)-EB52))+
IF($N52&lt;=1,
IF($N52&gt;0,1/$N52,0),VDB(1,0,$N52,INT(EU$44-2),MIN($N52,INT(EU$44-2)+1),$DC52,IF($DD52="No",1,0))/
IF(EC52&gt;INT($N52),$N52-INT($N52),1))*
IF(EU$44=2,EC52,
IF(INT(EC52)=INT(EB52),0,EC52-INT(EC52)))))</f>
        <v>0</v>
      </c>
      <c r="EV52" s="836">
        <f>+IF(OR(ED52=EC52,EV$44=1),0,
IF(AND(EV$44&gt;1,ED52=$N52),1-SUM($EN52:EU52),
IF($N52&lt;=1,
IF($N52&gt;0,1/$N52,0),
IF(EV$44=2,0,VDB(1,0,$N52,INT(EV$44-2-1),MIN($N52,INT(EV$44-2-1)+1),$DC52,IF($DD52="No",1,0))/
IF(EC52&gt;=INT($N52),$N52-INT($N52),1)))*
IF(EV$44=2,0,
IF(INT(ED52)=INT(EC52),ED52-EC52,INT(ED52)-EC52))+
IF($N52&lt;=1,
IF($N52&gt;0,1/$N52,0),VDB(1,0,$N52,INT(EV$44-2),MIN($N52,INT(EV$44-2)+1),$DC52,IF($DD52="No",1,0))/
IF(ED52&gt;INT($N52),$N52-INT($N52),1))*
IF(EV$44=2,ED52,
IF(INT(ED52)=INT(EC52),0,ED52-INT(ED52)))))</f>
        <v>0</v>
      </c>
      <c r="EW52" s="833"/>
      <c r="EX52" s="834">
        <f t="shared" ca="1" si="60"/>
        <v>0</v>
      </c>
      <c r="EY52" s="835">
        <f t="shared" ca="1" si="60"/>
        <v>0</v>
      </c>
      <c r="EZ52" s="836">
        <f t="shared" ca="1" si="60"/>
        <v>0</v>
      </c>
      <c r="FA52" s="834">
        <f t="shared" ca="1" si="60"/>
        <v>0</v>
      </c>
      <c r="FB52" s="835">
        <f t="shared" ca="1" si="60"/>
        <v>0</v>
      </c>
      <c r="FC52" s="835">
        <f t="shared" ca="1" si="60"/>
        <v>0</v>
      </c>
      <c r="FD52" s="835">
        <f t="shared" ca="1" si="60"/>
        <v>0</v>
      </c>
      <c r="FE52" s="836">
        <f t="shared" ca="1" si="60"/>
        <v>0</v>
      </c>
      <c r="FG52" s="386">
        <f t="shared" ca="1" si="72"/>
        <v>0</v>
      </c>
      <c r="FH52" s="387">
        <f t="shared" ca="1" si="61"/>
        <v>0</v>
      </c>
      <c r="FI52" s="388">
        <f t="shared" ca="1" si="62"/>
        <v>0</v>
      </c>
      <c r="FJ52" s="386">
        <f t="shared" ca="1" si="63"/>
        <v>0</v>
      </c>
      <c r="FK52" s="387">
        <f t="shared" ca="1" si="64"/>
        <v>0</v>
      </c>
      <c r="FL52" s="387">
        <f t="shared" ca="1" si="65"/>
        <v>0</v>
      </c>
      <c r="FM52" s="387">
        <f t="shared" ca="1" si="66"/>
        <v>0</v>
      </c>
      <c r="FN52" s="388">
        <f t="shared" ca="1" si="67"/>
        <v>0</v>
      </c>
      <c r="FR52" s="116"/>
    </row>
    <row r="53" spans="2:174">
      <c r="B53" s="1410">
        <f t="shared" si="73"/>
        <v>8</v>
      </c>
      <c r="C53" s="400" t="s">
        <v>529</v>
      </c>
      <c r="D53" s="401"/>
      <c r="E53" s="402" t="s">
        <v>402</v>
      </c>
      <c r="F53" s="402" t="s">
        <v>520</v>
      </c>
      <c r="G53" s="400" t="s">
        <v>522</v>
      </c>
      <c r="H53" s="2088" t="s">
        <v>481</v>
      </c>
      <c r="I53" s="2089"/>
      <c r="J53" s="1967" t="s">
        <v>516</v>
      </c>
      <c r="K53" s="403" t="s">
        <v>110</v>
      </c>
      <c r="L53" s="403">
        <v>50</v>
      </c>
      <c r="M53" s="403" t="s">
        <v>142</v>
      </c>
      <c r="N53" s="403"/>
      <c r="O53" s="347"/>
      <c r="P53" s="347"/>
      <c r="Q53" s="1021">
        <v>102.26243902439025</v>
      </c>
      <c r="R53" s="1022">
        <v>7.1947650208209408</v>
      </c>
      <c r="S53" s="1022">
        <v>4.1749829514951911</v>
      </c>
      <c r="T53" s="1022">
        <v>0</v>
      </c>
      <c r="U53" s="1023">
        <v>0</v>
      </c>
      <c r="V53" s="1021">
        <v>0</v>
      </c>
      <c r="W53" s="1022">
        <v>0</v>
      </c>
      <c r="X53" s="1022">
        <v>0</v>
      </c>
      <c r="Y53" s="1022">
        <v>0</v>
      </c>
      <c r="Z53" s="1023">
        <v>0</v>
      </c>
      <c r="AA53" s="1024"/>
      <c r="AB53" s="1021">
        <v>0</v>
      </c>
      <c r="AC53" s="1022">
        <v>0</v>
      </c>
      <c r="AD53" s="1022">
        <v>0</v>
      </c>
      <c r="AE53" s="1022">
        <v>0</v>
      </c>
      <c r="AF53" s="1023">
        <v>0</v>
      </c>
      <c r="AG53" s="1021">
        <v>0</v>
      </c>
      <c r="AH53" s="1022">
        <v>0</v>
      </c>
      <c r="AI53" s="1022">
        <v>0</v>
      </c>
      <c r="AJ53" s="1022">
        <v>0</v>
      </c>
      <c r="AK53" s="1023">
        <v>0</v>
      </c>
      <c r="AL53" s="1024"/>
      <c r="AM53" s="1021">
        <v>0</v>
      </c>
      <c r="AN53" s="1022">
        <v>0</v>
      </c>
      <c r="AO53" s="1022">
        <v>0</v>
      </c>
      <c r="AP53" s="1022">
        <v>0</v>
      </c>
      <c r="AQ53" s="1023">
        <v>0</v>
      </c>
      <c r="AR53" s="1021">
        <v>0</v>
      </c>
      <c r="AS53" s="1022">
        <v>0</v>
      </c>
      <c r="AT53" s="1022">
        <v>0</v>
      </c>
      <c r="AU53" s="1022">
        <v>0</v>
      </c>
      <c r="AV53" s="1023">
        <v>0</v>
      </c>
      <c r="AW53" s="1025"/>
      <c r="AX53" s="1282">
        <f t="shared" si="38"/>
        <v>102.26243902439025</v>
      </c>
      <c r="AY53" s="387">
        <f t="shared" si="39"/>
        <v>7.1947650208209408</v>
      </c>
      <c r="AZ53" s="387">
        <f t="shared" si="40"/>
        <v>4.1749829514951911</v>
      </c>
      <c r="BA53" s="387">
        <f t="shared" si="41"/>
        <v>0</v>
      </c>
      <c r="BB53" s="1283">
        <f t="shared" si="42"/>
        <v>0</v>
      </c>
      <c r="BC53" s="386">
        <f t="shared" si="43"/>
        <v>0</v>
      </c>
      <c r="BD53" s="387">
        <f t="shared" si="44"/>
        <v>0</v>
      </c>
      <c r="BE53" s="1277">
        <f t="shared" si="45"/>
        <v>0</v>
      </c>
      <c r="BF53" s="1277">
        <f t="shared" si="45"/>
        <v>0</v>
      </c>
      <c r="BG53" s="388">
        <f t="shared" si="45"/>
        <v>0</v>
      </c>
      <c r="BH53" s="1025"/>
      <c r="BI53" s="1282">
        <f t="shared" ca="1" si="46"/>
        <v>0</v>
      </c>
      <c r="BJ53" s="387">
        <f t="shared" ca="1" si="47"/>
        <v>0</v>
      </c>
      <c r="BK53" s="387">
        <f t="shared" ca="1" si="48"/>
        <v>1.1363218699670639</v>
      </c>
      <c r="BL53" s="387">
        <f t="shared" ca="1" si="49"/>
        <v>2.2726437399341277</v>
      </c>
      <c r="BM53" s="1283">
        <f t="shared" ca="1" si="50"/>
        <v>2.2726437399341277</v>
      </c>
      <c r="BN53" s="386">
        <f t="shared" ca="1" si="51"/>
        <v>2.2726437399341277</v>
      </c>
      <c r="BO53" s="387">
        <f t="shared" ca="1" si="51"/>
        <v>2.2726437399341277</v>
      </c>
      <c r="BP53" s="1277">
        <f t="shared" ca="1" si="51"/>
        <v>2.2726437399341277</v>
      </c>
      <c r="BQ53" s="1277">
        <f t="shared" ca="1" si="51"/>
        <v>2.2726437399341277</v>
      </c>
      <c r="BR53" s="388">
        <f t="shared" ca="1" si="51"/>
        <v>2.2726437399341277</v>
      </c>
      <c r="BS53" s="1025"/>
      <c r="BT53" s="1282">
        <f>+IF($K53="Ongoing",AX53,IF(RIGHT($K53,2)=RIGHT(BT$43,2),SUM($AX53:AX53),0)+IF(RIGHT(BT$43,2)&gt;RIGHT($K53,2),AX53,0))</f>
        <v>0</v>
      </c>
      <c r="BU53" s="387">
        <f>+IF($K53="Ongoing",AY53,IF(RIGHT($K53,2)=RIGHT(BU$43,2),SUM($AX53:AY53),0)+IF(RIGHT(BU$43,2)&gt;RIGHT($K53,2),AY53,0))</f>
        <v>0</v>
      </c>
      <c r="BV53" s="387">
        <f>+IF($K53="Ongoing",AZ53,IF(RIGHT($K53,2)=RIGHT(BV$43,2),SUM($AX53:AZ53),0)+IF(RIGHT(BV$43,2)&gt;RIGHT($K53,2),AZ53,0))</f>
        <v>113.63218699670638</v>
      </c>
      <c r="BW53" s="387">
        <f>+IF($K53="Ongoing",BA53,IF(RIGHT($K53,2)=RIGHT(BW$43,2),SUM($AX53:BA53),0)+IF(RIGHT(BW$43,2)&gt;RIGHT($K53,2),BA53,0))</f>
        <v>0</v>
      </c>
      <c r="BX53" s="1283">
        <f>+IF($K53="Ongoing",BB53,IF(RIGHT($K53,2)=RIGHT(BX$43,2),SUM($AX53:BB53),0)+IF(RIGHT(BX$43,2)&gt;RIGHT($K53,2),BB53,0))</f>
        <v>0</v>
      </c>
      <c r="BY53" s="386">
        <f>+IF($K53="Ongoing",BC53,IF(RIGHT($K53,2)=RIGHT(BY$43,2),SUM($AX53:BC53),0)+IF(RIGHT(BY$43,2)&gt;RIGHT($K53,2),BC53,0))</f>
        <v>0</v>
      </c>
      <c r="BZ53" s="387">
        <f>+IF($K53="Ongoing",BD53,IF(RIGHT($K53,2)=RIGHT(BZ$43,2),SUM($AX53:BD53),0)+IF(RIGHT(BZ$43,2)&gt;RIGHT($K53,2),BD53,0))</f>
        <v>0</v>
      </c>
      <c r="CA53" s="1277">
        <f>+IF($K53="Ongoing",BE53,IF(RIGHT($K53,2)=RIGHT(CA$43,2),SUM($AX53:BE53),0)+IF(RIGHT(CA$43,2)&gt;RIGHT($K53,2),BE53,0))</f>
        <v>0</v>
      </c>
      <c r="CB53" s="1277">
        <f>+IF($K53="Ongoing",BF53,IF(RIGHT($K53,2)=RIGHT(CB$43,2),SUM($AX53:BF53),0)+IF(RIGHT(CB$43,2)&gt;RIGHT($K53,2),BF53,0))</f>
        <v>0</v>
      </c>
      <c r="CC53" s="388">
        <f>+IF($K53="Ongoing",BG53,IF(RIGHT($K53,2)=RIGHT(CC$43,2),SUM($AX53:BG53),0)+IF(RIGHT(CC$43,2)&gt;RIGHT($K53,2),BG53,0))</f>
        <v>0</v>
      </c>
      <c r="CD53" s="1025"/>
      <c r="CE53" s="1282">
        <f>+Q53*KeyAssumptionsPriceControl_FO!AF$15</f>
        <v>105.22804975609756</v>
      </c>
      <c r="CF53" s="387">
        <f>+R53*KeyAssumptionsPriceControl_FO!AG$15</f>
        <v>7.6181121894110655</v>
      </c>
      <c r="CG53" s="387">
        <f>+S53*KeyAssumptionsPriceControl_FO!AH$15</f>
        <v>4.5488417739210982</v>
      </c>
      <c r="CH53" s="387">
        <f>+T53*KeyAssumptionsPriceControl_FO!AI$15</f>
        <v>0</v>
      </c>
      <c r="CI53" s="1283">
        <f>+U53*KeyAssumptionsPriceControl_FO!AJ$15</f>
        <v>0</v>
      </c>
      <c r="CJ53" s="386">
        <f>+V53*KeyAssumptionsPriceControl_FO!AK$15</f>
        <v>0</v>
      </c>
      <c r="CK53" s="387">
        <f>+W53*KeyAssumptionsPriceControl_FO!AL$15</f>
        <v>0</v>
      </c>
      <c r="CL53" s="1277">
        <f>+X53*KeyAssumptionsPriceControl_FO!AM$15</f>
        <v>0</v>
      </c>
      <c r="CM53" s="1277">
        <f>+Y53*KeyAssumptionsPriceControl_FO!AN$15</f>
        <v>0</v>
      </c>
      <c r="CN53" s="388">
        <f>+Z53*KeyAssumptionsPriceControl_FO!AO$15</f>
        <v>0</v>
      </c>
      <c r="CO53" s="1025"/>
      <c r="CP53" s="1282">
        <f t="shared" ca="1" si="68"/>
        <v>0</v>
      </c>
      <c r="CQ53" s="387">
        <f t="shared" ca="1" si="69"/>
        <v>0</v>
      </c>
      <c r="CR53" s="387">
        <f t="shared" ca="1" si="70"/>
        <v>0</v>
      </c>
      <c r="CS53" s="387">
        <f t="shared" ca="1" si="71"/>
        <v>0</v>
      </c>
      <c r="CT53" s="1283">
        <f t="shared" ca="1" si="52"/>
        <v>0</v>
      </c>
      <c r="CU53" s="386">
        <f t="shared" ca="1" si="53"/>
        <v>0</v>
      </c>
      <c r="CV53" s="387">
        <f t="shared" ca="1" si="54"/>
        <v>0</v>
      </c>
      <c r="CW53" s="1277">
        <f t="shared" ca="1" si="55"/>
        <v>0</v>
      </c>
      <c r="CX53" s="1277">
        <f t="shared" ca="1" si="56"/>
        <v>0</v>
      </c>
      <c r="CY53" s="388">
        <f t="shared" ca="1" si="57"/>
        <v>0</v>
      </c>
      <c r="CZ53" s="347"/>
      <c r="DA53" s="852"/>
      <c r="DB53" s="347"/>
      <c r="DC53" s="1012" t="s">
        <v>517</v>
      </c>
      <c r="DD53" s="841" t="s">
        <v>518</v>
      </c>
      <c r="DE53" s="386">
        <f>+IF($K53="ongoing",CE53,IF(RIGHT($K53,2)=RIGHT(DE$43,2),SUM($CD53:CE53),0)+IF(RIGHT(DE$43,2)&gt;RIGHT($K53,2),CE53,0))</f>
        <v>0</v>
      </c>
      <c r="DF53" s="387">
        <f>+IF($K53="ongoing",CF53,IF(RIGHT($K53,2)=RIGHT(DF$43,2),SUM($CD53:CF53),0)+IF(RIGHT(DF$43,2)&gt;RIGHT($K53,2),CF53,0))</f>
        <v>0</v>
      </c>
      <c r="DG53" s="388">
        <f>+IF($K53="ongoing",CG53,IF(RIGHT($K53,2)=RIGHT(DG$43,2),SUM($CD53:CG53),0)+IF(RIGHT(DG$43,2)&gt;RIGHT($K53,2),CG53,0))</f>
        <v>0</v>
      </c>
      <c r="DH53" s="386">
        <f>+IF($K53="ongoing",CH53,IF(RIGHT($K53,2)=RIGHT(DH$43,2),SUM($CD53:CH53),0)+IF(RIGHT(DH$43,2)&gt;RIGHT($K53,2),CH53,0))</f>
        <v>0</v>
      </c>
      <c r="DI53" s="387">
        <f>+IF($K53="ongoing",CI53,IF(RIGHT($K53,2)=RIGHT(DI$43,2),SUM($CD53:CI53),0)+IF(RIGHT(DI$43,2)&gt;RIGHT($K53,2),CI53,0))</f>
        <v>0</v>
      </c>
      <c r="DJ53" s="387">
        <f>+IF($K53="ongoing",CJ53,IF(RIGHT($K53,2)=RIGHT(DJ$43,2),SUM($CD53:CJ53),0)+IF(RIGHT(DJ$43,2)&gt;RIGHT($K53,2),CJ53,0))</f>
        <v>0</v>
      </c>
      <c r="DK53" s="387">
        <f>+IF($K53="ongoing",CK53,IF(RIGHT($K53,2)=RIGHT(DK$43,2),SUM($CD53:CK53),0)+IF(RIGHT(DK$43,2)&gt;RIGHT($K53,2),CK53,0))</f>
        <v>0</v>
      </c>
      <c r="DL53" s="388">
        <f>+IF($K53="ongoing",CN53,IF(RIGHT($K53,2)=RIGHT(DL$43,2),SUM($CD53:CN53),0)+IF(RIGHT(DL$43,2)&gt;RIGHT($K53,2),CN53,0))</f>
        <v>0</v>
      </c>
      <c r="DM53" s="841"/>
      <c r="DN53" s="386">
        <f t="shared" si="58"/>
        <v>0.5</v>
      </c>
      <c r="DO53" s="387">
        <f t="shared" si="58"/>
        <v>1</v>
      </c>
      <c r="DP53" s="388">
        <f t="shared" si="58"/>
        <v>1</v>
      </c>
      <c r="DQ53" s="386">
        <f t="shared" si="58"/>
        <v>1</v>
      </c>
      <c r="DR53" s="387">
        <f t="shared" si="58"/>
        <v>1</v>
      </c>
      <c r="DS53" s="387">
        <f t="shared" si="58"/>
        <v>1</v>
      </c>
      <c r="DT53" s="387">
        <f t="shared" si="58"/>
        <v>1</v>
      </c>
      <c r="DU53" s="388">
        <f t="shared" si="58"/>
        <v>1</v>
      </c>
      <c r="DW53" s="386">
        <f t="shared" si="59"/>
        <v>0</v>
      </c>
      <c r="DX53" s="387">
        <f t="shared" si="59"/>
        <v>0.5</v>
      </c>
      <c r="DY53" s="388">
        <f t="shared" si="59"/>
        <v>1</v>
      </c>
      <c r="DZ53" s="386">
        <f t="shared" si="59"/>
        <v>1</v>
      </c>
      <c r="EA53" s="387">
        <f t="shared" si="59"/>
        <v>1</v>
      </c>
      <c r="EB53" s="387">
        <f t="shared" si="59"/>
        <v>1</v>
      </c>
      <c r="EC53" s="387">
        <f t="shared" si="59"/>
        <v>1</v>
      </c>
      <c r="ED53" s="388">
        <f t="shared" si="59"/>
        <v>1</v>
      </c>
      <c r="EF53" s="834">
        <f>+IF(DN53=DM53,0,
IF(AND(EF$44&gt;1,DN53=$N53),1-SUM($EE53:EE53),
IF($N53&lt;=1,
IF($N53&gt;0,1/$N53,0),
IF(EF$44=1,0,VDB(1,0,$N53,INT(EF$44-1-1),MIN($N53,INT(EF$44-1-1)+1),$DC53,IF($DD53="No",1,0))/
IF(DM53&gt;=INT($N53),$N53-INT($N53),1)))*
IF(EF$44=1,0,
IF(INT(DN53)=INT(DM53),DN53-DM53,INT(DN53)-DM53))+
IF($N53&lt;=1,
IF($N53&gt;0,1/$N53,0),VDB(1,0,$N53,INT(EF$44-1),MIN($N53,INT(EF$44-1)+1),$DC53,IF($DD53="No",1,0))/
IF(DN53&gt;INT($N53),$N53-INT($N53),1))*
IF(EF$44=1,DN53,
IF(INT(DN53)=INT(DM53),0,DN53-INT(DN53)))))</f>
        <v>0</v>
      </c>
      <c r="EG53" s="835">
        <f>+IF(DO53=DN53,0,
IF(AND(EG$44&gt;1,DO53=$N53),1-SUM($EE53:EF53),
IF($N53&lt;=1,
IF($N53&gt;0,1/$N53,0),
IF(EG$44=1,0,VDB(1,0,$N53,INT(EG$44-1-1),MIN($N53,INT(EG$44-1-1)+1),$DC53,IF($DD53="No",1,0))/
IF(DN53&gt;=INT($N53),$N53-INT($N53),1)))*
IF(EG$44=1,0,
IF(INT(DO53)=INT(DN53),DO53-DN53,INT(DO53)-DN53))+
IF($N53&lt;=1,
IF($N53&gt;0,1/$N53,0),VDB(1,0,$N53,INT(EG$44-1),MIN($N53,INT(EG$44-1)+1),$DC53,IF($DD53="No",1,0))/
IF(DO53&gt;INT($N53),$N53-INT($N53),1))*
IF(EG$44=1,DO53,
IF(INT(DO53)=INT(DN53),0,DO53-INT(DO53)))))</f>
        <v>0</v>
      </c>
      <c r="EH53" s="836">
        <f>+IF(DP53=DO53,0,
IF(AND(EH$44&gt;1,DP53=$N53),1-SUM($EE53:EG53),
IF($N53&lt;=1,
IF($N53&gt;0,1/$N53,0),
IF(EH$44=1,0,VDB(1,0,$N53,INT(EH$44-1-1),MIN($N53,INT(EH$44-1-1)+1),$DC53,IF($DD53="No",1,0))/
IF(DO53&gt;=INT($N53),$N53-INT($N53),1)))*
IF(EH$44=1,0,
IF(INT(DP53)=INT(DO53),DP53-DO53,INT(DP53)-DO53))+
IF($N53&lt;=1,
IF($N53&gt;0,1/$N53,0),VDB(1,0,$N53,INT(EH$44-1),MIN($N53,INT(EH$44-1)+1),$DC53,IF($DD53="No",1,0))/
IF(DP53&gt;INT($N53),$N53-INT($N53),1))*
IF(EH$44=1,DP53,
IF(INT(DP53)=INT(DO53),0,DP53-INT(DP53)))))</f>
        <v>0</v>
      </c>
      <c r="EI53" s="834">
        <f>+IF(DQ53=DP53,0,
IF(AND(EI$44&gt;1,DQ53=$N53),1-SUM($EE53:EH53),
IF($N53&lt;=1,
IF($N53&gt;0,1/$N53,0),
IF(EI$44=1,0,VDB(1,0,$N53,INT(EI$44-1-1),MIN($N53,INT(EI$44-1-1)+1),$DC53,IF($DD53="No",1,0))/
IF(DP53&gt;=INT($N53),$N53-INT($N53),1)))*
IF(EI$44=1,0,
IF(INT(DQ53)=INT(DP53),DQ53-DP53,INT(DQ53)-DP53))+
IF($N53&lt;=1,
IF($N53&gt;0,1/$N53,0),VDB(1,0,$N53,INT(EI$44-1),MIN($N53,INT(EI$44-1)+1),$DC53,IF($DD53="No",1,0))/
IF(DQ53&gt;INT($N53),$N53-INT($N53),1))*
IF(EI$44=1,DQ53,
IF(INT(DQ53)=INT(DP53),0,DQ53-INT(DQ53)))))</f>
        <v>0</v>
      </c>
      <c r="EJ53" s="835">
        <f>+IF(DR53=DQ53,0,
IF(AND(EJ$44&gt;1,DR53=$N53),1-SUM($EE53:EI53),
IF($N53&lt;=1,
IF($N53&gt;0,1/$N53,0),
IF(EJ$44=1,0,VDB(1,0,$N53,INT(EJ$44-1-1),MIN($N53,INT(EJ$44-1-1)+1),$DC53,IF($DD53="No",1,0))/
IF(DQ53&gt;=INT($N53),$N53-INT($N53),1)))*
IF(EJ$44=1,0,
IF(INT(DR53)=INT(DQ53),DR53-DQ53,INT(DR53)-DQ53))+
IF($N53&lt;=1,
IF($N53&gt;0,1/$N53,0),VDB(1,0,$N53,INT(EJ$44-1),MIN($N53,INT(EJ$44-1)+1),$DC53,IF($DD53="No",1,0))/
IF(DR53&gt;INT($N53),$N53-INT($N53),1))*
IF(EJ$44=1,DR53,
IF(INT(DR53)=INT(DQ53),0,DR53-INT(DR53)))))</f>
        <v>0</v>
      </c>
      <c r="EK53" s="835">
        <f>+IF(DS53=DR53,0,
IF(AND(EK$44&gt;1,DS53=$N53),1-SUM($EE53:EJ53),
IF($N53&lt;=1,
IF($N53&gt;0,1/$N53,0),
IF(EK$44=1,0,VDB(1,0,$N53,INT(EK$44-1-1),MIN($N53,INT(EK$44-1-1)+1),$DC53,IF($DD53="No",1,0))/
IF(DR53&gt;=INT($N53),$N53-INT($N53),1)))*
IF(EK$44=1,0,
IF(INT(DS53)=INT(DR53),DS53-DR53,INT(DS53)-DR53))+
IF($N53&lt;=1,
IF($N53&gt;0,1/$N53,0),VDB(1,0,$N53,INT(EK$44-1),MIN($N53,INT(EK$44-1)+1),$DC53,IF($DD53="No",1,0))/
IF(DS53&gt;INT($N53),$N53-INT($N53),1))*
IF(EK$44=1,DS53,
IF(INT(DS53)=INT(DR53),0,DS53-INT(DS53)))))</f>
        <v>0</v>
      </c>
      <c r="EL53" s="835">
        <f>+IF(DT53=DS53,0,
IF(AND(EL$44&gt;1,DT53=$N53),1-SUM($EE53:EK53),
IF($N53&lt;=1,
IF($N53&gt;0,1/$N53,0),
IF(EL$44=1,0,VDB(1,0,$N53,INT(EL$44-1-1),MIN($N53,INT(EL$44-1-1)+1),$DC53,IF($DD53="No",1,0))/
IF(DS53&gt;=INT($N53),$N53-INT($N53),1)))*
IF(EL$44=1,0,
IF(INT(DT53)=INT(DS53),DT53-DS53,INT(DT53)-DS53))+
IF($N53&lt;=1,
IF($N53&gt;0,1/$N53,0),VDB(1,0,$N53,INT(EL$44-1),MIN($N53,INT(EL$44-1)+1),$DC53,IF($DD53="No",1,0))/
IF(DT53&gt;INT($N53),$N53-INT($N53),1))*
IF(EL$44=1,DT53,
IF(INT(DT53)=INT(DS53),0,DT53-INT(DT53)))))</f>
        <v>0</v>
      </c>
      <c r="EM53" s="836">
        <f>+IF(DU53=DT53,0,
IF(AND(EM$44&gt;1,DU53=$N53),1-SUM($EE53:EL53),
IF($N53&lt;=1,
IF($N53&gt;0,1/$N53,0),
IF(EM$44=1,0,VDB(1,0,$N53,INT(EM$44-1-1),MIN($N53,INT(EM$44-1-1)+1),$DC53,IF($DD53="No",1,0))/
IF(DT53&gt;=INT($N53),$N53-INT($N53),1)))*
IF(EM$44=1,0,
IF(INT(DU53)=INT(DT53),DU53-DT53,INT(DU53)-DT53))+
IF($N53&lt;=1,
IF($N53&gt;0,1/$N53,0),VDB(1,0,$N53,INT(EM$44-1),MIN($N53,INT(EM$44-1)+1),$DC53,IF($DD53="No",1,0))/
IF(DU53&gt;INT($N53),$N53-INT($N53),1))*
IF(EM$44=1,DU53,
IF(INT(DU53)=INT(DT53),0,DU53-INT(DU53)))))</f>
        <v>0</v>
      </c>
      <c r="EN53" s="833"/>
      <c r="EO53" s="834">
        <f>+IF(OR(DW53=DV53,EO$44=1),0,
IF(AND(EO$44&gt;1,DW53=$N53),1-SUM($EN53:EN53),
IF($N53&lt;=1,
IF($N53&gt;0,1/$N53,0),
IF(EO$44=2,0,VDB(1,0,$N53,INT(EO$44-2-1),MIN($N53,INT(EO$44-2-1)+1),$DC53,IF($DD53="No",1,0))/
IF(DV53&gt;=INT($N53),$N53-INT($N53),1)))*
IF(EO$44=2,0,
IF(INT(DW53)=INT(DV53),DW53-DV53,INT(DW53)-DV53))+
IF($N53&lt;=1,
IF($N53&gt;0,1/$N53,0),VDB(1,0,$N53,INT(EO$44-2),MIN($N53,INT(EO$44-2)+1),$DC53,IF($DD53="No",1,0))/
IF(DW53&gt;INT($N53),$N53-INT($N53),1))*
IF(EO$44=2,DW53,
IF(INT(DW53)=INT(DV53),0,DW53-INT(DW53)))))</f>
        <v>0</v>
      </c>
      <c r="EP53" s="835">
        <f>+IF(OR(DX53=DW53,EP$44=1),0,
IF(AND(EP$44&gt;1,DX53=$N53),1-SUM($EN53:EO53),
IF($N53&lt;=1,
IF($N53&gt;0,1/$N53,0),
IF(EP$44=2,0,VDB(1,0,$N53,INT(EP$44-2-1),MIN($N53,INT(EP$44-2-1)+1),$DC53,IF($DD53="No",1,0))/
IF(DW53&gt;=INT($N53),$N53-INT($N53),1)))*
IF(EP$44=2,0,
IF(INT(DX53)=INT(DW53),DX53-DW53,INT(DX53)-DW53))+
IF($N53&lt;=1,
IF($N53&gt;0,1/$N53,0),VDB(1,0,$N53,INT(EP$44-2),MIN($N53,INT(EP$44-2)+1),$DC53,IF($DD53="No",1,0))/
IF(DX53&gt;INT($N53),$N53-INT($N53),1))*
IF(EP$44=2,DX53,
IF(INT(DX53)=INT(DW53),0,DX53-INT(DX53)))))</f>
        <v>0</v>
      </c>
      <c r="EQ53" s="836">
        <f>+IF(OR(DY53=DX53,EQ$44=1),0,
IF(AND(EQ$44&gt;1,DY53=$N53),1-SUM($EN53:EP53),
IF($N53&lt;=1,
IF($N53&gt;0,1/$N53,0),
IF(EQ$44=2,0,VDB(1,0,$N53,INT(EQ$44-2-1),MIN($N53,INT(EQ$44-2-1)+1),$DC53,IF($DD53="No",1,0))/
IF(DX53&gt;=INT($N53),$N53-INT($N53),1)))*
IF(EQ$44=2,0,
IF(INT(DY53)=INT(DX53),DY53-DX53,INT(DY53)-DX53))+
IF($N53&lt;=1,
IF($N53&gt;0,1/$N53,0),VDB(1,0,$N53,INT(EQ$44-2),MIN($N53,INT(EQ$44-2)+1),$DC53,IF($DD53="No",1,0))/
IF(DY53&gt;INT($N53),$N53-INT($N53),1))*
IF(EQ$44=2,DY53,
IF(INT(DY53)=INT(DX53),0,DY53-INT(DY53)))))</f>
        <v>0</v>
      </c>
      <c r="ER53" s="834">
        <f>+IF(OR(DZ53=DY53,ER$44=1),0,
IF(AND(ER$44&gt;1,DZ53=$N53),1-SUM($EN53:EQ53),
IF($N53&lt;=1,
IF($N53&gt;0,1/$N53,0),
IF(ER$44=2,0,VDB(1,0,$N53,INT(ER$44-2-1),MIN($N53,INT(ER$44-2-1)+1),$DC53,IF($DD53="No",1,0))/
IF(DY53&gt;=INT($N53),$N53-INT($N53),1)))*
IF(ER$44=2,0,
IF(INT(DZ53)=INT(DY53),DZ53-DY53,INT(DZ53)-DY53))+
IF($N53&lt;=1,
IF($N53&gt;0,1/$N53,0),VDB(1,0,$N53,INT(ER$44-2),MIN($N53,INT(ER$44-2)+1),$DC53,IF($DD53="No",1,0))/
IF(DZ53&gt;INT($N53),$N53-INT($N53),1))*
IF(ER$44=2,DZ53,
IF(INT(DZ53)=INT(DY53),0,DZ53-INT(DZ53)))))</f>
        <v>0</v>
      </c>
      <c r="ES53" s="835">
        <f>+IF(OR(EA53=DZ53,ES$44=1),0,
IF(AND(ES$44&gt;1,EA53=$N53),1-SUM($EN53:ER53),
IF($N53&lt;=1,
IF($N53&gt;0,1/$N53,0),
IF(ES$44=2,0,VDB(1,0,$N53,INT(ES$44-2-1),MIN($N53,INT(ES$44-2-1)+1),$DC53,IF($DD53="No",1,0))/
IF(DZ53&gt;=INT($N53),$N53-INT($N53),1)))*
IF(ES$44=2,0,
IF(INT(EA53)=INT(DZ53),EA53-DZ53,INT(EA53)-DZ53))+
IF($N53&lt;=1,
IF($N53&gt;0,1/$N53,0),VDB(1,0,$N53,INT(ES$44-2),MIN($N53,INT(ES$44-2)+1),$DC53,IF($DD53="No",1,0))/
IF(EA53&gt;INT($N53),$N53-INT($N53),1))*
IF(ES$44=2,EA53,
IF(INT(EA53)=INT(DZ53),0,EA53-INT(EA53)))))</f>
        <v>0</v>
      </c>
      <c r="ET53" s="835">
        <f>+IF(OR(EB53=EA53,ET$44=1),0,
IF(AND(ET$44&gt;1,EB53=$N53),1-SUM($EN53:ES53),
IF($N53&lt;=1,
IF($N53&gt;0,1/$N53,0),
IF(ET$44=2,0,VDB(1,0,$N53,INT(ET$44-2-1),MIN($N53,INT(ET$44-2-1)+1),$DC53,IF($DD53="No",1,0))/
IF(EA53&gt;=INT($N53),$N53-INT($N53),1)))*
IF(ET$44=2,0,
IF(INT(EB53)=INT(EA53),EB53-EA53,INT(EB53)-EA53))+
IF($N53&lt;=1,
IF($N53&gt;0,1/$N53,0),VDB(1,0,$N53,INT(ET$44-2),MIN($N53,INT(ET$44-2)+1),$DC53,IF($DD53="No",1,0))/
IF(EB53&gt;INT($N53),$N53-INT($N53),1))*
IF(ET$44=2,EB53,
IF(INT(EB53)=INT(EA53),0,EB53-INT(EB53)))))</f>
        <v>0</v>
      </c>
      <c r="EU53" s="835">
        <f>+IF(OR(EC53=EB53,EU$44=1),0,
IF(AND(EU$44&gt;1,EC53=$N53),1-SUM($EN53:ET53),
IF($N53&lt;=1,
IF($N53&gt;0,1/$N53,0),
IF(EU$44=2,0,VDB(1,0,$N53,INT(EU$44-2-1),MIN($N53,INT(EU$44-2-1)+1),$DC53,IF($DD53="No",1,0))/
IF(EB53&gt;=INT($N53),$N53-INT($N53),1)))*
IF(EU$44=2,0,
IF(INT(EC53)=INT(EB53),EC53-EB53,INT(EC53)-EB53))+
IF($N53&lt;=1,
IF($N53&gt;0,1/$N53,0),VDB(1,0,$N53,INT(EU$44-2),MIN($N53,INT(EU$44-2)+1),$DC53,IF($DD53="No",1,0))/
IF(EC53&gt;INT($N53),$N53-INT($N53),1))*
IF(EU$44=2,EC53,
IF(INT(EC53)=INT(EB53),0,EC53-INT(EC53)))))</f>
        <v>0</v>
      </c>
      <c r="EV53" s="836">
        <f>+IF(OR(ED53=EC53,EV$44=1),0,
IF(AND(EV$44&gt;1,ED53=$N53),1-SUM($EN53:EU53),
IF($N53&lt;=1,
IF($N53&gt;0,1/$N53,0),
IF(EV$44=2,0,VDB(1,0,$N53,INT(EV$44-2-1),MIN($N53,INT(EV$44-2-1)+1),$DC53,IF($DD53="No",1,0))/
IF(EC53&gt;=INT($N53),$N53-INT($N53),1)))*
IF(EV$44=2,0,
IF(INT(ED53)=INT(EC53),ED53-EC53,INT(ED53)-EC53))+
IF($N53&lt;=1,
IF($N53&gt;0,1/$N53,0),VDB(1,0,$N53,INT(EV$44-2),MIN($N53,INT(EV$44-2)+1),$DC53,IF($DD53="No",1,0))/
IF(ED53&gt;INT($N53),$N53-INT($N53),1))*
IF(EV$44=2,ED53,
IF(INT(ED53)=INT(EC53),0,ED53-INT(ED53)))))</f>
        <v>0</v>
      </c>
      <c r="EW53" s="833"/>
      <c r="EX53" s="834">
        <f t="shared" ca="1" si="60"/>
        <v>0</v>
      </c>
      <c r="EY53" s="835">
        <f t="shared" ca="1" si="60"/>
        <v>0</v>
      </c>
      <c r="EZ53" s="836">
        <f t="shared" ca="1" si="60"/>
        <v>0</v>
      </c>
      <c r="FA53" s="834">
        <f t="shared" ca="1" si="60"/>
        <v>0</v>
      </c>
      <c r="FB53" s="835">
        <f t="shared" ca="1" si="60"/>
        <v>0</v>
      </c>
      <c r="FC53" s="835">
        <f t="shared" ca="1" si="60"/>
        <v>0</v>
      </c>
      <c r="FD53" s="835">
        <f t="shared" ca="1" si="60"/>
        <v>0</v>
      </c>
      <c r="FE53" s="836">
        <f t="shared" ca="1" si="60"/>
        <v>0</v>
      </c>
      <c r="FG53" s="386">
        <f t="shared" ca="1" si="72"/>
        <v>0</v>
      </c>
      <c r="FH53" s="387">
        <f t="shared" ca="1" si="61"/>
        <v>0</v>
      </c>
      <c r="FI53" s="388">
        <f t="shared" ca="1" si="62"/>
        <v>0</v>
      </c>
      <c r="FJ53" s="386">
        <f t="shared" ca="1" si="63"/>
        <v>0</v>
      </c>
      <c r="FK53" s="387">
        <f t="shared" ca="1" si="64"/>
        <v>0</v>
      </c>
      <c r="FL53" s="387">
        <f t="shared" ca="1" si="65"/>
        <v>0</v>
      </c>
      <c r="FM53" s="387">
        <f t="shared" ca="1" si="66"/>
        <v>0</v>
      </c>
      <c r="FN53" s="388">
        <f t="shared" ca="1" si="67"/>
        <v>0</v>
      </c>
      <c r="FR53" s="116"/>
    </row>
    <row r="54" spans="2:174">
      <c r="B54" s="1410">
        <f t="shared" si="73"/>
        <v>9</v>
      </c>
      <c r="C54" s="400" t="s">
        <v>530</v>
      </c>
      <c r="D54" s="401"/>
      <c r="E54" s="402" t="s">
        <v>402</v>
      </c>
      <c r="F54" s="402" t="s">
        <v>527</v>
      </c>
      <c r="G54" s="400" t="s">
        <v>525</v>
      </c>
      <c r="H54" s="2088" t="s">
        <v>481</v>
      </c>
      <c r="I54" s="2089"/>
      <c r="J54" s="1967" t="s">
        <v>516</v>
      </c>
      <c r="K54" s="403" t="s">
        <v>111</v>
      </c>
      <c r="L54" s="403">
        <v>90</v>
      </c>
      <c r="M54" s="403" t="s">
        <v>142</v>
      </c>
      <c r="N54" s="403"/>
      <c r="O54" s="347"/>
      <c r="P54" s="347"/>
      <c r="Q54" s="1021">
        <v>47.42243902439025</v>
      </c>
      <c r="R54" s="1022">
        <v>95.386187269482463</v>
      </c>
      <c r="S54" s="1022">
        <v>44.431285674903165</v>
      </c>
      <c r="T54" s="1022">
        <v>17.195849188944148</v>
      </c>
      <c r="U54" s="1023">
        <v>0</v>
      </c>
      <c r="V54" s="1021">
        <v>0</v>
      </c>
      <c r="W54" s="1022">
        <v>0</v>
      </c>
      <c r="X54" s="1022">
        <v>0</v>
      </c>
      <c r="Y54" s="1022">
        <v>0</v>
      </c>
      <c r="Z54" s="1023">
        <v>0</v>
      </c>
      <c r="AA54" s="1024"/>
      <c r="AB54" s="1021">
        <v>0</v>
      </c>
      <c r="AC54" s="1022">
        <v>0</v>
      </c>
      <c r="AD54" s="1022">
        <v>0</v>
      </c>
      <c r="AE54" s="1022">
        <v>0</v>
      </c>
      <c r="AF54" s="1023">
        <v>0</v>
      </c>
      <c r="AG54" s="1021">
        <v>0</v>
      </c>
      <c r="AH54" s="1022">
        <v>0</v>
      </c>
      <c r="AI54" s="1022">
        <v>0</v>
      </c>
      <c r="AJ54" s="1022">
        <v>0</v>
      </c>
      <c r="AK54" s="1023">
        <v>0</v>
      </c>
      <c r="AL54" s="1024"/>
      <c r="AM54" s="1021">
        <v>0</v>
      </c>
      <c r="AN54" s="1022">
        <v>0</v>
      </c>
      <c r="AO54" s="1022">
        <v>0</v>
      </c>
      <c r="AP54" s="1022">
        <v>0</v>
      </c>
      <c r="AQ54" s="1023">
        <v>0</v>
      </c>
      <c r="AR54" s="1021">
        <v>0</v>
      </c>
      <c r="AS54" s="1022">
        <v>0</v>
      </c>
      <c r="AT54" s="1022">
        <v>0</v>
      </c>
      <c r="AU54" s="1022">
        <v>0</v>
      </c>
      <c r="AV54" s="1023">
        <v>0</v>
      </c>
      <c r="AW54" s="1025"/>
      <c r="AX54" s="1282">
        <f t="shared" si="38"/>
        <v>47.42243902439025</v>
      </c>
      <c r="AY54" s="387">
        <f t="shared" si="39"/>
        <v>95.386187269482463</v>
      </c>
      <c r="AZ54" s="387">
        <f t="shared" si="40"/>
        <v>44.431285674903165</v>
      </c>
      <c r="BA54" s="387">
        <f t="shared" si="41"/>
        <v>17.195849188944148</v>
      </c>
      <c r="BB54" s="1283">
        <f t="shared" si="42"/>
        <v>0</v>
      </c>
      <c r="BC54" s="386">
        <f t="shared" si="43"/>
        <v>0</v>
      </c>
      <c r="BD54" s="387">
        <f t="shared" si="44"/>
        <v>0</v>
      </c>
      <c r="BE54" s="1277">
        <f t="shared" si="45"/>
        <v>0</v>
      </c>
      <c r="BF54" s="1277">
        <f t="shared" si="45"/>
        <v>0</v>
      </c>
      <c r="BG54" s="388">
        <f t="shared" si="45"/>
        <v>0</v>
      </c>
      <c r="BH54" s="1025"/>
      <c r="BI54" s="1282">
        <f t="shared" ca="1" si="46"/>
        <v>0</v>
      </c>
      <c r="BJ54" s="387">
        <f t="shared" ca="1" si="47"/>
        <v>0</v>
      </c>
      <c r="BK54" s="387">
        <f t="shared" ca="1" si="48"/>
        <v>0</v>
      </c>
      <c r="BL54" s="387">
        <f t="shared" ca="1" si="49"/>
        <v>1.1357542286540001</v>
      </c>
      <c r="BM54" s="1283">
        <f t="shared" ca="1" si="50"/>
        <v>2.2715084573080002</v>
      </c>
      <c r="BN54" s="386">
        <f t="shared" ca="1" si="51"/>
        <v>2.2715084573080002</v>
      </c>
      <c r="BO54" s="387">
        <f t="shared" ca="1" si="51"/>
        <v>2.2715084573080002</v>
      </c>
      <c r="BP54" s="1277">
        <f t="shared" ca="1" si="51"/>
        <v>2.2715084573080002</v>
      </c>
      <c r="BQ54" s="1277">
        <f t="shared" ca="1" si="51"/>
        <v>2.2715084573080002</v>
      </c>
      <c r="BR54" s="388">
        <f t="shared" ca="1" si="51"/>
        <v>2.2715084573080002</v>
      </c>
      <c r="BS54" s="1025"/>
      <c r="BT54" s="1282">
        <f>+IF($K54="Ongoing",AX54,IF(RIGHT($K54,2)=RIGHT(BT$43,2),SUM($AX54:AX54),0)+IF(RIGHT(BT$43,2)&gt;RIGHT($K54,2),AX54,0))</f>
        <v>0</v>
      </c>
      <c r="BU54" s="387">
        <f>+IF($K54="Ongoing",AY54,IF(RIGHT($K54,2)=RIGHT(BU$43,2),SUM($AX54:AY54),0)+IF(RIGHT(BU$43,2)&gt;RIGHT($K54,2),AY54,0))</f>
        <v>0</v>
      </c>
      <c r="BV54" s="387">
        <f>+IF($K54="Ongoing",AZ54,IF(RIGHT($K54,2)=RIGHT(BV$43,2),SUM($AX54:AZ54),0)+IF(RIGHT(BV$43,2)&gt;RIGHT($K54,2),AZ54,0))</f>
        <v>0</v>
      </c>
      <c r="BW54" s="387">
        <f>+IF($K54="Ongoing",BA54,IF(RIGHT($K54,2)=RIGHT(BW$43,2),SUM($AX54:BA54),0)+IF(RIGHT(BW$43,2)&gt;RIGHT($K54,2),BA54,0))</f>
        <v>204.43576115772004</v>
      </c>
      <c r="BX54" s="1283">
        <f>+IF($K54="Ongoing",BB54,IF(RIGHT($K54,2)=RIGHT(BX$43,2),SUM($AX54:BB54),0)+IF(RIGHT(BX$43,2)&gt;RIGHT($K54,2),BB54,0))</f>
        <v>0</v>
      </c>
      <c r="BY54" s="386">
        <f>+IF($K54="Ongoing",BC54,IF(RIGHT($K54,2)=RIGHT(BY$43,2),SUM($AX54:BC54),0)+IF(RIGHT(BY$43,2)&gt;RIGHT($K54,2),BC54,0))</f>
        <v>0</v>
      </c>
      <c r="BZ54" s="387">
        <f>+IF($K54="Ongoing",BD54,IF(RIGHT($K54,2)=RIGHT(BZ$43,2),SUM($AX54:BD54),0)+IF(RIGHT(BZ$43,2)&gt;RIGHT($K54,2),BD54,0))</f>
        <v>0</v>
      </c>
      <c r="CA54" s="1277">
        <f>+IF($K54="Ongoing",BE54,IF(RIGHT($K54,2)=RIGHT(CA$43,2),SUM($AX54:BE54),0)+IF(RIGHT(CA$43,2)&gt;RIGHT($K54,2),BE54,0))</f>
        <v>0</v>
      </c>
      <c r="CB54" s="1277">
        <f>+IF($K54="Ongoing",BF54,IF(RIGHT($K54,2)=RIGHT(CB$43,2),SUM($AX54:BF54),0)+IF(RIGHT(CB$43,2)&gt;RIGHT($K54,2),BF54,0))</f>
        <v>0</v>
      </c>
      <c r="CC54" s="388">
        <f>+IF($K54="Ongoing",BG54,IF(RIGHT($K54,2)=RIGHT(CC$43,2),SUM($AX54:BG54),0)+IF(RIGHT(CC$43,2)&gt;RIGHT($K54,2),BG54,0))</f>
        <v>0</v>
      </c>
      <c r="CD54" s="1025"/>
      <c r="CE54" s="1282">
        <f>+Q54*KeyAssumptionsPriceControl_FO!AF$15</f>
        <v>48.797689756097562</v>
      </c>
      <c r="CF54" s="387">
        <f>+R54*KeyAssumptionsPriceControl_FO!AG$15</f>
        <v>100.99880591460607</v>
      </c>
      <c r="CG54" s="387">
        <f>+S54*KeyAssumptionsPriceControl_FO!AH$15</f>
        <v>48.409991297003835</v>
      </c>
      <c r="CH54" s="387">
        <f>+T54*KeyAssumptionsPriceControl_FO!AI$15</f>
        <v>19.279027670429965</v>
      </c>
      <c r="CI54" s="1283">
        <f>+U54*KeyAssumptionsPriceControl_FO!AJ$15</f>
        <v>0</v>
      </c>
      <c r="CJ54" s="386">
        <f>+V54*KeyAssumptionsPriceControl_FO!AK$15</f>
        <v>0</v>
      </c>
      <c r="CK54" s="387">
        <f>+W54*KeyAssumptionsPriceControl_FO!AL$15</f>
        <v>0</v>
      </c>
      <c r="CL54" s="1277">
        <f>+X54*KeyAssumptionsPriceControl_FO!AM$15</f>
        <v>0</v>
      </c>
      <c r="CM54" s="1277">
        <f>+Y54*KeyAssumptionsPriceControl_FO!AN$15</f>
        <v>0</v>
      </c>
      <c r="CN54" s="388">
        <f>+Z54*KeyAssumptionsPriceControl_FO!AO$15</f>
        <v>0</v>
      </c>
      <c r="CO54" s="1025"/>
      <c r="CP54" s="1282">
        <f t="shared" ca="1" si="68"/>
        <v>0</v>
      </c>
      <c r="CQ54" s="387">
        <f t="shared" ca="1" si="69"/>
        <v>0</v>
      </c>
      <c r="CR54" s="387">
        <f t="shared" ca="1" si="70"/>
        <v>0</v>
      </c>
      <c r="CS54" s="387">
        <f t="shared" ca="1" si="71"/>
        <v>0</v>
      </c>
      <c r="CT54" s="1283">
        <f t="shared" ca="1" si="52"/>
        <v>0</v>
      </c>
      <c r="CU54" s="386">
        <f t="shared" ca="1" si="53"/>
        <v>0</v>
      </c>
      <c r="CV54" s="387">
        <f t="shared" ca="1" si="54"/>
        <v>0</v>
      </c>
      <c r="CW54" s="1277">
        <f t="shared" ca="1" si="55"/>
        <v>0</v>
      </c>
      <c r="CX54" s="1277">
        <f t="shared" ca="1" si="56"/>
        <v>0</v>
      </c>
      <c r="CY54" s="388">
        <f t="shared" ca="1" si="57"/>
        <v>0</v>
      </c>
      <c r="CZ54" s="347"/>
      <c r="DA54" s="852"/>
      <c r="DB54" s="347"/>
      <c r="DC54" s="1012" t="s">
        <v>517</v>
      </c>
      <c r="DD54" s="841" t="s">
        <v>518</v>
      </c>
      <c r="DE54" s="386">
        <f>+IF($K54="ongoing",CE54,IF(RIGHT($K54,2)=RIGHT(DE$43,2),SUM($CD54:CE54),0)+IF(RIGHT(DE$43,2)&gt;RIGHT($K54,2),CE54,0))</f>
        <v>0</v>
      </c>
      <c r="DF54" s="387">
        <f>+IF($K54="ongoing",CF54,IF(RIGHT($K54,2)=RIGHT(DF$43,2),SUM($CD54:CF54),0)+IF(RIGHT(DF$43,2)&gt;RIGHT($K54,2),CF54,0))</f>
        <v>0</v>
      </c>
      <c r="DG54" s="388">
        <f>+IF($K54="ongoing",CG54,IF(RIGHT($K54,2)=RIGHT(DG$43,2),SUM($CD54:CG54),0)+IF(RIGHT(DG$43,2)&gt;RIGHT($K54,2),CG54,0))</f>
        <v>0</v>
      </c>
      <c r="DH54" s="386">
        <f>+IF($K54="ongoing",CH54,IF(RIGHT($K54,2)=RIGHT(DH$43,2),SUM($CD54:CH54),0)+IF(RIGHT(DH$43,2)&gt;RIGHT($K54,2),CH54,0))</f>
        <v>0</v>
      </c>
      <c r="DI54" s="387">
        <f>+IF($K54="ongoing",CI54,IF(RIGHT($K54,2)=RIGHT(DI$43,2),SUM($CD54:CI54),0)+IF(RIGHT(DI$43,2)&gt;RIGHT($K54,2),CI54,0))</f>
        <v>0</v>
      </c>
      <c r="DJ54" s="387">
        <f>+IF($K54="ongoing",CJ54,IF(RIGHT($K54,2)=RIGHT(DJ$43,2),SUM($CD54:CJ54),0)+IF(RIGHT(DJ$43,2)&gt;RIGHT($K54,2),CJ54,0))</f>
        <v>0</v>
      </c>
      <c r="DK54" s="387">
        <f>+IF($K54="ongoing",CK54,IF(RIGHT($K54,2)=RIGHT(DK$43,2),SUM($CD54:CK54),0)+IF(RIGHT(DK$43,2)&gt;RIGHT($K54,2),CK54,0))</f>
        <v>0</v>
      </c>
      <c r="DL54" s="388">
        <f>+IF($K54="ongoing",CN54,IF(RIGHT($K54,2)=RIGHT(DL$43,2),SUM($CD54:CN54),0)+IF(RIGHT(DL$43,2)&gt;RIGHT($K54,2),CN54,0))</f>
        <v>0</v>
      </c>
      <c r="DM54" s="841"/>
      <c r="DN54" s="386">
        <f t="shared" si="58"/>
        <v>0.5</v>
      </c>
      <c r="DO54" s="387">
        <f t="shared" si="58"/>
        <v>1</v>
      </c>
      <c r="DP54" s="388">
        <f t="shared" si="58"/>
        <v>1</v>
      </c>
      <c r="DQ54" s="386">
        <f t="shared" si="58"/>
        <v>1</v>
      </c>
      <c r="DR54" s="387">
        <f t="shared" si="58"/>
        <v>1</v>
      </c>
      <c r="DS54" s="387">
        <f t="shared" si="58"/>
        <v>1</v>
      </c>
      <c r="DT54" s="387">
        <f t="shared" si="58"/>
        <v>1</v>
      </c>
      <c r="DU54" s="388">
        <f t="shared" si="58"/>
        <v>1</v>
      </c>
      <c r="DW54" s="386">
        <f t="shared" si="59"/>
        <v>0</v>
      </c>
      <c r="DX54" s="387">
        <f t="shared" si="59"/>
        <v>0.5</v>
      </c>
      <c r="DY54" s="388">
        <f t="shared" si="59"/>
        <v>1</v>
      </c>
      <c r="DZ54" s="386">
        <f t="shared" si="59"/>
        <v>1</v>
      </c>
      <c r="EA54" s="387">
        <f t="shared" si="59"/>
        <v>1</v>
      </c>
      <c r="EB54" s="387">
        <f t="shared" si="59"/>
        <v>1</v>
      </c>
      <c r="EC54" s="387">
        <f t="shared" si="59"/>
        <v>1</v>
      </c>
      <c r="ED54" s="388">
        <f t="shared" si="59"/>
        <v>1</v>
      </c>
      <c r="EF54" s="834">
        <f>+IF(DN54=DM54,0,
IF(AND(EF$44&gt;1,DN54=$N54),1-SUM($EE54:EE54),
IF($N54&lt;=1,
IF($N54&gt;0,1/$N54,0),
IF(EF$44=1,0,VDB(1,0,$N54,INT(EF$44-1-1),MIN($N54,INT(EF$44-1-1)+1),$DC54,IF($DD54="No",1,0))/
IF(DM54&gt;=INT($N54),$N54-INT($N54),1)))*
IF(EF$44=1,0,
IF(INT(DN54)=INT(DM54),DN54-DM54,INT(DN54)-DM54))+
IF($N54&lt;=1,
IF($N54&gt;0,1/$N54,0),VDB(1,0,$N54,INT(EF$44-1),MIN($N54,INT(EF$44-1)+1),$DC54,IF($DD54="No",1,0))/
IF(DN54&gt;INT($N54),$N54-INT($N54),1))*
IF(EF$44=1,DN54,
IF(INT(DN54)=INT(DM54),0,DN54-INT(DN54)))))</f>
        <v>0</v>
      </c>
      <c r="EG54" s="835">
        <f>+IF(DO54=DN54,0,
IF(AND(EG$44&gt;1,DO54=$N54),1-SUM($EE54:EF54),
IF($N54&lt;=1,
IF($N54&gt;0,1/$N54,0),
IF(EG$44=1,0,VDB(1,0,$N54,INT(EG$44-1-1),MIN($N54,INT(EG$44-1-1)+1),$DC54,IF($DD54="No",1,0))/
IF(DN54&gt;=INT($N54),$N54-INT($N54),1)))*
IF(EG$44=1,0,
IF(INT(DO54)=INT(DN54),DO54-DN54,INT(DO54)-DN54))+
IF($N54&lt;=1,
IF($N54&gt;0,1/$N54,0),VDB(1,0,$N54,INT(EG$44-1),MIN($N54,INT(EG$44-1)+1),$DC54,IF($DD54="No",1,0))/
IF(DO54&gt;INT($N54),$N54-INT($N54),1))*
IF(EG$44=1,DO54,
IF(INT(DO54)=INT(DN54),0,DO54-INT(DO54)))))</f>
        <v>0</v>
      </c>
      <c r="EH54" s="836">
        <f>+IF(DP54=DO54,0,
IF(AND(EH$44&gt;1,DP54=$N54),1-SUM($EE54:EG54),
IF($N54&lt;=1,
IF($N54&gt;0,1/$N54,0),
IF(EH$44=1,0,VDB(1,0,$N54,INT(EH$44-1-1),MIN($N54,INT(EH$44-1-1)+1),$DC54,IF($DD54="No",1,0))/
IF(DO54&gt;=INT($N54),$N54-INT($N54),1)))*
IF(EH$44=1,0,
IF(INT(DP54)=INT(DO54),DP54-DO54,INT(DP54)-DO54))+
IF($N54&lt;=1,
IF($N54&gt;0,1/$N54,0),VDB(1,0,$N54,INT(EH$44-1),MIN($N54,INT(EH$44-1)+1),$DC54,IF($DD54="No",1,0))/
IF(DP54&gt;INT($N54),$N54-INT($N54),1))*
IF(EH$44=1,DP54,
IF(INT(DP54)=INT(DO54),0,DP54-INT(DP54)))))</f>
        <v>0</v>
      </c>
      <c r="EI54" s="834">
        <f>+IF(DQ54=DP54,0,
IF(AND(EI$44&gt;1,DQ54=$N54),1-SUM($EE54:EH54),
IF($N54&lt;=1,
IF($N54&gt;0,1/$N54,0),
IF(EI$44=1,0,VDB(1,0,$N54,INT(EI$44-1-1),MIN($N54,INT(EI$44-1-1)+1),$DC54,IF($DD54="No",1,0))/
IF(DP54&gt;=INT($N54),$N54-INT($N54),1)))*
IF(EI$44=1,0,
IF(INT(DQ54)=INT(DP54),DQ54-DP54,INT(DQ54)-DP54))+
IF($N54&lt;=1,
IF($N54&gt;0,1/$N54,0),VDB(1,0,$N54,INT(EI$44-1),MIN($N54,INT(EI$44-1)+1),$DC54,IF($DD54="No",1,0))/
IF(DQ54&gt;INT($N54),$N54-INT($N54),1))*
IF(EI$44=1,DQ54,
IF(INT(DQ54)=INT(DP54),0,DQ54-INT(DQ54)))))</f>
        <v>0</v>
      </c>
      <c r="EJ54" s="835">
        <f>+IF(DR54=DQ54,0,
IF(AND(EJ$44&gt;1,DR54=$N54),1-SUM($EE54:EI54),
IF($N54&lt;=1,
IF($N54&gt;0,1/$N54,0),
IF(EJ$44=1,0,VDB(1,0,$N54,INT(EJ$44-1-1),MIN($N54,INT(EJ$44-1-1)+1),$DC54,IF($DD54="No",1,0))/
IF(DQ54&gt;=INT($N54),$N54-INT($N54),1)))*
IF(EJ$44=1,0,
IF(INT(DR54)=INT(DQ54),DR54-DQ54,INT(DR54)-DQ54))+
IF($N54&lt;=1,
IF($N54&gt;0,1/$N54,0),VDB(1,0,$N54,INT(EJ$44-1),MIN($N54,INT(EJ$44-1)+1),$DC54,IF($DD54="No",1,0))/
IF(DR54&gt;INT($N54),$N54-INT($N54),1))*
IF(EJ$44=1,DR54,
IF(INT(DR54)=INT(DQ54),0,DR54-INT(DR54)))))</f>
        <v>0</v>
      </c>
      <c r="EK54" s="835">
        <f>+IF(DS54=DR54,0,
IF(AND(EK$44&gt;1,DS54=$N54),1-SUM($EE54:EJ54),
IF($N54&lt;=1,
IF($N54&gt;0,1/$N54,0),
IF(EK$44=1,0,VDB(1,0,$N54,INT(EK$44-1-1),MIN($N54,INT(EK$44-1-1)+1),$DC54,IF($DD54="No",1,0))/
IF(DR54&gt;=INT($N54),$N54-INT($N54),1)))*
IF(EK$44=1,0,
IF(INT(DS54)=INT(DR54),DS54-DR54,INT(DS54)-DR54))+
IF($N54&lt;=1,
IF($N54&gt;0,1/$N54,0),VDB(1,0,$N54,INT(EK$44-1),MIN($N54,INT(EK$44-1)+1),$DC54,IF($DD54="No",1,0))/
IF(DS54&gt;INT($N54),$N54-INT($N54),1))*
IF(EK$44=1,DS54,
IF(INT(DS54)=INT(DR54),0,DS54-INT(DS54)))))</f>
        <v>0</v>
      </c>
      <c r="EL54" s="835">
        <f>+IF(DT54=DS54,0,
IF(AND(EL$44&gt;1,DT54=$N54),1-SUM($EE54:EK54),
IF($N54&lt;=1,
IF($N54&gt;0,1/$N54,0),
IF(EL$44=1,0,VDB(1,0,$N54,INT(EL$44-1-1),MIN($N54,INT(EL$44-1-1)+1),$DC54,IF($DD54="No",1,0))/
IF(DS54&gt;=INT($N54),$N54-INT($N54),1)))*
IF(EL$44=1,0,
IF(INT(DT54)=INT(DS54),DT54-DS54,INT(DT54)-DS54))+
IF($N54&lt;=1,
IF($N54&gt;0,1/$N54,0),VDB(1,0,$N54,INT(EL$44-1),MIN($N54,INT(EL$44-1)+1),$DC54,IF($DD54="No",1,0))/
IF(DT54&gt;INT($N54),$N54-INT($N54),1))*
IF(EL$44=1,DT54,
IF(INT(DT54)=INT(DS54),0,DT54-INT(DT54)))))</f>
        <v>0</v>
      </c>
      <c r="EM54" s="836">
        <f>+IF(DU54=DT54,0,
IF(AND(EM$44&gt;1,DU54=$N54),1-SUM($EE54:EL54),
IF($N54&lt;=1,
IF($N54&gt;0,1/$N54,0),
IF(EM$44=1,0,VDB(1,0,$N54,INT(EM$44-1-1),MIN($N54,INT(EM$44-1-1)+1),$DC54,IF($DD54="No",1,0))/
IF(DT54&gt;=INT($N54),$N54-INT($N54),1)))*
IF(EM$44=1,0,
IF(INT(DU54)=INT(DT54),DU54-DT54,INT(DU54)-DT54))+
IF($N54&lt;=1,
IF($N54&gt;0,1/$N54,0),VDB(1,0,$N54,INT(EM$44-1),MIN($N54,INT(EM$44-1)+1),$DC54,IF($DD54="No",1,0))/
IF(DU54&gt;INT($N54),$N54-INT($N54),1))*
IF(EM$44=1,DU54,
IF(INT(DU54)=INT(DT54),0,DU54-INT(DU54)))))</f>
        <v>0</v>
      </c>
      <c r="EN54" s="833"/>
      <c r="EO54" s="834">
        <f>+IF(OR(DW54=DV54,EO$44=1),0,
IF(AND(EO$44&gt;1,DW54=$N54),1-SUM($EN54:EN54),
IF($N54&lt;=1,
IF($N54&gt;0,1/$N54,0),
IF(EO$44=2,0,VDB(1,0,$N54,INT(EO$44-2-1),MIN($N54,INT(EO$44-2-1)+1),$DC54,IF($DD54="No",1,0))/
IF(DV54&gt;=INT($N54),$N54-INT($N54),1)))*
IF(EO$44=2,0,
IF(INT(DW54)=INT(DV54),DW54-DV54,INT(DW54)-DV54))+
IF($N54&lt;=1,
IF($N54&gt;0,1/$N54,0),VDB(1,0,$N54,INT(EO$44-2),MIN($N54,INT(EO$44-2)+1),$DC54,IF($DD54="No",1,0))/
IF(DW54&gt;INT($N54),$N54-INT($N54),1))*
IF(EO$44=2,DW54,
IF(INT(DW54)=INT(DV54),0,DW54-INT(DW54)))))</f>
        <v>0</v>
      </c>
      <c r="EP54" s="835">
        <f>+IF(OR(DX54=DW54,EP$44=1),0,
IF(AND(EP$44&gt;1,DX54=$N54),1-SUM($EN54:EO54),
IF($N54&lt;=1,
IF($N54&gt;0,1/$N54,0),
IF(EP$44=2,0,VDB(1,0,$N54,INT(EP$44-2-1),MIN($N54,INT(EP$44-2-1)+1),$DC54,IF($DD54="No",1,0))/
IF(DW54&gt;=INT($N54),$N54-INT($N54),1)))*
IF(EP$44=2,0,
IF(INT(DX54)=INT(DW54),DX54-DW54,INT(DX54)-DW54))+
IF($N54&lt;=1,
IF($N54&gt;0,1/$N54,0),VDB(1,0,$N54,INT(EP$44-2),MIN($N54,INT(EP$44-2)+1),$DC54,IF($DD54="No",1,0))/
IF(DX54&gt;INT($N54),$N54-INT($N54),1))*
IF(EP$44=2,DX54,
IF(INT(DX54)=INT(DW54),0,DX54-INT(DX54)))))</f>
        <v>0</v>
      </c>
      <c r="EQ54" s="836">
        <f>+IF(OR(DY54=DX54,EQ$44=1),0,
IF(AND(EQ$44&gt;1,DY54=$N54),1-SUM($EN54:EP54),
IF($N54&lt;=1,
IF($N54&gt;0,1/$N54,0),
IF(EQ$44=2,0,VDB(1,0,$N54,INT(EQ$44-2-1),MIN($N54,INT(EQ$44-2-1)+1),$DC54,IF($DD54="No",1,0))/
IF(DX54&gt;=INT($N54),$N54-INT($N54),1)))*
IF(EQ$44=2,0,
IF(INT(DY54)=INT(DX54),DY54-DX54,INT(DY54)-DX54))+
IF($N54&lt;=1,
IF($N54&gt;0,1/$N54,0),VDB(1,0,$N54,INT(EQ$44-2),MIN($N54,INT(EQ$44-2)+1),$DC54,IF($DD54="No",1,0))/
IF(DY54&gt;INT($N54),$N54-INT($N54),1))*
IF(EQ$44=2,DY54,
IF(INT(DY54)=INT(DX54),0,DY54-INT(DY54)))))</f>
        <v>0</v>
      </c>
      <c r="ER54" s="834">
        <f>+IF(OR(DZ54=DY54,ER$44=1),0,
IF(AND(ER$44&gt;1,DZ54=$N54),1-SUM($EN54:EQ54),
IF($N54&lt;=1,
IF($N54&gt;0,1/$N54,0),
IF(ER$44=2,0,VDB(1,0,$N54,INT(ER$44-2-1),MIN($N54,INT(ER$44-2-1)+1),$DC54,IF($DD54="No",1,0))/
IF(DY54&gt;=INT($N54),$N54-INT($N54),1)))*
IF(ER$44=2,0,
IF(INT(DZ54)=INT(DY54),DZ54-DY54,INT(DZ54)-DY54))+
IF($N54&lt;=1,
IF($N54&gt;0,1/$N54,0),VDB(1,0,$N54,INT(ER$44-2),MIN($N54,INT(ER$44-2)+1),$DC54,IF($DD54="No",1,0))/
IF(DZ54&gt;INT($N54),$N54-INT($N54),1))*
IF(ER$44=2,DZ54,
IF(INT(DZ54)=INT(DY54),0,DZ54-INT(DZ54)))))</f>
        <v>0</v>
      </c>
      <c r="ES54" s="835">
        <f>+IF(OR(EA54=DZ54,ES$44=1),0,
IF(AND(ES$44&gt;1,EA54=$N54),1-SUM($EN54:ER54),
IF($N54&lt;=1,
IF($N54&gt;0,1/$N54,0),
IF(ES$44=2,0,VDB(1,0,$N54,INT(ES$44-2-1),MIN($N54,INT(ES$44-2-1)+1),$DC54,IF($DD54="No",1,0))/
IF(DZ54&gt;=INT($N54),$N54-INT($N54),1)))*
IF(ES$44=2,0,
IF(INT(EA54)=INT(DZ54),EA54-DZ54,INT(EA54)-DZ54))+
IF($N54&lt;=1,
IF($N54&gt;0,1/$N54,0),VDB(1,0,$N54,INT(ES$44-2),MIN($N54,INT(ES$44-2)+1),$DC54,IF($DD54="No",1,0))/
IF(EA54&gt;INT($N54),$N54-INT($N54),1))*
IF(ES$44=2,EA54,
IF(INT(EA54)=INT(DZ54),0,EA54-INT(EA54)))))</f>
        <v>0</v>
      </c>
      <c r="ET54" s="835">
        <f>+IF(OR(EB54=EA54,ET$44=1),0,
IF(AND(ET$44&gt;1,EB54=$N54),1-SUM($EN54:ES54),
IF($N54&lt;=1,
IF($N54&gt;0,1/$N54,0),
IF(ET$44=2,0,VDB(1,0,$N54,INT(ET$44-2-1),MIN($N54,INT(ET$44-2-1)+1),$DC54,IF($DD54="No",1,0))/
IF(EA54&gt;=INT($N54),$N54-INT($N54),1)))*
IF(ET$44=2,0,
IF(INT(EB54)=INT(EA54),EB54-EA54,INT(EB54)-EA54))+
IF($N54&lt;=1,
IF($N54&gt;0,1/$N54,0),VDB(1,0,$N54,INT(ET$44-2),MIN($N54,INT(ET$44-2)+1),$DC54,IF($DD54="No",1,0))/
IF(EB54&gt;INT($N54),$N54-INT($N54),1))*
IF(ET$44=2,EB54,
IF(INT(EB54)=INT(EA54),0,EB54-INT(EB54)))))</f>
        <v>0</v>
      </c>
      <c r="EU54" s="835">
        <f>+IF(OR(EC54=EB54,EU$44=1),0,
IF(AND(EU$44&gt;1,EC54=$N54),1-SUM($EN54:ET54),
IF($N54&lt;=1,
IF($N54&gt;0,1/$N54,0),
IF(EU$44=2,0,VDB(1,0,$N54,INT(EU$44-2-1),MIN($N54,INT(EU$44-2-1)+1),$DC54,IF($DD54="No",1,0))/
IF(EB54&gt;=INT($N54),$N54-INT($N54),1)))*
IF(EU$44=2,0,
IF(INT(EC54)=INT(EB54),EC54-EB54,INT(EC54)-EB54))+
IF($N54&lt;=1,
IF($N54&gt;0,1/$N54,0),VDB(1,0,$N54,INT(EU$44-2),MIN($N54,INT(EU$44-2)+1),$DC54,IF($DD54="No",1,0))/
IF(EC54&gt;INT($N54),$N54-INT($N54),1))*
IF(EU$44=2,EC54,
IF(INT(EC54)=INT(EB54),0,EC54-INT(EC54)))))</f>
        <v>0</v>
      </c>
      <c r="EV54" s="836">
        <f>+IF(OR(ED54=EC54,EV$44=1),0,
IF(AND(EV$44&gt;1,ED54=$N54),1-SUM($EN54:EU54),
IF($N54&lt;=1,
IF($N54&gt;0,1/$N54,0),
IF(EV$44=2,0,VDB(1,0,$N54,INT(EV$44-2-1),MIN($N54,INT(EV$44-2-1)+1),$DC54,IF($DD54="No",1,0))/
IF(EC54&gt;=INT($N54),$N54-INT($N54),1)))*
IF(EV$44=2,0,
IF(INT(ED54)=INT(EC54),ED54-EC54,INT(ED54)-EC54))+
IF($N54&lt;=1,
IF($N54&gt;0,1/$N54,0),VDB(1,0,$N54,INT(EV$44-2),MIN($N54,INT(EV$44-2)+1),$DC54,IF($DD54="No",1,0))/
IF(ED54&gt;INT($N54),$N54-INT($N54),1))*
IF(EV$44=2,ED54,
IF(INT(ED54)=INT(EC54),0,ED54-INT(ED54)))))</f>
        <v>0</v>
      </c>
      <c r="EW54" s="833"/>
      <c r="EX54" s="834">
        <f t="shared" ca="1" si="60"/>
        <v>0</v>
      </c>
      <c r="EY54" s="835">
        <f t="shared" ca="1" si="60"/>
        <v>0</v>
      </c>
      <c r="EZ54" s="836">
        <f t="shared" ca="1" si="60"/>
        <v>0</v>
      </c>
      <c r="FA54" s="834">
        <f t="shared" ca="1" si="60"/>
        <v>0</v>
      </c>
      <c r="FB54" s="835">
        <f t="shared" ca="1" si="60"/>
        <v>0</v>
      </c>
      <c r="FC54" s="835">
        <f t="shared" ca="1" si="60"/>
        <v>0</v>
      </c>
      <c r="FD54" s="835">
        <f t="shared" ca="1" si="60"/>
        <v>0</v>
      </c>
      <c r="FE54" s="836">
        <f t="shared" ca="1" si="60"/>
        <v>0</v>
      </c>
      <c r="FG54" s="386">
        <f t="shared" ca="1" si="72"/>
        <v>0</v>
      </c>
      <c r="FH54" s="387">
        <f t="shared" ca="1" si="61"/>
        <v>0</v>
      </c>
      <c r="FI54" s="388">
        <f t="shared" ca="1" si="62"/>
        <v>0</v>
      </c>
      <c r="FJ54" s="386">
        <f t="shared" ca="1" si="63"/>
        <v>0</v>
      </c>
      <c r="FK54" s="387">
        <f t="shared" ca="1" si="64"/>
        <v>0</v>
      </c>
      <c r="FL54" s="387">
        <f t="shared" ca="1" si="65"/>
        <v>0</v>
      </c>
      <c r="FM54" s="387">
        <f t="shared" ca="1" si="66"/>
        <v>0</v>
      </c>
      <c r="FN54" s="388">
        <f t="shared" ca="1" si="67"/>
        <v>0</v>
      </c>
      <c r="FR54" s="116"/>
    </row>
    <row r="55" spans="2:174">
      <c r="B55" s="1410">
        <f t="shared" si="73"/>
        <v>10</v>
      </c>
      <c r="C55" s="400" t="s">
        <v>531</v>
      </c>
      <c r="D55" s="401"/>
      <c r="E55" s="402" t="s">
        <v>401</v>
      </c>
      <c r="F55" s="402" t="s">
        <v>527</v>
      </c>
      <c r="G55" s="400" t="s">
        <v>525</v>
      </c>
      <c r="H55" s="2088" t="s">
        <v>481</v>
      </c>
      <c r="I55" s="2089"/>
      <c r="J55" s="1967" t="s">
        <v>516</v>
      </c>
      <c r="K55" s="403" t="s">
        <v>362</v>
      </c>
      <c r="L55" s="403">
        <v>110</v>
      </c>
      <c r="M55" s="403" t="s">
        <v>142</v>
      </c>
      <c r="N55" s="403"/>
      <c r="O55" s="347"/>
      <c r="P55" s="347"/>
      <c r="Q55" s="1021">
        <v>0.6048780487804879</v>
      </c>
      <c r="R55" s="1022">
        <v>1.3991671624033315</v>
      </c>
      <c r="S55" s="1022">
        <v>0.65001958764382428</v>
      </c>
      <c r="T55" s="1022">
        <v>15.899433816235701</v>
      </c>
      <c r="U55" s="1023">
        <v>64.742326567397143</v>
      </c>
      <c r="V55" s="1021">
        <v>34.491874638420192</v>
      </c>
      <c r="W55" s="1022">
        <v>0</v>
      </c>
      <c r="X55" s="1022">
        <v>0</v>
      </c>
      <c r="Y55" s="1022">
        <v>0</v>
      </c>
      <c r="Z55" s="1023">
        <v>0</v>
      </c>
      <c r="AA55" s="1024"/>
      <c r="AB55" s="1021">
        <v>0</v>
      </c>
      <c r="AC55" s="1022">
        <v>0</v>
      </c>
      <c r="AD55" s="1022">
        <v>0</v>
      </c>
      <c r="AE55" s="1022">
        <v>0</v>
      </c>
      <c r="AF55" s="1023">
        <v>0</v>
      </c>
      <c r="AG55" s="1021">
        <v>0</v>
      </c>
      <c r="AH55" s="1022">
        <v>0</v>
      </c>
      <c r="AI55" s="1022">
        <v>0</v>
      </c>
      <c r="AJ55" s="1022">
        <v>0</v>
      </c>
      <c r="AK55" s="1023">
        <v>0</v>
      </c>
      <c r="AL55" s="1024"/>
      <c r="AM55" s="1021">
        <v>0</v>
      </c>
      <c r="AN55" s="1022">
        <v>0</v>
      </c>
      <c r="AO55" s="1022">
        <v>0</v>
      </c>
      <c r="AP55" s="1022">
        <v>0</v>
      </c>
      <c r="AQ55" s="1023">
        <v>0</v>
      </c>
      <c r="AR55" s="1021">
        <v>0</v>
      </c>
      <c r="AS55" s="1022">
        <v>0</v>
      </c>
      <c r="AT55" s="1022">
        <v>0</v>
      </c>
      <c r="AU55" s="1022">
        <v>0</v>
      </c>
      <c r="AV55" s="1023">
        <v>0</v>
      </c>
      <c r="AW55" s="1025"/>
      <c r="AX55" s="1282">
        <f t="shared" ref="AX55:AX60" si="74">+Q55-AB55-AM55</f>
        <v>0.6048780487804879</v>
      </c>
      <c r="AY55" s="387">
        <f t="shared" ref="AY55:AY60" si="75">+R55-AC55-AN55</f>
        <v>1.3991671624033315</v>
      </c>
      <c r="AZ55" s="387">
        <f t="shared" ref="AZ55:AZ60" si="76">+S55-AD55-AO55</f>
        <v>0.65001958764382428</v>
      </c>
      <c r="BA55" s="387">
        <f t="shared" ref="BA55:BA60" si="77">+T55-AE55-AP55</f>
        <v>15.899433816235701</v>
      </c>
      <c r="BB55" s="1283">
        <f t="shared" ref="BB55:BB60" si="78">+U55-AF55-AQ55</f>
        <v>64.742326567397143</v>
      </c>
      <c r="BC55" s="386">
        <f t="shared" ref="BC55:BC60" si="79">+V55-AG55-AR55</f>
        <v>34.491874638420192</v>
      </c>
      <c r="BD55" s="387">
        <f t="shared" ref="BD55:BD60" si="80">+W55-AH55-AS55</f>
        <v>0</v>
      </c>
      <c r="BE55" s="1277">
        <f t="shared" ref="BE55:BE60" si="81">+X55-AI55-AT55</f>
        <v>0</v>
      </c>
      <c r="BF55" s="1277">
        <f t="shared" ref="BF55:BF60" si="82">+Y55-AJ55-AU55</f>
        <v>0</v>
      </c>
      <c r="BG55" s="388">
        <f t="shared" ref="BG55:BG60" si="83">+Z55-AK55-AV55</f>
        <v>0</v>
      </c>
      <c r="BH55" s="1025"/>
      <c r="BI55" s="1282">
        <f t="shared" ref="BI55:BI60" ca="1" si="84">IF($L55=0,0,
IF($L55&lt;=0.5,BT55,
IF($J55="straight line",
IF((LEFT(BI$43,4)*1)-INT($L55)&lt;LEFT($BI$43,4)*1,0,((OFFSET(BT55,0,-INT($L55+0.5),1,1))/$L55)*(IF($L55-INT($L55)&gt;0.5,$L55-0.5-INT($L55),IF($L55-INT($L55)&lt;=0.5,$L55-0.5-INT($L55)+1,0))))
+BT55/$L55*0.5,
IF($J55="Declining Balance",-$BI$42,0))))</f>
        <v>0</v>
      </c>
      <c r="BJ55" s="387">
        <f t="shared" ref="BJ55:BJ60" ca="1" si="85">IF($L55=0,0,
IF($L55&lt;=0.5,BU55,
IF(AND($J55="straight line",$L55&lt;1.51),(BT55-((BT55/$L55)*0.5))+BU55/$L55*0.5,
IF($J55="straight line",
IF((LEFT(BJ$43,4)*1)-INT($L55)&lt;LEFT($BI$43,4)*1,0,((OFFSET(BU55,0,-INT($L55+0.5),1,1))/$L55)*(IF($L55-INT($L55)&gt;0.5,$L55-0.5-INT($L55),IF($L55-INT($L55)&lt;=0.5,$L55-0.5-INT($L55)+1,0))))
+BU55/$L55*0.5
+SUM(OFFSET(BU55,0,MAX(-INT($L55+(0.5-(10^-12))),-BJ$44)+1,1,MIN(INT($L55+(0.5-(10^-12))),BJ$44)-1))*1/$L55,
IF($J55="Declining Balance",-$BI$42,0)))))</f>
        <v>0</v>
      </c>
      <c r="BK55" s="387">
        <f t="shared" ref="BK55:BK60" ca="1" si="86">IF($L55=0,0,
IF($L55&lt;=0.5,BV55,
IF(AND($J55="straight line",$L55&lt;1.51),(BU55-((BU55/$L55)*0.5))+BV55/$L55*0.5,
IF($J55="straight line",
IF((LEFT(BK$43,4)*1)-INT($L55)&lt;LEFT($BI$43,4)*1,0,((OFFSET(BV55,0,-INT($L55+0.5),1,1))/$L55)*(IF($L55-INT($L55)&gt;0.5,$L55-0.5-INT($L55),IF($L55-INT($L55)&lt;=0.5,$L55-0.5-INT($L55)+1,0))))
+BV55/$L55*0.5
+SUM(OFFSET(BV55,0,MAX(-INT($L55+(0.5-(10^-12))),-BK$44)+1,1,MIN(INT($L55+(0.5-(10^-12))),BK$44)-1))*1/$L55,
IF($J55="Declining Balance",-$BI$42,0)))))</f>
        <v>0</v>
      </c>
      <c r="BL55" s="387">
        <f t="shared" ref="BL55:BL60" ca="1" si="87">IF($L55=0,0,
IF($L55&lt;=0.5,BW55,
IF(AND($J55="straight line",$L55&lt;1.51),(BV55-((BV55/$L55)*0.5))+BW55/$L55*0.5,
IF($J55="straight line",
IF((LEFT(BL$43,4)*1)-INT($L55)&lt;LEFT($BI$43,4)*1,0,((OFFSET(BW55,0,-INT($L55+0.5),1,1))/$L55)*(IF($L55-INT($L55)&gt;0.5,$L55-0.5-INT($L55),IF($L55-INT($L55)&lt;=0.5,$L55-0.5-INT($L55)+1,0))))
+BW55/$L55*0.5
+SUM(OFFSET(BW55,0,MAX(-INT($L55+(0.5-(10^-12))),-BL$44)+1,1,MIN(INT($L55+(0.5-(10^-12))),BL$44)-1))*1/$L55,
IF($J55="Declining Balance",-$BI$42,0)))))</f>
        <v>0</v>
      </c>
      <c r="BM55" s="1283">
        <f t="shared" ref="BM55:BM60" ca="1" si="88">IF($L55=0,0,
IF($L55&lt;=0.5,BX55,
IF(AND($J55="straight line",$L55&lt;1.51),(BW55-((BW55/$L55)*0.5))+BX55/$L55*0.5,
IF($J55="straight line",
IF((LEFT(BM$43,4)*1)-INT($L55)&lt;LEFT($BI$43,4)*1,0,((OFFSET(BX55,0,-INT($L55+0.5),1,1))/$L55)*(IF($L55-INT($L55)&gt;0.5,$L55-0.5-INT($L55),IF($L55-INT($L55)&lt;=0.5,$L55-0.5-INT($L55)+1,0))))
+BX55/$L55*0.5
+SUM(OFFSET(BX55,0,MAX(-INT($L55+(0.5-(10^-12))),-BM$44)+1,1,MIN(INT($L55+(0.5-(10^-12))),BM$44)-1))*1/$L55,
IF($J55="Declining Balance",-$BI$42,0)))))</f>
        <v>0</v>
      </c>
      <c r="BN55" s="386">
        <f t="shared" ref="BN55:BN60" ca="1" si="89">IF($L55=0,0,
IF($L55&lt;=0.5,BY55,
IF(AND($J55="straight line",$L55&lt;1.51),(BX55-((BX55/$L55)*0.5))+BY55/$L55*0.5,
IF($J55="straight line",
IF((LEFT(BN$43,4)*1)-INT($L55)&lt;LEFT($BI$43,4)*1,0,((OFFSET(BY55,0,-INT($L55+0.5),1,1))/$L55)*(IF($L55-INT($L55)&gt;0.5,$L55-0.5-INT($L55),IF($L55-INT($L55)&lt;=0.5,$L55-0.5-INT($L55)+1,0))))
+BY55/$L55*0.5
+SUM(OFFSET(BY55,0,MAX(-INT($L55+(0.5-(10^-12))),-BN$44)+1,1,MIN(INT($L55+(0.5-(10^-12))),BN$44)-1))*1/$L55,
IF($J55="Declining Balance",-$BI$42,0)))))</f>
        <v>0.53539863554945766</v>
      </c>
      <c r="BO55" s="387">
        <f t="shared" ref="BO55:BO60" ca="1" si="90">IF($L55=0,0,
IF($L55&lt;=0.5,BZ55,
IF(AND($J55="straight line",$L55&lt;1.51),(BY55-((BY55/$L55)*0.5))+BZ55/$L55*0.5,
IF($J55="straight line",
IF((LEFT(BO$43,4)*1)-INT($L55)&lt;LEFT($BI$43,4)*1,0,((OFFSET(BZ55,0,-INT($L55+0.5),1,1))/$L55)*(IF($L55-INT($L55)&gt;0.5,$L55-0.5-INT($L55),IF($L55-INT($L55)&lt;=0.5,$L55-0.5-INT($L55)+1,0))))
+BZ55/$L55*0.5
+SUM(OFFSET(BZ55,0,MAX(-INT($L55+(0.5-(10^-12))),-BO$44)+1,1,MIN(INT($L55+(0.5-(10^-12))),BO$44)-1))*1/$L55,
IF($J55="Declining Balance",-$BI$42,0)))))</f>
        <v>1.0707972710989153</v>
      </c>
      <c r="BP55" s="1277">
        <f t="shared" ref="BP55:BP60" ca="1" si="91">IF($L55=0,0,
IF($L55&lt;=0.5,CA55,
IF(AND($J55="straight line",$L55&lt;1.51),(BZ55-((BZ55/$L55)*0.5))+CA55/$L55*0.5,
IF($J55="straight line",
IF((LEFT(BP$43,4)*1)-INT($L55)&lt;LEFT($BI$43,4)*1,0,((OFFSET(CA55,0,-INT($L55+0.5),1,1))/$L55)*(IF($L55-INT($L55)&gt;0.5,$L55-0.5-INT($L55),IF($L55-INT($L55)&lt;=0.5,$L55-0.5-INT($L55)+1,0))))
+CA55/$L55*0.5
+SUM(OFFSET(CA55,0,MAX(-INT($L55+(0.5-(10^-12))),-BP$44)+1,1,MIN(INT($L55+(0.5-(10^-12))),BP$44)-1))*1/$L55,
IF($J55="Declining Balance",-$BI$42,0)))))</f>
        <v>1.0707972710989153</v>
      </c>
      <c r="BQ55" s="1277">
        <f t="shared" ref="BQ55:BQ60" ca="1" si="92">IF($L55=0,0,
IF($L55&lt;=0.5,CB55,
IF(AND($J55="straight line",$L55&lt;1.51),(CA55-((CA55/$L55)*0.5))+CB55/$L55*0.5,
IF($J55="straight line",
IF((LEFT(BQ$43,4)*1)-INT($L55)&lt;LEFT($BI$43,4)*1,0,((OFFSET(CB55,0,-INT($L55+0.5),1,1))/$L55)*(IF($L55-INT($L55)&gt;0.5,$L55-0.5-INT($L55),IF($L55-INT($L55)&lt;=0.5,$L55-0.5-INT($L55)+1,0))))
+CB55/$L55*0.5
+SUM(OFFSET(CB55,0,MAX(-INT($L55+(0.5-(10^-12))),-BQ$44)+1,1,MIN(INT($L55+(0.5-(10^-12))),BQ$44)-1))*1/$L55,
IF($J55="Declining Balance",-$BI$42,0)))))</f>
        <v>1.0707972710989153</v>
      </c>
      <c r="BR55" s="388">
        <f t="shared" ref="BR55:BR60" ca="1" si="93">IF($L55=0,0,
IF($L55&lt;=0.5,CC55,
IF(AND($J55="straight line",$L55&lt;1.51),(CB55-((CB55/$L55)*0.5))+CC55/$L55*0.5,
IF($J55="straight line",
IF((LEFT(BR$43,4)*1)-INT($L55)&lt;LEFT($BI$43,4)*1,0,((OFFSET(CC55,0,-INT($L55+0.5),1,1))/$L55)*(IF($L55-INT($L55)&gt;0.5,$L55-0.5-INT($L55),IF($L55-INT($L55)&lt;=0.5,$L55-0.5-INT($L55)+1,0))))
+CC55/$L55*0.5
+SUM(OFFSET(CC55,0,MAX(-INT($L55+(0.5-(10^-12))),-BR$44)+1,1,MIN(INT($L55+(0.5-(10^-12))),BR$44)-1))*1/$L55,
IF($J55="Declining Balance",-$BI$42,0)))))</f>
        <v>1.0707972710989153</v>
      </c>
      <c r="BS55" s="1025"/>
      <c r="BT55" s="1282">
        <f>+IF($K55="Ongoing",AX55,IF(RIGHT($K55,2)=RIGHT(BT$43,2),SUM($AX55:AX55),0)+IF(RIGHT(BT$43,2)&gt;RIGHT($K55,2),AX55,0))</f>
        <v>0</v>
      </c>
      <c r="BU55" s="387">
        <f>+IF($K55="Ongoing",AY55,IF(RIGHT($K55,2)=RIGHT(BU$43,2),SUM($AX55:AY55),0)+IF(RIGHT(BU$43,2)&gt;RIGHT($K55,2),AY55,0))</f>
        <v>0</v>
      </c>
      <c r="BV55" s="387">
        <f>+IF($K55="Ongoing",AZ55,IF(RIGHT($K55,2)=RIGHT(BV$43,2),SUM($AX55:AZ55),0)+IF(RIGHT(BV$43,2)&gt;RIGHT($K55,2),AZ55,0))</f>
        <v>0</v>
      </c>
      <c r="BW55" s="387">
        <f>+IF($K55="Ongoing",BA55,IF(RIGHT($K55,2)=RIGHT(BW$43,2),SUM($AX55:BA55),0)+IF(RIGHT(BW$43,2)&gt;RIGHT($K55,2),BA55,0))</f>
        <v>0</v>
      </c>
      <c r="BX55" s="1283">
        <f>+IF($K55="Ongoing",BB55,IF(RIGHT($K55,2)=RIGHT(BX$43,2),SUM($AX55:BB55),0)+IF(RIGHT(BX$43,2)&gt;RIGHT($K55,2),BB55,0))</f>
        <v>0</v>
      </c>
      <c r="BY55" s="386">
        <f>+IF($K55="Ongoing",BC55,IF(RIGHT($K55,2)=RIGHT(BY$43,2),SUM($AX55:BC55),0)+IF(RIGHT(BY$43,2)&gt;RIGHT($K55,2),BC55,0))</f>
        <v>117.78769982088068</v>
      </c>
      <c r="BZ55" s="387">
        <f>+IF($K55="Ongoing",BD55,IF(RIGHT($K55,2)=RIGHT(BZ$43,2),SUM($AX55:BD55),0)+IF(RIGHT(BZ$43,2)&gt;RIGHT($K55,2),BD55,0))</f>
        <v>0</v>
      </c>
      <c r="CA55" s="1277">
        <f>+IF($K55="Ongoing",BE55,IF(RIGHT($K55,2)=RIGHT(CA$43,2),SUM($AX55:BE55),0)+IF(RIGHT(CA$43,2)&gt;RIGHT($K55,2),BE55,0))</f>
        <v>0</v>
      </c>
      <c r="CB55" s="1277">
        <f>+IF($K55="Ongoing",BF55,IF(RIGHT($K55,2)=RIGHT(CB$43,2),SUM($AX55:BF55),0)+IF(RIGHT(CB$43,2)&gt;RIGHT($K55,2),BF55,0))</f>
        <v>0</v>
      </c>
      <c r="CC55" s="388">
        <f>+IF($K55="Ongoing",BG55,IF(RIGHT($K55,2)=RIGHT(CC$43,2),SUM($AX55:BG55),0)+IF(RIGHT(CC$43,2)&gt;RIGHT($K55,2),BG55,0))</f>
        <v>0</v>
      </c>
      <c r="CD55" s="1025"/>
      <c r="CE55" s="1282">
        <f>+Q55*KeyAssumptionsPriceControl_FO!AF$15</f>
        <v>0.62241951219512204</v>
      </c>
      <c r="CF55" s="387">
        <f>+R55*KeyAssumptionsPriceControl_FO!AG$15</f>
        <v>1.4814955574063058</v>
      </c>
      <c r="CG55" s="387">
        <f>+S55*KeyAssumptionsPriceControl_FO!AH$15</f>
        <v>0.70822714451618529</v>
      </c>
      <c r="CH55" s="387">
        <f>+T55*KeyAssumptionsPriceControl_FO!AI$15</f>
        <v>17.82555901248859</v>
      </c>
      <c r="CI55" s="1283">
        <f>+U55*KeyAssumptionsPriceControl_FO!AJ$15</f>
        <v>74.690467175154936</v>
      </c>
      <c r="CJ55" s="386">
        <f>+V55*KeyAssumptionsPriceControl_FO!AK$15</f>
        <v>40.945770467718333</v>
      </c>
      <c r="CK55" s="387">
        <f>+W55*KeyAssumptionsPriceControl_FO!AL$15</f>
        <v>0</v>
      </c>
      <c r="CL55" s="1277">
        <f>+X55*KeyAssumptionsPriceControl_FO!AM$15</f>
        <v>0</v>
      </c>
      <c r="CM55" s="1277">
        <f>+Y55*KeyAssumptionsPriceControl_FO!AN$15</f>
        <v>0</v>
      </c>
      <c r="CN55" s="388">
        <f>+Z55*KeyAssumptionsPriceControl_FO!AO$15</f>
        <v>0</v>
      </c>
      <c r="CO55" s="1025"/>
      <c r="CP55" s="1282">
        <f t="shared" ref="CP55:CP60" ca="1" si="94">IF($M55="straight line",IF($N55=0,0,
IF($N55&lt;=0.5,CE55,
IF($J55="straight line",
IF((LEFT(CP$43,4)*1)-INT($N55)&lt;LEFT($CP$43,4)*1,0,((OFFSET(CE55,0,-INT($N55+0.5),1,1))/$N55)*(IF($N55-INT($N55)&gt;0.5,$N55-0.5-INT($N55),IF($N55-INT($N55)&lt;=0.5,$N55-0.5-INT($N55)+1,0))))
+CE55/$N55*0.5,
IF($J55="Declining Balance",-$CP$42,0)))),IFERROR(FG55,0))</f>
        <v>0</v>
      </c>
      <c r="CQ55" s="387">
        <f t="shared" ref="CQ55:CQ60" ca="1" si="95">IF($M55="straight line",IF($N55=0,0,
IF($N55&lt;=0.5,CF55,
IF($J55="straight line",
IF((LEFT(CQ$43,4)*1)-INT($N55)&lt;LEFT($CP$43,4)*1,0,((OFFSET(CF55,0,-INT($N55+0.5),1,1))/$N55)*(IF($N55-INT($N55)&gt;0.5,$N55-0.5-INT($N55),IF($N55-INT($N55)&lt;=0.5,$N55-0.5-INT($N55)+1,0))))
+CF55/$N55*0.5,
IF($J55="Declining Balance",-$CP$42,0)))),IFERROR(FH55,0))</f>
        <v>0</v>
      </c>
      <c r="CR55" s="387">
        <f t="shared" ref="CR55:CR60" ca="1" si="96">IF($M55="straight line",IF($N55=0,0,
IF($N55&lt;=0.5,CG55,
IF($J55="straight line",
IF((LEFT(CR$43,4)*1)-INT($N55)&lt;LEFT($CP$43,4)*1,0,((OFFSET(CG55,0,-INT($N55+0.5),1,1))/$N55)*(IF($N55-INT($N55)&gt;0.5,$N55-0.5-INT($N55),IF($N55-INT($N55)&lt;=0.5,$N55-0.5-INT($N55)+1,0))))
+CG55/$N55*0.5,
IF($J55="Declining Balance",-$CP$42,0)))),IFERROR(FI55,0))</f>
        <v>0</v>
      </c>
      <c r="CS55" s="387">
        <f t="shared" ref="CS55:CS60" ca="1" si="97">IF($M55="straight line",IF($N55=0,0,
IF($N55&lt;=0.5,CH55,
IF($J55="straight line",
IF((LEFT(CS$43,4)*1)-INT($N55)&lt;LEFT($CP$43,4)*1,0,((OFFSET(CH55,0,-INT($N55+0.5),1,1))/$N55)*(IF($N55-INT($N55)&gt;0.5,$N55-0.5-INT($N55),IF($N55-INT($N55)&lt;=0.5,$N55-0.5-INT($N55)+1,0))))
+CH55/$N55*0.5,
IF($J55="Declining Balance",-$CP$42,0)))),IFERROR(FJ55,0))</f>
        <v>0</v>
      </c>
      <c r="CT55" s="1283">
        <f t="shared" ref="CT55:CT60" ca="1" si="98">IF($M55="straight line",IF($N55=0,0,
IF($N55&lt;=0.5,CI55,
IF($J55="straight line",
IF((LEFT(CT$43,4)*1)-INT($N55)&lt;LEFT($CP$43,4)*1,0,((OFFSET(CI55,0,-INT($N55+0.5),1,1))/$N55)*(IF($N55-INT($N55)&gt;0.5,$N55-0.5-INT($N55),IF($N55-INT($N55)&lt;=0.5,$N55-0.5-INT($N55)+1,0))))
+CI55/$N55*0.5,
IF($J55="Declining Balance",-$CP$42,0)))),IFERROR(FK55,0))</f>
        <v>0</v>
      </c>
      <c r="CU55" s="386">
        <f t="shared" ref="CU55:CU60" ca="1" si="99">IF($M55="straight line",IF($N55=0,0,
IF($N55&lt;=0.5,CJ55,
IF($J55="straight line",
IF((LEFT(CU$43,4)*1)-INT($N55)&lt;LEFT($CP$43,4)*1,0,((OFFSET(CJ55,0,-INT($N55+0.5),1,1))/$N55)*(IF($N55-INT($N55)&gt;0.5,$N55-0.5-INT($N55),IF($N55-INT($N55)&lt;=0.5,$N55-0.5-INT($N55)+1,0))))
+CJ55/$N55*0.5,
IF($J55="Declining Balance",-$CP$42,0)))),IFERROR(FL55,0))</f>
        <v>0</v>
      </c>
      <c r="CV55" s="387">
        <f t="shared" ref="CV55:CV60" ca="1" si="100">IF($M55="straight line",IF($N55=0,0,
IF($N55&lt;=0.5,CK55,
IF($J55="straight line",
IF((LEFT(CV$43,4)*1)-INT($N55)&lt;LEFT($CP$43,4)*1,0,((OFFSET(CK55,0,-INT($N55+0.5),1,1))/$N55)*(IF($N55-INT($N55)&gt;0.5,$N55-0.5-INT($N55),IF($N55-INT($N55)&lt;=0.5,$N55-0.5-INT($N55)+1,0))))
+CK55/$N55*0.5,
IF($J55="Declining Balance",-$CP$42,0)))),IFERROR(FM55,0))</f>
        <v>0</v>
      </c>
      <c r="CW55" s="1277">
        <f t="shared" ref="CW55:CW60" ca="1" si="101">IF($M55="straight line",IF($N55=0,0,
IF($N55&lt;=0.5,CL55,
IF($J55="straight line",
IF((LEFT(CW$43,4)*1)-INT($N55)&lt;LEFT($CP$43,4)*1,0,((OFFSET(CL55,0,-INT($N55+0.5),1,1))/$N55)*(IF($N55-INT($N55)&gt;0.5,$N55-0.5-INT($N55),IF($N55-INT($N55)&lt;=0.5,$N55-0.5-INT($N55)+1,0))))
+CL55/$N55*0.5,
IF($J55="Declining Balance",-$CP$42,0)))),IFERROR(FN55,0))</f>
        <v>0</v>
      </c>
      <c r="CX55" s="1277">
        <f t="shared" ref="CX55:CX60" ca="1" si="102">IF($M55="straight line",IF($N55=0,0,
IF($N55&lt;=0.5,CM55,
IF($J55="straight line",
IF((LEFT(CX$43,4)*1)-INT($N55)&lt;LEFT($CP$43,4)*1,0,((OFFSET(CM55,0,-INT($N55+0.5),1,1))/$N55)*(IF($N55-INT($N55)&gt;0.5,$N55-0.5-INT($N55),IF($N55-INT($N55)&lt;=0.5,$N55-0.5-INT($N55)+1,0))))
+CM55/$N55*0.5,
IF($J55="Declining Balance",-$CP$42,0)))),IFERROR(FO55,0))</f>
        <v>0</v>
      </c>
      <c r="CY55" s="388">
        <f t="shared" ref="CY55:CY60" ca="1" si="103">IF($M55="straight line",IF($N55=0,0,
IF($N55&lt;=0.5,CN55,
IF($J55="straight line",
IF((LEFT(CY$43,4)*1)-INT($N55)&lt;LEFT($CP$43,4)*1,0,((OFFSET(CN55,0,-INT($N55+0.5),1,1))/$N55)*(IF($N55-INT($N55)&gt;0.5,$N55-0.5-INT($N55),IF($N55-INT($N55)&lt;=0.5,$N55-0.5-INT($N55)+1,0))))
+CN55/$N55*0.5,
IF($J55="Declining Balance",-$CP$42,0)))),IFERROR(FP55,0))</f>
        <v>0</v>
      </c>
      <c r="CZ55" s="347"/>
      <c r="DA55" s="852"/>
      <c r="DB55" s="347"/>
      <c r="DC55" s="1012" t="s">
        <v>532</v>
      </c>
      <c r="DD55" s="841" t="s">
        <v>518</v>
      </c>
      <c r="DE55" s="386">
        <f>+IF($K55="ongoing",CE55,IF(RIGHT($K55,2)=RIGHT(DE$43,2),SUM($CD55:CE55),0)+IF(RIGHT(DE$43,2)&gt;RIGHT($K55,2),CE55,0))</f>
        <v>0</v>
      </c>
      <c r="DF55" s="387">
        <f>+IF($K55="ongoing",CF55,IF(RIGHT($K55,2)=RIGHT(DF$43,2),SUM($CD55:CF55),0)+IF(RIGHT(DF$43,2)&gt;RIGHT($K55,2),CF55,0))</f>
        <v>0</v>
      </c>
      <c r="DG55" s="388">
        <f>+IF($K55="ongoing",CG55,IF(RIGHT($K55,2)=RIGHT(DG$43,2),SUM($CD55:CG55),0)+IF(RIGHT(DG$43,2)&gt;RIGHT($K55,2),CG55,0))</f>
        <v>0</v>
      </c>
      <c r="DH55" s="386">
        <f>+IF($K55="ongoing",CH55,IF(RIGHT($K55,2)=RIGHT(DH$43,2),SUM($CD55:CH55),0)+IF(RIGHT(DH$43,2)&gt;RIGHT($K55,2),CH55,0))</f>
        <v>0</v>
      </c>
      <c r="DI55" s="387">
        <f>+IF($K55="ongoing",CI55,IF(RIGHT($K55,2)=RIGHT(DI$43,2),SUM($CD55:CI55),0)+IF(RIGHT(DI$43,2)&gt;RIGHT($K55,2),CI55,0))</f>
        <v>0</v>
      </c>
      <c r="DJ55" s="387">
        <f>+IF($K55="ongoing",CJ55,IF(RIGHT($K55,2)=RIGHT(DJ$43,2),SUM($CD55:CJ55),0)+IF(RIGHT(DJ$43,2)&gt;RIGHT($K55,2),CJ55,0))</f>
        <v>0</v>
      </c>
      <c r="DK55" s="387">
        <f>+IF($K55="ongoing",CK55,IF(RIGHT($K55,2)=RIGHT(DK$43,2),SUM($CD55:CK55),0)+IF(RIGHT(DK$43,2)&gt;RIGHT($K55,2),CK55,0))</f>
        <v>0</v>
      </c>
      <c r="DL55" s="388">
        <f>+IF($K55="ongoing",CN55,IF(RIGHT($K55,2)=RIGHT(DL$43,2),SUM($CD55:CN55),0)+IF(RIGHT(DL$43,2)&gt;RIGHT($K55,2),CN55,0))</f>
        <v>0</v>
      </c>
      <c r="DM55" s="841"/>
      <c r="DN55" s="386">
        <f t="shared" ref="DN55:DN60" si="104">+MIN(IF($N55&lt;=$DC55,MIN($N55,1),$N55),IF(DN$44=1,0.5,DM55+1))</f>
        <v>0.5</v>
      </c>
      <c r="DO55" s="387">
        <f t="shared" ref="DO55:DO60" si="105">+MIN(IF($N55&lt;=$DC55,MIN($N55,1),$N55),IF(DO$44=1,0.5,DN55+1))</f>
        <v>1</v>
      </c>
      <c r="DP55" s="388">
        <f t="shared" ref="DP55:DP60" si="106">+MIN(IF($N55&lt;=$DC55,MIN($N55,1),$N55),IF(DP$44=1,0.5,DO55+1))</f>
        <v>1</v>
      </c>
      <c r="DQ55" s="386">
        <f t="shared" ref="DQ55:DQ60" si="107">+MIN(IF($N55&lt;=$DC55,MIN($N55,1),$N55),IF(DQ$44=1,0.5,DP55+1))</f>
        <v>1</v>
      </c>
      <c r="DR55" s="387">
        <f t="shared" ref="DR55:DR60" si="108">+MIN(IF($N55&lt;=$DC55,MIN($N55,1),$N55),IF(DR$44=1,0.5,DQ55+1))</f>
        <v>1</v>
      </c>
      <c r="DS55" s="387">
        <f t="shared" ref="DS55:DS60" si="109">+MIN(IF($N55&lt;=$DC55,MIN($N55,1),$N55),IF(DS$44=1,0.5,DR55+1))</f>
        <v>1</v>
      </c>
      <c r="DT55" s="387">
        <f t="shared" ref="DT55:DT60" si="110">+MIN(IF($N55&lt;=$DC55,MIN($N55,1),$N55),IF(DT$44=1,0.5,DS55+1))</f>
        <v>1</v>
      </c>
      <c r="DU55" s="388">
        <f t="shared" ref="DU55:DU60" si="111">+MIN(IF($N55&lt;=$DC55,MIN($N55,1),$N55),IF(DU$44=1,0.5,DT55+1))</f>
        <v>1</v>
      </c>
      <c r="DW55" s="386">
        <f t="shared" ref="DW55:DW60" si="112">+IF(DW$44=1,0,MIN(IF($N55&lt;=$DC55,MIN($N55,1),$N55),IF(DW$44=2,0.5,DV55+1)))</f>
        <v>0</v>
      </c>
      <c r="DX55" s="387">
        <f t="shared" ref="DX55:DX60" si="113">+IF(DX$44=1,0,MIN(IF($N55&lt;=$DC55,MIN($N55,1),$N55),IF(DX$44=2,0.5,DW55+1)))</f>
        <v>0.5</v>
      </c>
      <c r="DY55" s="388">
        <f t="shared" ref="DY55:DY60" si="114">+IF(DY$44=1,0,MIN(IF($N55&lt;=$DC55,MIN($N55,1),$N55),IF(DY$44=2,0.5,DX55+1)))</f>
        <v>1</v>
      </c>
      <c r="DZ55" s="386">
        <f t="shared" ref="DZ55:DZ60" si="115">+IF(DZ$44=1,0,MIN(IF($N55&lt;=$DC55,MIN($N55,1),$N55),IF(DZ$44=2,0.5,DY55+1)))</f>
        <v>1</v>
      </c>
      <c r="EA55" s="387">
        <f t="shared" ref="EA55:EA60" si="116">+IF(EA$44=1,0,MIN(IF($N55&lt;=$DC55,MIN($N55,1),$N55),IF(EA$44=2,0.5,DZ55+1)))</f>
        <v>1</v>
      </c>
      <c r="EB55" s="387">
        <f t="shared" ref="EB55:EB60" si="117">+IF(EB$44=1,0,MIN(IF($N55&lt;=$DC55,MIN($N55,1),$N55),IF(EB$44=2,0.5,EA55+1)))</f>
        <v>1</v>
      </c>
      <c r="EC55" s="387">
        <f t="shared" ref="EC55:EC60" si="118">+IF(EC$44=1,0,MIN(IF($N55&lt;=$DC55,MIN($N55,1),$N55),IF(EC$44=2,0.5,EB55+1)))</f>
        <v>1</v>
      </c>
      <c r="ED55" s="388">
        <f t="shared" ref="ED55:ED60" si="119">+IF(ED$44=1,0,MIN(IF($N55&lt;=$DC55,MIN($N55,1),$N55),IF(ED$44=2,0.5,EC55+1)))</f>
        <v>1</v>
      </c>
      <c r="EF55" s="834">
        <f>+IF(DN55=DM55,0,
IF(AND(EF$44&gt;1,DN55=$N55),1-SUM($EE55:EE55),
IF($N55&lt;=1,
IF($N55&gt;0,1/$N55,0),
IF(EF$44=1,0,VDB(1,0,$N55,INT(EF$44-1-1),MIN($N55,INT(EF$44-1-1)+1),$DC55,IF($DD55="No",1,0))/
IF(DM55&gt;=INT($N55),$N55-INT($N55),1)))*
IF(EF$44=1,0,
IF(INT(DN55)=INT(DM55),DN55-DM55,INT(DN55)-DM55))+
IF($N55&lt;=1,
IF($N55&gt;0,1/$N55,0),VDB(1,0,$N55,INT(EF$44-1),MIN($N55,INT(EF$44-1)+1),$DC55,IF($DD55="No",1,0))/
IF(DN55&gt;INT($N55),$N55-INT($N55),1))*
IF(EF$44=1,DN55,
IF(INT(DN55)=INT(DM55),0,DN55-INT(DN55)))))</f>
        <v>0</v>
      </c>
      <c r="EG55" s="835">
        <f>+IF(DO55=DN55,0,
IF(AND(EG$44&gt;1,DO55=$N55),1-SUM($EE55:EF55),
IF($N55&lt;=1,
IF($N55&gt;0,1/$N55,0),
IF(EG$44=1,0,VDB(1,0,$N55,INT(EG$44-1-1),MIN($N55,INT(EG$44-1-1)+1),$DC55,IF($DD55="No",1,0))/
IF(DN55&gt;=INT($N55),$N55-INT($N55),1)))*
IF(EG$44=1,0,
IF(INT(DO55)=INT(DN55),DO55-DN55,INT(DO55)-DN55))+
IF($N55&lt;=1,
IF($N55&gt;0,1/$N55,0),VDB(1,0,$N55,INT(EG$44-1),MIN($N55,INT(EG$44-1)+1),$DC55,IF($DD55="No",1,0))/
IF(DO55&gt;INT($N55),$N55-INT($N55),1))*
IF(EG$44=1,DO55,
IF(INT(DO55)=INT(DN55),0,DO55-INT(DO55)))))</f>
        <v>0</v>
      </c>
      <c r="EH55" s="836">
        <f>+IF(DP55=DO55,0,
IF(AND(EH$44&gt;1,DP55=$N55),1-SUM($EE55:EG55),
IF($N55&lt;=1,
IF($N55&gt;0,1/$N55,0),
IF(EH$44=1,0,VDB(1,0,$N55,INT(EH$44-1-1),MIN($N55,INT(EH$44-1-1)+1),$DC55,IF($DD55="No",1,0))/
IF(DO55&gt;=INT($N55),$N55-INT($N55),1)))*
IF(EH$44=1,0,
IF(INT(DP55)=INT(DO55),DP55-DO55,INT(DP55)-DO55))+
IF($N55&lt;=1,
IF($N55&gt;0,1/$N55,0),VDB(1,0,$N55,INT(EH$44-1),MIN($N55,INT(EH$44-1)+1),$DC55,IF($DD55="No",1,0))/
IF(DP55&gt;INT($N55),$N55-INT($N55),1))*
IF(EH$44=1,DP55,
IF(INT(DP55)=INT(DO55),0,DP55-INT(DP55)))))</f>
        <v>0</v>
      </c>
      <c r="EI55" s="834">
        <f>+IF(DQ55=DP55,0,
IF(AND(EI$44&gt;1,DQ55=$N55),1-SUM($EE55:EH55),
IF($N55&lt;=1,
IF($N55&gt;0,1/$N55,0),
IF(EI$44=1,0,VDB(1,0,$N55,INT(EI$44-1-1),MIN($N55,INT(EI$44-1-1)+1),$DC55,IF($DD55="No",1,0))/
IF(DP55&gt;=INT($N55),$N55-INT($N55),1)))*
IF(EI$44=1,0,
IF(INT(DQ55)=INT(DP55),DQ55-DP55,INT(DQ55)-DP55))+
IF($N55&lt;=1,
IF($N55&gt;0,1/$N55,0),VDB(1,0,$N55,INT(EI$44-1),MIN($N55,INT(EI$44-1)+1),$DC55,IF($DD55="No",1,0))/
IF(DQ55&gt;INT($N55),$N55-INT($N55),1))*
IF(EI$44=1,DQ55,
IF(INT(DQ55)=INT(DP55),0,DQ55-INT(DQ55)))))</f>
        <v>0</v>
      </c>
      <c r="EJ55" s="835">
        <f>+IF(DR55=DQ55,0,
IF(AND(EJ$44&gt;1,DR55=$N55),1-SUM($EE55:EI55),
IF($N55&lt;=1,
IF($N55&gt;0,1/$N55,0),
IF(EJ$44=1,0,VDB(1,0,$N55,INT(EJ$44-1-1),MIN($N55,INT(EJ$44-1-1)+1),$DC55,IF($DD55="No",1,0))/
IF(DQ55&gt;=INT($N55),$N55-INT($N55),1)))*
IF(EJ$44=1,0,
IF(INT(DR55)=INT(DQ55),DR55-DQ55,INT(DR55)-DQ55))+
IF($N55&lt;=1,
IF($N55&gt;0,1/$N55,0),VDB(1,0,$N55,INT(EJ$44-1),MIN($N55,INT(EJ$44-1)+1),$DC55,IF($DD55="No",1,0))/
IF(DR55&gt;INT($N55),$N55-INT($N55),1))*
IF(EJ$44=1,DR55,
IF(INT(DR55)=INT(DQ55),0,DR55-INT(DR55)))))</f>
        <v>0</v>
      </c>
      <c r="EK55" s="835">
        <f>+IF(DS55=DR55,0,
IF(AND(EK$44&gt;1,DS55=$N55),1-SUM($EE55:EJ55),
IF($N55&lt;=1,
IF($N55&gt;0,1/$N55,0),
IF(EK$44=1,0,VDB(1,0,$N55,INT(EK$44-1-1),MIN($N55,INT(EK$44-1-1)+1),$DC55,IF($DD55="No",1,0))/
IF(DR55&gt;=INT($N55),$N55-INT($N55),1)))*
IF(EK$44=1,0,
IF(INT(DS55)=INT(DR55),DS55-DR55,INT(DS55)-DR55))+
IF($N55&lt;=1,
IF($N55&gt;0,1/$N55,0),VDB(1,0,$N55,INT(EK$44-1),MIN($N55,INT(EK$44-1)+1),$DC55,IF($DD55="No",1,0))/
IF(DS55&gt;INT($N55),$N55-INT($N55),1))*
IF(EK$44=1,DS55,
IF(INT(DS55)=INT(DR55),0,DS55-INT(DS55)))))</f>
        <v>0</v>
      </c>
      <c r="EL55" s="835">
        <f>+IF(DT55=DS55,0,
IF(AND(EL$44&gt;1,DT55=$N55),1-SUM($EE55:EK55),
IF($N55&lt;=1,
IF($N55&gt;0,1/$N55,0),
IF(EL$44=1,0,VDB(1,0,$N55,INT(EL$44-1-1),MIN($N55,INT(EL$44-1-1)+1),$DC55,IF($DD55="No",1,0))/
IF(DS55&gt;=INT($N55),$N55-INT($N55),1)))*
IF(EL$44=1,0,
IF(INT(DT55)=INT(DS55),DT55-DS55,INT(DT55)-DS55))+
IF($N55&lt;=1,
IF($N55&gt;0,1/$N55,0),VDB(1,0,$N55,INT(EL$44-1),MIN($N55,INT(EL$44-1)+1),$DC55,IF($DD55="No",1,0))/
IF(DT55&gt;INT($N55),$N55-INT($N55),1))*
IF(EL$44=1,DT55,
IF(INT(DT55)=INT(DS55),0,DT55-INT(DT55)))))</f>
        <v>0</v>
      </c>
      <c r="EM55" s="836">
        <f>+IF(DU55=DT55,0,
IF(AND(EM$44&gt;1,DU55=$N55),1-SUM($EE55:EL55),
IF($N55&lt;=1,
IF($N55&gt;0,1/$N55,0),
IF(EM$44=1,0,VDB(1,0,$N55,INT(EM$44-1-1),MIN($N55,INT(EM$44-1-1)+1),$DC55,IF($DD55="No",1,0))/
IF(DT55&gt;=INT($N55),$N55-INT($N55),1)))*
IF(EM$44=1,0,
IF(INT(DU55)=INT(DT55),DU55-DT55,INT(DU55)-DT55))+
IF($N55&lt;=1,
IF($N55&gt;0,1/$N55,0),VDB(1,0,$N55,INT(EM$44-1),MIN($N55,INT(EM$44-1)+1),$DC55,IF($DD55="No",1,0))/
IF(DU55&gt;INT($N55),$N55-INT($N55),1))*
IF(EM$44=1,DU55,
IF(INT(DU55)=INT(DT55),0,DU55-INT(DU55)))))</f>
        <v>0</v>
      </c>
      <c r="EN55" s="833"/>
      <c r="EO55" s="834">
        <f>+IF(OR(DW55=DV55,EO$44=1),0,
IF(AND(EO$44&gt;1,DW55=$N55),1-SUM($EN55:EN55),
IF($N55&lt;=1,
IF($N55&gt;0,1/$N55,0),
IF(EO$44=2,0,VDB(1,0,$N55,INT(EO$44-2-1),MIN($N55,INT(EO$44-2-1)+1),$DC55,IF($DD55="No",1,0))/
IF(DV55&gt;=INT($N55),$N55-INT($N55),1)))*
IF(EO$44=2,0,
IF(INT(DW55)=INT(DV55),DW55-DV55,INT(DW55)-DV55))+
IF($N55&lt;=1,
IF($N55&gt;0,1/$N55,0),VDB(1,0,$N55,INT(EO$44-2),MIN($N55,INT(EO$44-2)+1),$DC55,IF($DD55="No",1,0))/
IF(DW55&gt;INT($N55),$N55-INT($N55),1))*
IF(EO$44=2,DW55,
IF(INT(DW55)=INT(DV55),0,DW55-INT(DW55)))))</f>
        <v>0</v>
      </c>
      <c r="EP55" s="835">
        <f>+IF(OR(DX55=DW55,EP$44=1),0,
IF(AND(EP$44&gt;1,DX55=$N55),1-SUM($EN55:EO55),
IF($N55&lt;=1,
IF($N55&gt;0,1/$N55,0),
IF(EP$44=2,0,VDB(1,0,$N55,INT(EP$44-2-1),MIN($N55,INT(EP$44-2-1)+1),$DC55,IF($DD55="No",1,0))/
IF(DW55&gt;=INT($N55),$N55-INT($N55),1)))*
IF(EP$44=2,0,
IF(INT(DX55)=INT(DW55),DX55-DW55,INT(DX55)-DW55))+
IF($N55&lt;=1,
IF($N55&gt;0,1/$N55,0),VDB(1,0,$N55,INT(EP$44-2),MIN($N55,INT(EP$44-2)+1),$DC55,IF($DD55="No",1,0))/
IF(DX55&gt;INT($N55),$N55-INT($N55),1))*
IF(EP$44=2,DX55,
IF(INT(DX55)=INT(DW55),0,DX55-INT(DX55)))))</f>
        <v>0</v>
      </c>
      <c r="EQ55" s="836">
        <f>+IF(OR(DY55=DX55,EQ$44=1),0,
IF(AND(EQ$44&gt;1,DY55=$N55),1-SUM($EN55:EP55),
IF($N55&lt;=1,
IF($N55&gt;0,1/$N55,0),
IF(EQ$44=2,0,VDB(1,0,$N55,INT(EQ$44-2-1),MIN($N55,INT(EQ$44-2-1)+1),$DC55,IF($DD55="No",1,0))/
IF(DX55&gt;=INT($N55),$N55-INT($N55),1)))*
IF(EQ$44=2,0,
IF(INT(DY55)=INT(DX55),DY55-DX55,INT(DY55)-DX55))+
IF($N55&lt;=1,
IF($N55&gt;0,1/$N55,0),VDB(1,0,$N55,INT(EQ$44-2),MIN($N55,INT(EQ$44-2)+1),$DC55,IF($DD55="No",1,0))/
IF(DY55&gt;INT($N55),$N55-INT($N55),1))*
IF(EQ$44=2,DY55,
IF(INT(DY55)=INT(DX55),0,DY55-INT(DY55)))))</f>
        <v>0</v>
      </c>
      <c r="ER55" s="834">
        <f>+IF(OR(DZ55=DY55,ER$44=1),0,
IF(AND(ER$44&gt;1,DZ55=$N55),1-SUM($EN55:EQ55),
IF($N55&lt;=1,
IF($N55&gt;0,1/$N55,0),
IF(ER$44=2,0,VDB(1,0,$N55,INT(ER$44-2-1),MIN($N55,INT(ER$44-2-1)+1),$DC55,IF($DD55="No",1,0))/
IF(DY55&gt;=INT($N55),$N55-INT($N55),1)))*
IF(ER$44=2,0,
IF(INT(DZ55)=INT(DY55),DZ55-DY55,INT(DZ55)-DY55))+
IF($N55&lt;=1,
IF($N55&gt;0,1/$N55,0),VDB(1,0,$N55,INT(ER$44-2),MIN($N55,INT(ER$44-2)+1),$DC55,IF($DD55="No",1,0))/
IF(DZ55&gt;INT($N55),$N55-INT($N55),1))*
IF(ER$44=2,DZ55,
IF(INT(DZ55)=INT(DY55),0,DZ55-INT(DZ55)))))</f>
        <v>0</v>
      </c>
      <c r="ES55" s="835">
        <f>+IF(OR(EA55=DZ55,ES$44=1),0,
IF(AND(ES$44&gt;1,EA55=$N55),1-SUM($EN55:ER55),
IF($N55&lt;=1,
IF($N55&gt;0,1/$N55,0),
IF(ES$44=2,0,VDB(1,0,$N55,INT(ES$44-2-1),MIN($N55,INT(ES$44-2-1)+1),$DC55,IF($DD55="No",1,0))/
IF(DZ55&gt;=INT($N55),$N55-INT($N55),1)))*
IF(ES$44=2,0,
IF(INT(EA55)=INT(DZ55),EA55-DZ55,INT(EA55)-DZ55))+
IF($N55&lt;=1,
IF($N55&gt;0,1/$N55,0),VDB(1,0,$N55,INT(ES$44-2),MIN($N55,INT(ES$44-2)+1),$DC55,IF($DD55="No",1,0))/
IF(EA55&gt;INT($N55),$N55-INT($N55),1))*
IF(ES$44=2,EA55,
IF(INT(EA55)=INT(DZ55),0,EA55-INT(EA55)))))</f>
        <v>0</v>
      </c>
      <c r="ET55" s="835">
        <f>+IF(OR(EB55=EA55,ET$44=1),0,
IF(AND(ET$44&gt;1,EB55=$N55),1-SUM($EN55:ES55),
IF($N55&lt;=1,
IF($N55&gt;0,1/$N55,0),
IF(ET$44=2,0,VDB(1,0,$N55,INT(ET$44-2-1),MIN($N55,INT(ET$44-2-1)+1),$DC55,IF($DD55="No",1,0))/
IF(EA55&gt;=INT($N55),$N55-INT($N55),1)))*
IF(ET$44=2,0,
IF(INT(EB55)=INT(EA55),EB55-EA55,INT(EB55)-EA55))+
IF($N55&lt;=1,
IF($N55&gt;0,1/$N55,0),VDB(1,0,$N55,INT(ET$44-2),MIN($N55,INT(ET$44-2)+1),$DC55,IF($DD55="No",1,0))/
IF(EB55&gt;INT($N55),$N55-INT($N55),1))*
IF(ET$44=2,EB55,
IF(INT(EB55)=INT(EA55),0,EB55-INT(EB55)))))</f>
        <v>0</v>
      </c>
      <c r="EU55" s="835">
        <f>+IF(OR(EC55=EB55,EU$44=1),0,
IF(AND(EU$44&gt;1,EC55=$N55),1-SUM($EN55:ET55),
IF($N55&lt;=1,
IF($N55&gt;0,1/$N55,0),
IF(EU$44=2,0,VDB(1,0,$N55,INT(EU$44-2-1),MIN($N55,INT(EU$44-2-1)+1),$DC55,IF($DD55="No",1,0))/
IF(EB55&gt;=INT($N55),$N55-INT($N55),1)))*
IF(EU$44=2,0,
IF(INT(EC55)=INT(EB55),EC55-EB55,INT(EC55)-EB55))+
IF($N55&lt;=1,
IF($N55&gt;0,1/$N55,0),VDB(1,0,$N55,INT(EU$44-2),MIN($N55,INT(EU$44-2)+1),$DC55,IF($DD55="No",1,0))/
IF(EC55&gt;INT($N55),$N55-INT($N55),1))*
IF(EU$44=2,EC55,
IF(INT(EC55)=INT(EB55),0,EC55-INT(EC55)))))</f>
        <v>0</v>
      </c>
      <c r="EV55" s="836">
        <f>+IF(OR(ED55=EC55,EV$44=1),0,
IF(AND(EV$44&gt;1,ED55=$N55),1-SUM($EN55:EU55),
IF($N55&lt;=1,
IF($N55&gt;0,1/$N55,0),
IF(EV$44=2,0,VDB(1,0,$N55,INT(EV$44-2-1),MIN($N55,INT(EV$44-2-1)+1),$DC55,IF($DD55="No",1,0))/
IF(EC55&gt;=INT($N55),$N55-INT($N55),1)))*
IF(EV$44=2,0,
IF(INT(ED55)=INT(EC55),ED55-EC55,INT(ED55)-EC55))+
IF($N55&lt;=1,
IF($N55&gt;0,1/$N55,0),VDB(1,0,$N55,INT(EV$44-2),MIN($N55,INT(EV$44-2)+1),$DC55,IF($DD55="No",1,0))/
IF(ED55&gt;INT($N55),$N55-INT($N55),1))*
IF(EV$44=2,ED55,
IF(INT(ED55)=INT(EC55),0,ED55-INT(ED55)))))</f>
        <v>0</v>
      </c>
      <c r="EW55" s="833"/>
      <c r="EX55" s="834">
        <f t="shared" ca="1" si="60"/>
        <v>0</v>
      </c>
      <c r="EY55" s="835">
        <f t="shared" ca="1" si="60"/>
        <v>0</v>
      </c>
      <c r="EZ55" s="836">
        <f t="shared" ca="1" si="60"/>
        <v>0</v>
      </c>
      <c r="FA55" s="834">
        <f t="shared" ca="1" si="60"/>
        <v>0</v>
      </c>
      <c r="FB55" s="835">
        <f t="shared" ca="1" si="60"/>
        <v>0</v>
      </c>
      <c r="FC55" s="835">
        <f t="shared" ca="1" si="60"/>
        <v>0</v>
      </c>
      <c r="FD55" s="835">
        <f t="shared" ca="1" si="60"/>
        <v>0</v>
      </c>
      <c r="FE55" s="836">
        <f t="shared" ca="1" si="60"/>
        <v>0</v>
      </c>
      <c r="FG55" s="386">
        <f t="shared" ref="FG55:FG60" ca="1" si="120">-(-$DE55*(-ISBLANK($DE55)+1)*EF55-
IF(FG$44&gt;1,SUMPRODUCT(OFFSET($DF55,0,0,1,FG$44-1)*(-ISBLANK(OFFSET($DF55,0,0,1,FG$44-1))+1),OFFSET($EX55,0,MAX($FG$44:$HY$44)-FG$44,1,FG$44-1)),0))</f>
        <v>0</v>
      </c>
      <c r="FH55" s="387">
        <f t="shared" ref="FH55:FH60" ca="1" si="121">-(-$DE55*(-ISBLANK($DE55)+1)*EG55-
IF(FH$44&gt;1,SUMPRODUCT(OFFSET($DF55,0,0,1,FH$44-1)*(-ISBLANK(OFFSET($DF55,0,0,1,FH$44-1))+1),OFFSET($EX55,0,MAX($FG$44:$HY$44)-FH$44,1,FH$44-1)),0))</f>
        <v>0</v>
      </c>
      <c r="FI55" s="388">
        <f t="shared" ref="FI55:FI60" ca="1" si="122">-(-$DE55*(-ISBLANK($DE55)+1)*EH55-
IF(FI$44&gt;1,SUMPRODUCT(OFFSET($DF55,0,0,1,FI$44-1)*(-ISBLANK(OFFSET($DF55,0,0,1,FI$44-1))+1),OFFSET($EX55,0,MAX($FG$44:$HY$44)-FI$44,1,FI$44-1)),0))</f>
        <v>0</v>
      </c>
      <c r="FJ55" s="386">
        <f t="shared" ref="FJ55:FJ60" ca="1" si="123">-(-$DE55*(-ISBLANK($DE55)+1)*EI55-
IF(FJ$44&gt;1,SUMPRODUCT(OFFSET($DF55,0,0,1,FJ$44-1)*(-ISBLANK(OFFSET($DF55,0,0,1,FJ$44-1))+1),OFFSET($EX55,0,MAX($FG$44:$HY$44)-FJ$44,1,FJ$44-1)),0))</f>
        <v>0</v>
      </c>
      <c r="FK55" s="387">
        <f t="shared" ref="FK55:FK60" ca="1" si="124">-(-$DE55*(-ISBLANK($DE55)+1)*EJ55-
IF(FK$44&gt;1,SUMPRODUCT(OFFSET($DF55,0,0,1,FK$44-1)*(-ISBLANK(OFFSET($DF55,0,0,1,FK$44-1))+1),OFFSET($EX55,0,MAX($FG$44:$HY$44)-FK$44,1,FK$44-1)),0))</f>
        <v>0</v>
      </c>
      <c r="FL55" s="387">
        <f t="shared" ref="FL55:FL60" ca="1" si="125">-(-$DE55*(-ISBLANK($DE55)+1)*EK55-
IF(FL$44&gt;1,SUMPRODUCT(OFFSET($DF55,0,0,1,FL$44-1)*(-ISBLANK(OFFSET($DF55,0,0,1,FL$44-1))+1),OFFSET($EX55,0,MAX($FG$44:$HY$44)-FL$44,1,FL$44-1)),0))</f>
        <v>0</v>
      </c>
      <c r="FM55" s="387">
        <f t="shared" ref="FM55:FM60" ca="1" si="126">-(-$DE55*(-ISBLANK($DE55)+1)*EL55-
IF(FM$44&gt;1,SUMPRODUCT(OFFSET($DF55,0,0,1,FM$44-1)*(-ISBLANK(OFFSET($DF55,0,0,1,FM$44-1))+1),OFFSET($EX55,0,MAX($FG$44:$HY$44)-FM$44,1,FM$44-1)),0))</f>
        <v>0</v>
      </c>
      <c r="FN55" s="388">
        <f t="shared" ref="FN55:FN60" ca="1" si="127">-(-$DE55*(-ISBLANK($DE55)+1)*EM55-
IF(FN$44&gt;1,SUMPRODUCT(OFFSET($DF55,0,0,1,FN$44-1)*(-ISBLANK(OFFSET($DF55,0,0,1,FN$44-1))+1),OFFSET($EX55,0,MAX($FG$44:$HY$44)-FN$44,1,FN$44-1)),0))</f>
        <v>0</v>
      </c>
      <c r="FR55" s="116"/>
    </row>
    <row r="56" spans="2:174">
      <c r="B56" s="1410">
        <f t="shared" si="73"/>
        <v>11</v>
      </c>
      <c r="C56" s="400" t="s">
        <v>533</v>
      </c>
      <c r="D56" s="401"/>
      <c r="E56" s="402" t="s">
        <v>420</v>
      </c>
      <c r="F56" s="402" t="s">
        <v>527</v>
      </c>
      <c r="G56" s="400" t="s">
        <v>522</v>
      </c>
      <c r="H56" s="2088" t="s">
        <v>481</v>
      </c>
      <c r="I56" s="2089"/>
      <c r="J56" s="1967" t="s">
        <v>516</v>
      </c>
      <c r="K56" s="403" t="s">
        <v>362</v>
      </c>
      <c r="L56" s="403">
        <v>100</v>
      </c>
      <c r="M56" s="403" t="s">
        <v>142</v>
      </c>
      <c r="N56" s="403"/>
      <c r="O56" s="347"/>
      <c r="P56" s="347"/>
      <c r="Q56" s="1021">
        <v>2.1566267707317079</v>
      </c>
      <c r="R56" s="1022">
        <v>0.67344843307555036</v>
      </c>
      <c r="S56" s="1022">
        <v>1.0237804790992588</v>
      </c>
      <c r="T56" s="1022">
        <v>17.779349885004432</v>
      </c>
      <c r="U56" s="1023">
        <v>17.857900057468662</v>
      </c>
      <c r="V56" s="1021">
        <v>2.172988102220472E-2</v>
      </c>
      <c r="W56" s="1022">
        <v>0</v>
      </c>
      <c r="X56" s="1022">
        <v>0</v>
      </c>
      <c r="Y56" s="1022">
        <v>0</v>
      </c>
      <c r="Z56" s="1023">
        <v>0</v>
      </c>
      <c r="AA56" s="1024"/>
      <c r="AB56" s="1021">
        <v>0</v>
      </c>
      <c r="AC56" s="1022">
        <v>0</v>
      </c>
      <c r="AD56" s="1022">
        <v>0</v>
      </c>
      <c r="AE56" s="1022">
        <v>0</v>
      </c>
      <c r="AF56" s="1023">
        <v>0</v>
      </c>
      <c r="AG56" s="1021">
        <v>0</v>
      </c>
      <c r="AH56" s="1022">
        <v>0</v>
      </c>
      <c r="AI56" s="1022">
        <v>0</v>
      </c>
      <c r="AJ56" s="1022">
        <v>0</v>
      </c>
      <c r="AK56" s="1023">
        <v>0</v>
      </c>
      <c r="AL56" s="1024"/>
      <c r="AM56" s="1021">
        <v>0</v>
      </c>
      <c r="AN56" s="1022">
        <v>0</v>
      </c>
      <c r="AO56" s="1022">
        <v>0</v>
      </c>
      <c r="AP56" s="1022">
        <v>0</v>
      </c>
      <c r="AQ56" s="1023">
        <v>0</v>
      </c>
      <c r="AR56" s="1021">
        <v>0</v>
      </c>
      <c r="AS56" s="1022">
        <v>0</v>
      </c>
      <c r="AT56" s="1022">
        <v>0</v>
      </c>
      <c r="AU56" s="1022">
        <v>0</v>
      </c>
      <c r="AV56" s="1023">
        <v>0</v>
      </c>
      <c r="AW56" s="1025"/>
      <c r="AX56" s="1282">
        <f t="shared" si="74"/>
        <v>2.1566267707317079</v>
      </c>
      <c r="AY56" s="387">
        <f t="shared" si="75"/>
        <v>0.67344843307555036</v>
      </c>
      <c r="AZ56" s="387">
        <f t="shared" si="76"/>
        <v>1.0237804790992588</v>
      </c>
      <c r="BA56" s="387">
        <f t="shared" si="77"/>
        <v>17.779349885004432</v>
      </c>
      <c r="BB56" s="1283">
        <f t="shared" si="78"/>
        <v>17.857900057468662</v>
      </c>
      <c r="BC56" s="386">
        <f t="shared" si="79"/>
        <v>2.172988102220472E-2</v>
      </c>
      <c r="BD56" s="387">
        <f t="shared" si="80"/>
        <v>0</v>
      </c>
      <c r="BE56" s="1277">
        <f t="shared" si="81"/>
        <v>0</v>
      </c>
      <c r="BF56" s="1277">
        <f t="shared" si="82"/>
        <v>0</v>
      </c>
      <c r="BG56" s="388">
        <f t="shared" si="83"/>
        <v>0</v>
      </c>
      <c r="BH56" s="1025"/>
      <c r="BI56" s="1282">
        <f t="shared" ca="1" si="84"/>
        <v>0</v>
      </c>
      <c r="BJ56" s="387">
        <f t="shared" ca="1" si="85"/>
        <v>0</v>
      </c>
      <c r="BK56" s="387">
        <f t="shared" ca="1" si="86"/>
        <v>0</v>
      </c>
      <c r="BL56" s="387">
        <f t="shared" ca="1" si="87"/>
        <v>0</v>
      </c>
      <c r="BM56" s="1283">
        <f t="shared" ca="1" si="88"/>
        <v>0</v>
      </c>
      <c r="BN56" s="386">
        <f t="shared" ca="1" si="89"/>
        <v>0.19756417753200906</v>
      </c>
      <c r="BO56" s="387">
        <f t="shared" ca="1" si="90"/>
        <v>0.39512835506401811</v>
      </c>
      <c r="BP56" s="1277">
        <f t="shared" ca="1" si="91"/>
        <v>0.39512835506401811</v>
      </c>
      <c r="BQ56" s="1277">
        <f t="shared" ca="1" si="92"/>
        <v>0.39512835506401811</v>
      </c>
      <c r="BR56" s="388">
        <f t="shared" ca="1" si="93"/>
        <v>0.39512835506401811</v>
      </c>
      <c r="BS56" s="1025"/>
      <c r="BT56" s="1282">
        <f>+IF($K56="Ongoing",AX56,IF(RIGHT($K56,2)=RIGHT(BT$43,2),SUM($AX56:AX56),0)+IF(RIGHT(BT$43,2)&gt;RIGHT($K56,2),AX56,0))</f>
        <v>0</v>
      </c>
      <c r="BU56" s="387">
        <f>+IF($K56="Ongoing",AY56,IF(RIGHT($K56,2)=RIGHT(BU$43,2),SUM($AX56:AY56),0)+IF(RIGHT(BU$43,2)&gt;RIGHT($K56,2),AY56,0))</f>
        <v>0</v>
      </c>
      <c r="BV56" s="387">
        <f>+IF($K56="Ongoing",AZ56,IF(RIGHT($K56,2)=RIGHT(BV$43,2),SUM($AX56:AZ56),0)+IF(RIGHT(BV$43,2)&gt;RIGHT($K56,2),AZ56,0))</f>
        <v>0</v>
      </c>
      <c r="BW56" s="387">
        <f>+IF($K56="Ongoing",BA56,IF(RIGHT($K56,2)=RIGHT(BW$43,2),SUM($AX56:BA56),0)+IF(RIGHT(BW$43,2)&gt;RIGHT($K56,2),BA56,0))</f>
        <v>0</v>
      </c>
      <c r="BX56" s="1283">
        <f>+IF($K56="Ongoing",BB56,IF(RIGHT($K56,2)=RIGHT(BX$43,2),SUM($AX56:BB56),0)+IF(RIGHT(BX$43,2)&gt;RIGHT($K56,2),BB56,0))</f>
        <v>0</v>
      </c>
      <c r="BY56" s="386">
        <f>+IF($K56="Ongoing",BC56,IF(RIGHT($K56,2)=RIGHT(BY$43,2),SUM($AX56:BC56),0)+IF(RIGHT(BY$43,2)&gt;RIGHT($K56,2),BC56,0))</f>
        <v>39.512835506401814</v>
      </c>
      <c r="BZ56" s="387">
        <f>+IF($K56="Ongoing",BD56,IF(RIGHT($K56,2)=RIGHT(BZ$43,2),SUM($AX56:BD56),0)+IF(RIGHT(BZ$43,2)&gt;RIGHT($K56,2),BD56,0))</f>
        <v>0</v>
      </c>
      <c r="CA56" s="1277">
        <f>+IF($K56="Ongoing",BE56,IF(RIGHT($K56,2)=RIGHT(CA$43,2),SUM($AX56:BE56),0)+IF(RIGHT(CA$43,2)&gt;RIGHT($K56,2),BE56,0))</f>
        <v>0</v>
      </c>
      <c r="CB56" s="1277">
        <f>+IF($K56="Ongoing",BF56,IF(RIGHT($K56,2)=RIGHT(CB$43,2),SUM($AX56:BF56),0)+IF(RIGHT(CB$43,2)&gt;RIGHT($K56,2),BF56,0))</f>
        <v>0</v>
      </c>
      <c r="CC56" s="388">
        <f>+IF($K56="Ongoing",BG56,IF(RIGHT($K56,2)=RIGHT(CC$43,2),SUM($AX56:BG56),0)+IF(RIGHT(CC$43,2)&gt;RIGHT($K56,2),BG56,0))</f>
        <v>0</v>
      </c>
      <c r="CD56" s="1025"/>
      <c r="CE56" s="1282">
        <f>+Q56*KeyAssumptionsPriceControl_FO!AF$15</f>
        <v>2.2191689470829274</v>
      </c>
      <c r="CF56" s="387">
        <f>+R56*KeyAssumptionsPriceControl_FO!AG$15</f>
        <v>0.71307481232614878</v>
      </c>
      <c r="CG56" s="387">
        <f>+S56*KeyAssumptionsPriceControl_FO!AH$15</f>
        <v>1.1154573479117664</v>
      </c>
      <c r="CH56" s="387">
        <f>+T56*KeyAssumptionsPriceControl_FO!AI$15</f>
        <v>19.933216128438424</v>
      </c>
      <c r="CI56" s="1283">
        <f>+U56*KeyAssumptionsPriceControl_FO!AJ$15</f>
        <v>20.601899387583043</v>
      </c>
      <c r="CJ56" s="386">
        <f>+V56*KeyAssumptionsPriceControl_FO!AK$15</f>
        <v>2.5795835394662552E-2</v>
      </c>
      <c r="CK56" s="387">
        <f>+W56*KeyAssumptionsPriceControl_FO!AL$15</f>
        <v>0</v>
      </c>
      <c r="CL56" s="1277">
        <f>+X56*KeyAssumptionsPriceControl_FO!AM$15</f>
        <v>0</v>
      </c>
      <c r="CM56" s="1277">
        <f>+Y56*KeyAssumptionsPriceControl_FO!AN$15</f>
        <v>0</v>
      </c>
      <c r="CN56" s="388">
        <f>+Z56*KeyAssumptionsPriceControl_FO!AO$15</f>
        <v>0</v>
      </c>
      <c r="CO56" s="1025"/>
      <c r="CP56" s="1282">
        <f t="shared" ca="1" si="94"/>
        <v>0</v>
      </c>
      <c r="CQ56" s="387">
        <f t="shared" ca="1" si="95"/>
        <v>0</v>
      </c>
      <c r="CR56" s="387">
        <f t="shared" ca="1" si="96"/>
        <v>0</v>
      </c>
      <c r="CS56" s="387">
        <f t="shared" ca="1" si="97"/>
        <v>0</v>
      </c>
      <c r="CT56" s="1283">
        <f t="shared" ca="1" si="98"/>
        <v>0</v>
      </c>
      <c r="CU56" s="386">
        <f t="shared" ca="1" si="99"/>
        <v>0</v>
      </c>
      <c r="CV56" s="387">
        <f t="shared" ca="1" si="100"/>
        <v>0</v>
      </c>
      <c r="CW56" s="1277">
        <f t="shared" ca="1" si="101"/>
        <v>0</v>
      </c>
      <c r="CX56" s="1277">
        <f t="shared" ca="1" si="102"/>
        <v>0</v>
      </c>
      <c r="CY56" s="388">
        <f t="shared" ca="1" si="103"/>
        <v>0</v>
      </c>
      <c r="CZ56" s="347"/>
      <c r="DA56" s="852"/>
      <c r="DB56" s="347"/>
      <c r="DC56" s="1012" t="s">
        <v>534</v>
      </c>
      <c r="DD56" s="841" t="s">
        <v>518</v>
      </c>
      <c r="DE56" s="386">
        <f>+IF($K56="ongoing",CE56,IF(RIGHT($K56,2)=RIGHT(DE$43,2),SUM($CD56:CE56),0)+IF(RIGHT(DE$43,2)&gt;RIGHT($K56,2),CE56,0))</f>
        <v>0</v>
      </c>
      <c r="DF56" s="387">
        <f>+IF($K56="ongoing",CF56,IF(RIGHT($K56,2)=RIGHT(DF$43,2),SUM($CD56:CF56),0)+IF(RIGHT(DF$43,2)&gt;RIGHT($K56,2),CF56,0))</f>
        <v>0</v>
      </c>
      <c r="DG56" s="388">
        <f>+IF($K56="ongoing",CG56,IF(RIGHT($K56,2)=RIGHT(DG$43,2),SUM($CD56:CG56),0)+IF(RIGHT(DG$43,2)&gt;RIGHT($K56,2),CG56,0))</f>
        <v>0</v>
      </c>
      <c r="DH56" s="386">
        <f>+IF($K56="ongoing",CH56,IF(RIGHT($K56,2)=RIGHT(DH$43,2),SUM($CD56:CH56),0)+IF(RIGHT(DH$43,2)&gt;RIGHT($K56,2),CH56,0))</f>
        <v>0</v>
      </c>
      <c r="DI56" s="387">
        <f>+IF($K56="ongoing",CI56,IF(RIGHT($K56,2)=RIGHT(DI$43,2),SUM($CD56:CI56),0)+IF(RIGHT(DI$43,2)&gt;RIGHT($K56,2),CI56,0))</f>
        <v>0</v>
      </c>
      <c r="DJ56" s="387">
        <f>+IF($K56="ongoing",CJ56,IF(RIGHT($K56,2)=RIGHT(DJ$43,2),SUM($CD56:CJ56),0)+IF(RIGHT(DJ$43,2)&gt;RIGHT($K56,2),CJ56,0))</f>
        <v>0</v>
      </c>
      <c r="DK56" s="387">
        <f>+IF($K56="ongoing",CK56,IF(RIGHT($K56,2)=RIGHT(DK$43,2),SUM($CD56:CK56),0)+IF(RIGHT(DK$43,2)&gt;RIGHT($K56,2),CK56,0))</f>
        <v>0</v>
      </c>
      <c r="DL56" s="388">
        <f>+IF($K56="ongoing",CN56,IF(RIGHT($K56,2)=RIGHT(DL$43,2),SUM($CD56:CN56),0)+IF(RIGHT(DL$43,2)&gt;RIGHT($K56,2),CN56,0))</f>
        <v>0</v>
      </c>
      <c r="DM56" s="841"/>
      <c r="DN56" s="386">
        <f t="shared" si="104"/>
        <v>0.5</v>
      </c>
      <c r="DO56" s="387">
        <f t="shared" si="105"/>
        <v>1</v>
      </c>
      <c r="DP56" s="388">
        <f t="shared" si="106"/>
        <v>1</v>
      </c>
      <c r="DQ56" s="386">
        <f t="shared" si="107"/>
        <v>1</v>
      </c>
      <c r="DR56" s="387">
        <f t="shared" si="108"/>
        <v>1</v>
      </c>
      <c r="DS56" s="387">
        <f t="shared" si="109"/>
        <v>1</v>
      </c>
      <c r="DT56" s="387">
        <f t="shared" si="110"/>
        <v>1</v>
      </c>
      <c r="DU56" s="388">
        <f t="shared" si="111"/>
        <v>1</v>
      </c>
      <c r="DW56" s="386">
        <f t="shared" si="112"/>
        <v>0</v>
      </c>
      <c r="DX56" s="387">
        <f t="shared" si="113"/>
        <v>0.5</v>
      </c>
      <c r="DY56" s="388">
        <f t="shared" si="114"/>
        <v>1</v>
      </c>
      <c r="DZ56" s="386">
        <f t="shared" si="115"/>
        <v>1</v>
      </c>
      <c r="EA56" s="387">
        <f t="shared" si="116"/>
        <v>1</v>
      </c>
      <c r="EB56" s="387">
        <f t="shared" si="117"/>
        <v>1</v>
      </c>
      <c r="EC56" s="387">
        <f t="shared" si="118"/>
        <v>1</v>
      </c>
      <c r="ED56" s="388">
        <f t="shared" si="119"/>
        <v>1</v>
      </c>
      <c r="EF56" s="834">
        <f>+IF(DN56=DM56,0,
IF(AND(EF$44&gt;1,DN56=$N56),1-SUM($EE56:EE56),
IF($N56&lt;=1,
IF($N56&gt;0,1/$N56,0),
IF(EF$44=1,0,VDB(1,0,$N56,INT(EF$44-1-1),MIN($N56,INT(EF$44-1-1)+1),$DC56,IF($DD56="No",1,0))/
IF(DM56&gt;=INT($N56),$N56-INT($N56),1)))*
IF(EF$44=1,0,
IF(INT(DN56)=INT(DM56),DN56-DM56,INT(DN56)-DM56))+
IF($N56&lt;=1,
IF($N56&gt;0,1/$N56,0),VDB(1,0,$N56,INT(EF$44-1),MIN($N56,INT(EF$44-1)+1),$DC56,IF($DD56="No",1,0))/
IF(DN56&gt;INT($N56),$N56-INT($N56),1))*
IF(EF$44=1,DN56,
IF(INT(DN56)=INT(DM56),0,DN56-INT(DN56)))))</f>
        <v>0</v>
      </c>
      <c r="EG56" s="835">
        <f>+IF(DO56=DN56,0,
IF(AND(EG$44&gt;1,DO56=$N56),1-SUM($EE56:EF56),
IF($N56&lt;=1,
IF($N56&gt;0,1/$N56,0),
IF(EG$44=1,0,VDB(1,0,$N56,INT(EG$44-1-1),MIN($N56,INT(EG$44-1-1)+1),$DC56,IF($DD56="No",1,0))/
IF(DN56&gt;=INT($N56),$N56-INT($N56),1)))*
IF(EG$44=1,0,
IF(INT(DO56)=INT(DN56),DO56-DN56,INT(DO56)-DN56))+
IF($N56&lt;=1,
IF($N56&gt;0,1/$N56,0),VDB(1,0,$N56,INT(EG$44-1),MIN($N56,INT(EG$44-1)+1),$DC56,IF($DD56="No",1,0))/
IF(DO56&gt;INT($N56),$N56-INT($N56),1))*
IF(EG$44=1,DO56,
IF(INT(DO56)=INT(DN56),0,DO56-INT(DO56)))))</f>
        <v>0</v>
      </c>
      <c r="EH56" s="836">
        <f>+IF(DP56=DO56,0,
IF(AND(EH$44&gt;1,DP56=$N56),1-SUM($EE56:EG56),
IF($N56&lt;=1,
IF($N56&gt;0,1/$N56,0),
IF(EH$44=1,0,VDB(1,0,$N56,INT(EH$44-1-1),MIN($N56,INT(EH$44-1-1)+1),$DC56,IF($DD56="No",1,0))/
IF(DO56&gt;=INT($N56),$N56-INT($N56),1)))*
IF(EH$44=1,0,
IF(INT(DP56)=INT(DO56),DP56-DO56,INT(DP56)-DO56))+
IF($N56&lt;=1,
IF($N56&gt;0,1/$N56,0),VDB(1,0,$N56,INT(EH$44-1),MIN($N56,INT(EH$44-1)+1),$DC56,IF($DD56="No",1,0))/
IF(DP56&gt;INT($N56),$N56-INT($N56),1))*
IF(EH$44=1,DP56,
IF(INT(DP56)=INT(DO56),0,DP56-INT(DP56)))))</f>
        <v>0</v>
      </c>
      <c r="EI56" s="834">
        <f>+IF(DQ56=DP56,0,
IF(AND(EI$44&gt;1,DQ56=$N56),1-SUM($EE56:EH56),
IF($N56&lt;=1,
IF($N56&gt;0,1/$N56,0),
IF(EI$44=1,0,VDB(1,0,$N56,INT(EI$44-1-1),MIN($N56,INT(EI$44-1-1)+1),$DC56,IF($DD56="No",1,0))/
IF(DP56&gt;=INT($N56),$N56-INT($N56),1)))*
IF(EI$44=1,0,
IF(INT(DQ56)=INT(DP56),DQ56-DP56,INT(DQ56)-DP56))+
IF($N56&lt;=1,
IF($N56&gt;0,1/$N56,0),VDB(1,0,$N56,INT(EI$44-1),MIN($N56,INT(EI$44-1)+1),$DC56,IF($DD56="No",1,0))/
IF(DQ56&gt;INT($N56),$N56-INT($N56),1))*
IF(EI$44=1,DQ56,
IF(INT(DQ56)=INT(DP56),0,DQ56-INT(DQ56)))))</f>
        <v>0</v>
      </c>
      <c r="EJ56" s="835">
        <f>+IF(DR56=DQ56,0,
IF(AND(EJ$44&gt;1,DR56=$N56),1-SUM($EE56:EI56),
IF($N56&lt;=1,
IF($N56&gt;0,1/$N56,0),
IF(EJ$44=1,0,VDB(1,0,$N56,INT(EJ$44-1-1),MIN($N56,INT(EJ$44-1-1)+1),$DC56,IF($DD56="No",1,0))/
IF(DQ56&gt;=INT($N56),$N56-INT($N56),1)))*
IF(EJ$44=1,0,
IF(INT(DR56)=INT(DQ56),DR56-DQ56,INT(DR56)-DQ56))+
IF($N56&lt;=1,
IF($N56&gt;0,1/$N56,0),VDB(1,0,$N56,INT(EJ$44-1),MIN($N56,INT(EJ$44-1)+1),$DC56,IF($DD56="No",1,0))/
IF(DR56&gt;INT($N56),$N56-INT($N56),1))*
IF(EJ$44=1,DR56,
IF(INT(DR56)=INT(DQ56),0,DR56-INT(DR56)))))</f>
        <v>0</v>
      </c>
      <c r="EK56" s="835">
        <f>+IF(DS56=DR56,0,
IF(AND(EK$44&gt;1,DS56=$N56),1-SUM($EE56:EJ56),
IF($N56&lt;=1,
IF($N56&gt;0,1/$N56,0),
IF(EK$44=1,0,VDB(1,0,$N56,INT(EK$44-1-1),MIN($N56,INT(EK$44-1-1)+1),$DC56,IF($DD56="No",1,0))/
IF(DR56&gt;=INT($N56),$N56-INT($N56),1)))*
IF(EK$44=1,0,
IF(INT(DS56)=INT(DR56),DS56-DR56,INT(DS56)-DR56))+
IF($N56&lt;=1,
IF($N56&gt;0,1/$N56,0),VDB(1,0,$N56,INT(EK$44-1),MIN($N56,INT(EK$44-1)+1),$DC56,IF($DD56="No",1,0))/
IF(DS56&gt;INT($N56),$N56-INT($N56),1))*
IF(EK$44=1,DS56,
IF(INT(DS56)=INT(DR56),0,DS56-INT(DS56)))))</f>
        <v>0</v>
      </c>
      <c r="EL56" s="835">
        <f>+IF(DT56=DS56,0,
IF(AND(EL$44&gt;1,DT56=$N56),1-SUM($EE56:EK56),
IF($N56&lt;=1,
IF($N56&gt;0,1/$N56,0),
IF(EL$44=1,0,VDB(1,0,$N56,INT(EL$44-1-1),MIN($N56,INT(EL$44-1-1)+1),$DC56,IF($DD56="No",1,0))/
IF(DS56&gt;=INT($N56),$N56-INT($N56),1)))*
IF(EL$44=1,0,
IF(INT(DT56)=INT(DS56),DT56-DS56,INT(DT56)-DS56))+
IF($N56&lt;=1,
IF($N56&gt;0,1/$N56,0),VDB(1,0,$N56,INT(EL$44-1),MIN($N56,INT(EL$44-1)+1),$DC56,IF($DD56="No",1,0))/
IF(DT56&gt;INT($N56),$N56-INT($N56),1))*
IF(EL$44=1,DT56,
IF(INT(DT56)=INT(DS56),0,DT56-INT(DT56)))))</f>
        <v>0</v>
      </c>
      <c r="EM56" s="836">
        <f>+IF(DU56=DT56,0,
IF(AND(EM$44&gt;1,DU56=$N56),1-SUM($EE56:EL56),
IF($N56&lt;=1,
IF($N56&gt;0,1/$N56,0),
IF(EM$44=1,0,VDB(1,0,$N56,INT(EM$44-1-1),MIN($N56,INT(EM$44-1-1)+1),$DC56,IF($DD56="No",1,0))/
IF(DT56&gt;=INT($N56),$N56-INT($N56),1)))*
IF(EM$44=1,0,
IF(INT(DU56)=INT(DT56),DU56-DT56,INT(DU56)-DT56))+
IF($N56&lt;=1,
IF($N56&gt;0,1/$N56,0),VDB(1,0,$N56,INT(EM$44-1),MIN($N56,INT(EM$44-1)+1),$DC56,IF($DD56="No",1,0))/
IF(DU56&gt;INT($N56),$N56-INT($N56),1))*
IF(EM$44=1,DU56,
IF(INT(DU56)=INT(DT56),0,DU56-INT(DU56)))))</f>
        <v>0</v>
      </c>
      <c r="EN56" s="833"/>
      <c r="EO56" s="834">
        <f>+IF(OR(DW56=DV56,EO$44=1),0,
IF(AND(EO$44&gt;1,DW56=$N56),1-SUM($EN56:EN56),
IF($N56&lt;=1,
IF($N56&gt;0,1/$N56,0),
IF(EO$44=2,0,VDB(1,0,$N56,INT(EO$44-2-1),MIN($N56,INT(EO$44-2-1)+1),$DC56,IF($DD56="No",1,0))/
IF(DV56&gt;=INT($N56),$N56-INT($N56),1)))*
IF(EO$44=2,0,
IF(INT(DW56)=INT(DV56),DW56-DV56,INT(DW56)-DV56))+
IF($N56&lt;=1,
IF($N56&gt;0,1/$N56,0),VDB(1,0,$N56,INT(EO$44-2),MIN($N56,INT(EO$44-2)+1),$DC56,IF($DD56="No",1,0))/
IF(DW56&gt;INT($N56),$N56-INT($N56),1))*
IF(EO$44=2,DW56,
IF(INT(DW56)=INT(DV56),0,DW56-INT(DW56)))))</f>
        <v>0</v>
      </c>
      <c r="EP56" s="835">
        <f>+IF(OR(DX56=DW56,EP$44=1),0,
IF(AND(EP$44&gt;1,DX56=$N56),1-SUM($EN56:EO56),
IF($N56&lt;=1,
IF($N56&gt;0,1/$N56,0),
IF(EP$44=2,0,VDB(1,0,$N56,INT(EP$44-2-1),MIN($N56,INT(EP$44-2-1)+1),$DC56,IF($DD56="No",1,0))/
IF(DW56&gt;=INT($N56),$N56-INT($N56),1)))*
IF(EP$44=2,0,
IF(INT(DX56)=INT(DW56),DX56-DW56,INT(DX56)-DW56))+
IF($N56&lt;=1,
IF($N56&gt;0,1/$N56,0),VDB(1,0,$N56,INT(EP$44-2),MIN($N56,INT(EP$44-2)+1),$DC56,IF($DD56="No",1,0))/
IF(DX56&gt;INT($N56),$N56-INT($N56),1))*
IF(EP$44=2,DX56,
IF(INT(DX56)=INT(DW56),0,DX56-INT(DX56)))))</f>
        <v>0</v>
      </c>
      <c r="EQ56" s="836">
        <f>+IF(OR(DY56=DX56,EQ$44=1),0,
IF(AND(EQ$44&gt;1,DY56=$N56),1-SUM($EN56:EP56),
IF($N56&lt;=1,
IF($N56&gt;0,1/$N56,0),
IF(EQ$44=2,0,VDB(1,0,$N56,INT(EQ$44-2-1),MIN($N56,INT(EQ$44-2-1)+1),$DC56,IF($DD56="No",1,0))/
IF(DX56&gt;=INT($N56),$N56-INT($N56),1)))*
IF(EQ$44=2,0,
IF(INT(DY56)=INT(DX56),DY56-DX56,INT(DY56)-DX56))+
IF($N56&lt;=1,
IF($N56&gt;0,1/$N56,0),VDB(1,0,$N56,INT(EQ$44-2),MIN($N56,INT(EQ$44-2)+1),$DC56,IF($DD56="No",1,0))/
IF(DY56&gt;INT($N56),$N56-INT($N56),1))*
IF(EQ$44=2,DY56,
IF(INT(DY56)=INT(DX56),0,DY56-INT(DY56)))))</f>
        <v>0</v>
      </c>
      <c r="ER56" s="834">
        <f>+IF(OR(DZ56=DY56,ER$44=1),0,
IF(AND(ER$44&gt;1,DZ56=$N56),1-SUM($EN56:EQ56),
IF($N56&lt;=1,
IF($N56&gt;0,1/$N56,0),
IF(ER$44=2,0,VDB(1,0,$N56,INT(ER$44-2-1),MIN($N56,INT(ER$44-2-1)+1),$DC56,IF($DD56="No",1,0))/
IF(DY56&gt;=INT($N56),$N56-INT($N56),1)))*
IF(ER$44=2,0,
IF(INT(DZ56)=INT(DY56),DZ56-DY56,INT(DZ56)-DY56))+
IF($N56&lt;=1,
IF($N56&gt;0,1/$N56,0),VDB(1,0,$N56,INT(ER$44-2),MIN($N56,INT(ER$44-2)+1),$DC56,IF($DD56="No",1,0))/
IF(DZ56&gt;INT($N56),$N56-INT($N56),1))*
IF(ER$44=2,DZ56,
IF(INT(DZ56)=INT(DY56),0,DZ56-INT(DZ56)))))</f>
        <v>0</v>
      </c>
      <c r="ES56" s="835">
        <f>+IF(OR(EA56=DZ56,ES$44=1),0,
IF(AND(ES$44&gt;1,EA56=$N56),1-SUM($EN56:ER56),
IF($N56&lt;=1,
IF($N56&gt;0,1/$N56,0),
IF(ES$44=2,0,VDB(1,0,$N56,INT(ES$44-2-1),MIN($N56,INT(ES$44-2-1)+1),$DC56,IF($DD56="No",1,0))/
IF(DZ56&gt;=INT($N56),$N56-INT($N56),1)))*
IF(ES$44=2,0,
IF(INT(EA56)=INT(DZ56),EA56-DZ56,INT(EA56)-DZ56))+
IF($N56&lt;=1,
IF($N56&gt;0,1/$N56,0),VDB(1,0,$N56,INT(ES$44-2),MIN($N56,INT(ES$44-2)+1),$DC56,IF($DD56="No",1,0))/
IF(EA56&gt;INT($N56),$N56-INT($N56),1))*
IF(ES$44=2,EA56,
IF(INT(EA56)=INT(DZ56),0,EA56-INT(EA56)))))</f>
        <v>0</v>
      </c>
      <c r="ET56" s="835">
        <f>+IF(OR(EB56=EA56,ET$44=1),0,
IF(AND(ET$44&gt;1,EB56=$N56),1-SUM($EN56:ES56),
IF($N56&lt;=1,
IF($N56&gt;0,1/$N56,0),
IF(ET$44=2,0,VDB(1,0,$N56,INT(ET$44-2-1),MIN($N56,INT(ET$44-2-1)+1),$DC56,IF($DD56="No",1,0))/
IF(EA56&gt;=INT($N56),$N56-INT($N56),1)))*
IF(ET$44=2,0,
IF(INT(EB56)=INT(EA56),EB56-EA56,INT(EB56)-EA56))+
IF($N56&lt;=1,
IF($N56&gt;0,1/$N56,0),VDB(1,0,$N56,INT(ET$44-2),MIN($N56,INT(ET$44-2)+1),$DC56,IF($DD56="No",1,0))/
IF(EB56&gt;INT($N56),$N56-INT($N56),1))*
IF(ET$44=2,EB56,
IF(INT(EB56)=INT(EA56),0,EB56-INT(EB56)))))</f>
        <v>0</v>
      </c>
      <c r="EU56" s="835">
        <f>+IF(OR(EC56=EB56,EU$44=1),0,
IF(AND(EU$44&gt;1,EC56=$N56),1-SUM($EN56:ET56),
IF($N56&lt;=1,
IF($N56&gt;0,1/$N56,0),
IF(EU$44=2,0,VDB(1,0,$N56,INT(EU$44-2-1),MIN($N56,INT(EU$44-2-1)+1),$DC56,IF($DD56="No",1,0))/
IF(EB56&gt;=INT($N56),$N56-INT($N56),1)))*
IF(EU$44=2,0,
IF(INT(EC56)=INT(EB56),EC56-EB56,INT(EC56)-EB56))+
IF($N56&lt;=1,
IF($N56&gt;0,1/$N56,0),VDB(1,0,$N56,INT(EU$44-2),MIN($N56,INT(EU$44-2)+1),$DC56,IF($DD56="No",1,0))/
IF(EC56&gt;INT($N56),$N56-INT($N56),1))*
IF(EU$44=2,EC56,
IF(INT(EC56)=INT(EB56),0,EC56-INT(EC56)))))</f>
        <v>0</v>
      </c>
      <c r="EV56" s="836">
        <f>+IF(OR(ED56=EC56,EV$44=1),0,
IF(AND(EV$44&gt;1,ED56=$N56),1-SUM($EN56:EU56),
IF($N56&lt;=1,
IF($N56&gt;0,1/$N56,0),
IF(EV$44=2,0,VDB(1,0,$N56,INT(EV$44-2-1),MIN($N56,INT(EV$44-2-1)+1),$DC56,IF($DD56="No",1,0))/
IF(EC56&gt;=INT($N56),$N56-INT($N56),1)))*
IF(EV$44=2,0,
IF(INT(ED56)=INT(EC56),ED56-EC56,INT(ED56)-EC56))+
IF($N56&lt;=1,
IF($N56&gt;0,1/$N56,0),VDB(1,0,$N56,INT(EV$44-2),MIN($N56,INT(EV$44-2)+1),$DC56,IF($DD56="No",1,0))/
IF(ED56&gt;INT($N56),$N56-INT($N56),1))*
IF(EV$44=2,ED56,
IF(INT(ED56)=INT(EC56),0,ED56-INT(ED56)))))</f>
        <v>0</v>
      </c>
      <c r="EW56" s="833"/>
      <c r="EX56" s="834">
        <f t="shared" ca="1" si="60"/>
        <v>0</v>
      </c>
      <c r="EY56" s="835">
        <f t="shared" ca="1" si="60"/>
        <v>0</v>
      </c>
      <c r="EZ56" s="836">
        <f t="shared" ca="1" si="60"/>
        <v>0</v>
      </c>
      <c r="FA56" s="834">
        <f t="shared" ca="1" si="60"/>
        <v>0</v>
      </c>
      <c r="FB56" s="835">
        <f t="shared" ca="1" si="60"/>
        <v>0</v>
      </c>
      <c r="FC56" s="835">
        <f t="shared" ca="1" si="60"/>
        <v>0</v>
      </c>
      <c r="FD56" s="835">
        <f t="shared" ca="1" si="60"/>
        <v>0</v>
      </c>
      <c r="FE56" s="836">
        <f t="shared" ca="1" si="60"/>
        <v>0</v>
      </c>
      <c r="FG56" s="386">
        <f t="shared" ca="1" si="120"/>
        <v>0</v>
      </c>
      <c r="FH56" s="387">
        <f t="shared" ca="1" si="121"/>
        <v>0</v>
      </c>
      <c r="FI56" s="388">
        <f t="shared" ca="1" si="122"/>
        <v>0</v>
      </c>
      <c r="FJ56" s="386">
        <f t="shared" ca="1" si="123"/>
        <v>0</v>
      </c>
      <c r="FK56" s="387">
        <f t="shared" ca="1" si="124"/>
        <v>0</v>
      </c>
      <c r="FL56" s="387">
        <f t="shared" ca="1" si="125"/>
        <v>0</v>
      </c>
      <c r="FM56" s="387">
        <f t="shared" ca="1" si="126"/>
        <v>0</v>
      </c>
      <c r="FN56" s="388">
        <f t="shared" ca="1" si="127"/>
        <v>0</v>
      </c>
      <c r="FR56" s="116"/>
    </row>
    <row r="57" spans="2:174">
      <c r="B57" s="1410">
        <f t="shared" si="73"/>
        <v>12</v>
      </c>
      <c r="C57" s="400" t="s">
        <v>535</v>
      </c>
      <c r="D57" s="401"/>
      <c r="E57" s="402" t="s">
        <v>420</v>
      </c>
      <c r="F57" s="402" t="s">
        <v>514</v>
      </c>
      <c r="G57" s="400" t="s">
        <v>522</v>
      </c>
      <c r="H57" s="2088" t="s">
        <v>481</v>
      </c>
      <c r="I57" s="2089"/>
      <c r="J57" s="1967" t="s">
        <v>516</v>
      </c>
      <c r="K57" s="403" t="s">
        <v>110</v>
      </c>
      <c r="L57" s="403">
        <v>100</v>
      </c>
      <c r="M57" s="403" t="s">
        <v>142</v>
      </c>
      <c r="N57" s="403"/>
      <c r="O57" s="347"/>
      <c r="P57" s="347"/>
      <c r="Q57" s="1021">
        <v>32.631786000000005</v>
      </c>
      <c r="R57" s="1022">
        <v>27.994784685306374</v>
      </c>
      <c r="S57" s="1022">
        <v>8.7752644331916265</v>
      </c>
      <c r="T57" s="1022">
        <v>0</v>
      </c>
      <c r="U57" s="1023">
        <v>0</v>
      </c>
      <c r="V57" s="1021">
        <v>0</v>
      </c>
      <c r="W57" s="1022">
        <v>0</v>
      </c>
      <c r="X57" s="1022">
        <v>0</v>
      </c>
      <c r="Y57" s="1022">
        <v>0</v>
      </c>
      <c r="Z57" s="1023">
        <v>0</v>
      </c>
      <c r="AA57" s="1024"/>
      <c r="AB57" s="1021">
        <v>0</v>
      </c>
      <c r="AC57" s="1022">
        <v>0</v>
      </c>
      <c r="AD57" s="1022">
        <v>0</v>
      </c>
      <c r="AE57" s="1022">
        <v>0</v>
      </c>
      <c r="AF57" s="1023">
        <v>0</v>
      </c>
      <c r="AG57" s="1021">
        <v>0</v>
      </c>
      <c r="AH57" s="1022">
        <v>0</v>
      </c>
      <c r="AI57" s="1022">
        <v>0</v>
      </c>
      <c r="AJ57" s="1022">
        <v>0</v>
      </c>
      <c r="AK57" s="1023">
        <v>0</v>
      </c>
      <c r="AL57" s="1024"/>
      <c r="AM57" s="1021">
        <v>0</v>
      </c>
      <c r="AN57" s="1022">
        <v>0</v>
      </c>
      <c r="AO57" s="1022">
        <v>0</v>
      </c>
      <c r="AP57" s="1022">
        <v>0</v>
      </c>
      <c r="AQ57" s="1023">
        <v>0</v>
      </c>
      <c r="AR57" s="1021">
        <v>0</v>
      </c>
      <c r="AS57" s="1022">
        <v>0</v>
      </c>
      <c r="AT57" s="1022">
        <v>0</v>
      </c>
      <c r="AU57" s="1022">
        <v>0</v>
      </c>
      <c r="AV57" s="1023">
        <v>0</v>
      </c>
      <c r="AW57" s="1025"/>
      <c r="AX57" s="1282">
        <f t="shared" si="74"/>
        <v>32.631786000000005</v>
      </c>
      <c r="AY57" s="387">
        <f t="shared" si="75"/>
        <v>27.994784685306374</v>
      </c>
      <c r="AZ57" s="387">
        <f t="shared" si="76"/>
        <v>8.7752644331916265</v>
      </c>
      <c r="BA57" s="387">
        <f t="shared" si="77"/>
        <v>0</v>
      </c>
      <c r="BB57" s="1283">
        <f t="shared" si="78"/>
        <v>0</v>
      </c>
      <c r="BC57" s="386">
        <f t="shared" si="79"/>
        <v>0</v>
      </c>
      <c r="BD57" s="387">
        <f t="shared" si="80"/>
        <v>0</v>
      </c>
      <c r="BE57" s="1277">
        <f t="shared" si="81"/>
        <v>0</v>
      </c>
      <c r="BF57" s="1277">
        <f t="shared" si="82"/>
        <v>0</v>
      </c>
      <c r="BG57" s="388">
        <f t="shared" si="83"/>
        <v>0</v>
      </c>
      <c r="BH57" s="1025"/>
      <c r="BI57" s="1282">
        <f t="shared" ca="1" si="84"/>
        <v>0</v>
      </c>
      <c r="BJ57" s="387">
        <f t="shared" ca="1" si="85"/>
        <v>0</v>
      </c>
      <c r="BK57" s="387">
        <f t="shared" ca="1" si="86"/>
        <v>0.34700917559249</v>
      </c>
      <c r="BL57" s="387">
        <f t="shared" ca="1" si="87"/>
        <v>0.69401835118498001</v>
      </c>
      <c r="BM57" s="1283">
        <f t="shared" ca="1" si="88"/>
        <v>0.69401835118498001</v>
      </c>
      <c r="BN57" s="386">
        <f t="shared" ca="1" si="89"/>
        <v>0.69401835118498001</v>
      </c>
      <c r="BO57" s="387">
        <f t="shared" ca="1" si="90"/>
        <v>0.69401835118498001</v>
      </c>
      <c r="BP57" s="1277">
        <f t="shared" ca="1" si="91"/>
        <v>0.69401835118498001</v>
      </c>
      <c r="BQ57" s="1277">
        <f t="shared" ca="1" si="92"/>
        <v>0.69401835118498001</v>
      </c>
      <c r="BR57" s="388">
        <f t="shared" ca="1" si="93"/>
        <v>0.69401835118498001</v>
      </c>
      <c r="BS57" s="1025"/>
      <c r="BT57" s="1282">
        <f>+IF($K57="Ongoing",AX57,IF(RIGHT($K57,2)=RIGHT(BT$43,2),SUM($AX57:AX57),0)+IF(RIGHT(BT$43,2)&gt;RIGHT($K57,2),AX57,0))</f>
        <v>0</v>
      </c>
      <c r="BU57" s="387">
        <f>+IF($K57="Ongoing",AY57,IF(RIGHT($K57,2)=RIGHT(BU$43,2),SUM($AX57:AY57),0)+IF(RIGHT(BU$43,2)&gt;RIGHT($K57,2),AY57,0))</f>
        <v>0</v>
      </c>
      <c r="BV57" s="387">
        <f>+IF($K57="Ongoing",AZ57,IF(RIGHT($K57,2)=RIGHT(BV$43,2),SUM($AX57:AZ57),0)+IF(RIGHT(BV$43,2)&gt;RIGHT($K57,2),AZ57,0))</f>
        <v>69.401835118497999</v>
      </c>
      <c r="BW57" s="387">
        <f>+IF($K57="Ongoing",BA57,IF(RIGHT($K57,2)=RIGHT(BW$43,2),SUM($AX57:BA57),0)+IF(RIGHT(BW$43,2)&gt;RIGHT($K57,2),BA57,0))</f>
        <v>0</v>
      </c>
      <c r="BX57" s="1283">
        <f>+IF($K57="Ongoing",BB57,IF(RIGHT($K57,2)=RIGHT(BX$43,2),SUM($AX57:BB57),0)+IF(RIGHT(BX$43,2)&gt;RIGHT($K57,2),BB57,0))</f>
        <v>0</v>
      </c>
      <c r="BY57" s="386">
        <f>+IF($K57="Ongoing",BC57,IF(RIGHT($K57,2)=RIGHT(BY$43,2),SUM($AX57:BC57),0)+IF(RIGHT(BY$43,2)&gt;RIGHT($K57,2),BC57,0))</f>
        <v>0</v>
      </c>
      <c r="BZ57" s="387">
        <f>+IF($K57="Ongoing",BD57,IF(RIGHT($K57,2)=RIGHT(BZ$43,2),SUM($AX57:BD57),0)+IF(RIGHT(BZ$43,2)&gt;RIGHT($K57,2),BD57,0))</f>
        <v>0</v>
      </c>
      <c r="CA57" s="1277">
        <f>+IF($K57="Ongoing",BE57,IF(RIGHT($K57,2)=RIGHT(CA$43,2),SUM($AX57:BE57),0)+IF(RIGHT(CA$43,2)&gt;RIGHT($K57,2),BE57,0))</f>
        <v>0</v>
      </c>
      <c r="CB57" s="1277">
        <f>+IF($K57="Ongoing",BF57,IF(RIGHT($K57,2)=RIGHT(CB$43,2),SUM($AX57:BF57),0)+IF(RIGHT(CB$43,2)&gt;RIGHT($K57,2),BF57,0))</f>
        <v>0</v>
      </c>
      <c r="CC57" s="388">
        <f>+IF($K57="Ongoing",BG57,IF(RIGHT($K57,2)=RIGHT(CC$43,2),SUM($AX57:BG57),0)+IF(RIGHT(CC$43,2)&gt;RIGHT($K57,2),BG57,0))</f>
        <v>0</v>
      </c>
      <c r="CD57" s="1025"/>
      <c r="CE57" s="1282">
        <f>+Q57*KeyAssumptionsPriceControl_FO!AF$15</f>
        <v>33.578107794000005</v>
      </c>
      <c r="CF57" s="387">
        <f>+R57*KeyAssumptionsPriceControl_FO!AG$15</f>
        <v>29.642025810974484</v>
      </c>
      <c r="CG57" s="387">
        <f>+S57*KeyAssumptionsPriceControl_FO!AH$15</f>
        <v>9.5610664509685002</v>
      </c>
      <c r="CH57" s="387">
        <f>+T57*KeyAssumptionsPriceControl_FO!AI$15</f>
        <v>0</v>
      </c>
      <c r="CI57" s="1283">
        <f>+U57*KeyAssumptionsPriceControl_FO!AJ$15</f>
        <v>0</v>
      </c>
      <c r="CJ57" s="386">
        <f>+V57*KeyAssumptionsPriceControl_FO!AK$15</f>
        <v>0</v>
      </c>
      <c r="CK57" s="387">
        <f>+W57*KeyAssumptionsPriceControl_FO!AL$15</f>
        <v>0</v>
      </c>
      <c r="CL57" s="1277">
        <f>+X57*KeyAssumptionsPriceControl_FO!AM$15</f>
        <v>0</v>
      </c>
      <c r="CM57" s="1277">
        <f>+Y57*KeyAssumptionsPriceControl_FO!AN$15</f>
        <v>0</v>
      </c>
      <c r="CN57" s="388">
        <f>+Z57*KeyAssumptionsPriceControl_FO!AO$15</f>
        <v>0</v>
      </c>
      <c r="CO57" s="1025"/>
      <c r="CP57" s="1282">
        <f t="shared" ca="1" si="94"/>
        <v>0</v>
      </c>
      <c r="CQ57" s="387">
        <f t="shared" ca="1" si="95"/>
        <v>0</v>
      </c>
      <c r="CR57" s="387">
        <f t="shared" ca="1" si="96"/>
        <v>0</v>
      </c>
      <c r="CS57" s="387">
        <f t="shared" ca="1" si="97"/>
        <v>0</v>
      </c>
      <c r="CT57" s="1283">
        <f t="shared" ca="1" si="98"/>
        <v>0</v>
      </c>
      <c r="CU57" s="386">
        <f t="shared" ca="1" si="99"/>
        <v>0</v>
      </c>
      <c r="CV57" s="387">
        <f t="shared" ca="1" si="100"/>
        <v>0</v>
      </c>
      <c r="CW57" s="1277">
        <f t="shared" ca="1" si="101"/>
        <v>0</v>
      </c>
      <c r="CX57" s="1277">
        <f t="shared" ca="1" si="102"/>
        <v>0</v>
      </c>
      <c r="CY57" s="388">
        <f t="shared" ca="1" si="103"/>
        <v>0</v>
      </c>
      <c r="CZ57" s="347"/>
      <c r="DA57" s="852"/>
      <c r="DB57" s="347"/>
      <c r="DC57" s="1012" t="s">
        <v>536</v>
      </c>
      <c r="DD57" s="841" t="s">
        <v>518</v>
      </c>
      <c r="DE57" s="386">
        <f>+IF($K57="ongoing",CE57,IF(RIGHT($K57,2)=RIGHT(DE$43,2),SUM($CD57:CE57),0)+IF(RIGHT(DE$43,2)&gt;RIGHT($K57,2),CE57,0))</f>
        <v>0</v>
      </c>
      <c r="DF57" s="387">
        <f>+IF($K57="ongoing",CF57,IF(RIGHT($K57,2)=RIGHT(DF$43,2),SUM($CD57:CF57),0)+IF(RIGHT(DF$43,2)&gt;RIGHT($K57,2),CF57,0))</f>
        <v>0</v>
      </c>
      <c r="DG57" s="388">
        <f>+IF($K57="ongoing",CG57,IF(RIGHT($K57,2)=RIGHT(DG$43,2),SUM($CD57:CG57),0)+IF(RIGHT(DG$43,2)&gt;RIGHT($K57,2),CG57,0))</f>
        <v>0</v>
      </c>
      <c r="DH57" s="386">
        <f>+IF($K57="ongoing",CH57,IF(RIGHT($K57,2)=RIGHT(DH$43,2),SUM($CD57:CH57),0)+IF(RIGHT(DH$43,2)&gt;RIGHT($K57,2),CH57,0))</f>
        <v>0</v>
      </c>
      <c r="DI57" s="387">
        <f>+IF($K57="ongoing",CI57,IF(RIGHT($K57,2)=RIGHT(DI$43,2),SUM($CD57:CI57),0)+IF(RIGHT(DI$43,2)&gt;RIGHT($K57,2),CI57,0))</f>
        <v>0</v>
      </c>
      <c r="DJ57" s="387">
        <f>+IF($K57="ongoing",CJ57,IF(RIGHT($K57,2)=RIGHT(DJ$43,2),SUM($CD57:CJ57),0)+IF(RIGHT(DJ$43,2)&gt;RIGHT($K57,2),CJ57,0))</f>
        <v>0</v>
      </c>
      <c r="DK57" s="387">
        <f>+IF($K57="ongoing",CK57,IF(RIGHT($K57,2)=RIGHT(DK$43,2),SUM($CD57:CK57),0)+IF(RIGHT(DK$43,2)&gt;RIGHT($K57,2),CK57,0))</f>
        <v>0</v>
      </c>
      <c r="DL57" s="388">
        <f>+IF($K57="ongoing",CN57,IF(RIGHT($K57,2)=RIGHT(DL$43,2),SUM($CD57:CN57),0)+IF(RIGHT(DL$43,2)&gt;RIGHT($K57,2),CN57,0))</f>
        <v>0</v>
      </c>
      <c r="DM57" s="841"/>
      <c r="DN57" s="386">
        <f t="shared" si="104"/>
        <v>0.5</v>
      </c>
      <c r="DO57" s="387">
        <f t="shared" si="105"/>
        <v>1</v>
      </c>
      <c r="DP57" s="388">
        <f t="shared" si="106"/>
        <v>1</v>
      </c>
      <c r="DQ57" s="386">
        <f t="shared" si="107"/>
        <v>1</v>
      </c>
      <c r="DR57" s="387">
        <f t="shared" si="108"/>
        <v>1</v>
      </c>
      <c r="DS57" s="387">
        <f t="shared" si="109"/>
        <v>1</v>
      </c>
      <c r="DT57" s="387">
        <f t="shared" si="110"/>
        <v>1</v>
      </c>
      <c r="DU57" s="388">
        <f t="shared" si="111"/>
        <v>1</v>
      </c>
      <c r="DW57" s="386">
        <f t="shared" si="112"/>
        <v>0</v>
      </c>
      <c r="DX57" s="387">
        <f t="shared" si="113"/>
        <v>0.5</v>
      </c>
      <c r="DY57" s="388">
        <f t="shared" si="114"/>
        <v>1</v>
      </c>
      <c r="DZ57" s="386">
        <f t="shared" si="115"/>
        <v>1</v>
      </c>
      <c r="EA57" s="387">
        <f t="shared" si="116"/>
        <v>1</v>
      </c>
      <c r="EB57" s="387">
        <f t="shared" si="117"/>
        <v>1</v>
      </c>
      <c r="EC57" s="387">
        <f t="shared" si="118"/>
        <v>1</v>
      </c>
      <c r="ED57" s="388">
        <f t="shared" si="119"/>
        <v>1</v>
      </c>
      <c r="EF57" s="834">
        <f>+IF(DN57=DM57,0,
IF(AND(EF$44&gt;1,DN57=$N57),1-SUM($EE57:EE57),
IF($N57&lt;=1,
IF($N57&gt;0,1/$N57,0),
IF(EF$44=1,0,VDB(1,0,$N57,INT(EF$44-1-1),MIN($N57,INT(EF$44-1-1)+1),$DC57,IF($DD57="No",1,0))/
IF(DM57&gt;=INT($N57),$N57-INT($N57),1)))*
IF(EF$44=1,0,
IF(INT(DN57)=INT(DM57),DN57-DM57,INT(DN57)-DM57))+
IF($N57&lt;=1,
IF($N57&gt;0,1/$N57,0),VDB(1,0,$N57,INT(EF$44-1),MIN($N57,INT(EF$44-1)+1),$DC57,IF($DD57="No",1,0))/
IF(DN57&gt;INT($N57),$N57-INT($N57),1))*
IF(EF$44=1,DN57,
IF(INT(DN57)=INT(DM57),0,DN57-INT(DN57)))))</f>
        <v>0</v>
      </c>
      <c r="EG57" s="835">
        <f>+IF(DO57=DN57,0,
IF(AND(EG$44&gt;1,DO57=$N57),1-SUM($EE57:EF57),
IF($N57&lt;=1,
IF($N57&gt;0,1/$N57,0),
IF(EG$44=1,0,VDB(1,0,$N57,INT(EG$44-1-1),MIN($N57,INT(EG$44-1-1)+1),$DC57,IF($DD57="No",1,0))/
IF(DN57&gt;=INT($N57),$N57-INT($N57),1)))*
IF(EG$44=1,0,
IF(INT(DO57)=INT(DN57),DO57-DN57,INT(DO57)-DN57))+
IF($N57&lt;=1,
IF($N57&gt;0,1/$N57,0),VDB(1,0,$N57,INT(EG$44-1),MIN($N57,INT(EG$44-1)+1),$DC57,IF($DD57="No",1,0))/
IF(DO57&gt;INT($N57),$N57-INT($N57),1))*
IF(EG$44=1,DO57,
IF(INT(DO57)=INT(DN57),0,DO57-INT(DO57)))))</f>
        <v>0</v>
      </c>
      <c r="EH57" s="836">
        <f>+IF(DP57=DO57,0,
IF(AND(EH$44&gt;1,DP57=$N57),1-SUM($EE57:EG57),
IF($N57&lt;=1,
IF($N57&gt;0,1/$N57,0),
IF(EH$44=1,0,VDB(1,0,$N57,INT(EH$44-1-1),MIN($N57,INT(EH$44-1-1)+1),$DC57,IF($DD57="No",1,0))/
IF(DO57&gt;=INT($N57),$N57-INT($N57),1)))*
IF(EH$44=1,0,
IF(INT(DP57)=INT(DO57),DP57-DO57,INT(DP57)-DO57))+
IF($N57&lt;=1,
IF($N57&gt;0,1/$N57,0),VDB(1,0,$N57,INT(EH$44-1),MIN($N57,INT(EH$44-1)+1),$DC57,IF($DD57="No",1,0))/
IF(DP57&gt;INT($N57),$N57-INT($N57),1))*
IF(EH$44=1,DP57,
IF(INT(DP57)=INT(DO57),0,DP57-INT(DP57)))))</f>
        <v>0</v>
      </c>
      <c r="EI57" s="834">
        <f>+IF(DQ57=DP57,0,
IF(AND(EI$44&gt;1,DQ57=$N57),1-SUM($EE57:EH57),
IF($N57&lt;=1,
IF($N57&gt;0,1/$N57,0),
IF(EI$44=1,0,VDB(1,0,$N57,INT(EI$44-1-1),MIN($N57,INT(EI$44-1-1)+1),$DC57,IF($DD57="No",1,0))/
IF(DP57&gt;=INT($N57),$N57-INT($N57),1)))*
IF(EI$44=1,0,
IF(INT(DQ57)=INT(DP57),DQ57-DP57,INT(DQ57)-DP57))+
IF($N57&lt;=1,
IF($N57&gt;0,1/$N57,0),VDB(1,0,$N57,INT(EI$44-1),MIN($N57,INT(EI$44-1)+1),$DC57,IF($DD57="No",1,0))/
IF(DQ57&gt;INT($N57),$N57-INT($N57),1))*
IF(EI$44=1,DQ57,
IF(INT(DQ57)=INT(DP57),0,DQ57-INT(DQ57)))))</f>
        <v>0</v>
      </c>
      <c r="EJ57" s="835">
        <f>+IF(DR57=DQ57,0,
IF(AND(EJ$44&gt;1,DR57=$N57),1-SUM($EE57:EI57),
IF($N57&lt;=1,
IF($N57&gt;0,1/$N57,0),
IF(EJ$44=1,0,VDB(1,0,$N57,INT(EJ$44-1-1),MIN($N57,INT(EJ$44-1-1)+1),$DC57,IF($DD57="No",1,0))/
IF(DQ57&gt;=INT($N57),$N57-INT($N57),1)))*
IF(EJ$44=1,0,
IF(INT(DR57)=INT(DQ57),DR57-DQ57,INT(DR57)-DQ57))+
IF($N57&lt;=1,
IF($N57&gt;0,1/$N57,0),VDB(1,0,$N57,INT(EJ$44-1),MIN($N57,INT(EJ$44-1)+1),$DC57,IF($DD57="No",1,0))/
IF(DR57&gt;INT($N57),$N57-INT($N57),1))*
IF(EJ$44=1,DR57,
IF(INT(DR57)=INT(DQ57),0,DR57-INT(DR57)))))</f>
        <v>0</v>
      </c>
      <c r="EK57" s="835">
        <f>+IF(DS57=DR57,0,
IF(AND(EK$44&gt;1,DS57=$N57),1-SUM($EE57:EJ57),
IF($N57&lt;=1,
IF($N57&gt;0,1/$N57,0),
IF(EK$44=1,0,VDB(1,0,$N57,INT(EK$44-1-1),MIN($N57,INT(EK$44-1-1)+1),$DC57,IF($DD57="No",1,0))/
IF(DR57&gt;=INT($N57),$N57-INT($N57),1)))*
IF(EK$44=1,0,
IF(INT(DS57)=INT(DR57),DS57-DR57,INT(DS57)-DR57))+
IF($N57&lt;=1,
IF($N57&gt;0,1/$N57,0),VDB(1,0,$N57,INT(EK$44-1),MIN($N57,INT(EK$44-1)+1),$DC57,IF($DD57="No",1,0))/
IF(DS57&gt;INT($N57),$N57-INT($N57),1))*
IF(EK$44=1,DS57,
IF(INT(DS57)=INT(DR57),0,DS57-INT(DS57)))))</f>
        <v>0</v>
      </c>
      <c r="EL57" s="835">
        <f>+IF(DT57=DS57,0,
IF(AND(EL$44&gt;1,DT57=$N57),1-SUM($EE57:EK57),
IF($N57&lt;=1,
IF($N57&gt;0,1/$N57,0),
IF(EL$44=1,0,VDB(1,0,$N57,INT(EL$44-1-1),MIN($N57,INT(EL$44-1-1)+1),$DC57,IF($DD57="No",1,0))/
IF(DS57&gt;=INT($N57),$N57-INT($N57),1)))*
IF(EL$44=1,0,
IF(INT(DT57)=INT(DS57),DT57-DS57,INT(DT57)-DS57))+
IF($N57&lt;=1,
IF($N57&gt;0,1/$N57,0),VDB(1,0,$N57,INT(EL$44-1),MIN($N57,INT(EL$44-1)+1),$DC57,IF($DD57="No",1,0))/
IF(DT57&gt;INT($N57),$N57-INT($N57),1))*
IF(EL$44=1,DT57,
IF(INT(DT57)=INT(DS57),0,DT57-INT(DT57)))))</f>
        <v>0</v>
      </c>
      <c r="EM57" s="836">
        <f>+IF(DU57=DT57,0,
IF(AND(EM$44&gt;1,DU57=$N57),1-SUM($EE57:EL57),
IF($N57&lt;=1,
IF($N57&gt;0,1/$N57,0),
IF(EM$44=1,0,VDB(1,0,$N57,INT(EM$44-1-1),MIN($N57,INT(EM$44-1-1)+1),$DC57,IF($DD57="No",1,0))/
IF(DT57&gt;=INT($N57),$N57-INT($N57),1)))*
IF(EM$44=1,0,
IF(INT(DU57)=INT(DT57),DU57-DT57,INT(DU57)-DT57))+
IF($N57&lt;=1,
IF($N57&gt;0,1/$N57,0),VDB(1,0,$N57,INT(EM$44-1),MIN($N57,INT(EM$44-1)+1),$DC57,IF($DD57="No",1,0))/
IF(DU57&gt;INT($N57),$N57-INT($N57),1))*
IF(EM$44=1,DU57,
IF(INT(DU57)=INT(DT57),0,DU57-INT(DU57)))))</f>
        <v>0</v>
      </c>
      <c r="EN57" s="833"/>
      <c r="EO57" s="834">
        <f>+IF(OR(DW57=DV57,EO$44=1),0,
IF(AND(EO$44&gt;1,DW57=$N57),1-SUM($EN57:EN57),
IF($N57&lt;=1,
IF($N57&gt;0,1/$N57,0),
IF(EO$44=2,0,VDB(1,0,$N57,INT(EO$44-2-1),MIN($N57,INT(EO$44-2-1)+1),$DC57,IF($DD57="No",1,0))/
IF(DV57&gt;=INT($N57),$N57-INT($N57),1)))*
IF(EO$44=2,0,
IF(INT(DW57)=INT(DV57),DW57-DV57,INT(DW57)-DV57))+
IF($N57&lt;=1,
IF($N57&gt;0,1/$N57,0),VDB(1,0,$N57,INT(EO$44-2),MIN($N57,INT(EO$44-2)+1),$DC57,IF($DD57="No",1,0))/
IF(DW57&gt;INT($N57),$N57-INT($N57),1))*
IF(EO$44=2,DW57,
IF(INT(DW57)=INT(DV57),0,DW57-INT(DW57)))))</f>
        <v>0</v>
      </c>
      <c r="EP57" s="835">
        <f>+IF(OR(DX57=DW57,EP$44=1),0,
IF(AND(EP$44&gt;1,DX57=$N57),1-SUM($EN57:EO57),
IF($N57&lt;=1,
IF($N57&gt;0,1/$N57,0),
IF(EP$44=2,0,VDB(1,0,$N57,INT(EP$44-2-1),MIN($N57,INT(EP$44-2-1)+1),$DC57,IF($DD57="No",1,0))/
IF(DW57&gt;=INT($N57),$N57-INT($N57),1)))*
IF(EP$44=2,0,
IF(INT(DX57)=INT(DW57),DX57-DW57,INT(DX57)-DW57))+
IF($N57&lt;=1,
IF($N57&gt;0,1/$N57,0),VDB(1,0,$N57,INT(EP$44-2),MIN($N57,INT(EP$44-2)+1),$DC57,IF($DD57="No",1,0))/
IF(DX57&gt;INT($N57),$N57-INT($N57),1))*
IF(EP$44=2,DX57,
IF(INT(DX57)=INT(DW57),0,DX57-INT(DX57)))))</f>
        <v>0</v>
      </c>
      <c r="EQ57" s="836">
        <f>+IF(OR(DY57=DX57,EQ$44=1),0,
IF(AND(EQ$44&gt;1,DY57=$N57),1-SUM($EN57:EP57),
IF($N57&lt;=1,
IF($N57&gt;0,1/$N57,0),
IF(EQ$44=2,0,VDB(1,0,$N57,INT(EQ$44-2-1),MIN($N57,INT(EQ$44-2-1)+1),$DC57,IF($DD57="No",1,0))/
IF(DX57&gt;=INT($N57),$N57-INT($N57),1)))*
IF(EQ$44=2,0,
IF(INT(DY57)=INT(DX57),DY57-DX57,INT(DY57)-DX57))+
IF($N57&lt;=1,
IF($N57&gt;0,1/$N57,0),VDB(1,0,$N57,INT(EQ$44-2),MIN($N57,INT(EQ$44-2)+1),$DC57,IF($DD57="No",1,0))/
IF(DY57&gt;INT($N57),$N57-INT($N57),1))*
IF(EQ$44=2,DY57,
IF(INT(DY57)=INT(DX57),0,DY57-INT(DY57)))))</f>
        <v>0</v>
      </c>
      <c r="ER57" s="834">
        <f>+IF(OR(DZ57=DY57,ER$44=1),0,
IF(AND(ER$44&gt;1,DZ57=$N57),1-SUM($EN57:EQ57),
IF($N57&lt;=1,
IF($N57&gt;0,1/$N57,0),
IF(ER$44=2,0,VDB(1,0,$N57,INT(ER$44-2-1),MIN($N57,INT(ER$44-2-1)+1),$DC57,IF($DD57="No",1,0))/
IF(DY57&gt;=INT($N57),$N57-INT($N57),1)))*
IF(ER$44=2,0,
IF(INT(DZ57)=INT(DY57),DZ57-DY57,INT(DZ57)-DY57))+
IF($N57&lt;=1,
IF($N57&gt;0,1/$N57,0),VDB(1,0,$N57,INT(ER$44-2),MIN($N57,INT(ER$44-2)+1),$DC57,IF($DD57="No",1,0))/
IF(DZ57&gt;INT($N57),$N57-INT($N57),1))*
IF(ER$44=2,DZ57,
IF(INT(DZ57)=INT(DY57),0,DZ57-INT(DZ57)))))</f>
        <v>0</v>
      </c>
      <c r="ES57" s="835">
        <f>+IF(OR(EA57=DZ57,ES$44=1),0,
IF(AND(ES$44&gt;1,EA57=$N57),1-SUM($EN57:ER57),
IF($N57&lt;=1,
IF($N57&gt;0,1/$N57,0),
IF(ES$44=2,0,VDB(1,0,$N57,INT(ES$44-2-1),MIN($N57,INT(ES$44-2-1)+1),$DC57,IF($DD57="No",1,0))/
IF(DZ57&gt;=INT($N57),$N57-INT($N57),1)))*
IF(ES$44=2,0,
IF(INT(EA57)=INT(DZ57),EA57-DZ57,INT(EA57)-DZ57))+
IF($N57&lt;=1,
IF($N57&gt;0,1/$N57,0),VDB(1,0,$N57,INT(ES$44-2),MIN($N57,INT(ES$44-2)+1),$DC57,IF($DD57="No",1,0))/
IF(EA57&gt;INT($N57),$N57-INT($N57),1))*
IF(ES$44=2,EA57,
IF(INT(EA57)=INT(DZ57),0,EA57-INT(EA57)))))</f>
        <v>0</v>
      </c>
      <c r="ET57" s="835">
        <f>+IF(OR(EB57=EA57,ET$44=1),0,
IF(AND(ET$44&gt;1,EB57=$N57),1-SUM($EN57:ES57),
IF($N57&lt;=1,
IF($N57&gt;0,1/$N57,0),
IF(ET$44=2,0,VDB(1,0,$N57,INT(ET$44-2-1),MIN($N57,INT(ET$44-2-1)+1),$DC57,IF($DD57="No",1,0))/
IF(EA57&gt;=INT($N57),$N57-INT($N57),1)))*
IF(ET$44=2,0,
IF(INT(EB57)=INT(EA57),EB57-EA57,INT(EB57)-EA57))+
IF($N57&lt;=1,
IF($N57&gt;0,1/$N57,0),VDB(1,0,$N57,INT(ET$44-2),MIN($N57,INT(ET$44-2)+1),$DC57,IF($DD57="No",1,0))/
IF(EB57&gt;INT($N57),$N57-INT($N57),1))*
IF(ET$44=2,EB57,
IF(INT(EB57)=INT(EA57),0,EB57-INT(EB57)))))</f>
        <v>0</v>
      </c>
      <c r="EU57" s="835">
        <f>+IF(OR(EC57=EB57,EU$44=1),0,
IF(AND(EU$44&gt;1,EC57=$N57),1-SUM($EN57:ET57),
IF($N57&lt;=1,
IF($N57&gt;0,1/$N57,0),
IF(EU$44=2,0,VDB(1,0,$N57,INT(EU$44-2-1),MIN($N57,INT(EU$44-2-1)+1),$DC57,IF($DD57="No",1,0))/
IF(EB57&gt;=INT($N57),$N57-INT($N57),1)))*
IF(EU$44=2,0,
IF(INT(EC57)=INT(EB57),EC57-EB57,INT(EC57)-EB57))+
IF($N57&lt;=1,
IF($N57&gt;0,1/$N57,0),VDB(1,0,$N57,INT(EU$44-2),MIN($N57,INT(EU$44-2)+1),$DC57,IF($DD57="No",1,0))/
IF(EC57&gt;INT($N57),$N57-INT($N57),1))*
IF(EU$44=2,EC57,
IF(INT(EC57)=INT(EB57),0,EC57-INT(EC57)))))</f>
        <v>0</v>
      </c>
      <c r="EV57" s="836">
        <f>+IF(OR(ED57=EC57,EV$44=1),0,
IF(AND(EV$44&gt;1,ED57=$N57),1-SUM($EN57:EU57),
IF($N57&lt;=1,
IF($N57&gt;0,1/$N57,0),
IF(EV$44=2,0,VDB(1,0,$N57,INT(EV$44-2-1),MIN($N57,INT(EV$44-2-1)+1),$DC57,IF($DD57="No",1,0))/
IF(EC57&gt;=INT($N57),$N57-INT($N57),1)))*
IF(EV$44=2,0,
IF(INT(ED57)=INT(EC57),ED57-EC57,INT(ED57)-EC57))+
IF($N57&lt;=1,
IF($N57&gt;0,1/$N57,0),VDB(1,0,$N57,INT(EV$44-2),MIN($N57,INT(EV$44-2)+1),$DC57,IF($DD57="No",1,0))/
IF(ED57&gt;INT($N57),$N57-INT($N57),1))*
IF(EV$44=2,ED57,
IF(INT(ED57)=INT(EC57),0,ED57-INT(ED57)))))</f>
        <v>0</v>
      </c>
      <c r="EW57" s="833"/>
      <c r="EX57" s="834">
        <f t="shared" ca="1" si="60"/>
        <v>0</v>
      </c>
      <c r="EY57" s="835">
        <f t="shared" ca="1" si="60"/>
        <v>0</v>
      </c>
      <c r="EZ57" s="836">
        <f t="shared" ca="1" si="60"/>
        <v>0</v>
      </c>
      <c r="FA57" s="834">
        <f t="shared" ca="1" si="60"/>
        <v>0</v>
      </c>
      <c r="FB57" s="835">
        <f t="shared" ca="1" si="60"/>
        <v>0</v>
      </c>
      <c r="FC57" s="835">
        <f t="shared" ca="1" si="60"/>
        <v>0</v>
      </c>
      <c r="FD57" s="835">
        <f t="shared" ca="1" si="60"/>
        <v>0</v>
      </c>
      <c r="FE57" s="836">
        <f t="shared" ca="1" si="60"/>
        <v>0</v>
      </c>
      <c r="FG57" s="386">
        <f t="shared" ca="1" si="120"/>
        <v>0</v>
      </c>
      <c r="FH57" s="387">
        <f t="shared" ca="1" si="121"/>
        <v>0</v>
      </c>
      <c r="FI57" s="388">
        <f t="shared" ca="1" si="122"/>
        <v>0</v>
      </c>
      <c r="FJ57" s="386">
        <f t="shared" ca="1" si="123"/>
        <v>0</v>
      </c>
      <c r="FK57" s="387">
        <f t="shared" ca="1" si="124"/>
        <v>0</v>
      </c>
      <c r="FL57" s="387">
        <f t="shared" ca="1" si="125"/>
        <v>0</v>
      </c>
      <c r="FM57" s="387">
        <f t="shared" ca="1" si="126"/>
        <v>0</v>
      </c>
      <c r="FN57" s="388">
        <f t="shared" ca="1" si="127"/>
        <v>0</v>
      </c>
      <c r="FR57" s="116"/>
    </row>
    <row r="58" spans="2:174">
      <c r="B58" s="1410">
        <f t="shared" si="73"/>
        <v>13</v>
      </c>
      <c r="C58" s="400" t="s">
        <v>537</v>
      </c>
      <c r="D58" s="401"/>
      <c r="E58" s="402" t="s">
        <v>420</v>
      </c>
      <c r="F58" s="402" t="s">
        <v>527</v>
      </c>
      <c r="G58" s="400" t="s">
        <v>522</v>
      </c>
      <c r="H58" s="2088" t="s">
        <v>481</v>
      </c>
      <c r="I58" s="2089"/>
      <c r="J58" s="1967" t="s">
        <v>516</v>
      </c>
      <c r="K58" s="403" t="s">
        <v>110</v>
      </c>
      <c r="L58" s="403">
        <v>100</v>
      </c>
      <c r="M58" s="403" t="s">
        <v>142</v>
      </c>
      <c r="N58" s="403"/>
      <c r="O58" s="347"/>
      <c r="P58" s="347"/>
      <c r="Q58" s="1021">
        <v>24.468949268292683</v>
      </c>
      <c r="R58" s="1022">
        <v>2.4747174301011308</v>
      </c>
      <c r="S58" s="1022">
        <v>0.38159864192336163</v>
      </c>
      <c r="T58" s="1022">
        <v>0</v>
      </c>
      <c r="U58" s="1023">
        <v>0</v>
      </c>
      <c r="V58" s="1021">
        <v>0</v>
      </c>
      <c r="W58" s="1022">
        <v>0</v>
      </c>
      <c r="X58" s="1022">
        <v>0</v>
      </c>
      <c r="Y58" s="1022">
        <v>0</v>
      </c>
      <c r="Z58" s="1023">
        <v>0</v>
      </c>
      <c r="AA58" s="1024"/>
      <c r="AB58" s="1021">
        <v>0</v>
      </c>
      <c r="AC58" s="1022">
        <v>0</v>
      </c>
      <c r="AD58" s="1022">
        <v>0</v>
      </c>
      <c r="AE58" s="1022">
        <v>0</v>
      </c>
      <c r="AF58" s="1023">
        <v>0</v>
      </c>
      <c r="AG58" s="1021">
        <v>0</v>
      </c>
      <c r="AH58" s="1022">
        <v>0</v>
      </c>
      <c r="AI58" s="1022">
        <v>0</v>
      </c>
      <c r="AJ58" s="1022">
        <v>0</v>
      </c>
      <c r="AK58" s="1023">
        <v>0</v>
      </c>
      <c r="AL58" s="1024"/>
      <c r="AM58" s="1021">
        <v>0</v>
      </c>
      <c r="AN58" s="1022">
        <v>0</v>
      </c>
      <c r="AO58" s="1022">
        <v>0</v>
      </c>
      <c r="AP58" s="1022">
        <v>0</v>
      </c>
      <c r="AQ58" s="1023">
        <v>0</v>
      </c>
      <c r="AR58" s="1021">
        <v>0</v>
      </c>
      <c r="AS58" s="1022">
        <v>0</v>
      </c>
      <c r="AT58" s="1022">
        <v>0</v>
      </c>
      <c r="AU58" s="1022">
        <v>0</v>
      </c>
      <c r="AV58" s="1023">
        <v>0</v>
      </c>
      <c r="AW58" s="1025"/>
      <c r="AX58" s="1282">
        <f t="shared" si="74"/>
        <v>24.468949268292683</v>
      </c>
      <c r="AY58" s="387">
        <f t="shared" si="75"/>
        <v>2.4747174301011308</v>
      </c>
      <c r="AZ58" s="387">
        <f t="shared" si="76"/>
        <v>0.38159864192336163</v>
      </c>
      <c r="BA58" s="387">
        <f t="shared" si="77"/>
        <v>0</v>
      </c>
      <c r="BB58" s="1283">
        <f t="shared" si="78"/>
        <v>0</v>
      </c>
      <c r="BC58" s="386">
        <f t="shared" si="79"/>
        <v>0</v>
      </c>
      <c r="BD58" s="387">
        <f t="shared" si="80"/>
        <v>0</v>
      </c>
      <c r="BE58" s="1277">
        <f t="shared" si="81"/>
        <v>0</v>
      </c>
      <c r="BF58" s="1277">
        <f t="shared" si="82"/>
        <v>0</v>
      </c>
      <c r="BG58" s="388">
        <f t="shared" si="83"/>
        <v>0</v>
      </c>
      <c r="BH58" s="1025"/>
      <c r="BI58" s="1282">
        <f t="shared" ca="1" si="84"/>
        <v>0</v>
      </c>
      <c r="BJ58" s="387">
        <f t="shared" ca="1" si="85"/>
        <v>0</v>
      </c>
      <c r="BK58" s="387">
        <f t="shared" ca="1" si="86"/>
        <v>0.13662632670158587</v>
      </c>
      <c r="BL58" s="387">
        <f t="shared" ca="1" si="87"/>
        <v>0.27325265340317173</v>
      </c>
      <c r="BM58" s="1283">
        <f t="shared" ca="1" si="88"/>
        <v>0.27325265340317173</v>
      </c>
      <c r="BN58" s="386">
        <f t="shared" ca="1" si="89"/>
        <v>0.27325265340317173</v>
      </c>
      <c r="BO58" s="387">
        <f t="shared" ca="1" si="90"/>
        <v>0.27325265340317173</v>
      </c>
      <c r="BP58" s="1277">
        <f t="shared" ca="1" si="91"/>
        <v>0.27325265340317173</v>
      </c>
      <c r="BQ58" s="1277">
        <f t="shared" ca="1" si="92"/>
        <v>0.27325265340317173</v>
      </c>
      <c r="BR58" s="388">
        <f t="shared" ca="1" si="93"/>
        <v>0.27325265340317173</v>
      </c>
      <c r="BS58" s="1025"/>
      <c r="BT58" s="1282">
        <f>+IF($K58="Ongoing",AX58,IF(RIGHT($K58,2)=RIGHT(BT$43,2),SUM($AX58:AX58),0)+IF(RIGHT(BT$43,2)&gt;RIGHT($K58,2),AX58,0))</f>
        <v>0</v>
      </c>
      <c r="BU58" s="387">
        <f>+IF($K58="Ongoing",AY58,IF(RIGHT($K58,2)=RIGHT(BU$43,2),SUM($AX58:AY58),0)+IF(RIGHT(BU$43,2)&gt;RIGHT($K58,2),AY58,0))</f>
        <v>0</v>
      </c>
      <c r="BV58" s="387">
        <f>+IF($K58="Ongoing",AZ58,IF(RIGHT($K58,2)=RIGHT(BV$43,2),SUM($AX58:AZ58),0)+IF(RIGHT(BV$43,2)&gt;RIGHT($K58,2),AZ58,0))</f>
        <v>27.325265340317173</v>
      </c>
      <c r="BW58" s="387">
        <f>+IF($K58="Ongoing",BA58,IF(RIGHT($K58,2)=RIGHT(BW$43,2),SUM($AX58:BA58),0)+IF(RIGHT(BW$43,2)&gt;RIGHT($K58,2),BA58,0))</f>
        <v>0</v>
      </c>
      <c r="BX58" s="1283">
        <f>+IF($K58="Ongoing",BB58,IF(RIGHT($K58,2)=RIGHT(BX$43,2),SUM($AX58:BB58),0)+IF(RIGHT(BX$43,2)&gt;RIGHT($K58,2),BB58,0))</f>
        <v>0</v>
      </c>
      <c r="BY58" s="386">
        <f>+IF($K58="Ongoing",BC58,IF(RIGHT($K58,2)=RIGHT(BY$43,2),SUM($AX58:BC58),0)+IF(RIGHT(BY$43,2)&gt;RIGHT($K58,2),BC58,0))</f>
        <v>0</v>
      </c>
      <c r="BZ58" s="387">
        <f>+IF($K58="Ongoing",BD58,IF(RIGHT($K58,2)=RIGHT(BZ$43,2),SUM($AX58:BD58),0)+IF(RIGHT(BZ$43,2)&gt;RIGHT($K58,2),BD58,0))</f>
        <v>0</v>
      </c>
      <c r="CA58" s="1277">
        <f>+IF($K58="Ongoing",BE58,IF(RIGHT($K58,2)=RIGHT(CA$43,2),SUM($AX58:BE58),0)+IF(RIGHT(CA$43,2)&gt;RIGHT($K58,2),BE58,0))</f>
        <v>0</v>
      </c>
      <c r="CB58" s="1277">
        <f>+IF($K58="Ongoing",BF58,IF(RIGHT($K58,2)=RIGHT(CB$43,2),SUM($AX58:BF58),0)+IF(RIGHT(CB$43,2)&gt;RIGHT($K58,2),BF58,0))</f>
        <v>0</v>
      </c>
      <c r="CC58" s="388">
        <f>+IF($K58="Ongoing",BG58,IF(RIGHT($K58,2)=RIGHT(CC$43,2),SUM($AX58:BG58),0)+IF(RIGHT(CC$43,2)&gt;RIGHT($K58,2),BG58,0))</f>
        <v>0</v>
      </c>
      <c r="CD58" s="1025"/>
      <c r="CE58" s="1282">
        <f>+Q58*KeyAssumptionsPriceControl_FO!AF$15</f>
        <v>25.178548797073169</v>
      </c>
      <c r="CF58" s="387">
        <f>+R58*KeyAssumptionsPriceControl_FO!AG$15</f>
        <v>2.6203322784057113</v>
      </c>
      <c r="CG58" s="387">
        <f>+S58*KeyAssumptionsPriceControl_FO!AH$15</f>
        <v>0.41576980395354451</v>
      </c>
      <c r="CH58" s="387">
        <f>+T58*KeyAssumptionsPriceControl_FO!AI$15</f>
        <v>0</v>
      </c>
      <c r="CI58" s="1283">
        <f>+U58*KeyAssumptionsPriceControl_FO!AJ$15</f>
        <v>0</v>
      </c>
      <c r="CJ58" s="386">
        <f>+V58*KeyAssumptionsPriceControl_FO!AK$15</f>
        <v>0</v>
      </c>
      <c r="CK58" s="387">
        <f>+W58*KeyAssumptionsPriceControl_FO!AL$15</f>
        <v>0</v>
      </c>
      <c r="CL58" s="1277">
        <f>+X58*KeyAssumptionsPriceControl_FO!AM$15</f>
        <v>0</v>
      </c>
      <c r="CM58" s="1277">
        <f>+Y58*KeyAssumptionsPriceControl_FO!AN$15</f>
        <v>0</v>
      </c>
      <c r="CN58" s="388">
        <f>+Z58*KeyAssumptionsPriceControl_FO!AO$15</f>
        <v>0</v>
      </c>
      <c r="CO58" s="1025"/>
      <c r="CP58" s="1282">
        <f t="shared" ca="1" si="94"/>
        <v>0</v>
      </c>
      <c r="CQ58" s="387">
        <f t="shared" ca="1" si="95"/>
        <v>0</v>
      </c>
      <c r="CR58" s="387">
        <f t="shared" ca="1" si="96"/>
        <v>0</v>
      </c>
      <c r="CS58" s="387">
        <f t="shared" ca="1" si="97"/>
        <v>0</v>
      </c>
      <c r="CT58" s="1283">
        <f t="shared" ca="1" si="98"/>
        <v>0</v>
      </c>
      <c r="CU58" s="386">
        <f t="shared" ca="1" si="99"/>
        <v>0</v>
      </c>
      <c r="CV58" s="387">
        <f t="shared" ca="1" si="100"/>
        <v>0</v>
      </c>
      <c r="CW58" s="1277">
        <f t="shared" ca="1" si="101"/>
        <v>0</v>
      </c>
      <c r="CX58" s="1277">
        <f t="shared" ca="1" si="102"/>
        <v>0</v>
      </c>
      <c r="CY58" s="388">
        <f t="shared" ca="1" si="103"/>
        <v>0</v>
      </c>
      <c r="CZ58" s="347"/>
      <c r="DA58" s="852"/>
      <c r="DB58" s="347"/>
      <c r="DC58" s="1012" t="s">
        <v>538</v>
      </c>
      <c r="DD58" s="841" t="s">
        <v>518</v>
      </c>
      <c r="DE58" s="386">
        <f>+IF($K58="ongoing",CE58,IF(RIGHT($K58,2)=RIGHT(DE$43,2),SUM($CD58:CE58),0)+IF(RIGHT(DE$43,2)&gt;RIGHT($K58,2),CE58,0))</f>
        <v>0</v>
      </c>
      <c r="DF58" s="387">
        <f>+IF($K58="ongoing",CF58,IF(RIGHT($K58,2)=RIGHT(DF$43,2),SUM($CD58:CF58),0)+IF(RIGHT(DF$43,2)&gt;RIGHT($K58,2),CF58,0))</f>
        <v>0</v>
      </c>
      <c r="DG58" s="388">
        <f>+IF($K58="ongoing",CG58,IF(RIGHT($K58,2)=RIGHT(DG$43,2),SUM($CD58:CG58),0)+IF(RIGHT(DG$43,2)&gt;RIGHT($K58,2),CG58,0))</f>
        <v>0</v>
      </c>
      <c r="DH58" s="386">
        <f>+IF($K58="ongoing",CH58,IF(RIGHT($K58,2)=RIGHT(DH$43,2),SUM($CD58:CH58),0)+IF(RIGHT(DH$43,2)&gt;RIGHT($K58,2),CH58,0))</f>
        <v>0</v>
      </c>
      <c r="DI58" s="387">
        <f>+IF($K58="ongoing",CI58,IF(RIGHT($K58,2)=RIGHT(DI$43,2),SUM($CD58:CI58),0)+IF(RIGHT(DI$43,2)&gt;RIGHT($K58,2),CI58,0))</f>
        <v>0</v>
      </c>
      <c r="DJ58" s="387">
        <f>+IF($K58="ongoing",CJ58,IF(RIGHT($K58,2)=RIGHT(DJ$43,2),SUM($CD58:CJ58),0)+IF(RIGHT(DJ$43,2)&gt;RIGHT($K58,2),CJ58,0))</f>
        <v>0</v>
      </c>
      <c r="DK58" s="387">
        <f>+IF($K58="ongoing",CK58,IF(RIGHT($K58,2)=RIGHT(DK$43,2),SUM($CD58:CK58),0)+IF(RIGHT(DK$43,2)&gt;RIGHT($K58,2),CK58,0))</f>
        <v>0</v>
      </c>
      <c r="DL58" s="388">
        <f>+IF($K58="ongoing",CN58,IF(RIGHT($K58,2)=RIGHT(DL$43,2),SUM($CD58:CN58),0)+IF(RIGHT(DL$43,2)&gt;RIGHT($K58,2),CN58,0))</f>
        <v>0</v>
      </c>
      <c r="DM58" s="841"/>
      <c r="DN58" s="386">
        <f t="shared" si="104"/>
        <v>0.5</v>
      </c>
      <c r="DO58" s="387">
        <f t="shared" si="105"/>
        <v>1</v>
      </c>
      <c r="DP58" s="388">
        <f t="shared" si="106"/>
        <v>1</v>
      </c>
      <c r="DQ58" s="386">
        <f t="shared" si="107"/>
        <v>1</v>
      </c>
      <c r="DR58" s="387">
        <f t="shared" si="108"/>
        <v>1</v>
      </c>
      <c r="DS58" s="387">
        <f t="shared" si="109"/>
        <v>1</v>
      </c>
      <c r="DT58" s="387">
        <f t="shared" si="110"/>
        <v>1</v>
      </c>
      <c r="DU58" s="388">
        <f t="shared" si="111"/>
        <v>1</v>
      </c>
      <c r="DW58" s="386">
        <f t="shared" si="112"/>
        <v>0</v>
      </c>
      <c r="DX58" s="387">
        <f t="shared" si="113"/>
        <v>0.5</v>
      </c>
      <c r="DY58" s="388">
        <f t="shared" si="114"/>
        <v>1</v>
      </c>
      <c r="DZ58" s="386">
        <f t="shared" si="115"/>
        <v>1</v>
      </c>
      <c r="EA58" s="387">
        <f t="shared" si="116"/>
        <v>1</v>
      </c>
      <c r="EB58" s="387">
        <f t="shared" si="117"/>
        <v>1</v>
      </c>
      <c r="EC58" s="387">
        <f t="shared" si="118"/>
        <v>1</v>
      </c>
      <c r="ED58" s="388">
        <f t="shared" si="119"/>
        <v>1</v>
      </c>
      <c r="EF58" s="834">
        <f>+IF(DN58=DM58,0,
IF(AND(EF$44&gt;1,DN58=$N58),1-SUM($EE58:EE58),
IF($N58&lt;=1,
IF($N58&gt;0,1/$N58,0),
IF(EF$44=1,0,VDB(1,0,$N58,INT(EF$44-1-1),MIN($N58,INT(EF$44-1-1)+1),$DC58,IF($DD58="No",1,0))/
IF(DM58&gt;=INT($N58),$N58-INT($N58),1)))*
IF(EF$44=1,0,
IF(INT(DN58)=INT(DM58),DN58-DM58,INT(DN58)-DM58))+
IF($N58&lt;=1,
IF($N58&gt;0,1/$N58,0),VDB(1,0,$N58,INT(EF$44-1),MIN($N58,INT(EF$44-1)+1),$DC58,IF($DD58="No",1,0))/
IF(DN58&gt;INT($N58),$N58-INT($N58),1))*
IF(EF$44=1,DN58,
IF(INT(DN58)=INT(DM58),0,DN58-INT(DN58)))))</f>
        <v>0</v>
      </c>
      <c r="EG58" s="835">
        <f>+IF(DO58=DN58,0,
IF(AND(EG$44&gt;1,DO58=$N58),1-SUM($EE58:EF58),
IF($N58&lt;=1,
IF($N58&gt;0,1/$N58,0),
IF(EG$44=1,0,VDB(1,0,$N58,INT(EG$44-1-1),MIN($N58,INT(EG$44-1-1)+1),$DC58,IF($DD58="No",1,0))/
IF(DN58&gt;=INT($N58),$N58-INT($N58),1)))*
IF(EG$44=1,0,
IF(INT(DO58)=INT(DN58),DO58-DN58,INT(DO58)-DN58))+
IF($N58&lt;=1,
IF($N58&gt;0,1/$N58,0),VDB(1,0,$N58,INT(EG$44-1),MIN($N58,INT(EG$44-1)+1),$DC58,IF($DD58="No",1,0))/
IF(DO58&gt;INT($N58),$N58-INT($N58),1))*
IF(EG$44=1,DO58,
IF(INT(DO58)=INT(DN58),0,DO58-INT(DO58)))))</f>
        <v>0</v>
      </c>
      <c r="EH58" s="836">
        <f>+IF(DP58=DO58,0,
IF(AND(EH$44&gt;1,DP58=$N58),1-SUM($EE58:EG58),
IF($N58&lt;=1,
IF($N58&gt;0,1/$N58,0),
IF(EH$44=1,0,VDB(1,0,$N58,INT(EH$44-1-1),MIN($N58,INT(EH$44-1-1)+1),$DC58,IF($DD58="No",1,0))/
IF(DO58&gt;=INT($N58),$N58-INT($N58),1)))*
IF(EH$44=1,0,
IF(INT(DP58)=INT(DO58),DP58-DO58,INT(DP58)-DO58))+
IF($N58&lt;=1,
IF($N58&gt;0,1/$N58,0),VDB(1,0,$N58,INT(EH$44-1),MIN($N58,INT(EH$44-1)+1),$DC58,IF($DD58="No",1,0))/
IF(DP58&gt;INT($N58),$N58-INT($N58),1))*
IF(EH$44=1,DP58,
IF(INT(DP58)=INT(DO58),0,DP58-INT(DP58)))))</f>
        <v>0</v>
      </c>
      <c r="EI58" s="834">
        <f>+IF(DQ58=DP58,0,
IF(AND(EI$44&gt;1,DQ58=$N58),1-SUM($EE58:EH58),
IF($N58&lt;=1,
IF($N58&gt;0,1/$N58,0),
IF(EI$44=1,0,VDB(1,0,$N58,INT(EI$44-1-1),MIN($N58,INT(EI$44-1-1)+1),$DC58,IF($DD58="No",1,0))/
IF(DP58&gt;=INT($N58),$N58-INT($N58),1)))*
IF(EI$44=1,0,
IF(INT(DQ58)=INT(DP58),DQ58-DP58,INT(DQ58)-DP58))+
IF($N58&lt;=1,
IF($N58&gt;0,1/$N58,0),VDB(1,0,$N58,INT(EI$44-1),MIN($N58,INT(EI$44-1)+1),$DC58,IF($DD58="No",1,0))/
IF(DQ58&gt;INT($N58),$N58-INT($N58),1))*
IF(EI$44=1,DQ58,
IF(INT(DQ58)=INT(DP58),0,DQ58-INT(DQ58)))))</f>
        <v>0</v>
      </c>
      <c r="EJ58" s="835">
        <f>+IF(DR58=DQ58,0,
IF(AND(EJ$44&gt;1,DR58=$N58),1-SUM($EE58:EI58),
IF($N58&lt;=1,
IF($N58&gt;0,1/$N58,0),
IF(EJ$44=1,0,VDB(1,0,$N58,INT(EJ$44-1-1),MIN($N58,INT(EJ$44-1-1)+1),$DC58,IF($DD58="No",1,0))/
IF(DQ58&gt;=INT($N58),$N58-INT($N58),1)))*
IF(EJ$44=1,0,
IF(INT(DR58)=INT(DQ58),DR58-DQ58,INT(DR58)-DQ58))+
IF($N58&lt;=1,
IF($N58&gt;0,1/$N58,0),VDB(1,0,$N58,INT(EJ$44-1),MIN($N58,INT(EJ$44-1)+1),$DC58,IF($DD58="No",1,0))/
IF(DR58&gt;INT($N58),$N58-INT($N58),1))*
IF(EJ$44=1,DR58,
IF(INT(DR58)=INT(DQ58),0,DR58-INT(DR58)))))</f>
        <v>0</v>
      </c>
      <c r="EK58" s="835">
        <f>+IF(DS58=DR58,0,
IF(AND(EK$44&gt;1,DS58=$N58),1-SUM($EE58:EJ58),
IF($N58&lt;=1,
IF($N58&gt;0,1/$N58,0),
IF(EK$44=1,0,VDB(1,0,$N58,INT(EK$44-1-1),MIN($N58,INT(EK$44-1-1)+1),$DC58,IF($DD58="No",1,0))/
IF(DR58&gt;=INT($N58),$N58-INT($N58),1)))*
IF(EK$44=1,0,
IF(INT(DS58)=INT(DR58),DS58-DR58,INT(DS58)-DR58))+
IF($N58&lt;=1,
IF($N58&gt;0,1/$N58,0),VDB(1,0,$N58,INT(EK$44-1),MIN($N58,INT(EK$44-1)+1),$DC58,IF($DD58="No",1,0))/
IF(DS58&gt;INT($N58),$N58-INT($N58),1))*
IF(EK$44=1,DS58,
IF(INT(DS58)=INT(DR58),0,DS58-INT(DS58)))))</f>
        <v>0</v>
      </c>
      <c r="EL58" s="835">
        <f>+IF(DT58=DS58,0,
IF(AND(EL$44&gt;1,DT58=$N58),1-SUM($EE58:EK58),
IF($N58&lt;=1,
IF($N58&gt;0,1/$N58,0),
IF(EL$44=1,0,VDB(1,0,$N58,INT(EL$44-1-1),MIN($N58,INT(EL$44-1-1)+1),$DC58,IF($DD58="No",1,0))/
IF(DS58&gt;=INT($N58),$N58-INT($N58),1)))*
IF(EL$44=1,0,
IF(INT(DT58)=INT(DS58),DT58-DS58,INT(DT58)-DS58))+
IF($N58&lt;=1,
IF($N58&gt;0,1/$N58,0),VDB(1,0,$N58,INT(EL$44-1),MIN($N58,INT(EL$44-1)+1),$DC58,IF($DD58="No",1,0))/
IF(DT58&gt;INT($N58),$N58-INT($N58),1))*
IF(EL$44=1,DT58,
IF(INT(DT58)=INT(DS58),0,DT58-INT(DT58)))))</f>
        <v>0</v>
      </c>
      <c r="EM58" s="836">
        <f>+IF(DU58=DT58,0,
IF(AND(EM$44&gt;1,DU58=$N58),1-SUM($EE58:EL58),
IF($N58&lt;=1,
IF($N58&gt;0,1/$N58,0),
IF(EM$44=1,0,VDB(1,0,$N58,INT(EM$44-1-1),MIN($N58,INT(EM$44-1-1)+1),$DC58,IF($DD58="No",1,0))/
IF(DT58&gt;=INT($N58),$N58-INT($N58),1)))*
IF(EM$44=1,0,
IF(INT(DU58)=INT(DT58),DU58-DT58,INT(DU58)-DT58))+
IF($N58&lt;=1,
IF($N58&gt;0,1/$N58,0),VDB(1,0,$N58,INT(EM$44-1),MIN($N58,INT(EM$44-1)+1),$DC58,IF($DD58="No",1,0))/
IF(DU58&gt;INT($N58),$N58-INT($N58),1))*
IF(EM$44=1,DU58,
IF(INT(DU58)=INT(DT58),0,DU58-INT(DU58)))))</f>
        <v>0</v>
      </c>
      <c r="EN58" s="833"/>
      <c r="EO58" s="834">
        <f>+IF(OR(DW58=DV58,EO$44=1),0,
IF(AND(EO$44&gt;1,DW58=$N58),1-SUM($EN58:EN58),
IF($N58&lt;=1,
IF($N58&gt;0,1/$N58,0),
IF(EO$44=2,0,VDB(1,0,$N58,INT(EO$44-2-1),MIN($N58,INT(EO$44-2-1)+1),$DC58,IF($DD58="No",1,0))/
IF(DV58&gt;=INT($N58),$N58-INT($N58),1)))*
IF(EO$44=2,0,
IF(INT(DW58)=INT(DV58),DW58-DV58,INT(DW58)-DV58))+
IF($N58&lt;=1,
IF($N58&gt;0,1/$N58,0),VDB(1,0,$N58,INT(EO$44-2),MIN($N58,INT(EO$44-2)+1),$DC58,IF($DD58="No",1,0))/
IF(DW58&gt;INT($N58),$N58-INT($N58),1))*
IF(EO$44=2,DW58,
IF(INT(DW58)=INT(DV58),0,DW58-INT(DW58)))))</f>
        <v>0</v>
      </c>
      <c r="EP58" s="835">
        <f>+IF(OR(DX58=DW58,EP$44=1),0,
IF(AND(EP$44&gt;1,DX58=$N58),1-SUM($EN58:EO58),
IF($N58&lt;=1,
IF($N58&gt;0,1/$N58,0),
IF(EP$44=2,0,VDB(1,0,$N58,INT(EP$44-2-1),MIN($N58,INT(EP$44-2-1)+1),$DC58,IF($DD58="No",1,0))/
IF(DW58&gt;=INT($N58),$N58-INT($N58),1)))*
IF(EP$44=2,0,
IF(INT(DX58)=INT(DW58),DX58-DW58,INT(DX58)-DW58))+
IF($N58&lt;=1,
IF($N58&gt;0,1/$N58,0),VDB(1,0,$N58,INT(EP$44-2),MIN($N58,INT(EP$44-2)+1),$DC58,IF($DD58="No",1,0))/
IF(DX58&gt;INT($N58),$N58-INT($N58),1))*
IF(EP$44=2,DX58,
IF(INT(DX58)=INT(DW58),0,DX58-INT(DX58)))))</f>
        <v>0</v>
      </c>
      <c r="EQ58" s="836">
        <f>+IF(OR(DY58=DX58,EQ$44=1),0,
IF(AND(EQ$44&gt;1,DY58=$N58),1-SUM($EN58:EP58),
IF($N58&lt;=1,
IF($N58&gt;0,1/$N58,0),
IF(EQ$44=2,0,VDB(1,0,$N58,INT(EQ$44-2-1),MIN($N58,INT(EQ$44-2-1)+1),$DC58,IF($DD58="No",1,0))/
IF(DX58&gt;=INT($N58),$N58-INT($N58),1)))*
IF(EQ$44=2,0,
IF(INT(DY58)=INT(DX58),DY58-DX58,INT(DY58)-DX58))+
IF($N58&lt;=1,
IF($N58&gt;0,1/$N58,0),VDB(1,0,$N58,INT(EQ$44-2),MIN($N58,INT(EQ$44-2)+1),$DC58,IF($DD58="No",1,0))/
IF(DY58&gt;INT($N58),$N58-INT($N58),1))*
IF(EQ$44=2,DY58,
IF(INT(DY58)=INT(DX58),0,DY58-INT(DY58)))))</f>
        <v>0</v>
      </c>
      <c r="ER58" s="834">
        <f>+IF(OR(DZ58=DY58,ER$44=1),0,
IF(AND(ER$44&gt;1,DZ58=$N58),1-SUM($EN58:EQ58),
IF($N58&lt;=1,
IF($N58&gt;0,1/$N58,0),
IF(ER$44=2,0,VDB(1,0,$N58,INT(ER$44-2-1),MIN($N58,INT(ER$44-2-1)+1),$DC58,IF($DD58="No",1,0))/
IF(DY58&gt;=INT($N58),$N58-INT($N58),1)))*
IF(ER$44=2,0,
IF(INT(DZ58)=INT(DY58),DZ58-DY58,INT(DZ58)-DY58))+
IF($N58&lt;=1,
IF($N58&gt;0,1/$N58,0),VDB(1,0,$N58,INT(ER$44-2),MIN($N58,INT(ER$44-2)+1),$DC58,IF($DD58="No",1,0))/
IF(DZ58&gt;INT($N58),$N58-INT($N58),1))*
IF(ER$44=2,DZ58,
IF(INT(DZ58)=INT(DY58),0,DZ58-INT(DZ58)))))</f>
        <v>0</v>
      </c>
      <c r="ES58" s="835">
        <f>+IF(OR(EA58=DZ58,ES$44=1),0,
IF(AND(ES$44&gt;1,EA58=$N58),1-SUM($EN58:ER58),
IF($N58&lt;=1,
IF($N58&gt;0,1/$N58,0),
IF(ES$44=2,0,VDB(1,0,$N58,INT(ES$44-2-1),MIN($N58,INT(ES$44-2-1)+1),$DC58,IF($DD58="No",1,0))/
IF(DZ58&gt;=INT($N58),$N58-INT($N58),1)))*
IF(ES$44=2,0,
IF(INT(EA58)=INT(DZ58),EA58-DZ58,INT(EA58)-DZ58))+
IF($N58&lt;=1,
IF($N58&gt;0,1/$N58,0),VDB(1,0,$N58,INT(ES$44-2),MIN($N58,INT(ES$44-2)+1),$DC58,IF($DD58="No",1,0))/
IF(EA58&gt;INT($N58),$N58-INT($N58),1))*
IF(ES$44=2,EA58,
IF(INT(EA58)=INT(DZ58),0,EA58-INT(EA58)))))</f>
        <v>0</v>
      </c>
      <c r="ET58" s="835">
        <f>+IF(OR(EB58=EA58,ET$44=1),0,
IF(AND(ET$44&gt;1,EB58=$N58),1-SUM($EN58:ES58),
IF($N58&lt;=1,
IF($N58&gt;0,1/$N58,0),
IF(ET$44=2,0,VDB(1,0,$N58,INT(ET$44-2-1),MIN($N58,INT(ET$44-2-1)+1),$DC58,IF($DD58="No",1,0))/
IF(EA58&gt;=INT($N58),$N58-INT($N58),1)))*
IF(ET$44=2,0,
IF(INT(EB58)=INT(EA58),EB58-EA58,INT(EB58)-EA58))+
IF($N58&lt;=1,
IF($N58&gt;0,1/$N58,0),VDB(1,0,$N58,INT(ET$44-2),MIN($N58,INT(ET$44-2)+1),$DC58,IF($DD58="No",1,0))/
IF(EB58&gt;INT($N58),$N58-INT($N58),1))*
IF(ET$44=2,EB58,
IF(INT(EB58)=INT(EA58),0,EB58-INT(EB58)))))</f>
        <v>0</v>
      </c>
      <c r="EU58" s="835">
        <f>+IF(OR(EC58=EB58,EU$44=1),0,
IF(AND(EU$44&gt;1,EC58=$N58),1-SUM($EN58:ET58),
IF($N58&lt;=1,
IF($N58&gt;0,1/$N58,0),
IF(EU$44=2,0,VDB(1,0,$N58,INT(EU$44-2-1),MIN($N58,INT(EU$44-2-1)+1),$DC58,IF($DD58="No",1,0))/
IF(EB58&gt;=INT($N58),$N58-INT($N58),1)))*
IF(EU$44=2,0,
IF(INT(EC58)=INT(EB58),EC58-EB58,INT(EC58)-EB58))+
IF($N58&lt;=1,
IF($N58&gt;0,1/$N58,0),VDB(1,0,$N58,INT(EU$44-2),MIN($N58,INT(EU$44-2)+1),$DC58,IF($DD58="No",1,0))/
IF(EC58&gt;INT($N58),$N58-INT($N58),1))*
IF(EU$44=2,EC58,
IF(INT(EC58)=INT(EB58),0,EC58-INT(EC58)))))</f>
        <v>0</v>
      </c>
      <c r="EV58" s="836">
        <f>+IF(OR(ED58=EC58,EV$44=1),0,
IF(AND(EV$44&gt;1,ED58=$N58),1-SUM($EN58:EU58),
IF($N58&lt;=1,
IF($N58&gt;0,1/$N58,0),
IF(EV$44=2,0,VDB(1,0,$N58,INT(EV$44-2-1),MIN($N58,INT(EV$44-2-1)+1),$DC58,IF($DD58="No",1,0))/
IF(EC58&gt;=INT($N58),$N58-INT($N58),1)))*
IF(EV$44=2,0,
IF(INT(ED58)=INT(EC58),ED58-EC58,INT(ED58)-EC58))+
IF($N58&lt;=1,
IF($N58&gt;0,1/$N58,0),VDB(1,0,$N58,INT(EV$44-2),MIN($N58,INT(EV$44-2)+1),$DC58,IF($DD58="No",1,0))/
IF(ED58&gt;INT($N58),$N58-INT($N58),1))*
IF(EV$44=2,ED58,
IF(INT(ED58)=INT(EC58),0,ED58-INT(ED58)))))</f>
        <v>0</v>
      </c>
      <c r="EW58" s="833"/>
      <c r="EX58" s="834">
        <f t="shared" ca="1" si="60"/>
        <v>0</v>
      </c>
      <c r="EY58" s="835">
        <f t="shared" ca="1" si="60"/>
        <v>0</v>
      </c>
      <c r="EZ58" s="836">
        <f t="shared" ca="1" si="60"/>
        <v>0</v>
      </c>
      <c r="FA58" s="834">
        <f t="shared" ca="1" si="60"/>
        <v>0</v>
      </c>
      <c r="FB58" s="835">
        <f t="shared" ca="1" si="60"/>
        <v>0</v>
      </c>
      <c r="FC58" s="835">
        <f t="shared" ca="1" si="60"/>
        <v>0</v>
      </c>
      <c r="FD58" s="835">
        <f t="shared" ca="1" si="60"/>
        <v>0</v>
      </c>
      <c r="FE58" s="836">
        <f t="shared" ca="1" si="60"/>
        <v>0</v>
      </c>
      <c r="FG58" s="386">
        <f t="shared" ca="1" si="120"/>
        <v>0</v>
      </c>
      <c r="FH58" s="387">
        <f t="shared" ca="1" si="121"/>
        <v>0</v>
      </c>
      <c r="FI58" s="388">
        <f t="shared" ca="1" si="122"/>
        <v>0</v>
      </c>
      <c r="FJ58" s="386">
        <f t="shared" ca="1" si="123"/>
        <v>0</v>
      </c>
      <c r="FK58" s="387">
        <f t="shared" ca="1" si="124"/>
        <v>0</v>
      </c>
      <c r="FL58" s="387">
        <f t="shared" ca="1" si="125"/>
        <v>0</v>
      </c>
      <c r="FM58" s="387">
        <f t="shared" ca="1" si="126"/>
        <v>0</v>
      </c>
      <c r="FN58" s="388">
        <f t="shared" ca="1" si="127"/>
        <v>0</v>
      </c>
      <c r="FR58" s="116"/>
    </row>
    <row r="59" spans="2:174">
      <c r="B59" s="1410">
        <f t="shared" si="73"/>
        <v>14</v>
      </c>
      <c r="C59" s="400" t="s">
        <v>539</v>
      </c>
      <c r="D59" s="401"/>
      <c r="E59" s="402" t="s">
        <v>420</v>
      </c>
      <c r="F59" s="402" t="s">
        <v>514</v>
      </c>
      <c r="G59" s="400" t="s">
        <v>522</v>
      </c>
      <c r="H59" s="2088" t="s">
        <v>481</v>
      </c>
      <c r="I59" s="2089"/>
      <c r="J59" s="1967" t="s">
        <v>516</v>
      </c>
      <c r="K59" s="403" t="s">
        <v>111</v>
      </c>
      <c r="L59" s="403">
        <v>25</v>
      </c>
      <c r="M59" s="403" t="s">
        <v>142</v>
      </c>
      <c r="N59" s="403"/>
      <c r="O59" s="347"/>
      <c r="P59" s="347"/>
      <c r="Q59" s="1021">
        <v>9.3946178139773551</v>
      </c>
      <c r="R59" s="1022">
        <v>17.111725012612062</v>
      </c>
      <c r="S59" s="1022">
        <v>3.5473384846860585E-2</v>
      </c>
      <c r="T59" s="1022">
        <v>2.307212022560038E-2</v>
      </c>
      <c r="U59" s="1023">
        <v>0</v>
      </c>
      <c r="V59" s="1021">
        <v>0</v>
      </c>
      <c r="W59" s="1022">
        <v>0</v>
      </c>
      <c r="X59" s="1022">
        <v>0</v>
      </c>
      <c r="Y59" s="1022">
        <v>0</v>
      </c>
      <c r="Z59" s="1023">
        <v>0</v>
      </c>
      <c r="AA59" s="1024"/>
      <c r="AB59" s="1021">
        <v>3.4923877749529635</v>
      </c>
      <c r="AC59" s="1022">
        <v>6.3611719418208645</v>
      </c>
      <c r="AD59" s="1022">
        <v>1.3186998984786617E-2</v>
      </c>
      <c r="AE59" s="1022">
        <v>8.5769099088043015E-3</v>
      </c>
      <c r="AF59" s="1023">
        <v>0</v>
      </c>
      <c r="AG59" s="1021">
        <v>0</v>
      </c>
      <c r="AH59" s="1022">
        <v>0</v>
      </c>
      <c r="AI59" s="1022">
        <v>0</v>
      </c>
      <c r="AJ59" s="1022">
        <v>0</v>
      </c>
      <c r="AK59" s="1023">
        <v>0</v>
      </c>
      <c r="AL59" s="1024"/>
      <c r="AM59" s="1021">
        <v>0</v>
      </c>
      <c r="AN59" s="1022">
        <v>0</v>
      </c>
      <c r="AO59" s="1022">
        <v>0</v>
      </c>
      <c r="AP59" s="1022">
        <v>0</v>
      </c>
      <c r="AQ59" s="1023">
        <v>0</v>
      </c>
      <c r="AR59" s="1021">
        <v>0</v>
      </c>
      <c r="AS59" s="1022">
        <v>0</v>
      </c>
      <c r="AT59" s="1022">
        <v>0</v>
      </c>
      <c r="AU59" s="1022">
        <v>0</v>
      </c>
      <c r="AV59" s="1023">
        <v>0</v>
      </c>
      <c r="AW59" s="1025"/>
      <c r="AX59" s="1282">
        <f t="shared" si="74"/>
        <v>5.902230039024392</v>
      </c>
      <c r="AY59" s="387">
        <f t="shared" si="75"/>
        <v>10.750553070791199</v>
      </c>
      <c r="AZ59" s="387">
        <f t="shared" si="76"/>
        <v>2.2286385862073967E-2</v>
      </c>
      <c r="BA59" s="387">
        <f t="shared" si="77"/>
        <v>1.4495210316796079E-2</v>
      </c>
      <c r="BB59" s="1283">
        <f t="shared" si="78"/>
        <v>0</v>
      </c>
      <c r="BC59" s="386">
        <f t="shared" si="79"/>
        <v>0</v>
      </c>
      <c r="BD59" s="387">
        <f t="shared" si="80"/>
        <v>0</v>
      </c>
      <c r="BE59" s="1277">
        <f t="shared" si="81"/>
        <v>0</v>
      </c>
      <c r="BF59" s="1277">
        <f t="shared" si="82"/>
        <v>0</v>
      </c>
      <c r="BG59" s="388">
        <f t="shared" si="83"/>
        <v>0</v>
      </c>
      <c r="BH59" s="1025"/>
      <c r="BI59" s="1282">
        <f t="shared" ca="1" si="84"/>
        <v>0</v>
      </c>
      <c r="BJ59" s="387">
        <f t="shared" ca="1" si="85"/>
        <v>0</v>
      </c>
      <c r="BK59" s="387">
        <f t="shared" ca="1" si="86"/>
        <v>0</v>
      </c>
      <c r="BL59" s="387">
        <f t="shared" ca="1" si="87"/>
        <v>0.33379129411988923</v>
      </c>
      <c r="BM59" s="1283">
        <f t="shared" ca="1" si="88"/>
        <v>0.66758258823977845</v>
      </c>
      <c r="BN59" s="386">
        <f t="shared" ca="1" si="89"/>
        <v>0.66758258823977845</v>
      </c>
      <c r="BO59" s="387">
        <f t="shared" ca="1" si="90"/>
        <v>0.66758258823977845</v>
      </c>
      <c r="BP59" s="1277">
        <f t="shared" ca="1" si="91"/>
        <v>0.66758258823977845</v>
      </c>
      <c r="BQ59" s="1277">
        <f t="shared" ca="1" si="92"/>
        <v>0.66758258823977845</v>
      </c>
      <c r="BR59" s="388">
        <f t="shared" ca="1" si="93"/>
        <v>0.66758258823977845</v>
      </c>
      <c r="BS59" s="1025"/>
      <c r="BT59" s="1282">
        <f>+IF($K59="Ongoing",AX59,IF(RIGHT($K59,2)=RIGHT(BT$43,2),SUM($AX59:AX59),0)+IF(RIGHT(BT$43,2)&gt;RIGHT($K59,2),AX59,0))</f>
        <v>0</v>
      </c>
      <c r="BU59" s="387">
        <f>+IF($K59="Ongoing",AY59,IF(RIGHT($K59,2)=RIGHT(BU$43,2),SUM($AX59:AY59),0)+IF(RIGHT(BU$43,2)&gt;RIGHT($K59,2),AY59,0))</f>
        <v>0</v>
      </c>
      <c r="BV59" s="387">
        <f>+IF($K59="Ongoing",AZ59,IF(RIGHT($K59,2)=RIGHT(BV$43,2),SUM($AX59:AZ59),0)+IF(RIGHT(BV$43,2)&gt;RIGHT($K59,2),AZ59,0))</f>
        <v>0</v>
      </c>
      <c r="BW59" s="387">
        <f>+IF($K59="Ongoing",BA59,IF(RIGHT($K59,2)=RIGHT(BW$43,2),SUM($AX59:BA59),0)+IF(RIGHT(BW$43,2)&gt;RIGHT($K59,2),BA59,0))</f>
        <v>16.68956470599446</v>
      </c>
      <c r="BX59" s="1283">
        <f>+IF($K59="Ongoing",BB59,IF(RIGHT($K59,2)=RIGHT(BX$43,2),SUM($AX59:BB59),0)+IF(RIGHT(BX$43,2)&gt;RIGHT($K59,2),BB59,0))</f>
        <v>0</v>
      </c>
      <c r="BY59" s="386">
        <f>+IF($K59="Ongoing",BC59,IF(RIGHT($K59,2)=RIGHT(BY$43,2),SUM($AX59:BC59),0)+IF(RIGHT(BY$43,2)&gt;RIGHT($K59,2),BC59,0))</f>
        <v>0</v>
      </c>
      <c r="BZ59" s="387">
        <f>+IF($K59="Ongoing",BD59,IF(RIGHT($K59,2)=RIGHT(BZ$43,2),SUM($AX59:BD59),0)+IF(RIGHT(BZ$43,2)&gt;RIGHT($K59,2),BD59,0))</f>
        <v>0</v>
      </c>
      <c r="CA59" s="1277">
        <f>+IF($K59="Ongoing",BE59,IF(RIGHT($K59,2)=RIGHT(CA$43,2),SUM($AX59:BE59),0)+IF(RIGHT(CA$43,2)&gt;RIGHT($K59,2),BE59,0))</f>
        <v>0</v>
      </c>
      <c r="CB59" s="1277">
        <f>+IF($K59="Ongoing",BF59,IF(RIGHT($K59,2)=RIGHT(CB$43,2),SUM($AX59:BF59),0)+IF(RIGHT(CB$43,2)&gt;RIGHT($K59,2),BF59,0))</f>
        <v>0</v>
      </c>
      <c r="CC59" s="388">
        <f>+IF($K59="Ongoing",BG59,IF(RIGHT($K59,2)=RIGHT(CC$43,2),SUM($AX59:BG59),0)+IF(RIGHT(CC$43,2)&gt;RIGHT($K59,2),BG59,0))</f>
        <v>0</v>
      </c>
      <c r="CD59" s="1025"/>
      <c r="CE59" s="1282">
        <f>+Q59*KeyAssumptionsPriceControl_FO!AF$15</f>
        <v>9.6670617305826969</v>
      </c>
      <c r="CF59" s="387">
        <f>+R59*KeyAssumptionsPriceControl_FO!AG$15</f>
        <v>18.118596024079167</v>
      </c>
      <c r="CG59" s="387">
        <f>+S59*KeyAssumptionsPriceControl_FO!AH$15</f>
        <v>3.8649933838889108E-2</v>
      </c>
      <c r="CH59" s="387">
        <f>+T59*KeyAssumptionsPriceControl_FO!AI$15</f>
        <v>2.5867175232661393E-2</v>
      </c>
      <c r="CI59" s="1283">
        <f>+U59*KeyAssumptionsPriceControl_FO!AJ$15</f>
        <v>0</v>
      </c>
      <c r="CJ59" s="386">
        <f>+V59*KeyAssumptionsPriceControl_FO!AK$15</f>
        <v>0</v>
      </c>
      <c r="CK59" s="387">
        <f>+W59*KeyAssumptionsPriceControl_FO!AL$15</f>
        <v>0</v>
      </c>
      <c r="CL59" s="1277">
        <f>+X59*KeyAssumptionsPriceControl_FO!AM$15</f>
        <v>0</v>
      </c>
      <c r="CM59" s="1277">
        <f>+Y59*KeyAssumptionsPriceControl_FO!AN$15</f>
        <v>0</v>
      </c>
      <c r="CN59" s="388">
        <f>+Z59*KeyAssumptionsPriceControl_FO!AO$15</f>
        <v>0</v>
      </c>
      <c r="CO59" s="1025"/>
      <c r="CP59" s="1282">
        <f t="shared" ca="1" si="94"/>
        <v>0</v>
      </c>
      <c r="CQ59" s="387">
        <f t="shared" ca="1" si="95"/>
        <v>0</v>
      </c>
      <c r="CR59" s="387">
        <f t="shared" ca="1" si="96"/>
        <v>0</v>
      </c>
      <c r="CS59" s="387">
        <f t="shared" ca="1" si="97"/>
        <v>0</v>
      </c>
      <c r="CT59" s="1283">
        <f t="shared" ca="1" si="98"/>
        <v>0</v>
      </c>
      <c r="CU59" s="386">
        <f t="shared" ca="1" si="99"/>
        <v>0</v>
      </c>
      <c r="CV59" s="387">
        <f t="shared" ca="1" si="100"/>
        <v>0</v>
      </c>
      <c r="CW59" s="1277">
        <f t="shared" ca="1" si="101"/>
        <v>0</v>
      </c>
      <c r="CX59" s="1277">
        <f t="shared" ca="1" si="102"/>
        <v>0</v>
      </c>
      <c r="CY59" s="388">
        <f t="shared" ca="1" si="103"/>
        <v>0</v>
      </c>
      <c r="CZ59" s="347"/>
      <c r="DA59" s="852"/>
      <c r="DB59" s="347"/>
      <c r="DC59" s="1012" t="s">
        <v>540</v>
      </c>
      <c r="DD59" s="841" t="s">
        <v>518</v>
      </c>
      <c r="DE59" s="386">
        <f>+IF($K59="ongoing",CE59,IF(RIGHT($K59,2)=RIGHT(DE$43,2),SUM($CD59:CE59),0)+IF(RIGHT(DE$43,2)&gt;RIGHT($K59,2),CE59,0))</f>
        <v>0</v>
      </c>
      <c r="DF59" s="387">
        <f>+IF($K59="ongoing",CF59,IF(RIGHT($K59,2)=RIGHT(DF$43,2),SUM($CD59:CF59),0)+IF(RIGHT(DF$43,2)&gt;RIGHT($K59,2),CF59,0))</f>
        <v>0</v>
      </c>
      <c r="DG59" s="388">
        <f>+IF($K59="ongoing",CG59,IF(RIGHT($K59,2)=RIGHT(DG$43,2),SUM($CD59:CG59),0)+IF(RIGHT(DG$43,2)&gt;RIGHT($K59,2),CG59,0))</f>
        <v>0</v>
      </c>
      <c r="DH59" s="386">
        <f>+IF($K59="ongoing",CH59,IF(RIGHT($K59,2)=RIGHT(DH$43,2),SUM($CD59:CH59),0)+IF(RIGHT(DH$43,2)&gt;RIGHT($K59,2),CH59,0))</f>
        <v>0</v>
      </c>
      <c r="DI59" s="387">
        <f>+IF($K59="ongoing",CI59,IF(RIGHT($K59,2)=RIGHT(DI$43,2),SUM($CD59:CI59),0)+IF(RIGHT(DI$43,2)&gt;RIGHT($K59,2),CI59,0))</f>
        <v>0</v>
      </c>
      <c r="DJ59" s="387">
        <f>+IF($K59="ongoing",CJ59,IF(RIGHT($K59,2)=RIGHT(DJ$43,2),SUM($CD59:CJ59),0)+IF(RIGHT(DJ$43,2)&gt;RIGHT($K59,2),CJ59,0))</f>
        <v>0</v>
      </c>
      <c r="DK59" s="387">
        <f>+IF($K59="ongoing",CK59,IF(RIGHT($K59,2)=RIGHT(DK$43,2),SUM($CD59:CK59),0)+IF(RIGHT(DK$43,2)&gt;RIGHT($K59,2),CK59,0))</f>
        <v>0</v>
      </c>
      <c r="DL59" s="388">
        <f>+IF($K59="ongoing",CN59,IF(RIGHT($K59,2)=RIGHT(DL$43,2),SUM($CD59:CN59),0)+IF(RIGHT(DL$43,2)&gt;RIGHT($K59,2),CN59,0))</f>
        <v>0</v>
      </c>
      <c r="DM59" s="841"/>
      <c r="DN59" s="386">
        <f t="shared" si="104"/>
        <v>0.5</v>
      </c>
      <c r="DO59" s="387">
        <f t="shared" si="105"/>
        <v>1</v>
      </c>
      <c r="DP59" s="388">
        <f t="shared" si="106"/>
        <v>1</v>
      </c>
      <c r="DQ59" s="386">
        <f t="shared" si="107"/>
        <v>1</v>
      </c>
      <c r="DR59" s="387">
        <f t="shared" si="108"/>
        <v>1</v>
      </c>
      <c r="DS59" s="387">
        <f t="shared" si="109"/>
        <v>1</v>
      </c>
      <c r="DT59" s="387">
        <f t="shared" si="110"/>
        <v>1</v>
      </c>
      <c r="DU59" s="388">
        <f t="shared" si="111"/>
        <v>1</v>
      </c>
      <c r="DW59" s="386">
        <f t="shared" si="112"/>
        <v>0</v>
      </c>
      <c r="DX59" s="387">
        <f t="shared" si="113"/>
        <v>0.5</v>
      </c>
      <c r="DY59" s="388">
        <f t="shared" si="114"/>
        <v>1</v>
      </c>
      <c r="DZ59" s="386">
        <f t="shared" si="115"/>
        <v>1</v>
      </c>
      <c r="EA59" s="387">
        <f t="shared" si="116"/>
        <v>1</v>
      </c>
      <c r="EB59" s="387">
        <f t="shared" si="117"/>
        <v>1</v>
      </c>
      <c r="EC59" s="387">
        <f t="shared" si="118"/>
        <v>1</v>
      </c>
      <c r="ED59" s="388">
        <f t="shared" si="119"/>
        <v>1</v>
      </c>
      <c r="EF59" s="834">
        <f>+IF(DN59=DM59,0,
IF(AND(EF$44&gt;1,DN59=$N59),1-SUM($EE59:EE59),
IF($N59&lt;=1,
IF($N59&gt;0,1/$N59,0),
IF(EF$44=1,0,VDB(1,0,$N59,INT(EF$44-1-1),MIN($N59,INT(EF$44-1-1)+1),$DC59,IF($DD59="No",1,0))/
IF(DM59&gt;=INT($N59),$N59-INT($N59),1)))*
IF(EF$44=1,0,
IF(INT(DN59)=INT(DM59),DN59-DM59,INT(DN59)-DM59))+
IF($N59&lt;=1,
IF($N59&gt;0,1/$N59,0),VDB(1,0,$N59,INT(EF$44-1),MIN($N59,INT(EF$44-1)+1),$DC59,IF($DD59="No",1,0))/
IF(DN59&gt;INT($N59),$N59-INT($N59),1))*
IF(EF$44=1,DN59,
IF(INT(DN59)=INT(DM59),0,DN59-INT(DN59)))))</f>
        <v>0</v>
      </c>
      <c r="EG59" s="835">
        <f>+IF(DO59=DN59,0,
IF(AND(EG$44&gt;1,DO59=$N59),1-SUM($EE59:EF59),
IF($N59&lt;=1,
IF($N59&gt;0,1/$N59,0),
IF(EG$44=1,0,VDB(1,0,$N59,INT(EG$44-1-1),MIN($N59,INT(EG$44-1-1)+1),$DC59,IF($DD59="No",1,0))/
IF(DN59&gt;=INT($N59),$N59-INT($N59),1)))*
IF(EG$44=1,0,
IF(INT(DO59)=INT(DN59),DO59-DN59,INT(DO59)-DN59))+
IF($N59&lt;=1,
IF($N59&gt;0,1/$N59,0),VDB(1,0,$N59,INT(EG$44-1),MIN($N59,INT(EG$44-1)+1),$DC59,IF($DD59="No",1,0))/
IF(DO59&gt;INT($N59),$N59-INT($N59),1))*
IF(EG$44=1,DO59,
IF(INT(DO59)=INT(DN59),0,DO59-INT(DO59)))))</f>
        <v>0</v>
      </c>
      <c r="EH59" s="836">
        <f>+IF(DP59=DO59,0,
IF(AND(EH$44&gt;1,DP59=$N59),1-SUM($EE59:EG59),
IF($N59&lt;=1,
IF($N59&gt;0,1/$N59,0),
IF(EH$44=1,0,VDB(1,0,$N59,INT(EH$44-1-1),MIN($N59,INT(EH$44-1-1)+1),$DC59,IF($DD59="No",1,0))/
IF(DO59&gt;=INT($N59),$N59-INT($N59),1)))*
IF(EH$44=1,0,
IF(INT(DP59)=INT(DO59),DP59-DO59,INT(DP59)-DO59))+
IF($N59&lt;=1,
IF($N59&gt;0,1/$N59,0),VDB(1,0,$N59,INT(EH$44-1),MIN($N59,INT(EH$44-1)+1),$DC59,IF($DD59="No",1,0))/
IF(DP59&gt;INT($N59),$N59-INT($N59),1))*
IF(EH$44=1,DP59,
IF(INT(DP59)=INT(DO59),0,DP59-INT(DP59)))))</f>
        <v>0</v>
      </c>
      <c r="EI59" s="834">
        <f>+IF(DQ59=DP59,0,
IF(AND(EI$44&gt;1,DQ59=$N59),1-SUM($EE59:EH59),
IF($N59&lt;=1,
IF($N59&gt;0,1/$N59,0),
IF(EI$44=1,0,VDB(1,0,$N59,INT(EI$44-1-1),MIN($N59,INT(EI$44-1-1)+1),$DC59,IF($DD59="No",1,0))/
IF(DP59&gt;=INT($N59),$N59-INT($N59),1)))*
IF(EI$44=1,0,
IF(INT(DQ59)=INT(DP59),DQ59-DP59,INT(DQ59)-DP59))+
IF($N59&lt;=1,
IF($N59&gt;0,1/$N59,0),VDB(1,0,$N59,INT(EI$44-1),MIN($N59,INT(EI$44-1)+1),$DC59,IF($DD59="No",1,0))/
IF(DQ59&gt;INT($N59),$N59-INT($N59),1))*
IF(EI$44=1,DQ59,
IF(INT(DQ59)=INT(DP59),0,DQ59-INT(DQ59)))))</f>
        <v>0</v>
      </c>
      <c r="EJ59" s="835">
        <f>+IF(DR59=DQ59,0,
IF(AND(EJ$44&gt;1,DR59=$N59),1-SUM($EE59:EI59),
IF($N59&lt;=1,
IF($N59&gt;0,1/$N59,0),
IF(EJ$44=1,0,VDB(1,0,$N59,INT(EJ$44-1-1),MIN($N59,INT(EJ$44-1-1)+1),$DC59,IF($DD59="No",1,0))/
IF(DQ59&gt;=INT($N59),$N59-INT($N59),1)))*
IF(EJ$44=1,0,
IF(INT(DR59)=INT(DQ59),DR59-DQ59,INT(DR59)-DQ59))+
IF($N59&lt;=1,
IF($N59&gt;0,1/$N59,0),VDB(1,0,$N59,INT(EJ$44-1),MIN($N59,INT(EJ$44-1)+1),$DC59,IF($DD59="No",1,0))/
IF(DR59&gt;INT($N59),$N59-INT($N59),1))*
IF(EJ$44=1,DR59,
IF(INT(DR59)=INT(DQ59),0,DR59-INT(DR59)))))</f>
        <v>0</v>
      </c>
      <c r="EK59" s="835">
        <f>+IF(DS59=DR59,0,
IF(AND(EK$44&gt;1,DS59=$N59),1-SUM($EE59:EJ59),
IF($N59&lt;=1,
IF($N59&gt;0,1/$N59,0),
IF(EK$44=1,0,VDB(1,0,$N59,INT(EK$44-1-1),MIN($N59,INT(EK$44-1-1)+1),$DC59,IF($DD59="No",1,0))/
IF(DR59&gt;=INT($N59),$N59-INT($N59),1)))*
IF(EK$44=1,0,
IF(INT(DS59)=INT(DR59),DS59-DR59,INT(DS59)-DR59))+
IF($N59&lt;=1,
IF($N59&gt;0,1/$N59,0),VDB(1,0,$N59,INT(EK$44-1),MIN($N59,INT(EK$44-1)+1),$DC59,IF($DD59="No",1,0))/
IF(DS59&gt;INT($N59),$N59-INT($N59),1))*
IF(EK$44=1,DS59,
IF(INT(DS59)=INT(DR59),0,DS59-INT(DS59)))))</f>
        <v>0</v>
      </c>
      <c r="EL59" s="835">
        <f>+IF(DT59=DS59,0,
IF(AND(EL$44&gt;1,DT59=$N59),1-SUM($EE59:EK59),
IF($N59&lt;=1,
IF($N59&gt;0,1/$N59,0),
IF(EL$44=1,0,VDB(1,0,$N59,INT(EL$44-1-1),MIN($N59,INT(EL$44-1-1)+1),$DC59,IF($DD59="No",1,0))/
IF(DS59&gt;=INT($N59),$N59-INT($N59),1)))*
IF(EL$44=1,0,
IF(INT(DT59)=INT(DS59),DT59-DS59,INT(DT59)-DS59))+
IF($N59&lt;=1,
IF($N59&gt;0,1/$N59,0),VDB(1,0,$N59,INT(EL$44-1),MIN($N59,INT(EL$44-1)+1),$DC59,IF($DD59="No",1,0))/
IF(DT59&gt;INT($N59),$N59-INT($N59),1))*
IF(EL$44=1,DT59,
IF(INT(DT59)=INT(DS59),0,DT59-INT(DT59)))))</f>
        <v>0</v>
      </c>
      <c r="EM59" s="836">
        <f>+IF(DU59=DT59,0,
IF(AND(EM$44&gt;1,DU59=$N59),1-SUM($EE59:EL59),
IF($N59&lt;=1,
IF($N59&gt;0,1/$N59,0),
IF(EM$44=1,0,VDB(1,0,$N59,INT(EM$44-1-1),MIN($N59,INT(EM$44-1-1)+1),$DC59,IF($DD59="No",1,0))/
IF(DT59&gt;=INT($N59),$N59-INT($N59),1)))*
IF(EM$44=1,0,
IF(INT(DU59)=INT(DT59),DU59-DT59,INT(DU59)-DT59))+
IF($N59&lt;=1,
IF($N59&gt;0,1/$N59,0),VDB(1,0,$N59,INT(EM$44-1),MIN($N59,INT(EM$44-1)+1),$DC59,IF($DD59="No",1,0))/
IF(DU59&gt;INT($N59),$N59-INT($N59),1))*
IF(EM$44=1,DU59,
IF(INT(DU59)=INT(DT59),0,DU59-INT(DU59)))))</f>
        <v>0</v>
      </c>
      <c r="EN59" s="833"/>
      <c r="EO59" s="834">
        <f>+IF(OR(DW59=DV59,EO$44=1),0,
IF(AND(EO$44&gt;1,DW59=$N59),1-SUM($EN59:EN59),
IF($N59&lt;=1,
IF($N59&gt;0,1/$N59,0),
IF(EO$44=2,0,VDB(1,0,$N59,INT(EO$44-2-1),MIN($N59,INT(EO$44-2-1)+1),$DC59,IF($DD59="No",1,0))/
IF(DV59&gt;=INT($N59),$N59-INT($N59),1)))*
IF(EO$44=2,0,
IF(INT(DW59)=INT(DV59),DW59-DV59,INT(DW59)-DV59))+
IF($N59&lt;=1,
IF($N59&gt;0,1/$N59,0),VDB(1,0,$N59,INT(EO$44-2),MIN($N59,INT(EO$44-2)+1),$DC59,IF($DD59="No",1,0))/
IF(DW59&gt;INT($N59),$N59-INT($N59),1))*
IF(EO$44=2,DW59,
IF(INT(DW59)=INT(DV59),0,DW59-INT(DW59)))))</f>
        <v>0</v>
      </c>
      <c r="EP59" s="835">
        <f>+IF(OR(DX59=DW59,EP$44=1),0,
IF(AND(EP$44&gt;1,DX59=$N59),1-SUM($EN59:EO59),
IF($N59&lt;=1,
IF($N59&gt;0,1/$N59,0),
IF(EP$44=2,0,VDB(1,0,$N59,INT(EP$44-2-1),MIN($N59,INT(EP$44-2-1)+1),$DC59,IF($DD59="No",1,0))/
IF(DW59&gt;=INT($N59),$N59-INT($N59),1)))*
IF(EP$44=2,0,
IF(INT(DX59)=INT(DW59),DX59-DW59,INT(DX59)-DW59))+
IF($N59&lt;=1,
IF($N59&gt;0,1/$N59,0),VDB(1,0,$N59,INT(EP$44-2),MIN($N59,INT(EP$44-2)+1),$DC59,IF($DD59="No",1,0))/
IF(DX59&gt;INT($N59),$N59-INT($N59),1))*
IF(EP$44=2,DX59,
IF(INT(DX59)=INT(DW59),0,DX59-INT(DX59)))))</f>
        <v>0</v>
      </c>
      <c r="EQ59" s="836">
        <f>+IF(OR(DY59=DX59,EQ$44=1),0,
IF(AND(EQ$44&gt;1,DY59=$N59),1-SUM($EN59:EP59),
IF($N59&lt;=1,
IF($N59&gt;0,1/$N59,0),
IF(EQ$44=2,0,VDB(1,0,$N59,INT(EQ$44-2-1),MIN($N59,INT(EQ$44-2-1)+1),$DC59,IF($DD59="No",1,0))/
IF(DX59&gt;=INT($N59),$N59-INT($N59),1)))*
IF(EQ$44=2,0,
IF(INT(DY59)=INT(DX59),DY59-DX59,INT(DY59)-DX59))+
IF($N59&lt;=1,
IF($N59&gt;0,1/$N59,0),VDB(1,0,$N59,INT(EQ$44-2),MIN($N59,INT(EQ$44-2)+1),$DC59,IF($DD59="No",1,0))/
IF(DY59&gt;INT($N59),$N59-INT($N59),1))*
IF(EQ$44=2,DY59,
IF(INT(DY59)=INT(DX59),0,DY59-INT(DY59)))))</f>
        <v>0</v>
      </c>
      <c r="ER59" s="834">
        <f>+IF(OR(DZ59=DY59,ER$44=1),0,
IF(AND(ER$44&gt;1,DZ59=$N59),1-SUM($EN59:EQ59),
IF($N59&lt;=1,
IF($N59&gt;0,1/$N59,0),
IF(ER$44=2,0,VDB(1,0,$N59,INT(ER$44-2-1),MIN($N59,INT(ER$44-2-1)+1),$DC59,IF($DD59="No",1,0))/
IF(DY59&gt;=INT($N59),$N59-INT($N59),1)))*
IF(ER$44=2,0,
IF(INT(DZ59)=INT(DY59),DZ59-DY59,INT(DZ59)-DY59))+
IF($N59&lt;=1,
IF($N59&gt;0,1/$N59,0),VDB(1,0,$N59,INT(ER$44-2),MIN($N59,INT(ER$44-2)+1),$DC59,IF($DD59="No",1,0))/
IF(DZ59&gt;INT($N59),$N59-INT($N59),1))*
IF(ER$44=2,DZ59,
IF(INT(DZ59)=INT(DY59),0,DZ59-INT(DZ59)))))</f>
        <v>0</v>
      </c>
      <c r="ES59" s="835">
        <f>+IF(OR(EA59=DZ59,ES$44=1),0,
IF(AND(ES$44&gt;1,EA59=$N59),1-SUM($EN59:ER59),
IF($N59&lt;=1,
IF($N59&gt;0,1/$N59,0),
IF(ES$44=2,0,VDB(1,0,$N59,INT(ES$44-2-1),MIN($N59,INT(ES$44-2-1)+1),$DC59,IF($DD59="No",1,0))/
IF(DZ59&gt;=INT($N59),$N59-INT($N59),1)))*
IF(ES$44=2,0,
IF(INT(EA59)=INT(DZ59),EA59-DZ59,INT(EA59)-DZ59))+
IF($N59&lt;=1,
IF($N59&gt;0,1/$N59,0),VDB(1,0,$N59,INT(ES$44-2),MIN($N59,INT(ES$44-2)+1),$DC59,IF($DD59="No",1,0))/
IF(EA59&gt;INT($N59),$N59-INT($N59),1))*
IF(ES$44=2,EA59,
IF(INT(EA59)=INT(DZ59),0,EA59-INT(EA59)))))</f>
        <v>0</v>
      </c>
      <c r="ET59" s="835">
        <f>+IF(OR(EB59=EA59,ET$44=1),0,
IF(AND(ET$44&gt;1,EB59=$N59),1-SUM($EN59:ES59),
IF($N59&lt;=1,
IF($N59&gt;0,1/$N59,0),
IF(ET$44=2,0,VDB(1,0,$N59,INT(ET$44-2-1),MIN($N59,INT(ET$44-2-1)+1),$DC59,IF($DD59="No",1,0))/
IF(EA59&gt;=INT($N59),$N59-INT($N59),1)))*
IF(ET$44=2,0,
IF(INT(EB59)=INT(EA59),EB59-EA59,INT(EB59)-EA59))+
IF($N59&lt;=1,
IF($N59&gt;0,1/$N59,0),VDB(1,0,$N59,INT(ET$44-2),MIN($N59,INT(ET$44-2)+1),$DC59,IF($DD59="No",1,0))/
IF(EB59&gt;INT($N59),$N59-INT($N59),1))*
IF(ET$44=2,EB59,
IF(INT(EB59)=INT(EA59),0,EB59-INT(EB59)))))</f>
        <v>0</v>
      </c>
      <c r="EU59" s="835">
        <f>+IF(OR(EC59=EB59,EU$44=1),0,
IF(AND(EU$44&gt;1,EC59=$N59),1-SUM($EN59:ET59),
IF($N59&lt;=1,
IF($N59&gt;0,1/$N59,0),
IF(EU$44=2,0,VDB(1,0,$N59,INT(EU$44-2-1),MIN($N59,INT(EU$44-2-1)+1),$DC59,IF($DD59="No",1,0))/
IF(EB59&gt;=INT($N59),$N59-INT($N59),1)))*
IF(EU$44=2,0,
IF(INT(EC59)=INT(EB59),EC59-EB59,INT(EC59)-EB59))+
IF($N59&lt;=1,
IF($N59&gt;0,1/$N59,0),VDB(1,0,$N59,INT(EU$44-2),MIN($N59,INT(EU$44-2)+1),$DC59,IF($DD59="No",1,0))/
IF(EC59&gt;INT($N59),$N59-INT($N59),1))*
IF(EU$44=2,EC59,
IF(INT(EC59)=INT(EB59),0,EC59-INT(EC59)))))</f>
        <v>0</v>
      </c>
      <c r="EV59" s="836">
        <f>+IF(OR(ED59=EC59,EV$44=1),0,
IF(AND(EV$44&gt;1,ED59=$N59),1-SUM($EN59:EU59),
IF($N59&lt;=1,
IF($N59&gt;0,1/$N59,0),
IF(EV$44=2,0,VDB(1,0,$N59,INT(EV$44-2-1),MIN($N59,INT(EV$44-2-1)+1),$DC59,IF($DD59="No",1,0))/
IF(EC59&gt;=INT($N59),$N59-INT($N59),1)))*
IF(EV$44=2,0,
IF(INT(ED59)=INT(EC59),ED59-EC59,INT(ED59)-EC59))+
IF($N59&lt;=1,
IF($N59&gt;0,1/$N59,0),VDB(1,0,$N59,INT(EV$44-2),MIN($N59,INT(EV$44-2)+1),$DC59,IF($DD59="No",1,0))/
IF(ED59&gt;INT($N59),$N59-INT($N59),1))*
IF(EV$44=2,ED59,
IF(INT(ED59)=INT(EC59),0,ED59-INT(ED59)))))</f>
        <v>0</v>
      </c>
      <c r="EW59" s="833"/>
      <c r="EX59" s="834">
        <f t="shared" ca="1" si="60"/>
        <v>0</v>
      </c>
      <c r="EY59" s="835">
        <f t="shared" ca="1" si="60"/>
        <v>0</v>
      </c>
      <c r="EZ59" s="836">
        <f t="shared" ca="1" si="60"/>
        <v>0</v>
      </c>
      <c r="FA59" s="834">
        <f t="shared" ca="1" si="60"/>
        <v>0</v>
      </c>
      <c r="FB59" s="835">
        <f t="shared" ca="1" si="60"/>
        <v>0</v>
      </c>
      <c r="FC59" s="835">
        <f t="shared" ca="1" si="60"/>
        <v>0</v>
      </c>
      <c r="FD59" s="835">
        <f t="shared" ca="1" si="60"/>
        <v>0</v>
      </c>
      <c r="FE59" s="836">
        <f t="shared" ca="1" si="60"/>
        <v>0</v>
      </c>
      <c r="FG59" s="386">
        <f t="shared" ca="1" si="120"/>
        <v>0</v>
      </c>
      <c r="FH59" s="387">
        <f t="shared" ca="1" si="121"/>
        <v>0</v>
      </c>
      <c r="FI59" s="388">
        <f t="shared" ca="1" si="122"/>
        <v>0</v>
      </c>
      <c r="FJ59" s="386">
        <f t="shared" ca="1" si="123"/>
        <v>0</v>
      </c>
      <c r="FK59" s="387">
        <f t="shared" ca="1" si="124"/>
        <v>0</v>
      </c>
      <c r="FL59" s="387">
        <f t="shared" ca="1" si="125"/>
        <v>0</v>
      </c>
      <c r="FM59" s="387">
        <f t="shared" ca="1" si="126"/>
        <v>0</v>
      </c>
      <c r="FN59" s="388">
        <f t="shared" ca="1" si="127"/>
        <v>0</v>
      </c>
      <c r="FR59" s="116"/>
    </row>
    <row r="60" spans="2:174" ht="12.75" thickBot="1">
      <c r="B60" s="1410">
        <f t="shared" si="73"/>
        <v>15</v>
      </c>
      <c r="C60" s="404" t="s">
        <v>541</v>
      </c>
      <c r="D60" s="405"/>
      <c r="E60" s="406" t="s">
        <v>420</v>
      </c>
      <c r="F60" s="406" t="s">
        <v>514</v>
      </c>
      <c r="G60" s="404" t="s">
        <v>522</v>
      </c>
      <c r="H60" s="2092" t="s">
        <v>481</v>
      </c>
      <c r="I60" s="2093"/>
      <c r="J60" s="1968" t="s">
        <v>516</v>
      </c>
      <c r="K60" s="407" t="s">
        <v>111</v>
      </c>
      <c r="L60" s="407">
        <v>25</v>
      </c>
      <c r="M60" s="407" t="s">
        <v>142</v>
      </c>
      <c r="N60" s="407"/>
      <c r="O60" s="347"/>
      <c r="P60" s="347"/>
      <c r="Q60" s="1021">
        <v>8.6131600566896527</v>
      </c>
      <c r="R60" s="1022">
        <v>21.926222719975716</v>
      </c>
      <c r="S60" s="1022">
        <v>3.2474137316564476E-2</v>
      </c>
      <c r="T60" s="1022">
        <v>2.1121390124594783E-2</v>
      </c>
      <c r="U60" s="1023">
        <v>0</v>
      </c>
      <c r="V60" s="1021">
        <v>0</v>
      </c>
      <c r="W60" s="1022">
        <v>0</v>
      </c>
      <c r="X60" s="1022">
        <v>0</v>
      </c>
      <c r="Y60" s="1022">
        <v>0</v>
      </c>
      <c r="Z60" s="1023">
        <v>0</v>
      </c>
      <c r="AA60" s="1024"/>
      <c r="AB60" s="1021">
        <v>2.7021113152262388</v>
      </c>
      <c r="AC60" s="1022">
        <v>6.8786710245563238</v>
      </c>
      <c r="AD60" s="1022">
        <v>1.0187751454490503E-2</v>
      </c>
      <c r="AE60" s="1022">
        <v>6.6261798077987006E-3</v>
      </c>
      <c r="AF60" s="1023">
        <v>0</v>
      </c>
      <c r="AG60" s="1021">
        <v>0</v>
      </c>
      <c r="AH60" s="1022">
        <v>0</v>
      </c>
      <c r="AI60" s="1022">
        <v>0</v>
      </c>
      <c r="AJ60" s="1022">
        <v>0</v>
      </c>
      <c r="AK60" s="1023">
        <v>0</v>
      </c>
      <c r="AL60" s="1024"/>
      <c r="AM60" s="1021">
        <v>0</v>
      </c>
      <c r="AN60" s="1022">
        <v>0</v>
      </c>
      <c r="AO60" s="1022">
        <v>0</v>
      </c>
      <c r="AP60" s="1022">
        <v>0</v>
      </c>
      <c r="AQ60" s="1023">
        <v>0</v>
      </c>
      <c r="AR60" s="1021">
        <v>0</v>
      </c>
      <c r="AS60" s="1022">
        <v>0</v>
      </c>
      <c r="AT60" s="1022">
        <v>0</v>
      </c>
      <c r="AU60" s="1022">
        <v>0</v>
      </c>
      <c r="AV60" s="1023">
        <v>0</v>
      </c>
      <c r="AW60" s="1025"/>
      <c r="AX60" s="1284">
        <f t="shared" si="74"/>
        <v>5.9110487414634143</v>
      </c>
      <c r="AY60" s="390">
        <f t="shared" si="75"/>
        <v>15.047551695419392</v>
      </c>
      <c r="AZ60" s="390">
        <f t="shared" si="76"/>
        <v>2.2286385862073974E-2</v>
      </c>
      <c r="BA60" s="390">
        <f t="shared" si="77"/>
        <v>1.4495210316796082E-2</v>
      </c>
      <c r="BB60" s="1285">
        <f t="shared" si="78"/>
        <v>0</v>
      </c>
      <c r="BC60" s="389">
        <f t="shared" si="79"/>
        <v>0</v>
      </c>
      <c r="BD60" s="390">
        <f t="shared" si="80"/>
        <v>0</v>
      </c>
      <c r="BE60" s="1278">
        <f t="shared" si="81"/>
        <v>0</v>
      </c>
      <c r="BF60" s="1278">
        <f t="shared" si="82"/>
        <v>0</v>
      </c>
      <c r="BG60" s="391">
        <f t="shared" si="83"/>
        <v>0</v>
      </c>
      <c r="BH60" s="1025"/>
      <c r="BI60" s="1284">
        <f t="shared" ca="1" si="84"/>
        <v>0</v>
      </c>
      <c r="BJ60" s="390">
        <f t="shared" ca="1" si="85"/>
        <v>0</v>
      </c>
      <c r="BK60" s="390">
        <f t="shared" ca="1" si="86"/>
        <v>0</v>
      </c>
      <c r="BL60" s="390">
        <f t="shared" ca="1" si="87"/>
        <v>0.41990764066123348</v>
      </c>
      <c r="BM60" s="1285">
        <f t="shared" ca="1" si="88"/>
        <v>0.83981528132246697</v>
      </c>
      <c r="BN60" s="389">
        <f t="shared" ca="1" si="89"/>
        <v>0.83981528132246697</v>
      </c>
      <c r="BO60" s="390">
        <f t="shared" ca="1" si="90"/>
        <v>0.83981528132246697</v>
      </c>
      <c r="BP60" s="1278">
        <f t="shared" ca="1" si="91"/>
        <v>0.83981528132246697</v>
      </c>
      <c r="BQ60" s="1278">
        <f t="shared" ca="1" si="92"/>
        <v>0.83981528132246697</v>
      </c>
      <c r="BR60" s="391">
        <f t="shared" ca="1" si="93"/>
        <v>0.83981528132246697</v>
      </c>
      <c r="BS60" s="1025"/>
      <c r="BT60" s="1282">
        <f>+IF($K60="Ongoing",AX60,IF(RIGHT($K60,2)=RIGHT(BT$43,2),SUM($AX60:AX60),0)+IF(RIGHT(BT$43,2)&gt;RIGHT($K60,2),AX60,0))</f>
        <v>0</v>
      </c>
      <c r="BU60" s="387">
        <f>+IF($K60="Ongoing",AY60,IF(RIGHT($K60,2)=RIGHT(BU$43,2),SUM($AX60:AY60),0)+IF(RIGHT(BU$43,2)&gt;RIGHT($K60,2),AY60,0))</f>
        <v>0</v>
      </c>
      <c r="BV60" s="387">
        <f>+IF($K60="Ongoing",AZ60,IF(RIGHT($K60,2)=RIGHT(BV$43,2),SUM($AX60:AZ60),0)+IF(RIGHT(BV$43,2)&gt;RIGHT($K60,2),AZ60,0))</f>
        <v>0</v>
      </c>
      <c r="BW60" s="387">
        <f>+IF($K60="Ongoing",BA60,IF(RIGHT($K60,2)=RIGHT(BW$43,2),SUM($AX60:BA60),0)+IF(RIGHT(BW$43,2)&gt;RIGHT($K60,2),BA60,0))</f>
        <v>20.995382033061674</v>
      </c>
      <c r="BX60" s="1283">
        <f>+IF($K60="Ongoing",BB60,IF(RIGHT($K60,2)=RIGHT(BX$43,2),SUM($AX60:BB60),0)+IF(RIGHT(BX$43,2)&gt;RIGHT($K60,2),BB60,0))</f>
        <v>0</v>
      </c>
      <c r="BY60" s="386">
        <f>+IF($K60="Ongoing",BC60,IF(RIGHT($K60,2)=RIGHT(BY$43,2),SUM($AX60:BC60),0)+IF(RIGHT(BY$43,2)&gt;RIGHT($K60,2),BC60,0))</f>
        <v>0</v>
      </c>
      <c r="BZ60" s="387">
        <f>+IF($K60="Ongoing",BD60,IF(RIGHT($K60,2)=RIGHT(BZ$43,2),SUM($AX60:BD60),0)+IF(RIGHT(BZ$43,2)&gt;RIGHT($K60,2),BD60,0))</f>
        <v>0</v>
      </c>
      <c r="CA60" s="1277">
        <f>+IF($K60="Ongoing",BE60,IF(RIGHT($K60,2)=RIGHT(CA$43,2),SUM($AX60:BE60),0)+IF(RIGHT(CA$43,2)&gt;RIGHT($K60,2),BE60,0))</f>
        <v>0</v>
      </c>
      <c r="CB60" s="1277">
        <f>+IF($K60="Ongoing",BF60,IF(RIGHT($K60,2)=RIGHT(CB$43,2),SUM($AX60:BF60),0)+IF(RIGHT(CB$43,2)&gt;RIGHT($K60,2),BF60,0))</f>
        <v>0</v>
      </c>
      <c r="CC60" s="388">
        <f>+IF($K60="Ongoing",BG60,IF(RIGHT($K60,2)=RIGHT(CC$43,2),SUM($AX60:BG60),0)+IF(RIGHT(CC$43,2)&gt;RIGHT($K60,2),BG60,0))</f>
        <v>0</v>
      </c>
      <c r="CD60" s="1025"/>
      <c r="CE60" s="1284">
        <f>+Q60*KeyAssumptionsPriceControl_FO!AF$15</f>
        <v>8.8629416983336515</v>
      </c>
      <c r="CF60" s="390">
        <f>+R60*KeyAssumptionsPriceControl_FO!AG$15</f>
        <v>23.216383591041804</v>
      </c>
      <c r="CG60" s="390">
        <f>+S60*KeyAssumptionsPriceControl_FO!AH$15</f>
        <v>3.5382111523290287E-2</v>
      </c>
      <c r="CH60" s="390">
        <f>+T60*KeyAssumptionsPriceControl_FO!AI$15</f>
        <v>2.3680125370709404E-2</v>
      </c>
      <c r="CI60" s="1285">
        <f>+U60*KeyAssumptionsPriceControl_FO!AJ$15</f>
        <v>0</v>
      </c>
      <c r="CJ60" s="389">
        <f>+V60*KeyAssumptionsPriceControl_FO!AK$15</f>
        <v>0</v>
      </c>
      <c r="CK60" s="390">
        <f>+W60*KeyAssumptionsPriceControl_FO!AL$15</f>
        <v>0</v>
      </c>
      <c r="CL60" s="1278">
        <f>+X60*KeyAssumptionsPriceControl_FO!AM$15</f>
        <v>0</v>
      </c>
      <c r="CM60" s="1278">
        <f>+Y60*KeyAssumptionsPriceControl_FO!AN$15</f>
        <v>0</v>
      </c>
      <c r="CN60" s="391">
        <f>+Z60*KeyAssumptionsPriceControl_FO!AO$15</f>
        <v>0</v>
      </c>
      <c r="CO60" s="1025"/>
      <c r="CP60" s="1284">
        <f t="shared" ca="1" si="94"/>
        <v>0</v>
      </c>
      <c r="CQ60" s="390">
        <f t="shared" ca="1" si="95"/>
        <v>0</v>
      </c>
      <c r="CR60" s="390">
        <f t="shared" ca="1" si="96"/>
        <v>0</v>
      </c>
      <c r="CS60" s="390">
        <f t="shared" ca="1" si="97"/>
        <v>0</v>
      </c>
      <c r="CT60" s="1285">
        <f t="shared" ca="1" si="98"/>
        <v>0</v>
      </c>
      <c r="CU60" s="389">
        <f t="shared" ca="1" si="99"/>
        <v>0</v>
      </c>
      <c r="CV60" s="390">
        <f t="shared" ca="1" si="100"/>
        <v>0</v>
      </c>
      <c r="CW60" s="1278">
        <f t="shared" ca="1" si="101"/>
        <v>0</v>
      </c>
      <c r="CX60" s="1278">
        <f t="shared" ca="1" si="102"/>
        <v>0</v>
      </c>
      <c r="CY60" s="391">
        <f t="shared" ca="1" si="103"/>
        <v>0</v>
      </c>
      <c r="CZ60" s="347"/>
      <c r="DA60" s="852"/>
      <c r="DB60" s="347"/>
      <c r="DC60" s="1012" t="s">
        <v>542</v>
      </c>
      <c r="DD60" s="841" t="s">
        <v>518</v>
      </c>
      <c r="DE60" s="386">
        <f>+IF($K60="ongoing",CE60,IF(RIGHT($K60,2)=RIGHT(DE$43,2),SUM($CD60:CE60),0)+IF(RIGHT(DE$43,2)&gt;RIGHT($K60,2),CE60,0))</f>
        <v>0</v>
      </c>
      <c r="DF60" s="387">
        <f>+IF($K60="ongoing",CF60,IF(RIGHT($K60,2)=RIGHT(DF$43,2),SUM($CD60:CF60),0)+IF(RIGHT(DF$43,2)&gt;RIGHT($K60,2),CF60,0))</f>
        <v>0</v>
      </c>
      <c r="DG60" s="388">
        <f>+IF($K60="ongoing",CG60,IF(RIGHT($K60,2)=RIGHT(DG$43,2),SUM($CD60:CG60),0)+IF(RIGHT(DG$43,2)&gt;RIGHT($K60,2),CG60,0))</f>
        <v>0</v>
      </c>
      <c r="DH60" s="386">
        <f>+IF($K60="ongoing",CH60,IF(RIGHT($K60,2)=RIGHT(DH$43,2),SUM($CD60:CH60),0)+IF(RIGHT(DH$43,2)&gt;RIGHT($K60,2),CH60,0))</f>
        <v>0</v>
      </c>
      <c r="DI60" s="387">
        <f>+IF($K60="ongoing",CI60,IF(RIGHT($K60,2)=RIGHT(DI$43,2),SUM($CD60:CI60),0)+IF(RIGHT(DI$43,2)&gt;RIGHT($K60,2),CI60,0))</f>
        <v>0</v>
      </c>
      <c r="DJ60" s="387">
        <f>+IF($K60="ongoing",CJ60,IF(RIGHT($K60,2)=RIGHT(DJ$43,2),SUM($CD60:CJ60),0)+IF(RIGHT(DJ$43,2)&gt;RIGHT($K60,2),CJ60,0))</f>
        <v>0</v>
      </c>
      <c r="DK60" s="387">
        <f>+IF($K60="ongoing",CK60,IF(RIGHT($K60,2)=RIGHT(DK$43,2),SUM($CD60:CK60),0)+IF(RIGHT(DK$43,2)&gt;RIGHT($K60,2),CK60,0))</f>
        <v>0</v>
      </c>
      <c r="DL60" s="388">
        <f>+IF($K60="ongoing",CN60,IF(RIGHT($K60,2)=RIGHT(DL$43,2),SUM($CD60:CN60),0)+IF(RIGHT(DL$43,2)&gt;RIGHT($K60,2),CN60,0))</f>
        <v>0</v>
      </c>
      <c r="DM60" s="841"/>
      <c r="DN60" s="386">
        <f t="shared" si="104"/>
        <v>0.5</v>
      </c>
      <c r="DO60" s="387">
        <f t="shared" si="105"/>
        <v>1</v>
      </c>
      <c r="DP60" s="388">
        <f t="shared" si="106"/>
        <v>1</v>
      </c>
      <c r="DQ60" s="386">
        <f t="shared" si="107"/>
        <v>1</v>
      </c>
      <c r="DR60" s="387">
        <f t="shared" si="108"/>
        <v>1</v>
      </c>
      <c r="DS60" s="387">
        <f t="shared" si="109"/>
        <v>1</v>
      </c>
      <c r="DT60" s="387">
        <f t="shared" si="110"/>
        <v>1</v>
      </c>
      <c r="DU60" s="388">
        <f t="shared" si="111"/>
        <v>1</v>
      </c>
      <c r="DW60" s="386">
        <f t="shared" si="112"/>
        <v>0</v>
      </c>
      <c r="DX60" s="387">
        <f t="shared" si="113"/>
        <v>0.5</v>
      </c>
      <c r="DY60" s="388">
        <f t="shared" si="114"/>
        <v>1</v>
      </c>
      <c r="DZ60" s="386">
        <f t="shared" si="115"/>
        <v>1</v>
      </c>
      <c r="EA60" s="387">
        <f t="shared" si="116"/>
        <v>1</v>
      </c>
      <c r="EB60" s="387">
        <f t="shared" si="117"/>
        <v>1</v>
      </c>
      <c r="EC60" s="387">
        <f t="shared" si="118"/>
        <v>1</v>
      </c>
      <c r="ED60" s="388">
        <f t="shared" si="119"/>
        <v>1</v>
      </c>
      <c r="EF60" s="834">
        <f>+IF(DN60=DM60,0,
IF(AND(EF$44&gt;1,DN60=$N60),1-SUM($EE60:EE60),
IF($N60&lt;=1,
IF($N60&gt;0,1/$N60,0),
IF(EF$44=1,0,VDB(1,0,$N60,INT(EF$44-1-1),MIN($N60,INT(EF$44-1-1)+1),$DC60,IF($DD60="No",1,0))/
IF(DM60&gt;=INT($N60),$N60-INT($N60),1)))*
IF(EF$44=1,0,
IF(INT(DN60)=INT(DM60),DN60-DM60,INT(DN60)-DM60))+
IF($N60&lt;=1,
IF($N60&gt;0,1/$N60,0),VDB(1,0,$N60,INT(EF$44-1),MIN($N60,INT(EF$44-1)+1),$DC60,IF($DD60="No",1,0))/
IF(DN60&gt;INT($N60),$N60-INT($N60),1))*
IF(EF$44=1,DN60,
IF(INT(DN60)=INT(DM60),0,DN60-INT(DN60)))))</f>
        <v>0</v>
      </c>
      <c r="EG60" s="835">
        <f>+IF(DO60=DN60,0,
IF(AND(EG$44&gt;1,DO60=$N60),1-SUM($EE60:EF60),
IF($N60&lt;=1,
IF($N60&gt;0,1/$N60,0),
IF(EG$44=1,0,VDB(1,0,$N60,INT(EG$44-1-1),MIN($N60,INT(EG$44-1-1)+1),$DC60,IF($DD60="No",1,0))/
IF(DN60&gt;=INT($N60),$N60-INT($N60),1)))*
IF(EG$44=1,0,
IF(INT(DO60)=INT(DN60),DO60-DN60,INT(DO60)-DN60))+
IF($N60&lt;=1,
IF($N60&gt;0,1/$N60,0),VDB(1,0,$N60,INT(EG$44-1),MIN($N60,INT(EG$44-1)+1),$DC60,IF($DD60="No",1,0))/
IF(DO60&gt;INT($N60),$N60-INT($N60),1))*
IF(EG$44=1,DO60,
IF(INT(DO60)=INT(DN60),0,DO60-INT(DO60)))))</f>
        <v>0</v>
      </c>
      <c r="EH60" s="836">
        <f>+IF(DP60=DO60,0,
IF(AND(EH$44&gt;1,DP60=$N60),1-SUM($EE60:EG60),
IF($N60&lt;=1,
IF($N60&gt;0,1/$N60,0),
IF(EH$44=1,0,VDB(1,0,$N60,INT(EH$44-1-1),MIN($N60,INT(EH$44-1-1)+1),$DC60,IF($DD60="No",1,0))/
IF(DO60&gt;=INT($N60),$N60-INT($N60),1)))*
IF(EH$44=1,0,
IF(INT(DP60)=INT(DO60),DP60-DO60,INT(DP60)-DO60))+
IF($N60&lt;=1,
IF($N60&gt;0,1/$N60,0),VDB(1,0,$N60,INT(EH$44-1),MIN($N60,INT(EH$44-1)+1),$DC60,IF($DD60="No",1,0))/
IF(DP60&gt;INT($N60),$N60-INT($N60),1))*
IF(EH$44=1,DP60,
IF(INT(DP60)=INT(DO60),0,DP60-INT(DP60)))))</f>
        <v>0</v>
      </c>
      <c r="EI60" s="834">
        <f>+IF(DQ60=DP60,0,
IF(AND(EI$44&gt;1,DQ60=$N60),1-SUM($EE60:EH60),
IF($N60&lt;=1,
IF($N60&gt;0,1/$N60,0),
IF(EI$44=1,0,VDB(1,0,$N60,INT(EI$44-1-1),MIN($N60,INT(EI$44-1-1)+1),$DC60,IF($DD60="No",1,0))/
IF(DP60&gt;=INT($N60),$N60-INT($N60),1)))*
IF(EI$44=1,0,
IF(INT(DQ60)=INT(DP60),DQ60-DP60,INT(DQ60)-DP60))+
IF($N60&lt;=1,
IF($N60&gt;0,1/$N60,0),VDB(1,0,$N60,INT(EI$44-1),MIN($N60,INT(EI$44-1)+1),$DC60,IF($DD60="No",1,0))/
IF(DQ60&gt;INT($N60),$N60-INT($N60),1))*
IF(EI$44=1,DQ60,
IF(INT(DQ60)=INT(DP60),0,DQ60-INT(DQ60)))))</f>
        <v>0</v>
      </c>
      <c r="EJ60" s="835">
        <f>+IF(DR60=DQ60,0,
IF(AND(EJ$44&gt;1,DR60=$N60),1-SUM($EE60:EI60),
IF($N60&lt;=1,
IF($N60&gt;0,1/$N60,0),
IF(EJ$44=1,0,VDB(1,0,$N60,INT(EJ$44-1-1),MIN($N60,INT(EJ$44-1-1)+1),$DC60,IF($DD60="No",1,0))/
IF(DQ60&gt;=INT($N60),$N60-INT($N60),1)))*
IF(EJ$44=1,0,
IF(INT(DR60)=INT(DQ60),DR60-DQ60,INT(DR60)-DQ60))+
IF($N60&lt;=1,
IF($N60&gt;0,1/$N60,0),VDB(1,0,$N60,INT(EJ$44-1),MIN($N60,INT(EJ$44-1)+1),$DC60,IF($DD60="No",1,0))/
IF(DR60&gt;INT($N60),$N60-INT($N60),1))*
IF(EJ$44=1,DR60,
IF(INT(DR60)=INT(DQ60),0,DR60-INT(DR60)))))</f>
        <v>0</v>
      </c>
      <c r="EK60" s="835">
        <f>+IF(DS60=DR60,0,
IF(AND(EK$44&gt;1,DS60=$N60),1-SUM($EE60:EJ60),
IF($N60&lt;=1,
IF($N60&gt;0,1/$N60,0),
IF(EK$44=1,0,VDB(1,0,$N60,INT(EK$44-1-1),MIN($N60,INT(EK$44-1-1)+1),$DC60,IF($DD60="No",1,0))/
IF(DR60&gt;=INT($N60),$N60-INT($N60),1)))*
IF(EK$44=1,0,
IF(INT(DS60)=INT(DR60),DS60-DR60,INT(DS60)-DR60))+
IF($N60&lt;=1,
IF($N60&gt;0,1/$N60,0),VDB(1,0,$N60,INT(EK$44-1),MIN($N60,INT(EK$44-1)+1),$DC60,IF($DD60="No",1,0))/
IF(DS60&gt;INT($N60),$N60-INT($N60),1))*
IF(EK$44=1,DS60,
IF(INT(DS60)=INT(DR60),0,DS60-INT(DS60)))))</f>
        <v>0</v>
      </c>
      <c r="EL60" s="835">
        <f>+IF(DT60=DS60,0,
IF(AND(EL$44&gt;1,DT60=$N60),1-SUM($EE60:EK60),
IF($N60&lt;=1,
IF($N60&gt;0,1/$N60,0),
IF(EL$44=1,0,VDB(1,0,$N60,INT(EL$44-1-1),MIN($N60,INT(EL$44-1-1)+1),$DC60,IF($DD60="No",1,0))/
IF(DS60&gt;=INT($N60),$N60-INT($N60),1)))*
IF(EL$44=1,0,
IF(INT(DT60)=INT(DS60),DT60-DS60,INT(DT60)-DS60))+
IF($N60&lt;=1,
IF($N60&gt;0,1/$N60,0),VDB(1,0,$N60,INT(EL$44-1),MIN($N60,INT(EL$44-1)+1),$DC60,IF($DD60="No",1,0))/
IF(DT60&gt;INT($N60),$N60-INT($N60),1))*
IF(EL$44=1,DT60,
IF(INT(DT60)=INT(DS60),0,DT60-INT(DT60)))))</f>
        <v>0</v>
      </c>
      <c r="EM60" s="836">
        <f>+IF(DU60=DT60,0,
IF(AND(EM$44&gt;1,DU60=$N60),1-SUM($EE60:EL60),
IF($N60&lt;=1,
IF($N60&gt;0,1/$N60,0),
IF(EM$44=1,0,VDB(1,0,$N60,INT(EM$44-1-1),MIN($N60,INT(EM$44-1-1)+1),$DC60,IF($DD60="No",1,0))/
IF(DT60&gt;=INT($N60),$N60-INT($N60),1)))*
IF(EM$44=1,0,
IF(INT(DU60)=INT(DT60),DU60-DT60,INT(DU60)-DT60))+
IF($N60&lt;=1,
IF($N60&gt;0,1/$N60,0),VDB(1,0,$N60,INT(EM$44-1),MIN($N60,INT(EM$44-1)+1),$DC60,IF($DD60="No",1,0))/
IF(DU60&gt;INT($N60),$N60-INT($N60),1))*
IF(EM$44=1,DU60,
IF(INT(DU60)=INT(DT60),0,DU60-INT(DU60)))))</f>
        <v>0</v>
      </c>
      <c r="EN60" s="833"/>
      <c r="EO60" s="834">
        <f>+IF(OR(DW60=DV60,EO$44=1),0,
IF(AND(EO$44&gt;1,DW60=$N60),1-SUM($EN60:EN60),
IF($N60&lt;=1,
IF($N60&gt;0,1/$N60,0),
IF(EO$44=2,0,VDB(1,0,$N60,INT(EO$44-2-1),MIN($N60,INT(EO$44-2-1)+1),$DC60,IF($DD60="No",1,0))/
IF(DV60&gt;=INT($N60),$N60-INT($N60),1)))*
IF(EO$44=2,0,
IF(INT(DW60)=INT(DV60),DW60-DV60,INT(DW60)-DV60))+
IF($N60&lt;=1,
IF($N60&gt;0,1/$N60,0),VDB(1,0,$N60,INT(EO$44-2),MIN($N60,INT(EO$44-2)+1),$DC60,IF($DD60="No",1,0))/
IF(DW60&gt;INT($N60),$N60-INT($N60),1))*
IF(EO$44=2,DW60,
IF(INT(DW60)=INT(DV60),0,DW60-INT(DW60)))))</f>
        <v>0</v>
      </c>
      <c r="EP60" s="835">
        <f>+IF(OR(DX60=DW60,EP$44=1),0,
IF(AND(EP$44&gt;1,DX60=$N60),1-SUM($EN60:EO60),
IF($N60&lt;=1,
IF($N60&gt;0,1/$N60,0),
IF(EP$44=2,0,VDB(1,0,$N60,INT(EP$44-2-1),MIN($N60,INT(EP$44-2-1)+1),$DC60,IF($DD60="No",1,0))/
IF(DW60&gt;=INT($N60),$N60-INT($N60),1)))*
IF(EP$44=2,0,
IF(INT(DX60)=INT(DW60),DX60-DW60,INT(DX60)-DW60))+
IF($N60&lt;=1,
IF($N60&gt;0,1/$N60,0),VDB(1,0,$N60,INT(EP$44-2),MIN($N60,INT(EP$44-2)+1),$DC60,IF($DD60="No",1,0))/
IF(DX60&gt;INT($N60),$N60-INT($N60),1))*
IF(EP$44=2,DX60,
IF(INT(DX60)=INT(DW60),0,DX60-INT(DX60)))))</f>
        <v>0</v>
      </c>
      <c r="EQ60" s="836">
        <f>+IF(OR(DY60=DX60,EQ$44=1),0,
IF(AND(EQ$44&gt;1,DY60=$N60),1-SUM($EN60:EP60),
IF($N60&lt;=1,
IF($N60&gt;0,1/$N60,0),
IF(EQ$44=2,0,VDB(1,0,$N60,INT(EQ$44-2-1),MIN($N60,INT(EQ$44-2-1)+1),$DC60,IF($DD60="No",1,0))/
IF(DX60&gt;=INT($N60),$N60-INT($N60),1)))*
IF(EQ$44=2,0,
IF(INT(DY60)=INT(DX60),DY60-DX60,INT(DY60)-DX60))+
IF($N60&lt;=1,
IF($N60&gt;0,1/$N60,0),VDB(1,0,$N60,INT(EQ$44-2),MIN($N60,INT(EQ$44-2)+1),$DC60,IF($DD60="No",1,0))/
IF(DY60&gt;INT($N60),$N60-INT($N60),1))*
IF(EQ$44=2,DY60,
IF(INT(DY60)=INT(DX60),0,DY60-INT(DY60)))))</f>
        <v>0</v>
      </c>
      <c r="ER60" s="834">
        <f>+IF(OR(DZ60=DY60,ER$44=1),0,
IF(AND(ER$44&gt;1,DZ60=$N60),1-SUM($EN60:EQ60),
IF($N60&lt;=1,
IF($N60&gt;0,1/$N60,0),
IF(ER$44=2,0,VDB(1,0,$N60,INT(ER$44-2-1),MIN($N60,INT(ER$44-2-1)+1),$DC60,IF($DD60="No",1,0))/
IF(DY60&gt;=INT($N60),$N60-INT($N60),1)))*
IF(ER$44=2,0,
IF(INT(DZ60)=INT(DY60),DZ60-DY60,INT(DZ60)-DY60))+
IF($N60&lt;=1,
IF($N60&gt;0,1/$N60,0),VDB(1,0,$N60,INT(ER$44-2),MIN($N60,INT(ER$44-2)+1),$DC60,IF($DD60="No",1,0))/
IF(DZ60&gt;INT($N60),$N60-INT($N60),1))*
IF(ER$44=2,DZ60,
IF(INT(DZ60)=INT(DY60),0,DZ60-INT(DZ60)))))</f>
        <v>0</v>
      </c>
      <c r="ES60" s="835">
        <f>+IF(OR(EA60=DZ60,ES$44=1),0,
IF(AND(ES$44&gt;1,EA60=$N60),1-SUM($EN60:ER60),
IF($N60&lt;=1,
IF($N60&gt;0,1/$N60,0),
IF(ES$44=2,0,VDB(1,0,$N60,INT(ES$44-2-1),MIN($N60,INT(ES$44-2-1)+1),$DC60,IF($DD60="No",1,0))/
IF(DZ60&gt;=INT($N60),$N60-INT($N60),1)))*
IF(ES$44=2,0,
IF(INT(EA60)=INT(DZ60),EA60-DZ60,INT(EA60)-DZ60))+
IF($N60&lt;=1,
IF($N60&gt;0,1/$N60,0),VDB(1,0,$N60,INT(ES$44-2),MIN($N60,INT(ES$44-2)+1),$DC60,IF($DD60="No",1,0))/
IF(EA60&gt;INT($N60),$N60-INT($N60),1))*
IF(ES$44=2,EA60,
IF(INT(EA60)=INT(DZ60),0,EA60-INT(EA60)))))</f>
        <v>0</v>
      </c>
      <c r="ET60" s="835">
        <f>+IF(OR(EB60=EA60,ET$44=1),0,
IF(AND(ET$44&gt;1,EB60=$N60),1-SUM($EN60:ES60),
IF($N60&lt;=1,
IF($N60&gt;0,1/$N60,0),
IF(ET$44=2,0,VDB(1,0,$N60,INT(ET$44-2-1),MIN($N60,INT(ET$44-2-1)+1),$DC60,IF($DD60="No",1,0))/
IF(EA60&gt;=INT($N60),$N60-INT($N60),1)))*
IF(ET$44=2,0,
IF(INT(EB60)=INT(EA60),EB60-EA60,INT(EB60)-EA60))+
IF($N60&lt;=1,
IF($N60&gt;0,1/$N60,0),VDB(1,0,$N60,INT(ET$44-2),MIN($N60,INT(ET$44-2)+1),$DC60,IF($DD60="No",1,0))/
IF(EB60&gt;INT($N60),$N60-INT($N60),1))*
IF(ET$44=2,EB60,
IF(INT(EB60)=INT(EA60),0,EB60-INT(EB60)))))</f>
        <v>0</v>
      </c>
      <c r="EU60" s="835">
        <f>+IF(OR(EC60=EB60,EU$44=1),0,
IF(AND(EU$44&gt;1,EC60=$N60),1-SUM($EN60:ET60),
IF($N60&lt;=1,
IF($N60&gt;0,1/$N60,0),
IF(EU$44=2,0,VDB(1,0,$N60,INT(EU$44-2-1),MIN($N60,INT(EU$44-2-1)+1),$DC60,IF($DD60="No",1,0))/
IF(EB60&gt;=INT($N60),$N60-INT($N60),1)))*
IF(EU$44=2,0,
IF(INT(EC60)=INT(EB60),EC60-EB60,INT(EC60)-EB60))+
IF($N60&lt;=1,
IF($N60&gt;0,1/$N60,0),VDB(1,0,$N60,INT(EU$44-2),MIN($N60,INT(EU$44-2)+1),$DC60,IF($DD60="No",1,0))/
IF(EC60&gt;INT($N60),$N60-INT($N60),1))*
IF(EU$44=2,EC60,
IF(INT(EC60)=INT(EB60),0,EC60-INT(EC60)))))</f>
        <v>0</v>
      </c>
      <c r="EV60" s="836">
        <f>+IF(OR(ED60=EC60,EV$44=1),0,
IF(AND(EV$44&gt;1,ED60=$N60),1-SUM($EN60:EU60),
IF($N60&lt;=1,
IF($N60&gt;0,1/$N60,0),
IF(EV$44=2,0,VDB(1,0,$N60,INT(EV$44-2-1),MIN($N60,INT(EV$44-2-1)+1),$DC60,IF($DD60="No",1,0))/
IF(EC60&gt;=INT($N60),$N60-INT($N60),1)))*
IF(EV$44=2,0,
IF(INT(ED60)=INT(EC60),ED60-EC60,INT(ED60)-EC60))+
IF($N60&lt;=1,
IF($N60&gt;0,1/$N60,0),VDB(1,0,$N60,INT(EV$44-2),MIN($N60,INT(EV$44-2)+1),$DC60,IF($DD60="No",1,0))/
IF(ED60&gt;INT($N60),$N60-INT($N60),1))*
IF(EV$44=2,ED60,
IF(INT(ED60)=INT(EC60),0,ED60-INT(ED60)))))</f>
        <v>0</v>
      </c>
      <c r="EW60" s="833"/>
      <c r="EX60" s="834">
        <f t="shared" ca="1" si="60"/>
        <v>0</v>
      </c>
      <c r="EY60" s="835">
        <f t="shared" ca="1" si="60"/>
        <v>0</v>
      </c>
      <c r="EZ60" s="836">
        <f t="shared" ca="1" si="60"/>
        <v>0</v>
      </c>
      <c r="FA60" s="834">
        <f t="shared" ca="1" si="60"/>
        <v>0</v>
      </c>
      <c r="FB60" s="835">
        <f t="shared" ca="1" si="60"/>
        <v>0</v>
      </c>
      <c r="FC60" s="835">
        <f t="shared" ca="1" si="60"/>
        <v>0</v>
      </c>
      <c r="FD60" s="835">
        <f t="shared" ca="1" si="60"/>
        <v>0</v>
      </c>
      <c r="FE60" s="836">
        <f t="shared" ca="1" si="60"/>
        <v>0</v>
      </c>
      <c r="FG60" s="386">
        <f t="shared" ca="1" si="120"/>
        <v>0</v>
      </c>
      <c r="FH60" s="387">
        <f t="shared" ca="1" si="121"/>
        <v>0</v>
      </c>
      <c r="FI60" s="388">
        <f t="shared" ca="1" si="122"/>
        <v>0</v>
      </c>
      <c r="FJ60" s="386">
        <f t="shared" ca="1" si="123"/>
        <v>0</v>
      </c>
      <c r="FK60" s="387">
        <f t="shared" ca="1" si="124"/>
        <v>0</v>
      </c>
      <c r="FL60" s="387">
        <f t="shared" ca="1" si="125"/>
        <v>0</v>
      </c>
      <c r="FM60" s="387">
        <f t="shared" ca="1" si="126"/>
        <v>0</v>
      </c>
      <c r="FN60" s="388">
        <f t="shared" ca="1" si="127"/>
        <v>0</v>
      </c>
      <c r="FR60" s="116"/>
    </row>
    <row r="61" spans="2:174" ht="12.75" thickBot="1">
      <c r="B61" s="1408"/>
      <c r="C61" s="408"/>
      <c r="D61" s="408"/>
      <c r="E61" s="408"/>
      <c r="F61" s="408"/>
      <c r="G61" s="408"/>
      <c r="H61" s="408"/>
      <c r="I61" s="408"/>
      <c r="J61" s="408"/>
      <c r="K61" s="408"/>
      <c r="L61" s="408"/>
      <c r="M61" s="408"/>
      <c r="N61" s="408"/>
      <c r="O61" s="408"/>
      <c r="P61" s="408"/>
      <c r="Q61" s="1029"/>
      <c r="R61" s="1029"/>
      <c r="S61" s="1029"/>
      <c r="T61" s="1029"/>
      <c r="U61" s="1029"/>
      <c r="V61" s="1029"/>
      <c r="W61" s="1029"/>
      <c r="X61" s="1029"/>
      <c r="Y61" s="1029"/>
      <c r="Z61" s="1029"/>
      <c r="AA61" s="1030"/>
      <c r="AB61" s="1029"/>
      <c r="AC61" s="1029"/>
      <c r="AD61" s="1029"/>
      <c r="AE61" s="1029"/>
      <c r="AF61" s="1029"/>
      <c r="AG61" s="1029"/>
      <c r="AH61" s="1029"/>
      <c r="AI61" s="1029"/>
      <c r="AJ61" s="1029"/>
      <c r="AK61" s="1029"/>
      <c r="AL61" s="1030"/>
      <c r="AM61" s="1029"/>
      <c r="AN61" s="1029"/>
      <c r="AO61" s="1029"/>
      <c r="AP61" s="1029"/>
      <c r="AQ61" s="1029"/>
      <c r="AR61" s="1029"/>
      <c r="AS61" s="1029"/>
      <c r="AT61" s="1029"/>
      <c r="AU61" s="1029"/>
      <c r="AV61" s="1029"/>
      <c r="AW61" s="1031"/>
      <c r="AX61" s="1031"/>
      <c r="AY61" s="1031"/>
      <c r="AZ61" s="1031"/>
      <c r="BA61" s="1031"/>
      <c r="BB61" s="1031"/>
      <c r="BC61" s="1031"/>
      <c r="BD61" s="1031"/>
      <c r="BE61" s="1031"/>
      <c r="BF61" s="1031"/>
      <c r="BG61" s="1031"/>
      <c r="BH61" s="1031"/>
      <c r="BI61" s="1031"/>
      <c r="BJ61" s="1031"/>
      <c r="BK61" s="1031"/>
      <c r="BL61" s="1031"/>
      <c r="BM61" s="1031"/>
      <c r="BN61" s="1031"/>
      <c r="BO61" s="1031"/>
      <c r="BP61" s="1031"/>
      <c r="BQ61" s="1031"/>
      <c r="BR61" s="1031"/>
      <c r="BS61" s="1031"/>
      <c r="BT61" s="1031"/>
      <c r="BU61" s="1031"/>
      <c r="BV61" s="1031"/>
      <c r="BW61" s="1031"/>
      <c r="BX61" s="1031"/>
      <c r="BY61" s="1031"/>
      <c r="BZ61" s="1031"/>
      <c r="CA61" s="1031"/>
      <c r="CB61" s="1031"/>
      <c r="CC61" s="1031"/>
      <c r="CD61" s="1025"/>
      <c r="CE61" s="1031"/>
      <c r="CF61" s="1031"/>
      <c r="CG61" s="1031"/>
      <c r="CH61" s="1031"/>
      <c r="CI61" s="1031"/>
      <c r="CJ61" s="1031"/>
      <c r="CK61" s="1031"/>
      <c r="CL61" s="1031"/>
      <c r="CM61" s="1031"/>
      <c r="CN61" s="1031"/>
      <c r="CO61" s="1025"/>
      <c r="CP61" s="1031"/>
      <c r="CQ61" s="1031"/>
      <c r="CR61" s="1031"/>
      <c r="CS61" s="1031"/>
      <c r="CT61" s="1031"/>
      <c r="CU61" s="1031"/>
      <c r="CV61" s="1031"/>
      <c r="CW61" s="1031"/>
      <c r="CX61" s="1031"/>
      <c r="CY61" s="1031"/>
      <c r="CZ61" s="347"/>
      <c r="DA61" s="852"/>
      <c r="DB61" s="347"/>
      <c r="DC61" s="849"/>
      <c r="DD61" s="347"/>
      <c r="DE61" s="1032"/>
      <c r="DF61" s="1032"/>
      <c r="DG61" s="1032"/>
      <c r="DH61" s="1032"/>
      <c r="DI61" s="1032"/>
      <c r="DJ61" s="1032"/>
      <c r="DK61" s="1032"/>
      <c r="DL61" s="1032"/>
      <c r="DM61" s="347"/>
      <c r="DN61" s="1032"/>
      <c r="DO61" s="1032"/>
      <c r="DP61" s="1032"/>
      <c r="DQ61" s="1032"/>
      <c r="DR61" s="1032"/>
      <c r="DS61" s="1032"/>
      <c r="DT61" s="1032"/>
      <c r="DU61" s="1032"/>
      <c r="DW61" s="1032"/>
      <c r="DX61" s="1032"/>
      <c r="DY61" s="1032"/>
      <c r="DZ61" s="1032"/>
      <c r="EA61" s="1032"/>
      <c r="EB61" s="1032"/>
      <c r="EC61" s="1032"/>
      <c r="ED61" s="1032"/>
      <c r="EF61" s="840"/>
      <c r="EG61" s="840"/>
      <c r="EH61" s="840"/>
      <c r="EI61" s="840"/>
      <c r="EJ61" s="840"/>
      <c r="EK61" s="840"/>
      <c r="EL61" s="840"/>
      <c r="EM61" s="840"/>
      <c r="EN61" s="833"/>
      <c r="EO61" s="840"/>
      <c r="EP61" s="840"/>
      <c r="EQ61" s="840"/>
      <c r="ER61" s="840"/>
      <c r="ES61" s="840"/>
      <c r="ET61" s="840"/>
      <c r="EU61" s="840"/>
      <c r="EV61" s="840"/>
      <c r="EW61" s="833"/>
      <c r="EX61" s="840"/>
      <c r="EY61" s="840"/>
      <c r="EZ61" s="840"/>
      <c r="FA61" s="840"/>
      <c r="FB61" s="840"/>
      <c r="FC61" s="840"/>
      <c r="FD61" s="840"/>
      <c r="FE61" s="840"/>
      <c r="FG61" s="392"/>
      <c r="FH61" s="392"/>
      <c r="FI61" s="392"/>
      <c r="FJ61" s="392"/>
      <c r="FK61" s="392"/>
      <c r="FL61" s="392"/>
      <c r="FM61" s="392"/>
      <c r="FN61" s="392"/>
      <c r="FR61" s="116"/>
    </row>
    <row r="62" spans="2:174">
      <c r="B62" s="1410">
        <f>B60+1</f>
        <v>16</v>
      </c>
      <c r="C62" s="396" t="s">
        <v>543</v>
      </c>
      <c r="D62" s="397"/>
      <c r="E62" s="398" t="s">
        <v>402</v>
      </c>
      <c r="F62" s="398" t="s">
        <v>514</v>
      </c>
      <c r="G62" s="396" t="s">
        <v>522</v>
      </c>
      <c r="H62" s="2090" t="s">
        <v>483</v>
      </c>
      <c r="I62" s="2091"/>
      <c r="J62" s="409" t="s">
        <v>516</v>
      </c>
      <c r="K62" s="399" t="s">
        <v>544</v>
      </c>
      <c r="L62" s="399">
        <v>35</v>
      </c>
      <c r="M62" s="399" t="s">
        <v>142</v>
      </c>
      <c r="N62" s="399"/>
      <c r="O62" s="347"/>
      <c r="P62" s="347"/>
      <c r="Q62" s="1132">
        <v>0.32487804878048787</v>
      </c>
      <c r="R62" s="1133">
        <v>0.32552052349791799</v>
      </c>
      <c r="S62" s="1133">
        <v>0.32593839323283191</v>
      </c>
      <c r="T62" s="1133">
        <v>0.32614223212791182</v>
      </c>
      <c r="U62" s="1134">
        <v>0.32614223212791188</v>
      </c>
      <c r="V62" s="1132">
        <v>0.36216468370341204</v>
      </c>
      <c r="W62" s="1133">
        <v>0.36174405108587032</v>
      </c>
      <c r="X62" s="1133">
        <v>0.36112849115776058</v>
      </c>
      <c r="Y62" s="1133">
        <v>0.36032776279599171</v>
      </c>
      <c r="Z62" s="1134">
        <v>0.35935126479383456</v>
      </c>
      <c r="AA62" s="1024"/>
      <c r="AB62" s="1132">
        <v>0</v>
      </c>
      <c r="AC62" s="1133">
        <v>0</v>
      </c>
      <c r="AD62" s="1133">
        <v>0</v>
      </c>
      <c r="AE62" s="1133">
        <v>0</v>
      </c>
      <c r="AF62" s="1134">
        <v>0</v>
      </c>
      <c r="AG62" s="1132">
        <v>0</v>
      </c>
      <c r="AH62" s="1133">
        <v>0</v>
      </c>
      <c r="AI62" s="1133">
        <v>0</v>
      </c>
      <c r="AJ62" s="1133">
        <v>0</v>
      </c>
      <c r="AK62" s="1134">
        <v>0</v>
      </c>
      <c r="AL62" s="1024"/>
      <c r="AM62" s="1132">
        <v>0</v>
      </c>
      <c r="AN62" s="1133">
        <v>0</v>
      </c>
      <c r="AO62" s="1133">
        <v>0</v>
      </c>
      <c r="AP62" s="1133">
        <v>0</v>
      </c>
      <c r="AQ62" s="1134">
        <v>0</v>
      </c>
      <c r="AR62" s="1132">
        <v>0</v>
      </c>
      <c r="AS62" s="1133">
        <v>0</v>
      </c>
      <c r="AT62" s="1133">
        <v>0</v>
      </c>
      <c r="AU62" s="1133">
        <v>0</v>
      </c>
      <c r="AV62" s="1134">
        <v>0</v>
      </c>
      <c r="AW62" s="1025"/>
      <c r="AX62" s="1280">
        <f t="shared" ref="AX62:BG63" si="128">+Q62-AB62-AM62</f>
        <v>0.32487804878048787</v>
      </c>
      <c r="AY62" s="384">
        <f t="shared" si="128"/>
        <v>0.32552052349791799</v>
      </c>
      <c r="AZ62" s="384">
        <f t="shared" si="128"/>
        <v>0.32593839323283191</v>
      </c>
      <c r="BA62" s="384">
        <f t="shared" si="128"/>
        <v>0.32614223212791182</v>
      </c>
      <c r="BB62" s="1281">
        <f t="shared" si="128"/>
        <v>0.32614223212791188</v>
      </c>
      <c r="BC62" s="383">
        <f t="shared" si="128"/>
        <v>0.36216468370341204</v>
      </c>
      <c r="BD62" s="384">
        <f t="shared" si="128"/>
        <v>0.36174405108587032</v>
      </c>
      <c r="BE62" s="1276">
        <f t="shared" si="128"/>
        <v>0.36112849115776058</v>
      </c>
      <c r="BF62" s="1276">
        <f t="shared" si="128"/>
        <v>0.36032776279599171</v>
      </c>
      <c r="BG62" s="385">
        <f t="shared" si="128"/>
        <v>0.35935126479383456</v>
      </c>
      <c r="BH62" s="1025"/>
      <c r="BI62" s="1280">
        <f ca="1">IF($L62=0,0,
IF($L62&lt;=0.5,BT62,
IF($J62="straight line",
IF((LEFT(BI$43,4)*1)-INT($L62)&lt;LEFT($BI$43,4)*1,0,((OFFSET(BT62,0,-INT($L62+0.5),1,1))/$L62)*(IF($L62-INT($L62)&gt;0.5,$L62-0.5-INT($L62),IF($L62-INT($L62)&lt;=0.5,$L62-0.5-INT($L62)+1,0))))
+BT62/$L62*0.5,
IF($J62="Declining Balance",-$BI$42,0))))</f>
        <v>4.641114982578398E-3</v>
      </c>
      <c r="BJ62" s="384">
        <f t="shared" ref="BJ62:BR63" ca="1" si="129">IF($L62=0,0,
IF($L62&lt;=0.5,BU62,
IF(AND($J62="straight line",$L62&lt;1.51),(BT62-((BT62/$L62)*0.5))+BU62/$L62*0.5,
IF($J62="straight line",
IF((LEFT(BJ$43,4)*1)-INT($L62)&lt;LEFT($BI$43,4)*1,0,((OFFSET(BU62,0,-INT($L62+0.5),1,1))/$L62)*(IF($L62-INT($L62)&gt;0.5,$L62-0.5-INT($L62),IF($L62-INT($L62)&lt;=0.5,$L62-0.5-INT($L62)+1,0))))
+BU62/$L62*0.5
+SUM(OFFSET(BU62,0,MAX(-INT($L62+(0.5-(10^-12))),-BJ$44)+1,1,MIN(INT($L62+(0.5-(10^-12))),BJ$44)-1))*1/$L62,
IF($J62="Declining Balance",-$BI$42,0)))))</f>
        <v>1.3932523157984196E-2</v>
      </c>
      <c r="BK62" s="384">
        <f t="shared" ca="1" si="129"/>
        <v>2.3239079111280619E-2</v>
      </c>
      <c r="BL62" s="384">
        <f t="shared" ca="1" si="129"/>
        <v>3.2554516616434104E-2</v>
      </c>
      <c r="BM62" s="1281">
        <f t="shared" ca="1" si="129"/>
        <v>4.1872866105803007E-2</v>
      </c>
      <c r="BN62" s="383">
        <f t="shared" ca="1" si="129"/>
        <v>5.1705822046250495E-2</v>
      </c>
      <c r="BO62" s="384">
        <f t="shared" ca="1" si="129"/>
        <v>6.2047375400383104E-2</v>
      </c>
      <c r="BP62" s="1276">
        <f t="shared" ca="1" si="129"/>
        <v>7.2374126003863545E-2</v>
      </c>
      <c r="BQ62" s="1276">
        <f t="shared" ca="1" si="129"/>
        <v>8.2680643917488583E-2</v>
      </c>
      <c r="BR62" s="385">
        <f t="shared" ca="1" si="129"/>
        <v>9.2961772883057528E-2</v>
      </c>
      <c r="BS62" s="1025"/>
      <c r="BT62" s="1280">
        <f>+IF($K62="Ongoing",AX62,IF(RIGHT($K62,2)=RIGHT(BT$43,2),SUM($AX62:AX62),0)+IF(RIGHT(BT$43,2)&gt;RIGHT($K62,2),AX62,0))</f>
        <v>0.32487804878048787</v>
      </c>
      <c r="BU62" s="384">
        <f>+IF($K62="Ongoing",AY62,IF(RIGHT($K62,2)=RIGHT(BU$43,2),SUM($AX62:AY62),0)+IF(RIGHT(BU$43,2)&gt;RIGHT($K62,2),AY62,0))</f>
        <v>0.32552052349791799</v>
      </c>
      <c r="BV62" s="384">
        <f>+IF($K62="Ongoing",AZ62,IF(RIGHT($K62,2)=RIGHT(BV$43,2),SUM($AX62:AZ62),0)+IF(RIGHT(BV$43,2)&gt;RIGHT($K62,2),AZ62,0))</f>
        <v>0.32593839323283191</v>
      </c>
      <c r="BW62" s="384">
        <f>+IF($K62="Ongoing",BA62,IF(RIGHT($K62,2)=RIGHT(BW$43,2),SUM($AX62:BA62),0)+IF(RIGHT(BW$43,2)&gt;RIGHT($K62,2),BA62,0))</f>
        <v>0.32614223212791182</v>
      </c>
      <c r="BX62" s="1281">
        <f>+IF($K62="Ongoing",BB62,IF(RIGHT($K62,2)=RIGHT(BX$43,2),SUM($AX62:BB62),0)+IF(RIGHT(BX$43,2)&gt;RIGHT($K62,2),BB62,0))</f>
        <v>0.32614223212791188</v>
      </c>
      <c r="BY62" s="383">
        <f>+IF($K62="Ongoing",BC62,IF(RIGHT($K62,2)=RIGHT(BY$43,2),SUM($AX62:BC62),0)+IF(RIGHT(BY$43,2)&gt;RIGHT($K62,2),BC62,0))</f>
        <v>0.36216468370341204</v>
      </c>
      <c r="BZ62" s="384">
        <f>+IF($K62="Ongoing",BD62,IF(RIGHT($K62,2)=RIGHT(BZ$43,2),SUM($AX62:BD62),0)+IF(RIGHT(BZ$43,2)&gt;RIGHT($K62,2),BD62,0))</f>
        <v>0.36174405108587032</v>
      </c>
      <c r="CA62" s="1276">
        <f>+IF($K62="Ongoing",BE62,IF(RIGHT($K62,2)=RIGHT(CA$43,2),SUM($AX62:BE62),0)+IF(RIGHT(CA$43,2)&gt;RIGHT($K62,2),BE62,0))</f>
        <v>0.36112849115776058</v>
      </c>
      <c r="CB62" s="1276">
        <f>+IF($K62="Ongoing",BF62,IF(RIGHT($K62,2)=RIGHT(CB$43,2),SUM($AX62:BF62),0)+IF(RIGHT(CB$43,2)&gt;RIGHT($K62,2),BF62,0))</f>
        <v>0.36032776279599171</v>
      </c>
      <c r="CC62" s="385">
        <f>+IF($K62="Ongoing",BG62,IF(RIGHT($K62,2)=RIGHT(CC$43,2),SUM($AX62:BG62),0)+IF(RIGHT(CC$43,2)&gt;RIGHT($K62,2),BG62,0))</f>
        <v>0.35935126479383456</v>
      </c>
      <c r="CD62" s="1025"/>
      <c r="CE62" s="1280">
        <f>+Q62*KeyAssumptionsPriceControl_FO!AF$15</f>
        <v>0.334299512195122</v>
      </c>
      <c r="CF62" s="384">
        <f>+R62*KeyAssumptionsPriceControl_FO!AG$15</f>
        <v>0.34467447662105893</v>
      </c>
      <c r="CG62" s="384">
        <f>+S62*KeyAssumptionsPriceControl_FO!AH$15</f>
        <v>0.35512532532168722</v>
      </c>
      <c r="CH62" s="384">
        <f>+T62*KeyAssumptionsPriceControl_FO!AI$15</f>
        <v>0.3656524925638685</v>
      </c>
      <c r="CI62" s="1281">
        <f>+U62*KeyAssumptionsPriceControl_FO!AJ$15</f>
        <v>0.37625641484822075</v>
      </c>
      <c r="CJ62" s="383">
        <f>+V62*KeyAssumptionsPriceControl_FO!AK$15</f>
        <v>0.42993058991104255</v>
      </c>
      <c r="CK62" s="384">
        <f>+W62*KeyAssumptionsPriceControl_FO!AL$15</f>
        <v>0.44188475753295925</v>
      </c>
      <c r="CL62" s="1276">
        <f>+X62*KeyAssumptionsPriceControl_FO!AM$15</f>
        <v>0.45392567854934246</v>
      </c>
      <c r="CM62" s="1276">
        <f>+Y62*KeyAssumptionsPriceControl_FO!AN$15</f>
        <v>0.46605384800947447</v>
      </c>
      <c r="CN62" s="385">
        <f>+Z62*KeyAssumptionsPriceControl_FO!AO$15</f>
        <v>0.47826976350526751</v>
      </c>
      <c r="CO62" s="1025"/>
      <c r="CP62" s="1280">
        <f t="shared" ref="CP62:CY63" ca="1" si="130">IF($M62="straight line",IF($N62=0,0,
IF($N62&lt;=0.5,CE62,
IF($J62="straight line",
IF((LEFT(CP$43,4)*1)-INT($N62)&lt;LEFT($CP$43,4)*1,0,((OFFSET(CE62,0,-INT($N62+0.5),1,1))/$N62)*(IF($N62-INT($N62)&gt;0.5,$N62-0.5-INT($N62),IF($N62-INT($N62)&lt;=0.5,$N62-0.5-INT($N62)+1,0))))
+CE62/$N62*0.5,
IF($J62="Declining Balance",-$CP$42,0)))),IFERROR(FG62,0))</f>
        <v>0</v>
      </c>
      <c r="CQ62" s="384">
        <f t="shared" ca="1" si="130"/>
        <v>0</v>
      </c>
      <c r="CR62" s="384">
        <f t="shared" ca="1" si="130"/>
        <v>0</v>
      </c>
      <c r="CS62" s="384">
        <f t="shared" ca="1" si="130"/>
        <v>0</v>
      </c>
      <c r="CT62" s="1281">
        <f t="shared" ca="1" si="130"/>
        <v>0</v>
      </c>
      <c r="CU62" s="383">
        <f t="shared" ca="1" si="130"/>
        <v>0</v>
      </c>
      <c r="CV62" s="384">
        <f t="shared" ca="1" si="130"/>
        <v>0</v>
      </c>
      <c r="CW62" s="1276">
        <f t="shared" ca="1" si="130"/>
        <v>0</v>
      </c>
      <c r="CX62" s="1276">
        <f t="shared" ca="1" si="130"/>
        <v>0</v>
      </c>
      <c r="CY62" s="385">
        <f t="shared" ca="1" si="130"/>
        <v>0</v>
      </c>
      <c r="CZ62" s="347"/>
      <c r="DA62" s="852"/>
      <c r="DB62" s="347"/>
      <c r="DC62" s="1012" t="s">
        <v>517</v>
      </c>
      <c r="DD62" s="841" t="s">
        <v>518</v>
      </c>
      <c r="DE62" s="383">
        <f>+IF($K62="ongoing",CE62,IF(RIGHT($K62,2)=RIGHT(DE$43,2),SUM($CD62:CE62),0)+IF(RIGHT(DE$43,2)&gt;RIGHT($K62,2),CE62,0))</f>
        <v>0.334299512195122</v>
      </c>
      <c r="DF62" s="384">
        <f>+IF($K62="ongoing",CF62,IF(RIGHT($K62,2)=RIGHT(DF$43,2),SUM($CD62:CF62),0)+IF(RIGHT(DF$43,2)&gt;RIGHT($K62,2),CF62,0))</f>
        <v>0.34467447662105893</v>
      </c>
      <c r="DG62" s="385">
        <f>+IF($K62="ongoing",CG62,IF(RIGHT($K62,2)=RIGHT(DG$43,2),SUM($CD62:CG62),0)+IF(RIGHT(DG$43,2)&gt;RIGHT($K62,2),CG62,0))</f>
        <v>0.35512532532168722</v>
      </c>
      <c r="DH62" s="383">
        <f>+IF($K62="ongoing",CH62,IF(RIGHT($K62,2)=RIGHT(DH$43,2),SUM($CD62:CH62),0)+IF(RIGHT(DH$43,2)&gt;RIGHT($K62,2),CH62,0))</f>
        <v>0.3656524925638685</v>
      </c>
      <c r="DI62" s="384">
        <f>+IF($K62="ongoing",CI62,IF(RIGHT($K62,2)=RIGHT(DI$43,2),SUM($CD62:CI62),0)+IF(RIGHT(DI$43,2)&gt;RIGHT($K62,2),CI62,0))</f>
        <v>0.37625641484822075</v>
      </c>
      <c r="DJ62" s="384">
        <f>+IF($K62="ongoing",CJ62,IF(RIGHT($K62,2)=RIGHT(DJ$43,2),SUM($CD62:CJ62),0)+IF(RIGHT(DJ$43,2)&gt;RIGHT($K62,2),CJ62,0))</f>
        <v>0.42993058991104255</v>
      </c>
      <c r="DK62" s="384">
        <f>+IF($K62="ongoing",CK62,IF(RIGHT($K62,2)=RIGHT(DK$43,2),SUM($CD62:CK62),0)+IF(RIGHT(DK$43,2)&gt;RIGHT($K62,2),CK62,0))</f>
        <v>0.44188475753295925</v>
      </c>
      <c r="DL62" s="385">
        <f>+IF($K62="ongoing",CN62,IF(RIGHT($K62,2)=RIGHT(DL$43,2),SUM($CD62:CN62),0)+IF(RIGHT(DL$43,2)&gt;RIGHT($K62,2),CN62,0))</f>
        <v>0.47826976350526751</v>
      </c>
      <c r="DM62" s="841"/>
      <c r="DN62" s="383">
        <f t="shared" ref="DN62:DU63" si="131">+MIN(IF($N62&lt;=$DC62,MIN($N62,1),$N62),IF(DN$44=1,0.5,DM62+1))</f>
        <v>0.5</v>
      </c>
      <c r="DO62" s="384">
        <f t="shared" si="131"/>
        <v>1</v>
      </c>
      <c r="DP62" s="385">
        <f t="shared" si="131"/>
        <v>1</v>
      </c>
      <c r="DQ62" s="383">
        <f t="shared" si="131"/>
        <v>1</v>
      </c>
      <c r="DR62" s="384">
        <f t="shared" si="131"/>
        <v>1</v>
      </c>
      <c r="DS62" s="384">
        <f t="shared" si="131"/>
        <v>1</v>
      </c>
      <c r="DT62" s="384">
        <f t="shared" si="131"/>
        <v>1</v>
      </c>
      <c r="DU62" s="385">
        <f t="shared" si="131"/>
        <v>1</v>
      </c>
      <c r="DW62" s="383">
        <f t="shared" ref="DW62:ED63" si="132">+IF(DW$44=1,0,MIN(IF($N62&lt;=$DC62,MIN($N62,1),$N62),IF(DW$44=2,0.5,DV62+1)))</f>
        <v>0</v>
      </c>
      <c r="DX62" s="384">
        <f t="shared" si="132"/>
        <v>0.5</v>
      </c>
      <c r="DY62" s="385">
        <f t="shared" si="132"/>
        <v>1</v>
      </c>
      <c r="DZ62" s="383">
        <f t="shared" si="132"/>
        <v>1</v>
      </c>
      <c r="EA62" s="384">
        <f t="shared" si="132"/>
        <v>1</v>
      </c>
      <c r="EB62" s="384">
        <f t="shared" si="132"/>
        <v>1</v>
      </c>
      <c r="EC62" s="384">
        <f t="shared" si="132"/>
        <v>1</v>
      </c>
      <c r="ED62" s="385">
        <f t="shared" si="132"/>
        <v>1</v>
      </c>
      <c r="EF62" s="830">
        <f>+IF(DN62=DM62,0,
IF(AND(EF$44&gt;1,DN62=$N62),1-SUM($EE62:EE62),
IF($N62&lt;=1,
IF($N62&gt;0,1/$N62,0),
IF(EF$44=1,0,VDB(1,0,$N62,INT(EF$44-1-1),MIN($N62,INT(EF$44-1-1)+1),$DC62,IF($DD62="No",1,0))/
IF(DM62&gt;=INT($N62),$N62-INT($N62),1)))*
IF(EF$44=1,0,
IF(INT(DN62)=INT(DM62),DN62-DM62,INT(DN62)-DM62))+
IF($N62&lt;=1,
IF($N62&gt;0,1/$N62,0),VDB(1,0,$N62,INT(EF$44-1),MIN($N62,INT(EF$44-1)+1),$DC62,IF($DD62="No",1,0))/
IF(DN62&gt;INT($N62),$N62-INT($N62),1))*
IF(EF$44=1,DN62,
IF(INT(DN62)=INT(DM62),0,DN62-INT(DN62)))))</f>
        <v>0</v>
      </c>
      <c r="EG62" s="831">
        <f>+IF(DO62=DN62,0,
IF(AND(EG$44&gt;1,DO62=$N62),1-SUM($EE62:EF62),
IF($N62&lt;=1,
IF($N62&gt;0,1/$N62,0),
IF(EG$44=1,0,VDB(1,0,$N62,INT(EG$44-1-1),MIN($N62,INT(EG$44-1-1)+1),$DC62,IF($DD62="No",1,0))/
IF(DN62&gt;=INT($N62),$N62-INT($N62),1)))*
IF(EG$44=1,0,
IF(INT(DO62)=INT(DN62),DO62-DN62,INT(DO62)-DN62))+
IF($N62&lt;=1,
IF($N62&gt;0,1/$N62,0),VDB(1,0,$N62,INT(EG$44-1),MIN($N62,INT(EG$44-1)+1),$DC62,IF($DD62="No",1,0))/
IF(DO62&gt;INT($N62),$N62-INT($N62),1))*
IF(EG$44=1,DO62,
IF(INT(DO62)=INT(DN62),0,DO62-INT(DO62)))))</f>
        <v>0</v>
      </c>
      <c r="EH62" s="832">
        <f>+IF(DP62=DO62,0,
IF(AND(EH$44&gt;1,DP62=$N62),1-SUM($EE62:EG62),
IF($N62&lt;=1,
IF($N62&gt;0,1/$N62,0),
IF(EH$44=1,0,VDB(1,0,$N62,INT(EH$44-1-1),MIN($N62,INT(EH$44-1-1)+1),$DC62,IF($DD62="No",1,0))/
IF(DO62&gt;=INT($N62),$N62-INT($N62),1)))*
IF(EH$44=1,0,
IF(INT(DP62)=INT(DO62),DP62-DO62,INT(DP62)-DO62))+
IF($N62&lt;=1,
IF($N62&gt;0,1/$N62,0),VDB(1,0,$N62,INT(EH$44-1),MIN($N62,INT(EH$44-1)+1),$DC62,IF($DD62="No",1,0))/
IF(DP62&gt;INT($N62),$N62-INT($N62),1))*
IF(EH$44=1,DP62,
IF(INT(DP62)=INT(DO62),0,DP62-INT(DP62)))))</f>
        <v>0</v>
      </c>
      <c r="EI62" s="830">
        <f>+IF(DQ62=DP62,0,
IF(AND(EI$44&gt;1,DQ62=$N62),1-SUM($EE62:EH62),
IF($N62&lt;=1,
IF($N62&gt;0,1/$N62,0),
IF(EI$44=1,0,VDB(1,0,$N62,INT(EI$44-1-1),MIN($N62,INT(EI$44-1-1)+1),$DC62,IF($DD62="No",1,0))/
IF(DP62&gt;=INT($N62),$N62-INT($N62),1)))*
IF(EI$44=1,0,
IF(INT(DQ62)=INT(DP62),DQ62-DP62,INT(DQ62)-DP62))+
IF($N62&lt;=1,
IF($N62&gt;0,1/$N62,0),VDB(1,0,$N62,INT(EI$44-1),MIN($N62,INT(EI$44-1)+1),$DC62,IF($DD62="No",1,0))/
IF(DQ62&gt;INT($N62),$N62-INT($N62),1))*
IF(EI$44=1,DQ62,
IF(INT(DQ62)=INT(DP62),0,DQ62-INT(DQ62)))))</f>
        <v>0</v>
      </c>
      <c r="EJ62" s="831">
        <f>+IF(DR62=DQ62,0,
IF(AND(EJ$44&gt;1,DR62=$N62),1-SUM($EE62:EI62),
IF($N62&lt;=1,
IF($N62&gt;0,1/$N62,0),
IF(EJ$44=1,0,VDB(1,0,$N62,INT(EJ$44-1-1),MIN($N62,INT(EJ$44-1-1)+1),$DC62,IF($DD62="No",1,0))/
IF(DQ62&gt;=INT($N62),$N62-INT($N62),1)))*
IF(EJ$44=1,0,
IF(INT(DR62)=INT(DQ62),DR62-DQ62,INT(DR62)-DQ62))+
IF($N62&lt;=1,
IF($N62&gt;0,1/$N62,0),VDB(1,0,$N62,INT(EJ$44-1),MIN($N62,INT(EJ$44-1)+1),$DC62,IF($DD62="No",1,0))/
IF(DR62&gt;INT($N62),$N62-INT($N62),1))*
IF(EJ$44=1,DR62,
IF(INT(DR62)=INT(DQ62),0,DR62-INT(DR62)))))</f>
        <v>0</v>
      </c>
      <c r="EK62" s="831">
        <f>+IF(DS62=DR62,0,
IF(AND(EK$44&gt;1,DS62=$N62),1-SUM($EE62:EJ62),
IF($N62&lt;=1,
IF($N62&gt;0,1/$N62,0),
IF(EK$44=1,0,VDB(1,0,$N62,INT(EK$44-1-1),MIN($N62,INT(EK$44-1-1)+1),$DC62,IF($DD62="No",1,0))/
IF(DR62&gt;=INT($N62),$N62-INT($N62),1)))*
IF(EK$44=1,0,
IF(INT(DS62)=INT(DR62),DS62-DR62,INT(DS62)-DR62))+
IF($N62&lt;=1,
IF($N62&gt;0,1/$N62,0),VDB(1,0,$N62,INT(EK$44-1),MIN($N62,INT(EK$44-1)+1),$DC62,IF($DD62="No",1,0))/
IF(DS62&gt;INT($N62),$N62-INT($N62),1))*
IF(EK$44=1,DS62,
IF(INT(DS62)=INT(DR62),0,DS62-INT(DS62)))))</f>
        <v>0</v>
      </c>
      <c r="EL62" s="831">
        <f>+IF(DT62=DS62,0,
IF(AND(EL$44&gt;1,DT62=$N62),1-SUM($EE62:EK62),
IF($N62&lt;=1,
IF($N62&gt;0,1/$N62,0),
IF(EL$44=1,0,VDB(1,0,$N62,INT(EL$44-1-1),MIN($N62,INT(EL$44-1-1)+1),$DC62,IF($DD62="No",1,0))/
IF(DS62&gt;=INT($N62),$N62-INT($N62),1)))*
IF(EL$44=1,0,
IF(INT(DT62)=INT(DS62),DT62-DS62,INT(DT62)-DS62))+
IF($N62&lt;=1,
IF($N62&gt;0,1/$N62,0),VDB(1,0,$N62,INT(EL$44-1),MIN($N62,INT(EL$44-1)+1),$DC62,IF($DD62="No",1,0))/
IF(DT62&gt;INT($N62),$N62-INT($N62),1))*
IF(EL$44=1,DT62,
IF(INT(DT62)=INT(DS62),0,DT62-INT(DT62)))))</f>
        <v>0</v>
      </c>
      <c r="EM62" s="832">
        <f>+IF(DU62=DT62,0,
IF(AND(EM$44&gt;1,DU62=$N62),1-SUM($EE62:EL62),
IF($N62&lt;=1,
IF($N62&gt;0,1/$N62,0),
IF(EM$44=1,0,VDB(1,0,$N62,INT(EM$44-1-1),MIN($N62,INT(EM$44-1-1)+1),$DC62,IF($DD62="No",1,0))/
IF(DT62&gt;=INT($N62),$N62-INT($N62),1)))*
IF(EM$44=1,0,
IF(INT(DU62)=INT(DT62),DU62-DT62,INT(DU62)-DT62))+
IF($N62&lt;=1,
IF($N62&gt;0,1/$N62,0),VDB(1,0,$N62,INT(EM$44-1),MIN($N62,INT(EM$44-1)+1),$DC62,IF($DD62="No",1,0))/
IF(DU62&gt;INT($N62),$N62-INT($N62),1))*
IF(EM$44=1,DU62,
IF(INT(DU62)=INT(DT62),0,DU62-INT(DU62)))))</f>
        <v>0</v>
      </c>
      <c r="EN62" s="833"/>
      <c r="EO62" s="830">
        <f>+IF(OR(DW62=DV62,EO$44=1),0,
IF(AND(EO$44&gt;1,DW62=$N62),1-SUM($EN62:EN62),
IF($N62&lt;=1,
IF($N62&gt;0,1/$N62,0),
IF(EO$44=2,0,VDB(1,0,$N62,INT(EO$44-2-1),MIN($N62,INT(EO$44-2-1)+1),$DC62,IF($DD62="No",1,0))/
IF(DV62&gt;=INT($N62),$N62-INT($N62),1)))*
IF(EO$44=2,0,
IF(INT(DW62)=INT(DV62),DW62-DV62,INT(DW62)-DV62))+
IF($N62&lt;=1,
IF($N62&gt;0,1/$N62,0),VDB(1,0,$N62,INT(EO$44-2),MIN($N62,INT(EO$44-2)+1),$DC62,IF($DD62="No",1,0))/
IF(DW62&gt;INT($N62),$N62-INT($N62),1))*
IF(EO$44=2,DW62,
IF(INT(DW62)=INT(DV62),0,DW62-INT(DW62)))))</f>
        <v>0</v>
      </c>
      <c r="EP62" s="831">
        <f>+IF(OR(DX62=DW62,EP$44=1),0,
IF(AND(EP$44&gt;1,DX62=$N62),1-SUM($EN62:EO62),
IF($N62&lt;=1,
IF($N62&gt;0,1/$N62,0),
IF(EP$44=2,0,VDB(1,0,$N62,INT(EP$44-2-1),MIN($N62,INT(EP$44-2-1)+1),$DC62,IF($DD62="No",1,0))/
IF(DW62&gt;=INT($N62),$N62-INT($N62),1)))*
IF(EP$44=2,0,
IF(INT(DX62)=INT(DW62),DX62-DW62,INT(DX62)-DW62))+
IF($N62&lt;=1,
IF($N62&gt;0,1/$N62,0),VDB(1,0,$N62,INT(EP$44-2),MIN($N62,INT(EP$44-2)+1),$DC62,IF($DD62="No",1,0))/
IF(DX62&gt;INT($N62),$N62-INT($N62),1))*
IF(EP$44=2,DX62,
IF(INT(DX62)=INT(DW62),0,DX62-INT(DX62)))))</f>
        <v>0</v>
      </c>
      <c r="EQ62" s="832">
        <f>+IF(OR(DY62=DX62,EQ$44=1),0,
IF(AND(EQ$44&gt;1,DY62=$N62),1-SUM($EN62:EP62),
IF($N62&lt;=1,
IF($N62&gt;0,1/$N62,0),
IF(EQ$44=2,0,VDB(1,0,$N62,INT(EQ$44-2-1),MIN($N62,INT(EQ$44-2-1)+1),$DC62,IF($DD62="No",1,0))/
IF(DX62&gt;=INT($N62),$N62-INT($N62),1)))*
IF(EQ$44=2,0,
IF(INT(DY62)=INT(DX62),DY62-DX62,INT(DY62)-DX62))+
IF($N62&lt;=1,
IF($N62&gt;0,1/$N62,0),VDB(1,0,$N62,INT(EQ$44-2),MIN($N62,INT(EQ$44-2)+1),$DC62,IF($DD62="No",1,0))/
IF(DY62&gt;INT($N62),$N62-INT($N62),1))*
IF(EQ$44=2,DY62,
IF(INT(DY62)=INT(DX62),0,DY62-INT(DY62)))))</f>
        <v>0</v>
      </c>
      <c r="ER62" s="830">
        <f>+IF(OR(DZ62=DY62,ER$44=1),0,
IF(AND(ER$44&gt;1,DZ62=$N62),1-SUM($EN62:EQ62),
IF($N62&lt;=1,
IF($N62&gt;0,1/$N62,0),
IF(ER$44=2,0,VDB(1,0,$N62,INT(ER$44-2-1),MIN($N62,INT(ER$44-2-1)+1),$DC62,IF($DD62="No",1,0))/
IF(DY62&gt;=INT($N62),$N62-INT($N62),1)))*
IF(ER$44=2,0,
IF(INT(DZ62)=INT(DY62),DZ62-DY62,INT(DZ62)-DY62))+
IF($N62&lt;=1,
IF($N62&gt;0,1/$N62,0),VDB(1,0,$N62,INT(ER$44-2),MIN($N62,INT(ER$44-2)+1),$DC62,IF($DD62="No",1,0))/
IF(DZ62&gt;INT($N62),$N62-INT($N62),1))*
IF(ER$44=2,DZ62,
IF(INT(DZ62)=INT(DY62),0,DZ62-INT(DZ62)))))</f>
        <v>0</v>
      </c>
      <c r="ES62" s="831">
        <f>+IF(OR(EA62=DZ62,ES$44=1),0,
IF(AND(ES$44&gt;1,EA62=$N62),1-SUM($EN62:ER62),
IF($N62&lt;=1,
IF($N62&gt;0,1/$N62,0),
IF(ES$44=2,0,VDB(1,0,$N62,INT(ES$44-2-1),MIN($N62,INT(ES$44-2-1)+1),$DC62,IF($DD62="No",1,0))/
IF(DZ62&gt;=INT($N62),$N62-INT($N62),1)))*
IF(ES$44=2,0,
IF(INT(EA62)=INT(DZ62),EA62-DZ62,INT(EA62)-DZ62))+
IF($N62&lt;=1,
IF($N62&gt;0,1/$N62,0),VDB(1,0,$N62,INT(ES$44-2),MIN($N62,INT(ES$44-2)+1),$DC62,IF($DD62="No",1,0))/
IF(EA62&gt;INT($N62),$N62-INT($N62),1))*
IF(ES$44=2,EA62,
IF(INT(EA62)=INT(DZ62),0,EA62-INT(EA62)))))</f>
        <v>0</v>
      </c>
      <c r="ET62" s="831">
        <f>+IF(OR(EB62=EA62,ET$44=1),0,
IF(AND(ET$44&gt;1,EB62=$N62),1-SUM($EN62:ES62),
IF($N62&lt;=1,
IF($N62&gt;0,1/$N62,0),
IF(ET$44=2,0,VDB(1,0,$N62,INT(ET$44-2-1),MIN($N62,INT(ET$44-2-1)+1),$DC62,IF($DD62="No",1,0))/
IF(EA62&gt;=INT($N62),$N62-INT($N62),1)))*
IF(ET$44=2,0,
IF(INT(EB62)=INT(EA62),EB62-EA62,INT(EB62)-EA62))+
IF($N62&lt;=1,
IF($N62&gt;0,1/$N62,0),VDB(1,0,$N62,INT(ET$44-2),MIN($N62,INT(ET$44-2)+1),$DC62,IF($DD62="No",1,0))/
IF(EB62&gt;INT($N62),$N62-INT($N62),1))*
IF(ET$44=2,EB62,
IF(INT(EB62)=INT(EA62),0,EB62-INT(EB62)))))</f>
        <v>0</v>
      </c>
      <c r="EU62" s="831">
        <f>+IF(OR(EC62=EB62,EU$44=1),0,
IF(AND(EU$44&gt;1,EC62=$N62),1-SUM($EN62:ET62),
IF($N62&lt;=1,
IF($N62&gt;0,1/$N62,0),
IF(EU$44=2,0,VDB(1,0,$N62,INT(EU$44-2-1),MIN($N62,INT(EU$44-2-1)+1),$DC62,IF($DD62="No",1,0))/
IF(EB62&gt;=INT($N62),$N62-INT($N62),1)))*
IF(EU$44=2,0,
IF(INT(EC62)=INT(EB62),EC62-EB62,INT(EC62)-EB62))+
IF($N62&lt;=1,
IF($N62&gt;0,1/$N62,0),VDB(1,0,$N62,INT(EU$44-2),MIN($N62,INT(EU$44-2)+1),$DC62,IF($DD62="No",1,0))/
IF(EC62&gt;INT($N62),$N62-INT($N62),1))*
IF(EU$44=2,EC62,
IF(INT(EC62)=INT(EB62),0,EC62-INT(EC62)))))</f>
        <v>0</v>
      </c>
      <c r="EV62" s="832">
        <f>+IF(OR(ED62=EC62,EV$44=1),0,
IF(AND(EV$44&gt;1,ED62=$N62),1-SUM($EN62:EU62),
IF($N62&lt;=1,
IF($N62&gt;0,1/$N62,0),
IF(EV$44=2,0,VDB(1,0,$N62,INT(EV$44-2-1),MIN($N62,INT(EV$44-2-1)+1),$DC62,IF($DD62="No",1,0))/
IF(EC62&gt;=INT($N62),$N62-INT($N62),1)))*
IF(EV$44=2,0,
IF(INT(ED62)=INT(EC62),ED62-EC62,INT(ED62)-EC62))+
IF($N62&lt;=1,
IF($N62&gt;0,1/$N62,0),VDB(1,0,$N62,INT(EV$44-2),MIN($N62,INT(EV$44-2)+1),$DC62,IF($DD62="No",1,0))/
IF(ED62&gt;INT($N62),$N62-INT($N62),1))*
IF(EV$44=2,ED62,
IF(INT(ED62)=INT(EC62),0,ED62-INT(ED62)))))</f>
        <v>0</v>
      </c>
      <c r="EW62" s="833"/>
      <c r="EX62" s="830">
        <f t="shared" ref="EX62:FE71" ca="1" si="133">+OFFSET($EO62,0,MAX($EX$44:$HY$44)-EX$44)</f>
        <v>0</v>
      </c>
      <c r="EY62" s="831">
        <f t="shared" ca="1" si="133"/>
        <v>0</v>
      </c>
      <c r="EZ62" s="832">
        <f t="shared" ca="1" si="133"/>
        <v>0</v>
      </c>
      <c r="FA62" s="830">
        <f t="shared" ca="1" si="133"/>
        <v>0</v>
      </c>
      <c r="FB62" s="831">
        <f t="shared" ca="1" si="133"/>
        <v>0</v>
      </c>
      <c r="FC62" s="831">
        <f t="shared" ca="1" si="133"/>
        <v>0</v>
      </c>
      <c r="FD62" s="831">
        <f t="shared" ca="1" si="133"/>
        <v>0</v>
      </c>
      <c r="FE62" s="832">
        <f t="shared" ca="1" si="133"/>
        <v>0</v>
      </c>
      <c r="FG62" s="383">
        <f t="shared" ref="FG62:FN63" ca="1" si="134">-(-$DE62*(-ISBLANK($DE62)+1)*EF62-
IF(FG$44&gt;1,SUMPRODUCT(OFFSET($DF62,0,0,1,FG$44-1)*(-ISBLANK(OFFSET($DF62,0,0,1,FG$44-1))+1),OFFSET($EX62,0,MAX($FG$44:$HY$44)-FG$44,1,FG$44-1)),0))</f>
        <v>0</v>
      </c>
      <c r="FH62" s="384">
        <f t="shared" ca="1" si="134"/>
        <v>0</v>
      </c>
      <c r="FI62" s="385">
        <f t="shared" ca="1" si="134"/>
        <v>0</v>
      </c>
      <c r="FJ62" s="383">
        <f t="shared" ca="1" si="134"/>
        <v>0</v>
      </c>
      <c r="FK62" s="384">
        <f t="shared" ca="1" si="134"/>
        <v>0</v>
      </c>
      <c r="FL62" s="384">
        <f t="shared" ca="1" si="134"/>
        <v>0</v>
      </c>
      <c r="FM62" s="384">
        <f t="shared" ca="1" si="134"/>
        <v>0</v>
      </c>
      <c r="FN62" s="385">
        <f t="shared" ca="1" si="134"/>
        <v>0</v>
      </c>
      <c r="FR62" s="116"/>
    </row>
    <row r="63" spans="2:174">
      <c r="B63" s="1410">
        <f>B62+1</f>
        <v>17</v>
      </c>
      <c r="C63" s="400" t="s">
        <v>543</v>
      </c>
      <c r="D63" s="410"/>
      <c r="E63" s="402" t="s">
        <v>402</v>
      </c>
      <c r="F63" s="402" t="s">
        <v>527</v>
      </c>
      <c r="G63" s="400" t="s">
        <v>522</v>
      </c>
      <c r="H63" s="2088" t="s">
        <v>483</v>
      </c>
      <c r="I63" s="2089"/>
      <c r="J63" s="411" t="s">
        <v>516</v>
      </c>
      <c r="K63" s="403" t="s">
        <v>544</v>
      </c>
      <c r="L63" s="403">
        <v>35</v>
      </c>
      <c r="M63" s="403" t="s">
        <v>142</v>
      </c>
      <c r="N63" s="403"/>
      <c r="O63" s="347"/>
      <c r="P63" s="347"/>
      <c r="Q63" s="1021">
        <v>14.634239058731708</v>
      </c>
      <c r="R63" s="1022">
        <v>18.004474472623443</v>
      </c>
      <c r="S63" s="1022">
        <v>20.116296352751707</v>
      </c>
      <c r="T63" s="1022">
        <v>23.330993114075827</v>
      </c>
      <c r="U63" s="1023">
        <v>25.82892683352393</v>
      </c>
      <c r="V63" s="1021">
        <v>22.490823462802418</v>
      </c>
      <c r="W63" s="1022">
        <v>16.413230140760742</v>
      </c>
      <c r="X63" s="1022">
        <v>18.55183086497545</v>
      </c>
      <c r="Y63" s="1022">
        <v>18.300683389593786</v>
      </c>
      <c r="Z63" s="1023">
        <v>19.043356636497837</v>
      </c>
      <c r="AA63" s="1024"/>
      <c r="AB63" s="1021">
        <v>0</v>
      </c>
      <c r="AC63" s="1022">
        <v>0</v>
      </c>
      <c r="AD63" s="1022">
        <v>0</v>
      </c>
      <c r="AE63" s="1022">
        <v>0</v>
      </c>
      <c r="AF63" s="1023">
        <v>0</v>
      </c>
      <c r="AG63" s="1021">
        <v>0</v>
      </c>
      <c r="AH63" s="1022">
        <v>0</v>
      </c>
      <c r="AI63" s="1022">
        <v>0</v>
      </c>
      <c r="AJ63" s="1022">
        <v>0</v>
      </c>
      <c r="AK63" s="1023">
        <v>0</v>
      </c>
      <c r="AL63" s="1024"/>
      <c r="AM63" s="1021">
        <v>0</v>
      </c>
      <c r="AN63" s="1022">
        <v>0</v>
      </c>
      <c r="AO63" s="1022">
        <v>0</v>
      </c>
      <c r="AP63" s="1022">
        <v>0</v>
      </c>
      <c r="AQ63" s="1023">
        <v>0</v>
      </c>
      <c r="AR63" s="1021">
        <v>0</v>
      </c>
      <c r="AS63" s="1022">
        <v>0</v>
      </c>
      <c r="AT63" s="1022">
        <v>0</v>
      </c>
      <c r="AU63" s="1022">
        <v>0</v>
      </c>
      <c r="AV63" s="1023">
        <v>0</v>
      </c>
      <c r="AW63" s="1025"/>
      <c r="AX63" s="1282">
        <f t="shared" si="128"/>
        <v>14.634239058731708</v>
      </c>
      <c r="AY63" s="387">
        <f t="shared" si="128"/>
        <v>18.004474472623443</v>
      </c>
      <c r="AZ63" s="387">
        <f t="shared" si="128"/>
        <v>20.116296352751707</v>
      </c>
      <c r="BA63" s="387">
        <f t="shared" si="128"/>
        <v>23.330993114075827</v>
      </c>
      <c r="BB63" s="1283">
        <f t="shared" si="128"/>
        <v>25.82892683352393</v>
      </c>
      <c r="BC63" s="386">
        <f t="shared" si="128"/>
        <v>22.490823462802418</v>
      </c>
      <c r="BD63" s="387">
        <f t="shared" si="128"/>
        <v>16.413230140760742</v>
      </c>
      <c r="BE63" s="1277">
        <f t="shared" si="128"/>
        <v>18.55183086497545</v>
      </c>
      <c r="BF63" s="1277">
        <f t="shared" si="128"/>
        <v>18.300683389593786</v>
      </c>
      <c r="BG63" s="388">
        <f t="shared" si="128"/>
        <v>19.043356636497837</v>
      </c>
      <c r="BH63" s="1025"/>
      <c r="BI63" s="1282">
        <f ca="1">IF($L63=0,0,
IF($L63&lt;=0.5,BT63,
IF($J63="straight line",
IF((LEFT(BI$43,4)*1)-INT($L63)&lt;LEFT($BI$43,4)*1,0,((OFFSET(BT63,0,-INT($L63+0.5),1,1))/$L63)*(IF($L63-INT($L63)&gt;0.5,$L63-0.5-INT($L63),IF($L63-INT($L63)&lt;=0.5,$L63-0.5-INT($L63)+1,0))))
+BT63/$L63*0.5,
IF($J63="Declining Balance",-$BI$42,0))))</f>
        <v>0.20906055798188156</v>
      </c>
      <c r="BJ63" s="387">
        <f t="shared" ca="1" si="129"/>
        <v>0.675327894144098</v>
      </c>
      <c r="BK63" s="387">
        <f t="shared" ca="1" si="129"/>
        <v>1.2199103345066002</v>
      </c>
      <c r="BL63" s="387">
        <f t="shared" ca="1" si="129"/>
        <v>1.840585898318422</v>
      </c>
      <c r="BM63" s="1283">
        <f t="shared" ca="1" si="129"/>
        <v>2.5428704689984185</v>
      </c>
      <c r="BN63" s="386">
        <f t="shared" ca="1" si="129"/>
        <v>3.2331526160887951</v>
      </c>
      <c r="BO63" s="387">
        <f t="shared" ca="1" si="129"/>
        <v>3.7889248104254114</v>
      </c>
      <c r="BP63" s="1277">
        <f t="shared" ca="1" si="129"/>
        <v>4.2884256819359274</v>
      </c>
      <c r="BQ63" s="1277">
        <f t="shared" ca="1" si="129"/>
        <v>4.8148901712869172</v>
      </c>
      <c r="BR63" s="388">
        <f t="shared" ca="1" si="129"/>
        <v>5.3483764573739405</v>
      </c>
      <c r="BS63" s="1025"/>
      <c r="BT63" s="1282">
        <f>+IF($K63="Ongoing",AX63,IF(RIGHT($K63,2)=RIGHT(BT$43,2),SUM($AX63:AX63),0)+IF(RIGHT(BT$43,2)&gt;RIGHT($K63,2),AX63,0))</f>
        <v>14.634239058731708</v>
      </c>
      <c r="BU63" s="387">
        <f>+IF($K63="Ongoing",AY63,IF(RIGHT($K63,2)=RIGHT(BU$43,2),SUM($AX63:AY63),0)+IF(RIGHT(BU$43,2)&gt;RIGHT($K63,2),AY63,0))</f>
        <v>18.004474472623443</v>
      </c>
      <c r="BV63" s="387">
        <f>+IF($K63="Ongoing",AZ63,IF(RIGHT($K63,2)=RIGHT(BV$43,2),SUM($AX63:AZ63),0)+IF(RIGHT(BV$43,2)&gt;RIGHT($K63,2),AZ63,0))</f>
        <v>20.116296352751707</v>
      </c>
      <c r="BW63" s="387">
        <f>+IF($K63="Ongoing",BA63,IF(RIGHT($K63,2)=RIGHT(BW$43,2),SUM($AX63:BA63),0)+IF(RIGHT(BW$43,2)&gt;RIGHT($K63,2),BA63,0))</f>
        <v>23.330993114075827</v>
      </c>
      <c r="BX63" s="1283">
        <f>+IF($K63="Ongoing",BB63,IF(RIGHT($K63,2)=RIGHT(BX$43,2),SUM($AX63:BB63),0)+IF(RIGHT(BX$43,2)&gt;RIGHT($K63,2),BB63,0))</f>
        <v>25.82892683352393</v>
      </c>
      <c r="BY63" s="386">
        <f>+IF($K63="Ongoing",BC63,IF(RIGHT($K63,2)=RIGHT(BY$43,2),SUM($AX63:BC63),0)+IF(RIGHT(BY$43,2)&gt;RIGHT($K63,2),BC63,0))</f>
        <v>22.490823462802418</v>
      </c>
      <c r="BZ63" s="387">
        <f>+IF($K63="Ongoing",BD63,IF(RIGHT($K63,2)=RIGHT(BZ$43,2),SUM($AX63:BD63),0)+IF(RIGHT(BZ$43,2)&gt;RIGHT($K63,2),BD63,0))</f>
        <v>16.413230140760742</v>
      </c>
      <c r="CA63" s="1277">
        <f>+IF($K63="Ongoing",BE63,IF(RIGHT($K63,2)=RIGHT(CA$43,2),SUM($AX63:BE63),0)+IF(RIGHT(CA$43,2)&gt;RIGHT($K63,2),BE63,0))</f>
        <v>18.55183086497545</v>
      </c>
      <c r="CB63" s="1277">
        <f>+IF($K63="Ongoing",BF63,IF(RIGHT($K63,2)=RIGHT(CB$43,2),SUM($AX63:BF63),0)+IF(RIGHT(CB$43,2)&gt;RIGHT($K63,2),BF63,0))</f>
        <v>18.300683389593786</v>
      </c>
      <c r="CC63" s="388">
        <f>+IF($K63="Ongoing",BG63,IF(RIGHT($K63,2)=RIGHT(CC$43,2),SUM($AX63:BG63),0)+IF(RIGHT(CC$43,2)&gt;RIGHT($K63,2),BG63,0))</f>
        <v>19.043356636497837</v>
      </c>
      <c r="CD63" s="1025"/>
      <c r="CE63" s="1282">
        <f>+Q63*KeyAssumptionsPriceControl_FO!AF$15</f>
        <v>15.058631991434927</v>
      </c>
      <c r="CF63" s="387">
        <f>+R63*KeyAssumptionsPriceControl_FO!AG$15</f>
        <v>19.063875755067077</v>
      </c>
      <c r="CG63" s="387">
        <f>+S63*KeyAssumptionsPriceControl_FO!AH$15</f>
        <v>21.917658167490842</v>
      </c>
      <c r="CH63" s="387">
        <f>+T63*KeyAssumptionsPriceControl_FO!AI$15</f>
        <v>26.157409086494624</v>
      </c>
      <c r="CI63" s="1283">
        <f>+U63*KeyAssumptionsPriceControl_FO!AJ$15</f>
        <v>29.797733787347223</v>
      </c>
      <c r="CJ63" s="386">
        <f>+V63*KeyAssumptionsPriceControl_FO!AK$15</f>
        <v>26.699160448417466</v>
      </c>
      <c r="CK63" s="387">
        <f>+W63*KeyAssumptionsPriceControl_FO!AL$15</f>
        <v>20.049413941464014</v>
      </c>
      <c r="CL63" s="1277">
        <f>+X63*KeyAssumptionsPriceControl_FO!AM$15</f>
        <v>23.318992048283995</v>
      </c>
      <c r="CM63" s="1277">
        <f>+Y63*KeyAssumptionsPriceControl_FO!AN$15</f>
        <v>23.670404547074035</v>
      </c>
      <c r="CN63" s="388">
        <f>+Z63*KeyAssumptionsPriceControl_FO!AO$15</f>
        <v>25.345289044995042</v>
      </c>
      <c r="CO63" s="1025"/>
      <c r="CP63" s="1282">
        <f t="shared" ca="1" si="130"/>
        <v>0</v>
      </c>
      <c r="CQ63" s="387">
        <f t="shared" ca="1" si="130"/>
        <v>0</v>
      </c>
      <c r="CR63" s="387">
        <f t="shared" ca="1" si="130"/>
        <v>0</v>
      </c>
      <c r="CS63" s="387">
        <f t="shared" ca="1" si="130"/>
        <v>0</v>
      </c>
      <c r="CT63" s="1283">
        <f t="shared" ca="1" si="130"/>
        <v>0</v>
      </c>
      <c r="CU63" s="386">
        <f t="shared" ca="1" si="130"/>
        <v>0</v>
      </c>
      <c r="CV63" s="387">
        <f t="shared" ca="1" si="130"/>
        <v>0</v>
      </c>
      <c r="CW63" s="1277">
        <f t="shared" ca="1" si="130"/>
        <v>0</v>
      </c>
      <c r="CX63" s="1277">
        <f t="shared" ca="1" si="130"/>
        <v>0</v>
      </c>
      <c r="CY63" s="388">
        <f t="shared" ca="1" si="130"/>
        <v>0</v>
      </c>
      <c r="CZ63" s="347"/>
      <c r="DA63" s="852"/>
      <c r="DB63" s="347"/>
      <c r="DC63" s="1012" t="s">
        <v>517</v>
      </c>
      <c r="DD63" s="841" t="s">
        <v>518</v>
      </c>
      <c r="DE63" s="386">
        <f>+IF($K63="ongoing",CE63,IF(RIGHT($K63,2)=RIGHT(DE$43,2),SUM($CD63:CE63),0)+IF(RIGHT(DE$43,2)&gt;RIGHT($K63,2),CE63,0))</f>
        <v>15.058631991434927</v>
      </c>
      <c r="DF63" s="387">
        <f>+IF($K63="ongoing",CF63,IF(RIGHT($K63,2)=RIGHT(DF$43,2),SUM($CD63:CF63),0)+IF(RIGHT(DF$43,2)&gt;RIGHT($K63,2),CF63,0))</f>
        <v>19.063875755067077</v>
      </c>
      <c r="DG63" s="388">
        <f>+IF($K63="ongoing",CG63,IF(RIGHT($K63,2)=RIGHT(DG$43,2),SUM($CD63:CG63),0)+IF(RIGHT(DG$43,2)&gt;RIGHT($K63,2),CG63,0))</f>
        <v>21.917658167490842</v>
      </c>
      <c r="DH63" s="386">
        <f>+IF($K63="ongoing",CH63,IF(RIGHT($K63,2)=RIGHT(DH$43,2),SUM($CD63:CH63),0)+IF(RIGHT(DH$43,2)&gt;RIGHT($K63,2),CH63,0))</f>
        <v>26.157409086494624</v>
      </c>
      <c r="DI63" s="387">
        <f>+IF($K63="ongoing",CI63,IF(RIGHT($K63,2)=RIGHT(DI$43,2),SUM($CD63:CI63),0)+IF(RIGHT(DI$43,2)&gt;RIGHT($K63,2),CI63,0))</f>
        <v>29.797733787347223</v>
      </c>
      <c r="DJ63" s="387">
        <f>+IF($K63="ongoing",CJ63,IF(RIGHT($K63,2)=RIGHT(DJ$43,2),SUM($CD63:CJ63),0)+IF(RIGHT(DJ$43,2)&gt;RIGHT($K63,2),CJ63,0))</f>
        <v>26.699160448417466</v>
      </c>
      <c r="DK63" s="387">
        <f>+IF($K63="ongoing",CK63,IF(RIGHT($K63,2)=RIGHT(DK$43,2),SUM($CD63:CK63),0)+IF(RIGHT(DK$43,2)&gt;RIGHT($K63,2),CK63,0))</f>
        <v>20.049413941464014</v>
      </c>
      <c r="DL63" s="388">
        <f>+IF($K63="ongoing",CN63,IF(RIGHT($K63,2)=RIGHT(DL$43,2),SUM($CD63:CN63),0)+IF(RIGHT(DL$43,2)&gt;RIGHT($K63,2),CN63,0))</f>
        <v>25.345289044995042</v>
      </c>
      <c r="DM63" s="841"/>
      <c r="DN63" s="386">
        <f t="shared" si="131"/>
        <v>0.5</v>
      </c>
      <c r="DO63" s="387">
        <f t="shared" si="131"/>
        <v>1</v>
      </c>
      <c r="DP63" s="388">
        <f t="shared" si="131"/>
        <v>1</v>
      </c>
      <c r="DQ63" s="386">
        <f t="shared" si="131"/>
        <v>1</v>
      </c>
      <c r="DR63" s="387">
        <f t="shared" si="131"/>
        <v>1</v>
      </c>
      <c r="DS63" s="387">
        <f t="shared" si="131"/>
        <v>1</v>
      </c>
      <c r="DT63" s="387">
        <f t="shared" si="131"/>
        <v>1</v>
      </c>
      <c r="DU63" s="388">
        <f t="shared" si="131"/>
        <v>1</v>
      </c>
      <c r="DW63" s="386">
        <f t="shared" si="132"/>
        <v>0</v>
      </c>
      <c r="DX63" s="387">
        <f t="shared" si="132"/>
        <v>0.5</v>
      </c>
      <c r="DY63" s="388">
        <f t="shared" si="132"/>
        <v>1</v>
      </c>
      <c r="DZ63" s="386">
        <f t="shared" si="132"/>
        <v>1</v>
      </c>
      <c r="EA63" s="387">
        <f t="shared" si="132"/>
        <v>1</v>
      </c>
      <c r="EB63" s="387">
        <f t="shared" si="132"/>
        <v>1</v>
      </c>
      <c r="EC63" s="387">
        <f t="shared" si="132"/>
        <v>1</v>
      </c>
      <c r="ED63" s="388">
        <f t="shared" si="132"/>
        <v>1</v>
      </c>
      <c r="EF63" s="834">
        <f>+IF(DN63=DM63,0,
IF(AND(EF$44&gt;1,DN63=$N63),1-SUM($EE63:EE63),
IF($N63&lt;=1,
IF($N63&gt;0,1/$N63,0),
IF(EF$44=1,0,VDB(1,0,$N63,INT(EF$44-1-1),MIN($N63,INT(EF$44-1-1)+1),$DC63,IF($DD63="No",1,0))/
IF(DM63&gt;=INT($N63),$N63-INT($N63),1)))*
IF(EF$44=1,0,
IF(INT(DN63)=INT(DM63),DN63-DM63,INT(DN63)-DM63))+
IF($N63&lt;=1,
IF($N63&gt;0,1/$N63,0),VDB(1,0,$N63,INT(EF$44-1),MIN($N63,INT(EF$44-1)+1),$DC63,IF($DD63="No",1,0))/
IF(DN63&gt;INT($N63),$N63-INT($N63),1))*
IF(EF$44=1,DN63,
IF(INT(DN63)=INT(DM63),0,DN63-INT(DN63)))))</f>
        <v>0</v>
      </c>
      <c r="EG63" s="835">
        <f>+IF(DO63=DN63,0,
IF(AND(EG$44&gt;1,DO63=$N63),1-SUM($EE63:EF63),
IF($N63&lt;=1,
IF($N63&gt;0,1/$N63,0),
IF(EG$44=1,0,VDB(1,0,$N63,INT(EG$44-1-1),MIN($N63,INT(EG$44-1-1)+1),$DC63,IF($DD63="No",1,0))/
IF(DN63&gt;=INT($N63),$N63-INT($N63),1)))*
IF(EG$44=1,0,
IF(INT(DO63)=INT(DN63),DO63-DN63,INT(DO63)-DN63))+
IF($N63&lt;=1,
IF($N63&gt;0,1/$N63,0),VDB(1,0,$N63,INT(EG$44-1),MIN($N63,INT(EG$44-1)+1),$DC63,IF($DD63="No",1,0))/
IF(DO63&gt;INT($N63),$N63-INT($N63),1))*
IF(EG$44=1,DO63,
IF(INT(DO63)=INT(DN63),0,DO63-INT(DO63)))))</f>
        <v>0</v>
      </c>
      <c r="EH63" s="836">
        <f>+IF(DP63=DO63,0,
IF(AND(EH$44&gt;1,DP63=$N63),1-SUM($EE63:EG63),
IF($N63&lt;=1,
IF($N63&gt;0,1/$N63,0),
IF(EH$44=1,0,VDB(1,0,$N63,INT(EH$44-1-1),MIN($N63,INT(EH$44-1-1)+1),$DC63,IF($DD63="No",1,0))/
IF(DO63&gt;=INT($N63),$N63-INT($N63),1)))*
IF(EH$44=1,0,
IF(INT(DP63)=INT(DO63),DP63-DO63,INT(DP63)-DO63))+
IF($N63&lt;=1,
IF($N63&gt;0,1/$N63,0),VDB(1,0,$N63,INT(EH$44-1),MIN($N63,INT(EH$44-1)+1),$DC63,IF($DD63="No",1,0))/
IF(DP63&gt;INT($N63),$N63-INT($N63),1))*
IF(EH$44=1,DP63,
IF(INT(DP63)=INT(DO63),0,DP63-INT(DP63)))))</f>
        <v>0</v>
      </c>
      <c r="EI63" s="834">
        <f>+IF(DQ63=DP63,0,
IF(AND(EI$44&gt;1,DQ63=$N63),1-SUM($EE63:EH63),
IF($N63&lt;=1,
IF($N63&gt;0,1/$N63,0),
IF(EI$44=1,0,VDB(1,0,$N63,INT(EI$44-1-1),MIN($N63,INT(EI$44-1-1)+1),$DC63,IF($DD63="No",1,0))/
IF(DP63&gt;=INT($N63),$N63-INT($N63),1)))*
IF(EI$44=1,0,
IF(INT(DQ63)=INT(DP63),DQ63-DP63,INT(DQ63)-DP63))+
IF($N63&lt;=1,
IF($N63&gt;0,1/$N63,0),VDB(1,0,$N63,INT(EI$44-1),MIN($N63,INT(EI$44-1)+1),$DC63,IF($DD63="No",1,0))/
IF(DQ63&gt;INT($N63),$N63-INT($N63),1))*
IF(EI$44=1,DQ63,
IF(INT(DQ63)=INT(DP63),0,DQ63-INT(DQ63)))))</f>
        <v>0</v>
      </c>
      <c r="EJ63" s="835">
        <f>+IF(DR63=DQ63,0,
IF(AND(EJ$44&gt;1,DR63=$N63),1-SUM($EE63:EI63),
IF($N63&lt;=1,
IF($N63&gt;0,1/$N63,0),
IF(EJ$44=1,0,VDB(1,0,$N63,INT(EJ$44-1-1),MIN($N63,INT(EJ$44-1-1)+1),$DC63,IF($DD63="No",1,0))/
IF(DQ63&gt;=INT($N63),$N63-INT($N63),1)))*
IF(EJ$44=1,0,
IF(INT(DR63)=INT(DQ63),DR63-DQ63,INT(DR63)-DQ63))+
IF($N63&lt;=1,
IF($N63&gt;0,1/$N63,0),VDB(1,0,$N63,INT(EJ$44-1),MIN($N63,INT(EJ$44-1)+1),$DC63,IF($DD63="No",1,0))/
IF(DR63&gt;INT($N63),$N63-INT($N63),1))*
IF(EJ$44=1,DR63,
IF(INT(DR63)=INT(DQ63),0,DR63-INT(DR63)))))</f>
        <v>0</v>
      </c>
      <c r="EK63" s="835">
        <f>+IF(DS63=DR63,0,
IF(AND(EK$44&gt;1,DS63=$N63),1-SUM($EE63:EJ63),
IF($N63&lt;=1,
IF($N63&gt;0,1/$N63,0),
IF(EK$44=1,0,VDB(1,0,$N63,INT(EK$44-1-1),MIN($N63,INT(EK$44-1-1)+1),$DC63,IF($DD63="No",1,0))/
IF(DR63&gt;=INT($N63),$N63-INT($N63),1)))*
IF(EK$44=1,0,
IF(INT(DS63)=INT(DR63),DS63-DR63,INT(DS63)-DR63))+
IF($N63&lt;=1,
IF($N63&gt;0,1/$N63,0),VDB(1,0,$N63,INT(EK$44-1),MIN($N63,INT(EK$44-1)+1),$DC63,IF($DD63="No",1,0))/
IF(DS63&gt;INT($N63),$N63-INT($N63),1))*
IF(EK$44=1,DS63,
IF(INT(DS63)=INT(DR63),0,DS63-INT(DS63)))))</f>
        <v>0</v>
      </c>
      <c r="EL63" s="835">
        <f>+IF(DT63=DS63,0,
IF(AND(EL$44&gt;1,DT63=$N63),1-SUM($EE63:EK63),
IF($N63&lt;=1,
IF($N63&gt;0,1/$N63,0),
IF(EL$44=1,0,VDB(1,0,$N63,INT(EL$44-1-1),MIN($N63,INT(EL$44-1-1)+1),$DC63,IF($DD63="No",1,0))/
IF(DS63&gt;=INT($N63),$N63-INT($N63),1)))*
IF(EL$44=1,0,
IF(INT(DT63)=INT(DS63),DT63-DS63,INT(DT63)-DS63))+
IF($N63&lt;=1,
IF($N63&gt;0,1/$N63,0),VDB(1,0,$N63,INT(EL$44-1),MIN($N63,INT(EL$44-1)+1),$DC63,IF($DD63="No",1,0))/
IF(DT63&gt;INT($N63),$N63-INT($N63),1))*
IF(EL$44=1,DT63,
IF(INT(DT63)=INT(DS63),0,DT63-INT(DT63)))))</f>
        <v>0</v>
      </c>
      <c r="EM63" s="836">
        <f>+IF(DU63=DT63,0,
IF(AND(EM$44&gt;1,DU63=$N63),1-SUM($EE63:EL63),
IF($N63&lt;=1,
IF($N63&gt;0,1/$N63,0),
IF(EM$44=1,0,VDB(1,0,$N63,INT(EM$44-1-1),MIN($N63,INT(EM$44-1-1)+1),$DC63,IF($DD63="No",1,0))/
IF(DT63&gt;=INT($N63),$N63-INT($N63),1)))*
IF(EM$44=1,0,
IF(INT(DU63)=INT(DT63),DU63-DT63,INT(DU63)-DT63))+
IF($N63&lt;=1,
IF($N63&gt;0,1/$N63,0),VDB(1,0,$N63,INT(EM$44-1),MIN($N63,INT(EM$44-1)+1),$DC63,IF($DD63="No",1,0))/
IF(DU63&gt;INT($N63),$N63-INT($N63),1))*
IF(EM$44=1,DU63,
IF(INT(DU63)=INT(DT63),0,DU63-INT(DU63)))))</f>
        <v>0</v>
      </c>
      <c r="EN63" s="833"/>
      <c r="EO63" s="834">
        <f>+IF(OR(DW63=DV63,EO$44=1),0,
IF(AND(EO$44&gt;1,DW63=$N63),1-SUM($EN63:EN63),
IF($N63&lt;=1,
IF($N63&gt;0,1/$N63,0),
IF(EO$44=2,0,VDB(1,0,$N63,INT(EO$44-2-1),MIN($N63,INT(EO$44-2-1)+1),$DC63,IF($DD63="No",1,0))/
IF(DV63&gt;=INT($N63),$N63-INT($N63),1)))*
IF(EO$44=2,0,
IF(INT(DW63)=INT(DV63),DW63-DV63,INT(DW63)-DV63))+
IF($N63&lt;=1,
IF($N63&gt;0,1/$N63,0),VDB(1,0,$N63,INT(EO$44-2),MIN($N63,INT(EO$44-2)+1),$DC63,IF($DD63="No",1,0))/
IF(DW63&gt;INT($N63),$N63-INT($N63),1))*
IF(EO$44=2,DW63,
IF(INT(DW63)=INT(DV63),0,DW63-INT(DW63)))))</f>
        <v>0</v>
      </c>
      <c r="EP63" s="835">
        <f>+IF(OR(DX63=DW63,EP$44=1),0,
IF(AND(EP$44&gt;1,DX63=$N63),1-SUM($EN63:EO63),
IF($N63&lt;=1,
IF($N63&gt;0,1/$N63,0),
IF(EP$44=2,0,VDB(1,0,$N63,INT(EP$44-2-1),MIN($N63,INT(EP$44-2-1)+1),$DC63,IF($DD63="No",1,0))/
IF(DW63&gt;=INT($N63),$N63-INT($N63),1)))*
IF(EP$44=2,0,
IF(INT(DX63)=INT(DW63),DX63-DW63,INT(DX63)-DW63))+
IF($N63&lt;=1,
IF($N63&gt;0,1/$N63,0),VDB(1,0,$N63,INT(EP$44-2),MIN($N63,INT(EP$44-2)+1),$DC63,IF($DD63="No",1,0))/
IF(DX63&gt;INT($N63),$N63-INT($N63),1))*
IF(EP$44=2,DX63,
IF(INT(DX63)=INT(DW63),0,DX63-INT(DX63)))))</f>
        <v>0</v>
      </c>
      <c r="EQ63" s="836">
        <f>+IF(OR(DY63=DX63,EQ$44=1),0,
IF(AND(EQ$44&gt;1,DY63=$N63),1-SUM($EN63:EP63),
IF($N63&lt;=1,
IF($N63&gt;0,1/$N63,0),
IF(EQ$44=2,0,VDB(1,0,$N63,INT(EQ$44-2-1),MIN($N63,INT(EQ$44-2-1)+1),$DC63,IF($DD63="No",1,0))/
IF(DX63&gt;=INT($N63),$N63-INT($N63),1)))*
IF(EQ$44=2,0,
IF(INT(DY63)=INT(DX63),DY63-DX63,INT(DY63)-DX63))+
IF($N63&lt;=1,
IF($N63&gt;0,1/$N63,0),VDB(1,0,$N63,INT(EQ$44-2),MIN($N63,INT(EQ$44-2)+1),$DC63,IF($DD63="No",1,0))/
IF(DY63&gt;INT($N63),$N63-INT($N63),1))*
IF(EQ$44=2,DY63,
IF(INT(DY63)=INT(DX63),0,DY63-INT(DY63)))))</f>
        <v>0</v>
      </c>
      <c r="ER63" s="834">
        <f>+IF(OR(DZ63=DY63,ER$44=1),0,
IF(AND(ER$44&gt;1,DZ63=$N63),1-SUM($EN63:EQ63),
IF($N63&lt;=1,
IF($N63&gt;0,1/$N63,0),
IF(ER$44=2,0,VDB(1,0,$N63,INT(ER$44-2-1),MIN($N63,INT(ER$44-2-1)+1),$DC63,IF($DD63="No",1,0))/
IF(DY63&gt;=INT($N63),$N63-INT($N63),1)))*
IF(ER$44=2,0,
IF(INT(DZ63)=INT(DY63),DZ63-DY63,INT(DZ63)-DY63))+
IF($N63&lt;=1,
IF($N63&gt;0,1/$N63,0),VDB(1,0,$N63,INT(ER$44-2),MIN($N63,INT(ER$44-2)+1),$DC63,IF($DD63="No",1,0))/
IF(DZ63&gt;INT($N63),$N63-INT($N63),1))*
IF(ER$44=2,DZ63,
IF(INT(DZ63)=INT(DY63),0,DZ63-INT(DZ63)))))</f>
        <v>0</v>
      </c>
      <c r="ES63" s="835">
        <f>+IF(OR(EA63=DZ63,ES$44=1),0,
IF(AND(ES$44&gt;1,EA63=$N63),1-SUM($EN63:ER63),
IF($N63&lt;=1,
IF($N63&gt;0,1/$N63,0),
IF(ES$44=2,0,VDB(1,0,$N63,INT(ES$44-2-1),MIN($N63,INT(ES$44-2-1)+1),$DC63,IF($DD63="No",1,0))/
IF(DZ63&gt;=INT($N63),$N63-INT($N63),1)))*
IF(ES$44=2,0,
IF(INT(EA63)=INT(DZ63),EA63-DZ63,INT(EA63)-DZ63))+
IF($N63&lt;=1,
IF($N63&gt;0,1/$N63,0),VDB(1,0,$N63,INT(ES$44-2),MIN($N63,INT(ES$44-2)+1),$DC63,IF($DD63="No",1,0))/
IF(EA63&gt;INT($N63),$N63-INT($N63),1))*
IF(ES$44=2,EA63,
IF(INT(EA63)=INT(DZ63),0,EA63-INT(EA63)))))</f>
        <v>0</v>
      </c>
      <c r="ET63" s="835">
        <f>+IF(OR(EB63=EA63,ET$44=1),0,
IF(AND(ET$44&gt;1,EB63=$N63),1-SUM($EN63:ES63),
IF($N63&lt;=1,
IF($N63&gt;0,1/$N63,0),
IF(ET$44=2,0,VDB(1,0,$N63,INT(ET$44-2-1),MIN($N63,INT(ET$44-2-1)+1),$DC63,IF($DD63="No",1,0))/
IF(EA63&gt;=INT($N63),$N63-INT($N63),1)))*
IF(ET$44=2,0,
IF(INT(EB63)=INT(EA63),EB63-EA63,INT(EB63)-EA63))+
IF($N63&lt;=1,
IF($N63&gt;0,1/$N63,0),VDB(1,0,$N63,INT(ET$44-2),MIN($N63,INT(ET$44-2)+1),$DC63,IF($DD63="No",1,0))/
IF(EB63&gt;INT($N63),$N63-INT($N63),1))*
IF(ET$44=2,EB63,
IF(INT(EB63)=INT(EA63),0,EB63-INT(EB63)))))</f>
        <v>0</v>
      </c>
      <c r="EU63" s="835">
        <f>+IF(OR(EC63=EB63,EU$44=1),0,
IF(AND(EU$44&gt;1,EC63=$N63),1-SUM($EN63:ET63),
IF($N63&lt;=1,
IF($N63&gt;0,1/$N63,0),
IF(EU$44=2,0,VDB(1,0,$N63,INT(EU$44-2-1),MIN($N63,INT(EU$44-2-1)+1),$DC63,IF($DD63="No",1,0))/
IF(EB63&gt;=INT($N63),$N63-INT($N63),1)))*
IF(EU$44=2,0,
IF(INT(EC63)=INT(EB63),EC63-EB63,INT(EC63)-EB63))+
IF($N63&lt;=1,
IF($N63&gt;0,1/$N63,0),VDB(1,0,$N63,INT(EU$44-2),MIN($N63,INT(EU$44-2)+1),$DC63,IF($DD63="No",1,0))/
IF(EC63&gt;INT($N63),$N63-INT($N63),1))*
IF(EU$44=2,EC63,
IF(INT(EC63)=INT(EB63),0,EC63-INT(EC63)))))</f>
        <v>0</v>
      </c>
      <c r="EV63" s="836">
        <f>+IF(OR(ED63=EC63,EV$44=1),0,
IF(AND(EV$44&gt;1,ED63=$N63),1-SUM($EN63:EU63),
IF($N63&lt;=1,
IF($N63&gt;0,1/$N63,0),
IF(EV$44=2,0,VDB(1,0,$N63,INT(EV$44-2-1),MIN($N63,INT(EV$44-2-1)+1),$DC63,IF($DD63="No",1,0))/
IF(EC63&gt;=INT($N63),$N63-INT($N63),1)))*
IF(EV$44=2,0,
IF(INT(ED63)=INT(EC63),ED63-EC63,INT(ED63)-EC63))+
IF($N63&lt;=1,
IF($N63&gt;0,1/$N63,0),VDB(1,0,$N63,INT(EV$44-2),MIN($N63,INT(EV$44-2)+1),$DC63,IF($DD63="No",1,0))/
IF(ED63&gt;INT($N63),$N63-INT($N63),1))*
IF(EV$44=2,ED63,
IF(INT(ED63)=INT(EC63),0,ED63-INT(ED63)))))</f>
        <v>0</v>
      </c>
      <c r="EW63" s="833"/>
      <c r="EX63" s="834">
        <f t="shared" ca="1" si="133"/>
        <v>0</v>
      </c>
      <c r="EY63" s="835">
        <f t="shared" ca="1" si="133"/>
        <v>0</v>
      </c>
      <c r="EZ63" s="836">
        <f t="shared" ca="1" si="133"/>
        <v>0</v>
      </c>
      <c r="FA63" s="834">
        <f t="shared" ca="1" si="133"/>
        <v>0</v>
      </c>
      <c r="FB63" s="835">
        <f t="shared" ca="1" si="133"/>
        <v>0</v>
      </c>
      <c r="FC63" s="835">
        <f t="shared" ca="1" si="133"/>
        <v>0</v>
      </c>
      <c r="FD63" s="835">
        <f t="shared" ca="1" si="133"/>
        <v>0</v>
      </c>
      <c r="FE63" s="836">
        <f t="shared" ca="1" si="133"/>
        <v>0</v>
      </c>
      <c r="FG63" s="386">
        <f t="shared" ca="1" si="134"/>
        <v>0</v>
      </c>
      <c r="FH63" s="387">
        <f t="shared" ca="1" si="134"/>
        <v>0</v>
      </c>
      <c r="FI63" s="388">
        <f t="shared" ca="1" si="134"/>
        <v>0</v>
      </c>
      <c r="FJ63" s="386">
        <f t="shared" ca="1" si="134"/>
        <v>0</v>
      </c>
      <c r="FK63" s="387">
        <f t="shared" ca="1" si="134"/>
        <v>0</v>
      </c>
      <c r="FL63" s="387">
        <f t="shared" ca="1" si="134"/>
        <v>0</v>
      </c>
      <c r="FM63" s="387">
        <f t="shared" ca="1" si="134"/>
        <v>0</v>
      </c>
      <c r="FN63" s="388">
        <f t="shared" ca="1" si="134"/>
        <v>0</v>
      </c>
      <c r="FR63" s="116"/>
    </row>
    <row r="64" spans="2:174">
      <c r="B64" s="1410">
        <f t="shared" ref="B64:B127" si="135">B63+1</f>
        <v>18</v>
      </c>
      <c r="C64" s="400" t="s">
        <v>545</v>
      </c>
      <c r="D64" s="410"/>
      <c r="E64" s="402" t="s">
        <v>402</v>
      </c>
      <c r="F64" s="402" t="s">
        <v>520</v>
      </c>
      <c r="G64" s="400" t="s">
        <v>522</v>
      </c>
      <c r="H64" s="2088" t="s">
        <v>483</v>
      </c>
      <c r="I64" s="2089"/>
      <c r="J64" s="411" t="s">
        <v>516</v>
      </c>
      <c r="K64" s="403" t="s">
        <v>544</v>
      </c>
      <c r="L64" s="403">
        <v>35</v>
      </c>
      <c r="M64" s="403" t="s">
        <v>142</v>
      </c>
      <c r="N64" s="403"/>
      <c r="O64" s="347"/>
      <c r="P64" s="347"/>
      <c r="Q64" s="1021">
        <v>12.847594146341466</v>
      </c>
      <c r="R64" s="1022">
        <v>18.099383700178468</v>
      </c>
      <c r="S64" s="1022">
        <v>33.855018470422671</v>
      </c>
      <c r="T64" s="1022">
        <v>53.14461501422096</v>
      </c>
      <c r="U64" s="1023">
        <v>27.583326375426392</v>
      </c>
      <c r="V64" s="1021">
        <v>6.5848196429085517</v>
      </c>
      <c r="W64" s="1022">
        <v>6.8663496427148836</v>
      </c>
      <c r="X64" s="1022">
        <v>29.922173588481026</v>
      </c>
      <c r="Y64" s="1022">
        <v>94.190779553005498</v>
      </c>
      <c r="Z64" s="1023">
        <v>200.07120748595349</v>
      </c>
      <c r="AA64" s="1024"/>
      <c r="AB64" s="1021">
        <v>0</v>
      </c>
      <c r="AC64" s="1022">
        <v>0</v>
      </c>
      <c r="AD64" s="1022">
        <v>0</v>
      </c>
      <c r="AE64" s="1022">
        <v>0</v>
      </c>
      <c r="AF64" s="1023">
        <v>0</v>
      </c>
      <c r="AG64" s="1021">
        <v>0</v>
      </c>
      <c r="AH64" s="1022">
        <v>0</v>
      </c>
      <c r="AI64" s="1022">
        <v>0</v>
      </c>
      <c r="AJ64" s="1022">
        <v>0</v>
      </c>
      <c r="AK64" s="1023">
        <v>0</v>
      </c>
      <c r="AL64" s="1024"/>
      <c r="AM64" s="1021">
        <v>0</v>
      </c>
      <c r="AN64" s="1022">
        <v>0</v>
      </c>
      <c r="AO64" s="1022">
        <v>0</v>
      </c>
      <c r="AP64" s="1022">
        <v>0</v>
      </c>
      <c r="AQ64" s="1023">
        <v>0</v>
      </c>
      <c r="AR64" s="1021">
        <v>0</v>
      </c>
      <c r="AS64" s="1022">
        <v>0</v>
      </c>
      <c r="AT64" s="1022">
        <v>0</v>
      </c>
      <c r="AU64" s="1022">
        <v>0</v>
      </c>
      <c r="AV64" s="1023">
        <v>0</v>
      </c>
      <c r="AW64" s="1025"/>
      <c r="AX64" s="1282">
        <f t="shared" ref="AX64:AX73" si="136">+Q64-AB64-AM64</f>
        <v>12.847594146341466</v>
      </c>
      <c r="AY64" s="387">
        <f t="shared" ref="AY64:AY73" si="137">+R64-AC64-AN64</f>
        <v>18.099383700178468</v>
      </c>
      <c r="AZ64" s="387">
        <f t="shared" ref="AZ64:AZ73" si="138">+S64-AD64-AO64</f>
        <v>33.855018470422671</v>
      </c>
      <c r="BA64" s="387">
        <f t="shared" ref="BA64:BA73" si="139">+T64-AE64-AP64</f>
        <v>53.14461501422096</v>
      </c>
      <c r="BB64" s="1283">
        <f t="shared" ref="BB64:BB73" si="140">+U64-AF64-AQ64</f>
        <v>27.583326375426392</v>
      </c>
      <c r="BC64" s="386">
        <f t="shared" ref="BC64:BC73" si="141">+V64-AG64-AR64</f>
        <v>6.5848196429085517</v>
      </c>
      <c r="BD64" s="387">
        <f t="shared" ref="BD64:BD73" si="142">+W64-AH64-AS64</f>
        <v>6.8663496427148836</v>
      </c>
      <c r="BE64" s="1277">
        <f t="shared" ref="BE64:BE73" si="143">+X64-AI64-AT64</f>
        <v>29.922173588481026</v>
      </c>
      <c r="BF64" s="1277">
        <f t="shared" ref="BF64:BF73" si="144">+Y64-AJ64-AU64</f>
        <v>94.190779553005498</v>
      </c>
      <c r="BG64" s="388">
        <f t="shared" ref="BG64:BG73" si="145">+Z64-AK64-AV64</f>
        <v>200.07120748595349</v>
      </c>
      <c r="BH64" s="1025"/>
      <c r="BI64" s="1282">
        <f t="shared" ref="BI64:BI73" ca="1" si="146">IF($L64=0,0,
IF($L64&lt;=0.5,BT64,
IF($J64="straight line",
IF((LEFT(BI$43,4)*1)-INT($L64)&lt;LEFT($BI$43,4)*1,0,((OFFSET(BT64,0,-INT($L64+0.5),1,1))/$L64)*(IF($L64-INT($L64)&gt;0.5,$L64-0.5-INT($L64),IF($L64-INT($L64)&lt;=0.5,$L64-0.5-INT($L64)+1,0))))
+BT64/$L64*0.5,
IF($J64="Declining Balance",-$BI$42,0))))</f>
        <v>0.18353705923344951</v>
      </c>
      <c r="BJ64" s="387">
        <f t="shared" ref="BJ64:BJ73" ca="1" si="147">IF($L64=0,0,
IF($L64&lt;=0.5,BU64,
IF(AND($J64="straight line",$L64&lt;1.51),(BT64-((BT64/$L64)*0.5))+BU64/$L64*0.5,
IF($J64="straight line",
IF((LEFT(BJ$43,4)*1)-INT($L64)&lt;LEFT($BI$43,4)*1,0,((OFFSET(BU64,0,-INT($L64+0.5),1,1))/$L64)*(IF($L64-INT($L64)&gt;0.5,$L64-0.5-INT($L64),IF($L64-INT($L64)&lt;=0.5,$L64-0.5-INT($L64)+1,0))))
+BU64/$L64*0.5
+SUM(OFFSET(BU64,0,MAX(-INT($L64+(0.5-(10^-12))),-BJ$44)+1,1,MIN(INT($L64+(0.5-(10^-12))),BJ$44)-1))*1/$L64,
IF($J64="Declining Balance",-$BI$42,0)))))</f>
        <v>0.62563674275516279</v>
      </c>
      <c r="BK64" s="387">
        <f t="shared" ref="BK64:BK73" ca="1" si="148">IF($L64=0,0,
IF($L64&lt;=0.5,BV64,
IF(AND($J64="straight line",$L64&lt;1.51),(BU64-((BU64/$L64)*0.5))+BV64/$L64*0.5,
IF($J64="straight line",
IF((LEFT(BK$43,4)*1)-INT($L64)&lt;LEFT($BI$43,4)*1,0,((OFFSET(BV64,0,-INT($L64+0.5),1,1))/$L64)*(IF($L64-INT($L64)&gt;0.5,$L64-0.5-INT($L64),IF($L64-INT($L64)&lt;=0.5,$L64-0.5-INT($L64)+1,0))))
+BV64/$L64*0.5
+SUM(OFFSET(BV64,0,MAX(-INT($L64+(0.5-(10^-12))),-BK$44)+1,1,MIN(INT($L64+(0.5-(10^-12))),BK$44)-1))*1/$L64,
IF($J64="Declining Balance",-$BI$42,0)))))</f>
        <v>1.3678424880494648</v>
      </c>
      <c r="BL64" s="387">
        <f t="shared" ref="BL64:BL73" ca="1" si="149">IF($L64=0,0,
IF($L64&lt;=0.5,BW64,
IF(AND($J64="straight line",$L64&lt;1.51),(BV64-((BV64/$L64)*0.5))+BW64/$L64*0.5,
IF($J64="straight line",
IF((LEFT(BL$43,4)*1)-INT($L64)&lt;LEFT($BI$43,4)*1,0,((OFFSET(BW64,0,-INT($L64+0.5),1,1))/$L64)*(IF($L64-INT($L64)&gt;0.5,$L64-0.5-INT($L64),IF($L64-INT($L64)&lt;=0.5,$L64-0.5-INT($L64)+1,0))))
+BW64/$L64*0.5
+SUM(OFFSET(BW64,0,MAX(-INT($L64+(0.5-(10^-12))),-BL$44)+1,1,MIN(INT($L64+(0.5-(10^-12))),BL$44)-1))*1/$L64,
IF($J64="Declining Balance",-$BI$42,0)))))</f>
        <v>2.6106943949729455</v>
      </c>
      <c r="BM64" s="1283">
        <f t="shared" ref="BM64:BM73" ca="1" si="150">IF($L64=0,0,
IF($L64&lt;=0.5,BX64,
IF(AND($J64="straight line",$L64&lt;1.51),(BW64-((BW64/$L64)*0.5))+BX64/$L64*0.5,
IF($J64="straight line",
IF((LEFT(BM$43,4)*1)-INT($L64)&lt;LEFT($BI$43,4)*1,0,((OFFSET(BX64,0,-INT($L64+0.5),1,1))/$L64)*(IF($L64-INT($L64)&gt;0.5,$L64-0.5-INT($L64),IF($L64-INT($L64)&lt;=0.5,$L64-0.5-INT($L64)+1,0))))
+BX64/$L64*0.5
+SUM(OFFSET(BX64,0,MAX(-INT($L64+(0.5-(10^-12))),-BM$44)+1,1,MIN(INT($L64+(0.5-(10^-12))),BM$44)-1))*1/$L64,
IF($J64="Declining Balance",-$BI$42,0)))))</f>
        <v>3.7639507005393358</v>
      </c>
      <c r="BN64" s="386">
        <f t="shared" ref="BN64:BN73" ca="1" si="151">IF($L64=0,0,
IF($L64&lt;=0.5,BY64,
IF(AND($J64="straight line",$L64&lt;1.51),(BX64-((BX64/$L64)*0.5))+BY64/$L64*0.5,
IF($J64="straight line",
IF((LEFT(BN$43,4)*1)-INT($L64)&lt;LEFT($BI$43,4)*1,0,((OFFSET(BY64,0,-INT($L64+0.5),1,1))/$L64)*(IF($L64-INT($L64)&gt;0.5,$L64-0.5-INT($L64),IF($L64-INT($L64)&lt;=0.5,$L64-0.5-INT($L64)+1,0))))
+BY64/$L64*0.5
+SUM(OFFSET(BY64,0,MAX(-INT($L64+(0.5-(10^-12))),-BN$44)+1,1,MIN(INT($L64+(0.5-(10^-12))),BN$44)-1))*1/$L64,
IF($J64="Declining Balance",-$BI$42,0)))))</f>
        <v>4.2520670722298357</v>
      </c>
      <c r="BO64" s="387">
        <f t="shared" ref="BO64:BO73" ca="1" si="152">IF($L64=0,0,
IF($L64&lt;=0.5,BZ64,
IF(AND($J64="straight line",$L64&lt;1.51),(BY64-((BY64/$L64)*0.5))+BZ64/$L64*0.5,
IF($J64="straight line",
IF((LEFT(BO$43,4)*1)-INT($L64)&lt;LEFT($BI$43,4)*1,0,((OFFSET(BZ64,0,-INT($L64+0.5),1,1))/$L64)*(IF($L64-INT($L64)&gt;0.5,$L64-0.5-INT($L64),IF($L64-INT($L64)&lt;=0.5,$L64-0.5-INT($L64)+1,0))))
+BZ64/$L64*0.5
+SUM(OFFSET(BZ64,0,MAX(-INT($L64+(0.5-(10^-12))),-BO$44)+1,1,MIN(INT($L64+(0.5-(10^-12))),BO$44)-1))*1/$L64,
IF($J64="Declining Balance",-$BI$42,0)))))</f>
        <v>4.4442266334530265</v>
      </c>
      <c r="BP64" s="1277">
        <f t="shared" ref="BP64:BP73" ca="1" si="153">IF($L64=0,0,
IF($L64&lt;=0.5,CA64,
IF(AND($J64="straight line",$L64&lt;1.51),(BZ64-((BZ64/$L64)*0.5))+CA64/$L64*0.5,
IF($J64="straight line",
IF((LEFT(BP$43,4)*1)-INT($L64)&lt;LEFT($BI$43,4)*1,0,((OFFSET(CA64,0,-INT($L64+0.5),1,1))/$L64)*(IF($L64-INT($L64)&gt;0.5,$L64-0.5-INT($L64),IF($L64-INT($L64)&lt;=0.5,$L64-0.5-INT($L64)+1,0))))
+CA64/$L64*0.5
+SUM(OFFSET(CA64,0,MAX(-INT($L64+(0.5-(10^-12))),-BP$44)+1,1,MIN(INT($L64+(0.5-(10^-12))),BP$44)-1))*1/$L64,
IF($J64="Declining Balance",-$BI$42,0)))))</f>
        <v>4.9697769653272541</v>
      </c>
      <c r="BQ64" s="1277">
        <f t="shared" ref="BQ64:BQ73" ca="1" si="154">IF($L64=0,0,
IF($L64&lt;=0.5,CB64,
IF(AND($J64="straight line",$L64&lt;1.51),(CA64-((CA64/$L64)*0.5))+CB64/$L64*0.5,
IF($J64="straight line",
IF((LEFT(BQ$43,4)*1)-INT($L64)&lt;LEFT($BI$43,4)*1,0,((OFFSET(CB64,0,-INT($L64+0.5),1,1))/$L64)*(IF($L64-INT($L64)&gt;0.5,$L64-0.5-INT($L64),IF($L64-INT($L64)&lt;=0.5,$L64-0.5-INT($L64)+1,0))))
+CB64/$L64*0.5
+SUM(OFFSET(CB64,0,MAX(-INT($L64+(0.5-(10^-12))),-BQ$44)+1,1,MIN(INT($L64+(0.5-(10^-12))),BQ$44)-1))*1/$L64,
IF($J64="Declining Balance",-$BI$42,0)))))</f>
        <v>6.7428191530627757</v>
      </c>
      <c r="BR64" s="388">
        <f t="shared" ref="BR64:BR73" ca="1" si="155">IF($L64=0,0,
IF($L64&lt;=0.5,CC64,
IF(AND($J64="straight line",$L64&lt;1.51),(CB64-((CB64/$L64)*0.5))+CC64/$L64*0.5,
IF($J64="straight line",
IF((LEFT(BR$43,4)*1)-INT($L64)&lt;LEFT($BI$43,4)*1,0,((OFFSET(CC64,0,-INT($L64+0.5),1,1))/$L64)*(IF($L64-INT($L64)&gt;0.5,$L64-0.5-INT($L64),IF($L64-INT($L64)&lt;=0.5,$L64-0.5-INT($L64)+1,0))))
+CC64/$L64*0.5
+SUM(OFFSET(CC64,0,MAX(-INT($L64+(0.5-(10^-12))),-BR$44)+1,1,MIN(INT($L64+(0.5-(10^-12))),BR$44)-1))*1/$L64,
IF($J64="Declining Balance",-$BI$42,0)))))</f>
        <v>10.946561825047905</v>
      </c>
      <c r="BS64" s="1025"/>
      <c r="BT64" s="1282">
        <f>+IF($K64="Ongoing",AX64,IF(RIGHT($K64,2)=RIGHT(BT$43,2),SUM($AX64:AX64),0)+IF(RIGHT(BT$43,2)&gt;RIGHT($K64,2),AX64,0))</f>
        <v>12.847594146341466</v>
      </c>
      <c r="BU64" s="387">
        <f>+IF($K64="Ongoing",AY64,IF(RIGHT($K64,2)=RIGHT(BU$43,2),SUM($AX64:AY64),0)+IF(RIGHT(BU$43,2)&gt;RIGHT($K64,2),AY64,0))</f>
        <v>18.099383700178468</v>
      </c>
      <c r="BV64" s="387">
        <f>+IF($K64="Ongoing",AZ64,IF(RIGHT($K64,2)=RIGHT(BV$43,2),SUM($AX64:AZ64),0)+IF(RIGHT(BV$43,2)&gt;RIGHT($K64,2),AZ64,0))</f>
        <v>33.855018470422671</v>
      </c>
      <c r="BW64" s="387">
        <f>+IF($K64="Ongoing",BA64,IF(RIGHT($K64,2)=RIGHT(BW$43,2),SUM($AX64:BA64),0)+IF(RIGHT(BW$43,2)&gt;RIGHT($K64,2),BA64,0))</f>
        <v>53.14461501422096</v>
      </c>
      <c r="BX64" s="1283">
        <f>+IF($K64="Ongoing",BB64,IF(RIGHT($K64,2)=RIGHT(BX$43,2),SUM($AX64:BB64),0)+IF(RIGHT(BX$43,2)&gt;RIGHT($K64,2),BB64,0))</f>
        <v>27.583326375426392</v>
      </c>
      <c r="BY64" s="386">
        <f>+IF($K64="Ongoing",BC64,IF(RIGHT($K64,2)=RIGHT(BY$43,2),SUM($AX64:BC64),0)+IF(RIGHT(BY$43,2)&gt;RIGHT($K64,2),BC64,0))</f>
        <v>6.5848196429085517</v>
      </c>
      <c r="BZ64" s="387">
        <f>+IF($K64="Ongoing",BD64,IF(RIGHT($K64,2)=RIGHT(BZ$43,2),SUM($AX64:BD64),0)+IF(RIGHT(BZ$43,2)&gt;RIGHT($K64,2),BD64,0))</f>
        <v>6.8663496427148836</v>
      </c>
      <c r="CA64" s="1277">
        <f>+IF($K64="Ongoing",BE64,IF(RIGHT($K64,2)=RIGHT(CA$43,2),SUM($AX64:BE64),0)+IF(RIGHT(CA$43,2)&gt;RIGHT($K64,2),BE64,0))</f>
        <v>29.922173588481026</v>
      </c>
      <c r="CB64" s="1277">
        <f>+IF($K64="Ongoing",BF64,IF(RIGHT($K64,2)=RIGHT(CB$43,2),SUM($AX64:BF64),0)+IF(RIGHT(CB$43,2)&gt;RIGHT($K64,2),BF64,0))</f>
        <v>94.190779553005498</v>
      </c>
      <c r="CC64" s="388">
        <f>+IF($K64="Ongoing",BG64,IF(RIGHT($K64,2)=RIGHT(CC$43,2),SUM($AX64:BG64),0)+IF(RIGHT(CC$43,2)&gt;RIGHT($K64,2),BG64,0))</f>
        <v>200.07120748595349</v>
      </c>
      <c r="CD64" s="1025"/>
      <c r="CE64" s="1282">
        <f>+Q64*KeyAssumptionsPriceControl_FO!AF$15</f>
        <v>13.220174376585367</v>
      </c>
      <c r="CF64" s="387">
        <f>+R64*KeyAssumptionsPriceControl_FO!AG$15</f>
        <v>19.164369536480667</v>
      </c>
      <c r="CG64" s="387">
        <f>+S64*KeyAssumptionsPriceControl_FO!AH$15</f>
        <v>36.886646978995792</v>
      </c>
      <c r="CH64" s="387">
        <f>+T64*KeyAssumptionsPriceControl_FO!AI$15</f>
        <v>59.582780247471121</v>
      </c>
      <c r="CI64" s="1283">
        <f>+U64*KeyAssumptionsPriceControl_FO!AJ$15</f>
        <v>31.821709883729277</v>
      </c>
      <c r="CJ64" s="386">
        <f>+V64*KeyAssumptionsPriceControl_FO!AK$15</f>
        <v>7.8169283779527801</v>
      </c>
      <c r="CK64" s="387">
        <f>+W64*KeyAssumptionsPriceControl_FO!AL$15</f>
        <v>8.3875194019081434</v>
      </c>
      <c r="CL64" s="1277">
        <f>+X64*KeyAssumptionsPriceControl_FO!AM$15</f>
        <v>37.611108739379169</v>
      </c>
      <c r="CM64" s="1277">
        <f>+Y64*KeyAssumptionsPriceControl_FO!AN$15</f>
        <v>121.82790167779618</v>
      </c>
      <c r="CN64" s="388">
        <f>+Z64*KeyAssumptionsPriceControl_FO!AO$15</f>
        <v>266.27987282420725</v>
      </c>
      <c r="CO64" s="1025"/>
      <c r="CP64" s="1282">
        <f t="shared" ref="CP64:CP73" ca="1" si="156">IF($M64="straight line",IF($N64=0,0,
IF($N64&lt;=0.5,CE64,
IF($J64="straight line",
IF((LEFT(CP$43,4)*1)-INT($N64)&lt;LEFT($CP$43,4)*1,0,((OFFSET(CE64,0,-INT($N64+0.5),1,1))/$N64)*(IF($N64-INT($N64)&gt;0.5,$N64-0.5-INT($N64),IF($N64-INT($N64)&lt;=0.5,$N64-0.5-INT($N64)+1,0))))
+CE64/$N64*0.5,
IF($J64="Declining Balance",-$CP$42,0)))),IFERROR(FG64,0))</f>
        <v>0</v>
      </c>
      <c r="CQ64" s="387">
        <f t="shared" ref="CQ64:CQ73" ca="1" si="157">IF($M64="straight line",IF($N64=0,0,
IF($N64&lt;=0.5,CF64,
IF($J64="straight line",
IF((LEFT(CQ$43,4)*1)-INT($N64)&lt;LEFT($CP$43,4)*1,0,((OFFSET(CF64,0,-INT($N64+0.5),1,1))/$N64)*(IF($N64-INT($N64)&gt;0.5,$N64-0.5-INT($N64),IF($N64-INT($N64)&lt;=0.5,$N64-0.5-INT($N64)+1,0))))
+CF64/$N64*0.5,
IF($J64="Declining Balance",-$CP$42,0)))),IFERROR(FH64,0))</f>
        <v>0</v>
      </c>
      <c r="CR64" s="387">
        <f t="shared" ref="CR64:CR73" ca="1" si="158">IF($M64="straight line",IF($N64=0,0,
IF($N64&lt;=0.5,CG64,
IF($J64="straight line",
IF((LEFT(CR$43,4)*1)-INT($N64)&lt;LEFT($CP$43,4)*1,0,((OFFSET(CG64,0,-INT($N64+0.5),1,1))/$N64)*(IF($N64-INT($N64)&gt;0.5,$N64-0.5-INT($N64),IF($N64-INT($N64)&lt;=0.5,$N64-0.5-INT($N64)+1,0))))
+CG64/$N64*0.5,
IF($J64="Declining Balance",-$CP$42,0)))),IFERROR(FI64,0))</f>
        <v>0</v>
      </c>
      <c r="CS64" s="387">
        <f t="shared" ref="CS64:CS73" ca="1" si="159">IF($M64="straight line",IF($N64=0,0,
IF($N64&lt;=0.5,CH64,
IF($J64="straight line",
IF((LEFT(CS$43,4)*1)-INT($N64)&lt;LEFT($CP$43,4)*1,0,((OFFSET(CH64,0,-INT($N64+0.5),1,1))/$N64)*(IF($N64-INT($N64)&gt;0.5,$N64-0.5-INT($N64),IF($N64-INT($N64)&lt;=0.5,$N64-0.5-INT($N64)+1,0))))
+CH64/$N64*0.5,
IF($J64="Declining Balance",-$CP$42,0)))),IFERROR(FJ64,0))</f>
        <v>0</v>
      </c>
      <c r="CT64" s="1283">
        <f t="shared" ref="CT64:CT73" ca="1" si="160">IF($M64="straight line",IF($N64=0,0,
IF($N64&lt;=0.5,CI64,
IF($J64="straight line",
IF((LEFT(CT$43,4)*1)-INT($N64)&lt;LEFT($CP$43,4)*1,0,((OFFSET(CI64,0,-INT($N64+0.5),1,1))/$N64)*(IF($N64-INT($N64)&gt;0.5,$N64-0.5-INT($N64),IF($N64-INT($N64)&lt;=0.5,$N64-0.5-INT($N64)+1,0))))
+CI64/$N64*0.5,
IF($J64="Declining Balance",-$CP$42,0)))),IFERROR(FK64,0))</f>
        <v>0</v>
      </c>
      <c r="CU64" s="386">
        <f t="shared" ref="CU64:CU73" ca="1" si="161">IF($M64="straight line",IF($N64=0,0,
IF($N64&lt;=0.5,CJ64,
IF($J64="straight line",
IF((LEFT(CU$43,4)*1)-INT($N64)&lt;LEFT($CP$43,4)*1,0,((OFFSET(CJ64,0,-INT($N64+0.5),1,1))/$N64)*(IF($N64-INT($N64)&gt;0.5,$N64-0.5-INT($N64),IF($N64-INT($N64)&lt;=0.5,$N64-0.5-INT($N64)+1,0))))
+CJ64/$N64*0.5,
IF($J64="Declining Balance",-$CP$42,0)))),IFERROR(FL64,0))</f>
        <v>0</v>
      </c>
      <c r="CV64" s="387">
        <f t="shared" ref="CV64:CV73" ca="1" si="162">IF($M64="straight line",IF($N64=0,0,
IF($N64&lt;=0.5,CK64,
IF($J64="straight line",
IF((LEFT(CV$43,4)*1)-INT($N64)&lt;LEFT($CP$43,4)*1,0,((OFFSET(CK64,0,-INT($N64+0.5),1,1))/$N64)*(IF($N64-INT($N64)&gt;0.5,$N64-0.5-INT($N64),IF($N64-INT($N64)&lt;=0.5,$N64-0.5-INT($N64)+1,0))))
+CK64/$N64*0.5,
IF($J64="Declining Balance",-$CP$42,0)))),IFERROR(FM64,0))</f>
        <v>0</v>
      </c>
      <c r="CW64" s="1277">
        <f t="shared" ref="CW64:CW73" ca="1" si="163">IF($M64="straight line",IF($N64=0,0,
IF($N64&lt;=0.5,CL64,
IF($J64="straight line",
IF((LEFT(CW$43,4)*1)-INT($N64)&lt;LEFT($CP$43,4)*1,0,((OFFSET(CL64,0,-INT($N64+0.5),1,1))/$N64)*(IF($N64-INT($N64)&gt;0.5,$N64-0.5-INT($N64),IF($N64-INT($N64)&lt;=0.5,$N64-0.5-INT($N64)+1,0))))
+CL64/$N64*0.5,
IF($J64="Declining Balance",-$CP$42,0)))),IFERROR(FN64,0))</f>
        <v>0</v>
      </c>
      <c r="CX64" s="1277">
        <f t="shared" ref="CX64:CX73" ca="1" si="164">IF($M64="straight line",IF($N64=0,0,
IF($N64&lt;=0.5,CM64,
IF($J64="straight line",
IF((LEFT(CX$43,4)*1)-INT($N64)&lt;LEFT($CP$43,4)*1,0,((OFFSET(CM64,0,-INT($N64+0.5),1,1))/$N64)*(IF($N64-INT($N64)&gt;0.5,$N64-0.5-INT($N64),IF($N64-INT($N64)&lt;=0.5,$N64-0.5-INT($N64)+1,0))))
+CM64/$N64*0.5,
IF($J64="Declining Balance",-$CP$42,0)))),IFERROR(FO64,0))</f>
        <v>0</v>
      </c>
      <c r="CY64" s="388">
        <f t="shared" ref="CY64:CY73" ca="1" si="165">IF($M64="straight line",IF($N64=0,0,
IF($N64&lt;=0.5,CN64,
IF($J64="straight line",
IF((LEFT(CY$43,4)*1)-INT($N64)&lt;LEFT($CP$43,4)*1,0,((OFFSET(CN64,0,-INT($N64+0.5),1,1))/$N64)*(IF($N64-INT($N64)&gt;0.5,$N64-0.5-INT($N64),IF($N64-INT($N64)&lt;=0.5,$N64-0.5-INT($N64)+1,0))))
+CN64/$N64*0.5,
IF($J64="Declining Balance",-$CP$42,0)))),IFERROR(FP64,0))</f>
        <v>0</v>
      </c>
      <c r="CZ64" s="347"/>
      <c r="DA64" s="852"/>
      <c r="DB64" s="347"/>
      <c r="DC64" s="1012" t="s">
        <v>532</v>
      </c>
      <c r="DD64" s="841" t="s">
        <v>518</v>
      </c>
      <c r="DE64" s="386">
        <f>+IF($K64="ongoing",CE64,IF(RIGHT($K64,2)=RIGHT(DE$43,2),SUM($CD64:CE64),0)+IF(RIGHT(DE$43,2)&gt;RIGHT($K64,2),CE64,0))</f>
        <v>13.220174376585367</v>
      </c>
      <c r="DF64" s="387">
        <f>+IF($K64="ongoing",CF64,IF(RIGHT($K64,2)=RIGHT(DF$43,2),SUM($CD64:CF64),0)+IF(RIGHT(DF$43,2)&gt;RIGHT($K64,2),CF64,0))</f>
        <v>19.164369536480667</v>
      </c>
      <c r="DG64" s="388">
        <f>+IF($K64="ongoing",CG64,IF(RIGHT($K64,2)=RIGHT(DG$43,2),SUM($CD64:CG64),0)+IF(RIGHT(DG$43,2)&gt;RIGHT($K64,2),CG64,0))</f>
        <v>36.886646978995792</v>
      </c>
      <c r="DH64" s="386">
        <f>+IF($K64="ongoing",CH64,IF(RIGHT($K64,2)=RIGHT(DH$43,2),SUM($CD64:CH64),0)+IF(RIGHT(DH$43,2)&gt;RIGHT($K64,2),CH64,0))</f>
        <v>59.582780247471121</v>
      </c>
      <c r="DI64" s="387">
        <f>+IF($K64="ongoing",CI64,IF(RIGHT($K64,2)=RIGHT(DI$43,2),SUM($CD64:CI64),0)+IF(RIGHT(DI$43,2)&gt;RIGHT($K64,2),CI64,0))</f>
        <v>31.821709883729277</v>
      </c>
      <c r="DJ64" s="387">
        <f>+IF($K64="ongoing",CJ64,IF(RIGHT($K64,2)=RIGHT(DJ$43,2),SUM($CD64:CJ64),0)+IF(RIGHT(DJ$43,2)&gt;RIGHT($K64,2),CJ64,0))</f>
        <v>7.8169283779527801</v>
      </c>
      <c r="DK64" s="387">
        <f>+IF($K64="ongoing",CK64,IF(RIGHT($K64,2)=RIGHT(DK$43,2),SUM($CD64:CK64),0)+IF(RIGHT(DK$43,2)&gt;RIGHT($K64,2),CK64,0))</f>
        <v>8.3875194019081434</v>
      </c>
      <c r="DL64" s="388">
        <f>+IF($K64="ongoing",CN64,IF(RIGHT($K64,2)=RIGHT(DL$43,2),SUM($CD64:CN64),0)+IF(RIGHT(DL$43,2)&gt;RIGHT($K64,2),CN64,0))</f>
        <v>266.27987282420725</v>
      </c>
      <c r="DM64" s="841"/>
      <c r="DN64" s="386">
        <f t="shared" ref="DN64:DN73" si="166">+MIN(IF($N64&lt;=$DC64,MIN($N64,1),$N64),IF(DN$44=1,0.5,DM64+1))</f>
        <v>0.5</v>
      </c>
      <c r="DO64" s="387">
        <f t="shared" ref="DO64:DO73" si="167">+MIN(IF($N64&lt;=$DC64,MIN($N64,1),$N64),IF(DO$44=1,0.5,DN64+1))</f>
        <v>1</v>
      </c>
      <c r="DP64" s="388">
        <f t="shared" ref="DP64:DP73" si="168">+MIN(IF($N64&lt;=$DC64,MIN($N64,1),$N64),IF(DP$44=1,0.5,DO64+1))</f>
        <v>1</v>
      </c>
      <c r="DQ64" s="386">
        <f t="shared" ref="DQ64:DQ73" si="169">+MIN(IF($N64&lt;=$DC64,MIN($N64,1),$N64),IF(DQ$44=1,0.5,DP64+1))</f>
        <v>1</v>
      </c>
      <c r="DR64" s="387">
        <f t="shared" ref="DR64:DR73" si="170">+MIN(IF($N64&lt;=$DC64,MIN($N64,1),$N64),IF(DR$44=1,0.5,DQ64+1))</f>
        <v>1</v>
      </c>
      <c r="DS64" s="387">
        <f t="shared" ref="DS64:DS73" si="171">+MIN(IF($N64&lt;=$DC64,MIN($N64,1),$N64),IF(DS$44=1,0.5,DR64+1))</f>
        <v>1</v>
      </c>
      <c r="DT64" s="387">
        <f t="shared" ref="DT64:DT73" si="172">+MIN(IF($N64&lt;=$DC64,MIN($N64,1),$N64),IF(DT$44=1,0.5,DS64+1))</f>
        <v>1</v>
      </c>
      <c r="DU64" s="388">
        <f t="shared" ref="DU64:DU73" si="173">+MIN(IF($N64&lt;=$DC64,MIN($N64,1),$N64),IF(DU$44=1,0.5,DT64+1))</f>
        <v>1</v>
      </c>
      <c r="DW64" s="386">
        <f t="shared" ref="DW64:DW73" si="174">+IF(DW$44=1,0,MIN(IF($N64&lt;=$DC64,MIN($N64,1),$N64),IF(DW$44=2,0.5,DV64+1)))</f>
        <v>0</v>
      </c>
      <c r="DX64" s="387">
        <f t="shared" ref="DX64:DX73" si="175">+IF(DX$44=1,0,MIN(IF($N64&lt;=$DC64,MIN($N64,1),$N64),IF(DX$44=2,0.5,DW64+1)))</f>
        <v>0.5</v>
      </c>
      <c r="DY64" s="388">
        <f t="shared" ref="DY64:DY73" si="176">+IF(DY$44=1,0,MIN(IF($N64&lt;=$DC64,MIN($N64,1),$N64),IF(DY$44=2,0.5,DX64+1)))</f>
        <v>1</v>
      </c>
      <c r="DZ64" s="386">
        <f t="shared" ref="DZ64:DZ73" si="177">+IF(DZ$44=1,0,MIN(IF($N64&lt;=$DC64,MIN($N64,1),$N64),IF(DZ$44=2,0.5,DY64+1)))</f>
        <v>1</v>
      </c>
      <c r="EA64" s="387">
        <f t="shared" ref="EA64:EA73" si="178">+IF(EA$44=1,0,MIN(IF($N64&lt;=$DC64,MIN($N64,1),$N64),IF(EA$44=2,0.5,DZ64+1)))</f>
        <v>1</v>
      </c>
      <c r="EB64" s="387">
        <f t="shared" ref="EB64:EB73" si="179">+IF(EB$44=1,0,MIN(IF($N64&lt;=$DC64,MIN($N64,1),$N64),IF(EB$44=2,0.5,EA64+1)))</f>
        <v>1</v>
      </c>
      <c r="EC64" s="387">
        <f t="shared" ref="EC64:EC73" si="180">+IF(EC$44=1,0,MIN(IF($N64&lt;=$DC64,MIN($N64,1),$N64),IF(EC$44=2,0.5,EB64+1)))</f>
        <v>1</v>
      </c>
      <c r="ED64" s="388">
        <f t="shared" ref="ED64:ED73" si="181">+IF(ED$44=1,0,MIN(IF($N64&lt;=$DC64,MIN($N64,1),$N64),IF(ED$44=2,0.5,EC64+1)))</f>
        <v>1</v>
      </c>
      <c r="EF64" s="834">
        <f>+IF(DN64=DM64,0,
IF(AND(EF$44&gt;1,DN64=$N64),1-SUM($EE64:EE64),
IF($N64&lt;=1,
IF($N64&gt;0,1/$N64,0),
IF(EF$44=1,0,VDB(1,0,$N64,INT(EF$44-1-1),MIN($N64,INT(EF$44-1-1)+1),$DC64,IF($DD64="No",1,0))/
IF(DM64&gt;=INT($N64),$N64-INT($N64),1)))*
IF(EF$44=1,0,
IF(INT(DN64)=INT(DM64),DN64-DM64,INT(DN64)-DM64))+
IF($N64&lt;=1,
IF($N64&gt;0,1/$N64,0),VDB(1,0,$N64,INT(EF$44-1),MIN($N64,INT(EF$44-1)+1),$DC64,IF($DD64="No",1,0))/
IF(DN64&gt;INT($N64),$N64-INT($N64),1))*
IF(EF$44=1,DN64,
IF(INT(DN64)=INT(DM64),0,DN64-INT(DN64)))))</f>
        <v>0</v>
      </c>
      <c r="EG64" s="835">
        <f>+IF(DO64=DN64,0,
IF(AND(EG$44&gt;1,DO64=$N64),1-SUM($EE64:EF64),
IF($N64&lt;=1,
IF($N64&gt;0,1/$N64,0),
IF(EG$44=1,0,VDB(1,0,$N64,INT(EG$44-1-1),MIN($N64,INT(EG$44-1-1)+1),$DC64,IF($DD64="No",1,0))/
IF(DN64&gt;=INT($N64),$N64-INT($N64),1)))*
IF(EG$44=1,0,
IF(INT(DO64)=INT(DN64),DO64-DN64,INT(DO64)-DN64))+
IF($N64&lt;=1,
IF($N64&gt;0,1/$N64,0),VDB(1,0,$N64,INT(EG$44-1),MIN($N64,INT(EG$44-1)+1),$DC64,IF($DD64="No",1,0))/
IF(DO64&gt;INT($N64),$N64-INT($N64),1))*
IF(EG$44=1,DO64,
IF(INT(DO64)=INT(DN64),0,DO64-INT(DO64)))))</f>
        <v>0</v>
      </c>
      <c r="EH64" s="836">
        <f>+IF(DP64=DO64,0,
IF(AND(EH$44&gt;1,DP64=$N64),1-SUM($EE64:EG64),
IF($N64&lt;=1,
IF($N64&gt;0,1/$N64,0),
IF(EH$44=1,0,VDB(1,0,$N64,INT(EH$44-1-1),MIN($N64,INT(EH$44-1-1)+1),$DC64,IF($DD64="No",1,0))/
IF(DO64&gt;=INT($N64),$N64-INT($N64),1)))*
IF(EH$44=1,0,
IF(INT(DP64)=INT(DO64),DP64-DO64,INT(DP64)-DO64))+
IF($N64&lt;=1,
IF($N64&gt;0,1/$N64,0),VDB(1,0,$N64,INT(EH$44-1),MIN($N64,INT(EH$44-1)+1),$DC64,IF($DD64="No",1,0))/
IF(DP64&gt;INT($N64),$N64-INT($N64),1))*
IF(EH$44=1,DP64,
IF(INT(DP64)=INT(DO64),0,DP64-INT(DP64)))))</f>
        <v>0</v>
      </c>
      <c r="EI64" s="834">
        <f>+IF(DQ64=DP64,0,
IF(AND(EI$44&gt;1,DQ64=$N64),1-SUM($EE64:EH64),
IF($N64&lt;=1,
IF($N64&gt;0,1/$N64,0),
IF(EI$44=1,0,VDB(1,0,$N64,INT(EI$44-1-1),MIN($N64,INT(EI$44-1-1)+1),$DC64,IF($DD64="No",1,0))/
IF(DP64&gt;=INT($N64),$N64-INT($N64),1)))*
IF(EI$44=1,0,
IF(INT(DQ64)=INT(DP64),DQ64-DP64,INT(DQ64)-DP64))+
IF($N64&lt;=1,
IF($N64&gt;0,1/$N64,0),VDB(1,0,$N64,INT(EI$44-1),MIN($N64,INT(EI$44-1)+1),$DC64,IF($DD64="No",1,0))/
IF(DQ64&gt;INT($N64),$N64-INT($N64),1))*
IF(EI$44=1,DQ64,
IF(INT(DQ64)=INT(DP64),0,DQ64-INT(DQ64)))))</f>
        <v>0</v>
      </c>
      <c r="EJ64" s="835">
        <f>+IF(DR64=DQ64,0,
IF(AND(EJ$44&gt;1,DR64=$N64),1-SUM($EE64:EI64),
IF($N64&lt;=1,
IF($N64&gt;0,1/$N64,0),
IF(EJ$44=1,0,VDB(1,0,$N64,INT(EJ$44-1-1),MIN($N64,INT(EJ$44-1-1)+1),$DC64,IF($DD64="No",1,0))/
IF(DQ64&gt;=INT($N64),$N64-INT($N64),1)))*
IF(EJ$44=1,0,
IF(INT(DR64)=INT(DQ64),DR64-DQ64,INT(DR64)-DQ64))+
IF($N64&lt;=1,
IF($N64&gt;0,1/$N64,0),VDB(1,0,$N64,INT(EJ$44-1),MIN($N64,INT(EJ$44-1)+1),$DC64,IF($DD64="No",1,0))/
IF(DR64&gt;INT($N64),$N64-INT($N64),1))*
IF(EJ$44=1,DR64,
IF(INT(DR64)=INT(DQ64),0,DR64-INT(DR64)))))</f>
        <v>0</v>
      </c>
      <c r="EK64" s="835">
        <f>+IF(DS64=DR64,0,
IF(AND(EK$44&gt;1,DS64=$N64),1-SUM($EE64:EJ64),
IF($N64&lt;=1,
IF($N64&gt;0,1/$N64,0),
IF(EK$44=1,0,VDB(1,0,$N64,INT(EK$44-1-1),MIN($N64,INT(EK$44-1-1)+1),$DC64,IF($DD64="No",1,0))/
IF(DR64&gt;=INT($N64),$N64-INT($N64),1)))*
IF(EK$44=1,0,
IF(INT(DS64)=INT(DR64),DS64-DR64,INT(DS64)-DR64))+
IF($N64&lt;=1,
IF($N64&gt;0,1/$N64,0),VDB(1,0,$N64,INT(EK$44-1),MIN($N64,INT(EK$44-1)+1),$DC64,IF($DD64="No",1,0))/
IF(DS64&gt;INT($N64),$N64-INT($N64),1))*
IF(EK$44=1,DS64,
IF(INT(DS64)=INT(DR64),0,DS64-INT(DS64)))))</f>
        <v>0</v>
      </c>
      <c r="EL64" s="835">
        <f>+IF(DT64=DS64,0,
IF(AND(EL$44&gt;1,DT64=$N64),1-SUM($EE64:EK64),
IF($N64&lt;=1,
IF($N64&gt;0,1/$N64,0),
IF(EL$44=1,0,VDB(1,0,$N64,INT(EL$44-1-1),MIN($N64,INT(EL$44-1-1)+1),$DC64,IF($DD64="No",1,0))/
IF(DS64&gt;=INT($N64),$N64-INT($N64),1)))*
IF(EL$44=1,0,
IF(INT(DT64)=INT(DS64),DT64-DS64,INT(DT64)-DS64))+
IF($N64&lt;=1,
IF($N64&gt;0,1/$N64,0),VDB(1,0,$N64,INT(EL$44-1),MIN($N64,INT(EL$44-1)+1),$DC64,IF($DD64="No",1,0))/
IF(DT64&gt;INT($N64),$N64-INT($N64),1))*
IF(EL$44=1,DT64,
IF(INT(DT64)=INT(DS64),0,DT64-INT(DT64)))))</f>
        <v>0</v>
      </c>
      <c r="EM64" s="836">
        <f>+IF(DU64=DT64,0,
IF(AND(EM$44&gt;1,DU64=$N64),1-SUM($EE64:EL64),
IF($N64&lt;=1,
IF($N64&gt;0,1/$N64,0),
IF(EM$44=1,0,VDB(1,0,$N64,INT(EM$44-1-1),MIN($N64,INT(EM$44-1-1)+1),$DC64,IF($DD64="No",1,0))/
IF(DT64&gt;=INT($N64),$N64-INT($N64),1)))*
IF(EM$44=1,0,
IF(INT(DU64)=INT(DT64),DU64-DT64,INT(DU64)-DT64))+
IF($N64&lt;=1,
IF($N64&gt;0,1/$N64,0),VDB(1,0,$N64,INT(EM$44-1),MIN($N64,INT(EM$44-1)+1),$DC64,IF($DD64="No",1,0))/
IF(DU64&gt;INT($N64),$N64-INT($N64),1))*
IF(EM$44=1,DU64,
IF(INT(DU64)=INT(DT64),0,DU64-INT(DU64)))))</f>
        <v>0</v>
      </c>
      <c r="EN64" s="833"/>
      <c r="EO64" s="834">
        <f>+IF(OR(DW64=DV64,EO$44=1),0,
IF(AND(EO$44&gt;1,DW64=$N64),1-SUM($EN64:EN64),
IF($N64&lt;=1,
IF($N64&gt;0,1/$N64,0),
IF(EO$44=2,0,VDB(1,0,$N64,INT(EO$44-2-1),MIN($N64,INT(EO$44-2-1)+1),$DC64,IF($DD64="No",1,0))/
IF(DV64&gt;=INT($N64),$N64-INT($N64),1)))*
IF(EO$44=2,0,
IF(INT(DW64)=INT(DV64),DW64-DV64,INT(DW64)-DV64))+
IF($N64&lt;=1,
IF($N64&gt;0,1/$N64,0),VDB(1,0,$N64,INT(EO$44-2),MIN($N64,INT(EO$44-2)+1),$DC64,IF($DD64="No",1,0))/
IF(DW64&gt;INT($N64),$N64-INT($N64),1))*
IF(EO$44=2,DW64,
IF(INT(DW64)=INT(DV64),0,DW64-INT(DW64)))))</f>
        <v>0</v>
      </c>
      <c r="EP64" s="835">
        <f>+IF(OR(DX64=DW64,EP$44=1),0,
IF(AND(EP$44&gt;1,DX64=$N64),1-SUM($EN64:EO64),
IF($N64&lt;=1,
IF($N64&gt;0,1/$N64,0),
IF(EP$44=2,0,VDB(1,0,$N64,INT(EP$44-2-1),MIN($N64,INT(EP$44-2-1)+1),$DC64,IF($DD64="No",1,0))/
IF(DW64&gt;=INT($N64),$N64-INT($N64),1)))*
IF(EP$44=2,0,
IF(INT(DX64)=INT(DW64),DX64-DW64,INT(DX64)-DW64))+
IF($N64&lt;=1,
IF($N64&gt;0,1/$N64,0),VDB(1,0,$N64,INT(EP$44-2),MIN($N64,INT(EP$44-2)+1),$DC64,IF($DD64="No",1,0))/
IF(DX64&gt;INT($N64),$N64-INT($N64),1))*
IF(EP$44=2,DX64,
IF(INT(DX64)=INT(DW64),0,DX64-INT(DX64)))))</f>
        <v>0</v>
      </c>
      <c r="EQ64" s="836">
        <f>+IF(OR(DY64=DX64,EQ$44=1),0,
IF(AND(EQ$44&gt;1,DY64=$N64),1-SUM($EN64:EP64),
IF($N64&lt;=1,
IF($N64&gt;0,1/$N64,0),
IF(EQ$44=2,0,VDB(1,0,$N64,INT(EQ$44-2-1),MIN($N64,INT(EQ$44-2-1)+1),$DC64,IF($DD64="No",1,0))/
IF(DX64&gt;=INT($N64),$N64-INT($N64),1)))*
IF(EQ$44=2,0,
IF(INT(DY64)=INT(DX64),DY64-DX64,INT(DY64)-DX64))+
IF($N64&lt;=1,
IF($N64&gt;0,1/$N64,0),VDB(1,0,$N64,INT(EQ$44-2),MIN($N64,INT(EQ$44-2)+1),$DC64,IF($DD64="No",1,0))/
IF(DY64&gt;INT($N64),$N64-INT($N64),1))*
IF(EQ$44=2,DY64,
IF(INT(DY64)=INT(DX64),0,DY64-INT(DY64)))))</f>
        <v>0</v>
      </c>
      <c r="ER64" s="834">
        <f>+IF(OR(DZ64=DY64,ER$44=1),0,
IF(AND(ER$44&gt;1,DZ64=$N64),1-SUM($EN64:EQ64),
IF($N64&lt;=1,
IF($N64&gt;0,1/$N64,0),
IF(ER$44=2,0,VDB(1,0,$N64,INT(ER$44-2-1),MIN($N64,INT(ER$44-2-1)+1),$DC64,IF($DD64="No",1,0))/
IF(DY64&gt;=INT($N64),$N64-INT($N64),1)))*
IF(ER$44=2,0,
IF(INT(DZ64)=INT(DY64),DZ64-DY64,INT(DZ64)-DY64))+
IF($N64&lt;=1,
IF($N64&gt;0,1/$N64,0),VDB(1,0,$N64,INT(ER$44-2),MIN($N64,INT(ER$44-2)+1),$DC64,IF($DD64="No",1,0))/
IF(DZ64&gt;INT($N64),$N64-INT($N64),1))*
IF(ER$44=2,DZ64,
IF(INT(DZ64)=INT(DY64),0,DZ64-INT(DZ64)))))</f>
        <v>0</v>
      </c>
      <c r="ES64" s="835">
        <f>+IF(OR(EA64=DZ64,ES$44=1),0,
IF(AND(ES$44&gt;1,EA64=$N64),1-SUM($EN64:ER64),
IF($N64&lt;=1,
IF($N64&gt;0,1/$N64,0),
IF(ES$44=2,0,VDB(1,0,$N64,INT(ES$44-2-1),MIN($N64,INT(ES$44-2-1)+1),$DC64,IF($DD64="No",1,0))/
IF(DZ64&gt;=INT($N64),$N64-INT($N64),1)))*
IF(ES$44=2,0,
IF(INT(EA64)=INT(DZ64),EA64-DZ64,INT(EA64)-DZ64))+
IF($N64&lt;=1,
IF($N64&gt;0,1/$N64,0),VDB(1,0,$N64,INT(ES$44-2),MIN($N64,INT(ES$44-2)+1),$DC64,IF($DD64="No",1,0))/
IF(EA64&gt;INT($N64),$N64-INT($N64),1))*
IF(ES$44=2,EA64,
IF(INT(EA64)=INT(DZ64),0,EA64-INT(EA64)))))</f>
        <v>0</v>
      </c>
      <c r="ET64" s="835">
        <f>+IF(OR(EB64=EA64,ET$44=1),0,
IF(AND(ET$44&gt;1,EB64=$N64),1-SUM($EN64:ES64),
IF($N64&lt;=1,
IF($N64&gt;0,1/$N64,0),
IF(ET$44=2,0,VDB(1,0,$N64,INT(ET$44-2-1),MIN($N64,INT(ET$44-2-1)+1),$DC64,IF($DD64="No",1,0))/
IF(EA64&gt;=INT($N64),$N64-INT($N64),1)))*
IF(ET$44=2,0,
IF(INT(EB64)=INT(EA64),EB64-EA64,INT(EB64)-EA64))+
IF($N64&lt;=1,
IF($N64&gt;0,1/$N64,0),VDB(1,0,$N64,INT(ET$44-2),MIN($N64,INT(ET$44-2)+1),$DC64,IF($DD64="No",1,0))/
IF(EB64&gt;INT($N64),$N64-INT($N64),1))*
IF(ET$44=2,EB64,
IF(INT(EB64)=INT(EA64),0,EB64-INT(EB64)))))</f>
        <v>0</v>
      </c>
      <c r="EU64" s="835">
        <f>+IF(OR(EC64=EB64,EU$44=1),0,
IF(AND(EU$44&gt;1,EC64=$N64),1-SUM($EN64:ET64),
IF($N64&lt;=1,
IF($N64&gt;0,1/$N64,0),
IF(EU$44=2,0,VDB(1,0,$N64,INT(EU$44-2-1),MIN($N64,INT(EU$44-2-1)+1),$DC64,IF($DD64="No",1,0))/
IF(EB64&gt;=INT($N64),$N64-INT($N64),1)))*
IF(EU$44=2,0,
IF(INT(EC64)=INT(EB64),EC64-EB64,INT(EC64)-EB64))+
IF($N64&lt;=1,
IF($N64&gt;0,1/$N64,0),VDB(1,0,$N64,INT(EU$44-2),MIN($N64,INT(EU$44-2)+1),$DC64,IF($DD64="No",1,0))/
IF(EC64&gt;INT($N64),$N64-INT($N64),1))*
IF(EU$44=2,EC64,
IF(INT(EC64)=INT(EB64),0,EC64-INT(EC64)))))</f>
        <v>0</v>
      </c>
      <c r="EV64" s="836">
        <f>+IF(OR(ED64=EC64,EV$44=1),0,
IF(AND(EV$44&gt;1,ED64=$N64),1-SUM($EN64:EU64),
IF($N64&lt;=1,
IF($N64&gt;0,1/$N64,0),
IF(EV$44=2,0,VDB(1,0,$N64,INT(EV$44-2-1),MIN($N64,INT(EV$44-2-1)+1),$DC64,IF($DD64="No",1,0))/
IF(EC64&gt;=INT($N64),$N64-INT($N64),1)))*
IF(EV$44=2,0,
IF(INT(ED64)=INT(EC64),ED64-EC64,INT(ED64)-EC64))+
IF($N64&lt;=1,
IF($N64&gt;0,1/$N64,0),VDB(1,0,$N64,INT(EV$44-2),MIN($N64,INT(EV$44-2)+1),$DC64,IF($DD64="No",1,0))/
IF(ED64&gt;INT($N64),$N64-INT($N64),1))*
IF(EV$44=2,ED64,
IF(INT(ED64)=INT(EC64),0,ED64-INT(ED64)))))</f>
        <v>0</v>
      </c>
      <c r="EW64" s="833"/>
      <c r="EX64" s="834">
        <f t="shared" ca="1" si="133"/>
        <v>0</v>
      </c>
      <c r="EY64" s="835">
        <f t="shared" ca="1" si="133"/>
        <v>0</v>
      </c>
      <c r="EZ64" s="836">
        <f t="shared" ca="1" si="133"/>
        <v>0</v>
      </c>
      <c r="FA64" s="834">
        <f t="shared" ca="1" si="133"/>
        <v>0</v>
      </c>
      <c r="FB64" s="835">
        <f t="shared" ca="1" si="133"/>
        <v>0</v>
      </c>
      <c r="FC64" s="835">
        <f t="shared" ca="1" si="133"/>
        <v>0</v>
      </c>
      <c r="FD64" s="835">
        <f t="shared" ca="1" si="133"/>
        <v>0</v>
      </c>
      <c r="FE64" s="836">
        <f t="shared" ca="1" si="133"/>
        <v>0</v>
      </c>
      <c r="FG64" s="386">
        <f t="shared" ref="FG64:FG73" ca="1" si="182">-(-$DE64*(-ISBLANK($DE64)+1)*EF64-
IF(FG$44&gt;1,SUMPRODUCT(OFFSET($DF64,0,0,1,FG$44-1)*(-ISBLANK(OFFSET($DF64,0,0,1,FG$44-1))+1),OFFSET($EX64,0,MAX($FG$44:$HY$44)-FG$44,1,FG$44-1)),0))</f>
        <v>0</v>
      </c>
      <c r="FH64" s="387">
        <f t="shared" ref="FH64:FH73" ca="1" si="183">-(-$DE64*(-ISBLANK($DE64)+1)*EG64-
IF(FH$44&gt;1,SUMPRODUCT(OFFSET($DF64,0,0,1,FH$44-1)*(-ISBLANK(OFFSET($DF64,0,0,1,FH$44-1))+1),OFFSET($EX64,0,MAX($FG$44:$HY$44)-FH$44,1,FH$44-1)),0))</f>
        <v>0</v>
      </c>
      <c r="FI64" s="388">
        <f t="shared" ref="FI64:FI73" ca="1" si="184">-(-$DE64*(-ISBLANK($DE64)+1)*EH64-
IF(FI$44&gt;1,SUMPRODUCT(OFFSET($DF64,0,0,1,FI$44-1)*(-ISBLANK(OFFSET($DF64,0,0,1,FI$44-1))+1),OFFSET($EX64,0,MAX($FG$44:$HY$44)-FI$44,1,FI$44-1)),0))</f>
        <v>0</v>
      </c>
      <c r="FJ64" s="386">
        <f t="shared" ref="FJ64:FJ73" ca="1" si="185">-(-$DE64*(-ISBLANK($DE64)+1)*EI64-
IF(FJ$44&gt;1,SUMPRODUCT(OFFSET($DF64,0,0,1,FJ$44-1)*(-ISBLANK(OFFSET($DF64,0,0,1,FJ$44-1))+1),OFFSET($EX64,0,MAX($FG$44:$HY$44)-FJ$44,1,FJ$44-1)),0))</f>
        <v>0</v>
      </c>
      <c r="FK64" s="387">
        <f t="shared" ref="FK64:FK73" ca="1" si="186">-(-$DE64*(-ISBLANK($DE64)+1)*EJ64-
IF(FK$44&gt;1,SUMPRODUCT(OFFSET($DF64,0,0,1,FK$44-1)*(-ISBLANK(OFFSET($DF64,0,0,1,FK$44-1))+1),OFFSET($EX64,0,MAX($FG$44:$HY$44)-FK$44,1,FK$44-1)),0))</f>
        <v>0</v>
      </c>
      <c r="FL64" s="387">
        <f t="shared" ref="FL64:FL73" ca="1" si="187">-(-$DE64*(-ISBLANK($DE64)+1)*EK64-
IF(FL$44&gt;1,SUMPRODUCT(OFFSET($DF64,0,0,1,FL$44-1)*(-ISBLANK(OFFSET($DF64,0,0,1,FL$44-1))+1),OFFSET($EX64,0,MAX($FG$44:$HY$44)-FL$44,1,FL$44-1)),0))</f>
        <v>0</v>
      </c>
      <c r="FM64" s="387">
        <f t="shared" ref="FM64:FM73" ca="1" si="188">-(-$DE64*(-ISBLANK($DE64)+1)*EL64-
IF(FM$44&gt;1,SUMPRODUCT(OFFSET($DF64,0,0,1,FM$44-1)*(-ISBLANK(OFFSET($DF64,0,0,1,FM$44-1))+1),OFFSET($EX64,0,MAX($FG$44:$HY$44)-FM$44,1,FM$44-1)),0))</f>
        <v>0</v>
      </c>
      <c r="FN64" s="388">
        <f t="shared" ref="FN64:FN73" ca="1" si="189">-(-$DE64*(-ISBLANK($DE64)+1)*EM64-
IF(FN$44&gt;1,SUMPRODUCT(OFFSET($DF64,0,0,1,FN$44-1)*(-ISBLANK(OFFSET($DF64,0,0,1,FN$44-1))+1),OFFSET($EX64,0,MAX($FG$44:$HY$44)-FN$44,1,FN$44-1)),0))</f>
        <v>0</v>
      </c>
      <c r="FR64" s="116"/>
    </row>
    <row r="65" spans="2:174">
      <c r="B65" s="1410">
        <f t="shared" si="135"/>
        <v>19</v>
      </c>
      <c r="C65" s="400" t="s">
        <v>545</v>
      </c>
      <c r="D65" s="410"/>
      <c r="E65" s="402" t="s">
        <v>402</v>
      </c>
      <c r="F65" s="402" t="s">
        <v>527</v>
      </c>
      <c r="G65" s="400" t="s">
        <v>522</v>
      </c>
      <c r="H65" s="2088" t="s">
        <v>483</v>
      </c>
      <c r="I65" s="2089"/>
      <c r="J65" s="411" t="s">
        <v>516</v>
      </c>
      <c r="K65" s="403" t="s">
        <v>544</v>
      </c>
      <c r="L65" s="403">
        <v>35</v>
      </c>
      <c r="M65" s="403" t="s">
        <v>142</v>
      </c>
      <c r="N65" s="403"/>
      <c r="O65" s="347"/>
      <c r="P65" s="347"/>
      <c r="Q65" s="1021">
        <v>28.838750243902442</v>
      </c>
      <c r="R65" s="1022">
        <v>6.3442931588340281</v>
      </c>
      <c r="S65" s="1022">
        <v>11.519462340941079</v>
      </c>
      <c r="T65" s="1022">
        <v>15.94777262479028</v>
      </c>
      <c r="U65" s="1023">
        <v>10.444216212475329</v>
      </c>
      <c r="V65" s="1021">
        <v>1.2745568419520488</v>
      </c>
      <c r="W65" s="1022">
        <v>0.61493964888892705</v>
      </c>
      <c r="X65" s="1022">
        <v>4.2045665159291437</v>
      </c>
      <c r="Y65" s="1022">
        <v>4.5297532239987754</v>
      </c>
      <c r="Z65" s="1023">
        <v>4.4192714380475859</v>
      </c>
      <c r="AA65" s="1024"/>
      <c r="AB65" s="1021">
        <v>0</v>
      </c>
      <c r="AC65" s="1022">
        <v>0</v>
      </c>
      <c r="AD65" s="1022">
        <v>0</v>
      </c>
      <c r="AE65" s="1022">
        <v>0</v>
      </c>
      <c r="AF65" s="1023">
        <v>0</v>
      </c>
      <c r="AG65" s="1021">
        <v>0</v>
      </c>
      <c r="AH65" s="1022">
        <v>0</v>
      </c>
      <c r="AI65" s="1022">
        <v>0</v>
      </c>
      <c r="AJ65" s="1022">
        <v>0</v>
      </c>
      <c r="AK65" s="1023">
        <v>0</v>
      </c>
      <c r="AL65" s="1024"/>
      <c r="AM65" s="1021">
        <v>0</v>
      </c>
      <c r="AN65" s="1022">
        <v>0</v>
      </c>
      <c r="AO65" s="1022">
        <v>0</v>
      </c>
      <c r="AP65" s="1022">
        <v>0</v>
      </c>
      <c r="AQ65" s="1023">
        <v>0</v>
      </c>
      <c r="AR65" s="1021">
        <v>0</v>
      </c>
      <c r="AS65" s="1022">
        <v>0</v>
      </c>
      <c r="AT65" s="1022">
        <v>0</v>
      </c>
      <c r="AU65" s="1022">
        <v>0</v>
      </c>
      <c r="AV65" s="1023">
        <v>0</v>
      </c>
      <c r="AW65" s="1025"/>
      <c r="AX65" s="1282">
        <f t="shared" si="136"/>
        <v>28.838750243902442</v>
      </c>
      <c r="AY65" s="387">
        <f t="shared" si="137"/>
        <v>6.3442931588340281</v>
      </c>
      <c r="AZ65" s="387">
        <f t="shared" si="138"/>
        <v>11.519462340941079</v>
      </c>
      <c r="BA65" s="387">
        <f t="shared" si="139"/>
        <v>15.94777262479028</v>
      </c>
      <c r="BB65" s="1283">
        <f t="shared" si="140"/>
        <v>10.444216212475329</v>
      </c>
      <c r="BC65" s="386">
        <f t="shared" si="141"/>
        <v>1.2745568419520488</v>
      </c>
      <c r="BD65" s="387">
        <f t="shared" si="142"/>
        <v>0.61493964888892705</v>
      </c>
      <c r="BE65" s="1277">
        <f t="shared" si="143"/>
        <v>4.2045665159291437</v>
      </c>
      <c r="BF65" s="1277">
        <f t="shared" si="144"/>
        <v>4.5297532239987754</v>
      </c>
      <c r="BG65" s="388">
        <f t="shared" si="145"/>
        <v>4.4192714380475859</v>
      </c>
      <c r="BH65" s="1025"/>
      <c r="BI65" s="1282">
        <f t="shared" ca="1" si="146"/>
        <v>0.41198214634146346</v>
      </c>
      <c r="BJ65" s="387">
        <f t="shared" ca="1" si="147"/>
        <v>0.91459705209484166</v>
      </c>
      <c r="BK65" s="387">
        <f t="shared" ca="1" si="148"/>
        <v>1.1697935592344861</v>
      </c>
      <c r="BL65" s="387">
        <f t="shared" ca="1" si="149"/>
        <v>1.5621826301735053</v>
      </c>
      <c r="BM65" s="1283">
        <f t="shared" ca="1" si="150"/>
        <v>1.9392110421344428</v>
      </c>
      <c r="BN65" s="386">
        <f t="shared" ca="1" si="151"/>
        <v>2.1066220857691196</v>
      </c>
      <c r="BO65" s="387">
        <f t="shared" ca="1" si="152"/>
        <v>2.1336148927811336</v>
      </c>
      <c r="BP65" s="1277">
        <f t="shared" ca="1" si="153"/>
        <v>2.202464980849963</v>
      </c>
      <c r="BQ65" s="1277">
        <f t="shared" ca="1" si="154"/>
        <v>2.3272409771346476</v>
      </c>
      <c r="BR65" s="388">
        <f t="shared" ca="1" si="155"/>
        <v>2.4550841865924529</v>
      </c>
      <c r="BS65" s="1025"/>
      <c r="BT65" s="1282">
        <f>+IF($K65="Ongoing",AX65,IF(RIGHT($K65,2)=RIGHT(BT$43,2),SUM($AX65:AX65),0)+IF(RIGHT(BT$43,2)&gt;RIGHT($K65,2),AX65,0))</f>
        <v>28.838750243902442</v>
      </c>
      <c r="BU65" s="387">
        <f>+IF($K65="Ongoing",AY65,IF(RIGHT($K65,2)=RIGHT(BU$43,2),SUM($AX65:AY65),0)+IF(RIGHT(BU$43,2)&gt;RIGHT($K65,2),AY65,0))</f>
        <v>6.3442931588340281</v>
      </c>
      <c r="BV65" s="387">
        <f>+IF($K65="Ongoing",AZ65,IF(RIGHT($K65,2)=RIGHT(BV$43,2),SUM($AX65:AZ65),0)+IF(RIGHT(BV$43,2)&gt;RIGHT($K65,2),AZ65,0))</f>
        <v>11.519462340941079</v>
      </c>
      <c r="BW65" s="387">
        <f>+IF($K65="Ongoing",BA65,IF(RIGHT($K65,2)=RIGHT(BW$43,2),SUM($AX65:BA65),0)+IF(RIGHT(BW$43,2)&gt;RIGHT($K65,2),BA65,0))</f>
        <v>15.94777262479028</v>
      </c>
      <c r="BX65" s="1283">
        <f>+IF($K65="Ongoing",BB65,IF(RIGHT($K65,2)=RIGHT(BX$43,2),SUM($AX65:BB65),0)+IF(RIGHT(BX$43,2)&gt;RIGHT($K65,2),BB65,0))</f>
        <v>10.444216212475329</v>
      </c>
      <c r="BY65" s="386">
        <f>+IF($K65="Ongoing",BC65,IF(RIGHT($K65,2)=RIGHT(BY$43,2),SUM($AX65:BC65),0)+IF(RIGHT(BY$43,2)&gt;RIGHT($K65,2),BC65,0))</f>
        <v>1.2745568419520488</v>
      </c>
      <c r="BZ65" s="387">
        <f>+IF($K65="Ongoing",BD65,IF(RIGHT($K65,2)=RIGHT(BZ$43,2),SUM($AX65:BD65),0)+IF(RIGHT(BZ$43,2)&gt;RIGHT($K65,2),BD65,0))</f>
        <v>0.61493964888892705</v>
      </c>
      <c r="CA65" s="1277">
        <f>+IF($K65="Ongoing",BE65,IF(RIGHT($K65,2)=RIGHT(CA$43,2),SUM($AX65:BE65),0)+IF(RIGHT(CA$43,2)&gt;RIGHT($K65,2),BE65,0))</f>
        <v>4.2045665159291437</v>
      </c>
      <c r="CB65" s="1277">
        <f>+IF($K65="Ongoing",BF65,IF(RIGHT($K65,2)=RIGHT(CB$43,2),SUM($AX65:BF65),0)+IF(RIGHT(CB$43,2)&gt;RIGHT($K65,2),BF65,0))</f>
        <v>4.5297532239987754</v>
      </c>
      <c r="CC65" s="388">
        <f>+IF($K65="Ongoing",BG65,IF(RIGHT($K65,2)=RIGHT(CC$43,2),SUM($AX65:BG65),0)+IF(RIGHT(CC$43,2)&gt;RIGHT($K65,2),BG65,0))</f>
        <v>4.4192714380475859</v>
      </c>
      <c r="CD65" s="1025"/>
      <c r="CE65" s="1282">
        <f>+Q65*KeyAssumptionsPriceControl_FO!AF$15</f>
        <v>29.675074000975609</v>
      </c>
      <c r="CF65" s="387">
        <f>+R65*KeyAssumptionsPriceControl_FO!AG$15</f>
        <v>6.7175977125929807</v>
      </c>
      <c r="CG65" s="387">
        <f>+S65*KeyAssumptionsPriceControl_FO!AH$15</f>
        <v>12.551000116256178</v>
      </c>
      <c r="CH65" s="387">
        <f>+T65*KeyAssumptionsPriceControl_FO!AI$15</f>
        <v>17.879753790393394</v>
      </c>
      <c r="CI65" s="1283">
        <f>+U65*KeyAssumptionsPriceControl_FO!AJ$15</f>
        <v>12.049047810724536</v>
      </c>
      <c r="CJ65" s="386">
        <f>+V65*KeyAssumptionsPriceControl_FO!AK$15</f>
        <v>1.5130436500107511</v>
      </c>
      <c r="CK65" s="387">
        <f>+W65*KeyAssumptionsPriceControl_FO!AL$15</f>
        <v>0.75117325863690054</v>
      </c>
      <c r="CL65" s="1277">
        <f>+X65*KeyAssumptionsPriceControl_FO!AM$15</f>
        <v>5.2849906763939538</v>
      </c>
      <c r="CM65" s="1277">
        <f>+Y65*KeyAssumptionsPriceControl_FO!AN$15</f>
        <v>5.8588572365244245</v>
      </c>
      <c r="CN65" s="388">
        <f>+Z65*KeyAssumptionsPriceControl_FO!AO$15</f>
        <v>5.8817210696425688</v>
      </c>
      <c r="CO65" s="1025"/>
      <c r="CP65" s="1282">
        <f t="shared" ca="1" si="156"/>
        <v>0</v>
      </c>
      <c r="CQ65" s="387">
        <f t="shared" ca="1" si="157"/>
        <v>0</v>
      </c>
      <c r="CR65" s="387">
        <f t="shared" ca="1" si="158"/>
        <v>0</v>
      </c>
      <c r="CS65" s="387">
        <f t="shared" ca="1" si="159"/>
        <v>0</v>
      </c>
      <c r="CT65" s="1283">
        <f t="shared" ca="1" si="160"/>
        <v>0</v>
      </c>
      <c r="CU65" s="386">
        <f t="shared" ca="1" si="161"/>
        <v>0</v>
      </c>
      <c r="CV65" s="387">
        <f t="shared" ca="1" si="162"/>
        <v>0</v>
      </c>
      <c r="CW65" s="1277">
        <f t="shared" ca="1" si="163"/>
        <v>0</v>
      </c>
      <c r="CX65" s="1277">
        <f t="shared" ca="1" si="164"/>
        <v>0</v>
      </c>
      <c r="CY65" s="388">
        <f t="shared" ca="1" si="165"/>
        <v>0</v>
      </c>
      <c r="CZ65" s="347"/>
      <c r="DA65" s="852"/>
      <c r="DB65" s="347"/>
      <c r="DC65" s="1012" t="s">
        <v>534</v>
      </c>
      <c r="DD65" s="841" t="s">
        <v>518</v>
      </c>
      <c r="DE65" s="386">
        <f>+IF($K65="ongoing",CE65,IF(RIGHT($K65,2)=RIGHT(DE$43,2),SUM($CD65:CE65),0)+IF(RIGHT(DE$43,2)&gt;RIGHT($K65,2),CE65,0))</f>
        <v>29.675074000975609</v>
      </c>
      <c r="DF65" s="387">
        <f>+IF($K65="ongoing",CF65,IF(RIGHT($K65,2)=RIGHT(DF$43,2),SUM($CD65:CF65),0)+IF(RIGHT(DF$43,2)&gt;RIGHT($K65,2),CF65,0))</f>
        <v>6.7175977125929807</v>
      </c>
      <c r="DG65" s="388">
        <f>+IF($K65="ongoing",CG65,IF(RIGHT($K65,2)=RIGHT(DG$43,2),SUM($CD65:CG65),0)+IF(RIGHT(DG$43,2)&gt;RIGHT($K65,2),CG65,0))</f>
        <v>12.551000116256178</v>
      </c>
      <c r="DH65" s="386">
        <f>+IF($K65="ongoing",CH65,IF(RIGHT($K65,2)=RIGHT(DH$43,2),SUM($CD65:CH65),0)+IF(RIGHT(DH$43,2)&gt;RIGHT($K65,2),CH65,0))</f>
        <v>17.879753790393394</v>
      </c>
      <c r="DI65" s="387">
        <f>+IF($K65="ongoing",CI65,IF(RIGHT($K65,2)=RIGHT(DI$43,2),SUM($CD65:CI65),0)+IF(RIGHT(DI$43,2)&gt;RIGHT($K65,2),CI65,0))</f>
        <v>12.049047810724536</v>
      </c>
      <c r="DJ65" s="387">
        <f>+IF($K65="ongoing",CJ65,IF(RIGHT($K65,2)=RIGHT(DJ$43,2),SUM($CD65:CJ65),0)+IF(RIGHT(DJ$43,2)&gt;RIGHT($K65,2),CJ65,0))</f>
        <v>1.5130436500107511</v>
      </c>
      <c r="DK65" s="387">
        <f>+IF($K65="ongoing",CK65,IF(RIGHT($K65,2)=RIGHT(DK$43,2),SUM($CD65:CK65),0)+IF(RIGHT(DK$43,2)&gt;RIGHT($K65,2),CK65,0))</f>
        <v>0.75117325863690054</v>
      </c>
      <c r="DL65" s="388">
        <f>+IF($K65="ongoing",CN65,IF(RIGHT($K65,2)=RIGHT(DL$43,2),SUM($CD65:CN65),0)+IF(RIGHT(DL$43,2)&gt;RIGHT($K65,2),CN65,0))</f>
        <v>5.8817210696425688</v>
      </c>
      <c r="DM65" s="841"/>
      <c r="DN65" s="386">
        <f t="shared" si="166"/>
        <v>0.5</v>
      </c>
      <c r="DO65" s="387">
        <f t="shared" si="167"/>
        <v>1</v>
      </c>
      <c r="DP65" s="388">
        <f t="shared" si="168"/>
        <v>1</v>
      </c>
      <c r="DQ65" s="386">
        <f t="shared" si="169"/>
        <v>1</v>
      </c>
      <c r="DR65" s="387">
        <f t="shared" si="170"/>
        <v>1</v>
      </c>
      <c r="DS65" s="387">
        <f t="shared" si="171"/>
        <v>1</v>
      </c>
      <c r="DT65" s="387">
        <f t="shared" si="172"/>
        <v>1</v>
      </c>
      <c r="DU65" s="388">
        <f t="shared" si="173"/>
        <v>1</v>
      </c>
      <c r="DW65" s="386">
        <f t="shared" si="174"/>
        <v>0</v>
      </c>
      <c r="DX65" s="387">
        <f t="shared" si="175"/>
        <v>0.5</v>
      </c>
      <c r="DY65" s="388">
        <f t="shared" si="176"/>
        <v>1</v>
      </c>
      <c r="DZ65" s="386">
        <f t="shared" si="177"/>
        <v>1</v>
      </c>
      <c r="EA65" s="387">
        <f t="shared" si="178"/>
        <v>1</v>
      </c>
      <c r="EB65" s="387">
        <f t="shared" si="179"/>
        <v>1</v>
      </c>
      <c r="EC65" s="387">
        <f t="shared" si="180"/>
        <v>1</v>
      </c>
      <c r="ED65" s="388">
        <f t="shared" si="181"/>
        <v>1</v>
      </c>
      <c r="EF65" s="834">
        <f>+IF(DN65=DM65,0,
IF(AND(EF$44&gt;1,DN65=$N65),1-SUM($EE65:EE65),
IF($N65&lt;=1,
IF($N65&gt;0,1/$N65,0),
IF(EF$44=1,0,VDB(1,0,$N65,INT(EF$44-1-1),MIN($N65,INT(EF$44-1-1)+1),$DC65,IF($DD65="No",1,0))/
IF(DM65&gt;=INT($N65),$N65-INT($N65),1)))*
IF(EF$44=1,0,
IF(INT(DN65)=INT(DM65),DN65-DM65,INT(DN65)-DM65))+
IF($N65&lt;=1,
IF($N65&gt;0,1/$N65,0),VDB(1,0,$N65,INT(EF$44-1),MIN($N65,INT(EF$44-1)+1),$DC65,IF($DD65="No",1,0))/
IF(DN65&gt;INT($N65),$N65-INT($N65),1))*
IF(EF$44=1,DN65,
IF(INT(DN65)=INT(DM65),0,DN65-INT(DN65)))))</f>
        <v>0</v>
      </c>
      <c r="EG65" s="835">
        <f>+IF(DO65=DN65,0,
IF(AND(EG$44&gt;1,DO65=$N65),1-SUM($EE65:EF65),
IF($N65&lt;=1,
IF($N65&gt;0,1/$N65,0),
IF(EG$44=1,0,VDB(1,0,$N65,INT(EG$44-1-1),MIN($N65,INT(EG$44-1-1)+1),$DC65,IF($DD65="No",1,0))/
IF(DN65&gt;=INT($N65),$N65-INT($N65),1)))*
IF(EG$44=1,0,
IF(INT(DO65)=INT(DN65),DO65-DN65,INT(DO65)-DN65))+
IF($N65&lt;=1,
IF($N65&gt;0,1/$N65,0),VDB(1,0,$N65,INT(EG$44-1),MIN($N65,INT(EG$44-1)+1),$DC65,IF($DD65="No",1,0))/
IF(DO65&gt;INT($N65),$N65-INT($N65),1))*
IF(EG$44=1,DO65,
IF(INT(DO65)=INT(DN65),0,DO65-INT(DO65)))))</f>
        <v>0</v>
      </c>
      <c r="EH65" s="836">
        <f>+IF(DP65=DO65,0,
IF(AND(EH$44&gt;1,DP65=$N65),1-SUM($EE65:EG65),
IF($N65&lt;=1,
IF($N65&gt;0,1/$N65,0),
IF(EH$44=1,0,VDB(1,0,$N65,INT(EH$44-1-1),MIN($N65,INT(EH$44-1-1)+1),$DC65,IF($DD65="No",1,0))/
IF(DO65&gt;=INT($N65),$N65-INT($N65),1)))*
IF(EH$44=1,0,
IF(INT(DP65)=INT(DO65),DP65-DO65,INT(DP65)-DO65))+
IF($N65&lt;=1,
IF($N65&gt;0,1/$N65,0),VDB(1,0,$N65,INT(EH$44-1),MIN($N65,INT(EH$44-1)+1),$DC65,IF($DD65="No",1,0))/
IF(DP65&gt;INT($N65),$N65-INT($N65),1))*
IF(EH$44=1,DP65,
IF(INT(DP65)=INT(DO65),0,DP65-INT(DP65)))))</f>
        <v>0</v>
      </c>
      <c r="EI65" s="834">
        <f>+IF(DQ65=DP65,0,
IF(AND(EI$44&gt;1,DQ65=$N65),1-SUM($EE65:EH65),
IF($N65&lt;=1,
IF($N65&gt;0,1/$N65,0),
IF(EI$44=1,0,VDB(1,0,$N65,INT(EI$44-1-1),MIN($N65,INT(EI$44-1-1)+1),$DC65,IF($DD65="No",1,0))/
IF(DP65&gt;=INT($N65),$N65-INT($N65),1)))*
IF(EI$44=1,0,
IF(INT(DQ65)=INT(DP65),DQ65-DP65,INT(DQ65)-DP65))+
IF($N65&lt;=1,
IF($N65&gt;0,1/$N65,0),VDB(1,0,$N65,INT(EI$44-1),MIN($N65,INT(EI$44-1)+1),$DC65,IF($DD65="No",1,0))/
IF(DQ65&gt;INT($N65),$N65-INT($N65),1))*
IF(EI$44=1,DQ65,
IF(INT(DQ65)=INT(DP65),0,DQ65-INT(DQ65)))))</f>
        <v>0</v>
      </c>
      <c r="EJ65" s="835">
        <f>+IF(DR65=DQ65,0,
IF(AND(EJ$44&gt;1,DR65=$N65),1-SUM($EE65:EI65),
IF($N65&lt;=1,
IF($N65&gt;0,1/$N65,0),
IF(EJ$44=1,0,VDB(1,0,$N65,INT(EJ$44-1-1),MIN($N65,INT(EJ$44-1-1)+1),$DC65,IF($DD65="No",1,0))/
IF(DQ65&gt;=INT($N65),$N65-INT($N65),1)))*
IF(EJ$44=1,0,
IF(INT(DR65)=INT(DQ65),DR65-DQ65,INT(DR65)-DQ65))+
IF($N65&lt;=1,
IF($N65&gt;0,1/$N65,0),VDB(1,0,$N65,INT(EJ$44-1),MIN($N65,INT(EJ$44-1)+1),$DC65,IF($DD65="No",1,0))/
IF(DR65&gt;INT($N65),$N65-INT($N65),1))*
IF(EJ$44=1,DR65,
IF(INT(DR65)=INT(DQ65),0,DR65-INT(DR65)))))</f>
        <v>0</v>
      </c>
      <c r="EK65" s="835">
        <f>+IF(DS65=DR65,0,
IF(AND(EK$44&gt;1,DS65=$N65),1-SUM($EE65:EJ65),
IF($N65&lt;=1,
IF($N65&gt;0,1/$N65,0),
IF(EK$44=1,0,VDB(1,0,$N65,INT(EK$44-1-1),MIN($N65,INT(EK$44-1-1)+1),$DC65,IF($DD65="No",1,0))/
IF(DR65&gt;=INT($N65),$N65-INT($N65),1)))*
IF(EK$44=1,0,
IF(INT(DS65)=INT(DR65),DS65-DR65,INT(DS65)-DR65))+
IF($N65&lt;=1,
IF($N65&gt;0,1/$N65,0),VDB(1,0,$N65,INT(EK$44-1),MIN($N65,INT(EK$44-1)+1),$DC65,IF($DD65="No",1,0))/
IF(DS65&gt;INT($N65),$N65-INT($N65),1))*
IF(EK$44=1,DS65,
IF(INT(DS65)=INT(DR65),0,DS65-INT(DS65)))))</f>
        <v>0</v>
      </c>
      <c r="EL65" s="835">
        <f>+IF(DT65=DS65,0,
IF(AND(EL$44&gt;1,DT65=$N65),1-SUM($EE65:EK65),
IF($N65&lt;=1,
IF($N65&gt;0,1/$N65,0),
IF(EL$44=1,0,VDB(1,0,$N65,INT(EL$44-1-1),MIN($N65,INT(EL$44-1-1)+1),$DC65,IF($DD65="No",1,0))/
IF(DS65&gt;=INT($N65),$N65-INT($N65),1)))*
IF(EL$44=1,0,
IF(INT(DT65)=INT(DS65),DT65-DS65,INT(DT65)-DS65))+
IF($N65&lt;=1,
IF($N65&gt;0,1/$N65,0),VDB(1,0,$N65,INT(EL$44-1),MIN($N65,INT(EL$44-1)+1),$DC65,IF($DD65="No",1,0))/
IF(DT65&gt;INT($N65),$N65-INT($N65),1))*
IF(EL$44=1,DT65,
IF(INT(DT65)=INT(DS65),0,DT65-INT(DT65)))))</f>
        <v>0</v>
      </c>
      <c r="EM65" s="836">
        <f>+IF(DU65=DT65,0,
IF(AND(EM$44&gt;1,DU65=$N65),1-SUM($EE65:EL65),
IF($N65&lt;=1,
IF($N65&gt;0,1/$N65,0),
IF(EM$44=1,0,VDB(1,0,$N65,INT(EM$44-1-1),MIN($N65,INT(EM$44-1-1)+1),$DC65,IF($DD65="No",1,0))/
IF(DT65&gt;=INT($N65),$N65-INT($N65),1)))*
IF(EM$44=1,0,
IF(INT(DU65)=INT(DT65),DU65-DT65,INT(DU65)-DT65))+
IF($N65&lt;=1,
IF($N65&gt;0,1/$N65,0),VDB(1,0,$N65,INT(EM$44-1),MIN($N65,INT(EM$44-1)+1),$DC65,IF($DD65="No",1,0))/
IF(DU65&gt;INT($N65),$N65-INT($N65),1))*
IF(EM$44=1,DU65,
IF(INT(DU65)=INT(DT65),0,DU65-INT(DU65)))))</f>
        <v>0</v>
      </c>
      <c r="EN65" s="833"/>
      <c r="EO65" s="834">
        <f>+IF(OR(DW65=DV65,EO$44=1),0,
IF(AND(EO$44&gt;1,DW65=$N65),1-SUM($EN65:EN65),
IF($N65&lt;=1,
IF($N65&gt;0,1/$N65,0),
IF(EO$44=2,0,VDB(1,0,$N65,INT(EO$44-2-1),MIN($N65,INT(EO$44-2-1)+1),$DC65,IF($DD65="No",1,0))/
IF(DV65&gt;=INT($N65),$N65-INT($N65),1)))*
IF(EO$44=2,0,
IF(INT(DW65)=INT(DV65),DW65-DV65,INT(DW65)-DV65))+
IF($N65&lt;=1,
IF($N65&gt;0,1/$N65,0),VDB(1,0,$N65,INT(EO$44-2),MIN($N65,INT(EO$44-2)+1),$DC65,IF($DD65="No",1,0))/
IF(DW65&gt;INT($N65),$N65-INT($N65),1))*
IF(EO$44=2,DW65,
IF(INT(DW65)=INT(DV65),0,DW65-INT(DW65)))))</f>
        <v>0</v>
      </c>
      <c r="EP65" s="835">
        <f>+IF(OR(DX65=DW65,EP$44=1),0,
IF(AND(EP$44&gt;1,DX65=$N65),1-SUM($EN65:EO65),
IF($N65&lt;=1,
IF($N65&gt;0,1/$N65,0),
IF(EP$44=2,0,VDB(1,0,$N65,INT(EP$44-2-1),MIN($N65,INT(EP$44-2-1)+1),$DC65,IF($DD65="No",1,0))/
IF(DW65&gt;=INT($N65),$N65-INT($N65),1)))*
IF(EP$44=2,0,
IF(INT(DX65)=INT(DW65),DX65-DW65,INT(DX65)-DW65))+
IF($N65&lt;=1,
IF($N65&gt;0,1/$N65,0),VDB(1,0,$N65,INT(EP$44-2),MIN($N65,INT(EP$44-2)+1),$DC65,IF($DD65="No",1,0))/
IF(DX65&gt;INT($N65),$N65-INT($N65),1))*
IF(EP$44=2,DX65,
IF(INT(DX65)=INT(DW65),0,DX65-INT(DX65)))))</f>
        <v>0</v>
      </c>
      <c r="EQ65" s="836">
        <f>+IF(OR(DY65=DX65,EQ$44=1),0,
IF(AND(EQ$44&gt;1,DY65=$N65),1-SUM($EN65:EP65),
IF($N65&lt;=1,
IF($N65&gt;0,1/$N65,0),
IF(EQ$44=2,0,VDB(1,0,$N65,INT(EQ$44-2-1),MIN($N65,INT(EQ$44-2-1)+1),$DC65,IF($DD65="No",1,0))/
IF(DX65&gt;=INT($N65),$N65-INT($N65),1)))*
IF(EQ$44=2,0,
IF(INT(DY65)=INT(DX65),DY65-DX65,INT(DY65)-DX65))+
IF($N65&lt;=1,
IF($N65&gt;0,1/$N65,0),VDB(1,0,$N65,INT(EQ$44-2),MIN($N65,INT(EQ$44-2)+1),$DC65,IF($DD65="No",1,0))/
IF(DY65&gt;INT($N65),$N65-INT($N65),1))*
IF(EQ$44=2,DY65,
IF(INT(DY65)=INT(DX65),0,DY65-INT(DY65)))))</f>
        <v>0</v>
      </c>
      <c r="ER65" s="834">
        <f>+IF(OR(DZ65=DY65,ER$44=1),0,
IF(AND(ER$44&gt;1,DZ65=$N65),1-SUM($EN65:EQ65),
IF($N65&lt;=1,
IF($N65&gt;0,1/$N65,0),
IF(ER$44=2,0,VDB(1,0,$N65,INT(ER$44-2-1),MIN($N65,INT(ER$44-2-1)+1),$DC65,IF($DD65="No",1,0))/
IF(DY65&gt;=INT($N65),$N65-INT($N65),1)))*
IF(ER$44=2,0,
IF(INT(DZ65)=INT(DY65),DZ65-DY65,INT(DZ65)-DY65))+
IF($N65&lt;=1,
IF($N65&gt;0,1/$N65,0),VDB(1,0,$N65,INT(ER$44-2),MIN($N65,INT(ER$44-2)+1),$DC65,IF($DD65="No",1,0))/
IF(DZ65&gt;INT($N65),$N65-INT($N65),1))*
IF(ER$44=2,DZ65,
IF(INT(DZ65)=INT(DY65),0,DZ65-INT(DZ65)))))</f>
        <v>0</v>
      </c>
      <c r="ES65" s="835">
        <f>+IF(OR(EA65=DZ65,ES$44=1),0,
IF(AND(ES$44&gt;1,EA65=$N65),1-SUM($EN65:ER65),
IF($N65&lt;=1,
IF($N65&gt;0,1/$N65,0),
IF(ES$44=2,0,VDB(1,0,$N65,INT(ES$44-2-1),MIN($N65,INT(ES$44-2-1)+1),$DC65,IF($DD65="No",1,0))/
IF(DZ65&gt;=INT($N65),$N65-INT($N65),1)))*
IF(ES$44=2,0,
IF(INT(EA65)=INT(DZ65),EA65-DZ65,INT(EA65)-DZ65))+
IF($N65&lt;=1,
IF($N65&gt;0,1/$N65,0),VDB(1,0,$N65,INT(ES$44-2),MIN($N65,INT(ES$44-2)+1),$DC65,IF($DD65="No",1,0))/
IF(EA65&gt;INT($N65),$N65-INT($N65),1))*
IF(ES$44=2,EA65,
IF(INT(EA65)=INT(DZ65),0,EA65-INT(EA65)))))</f>
        <v>0</v>
      </c>
      <c r="ET65" s="835">
        <f>+IF(OR(EB65=EA65,ET$44=1),0,
IF(AND(ET$44&gt;1,EB65=$N65),1-SUM($EN65:ES65),
IF($N65&lt;=1,
IF($N65&gt;0,1/$N65,0),
IF(ET$44=2,0,VDB(1,0,$N65,INT(ET$44-2-1),MIN($N65,INT(ET$44-2-1)+1),$DC65,IF($DD65="No",1,0))/
IF(EA65&gt;=INT($N65),$N65-INT($N65),1)))*
IF(ET$44=2,0,
IF(INT(EB65)=INT(EA65),EB65-EA65,INT(EB65)-EA65))+
IF($N65&lt;=1,
IF($N65&gt;0,1/$N65,0),VDB(1,0,$N65,INT(ET$44-2),MIN($N65,INT(ET$44-2)+1),$DC65,IF($DD65="No",1,0))/
IF(EB65&gt;INT($N65),$N65-INT($N65),1))*
IF(ET$44=2,EB65,
IF(INT(EB65)=INT(EA65),0,EB65-INT(EB65)))))</f>
        <v>0</v>
      </c>
      <c r="EU65" s="835">
        <f>+IF(OR(EC65=EB65,EU$44=1),0,
IF(AND(EU$44&gt;1,EC65=$N65),1-SUM($EN65:ET65),
IF($N65&lt;=1,
IF($N65&gt;0,1/$N65,0),
IF(EU$44=2,0,VDB(1,0,$N65,INT(EU$44-2-1),MIN($N65,INT(EU$44-2-1)+1),$DC65,IF($DD65="No",1,0))/
IF(EB65&gt;=INT($N65),$N65-INT($N65),1)))*
IF(EU$44=2,0,
IF(INT(EC65)=INT(EB65),EC65-EB65,INT(EC65)-EB65))+
IF($N65&lt;=1,
IF($N65&gt;0,1/$N65,0),VDB(1,0,$N65,INT(EU$44-2),MIN($N65,INT(EU$44-2)+1),$DC65,IF($DD65="No",1,0))/
IF(EC65&gt;INT($N65),$N65-INT($N65),1))*
IF(EU$44=2,EC65,
IF(INT(EC65)=INT(EB65),0,EC65-INT(EC65)))))</f>
        <v>0</v>
      </c>
      <c r="EV65" s="836">
        <f>+IF(OR(ED65=EC65,EV$44=1),0,
IF(AND(EV$44&gt;1,ED65=$N65),1-SUM($EN65:EU65),
IF($N65&lt;=1,
IF($N65&gt;0,1/$N65,0),
IF(EV$44=2,0,VDB(1,0,$N65,INT(EV$44-2-1),MIN($N65,INT(EV$44-2-1)+1),$DC65,IF($DD65="No",1,0))/
IF(EC65&gt;=INT($N65),$N65-INT($N65),1)))*
IF(EV$44=2,0,
IF(INT(ED65)=INT(EC65),ED65-EC65,INT(ED65)-EC65))+
IF($N65&lt;=1,
IF($N65&gt;0,1/$N65,0),VDB(1,0,$N65,INT(EV$44-2),MIN($N65,INT(EV$44-2)+1),$DC65,IF($DD65="No",1,0))/
IF(ED65&gt;INT($N65),$N65-INT($N65),1))*
IF(EV$44=2,ED65,
IF(INT(ED65)=INT(EC65),0,ED65-INT(ED65)))))</f>
        <v>0</v>
      </c>
      <c r="EW65" s="833"/>
      <c r="EX65" s="834">
        <f t="shared" ca="1" si="133"/>
        <v>0</v>
      </c>
      <c r="EY65" s="835">
        <f t="shared" ca="1" si="133"/>
        <v>0</v>
      </c>
      <c r="EZ65" s="836">
        <f t="shared" ca="1" si="133"/>
        <v>0</v>
      </c>
      <c r="FA65" s="834">
        <f t="shared" ca="1" si="133"/>
        <v>0</v>
      </c>
      <c r="FB65" s="835">
        <f t="shared" ca="1" si="133"/>
        <v>0</v>
      </c>
      <c r="FC65" s="835">
        <f t="shared" ca="1" si="133"/>
        <v>0</v>
      </c>
      <c r="FD65" s="835">
        <f t="shared" ca="1" si="133"/>
        <v>0</v>
      </c>
      <c r="FE65" s="836">
        <f t="shared" ca="1" si="133"/>
        <v>0</v>
      </c>
      <c r="FG65" s="386">
        <f t="shared" ca="1" si="182"/>
        <v>0</v>
      </c>
      <c r="FH65" s="387">
        <f t="shared" ca="1" si="183"/>
        <v>0</v>
      </c>
      <c r="FI65" s="388">
        <f t="shared" ca="1" si="184"/>
        <v>0</v>
      </c>
      <c r="FJ65" s="386">
        <f t="shared" ca="1" si="185"/>
        <v>0</v>
      </c>
      <c r="FK65" s="387">
        <f t="shared" ca="1" si="186"/>
        <v>0</v>
      </c>
      <c r="FL65" s="387">
        <f t="shared" ca="1" si="187"/>
        <v>0</v>
      </c>
      <c r="FM65" s="387">
        <f t="shared" ca="1" si="188"/>
        <v>0</v>
      </c>
      <c r="FN65" s="388">
        <f t="shared" ca="1" si="189"/>
        <v>0</v>
      </c>
      <c r="FR65" s="116"/>
    </row>
    <row r="66" spans="2:174">
      <c r="B66" s="1410">
        <f t="shared" si="135"/>
        <v>20</v>
      </c>
      <c r="C66" s="400" t="s">
        <v>546</v>
      </c>
      <c r="D66" s="410"/>
      <c r="E66" s="402" t="s">
        <v>402</v>
      </c>
      <c r="F66" s="402" t="s">
        <v>520</v>
      </c>
      <c r="G66" s="400" t="s">
        <v>522</v>
      </c>
      <c r="H66" s="2088" t="s">
        <v>483</v>
      </c>
      <c r="I66" s="2089"/>
      <c r="J66" s="411" t="s">
        <v>516</v>
      </c>
      <c r="K66" s="403" t="s">
        <v>544</v>
      </c>
      <c r="L66" s="403">
        <v>35</v>
      </c>
      <c r="M66" s="403" t="s">
        <v>142</v>
      </c>
      <c r="N66" s="403"/>
      <c r="O66" s="347"/>
      <c r="P66" s="347"/>
      <c r="Q66" s="1021">
        <v>0.82536585365853665</v>
      </c>
      <c r="R66" s="1022">
        <v>0.51397977394408101</v>
      </c>
      <c r="S66" s="1022">
        <v>0.55715964655184935</v>
      </c>
      <c r="T66" s="1022">
        <v>20.039628262970581</v>
      </c>
      <c r="U66" s="1023">
        <v>21.212502902628419</v>
      </c>
      <c r="V66" s="1021">
        <v>68.595715687158147</v>
      </c>
      <c r="W66" s="1022">
        <v>35.375203135257777</v>
      </c>
      <c r="X66" s="1022">
        <v>6.6480472235860475</v>
      </c>
      <c r="Y66" s="1022">
        <v>0</v>
      </c>
      <c r="Z66" s="1023">
        <v>0</v>
      </c>
      <c r="AA66" s="1024"/>
      <c r="AB66" s="1021">
        <v>0</v>
      </c>
      <c r="AC66" s="1022">
        <v>0</v>
      </c>
      <c r="AD66" s="1022">
        <v>0</v>
      </c>
      <c r="AE66" s="1022">
        <v>0</v>
      </c>
      <c r="AF66" s="1023">
        <v>0</v>
      </c>
      <c r="AG66" s="1021">
        <v>0</v>
      </c>
      <c r="AH66" s="1022">
        <v>0</v>
      </c>
      <c r="AI66" s="1022">
        <v>0</v>
      </c>
      <c r="AJ66" s="1022">
        <v>0</v>
      </c>
      <c r="AK66" s="1023">
        <v>0</v>
      </c>
      <c r="AL66" s="1024"/>
      <c r="AM66" s="1021">
        <v>0</v>
      </c>
      <c r="AN66" s="1022">
        <v>0</v>
      </c>
      <c r="AO66" s="1022">
        <v>0</v>
      </c>
      <c r="AP66" s="1022">
        <v>0</v>
      </c>
      <c r="AQ66" s="1023">
        <v>0</v>
      </c>
      <c r="AR66" s="1021">
        <v>0</v>
      </c>
      <c r="AS66" s="1022">
        <v>0</v>
      </c>
      <c r="AT66" s="1022">
        <v>0</v>
      </c>
      <c r="AU66" s="1022">
        <v>0</v>
      </c>
      <c r="AV66" s="1023">
        <v>0</v>
      </c>
      <c r="AW66" s="1025"/>
      <c r="AX66" s="1282">
        <f t="shared" si="136"/>
        <v>0.82536585365853665</v>
      </c>
      <c r="AY66" s="387">
        <f t="shared" si="137"/>
        <v>0.51397977394408101</v>
      </c>
      <c r="AZ66" s="387">
        <f t="shared" si="138"/>
        <v>0.55715964655184935</v>
      </c>
      <c r="BA66" s="387">
        <f t="shared" si="139"/>
        <v>20.039628262970581</v>
      </c>
      <c r="BB66" s="1283">
        <f t="shared" si="140"/>
        <v>21.212502902628419</v>
      </c>
      <c r="BC66" s="386">
        <f t="shared" si="141"/>
        <v>68.595715687158147</v>
      </c>
      <c r="BD66" s="387">
        <f t="shared" si="142"/>
        <v>35.375203135257777</v>
      </c>
      <c r="BE66" s="1277">
        <f t="shared" si="143"/>
        <v>6.6480472235860475</v>
      </c>
      <c r="BF66" s="1277">
        <f t="shared" si="144"/>
        <v>0</v>
      </c>
      <c r="BG66" s="388">
        <f t="shared" si="145"/>
        <v>0</v>
      </c>
      <c r="BH66" s="1025"/>
      <c r="BI66" s="1282">
        <f t="shared" ca="1" si="146"/>
        <v>1.1790940766550524E-2</v>
      </c>
      <c r="BJ66" s="387">
        <f t="shared" ca="1" si="147"/>
        <v>3.0924449732302205E-2</v>
      </c>
      <c r="BK66" s="387">
        <f t="shared" ca="1" si="148"/>
        <v>4.6226441453672634E-2</v>
      </c>
      <c r="BL66" s="387">
        <f t="shared" ca="1" si="149"/>
        <v>0.34046626873256453</v>
      </c>
      <c r="BM66" s="1283">
        <f t="shared" ca="1" si="150"/>
        <v>0.92978242824112156</v>
      </c>
      <c r="BN66" s="386">
        <f t="shared" ca="1" si="151"/>
        <v>2.2127569795237867</v>
      </c>
      <c r="BO66" s="387">
        <f t="shared" ca="1" si="152"/>
        <v>3.6980558198440145</v>
      </c>
      <c r="BP66" s="1277">
        <f t="shared" ca="1" si="153"/>
        <v>4.2983879678274981</v>
      </c>
      <c r="BQ66" s="1277">
        <f t="shared" ca="1" si="154"/>
        <v>4.3933600710215845</v>
      </c>
      <c r="BR66" s="388">
        <f t="shared" ca="1" si="155"/>
        <v>4.3933600710215845</v>
      </c>
      <c r="BS66" s="1025"/>
      <c r="BT66" s="1282">
        <f>+IF($K66="Ongoing",AX66,IF(RIGHT($K66,2)=RIGHT(BT$43,2),SUM($AX66:AX66),0)+IF(RIGHT(BT$43,2)&gt;RIGHT($K66,2),AX66,0))</f>
        <v>0.82536585365853665</v>
      </c>
      <c r="BU66" s="387">
        <f>+IF($K66="Ongoing",AY66,IF(RIGHT($K66,2)=RIGHT(BU$43,2),SUM($AX66:AY66),0)+IF(RIGHT(BU$43,2)&gt;RIGHT($K66,2),AY66,0))</f>
        <v>0.51397977394408101</v>
      </c>
      <c r="BV66" s="387">
        <f>+IF($K66="Ongoing",AZ66,IF(RIGHT($K66,2)=RIGHT(BV$43,2),SUM($AX66:AZ66),0)+IF(RIGHT(BV$43,2)&gt;RIGHT($K66,2),AZ66,0))</f>
        <v>0.55715964655184935</v>
      </c>
      <c r="BW66" s="387">
        <f>+IF($K66="Ongoing",BA66,IF(RIGHT($K66,2)=RIGHT(BW$43,2),SUM($AX66:BA66),0)+IF(RIGHT(BW$43,2)&gt;RIGHT($K66,2),BA66,0))</f>
        <v>20.039628262970581</v>
      </c>
      <c r="BX66" s="1283">
        <f>+IF($K66="Ongoing",BB66,IF(RIGHT($K66,2)=RIGHT(BX$43,2),SUM($AX66:BB66),0)+IF(RIGHT(BX$43,2)&gt;RIGHT($K66,2),BB66,0))</f>
        <v>21.212502902628419</v>
      </c>
      <c r="BY66" s="386">
        <f>+IF($K66="Ongoing",BC66,IF(RIGHT($K66,2)=RIGHT(BY$43,2),SUM($AX66:BC66),0)+IF(RIGHT(BY$43,2)&gt;RIGHT($K66,2),BC66,0))</f>
        <v>68.595715687158147</v>
      </c>
      <c r="BZ66" s="387">
        <f>+IF($K66="Ongoing",BD66,IF(RIGHT($K66,2)=RIGHT(BZ$43,2),SUM($AX66:BD66),0)+IF(RIGHT(BZ$43,2)&gt;RIGHT($K66,2),BD66,0))</f>
        <v>35.375203135257777</v>
      </c>
      <c r="CA66" s="1277">
        <f>+IF($K66="Ongoing",BE66,IF(RIGHT($K66,2)=RIGHT(CA$43,2),SUM($AX66:BE66),0)+IF(RIGHT(CA$43,2)&gt;RIGHT($K66,2),BE66,0))</f>
        <v>6.6480472235860475</v>
      </c>
      <c r="CB66" s="1277">
        <f>+IF($K66="Ongoing",BF66,IF(RIGHT($K66,2)=RIGHT(CB$43,2),SUM($AX66:BF66),0)+IF(RIGHT(CB$43,2)&gt;RIGHT($K66,2),BF66,0))</f>
        <v>0</v>
      </c>
      <c r="CC66" s="388">
        <f>+IF($K66="Ongoing",BG66,IF(RIGHT($K66,2)=RIGHT(CC$43,2),SUM($AX66:BG66),0)+IF(RIGHT(CC$43,2)&gt;RIGHT($K66,2),BG66,0))</f>
        <v>0</v>
      </c>
      <c r="CD66" s="1025"/>
      <c r="CE66" s="1282">
        <f>+Q66*KeyAssumptionsPriceControl_FO!AF$15</f>
        <v>0.84930146341463419</v>
      </c>
      <c r="CF66" s="387">
        <f>+R66*KeyAssumptionsPriceControl_FO!AG$15</f>
        <v>0.54422285782272461</v>
      </c>
      <c r="CG66" s="387">
        <f>+S66*KeyAssumptionsPriceControl_FO!AH$15</f>
        <v>0.60705183815673025</v>
      </c>
      <c r="CH66" s="387">
        <f>+T66*KeyAssumptionsPriceControl_FO!AI$15</f>
        <v>22.467314265313252</v>
      </c>
      <c r="CI66" s="1283">
        <f>+U66*KeyAssumptionsPriceControl_FO!AJ$15</f>
        <v>24.471961941347693</v>
      </c>
      <c r="CJ66" s="386">
        <f>+V66*KeyAssumptionsPriceControl_FO!AK$15</f>
        <v>81.430901017674827</v>
      </c>
      <c r="CK66" s="387">
        <f>+W66*KeyAssumptionsPriceControl_FO!AL$15</f>
        <v>43.212218730839382</v>
      </c>
      <c r="CL66" s="1277">
        <f>+X66*KeyAssumptionsPriceControl_FO!AM$15</f>
        <v>8.3563590823856231</v>
      </c>
      <c r="CM66" s="1277">
        <f>+Y66*KeyAssumptionsPriceControl_FO!AN$15</f>
        <v>0</v>
      </c>
      <c r="CN66" s="388">
        <f>+Z66*KeyAssumptionsPriceControl_FO!AO$15</f>
        <v>0</v>
      </c>
      <c r="CO66" s="1025"/>
      <c r="CP66" s="1282">
        <f t="shared" ca="1" si="156"/>
        <v>0</v>
      </c>
      <c r="CQ66" s="387">
        <f t="shared" ca="1" si="157"/>
        <v>0</v>
      </c>
      <c r="CR66" s="387">
        <f t="shared" ca="1" si="158"/>
        <v>0</v>
      </c>
      <c r="CS66" s="387">
        <f t="shared" ca="1" si="159"/>
        <v>0</v>
      </c>
      <c r="CT66" s="1283">
        <f t="shared" ca="1" si="160"/>
        <v>0</v>
      </c>
      <c r="CU66" s="386">
        <f t="shared" ca="1" si="161"/>
        <v>0</v>
      </c>
      <c r="CV66" s="387">
        <f t="shared" ca="1" si="162"/>
        <v>0</v>
      </c>
      <c r="CW66" s="1277">
        <f t="shared" ca="1" si="163"/>
        <v>0</v>
      </c>
      <c r="CX66" s="1277">
        <f t="shared" ca="1" si="164"/>
        <v>0</v>
      </c>
      <c r="CY66" s="388">
        <f t="shared" ca="1" si="165"/>
        <v>0</v>
      </c>
      <c r="CZ66" s="347"/>
      <c r="DA66" s="852"/>
      <c r="DB66" s="347"/>
      <c r="DC66" s="1012" t="s">
        <v>536</v>
      </c>
      <c r="DD66" s="841" t="s">
        <v>518</v>
      </c>
      <c r="DE66" s="386">
        <f>+IF($K66="ongoing",CE66,IF(RIGHT($K66,2)=RIGHT(DE$43,2),SUM($CD66:CE66),0)+IF(RIGHT(DE$43,2)&gt;RIGHT($K66,2),CE66,0))</f>
        <v>0.84930146341463419</v>
      </c>
      <c r="DF66" s="387">
        <f>+IF($K66="ongoing",CF66,IF(RIGHT($K66,2)=RIGHT(DF$43,2),SUM($CD66:CF66),0)+IF(RIGHT(DF$43,2)&gt;RIGHT($K66,2),CF66,0))</f>
        <v>0.54422285782272461</v>
      </c>
      <c r="DG66" s="388">
        <f>+IF($K66="ongoing",CG66,IF(RIGHT($K66,2)=RIGHT(DG$43,2),SUM($CD66:CG66),0)+IF(RIGHT(DG$43,2)&gt;RIGHT($K66,2),CG66,0))</f>
        <v>0.60705183815673025</v>
      </c>
      <c r="DH66" s="386">
        <f>+IF($K66="ongoing",CH66,IF(RIGHT($K66,2)=RIGHT(DH$43,2),SUM($CD66:CH66),0)+IF(RIGHT(DH$43,2)&gt;RIGHT($K66,2),CH66,0))</f>
        <v>22.467314265313252</v>
      </c>
      <c r="DI66" s="387">
        <f>+IF($K66="ongoing",CI66,IF(RIGHT($K66,2)=RIGHT(DI$43,2),SUM($CD66:CI66),0)+IF(RIGHT(DI$43,2)&gt;RIGHT($K66,2),CI66,0))</f>
        <v>24.471961941347693</v>
      </c>
      <c r="DJ66" s="387">
        <f>+IF($K66="ongoing",CJ66,IF(RIGHT($K66,2)=RIGHT(DJ$43,2),SUM($CD66:CJ66),0)+IF(RIGHT(DJ$43,2)&gt;RIGHT($K66,2),CJ66,0))</f>
        <v>81.430901017674827</v>
      </c>
      <c r="DK66" s="387">
        <f>+IF($K66="ongoing",CK66,IF(RIGHT($K66,2)=RIGHT(DK$43,2),SUM($CD66:CK66),0)+IF(RIGHT(DK$43,2)&gt;RIGHT($K66,2),CK66,0))</f>
        <v>43.212218730839382</v>
      </c>
      <c r="DL66" s="388">
        <f>+IF($K66="ongoing",CN66,IF(RIGHT($K66,2)=RIGHT(DL$43,2),SUM($CD66:CN66),0)+IF(RIGHT(DL$43,2)&gt;RIGHT($K66,2),CN66,0))</f>
        <v>0</v>
      </c>
      <c r="DM66" s="841"/>
      <c r="DN66" s="386">
        <f t="shared" si="166"/>
        <v>0.5</v>
      </c>
      <c r="DO66" s="387">
        <f t="shared" si="167"/>
        <v>1</v>
      </c>
      <c r="DP66" s="388">
        <f t="shared" si="168"/>
        <v>1</v>
      </c>
      <c r="DQ66" s="386">
        <f t="shared" si="169"/>
        <v>1</v>
      </c>
      <c r="DR66" s="387">
        <f t="shared" si="170"/>
        <v>1</v>
      </c>
      <c r="DS66" s="387">
        <f t="shared" si="171"/>
        <v>1</v>
      </c>
      <c r="DT66" s="387">
        <f t="shared" si="172"/>
        <v>1</v>
      </c>
      <c r="DU66" s="388">
        <f t="shared" si="173"/>
        <v>1</v>
      </c>
      <c r="DW66" s="386">
        <f t="shared" si="174"/>
        <v>0</v>
      </c>
      <c r="DX66" s="387">
        <f t="shared" si="175"/>
        <v>0.5</v>
      </c>
      <c r="DY66" s="388">
        <f t="shared" si="176"/>
        <v>1</v>
      </c>
      <c r="DZ66" s="386">
        <f t="shared" si="177"/>
        <v>1</v>
      </c>
      <c r="EA66" s="387">
        <f t="shared" si="178"/>
        <v>1</v>
      </c>
      <c r="EB66" s="387">
        <f t="shared" si="179"/>
        <v>1</v>
      </c>
      <c r="EC66" s="387">
        <f t="shared" si="180"/>
        <v>1</v>
      </c>
      <c r="ED66" s="388">
        <f t="shared" si="181"/>
        <v>1</v>
      </c>
      <c r="EF66" s="834">
        <f>+IF(DN66=DM66,0,
IF(AND(EF$44&gt;1,DN66=$N66),1-SUM($EE66:EE66),
IF($N66&lt;=1,
IF($N66&gt;0,1/$N66,0),
IF(EF$44=1,0,VDB(1,0,$N66,INT(EF$44-1-1),MIN($N66,INT(EF$44-1-1)+1),$DC66,IF($DD66="No",1,0))/
IF(DM66&gt;=INT($N66),$N66-INT($N66),1)))*
IF(EF$44=1,0,
IF(INT(DN66)=INT(DM66),DN66-DM66,INT(DN66)-DM66))+
IF($N66&lt;=1,
IF($N66&gt;0,1/$N66,0),VDB(1,0,$N66,INT(EF$44-1),MIN($N66,INT(EF$44-1)+1),$DC66,IF($DD66="No",1,0))/
IF(DN66&gt;INT($N66),$N66-INT($N66),1))*
IF(EF$44=1,DN66,
IF(INT(DN66)=INT(DM66),0,DN66-INT(DN66)))))</f>
        <v>0</v>
      </c>
      <c r="EG66" s="835">
        <f>+IF(DO66=DN66,0,
IF(AND(EG$44&gt;1,DO66=$N66),1-SUM($EE66:EF66),
IF($N66&lt;=1,
IF($N66&gt;0,1/$N66,0),
IF(EG$44=1,0,VDB(1,0,$N66,INT(EG$44-1-1),MIN($N66,INT(EG$44-1-1)+1),$DC66,IF($DD66="No",1,0))/
IF(DN66&gt;=INT($N66),$N66-INT($N66),1)))*
IF(EG$44=1,0,
IF(INT(DO66)=INT(DN66),DO66-DN66,INT(DO66)-DN66))+
IF($N66&lt;=1,
IF($N66&gt;0,1/$N66,0),VDB(1,0,$N66,INT(EG$44-1),MIN($N66,INT(EG$44-1)+1),$DC66,IF($DD66="No",1,0))/
IF(DO66&gt;INT($N66),$N66-INT($N66),1))*
IF(EG$44=1,DO66,
IF(INT(DO66)=INT(DN66),0,DO66-INT(DO66)))))</f>
        <v>0</v>
      </c>
      <c r="EH66" s="836">
        <f>+IF(DP66=DO66,0,
IF(AND(EH$44&gt;1,DP66=$N66),1-SUM($EE66:EG66),
IF($N66&lt;=1,
IF($N66&gt;0,1/$N66,0),
IF(EH$44=1,0,VDB(1,0,$N66,INT(EH$44-1-1),MIN($N66,INT(EH$44-1-1)+1),$DC66,IF($DD66="No",1,0))/
IF(DO66&gt;=INT($N66),$N66-INT($N66),1)))*
IF(EH$44=1,0,
IF(INT(DP66)=INT(DO66),DP66-DO66,INT(DP66)-DO66))+
IF($N66&lt;=1,
IF($N66&gt;0,1/$N66,0),VDB(1,0,$N66,INT(EH$44-1),MIN($N66,INT(EH$44-1)+1),$DC66,IF($DD66="No",1,0))/
IF(DP66&gt;INT($N66),$N66-INT($N66),1))*
IF(EH$44=1,DP66,
IF(INT(DP66)=INT(DO66),0,DP66-INT(DP66)))))</f>
        <v>0</v>
      </c>
      <c r="EI66" s="834">
        <f>+IF(DQ66=DP66,0,
IF(AND(EI$44&gt;1,DQ66=$N66),1-SUM($EE66:EH66),
IF($N66&lt;=1,
IF($N66&gt;0,1/$N66,0),
IF(EI$44=1,0,VDB(1,0,$N66,INT(EI$44-1-1),MIN($N66,INT(EI$44-1-1)+1),$DC66,IF($DD66="No",1,0))/
IF(DP66&gt;=INT($N66),$N66-INT($N66),1)))*
IF(EI$44=1,0,
IF(INT(DQ66)=INT(DP66),DQ66-DP66,INT(DQ66)-DP66))+
IF($N66&lt;=1,
IF($N66&gt;0,1/$N66,0),VDB(1,0,$N66,INT(EI$44-1),MIN($N66,INT(EI$44-1)+1),$DC66,IF($DD66="No",1,0))/
IF(DQ66&gt;INT($N66),$N66-INT($N66),1))*
IF(EI$44=1,DQ66,
IF(INT(DQ66)=INT(DP66),0,DQ66-INT(DQ66)))))</f>
        <v>0</v>
      </c>
      <c r="EJ66" s="835">
        <f>+IF(DR66=DQ66,0,
IF(AND(EJ$44&gt;1,DR66=$N66),1-SUM($EE66:EI66),
IF($N66&lt;=1,
IF($N66&gt;0,1/$N66,0),
IF(EJ$44=1,0,VDB(1,0,$N66,INT(EJ$44-1-1),MIN($N66,INT(EJ$44-1-1)+1),$DC66,IF($DD66="No",1,0))/
IF(DQ66&gt;=INT($N66),$N66-INT($N66),1)))*
IF(EJ$44=1,0,
IF(INT(DR66)=INT(DQ66),DR66-DQ66,INT(DR66)-DQ66))+
IF($N66&lt;=1,
IF($N66&gt;0,1/$N66,0),VDB(1,0,$N66,INT(EJ$44-1),MIN($N66,INT(EJ$44-1)+1),$DC66,IF($DD66="No",1,0))/
IF(DR66&gt;INT($N66),$N66-INT($N66),1))*
IF(EJ$44=1,DR66,
IF(INT(DR66)=INT(DQ66),0,DR66-INT(DR66)))))</f>
        <v>0</v>
      </c>
      <c r="EK66" s="835">
        <f>+IF(DS66=DR66,0,
IF(AND(EK$44&gt;1,DS66=$N66),1-SUM($EE66:EJ66),
IF($N66&lt;=1,
IF($N66&gt;0,1/$N66,0),
IF(EK$44=1,0,VDB(1,0,$N66,INT(EK$44-1-1),MIN($N66,INT(EK$44-1-1)+1),$DC66,IF($DD66="No",1,0))/
IF(DR66&gt;=INT($N66),$N66-INT($N66),1)))*
IF(EK$44=1,0,
IF(INT(DS66)=INT(DR66),DS66-DR66,INT(DS66)-DR66))+
IF($N66&lt;=1,
IF($N66&gt;0,1/$N66,0),VDB(1,0,$N66,INT(EK$44-1),MIN($N66,INT(EK$44-1)+1),$DC66,IF($DD66="No",1,0))/
IF(DS66&gt;INT($N66),$N66-INT($N66),1))*
IF(EK$44=1,DS66,
IF(INT(DS66)=INT(DR66),0,DS66-INT(DS66)))))</f>
        <v>0</v>
      </c>
      <c r="EL66" s="835">
        <f>+IF(DT66=DS66,0,
IF(AND(EL$44&gt;1,DT66=$N66),1-SUM($EE66:EK66),
IF($N66&lt;=1,
IF($N66&gt;0,1/$N66,0),
IF(EL$44=1,0,VDB(1,0,$N66,INT(EL$44-1-1),MIN($N66,INT(EL$44-1-1)+1),$DC66,IF($DD66="No",1,0))/
IF(DS66&gt;=INT($N66),$N66-INT($N66),1)))*
IF(EL$44=1,0,
IF(INT(DT66)=INT(DS66),DT66-DS66,INT(DT66)-DS66))+
IF($N66&lt;=1,
IF($N66&gt;0,1/$N66,0),VDB(1,0,$N66,INT(EL$44-1),MIN($N66,INT(EL$44-1)+1),$DC66,IF($DD66="No",1,0))/
IF(DT66&gt;INT($N66),$N66-INT($N66),1))*
IF(EL$44=1,DT66,
IF(INT(DT66)=INT(DS66),0,DT66-INT(DT66)))))</f>
        <v>0</v>
      </c>
      <c r="EM66" s="836">
        <f>+IF(DU66=DT66,0,
IF(AND(EM$44&gt;1,DU66=$N66),1-SUM($EE66:EL66),
IF($N66&lt;=1,
IF($N66&gt;0,1/$N66,0),
IF(EM$44=1,0,VDB(1,0,$N66,INT(EM$44-1-1),MIN($N66,INT(EM$44-1-1)+1),$DC66,IF($DD66="No",1,0))/
IF(DT66&gt;=INT($N66),$N66-INT($N66),1)))*
IF(EM$44=1,0,
IF(INT(DU66)=INT(DT66),DU66-DT66,INT(DU66)-DT66))+
IF($N66&lt;=1,
IF($N66&gt;0,1/$N66,0),VDB(1,0,$N66,INT(EM$44-1),MIN($N66,INT(EM$44-1)+1),$DC66,IF($DD66="No",1,0))/
IF(DU66&gt;INT($N66),$N66-INT($N66),1))*
IF(EM$44=1,DU66,
IF(INT(DU66)=INT(DT66),0,DU66-INT(DU66)))))</f>
        <v>0</v>
      </c>
      <c r="EN66" s="833"/>
      <c r="EO66" s="834">
        <f>+IF(OR(DW66=DV66,EO$44=1),0,
IF(AND(EO$44&gt;1,DW66=$N66),1-SUM($EN66:EN66),
IF($N66&lt;=1,
IF($N66&gt;0,1/$N66,0),
IF(EO$44=2,0,VDB(1,0,$N66,INT(EO$44-2-1),MIN($N66,INT(EO$44-2-1)+1),$DC66,IF($DD66="No",1,0))/
IF(DV66&gt;=INT($N66),$N66-INT($N66),1)))*
IF(EO$44=2,0,
IF(INT(DW66)=INT(DV66),DW66-DV66,INT(DW66)-DV66))+
IF($N66&lt;=1,
IF($N66&gt;0,1/$N66,0),VDB(1,0,$N66,INT(EO$44-2),MIN($N66,INT(EO$44-2)+1),$DC66,IF($DD66="No",1,0))/
IF(DW66&gt;INT($N66),$N66-INT($N66),1))*
IF(EO$44=2,DW66,
IF(INT(DW66)=INT(DV66),0,DW66-INT(DW66)))))</f>
        <v>0</v>
      </c>
      <c r="EP66" s="835">
        <f>+IF(OR(DX66=DW66,EP$44=1),0,
IF(AND(EP$44&gt;1,DX66=$N66),1-SUM($EN66:EO66),
IF($N66&lt;=1,
IF($N66&gt;0,1/$N66,0),
IF(EP$44=2,0,VDB(1,0,$N66,INT(EP$44-2-1),MIN($N66,INT(EP$44-2-1)+1),$DC66,IF($DD66="No",1,0))/
IF(DW66&gt;=INT($N66),$N66-INT($N66),1)))*
IF(EP$44=2,0,
IF(INT(DX66)=INT(DW66),DX66-DW66,INT(DX66)-DW66))+
IF($N66&lt;=1,
IF($N66&gt;0,1/$N66,0),VDB(1,0,$N66,INT(EP$44-2),MIN($N66,INT(EP$44-2)+1),$DC66,IF($DD66="No",1,0))/
IF(DX66&gt;INT($N66),$N66-INT($N66),1))*
IF(EP$44=2,DX66,
IF(INT(DX66)=INT(DW66),0,DX66-INT(DX66)))))</f>
        <v>0</v>
      </c>
      <c r="EQ66" s="836">
        <f>+IF(OR(DY66=DX66,EQ$44=1),0,
IF(AND(EQ$44&gt;1,DY66=$N66),1-SUM($EN66:EP66),
IF($N66&lt;=1,
IF($N66&gt;0,1/$N66,0),
IF(EQ$44=2,0,VDB(1,0,$N66,INT(EQ$44-2-1),MIN($N66,INT(EQ$44-2-1)+1),$DC66,IF($DD66="No",1,0))/
IF(DX66&gt;=INT($N66),$N66-INT($N66),1)))*
IF(EQ$44=2,0,
IF(INT(DY66)=INT(DX66),DY66-DX66,INT(DY66)-DX66))+
IF($N66&lt;=1,
IF($N66&gt;0,1/$N66,0),VDB(1,0,$N66,INT(EQ$44-2),MIN($N66,INT(EQ$44-2)+1),$DC66,IF($DD66="No",1,0))/
IF(DY66&gt;INT($N66),$N66-INT($N66),1))*
IF(EQ$44=2,DY66,
IF(INT(DY66)=INT(DX66),0,DY66-INT(DY66)))))</f>
        <v>0</v>
      </c>
      <c r="ER66" s="834">
        <f>+IF(OR(DZ66=DY66,ER$44=1),0,
IF(AND(ER$44&gt;1,DZ66=$N66),1-SUM($EN66:EQ66),
IF($N66&lt;=1,
IF($N66&gt;0,1/$N66,0),
IF(ER$44=2,0,VDB(1,0,$N66,INT(ER$44-2-1),MIN($N66,INT(ER$44-2-1)+1),$DC66,IF($DD66="No",1,0))/
IF(DY66&gt;=INT($N66),$N66-INT($N66),1)))*
IF(ER$44=2,0,
IF(INT(DZ66)=INT(DY66),DZ66-DY66,INT(DZ66)-DY66))+
IF($N66&lt;=1,
IF($N66&gt;0,1/$N66,0),VDB(1,0,$N66,INT(ER$44-2),MIN($N66,INT(ER$44-2)+1),$DC66,IF($DD66="No",1,0))/
IF(DZ66&gt;INT($N66),$N66-INT($N66),1))*
IF(ER$44=2,DZ66,
IF(INT(DZ66)=INT(DY66),0,DZ66-INT(DZ66)))))</f>
        <v>0</v>
      </c>
      <c r="ES66" s="835">
        <f>+IF(OR(EA66=DZ66,ES$44=1),0,
IF(AND(ES$44&gt;1,EA66=$N66),1-SUM($EN66:ER66),
IF($N66&lt;=1,
IF($N66&gt;0,1/$N66,0),
IF(ES$44=2,0,VDB(1,0,$N66,INT(ES$44-2-1),MIN($N66,INT(ES$44-2-1)+1),$DC66,IF($DD66="No",1,0))/
IF(DZ66&gt;=INT($N66),$N66-INT($N66),1)))*
IF(ES$44=2,0,
IF(INT(EA66)=INT(DZ66),EA66-DZ66,INT(EA66)-DZ66))+
IF($N66&lt;=1,
IF($N66&gt;0,1/$N66,0),VDB(1,0,$N66,INT(ES$44-2),MIN($N66,INT(ES$44-2)+1),$DC66,IF($DD66="No",1,0))/
IF(EA66&gt;INT($N66),$N66-INT($N66),1))*
IF(ES$44=2,EA66,
IF(INT(EA66)=INT(DZ66),0,EA66-INT(EA66)))))</f>
        <v>0</v>
      </c>
      <c r="ET66" s="835">
        <f>+IF(OR(EB66=EA66,ET$44=1),0,
IF(AND(ET$44&gt;1,EB66=$N66),1-SUM($EN66:ES66),
IF($N66&lt;=1,
IF($N66&gt;0,1/$N66,0),
IF(ET$44=2,0,VDB(1,0,$N66,INT(ET$44-2-1),MIN($N66,INT(ET$44-2-1)+1),$DC66,IF($DD66="No",1,0))/
IF(EA66&gt;=INT($N66),$N66-INT($N66),1)))*
IF(ET$44=2,0,
IF(INT(EB66)=INT(EA66),EB66-EA66,INT(EB66)-EA66))+
IF($N66&lt;=1,
IF($N66&gt;0,1/$N66,0),VDB(1,0,$N66,INT(ET$44-2),MIN($N66,INT(ET$44-2)+1),$DC66,IF($DD66="No",1,0))/
IF(EB66&gt;INT($N66),$N66-INT($N66),1))*
IF(ET$44=2,EB66,
IF(INT(EB66)=INT(EA66),0,EB66-INT(EB66)))))</f>
        <v>0</v>
      </c>
      <c r="EU66" s="835">
        <f>+IF(OR(EC66=EB66,EU$44=1),0,
IF(AND(EU$44&gt;1,EC66=$N66),1-SUM($EN66:ET66),
IF($N66&lt;=1,
IF($N66&gt;0,1/$N66,0),
IF(EU$44=2,0,VDB(1,0,$N66,INT(EU$44-2-1),MIN($N66,INT(EU$44-2-1)+1),$DC66,IF($DD66="No",1,0))/
IF(EB66&gt;=INT($N66),$N66-INT($N66),1)))*
IF(EU$44=2,0,
IF(INT(EC66)=INT(EB66),EC66-EB66,INT(EC66)-EB66))+
IF($N66&lt;=1,
IF($N66&gt;0,1/$N66,0),VDB(1,0,$N66,INT(EU$44-2),MIN($N66,INT(EU$44-2)+1),$DC66,IF($DD66="No",1,0))/
IF(EC66&gt;INT($N66),$N66-INT($N66),1))*
IF(EU$44=2,EC66,
IF(INT(EC66)=INT(EB66),0,EC66-INT(EC66)))))</f>
        <v>0</v>
      </c>
      <c r="EV66" s="836">
        <f>+IF(OR(ED66=EC66,EV$44=1),0,
IF(AND(EV$44&gt;1,ED66=$N66),1-SUM($EN66:EU66),
IF($N66&lt;=1,
IF($N66&gt;0,1/$N66,0),
IF(EV$44=2,0,VDB(1,0,$N66,INT(EV$44-2-1),MIN($N66,INT(EV$44-2-1)+1),$DC66,IF($DD66="No",1,0))/
IF(EC66&gt;=INT($N66),$N66-INT($N66),1)))*
IF(EV$44=2,0,
IF(INT(ED66)=INT(EC66),ED66-EC66,INT(ED66)-EC66))+
IF($N66&lt;=1,
IF($N66&gt;0,1/$N66,0),VDB(1,0,$N66,INT(EV$44-2),MIN($N66,INT(EV$44-2)+1),$DC66,IF($DD66="No",1,0))/
IF(ED66&gt;INT($N66),$N66-INT($N66),1))*
IF(EV$44=2,ED66,
IF(INT(ED66)=INT(EC66),0,ED66-INT(ED66)))))</f>
        <v>0</v>
      </c>
      <c r="EW66" s="833"/>
      <c r="EX66" s="834">
        <f t="shared" ca="1" si="133"/>
        <v>0</v>
      </c>
      <c r="EY66" s="835">
        <f t="shared" ca="1" si="133"/>
        <v>0</v>
      </c>
      <c r="EZ66" s="836">
        <f t="shared" ca="1" si="133"/>
        <v>0</v>
      </c>
      <c r="FA66" s="834">
        <f t="shared" ca="1" si="133"/>
        <v>0</v>
      </c>
      <c r="FB66" s="835">
        <f t="shared" ca="1" si="133"/>
        <v>0</v>
      </c>
      <c r="FC66" s="835">
        <f t="shared" ca="1" si="133"/>
        <v>0</v>
      </c>
      <c r="FD66" s="835">
        <f t="shared" ca="1" si="133"/>
        <v>0</v>
      </c>
      <c r="FE66" s="836">
        <f t="shared" ca="1" si="133"/>
        <v>0</v>
      </c>
      <c r="FG66" s="386">
        <f t="shared" ca="1" si="182"/>
        <v>0</v>
      </c>
      <c r="FH66" s="387">
        <f t="shared" ca="1" si="183"/>
        <v>0</v>
      </c>
      <c r="FI66" s="388">
        <f t="shared" ca="1" si="184"/>
        <v>0</v>
      </c>
      <c r="FJ66" s="386">
        <f t="shared" ca="1" si="185"/>
        <v>0</v>
      </c>
      <c r="FK66" s="387">
        <f t="shared" ca="1" si="186"/>
        <v>0</v>
      </c>
      <c r="FL66" s="387">
        <f t="shared" ca="1" si="187"/>
        <v>0</v>
      </c>
      <c r="FM66" s="387">
        <f t="shared" ca="1" si="188"/>
        <v>0</v>
      </c>
      <c r="FN66" s="388">
        <f t="shared" ca="1" si="189"/>
        <v>0</v>
      </c>
      <c r="FR66" s="116"/>
    </row>
    <row r="67" spans="2:174">
      <c r="B67" s="1410">
        <f t="shared" si="135"/>
        <v>21</v>
      </c>
      <c r="C67" s="400" t="s">
        <v>546</v>
      </c>
      <c r="D67" s="410"/>
      <c r="E67" s="402" t="s">
        <v>402</v>
      </c>
      <c r="F67" s="402" t="s">
        <v>514</v>
      </c>
      <c r="G67" s="400" t="s">
        <v>522</v>
      </c>
      <c r="H67" s="2088" t="s">
        <v>483</v>
      </c>
      <c r="I67" s="2089"/>
      <c r="J67" s="411" t="s">
        <v>516</v>
      </c>
      <c r="K67" s="403" t="s">
        <v>544</v>
      </c>
      <c r="L67" s="403">
        <v>35</v>
      </c>
      <c r="M67" s="403" t="s">
        <v>142</v>
      </c>
      <c r="N67" s="403"/>
      <c r="O67" s="347"/>
      <c r="P67" s="347"/>
      <c r="Q67" s="1021">
        <v>0.11394731707317074</v>
      </c>
      <c r="R67" s="1022">
        <v>0.11116811421772756</v>
      </c>
      <c r="S67" s="1022">
        <v>0.10845669679778301</v>
      </c>
      <c r="T67" s="1022">
        <v>0.10581141151003219</v>
      </c>
      <c r="U67" s="1023">
        <v>0.10324832246139337</v>
      </c>
      <c r="V67" s="1021">
        <v>2.4827629740599644</v>
      </c>
      <c r="W67" s="1022">
        <v>2.4222077795706967</v>
      </c>
      <c r="X67" s="1022">
        <v>2.3631295492520481</v>
      </c>
      <c r="Y67" s="1022">
        <v>2.3054922431727305</v>
      </c>
      <c r="Z67" s="1023">
        <v>2.2492607250465659</v>
      </c>
      <c r="AA67" s="1024"/>
      <c r="AB67" s="1021">
        <v>0</v>
      </c>
      <c r="AC67" s="1022">
        <v>0</v>
      </c>
      <c r="AD67" s="1022">
        <v>0</v>
      </c>
      <c r="AE67" s="1022">
        <v>0</v>
      </c>
      <c r="AF67" s="1023">
        <v>0</v>
      </c>
      <c r="AG67" s="1021">
        <v>0</v>
      </c>
      <c r="AH67" s="1022">
        <v>0</v>
      </c>
      <c r="AI67" s="1022">
        <v>0</v>
      </c>
      <c r="AJ67" s="1022">
        <v>0</v>
      </c>
      <c r="AK67" s="1023">
        <v>0</v>
      </c>
      <c r="AL67" s="1024"/>
      <c r="AM67" s="1021">
        <v>0</v>
      </c>
      <c r="AN67" s="1022">
        <v>0</v>
      </c>
      <c r="AO67" s="1022">
        <v>0</v>
      </c>
      <c r="AP67" s="1022">
        <v>0</v>
      </c>
      <c r="AQ67" s="1023">
        <v>0</v>
      </c>
      <c r="AR67" s="1021">
        <v>0</v>
      </c>
      <c r="AS67" s="1022">
        <v>0</v>
      </c>
      <c r="AT67" s="1022">
        <v>0</v>
      </c>
      <c r="AU67" s="1022">
        <v>0</v>
      </c>
      <c r="AV67" s="1023">
        <v>0</v>
      </c>
      <c r="AW67" s="1025"/>
      <c r="AX67" s="1282">
        <f t="shared" si="136"/>
        <v>0.11394731707317074</v>
      </c>
      <c r="AY67" s="387">
        <f t="shared" si="137"/>
        <v>0.11116811421772756</v>
      </c>
      <c r="AZ67" s="387">
        <f t="shared" si="138"/>
        <v>0.10845669679778301</v>
      </c>
      <c r="BA67" s="387">
        <f t="shared" si="139"/>
        <v>0.10581141151003219</v>
      </c>
      <c r="BB67" s="1283">
        <f t="shared" si="140"/>
        <v>0.10324832246139337</v>
      </c>
      <c r="BC67" s="386">
        <f t="shared" si="141"/>
        <v>2.4827629740599644</v>
      </c>
      <c r="BD67" s="387">
        <f t="shared" si="142"/>
        <v>2.4222077795706967</v>
      </c>
      <c r="BE67" s="1277">
        <f t="shared" si="143"/>
        <v>2.3631295492520481</v>
      </c>
      <c r="BF67" s="1277">
        <f t="shared" si="144"/>
        <v>2.3054922431727305</v>
      </c>
      <c r="BG67" s="388">
        <f t="shared" si="145"/>
        <v>2.2492607250465659</v>
      </c>
      <c r="BH67" s="1025"/>
      <c r="BI67" s="1282">
        <f t="shared" ca="1" si="146"/>
        <v>1.6278188153310107E-3</v>
      </c>
      <c r="BJ67" s="387">
        <f t="shared" ca="1" si="147"/>
        <v>4.8437535480581294E-3</v>
      </c>
      <c r="BK67" s="387">
        <f t="shared" ca="1" si="148"/>
        <v>7.9812508482797091E-3</v>
      </c>
      <c r="BL67" s="387">
        <f t="shared" ca="1" si="149"/>
        <v>1.104222382410564E-2</v>
      </c>
      <c r="BM67" s="1283">
        <f t="shared" ca="1" si="150"/>
        <v>1.4028791452268864E-2</v>
      </c>
      <c r="BN67" s="386">
        <f t="shared" ca="1" si="151"/>
        <v>5.0971809974002545E-2</v>
      </c>
      <c r="BO67" s="387">
        <f t="shared" ca="1" si="152"/>
        <v>0.12104282074015485</v>
      </c>
      <c r="BP67" s="1277">
        <f t="shared" ca="1" si="153"/>
        <v>0.18940478258047977</v>
      </c>
      <c r="BQ67" s="1277">
        <f t="shared" ca="1" si="154"/>
        <v>0.25609937961511942</v>
      </c>
      <c r="BR67" s="388">
        <f t="shared" ca="1" si="155"/>
        <v>0.32116727916110938</v>
      </c>
      <c r="BS67" s="1025"/>
      <c r="BT67" s="1282">
        <f>+IF($K67="Ongoing",AX67,IF(RIGHT($K67,2)=RIGHT(BT$43,2),SUM($AX67:AX67),0)+IF(RIGHT(BT$43,2)&gt;RIGHT($K67,2),AX67,0))</f>
        <v>0.11394731707317074</v>
      </c>
      <c r="BU67" s="387">
        <f>+IF($K67="Ongoing",AY67,IF(RIGHT($K67,2)=RIGHT(BU$43,2),SUM($AX67:AY67),0)+IF(RIGHT(BU$43,2)&gt;RIGHT($K67,2),AY67,0))</f>
        <v>0.11116811421772756</v>
      </c>
      <c r="BV67" s="387">
        <f>+IF($K67="Ongoing",AZ67,IF(RIGHT($K67,2)=RIGHT(BV$43,2),SUM($AX67:AZ67),0)+IF(RIGHT(BV$43,2)&gt;RIGHT($K67,2),AZ67,0))</f>
        <v>0.10845669679778301</v>
      </c>
      <c r="BW67" s="387">
        <f>+IF($K67="Ongoing",BA67,IF(RIGHT($K67,2)=RIGHT(BW$43,2),SUM($AX67:BA67),0)+IF(RIGHT(BW$43,2)&gt;RIGHT($K67,2),BA67,0))</f>
        <v>0.10581141151003219</v>
      </c>
      <c r="BX67" s="1283">
        <f>+IF($K67="Ongoing",BB67,IF(RIGHT($K67,2)=RIGHT(BX$43,2),SUM($AX67:BB67),0)+IF(RIGHT(BX$43,2)&gt;RIGHT($K67,2),BB67,0))</f>
        <v>0.10324832246139337</v>
      </c>
      <c r="BY67" s="386">
        <f>+IF($K67="Ongoing",BC67,IF(RIGHT($K67,2)=RIGHT(BY$43,2),SUM($AX67:BC67),0)+IF(RIGHT(BY$43,2)&gt;RIGHT($K67,2),BC67,0))</f>
        <v>2.4827629740599644</v>
      </c>
      <c r="BZ67" s="387">
        <f>+IF($K67="Ongoing",BD67,IF(RIGHT($K67,2)=RIGHT(BZ$43,2),SUM($AX67:BD67),0)+IF(RIGHT(BZ$43,2)&gt;RIGHT($K67,2),BD67,0))</f>
        <v>2.4222077795706967</v>
      </c>
      <c r="CA67" s="1277">
        <f>+IF($K67="Ongoing",BE67,IF(RIGHT($K67,2)=RIGHT(CA$43,2),SUM($AX67:BE67),0)+IF(RIGHT(CA$43,2)&gt;RIGHT($K67,2),BE67,0))</f>
        <v>2.3631295492520481</v>
      </c>
      <c r="CB67" s="1277">
        <f>+IF($K67="Ongoing",BF67,IF(RIGHT($K67,2)=RIGHT(CB$43,2),SUM($AX67:BF67),0)+IF(RIGHT(CB$43,2)&gt;RIGHT($K67,2),BF67,0))</f>
        <v>2.3054922431727305</v>
      </c>
      <c r="CC67" s="388">
        <f>+IF($K67="Ongoing",BG67,IF(RIGHT($K67,2)=RIGHT(CC$43,2),SUM($AX67:BG67),0)+IF(RIGHT(CC$43,2)&gt;RIGHT($K67,2),BG67,0))</f>
        <v>2.2492607250465659</v>
      </c>
      <c r="CD67" s="1025"/>
      <c r="CE67" s="1282">
        <f>+Q67*KeyAssumptionsPriceControl_FO!AF$15</f>
        <v>0.11725178926829267</v>
      </c>
      <c r="CF67" s="387">
        <f>+R67*KeyAssumptionsPriceControl_FO!AG$15</f>
        <v>0.11770935722641286</v>
      </c>
      <c r="CG67" s="387">
        <f>+S67*KeyAssumptionsPriceControl_FO!AH$15</f>
        <v>0.11816871081558912</v>
      </c>
      <c r="CH67" s="387">
        <f>+T67*KeyAssumptionsPriceControl_FO!AI$15</f>
        <v>0.11862985700413775</v>
      </c>
      <c r="CI67" s="1283">
        <f>+U67*KeyAssumptionsPriceControl_FO!AJ$15</f>
        <v>0.11911319608918633</v>
      </c>
      <c r="CJ67" s="386">
        <f>+V67*KeyAssumptionsPriceControl_FO!AK$15</f>
        <v>2.9473214757765698</v>
      </c>
      <c r="CK67" s="387">
        <f>+W67*KeyAssumptionsPriceControl_FO!AL$15</f>
        <v>2.9588232181210627</v>
      </c>
      <c r="CL67" s="1277">
        <f>+X67*KeyAssumptionsPriceControl_FO!AM$15</f>
        <v>2.9703698556302234</v>
      </c>
      <c r="CM67" s="1277">
        <f>+Y67*KeyAssumptionsPriceControl_FO!AN$15</f>
        <v>2.9819615428717077</v>
      </c>
      <c r="CN67" s="388">
        <f>+Z67*KeyAssumptionsPriceControl_FO!AO$15</f>
        <v>2.9935984659658406</v>
      </c>
      <c r="CO67" s="1025"/>
      <c r="CP67" s="1282">
        <f t="shared" ca="1" si="156"/>
        <v>0</v>
      </c>
      <c r="CQ67" s="387">
        <f t="shared" ca="1" si="157"/>
        <v>0</v>
      </c>
      <c r="CR67" s="387">
        <f t="shared" ca="1" si="158"/>
        <v>0</v>
      </c>
      <c r="CS67" s="387">
        <f t="shared" ca="1" si="159"/>
        <v>0</v>
      </c>
      <c r="CT67" s="1283">
        <f t="shared" ca="1" si="160"/>
        <v>0</v>
      </c>
      <c r="CU67" s="386">
        <f t="shared" ca="1" si="161"/>
        <v>0</v>
      </c>
      <c r="CV67" s="387">
        <f t="shared" ca="1" si="162"/>
        <v>0</v>
      </c>
      <c r="CW67" s="1277">
        <f t="shared" ca="1" si="163"/>
        <v>0</v>
      </c>
      <c r="CX67" s="1277">
        <f t="shared" ca="1" si="164"/>
        <v>0</v>
      </c>
      <c r="CY67" s="388">
        <f t="shared" ca="1" si="165"/>
        <v>0</v>
      </c>
      <c r="CZ67" s="347"/>
      <c r="DA67" s="852"/>
      <c r="DB67" s="347"/>
      <c r="DC67" s="1012" t="s">
        <v>538</v>
      </c>
      <c r="DD67" s="841" t="s">
        <v>518</v>
      </c>
      <c r="DE67" s="386">
        <f>+IF($K67="ongoing",CE67,IF(RIGHT($K67,2)=RIGHT(DE$43,2),SUM($CD67:CE67),0)+IF(RIGHT(DE$43,2)&gt;RIGHT($K67,2),CE67,0))</f>
        <v>0.11725178926829267</v>
      </c>
      <c r="DF67" s="387">
        <f>+IF($K67="ongoing",CF67,IF(RIGHT($K67,2)=RIGHT(DF$43,2),SUM($CD67:CF67),0)+IF(RIGHT(DF$43,2)&gt;RIGHT($K67,2),CF67,0))</f>
        <v>0.11770935722641286</v>
      </c>
      <c r="DG67" s="388">
        <f>+IF($K67="ongoing",CG67,IF(RIGHT($K67,2)=RIGHT(DG$43,2),SUM($CD67:CG67),0)+IF(RIGHT(DG$43,2)&gt;RIGHT($K67,2),CG67,0))</f>
        <v>0.11816871081558912</v>
      </c>
      <c r="DH67" s="386">
        <f>+IF($K67="ongoing",CH67,IF(RIGHT($K67,2)=RIGHT(DH$43,2),SUM($CD67:CH67),0)+IF(RIGHT(DH$43,2)&gt;RIGHT($K67,2),CH67,0))</f>
        <v>0.11862985700413775</v>
      </c>
      <c r="DI67" s="387">
        <f>+IF($K67="ongoing",CI67,IF(RIGHT($K67,2)=RIGHT(DI$43,2),SUM($CD67:CI67),0)+IF(RIGHT(DI$43,2)&gt;RIGHT($K67,2),CI67,0))</f>
        <v>0.11911319608918633</v>
      </c>
      <c r="DJ67" s="387">
        <f>+IF($K67="ongoing",CJ67,IF(RIGHT($K67,2)=RIGHT(DJ$43,2),SUM($CD67:CJ67),0)+IF(RIGHT(DJ$43,2)&gt;RIGHT($K67,2),CJ67,0))</f>
        <v>2.9473214757765698</v>
      </c>
      <c r="DK67" s="387">
        <f>+IF($K67="ongoing",CK67,IF(RIGHT($K67,2)=RIGHT(DK$43,2),SUM($CD67:CK67),0)+IF(RIGHT(DK$43,2)&gt;RIGHT($K67,2),CK67,0))</f>
        <v>2.9588232181210627</v>
      </c>
      <c r="DL67" s="388">
        <f>+IF($K67="ongoing",CN67,IF(RIGHT($K67,2)=RIGHT(DL$43,2),SUM($CD67:CN67),0)+IF(RIGHT(DL$43,2)&gt;RIGHT($K67,2),CN67,0))</f>
        <v>2.9935984659658406</v>
      </c>
      <c r="DM67" s="841"/>
      <c r="DN67" s="386">
        <f t="shared" si="166"/>
        <v>0.5</v>
      </c>
      <c r="DO67" s="387">
        <f t="shared" si="167"/>
        <v>1</v>
      </c>
      <c r="DP67" s="388">
        <f t="shared" si="168"/>
        <v>1</v>
      </c>
      <c r="DQ67" s="386">
        <f t="shared" si="169"/>
        <v>1</v>
      </c>
      <c r="DR67" s="387">
        <f t="shared" si="170"/>
        <v>1</v>
      </c>
      <c r="DS67" s="387">
        <f t="shared" si="171"/>
        <v>1</v>
      </c>
      <c r="DT67" s="387">
        <f t="shared" si="172"/>
        <v>1</v>
      </c>
      <c r="DU67" s="388">
        <f t="shared" si="173"/>
        <v>1</v>
      </c>
      <c r="DW67" s="386">
        <f t="shared" si="174"/>
        <v>0</v>
      </c>
      <c r="DX67" s="387">
        <f t="shared" si="175"/>
        <v>0.5</v>
      </c>
      <c r="DY67" s="388">
        <f t="shared" si="176"/>
        <v>1</v>
      </c>
      <c r="DZ67" s="386">
        <f t="shared" si="177"/>
        <v>1</v>
      </c>
      <c r="EA67" s="387">
        <f t="shared" si="178"/>
        <v>1</v>
      </c>
      <c r="EB67" s="387">
        <f t="shared" si="179"/>
        <v>1</v>
      </c>
      <c r="EC67" s="387">
        <f t="shared" si="180"/>
        <v>1</v>
      </c>
      <c r="ED67" s="388">
        <f t="shared" si="181"/>
        <v>1</v>
      </c>
      <c r="EF67" s="834">
        <f>+IF(DN67=DM67,0,
IF(AND(EF$44&gt;1,DN67=$N67),1-SUM($EE67:EE67),
IF($N67&lt;=1,
IF($N67&gt;0,1/$N67,0),
IF(EF$44=1,0,VDB(1,0,$N67,INT(EF$44-1-1),MIN($N67,INT(EF$44-1-1)+1),$DC67,IF($DD67="No",1,0))/
IF(DM67&gt;=INT($N67),$N67-INT($N67),1)))*
IF(EF$44=1,0,
IF(INT(DN67)=INT(DM67),DN67-DM67,INT(DN67)-DM67))+
IF($N67&lt;=1,
IF($N67&gt;0,1/$N67,0),VDB(1,0,$N67,INT(EF$44-1),MIN($N67,INT(EF$44-1)+1),$DC67,IF($DD67="No",1,0))/
IF(DN67&gt;INT($N67),$N67-INT($N67),1))*
IF(EF$44=1,DN67,
IF(INT(DN67)=INT(DM67),0,DN67-INT(DN67)))))</f>
        <v>0</v>
      </c>
      <c r="EG67" s="835">
        <f>+IF(DO67=DN67,0,
IF(AND(EG$44&gt;1,DO67=$N67),1-SUM($EE67:EF67),
IF($N67&lt;=1,
IF($N67&gt;0,1/$N67,0),
IF(EG$44=1,0,VDB(1,0,$N67,INT(EG$44-1-1),MIN($N67,INT(EG$44-1-1)+1),$DC67,IF($DD67="No",1,0))/
IF(DN67&gt;=INT($N67),$N67-INT($N67),1)))*
IF(EG$44=1,0,
IF(INT(DO67)=INT(DN67),DO67-DN67,INT(DO67)-DN67))+
IF($N67&lt;=1,
IF($N67&gt;0,1/$N67,0),VDB(1,0,$N67,INT(EG$44-1),MIN($N67,INT(EG$44-1)+1),$DC67,IF($DD67="No",1,0))/
IF(DO67&gt;INT($N67),$N67-INT($N67),1))*
IF(EG$44=1,DO67,
IF(INT(DO67)=INT(DN67),0,DO67-INT(DO67)))))</f>
        <v>0</v>
      </c>
      <c r="EH67" s="836">
        <f>+IF(DP67=DO67,0,
IF(AND(EH$44&gt;1,DP67=$N67),1-SUM($EE67:EG67),
IF($N67&lt;=1,
IF($N67&gt;0,1/$N67,0),
IF(EH$44=1,0,VDB(1,0,$N67,INT(EH$44-1-1),MIN($N67,INT(EH$44-1-1)+1),$DC67,IF($DD67="No",1,0))/
IF(DO67&gt;=INT($N67),$N67-INT($N67),1)))*
IF(EH$44=1,0,
IF(INT(DP67)=INT(DO67),DP67-DO67,INT(DP67)-DO67))+
IF($N67&lt;=1,
IF($N67&gt;0,1/$N67,0),VDB(1,0,$N67,INT(EH$44-1),MIN($N67,INT(EH$44-1)+1),$DC67,IF($DD67="No",1,0))/
IF(DP67&gt;INT($N67),$N67-INT($N67),1))*
IF(EH$44=1,DP67,
IF(INT(DP67)=INT(DO67),0,DP67-INT(DP67)))))</f>
        <v>0</v>
      </c>
      <c r="EI67" s="834">
        <f>+IF(DQ67=DP67,0,
IF(AND(EI$44&gt;1,DQ67=$N67),1-SUM($EE67:EH67),
IF($N67&lt;=1,
IF($N67&gt;0,1/$N67,0),
IF(EI$44=1,0,VDB(1,0,$N67,INT(EI$44-1-1),MIN($N67,INT(EI$44-1-1)+1),$DC67,IF($DD67="No",1,0))/
IF(DP67&gt;=INT($N67),$N67-INT($N67),1)))*
IF(EI$44=1,0,
IF(INT(DQ67)=INT(DP67),DQ67-DP67,INT(DQ67)-DP67))+
IF($N67&lt;=1,
IF($N67&gt;0,1/$N67,0),VDB(1,0,$N67,INT(EI$44-1),MIN($N67,INT(EI$44-1)+1),$DC67,IF($DD67="No",1,0))/
IF(DQ67&gt;INT($N67),$N67-INT($N67),1))*
IF(EI$44=1,DQ67,
IF(INT(DQ67)=INT(DP67),0,DQ67-INT(DQ67)))))</f>
        <v>0</v>
      </c>
      <c r="EJ67" s="835">
        <f>+IF(DR67=DQ67,0,
IF(AND(EJ$44&gt;1,DR67=$N67),1-SUM($EE67:EI67),
IF($N67&lt;=1,
IF($N67&gt;0,1/$N67,0),
IF(EJ$44=1,0,VDB(1,0,$N67,INT(EJ$44-1-1),MIN($N67,INT(EJ$44-1-1)+1),$DC67,IF($DD67="No",1,0))/
IF(DQ67&gt;=INT($N67),$N67-INT($N67),1)))*
IF(EJ$44=1,0,
IF(INT(DR67)=INT(DQ67),DR67-DQ67,INT(DR67)-DQ67))+
IF($N67&lt;=1,
IF($N67&gt;0,1/$N67,0),VDB(1,0,$N67,INT(EJ$44-1),MIN($N67,INT(EJ$44-1)+1),$DC67,IF($DD67="No",1,0))/
IF(DR67&gt;INT($N67),$N67-INT($N67),1))*
IF(EJ$44=1,DR67,
IF(INT(DR67)=INT(DQ67),0,DR67-INT(DR67)))))</f>
        <v>0</v>
      </c>
      <c r="EK67" s="835">
        <f>+IF(DS67=DR67,0,
IF(AND(EK$44&gt;1,DS67=$N67),1-SUM($EE67:EJ67),
IF($N67&lt;=1,
IF($N67&gt;0,1/$N67,0),
IF(EK$44=1,0,VDB(1,0,$N67,INT(EK$44-1-1),MIN($N67,INT(EK$44-1-1)+1),$DC67,IF($DD67="No",1,0))/
IF(DR67&gt;=INT($N67),$N67-INT($N67),1)))*
IF(EK$44=1,0,
IF(INT(DS67)=INT(DR67),DS67-DR67,INT(DS67)-DR67))+
IF($N67&lt;=1,
IF($N67&gt;0,1/$N67,0),VDB(1,0,$N67,INT(EK$44-1),MIN($N67,INT(EK$44-1)+1),$DC67,IF($DD67="No",1,0))/
IF(DS67&gt;INT($N67),$N67-INT($N67),1))*
IF(EK$44=1,DS67,
IF(INT(DS67)=INT(DR67),0,DS67-INT(DS67)))))</f>
        <v>0</v>
      </c>
      <c r="EL67" s="835">
        <f>+IF(DT67=DS67,0,
IF(AND(EL$44&gt;1,DT67=$N67),1-SUM($EE67:EK67),
IF($N67&lt;=1,
IF($N67&gt;0,1/$N67,0),
IF(EL$44=1,0,VDB(1,0,$N67,INT(EL$44-1-1),MIN($N67,INT(EL$44-1-1)+1),$DC67,IF($DD67="No",1,0))/
IF(DS67&gt;=INT($N67),$N67-INT($N67),1)))*
IF(EL$44=1,0,
IF(INT(DT67)=INT(DS67),DT67-DS67,INT(DT67)-DS67))+
IF($N67&lt;=1,
IF($N67&gt;0,1/$N67,0),VDB(1,0,$N67,INT(EL$44-1),MIN($N67,INT(EL$44-1)+1),$DC67,IF($DD67="No",1,0))/
IF(DT67&gt;INT($N67),$N67-INT($N67),1))*
IF(EL$44=1,DT67,
IF(INT(DT67)=INT(DS67),0,DT67-INT(DT67)))))</f>
        <v>0</v>
      </c>
      <c r="EM67" s="836">
        <f>+IF(DU67=DT67,0,
IF(AND(EM$44&gt;1,DU67=$N67),1-SUM($EE67:EL67),
IF($N67&lt;=1,
IF($N67&gt;0,1/$N67,0),
IF(EM$44=1,0,VDB(1,0,$N67,INT(EM$44-1-1),MIN($N67,INT(EM$44-1-1)+1),$DC67,IF($DD67="No",1,0))/
IF(DT67&gt;=INT($N67),$N67-INT($N67),1)))*
IF(EM$44=1,0,
IF(INT(DU67)=INT(DT67),DU67-DT67,INT(DU67)-DT67))+
IF($N67&lt;=1,
IF($N67&gt;0,1/$N67,0),VDB(1,0,$N67,INT(EM$44-1),MIN($N67,INT(EM$44-1)+1),$DC67,IF($DD67="No",1,0))/
IF(DU67&gt;INT($N67),$N67-INT($N67),1))*
IF(EM$44=1,DU67,
IF(INT(DU67)=INT(DT67),0,DU67-INT(DU67)))))</f>
        <v>0</v>
      </c>
      <c r="EN67" s="833"/>
      <c r="EO67" s="834">
        <f>+IF(OR(DW67=DV67,EO$44=1),0,
IF(AND(EO$44&gt;1,DW67=$N67),1-SUM($EN67:EN67),
IF($N67&lt;=1,
IF($N67&gt;0,1/$N67,0),
IF(EO$44=2,0,VDB(1,0,$N67,INT(EO$44-2-1),MIN($N67,INT(EO$44-2-1)+1),$DC67,IF($DD67="No",1,0))/
IF(DV67&gt;=INT($N67),$N67-INT($N67),1)))*
IF(EO$44=2,0,
IF(INT(DW67)=INT(DV67),DW67-DV67,INT(DW67)-DV67))+
IF($N67&lt;=1,
IF($N67&gt;0,1/$N67,0),VDB(1,0,$N67,INT(EO$44-2),MIN($N67,INT(EO$44-2)+1),$DC67,IF($DD67="No",1,0))/
IF(DW67&gt;INT($N67),$N67-INT($N67),1))*
IF(EO$44=2,DW67,
IF(INT(DW67)=INT(DV67),0,DW67-INT(DW67)))))</f>
        <v>0</v>
      </c>
      <c r="EP67" s="835">
        <f>+IF(OR(DX67=DW67,EP$44=1),0,
IF(AND(EP$44&gt;1,DX67=$N67),1-SUM($EN67:EO67),
IF($N67&lt;=1,
IF($N67&gt;0,1/$N67,0),
IF(EP$44=2,0,VDB(1,0,$N67,INT(EP$44-2-1),MIN($N67,INT(EP$44-2-1)+1),$DC67,IF($DD67="No",1,0))/
IF(DW67&gt;=INT($N67),$N67-INT($N67),1)))*
IF(EP$44=2,0,
IF(INT(DX67)=INT(DW67),DX67-DW67,INT(DX67)-DW67))+
IF($N67&lt;=1,
IF($N67&gt;0,1/$N67,0),VDB(1,0,$N67,INT(EP$44-2),MIN($N67,INT(EP$44-2)+1),$DC67,IF($DD67="No",1,0))/
IF(DX67&gt;INT($N67),$N67-INT($N67),1))*
IF(EP$44=2,DX67,
IF(INT(DX67)=INT(DW67),0,DX67-INT(DX67)))))</f>
        <v>0</v>
      </c>
      <c r="EQ67" s="836">
        <f>+IF(OR(DY67=DX67,EQ$44=1),0,
IF(AND(EQ$44&gt;1,DY67=$N67),1-SUM($EN67:EP67),
IF($N67&lt;=1,
IF($N67&gt;0,1/$N67,0),
IF(EQ$44=2,0,VDB(1,0,$N67,INT(EQ$44-2-1),MIN($N67,INT(EQ$44-2-1)+1),$DC67,IF($DD67="No",1,0))/
IF(DX67&gt;=INT($N67),$N67-INT($N67),1)))*
IF(EQ$44=2,0,
IF(INT(DY67)=INT(DX67),DY67-DX67,INT(DY67)-DX67))+
IF($N67&lt;=1,
IF($N67&gt;0,1/$N67,0),VDB(1,0,$N67,INT(EQ$44-2),MIN($N67,INT(EQ$44-2)+1),$DC67,IF($DD67="No",1,0))/
IF(DY67&gt;INT($N67),$N67-INT($N67),1))*
IF(EQ$44=2,DY67,
IF(INT(DY67)=INT(DX67),0,DY67-INT(DY67)))))</f>
        <v>0</v>
      </c>
      <c r="ER67" s="834">
        <f>+IF(OR(DZ67=DY67,ER$44=1),0,
IF(AND(ER$44&gt;1,DZ67=$N67),1-SUM($EN67:EQ67),
IF($N67&lt;=1,
IF($N67&gt;0,1/$N67,0),
IF(ER$44=2,0,VDB(1,0,$N67,INT(ER$44-2-1),MIN($N67,INT(ER$44-2-1)+1),$DC67,IF($DD67="No",1,0))/
IF(DY67&gt;=INT($N67),$N67-INT($N67),1)))*
IF(ER$44=2,0,
IF(INT(DZ67)=INT(DY67),DZ67-DY67,INT(DZ67)-DY67))+
IF($N67&lt;=1,
IF($N67&gt;0,1/$N67,0),VDB(1,0,$N67,INT(ER$44-2),MIN($N67,INT(ER$44-2)+1),$DC67,IF($DD67="No",1,0))/
IF(DZ67&gt;INT($N67),$N67-INT($N67),1))*
IF(ER$44=2,DZ67,
IF(INT(DZ67)=INT(DY67),0,DZ67-INT(DZ67)))))</f>
        <v>0</v>
      </c>
      <c r="ES67" s="835">
        <f>+IF(OR(EA67=DZ67,ES$44=1),0,
IF(AND(ES$44&gt;1,EA67=$N67),1-SUM($EN67:ER67),
IF($N67&lt;=1,
IF($N67&gt;0,1/$N67,0),
IF(ES$44=2,0,VDB(1,0,$N67,INT(ES$44-2-1),MIN($N67,INT(ES$44-2-1)+1),$DC67,IF($DD67="No",1,0))/
IF(DZ67&gt;=INT($N67),$N67-INT($N67),1)))*
IF(ES$44=2,0,
IF(INT(EA67)=INT(DZ67),EA67-DZ67,INT(EA67)-DZ67))+
IF($N67&lt;=1,
IF($N67&gt;0,1/$N67,0),VDB(1,0,$N67,INT(ES$44-2),MIN($N67,INT(ES$44-2)+1),$DC67,IF($DD67="No",1,0))/
IF(EA67&gt;INT($N67),$N67-INT($N67),1))*
IF(ES$44=2,EA67,
IF(INT(EA67)=INT(DZ67),0,EA67-INT(EA67)))))</f>
        <v>0</v>
      </c>
      <c r="ET67" s="835">
        <f>+IF(OR(EB67=EA67,ET$44=1),0,
IF(AND(ET$44&gt;1,EB67=$N67),1-SUM($EN67:ES67),
IF($N67&lt;=1,
IF($N67&gt;0,1/$N67,0),
IF(ET$44=2,0,VDB(1,0,$N67,INT(ET$44-2-1),MIN($N67,INT(ET$44-2-1)+1),$DC67,IF($DD67="No",1,0))/
IF(EA67&gt;=INT($N67),$N67-INT($N67),1)))*
IF(ET$44=2,0,
IF(INT(EB67)=INT(EA67),EB67-EA67,INT(EB67)-EA67))+
IF($N67&lt;=1,
IF($N67&gt;0,1/$N67,0),VDB(1,0,$N67,INT(ET$44-2),MIN($N67,INT(ET$44-2)+1),$DC67,IF($DD67="No",1,0))/
IF(EB67&gt;INT($N67),$N67-INT($N67),1))*
IF(ET$44=2,EB67,
IF(INT(EB67)=INT(EA67),0,EB67-INT(EB67)))))</f>
        <v>0</v>
      </c>
      <c r="EU67" s="835">
        <f>+IF(OR(EC67=EB67,EU$44=1),0,
IF(AND(EU$44&gt;1,EC67=$N67),1-SUM($EN67:ET67),
IF($N67&lt;=1,
IF($N67&gt;0,1/$N67,0),
IF(EU$44=2,0,VDB(1,0,$N67,INT(EU$44-2-1),MIN($N67,INT(EU$44-2-1)+1),$DC67,IF($DD67="No",1,0))/
IF(EB67&gt;=INT($N67),$N67-INT($N67),1)))*
IF(EU$44=2,0,
IF(INT(EC67)=INT(EB67),EC67-EB67,INT(EC67)-EB67))+
IF($N67&lt;=1,
IF($N67&gt;0,1/$N67,0),VDB(1,0,$N67,INT(EU$44-2),MIN($N67,INT(EU$44-2)+1),$DC67,IF($DD67="No",1,0))/
IF(EC67&gt;INT($N67),$N67-INT($N67),1))*
IF(EU$44=2,EC67,
IF(INT(EC67)=INT(EB67),0,EC67-INT(EC67)))))</f>
        <v>0</v>
      </c>
      <c r="EV67" s="836">
        <f>+IF(OR(ED67=EC67,EV$44=1),0,
IF(AND(EV$44&gt;1,ED67=$N67),1-SUM($EN67:EU67),
IF($N67&lt;=1,
IF($N67&gt;0,1/$N67,0),
IF(EV$44=2,0,VDB(1,0,$N67,INT(EV$44-2-1),MIN($N67,INT(EV$44-2-1)+1),$DC67,IF($DD67="No",1,0))/
IF(EC67&gt;=INT($N67),$N67-INT($N67),1)))*
IF(EV$44=2,0,
IF(INT(ED67)=INT(EC67),ED67-EC67,INT(ED67)-EC67))+
IF($N67&lt;=1,
IF($N67&gt;0,1/$N67,0),VDB(1,0,$N67,INT(EV$44-2),MIN($N67,INT(EV$44-2)+1),$DC67,IF($DD67="No",1,0))/
IF(ED67&gt;INT($N67),$N67-INT($N67),1))*
IF(EV$44=2,ED67,
IF(INT(ED67)=INT(EC67),0,ED67-INT(ED67)))))</f>
        <v>0</v>
      </c>
      <c r="EW67" s="833"/>
      <c r="EX67" s="834">
        <f t="shared" ca="1" si="133"/>
        <v>0</v>
      </c>
      <c r="EY67" s="835">
        <f t="shared" ca="1" si="133"/>
        <v>0</v>
      </c>
      <c r="EZ67" s="836">
        <f t="shared" ca="1" si="133"/>
        <v>0</v>
      </c>
      <c r="FA67" s="834">
        <f t="shared" ca="1" si="133"/>
        <v>0</v>
      </c>
      <c r="FB67" s="835">
        <f t="shared" ca="1" si="133"/>
        <v>0</v>
      </c>
      <c r="FC67" s="835">
        <f t="shared" ca="1" si="133"/>
        <v>0</v>
      </c>
      <c r="FD67" s="835">
        <f t="shared" ca="1" si="133"/>
        <v>0</v>
      </c>
      <c r="FE67" s="836">
        <f t="shared" ca="1" si="133"/>
        <v>0</v>
      </c>
      <c r="FG67" s="386">
        <f t="shared" ca="1" si="182"/>
        <v>0</v>
      </c>
      <c r="FH67" s="387">
        <f t="shared" ca="1" si="183"/>
        <v>0</v>
      </c>
      <c r="FI67" s="388">
        <f t="shared" ca="1" si="184"/>
        <v>0</v>
      </c>
      <c r="FJ67" s="386">
        <f t="shared" ca="1" si="185"/>
        <v>0</v>
      </c>
      <c r="FK67" s="387">
        <f t="shared" ca="1" si="186"/>
        <v>0</v>
      </c>
      <c r="FL67" s="387">
        <f t="shared" ca="1" si="187"/>
        <v>0</v>
      </c>
      <c r="FM67" s="387">
        <f t="shared" ca="1" si="188"/>
        <v>0</v>
      </c>
      <c r="FN67" s="388">
        <f t="shared" ca="1" si="189"/>
        <v>0</v>
      </c>
      <c r="FR67" s="116"/>
    </row>
    <row r="68" spans="2:174">
      <c r="B68" s="1410">
        <f t="shared" si="135"/>
        <v>22</v>
      </c>
      <c r="C68" s="400" t="s">
        <v>546</v>
      </c>
      <c r="D68" s="410"/>
      <c r="E68" s="402" t="s">
        <v>402</v>
      </c>
      <c r="F68" s="402" t="s">
        <v>527</v>
      </c>
      <c r="G68" s="400" t="s">
        <v>522</v>
      </c>
      <c r="H68" s="2088" t="s">
        <v>483</v>
      </c>
      <c r="I68" s="2089"/>
      <c r="J68" s="411" t="s">
        <v>516</v>
      </c>
      <c r="K68" s="403" t="s">
        <v>544</v>
      </c>
      <c r="L68" s="403">
        <v>35</v>
      </c>
      <c r="M68" s="403" t="s">
        <v>142</v>
      </c>
      <c r="N68" s="403"/>
      <c r="O68" s="347"/>
      <c r="P68" s="347"/>
      <c r="Q68" s="1021">
        <v>4.2054000390243891</v>
      </c>
      <c r="R68" s="1022">
        <v>9.1538713051754907</v>
      </c>
      <c r="S68" s="1022">
        <v>11.866000003482251</v>
      </c>
      <c r="T68" s="1022">
        <v>6.3042704964786491</v>
      </c>
      <c r="U68" s="1023">
        <v>2.128970792819282</v>
      </c>
      <c r="V68" s="1021">
        <v>1.3565853658326072</v>
      </c>
      <c r="W68" s="1022">
        <v>1.3565853675151376</v>
      </c>
      <c r="X68" s="1022">
        <v>6.7889020225053942</v>
      </c>
      <c r="Y68" s="1022">
        <v>8.0153135464361185</v>
      </c>
      <c r="Z68" s="1023">
        <v>1.3565853660784652</v>
      </c>
      <c r="AA68" s="1024"/>
      <c r="AB68" s="1021">
        <v>0</v>
      </c>
      <c r="AC68" s="1022">
        <v>0</v>
      </c>
      <c r="AD68" s="1022">
        <v>0</v>
      </c>
      <c r="AE68" s="1022">
        <v>0</v>
      </c>
      <c r="AF68" s="1023">
        <v>0</v>
      </c>
      <c r="AG68" s="1021">
        <v>0</v>
      </c>
      <c r="AH68" s="1022">
        <v>0</v>
      </c>
      <c r="AI68" s="1022">
        <v>0</v>
      </c>
      <c r="AJ68" s="1022">
        <v>0</v>
      </c>
      <c r="AK68" s="1023">
        <v>0</v>
      </c>
      <c r="AL68" s="1024"/>
      <c r="AM68" s="1021">
        <v>0</v>
      </c>
      <c r="AN68" s="1022">
        <v>0</v>
      </c>
      <c r="AO68" s="1022">
        <v>0</v>
      </c>
      <c r="AP68" s="1022">
        <v>0</v>
      </c>
      <c r="AQ68" s="1023">
        <v>0</v>
      </c>
      <c r="AR68" s="1021">
        <v>0</v>
      </c>
      <c r="AS68" s="1022">
        <v>0</v>
      </c>
      <c r="AT68" s="1022">
        <v>0</v>
      </c>
      <c r="AU68" s="1022">
        <v>0</v>
      </c>
      <c r="AV68" s="1023">
        <v>0</v>
      </c>
      <c r="AW68" s="1025"/>
      <c r="AX68" s="1282">
        <f t="shared" si="136"/>
        <v>4.2054000390243891</v>
      </c>
      <c r="AY68" s="387">
        <f t="shared" si="137"/>
        <v>9.1538713051754907</v>
      </c>
      <c r="AZ68" s="387">
        <f t="shared" si="138"/>
        <v>11.866000003482251</v>
      </c>
      <c r="BA68" s="387">
        <f t="shared" si="139"/>
        <v>6.3042704964786491</v>
      </c>
      <c r="BB68" s="1283">
        <f t="shared" si="140"/>
        <v>2.128970792819282</v>
      </c>
      <c r="BC68" s="386">
        <f t="shared" si="141"/>
        <v>1.3565853658326072</v>
      </c>
      <c r="BD68" s="387">
        <f t="shared" si="142"/>
        <v>1.3565853675151376</v>
      </c>
      <c r="BE68" s="1277">
        <f t="shared" si="143"/>
        <v>6.7889020225053942</v>
      </c>
      <c r="BF68" s="1277">
        <f t="shared" si="144"/>
        <v>8.0153135464361185</v>
      </c>
      <c r="BG68" s="388">
        <f t="shared" si="145"/>
        <v>1.3565853660784652</v>
      </c>
      <c r="BH68" s="1025"/>
      <c r="BI68" s="1282">
        <f t="shared" ca="1" si="146"/>
        <v>6.0077143414634132E-2</v>
      </c>
      <c r="BJ68" s="387">
        <f t="shared" ca="1" si="147"/>
        <v>0.25092387690320384</v>
      </c>
      <c r="BK68" s="387">
        <f t="shared" ca="1" si="148"/>
        <v>0.55120775274117162</v>
      </c>
      <c r="BL68" s="387">
        <f t="shared" ca="1" si="149"/>
        <v>0.81078304559775594</v>
      </c>
      <c r="BM68" s="1283">
        <f t="shared" ca="1" si="150"/>
        <v>0.93125792115915496</v>
      </c>
      <c r="BN68" s="386">
        <f t="shared" ca="1" si="151"/>
        <v>0.98105158056846764</v>
      </c>
      <c r="BO68" s="387">
        <f t="shared" ca="1" si="152"/>
        <v>1.0198111624734354</v>
      </c>
      <c r="BP68" s="1277">
        <f t="shared" ca="1" si="153"/>
        <v>1.1361752680451573</v>
      </c>
      <c r="BQ68" s="1277">
        <f t="shared" ca="1" si="154"/>
        <v>1.3476640618871791</v>
      </c>
      <c r="BR68" s="388">
        <f t="shared" ca="1" si="155"/>
        <v>1.4815483320659588</v>
      </c>
      <c r="BS68" s="1025"/>
      <c r="BT68" s="1282">
        <f>+IF($K68="Ongoing",AX68,IF(RIGHT($K68,2)=RIGHT(BT$43,2),SUM($AX68:AX68),0)+IF(RIGHT(BT$43,2)&gt;RIGHT($K68,2),AX68,0))</f>
        <v>4.2054000390243891</v>
      </c>
      <c r="BU68" s="387">
        <f>+IF($K68="Ongoing",AY68,IF(RIGHT($K68,2)=RIGHT(BU$43,2),SUM($AX68:AY68),0)+IF(RIGHT(BU$43,2)&gt;RIGHT($K68,2),AY68,0))</f>
        <v>9.1538713051754907</v>
      </c>
      <c r="BV68" s="387">
        <f>+IF($K68="Ongoing",AZ68,IF(RIGHT($K68,2)=RIGHT(BV$43,2),SUM($AX68:AZ68),0)+IF(RIGHT(BV$43,2)&gt;RIGHT($K68,2),AZ68,0))</f>
        <v>11.866000003482251</v>
      </c>
      <c r="BW68" s="387">
        <f>+IF($K68="Ongoing",BA68,IF(RIGHT($K68,2)=RIGHT(BW$43,2),SUM($AX68:BA68),0)+IF(RIGHT(BW$43,2)&gt;RIGHT($K68,2),BA68,0))</f>
        <v>6.3042704964786491</v>
      </c>
      <c r="BX68" s="1283">
        <f>+IF($K68="Ongoing",BB68,IF(RIGHT($K68,2)=RIGHT(BX$43,2),SUM($AX68:BB68),0)+IF(RIGHT(BX$43,2)&gt;RIGHT($K68,2),BB68,0))</f>
        <v>2.128970792819282</v>
      </c>
      <c r="BY68" s="386">
        <f>+IF($K68="Ongoing",BC68,IF(RIGHT($K68,2)=RIGHT(BY$43,2),SUM($AX68:BC68),0)+IF(RIGHT(BY$43,2)&gt;RIGHT($K68,2),BC68,0))</f>
        <v>1.3565853658326072</v>
      </c>
      <c r="BZ68" s="387">
        <f>+IF($K68="Ongoing",BD68,IF(RIGHT($K68,2)=RIGHT(BZ$43,2),SUM($AX68:BD68),0)+IF(RIGHT(BZ$43,2)&gt;RIGHT($K68,2),BD68,0))</f>
        <v>1.3565853675151376</v>
      </c>
      <c r="CA68" s="1277">
        <f>+IF($K68="Ongoing",BE68,IF(RIGHT($K68,2)=RIGHT(CA$43,2),SUM($AX68:BE68),0)+IF(RIGHT(CA$43,2)&gt;RIGHT($K68,2),BE68,0))</f>
        <v>6.7889020225053942</v>
      </c>
      <c r="CB68" s="1277">
        <f>+IF($K68="Ongoing",BF68,IF(RIGHT($K68,2)=RIGHT(CB$43,2),SUM($AX68:BF68),0)+IF(RIGHT(CB$43,2)&gt;RIGHT($K68,2),BF68,0))</f>
        <v>8.0153135464361185</v>
      </c>
      <c r="CC68" s="388">
        <f>+IF($K68="Ongoing",BG68,IF(RIGHT($K68,2)=RIGHT(CC$43,2),SUM($AX68:BG68),0)+IF(RIGHT(CC$43,2)&gt;RIGHT($K68,2),BG68,0))</f>
        <v>1.3565853660784652</v>
      </c>
      <c r="CD68" s="1025"/>
      <c r="CE68" s="1282">
        <f>+Q68*KeyAssumptionsPriceControl_FO!AF$15</f>
        <v>4.3273566401560961</v>
      </c>
      <c r="CF68" s="387">
        <f>+R68*KeyAssumptionsPriceControl_FO!AG$15</f>
        <v>9.6924942466433208</v>
      </c>
      <c r="CG68" s="387">
        <f>+S68*KeyAssumptionsPriceControl_FO!AH$15</f>
        <v>12.928569321668075</v>
      </c>
      <c r="CH68" s="387">
        <f>+T68*KeyAssumptionsPriceControl_FO!AI$15</f>
        <v>7.0679967012986982</v>
      </c>
      <c r="CI68" s="1283">
        <f>+U68*KeyAssumptionsPriceControl_FO!AJ$15</f>
        <v>2.4561030094029417</v>
      </c>
      <c r="CJ68" s="386">
        <f>+V68*KeyAssumptionsPriceControl_FO!AK$15</f>
        <v>1.6104208191506926</v>
      </c>
      <c r="CK68" s="387">
        <f>+W68*KeyAssumptionsPriceControl_FO!AL$15</f>
        <v>1.6571230249613402</v>
      </c>
      <c r="CL68" s="1277">
        <f>+X68*KeyAssumptionsPriceControl_FO!AM$15</f>
        <v>8.5334085585192145</v>
      </c>
      <c r="CM68" s="1277">
        <f>+Y68*KeyAssumptionsPriceControl_FO!AN$15</f>
        <v>10.367138219749119</v>
      </c>
      <c r="CN68" s="388">
        <f>+Z68*KeyAssumptionsPriceControl_FO!AO$15</f>
        <v>1.8055140631863058</v>
      </c>
      <c r="CO68" s="1025"/>
      <c r="CP68" s="1282">
        <f t="shared" ca="1" si="156"/>
        <v>0</v>
      </c>
      <c r="CQ68" s="387">
        <f t="shared" ca="1" si="157"/>
        <v>0</v>
      </c>
      <c r="CR68" s="387">
        <f t="shared" ca="1" si="158"/>
        <v>0</v>
      </c>
      <c r="CS68" s="387">
        <f t="shared" ca="1" si="159"/>
        <v>0</v>
      </c>
      <c r="CT68" s="1283">
        <f t="shared" ca="1" si="160"/>
        <v>0</v>
      </c>
      <c r="CU68" s="386">
        <f t="shared" ca="1" si="161"/>
        <v>0</v>
      </c>
      <c r="CV68" s="387">
        <f t="shared" ca="1" si="162"/>
        <v>0</v>
      </c>
      <c r="CW68" s="1277">
        <f t="shared" ca="1" si="163"/>
        <v>0</v>
      </c>
      <c r="CX68" s="1277">
        <f t="shared" ca="1" si="164"/>
        <v>0</v>
      </c>
      <c r="CY68" s="388">
        <f t="shared" ca="1" si="165"/>
        <v>0</v>
      </c>
      <c r="CZ68" s="347"/>
      <c r="DA68" s="852"/>
      <c r="DB68" s="347"/>
      <c r="DC68" s="1012" t="s">
        <v>540</v>
      </c>
      <c r="DD68" s="841" t="s">
        <v>518</v>
      </c>
      <c r="DE68" s="386">
        <f>+IF($K68="ongoing",CE68,IF(RIGHT($K68,2)=RIGHT(DE$43,2),SUM($CD68:CE68),0)+IF(RIGHT(DE$43,2)&gt;RIGHT($K68,2),CE68,0))</f>
        <v>4.3273566401560961</v>
      </c>
      <c r="DF68" s="387">
        <f>+IF($K68="ongoing",CF68,IF(RIGHT($K68,2)=RIGHT(DF$43,2),SUM($CD68:CF68),0)+IF(RIGHT(DF$43,2)&gt;RIGHT($K68,2),CF68,0))</f>
        <v>9.6924942466433208</v>
      </c>
      <c r="DG68" s="388">
        <f>+IF($K68="ongoing",CG68,IF(RIGHT($K68,2)=RIGHT(DG$43,2),SUM($CD68:CG68),0)+IF(RIGHT(DG$43,2)&gt;RIGHT($K68,2),CG68,0))</f>
        <v>12.928569321668075</v>
      </c>
      <c r="DH68" s="386">
        <f>+IF($K68="ongoing",CH68,IF(RIGHT($K68,2)=RIGHT(DH$43,2),SUM($CD68:CH68),0)+IF(RIGHT(DH$43,2)&gt;RIGHT($K68,2),CH68,0))</f>
        <v>7.0679967012986982</v>
      </c>
      <c r="DI68" s="387">
        <f>+IF($K68="ongoing",CI68,IF(RIGHT($K68,2)=RIGHT(DI$43,2),SUM($CD68:CI68),0)+IF(RIGHT(DI$43,2)&gt;RIGHT($K68,2),CI68,0))</f>
        <v>2.4561030094029417</v>
      </c>
      <c r="DJ68" s="387">
        <f>+IF($K68="ongoing",CJ68,IF(RIGHT($K68,2)=RIGHT(DJ$43,2),SUM($CD68:CJ68),0)+IF(RIGHT(DJ$43,2)&gt;RIGHT($K68,2),CJ68,0))</f>
        <v>1.6104208191506926</v>
      </c>
      <c r="DK68" s="387">
        <f>+IF($K68="ongoing",CK68,IF(RIGHT($K68,2)=RIGHT(DK$43,2),SUM($CD68:CK68),0)+IF(RIGHT(DK$43,2)&gt;RIGHT($K68,2),CK68,0))</f>
        <v>1.6571230249613402</v>
      </c>
      <c r="DL68" s="388">
        <f>+IF($K68="ongoing",CN68,IF(RIGHT($K68,2)=RIGHT(DL$43,2),SUM($CD68:CN68),0)+IF(RIGHT(DL$43,2)&gt;RIGHT($K68,2),CN68,0))</f>
        <v>1.8055140631863058</v>
      </c>
      <c r="DM68" s="841"/>
      <c r="DN68" s="386">
        <f t="shared" si="166"/>
        <v>0.5</v>
      </c>
      <c r="DO68" s="387">
        <f t="shared" si="167"/>
        <v>1</v>
      </c>
      <c r="DP68" s="388">
        <f t="shared" si="168"/>
        <v>1</v>
      </c>
      <c r="DQ68" s="386">
        <f t="shared" si="169"/>
        <v>1</v>
      </c>
      <c r="DR68" s="387">
        <f t="shared" si="170"/>
        <v>1</v>
      </c>
      <c r="DS68" s="387">
        <f t="shared" si="171"/>
        <v>1</v>
      </c>
      <c r="DT68" s="387">
        <f t="shared" si="172"/>
        <v>1</v>
      </c>
      <c r="DU68" s="388">
        <f t="shared" si="173"/>
        <v>1</v>
      </c>
      <c r="DW68" s="386">
        <f t="shared" si="174"/>
        <v>0</v>
      </c>
      <c r="DX68" s="387">
        <f t="shared" si="175"/>
        <v>0.5</v>
      </c>
      <c r="DY68" s="388">
        <f t="shared" si="176"/>
        <v>1</v>
      </c>
      <c r="DZ68" s="386">
        <f t="shared" si="177"/>
        <v>1</v>
      </c>
      <c r="EA68" s="387">
        <f t="shared" si="178"/>
        <v>1</v>
      </c>
      <c r="EB68" s="387">
        <f t="shared" si="179"/>
        <v>1</v>
      </c>
      <c r="EC68" s="387">
        <f t="shared" si="180"/>
        <v>1</v>
      </c>
      <c r="ED68" s="388">
        <f t="shared" si="181"/>
        <v>1</v>
      </c>
      <c r="EF68" s="834">
        <f>+IF(DN68=DM68,0,
IF(AND(EF$44&gt;1,DN68=$N68),1-SUM($EE68:EE68),
IF($N68&lt;=1,
IF($N68&gt;0,1/$N68,0),
IF(EF$44=1,0,VDB(1,0,$N68,INT(EF$44-1-1),MIN($N68,INT(EF$44-1-1)+1),$DC68,IF($DD68="No",1,0))/
IF(DM68&gt;=INT($N68),$N68-INT($N68),1)))*
IF(EF$44=1,0,
IF(INT(DN68)=INT(DM68),DN68-DM68,INT(DN68)-DM68))+
IF($N68&lt;=1,
IF($N68&gt;0,1/$N68,0),VDB(1,0,$N68,INT(EF$44-1),MIN($N68,INT(EF$44-1)+1),$DC68,IF($DD68="No",1,0))/
IF(DN68&gt;INT($N68),$N68-INT($N68),1))*
IF(EF$44=1,DN68,
IF(INT(DN68)=INT(DM68),0,DN68-INT(DN68)))))</f>
        <v>0</v>
      </c>
      <c r="EG68" s="835">
        <f>+IF(DO68=DN68,0,
IF(AND(EG$44&gt;1,DO68=$N68),1-SUM($EE68:EF68),
IF($N68&lt;=1,
IF($N68&gt;0,1/$N68,0),
IF(EG$44=1,0,VDB(1,0,$N68,INT(EG$44-1-1),MIN($N68,INT(EG$44-1-1)+1),$DC68,IF($DD68="No",1,0))/
IF(DN68&gt;=INT($N68),$N68-INT($N68),1)))*
IF(EG$44=1,0,
IF(INT(DO68)=INT(DN68),DO68-DN68,INT(DO68)-DN68))+
IF($N68&lt;=1,
IF($N68&gt;0,1/$N68,0),VDB(1,0,$N68,INT(EG$44-1),MIN($N68,INT(EG$44-1)+1),$DC68,IF($DD68="No",1,0))/
IF(DO68&gt;INT($N68),$N68-INT($N68),1))*
IF(EG$44=1,DO68,
IF(INT(DO68)=INT(DN68),0,DO68-INT(DO68)))))</f>
        <v>0</v>
      </c>
      <c r="EH68" s="836">
        <f>+IF(DP68=DO68,0,
IF(AND(EH$44&gt;1,DP68=$N68),1-SUM($EE68:EG68),
IF($N68&lt;=1,
IF($N68&gt;0,1/$N68,0),
IF(EH$44=1,0,VDB(1,0,$N68,INT(EH$44-1-1),MIN($N68,INT(EH$44-1-1)+1),$DC68,IF($DD68="No",1,0))/
IF(DO68&gt;=INT($N68),$N68-INT($N68),1)))*
IF(EH$44=1,0,
IF(INT(DP68)=INT(DO68),DP68-DO68,INT(DP68)-DO68))+
IF($N68&lt;=1,
IF($N68&gt;0,1/$N68,0),VDB(1,0,$N68,INT(EH$44-1),MIN($N68,INT(EH$44-1)+1),$DC68,IF($DD68="No",1,0))/
IF(DP68&gt;INT($N68),$N68-INT($N68),1))*
IF(EH$44=1,DP68,
IF(INT(DP68)=INT(DO68),0,DP68-INT(DP68)))))</f>
        <v>0</v>
      </c>
      <c r="EI68" s="834">
        <f>+IF(DQ68=DP68,0,
IF(AND(EI$44&gt;1,DQ68=$N68),1-SUM($EE68:EH68),
IF($N68&lt;=1,
IF($N68&gt;0,1/$N68,0),
IF(EI$44=1,0,VDB(1,0,$N68,INT(EI$44-1-1),MIN($N68,INT(EI$44-1-1)+1),$DC68,IF($DD68="No",1,0))/
IF(DP68&gt;=INT($N68),$N68-INT($N68),1)))*
IF(EI$44=1,0,
IF(INT(DQ68)=INT(DP68),DQ68-DP68,INT(DQ68)-DP68))+
IF($N68&lt;=1,
IF($N68&gt;0,1/$N68,0),VDB(1,0,$N68,INT(EI$44-1),MIN($N68,INT(EI$44-1)+1),$DC68,IF($DD68="No",1,0))/
IF(DQ68&gt;INT($N68),$N68-INT($N68),1))*
IF(EI$44=1,DQ68,
IF(INT(DQ68)=INT(DP68),0,DQ68-INT(DQ68)))))</f>
        <v>0</v>
      </c>
      <c r="EJ68" s="835">
        <f>+IF(DR68=DQ68,0,
IF(AND(EJ$44&gt;1,DR68=$N68),1-SUM($EE68:EI68),
IF($N68&lt;=1,
IF($N68&gt;0,1/$N68,0),
IF(EJ$44=1,0,VDB(1,0,$N68,INT(EJ$44-1-1),MIN($N68,INT(EJ$44-1-1)+1),$DC68,IF($DD68="No",1,0))/
IF(DQ68&gt;=INT($N68),$N68-INT($N68),1)))*
IF(EJ$44=1,0,
IF(INT(DR68)=INT(DQ68),DR68-DQ68,INT(DR68)-DQ68))+
IF($N68&lt;=1,
IF($N68&gt;0,1/$N68,0),VDB(1,0,$N68,INT(EJ$44-1),MIN($N68,INT(EJ$44-1)+1),$DC68,IF($DD68="No",1,0))/
IF(DR68&gt;INT($N68),$N68-INT($N68),1))*
IF(EJ$44=1,DR68,
IF(INT(DR68)=INT(DQ68),0,DR68-INT(DR68)))))</f>
        <v>0</v>
      </c>
      <c r="EK68" s="835">
        <f>+IF(DS68=DR68,0,
IF(AND(EK$44&gt;1,DS68=$N68),1-SUM($EE68:EJ68),
IF($N68&lt;=1,
IF($N68&gt;0,1/$N68,0),
IF(EK$44=1,0,VDB(1,0,$N68,INT(EK$44-1-1),MIN($N68,INT(EK$44-1-1)+1),$DC68,IF($DD68="No",1,0))/
IF(DR68&gt;=INT($N68),$N68-INT($N68),1)))*
IF(EK$44=1,0,
IF(INT(DS68)=INT(DR68),DS68-DR68,INT(DS68)-DR68))+
IF($N68&lt;=1,
IF($N68&gt;0,1/$N68,0),VDB(1,0,$N68,INT(EK$44-1),MIN($N68,INT(EK$44-1)+1),$DC68,IF($DD68="No",1,0))/
IF(DS68&gt;INT($N68),$N68-INT($N68),1))*
IF(EK$44=1,DS68,
IF(INT(DS68)=INT(DR68),0,DS68-INT(DS68)))))</f>
        <v>0</v>
      </c>
      <c r="EL68" s="835">
        <f>+IF(DT68=DS68,0,
IF(AND(EL$44&gt;1,DT68=$N68),1-SUM($EE68:EK68),
IF($N68&lt;=1,
IF($N68&gt;0,1/$N68,0),
IF(EL$44=1,0,VDB(1,0,$N68,INT(EL$44-1-1),MIN($N68,INT(EL$44-1-1)+1),$DC68,IF($DD68="No",1,0))/
IF(DS68&gt;=INT($N68),$N68-INT($N68),1)))*
IF(EL$44=1,0,
IF(INT(DT68)=INT(DS68),DT68-DS68,INT(DT68)-DS68))+
IF($N68&lt;=1,
IF($N68&gt;0,1/$N68,0),VDB(1,0,$N68,INT(EL$44-1),MIN($N68,INT(EL$44-1)+1),$DC68,IF($DD68="No",1,0))/
IF(DT68&gt;INT($N68),$N68-INT($N68),1))*
IF(EL$44=1,DT68,
IF(INT(DT68)=INT(DS68),0,DT68-INT(DT68)))))</f>
        <v>0</v>
      </c>
      <c r="EM68" s="836">
        <f>+IF(DU68=DT68,0,
IF(AND(EM$44&gt;1,DU68=$N68),1-SUM($EE68:EL68),
IF($N68&lt;=1,
IF($N68&gt;0,1/$N68,0),
IF(EM$44=1,0,VDB(1,0,$N68,INT(EM$44-1-1),MIN($N68,INT(EM$44-1-1)+1),$DC68,IF($DD68="No",1,0))/
IF(DT68&gt;=INT($N68),$N68-INT($N68),1)))*
IF(EM$44=1,0,
IF(INT(DU68)=INT(DT68),DU68-DT68,INT(DU68)-DT68))+
IF($N68&lt;=1,
IF($N68&gt;0,1/$N68,0),VDB(1,0,$N68,INT(EM$44-1),MIN($N68,INT(EM$44-1)+1),$DC68,IF($DD68="No",1,0))/
IF(DU68&gt;INT($N68),$N68-INT($N68),1))*
IF(EM$44=1,DU68,
IF(INT(DU68)=INT(DT68),0,DU68-INT(DU68)))))</f>
        <v>0</v>
      </c>
      <c r="EN68" s="833"/>
      <c r="EO68" s="834">
        <f>+IF(OR(DW68=DV68,EO$44=1),0,
IF(AND(EO$44&gt;1,DW68=$N68),1-SUM($EN68:EN68),
IF($N68&lt;=1,
IF($N68&gt;0,1/$N68,0),
IF(EO$44=2,0,VDB(1,0,$N68,INT(EO$44-2-1),MIN($N68,INT(EO$44-2-1)+1),$DC68,IF($DD68="No",1,0))/
IF(DV68&gt;=INT($N68),$N68-INT($N68),1)))*
IF(EO$44=2,0,
IF(INT(DW68)=INT(DV68),DW68-DV68,INT(DW68)-DV68))+
IF($N68&lt;=1,
IF($N68&gt;0,1/$N68,0),VDB(1,0,$N68,INT(EO$44-2),MIN($N68,INT(EO$44-2)+1),$DC68,IF($DD68="No",1,0))/
IF(DW68&gt;INT($N68),$N68-INT($N68),1))*
IF(EO$44=2,DW68,
IF(INT(DW68)=INT(DV68),0,DW68-INT(DW68)))))</f>
        <v>0</v>
      </c>
      <c r="EP68" s="835">
        <f>+IF(OR(DX68=DW68,EP$44=1),0,
IF(AND(EP$44&gt;1,DX68=$N68),1-SUM($EN68:EO68),
IF($N68&lt;=1,
IF($N68&gt;0,1/$N68,0),
IF(EP$44=2,0,VDB(1,0,$N68,INT(EP$44-2-1),MIN($N68,INT(EP$44-2-1)+1),$DC68,IF($DD68="No",1,0))/
IF(DW68&gt;=INT($N68),$N68-INT($N68),1)))*
IF(EP$44=2,0,
IF(INT(DX68)=INT(DW68),DX68-DW68,INT(DX68)-DW68))+
IF($N68&lt;=1,
IF($N68&gt;0,1/$N68,0),VDB(1,0,$N68,INT(EP$44-2),MIN($N68,INT(EP$44-2)+1),$DC68,IF($DD68="No",1,0))/
IF(DX68&gt;INT($N68),$N68-INT($N68),1))*
IF(EP$44=2,DX68,
IF(INT(DX68)=INT(DW68),0,DX68-INT(DX68)))))</f>
        <v>0</v>
      </c>
      <c r="EQ68" s="836">
        <f>+IF(OR(DY68=DX68,EQ$44=1),0,
IF(AND(EQ$44&gt;1,DY68=$N68),1-SUM($EN68:EP68),
IF($N68&lt;=1,
IF($N68&gt;0,1/$N68,0),
IF(EQ$44=2,0,VDB(1,0,$N68,INT(EQ$44-2-1),MIN($N68,INT(EQ$44-2-1)+1),$DC68,IF($DD68="No",1,0))/
IF(DX68&gt;=INT($N68),$N68-INT($N68),1)))*
IF(EQ$44=2,0,
IF(INT(DY68)=INT(DX68),DY68-DX68,INT(DY68)-DX68))+
IF($N68&lt;=1,
IF($N68&gt;0,1/$N68,0),VDB(1,0,$N68,INT(EQ$44-2),MIN($N68,INT(EQ$44-2)+1),$DC68,IF($DD68="No",1,0))/
IF(DY68&gt;INT($N68),$N68-INT($N68),1))*
IF(EQ$44=2,DY68,
IF(INT(DY68)=INT(DX68),0,DY68-INT(DY68)))))</f>
        <v>0</v>
      </c>
      <c r="ER68" s="834">
        <f>+IF(OR(DZ68=DY68,ER$44=1),0,
IF(AND(ER$44&gt;1,DZ68=$N68),1-SUM($EN68:EQ68),
IF($N68&lt;=1,
IF($N68&gt;0,1/$N68,0),
IF(ER$44=2,0,VDB(1,0,$N68,INT(ER$44-2-1),MIN($N68,INT(ER$44-2-1)+1),$DC68,IF($DD68="No",1,0))/
IF(DY68&gt;=INT($N68),$N68-INT($N68),1)))*
IF(ER$44=2,0,
IF(INT(DZ68)=INT(DY68),DZ68-DY68,INT(DZ68)-DY68))+
IF($N68&lt;=1,
IF($N68&gt;0,1/$N68,0),VDB(1,0,$N68,INT(ER$44-2),MIN($N68,INT(ER$44-2)+1),$DC68,IF($DD68="No",1,0))/
IF(DZ68&gt;INT($N68),$N68-INT($N68),1))*
IF(ER$44=2,DZ68,
IF(INT(DZ68)=INT(DY68),0,DZ68-INT(DZ68)))))</f>
        <v>0</v>
      </c>
      <c r="ES68" s="835">
        <f>+IF(OR(EA68=DZ68,ES$44=1),0,
IF(AND(ES$44&gt;1,EA68=$N68),1-SUM($EN68:ER68),
IF($N68&lt;=1,
IF($N68&gt;0,1/$N68,0),
IF(ES$44=2,0,VDB(1,0,$N68,INT(ES$44-2-1),MIN($N68,INT(ES$44-2-1)+1),$DC68,IF($DD68="No",1,0))/
IF(DZ68&gt;=INT($N68),$N68-INT($N68),1)))*
IF(ES$44=2,0,
IF(INT(EA68)=INT(DZ68),EA68-DZ68,INT(EA68)-DZ68))+
IF($N68&lt;=1,
IF($N68&gt;0,1/$N68,0),VDB(1,0,$N68,INT(ES$44-2),MIN($N68,INT(ES$44-2)+1),$DC68,IF($DD68="No",1,0))/
IF(EA68&gt;INT($N68),$N68-INT($N68),1))*
IF(ES$44=2,EA68,
IF(INT(EA68)=INT(DZ68),0,EA68-INT(EA68)))))</f>
        <v>0</v>
      </c>
      <c r="ET68" s="835">
        <f>+IF(OR(EB68=EA68,ET$44=1),0,
IF(AND(ET$44&gt;1,EB68=$N68),1-SUM($EN68:ES68),
IF($N68&lt;=1,
IF($N68&gt;0,1/$N68,0),
IF(ET$44=2,0,VDB(1,0,$N68,INT(ET$44-2-1),MIN($N68,INT(ET$44-2-1)+1),$DC68,IF($DD68="No",1,0))/
IF(EA68&gt;=INT($N68),$N68-INT($N68),1)))*
IF(ET$44=2,0,
IF(INT(EB68)=INT(EA68),EB68-EA68,INT(EB68)-EA68))+
IF($N68&lt;=1,
IF($N68&gt;0,1/$N68,0),VDB(1,0,$N68,INT(ET$44-2),MIN($N68,INT(ET$44-2)+1),$DC68,IF($DD68="No",1,0))/
IF(EB68&gt;INT($N68),$N68-INT($N68),1))*
IF(ET$44=2,EB68,
IF(INT(EB68)=INT(EA68),0,EB68-INT(EB68)))))</f>
        <v>0</v>
      </c>
      <c r="EU68" s="835">
        <f>+IF(OR(EC68=EB68,EU$44=1),0,
IF(AND(EU$44&gt;1,EC68=$N68),1-SUM($EN68:ET68),
IF($N68&lt;=1,
IF($N68&gt;0,1/$N68,0),
IF(EU$44=2,0,VDB(1,0,$N68,INT(EU$44-2-1),MIN($N68,INT(EU$44-2-1)+1),$DC68,IF($DD68="No",1,0))/
IF(EB68&gt;=INT($N68),$N68-INT($N68),1)))*
IF(EU$44=2,0,
IF(INT(EC68)=INT(EB68),EC68-EB68,INT(EC68)-EB68))+
IF($N68&lt;=1,
IF($N68&gt;0,1/$N68,0),VDB(1,0,$N68,INT(EU$44-2),MIN($N68,INT(EU$44-2)+1),$DC68,IF($DD68="No",1,0))/
IF(EC68&gt;INT($N68),$N68-INT($N68),1))*
IF(EU$44=2,EC68,
IF(INT(EC68)=INT(EB68),0,EC68-INT(EC68)))))</f>
        <v>0</v>
      </c>
      <c r="EV68" s="836">
        <f>+IF(OR(ED68=EC68,EV$44=1),0,
IF(AND(EV$44&gt;1,ED68=$N68),1-SUM($EN68:EU68),
IF($N68&lt;=1,
IF($N68&gt;0,1/$N68,0),
IF(EV$44=2,0,VDB(1,0,$N68,INT(EV$44-2-1),MIN($N68,INT(EV$44-2-1)+1),$DC68,IF($DD68="No",1,0))/
IF(EC68&gt;=INT($N68),$N68-INT($N68),1)))*
IF(EV$44=2,0,
IF(INT(ED68)=INT(EC68),ED68-EC68,INT(ED68)-EC68))+
IF($N68&lt;=1,
IF($N68&gt;0,1/$N68,0),VDB(1,0,$N68,INT(EV$44-2),MIN($N68,INT(EV$44-2)+1),$DC68,IF($DD68="No",1,0))/
IF(ED68&gt;INT($N68),$N68-INT($N68),1))*
IF(EV$44=2,ED68,
IF(INT(ED68)=INT(EC68),0,ED68-INT(ED68)))))</f>
        <v>0</v>
      </c>
      <c r="EW68" s="833"/>
      <c r="EX68" s="834">
        <f t="shared" ca="1" si="133"/>
        <v>0</v>
      </c>
      <c r="EY68" s="835">
        <f t="shared" ca="1" si="133"/>
        <v>0</v>
      </c>
      <c r="EZ68" s="836">
        <f t="shared" ca="1" si="133"/>
        <v>0</v>
      </c>
      <c r="FA68" s="834">
        <f t="shared" ca="1" si="133"/>
        <v>0</v>
      </c>
      <c r="FB68" s="835">
        <f t="shared" ca="1" si="133"/>
        <v>0</v>
      </c>
      <c r="FC68" s="835">
        <f t="shared" ca="1" si="133"/>
        <v>0</v>
      </c>
      <c r="FD68" s="835">
        <f t="shared" ca="1" si="133"/>
        <v>0</v>
      </c>
      <c r="FE68" s="836">
        <f t="shared" ca="1" si="133"/>
        <v>0</v>
      </c>
      <c r="FG68" s="386">
        <f t="shared" ca="1" si="182"/>
        <v>0</v>
      </c>
      <c r="FH68" s="387">
        <f t="shared" ca="1" si="183"/>
        <v>0</v>
      </c>
      <c r="FI68" s="388">
        <f t="shared" ca="1" si="184"/>
        <v>0</v>
      </c>
      <c r="FJ68" s="386">
        <f t="shared" ca="1" si="185"/>
        <v>0</v>
      </c>
      <c r="FK68" s="387">
        <f t="shared" ca="1" si="186"/>
        <v>0</v>
      </c>
      <c r="FL68" s="387">
        <f t="shared" ca="1" si="187"/>
        <v>0</v>
      </c>
      <c r="FM68" s="387">
        <f t="shared" ca="1" si="188"/>
        <v>0</v>
      </c>
      <c r="FN68" s="388">
        <f t="shared" ca="1" si="189"/>
        <v>0</v>
      </c>
      <c r="FR68" s="116"/>
    </row>
    <row r="69" spans="2:174">
      <c r="B69" s="1410">
        <f t="shared" si="135"/>
        <v>23</v>
      </c>
      <c r="C69" s="400" t="s">
        <v>547</v>
      </c>
      <c r="D69" s="410"/>
      <c r="E69" s="402" t="s">
        <v>402</v>
      </c>
      <c r="F69" s="402" t="s">
        <v>520</v>
      </c>
      <c r="G69" s="400" t="s">
        <v>522</v>
      </c>
      <c r="H69" s="2088" t="s">
        <v>483</v>
      </c>
      <c r="I69" s="2089"/>
      <c r="J69" s="411" t="s">
        <v>516</v>
      </c>
      <c r="K69" s="403" t="s">
        <v>544</v>
      </c>
      <c r="L69" s="403">
        <v>35</v>
      </c>
      <c r="M69" s="403" t="s">
        <v>142</v>
      </c>
      <c r="N69" s="403"/>
      <c r="O69" s="347"/>
      <c r="P69" s="347"/>
      <c r="Q69" s="1021">
        <v>0.72151609756097568</v>
      </c>
      <c r="R69" s="1022">
        <v>2.1058941106484239</v>
      </c>
      <c r="S69" s="1022">
        <v>5.3612320192684395</v>
      </c>
      <c r="T69" s="1022">
        <v>4.7593759274050438</v>
      </c>
      <c r="U69" s="1023">
        <v>1.7721278466570822</v>
      </c>
      <c r="V69" s="1021">
        <v>0.22850866947953377</v>
      </c>
      <c r="W69" s="1022">
        <v>0.52999709810255424</v>
      </c>
      <c r="X69" s="1022">
        <v>4.1279624747109347</v>
      </c>
      <c r="Y69" s="1022">
        <v>0</v>
      </c>
      <c r="Z69" s="1023">
        <v>0</v>
      </c>
      <c r="AA69" s="1024"/>
      <c r="AB69" s="1021">
        <v>0</v>
      </c>
      <c r="AC69" s="1022">
        <v>0</v>
      </c>
      <c r="AD69" s="1022">
        <v>0</v>
      </c>
      <c r="AE69" s="1022">
        <v>0</v>
      </c>
      <c r="AF69" s="1023">
        <v>0</v>
      </c>
      <c r="AG69" s="1021">
        <v>0</v>
      </c>
      <c r="AH69" s="1022">
        <v>0</v>
      </c>
      <c r="AI69" s="1022">
        <v>0</v>
      </c>
      <c r="AJ69" s="1022">
        <v>0</v>
      </c>
      <c r="AK69" s="1023">
        <v>0</v>
      </c>
      <c r="AL69" s="1024"/>
      <c r="AM69" s="1021">
        <v>0</v>
      </c>
      <c r="AN69" s="1022">
        <v>0</v>
      </c>
      <c r="AO69" s="1022">
        <v>0</v>
      </c>
      <c r="AP69" s="1022">
        <v>0</v>
      </c>
      <c r="AQ69" s="1023">
        <v>0</v>
      </c>
      <c r="AR69" s="1021">
        <v>0</v>
      </c>
      <c r="AS69" s="1022">
        <v>0</v>
      </c>
      <c r="AT69" s="1022">
        <v>0</v>
      </c>
      <c r="AU69" s="1022">
        <v>0</v>
      </c>
      <c r="AV69" s="1023">
        <v>0</v>
      </c>
      <c r="AW69" s="1025"/>
      <c r="AX69" s="1282">
        <f t="shared" si="136"/>
        <v>0.72151609756097568</v>
      </c>
      <c r="AY69" s="387">
        <f t="shared" si="137"/>
        <v>2.1058941106484239</v>
      </c>
      <c r="AZ69" s="387">
        <f t="shared" si="138"/>
        <v>5.3612320192684395</v>
      </c>
      <c r="BA69" s="387">
        <f t="shared" si="139"/>
        <v>4.7593759274050438</v>
      </c>
      <c r="BB69" s="1283">
        <f t="shared" si="140"/>
        <v>1.7721278466570822</v>
      </c>
      <c r="BC69" s="386">
        <f t="shared" si="141"/>
        <v>0.22850866947953377</v>
      </c>
      <c r="BD69" s="387">
        <f t="shared" si="142"/>
        <v>0.52999709810255424</v>
      </c>
      <c r="BE69" s="1277">
        <f t="shared" si="143"/>
        <v>4.1279624747109347</v>
      </c>
      <c r="BF69" s="1277">
        <f t="shared" si="144"/>
        <v>0</v>
      </c>
      <c r="BG69" s="388">
        <f t="shared" si="145"/>
        <v>0</v>
      </c>
      <c r="BH69" s="1025"/>
      <c r="BI69" s="1282">
        <f t="shared" ca="1" si="146"/>
        <v>1.0307372822299652E-2</v>
      </c>
      <c r="BJ69" s="387">
        <f t="shared" ca="1" si="147"/>
        <v>5.0698947225291072E-2</v>
      </c>
      <c r="BK69" s="387">
        <f t="shared" ca="1" si="148"/>
        <v>0.15737217765267486</v>
      </c>
      <c r="BL69" s="387">
        <f t="shared" ca="1" si="149"/>
        <v>0.30195229117658173</v>
      </c>
      <c r="BM69" s="1283">
        <f t="shared" ca="1" si="150"/>
        <v>0.39525948794889781</v>
      </c>
      <c r="BN69" s="386">
        <f t="shared" ca="1" si="151"/>
        <v>0.42384000960799229</v>
      </c>
      <c r="BO69" s="387">
        <f t="shared" ca="1" si="152"/>
        <v>0.43467580628773644</v>
      </c>
      <c r="BP69" s="1277">
        <f t="shared" ca="1" si="153"/>
        <v>0.50121808589935768</v>
      </c>
      <c r="BQ69" s="1277">
        <f t="shared" ca="1" si="154"/>
        <v>0.56018897839522819</v>
      </c>
      <c r="BR69" s="388">
        <f t="shared" ca="1" si="155"/>
        <v>0.56018897839522819</v>
      </c>
      <c r="BS69" s="1025"/>
      <c r="BT69" s="1282">
        <f>+IF($K69="Ongoing",AX69,IF(RIGHT($K69,2)=RIGHT(BT$43,2),SUM($AX69:AX69),0)+IF(RIGHT(BT$43,2)&gt;RIGHT($K69,2),AX69,0))</f>
        <v>0.72151609756097568</v>
      </c>
      <c r="BU69" s="387">
        <f>+IF($K69="Ongoing",AY69,IF(RIGHT($K69,2)=RIGHT(BU$43,2),SUM($AX69:AY69),0)+IF(RIGHT(BU$43,2)&gt;RIGHT($K69,2),AY69,0))</f>
        <v>2.1058941106484239</v>
      </c>
      <c r="BV69" s="387">
        <f>+IF($K69="Ongoing",AZ69,IF(RIGHT($K69,2)=RIGHT(BV$43,2),SUM($AX69:AZ69),0)+IF(RIGHT(BV$43,2)&gt;RIGHT($K69,2),AZ69,0))</f>
        <v>5.3612320192684395</v>
      </c>
      <c r="BW69" s="387">
        <f>+IF($K69="Ongoing",BA69,IF(RIGHT($K69,2)=RIGHT(BW$43,2),SUM($AX69:BA69),0)+IF(RIGHT(BW$43,2)&gt;RIGHT($K69,2),BA69,0))</f>
        <v>4.7593759274050438</v>
      </c>
      <c r="BX69" s="1283">
        <f>+IF($K69="Ongoing",BB69,IF(RIGHT($K69,2)=RIGHT(BX$43,2),SUM($AX69:BB69),0)+IF(RIGHT(BX$43,2)&gt;RIGHT($K69,2),BB69,0))</f>
        <v>1.7721278466570822</v>
      </c>
      <c r="BY69" s="386">
        <f>+IF($K69="Ongoing",BC69,IF(RIGHT($K69,2)=RIGHT(BY$43,2),SUM($AX69:BC69),0)+IF(RIGHT(BY$43,2)&gt;RIGHT($K69,2),BC69,0))</f>
        <v>0.22850866947953377</v>
      </c>
      <c r="BZ69" s="387">
        <f>+IF($K69="Ongoing",BD69,IF(RIGHT($K69,2)=RIGHT(BZ$43,2),SUM($AX69:BD69),0)+IF(RIGHT(BZ$43,2)&gt;RIGHT($K69,2),BD69,0))</f>
        <v>0.52999709810255424</v>
      </c>
      <c r="CA69" s="1277">
        <f>+IF($K69="Ongoing",BE69,IF(RIGHT($K69,2)=RIGHT(CA$43,2),SUM($AX69:BE69),0)+IF(RIGHT(CA$43,2)&gt;RIGHT($K69,2),BE69,0))</f>
        <v>4.1279624747109347</v>
      </c>
      <c r="CB69" s="1277">
        <f>+IF($K69="Ongoing",BF69,IF(RIGHT($K69,2)=RIGHT(CB$43,2),SUM($AX69:BF69),0)+IF(RIGHT(CB$43,2)&gt;RIGHT($K69,2),BF69,0))</f>
        <v>0</v>
      </c>
      <c r="CC69" s="388">
        <f>+IF($K69="Ongoing",BG69,IF(RIGHT($K69,2)=RIGHT(CC$43,2),SUM($AX69:BG69),0)+IF(RIGHT(CC$43,2)&gt;RIGHT($K69,2),BG69,0))</f>
        <v>0</v>
      </c>
      <c r="CD69" s="1025"/>
      <c r="CE69" s="1282">
        <f>+Q69*KeyAssumptionsPriceControl_FO!AF$15</f>
        <v>0.7424400643902439</v>
      </c>
      <c r="CF69" s="387">
        <f>+R69*KeyAssumptionsPriceControl_FO!AG$15</f>
        <v>2.2298070260130878</v>
      </c>
      <c r="CG69" s="387">
        <f>+S69*KeyAssumptionsPriceControl_FO!AH$15</f>
        <v>5.8413163484171253</v>
      </c>
      <c r="CH69" s="387">
        <f>+T69*KeyAssumptionsPriceControl_FO!AI$15</f>
        <v>5.335947017807853</v>
      </c>
      <c r="CI69" s="1283">
        <f>+U69*KeyAssumptionsPriceControl_FO!AJ$15</f>
        <v>2.0444284871834215</v>
      </c>
      <c r="CJ69" s="386">
        <f>+V69*KeyAssumptionsPriceControl_FO!AK$15</f>
        <v>0.27126572934863397</v>
      </c>
      <c r="CK69" s="387">
        <f>+W69*KeyAssumptionsPriceControl_FO!AL$15</f>
        <v>0.64741255173433576</v>
      </c>
      <c r="CL69" s="1277">
        <f>+X69*KeyAssumptionsPriceControl_FO!AM$15</f>
        <v>5.188702119160161</v>
      </c>
      <c r="CM69" s="1277">
        <f>+Y69*KeyAssumptionsPriceControl_FO!AN$15</f>
        <v>0</v>
      </c>
      <c r="CN69" s="388">
        <f>+Z69*KeyAssumptionsPriceControl_FO!AO$15</f>
        <v>0</v>
      </c>
      <c r="CO69" s="1025"/>
      <c r="CP69" s="1282">
        <f t="shared" ca="1" si="156"/>
        <v>0</v>
      </c>
      <c r="CQ69" s="387">
        <f t="shared" ca="1" si="157"/>
        <v>0</v>
      </c>
      <c r="CR69" s="387">
        <f t="shared" ca="1" si="158"/>
        <v>0</v>
      </c>
      <c r="CS69" s="387">
        <f t="shared" ca="1" si="159"/>
        <v>0</v>
      </c>
      <c r="CT69" s="1283">
        <f t="shared" ca="1" si="160"/>
        <v>0</v>
      </c>
      <c r="CU69" s="386">
        <f t="shared" ca="1" si="161"/>
        <v>0</v>
      </c>
      <c r="CV69" s="387">
        <f t="shared" ca="1" si="162"/>
        <v>0</v>
      </c>
      <c r="CW69" s="1277">
        <f t="shared" ca="1" si="163"/>
        <v>0</v>
      </c>
      <c r="CX69" s="1277">
        <f t="shared" ca="1" si="164"/>
        <v>0</v>
      </c>
      <c r="CY69" s="388">
        <f t="shared" ca="1" si="165"/>
        <v>0</v>
      </c>
      <c r="CZ69" s="347"/>
      <c r="DA69" s="852"/>
      <c r="DB69" s="347"/>
      <c r="DC69" s="1012" t="s">
        <v>542</v>
      </c>
      <c r="DD69" s="841" t="s">
        <v>518</v>
      </c>
      <c r="DE69" s="386">
        <f>+IF($K69="ongoing",CE69,IF(RIGHT($K69,2)=RIGHT(DE$43,2),SUM($CD69:CE69),0)+IF(RIGHT(DE$43,2)&gt;RIGHT($K69,2),CE69,0))</f>
        <v>0.7424400643902439</v>
      </c>
      <c r="DF69" s="387">
        <f>+IF($K69="ongoing",CF69,IF(RIGHT($K69,2)=RIGHT(DF$43,2),SUM($CD69:CF69),0)+IF(RIGHT(DF$43,2)&gt;RIGHT($K69,2),CF69,0))</f>
        <v>2.2298070260130878</v>
      </c>
      <c r="DG69" s="388">
        <f>+IF($K69="ongoing",CG69,IF(RIGHT($K69,2)=RIGHT(DG$43,2),SUM($CD69:CG69),0)+IF(RIGHT(DG$43,2)&gt;RIGHT($K69,2),CG69,0))</f>
        <v>5.8413163484171253</v>
      </c>
      <c r="DH69" s="386">
        <f>+IF($K69="ongoing",CH69,IF(RIGHT($K69,2)=RIGHT(DH$43,2),SUM($CD69:CH69),0)+IF(RIGHT(DH$43,2)&gt;RIGHT($K69,2),CH69,0))</f>
        <v>5.335947017807853</v>
      </c>
      <c r="DI69" s="387">
        <f>+IF($K69="ongoing",CI69,IF(RIGHT($K69,2)=RIGHT(DI$43,2),SUM($CD69:CI69),0)+IF(RIGHT(DI$43,2)&gt;RIGHT($K69,2),CI69,0))</f>
        <v>2.0444284871834215</v>
      </c>
      <c r="DJ69" s="387">
        <f>+IF($K69="ongoing",CJ69,IF(RIGHT($K69,2)=RIGHT(DJ$43,2),SUM($CD69:CJ69),0)+IF(RIGHT(DJ$43,2)&gt;RIGHT($K69,2),CJ69,0))</f>
        <v>0.27126572934863397</v>
      </c>
      <c r="DK69" s="387">
        <f>+IF($K69="ongoing",CK69,IF(RIGHT($K69,2)=RIGHT(DK$43,2),SUM($CD69:CK69),0)+IF(RIGHT(DK$43,2)&gt;RIGHT($K69,2),CK69,0))</f>
        <v>0.64741255173433576</v>
      </c>
      <c r="DL69" s="388">
        <f>+IF($K69="ongoing",CN69,IF(RIGHT($K69,2)=RIGHT(DL$43,2),SUM($CD69:CN69),0)+IF(RIGHT(DL$43,2)&gt;RIGHT($K69,2),CN69,0))</f>
        <v>0</v>
      </c>
      <c r="DM69" s="841"/>
      <c r="DN69" s="386">
        <f t="shared" si="166"/>
        <v>0.5</v>
      </c>
      <c r="DO69" s="387">
        <f t="shared" si="167"/>
        <v>1</v>
      </c>
      <c r="DP69" s="388">
        <f t="shared" si="168"/>
        <v>1</v>
      </c>
      <c r="DQ69" s="386">
        <f t="shared" si="169"/>
        <v>1</v>
      </c>
      <c r="DR69" s="387">
        <f t="shared" si="170"/>
        <v>1</v>
      </c>
      <c r="DS69" s="387">
        <f t="shared" si="171"/>
        <v>1</v>
      </c>
      <c r="DT69" s="387">
        <f t="shared" si="172"/>
        <v>1</v>
      </c>
      <c r="DU69" s="388">
        <f t="shared" si="173"/>
        <v>1</v>
      </c>
      <c r="DW69" s="386">
        <f t="shared" si="174"/>
        <v>0</v>
      </c>
      <c r="DX69" s="387">
        <f t="shared" si="175"/>
        <v>0.5</v>
      </c>
      <c r="DY69" s="388">
        <f t="shared" si="176"/>
        <v>1</v>
      </c>
      <c r="DZ69" s="386">
        <f t="shared" si="177"/>
        <v>1</v>
      </c>
      <c r="EA69" s="387">
        <f t="shared" si="178"/>
        <v>1</v>
      </c>
      <c r="EB69" s="387">
        <f t="shared" si="179"/>
        <v>1</v>
      </c>
      <c r="EC69" s="387">
        <f t="shared" si="180"/>
        <v>1</v>
      </c>
      <c r="ED69" s="388">
        <f t="shared" si="181"/>
        <v>1</v>
      </c>
      <c r="EF69" s="834">
        <f>+IF(DN69=DM69,0,
IF(AND(EF$44&gt;1,DN69=$N69),1-SUM($EE69:EE69),
IF($N69&lt;=1,
IF($N69&gt;0,1/$N69,0),
IF(EF$44=1,0,VDB(1,0,$N69,INT(EF$44-1-1),MIN($N69,INT(EF$44-1-1)+1),$DC69,IF($DD69="No",1,0))/
IF(DM69&gt;=INT($N69),$N69-INT($N69),1)))*
IF(EF$44=1,0,
IF(INT(DN69)=INT(DM69),DN69-DM69,INT(DN69)-DM69))+
IF($N69&lt;=1,
IF($N69&gt;0,1/$N69,0),VDB(1,0,$N69,INT(EF$44-1),MIN($N69,INT(EF$44-1)+1),$DC69,IF($DD69="No",1,0))/
IF(DN69&gt;INT($N69),$N69-INT($N69),1))*
IF(EF$44=1,DN69,
IF(INT(DN69)=INT(DM69),0,DN69-INT(DN69)))))</f>
        <v>0</v>
      </c>
      <c r="EG69" s="835">
        <f>+IF(DO69=DN69,0,
IF(AND(EG$44&gt;1,DO69=$N69),1-SUM($EE69:EF69),
IF($N69&lt;=1,
IF($N69&gt;0,1/$N69,0),
IF(EG$44=1,0,VDB(1,0,$N69,INT(EG$44-1-1),MIN($N69,INT(EG$44-1-1)+1),$DC69,IF($DD69="No",1,0))/
IF(DN69&gt;=INT($N69),$N69-INT($N69),1)))*
IF(EG$44=1,0,
IF(INT(DO69)=INT(DN69),DO69-DN69,INT(DO69)-DN69))+
IF($N69&lt;=1,
IF($N69&gt;0,1/$N69,0),VDB(1,0,$N69,INT(EG$44-1),MIN($N69,INT(EG$44-1)+1),$DC69,IF($DD69="No",1,0))/
IF(DO69&gt;INT($N69),$N69-INT($N69),1))*
IF(EG$44=1,DO69,
IF(INT(DO69)=INT(DN69),0,DO69-INT(DO69)))))</f>
        <v>0</v>
      </c>
      <c r="EH69" s="836">
        <f>+IF(DP69=DO69,0,
IF(AND(EH$44&gt;1,DP69=$N69),1-SUM($EE69:EG69),
IF($N69&lt;=1,
IF($N69&gt;0,1/$N69,0),
IF(EH$44=1,0,VDB(1,0,$N69,INT(EH$44-1-1),MIN($N69,INT(EH$44-1-1)+1),$DC69,IF($DD69="No",1,0))/
IF(DO69&gt;=INT($N69),$N69-INT($N69),1)))*
IF(EH$44=1,0,
IF(INT(DP69)=INT(DO69),DP69-DO69,INT(DP69)-DO69))+
IF($N69&lt;=1,
IF($N69&gt;0,1/$N69,0),VDB(1,0,$N69,INT(EH$44-1),MIN($N69,INT(EH$44-1)+1),$DC69,IF($DD69="No",1,0))/
IF(DP69&gt;INT($N69),$N69-INT($N69),1))*
IF(EH$44=1,DP69,
IF(INT(DP69)=INT(DO69),0,DP69-INT(DP69)))))</f>
        <v>0</v>
      </c>
      <c r="EI69" s="834">
        <f>+IF(DQ69=DP69,0,
IF(AND(EI$44&gt;1,DQ69=$N69),1-SUM($EE69:EH69),
IF($N69&lt;=1,
IF($N69&gt;0,1/$N69,0),
IF(EI$44=1,0,VDB(1,0,$N69,INT(EI$44-1-1),MIN($N69,INT(EI$44-1-1)+1),$DC69,IF($DD69="No",1,0))/
IF(DP69&gt;=INT($N69),$N69-INT($N69),1)))*
IF(EI$44=1,0,
IF(INT(DQ69)=INT(DP69),DQ69-DP69,INT(DQ69)-DP69))+
IF($N69&lt;=1,
IF($N69&gt;0,1/$N69,0),VDB(1,0,$N69,INT(EI$44-1),MIN($N69,INT(EI$44-1)+1),$DC69,IF($DD69="No",1,0))/
IF(DQ69&gt;INT($N69),$N69-INT($N69),1))*
IF(EI$44=1,DQ69,
IF(INT(DQ69)=INT(DP69),0,DQ69-INT(DQ69)))))</f>
        <v>0</v>
      </c>
      <c r="EJ69" s="835">
        <f>+IF(DR69=DQ69,0,
IF(AND(EJ$44&gt;1,DR69=$N69),1-SUM($EE69:EI69),
IF($N69&lt;=1,
IF($N69&gt;0,1/$N69,0),
IF(EJ$44=1,0,VDB(1,0,$N69,INT(EJ$44-1-1),MIN($N69,INT(EJ$44-1-1)+1),$DC69,IF($DD69="No",1,0))/
IF(DQ69&gt;=INT($N69),$N69-INT($N69),1)))*
IF(EJ$44=1,0,
IF(INT(DR69)=INT(DQ69),DR69-DQ69,INT(DR69)-DQ69))+
IF($N69&lt;=1,
IF($N69&gt;0,1/$N69,0),VDB(1,0,$N69,INT(EJ$44-1),MIN($N69,INT(EJ$44-1)+1),$DC69,IF($DD69="No",1,0))/
IF(DR69&gt;INT($N69),$N69-INT($N69),1))*
IF(EJ$44=1,DR69,
IF(INT(DR69)=INT(DQ69),0,DR69-INT(DR69)))))</f>
        <v>0</v>
      </c>
      <c r="EK69" s="835">
        <f>+IF(DS69=DR69,0,
IF(AND(EK$44&gt;1,DS69=$N69),1-SUM($EE69:EJ69),
IF($N69&lt;=1,
IF($N69&gt;0,1/$N69,0),
IF(EK$44=1,0,VDB(1,0,$N69,INT(EK$44-1-1),MIN($N69,INT(EK$44-1-1)+1),$DC69,IF($DD69="No",1,0))/
IF(DR69&gt;=INT($N69),$N69-INT($N69),1)))*
IF(EK$44=1,0,
IF(INT(DS69)=INT(DR69),DS69-DR69,INT(DS69)-DR69))+
IF($N69&lt;=1,
IF($N69&gt;0,1/$N69,0),VDB(1,0,$N69,INT(EK$44-1),MIN($N69,INT(EK$44-1)+1),$DC69,IF($DD69="No",1,0))/
IF(DS69&gt;INT($N69),$N69-INT($N69),1))*
IF(EK$44=1,DS69,
IF(INT(DS69)=INT(DR69),0,DS69-INT(DS69)))))</f>
        <v>0</v>
      </c>
      <c r="EL69" s="835">
        <f>+IF(DT69=DS69,0,
IF(AND(EL$44&gt;1,DT69=$N69),1-SUM($EE69:EK69),
IF($N69&lt;=1,
IF($N69&gt;0,1/$N69,0),
IF(EL$44=1,0,VDB(1,0,$N69,INT(EL$44-1-1),MIN($N69,INT(EL$44-1-1)+1),$DC69,IF($DD69="No",1,0))/
IF(DS69&gt;=INT($N69),$N69-INT($N69),1)))*
IF(EL$44=1,0,
IF(INT(DT69)=INT(DS69),DT69-DS69,INT(DT69)-DS69))+
IF($N69&lt;=1,
IF($N69&gt;0,1/$N69,0),VDB(1,0,$N69,INT(EL$44-1),MIN($N69,INT(EL$44-1)+1),$DC69,IF($DD69="No",1,0))/
IF(DT69&gt;INT($N69),$N69-INT($N69),1))*
IF(EL$44=1,DT69,
IF(INT(DT69)=INT(DS69),0,DT69-INT(DT69)))))</f>
        <v>0</v>
      </c>
      <c r="EM69" s="836">
        <f>+IF(DU69=DT69,0,
IF(AND(EM$44&gt;1,DU69=$N69),1-SUM($EE69:EL69),
IF($N69&lt;=1,
IF($N69&gt;0,1/$N69,0),
IF(EM$44=1,0,VDB(1,0,$N69,INT(EM$44-1-1),MIN($N69,INT(EM$44-1-1)+1),$DC69,IF($DD69="No",1,0))/
IF(DT69&gt;=INT($N69),$N69-INT($N69),1)))*
IF(EM$44=1,0,
IF(INT(DU69)=INT(DT69),DU69-DT69,INT(DU69)-DT69))+
IF($N69&lt;=1,
IF($N69&gt;0,1/$N69,0),VDB(1,0,$N69,INT(EM$44-1),MIN($N69,INT(EM$44-1)+1),$DC69,IF($DD69="No",1,0))/
IF(DU69&gt;INT($N69),$N69-INT($N69),1))*
IF(EM$44=1,DU69,
IF(INT(DU69)=INT(DT69),0,DU69-INT(DU69)))))</f>
        <v>0</v>
      </c>
      <c r="EN69" s="833"/>
      <c r="EO69" s="834">
        <f>+IF(OR(DW69=DV69,EO$44=1),0,
IF(AND(EO$44&gt;1,DW69=$N69),1-SUM($EN69:EN69),
IF($N69&lt;=1,
IF($N69&gt;0,1/$N69,0),
IF(EO$44=2,0,VDB(1,0,$N69,INT(EO$44-2-1),MIN($N69,INT(EO$44-2-1)+1),$DC69,IF($DD69="No",1,0))/
IF(DV69&gt;=INT($N69),$N69-INT($N69),1)))*
IF(EO$44=2,0,
IF(INT(DW69)=INT(DV69),DW69-DV69,INT(DW69)-DV69))+
IF($N69&lt;=1,
IF($N69&gt;0,1/$N69,0),VDB(1,0,$N69,INT(EO$44-2),MIN($N69,INT(EO$44-2)+1),$DC69,IF($DD69="No",1,0))/
IF(DW69&gt;INT($N69),$N69-INT($N69),1))*
IF(EO$44=2,DW69,
IF(INT(DW69)=INT(DV69),0,DW69-INT(DW69)))))</f>
        <v>0</v>
      </c>
      <c r="EP69" s="835">
        <f>+IF(OR(DX69=DW69,EP$44=1),0,
IF(AND(EP$44&gt;1,DX69=$N69),1-SUM($EN69:EO69),
IF($N69&lt;=1,
IF($N69&gt;0,1/$N69,0),
IF(EP$44=2,0,VDB(1,0,$N69,INT(EP$44-2-1),MIN($N69,INT(EP$44-2-1)+1),$DC69,IF($DD69="No",1,0))/
IF(DW69&gt;=INT($N69),$N69-INT($N69),1)))*
IF(EP$44=2,0,
IF(INT(DX69)=INT(DW69),DX69-DW69,INT(DX69)-DW69))+
IF($N69&lt;=1,
IF($N69&gt;0,1/$N69,0),VDB(1,0,$N69,INT(EP$44-2),MIN($N69,INT(EP$44-2)+1),$DC69,IF($DD69="No",1,0))/
IF(DX69&gt;INT($N69),$N69-INT($N69),1))*
IF(EP$44=2,DX69,
IF(INT(DX69)=INT(DW69),0,DX69-INT(DX69)))))</f>
        <v>0</v>
      </c>
      <c r="EQ69" s="836">
        <f>+IF(OR(DY69=DX69,EQ$44=1),0,
IF(AND(EQ$44&gt;1,DY69=$N69),1-SUM($EN69:EP69),
IF($N69&lt;=1,
IF($N69&gt;0,1/$N69,0),
IF(EQ$44=2,0,VDB(1,0,$N69,INT(EQ$44-2-1),MIN($N69,INT(EQ$44-2-1)+1),$DC69,IF($DD69="No",1,0))/
IF(DX69&gt;=INT($N69),$N69-INT($N69),1)))*
IF(EQ$44=2,0,
IF(INT(DY69)=INT(DX69),DY69-DX69,INT(DY69)-DX69))+
IF($N69&lt;=1,
IF($N69&gt;0,1/$N69,0),VDB(1,0,$N69,INT(EQ$44-2),MIN($N69,INT(EQ$44-2)+1),$DC69,IF($DD69="No",1,0))/
IF(DY69&gt;INT($N69),$N69-INT($N69),1))*
IF(EQ$44=2,DY69,
IF(INT(DY69)=INT(DX69),0,DY69-INT(DY69)))))</f>
        <v>0</v>
      </c>
      <c r="ER69" s="834">
        <f>+IF(OR(DZ69=DY69,ER$44=1),0,
IF(AND(ER$44&gt;1,DZ69=$N69),1-SUM($EN69:EQ69),
IF($N69&lt;=1,
IF($N69&gt;0,1/$N69,0),
IF(ER$44=2,0,VDB(1,0,$N69,INT(ER$44-2-1),MIN($N69,INT(ER$44-2-1)+1),$DC69,IF($DD69="No",1,0))/
IF(DY69&gt;=INT($N69),$N69-INT($N69),1)))*
IF(ER$44=2,0,
IF(INT(DZ69)=INT(DY69),DZ69-DY69,INT(DZ69)-DY69))+
IF($N69&lt;=1,
IF($N69&gt;0,1/$N69,0),VDB(1,0,$N69,INT(ER$44-2),MIN($N69,INT(ER$44-2)+1),$DC69,IF($DD69="No",1,0))/
IF(DZ69&gt;INT($N69),$N69-INT($N69),1))*
IF(ER$44=2,DZ69,
IF(INT(DZ69)=INT(DY69),0,DZ69-INT(DZ69)))))</f>
        <v>0</v>
      </c>
      <c r="ES69" s="835">
        <f>+IF(OR(EA69=DZ69,ES$44=1),0,
IF(AND(ES$44&gt;1,EA69=$N69),1-SUM($EN69:ER69),
IF($N69&lt;=1,
IF($N69&gt;0,1/$N69,0),
IF(ES$44=2,0,VDB(1,0,$N69,INT(ES$44-2-1),MIN($N69,INT(ES$44-2-1)+1),$DC69,IF($DD69="No",1,0))/
IF(DZ69&gt;=INT($N69),$N69-INT($N69),1)))*
IF(ES$44=2,0,
IF(INT(EA69)=INT(DZ69),EA69-DZ69,INT(EA69)-DZ69))+
IF($N69&lt;=1,
IF($N69&gt;0,1/$N69,0),VDB(1,0,$N69,INT(ES$44-2),MIN($N69,INT(ES$44-2)+1),$DC69,IF($DD69="No",1,0))/
IF(EA69&gt;INT($N69),$N69-INT($N69),1))*
IF(ES$44=2,EA69,
IF(INT(EA69)=INT(DZ69),0,EA69-INT(EA69)))))</f>
        <v>0</v>
      </c>
      <c r="ET69" s="835">
        <f>+IF(OR(EB69=EA69,ET$44=1),0,
IF(AND(ET$44&gt;1,EB69=$N69),1-SUM($EN69:ES69),
IF($N69&lt;=1,
IF($N69&gt;0,1/$N69,0),
IF(ET$44=2,0,VDB(1,0,$N69,INT(ET$44-2-1),MIN($N69,INT(ET$44-2-1)+1),$DC69,IF($DD69="No",1,0))/
IF(EA69&gt;=INT($N69),$N69-INT($N69),1)))*
IF(ET$44=2,0,
IF(INT(EB69)=INT(EA69),EB69-EA69,INT(EB69)-EA69))+
IF($N69&lt;=1,
IF($N69&gt;0,1/$N69,0),VDB(1,0,$N69,INT(ET$44-2),MIN($N69,INT(ET$44-2)+1),$DC69,IF($DD69="No",1,0))/
IF(EB69&gt;INT($N69),$N69-INT($N69),1))*
IF(ET$44=2,EB69,
IF(INT(EB69)=INT(EA69),0,EB69-INT(EB69)))))</f>
        <v>0</v>
      </c>
      <c r="EU69" s="835">
        <f>+IF(OR(EC69=EB69,EU$44=1),0,
IF(AND(EU$44&gt;1,EC69=$N69),1-SUM($EN69:ET69),
IF($N69&lt;=1,
IF($N69&gt;0,1/$N69,0),
IF(EU$44=2,0,VDB(1,0,$N69,INT(EU$44-2-1),MIN($N69,INT(EU$44-2-1)+1),$DC69,IF($DD69="No",1,0))/
IF(EB69&gt;=INT($N69),$N69-INT($N69),1)))*
IF(EU$44=2,0,
IF(INT(EC69)=INT(EB69),EC69-EB69,INT(EC69)-EB69))+
IF($N69&lt;=1,
IF($N69&gt;0,1/$N69,0),VDB(1,0,$N69,INT(EU$44-2),MIN($N69,INT(EU$44-2)+1),$DC69,IF($DD69="No",1,0))/
IF(EC69&gt;INT($N69),$N69-INT($N69),1))*
IF(EU$44=2,EC69,
IF(INT(EC69)=INT(EB69),0,EC69-INT(EC69)))))</f>
        <v>0</v>
      </c>
      <c r="EV69" s="836">
        <f>+IF(OR(ED69=EC69,EV$44=1),0,
IF(AND(EV$44&gt;1,ED69=$N69),1-SUM($EN69:EU69),
IF($N69&lt;=1,
IF($N69&gt;0,1/$N69,0),
IF(EV$44=2,0,VDB(1,0,$N69,INT(EV$44-2-1),MIN($N69,INT(EV$44-2-1)+1),$DC69,IF($DD69="No",1,0))/
IF(EC69&gt;=INT($N69),$N69-INT($N69),1)))*
IF(EV$44=2,0,
IF(INT(ED69)=INT(EC69),ED69-EC69,INT(ED69)-EC69))+
IF($N69&lt;=1,
IF($N69&gt;0,1/$N69,0),VDB(1,0,$N69,INT(EV$44-2),MIN($N69,INT(EV$44-2)+1),$DC69,IF($DD69="No",1,0))/
IF(ED69&gt;INT($N69),$N69-INT($N69),1))*
IF(EV$44=2,ED69,
IF(INT(ED69)=INT(EC69),0,ED69-INT(ED69)))))</f>
        <v>0</v>
      </c>
      <c r="EW69" s="833"/>
      <c r="EX69" s="834">
        <f t="shared" ca="1" si="133"/>
        <v>0</v>
      </c>
      <c r="EY69" s="835">
        <f t="shared" ca="1" si="133"/>
        <v>0</v>
      </c>
      <c r="EZ69" s="836">
        <f t="shared" ca="1" si="133"/>
        <v>0</v>
      </c>
      <c r="FA69" s="834">
        <f t="shared" ca="1" si="133"/>
        <v>0</v>
      </c>
      <c r="FB69" s="835">
        <f t="shared" ca="1" si="133"/>
        <v>0</v>
      </c>
      <c r="FC69" s="835">
        <f t="shared" ca="1" si="133"/>
        <v>0</v>
      </c>
      <c r="FD69" s="835">
        <f t="shared" ca="1" si="133"/>
        <v>0</v>
      </c>
      <c r="FE69" s="836">
        <f t="shared" ca="1" si="133"/>
        <v>0</v>
      </c>
      <c r="FG69" s="386">
        <f t="shared" ca="1" si="182"/>
        <v>0</v>
      </c>
      <c r="FH69" s="387">
        <f t="shared" ca="1" si="183"/>
        <v>0</v>
      </c>
      <c r="FI69" s="388">
        <f t="shared" ca="1" si="184"/>
        <v>0</v>
      </c>
      <c r="FJ69" s="386">
        <f t="shared" ca="1" si="185"/>
        <v>0</v>
      </c>
      <c r="FK69" s="387">
        <f t="shared" ca="1" si="186"/>
        <v>0</v>
      </c>
      <c r="FL69" s="387">
        <f t="shared" ca="1" si="187"/>
        <v>0</v>
      </c>
      <c r="FM69" s="387">
        <f t="shared" ca="1" si="188"/>
        <v>0</v>
      </c>
      <c r="FN69" s="388">
        <f t="shared" ca="1" si="189"/>
        <v>0</v>
      </c>
      <c r="FR69" s="116"/>
    </row>
    <row r="70" spans="2:174">
      <c r="B70" s="1410">
        <f t="shared" si="135"/>
        <v>24</v>
      </c>
      <c r="C70" s="400" t="s">
        <v>547</v>
      </c>
      <c r="D70" s="410"/>
      <c r="E70" s="402" t="s">
        <v>402</v>
      </c>
      <c r="F70" s="402" t="s">
        <v>514</v>
      </c>
      <c r="G70" s="400" t="s">
        <v>522</v>
      </c>
      <c r="H70" s="2088" t="s">
        <v>483</v>
      </c>
      <c r="I70" s="2089"/>
      <c r="J70" s="411" t="s">
        <v>516</v>
      </c>
      <c r="K70" s="403" t="s">
        <v>544</v>
      </c>
      <c r="L70" s="403">
        <v>35</v>
      </c>
      <c r="M70" s="403" t="s">
        <v>142</v>
      </c>
      <c r="N70" s="403"/>
      <c r="O70" s="347"/>
      <c r="P70" s="347"/>
      <c r="Q70" s="1021">
        <v>5.8546517073170738</v>
      </c>
      <c r="R70" s="1022">
        <v>2.6588706722189177</v>
      </c>
      <c r="S70" s="1022">
        <v>4.6429970545987453</v>
      </c>
      <c r="T70" s="1022">
        <v>29.231562046471737</v>
      </c>
      <c r="U70" s="1023">
        <v>27.960343260349109</v>
      </c>
      <c r="V70" s="1021">
        <v>26.98139396894976</v>
      </c>
      <c r="W70" s="1022">
        <v>17.393862874351459</v>
      </c>
      <c r="X70" s="1022">
        <v>0.15792969664899681</v>
      </c>
      <c r="Y70" s="1022">
        <v>0</v>
      </c>
      <c r="Z70" s="1023">
        <v>0</v>
      </c>
      <c r="AA70" s="1024"/>
      <c r="AB70" s="1021">
        <v>0</v>
      </c>
      <c r="AC70" s="1022">
        <v>0</v>
      </c>
      <c r="AD70" s="1022">
        <v>0</v>
      </c>
      <c r="AE70" s="1022">
        <v>0</v>
      </c>
      <c r="AF70" s="1023">
        <v>0</v>
      </c>
      <c r="AG70" s="1021">
        <v>0</v>
      </c>
      <c r="AH70" s="1022">
        <v>0</v>
      </c>
      <c r="AI70" s="1022">
        <v>0</v>
      </c>
      <c r="AJ70" s="1022">
        <v>0</v>
      </c>
      <c r="AK70" s="1023">
        <v>0</v>
      </c>
      <c r="AL70" s="1024"/>
      <c r="AM70" s="1021">
        <v>0</v>
      </c>
      <c r="AN70" s="1022">
        <v>0</v>
      </c>
      <c r="AO70" s="1022">
        <v>0</v>
      </c>
      <c r="AP70" s="1022">
        <v>0</v>
      </c>
      <c r="AQ70" s="1023">
        <v>0</v>
      </c>
      <c r="AR70" s="1021">
        <v>0</v>
      </c>
      <c r="AS70" s="1022">
        <v>0</v>
      </c>
      <c r="AT70" s="1022">
        <v>0</v>
      </c>
      <c r="AU70" s="1022">
        <v>0</v>
      </c>
      <c r="AV70" s="1023">
        <v>0</v>
      </c>
      <c r="AW70" s="1025"/>
      <c r="AX70" s="1282">
        <f t="shared" si="136"/>
        <v>5.8546517073170738</v>
      </c>
      <c r="AY70" s="387">
        <f t="shared" si="137"/>
        <v>2.6588706722189177</v>
      </c>
      <c r="AZ70" s="387">
        <f t="shared" si="138"/>
        <v>4.6429970545987453</v>
      </c>
      <c r="BA70" s="387">
        <f t="shared" si="139"/>
        <v>29.231562046471737</v>
      </c>
      <c r="BB70" s="1283">
        <f t="shared" si="140"/>
        <v>27.960343260349109</v>
      </c>
      <c r="BC70" s="386">
        <f t="shared" si="141"/>
        <v>26.98139396894976</v>
      </c>
      <c r="BD70" s="387">
        <f t="shared" si="142"/>
        <v>17.393862874351459</v>
      </c>
      <c r="BE70" s="1277">
        <f t="shared" si="143"/>
        <v>0.15792969664899681</v>
      </c>
      <c r="BF70" s="1277">
        <f t="shared" si="144"/>
        <v>0</v>
      </c>
      <c r="BG70" s="388">
        <f t="shared" si="145"/>
        <v>0</v>
      </c>
      <c r="BH70" s="1025"/>
      <c r="BI70" s="1282">
        <f t="shared" ca="1" si="146"/>
        <v>8.3637881533101061E-2</v>
      </c>
      <c r="BJ70" s="387">
        <f t="shared" ca="1" si="147"/>
        <v>0.20525962981218665</v>
      </c>
      <c r="BK70" s="387">
        <f t="shared" ca="1" si="148"/>
        <v>0.30957202590958188</v>
      </c>
      <c r="BL70" s="387">
        <f t="shared" ca="1" si="149"/>
        <v>0.79349429878201727</v>
      </c>
      <c r="BM70" s="1283">
        <f t="shared" ca="1" si="150"/>
        <v>1.6105215174508865</v>
      </c>
      <c r="BN70" s="386">
        <f t="shared" ca="1" si="151"/>
        <v>2.3954034778694417</v>
      </c>
      <c r="BO70" s="387">
        <f t="shared" ca="1" si="152"/>
        <v>3.0293357184880305</v>
      </c>
      <c r="BP70" s="1277">
        <f t="shared" ca="1" si="153"/>
        <v>3.2800756123594654</v>
      </c>
      <c r="BQ70" s="1277">
        <f t="shared" ca="1" si="154"/>
        <v>3.2823317508830225</v>
      </c>
      <c r="BR70" s="388">
        <f t="shared" ca="1" si="155"/>
        <v>3.2823317508830225</v>
      </c>
      <c r="BS70" s="1025"/>
      <c r="BT70" s="1282">
        <f>+IF($K70="Ongoing",AX70,IF(RIGHT($K70,2)=RIGHT(BT$43,2),SUM($AX70:AX70),0)+IF(RIGHT(BT$43,2)&gt;RIGHT($K70,2),AX70,0))</f>
        <v>5.8546517073170738</v>
      </c>
      <c r="BU70" s="387">
        <f>+IF($K70="Ongoing",AY70,IF(RIGHT($K70,2)=RIGHT(BU$43,2),SUM($AX70:AY70),0)+IF(RIGHT(BU$43,2)&gt;RIGHT($K70,2),AY70,0))</f>
        <v>2.6588706722189177</v>
      </c>
      <c r="BV70" s="387">
        <f>+IF($K70="Ongoing",AZ70,IF(RIGHT($K70,2)=RIGHT(BV$43,2),SUM($AX70:AZ70),0)+IF(RIGHT(BV$43,2)&gt;RIGHT($K70,2),AZ70,0))</f>
        <v>4.6429970545987453</v>
      </c>
      <c r="BW70" s="387">
        <f>+IF($K70="Ongoing",BA70,IF(RIGHT($K70,2)=RIGHT(BW$43,2),SUM($AX70:BA70),0)+IF(RIGHT(BW$43,2)&gt;RIGHT($K70,2),BA70,0))</f>
        <v>29.231562046471737</v>
      </c>
      <c r="BX70" s="1283">
        <f>+IF($K70="Ongoing",BB70,IF(RIGHT($K70,2)=RIGHT(BX$43,2),SUM($AX70:BB70),0)+IF(RIGHT(BX$43,2)&gt;RIGHT($K70,2),BB70,0))</f>
        <v>27.960343260349109</v>
      </c>
      <c r="BY70" s="386">
        <f>+IF($K70="Ongoing",BC70,IF(RIGHT($K70,2)=RIGHT(BY$43,2),SUM($AX70:BC70),0)+IF(RIGHT(BY$43,2)&gt;RIGHT($K70,2),BC70,0))</f>
        <v>26.98139396894976</v>
      </c>
      <c r="BZ70" s="387">
        <f>+IF($K70="Ongoing",BD70,IF(RIGHT($K70,2)=RIGHT(BZ$43,2),SUM($AX70:BD70),0)+IF(RIGHT(BZ$43,2)&gt;RIGHT($K70,2),BD70,0))</f>
        <v>17.393862874351459</v>
      </c>
      <c r="CA70" s="1277">
        <f>+IF($K70="Ongoing",BE70,IF(RIGHT($K70,2)=RIGHT(CA$43,2),SUM($AX70:BE70),0)+IF(RIGHT(CA$43,2)&gt;RIGHT($K70,2),BE70,0))</f>
        <v>0.15792969664899681</v>
      </c>
      <c r="CB70" s="1277">
        <f>+IF($K70="Ongoing",BF70,IF(RIGHT($K70,2)=RIGHT(CB$43,2),SUM($AX70:BF70),0)+IF(RIGHT(CB$43,2)&gt;RIGHT($K70,2),BF70,0))</f>
        <v>0</v>
      </c>
      <c r="CC70" s="388">
        <f>+IF($K70="Ongoing",BG70,IF(RIGHT($K70,2)=RIGHT(CC$43,2),SUM($AX70:BG70),0)+IF(RIGHT(CC$43,2)&gt;RIGHT($K70,2),BG70,0))</f>
        <v>0</v>
      </c>
      <c r="CD70" s="1025"/>
      <c r="CE70" s="1282">
        <f>+Q70*KeyAssumptionsPriceControl_FO!AF$15</f>
        <v>6.0244366068292683</v>
      </c>
      <c r="CF70" s="387">
        <f>+R70*KeyAssumptionsPriceControl_FO!AG$15</f>
        <v>2.8153212814429507</v>
      </c>
      <c r="CG70" s="387">
        <f>+S70*KeyAssumptionsPriceControl_FO!AH$15</f>
        <v>5.0587653179727523</v>
      </c>
      <c r="CH70" s="387">
        <f>+T70*KeyAssumptionsPriceControl_FO!AI$15</f>
        <v>32.772798095144388</v>
      </c>
      <c r="CI70" s="1283">
        <f>+U70*KeyAssumptionsPriceControl_FO!AJ$15</f>
        <v>32.256658220633497</v>
      </c>
      <c r="CJ70" s="386">
        <f>+V70*KeyAssumptionsPriceControl_FO!AK$15</f>
        <v>32.029977376790612</v>
      </c>
      <c r="CK70" s="387">
        <f>+W70*KeyAssumptionsPriceControl_FO!AL$15</f>
        <v>21.247295859386018</v>
      </c>
      <c r="CL70" s="1277">
        <f>+X70*KeyAssumptionsPriceControl_FO!AM$15</f>
        <v>0.19851201572232172</v>
      </c>
      <c r="CM70" s="1277">
        <f>+Y70*KeyAssumptionsPriceControl_FO!AN$15</f>
        <v>0</v>
      </c>
      <c r="CN70" s="388">
        <f>+Z70*KeyAssumptionsPriceControl_FO!AO$15</f>
        <v>0</v>
      </c>
      <c r="CO70" s="1025"/>
      <c r="CP70" s="1282">
        <f t="shared" ca="1" si="156"/>
        <v>0</v>
      </c>
      <c r="CQ70" s="387">
        <f t="shared" ca="1" si="157"/>
        <v>0</v>
      </c>
      <c r="CR70" s="387">
        <f t="shared" ca="1" si="158"/>
        <v>0</v>
      </c>
      <c r="CS70" s="387">
        <f t="shared" ca="1" si="159"/>
        <v>0</v>
      </c>
      <c r="CT70" s="1283">
        <f t="shared" ca="1" si="160"/>
        <v>0</v>
      </c>
      <c r="CU70" s="386">
        <f t="shared" ca="1" si="161"/>
        <v>0</v>
      </c>
      <c r="CV70" s="387">
        <f t="shared" ca="1" si="162"/>
        <v>0</v>
      </c>
      <c r="CW70" s="1277">
        <f t="shared" ca="1" si="163"/>
        <v>0</v>
      </c>
      <c r="CX70" s="1277">
        <f t="shared" ca="1" si="164"/>
        <v>0</v>
      </c>
      <c r="CY70" s="388">
        <f t="shared" ca="1" si="165"/>
        <v>0</v>
      </c>
      <c r="CZ70" s="347"/>
      <c r="DA70" s="852"/>
      <c r="DB70" s="347"/>
      <c r="DC70" s="1012" t="s">
        <v>548</v>
      </c>
      <c r="DD70" s="841" t="s">
        <v>518</v>
      </c>
      <c r="DE70" s="386">
        <f>+IF($K70="ongoing",CE70,IF(RIGHT($K70,2)=RIGHT(DE$43,2),SUM($CD70:CE70),0)+IF(RIGHT(DE$43,2)&gt;RIGHT($K70,2),CE70,0))</f>
        <v>6.0244366068292683</v>
      </c>
      <c r="DF70" s="387">
        <f>+IF($K70="ongoing",CF70,IF(RIGHT($K70,2)=RIGHT(DF$43,2),SUM($CD70:CF70),0)+IF(RIGHT(DF$43,2)&gt;RIGHT($K70,2),CF70,0))</f>
        <v>2.8153212814429507</v>
      </c>
      <c r="DG70" s="388">
        <f>+IF($K70="ongoing",CG70,IF(RIGHT($K70,2)=RIGHT(DG$43,2),SUM($CD70:CG70),0)+IF(RIGHT(DG$43,2)&gt;RIGHT($K70,2),CG70,0))</f>
        <v>5.0587653179727523</v>
      </c>
      <c r="DH70" s="386">
        <f>+IF($K70="ongoing",CH70,IF(RIGHT($K70,2)=RIGHT(DH$43,2),SUM($CD70:CH70),0)+IF(RIGHT(DH$43,2)&gt;RIGHT($K70,2),CH70,0))</f>
        <v>32.772798095144388</v>
      </c>
      <c r="DI70" s="387">
        <f>+IF($K70="ongoing",CI70,IF(RIGHT($K70,2)=RIGHT(DI$43,2),SUM($CD70:CI70),0)+IF(RIGHT(DI$43,2)&gt;RIGHT($K70,2),CI70,0))</f>
        <v>32.256658220633497</v>
      </c>
      <c r="DJ70" s="387">
        <f>+IF($K70="ongoing",CJ70,IF(RIGHT($K70,2)=RIGHT(DJ$43,2),SUM($CD70:CJ70),0)+IF(RIGHT(DJ$43,2)&gt;RIGHT($K70,2),CJ70,0))</f>
        <v>32.029977376790612</v>
      </c>
      <c r="DK70" s="387">
        <f>+IF($K70="ongoing",CK70,IF(RIGHT($K70,2)=RIGHT(DK$43,2),SUM($CD70:CK70),0)+IF(RIGHT(DK$43,2)&gt;RIGHT($K70,2),CK70,0))</f>
        <v>21.247295859386018</v>
      </c>
      <c r="DL70" s="388">
        <f>+IF($K70="ongoing",CN70,IF(RIGHT($K70,2)=RIGHT(DL$43,2),SUM($CD70:CN70),0)+IF(RIGHT(DL$43,2)&gt;RIGHT($K70,2),CN70,0))</f>
        <v>0</v>
      </c>
      <c r="DM70" s="841"/>
      <c r="DN70" s="386">
        <f t="shared" si="166"/>
        <v>0.5</v>
      </c>
      <c r="DO70" s="387">
        <f t="shared" si="167"/>
        <v>1</v>
      </c>
      <c r="DP70" s="388">
        <f t="shared" si="168"/>
        <v>1</v>
      </c>
      <c r="DQ70" s="386">
        <f t="shared" si="169"/>
        <v>1</v>
      </c>
      <c r="DR70" s="387">
        <f t="shared" si="170"/>
        <v>1</v>
      </c>
      <c r="DS70" s="387">
        <f t="shared" si="171"/>
        <v>1</v>
      </c>
      <c r="DT70" s="387">
        <f t="shared" si="172"/>
        <v>1</v>
      </c>
      <c r="DU70" s="388">
        <f t="shared" si="173"/>
        <v>1</v>
      </c>
      <c r="DW70" s="386">
        <f t="shared" si="174"/>
        <v>0</v>
      </c>
      <c r="DX70" s="387">
        <f t="shared" si="175"/>
        <v>0.5</v>
      </c>
      <c r="DY70" s="388">
        <f t="shared" si="176"/>
        <v>1</v>
      </c>
      <c r="DZ70" s="386">
        <f t="shared" si="177"/>
        <v>1</v>
      </c>
      <c r="EA70" s="387">
        <f t="shared" si="178"/>
        <v>1</v>
      </c>
      <c r="EB70" s="387">
        <f t="shared" si="179"/>
        <v>1</v>
      </c>
      <c r="EC70" s="387">
        <f t="shared" si="180"/>
        <v>1</v>
      </c>
      <c r="ED70" s="388">
        <f t="shared" si="181"/>
        <v>1</v>
      </c>
      <c r="EF70" s="834">
        <f>+IF(DN70=DM70,0,
IF(AND(EF$44&gt;1,DN70=$N70),1-SUM($EE70:EE70),
IF($N70&lt;=1,
IF($N70&gt;0,1/$N70,0),
IF(EF$44=1,0,VDB(1,0,$N70,INT(EF$44-1-1),MIN($N70,INT(EF$44-1-1)+1),$DC70,IF($DD70="No",1,0))/
IF(DM70&gt;=INT($N70),$N70-INT($N70),1)))*
IF(EF$44=1,0,
IF(INT(DN70)=INT(DM70),DN70-DM70,INT(DN70)-DM70))+
IF($N70&lt;=1,
IF($N70&gt;0,1/$N70,0),VDB(1,0,$N70,INT(EF$44-1),MIN($N70,INT(EF$44-1)+1),$DC70,IF($DD70="No",1,0))/
IF(DN70&gt;INT($N70),$N70-INT($N70),1))*
IF(EF$44=1,DN70,
IF(INT(DN70)=INT(DM70),0,DN70-INT(DN70)))))</f>
        <v>0</v>
      </c>
      <c r="EG70" s="835">
        <f>+IF(DO70=DN70,0,
IF(AND(EG$44&gt;1,DO70=$N70),1-SUM($EE70:EF70),
IF($N70&lt;=1,
IF($N70&gt;0,1/$N70,0),
IF(EG$44=1,0,VDB(1,0,$N70,INT(EG$44-1-1),MIN($N70,INT(EG$44-1-1)+1),$DC70,IF($DD70="No",1,0))/
IF(DN70&gt;=INT($N70),$N70-INT($N70),1)))*
IF(EG$44=1,0,
IF(INT(DO70)=INT(DN70),DO70-DN70,INT(DO70)-DN70))+
IF($N70&lt;=1,
IF($N70&gt;0,1/$N70,0),VDB(1,0,$N70,INT(EG$44-1),MIN($N70,INT(EG$44-1)+1),$DC70,IF($DD70="No",1,0))/
IF(DO70&gt;INT($N70),$N70-INT($N70),1))*
IF(EG$44=1,DO70,
IF(INT(DO70)=INT(DN70),0,DO70-INT(DO70)))))</f>
        <v>0</v>
      </c>
      <c r="EH70" s="836">
        <f>+IF(DP70=DO70,0,
IF(AND(EH$44&gt;1,DP70=$N70),1-SUM($EE70:EG70),
IF($N70&lt;=1,
IF($N70&gt;0,1/$N70,0),
IF(EH$44=1,0,VDB(1,0,$N70,INT(EH$44-1-1),MIN($N70,INT(EH$44-1-1)+1),$DC70,IF($DD70="No",1,0))/
IF(DO70&gt;=INT($N70),$N70-INT($N70),1)))*
IF(EH$44=1,0,
IF(INT(DP70)=INT(DO70),DP70-DO70,INT(DP70)-DO70))+
IF($N70&lt;=1,
IF($N70&gt;0,1/$N70,0),VDB(1,0,$N70,INT(EH$44-1),MIN($N70,INT(EH$44-1)+1),$DC70,IF($DD70="No",1,0))/
IF(DP70&gt;INT($N70),$N70-INT($N70),1))*
IF(EH$44=1,DP70,
IF(INT(DP70)=INT(DO70),0,DP70-INT(DP70)))))</f>
        <v>0</v>
      </c>
      <c r="EI70" s="834">
        <f>+IF(DQ70=DP70,0,
IF(AND(EI$44&gt;1,DQ70=$N70),1-SUM($EE70:EH70),
IF($N70&lt;=1,
IF($N70&gt;0,1/$N70,0),
IF(EI$44=1,0,VDB(1,0,$N70,INT(EI$44-1-1),MIN($N70,INT(EI$44-1-1)+1),$DC70,IF($DD70="No",1,0))/
IF(DP70&gt;=INT($N70),$N70-INT($N70),1)))*
IF(EI$44=1,0,
IF(INT(DQ70)=INT(DP70),DQ70-DP70,INT(DQ70)-DP70))+
IF($N70&lt;=1,
IF($N70&gt;0,1/$N70,0),VDB(1,0,$N70,INT(EI$44-1),MIN($N70,INT(EI$44-1)+1),$DC70,IF($DD70="No",1,0))/
IF(DQ70&gt;INT($N70),$N70-INT($N70),1))*
IF(EI$44=1,DQ70,
IF(INT(DQ70)=INT(DP70),0,DQ70-INT(DQ70)))))</f>
        <v>0</v>
      </c>
      <c r="EJ70" s="835">
        <f>+IF(DR70=DQ70,0,
IF(AND(EJ$44&gt;1,DR70=$N70),1-SUM($EE70:EI70),
IF($N70&lt;=1,
IF($N70&gt;0,1/$N70,0),
IF(EJ$44=1,0,VDB(1,0,$N70,INT(EJ$44-1-1),MIN($N70,INT(EJ$44-1-1)+1),$DC70,IF($DD70="No",1,0))/
IF(DQ70&gt;=INT($N70),$N70-INT($N70),1)))*
IF(EJ$44=1,0,
IF(INT(DR70)=INT(DQ70),DR70-DQ70,INT(DR70)-DQ70))+
IF($N70&lt;=1,
IF($N70&gt;0,1/$N70,0),VDB(1,0,$N70,INT(EJ$44-1),MIN($N70,INT(EJ$44-1)+1),$DC70,IF($DD70="No",1,0))/
IF(DR70&gt;INT($N70),$N70-INT($N70),1))*
IF(EJ$44=1,DR70,
IF(INT(DR70)=INT(DQ70),0,DR70-INT(DR70)))))</f>
        <v>0</v>
      </c>
      <c r="EK70" s="835">
        <f>+IF(DS70=DR70,0,
IF(AND(EK$44&gt;1,DS70=$N70),1-SUM($EE70:EJ70),
IF($N70&lt;=1,
IF($N70&gt;0,1/$N70,0),
IF(EK$44=1,0,VDB(1,0,$N70,INT(EK$44-1-1),MIN($N70,INT(EK$44-1-1)+1),$DC70,IF($DD70="No",1,0))/
IF(DR70&gt;=INT($N70),$N70-INT($N70),1)))*
IF(EK$44=1,0,
IF(INT(DS70)=INT(DR70),DS70-DR70,INT(DS70)-DR70))+
IF($N70&lt;=1,
IF($N70&gt;0,1/$N70,0),VDB(1,0,$N70,INT(EK$44-1),MIN($N70,INT(EK$44-1)+1),$DC70,IF($DD70="No",1,0))/
IF(DS70&gt;INT($N70),$N70-INT($N70),1))*
IF(EK$44=1,DS70,
IF(INT(DS70)=INT(DR70),0,DS70-INT(DS70)))))</f>
        <v>0</v>
      </c>
      <c r="EL70" s="835">
        <f>+IF(DT70=DS70,0,
IF(AND(EL$44&gt;1,DT70=$N70),1-SUM($EE70:EK70),
IF($N70&lt;=1,
IF($N70&gt;0,1/$N70,0),
IF(EL$44=1,0,VDB(1,0,$N70,INT(EL$44-1-1),MIN($N70,INT(EL$44-1-1)+1),$DC70,IF($DD70="No",1,0))/
IF(DS70&gt;=INT($N70),$N70-INT($N70),1)))*
IF(EL$44=1,0,
IF(INT(DT70)=INT(DS70),DT70-DS70,INT(DT70)-DS70))+
IF($N70&lt;=1,
IF($N70&gt;0,1/$N70,0),VDB(1,0,$N70,INT(EL$44-1),MIN($N70,INT(EL$44-1)+1),$DC70,IF($DD70="No",1,0))/
IF(DT70&gt;INT($N70),$N70-INT($N70),1))*
IF(EL$44=1,DT70,
IF(INT(DT70)=INT(DS70),0,DT70-INT(DT70)))))</f>
        <v>0</v>
      </c>
      <c r="EM70" s="836">
        <f>+IF(DU70=DT70,0,
IF(AND(EM$44&gt;1,DU70=$N70),1-SUM($EE70:EL70),
IF($N70&lt;=1,
IF($N70&gt;0,1/$N70,0),
IF(EM$44=1,0,VDB(1,0,$N70,INT(EM$44-1-1),MIN($N70,INT(EM$44-1-1)+1),$DC70,IF($DD70="No",1,0))/
IF(DT70&gt;=INT($N70),$N70-INT($N70),1)))*
IF(EM$44=1,0,
IF(INT(DU70)=INT(DT70),DU70-DT70,INT(DU70)-DT70))+
IF($N70&lt;=1,
IF($N70&gt;0,1/$N70,0),VDB(1,0,$N70,INT(EM$44-1),MIN($N70,INT(EM$44-1)+1),$DC70,IF($DD70="No",1,0))/
IF(DU70&gt;INT($N70),$N70-INT($N70),1))*
IF(EM$44=1,DU70,
IF(INT(DU70)=INT(DT70),0,DU70-INT(DU70)))))</f>
        <v>0</v>
      </c>
      <c r="EN70" s="833"/>
      <c r="EO70" s="834">
        <f>+IF(OR(DW70=DV70,EO$44=1),0,
IF(AND(EO$44&gt;1,DW70=$N70),1-SUM($EN70:EN70),
IF($N70&lt;=1,
IF($N70&gt;0,1/$N70,0),
IF(EO$44=2,0,VDB(1,0,$N70,INT(EO$44-2-1),MIN($N70,INT(EO$44-2-1)+1),$DC70,IF($DD70="No",1,0))/
IF(DV70&gt;=INT($N70),$N70-INT($N70),1)))*
IF(EO$44=2,0,
IF(INT(DW70)=INT(DV70),DW70-DV70,INT(DW70)-DV70))+
IF($N70&lt;=1,
IF($N70&gt;0,1/$N70,0),VDB(1,0,$N70,INT(EO$44-2),MIN($N70,INT(EO$44-2)+1),$DC70,IF($DD70="No",1,0))/
IF(DW70&gt;INT($N70),$N70-INT($N70),1))*
IF(EO$44=2,DW70,
IF(INT(DW70)=INT(DV70),0,DW70-INT(DW70)))))</f>
        <v>0</v>
      </c>
      <c r="EP70" s="835">
        <f>+IF(OR(DX70=DW70,EP$44=1),0,
IF(AND(EP$44&gt;1,DX70=$N70),1-SUM($EN70:EO70),
IF($N70&lt;=1,
IF($N70&gt;0,1/$N70,0),
IF(EP$44=2,0,VDB(1,0,$N70,INT(EP$44-2-1),MIN($N70,INT(EP$44-2-1)+1),$DC70,IF($DD70="No",1,0))/
IF(DW70&gt;=INT($N70),$N70-INT($N70),1)))*
IF(EP$44=2,0,
IF(INT(DX70)=INT(DW70),DX70-DW70,INT(DX70)-DW70))+
IF($N70&lt;=1,
IF($N70&gt;0,1/$N70,0),VDB(1,0,$N70,INT(EP$44-2),MIN($N70,INT(EP$44-2)+1),$DC70,IF($DD70="No",1,0))/
IF(DX70&gt;INT($N70),$N70-INT($N70),1))*
IF(EP$44=2,DX70,
IF(INT(DX70)=INT(DW70),0,DX70-INT(DX70)))))</f>
        <v>0</v>
      </c>
      <c r="EQ70" s="836">
        <f>+IF(OR(DY70=DX70,EQ$44=1),0,
IF(AND(EQ$44&gt;1,DY70=$N70),1-SUM($EN70:EP70),
IF($N70&lt;=1,
IF($N70&gt;0,1/$N70,0),
IF(EQ$44=2,0,VDB(1,0,$N70,INT(EQ$44-2-1),MIN($N70,INT(EQ$44-2-1)+1),$DC70,IF($DD70="No",1,0))/
IF(DX70&gt;=INT($N70),$N70-INT($N70),1)))*
IF(EQ$44=2,0,
IF(INT(DY70)=INT(DX70),DY70-DX70,INT(DY70)-DX70))+
IF($N70&lt;=1,
IF($N70&gt;0,1/$N70,0),VDB(1,0,$N70,INT(EQ$44-2),MIN($N70,INT(EQ$44-2)+1),$DC70,IF($DD70="No",1,0))/
IF(DY70&gt;INT($N70),$N70-INT($N70),1))*
IF(EQ$44=2,DY70,
IF(INT(DY70)=INT(DX70),0,DY70-INT(DY70)))))</f>
        <v>0</v>
      </c>
      <c r="ER70" s="834">
        <f>+IF(OR(DZ70=DY70,ER$44=1),0,
IF(AND(ER$44&gt;1,DZ70=$N70),1-SUM($EN70:EQ70),
IF($N70&lt;=1,
IF($N70&gt;0,1/$N70,0),
IF(ER$44=2,0,VDB(1,0,$N70,INT(ER$44-2-1),MIN($N70,INT(ER$44-2-1)+1),$DC70,IF($DD70="No",1,0))/
IF(DY70&gt;=INT($N70),$N70-INT($N70),1)))*
IF(ER$44=2,0,
IF(INT(DZ70)=INT(DY70),DZ70-DY70,INT(DZ70)-DY70))+
IF($N70&lt;=1,
IF($N70&gt;0,1/$N70,0),VDB(1,0,$N70,INT(ER$44-2),MIN($N70,INT(ER$44-2)+1),$DC70,IF($DD70="No",1,0))/
IF(DZ70&gt;INT($N70),$N70-INT($N70),1))*
IF(ER$44=2,DZ70,
IF(INT(DZ70)=INT(DY70),0,DZ70-INT(DZ70)))))</f>
        <v>0</v>
      </c>
      <c r="ES70" s="835">
        <f>+IF(OR(EA70=DZ70,ES$44=1),0,
IF(AND(ES$44&gt;1,EA70=$N70),1-SUM($EN70:ER70),
IF($N70&lt;=1,
IF($N70&gt;0,1/$N70,0),
IF(ES$44=2,0,VDB(1,0,$N70,INT(ES$44-2-1),MIN($N70,INT(ES$44-2-1)+1),$DC70,IF($DD70="No",1,0))/
IF(DZ70&gt;=INT($N70),$N70-INT($N70),1)))*
IF(ES$44=2,0,
IF(INT(EA70)=INT(DZ70),EA70-DZ70,INT(EA70)-DZ70))+
IF($N70&lt;=1,
IF($N70&gt;0,1/$N70,0),VDB(1,0,$N70,INT(ES$44-2),MIN($N70,INT(ES$44-2)+1),$DC70,IF($DD70="No",1,0))/
IF(EA70&gt;INT($N70),$N70-INT($N70),1))*
IF(ES$44=2,EA70,
IF(INT(EA70)=INT(DZ70),0,EA70-INT(EA70)))))</f>
        <v>0</v>
      </c>
      <c r="ET70" s="835">
        <f>+IF(OR(EB70=EA70,ET$44=1),0,
IF(AND(ET$44&gt;1,EB70=$N70),1-SUM($EN70:ES70),
IF($N70&lt;=1,
IF($N70&gt;0,1/$N70,0),
IF(ET$44=2,0,VDB(1,0,$N70,INT(ET$44-2-1),MIN($N70,INT(ET$44-2-1)+1),$DC70,IF($DD70="No",1,0))/
IF(EA70&gt;=INT($N70),$N70-INT($N70),1)))*
IF(ET$44=2,0,
IF(INT(EB70)=INT(EA70),EB70-EA70,INT(EB70)-EA70))+
IF($N70&lt;=1,
IF($N70&gt;0,1/$N70,0),VDB(1,0,$N70,INT(ET$44-2),MIN($N70,INT(ET$44-2)+1),$DC70,IF($DD70="No",1,0))/
IF(EB70&gt;INT($N70),$N70-INT($N70),1))*
IF(ET$44=2,EB70,
IF(INT(EB70)=INT(EA70),0,EB70-INT(EB70)))))</f>
        <v>0</v>
      </c>
      <c r="EU70" s="835">
        <f>+IF(OR(EC70=EB70,EU$44=1),0,
IF(AND(EU$44&gt;1,EC70=$N70),1-SUM($EN70:ET70),
IF($N70&lt;=1,
IF($N70&gt;0,1/$N70,0),
IF(EU$44=2,0,VDB(1,0,$N70,INT(EU$44-2-1),MIN($N70,INT(EU$44-2-1)+1),$DC70,IF($DD70="No",1,0))/
IF(EB70&gt;=INT($N70),$N70-INT($N70),1)))*
IF(EU$44=2,0,
IF(INT(EC70)=INT(EB70),EC70-EB70,INT(EC70)-EB70))+
IF($N70&lt;=1,
IF($N70&gt;0,1/$N70,0),VDB(1,0,$N70,INT(EU$44-2),MIN($N70,INT(EU$44-2)+1),$DC70,IF($DD70="No",1,0))/
IF(EC70&gt;INT($N70),$N70-INT($N70),1))*
IF(EU$44=2,EC70,
IF(INT(EC70)=INT(EB70),0,EC70-INT(EC70)))))</f>
        <v>0</v>
      </c>
      <c r="EV70" s="836">
        <f>+IF(OR(ED70=EC70,EV$44=1),0,
IF(AND(EV$44&gt;1,ED70=$N70),1-SUM($EN70:EU70),
IF($N70&lt;=1,
IF($N70&gt;0,1/$N70,0),
IF(EV$44=2,0,VDB(1,0,$N70,INT(EV$44-2-1),MIN($N70,INT(EV$44-2-1)+1),$DC70,IF($DD70="No",1,0))/
IF(EC70&gt;=INT($N70),$N70-INT($N70),1)))*
IF(EV$44=2,0,
IF(INT(ED70)=INT(EC70),ED70-EC70,INT(ED70)-EC70))+
IF($N70&lt;=1,
IF($N70&gt;0,1/$N70,0),VDB(1,0,$N70,INT(EV$44-2),MIN($N70,INT(EV$44-2)+1),$DC70,IF($DD70="No",1,0))/
IF(ED70&gt;INT($N70),$N70-INT($N70),1))*
IF(EV$44=2,ED70,
IF(INT(ED70)=INT(EC70),0,ED70-INT(ED70)))))</f>
        <v>0</v>
      </c>
      <c r="EW70" s="833"/>
      <c r="EX70" s="834">
        <f t="shared" ca="1" si="133"/>
        <v>0</v>
      </c>
      <c r="EY70" s="835">
        <f t="shared" ca="1" si="133"/>
        <v>0</v>
      </c>
      <c r="EZ70" s="836">
        <f t="shared" ca="1" si="133"/>
        <v>0</v>
      </c>
      <c r="FA70" s="834">
        <f t="shared" ca="1" si="133"/>
        <v>0</v>
      </c>
      <c r="FB70" s="835">
        <f t="shared" ca="1" si="133"/>
        <v>0</v>
      </c>
      <c r="FC70" s="835">
        <f t="shared" ca="1" si="133"/>
        <v>0</v>
      </c>
      <c r="FD70" s="835">
        <f t="shared" ca="1" si="133"/>
        <v>0</v>
      </c>
      <c r="FE70" s="836">
        <f t="shared" ca="1" si="133"/>
        <v>0</v>
      </c>
      <c r="FG70" s="386">
        <f t="shared" ca="1" si="182"/>
        <v>0</v>
      </c>
      <c r="FH70" s="387">
        <f t="shared" ca="1" si="183"/>
        <v>0</v>
      </c>
      <c r="FI70" s="388">
        <f t="shared" ca="1" si="184"/>
        <v>0</v>
      </c>
      <c r="FJ70" s="386">
        <f t="shared" ca="1" si="185"/>
        <v>0</v>
      </c>
      <c r="FK70" s="387">
        <f t="shared" ca="1" si="186"/>
        <v>0</v>
      </c>
      <c r="FL70" s="387">
        <f t="shared" ca="1" si="187"/>
        <v>0</v>
      </c>
      <c r="FM70" s="387">
        <f t="shared" ca="1" si="188"/>
        <v>0</v>
      </c>
      <c r="FN70" s="388">
        <f t="shared" ca="1" si="189"/>
        <v>0</v>
      </c>
      <c r="FR70" s="116"/>
    </row>
    <row r="71" spans="2:174">
      <c r="B71" s="1410">
        <f t="shared" si="135"/>
        <v>25</v>
      </c>
      <c r="C71" s="400" t="s">
        <v>547</v>
      </c>
      <c r="D71" s="410"/>
      <c r="E71" s="402" t="s">
        <v>402</v>
      </c>
      <c r="F71" s="402" t="s">
        <v>527</v>
      </c>
      <c r="G71" s="400" t="s">
        <v>522</v>
      </c>
      <c r="H71" s="2088" t="s">
        <v>483</v>
      </c>
      <c r="I71" s="2089"/>
      <c r="J71" s="411" t="s">
        <v>516</v>
      </c>
      <c r="K71" s="403" t="s">
        <v>544</v>
      </c>
      <c r="L71" s="403">
        <v>35</v>
      </c>
      <c r="M71" s="403" t="s">
        <v>142</v>
      </c>
      <c r="N71" s="403"/>
      <c r="O71" s="347"/>
      <c r="P71" s="347"/>
      <c r="Q71" s="1021">
        <v>7.0366078048780496</v>
      </c>
      <c r="R71" s="1022">
        <v>0.12749649018441406</v>
      </c>
      <c r="S71" s="1022">
        <v>0</v>
      </c>
      <c r="T71" s="1022">
        <v>0</v>
      </c>
      <c r="U71" s="1023">
        <v>0</v>
      </c>
      <c r="V71" s="1021">
        <v>0</v>
      </c>
      <c r="W71" s="1022">
        <v>0</v>
      </c>
      <c r="X71" s="1022">
        <v>0</v>
      </c>
      <c r="Y71" s="1022">
        <v>0</v>
      </c>
      <c r="Z71" s="1023">
        <v>0</v>
      </c>
      <c r="AA71" s="1024"/>
      <c r="AB71" s="1021">
        <v>0</v>
      </c>
      <c r="AC71" s="1022">
        <v>0</v>
      </c>
      <c r="AD71" s="1022">
        <v>0</v>
      </c>
      <c r="AE71" s="1022">
        <v>0</v>
      </c>
      <c r="AF71" s="1023">
        <v>0</v>
      </c>
      <c r="AG71" s="1021">
        <v>0</v>
      </c>
      <c r="AH71" s="1022">
        <v>0</v>
      </c>
      <c r="AI71" s="1022">
        <v>0</v>
      </c>
      <c r="AJ71" s="1022">
        <v>0</v>
      </c>
      <c r="AK71" s="1023">
        <v>0</v>
      </c>
      <c r="AL71" s="1024"/>
      <c r="AM71" s="1021">
        <v>0</v>
      </c>
      <c r="AN71" s="1022">
        <v>0</v>
      </c>
      <c r="AO71" s="1022">
        <v>0</v>
      </c>
      <c r="AP71" s="1022">
        <v>0</v>
      </c>
      <c r="AQ71" s="1023">
        <v>0</v>
      </c>
      <c r="AR71" s="1021">
        <v>0</v>
      </c>
      <c r="AS71" s="1022">
        <v>0</v>
      </c>
      <c r="AT71" s="1022">
        <v>0</v>
      </c>
      <c r="AU71" s="1022">
        <v>0</v>
      </c>
      <c r="AV71" s="1023">
        <v>0</v>
      </c>
      <c r="AW71" s="1025"/>
      <c r="AX71" s="1282">
        <f t="shared" si="136"/>
        <v>7.0366078048780496</v>
      </c>
      <c r="AY71" s="387">
        <f t="shared" si="137"/>
        <v>0.12749649018441406</v>
      </c>
      <c r="AZ71" s="387">
        <f t="shared" si="138"/>
        <v>0</v>
      </c>
      <c r="BA71" s="387">
        <f t="shared" si="139"/>
        <v>0</v>
      </c>
      <c r="BB71" s="1283">
        <f t="shared" si="140"/>
        <v>0</v>
      </c>
      <c r="BC71" s="386">
        <f t="shared" si="141"/>
        <v>0</v>
      </c>
      <c r="BD71" s="387">
        <f t="shared" si="142"/>
        <v>0</v>
      </c>
      <c r="BE71" s="1277">
        <f t="shared" si="143"/>
        <v>0</v>
      </c>
      <c r="BF71" s="1277">
        <f t="shared" si="144"/>
        <v>0</v>
      </c>
      <c r="BG71" s="388">
        <f t="shared" si="145"/>
        <v>0</v>
      </c>
      <c r="BH71" s="1025"/>
      <c r="BI71" s="1282">
        <f t="shared" ca="1" si="146"/>
        <v>0.100522968641115</v>
      </c>
      <c r="BJ71" s="387">
        <f t="shared" ca="1" si="147"/>
        <v>0.20286731571343591</v>
      </c>
      <c r="BK71" s="387">
        <f t="shared" ca="1" si="148"/>
        <v>0.2046886941446418</v>
      </c>
      <c r="BL71" s="387">
        <f t="shared" ca="1" si="149"/>
        <v>0.2046886941446418</v>
      </c>
      <c r="BM71" s="1283">
        <f t="shared" ca="1" si="150"/>
        <v>0.2046886941446418</v>
      </c>
      <c r="BN71" s="386">
        <f t="shared" ca="1" si="151"/>
        <v>0.2046886941446418</v>
      </c>
      <c r="BO71" s="387">
        <f t="shared" ca="1" si="152"/>
        <v>0.2046886941446418</v>
      </c>
      <c r="BP71" s="1277">
        <f t="shared" ca="1" si="153"/>
        <v>0.2046886941446418</v>
      </c>
      <c r="BQ71" s="1277">
        <f t="shared" ca="1" si="154"/>
        <v>0.2046886941446418</v>
      </c>
      <c r="BR71" s="388">
        <f t="shared" ca="1" si="155"/>
        <v>0.2046886941446418</v>
      </c>
      <c r="BS71" s="1025"/>
      <c r="BT71" s="1282">
        <f>+IF($K71="Ongoing",AX71,IF(RIGHT($K71,2)=RIGHT(BT$43,2),SUM($AX71:AX71),0)+IF(RIGHT(BT$43,2)&gt;RIGHT($K71,2),AX71,0))</f>
        <v>7.0366078048780496</v>
      </c>
      <c r="BU71" s="387">
        <f>+IF($K71="Ongoing",AY71,IF(RIGHT($K71,2)=RIGHT(BU$43,2),SUM($AX71:AY71),0)+IF(RIGHT(BU$43,2)&gt;RIGHT($K71,2),AY71,0))</f>
        <v>0.12749649018441406</v>
      </c>
      <c r="BV71" s="387">
        <f>+IF($K71="Ongoing",AZ71,IF(RIGHT($K71,2)=RIGHT(BV$43,2),SUM($AX71:AZ71),0)+IF(RIGHT(BV$43,2)&gt;RIGHT($K71,2),AZ71,0))</f>
        <v>0</v>
      </c>
      <c r="BW71" s="387">
        <f>+IF($K71="Ongoing",BA71,IF(RIGHT($K71,2)=RIGHT(BW$43,2),SUM($AX71:BA71),0)+IF(RIGHT(BW$43,2)&gt;RIGHT($K71,2),BA71,0))</f>
        <v>0</v>
      </c>
      <c r="BX71" s="1283">
        <f>+IF($K71="Ongoing",BB71,IF(RIGHT($K71,2)=RIGHT(BX$43,2),SUM($AX71:BB71),0)+IF(RIGHT(BX$43,2)&gt;RIGHT($K71,2),BB71,0))</f>
        <v>0</v>
      </c>
      <c r="BY71" s="386">
        <f>+IF($K71="Ongoing",BC71,IF(RIGHT($K71,2)=RIGHT(BY$43,2),SUM($AX71:BC71),0)+IF(RIGHT(BY$43,2)&gt;RIGHT($K71,2),BC71,0))</f>
        <v>0</v>
      </c>
      <c r="BZ71" s="387">
        <f>+IF($K71="Ongoing",BD71,IF(RIGHT($K71,2)=RIGHT(BZ$43,2),SUM($AX71:BD71),0)+IF(RIGHT(BZ$43,2)&gt;RIGHT($K71,2),BD71,0))</f>
        <v>0</v>
      </c>
      <c r="CA71" s="1277">
        <f>+IF($K71="Ongoing",BE71,IF(RIGHT($K71,2)=RIGHT(CA$43,2),SUM($AX71:BE71),0)+IF(RIGHT(CA$43,2)&gt;RIGHT($K71,2),BE71,0))</f>
        <v>0</v>
      </c>
      <c r="CB71" s="1277">
        <f>+IF($K71="Ongoing",BF71,IF(RIGHT($K71,2)=RIGHT(CB$43,2),SUM($AX71:BF71),0)+IF(RIGHT(CB$43,2)&gt;RIGHT($K71,2),BF71,0))</f>
        <v>0</v>
      </c>
      <c r="CC71" s="388">
        <f>+IF($K71="Ongoing",BG71,IF(RIGHT($K71,2)=RIGHT(CC$43,2),SUM($AX71:BG71),0)+IF(RIGHT(CC$43,2)&gt;RIGHT($K71,2),BG71,0))</f>
        <v>0</v>
      </c>
      <c r="CD71" s="1025"/>
      <c r="CE71" s="1282">
        <f>+Q71*KeyAssumptionsPriceControl_FO!AF$15</f>
        <v>7.2406694312195121</v>
      </c>
      <c r="CF71" s="387">
        <f>+R71*KeyAssumptionsPriceControl_FO!AG$15</f>
        <v>0.13499851116335515</v>
      </c>
      <c r="CG71" s="387">
        <f>+S71*KeyAssumptionsPriceControl_FO!AH$15</f>
        <v>0</v>
      </c>
      <c r="CH71" s="387">
        <f>+T71*KeyAssumptionsPriceControl_FO!AI$15</f>
        <v>0</v>
      </c>
      <c r="CI71" s="1283">
        <f>+U71*KeyAssumptionsPriceControl_FO!AJ$15</f>
        <v>0</v>
      </c>
      <c r="CJ71" s="386">
        <f>+V71*KeyAssumptionsPriceControl_FO!AK$15</f>
        <v>0</v>
      </c>
      <c r="CK71" s="387">
        <f>+W71*KeyAssumptionsPriceControl_FO!AL$15</f>
        <v>0</v>
      </c>
      <c r="CL71" s="1277">
        <f>+X71*KeyAssumptionsPriceControl_FO!AM$15</f>
        <v>0</v>
      </c>
      <c r="CM71" s="1277">
        <f>+Y71*KeyAssumptionsPriceControl_FO!AN$15</f>
        <v>0</v>
      </c>
      <c r="CN71" s="388">
        <f>+Z71*KeyAssumptionsPriceControl_FO!AO$15</f>
        <v>0</v>
      </c>
      <c r="CO71" s="1025"/>
      <c r="CP71" s="1282">
        <f t="shared" ca="1" si="156"/>
        <v>0</v>
      </c>
      <c r="CQ71" s="387">
        <f t="shared" ca="1" si="157"/>
        <v>0</v>
      </c>
      <c r="CR71" s="387">
        <f t="shared" ca="1" si="158"/>
        <v>0</v>
      </c>
      <c r="CS71" s="387">
        <f t="shared" ca="1" si="159"/>
        <v>0</v>
      </c>
      <c r="CT71" s="1283">
        <f t="shared" ca="1" si="160"/>
        <v>0</v>
      </c>
      <c r="CU71" s="386">
        <f t="shared" ca="1" si="161"/>
        <v>0</v>
      </c>
      <c r="CV71" s="387">
        <f t="shared" ca="1" si="162"/>
        <v>0</v>
      </c>
      <c r="CW71" s="1277">
        <f t="shared" ca="1" si="163"/>
        <v>0</v>
      </c>
      <c r="CX71" s="1277">
        <f t="shared" ca="1" si="164"/>
        <v>0</v>
      </c>
      <c r="CY71" s="388">
        <f t="shared" ca="1" si="165"/>
        <v>0</v>
      </c>
      <c r="CZ71" s="347"/>
      <c r="DA71" s="852"/>
      <c r="DB71" s="347"/>
      <c r="DC71" s="1012" t="s">
        <v>549</v>
      </c>
      <c r="DD71" s="841" t="s">
        <v>518</v>
      </c>
      <c r="DE71" s="386">
        <f>+IF($K71="ongoing",CE71,IF(RIGHT($K71,2)=RIGHT(DE$43,2),SUM($CD71:CE71),0)+IF(RIGHT(DE$43,2)&gt;RIGHT($K71,2),CE71,0))</f>
        <v>7.2406694312195121</v>
      </c>
      <c r="DF71" s="387">
        <f>+IF($K71="ongoing",CF71,IF(RIGHT($K71,2)=RIGHT(DF$43,2),SUM($CD71:CF71),0)+IF(RIGHT(DF$43,2)&gt;RIGHT($K71,2),CF71,0))</f>
        <v>0.13499851116335515</v>
      </c>
      <c r="DG71" s="388">
        <f>+IF($K71="ongoing",CG71,IF(RIGHT($K71,2)=RIGHT(DG$43,2),SUM($CD71:CG71),0)+IF(RIGHT(DG$43,2)&gt;RIGHT($K71,2),CG71,0))</f>
        <v>0</v>
      </c>
      <c r="DH71" s="386">
        <f>+IF($K71="ongoing",CH71,IF(RIGHT($K71,2)=RIGHT(DH$43,2),SUM($CD71:CH71),0)+IF(RIGHT(DH$43,2)&gt;RIGHT($K71,2),CH71,0))</f>
        <v>0</v>
      </c>
      <c r="DI71" s="387">
        <f>+IF($K71="ongoing",CI71,IF(RIGHT($K71,2)=RIGHT(DI$43,2),SUM($CD71:CI71),0)+IF(RIGHT(DI$43,2)&gt;RIGHT($K71,2),CI71,0))</f>
        <v>0</v>
      </c>
      <c r="DJ71" s="387">
        <f>+IF($K71="ongoing",CJ71,IF(RIGHT($K71,2)=RIGHT(DJ$43,2),SUM($CD71:CJ71),0)+IF(RIGHT(DJ$43,2)&gt;RIGHT($K71,2),CJ71,0))</f>
        <v>0</v>
      </c>
      <c r="DK71" s="387">
        <f>+IF($K71="ongoing",CK71,IF(RIGHT($K71,2)=RIGHT(DK$43,2),SUM($CD71:CK71),0)+IF(RIGHT(DK$43,2)&gt;RIGHT($K71,2),CK71,0))</f>
        <v>0</v>
      </c>
      <c r="DL71" s="388">
        <f>+IF($K71="ongoing",CN71,IF(RIGHT($K71,2)=RIGHT(DL$43,2),SUM($CD71:CN71),0)+IF(RIGHT(DL$43,2)&gt;RIGHT($K71,2),CN71,0))</f>
        <v>0</v>
      </c>
      <c r="DM71" s="841"/>
      <c r="DN71" s="386">
        <f t="shared" si="166"/>
        <v>0.5</v>
      </c>
      <c r="DO71" s="387">
        <f t="shared" si="167"/>
        <v>1</v>
      </c>
      <c r="DP71" s="388">
        <f t="shared" si="168"/>
        <v>1</v>
      </c>
      <c r="DQ71" s="386">
        <f t="shared" si="169"/>
        <v>1</v>
      </c>
      <c r="DR71" s="387">
        <f t="shared" si="170"/>
        <v>1</v>
      </c>
      <c r="DS71" s="387">
        <f t="shared" si="171"/>
        <v>1</v>
      </c>
      <c r="DT71" s="387">
        <f t="shared" si="172"/>
        <v>1</v>
      </c>
      <c r="DU71" s="388">
        <f t="shared" si="173"/>
        <v>1</v>
      </c>
      <c r="DW71" s="386">
        <f t="shared" si="174"/>
        <v>0</v>
      </c>
      <c r="DX71" s="387">
        <f t="shared" si="175"/>
        <v>0.5</v>
      </c>
      <c r="DY71" s="388">
        <f t="shared" si="176"/>
        <v>1</v>
      </c>
      <c r="DZ71" s="386">
        <f t="shared" si="177"/>
        <v>1</v>
      </c>
      <c r="EA71" s="387">
        <f t="shared" si="178"/>
        <v>1</v>
      </c>
      <c r="EB71" s="387">
        <f t="shared" si="179"/>
        <v>1</v>
      </c>
      <c r="EC71" s="387">
        <f t="shared" si="180"/>
        <v>1</v>
      </c>
      <c r="ED71" s="388">
        <f t="shared" si="181"/>
        <v>1</v>
      </c>
      <c r="EF71" s="834">
        <f>+IF(DN71=DM71,0,
IF(AND(EF$44&gt;1,DN71=$N71),1-SUM($EE71:EE71),
IF($N71&lt;=1,
IF($N71&gt;0,1/$N71,0),
IF(EF$44=1,0,VDB(1,0,$N71,INT(EF$44-1-1),MIN($N71,INT(EF$44-1-1)+1),$DC71,IF($DD71="No",1,0))/
IF(DM71&gt;=INT($N71),$N71-INT($N71),1)))*
IF(EF$44=1,0,
IF(INT(DN71)=INT(DM71),DN71-DM71,INT(DN71)-DM71))+
IF($N71&lt;=1,
IF($N71&gt;0,1/$N71,0),VDB(1,0,$N71,INT(EF$44-1),MIN($N71,INT(EF$44-1)+1),$DC71,IF($DD71="No",1,0))/
IF(DN71&gt;INT($N71),$N71-INT($N71),1))*
IF(EF$44=1,DN71,
IF(INT(DN71)=INT(DM71),0,DN71-INT(DN71)))))</f>
        <v>0</v>
      </c>
      <c r="EG71" s="835">
        <f>+IF(DO71=DN71,0,
IF(AND(EG$44&gt;1,DO71=$N71),1-SUM($EE71:EF71),
IF($N71&lt;=1,
IF($N71&gt;0,1/$N71,0),
IF(EG$44=1,0,VDB(1,0,$N71,INT(EG$44-1-1),MIN($N71,INT(EG$44-1-1)+1),$DC71,IF($DD71="No",1,0))/
IF(DN71&gt;=INT($N71),$N71-INT($N71),1)))*
IF(EG$44=1,0,
IF(INT(DO71)=INT(DN71),DO71-DN71,INT(DO71)-DN71))+
IF($N71&lt;=1,
IF($N71&gt;0,1/$N71,0),VDB(1,0,$N71,INT(EG$44-1),MIN($N71,INT(EG$44-1)+1),$DC71,IF($DD71="No",1,0))/
IF(DO71&gt;INT($N71),$N71-INT($N71),1))*
IF(EG$44=1,DO71,
IF(INT(DO71)=INT(DN71),0,DO71-INT(DO71)))))</f>
        <v>0</v>
      </c>
      <c r="EH71" s="836">
        <f>+IF(DP71=DO71,0,
IF(AND(EH$44&gt;1,DP71=$N71),1-SUM($EE71:EG71),
IF($N71&lt;=1,
IF($N71&gt;0,1/$N71,0),
IF(EH$44=1,0,VDB(1,0,$N71,INT(EH$44-1-1),MIN($N71,INT(EH$44-1-1)+1),$DC71,IF($DD71="No",1,0))/
IF(DO71&gt;=INT($N71),$N71-INT($N71),1)))*
IF(EH$44=1,0,
IF(INT(DP71)=INT(DO71),DP71-DO71,INT(DP71)-DO71))+
IF($N71&lt;=1,
IF($N71&gt;0,1/$N71,0),VDB(1,0,$N71,INT(EH$44-1),MIN($N71,INT(EH$44-1)+1),$DC71,IF($DD71="No",1,0))/
IF(DP71&gt;INT($N71),$N71-INT($N71),1))*
IF(EH$44=1,DP71,
IF(INT(DP71)=INT(DO71),0,DP71-INT(DP71)))))</f>
        <v>0</v>
      </c>
      <c r="EI71" s="834">
        <f>+IF(DQ71=DP71,0,
IF(AND(EI$44&gt;1,DQ71=$N71),1-SUM($EE71:EH71),
IF($N71&lt;=1,
IF($N71&gt;0,1/$N71,0),
IF(EI$44=1,0,VDB(1,0,$N71,INT(EI$44-1-1),MIN($N71,INT(EI$44-1-1)+1),$DC71,IF($DD71="No",1,0))/
IF(DP71&gt;=INT($N71),$N71-INT($N71),1)))*
IF(EI$44=1,0,
IF(INT(DQ71)=INT(DP71),DQ71-DP71,INT(DQ71)-DP71))+
IF($N71&lt;=1,
IF($N71&gt;0,1/$N71,0),VDB(1,0,$N71,INT(EI$44-1),MIN($N71,INT(EI$44-1)+1),$DC71,IF($DD71="No",1,0))/
IF(DQ71&gt;INT($N71),$N71-INT($N71),1))*
IF(EI$44=1,DQ71,
IF(INT(DQ71)=INT(DP71),0,DQ71-INT(DQ71)))))</f>
        <v>0</v>
      </c>
      <c r="EJ71" s="835">
        <f>+IF(DR71=DQ71,0,
IF(AND(EJ$44&gt;1,DR71=$N71),1-SUM($EE71:EI71),
IF($N71&lt;=1,
IF($N71&gt;0,1/$N71,0),
IF(EJ$44=1,0,VDB(1,0,$N71,INT(EJ$44-1-1),MIN($N71,INT(EJ$44-1-1)+1),$DC71,IF($DD71="No",1,0))/
IF(DQ71&gt;=INT($N71),$N71-INT($N71),1)))*
IF(EJ$44=1,0,
IF(INT(DR71)=INT(DQ71),DR71-DQ71,INT(DR71)-DQ71))+
IF($N71&lt;=1,
IF($N71&gt;0,1/$N71,0),VDB(1,0,$N71,INT(EJ$44-1),MIN($N71,INT(EJ$44-1)+1),$DC71,IF($DD71="No",1,0))/
IF(DR71&gt;INT($N71),$N71-INT($N71),1))*
IF(EJ$44=1,DR71,
IF(INT(DR71)=INT(DQ71),0,DR71-INT(DR71)))))</f>
        <v>0</v>
      </c>
      <c r="EK71" s="835">
        <f>+IF(DS71=DR71,0,
IF(AND(EK$44&gt;1,DS71=$N71),1-SUM($EE71:EJ71),
IF($N71&lt;=1,
IF($N71&gt;0,1/$N71,0),
IF(EK$44=1,0,VDB(1,0,$N71,INT(EK$44-1-1),MIN($N71,INT(EK$44-1-1)+1),$DC71,IF($DD71="No",1,0))/
IF(DR71&gt;=INT($N71),$N71-INT($N71),1)))*
IF(EK$44=1,0,
IF(INT(DS71)=INT(DR71),DS71-DR71,INT(DS71)-DR71))+
IF($N71&lt;=1,
IF($N71&gt;0,1/$N71,0),VDB(1,0,$N71,INT(EK$44-1),MIN($N71,INT(EK$44-1)+1),$DC71,IF($DD71="No",1,0))/
IF(DS71&gt;INT($N71),$N71-INT($N71),1))*
IF(EK$44=1,DS71,
IF(INT(DS71)=INT(DR71),0,DS71-INT(DS71)))))</f>
        <v>0</v>
      </c>
      <c r="EL71" s="835">
        <f>+IF(DT71=DS71,0,
IF(AND(EL$44&gt;1,DT71=$N71),1-SUM($EE71:EK71),
IF($N71&lt;=1,
IF($N71&gt;0,1/$N71,0),
IF(EL$44=1,0,VDB(1,0,$N71,INT(EL$44-1-1),MIN($N71,INT(EL$44-1-1)+1),$DC71,IF($DD71="No",1,0))/
IF(DS71&gt;=INT($N71),$N71-INT($N71),1)))*
IF(EL$44=1,0,
IF(INT(DT71)=INT(DS71),DT71-DS71,INT(DT71)-DS71))+
IF($N71&lt;=1,
IF($N71&gt;0,1/$N71,0),VDB(1,0,$N71,INT(EL$44-1),MIN($N71,INT(EL$44-1)+1),$DC71,IF($DD71="No",1,0))/
IF(DT71&gt;INT($N71),$N71-INT($N71),1))*
IF(EL$44=1,DT71,
IF(INT(DT71)=INT(DS71),0,DT71-INT(DT71)))))</f>
        <v>0</v>
      </c>
      <c r="EM71" s="836">
        <f>+IF(DU71=DT71,0,
IF(AND(EM$44&gt;1,DU71=$N71),1-SUM($EE71:EL71),
IF($N71&lt;=1,
IF($N71&gt;0,1/$N71,0),
IF(EM$44=1,0,VDB(1,0,$N71,INT(EM$44-1-1),MIN($N71,INT(EM$44-1-1)+1),$DC71,IF($DD71="No",1,0))/
IF(DT71&gt;=INT($N71),$N71-INT($N71),1)))*
IF(EM$44=1,0,
IF(INT(DU71)=INT(DT71),DU71-DT71,INT(DU71)-DT71))+
IF($N71&lt;=1,
IF($N71&gt;0,1/$N71,0),VDB(1,0,$N71,INT(EM$44-1),MIN($N71,INT(EM$44-1)+1),$DC71,IF($DD71="No",1,0))/
IF(DU71&gt;INT($N71),$N71-INT($N71),1))*
IF(EM$44=1,DU71,
IF(INT(DU71)=INT(DT71),0,DU71-INT(DU71)))))</f>
        <v>0</v>
      </c>
      <c r="EN71" s="833"/>
      <c r="EO71" s="834">
        <f>+IF(OR(DW71=DV71,EO$44=1),0,
IF(AND(EO$44&gt;1,DW71=$N71),1-SUM($EN71:EN71),
IF($N71&lt;=1,
IF($N71&gt;0,1/$N71,0),
IF(EO$44=2,0,VDB(1,0,$N71,INT(EO$44-2-1),MIN($N71,INT(EO$44-2-1)+1),$DC71,IF($DD71="No",1,0))/
IF(DV71&gt;=INT($N71),$N71-INT($N71),1)))*
IF(EO$44=2,0,
IF(INT(DW71)=INT(DV71),DW71-DV71,INT(DW71)-DV71))+
IF($N71&lt;=1,
IF($N71&gt;0,1/$N71,0),VDB(1,0,$N71,INT(EO$44-2),MIN($N71,INT(EO$44-2)+1),$DC71,IF($DD71="No",1,0))/
IF(DW71&gt;INT($N71),$N71-INT($N71),1))*
IF(EO$44=2,DW71,
IF(INT(DW71)=INT(DV71),0,DW71-INT(DW71)))))</f>
        <v>0</v>
      </c>
      <c r="EP71" s="835">
        <f>+IF(OR(DX71=DW71,EP$44=1),0,
IF(AND(EP$44&gt;1,DX71=$N71),1-SUM($EN71:EO71),
IF($N71&lt;=1,
IF($N71&gt;0,1/$N71,0),
IF(EP$44=2,0,VDB(1,0,$N71,INT(EP$44-2-1),MIN($N71,INT(EP$44-2-1)+1),$DC71,IF($DD71="No",1,0))/
IF(DW71&gt;=INT($N71),$N71-INT($N71),1)))*
IF(EP$44=2,0,
IF(INT(DX71)=INT(DW71),DX71-DW71,INT(DX71)-DW71))+
IF($N71&lt;=1,
IF($N71&gt;0,1/$N71,0),VDB(1,0,$N71,INT(EP$44-2),MIN($N71,INT(EP$44-2)+1),$DC71,IF($DD71="No",1,0))/
IF(DX71&gt;INT($N71),$N71-INT($N71),1))*
IF(EP$44=2,DX71,
IF(INT(DX71)=INT(DW71),0,DX71-INT(DX71)))))</f>
        <v>0</v>
      </c>
      <c r="EQ71" s="836">
        <f>+IF(OR(DY71=DX71,EQ$44=1),0,
IF(AND(EQ$44&gt;1,DY71=$N71),1-SUM($EN71:EP71),
IF($N71&lt;=1,
IF($N71&gt;0,1/$N71,0),
IF(EQ$44=2,0,VDB(1,0,$N71,INT(EQ$44-2-1),MIN($N71,INT(EQ$44-2-1)+1),$DC71,IF($DD71="No",1,0))/
IF(DX71&gt;=INT($N71),$N71-INT($N71),1)))*
IF(EQ$44=2,0,
IF(INT(DY71)=INT(DX71),DY71-DX71,INT(DY71)-DX71))+
IF($N71&lt;=1,
IF($N71&gt;0,1/$N71,0),VDB(1,0,$N71,INT(EQ$44-2),MIN($N71,INT(EQ$44-2)+1),$DC71,IF($DD71="No",1,0))/
IF(DY71&gt;INT($N71),$N71-INT($N71),1))*
IF(EQ$44=2,DY71,
IF(INT(DY71)=INT(DX71),0,DY71-INT(DY71)))))</f>
        <v>0</v>
      </c>
      <c r="ER71" s="834">
        <f>+IF(OR(DZ71=DY71,ER$44=1),0,
IF(AND(ER$44&gt;1,DZ71=$N71),1-SUM($EN71:EQ71),
IF($N71&lt;=1,
IF($N71&gt;0,1/$N71,0),
IF(ER$44=2,0,VDB(1,0,$N71,INT(ER$44-2-1),MIN($N71,INT(ER$44-2-1)+1),$DC71,IF($DD71="No",1,0))/
IF(DY71&gt;=INT($N71),$N71-INT($N71),1)))*
IF(ER$44=2,0,
IF(INT(DZ71)=INT(DY71),DZ71-DY71,INT(DZ71)-DY71))+
IF($N71&lt;=1,
IF($N71&gt;0,1/$N71,0),VDB(1,0,$N71,INT(ER$44-2),MIN($N71,INT(ER$44-2)+1),$DC71,IF($DD71="No",1,0))/
IF(DZ71&gt;INT($N71),$N71-INT($N71),1))*
IF(ER$44=2,DZ71,
IF(INT(DZ71)=INT(DY71),0,DZ71-INT(DZ71)))))</f>
        <v>0</v>
      </c>
      <c r="ES71" s="835">
        <f>+IF(OR(EA71=DZ71,ES$44=1),0,
IF(AND(ES$44&gt;1,EA71=$N71),1-SUM($EN71:ER71),
IF($N71&lt;=1,
IF($N71&gt;0,1/$N71,0),
IF(ES$44=2,0,VDB(1,0,$N71,INT(ES$44-2-1),MIN($N71,INT(ES$44-2-1)+1),$DC71,IF($DD71="No",1,0))/
IF(DZ71&gt;=INT($N71),$N71-INT($N71),1)))*
IF(ES$44=2,0,
IF(INT(EA71)=INT(DZ71),EA71-DZ71,INT(EA71)-DZ71))+
IF($N71&lt;=1,
IF($N71&gt;0,1/$N71,0),VDB(1,0,$N71,INT(ES$44-2),MIN($N71,INT(ES$44-2)+1),$DC71,IF($DD71="No",1,0))/
IF(EA71&gt;INT($N71),$N71-INT($N71),1))*
IF(ES$44=2,EA71,
IF(INT(EA71)=INT(DZ71),0,EA71-INT(EA71)))))</f>
        <v>0</v>
      </c>
      <c r="ET71" s="835">
        <f>+IF(OR(EB71=EA71,ET$44=1),0,
IF(AND(ET$44&gt;1,EB71=$N71),1-SUM($EN71:ES71),
IF($N71&lt;=1,
IF($N71&gt;0,1/$N71,0),
IF(ET$44=2,0,VDB(1,0,$N71,INT(ET$44-2-1),MIN($N71,INT(ET$44-2-1)+1),$DC71,IF($DD71="No",1,0))/
IF(EA71&gt;=INT($N71),$N71-INT($N71),1)))*
IF(ET$44=2,0,
IF(INT(EB71)=INT(EA71),EB71-EA71,INT(EB71)-EA71))+
IF($N71&lt;=1,
IF($N71&gt;0,1/$N71,0),VDB(1,0,$N71,INT(ET$44-2),MIN($N71,INT(ET$44-2)+1),$DC71,IF($DD71="No",1,0))/
IF(EB71&gt;INT($N71),$N71-INT($N71),1))*
IF(ET$44=2,EB71,
IF(INT(EB71)=INT(EA71),0,EB71-INT(EB71)))))</f>
        <v>0</v>
      </c>
      <c r="EU71" s="835">
        <f>+IF(OR(EC71=EB71,EU$44=1),0,
IF(AND(EU$44&gt;1,EC71=$N71),1-SUM($EN71:ET71),
IF($N71&lt;=1,
IF($N71&gt;0,1/$N71,0),
IF(EU$44=2,0,VDB(1,0,$N71,INT(EU$44-2-1),MIN($N71,INT(EU$44-2-1)+1),$DC71,IF($DD71="No",1,0))/
IF(EB71&gt;=INT($N71),$N71-INT($N71),1)))*
IF(EU$44=2,0,
IF(INT(EC71)=INT(EB71),EC71-EB71,INT(EC71)-EB71))+
IF($N71&lt;=1,
IF($N71&gt;0,1/$N71,0),VDB(1,0,$N71,INT(EU$44-2),MIN($N71,INT(EU$44-2)+1),$DC71,IF($DD71="No",1,0))/
IF(EC71&gt;INT($N71),$N71-INT($N71),1))*
IF(EU$44=2,EC71,
IF(INT(EC71)=INT(EB71),0,EC71-INT(EC71)))))</f>
        <v>0</v>
      </c>
      <c r="EV71" s="836">
        <f>+IF(OR(ED71=EC71,EV$44=1),0,
IF(AND(EV$44&gt;1,ED71=$N71),1-SUM($EN71:EU71),
IF($N71&lt;=1,
IF($N71&gt;0,1/$N71,0),
IF(EV$44=2,0,VDB(1,0,$N71,INT(EV$44-2-1),MIN($N71,INT(EV$44-2-1)+1),$DC71,IF($DD71="No",1,0))/
IF(EC71&gt;=INT($N71),$N71-INT($N71),1)))*
IF(EV$44=2,0,
IF(INT(ED71)=INT(EC71),ED71-EC71,INT(ED71)-EC71))+
IF($N71&lt;=1,
IF($N71&gt;0,1/$N71,0),VDB(1,0,$N71,INT(EV$44-2),MIN($N71,INT(EV$44-2)+1),$DC71,IF($DD71="No",1,0))/
IF(ED71&gt;INT($N71),$N71-INT($N71),1))*
IF(EV$44=2,ED71,
IF(INT(ED71)=INT(EC71),0,ED71-INT(ED71)))))</f>
        <v>0</v>
      </c>
      <c r="EW71" s="833"/>
      <c r="EX71" s="834">
        <f t="shared" ca="1" si="133"/>
        <v>0</v>
      </c>
      <c r="EY71" s="835">
        <f t="shared" ca="1" si="133"/>
        <v>0</v>
      </c>
      <c r="EZ71" s="836">
        <f t="shared" ca="1" si="133"/>
        <v>0</v>
      </c>
      <c r="FA71" s="834">
        <f t="shared" ca="1" si="133"/>
        <v>0</v>
      </c>
      <c r="FB71" s="835">
        <f t="shared" ca="1" si="133"/>
        <v>0</v>
      </c>
      <c r="FC71" s="835">
        <f t="shared" ca="1" si="133"/>
        <v>0</v>
      </c>
      <c r="FD71" s="835">
        <f t="shared" ca="1" si="133"/>
        <v>0</v>
      </c>
      <c r="FE71" s="836">
        <f t="shared" ca="1" si="133"/>
        <v>0</v>
      </c>
      <c r="FG71" s="386">
        <f t="shared" ca="1" si="182"/>
        <v>0</v>
      </c>
      <c r="FH71" s="387">
        <f t="shared" ca="1" si="183"/>
        <v>0</v>
      </c>
      <c r="FI71" s="388">
        <f t="shared" ca="1" si="184"/>
        <v>0</v>
      </c>
      <c r="FJ71" s="386">
        <f t="shared" ca="1" si="185"/>
        <v>0</v>
      </c>
      <c r="FK71" s="387">
        <f t="shared" ca="1" si="186"/>
        <v>0</v>
      </c>
      <c r="FL71" s="387">
        <f t="shared" ca="1" si="187"/>
        <v>0</v>
      </c>
      <c r="FM71" s="387">
        <f t="shared" ca="1" si="188"/>
        <v>0</v>
      </c>
      <c r="FN71" s="388">
        <f t="shared" ca="1" si="189"/>
        <v>0</v>
      </c>
      <c r="FR71" s="116"/>
    </row>
    <row r="72" spans="2:174">
      <c r="B72" s="1410">
        <f t="shared" si="135"/>
        <v>26</v>
      </c>
      <c r="C72" s="400" t="s">
        <v>550</v>
      </c>
      <c r="D72" s="410"/>
      <c r="E72" s="402" t="s">
        <v>401</v>
      </c>
      <c r="F72" s="402" t="s">
        <v>514</v>
      </c>
      <c r="G72" s="400" t="s">
        <v>515</v>
      </c>
      <c r="H72" s="2088" t="s">
        <v>483</v>
      </c>
      <c r="I72" s="2089"/>
      <c r="J72" s="411" t="s">
        <v>516</v>
      </c>
      <c r="K72" s="403" t="s">
        <v>544</v>
      </c>
      <c r="L72" s="403">
        <v>25</v>
      </c>
      <c r="M72" s="403" t="s">
        <v>142</v>
      </c>
      <c r="N72" s="403"/>
      <c r="O72" s="347"/>
      <c r="P72" s="347"/>
      <c r="Q72" s="1021">
        <v>6.8975609756097569</v>
      </c>
      <c r="R72" s="1022">
        <v>12.982748364069009</v>
      </c>
      <c r="S72" s="1022">
        <v>4.1786973491388699E-2</v>
      </c>
      <c r="T72" s="1022">
        <v>0</v>
      </c>
      <c r="U72" s="1023">
        <v>0</v>
      </c>
      <c r="V72" s="1021">
        <v>0</v>
      </c>
      <c r="W72" s="1022">
        <v>0</v>
      </c>
      <c r="X72" s="1022">
        <v>0</v>
      </c>
      <c r="Y72" s="1022">
        <v>0</v>
      </c>
      <c r="Z72" s="1023">
        <v>0</v>
      </c>
      <c r="AA72" s="1024"/>
      <c r="AB72" s="1021">
        <v>0</v>
      </c>
      <c r="AC72" s="1022">
        <v>0</v>
      </c>
      <c r="AD72" s="1022">
        <v>0</v>
      </c>
      <c r="AE72" s="1022">
        <v>0</v>
      </c>
      <c r="AF72" s="1023">
        <v>0</v>
      </c>
      <c r="AG72" s="1021">
        <v>0</v>
      </c>
      <c r="AH72" s="1022">
        <v>0</v>
      </c>
      <c r="AI72" s="1022">
        <v>0</v>
      </c>
      <c r="AJ72" s="1022">
        <v>0</v>
      </c>
      <c r="AK72" s="1023">
        <v>0</v>
      </c>
      <c r="AL72" s="1024"/>
      <c r="AM72" s="1021">
        <v>0</v>
      </c>
      <c r="AN72" s="1022">
        <v>0</v>
      </c>
      <c r="AO72" s="1022">
        <v>0</v>
      </c>
      <c r="AP72" s="1022">
        <v>0</v>
      </c>
      <c r="AQ72" s="1023">
        <v>0</v>
      </c>
      <c r="AR72" s="1021">
        <v>0</v>
      </c>
      <c r="AS72" s="1022">
        <v>0</v>
      </c>
      <c r="AT72" s="1022">
        <v>0</v>
      </c>
      <c r="AU72" s="1022">
        <v>0</v>
      </c>
      <c r="AV72" s="1023">
        <v>0</v>
      </c>
      <c r="AW72" s="1025"/>
      <c r="AX72" s="1282">
        <f t="shared" si="136"/>
        <v>6.8975609756097569</v>
      </c>
      <c r="AY72" s="387">
        <f t="shared" si="137"/>
        <v>12.982748364069009</v>
      </c>
      <c r="AZ72" s="387">
        <f t="shared" si="138"/>
        <v>4.1786973491388699E-2</v>
      </c>
      <c r="BA72" s="387">
        <f t="shared" si="139"/>
        <v>0</v>
      </c>
      <c r="BB72" s="1283">
        <f t="shared" si="140"/>
        <v>0</v>
      </c>
      <c r="BC72" s="386">
        <f t="shared" si="141"/>
        <v>0</v>
      </c>
      <c r="BD72" s="387">
        <f t="shared" si="142"/>
        <v>0</v>
      </c>
      <c r="BE72" s="1277">
        <f t="shared" si="143"/>
        <v>0</v>
      </c>
      <c r="BF72" s="1277">
        <f t="shared" si="144"/>
        <v>0</v>
      </c>
      <c r="BG72" s="388">
        <f t="shared" si="145"/>
        <v>0</v>
      </c>
      <c r="BH72" s="1025"/>
      <c r="BI72" s="1282">
        <f t="shared" ca="1" si="146"/>
        <v>0.13795121951219513</v>
      </c>
      <c r="BJ72" s="387">
        <f t="shared" ca="1" si="147"/>
        <v>0.53555740630577042</v>
      </c>
      <c r="BK72" s="387">
        <f t="shared" ca="1" si="148"/>
        <v>0.79604811305697842</v>
      </c>
      <c r="BL72" s="387">
        <f t="shared" ca="1" si="149"/>
        <v>0.79688385252680616</v>
      </c>
      <c r="BM72" s="1283">
        <f t="shared" ca="1" si="150"/>
        <v>0.79688385252680616</v>
      </c>
      <c r="BN72" s="386">
        <f t="shared" ca="1" si="151"/>
        <v>0.79688385252680616</v>
      </c>
      <c r="BO72" s="387">
        <f t="shared" ca="1" si="152"/>
        <v>0.79688385252680616</v>
      </c>
      <c r="BP72" s="1277">
        <f t="shared" ca="1" si="153"/>
        <v>0.79688385252680616</v>
      </c>
      <c r="BQ72" s="1277">
        <f t="shared" ca="1" si="154"/>
        <v>0.79688385252680616</v>
      </c>
      <c r="BR72" s="388">
        <f t="shared" ca="1" si="155"/>
        <v>0.79688385252680616</v>
      </c>
      <c r="BS72" s="1025"/>
      <c r="BT72" s="1282">
        <f>+IF($K72="Ongoing",AX72,IF(RIGHT($K72,2)=RIGHT(BT$43,2),SUM($AX72:AX72),0)+IF(RIGHT(BT$43,2)&gt;RIGHT($K72,2),AX72,0))</f>
        <v>6.8975609756097569</v>
      </c>
      <c r="BU72" s="387">
        <f>+IF($K72="Ongoing",AY72,IF(RIGHT($K72,2)=RIGHT(BU$43,2),SUM($AX72:AY72),0)+IF(RIGHT(BU$43,2)&gt;RIGHT($K72,2),AY72,0))</f>
        <v>12.982748364069009</v>
      </c>
      <c r="BV72" s="387">
        <f>+IF($K72="Ongoing",AZ72,IF(RIGHT($K72,2)=RIGHT(BV$43,2),SUM($AX72:AZ72),0)+IF(RIGHT(BV$43,2)&gt;RIGHT($K72,2),AZ72,0))</f>
        <v>4.1786973491388699E-2</v>
      </c>
      <c r="BW72" s="387">
        <f>+IF($K72="Ongoing",BA72,IF(RIGHT($K72,2)=RIGHT(BW$43,2),SUM($AX72:BA72),0)+IF(RIGHT(BW$43,2)&gt;RIGHT($K72,2),BA72,0))</f>
        <v>0</v>
      </c>
      <c r="BX72" s="1283">
        <f>+IF($K72="Ongoing",BB72,IF(RIGHT($K72,2)=RIGHT(BX$43,2),SUM($AX72:BB72),0)+IF(RIGHT(BX$43,2)&gt;RIGHT($K72,2),BB72,0))</f>
        <v>0</v>
      </c>
      <c r="BY72" s="386">
        <f>+IF($K72="Ongoing",BC72,IF(RIGHT($K72,2)=RIGHT(BY$43,2),SUM($AX72:BC72),0)+IF(RIGHT(BY$43,2)&gt;RIGHT($K72,2),BC72,0))</f>
        <v>0</v>
      </c>
      <c r="BZ72" s="387">
        <f>+IF($K72="Ongoing",BD72,IF(RIGHT($K72,2)=RIGHT(BZ$43,2),SUM($AX72:BD72),0)+IF(RIGHT(BZ$43,2)&gt;RIGHT($K72,2),BD72,0))</f>
        <v>0</v>
      </c>
      <c r="CA72" s="1277">
        <f>+IF($K72="Ongoing",BE72,IF(RIGHT($K72,2)=RIGHT(CA$43,2),SUM($AX72:BE72),0)+IF(RIGHT(CA$43,2)&gt;RIGHT($K72,2),BE72,0))</f>
        <v>0</v>
      </c>
      <c r="CB72" s="1277">
        <f>+IF($K72="Ongoing",BF72,IF(RIGHT($K72,2)=RIGHT(CB$43,2),SUM($AX72:BF72),0)+IF(RIGHT(CB$43,2)&gt;RIGHT($K72,2),BF72,0))</f>
        <v>0</v>
      </c>
      <c r="CC72" s="388">
        <f>+IF($K72="Ongoing",BG72,IF(RIGHT($K72,2)=RIGHT(CC$43,2),SUM($AX72:BG72),0)+IF(RIGHT(CC$43,2)&gt;RIGHT($K72,2),BG72,0))</f>
        <v>0</v>
      </c>
      <c r="CD72" s="1025"/>
      <c r="CE72" s="1282">
        <f>+Q72*KeyAssumptionsPriceControl_FO!AF$15</f>
        <v>7.097590243902439</v>
      </c>
      <c r="CF72" s="387">
        <f>+R72*KeyAssumptionsPriceControl_FO!AG$15</f>
        <v>13.746666260559191</v>
      </c>
      <c r="CG72" s="387">
        <f>+S72*KeyAssumptionsPriceControl_FO!AH$15</f>
        <v>4.5528887861754762E-2</v>
      </c>
      <c r="CH72" s="387">
        <f>+T72*KeyAssumptionsPriceControl_FO!AI$15</f>
        <v>0</v>
      </c>
      <c r="CI72" s="1283">
        <f>+U72*KeyAssumptionsPriceControl_FO!AJ$15</f>
        <v>0</v>
      </c>
      <c r="CJ72" s="386">
        <f>+V72*KeyAssumptionsPriceControl_FO!AK$15</f>
        <v>0</v>
      </c>
      <c r="CK72" s="387">
        <f>+W72*KeyAssumptionsPriceControl_FO!AL$15</f>
        <v>0</v>
      </c>
      <c r="CL72" s="1277">
        <f>+X72*KeyAssumptionsPriceControl_FO!AM$15</f>
        <v>0</v>
      </c>
      <c r="CM72" s="1277">
        <f>+Y72*KeyAssumptionsPriceControl_FO!AN$15</f>
        <v>0</v>
      </c>
      <c r="CN72" s="388">
        <f>+Z72*KeyAssumptionsPriceControl_FO!AO$15</f>
        <v>0</v>
      </c>
      <c r="CO72" s="1025"/>
      <c r="CP72" s="1282">
        <f t="shared" ca="1" si="156"/>
        <v>0</v>
      </c>
      <c r="CQ72" s="387">
        <f t="shared" ca="1" si="157"/>
        <v>0</v>
      </c>
      <c r="CR72" s="387">
        <f t="shared" ca="1" si="158"/>
        <v>0</v>
      </c>
      <c r="CS72" s="387">
        <f t="shared" ca="1" si="159"/>
        <v>0</v>
      </c>
      <c r="CT72" s="1283">
        <f t="shared" ca="1" si="160"/>
        <v>0</v>
      </c>
      <c r="CU72" s="386">
        <f t="shared" ca="1" si="161"/>
        <v>0</v>
      </c>
      <c r="CV72" s="387">
        <f t="shared" ca="1" si="162"/>
        <v>0</v>
      </c>
      <c r="CW72" s="1277">
        <f t="shared" ca="1" si="163"/>
        <v>0</v>
      </c>
      <c r="CX72" s="1277">
        <f t="shared" ca="1" si="164"/>
        <v>0</v>
      </c>
      <c r="CY72" s="388">
        <f t="shared" ca="1" si="165"/>
        <v>0</v>
      </c>
      <c r="CZ72" s="347"/>
      <c r="DA72" s="852"/>
      <c r="DB72" s="347"/>
      <c r="DC72" s="1012" t="s">
        <v>551</v>
      </c>
      <c r="DD72" s="841" t="s">
        <v>518</v>
      </c>
      <c r="DE72" s="386">
        <f>+IF($K72="ongoing",CE72,IF(RIGHT($K72,2)=RIGHT(DE$43,2),SUM($CD72:CE72),0)+IF(RIGHT(DE$43,2)&gt;RIGHT($K72,2),CE72,0))</f>
        <v>7.097590243902439</v>
      </c>
      <c r="DF72" s="387">
        <f>+IF($K72="ongoing",CF72,IF(RIGHT($K72,2)=RIGHT(DF$43,2),SUM($CD72:CF72),0)+IF(RIGHT(DF$43,2)&gt;RIGHT($K72,2),CF72,0))</f>
        <v>13.746666260559191</v>
      </c>
      <c r="DG72" s="388">
        <f>+IF($K72="ongoing",CG72,IF(RIGHT($K72,2)=RIGHT(DG$43,2),SUM($CD72:CG72),0)+IF(RIGHT(DG$43,2)&gt;RIGHT($K72,2),CG72,0))</f>
        <v>4.5528887861754762E-2</v>
      </c>
      <c r="DH72" s="386">
        <f>+IF($K72="ongoing",CH72,IF(RIGHT($K72,2)=RIGHT(DH$43,2),SUM($CD72:CH72),0)+IF(RIGHT(DH$43,2)&gt;RIGHT($K72,2),CH72,0))</f>
        <v>0</v>
      </c>
      <c r="DI72" s="387">
        <f>+IF($K72="ongoing",CI72,IF(RIGHT($K72,2)=RIGHT(DI$43,2),SUM($CD72:CI72),0)+IF(RIGHT(DI$43,2)&gt;RIGHT($K72,2),CI72,0))</f>
        <v>0</v>
      </c>
      <c r="DJ72" s="387">
        <f>+IF($K72="ongoing",CJ72,IF(RIGHT($K72,2)=RIGHT(DJ$43,2),SUM($CD72:CJ72),0)+IF(RIGHT(DJ$43,2)&gt;RIGHT($K72,2),CJ72,0))</f>
        <v>0</v>
      </c>
      <c r="DK72" s="387">
        <f>+IF($K72="ongoing",CK72,IF(RIGHT($K72,2)=RIGHT(DK$43,2),SUM($CD72:CK72),0)+IF(RIGHT(DK$43,2)&gt;RIGHT($K72,2),CK72,0))</f>
        <v>0</v>
      </c>
      <c r="DL72" s="388">
        <f>+IF($K72="ongoing",CN72,IF(RIGHT($K72,2)=RIGHT(DL$43,2),SUM($CD72:CN72),0)+IF(RIGHT(DL$43,2)&gt;RIGHT($K72,2),CN72,0))</f>
        <v>0</v>
      </c>
      <c r="DM72" s="841"/>
      <c r="DN72" s="386">
        <f t="shared" si="166"/>
        <v>0.5</v>
      </c>
      <c r="DO72" s="387">
        <f t="shared" si="167"/>
        <v>1</v>
      </c>
      <c r="DP72" s="388">
        <f t="shared" si="168"/>
        <v>1</v>
      </c>
      <c r="DQ72" s="386">
        <f t="shared" si="169"/>
        <v>1</v>
      </c>
      <c r="DR72" s="387">
        <f t="shared" si="170"/>
        <v>1</v>
      </c>
      <c r="DS72" s="387">
        <f t="shared" si="171"/>
        <v>1</v>
      </c>
      <c r="DT72" s="387">
        <f t="shared" si="172"/>
        <v>1</v>
      </c>
      <c r="DU72" s="388">
        <f t="shared" si="173"/>
        <v>1</v>
      </c>
      <c r="DW72" s="386">
        <f t="shared" si="174"/>
        <v>0</v>
      </c>
      <c r="DX72" s="387">
        <f t="shared" si="175"/>
        <v>0.5</v>
      </c>
      <c r="DY72" s="388">
        <f t="shared" si="176"/>
        <v>1</v>
      </c>
      <c r="DZ72" s="386">
        <f t="shared" si="177"/>
        <v>1</v>
      </c>
      <c r="EA72" s="387">
        <f t="shared" si="178"/>
        <v>1</v>
      </c>
      <c r="EB72" s="387">
        <f t="shared" si="179"/>
        <v>1</v>
      </c>
      <c r="EC72" s="387">
        <f t="shared" si="180"/>
        <v>1</v>
      </c>
      <c r="ED72" s="388">
        <f t="shared" si="181"/>
        <v>1</v>
      </c>
      <c r="EF72" s="834">
        <f>+IF(DN72=DM72,0,
IF(AND(EF$44&gt;1,DN72=$N72),1-SUM($EE72:EE72),
IF($N72&lt;=1,
IF($N72&gt;0,1/$N72,0),
IF(EF$44=1,0,VDB(1,0,$N72,INT(EF$44-1-1),MIN($N72,INT(EF$44-1-1)+1),$DC72,IF($DD72="No",1,0))/
IF(DM72&gt;=INT($N72),$N72-INT($N72),1)))*
IF(EF$44=1,0,
IF(INT(DN72)=INT(DM72),DN72-DM72,INT(DN72)-DM72))+
IF($N72&lt;=1,
IF($N72&gt;0,1/$N72,0),VDB(1,0,$N72,INT(EF$44-1),MIN($N72,INT(EF$44-1)+1),$DC72,IF($DD72="No",1,0))/
IF(DN72&gt;INT($N72),$N72-INT($N72),1))*
IF(EF$44=1,DN72,
IF(INT(DN72)=INT(DM72),0,DN72-INT(DN72)))))</f>
        <v>0</v>
      </c>
      <c r="EG72" s="835">
        <f>+IF(DO72=DN72,0,
IF(AND(EG$44&gt;1,DO72=$N72),1-SUM($EE72:EF72),
IF($N72&lt;=1,
IF($N72&gt;0,1/$N72,0),
IF(EG$44=1,0,VDB(1,0,$N72,INT(EG$44-1-1),MIN($N72,INT(EG$44-1-1)+1),$DC72,IF($DD72="No",1,0))/
IF(DN72&gt;=INT($N72),$N72-INT($N72),1)))*
IF(EG$44=1,0,
IF(INT(DO72)=INT(DN72),DO72-DN72,INT(DO72)-DN72))+
IF($N72&lt;=1,
IF($N72&gt;0,1/$N72,0),VDB(1,0,$N72,INT(EG$44-1),MIN($N72,INT(EG$44-1)+1),$DC72,IF($DD72="No",1,0))/
IF(DO72&gt;INT($N72),$N72-INT($N72),1))*
IF(EG$44=1,DO72,
IF(INT(DO72)=INT(DN72),0,DO72-INT(DO72)))))</f>
        <v>0</v>
      </c>
      <c r="EH72" s="836">
        <f>+IF(DP72=DO72,0,
IF(AND(EH$44&gt;1,DP72=$N72),1-SUM($EE72:EG72),
IF($N72&lt;=1,
IF($N72&gt;0,1/$N72,0),
IF(EH$44=1,0,VDB(1,0,$N72,INT(EH$44-1-1),MIN($N72,INT(EH$44-1-1)+1),$DC72,IF($DD72="No",1,0))/
IF(DO72&gt;=INT($N72),$N72-INT($N72),1)))*
IF(EH$44=1,0,
IF(INT(DP72)=INT(DO72),DP72-DO72,INT(DP72)-DO72))+
IF($N72&lt;=1,
IF($N72&gt;0,1/$N72,0),VDB(1,0,$N72,INT(EH$44-1),MIN($N72,INT(EH$44-1)+1),$DC72,IF($DD72="No",1,0))/
IF(DP72&gt;INT($N72),$N72-INT($N72),1))*
IF(EH$44=1,DP72,
IF(INT(DP72)=INT(DO72),0,DP72-INT(DP72)))))</f>
        <v>0</v>
      </c>
      <c r="EI72" s="834">
        <f>+IF(DQ72=DP72,0,
IF(AND(EI$44&gt;1,DQ72=$N72),1-SUM($EE72:EH72),
IF($N72&lt;=1,
IF($N72&gt;0,1/$N72,0),
IF(EI$44=1,0,VDB(1,0,$N72,INT(EI$44-1-1),MIN($N72,INT(EI$44-1-1)+1),$DC72,IF($DD72="No",1,0))/
IF(DP72&gt;=INT($N72),$N72-INT($N72),1)))*
IF(EI$44=1,0,
IF(INT(DQ72)=INT(DP72),DQ72-DP72,INT(DQ72)-DP72))+
IF($N72&lt;=1,
IF($N72&gt;0,1/$N72,0),VDB(1,0,$N72,INT(EI$44-1),MIN($N72,INT(EI$44-1)+1),$DC72,IF($DD72="No",1,0))/
IF(DQ72&gt;INT($N72),$N72-INT($N72),1))*
IF(EI$44=1,DQ72,
IF(INT(DQ72)=INT(DP72),0,DQ72-INT(DQ72)))))</f>
        <v>0</v>
      </c>
      <c r="EJ72" s="835">
        <f>+IF(DR72=DQ72,0,
IF(AND(EJ$44&gt;1,DR72=$N72),1-SUM($EE72:EI72),
IF($N72&lt;=1,
IF($N72&gt;0,1/$N72,0),
IF(EJ$44=1,0,VDB(1,0,$N72,INT(EJ$44-1-1),MIN($N72,INT(EJ$44-1-1)+1),$DC72,IF($DD72="No",1,0))/
IF(DQ72&gt;=INT($N72),$N72-INT($N72),1)))*
IF(EJ$44=1,0,
IF(INT(DR72)=INT(DQ72),DR72-DQ72,INT(DR72)-DQ72))+
IF($N72&lt;=1,
IF($N72&gt;0,1/$N72,0),VDB(1,0,$N72,INT(EJ$44-1),MIN($N72,INT(EJ$44-1)+1),$DC72,IF($DD72="No",1,0))/
IF(DR72&gt;INT($N72),$N72-INT($N72),1))*
IF(EJ$44=1,DR72,
IF(INT(DR72)=INT(DQ72),0,DR72-INT(DR72)))))</f>
        <v>0</v>
      </c>
      <c r="EK72" s="835">
        <f>+IF(DS72=DR72,0,
IF(AND(EK$44&gt;1,DS72=$N72),1-SUM($EE72:EJ72),
IF($N72&lt;=1,
IF($N72&gt;0,1/$N72,0),
IF(EK$44=1,0,VDB(1,0,$N72,INT(EK$44-1-1),MIN($N72,INT(EK$44-1-1)+1),$DC72,IF($DD72="No",1,0))/
IF(DR72&gt;=INT($N72),$N72-INT($N72),1)))*
IF(EK$44=1,0,
IF(INT(DS72)=INT(DR72),DS72-DR72,INT(DS72)-DR72))+
IF($N72&lt;=1,
IF($N72&gt;0,1/$N72,0),VDB(1,0,$N72,INT(EK$44-1),MIN($N72,INT(EK$44-1)+1),$DC72,IF($DD72="No",1,0))/
IF(DS72&gt;INT($N72),$N72-INT($N72),1))*
IF(EK$44=1,DS72,
IF(INT(DS72)=INT(DR72),0,DS72-INT(DS72)))))</f>
        <v>0</v>
      </c>
      <c r="EL72" s="835">
        <f>+IF(DT72=DS72,0,
IF(AND(EL$44&gt;1,DT72=$N72),1-SUM($EE72:EK72),
IF($N72&lt;=1,
IF($N72&gt;0,1/$N72,0),
IF(EL$44=1,0,VDB(1,0,$N72,INT(EL$44-1-1),MIN($N72,INT(EL$44-1-1)+1),$DC72,IF($DD72="No",1,0))/
IF(DS72&gt;=INT($N72),$N72-INT($N72),1)))*
IF(EL$44=1,0,
IF(INT(DT72)=INT(DS72),DT72-DS72,INT(DT72)-DS72))+
IF($N72&lt;=1,
IF($N72&gt;0,1/$N72,0),VDB(1,0,$N72,INT(EL$44-1),MIN($N72,INT(EL$44-1)+1),$DC72,IF($DD72="No",1,0))/
IF(DT72&gt;INT($N72),$N72-INT($N72),1))*
IF(EL$44=1,DT72,
IF(INT(DT72)=INT(DS72),0,DT72-INT(DT72)))))</f>
        <v>0</v>
      </c>
      <c r="EM72" s="836">
        <f>+IF(DU72=DT72,0,
IF(AND(EM$44&gt;1,DU72=$N72),1-SUM($EE72:EL72),
IF($N72&lt;=1,
IF($N72&gt;0,1/$N72,0),
IF(EM$44=1,0,VDB(1,0,$N72,INT(EM$44-1-1),MIN($N72,INT(EM$44-1-1)+1),$DC72,IF($DD72="No",1,0))/
IF(DT72&gt;=INT($N72),$N72-INT($N72),1)))*
IF(EM$44=1,0,
IF(INT(DU72)=INT(DT72),DU72-DT72,INT(DU72)-DT72))+
IF($N72&lt;=1,
IF($N72&gt;0,1/$N72,0),VDB(1,0,$N72,INT(EM$44-1),MIN($N72,INT(EM$44-1)+1),$DC72,IF($DD72="No",1,0))/
IF(DU72&gt;INT($N72),$N72-INT($N72),1))*
IF(EM$44=1,DU72,
IF(INT(DU72)=INT(DT72),0,DU72-INT(DU72)))))</f>
        <v>0</v>
      </c>
      <c r="EN72" s="833"/>
      <c r="EO72" s="834">
        <f>+IF(OR(DW72=DV72,EO$44=1),0,
IF(AND(EO$44&gt;1,DW72=$N72),1-SUM($EN72:EN72),
IF($N72&lt;=1,
IF($N72&gt;0,1/$N72,0),
IF(EO$44=2,0,VDB(1,0,$N72,INT(EO$44-2-1),MIN($N72,INT(EO$44-2-1)+1),$DC72,IF($DD72="No",1,0))/
IF(DV72&gt;=INT($N72),$N72-INT($N72),1)))*
IF(EO$44=2,0,
IF(INT(DW72)=INT(DV72),DW72-DV72,INT(DW72)-DV72))+
IF($N72&lt;=1,
IF($N72&gt;0,1/$N72,0),VDB(1,0,$N72,INT(EO$44-2),MIN($N72,INT(EO$44-2)+1),$DC72,IF($DD72="No",1,0))/
IF(DW72&gt;INT($N72),$N72-INT($N72),1))*
IF(EO$44=2,DW72,
IF(INT(DW72)=INT(DV72),0,DW72-INT(DW72)))))</f>
        <v>0</v>
      </c>
      <c r="EP72" s="835">
        <f>+IF(OR(DX72=DW72,EP$44=1),0,
IF(AND(EP$44&gt;1,DX72=$N72),1-SUM($EN72:EO72),
IF($N72&lt;=1,
IF($N72&gt;0,1/$N72,0),
IF(EP$44=2,0,VDB(1,0,$N72,INT(EP$44-2-1),MIN($N72,INT(EP$44-2-1)+1),$DC72,IF($DD72="No",1,0))/
IF(DW72&gt;=INT($N72),$N72-INT($N72),1)))*
IF(EP$44=2,0,
IF(INT(DX72)=INT(DW72),DX72-DW72,INT(DX72)-DW72))+
IF($N72&lt;=1,
IF($N72&gt;0,1/$N72,0),VDB(1,0,$N72,INT(EP$44-2),MIN($N72,INT(EP$44-2)+1),$DC72,IF($DD72="No",1,0))/
IF(DX72&gt;INT($N72),$N72-INT($N72),1))*
IF(EP$44=2,DX72,
IF(INT(DX72)=INT(DW72),0,DX72-INT(DX72)))))</f>
        <v>0</v>
      </c>
      <c r="EQ72" s="836">
        <f>+IF(OR(DY72=DX72,EQ$44=1),0,
IF(AND(EQ$44&gt;1,DY72=$N72),1-SUM($EN72:EP72),
IF($N72&lt;=1,
IF($N72&gt;0,1/$N72,0),
IF(EQ$44=2,0,VDB(1,0,$N72,INT(EQ$44-2-1),MIN($N72,INT(EQ$44-2-1)+1),$DC72,IF($DD72="No",1,0))/
IF(DX72&gt;=INT($N72),$N72-INT($N72),1)))*
IF(EQ$44=2,0,
IF(INT(DY72)=INT(DX72),DY72-DX72,INT(DY72)-DX72))+
IF($N72&lt;=1,
IF($N72&gt;0,1/$N72,0),VDB(1,0,$N72,INT(EQ$44-2),MIN($N72,INT(EQ$44-2)+1),$DC72,IF($DD72="No",1,0))/
IF(DY72&gt;INT($N72),$N72-INT($N72),1))*
IF(EQ$44=2,DY72,
IF(INT(DY72)=INT(DX72),0,DY72-INT(DY72)))))</f>
        <v>0</v>
      </c>
      <c r="ER72" s="834">
        <f>+IF(OR(DZ72=DY72,ER$44=1),0,
IF(AND(ER$44&gt;1,DZ72=$N72),1-SUM($EN72:EQ72),
IF($N72&lt;=1,
IF($N72&gt;0,1/$N72,0),
IF(ER$44=2,0,VDB(1,0,$N72,INT(ER$44-2-1),MIN($N72,INT(ER$44-2-1)+1),$DC72,IF($DD72="No",1,0))/
IF(DY72&gt;=INT($N72),$N72-INT($N72),1)))*
IF(ER$44=2,0,
IF(INT(DZ72)=INT(DY72),DZ72-DY72,INT(DZ72)-DY72))+
IF($N72&lt;=1,
IF($N72&gt;0,1/$N72,0),VDB(1,0,$N72,INT(ER$44-2),MIN($N72,INT(ER$44-2)+1),$DC72,IF($DD72="No",1,0))/
IF(DZ72&gt;INT($N72),$N72-INT($N72),1))*
IF(ER$44=2,DZ72,
IF(INT(DZ72)=INT(DY72),0,DZ72-INT(DZ72)))))</f>
        <v>0</v>
      </c>
      <c r="ES72" s="835">
        <f>+IF(OR(EA72=DZ72,ES$44=1),0,
IF(AND(ES$44&gt;1,EA72=$N72),1-SUM($EN72:ER72),
IF($N72&lt;=1,
IF($N72&gt;0,1/$N72,0),
IF(ES$44=2,0,VDB(1,0,$N72,INT(ES$44-2-1),MIN($N72,INT(ES$44-2-1)+1),$DC72,IF($DD72="No",1,0))/
IF(DZ72&gt;=INT($N72),$N72-INT($N72),1)))*
IF(ES$44=2,0,
IF(INT(EA72)=INT(DZ72),EA72-DZ72,INT(EA72)-DZ72))+
IF($N72&lt;=1,
IF($N72&gt;0,1/$N72,0),VDB(1,0,$N72,INT(ES$44-2),MIN($N72,INT(ES$44-2)+1),$DC72,IF($DD72="No",1,0))/
IF(EA72&gt;INT($N72),$N72-INT($N72),1))*
IF(ES$44=2,EA72,
IF(INT(EA72)=INT(DZ72),0,EA72-INT(EA72)))))</f>
        <v>0</v>
      </c>
      <c r="ET72" s="835">
        <f>+IF(OR(EB72=EA72,ET$44=1),0,
IF(AND(ET$44&gt;1,EB72=$N72),1-SUM($EN72:ES72),
IF($N72&lt;=1,
IF($N72&gt;0,1/$N72,0),
IF(ET$44=2,0,VDB(1,0,$N72,INT(ET$44-2-1),MIN($N72,INT(ET$44-2-1)+1),$DC72,IF($DD72="No",1,0))/
IF(EA72&gt;=INT($N72),$N72-INT($N72),1)))*
IF(ET$44=2,0,
IF(INT(EB72)=INT(EA72),EB72-EA72,INT(EB72)-EA72))+
IF($N72&lt;=1,
IF($N72&gt;0,1/$N72,0),VDB(1,0,$N72,INT(ET$44-2),MIN($N72,INT(ET$44-2)+1),$DC72,IF($DD72="No",1,0))/
IF(EB72&gt;INT($N72),$N72-INT($N72),1))*
IF(ET$44=2,EB72,
IF(INT(EB72)=INT(EA72),0,EB72-INT(EB72)))))</f>
        <v>0</v>
      </c>
      <c r="EU72" s="835">
        <f>+IF(OR(EC72=EB72,EU$44=1),0,
IF(AND(EU$44&gt;1,EC72=$N72),1-SUM($EN72:ET72),
IF($N72&lt;=1,
IF($N72&gt;0,1/$N72,0),
IF(EU$44=2,0,VDB(1,0,$N72,INT(EU$44-2-1),MIN($N72,INT(EU$44-2-1)+1),$DC72,IF($DD72="No",1,0))/
IF(EB72&gt;=INT($N72),$N72-INT($N72),1)))*
IF(EU$44=2,0,
IF(INT(EC72)=INT(EB72),EC72-EB72,INT(EC72)-EB72))+
IF($N72&lt;=1,
IF($N72&gt;0,1/$N72,0),VDB(1,0,$N72,INT(EU$44-2),MIN($N72,INT(EU$44-2)+1),$DC72,IF($DD72="No",1,0))/
IF(EC72&gt;INT($N72),$N72-INT($N72),1))*
IF(EU$44=2,EC72,
IF(INT(EC72)=INT(EB72),0,EC72-INT(EC72)))))</f>
        <v>0</v>
      </c>
      <c r="EV72" s="836">
        <f>+IF(OR(ED72=EC72,EV$44=1),0,
IF(AND(EV$44&gt;1,ED72=$N72),1-SUM($EN72:EU72),
IF($N72&lt;=1,
IF($N72&gt;0,1/$N72,0),
IF(EV$44=2,0,VDB(1,0,$N72,INT(EV$44-2-1),MIN($N72,INT(EV$44-2-1)+1),$DC72,IF($DD72="No",1,0))/
IF(EC72&gt;=INT($N72),$N72-INT($N72),1)))*
IF(EV$44=2,0,
IF(INT(ED72)=INT(EC72),ED72-EC72,INT(ED72)-EC72))+
IF($N72&lt;=1,
IF($N72&gt;0,1/$N72,0),VDB(1,0,$N72,INT(EV$44-2),MIN($N72,INT(EV$44-2)+1),$DC72,IF($DD72="No",1,0))/
IF(ED72&gt;INT($N72),$N72-INT($N72),1))*
IF(EV$44=2,ED72,
IF(INT(ED72)=INT(EC72),0,ED72-INT(ED72)))))</f>
        <v>0</v>
      </c>
      <c r="EW72" s="833"/>
      <c r="EX72" s="834">
        <f t="shared" ref="EX72:FE84" ca="1" si="190">+OFFSET($EO72,0,MAX($EX$44:$HY$44)-EX$44)</f>
        <v>0</v>
      </c>
      <c r="EY72" s="835">
        <f t="shared" ca="1" si="190"/>
        <v>0</v>
      </c>
      <c r="EZ72" s="836">
        <f t="shared" ca="1" si="190"/>
        <v>0</v>
      </c>
      <c r="FA72" s="834">
        <f t="shared" ca="1" si="190"/>
        <v>0</v>
      </c>
      <c r="FB72" s="835">
        <f t="shared" ca="1" si="190"/>
        <v>0</v>
      </c>
      <c r="FC72" s="835">
        <f t="shared" ca="1" si="190"/>
        <v>0</v>
      </c>
      <c r="FD72" s="835">
        <f t="shared" ca="1" si="190"/>
        <v>0</v>
      </c>
      <c r="FE72" s="836">
        <f t="shared" ca="1" si="190"/>
        <v>0</v>
      </c>
      <c r="FG72" s="386">
        <f t="shared" ca="1" si="182"/>
        <v>0</v>
      </c>
      <c r="FH72" s="387">
        <f t="shared" ca="1" si="183"/>
        <v>0</v>
      </c>
      <c r="FI72" s="388">
        <f t="shared" ca="1" si="184"/>
        <v>0</v>
      </c>
      <c r="FJ72" s="386">
        <f t="shared" ca="1" si="185"/>
        <v>0</v>
      </c>
      <c r="FK72" s="387">
        <f t="shared" ca="1" si="186"/>
        <v>0</v>
      </c>
      <c r="FL72" s="387">
        <f t="shared" ca="1" si="187"/>
        <v>0</v>
      </c>
      <c r="FM72" s="387">
        <f t="shared" ca="1" si="188"/>
        <v>0</v>
      </c>
      <c r="FN72" s="388">
        <f t="shared" ca="1" si="189"/>
        <v>0</v>
      </c>
      <c r="FR72" s="116"/>
    </row>
    <row r="73" spans="2:174">
      <c r="B73" s="1410">
        <f t="shared" si="135"/>
        <v>27</v>
      </c>
      <c r="C73" s="400" t="s">
        <v>550</v>
      </c>
      <c r="D73" s="410"/>
      <c r="E73" s="402" t="s">
        <v>401</v>
      </c>
      <c r="F73" s="402" t="s">
        <v>527</v>
      </c>
      <c r="G73" s="400" t="s">
        <v>515</v>
      </c>
      <c r="H73" s="2088" t="s">
        <v>483</v>
      </c>
      <c r="I73" s="2089"/>
      <c r="J73" s="411" t="s">
        <v>516</v>
      </c>
      <c r="K73" s="403" t="s">
        <v>544</v>
      </c>
      <c r="L73" s="403">
        <v>25</v>
      </c>
      <c r="M73" s="403" t="s">
        <v>142</v>
      </c>
      <c r="N73" s="403"/>
      <c r="O73" s="347"/>
      <c r="P73" s="347"/>
      <c r="Q73" s="1021">
        <v>2.9828068292682928</v>
      </c>
      <c r="R73" s="1022">
        <v>5.5252349791790607</v>
      </c>
      <c r="S73" s="1022">
        <v>1.7606568678225833</v>
      </c>
      <c r="T73" s="1022">
        <v>6.7377461009618314</v>
      </c>
      <c r="U73" s="1023">
        <v>1.7275728015145331</v>
      </c>
      <c r="V73" s="1021">
        <v>0</v>
      </c>
      <c r="W73" s="1022">
        <v>0</v>
      </c>
      <c r="X73" s="1022">
        <v>0</v>
      </c>
      <c r="Y73" s="1022">
        <v>0</v>
      </c>
      <c r="Z73" s="1023">
        <v>0</v>
      </c>
      <c r="AA73" s="1024"/>
      <c r="AB73" s="1021">
        <v>0</v>
      </c>
      <c r="AC73" s="1022">
        <v>0</v>
      </c>
      <c r="AD73" s="1022">
        <v>0</v>
      </c>
      <c r="AE73" s="1022">
        <v>0</v>
      </c>
      <c r="AF73" s="1023">
        <v>0</v>
      </c>
      <c r="AG73" s="1021">
        <v>0</v>
      </c>
      <c r="AH73" s="1022">
        <v>0</v>
      </c>
      <c r="AI73" s="1022">
        <v>0</v>
      </c>
      <c r="AJ73" s="1022">
        <v>0</v>
      </c>
      <c r="AK73" s="1023">
        <v>0</v>
      </c>
      <c r="AL73" s="1024"/>
      <c r="AM73" s="1021">
        <v>0</v>
      </c>
      <c r="AN73" s="1022">
        <v>0</v>
      </c>
      <c r="AO73" s="1022">
        <v>0</v>
      </c>
      <c r="AP73" s="1022">
        <v>0</v>
      </c>
      <c r="AQ73" s="1023">
        <v>0</v>
      </c>
      <c r="AR73" s="1021">
        <v>0</v>
      </c>
      <c r="AS73" s="1022">
        <v>0</v>
      </c>
      <c r="AT73" s="1022">
        <v>0</v>
      </c>
      <c r="AU73" s="1022">
        <v>0</v>
      </c>
      <c r="AV73" s="1023">
        <v>0</v>
      </c>
      <c r="AW73" s="1025"/>
      <c r="AX73" s="1282">
        <f t="shared" si="136"/>
        <v>2.9828068292682928</v>
      </c>
      <c r="AY73" s="387">
        <f t="shared" si="137"/>
        <v>5.5252349791790607</v>
      </c>
      <c r="AZ73" s="387">
        <f t="shared" si="138"/>
        <v>1.7606568678225833</v>
      </c>
      <c r="BA73" s="387">
        <f t="shared" si="139"/>
        <v>6.7377461009618314</v>
      </c>
      <c r="BB73" s="1283">
        <f t="shared" si="140"/>
        <v>1.7275728015145331</v>
      </c>
      <c r="BC73" s="386">
        <f t="shared" si="141"/>
        <v>0</v>
      </c>
      <c r="BD73" s="387">
        <f t="shared" si="142"/>
        <v>0</v>
      </c>
      <c r="BE73" s="1277">
        <f t="shared" si="143"/>
        <v>0</v>
      </c>
      <c r="BF73" s="1277">
        <f t="shared" si="144"/>
        <v>0</v>
      </c>
      <c r="BG73" s="388">
        <f t="shared" si="145"/>
        <v>0</v>
      </c>
      <c r="BH73" s="1025"/>
      <c r="BI73" s="1282">
        <f t="shared" ca="1" si="146"/>
        <v>5.9656136585365858E-2</v>
      </c>
      <c r="BJ73" s="387">
        <f t="shared" ca="1" si="147"/>
        <v>0.22981697275431293</v>
      </c>
      <c r="BK73" s="387">
        <f t="shared" ca="1" si="148"/>
        <v>0.37553480969434583</v>
      </c>
      <c r="BL73" s="387">
        <f t="shared" ca="1" si="149"/>
        <v>0.54550286907003409</v>
      </c>
      <c r="BM73" s="1283">
        <f t="shared" ca="1" si="150"/>
        <v>0.71480924711956129</v>
      </c>
      <c r="BN73" s="386">
        <f t="shared" ca="1" si="151"/>
        <v>0.74936070314985204</v>
      </c>
      <c r="BO73" s="387">
        <f t="shared" ca="1" si="152"/>
        <v>0.74936070314985204</v>
      </c>
      <c r="BP73" s="1277">
        <f t="shared" ca="1" si="153"/>
        <v>0.74936070314985204</v>
      </c>
      <c r="BQ73" s="1277">
        <f t="shared" ca="1" si="154"/>
        <v>0.74936070314985204</v>
      </c>
      <c r="BR73" s="388">
        <f t="shared" ca="1" si="155"/>
        <v>0.74936070314985204</v>
      </c>
      <c r="BS73" s="1025"/>
      <c r="BT73" s="1282">
        <f>+IF($K73="Ongoing",AX73,IF(RIGHT($K73,2)=RIGHT(BT$43,2),SUM($AX73:AX73),0)+IF(RIGHT(BT$43,2)&gt;RIGHT($K73,2),AX73,0))</f>
        <v>2.9828068292682928</v>
      </c>
      <c r="BU73" s="387">
        <f>+IF($K73="Ongoing",AY73,IF(RIGHT($K73,2)=RIGHT(BU$43,2),SUM($AX73:AY73),0)+IF(RIGHT(BU$43,2)&gt;RIGHT($K73,2),AY73,0))</f>
        <v>5.5252349791790607</v>
      </c>
      <c r="BV73" s="387">
        <f>+IF($K73="Ongoing",AZ73,IF(RIGHT($K73,2)=RIGHT(BV$43,2),SUM($AX73:AZ73),0)+IF(RIGHT(BV$43,2)&gt;RIGHT($K73,2),AZ73,0))</f>
        <v>1.7606568678225833</v>
      </c>
      <c r="BW73" s="387">
        <f>+IF($K73="Ongoing",BA73,IF(RIGHT($K73,2)=RIGHT(BW$43,2),SUM($AX73:BA73),0)+IF(RIGHT(BW$43,2)&gt;RIGHT($K73,2),BA73,0))</f>
        <v>6.7377461009618314</v>
      </c>
      <c r="BX73" s="1283">
        <f>+IF($K73="Ongoing",BB73,IF(RIGHT($K73,2)=RIGHT(BX$43,2),SUM($AX73:BB73),0)+IF(RIGHT(BX$43,2)&gt;RIGHT($K73,2),BB73,0))</f>
        <v>1.7275728015145331</v>
      </c>
      <c r="BY73" s="386">
        <f>+IF($K73="Ongoing",BC73,IF(RIGHT($K73,2)=RIGHT(BY$43,2),SUM($AX73:BC73),0)+IF(RIGHT(BY$43,2)&gt;RIGHT($K73,2),BC73,0))</f>
        <v>0</v>
      </c>
      <c r="BZ73" s="387">
        <f>+IF($K73="Ongoing",BD73,IF(RIGHT($K73,2)=RIGHT(BZ$43,2),SUM($AX73:BD73),0)+IF(RIGHT(BZ$43,2)&gt;RIGHT($K73,2),BD73,0))</f>
        <v>0</v>
      </c>
      <c r="CA73" s="1277">
        <f>+IF($K73="Ongoing",BE73,IF(RIGHT($K73,2)=RIGHT(CA$43,2),SUM($AX73:BE73),0)+IF(RIGHT(CA$43,2)&gt;RIGHT($K73,2),BE73,0))</f>
        <v>0</v>
      </c>
      <c r="CB73" s="1277">
        <f>+IF($K73="Ongoing",BF73,IF(RIGHT($K73,2)=RIGHT(CB$43,2),SUM($AX73:BF73),0)+IF(RIGHT(CB$43,2)&gt;RIGHT($K73,2),BF73,0))</f>
        <v>0</v>
      </c>
      <c r="CC73" s="388">
        <f>+IF($K73="Ongoing",BG73,IF(RIGHT($K73,2)=RIGHT(CC$43,2),SUM($AX73:BG73),0)+IF(RIGHT(CC$43,2)&gt;RIGHT($K73,2),BG73,0))</f>
        <v>0</v>
      </c>
      <c r="CD73" s="1025"/>
      <c r="CE73" s="1282">
        <f>+Q73*KeyAssumptionsPriceControl_FO!AF$15</f>
        <v>3.0693082273170731</v>
      </c>
      <c r="CF73" s="387">
        <f>+R73*KeyAssumptionsPriceControl_FO!AG$15</f>
        <v>5.8503453305889357</v>
      </c>
      <c r="CG73" s="387">
        <f>+S73*KeyAssumptionsPriceControl_FO!AH$15</f>
        <v>1.9183190932610135</v>
      </c>
      <c r="CH73" s="387">
        <f>+T73*KeyAssumptionsPriceControl_FO!AI$15</f>
        <v>7.5539853885372814</v>
      </c>
      <c r="CI73" s="1283">
        <f>+U73*KeyAssumptionsPriceControl_FO!AJ$15</f>
        <v>1.9930272275570347</v>
      </c>
      <c r="CJ73" s="386">
        <f>+V73*KeyAssumptionsPriceControl_FO!AK$15</f>
        <v>0</v>
      </c>
      <c r="CK73" s="387">
        <f>+W73*KeyAssumptionsPriceControl_FO!AL$15</f>
        <v>0</v>
      </c>
      <c r="CL73" s="1277">
        <f>+X73*KeyAssumptionsPriceControl_FO!AM$15</f>
        <v>0</v>
      </c>
      <c r="CM73" s="1277">
        <f>+Y73*KeyAssumptionsPriceControl_FO!AN$15</f>
        <v>0</v>
      </c>
      <c r="CN73" s="388">
        <f>+Z73*KeyAssumptionsPriceControl_FO!AO$15</f>
        <v>0</v>
      </c>
      <c r="CO73" s="1025"/>
      <c r="CP73" s="1282">
        <f t="shared" ca="1" si="156"/>
        <v>0</v>
      </c>
      <c r="CQ73" s="387">
        <f t="shared" ca="1" si="157"/>
        <v>0</v>
      </c>
      <c r="CR73" s="387">
        <f t="shared" ca="1" si="158"/>
        <v>0</v>
      </c>
      <c r="CS73" s="387">
        <f t="shared" ca="1" si="159"/>
        <v>0</v>
      </c>
      <c r="CT73" s="1283">
        <f t="shared" ca="1" si="160"/>
        <v>0</v>
      </c>
      <c r="CU73" s="386">
        <f t="shared" ca="1" si="161"/>
        <v>0</v>
      </c>
      <c r="CV73" s="387">
        <f t="shared" ca="1" si="162"/>
        <v>0</v>
      </c>
      <c r="CW73" s="1277">
        <f t="shared" ca="1" si="163"/>
        <v>0</v>
      </c>
      <c r="CX73" s="1277">
        <f t="shared" ca="1" si="164"/>
        <v>0</v>
      </c>
      <c r="CY73" s="388">
        <f t="shared" ca="1" si="165"/>
        <v>0</v>
      </c>
      <c r="CZ73" s="347"/>
      <c r="DA73" s="852"/>
      <c r="DB73" s="347"/>
      <c r="DC73" s="1012" t="s">
        <v>552</v>
      </c>
      <c r="DD73" s="841" t="s">
        <v>518</v>
      </c>
      <c r="DE73" s="386">
        <f>+IF($K73="ongoing",CE73,IF(RIGHT($K73,2)=RIGHT(DE$43,2),SUM($CD73:CE73),0)+IF(RIGHT(DE$43,2)&gt;RIGHT($K73,2),CE73,0))</f>
        <v>3.0693082273170731</v>
      </c>
      <c r="DF73" s="387">
        <f>+IF($K73="ongoing",CF73,IF(RIGHT($K73,2)=RIGHT(DF$43,2),SUM($CD73:CF73),0)+IF(RIGHT(DF$43,2)&gt;RIGHT($K73,2),CF73,0))</f>
        <v>5.8503453305889357</v>
      </c>
      <c r="DG73" s="388">
        <f>+IF($K73="ongoing",CG73,IF(RIGHT($K73,2)=RIGHT(DG$43,2),SUM($CD73:CG73),0)+IF(RIGHT(DG$43,2)&gt;RIGHT($K73,2),CG73,0))</f>
        <v>1.9183190932610135</v>
      </c>
      <c r="DH73" s="386">
        <f>+IF($K73="ongoing",CH73,IF(RIGHT($K73,2)=RIGHT(DH$43,2),SUM($CD73:CH73),0)+IF(RIGHT(DH$43,2)&gt;RIGHT($K73,2),CH73,0))</f>
        <v>7.5539853885372814</v>
      </c>
      <c r="DI73" s="387">
        <f>+IF($K73="ongoing",CI73,IF(RIGHT($K73,2)=RIGHT(DI$43,2),SUM($CD73:CI73),0)+IF(RIGHT(DI$43,2)&gt;RIGHT($K73,2),CI73,0))</f>
        <v>1.9930272275570347</v>
      </c>
      <c r="DJ73" s="387">
        <f>+IF($K73="ongoing",CJ73,IF(RIGHT($K73,2)=RIGHT(DJ$43,2),SUM($CD73:CJ73),0)+IF(RIGHT(DJ$43,2)&gt;RIGHT($K73,2),CJ73,0))</f>
        <v>0</v>
      </c>
      <c r="DK73" s="387">
        <f>+IF($K73="ongoing",CK73,IF(RIGHT($K73,2)=RIGHT(DK$43,2),SUM($CD73:CK73),0)+IF(RIGHT(DK$43,2)&gt;RIGHT($K73,2),CK73,0))</f>
        <v>0</v>
      </c>
      <c r="DL73" s="388">
        <f>+IF($K73="ongoing",CN73,IF(RIGHT($K73,2)=RIGHT(DL$43,2),SUM($CD73:CN73),0)+IF(RIGHT(DL$43,2)&gt;RIGHT($K73,2),CN73,0))</f>
        <v>0</v>
      </c>
      <c r="DM73" s="841"/>
      <c r="DN73" s="386">
        <f t="shared" si="166"/>
        <v>0.5</v>
      </c>
      <c r="DO73" s="387">
        <f t="shared" si="167"/>
        <v>1</v>
      </c>
      <c r="DP73" s="388">
        <f t="shared" si="168"/>
        <v>1</v>
      </c>
      <c r="DQ73" s="386">
        <f t="shared" si="169"/>
        <v>1</v>
      </c>
      <c r="DR73" s="387">
        <f t="shared" si="170"/>
        <v>1</v>
      </c>
      <c r="DS73" s="387">
        <f t="shared" si="171"/>
        <v>1</v>
      </c>
      <c r="DT73" s="387">
        <f t="shared" si="172"/>
        <v>1</v>
      </c>
      <c r="DU73" s="388">
        <f t="shared" si="173"/>
        <v>1</v>
      </c>
      <c r="DW73" s="386">
        <f t="shared" si="174"/>
        <v>0</v>
      </c>
      <c r="DX73" s="387">
        <f t="shared" si="175"/>
        <v>0.5</v>
      </c>
      <c r="DY73" s="388">
        <f t="shared" si="176"/>
        <v>1</v>
      </c>
      <c r="DZ73" s="386">
        <f t="shared" si="177"/>
        <v>1</v>
      </c>
      <c r="EA73" s="387">
        <f t="shared" si="178"/>
        <v>1</v>
      </c>
      <c r="EB73" s="387">
        <f t="shared" si="179"/>
        <v>1</v>
      </c>
      <c r="EC73" s="387">
        <f t="shared" si="180"/>
        <v>1</v>
      </c>
      <c r="ED73" s="388">
        <f t="shared" si="181"/>
        <v>1</v>
      </c>
      <c r="EF73" s="834">
        <f>+IF(DN73=DM73,0,
IF(AND(EF$44&gt;1,DN73=$N73),1-SUM($EE73:EE73),
IF($N73&lt;=1,
IF($N73&gt;0,1/$N73,0),
IF(EF$44=1,0,VDB(1,0,$N73,INT(EF$44-1-1),MIN($N73,INT(EF$44-1-1)+1),$DC73,IF($DD73="No",1,0))/
IF(DM73&gt;=INT($N73),$N73-INT($N73),1)))*
IF(EF$44=1,0,
IF(INT(DN73)=INT(DM73),DN73-DM73,INT(DN73)-DM73))+
IF($N73&lt;=1,
IF($N73&gt;0,1/$N73,0),VDB(1,0,$N73,INT(EF$44-1),MIN($N73,INT(EF$44-1)+1),$DC73,IF($DD73="No",1,0))/
IF(DN73&gt;INT($N73),$N73-INT($N73),1))*
IF(EF$44=1,DN73,
IF(INT(DN73)=INT(DM73),0,DN73-INT(DN73)))))</f>
        <v>0</v>
      </c>
      <c r="EG73" s="835">
        <f>+IF(DO73=DN73,0,
IF(AND(EG$44&gt;1,DO73=$N73),1-SUM($EE73:EF73),
IF($N73&lt;=1,
IF($N73&gt;0,1/$N73,0),
IF(EG$44=1,0,VDB(1,0,$N73,INT(EG$44-1-1),MIN($N73,INT(EG$44-1-1)+1),$DC73,IF($DD73="No",1,0))/
IF(DN73&gt;=INT($N73),$N73-INT($N73),1)))*
IF(EG$44=1,0,
IF(INT(DO73)=INT(DN73),DO73-DN73,INT(DO73)-DN73))+
IF($N73&lt;=1,
IF($N73&gt;0,1/$N73,0),VDB(1,0,$N73,INT(EG$44-1),MIN($N73,INT(EG$44-1)+1),$DC73,IF($DD73="No",1,0))/
IF(DO73&gt;INT($N73),$N73-INT($N73),1))*
IF(EG$44=1,DO73,
IF(INT(DO73)=INT(DN73),0,DO73-INT(DO73)))))</f>
        <v>0</v>
      </c>
      <c r="EH73" s="836">
        <f>+IF(DP73=DO73,0,
IF(AND(EH$44&gt;1,DP73=$N73),1-SUM($EE73:EG73),
IF($N73&lt;=1,
IF($N73&gt;0,1/$N73,0),
IF(EH$44=1,0,VDB(1,0,$N73,INT(EH$44-1-1),MIN($N73,INT(EH$44-1-1)+1),$DC73,IF($DD73="No",1,0))/
IF(DO73&gt;=INT($N73),$N73-INT($N73),1)))*
IF(EH$44=1,0,
IF(INT(DP73)=INT(DO73),DP73-DO73,INT(DP73)-DO73))+
IF($N73&lt;=1,
IF($N73&gt;0,1/$N73,0),VDB(1,0,$N73,INT(EH$44-1),MIN($N73,INT(EH$44-1)+1),$DC73,IF($DD73="No",1,0))/
IF(DP73&gt;INT($N73),$N73-INT($N73),1))*
IF(EH$44=1,DP73,
IF(INT(DP73)=INT(DO73),0,DP73-INT(DP73)))))</f>
        <v>0</v>
      </c>
      <c r="EI73" s="834">
        <f>+IF(DQ73=DP73,0,
IF(AND(EI$44&gt;1,DQ73=$N73),1-SUM($EE73:EH73),
IF($N73&lt;=1,
IF($N73&gt;0,1/$N73,0),
IF(EI$44=1,0,VDB(1,0,$N73,INT(EI$44-1-1),MIN($N73,INT(EI$44-1-1)+1),$DC73,IF($DD73="No",1,0))/
IF(DP73&gt;=INT($N73),$N73-INT($N73),1)))*
IF(EI$44=1,0,
IF(INT(DQ73)=INT(DP73),DQ73-DP73,INT(DQ73)-DP73))+
IF($N73&lt;=1,
IF($N73&gt;0,1/$N73,0),VDB(1,0,$N73,INT(EI$44-1),MIN($N73,INT(EI$44-1)+1),$DC73,IF($DD73="No",1,0))/
IF(DQ73&gt;INT($N73),$N73-INT($N73),1))*
IF(EI$44=1,DQ73,
IF(INT(DQ73)=INT(DP73),0,DQ73-INT(DQ73)))))</f>
        <v>0</v>
      </c>
      <c r="EJ73" s="835">
        <f>+IF(DR73=DQ73,0,
IF(AND(EJ$44&gt;1,DR73=$N73),1-SUM($EE73:EI73),
IF($N73&lt;=1,
IF($N73&gt;0,1/$N73,0),
IF(EJ$44=1,0,VDB(1,0,$N73,INT(EJ$44-1-1),MIN($N73,INT(EJ$44-1-1)+1),$DC73,IF($DD73="No",1,0))/
IF(DQ73&gt;=INT($N73),$N73-INT($N73),1)))*
IF(EJ$44=1,0,
IF(INT(DR73)=INT(DQ73),DR73-DQ73,INT(DR73)-DQ73))+
IF($N73&lt;=1,
IF($N73&gt;0,1/$N73,0),VDB(1,0,$N73,INT(EJ$44-1),MIN($N73,INT(EJ$44-1)+1),$DC73,IF($DD73="No",1,0))/
IF(DR73&gt;INT($N73),$N73-INT($N73),1))*
IF(EJ$44=1,DR73,
IF(INT(DR73)=INT(DQ73),0,DR73-INT(DR73)))))</f>
        <v>0</v>
      </c>
      <c r="EK73" s="835">
        <f>+IF(DS73=DR73,0,
IF(AND(EK$44&gt;1,DS73=$N73),1-SUM($EE73:EJ73),
IF($N73&lt;=1,
IF($N73&gt;0,1/$N73,0),
IF(EK$44=1,0,VDB(1,0,$N73,INT(EK$44-1-1),MIN($N73,INT(EK$44-1-1)+1),$DC73,IF($DD73="No",1,0))/
IF(DR73&gt;=INT($N73),$N73-INT($N73),1)))*
IF(EK$44=1,0,
IF(INT(DS73)=INT(DR73),DS73-DR73,INT(DS73)-DR73))+
IF($N73&lt;=1,
IF($N73&gt;0,1/$N73,0),VDB(1,0,$N73,INT(EK$44-1),MIN($N73,INT(EK$44-1)+1),$DC73,IF($DD73="No",1,0))/
IF(DS73&gt;INT($N73),$N73-INT($N73),1))*
IF(EK$44=1,DS73,
IF(INT(DS73)=INT(DR73),0,DS73-INT(DS73)))))</f>
        <v>0</v>
      </c>
      <c r="EL73" s="835">
        <f>+IF(DT73=DS73,0,
IF(AND(EL$44&gt;1,DT73=$N73),1-SUM($EE73:EK73),
IF($N73&lt;=1,
IF($N73&gt;0,1/$N73,0),
IF(EL$44=1,0,VDB(1,0,$N73,INT(EL$44-1-1),MIN($N73,INT(EL$44-1-1)+1),$DC73,IF($DD73="No",1,0))/
IF(DS73&gt;=INT($N73),$N73-INT($N73),1)))*
IF(EL$44=1,0,
IF(INT(DT73)=INT(DS73),DT73-DS73,INT(DT73)-DS73))+
IF($N73&lt;=1,
IF($N73&gt;0,1/$N73,0),VDB(1,0,$N73,INT(EL$44-1),MIN($N73,INT(EL$44-1)+1),$DC73,IF($DD73="No",1,0))/
IF(DT73&gt;INT($N73),$N73-INT($N73),1))*
IF(EL$44=1,DT73,
IF(INT(DT73)=INT(DS73),0,DT73-INT(DT73)))))</f>
        <v>0</v>
      </c>
      <c r="EM73" s="836">
        <f>+IF(DU73=DT73,0,
IF(AND(EM$44&gt;1,DU73=$N73),1-SUM($EE73:EL73),
IF($N73&lt;=1,
IF($N73&gt;0,1/$N73,0),
IF(EM$44=1,0,VDB(1,0,$N73,INT(EM$44-1-1),MIN($N73,INT(EM$44-1-1)+1),$DC73,IF($DD73="No",1,0))/
IF(DT73&gt;=INT($N73),$N73-INT($N73),1)))*
IF(EM$44=1,0,
IF(INT(DU73)=INT(DT73),DU73-DT73,INT(DU73)-DT73))+
IF($N73&lt;=1,
IF($N73&gt;0,1/$N73,0),VDB(1,0,$N73,INT(EM$44-1),MIN($N73,INT(EM$44-1)+1),$DC73,IF($DD73="No",1,0))/
IF(DU73&gt;INT($N73),$N73-INT($N73),1))*
IF(EM$44=1,DU73,
IF(INT(DU73)=INT(DT73),0,DU73-INT(DU73)))))</f>
        <v>0</v>
      </c>
      <c r="EN73" s="833"/>
      <c r="EO73" s="834">
        <f>+IF(OR(DW73=DV73,EO$44=1),0,
IF(AND(EO$44&gt;1,DW73=$N73),1-SUM($EN73:EN73),
IF($N73&lt;=1,
IF($N73&gt;0,1/$N73,0),
IF(EO$44=2,0,VDB(1,0,$N73,INT(EO$44-2-1),MIN($N73,INT(EO$44-2-1)+1),$DC73,IF($DD73="No",1,0))/
IF(DV73&gt;=INT($N73),$N73-INT($N73),1)))*
IF(EO$44=2,0,
IF(INT(DW73)=INT(DV73),DW73-DV73,INT(DW73)-DV73))+
IF($N73&lt;=1,
IF($N73&gt;0,1/$N73,0),VDB(1,0,$N73,INT(EO$44-2),MIN($N73,INT(EO$44-2)+1),$DC73,IF($DD73="No",1,0))/
IF(DW73&gt;INT($N73),$N73-INT($N73),1))*
IF(EO$44=2,DW73,
IF(INT(DW73)=INT(DV73),0,DW73-INT(DW73)))))</f>
        <v>0</v>
      </c>
      <c r="EP73" s="835">
        <f>+IF(OR(DX73=DW73,EP$44=1),0,
IF(AND(EP$44&gt;1,DX73=$N73),1-SUM($EN73:EO73),
IF($N73&lt;=1,
IF($N73&gt;0,1/$N73,0),
IF(EP$44=2,0,VDB(1,0,$N73,INT(EP$44-2-1),MIN($N73,INT(EP$44-2-1)+1),$DC73,IF($DD73="No",1,0))/
IF(DW73&gt;=INT($N73),$N73-INT($N73),1)))*
IF(EP$44=2,0,
IF(INT(DX73)=INT(DW73),DX73-DW73,INT(DX73)-DW73))+
IF($N73&lt;=1,
IF($N73&gt;0,1/$N73,0),VDB(1,0,$N73,INT(EP$44-2),MIN($N73,INT(EP$44-2)+1),$DC73,IF($DD73="No",1,0))/
IF(DX73&gt;INT($N73),$N73-INT($N73),1))*
IF(EP$44=2,DX73,
IF(INT(DX73)=INT(DW73),0,DX73-INT(DX73)))))</f>
        <v>0</v>
      </c>
      <c r="EQ73" s="836">
        <f>+IF(OR(DY73=DX73,EQ$44=1),0,
IF(AND(EQ$44&gt;1,DY73=$N73),1-SUM($EN73:EP73),
IF($N73&lt;=1,
IF($N73&gt;0,1/$N73,0),
IF(EQ$44=2,0,VDB(1,0,$N73,INT(EQ$44-2-1),MIN($N73,INT(EQ$44-2-1)+1),$DC73,IF($DD73="No",1,0))/
IF(DX73&gt;=INT($N73),$N73-INT($N73),1)))*
IF(EQ$44=2,0,
IF(INT(DY73)=INT(DX73),DY73-DX73,INT(DY73)-DX73))+
IF($N73&lt;=1,
IF($N73&gt;0,1/$N73,0),VDB(1,0,$N73,INT(EQ$44-2),MIN($N73,INT(EQ$44-2)+1),$DC73,IF($DD73="No",1,0))/
IF(DY73&gt;INT($N73),$N73-INT($N73),1))*
IF(EQ$44=2,DY73,
IF(INT(DY73)=INT(DX73),0,DY73-INT(DY73)))))</f>
        <v>0</v>
      </c>
      <c r="ER73" s="834">
        <f>+IF(OR(DZ73=DY73,ER$44=1),0,
IF(AND(ER$44&gt;1,DZ73=$N73),1-SUM($EN73:EQ73),
IF($N73&lt;=1,
IF($N73&gt;0,1/$N73,0),
IF(ER$44=2,0,VDB(1,0,$N73,INT(ER$44-2-1),MIN($N73,INT(ER$44-2-1)+1),$DC73,IF($DD73="No",1,0))/
IF(DY73&gt;=INT($N73),$N73-INT($N73),1)))*
IF(ER$44=2,0,
IF(INT(DZ73)=INT(DY73),DZ73-DY73,INT(DZ73)-DY73))+
IF($N73&lt;=1,
IF($N73&gt;0,1/$N73,0),VDB(1,0,$N73,INT(ER$44-2),MIN($N73,INT(ER$44-2)+1),$DC73,IF($DD73="No",1,0))/
IF(DZ73&gt;INT($N73),$N73-INT($N73),1))*
IF(ER$44=2,DZ73,
IF(INT(DZ73)=INT(DY73),0,DZ73-INT(DZ73)))))</f>
        <v>0</v>
      </c>
      <c r="ES73" s="835">
        <f>+IF(OR(EA73=DZ73,ES$44=1),0,
IF(AND(ES$44&gt;1,EA73=$N73),1-SUM($EN73:ER73),
IF($N73&lt;=1,
IF($N73&gt;0,1/$N73,0),
IF(ES$44=2,0,VDB(1,0,$N73,INT(ES$44-2-1),MIN($N73,INT(ES$44-2-1)+1),$DC73,IF($DD73="No",1,0))/
IF(DZ73&gt;=INT($N73),$N73-INT($N73),1)))*
IF(ES$44=2,0,
IF(INT(EA73)=INT(DZ73),EA73-DZ73,INT(EA73)-DZ73))+
IF($N73&lt;=1,
IF($N73&gt;0,1/$N73,0),VDB(1,0,$N73,INT(ES$44-2),MIN($N73,INT(ES$44-2)+1),$DC73,IF($DD73="No",1,0))/
IF(EA73&gt;INT($N73),$N73-INT($N73),1))*
IF(ES$44=2,EA73,
IF(INT(EA73)=INT(DZ73),0,EA73-INT(EA73)))))</f>
        <v>0</v>
      </c>
      <c r="ET73" s="835">
        <f>+IF(OR(EB73=EA73,ET$44=1),0,
IF(AND(ET$44&gt;1,EB73=$N73),1-SUM($EN73:ES73),
IF($N73&lt;=1,
IF($N73&gt;0,1/$N73,0),
IF(ET$44=2,0,VDB(1,0,$N73,INT(ET$44-2-1),MIN($N73,INT(ET$44-2-1)+1),$DC73,IF($DD73="No",1,0))/
IF(EA73&gt;=INT($N73),$N73-INT($N73),1)))*
IF(ET$44=2,0,
IF(INT(EB73)=INT(EA73),EB73-EA73,INT(EB73)-EA73))+
IF($N73&lt;=1,
IF($N73&gt;0,1/$N73,0),VDB(1,0,$N73,INT(ET$44-2),MIN($N73,INT(ET$44-2)+1),$DC73,IF($DD73="No",1,0))/
IF(EB73&gt;INT($N73),$N73-INT($N73),1))*
IF(ET$44=2,EB73,
IF(INT(EB73)=INT(EA73),0,EB73-INT(EB73)))))</f>
        <v>0</v>
      </c>
      <c r="EU73" s="835">
        <f>+IF(OR(EC73=EB73,EU$44=1),0,
IF(AND(EU$44&gt;1,EC73=$N73),1-SUM($EN73:ET73),
IF($N73&lt;=1,
IF($N73&gt;0,1/$N73,0),
IF(EU$44=2,0,VDB(1,0,$N73,INT(EU$44-2-1),MIN($N73,INT(EU$44-2-1)+1),$DC73,IF($DD73="No",1,0))/
IF(EB73&gt;=INT($N73),$N73-INT($N73),1)))*
IF(EU$44=2,0,
IF(INT(EC73)=INT(EB73),EC73-EB73,INT(EC73)-EB73))+
IF($N73&lt;=1,
IF($N73&gt;0,1/$N73,0),VDB(1,0,$N73,INT(EU$44-2),MIN($N73,INT(EU$44-2)+1),$DC73,IF($DD73="No",1,0))/
IF(EC73&gt;INT($N73),$N73-INT($N73),1))*
IF(EU$44=2,EC73,
IF(INT(EC73)=INT(EB73),0,EC73-INT(EC73)))))</f>
        <v>0</v>
      </c>
      <c r="EV73" s="836">
        <f>+IF(OR(ED73=EC73,EV$44=1),0,
IF(AND(EV$44&gt;1,ED73=$N73),1-SUM($EN73:EU73),
IF($N73&lt;=1,
IF($N73&gt;0,1/$N73,0),
IF(EV$44=2,0,VDB(1,0,$N73,INT(EV$44-2-1),MIN($N73,INT(EV$44-2-1)+1),$DC73,IF($DD73="No",1,0))/
IF(EC73&gt;=INT($N73),$N73-INT($N73),1)))*
IF(EV$44=2,0,
IF(INT(ED73)=INT(EC73),ED73-EC73,INT(ED73)-EC73))+
IF($N73&lt;=1,
IF($N73&gt;0,1/$N73,0),VDB(1,0,$N73,INT(EV$44-2),MIN($N73,INT(EV$44-2)+1),$DC73,IF($DD73="No",1,0))/
IF(ED73&gt;INT($N73),$N73-INT($N73),1))*
IF(EV$44=2,ED73,
IF(INT(ED73)=INT(EC73),0,ED73-INT(ED73)))))</f>
        <v>0</v>
      </c>
      <c r="EW73" s="833"/>
      <c r="EX73" s="834">
        <f t="shared" ca="1" si="190"/>
        <v>0</v>
      </c>
      <c r="EY73" s="835">
        <f t="shared" ca="1" si="190"/>
        <v>0</v>
      </c>
      <c r="EZ73" s="836">
        <f t="shared" ca="1" si="190"/>
        <v>0</v>
      </c>
      <c r="FA73" s="834">
        <f t="shared" ca="1" si="190"/>
        <v>0</v>
      </c>
      <c r="FB73" s="835">
        <f t="shared" ca="1" si="190"/>
        <v>0</v>
      </c>
      <c r="FC73" s="835">
        <f t="shared" ca="1" si="190"/>
        <v>0</v>
      </c>
      <c r="FD73" s="835">
        <f t="shared" ca="1" si="190"/>
        <v>0</v>
      </c>
      <c r="FE73" s="836">
        <f t="shared" ca="1" si="190"/>
        <v>0</v>
      </c>
      <c r="FG73" s="386">
        <f t="shared" ca="1" si="182"/>
        <v>0</v>
      </c>
      <c r="FH73" s="387">
        <f t="shared" ca="1" si="183"/>
        <v>0</v>
      </c>
      <c r="FI73" s="388">
        <f t="shared" ca="1" si="184"/>
        <v>0</v>
      </c>
      <c r="FJ73" s="386">
        <f t="shared" ca="1" si="185"/>
        <v>0</v>
      </c>
      <c r="FK73" s="387">
        <f t="shared" ca="1" si="186"/>
        <v>0</v>
      </c>
      <c r="FL73" s="387">
        <f t="shared" ca="1" si="187"/>
        <v>0</v>
      </c>
      <c r="FM73" s="387">
        <f t="shared" ca="1" si="188"/>
        <v>0</v>
      </c>
      <c r="FN73" s="388">
        <f t="shared" ca="1" si="189"/>
        <v>0</v>
      </c>
      <c r="FR73" s="116"/>
    </row>
    <row r="74" spans="2:174">
      <c r="B74" s="1410">
        <f t="shared" si="135"/>
        <v>28</v>
      </c>
      <c r="C74" s="400" t="s">
        <v>550</v>
      </c>
      <c r="D74" s="410"/>
      <c r="E74" s="402" t="s">
        <v>401</v>
      </c>
      <c r="F74" s="402" t="s">
        <v>527</v>
      </c>
      <c r="G74" s="400" t="s">
        <v>515</v>
      </c>
      <c r="H74" s="2088" t="s">
        <v>483</v>
      </c>
      <c r="I74" s="2089"/>
      <c r="J74" s="411" t="s">
        <v>516</v>
      </c>
      <c r="K74" s="403" t="s">
        <v>544</v>
      </c>
      <c r="L74" s="403">
        <v>100</v>
      </c>
      <c r="M74" s="403" t="s">
        <v>142</v>
      </c>
      <c r="N74" s="403"/>
      <c r="O74" s="347"/>
      <c r="P74" s="347"/>
      <c r="Q74" s="1021">
        <v>0</v>
      </c>
      <c r="R74" s="1022">
        <v>0</v>
      </c>
      <c r="S74" s="1022">
        <v>0</v>
      </c>
      <c r="T74" s="1022">
        <v>0</v>
      </c>
      <c r="U74" s="1023">
        <v>1.0948152805390197</v>
      </c>
      <c r="V74" s="1021">
        <v>2.095023531084653</v>
      </c>
      <c r="W74" s="1022">
        <v>6.8420370774209722</v>
      </c>
      <c r="X74" s="1022">
        <v>61.427953503145531</v>
      </c>
      <c r="Y74" s="1022">
        <v>131.96892638598985</v>
      </c>
      <c r="Z74" s="1023">
        <v>139.29528912882856</v>
      </c>
      <c r="AA74" s="1024"/>
      <c r="AB74" s="1021">
        <v>0</v>
      </c>
      <c r="AC74" s="1022">
        <v>0</v>
      </c>
      <c r="AD74" s="1022">
        <v>0</v>
      </c>
      <c r="AE74" s="1022">
        <v>0</v>
      </c>
      <c r="AF74" s="1023">
        <v>0</v>
      </c>
      <c r="AG74" s="1021">
        <v>0</v>
      </c>
      <c r="AH74" s="1022">
        <v>0</v>
      </c>
      <c r="AI74" s="1022">
        <v>0</v>
      </c>
      <c r="AJ74" s="1022">
        <v>0</v>
      </c>
      <c r="AK74" s="1023">
        <v>0</v>
      </c>
      <c r="AL74" s="1024"/>
      <c r="AM74" s="1021">
        <v>0</v>
      </c>
      <c r="AN74" s="1022">
        <v>0</v>
      </c>
      <c r="AO74" s="1022">
        <v>0</v>
      </c>
      <c r="AP74" s="1022">
        <v>0</v>
      </c>
      <c r="AQ74" s="1023">
        <v>0</v>
      </c>
      <c r="AR74" s="1021">
        <v>0</v>
      </c>
      <c r="AS74" s="1022">
        <v>0</v>
      </c>
      <c r="AT74" s="1022">
        <v>0</v>
      </c>
      <c r="AU74" s="1022">
        <v>0</v>
      </c>
      <c r="AV74" s="1023">
        <v>0</v>
      </c>
      <c r="AW74" s="1025"/>
      <c r="AX74" s="1282">
        <f t="shared" ref="AX74:AX99" si="191">+Q74-AB74-AM74</f>
        <v>0</v>
      </c>
      <c r="AY74" s="387">
        <f t="shared" ref="AY74:AY99" si="192">+R74-AC74-AN74</f>
        <v>0</v>
      </c>
      <c r="AZ74" s="387">
        <f t="shared" ref="AZ74:AZ99" si="193">+S74-AD74-AO74</f>
        <v>0</v>
      </c>
      <c r="BA74" s="387">
        <f t="shared" ref="BA74:BA99" si="194">+T74-AE74-AP74</f>
        <v>0</v>
      </c>
      <c r="BB74" s="1283">
        <f t="shared" ref="BB74:BB99" si="195">+U74-AF74-AQ74</f>
        <v>1.0948152805390197</v>
      </c>
      <c r="BC74" s="386">
        <f t="shared" ref="BC74:BC99" si="196">+V74-AG74-AR74</f>
        <v>2.095023531084653</v>
      </c>
      <c r="BD74" s="387">
        <f t="shared" ref="BD74:BD99" si="197">+W74-AH74-AS74</f>
        <v>6.8420370774209722</v>
      </c>
      <c r="BE74" s="1277">
        <f t="shared" ref="BE74:BE99" si="198">+X74-AI74-AT74</f>
        <v>61.427953503145531</v>
      </c>
      <c r="BF74" s="1277">
        <f t="shared" ref="BF74:BF99" si="199">+Y74-AJ74-AU74</f>
        <v>131.96892638598985</v>
      </c>
      <c r="BG74" s="388">
        <f t="shared" ref="BG74:BG99" si="200">+Z74-AK74-AV74</f>
        <v>139.29528912882856</v>
      </c>
      <c r="BH74" s="1025"/>
      <c r="BI74" s="1282">
        <f t="shared" ref="BI74:BI99" ca="1" si="201">IF($L74=0,0,
IF($L74&lt;=0.5,BT74,
IF($J74="straight line",
IF((LEFT(BI$43,4)*1)-INT($L74)&lt;LEFT($BI$43,4)*1,0,((OFFSET(BT74,0,-INT($L74+0.5),1,1))/$L74)*(IF($L74-INT($L74)&gt;0.5,$L74-0.5-INT($L74),IF($L74-INT($L74)&lt;=0.5,$L74-0.5-INT($L74)+1,0))))
+BT74/$L74*0.5,
IF($J74="Declining Balance",-$BI$42,0))))</f>
        <v>0</v>
      </c>
      <c r="BJ74" s="387">
        <f t="shared" ref="BJ74:BJ99" ca="1" si="202">IF($L74=0,0,
IF($L74&lt;=0.5,BU74,
IF(AND($J74="straight line",$L74&lt;1.51),(BT74-((BT74/$L74)*0.5))+BU74/$L74*0.5,
IF($J74="straight line",
IF((LEFT(BJ$43,4)*1)-INT($L74)&lt;LEFT($BI$43,4)*1,0,((OFFSET(BU74,0,-INT($L74+0.5),1,1))/$L74)*(IF($L74-INT($L74)&gt;0.5,$L74-0.5-INT($L74),IF($L74-INT($L74)&lt;=0.5,$L74-0.5-INT($L74)+1,0))))
+BU74/$L74*0.5
+SUM(OFFSET(BU74,0,MAX(-INT($L74+(0.5-(10^-12))),-BJ$44)+1,1,MIN(INT($L74+(0.5-(10^-12))),BJ$44)-1))*1/$L74,
IF($J74="Declining Balance",-$BI$42,0)))))</f>
        <v>0</v>
      </c>
      <c r="BK74" s="387">
        <f t="shared" ref="BK74:BK99" ca="1" si="203">IF($L74=0,0,
IF($L74&lt;=0.5,BV74,
IF(AND($J74="straight line",$L74&lt;1.51),(BU74-((BU74/$L74)*0.5))+BV74/$L74*0.5,
IF($J74="straight line",
IF((LEFT(BK$43,4)*1)-INT($L74)&lt;LEFT($BI$43,4)*1,0,((OFFSET(BV74,0,-INT($L74+0.5),1,1))/$L74)*(IF($L74-INT($L74)&gt;0.5,$L74-0.5-INT($L74),IF($L74-INT($L74)&lt;=0.5,$L74-0.5-INT($L74)+1,0))))
+BV74/$L74*0.5
+SUM(OFFSET(BV74,0,MAX(-INT($L74+(0.5-(10^-12))),-BK$44)+1,1,MIN(INT($L74+(0.5-(10^-12))),BK$44)-1))*1/$L74,
IF($J74="Declining Balance",-$BI$42,0)))))</f>
        <v>0</v>
      </c>
      <c r="BL74" s="387">
        <f t="shared" ref="BL74:BL99" ca="1" si="204">IF($L74=0,0,
IF($L74&lt;=0.5,BW74,
IF(AND($J74="straight line",$L74&lt;1.51),(BV74-((BV74/$L74)*0.5))+BW74/$L74*0.5,
IF($J74="straight line",
IF((LEFT(BL$43,4)*1)-INT($L74)&lt;LEFT($BI$43,4)*1,0,((OFFSET(BW74,0,-INT($L74+0.5),1,1))/$L74)*(IF($L74-INT($L74)&gt;0.5,$L74-0.5-INT($L74),IF($L74-INT($L74)&lt;=0.5,$L74-0.5-INT($L74)+1,0))))
+BW74/$L74*0.5
+SUM(OFFSET(BW74,0,MAX(-INT($L74+(0.5-(10^-12))),-BL$44)+1,1,MIN(INT($L74+(0.5-(10^-12))),BL$44)-1))*1/$L74,
IF($J74="Declining Balance",-$BI$42,0)))))</f>
        <v>0</v>
      </c>
      <c r="BM74" s="1283">
        <f t="shared" ref="BM74:BM99" ca="1" si="205">IF($L74=0,0,
IF($L74&lt;=0.5,BX74,
IF(AND($J74="straight line",$L74&lt;1.51),(BW74-((BW74/$L74)*0.5))+BX74/$L74*0.5,
IF($J74="straight line",
IF((LEFT(BM$43,4)*1)-INT($L74)&lt;LEFT($BI$43,4)*1,0,((OFFSET(BX74,0,-INT($L74+0.5),1,1))/$L74)*(IF($L74-INT($L74)&gt;0.5,$L74-0.5-INT($L74),IF($L74-INT($L74)&lt;=0.5,$L74-0.5-INT($L74)+1,0))))
+BX74/$L74*0.5
+SUM(OFFSET(BX74,0,MAX(-INT($L74+(0.5-(10^-12))),-BM$44)+1,1,MIN(INT($L74+(0.5-(10^-12))),BM$44)-1))*1/$L74,
IF($J74="Declining Balance",-$BI$42,0)))))</f>
        <v>5.4740764026950982E-3</v>
      </c>
      <c r="BN74" s="386">
        <f t="shared" ref="BN74:BN99" ca="1" si="206">IF($L74=0,0,
IF($L74&lt;=0.5,BY74,
IF(AND($J74="straight line",$L74&lt;1.51),(BX74-((BX74/$L74)*0.5))+BY74/$L74*0.5,
IF($J74="straight line",
IF((LEFT(BN$43,4)*1)-INT($L74)&lt;LEFT($BI$43,4)*1,0,((OFFSET(BY74,0,-INT($L74+0.5),1,1))/$L74)*(IF($L74-INT($L74)&gt;0.5,$L74-0.5-INT($L74),IF($L74-INT($L74)&lt;=0.5,$L74-0.5-INT($L74)+1,0))))
+BY74/$L74*0.5
+SUM(OFFSET(BY74,0,MAX(-INT($L74+(0.5-(10^-12))),-BN$44)+1,1,MIN(INT($L74+(0.5-(10^-12))),BN$44)-1))*1/$L74,
IF($J74="Declining Balance",-$BI$42,0)))))</f>
        <v>2.1423270460813462E-2</v>
      </c>
      <c r="BO74" s="387">
        <f t="shared" ref="BO74:BO99" ca="1" si="207">IF($L74=0,0,
IF($L74&lt;=0.5,BZ74,
IF(AND($J74="straight line",$L74&lt;1.51),(BY74-((BY74/$L74)*0.5))+BZ74/$L74*0.5,
IF($J74="straight line",
IF((LEFT(BO$43,4)*1)-INT($L74)&lt;LEFT($BI$43,4)*1,0,((OFFSET(BZ74,0,-INT($L74+0.5),1,1))/$L74)*(IF($L74-INT($L74)&gt;0.5,$L74-0.5-INT($L74),IF($L74-INT($L74)&lt;=0.5,$L74-0.5-INT($L74)+1,0))))
+BZ74/$L74*0.5
+SUM(OFFSET(BZ74,0,MAX(-INT($L74+(0.5-(10^-12))),-BO$44)+1,1,MIN(INT($L74+(0.5-(10^-12))),BO$44)-1))*1/$L74,
IF($J74="Declining Balance",-$BI$42,0)))))</f>
        <v>6.6108573503341594E-2</v>
      </c>
      <c r="BP74" s="1277">
        <f t="shared" ref="BP74:BP99" ca="1" si="208">IF($L74=0,0,
IF($L74&lt;=0.5,CA74,
IF(AND($J74="straight line",$L74&lt;1.51),(BZ74-((BZ74/$L74)*0.5))+CA74/$L74*0.5,
IF($J74="straight line",
IF((LEFT(BP$43,4)*1)-INT($L74)&lt;LEFT($BI$43,4)*1,0,((OFFSET(CA74,0,-INT($L74+0.5),1,1))/$L74)*(IF($L74-INT($L74)&gt;0.5,$L74-0.5-INT($L74),IF($L74-INT($L74)&lt;=0.5,$L74-0.5-INT($L74)+1,0))))
+CA74/$L74*0.5
+SUM(OFFSET(CA74,0,MAX(-INT($L74+(0.5-(10^-12))),-BP$44)+1,1,MIN(INT($L74+(0.5-(10^-12))),BP$44)-1))*1/$L74,
IF($J74="Declining Balance",-$BI$42,0)))))</f>
        <v>0.40745852640617408</v>
      </c>
      <c r="BQ74" s="1277">
        <f t="shared" ref="BQ74:BQ99" ca="1" si="209">IF($L74=0,0,
IF($L74&lt;=0.5,CB74,
IF(AND($J74="straight line",$L74&lt;1.51),(CA74-((CA74/$L74)*0.5))+CB74/$L74*0.5,
IF($J74="straight line",
IF((LEFT(BQ$43,4)*1)-INT($L74)&lt;LEFT($BI$43,4)*1,0,((OFFSET(CB74,0,-INT($L74+0.5),1,1))/$L74)*(IF($L74-INT($L74)&gt;0.5,$L74-0.5-INT($L74),IF($L74-INT($L74)&lt;=0.5,$L74-0.5-INT($L74)+1,0))))
+CB74/$L74*0.5
+SUM(OFFSET(CB74,0,MAX(-INT($L74+(0.5-(10^-12))),-BQ$44)+1,1,MIN(INT($L74+(0.5-(10^-12))),BQ$44)-1))*1/$L74,
IF($J74="Declining Balance",-$BI$42,0)))))</f>
        <v>1.3744429258518509</v>
      </c>
      <c r="BR74" s="388">
        <f t="shared" ref="BR74:BR99" ca="1" si="210">IF($L74=0,0,
IF($L74&lt;=0.5,CC74,
IF(AND($J74="straight line",$L74&lt;1.51),(CB74-((CB74/$L74)*0.5))+CC74/$L74*0.5,
IF($J74="straight line",
IF((LEFT(BR$43,4)*1)-INT($L74)&lt;LEFT($BI$43,4)*1,0,((OFFSET(CC74,0,-INT($L74+0.5),1,1))/$L74)*(IF($L74-INT($L74)&gt;0.5,$L74-0.5-INT($L74),IF($L74-INT($L74)&lt;=0.5,$L74-0.5-INT($L74)+1,0))))
+CC74/$L74*0.5
+SUM(OFFSET(CC74,0,MAX(-INT($L74+(0.5-(10^-12))),-BR$44)+1,1,MIN(INT($L74+(0.5-(10^-12))),BR$44)-1))*1/$L74,
IF($J74="Declining Balance",-$BI$42,0)))))</f>
        <v>2.7307640034259428</v>
      </c>
      <c r="BS74" s="1025"/>
      <c r="BT74" s="1282">
        <f>+IF($K74="Ongoing",AX74,IF(RIGHT($K74,2)=RIGHT(BT$43,2),SUM($AX74:AX74),0)+IF(RIGHT(BT$43,2)&gt;RIGHT($K74,2),AX74,0))</f>
        <v>0</v>
      </c>
      <c r="BU74" s="387">
        <f>+IF($K74="Ongoing",AY74,IF(RIGHT($K74,2)=RIGHT(BU$43,2),SUM($AX74:AY74),0)+IF(RIGHT(BU$43,2)&gt;RIGHT($K74,2),AY74,0))</f>
        <v>0</v>
      </c>
      <c r="BV74" s="387">
        <f>+IF($K74="Ongoing",AZ74,IF(RIGHT($K74,2)=RIGHT(BV$43,2),SUM($AX74:AZ74),0)+IF(RIGHT(BV$43,2)&gt;RIGHT($K74,2),AZ74,0))</f>
        <v>0</v>
      </c>
      <c r="BW74" s="387">
        <f>+IF($K74="Ongoing",BA74,IF(RIGHT($K74,2)=RIGHT(BW$43,2),SUM($AX74:BA74),0)+IF(RIGHT(BW$43,2)&gt;RIGHT($K74,2),BA74,0))</f>
        <v>0</v>
      </c>
      <c r="BX74" s="1283">
        <f>+IF($K74="Ongoing",BB74,IF(RIGHT($K74,2)=RIGHT(BX$43,2),SUM($AX74:BB74),0)+IF(RIGHT(BX$43,2)&gt;RIGHT($K74,2),BB74,0))</f>
        <v>1.0948152805390197</v>
      </c>
      <c r="BY74" s="386">
        <f>+IF($K74="Ongoing",BC74,IF(RIGHT($K74,2)=RIGHT(BY$43,2),SUM($AX74:BC74),0)+IF(RIGHT(BY$43,2)&gt;RIGHT($K74,2),BC74,0))</f>
        <v>2.095023531084653</v>
      </c>
      <c r="BZ74" s="387">
        <f>+IF($K74="Ongoing",BD74,IF(RIGHT($K74,2)=RIGHT(BZ$43,2),SUM($AX74:BD74),0)+IF(RIGHT(BZ$43,2)&gt;RIGHT($K74,2),BD74,0))</f>
        <v>6.8420370774209722</v>
      </c>
      <c r="CA74" s="1277">
        <f>+IF($K74="Ongoing",BE74,IF(RIGHT($K74,2)=RIGHT(CA$43,2),SUM($AX74:BE74),0)+IF(RIGHT(CA$43,2)&gt;RIGHT($K74,2),BE74,0))</f>
        <v>61.427953503145531</v>
      </c>
      <c r="CB74" s="1277">
        <f>+IF($K74="Ongoing",BF74,IF(RIGHT($K74,2)=RIGHT(CB$43,2),SUM($AX74:BF74),0)+IF(RIGHT(CB$43,2)&gt;RIGHT($K74,2),BF74,0))</f>
        <v>131.96892638598985</v>
      </c>
      <c r="CC74" s="388">
        <f>+IF($K74="Ongoing",BG74,IF(RIGHT($K74,2)=RIGHT(CC$43,2),SUM($AX74:BG74),0)+IF(RIGHT(CC$43,2)&gt;RIGHT($K74,2),BG74,0))</f>
        <v>139.29528912882856</v>
      </c>
      <c r="CD74" s="1025"/>
      <c r="CE74" s="1282">
        <f>+Q74*KeyAssumptionsPriceControl_FO!AF$15</f>
        <v>0</v>
      </c>
      <c r="CF74" s="387">
        <f>+R74*KeyAssumptionsPriceControl_FO!AG$15</f>
        <v>0</v>
      </c>
      <c r="CG74" s="387">
        <f>+S74*KeyAssumptionsPriceControl_FO!AH$15</f>
        <v>0</v>
      </c>
      <c r="CH74" s="387">
        <f>+T74*KeyAssumptionsPriceControl_FO!AI$15</f>
        <v>0</v>
      </c>
      <c r="CI74" s="1283">
        <f>+U74*KeyAssumptionsPriceControl_FO!AJ$15</f>
        <v>1.2630418013914324</v>
      </c>
      <c r="CJ74" s="386">
        <f>+V74*KeyAssumptionsPriceControl_FO!AK$15</f>
        <v>2.4870307435452861</v>
      </c>
      <c r="CK74" s="387">
        <f>+W74*KeyAssumptionsPriceControl_FO!AL$15</f>
        <v>8.3578206356460445</v>
      </c>
      <c r="CL74" s="1277">
        <f>+X74*KeyAssumptionsPriceControl_FO!AM$15</f>
        <v>77.212754347957727</v>
      </c>
      <c r="CM74" s="1277">
        <f>+Y74*KeyAssumptionsPriceControl_FO!AN$15</f>
        <v>170.69077742614013</v>
      </c>
      <c r="CN74" s="388">
        <f>+Z74*KeyAssumptionsPriceControl_FO!AO$15</f>
        <v>185.3916530035425</v>
      </c>
      <c r="CO74" s="1025"/>
      <c r="CP74" s="1282">
        <f t="shared" ref="CP74:CP99" ca="1" si="211">IF($M74="straight line",IF($N74=0,0,
IF($N74&lt;=0.5,CE74,
IF($J74="straight line",
IF((LEFT(CP$43,4)*1)-INT($N74)&lt;LEFT($CP$43,4)*1,0,((OFFSET(CE74,0,-INT($N74+0.5),1,1))/$N74)*(IF($N74-INT($N74)&gt;0.5,$N74-0.5-INT($N74),IF($N74-INT($N74)&lt;=0.5,$N74-0.5-INT($N74)+1,0))))
+CE74/$N74*0.5,
IF($J74="Declining Balance",-$CP$42,0)))),IFERROR(FG74,0))</f>
        <v>0</v>
      </c>
      <c r="CQ74" s="387">
        <f t="shared" ref="CQ74:CQ99" ca="1" si="212">IF($M74="straight line",IF($N74=0,0,
IF($N74&lt;=0.5,CF74,
IF($J74="straight line",
IF((LEFT(CQ$43,4)*1)-INT($N74)&lt;LEFT($CP$43,4)*1,0,((OFFSET(CF74,0,-INT($N74+0.5),1,1))/$N74)*(IF($N74-INT($N74)&gt;0.5,$N74-0.5-INT($N74),IF($N74-INT($N74)&lt;=0.5,$N74-0.5-INT($N74)+1,0))))
+CF74/$N74*0.5,
IF($J74="Declining Balance",-$CP$42,0)))),IFERROR(FH74,0))</f>
        <v>0</v>
      </c>
      <c r="CR74" s="387">
        <f t="shared" ref="CR74:CR99" ca="1" si="213">IF($M74="straight line",IF($N74=0,0,
IF($N74&lt;=0.5,CG74,
IF($J74="straight line",
IF((LEFT(CR$43,4)*1)-INT($N74)&lt;LEFT($CP$43,4)*1,0,((OFFSET(CG74,0,-INT($N74+0.5),1,1))/$N74)*(IF($N74-INT($N74)&gt;0.5,$N74-0.5-INT($N74),IF($N74-INT($N74)&lt;=0.5,$N74-0.5-INT($N74)+1,0))))
+CG74/$N74*0.5,
IF($J74="Declining Balance",-$CP$42,0)))),IFERROR(FI74,0))</f>
        <v>0</v>
      </c>
      <c r="CS74" s="387">
        <f t="shared" ref="CS74:CS99" ca="1" si="214">IF($M74="straight line",IF($N74=0,0,
IF($N74&lt;=0.5,CH74,
IF($J74="straight line",
IF((LEFT(CS$43,4)*1)-INT($N74)&lt;LEFT($CP$43,4)*1,0,((OFFSET(CH74,0,-INT($N74+0.5),1,1))/$N74)*(IF($N74-INT($N74)&gt;0.5,$N74-0.5-INT($N74),IF($N74-INT($N74)&lt;=0.5,$N74-0.5-INT($N74)+1,0))))
+CH74/$N74*0.5,
IF($J74="Declining Balance",-$CP$42,0)))),IFERROR(FJ74,0))</f>
        <v>0</v>
      </c>
      <c r="CT74" s="1283">
        <f t="shared" ref="CT74:CT99" ca="1" si="215">IF($M74="straight line",IF($N74=0,0,
IF($N74&lt;=0.5,CI74,
IF($J74="straight line",
IF((LEFT(CT$43,4)*1)-INT($N74)&lt;LEFT($CP$43,4)*1,0,((OFFSET(CI74,0,-INT($N74+0.5),1,1))/$N74)*(IF($N74-INT($N74)&gt;0.5,$N74-0.5-INT($N74),IF($N74-INT($N74)&lt;=0.5,$N74-0.5-INT($N74)+1,0))))
+CI74/$N74*0.5,
IF($J74="Declining Balance",-$CP$42,0)))),IFERROR(FK74,0))</f>
        <v>0</v>
      </c>
      <c r="CU74" s="386">
        <f t="shared" ref="CU74:CU99" ca="1" si="216">IF($M74="straight line",IF($N74=0,0,
IF($N74&lt;=0.5,CJ74,
IF($J74="straight line",
IF((LEFT(CU$43,4)*1)-INT($N74)&lt;LEFT($CP$43,4)*1,0,((OFFSET(CJ74,0,-INT($N74+0.5),1,1))/$N74)*(IF($N74-INT($N74)&gt;0.5,$N74-0.5-INT($N74),IF($N74-INT($N74)&lt;=0.5,$N74-0.5-INT($N74)+1,0))))
+CJ74/$N74*0.5,
IF($J74="Declining Balance",-$CP$42,0)))),IFERROR(FL74,0))</f>
        <v>0</v>
      </c>
      <c r="CV74" s="387">
        <f t="shared" ref="CV74:CV99" ca="1" si="217">IF($M74="straight line",IF($N74=0,0,
IF($N74&lt;=0.5,CK74,
IF($J74="straight line",
IF((LEFT(CV$43,4)*1)-INT($N74)&lt;LEFT($CP$43,4)*1,0,((OFFSET(CK74,0,-INT($N74+0.5),1,1))/$N74)*(IF($N74-INT($N74)&gt;0.5,$N74-0.5-INT($N74),IF($N74-INT($N74)&lt;=0.5,$N74-0.5-INT($N74)+1,0))))
+CK74/$N74*0.5,
IF($J74="Declining Balance",-$CP$42,0)))),IFERROR(FM74,0))</f>
        <v>0</v>
      </c>
      <c r="CW74" s="1277">
        <f t="shared" ref="CW74:CW99" ca="1" si="218">IF($M74="straight line",IF($N74=0,0,
IF($N74&lt;=0.5,CL74,
IF($J74="straight line",
IF((LEFT(CW$43,4)*1)-INT($N74)&lt;LEFT($CP$43,4)*1,0,((OFFSET(CL74,0,-INT($N74+0.5),1,1))/$N74)*(IF($N74-INT($N74)&gt;0.5,$N74-0.5-INT($N74),IF($N74-INT($N74)&lt;=0.5,$N74-0.5-INT($N74)+1,0))))
+CL74/$N74*0.5,
IF($J74="Declining Balance",-$CP$42,0)))),IFERROR(FN74,0))</f>
        <v>0</v>
      </c>
      <c r="CX74" s="1277">
        <f t="shared" ref="CX74:CX99" ca="1" si="219">IF($M74="straight line",IF($N74=0,0,
IF($N74&lt;=0.5,CM74,
IF($J74="straight line",
IF((LEFT(CX$43,4)*1)-INT($N74)&lt;LEFT($CP$43,4)*1,0,((OFFSET(CM74,0,-INT($N74+0.5),1,1))/$N74)*(IF($N74-INT($N74)&gt;0.5,$N74-0.5-INT($N74),IF($N74-INT($N74)&lt;=0.5,$N74-0.5-INT($N74)+1,0))))
+CM74/$N74*0.5,
IF($J74="Declining Balance",-$CP$42,0)))),IFERROR(FO74,0))</f>
        <v>0</v>
      </c>
      <c r="CY74" s="388">
        <f t="shared" ref="CY74:CY99" ca="1" si="220">IF($M74="straight line",IF($N74=0,0,
IF($N74&lt;=0.5,CN74,
IF($J74="straight line",
IF((LEFT(CY$43,4)*1)-INT($N74)&lt;LEFT($CP$43,4)*1,0,((OFFSET(CN74,0,-INT($N74+0.5),1,1))/$N74)*(IF($N74-INT($N74)&gt;0.5,$N74-0.5-INT($N74),IF($N74-INT($N74)&lt;=0.5,$N74-0.5-INT($N74)+1,0))))
+CN74/$N74*0.5,
IF($J74="Declining Balance",-$CP$42,0)))),IFERROR(FP74,0))</f>
        <v>0</v>
      </c>
      <c r="CZ74" s="347"/>
      <c r="DA74" s="852"/>
      <c r="DB74" s="347"/>
      <c r="DC74" s="1012" t="s">
        <v>553</v>
      </c>
      <c r="DD74" s="841" t="s">
        <v>518</v>
      </c>
      <c r="DE74" s="386">
        <f>+IF($K74="ongoing",CE74,IF(RIGHT($K74,2)=RIGHT(DE$43,2),SUM($CD74:CE74),0)+IF(RIGHT(DE$43,2)&gt;RIGHT($K74,2),CE74,0))</f>
        <v>0</v>
      </c>
      <c r="DF74" s="387">
        <f>+IF($K74="ongoing",CF74,IF(RIGHT($K74,2)=RIGHT(DF$43,2),SUM($CD74:CF74),0)+IF(RIGHT(DF$43,2)&gt;RIGHT($K74,2),CF74,0))</f>
        <v>0</v>
      </c>
      <c r="DG74" s="388">
        <f>+IF($K74="ongoing",CG74,IF(RIGHT($K74,2)=RIGHT(DG$43,2),SUM($CD74:CG74),0)+IF(RIGHT(DG$43,2)&gt;RIGHT($K74,2),CG74,0))</f>
        <v>0</v>
      </c>
      <c r="DH74" s="386">
        <f>+IF($K74="ongoing",CH74,IF(RIGHT($K74,2)=RIGHT(DH$43,2),SUM($CD74:CH74),0)+IF(RIGHT(DH$43,2)&gt;RIGHT($K74,2),CH74,0))</f>
        <v>0</v>
      </c>
      <c r="DI74" s="387">
        <f>+IF($K74="ongoing",CI74,IF(RIGHT($K74,2)=RIGHT(DI$43,2),SUM($CD74:CI74),0)+IF(RIGHT(DI$43,2)&gt;RIGHT($K74,2),CI74,0))</f>
        <v>1.2630418013914324</v>
      </c>
      <c r="DJ74" s="387">
        <f>+IF($K74="ongoing",CJ74,IF(RIGHT($K74,2)=RIGHT(DJ$43,2),SUM($CD74:CJ74),0)+IF(RIGHT(DJ$43,2)&gt;RIGHT($K74,2),CJ74,0))</f>
        <v>2.4870307435452861</v>
      </c>
      <c r="DK74" s="387">
        <f>+IF($K74="ongoing",CK74,IF(RIGHT($K74,2)=RIGHT(DK$43,2),SUM($CD74:CK74),0)+IF(RIGHT(DK$43,2)&gt;RIGHT($K74,2),CK74,0))</f>
        <v>8.3578206356460445</v>
      </c>
      <c r="DL74" s="388">
        <f>+IF($K74="ongoing",CN74,IF(RIGHT($K74,2)=RIGHT(DL$43,2),SUM($CD74:CN74),0)+IF(RIGHT(DL$43,2)&gt;RIGHT($K74,2),CN74,0))</f>
        <v>185.3916530035425</v>
      </c>
      <c r="DM74" s="841"/>
      <c r="DN74" s="386">
        <f t="shared" ref="DN74:DN99" si="221">+MIN(IF($N74&lt;=$DC74,MIN($N74,1),$N74),IF(DN$44=1,0.5,DM74+1))</f>
        <v>0.5</v>
      </c>
      <c r="DO74" s="387">
        <f t="shared" ref="DO74:DO99" si="222">+MIN(IF($N74&lt;=$DC74,MIN($N74,1),$N74),IF(DO$44=1,0.5,DN74+1))</f>
        <v>1</v>
      </c>
      <c r="DP74" s="388">
        <f t="shared" ref="DP74:DP99" si="223">+MIN(IF($N74&lt;=$DC74,MIN($N74,1),$N74),IF(DP$44=1,0.5,DO74+1))</f>
        <v>1</v>
      </c>
      <c r="DQ74" s="386">
        <f t="shared" ref="DQ74:DQ99" si="224">+MIN(IF($N74&lt;=$DC74,MIN($N74,1),$N74),IF(DQ$44=1,0.5,DP74+1))</f>
        <v>1</v>
      </c>
      <c r="DR74" s="387">
        <f t="shared" ref="DR74:DR99" si="225">+MIN(IF($N74&lt;=$DC74,MIN($N74,1),$N74),IF(DR$44=1,0.5,DQ74+1))</f>
        <v>1</v>
      </c>
      <c r="DS74" s="387">
        <f t="shared" ref="DS74:DS99" si="226">+MIN(IF($N74&lt;=$DC74,MIN($N74,1),$N74),IF(DS$44=1,0.5,DR74+1))</f>
        <v>1</v>
      </c>
      <c r="DT74" s="387">
        <f t="shared" ref="DT74:DT99" si="227">+MIN(IF($N74&lt;=$DC74,MIN($N74,1),$N74),IF(DT$44=1,0.5,DS74+1))</f>
        <v>1</v>
      </c>
      <c r="DU74" s="388">
        <f t="shared" ref="DU74:DU99" si="228">+MIN(IF($N74&lt;=$DC74,MIN($N74,1),$N74),IF(DU$44=1,0.5,DT74+1))</f>
        <v>1</v>
      </c>
      <c r="DW74" s="386">
        <f t="shared" ref="DW74:DW99" si="229">+IF(DW$44=1,0,MIN(IF($N74&lt;=$DC74,MIN($N74,1),$N74),IF(DW$44=2,0.5,DV74+1)))</f>
        <v>0</v>
      </c>
      <c r="DX74" s="387">
        <f t="shared" ref="DX74:DX99" si="230">+IF(DX$44=1,0,MIN(IF($N74&lt;=$DC74,MIN($N74,1),$N74),IF(DX$44=2,0.5,DW74+1)))</f>
        <v>0.5</v>
      </c>
      <c r="DY74" s="388">
        <f t="shared" ref="DY74:DY99" si="231">+IF(DY$44=1,0,MIN(IF($N74&lt;=$DC74,MIN($N74,1),$N74),IF(DY$44=2,0.5,DX74+1)))</f>
        <v>1</v>
      </c>
      <c r="DZ74" s="386">
        <f t="shared" ref="DZ74:DZ99" si="232">+IF(DZ$44=1,0,MIN(IF($N74&lt;=$DC74,MIN($N74,1),$N74),IF(DZ$44=2,0.5,DY74+1)))</f>
        <v>1</v>
      </c>
      <c r="EA74" s="387">
        <f t="shared" ref="EA74:EA99" si="233">+IF(EA$44=1,0,MIN(IF($N74&lt;=$DC74,MIN($N74,1),$N74),IF(EA$44=2,0.5,DZ74+1)))</f>
        <v>1</v>
      </c>
      <c r="EB74" s="387">
        <f t="shared" ref="EB74:EB99" si="234">+IF(EB$44=1,0,MIN(IF($N74&lt;=$DC74,MIN($N74,1),$N74),IF(EB$44=2,0.5,EA74+1)))</f>
        <v>1</v>
      </c>
      <c r="EC74" s="387">
        <f t="shared" ref="EC74:EC99" si="235">+IF(EC$44=1,0,MIN(IF($N74&lt;=$DC74,MIN($N74,1),$N74),IF(EC$44=2,0.5,EB74+1)))</f>
        <v>1</v>
      </c>
      <c r="ED74" s="388">
        <f t="shared" ref="ED74:ED99" si="236">+IF(ED$44=1,0,MIN(IF($N74&lt;=$DC74,MIN($N74,1),$N74),IF(ED$44=2,0.5,EC74+1)))</f>
        <v>1</v>
      </c>
      <c r="EF74" s="834">
        <f>+IF(DN74=DM74,0,
IF(AND(EF$44&gt;1,DN74=$N74),1-SUM($EE74:EE74),
IF($N74&lt;=1,
IF($N74&gt;0,1/$N74,0),
IF(EF$44=1,0,VDB(1,0,$N74,INT(EF$44-1-1),MIN($N74,INT(EF$44-1-1)+1),$DC74,IF($DD74="No",1,0))/
IF(DM74&gt;=INT($N74),$N74-INT($N74),1)))*
IF(EF$44=1,0,
IF(INT(DN74)=INT(DM74),DN74-DM74,INT(DN74)-DM74))+
IF($N74&lt;=1,
IF($N74&gt;0,1/$N74,0),VDB(1,0,$N74,INT(EF$44-1),MIN($N74,INT(EF$44-1)+1),$DC74,IF($DD74="No",1,0))/
IF(DN74&gt;INT($N74),$N74-INT($N74),1))*
IF(EF$44=1,DN74,
IF(INT(DN74)=INT(DM74),0,DN74-INT(DN74)))))</f>
        <v>0</v>
      </c>
      <c r="EG74" s="835">
        <f>+IF(DO74=DN74,0,
IF(AND(EG$44&gt;1,DO74=$N74),1-SUM($EE74:EF74),
IF($N74&lt;=1,
IF($N74&gt;0,1/$N74,0),
IF(EG$44=1,0,VDB(1,0,$N74,INT(EG$44-1-1),MIN($N74,INT(EG$44-1-1)+1),$DC74,IF($DD74="No",1,0))/
IF(DN74&gt;=INT($N74),$N74-INT($N74),1)))*
IF(EG$44=1,0,
IF(INT(DO74)=INT(DN74),DO74-DN74,INT(DO74)-DN74))+
IF($N74&lt;=1,
IF($N74&gt;0,1/$N74,0),VDB(1,0,$N74,INT(EG$44-1),MIN($N74,INT(EG$44-1)+1),$DC74,IF($DD74="No",1,0))/
IF(DO74&gt;INT($N74),$N74-INT($N74),1))*
IF(EG$44=1,DO74,
IF(INT(DO74)=INT(DN74),0,DO74-INT(DO74)))))</f>
        <v>0</v>
      </c>
      <c r="EH74" s="836">
        <f>+IF(DP74=DO74,0,
IF(AND(EH$44&gt;1,DP74=$N74),1-SUM($EE74:EG74),
IF($N74&lt;=1,
IF($N74&gt;0,1/$N74,0),
IF(EH$44=1,0,VDB(1,0,$N74,INT(EH$44-1-1),MIN($N74,INT(EH$44-1-1)+1),$DC74,IF($DD74="No",1,0))/
IF(DO74&gt;=INT($N74),$N74-INT($N74),1)))*
IF(EH$44=1,0,
IF(INT(DP74)=INT(DO74),DP74-DO74,INT(DP74)-DO74))+
IF($N74&lt;=1,
IF($N74&gt;0,1/$N74,0),VDB(1,0,$N74,INT(EH$44-1),MIN($N74,INT(EH$44-1)+1),$DC74,IF($DD74="No",1,0))/
IF(DP74&gt;INT($N74),$N74-INT($N74),1))*
IF(EH$44=1,DP74,
IF(INT(DP74)=INT(DO74),0,DP74-INT(DP74)))))</f>
        <v>0</v>
      </c>
      <c r="EI74" s="834">
        <f>+IF(DQ74=DP74,0,
IF(AND(EI$44&gt;1,DQ74=$N74),1-SUM($EE74:EH74),
IF($N74&lt;=1,
IF($N74&gt;0,1/$N74,0),
IF(EI$44=1,0,VDB(1,0,$N74,INT(EI$44-1-1),MIN($N74,INT(EI$44-1-1)+1),$DC74,IF($DD74="No",1,0))/
IF(DP74&gt;=INT($N74),$N74-INT($N74),1)))*
IF(EI$44=1,0,
IF(INT(DQ74)=INT(DP74),DQ74-DP74,INT(DQ74)-DP74))+
IF($N74&lt;=1,
IF($N74&gt;0,1/$N74,0),VDB(1,0,$N74,INT(EI$44-1),MIN($N74,INT(EI$44-1)+1),$DC74,IF($DD74="No",1,0))/
IF(DQ74&gt;INT($N74),$N74-INT($N74),1))*
IF(EI$44=1,DQ74,
IF(INT(DQ74)=INT(DP74),0,DQ74-INT(DQ74)))))</f>
        <v>0</v>
      </c>
      <c r="EJ74" s="835">
        <f>+IF(DR74=DQ74,0,
IF(AND(EJ$44&gt;1,DR74=$N74),1-SUM($EE74:EI74),
IF($N74&lt;=1,
IF($N74&gt;0,1/$N74,0),
IF(EJ$44=1,0,VDB(1,0,$N74,INT(EJ$44-1-1),MIN($N74,INT(EJ$44-1-1)+1),$DC74,IF($DD74="No",1,0))/
IF(DQ74&gt;=INT($N74),$N74-INT($N74),1)))*
IF(EJ$44=1,0,
IF(INT(DR74)=INT(DQ74),DR74-DQ74,INT(DR74)-DQ74))+
IF($N74&lt;=1,
IF($N74&gt;0,1/$N74,0),VDB(1,0,$N74,INT(EJ$44-1),MIN($N74,INT(EJ$44-1)+1),$DC74,IF($DD74="No",1,0))/
IF(DR74&gt;INT($N74),$N74-INT($N74),1))*
IF(EJ$44=1,DR74,
IF(INT(DR74)=INT(DQ74),0,DR74-INT(DR74)))))</f>
        <v>0</v>
      </c>
      <c r="EK74" s="835">
        <f>+IF(DS74=DR74,0,
IF(AND(EK$44&gt;1,DS74=$N74),1-SUM($EE74:EJ74),
IF($N74&lt;=1,
IF($N74&gt;0,1/$N74,0),
IF(EK$44=1,0,VDB(1,0,$N74,INT(EK$44-1-1),MIN($N74,INT(EK$44-1-1)+1),$DC74,IF($DD74="No",1,0))/
IF(DR74&gt;=INT($N74),$N74-INT($N74),1)))*
IF(EK$44=1,0,
IF(INT(DS74)=INT(DR74),DS74-DR74,INT(DS74)-DR74))+
IF($N74&lt;=1,
IF($N74&gt;0,1/$N74,0),VDB(1,0,$N74,INT(EK$44-1),MIN($N74,INT(EK$44-1)+1),$DC74,IF($DD74="No",1,0))/
IF(DS74&gt;INT($N74),$N74-INT($N74),1))*
IF(EK$44=1,DS74,
IF(INT(DS74)=INT(DR74),0,DS74-INT(DS74)))))</f>
        <v>0</v>
      </c>
      <c r="EL74" s="835">
        <f>+IF(DT74=DS74,0,
IF(AND(EL$44&gt;1,DT74=$N74),1-SUM($EE74:EK74),
IF($N74&lt;=1,
IF($N74&gt;0,1/$N74,0),
IF(EL$44=1,0,VDB(1,0,$N74,INT(EL$44-1-1),MIN($N74,INT(EL$44-1-1)+1),$DC74,IF($DD74="No",1,0))/
IF(DS74&gt;=INT($N74),$N74-INT($N74),1)))*
IF(EL$44=1,0,
IF(INT(DT74)=INT(DS74),DT74-DS74,INT(DT74)-DS74))+
IF($N74&lt;=1,
IF($N74&gt;0,1/$N74,0),VDB(1,0,$N74,INT(EL$44-1),MIN($N74,INT(EL$44-1)+1),$DC74,IF($DD74="No",1,0))/
IF(DT74&gt;INT($N74),$N74-INT($N74),1))*
IF(EL$44=1,DT74,
IF(INT(DT74)=INT(DS74),0,DT74-INT(DT74)))))</f>
        <v>0</v>
      </c>
      <c r="EM74" s="836">
        <f>+IF(DU74=DT74,0,
IF(AND(EM$44&gt;1,DU74=$N74),1-SUM($EE74:EL74),
IF($N74&lt;=1,
IF($N74&gt;0,1/$N74,0),
IF(EM$44=1,0,VDB(1,0,$N74,INT(EM$44-1-1),MIN($N74,INT(EM$44-1-1)+1),$DC74,IF($DD74="No",1,0))/
IF(DT74&gt;=INT($N74),$N74-INT($N74),1)))*
IF(EM$44=1,0,
IF(INT(DU74)=INT(DT74),DU74-DT74,INT(DU74)-DT74))+
IF($N74&lt;=1,
IF($N74&gt;0,1/$N74,0),VDB(1,0,$N74,INT(EM$44-1),MIN($N74,INT(EM$44-1)+1),$DC74,IF($DD74="No",1,0))/
IF(DU74&gt;INT($N74),$N74-INT($N74),1))*
IF(EM$44=1,DU74,
IF(INT(DU74)=INT(DT74),0,DU74-INT(DU74)))))</f>
        <v>0</v>
      </c>
      <c r="EN74" s="833"/>
      <c r="EO74" s="834">
        <f>+IF(OR(DW74=DV74,EO$44=1),0,
IF(AND(EO$44&gt;1,DW74=$N74),1-SUM($EN74:EN74),
IF($N74&lt;=1,
IF($N74&gt;0,1/$N74,0),
IF(EO$44=2,0,VDB(1,0,$N74,INT(EO$44-2-1),MIN($N74,INT(EO$44-2-1)+1),$DC74,IF($DD74="No",1,0))/
IF(DV74&gt;=INT($N74),$N74-INT($N74),1)))*
IF(EO$44=2,0,
IF(INT(DW74)=INT(DV74),DW74-DV74,INT(DW74)-DV74))+
IF($N74&lt;=1,
IF($N74&gt;0,1/$N74,0),VDB(1,0,$N74,INT(EO$44-2),MIN($N74,INT(EO$44-2)+1),$DC74,IF($DD74="No",1,0))/
IF(DW74&gt;INT($N74),$N74-INT($N74),1))*
IF(EO$44=2,DW74,
IF(INT(DW74)=INT(DV74),0,DW74-INT(DW74)))))</f>
        <v>0</v>
      </c>
      <c r="EP74" s="835">
        <f>+IF(OR(DX74=DW74,EP$44=1),0,
IF(AND(EP$44&gt;1,DX74=$N74),1-SUM($EN74:EO74),
IF($N74&lt;=1,
IF($N74&gt;0,1/$N74,0),
IF(EP$44=2,0,VDB(1,0,$N74,INT(EP$44-2-1),MIN($N74,INT(EP$44-2-1)+1),$DC74,IF($DD74="No",1,0))/
IF(DW74&gt;=INT($N74),$N74-INT($N74),1)))*
IF(EP$44=2,0,
IF(INT(DX74)=INT(DW74),DX74-DW74,INT(DX74)-DW74))+
IF($N74&lt;=1,
IF($N74&gt;0,1/$N74,0),VDB(1,0,$N74,INT(EP$44-2),MIN($N74,INT(EP$44-2)+1),$DC74,IF($DD74="No",1,0))/
IF(DX74&gt;INT($N74),$N74-INT($N74),1))*
IF(EP$44=2,DX74,
IF(INT(DX74)=INT(DW74),0,DX74-INT(DX74)))))</f>
        <v>0</v>
      </c>
      <c r="EQ74" s="836">
        <f>+IF(OR(DY74=DX74,EQ$44=1),0,
IF(AND(EQ$44&gt;1,DY74=$N74),1-SUM($EN74:EP74),
IF($N74&lt;=1,
IF($N74&gt;0,1/$N74,0),
IF(EQ$44=2,0,VDB(1,0,$N74,INT(EQ$44-2-1),MIN($N74,INT(EQ$44-2-1)+1),$DC74,IF($DD74="No",1,0))/
IF(DX74&gt;=INT($N74),$N74-INT($N74),1)))*
IF(EQ$44=2,0,
IF(INT(DY74)=INT(DX74),DY74-DX74,INT(DY74)-DX74))+
IF($N74&lt;=1,
IF($N74&gt;0,1/$N74,0),VDB(1,0,$N74,INT(EQ$44-2),MIN($N74,INT(EQ$44-2)+1),$DC74,IF($DD74="No",1,0))/
IF(DY74&gt;INT($N74),$N74-INT($N74),1))*
IF(EQ$44=2,DY74,
IF(INT(DY74)=INT(DX74),0,DY74-INT(DY74)))))</f>
        <v>0</v>
      </c>
      <c r="ER74" s="834">
        <f>+IF(OR(DZ74=DY74,ER$44=1),0,
IF(AND(ER$44&gt;1,DZ74=$N74),1-SUM($EN74:EQ74),
IF($N74&lt;=1,
IF($N74&gt;0,1/$N74,0),
IF(ER$44=2,0,VDB(1,0,$N74,INT(ER$44-2-1),MIN($N74,INT(ER$44-2-1)+1),$DC74,IF($DD74="No",1,0))/
IF(DY74&gt;=INT($N74),$N74-INT($N74),1)))*
IF(ER$44=2,0,
IF(INT(DZ74)=INT(DY74),DZ74-DY74,INT(DZ74)-DY74))+
IF($N74&lt;=1,
IF($N74&gt;0,1/$N74,0),VDB(1,0,$N74,INT(ER$44-2),MIN($N74,INT(ER$44-2)+1),$DC74,IF($DD74="No",1,0))/
IF(DZ74&gt;INT($N74),$N74-INT($N74),1))*
IF(ER$44=2,DZ74,
IF(INT(DZ74)=INT(DY74),0,DZ74-INT(DZ74)))))</f>
        <v>0</v>
      </c>
      <c r="ES74" s="835">
        <f>+IF(OR(EA74=DZ74,ES$44=1),0,
IF(AND(ES$44&gt;1,EA74=$N74),1-SUM($EN74:ER74),
IF($N74&lt;=1,
IF($N74&gt;0,1/$N74,0),
IF(ES$44=2,0,VDB(1,0,$N74,INT(ES$44-2-1),MIN($N74,INT(ES$44-2-1)+1),$DC74,IF($DD74="No",1,0))/
IF(DZ74&gt;=INT($N74),$N74-INT($N74),1)))*
IF(ES$44=2,0,
IF(INT(EA74)=INT(DZ74),EA74-DZ74,INT(EA74)-DZ74))+
IF($N74&lt;=1,
IF($N74&gt;0,1/$N74,0),VDB(1,0,$N74,INT(ES$44-2),MIN($N74,INT(ES$44-2)+1),$DC74,IF($DD74="No",1,0))/
IF(EA74&gt;INT($N74),$N74-INT($N74),1))*
IF(ES$44=2,EA74,
IF(INT(EA74)=INT(DZ74),0,EA74-INT(EA74)))))</f>
        <v>0</v>
      </c>
      <c r="ET74" s="835">
        <f>+IF(OR(EB74=EA74,ET$44=1),0,
IF(AND(ET$44&gt;1,EB74=$N74),1-SUM($EN74:ES74),
IF($N74&lt;=1,
IF($N74&gt;0,1/$N74,0),
IF(ET$44=2,0,VDB(1,0,$N74,INT(ET$44-2-1),MIN($N74,INT(ET$44-2-1)+1),$DC74,IF($DD74="No",1,0))/
IF(EA74&gt;=INT($N74),$N74-INT($N74),1)))*
IF(ET$44=2,0,
IF(INT(EB74)=INT(EA74),EB74-EA74,INT(EB74)-EA74))+
IF($N74&lt;=1,
IF($N74&gt;0,1/$N74,0),VDB(1,0,$N74,INT(ET$44-2),MIN($N74,INT(ET$44-2)+1),$DC74,IF($DD74="No",1,0))/
IF(EB74&gt;INT($N74),$N74-INT($N74),1))*
IF(ET$44=2,EB74,
IF(INT(EB74)=INT(EA74),0,EB74-INT(EB74)))))</f>
        <v>0</v>
      </c>
      <c r="EU74" s="835">
        <f>+IF(OR(EC74=EB74,EU$44=1),0,
IF(AND(EU$44&gt;1,EC74=$N74),1-SUM($EN74:ET74),
IF($N74&lt;=1,
IF($N74&gt;0,1/$N74,0),
IF(EU$44=2,0,VDB(1,0,$N74,INT(EU$44-2-1),MIN($N74,INT(EU$44-2-1)+1),$DC74,IF($DD74="No",1,0))/
IF(EB74&gt;=INT($N74),$N74-INT($N74),1)))*
IF(EU$44=2,0,
IF(INT(EC74)=INT(EB74),EC74-EB74,INT(EC74)-EB74))+
IF($N74&lt;=1,
IF($N74&gt;0,1/$N74,0),VDB(1,0,$N74,INT(EU$44-2),MIN($N74,INT(EU$44-2)+1),$DC74,IF($DD74="No",1,0))/
IF(EC74&gt;INT($N74),$N74-INT($N74),1))*
IF(EU$44=2,EC74,
IF(INT(EC74)=INT(EB74),0,EC74-INT(EC74)))))</f>
        <v>0</v>
      </c>
      <c r="EV74" s="836">
        <f>+IF(OR(ED74=EC74,EV$44=1),0,
IF(AND(EV$44&gt;1,ED74=$N74),1-SUM($EN74:EU74),
IF($N74&lt;=1,
IF($N74&gt;0,1/$N74,0),
IF(EV$44=2,0,VDB(1,0,$N74,INT(EV$44-2-1),MIN($N74,INT(EV$44-2-1)+1),$DC74,IF($DD74="No",1,0))/
IF(EC74&gt;=INT($N74),$N74-INT($N74),1)))*
IF(EV$44=2,0,
IF(INT(ED74)=INT(EC74),ED74-EC74,INT(ED74)-EC74))+
IF($N74&lt;=1,
IF($N74&gt;0,1/$N74,0),VDB(1,0,$N74,INT(EV$44-2),MIN($N74,INT(EV$44-2)+1),$DC74,IF($DD74="No",1,0))/
IF(ED74&gt;INT($N74),$N74-INT($N74),1))*
IF(EV$44=2,ED74,
IF(INT(ED74)=INT(EC74),0,ED74-INT(ED74)))))</f>
        <v>0</v>
      </c>
      <c r="EW74" s="833"/>
      <c r="EX74" s="834">
        <f t="shared" ca="1" si="190"/>
        <v>0</v>
      </c>
      <c r="EY74" s="835">
        <f t="shared" ca="1" si="190"/>
        <v>0</v>
      </c>
      <c r="EZ74" s="836">
        <f t="shared" ca="1" si="190"/>
        <v>0</v>
      </c>
      <c r="FA74" s="834">
        <f t="shared" ca="1" si="190"/>
        <v>0</v>
      </c>
      <c r="FB74" s="835">
        <f t="shared" ca="1" si="190"/>
        <v>0</v>
      </c>
      <c r="FC74" s="835">
        <f t="shared" ca="1" si="190"/>
        <v>0</v>
      </c>
      <c r="FD74" s="835">
        <f t="shared" ca="1" si="190"/>
        <v>0</v>
      </c>
      <c r="FE74" s="836">
        <f t="shared" ca="1" si="190"/>
        <v>0</v>
      </c>
      <c r="FG74" s="386">
        <f t="shared" ref="FG74:FG99" ca="1" si="237">-(-$DE74*(-ISBLANK($DE74)+1)*EF74-
IF(FG$44&gt;1,SUMPRODUCT(OFFSET($DF74,0,0,1,FG$44-1)*(-ISBLANK(OFFSET($DF74,0,0,1,FG$44-1))+1),OFFSET($EX74,0,MAX($FG$44:$HY$44)-FG$44,1,FG$44-1)),0))</f>
        <v>0</v>
      </c>
      <c r="FH74" s="387">
        <f t="shared" ref="FH74:FH99" ca="1" si="238">-(-$DE74*(-ISBLANK($DE74)+1)*EG74-
IF(FH$44&gt;1,SUMPRODUCT(OFFSET($DF74,0,0,1,FH$44-1)*(-ISBLANK(OFFSET($DF74,0,0,1,FH$44-1))+1),OFFSET($EX74,0,MAX($FG$44:$HY$44)-FH$44,1,FH$44-1)),0))</f>
        <v>0</v>
      </c>
      <c r="FI74" s="388">
        <f t="shared" ref="FI74:FI99" ca="1" si="239">-(-$DE74*(-ISBLANK($DE74)+1)*EH74-
IF(FI$44&gt;1,SUMPRODUCT(OFFSET($DF74,0,0,1,FI$44-1)*(-ISBLANK(OFFSET($DF74,0,0,1,FI$44-1))+1),OFFSET($EX74,0,MAX($FG$44:$HY$44)-FI$44,1,FI$44-1)),0))</f>
        <v>0</v>
      </c>
      <c r="FJ74" s="386">
        <f t="shared" ref="FJ74:FJ99" ca="1" si="240">-(-$DE74*(-ISBLANK($DE74)+1)*EI74-
IF(FJ$44&gt;1,SUMPRODUCT(OFFSET($DF74,0,0,1,FJ$44-1)*(-ISBLANK(OFFSET($DF74,0,0,1,FJ$44-1))+1),OFFSET($EX74,0,MAX($FG$44:$HY$44)-FJ$44,1,FJ$44-1)),0))</f>
        <v>0</v>
      </c>
      <c r="FK74" s="387">
        <f t="shared" ref="FK74:FK99" ca="1" si="241">-(-$DE74*(-ISBLANK($DE74)+1)*EJ74-
IF(FK$44&gt;1,SUMPRODUCT(OFFSET($DF74,0,0,1,FK$44-1)*(-ISBLANK(OFFSET($DF74,0,0,1,FK$44-1))+1),OFFSET($EX74,0,MAX($FG$44:$HY$44)-FK$44,1,FK$44-1)),0))</f>
        <v>0</v>
      </c>
      <c r="FL74" s="387">
        <f t="shared" ref="FL74:FL99" ca="1" si="242">-(-$DE74*(-ISBLANK($DE74)+1)*EK74-
IF(FL$44&gt;1,SUMPRODUCT(OFFSET($DF74,0,0,1,FL$44-1)*(-ISBLANK(OFFSET($DF74,0,0,1,FL$44-1))+1),OFFSET($EX74,0,MAX($FG$44:$HY$44)-FL$44,1,FL$44-1)),0))</f>
        <v>0</v>
      </c>
      <c r="FM74" s="387">
        <f t="shared" ref="FM74:FM99" ca="1" si="243">-(-$DE74*(-ISBLANK($DE74)+1)*EL74-
IF(FM$44&gt;1,SUMPRODUCT(OFFSET($DF74,0,0,1,FM$44-1)*(-ISBLANK(OFFSET($DF74,0,0,1,FM$44-1))+1),OFFSET($EX74,0,MAX($FG$44:$HY$44)-FM$44,1,FM$44-1)),0))</f>
        <v>0</v>
      </c>
      <c r="FN74" s="388">
        <f t="shared" ref="FN74:FN99" ca="1" si="244">-(-$DE74*(-ISBLANK($DE74)+1)*EM74-
IF(FN$44&gt;1,SUMPRODUCT(OFFSET($DF74,0,0,1,FN$44-1)*(-ISBLANK(OFFSET($DF74,0,0,1,FN$44-1))+1),OFFSET($EX74,0,MAX($FG$44:$HY$44)-FN$44,1,FN$44-1)),0))</f>
        <v>0</v>
      </c>
      <c r="FR74" s="116"/>
    </row>
    <row r="75" spans="2:174">
      <c r="B75" s="1410">
        <f t="shared" si="135"/>
        <v>29</v>
      </c>
      <c r="C75" s="400" t="s">
        <v>554</v>
      </c>
      <c r="D75" s="410"/>
      <c r="E75" s="402" t="s">
        <v>401</v>
      </c>
      <c r="F75" s="402" t="s">
        <v>514</v>
      </c>
      <c r="G75" s="400" t="s">
        <v>515</v>
      </c>
      <c r="H75" s="2088" t="s">
        <v>483</v>
      </c>
      <c r="I75" s="2089"/>
      <c r="J75" s="411" t="s">
        <v>516</v>
      </c>
      <c r="K75" s="403" t="s">
        <v>544</v>
      </c>
      <c r="L75" s="403">
        <v>100</v>
      </c>
      <c r="M75" s="403" t="s">
        <v>142</v>
      </c>
      <c r="N75" s="403"/>
      <c r="O75" s="347"/>
      <c r="P75" s="347"/>
      <c r="Q75" s="1021">
        <v>9.6863219512195133</v>
      </c>
      <c r="R75" s="1022">
        <v>19.848155145746581</v>
      </c>
      <c r="S75" s="1022">
        <v>0</v>
      </c>
      <c r="T75" s="1022">
        <v>0</v>
      </c>
      <c r="U75" s="1023">
        <v>0</v>
      </c>
      <c r="V75" s="1021">
        <v>0</v>
      </c>
      <c r="W75" s="1022">
        <v>0</v>
      </c>
      <c r="X75" s="1022">
        <v>0</v>
      </c>
      <c r="Y75" s="1022">
        <v>0</v>
      </c>
      <c r="Z75" s="1023">
        <v>0</v>
      </c>
      <c r="AA75" s="1024"/>
      <c r="AB75" s="1021">
        <v>0</v>
      </c>
      <c r="AC75" s="1022">
        <v>0</v>
      </c>
      <c r="AD75" s="1022">
        <v>0</v>
      </c>
      <c r="AE75" s="1022">
        <v>0</v>
      </c>
      <c r="AF75" s="1023">
        <v>0</v>
      </c>
      <c r="AG75" s="1021">
        <v>0</v>
      </c>
      <c r="AH75" s="1022">
        <v>0</v>
      </c>
      <c r="AI75" s="1022">
        <v>0</v>
      </c>
      <c r="AJ75" s="1022">
        <v>0</v>
      </c>
      <c r="AK75" s="1023">
        <v>0</v>
      </c>
      <c r="AL75" s="1024"/>
      <c r="AM75" s="1021">
        <v>0</v>
      </c>
      <c r="AN75" s="1022">
        <v>0</v>
      </c>
      <c r="AO75" s="1022">
        <v>0</v>
      </c>
      <c r="AP75" s="1022">
        <v>0</v>
      </c>
      <c r="AQ75" s="1023">
        <v>0</v>
      </c>
      <c r="AR75" s="1021">
        <v>0</v>
      </c>
      <c r="AS75" s="1022">
        <v>0</v>
      </c>
      <c r="AT75" s="1022">
        <v>0</v>
      </c>
      <c r="AU75" s="1022">
        <v>0</v>
      </c>
      <c r="AV75" s="1023">
        <v>0</v>
      </c>
      <c r="AW75" s="1025"/>
      <c r="AX75" s="1282">
        <f t="shared" si="191"/>
        <v>9.6863219512195133</v>
      </c>
      <c r="AY75" s="387">
        <f t="shared" si="192"/>
        <v>19.848155145746581</v>
      </c>
      <c r="AZ75" s="387">
        <f t="shared" si="193"/>
        <v>0</v>
      </c>
      <c r="BA75" s="387">
        <f t="shared" si="194"/>
        <v>0</v>
      </c>
      <c r="BB75" s="1283">
        <f t="shared" si="195"/>
        <v>0</v>
      </c>
      <c r="BC75" s="386">
        <f t="shared" si="196"/>
        <v>0</v>
      </c>
      <c r="BD75" s="387">
        <f t="shared" si="197"/>
        <v>0</v>
      </c>
      <c r="BE75" s="1277">
        <f t="shared" si="198"/>
        <v>0</v>
      </c>
      <c r="BF75" s="1277">
        <f t="shared" si="199"/>
        <v>0</v>
      </c>
      <c r="BG75" s="388">
        <f t="shared" si="200"/>
        <v>0</v>
      </c>
      <c r="BH75" s="1025"/>
      <c r="BI75" s="1282">
        <f t="shared" ca="1" si="201"/>
        <v>4.8431609756097567E-2</v>
      </c>
      <c r="BJ75" s="387">
        <f t="shared" ca="1" si="202"/>
        <v>0.19610399524092803</v>
      </c>
      <c r="BK75" s="387">
        <f t="shared" ca="1" si="203"/>
        <v>0.29534477096966094</v>
      </c>
      <c r="BL75" s="387">
        <f t="shared" ca="1" si="204"/>
        <v>0.29534477096966094</v>
      </c>
      <c r="BM75" s="1283">
        <f t="shared" ca="1" si="205"/>
        <v>0.29534477096966094</v>
      </c>
      <c r="BN75" s="386">
        <f t="shared" ca="1" si="206"/>
        <v>0.29534477096966094</v>
      </c>
      <c r="BO75" s="387">
        <f t="shared" ca="1" si="207"/>
        <v>0.29534477096966094</v>
      </c>
      <c r="BP75" s="1277">
        <f t="shared" ca="1" si="208"/>
        <v>0.29534477096966094</v>
      </c>
      <c r="BQ75" s="1277">
        <f t="shared" ca="1" si="209"/>
        <v>0.29534477096966094</v>
      </c>
      <c r="BR75" s="388">
        <f t="shared" ca="1" si="210"/>
        <v>0.29534477096966094</v>
      </c>
      <c r="BS75" s="1025"/>
      <c r="BT75" s="1282">
        <f>+IF($K75="Ongoing",AX75,IF(RIGHT($K75,2)=RIGHT(BT$43,2),SUM($AX75:AX75),0)+IF(RIGHT(BT$43,2)&gt;RIGHT($K75,2),AX75,0))</f>
        <v>9.6863219512195133</v>
      </c>
      <c r="BU75" s="387">
        <f>+IF($K75="Ongoing",AY75,IF(RIGHT($K75,2)=RIGHT(BU$43,2),SUM($AX75:AY75),0)+IF(RIGHT(BU$43,2)&gt;RIGHT($K75,2),AY75,0))</f>
        <v>19.848155145746581</v>
      </c>
      <c r="BV75" s="387">
        <f>+IF($K75="Ongoing",AZ75,IF(RIGHT($K75,2)=RIGHT(BV$43,2),SUM($AX75:AZ75),0)+IF(RIGHT(BV$43,2)&gt;RIGHT($K75,2),AZ75,0))</f>
        <v>0</v>
      </c>
      <c r="BW75" s="387">
        <f>+IF($K75="Ongoing",BA75,IF(RIGHT($K75,2)=RIGHT(BW$43,2),SUM($AX75:BA75),0)+IF(RIGHT(BW$43,2)&gt;RIGHT($K75,2),BA75,0))</f>
        <v>0</v>
      </c>
      <c r="BX75" s="1283">
        <f>+IF($K75="Ongoing",BB75,IF(RIGHT($K75,2)=RIGHT(BX$43,2),SUM($AX75:BB75),0)+IF(RIGHT(BX$43,2)&gt;RIGHT($K75,2),BB75,0))</f>
        <v>0</v>
      </c>
      <c r="BY75" s="386">
        <f>+IF($K75="Ongoing",BC75,IF(RIGHT($K75,2)=RIGHT(BY$43,2),SUM($AX75:BC75),0)+IF(RIGHT(BY$43,2)&gt;RIGHT($K75,2),BC75,0))</f>
        <v>0</v>
      </c>
      <c r="BZ75" s="387">
        <f>+IF($K75="Ongoing",BD75,IF(RIGHT($K75,2)=RIGHT(BZ$43,2),SUM($AX75:BD75),0)+IF(RIGHT(BZ$43,2)&gt;RIGHT($K75,2),BD75,0))</f>
        <v>0</v>
      </c>
      <c r="CA75" s="1277">
        <f>+IF($K75="Ongoing",BE75,IF(RIGHT($K75,2)=RIGHT(CA$43,2),SUM($AX75:BE75),0)+IF(RIGHT(CA$43,2)&gt;RIGHT($K75,2),BE75,0))</f>
        <v>0</v>
      </c>
      <c r="CB75" s="1277">
        <f>+IF($K75="Ongoing",BF75,IF(RIGHT($K75,2)=RIGHT(CB$43,2),SUM($AX75:BF75),0)+IF(RIGHT(CB$43,2)&gt;RIGHT($K75,2),BF75,0))</f>
        <v>0</v>
      </c>
      <c r="CC75" s="388">
        <f>+IF($K75="Ongoing",BG75,IF(RIGHT($K75,2)=RIGHT(CC$43,2),SUM($AX75:BG75),0)+IF(RIGHT(CC$43,2)&gt;RIGHT($K75,2),BG75,0))</f>
        <v>0</v>
      </c>
      <c r="CD75" s="1025"/>
      <c r="CE75" s="1282">
        <f>+Q75*KeyAssumptionsPriceControl_FO!AF$15</f>
        <v>9.9672252878048777</v>
      </c>
      <c r="CF75" s="387">
        <f>+R75*KeyAssumptionsPriceControl_FO!AG$15</f>
        <v>21.016040442677454</v>
      </c>
      <c r="CG75" s="387">
        <f>+S75*KeyAssumptionsPriceControl_FO!AH$15</f>
        <v>0</v>
      </c>
      <c r="CH75" s="387">
        <f>+T75*KeyAssumptionsPriceControl_FO!AI$15</f>
        <v>0</v>
      </c>
      <c r="CI75" s="1283">
        <f>+U75*KeyAssumptionsPriceControl_FO!AJ$15</f>
        <v>0</v>
      </c>
      <c r="CJ75" s="386">
        <f>+V75*KeyAssumptionsPriceControl_FO!AK$15</f>
        <v>0</v>
      </c>
      <c r="CK75" s="387">
        <f>+W75*KeyAssumptionsPriceControl_FO!AL$15</f>
        <v>0</v>
      </c>
      <c r="CL75" s="1277">
        <f>+X75*KeyAssumptionsPriceControl_FO!AM$15</f>
        <v>0</v>
      </c>
      <c r="CM75" s="1277">
        <f>+Y75*KeyAssumptionsPriceControl_FO!AN$15</f>
        <v>0</v>
      </c>
      <c r="CN75" s="388">
        <f>+Z75*KeyAssumptionsPriceControl_FO!AO$15</f>
        <v>0</v>
      </c>
      <c r="CO75" s="1025"/>
      <c r="CP75" s="1282">
        <f t="shared" ca="1" si="211"/>
        <v>0</v>
      </c>
      <c r="CQ75" s="387">
        <f t="shared" ca="1" si="212"/>
        <v>0</v>
      </c>
      <c r="CR75" s="387">
        <f t="shared" ca="1" si="213"/>
        <v>0</v>
      </c>
      <c r="CS75" s="387">
        <f t="shared" ca="1" si="214"/>
        <v>0</v>
      </c>
      <c r="CT75" s="1283">
        <f t="shared" ca="1" si="215"/>
        <v>0</v>
      </c>
      <c r="CU75" s="386">
        <f t="shared" ca="1" si="216"/>
        <v>0</v>
      </c>
      <c r="CV75" s="387">
        <f t="shared" ca="1" si="217"/>
        <v>0</v>
      </c>
      <c r="CW75" s="1277">
        <f t="shared" ca="1" si="218"/>
        <v>0</v>
      </c>
      <c r="CX75" s="1277">
        <f t="shared" ca="1" si="219"/>
        <v>0</v>
      </c>
      <c r="CY75" s="388">
        <f t="shared" ca="1" si="220"/>
        <v>0</v>
      </c>
      <c r="CZ75" s="347"/>
      <c r="DA75" s="852"/>
      <c r="DB75" s="347"/>
      <c r="DC75" s="1012" t="s">
        <v>555</v>
      </c>
      <c r="DD75" s="841" t="s">
        <v>518</v>
      </c>
      <c r="DE75" s="386">
        <f>+IF($K75="ongoing",CE75,IF(RIGHT($K75,2)=RIGHT(DE$43,2),SUM($CD75:CE75),0)+IF(RIGHT(DE$43,2)&gt;RIGHT($K75,2),CE75,0))</f>
        <v>9.9672252878048777</v>
      </c>
      <c r="DF75" s="387">
        <f>+IF($K75="ongoing",CF75,IF(RIGHT($K75,2)=RIGHT(DF$43,2),SUM($CD75:CF75),0)+IF(RIGHT(DF$43,2)&gt;RIGHT($K75,2),CF75,0))</f>
        <v>21.016040442677454</v>
      </c>
      <c r="DG75" s="388">
        <f>+IF($K75="ongoing",CG75,IF(RIGHT($K75,2)=RIGHT(DG$43,2),SUM($CD75:CG75),0)+IF(RIGHT(DG$43,2)&gt;RIGHT($K75,2),CG75,0))</f>
        <v>0</v>
      </c>
      <c r="DH75" s="386">
        <f>+IF($K75="ongoing",CH75,IF(RIGHT($K75,2)=RIGHT(DH$43,2),SUM($CD75:CH75),0)+IF(RIGHT(DH$43,2)&gt;RIGHT($K75,2),CH75,0))</f>
        <v>0</v>
      </c>
      <c r="DI75" s="387">
        <f>+IF($K75="ongoing",CI75,IF(RIGHT($K75,2)=RIGHT(DI$43,2),SUM($CD75:CI75),0)+IF(RIGHT(DI$43,2)&gt;RIGHT($K75,2),CI75,0))</f>
        <v>0</v>
      </c>
      <c r="DJ75" s="387">
        <f>+IF($K75="ongoing",CJ75,IF(RIGHT($K75,2)=RIGHT(DJ$43,2),SUM($CD75:CJ75),0)+IF(RIGHT(DJ$43,2)&gt;RIGHT($K75,2),CJ75,0))</f>
        <v>0</v>
      </c>
      <c r="DK75" s="387">
        <f>+IF($K75="ongoing",CK75,IF(RIGHT($K75,2)=RIGHT(DK$43,2),SUM($CD75:CK75),0)+IF(RIGHT(DK$43,2)&gt;RIGHT($K75,2),CK75,0))</f>
        <v>0</v>
      </c>
      <c r="DL75" s="388">
        <f>+IF($K75="ongoing",CN75,IF(RIGHT($K75,2)=RIGHT(DL$43,2),SUM($CD75:CN75),0)+IF(RIGHT(DL$43,2)&gt;RIGHT($K75,2),CN75,0))</f>
        <v>0</v>
      </c>
      <c r="DM75" s="841"/>
      <c r="DN75" s="386">
        <f t="shared" si="221"/>
        <v>0.5</v>
      </c>
      <c r="DO75" s="387">
        <f t="shared" si="222"/>
        <v>1</v>
      </c>
      <c r="DP75" s="388">
        <f t="shared" si="223"/>
        <v>1</v>
      </c>
      <c r="DQ75" s="386">
        <f t="shared" si="224"/>
        <v>1</v>
      </c>
      <c r="DR75" s="387">
        <f t="shared" si="225"/>
        <v>1</v>
      </c>
      <c r="DS75" s="387">
        <f t="shared" si="226"/>
        <v>1</v>
      </c>
      <c r="DT75" s="387">
        <f t="shared" si="227"/>
        <v>1</v>
      </c>
      <c r="DU75" s="388">
        <f t="shared" si="228"/>
        <v>1</v>
      </c>
      <c r="DW75" s="386">
        <f t="shared" si="229"/>
        <v>0</v>
      </c>
      <c r="DX75" s="387">
        <f t="shared" si="230"/>
        <v>0.5</v>
      </c>
      <c r="DY75" s="388">
        <f t="shared" si="231"/>
        <v>1</v>
      </c>
      <c r="DZ75" s="386">
        <f t="shared" si="232"/>
        <v>1</v>
      </c>
      <c r="EA75" s="387">
        <f t="shared" si="233"/>
        <v>1</v>
      </c>
      <c r="EB75" s="387">
        <f t="shared" si="234"/>
        <v>1</v>
      </c>
      <c r="EC75" s="387">
        <f t="shared" si="235"/>
        <v>1</v>
      </c>
      <c r="ED75" s="388">
        <f t="shared" si="236"/>
        <v>1</v>
      </c>
      <c r="EF75" s="834">
        <f>+IF(DN75=DM75,0,
IF(AND(EF$44&gt;1,DN75=$N75),1-SUM($EE75:EE75),
IF($N75&lt;=1,
IF($N75&gt;0,1/$N75,0),
IF(EF$44=1,0,VDB(1,0,$N75,INT(EF$44-1-1),MIN($N75,INT(EF$44-1-1)+1),$DC75,IF($DD75="No",1,0))/
IF(DM75&gt;=INT($N75),$N75-INT($N75),1)))*
IF(EF$44=1,0,
IF(INT(DN75)=INT(DM75),DN75-DM75,INT(DN75)-DM75))+
IF($N75&lt;=1,
IF($N75&gt;0,1/$N75,0),VDB(1,0,$N75,INT(EF$44-1),MIN($N75,INT(EF$44-1)+1),$DC75,IF($DD75="No",1,0))/
IF(DN75&gt;INT($N75),$N75-INT($N75),1))*
IF(EF$44=1,DN75,
IF(INT(DN75)=INT(DM75),0,DN75-INT(DN75)))))</f>
        <v>0</v>
      </c>
      <c r="EG75" s="835">
        <f>+IF(DO75=DN75,0,
IF(AND(EG$44&gt;1,DO75=$N75),1-SUM($EE75:EF75),
IF($N75&lt;=1,
IF($N75&gt;0,1/$N75,0),
IF(EG$44=1,0,VDB(1,0,$N75,INT(EG$44-1-1),MIN($N75,INT(EG$44-1-1)+1),$DC75,IF($DD75="No",1,0))/
IF(DN75&gt;=INT($N75),$N75-INT($N75),1)))*
IF(EG$44=1,0,
IF(INT(DO75)=INT(DN75),DO75-DN75,INT(DO75)-DN75))+
IF($N75&lt;=1,
IF($N75&gt;0,1/$N75,0),VDB(1,0,$N75,INT(EG$44-1),MIN($N75,INT(EG$44-1)+1),$DC75,IF($DD75="No",1,0))/
IF(DO75&gt;INT($N75),$N75-INT($N75),1))*
IF(EG$44=1,DO75,
IF(INT(DO75)=INT(DN75),0,DO75-INT(DO75)))))</f>
        <v>0</v>
      </c>
      <c r="EH75" s="836">
        <f>+IF(DP75=DO75,0,
IF(AND(EH$44&gt;1,DP75=$N75),1-SUM($EE75:EG75),
IF($N75&lt;=1,
IF($N75&gt;0,1/$N75,0),
IF(EH$44=1,0,VDB(1,0,$N75,INT(EH$44-1-1),MIN($N75,INT(EH$44-1-1)+1),$DC75,IF($DD75="No",1,0))/
IF(DO75&gt;=INT($N75),$N75-INT($N75),1)))*
IF(EH$44=1,0,
IF(INT(DP75)=INT(DO75),DP75-DO75,INT(DP75)-DO75))+
IF($N75&lt;=1,
IF($N75&gt;0,1/$N75,0),VDB(1,0,$N75,INT(EH$44-1),MIN($N75,INT(EH$44-1)+1),$DC75,IF($DD75="No",1,0))/
IF(DP75&gt;INT($N75),$N75-INT($N75),1))*
IF(EH$44=1,DP75,
IF(INT(DP75)=INT(DO75),0,DP75-INT(DP75)))))</f>
        <v>0</v>
      </c>
      <c r="EI75" s="834">
        <f>+IF(DQ75=DP75,0,
IF(AND(EI$44&gt;1,DQ75=$N75),1-SUM($EE75:EH75),
IF($N75&lt;=1,
IF($N75&gt;0,1/$N75,0),
IF(EI$44=1,0,VDB(1,0,$N75,INT(EI$44-1-1),MIN($N75,INT(EI$44-1-1)+1),$DC75,IF($DD75="No",1,0))/
IF(DP75&gt;=INT($N75),$N75-INT($N75),1)))*
IF(EI$44=1,0,
IF(INT(DQ75)=INT(DP75),DQ75-DP75,INT(DQ75)-DP75))+
IF($N75&lt;=1,
IF($N75&gt;0,1/$N75,0),VDB(1,0,$N75,INT(EI$44-1),MIN($N75,INT(EI$44-1)+1),$DC75,IF($DD75="No",1,0))/
IF(DQ75&gt;INT($N75),$N75-INT($N75),1))*
IF(EI$44=1,DQ75,
IF(INT(DQ75)=INT(DP75),0,DQ75-INT(DQ75)))))</f>
        <v>0</v>
      </c>
      <c r="EJ75" s="835">
        <f>+IF(DR75=DQ75,0,
IF(AND(EJ$44&gt;1,DR75=$N75),1-SUM($EE75:EI75),
IF($N75&lt;=1,
IF($N75&gt;0,1/$N75,0),
IF(EJ$44=1,0,VDB(1,0,$N75,INT(EJ$44-1-1),MIN($N75,INT(EJ$44-1-1)+1),$DC75,IF($DD75="No",1,0))/
IF(DQ75&gt;=INT($N75),$N75-INT($N75),1)))*
IF(EJ$44=1,0,
IF(INT(DR75)=INT(DQ75),DR75-DQ75,INT(DR75)-DQ75))+
IF($N75&lt;=1,
IF($N75&gt;0,1/$N75,0),VDB(1,0,$N75,INT(EJ$44-1),MIN($N75,INT(EJ$44-1)+1),$DC75,IF($DD75="No",1,0))/
IF(DR75&gt;INT($N75),$N75-INT($N75),1))*
IF(EJ$44=1,DR75,
IF(INT(DR75)=INT(DQ75),0,DR75-INT(DR75)))))</f>
        <v>0</v>
      </c>
      <c r="EK75" s="835">
        <f>+IF(DS75=DR75,0,
IF(AND(EK$44&gt;1,DS75=$N75),1-SUM($EE75:EJ75),
IF($N75&lt;=1,
IF($N75&gt;0,1/$N75,0),
IF(EK$44=1,0,VDB(1,0,$N75,INT(EK$44-1-1),MIN($N75,INT(EK$44-1-1)+1),$DC75,IF($DD75="No",1,0))/
IF(DR75&gt;=INT($N75),$N75-INT($N75),1)))*
IF(EK$44=1,0,
IF(INT(DS75)=INT(DR75),DS75-DR75,INT(DS75)-DR75))+
IF($N75&lt;=1,
IF($N75&gt;0,1/$N75,0),VDB(1,0,$N75,INT(EK$44-1),MIN($N75,INT(EK$44-1)+1),$DC75,IF($DD75="No",1,0))/
IF(DS75&gt;INT($N75),$N75-INT($N75),1))*
IF(EK$44=1,DS75,
IF(INT(DS75)=INT(DR75),0,DS75-INT(DS75)))))</f>
        <v>0</v>
      </c>
      <c r="EL75" s="835">
        <f>+IF(DT75=DS75,0,
IF(AND(EL$44&gt;1,DT75=$N75),1-SUM($EE75:EK75),
IF($N75&lt;=1,
IF($N75&gt;0,1/$N75,0),
IF(EL$44=1,0,VDB(1,0,$N75,INT(EL$44-1-1),MIN($N75,INT(EL$44-1-1)+1),$DC75,IF($DD75="No",1,0))/
IF(DS75&gt;=INT($N75),$N75-INT($N75),1)))*
IF(EL$44=1,0,
IF(INT(DT75)=INT(DS75),DT75-DS75,INT(DT75)-DS75))+
IF($N75&lt;=1,
IF($N75&gt;0,1/$N75,0),VDB(1,0,$N75,INT(EL$44-1),MIN($N75,INT(EL$44-1)+1),$DC75,IF($DD75="No",1,0))/
IF(DT75&gt;INT($N75),$N75-INT($N75),1))*
IF(EL$44=1,DT75,
IF(INT(DT75)=INT(DS75),0,DT75-INT(DT75)))))</f>
        <v>0</v>
      </c>
      <c r="EM75" s="836">
        <f>+IF(DU75=DT75,0,
IF(AND(EM$44&gt;1,DU75=$N75),1-SUM($EE75:EL75),
IF($N75&lt;=1,
IF($N75&gt;0,1/$N75,0),
IF(EM$44=1,0,VDB(1,0,$N75,INT(EM$44-1-1),MIN($N75,INT(EM$44-1-1)+1),$DC75,IF($DD75="No",1,0))/
IF(DT75&gt;=INT($N75),$N75-INT($N75),1)))*
IF(EM$44=1,0,
IF(INT(DU75)=INT(DT75),DU75-DT75,INT(DU75)-DT75))+
IF($N75&lt;=1,
IF($N75&gt;0,1/$N75,0),VDB(1,0,$N75,INT(EM$44-1),MIN($N75,INT(EM$44-1)+1),$DC75,IF($DD75="No",1,0))/
IF(DU75&gt;INT($N75),$N75-INT($N75),1))*
IF(EM$44=1,DU75,
IF(INT(DU75)=INT(DT75),0,DU75-INT(DU75)))))</f>
        <v>0</v>
      </c>
      <c r="EN75" s="833"/>
      <c r="EO75" s="834">
        <f>+IF(OR(DW75=DV75,EO$44=1),0,
IF(AND(EO$44&gt;1,DW75=$N75),1-SUM($EN75:EN75),
IF($N75&lt;=1,
IF($N75&gt;0,1/$N75,0),
IF(EO$44=2,0,VDB(1,0,$N75,INT(EO$44-2-1),MIN($N75,INT(EO$44-2-1)+1),$DC75,IF($DD75="No",1,0))/
IF(DV75&gt;=INT($N75),$N75-INT($N75),1)))*
IF(EO$44=2,0,
IF(INT(DW75)=INT(DV75),DW75-DV75,INT(DW75)-DV75))+
IF($N75&lt;=1,
IF($N75&gt;0,1/$N75,0),VDB(1,0,$N75,INT(EO$44-2),MIN($N75,INT(EO$44-2)+1),$DC75,IF($DD75="No",1,0))/
IF(DW75&gt;INT($N75),$N75-INT($N75),1))*
IF(EO$44=2,DW75,
IF(INT(DW75)=INT(DV75),0,DW75-INT(DW75)))))</f>
        <v>0</v>
      </c>
      <c r="EP75" s="835">
        <f>+IF(OR(DX75=DW75,EP$44=1),0,
IF(AND(EP$44&gt;1,DX75=$N75),1-SUM($EN75:EO75),
IF($N75&lt;=1,
IF($N75&gt;0,1/$N75,0),
IF(EP$44=2,0,VDB(1,0,$N75,INT(EP$44-2-1),MIN($N75,INT(EP$44-2-1)+1),$DC75,IF($DD75="No",1,0))/
IF(DW75&gt;=INT($N75),$N75-INT($N75),1)))*
IF(EP$44=2,0,
IF(INT(DX75)=INT(DW75),DX75-DW75,INT(DX75)-DW75))+
IF($N75&lt;=1,
IF($N75&gt;0,1/$N75,0),VDB(1,0,$N75,INT(EP$44-2),MIN($N75,INT(EP$44-2)+1),$DC75,IF($DD75="No",1,0))/
IF(DX75&gt;INT($N75),$N75-INT($N75),1))*
IF(EP$44=2,DX75,
IF(INT(DX75)=INT(DW75),0,DX75-INT(DX75)))))</f>
        <v>0</v>
      </c>
      <c r="EQ75" s="836">
        <f>+IF(OR(DY75=DX75,EQ$44=1),0,
IF(AND(EQ$44&gt;1,DY75=$N75),1-SUM($EN75:EP75),
IF($N75&lt;=1,
IF($N75&gt;0,1/$N75,0),
IF(EQ$44=2,0,VDB(1,0,$N75,INT(EQ$44-2-1),MIN($N75,INT(EQ$44-2-1)+1),$DC75,IF($DD75="No",1,0))/
IF(DX75&gt;=INT($N75),$N75-INT($N75),1)))*
IF(EQ$44=2,0,
IF(INT(DY75)=INT(DX75),DY75-DX75,INT(DY75)-DX75))+
IF($N75&lt;=1,
IF($N75&gt;0,1/$N75,0),VDB(1,0,$N75,INT(EQ$44-2),MIN($N75,INT(EQ$44-2)+1),$DC75,IF($DD75="No",1,0))/
IF(DY75&gt;INT($N75),$N75-INT($N75),1))*
IF(EQ$44=2,DY75,
IF(INT(DY75)=INT(DX75),0,DY75-INT(DY75)))))</f>
        <v>0</v>
      </c>
      <c r="ER75" s="834">
        <f>+IF(OR(DZ75=DY75,ER$44=1),0,
IF(AND(ER$44&gt;1,DZ75=$N75),1-SUM($EN75:EQ75),
IF($N75&lt;=1,
IF($N75&gt;0,1/$N75,0),
IF(ER$44=2,0,VDB(1,0,$N75,INT(ER$44-2-1),MIN($N75,INT(ER$44-2-1)+1),$DC75,IF($DD75="No",1,0))/
IF(DY75&gt;=INT($N75),$N75-INT($N75),1)))*
IF(ER$44=2,0,
IF(INT(DZ75)=INT(DY75),DZ75-DY75,INT(DZ75)-DY75))+
IF($N75&lt;=1,
IF($N75&gt;0,1/$N75,0),VDB(1,0,$N75,INT(ER$44-2),MIN($N75,INT(ER$44-2)+1),$DC75,IF($DD75="No",1,0))/
IF(DZ75&gt;INT($N75),$N75-INT($N75),1))*
IF(ER$44=2,DZ75,
IF(INT(DZ75)=INT(DY75),0,DZ75-INT(DZ75)))))</f>
        <v>0</v>
      </c>
      <c r="ES75" s="835">
        <f>+IF(OR(EA75=DZ75,ES$44=1),0,
IF(AND(ES$44&gt;1,EA75=$N75),1-SUM($EN75:ER75),
IF($N75&lt;=1,
IF($N75&gt;0,1/$N75,0),
IF(ES$44=2,0,VDB(1,0,$N75,INT(ES$44-2-1),MIN($N75,INT(ES$44-2-1)+1),$DC75,IF($DD75="No",1,0))/
IF(DZ75&gt;=INT($N75),$N75-INT($N75),1)))*
IF(ES$44=2,0,
IF(INT(EA75)=INT(DZ75),EA75-DZ75,INT(EA75)-DZ75))+
IF($N75&lt;=1,
IF($N75&gt;0,1/$N75,0),VDB(1,0,$N75,INT(ES$44-2),MIN($N75,INT(ES$44-2)+1),$DC75,IF($DD75="No",1,0))/
IF(EA75&gt;INT($N75),$N75-INT($N75),1))*
IF(ES$44=2,EA75,
IF(INT(EA75)=INT(DZ75),0,EA75-INT(EA75)))))</f>
        <v>0</v>
      </c>
      <c r="ET75" s="835">
        <f>+IF(OR(EB75=EA75,ET$44=1),0,
IF(AND(ET$44&gt;1,EB75=$N75),1-SUM($EN75:ES75),
IF($N75&lt;=1,
IF($N75&gt;0,1/$N75,0),
IF(ET$44=2,0,VDB(1,0,$N75,INT(ET$44-2-1),MIN($N75,INT(ET$44-2-1)+1),$DC75,IF($DD75="No",1,0))/
IF(EA75&gt;=INT($N75),$N75-INT($N75),1)))*
IF(ET$44=2,0,
IF(INT(EB75)=INT(EA75),EB75-EA75,INT(EB75)-EA75))+
IF($N75&lt;=1,
IF($N75&gt;0,1/$N75,0),VDB(1,0,$N75,INT(ET$44-2),MIN($N75,INT(ET$44-2)+1),$DC75,IF($DD75="No",1,0))/
IF(EB75&gt;INT($N75),$N75-INT($N75),1))*
IF(ET$44=2,EB75,
IF(INT(EB75)=INT(EA75),0,EB75-INT(EB75)))))</f>
        <v>0</v>
      </c>
      <c r="EU75" s="835">
        <f>+IF(OR(EC75=EB75,EU$44=1),0,
IF(AND(EU$44&gt;1,EC75=$N75),1-SUM($EN75:ET75),
IF($N75&lt;=1,
IF($N75&gt;0,1/$N75,0),
IF(EU$44=2,0,VDB(1,0,$N75,INT(EU$44-2-1),MIN($N75,INT(EU$44-2-1)+1),$DC75,IF($DD75="No",1,0))/
IF(EB75&gt;=INT($N75),$N75-INT($N75),1)))*
IF(EU$44=2,0,
IF(INT(EC75)=INT(EB75),EC75-EB75,INT(EC75)-EB75))+
IF($N75&lt;=1,
IF($N75&gt;0,1/$N75,0),VDB(1,0,$N75,INT(EU$44-2),MIN($N75,INT(EU$44-2)+1),$DC75,IF($DD75="No",1,0))/
IF(EC75&gt;INT($N75),$N75-INT($N75),1))*
IF(EU$44=2,EC75,
IF(INT(EC75)=INT(EB75),0,EC75-INT(EC75)))))</f>
        <v>0</v>
      </c>
      <c r="EV75" s="836">
        <f>+IF(OR(ED75=EC75,EV$44=1),0,
IF(AND(EV$44&gt;1,ED75=$N75),1-SUM($EN75:EU75),
IF($N75&lt;=1,
IF($N75&gt;0,1/$N75,0),
IF(EV$44=2,0,VDB(1,0,$N75,INT(EV$44-2-1),MIN($N75,INT(EV$44-2-1)+1),$DC75,IF($DD75="No",1,0))/
IF(EC75&gt;=INT($N75),$N75-INT($N75),1)))*
IF(EV$44=2,0,
IF(INT(ED75)=INT(EC75),ED75-EC75,INT(ED75)-EC75))+
IF($N75&lt;=1,
IF($N75&gt;0,1/$N75,0),VDB(1,0,$N75,INT(EV$44-2),MIN($N75,INT(EV$44-2)+1),$DC75,IF($DD75="No",1,0))/
IF(ED75&gt;INT($N75),$N75-INT($N75),1))*
IF(EV$44=2,ED75,
IF(INT(ED75)=INT(EC75),0,ED75-INT(ED75)))))</f>
        <v>0</v>
      </c>
      <c r="EW75" s="833"/>
      <c r="EX75" s="834">
        <f t="shared" ca="1" si="190"/>
        <v>0</v>
      </c>
      <c r="EY75" s="835">
        <f t="shared" ca="1" si="190"/>
        <v>0</v>
      </c>
      <c r="EZ75" s="836">
        <f t="shared" ca="1" si="190"/>
        <v>0</v>
      </c>
      <c r="FA75" s="834">
        <f t="shared" ca="1" si="190"/>
        <v>0</v>
      </c>
      <c r="FB75" s="835">
        <f t="shared" ca="1" si="190"/>
        <v>0</v>
      </c>
      <c r="FC75" s="835">
        <f t="shared" ca="1" si="190"/>
        <v>0</v>
      </c>
      <c r="FD75" s="835">
        <f t="shared" ca="1" si="190"/>
        <v>0</v>
      </c>
      <c r="FE75" s="836">
        <f t="shared" ca="1" si="190"/>
        <v>0</v>
      </c>
      <c r="FG75" s="386">
        <f t="shared" ca="1" si="237"/>
        <v>0</v>
      </c>
      <c r="FH75" s="387">
        <f t="shared" ca="1" si="238"/>
        <v>0</v>
      </c>
      <c r="FI75" s="388">
        <f t="shared" ca="1" si="239"/>
        <v>0</v>
      </c>
      <c r="FJ75" s="386">
        <f t="shared" ca="1" si="240"/>
        <v>0</v>
      </c>
      <c r="FK75" s="387">
        <f t="shared" ca="1" si="241"/>
        <v>0</v>
      </c>
      <c r="FL75" s="387">
        <f t="shared" ca="1" si="242"/>
        <v>0</v>
      </c>
      <c r="FM75" s="387">
        <f t="shared" ca="1" si="243"/>
        <v>0</v>
      </c>
      <c r="FN75" s="388">
        <f t="shared" ca="1" si="244"/>
        <v>0</v>
      </c>
      <c r="FR75" s="116"/>
    </row>
    <row r="76" spans="2:174">
      <c r="B76" s="1410">
        <f t="shared" si="135"/>
        <v>30</v>
      </c>
      <c r="C76" s="400" t="s">
        <v>554</v>
      </c>
      <c r="D76" s="410"/>
      <c r="E76" s="402" t="s">
        <v>401</v>
      </c>
      <c r="F76" s="402" t="s">
        <v>527</v>
      </c>
      <c r="G76" s="400" t="s">
        <v>515</v>
      </c>
      <c r="H76" s="2088" t="s">
        <v>483</v>
      </c>
      <c r="I76" s="2089"/>
      <c r="J76" s="411" t="s">
        <v>516</v>
      </c>
      <c r="K76" s="403" t="s">
        <v>544</v>
      </c>
      <c r="L76" s="403">
        <v>100</v>
      </c>
      <c r="M76" s="403" t="s">
        <v>142</v>
      </c>
      <c r="N76" s="403"/>
      <c r="O76" s="347"/>
      <c r="P76" s="347"/>
      <c r="Q76" s="1021">
        <v>0</v>
      </c>
      <c r="R76" s="1022">
        <v>6.6627007733491972</v>
      </c>
      <c r="S76" s="1022">
        <v>6.5001958764382426</v>
      </c>
      <c r="T76" s="1022">
        <v>6.3416545135982858</v>
      </c>
      <c r="U76" s="1023">
        <v>6.1869800132666208</v>
      </c>
      <c r="V76" s="1021">
        <v>6.0360780617235337</v>
      </c>
      <c r="W76" s="1022">
        <v>5.8888566455839353</v>
      </c>
      <c r="X76" s="1022">
        <v>0</v>
      </c>
      <c r="Y76" s="1022">
        <v>0</v>
      </c>
      <c r="Z76" s="1023">
        <v>0</v>
      </c>
      <c r="AA76" s="1024"/>
      <c r="AB76" s="1021">
        <v>0</v>
      </c>
      <c r="AC76" s="1022">
        <v>0</v>
      </c>
      <c r="AD76" s="1022">
        <v>0</v>
      </c>
      <c r="AE76" s="1022">
        <v>0</v>
      </c>
      <c r="AF76" s="1023">
        <v>0</v>
      </c>
      <c r="AG76" s="1021">
        <v>0</v>
      </c>
      <c r="AH76" s="1022">
        <v>0</v>
      </c>
      <c r="AI76" s="1022">
        <v>0</v>
      </c>
      <c r="AJ76" s="1022">
        <v>0</v>
      </c>
      <c r="AK76" s="1023">
        <v>0</v>
      </c>
      <c r="AL76" s="1024"/>
      <c r="AM76" s="1021">
        <v>0</v>
      </c>
      <c r="AN76" s="1022">
        <v>0</v>
      </c>
      <c r="AO76" s="1022">
        <v>0</v>
      </c>
      <c r="AP76" s="1022">
        <v>0</v>
      </c>
      <c r="AQ76" s="1023">
        <v>0</v>
      </c>
      <c r="AR76" s="1021">
        <v>0</v>
      </c>
      <c r="AS76" s="1022">
        <v>0</v>
      </c>
      <c r="AT76" s="1022">
        <v>0</v>
      </c>
      <c r="AU76" s="1022">
        <v>0</v>
      </c>
      <c r="AV76" s="1023">
        <v>0</v>
      </c>
      <c r="AW76" s="1025"/>
      <c r="AX76" s="1282">
        <f t="shared" si="191"/>
        <v>0</v>
      </c>
      <c r="AY76" s="387">
        <f t="shared" si="192"/>
        <v>6.6627007733491972</v>
      </c>
      <c r="AZ76" s="387">
        <f t="shared" si="193"/>
        <v>6.5001958764382426</v>
      </c>
      <c r="BA76" s="387">
        <f t="shared" si="194"/>
        <v>6.3416545135982858</v>
      </c>
      <c r="BB76" s="1283">
        <f t="shared" si="195"/>
        <v>6.1869800132666208</v>
      </c>
      <c r="BC76" s="386">
        <f t="shared" si="196"/>
        <v>6.0360780617235337</v>
      </c>
      <c r="BD76" s="387">
        <f t="shared" si="197"/>
        <v>5.8888566455839353</v>
      </c>
      <c r="BE76" s="1277">
        <f t="shared" si="198"/>
        <v>0</v>
      </c>
      <c r="BF76" s="1277">
        <f t="shared" si="199"/>
        <v>0</v>
      </c>
      <c r="BG76" s="388">
        <f t="shared" si="200"/>
        <v>0</v>
      </c>
      <c r="BH76" s="1025"/>
      <c r="BI76" s="1282">
        <f t="shared" ca="1" si="201"/>
        <v>0</v>
      </c>
      <c r="BJ76" s="387">
        <f t="shared" ca="1" si="202"/>
        <v>3.3313503866745989E-2</v>
      </c>
      <c r="BK76" s="387">
        <f t="shared" ca="1" si="203"/>
        <v>9.9127987115683186E-2</v>
      </c>
      <c r="BL76" s="387">
        <f t="shared" ca="1" si="204"/>
        <v>0.16333723906586584</v>
      </c>
      <c r="BM76" s="1283">
        <f t="shared" ca="1" si="205"/>
        <v>0.22598041170019037</v>
      </c>
      <c r="BN76" s="386">
        <f t="shared" ca="1" si="206"/>
        <v>0.28709570207514118</v>
      </c>
      <c r="BO76" s="387">
        <f t="shared" ca="1" si="207"/>
        <v>0.34672037561167851</v>
      </c>
      <c r="BP76" s="1277">
        <f t="shared" ca="1" si="208"/>
        <v>0.37616465883959821</v>
      </c>
      <c r="BQ76" s="1277">
        <f t="shared" ca="1" si="209"/>
        <v>0.37616465883959821</v>
      </c>
      <c r="BR76" s="388">
        <f t="shared" ca="1" si="210"/>
        <v>0.37616465883959821</v>
      </c>
      <c r="BS76" s="1025"/>
      <c r="BT76" s="1282">
        <f>+IF($K76="Ongoing",AX76,IF(RIGHT($K76,2)=RIGHT(BT$43,2),SUM($AX76:AX76),0)+IF(RIGHT(BT$43,2)&gt;RIGHT($K76,2),AX76,0))</f>
        <v>0</v>
      </c>
      <c r="BU76" s="387">
        <f>+IF($K76="Ongoing",AY76,IF(RIGHT($K76,2)=RIGHT(BU$43,2),SUM($AX76:AY76),0)+IF(RIGHT(BU$43,2)&gt;RIGHT($K76,2),AY76,0))</f>
        <v>6.6627007733491972</v>
      </c>
      <c r="BV76" s="387">
        <f>+IF($K76="Ongoing",AZ76,IF(RIGHT($K76,2)=RIGHT(BV$43,2),SUM($AX76:AZ76),0)+IF(RIGHT(BV$43,2)&gt;RIGHT($K76,2),AZ76,0))</f>
        <v>6.5001958764382426</v>
      </c>
      <c r="BW76" s="387">
        <f>+IF($K76="Ongoing",BA76,IF(RIGHT($K76,2)=RIGHT(BW$43,2),SUM($AX76:BA76),0)+IF(RIGHT(BW$43,2)&gt;RIGHT($K76,2),BA76,0))</f>
        <v>6.3416545135982858</v>
      </c>
      <c r="BX76" s="1283">
        <f>+IF($K76="Ongoing",BB76,IF(RIGHT($K76,2)=RIGHT(BX$43,2),SUM($AX76:BB76),0)+IF(RIGHT(BX$43,2)&gt;RIGHT($K76,2),BB76,0))</f>
        <v>6.1869800132666208</v>
      </c>
      <c r="BY76" s="386">
        <f>+IF($K76="Ongoing",BC76,IF(RIGHT($K76,2)=RIGHT(BY$43,2),SUM($AX76:BC76),0)+IF(RIGHT(BY$43,2)&gt;RIGHT($K76,2),BC76,0))</f>
        <v>6.0360780617235337</v>
      </c>
      <c r="BZ76" s="387">
        <f>+IF($K76="Ongoing",BD76,IF(RIGHT($K76,2)=RIGHT(BZ$43,2),SUM($AX76:BD76),0)+IF(RIGHT(BZ$43,2)&gt;RIGHT($K76,2),BD76,0))</f>
        <v>5.8888566455839353</v>
      </c>
      <c r="CA76" s="1277">
        <f>+IF($K76="Ongoing",BE76,IF(RIGHT($K76,2)=RIGHT(CA$43,2),SUM($AX76:BE76),0)+IF(RIGHT(CA$43,2)&gt;RIGHT($K76,2),BE76,0))</f>
        <v>0</v>
      </c>
      <c r="CB76" s="1277">
        <f>+IF($K76="Ongoing",BF76,IF(RIGHT($K76,2)=RIGHT(CB$43,2),SUM($AX76:BF76),0)+IF(RIGHT(CB$43,2)&gt;RIGHT($K76,2),BF76,0))</f>
        <v>0</v>
      </c>
      <c r="CC76" s="388">
        <f>+IF($K76="Ongoing",BG76,IF(RIGHT($K76,2)=RIGHT(CC$43,2),SUM($AX76:BG76),0)+IF(RIGHT(CC$43,2)&gt;RIGHT($K76,2),BG76,0))</f>
        <v>0</v>
      </c>
      <c r="CD76" s="1025"/>
      <c r="CE76" s="1282">
        <f>+Q76*KeyAssumptionsPriceControl_FO!AF$15</f>
        <v>0</v>
      </c>
      <c r="CF76" s="387">
        <f>+R76*KeyAssumptionsPriceControl_FO!AG$15</f>
        <v>7.0547407495538366</v>
      </c>
      <c r="CG76" s="387">
        <f>+S76*KeyAssumptionsPriceControl_FO!AH$15</f>
        <v>7.0822714451618527</v>
      </c>
      <c r="CH76" s="387">
        <f>+T76*KeyAssumptionsPriceControl_FO!AI$15</f>
        <v>7.109909577630777</v>
      </c>
      <c r="CI76" s="1283">
        <f>+U76*KeyAssumptionsPriceControl_FO!AJ$15</f>
        <v>7.1376555662264094</v>
      </c>
      <c r="CJ76" s="386">
        <f>+V76*KeyAssumptionsPriceControl_FO!AK$15</f>
        <v>7.1655098318507084</v>
      </c>
      <c r="CK76" s="387">
        <f>+W76*KeyAssumptionsPriceControl_FO!AL$15</f>
        <v>7.193472797048174</v>
      </c>
      <c r="CL76" s="1277">
        <f>+X76*KeyAssumptionsPriceControl_FO!AM$15</f>
        <v>0</v>
      </c>
      <c r="CM76" s="1277">
        <f>+Y76*KeyAssumptionsPriceControl_FO!AN$15</f>
        <v>0</v>
      </c>
      <c r="CN76" s="388">
        <f>+Z76*KeyAssumptionsPriceControl_FO!AO$15</f>
        <v>0</v>
      </c>
      <c r="CO76" s="1025"/>
      <c r="CP76" s="1282">
        <f t="shared" ca="1" si="211"/>
        <v>0</v>
      </c>
      <c r="CQ76" s="387">
        <f t="shared" ca="1" si="212"/>
        <v>0</v>
      </c>
      <c r="CR76" s="387">
        <f t="shared" ca="1" si="213"/>
        <v>0</v>
      </c>
      <c r="CS76" s="387">
        <f t="shared" ca="1" si="214"/>
        <v>0</v>
      </c>
      <c r="CT76" s="1283">
        <f t="shared" ca="1" si="215"/>
        <v>0</v>
      </c>
      <c r="CU76" s="386">
        <f t="shared" ca="1" si="216"/>
        <v>0</v>
      </c>
      <c r="CV76" s="387">
        <f t="shared" ca="1" si="217"/>
        <v>0</v>
      </c>
      <c r="CW76" s="1277">
        <f t="shared" ca="1" si="218"/>
        <v>0</v>
      </c>
      <c r="CX76" s="1277">
        <f t="shared" ca="1" si="219"/>
        <v>0</v>
      </c>
      <c r="CY76" s="388">
        <f t="shared" ca="1" si="220"/>
        <v>0</v>
      </c>
      <c r="CZ76" s="347"/>
      <c r="DA76" s="852"/>
      <c r="DB76" s="347"/>
      <c r="DC76" s="1012" t="s">
        <v>556</v>
      </c>
      <c r="DD76" s="841" t="s">
        <v>518</v>
      </c>
      <c r="DE76" s="386">
        <f>+IF($K76="ongoing",CE76,IF(RIGHT($K76,2)=RIGHT(DE$43,2),SUM($CD76:CE76),0)+IF(RIGHT(DE$43,2)&gt;RIGHT($K76,2),CE76,0))</f>
        <v>0</v>
      </c>
      <c r="DF76" s="387">
        <f>+IF($K76="ongoing",CF76,IF(RIGHT($K76,2)=RIGHT(DF$43,2),SUM($CD76:CF76),0)+IF(RIGHT(DF$43,2)&gt;RIGHT($K76,2),CF76,0))</f>
        <v>7.0547407495538366</v>
      </c>
      <c r="DG76" s="388">
        <f>+IF($K76="ongoing",CG76,IF(RIGHT($K76,2)=RIGHT(DG$43,2),SUM($CD76:CG76),0)+IF(RIGHT(DG$43,2)&gt;RIGHT($K76,2),CG76,0))</f>
        <v>7.0822714451618527</v>
      </c>
      <c r="DH76" s="386">
        <f>+IF($K76="ongoing",CH76,IF(RIGHT($K76,2)=RIGHT(DH$43,2),SUM($CD76:CH76),0)+IF(RIGHT(DH$43,2)&gt;RIGHT($K76,2),CH76,0))</f>
        <v>7.109909577630777</v>
      </c>
      <c r="DI76" s="387">
        <f>+IF($K76="ongoing",CI76,IF(RIGHT($K76,2)=RIGHT(DI$43,2),SUM($CD76:CI76),0)+IF(RIGHT(DI$43,2)&gt;RIGHT($K76,2),CI76,0))</f>
        <v>7.1376555662264094</v>
      </c>
      <c r="DJ76" s="387">
        <f>+IF($K76="ongoing",CJ76,IF(RIGHT($K76,2)=RIGHT(DJ$43,2),SUM($CD76:CJ76),0)+IF(RIGHT(DJ$43,2)&gt;RIGHT($K76,2),CJ76,0))</f>
        <v>7.1655098318507084</v>
      </c>
      <c r="DK76" s="387">
        <f>+IF($K76="ongoing",CK76,IF(RIGHT($K76,2)=RIGHT(DK$43,2),SUM($CD76:CK76),0)+IF(RIGHT(DK$43,2)&gt;RIGHT($K76,2),CK76,0))</f>
        <v>7.193472797048174</v>
      </c>
      <c r="DL76" s="388">
        <f>+IF($K76="ongoing",CN76,IF(RIGHT($K76,2)=RIGHT(DL$43,2),SUM($CD76:CN76),0)+IF(RIGHT(DL$43,2)&gt;RIGHT($K76,2),CN76,0))</f>
        <v>0</v>
      </c>
      <c r="DM76" s="841"/>
      <c r="DN76" s="386">
        <f t="shared" si="221"/>
        <v>0.5</v>
      </c>
      <c r="DO76" s="387">
        <f t="shared" si="222"/>
        <v>1</v>
      </c>
      <c r="DP76" s="388">
        <f t="shared" si="223"/>
        <v>1</v>
      </c>
      <c r="DQ76" s="386">
        <f t="shared" si="224"/>
        <v>1</v>
      </c>
      <c r="DR76" s="387">
        <f t="shared" si="225"/>
        <v>1</v>
      </c>
      <c r="DS76" s="387">
        <f t="shared" si="226"/>
        <v>1</v>
      </c>
      <c r="DT76" s="387">
        <f t="shared" si="227"/>
        <v>1</v>
      </c>
      <c r="DU76" s="388">
        <f t="shared" si="228"/>
        <v>1</v>
      </c>
      <c r="DW76" s="386">
        <f t="shared" si="229"/>
        <v>0</v>
      </c>
      <c r="DX76" s="387">
        <f t="shared" si="230"/>
        <v>0.5</v>
      </c>
      <c r="DY76" s="388">
        <f t="shared" si="231"/>
        <v>1</v>
      </c>
      <c r="DZ76" s="386">
        <f t="shared" si="232"/>
        <v>1</v>
      </c>
      <c r="EA76" s="387">
        <f t="shared" si="233"/>
        <v>1</v>
      </c>
      <c r="EB76" s="387">
        <f t="shared" si="234"/>
        <v>1</v>
      </c>
      <c r="EC76" s="387">
        <f t="shared" si="235"/>
        <v>1</v>
      </c>
      <c r="ED76" s="388">
        <f t="shared" si="236"/>
        <v>1</v>
      </c>
      <c r="EF76" s="834">
        <f>+IF(DN76=DM76,0,
IF(AND(EF$44&gt;1,DN76=$N76),1-SUM($EE76:EE76),
IF($N76&lt;=1,
IF($N76&gt;0,1/$N76,0),
IF(EF$44=1,0,VDB(1,0,$N76,INT(EF$44-1-1),MIN($N76,INT(EF$44-1-1)+1),$DC76,IF($DD76="No",1,0))/
IF(DM76&gt;=INT($N76),$N76-INT($N76),1)))*
IF(EF$44=1,0,
IF(INT(DN76)=INT(DM76),DN76-DM76,INT(DN76)-DM76))+
IF($N76&lt;=1,
IF($N76&gt;0,1/$N76,0),VDB(1,0,$N76,INT(EF$44-1),MIN($N76,INT(EF$44-1)+1),$DC76,IF($DD76="No",1,0))/
IF(DN76&gt;INT($N76),$N76-INT($N76),1))*
IF(EF$44=1,DN76,
IF(INT(DN76)=INT(DM76),0,DN76-INT(DN76)))))</f>
        <v>0</v>
      </c>
      <c r="EG76" s="835">
        <f>+IF(DO76=DN76,0,
IF(AND(EG$44&gt;1,DO76=$N76),1-SUM($EE76:EF76),
IF($N76&lt;=1,
IF($N76&gt;0,1/$N76,0),
IF(EG$44=1,0,VDB(1,0,$N76,INT(EG$44-1-1),MIN($N76,INT(EG$44-1-1)+1),$DC76,IF($DD76="No",1,0))/
IF(DN76&gt;=INT($N76),$N76-INT($N76),1)))*
IF(EG$44=1,0,
IF(INT(DO76)=INT(DN76),DO76-DN76,INT(DO76)-DN76))+
IF($N76&lt;=1,
IF($N76&gt;0,1/$N76,0),VDB(1,0,$N76,INT(EG$44-1),MIN($N76,INT(EG$44-1)+1),$DC76,IF($DD76="No",1,0))/
IF(DO76&gt;INT($N76),$N76-INT($N76),1))*
IF(EG$44=1,DO76,
IF(INT(DO76)=INT(DN76),0,DO76-INT(DO76)))))</f>
        <v>0</v>
      </c>
      <c r="EH76" s="836">
        <f>+IF(DP76=DO76,0,
IF(AND(EH$44&gt;1,DP76=$N76),1-SUM($EE76:EG76),
IF($N76&lt;=1,
IF($N76&gt;0,1/$N76,0),
IF(EH$44=1,0,VDB(1,0,$N76,INT(EH$44-1-1),MIN($N76,INT(EH$44-1-1)+1),$DC76,IF($DD76="No",1,0))/
IF(DO76&gt;=INT($N76),$N76-INT($N76),1)))*
IF(EH$44=1,0,
IF(INT(DP76)=INT(DO76),DP76-DO76,INT(DP76)-DO76))+
IF($N76&lt;=1,
IF($N76&gt;0,1/$N76,0),VDB(1,0,$N76,INT(EH$44-1),MIN($N76,INT(EH$44-1)+1),$DC76,IF($DD76="No",1,0))/
IF(DP76&gt;INT($N76),$N76-INT($N76),1))*
IF(EH$44=1,DP76,
IF(INT(DP76)=INT(DO76),0,DP76-INT(DP76)))))</f>
        <v>0</v>
      </c>
      <c r="EI76" s="834">
        <f>+IF(DQ76=DP76,0,
IF(AND(EI$44&gt;1,DQ76=$N76),1-SUM($EE76:EH76),
IF($N76&lt;=1,
IF($N76&gt;0,1/$N76,0),
IF(EI$44=1,0,VDB(1,0,$N76,INT(EI$44-1-1),MIN($N76,INT(EI$44-1-1)+1),$DC76,IF($DD76="No",1,0))/
IF(DP76&gt;=INT($N76),$N76-INT($N76),1)))*
IF(EI$44=1,0,
IF(INT(DQ76)=INT(DP76),DQ76-DP76,INT(DQ76)-DP76))+
IF($N76&lt;=1,
IF($N76&gt;0,1/$N76,0),VDB(1,0,$N76,INT(EI$44-1),MIN($N76,INT(EI$44-1)+1),$DC76,IF($DD76="No",1,0))/
IF(DQ76&gt;INT($N76),$N76-INT($N76),1))*
IF(EI$44=1,DQ76,
IF(INT(DQ76)=INT(DP76),0,DQ76-INT(DQ76)))))</f>
        <v>0</v>
      </c>
      <c r="EJ76" s="835">
        <f>+IF(DR76=DQ76,0,
IF(AND(EJ$44&gt;1,DR76=$N76),1-SUM($EE76:EI76),
IF($N76&lt;=1,
IF($N76&gt;0,1/$N76,0),
IF(EJ$44=1,0,VDB(1,0,$N76,INT(EJ$44-1-1),MIN($N76,INT(EJ$44-1-1)+1),$DC76,IF($DD76="No",1,0))/
IF(DQ76&gt;=INT($N76),$N76-INT($N76),1)))*
IF(EJ$44=1,0,
IF(INT(DR76)=INT(DQ76),DR76-DQ76,INT(DR76)-DQ76))+
IF($N76&lt;=1,
IF($N76&gt;0,1/$N76,0),VDB(1,0,$N76,INT(EJ$44-1),MIN($N76,INT(EJ$44-1)+1),$DC76,IF($DD76="No",1,0))/
IF(DR76&gt;INT($N76),$N76-INT($N76),1))*
IF(EJ$44=1,DR76,
IF(INT(DR76)=INT(DQ76),0,DR76-INT(DR76)))))</f>
        <v>0</v>
      </c>
      <c r="EK76" s="835">
        <f>+IF(DS76=DR76,0,
IF(AND(EK$44&gt;1,DS76=$N76),1-SUM($EE76:EJ76),
IF($N76&lt;=1,
IF($N76&gt;0,1/$N76,0),
IF(EK$44=1,0,VDB(1,0,$N76,INT(EK$44-1-1),MIN($N76,INT(EK$44-1-1)+1),$DC76,IF($DD76="No",1,0))/
IF(DR76&gt;=INT($N76),$N76-INT($N76),1)))*
IF(EK$44=1,0,
IF(INT(DS76)=INT(DR76),DS76-DR76,INT(DS76)-DR76))+
IF($N76&lt;=1,
IF($N76&gt;0,1/$N76,0),VDB(1,0,$N76,INT(EK$44-1),MIN($N76,INT(EK$44-1)+1),$DC76,IF($DD76="No",1,0))/
IF(DS76&gt;INT($N76),$N76-INT($N76),1))*
IF(EK$44=1,DS76,
IF(INT(DS76)=INT(DR76),0,DS76-INT(DS76)))))</f>
        <v>0</v>
      </c>
      <c r="EL76" s="835">
        <f>+IF(DT76=DS76,0,
IF(AND(EL$44&gt;1,DT76=$N76),1-SUM($EE76:EK76),
IF($N76&lt;=1,
IF($N76&gt;0,1/$N76,0),
IF(EL$44=1,0,VDB(1,0,$N76,INT(EL$44-1-1),MIN($N76,INT(EL$44-1-1)+1),$DC76,IF($DD76="No",1,0))/
IF(DS76&gt;=INT($N76),$N76-INT($N76),1)))*
IF(EL$44=1,0,
IF(INT(DT76)=INT(DS76),DT76-DS76,INT(DT76)-DS76))+
IF($N76&lt;=1,
IF($N76&gt;0,1/$N76,0),VDB(1,0,$N76,INT(EL$44-1),MIN($N76,INT(EL$44-1)+1),$DC76,IF($DD76="No",1,0))/
IF(DT76&gt;INT($N76),$N76-INT($N76),1))*
IF(EL$44=1,DT76,
IF(INT(DT76)=INT(DS76),0,DT76-INT(DT76)))))</f>
        <v>0</v>
      </c>
      <c r="EM76" s="836">
        <f>+IF(DU76=DT76,0,
IF(AND(EM$44&gt;1,DU76=$N76),1-SUM($EE76:EL76),
IF($N76&lt;=1,
IF($N76&gt;0,1/$N76,0),
IF(EM$44=1,0,VDB(1,0,$N76,INT(EM$44-1-1),MIN($N76,INT(EM$44-1-1)+1),$DC76,IF($DD76="No",1,0))/
IF(DT76&gt;=INT($N76),$N76-INT($N76),1)))*
IF(EM$44=1,0,
IF(INT(DU76)=INT(DT76),DU76-DT76,INT(DU76)-DT76))+
IF($N76&lt;=1,
IF($N76&gt;0,1/$N76,0),VDB(1,0,$N76,INT(EM$44-1),MIN($N76,INT(EM$44-1)+1),$DC76,IF($DD76="No",1,0))/
IF(DU76&gt;INT($N76),$N76-INT($N76),1))*
IF(EM$44=1,DU76,
IF(INT(DU76)=INT(DT76),0,DU76-INT(DU76)))))</f>
        <v>0</v>
      </c>
      <c r="EN76" s="833"/>
      <c r="EO76" s="834">
        <f>+IF(OR(DW76=DV76,EO$44=1),0,
IF(AND(EO$44&gt;1,DW76=$N76),1-SUM($EN76:EN76),
IF($N76&lt;=1,
IF($N76&gt;0,1/$N76,0),
IF(EO$44=2,0,VDB(1,0,$N76,INT(EO$44-2-1),MIN($N76,INT(EO$44-2-1)+1),$DC76,IF($DD76="No",1,0))/
IF(DV76&gt;=INT($N76),$N76-INT($N76),1)))*
IF(EO$44=2,0,
IF(INT(DW76)=INT(DV76),DW76-DV76,INT(DW76)-DV76))+
IF($N76&lt;=1,
IF($N76&gt;0,1/$N76,0),VDB(1,0,$N76,INT(EO$44-2),MIN($N76,INT(EO$44-2)+1),$DC76,IF($DD76="No",1,0))/
IF(DW76&gt;INT($N76),$N76-INT($N76),1))*
IF(EO$44=2,DW76,
IF(INT(DW76)=INT(DV76),0,DW76-INT(DW76)))))</f>
        <v>0</v>
      </c>
      <c r="EP76" s="835">
        <f>+IF(OR(DX76=DW76,EP$44=1),0,
IF(AND(EP$44&gt;1,DX76=$N76),1-SUM($EN76:EO76),
IF($N76&lt;=1,
IF($N76&gt;0,1/$N76,0),
IF(EP$44=2,0,VDB(1,0,$N76,INT(EP$44-2-1),MIN($N76,INT(EP$44-2-1)+1),$DC76,IF($DD76="No",1,0))/
IF(DW76&gt;=INT($N76),$N76-INT($N76),1)))*
IF(EP$44=2,0,
IF(INT(DX76)=INT(DW76),DX76-DW76,INT(DX76)-DW76))+
IF($N76&lt;=1,
IF($N76&gt;0,1/$N76,0),VDB(1,0,$N76,INT(EP$44-2),MIN($N76,INT(EP$44-2)+1),$DC76,IF($DD76="No",1,0))/
IF(DX76&gt;INT($N76),$N76-INT($N76),1))*
IF(EP$44=2,DX76,
IF(INT(DX76)=INT(DW76),0,DX76-INT(DX76)))))</f>
        <v>0</v>
      </c>
      <c r="EQ76" s="836">
        <f>+IF(OR(DY76=DX76,EQ$44=1),0,
IF(AND(EQ$44&gt;1,DY76=$N76),1-SUM($EN76:EP76),
IF($N76&lt;=1,
IF($N76&gt;0,1/$N76,0),
IF(EQ$44=2,0,VDB(1,0,$N76,INT(EQ$44-2-1),MIN($N76,INT(EQ$44-2-1)+1),$DC76,IF($DD76="No",1,0))/
IF(DX76&gt;=INT($N76),$N76-INT($N76),1)))*
IF(EQ$44=2,0,
IF(INT(DY76)=INT(DX76),DY76-DX76,INT(DY76)-DX76))+
IF($N76&lt;=1,
IF($N76&gt;0,1/$N76,0),VDB(1,0,$N76,INT(EQ$44-2),MIN($N76,INT(EQ$44-2)+1),$DC76,IF($DD76="No",1,0))/
IF(DY76&gt;INT($N76),$N76-INT($N76),1))*
IF(EQ$44=2,DY76,
IF(INT(DY76)=INT(DX76),0,DY76-INT(DY76)))))</f>
        <v>0</v>
      </c>
      <c r="ER76" s="834">
        <f>+IF(OR(DZ76=DY76,ER$44=1),0,
IF(AND(ER$44&gt;1,DZ76=$N76),1-SUM($EN76:EQ76),
IF($N76&lt;=1,
IF($N76&gt;0,1/$N76,0),
IF(ER$44=2,0,VDB(1,0,$N76,INT(ER$44-2-1),MIN($N76,INT(ER$44-2-1)+1),$DC76,IF($DD76="No",1,0))/
IF(DY76&gt;=INT($N76),$N76-INT($N76),1)))*
IF(ER$44=2,0,
IF(INT(DZ76)=INT(DY76),DZ76-DY76,INT(DZ76)-DY76))+
IF($N76&lt;=1,
IF($N76&gt;0,1/$N76,0),VDB(1,0,$N76,INT(ER$44-2),MIN($N76,INT(ER$44-2)+1),$DC76,IF($DD76="No",1,0))/
IF(DZ76&gt;INT($N76),$N76-INT($N76),1))*
IF(ER$44=2,DZ76,
IF(INT(DZ76)=INT(DY76),0,DZ76-INT(DZ76)))))</f>
        <v>0</v>
      </c>
      <c r="ES76" s="835">
        <f>+IF(OR(EA76=DZ76,ES$44=1),0,
IF(AND(ES$44&gt;1,EA76=$N76),1-SUM($EN76:ER76),
IF($N76&lt;=1,
IF($N76&gt;0,1/$N76,0),
IF(ES$44=2,0,VDB(1,0,$N76,INT(ES$44-2-1),MIN($N76,INT(ES$44-2-1)+1),$DC76,IF($DD76="No",1,0))/
IF(DZ76&gt;=INT($N76),$N76-INT($N76),1)))*
IF(ES$44=2,0,
IF(INT(EA76)=INT(DZ76),EA76-DZ76,INT(EA76)-DZ76))+
IF($N76&lt;=1,
IF($N76&gt;0,1/$N76,0),VDB(1,0,$N76,INT(ES$44-2),MIN($N76,INT(ES$44-2)+1),$DC76,IF($DD76="No",1,0))/
IF(EA76&gt;INT($N76),$N76-INT($N76),1))*
IF(ES$44=2,EA76,
IF(INT(EA76)=INT(DZ76),0,EA76-INT(EA76)))))</f>
        <v>0</v>
      </c>
      <c r="ET76" s="835">
        <f>+IF(OR(EB76=EA76,ET$44=1),0,
IF(AND(ET$44&gt;1,EB76=$N76),1-SUM($EN76:ES76),
IF($N76&lt;=1,
IF($N76&gt;0,1/$N76,0),
IF(ET$44=2,0,VDB(1,0,$N76,INT(ET$44-2-1),MIN($N76,INT(ET$44-2-1)+1),$DC76,IF($DD76="No",1,0))/
IF(EA76&gt;=INT($N76),$N76-INT($N76),1)))*
IF(ET$44=2,0,
IF(INT(EB76)=INT(EA76),EB76-EA76,INT(EB76)-EA76))+
IF($N76&lt;=1,
IF($N76&gt;0,1/$N76,0),VDB(1,0,$N76,INT(ET$44-2),MIN($N76,INT(ET$44-2)+1),$DC76,IF($DD76="No",1,0))/
IF(EB76&gt;INT($N76),$N76-INT($N76),1))*
IF(ET$44=2,EB76,
IF(INT(EB76)=INT(EA76),0,EB76-INT(EB76)))))</f>
        <v>0</v>
      </c>
      <c r="EU76" s="835">
        <f>+IF(OR(EC76=EB76,EU$44=1),0,
IF(AND(EU$44&gt;1,EC76=$N76),1-SUM($EN76:ET76),
IF($N76&lt;=1,
IF($N76&gt;0,1/$N76,0),
IF(EU$44=2,0,VDB(1,0,$N76,INT(EU$44-2-1),MIN($N76,INT(EU$44-2-1)+1),$DC76,IF($DD76="No",1,0))/
IF(EB76&gt;=INT($N76),$N76-INT($N76),1)))*
IF(EU$44=2,0,
IF(INT(EC76)=INT(EB76),EC76-EB76,INT(EC76)-EB76))+
IF($N76&lt;=1,
IF($N76&gt;0,1/$N76,0),VDB(1,0,$N76,INT(EU$44-2),MIN($N76,INT(EU$44-2)+1),$DC76,IF($DD76="No",1,0))/
IF(EC76&gt;INT($N76),$N76-INT($N76),1))*
IF(EU$44=2,EC76,
IF(INT(EC76)=INT(EB76),0,EC76-INT(EC76)))))</f>
        <v>0</v>
      </c>
      <c r="EV76" s="836">
        <f>+IF(OR(ED76=EC76,EV$44=1),0,
IF(AND(EV$44&gt;1,ED76=$N76),1-SUM($EN76:EU76),
IF($N76&lt;=1,
IF($N76&gt;0,1/$N76,0),
IF(EV$44=2,0,VDB(1,0,$N76,INT(EV$44-2-1),MIN($N76,INT(EV$44-2-1)+1),$DC76,IF($DD76="No",1,0))/
IF(EC76&gt;=INT($N76),$N76-INT($N76),1)))*
IF(EV$44=2,0,
IF(INT(ED76)=INT(EC76),ED76-EC76,INT(ED76)-EC76))+
IF($N76&lt;=1,
IF($N76&gt;0,1/$N76,0),VDB(1,0,$N76,INT(EV$44-2),MIN($N76,INT(EV$44-2)+1),$DC76,IF($DD76="No",1,0))/
IF(ED76&gt;INT($N76),$N76-INT($N76),1))*
IF(EV$44=2,ED76,
IF(INT(ED76)=INT(EC76),0,ED76-INT(ED76)))))</f>
        <v>0</v>
      </c>
      <c r="EW76" s="833"/>
      <c r="EX76" s="834">
        <f t="shared" ca="1" si="190"/>
        <v>0</v>
      </c>
      <c r="EY76" s="835">
        <f t="shared" ca="1" si="190"/>
        <v>0</v>
      </c>
      <c r="EZ76" s="836">
        <f t="shared" ca="1" si="190"/>
        <v>0</v>
      </c>
      <c r="FA76" s="834">
        <f t="shared" ca="1" si="190"/>
        <v>0</v>
      </c>
      <c r="FB76" s="835">
        <f t="shared" ca="1" si="190"/>
        <v>0</v>
      </c>
      <c r="FC76" s="835">
        <f t="shared" ca="1" si="190"/>
        <v>0</v>
      </c>
      <c r="FD76" s="835">
        <f t="shared" ca="1" si="190"/>
        <v>0</v>
      </c>
      <c r="FE76" s="836">
        <f t="shared" ca="1" si="190"/>
        <v>0</v>
      </c>
      <c r="FG76" s="386">
        <f t="shared" ca="1" si="237"/>
        <v>0</v>
      </c>
      <c r="FH76" s="387">
        <f t="shared" ca="1" si="238"/>
        <v>0</v>
      </c>
      <c r="FI76" s="388">
        <f t="shared" ca="1" si="239"/>
        <v>0</v>
      </c>
      <c r="FJ76" s="386">
        <f t="shared" ca="1" si="240"/>
        <v>0</v>
      </c>
      <c r="FK76" s="387">
        <f t="shared" ca="1" si="241"/>
        <v>0</v>
      </c>
      <c r="FL76" s="387">
        <f t="shared" ca="1" si="242"/>
        <v>0</v>
      </c>
      <c r="FM76" s="387">
        <f t="shared" ca="1" si="243"/>
        <v>0</v>
      </c>
      <c r="FN76" s="388">
        <f t="shared" ca="1" si="244"/>
        <v>0</v>
      </c>
      <c r="FR76" s="116"/>
    </row>
    <row r="77" spans="2:174">
      <c r="B77" s="1410">
        <f t="shared" si="135"/>
        <v>31</v>
      </c>
      <c r="C77" s="400" t="s">
        <v>557</v>
      </c>
      <c r="D77" s="410"/>
      <c r="E77" s="402" t="s">
        <v>401</v>
      </c>
      <c r="F77" s="402" t="s">
        <v>514</v>
      </c>
      <c r="G77" s="400" t="s">
        <v>515</v>
      </c>
      <c r="H77" s="2088" t="s">
        <v>483</v>
      </c>
      <c r="I77" s="2089"/>
      <c r="J77" s="411" t="s">
        <v>516</v>
      </c>
      <c r="K77" s="403" t="s">
        <v>544</v>
      </c>
      <c r="L77" s="403">
        <v>25</v>
      </c>
      <c r="M77" s="403" t="s">
        <v>142</v>
      </c>
      <c r="N77" s="403"/>
      <c r="O77" s="347"/>
      <c r="P77" s="347"/>
      <c r="Q77" s="1021">
        <v>2.6214673170731708</v>
      </c>
      <c r="R77" s="1022">
        <v>2.0816218917311127</v>
      </c>
      <c r="S77" s="1022">
        <v>2.0308506260791348</v>
      </c>
      <c r="T77" s="1022">
        <v>1.9813176839796436</v>
      </c>
      <c r="U77" s="1023">
        <v>1.9329751853334125</v>
      </c>
      <c r="V77" s="1021">
        <v>1.9851367299709763</v>
      </c>
      <c r="W77" s="1022">
        <v>1.9851369402872849</v>
      </c>
      <c r="X77" s="1022">
        <v>1.9851372685859137</v>
      </c>
      <c r="Y77" s="1022">
        <v>1.98513692827636</v>
      </c>
      <c r="Z77" s="1023">
        <v>1.9851368501565199</v>
      </c>
      <c r="AA77" s="1024"/>
      <c r="AB77" s="1021">
        <v>0</v>
      </c>
      <c r="AC77" s="1022">
        <v>0</v>
      </c>
      <c r="AD77" s="1022">
        <v>0</v>
      </c>
      <c r="AE77" s="1022">
        <v>0</v>
      </c>
      <c r="AF77" s="1023">
        <v>0</v>
      </c>
      <c r="AG77" s="1021">
        <v>0</v>
      </c>
      <c r="AH77" s="1022">
        <v>0</v>
      </c>
      <c r="AI77" s="1022">
        <v>0</v>
      </c>
      <c r="AJ77" s="1022">
        <v>0</v>
      </c>
      <c r="AK77" s="1023">
        <v>0</v>
      </c>
      <c r="AL77" s="1024"/>
      <c r="AM77" s="1021">
        <v>0</v>
      </c>
      <c r="AN77" s="1022">
        <v>0</v>
      </c>
      <c r="AO77" s="1022">
        <v>0</v>
      </c>
      <c r="AP77" s="1022">
        <v>0</v>
      </c>
      <c r="AQ77" s="1023">
        <v>0</v>
      </c>
      <c r="AR77" s="1021">
        <v>0</v>
      </c>
      <c r="AS77" s="1022">
        <v>0</v>
      </c>
      <c r="AT77" s="1022">
        <v>0</v>
      </c>
      <c r="AU77" s="1022">
        <v>0</v>
      </c>
      <c r="AV77" s="1023">
        <v>0</v>
      </c>
      <c r="AW77" s="1025"/>
      <c r="AX77" s="1282">
        <f t="shared" si="191"/>
        <v>2.6214673170731708</v>
      </c>
      <c r="AY77" s="387">
        <f t="shared" si="192"/>
        <v>2.0816218917311127</v>
      </c>
      <c r="AZ77" s="387">
        <f t="shared" si="193"/>
        <v>2.0308506260791348</v>
      </c>
      <c r="BA77" s="387">
        <f t="shared" si="194"/>
        <v>1.9813176839796436</v>
      </c>
      <c r="BB77" s="1283">
        <f t="shared" si="195"/>
        <v>1.9329751853334125</v>
      </c>
      <c r="BC77" s="386">
        <f t="shared" si="196"/>
        <v>1.9851367299709763</v>
      </c>
      <c r="BD77" s="387">
        <f t="shared" si="197"/>
        <v>1.9851369402872849</v>
      </c>
      <c r="BE77" s="1277">
        <f t="shared" si="198"/>
        <v>1.9851372685859137</v>
      </c>
      <c r="BF77" s="1277">
        <f t="shared" si="199"/>
        <v>1.98513692827636</v>
      </c>
      <c r="BG77" s="388">
        <f t="shared" si="200"/>
        <v>1.9851368501565199</v>
      </c>
      <c r="BH77" s="1025"/>
      <c r="BI77" s="1282">
        <f t="shared" ca="1" si="201"/>
        <v>5.2429346341463415E-2</v>
      </c>
      <c r="BJ77" s="387">
        <f t="shared" ca="1" si="202"/>
        <v>0.14649113051754908</v>
      </c>
      <c r="BK77" s="387">
        <f t="shared" ca="1" si="203"/>
        <v>0.22874058087375404</v>
      </c>
      <c r="BL77" s="387">
        <f t="shared" ca="1" si="204"/>
        <v>0.30898394707492965</v>
      </c>
      <c r="BM77" s="1283">
        <f t="shared" ca="1" si="205"/>
        <v>0.38726980446119075</v>
      </c>
      <c r="BN77" s="386">
        <f t="shared" ca="1" si="206"/>
        <v>0.46563204276727849</v>
      </c>
      <c r="BO77" s="387">
        <f t="shared" ca="1" si="207"/>
        <v>0.54503751617244378</v>
      </c>
      <c r="BP77" s="1277">
        <f t="shared" ca="1" si="208"/>
        <v>0.62444300034990763</v>
      </c>
      <c r="BQ77" s="1277">
        <f t="shared" ca="1" si="209"/>
        <v>0.70384848428715308</v>
      </c>
      <c r="BR77" s="388">
        <f t="shared" ca="1" si="210"/>
        <v>0.78325395985581081</v>
      </c>
      <c r="BS77" s="1025"/>
      <c r="BT77" s="1282">
        <f>+IF($K77="Ongoing",AX77,IF(RIGHT($K77,2)=RIGHT(BT$43,2),SUM($AX77:AX77),0)+IF(RIGHT(BT$43,2)&gt;RIGHT($K77,2),AX77,0))</f>
        <v>2.6214673170731708</v>
      </c>
      <c r="BU77" s="387">
        <f>+IF($K77="Ongoing",AY77,IF(RIGHT($K77,2)=RIGHT(BU$43,2),SUM($AX77:AY77),0)+IF(RIGHT(BU$43,2)&gt;RIGHT($K77,2),AY77,0))</f>
        <v>2.0816218917311127</v>
      </c>
      <c r="BV77" s="387">
        <f>+IF($K77="Ongoing",AZ77,IF(RIGHT($K77,2)=RIGHT(BV$43,2),SUM($AX77:AZ77),0)+IF(RIGHT(BV$43,2)&gt;RIGHT($K77,2),AZ77,0))</f>
        <v>2.0308506260791348</v>
      </c>
      <c r="BW77" s="387">
        <f>+IF($K77="Ongoing",BA77,IF(RIGHT($K77,2)=RIGHT(BW$43,2),SUM($AX77:BA77),0)+IF(RIGHT(BW$43,2)&gt;RIGHT($K77,2),BA77,0))</f>
        <v>1.9813176839796436</v>
      </c>
      <c r="BX77" s="1283">
        <f>+IF($K77="Ongoing",BB77,IF(RIGHT($K77,2)=RIGHT(BX$43,2),SUM($AX77:BB77),0)+IF(RIGHT(BX$43,2)&gt;RIGHT($K77,2),BB77,0))</f>
        <v>1.9329751853334125</v>
      </c>
      <c r="BY77" s="386">
        <f>+IF($K77="Ongoing",BC77,IF(RIGHT($K77,2)=RIGHT(BY$43,2),SUM($AX77:BC77),0)+IF(RIGHT(BY$43,2)&gt;RIGHT($K77,2),BC77,0))</f>
        <v>1.9851367299709763</v>
      </c>
      <c r="BZ77" s="387">
        <f>+IF($K77="Ongoing",BD77,IF(RIGHT($K77,2)=RIGHT(BZ$43,2),SUM($AX77:BD77),0)+IF(RIGHT(BZ$43,2)&gt;RIGHT($K77,2),BD77,0))</f>
        <v>1.9851369402872849</v>
      </c>
      <c r="CA77" s="1277">
        <f>+IF($K77="Ongoing",BE77,IF(RIGHT($K77,2)=RIGHT(CA$43,2),SUM($AX77:BE77),0)+IF(RIGHT(CA$43,2)&gt;RIGHT($K77,2),BE77,0))</f>
        <v>1.9851372685859137</v>
      </c>
      <c r="CB77" s="1277">
        <f>+IF($K77="Ongoing",BF77,IF(RIGHT($K77,2)=RIGHT(CB$43,2),SUM($AX77:BF77),0)+IF(RIGHT(CB$43,2)&gt;RIGHT($K77,2),BF77,0))</f>
        <v>1.98513692827636</v>
      </c>
      <c r="CC77" s="388">
        <f>+IF($K77="Ongoing",BG77,IF(RIGHT($K77,2)=RIGHT(CC$43,2),SUM($AX77:BG77),0)+IF(RIGHT(CC$43,2)&gt;RIGHT($K77,2),BG77,0))</f>
        <v>1.9851368501565199</v>
      </c>
      <c r="CD77" s="1025"/>
      <c r="CE77" s="1282">
        <f>+Q77*KeyAssumptionsPriceControl_FO!AF$15</f>
        <v>2.6974898692682925</v>
      </c>
      <c r="CF77" s="387">
        <f>+R77*KeyAssumptionsPriceControl_FO!AG$15</f>
        <v>2.2041066054624627</v>
      </c>
      <c r="CG77" s="387">
        <f>+S77*KeyAssumptionsPriceControl_FO!AH$15</f>
        <v>2.2127079970935362</v>
      </c>
      <c r="CH77" s="387">
        <f>+T77*KeyAssumptionsPriceControl_FO!AI$15</f>
        <v>2.2213429551309742</v>
      </c>
      <c r="CI77" s="1283">
        <f>+U77*KeyAssumptionsPriceControl_FO!AJ$15</f>
        <v>2.2299912172640139</v>
      </c>
      <c r="CJ77" s="386">
        <f>+V77*KeyAssumptionsPriceControl_FO!AK$15</f>
        <v>2.3565826370564444</v>
      </c>
      <c r="CK77" s="387">
        <f>+W77*KeyAssumptionsPriceControl_FO!AL$15</f>
        <v>2.4249237904408236</v>
      </c>
      <c r="CL77" s="1277">
        <f>+X77*KeyAssumptionsPriceControl_FO!AM$15</f>
        <v>2.4952469930233154</v>
      </c>
      <c r="CM77" s="1277">
        <f>+Y77*KeyAssumptionsPriceControl_FO!AN$15</f>
        <v>2.5676087156590239</v>
      </c>
      <c r="CN77" s="388">
        <f>+Z77*KeyAssumptionsPriceControl_FO!AO$15</f>
        <v>2.6420692644414481</v>
      </c>
      <c r="CO77" s="1025"/>
      <c r="CP77" s="1282">
        <f t="shared" ca="1" si="211"/>
        <v>0</v>
      </c>
      <c r="CQ77" s="387">
        <f t="shared" ca="1" si="212"/>
        <v>0</v>
      </c>
      <c r="CR77" s="387">
        <f t="shared" ca="1" si="213"/>
        <v>0</v>
      </c>
      <c r="CS77" s="387">
        <f t="shared" ca="1" si="214"/>
        <v>0</v>
      </c>
      <c r="CT77" s="1283">
        <f t="shared" ca="1" si="215"/>
        <v>0</v>
      </c>
      <c r="CU77" s="386">
        <f t="shared" ca="1" si="216"/>
        <v>0</v>
      </c>
      <c r="CV77" s="387">
        <f t="shared" ca="1" si="217"/>
        <v>0</v>
      </c>
      <c r="CW77" s="1277">
        <f t="shared" ca="1" si="218"/>
        <v>0</v>
      </c>
      <c r="CX77" s="1277">
        <f t="shared" ca="1" si="219"/>
        <v>0</v>
      </c>
      <c r="CY77" s="388">
        <f t="shared" ca="1" si="220"/>
        <v>0</v>
      </c>
      <c r="CZ77" s="347"/>
      <c r="DA77" s="852"/>
      <c r="DB77" s="347"/>
      <c r="DC77" s="1012" t="s">
        <v>558</v>
      </c>
      <c r="DD77" s="841" t="s">
        <v>518</v>
      </c>
      <c r="DE77" s="386">
        <f>+IF($K77="ongoing",CE77,IF(RIGHT($K77,2)=RIGHT(DE$43,2),SUM($CD77:CE77),0)+IF(RIGHT(DE$43,2)&gt;RIGHT($K77,2),CE77,0))</f>
        <v>2.6974898692682925</v>
      </c>
      <c r="DF77" s="387">
        <f>+IF($K77="ongoing",CF77,IF(RIGHT($K77,2)=RIGHT(DF$43,2),SUM($CD77:CF77),0)+IF(RIGHT(DF$43,2)&gt;RIGHT($K77,2),CF77,0))</f>
        <v>2.2041066054624627</v>
      </c>
      <c r="DG77" s="388">
        <f>+IF($K77="ongoing",CG77,IF(RIGHT($K77,2)=RIGHT(DG$43,2),SUM($CD77:CG77),0)+IF(RIGHT(DG$43,2)&gt;RIGHT($K77,2),CG77,0))</f>
        <v>2.2127079970935362</v>
      </c>
      <c r="DH77" s="386">
        <f>+IF($K77="ongoing",CH77,IF(RIGHT($K77,2)=RIGHT(DH$43,2),SUM($CD77:CH77),0)+IF(RIGHT(DH$43,2)&gt;RIGHT($K77,2),CH77,0))</f>
        <v>2.2213429551309742</v>
      </c>
      <c r="DI77" s="387">
        <f>+IF($K77="ongoing",CI77,IF(RIGHT($K77,2)=RIGHT(DI$43,2),SUM($CD77:CI77),0)+IF(RIGHT(DI$43,2)&gt;RIGHT($K77,2),CI77,0))</f>
        <v>2.2299912172640139</v>
      </c>
      <c r="DJ77" s="387">
        <f>+IF($K77="ongoing",CJ77,IF(RIGHT($K77,2)=RIGHT(DJ$43,2),SUM($CD77:CJ77),0)+IF(RIGHT(DJ$43,2)&gt;RIGHT($K77,2),CJ77,0))</f>
        <v>2.3565826370564444</v>
      </c>
      <c r="DK77" s="387">
        <f>+IF($K77="ongoing",CK77,IF(RIGHT($K77,2)=RIGHT(DK$43,2),SUM($CD77:CK77),0)+IF(RIGHT(DK$43,2)&gt;RIGHT($K77,2),CK77,0))</f>
        <v>2.4249237904408236</v>
      </c>
      <c r="DL77" s="388">
        <f>+IF($K77="ongoing",CN77,IF(RIGHT($K77,2)=RIGHT(DL$43,2),SUM($CD77:CN77),0)+IF(RIGHT(DL$43,2)&gt;RIGHT($K77,2),CN77,0))</f>
        <v>2.6420692644414481</v>
      </c>
      <c r="DM77" s="841"/>
      <c r="DN77" s="386">
        <f t="shared" si="221"/>
        <v>0.5</v>
      </c>
      <c r="DO77" s="387">
        <f t="shared" si="222"/>
        <v>1</v>
      </c>
      <c r="DP77" s="388">
        <f t="shared" si="223"/>
        <v>1</v>
      </c>
      <c r="DQ77" s="386">
        <f t="shared" si="224"/>
        <v>1</v>
      </c>
      <c r="DR77" s="387">
        <f t="shared" si="225"/>
        <v>1</v>
      </c>
      <c r="DS77" s="387">
        <f t="shared" si="226"/>
        <v>1</v>
      </c>
      <c r="DT77" s="387">
        <f t="shared" si="227"/>
        <v>1</v>
      </c>
      <c r="DU77" s="388">
        <f t="shared" si="228"/>
        <v>1</v>
      </c>
      <c r="DW77" s="386">
        <f t="shared" si="229"/>
        <v>0</v>
      </c>
      <c r="DX77" s="387">
        <f t="shared" si="230"/>
        <v>0.5</v>
      </c>
      <c r="DY77" s="388">
        <f t="shared" si="231"/>
        <v>1</v>
      </c>
      <c r="DZ77" s="386">
        <f t="shared" si="232"/>
        <v>1</v>
      </c>
      <c r="EA77" s="387">
        <f t="shared" si="233"/>
        <v>1</v>
      </c>
      <c r="EB77" s="387">
        <f t="shared" si="234"/>
        <v>1</v>
      </c>
      <c r="EC77" s="387">
        <f t="shared" si="235"/>
        <v>1</v>
      </c>
      <c r="ED77" s="388">
        <f t="shared" si="236"/>
        <v>1</v>
      </c>
      <c r="EF77" s="834">
        <f>+IF(DN77=DM77,0,
IF(AND(EF$44&gt;1,DN77=$N77),1-SUM($EE77:EE77),
IF($N77&lt;=1,
IF($N77&gt;0,1/$N77,0),
IF(EF$44=1,0,VDB(1,0,$N77,INT(EF$44-1-1),MIN($N77,INT(EF$44-1-1)+1),$DC77,IF($DD77="No",1,0))/
IF(DM77&gt;=INT($N77),$N77-INT($N77),1)))*
IF(EF$44=1,0,
IF(INT(DN77)=INT(DM77),DN77-DM77,INT(DN77)-DM77))+
IF($N77&lt;=1,
IF($N77&gt;0,1/$N77,0),VDB(1,0,$N77,INT(EF$44-1),MIN($N77,INT(EF$44-1)+1),$DC77,IF($DD77="No",1,0))/
IF(DN77&gt;INT($N77),$N77-INT($N77),1))*
IF(EF$44=1,DN77,
IF(INT(DN77)=INT(DM77),0,DN77-INT(DN77)))))</f>
        <v>0</v>
      </c>
      <c r="EG77" s="835">
        <f>+IF(DO77=DN77,0,
IF(AND(EG$44&gt;1,DO77=$N77),1-SUM($EE77:EF77),
IF($N77&lt;=1,
IF($N77&gt;0,1/$N77,0),
IF(EG$44=1,0,VDB(1,0,$N77,INT(EG$44-1-1),MIN($N77,INT(EG$44-1-1)+1),$DC77,IF($DD77="No",1,0))/
IF(DN77&gt;=INT($N77),$N77-INT($N77),1)))*
IF(EG$44=1,0,
IF(INT(DO77)=INT(DN77),DO77-DN77,INT(DO77)-DN77))+
IF($N77&lt;=1,
IF($N77&gt;0,1/$N77,0),VDB(1,0,$N77,INT(EG$44-1),MIN($N77,INT(EG$44-1)+1),$DC77,IF($DD77="No",1,0))/
IF(DO77&gt;INT($N77),$N77-INT($N77),1))*
IF(EG$44=1,DO77,
IF(INT(DO77)=INT(DN77),0,DO77-INT(DO77)))))</f>
        <v>0</v>
      </c>
      <c r="EH77" s="836">
        <f>+IF(DP77=DO77,0,
IF(AND(EH$44&gt;1,DP77=$N77),1-SUM($EE77:EG77),
IF($N77&lt;=1,
IF($N77&gt;0,1/$N77,0),
IF(EH$44=1,0,VDB(1,0,$N77,INT(EH$44-1-1),MIN($N77,INT(EH$44-1-1)+1),$DC77,IF($DD77="No",1,0))/
IF(DO77&gt;=INT($N77),$N77-INT($N77),1)))*
IF(EH$44=1,0,
IF(INT(DP77)=INT(DO77),DP77-DO77,INT(DP77)-DO77))+
IF($N77&lt;=1,
IF($N77&gt;0,1/$N77,0),VDB(1,0,$N77,INT(EH$44-1),MIN($N77,INT(EH$44-1)+1),$DC77,IF($DD77="No",1,0))/
IF(DP77&gt;INT($N77),$N77-INT($N77),1))*
IF(EH$44=1,DP77,
IF(INT(DP77)=INT(DO77),0,DP77-INT(DP77)))))</f>
        <v>0</v>
      </c>
      <c r="EI77" s="834">
        <f>+IF(DQ77=DP77,0,
IF(AND(EI$44&gt;1,DQ77=$N77),1-SUM($EE77:EH77),
IF($N77&lt;=1,
IF($N77&gt;0,1/$N77,0),
IF(EI$44=1,0,VDB(1,0,$N77,INT(EI$44-1-1),MIN($N77,INT(EI$44-1-1)+1),$DC77,IF($DD77="No",1,0))/
IF(DP77&gt;=INT($N77),$N77-INT($N77),1)))*
IF(EI$44=1,0,
IF(INT(DQ77)=INT(DP77),DQ77-DP77,INT(DQ77)-DP77))+
IF($N77&lt;=1,
IF($N77&gt;0,1/$N77,0),VDB(1,0,$N77,INT(EI$44-1),MIN($N77,INT(EI$44-1)+1),$DC77,IF($DD77="No",1,0))/
IF(DQ77&gt;INT($N77),$N77-INT($N77),1))*
IF(EI$44=1,DQ77,
IF(INT(DQ77)=INT(DP77),0,DQ77-INT(DQ77)))))</f>
        <v>0</v>
      </c>
      <c r="EJ77" s="835">
        <f>+IF(DR77=DQ77,0,
IF(AND(EJ$44&gt;1,DR77=$N77),1-SUM($EE77:EI77),
IF($N77&lt;=1,
IF($N77&gt;0,1/$N77,0),
IF(EJ$44=1,0,VDB(1,0,$N77,INT(EJ$44-1-1),MIN($N77,INT(EJ$44-1-1)+1),$DC77,IF($DD77="No",1,0))/
IF(DQ77&gt;=INT($N77),$N77-INT($N77),1)))*
IF(EJ$44=1,0,
IF(INT(DR77)=INT(DQ77),DR77-DQ77,INT(DR77)-DQ77))+
IF($N77&lt;=1,
IF($N77&gt;0,1/$N77,0),VDB(1,0,$N77,INT(EJ$44-1),MIN($N77,INT(EJ$44-1)+1),$DC77,IF($DD77="No",1,0))/
IF(DR77&gt;INT($N77),$N77-INT($N77),1))*
IF(EJ$44=1,DR77,
IF(INT(DR77)=INT(DQ77),0,DR77-INT(DR77)))))</f>
        <v>0</v>
      </c>
      <c r="EK77" s="835">
        <f>+IF(DS77=DR77,0,
IF(AND(EK$44&gt;1,DS77=$N77),1-SUM($EE77:EJ77),
IF($N77&lt;=1,
IF($N77&gt;0,1/$N77,0),
IF(EK$44=1,0,VDB(1,0,$N77,INT(EK$44-1-1),MIN($N77,INT(EK$44-1-1)+1),$DC77,IF($DD77="No",1,0))/
IF(DR77&gt;=INT($N77),$N77-INT($N77),1)))*
IF(EK$44=1,0,
IF(INT(DS77)=INT(DR77),DS77-DR77,INT(DS77)-DR77))+
IF($N77&lt;=1,
IF($N77&gt;0,1/$N77,0),VDB(1,0,$N77,INT(EK$44-1),MIN($N77,INT(EK$44-1)+1),$DC77,IF($DD77="No",1,0))/
IF(DS77&gt;INT($N77),$N77-INT($N77),1))*
IF(EK$44=1,DS77,
IF(INT(DS77)=INT(DR77),0,DS77-INT(DS77)))))</f>
        <v>0</v>
      </c>
      <c r="EL77" s="835">
        <f>+IF(DT77=DS77,0,
IF(AND(EL$44&gt;1,DT77=$N77),1-SUM($EE77:EK77),
IF($N77&lt;=1,
IF($N77&gt;0,1/$N77,0),
IF(EL$44=1,0,VDB(1,0,$N77,INT(EL$44-1-1),MIN($N77,INT(EL$44-1-1)+1),$DC77,IF($DD77="No",1,0))/
IF(DS77&gt;=INT($N77),$N77-INT($N77),1)))*
IF(EL$44=1,0,
IF(INT(DT77)=INT(DS77),DT77-DS77,INT(DT77)-DS77))+
IF($N77&lt;=1,
IF($N77&gt;0,1/$N77,0),VDB(1,0,$N77,INT(EL$44-1),MIN($N77,INT(EL$44-1)+1),$DC77,IF($DD77="No",1,0))/
IF(DT77&gt;INT($N77),$N77-INT($N77),1))*
IF(EL$44=1,DT77,
IF(INT(DT77)=INT(DS77),0,DT77-INT(DT77)))))</f>
        <v>0</v>
      </c>
      <c r="EM77" s="836">
        <f>+IF(DU77=DT77,0,
IF(AND(EM$44&gt;1,DU77=$N77),1-SUM($EE77:EL77),
IF($N77&lt;=1,
IF($N77&gt;0,1/$N77,0),
IF(EM$44=1,0,VDB(1,0,$N77,INT(EM$44-1-1),MIN($N77,INT(EM$44-1-1)+1),$DC77,IF($DD77="No",1,0))/
IF(DT77&gt;=INT($N77),$N77-INT($N77),1)))*
IF(EM$44=1,0,
IF(INT(DU77)=INT(DT77),DU77-DT77,INT(DU77)-DT77))+
IF($N77&lt;=1,
IF($N77&gt;0,1/$N77,0),VDB(1,0,$N77,INT(EM$44-1),MIN($N77,INT(EM$44-1)+1),$DC77,IF($DD77="No",1,0))/
IF(DU77&gt;INT($N77),$N77-INT($N77),1))*
IF(EM$44=1,DU77,
IF(INT(DU77)=INT(DT77),0,DU77-INT(DU77)))))</f>
        <v>0</v>
      </c>
      <c r="EN77" s="833"/>
      <c r="EO77" s="834">
        <f>+IF(OR(DW77=DV77,EO$44=1),0,
IF(AND(EO$44&gt;1,DW77=$N77),1-SUM($EN77:EN77),
IF($N77&lt;=1,
IF($N77&gt;0,1/$N77,0),
IF(EO$44=2,0,VDB(1,0,$N77,INT(EO$44-2-1),MIN($N77,INT(EO$44-2-1)+1),$DC77,IF($DD77="No",1,0))/
IF(DV77&gt;=INT($N77),$N77-INT($N77),1)))*
IF(EO$44=2,0,
IF(INT(DW77)=INT(DV77),DW77-DV77,INT(DW77)-DV77))+
IF($N77&lt;=1,
IF($N77&gt;0,1/$N77,0),VDB(1,0,$N77,INT(EO$44-2),MIN($N77,INT(EO$44-2)+1),$DC77,IF($DD77="No",1,0))/
IF(DW77&gt;INT($N77),$N77-INT($N77),1))*
IF(EO$44=2,DW77,
IF(INT(DW77)=INT(DV77),0,DW77-INT(DW77)))))</f>
        <v>0</v>
      </c>
      <c r="EP77" s="835">
        <f>+IF(OR(DX77=DW77,EP$44=1),0,
IF(AND(EP$44&gt;1,DX77=$N77),1-SUM($EN77:EO77),
IF($N77&lt;=1,
IF($N77&gt;0,1/$N77,0),
IF(EP$44=2,0,VDB(1,0,$N77,INT(EP$44-2-1),MIN($N77,INT(EP$44-2-1)+1),$DC77,IF($DD77="No",1,0))/
IF(DW77&gt;=INT($N77),$N77-INT($N77),1)))*
IF(EP$44=2,0,
IF(INT(DX77)=INT(DW77),DX77-DW77,INT(DX77)-DW77))+
IF($N77&lt;=1,
IF($N77&gt;0,1/$N77,0),VDB(1,0,$N77,INT(EP$44-2),MIN($N77,INT(EP$44-2)+1),$DC77,IF($DD77="No",1,0))/
IF(DX77&gt;INT($N77),$N77-INT($N77),1))*
IF(EP$44=2,DX77,
IF(INT(DX77)=INT(DW77),0,DX77-INT(DX77)))))</f>
        <v>0</v>
      </c>
      <c r="EQ77" s="836">
        <f>+IF(OR(DY77=DX77,EQ$44=1),0,
IF(AND(EQ$44&gt;1,DY77=$N77),1-SUM($EN77:EP77),
IF($N77&lt;=1,
IF($N77&gt;0,1/$N77,0),
IF(EQ$44=2,0,VDB(1,0,$N77,INT(EQ$44-2-1),MIN($N77,INT(EQ$44-2-1)+1),$DC77,IF($DD77="No",1,0))/
IF(DX77&gt;=INT($N77),$N77-INT($N77),1)))*
IF(EQ$44=2,0,
IF(INT(DY77)=INT(DX77),DY77-DX77,INT(DY77)-DX77))+
IF($N77&lt;=1,
IF($N77&gt;0,1/$N77,0),VDB(1,0,$N77,INT(EQ$44-2),MIN($N77,INT(EQ$44-2)+1),$DC77,IF($DD77="No",1,0))/
IF(DY77&gt;INT($N77),$N77-INT($N77),1))*
IF(EQ$44=2,DY77,
IF(INT(DY77)=INT(DX77),0,DY77-INT(DY77)))))</f>
        <v>0</v>
      </c>
      <c r="ER77" s="834">
        <f>+IF(OR(DZ77=DY77,ER$44=1),0,
IF(AND(ER$44&gt;1,DZ77=$N77),1-SUM($EN77:EQ77),
IF($N77&lt;=1,
IF($N77&gt;0,1/$N77,0),
IF(ER$44=2,0,VDB(1,0,$N77,INT(ER$44-2-1),MIN($N77,INT(ER$44-2-1)+1),$DC77,IF($DD77="No",1,0))/
IF(DY77&gt;=INT($N77),$N77-INT($N77),1)))*
IF(ER$44=2,0,
IF(INT(DZ77)=INT(DY77),DZ77-DY77,INT(DZ77)-DY77))+
IF($N77&lt;=1,
IF($N77&gt;0,1/$N77,0),VDB(1,0,$N77,INT(ER$44-2),MIN($N77,INT(ER$44-2)+1),$DC77,IF($DD77="No",1,0))/
IF(DZ77&gt;INT($N77),$N77-INT($N77),1))*
IF(ER$44=2,DZ77,
IF(INT(DZ77)=INT(DY77),0,DZ77-INT(DZ77)))))</f>
        <v>0</v>
      </c>
      <c r="ES77" s="835">
        <f>+IF(OR(EA77=DZ77,ES$44=1),0,
IF(AND(ES$44&gt;1,EA77=$N77),1-SUM($EN77:ER77),
IF($N77&lt;=1,
IF($N77&gt;0,1/$N77,0),
IF(ES$44=2,0,VDB(1,0,$N77,INT(ES$44-2-1),MIN($N77,INT(ES$44-2-1)+1),$DC77,IF($DD77="No",1,0))/
IF(DZ77&gt;=INT($N77),$N77-INT($N77),1)))*
IF(ES$44=2,0,
IF(INT(EA77)=INT(DZ77),EA77-DZ77,INT(EA77)-DZ77))+
IF($N77&lt;=1,
IF($N77&gt;0,1/$N77,0),VDB(1,0,$N77,INT(ES$44-2),MIN($N77,INT(ES$44-2)+1),$DC77,IF($DD77="No",1,0))/
IF(EA77&gt;INT($N77),$N77-INT($N77),1))*
IF(ES$44=2,EA77,
IF(INT(EA77)=INT(DZ77),0,EA77-INT(EA77)))))</f>
        <v>0</v>
      </c>
      <c r="ET77" s="835">
        <f>+IF(OR(EB77=EA77,ET$44=1),0,
IF(AND(ET$44&gt;1,EB77=$N77),1-SUM($EN77:ES77),
IF($N77&lt;=1,
IF($N77&gt;0,1/$N77,0),
IF(ET$44=2,0,VDB(1,0,$N77,INT(ET$44-2-1),MIN($N77,INT(ET$44-2-1)+1),$DC77,IF($DD77="No",1,0))/
IF(EA77&gt;=INT($N77),$N77-INT($N77),1)))*
IF(ET$44=2,0,
IF(INT(EB77)=INT(EA77),EB77-EA77,INT(EB77)-EA77))+
IF($N77&lt;=1,
IF($N77&gt;0,1/$N77,0),VDB(1,0,$N77,INT(ET$44-2),MIN($N77,INT(ET$44-2)+1),$DC77,IF($DD77="No",1,0))/
IF(EB77&gt;INT($N77),$N77-INT($N77),1))*
IF(ET$44=2,EB77,
IF(INT(EB77)=INT(EA77),0,EB77-INT(EB77)))))</f>
        <v>0</v>
      </c>
      <c r="EU77" s="835">
        <f>+IF(OR(EC77=EB77,EU$44=1),0,
IF(AND(EU$44&gt;1,EC77=$N77),1-SUM($EN77:ET77),
IF($N77&lt;=1,
IF($N77&gt;0,1/$N77,0),
IF(EU$44=2,0,VDB(1,0,$N77,INT(EU$44-2-1),MIN($N77,INT(EU$44-2-1)+1),$DC77,IF($DD77="No",1,0))/
IF(EB77&gt;=INT($N77),$N77-INT($N77),1)))*
IF(EU$44=2,0,
IF(INT(EC77)=INT(EB77),EC77-EB77,INT(EC77)-EB77))+
IF($N77&lt;=1,
IF($N77&gt;0,1/$N77,0),VDB(1,0,$N77,INT(EU$44-2),MIN($N77,INT(EU$44-2)+1),$DC77,IF($DD77="No",1,0))/
IF(EC77&gt;INT($N77),$N77-INT($N77),1))*
IF(EU$44=2,EC77,
IF(INT(EC77)=INT(EB77),0,EC77-INT(EC77)))))</f>
        <v>0</v>
      </c>
      <c r="EV77" s="836">
        <f>+IF(OR(ED77=EC77,EV$44=1),0,
IF(AND(EV$44&gt;1,ED77=$N77),1-SUM($EN77:EU77),
IF($N77&lt;=1,
IF($N77&gt;0,1/$N77,0),
IF(EV$44=2,0,VDB(1,0,$N77,INT(EV$44-2-1),MIN($N77,INT(EV$44-2-1)+1),$DC77,IF($DD77="No",1,0))/
IF(EC77&gt;=INT($N77),$N77-INT($N77),1)))*
IF(EV$44=2,0,
IF(INT(ED77)=INT(EC77),ED77-EC77,INT(ED77)-EC77))+
IF($N77&lt;=1,
IF($N77&gt;0,1/$N77,0),VDB(1,0,$N77,INT(EV$44-2),MIN($N77,INT(EV$44-2)+1),$DC77,IF($DD77="No",1,0))/
IF(ED77&gt;INT($N77),$N77-INT($N77),1))*
IF(EV$44=2,ED77,
IF(INT(ED77)=INT(EC77),0,ED77-INT(ED77)))))</f>
        <v>0</v>
      </c>
      <c r="EW77" s="833"/>
      <c r="EX77" s="834">
        <f t="shared" ca="1" si="190"/>
        <v>0</v>
      </c>
      <c r="EY77" s="835">
        <f t="shared" ca="1" si="190"/>
        <v>0</v>
      </c>
      <c r="EZ77" s="836">
        <f t="shared" ca="1" si="190"/>
        <v>0</v>
      </c>
      <c r="FA77" s="834">
        <f t="shared" ca="1" si="190"/>
        <v>0</v>
      </c>
      <c r="FB77" s="835">
        <f t="shared" ca="1" si="190"/>
        <v>0</v>
      </c>
      <c r="FC77" s="835">
        <f t="shared" ca="1" si="190"/>
        <v>0</v>
      </c>
      <c r="FD77" s="835">
        <f t="shared" ca="1" si="190"/>
        <v>0</v>
      </c>
      <c r="FE77" s="836">
        <f t="shared" ca="1" si="190"/>
        <v>0</v>
      </c>
      <c r="FG77" s="386">
        <f t="shared" ca="1" si="237"/>
        <v>0</v>
      </c>
      <c r="FH77" s="387">
        <f t="shared" ca="1" si="238"/>
        <v>0</v>
      </c>
      <c r="FI77" s="388">
        <f t="shared" ca="1" si="239"/>
        <v>0</v>
      </c>
      <c r="FJ77" s="386">
        <f t="shared" ca="1" si="240"/>
        <v>0</v>
      </c>
      <c r="FK77" s="387">
        <f t="shared" ca="1" si="241"/>
        <v>0</v>
      </c>
      <c r="FL77" s="387">
        <f t="shared" ca="1" si="242"/>
        <v>0</v>
      </c>
      <c r="FM77" s="387">
        <f t="shared" ca="1" si="243"/>
        <v>0</v>
      </c>
      <c r="FN77" s="388">
        <f t="shared" ca="1" si="244"/>
        <v>0</v>
      </c>
      <c r="FR77" s="116"/>
    </row>
    <row r="78" spans="2:174">
      <c r="B78" s="1410">
        <f t="shared" si="135"/>
        <v>32</v>
      </c>
      <c r="C78" s="400" t="s">
        <v>557</v>
      </c>
      <c r="D78" s="410"/>
      <c r="E78" s="402" t="s">
        <v>401</v>
      </c>
      <c r="F78" s="402" t="s">
        <v>527</v>
      </c>
      <c r="G78" s="400" t="s">
        <v>515</v>
      </c>
      <c r="H78" s="2088" t="s">
        <v>483</v>
      </c>
      <c r="I78" s="2089"/>
      <c r="J78" s="411" t="s">
        <v>516</v>
      </c>
      <c r="K78" s="403" t="s">
        <v>544</v>
      </c>
      <c r="L78" s="403">
        <v>25</v>
      </c>
      <c r="M78" s="403" t="s">
        <v>142</v>
      </c>
      <c r="N78" s="403"/>
      <c r="O78" s="347"/>
      <c r="P78" s="347"/>
      <c r="Q78" s="1021">
        <v>0.84192924878048769</v>
      </c>
      <c r="R78" s="1022">
        <v>0.82139438905413442</v>
      </c>
      <c r="S78" s="1022">
        <v>0.80136037956500916</v>
      </c>
      <c r="T78" s="1022">
        <v>0.78181500445366758</v>
      </c>
      <c r="U78" s="1023">
        <v>0.76274634580845635</v>
      </c>
      <c r="V78" s="1021">
        <v>0</v>
      </c>
      <c r="W78" s="1022">
        <v>0</v>
      </c>
      <c r="X78" s="1022">
        <v>0</v>
      </c>
      <c r="Y78" s="1022">
        <v>0</v>
      </c>
      <c r="Z78" s="1023">
        <v>0</v>
      </c>
      <c r="AA78" s="1024"/>
      <c r="AB78" s="1021">
        <v>0</v>
      </c>
      <c r="AC78" s="1022">
        <v>0</v>
      </c>
      <c r="AD78" s="1022">
        <v>0</v>
      </c>
      <c r="AE78" s="1022">
        <v>0</v>
      </c>
      <c r="AF78" s="1023">
        <v>0</v>
      </c>
      <c r="AG78" s="1021">
        <v>0</v>
      </c>
      <c r="AH78" s="1022">
        <v>0</v>
      </c>
      <c r="AI78" s="1022">
        <v>0</v>
      </c>
      <c r="AJ78" s="1022">
        <v>0</v>
      </c>
      <c r="AK78" s="1023">
        <v>0</v>
      </c>
      <c r="AL78" s="1024"/>
      <c r="AM78" s="1021">
        <v>0</v>
      </c>
      <c r="AN78" s="1022">
        <v>0</v>
      </c>
      <c r="AO78" s="1022">
        <v>0</v>
      </c>
      <c r="AP78" s="1022">
        <v>0</v>
      </c>
      <c r="AQ78" s="1023">
        <v>0</v>
      </c>
      <c r="AR78" s="1021">
        <v>0</v>
      </c>
      <c r="AS78" s="1022">
        <v>0</v>
      </c>
      <c r="AT78" s="1022">
        <v>0</v>
      </c>
      <c r="AU78" s="1022">
        <v>0</v>
      </c>
      <c r="AV78" s="1023">
        <v>0</v>
      </c>
      <c r="AW78" s="1025"/>
      <c r="AX78" s="1282">
        <f t="shared" si="191"/>
        <v>0.84192924878048769</v>
      </c>
      <c r="AY78" s="387">
        <f t="shared" si="192"/>
        <v>0.82139438905413442</v>
      </c>
      <c r="AZ78" s="387">
        <f t="shared" si="193"/>
        <v>0.80136037956500916</v>
      </c>
      <c r="BA78" s="387">
        <f t="shared" si="194"/>
        <v>0.78181500445366758</v>
      </c>
      <c r="BB78" s="1283">
        <f t="shared" si="195"/>
        <v>0.76274634580845635</v>
      </c>
      <c r="BC78" s="386">
        <f t="shared" si="196"/>
        <v>0</v>
      </c>
      <c r="BD78" s="387">
        <f t="shared" si="197"/>
        <v>0</v>
      </c>
      <c r="BE78" s="1277">
        <f t="shared" si="198"/>
        <v>0</v>
      </c>
      <c r="BF78" s="1277">
        <f t="shared" si="199"/>
        <v>0</v>
      </c>
      <c r="BG78" s="388">
        <f t="shared" si="200"/>
        <v>0</v>
      </c>
      <c r="BH78" s="1025"/>
      <c r="BI78" s="1282">
        <f t="shared" ca="1" si="201"/>
        <v>1.6838584975609753E-2</v>
      </c>
      <c r="BJ78" s="387">
        <f t="shared" ca="1" si="202"/>
        <v>5.0105057732302193E-2</v>
      </c>
      <c r="BK78" s="387">
        <f t="shared" ca="1" si="203"/>
        <v>8.2560153104685063E-2</v>
      </c>
      <c r="BL78" s="387">
        <f t="shared" ca="1" si="204"/>
        <v>0.11422366078505859</v>
      </c>
      <c r="BM78" s="1283">
        <f t="shared" ca="1" si="205"/>
        <v>0.14511488779030107</v>
      </c>
      <c r="BN78" s="386">
        <f t="shared" ca="1" si="206"/>
        <v>0.16036981470647022</v>
      </c>
      <c r="BO78" s="387">
        <f t="shared" ca="1" si="207"/>
        <v>0.16036981470647022</v>
      </c>
      <c r="BP78" s="1277">
        <f t="shared" ca="1" si="208"/>
        <v>0.16036981470647022</v>
      </c>
      <c r="BQ78" s="1277">
        <f t="shared" ca="1" si="209"/>
        <v>0.16036981470647022</v>
      </c>
      <c r="BR78" s="388">
        <f t="shared" ca="1" si="210"/>
        <v>0.16036981470647022</v>
      </c>
      <c r="BS78" s="1025"/>
      <c r="BT78" s="1282">
        <f>+IF($K78="Ongoing",AX78,IF(RIGHT($K78,2)=RIGHT(BT$43,2),SUM($AX78:AX78),0)+IF(RIGHT(BT$43,2)&gt;RIGHT($K78,2),AX78,0))</f>
        <v>0.84192924878048769</v>
      </c>
      <c r="BU78" s="387">
        <f>+IF($K78="Ongoing",AY78,IF(RIGHT($K78,2)=RIGHT(BU$43,2),SUM($AX78:AY78),0)+IF(RIGHT(BU$43,2)&gt;RIGHT($K78,2),AY78,0))</f>
        <v>0.82139438905413442</v>
      </c>
      <c r="BV78" s="387">
        <f>+IF($K78="Ongoing",AZ78,IF(RIGHT($K78,2)=RIGHT(BV$43,2),SUM($AX78:AZ78),0)+IF(RIGHT(BV$43,2)&gt;RIGHT($K78,2),AZ78,0))</f>
        <v>0.80136037956500916</v>
      </c>
      <c r="BW78" s="387">
        <f>+IF($K78="Ongoing",BA78,IF(RIGHT($K78,2)=RIGHT(BW$43,2),SUM($AX78:BA78),0)+IF(RIGHT(BW$43,2)&gt;RIGHT($K78,2),BA78,0))</f>
        <v>0.78181500445366758</v>
      </c>
      <c r="BX78" s="1283">
        <f>+IF($K78="Ongoing",BB78,IF(RIGHT($K78,2)=RIGHT(BX$43,2),SUM($AX78:BB78),0)+IF(RIGHT(BX$43,2)&gt;RIGHT($K78,2),BB78,0))</f>
        <v>0.76274634580845635</v>
      </c>
      <c r="BY78" s="386">
        <f>+IF($K78="Ongoing",BC78,IF(RIGHT($K78,2)=RIGHT(BY$43,2),SUM($AX78:BC78),0)+IF(RIGHT(BY$43,2)&gt;RIGHT($K78,2),BC78,0))</f>
        <v>0</v>
      </c>
      <c r="BZ78" s="387">
        <f>+IF($K78="Ongoing",BD78,IF(RIGHT($K78,2)=RIGHT(BZ$43,2),SUM($AX78:BD78),0)+IF(RIGHT(BZ$43,2)&gt;RIGHT($K78,2),BD78,0))</f>
        <v>0</v>
      </c>
      <c r="CA78" s="1277">
        <f>+IF($K78="Ongoing",BE78,IF(RIGHT($K78,2)=RIGHT(CA$43,2),SUM($AX78:BE78),0)+IF(RIGHT(CA$43,2)&gt;RIGHT($K78,2),BE78,0))</f>
        <v>0</v>
      </c>
      <c r="CB78" s="1277">
        <f>+IF($K78="Ongoing",BF78,IF(RIGHT($K78,2)=RIGHT(CB$43,2),SUM($AX78:BF78),0)+IF(RIGHT(CB$43,2)&gt;RIGHT($K78,2),BF78,0))</f>
        <v>0</v>
      </c>
      <c r="CC78" s="388">
        <f>+IF($K78="Ongoing",BG78,IF(RIGHT($K78,2)=RIGHT(CC$43,2),SUM($AX78:BG78),0)+IF(RIGHT(CC$43,2)&gt;RIGHT($K78,2),BG78,0))</f>
        <v>0</v>
      </c>
      <c r="CD78" s="1025"/>
      <c r="CE78" s="1282">
        <f>+Q78*KeyAssumptionsPriceControl_FO!AF$15</f>
        <v>0.8663451969951218</v>
      </c>
      <c r="CF78" s="387">
        <f>+R78*KeyAssumptionsPriceControl_FO!AG$15</f>
        <v>0.86972605630046873</v>
      </c>
      <c r="CG78" s="387">
        <f>+S78*KeyAssumptionsPriceControl_FO!AH$15</f>
        <v>0.87312010920310457</v>
      </c>
      <c r="CH78" s="387">
        <f>+T78*KeyAssumptionsPriceControl_FO!AI$15</f>
        <v>0.87652740719023869</v>
      </c>
      <c r="CI78" s="1283">
        <f>+U78*KeyAssumptionsPriceControl_FO!AJ$15</f>
        <v>0.87994800195000566</v>
      </c>
      <c r="CJ78" s="386">
        <f>+V78*KeyAssumptionsPriceControl_FO!AK$15</f>
        <v>0</v>
      </c>
      <c r="CK78" s="387">
        <f>+W78*KeyAssumptionsPriceControl_FO!AL$15</f>
        <v>0</v>
      </c>
      <c r="CL78" s="1277">
        <f>+X78*KeyAssumptionsPriceControl_FO!AM$15</f>
        <v>0</v>
      </c>
      <c r="CM78" s="1277">
        <f>+Y78*KeyAssumptionsPriceControl_FO!AN$15</f>
        <v>0</v>
      </c>
      <c r="CN78" s="388">
        <f>+Z78*KeyAssumptionsPriceControl_FO!AO$15</f>
        <v>0</v>
      </c>
      <c r="CO78" s="1025"/>
      <c r="CP78" s="1282">
        <f t="shared" ca="1" si="211"/>
        <v>0</v>
      </c>
      <c r="CQ78" s="387">
        <f t="shared" ca="1" si="212"/>
        <v>0</v>
      </c>
      <c r="CR78" s="387">
        <f t="shared" ca="1" si="213"/>
        <v>0</v>
      </c>
      <c r="CS78" s="387">
        <f t="shared" ca="1" si="214"/>
        <v>0</v>
      </c>
      <c r="CT78" s="1283">
        <f t="shared" ca="1" si="215"/>
        <v>0</v>
      </c>
      <c r="CU78" s="386">
        <f t="shared" ca="1" si="216"/>
        <v>0</v>
      </c>
      <c r="CV78" s="387">
        <f t="shared" ca="1" si="217"/>
        <v>0</v>
      </c>
      <c r="CW78" s="1277">
        <f t="shared" ca="1" si="218"/>
        <v>0</v>
      </c>
      <c r="CX78" s="1277">
        <f t="shared" ca="1" si="219"/>
        <v>0</v>
      </c>
      <c r="CY78" s="388">
        <f t="shared" ca="1" si="220"/>
        <v>0</v>
      </c>
      <c r="CZ78" s="347"/>
      <c r="DA78" s="852"/>
      <c r="DB78" s="347"/>
      <c r="DC78" s="1012" t="s">
        <v>559</v>
      </c>
      <c r="DD78" s="841" t="s">
        <v>518</v>
      </c>
      <c r="DE78" s="386">
        <f>+IF($K78="ongoing",CE78,IF(RIGHT($K78,2)=RIGHT(DE$43,2),SUM($CD78:CE78),0)+IF(RIGHT(DE$43,2)&gt;RIGHT($K78,2),CE78,0))</f>
        <v>0.8663451969951218</v>
      </c>
      <c r="DF78" s="387">
        <f>+IF($K78="ongoing",CF78,IF(RIGHT($K78,2)=RIGHT(DF$43,2),SUM($CD78:CF78),0)+IF(RIGHT(DF$43,2)&gt;RIGHT($K78,2),CF78,0))</f>
        <v>0.86972605630046873</v>
      </c>
      <c r="DG78" s="388">
        <f>+IF($K78="ongoing",CG78,IF(RIGHT($K78,2)=RIGHT(DG$43,2),SUM($CD78:CG78),0)+IF(RIGHT(DG$43,2)&gt;RIGHT($K78,2),CG78,0))</f>
        <v>0.87312010920310457</v>
      </c>
      <c r="DH78" s="386">
        <f>+IF($K78="ongoing",CH78,IF(RIGHT($K78,2)=RIGHT(DH$43,2),SUM($CD78:CH78),0)+IF(RIGHT(DH$43,2)&gt;RIGHT($K78,2),CH78,0))</f>
        <v>0.87652740719023869</v>
      </c>
      <c r="DI78" s="387">
        <f>+IF($K78="ongoing",CI78,IF(RIGHT($K78,2)=RIGHT(DI$43,2),SUM($CD78:CI78),0)+IF(RIGHT(DI$43,2)&gt;RIGHT($K78,2),CI78,0))</f>
        <v>0.87994800195000566</v>
      </c>
      <c r="DJ78" s="387">
        <f>+IF($K78="ongoing",CJ78,IF(RIGHT($K78,2)=RIGHT(DJ$43,2),SUM($CD78:CJ78),0)+IF(RIGHT(DJ$43,2)&gt;RIGHT($K78,2),CJ78,0))</f>
        <v>0</v>
      </c>
      <c r="DK78" s="387">
        <f>+IF($K78="ongoing",CK78,IF(RIGHT($K78,2)=RIGHT(DK$43,2),SUM($CD78:CK78),0)+IF(RIGHT(DK$43,2)&gt;RIGHT($K78,2),CK78,0))</f>
        <v>0</v>
      </c>
      <c r="DL78" s="388">
        <f>+IF($K78="ongoing",CN78,IF(RIGHT($K78,2)=RIGHT(DL$43,2),SUM($CD78:CN78),0)+IF(RIGHT(DL$43,2)&gt;RIGHT($K78,2),CN78,0))</f>
        <v>0</v>
      </c>
      <c r="DM78" s="841"/>
      <c r="DN78" s="386">
        <f t="shared" si="221"/>
        <v>0.5</v>
      </c>
      <c r="DO78" s="387">
        <f t="shared" si="222"/>
        <v>1</v>
      </c>
      <c r="DP78" s="388">
        <f t="shared" si="223"/>
        <v>1</v>
      </c>
      <c r="DQ78" s="386">
        <f t="shared" si="224"/>
        <v>1</v>
      </c>
      <c r="DR78" s="387">
        <f t="shared" si="225"/>
        <v>1</v>
      </c>
      <c r="DS78" s="387">
        <f t="shared" si="226"/>
        <v>1</v>
      </c>
      <c r="DT78" s="387">
        <f t="shared" si="227"/>
        <v>1</v>
      </c>
      <c r="DU78" s="388">
        <f t="shared" si="228"/>
        <v>1</v>
      </c>
      <c r="DW78" s="386">
        <f t="shared" si="229"/>
        <v>0</v>
      </c>
      <c r="DX78" s="387">
        <f t="shared" si="230"/>
        <v>0.5</v>
      </c>
      <c r="DY78" s="388">
        <f t="shared" si="231"/>
        <v>1</v>
      </c>
      <c r="DZ78" s="386">
        <f t="shared" si="232"/>
        <v>1</v>
      </c>
      <c r="EA78" s="387">
        <f t="shared" si="233"/>
        <v>1</v>
      </c>
      <c r="EB78" s="387">
        <f t="shared" si="234"/>
        <v>1</v>
      </c>
      <c r="EC78" s="387">
        <f t="shared" si="235"/>
        <v>1</v>
      </c>
      <c r="ED78" s="388">
        <f t="shared" si="236"/>
        <v>1</v>
      </c>
      <c r="EF78" s="834">
        <f>+IF(DN78=DM78,0,
IF(AND(EF$44&gt;1,DN78=$N78),1-SUM($EE78:EE78),
IF($N78&lt;=1,
IF($N78&gt;0,1/$N78,0),
IF(EF$44=1,0,VDB(1,0,$N78,INT(EF$44-1-1),MIN($N78,INT(EF$44-1-1)+1),$DC78,IF($DD78="No",1,0))/
IF(DM78&gt;=INT($N78),$N78-INT($N78),1)))*
IF(EF$44=1,0,
IF(INT(DN78)=INT(DM78),DN78-DM78,INT(DN78)-DM78))+
IF($N78&lt;=1,
IF($N78&gt;0,1/$N78,0),VDB(1,0,$N78,INT(EF$44-1),MIN($N78,INT(EF$44-1)+1),$DC78,IF($DD78="No",1,0))/
IF(DN78&gt;INT($N78),$N78-INT($N78),1))*
IF(EF$44=1,DN78,
IF(INT(DN78)=INT(DM78),0,DN78-INT(DN78)))))</f>
        <v>0</v>
      </c>
      <c r="EG78" s="835">
        <f>+IF(DO78=DN78,0,
IF(AND(EG$44&gt;1,DO78=$N78),1-SUM($EE78:EF78),
IF($N78&lt;=1,
IF($N78&gt;0,1/$N78,0),
IF(EG$44=1,0,VDB(1,0,$N78,INT(EG$44-1-1),MIN($N78,INT(EG$44-1-1)+1),$DC78,IF($DD78="No",1,0))/
IF(DN78&gt;=INT($N78),$N78-INT($N78),1)))*
IF(EG$44=1,0,
IF(INT(DO78)=INT(DN78),DO78-DN78,INT(DO78)-DN78))+
IF($N78&lt;=1,
IF($N78&gt;0,1/$N78,0),VDB(1,0,$N78,INT(EG$44-1),MIN($N78,INT(EG$44-1)+1),$DC78,IF($DD78="No",1,0))/
IF(DO78&gt;INT($N78),$N78-INT($N78),1))*
IF(EG$44=1,DO78,
IF(INT(DO78)=INT(DN78),0,DO78-INT(DO78)))))</f>
        <v>0</v>
      </c>
      <c r="EH78" s="836">
        <f>+IF(DP78=DO78,0,
IF(AND(EH$44&gt;1,DP78=$N78),1-SUM($EE78:EG78),
IF($N78&lt;=1,
IF($N78&gt;0,1/$N78,0),
IF(EH$44=1,0,VDB(1,0,$N78,INT(EH$44-1-1),MIN($N78,INT(EH$44-1-1)+1),$DC78,IF($DD78="No",1,0))/
IF(DO78&gt;=INT($N78),$N78-INT($N78),1)))*
IF(EH$44=1,0,
IF(INT(DP78)=INT(DO78),DP78-DO78,INT(DP78)-DO78))+
IF($N78&lt;=1,
IF($N78&gt;0,1/$N78,0),VDB(1,0,$N78,INT(EH$44-1),MIN($N78,INT(EH$44-1)+1),$DC78,IF($DD78="No",1,0))/
IF(DP78&gt;INT($N78),$N78-INT($N78),1))*
IF(EH$44=1,DP78,
IF(INT(DP78)=INT(DO78),0,DP78-INT(DP78)))))</f>
        <v>0</v>
      </c>
      <c r="EI78" s="834">
        <f>+IF(DQ78=DP78,0,
IF(AND(EI$44&gt;1,DQ78=$N78),1-SUM($EE78:EH78),
IF($N78&lt;=1,
IF($N78&gt;0,1/$N78,0),
IF(EI$44=1,0,VDB(1,0,$N78,INT(EI$44-1-1),MIN($N78,INT(EI$44-1-1)+1),$DC78,IF($DD78="No",1,0))/
IF(DP78&gt;=INT($N78),$N78-INT($N78),1)))*
IF(EI$44=1,0,
IF(INT(DQ78)=INT(DP78),DQ78-DP78,INT(DQ78)-DP78))+
IF($N78&lt;=1,
IF($N78&gt;0,1/$N78,0),VDB(1,0,$N78,INT(EI$44-1),MIN($N78,INT(EI$44-1)+1),$DC78,IF($DD78="No",1,0))/
IF(DQ78&gt;INT($N78),$N78-INT($N78),1))*
IF(EI$44=1,DQ78,
IF(INT(DQ78)=INT(DP78),0,DQ78-INT(DQ78)))))</f>
        <v>0</v>
      </c>
      <c r="EJ78" s="835">
        <f>+IF(DR78=DQ78,0,
IF(AND(EJ$44&gt;1,DR78=$N78),1-SUM($EE78:EI78),
IF($N78&lt;=1,
IF($N78&gt;0,1/$N78,0),
IF(EJ$44=1,0,VDB(1,0,$N78,INT(EJ$44-1-1),MIN($N78,INT(EJ$44-1-1)+1),$DC78,IF($DD78="No",1,0))/
IF(DQ78&gt;=INT($N78),$N78-INT($N78),1)))*
IF(EJ$44=1,0,
IF(INT(DR78)=INT(DQ78),DR78-DQ78,INT(DR78)-DQ78))+
IF($N78&lt;=1,
IF($N78&gt;0,1/$N78,0),VDB(1,0,$N78,INT(EJ$44-1),MIN($N78,INT(EJ$44-1)+1),$DC78,IF($DD78="No",1,0))/
IF(DR78&gt;INT($N78),$N78-INT($N78),1))*
IF(EJ$44=1,DR78,
IF(INT(DR78)=INT(DQ78),0,DR78-INT(DR78)))))</f>
        <v>0</v>
      </c>
      <c r="EK78" s="835">
        <f>+IF(DS78=DR78,0,
IF(AND(EK$44&gt;1,DS78=$N78),1-SUM($EE78:EJ78),
IF($N78&lt;=1,
IF($N78&gt;0,1/$N78,0),
IF(EK$44=1,0,VDB(1,0,$N78,INT(EK$44-1-1),MIN($N78,INT(EK$44-1-1)+1),$DC78,IF($DD78="No",1,0))/
IF(DR78&gt;=INT($N78),$N78-INT($N78),1)))*
IF(EK$44=1,0,
IF(INT(DS78)=INT(DR78),DS78-DR78,INT(DS78)-DR78))+
IF($N78&lt;=1,
IF($N78&gt;0,1/$N78,0),VDB(1,0,$N78,INT(EK$44-1),MIN($N78,INT(EK$44-1)+1),$DC78,IF($DD78="No",1,0))/
IF(DS78&gt;INT($N78),$N78-INT($N78),1))*
IF(EK$44=1,DS78,
IF(INT(DS78)=INT(DR78),0,DS78-INT(DS78)))))</f>
        <v>0</v>
      </c>
      <c r="EL78" s="835">
        <f>+IF(DT78=DS78,0,
IF(AND(EL$44&gt;1,DT78=$N78),1-SUM($EE78:EK78),
IF($N78&lt;=1,
IF($N78&gt;0,1/$N78,0),
IF(EL$44=1,0,VDB(1,0,$N78,INT(EL$44-1-1),MIN($N78,INT(EL$44-1-1)+1),$DC78,IF($DD78="No",1,0))/
IF(DS78&gt;=INT($N78),$N78-INT($N78),1)))*
IF(EL$44=1,0,
IF(INT(DT78)=INT(DS78),DT78-DS78,INT(DT78)-DS78))+
IF($N78&lt;=1,
IF($N78&gt;0,1/$N78,0),VDB(1,0,$N78,INT(EL$44-1),MIN($N78,INT(EL$44-1)+1),$DC78,IF($DD78="No",1,0))/
IF(DT78&gt;INT($N78),$N78-INT($N78),1))*
IF(EL$44=1,DT78,
IF(INT(DT78)=INT(DS78),0,DT78-INT(DT78)))))</f>
        <v>0</v>
      </c>
      <c r="EM78" s="836">
        <f>+IF(DU78=DT78,0,
IF(AND(EM$44&gt;1,DU78=$N78),1-SUM($EE78:EL78),
IF($N78&lt;=1,
IF($N78&gt;0,1/$N78,0),
IF(EM$44=1,0,VDB(1,0,$N78,INT(EM$44-1-1),MIN($N78,INT(EM$44-1-1)+1),$DC78,IF($DD78="No",1,0))/
IF(DT78&gt;=INT($N78),$N78-INT($N78),1)))*
IF(EM$44=1,0,
IF(INT(DU78)=INT(DT78),DU78-DT78,INT(DU78)-DT78))+
IF($N78&lt;=1,
IF($N78&gt;0,1/$N78,0),VDB(1,0,$N78,INT(EM$44-1),MIN($N78,INT(EM$44-1)+1),$DC78,IF($DD78="No",1,0))/
IF(DU78&gt;INT($N78),$N78-INT($N78),1))*
IF(EM$44=1,DU78,
IF(INT(DU78)=INT(DT78),0,DU78-INT(DU78)))))</f>
        <v>0</v>
      </c>
      <c r="EN78" s="833"/>
      <c r="EO78" s="834">
        <f>+IF(OR(DW78=DV78,EO$44=1),0,
IF(AND(EO$44&gt;1,DW78=$N78),1-SUM($EN78:EN78),
IF($N78&lt;=1,
IF($N78&gt;0,1/$N78,0),
IF(EO$44=2,0,VDB(1,0,$N78,INT(EO$44-2-1),MIN($N78,INT(EO$44-2-1)+1),$DC78,IF($DD78="No",1,0))/
IF(DV78&gt;=INT($N78),$N78-INT($N78),1)))*
IF(EO$44=2,0,
IF(INT(DW78)=INT(DV78),DW78-DV78,INT(DW78)-DV78))+
IF($N78&lt;=1,
IF($N78&gt;0,1/$N78,0),VDB(1,0,$N78,INT(EO$44-2),MIN($N78,INT(EO$44-2)+1),$DC78,IF($DD78="No",1,0))/
IF(DW78&gt;INT($N78),$N78-INT($N78),1))*
IF(EO$44=2,DW78,
IF(INT(DW78)=INT(DV78),0,DW78-INT(DW78)))))</f>
        <v>0</v>
      </c>
      <c r="EP78" s="835">
        <f>+IF(OR(DX78=DW78,EP$44=1),0,
IF(AND(EP$44&gt;1,DX78=$N78),1-SUM($EN78:EO78),
IF($N78&lt;=1,
IF($N78&gt;0,1/$N78,0),
IF(EP$44=2,0,VDB(1,0,$N78,INT(EP$44-2-1),MIN($N78,INT(EP$44-2-1)+1),$DC78,IF($DD78="No",1,0))/
IF(DW78&gt;=INT($N78),$N78-INT($N78),1)))*
IF(EP$44=2,0,
IF(INT(DX78)=INT(DW78),DX78-DW78,INT(DX78)-DW78))+
IF($N78&lt;=1,
IF($N78&gt;0,1/$N78,0),VDB(1,0,$N78,INT(EP$44-2),MIN($N78,INT(EP$44-2)+1),$DC78,IF($DD78="No",1,0))/
IF(DX78&gt;INT($N78),$N78-INT($N78),1))*
IF(EP$44=2,DX78,
IF(INT(DX78)=INT(DW78),0,DX78-INT(DX78)))))</f>
        <v>0</v>
      </c>
      <c r="EQ78" s="836">
        <f>+IF(OR(DY78=DX78,EQ$44=1),0,
IF(AND(EQ$44&gt;1,DY78=$N78),1-SUM($EN78:EP78),
IF($N78&lt;=1,
IF($N78&gt;0,1/$N78,0),
IF(EQ$44=2,0,VDB(1,0,$N78,INT(EQ$44-2-1),MIN($N78,INT(EQ$44-2-1)+1),$DC78,IF($DD78="No",1,0))/
IF(DX78&gt;=INT($N78),$N78-INT($N78),1)))*
IF(EQ$44=2,0,
IF(INT(DY78)=INT(DX78),DY78-DX78,INT(DY78)-DX78))+
IF($N78&lt;=1,
IF($N78&gt;0,1/$N78,0),VDB(1,0,$N78,INT(EQ$44-2),MIN($N78,INT(EQ$44-2)+1),$DC78,IF($DD78="No",1,0))/
IF(DY78&gt;INT($N78),$N78-INT($N78),1))*
IF(EQ$44=2,DY78,
IF(INT(DY78)=INT(DX78),0,DY78-INT(DY78)))))</f>
        <v>0</v>
      </c>
      <c r="ER78" s="834">
        <f>+IF(OR(DZ78=DY78,ER$44=1),0,
IF(AND(ER$44&gt;1,DZ78=$N78),1-SUM($EN78:EQ78),
IF($N78&lt;=1,
IF($N78&gt;0,1/$N78,0),
IF(ER$44=2,0,VDB(1,0,$N78,INT(ER$44-2-1),MIN($N78,INT(ER$44-2-1)+1),$DC78,IF($DD78="No",1,0))/
IF(DY78&gt;=INT($N78),$N78-INT($N78),1)))*
IF(ER$44=2,0,
IF(INT(DZ78)=INT(DY78),DZ78-DY78,INT(DZ78)-DY78))+
IF($N78&lt;=1,
IF($N78&gt;0,1/$N78,0),VDB(1,0,$N78,INT(ER$44-2),MIN($N78,INT(ER$44-2)+1),$DC78,IF($DD78="No",1,0))/
IF(DZ78&gt;INT($N78),$N78-INT($N78),1))*
IF(ER$44=2,DZ78,
IF(INT(DZ78)=INT(DY78),0,DZ78-INT(DZ78)))))</f>
        <v>0</v>
      </c>
      <c r="ES78" s="835">
        <f>+IF(OR(EA78=DZ78,ES$44=1),0,
IF(AND(ES$44&gt;1,EA78=$N78),1-SUM($EN78:ER78),
IF($N78&lt;=1,
IF($N78&gt;0,1/$N78,0),
IF(ES$44=2,0,VDB(1,0,$N78,INT(ES$44-2-1),MIN($N78,INT(ES$44-2-1)+1),$DC78,IF($DD78="No",1,0))/
IF(DZ78&gt;=INT($N78),$N78-INT($N78),1)))*
IF(ES$44=2,0,
IF(INT(EA78)=INT(DZ78),EA78-DZ78,INT(EA78)-DZ78))+
IF($N78&lt;=1,
IF($N78&gt;0,1/$N78,0),VDB(1,0,$N78,INT(ES$44-2),MIN($N78,INT(ES$44-2)+1),$DC78,IF($DD78="No",1,0))/
IF(EA78&gt;INT($N78),$N78-INT($N78),1))*
IF(ES$44=2,EA78,
IF(INT(EA78)=INT(DZ78),0,EA78-INT(EA78)))))</f>
        <v>0</v>
      </c>
      <c r="ET78" s="835">
        <f>+IF(OR(EB78=EA78,ET$44=1),0,
IF(AND(ET$44&gt;1,EB78=$N78),1-SUM($EN78:ES78),
IF($N78&lt;=1,
IF($N78&gt;0,1/$N78,0),
IF(ET$44=2,0,VDB(1,0,$N78,INT(ET$44-2-1),MIN($N78,INT(ET$44-2-1)+1),$DC78,IF($DD78="No",1,0))/
IF(EA78&gt;=INT($N78),$N78-INT($N78),1)))*
IF(ET$44=2,0,
IF(INT(EB78)=INT(EA78),EB78-EA78,INT(EB78)-EA78))+
IF($N78&lt;=1,
IF($N78&gt;0,1/$N78,0),VDB(1,0,$N78,INT(ET$44-2),MIN($N78,INT(ET$44-2)+1),$DC78,IF($DD78="No",1,0))/
IF(EB78&gt;INT($N78),$N78-INT($N78),1))*
IF(ET$44=2,EB78,
IF(INT(EB78)=INT(EA78),0,EB78-INT(EB78)))))</f>
        <v>0</v>
      </c>
      <c r="EU78" s="835">
        <f>+IF(OR(EC78=EB78,EU$44=1),0,
IF(AND(EU$44&gt;1,EC78=$N78),1-SUM($EN78:ET78),
IF($N78&lt;=1,
IF($N78&gt;0,1/$N78,0),
IF(EU$44=2,0,VDB(1,0,$N78,INT(EU$44-2-1),MIN($N78,INT(EU$44-2-1)+1),$DC78,IF($DD78="No",1,0))/
IF(EB78&gt;=INT($N78),$N78-INT($N78),1)))*
IF(EU$44=2,0,
IF(INT(EC78)=INT(EB78),EC78-EB78,INT(EC78)-EB78))+
IF($N78&lt;=1,
IF($N78&gt;0,1/$N78,0),VDB(1,0,$N78,INT(EU$44-2),MIN($N78,INT(EU$44-2)+1),$DC78,IF($DD78="No",1,0))/
IF(EC78&gt;INT($N78),$N78-INT($N78),1))*
IF(EU$44=2,EC78,
IF(INT(EC78)=INT(EB78),0,EC78-INT(EC78)))))</f>
        <v>0</v>
      </c>
      <c r="EV78" s="836">
        <f>+IF(OR(ED78=EC78,EV$44=1),0,
IF(AND(EV$44&gt;1,ED78=$N78),1-SUM($EN78:EU78),
IF($N78&lt;=1,
IF($N78&gt;0,1/$N78,0),
IF(EV$44=2,0,VDB(1,0,$N78,INT(EV$44-2-1),MIN($N78,INT(EV$44-2-1)+1),$DC78,IF($DD78="No",1,0))/
IF(EC78&gt;=INT($N78),$N78-INT($N78),1)))*
IF(EV$44=2,0,
IF(INT(ED78)=INT(EC78),ED78-EC78,INT(ED78)-EC78))+
IF($N78&lt;=1,
IF($N78&gt;0,1/$N78,0),VDB(1,0,$N78,INT(EV$44-2),MIN($N78,INT(EV$44-2)+1),$DC78,IF($DD78="No",1,0))/
IF(ED78&gt;INT($N78),$N78-INT($N78),1))*
IF(EV$44=2,ED78,
IF(INT(ED78)=INT(EC78),0,ED78-INT(ED78)))))</f>
        <v>0</v>
      </c>
      <c r="EW78" s="833"/>
      <c r="EX78" s="834">
        <f t="shared" ca="1" si="190"/>
        <v>0</v>
      </c>
      <c r="EY78" s="835">
        <f t="shared" ca="1" si="190"/>
        <v>0</v>
      </c>
      <c r="EZ78" s="836">
        <f t="shared" ca="1" si="190"/>
        <v>0</v>
      </c>
      <c r="FA78" s="834">
        <f t="shared" ca="1" si="190"/>
        <v>0</v>
      </c>
      <c r="FB78" s="835">
        <f t="shared" ca="1" si="190"/>
        <v>0</v>
      </c>
      <c r="FC78" s="835">
        <f t="shared" ca="1" si="190"/>
        <v>0</v>
      </c>
      <c r="FD78" s="835">
        <f t="shared" ca="1" si="190"/>
        <v>0</v>
      </c>
      <c r="FE78" s="836">
        <f t="shared" ca="1" si="190"/>
        <v>0</v>
      </c>
      <c r="FG78" s="386">
        <f t="shared" ca="1" si="237"/>
        <v>0</v>
      </c>
      <c r="FH78" s="387">
        <f t="shared" ca="1" si="238"/>
        <v>0</v>
      </c>
      <c r="FI78" s="388">
        <f t="shared" ca="1" si="239"/>
        <v>0</v>
      </c>
      <c r="FJ78" s="386">
        <f t="shared" ca="1" si="240"/>
        <v>0</v>
      </c>
      <c r="FK78" s="387">
        <f t="shared" ca="1" si="241"/>
        <v>0</v>
      </c>
      <c r="FL78" s="387">
        <f t="shared" ca="1" si="242"/>
        <v>0</v>
      </c>
      <c r="FM78" s="387">
        <f t="shared" ca="1" si="243"/>
        <v>0</v>
      </c>
      <c r="FN78" s="388">
        <f t="shared" ca="1" si="244"/>
        <v>0</v>
      </c>
      <c r="FR78" s="116"/>
    </row>
    <row r="79" spans="2:174">
      <c r="B79" s="1410">
        <f t="shared" si="135"/>
        <v>33</v>
      </c>
      <c r="C79" s="400" t="s">
        <v>557</v>
      </c>
      <c r="D79" s="410"/>
      <c r="E79" s="402" t="s">
        <v>401</v>
      </c>
      <c r="F79" s="402" t="s">
        <v>527</v>
      </c>
      <c r="G79" s="400" t="s">
        <v>515</v>
      </c>
      <c r="H79" s="2088" t="s">
        <v>483</v>
      </c>
      <c r="I79" s="2089"/>
      <c r="J79" s="411" t="s">
        <v>516</v>
      </c>
      <c r="K79" s="403" t="s">
        <v>544</v>
      </c>
      <c r="L79" s="403">
        <v>100</v>
      </c>
      <c r="M79" s="403" t="s">
        <v>142</v>
      </c>
      <c r="N79" s="403"/>
      <c r="O79" s="347"/>
      <c r="P79" s="347"/>
      <c r="Q79" s="1021">
        <v>8.4113839024390238</v>
      </c>
      <c r="R79" s="1022">
        <v>9.4344212787626418</v>
      </c>
      <c r="S79" s="1022">
        <v>10.054802064972945</v>
      </c>
      <c r="T79" s="1022">
        <v>10.639307987561585</v>
      </c>
      <c r="U79" s="1023">
        <v>11.520312042546614</v>
      </c>
      <c r="V79" s="1021">
        <v>10.821010797266002</v>
      </c>
      <c r="W79" s="1022">
        <v>8.4811700391707987</v>
      </c>
      <c r="X79" s="1022">
        <v>8.5052768843367357</v>
      </c>
      <c r="Y79" s="1022">
        <v>7.8186704506173248</v>
      </c>
      <c r="Z79" s="1023">
        <v>10.880474311752604</v>
      </c>
      <c r="AA79" s="1024"/>
      <c r="AB79" s="1021">
        <v>0</v>
      </c>
      <c r="AC79" s="1022">
        <v>0</v>
      </c>
      <c r="AD79" s="1022">
        <v>0</v>
      </c>
      <c r="AE79" s="1022">
        <v>0</v>
      </c>
      <c r="AF79" s="1023">
        <v>0</v>
      </c>
      <c r="AG79" s="1021">
        <v>0</v>
      </c>
      <c r="AH79" s="1022">
        <v>0</v>
      </c>
      <c r="AI79" s="1022">
        <v>0</v>
      </c>
      <c r="AJ79" s="1022">
        <v>0</v>
      </c>
      <c r="AK79" s="1023">
        <v>0</v>
      </c>
      <c r="AL79" s="1024"/>
      <c r="AM79" s="1021">
        <v>0</v>
      </c>
      <c r="AN79" s="1022">
        <v>0</v>
      </c>
      <c r="AO79" s="1022">
        <v>0</v>
      </c>
      <c r="AP79" s="1022">
        <v>0</v>
      </c>
      <c r="AQ79" s="1023">
        <v>0</v>
      </c>
      <c r="AR79" s="1021">
        <v>0</v>
      </c>
      <c r="AS79" s="1022">
        <v>0</v>
      </c>
      <c r="AT79" s="1022">
        <v>0</v>
      </c>
      <c r="AU79" s="1022">
        <v>0</v>
      </c>
      <c r="AV79" s="1023">
        <v>0</v>
      </c>
      <c r="AW79" s="1025"/>
      <c r="AX79" s="1282">
        <f t="shared" si="191"/>
        <v>8.4113839024390238</v>
      </c>
      <c r="AY79" s="387">
        <f t="shared" si="192"/>
        <v>9.4344212787626418</v>
      </c>
      <c r="AZ79" s="387">
        <f t="shared" si="193"/>
        <v>10.054802064972945</v>
      </c>
      <c r="BA79" s="387">
        <f t="shared" si="194"/>
        <v>10.639307987561585</v>
      </c>
      <c r="BB79" s="1283">
        <f t="shared" si="195"/>
        <v>11.520312042546614</v>
      </c>
      <c r="BC79" s="386">
        <f t="shared" si="196"/>
        <v>10.821010797266002</v>
      </c>
      <c r="BD79" s="387">
        <f t="shared" si="197"/>
        <v>8.4811700391707987</v>
      </c>
      <c r="BE79" s="1277">
        <f t="shared" si="198"/>
        <v>8.5052768843367357</v>
      </c>
      <c r="BF79" s="1277">
        <f t="shared" si="199"/>
        <v>7.8186704506173248</v>
      </c>
      <c r="BG79" s="388">
        <f t="shared" si="200"/>
        <v>10.880474311752604</v>
      </c>
      <c r="BH79" s="1025"/>
      <c r="BI79" s="1282">
        <f t="shared" ca="1" si="201"/>
        <v>4.2056919512195118E-2</v>
      </c>
      <c r="BJ79" s="387">
        <f t="shared" ca="1" si="202"/>
        <v>0.13128594541820343</v>
      </c>
      <c r="BK79" s="387">
        <f t="shared" ca="1" si="203"/>
        <v>0.22873206213688138</v>
      </c>
      <c r="BL79" s="387">
        <f t="shared" ca="1" si="204"/>
        <v>0.33220261239955401</v>
      </c>
      <c r="BM79" s="1283">
        <f t="shared" ca="1" si="205"/>
        <v>0.44300071255009499</v>
      </c>
      <c r="BN79" s="386">
        <f t="shared" ca="1" si="206"/>
        <v>0.55470732674915812</v>
      </c>
      <c r="BO79" s="387">
        <f t="shared" ca="1" si="207"/>
        <v>0.65121823093134212</v>
      </c>
      <c r="BP79" s="1277">
        <f t="shared" ca="1" si="208"/>
        <v>0.73615046554887975</v>
      </c>
      <c r="BQ79" s="1277">
        <f t="shared" ca="1" si="209"/>
        <v>0.81777020222365004</v>
      </c>
      <c r="BR79" s="388">
        <f t="shared" ca="1" si="210"/>
        <v>0.91126592603549972</v>
      </c>
      <c r="BS79" s="1025"/>
      <c r="BT79" s="1282">
        <f>+IF($K79="Ongoing",AX79,IF(RIGHT($K79,2)=RIGHT(BT$43,2),SUM($AX79:AX79),0)+IF(RIGHT(BT$43,2)&gt;RIGHT($K79,2),AX79,0))</f>
        <v>8.4113839024390238</v>
      </c>
      <c r="BU79" s="387">
        <f>+IF($K79="Ongoing",AY79,IF(RIGHT($K79,2)=RIGHT(BU$43,2),SUM($AX79:AY79),0)+IF(RIGHT(BU$43,2)&gt;RIGHT($K79,2),AY79,0))</f>
        <v>9.4344212787626418</v>
      </c>
      <c r="BV79" s="387">
        <f>+IF($K79="Ongoing",AZ79,IF(RIGHT($K79,2)=RIGHT(BV$43,2),SUM($AX79:AZ79),0)+IF(RIGHT(BV$43,2)&gt;RIGHT($K79,2),AZ79,0))</f>
        <v>10.054802064972945</v>
      </c>
      <c r="BW79" s="387">
        <f>+IF($K79="Ongoing",BA79,IF(RIGHT($K79,2)=RIGHT(BW$43,2),SUM($AX79:BA79),0)+IF(RIGHT(BW$43,2)&gt;RIGHT($K79,2),BA79,0))</f>
        <v>10.639307987561585</v>
      </c>
      <c r="BX79" s="1283">
        <f>+IF($K79="Ongoing",BB79,IF(RIGHT($K79,2)=RIGHT(BX$43,2),SUM($AX79:BB79),0)+IF(RIGHT(BX$43,2)&gt;RIGHT($K79,2),BB79,0))</f>
        <v>11.520312042546614</v>
      </c>
      <c r="BY79" s="386">
        <f>+IF($K79="Ongoing",BC79,IF(RIGHT($K79,2)=RIGHT(BY$43,2),SUM($AX79:BC79),0)+IF(RIGHT(BY$43,2)&gt;RIGHT($K79,2),BC79,0))</f>
        <v>10.821010797266002</v>
      </c>
      <c r="BZ79" s="387">
        <f>+IF($K79="Ongoing",BD79,IF(RIGHT($K79,2)=RIGHT(BZ$43,2),SUM($AX79:BD79),0)+IF(RIGHT(BZ$43,2)&gt;RIGHT($K79,2),BD79,0))</f>
        <v>8.4811700391707987</v>
      </c>
      <c r="CA79" s="1277">
        <f>+IF($K79="Ongoing",BE79,IF(RIGHT($K79,2)=RIGHT(CA$43,2),SUM($AX79:BE79),0)+IF(RIGHT(CA$43,2)&gt;RIGHT($K79,2),BE79,0))</f>
        <v>8.5052768843367357</v>
      </c>
      <c r="CB79" s="1277">
        <f>+IF($K79="Ongoing",BF79,IF(RIGHT($K79,2)=RIGHT(CB$43,2),SUM($AX79:BF79),0)+IF(RIGHT(CB$43,2)&gt;RIGHT($K79,2),BF79,0))</f>
        <v>7.8186704506173248</v>
      </c>
      <c r="CC79" s="388">
        <f>+IF($K79="Ongoing",BG79,IF(RIGHT($K79,2)=RIGHT(CC$43,2),SUM($AX79:BG79),0)+IF(RIGHT(CC$43,2)&gt;RIGHT($K79,2),BG79,0))</f>
        <v>10.880474311752604</v>
      </c>
      <c r="CD79" s="1025"/>
      <c r="CE79" s="1282">
        <f>+Q79*KeyAssumptionsPriceControl_FO!AF$15</f>
        <v>8.655314035609754</v>
      </c>
      <c r="CF79" s="387">
        <f>+R79*KeyAssumptionsPriceControl_FO!AG$15</f>
        <v>9.9895520612263144</v>
      </c>
      <c r="CG79" s="387">
        <f>+S79*KeyAssumptionsPriceControl_FO!AH$15</f>
        <v>10.955183336803078</v>
      </c>
      <c r="CH79" s="387">
        <f>+T79*KeyAssumptionsPriceControl_FO!AI$15</f>
        <v>11.92819911553439</v>
      </c>
      <c r="CI79" s="1283">
        <f>+U79*KeyAssumptionsPriceControl_FO!AJ$15</f>
        <v>13.290493778681689</v>
      </c>
      <c r="CJ79" s="386">
        <f>+V79*KeyAssumptionsPriceControl_FO!AK$15</f>
        <v>12.845768140419327</v>
      </c>
      <c r="CK79" s="387">
        <f>+W79*KeyAssumptionsPriceControl_FO!AL$15</f>
        <v>10.360086793701448</v>
      </c>
      <c r="CL79" s="1277">
        <f>+X79*KeyAssumptionsPriceControl_FO!AM$15</f>
        <v>10.690830758313108</v>
      </c>
      <c r="CM79" s="1277">
        <f>+Y79*KeyAssumptionsPriceControl_FO!AN$15</f>
        <v>10.112796809085372</v>
      </c>
      <c r="CN79" s="388">
        <f>+Z79*KeyAssumptionsPriceControl_FO!AO$15</f>
        <v>14.481100766105717</v>
      </c>
      <c r="CO79" s="1025"/>
      <c r="CP79" s="1282">
        <f t="shared" ca="1" si="211"/>
        <v>0</v>
      </c>
      <c r="CQ79" s="387">
        <f t="shared" ca="1" si="212"/>
        <v>0</v>
      </c>
      <c r="CR79" s="387">
        <f t="shared" ca="1" si="213"/>
        <v>0</v>
      </c>
      <c r="CS79" s="387">
        <f t="shared" ca="1" si="214"/>
        <v>0</v>
      </c>
      <c r="CT79" s="1283">
        <f t="shared" ca="1" si="215"/>
        <v>0</v>
      </c>
      <c r="CU79" s="386">
        <f t="shared" ca="1" si="216"/>
        <v>0</v>
      </c>
      <c r="CV79" s="387">
        <f t="shared" ca="1" si="217"/>
        <v>0</v>
      </c>
      <c r="CW79" s="1277">
        <f t="shared" ca="1" si="218"/>
        <v>0</v>
      </c>
      <c r="CX79" s="1277">
        <f t="shared" ca="1" si="219"/>
        <v>0</v>
      </c>
      <c r="CY79" s="388">
        <f t="shared" ca="1" si="220"/>
        <v>0</v>
      </c>
      <c r="CZ79" s="347"/>
      <c r="DA79" s="852"/>
      <c r="DB79" s="347"/>
      <c r="DC79" s="1012" t="s">
        <v>560</v>
      </c>
      <c r="DD79" s="841" t="s">
        <v>518</v>
      </c>
      <c r="DE79" s="386">
        <f>+IF($K79="ongoing",CE79,IF(RIGHT($K79,2)=RIGHT(DE$43,2),SUM($CD79:CE79),0)+IF(RIGHT(DE$43,2)&gt;RIGHT($K79,2),CE79,0))</f>
        <v>8.655314035609754</v>
      </c>
      <c r="DF79" s="387">
        <f>+IF($K79="ongoing",CF79,IF(RIGHT($K79,2)=RIGHT(DF$43,2),SUM($CD79:CF79),0)+IF(RIGHT(DF$43,2)&gt;RIGHT($K79,2),CF79,0))</f>
        <v>9.9895520612263144</v>
      </c>
      <c r="DG79" s="388">
        <f>+IF($K79="ongoing",CG79,IF(RIGHT($K79,2)=RIGHT(DG$43,2),SUM($CD79:CG79),0)+IF(RIGHT(DG$43,2)&gt;RIGHT($K79,2),CG79,0))</f>
        <v>10.955183336803078</v>
      </c>
      <c r="DH79" s="386">
        <f>+IF($K79="ongoing",CH79,IF(RIGHT($K79,2)=RIGHT(DH$43,2),SUM($CD79:CH79),0)+IF(RIGHT(DH$43,2)&gt;RIGHT($K79,2),CH79,0))</f>
        <v>11.92819911553439</v>
      </c>
      <c r="DI79" s="387">
        <f>+IF($K79="ongoing",CI79,IF(RIGHT($K79,2)=RIGHT(DI$43,2),SUM($CD79:CI79),0)+IF(RIGHT(DI$43,2)&gt;RIGHT($K79,2),CI79,0))</f>
        <v>13.290493778681689</v>
      </c>
      <c r="DJ79" s="387">
        <f>+IF($K79="ongoing",CJ79,IF(RIGHT($K79,2)=RIGHT(DJ$43,2),SUM($CD79:CJ79),0)+IF(RIGHT(DJ$43,2)&gt;RIGHT($K79,2),CJ79,0))</f>
        <v>12.845768140419327</v>
      </c>
      <c r="DK79" s="387">
        <f>+IF($K79="ongoing",CK79,IF(RIGHT($K79,2)=RIGHT(DK$43,2),SUM($CD79:CK79),0)+IF(RIGHT(DK$43,2)&gt;RIGHT($K79,2),CK79,0))</f>
        <v>10.360086793701448</v>
      </c>
      <c r="DL79" s="388">
        <f>+IF($K79="ongoing",CN79,IF(RIGHT($K79,2)=RIGHT(DL$43,2),SUM($CD79:CN79),0)+IF(RIGHT(DL$43,2)&gt;RIGHT($K79,2),CN79,0))</f>
        <v>14.481100766105717</v>
      </c>
      <c r="DM79" s="841"/>
      <c r="DN79" s="386">
        <f t="shared" si="221"/>
        <v>0.5</v>
      </c>
      <c r="DO79" s="387">
        <f t="shared" si="222"/>
        <v>1</v>
      </c>
      <c r="DP79" s="388">
        <f t="shared" si="223"/>
        <v>1</v>
      </c>
      <c r="DQ79" s="386">
        <f t="shared" si="224"/>
        <v>1</v>
      </c>
      <c r="DR79" s="387">
        <f t="shared" si="225"/>
        <v>1</v>
      </c>
      <c r="DS79" s="387">
        <f t="shared" si="226"/>
        <v>1</v>
      </c>
      <c r="DT79" s="387">
        <f t="shared" si="227"/>
        <v>1</v>
      </c>
      <c r="DU79" s="388">
        <f t="shared" si="228"/>
        <v>1</v>
      </c>
      <c r="DW79" s="386">
        <f t="shared" si="229"/>
        <v>0</v>
      </c>
      <c r="DX79" s="387">
        <f t="shared" si="230"/>
        <v>0.5</v>
      </c>
      <c r="DY79" s="388">
        <f t="shared" si="231"/>
        <v>1</v>
      </c>
      <c r="DZ79" s="386">
        <f t="shared" si="232"/>
        <v>1</v>
      </c>
      <c r="EA79" s="387">
        <f t="shared" si="233"/>
        <v>1</v>
      </c>
      <c r="EB79" s="387">
        <f t="shared" si="234"/>
        <v>1</v>
      </c>
      <c r="EC79" s="387">
        <f t="shared" si="235"/>
        <v>1</v>
      </c>
      <c r="ED79" s="388">
        <f t="shared" si="236"/>
        <v>1</v>
      </c>
      <c r="EF79" s="834">
        <f>+IF(DN79=DM79,0,
IF(AND(EF$44&gt;1,DN79=$N79),1-SUM($EE79:EE79),
IF($N79&lt;=1,
IF($N79&gt;0,1/$N79,0),
IF(EF$44=1,0,VDB(1,0,$N79,INT(EF$44-1-1),MIN($N79,INT(EF$44-1-1)+1),$DC79,IF($DD79="No",1,0))/
IF(DM79&gt;=INT($N79),$N79-INT($N79),1)))*
IF(EF$44=1,0,
IF(INT(DN79)=INT(DM79),DN79-DM79,INT(DN79)-DM79))+
IF($N79&lt;=1,
IF($N79&gt;0,1/$N79,0),VDB(1,0,$N79,INT(EF$44-1),MIN($N79,INT(EF$44-1)+1),$DC79,IF($DD79="No",1,0))/
IF(DN79&gt;INT($N79),$N79-INT($N79),1))*
IF(EF$44=1,DN79,
IF(INT(DN79)=INT(DM79),0,DN79-INT(DN79)))))</f>
        <v>0</v>
      </c>
      <c r="EG79" s="835">
        <f>+IF(DO79=DN79,0,
IF(AND(EG$44&gt;1,DO79=$N79),1-SUM($EE79:EF79),
IF($N79&lt;=1,
IF($N79&gt;0,1/$N79,0),
IF(EG$44=1,0,VDB(1,0,$N79,INT(EG$44-1-1),MIN($N79,INT(EG$44-1-1)+1),$DC79,IF($DD79="No",1,0))/
IF(DN79&gt;=INT($N79),$N79-INT($N79),1)))*
IF(EG$44=1,0,
IF(INT(DO79)=INT(DN79),DO79-DN79,INT(DO79)-DN79))+
IF($N79&lt;=1,
IF($N79&gt;0,1/$N79,0),VDB(1,0,$N79,INT(EG$44-1),MIN($N79,INT(EG$44-1)+1),$DC79,IF($DD79="No",1,0))/
IF(DO79&gt;INT($N79),$N79-INT($N79),1))*
IF(EG$44=1,DO79,
IF(INT(DO79)=INT(DN79),0,DO79-INT(DO79)))))</f>
        <v>0</v>
      </c>
      <c r="EH79" s="836">
        <f>+IF(DP79=DO79,0,
IF(AND(EH$44&gt;1,DP79=$N79),1-SUM($EE79:EG79),
IF($N79&lt;=1,
IF($N79&gt;0,1/$N79,0),
IF(EH$44=1,0,VDB(1,0,$N79,INT(EH$44-1-1),MIN($N79,INT(EH$44-1-1)+1),$DC79,IF($DD79="No",1,0))/
IF(DO79&gt;=INT($N79),$N79-INT($N79),1)))*
IF(EH$44=1,0,
IF(INT(DP79)=INT(DO79),DP79-DO79,INT(DP79)-DO79))+
IF($N79&lt;=1,
IF($N79&gt;0,1/$N79,0),VDB(1,0,$N79,INT(EH$44-1),MIN($N79,INT(EH$44-1)+1),$DC79,IF($DD79="No",1,0))/
IF(DP79&gt;INT($N79),$N79-INT($N79),1))*
IF(EH$44=1,DP79,
IF(INT(DP79)=INT(DO79),0,DP79-INT(DP79)))))</f>
        <v>0</v>
      </c>
      <c r="EI79" s="834">
        <f>+IF(DQ79=DP79,0,
IF(AND(EI$44&gt;1,DQ79=$N79),1-SUM($EE79:EH79),
IF($N79&lt;=1,
IF($N79&gt;0,1/$N79,0),
IF(EI$44=1,0,VDB(1,0,$N79,INT(EI$44-1-1),MIN($N79,INT(EI$44-1-1)+1),$DC79,IF($DD79="No",1,0))/
IF(DP79&gt;=INT($N79),$N79-INT($N79),1)))*
IF(EI$44=1,0,
IF(INT(DQ79)=INT(DP79),DQ79-DP79,INT(DQ79)-DP79))+
IF($N79&lt;=1,
IF($N79&gt;0,1/$N79,0),VDB(1,0,$N79,INT(EI$44-1),MIN($N79,INT(EI$44-1)+1),$DC79,IF($DD79="No",1,0))/
IF(DQ79&gt;INT($N79),$N79-INT($N79),1))*
IF(EI$44=1,DQ79,
IF(INT(DQ79)=INT(DP79),0,DQ79-INT(DQ79)))))</f>
        <v>0</v>
      </c>
      <c r="EJ79" s="835">
        <f>+IF(DR79=DQ79,0,
IF(AND(EJ$44&gt;1,DR79=$N79),1-SUM($EE79:EI79),
IF($N79&lt;=1,
IF($N79&gt;0,1/$N79,0),
IF(EJ$44=1,0,VDB(1,0,$N79,INT(EJ$44-1-1),MIN($N79,INT(EJ$44-1-1)+1),$DC79,IF($DD79="No",1,0))/
IF(DQ79&gt;=INT($N79),$N79-INT($N79),1)))*
IF(EJ$44=1,0,
IF(INT(DR79)=INT(DQ79),DR79-DQ79,INT(DR79)-DQ79))+
IF($N79&lt;=1,
IF($N79&gt;0,1/$N79,0),VDB(1,0,$N79,INT(EJ$44-1),MIN($N79,INT(EJ$44-1)+1),$DC79,IF($DD79="No",1,0))/
IF(DR79&gt;INT($N79),$N79-INT($N79),1))*
IF(EJ$44=1,DR79,
IF(INT(DR79)=INT(DQ79),0,DR79-INT(DR79)))))</f>
        <v>0</v>
      </c>
      <c r="EK79" s="835">
        <f>+IF(DS79=DR79,0,
IF(AND(EK$44&gt;1,DS79=$N79),1-SUM($EE79:EJ79),
IF($N79&lt;=1,
IF($N79&gt;0,1/$N79,0),
IF(EK$44=1,0,VDB(1,0,$N79,INT(EK$44-1-1),MIN($N79,INT(EK$44-1-1)+1),$DC79,IF($DD79="No",1,0))/
IF(DR79&gt;=INT($N79),$N79-INT($N79),1)))*
IF(EK$44=1,0,
IF(INT(DS79)=INT(DR79),DS79-DR79,INT(DS79)-DR79))+
IF($N79&lt;=1,
IF($N79&gt;0,1/$N79,0),VDB(1,0,$N79,INT(EK$44-1),MIN($N79,INT(EK$44-1)+1),$DC79,IF($DD79="No",1,0))/
IF(DS79&gt;INT($N79),$N79-INT($N79),1))*
IF(EK$44=1,DS79,
IF(INT(DS79)=INT(DR79),0,DS79-INT(DS79)))))</f>
        <v>0</v>
      </c>
      <c r="EL79" s="835">
        <f>+IF(DT79=DS79,0,
IF(AND(EL$44&gt;1,DT79=$N79),1-SUM($EE79:EK79),
IF($N79&lt;=1,
IF($N79&gt;0,1/$N79,0),
IF(EL$44=1,0,VDB(1,0,$N79,INT(EL$44-1-1),MIN($N79,INT(EL$44-1-1)+1),$DC79,IF($DD79="No",1,0))/
IF(DS79&gt;=INT($N79),$N79-INT($N79),1)))*
IF(EL$44=1,0,
IF(INT(DT79)=INT(DS79),DT79-DS79,INT(DT79)-DS79))+
IF($N79&lt;=1,
IF($N79&gt;0,1/$N79,0),VDB(1,0,$N79,INT(EL$44-1),MIN($N79,INT(EL$44-1)+1),$DC79,IF($DD79="No",1,0))/
IF(DT79&gt;INT($N79),$N79-INT($N79),1))*
IF(EL$44=1,DT79,
IF(INT(DT79)=INT(DS79),0,DT79-INT(DT79)))))</f>
        <v>0</v>
      </c>
      <c r="EM79" s="836">
        <f>+IF(DU79=DT79,0,
IF(AND(EM$44&gt;1,DU79=$N79),1-SUM($EE79:EL79),
IF($N79&lt;=1,
IF($N79&gt;0,1/$N79,0),
IF(EM$44=1,0,VDB(1,0,$N79,INT(EM$44-1-1),MIN($N79,INT(EM$44-1-1)+1),$DC79,IF($DD79="No",1,0))/
IF(DT79&gt;=INT($N79),$N79-INT($N79),1)))*
IF(EM$44=1,0,
IF(INT(DU79)=INT(DT79),DU79-DT79,INT(DU79)-DT79))+
IF($N79&lt;=1,
IF($N79&gt;0,1/$N79,0),VDB(1,0,$N79,INT(EM$44-1),MIN($N79,INT(EM$44-1)+1),$DC79,IF($DD79="No",1,0))/
IF(DU79&gt;INT($N79),$N79-INT($N79),1))*
IF(EM$44=1,DU79,
IF(INT(DU79)=INT(DT79),0,DU79-INT(DU79)))))</f>
        <v>0</v>
      </c>
      <c r="EN79" s="833"/>
      <c r="EO79" s="834">
        <f>+IF(OR(DW79=DV79,EO$44=1),0,
IF(AND(EO$44&gt;1,DW79=$N79),1-SUM($EN79:EN79),
IF($N79&lt;=1,
IF($N79&gt;0,1/$N79,0),
IF(EO$44=2,0,VDB(1,0,$N79,INT(EO$44-2-1),MIN($N79,INT(EO$44-2-1)+1),$DC79,IF($DD79="No",1,0))/
IF(DV79&gt;=INT($N79),$N79-INT($N79),1)))*
IF(EO$44=2,0,
IF(INT(DW79)=INT(DV79),DW79-DV79,INT(DW79)-DV79))+
IF($N79&lt;=1,
IF($N79&gt;0,1/$N79,0),VDB(1,0,$N79,INT(EO$44-2),MIN($N79,INT(EO$44-2)+1),$DC79,IF($DD79="No",1,0))/
IF(DW79&gt;INT($N79),$N79-INT($N79),1))*
IF(EO$44=2,DW79,
IF(INT(DW79)=INT(DV79),0,DW79-INT(DW79)))))</f>
        <v>0</v>
      </c>
      <c r="EP79" s="835">
        <f>+IF(OR(DX79=DW79,EP$44=1),0,
IF(AND(EP$44&gt;1,DX79=$N79),1-SUM($EN79:EO79),
IF($N79&lt;=1,
IF($N79&gt;0,1/$N79,0),
IF(EP$44=2,0,VDB(1,0,$N79,INT(EP$44-2-1),MIN($N79,INT(EP$44-2-1)+1),$DC79,IF($DD79="No",1,0))/
IF(DW79&gt;=INT($N79),$N79-INT($N79),1)))*
IF(EP$44=2,0,
IF(INT(DX79)=INT(DW79),DX79-DW79,INT(DX79)-DW79))+
IF($N79&lt;=1,
IF($N79&gt;0,1/$N79,0),VDB(1,0,$N79,INT(EP$44-2),MIN($N79,INT(EP$44-2)+1),$DC79,IF($DD79="No",1,0))/
IF(DX79&gt;INT($N79),$N79-INT($N79),1))*
IF(EP$44=2,DX79,
IF(INT(DX79)=INT(DW79),0,DX79-INT(DX79)))))</f>
        <v>0</v>
      </c>
      <c r="EQ79" s="836">
        <f>+IF(OR(DY79=DX79,EQ$44=1),0,
IF(AND(EQ$44&gt;1,DY79=$N79),1-SUM($EN79:EP79),
IF($N79&lt;=1,
IF($N79&gt;0,1/$N79,0),
IF(EQ$44=2,0,VDB(1,0,$N79,INT(EQ$44-2-1),MIN($N79,INT(EQ$44-2-1)+1),$DC79,IF($DD79="No",1,0))/
IF(DX79&gt;=INT($N79),$N79-INT($N79),1)))*
IF(EQ$44=2,0,
IF(INT(DY79)=INT(DX79),DY79-DX79,INT(DY79)-DX79))+
IF($N79&lt;=1,
IF($N79&gt;0,1/$N79,0),VDB(1,0,$N79,INT(EQ$44-2),MIN($N79,INT(EQ$44-2)+1),$DC79,IF($DD79="No",1,0))/
IF(DY79&gt;INT($N79),$N79-INT($N79),1))*
IF(EQ$44=2,DY79,
IF(INT(DY79)=INT(DX79),0,DY79-INT(DY79)))))</f>
        <v>0</v>
      </c>
      <c r="ER79" s="834">
        <f>+IF(OR(DZ79=DY79,ER$44=1),0,
IF(AND(ER$44&gt;1,DZ79=$N79),1-SUM($EN79:EQ79),
IF($N79&lt;=1,
IF($N79&gt;0,1/$N79,0),
IF(ER$44=2,0,VDB(1,0,$N79,INT(ER$44-2-1),MIN($N79,INT(ER$44-2-1)+1),$DC79,IF($DD79="No",1,0))/
IF(DY79&gt;=INT($N79),$N79-INT($N79),1)))*
IF(ER$44=2,0,
IF(INT(DZ79)=INT(DY79),DZ79-DY79,INT(DZ79)-DY79))+
IF($N79&lt;=1,
IF($N79&gt;0,1/$N79,0),VDB(1,0,$N79,INT(ER$44-2),MIN($N79,INT(ER$44-2)+1),$DC79,IF($DD79="No",1,0))/
IF(DZ79&gt;INT($N79),$N79-INT($N79),1))*
IF(ER$44=2,DZ79,
IF(INT(DZ79)=INT(DY79),0,DZ79-INT(DZ79)))))</f>
        <v>0</v>
      </c>
      <c r="ES79" s="835">
        <f>+IF(OR(EA79=DZ79,ES$44=1),0,
IF(AND(ES$44&gt;1,EA79=$N79),1-SUM($EN79:ER79),
IF($N79&lt;=1,
IF($N79&gt;0,1/$N79,0),
IF(ES$44=2,0,VDB(1,0,$N79,INT(ES$44-2-1),MIN($N79,INT(ES$44-2-1)+1),$DC79,IF($DD79="No",1,0))/
IF(DZ79&gt;=INT($N79),$N79-INT($N79),1)))*
IF(ES$44=2,0,
IF(INT(EA79)=INT(DZ79),EA79-DZ79,INT(EA79)-DZ79))+
IF($N79&lt;=1,
IF($N79&gt;0,1/$N79,0),VDB(1,0,$N79,INT(ES$44-2),MIN($N79,INT(ES$44-2)+1),$DC79,IF($DD79="No",1,0))/
IF(EA79&gt;INT($N79),$N79-INT($N79),1))*
IF(ES$44=2,EA79,
IF(INT(EA79)=INT(DZ79),0,EA79-INT(EA79)))))</f>
        <v>0</v>
      </c>
      <c r="ET79" s="835">
        <f>+IF(OR(EB79=EA79,ET$44=1),0,
IF(AND(ET$44&gt;1,EB79=$N79),1-SUM($EN79:ES79),
IF($N79&lt;=1,
IF($N79&gt;0,1/$N79,0),
IF(ET$44=2,0,VDB(1,0,$N79,INT(ET$44-2-1),MIN($N79,INT(ET$44-2-1)+1),$DC79,IF($DD79="No",1,0))/
IF(EA79&gt;=INT($N79),$N79-INT($N79),1)))*
IF(ET$44=2,0,
IF(INT(EB79)=INT(EA79),EB79-EA79,INT(EB79)-EA79))+
IF($N79&lt;=1,
IF($N79&gt;0,1/$N79,0),VDB(1,0,$N79,INT(ET$44-2),MIN($N79,INT(ET$44-2)+1),$DC79,IF($DD79="No",1,0))/
IF(EB79&gt;INT($N79),$N79-INT($N79),1))*
IF(ET$44=2,EB79,
IF(INT(EB79)=INT(EA79),0,EB79-INT(EB79)))))</f>
        <v>0</v>
      </c>
      <c r="EU79" s="835">
        <f>+IF(OR(EC79=EB79,EU$44=1),0,
IF(AND(EU$44&gt;1,EC79=$N79),1-SUM($EN79:ET79),
IF($N79&lt;=1,
IF($N79&gt;0,1/$N79,0),
IF(EU$44=2,0,VDB(1,0,$N79,INT(EU$44-2-1),MIN($N79,INT(EU$44-2-1)+1),$DC79,IF($DD79="No",1,0))/
IF(EB79&gt;=INT($N79),$N79-INT($N79),1)))*
IF(EU$44=2,0,
IF(INT(EC79)=INT(EB79),EC79-EB79,INT(EC79)-EB79))+
IF($N79&lt;=1,
IF($N79&gt;0,1/$N79,0),VDB(1,0,$N79,INT(EU$44-2),MIN($N79,INT(EU$44-2)+1),$DC79,IF($DD79="No",1,0))/
IF(EC79&gt;INT($N79),$N79-INT($N79),1))*
IF(EU$44=2,EC79,
IF(INT(EC79)=INT(EB79),0,EC79-INT(EC79)))))</f>
        <v>0</v>
      </c>
      <c r="EV79" s="836">
        <f>+IF(OR(ED79=EC79,EV$44=1),0,
IF(AND(EV$44&gt;1,ED79=$N79),1-SUM($EN79:EU79),
IF($N79&lt;=1,
IF($N79&gt;0,1/$N79,0),
IF(EV$44=2,0,VDB(1,0,$N79,INT(EV$44-2-1),MIN($N79,INT(EV$44-2-1)+1),$DC79,IF($DD79="No",1,0))/
IF(EC79&gt;=INT($N79),$N79-INT($N79),1)))*
IF(EV$44=2,0,
IF(INT(ED79)=INT(EC79),ED79-EC79,INT(ED79)-EC79))+
IF($N79&lt;=1,
IF($N79&gt;0,1/$N79,0),VDB(1,0,$N79,INT(EV$44-2),MIN($N79,INT(EV$44-2)+1),$DC79,IF($DD79="No",1,0))/
IF(ED79&gt;INT($N79),$N79-INT($N79),1))*
IF(EV$44=2,ED79,
IF(INT(ED79)=INT(EC79),0,ED79-INT(ED79)))))</f>
        <v>0</v>
      </c>
      <c r="EW79" s="833"/>
      <c r="EX79" s="834">
        <f t="shared" ca="1" si="190"/>
        <v>0</v>
      </c>
      <c r="EY79" s="835">
        <f t="shared" ca="1" si="190"/>
        <v>0</v>
      </c>
      <c r="EZ79" s="836">
        <f t="shared" ca="1" si="190"/>
        <v>0</v>
      </c>
      <c r="FA79" s="834">
        <f t="shared" ca="1" si="190"/>
        <v>0</v>
      </c>
      <c r="FB79" s="835">
        <f t="shared" ca="1" si="190"/>
        <v>0</v>
      </c>
      <c r="FC79" s="835">
        <f t="shared" ca="1" si="190"/>
        <v>0</v>
      </c>
      <c r="FD79" s="835">
        <f t="shared" ca="1" si="190"/>
        <v>0</v>
      </c>
      <c r="FE79" s="836">
        <f t="shared" ca="1" si="190"/>
        <v>0</v>
      </c>
      <c r="FG79" s="386">
        <f t="shared" ca="1" si="237"/>
        <v>0</v>
      </c>
      <c r="FH79" s="387">
        <f t="shared" ca="1" si="238"/>
        <v>0</v>
      </c>
      <c r="FI79" s="388">
        <f t="shared" ca="1" si="239"/>
        <v>0</v>
      </c>
      <c r="FJ79" s="386">
        <f t="shared" ca="1" si="240"/>
        <v>0</v>
      </c>
      <c r="FK79" s="387">
        <f t="shared" ca="1" si="241"/>
        <v>0</v>
      </c>
      <c r="FL79" s="387">
        <f t="shared" ca="1" si="242"/>
        <v>0</v>
      </c>
      <c r="FM79" s="387">
        <f t="shared" ca="1" si="243"/>
        <v>0</v>
      </c>
      <c r="FN79" s="388">
        <f t="shared" ca="1" si="244"/>
        <v>0</v>
      </c>
      <c r="FR79" s="116"/>
    </row>
    <row r="80" spans="2:174">
      <c r="B80" s="1410">
        <f t="shared" si="135"/>
        <v>34</v>
      </c>
      <c r="C80" s="400" t="s">
        <v>561</v>
      </c>
      <c r="D80" s="410"/>
      <c r="E80" s="402" t="s">
        <v>401</v>
      </c>
      <c r="F80" s="402" t="s">
        <v>514</v>
      </c>
      <c r="G80" s="400" t="s">
        <v>515</v>
      </c>
      <c r="H80" s="2088" t="s">
        <v>483</v>
      </c>
      <c r="I80" s="2089"/>
      <c r="J80" s="411" t="s">
        <v>516</v>
      </c>
      <c r="K80" s="403" t="s">
        <v>544</v>
      </c>
      <c r="L80" s="403">
        <v>25</v>
      </c>
      <c r="M80" s="403" t="s">
        <v>142</v>
      </c>
      <c r="N80" s="403"/>
      <c r="O80" s="347"/>
      <c r="P80" s="347"/>
      <c r="Q80" s="1021">
        <v>5.9287804878048789</v>
      </c>
      <c r="R80" s="1022">
        <v>1.4419988102320049</v>
      </c>
      <c r="S80" s="1022">
        <v>0</v>
      </c>
      <c r="T80" s="1022">
        <v>0</v>
      </c>
      <c r="U80" s="1023">
        <v>0</v>
      </c>
      <c r="V80" s="1021">
        <v>0</v>
      </c>
      <c r="W80" s="1022">
        <v>0</v>
      </c>
      <c r="X80" s="1022">
        <v>0</v>
      </c>
      <c r="Y80" s="1022">
        <v>0</v>
      </c>
      <c r="Z80" s="1023">
        <v>0</v>
      </c>
      <c r="AA80" s="1024"/>
      <c r="AB80" s="1021">
        <v>0</v>
      </c>
      <c r="AC80" s="1022">
        <v>0</v>
      </c>
      <c r="AD80" s="1022">
        <v>0</v>
      </c>
      <c r="AE80" s="1022">
        <v>0</v>
      </c>
      <c r="AF80" s="1023">
        <v>0</v>
      </c>
      <c r="AG80" s="1021">
        <v>0</v>
      </c>
      <c r="AH80" s="1022">
        <v>0</v>
      </c>
      <c r="AI80" s="1022">
        <v>0</v>
      </c>
      <c r="AJ80" s="1022">
        <v>0</v>
      </c>
      <c r="AK80" s="1023">
        <v>0</v>
      </c>
      <c r="AL80" s="1024"/>
      <c r="AM80" s="1021">
        <v>0</v>
      </c>
      <c r="AN80" s="1022">
        <v>0</v>
      </c>
      <c r="AO80" s="1022">
        <v>0</v>
      </c>
      <c r="AP80" s="1022">
        <v>0</v>
      </c>
      <c r="AQ80" s="1023">
        <v>0</v>
      </c>
      <c r="AR80" s="1021">
        <v>0</v>
      </c>
      <c r="AS80" s="1022">
        <v>0</v>
      </c>
      <c r="AT80" s="1022">
        <v>0</v>
      </c>
      <c r="AU80" s="1022">
        <v>0</v>
      </c>
      <c r="AV80" s="1023">
        <v>0</v>
      </c>
      <c r="AW80" s="1025"/>
      <c r="AX80" s="1282">
        <f t="shared" si="191"/>
        <v>5.9287804878048789</v>
      </c>
      <c r="AY80" s="387">
        <f t="shared" si="192"/>
        <v>1.4419988102320049</v>
      </c>
      <c r="AZ80" s="387">
        <f t="shared" si="193"/>
        <v>0</v>
      </c>
      <c r="BA80" s="387">
        <f t="shared" si="194"/>
        <v>0</v>
      </c>
      <c r="BB80" s="1283">
        <f t="shared" si="195"/>
        <v>0</v>
      </c>
      <c r="BC80" s="386">
        <f t="shared" si="196"/>
        <v>0</v>
      </c>
      <c r="BD80" s="387">
        <f t="shared" si="197"/>
        <v>0</v>
      </c>
      <c r="BE80" s="1277">
        <f t="shared" si="198"/>
        <v>0</v>
      </c>
      <c r="BF80" s="1277">
        <f t="shared" si="199"/>
        <v>0</v>
      </c>
      <c r="BG80" s="388">
        <f t="shared" si="200"/>
        <v>0</v>
      </c>
      <c r="BH80" s="1025"/>
      <c r="BI80" s="1282">
        <f t="shared" ca="1" si="201"/>
        <v>0.11857560975609757</v>
      </c>
      <c r="BJ80" s="387">
        <f t="shared" ca="1" si="202"/>
        <v>0.26599119571683527</v>
      </c>
      <c r="BK80" s="387">
        <f t="shared" ca="1" si="203"/>
        <v>0.29483117192147534</v>
      </c>
      <c r="BL80" s="387">
        <f t="shared" ca="1" si="204"/>
        <v>0.29483117192147534</v>
      </c>
      <c r="BM80" s="1283">
        <f t="shared" ca="1" si="205"/>
        <v>0.29483117192147534</v>
      </c>
      <c r="BN80" s="386">
        <f t="shared" ca="1" si="206"/>
        <v>0.29483117192147534</v>
      </c>
      <c r="BO80" s="387">
        <f t="shared" ca="1" si="207"/>
        <v>0.29483117192147534</v>
      </c>
      <c r="BP80" s="1277">
        <f t="shared" ca="1" si="208"/>
        <v>0.29483117192147534</v>
      </c>
      <c r="BQ80" s="1277">
        <f t="shared" ca="1" si="209"/>
        <v>0.29483117192147534</v>
      </c>
      <c r="BR80" s="388">
        <f t="shared" ca="1" si="210"/>
        <v>0.29483117192147534</v>
      </c>
      <c r="BS80" s="1025"/>
      <c r="BT80" s="1282">
        <f>+IF($K80="Ongoing",AX80,IF(RIGHT($K80,2)=RIGHT(BT$43,2),SUM($AX80:AX80),0)+IF(RIGHT(BT$43,2)&gt;RIGHT($K80,2),AX80,0))</f>
        <v>5.9287804878048789</v>
      </c>
      <c r="BU80" s="387">
        <f>+IF($K80="Ongoing",AY80,IF(RIGHT($K80,2)=RIGHT(BU$43,2),SUM($AX80:AY80),0)+IF(RIGHT(BU$43,2)&gt;RIGHT($K80,2),AY80,0))</f>
        <v>1.4419988102320049</v>
      </c>
      <c r="BV80" s="387">
        <f>+IF($K80="Ongoing",AZ80,IF(RIGHT($K80,2)=RIGHT(BV$43,2),SUM($AX80:AZ80),0)+IF(RIGHT(BV$43,2)&gt;RIGHT($K80,2),AZ80,0))</f>
        <v>0</v>
      </c>
      <c r="BW80" s="387">
        <f>+IF($K80="Ongoing",BA80,IF(RIGHT($K80,2)=RIGHT(BW$43,2),SUM($AX80:BA80),0)+IF(RIGHT(BW$43,2)&gt;RIGHT($K80,2),BA80,0))</f>
        <v>0</v>
      </c>
      <c r="BX80" s="1283">
        <f>+IF($K80="Ongoing",BB80,IF(RIGHT($K80,2)=RIGHT(BX$43,2),SUM($AX80:BB80),0)+IF(RIGHT(BX$43,2)&gt;RIGHT($K80,2),BB80,0))</f>
        <v>0</v>
      </c>
      <c r="BY80" s="386">
        <f>+IF($K80="Ongoing",BC80,IF(RIGHT($K80,2)=RIGHT(BY$43,2),SUM($AX80:BC80),0)+IF(RIGHT(BY$43,2)&gt;RIGHT($K80,2),BC80,0))</f>
        <v>0</v>
      </c>
      <c r="BZ80" s="387">
        <f>+IF($K80="Ongoing",BD80,IF(RIGHT($K80,2)=RIGHT(BZ$43,2),SUM($AX80:BD80),0)+IF(RIGHT(BZ$43,2)&gt;RIGHT($K80,2),BD80,0))</f>
        <v>0</v>
      </c>
      <c r="CA80" s="1277">
        <f>+IF($K80="Ongoing",BE80,IF(RIGHT($K80,2)=RIGHT(CA$43,2),SUM($AX80:BE80),0)+IF(RIGHT(CA$43,2)&gt;RIGHT($K80,2),BE80,0))</f>
        <v>0</v>
      </c>
      <c r="CB80" s="1277">
        <f>+IF($K80="Ongoing",BF80,IF(RIGHT($K80,2)=RIGHT(CB$43,2),SUM($AX80:BF80),0)+IF(RIGHT(CB$43,2)&gt;RIGHT($K80,2),BF80,0))</f>
        <v>0</v>
      </c>
      <c r="CC80" s="388">
        <f>+IF($K80="Ongoing",BG80,IF(RIGHT($K80,2)=RIGHT(CC$43,2),SUM($AX80:BG80),0)+IF(RIGHT(CC$43,2)&gt;RIGHT($K80,2),BG80,0))</f>
        <v>0</v>
      </c>
      <c r="CD80" s="1025"/>
      <c r="CE80" s="1282">
        <f>+Q80*KeyAssumptionsPriceControl_FO!AF$15</f>
        <v>6.1007151219512199</v>
      </c>
      <c r="CF80" s="387">
        <f>+R80*KeyAssumptionsPriceControl_FO!AG$15</f>
        <v>1.5268474622248662</v>
      </c>
      <c r="CG80" s="387">
        <f>+S80*KeyAssumptionsPriceControl_FO!AH$15</f>
        <v>0</v>
      </c>
      <c r="CH80" s="387">
        <f>+T80*KeyAssumptionsPriceControl_FO!AI$15</f>
        <v>0</v>
      </c>
      <c r="CI80" s="1283">
        <f>+U80*KeyAssumptionsPriceControl_FO!AJ$15</f>
        <v>0</v>
      </c>
      <c r="CJ80" s="386">
        <f>+V80*KeyAssumptionsPriceControl_FO!AK$15</f>
        <v>0</v>
      </c>
      <c r="CK80" s="387">
        <f>+W80*KeyAssumptionsPriceControl_FO!AL$15</f>
        <v>0</v>
      </c>
      <c r="CL80" s="1277">
        <f>+X80*KeyAssumptionsPriceControl_FO!AM$15</f>
        <v>0</v>
      </c>
      <c r="CM80" s="1277">
        <f>+Y80*KeyAssumptionsPriceControl_FO!AN$15</f>
        <v>0</v>
      </c>
      <c r="CN80" s="388">
        <f>+Z80*KeyAssumptionsPriceControl_FO!AO$15</f>
        <v>0</v>
      </c>
      <c r="CO80" s="1025"/>
      <c r="CP80" s="1282">
        <f t="shared" ca="1" si="211"/>
        <v>0</v>
      </c>
      <c r="CQ80" s="387">
        <f t="shared" ca="1" si="212"/>
        <v>0</v>
      </c>
      <c r="CR80" s="387">
        <f t="shared" ca="1" si="213"/>
        <v>0</v>
      </c>
      <c r="CS80" s="387">
        <f t="shared" ca="1" si="214"/>
        <v>0</v>
      </c>
      <c r="CT80" s="1283">
        <f t="shared" ca="1" si="215"/>
        <v>0</v>
      </c>
      <c r="CU80" s="386">
        <f t="shared" ca="1" si="216"/>
        <v>0</v>
      </c>
      <c r="CV80" s="387">
        <f t="shared" ca="1" si="217"/>
        <v>0</v>
      </c>
      <c r="CW80" s="1277">
        <f t="shared" ca="1" si="218"/>
        <v>0</v>
      </c>
      <c r="CX80" s="1277">
        <f t="shared" ca="1" si="219"/>
        <v>0</v>
      </c>
      <c r="CY80" s="388">
        <f t="shared" ca="1" si="220"/>
        <v>0</v>
      </c>
      <c r="CZ80" s="347"/>
      <c r="DA80" s="852"/>
      <c r="DB80" s="347"/>
      <c r="DC80" s="1012" t="s">
        <v>562</v>
      </c>
      <c r="DD80" s="841" t="s">
        <v>518</v>
      </c>
      <c r="DE80" s="386">
        <f>+IF($K80="ongoing",CE80,IF(RIGHT($K80,2)=RIGHT(DE$43,2),SUM($CD80:CE80),0)+IF(RIGHT(DE$43,2)&gt;RIGHT($K80,2),CE80,0))</f>
        <v>6.1007151219512199</v>
      </c>
      <c r="DF80" s="387">
        <f>+IF($K80="ongoing",CF80,IF(RIGHT($K80,2)=RIGHT(DF$43,2),SUM($CD80:CF80),0)+IF(RIGHT(DF$43,2)&gt;RIGHT($K80,2),CF80,0))</f>
        <v>1.5268474622248662</v>
      </c>
      <c r="DG80" s="388">
        <f>+IF($K80="ongoing",CG80,IF(RIGHT($K80,2)=RIGHT(DG$43,2),SUM($CD80:CG80),0)+IF(RIGHT(DG$43,2)&gt;RIGHT($K80,2),CG80,0))</f>
        <v>0</v>
      </c>
      <c r="DH80" s="386">
        <f>+IF($K80="ongoing",CH80,IF(RIGHT($K80,2)=RIGHT(DH$43,2),SUM($CD80:CH80),0)+IF(RIGHT(DH$43,2)&gt;RIGHT($K80,2),CH80,0))</f>
        <v>0</v>
      </c>
      <c r="DI80" s="387">
        <f>+IF($K80="ongoing",CI80,IF(RIGHT($K80,2)=RIGHT(DI$43,2),SUM($CD80:CI80),0)+IF(RIGHT(DI$43,2)&gt;RIGHT($K80,2),CI80,0))</f>
        <v>0</v>
      </c>
      <c r="DJ80" s="387">
        <f>+IF($K80="ongoing",CJ80,IF(RIGHT($K80,2)=RIGHT(DJ$43,2),SUM($CD80:CJ80),0)+IF(RIGHT(DJ$43,2)&gt;RIGHT($K80,2),CJ80,0))</f>
        <v>0</v>
      </c>
      <c r="DK80" s="387">
        <f>+IF($K80="ongoing",CK80,IF(RIGHT($K80,2)=RIGHT(DK$43,2),SUM($CD80:CK80),0)+IF(RIGHT(DK$43,2)&gt;RIGHT($K80,2),CK80,0))</f>
        <v>0</v>
      </c>
      <c r="DL80" s="388">
        <f>+IF($K80="ongoing",CN80,IF(RIGHT($K80,2)=RIGHT(DL$43,2),SUM($CD80:CN80),0)+IF(RIGHT(DL$43,2)&gt;RIGHT($K80,2),CN80,0))</f>
        <v>0</v>
      </c>
      <c r="DM80" s="841"/>
      <c r="DN80" s="386">
        <f t="shared" si="221"/>
        <v>0.5</v>
      </c>
      <c r="DO80" s="387">
        <f t="shared" si="222"/>
        <v>1</v>
      </c>
      <c r="DP80" s="388">
        <f t="shared" si="223"/>
        <v>1</v>
      </c>
      <c r="DQ80" s="386">
        <f t="shared" si="224"/>
        <v>1</v>
      </c>
      <c r="DR80" s="387">
        <f t="shared" si="225"/>
        <v>1</v>
      </c>
      <c r="DS80" s="387">
        <f t="shared" si="226"/>
        <v>1</v>
      </c>
      <c r="DT80" s="387">
        <f t="shared" si="227"/>
        <v>1</v>
      </c>
      <c r="DU80" s="388">
        <f t="shared" si="228"/>
        <v>1</v>
      </c>
      <c r="DW80" s="386">
        <f t="shared" si="229"/>
        <v>0</v>
      </c>
      <c r="DX80" s="387">
        <f t="shared" si="230"/>
        <v>0.5</v>
      </c>
      <c r="DY80" s="388">
        <f t="shared" si="231"/>
        <v>1</v>
      </c>
      <c r="DZ80" s="386">
        <f t="shared" si="232"/>
        <v>1</v>
      </c>
      <c r="EA80" s="387">
        <f t="shared" si="233"/>
        <v>1</v>
      </c>
      <c r="EB80" s="387">
        <f t="shared" si="234"/>
        <v>1</v>
      </c>
      <c r="EC80" s="387">
        <f t="shared" si="235"/>
        <v>1</v>
      </c>
      <c r="ED80" s="388">
        <f t="shared" si="236"/>
        <v>1</v>
      </c>
      <c r="EF80" s="834">
        <f>+IF(DN80=DM80,0,
IF(AND(EF$44&gt;1,DN80=$N80),1-SUM($EE80:EE80),
IF($N80&lt;=1,
IF($N80&gt;0,1/$N80,0),
IF(EF$44=1,0,VDB(1,0,$N80,INT(EF$44-1-1),MIN($N80,INT(EF$44-1-1)+1),$DC80,IF($DD80="No",1,0))/
IF(DM80&gt;=INT($N80),$N80-INT($N80),1)))*
IF(EF$44=1,0,
IF(INT(DN80)=INT(DM80),DN80-DM80,INT(DN80)-DM80))+
IF($N80&lt;=1,
IF($N80&gt;0,1/$N80,0),VDB(1,0,$N80,INT(EF$44-1),MIN($N80,INT(EF$44-1)+1),$DC80,IF($DD80="No",1,0))/
IF(DN80&gt;INT($N80),$N80-INT($N80),1))*
IF(EF$44=1,DN80,
IF(INT(DN80)=INT(DM80),0,DN80-INT(DN80)))))</f>
        <v>0</v>
      </c>
      <c r="EG80" s="835">
        <f>+IF(DO80=DN80,0,
IF(AND(EG$44&gt;1,DO80=$N80),1-SUM($EE80:EF80),
IF($N80&lt;=1,
IF($N80&gt;0,1/$N80,0),
IF(EG$44=1,0,VDB(1,0,$N80,INT(EG$44-1-1),MIN($N80,INT(EG$44-1-1)+1),$DC80,IF($DD80="No",1,0))/
IF(DN80&gt;=INT($N80),$N80-INT($N80),1)))*
IF(EG$44=1,0,
IF(INT(DO80)=INT(DN80),DO80-DN80,INT(DO80)-DN80))+
IF($N80&lt;=1,
IF($N80&gt;0,1/$N80,0),VDB(1,0,$N80,INT(EG$44-1),MIN($N80,INT(EG$44-1)+1),$DC80,IF($DD80="No",1,0))/
IF(DO80&gt;INT($N80),$N80-INT($N80),1))*
IF(EG$44=1,DO80,
IF(INT(DO80)=INT(DN80),0,DO80-INT(DO80)))))</f>
        <v>0</v>
      </c>
      <c r="EH80" s="836">
        <f>+IF(DP80=DO80,0,
IF(AND(EH$44&gt;1,DP80=$N80),1-SUM($EE80:EG80),
IF($N80&lt;=1,
IF($N80&gt;0,1/$N80,0),
IF(EH$44=1,0,VDB(1,0,$N80,INT(EH$44-1-1),MIN($N80,INT(EH$44-1-1)+1),$DC80,IF($DD80="No",1,0))/
IF(DO80&gt;=INT($N80),$N80-INT($N80),1)))*
IF(EH$44=1,0,
IF(INT(DP80)=INT(DO80),DP80-DO80,INT(DP80)-DO80))+
IF($N80&lt;=1,
IF($N80&gt;0,1/$N80,0),VDB(1,0,$N80,INT(EH$44-1),MIN($N80,INT(EH$44-1)+1),$DC80,IF($DD80="No",1,0))/
IF(DP80&gt;INT($N80),$N80-INT($N80),1))*
IF(EH$44=1,DP80,
IF(INT(DP80)=INT(DO80),0,DP80-INT(DP80)))))</f>
        <v>0</v>
      </c>
      <c r="EI80" s="834">
        <f>+IF(DQ80=DP80,0,
IF(AND(EI$44&gt;1,DQ80=$N80),1-SUM($EE80:EH80),
IF($N80&lt;=1,
IF($N80&gt;0,1/$N80,0),
IF(EI$44=1,0,VDB(1,0,$N80,INT(EI$44-1-1),MIN($N80,INT(EI$44-1-1)+1),$DC80,IF($DD80="No",1,0))/
IF(DP80&gt;=INT($N80),$N80-INT($N80),1)))*
IF(EI$44=1,0,
IF(INT(DQ80)=INT(DP80),DQ80-DP80,INT(DQ80)-DP80))+
IF($N80&lt;=1,
IF($N80&gt;0,1/$N80,0),VDB(1,0,$N80,INT(EI$44-1),MIN($N80,INT(EI$44-1)+1),$DC80,IF($DD80="No",1,0))/
IF(DQ80&gt;INT($N80),$N80-INT($N80),1))*
IF(EI$44=1,DQ80,
IF(INT(DQ80)=INT(DP80),0,DQ80-INT(DQ80)))))</f>
        <v>0</v>
      </c>
      <c r="EJ80" s="835">
        <f>+IF(DR80=DQ80,0,
IF(AND(EJ$44&gt;1,DR80=$N80),1-SUM($EE80:EI80),
IF($N80&lt;=1,
IF($N80&gt;0,1/$N80,0),
IF(EJ$44=1,0,VDB(1,0,$N80,INT(EJ$44-1-1),MIN($N80,INT(EJ$44-1-1)+1),$DC80,IF($DD80="No",1,0))/
IF(DQ80&gt;=INT($N80),$N80-INT($N80),1)))*
IF(EJ$44=1,0,
IF(INT(DR80)=INT(DQ80),DR80-DQ80,INT(DR80)-DQ80))+
IF($N80&lt;=1,
IF($N80&gt;0,1/$N80,0),VDB(1,0,$N80,INT(EJ$44-1),MIN($N80,INT(EJ$44-1)+1),$DC80,IF($DD80="No",1,0))/
IF(DR80&gt;INT($N80),$N80-INT($N80),1))*
IF(EJ$44=1,DR80,
IF(INT(DR80)=INT(DQ80),0,DR80-INT(DR80)))))</f>
        <v>0</v>
      </c>
      <c r="EK80" s="835">
        <f>+IF(DS80=DR80,0,
IF(AND(EK$44&gt;1,DS80=$N80),1-SUM($EE80:EJ80),
IF($N80&lt;=1,
IF($N80&gt;0,1/$N80,0),
IF(EK$44=1,0,VDB(1,0,$N80,INT(EK$44-1-1),MIN($N80,INT(EK$44-1-1)+1),$DC80,IF($DD80="No",1,0))/
IF(DR80&gt;=INT($N80),$N80-INT($N80),1)))*
IF(EK$44=1,0,
IF(INT(DS80)=INT(DR80),DS80-DR80,INT(DS80)-DR80))+
IF($N80&lt;=1,
IF($N80&gt;0,1/$N80,0),VDB(1,0,$N80,INT(EK$44-1),MIN($N80,INT(EK$44-1)+1),$DC80,IF($DD80="No",1,0))/
IF(DS80&gt;INT($N80),$N80-INT($N80),1))*
IF(EK$44=1,DS80,
IF(INT(DS80)=INT(DR80),0,DS80-INT(DS80)))))</f>
        <v>0</v>
      </c>
      <c r="EL80" s="835">
        <f>+IF(DT80=DS80,0,
IF(AND(EL$44&gt;1,DT80=$N80),1-SUM($EE80:EK80),
IF($N80&lt;=1,
IF($N80&gt;0,1/$N80,0),
IF(EL$44=1,0,VDB(1,0,$N80,INT(EL$44-1-1),MIN($N80,INT(EL$44-1-1)+1),$DC80,IF($DD80="No",1,0))/
IF(DS80&gt;=INT($N80),$N80-INT($N80),1)))*
IF(EL$44=1,0,
IF(INT(DT80)=INT(DS80),DT80-DS80,INT(DT80)-DS80))+
IF($N80&lt;=1,
IF($N80&gt;0,1/$N80,0),VDB(1,0,$N80,INT(EL$44-1),MIN($N80,INT(EL$44-1)+1),$DC80,IF($DD80="No",1,0))/
IF(DT80&gt;INT($N80),$N80-INT($N80),1))*
IF(EL$44=1,DT80,
IF(INT(DT80)=INT(DS80),0,DT80-INT(DT80)))))</f>
        <v>0</v>
      </c>
      <c r="EM80" s="836">
        <f>+IF(DU80=DT80,0,
IF(AND(EM$44&gt;1,DU80=$N80),1-SUM($EE80:EL80),
IF($N80&lt;=1,
IF($N80&gt;0,1/$N80,0),
IF(EM$44=1,0,VDB(1,0,$N80,INT(EM$44-1-1),MIN($N80,INT(EM$44-1-1)+1),$DC80,IF($DD80="No",1,0))/
IF(DT80&gt;=INT($N80),$N80-INT($N80),1)))*
IF(EM$44=1,0,
IF(INT(DU80)=INT(DT80),DU80-DT80,INT(DU80)-DT80))+
IF($N80&lt;=1,
IF($N80&gt;0,1/$N80,0),VDB(1,0,$N80,INT(EM$44-1),MIN($N80,INT(EM$44-1)+1),$DC80,IF($DD80="No",1,0))/
IF(DU80&gt;INT($N80),$N80-INT($N80),1))*
IF(EM$44=1,DU80,
IF(INT(DU80)=INT(DT80),0,DU80-INT(DU80)))))</f>
        <v>0</v>
      </c>
      <c r="EN80" s="833"/>
      <c r="EO80" s="834">
        <f>+IF(OR(DW80=DV80,EO$44=1),0,
IF(AND(EO$44&gt;1,DW80=$N80),1-SUM($EN80:EN80),
IF($N80&lt;=1,
IF($N80&gt;0,1/$N80,0),
IF(EO$44=2,0,VDB(1,0,$N80,INT(EO$44-2-1),MIN($N80,INT(EO$44-2-1)+1),$DC80,IF($DD80="No",1,0))/
IF(DV80&gt;=INT($N80),$N80-INT($N80),1)))*
IF(EO$44=2,0,
IF(INT(DW80)=INT(DV80),DW80-DV80,INT(DW80)-DV80))+
IF($N80&lt;=1,
IF($N80&gt;0,1/$N80,0),VDB(1,0,$N80,INT(EO$44-2),MIN($N80,INT(EO$44-2)+1),$DC80,IF($DD80="No",1,0))/
IF(DW80&gt;INT($N80),$N80-INT($N80),1))*
IF(EO$44=2,DW80,
IF(INT(DW80)=INT(DV80),0,DW80-INT(DW80)))))</f>
        <v>0</v>
      </c>
      <c r="EP80" s="835">
        <f>+IF(OR(DX80=DW80,EP$44=1),0,
IF(AND(EP$44&gt;1,DX80=$N80),1-SUM($EN80:EO80),
IF($N80&lt;=1,
IF($N80&gt;0,1/$N80,0),
IF(EP$44=2,0,VDB(1,0,$N80,INT(EP$44-2-1),MIN($N80,INT(EP$44-2-1)+1),$DC80,IF($DD80="No",1,0))/
IF(DW80&gt;=INT($N80),$N80-INT($N80),1)))*
IF(EP$44=2,0,
IF(INT(DX80)=INT(DW80),DX80-DW80,INT(DX80)-DW80))+
IF($N80&lt;=1,
IF($N80&gt;0,1/$N80,0),VDB(1,0,$N80,INT(EP$44-2),MIN($N80,INT(EP$44-2)+1),$DC80,IF($DD80="No",1,0))/
IF(DX80&gt;INT($N80),$N80-INT($N80),1))*
IF(EP$44=2,DX80,
IF(INT(DX80)=INT(DW80),0,DX80-INT(DX80)))))</f>
        <v>0</v>
      </c>
      <c r="EQ80" s="836">
        <f>+IF(OR(DY80=DX80,EQ$44=1),0,
IF(AND(EQ$44&gt;1,DY80=$N80),1-SUM($EN80:EP80),
IF($N80&lt;=1,
IF($N80&gt;0,1/$N80,0),
IF(EQ$44=2,0,VDB(1,0,$N80,INT(EQ$44-2-1),MIN($N80,INT(EQ$44-2-1)+1),$DC80,IF($DD80="No",1,0))/
IF(DX80&gt;=INT($N80),$N80-INT($N80),1)))*
IF(EQ$44=2,0,
IF(INT(DY80)=INT(DX80),DY80-DX80,INT(DY80)-DX80))+
IF($N80&lt;=1,
IF($N80&gt;0,1/$N80,0),VDB(1,0,$N80,INT(EQ$44-2),MIN($N80,INT(EQ$44-2)+1),$DC80,IF($DD80="No",1,0))/
IF(DY80&gt;INT($N80),$N80-INT($N80),1))*
IF(EQ$44=2,DY80,
IF(INT(DY80)=INT(DX80),0,DY80-INT(DY80)))))</f>
        <v>0</v>
      </c>
      <c r="ER80" s="834">
        <f>+IF(OR(DZ80=DY80,ER$44=1),0,
IF(AND(ER$44&gt;1,DZ80=$N80),1-SUM($EN80:EQ80),
IF($N80&lt;=1,
IF($N80&gt;0,1/$N80,0),
IF(ER$44=2,0,VDB(1,0,$N80,INT(ER$44-2-1),MIN($N80,INT(ER$44-2-1)+1),$DC80,IF($DD80="No",1,0))/
IF(DY80&gt;=INT($N80),$N80-INT($N80),1)))*
IF(ER$44=2,0,
IF(INT(DZ80)=INT(DY80),DZ80-DY80,INT(DZ80)-DY80))+
IF($N80&lt;=1,
IF($N80&gt;0,1/$N80,0),VDB(1,0,$N80,INT(ER$44-2),MIN($N80,INT(ER$44-2)+1),$DC80,IF($DD80="No",1,0))/
IF(DZ80&gt;INT($N80),$N80-INT($N80),1))*
IF(ER$44=2,DZ80,
IF(INT(DZ80)=INT(DY80),0,DZ80-INT(DZ80)))))</f>
        <v>0</v>
      </c>
      <c r="ES80" s="835">
        <f>+IF(OR(EA80=DZ80,ES$44=1),0,
IF(AND(ES$44&gt;1,EA80=$N80),1-SUM($EN80:ER80),
IF($N80&lt;=1,
IF($N80&gt;0,1/$N80,0),
IF(ES$44=2,0,VDB(1,0,$N80,INT(ES$44-2-1),MIN($N80,INT(ES$44-2-1)+1),$DC80,IF($DD80="No",1,0))/
IF(DZ80&gt;=INT($N80),$N80-INT($N80),1)))*
IF(ES$44=2,0,
IF(INT(EA80)=INT(DZ80),EA80-DZ80,INT(EA80)-DZ80))+
IF($N80&lt;=1,
IF($N80&gt;0,1/$N80,0),VDB(1,0,$N80,INT(ES$44-2),MIN($N80,INT(ES$44-2)+1),$DC80,IF($DD80="No",1,0))/
IF(EA80&gt;INT($N80),$N80-INT($N80),1))*
IF(ES$44=2,EA80,
IF(INT(EA80)=INT(DZ80),0,EA80-INT(EA80)))))</f>
        <v>0</v>
      </c>
      <c r="ET80" s="835">
        <f>+IF(OR(EB80=EA80,ET$44=1),0,
IF(AND(ET$44&gt;1,EB80=$N80),1-SUM($EN80:ES80),
IF($N80&lt;=1,
IF($N80&gt;0,1/$N80,0),
IF(ET$44=2,0,VDB(1,0,$N80,INT(ET$44-2-1),MIN($N80,INT(ET$44-2-1)+1),$DC80,IF($DD80="No",1,0))/
IF(EA80&gt;=INT($N80),$N80-INT($N80),1)))*
IF(ET$44=2,0,
IF(INT(EB80)=INT(EA80),EB80-EA80,INT(EB80)-EA80))+
IF($N80&lt;=1,
IF($N80&gt;0,1/$N80,0),VDB(1,0,$N80,INT(ET$44-2),MIN($N80,INT(ET$44-2)+1),$DC80,IF($DD80="No",1,0))/
IF(EB80&gt;INT($N80),$N80-INT($N80),1))*
IF(ET$44=2,EB80,
IF(INT(EB80)=INT(EA80),0,EB80-INT(EB80)))))</f>
        <v>0</v>
      </c>
      <c r="EU80" s="835">
        <f>+IF(OR(EC80=EB80,EU$44=1),0,
IF(AND(EU$44&gt;1,EC80=$N80),1-SUM($EN80:ET80),
IF($N80&lt;=1,
IF($N80&gt;0,1/$N80,0),
IF(EU$44=2,0,VDB(1,0,$N80,INT(EU$44-2-1),MIN($N80,INT(EU$44-2-1)+1),$DC80,IF($DD80="No",1,0))/
IF(EB80&gt;=INT($N80),$N80-INT($N80),1)))*
IF(EU$44=2,0,
IF(INT(EC80)=INT(EB80),EC80-EB80,INT(EC80)-EB80))+
IF($N80&lt;=1,
IF($N80&gt;0,1/$N80,0),VDB(1,0,$N80,INT(EU$44-2),MIN($N80,INT(EU$44-2)+1),$DC80,IF($DD80="No",1,0))/
IF(EC80&gt;INT($N80),$N80-INT($N80),1))*
IF(EU$44=2,EC80,
IF(INT(EC80)=INT(EB80),0,EC80-INT(EC80)))))</f>
        <v>0</v>
      </c>
      <c r="EV80" s="836">
        <f>+IF(OR(ED80=EC80,EV$44=1),0,
IF(AND(EV$44&gt;1,ED80=$N80),1-SUM($EN80:EU80),
IF($N80&lt;=1,
IF($N80&gt;0,1/$N80,0),
IF(EV$44=2,0,VDB(1,0,$N80,INT(EV$44-2-1),MIN($N80,INT(EV$44-2-1)+1),$DC80,IF($DD80="No",1,0))/
IF(EC80&gt;=INT($N80),$N80-INT($N80),1)))*
IF(EV$44=2,0,
IF(INT(ED80)=INT(EC80),ED80-EC80,INT(ED80)-EC80))+
IF($N80&lt;=1,
IF($N80&gt;0,1/$N80,0),VDB(1,0,$N80,INT(EV$44-2),MIN($N80,INT(EV$44-2)+1),$DC80,IF($DD80="No",1,0))/
IF(ED80&gt;INT($N80),$N80-INT($N80),1))*
IF(EV$44=2,ED80,
IF(INT(ED80)=INT(EC80),0,ED80-INT(ED80)))))</f>
        <v>0</v>
      </c>
      <c r="EW80" s="833"/>
      <c r="EX80" s="834">
        <f t="shared" ca="1" si="190"/>
        <v>0</v>
      </c>
      <c r="EY80" s="835">
        <f t="shared" ca="1" si="190"/>
        <v>0</v>
      </c>
      <c r="EZ80" s="836">
        <f t="shared" ca="1" si="190"/>
        <v>0</v>
      </c>
      <c r="FA80" s="834">
        <f t="shared" ca="1" si="190"/>
        <v>0</v>
      </c>
      <c r="FB80" s="835">
        <f t="shared" ca="1" si="190"/>
        <v>0</v>
      </c>
      <c r="FC80" s="835">
        <f t="shared" ca="1" si="190"/>
        <v>0</v>
      </c>
      <c r="FD80" s="835">
        <f t="shared" ca="1" si="190"/>
        <v>0</v>
      </c>
      <c r="FE80" s="836">
        <f t="shared" ca="1" si="190"/>
        <v>0</v>
      </c>
      <c r="FG80" s="386">
        <f t="shared" ca="1" si="237"/>
        <v>0</v>
      </c>
      <c r="FH80" s="387">
        <f t="shared" ca="1" si="238"/>
        <v>0</v>
      </c>
      <c r="FI80" s="388">
        <f t="shared" ca="1" si="239"/>
        <v>0</v>
      </c>
      <c r="FJ80" s="386">
        <f t="shared" ca="1" si="240"/>
        <v>0</v>
      </c>
      <c r="FK80" s="387">
        <f t="shared" ca="1" si="241"/>
        <v>0</v>
      </c>
      <c r="FL80" s="387">
        <f t="shared" ca="1" si="242"/>
        <v>0</v>
      </c>
      <c r="FM80" s="387">
        <f t="shared" ca="1" si="243"/>
        <v>0</v>
      </c>
      <c r="FN80" s="388">
        <f t="shared" ca="1" si="244"/>
        <v>0</v>
      </c>
      <c r="FR80" s="116"/>
    </row>
    <row r="81" spans="2:174">
      <c r="B81" s="1410">
        <f t="shared" si="135"/>
        <v>35</v>
      </c>
      <c r="C81" s="400" t="s">
        <v>561</v>
      </c>
      <c r="D81" s="410"/>
      <c r="E81" s="402" t="s">
        <v>401</v>
      </c>
      <c r="F81" s="402" t="s">
        <v>527</v>
      </c>
      <c r="G81" s="400" t="s">
        <v>515</v>
      </c>
      <c r="H81" s="2088" t="s">
        <v>483</v>
      </c>
      <c r="I81" s="2089"/>
      <c r="J81" s="411" t="s">
        <v>516</v>
      </c>
      <c r="K81" s="403" t="s">
        <v>544</v>
      </c>
      <c r="L81" s="403">
        <v>25</v>
      </c>
      <c r="M81" s="403" t="s">
        <v>142</v>
      </c>
      <c r="N81" s="403"/>
      <c r="O81" s="347"/>
      <c r="P81" s="347"/>
      <c r="Q81" s="1021">
        <v>0</v>
      </c>
      <c r="R81" s="1022">
        <v>0</v>
      </c>
      <c r="S81" s="1022">
        <v>0</v>
      </c>
      <c r="T81" s="1022">
        <v>0</v>
      </c>
      <c r="U81" s="1023">
        <v>1.0606251451314208</v>
      </c>
      <c r="V81" s="1021">
        <v>0</v>
      </c>
      <c r="W81" s="1022">
        <v>0</v>
      </c>
      <c r="X81" s="1022">
        <v>0</v>
      </c>
      <c r="Y81" s="1022">
        <v>0</v>
      </c>
      <c r="Z81" s="1023">
        <v>7.7779177309637504</v>
      </c>
      <c r="AA81" s="1024"/>
      <c r="AB81" s="1021">
        <v>0</v>
      </c>
      <c r="AC81" s="1022">
        <v>0</v>
      </c>
      <c r="AD81" s="1022">
        <v>0</v>
      </c>
      <c r="AE81" s="1022">
        <v>0</v>
      </c>
      <c r="AF81" s="1023">
        <v>0</v>
      </c>
      <c r="AG81" s="1021">
        <v>0</v>
      </c>
      <c r="AH81" s="1022">
        <v>0</v>
      </c>
      <c r="AI81" s="1022">
        <v>0</v>
      </c>
      <c r="AJ81" s="1022">
        <v>0</v>
      </c>
      <c r="AK81" s="1023">
        <v>0</v>
      </c>
      <c r="AL81" s="1024"/>
      <c r="AM81" s="1021">
        <v>0</v>
      </c>
      <c r="AN81" s="1022">
        <v>0</v>
      </c>
      <c r="AO81" s="1022">
        <v>0</v>
      </c>
      <c r="AP81" s="1022">
        <v>0</v>
      </c>
      <c r="AQ81" s="1023">
        <v>0</v>
      </c>
      <c r="AR81" s="1021">
        <v>0</v>
      </c>
      <c r="AS81" s="1022">
        <v>0</v>
      </c>
      <c r="AT81" s="1022">
        <v>0</v>
      </c>
      <c r="AU81" s="1022">
        <v>0</v>
      </c>
      <c r="AV81" s="1023">
        <v>0</v>
      </c>
      <c r="AW81" s="1025"/>
      <c r="AX81" s="1282">
        <f t="shared" si="191"/>
        <v>0</v>
      </c>
      <c r="AY81" s="387">
        <f t="shared" si="192"/>
        <v>0</v>
      </c>
      <c r="AZ81" s="387">
        <f t="shared" si="193"/>
        <v>0</v>
      </c>
      <c r="BA81" s="387">
        <f t="shared" si="194"/>
        <v>0</v>
      </c>
      <c r="BB81" s="1283">
        <f t="shared" si="195"/>
        <v>1.0606251451314208</v>
      </c>
      <c r="BC81" s="386">
        <f t="shared" si="196"/>
        <v>0</v>
      </c>
      <c r="BD81" s="387">
        <f t="shared" si="197"/>
        <v>0</v>
      </c>
      <c r="BE81" s="1277">
        <f t="shared" si="198"/>
        <v>0</v>
      </c>
      <c r="BF81" s="1277">
        <f t="shared" si="199"/>
        <v>0</v>
      </c>
      <c r="BG81" s="388">
        <f t="shared" si="200"/>
        <v>7.7779177309637504</v>
      </c>
      <c r="BH81" s="1025"/>
      <c r="BI81" s="1282">
        <f t="shared" ca="1" si="201"/>
        <v>0</v>
      </c>
      <c r="BJ81" s="387">
        <f t="shared" ca="1" si="202"/>
        <v>0</v>
      </c>
      <c r="BK81" s="387">
        <f t="shared" ca="1" si="203"/>
        <v>0</v>
      </c>
      <c r="BL81" s="387">
        <f t="shared" ca="1" si="204"/>
        <v>0</v>
      </c>
      <c r="BM81" s="1283">
        <f t="shared" ca="1" si="205"/>
        <v>2.1212502902628418E-2</v>
      </c>
      <c r="BN81" s="386">
        <f t="shared" ca="1" si="206"/>
        <v>4.2425005805256835E-2</v>
      </c>
      <c r="BO81" s="387">
        <f t="shared" ca="1" si="207"/>
        <v>4.2425005805256835E-2</v>
      </c>
      <c r="BP81" s="1277">
        <f t="shared" ca="1" si="208"/>
        <v>4.2425005805256835E-2</v>
      </c>
      <c r="BQ81" s="1277">
        <f t="shared" ca="1" si="209"/>
        <v>4.2425005805256835E-2</v>
      </c>
      <c r="BR81" s="388">
        <f t="shared" ca="1" si="210"/>
        <v>0.19798336042453185</v>
      </c>
      <c r="BS81" s="1025"/>
      <c r="BT81" s="1282">
        <f>+IF($K81="Ongoing",AX81,IF(RIGHT($K81,2)=RIGHT(BT$43,2),SUM($AX81:AX81),0)+IF(RIGHT(BT$43,2)&gt;RIGHT($K81,2),AX81,0))</f>
        <v>0</v>
      </c>
      <c r="BU81" s="387">
        <f>+IF($K81="Ongoing",AY81,IF(RIGHT($K81,2)=RIGHT(BU$43,2),SUM($AX81:AY81),0)+IF(RIGHT(BU$43,2)&gt;RIGHT($K81,2),AY81,0))</f>
        <v>0</v>
      </c>
      <c r="BV81" s="387">
        <f>+IF($K81="Ongoing",AZ81,IF(RIGHT($K81,2)=RIGHT(BV$43,2),SUM($AX81:AZ81),0)+IF(RIGHT(BV$43,2)&gt;RIGHT($K81,2),AZ81,0))</f>
        <v>0</v>
      </c>
      <c r="BW81" s="387">
        <f>+IF($K81="Ongoing",BA81,IF(RIGHT($K81,2)=RIGHT(BW$43,2),SUM($AX81:BA81),0)+IF(RIGHT(BW$43,2)&gt;RIGHT($K81,2),BA81,0))</f>
        <v>0</v>
      </c>
      <c r="BX81" s="1283">
        <f>+IF($K81="Ongoing",BB81,IF(RIGHT($K81,2)=RIGHT(BX$43,2),SUM($AX81:BB81),0)+IF(RIGHT(BX$43,2)&gt;RIGHT($K81,2),BB81,0))</f>
        <v>1.0606251451314208</v>
      </c>
      <c r="BY81" s="386">
        <f>+IF($K81="Ongoing",BC81,IF(RIGHT($K81,2)=RIGHT(BY$43,2),SUM($AX81:BC81),0)+IF(RIGHT(BY$43,2)&gt;RIGHT($K81,2),BC81,0))</f>
        <v>0</v>
      </c>
      <c r="BZ81" s="387">
        <f>+IF($K81="Ongoing",BD81,IF(RIGHT($K81,2)=RIGHT(BZ$43,2),SUM($AX81:BD81),0)+IF(RIGHT(BZ$43,2)&gt;RIGHT($K81,2),BD81,0))</f>
        <v>0</v>
      </c>
      <c r="CA81" s="1277">
        <f>+IF($K81="Ongoing",BE81,IF(RIGHT($K81,2)=RIGHT(CA$43,2),SUM($AX81:BE81),0)+IF(RIGHT(CA$43,2)&gt;RIGHT($K81,2),BE81,0))</f>
        <v>0</v>
      </c>
      <c r="CB81" s="1277">
        <f>+IF($K81="Ongoing",BF81,IF(RIGHT($K81,2)=RIGHT(CB$43,2),SUM($AX81:BF81),0)+IF(RIGHT(CB$43,2)&gt;RIGHT($K81,2),BF81,0))</f>
        <v>0</v>
      </c>
      <c r="CC81" s="388">
        <f>+IF($K81="Ongoing",BG81,IF(RIGHT($K81,2)=RIGHT(CC$43,2),SUM($AX81:BG81),0)+IF(RIGHT(CC$43,2)&gt;RIGHT($K81,2),BG81,0))</f>
        <v>7.7779177309637504</v>
      </c>
      <c r="CD81" s="1025"/>
      <c r="CE81" s="1282">
        <f>+Q81*KeyAssumptionsPriceControl_FO!AF$15</f>
        <v>0</v>
      </c>
      <c r="CF81" s="387">
        <f>+R81*KeyAssumptionsPriceControl_FO!AG$15</f>
        <v>0</v>
      </c>
      <c r="CG81" s="387">
        <f>+S81*KeyAssumptionsPriceControl_FO!AH$15</f>
        <v>0</v>
      </c>
      <c r="CH81" s="387">
        <f>+T81*KeyAssumptionsPriceControl_FO!AI$15</f>
        <v>0</v>
      </c>
      <c r="CI81" s="1283">
        <f>+U81*KeyAssumptionsPriceControl_FO!AJ$15</f>
        <v>1.2235980970673845</v>
      </c>
      <c r="CJ81" s="386">
        <f>+V81*KeyAssumptionsPriceControl_FO!AK$15</f>
        <v>0</v>
      </c>
      <c r="CK81" s="387">
        <f>+W81*KeyAssumptionsPriceControl_FO!AL$15</f>
        <v>0</v>
      </c>
      <c r="CL81" s="1277">
        <f>+X81*KeyAssumptionsPriceControl_FO!AM$15</f>
        <v>0</v>
      </c>
      <c r="CM81" s="1277">
        <f>+Y81*KeyAssumptionsPriceControl_FO!AN$15</f>
        <v>0</v>
      </c>
      <c r="CN81" s="388">
        <f>+Z81*KeyAssumptionsPriceControl_FO!AO$15</f>
        <v>10.351829082570919</v>
      </c>
      <c r="CO81" s="1025"/>
      <c r="CP81" s="1282">
        <f t="shared" ca="1" si="211"/>
        <v>0</v>
      </c>
      <c r="CQ81" s="387">
        <f t="shared" ca="1" si="212"/>
        <v>0</v>
      </c>
      <c r="CR81" s="387">
        <f t="shared" ca="1" si="213"/>
        <v>0</v>
      </c>
      <c r="CS81" s="387">
        <f t="shared" ca="1" si="214"/>
        <v>0</v>
      </c>
      <c r="CT81" s="1283">
        <f t="shared" ca="1" si="215"/>
        <v>0</v>
      </c>
      <c r="CU81" s="386">
        <f t="shared" ca="1" si="216"/>
        <v>0</v>
      </c>
      <c r="CV81" s="387">
        <f t="shared" ca="1" si="217"/>
        <v>0</v>
      </c>
      <c r="CW81" s="1277">
        <f t="shared" ca="1" si="218"/>
        <v>0</v>
      </c>
      <c r="CX81" s="1277">
        <f t="shared" ca="1" si="219"/>
        <v>0</v>
      </c>
      <c r="CY81" s="388">
        <f t="shared" ca="1" si="220"/>
        <v>0</v>
      </c>
      <c r="CZ81" s="347"/>
      <c r="DA81" s="852"/>
      <c r="DB81" s="347"/>
      <c r="DC81" s="1012" t="s">
        <v>563</v>
      </c>
      <c r="DD81" s="841" t="s">
        <v>518</v>
      </c>
      <c r="DE81" s="386">
        <f>+IF($K81="ongoing",CE81,IF(RIGHT($K81,2)=RIGHT(DE$43,2),SUM($CD81:CE81),0)+IF(RIGHT(DE$43,2)&gt;RIGHT($K81,2),CE81,0))</f>
        <v>0</v>
      </c>
      <c r="DF81" s="387">
        <f>+IF($K81="ongoing",CF81,IF(RIGHT($K81,2)=RIGHT(DF$43,2),SUM($CD81:CF81),0)+IF(RIGHT(DF$43,2)&gt;RIGHT($K81,2),CF81,0))</f>
        <v>0</v>
      </c>
      <c r="DG81" s="388">
        <f>+IF($K81="ongoing",CG81,IF(RIGHT($K81,2)=RIGHT(DG$43,2),SUM($CD81:CG81),0)+IF(RIGHT(DG$43,2)&gt;RIGHT($K81,2),CG81,0))</f>
        <v>0</v>
      </c>
      <c r="DH81" s="386">
        <f>+IF($K81="ongoing",CH81,IF(RIGHT($K81,2)=RIGHT(DH$43,2),SUM($CD81:CH81),0)+IF(RIGHT(DH$43,2)&gt;RIGHT($K81,2),CH81,0))</f>
        <v>0</v>
      </c>
      <c r="DI81" s="387">
        <f>+IF($K81="ongoing",CI81,IF(RIGHT($K81,2)=RIGHT(DI$43,2),SUM($CD81:CI81),0)+IF(RIGHT(DI$43,2)&gt;RIGHT($K81,2),CI81,0))</f>
        <v>1.2235980970673845</v>
      </c>
      <c r="DJ81" s="387">
        <f>+IF($K81="ongoing",CJ81,IF(RIGHT($K81,2)=RIGHT(DJ$43,2),SUM($CD81:CJ81),0)+IF(RIGHT(DJ$43,2)&gt;RIGHT($K81,2),CJ81,0))</f>
        <v>0</v>
      </c>
      <c r="DK81" s="387">
        <f>+IF($K81="ongoing",CK81,IF(RIGHT($K81,2)=RIGHT(DK$43,2),SUM($CD81:CK81),0)+IF(RIGHT(DK$43,2)&gt;RIGHT($K81,2),CK81,0))</f>
        <v>0</v>
      </c>
      <c r="DL81" s="388">
        <f>+IF($K81="ongoing",CN81,IF(RIGHT($K81,2)=RIGHT(DL$43,2),SUM($CD81:CN81),0)+IF(RIGHT(DL$43,2)&gt;RIGHT($K81,2),CN81,0))</f>
        <v>10.351829082570919</v>
      </c>
      <c r="DM81" s="841"/>
      <c r="DN81" s="386">
        <f t="shared" si="221"/>
        <v>0.5</v>
      </c>
      <c r="DO81" s="387">
        <f t="shared" si="222"/>
        <v>1</v>
      </c>
      <c r="DP81" s="388">
        <f t="shared" si="223"/>
        <v>1</v>
      </c>
      <c r="DQ81" s="386">
        <f t="shared" si="224"/>
        <v>1</v>
      </c>
      <c r="DR81" s="387">
        <f t="shared" si="225"/>
        <v>1</v>
      </c>
      <c r="DS81" s="387">
        <f t="shared" si="226"/>
        <v>1</v>
      </c>
      <c r="DT81" s="387">
        <f t="shared" si="227"/>
        <v>1</v>
      </c>
      <c r="DU81" s="388">
        <f t="shared" si="228"/>
        <v>1</v>
      </c>
      <c r="DW81" s="386">
        <f t="shared" si="229"/>
        <v>0</v>
      </c>
      <c r="DX81" s="387">
        <f t="shared" si="230"/>
        <v>0.5</v>
      </c>
      <c r="DY81" s="388">
        <f t="shared" si="231"/>
        <v>1</v>
      </c>
      <c r="DZ81" s="386">
        <f t="shared" si="232"/>
        <v>1</v>
      </c>
      <c r="EA81" s="387">
        <f t="shared" si="233"/>
        <v>1</v>
      </c>
      <c r="EB81" s="387">
        <f t="shared" si="234"/>
        <v>1</v>
      </c>
      <c r="EC81" s="387">
        <f t="shared" si="235"/>
        <v>1</v>
      </c>
      <c r="ED81" s="388">
        <f t="shared" si="236"/>
        <v>1</v>
      </c>
      <c r="EF81" s="834">
        <f>+IF(DN81=DM81,0,
IF(AND(EF$44&gt;1,DN81=$N81),1-SUM($EE81:EE81),
IF($N81&lt;=1,
IF($N81&gt;0,1/$N81,0),
IF(EF$44=1,0,VDB(1,0,$N81,INT(EF$44-1-1),MIN($N81,INT(EF$44-1-1)+1),$DC81,IF($DD81="No",1,0))/
IF(DM81&gt;=INT($N81),$N81-INT($N81),1)))*
IF(EF$44=1,0,
IF(INT(DN81)=INT(DM81),DN81-DM81,INT(DN81)-DM81))+
IF($N81&lt;=1,
IF($N81&gt;0,1/$N81,0),VDB(1,0,$N81,INT(EF$44-1),MIN($N81,INT(EF$44-1)+1),$DC81,IF($DD81="No",1,0))/
IF(DN81&gt;INT($N81),$N81-INT($N81),1))*
IF(EF$44=1,DN81,
IF(INT(DN81)=INT(DM81),0,DN81-INT(DN81)))))</f>
        <v>0</v>
      </c>
      <c r="EG81" s="835">
        <f>+IF(DO81=DN81,0,
IF(AND(EG$44&gt;1,DO81=$N81),1-SUM($EE81:EF81),
IF($N81&lt;=1,
IF($N81&gt;0,1/$N81,0),
IF(EG$44=1,0,VDB(1,0,$N81,INT(EG$44-1-1),MIN($N81,INT(EG$44-1-1)+1),$DC81,IF($DD81="No",1,0))/
IF(DN81&gt;=INT($N81),$N81-INT($N81),1)))*
IF(EG$44=1,0,
IF(INT(DO81)=INT(DN81),DO81-DN81,INT(DO81)-DN81))+
IF($N81&lt;=1,
IF($N81&gt;0,1/$N81,0),VDB(1,0,$N81,INT(EG$44-1),MIN($N81,INT(EG$44-1)+1),$DC81,IF($DD81="No",1,0))/
IF(DO81&gt;INT($N81),$N81-INT($N81),1))*
IF(EG$44=1,DO81,
IF(INT(DO81)=INT(DN81),0,DO81-INT(DO81)))))</f>
        <v>0</v>
      </c>
      <c r="EH81" s="836">
        <f>+IF(DP81=DO81,0,
IF(AND(EH$44&gt;1,DP81=$N81),1-SUM($EE81:EG81),
IF($N81&lt;=1,
IF($N81&gt;0,1/$N81,0),
IF(EH$44=1,0,VDB(1,0,$N81,INT(EH$44-1-1),MIN($N81,INT(EH$44-1-1)+1),$DC81,IF($DD81="No",1,0))/
IF(DO81&gt;=INT($N81),$N81-INT($N81),1)))*
IF(EH$44=1,0,
IF(INT(DP81)=INT(DO81),DP81-DO81,INT(DP81)-DO81))+
IF($N81&lt;=1,
IF($N81&gt;0,1/$N81,0),VDB(1,0,$N81,INT(EH$44-1),MIN($N81,INT(EH$44-1)+1),$DC81,IF($DD81="No",1,0))/
IF(DP81&gt;INT($N81),$N81-INT($N81),1))*
IF(EH$44=1,DP81,
IF(INT(DP81)=INT(DO81),0,DP81-INT(DP81)))))</f>
        <v>0</v>
      </c>
      <c r="EI81" s="834">
        <f>+IF(DQ81=DP81,0,
IF(AND(EI$44&gt;1,DQ81=$N81),1-SUM($EE81:EH81),
IF($N81&lt;=1,
IF($N81&gt;0,1/$N81,0),
IF(EI$44=1,0,VDB(1,0,$N81,INT(EI$44-1-1),MIN($N81,INT(EI$44-1-1)+1),$DC81,IF($DD81="No",1,0))/
IF(DP81&gt;=INT($N81),$N81-INT($N81),1)))*
IF(EI$44=1,0,
IF(INT(DQ81)=INT(DP81),DQ81-DP81,INT(DQ81)-DP81))+
IF($N81&lt;=1,
IF($N81&gt;0,1/$N81,0),VDB(1,0,$N81,INT(EI$44-1),MIN($N81,INT(EI$44-1)+1),$DC81,IF($DD81="No",1,0))/
IF(DQ81&gt;INT($N81),$N81-INT($N81),1))*
IF(EI$44=1,DQ81,
IF(INT(DQ81)=INT(DP81),0,DQ81-INT(DQ81)))))</f>
        <v>0</v>
      </c>
      <c r="EJ81" s="835">
        <f>+IF(DR81=DQ81,0,
IF(AND(EJ$44&gt;1,DR81=$N81),1-SUM($EE81:EI81),
IF($N81&lt;=1,
IF($N81&gt;0,1/$N81,0),
IF(EJ$44=1,0,VDB(1,0,$N81,INT(EJ$44-1-1),MIN($N81,INT(EJ$44-1-1)+1),$DC81,IF($DD81="No",1,0))/
IF(DQ81&gt;=INT($N81),$N81-INT($N81),1)))*
IF(EJ$44=1,0,
IF(INT(DR81)=INT(DQ81),DR81-DQ81,INT(DR81)-DQ81))+
IF($N81&lt;=1,
IF($N81&gt;0,1/$N81,0),VDB(1,0,$N81,INT(EJ$44-1),MIN($N81,INT(EJ$44-1)+1),$DC81,IF($DD81="No",1,0))/
IF(DR81&gt;INT($N81),$N81-INT($N81),1))*
IF(EJ$44=1,DR81,
IF(INT(DR81)=INT(DQ81),0,DR81-INT(DR81)))))</f>
        <v>0</v>
      </c>
      <c r="EK81" s="835">
        <f>+IF(DS81=DR81,0,
IF(AND(EK$44&gt;1,DS81=$N81),1-SUM($EE81:EJ81),
IF($N81&lt;=1,
IF($N81&gt;0,1/$N81,0),
IF(EK$44=1,0,VDB(1,0,$N81,INT(EK$44-1-1),MIN($N81,INT(EK$44-1-1)+1),$DC81,IF($DD81="No",1,0))/
IF(DR81&gt;=INT($N81),$N81-INT($N81),1)))*
IF(EK$44=1,0,
IF(INT(DS81)=INT(DR81),DS81-DR81,INT(DS81)-DR81))+
IF($N81&lt;=1,
IF($N81&gt;0,1/$N81,0),VDB(1,0,$N81,INT(EK$44-1),MIN($N81,INT(EK$44-1)+1),$DC81,IF($DD81="No",1,0))/
IF(DS81&gt;INT($N81),$N81-INT($N81),1))*
IF(EK$44=1,DS81,
IF(INT(DS81)=INT(DR81),0,DS81-INT(DS81)))))</f>
        <v>0</v>
      </c>
      <c r="EL81" s="835">
        <f>+IF(DT81=DS81,0,
IF(AND(EL$44&gt;1,DT81=$N81),1-SUM($EE81:EK81),
IF($N81&lt;=1,
IF($N81&gt;0,1/$N81,0),
IF(EL$44=1,0,VDB(1,0,$N81,INT(EL$44-1-1),MIN($N81,INT(EL$44-1-1)+1),$DC81,IF($DD81="No",1,0))/
IF(DS81&gt;=INT($N81),$N81-INT($N81),1)))*
IF(EL$44=1,0,
IF(INT(DT81)=INT(DS81),DT81-DS81,INT(DT81)-DS81))+
IF($N81&lt;=1,
IF($N81&gt;0,1/$N81,0),VDB(1,0,$N81,INT(EL$44-1),MIN($N81,INT(EL$44-1)+1),$DC81,IF($DD81="No",1,0))/
IF(DT81&gt;INT($N81),$N81-INT($N81),1))*
IF(EL$44=1,DT81,
IF(INT(DT81)=INT(DS81),0,DT81-INT(DT81)))))</f>
        <v>0</v>
      </c>
      <c r="EM81" s="836">
        <f>+IF(DU81=DT81,0,
IF(AND(EM$44&gt;1,DU81=$N81),1-SUM($EE81:EL81),
IF($N81&lt;=1,
IF($N81&gt;0,1/$N81,0),
IF(EM$44=1,0,VDB(1,0,$N81,INT(EM$44-1-1),MIN($N81,INT(EM$44-1-1)+1),$DC81,IF($DD81="No",1,0))/
IF(DT81&gt;=INT($N81),$N81-INT($N81),1)))*
IF(EM$44=1,0,
IF(INT(DU81)=INT(DT81),DU81-DT81,INT(DU81)-DT81))+
IF($N81&lt;=1,
IF($N81&gt;0,1/$N81,0),VDB(1,0,$N81,INT(EM$44-1),MIN($N81,INT(EM$44-1)+1),$DC81,IF($DD81="No",1,0))/
IF(DU81&gt;INT($N81),$N81-INT($N81),1))*
IF(EM$44=1,DU81,
IF(INT(DU81)=INT(DT81),0,DU81-INT(DU81)))))</f>
        <v>0</v>
      </c>
      <c r="EN81" s="833"/>
      <c r="EO81" s="834">
        <f>+IF(OR(DW81=DV81,EO$44=1),0,
IF(AND(EO$44&gt;1,DW81=$N81),1-SUM($EN81:EN81),
IF($N81&lt;=1,
IF($N81&gt;0,1/$N81,0),
IF(EO$44=2,0,VDB(1,0,$N81,INT(EO$44-2-1),MIN($N81,INT(EO$44-2-1)+1),$DC81,IF($DD81="No",1,0))/
IF(DV81&gt;=INT($N81),$N81-INT($N81),1)))*
IF(EO$44=2,0,
IF(INT(DW81)=INT(DV81),DW81-DV81,INT(DW81)-DV81))+
IF($N81&lt;=1,
IF($N81&gt;0,1/$N81,0),VDB(1,0,$N81,INT(EO$44-2),MIN($N81,INT(EO$44-2)+1),$DC81,IF($DD81="No",1,0))/
IF(DW81&gt;INT($N81),$N81-INT($N81),1))*
IF(EO$44=2,DW81,
IF(INT(DW81)=INT(DV81),0,DW81-INT(DW81)))))</f>
        <v>0</v>
      </c>
      <c r="EP81" s="835">
        <f>+IF(OR(DX81=DW81,EP$44=1),0,
IF(AND(EP$44&gt;1,DX81=$N81),1-SUM($EN81:EO81),
IF($N81&lt;=1,
IF($N81&gt;0,1/$N81,0),
IF(EP$44=2,0,VDB(1,0,$N81,INT(EP$44-2-1),MIN($N81,INT(EP$44-2-1)+1),$DC81,IF($DD81="No",1,0))/
IF(DW81&gt;=INT($N81),$N81-INT($N81),1)))*
IF(EP$44=2,0,
IF(INT(DX81)=INT(DW81),DX81-DW81,INT(DX81)-DW81))+
IF($N81&lt;=1,
IF($N81&gt;0,1/$N81,0),VDB(1,0,$N81,INT(EP$44-2),MIN($N81,INT(EP$44-2)+1),$DC81,IF($DD81="No",1,0))/
IF(DX81&gt;INT($N81),$N81-INT($N81),1))*
IF(EP$44=2,DX81,
IF(INT(DX81)=INT(DW81),0,DX81-INT(DX81)))))</f>
        <v>0</v>
      </c>
      <c r="EQ81" s="836">
        <f>+IF(OR(DY81=DX81,EQ$44=1),0,
IF(AND(EQ$44&gt;1,DY81=$N81),1-SUM($EN81:EP81),
IF($N81&lt;=1,
IF($N81&gt;0,1/$N81,0),
IF(EQ$44=2,0,VDB(1,0,$N81,INT(EQ$44-2-1),MIN($N81,INT(EQ$44-2-1)+1),$DC81,IF($DD81="No",1,0))/
IF(DX81&gt;=INT($N81),$N81-INT($N81),1)))*
IF(EQ$44=2,0,
IF(INT(DY81)=INT(DX81),DY81-DX81,INT(DY81)-DX81))+
IF($N81&lt;=1,
IF($N81&gt;0,1/$N81,0),VDB(1,0,$N81,INT(EQ$44-2),MIN($N81,INT(EQ$44-2)+1),$DC81,IF($DD81="No",1,0))/
IF(DY81&gt;INT($N81),$N81-INT($N81),1))*
IF(EQ$44=2,DY81,
IF(INT(DY81)=INT(DX81),0,DY81-INT(DY81)))))</f>
        <v>0</v>
      </c>
      <c r="ER81" s="834">
        <f>+IF(OR(DZ81=DY81,ER$44=1),0,
IF(AND(ER$44&gt;1,DZ81=$N81),1-SUM($EN81:EQ81),
IF($N81&lt;=1,
IF($N81&gt;0,1/$N81,0),
IF(ER$44=2,0,VDB(1,0,$N81,INT(ER$44-2-1),MIN($N81,INT(ER$44-2-1)+1),$DC81,IF($DD81="No",1,0))/
IF(DY81&gt;=INT($N81),$N81-INT($N81),1)))*
IF(ER$44=2,0,
IF(INT(DZ81)=INT(DY81),DZ81-DY81,INT(DZ81)-DY81))+
IF($N81&lt;=1,
IF($N81&gt;0,1/$N81,0),VDB(1,0,$N81,INT(ER$44-2),MIN($N81,INT(ER$44-2)+1),$DC81,IF($DD81="No",1,0))/
IF(DZ81&gt;INT($N81),$N81-INT($N81),1))*
IF(ER$44=2,DZ81,
IF(INT(DZ81)=INT(DY81),0,DZ81-INT(DZ81)))))</f>
        <v>0</v>
      </c>
      <c r="ES81" s="835">
        <f>+IF(OR(EA81=DZ81,ES$44=1),0,
IF(AND(ES$44&gt;1,EA81=$N81),1-SUM($EN81:ER81),
IF($N81&lt;=1,
IF($N81&gt;0,1/$N81,0),
IF(ES$44=2,0,VDB(1,0,$N81,INT(ES$44-2-1),MIN($N81,INT(ES$44-2-1)+1),$DC81,IF($DD81="No",1,0))/
IF(DZ81&gt;=INT($N81),$N81-INT($N81),1)))*
IF(ES$44=2,0,
IF(INT(EA81)=INT(DZ81),EA81-DZ81,INT(EA81)-DZ81))+
IF($N81&lt;=1,
IF($N81&gt;0,1/$N81,0),VDB(1,0,$N81,INT(ES$44-2),MIN($N81,INT(ES$44-2)+1),$DC81,IF($DD81="No",1,0))/
IF(EA81&gt;INT($N81),$N81-INT($N81),1))*
IF(ES$44=2,EA81,
IF(INT(EA81)=INT(DZ81),0,EA81-INT(EA81)))))</f>
        <v>0</v>
      </c>
      <c r="ET81" s="835">
        <f>+IF(OR(EB81=EA81,ET$44=1),0,
IF(AND(ET$44&gt;1,EB81=$N81),1-SUM($EN81:ES81),
IF($N81&lt;=1,
IF($N81&gt;0,1/$N81,0),
IF(ET$44=2,0,VDB(1,0,$N81,INT(ET$44-2-1),MIN($N81,INT(ET$44-2-1)+1),$DC81,IF($DD81="No",1,0))/
IF(EA81&gt;=INT($N81),$N81-INT($N81),1)))*
IF(ET$44=2,0,
IF(INT(EB81)=INT(EA81),EB81-EA81,INT(EB81)-EA81))+
IF($N81&lt;=1,
IF($N81&gt;0,1/$N81,0),VDB(1,0,$N81,INT(ET$44-2),MIN($N81,INT(ET$44-2)+1),$DC81,IF($DD81="No",1,0))/
IF(EB81&gt;INT($N81),$N81-INT($N81),1))*
IF(ET$44=2,EB81,
IF(INT(EB81)=INT(EA81),0,EB81-INT(EB81)))))</f>
        <v>0</v>
      </c>
      <c r="EU81" s="835">
        <f>+IF(OR(EC81=EB81,EU$44=1),0,
IF(AND(EU$44&gt;1,EC81=$N81),1-SUM($EN81:ET81),
IF($N81&lt;=1,
IF($N81&gt;0,1/$N81,0),
IF(EU$44=2,0,VDB(1,0,$N81,INT(EU$44-2-1),MIN($N81,INT(EU$44-2-1)+1),$DC81,IF($DD81="No",1,0))/
IF(EB81&gt;=INT($N81),$N81-INT($N81),1)))*
IF(EU$44=2,0,
IF(INT(EC81)=INT(EB81),EC81-EB81,INT(EC81)-EB81))+
IF($N81&lt;=1,
IF($N81&gt;0,1/$N81,0),VDB(1,0,$N81,INT(EU$44-2),MIN($N81,INT(EU$44-2)+1),$DC81,IF($DD81="No",1,0))/
IF(EC81&gt;INT($N81),$N81-INT($N81),1))*
IF(EU$44=2,EC81,
IF(INT(EC81)=INT(EB81),0,EC81-INT(EC81)))))</f>
        <v>0</v>
      </c>
      <c r="EV81" s="836">
        <f>+IF(OR(ED81=EC81,EV$44=1),0,
IF(AND(EV$44&gt;1,ED81=$N81),1-SUM($EN81:EU81),
IF($N81&lt;=1,
IF($N81&gt;0,1/$N81,0),
IF(EV$44=2,0,VDB(1,0,$N81,INT(EV$44-2-1),MIN($N81,INT(EV$44-2-1)+1),$DC81,IF($DD81="No",1,0))/
IF(EC81&gt;=INT($N81),$N81-INT($N81),1)))*
IF(EV$44=2,0,
IF(INT(ED81)=INT(EC81),ED81-EC81,INT(ED81)-EC81))+
IF($N81&lt;=1,
IF($N81&gt;0,1/$N81,0),VDB(1,0,$N81,INT(EV$44-2),MIN($N81,INT(EV$44-2)+1),$DC81,IF($DD81="No",1,0))/
IF(ED81&gt;INT($N81),$N81-INT($N81),1))*
IF(EV$44=2,ED81,
IF(INT(ED81)=INT(EC81),0,ED81-INT(ED81)))))</f>
        <v>0</v>
      </c>
      <c r="EW81" s="833"/>
      <c r="EX81" s="834">
        <f t="shared" ca="1" si="190"/>
        <v>0</v>
      </c>
      <c r="EY81" s="835">
        <f t="shared" ca="1" si="190"/>
        <v>0</v>
      </c>
      <c r="EZ81" s="836">
        <f t="shared" ca="1" si="190"/>
        <v>0</v>
      </c>
      <c r="FA81" s="834">
        <f t="shared" ca="1" si="190"/>
        <v>0</v>
      </c>
      <c r="FB81" s="835">
        <f t="shared" ca="1" si="190"/>
        <v>0</v>
      </c>
      <c r="FC81" s="835">
        <f t="shared" ca="1" si="190"/>
        <v>0</v>
      </c>
      <c r="FD81" s="835">
        <f t="shared" ca="1" si="190"/>
        <v>0</v>
      </c>
      <c r="FE81" s="836">
        <f t="shared" ca="1" si="190"/>
        <v>0</v>
      </c>
      <c r="FG81" s="386">
        <f t="shared" ca="1" si="237"/>
        <v>0</v>
      </c>
      <c r="FH81" s="387">
        <f t="shared" ca="1" si="238"/>
        <v>0</v>
      </c>
      <c r="FI81" s="388">
        <f t="shared" ca="1" si="239"/>
        <v>0</v>
      </c>
      <c r="FJ81" s="386">
        <f t="shared" ca="1" si="240"/>
        <v>0</v>
      </c>
      <c r="FK81" s="387">
        <f t="shared" ca="1" si="241"/>
        <v>0</v>
      </c>
      <c r="FL81" s="387">
        <f t="shared" ca="1" si="242"/>
        <v>0</v>
      </c>
      <c r="FM81" s="387">
        <f t="shared" ca="1" si="243"/>
        <v>0</v>
      </c>
      <c r="FN81" s="388">
        <f t="shared" ca="1" si="244"/>
        <v>0</v>
      </c>
      <c r="FR81" s="116"/>
    </row>
    <row r="82" spans="2:174">
      <c r="B82" s="1410">
        <f t="shared" si="135"/>
        <v>36</v>
      </c>
      <c r="C82" s="400" t="s">
        <v>564</v>
      </c>
      <c r="D82" s="410"/>
      <c r="E82" s="402" t="s">
        <v>401</v>
      </c>
      <c r="F82" s="402" t="s">
        <v>527</v>
      </c>
      <c r="G82" s="400" t="s">
        <v>515</v>
      </c>
      <c r="H82" s="2088" t="s">
        <v>483</v>
      </c>
      <c r="I82" s="2089"/>
      <c r="J82" s="411" t="s">
        <v>516</v>
      </c>
      <c r="K82" s="403" t="s">
        <v>544</v>
      </c>
      <c r="L82" s="403">
        <v>25</v>
      </c>
      <c r="M82" s="403" t="s">
        <v>142</v>
      </c>
      <c r="N82" s="403"/>
      <c r="O82" s="347"/>
      <c r="P82" s="347"/>
      <c r="Q82" s="1021">
        <v>5.9567307317073181</v>
      </c>
      <c r="R82" s="1022">
        <v>0</v>
      </c>
      <c r="S82" s="1022">
        <v>0.46429970545987448</v>
      </c>
      <c r="T82" s="1022">
        <v>2.2829956248953853</v>
      </c>
      <c r="U82" s="1023">
        <v>0</v>
      </c>
      <c r="V82" s="1021">
        <v>0</v>
      </c>
      <c r="W82" s="1022">
        <v>0</v>
      </c>
      <c r="X82" s="1022">
        <v>0</v>
      </c>
      <c r="Y82" s="1022">
        <v>0</v>
      </c>
      <c r="Z82" s="1023">
        <v>0</v>
      </c>
      <c r="AA82" s="1024"/>
      <c r="AB82" s="1021">
        <v>0</v>
      </c>
      <c r="AC82" s="1022">
        <v>0</v>
      </c>
      <c r="AD82" s="1022">
        <v>0</v>
      </c>
      <c r="AE82" s="1022">
        <v>0</v>
      </c>
      <c r="AF82" s="1023">
        <v>0</v>
      </c>
      <c r="AG82" s="1021">
        <v>0</v>
      </c>
      <c r="AH82" s="1022">
        <v>0</v>
      </c>
      <c r="AI82" s="1022">
        <v>0</v>
      </c>
      <c r="AJ82" s="1022">
        <v>0</v>
      </c>
      <c r="AK82" s="1023">
        <v>0</v>
      </c>
      <c r="AL82" s="1024"/>
      <c r="AM82" s="1021">
        <v>0</v>
      </c>
      <c r="AN82" s="1022">
        <v>0</v>
      </c>
      <c r="AO82" s="1022">
        <v>0</v>
      </c>
      <c r="AP82" s="1022">
        <v>0</v>
      </c>
      <c r="AQ82" s="1023">
        <v>0</v>
      </c>
      <c r="AR82" s="1021">
        <v>0</v>
      </c>
      <c r="AS82" s="1022">
        <v>0</v>
      </c>
      <c r="AT82" s="1022">
        <v>0</v>
      </c>
      <c r="AU82" s="1022">
        <v>0</v>
      </c>
      <c r="AV82" s="1023">
        <v>0</v>
      </c>
      <c r="AW82" s="1025"/>
      <c r="AX82" s="1282">
        <f t="shared" si="191"/>
        <v>5.9567307317073181</v>
      </c>
      <c r="AY82" s="387">
        <f t="shared" si="192"/>
        <v>0</v>
      </c>
      <c r="AZ82" s="387">
        <f t="shared" si="193"/>
        <v>0.46429970545987448</v>
      </c>
      <c r="BA82" s="387">
        <f t="shared" si="194"/>
        <v>2.2829956248953853</v>
      </c>
      <c r="BB82" s="1283">
        <f t="shared" si="195"/>
        <v>0</v>
      </c>
      <c r="BC82" s="386">
        <f t="shared" si="196"/>
        <v>0</v>
      </c>
      <c r="BD82" s="387">
        <f t="shared" si="197"/>
        <v>0</v>
      </c>
      <c r="BE82" s="1277">
        <f t="shared" si="198"/>
        <v>0</v>
      </c>
      <c r="BF82" s="1277">
        <f t="shared" si="199"/>
        <v>0</v>
      </c>
      <c r="BG82" s="388">
        <f t="shared" si="200"/>
        <v>0</v>
      </c>
      <c r="BH82" s="1025"/>
      <c r="BI82" s="1282">
        <f t="shared" ca="1" si="201"/>
        <v>0.11913461463414636</v>
      </c>
      <c r="BJ82" s="387">
        <f t="shared" ca="1" si="202"/>
        <v>0.23826922926829272</v>
      </c>
      <c r="BK82" s="387">
        <f t="shared" ca="1" si="203"/>
        <v>0.2475552233774902</v>
      </c>
      <c r="BL82" s="387">
        <f t="shared" ca="1" si="204"/>
        <v>0.30250112998459538</v>
      </c>
      <c r="BM82" s="1283">
        <f t="shared" ca="1" si="205"/>
        <v>0.34816104248250312</v>
      </c>
      <c r="BN82" s="386">
        <f t="shared" ca="1" si="206"/>
        <v>0.34816104248250312</v>
      </c>
      <c r="BO82" s="387">
        <f t="shared" ca="1" si="207"/>
        <v>0.34816104248250312</v>
      </c>
      <c r="BP82" s="1277">
        <f t="shared" ca="1" si="208"/>
        <v>0.34816104248250312</v>
      </c>
      <c r="BQ82" s="1277">
        <f t="shared" ca="1" si="209"/>
        <v>0.34816104248250312</v>
      </c>
      <c r="BR82" s="388">
        <f t="shared" ca="1" si="210"/>
        <v>0.34816104248250312</v>
      </c>
      <c r="BS82" s="1025"/>
      <c r="BT82" s="1282">
        <f>+IF($K82="Ongoing",AX82,IF(RIGHT($K82,2)=RIGHT(BT$43,2),SUM($AX82:AX82),0)+IF(RIGHT(BT$43,2)&gt;RIGHT($K82,2),AX82,0))</f>
        <v>5.9567307317073181</v>
      </c>
      <c r="BU82" s="387">
        <f>+IF($K82="Ongoing",AY82,IF(RIGHT($K82,2)=RIGHT(BU$43,2),SUM($AX82:AY82),0)+IF(RIGHT(BU$43,2)&gt;RIGHT($K82,2),AY82,0))</f>
        <v>0</v>
      </c>
      <c r="BV82" s="387">
        <f>+IF($K82="Ongoing",AZ82,IF(RIGHT($K82,2)=RIGHT(BV$43,2),SUM($AX82:AZ82),0)+IF(RIGHT(BV$43,2)&gt;RIGHT($K82,2),AZ82,0))</f>
        <v>0.46429970545987448</v>
      </c>
      <c r="BW82" s="387">
        <f>+IF($K82="Ongoing",BA82,IF(RIGHT($K82,2)=RIGHT(BW$43,2),SUM($AX82:BA82),0)+IF(RIGHT(BW$43,2)&gt;RIGHT($K82,2),BA82,0))</f>
        <v>2.2829956248953853</v>
      </c>
      <c r="BX82" s="1283">
        <f>+IF($K82="Ongoing",BB82,IF(RIGHT($K82,2)=RIGHT(BX$43,2),SUM($AX82:BB82),0)+IF(RIGHT(BX$43,2)&gt;RIGHT($K82,2),BB82,0))</f>
        <v>0</v>
      </c>
      <c r="BY82" s="386">
        <f>+IF($K82="Ongoing",BC82,IF(RIGHT($K82,2)=RIGHT(BY$43,2),SUM($AX82:BC82),0)+IF(RIGHT(BY$43,2)&gt;RIGHT($K82,2),BC82,0))</f>
        <v>0</v>
      </c>
      <c r="BZ82" s="387">
        <f>+IF($K82="Ongoing",BD82,IF(RIGHT($K82,2)=RIGHT(BZ$43,2),SUM($AX82:BD82),0)+IF(RIGHT(BZ$43,2)&gt;RIGHT($K82,2),BD82,0))</f>
        <v>0</v>
      </c>
      <c r="CA82" s="1277">
        <f>+IF($K82="Ongoing",BE82,IF(RIGHT($K82,2)=RIGHT(CA$43,2),SUM($AX82:BE82),0)+IF(RIGHT(CA$43,2)&gt;RIGHT($K82,2),BE82,0))</f>
        <v>0</v>
      </c>
      <c r="CB82" s="1277">
        <f>+IF($K82="Ongoing",BF82,IF(RIGHT($K82,2)=RIGHT(CB$43,2),SUM($AX82:BF82),0)+IF(RIGHT(CB$43,2)&gt;RIGHT($K82,2),BF82,0))</f>
        <v>0</v>
      </c>
      <c r="CC82" s="388">
        <f>+IF($K82="Ongoing",BG82,IF(RIGHT($K82,2)=RIGHT(CC$43,2),SUM($AX82:BG82),0)+IF(RIGHT(CC$43,2)&gt;RIGHT($K82,2),BG82,0))</f>
        <v>0</v>
      </c>
      <c r="CD82" s="1025"/>
      <c r="CE82" s="1282">
        <f>+Q82*KeyAssumptionsPriceControl_FO!AF$15</f>
        <v>6.1294759229268303</v>
      </c>
      <c r="CF82" s="387">
        <f>+R82*KeyAssumptionsPriceControl_FO!AG$15</f>
        <v>0</v>
      </c>
      <c r="CG82" s="387">
        <f>+S82*KeyAssumptionsPriceControl_FO!AH$15</f>
        <v>0.50587653179727521</v>
      </c>
      <c r="CH82" s="387">
        <f>+T82*KeyAssumptionsPriceControl_FO!AI$15</f>
        <v>2.5595674479470825</v>
      </c>
      <c r="CI82" s="1283">
        <f>+U82*KeyAssumptionsPriceControl_FO!AJ$15</f>
        <v>0</v>
      </c>
      <c r="CJ82" s="386">
        <f>+V82*KeyAssumptionsPriceControl_FO!AK$15</f>
        <v>0</v>
      </c>
      <c r="CK82" s="387">
        <f>+W82*KeyAssumptionsPriceControl_FO!AL$15</f>
        <v>0</v>
      </c>
      <c r="CL82" s="1277">
        <f>+X82*KeyAssumptionsPriceControl_FO!AM$15</f>
        <v>0</v>
      </c>
      <c r="CM82" s="1277">
        <f>+Y82*KeyAssumptionsPriceControl_FO!AN$15</f>
        <v>0</v>
      </c>
      <c r="CN82" s="388">
        <f>+Z82*KeyAssumptionsPriceControl_FO!AO$15</f>
        <v>0</v>
      </c>
      <c r="CO82" s="1025"/>
      <c r="CP82" s="1282">
        <f t="shared" ca="1" si="211"/>
        <v>0</v>
      </c>
      <c r="CQ82" s="387">
        <f t="shared" ca="1" si="212"/>
        <v>0</v>
      </c>
      <c r="CR82" s="387">
        <f t="shared" ca="1" si="213"/>
        <v>0</v>
      </c>
      <c r="CS82" s="387">
        <f t="shared" ca="1" si="214"/>
        <v>0</v>
      </c>
      <c r="CT82" s="1283">
        <f t="shared" ca="1" si="215"/>
        <v>0</v>
      </c>
      <c r="CU82" s="386">
        <f t="shared" ca="1" si="216"/>
        <v>0</v>
      </c>
      <c r="CV82" s="387">
        <f t="shared" ca="1" si="217"/>
        <v>0</v>
      </c>
      <c r="CW82" s="1277">
        <f t="shared" ca="1" si="218"/>
        <v>0</v>
      </c>
      <c r="CX82" s="1277">
        <f t="shared" ca="1" si="219"/>
        <v>0</v>
      </c>
      <c r="CY82" s="388">
        <f t="shared" ca="1" si="220"/>
        <v>0</v>
      </c>
      <c r="CZ82" s="347"/>
      <c r="DA82" s="852"/>
      <c r="DB82" s="347"/>
      <c r="DC82" s="1012" t="s">
        <v>565</v>
      </c>
      <c r="DD82" s="841" t="s">
        <v>518</v>
      </c>
      <c r="DE82" s="386">
        <f>+IF($K82="ongoing",CE82,IF(RIGHT($K82,2)=RIGHT(DE$43,2),SUM($CD82:CE82),0)+IF(RIGHT(DE$43,2)&gt;RIGHT($K82,2),CE82,0))</f>
        <v>6.1294759229268303</v>
      </c>
      <c r="DF82" s="387">
        <f>+IF($K82="ongoing",CF82,IF(RIGHT($K82,2)=RIGHT(DF$43,2),SUM($CD82:CF82),0)+IF(RIGHT(DF$43,2)&gt;RIGHT($K82,2),CF82,0))</f>
        <v>0</v>
      </c>
      <c r="DG82" s="388">
        <f>+IF($K82="ongoing",CG82,IF(RIGHT($K82,2)=RIGHT(DG$43,2),SUM($CD82:CG82),0)+IF(RIGHT(DG$43,2)&gt;RIGHT($K82,2),CG82,0))</f>
        <v>0.50587653179727521</v>
      </c>
      <c r="DH82" s="386">
        <f>+IF($K82="ongoing",CH82,IF(RIGHT($K82,2)=RIGHT(DH$43,2),SUM($CD82:CH82),0)+IF(RIGHT(DH$43,2)&gt;RIGHT($K82,2),CH82,0))</f>
        <v>2.5595674479470825</v>
      </c>
      <c r="DI82" s="387">
        <f>+IF($K82="ongoing",CI82,IF(RIGHT($K82,2)=RIGHT(DI$43,2),SUM($CD82:CI82),0)+IF(RIGHT(DI$43,2)&gt;RIGHT($K82,2),CI82,0))</f>
        <v>0</v>
      </c>
      <c r="DJ82" s="387">
        <f>+IF($K82="ongoing",CJ82,IF(RIGHT($K82,2)=RIGHT(DJ$43,2),SUM($CD82:CJ82),0)+IF(RIGHT(DJ$43,2)&gt;RIGHT($K82,2),CJ82,0))</f>
        <v>0</v>
      </c>
      <c r="DK82" s="387">
        <f>+IF($K82="ongoing",CK82,IF(RIGHT($K82,2)=RIGHT(DK$43,2),SUM($CD82:CK82),0)+IF(RIGHT(DK$43,2)&gt;RIGHT($K82,2),CK82,0))</f>
        <v>0</v>
      </c>
      <c r="DL82" s="388">
        <f>+IF($K82="ongoing",CN82,IF(RIGHT($K82,2)=RIGHT(DL$43,2),SUM($CD82:CN82),0)+IF(RIGHT(DL$43,2)&gt;RIGHT($K82,2),CN82,0))</f>
        <v>0</v>
      </c>
      <c r="DM82" s="841"/>
      <c r="DN82" s="386">
        <f t="shared" si="221"/>
        <v>0.5</v>
      </c>
      <c r="DO82" s="387">
        <f t="shared" si="222"/>
        <v>1</v>
      </c>
      <c r="DP82" s="388">
        <f t="shared" si="223"/>
        <v>1</v>
      </c>
      <c r="DQ82" s="386">
        <f t="shared" si="224"/>
        <v>1</v>
      </c>
      <c r="DR82" s="387">
        <f t="shared" si="225"/>
        <v>1</v>
      </c>
      <c r="DS82" s="387">
        <f t="shared" si="226"/>
        <v>1</v>
      </c>
      <c r="DT82" s="387">
        <f t="shared" si="227"/>
        <v>1</v>
      </c>
      <c r="DU82" s="388">
        <f t="shared" si="228"/>
        <v>1</v>
      </c>
      <c r="DW82" s="386">
        <f t="shared" si="229"/>
        <v>0</v>
      </c>
      <c r="DX82" s="387">
        <f t="shared" si="230"/>
        <v>0.5</v>
      </c>
      <c r="DY82" s="388">
        <f t="shared" si="231"/>
        <v>1</v>
      </c>
      <c r="DZ82" s="386">
        <f t="shared" si="232"/>
        <v>1</v>
      </c>
      <c r="EA82" s="387">
        <f t="shared" si="233"/>
        <v>1</v>
      </c>
      <c r="EB82" s="387">
        <f t="shared" si="234"/>
        <v>1</v>
      </c>
      <c r="EC82" s="387">
        <f t="shared" si="235"/>
        <v>1</v>
      </c>
      <c r="ED82" s="388">
        <f t="shared" si="236"/>
        <v>1</v>
      </c>
      <c r="EF82" s="834">
        <f>+IF(DN82=DM82,0,
IF(AND(EF$44&gt;1,DN82=$N82),1-SUM($EE82:EE82),
IF($N82&lt;=1,
IF($N82&gt;0,1/$N82,0),
IF(EF$44=1,0,VDB(1,0,$N82,INT(EF$44-1-1),MIN($N82,INT(EF$44-1-1)+1),$DC82,IF($DD82="No",1,0))/
IF(DM82&gt;=INT($N82),$N82-INT($N82),1)))*
IF(EF$44=1,0,
IF(INT(DN82)=INT(DM82),DN82-DM82,INT(DN82)-DM82))+
IF($N82&lt;=1,
IF($N82&gt;0,1/$N82,0),VDB(1,0,$N82,INT(EF$44-1),MIN($N82,INT(EF$44-1)+1),$DC82,IF($DD82="No",1,0))/
IF(DN82&gt;INT($N82),$N82-INT($N82),1))*
IF(EF$44=1,DN82,
IF(INT(DN82)=INT(DM82),0,DN82-INT(DN82)))))</f>
        <v>0</v>
      </c>
      <c r="EG82" s="835">
        <f>+IF(DO82=DN82,0,
IF(AND(EG$44&gt;1,DO82=$N82),1-SUM($EE82:EF82),
IF($N82&lt;=1,
IF($N82&gt;0,1/$N82,0),
IF(EG$44=1,0,VDB(1,0,$N82,INT(EG$44-1-1),MIN($N82,INT(EG$44-1-1)+1),$DC82,IF($DD82="No",1,0))/
IF(DN82&gt;=INT($N82),$N82-INT($N82),1)))*
IF(EG$44=1,0,
IF(INT(DO82)=INT(DN82),DO82-DN82,INT(DO82)-DN82))+
IF($N82&lt;=1,
IF($N82&gt;0,1/$N82,0),VDB(1,0,$N82,INT(EG$44-1),MIN($N82,INT(EG$44-1)+1),$DC82,IF($DD82="No",1,0))/
IF(DO82&gt;INT($N82),$N82-INT($N82),1))*
IF(EG$44=1,DO82,
IF(INT(DO82)=INT(DN82),0,DO82-INT(DO82)))))</f>
        <v>0</v>
      </c>
      <c r="EH82" s="836">
        <f>+IF(DP82=DO82,0,
IF(AND(EH$44&gt;1,DP82=$N82),1-SUM($EE82:EG82),
IF($N82&lt;=1,
IF($N82&gt;0,1/$N82,0),
IF(EH$44=1,0,VDB(1,0,$N82,INT(EH$44-1-1),MIN($N82,INT(EH$44-1-1)+1),$DC82,IF($DD82="No",1,0))/
IF(DO82&gt;=INT($N82),$N82-INT($N82),1)))*
IF(EH$44=1,0,
IF(INT(DP82)=INT(DO82),DP82-DO82,INT(DP82)-DO82))+
IF($N82&lt;=1,
IF($N82&gt;0,1/$N82,0),VDB(1,0,$N82,INT(EH$44-1),MIN($N82,INT(EH$44-1)+1),$DC82,IF($DD82="No",1,0))/
IF(DP82&gt;INT($N82),$N82-INT($N82),1))*
IF(EH$44=1,DP82,
IF(INT(DP82)=INT(DO82),0,DP82-INT(DP82)))))</f>
        <v>0</v>
      </c>
      <c r="EI82" s="834">
        <f>+IF(DQ82=DP82,0,
IF(AND(EI$44&gt;1,DQ82=$N82),1-SUM($EE82:EH82),
IF($N82&lt;=1,
IF($N82&gt;0,1/$N82,0),
IF(EI$44=1,0,VDB(1,0,$N82,INT(EI$44-1-1),MIN($N82,INT(EI$44-1-1)+1),$DC82,IF($DD82="No",1,0))/
IF(DP82&gt;=INT($N82),$N82-INT($N82),1)))*
IF(EI$44=1,0,
IF(INT(DQ82)=INT(DP82),DQ82-DP82,INT(DQ82)-DP82))+
IF($N82&lt;=1,
IF($N82&gt;0,1/$N82,0),VDB(1,0,$N82,INT(EI$44-1),MIN($N82,INT(EI$44-1)+1),$DC82,IF($DD82="No",1,0))/
IF(DQ82&gt;INT($N82),$N82-INT($N82),1))*
IF(EI$44=1,DQ82,
IF(INT(DQ82)=INT(DP82),0,DQ82-INT(DQ82)))))</f>
        <v>0</v>
      </c>
      <c r="EJ82" s="835">
        <f>+IF(DR82=DQ82,0,
IF(AND(EJ$44&gt;1,DR82=$N82),1-SUM($EE82:EI82),
IF($N82&lt;=1,
IF($N82&gt;0,1/$N82,0),
IF(EJ$44=1,0,VDB(1,0,$N82,INT(EJ$44-1-1),MIN($N82,INT(EJ$44-1-1)+1),$DC82,IF($DD82="No",1,0))/
IF(DQ82&gt;=INT($N82),$N82-INT($N82),1)))*
IF(EJ$44=1,0,
IF(INT(DR82)=INT(DQ82),DR82-DQ82,INT(DR82)-DQ82))+
IF($N82&lt;=1,
IF($N82&gt;0,1/$N82,0),VDB(1,0,$N82,INT(EJ$44-1),MIN($N82,INT(EJ$44-1)+1),$DC82,IF($DD82="No",1,0))/
IF(DR82&gt;INT($N82),$N82-INT($N82),1))*
IF(EJ$44=1,DR82,
IF(INT(DR82)=INT(DQ82),0,DR82-INT(DR82)))))</f>
        <v>0</v>
      </c>
      <c r="EK82" s="835">
        <f>+IF(DS82=DR82,0,
IF(AND(EK$44&gt;1,DS82=$N82),1-SUM($EE82:EJ82),
IF($N82&lt;=1,
IF($N82&gt;0,1/$N82,0),
IF(EK$44=1,0,VDB(1,0,$N82,INT(EK$44-1-1),MIN($N82,INT(EK$44-1-1)+1),$DC82,IF($DD82="No",1,0))/
IF(DR82&gt;=INT($N82),$N82-INT($N82),1)))*
IF(EK$44=1,0,
IF(INT(DS82)=INT(DR82),DS82-DR82,INT(DS82)-DR82))+
IF($N82&lt;=1,
IF($N82&gt;0,1/$N82,0),VDB(1,0,$N82,INT(EK$44-1),MIN($N82,INT(EK$44-1)+1),$DC82,IF($DD82="No",1,0))/
IF(DS82&gt;INT($N82),$N82-INT($N82),1))*
IF(EK$44=1,DS82,
IF(INT(DS82)=INT(DR82),0,DS82-INT(DS82)))))</f>
        <v>0</v>
      </c>
      <c r="EL82" s="835">
        <f>+IF(DT82=DS82,0,
IF(AND(EL$44&gt;1,DT82=$N82),1-SUM($EE82:EK82),
IF($N82&lt;=1,
IF($N82&gt;0,1/$N82,0),
IF(EL$44=1,0,VDB(1,0,$N82,INT(EL$44-1-1),MIN($N82,INT(EL$44-1-1)+1),$DC82,IF($DD82="No",1,0))/
IF(DS82&gt;=INT($N82),$N82-INT($N82),1)))*
IF(EL$44=1,0,
IF(INT(DT82)=INT(DS82),DT82-DS82,INT(DT82)-DS82))+
IF($N82&lt;=1,
IF($N82&gt;0,1/$N82,0),VDB(1,0,$N82,INT(EL$44-1),MIN($N82,INT(EL$44-1)+1),$DC82,IF($DD82="No",1,0))/
IF(DT82&gt;INT($N82),$N82-INT($N82),1))*
IF(EL$44=1,DT82,
IF(INT(DT82)=INT(DS82),0,DT82-INT(DT82)))))</f>
        <v>0</v>
      </c>
      <c r="EM82" s="836">
        <f>+IF(DU82=DT82,0,
IF(AND(EM$44&gt;1,DU82=$N82),1-SUM($EE82:EL82),
IF($N82&lt;=1,
IF($N82&gt;0,1/$N82,0),
IF(EM$44=1,0,VDB(1,0,$N82,INT(EM$44-1-1),MIN($N82,INT(EM$44-1-1)+1),$DC82,IF($DD82="No",1,0))/
IF(DT82&gt;=INT($N82),$N82-INT($N82),1)))*
IF(EM$44=1,0,
IF(INT(DU82)=INT(DT82),DU82-DT82,INT(DU82)-DT82))+
IF($N82&lt;=1,
IF($N82&gt;0,1/$N82,0),VDB(1,0,$N82,INT(EM$44-1),MIN($N82,INT(EM$44-1)+1),$DC82,IF($DD82="No",1,0))/
IF(DU82&gt;INT($N82),$N82-INT($N82),1))*
IF(EM$44=1,DU82,
IF(INT(DU82)=INT(DT82),0,DU82-INT(DU82)))))</f>
        <v>0</v>
      </c>
      <c r="EN82" s="833"/>
      <c r="EO82" s="834">
        <f>+IF(OR(DW82=DV82,EO$44=1),0,
IF(AND(EO$44&gt;1,DW82=$N82),1-SUM($EN82:EN82),
IF($N82&lt;=1,
IF($N82&gt;0,1/$N82,0),
IF(EO$44=2,0,VDB(1,0,$N82,INT(EO$44-2-1),MIN($N82,INT(EO$44-2-1)+1),$DC82,IF($DD82="No",1,0))/
IF(DV82&gt;=INT($N82),$N82-INT($N82),1)))*
IF(EO$44=2,0,
IF(INT(DW82)=INT(DV82),DW82-DV82,INT(DW82)-DV82))+
IF($N82&lt;=1,
IF($N82&gt;0,1/$N82,0),VDB(1,0,$N82,INT(EO$44-2),MIN($N82,INT(EO$44-2)+1),$DC82,IF($DD82="No",1,0))/
IF(DW82&gt;INT($N82),$N82-INT($N82),1))*
IF(EO$44=2,DW82,
IF(INT(DW82)=INT(DV82),0,DW82-INT(DW82)))))</f>
        <v>0</v>
      </c>
      <c r="EP82" s="835">
        <f>+IF(OR(DX82=DW82,EP$44=1),0,
IF(AND(EP$44&gt;1,DX82=$N82),1-SUM($EN82:EO82),
IF($N82&lt;=1,
IF($N82&gt;0,1/$N82,0),
IF(EP$44=2,0,VDB(1,0,$N82,INT(EP$44-2-1),MIN($N82,INT(EP$44-2-1)+1),$DC82,IF($DD82="No",1,0))/
IF(DW82&gt;=INT($N82),$N82-INT($N82),1)))*
IF(EP$44=2,0,
IF(INT(DX82)=INT(DW82),DX82-DW82,INT(DX82)-DW82))+
IF($N82&lt;=1,
IF($N82&gt;0,1/$N82,0),VDB(1,0,$N82,INT(EP$44-2),MIN($N82,INT(EP$44-2)+1),$DC82,IF($DD82="No",1,0))/
IF(DX82&gt;INT($N82),$N82-INT($N82),1))*
IF(EP$44=2,DX82,
IF(INT(DX82)=INT(DW82),0,DX82-INT(DX82)))))</f>
        <v>0</v>
      </c>
      <c r="EQ82" s="836">
        <f>+IF(OR(DY82=DX82,EQ$44=1),0,
IF(AND(EQ$44&gt;1,DY82=$N82),1-SUM($EN82:EP82),
IF($N82&lt;=1,
IF($N82&gt;0,1/$N82,0),
IF(EQ$44=2,0,VDB(1,0,$N82,INT(EQ$44-2-1),MIN($N82,INT(EQ$44-2-1)+1),$DC82,IF($DD82="No",1,0))/
IF(DX82&gt;=INT($N82),$N82-INT($N82),1)))*
IF(EQ$44=2,0,
IF(INT(DY82)=INT(DX82),DY82-DX82,INT(DY82)-DX82))+
IF($N82&lt;=1,
IF($N82&gt;0,1/$N82,0),VDB(1,0,$N82,INT(EQ$44-2),MIN($N82,INT(EQ$44-2)+1),$DC82,IF($DD82="No",1,0))/
IF(DY82&gt;INT($N82),$N82-INT($N82),1))*
IF(EQ$44=2,DY82,
IF(INT(DY82)=INT(DX82),0,DY82-INT(DY82)))))</f>
        <v>0</v>
      </c>
      <c r="ER82" s="834">
        <f>+IF(OR(DZ82=DY82,ER$44=1),0,
IF(AND(ER$44&gt;1,DZ82=$N82),1-SUM($EN82:EQ82),
IF($N82&lt;=1,
IF($N82&gt;0,1/$N82,0),
IF(ER$44=2,0,VDB(1,0,$N82,INT(ER$44-2-1),MIN($N82,INT(ER$44-2-1)+1),$DC82,IF($DD82="No",1,0))/
IF(DY82&gt;=INT($N82),$N82-INT($N82),1)))*
IF(ER$44=2,0,
IF(INT(DZ82)=INT(DY82),DZ82-DY82,INT(DZ82)-DY82))+
IF($N82&lt;=1,
IF($N82&gt;0,1/$N82,0),VDB(1,0,$N82,INT(ER$44-2),MIN($N82,INT(ER$44-2)+1),$DC82,IF($DD82="No",1,0))/
IF(DZ82&gt;INT($N82),$N82-INT($N82),1))*
IF(ER$44=2,DZ82,
IF(INT(DZ82)=INT(DY82),0,DZ82-INT(DZ82)))))</f>
        <v>0</v>
      </c>
      <c r="ES82" s="835">
        <f>+IF(OR(EA82=DZ82,ES$44=1),0,
IF(AND(ES$44&gt;1,EA82=$N82),1-SUM($EN82:ER82),
IF($N82&lt;=1,
IF($N82&gt;0,1/$N82,0),
IF(ES$44=2,0,VDB(1,0,$N82,INT(ES$44-2-1),MIN($N82,INT(ES$44-2-1)+1),$DC82,IF($DD82="No",1,0))/
IF(DZ82&gt;=INT($N82),$N82-INT($N82),1)))*
IF(ES$44=2,0,
IF(INT(EA82)=INT(DZ82),EA82-DZ82,INT(EA82)-DZ82))+
IF($N82&lt;=1,
IF($N82&gt;0,1/$N82,0),VDB(1,0,$N82,INT(ES$44-2),MIN($N82,INT(ES$44-2)+1),$DC82,IF($DD82="No",1,0))/
IF(EA82&gt;INT($N82),$N82-INT($N82),1))*
IF(ES$44=2,EA82,
IF(INT(EA82)=INT(DZ82),0,EA82-INT(EA82)))))</f>
        <v>0</v>
      </c>
      <c r="ET82" s="835">
        <f>+IF(OR(EB82=EA82,ET$44=1),0,
IF(AND(ET$44&gt;1,EB82=$N82),1-SUM($EN82:ES82),
IF($N82&lt;=1,
IF($N82&gt;0,1/$N82,0),
IF(ET$44=2,0,VDB(1,0,$N82,INT(ET$44-2-1),MIN($N82,INT(ET$44-2-1)+1),$DC82,IF($DD82="No",1,0))/
IF(EA82&gt;=INT($N82),$N82-INT($N82),1)))*
IF(ET$44=2,0,
IF(INT(EB82)=INT(EA82),EB82-EA82,INT(EB82)-EA82))+
IF($N82&lt;=1,
IF($N82&gt;0,1/$N82,0),VDB(1,0,$N82,INT(ET$44-2),MIN($N82,INT(ET$44-2)+1),$DC82,IF($DD82="No",1,0))/
IF(EB82&gt;INT($N82),$N82-INT($N82),1))*
IF(ET$44=2,EB82,
IF(INT(EB82)=INT(EA82),0,EB82-INT(EB82)))))</f>
        <v>0</v>
      </c>
      <c r="EU82" s="835">
        <f>+IF(OR(EC82=EB82,EU$44=1),0,
IF(AND(EU$44&gt;1,EC82=$N82),1-SUM($EN82:ET82),
IF($N82&lt;=1,
IF($N82&gt;0,1/$N82,0),
IF(EU$44=2,0,VDB(1,0,$N82,INT(EU$44-2-1),MIN($N82,INT(EU$44-2-1)+1),$DC82,IF($DD82="No",1,0))/
IF(EB82&gt;=INT($N82),$N82-INT($N82),1)))*
IF(EU$44=2,0,
IF(INT(EC82)=INT(EB82),EC82-EB82,INT(EC82)-EB82))+
IF($N82&lt;=1,
IF($N82&gt;0,1/$N82,0),VDB(1,0,$N82,INT(EU$44-2),MIN($N82,INT(EU$44-2)+1),$DC82,IF($DD82="No",1,0))/
IF(EC82&gt;INT($N82),$N82-INT($N82),1))*
IF(EU$44=2,EC82,
IF(INT(EC82)=INT(EB82),0,EC82-INT(EC82)))))</f>
        <v>0</v>
      </c>
      <c r="EV82" s="836">
        <f>+IF(OR(ED82=EC82,EV$44=1),0,
IF(AND(EV$44&gt;1,ED82=$N82),1-SUM($EN82:EU82),
IF($N82&lt;=1,
IF($N82&gt;0,1/$N82,0),
IF(EV$44=2,0,VDB(1,0,$N82,INT(EV$44-2-1),MIN($N82,INT(EV$44-2-1)+1),$DC82,IF($DD82="No",1,0))/
IF(EC82&gt;=INT($N82),$N82-INT($N82),1)))*
IF(EV$44=2,0,
IF(INT(ED82)=INT(EC82),ED82-EC82,INT(ED82)-EC82))+
IF($N82&lt;=1,
IF($N82&gt;0,1/$N82,0),VDB(1,0,$N82,INT(EV$44-2),MIN($N82,INT(EV$44-2)+1),$DC82,IF($DD82="No",1,0))/
IF(ED82&gt;INT($N82),$N82-INT($N82),1))*
IF(EV$44=2,ED82,
IF(INT(ED82)=INT(EC82),0,ED82-INT(ED82)))))</f>
        <v>0</v>
      </c>
      <c r="EW82" s="833"/>
      <c r="EX82" s="834">
        <f t="shared" ca="1" si="190"/>
        <v>0</v>
      </c>
      <c r="EY82" s="835">
        <f t="shared" ca="1" si="190"/>
        <v>0</v>
      </c>
      <c r="EZ82" s="836">
        <f t="shared" ca="1" si="190"/>
        <v>0</v>
      </c>
      <c r="FA82" s="834">
        <f t="shared" ca="1" si="190"/>
        <v>0</v>
      </c>
      <c r="FB82" s="835">
        <f t="shared" ca="1" si="190"/>
        <v>0</v>
      </c>
      <c r="FC82" s="835">
        <f t="shared" ca="1" si="190"/>
        <v>0</v>
      </c>
      <c r="FD82" s="835">
        <f t="shared" ca="1" si="190"/>
        <v>0</v>
      </c>
      <c r="FE82" s="836">
        <f t="shared" ca="1" si="190"/>
        <v>0</v>
      </c>
      <c r="FG82" s="386">
        <f t="shared" ca="1" si="237"/>
        <v>0</v>
      </c>
      <c r="FH82" s="387">
        <f t="shared" ca="1" si="238"/>
        <v>0</v>
      </c>
      <c r="FI82" s="388">
        <f t="shared" ca="1" si="239"/>
        <v>0</v>
      </c>
      <c r="FJ82" s="386">
        <f t="shared" ca="1" si="240"/>
        <v>0</v>
      </c>
      <c r="FK82" s="387">
        <f t="shared" ca="1" si="241"/>
        <v>0</v>
      </c>
      <c r="FL82" s="387">
        <f t="shared" ca="1" si="242"/>
        <v>0</v>
      </c>
      <c r="FM82" s="387">
        <f t="shared" ca="1" si="243"/>
        <v>0</v>
      </c>
      <c r="FN82" s="388">
        <f t="shared" ca="1" si="244"/>
        <v>0</v>
      </c>
      <c r="FR82" s="116"/>
    </row>
    <row r="83" spans="2:174">
      <c r="B83" s="1410">
        <f t="shared" si="135"/>
        <v>37</v>
      </c>
      <c r="C83" s="400" t="s">
        <v>564</v>
      </c>
      <c r="D83" s="410"/>
      <c r="E83" s="402" t="s">
        <v>401</v>
      </c>
      <c r="F83" s="402" t="s">
        <v>527</v>
      </c>
      <c r="G83" s="400" t="s">
        <v>515</v>
      </c>
      <c r="H83" s="2088" t="s">
        <v>483</v>
      </c>
      <c r="I83" s="2089"/>
      <c r="J83" s="411" t="s">
        <v>516</v>
      </c>
      <c r="K83" s="403" t="s">
        <v>544</v>
      </c>
      <c r="L83" s="403">
        <v>100</v>
      </c>
      <c r="M83" s="403" t="s">
        <v>142</v>
      </c>
      <c r="N83" s="403"/>
      <c r="O83" s="347"/>
      <c r="P83" s="347"/>
      <c r="Q83" s="1021">
        <v>0</v>
      </c>
      <c r="R83" s="1022">
        <v>0</v>
      </c>
      <c r="S83" s="1022">
        <v>1.413152798131194</v>
      </c>
      <c r="T83" s="1022">
        <v>2.7041892927250402</v>
      </c>
      <c r="U83" s="1023">
        <v>9.7698946092665384</v>
      </c>
      <c r="V83" s="1021">
        <v>69.722216001364629</v>
      </c>
      <c r="W83" s="1022">
        <v>131.38583979664</v>
      </c>
      <c r="X83" s="1022">
        <v>163.81471055913622</v>
      </c>
      <c r="Y83" s="1022">
        <v>124.47156747624287</v>
      </c>
      <c r="Z83" s="1023">
        <v>105.34424464235521</v>
      </c>
      <c r="AA83" s="1024"/>
      <c r="AB83" s="1021">
        <v>0</v>
      </c>
      <c r="AC83" s="1022">
        <v>0</v>
      </c>
      <c r="AD83" s="1022">
        <v>0</v>
      </c>
      <c r="AE83" s="1022">
        <v>0</v>
      </c>
      <c r="AF83" s="1023">
        <v>0</v>
      </c>
      <c r="AG83" s="1021">
        <v>0</v>
      </c>
      <c r="AH83" s="1022">
        <v>0</v>
      </c>
      <c r="AI83" s="1022">
        <v>0</v>
      </c>
      <c r="AJ83" s="1022">
        <v>0</v>
      </c>
      <c r="AK83" s="1023">
        <v>0</v>
      </c>
      <c r="AL83" s="1024"/>
      <c r="AM83" s="1021">
        <v>0</v>
      </c>
      <c r="AN83" s="1022">
        <v>0</v>
      </c>
      <c r="AO83" s="1022">
        <v>0</v>
      </c>
      <c r="AP83" s="1022">
        <v>0</v>
      </c>
      <c r="AQ83" s="1023">
        <v>0</v>
      </c>
      <c r="AR83" s="1021">
        <v>0</v>
      </c>
      <c r="AS83" s="1022">
        <v>0</v>
      </c>
      <c r="AT83" s="1022">
        <v>0</v>
      </c>
      <c r="AU83" s="1022">
        <v>0</v>
      </c>
      <c r="AV83" s="1023">
        <v>0</v>
      </c>
      <c r="AW83" s="1025"/>
      <c r="AX83" s="1282">
        <f t="shared" si="191"/>
        <v>0</v>
      </c>
      <c r="AY83" s="387">
        <f t="shared" si="192"/>
        <v>0</v>
      </c>
      <c r="AZ83" s="387">
        <f t="shared" si="193"/>
        <v>1.413152798131194</v>
      </c>
      <c r="BA83" s="387">
        <f t="shared" si="194"/>
        <v>2.7041892927250402</v>
      </c>
      <c r="BB83" s="1283">
        <f t="shared" si="195"/>
        <v>9.7698946092665384</v>
      </c>
      <c r="BC83" s="386">
        <f t="shared" si="196"/>
        <v>69.722216001364629</v>
      </c>
      <c r="BD83" s="387">
        <f t="shared" si="197"/>
        <v>131.38583979664</v>
      </c>
      <c r="BE83" s="1277">
        <f t="shared" si="198"/>
        <v>163.81471055913622</v>
      </c>
      <c r="BF83" s="1277">
        <f t="shared" si="199"/>
        <v>124.47156747624287</v>
      </c>
      <c r="BG83" s="388">
        <f t="shared" si="200"/>
        <v>105.34424464235521</v>
      </c>
      <c r="BH83" s="1025"/>
      <c r="BI83" s="1282">
        <f t="shared" ca="1" si="201"/>
        <v>0</v>
      </c>
      <c r="BJ83" s="387">
        <f t="shared" ca="1" si="202"/>
        <v>0</v>
      </c>
      <c r="BK83" s="387">
        <f t="shared" ca="1" si="203"/>
        <v>7.0657639906559697E-3</v>
      </c>
      <c r="BL83" s="387">
        <f t="shared" ca="1" si="204"/>
        <v>2.7652474444937139E-2</v>
      </c>
      <c r="BM83" s="1283">
        <f t="shared" ca="1" si="205"/>
        <v>9.0022893954895045E-2</v>
      </c>
      <c r="BN83" s="386">
        <f t="shared" ca="1" si="206"/>
        <v>0.48748344700805091</v>
      </c>
      <c r="BO83" s="387">
        <f t="shared" ca="1" si="207"/>
        <v>1.4930237259980741</v>
      </c>
      <c r="BP83" s="1277">
        <f t="shared" ca="1" si="208"/>
        <v>2.9690264777769553</v>
      </c>
      <c r="BQ83" s="1277">
        <f t="shared" ca="1" si="209"/>
        <v>4.4104578679538511</v>
      </c>
      <c r="BR83" s="388">
        <f t="shared" ca="1" si="210"/>
        <v>5.5595369285468417</v>
      </c>
      <c r="BS83" s="1025"/>
      <c r="BT83" s="1282">
        <f>+IF($K83="Ongoing",AX83,IF(RIGHT($K83,2)=RIGHT(BT$43,2),SUM($AX83:AX83),0)+IF(RIGHT(BT$43,2)&gt;RIGHT($K83,2),AX83,0))</f>
        <v>0</v>
      </c>
      <c r="BU83" s="387">
        <f>+IF($K83="Ongoing",AY83,IF(RIGHT($K83,2)=RIGHT(BU$43,2),SUM($AX83:AY83),0)+IF(RIGHT(BU$43,2)&gt;RIGHT($K83,2),AY83,0))</f>
        <v>0</v>
      </c>
      <c r="BV83" s="387">
        <f>+IF($K83="Ongoing",AZ83,IF(RIGHT($K83,2)=RIGHT(BV$43,2),SUM($AX83:AZ83),0)+IF(RIGHT(BV$43,2)&gt;RIGHT($K83,2),AZ83,0))</f>
        <v>1.413152798131194</v>
      </c>
      <c r="BW83" s="387">
        <f>+IF($K83="Ongoing",BA83,IF(RIGHT($K83,2)=RIGHT(BW$43,2),SUM($AX83:BA83),0)+IF(RIGHT(BW$43,2)&gt;RIGHT($K83,2),BA83,0))</f>
        <v>2.7041892927250402</v>
      </c>
      <c r="BX83" s="1283">
        <f>+IF($K83="Ongoing",BB83,IF(RIGHT($K83,2)=RIGHT(BX$43,2),SUM($AX83:BB83),0)+IF(RIGHT(BX$43,2)&gt;RIGHT($K83,2),BB83,0))</f>
        <v>9.7698946092665384</v>
      </c>
      <c r="BY83" s="386">
        <f>+IF($K83="Ongoing",BC83,IF(RIGHT($K83,2)=RIGHT(BY$43,2),SUM($AX83:BC83),0)+IF(RIGHT(BY$43,2)&gt;RIGHT($K83,2),BC83,0))</f>
        <v>69.722216001364629</v>
      </c>
      <c r="BZ83" s="387">
        <f>+IF($K83="Ongoing",BD83,IF(RIGHT($K83,2)=RIGHT(BZ$43,2),SUM($AX83:BD83),0)+IF(RIGHT(BZ$43,2)&gt;RIGHT($K83,2),BD83,0))</f>
        <v>131.38583979664</v>
      </c>
      <c r="CA83" s="1277">
        <f>+IF($K83="Ongoing",BE83,IF(RIGHT($K83,2)=RIGHT(CA$43,2),SUM($AX83:BE83),0)+IF(RIGHT(CA$43,2)&gt;RIGHT($K83,2),BE83,0))</f>
        <v>163.81471055913622</v>
      </c>
      <c r="CB83" s="1277">
        <f>+IF($K83="Ongoing",BF83,IF(RIGHT($K83,2)=RIGHT(CB$43,2),SUM($AX83:BF83),0)+IF(RIGHT(CB$43,2)&gt;RIGHT($K83,2),BF83,0))</f>
        <v>124.47156747624287</v>
      </c>
      <c r="CC83" s="388">
        <f>+IF($K83="Ongoing",BG83,IF(RIGHT($K83,2)=RIGHT(CC$43,2),SUM($AX83:BG83),0)+IF(RIGHT(CC$43,2)&gt;RIGHT($K83,2),BG83,0))</f>
        <v>105.34424464235521</v>
      </c>
      <c r="CD83" s="1025"/>
      <c r="CE83" s="1282">
        <f>+Q83*KeyAssumptionsPriceControl_FO!AF$15</f>
        <v>0</v>
      </c>
      <c r="CF83" s="387">
        <f>+R83*KeyAssumptionsPriceControl_FO!AG$15</f>
        <v>0</v>
      </c>
      <c r="CG83" s="387">
        <f>+S83*KeyAssumptionsPriceControl_FO!AH$15</f>
        <v>1.5396969414618862</v>
      </c>
      <c r="CH83" s="387">
        <f>+T83*KeyAssumptionsPriceControl_FO!AI$15</f>
        <v>3.031786312364583</v>
      </c>
      <c r="CI83" s="1283">
        <f>+U83*KeyAssumptionsPriceControl_FO!AJ$15</f>
        <v>11.271111671566279</v>
      </c>
      <c r="CJ83" s="386">
        <f>+V83*KeyAssumptionsPriceControl_FO!AK$15</f>
        <v>82.768184762929209</v>
      </c>
      <c r="CK83" s="387">
        <f>+W83*KeyAssumptionsPriceControl_FO!AL$15</f>
        <v>160.49303309212101</v>
      </c>
      <c r="CL83" s="1277">
        <f>+X83*KeyAssumptionsPriceControl_FO!AM$15</f>
        <v>205.90926904860484</v>
      </c>
      <c r="CM83" s="1277">
        <f>+Y83*KeyAssumptionsPriceControl_FO!AN$15</f>
        <v>160.99357024265143</v>
      </c>
      <c r="CN83" s="388">
        <f>+Z83*KeyAssumptionsPriceControl_FO!AO$15</f>
        <v>140.205341981044</v>
      </c>
      <c r="CO83" s="1025"/>
      <c r="CP83" s="1282">
        <f t="shared" ca="1" si="211"/>
        <v>0</v>
      </c>
      <c r="CQ83" s="387">
        <f t="shared" ca="1" si="212"/>
        <v>0</v>
      </c>
      <c r="CR83" s="387">
        <f t="shared" ca="1" si="213"/>
        <v>0</v>
      </c>
      <c r="CS83" s="387">
        <f t="shared" ca="1" si="214"/>
        <v>0</v>
      </c>
      <c r="CT83" s="1283">
        <f t="shared" ca="1" si="215"/>
        <v>0</v>
      </c>
      <c r="CU83" s="386">
        <f t="shared" ca="1" si="216"/>
        <v>0</v>
      </c>
      <c r="CV83" s="387">
        <f t="shared" ca="1" si="217"/>
        <v>0</v>
      </c>
      <c r="CW83" s="1277">
        <f t="shared" ca="1" si="218"/>
        <v>0</v>
      </c>
      <c r="CX83" s="1277">
        <f t="shared" ca="1" si="219"/>
        <v>0</v>
      </c>
      <c r="CY83" s="388">
        <f t="shared" ca="1" si="220"/>
        <v>0</v>
      </c>
      <c r="CZ83" s="347"/>
      <c r="DA83" s="852"/>
      <c r="DB83" s="347"/>
      <c r="DC83" s="1012" t="s">
        <v>566</v>
      </c>
      <c r="DD83" s="841" t="s">
        <v>518</v>
      </c>
      <c r="DE83" s="386">
        <f>+IF($K83="ongoing",CE83,IF(RIGHT($K83,2)=RIGHT(DE$43,2),SUM($CD83:CE83),0)+IF(RIGHT(DE$43,2)&gt;RIGHT($K83,2),CE83,0))</f>
        <v>0</v>
      </c>
      <c r="DF83" s="387">
        <f>+IF($K83="ongoing",CF83,IF(RIGHT($K83,2)=RIGHT(DF$43,2),SUM($CD83:CF83),0)+IF(RIGHT(DF$43,2)&gt;RIGHT($K83,2),CF83,0))</f>
        <v>0</v>
      </c>
      <c r="DG83" s="388">
        <f>+IF($K83="ongoing",CG83,IF(RIGHT($K83,2)=RIGHT(DG$43,2),SUM($CD83:CG83),0)+IF(RIGHT(DG$43,2)&gt;RIGHT($K83,2),CG83,0))</f>
        <v>1.5396969414618862</v>
      </c>
      <c r="DH83" s="386">
        <f>+IF($K83="ongoing",CH83,IF(RIGHT($K83,2)=RIGHT(DH$43,2),SUM($CD83:CH83),0)+IF(RIGHT(DH$43,2)&gt;RIGHT($K83,2),CH83,0))</f>
        <v>3.031786312364583</v>
      </c>
      <c r="DI83" s="387">
        <f>+IF($K83="ongoing",CI83,IF(RIGHT($K83,2)=RIGHT(DI$43,2),SUM($CD83:CI83),0)+IF(RIGHT(DI$43,2)&gt;RIGHT($K83,2),CI83,0))</f>
        <v>11.271111671566279</v>
      </c>
      <c r="DJ83" s="387">
        <f>+IF($K83="ongoing",CJ83,IF(RIGHT($K83,2)=RIGHT(DJ$43,2),SUM($CD83:CJ83),0)+IF(RIGHT(DJ$43,2)&gt;RIGHT($K83,2),CJ83,0))</f>
        <v>82.768184762929209</v>
      </c>
      <c r="DK83" s="387">
        <f>+IF($K83="ongoing",CK83,IF(RIGHT($K83,2)=RIGHT(DK$43,2),SUM($CD83:CK83),0)+IF(RIGHT(DK$43,2)&gt;RIGHT($K83,2),CK83,0))</f>
        <v>160.49303309212101</v>
      </c>
      <c r="DL83" s="388">
        <f>+IF($K83="ongoing",CN83,IF(RIGHT($K83,2)=RIGHT(DL$43,2),SUM($CD83:CN83),0)+IF(RIGHT(DL$43,2)&gt;RIGHT($K83,2),CN83,0))</f>
        <v>140.205341981044</v>
      </c>
      <c r="DM83" s="841"/>
      <c r="DN83" s="386">
        <f t="shared" si="221"/>
        <v>0.5</v>
      </c>
      <c r="DO83" s="387">
        <f t="shared" si="222"/>
        <v>1</v>
      </c>
      <c r="DP83" s="388">
        <f t="shared" si="223"/>
        <v>1</v>
      </c>
      <c r="DQ83" s="386">
        <f t="shared" si="224"/>
        <v>1</v>
      </c>
      <c r="DR83" s="387">
        <f t="shared" si="225"/>
        <v>1</v>
      </c>
      <c r="DS83" s="387">
        <f t="shared" si="226"/>
        <v>1</v>
      </c>
      <c r="DT83" s="387">
        <f t="shared" si="227"/>
        <v>1</v>
      </c>
      <c r="DU83" s="388">
        <f t="shared" si="228"/>
        <v>1</v>
      </c>
      <c r="DW83" s="386">
        <f t="shared" si="229"/>
        <v>0</v>
      </c>
      <c r="DX83" s="387">
        <f t="shared" si="230"/>
        <v>0.5</v>
      </c>
      <c r="DY83" s="388">
        <f t="shared" si="231"/>
        <v>1</v>
      </c>
      <c r="DZ83" s="386">
        <f t="shared" si="232"/>
        <v>1</v>
      </c>
      <c r="EA83" s="387">
        <f t="shared" si="233"/>
        <v>1</v>
      </c>
      <c r="EB83" s="387">
        <f t="shared" si="234"/>
        <v>1</v>
      </c>
      <c r="EC83" s="387">
        <f t="shared" si="235"/>
        <v>1</v>
      </c>
      <c r="ED83" s="388">
        <f t="shared" si="236"/>
        <v>1</v>
      </c>
      <c r="EF83" s="834">
        <f>+IF(DN83=DM83,0,
IF(AND(EF$44&gt;1,DN83=$N83),1-SUM($EE83:EE83),
IF($N83&lt;=1,
IF($N83&gt;0,1/$N83,0),
IF(EF$44=1,0,VDB(1,0,$N83,INT(EF$44-1-1),MIN($N83,INT(EF$44-1-1)+1),$DC83,IF($DD83="No",1,0))/
IF(DM83&gt;=INT($N83),$N83-INT($N83),1)))*
IF(EF$44=1,0,
IF(INT(DN83)=INT(DM83),DN83-DM83,INT(DN83)-DM83))+
IF($N83&lt;=1,
IF($N83&gt;0,1/$N83,0),VDB(1,0,$N83,INT(EF$44-1),MIN($N83,INT(EF$44-1)+1),$DC83,IF($DD83="No",1,0))/
IF(DN83&gt;INT($N83),$N83-INT($N83),1))*
IF(EF$44=1,DN83,
IF(INT(DN83)=INT(DM83),0,DN83-INT(DN83)))))</f>
        <v>0</v>
      </c>
      <c r="EG83" s="835">
        <f>+IF(DO83=DN83,0,
IF(AND(EG$44&gt;1,DO83=$N83),1-SUM($EE83:EF83),
IF($N83&lt;=1,
IF($N83&gt;0,1/$N83,0),
IF(EG$44=1,0,VDB(1,0,$N83,INT(EG$44-1-1),MIN($N83,INT(EG$44-1-1)+1),$DC83,IF($DD83="No",1,0))/
IF(DN83&gt;=INT($N83),$N83-INT($N83),1)))*
IF(EG$44=1,0,
IF(INT(DO83)=INT(DN83),DO83-DN83,INT(DO83)-DN83))+
IF($N83&lt;=1,
IF($N83&gt;0,1/$N83,0),VDB(1,0,$N83,INT(EG$44-1),MIN($N83,INT(EG$44-1)+1),$DC83,IF($DD83="No",1,0))/
IF(DO83&gt;INT($N83),$N83-INT($N83),1))*
IF(EG$44=1,DO83,
IF(INT(DO83)=INT(DN83),0,DO83-INT(DO83)))))</f>
        <v>0</v>
      </c>
      <c r="EH83" s="836">
        <f>+IF(DP83=DO83,0,
IF(AND(EH$44&gt;1,DP83=$N83),1-SUM($EE83:EG83),
IF($N83&lt;=1,
IF($N83&gt;0,1/$N83,0),
IF(EH$44=1,0,VDB(1,0,$N83,INT(EH$44-1-1),MIN($N83,INT(EH$44-1-1)+1),$DC83,IF($DD83="No",1,0))/
IF(DO83&gt;=INT($N83),$N83-INT($N83),1)))*
IF(EH$44=1,0,
IF(INT(DP83)=INT(DO83),DP83-DO83,INT(DP83)-DO83))+
IF($N83&lt;=1,
IF($N83&gt;0,1/$N83,0),VDB(1,0,$N83,INT(EH$44-1),MIN($N83,INT(EH$44-1)+1),$DC83,IF($DD83="No",1,0))/
IF(DP83&gt;INT($N83),$N83-INT($N83),1))*
IF(EH$44=1,DP83,
IF(INT(DP83)=INT(DO83),0,DP83-INT(DP83)))))</f>
        <v>0</v>
      </c>
      <c r="EI83" s="834">
        <f>+IF(DQ83=DP83,0,
IF(AND(EI$44&gt;1,DQ83=$N83),1-SUM($EE83:EH83),
IF($N83&lt;=1,
IF($N83&gt;0,1/$N83,0),
IF(EI$44=1,0,VDB(1,0,$N83,INT(EI$44-1-1),MIN($N83,INT(EI$44-1-1)+1),$DC83,IF($DD83="No",1,0))/
IF(DP83&gt;=INT($N83),$N83-INT($N83),1)))*
IF(EI$44=1,0,
IF(INT(DQ83)=INT(DP83),DQ83-DP83,INT(DQ83)-DP83))+
IF($N83&lt;=1,
IF($N83&gt;0,1/$N83,0),VDB(1,0,$N83,INT(EI$44-1),MIN($N83,INT(EI$44-1)+1),$DC83,IF($DD83="No",1,0))/
IF(DQ83&gt;INT($N83),$N83-INT($N83),1))*
IF(EI$44=1,DQ83,
IF(INT(DQ83)=INT(DP83),0,DQ83-INT(DQ83)))))</f>
        <v>0</v>
      </c>
      <c r="EJ83" s="835">
        <f>+IF(DR83=DQ83,0,
IF(AND(EJ$44&gt;1,DR83=$N83),1-SUM($EE83:EI83),
IF($N83&lt;=1,
IF($N83&gt;0,1/$N83,0),
IF(EJ$44=1,0,VDB(1,0,$N83,INT(EJ$44-1-1),MIN($N83,INT(EJ$44-1-1)+1),$DC83,IF($DD83="No",1,0))/
IF(DQ83&gt;=INT($N83),$N83-INT($N83),1)))*
IF(EJ$44=1,0,
IF(INT(DR83)=INT(DQ83),DR83-DQ83,INT(DR83)-DQ83))+
IF($N83&lt;=1,
IF($N83&gt;0,1/$N83,0),VDB(1,0,$N83,INT(EJ$44-1),MIN($N83,INT(EJ$44-1)+1),$DC83,IF($DD83="No",1,0))/
IF(DR83&gt;INT($N83),$N83-INT($N83),1))*
IF(EJ$44=1,DR83,
IF(INT(DR83)=INT(DQ83),0,DR83-INT(DR83)))))</f>
        <v>0</v>
      </c>
      <c r="EK83" s="835">
        <f>+IF(DS83=DR83,0,
IF(AND(EK$44&gt;1,DS83=$N83),1-SUM($EE83:EJ83),
IF($N83&lt;=1,
IF($N83&gt;0,1/$N83,0),
IF(EK$44=1,0,VDB(1,0,$N83,INT(EK$44-1-1),MIN($N83,INT(EK$44-1-1)+1),$DC83,IF($DD83="No",1,0))/
IF(DR83&gt;=INT($N83),$N83-INT($N83),1)))*
IF(EK$44=1,0,
IF(INT(DS83)=INT(DR83),DS83-DR83,INT(DS83)-DR83))+
IF($N83&lt;=1,
IF($N83&gt;0,1/$N83,0),VDB(1,0,$N83,INT(EK$44-1),MIN($N83,INT(EK$44-1)+1),$DC83,IF($DD83="No",1,0))/
IF(DS83&gt;INT($N83),$N83-INT($N83),1))*
IF(EK$44=1,DS83,
IF(INT(DS83)=INT(DR83),0,DS83-INT(DS83)))))</f>
        <v>0</v>
      </c>
      <c r="EL83" s="835">
        <f>+IF(DT83=DS83,0,
IF(AND(EL$44&gt;1,DT83=$N83),1-SUM($EE83:EK83),
IF($N83&lt;=1,
IF($N83&gt;0,1/$N83,0),
IF(EL$44=1,0,VDB(1,0,$N83,INT(EL$44-1-1),MIN($N83,INT(EL$44-1-1)+1),$DC83,IF($DD83="No",1,0))/
IF(DS83&gt;=INT($N83),$N83-INT($N83),1)))*
IF(EL$44=1,0,
IF(INT(DT83)=INT(DS83),DT83-DS83,INT(DT83)-DS83))+
IF($N83&lt;=1,
IF($N83&gt;0,1/$N83,0),VDB(1,0,$N83,INT(EL$44-1),MIN($N83,INT(EL$44-1)+1),$DC83,IF($DD83="No",1,0))/
IF(DT83&gt;INT($N83),$N83-INT($N83),1))*
IF(EL$44=1,DT83,
IF(INT(DT83)=INT(DS83),0,DT83-INT(DT83)))))</f>
        <v>0</v>
      </c>
      <c r="EM83" s="836">
        <f>+IF(DU83=DT83,0,
IF(AND(EM$44&gt;1,DU83=$N83),1-SUM($EE83:EL83),
IF($N83&lt;=1,
IF($N83&gt;0,1/$N83,0),
IF(EM$44=1,0,VDB(1,0,$N83,INT(EM$44-1-1),MIN($N83,INT(EM$44-1-1)+1),$DC83,IF($DD83="No",1,0))/
IF(DT83&gt;=INT($N83),$N83-INT($N83),1)))*
IF(EM$44=1,0,
IF(INT(DU83)=INT(DT83),DU83-DT83,INT(DU83)-DT83))+
IF($N83&lt;=1,
IF($N83&gt;0,1/$N83,0),VDB(1,0,$N83,INT(EM$44-1),MIN($N83,INT(EM$44-1)+1),$DC83,IF($DD83="No",1,0))/
IF(DU83&gt;INT($N83),$N83-INT($N83),1))*
IF(EM$44=1,DU83,
IF(INT(DU83)=INT(DT83),0,DU83-INT(DU83)))))</f>
        <v>0</v>
      </c>
      <c r="EN83" s="833"/>
      <c r="EO83" s="834">
        <f>+IF(OR(DW83=DV83,EO$44=1),0,
IF(AND(EO$44&gt;1,DW83=$N83),1-SUM($EN83:EN83),
IF($N83&lt;=1,
IF($N83&gt;0,1/$N83,0),
IF(EO$44=2,0,VDB(1,0,$N83,INT(EO$44-2-1),MIN($N83,INT(EO$44-2-1)+1),$DC83,IF($DD83="No",1,0))/
IF(DV83&gt;=INT($N83),$N83-INT($N83),1)))*
IF(EO$44=2,0,
IF(INT(DW83)=INT(DV83),DW83-DV83,INT(DW83)-DV83))+
IF($N83&lt;=1,
IF($N83&gt;0,1/$N83,0),VDB(1,0,$N83,INT(EO$44-2),MIN($N83,INT(EO$44-2)+1),$DC83,IF($DD83="No",1,0))/
IF(DW83&gt;INT($N83),$N83-INT($N83),1))*
IF(EO$44=2,DW83,
IF(INT(DW83)=INT(DV83),0,DW83-INT(DW83)))))</f>
        <v>0</v>
      </c>
      <c r="EP83" s="835">
        <f>+IF(OR(DX83=DW83,EP$44=1),0,
IF(AND(EP$44&gt;1,DX83=$N83),1-SUM($EN83:EO83),
IF($N83&lt;=1,
IF($N83&gt;0,1/$N83,0),
IF(EP$44=2,0,VDB(1,0,$N83,INT(EP$44-2-1),MIN($N83,INT(EP$44-2-1)+1),$DC83,IF($DD83="No",1,0))/
IF(DW83&gt;=INT($N83),$N83-INT($N83),1)))*
IF(EP$44=2,0,
IF(INT(DX83)=INT(DW83),DX83-DW83,INT(DX83)-DW83))+
IF($N83&lt;=1,
IF($N83&gt;0,1/$N83,0),VDB(1,0,$N83,INT(EP$44-2),MIN($N83,INT(EP$44-2)+1),$DC83,IF($DD83="No",1,0))/
IF(DX83&gt;INT($N83),$N83-INT($N83),1))*
IF(EP$44=2,DX83,
IF(INT(DX83)=INT(DW83),0,DX83-INT(DX83)))))</f>
        <v>0</v>
      </c>
      <c r="EQ83" s="836">
        <f>+IF(OR(DY83=DX83,EQ$44=1),0,
IF(AND(EQ$44&gt;1,DY83=$N83),1-SUM($EN83:EP83),
IF($N83&lt;=1,
IF($N83&gt;0,1/$N83,0),
IF(EQ$44=2,0,VDB(1,0,$N83,INT(EQ$44-2-1),MIN($N83,INT(EQ$44-2-1)+1),$DC83,IF($DD83="No",1,0))/
IF(DX83&gt;=INT($N83),$N83-INT($N83),1)))*
IF(EQ$44=2,0,
IF(INT(DY83)=INT(DX83),DY83-DX83,INT(DY83)-DX83))+
IF($N83&lt;=1,
IF($N83&gt;0,1/$N83,0),VDB(1,0,$N83,INT(EQ$44-2),MIN($N83,INT(EQ$44-2)+1),$DC83,IF($DD83="No",1,0))/
IF(DY83&gt;INT($N83),$N83-INT($N83),1))*
IF(EQ$44=2,DY83,
IF(INT(DY83)=INT(DX83),0,DY83-INT(DY83)))))</f>
        <v>0</v>
      </c>
      <c r="ER83" s="834">
        <f>+IF(OR(DZ83=DY83,ER$44=1),0,
IF(AND(ER$44&gt;1,DZ83=$N83),1-SUM($EN83:EQ83),
IF($N83&lt;=1,
IF($N83&gt;0,1/$N83,0),
IF(ER$44=2,0,VDB(1,0,$N83,INT(ER$44-2-1),MIN($N83,INT(ER$44-2-1)+1),$DC83,IF($DD83="No",1,0))/
IF(DY83&gt;=INT($N83),$N83-INT($N83),1)))*
IF(ER$44=2,0,
IF(INT(DZ83)=INT(DY83),DZ83-DY83,INT(DZ83)-DY83))+
IF($N83&lt;=1,
IF($N83&gt;0,1/$N83,0),VDB(1,0,$N83,INT(ER$44-2),MIN($N83,INT(ER$44-2)+1),$DC83,IF($DD83="No",1,0))/
IF(DZ83&gt;INT($N83),$N83-INT($N83),1))*
IF(ER$44=2,DZ83,
IF(INT(DZ83)=INT(DY83),0,DZ83-INT(DZ83)))))</f>
        <v>0</v>
      </c>
      <c r="ES83" s="835">
        <f>+IF(OR(EA83=DZ83,ES$44=1),0,
IF(AND(ES$44&gt;1,EA83=$N83),1-SUM($EN83:ER83),
IF($N83&lt;=1,
IF($N83&gt;0,1/$N83,0),
IF(ES$44=2,0,VDB(1,0,$N83,INT(ES$44-2-1),MIN($N83,INT(ES$44-2-1)+1),$DC83,IF($DD83="No",1,0))/
IF(DZ83&gt;=INT($N83),$N83-INT($N83),1)))*
IF(ES$44=2,0,
IF(INT(EA83)=INT(DZ83),EA83-DZ83,INT(EA83)-DZ83))+
IF($N83&lt;=1,
IF($N83&gt;0,1/$N83,0),VDB(1,0,$N83,INT(ES$44-2),MIN($N83,INT(ES$44-2)+1),$DC83,IF($DD83="No",1,0))/
IF(EA83&gt;INT($N83),$N83-INT($N83),1))*
IF(ES$44=2,EA83,
IF(INT(EA83)=INT(DZ83),0,EA83-INT(EA83)))))</f>
        <v>0</v>
      </c>
      <c r="ET83" s="835">
        <f>+IF(OR(EB83=EA83,ET$44=1),0,
IF(AND(ET$44&gt;1,EB83=$N83),1-SUM($EN83:ES83),
IF($N83&lt;=1,
IF($N83&gt;0,1/$N83,0),
IF(ET$44=2,0,VDB(1,0,$N83,INT(ET$44-2-1),MIN($N83,INT(ET$44-2-1)+1),$DC83,IF($DD83="No",1,0))/
IF(EA83&gt;=INT($N83),$N83-INT($N83),1)))*
IF(ET$44=2,0,
IF(INT(EB83)=INT(EA83),EB83-EA83,INT(EB83)-EA83))+
IF($N83&lt;=1,
IF($N83&gt;0,1/$N83,0),VDB(1,0,$N83,INT(ET$44-2),MIN($N83,INT(ET$44-2)+1),$DC83,IF($DD83="No",1,0))/
IF(EB83&gt;INT($N83),$N83-INT($N83),1))*
IF(ET$44=2,EB83,
IF(INT(EB83)=INT(EA83),0,EB83-INT(EB83)))))</f>
        <v>0</v>
      </c>
      <c r="EU83" s="835">
        <f>+IF(OR(EC83=EB83,EU$44=1),0,
IF(AND(EU$44&gt;1,EC83=$N83),1-SUM($EN83:ET83),
IF($N83&lt;=1,
IF($N83&gt;0,1/$N83,0),
IF(EU$44=2,0,VDB(1,0,$N83,INT(EU$44-2-1),MIN($N83,INT(EU$44-2-1)+1),$DC83,IF($DD83="No",1,0))/
IF(EB83&gt;=INT($N83),$N83-INT($N83),1)))*
IF(EU$44=2,0,
IF(INT(EC83)=INT(EB83),EC83-EB83,INT(EC83)-EB83))+
IF($N83&lt;=1,
IF($N83&gt;0,1/$N83,0),VDB(1,0,$N83,INT(EU$44-2),MIN($N83,INT(EU$44-2)+1),$DC83,IF($DD83="No",1,0))/
IF(EC83&gt;INT($N83),$N83-INT($N83),1))*
IF(EU$44=2,EC83,
IF(INT(EC83)=INT(EB83),0,EC83-INT(EC83)))))</f>
        <v>0</v>
      </c>
      <c r="EV83" s="836">
        <f>+IF(OR(ED83=EC83,EV$44=1),0,
IF(AND(EV$44&gt;1,ED83=$N83),1-SUM($EN83:EU83),
IF($N83&lt;=1,
IF($N83&gt;0,1/$N83,0),
IF(EV$44=2,0,VDB(1,0,$N83,INT(EV$44-2-1),MIN($N83,INT(EV$44-2-1)+1),$DC83,IF($DD83="No",1,0))/
IF(EC83&gt;=INT($N83),$N83-INT($N83),1)))*
IF(EV$44=2,0,
IF(INT(ED83)=INT(EC83),ED83-EC83,INT(ED83)-EC83))+
IF($N83&lt;=1,
IF($N83&gt;0,1/$N83,0),VDB(1,0,$N83,INT(EV$44-2),MIN($N83,INT(EV$44-2)+1),$DC83,IF($DD83="No",1,0))/
IF(ED83&gt;INT($N83),$N83-INT($N83),1))*
IF(EV$44=2,ED83,
IF(INT(ED83)=INT(EC83),0,ED83-INT(ED83)))))</f>
        <v>0</v>
      </c>
      <c r="EW83" s="833"/>
      <c r="EX83" s="834">
        <f t="shared" ca="1" si="190"/>
        <v>0</v>
      </c>
      <c r="EY83" s="835">
        <f t="shared" ca="1" si="190"/>
        <v>0</v>
      </c>
      <c r="EZ83" s="836">
        <f t="shared" ca="1" si="190"/>
        <v>0</v>
      </c>
      <c r="FA83" s="834">
        <f t="shared" ca="1" si="190"/>
        <v>0</v>
      </c>
      <c r="FB83" s="835">
        <f t="shared" ca="1" si="190"/>
        <v>0</v>
      </c>
      <c r="FC83" s="835">
        <f t="shared" ca="1" si="190"/>
        <v>0</v>
      </c>
      <c r="FD83" s="835">
        <f t="shared" ca="1" si="190"/>
        <v>0</v>
      </c>
      <c r="FE83" s="836">
        <f t="shared" ca="1" si="190"/>
        <v>0</v>
      </c>
      <c r="FG83" s="386">
        <f t="shared" ca="1" si="237"/>
        <v>0</v>
      </c>
      <c r="FH83" s="387">
        <f t="shared" ca="1" si="238"/>
        <v>0</v>
      </c>
      <c r="FI83" s="388">
        <f t="shared" ca="1" si="239"/>
        <v>0</v>
      </c>
      <c r="FJ83" s="386">
        <f t="shared" ca="1" si="240"/>
        <v>0</v>
      </c>
      <c r="FK83" s="387">
        <f t="shared" ca="1" si="241"/>
        <v>0</v>
      </c>
      <c r="FL83" s="387">
        <f t="shared" ca="1" si="242"/>
        <v>0</v>
      </c>
      <c r="FM83" s="387">
        <f t="shared" ca="1" si="243"/>
        <v>0</v>
      </c>
      <c r="FN83" s="388">
        <f t="shared" ca="1" si="244"/>
        <v>0</v>
      </c>
      <c r="FR83" s="116"/>
    </row>
    <row r="84" spans="2:174">
      <c r="B84" s="1410">
        <f t="shared" si="135"/>
        <v>38</v>
      </c>
      <c r="C84" s="400" t="s">
        <v>567</v>
      </c>
      <c r="D84" s="410"/>
      <c r="E84" s="402" t="s">
        <v>401</v>
      </c>
      <c r="F84" s="402" t="s">
        <v>514</v>
      </c>
      <c r="G84" s="400" t="s">
        <v>515</v>
      </c>
      <c r="H84" s="2088" t="s">
        <v>483</v>
      </c>
      <c r="I84" s="2089"/>
      <c r="J84" s="411" t="s">
        <v>516</v>
      </c>
      <c r="K84" s="403" t="s">
        <v>544</v>
      </c>
      <c r="L84" s="403">
        <v>25</v>
      </c>
      <c r="M84" s="403" t="s">
        <v>142</v>
      </c>
      <c r="N84" s="403"/>
      <c r="O84" s="347"/>
      <c r="P84" s="347"/>
      <c r="Q84" s="1021">
        <v>1.6614634146341465</v>
      </c>
      <c r="R84" s="1022">
        <v>0</v>
      </c>
      <c r="S84" s="1022">
        <v>0</v>
      </c>
      <c r="T84" s="1022">
        <v>0</v>
      </c>
      <c r="U84" s="1023">
        <v>0</v>
      </c>
      <c r="V84" s="1021">
        <v>0</v>
      </c>
      <c r="W84" s="1022">
        <v>0</v>
      </c>
      <c r="X84" s="1022">
        <v>0</v>
      </c>
      <c r="Y84" s="1022">
        <v>0</v>
      </c>
      <c r="Z84" s="1023">
        <v>0</v>
      </c>
      <c r="AA84" s="1024"/>
      <c r="AB84" s="1021">
        <v>0</v>
      </c>
      <c r="AC84" s="1022">
        <v>0</v>
      </c>
      <c r="AD84" s="1022">
        <v>0</v>
      </c>
      <c r="AE84" s="1022">
        <v>0</v>
      </c>
      <c r="AF84" s="1023">
        <v>0</v>
      </c>
      <c r="AG84" s="1021">
        <v>0</v>
      </c>
      <c r="AH84" s="1022">
        <v>0</v>
      </c>
      <c r="AI84" s="1022">
        <v>0</v>
      </c>
      <c r="AJ84" s="1022">
        <v>0</v>
      </c>
      <c r="AK84" s="1023">
        <v>0</v>
      </c>
      <c r="AL84" s="1024"/>
      <c r="AM84" s="1021">
        <v>0</v>
      </c>
      <c r="AN84" s="1022">
        <v>0</v>
      </c>
      <c r="AO84" s="1022">
        <v>0</v>
      </c>
      <c r="AP84" s="1022">
        <v>0</v>
      </c>
      <c r="AQ84" s="1023">
        <v>0</v>
      </c>
      <c r="AR84" s="1021">
        <v>0</v>
      </c>
      <c r="AS84" s="1022">
        <v>0</v>
      </c>
      <c r="AT84" s="1022">
        <v>0</v>
      </c>
      <c r="AU84" s="1022">
        <v>0</v>
      </c>
      <c r="AV84" s="1023">
        <v>0</v>
      </c>
      <c r="AW84" s="1025"/>
      <c r="AX84" s="1282">
        <f t="shared" si="191"/>
        <v>1.6614634146341465</v>
      </c>
      <c r="AY84" s="387">
        <f t="shared" si="192"/>
        <v>0</v>
      </c>
      <c r="AZ84" s="387">
        <f t="shared" si="193"/>
        <v>0</v>
      </c>
      <c r="BA84" s="387">
        <f t="shared" si="194"/>
        <v>0</v>
      </c>
      <c r="BB84" s="1283">
        <f t="shared" si="195"/>
        <v>0</v>
      </c>
      <c r="BC84" s="386">
        <f t="shared" si="196"/>
        <v>0</v>
      </c>
      <c r="BD84" s="387">
        <f t="shared" si="197"/>
        <v>0</v>
      </c>
      <c r="BE84" s="1277">
        <f t="shared" si="198"/>
        <v>0</v>
      </c>
      <c r="BF84" s="1277">
        <f t="shared" si="199"/>
        <v>0</v>
      </c>
      <c r="BG84" s="388">
        <f t="shared" si="200"/>
        <v>0</v>
      </c>
      <c r="BH84" s="1025"/>
      <c r="BI84" s="1282">
        <f t="shared" ca="1" si="201"/>
        <v>3.3229268292682933E-2</v>
      </c>
      <c r="BJ84" s="387">
        <f t="shared" ca="1" si="202"/>
        <v>6.6458536585365866E-2</v>
      </c>
      <c r="BK84" s="387">
        <f t="shared" ca="1" si="203"/>
        <v>6.6458536585365866E-2</v>
      </c>
      <c r="BL84" s="387">
        <f t="shared" ca="1" si="204"/>
        <v>6.6458536585365866E-2</v>
      </c>
      <c r="BM84" s="1283">
        <f t="shared" ca="1" si="205"/>
        <v>6.6458536585365866E-2</v>
      </c>
      <c r="BN84" s="386">
        <f t="shared" ca="1" si="206"/>
        <v>6.6458536585365866E-2</v>
      </c>
      <c r="BO84" s="387">
        <f t="shared" ca="1" si="207"/>
        <v>6.6458536585365866E-2</v>
      </c>
      <c r="BP84" s="1277">
        <f t="shared" ca="1" si="208"/>
        <v>6.6458536585365866E-2</v>
      </c>
      <c r="BQ84" s="1277">
        <f t="shared" ca="1" si="209"/>
        <v>6.6458536585365866E-2</v>
      </c>
      <c r="BR84" s="388">
        <f t="shared" ca="1" si="210"/>
        <v>6.6458536585365866E-2</v>
      </c>
      <c r="BS84" s="1025"/>
      <c r="BT84" s="1282">
        <f>+IF($K84="Ongoing",AX84,IF(RIGHT($K84,2)=RIGHT(BT$43,2),SUM($AX84:AX84),0)+IF(RIGHT(BT$43,2)&gt;RIGHT($K84,2),AX84,0))</f>
        <v>1.6614634146341465</v>
      </c>
      <c r="BU84" s="387">
        <f>+IF($K84="Ongoing",AY84,IF(RIGHT($K84,2)=RIGHT(BU$43,2),SUM($AX84:AY84),0)+IF(RIGHT(BU$43,2)&gt;RIGHT($K84,2),AY84,0))</f>
        <v>0</v>
      </c>
      <c r="BV84" s="387">
        <f>+IF($K84="Ongoing",AZ84,IF(RIGHT($K84,2)=RIGHT(BV$43,2),SUM($AX84:AZ84),0)+IF(RIGHT(BV$43,2)&gt;RIGHT($K84,2),AZ84,0))</f>
        <v>0</v>
      </c>
      <c r="BW84" s="387">
        <f>+IF($K84="Ongoing",BA84,IF(RIGHT($K84,2)=RIGHT(BW$43,2),SUM($AX84:BA84),0)+IF(RIGHT(BW$43,2)&gt;RIGHT($K84,2),BA84,0))</f>
        <v>0</v>
      </c>
      <c r="BX84" s="1283">
        <f>+IF($K84="Ongoing",BB84,IF(RIGHT($K84,2)=RIGHT(BX$43,2),SUM($AX84:BB84),0)+IF(RIGHT(BX$43,2)&gt;RIGHT($K84,2),BB84,0))</f>
        <v>0</v>
      </c>
      <c r="BY84" s="386">
        <f>+IF($K84="Ongoing",BC84,IF(RIGHT($K84,2)=RIGHT(BY$43,2),SUM($AX84:BC84),0)+IF(RIGHT(BY$43,2)&gt;RIGHT($K84,2),BC84,0))</f>
        <v>0</v>
      </c>
      <c r="BZ84" s="387">
        <f>+IF($K84="Ongoing",BD84,IF(RIGHT($K84,2)=RIGHT(BZ$43,2),SUM($AX84:BD84),0)+IF(RIGHT(BZ$43,2)&gt;RIGHT($K84,2),BD84,0))</f>
        <v>0</v>
      </c>
      <c r="CA84" s="1277">
        <f>+IF($K84="Ongoing",BE84,IF(RIGHT($K84,2)=RIGHT(CA$43,2),SUM($AX84:BE84),0)+IF(RIGHT(CA$43,2)&gt;RIGHT($K84,2),BE84,0))</f>
        <v>0</v>
      </c>
      <c r="CB84" s="1277">
        <f>+IF($K84="Ongoing",BF84,IF(RIGHT($K84,2)=RIGHT(CB$43,2),SUM($AX84:BF84),0)+IF(RIGHT(CB$43,2)&gt;RIGHT($K84,2),BF84,0))</f>
        <v>0</v>
      </c>
      <c r="CC84" s="388">
        <f>+IF($K84="Ongoing",BG84,IF(RIGHT($K84,2)=RIGHT(CC$43,2),SUM($AX84:BG84),0)+IF(RIGHT(CC$43,2)&gt;RIGHT($K84,2),BG84,0))</f>
        <v>0</v>
      </c>
      <c r="CD84" s="1025"/>
      <c r="CE84" s="1282">
        <f>+Q84*KeyAssumptionsPriceControl_FO!AF$15</f>
        <v>1.7096458536585366</v>
      </c>
      <c r="CF84" s="387">
        <f>+R84*KeyAssumptionsPriceControl_FO!AG$15</f>
        <v>0</v>
      </c>
      <c r="CG84" s="387">
        <f>+S84*KeyAssumptionsPriceControl_FO!AH$15</f>
        <v>0</v>
      </c>
      <c r="CH84" s="387">
        <f>+T84*KeyAssumptionsPriceControl_FO!AI$15</f>
        <v>0</v>
      </c>
      <c r="CI84" s="1283">
        <f>+U84*KeyAssumptionsPriceControl_FO!AJ$15</f>
        <v>0</v>
      </c>
      <c r="CJ84" s="386">
        <f>+V84*KeyAssumptionsPriceControl_FO!AK$15</f>
        <v>0</v>
      </c>
      <c r="CK84" s="387">
        <f>+W84*KeyAssumptionsPriceControl_FO!AL$15</f>
        <v>0</v>
      </c>
      <c r="CL84" s="1277">
        <f>+X84*KeyAssumptionsPriceControl_FO!AM$15</f>
        <v>0</v>
      </c>
      <c r="CM84" s="1277">
        <f>+Y84*KeyAssumptionsPriceControl_FO!AN$15</f>
        <v>0</v>
      </c>
      <c r="CN84" s="388">
        <f>+Z84*KeyAssumptionsPriceControl_FO!AO$15</f>
        <v>0</v>
      </c>
      <c r="CO84" s="1025"/>
      <c r="CP84" s="1282">
        <f t="shared" ca="1" si="211"/>
        <v>0</v>
      </c>
      <c r="CQ84" s="387">
        <f t="shared" ca="1" si="212"/>
        <v>0</v>
      </c>
      <c r="CR84" s="387">
        <f t="shared" ca="1" si="213"/>
        <v>0</v>
      </c>
      <c r="CS84" s="387">
        <f t="shared" ca="1" si="214"/>
        <v>0</v>
      </c>
      <c r="CT84" s="1283">
        <f t="shared" ca="1" si="215"/>
        <v>0</v>
      </c>
      <c r="CU84" s="386">
        <f t="shared" ca="1" si="216"/>
        <v>0</v>
      </c>
      <c r="CV84" s="387">
        <f t="shared" ca="1" si="217"/>
        <v>0</v>
      </c>
      <c r="CW84" s="1277">
        <f t="shared" ca="1" si="218"/>
        <v>0</v>
      </c>
      <c r="CX84" s="1277">
        <f t="shared" ca="1" si="219"/>
        <v>0</v>
      </c>
      <c r="CY84" s="388">
        <f t="shared" ca="1" si="220"/>
        <v>0</v>
      </c>
      <c r="CZ84" s="347"/>
      <c r="DA84" s="852"/>
      <c r="DB84" s="347"/>
      <c r="DC84" s="1012" t="s">
        <v>568</v>
      </c>
      <c r="DD84" s="841" t="s">
        <v>518</v>
      </c>
      <c r="DE84" s="386">
        <f>+IF($K84="ongoing",CE84,IF(RIGHT($K84,2)=RIGHT(DE$43,2),SUM($CD84:CE84),0)+IF(RIGHT(DE$43,2)&gt;RIGHT($K84,2),CE84,0))</f>
        <v>1.7096458536585366</v>
      </c>
      <c r="DF84" s="387">
        <f>+IF($K84="ongoing",CF84,IF(RIGHT($K84,2)=RIGHT(DF$43,2),SUM($CD84:CF84),0)+IF(RIGHT(DF$43,2)&gt;RIGHT($K84,2),CF84,0))</f>
        <v>0</v>
      </c>
      <c r="DG84" s="388">
        <f>+IF($K84="ongoing",CG84,IF(RIGHT($K84,2)=RIGHT(DG$43,2),SUM($CD84:CG84),0)+IF(RIGHT(DG$43,2)&gt;RIGHT($K84,2),CG84,0))</f>
        <v>0</v>
      </c>
      <c r="DH84" s="386">
        <f>+IF($K84="ongoing",CH84,IF(RIGHT($K84,2)=RIGHT(DH$43,2),SUM($CD84:CH84),0)+IF(RIGHT(DH$43,2)&gt;RIGHT($K84,2),CH84,0))</f>
        <v>0</v>
      </c>
      <c r="DI84" s="387">
        <f>+IF($K84="ongoing",CI84,IF(RIGHT($K84,2)=RIGHT(DI$43,2),SUM($CD84:CI84),0)+IF(RIGHT(DI$43,2)&gt;RIGHT($K84,2),CI84,0))</f>
        <v>0</v>
      </c>
      <c r="DJ84" s="387">
        <f>+IF($K84="ongoing",CJ84,IF(RIGHT($K84,2)=RIGHT(DJ$43,2),SUM($CD84:CJ84),0)+IF(RIGHT(DJ$43,2)&gt;RIGHT($K84,2),CJ84,0))</f>
        <v>0</v>
      </c>
      <c r="DK84" s="387">
        <f>+IF($K84="ongoing",CK84,IF(RIGHT($K84,2)=RIGHT(DK$43,2),SUM($CD84:CK84),0)+IF(RIGHT(DK$43,2)&gt;RIGHT($K84,2),CK84,0))</f>
        <v>0</v>
      </c>
      <c r="DL84" s="388">
        <f>+IF($K84="ongoing",CN84,IF(RIGHT($K84,2)=RIGHT(DL$43,2),SUM($CD84:CN84),0)+IF(RIGHT(DL$43,2)&gt;RIGHT($K84,2),CN84,0))</f>
        <v>0</v>
      </c>
      <c r="DM84" s="841"/>
      <c r="DN84" s="386">
        <f t="shared" si="221"/>
        <v>0.5</v>
      </c>
      <c r="DO84" s="387">
        <f t="shared" si="222"/>
        <v>1</v>
      </c>
      <c r="DP84" s="388">
        <f t="shared" si="223"/>
        <v>1</v>
      </c>
      <c r="DQ84" s="386">
        <f t="shared" si="224"/>
        <v>1</v>
      </c>
      <c r="DR84" s="387">
        <f t="shared" si="225"/>
        <v>1</v>
      </c>
      <c r="DS84" s="387">
        <f t="shared" si="226"/>
        <v>1</v>
      </c>
      <c r="DT84" s="387">
        <f t="shared" si="227"/>
        <v>1</v>
      </c>
      <c r="DU84" s="388">
        <f t="shared" si="228"/>
        <v>1</v>
      </c>
      <c r="DW84" s="386">
        <f t="shared" si="229"/>
        <v>0</v>
      </c>
      <c r="DX84" s="387">
        <f t="shared" si="230"/>
        <v>0.5</v>
      </c>
      <c r="DY84" s="388">
        <f t="shared" si="231"/>
        <v>1</v>
      </c>
      <c r="DZ84" s="386">
        <f t="shared" si="232"/>
        <v>1</v>
      </c>
      <c r="EA84" s="387">
        <f t="shared" si="233"/>
        <v>1</v>
      </c>
      <c r="EB84" s="387">
        <f t="shared" si="234"/>
        <v>1</v>
      </c>
      <c r="EC84" s="387">
        <f t="shared" si="235"/>
        <v>1</v>
      </c>
      <c r="ED84" s="388">
        <f t="shared" si="236"/>
        <v>1</v>
      </c>
      <c r="EF84" s="834">
        <f>+IF(DN84=DM84,0,
IF(AND(EF$44&gt;1,DN84=$N84),1-SUM($EE84:EE84),
IF($N84&lt;=1,
IF($N84&gt;0,1/$N84,0),
IF(EF$44=1,0,VDB(1,0,$N84,INT(EF$44-1-1),MIN($N84,INT(EF$44-1-1)+1),$DC84,IF($DD84="No",1,0))/
IF(DM84&gt;=INT($N84),$N84-INT($N84),1)))*
IF(EF$44=1,0,
IF(INT(DN84)=INT(DM84),DN84-DM84,INT(DN84)-DM84))+
IF($N84&lt;=1,
IF($N84&gt;0,1/$N84,0),VDB(1,0,$N84,INT(EF$44-1),MIN($N84,INT(EF$44-1)+1),$DC84,IF($DD84="No",1,0))/
IF(DN84&gt;INT($N84),$N84-INT($N84),1))*
IF(EF$44=1,DN84,
IF(INT(DN84)=INT(DM84),0,DN84-INT(DN84)))))</f>
        <v>0</v>
      </c>
      <c r="EG84" s="835">
        <f>+IF(DO84=DN84,0,
IF(AND(EG$44&gt;1,DO84=$N84),1-SUM($EE84:EF84),
IF($N84&lt;=1,
IF($N84&gt;0,1/$N84,0),
IF(EG$44=1,0,VDB(1,0,$N84,INT(EG$44-1-1),MIN($N84,INT(EG$44-1-1)+1),$DC84,IF($DD84="No",1,0))/
IF(DN84&gt;=INT($N84),$N84-INT($N84),1)))*
IF(EG$44=1,0,
IF(INT(DO84)=INT(DN84),DO84-DN84,INT(DO84)-DN84))+
IF($N84&lt;=1,
IF($N84&gt;0,1/$N84,0),VDB(1,0,$N84,INT(EG$44-1),MIN($N84,INT(EG$44-1)+1),$DC84,IF($DD84="No",1,0))/
IF(DO84&gt;INT($N84),$N84-INT($N84),1))*
IF(EG$44=1,DO84,
IF(INT(DO84)=INT(DN84),0,DO84-INT(DO84)))))</f>
        <v>0</v>
      </c>
      <c r="EH84" s="836">
        <f>+IF(DP84=DO84,0,
IF(AND(EH$44&gt;1,DP84=$N84),1-SUM($EE84:EG84),
IF($N84&lt;=1,
IF($N84&gt;0,1/$N84,0),
IF(EH$44=1,0,VDB(1,0,$N84,INT(EH$44-1-1),MIN($N84,INT(EH$44-1-1)+1),$DC84,IF($DD84="No",1,0))/
IF(DO84&gt;=INT($N84),$N84-INT($N84),1)))*
IF(EH$44=1,0,
IF(INT(DP84)=INT(DO84),DP84-DO84,INT(DP84)-DO84))+
IF($N84&lt;=1,
IF($N84&gt;0,1/$N84,0),VDB(1,0,$N84,INT(EH$44-1),MIN($N84,INT(EH$44-1)+1),$DC84,IF($DD84="No",1,0))/
IF(DP84&gt;INT($N84),$N84-INT($N84),1))*
IF(EH$44=1,DP84,
IF(INT(DP84)=INT(DO84),0,DP84-INT(DP84)))))</f>
        <v>0</v>
      </c>
      <c r="EI84" s="834">
        <f>+IF(DQ84=DP84,0,
IF(AND(EI$44&gt;1,DQ84=$N84),1-SUM($EE84:EH84),
IF($N84&lt;=1,
IF($N84&gt;0,1/$N84,0),
IF(EI$44=1,0,VDB(1,0,$N84,INT(EI$44-1-1),MIN($N84,INT(EI$44-1-1)+1),$DC84,IF($DD84="No",1,0))/
IF(DP84&gt;=INT($N84),$N84-INT($N84),1)))*
IF(EI$44=1,0,
IF(INT(DQ84)=INT(DP84),DQ84-DP84,INT(DQ84)-DP84))+
IF($N84&lt;=1,
IF($N84&gt;0,1/$N84,0),VDB(1,0,$N84,INT(EI$44-1),MIN($N84,INT(EI$44-1)+1),$DC84,IF($DD84="No",1,0))/
IF(DQ84&gt;INT($N84),$N84-INT($N84),1))*
IF(EI$44=1,DQ84,
IF(INT(DQ84)=INT(DP84),0,DQ84-INT(DQ84)))))</f>
        <v>0</v>
      </c>
      <c r="EJ84" s="835">
        <f>+IF(DR84=DQ84,0,
IF(AND(EJ$44&gt;1,DR84=$N84),1-SUM($EE84:EI84),
IF($N84&lt;=1,
IF($N84&gt;0,1/$N84,0),
IF(EJ$44=1,0,VDB(1,0,$N84,INT(EJ$44-1-1),MIN($N84,INT(EJ$44-1-1)+1),$DC84,IF($DD84="No",1,0))/
IF(DQ84&gt;=INT($N84),$N84-INT($N84),1)))*
IF(EJ$44=1,0,
IF(INT(DR84)=INT(DQ84),DR84-DQ84,INT(DR84)-DQ84))+
IF($N84&lt;=1,
IF($N84&gt;0,1/$N84,0),VDB(1,0,$N84,INT(EJ$44-1),MIN($N84,INT(EJ$44-1)+1),$DC84,IF($DD84="No",1,0))/
IF(DR84&gt;INT($N84),$N84-INT($N84),1))*
IF(EJ$44=1,DR84,
IF(INT(DR84)=INT(DQ84),0,DR84-INT(DR84)))))</f>
        <v>0</v>
      </c>
      <c r="EK84" s="835">
        <f>+IF(DS84=DR84,0,
IF(AND(EK$44&gt;1,DS84=$N84),1-SUM($EE84:EJ84),
IF($N84&lt;=1,
IF($N84&gt;0,1/$N84,0),
IF(EK$44=1,0,VDB(1,0,$N84,INT(EK$44-1-1),MIN($N84,INT(EK$44-1-1)+1),$DC84,IF($DD84="No",1,0))/
IF(DR84&gt;=INT($N84),$N84-INT($N84),1)))*
IF(EK$44=1,0,
IF(INT(DS84)=INT(DR84),DS84-DR84,INT(DS84)-DR84))+
IF($N84&lt;=1,
IF($N84&gt;0,1/$N84,0),VDB(1,0,$N84,INT(EK$44-1),MIN($N84,INT(EK$44-1)+1),$DC84,IF($DD84="No",1,0))/
IF(DS84&gt;INT($N84),$N84-INT($N84),1))*
IF(EK$44=1,DS84,
IF(INT(DS84)=INT(DR84),0,DS84-INT(DS84)))))</f>
        <v>0</v>
      </c>
      <c r="EL84" s="835">
        <f>+IF(DT84=DS84,0,
IF(AND(EL$44&gt;1,DT84=$N84),1-SUM($EE84:EK84),
IF($N84&lt;=1,
IF($N84&gt;0,1/$N84,0),
IF(EL$44=1,0,VDB(1,0,$N84,INT(EL$44-1-1),MIN($N84,INT(EL$44-1-1)+1),$DC84,IF($DD84="No",1,0))/
IF(DS84&gt;=INT($N84),$N84-INT($N84),1)))*
IF(EL$44=1,0,
IF(INT(DT84)=INT(DS84),DT84-DS84,INT(DT84)-DS84))+
IF($N84&lt;=1,
IF($N84&gt;0,1/$N84,0),VDB(1,0,$N84,INT(EL$44-1),MIN($N84,INT(EL$44-1)+1),$DC84,IF($DD84="No",1,0))/
IF(DT84&gt;INT($N84),$N84-INT($N84),1))*
IF(EL$44=1,DT84,
IF(INT(DT84)=INT(DS84),0,DT84-INT(DT84)))))</f>
        <v>0</v>
      </c>
      <c r="EM84" s="836">
        <f>+IF(DU84=DT84,0,
IF(AND(EM$44&gt;1,DU84=$N84),1-SUM($EE84:EL84),
IF($N84&lt;=1,
IF($N84&gt;0,1/$N84,0),
IF(EM$44=1,0,VDB(1,0,$N84,INT(EM$44-1-1),MIN($N84,INT(EM$44-1-1)+1),$DC84,IF($DD84="No",1,0))/
IF(DT84&gt;=INT($N84),$N84-INT($N84),1)))*
IF(EM$44=1,0,
IF(INT(DU84)=INT(DT84),DU84-DT84,INT(DU84)-DT84))+
IF($N84&lt;=1,
IF($N84&gt;0,1/$N84,0),VDB(1,0,$N84,INT(EM$44-1),MIN($N84,INT(EM$44-1)+1),$DC84,IF($DD84="No",1,0))/
IF(DU84&gt;INT($N84),$N84-INT($N84),1))*
IF(EM$44=1,DU84,
IF(INT(DU84)=INT(DT84),0,DU84-INT(DU84)))))</f>
        <v>0</v>
      </c>
      <c r="EN84" s="833"/>
      <c r="EO84" s="834">
        <f>+IF(OR(DW84=DV84,EO$44=1),0,
IF(AND(EO$44&gt;1,DW84=$N84),1-SUM($EN84:EN84),
IF($N84&lt;=1,
IF($N84&gt;0,1/$N84,0),
IF(EO$44=2,0,VDB(1,0,$N84,INT(EO$44-2-1),MIN($N84,INT(EO$44-2-1)+1),$DC84,IF($DD84="No",1,0))/
IF(DV84&gt;=INT($N84),$N84-INT($N84),1)))*
IF(EO$44=2,0,
IF(INT(DW84)=INT(DV84),DW84-DV84,INT(DW84)-DV84))+
IF($N84&lt;=1,
IF($N84&gt;0,1/$N84,0),VDB(1,0,$N84,INT(EO$44-2),MIN($N84,INT(EO$44-2)+1),$DC84,IF($DD84="No",1,0))/
IF(DW84&gt;INT($N84),$N84-INT($N84),1))*
IF(EO$44=2,DW84,
IF(INT(DW84)=INT(DV84),0,DW84-INT(DW84)))))</f>
        <v>0</v>
      </c>
      <c r="EP84" s="835">
        <f>+IF(OR(DX84=DW84,EP$44=1),0,
IF(AND(EP$44&gt;1,DX84=$N84),1-SUM($EN84:EO84),
IF($N84&lt;=1,
IF($N84&gt;0,1/$N84,0),
IF(EP$44=2,0,VDB(1,0,$N84,INT(EP$44-2-1),MIN($N84,INT(EP$44-2-1)+1),$DC84,IF($DD84="No",1,0))/
IF(DW84&gt;=INT($N84),$N84-INT($N84),1)))*
IF(EP$44=2,0,
IF(INT(DX84)=INT(DW84),DX84-DW84,INT(DX84)-DW84))+
IF($N84&lt;=1,
IF($N84&gt;0,1/$N84,0),VDB(1,0,$N84,INT(EP$44-2),MIN($N84,INT(EP$44-2)+1),$DC84,IF($DD84="No",1,0))/
IF(DX84&gt;INT($N84),$N84-INT($N84),1))*
IF(EP$44=2,DX84,
IF(INT(DX84)=INT(DW84),0,DX84-INT(DX84)))))</f>
        <v>0</v>
      </c>
      <c r="EQ84" s="836">
        <f>+IF(OR(DY84=DX84,EQ$44=1),0,
IF(AND(EQ$44&gt;1,DY84=$N84),1-SUM($EN84:EP84),
IF($N84&lt;=1,
IF($N84&gt;0,1/$N84,0),
IF(EQ$44=2,0,VDB(1,0,$N84,INT(EQ$44-2-1),MIN($N84,INT(EQ$44-2-1)+1),$DC84,IF($DD84="No",1,0))/
IF(DX84&gt;=INT($N84),$N84-INT($N84),1)))*
IF(EQ$44=2,0,
IF(INT(DY84)=INT(DX84),DY84-DX84,INT(DY84)-DX84))+
IF($N84&lt;=1,
IF($N84&gt;0,1/$N84,0),VDB(1,0,$N84,INT(EQ$44-2),MIN($N84,INT(EQ$44-2)+1),$DC84,IF($DD84="No",1,0))/
IF(DY84&gt;INT($N84),$N84-INT($N84),1))*
IF(EQ$44=2,DY84,
IF(INT(DY84)=INT(DX84),0,DY84-INT(DY84)))))</f>
        <v>0</v>
      </c>
      <c r="ER84" s="834">
        <f>+IF(OR(DZ84=DY84,ER$44=1),0,
IF(AND(ER$44&gt;1,DZ84=$N84),1-SUM($EN84:EQ84),
IF($N84&lt;=1,
IF($N84&gt;0,1/$N84,0),
IF(ER$44=2,0,VDB(1,0,$N84,INT(ER$44-2-1),MIN($N84,INT(ER$44-2-1)+1),$DC84,IF($DD84="No",1,0))/
IF(DY84&gt;=INT($N84),$N84-INT($N84),1)))*
IF(ER$44=2,0,
IF(INT(DZ84)=INT(DY84),DZ84-DY84,INT(DZ84)-DY84))+
IF($N84&lt;=1,
IF($N84&gt;0,1/$N84,0),VDB(1,0,$N84,INT(ER$44-2),MIN($N84,INT(ER$44-2)+1),$DC84,IF($DD84="No",1,0))/
IF(DZ84&gt;INT($N84),$N84-INT($N84),1))*
IF(ER$44=2,DZ84,
IF(INT(DZ84)=INT(DY84),0,DZ84-INT(DZ84)))))</f>
        <v>0</v>
      </c>
      <c r="ES84" s="835">
        <f>+IF(OR(EA84=DZ84,ES$44=1),0,
IF(AND(ES$44&gt;1,EA84=$N84),1-SUM($EN84:ER84),
IF($N84&lt;=1,
IF($N84&gt;0,1/$N84,0),
IF(ES$44=2,0,VDB(1,0,$N84,INT(ES$44-2-1),MIN($N84,INT(ES$44-2-1)+1),$DC84,IF($DD84="No",1,0))/
IF(DZ84&gt;=INT($N84),$N84-INT($N84),1)))*
IF(ES$44=2,0,
IF(INT(EA84)=INT(DZ84),EA84-DZ84,INT(EA84)-DZ84))+
IF($N84&lt;=1,
IF($N84&gt;0,1/$N84,0),VDB(1,0,$N84,INT(ES$44-2),MIN($N84,INT(ES$44-2)+1),$DC84,IF($DD84="No",1,0))/
IF(EA84&gt;INT($N84),$N84-INT($N84),1))*
IF(ES$44=2,EA84,
IF(INT(EA84)=INT(DZ84),0,EA84-INT(EA84)))))</f>
        <v>0</v>
      </c>
      <c r="ET84" s="835">
        <f>+IF(OR(EB84=EA84,ET$44=1),0,
IF(AND(ET$44&gt;1,EB84=$N84),1-SUM($EN84:ES84),
IF($N84&lt;=1,
IF($N84&gt;0,1/$N84,0),
IF(ET$44=2,0,VDB(1,0,$N84,INT(ET$44-2-1),MIN($N84,INT(ET$44-2-1)+1),$DC84,IF($DD84="No",1,0))/
IF(EA84&gt;=INT($N84),$N84-INT($N84),1)))*
IF(ET$44=2,0,
IF(INT(EB84)=INT(EA84),EB84-EA84,INT(EB84)-EA84))+
IF($N84&lt;=1,
IF($N84&gt;0,1/$N84,0),VDB(1,0,$N84,INT(ET$44-2),MIN($N84,INT(ET$44-2)+1),$DC84,IF($DD84="No",1,0))/
IF(EB84&gt;INT($N84),$N84-INT($N84),1))*
IF(ET$44=2,EB84,
IF(INT(EB84)=INT(EA84),0,EB84-INT(EB84)))))</f>
        <v>0</v>
      </c>
      <c r="EU84" s="835">
        <f>+IF(OR(EC84=EB84,EU$44=1),0,
IF(AND(EU$44&gt;1,EC84=$N84),1-SUM($EN84:ET84),
IF($N84&lt;=1,
IF($N84&gt;0,1/$N84,0),
IF(EU$44=2,0,VDB(1,0,$N84,INT(EU$44-2-1),MIN($N84,INT(EU$44-2-1)+1),$DC84,IF($DD84="No",1,0))/
IF(EB84&gt;=INT($N84),$N84-INT($N84),1)))*
IF(EU$44=2,0,
IF(INT(EC84)=INT(EB84),EC84-EB84,INT(EC84)-EB84))+
IF($N84&lt;=1,
IF($N84&gt;0,1/$N84,0),VDB(1,0,$N84,INT(EU$44-2),MIN($N84,INT(EU$44-2)+1),$DC84,IF($DD84="No",1,0))/
IF(EC84&gt;INT($N84),$N84-INT($N84),1))*
IF(EU$44=2,EC84,
IF(INT(EC84)=INT(EB84),0,EC84-INT(EC84)))))</f>
        <v>0</v>
      </c>
      <c r="EV84" s="836">
        <f>+IF(OR(ED84=EC84,EV$44=1),0,
IF(AND(EV$44&gt;1,ED84=$N84),1-SUM($EN84:EU84),
IF($N84&lt;=1,
IF($N84&gt;0,1/$N84,0),
IF(EV$44=2,0,VDB(1,0,$N84,INT(EV$44-2-1),MIN($N84,INT(EV$44-2-1)+1),$DC84,IF($DD84="No",1,0))/
IF(EC84&gt;=INT($N84),$N84-INT($N84),1)))*
IF(EV$44=2,0,
IF(INT(ED84)=INT(EC84),ED84-EC84,INT(ED84)-EC84))+
IF($N84&lt;=1,
IF($N84&gt;0,1/$N84,0),VDB(1,0,$N84,INT(EV$44-2),MIN($N84,INT(EV$44-2)+1),$DC84,IF($DD84="No",1,0))/
IF(ED84&gt;INT($N84),$N84-INT($N84),1))*
IF(EV$44=2,ED84,
IF(INT(ED84)=INT(EC84),0,ED84-INT(ED84)))))</f>
        <v>0</v>
      </c>
      <c r="EW84" s="833"/>
      <c r="EX84" s="834">
        <f t="shared" ca="1" si="190"/>
        <v>0</v>
      </c>
      <c r="EY84" s="835">
        <f t="shared" ca="1" si="190"/>
        <v>0</v>
      </c>
      <c r="EZ84" s="836">
        <f t="shared" ca="1" si="190"/>
        <v>0</v>
      </c>
      <c r="FA84" s="834">
        <f t="shared" ca="1" si="190"/>
        <v>0</v>
      </c>
      <c r="FB84" s="835">
        <f t="shared" ca="1" si="190"/>
        <v>0</v>
      </c>
      <c r="FC84" s="835">
        <f t="shared" ca="1" si="190"/>
        <v>0</v>
      </c>
      <c r="FD84" s="835">
        <f t="shared" ca="1" si="190"/>
        <v>0</v>
      </c>
      <c r="FE84" s="836">
        <f t="shared" ca="1" si="190"/>
        <v>0</v>
      </c>
      <c r="FG84" s="386">
        <f t="shared" ca="1" si="237"/>
        <v>0</v>
      </c>
      <c r="FH84" s="387">
        <f t="shared" ca="1" si="238"/>
        <v>0</v>
      </c>
      <c r="FI84" s="388">
        <f t="shared" ca="1" si="239"/>
        <v>0</v>
      </c>
      <c r="FJ84" s="386">
        <f t="shared" ca="1" si="240"/>
        <v>0</v>
      </c>
      <c r="FK84" s="387">
        <f t="shared" ca="1" si="241"/>
        <v>0</v>
      </c>
      <c r="FL84" s="387">
        <f t="shared" ca="1" si="242"/>
        <v>0</v>
      </c>
      <c r="FM84" s="387">
        <f t="shared" ca="1" si="243"/>
        <v>0</v>
      </c>
      <c r="FN84" s="388">
        <f t="shared" ca="1" si="244"/>
        <v>0</v>
      </c>
      <c r="FR84" s="116"/>
    </row>
    <row r="85" spans="2:174">
      <c r="B85" s="1410">
        <f t="shared" si="135"/>
        <v>39</v>
      </c>
      <c r="C85" s="400" t="s">
        <v>569</v>
      </c>
      <c r="D85" s="410"/>
      <c r="E85" s="402" t="s">
        <v>402</v>
      </c>
      <c r="F85" s="402" t="s">
        <v>520</v>
      </c>
      <c r="G85" s="400" t="s">
        <v>525</v>
      </c>
      <c r="H85" s="2088" t="s">
        <v>483</v>
      </c>
      <c r="I85" s="2089"/>
      <c r="J85" s="411" t="s">
        <v>516</v>
      </c>
      <c r="K85" s="403" t="s">
        <v>544</v>
      </c>
      <c r="L85" s="403">
        <v>40</v>
      </c>
      <c r="M85" s="403" t="s">
        <v>142</v>
      </c>
      <c r="N85" s="403"/>
      <c r="O85" s="347"/>
      <c r="P85" s="347"/>
      <c r="Q85" s="1021">
        <v>0.8292682926829269</v>
      </c>
      <c r="R85" s="1022">
        <v>0.39838001189768002</v>
      </c>
      <c r="S85" s="1022">
        <v>0.41154411572670169</v>
      </c>
      <c r="T85" s="1022">
        <v>0.55899691445950328</v>
      </c>
      <c r="U85" s="1023">
        <v>0.50743343866419388</v>
      </c>
      <c r="V85" s="1021">
        <v>0</v>
      </c>
      <c r="W85" s="1022">
        <v>0</v>
      </c>
      <c r="X85" s="1022">
        <v>0</v>
      </c>
      <c r="Y85" s="1022">
        <v>0</v>
      </c>
      <c r="Z85" s="1023">
        <v>9.9041632474726189</v>
      </c>
      <c r="AA85" s="1024"/>
      <c r="AB85" s="1021">
        <v>0</v>
      </c>
      <c r="AC85" s="1022">
        <v>0</v>
      </c>
      <c r="AD85" s="1022">
        <v>0</v>
      </c>
      <c r="AE85" s="1022">
        <v>0</v>
      </c>
      <c r="AF85" s="1023">
        <v>0</v>
      </c>
      <c r="AG85" s="1021">
        <v>0</v>
      </c>
      <c r="AH85" s="1022">
        <v>0</v>
      </c>
      <c r="AI85" s="1022">
        <v>0</v>
      </c>
      <c r="AJ85" s="1022">
        <v>0</v>
      </c>
      <c r="AK85" s="1023">
        <v>0</v>
      </c>
      <c r="AL85" s="1024"/>
      <c r="AM85" s="1021">
        <v>0</v>
      </c>
      <c r="AN85" s="1022">
        <v>0</v>
      </c>
      <c r="AO85" s="1022">
        <v>0</v>
      </c>
      <c r="AP85" s="1022">
        <v>0</v>
      </c>
      <c r="AQ85" s="1023">
        <v>0</v>
      </c>
      <c r="AR85" s="1021">
        <v>0</v>
      </c>
      <c r="AS85" s="1022">
        <v>0</v>
      </c>
      <c r="AT85" s="1022">
        <v>0</v>
      </c>
      <c r="AU85" s="1022">
        <v>0</v>
      </c>
      <c r="AV85" s="1023">
        <v>0</v>
      </c>
      <c r="AW85" s="1025"/>
      <c r="AX85" s="1282">
        <f t="shared" si="191"/>
        <v>0.8292682926829269</v>
      </c>
      <c r="AY85" s="387">
        <f t="shared" si="192"/>
        <v>0.39838001189768002</v>
      </c>
      <c r="AZ85" s="387">
        <f t="shared" si="193"/>
        <v>0.41154411572670169</v>
      </c>
      <c r="BA85" s="387">
        <f t="shared" si="194"/>
        <v>0.55899691445950328</v>
      </c>
      <c r="BB85" s="1283">
        <f t="shared" si="195"/>
        <v>0.50743343866419388</v>
      </c>
      <c r="BC85" s="386">
        <f t="shared" si="196"/>
        <v>0</v>
      </c>
      <c r="BD85" s="387">
        <f t="shared" si="197"/>
        <v>0</v>
      </c>
      <c r="BE85" s="1277">
        <f t="shared" si="198"/>
        <v>0</v>
      </c>
      <c r="BF85" s="1277">
        <f t="shared" si="199"/>
        <v>0</v>
      </c>
      <c r="BG85" s="388">
        <f t="shared" si="200"/>
        <v>9.9041632474726189</v>
      </c>
      <c r="BH85" s="1025"/>
      <c r="BI85" s="1282">
        <f t="shared" ca="1" si="201"/>
        <v>1.0365853658536586E-2</v>
      </c>
      <c r="BJ85" s="387">
        <f t="shared" ca="1" si="202"/>
        <v>2.5711457465794174E-2</v>
      </c>
      <c r="BK85" s="387">
        <f t="shared" ca="1" si="203"/>
        <v>3.583550906109894E-2</v>
      </c>
      <c r="BL85" s="387">
        <f t="shared" ca="1" si="204"/>
        <v>4.7967271938426502E-2</v>
      </c>
      <c r="BM85" s="1283">
        <f t="shared" ca="1" si="205"/>
        <v>6.1297651352472719E-2</v>
      </c>
      <c r="BN85" s="386">
        <f t="shared" ca="1" si="206"/>
        <v>6.7640569335775141E-2</v>
      </c>
      <c r="BO85" s="387">
        <f t="shared" ca="1" si="207"/>
        <v>6.7640569335775141E-2</v>
      </c>
      <c r="BP85" s="1277">
        <f t="shared" ca="1" si="208"/>
        <v>6.7640569335775141E-2</v>
      </c>
      <c r="BQ85" s="1277">
        <f t="shared" ca="1" si="209"/>
        <v>6.7640569335775141E-2</v>
      </c>
      <c r="BR85" s="388">
        <f t="shared" ca="1" si="210"/>
        <v>0.19144260992918288</v>
      </c>
      <c r="BS85" s="1025"/>
      <c r="BT85" s="1282">
        <f>+IF($K85="Ongoing",AX85,IF(RIGHT($K85,2)=RIGHT(BT$43,2),SUM($AX85:AX85),0)+IF(RIGHT(BT$43,2)&gt;RIGHT($K85,2),AX85,0))</f>
        <v>0.8292682926829269</v>
      </c>
      <c r="BU85" s="387">
        <f>+IF($K85="Ongoing",AY85,IF(RIGHT($K85,2)=RIGHT(BU$43,2),SUM($AX85:AY85),0)+IF(RIGHT(BU$43,2)&gt;RIGHT($K85,2),AY85,0))</f>
        <v>0.39838001189768002</v>
      </c>
      <c r="BV85" s="387">
        <f>+IF($K85="Ongoing",AZ85,IF(RIGHT($K85,2)=RIGHT(BV$43,2),SUM($AX85:AZ85),0)+IF(RIGHT(BV$43,2)&gt;RIGHT($K85,2),AZ85,0))</f>
        <v>0.41154411572670169</v>
      </c>
      <c r="BW85" s="387">
        <f>+IF($K85="Ongoing",BA85,IF(RIGHT($K85,2)=RIGHT(BW$43,2),SUM($AX85:BA85),0)+IF(RIGHT(BW$43,2)&gt;RIGHT($K85,2),BA85,0))</f>
        <v>0.55899691445950328</v>
      </c>
      <c r="BX85" s="1283">
        <f>+IF($K85="Ongoing",BB85,IF(RIGHT($K85,2)=RIGHT(BX$43,2),SUM($AX85:BB85),0)+IF(RIGHT(BX$43,2)&gt;RIGHT($K85,2),BB85,0))</f>
        <v>0.50743343866419388</v>
      </c>
      <c r="BY85" s="386">
        <f>+IF($K85="Ongoing",BC85,IF(RIGHT($K85,2)=RIGHT(BY$43,2),SUM($AX85:BC85),0)+IF(RIGHT(BY$43,2)&gt;RIGHT($K85,2),BC85,0))</f>
        <v>0</v>
      </c>
      <c r="BZ85" s="387">
        <f>+IF($K85="Ongoing",BD85,IF(RIGHT($K85,2)=RIGHT(BZ$43,2),SUM($AX85:BD85),0)+IF(RIGHT(BZ$43,2)&gt;RIGHT($K85,2),BD85,0))</f>
        <v>0</v>
      </c>
      <c r="CA85" s="1277">
        <f>+IF($K85="Ongoing",BE85,IF(RIGHT($K85,2)=RIGHT(CA$43,2),SUM($AX85:BE85),0)+IF(RIGHT(CA$43,2)&gt;RIGHT($K85,2),BE85,0))</f>
        <v>0</v>
      </c>
      <c r="CB85" s="1277">
        <f>+IF($K85="Ongoing",BF85,IF(RIGHT($K85,2)=RIGHT(CB$43,2),SUM($AX85:BF85),0)+IF(RIGHT(CB$43,2)&gt;RIGHT($K85,2),BF85,0))</f>
        <v>0</v>
      </c>
      <c r="CC85" s="388">
        <f>+IF($K85="Ongoing",BG85,IF(RIGHT($K85,2)=RIGHT(CC$43,2),SUM($AX85:BG85),0)+IF(RIGHT(CC$43,2)&gt;RIGHT($K85,2),BG85,0))</f>
        <v>9.9041632474726189</v>
      </c>
      <c r="CD85" s="1025"/>
      <c r="CE85" s="1282">
        <f>+Q85*KeyAssumptionsPriceControl_FO!AF$15</f>
        <v>0.85331707317073169</v>
      </c>
      <c r="CF85" s="387">
        <f>+R85*KeyAssumptionsPriceControl_FO!AG$15</f>
        <v>0.42182109017775138</v>
      </c>
      <c r="CG85" s="387">
        <f>+S85*KeyAssumptionsPriceControl_FO!AH$15</f>
        <v>0.44839681674834159</v>
      </c>
      <c r="CH85" s="387">
        <f>+T85*KeyAssumptionsPriceControl_FO!AI$15</f>
        <v>0.62671618383805183</v>
      </c>
      <c r="CI85" s="1283">
        <f>+U85*KeyAssumptionsPriceControl_FO!AJ$15</f>
        <v>0.58540436532921603</v>
      </c>
      <c r="CJ85" s="386">
        <f>+V85*KeyAssumptionsPriceControl_FO!AK$15</f>
        <v>0</v>
      </c>
      <c r="CK85" s="387">
        <f>+W85*KeyAssumptionsPriceControl_FO!AL$15</f>
        <v>0</v>
      </c>
      <c r="CL85" s="1277">
        <f>+X85*KeyAssumptionsPriceControl_FO!AM$15</f>
        <v>0</v>
      </c>
      <c r="CM85" s="1277">
        <f>+Y85*KeyAssumptionsPriceControl_FO!AN$15</f>
        <v>0</v>
      </c>
      <c r="CN85" s="388">
        <f>+Z85*KeyAssumptionsPriceControl_FO!AO$15</f>
        <v>13.181703470012561</v>
      </c>
      <c r="CO85" s="1025"/>
      <c r="CP85" s="1282">
        <f t="shared" ca="1" si="211"/>
        <v>0</v>
      </c>
      <c r="CQ85" s="387">
        <f t="shared" ca="1" si="212"/>
        <v>0</v>
      </c>
      <c r="CR85" s="387">
        <f t="shared" ca="1" si="213"/>
        <v>0</v>
      </c>
      <c r="CS85" s="387">
        <f t="shared" ca="1" si="214"/>
        <v>0</v>
      </c>
      <c r="CT85" s="1283">
        <f t="shared" ca="1" si="215"/>
        <v>0</v>
      </c>
      <c r="CU85" s="386">
        <f t="shared" ca="1" si="216"/>
        <v>0</v>
      </c>
      <c r="CV85" s="387">
        <f t="shared" ca="1" si="217"/>
        <v>0</v>
      </c>
      <c r="CW85" s="1277">
        <f t="shared" ca="1" si="218"/>
        <v>0</v>
      </c>
      <c r="CX85" s="1277">
        <f t="shared" ca="1" si="219"/>
        <v>0</v>
      </c>
      <c r="CY85" s="388">
        <f t="shared" ca="1" si="220"/>
        <v>0</v>
      </c>
      <c r="CZ85" s="347"/>
      <c r="DA85" s="852"/>
      <c r="DB85" s="347"/>
      <c r="DC85" s="1012" t="s">
        <v>570</v>
      </c>
      <c r="DD85" s="841" t="s">
        <v>518</v>
      </c>
      <c r="DE85" s="386">
        <f>+IF($K85="ongoing",CE85,IF(RIGHT($K85,2)=RIGHT(DE$43,2),SUM($CD85:CE85),0)+IF(RIGHT(DE$43,2)&gt;RIGHT($K85,2),CE85,0))</f>
        <v>0.85331707317073169</v>
      </c>
      <c r="DF85" s="387">
        <f>+IF($K85="ongoing",CF85,IF(RIGHT($K85,2)=RIGHT(DF$43,2),SUM($CD85:CF85),0)+IF(RIGHT(DF$43,2)&gt;RIGHT($K85,2),CF85,0))</f>
        <v>0.42182109017775138</v>
      </c>
      <c r="DG85" s="388">
        <f>+IF($K85="ongoing",CG85,IF(RIGHT($K85,2)=RIGHT(DG$43,2),SUM($CD85:CG85),0)+IF(RIGHT(DG$43,2)&gt;RIGHT($K85,2),CG85,0))</f>
        <v>0.44839681674834159</v>
      </c>
      <c r="DH85" s="386">
        <f>+IF($K85="ongoing",CH85,IF(RIGHT($K85,2)=RIGHT(DH$43,2),SUM($CD85:CH85),0)+IF(RIGHT(DH$43,2)&gt;RIGHT($K85,2),CH85,0))</f>
        <v>0.62671618383805183</v>
      </c>
      <c r="DI85" s="387">
        <f>+IF($K85="ongoing",CI85,IF(RIGHT($K85,2)=RIGHT(DI$43,2),SUM($CD85:CI85),0)+IF(RIGHT(DI$43,2)&gt;RIGHT($K85,2),CI85,0))</f>
        <v>0.58540436532921603</v>
      </c>
      <c r="DJ85" s="387">
        <f>+IF($K85="ongoing",CJ85,IF(RIGHT($K85,2)=RIGHT(DJ$43,2),SUM($CD85:CJ85),0)+IF(RIGHT(DJ$43,2)&gt;RIGHT($K85,2),CJ85,0))</f>
        <v>0</v>
      </c>
      <c r="DK85" s="387">
        <f>+IF($K85="ongoing",CK85,IF(RIGHT($K85,2)=RIGHT(DK$43,2),SUM($CD85:CK85),0)+IF(RIGHT(DK$43,2)&gt;RIGHT($K85,2),CK85,0))</f>
        <v>0</v>
      </c>
      <c r="DL85" s="388">
        <f>+IF($K85="ongoing",CN85,IF(RIGHT($K85,2)=RIGHT(DL$43,2),SUM($CD85:CN85),0)+IF(RIGHT(DL$43,2)&gt;RIGHT($K85,2),CN85,0))</f>
        <v>13.181703470012561</v>
      </c>
      <c r="DM85" s="841"/>
      <c r="DN85" s="386">
        <f t="shared" si="221"/>
        <v>0.5</v>
      </c>
      <c r="DO85" s="387">
        <f t="shared" si="222"/>
        <v>1</v>
      </c>
      <c r="DP85" s="388">
        <f t="shared" si="223"/>
        <v>1</v>
      </c>
      <c r="DQ85" s="386">
        <f t="shared" si="224"/>
        <v>1</v>
      </c>
      <c r="DR85" s="387">
        <f t="shared" si="225"/>
        <v>1</v>
      </c>
      <c r="DS85" s="387">
        <f t="shared" si="226"/>
        <v>1</v>
      </c>
      <c r="DT85" s="387">
        <f t="shared" si="227"/>
        <v>1</v>
      </c>
      <c r="DU85" s="388">
        <f t="shared" si="228"/>
        <v>1</v>
      </c>
      <c r="DW85" s="386">
        <f t="shared" si="229"/>
        <v>0</v>
      </c>
      <c r="DX85" s="387">
        <f t="shared" si="230"/>
        <v>0.5</v>
      </c>
      <c r="DY85" s="388">
        <f t="shared" si="231"/>
        <v>1</v>
      </c>
      <c r="DZ85" s="386">
        <f t="shared" si="232"/>
        <v>1</v>
      </c>
      <c r="EA85" s="387">
        <f t="shared" si="233"/>
        <v>1</v>
      </c>
      <c r="EB85" s="387">
        <f t="shared" si="234"/>
        <v>1</v>
      </c>
      <c r="EC85" s="387">
        <f t="shared" si="235"/>
        <v>1</v>
      </c>
      <c r="ED85" s="388">
        <f t="shared" si="236"/>
        <v>1</v>
      </c>
      <c r="EF85" s="834">
        <f>+IF(DN85=DM85,0,
IF(AND(EF$44&gt;1,DN85=$N85),1-SUM($EE85:EE85),
IF($N85&lt;=1,
IF($N85&gt;0,1/$N85,0),
IF(EF$44=1,0,VDB(1,0,$N85,INT(EF$44-1-1),MIN($N85,INT(EF$44-1-1)+1),$DC85,IF($DD85="No",1,0))/
IF(DM85&gt;=INT($N85),$N85-INT($N85),1)))*
IF(EF$44=1,0,
IF(INT(DN85)=INT(DM85),DN85-DM85,INT(DN85)-DM85))+
IF($N85&lt;=1,
IF($N85&gt;0,1/$N85,0),VDB(1,0,$N85,INT(EF$44-1),MIN($N85,INT(EF$44-1)+1),$DC85,IF($DD85="No",1,0))/
IF(DN85&gt;INT($N85),$N85-INT($N85),1))*
IF(EF$44=1,DN85,
IF(INT(DN85)=INT(DM85),0,DN85-INT(DN85)))))</f>
        <v>0</v>
      </c>
      <c r="EG85" s="835">
        <f>+IF(DO85=DN85,0,
IF(AND(EG$44&gt;1,DO85=$N85),1-SUM($EE85:EF85),
IF($N85&lt;=1,
IF($N85&gt;0,1/$N85,0),
IF(EG$44=1,0,VDB(1,0,$N85,INT(EG$44-1-1),MIN($N85,INT(EG$44-1-1)+1),$DC85,IF($DD85="No",1,0))/
IF(DN85&gt;=INT($N85),$N85-INT($N85),1)))*
IF(EG$44=1,0,
IF(INT(DO85)=INT(DN85),DO85-DN85,INT(DO85)-DN85))+
IF($N85&lt;=1,
IF($N85&gt;0,1/$N85,0),VDB(1,0,$N85,INT(EG$44-1),MIN($N85,INT(EG$44-1)+1),$DC85,IF($DD85="No",1,0))/
IF(DO85&gt;INT($N85),$N85-INT($N85),1))*
IF(EG$44=1,DO85,
IF(INT(DO85)=INT(DN85),0,DO85-INT(DO85)))))</f>
        <v>0</v>
      </c>
      <c r="EH85" s="836">
        <f>+IF(DP85=DO85,0,
IF(AND(EH$44&gt;1,DP85=$N85),1-SUM($EE85:EG85),
IF($N85&lt;=1,
IF($N85&gt;0,1/$N85,0),
IF(EH$44=1,0,VDB(1,0,$N85,INT(EH$44-1-1),MIN($N85,INT(EH$44-1-1)+1),$DC85,IF($DD85="No",1,0))/
IF(DO85&gt;=INT($N85),$N85-INT($N85),1)))*
IF(EH$44=1,0,
IF(INT(DP85)=INT(DO85),DP85-DO85,INT(DP85)-DO85))+
IF($N85&lt;=1,
IF($N85&gt;0,1/$N85,0),VDB(1,0,$N85,INT(EH$44-1),MIN($N85,INT(EH$44-1)+1),$DC85,IF($DD85="No",1,0))/
IF(DP85&gt;INT($N85),$N85-INT($N85),1))*
IF(EH$44=1,DP85,
IF(INT(DP85)=INT(DO85),0,DP85-INT(DP85)))))</f>
        <v>0</v>
      </c>
      <c r="EI85" s="834">
        <f>+IF(DQ85=DP85,0,
IF(AND(EI$44&gt;1,DQ85=$N85),1-SUM($EE85:EH85),
IF($N85&lt;=1,
IF($N85&gt;0,1/$N85,0),
IF(EI$44=1,0,VDB(1,0,$N85,INT(EI$44-1-1),MIN($N85,INT(EI$44-1-1)+1),$DC85,IF($DD85="No",1,0))/
IF(DP85&gt;=INT($N85),$N85-INT($N85),1)))*
IF(EI$44=1,0,
IF(INT(DQ85)=INT(DP85),DQ85-DP85,INT(DQ85)-DP85))+
IF($N85&lt;=1,
IF($N85&gt;0,1/$N85,0),VDB(1,0,$N85,INT(EI$44-1),MIN($N85,INT(EI$44-1)+1),$DC85,IF($DD85="No",1,0))/
IF(DQ85&gt;INT($N85),$N85-INT($N85),1))*
IF(EI$44=1,DQ85,
IF(INT(DQ85)=INT(DP85),0,DQ85-INT(DQ85)))))</f>
        <v>0</v>
      </c>
      <c r="EJ85" s="835">
        <f>+IF(DR85=DQ85,0,
IF(AND(EJ$44&gt;1,DR85=$N85),1-SUM($EE85:EI85),
IF($N85&lt;=1,
IF($N85&gt;0,1/$N85,0),
IF(EJ$44=1,0,VDB(1,0,$N85,INT(EJ$44-1-1),MIN($N85,INT(EJ$44-1-1)+1),$DC85,IF($DD85="No",1,0))/
IF(DQ85&gt;=INT($N85),$N85-INT($N85),1)))*
IF(EJ$44=1,0,
IF(INT(DR85)=INT(DQ85),DR85-DQ85,INT(DR85)-DQ85))+
IF($N85&lt;=1,
IF($N85&gt;0,1/$N85,0),VDB(1,0,$N85,INT(EJ$44-1),MIN($N85,INT(EJ$44-1)+1),$DC85,IF($DD85="No",1,0))/
IF(DR85&gt;INT($N85),$N85-INT($N85),1))*
IF(EJ$44=1,DR85,
IF(INT(DR85)=INT(DQ85),0,DR85-INT(DR85)))))</f>
        <v>0</v>
      </c>
      <c r="EK85" s="835">
        <f>+IF(DS85=DR85,0,
IF(AND(EK$44&gt;1,DS85=$N85),1-SUM($EE85:EJ85),
IF($N85&lt;=1,
IF($N85&gt;0,1/$N85,0),
IF(EK$44=1,0,VDB(1,0,$N85,INT(EK$44-1-1),MIN($N85,INT(EK$44-1-1)+1),$DC85,IF($DD85="No",1,0))/
IF(DR85&gt;=INT($N85),$N85-INT($N85),1)))*
IF(EK$44=1,0,
IF(INT(DS85)=INT(DR85),DS85-DR85,INT(DS85)-DR85))+
IF($N85&lt;=1,
IF($N85&gt;0,1/$N85,0),VDB(1,0,$N85,INT(EK$44-1),MIN($N85,INT(EK$44-1)+1),$DC85,IF($DD85="No",1,0))/
IF(DS85&gt;INT($N85),$N85-INT($N85),1))*
IF(EK$44=1,DS85,
IF(INT(DS85)=INT(DR85),0,DS85-INT(DS85)))))</f>
        <v>0</v>
      </c>
      <c r="EL85" s="835">
        <f>+IF(DT85=DS85,0,
IF(AND(EL$44&gt;1,DT85=$N85),1-SUM($EE85:EK85),
IF($N85&lt;=1,
IF($N85&gt;0,1/$N85,0),
IF(EL$44=1,0,VDB(1,0,$N85,INT(EL$44-1-1),MIN($N85,INT(EL$44-1-1)+1),$DC85,IF($DD85="No",1,0))/
IF(DS85&gt;=INT($N85),$N85-INT($N85),1)))*
IF(EL$44=1,0,
IF(INT(DT85)=INT(DS85),DT85-DS85,INT(DT85)-DS85))+
IF($N85&lt;=1,
IF($N85&gt;0,1/$N85,0),VDB(1,0,$N85,INT(EL$44-1),MIN($N85,INT(EL$44-1)+1),$DC85,IF($DD85="No",1,0))/
IF(DT85&gt;INT($N85),$N85-INT($N85),1))*
IF(EL$44=1,DT85,
IF(INT(DT85)=INT(DS85),0,DT85-INT(DT85)))))</f>
        <v>0</v>
      </c>
      <c r="EM85" s="836">
        <f>+IF(DU85=DT85,0,
IF(AND(EM$44&gt;1,DU85=$N85),1-SUM($EE85:EL85),
IF($N85&lt;=1,
IF($N85&gt;0,1/$N85,0),
IF(EM$44=1,0,VDB(1,0,$N85,INT(EM$44-1-1),MIN($N85,INT(EM$44-1-1)+1),$DC85,IF($DD85="No",1,0))/
IF(DT85&gt;=INT($N85),$N85-INT($N85),1)))*
IF(EM$44=1,0,
IF(INT(DU85)=INT(DT85),DU85-DT85,INT(DU85)-DT85))+
IF($N85&lt;=1,
IF($N85&gt;0,1/$N85,0),VDB(1,0,$N85,INT(EM$44-1),MIN($N85,INT(EM$44-1)+1),$DC85,IF($DD85="No",1,0))/
IF(DU85&gt;INT($N85),$N85-INT($N85),1))*
IF(EM$44=1,DU85,
IF(INT(DU85)=INT(DT85),0,DU85-INT(DU85)))))</f>
        <v>0</v>
      </c>
      <c r="EN85" s="833"/>
      <c r="EO85" s="834">
        <f>+IF(OR(DW85=DV85,EO$44=1),0,
IF(AND(EO$44&gt;1,DW85=$N85),1-SUM($EN85:EN85),
IF($N85&lt;=1,
IF($N85&gt;0,1/$N85,0),
IF(EO$44=2,0,VDB(1,0,$N85,INT(EO$44-2-1),MIN($N85,INT(EO$44-2-1)+1),$DC85,IF($DD85="No",1,0))/
IF(DV85&gt;=INT($N85),$N85-INT($N85),1)))*
IF(EO$44=2,0,
IF(INT(DW85)=INT(DV85),DW85-DV85,INT(DW85)-DV85))+
IF($N85&lt;=1,
IF($N85&gt;0,1/$N85,0),VDB(1,0,$N85,INT(EO$44-2),MIN($N85,INT(EO$44-2)+1),$DC85,IF($DD85="No",1,0))/
IF(DW85&gt;INT($N85),$N85-INT($N85),1))*
IF(EO$44=2,DW85,
IF(INT(DW85)=INT(DV85),0,DW85-INT(DW85)))))</f>
        <v>0</v>
      </c>
      <c r="EP85" s="835">
        <f>+IF(OR(DX85=DW85,EP$44=1),0,
IF(AND(EP$44&gt;1,DX85=$N85),1-SUM($EN85:EO85),
IF($N85&lt;=1,
IF($N85&gt;0,1/$N85,0),
IF(EP$44=2,0,VDB(1,0,$N85,INT(EP$44-2-1),MIN($N85,INT(EP$44-2-1)+1),$DC85,IF($DD85="No",1,0))/
IF(DW85&gt;=INT($N85),$N85-INT($N85),1)))*
IF(EP$44=2,0,
IF(INT(DX85)=INT(DW85),DX85-DW85,INT(DX85)-DW85))+
IF($N85&lt;=1,
IF($N85&gt;0,1/$N85,0),VDB(1,0,$N85,INT(EP$44-2),MIN($N85,INT(EP$44-2)+1),$DC85,IF($DD85="No",1,0))/
IF(DX85&gt;INT($N85),$N85-INT($N85),1))*
IF(EP$44=2,DX85,
IF(INT(DX85)=INT(DW85),0,DX85-INT(DX85)))))</f>
        <v>0</v>
      </c>
      <c r="EQ85" s="836">
        <f>+IF(OR(DY85=DX85,EQ$44=1),0,
IF(AND(EQ$44&gt;1,DY85=$N85),1-SUM($EN85:EP85),
IF($N85&lt;=1,
IF($N85&gt;0,1/$N85,0),
IF(EQ$44=2,0,VDB(1,0,$N85,INT(EQ$44-2-1),MIN($N85,INT(EQ$44-2-1)+1),$DC85,IF($DD85="No",1,0))/
IF(DX85&gt;=INT($N85),$N85-INT($N85),1)))*
IF(EQ$44=2,0,
IF(INT(DY85)=INT(DX85),DY85-DX85,INT(DY85)-DX85))+
IF($N85&lt;=1,
IF($N85&gt;0,1/$N85,0),VDB(1,0,$N85,INT(EQ$44-2),MIN($N85,INT(EQ$44-2)+1),$DC85,IF($DD85="No",1,0))/
IF(DY85&gt;INT($N85),$N85-INT($N85),1))*
IF(EQ$44=2,DY85,
IF(INT(DY85)=INT(DX85),0,DY85-INT(DY85)))))</f>
        <v>0</v>
      </c>
      <c r="ER85" s="834">
        <f>+IF(OR(DZ85=DY85,ER$44=1),0,
IF(AND(ER$44&gt;1,DZ85=$N85),1-SUM($EN85:EQ85),
IF($N85&lt;=1,
IF($N85&gt;0,1/$N85,0),
IF(ER$44=2,0,VDB(1,0,$N85,INT(ER$44-2-1),MIN($N85,INT(ER$44-2-1)+1),$DC85,IF($DD85="No",1,0))/
IF(DY85&gt;=INT($N85),$N85-INT($N85),1)))*
IF(ER$44=2,0,
IF(INT(DZ85)=INT(DY85),DZ85-DY85,INT(DZ85)-DY85))+
IF($N85&lt;=1,
IF($N85&gt;0,1/$N85,0),VDB(1,0,$N85,INT(ER$44-2),MIN($N85,INT(ER$44-2)+1),$DC85,IF($DD85="No",1,0))/
IF(DZ85&gt;INT($N85),$N85-INT($N85),1))*
IF(ER$44=2,DZ85,
IF(INT(DZ85)=INT(DY85),0,DZ85-INT(DZ85)))))</f>
        <v>0</v>
      </c>
      <c r="ES85" s="835">
        <f>+IF(OR(EA85=DZ85,ES$44=1),0,
IF(AND(ES$44&gt;1,EA85=$N85),1-SUM($EN85:ER85),
IF($N85&lt;=1,
IF($N85&gt;0,1/$N85,0),
IF(ES$44=2,0,VDB(1,0,$N85,INT(ES$44-2-1),MIN($N85,INT(ES$44-2-1)+1),$DC85,IF($DD85="No",1,0))/
IF(DZ85&gt;=INT($N85),$N85-INT($N85),1)))*
IF(ES$44=2,0,
IF(INT(EA85)=INT(DZ85),EA85-DZ85,INT(EA85)-DZ85))+
IF($N85&lt;=1,
IF($N85&gt;0,1/$N85,0),VDB(1,0,$N85,INT(ES$44-2),MIN($N85,INT(ES$44-2)+1),$DC85,IF($DD85="No",1,0))/
IF(EA85&gt;INT($N85),$N85-INT($N85),1))*
IF(ES$44=2,EA85,
IF(INT(EA85)=INT(DZ85),0,EA85-INT(EA85)))))</f>
        <v>0</v>
      </c>
      <c r="ET85" s="835">
        <f>+IF(OR(EB85=EA85,ET$44=1),0,
IF(AND(ET$44&gt;1,EB85=$N85),1-SUM($EN85:ES85),
IF($N85&lt;=1,
IF($N85&gt;0,1/$N85,0),
IF(ET$44=2,0,VDB(1,0,$N85,INT(ET$44-2-1),MIN($N85,INT(ET$44-2-1)+1),$DC85,IF($DD85="No",1,0))/
IF(EA85&gt;=INT($N85),$N85-INT($N85),1)))*
IF(ET$44=2,0,
IF(INT(EB85)=INT(EA85),EB85-EA85,INT(EB85)-EA85))+
IF($N85&lt;=1,
IF($N85&gt;0,1/$N85,0),VDB(1,0,$N85,INT(ET$44-2),MIN($N85,INT(ET$44-2)+1),$DC85,IF($DD85="No",1,0))/
IF(EB85&gt;INT($N85),$N85-INT($N85),1))*
IF(ET$44=2,EB85,
IF(INT(EB85)=INT(EA85),0,EB85-INT(EB85)))))</f>
        <v>0</v>
      </c>
      <c r="EU85" s="835">
        <f>+IF(OR(EC85=EB85,EU$44=1),0,
IF(AND(EU$44&gt;1,EC85=$N85),1-SUM($EN85:ET85),
IF($N85&lt;=1,
IF($N85&gt;0,1/$N85,0),
IF(EU$44=2,0,VDB(1,0,$N85,INT(EU$44-2-1),MIN($N85,INT(EU$44-2-1)+1),$DC85,IF($DD85="No",1,0))/
IF(EB85&gt;=INT($N85),$N85-INT($N85),1)))*
IF(EU$44=2,0,
IF(INT(EC85)=INT(EB85),EC85-EB85,INT(EC85)-EB85))+
IF($N85&lt;=1,
IF($N85&gt;0,1/$N85,0),VDB(1,0,$N85,INT(EU$44-2),MIN($N85,INT(EU$44-2)+1),$DC85,IF($DD85="No",1,0))/
IF(EC85&gt;INT($N85),$N85-INT($N85),1))*
IF(EU$44=2,EC85,
IF(INT(EC85)=INT(EB85),0,EC85-INT(EC85)))))</f>
        <v>0</v>
      </c>
      <c r="EV85" s="836">
        <f>+IF(OR(ED85=EC85,EV$44=1),0,
IF(AND(EV$44&gt;1,ED85=$N85),1-SUM($EN85:EU85),
IF($N85&lt;=1,
IF($N85&gt;0,1/$N85,0),
IF(EV$44=2,0,VDB(1,0,$N85,INT(EV$44-2-1),MIN($N85,INT(EV$44-2-1)+1),$DC85,IF($DD85="No",1,0))/
IF(EC85&gt;=INT($N85),$N85-INT($N85),1)))*
IF(EV$44=2,0,
IF(INT(ED85)=INT(EC85),ED85-EC85,INT(ED85)-EC85))+
IF($N85&lt;=1,
IF($N85&gt;0,1/$N85,0),VDB(1,0,$N85,INT(EV$44-2),MIN($N85,INT(EV$44-2)+1),$DC85,IF($DD85="No",1,0))/
IF(ED85&gt;INT($N85),$N85-INT($N85),1))*
IF(EV$44=2,ED85,
IF(INT(ED85)=INT(EC85),0,ED85-INT(ED85)))))</f>
        <v>0</v>
      </c>
      <c r="EW85" s="833"/>
      <c r="EX85" s="834">
        <f t="shared" ref="EX85:FD85" ca="1" si="245">+OFFSET($EO85,0,MAX($EX$44:$HY$44)-EX$44)</f>
        <v>0</v>
      </c>
      <c r="EY85" s="835">
        <f t="shared" ca="1" si="245"/>
        <v>0</v>
      </c>
      <c r="EZ85" s="836">
        <f t="shared" ca="1" si="245"/>
        <v>0</v>
      </c>
      <c r="FA85" s="834">
        <f t="shared" ca="1" si="245"/>
        <v>0</v>
      </c>
      <c r="FB85" s="835">
        <f t="shared" ca="1" si="245"/>
        <v>0</v>
      </c>
      <c r="FC85" s="835">
        <f t="shared" ca="1" si="245"/>
        <v>0</v>
      </c>
      <c r="FD85" s="835">
        <f t="shared" ca="1" si="245"/>
        <v>0</v>
      </c>
      <c r="FE85" s="836">
        <f t="shared" ref="EX85:FE100" ca="1" si="246">+OFFSET($EO85,0,MAX($EX$44:$HY$44)-FE$44)</f>
        <v>0</v>
      </c>
      <c r="FG85" s="386">
        <f t="shared" ca="1" si="237"/>
        <v>0</v>
      </c>
      <c r="FH85" s="387">
        <f t="shared" ca="1" si="238"/>
        <v>0</v>
      </c>
      <c r="FI85" s="388">
        <f t="shared" ca="1" si="239"/>
        <v>0</v>
      </c>
      <c r="FJ85" s="386">
        <f t="shared" ca="1" si="240"/>
        <v>0</v>
      </c>
      <c r="FK85" s="387">
        <f t="shared" ca="1" si="241"/>
        <v>0</v>
      </c>
      <c r="FL85" s="387">
        <f t="shared" ca="1" si="242"/>
        <v>0</v>
      </c>
      <c r="FM85" s="387">
        <f t="shared" ca="1" si="243"/>
        <v>0</v>
      </c>
      <c r="FN85" s="388">
        <f t="shared" ca="1" si="244"/>
        <v>0</v>
      </c>
      <c r="FR85" s="116"/>
    </row>
    <row r="86" spans="2:174">
      <c r="B86" s="1410">
        <f t="shared" si="135"/>
        <v>40</v>
      </c>
      <c r="C86" s="400" t="s">
        <v>569</v>
      </c>
      <c r="D86" s="410"/>
      <c r="E86" s="402" t="s">
        <v>402</v>
      </c>
      <c r="F86" s="402" t="s">
        <v>514</v>
      </c>
      <c r="G86" s="400" t="s">
        <v>525</v>
      </c>
      <c r="H86" s="2088" t="s">
        <v>483</v>
      </c>
      <c r="I86" s="2089"/>
      <c r="J86" s="411" t="s">
        <v>516</v>
      </c>
      <c r="K86" s="403" t="s">
        <v>544</v>
      </c>
      <c r="L86" s="403">
        <v>40</v>
      </c>
      <c r="M86" s="403" t="s">
        <v>142</v>
      </c>
      <c r="N86" s="403"/>
      <c r="O86" s="347"/>
      <c r="P86" s="347"/>
      <c r="Q86" s="1021">
        <v>1.2899951219512196</v>
      </c>
      <c r="R86" s="1022">
        <v>2.2951743010113028</v>
      </c>
      <c r="S86" s="1022">
        <v>7.294028119150914</v>
      </c>
      <c r="T86" s="1022">
        <v>9.9009950806172249</v>
      </c>
      <c r="U86" s="1023">
        <v>9.6588118023997751</v>
      </c>
      <c r="V86" s="1021">
        <v>0</v>
      </c>
      <c r="W86" s="1022">
        <v>0</v>
      </c>
      <c r="X86" s="1022">
        <v>0</v>
      </c>
      <c r="Y86" s="1022">
        <v>0</v>
      </c>
      <c r="Z86" s="1023">
        <v>0</v>
      </c>
      <c r="AA86" s="1024"/>
      <c r="AB86" s="1021">
        <v>0</v>
      </c>
      <c r="AC86" s="1022">
        <v>0</v>
      </c>
      <c r="AD86" s="1022">
        <v>0</v>
      </c>
      <c r="AE86" s="1022">
        <v>0</v>
      </c>
      <c r="AF86" s="1023">
        <v>0</v>
      </c>
      <c r="AG86" s="1021">
        <v>0</v>
      </c>
      <c r="AH86" s="1022">
        <v>0</v>
      </c>
      <c r="AI86" s="1022">
        <v>0</v>
      </c>
      <c r="AJ86" s="1022">
        <v>0</v>
      </c>
      <c r="AK86" s="1023">
        <v>0</v>
      </c>
      <c r="AL86" s="1024"/>
      <c r="AM86" s="1021">
        <v>0</v>
      </c>
      <c r="AN86" s="1022">
        <v>0</v>
      </c>
      <c r="AO86" s="1022">
        <v>0</v>
      </c>
      <c r="AP86" s="1022">
        <v>0</v>
      </c>
      <c r="AQ86" s="1023">
        <v>0</v>
      </c>
      <c r="AR86" s="1021">
        <v>0</v>
      </c>
      <c r="AS86" s="1022">
        <v>0</v>
      </c>
      <c r="AT86" s="1022">
        <v>0</v>
      </c>
      <c r="AU86" s="1022">
        <v>0</v>
      </c>
      <c r="AV86" s="1023">
        <v>0</v>
      </c>
      <c r="AW86" s="1025"/>
      <c r="AX86" s="1282">
        <f t="shared" si="191"/>
        <v>1.2899951219512196</v>
      </c>
      <c r="AY86" s="387">
        <f t="shared" si="192"/>
        <v>2.2951743010113028</v>
      </c>
      <c r="AZ86" s="387">
        <f t="shared" si="193"/>
        <v>7.294028119150914</v>
      </c>
      <c r="BA86" s="387">
        <f t="shared" si="194"/>
        <v>9.9009950806172249</v>
      </c>
      <c r="BB86" s="1283">
        <f t="shared" si="195"/>
        <v>9.6588118023997751</v>
      </c>
      <c r="BC86" s="386">
        <f t="shared" si="196"/>
        <v>0</v>
      </c>
      <c r="BD86" s="387">
        <f t="shared" si="197"/>
        <v>0</v>
      </c>
      <c r="BE86" s="1277">
        <f t="shared" si="198"/>
        <v>0</v>
      </c>
      <c r="BF86" s="1277">
        <f t="shared" si="199"/>
        <v>0</v>
      </c>
      <c r="BG86" s="388">
        <f t="shared" si="200"/>
        <v>0</v>
      </c>
      <c r="BH86" s="1025"/>
      <c r="BI86" s="1282">
        <f t="shared" ca="1" si="201"/>
        <v>1.6124939024390245E-2</v>
      </c>
      <c r="BJ86" s="387">
        <f t="shared" ca="1" si="202"/>
        <v>6.0939556811421776E-2</v>
      </c>
      <c r="BK86" s="387">
        <f t="shared" ca="1" si="203"/>
        <v>0.18080458706344948</v>
      </c>
      <c r="BL86" s="387">
        <f t="shared" ca="1" si="204"/>
        <v>0.39574237706055126</v>
      </c>
      <c r="BM86" s="1283">
        <f t="shared" ca="1" si="205"/>
        <v>0.64023996309826359</v>
      </c>
      <c r="BN86" s="386">
        <f t="shared" ca="1" si="206"/>
        <v>0.76097511062826084</v>
      </c>
      <c r="BO86" s="387">
        <f t="shared" ca="1" si="207"/>
        <v>0.76097511062826084</v>
      </c>
      <c r="BP86" s="1277">
        <f t="shared" ca="1" si="208"/>
        <v>0.76097511062826084</v>
      </c>
      <c r="BQ86" s="1277">
        <f t="shared" ca="1" si="209"/>
        <v>0.76097511062826084</v>
      </c>
      <c r="BR86" s="388">
        <f t="shared" ca="1" si="210"/>
        <v>0.76097511062826084</v>
      </c>
      <c r="BS86" s="1025"/>
      <c r="BT86" s="1282">
        <f>+IF($K86="Ongoing",AX86,IF(RIGHT($K86,2)=RIGHT(BT$43,2),SUM($AX86:AX86),0)+IF(RIGHT(BT$43,2)&gt;RIGHT($K86,2),AX86,0))</f>
        <v>1.2899951219512196</v>
      </c>
      <c r="BU86" s="387">
        <f>+IF($K86="Ongoing",AY86,IF(RIGHT($K86,2)=RIGHT(BU$43,2),SUM($AX86:AY86),0)+IF(RIGHT(BU$43,2)&gt;RIGHT($K86,2),AY86,0))</f>
        <v>2.2951743010113028</v>
      </c>
      <c r="BV86" s="387">
        <f>+IF($K86="Ongoing",AZ86,IF(RIGHT($K86,2)=RIGHT(BV$43,2),SUM($AX86:AZ86),0)+IF(RIGHT(BV$43,2)&gt;RIGHT($K86,2),AZ86,0))</f>
        <v>7.294028119150914</v>
      </c>
      <c r="BW86" s="387">
        <f>+IF($K86="Ongoing",BA86,IF(RIGHT($K86,2)=RIGHT(BW$43,2),SUM($AX86:BA86),0)+IF(RIGHT(BW$43,2)&gt;RIGHT($K86,2),BA86,0))</f>
        <v>9.9009950806172249</v>
      </c>
      <c r="BX86" s="1283">
        <f>+IF($K86="Ongoing",BB86,IF(RIGHT($K86,2)=RIGHT(BX$43,2),SUM($AX86:BB86),0)+IF(RIGHT(BX$43,2)&gt;RIGHT($K86,2),BB86,0))</f>
        <v>9.6588118023997751</v>
      </c>
      <c r="BY86" s="386">
        <f>+IF($K86="Ongoing",BC86,IF(RIGHT($K86,2)=RIGHT(BY$43,2),SUM($AX86:BC86),0)+IF(RIGHT(BY$43,2)&gt;RIGHT($K86,2),BC86,0))</f>
        <v>0</v>
      </c>
      <c r="BZ86" s="387">
        <f>+IF($K86="Ongoing",BD86,IF(RIGHT($K86,2)=RIGHT(BZ$43,2),SUM($AX86:BD86),0)+IF(RIGHT(BZ$43,2)&gt;RIGHT($K86,2),BD86,0))</f>
        <v>0</v>
      </c>
      <c r="CA86" s="1277">
        <f>+IF($K86="Ongoing",BE86,IF(RIGHT($K86,2)=RIGHT(CA$43,2),SUM($AX86:BE86),0)+IF(RIGHT(CA$43,2)&gt;RIGHT($K86,2),BE86,0))</f>
        <v>0</v>
      </c>
      <c r="CB86" s="1277">
        <f>+IF($K86="Ongoing",BF86,IF(RIGHT($K86,2)=RIGHT(CB$43,2),SUM($AX86:BF86),0)+IF(RIGHT(CB$43,2)&gt;RIGHT($K86,2),BF86,0))</f>
        <v>0</v>
      </c>
      <c r="CC86" s="388">
        <f>+IF($K86="Ongoing",BG86,IF(RIGHT($K86,2)=RIGHT(CC$43,2),SUM($AX86:BG86),0)+IF(RIGHT(CC$43,2)&gt;RIGHT($K86,2),BG86,0))</f>
        <v>0</v>
      </c>
      <c r="CD86" s="1025"/>
      <c r="CE86" s="1282">
        <f>+Q86*KeyAssumptionsPriceControl_FO!AF$15</f>
        <v>1.3274049804878048</v>
      </c>
      <c r="CF86" s="387">
        <f>+R86*KeyAssumptionsPriceControl_FO!AG$15</f>
        <v>2.4302246520571087</v>
      </c>
      <c r="CG86" s="387">
        <f>+S86*KeyAssumptionsPriceControl_FO!AH$15</f>
        <v>7.9471892925134577</v>
      </c>
      <c r="CH86" s="387">
        <f>+T86*KeyAssumptionsPriceControl_FO!AI$15</f>
        <v>11.100443835407402</v>
      </c>
      <c r="CI86" s="1283">
        <f>+U86*KeyAssumptionsPriceControl_FO!AJ$15</f>
        <v>11.142960164200089</v>
      </c>
      <c r="CJ86" s="386">
        <f>+V86*KeyAssumptionsPriceControl_FO!AK$15</f>
        <v>0</v>
      </c>
      <c r="CK86" s="387">
        <f>+W86*KeyAssumptionsPriceControl_FO!AL$15</f>
        <v>0</v>
      </c>
      <c r="CL86" s="1277">
        <f>+X86*KeyAssumptionsPriceControl_FO!AM$15</f>
        <v>0</v>
      </c>
      <c r="CM86" s="1277">
        <f>+Y86*KeyAssumptionsPriceControl_FO!AN$15</f>
        <v>0</v>
      </c>
      <c r="CN86" s="388">
        <f>+Z86*KeyAssumptionsPriceControl_FO!AO$15</f>
        <v>0</v>
      </c>
      <c r="CO86" s="1025"/>
      <c r="CP86" s="1282">
        <f t="shared" ca="1" si="211"/>
        <v>0</v>
      </c>
      <c r="CQ86" s="387">
        <f t="shared" ca="1" si="212"/>
        <v>0</v>
      </c>
      <c r="CR86" s="387">
        <f t="shared" ca="1" si="213"/>
        <v>0</v>
      </c>
      <c r="CS86" s="387">
        <f t="shared" ca="1" si="214"/>
        <v>0</v>
      </c>
      <c r="CT86" s="1283">
        <f t="shared" ca="1" si="215"/>
        <v>0</v>
      </c>
      <c r="CU86" s="386">
        <f t="shared" ca="1" si="216"/>
        <v>0</v>
      </c>
      <c r="CV86" s="387">
        <f t="shared" ca="1" si="217"/>
        <v>0</v>
      </c>
      <c r="CW86" s="1277">
        <f t="shared" ca="1" si="218"/>
        <v>0</v>
      </c>
      <c r="CX86" s="1277">
        <f t="shared" ca="1" si="219"/>
        <v>0</v>
      </c>
      <c r="CY86" s="388">
        <f t="shared" ca="1" si="220"/>
        <v>0</v>
      </c>
      <c r="CZ86" s="347"/>
      <c r="DA86" s="852"/>
      <c r="DB86" s="347"/>
      <c r="DC86" s="1012" t="s">
        <v>571</v>
      </c>
      <c r="DD86" s="841" t="s">
        <v>518</v>
      </c>
      <c r="DE86" s="386">
        <f>+IF($K86="ongoing",CE86,IF(RIGHT($K86,2)=RIGHT(DE$43,2),SUM($CD86:CE86),0)+IF(RIGHT(DE$43,2)&gt;RIGHT($K86,2),CE86,0))</f>
        <v>1.3274049804878048</v>
      </c>
      <c r="DF86" s="387">
        <f>+IF($K86="ongoing",CF86,IF(RIGHT($K86,2)=RIGHT(DF$43,2),SUM($CD86:CF86),0)+IF(RIGHT(DF$43,2)&gt;RIGHT($K86,2),CF86,0))</f>
        <v>2.4302246520571087</v>
      </c>
      <c r="DG86" s="388">
        <f>+IF($K86="ongoing",CG86,IF(RIGHT($K86,2)=RIGHT(DG$43,2),SUM($CD86:CG86),0)+IF(RIGHT(DG$43,2)&gt;RIGHT($K86,2),CG86,0))</f>
        <v>7.9471892925134577</v>
      </c>
      <c r="DH86" s="386">
        <f>+IF($K86="ongoing",CH86,IF(RIGHT($K86,2)=RIGHT(DH$43,2),SUM($CD86:CH86),0)+IF(RIGHT(DH$43,2)&gt;RIGHT($K86,2),CH86,0))</f>
        <v>11.100443835407402</v>
      </c>
      <c r="DI86" s="387">
        <f>+IF($K86="ongoing",CI86,IF(RIGHT($K86,2)=RIGHT(DI$43,2),SUM($CD86:CI86),0)+IF(RIGHT(DI$43,2)&gt;RIGHT($K86,2),CI86,0))</f>
        <v>11.142960164200089</v>
      </c>
      <c r="DJ86" s="387">
        <f>+IF($K86="ongoing",CJ86,IF(RIGHT($K86,2)=RIGHT(DJ$43,2),SUM($CD86:CJ86),0)+IF(RIGHT(DJ$43,2)&gt;RIGHT($K86,2),CJ86,0))</f>
        <v>0</v>
      </c>
      <c r="DK86" s="387">
        <f>+IF($K86="ongoing",CK86,IF(RIGHT($K86,2)=RIGHT(DK$43,2),SUM($CD86:CK86),0)+IF(RIGHT(DK$43,2)&gt;RIGHT($K86,2),CK86,0))</f>
        <v>0</v>
      </c>
      <c r="DL86" s="388">
        <f>+IF($K86="ongoing",CN86,IF(RIGHT($K86,2)=RIGHT(DL$43,2),SUM($CD86:CN86),0)+IF(RIGHT(DL$43,2)&gt;RIGHT($K86,2),CN86,0))</f>
        <v>0</v>
      </c>
      <c r="DM86" s="841"/>
      <c r="DN86" s="386">
        <f t="shared" si="221"/>
        <v>0.5</v>
      </c>
      <c r="DO86" s="387">
        <f t="shared" si="222"/>
        <v>1</v>
      </c>
      <c r="DP86" s="388">
        <f t="shared" si="223"/>
        <v>1</v>
      </c>
      <c r="DQ86" s="386">
        <f t="shared" si="224"/>
        <v>1</v>
      </c>
      <c r="DR86" s="387">
        <f t="shared" si="225"/>
        <v>1</v>
      </c>
      <c r="DS86" s="387">
        <f t="shared" si="226"/>
        <v>1</v>
      </c>
      <c r="DT86" s="387">
        <f t="shared" si="227"/>
        <v>1</v>
      </c>
      <c r="DU86" s="388">
        <f t="shared" si="228"/>
        <v>1</v>
      </c>
      <c r="DW86" s="386">
        <f t="shared" si="229"/>
        <v>0</v>
      </c>
      <c r="DX86" s="387">
        <f t="shared" si="230"/>
        <v>0.5</v>
      </c>
      <c r="DY86" s="388">
        <f t="shared" si="231"/>
        <v>1</v>
      </c>
      <c r="DZ86" s="386">
        <f t="shared" si="232"/>
        <v>1</v>
      </c>
      <c r="EA86" s="387">
        <f t="shared" si="233"/>
        <v>1</v>
      </c>
      <c r="EB86" s="387">
        <f t="shared" si="234"/>
        <v>1</v>
      </c>
      <c r="EC86" s="387">
        <f t="shared" si="235"/>
        <v>1</v>
      </c>
      <c r="ED86" s="388">
        <f t="shared" si="236"/>
        <v>1</v>
      </c>
      <c r="EF86" s="834">
        <f>+IF(DN86=DM86,0,
IF(AND(EF$44&gt;1,DN86=$N86),1-SUM($EE86:EE86),
IF($N86&lt;=1,
IF($N86&gt;0,1/$N86,0),
IF(EF$44=1,0,VDB(1,0,$N86,INT(EF$44-1-1),MIN($N86,INT(EF$44-1-1)+1),$DC86,IF($DD86="No",1,0))/
IF(DM86&gt;=INT($N86),$N86-INT($N86),1)))*
IF(EF$44=1,0,
IF(INT(DN86)=INT(DM86),DN86-DM86,INT(DN86)-DM86))+
IF($N86&lt;=1,
IF($N86&gt;0,1/$N86,0),VDB(1,0,$N86,INT(EF$44-1),MIN($N86,INT(EF$44-1)+1),$DC86,IF($DD86="No",1,0))/
IF(DN86&gt;INT($N86),$N86-INT($N86),1))*
IF(EF$44=1,DN86,
IF(INT(DN86)=INT(DM86),0,DN86-INT(DN86)))))</f>
        <v>0</v>
      </c>
      <c r="EG86" s="835">
        <f>+IF(DO86=DN86,0,
IF(AND(EG$44&gt;1,DO86=$N86),1-SUM($EE86:EF86),
IF($N86&lt;=1,
IF($N86&gt;0,1/$N86,0),
IF(EG$44=1,0,VDB(1,0,$N86,INT(EG$44-1-1),MIN($N86,INT(EG$44-1-1)+1),$DC86,IF($DD86="No",1,0))/
IF(DN86&gt;=INT($N86),$N86-INT($N86),1)))*
IF(EG$44=1,0,
IF(INT(DO86)=INT(DN86),DO86-DN86,INT(DO86)-DN86))+
IF($N86&lt;=1,
IF($N86&gt;0,1/$N86,0),VDB(1,0,$N86,INT(EG$44-1),MIN($N86,INT(EG$44-1)+1),$DC86,IF($DD86="No",1,0))/
IF(DO86&gt;INT($N86),$N86-INT($N86),1))*
IF(EG$44=1,DO86,
IF(INT(DO86)=INT(DN86),0,DO86-INT(DO86)))))</f>
        <v>0</v>
      </c>
      <c r="EH86" s="836">
        <f>+IF(DP86=DO86,0,
IF(AND(EH$44&gt;1,DP86=$N86),1-SUM($EE86:EG86),
IF($N86&lt;=1,
IF($N86&gt;0,1/$N86,0),
IF(EH$44=1,0,VDB(1,0,$N86,INT(EH$44-1-1),MIN($N86,INT(EH$44-1-1)+1),$DC86,IF($DD86="No",1,0))/
IF(DO86&gt;=INT($N86),$N86-INT($N86),1)))*
IF(EH$44=1,0,
IF(INT(DP86)=INT(DO86),DP86-DO86,INT(DP86)-DO86))+
IF($N86&lt;=1,
IF($N86&gt;0,1/$N86,0),VDB(1,0,$N86,INT(EH$44-1),MIN($N86,INT(EH$44-1)+1),$DC86,IF($DD86="No",1,0))/
IF(DP86&gt;INT($N86),$N86-INT($N86),1))*
IF(EH$44=1,DP86,
IF(INT(DP86)=INT(DO86),0,DP86-INT(DP86)))))</f>
        <v>0</v>
      </c>
      <c r="EI86" s="834">
        <f>+IF(DQ86=DP86,0,
IF(AND(EI$44&gt;1,DQ86=$N86),1-SUM($EE86:EH86),
IF($N86&lt;=1,
IF($N86&gt;0,1/$N86,0),
IF(EI$44=1,0,VDB(1,0,$N86,INT(EI$44-1-1),MIN($N86,INT(EI$44-1-1)+1),$DC86,IF($DD86="No",1,0))/
IF(DP86&gt;=INT($N86),$N86-INT($N86),1)))*
IF(EI$44=1,0,
IF(INT(DQ86)=INT(DP86),DQ86-DP86,INT(DQ86)-DP86))+
IF($N86&lt;=1,
IF($N86&gt;0,1/$N86,0),VDB(1,0,$N86,INT(EI$44-1),MIN($N86,INT(EI$44-1)+1),$DC86,IF($DD86="No",1,0))/
IF(DQ86&gt;INT($N86),$N86-INT($N86),1))*
IF(EI$44=1,DQ86,
IF(INT(DQ86)=INT(DP86),0,DQ86-INT(DQ86)))))</f>
        <v>0</v>
      </c>
      <c r="EJ86" s="835">
        <f>+IF(DR86=DQ86,0,
IF(AND(EJ$44&gt;1,DR86=$N86),1-SUM($EE86:EI86),
IF($N86&lt;=1,
IF($N86&gt;0,1/$N86,0),
IF(EJ$44=1,0,VDB(1,0,$N86,INT(EJ$44-1-1),MIN($N86,INT(EJ$44-1-1)+1),$DC86,IF($DD86="No",1,0))/
IF(DQ86&gt;=INT($N86),$N86-INT($N86),1)))*
IF(EJ$44=1,0,
IF(INT(DR86)=INT(DQ86),DR86-DQ86,INT(DR86)-DQ86))+
IF($N86&lt;=1,
IF($N86&gt;0,1/$N86,0),VDB(1,0,$N86,INT(EJ$44-1),MIN($N86,INT(EJ$44-1)+1),$DC86,IF($DD86="No",1,0))/
IF(DR86&gt;INT($N86),$N86-INT($N86),1))*
IF(EJ$44=1,DR86,
IF(INT(DR86)=INT(DQ86),0,DR86-INT(DR86)))))</f>
        <v>0</v>
      </c>
      <c r="EK86" s="835">
        <f>+IF(DS86=DR86,0,
IF(AND(EK$44&gt;1,DS86=$N86),1-SUM($EE86:EJ86),
IF($N86&lt;=1,
IF($N86&gt;0,1/$N86,0),
IF(EK$44=1,0,VDB(1,0,$N86,INT(EK$44-1-1),MIN($N86,INT(EK$44-1-1)+1),$DC86,IF($DD86="No",1,0))/
IF(DR86&gt;=INT($N86),$N86-INT($N86),1)))*
IF(EK$44=1,0,
IF(INT(DS86)=INT(DR86),DS86-DR86,INT(DS86)-DR86))+
IF($N86&lt;=1,
IF($N86&gt;0,1/$N86,0),VDB(1,0,$N86,INT(EK$44-1),MIN($N86,INT(EK$44-1)+1),$DC86,IF($DD86="No",1,0))/
IF(DS86&gt;INT($N86),$N86-INT($N86),1))*
IF(EK$44=1,DS86,
IF(INT(DS86)=INT(DR86),0,DS86-INT(DS86)))))</f>
        <v>0</v>
      </c>
      <c r="EL86" s="835">
        <f>+IF(DT86=DS86,0,
IF(AND(EL$44&gt;1,DT86=$N86),1-SUM($EE86:EK86),
IF($N86&lt;=1,
IF($N86&gt;0,1/$N86,0),
IF(EL$44=1,0,VDB(1,0,$N86,INT(EL$44-1-1),MIN($N86,INT(EL$44-1-1)+1),$DC86,IF($DD86="No",1,0))/
IF(DS86&gt;=INT($N86),$N86-INT($N86),1)))*
IF(EL$44=1,0,
IF(INT(DT86)=INT(DS86),DT86-DS86,INT(DT86)-DS86))+
IF($N86&lt;=1,
IF($N86&gt;0,1/$N86,0),VDB(1,0,$N86,INT(EL$44-1),MIN($N86,INT(EL$44-1)+1),$DC86,IF($DD86="No",1,0))/
IF(DT86&gt;INT($N86),$N86-INT($N86),1))*
IF(EL$44=1,DT86,
IF(INT(DT86)=INT(DS86),0,DT86-INT(DT86)))))</f>
        <v>0</v>
      </c>
      <c r="EM86" s="836">
        <f>+IF(DU86=DT86,0,
IF(AND(EM$44&gt;1,DU86=$N86),1-SUM($EE86:EL86),
IF($N86&lt;=1,
IF($N86&gt;0,1/$N86,0),
IF(EM$44=1,0,VDB(1,0,$N86,INT(EM$44-1-1),MIN($N86,INT(EM$44-1-1)+1),$DC86,IF($DD86="No",1,0))/
IF(DT86&gt;=INT($N86),$N86-INT($N86),1)))*
IF(EM$44=1,0,
IF(INT(DU86)=INT(DT86),DU86-DT86,INT(DU86)-DT86))+
IF($N86&lt;=1,
IF($N86&gt;0,1/$N86,0),VDB(1,0,$N86,INT(EM$44-1),MIN($N86,INT(EM$44-1)+1),$DC86,IF($DD86="No",1,0))/
IF(DU86&gt;INT($N86),$N86-INT($N86),1))*
IF(EM$44=1,DU86,
IF(INT(DU86)=INT(DT86),0,DU86-INT(DU86)))))</f>
        <v>0</v>
      </c>
      <c r="EN86" s="833"/>
      <c r="EO86" s="834">
        <f>+IF(OR(DW86=DV86,EO$44=1),0,
IF(AND(EO$44&gt;1,DW86=$N86),1-SUM($EN86:EN86),
IF($N86&lt;=1,
IF($N86&gt;0,1/$N86,0),
IF(EO$44=2,0,VDB(1,0,$N86,INT(EO$44-2-1),MIN($N86,INT(EO$44-2-1)+1),$DC86,IF($DD86="No",1,0))/
IF(DV86&gt;=INT($N86),$N86-INT($N86),1)))*
IF(EO$44=2,0,
IF(INT(DW86)=INT(DV86),DW86-DV86,INT(DW86)-DV86))+
IF($N86&lt;=1,
IF($N86&gt;0,1/$N86,0),VDB(1,0,$N86,INT(EO$44-2),MIN($N86,INT(EO$44-2)+1),$DC86,IF($DD86="No",1,0))/
IF(DW86&gt;INT($N86),$N86-INT($N86),1))*
IF(EO$44=2,DW86,
IF(INT(DW86)=INT(DV86),0,DW86-INT(DW86)))))</f>
        <v>0</v>
      </c>
      <c r="EP86" s="835">
        <f>+IF(OR(DX86=DW86,EP$44=1),0,
IF(AND(EP$44&gt;1,DX86=$N86),1-SUM($EN86:EO86),
IF($N86&lt;=1,
IF($N86&gt;0,1/$N86,0),
IF(EP$44=2,0,VDB(1,0,$N86,INT(EP$44-2-1),MIN($N86,INT(EP$44-2-1)+1),$DC86,IF($DD86="No",1,0))/
IF(DW86&gt;=INT($N86),$N86-INT($N86),1)))*
IF(EP$44=2,0,
IF(INT(DX86)=INT(DW86),DX86-DW86,INT(DX86)-DW86))+
IF($N86&lt;=1,
IF($N86&gt;0,1/$N86,0),VDB(1,0,$N86,INT(EP$44-2),MIN($N86,INT(EP$44-2)+1),$DC86,IF($DD86="No",1,0))/
IF(DX86&gt;INT($N86),$N86-INT($N86),1))*
IF(EP$44=2,DX86,
IF(INT(DX86)=INT(DW86),0,DX86-INT(DX86)))))</f>
        <v>0</v>
      </c>
      <c r="EQ86" s="836">
        <f>+IF(OR(DY86=DX86,EQ$44=1),0,
IF(AND(EQ$44&gt;1,DY86=$N86),1-SUM($EN86:EP86),
IF($N86&lt;=1,
IF($N86&gt;0,1/$N86,0),
IF(EQ$44=2,0,VDB(1,0,$N86,INT(EQ$44-2-1),MIN($N86,INT(EQ$44-2-1)+1),$DC86,IF($DD86="No",1,0))/
IF(DX86&gt;=INT($N86),$N86-INT($N86),1)))*
IF(EQ$44=2,0,
IF(INT(DY86)=INT(DX86),DY86-DX86,INT(DY86)-DX86))+
IF($N86&lt;=1,
IF($N86&gt;0,1/$N86,0),VDB(1,0,$N86,INT(EQ$44-2),MIN($N86,INT(EQ$44-2)+1),$DC86,IF($DD86="No",1,0))/
IF(DY86&gt;INT($N86),$N86-INT($N86),1))*
IF(EQ$44=2,DY86,
IF(INT(DY86)=INT(DX86),0,DY86-INT(DY86)))))</f>
        <v>0</v>
      </c>
      <c r="ER86" s="834">
        <f>+IF(OR(DZ86=DY86,ER$44=1),0,
IF(AND(ER$44&gt;1,DZ86=$N86),1-SUM($EN86:EQ86),
IF($N86&lt;=1,
IF($N86&gt;0,1/$N86,0),
IF(ER$44=2,0,VDB(1,0,$N86,INT(ER$44-2-1),MIN($N86,INT(ER$44-2-1)+1),$DC86,IF($DD86="No",1,0))/
IF(DY86&gt;=INT($N86),$N86-INT($N86),1)))*
IF(ER$44=2,0,
IF(INT(DZ86)=INT(DY86),DZ86-DY86,INT(DZ86)-DY86))+
IF($N86&lt;=1,
IF($N86&gt;0,1/$N86,0),VDB(1,0,$N86,INT(ER$44-2),MIN($N86,INT(ER$44-2)+1),$DC86,IF($DD86="No",1,0))/
IF(DZ86&gt;INT($N86),$N86-INT($N86),1))*
IF(ER$44=2,DZ86,
IF(INT(DZ86)=INT(DY86),0,DZ86-INT(DZ86)))))</f>
        <v>0</v>
      </c>
      <c r="ES86" s="835">
        <f>+IF(OR(EA86=DZ86,ES$44=1),0,
IF(AND(ES$44&gt;1,EA86=$N86),1-SUM($EN86:ER86),
IF($N86&lt;=1,
IF($N86&gt;0,1/$N86,0),
IF(ES$44=2,0,VDB(1,0,$N86,INT(ES$44-2-1),MIN($N86,INT(ES$44-2-1)+1),$DC86,IF($DD86="No",1,0))/
IF(DZ86&gt;=INT($N86),$N86-INT($N86),1)))*
IF(ES$44=2,0,
IF(INT(EA86)=INT(DZ86),EA86-DZ86,INT(EA86)-DZ86))+
IF($N86&lt;=1,
IF($N86&gt;0,1/$N86,0),VDB(1,0,$N86,INT(ES$44-2),MIN($N86,INT(ES$44-2)+1),$DC86,IF($DD86="No",1,0))/
IF(EA86&gt;INT($N86),$N86-INT($N86),1))*
IF(ES$44=2,EA86,
IF(INT(EA86)=INT(DZ86),0,EA86-INT(EA86)))))</f>
        <v>0</v>
      </c>
      <c r="ET86" s="835">
        <f>+IF(OR(EB86=EA86,ET$44=1),0,
IF(AND(ET$44&gt;1,EB86=$N86),1-SUM($EN86:ES86),
IF($N86&lt;=1,
IF($N86&gt;0,1/$N86,0),
IF(ET$44=2,0,VDB(1,0,$N86,INT(ET$44-2-1),MIN($N86,INT(ET$44-2-1)+1),$DC86,IF($DD86="No",1,0))/
IF(EA86&gt;=INT($N86),$N86-INT($N86),1)))*
IF(ET$44=2,0,
IF(INT(EB86)=INT(EA86),EB86-EA86,INT(EB86)-EA86))+
IF($N86&lt;=1,
IF($N86&gt;0,1/$N86,0),VDB(1,0,$N86,INT(ET$44-2),MIN($N86,INT(ET$44-2)+1),$DC86,IF($DD86="No",1,0))/
IF(EB86&gt;INT($N86),$N86-INT($N86),1))*
IF(ET$44=2,EB86,
IF(INT(EB86)=INT(EA86),0,EB86-INT(EB86)))))</f>
        <v>0</v>
      </c>
      <c r="EU86" s="835">
        <f>+IF(OR(EC86=EB86,EU$44=1),0,
IF(AND(EU$44&gt;1,EC86=$N86),1-SUM($EN86:ET86),
IF($N86&lt;=1,
IF($N86&gt;0,1/$N86,0),
IF(EU$44=2,0,VDB(1,0,$N86,INT(EU$44-2-1),MIN($N86,INT(EU$44-2-1)+1),$DC86,IF($DD86="No",1,0))/
IF(EB86&gt;=INT($N86),$N86-INT($N86),1)))*
IF(EU$44=2,0,
IF(INT(EC86)=INT(EB86),EC86-EB86,INT(EC86)-EB86))+
IF($N86&lt;=1,
IF($N86&gt;0,1/$N86,0),VDB(1,0,$N86,INT(EU$44-2),MIN($N86,INT(EU$44-2)+1),$DC86,IF($DD86="No",1,0))/
IF(EC86&gt;INT($N86),$N86-INT($N86),1))*
IF(EU$44=2,EC86,
IF(INT(EC86)=INT(EB86),0,EC86-INT(EC86)))))</f>
        <v>0</v>
      </c>
      <c r="EV86" s="836">
        <f>+IF(OR(ED86=EC86,EV$44=1),0,
IF(AND(EV$44&gt;1,ED86=$N86),1-SUM($EN86:EU86),
IF($N86&lt;=1,
IF($N86&gt;0,1/$N86,0),
IF(EV$44=2,0,VDB(1,0,$N86,INT(EV$44-2-1),MIN($N86,INT(EV$44-2-1)+1),$DC86,IF($DD86="No",1,0))/
IF(EC86&gt;=INT($N86),$N86-INT($N86),1)))*
IF(EV$44=2,0,
IF(INT(ED86)=INT(EC86),ED86-EC86,INT(ED86)-EC86))+
IF($N86&lt;=1,
IF($N86&gt;0,1/$N86,0),VDB(1,0,$N86,INT(EV$44-2),MIN($N86,INT(EV$44-2)+1),$DC86,IF($DD86="No",1,0))/
IF(ED86&gt;INT($N86),$N86-INT($N86),1))*
IF(EV$44=2,ED86,
IF(INT(ED86)=INT(EC86),0,ED86-INT(ED86)))))</f>
        <v>0</v>
      </c>
      <c r="EW86" s="833"/>
      <c r="EX86" s="834">
        <f t="shared" ca="1" si="246"/>
        <v>0</v>
      </c>
      <c r="EY86" s="835">
        <f t="shared" ca="1" si="246"/>
        <v>0</v>
      </c>
      <c r="EZ86" s="836">
        <f t="shared" ca="1" si="246"/>
        <v>0</v>
      </c>
      <c r="FA86" s="834">
        <f t="shared" ca="1" si="246"/>
        <v>0</v>
      </c>
      <c r="FB86" s="835">
        <f t="shared" ca="1" si="246"/>
        <v>0</v>
      </c>
      <c r="FC86" s="835">
        <f t="shared" ca="1" si="246"/>
        <v>0</v>
      </c>
      <c r="FD86" s="835">
        <f t="shared" ca="1" si="246"/>
        <v>0</v>
      </c>
      <c r="FE86" s="836">
        <f t="shared" ca="1" si="246"/>
        <v>0</v>
      </c>
      <c r="FG86" s="386">
        <f t="shared" ca="1" si="237"/>
        <v>0</v>
      </c>
      <c r="FH86" s="387">
        <f t="shared" ca="1" si="238"/>
        <v>0</v>
      </c>
      <c r="FI86" s="388">
        <f t="shared" ca="1" si="239"/>
        <v>0</v>
      </c>
      <c r="FJ86" s="386">
        <f t="shared" ca="1" si="240"/>
        <v>0</v>
      </c>
      <c r="FK86" s="387">
        <f t="shared" ca="1" si="241"/>
        <v>0</v>
      </c>
      <c r="FL86" s="387">
        <f t="shared" ca="1" si="242"/>
        <v>0</v>
      </c>
      <c r="FM86" s="387">
        <f t="shared" ca="1" si="243"/>
        <v>0</v>
      </c>
      <c r="FN86" s="388">
        <f t="shared" ca="1" si="244"/>
        <v>0</v>
      </c>
      <c r="FR86" s="116"/>
    </row>
    <row r="87" spans="2:174">
      <c r="B87" s="1410">
        <f t="shared" si="135"/>
        <v>41</v>
      </c>
      <c r="C87" s="400" t="s">
        <v>569</v>
      </c>
      <c r="D87" s="410"/>
      <c r="E87" s="402" t="s">
        <v>402</v>
      </c>
      <c r="F87" s="402" t="s">
        <v>514</v>
      </c>
      <c r="G87" s="400" t="s">
        <v>525</v>
      </c>
      <c r="H87" s="2088" t="s">
        <v>483</v>
      </c>
      <c r="I87" s="2089"/>
      <c r="J87" s="411" t="s">
        <v>516</v>
      </c>
      <c r="K87" s="403" t="s">
        <v>544</v>
      </c>
      <c r="L87" s="403">
        <v>90</v>
      </c>
      <c r="M87" s="403" t="s">
        <v>142</v>
      </c>
      <c r="N87" s="403"/>
      <c r="O87" s="347"/>
      <c r="P87" s="347"/>
      <c r="Q87" s="1021">
        <v>1.5626253658536586</v>
      </c>
      <c r="R87" s="1022">
        <v>2.2381258774538968</v>
      </c>
      <c r="S87" s="1022">
        <v>2.790486731184981</v>
      </c>
      <c r="T87" s="1022">
        <v>7.1766782824166677</v>
      </c>
      <c r="U87" s="1023">
        <v>27.563604050852675</v>
      </c>
      <c r="V87" s="1021">
        <v>243.95328071790851</v>
      </c>
      <c r="W87" s="1022">
        <v>168.18568859184123</v>
      </c>
      <c r="X87" s="1022">
        <v>3.2280331966035782</v>
      </c>
      <c r="Y87" s="1022">
        <v>8.0072836176887055E-2</v>
      </c>
      <c r="Z87" s="1023">
        <v>0</v>
      </c>
      <c r="AA87" s="1024"/>
      <c r="AB87" s="1021">
        <v>0</v>
      </c>
      <c r="AC87" s="1022">
        <v>0</v>
      </c>
      <c r="AD87" s="1022">
        <v>0</v>
      </c>
      <c r="AE87" s="1022">
        <v>0</v>
      </c>
      <c r="AF87" s="1023">
        <v>0</v>
      </c>
      <c r="AG87" s="1021">
        <v>0</v>
      </c>
      <c r="AH87" s="1022">
        <v>0</v>
      </c>
      <c r="AI87" s="1022">
        <v>0</v>
      </c>
      <c r="AJ87" s="1022">
        <v>0</v>
      </c>
      <c r="AK87" s="1023">
        <v>0</v>
      </c>
      <c r="AL87" s="1024"/>
      <c r="AM87" s="1021">
        <v>0</v>
      </c>
      <c r="AN87" s="1022">
        <v>0</v>
      </c>
      <c r="AO87" s="1022">
        <v>0</v>
      </c>
      <c r="AP87" s="1022">
        <v>0</v>
      </c>
      <c r="AQ87" s="1023">
        <v>0</v>
      </c>
      <c r="AR87" s="1021">
        <v>0</v>
      </c>
      <c r="AS87" s="1022">
        <v>0</v>
      </c>
      <c r="AT87" s="1022">
        <v>0</v>
      </c>
      <c r="AU87" s="1022">
        <v>0</v>
      </c>
      <c r="AV87" s="1023">
        <v>0</v>
      </c>
      <c r="AW87" s="1025"/>
      <c r="AX87" s="1282">
        <f t="shared" si="191"/>
        <v>1.5626253658536586</v>
      </c>
      <c r="AY87" s="387">
        <f t="shared" si="192"/>
        <v>2.2381258774538968</v>
      </c>
      <c r="AZ87" s="387">
        <f t="shared" si="193"/>
        <v>2.790486731184981</v>
      </c>
      <c r="BA87" s="387">
        <f t="shared" si="194"/>
        <v>7.1766782824166677</v>
      </c>
      <c r="BB87" s="1283">
        <f t="shared" si="195"/>
        <v>27.563604050852675</v>
      </c>
      <c r="BC87" s="386">
        <f t="shared" si="196"/>
        <v>243.95328071790851</v>
      </c>
      <c r="BD87" s="387">
        <f t="shared" si="197"/>
        <v>168.18568859184123</v>
      </c>
      <c r="BE87" s="1277">
        <f t="shared" si="198"/>
        <v>3.2280331966035782</v>
      </c>
      <c r="BF87" s="1277">
        <f t="shared" si="199"/>
        <v>8.0072836176887055E-2</v>
      </c>
      <c r="BG87" s="388">
        <f t="shared" si="200"/>
        <v>0</v>
      </c>
      <c r="BH87" s="1025"/>
      <c r="BI87" s="1282">
        <f t="shared" ca="1" si="201"/>
        <v>8.6812520325203254E-3</v>
      </c>
      <c r="BJ87" s="387">
        <f t="shared" ca="1" si="202"/>
        <v>2.97965367175623E-2</v>
      </c>
      <c r="BK87" s="387">
        <f t="shared" ca="1" si="203"/>
        <v>5.7733273432222731E-2</v>
      </c>
      <c r="BL87" s="387">
        <f t="shared" ca="1" si="204"/>
        <v>0.11310641239667635</v>
      </c>
      <c r="BM87" s="1283">
        <f t="shared" ca="1" si="205"/>
        <v>0.30610798091483932</v>
      </c>
      <c r="BN87" s="386">
        <f t="shared" ca="1" si="206"/>
        <v>1.8145351185190681</v>
      </c>
      <c r="BO87" s="387">
        <f t="shared" ca="1" si="207"/>
        <v>4.1041960591287889</v>
      </c>
      <c r="BP87" s="1277">
        <f t="shared" ca="1" si="208"/>
        <v>5.0564945135090378</v>
      </c>
      <c r="BQ87" s="1277">
        <f t="shared" ca="1" si="209"/>
        <v>5.0748728803578178</v>
      </c>
      <c r="BR87" s="388">
        <f t="shared" ca="1" si="210"/>
        <v>5.0753177294476899</v>
      </c>
      <c r="BS87" s="1025"/>
      <c r="BT87" s="1282">
        <f>+IF($K87="Ongoing",AX87,IF(RIGHT($K87,2)=RIGHT(BT$43,2),SUM($AX87:AX87),0)+IF(RIGHT(BT$43,2)&gt;RIGHT($K87,2),AX87,0))</f>
        <v>1.5626253658536586</v>
      </c>
      <c r="BU87" s="387">
        <f>+IF($K87="Ongoing",AY87,IF(RIGHT($K87,2)=RIGHT(BU$43,2),SUM($AX87:AY87),0)+IF(RIGHT(BU$43,2)&gt;RIGHT($K87,2),AY87,0))</f>
        <v>2.2381258774538968</v>
      </c>
      <c r="BV87" s="387">
        <f>+IF($K87="Ongoing",AZ87,IF(RIGHT($K87,2)=RIGHT(BV$43,2),SUM($AX87:AZ87),0)+IF(RIGHT(BV$43,2)&gt;RIGHT($K87,2),AZ87,0))</f>
        <v>2.790486731184981</v>
      </c>
      <c r="BW87" s="387">
        <f>+IF($K87="Ongoing",BA87,IF(RIGHT($K87,2)=RIGHT(BW$43,2),SUM($AX87:BA87),0)+IF(RIGHT(BW$43,2)&gt;RIGHT($K87,2),BA87,0))</f>
        <v>7.1766782824166677</v>
      </c>
      <c r="BX87" s="1283">
        <f>+IF($K87="Ongoing",BB87,IF(RIGHT($K87,2)=RIGHT(BX$43,2),SUM($AX87:BB87),0)+IF(RIGHT(BX$43,2)&gt;RIGHT($K87,2),BB87,0))</f>
        <v>27.563604050852675</v>
      </c>
      <c r="BY87" s="386">
        <f>+IF($K87="Ongoing",BC87,IF(RIGHT($K87,2)=RIGHT(BY$43,2),SUM($AX87:BC87),0)+IF(RIGHT(BY$43,2)&gt;RIGHT($K87,2),BC87,0))</f>
        <v>243.95328071790851</v>
      </c>
      <c r="BZ87" s="387">
        <f>+IF($K87="Ongoing",BD87,IF(RIGHT($K87,2)=RIGHT(BZ$43,2),SUM($AX87:BD87),0)+IF(RIGHT(BZ$43,2)&gt;RIGHT($K87,2),BD87,0))</f>
        <v>168.18568859184123</v>
      </c>
      <c r="CA87" s="1277">
        <f>+IF($K87="Ongoing",BE87,IF(RIGHT($K87,2)=RIGHT(CA$43,2),SUM($AX87:BE87),0)+IF(RIGHT(CA$43,2)&gt;RIGHT($K87,2),BE87,0))</f>
        <v>3.2280331966035782</v>
      </c>
      <c r="CB87" s="1277">
        <f>+IF($K87="Ongoing",BF87,IF(RIGHT($K87,2)=RIGHT(CB$43,2),SUM($AX87:BF87),0)+IF(RIGHT(CB$43,2)&gt;RIGHT($K87,2),BF87,0))</f>
        <v>8.0072836176887055E-2</v>
      </c>
      <c r="CC87" s="388">
        <f>+IF($K87="Ongoing",BG87,IF(RIGHT($K87,2)=RIGHT(CC$43,2),SUM($AX87:BG87),0)+IF(RIGHT(CC$43,2)&gt;RIGHT($K87,2),BG87,0))</f>
        <v>0</v>
      </c>
      <c r="CD87" s="1025"/>
      <c r="CE87" s="1282">
        <f>+Q87*KeyAssumptionsPriceControl_FO!AF$15</f>
        <v>1.6079415014634146</v>
      </c>
      <c r="CF87" s="387">
        <f>+R87*KeyAssumptionsPriceControl_FO!AG$15</f>
        <v>2.3698194422091614</v>
      </c>
      <c r="CG87" s="387">
        <f>+S87*KeyAssumptionsPriceControl_FO!AH$15</f>
        <v>3.0403675320017403</v>
      </c>
      <c r="CH87" s="387">
        <f>+T87*KeyAssumptionsPriceControl_FO!AI$15</f>
        <v>8.0460916857447859</v>
      </c>
      <c r="CI87" s="1283">
        <f>+U87*KeyAssumptionsPriceControl_FO!AJ$15</f>
        <v>31.798957077114309</v>
      </c>
      <c r="CJ87" s="386">
        <f>+V87*KeyAssumptionsPriceControl_FO!AK$15</f>
        <v>289.60023605083626</v>
      </c>
      <c r="CK87" s="387">
        <f>+W87*KeyAssumptionsPriceControl_FO!AL$15</f>
        <v>205.44551320424586</v>
      </c>
      <c r="CL87" s="1277">
        <f>+X87*KeyAssumptionsPriceControl_FO!AM$15</f>
        <v>4.0575230008865875</v>
      </c>
      <c r="CM87" s="1277">
        <f>+Y87*KeyAssumptionsPriceControl_FO!AN$15</f>
        <v>0.10356752177988322</v>
      </c>
      <c r="CN87" s="388">
        <f>+Z87*KeyAssumptionsPriceControl_FO!AO$15</f>
        <v>0</v>
      </c>
      <c r="CO87" s="1025"/>
      <c r="CP87" s="1282">
        <f t="shared" ca="1" si="211"/>
        <v>0</v>
      </c>
      <c r="CQ87" s="387">
        <f t="shared" ca="1" si="212"/>
        <v>0</v>
      </c>
      <c r="CR87" s="387">
        <f t="shared" ca="1" si="213"/>
        <v>0</v>
      </c>
      <c r="CS87" s="387">
        <f t="shared" ca="1" si="214"/>
        <v>0</v>
      </c>
      <c r="CT87" s="1283">
        <f t="shared" ca="1" si="215"/>
        <v>0</v>
      </c>
      <c r="CU87" s="386">
        <f t="shared" ca="1" si="216"/>
        <v>0</v>
      </c>
      <c r="CV87" s="387">
        <f t="shared" ca="1" si="217"/>
        <v>0</v>
      </c>
      <c r="CW87" s="1277">
        <f t="shared" ca="1" si="218"/>
        <v>0</v>
      </c>
      <c r="CX87" s="1277">
        <f t="shared" ca="1" si="219"/>
        <v>0</v>
      </c>
      <c r="CY87" s="388">
        <f t="shared" ca="1" si="220"/>
        <v>0</v>
      </c>
      <c r="CZ87" s="347"/>
      <c r="DA87" s="852"/>
      <c r="DB87" s="347"/>
      <c r="DC87" s="1012" t="s">
        <v>572</v>
      </c>
      <c r="DD87" s="841" t="s">
        <v>518</v>
      </c>
      <c r="DE87" s="386">
        <f>+IF($K87="ongoing",CE87,IF(RIGHT($K87,2)=RIGHT(DE$43,2),SUM($CD87:CE87),0)+IF(RIGHT(DE$43,2)&gt;RIGHT($K87,2),CE87,0))</f>
        <v>1.6079415014634146</v>
      </c>
      <c r="DF87" s="387">
        <f>+IF($K87="ongoing",CF87,IF(RIGHT($K87,2)=RIGHT(DF$43,2),SUM($CD87:CF87),0)+IF(RIGHT(DF$43,2)&gt;RIGHT($K87,2),CF87,0))</f>
        <v>2.3698194422091614</v>
      </c>
      <c r="DG87" s="388">
        <f>+IF($K87="ongoing",CG87,IF(RIGHT($K87,2)=RIGHT(DG$43,2),SUM($CD87:CG87),0)+IF(RIGHT(DG$43,2)&gt;RIGHT($K87,2),CG87,0))</f>
        <v>3.0403675320017403</v>
      </c>
      <c r="DH87" s="386">
        <f>+IF($K87="ongoing",CH87,IF(RIGHT($K87,2)=RIGHT(DH$43,2),SUM($CD87:CH87),0)+IF(RIGHT(DH$43,2)&gt;RIGHT($K87,2),CH87,0))</f>
        <v>8.0460916857447859</v>
      </c>
      <c r="DI87" s="387">
        <f>+IF($K87="ongoing",CI87,IF(RIGHT($K87,2)=RIGHT(DI$43,2),SUM($CD87:CI87),0)+IF(RIGHT(DI$43,2)&gt;RIGHT($K87,2),CI87,0))</f>
        <v>31.798957077114309</v>
      </c>
      <c r="DJ87" s="387">
        <f>+IF($K87="ongoing",CJ87,IF(RIGHT($K87,2)=RIGHT(DJ$43,2),SUM($CD87:CJ87),0)+IF(RIGHT(DJ$43,2)&gt;RIGHT($K87,2),CJ87,0))</f>
        <v>289.60023605083626</v>
      </c>
      <c r="DK87" s="387">
        <f>+IF($K87="ongoing",CK87,IF(RIGHT($K87,2)=RIGHT(DK$43,2),SUM($CD87:CK87),0)+IF(RIGHT(DK$43,2)&gt;RIGHT($K87,2),CK87,0))</f>
        <v>205.44551320424586</v>
      </c>
      <c r="DL87" s="388">
        <f>+IF($K87="ongoing",CN87,IF(RIGHT($K87,2)=RIGHT(DL$43,2),SUM($CD87:CN87),0)+IF(RIGHT(DL$43,2)&gt;RIGHT($K87,2),CN87,0))</f>
        <v>0</v>
      </c>
      <c r="DM87" s="841"/>
      <c r="DN87" s="386">
        <f t="shared" si="221"/>
        <v>0.5</v>
      </c>
      <c r="DO87" s="387">
        <f t="shared" si="222"/>
        <v>1</v>
      </c>
      <c r="DP87" s="388">
        <f t="shared" si="223"/>
        <v>1</v>
      </c>
      <c r="DQ87" s="386">
        <f t="shared" si="224"/>
        <v>1</v>
      </c>
      <c r="DR87" s="387">
        <f t="shared" si="225"/>
        <v>1</v>
      </c>
      <c r="DS87" s="387">
        <f t="shared" si="226"/>
        <v>1</v>
      </c>
      <c r="DT87" s="387">
        <f t="shared" si="227"/>
        <v>1</v>
      </c>
      <c r="DU87" s="388">
        <f t="shared" si="228"/>
        <v>1</v>
      </c>
      <c r="DW87" s="386">
        <f t="shared" si="229"/>
        <v>0</v>
      </c>
      <c r="DX87" s="387">
        <f t="shared" si="230"/>
        <v>0.5</v>
      </c>
      <c r="DY87" s="388">
        <f t="shared" si="231"/>
        <v>1</v>
      </c>
      <c r="DZ87" s="386">
        <f t="shared" si="232"/>
        <v>1</v>
      </c>
      <c r="EA87" s="387">
        <f t="shared" si="233"/>
        <v>1</v>
      </c>
      <c r="EB87" s="387">
        <f t="shared" si="234"/>
        <v>1</v>
      </c>
      <c r="EC87" s="387">
        <f t="shared" si="235"/>
        <v>1</v>
      </c>
      <c r="ED87" s="388">
        <f t="shared" si="236"/>
        <v>1</v>
      </c>
      <c r="EF87" s="834">
        <f>+IF(DN87=DM87,0,
IF(AND(EF$44&gt;1,DN87=$N87),1-SUM($EE87:EE87),
IF($N87&lt;=1,
IF($N87&gt;0,1/$N87,0),
IF(EF$44=1,0,VDB(1,0,$N87,INT(EF$44-1-1),MIN($N87,INT(EF$44-1-1)+1),$DC87,IF($DD87="No",1,0))/
IF(DM87&gt;=INT($N87),$N87-INT($N87),1)))*
IF(EF$44=1,0,
IF(INT(DN87)=INT(DM87),DN87-DM87,INT(DN87)-DM87))+
IF($N87&lt;=1,
IF($N87&gt;0,1/$N87,0),VDB(1,0,$N87,INT(EF$44-1),MIN($N87,INT(EF$44-1)+1),$DC87,IF($DD87="No",1,0))/
IF(DN87&gt;INT($N87),$N87-INT($N87),1))*
IF(EF$44=1,DN87,
IF(INT(DN87)=INT(DM87),0,DN87-INT(DN87)))))</f>
        <v>0</v>
      </c>
      <c r="EG87" s="835">
        <f>+IF(DO87=DN87,0,
IF(AND(EG$44&gt;1,DO87=$N87),1-SUM($EE87:EF87),
IF($N87&lt;=1,
IF($N87&gt;0,1/$N87,0),
IF(EG$44=1,0,VDB(1,0,$N87,INT(EG$44-1-1),MIN($N87,INT(EG$44-1-1)+1),$DC87,IF($DD87="No",1,0))/
IF(DN87&gt;=INT($N87),$N87-INT($N87),1)))*
IF(EG$44=1,0,
IF(INT(DO87)=INT(DN87),DO87-DN87,INT(DO87)-DN87))+
IF($N87&lt;=1,
IF($N87&gt;0,1/$N87,0),VDB(1,0,$N87,INT(EG$44-1),MIN($N87,INT(EG$44-1)+1),$DC87,IF($DD87="No",1,0))/
IF(DO87&gt;INT($N87),$N87-INT($N87),1))*
IF(EG$44=1,DO87,
IF(INT(DO87)=INT(DN87),0,DO87-INT(DO87)))))</f>
        <v>0</v>
      </c>
      <c r="EH87" s="836">
        <f>+IF(DP87=DO87,0,
IF(AND(EH$44&gt;1,DP87=$N87),1-SUM($EE87:EG87),
IF($N87&lt;=1,
IF($N87&gt;0,1/$N87,0),
IF(EH$44=1,0,VDB(1,0,$N87,INT(EH$44-1-1),MIN($N87,INT(EH$44-1-1)+1),$DC87,IF($DD87="No",1,0))/
IF(DO87&gt;=INT($N87),$N87-INT($N87),1)))*
IF(EH$44=1,0,
IF(INT(DP87)=INT(DO87),DP87-DO87,INT(DP87)-DO87))+
IF($N87&lt;=1,
IF($N87&gt;0,1/$N87,0),VDB(1,0,$N87,INT(EH$44-1),MIN($N87,INT(EH$44-1)+1),$DC87,IF($DD87="No",1,0))/
IF(DP87&gt;INT($N87),$N87-INT($N87),1))*
IF(EH$44=1,DP87,
IF(INT(DP87)=INT(DO87),0,DP87-INT(DP87)))))</f>
        <v>0</v>
      </c>
      <c r="EI87" s="834">
        <f>+IF(DQ87=DP87,0,
IF(AND(EI$44&gt;1,DQ87=$N87),1-SUM($EE87:EH87),
IF($N87&lt;=1,
IF($N87&gt;0,1/$N87,0),
IF(EI$44=1,0,VDB(1,0,$N87,INT(EI$44-1-1),MIN($N87,INT(EI$44-1-1)+1),$DC87,IF($DD87="No",1,0))/
IF(DP87&gt;=INT($N87),$N87-INT($N87),1)))*
IF(EI$44=1,0,
IF(INT(DQ87)=INT(DP87),DQ87-DP87,INT(DQ87)-DP87))+
IF($N87&lt;=1,
IF($N87&gt;0,1/$N87,0),VDB(1,0,$N87,INT(EI$44-1),MIN($N87,INT(EI$44-1)+1),$DC87,IF($DD87="No",1,0))/
IF(DQ87&gt;INT($N87),$N87-INT($N87),1))*
IF(EI$44=1,DQ87,
IF(INT(DQ87)=INT(DP87),0,DQ87-INT(DQ87)))))</f>
        <v>0</v>
      </c>
      <c r="EJ87" s="835">
        <f>+IF(DR87=DQ87,0,
IF(AND(EJ$44&gt;1,DR87=$N87),1-SUM($EE87:EI87),
IF($N87&lt;=1,
IF($N87&gt;0,1/$N87,0),
IF(EJ$44=1,0,VDB(1,0,$N87,INT(EJ$44-1-1),MIN($N87,INT(EJ$44-1-1)+1),$DC87,IF($DD87="No",1,0))/
IF(DQ87&gt;=INT($N87),$N87-INT($N87),1)))*
IF(EJ$44=1,0,
IF(INT(DR87)=INT(DQ87),DR87-DQ87,INT(DR87)-DQ87))+
IF($N87&lt;=1,
IF($N87&gt;0,1/$N87,0),VDB(1,0,$N87,INT(EJ$44-1),MIN($N87,INT(EJ$44-1)+1),$DC87,IF($DD87="No",1,0))/
IF(DR87&gt;INT($N87),$N87-INT($N87),1))*
IF(EJ$44=1,DR87,
IF(INT(DR87)=INT(DQ87),0,DR87-INT(DR87)))))</f>
        <v>0</v>
      </c>
      <c r="EK87" s="835">
        <f>+IF(DS87=DR87,0,
IF(AND(EK$44&gt;1,DS87=$N87),1-SUM($EE87:EJ87),
IF($N87&lt;=1,
IF($N87&gt;0,1/$N87,0),
IF(EK$44=1,0,VDB(1,0,$N87,INT(EK$44-1-1),MIN($N87,INT(EK$44-1-1)+1),$DC87,IF($DD87="No",1,0))/
IF(DR87&gt;=INT($N87),$N87-INT($N87),1)))*
IF(EK$44=1,0,
IF(INT(DS87)=INT(DR87),DS87-DR87,INT(DS87)-DR87))+
IF($N87&lt;=1,
IF($N87&gt;0,1/$N87,0),VDB(1,0,$N87,INT(EK$44-1),MIN($N87,INT(EK$44-1)+1),$DC87,IF($DD87="No",1,0))/
IF(DS87&gt;INT($N87),$N87-INT($N87),1))*
IF(EK$44=1,DS87,
IF(INT(DS87)=INT(DR87),0,DS87-INT(DS87)))))</f>
        <v>0</v>
      </c>
      <c r="EL87" s="835">
        <f>+IF(DT87=DS87,0,
IF(AND(EL$44&gt;1,DT87=$N87),1-SUM($EE87:EK87),
IF($N87&lt;=1,
IF($N87&gt;0,1/$N87,0),
IF(EL$44=1,0,VDB(1,0,$N87,INT(EL$44-1-1),MIN($N87,INT(EL$44-1-1)+1),$DC87,IF($DD87="No",1,0))/
IF(DS87&gt;=INT($N87),$N87-INT($N87),1)))*
IF(EL$44=1,0,
IF(INT(DT87)=INT(DS87),DT87-DS87,INT(DT87)-DS87))+
IF($N87&lt;=1,
IF($N87&gt;0,1/$N87,0),VDB(1,0,$N87,INT(EL$44-1),MIN($N87,INT(EL$44-1)+1),$DC87,IF($DD87="No",1,0))/
IF(DT87&gt;INT($N87),$N87-INT($N87),1))*
IF(EL$44=1,DT87,
IF(INT(DT87)=INT(DS87),0,DT87-INT(DT87)))))</f>
        <v>0</v>
      </c>
      <c r="EM87" s="836">
        <f>+IF(DU87=DT87,0,
IF(AND(EM$44&gt;1,DU87=$N87),1-SUM($EE87:EL87),
IF($N87&lt;=1,
IF($N87&gt;0,1/$N87,0),
IF(EM$44=1,0,VDB(1,0,$N87,INT(EM$44-1-1),MIN($N87,INT(EM$44-1-1)+1),$DC87,IF($DD87="No",1,0))/
IF(DT87&gt;=INT($N87),$N87-INT($N87),1)))*
IF(EM$44=1,0,
IF(INT(DU87)=INT(DT87),DU87-DT87,INT(DU87)-DT87))+
IF($N87&lt;=1,
IF($N87&gt;0,1/$N87,0),VDB(1,0,$N87,INT(EM$44-1),MIN($N87,INT(EM$44-1)+1),$DC87,IF($DD87="No",1,0))/
IF(DU87&gt;INT($N87),$N87-INT($N87),1))*
IF(EM$44=1,DU87,
IF(INT(DU87)=INT(DT87),0,DU87-INT(DU87)))))</f>
        <v>0</v>
      </c>
      <c r="EN87" s="833"/>
      <c r="EO87" s="834">
        <f>+IF(OR(DW87=DV87,EO$44=1),0,
IF(AND(EO$44&gt;1,DW87=$N87),1-SUM($EN87:EN87),
IF($N87&lt;=1,
IF($N87&gt;0,1/$N87,0),
IF(EO$44=2,0,VDB(1,0,$N87,INT(EO$44-2-1),MIN($N87,INT(EO$44-2-1)+1),$DC87,IF($DD87="No",1,0))/
IF(DV87&gt;=INT($N87),$N87-INT($N87),1)))*
IF(EO$44=2,0,
IF(INT(DW87)=INT(DV87),DW87-DV87,INT(DW87)-DV87))+
IF($N87&lt;=1,
IF($N87&gt;0,1/$N87,0),VDB(1,0,$N87,INT(EO$44-2),MIN($N87,INT(EO$44-2)+1),$DC87,IF($DD87="No",1,0))/
IF(DW87&gt;INT($N87),$N87-INT($N87),1))*
IF(EO$44=2,DW87,
IF(INT(DW87)=INT(DV87),0,DW87-INT(DW87)))))</f>
        <v>0</v>
      </c>
      <c r="EP87" s="835">
        <f>+IF(OR(DX87=DW87,EP$44=1),0,
IF(AND(EP$44&gt;1,DX87=$N87),1-SUM($EN87:EO87),
IF($N87&lt;=1,
IF($N87&gt;0,1/$N87,0),
IF(EP$44=2,0,VDB(1,0,$N87,INT(EP$44-2-1),MIN($N87,INT(EP$44-2-1)+1),$DC87,IF($DD87="No",1,0))/
IF(DW87&gt;=INT($N87),$N87-INT($N87),1)))*
IF(EP$44=2,0,
IF(INT(DX87)=INT(DW87),DX87-DW87,INT(DX87)-DW87))+
IF($N87&lt;=1,
IF($N87&gt;0,1/$N87,0),VDB(1,0,$N87,INT(EP$44-2),MIN($N87,INT(EP$44-2)+1),$DC87,IF($DD87="No",1,0))/
IF(DX87&gt;INT($N87),$N87-INT($N87),1))*
IF(EP$44=2,DX87,
IF(INT(DX87)=INT(DW87),0,DX87-INT(DX87)))))</f>
        <v>0</v>
      </c>
      <c r="EQ87" s="836">
        <f>+IF(OR(DY87=DX87,EQ$44=1),0,
IF(AND(EQ$44&gt;1,DY87=$N87),1-SUM($EN87:EP87),
IF($N87&lt;=1,
IF($N87&gt;0,1/$N87,0),
IF(EQ$44=2,0,VDB(1,0,$N87,INT(EQ$44-2-1),MIN($N87,INT(EQ$44-2-1)+1),$DC87,IF($DD87="No",1,0))/
IF(DX87&gt;=INT($N87),$N87-INT($N87),1)))*
IF(EQ$44=2,0,
IF(INT(DY87)=INT(DX87),DY87-DX87,INT(DY87)-DX87))+
IF($N87&lt;=1,
IF($N87&gt;0,1/$N87,0),VDB(1,0,$N87,INT(EQ$44-2),MIN($N87,INT(EQ$44-2)+1),$DC87,IF($DD87="No",1,0))/
IF(DY87&gt;INT($N87),$N87-INT($N87),1))*
IF(EQ$44=2,DY87,
IF(INT(DY87)=INT(DX87),0,DY87-INT(DY87)))))</f>
        <v>0</v>
      </c>
      <c r="ER87" s="834">
        <f>+IF(OR(DZ87=DY87,ER$44=1),0,
IF(AND(ER$44&gt;1,DZ87=$N87),1-SUM($EN87:EQ87),
IF($N87&lt;=1,
IF($N87&gt;0,1/$N87,0),
IF(ER$44=2,0,VDB(1,0,$N87,INT(ER$44-2-1),MIN($N87,INT(ER$44-2-1)+1),$DC87,IF($DD87="No",1,0))/
IF(DY87&gt;=INT($N87),$N87-INT($N87),1)))*
IF(ER$44=2,0,
IF(INT(DZ87)=INT(DY87),DZ87-DY87,INT(DZ87)-DY87))+
IF($N87&lt;=1,
IF($N87&gt;0,1/$N87,0),VDB(1,0,$N87,INT(ER$44-2),MIN($N87,INT(ER$44-2)+1),$DC87,IF($DD87="No",1,0))/
IF(DZ87&gt;INT($N87),$N87-INT($N87),1))*
IF(ER$44=2,DZ87,
IF(INT(DZ87)=INT(DY87),0,DZ87-INT(DZ87)))))</f>
        <v>0</v>
      </c>
      <c r="ES87" s="835">
        <f>+IF(OR(EA87=DZ87,ES$44=1),0,
IF(AND(ES$44&gt;1,EA87=$N87),1-SUM($EN87:ER87),
IF($N87&lt;=1,
IF($N87&gt;0,1/$N87,0),
IF(ES$44=2,0,VDB(1,0,$N87,INT(ES$44-2-1),MIN($N87,INT(ES$44-2-1)+1),$DC87,IF($DD87="No",1,0))/
IF(DZ87&gt;=INT($N87),$N87-INT($N87),1)))*
IF(ES$44=2,0,
IF(INT(EA87)=INT(DZ87),EA87-DZ87,INT(EA87)-DZ87))+
IF($N87&lt;=1,
IF($N87&gt;0,1/$N87,0),VDB(1,0,$N87,INT(ES$44-2),MIN($N87,INT(ES$44-2)+1),$DC87,IF($DD87="No",1,0))/
IF(EA87&gt;INT($N87),$N87-INT($N87),1))*
IF(ES$44=2,EA87,
IF(INT(EA87)=INT(DZ87),0,EA87-INT(EA87)))))</f>
        <v>0</v>
      </c>
      <c r="ET87" s="835">
        <f>+IF(OR(EB87=EA87,ET$44=1),0,
IF(AND(ET$44&gt;1,EB87=$N87),1-SUM($EN87:ES87),
IF($N87&lt;=1,
IF($N87&gt;0,1/$N87,0),
IF(ET$44=2,0,VDB(1,0,$N87,INT(ET$44-2-1),MIN($N87,INT(ET$44-2-1)+1),$DC87,IF($DD87="No",1,0))/
IF(EA87&gt;=INT($N87),$N87-INT($N87),1)))*
IF(ET$44=2,0,
IF(INT(EB87)=INT(EA87),EB87-EA87,INT(EB87)-EA87))+
IF($N87&lt;=1,
IF($N87&gt;0,1/$N87,0),VDB(1,0,$N87,INT(ET$44-2),MIN($N87,INT(ET$44-2)+1),$DC87,IF($DD87="No",1,0))/
IF(EB87&gt;INT($N87),$N87-INT($N87),1))*
IF(ET$44=2,EB87,
IF(INT(EB87)=INT(EA87),0,EB87-INT(EB87)))))</f>
        <v>0</v>
      </c>
      <c r="EU87" s="835">
        <f>+IF(OR(EC87=EB87,EU$44=1),0,
IF(AND(EU$44&gt;1,EC87=$N87),1-SUM($EN87:ET87),
IF($N87&lt;=1,
IF($N87&gt;0,1/$N87,0),
IF(EU$44=2,0,VDB(1,0,$N87,INT(EU$44-2-1),MIN($N87,INT(EU$44-2-1)+1),$DC87,IF($DD87="No",1,0))/
IF(EB87&gt;=INT($N87),$N87-INT($N87),1)))*
IF(EU$44=2,0,
IF(INT(EC87)=INT(EB87),EC87-EB87,INT(EC87)-EB87))+
IF($N87&lt;=1,
IF($N87&gt;0,1/$N87,0),VDB(1,0,$N87,INT(EU$44-2),MIN($N87,INT(EU$44-2)+1),$DC87,IF($DD87="No",1,0))/
IF(EC87&gt;INT($N87),$N87-INT($N87),1))*
IF(EU$44=2,EC87,
IF(INT(EC87)=INT(EB87),0,EC87-INT(EC87)))))</f>
        <v>0</v>
      </c>
      <c r="EV87" s="836">
        <f>+IF(OR(ED87=EC87,EV$44=1),0,
IF(AND(EV$44&gt;1,ED87=$N87),1-SUM($EN87:EU87),
IF($N87&lt;=1,
IF($N87&gt;0,1/$N87,0),
IF(EV$44=2,0,VDB(1,0,$N87,INT(EV$44-2-1),MIN($N87,INT(EV$44-2-1)+1),$DC87,IF($DD87="No",1,0))/
IF(EC87&gt;=INT($N87),$N87-INT($N87),1)))*
IF(EV$44=2,0,
IF(INT(ED87)=INT(EC87),ED87-EC87,INT(ED87)-EC87))+
IF($N87&lt;=1,
IF($N87&gt;0,1/$N87,0),VDB(1,0,$N87,INT(EV$44-2),MIN($N87,INT(EV$44-2)+1),$DC87,IF($DD87="No",1,0))/
IF(ED87&gt;INT($N87),$N87-INT($N87),1))*
IF(EV$44=2,ED87,
IF(INT(ED87)=INT(EC87),0,ED87-INT(ED87)))))</f>
        <v>0</v>
      </c>
      <c r="EW87" s="833"/>
      <c r="EX87" s="834">
        <f t="shared" ca="1" si="246"/>
        <v>0</v>
      </c>
      <c r="EY87" s="835">
        <f t="shared" ca="1" si="246"/>
        <v>0</v>
      </c>
      <c r="EZ87" s="836">
        <f t="shared" ca="1" si="246"/>
        <v>0</v>
      </c>
      <c r="FA87" s="834">
        <f t="shared" ca="1" si="246"/>
        <v>0</v>
      </c>
      <c r="FB87" s="835">
        <f t="shared" ca="1" si="246"/>
        <v>0</v>
      </c>
      <c r="FC87" s="835">
        <f t="shared" ca="1" si="246"/>
        <v>0</v>
      </c>
      <c r="FD87" s="835">
        <f t="shared" ca="1" si="246"/>
        <v>0</v>
      </c>
      <c r="FE87" s="836">
        <f t="shared" ca="1" si="246"/>
        <v>0</v>
      </c>
      <c r="FG87" s="386">
        <f t="shared" ca="1" si="237"/>
        <v>0</v>
      </c>
      <c r="FH87" s="387">
        <f t="shared" ca="1" si="238"/>
        <v>0</v>
      </c>
      <c r="FI87" s="388">
        <f t="shared" ca="1" si="239"/>
        <v>0</v>
      </c>
      <c r="FJ87" s="386">
        <f t="shared" ca="1" si="240"/>
        <v>0</v>
      </c>
      <c r="FK87" s="387">
        <f t="shared" ca="1" si="241"/>
        <v>0</v>
      </c>
      <c r="FL87" s="387">
        <f t="shared" ca="1" si="242"/>
        <v>0</v>
      </c>
      <c r="FM87" s="387">
        <f t="shared" ca="1" si="243"/>
        <v>0</v>
      </c>
      <c r="FN87" s="388">
        <f t="shared" ca="1" si="244"/>
        <v>0</v>
      </c>
      <c r="FR87" s="116"/>
    </row>
    <row r="88" spans="2:174">
      <c r="B88" s="1410">
        <f t="shared" si="135"/>
        <v>42</v>
      </c>
      <c r="C88" s="400" t="s">
        <v>569</v>
      </c>
      <c r="D88" s="410"/>
      <c r="E88" s="402" t="s">
        <v>402</v>
      </c>
      <c r="F88" s="402" t="s">
        <v>527</v>
      </c>
      <c r="G88" s="400" t="s">
        <v>525</v>
      </c>
      <c r="H88" s="2088" t="s">
        <v>483</v>
      </c>
      <c r="I88" s="2089"/>
      <c r="J88" s="411" t="s">
        <v>516</v>
      </c>
      <c r="K88" s="403" t="s">
        <v>544</v>
      </c>
      <c r="L88" s="403">
        <v>40</v>
      </c>
      <c r="M88" s="403" t="s">
        <v>142</v>
      </c>
      <c r="N88" s="403"/>
      <c r="O88" s="347"/>
      <c r="P88" s="347"/>
      <c r="Q88" s="1021">
        <v>8.6425765853658536</v>
      </c>
      <c r="R88" s="1022">
        <v>3.4201318262938734</v>
      </c>
      <c r="S88" s="1022">
        <v>2.8297517215362502</v>
      </c>
      <c r="T88" s="1022">
        <v>7.2165238036762447E-2</v>
      </c>
      <c r="U88" s="1023">
        <v>0</v>
      </c>
      <c r="V88" s="1021">
        <v>0</v>
      </c>
      <c r="W88" s="1022">
        <v>0</v>
      </c>
      <c r="X88" s="1022">
        <v>0</v>
      </c>
      <c r="Y88" s="1022">
        <v>7.4490261436830671</v>
      </c>
      <c r="Z88" s="1023">
        <v>1.9303881438335795</v>
      </c>
      <c r="AA88" s="1024"/>
      <c r="AB88" s="1021">
        <v>0</v>
      </c>
      <c r="AC88" s="1022">
        <v>0</v>
      </c>
      <c r="AD88" s="1022">
        <v>0</v>
      </c>
      <c r="AE88" s="1022">
        <v>0</v>
      </c>
      <c r="AF88" s="1023">
        <v>0</v>
      </c>
      <c r="AG88" s="1021">
        <v>0</v>
      </c>
      <c r="AH88" s="1022">
        <v>0</v>
      </c>
      <c r="AI88" s="1022">
        <v>0</v>
      </c>
      <c r="AJ88" s="1022">
        <v>0</v>
      </c>
      <c r="AK88" s="1023">
        <v>0</v>
      </c>
      <c r="AL88" s="1024"/>
      <c r="AM88" s="1021">
        <v>0</v>
      </c>
      <c r="AN88" s="1022">
        <v>0</v>
      </c>
      <c r="AO88" s="1022">
        <v>0</v>
      </c>
      <c r="AP88" s="1022">
        <v>0</v>
      </c>
      <c r="AQ88" s="1023">
        <v>0</v>
      </c>
      <c r="AR88" s="1021">
        <v>0</v>
      </c>
      <c r="AS88" s="1022">
        <v>0</v>
      </c>
      <c r="AT88" s="1022">
        <v>0</v>
      </c>
      <c r="AU88" s="1022">
        <v>0</v>
      </c>
      <c r="AV88" s="1023">
        <v>0</v>
      </c>
      <c r="AW88" s="1025"/>
      <c r="AX88" s="1282">
        <f t="shared" si="191"/>
        <v>8.6425765853658536</v>
      </c>
      <c r="AY88" s="387">
        <f t="shared" si="192"/>
        <v>3.4201318262938734</v>
      </c>
      <c r="AZ88" s="387">
        <f t="shared" si="193"/>
        <v>2.8297517215362502</v>
      </c>
      <c r="BA88" s="387">
        <f t="shared" si="194"/>
        <v>7.2165238036762447E-2</v>
      </c>
      <c r="BB88" s="1283">
        <f t="shared" si="195"/>
        <v>0</v>
      </c>
      <c r="BC88" s="386">
        <f t="shared" si="196"/>
        <v>0</v>
      </c>
      <c r="BD88" s="387">
        <f t="shared" si="197"/>
        <v>0</v>
      </c>
      <c r="BE88" s="1277">
        <f t="shared" si="198"/>
        <v>0</v>
      </c>
      <c r="BF88" s="1277">
        <f t="shared" si="199"/>
        <v>7.4490261436830671</v>
      </c>
      <c r="BG88" s="388">
        <f t="shared" si="200"/>
        <v>1.9303881438335795</v>
      </c>
      <c r="BH88" s="1025"/>
      <c r="BI88" s="1282">
        <f t="shared" ca="1" si="201"/>
        <v>0.10803220731707316</v>
      </c>
      <c r="BJ88" s="387">
        <f t="shared" ca="1" si="202"/>
        <v>0.25881606246281974</v>
      </c>
      <c r="BK88" s="387">
        <f t="shared" ca="1" si="203"/>
        <v>0.33693960681069635</v>
      </c>
      <c r="BL88" s="387">
        <f t="shared" ca="1" si="204"/>
        <v>0.373213568805359</v>
      </c>
      <c r="BM88" s="1283">
        <f t="shared" ca="1" si="205"/>
        <v>0.37411563428081851</v>
      </c>
      <c r="BN88" s="386">
        <f t="shared" ca="1" si="206"/>
        <v>0.37411563428081851</v>
      </c>
      <c r="BO88" s="387">
        <f t="shared" ca="1" si="207"/>
        <v>0.37411563428081851</v>
      </c>
      <c r="BP88" s="1277">
        <f t="shared" ca="1" si="208"/>
        <v>0.37411563428081851</v>
      </c>
      <c r="BQ88" s="1277">
        <f t="shared" ca="1" si="209"/>
        <v>0.46722846107685684</v>
      </c>
      <c r="BR88" s="388">
        <f t="shared" ca="1" si="210"/>
        <v>0.58447113967081488</v>
      </c>
      <c r="BS88" s="1025"/>
      <c r="BT88" s="1282">
        <f>+IF($K88="Ongoing",AX88,IF(RIGHT($K88,2)=RIGHT(BT$43,2),SUM($AX88:AX88),0)+IF(RIGHT(BT$43,2)&gt;RIGHT($K88,2),AX88,0))</f>
        <v>8.6425765853658536</v>
      </c>
      <c r="BU88" s="387">
        <f>+IF($K88="Ongoing",AY88,IF(RIGHT($K88,2)=RIGHT(BU$43,2),SUM($AX88:AY88),0)+IF(RIGHT(BU$43,2)&gt;RIGHT($K88,2),AY88,0))</f>
        <v>3.4201318262938734</v>
      </c>
      <c r="BV88" s="387">
        <f>+IF($K88="Ongoing",AZ88,IF(RIGHT($K88,2)=RIGHT(BV$43,2),SUM($AX88:AZ88),0)+IF(RIGHT(BV$43,2)&gt;RIGHT($K88,2),AZ88,0))</f>
        <v>2.8297517215362502</v>
      </c>
      <c r="BW88" s="387">
        <f>+IF($K88="Ongoing",BA88,IF(RIGHT($K88,2)=RIGHT(BW$43,2),SUM($AX88:BA88),0)+IF(RIGHT(BW$43,2)&gt;RIGHT($K88,2),BA88,0))</f>
        <v>7.2165238036762447E-2</v>
      </c>
      <c r="BX88" s="1283">
        <f>+IF($K88="Ongoing",BB88,IF(RIGHT($K88,2)=RIGHT(BX$43,2),SUM($AX88:BB88),0)+IF(RIGHT(BX$43,2)&gt;RIGHT($K88,2),BB88,0))</f>
        <v>0</v>
      </c>
      <c r="BY88" s="386">
        <f>+IF($K88="Ongoing",BC88,IF(RIGHT($K88,2)=RIGHT(BY$43,2),SUM($AX88:BC88),0)+IF(RIGHT(BY$43,2)&gt;RIGHT($K88,2),BC88,0))</f>
        <v>0</v>
      </c>
      <c r="BZ88" s="387">
        <f>+IF($K88="Ongoing",BD88,IF(RIGHT($K88,2)=RIGHT(BZ$43,2),SUM($AX88:BD88),0)+IF(RIGHT(BZ$43,2)&gt;RIGHT($K88,2),BD88,0))</f>
        <v>0</v>
      </c>
      <c r="CA88" s="1277">
        <f>+IF($K88="Ongoing",BE88,IF(RIGHT($K88,2)=RIGHT(CA$43,2),SUM($AX88:BE88),0)+IF(RIGHT(CA$43,2)&gt;RIGHT($K88,2),BE88,0))</f>
        <v>0</v>
      </c>
      <c r="CB88" s="1277">
        <f>+IF($K88="Ongoing",BF88,IF(RIGHT($K88,2)=RIGHT(CB$43,2),SUM($AX88:BF88),0)+IF(RIGHT(CB$43,2)&gt;RIGHT($K88,2),BF88,0))</f>
        <v>7.4490261436830671</v>
      </c>
      <c r="CC88" s="388">
        <f>+IF($K88="Ongoing",BG88,IF(RIGHT($K88,2)=RIGHT(CC$43,2),SUM($AX88:BG88),0)+IF(RIGHT(CC$43,2)&gt;RIGHT($K88,2),BG88,0))</f>
        <v>1.9303881438335795</v>
      </c>
      <c r="CD88" s="1025"/>
      <c r="CE88" s="1282">
        <f>+Q88*KeyAssumptionsPriceControl_FO!AF$15</f>
        <v>8.8932113063414633</v>
      </c>
      <c r="CF88" s="387">
        <f>+R88*KeyAssumptionsPriceControl_FO!AG$15</f>
        <v>3.6213758030848311</v>
      </c>
      <c r="CG88" s="387">
        <f>+S88*KeyAssumptionsPriceControl_FO!AH$15</f>
        <v>3.0831485997180761</v>
      </c>
      <c r="CH88" s="387">
        <f>+T88*KeyAssumptionsPriceControl_FO!AI$15</f>
        <v>8.0907642633224017E-2</v>
      </c>
      <c r="CI88" s="1283">
        <f>+U88*KeyAssumptionsPriceControl_FO!AJ$15</f>
        <v>0</v>
      </c>
      <c r="CJ88" s="386">
        <f>+V88*KeyAssumptionsPriceControl_FO!AK$15</f>
        <v>0</v>
      </c>
      <c r="CK88" s="387">
        <f>+W88*KeyAssumptionsPriceControl_FO!AL$15</f>
        <v>0</v>
      </c>
      <c r="CL88" s="1277">
        <f>+X88*KeyAssumptionsPriceControl_FO!AM$15</f>
        <v>0</v>
      </c>
      <c r="CM88" s="1277">
        <f>+Y88*KeyAssumptionsPriceControl_FO!AN$15</f>
        <v>9.6346927898315382</v>
      </c>
      <c r="CN88" s="388">
        <f>+Z88*KeyAssumptionsPriceControl_FO!AO$15</f>
        <v>2.5692028148400681</v>
      </c>
      <c r="CO88" s="1025"/>
      <c r="CP88" s="1282">
        <f t="shared" ca="1" si="211"/>
        <v>0</v>
      </c>
      <c r="CQ88" s="387">
        <f t="shared" ca="1" si="212"/>
        <v>0</v>
      </c>
      <c r="CR88" s="387">
        <f t="shared" ca="1" si="213"/>
        <v>0</v>
      </c>
      <c r="CS88" s="387">
        <f t="shared" ca="1" si="214"/>
        <v>0</v>
      </c>
      <c r="CT88" s="1283">
        <f t="shared" ca="1" si="215"/>
        <v>0</v>
      </c>
      <c r="CU88" s="386">
        <f t="shared" ca="1" si="216"/>
        <v>0</v>
      </c>
      <c r="CV88" s="387">
        <f t="shared" ca="1" si="217"/>
        <v>0</v>
      </c>
      <c r="CW88" s="1277">
        <f t="shared" ca="1" si="218"/>
        <v>0</v>
      </c>
      <c r="CX88" s="1277">
        <f t="shared" ca="1" si="219"/>
        <v>0</v>
      </c>
      <c r="CY88" s="388">
        <f t="shared" ca="1" si="220"/>
        <v>0</v>
      </c>
      <c r="CZ88" s="347"/>
      <c r="DA88" s="852"/>
      <c r="DB88" s="347"/>
      <c r="DC88" s="1012" t="s">
        <v>573</v>
      </c>
      <c r="DD88" s="841" t="s">
        <v>518</v>
      </c>
      <c r="DE88" s="386">
        <f>+IF($K88="ongoing",CE88,IF(RIGHT($K88,2)=RIGHT(DE$43,2),SUM($CD88:CE88),0)+IF(RIGHT(DE$43,2)&gt;RIGHT($K88,2),CE88,0))</f>
        <v>8.8932113063414633</v>
      </c>
      <c r="DF88" s="387">
        <f>+IF($K88="ongoing",CF88,IF(RIGHT($K88,2)=RIGHT(DF$43,2),SUM($CD88:CF88),0)+IF(RIGHT(DF$43,2)&gt;RIGHT($K88,2),CF88,0))</f>
        <v>3.6213758030848311</v>
      </c>
      <c r="DG88" s="388">
        <f>+IF($K88="ongoing",CG88,IF(RIGHT($K88,2)=RIGHT(DG$43,2),SUM($CD88:CG88),0)+IF(RIGHT(DG$43,2)&gt;RIGHT($K88,2),CG88,0))</f>
        <v>3.0831485997180761</v>
      </c>
      <c r="DH88" s="386">
        <f>+IF($K88="ongoing",CH88,IF(RIGHT($K88,2)=RIGHT(DH$43,2),SUM($CD88:CH88),0)+IF(RIGHT(DH$43,2)&gt;RIGHT($K88,2),CH88,0))</f>
        <v>8.0907642633224017E-2</v>
      </c>
      <c r="DI88" s="387">
        <f>+IF($K88="ongoing",CI88,IF(RIGHT($K88,2)=RIGHT(DI$43,2),SUM($CD88:CI88),0)+IF(RIGHT(DI$43,2)&gt;RIGHT($K88,2),CI88,0))</f>
        <v>0</v>
      </c>
      <c r="DJ88" s="387">
        <f>+IF($K88="ongoing",CJ88,IF(RIGHT($K88,2)=RIGHT(DJ$43,2),SUM($CD88:CJ88),0)+IF(RIGHT(DJ$43,2)&gt;RIGHT($K88,2),CJ88,0))</f>
        <v>0</v>
      </c>
      <c r="DK88" s="387">
        <f>+IF($K88="ongoing",CK88,IF(RIGHT($K88,2)=RIGHT(DK$43,2),SUM($CD88:CK88),0)+IF(RIGHT(DK$43,2)&gt;RIGHT($K88,2),CK88,0))</f>
        <v>0</v>
      </c>
      <c r="DL88" s="388">
        <f>+IF($K88="ongoing",CN88,IF(RIGHT($K88,2)=RIGHT(DL$43,2),SUM($CD88:CN88),0)+IF(RIGHT(DL$43,2)&gt;RIGHT($K88,2),CN88,0))</f>
        <v>2.5692028148400681</v>
      </c>
      <c r="DM88" s="841"/>
      <c r="DN88" s="386">
        <f t="shared" si="221"/>
        <v>0.5</v>
      </c>
      <c r="DO88" s="387">
        <f t="shared" si="222"/>
        <v>1</v>
      </c>
      <c r="DP88" s="388">
        <f t="shared" si="223"/>
        <v>1</v>
      </c>
      <c r="DQ88" s="386">
        <f t="shared" si="224"/>
        <v>1</v>
      </c>
      <c r="DR88" s="387">
        <f t="shared" si="225"/>
        <v>1</v>
      </c>
      <c r="DS88" s="387">
        <f t="shared" si="226"/>
        <v>1</v>
      </c>
      <c r="DT88" s="387">
        <f t="shared" si="227"/>
        <v>1</v>
      </c>
      <c r="DU88" s="388">
        <f t="shared" si="228"/>
        <v>1</v>
      </c>
      <c r="DW88" s="386">
        <f t="shared" si="229"/>
        <v>0</v>
      </c>
      <c r="DX88" s="387">
        <f t="shared" si="230"/>
        <v>0.5</v>
      </c>
      <c r="DY88" s="388">
        <f t="shared" si="231"/>
        <v>1</v>
      </c>
      <c r="DZ88" s="386">
        <f t="shared" si="232"/>
        <v>1</v>
      </c>
      <c r="EA88" s="387">
        <f t="shared" si="233"/>
        <v>1</v>
      </c>
      <c r="EB88" s="387">
        <f t="shared" si="234"/>
        <v>1</v>
      </c>
      <c r="EC88" s="387">
        <f t="shared" si="235"/>
        <v>1</v>
      </c>
      <c r="ED88" s="388">
        <f t="shared" si="236"/>
        <v>1</v>
      </c>
      <c r="EF88" s="834">
        <f>+IF(DN88=DM88,0,
IF(AND(EF$44&gt;1,DN88=$N88),1-SUM($EE88:EE88),
IF($N88&lt;=1,
IF($N88&gt;0,1/$N88,0),
IF(EF$44=1,0,VDB(1,0,$N88,INT(EF$44-1-1),MIN($N88,INT(EF$44-1-1)+1),$DC88,IF($DD88="No",1,0))/
IF(DM88&gt;=INT($N88),$N88-INT($N88),1)))*
IF(EF$44=1,0,
IF(INT(DN88)=INT(DM88),DN88-DM88,INT(DN88)-DM88))+
IF($N88&lt;=1,
IF($N88&gt;0,1/$N88,0),VDB(1,0,$N88,INT(EF$44-1),MIN($N88,INT(EF$44-1)+1),$DC88,IF($DD88="No",1,0))/
IF(DN88&gt;INT($N88),$N88-INT($N88),1))*
IF(EF$44=1,DN88,
IF(INT(DN88)=INT(DM88),0,DN88-INT(DN88)))))</f>
        <v>0</v>
      </c>
      <c r="EG88" s="835">
        <f>+IF(DO88=DN88,0,
IF(AND(EG$44&gt;1,DO88=$N88),1-SUM($EE88:EF88),
IF($N88&lt;=1,
IF($N88&gt;0,1/$N88,0),
IF(EG$44=1,0,VDB(1,0,$N88,INT(EG$44-1-1),MIN($N88,INT(EG$44-1-1)+1),$DC88,IF($DD88="No",1,0))/
IF(DN88&gt;=INT($N88),$N88-INT($N88),1)))*
IF(EG$44=1,0,
IF(INT(DO88)=INT(DN88),DO88-DN88,INT(DO88)-DN88))+
IF($N88&lt;=1,
IF($N88&gt;0,1/$N88,0),VDB(1,0,$N88,INT(EG$44-1),MIN($N88,INT(EG$44-1)+1),$DC88,IF($DD88="No",1,0))/
IF(DO88&gt;INT($N88),$N88-INT($N88),1))*
IF(EG$44=1,DO88,
IF(INT(DO88)=INT(DN88),0,DO88-INT(DO88)))))</f>
        <v>0</v>
      </c>
      <c r="EH88" s="836">
        <f>+IF(DP88=DO88,0,
IF(AND(EH$44&gt;1,DP88=$N88),1-SUM($EE88:EG88),
IF($N88&lt;=1,
IF($N88&gt;0,1/$N88,0),
IF(EH$44=1,0,VDB(1,0,$N88,INT(EH$44-1-1),MIN($N88,INT(EH$44-1-1)+1),$DC88,IF($DD88="No",1,0))/
IF(DO88&gt;=INT($N88),$N88-INT($N88),1)))*
IF(EH$44=1,0,
IF(INT(DP88)=INT(DO88),DP88-DO88,INT(DP88)-DO88))+
IF($N88&lt;=1,
IF($N88&gt;0,1/$N88,0),VDB(1,0,$N88,INT(EH$44-1),MIN($N88,INT(EH$44-1)+1),$DC88,IF($DD88="No",1,0))/
IF(DP88&gt;INT($N88),$N88-INT($N88),1))*
IF(EH$44=1,DP88,
IF(INT(DP88)=INT(DO88),0,DP88-INT(DP88)))))</f>
        <v>0</v>
      </c>
      <c r="EI88" s="834">
        <f>+IF(DQ88=DP88,0,
IF(AND(EI$44&gt;1,DQ88=$N88),1-SUM($EE88:EH88),
IF($N88&lt;=1,
IF($N88&gt;0,1/$N88,0),
IF(EI$44=1,0,VDB(1,0,$N88,INT(EI$44-1-1),MIN($N88,INT(EI$44-1-1)+1),$DC88,IF($DD88="No",1,0))/
IF(DP88&gt;=INT($N88),$N88-INT($N88),1)))*
IF(EI$44=1,0,
IF(INT(DQ88)=INT(DP88),DQ88-DP88,INT(DQ88)-DP88))+
IF($N88&lt;=1,
IF($N88&gt;0,1/$N88,0),VDB(1,0,$N88,INT(EI$44-1),MIN($N88,INT(EI$44-1)+1),$DC88,IF($DD88="No",1,0))/
IF(DQ88&gt;INT($N88),$N88-INT($N88),1))*
IF(EI$44=1,DQ88,
IF(INT(DQ88)=INT(DP88),0,DQ88-INT(DQ88)))))</f>
        <v>0</v>
      </c>
      <c r="EJ88" s="835">
        <f>+IF(DR88=DQ88,0,
IF(AND(EJ$44&gt;1,DR88=$N88),1-SUM($EE88:EI88),
IF($N88&lt;=1,
IF($N88&gt;0,1/$N88,0),
IF(EJ$44=1,0,VDB(1,0,$N88,INT(EJ$44-1-1),MIN($N88,INT(EJ$44-1-1)+1),$DC88,IF($DD88="No",1,0))/
IF(DQ88&gt;=INT($N88),$N88-INT($N88),1)))*
IF(EJ$44=1,0,
IF(INT(DR88)=INT(DQ88),DR88-DQ88,INT(DR88)-DQ88))+
IF($N88&lt;=1,
IF($N88&gt;0,1/$N88,0),VDB(1,0,$N88,INT(EJ$44-1),MIN($N88,INT(EJ$44-1)+1),$DC88,IF($DD88="No",1,0))/
IF(DR88&gt;INT($N88),$N88-INT($N88),1))*
IF(EJ$44=1,DR88,
IF(INT(DR88)=INT(DQ88),0,DR88-INT(DR88)))))</f>
        <v>0</v>
      </c>
      <c r="EK88" s="835">
        <f>+IF(DS88=DR88,0,
IF(AND(EK$44&gt;1,DS88=$N88),1-SUM($EE88:EJ88),
IF($N88&lt;=1,
IF($N88&gt;0,1/$N88,0),
IF(EK$44=1,0,VDB(1,0,$N88,INT(EK$44-1-1),MIN($N88,INT(EK$44-1-1)+1),$DC88,IF($DD88="No",1,0))/
IF(DR88&gt;=INT($N88),$N88-INT($N88),1)))*
IF(EK$44=1,0,
IF(INT(DS88)=INT(DR88),DS88-DR88,INT(DS88)-DR88))+
IF($N88&lt;=1,
IF($N88&gt;0,1/$N88,0),VDB(1,0,$N88,INT(EK$44-1),MIN($N88,INT(EK$44-1)+1),$DC88,IF($DD88="No",1,0))/
IF(DS88&gt;INT($N88),$N88-INT($N88),1))*
IF(EK$44=1,DS88,
IF(INT(DS88)=INT(DR88),0,DS88-INT(DS88)))))</f>
        <v>0</v>
      </c>
      <c r="EL88" s="835">
        <f>+IF(DT88=DS88,0,
IF(AND(EL$44&gt;1,DT88=$N88),1-SUM($EE88:EK88),
IF($N88&lt;=1,
IF($N88&gt;0,1/$N88,0),
IF(EL$44=1,0,VDB(1,0,$N88,INT(EL$44-1-1),MIN($N88,INT(EL$44-1-1)+1),$DC88,IF($DD88="No",1,0))/
IF(DS88&gt;=INT($N88),$N88-INT($N88),1)))*
IF(EL$44=1,0,
IF(INT(DT88)=INT(DS88),DT88-DS88,INT(DT88)-DS88))+
IF($N88&lt;=1,
IF($N88&gt;0,1/$N88,0),VDB(1,0,$N88,INT(EL$44-1),MIN($N88,INT(EL$44-1)+1),$DC88,IF($DD88="No",1,0))/
IF(DT88&gt;INT($N88),$N88-INT($N88),1))*
IF(EL$44=1,DT88,
IF(INT(DT88)=INT(DS88),0,DT88-INT(DT88)))))</f>
        <v>0</v>
      </c>
      <c r="EM88" s="836">
        <f>+IF(DU88=DT88,0,
IF(AND(EM$44&gt;1,DU88=$N88),1-SUM($EE88:EL88),
IF($N88&lt;=1,
IF($N88&gt;0,1/$N88,0),
IF(EM$44=1,0,VDB(1,0,$N88,INT(EM$44-1-1),MIN($N88,INT(EM$44-1-1)+1),$DC88,IF($DD88="No",1,0))/
IF(DT88&gt;=INT($N88),$N88-INT($N88),1)))*
IF(EM$44=1,0,
IF(INT(DU88)=INT(DT88),DU88-DT88,INT(DU88)-DT88))+
IF($N88&lt;=1,
IF($N88&gt;0,1/$N88,0),VDB(1,0,$N88,INT(EM$44-1),MIN($N88,INT(EM$44-1)+1),$DC88,IF($DD88="No",1,0))/
IF(DU88&gt;INT($N88),$N88-INT($N88),1))*
IF(EM$44=1,DU88,
IF(INT(DU88)=INT(DT88),0,DU88-INT(DU88)))))</f>
        <v>0</v>
      </c>
      <c r="EN88" s="833"/>
      <c r="EO88" s="834">
        <f>+IF(OR(DW88=DV88,EO$44=1),0,
IF(AND(EO$44&gt;1,DW88=$N88),1-SUM($EN88:EN88),
IF($N88&lt;=1,
IF($N88&gt;0,1/$N88,0),
IF(EO$44=2,0,VDB(1,0,$N88,INT(EO$44-2-1),MIN($N88,INT(EO$44-2-1)+1),$DC88,IF($DD88="No",1,0))/
IF(DV88&gt;=INT($N88),$N88-INT($N88),1)))*
IF(EO$44=2,0,
IF(INT(DW88)=INT(DV88),DW88-DV88,INT(DW88)-DV88))+
IF($N88&lt;=1,
IF($N88&gt;0,1/$N88,0),VDB(1,0,$N88,INT(EO$44-2),MIN($N88,INT(EO$44-2)+1),$DC88,IF($DD88="No",1,0))/
IF(DW88&gt;INT($N88),$N88-INT($N88),1))*
IF(EO$44=2,DW88,
IF(INT(DW88)=INT(DV88),0,DW88-INT(DW88)))))</f>
        <v>0</v>
      </c>
      <c r="EP88" s="835">
        <f>+IF(OR(DX88=DW88,EP$44=1),0,
IF(AND(EP$44&gt;1,DX88=$N88),1-SUM($EN88:EO88),
IF($N88&lt;=1,
IF($N88&gt;0,1/$N88,0),
IF(EP$44=2,0,VDB(1,0,$N88,INT(EP$44-2-1),MIN($N88,INT(EP$44-2-1)+1),$DC88,IF($DD88="No",1,0))/
IF(DW88&gt;=INT($N88),$N88-INT($N88),1)))*
IF(EP$44=2,0,
IF(INT(DX88)=INT(DW88),DX88-DW88,INT(DX88)-DW88))+
IF($N88&lt;=1,
IF($N88&gt;0,1/$N88,0),VDB(1,0,$N88,INT(EP$44-2),MIN($N88,INT(EP$44-2)+1),$DC88,IF($DD88="No",1,0))/
IF(DX88&gt;INT($N88),$N88-INT($N88),1))*
IF(EP$44=2,DX88,
IF(INT(DX88)=INT(DW88),0,DX88-INT(DX88)))))</f>
        <v>0</v>
      </c>
      <c r="EQ88" s="836">
        <f>+IF(OR(DY88=DX88,EQ$44=1),0,
IF(AND(EQ$44&gt;1,DY88=$N88),1-SUM($EN88:EP88),
IF($N88&lt;=1,
IF($N88&gt;0,1/$N88,0),
IF(EQ$44=2,0,VDB(1,0,$N88,INT(EQ$44-2-1),MIN($N88,INT(EQ$44-2-1)+1),$DC88,IF($DD88="No",1,0))/
IF(DX88&gt;=INT($N88),$N88-INT($N88),1)))*
IF(EQ$44=2,0,
IF(INT(DY88)=INT(DX88),DY88-DX88,INT(DY88)-DX88))+
IF($N88&lt;=1,
IF($N88&gt;0,1/$N88,0),VDB(1,0,$N88,INT(EQ$44-2),MIN($N88,INT(EQ$44-2)+1),$DC88,IF($DD88="No",1,0))/
IF(DY88&gt;INT($N88),$N88-INT($N88),1))*
IF(EQ$44=2,DY88,
IF(INT(DY88)=INT(DX88),0,DY88-INT(DY88)))))</f>
        <v>0</v>
      </c>
      <c r="ER88" s="834">
        <f>+IF(OR(DZ88=DY88,ER$44=1),0,
IF(AND(ER$44&gt;1,DZ88=$N88),1-SUM($EN88:EQ88),
IF($N88&lt;=1,
IF($N88&gt;0,1/$N88,0),
IF(ER$44=2,0,VDB(1,0,$N88,INT(ER$44-2-1),MIN($N88,INT(ER$44-2-1)+1),$DC88,IF($DD88="No",1,0))/
IF(DY88&gt;=INT($N88),$N88-INT($N88),1)))*
IF(ER$44=2,0,
IF(INT(DZ88)=INT(DY88),DZ88-DY88,INT(DZ88)-DY88))+
IF($N88&lt;=1,
IF($N88&gt;0,1/$N88,0),VDB(1,0,$N88,INT(ER$44-2),MIN($N88,INT(ER$44-2)+1),$DC88,IF($DD88="No",1,0))/
IF(DZ88&gt;INT($N88),$N88-INT($N88),1))*
IF(ER$44=2,DZ88,
IF(INT(DZ88)=INT(DY88),0,DZ88-INT(DZ88)))))</f>
        <v>0</v>
      </c>
      <c r="ES88" s="835">
        <f>+IF(OR(EA88=DZ88,ES$44=1),0,
IF(AND(ES$44&gt;1,EA88=$N88),1-SUM($EN88:ER88),
IF($N88&lt;=1,
IF($N88&gt;0,1/$N88,0),
IF(ES$44=2,0,VDB(1,0,$N88,INT(ES$44-2-1),MIN($N88,INT(ES$44-2-1)+1),$DC88,IF($DD88="No",1,0))/
IF(DZ88&gt;=INT($N88),$N88-INT($N88),1)))*
IF(ES$44=2,0,
IF(INT(EA88)=INT(DZ88),EA88-DZ88,INT(EA88)-DZ88))+
IF($N88&lt;=1,
IF($N88&gt;0,1/$N88,0),VDB(1,0,$N88,INT(ES$44-2),MIN($N88,INT(ES$44-2)+1),$DC88,IF($DD88="No",1,0))/
IF(EA88&gt;INT($N88),$N88-INT($N88),1))*
IF(ES$44=2,EA88,
IF(INT(EA88)=INT(DZ88),0,EA88-INT(EA88)))))</f>
        <v>0</v>
      </c>
      <c r="ET88" s="835">
        <f>+IF(OR(EB88=EA88,ET$44=1),0,
IF(AND(ET$44&gt;1,EB88=$N88),1-SUM($EN88:ES88),
IF($N88&lt;=1,
IF($N88&gt;0,1/$N88,0),
IF(ET$44=2,0,VDB(1,0,$N88,INT(ET$44-2-1),MIN($N88,INT(ET$44-2-1)+1),$DC88,IF($DD88="No",1,0))/
IF(EA88&gt;=INT($N88),$N88-INT($N88),1)))*
IF(ET$44=2,0,
IF(INT(EB88)=INT(EA88),EB88-EA88,INT(EB88)-EA88))+
IF($N88&lt;=1,
IF($N88&gt;0,1/$N88,0),VDB(1,0,$N88,INT(ET$44-2),MIN($N88,INT(ET$44-2)+1),$DC88,IF($DD88="No",1,0))/
IF(EB88&gt;INT($N88),$N88-INT($N88),1))*
IF(ET$44=2,EB88,
IF(INT(EB88)=INT(EA88),0,EB88-INT(EB88)))))</f>
        <v>0</v>
      </c>
      <c r="EU88" s="835">
        <f>+IF(OR(EC88=EB88,EU$44=1),0,
IF(AND(EU$44&gt;1,EC88=$N88),1-SUM($EN88:ET88),
IF($N88&lt;=1,
IF($N88&gt;0,1/$N88,0),
IF(EU$44=2,0,VDB(1,0,$N88,INT(EU$44-2-1),MIN($N88,INT(EU$44-2-1)+1),$DC88,IF($DD88="No",1,0))/
IF(EB88&gt;=INT($N88),$N88-INT($N88),1)))*
IF(EU$44=2,0,
IF(INT(EC88)=INT(EB88),EC88-EB88,INT(EC88)-EB88))+
IF($N88&lt;=1,
IF($N88&gt;0,1/$N88,0),VDB(1,0,$N88,INT(EU$44-2),MIN($N88,INT(EU$44-2)+1),$DC88,IF($DD88="No",1,0))/
IF(EC88&gt;INT($N88),$N88-INT($N88),1))*
IF(EU$44=2,EC88,
IF(INT(EC88)=INT(EB88),0,EC88-INT(EC88)))))</f>
        <v>0</v>
      </c>
      <c r="EV88" s="836">
        <f>+IF(OR(ED88=EC88,EV$44=1),0,
IF(AND(EV$44&gt;1,ED88=$N88),1-SUM($EN88:EU88),
IF($N88&lt;=1,
IF($N88&gt;0,1/$N88,0),
IF(EV$44=2,0,VDB(1,0,$N88,INT(EV$44-2-1),MIN($N88,INT(EV$44-2-1)+1),$DC88,IF($DD88="No",1,0))/
IF(EC88&gt;=INT($N88),$N88-INT($N88),1)))*
IF(EV$44=2,0,
IF(INT(ED88)=INT(EC88),ED88-EC88,INT(ED88)-EC88))+
IF($N88&lt;=1,
IF($N88&gt;0,1/$N88,0),VDB(1,0,$N88,INT(EV$44-2),MIN($N88,INT(EV$44-2)+1),$DC88,IF($DD88="No",1,0))/
IF(ED88&gt;INT($N88),$N88-INT($N88),1))*
IF(EV$44=2,ED88,
IF(INT(ED88)=INT(EC88),0,ED88-INT(ED88)))))</f>
        <v>0</v>
      </c>
      <c r="EW88" s="833"/>
      <c r="EX88" s="834">
        <f t="shared" ca="1" si="246"/>
        <v>0</v>
      </c>
      <c r="EY88" s="835">
        <f t="shared" ca="1" si="246"/>
        <v>0</v>
      </c>
      <c r="EZ88" s="836">
        <f t="shared" ca="1" si="246"/>
        <v>0</v>
      </c>
      <c r="FA88" s="834">
        <f t="shared" ca="1" si="246"/>
        <v>0</v>
      </c>
      <c r="FB88" s="835">
        <f t="shared" ca="1" si="246"/>
        <v>0</v>
      </c>
      <c r="FC88" s="835">
        <f t="shared" ca="1" si="246"/>
        <v>0</v>
      </c>
      <c r="FD88" s="835">
        <f t="shared" ca="1" si="246"/>
        <v>0</v>
      </c>
      <c r="FE88" s="836">
        <f t="shared" ca="1" si="246"/>
        <v>0</v>
      </c>
      <c r="FG88" s="386">
        <f t="shared" ca="1" si="237"/>
        <v>0</v>
      </c>
      <c r="FH88" s="387">
        <f t="shared" ca="1" si="238"/>
        <v>0</v>
      </c>
      <c r="FI88" s="388">
        <f t="shared" ca="1" si="239"/>
        <v>0</v>
      </c>
      <c r="FJ88" s="386">
        <f t="shared" ca="1" si="240"/>
        <v>0</v>
      </c>
      <c r="FK88" s="387">
        <f t="shared" ca="1" si="241"/>
        <v>0</v>
      </c>
      <c r="FL88" s="387">
        <f t="shared" ca="1" si="242"/>
        <v>0</v>
      </c>
      <c r="FM88" s="387">
        <f t="shared" ca="1" si="243"/>
        <v>0</v>
      </c>
      <c r="FN88" s="388">
        <f t="shared" ca="1" si="244"/>
        <v>0</v>
      </c>
      <c r="FR88" s="116"/>
    </row>
    <row r="89" spans="2:174">
      <c r="B89" s="1410">
        <f t="shared" si="135"/>
        <v>43</v>
      </c>
      <c r="C89" s="400" t="s">
        <v>569</v>
      </c>
      <c r="D89" s="410"/>
      <c r="E89" s="402" t="s">
        <v>402</v>
      </c>
      <c r="F89" s="402" t="s">
        <v>527</v>
      </c>
      <c r="G89" s="400" t="s">
        <v>525</v>
      </c>
      <c r="H89" s="2088" t="s">
        <v>483</v>
      </c>
      <c r="I89" s="2089"/>
      <c r="J89" s="411" t="s">
        <v>516</v>
      </c>
      <c r="K89" s="403" t="s">
        <v>544</v>
      </c>
      <c r="L89" s="403">
        <v>90</v>
      </c>
      <c r="M89" s="403" t="s">
        <v>142</v>
      </c>
      <c r="N89" s="403"/>
      <c r="O89" s="347"/>
      <c r="P89" s="347"/>
      <c r="Q89" s="1021">
        <v>0</v>
      </c>
      <c r="R89" s="1022">
        <v>0</v>
      </c>
      <c r="S89" s="1022">
        <v>0</v>
      </c>
      <c r="T89" s="1022">
        <v>0</v>
      </c>
      <c r="U89" s="1023">
        <v>0</v>
      </c>
      <c r="V89" s="1021">
        <v>0</v>
      </c>
      <c r="W89" s="1022">
        <v>0</v>
      </c>
      <c r="X89" s="1022">
        <v>1.5284104641546108</v>
      </c>
      <c r="Y89" s="1022">
        <v>11.56518745923665</v>
      </c>
      <c r="Z89" s="1023">
        <v>24.992342885470595</v>
      </c>
      <c r="AA89" s="1024"/>
      <c r="AB89" s="1021">
        <v>0</v>
      </c>
      <c r="AC89" s="1022">
        <v>0</v>
      </c>
      <c r="AD89" s="1022">
        <v>0</v>
      </c>
      <c r="AE89" s="1022">
        <v>0</v>
      </c>
      <c r="AF89" s="1023">
        <v>0</v>
      </c>
      <c r="AG89" s="1021">
        <v>0</v>
      </c>
      <c r="AH89" s="1022">
        <v>0</v>
      </c>
      <c r="AI89" s="1022">
        <v>0</v>
      </c>
      <c r="AJ89" s="1022">
        <v>0</v>
      </c>
      <c r="AK89" s="1023">
        <v>0</v>
      </c>
      <c r="AL89" s="1024"/>
      <c r="AM89" s="1021">
        <v>0</v>
      </c>
      <c r="AN89" s="1022">
        <v>0</v>
      </c>
      <c r="AO89" s="1022">
        <v>0</v>
      </c>
      <c r="AP89" s="1022">
        <v>0</v>
      </c>
      <c r="AQ89" s="1023">
        <v>0</v>
      </c>
      <c r="AR89" s="1021">
        <v>0</v>
      </c>
      <c r="AS89" s="1022">
        <v>0</v>
      </c>
      <c r="AT89" s="1022">
        <v>0</v>
      </c>
      <c r="AU89" s="1022">
        <v>0</v>
      </c>
      <c r="AV89" s="1023">
        <v>0</v>
      </c>
      <c r="AW89" s="1025"/>
      <c r="AX89" s="1282">
        <f t="shared" si="191"/>
        <v>0</v>
      </c>
      <c r="AY89" s="387">
        <f t="shared" si="192"/>
        <v>0</v>
      </c>
      <c r="AZ89" s="387">
        <f t="shared" si="193"/>
        <v>0</v>
      </c>
      <c r="BA89" s="387">
        <f t="shared" si="194"/>
        <v>0</v>
      </c>
      <c r="BB89" s="1283">
        <f t="shared" si="195"/>
        <v>0</v>
      </c>
      <c r="BC89" s="386">
        <f t="shared" si="196"/>
        <v>0</v>
      </c>
      <c r="BD89" s="387">
        <f t="shared" si="197"/>
        <v>0</v>
      </c>
      <c r="BE89" s="1277">
        <f t="shared" si="198"/>
        <v>1.5284104641546108</v>
      </c>
      <c r="BF89" s="1277">
        <f t="shared" si="199"/>
        <v>11.56518745923665</v>
      </c>
      <c r="BG89" s="388">
        <f t="shared" si="200"/>
        <v>24.992342885470595</v>
      </c>
      <c r="BH89" s="1025"/>
      <c r="BI89" s="1282">
        <f t="shared" ca="1" si="201"/>
        <v>0</v>
      </c>
      <c r="BJ89" s="387">
        <f t="shared" ca="1" si="202"/>
        <v>0</v>
      </c>
      <c r="BK89" s="387">
        <f t="shared" ca="1" si="203"/>
        <v>0</v>
      </c>
      <c r="BL89" s="387">
        <f t="shared" ca="1" si="204"/>
        <v>0</v>
      </c>
      <c r="BM89" s="1283">
        <f t="shared" ca="1" si="205"/>
        <v>0</v>
      </c>
      <c r="BN89" s="386">
        <f t="shared" ca="1" si="206"/>
        <v>0</v>
      </c>
      <c r="BO89" s="387">
        <f t="shared" ca="1" si="207"/>
        <v>0</v>
      </c>
      <c r="BP89" s="1277">
        <f t="shared" ca="1" si="208"/>
        <v>8.4911692453033937E-3</v>
      </c>
      <c r="BQ89" s="1277">
        <f t="shared" ca="1" si="209"/>
        <v>8.1233379930810409E-2</v>
      </c>
      <c r="BR89" s="388">
        <f t="shared" ca="1" si="210"/>
        <v>0.28433077073473956</v>
      </c>
      <c r="BS89" s="1025"/>
      <c r="BT89" s="1282">
        <f>+IF($K89="Ongoing",AX89,IF(RIGHT($K89,2)=RIGHT(BT$43,2),SUM($AX89:AX89),0)+IF(RIGHT(BT$43,2)&gt;RIGHT($K89,2),AX89,0))</f>
        <v>0</v>
      </c>
      <c r="BU89" s="387">
        <f>+IF($K89="Ongoing",AY89,IF(RIGHT($K89,2)=RIGHT(BU$43,2),SUM($AX89:AY89),0)+IF(RIGHT(BU$43,2)&gt;RIGHT($K89,2),AY89,0))</f>
        <v>0</v>
      </c>
      <c r="BV89" s="387">
        <f>+IF($K89="Ongoing",AZ89,IF(RIGHT($K89,2)=RIGHT(BV$43,2),SUM($AX89:AZ89),0)+IF(RIGHT(BV$43,2)&gt;RIGHT($K89,2),AZ89,0))</f>
        <v>0</v>
      </c>
      <c r="BW89" s="387">
        <f>+IF($K89="Ongoing",BA89,IF(RIGHT($K89,2)=RIGHT(BW$43,2),SUM($AX89:BA89),0)+IF(RIGHT(BW$43,2)&gt;RIGHT($K89,2),BA89,0))</f>
        <v>0</v>
      </c>
      <c r="BX89" s="1283">
        <f>+IF($K89="Ongoing",BB89,IF(RIGHT($K89,2)=RIGHT(BX$43,2),SUM($AX89:BB89),0)+IF(RIGHT(BX$43,2)&gt;RIGHT($K89,2),BB89,0))</f>
        <v>0</v>
      </c>
      <c r="BY89" s="386">
        <f>+IF($K89="Ongoing",BC89,IF(RIGHT($K89,2)=RIGHT(BY$43,2),SUM($AX89:BC89),0)+IF(RIGHT(BY$43,2)&gt;RIGHT($K89,2),BC89,0))</f>
        <v>0</v>
      </c>
      <c r="BZ89" s="387">
        <f>+IF($K89="Ongoing",BD89,IF(RIGHT($K89,2)=RIGHT(BZ$43,2),SUM($AX89:BD89),0)+IF(RIGHT(BZ$43,2)&gt;RIGHT($K89,2),BD89,0))</f>
        <v>0</v>
      </c>
      <c r="CA89" s="1277">
        <f>+IF($K89="Ongoing",BE89,IF(RIGHT($K89,2)=RIGHT(CA$43,2),SUM($AX89:BE89),0)+IF(RIGHT(CA$43,2)&gt;RIGHT($K89,2),BE89,0))</f>
        <v>1.5284104641546108</v>
      </c>
      <c r="CB89" s="1277">
        <f>+IF($K89="Ongoing",BF89,IF(RIGHT($K89,2)=RIGHT(CB$43,2),SUM($AX89:BF89),0)+IF(RIGHT(CB$43,2)&gt;RIGHT($K89,2),BF89,0))</f>
        <v>11.56518745923665</v>
      </c>
      <c r="CC89" s="388">
        <f>+IF($K89="Ongoing",BG89,IF(RIGHT($K89,2)=RIGHT(CC$43,2),SUM($AX89:BG89),0)+IF(RIGHT(CC$43,2)&gt;RIGHT($K89,2),BG89,0))</f>
        <v>24.992342885470595</v>
      </c>
      <c r="CD89" s="1025"/>
      <c r="CE89" s="1282">
        <f>+Q89*KeyAssumptionsPriceControl_FO!AF$15</f>
        <v>0</v>
      </c>
      <c r="CF89" s="387">
        <f>+R89*KeyAssumptionsPriceControl_FO!AG$15</f>
        <v>0</v>
      </c>
      <c r="CG89" s="387">
        <f>+S89*KeyAssumptionsPriceControl_FO!AH$15</f>
        <v>0</v>
      </c>
      <c r="CH89" s="387">
        <f>+T89*KeyAssumptionsPriceControl_FO!AI$15</f>
        <v>0</v>
      </c>
      <c r="CI89" s="1283">
        <f>+U89*KeyAssumptionsPriceControl_FO!AJ$15</f>
        <v>0</v>
      </c>
      <c r="CJ89" s="386">
        <f>+V89*KeyAssumptionsPriceControl_FO!AK$15</f>
        <v>0</v>
      </c>
      <c r="CK89" s="387">
        <f>+W89*KeyAssumptionsPriceControl_FO!AL$15</f>
        <v>0</v>
      </c>
      <c r="CL89" s="1277">
        <f>+X89*KeyAssumptionsPriceControl_FO!AM$15</f>
        <v>1.9211576323403798</v>
      </c>
      <c r="CM89" s="1277">
        <f>+Y89*KeyAssumptionsPriceControl_FO!AN$15</f>
        <v>14.958603457319045</v>
      </c>
      <c r="CN89" s="388">
        <f>+Z89*KeyAssumptionsPriceControl_FO!AO$15</f>
        <v>33.262946571606605</v>
      </c>
      <c r="CO89" s="1025"/>
      <c r="CP89" s="1282">
        <f t="shared" ca="1" si="211"/>
        <v>0</v>
      </c>
      <c r="CQ89" s="387">
        <f t="shared" ca="1" si="212"/>
        <v>0</v>
      </c>
      <c r="CR89" s="387">
        <f t="shared" ca="1" si="213"/>
        <v>0</v>
      </c>
      <c r="CS89" s="387">
        <f t="shared" ca="1" si="214"/>
        <v>0</v>
      </c>
      <c r="CT89" s="1283">
        <f t="shared" ca="1" si="215"/>
        <v>0</v>
      </c>
      <c r="CU89" s="386">
        <f t="shared" ca="1" si="216"/>
        <v>0</v>
      </c>
      <c r="CV89" s="387">
        <f t="shared" ca="1" si="217"/>
        <v>0</v>
      </c>
      <c r="CW89" s="1277">
        <f t="shared" ca="1" si="218"/>
        <v>0</v>
      </c>
      <c r="CX89" s="1277">
        <f t="shared" ca="1" si="219"/>
        <v>0</v>
      </c>
      <c r="CY89" s="388">
        <f t="shared" ca="1" si="220"/>
        <v>0</v>
      </c>
      <c r="CZ89" s="347"/>
      <c r="DA89" s="852"/>
      <c r="DB89" s="347"/>
      <c r="DC89" s="1012" t="s">
        <v>574</v>
      </c>
      <c r="DD89" s="841" t="s">
        <v>518</v>
      </c>
      <c r="DE89" s="386">
        <f>+IF($K89="ongoing",CE89,IF(RIGHT($K89,2)=RIGHT(DE$43,2),SUM($CD89:CE89),0)+IF(RIGHT(DE$43,2)&gt;RIGHT($K89,2),CE89,0))</f>
        <v>0</v>
      </c>
      <c r="DF89" s="387">
        <f>+IF($K89="ongoing",CF89,IF(RIGHT($K89,2)=RIGHT(DF$43,2),SUM($CD89:CF89),0)+IF(RIGHT(DF$43,2)&gt;RIGHT($K89,2),CF89,0))</f>
        <v>0</v>
      </c>
      <c r="DG89" s="388">
        <f>+IF($K89="ongoing",CG89,IF(RIGHT($K89,2)=RIGHT(DG$43,2),SUM($CD89:CG89),0)+IF(RIGHT(DG$43,2)&gt;RIGHT($K89,2),CG89,0))</f>
        <v>0</v>
      </c>
      <c r="DH89" s="386">
        <f>+IF($K89="ongoing",CH89,IF(RIGHT($K89,2)=RIGHT(DH$43,2),SUM($CD89:CH89),0)+IF(RIGHT(DH$43,2)&gt;RIGHT($K89,2),CH89,0))</f>
        <v>0</v>
      </c>
      <c r="DI89" s="387">
        <f>+IF($K89="ongoing",CI89,IF(RIGHT($K89,2)=RIGHT(DI$43,2),SUM($CD89:CI89),0)+IF(RIGHT(DI$43,2)&gt;RIGHT($K89,2),CI89,0))</f>
        <v>0</v>
      </c>
      <c r="DJ89" s="387">
        <f>+IF($K89="ongoing",CJ89,IF(RIGHT($K89,2)=RIGHT(DJ$43,2),SUM($CD89:CJ89),0)+IF(RIGHT(DJ$43,2)&gt;RIGHT($K89,2),CJ89,0))</f>
        <v>0</v>
      </c>
      <c r="DK89" s="387">
        <f>+IF($K89="ongoing",CK89,IF(RIGHT($K89,2)=RIGHT(DK$43,2),SUM($CD89:CK89),0)+IF(RIGHT(DK$43,2)&gt;RIGHT($K89,2),CK89,0))</f>
        <v>0</v>
      </c>
      <c r="DL89" s="388">
        <f>+IF($K89="ongoing",CN89,IF(RIGHT($K89,2)=RIGHT(DL$43,2),SUM($CD89:CN89),0)+IF(RIGHT(DL$43,2)&gt;RIGHT($K89,2),CN89,0))</f>
        <v>33.262946571606605</v>
      </c>
      <c r="DM89" s="841"/>
      <c r="DN89" s="386">
        <f t="shared" si="221"/>
        <v>0.5</v>
      </c>
      <c r="DO89" s="387">
        <f t="shared" si="222"/>
        <v>1</v>
      </c>
      <c r="DP89" s="388">
        <f t="shared" si="223"/>
        <v>1</v>
      </c>
      <c r="DQ89" s="386">
        <f t="shared" si="224"/>
        <v>1</v>
      </c>
      <c r="DR89" s="387">
        <f t="shared" si="225"/>
        <v>1</v>
      </c>
      <c r="DS89" s="387">
        <f t="shared" si="226"/>
        <v>1</v>
      </c>
      <c r="DT89" s="387">
        <f t="shared" si="227"/>
        <v>1</v>
      </c>
      <c r="DU89" s="388">
        <f t="shared" si="228"/>
        <v>1</v>
      </c>
      <c r="DW89" s="386">
        <f t="shared" si="229"/>
        <v>0</v>
      </c>
      <c r="DX89" s="387">
        <f t="shared" si="230"/>
        <v>0.5</v>
      </c>
      <c r="DY89" s="388">
        <f t="shared" si="231"/>
        <v>1</v>
      </c>
      <c r="DZ89" s="386">
        <f t="shared" si="232"/>
        <v>1</v>
      </c>
      <c r="EA89" s="387">
        <f t="shared" si="233"/>
        <v>1</v>
      </c>
      <c r="EB89" s="387">
        <f t="shared" si="234"/>
        <v>1</v>
      </c>
      <c r="EC89" s="387">
        <f t="shared" si="235"/>
        <v>1</v>
      </c>
      <c r="ED89" s="388">
        <f t="shared" si="236"/>
        <v>1</v>
      </c>
      <c r="EF89" s="834">
        <f>+IF(DN89=DM89,0,
IF(AND(EF$44&gt;1,DN89=$N89),1-SUM($EE89:EE89),
IF($N89&lt;=1,
IF($N89&gt;0,1/$N89,0),
IF(EF$44=1,0,VDB(1,0,$N89,INT(EF$44-1-1),MIN($N89,INT(EF$44-1-1)+1),$DC89,IF($DD89="No",1,0))/
IF(DM89&gt;=INT($N89),$N89-INT($N89),1)))*
IF(EF$44=1,0,
IF(INT(DN89)=INT(DM89),DN89-DM89,INT(DN89)-DM89))+
IF($N89&lt;=1,
IF($N89&gt;0,1/$N89,0),VDB(1,0,$N89,INT(EF$44-1),MIN($N89,INT(EF$44-1)+1),$DC89,IF($DD89="No",1,0))/
IF(DN89&gt;INT($N89),$N89-INT($N89),1))*
IF(EF$44=1,DN89,
IF(INT(DN89)=INT(DM89),0,DN89-INT(DN89)))))</f>
        <v>0</v>
      </c>
      <c r="EG89" s="835">
        <f>+IF(DO89=DN89,0,
IF(AND(EG$44&gt;1,DO89=$N89),1-SUM($EE89:EF89),
IF($N89&lt;=1,
IF($N89&gt;0,1/$N89,0),
IF(EG$44=1,0,VDB(1,0,$N89,INT(EG$44-1-1),MIN($N89,INT(EG$44-1-1)+1),$DC89,IF($DD89="No",1,0))/
IF(DN89&gt;=INT($N89),$N89-INT($N89),1)))*
IF(EG$44=1,0,
IF(INT(DO89)=INT(DN89),DO89-DN89,INT(DO89)-DN89))+
IF($N89&lt;=1,
IF($N89&gt;0,1/$N89,0),VDB(1,0,$N89,INT(EG$44-1),MIN($N89,INT(EG$44-1)+1),$DC89,IF($DD89="No",1,0))/
IF(DO89&gt;INT($N89),$N89-INT($N89),1))*
IF(EG$44=1,DO89,
IF(INT(DO89)=INT(DN89),0,DO89-INT(DO89)))))</f>
        <v>0</v>
      </c>
      <c r="EH89" s="836">
        <f>+IF(DP89=DO89,0,
IF(AND(EH$44&gt;1,DP89=$N89),1-SUM($EE89:EG89),
IF($N89&lt;=1,
IF($N89&gt;0,1/$N89,0),
IF(EH$44=1,0,VDB(1,0,$N89,INT(EH$44-1-1),MIN($N89,INT(EH$44-1-1)+1),$DC89,IF($DD89="No",1,0))/
IF(DO89&gt;=INT($N89),$N89-INT($N89),1)))*
IF(EH$44=1,0,
IF(INT(DP89)=INT(DO89),DP89-DO89,INT(DP89)-DO89))+
IF($N89&lt;=1,
IF($N89&gt;0,1/$N89,0),VDB(1,0,$N89,INT(EH$44-1),MIN($N89,INT(EH$44-1)+1),$DC89,IF($DD89="No",1,0))/
IF(DP89&gt;INT($N89),$N89-INT($N89),1))*
IF(EH$44=1,DP89,
IF(INT(DP89)=INT(DO89),0,DP89-INT(DP89)))))</f>
        <v>0</v>
      </c>
      <c r="EI89" s="834">
        <f>+IF(DQ89=DP89,0,
IF(AND(EI$44&gt;1,DQ89=$N89),1-SUM($EE89:EH89),
IF($N89&lt;=1,
IF($N89&gt;0,1/$N89,0),
IF(EI$44=1,0,VDB(1,0,$N89,INT(EI$44-1-1),MIN($N89,INT(EI$44-1-1)+1),$DC89,IF($DD89="No",1,0))/
IF(DP89&gt;=INT($N89),$N89-INT($N89),1)))*
IF(EI$44=1,0,
IF(INT(DQ89)=INT(DP89),DQ89-DP89,INT(DQ89)-DP89))+
IF($N89&lt;=1,
IF($N89&gt;0,1/$N89,0),VDB(1,0,$N89,INT(EI$44-1),MIN($N89,INT(EI$44-1)+1),$DC89,IF($DD89="No",1,0))/
IF(DQ89&gt;INT($N89),$N89-INT($N89),1))*
IF(EI$44=1,DQ89,
IF(INT(DQ89)=INT(DP89),0,DQ89-INT(DQ89)))))</f>
        <v>0</v>
      </c>
      <c r="EJ89" s="835">
        <f>+IF(DR89=DQ89,0,
IF(AND(EJ$44&gt;1,DR89=$N89),1-SUM($EE89:EI89),
IF($N89&lt;=1,
IF($N89&gt;0,1/$N89,0),
IF(EJ$44=1,0,VDB(1,0,$N89,INT(EJ$44-1-1),MIN($N89,INT(EJ$44-1-1)+1),$DC89,IF($DD89="No",1,0))/
IF(DQ89&gt;=INT($N89),$N89-INT($N89),1)))*
IF(EJ$44=1,0,
IF(INT(DR89)=INT(DQ89),DR89-DQ89,INT(DR89)-DQ89))+
IF($N89&lt;=1,
IF($N89&gt;0,1/$N89,0),VDB(1,0,$N89,INT(EJ$44-1),MIN($N89,INT(EJ$44-1)+1),$DC89,IF($DD89="No",1,0))/
IF(DR89&gt;INT($N89),$N89-INT($N89),1))*
IF(EJ$44=1,DR89,
IF(INT(DR89)=INT(DQ89),0,DR89-INT(DR89)))))</f>
        <v>0</v>
      </c>
      <c r="EK89" s="835">
        <f>+IF(DS89=DR89,0,
IF(AND(EK$44&gt;1,DS89=$N89),1-SUM($EE89:EJ89),
IF($N89&lt;=1,
IF($N89&gt;0,1/$N89,0),
IF(EK$44=1,0,VDB(1,0,$N89,INT(EK$44-1-1),MIN($N89,INT(EK$44-1-1)+1),$DC89,IF($DD89="No",1,0))/
IF(DR89&gt;=INT($N89),$N89-INT($N89),1)))*
IF(EK$44=1,0,
IF(INT(DS89)=INT(DR89),DS89-DR89,INT(DS89)-DR89))+
IF($N89&lt;=1,
IF($N89&gt;0,1/$N89,0),VDB(1,0,$N89,INT(EK$44-1),MIN($N89,INT(EK$44-1)+1),$DC89,IF($DD89="No",1,0))/
IF(DS89&gt;INT($N89),$N89-INT($N89),1))*
IF(EK$44=1,DS89,
IF(INT(DS89)=INT(DR89),0,DS89-INT(DS89)))))</f>
        <v>0</v>
      </c>
      <c r="EL89" s="835">
        <f>+IF(DT89=DS89,0,
IF(AND(EL$44&gt;1,DT89=$N89),1-SUM($EE89:EK89),
IF($N89&lt;=1,
IF($N89&gt;0,1/$N89,0),
IF(EL$44=1,0,VDB(1,0,$N89,INT(EL$44-1-1),MIN($N89,INT(EL$44-1-1)+1),$DC89,IF($DD89="No",1,0))/
IF(DS89&gt;=INT($N89),$N89-INT($N89),1)))*
IF(EL$44=1,0,
IF(INT(DT89)=INT(DS89),DT89-DS89,INT(DT89)-DS89))+
IF($N89&lt;=1,
IF($N89&gt;0,1/$N89,0),VDB(1,0,$N89,INT(EL$44-1),MIN($N89,INT(EL$44-1)+1),$DC89,IF($DD89="No",1,0))/
IF(DT89&gt;INT($N89),$N89-INT($N89),1))*
IF(EL$44=1,DT89,
IF(INT(DT89)=INT(DS89),0,DT89-INT(DT89)))))</f>
        <v>0</v>
      </c>
      <c r="EM89" s="836">
        <f>+IF(DU89=DT89,0,
IF(AND(EM$44&gt;1,DU89=$N89),1-SUM($EE89:EL89),
IF($N89&lt;=1,
IF($N89&gt;0,1/$N89,0),
IF(EM$44=1,0,VDB(1,0,$N89,INT(EM$44-1-1),MIN($N89,INT(EM$44-1-1)+1),$DC89,IF($DD89="No",1,0))/
IF(DT89&gt;=INT($N89),$N89-INT($N89),1)))*
IF(EM$44=1,0,
IF(INT(DU89)=INT(DT89),DU89-DT89,INT(DU89)-DT89))+
IF($N89&lt;=1,
IF($N89&gt;0,1/$N89,0),VDB(1,0,$N89,INT(EM$44-1),MIN($N89,INT(EM$44-1)+1),$DC89,IF($DD89="No",1,0))/
IF(DU89&gt;INT($N89),$N89-INT($N89),1))*
IF(EM$44=1,DU89,
IF(INT(DU89)=INT(DT89),0,DU89-INT(DU89)))))</f>
        <v>0</v>
      </c>
      <c r="EN89" s="833"/>
      <c r="EO89" s="834">
        <f>+IF(OR(DW89=DV89,EO$44=1),0,
IF(AND(EO$44&gt;1,DW89=$N89),1-SUM($EN89:EN89),
IF($N89&lt;=1,
IF($N89&gt;0,1/$N89,0),
IF(EO$44=2,0,VDB(1,0,$N89,INT(EO$44-2-1),MIN($N89,INT(EO$44-2-1)+1),$DC89,IF($DD89="No",1,0))/
IF(DV89&gt;=INT($N89),$N89-INT($N89),1)))*
IF(EO$44=2,0,
IF(INT(DW89)=INT(DV89),DW89-DV89,INT(DW89)-DV89))+
IF($N89&lt;=1,
IF($N89&gt;0,1/$N89,0),VDB(1,0,$N89,INT(EO$44-2),MIN($N89,INT(EO$44-2)+1),$DC89,IF($DD89="No",1,0))/
IF(DW89&gt;INT($N89),$N89-INT($N89),1))*
IF(EO$44=2,DW89,
IF(INT(DW89)=INT(DV89),0,DW89-INT(DW89)))))</f>
        <v>0</v>
      </c>
      <c r="EP89" s="835">
        <f>+IF(OR(DX89=DW89,EP$44=1),0,
IF(AND(EP$44&gt;1,DX89=$N89),1-SUM($EN89:EO89),
IF($N89&lt;=1,
IF($N89&gt;0,1/$N89,0),
IF(EP$44=2,0,VDB(1,0,$N89,INT(EP$44-2-1),MIN($N89,INT(EP$44-2-1)+1),$DC89,IF($DD89="No",1,0))/
IF(DW89&gt;=INT($N89),$N89-INT($N89),1)))*
IF(EP$44=2,0,
IF(INT(DX89)=INT(DW89),DX89-DW89,INT(DX89)-DW89))+
IF($N89&lt;=1,
IF($N89&gt;0,1/$N89,0),VDB(1,0,$N89,INT(EP$44-2),MIN($N89,INT(EP$44-2)+1),$DC89,IF($DD89="No",1,0))/
IF(DX89&gt;INT($N89),$N89-INT($N89),1))*
IF(EP$44=2,DX89,
IF(INT(DX89)=INT(DW89),0,DX89-INT(DX89)))))</f>
        <v>0</v>
      </c>
      <c r="EQ89" s="836">
        <f>+IF(OR(DY89=DX89,EQ$44=1),0,
IF(AND(EQ$44&gt;1,DY89=$N89),1-SUM($EN89:EP89),
IF($N89&lt;=1,
IF($N89&gt;0,1/$N89,0),
IF(EQ$44=2,0,VDB(1,0,$N89,INT(EQ$44-2-1),MIN($N89,INT(EQ$44-2-1)+1),$DC89,IF($DD89="No",1,0))/
IF(DX89&gt;=INT($N89),$N89-INT($N89),1)))*
IF(EQ$44=2,0,
IF(INT(DY89)=INT(DX89),DY89-DX89,INT(DY89)-DX89))+
IF($N89&lt;=1,
IF($N89&gt;0,1/$N89,0),VDB(1,0,$N89,INT(EQ$44-2),MIN($N89,INT(EQ$44-2)+1),$DC89,IF($DD89="No",1,0))/
IF(DY89&gt;INT($N89),$N89-INT($N89),1))*
IF(EQ$44=2,DY89,
IF(INT(DY89)=INT(DX89),0,DY89-INT(DY89)))))</f>
        <v>0</v>
      </c>
      <c r="ER89" s="834">
        <f>+IF(OR(DZ89=DY89,ER$44=1),0,
IF(AND(ER$44&gt;1,DZ89=$N89),1-SUM($EN89:EQ89),
IF($N89&lt;=1,
IF($N89&gt;0,1/$N89,0),
IF(ER$44=2,0,VDB(1,0,$N89,INT(ER$44-2-1),MIN($N89,INT(ER$44-2-1)+1),$DC89,IF($DD89="No",1,0))/
IF(DY89&gt;=INT($N89),$N89-INT($N89),1)))*
IF(ER$44=2,0,
IF(INT(DZ89)=INT(DY89),DZ89-DY89,INT(DZ89)-DY89))+
IF($N89&lt;=1,
IF($N89&gt;0,1/$N89,0),VDB(1,0,$N89,INT(ER$44-2),MIN($N89,INT(ER$44-2)+1),$DC89,IF($DD89="No",1,0))/
IF(DZ89&gt;INT($N89),$N89-INT($N89),1))*
IF(ER$44=2,DZ89,
IF(INT(DZ89)=INT(DY89),0,DZ89-INT(DZ89)))))</f>
        <v>0</v>
      </c>
      <c r="ES89" s="835">
        <f>+IF(OR(EA89=DZ89,ES$44=1),0,
IF(AND(ES$44&gt;1,EA89=$N89),1-SUM($EN89:ER89),
IF($N89&lt;=1,
IF($N89&gt;0,1/$N89,0),
IF(ES$44=2,0,VDB(1,0,$N89,INT(ES$44-2-1),MIN($N89,INT(ES$44-2-1)+1),$DC89,IF($DD89="No",1,0))/
IF(DZ89&gt;=INT($N89),$N89-INT($N89),1)))*
IF(ES$44=2,0,
IF(INT(EA89)=INT(DZ89),EA89-DZ89,INT(EA89)-DZ89))+
IF($N89&lt;=1,
IF($N89&gt;0,1/$N89,0),VDB(1,0,$N89,INT(ES$44-2),MIN($N89,INT(ES$44-2)+1),$DC89,IF($DD89="No",1,0))/
IF(EA89&gt;INT($N89),$N89-INT($N89),1))*
IF(ES$44=2,EA89,
IF(INT(EA89)=INT(DZ89),0,EA89-INT(EA89)))))</f>
        <v>0</v>
      </c>
      <c r="ET89" s="835">
        <f>+IF(OR(EB89=EA89,ET$44=1),0,
IF(AND(ET$44&gt;1,EB89=$N89),1-SUM($EN89:ES89),
IF($N89&lt;=1,
IF($N89&gt;0,1/$N89,0),
IF(ET$44=2,0,VDB(1,0,$N89,INT(ET$44-2-1),MIN($N89,INT(ET$44-2-1)+1),$DC89,IF($DD89="No",1,0))/
IF(EA89&gt;=INT($N89),$N89-INT($N89),1)))*
IF(ET$44=2,0,
IF(INT(EB89)=INT(EA89),EB89-EA89,INT(EB89)-EA89))+
IF($N89&lt;=1,
IF($N89&gt;0,1/$N89,0),VDB(1,0,$N89,INT(ET$44-2),MIN($N89,INT(ET$44-2)+1),$DC89,IF($DD89="No",1,0))/
IF(EB89&gt;INT($N89),$N89-INT($N89),1))*
IF(ET$44=2,EB89,
IF(INT(EB89)=INT(EA89),0,EB89-INT(EB89)))))</f>
        <v>0</v>
      </c>
      <c r="EU89" s="835">
        <f>+IF(OR(EC89=EB89,EU$44=1),0,
IF(AND(EU$44&gt;1,EC89=$N89),1-SUM($EN89:ET89),
IF($N89&lt;=1,
IF($N89&gt;0,1/$N89,0),
IF(EU$44=2,0,VDB(1,0,$N89,INT(EU$44-2-1),MIN($N89,INT(EU$44-2-1)+1),$DC89,IF($DD89="No",1,0))/
IF(EB89&gt;=INT($N89),$N89-INT($N89),1)))*
IF(EU$44=2,0,
IF(INT(EC89)=INT(EB89),EC89-EB89,INT(EC89)-EB89))+
IF($N89&lt;=1,
IF($N89&gt;0,1/$N89,0),VDB(1,0,$N89,INT(EU$44-2),MIN($N89,INT(EU$44-2)+1),$DC89,IF($DD89="No",1,0))/
IF(EC89&gt;INT($N89),$N89-INT($N89),1))*
IF(EU$44=2,EC89,
IF(INT(EC89)=INT(EB89),0,EC89-INT(EC89)))))</f>
        <v>0</v>
      </c>
      <c r="EV89" s="836">
        <f>+IF(OR(ED89=EC89,EV$44=1),0,
IF(AND(EV$44&gt;1,ED89=$N89),1-SUM($EN89:EU89),
IF($N89&lt;=1,
IF($N89&gt;0,1/$N89,0),
IF(EV$44=2,0,VDB(1,0,$N89,INT(EV$44-2-1),MIN($N89,INT(EV$44-2-1)+1),$DC89,IF($DD89="No",1,0))/
IF(EC89&gt;=INT($N89),$N89-INT($N89),1)))*
IF(EV$44=2,0,
IF(INT(ED89)=INT(EC89),ED89-EC89,INT(ED89)-EC89))+
IF($N89&lt;=1,
IF($N89&gt;0,1/$N89,0),VDB(1,0,$N89,INT(EV$44-2),MIN($N89,INT(EV$44-2)+1),$DC89,IF($DD89="No",1,0))/
IF(ED89&gt;INT($N89),$N89-INT($N89),1))*
IF(EV$44=2,ED89,
IF(INT(ED89)=INT(EC89),0,ED89-INT(ED89)))))</f>
        <v>0</v>
      </c>
      <c r="EW89" s="833"/>
      <c r="EX89" s="834">
        <f t="shared" ca="1" si="246"/>
        <v>0</v>
      </c>
      <c r="EY89" s="835">
        <f t="shared" ca="1" si="246"/>
        <v>0</v>
      </c>
      <c r="EZ89" s="836">
        <f t="shared" ca="1" si="246"/>
        <v>0</v>
      </c>
      <c r="FA89" s="834">
        <f t="shared" ca="1" si="246"/>
        <v>0</v>
      </c>
      <c r="FB89" s="835">
        <f t="shared" ca="1" si="246"/>
        <v>0</v>
      </c>
      <c r="FC89" s="835">
        <f t="shared" ca="1" si="246"/>
        <v>0</v>
      </c>
      <c r="FD89" s="835">
        <f t="shared" ca="1" si="246"/>
        <v>0</v>
      </c>
      <c r="FE89" s="836">
        <f t="shared" ca="1" si="246"/>
        <v>0</v>
      </c>
      <c r="FG89" s="386">
        <f t="shared" ca="1" si="237"/>
        <v>0</v>
      </c>
      <c r="FH89" s="387">
        <f t="shared" ca="1" si="238"/>
        <v>0</v>
      </c>
      <c r="FI89" s="388">
        <f t="shared" ca="1" si="239"/>
        <v>0</v>
      </c>
      <c r="FJ89" s="386">
        <f t="shared" ca="1" si="240"/>
        <v>0</v>
      </c>
      <c r="FK89" s="387">
        <f t="shared" ca="1" si="241"/>
        <v>0</v>
      </c>
      <c r="FL89" s="387">
        <f t="shared" ca="1" si="242"/>
        <v>0</v>
      </c>
      <c r="FM89" s="387">
        <f t="shared" ca="1" si="243"/>
        <v>0</v>
      </c>
      <c r="FN89" s="388">
        <f t="shared" ca="1" si="244"/>
        <v>0</v>
      </c>
      <c r="FR89" s="116"/>
    </row>
    <row r="90" spans="2:174">
      <c r="B90" s="1410">
        <f t="shared" si="135"/>
        <v>44</v>
      </c>
      <c r="C90" s="400" t="s">
        <v>575</v>
      </c>
      <c r="D90" s="410"/>
      <c r="E90" s="402" t="s">
        <v>402</v>
      </c>
      <c r="F90" s="402" t="s">
        <v>520</v>
      </c>
      <c r="G90" s="400" t="s">
        <v>525</v>
      </c>
      <c r="H90" s="2088" t="s">
        <v>483</v>
      </c>
      <c r="I90" s="2089"/>
      <c r="J90" s="411" t="s">
        <v>516</v>
      </c>
      <c r="K90" s="403" t="s">
        <v>544</v>
      </c>
      <c r="L90" s="403">
        <v>40</v>
      </c>
      <c r="M90" s="403" t="s">
        <v>142</v>
      </c>
      <c r="N90" s="403"/>
      <c r="O90" s="347"/>
      <c r="P90" s="347"/>
      <c r="Q90" s="1021">
        <v>0</v>
      </c>
      <c r="R90" s="1022">
        <v>0</v>
      </c>
      <c r="S90" s="1022">
        <v>1.3538979411209942</v>
      </c>
      <c r="T90" s="1022">
        <v>1.7394252380155297</v>
      </c>
      <c r="U90" s="1023">
        <v>3.9605510627782472</v>
      </c>
      <c r="V90" s="1021">
        <v>0</v>
      </c>
      <c r="W90" s="1022">
        <v>0</v>
      </c>
      <c r="X90" s="1022">
        <v>0</v>
      </c>
      <c r="Y90" s="1022">
        <v>0</v>
      </c>
      <c r="Z90" s="1023">
        <v>0</v>
      </c>
      <c r="AA90" s="1024"/>
      <c r="AB90" s="1021">
        <v>0</v>
      </c>
      <c r="AC90" s="1022">
        <v>0</v>
      </c>
      <c r="AD90" s="1022">
        <v>0</v>
      </c>
      <c r="AE90" s="1022">
        <v>0</v>
      </c>
      <c r="AF90" s="1023">
        <v>0</v>
      </c>
      <c r="AG90" s="1021">
        <v>0</v>
      </c>
      <c r="AH90" s="1022">
        <v>0</v>
      </c>
      <c r="AI90" s="1022">
        <v>0</v>
      </c>
      <c r="AJ90" s="1022">
        <v>0</v>
      </c>
      <c r="AK90" s="1023">
        <v>0</v>
      </c>
      <c r="AL90" s="1024"/>
      <c r="AM90" s="1021">
        <v>0</v>
      </c>
      <c r="AN90" s="1022">
        <v>0</v>
      </c>
      <c r="AO90" s="1022">
        <v>0</v>
      </c>
      <c r="AP90" s="1022">
        <v>0</v>
      </c>
      <c r="AQ90" s="1023">
        <v>0</v>
      </c>
      <c r="AR90" s="1021">
        <v>0</v>
      </c>
      <c r="AS90" s="1022">
        <v>0</v>
      </c>
      <c r="AT90" s="1022">
        <v>0</v>
      </c>
      <c r="AU90" s="1022">
        <v>0</v>
      </c>
      <c r="AV90" s="1023">
        <v>0</v>
      </c>
      <c r="AW90" s="1025"/>
      <c r="AX90" s="1282">
        <f t="shared" si="191"/>
        <v>0</v>
      </c>
      <c r="AY90" s="387">
        <f t="shared" si="192"/>
        <v>0</v>
      </c>
      <c r="AZ90" s="387">
        <f t="shared" si="193"/>
        <v>1.3538979411209942</v>
      </c>
      <c r="BA90" s="387">
        <f t="shared" si="194"/>
        <v>1.7394252380155297</v>
      </c>
      <c r="BB90" s="1283">
        <f t="shared" si="195"/>
        <v>3.9605510627782472</v>
      </c>
      <c r="BC90" s="386">
        <f t="shared" si="196"/>
        <v>0</v>
      </c>
      <c r="BD90" s="387">
        <f t="shared" si="197"/>
        <v>0</v>
      </c>
      <c r="BE90" s="1277">
        <f t="shared" si="198"/>
        <v>0</v>
      </c>
      <c r="BF90" s="1277">
        <f t="shared" si="199"/>
        <v>0</v>
      </c>
      <c r="BG90" s="388">
        <f t="shared" si="200"/>
        <v>0</v>
      </c>
      <c r="BH90" s="1025"/>
      <c r="BI90" s="1282">
        <f t="shared" ca="1" si="201"/>
        <v>0</v>
      </c>
      <c r="BJ90" s="387">
        <f t="shared" ca="1" si="202"/>
        <v>0</v>
      </c>
      <c r="BK90" s="387">
        <f t="shared" ca="1" si="203"/>
        <v>1.6923724264012428E-2</v>
      </c>
      <c r="BL90" s="387">
        <f t="shared" ca="1" si="204"/>
        <v>5.5590264003218981E-2</v>
      </c>
      <c r="BM90" s="1283">
        <f t="shared" ca="1" si="205"/>
        <v>0.12683996776314119</v>
      </c>
      <c r="BN90" s="386">
        <f t="shared" ca="1" si="206"/>
        <v>0.17634685604786929</v>
      </c>
      <c r="BO90" s="387">
        <f t="shared" ca="1" si="207"/>
        <v>0.17634685604786929</v>
      </c>
      <c r="BP90" s="1277">
        <f t="shared" ca="1" si="208"/>
        <v>0.17634685604786929</v>
      </c>
      <c r="BQ90" s="1277">
        <f t="shared" ca="1" si="209"/>
        <v>0.17634685604786929</v>
      </c>
      <c r="BR90" s="388">
        <f t="shared" ca="1" si="210"/>
        <v>0.17634685604786929</v>
      </c>
      <c r="BS90" s="1025"/>
      <c r="BT90" s="1282">
        <f>+IF($K90="Ongoing",AX90,IF(RIGHT($K90,2)=RIGHT(BT$43,2),SUM($AX90:AX90),0)+IF(RIGHT(BT$43,2)&gt;RIGHT($K90,2),AX90,0))</f>
        <v>0</v>
      </c>
      <c r="BU90" s="387">
        <f>+IF($K90="Ongoing",AY90,IF(RIGHT($K90,2)=RIGHT(BU$43,2),SUM($AX90:AY90),0)+IF(RIGHT(BU$43,2)&gt;RIGHT($K90,2),AY90,0))</f>
        <v>0</v>
      </c>
      <c r="BV90" s="387">
        <f>+IF($K90="Ongoing",AZ90,IF(RIGHT($K90,2)=RIGHT(BV$43,2),SUM($AX90:AZ90),0)+IF(RIGHT(BV$43,2)&gt;RIGHT($K90,2),AZ90,0))</f>
        <v>1.3538979411209942</v>
      </c>
      <c r="BW90" s="387">
        <f>+IF($K90="Ongoing",BA90,IF(RIGHT($K90,2)=RIGHT(BW$43,2),SUM($AX90:BA90),0)+IF(RIGHT(BW$43,2)&gt;RIGHT($K90,2),BA90,0))</f>
        <v>1.7394252380155297</v>
      </c>
      <c r="BX90" s="1283">
        <f>+IF($K90="Ongoing",BB90,IF(RIGHT($K90,2)=RIGHT(BX$43,2),SUM($AX90:BB90),0)+IF(RIGHT(BX$43,2)&gt;RIGHT($K90,2),BB90,0))</f>
        <v>3.9605510627782472</v>
      </c>
      <c r="BY90" s="386">
        <f>+IF($K90="Ongoing",BC90,IF(RIGHT($K90,2)=RIGHT(BY$43,2),SUM($AX90:BC90),0)+IF(RIGHT(BY$43,2)&gt;RIGHT($K90,2),BC90,0))</f>
        <v>0</v>
      </c>
      <c r="BZ90" s="387">
        <f>+IF($K90="Ongoing",BD90,IF(RIGHT($K90,2)=RIGHT(BZ$43,2),SUM($AX90:BD90),0)+IF(RIGHT(BZ$43,2)&gt;RIGHT($K90,2),BD90,0))</f>
        <v>0</v>
      </c>
      <c r="CA90" s="1277">
        <f>+IF($K90="Ongoing",BE90,IF(RIGHT($K90,2)=RIGHT(CA$43,2),SUM($AX90:BE90),0)+IF(RIGHT(CA$43,2)&gt;RIGHT($K90,2),BE90,0))</f>
        <v>0</v>
      </c>
      <c r="CB90" s="1277">
        <f>+IF($K90="Ongoing",BF90,IF(RIGHT($K90,2)=RIGHT(CB$43,2),SUM($AX90:BF90),0)+IF(RIGHT(CB$43,2)&gt;RIGHT($K90,2),BF90,0))</f>
        <v>0</v>
      </c>
      <c r="CC90" s="388">
        <f>+IF($K90="Ongoing",BG90,IF(RIGHT($K90,2)=RIGHT(CC$43,2),SUM($AX90:BG90),0)+IF(RIGHT(CC$43,2)&gt;RIGHT($K90,2),BG90,0))</f>
        <v>0</v>
      </c>
      <c r="CD90" s="1025"/>
      <c r="CE90" s="1282">
        <f>+Q90*KeyAssumptionsPriceControl_FO!AF$15</f>
        <v>0</v>
      </c>
      <c r="CF90" s="387">
        <f>+R90*KeyAssumptionsPriceControl_FO!AG$15</f>
        <v>0</v>
      </c>
      <c r="CG90" s="387">
        <f>+S90*KeyAssumptionsPriceControl_FO!AH$15</f>
        <v>1.4751359667208546</v>
      </c>
      <c r="CH90" s="387">
        <f>+T90*KeyAssumptionsPriceControl_FO!AI$15</f>
        <v>1.9501466270072989</v>
      </c>
      <c r="CI90" s="1283">
        <f>+U90*KeyAssumptionsPriceControl_FO!AJ$15</f>
        <v>4.5691192274657917</v>
      </c>
      <c r="CJ90" s="386">
        <f>+V90*KeyAssumptionsPriceControl_FO!AK$15</f>
        <v>0</v>
      </c>
      <c r="CK90" s="387">
        <f>+W90*KeyAssumptionsPriceControl_FO!AL$15</f>
        <v>0</v>
      </c>
      <c r="CL90" s="1277">
        <f>+X90*KeyAssumptionsPriceControl_FO!AM$15</f>
        <v>0</v>
      </c>
      <c r="CM90" s="1277">
        <f>+Y90*KeyAssumptionsPriceControl_FO!AN$15</f>
        <v>0</v>
      </c>
      <c r="CN90" s="388">
        <f>+Z90*KeyAssumptionsPriceControl_FO!AO$15</f>
        <v>0</v>
      </c>
      <c r="CO90" s="1025"/>
      <c r="CP90" s="1282">
        <f t="shared" ca="1" si="211"/>
        <v>0</v>
      </c>
      <c r="CQ90" s="387">
        <f t="shared" ca="1" si="212"/>
        <v>0</v>
      </c>
      <c r="CR90" s="387">
        <f t="shared" ca="1" si="213"/>
        <v>0</v>
      </c>
      <c r="CS90" s="387">
        <f t="shared" ca="1" si="214"/>
        <v>0</v>
      </c>
      <c r="CT90" s="1283">
        <f t="shared" ca="1" si="215"/>
        <v>0</v>
      </c>
      <c r="CU90" s="386">
        <f t="shared" ca="1" si="216"/>
        <v>0</v>
      </c>
      <c r="CV90" s="387">
        <f t="shared" ca="1" si="217"/>
        <v>0</v>
      </c>
      <c r="CW90" s="1277">
        <f t="shared" ca="1" si="218"/>
        <v>0</v>
      </c>
      <c r="CX90" s="1277">
        <f t="shared" ca="1" si="219"/>
        <v>0</v>
      </c>
      <c r="CY90" s="388">
        <f t="shared" ca="1" si="220"/>
        <v>0</v>
      </c>
      <c r="CZ90" s="347"/>
      <c r="DA90" s="852"/>
      <c r="DB90" s="347"/>
      <c r="DC90" s="1012" t="s">
        <v>576</v>
      </c>
      <c r="DD90" s="841" t="s">
        <v>518</v>
      </c>
      <c r="DE90" s="386">
        <f>+IF($K90="ongoing",CE90,IF(RIGHT($K90,2)=RIGHT(DE$43,2),SUM($CD90:CE90),0)+IF(RIGHT(DE$43,2)&gt;RIGHT($K90,2),CE90,0))</f>
        <v>0</v>
      </c>
      <c r="DF90" s="387">
        <f>+IF($K90="ongoing",CF90,IF(RIGHT($K90,2)=RIGHT(DF$43,2),SUM($CD90:CF90),0)+IF(RIGHT(DF$43,2)&gt;RIGHT($K90,2),CF90,0))</f>
        <v>0</v>
      </c>
      <c r="DG90" s="388">
        <f>+IF($K90="ongoing",CG90,IF(RIGHT($K90,2)=RIGHT(DG$43,2),SUM($CD90:CG90),0)+IF(RIGHT(DG$43,2)&gt;RIGHT($K90,2),CG90,0))</f>
        <v>1.4751359667208546</v>
      </c>
      <c r="DH90" s="386">
        <f>+IF($K90="ongoing",CH90,IF(RIGHT($K90,2)=RIGHT(DH$43,2),SUM($CD90:CH90),0)+IF(RIGHT(DH$43,2)&gt;RIGHT($K90,2),CH90,0))</f>
        <v>1.9501466270072989</v>
      </c>
      <c r="DI90" s="387">
        <f>+IF($K90="ongoing",CI90,IF(RIGHT($K90,2)=RIGHT(DI$43,2),SUM($CD90:CI90),0)+IF(RIGHT(DI$43,2)&gt;RIGHT($K90,2),CI90,0))</f>
        <v>4.5691192274657917</v>
      </c>
      <c r="DJ90" s="387">
        <f>+IF($K90="ongoing",CJ90,IF(RIGHT($K90,2)=RIGHT(DJ$43,2),SUM($CD90:CJ90),0)+IF(RIGHT(DJ$43,2)&gt;RIGHT($K90,2),CJ90,0))</f>
        <v>0</v>
      </c>
      <c r="DK90" s="387">
        <f>+IF($K90="ongoing",CK90,IF(RIGHT($K90,2)=RIGHT(DK$43,2),SUM($CD90:CK90),0)+IF(RIGHT(DK$43,2)&gt;RIGHT($K90,2),CK90,0))</f>
        <v>0</v>
      </c>
      <c r="DL90" s="388">
        <f>+IF($K90="ongoing",CN90,IF(RIGHT($K90,2)=RIGHT(DL$43,2),SUM($CD90:CN90),0)+IF(RIGHT(DL$43,2)&gt;RIGHT($K90,2),CN90,0))</f>
        <v>0</v>
      </c>
      <c r="DM90" s="841"/>
      <c r="DN90" s="386">
        <f t="shared" si="221"/>
        <v>0.5</v>
      </c>
      <c r="DO90" s="387">
        <f t="shared" si="222"/>
        <v>1</v>
      </c>
      <c r="DP90" s="388">
        <f t="shared" si="223"/>
        <v>1</v>
      </c>
      <c r="DQ90" s="386">
        <f t="shared" si="224"/>
        <v>1</v>
      </c>
      <c r="DR90" s="387">
        <f t="shared" si="225"/>
        <v>1</v>
      </c>
      <c r="DS90" s="387">
        <f t="shared" si="226"/>
        <v>1</v>
      </c>
      <c r="DT90" s="387">
        <f t="shared" si="227"/>
        <v>1</v>
      </c>
      <c r="DU90" s="388">
        <f t="shared" si="228"/>
        <v>1</v>
      </c>
      <c r="DW90" s="386">
        <f t="shared" si="229"/>
        <v>0</v>
      </c>
      <c r="DX90" s="387">
        <f t="shared" si="230"/>
        <v>0.5</v>
      </c>
      <c r="DY90" s="388">
        <f t="shared" si="231"/>
        <v>1</v>
      </c>
      <c r="DZ90" s="386">
        <f t="shared" si="232"/>
        <v>1</v>
      </c>
      <c r="EA90" s="387">
        <f t="shared" si="233"/>
        <v>1</v>
      </c>
      <c r="EB90" s="387">
        <f t="shared" si="234"/>
        <v>1</v>
      </c>
      <c r="EC90" s="387">
        <f t="shared" si="235"/>
        <v>1</v>
      </c>
      <c r="ED90" s="388">
        <f t="shared" si="236"/>
        <v>1</v>
      </c>
      <c r="EF90" s="834">
        <f>+IF(DN90=DM90,0,
IF(AND(EF$44&gt;1,DN90=$N90),1-SUM($EE90:EE90),
IF($N90&lt;=1,
IF($N90&gt;0,1/$N90,0),
IF(EF$44=1,0,VDB(1,0,$N90,INT(EF$44-1-1),MIN($N90,INT(EF$44-1-1)+1),$DC90,IF($DD90="No",1,0))/
IF(DM90&gt;=INT($N90),$N90-INT($N90),1)))*
IF(EF$44=1,0,
IF(INT(DN90)=INT(DM90),DN90-DM90,INT(DN90)-DM90))+
IF($N90&lt;=1,
IF($N90&gt;0,1/$N90,0),VDB(1,0,$N90,INT(EF$44-1),MIN($N90,INT(EF$44-1)+1),$DC90,IF($DD90="No",1,0))/
IF(DN90&gt;INT($N90),$N90-INT($N90),1))*
IF(EF$44=1,DN90,
IF(INT(DN90)=INT(DM90),0,DN90-INT(DN90)))))</f>
        <v>0</v>
      </c>
      <c r="EG90" s="835">
        <f>+IF(DO90=DN90,0,
IF(AND(EG$44&gt;1,DO90=$N90),1-SUM($EE90:EF90),
IF($N90&lt;=1,
IF($N90&gt;0,1/$N90,0),
IF(EG$44=1,0,VDB(1,0,$N90,INT(EG$44-1-1),MIN($N90,INT(EG$44-1-1)+1),$DC90,IF($DD90="No",1,0))/
IF(DN90&gt;=INT($N90),$N90-INT($N90),1)))*
IF(EG$44=1,0,
IF(INT(DO90)=INT(DN90),DO90-DN90,INT(DO90)-DN90))+
IF($N90&lt;=1,
IF($N90&gt;0,1/$N90,0),VDB(1,0,$N90,INT(EG$44-1),MIN($N90,INT(EG$44-1)+1),$DC90,IF($DD90="No",1,0))/
IF(DO90&gt;INT($N90),$N90-INT($N90),1))*
IF(EG$44=1,DO90,
IF(INT(DO90)=INT(DN90),0,DO90-INT(DO90)))))</f>
        <v>0</v>
      </c>
      <c r="EH90" s="836">
        <f>+IF(DP90=DO90,0,
IF(AND(EH$44&gt;1,DP90=$N90),1-SUM($EE90:EG90),
IF($N90&lt;=1,
IF($N90&gt;0,1/$N90,0),
IF(EH$44=1,0,VDB(1,0,$N90,INT(EH$44-1-1),MIN($N90,INT(EH$44-1-1)+1),$DC90,IF($DD90="No",1,0))/
IF(DO90&gt;=INT($N90),$N90-INT($N90),1)))*
IF(EH$44=1,0,
IF(INT(DP90)=INT(DO90),DP90-DO90,INT(DP90)-DO90))+
IF($N90&lt;=1,
IF($N90&gt;0,1/$N90,0),VDB(1,0,$N90,INT(EH$44-1),MIN($N90,INT(EH$44-1)+1),$DC90,IF($DD90="No",1,0))/
IF(DP90&gt;INT($N90),$N90-INT($N90),1))*
IF(EH$44=1,DP90,
IF(INT(DP90)=INT(DO90),0,DP90-INT(DP90)))))</f>
        <v>0</v>
      </c>
      <c r="EI90" s="834">
        <f>+IF(DQ90=DP90,0,
IF(AND(EI$44&gt;1,DQ90=$N90),1-SUM($EE90:EH90),
IF($N90&lt;=1,
IF($N90&gt;0,1/$N90,0),
IF(EI$44=1,0,VDB(1,0,$N90,INT(EI$44-1-1),MIN($N90,INT(EI$44-1-1)+1),$DC90,IF($DD90="No",1,0))/
IF(DP90&gt;=INT($N90),$N90-INT($N90),1)))*
IF(EI$44=1,0,
IF(INT(DQ90)=INT(DP90),DQ90-DP90,INT(DQ90)-DP90))+
IF($N90&lt;=1,
IF($N90&gt;0,1/$N90,0),VDB(1,0,$N90,INT(EI$44-1),MIN($N90,INT(EI$44-1)+1),$DC90,IF($DD90="No",1,0))/
IF(DQ90&gt;INT($N90),$N90-INT($N90),1))*
IF(EI$44=1,DQ90,
IF(INT(DQ90)=INT(DP90),0,DQ90-INT(DQ90)))))</f>
        <v>0</v>
      </c>
      <c r="EJ90" s="835">
        <f>+IF(DR90=DQ90,0,
IF(AND(EJ$44&gt;1,DR90=$N90),1-SUM($EE90:EI90),
IF($N90&lt;=1,
IF($N90&gt;0,1/$N90,0),
IF(EJ$44=1,0,VDB(1,0,$N90,INT(EJ$44-1-1),MIN($N90,INT(EJ$44-1-1)+1),$DC90,IF($DD90="No",1,0))/
IF(DQ90&gt;=INT($N90),$N90-INT($N90),1)))*
IF(EJ$44=1,0,
IF(INT(DR90)=INT(DQ90),DR90-DQ90,INT(DR90)-DQ90))+
IF($N90&lt;=1,
IF($N90&gt;0,1/$N90,0),VDB(1,0,$N90,INT(EJ$44-1),MIN($N90,INT(EJ$44-1)+1),$DC90,IF($DD90="No",1,0))/
IF(DR90&gt;INT($N90),$N90-INT($N90),1))*
IF(EJ$44=1,DR90,
IF(INT(DR90)=INT(DQ90),0,DR90-INT(DR90)))))</f>
        <v>0</v>
      </c>
      <c r="EK90" s="835">
        <f>+IF(DS90=DR90,0,
IF(AND(EK$44&gt;1,DS90=$N90),1-SUM($EE90:EJ90),
IF($N90&lt;=1,
IF($N90&gt;0,1/$N90,0),
IF(EK$44=1,0,VDB(1,0,$N90,INT(EK$44-1-1),MIN($N90,INT(EK$44-1-1)+1),$DC90,IF($DD90="No",1,0))/
IF(DR90&gt;=INT($N90),$N90-INT($N90),1)))*
IF(EK$44=1,0,
IF(INT(DS90)=INT(DR90),DS90-DR90,INT(DS90)-DR90))+
IF($N90&lt;=1,
IF($N90&gt;0,1/$N90,0),VDB(1,0,$N90,INT(EK$44-1),MIN($N90,INT(EK$44-1)+1),$DC90,IF($DD90="No",1,0))/
IF(DS90&gt;INT($N90),$N90-INT($N90),1))*
IF(EK$44=1,DS90,
IF(INT(DS90)=INT(DR90),0,DS90-INT(DS90)))))</f>
        <v>0</v>
      </c>
      <c r="EL90" s="835">
        <f>+IF(DT90=DS90,0,
IF(AND(EL$44&gt;1,DT90=$N90),1-SUM($EE90:EK90),
IF($N90&lt;=1,
IF($N90&gt;0,1/$N90,0),
IF(EL$44=1,0,VDB(1,0,$N90,INT(EL$44-1-1),MIN($N90,INT(EL$44-1-1)+1),$DC90,IF($DD90="No",1,0))/
IF(DS90&gt;=INT($N90),$N90-INT($N90),1)))*
IF(EL$44=1,0,
IF(INT(DT90)=INT(DS90),DT90-DS90,INT(DT90)-DS90))+
IF($N90&lt;=1,
IF($N90&gt;0,1/$N90,0),VDB(1,0,$N90,INT(EL$44-1),MIN($N90,INT(EL$44-1)+1),$DC90,IF($DD90="No",1,0))/
IF(DT90&gt;INT($N90),$N90-INT($N90),1))*
IF(EL$44=1,DT90,
IF(INT(DT90)=INT(DS90),0,DT90-INT(DT90)))))</f>
        <v>0</v>
      </c>
      <c r="EM90" s="836">
        <f>+IF(DU90=DT90,0,
IF(AND(EM$44&gt;1,DU90=$N90),1-SUM($EE90:EL90),
IF($N90&lt;=1,
IF($N90&gt;0,1/$N90,0),
IF(EM$44=1,0,VDB(1,0,$N90,INT(EM$44-1-1),MIN($N90,INT(EM$44-1-1)+1),$DC90,IF($DD90="No",1,0))/
IF(DT90&gt;=INT($N90),$N90-INT($N90),1)))*
IF(EM$44=1,0,
IF(INT(DU90)=INT(DT90),DU90-DT90,INT(DU90)-DT90))+
IF($N90&lt;=1,
IF($N90&gt;0,1/$N90,0),VDB(1,0,$N90,INT(EM$44-1),MIN($N90,INT(EM$44-1)+1),$DC90,IF($DD90="No",1,0))/
IF(DU90&gt;INT($N90),$N90-INT($N90),1))*
IF(EM$44=1,DU90,
IF(INT(DU90)=INT(DT90),0,DU90-INT(DU90)))))</f>
        <v>0</v>
      </c>
      <c r="EN90" s="833"/>
      <c r="EO90" s="834">
        <f>+IF(OR(DW90=DV90,EO$44=1),0,
IF(AND(EO$44&gt;1,DW90=$N90),1-SUM($EN90:EN90),
IF($N90&lt;=1,
IF($N90&gt;0,1/$N90,0),
IF(EO$44=2,0,VDB(1,0,$N90,INT(EO$44-2-1),MIN($N90,INT(EO$44-2-1)+1),$DC90,IF($DD90="No",1,0))/
IF(DV90&gt;=INT($N90),$N90-INT($N90),1)))*
IF(EO$44=2,0,
IF(INT(DW90)=INT(DV90),DW90-DV90,INT(DW90)-DV90))+
IF($N90&lt;=1,
IF($N90&gt;0,1/$N90,0),VDB(1,0,$N90,INT(EO$44-2),MIN($N90,INT(EO$44-2)+1),$DC90,IF($DD90="No",1,0))/
IF(DW90&gt;INT($N90),$N90-INT($N90),1))*
IF(EO$44=2,DW90,
IF(INT(DW90)=INT(DV90),0,DW90-INT(DW90)))))</f>
        <v>0</v>
      </c>
      <c r="EP90" s="835">
        <f>+IF(OR(DX90=DW90,EP$44=1),0,
IF(AND(EP$44&gt;1,DX90=$N90),1-SUM($EN90:EO90),
IF($N90&lt;=1,
IF($N90&gt;0,1/$N90,0),
IF(EP$44=2,0,VDB(1,0,$N90,INT(EP$44-2-1),MIN($N90,INT(EP$44-2-1)+1),$DC90,IF($DD90="No",1,0))/
IF(DW90&gt;=INT($N90),$N90-INT($N90),1)))*
IF(EP$44=2,0,
IF(INT(DX90)=INT(DW90),DX90-DW90,INT(DX90)-DW90))+
IF($N90&lt;=1,
IF($N90&gt;0,1/$N90,0),VDB(1,0,$N90,INT(EP$44-2),MIN($N90,INT(EP$44-2)+1),$DC90,IF($DD90="No",1,0))/
IF(DX90&gt;INT($N90),$N90-INT($N90),1))*
IF(EP$44=2,DX90,
IF(INT(DX90)=INT(DW90),0,DX90-INT(DX90)))))</f>
        <v>0</v>
      </c>
      <c r="EQ90" s="836">
        <f>+IF(OR(DY90=DX90,EQ$44=1),0,
IF(AND(EQ$44&gt;1,DY90=$N90),1-SUM($EN90:EP90),
IF($N90&lt;=1,
IF($N90&gt;0,1/$N90,0),
IF(EQ$44=2,0,VDB(1,0,$N90,INT(EQ$44-2-1),MIN($N90,INT(EQ$44-2-1)+1),$DC90,IF($DD90="No",1,0))/
IF(DX90&gt;=INT($N90),$N90-INT($N90),1)))*
IF(EQ$44=2,0,
IF(INT(DY90)=INT(DX90),DY90-DX90,INT(DY90)-DX90))+
IF($N90&lt;=1,
IF($N90&gt;0,1/$N90,0),VDB(1,0,$N90,INT(EQ$44-2),MIN($N90,INT(EQ$44-2)+1),$DC90,IF($DD90="No",1,0))/
IF(DY90&gt;INT($N90),$N90-INT($N90),1))*
IF(EQ$44=2,DY90,
IF(INT(DY90)=INT(DX90),0,DY90-INT(DY90)))))</f>
        <v>0</v>
      </c>
      <c r="ER90" s="834">
        <f>+IF(OR(DZ90=DY90,ER$44=1),0,
IF(AND(ER$44&gt;1,DZ90=$N90),1-SUM($EN90:EQ90),
IF($N90&lt;=1,
IF($N90&gt;0,1/$N90,0),
IF(ER$44=2,0,VDB(1,0,$N90,INT(ER$44-2-1),MIN($N90,INT(ER$44-2-1)+1),$DC90,IF($DD90="No",1,0))/
IF(DY90&gt;=INT($N90),$N90-INT($N90),1)))*
IF(ER$44=2,0,
IF(INT(DZ90)=INT(DY90),DZ90-DY90,INT(DZ90)-DY90))+
IF($N90&lt;=1,
IF($N90&gt;0,1/$N90,0),VDB(1,0,$N90,INT(ER$44-2),MIN($N90,INT(ER$44-2)+1),$DC90,IF($DD90="No",1,0))/
IF(DZ90&gt;INT($N90),$N90-INT($N90),1))*
IF(ER$44=2,DZ90,
IF(INT(DZ90)=INT(DY90),0,DZ90-INT(DZ90)))))</f>
        <v>0</v>
      </c>
      <c r="ES90" s="835">
        <f>+IF(OR(EA90=DZ90,ES$44=1),0,
IF(AND(ES$44&gt;1,EA90=$N90),1-SUM($EN90:ER90),
IF($N90&lt;=1,
IF($N90&gt;0,1/$N90,0),
IF(ES$44=2,0,VDB(1,0,$N90,INT(ES$44-2-1),MIN($N90,INT(ES$44-2-1)+1),$DC90,IF($DD90="No",1,0))/
IF(DZ90&gt;=INT($N90),$N90-INT($N90),1)))*
IF(ES$44=2,0,
IF(INT(EA90)=INT(DZ90),EA90-DZ90,INT(EA90)-DZ90))+
IF($N90&lt;=1,
IF($N90&gt;0,1/$N90,0),VDB(1,0,$N90,INT(ES$44-2),MIN($N90,INT(ES$44-2)+1),$DC90,IF($DD90="No",1,0))/
IF(EA90&gt;INT($N90),$N90-INT($N90),1))*
IF(ES$44=2,EA90,
IF(INT(EA90)=INT(DZ90),0,EA90-INT(EA90)))))</f>
        <v>0</v>
      </c>
      <c r="ET90" s="835">
        <f>+IF(OR(EB90=EA90,ET$44=1),0,
IF(AND(ET$44&gt;1,EB90=$N90),1-SUM($EN90:ES90),
IF($N90&lt;=1,
IF($N90&gt;0,1/$N90,0),
IF(ET$44=2,0,VDB(1,0,$N90,INT(ET$44-2-1),MIN($N90,INT(ET$44-2-1)+1),$DC90,IF($DD90="No",1,0))/
IF(EA90&gt;=INT($N90),$N90-INT($N90),1)))*
IF(ET$44=2,0,
IF(INT(EB90)=INT(EA90),EB90-EA90,INT(EB90)-EA90))+
IF($N90&lt;=1,
IF($N90&gt;0,1/$N90,0),VDB(1,0,$N90,INT(ET$44-2),MIN($N90,INT(ET$44-2)+1),$DC90,IF($DD90="No",1,0))/
IF(EB90&gt;INT($N90),$N90-INT($N90),1))*
IF(ET$44=2,EB90,
IF(INT(EB90)=INT(EA90),0,EB90-INT(EB90)))))</f>
        <v>0</v>
      </c>
      <c r="EU90" s="835">
        <f>+IF(OR(EC90=EB90,EU$44=1),0,
IF(AND(EU$44&gt;1,EC90=$N90),1-SUM($EN90:ET90),
IF($N90&lt;=1,
IF($N90&gt;0,1/$N90,0),
IF(EU$44=2,0,VDB(1,0,$N90,INT(EU$44-2-1),MIN($N90,INT(EU$44-2-1)+1),$DC90,IF($DD90="No",1,0))/
IF(EB90&gt;=INT($N90),$N90-INT($N90),1)))*
IF(EU$44=2,0,
IF(INT(EC90)=INT(EB90),EC90-EB90,INT(EC90)-EB90))+
IF($N90&lt;=1,
IF($N90&gt;0,1/$N90,0),VDB(1,0,$N90,INT(EU$44-2),MIN($N90,INT(EU$44-2)+1),$DC90,IF($DD90="No",1,0))/
IF(EC90&gt;INT($N90),$N90-INT($N90),1))*
IF(EU$44=2,EC90,
IF(INT(EC90)=INT(EB90),0,EC90-INT(EC90)))))</f>
        <v>0</v>
      </c>
      <c r="EV90" s="836">
        <f>+IF(OR(ED90=EC90,EV$44=1),0,
IF(AND(EV$44&gt;1,ED90=$N90),1-SUM($EN90:EU90),
IF($N90&lt;=1,
IF($N90&gt;0,1/$N90,0),
IF(EV$44=2,0,VDB(1,0,$N90,INT(EV$44-2-1),MIN($N90,INT(EV$44-2-1)+1),$DC90,IF($DD90="No",1,0))/
IF(EC90&gt;=INT($N90),$N90-INT($N90),1)))*
IF(EV$44=2,0,
IF(INT(ED90)=INT(EC90),ED90-EC90,INT(ED90)-EC90))+
IF($N90&lt;=1,
IF($N90&gt;0,1/$N90,0),VDB(1,0,$N90,INT(EV$44-2),MIN($N90,INT(EV$44-2)+1),$DC90,IF($DD90="No",1,0))/
IF(ED90&gt;INT($N90),$N90-INT($N90),1))*
IF(EV$44=2,ED90,
IF(INT(ED90)=INT(EC90),0,ED90-INT(ED90)))))</f>
        <v>0</v>
      </c>
      <c r="EW90" s="833"/>
      <c r="EX90" s="834">
        <f t="shared" ca="1" si="246"/>
        <v>0</v>
      </c>
      <c r="EY90" s="835">
        <f t="shared" ca="1" si="246"/>
        <v>0</v>
      </c>
      <c r="EZ90" s="836">
        <f t="shared" ca="1" si="246"/>
        <v>0</v>
      </c>
      <c r="FA90" s="834">
        <f t="shared" ca="1" si="246"/>
        <v>0</v>
      </c>
      <c r="FB90" s="835">
        <f t="shared" ca="1" si="246"/>
        <v>0</v>
      </c>
      <c r="FC90" s="835">
        <f t="shared" ca="1" si="246"/>
        <v>0</v>
      </c>
      <c r="FD90" s="835">
        <f t="shared" ca="1" si="246"/>
        <v>0</v>
      </c>
      <c r="FE90" s="836">
        <f t="shared" ca="1" si="246"/>
        <v>0</v>
      </c>
      <c r="FG90" s="386">
        <f t="shared" ca="1" si="237"/>
        <v>0</v>
      </c>
      <c r="FH90" s="387">
        <f t="shared" ca="1" si="238"/>
        <v>0</v>
      </c>
      <c r="FI90" s="388">
        <f t="shared" ca="1" si="239"/>
        <v>0</v>
      </c>
      <c r="FJ90" s="386">
        <f t="shared" ca="1" si="240"/>
        <v>0</v>
      </c>
      <c r="FK90" s="387">
        <f t="shared" ca="1" si="241"/>
        <v>0</v>
      </c>
      <c r="FL90" s="387">
        <f t="shared" ca="1" si="242"/>
        <v>0</v>
      </c>
      <c r="FM90" s="387">
        <f t="shared" ca="1" si="243"/>
        <v>0</v>
      </c>
      <c r="FN90" s="388">
        <f t="shared" ca="1" si="244"/>
        <v>0</v>
      </c>
      <c r="FR90" s="116"/>
    </row>
    <row r="91" spans="2:174">
      <c r="B91" s="1410">
        <f t="shared" si="135"/>
        <v>45</v>
      </c>
      <c r="C91" s="400" t="s">
        <v>575</v>
      </c>
      <c r="D91" s="410"/>
      <c r="E91" s="402" t="s">
        <v>402</v>
      </c>
      <c r="F91" s="402" t="s">
        <v>514</v>
      </c>
      <c r="G91" s="400" t="s">
        <v>525</v>
      </c>
      <c r="H91" s="2088" t="s">
        <v>483</v>
      </c>
      <c r="I91" s="2089"/>
      <c r="J91" s="411" t="s">
        <v>516</v>
      </c>
      <c r="K91" s="403" t="s">
        <v>544</v>
      </c>
      <c r="L91" s="403">
        <v>40</v>
      </c>
      <c r="M91" s="403" t="s">
        <v>142</v>
      </c>
      <c r="N91" s="403"/>
      <c r="O91" s="347"/>
      <c r="P91" s="347"/>
      <c r="Q91" s="1021">
        <v>0.40656195121951222</v>
      </c>
      <c r="R91" s="1022">
        <v>0.40464390243902448</v>
      </c>
      <c r="S91" s="1022">
        <v>0.40277256569115377</v>
      </c>
      <c r="T91" s="1022">
        <v>0.40094748281967241</v>
      </c>
      <c r="U91" s="1023">
        <v>0.39914859628445798</v>
      </c>
      <c r="V91" s="1021">
        <v>0.3643600915241475</v>
      </c>
      <c r="W91" s="1022">
        <v>0.3643595447017447</v>
      </c>
      <c r="X91" s="1022">
        <v>0.3643597704070517</v>
      </c>
      <c r="Y91" s="1022">
        <v>0.36435943009749799</v>
      </c>
      <c r="Z91" s="1023">
        <v>0.36435952774729818</v>
      </c>
      <c r="AA91" s="1024"/>
      <c r="AB91" s="1021">
        <v>0</v>
      </c>
      <c r="AC91" s="1022">
        <v>0</v>
      </c>
      <c r="AD91" s="1022">
        <v>0</v>
      </c>
      <c r="AE91" s="1022">
        <v>0</v>
      </c>
      <c r="AF91" s="1023">
        <v>0</v>
      </c>
      <c r="AG91" s="1021">
        <v>0</v>
      </c>
      <c r="AH91" s="1022">
        <v>0</v>
      </c>
      <c r="AI91" s="1022">
        <v>0</v>
      </c>
      <c r="AJ91" s="1022">
        <v>0</v>
      </c>
      <c r="AK91" s="1023">
        <v>0</v>
      </c>
      <c r="AL91" s="1024"/>
      <c r="AM91" s="1021">
        <v>0</v>
      </c>
      <c r="AN91" s="1022">
        <v>0</v>
      </c>
      <c r="AO91" s="1022">
        <v>0</v>
      </c>
      <c r="AP91" s="1022">
        <v>0</v>
      </c>
      <c r="AQ91" s="1023">
        <v>0</v>
      </c>
      <c r="AR91" s="1021">
        <v>0</v>
      </c>
      <c r="AS91" s="1022">
        <v>0</v>
      </c>
      <c r="AT91" s="1022">
        <v>0</v>
      </c>
      <c r="AU91" s="1022">
        <v>0</v>
      </c>
      <c r="AV91" s="1023">
        <v>0</v>
      </c>
      <c r="AW91" s="1025"/>
      <c r="AX91" s="1282">
        <f t="shared" si="191"/>
        <v>0.40656195121951222</v>
      </c>
      <c r="AY91" s="387">
        <f t="shared" si="192"/>
        <v>0.40464390243902448</v>
      </c>
      <c r="AZ91" s="387">
        <f t="shared" si="193"/>
        <v>0.40277256569115377</v>
      </c>
      <c r="BA91" s="387">
        <f t="shared" si="194"/>
        <v>0.40094748281967241</v>
      </c>
      <c r="BB91" s="1283">
        <f t="shared" si="195"/>
        <v>0.39914859628445798</v>
      </c>
      <c r="BC91" s="386">
        <f t="shared" si="196"/>
        <v>0.3643600915241475</v>
      </c>
      <c r="BD91" s="387">
        <f t="shared" si="197"/>
        <v>0.3643595447017447</v>
      </c>
      <c r="BE91" s="1277">
        <f t="shared" si="198"/>
        <v>0.3643597704070517</v>
      </c>
      <c r="BF91" s="1277">
        <f t="shared" si="199"/>
        <v>0.36435943009749799</v>
      </c>
      <c r="BG91" s="388">
        <f t="shared" si="200"/>
        <v>0.36435952774729818</v>
      </c>
      <c r="BH91" s="1025"/>
      <c r="BI91" s="1282">
        <f t="shared" ca="1" si="201"/>
        <v>5.0820243902439024E-3</v>
      </c>
      <c r="BJ91" s="387">
        <f t="shared" ca="1" si="202"/>
        <v>1.522209756097561E-2</v>
      </c>
      <c r="BK91" s="387">
        <f t="shared" ca="1" si="203"/>
        <v>2.5314803412602841E-2</v>
      </c>
      <c r="BL91" s="387">
        <f t="shared" ca="1" si="204"/>
        <v>3.5361304018988168E-2</v>
      </c>
      <c r="BM91" s="1283">
        <f t="shared" ca="1" si="205"/>
        <v>4.5362505007789801E-2</v>
      </c>
      <c r="BN91" s="386">
        <f t="shared" ca="1" si="206"/>
        <v>5.4906363605397364E-2</v>
      </c>
      <c r="BO91" s="387">
        <f t="shared" ca="1" si="207"/>
        <v>6.4015359058221019E-2</v>
      </c>
      <c r="BP91" s="1277">
        <f t="shared" ca="1" si="208"/>
        <v>7.3124350497080964E-2</v>
      </c>
      <c r="BQ91" s="1277">
        <f t="shared" ca="1" si="209"/>
        <v>8.2233340503387847E-2</v>
      </c>
      <c r="BR91" s="388">
        <f t="shared" ca="1" si="210"/>
        <v>9.1342327476447785E-2</v>
      </c>
      <c r="BS91" s="1025"/>
      <c r="BT91" s="1282">
        <f>+IF($K91="Ongoing",AX91,IF(RIGHT($K91,2)=RIGHT(BT$43,2),SUM($AX91:AX91),0)+IF(RIGHT(BT$43,2)&gt;RIGHT($K91,2),AX91,0))</f>
        <v>0.40656195121951222</v>
      </c>
      <c r="BU91" s="387">
        <f>+IF($K91="Ongoing",AY91,IF(RIGHT($K91,2)=RIGHT(BU$43,2),SUM($AX91:AY91),0)+IF(RIGHT(BU$43,2)&gt;RIGHT($K91,2),AY91,0))</f>
        <v>0.40464390243902448</v>
      </c>
      <c r="BV91" s="387">
        <f>+IF($K91="Ongoing",AZ91,IF(RIGHT($K91,2)=RIGHT(BV$43,2),SUM($AX91:AZ91),0)+IF(RIGHT(BV$43,2)&gt;RIGHT($K91,2),AZ91,0))</f>
        <v>0.40277256569115377</v>
      </c>
      <c r="BW91" s="387">
        <f>+IF($K91="Ongoing",BA91,IF(RIGHT($K91,2)=RIGHT(BW$43,2),SUM($AX91:BA91),0)+IF(RIGHT(BW$43,2)&gt;RIGHT($K91,2),BA91,0))</f>
        <v>0.40094748281967241</v>
      </c>
      <c r="BX91" s="1283">
        <f>+IF($K91="Ongoing",BB91,IF(RIGHT($K91,2)=RIGHT(BX$43,2),SUM($AX91:BB91),0)+IF(RIGHT(BX$43,2)&gt;RIGHT($K91,2),BB91,0))</f>
        <v>0.39914859628445798</v>
      </c>
      <c r="BY91" s="386">
        <f>+IF($K91="Ongoing",BC91,IF(RIGHT($K91,2)=RIGHT(BY$43,2),SUM($AX91:BC91),0)+IF(RIGHT(BY$43,2)&gt;RIGHT($K91,2),BC91,0))</f>
        <v>0.3643600915241475</v>
      </c>
      <c r="BZ91" s="387">
        <f>+IF($K91="Ongoing",BD91,IF(RIGHT($K91,2)=RIGHT(BZ$43,2),SUM($AX91:BD91),0)+IF(RIGHT(BZ$43,2)&gt;RIGHT($K91,2),BD91,0))</f>
        <v>0.3643595447017447</v>
      </c>
      <c r="CA91" s="1277">
        <f>+IF($K91="Ongoing",BE91,IF(RIGHT($K91,2)=RIGHT(CA$43,2),SUM($AX91:BE91),0)+IF(RIGHT(CA$43,2)&gt;RIGHT($K91,2),BE91,0))</f>
        <v>0.3643597704070517</v>
      </c>
      <c r="CB91" s="1277">
        <f>+IF($K91="Ongoing",BF91,IF(RIGHT($K91,2)=RIGHT(CB$43,2),SUM($AX91:BF91),0)+IF(RIGHT(CB$43,2)&gt;RIGHT($K91,2),BF91,0))</f>
        <v>0.36435943009749799</v>
      </c>
      <c r="CC91" s="388">
        <f>+IF($K91="Ongoing",BG91,IF(RIGHT($K91,2)=RIGHT(CC$43,2),SUM($AX91:BG91),0)+IF(RIGHT(CC$43,2)&gt;RIGHT($K91,2),BG91,0))</f>
        <v>0.36435952774729818</v>
      </c>
      <c r="CD91" s="1025"/>
      <c r="CE91" s="1282">
        <f>+Q91*KeyAssumptionsPriceControl_FO!AF$15</f>
        <v>0.41835224780487806</v>
      </c>
      <c r="CF91" s="387">
        <f>+R91*KeyAssumptionsPriceControl_FO!AG$15</f>
        <v>0.42845355430243909</v>
      </c>
      <c r="CG91" s="387">
        <f>+S91*KeyAssumptionsPriceControl_FO!AH$15</f>
        <v>0.43883979730962752</v>
      </c>
      <c r="CH91" s="387">
        <f>+T91*KeyAssumptionsPriceControl_FO!AI$15</f>
        <v>0.44951997024023294</v>
      </c>
      <c r="CI91" s="1283">
        <f>+U91*KeyAssumptionsPriceControl_FO!AJ$15</f>
        <v>0.46048075052969234</v>
      </c>
      <c r="CJ91" s="386">
        <f>+V91*KeyAssumptionsPriceControl_FO!AK$15</f>
        <v>0.43253678820131286</v>
      </c>
      <c r="CK91" s="387">
        <f>+W91*KeyAssumptionsPriceControl_FO!AL$15</f>
        <v>0.44507968709381968</v>
      </c>
      <c r="CL91" s="1277">
        <f>+X91*KeyAssumptionsPriceControl_FO!AM$15</f>
        <v>0.45798728172308961</v>
      </c>
      <c r="CM91" s="1277">
        <f>+Y91*KeyAssumptionsPriceControl_FO!AN$15</f>
        <v>0.47126847273109163</v>
      </c>
      <c r="CN91" s="388">
        <f>+Z91*KeyAssumptionsPriceControl_FO!AO$15</f>
        <v>0.48493538840490286</v>
      </c>
      <c r="CO91" s="1025"/>
      <c r="CP91" s="1282">
        <f t="shared" ca="1" si="211"/>
        <v>0</v>
      </c>
      <c r="CQ91" s="387">
        <f t="shared" ca="1" si="212"/>
        <v>0</v>
      </c>
      <c r="CR91" s="387">
        <f t="shared" ca="1" si="213"/>
        <v>0</v>
      </c>
      <c r="CS91" s="387">
        <f t="shared" ca="1" si="214"/>
        <v>0</v>
      </c>
      <c r="CT91" s="1283">
        <f t="shared" ca="1" si="215"/>
        <v>0</v>
      </c>
      <c r="CU91" s="386">
        <f t="shared" ca="1" si="216"/>
        <v>0</v>
      </c>
      <c r="CV91" s="387">
        <f t="shared" ca="1" si="217"/>
        <v>0</v>
      </c>
      <c r="CW91" s="1277">
        <f t="shared" ca="1" si="218"/>
        <v>0</v>
      </c>
      <c r="CX91" s="1277">
        <f t="shared" ca="1" si="219"/>
        <v>0</v>
      </c>
      <c r="CY91" s="388">
        <f t="shared" ca="1" si="220"/>
        <v>0</v>
      </c>
      <c r="CZ91" s="347"/>
      <c r="DA91" s="852"/>
      <c r="DB91" s="347"/>
      <c r="DC91" s="1012" t="s">
        <v>577</v>
      </c>
      <c r="DD91" s="841" t="s">
        <v>518</v>
      </c>
      <c r="DE91" s="386">
        <f>+IF($K91="ongoing",CE91,IF(RIGHT($K91,2)=RIGHT(DE$43,2),SUM($CD91:CE91),0)+IF(RIGHT(DE$43,2)&gt;RIGHT($K91,2),CE91,0))</f>
        <v>0.41835224780487806</v>
      </c>
      <c r="DF91" s="387">
        <f>+IF($K91="ongoing",CF91,IF(RIGHT($K91,2)=RIGHT(DF$43,2),SUM($CD91:CF91),0)+IF(RIGHT(DF$43,2)&gt;RIGHT($K91,2),CF91,0))</f>
        <v>0.42845355430243909</v>
      </c>
      <c r="DG91" s="388">
        <f>+IF($K91="ongoing",CG91,IF(RIGHT($K91,2)=RIGHT(DG$43,2),SUM($CD91:CG91),0)+IF(RIGHT(DG$43,2)&gt;RIGHT($K91,2),CG91,0))</f>
        <v>0.43883979730962752</v>
      </c>
      <c r="DH91" s="386">
        <f>+IF($K91="ongoing",CH91,IF(RIGHT($K91,2)=RIGHT(DH$43,2),SUM($CD91:CH91),0)+IF(RIGHT(DH$43,2)&gt;RIGHT($K91,2),CH91,0))</f>
        <v>0.44951997024023294</v>
      </c>
      <c r="DI91" s="387">
        <f>+IF($K91="ongoing",CI91,IF(RIGHT($K91,2)=RIGHT(DI$43,2),SUM($CD91:CI91),0)+IF(RIGHT(DI$43,2)&gt;RIGHT($K91,2),CI91,0))</f>
        <v>0.46048075052969234</v>
      </c>
      <c r="DJ91" s="387">
        <f>+IF($K91="ongoing",CJ91,IF(RIGHT($K91,2)=RIGHT(DJ$43,2),SUM($CD91:CJ91),0)+IF(RIGHT(DJ$43,2)&gt;RIGHT($K91,2),CJ91,0))</f>
        <v>0.43253678820131286</v>
      </c>
      <c r="DK91" s="387">
        <f>+IF($K91="ongoing",CK91,IF(RIGHT($K91,2)=RIGHT(DK$43,2),SUM($CD91:CK91),0)+IF(RIGHT(DK$43,2)&gt;RIGHT($K91,2),CK91,0))</f>
        <v>0.44507968709381968</v>
      </c>
      <c r="DL91" s="388">
        <f>+IF($K91="ongoing",CN91,IF(RIGHT($K91,2)=RIGHT(DL$43,2),SUM($CD91:CN91),0)+IF(RIGHT(DL$43,2)&gt;RIGHT($K91,2),CN91,0))</f>
        <v>0.48493538840490286</v>
      </c>
      <c r="DM91" s="841"/>
      <c r="DN91" s="386">
        <f t="shared" si="221"/>
        <v>0.5</v>
      </c>
      <c r="DO91" s="387">
        <f t="shared" si="222"/>
        <v>1</v>
      </c>
      <c r="DP91" s="388">
        <f t="shared" si="223"/>
        <v>1</v>
      </c>
      <c r="DQ91" s="386">
        <f t="shared" si="224"/>
        <v>1</v>
      </c>
      <c r="DR91" s="387">
        <f t="shared" si="225"/>
        <v>1</v>
      </c>
      <c r="DS91" s="387">
        <f t="shared" si="226"/>
        <v>1</v>
      </c>
      <c r="DT91" s="387">
        <f t="shared" si="227"/>
        <v>1</v>
      </c>
      <c r="DU91" s="388">
        <f t="shared" si="228"/>
        <v>1</v>
      </c>
      <c r="DW91" s="386">
        <f t="shared" si="229"/>
        <v>0</v>
      </c>
      <c r="DX91" s="387">
        <f t="shared" si="230"/>
        <v>0.5</v>
      </c>
      <c r="DY91" s="388">
        <f t="shared" si="231"/>
        <v>1</v>
      </c>
      <c r="DZ91" s="386">
        <f t="shared" si="232"/>
        <v>1</v>
      </c>
      <c r="EA91" s="387">
        <f t="shared" si="233"/>
        <v>1</v>
      </c>
      <c r="EB91" s="387">
        <f t="shared" si="234"/>
        <v>1</v>
      </c>
      <c r="EC91" s="387">
        <f t="shared" si="235"/>
        <v>1</v>
      </c>
      <c r="ED91" s="388">
        <f t="shared" si="236"/>
        <v>1</v>
      </c>
      <c r="EF91" s="834">
        <f>+IF(DN91=DM91,0,
IF(AND(EF$44&gt;1,DN91=$N91),1-SUM($EE91:EE91),
IF($N91&lt;=1,
IF($N91&gt;0,1/$N91,0),
IF(EF$44=1,0,VDB(1,0,$N91,INT(EF$44-1-1),MIN($N91,INT(EF$44-1-1)+1),$DC91,IF($DD91="No",1,0))/
IF(DM91&gt;=INT($N91),$N91-INT($N91),1)))*
IF(EF$44=1,0,
IF(INT(DN91)=INT(DM91),DN91-DM91,INT(DN91)-DM91))+
IF($N91&lt;=1,
IF($N91&gt;0,1/$N91,0),VDB(1,0,$N91,INT(EF$44-1),MIN($N91,INT(EF$44-1)+1),$DC91,IF($DD91="No",1,0))/
IF(DN91&gt;INT($N91),$N91-INT($N91),1))*
IF(EF$44=1,DN91,
IF(INT(DN91)=INT(DM91),0,DN91-INT(DN91)))))</f>
        <v>0</v>
      </c>
      <c r="EG91" s="835">
        <f>+IF(DO91=DN91,0,
IF(AND(EG$44&gt;1,DO91=$N91),1-SUM($EE91:EF91),
IF($N91&lt;=1,
IF($N91&gt;0,1/$N91,0),
IF(EG$44=1,0,VDB(1,0,$N91,INT(EG$44-1-1),MIN($N91,INT(EG$44-1-1)+1),$DC91,IF($DD91="No",1,0))/
IF(DN91&gt;=INT($N91),$N91-INT($N91),1)))*
IF(EG$44=1,0,
IF(INT(DO91)=INT(DN91),DO91-DN91,INT(DO91)-DN91))+
IF($N91&lt;=1,
IF($N91&gt;0,1/$N91,0),VDB(1,0,$N91,INT(EG$44-1),MIN($N91,INT(EG$44-1)+1),$DC91,IF($DD91="No",1,0))/
IF(DO91&gt;INT($N91),$N91-INT($N91),1))*
IF(EG$44=1,DO91,
IF(INT(DO91)=INT(DN91),0,DO91-INT(DO91)))))</f>
        <v>0</v>
      </c>
      <c r="EH91" s="836">
        <f>+IF(DP91=DO91,0,
IF(AND(EH$44&gt;1,DP91=$N91),1-SUM($EE91:EG91),
IF($N91&lt;=1,
IF($N91&gt;0,1/$N91,0),
IF(EH$44=1,0,VDB(1,0,$N91,INT(EH$44-1-1),MIN($N91,INT(EH$44-1-1)+1),$DC91,IF($DD91="No",1,0))/
IF(DO91&gt;=INT($N91),$N91-INT($N91),1)))*
IF(EH$44=1,0,
IF(INT(DP91)=INT(DO91),DP91-DO91,INT(DP91)-DO91))+
IF($N91&lt;=1,
IF($N91&gt;0,1/$N91,0),VDB(1,0,$N91,INT(EH$44-1),MIN($N91,INT(EH$44-1)+1),$DC91,IF($DD91="No",1,0))/
IF(DP91&gt;INT($N91),$N91-INT($N91),1))*
IF(EH$44=1,DP91,
IF(INT(DP91)=INT(DO91),0,DP91-INT(DP91)))))</f>
        <v>0</v>
      </c>
      <c r="EI91" s="834">
        <f>+IF(DQ91=DP91,0,
IF(AND(EI$44&gt;1,DQ91=$N91),1-SUM($EE91:EH91),
IF($N91&lt;=1,
IF($N91&gt;0,1/$N91,0),
IF(EI$44=1,0,VDB(1,0,$N91,INT(EI$44-1-1),MIN($N91,INT(EI$44-1-1)+1),$DC91,IF($DD91="No",1,0))/
IF(DP91&gt;=INT($N91),$N91-INT($N91),1)))*
IF(EI$44=1,0,
IF(INT(DQ91)=INT(DP91),DQ91-DP91,INT(DQ91)-DP91))+
IF($N91&lt;=1,
IF($N91&gt;0,1/$N91,0),VDB(1,0,$N91,INT(EI$44-1),MIN($N91,INT(EI$44-1)+1),$DC91,IF($DD91="No",1,0))/
IF(DQ91&gt;INT($N91),$N91-INT($N91),1))*
IF(EI$44=1,DQ91,
IF(INT(DQ91)=INT(DP91),0,DQ91-INT(DQ91)))))</f>
        <v>0</v>
      </c>
      <c r="EJ91" s="835">
        <f>+IF(DR91=DQ91,0,
IF(AND(EJ$44&gt;1,DR91=$N91),1-SUM($EE91:EI91),
IF($N91&lt;=1,
IF($N91&gt;0,1/$N91,0),
IF(EJ$44=1,0,VDB(1,0,$N91,INT(EJ$44-1-1),MIN($N91,INT(EJ$44-1-1)+1),$DC91,IF($DD91="No",1,0))/
IF(DQ91&gt;=INT($N91),$N91-INT($N91),1)))*
IF(EJ$44=1,0,
IF(INT(DR91)=INT(DQ91),DR91-DQ91,INT(DR91)-DQ91))+
IF($N91&lt;=1,
IF($N91&gt;0,1/$N91,0),VDB(1,0,$N91,INT(EJ$44-1),MIN($N91,INT(EJ$44-1)+1),$DC91,IF($DD91="No",1,0))/
IF(DR91&gt;INT($N91),$N91-INT($N91),1))*
IF(EJ$44=1,DR91,
IF(INT(DR91)=INT(DQ91),0,DR91-INT(DR91)))))</f>
        <v>0</v>
      </c>
      <c r="EK91" s="835">
        <f>+IF(DS91=DR91,0,
IF(AND(EK$44&gt;1,DS91=$N91),1-SUM($EE91:EJ91),
IF($N91&lt;=1,
IF($N91&gt;0,1/$N91,0),
IF(EK$44=1,0,VDB(1,0,$N91,INT(EK$44-1-1),MIN($N91,INT(EK$44-1-1)+1),$DC91,IF($DD91="No",1,0))/
IF(DR91&gt;=INT($N91),$N91-INT($N91),1)))*
IF(EK$44=1,0,
IF(INT(DS91)=INT(DR91),DS91-DR91,INT(DS91)-DR91))+
IF($N91&lt;=1,
IF($N91&gt;0,1/$N91,0),VDB(1,0,$N91,INT(EK$44-1),MIN($N91,INT(EK$44-1)+1),$DC91,IF($DD91="No",1,0))/
IF(DS91&gt;INT($N91),$N91-INT($N91),1))*
IF(EK$44=1,DS91,
IF(INT(DS91)=INT(DR91),0,DS91-INT(DS91)))))</f>
        <v>0</v>
      </c>
      <c r="EL91" s="835">
        <f>+IF(DT91=DS91,0,
IF(AND(EL$44&gt;1,DT91=$N91),1-SUM($EE91:EK91),
IF($N91&lt;=1,
IF($N91&gt;0,1/$N91,0),
IF(EL$44=1,0,VDB(1,0,$N91,INT(EL$44-1-1),MIN($N91,INT(EL$44-1-1)+1),$DC91,IF($DD91="No",1,0))/
IF(DS91&gt;=INT($N91),$N91-INT($N91),1)))*
IF(EL$44=1,0,
IF(INT(DT91)=INT(DS91),DT91-DS91,INT(DT91)-DS91))+
IF($N91&lt;=1,
IF($N91&gt;0,1/$N91,0),VDB(1,0,$N91,INT(EL$44-1),MIN($N91,INT(EL$44-1)+1),$DC91,IF($DD91="No",1,0))/
IF(DT91&gt;INT($N91),$N91-INT($N91),1))*
IF(EL$44=1,DT91,
IF(INT(DT91)=INT(DS91),0,DT91-INT(DT91)))))</f>
        <v>0</v>
      </c>
      <c r="EM91" s="836">
        <f>+IF(DU91=DT91,0,
IF(AND(EM$44&gt;1,DU91=$N91),1-SUM($EE91:EL91),
IF($N91&lt;=1,
IF($N91&gt;0,1/$N91,0),
IF(EM$44=1,0,VDB(1,0,$N91,INT(EM$44-1-1),MIN($N91,INT(EM$44-1-1)+1),$DC91,IF($DD91="No",1,0))/
IF(DT91&gt;=INT($N91),$N91-INT($N91),1)))*
IF(EM$44=1,0,
IF(INT(DU91)=INT(DT91),DU91-DT91,INT(DU91)-DT91))+
IF($N91&lt;=1,
IF($N91&gt;0,1/$N91,0),VDB(1,0,$N91,INT(EM$44-1),MIN($N91,INT(EM$44-1)+1),$DC91,IF($DD91="No",1,0))/
IF(DU91&gt;INT($N91),$N91-INT($N91),1))*
IF(EM$44=1,DU91,
IF(INT(DU91)=INT(DT91),0,DU91-INT(DU91)))))</f>
        <v>0</v>
      </c>
      <c r="EN91" s="833"/>
      <c r="EO91" s="834">
        <f>+IF(OR(DW91=DV91,EO$44=1),0,
IF(AND(EO$44&gt;1,DW91=$N91),1-SUM($EN91:EN91),
IF($N91&lt;=1,
IF($N91&gt;0,1/$N91,0),
IF(EO$44=2,0,VDB(1,0,$N91,INT(EO$44-2-1),MIN($N91,INT(EO$44-2-1)+1),$DC91,IF($DD91="No",1,0))/
IF(DV91&gt;=INT($N91),$N91-INT($N91),1)))*
IF(EO$44=2,0,
IF(INT(DW91)=INT(DV91),DW91-DV91,INT(DW91)-DV91))+
IF($N91&lt;=1,
IF($N91&gt;0,1/$N91,0),VDB(1,0,$N91,INT(EO$44-2),MIN($N91,INT(EO$44-2)+1),$DC91,IF($DD91="No",1,0))/
IF(DW91&gt;INT($N91),$N91-INT($N91),1))*
IF(EO$44=2,DW91,
IF(INT(DW91)=INT(DV91),0,DW91-INT(DW91)))))</f>
        <v>0</v>
      </c>
      <c r="EP91" s="835">
        <f>+IF(OR(DX91=DW91,EP$44=1),0,
IF(AND(EP$44&gt;1,DX91=$N91),1-SUM($EN91:EO91),
IF($N91&lt;=1,
IF($N91&gt;0,1/$N91,0),
IF(EP$44=2,0,VDB(1,0,$N91,INT(EP$44-2-1),MIN($N91,INT(EP$44-2-1)+1),$DC91,IF($DD91="No",1,0))/
IF(DW91&gt;=INT($N91),$N91-INT($N91),1)))*
IF(EP$44=2,0,
IF(INT(DX91)=INT(DW91),DX91-DW91,INT(DX91)-DW91))+
IF($N91&lt;=1,
IF($N91&gt;0,1/$N91,0),VDB(1,0,$N91,INT(EP$44-2),MIN($N91,INT(EP$44-2)+1),$DC91,IF($DD91="No",1,0))/
IF(DX91&gt;INT($N91),$N91-INT($N91),1))*
IF(EP$44=2,DX91,
IF(INT(DX91)=INT(DW91),0,DX91-INT(DX91)))))</f>
        <v>0</v>
      </c>
      <c r="EQ91" s="836">
        <f>+IF(OR(DY91=DX91,EQ$44=1),0,
IF(AND(EQ$44&gt;1,DY91=$N91),1-SUM($EN91:EP91),
IF($N91&lt;=1,
IF($N91&gt;0,1/$N91,0),
IF(EQ$44=2,0,VDB(1,0,$N91,INT(EQ$44-2-1),MIN($N91,INT(EQ$44-2-1)+1),$DC91,IF($DD91="No",1,0))/
IF(DX91&gt;=INT($N91),$N91-INT($N91),1)))*
IF(EQ$44=2,0,
IF(INT(DY91)=INT(DX91),DY91-DX91,INT(DY91)-DX91))+
IF($N91&lt;=1,
IF($N91&gt;0,1/$N91,0),VDB(1,0,$N91,INT(EQ$44-2),MIN($N91,INT(EQ$44-2)+1),$DC91,IF($DD91="No",1,0))/
IF(DY91&gt;INT($N91),$N91-INT($N91),1))*
IF(EQ$44=2,DY91,
IF(INT(DY91)=INT(DX91),0,DY91-INT(DY91)))))</f>
        <v>0</v>
      </c>
      <c r="ER91" s="834">
        <f>+IF(OR(DZ91=DY91,ER$44=1),0,
IF(AND(ER$44&gt;1,DZ91=$N91),1-SUM($EN91:EQ91),
IF($N91&lt;=1,
IF($N91&gt;0,1/$N91,0),
IF(ER$44=2,0,VDB(1,0,$N91,INT(ER$44-2-1),MIN($N91,INT(ER$44-2-1)+1),$DC91,IF($DD91="No",1,0))/
IF(DY91&gt;=INT($N91),$N91-INT($N91),1)))*
IF(ER$44=2,0,
IF(INT(DZ91)=INT(DY91),DZ91-DY91,INT(DZ91)-DY91))+
IF($N91&lt;=1,
IF($N91&gt;0,1/$N91,0),VDB(1,0,$N91,INT(ER$44-2),MIN($N91,INT(ER$44-2)+1),$DC91,IF($DD91="No",1,0))/
IF(DZ91&gt;INT($N91),$N91-INT($N91),1))*
IF(ER$44=2,DZ91,
IF(INT(DZ91)=INT(DY91),0,DZ91-INT(DZ91)))))</f>
        <v>0</v>
      </c>
      <c r="ES91" s="835">
        <f>+IF(OR(EA91=DZ91,ES$44=1),0,
IF(AND(ES$44&gt;1,EA91=$N91),1-SUM($EN91:ER91),
IF($N91&lt;=1,
IF($N91&gt;0,1/$N91,0),
IF(ES$44=2,0,VDB(1,0,$N91,INT(ES$44-2-1),MIN($N91,INT(ES$44-2-1)+1),$DC91,IF($DD91="No",1,0))/
IF(DZ91&gt;=INT($N91),$N91-INT($N91),1)))*
IF(ES$44=2,0,
IF(INT(EA91)=INT(DZ91),EA91-DZ91,INT(EA91)-DZ91))+
IF($N91&lt;=1,
IF($N91&gt;0,1/$N91,0),VDB(1,0,$N91,INT(ES$44-2),MIN($N91,INT(ES$44-2)+1),$DC91,IF($DD91="No",1,0))/
IF(EA91&gt;INT($N91),$N91-INT($N91),1))*
IF(ES$44=2,EA91,
IF(INT(EA91)=INT(DZ91),0,EA91-INT(EA91)))))</f>
        <v>0</v>
      </c>
      <c r="ET91" s="835">
        <f>+IF(OR(EB91=EA91,ET$44=1),0,
IF(AND(ET$44&gt;1,EB91=$N91),1-SUM($EN91:ES91),
IF($N91&lt;=1,
IF($N91&gt;0,1/$N91,0),
IF(ET$44=2,0,VDB(1,0,$N91,INT(ET$44-2-1),MIN($N91,INT(ET$44-2-1)+1),$DC91,IF($DD91="No",1,0))/
IF(EA91&gt;=INT($N91),$N91-INT($N91),1)))*
IF(ET$44=2,0,
IF(INT(EB91)=INT(EA91),EB91-EA91,INT(EB91)-EA91))+
IF($N91&lt;=1,
IF($N91&gt;0,1/$N91,0),VDB(1,0,$N91,INT(ET$44-2),MIN($N91,INT(ET$44-2)+1),$DC91,IF($DD91="No",1,0))/
IF(EB91&gt;INT($N91),$N91-INT($N91),1))*
IF(ET$44=2,EB91,
IF(INT(EB91)=INT(EA91),0,EB91-INT(EB91)))))</f>
        <v>0</v>
      </c>
      <c r="EU91" s="835">
        <f>+IF(OR(EC91=EB91,EU$44=1),0,
IF(AND(EU$44&gt;1,EC91=$N91),1-SUM($EN91:ET91),
IF($N91&lt;=1,
IF($N91&gt;0,1/$N91,0),
IF(EU$44=2,0,VDB(1,0,$N91,INT(EU$44-2-1),MIN($N91,INT(EU$44-2-1)+1),$DC91,IF($DD91="No",1,0))/
IF(EB91&gt;=INT($N91),$N91-INT($N91),1)))*
IF(EU$44=2,0,
IF(INT(EC91)=INT(EB91),EC91-EB91,INT(EC91)-EB91))+
IF($N91&lt;=1,
IF($N91&gt;0,1/$N91,0),VDB(1,0,$N91,INT(EU$44-2),MIN($N91,INT(EU$44-2)+1),$DC91,IF($DD91="No",1,0))/
IF(EC91&gt;INT($N91),$N91-INT($N91),1))*
IF(EU$44=2,EC91,
IF(INT(EC91)=INT(EB91),0,EC91-INT(EC91)))))</f>
        <v>0</v>
      </c>
      <c r="EV91" s="836">
        <f>+IF(OR(ED91=EC91,EV$44=1),0,
IF(AND(EV$44&gt;1,ED91=$N91),1-SUM($EN91:EU91),
IF($N91&lt;=1,
IF($N91&gt;0,1/$N91,0),
IF(EV$44=2,0,VDB(1,0,$N91,INT(EV$44-2-1),MIN($N91,INT(EV$44-2-1)+1),$DC91,IF($DD91="No",1,0))/
IF(EC91&gt;=INT($N91),$N91-INT($N91),1)))*
IF(EV$44=2,0,
IF(INT(ED91)=INT(EC91),ED91-EC91,INT(ED91)-EC91))+
IF($N91&lt;=1,
IF($N91&gt;0,1/$N91,0),VDB(1,0,$N91,INT(EV$44-2),MIN($N91,INT(EV$44-2)+1),$DC91,IF($DD91="No",1,0))/
IF(ED91&gt;INT($N91),$N91-INT($N91),1))*
IF(EV$44=2,ED91,
IF(INT(ED91)=INT(EC91),0,ED91-INT(ED91)))))</f>
        <v>0</v>
      </c>
      <c r="EW91" s="833"/>
      <c r="EX91" s="834">
        <f t="shared" ca="1" si="246"/>
        <v>0</v>
      </c>
      <c r="EY91" s="835">
        <f t="shared" ca="1" si="246"/>
        <v>0</v>
      </c>
      <c r="EZ91" s="836">
        <f t="shared" ca="1" si="246"/>
        <v>0</v>
      </c>
      <c r="FA91" s="834">
        <f t="shared" ca="1" si="246"/>
        <v>0</v>
      </c>
      <c r="FB91" s="835">
        <f t="shared" ca="1" si="246"/>
        <v>0</v>
      </c>
      <c r="FC91" s="835">
        <f t="shared" ca="1" si="246"/>
        <v>0</v>
      </c>
      <c r="FD91" s="835">
        <f t="shared" ca="1" si="246"/>
        <v>0</v>
      </c>
      <c r="FE91" s="836">
        <f t="shared" ca="1" si="246"/>
        <v>0</v>
      </c>
      <c r="FG91" s="386">
        <f t="shared" ca="1" si="237"/>
        <v>0</v>
      </c>
      <c r="FH91" s="387">
        <f t="shared" ca="1" si="238"/>
        <v>0</v>
      </c>
      <c r="FI91" s="388">
        <f t="shared" ca="1" si="239"/>
        <v>0</v>
      </c>
      <c r="FJ91" s="386">
        <f t="shared" ca="1" si="240"/>
        <v>0</v>
      </c>
      <c r="FK91" s="387">
        <f t="shared" ca="1" si="241"/>
        <v>0</v>
      </c>
      <c r="FL91" s="387">
        <f t="shared" ca="1" si="242"/>
        <v>0</v>
      </c>
      <c r="FM91" s="387">
        <f t="shared" ca="1" si="243"/>
        <v>0</v>
      </c>
      <c r="FN91" s="388">
        <f t="shared" ca="1" si="244"/>
        <v>0</v>
      </c>
      <c r="FR91" s="116"/>
    </row>
    <row r="92" spans="2:174">
      <c r="B92" s="1410">
        <f t="shared" si="135"/>
        <v>46</v>
      </c>
      <c r="C92" s="400" t="s">
        <v>575</v>
      </c>
      <c r="D92" s="410"/>
      <c r="E92" s="402" t="s">
        <v>402</v>
      </c>
      <c r="F92" s="402" t="s">
        <v>527</v>
      </c>
      <c r="G92" s="400" t="s">
        <v>525</v>
      </c>
      <c r="H92" s="2088" t="s">
        <v>483</v>
      </c>
      <c r="I92" s="2089"/>
      <c r="J92" s="411" t="s">
        <v>516</v>
      </c>
      <c r="K92" s="403" t="s">
        <v>544</v>
      </c>
      <c r="L92" s="403">
        <v>40</v>
      </c>
      <c r="M92" s="403" t="s">
        <v>142</v>
      </c>
      <c r="N92" s="403"/>
      <c r="O92" s="347"/>
      <c r="P92" s="347"/>
      <c r="Q92" s="1021">
        <v>2.5996328195121952</v>
      </c>
      <c r="R92" s="1022">
        <v>1.677390010707912</v>
      </c>
      <c r="S92" s="1022">
        <v>1.6364780592272314</v>
      </c>
      <c r="T92" s="1022">
        <v>1.5965639602216892</v>
      </c>
      <c r="U92" s="1023">
        <v>1.5576233758260387</v>
      </c>
      <c r="V92" s="1021">
        <v>3.2410516176439961</v>
      </c>
      <c r="W92" s="1022">
        <v>4.0678208480525644</v>
      </c>
      <c r="X92" s="1022">
        <v>4.0155868806236192</v>
      </c>
      <c r="Y92" s="1022">
        <v>3.9646276730922021</v>
      </c>
      <c r="Z92" s="1023">
        <v>3.9149107090429092</v>
      </c>
      <c r="AA92" s="1024"/>
      <c r="AB92" s="1021">
        <v>0</v>
      </c>
      <c r="AC92" s="1022">
        <v>0</v>
      </c>
      <c r="AD92" s="1022">
        <v>0</v>
      </c>
      <c r="AE92" s="1022">
        <v>0</v>
      </c>
      <c r="AF92" s="1023">
        <v>0</v>
      </c>
      <c r="AG92" s="1021">
        <v>0</v>
      </c>
      <c r="AH92" s="1022">
        <v>0</v>
      </c>
      <c r="AI92" s="1022">
        <v>0</v>
      </c>
      <c r="AJ92" s="1022">
        <v>0</v>
      </c>
      <c r="AK92" s="1023">
        <v>0</v>
      </c>
      <c r="AL92" s="1024"/>
      <c r="AM92" s="1021">
        <v>0</v>
      </c>
      <c r="AN92" s="1022">
        <v>0</v>
      </c>
      <c r="AO92" s="1022">
        <v>0</v>
      </c>
      <c r="AP92" s="1022">
        <v>0</v>
      </c>
      <c r="AQ92" s="1023">
        <v>0</v>
      </c>
      <c r="AR92" s="1021">
        <v>0</v>
      </c>
      <c r="AS92" s="1022">
        <v>0</v>
      </c>
      <c r="AT92" s="1022">
        <v>0</v>
      </c>
      <c r="AU92" s="1022">
        <v>0</v>
      </c>
      <c r="AV92" s="1023">
        <v>0</v>
      </c>
      <c r="AW92" s="1025"/>
      <c r="AX92" s="1282">
        <f t="shared" si="191"/>
        <v>2.5996328195121952</v>
      </c>
      <c r="AY92" s="387">
        <f t="shared" si="192"/>
        <v>1.677390010707912</v>
      </c>
      <c r="AZ92" s="387">
        <f t="shared" si="193"/>
        <v>1.6364780592272314</v>
      </c>
      <c r="BA92" s="387">
        <f t="shared" si="194"/>
        <v>1.5965639602216892</v>
      </c>
      <c r="BB92" s="1283">
        <f t="shared" si="195"/>
        <v>1.5576233758260387</v>
      </c>
      <c r="BC92" s="386">
        <f t="shared" si="196"/>
        <v>3.2410516176439961</v>
      </c>
      <c r="BD92" s="387">
        <f t="shared" si="197"/>
        <v>4.0678208480525644</v>
      </c>
      <c r="BE92" s="1277">
        <f t="shared" si="198"/>
        <v>4.0155868806236192</v>
      </c>
      <c r="BF92" s="1277">
        <f t="shared" si="199"/>
        <v>3.9646276730922021</v>
      </c>
      <c r="BG92" s="388">
        <f t="shared" si="200"/>
        <v>3.9149107090429092</v>
      </c>
      <c r="BH92" s="1025"/>
      <c r="BI92" s="1282">
        <f t="shared" ca="1" si="201"/>
        <v>3.2495410243902442E-2</v>
      </c>
      <c r="BJ92" s="387">
        <f t="shared" ca="1" si="202"/>
        <v>8.5958195621653785E-2</v>
      </c>
      <c r="BK92" s="387">
        <f t="shared" ca="1" si="203"/>
        <v>0.12738154649584307</v>
      </c>
      <c r="BL92" s="387">
        <f t="shared" ca="1" si="204"/>
        <v>0.16779457173895457</v>
      </c>
      <c r="BM92" s="1283">
        <f t="shared" ca="1" si="205"/>
        <v>0.20722191343955118</v>
      </c>
      <c r="BN92" s="386">
        <f t="shared" ca="1" si="206"/>
        <v>0.26720535085792663</v>
      </c>
      <c r="BO92" s="387">
        <f t="shared" ca="1" si="207"/>
        <v>0.35856625667913361</v>
      </c>
      <c r="BP92" s="1277">
        <f t="shared" ca="1" si="208"/>
        <v>0.45960885328758594</v>
      </c>
      <c r="BQ92" s="1277">
        <f t="shared" ca="1" si="209"/>
        <v>0.55936153520903376</v>
      </c>
      <c r="BR92" s="388">
        <f t="shared" ca="1" si="210"/>
        <v>0.65785576498572262</v>
      </c>
      <c r="BS92" s="1025"/>
      <c r="BT92" s="1282">
        <f>+IF($K92="Ongoing",AX92,IF(RIGHT($K92,2)=RIGHT(BT$43,2),SUM($AX92:AX92),0)+IF(RIGHT(BT$43,2)&gt;RIGHT($K92,2),AX92,0))</f>
        <v>2.5996328195121952</v>
      </c>
      <c r="BU92" s="387">
        <f>+IF($K92="Ongoing",AY92,IF(RIGHT($K92,2)=RIGHT(BU$43,2),SUM($AX92:AY92),0)+IF(RIGHT(BU$43,2)&gt;RIGHT($K92,2),AY92,0))</f>
        <v>1.677390010707912</v>
      </c>
      <c r="BV92" s="387">
        <f>+IF($K92="Ongoing",AZ92,IF(RIGHT($K92,2)=RIGHT(BV$43,2),SUM($AX92:AZ92),0)+IF(RIGHT(BV$43,2)&gt;RIGHT($K92,2),AZ92,0))</f>
        <v>1.6364780592272314</v>
      </c>
      <c r="BW92" s="387">
        <f>+IF($K92="Ongoing",BA92,IF(RIGHT($K92,2)=RIGHT(BW$43,2),SUM($AX92:BA92),0)+IF(RIGHT(BW$43,2)&gt;RIGHT($K92,2),BA92,0))</f>
        <v>1.5965639602216892</v>
      </c>
      <c r="BX92" s="1283">
        <f>+IF($K92="Ongoing",BB92,IF(RIGHT($K92,2)=RIGHT(BX$43,2),SUM($AX92:BB92),0)+IF(RIGHT(BX$43,2)&gt;RIGHT($K92,2),BB92,0))</f>
        <v>1.5576233758260387</v>
      </c>
      <c r="BY92" s="386">
        <f>+IF($K92="Ongoing",BC92,IF(RIGHT($K92,2)=RIGHT(BY$43,2),SUM($AX92:BC92),0)+IF(RIGHT(BY$43,2)&gt;RIGHT($K92,2),BC92,0))</f>
        <v>3.2410516176439961</v>
      </c>
      <c r="BZ92" s="387">
        <f>+IF($K92="Ongoing",BD92,IF(RIGHT($K92,2)=RIGHT(BZ$43,2),SUM($AX92:BD92),0)+IF(RIGHT(BZ$43,2)&gt;RIGHT($K92,2),BD92,0))</f>
        <v>4.0678208480525644</v>
      </c>
      <c r="CA92" s="1277">
        <f>+IF($K92="Ongoing",BE92,IF(RIGHT($K92,2)=RIGHT(CA$43,2),SUM($AX92:BE92),0)+IF(RIGHT(CA$43,2)&gt;RIGHT($K92,2),BE92,0))</f>
        <v>4.0155868806236192</v>
      </c>
      <c r="CB92" s="1277">
        <f>+IF($K92="Ongoing",BF92,IF(RIGHT($K92,2)=RIGHT(CB$43,2),SUM($AX92:BF92),0)+IF(RIGHT(CB$43,2)&gt;RIGHT($K92,2),BF92,0))</f>
        <v>3.9646276730922021</v>
      </c>
      <c r="CC92" s="388">
        <f>+IF($K92="Ongoing",BG92,IF(RIGHT($K92,2)=RIGHT(CC$43,2),SUM($AX92:BG92),0)+IF(RIGHT(CC$43,2)&gt;RIGHT($K92,2),BG92,0))</f>
        <v>3.9149107090429092</v>
      </c>
      <c r="CD92" s="1025"/>
      <c r="CE92" s="1282">
        <f>+Q92*KeyAssumptionsPriceControl_FO!AF$15</f>
        <v>2.6750221712780484</v>
      </c>
      <c r="CF92" s="387">
        <f>+R92*KeyAssumptionsPriceControl_FO!AG$15</f>
        <v>1.7760893163279761</v>
      </c>
      <c r="CG92" s="387">
        <f>+S92*KeyAssumptionsPriceControl_FO!AH$15</f>
        <v>1.783020396586817</v>
      </c>
      <c r="CH92" s="387">
        <f>+T92*KeyAssumptionsPriceControl_FO!AI$15</f>
        <v>1.7899785249637412</v>
      </c>
      <c r="CI92" s="1283">
        <f>+U92*KeyAssumptionsPriceControl_FO!AJ$15</f>
        <v>1.7969638070123806</v>
      </c>
      <c r="CJ92" s="386">
        <f>+V92*KeyAssumptionsPriceControl_FO!AK$15</f>
        <v>3.8474961712361302</v>
      </c>
      <c r="CK92" s="387">
        <f>+W92*KeyAssumptionsPriceControl_FO!AL$15</f>
        <v>4.9690050844886846</v>
      </c>
      <c r="CL92" s="1277">
        <f>+X92*KeyAssumptionsPriceControl_FO!AM$15</f>
        <v>5.0474499913235178</v>
      </c>
      <c r="CM92" s="1277">
        <f>+Y92*KeyAssumptionsPriceControl_FO!AN$15</f>
        <v>5.1279145648724453</v>
      </c>
      <c r="CN92" s="388">
        <f>+Z92*KeyAssumptionsPriceControl_FO!AO$15</f>
        <v>5.2104545117780701</v>
      </c>
      <c r="CO92" s="1025"/>
      <c r="CP92" s="1282">
        <f t="shared" ca="1" si="211"/>
        <v>0</v>
      </c>
      <c r="CQ92" s="387">
        <f t="shared" ca="1" si="212"/>
        <v>0</v>
      </c>
      <c r="CR92" s="387">
        <f t="shared" ca="1" si="213"/>
        <v>0</v>
      </c>
      <c r="CS92" s="387">
        <f t="shared" ca="1" si="214"/>
        <v>0</v>
      </c>
      <c r="CT92" s="1283">
        <f t="shared" ca="1" si="215"/>
        <v>0</v>
      </c>
      <c r="CU92" s="386">
        <f t="shared" ca="1" si="216"/>
        <v>0</v>
      </c>
      <c r="CV92" s="387">
        <f t="shared" ca="1" si="217"/>
        <v>0</v>
      </c>
      <c r="CW92" s="1277">
        <f t="shared" ca="1" si="218"/>
        <v>0</v>
      </c>
      <c r="CX92" s="1277">
        <f t="shared" ca="1" si="219"/>
        <v>0</v>
      </c>
      <c r="CY92" s="388">
        <f t="shared" ca="1" si="220"/>
        <v>0</v>
      </c>
      <c r="CZ92" s="347"/>
      <c r="DA92" s="852"/>
      <c r="DB92" s="347"/>
      <c r="DC92" s="1012" t="s">
        <v>578</v>
      </c>
      <c r="DD92" s="841" t="s">
        <v>518</v>
      </c>
      <c r="DE92" s="386">
        <f>+IF($K92="ongoing",CE92,IF(RIGHT($K92,2)=RIGHT(DE$43,2),SUM($CD92:CE92),0)+IF(RIGHT(DE$43,2)&gt;RIGHT($K92,2),CE92,0))</f>
        <v>2.6750221712780484</v>
      </c>
      <c r="DF92" s="387">
        <f>+IF($K92="ongoing",CF92,IF(RIGHT($K92,2)=RIGHT(DF$43,2),SUM($CD92:CF92),0)+IF(RIGHT(DF$43,2)&gt;RIGHT($K92,2),CF92,0))</f>
        <v>1.7760893163279761</v>
      </c>
      <c r="DG92" s="388">
        <f>+IF($K92="ongoing",CG92,IF(RIGHT($K92,2)=RIGHT(DG$43,2),SUM($CD92:CG92),0)+IF(RIGHT(DG$43,2)&gt;RIGHT($K92,2),CG92,0))</f>
        <v>1.783020396586817</v>
      </c>
      <c r="DH92" s="386">
        <f>+IF($K92="ongoing",CH92,IF(RIGHT($K92,2)=RIGHT(DH$43,2),SUM($CD92:CH92),0)+IF(RIGHT(DH$43,2)&gt;RIGHT($K92,2),CH92,0))</f>
        <v>1.7899785249637412</v>
      </c>
      <c r="DI92" s="387">
        <f>+IF($K92="ongoing",CI92,IF(RIGHT($K92,2)=RIGHT(DI$43,2),SUM($CD92:CI92),0)+IF(RIGHT(DI$43,2)&gt;RIGHT($K92,2),CI92,0))</f>
        <v>1.7969638070123806</v>
      </c>
      <c r="DJ92" s="387">
        <f>+IF($K92="ongoing",CJ92,IF(RIGHT($K92,2)=RIGHT(DJ$43,2),SUM($CD92:CJ92),0)+IF(RIGHT(DJ$43,2)&gt;RIGHT($K92,2),CJ92,0))</f>
        <v>3.8474961712361302</v>
      </c>
      <c r="DK92" s="387">
        <f>+IF($K92="ongoing",CK92,IF(RIGHT($K92,2)=RIGHT(DK$43,2),SUM($CD92:CK92),0)+IF(RIGHT(DK$43,2)&gt;RIGHT($K92,2),CK92,0))</f>
        <v>4.9690050844886846</v>
      </c>
      <c r="DL92" s="388">
        <f>+IF($K92="ongoing",CN92,IF(RIGHT($K92,2)=RIGHT(DL$43,2),SUM($CD92:CN92),0)+IF(RIGHT(DL$43,2)&gt;RIGHT($K92,2),CN92,0))</f>
        <v>5.2104545117780701</v>
      </c>
      <c r="DM92" s="841"/>
      <c r="DN92" s="386">
        <f t="shared" si="221"/>
        <v>0.5</v>
      </c>
      <c r="DO92" s="387">
        <f t="shared" si="222"/>
        <v>1</v>
      </c>
      <c r="DP92" s="388">
        <f t="shared" si="223"/>
        <v>1</v>
      </c>
      <c r="DQ92" s="386">
        <f t="shared" si="224"/>
        <v>1</v>
      </c>
      <c r="DR92" s="387">
        <f t="shared" si="225"/>
        <v>1</v>
      </c>
      <c r="DS92" s="387">
        <f t="shared" si="226"/>
        <v>1</v>
      </c>
      <c r="DT92" s="387">
        <f t="shared" si="227"/>
        <v>1</v>
      </c>
      <c r="DU92" s="388">
        <f t="shared" si="228"/>
        <v>1</v>
      </c>
      <c r="DW92" s="386">
        <f t="shared" si="229"/>
        <v>0</v>
      </c>
      <c r="DX92" s="387">
        <f t="shared" si="230"/>
        <v>0.5</v>
      </c>
      <c r="DY92" s="388">
        <f t="shared" si="231"/>
        <v>1</v>
      </c>
      <c r="DZ92" s="386">
        <f t="shared" si="232"/>
        <v>1</v>
      </c>
      <c r="EA92" s="387">
        <f t="shared" si="233"/>
        <v>1</v>
      </c>
      <c r="EB92" s="387">
        <f t="shared" si="234"/>
        <v>1</v>
      </c>
      <c r="EC92" s="387">
        <f t="shared" si="235"/>
        <v>1</v>
      </c>
      <c r="ED92" s="388">
        <f t="shared" si="236"/>
        <v>1</v>
      </c>
      <c r="EF92" s="834">
        <f>+IF(DN92=DM92,0,
IF(AND(EF$44&gt;1,DN92=$N92),1-SUM($EE92:EE92),
IF($N92&lt;=1,
IF($N92&gt;0,1/$N92,0),
IF(EF$44=1,0,VDB(1,0,$N92,INT(EF$44-1-1),MIN($N92,INT(EF$44-1-1)+1),$DC92,IF($DD92="No",1,0))/
IF(DM92&gt;=INT($N92),$N92-INT($N92),1)))*
IF(EF$44=1,0,
IF(INT(DN92)=INT(DM92),DN92-DM92,INT(DN92)-DM92))+
IF($N92&lt;=1,
IF($N92&gt;0,1/$N92,0),VDB(1,0,$N92,INT(EF$44-1),MIN($N92,INT(EF$44-1)+1),$DC92,IF($DD92="No",1,0))/
IF(DN92&gt;INT($N92),$N92-INT($N92),1))*
IF(EF$44=1,DN92,
IF(INT(DN92)=INT(DM92),0,DN92-INT(DN92)))))</f>
        <v>0</v>
      </c>
      <c r="EG92" s="835">
        <f>+IF(DO92=DN92,0,
IF(AND(EG$44&gt;1,DO92=$N92),1-SUM($EE92:EF92),
IF($N92&lt;=1,
IF($N92&gt;0,1/$N92,0),
IF(EG$44=1,0,VDB(1,0,$N92,INT(EG$44-1-1),MIN($N92,INT(EG$44-1-1)+1),$DC92,IF($DD92="No",1,0))/
IF(DN92&gt;=INT($N92),$N92-INT($N92),1)))*
IF(EG$44=1,0,
IF(INT(DO92)=INT(DN92),DO92-DN92,INT(DO92)-DN92))+
IF($N92&lt;=1,
IF($N92&gt;0,1/$N92,0),VDB(1,0,$N92,INT(EG$44-1),MIN($N92,INT(EG$44-1)+1),$DC92,IF($DD92="No",1,0))/
IF(DO92&gt;INT($N92),$N92-INT($N92),1))*
IF(EG$44=1,DO92,
IF(INT(DO92)=INT(DN92),0,DO92-INT(DO92)))))</f>
        <v>0</v>
      </c>
      <c r="EH92" s="836">
        <f>+IF(DP92=DO92,0,
IF(AND(EH$44&gt;1,DP92=$N92),1-SUM($EE92:EG92),
IF($N92&lt;=1,
IF($N92&gt;0,1/$N92,0),
IF(EH$44=1,0,VDB(1,0,$N92,INT(EH$44-1-1),MIN($N92,INT(EH$44-1-1)+1),$DC92,IF($DD92="No",1,0))/
IF(DO92&gt;=INT($N92),$N92-INT($N92),1)))*
IF(EH$44=1,0,
IF(INT(DP92)=INT(DO92),DP92-DO92,INT(DP92)-DO92))+
IF($N92&lt;=1,
IF($N92&gt;0,1/$N92,0),VDB(1,0,$N92,INT(EH$44-1),MIN($N92,INT(EH$44-1)+1),$DC92,IF($DD92="No",1,0))/
IF(DP92&gt;INT($N92),$N92-INT($N92),1))*
IF(EH$44=1,DP92,
IF(INT(DP92)=INT(DO92),0,DP92-INT(DP92)))))</f>
        <v>0</v>
      </c>
      <c r="EI92" s="834">
        <f>+IF(DQ92=DP92,0,
IF(AND(EI$44&gt;1,DQ92=$N92),1-SUM($EE92:EH92),
IF($N92&lt;=1,
IF($N92&gt;0,1/$N92,0),
IF(EI$44=1,0,VDB(1,0,$N92,INT(EI$44-1-1),MIN($N92,INT(EI$44-1-1)+1),$DC92,IF($DD92="No",1,0))/
IF(DP92&gt;=INT($N92),$N92-INT($N92),1)))*
IF(EI$44=1,0,
IF(INT(DQ92)=INT(DP92),DQ92-DP92,INT(DQ92)-DP92))+
IF($N92&lt;=1,
IF($N92&gt;0,1/$N92,0),VDB(1,0,$N92,INT(EI$44-1),MIN($N92,INT(EI$44-1)+1),$DC92,IF($DD92="No",1,0))/
IF(DQ92&gt;INT($N92),$N92-INT($N92),1))*
IF(EI$44=1,DQ92,
IF(INT(DQ92)=INT(DP92),0,DQ92-INT(DQ92)))))</f>
        <v>0</v>
      </c>
      <c r="EJ92" s="835">
        <f>+IF(DR92=DQ92,0,
IF(AND(EJ$44&gt;1,DR92=$N92),1-SUM($EE92:EI92),
IF($N92&lt;=1,
IF($N92&gt;0,1/$N92,0),
IF(EJ$44=1,0,VDB(1,0,$N92,INT(EJ$44-1-1),MIN($N92,INT(EJ$44-1-1)+1),$DC92,IF($DD92="No",1,0))/
IF(DQ92&gt;=INT($N92),$N92-INT($N92),1)))*
IF(EJ$44=1,0,
IF(INT(DR92)=INT(DQ92),DR92-DQ92,INT(DR92)-DQ92))+
IF($N92&lt;=1,
IF($N92&gt;0,1/$N92,0),VDB(1,0,$N92,INT(EJ$44-1),MIN($N92,INT(EJ$44-1)+1),$DC92,IF($DD92="No",1,0))/
IF(DR92&gt;INT($N92),$N92-INT($N92),1))*
IF(EJ$44=1,DR92,
IF(INT(DR92)=INT(DQ92),0,DR92-INT(DR92)))))</f>
        <v>0</v>
      </c>
      <c r="EK92" s="835">
        <f>+IF(DS92=DR92,0,
IF(AND(EK$44&gt;1,DS92=$N92),1-SUM($EE92:EJ92),
IF($N92&lt;=1,
IF($N92&gt;0,1/$N92,0),
IF(EK$44=1,0,VDB(1,0,$N92,INT(EK$44-1-1),MIN($N92,INT(EK$44-1-1)+1),$DC92,IF($DD92="No",1,0))/
IF(DR92&gt;=INT($N92),$N92-INT($N92),1)))*
IF(EK$44=1,0,
IF(INT(DS92)=INT(DR92),DS92-DR92,INT(DS92)-DR92))+
IF($N92&lt;=1,
IF($N92&gt;0,1/$N92,0),VDB(1,0,$N92,INT(EK$44-1),MIN($N92,INT(EK$44-1)+1),$DC92,IF($DD92="No",1,0))/
IF(DS92&gt;INT($N92),$N92-INT($N92),1))*
IF(EK$44=1,DS92,
IF(INT(DS92)=INT(DR92),0,DS92-INT(DS92)))))</f>
        <v>0</v>
      </c>
      <c r="EL92" s="835">
        <f>+IF(DT92=DS92,0,
IF(AND(EL$44&gt;1,DT92=$N92),1-SUM($EE92:EK92),
IF($N92&lt;=1,
IF($N92&gt;0,1/$N92,0),
IF(EL$44=1,0,VDB(1,0,$N92,INT(EL$44-1-1),MIN($N92,INT(EL$44-1-1)+1),$DC92,IF($DD92="No",1,0))/
IF(DS92&gt;=INT($N92),$N92-INT($N92),1)))*
IF(EL$44=1,0,
IF(INT(DT92)=INT(DS92),DT92-DS92,INT(DT92)-DS92))+
IF($N92&lt;=1,
IF($N92&gt;0,1/$N92,0),VDB(1,0,$N92,INT(EL$44-1),MIN($N92,INT(EL$44-1)+1),$DC92,IF($DD92="No",1,0))/
IF(DT92&gt;INT($N92),$N92-INT($N92),1))*
IF(EL$44=1,DT92,
IF(INT(DT92)=INT(DS92),0,DT92-INT(DT92)))))</f>
        <v>0</v>
      </c>
      <c r="EM92" s="836">
        <f>+IF(DU92=DT92,0,
IF(AND(EM$44&gt;1,DU92=$N92),1-SUM($EE92:EL92),
IF($N92&lt;=1,
IF($N92&gt;0,1/$N92,0),
IF(EM$44=1,0,VDB(1,0,$N92,INT(EM$44-1-1),MIN($N92,INT(EM$44-1-1)+1),$DC92,IF($DD92="No",1,0))/
IF(DT92&gt;=INT($N92),$N92-INT($N92),1)))*
IF(EM$44=1,0,
IF(INT(DU92)=INT(DT92),DU92-DT92,INT(DU92)-DT92))+
IF($N92&lt;=1,
IF($N92&gt;0,1/$N92,0),VDB(1,0,$N92,INT(EM$44-1),MIN($N92,INT(EM$44-1)+1),$DC92,IF($DD92="No",1,0))/
IF(DU92&gt;INT($N92),$N92-INT($N92),1))*
IF(EM$44=1,DU92,
IF(INT(DU92)=INT(DT92),0,DU92-INT(DU92)))))</f>
        <v>0</v>
      </c>
      <c r="EN92" s="833"/>
      <c r="EO92" s="834">
        <f>+IF(OR(DW92=DV92,EO$44=1),0,
IF(AND(EO$44&gt;1,DW92=$N92),1-SUM($EN92:EN92),
IF($N92&lt;=1,
IF($N92&gt;0,1/$N92,0),
IF(EO$44=2,0,VDB(1,0,$N92,INT(EO$44-2-1),MIN($N92,INT(EO$44-2-1)+1),$DC92,IF($DD92="No",1,0))/
IF(DV92&gt;=INT($N92),$N92-INT($N92),1)))*
IF(EO$44=2,0,
IF(INT(DW92)=INT(DV92),DW92-DV92,INT(DW92)-DV92))+
IF($N92&lt;=1,
IF($N92&gt;0,1/$N92,0),VDB(1,0,$N92,INT(EO$44-2),MIN($N92,INT(EO$44-2)+1),$DC92,IF($DD92="No",1,0))/
IF(DW92&gt;INT($N92),$N92-INT($N92),1))*
IF(EO$44=2,DW92,
IF(INT(DW92)=INT(DV92),0,DW92-INT(DW92)))))</f>
        <v>0</v>
      </c>
      <c r="EP92" s="835">
        <f>+IF(OR(DX92=DW92,EP$44=1),0,
IF(AND(EP$44&gt;1,DX92=$N92),1-SUM($EN92:EO92),
IF($N92&lt;=1,
IF($N92&gt;0,1/$N92,0),
IF(EP$44=2,0,VDB(1,0,$N92,INT(EP$44-2-1),MIN($N92,INT(EP$44-2-1)+1),$DC92,IF($DD92="No",1,0))/
IF(DW92&gt;=INT($N92),$N92-INT($N92),1)))*
IF(EP$44=2,0,
IF(INT(DX92)=INT(DW92),DX92-DW92,INT(DX92)-DW92))+
IF($N92&lt;=1,
IF($N92&gt;0,1/$N92,0),VDB(1,0,$N92,INT(EP$44-2),MIN($N92,INT(EP$44-2)+1),$DC92,IF($DD92="No",1,0))/
IF(DX92&gt;INT($N92),$N92-INT($N92),1))*
IF(EP$44=2,DX92,
IF(INT(DX92)=INT(DW92),0,DX92-INT(DX92)))))</f>
        <v>0</v>
      </c>
      <c r="EQ92" s="836">
        <f>+IF(OR(DY92=DX92,EQ$44=1),0,
IF(AND(EQ$44&gt;1,DY92=$N92),1-SUM($EN92:EP92),
IF($N92&lt;=1,
IF($N92&gt;0,1/$N92,0),
IF(EQ$44=2,0,VDB(1,0,$N92,INT(EQ$44-2-1),MIN($N92,INT(EQ$44-2-1)+1),$DC92,IF($DD92="No",1,0))/
IF(DX92&gt;=INT($N92),$N92-INT($N92),1)))*
IF(EQ$44=2,0,
IF(INT(DY92)=INT(DX92),DY92-DX92,INT(DY92)-DX92))+
IF($N92&lt;=1,
IF($N92&gt;0,1/$N92,0),VDB(1,0,$N92,INT(EQ$44-2),MIN($N92,INT(EQ$44-2)+1),$DC92,IF($DD92="No",1,0))/
IF(DY92&gt;INT($N92),$N92-INT($N92),1))*
IF(EQ$44=2,DY92,
IF(INT(DY92)=INT(DX92),0,DY92-INT(DY92)))))</f>
        <v>0</v>
      </c>
      <c r="ER92" s="834">
        <f>+IF(OR(DZ92=DY92,ER$44=1),0,
IF(AND(ER$44&gt;1,DZ92=$N92),1-SUM($EN92:EQ92),
IF($N92&lt;=1,
IF($N92&gt;0,1/$N92,0),
IF(ER$44=2,0,VDB(1,0,$N92,INT(ER$44-2-1),MIN($N92,INT(ER$44-2-1)+1),$DC92,IF($DD92="No",1,0))/
IF(DY92&gt;=INT($N92),$N92-INT($N92),1)))*
IF(ER$44=2,0,
IF(INT(DZ92)=INT(DY92),DZ92-DY92,INT(DZ92)-DY92))+
IF($N92&lt;=1,
IF($N92&gt;0,1/$N92,0),VDB(1,0,$N92,INT(ER$44-2),MIN($N92,INT(ER$44-2)+1),$DC92,IF($DD92="No",1,0))/
IF(DZ92&gt;INT($N92),$N92-INT($N92),1))*
IF(ER$44=2,DZ92,
IF(INT(DZ92)=INT(DY92),0,DZ92-INT(DZ92)))))</f>
        <v>0</v>
      </c>
      <c r="ES92" s="835">
        <f>+IF(OR(EA92=DZ92,ES$44=1),0,
IF(AND(ES$44&gt;1,EA92=$N92),1-SUM($EN92:ER92),
IF($N92&lt;=1,
IF($N92&gt;0,1/$N92,0),
IF(ES$44=2,0,VDB(1,0,$N92,INT(ES$44-2-1),MIN($N92,INT(ES$44-2-1)+1),$DC92,IF($DD92="No",1,0))/
IF(DZ92&gt;=INT($N92),$N92-INT($N92),1)))*
IF(ES$44=2,0,
IF(INT(EA92)=INT(DZ92),EA92-DZ92,INT(EA92)-DZ92))+
IF($N92&lt;=1,
IF($N92&gt;0,1/$N92,0),VDB(1,0,$N92,INT(ES$44-2),MIN($N92,INT(ES$44-2)+1),$DC92,IF($DD92="No",1,0))/
IF(EA92&gt;INT($N92),$N92-INT($N92),1))*
IF(ES$44=2,EA92,
IF(INT(EA92)=INT(DZ92),0,EA92-INT(EA92)))))</f>
        <v>0</v>
      </c>
      <c r="ET92" s="835">
        <f>+IF(OR(EB92=EA92,ET$44=1),0,
IF(AND(ET$44&gt;1,EB92=$N92),1-SUM($EN92:ES92),
IF($N92&lt;=1,
IF($N92&gt;0,1/$N92,0),
IF(ET$44=2,0,VDB(1,0,$N92,INT(ET$44-2-1),MIN($N92,INT(ET$44-2-1)+1),$DC92,IF($DD92="No",1,0))/
IF(EA92&gt;=INT($N92),$N92-INT($N92),1)))*
IF(ET$44=2,0,
IF(INT(EB92)=INT(EA92),EB92-EA92,INT(EB92)-EA92))+
IF($N92&lt;=1,
IF($N92&gt;0,1/$N92,0),VDB(1,0,$N92,INT(ET$44-2),MIN($N92,INT(ET$44-2)+1),$DC92,IF($DD92="No",1,0))/
IF(EB92&gt;INT($N92),$N92-INT($N92),1))*
IF(ET$44=2,EB92,
IF(INT(EB92)=INT(EA92),0,EB92-INT(EB92)))))</f>
        <v>0</v>
      </c>
      <c r="EU92" s="835">
        <f>+IF(OR(EC92=EB92,EU$44=1),0,
IF(AND(EU$44&gt;1,EC92=$N92),1-SUM($EN92:ET92),
IF($N92&lt;=1,
IF($N92&gt;0,1/$N92,0),
IF(EU$44=2,0,VDB(1,0,$N92,INT(EU$44-2-1),MIN($N92,INT(EU$44-2-1)+1),$DC92,IF($DD92="No",1,0))/
IF(EB92&gt;=INT($N92),$N92-INT($N92),1)))*
IF(EU$44=2,0,
IF(INT(EC92)=INT(EB92),EC92-EB92,INT(EC92)-EB92))+
IF($N92&lt;=1,
IF($N92&gt;0,1/$N92,0),VDB(1,0,$N92,INT(EU$44-2),MIN($N92,INT(EU$44-2)+1),$DC92,IF($DD92="No",1,0))/
IF(EC92&gt;INT($N92),$N92-INT($N92),1))*
IF(EU$44=2,EC92,
IF(INT(EC92)=INT(EB92),0,EC92-INT(EC92)))))</f>
        <v>0</v>
      </c>
      <c r="EV92" s="836">
        <f>+IF(OR(ED92=EC92,EV$44=1),0,
IF(AND(EV$44&gt;1,ED92=$N92),1-SUM($EN92:EU92),
IF($N92&lt;=1,
IF($N92&gt;0,1/$N92,0),
IF(EV$44=2,0,VDB(1,0,$N92,INT(EV$44-2-1),MIN($N92,INT(EV$44-2-1)+1),$DC92,IF($DD92="No",1,0))/
IF(EC92&gt;=INT($N92),$N92-INT($N92),1)))*
IF(EV$44=2,0,
IF(INT(ED92)=INT(EC92),ED92-EC92,INT(ED92)-EC92))+
IF($N92&lt;=1,
IF($N92&gt;0,1/$N92,0),VDB(1,0,$N92,INT(EV$44-2),MIN($N92,INT(EV$44-2)+1),$DC92,IF($DD92="No",1,0))/
IF(ED92&gt;INT($N92),$N92-INT($N92),1))*
IF(EV$44=2,ED92,
IF(INT(ED92)=INT(EC92),0,ED92-INT(ED92)))))</f>
        <v>0</v>
      </c>
      <c r="EW92" s="833"/>
      <c r="EX92" s="834">
        <f t="shared" ca="1" si="246"/>
        <v>0</v>
      </c>
      <c r="EY92" s="835">
        <f t="shared" ca="1" si="246"/>
        <v>0</v>
      </c>
      <c r="EZ92" s="836">
        <f t="shared" ca="1" si="246"/>
        <v>0</v>
      </c>
      <c r="FA92" s="834">
        <f t="shared" ca="1" si="246"/>
        <v>0</v>
      </c>
      <c r="FB92" s="835">
        <f t="shared" ca="1" si="246"/>
        <v>0</v>
      </c>
      <c r="FC92" s="835">
        <f t="shared" ca="1" si="246"/>
        <v>0</v>
      </c>
      <c r="FD92" s="835">
        <f t="shared" ca="1" si="246"/>
        <v>0</v>
      </c>
      <c r="FE92" s="836">
        <f t="shared" ca="1" si="246"/>
        <v>0</v>
      </c>
      <c r="FG92" s="386">
        <f t="shared" ca="1" si="237"/>
        <v>0</v>
      </c>
      <c r="FH92" s="387">
        <f t="shared" ca="1" si="238"/>
        <v>0</v>
      </c>
      <c r="FI92" s="388">
        <f t="shared" ca="1" si="239"/>
        <v>0</v>
      </c>
      <c r="FJ92" s="386">
        <f t="shared" ca="1" si="240"/>
        <v>0</v>
      </c>
      <c r="FK92" s="387">
        <f t="shared" ca="1" si="241"/>
        <v>0</v>
      </c>
      <c r="FL92" s="387">
        <f t="shared" ca="1" si="242"/>
        <v>0</v>
      </c>
      <c r="FM92" s="387">
        <f t="shared" ca="1" si="243"/>
        <v>0</v>
      </c>
      <c r="FN92" s="388">
        <f t="shared" ca="1" si="244"/>
        <v>0</v>
      </c>
      <c r="FR92" s="116"/>
    </row>
    <row r="93" spans="2:174">
      <c r="B93" s="1410">
        <f t="shared" si="135"/>
        <v>47</v>
      </c>
      <c r="C93" s="400" t="s">
        <v>575</v>
      </c>
      <c r="D93" s="410"/>
      <c r="E93" s="402" t="s">
        <v>402</v>
      </c>
      <c r="F93" s="402" t="s">
        <v>527</v>
      </c>
      <c r="G93" s="400" t="s">
        <v>525</v>
      </c>
      <c r="H93" s="2088" t="s">
        <v>483</v>
      </c>
      <c r="I93" s="2089"/>
      <c r="J93" s="411" t="s">
        <v>516</v>
      </c>
      <c r="K93" s="403" t="s">
        <v>544</v>
      </c>
      <c r="L93" s="403">
        <v>90</v>
      </c>
      <c r="M93" s="403" t="s">
        <v>142</v>
      </c>
      <c r="N93" s="403"/>
      <c r="O93" s="347"/>
      <c r="P93" s="347"/>
      <c r="Q93" s="1021">
        <v>13.039098883902442</v>
      </c>
      <c r="R93" s="1022">
        <v>15.022831816490186</v>
      </c>
      <c r="S93" s="1022">
        <v>16.31119488852455</v>
      </c>
      <c r="T93" s="1022">
        <v>17.989317852192038</v>
      </c>
      <c r="U93" s="1023">
        <v>19.913110010434412</v>
      </c>
      <c r="V93" s="1021">
        <v>15.492784315088475</v>
      </c>
      <c r="W93" s="1022">
        <v>12.547271601408486</v>
      </c>
      <c r="X93" s="1022">
        <v>7.9147530096229994</v>
      </c>
      <c r="Y93" s="1022">
        <v>32.742905333892317</v>
      </c>
      <c r="Z93" s="1023">
        <v>6.7009777118941747</v>
      </c>
      <c r="AA93" s="1024"/>
      <c r="AB93" s="1021">
        <v>0</v>
      </c>
      <c r="AC93" s="1022">
        <v>0</v>
      </c>
      <c r="AD93" s="1022">
        <v>0</v>
      </c>
      <c r="AE93" s="1022">
        <v>0</v>
      </c>
      <c r="AF93" s="1023">
        <v>0</v>
      </c>
      <c r="AG93" s="1021">
        <v>0</v>
      </c>
      <c r="AH93" s="1022">
        <v>0</v>
      </c>
      <c r="AI93" s="1022">
        <v>0</v>
      </c>
      <c r="AJ93" s="1022">
        <v>0</v>
      </c>
      <c r="AK93" s="1023">
        <v>0</v>
      </c>
      <c r="AL93" s="1024"/>
      <c r="AM93" s="1021">
        <v>0</v>
      </c>
      <c r="AN93" s="1022">
        <v>0</v>
      </c>
      <c r="AO93" s="1022">
        <v>0</v>
      </c>
      <c r="AP93" s="1022">
        <v>0</v>
      </c>
      <c r="AQ93" s="1023">
        <v>0</v>
      </c>
      <c r="AR93" s="1021">
        <v>0</v>
      </c>
      <c r="AS93" s="1022">
        <v>0</v>
      </c>
      <c r="AT93" s="1022">
        <v>0</v>
      </c>
      <c r="AU93" s="1022">
        <v>0</v>
      </c>
      <c r="AV93" s="1023">
        <v>0</v>
      </c>
      <c r="AW93" s="1025"/>
      <c r="AX93" s="1282">
        <f t="shared" si="191"/>
        <v>13.039098883902442</v>
      </c>
      <c r="AY93" s="387">
        <f t="shared" si="192"/>
        <v>15.022831816490186</v>
      </c>
      <c r="AZ93" s="387">
        <f t="shared" si="193"/>
        <v>16.31119488852455</v>
      </c>
      <c r="BA93" s="387">
        <f t="shared" si="194"/>
        <v>17.989317852192038</v>
      </c>
      <c r="BB93" s="1283">
        <f t="shared" si="195"/>
        <v>19.913110010434412</v>
      </c>
      <c r="BC93" s="386">
        <f t="shared" si="196"/>
        <v>15.492784315088475</v>
      </c>
      <c r="BD93" s="387">
        <f t="shared" si="197"/>
        <v>12.547271601408486</v>
      </c>
      <c r="BE93" s="1277">
        <f t="shared" si="198"/>
        <v>7.9147530096229994</v>
      </c>
      <c r="BF93" s="1277">
        <f t="shared" si="199"/>
        <v>32.742905333892317</v>
      </c>
      <c r="BG93" s="388">
        <f t="shared" si="200"/>
        <v>6.7009777118941747</v>
      </c>
      <c r="BH93" s="1025"/>
      <c r="BI93" s="1282">
        <f t="shared" ca="1" si="201"/>
        <v>7.2439438243902449E-2</v>
      </c>
      <c r="BJ93" s="387">
        <f t="shared" ca="1" si="202"/>
        <v>0.22833905324608372</v>
      </c>
      <c r="BK93" s="387">
        <f t="shared" ca="1" si="203"/>
        <v>0.4024169793850545</v>
      </c>
      <c r="BL93" s="387">
        <f t="shared" ca="1" si="204"/>
        <v>0.59297538350014656</v>
      </c>
      <c r="BM93" s="1283">
        <f t="shared" ca="1" si="205"/>
        <v>0.80354442718140473</v>
      </c>
      <c r="BN93" s="386">
        <f t="shared" ca="1" si="206"/>
        <v>1.0002438401009763</v>
      </c>
      <c r="BO93" s="387">
        <f t="shared" ca="1" si="207"/>
        <v>1.1560219285259592</v>
      </c>
      <c r="BP93" s="1277">
        <f t="shared" ca="1" si="208"/>
        <v>1.2696998430316897</v>
      </c>
      <c r="BQ93" s="1277">
        <f t="shared" ca="1" si="209"/>
        <v>1.4955757227178861</v>
      </c>
      <c r="BR93" s="388">
        <f t="shared" ca="1" si="210"/>
        <v>1.7147084063055889</v>
      </c>
      <c r="BS93" s="1025"/>
      <c r="BT93" s="1282">
        <f>+IF($K93="Ongoing",AX93,IF(RIGHT($K93,2)=RIGHT(BT$43,2),SUM($AX93:AX93),0)+IF(RIGHT(BT$43,2)&gt;RIGHT($K93,2),AX93,0))</f>
        <v>13.039098883902442</v>
      </c>
      <c r="BU93" s="387">
        <f>+IF($K93="Ongoing",AY93,IF(RIGHT($K93,2)=RIGHT(BU$43,2),SUM($AX93:AY93),0)+IF(RIGHT(BU$43,2)&gt;RIGHT($K93,2),AY93,0))</f>
        <v>15.022831816490186</v>
      </c>
      <c r="BV93" s="387">
        <f>+IF($K93="Ongoing",AZ93,IF(RIGHT($K93,2)=RIGHT(BV$43,2),SUM($AX93:AZ93),0)+IF(RIGHT(BV$43,2)&gt;RIGHT($K93,2),AZ93,0))</f>
        <v>16.31119488852455</v>
      </c>
      <c r="BW93" s="387">
        <f>+IF($K93="Ongoing",BA93,IF(RIGHT($K93,2)=RIGHT(BW$43,2),SUM($AX93:BA93),0)+IF(RIGHT(BW$43,2)&gt;RIGHT($K93,2),BA93,0))</f>
        <v>17.989317852192038</v>
      </c>
      <c r="BX93" s="1283">
        <f>+IF($K93="Ongoing",BB93,IF(RIGHT($K93,2)=RIGHT(BX$43,2),SUM($AX93:BB93),0)+IF(RIGHT(BX$43,2)&gt;RIGHT($K93,2),BB93,0))</f>
        <v>19.913110010434412</v>
      </c>
      <c r="BY93" s="386">
        <f>+IF($K93="Ongoing",BC93,IF(RIGHT($K93,2)=RIGHT(BY$43,2),SUM($AX93:BC93),0)+IF(RIGHT(BY$43,2)&gt;RIGHT($K93,2),BC93,0))</f>
        <v>15.492784315088475</v>
      </c>
      <c r="BZ93" s="387">
        <f>+IF($K93="Ongoing",BD93,IF(RIGHT($K93,2)=RIGHT(BZ$43,2),SUM($AX93:BD93),0)+IF(RIGHT(BZ$43,2)&gt;RIGHT($K93,2),BD93,0))</f>
        <v>12.547271601408486</v>
      </c>
      <c r="CA93" s="1277">
        <f>+IF($K93="Ongoing",BE93,IF(RIGHT($K93,2)=RIGHT(CA$43,2),SUM($AX93:BE93),0)+IF(RIGHT(CA$43,2)&gt;RIGHT($K93,2),BE93,0))</f>
        <v>7.9147530096229994</v>
      </c>
      <c r="CB93" s="1277">
        <f>+IF($K93="Ongoing",BF93,IF(RIGHT($K93,2)=RIGHT(CB$43,2),SUM($AX93:BF93),0)+IF(RIGHT(CB$43,2)&gt;RIGHT($K93,2),BF93,0))</f>
        <v>32.742905333892317</v>
      </c>
      <c r="CC93" s="388">
        <f>+IF($K93="Ongoing",BG93,IF(RIGHT($K93,2)=RIGHT(CC$43,2),SUM($AX93:BG93),0)+IF(RIGHT(CC$43,2)&gt;RIGHT($K93,2),BG93,0))</f>
        <v>6.7009777118941747</v>
      </c>
      <c r="CD93" s="1025"/>
      <c r="CE93" s="1282">
        <f>+Q93*KeyAssumptionsPriceControl_FO!AF$15</f>
        <v>13.417232751535611</v>
      </c>
      <c r="CF93" s="387">
        <f>+R93*KeyAssumptionsPriceControl_FO!AG$15</f>
        <v>15.906790263404284</v>
      </c>
      <c r="CG93" s="387">
        <f>+S93*KeyAssumptionsPriceControl_FO!AH$15</f>
        <v>17.771819802262065</v>
      </c>
      <c r="CH93" s="387">
        <f>+T93*KeyAssumptionsPriceControl_FO!AI$15</f>
        <v>20.168620510323581</v>
      </c>
      <c r="CI93" s="1283">
        <f>+U93*KeyAssumptionsPriceControl_FO!AJ$15</f>
        <v>22.972907654798167</v>
      </c>
      <c r="CJ93" s="386">
        <f>+V93*KeyAssumptionsPriceControl_FO!AK$15</f>
        <v>18.39169361252598</v>
      </c>
      <c r="CK93" s="387">
        <f>+W93*KeyAssumptionsPriceControl_FO!AL$15</f>
        <v>15.326991702131519</v>
      </c>
      <c r="CL93" s="1277">
        <f>+X93*KeyAssumptionsPriceControl_FO!AM$15</f>
        <v>9.9485632355550671</v>
      </c>
      <c r="CM93" s="1277">
        <f>+Y93*KeyAssumptionsPriceControl_FO!AN$15</f>
        <v>42.350211672449603</v>
      </c>
      <c r="CN93" s="388">
        <f>+Z93*KeyAssumptionsPriceControl_FO!AO$15</f>
        <v>8.9185021440244068</v>
      </c>
      <c r="CO93" s="1025"/>
      <c r="CP93" s="1282">
        <f t="shared" ca="1" si="211"/>
        <v>0</v>
      </c>
      <c r="CQ93" s="387">
        <f t="shared" ca="1" si="212"/>
        <v>0</v>
      </c>
      <c r="CR93" s="387">
        <f t="shared" ca="1" si="213"/>
        <v>0</v>
      </c>
      <c r="CS93" s="387">
        <f t="shared" ca="1" si="214"/>
        <v>0</v>
      </c>
      <c r="CT93" s="1283">
        <f t="shared" ca="1" si="215"/>
        <v>0</v>
      </c>
      <c r="CU93" s="386">
        <f t="shared" ca="1" si="216"/>
        <v>0</v>
      </c>
      <c r="CV93" s="387">
        <f t="shared" ca="1" si="217"/>
        <v>0</v>
      </c>
      <c r="CW93" s="1277">
        <f t="shared" ca="1" si="218"/>
        <v>0</v>
      </c>
      <c r="CX93" s="1277">
        <f t="shared" ca="1" si="219"/>
        <v>0</v>
      </c>
      <c r="CY93" s="388">
        <f t="shared" ca="1" si="220"/>
        <v>0</v>
      </c>
      <c r="CZ93" s="347"/>
      <c r="DA93" s="852"/>
      <c r="DB93" s="347"/>
      <c r="DC93" s="1012" t="s">
        <v>579</v>
      </c>
      <c r="DD93" s="841" t="s">
        <v>518</v>
      </c>
      <c r="DE93" s="386">
        <f>+IF($K93="ongoing",CE93,IF(RIGHT($K93,2)=RIGHT(DE$43,2),SUM($CD93:CE93),0)+IF(RIGHT(DE$43,2)&gt;RIGHT($K93,2),CE93,0))</f>
        <v>13.417232751535611</v>
      </c>
      <c r="DF93" s="387">
        <f>+IF($K93="ongoing",CF93,IF(RIGHT($K93,2)=RIGHT(DF$43,2),SUM($CD93:CF93),0)+IF(RIGHT(DF$43,2)&gt;RIGHT($K93,2),CF93,0))</f>
        <v>15.906790263404284</v>
      </c>
      <c r="DG93" s="388">
        <f>+IF($K93="ongoing",CG93,IF(RIGHT($K93,2)=RIGHT(DG$43,2),SUM($CD93:CG93),0)+IF(RIGHT(DG$43,2)&gt;RIGHT($K93,2),CG93,0))</f>
        <v>17.771819802262065</v>
      </c>
      <c r="DH93" s="386">
        <f>+IF($K93="ongoing",CH93,IF(RIGHT($K93,2)=RIGHT(DH$43,2),SUM($CD93:CH93),0)+IF(RIGHT(DH$43,2)&gt;RIGHT($K93,2),CH93,0))</f>
        <v>20.168620510323581</v>
      </c>
      <c r="DI93" s="387">
        <f>+IF($K93="ongoing",CI93,IF(RIGHT($K93,2)=RIGHT(DI$43,2),SUM($CD93:CI93),0)+IF(RIGHT(DI$43,2)&gt;RIGHT($K93,2),CI93,0))</f>
        <v>22.972907654798167</v>
      </c>
      <c r="DJ93" s="387">
        <f>+IF($K93="ongoing",CJ93,IF(RIGHT($K93,2)=RIGHT(DJ$43,2),SUM($CD93:CJ93),0)+IF(RIGHT(DJ$43,2)&gt;RIGHT($K93,2),CJ93,0))</f>
        <v>18.39169361252598</v>
      </c>
      <c r="DK93" s="387">
        <f>+IF($K93="ongoing",CK93,IF(RIGHT($K93,2)=RIGHT(DK$43,2),SUM($CD93:CK93),0)+IF(RIGHT(DK$43,2)&gt;RIGHT($K93,2),CK93,0))</f>
        <v>15.326991702131519</v>
      </c>
      <c r="DL93" s="388">
        <f>+IF($K93="ongoing",CN93,IF(RIGHT($K93,2)=RIGHT(DL$43,2),SUM($CD93:CN93),0)+IF(RIGHT(DL$43,2)&gt;RIGHT($K93,2),CN93,0))</f>
        <v>8.9185021440244068</v>
      </c>
      <c r="DM93" s="841"/>
      <c r="DN93" s="386">
        <f t="shared" si="221"/>
        <v>0.5</v>
      </c>
      <c r="DO93" s="387">
        <f t="shared" si="222"/>
        <v>1</v>
      </c>
      <c r="DP93" s="388">
        <f t="shared" si="223"/>
        <v>1</v>
      </c>
      <c r="DQ93" s="386">
        <f t="shared" si="224"/>
        <v>1</v>
      </c>
      <c r="DR93" s="387">
        <f t="shared" si="225"/>
        <v>1</v>
      </c>
      <c r="DS93" s="387">
        <f t="shared" si="226"/>
        <v>1</v>
      </c>
      <c r="DT93" s="387">
        <f t="shared" si="227"/>
        <v>1</v>
      </c>
      <c r="DU93" s="388">
        <f t="shared" si="228"/>
        <v>1</v>
      </c>
      <c r="DW93" s="386">
        <f t="shared" si="229"/>
        <v>0</v>
      </c>
      <c r="DX93" s="387">
        <f t="shared" si="230"/>
        <v>0.5</v>
      </c>
      <c r="DY93" s="388">
        <f t="shared" si="231"/>
        <v>1</v>
      </c>
      <c r="DZ93" s="386">
        <f t="shared" si="232"/>
        <v>1</v>
      </c>
      <c r="EA93" s="387">
        <f t="shared" si="233"/>
        <v>1</v>
      </c>
      <c r="EB93" s="387">
        <f t="shared" si="234"/>
        <v>1</v>
      </c>
      <c r="EC93" s="387">
        <f t="shared" si="235"/>
        <v>1</v>
      </c>
      <c r="ED93" s="388">
        <f t="shared" si="236"/>
        <v>1</v>
      </c>
      <c r="EF93" s="834">
        <f>+IF(DN93=DM93,0,
IF(AND(EF$44&gt;1,DN93=$N93),1-SUM($EE93:EE93),
IF($N93&lt;=1,
IF($N93&gt;0,1/$N93,0),
IF(EF$44=1,0,VDB(1,0,$N93,INT(EF$44-1-1),MIN($N93,INT(EF$44-1-1)+1),$DC93,IF($DD93="No",1,0))/
IF(DM93&gt;=INT($N93),$N93-INT($N93),1)))*
IF(EF$44=1,0,
IF(INT(DN93)=INT(DM93),DN93-DM93,INT(DN93)-DM93))+
IF($N93&lt;=1,
IF($N93&gt;0,1/$N93,0),VDB(1,0,$N93,INT(EF$44-1),MIN($N93,INT(EF$44-1)+1),$DC93,IF($DD93="No",1,0))/
IF(DN93&gt;INT($N93),$N93-INT($N93),1))*
IF(EF$44=1,DN93,
IF(INT(DN93)=INT(DM93),0,DN93-INT(DN93)))))</f>
        <v>0</v>
      </c>
      <c r="EG93" s="835">
        <f>+IF(DO93=DN93,0,
IF(AND(EG$44&gt;1,DO93=$N93),1-SUM($EE93:EF93),
IF($N93&lt;=1,
IF($N93&gt;0,1/$N93,0),
IF(EG$44=1,0,VDB(1,0,$N93,INT(EG$44-1-1),MIN($N93,INT(EG$44-1-1)+1),$DC93,IF($DD93="No",1,0))/
IF(DN93&gt;=INT($N93),$N93-INT($N93),1)))*
IF(EG$44=1,0,
IF(INT(DO93)=INT(DN93),DO93-DN93,INT(DO93)-DN93))+
IF($N93&lt;=1,
IF($N93&gt;0,1/$N93,0),VDB(1,0,$N93,INT(EG$44-1),MIN($N93,INT(EG$44-1)+1),$DC93,IF($DD93="No",1,0))/
IF(DO93&gt;INT($N93),$N93-INT($N93),1))*
IF(EG$44=1,DO93,
IF(INT(DO93)=INT(DN93),0,DO93-INT(DO93)))))</f>
        <v>0</v>
      </c>
      <c r="EH93" s="836">
        <f>+IF(DP93=DO93,0,
IF(AND(EH$44&gt;1,DP93=$N93),1-SUM($EE93:EG93),
IF($N93&lt;=1,
IF($N93&gt;0,1/$N93,0),
IF(EH$44=1,0,VDB(1,0,$N93,INT(EH$44-1-1),MIN($N93,INT(EH$44-1-1)+1),$DC93,IF($DD93="No",1,0))/
IF(DO93&gt;=INT($N93),$N93-INT($N93),1)))*
IF(EH$44=1,0,
IF(INT(DP93)=INT(DO93),DP93-DO93,INT(DP93)-DO93))+
IF($N93&lt;=1,
IF($N93&gt;0,1/$N93,0),VDB(1,0,$N93,INT(EH$44-1),MIN($N93,INT(EH$44-1)+1),$DC93,IF($DD93="No",1,0))/
IF(DP93&gt;INT($N93),$N93-INT($N93),1))*
IF(EH$44=1,DP93,
IF(INT(DP93)=INT(DO93),0,DP93-INT(DP93)))))</f>
        <v>0</v>
      </c>
      <c r="EI93" s="834">
        <f>+IF(DQ93=DP93,0,
IF(AND(EI$44&gt;1,DQ93=$N93),1-SUM($EE93:EH93),
IF($N93&lt;=1,
IF($N93&gt;0,1/$N93,0),
IF(EI$44=1,0,VDB(1,0,$N93,INT(EI$44-1-1),MIN($N93,INT(EI$44-1-1)+1),$DC93,IF($DD93="No",1,0))/
IF(DP93&gt;=INT($N93),$N93-INT($N93),1)))*
IF(EI$44=1,0,
IF(INT(DQ93)=INT(DP93),DQ93-DP93,INT(DQ93)-DP93))+
IF($N93&lt;=1,
IF($N93&gt;0,1/$N93,0),VDB(1,0,$N93,INT(EI$44-1),MIN($N93,INT(EI$44-1)+1),$DC93,IF($DD93="No",1,0))/
IF(DQ93&gt;INT($N93),$N93-INT($N93),1))*
IF(EI$44=1,DQ93,
IF(INT(DQ93)=INT(DP93),0,DQ93-INT(DQ93)))))</f>
        <v>0</v>
      </c>
      <c r="EJ93" s="835">
        <f>+IF(DR93=DQ93,0,
IF(AND(EJ$44&gt;1,DR93=$N93),1-SUM($EE93:EI93),
IF($N93&lt;=1,
IF($N93&gt;0,1/$N93,0),
IF(EJ$44=1,0,VDB(1,0,$N93,INT(EJ$44-1-1),MIN($N93,INT(EJ$44-1-1)+1),$DC93,IF($DD93="No",1,0))/
IF(DQ93&gt;=INT($N93),$N93-INT($N93),1)))*
IF(EJ$44=1,0,
IF(INT(DR93)=INT(DQ93),DR93-DQ93,INT(DR93)-DQ93))+
IF($N93&lt;=1,
IF($N93&gt;0,1/$N93,0),VDB(1,0,$N93,INT(EJ$44-1),MIN($N93,INT(EJ$44-1)+1),$DC93,IF($DD93="No",1,0))/
IF(DR93&gt;INT($N93),$N93-INT($N93),1))*
IF(EJ$44=1,DR93,
IF(INT(DR93)=INT(DQ93),0,DR93-INT(DR93)))))</f>
        <v>0</v>
      </c>
      <c r="EK93" s="835">
        <f>+IF(DS93=DR93,0,
IF(AND(EK$44&gt;1,DS93=$N93),1-SUM($EE93:EJ93),
IF($N93&lt;=1,
IF($N93&gt;0,1/$N93,0),
IF(EK$44=1,0,VDB(1,0,$N93,INT(EK$44-1-1),MIN($N93,INT(EK$44-1-1)+1),$DC93,IF($DD93="No",1,0))/
IF(DR93&gt;=INT($N93),$N93-INT($N93),1)))*
IF(EK$44=1,0,
IF(INT(DS93)=INT(DR93),DS93-DR93,INT(DS93)-DR93))+
IF($N93&lt;=1,
IF($N93&gt;0,1/$N93,0),VDB(1,0,$N93,INT(EK$44-1),MIN($N93,INT(EK$44-1)+1),$DC93,IF($DD93="No",1,0))/
IF(DS93&gt;INT($N93),$N93-INT($N93),1))*
IF(EK$44=1,DS93,
IF(INT(DS93)=INT(DR93),0,DS93-INT(DS93)))))</f>
        <v>0</v>
      </c>
      <c r="EL93" s="835">
        <f>+IF(DT93=DS93,0,
IF(AND(EL$44&gt;1,DT93=$N93),1-SUM($EE93:EK93),
IF($N93&lt;=1,
IF($N93&gt;0,1/$N93,0),
IF(EL$44=1,0,VDB(1,0,$N93,INT(EL$44-1-1),MIN($N93,INT(EL$44-1-1)+1),$DC93,IF($DD93="No",1,0))/
IF(DS93&gt;=INT($N93),$N93-INT($N93),1)))*
IF(EL$44=1,0,
IF(INT(DT93)=INT(DS93),DT93-DS93,INT(DT93)-DS93))+
IF($N93&lt;=1,
IF($N93&gt;0,1/$N93,0),VDB(1,0,$N93,INT(EL$44-1),MIN($N93,INT(EL$44-1)+1),$DC93,IF($DD93="No",1,0))/
IF(DT93&gt;INT($N93),$N93-INT($N93),1))*
IF(EL$44=1,DT93,
IF(INT(DT93)=INT(DS93),0,DT93-INT(DT93)))))</f>
        <v>0</v>
      </c>
      <c r="EM93" s="836">
        <f>+IF(DU93=DT93,0,
IF(AND(EM$44&gt;1,DU93=$N93),1-SUM($EE93:EL93),
IF($N93&lt;=1,
IF($N93&gt;0,1/$N93,0),
IF(EM$44=1,0,VDB(1,0,$N93,INT(EM$44-1-1),MIN($N93,INT(EM$44-1-1)+1),$DC93,IF($DD93="No",1,0))/
IF(DT93&gt;=INT($N93),$N93-INT($N93),1)))*
IF(EM$44=1,0,
IF(INT(DU93)=INT(DT93),DU93-DT93,INT(DU93)-DT93))+
IF($N93&lt;=1,
IF($N93&gt;0,1/$N93,0),VDB(1,0,$N93,INT(EM$44-1),MIN($N93,INT(EM$44-1)+1),$DC93,IF($DD93="No",1,0))/
IF(DU93&gt;INT($N93),$N93-INT($N93),1))*
IF(EM$44=1,DU93,
IF(INT(DU93)=INT(DT93),0,DU93-INT(DU93)))))</f>
        <v>0</v>
      </c>
      <c r="EN93" s="833"/>
      <c r="EO93" s="834">
        <f>+IF(OR(DW93=DV93,EO$44=1),0,
IF(AND(EO$44&gt;1,DW93=$N93),1-SUM($EN93:EN93),
IF($N93&lt;=1,
IF($N93&gt;0,1/$N93,0),
IF(EO$44=2,0,VDB(1,0,$N93,INT(EO$44-2-1),MIN($N93,INT(EO$44-2-1)+1),$DC93,IF($DD93="No",1,0))/
IF(DV93&gt;=INT($N93),$N93-INT($N93),1)))*
IF(EO$44=2,0,
IF(INT(DW93)=INT(DV93),DW93-DV93,INT(DW93)-DV93))+
IF($N93&lt;=1,
IF($N93&gt;0,1/$N93,0),VDB(1,0,$N93,INT(EO$44-2),MIN($N93,INT(EO$44-2)+1),$DC93,IF($DD93="No",1,0))/
IF(DW93&gt;INT($N93),$N93-INT($N93),1))*
IF(EO$44=2,DW93,
IF(INT(DW93)=INT(DV93),0,DW93-INT(DW93)))))</f>
        <v>0</v>
      </c>
      <c r="EP93" s="835">
        <f>+IF(OR(DX93=DW93,EP$44=1),0,
IF(AND(EP$44&gt;1,DX93=$N93),1-SUM($EN93:EO93),
IF($N93&lt;=1,
IF($N93&gt;0,1/$N93,0),
IF(EP$44=2,0,VDB(1,0,$N93,INT(EP$44-2-1),MIN($N93,INT(EP$44-2-1)+1),$DC93,IF($DD93="No",1,0))/
IF(DW93&gt;=INT($N93),$N93-INT($N93),1)))*
IF(EP$44=2,0,
IF(INT(DX93)=INT(DW93),DX93-DW93,INT(DX93)-DW93))+
IF($N93&lt;=1,
IF($N93&gt;0,1/$N93,0),VDB(1,0,$N93,INT(EP$44-2),MIN($N93,INT(EP$44-2)+1),$DC93,IF($DD93="No",1,0))/
IF(DX93&gt;INT($N93),$N93-INT($N93),1))*
IF(EP$44=2,DX93,
IF(INT(DX93)=INT(DW93),0,DX93-INT(DX93)))))</f>
        <v>0</v>
      </c>
      <c r="EQ93" s="836">
        <f>+IF(OR(DY93=DX93,EQ$44=1),0,
IF(AND(EQ$44&gt;1,DY93=$N93),1-SUM($EN93:EP93),
IF($N93&lt;=1,
IF($N93&gt;0,1/$N93,0),
IF(EQ$44=2,0,VDB(1,0,$N93,INT(EQ$44-2-1),MIN($N93,INT(EQ$44-2-1)+1),$DC93,IF($DD93="No",1,0))/
IF(DX93&gt;=INT($N93),$N93-INT($N93),1)))*
IF(EQ$44=2,0,
IF(INT(DY93)=INT(DX93),DY93-DX93,INT(DY93)-DX93))+
IF($N93&lt;=1,
IF($N93&gt;0,1/$N93,0),VDB(1,0,$N93,INT(EQ$44-2),MIN($N93,INT(EQ$44-2)+1),$DC93,IF($DD93="No",1,0))/
IF(DY93&gt;INT($N93),$N93-INT($N93),1))*
IF(EQ$44=2,DY93,
IF(INT(DY93)=INT(DX93),0,DY93-INT(DY93)))))</f>
        <v>0</v>
      </c>
      <c r="ER93" s="834">
        <f>+IF(OR(DZ93=DY93,ER$44=1),0,
IF(AND(ER$44&gt;1,DZ93=$N93),1-SUM($EN93:EQ93),
IF($N93&lt;=1,
IF($N93&gt;0,1/$N93,0),
IF(ER$44=2,0,VDB(1,0,$N93,INT(ER$44-2-1),MIN($N93,INT(ER$44-2-1)+1),$DC93,IF($DD93="No",1,0))/
IF(DY93&gt;=INT($N93),$N93-INT($N93),1)))*
IF(ER$44=2,0,
IF(INT(DZ93)=INT(DY93),DZ93-DY93,INT(DZ93)-DY93))+
IF($N93&lt;=1,
IF($N93&gt;0,1/$N93,0),VDB(1,0,$N93,INT(ER$44-2),MIN($N93,INT(ER$44-2)+1),$DC93,IF($DD93="No",1,0))/
IF(DZ93&gt;INT($N93),$N93-INT($N93),1))*
IF(ER$44=2,DZ93,
IF(INT(DZ93)=INT(DY93),0,DZ93-INT(DZ93)))))</f>
        <v>0</v>
      </c>
      <c r="ES93" s="835">
        <f>+IF(OR(EA93=DZ93,ES$44=1),0,
IF(AND(ES$44&gt;1,EA93=$N93),1-SUM($EN93:ER93),
IF($N93&lt;=1,
IF($N93&gt;0,1/$N93,0),
IF(ES$44=2,0,VDB(1,0,$N93,INT(ES$44-2-1),MIN($N93,INT(ES$44-2-1)+1),$DC93,IF($DD93="No",1,0))/
IF(DZ93&gt;=INT($N93),$N93-INT($N93),1)))*
IF(ES$44=2,0,
IF(INT(EA93)=INT(DZ93),EA93-DZ93,INT(EA93)-DZ93))+
IF($N93&lt;=1,
IF($N93&gt;0,1/$N93,0),VDB(1,0,$N93,INT(ES$44-2),MIN($N93,INT(ES$44-2)+1),$DC93,IF($DD93="No",1,0))/
IF(EA93&gt;INT($N93),$N93-INT($N93),1))*
IF(ES$44=2,EA93,
IF(INT(EA93)=INT(DZ93),0,EA93-INT(EA93)))))</f>
        <v>0</v>
      </c>
      <c r="ET93" s="835">
        <f>+IF(OR(EB93=EA93,ET$44=1),0,
IF(AND(ET$44&gt;1,EB93=$N93),1-SUM($EN93:ES93),
IF($N93&lt;=1,
IF($N93&gt;0,1/$N93,0),
IF(ET$44=2,0,VDB(1,0,$N93,INT(ET$44-2-1),MIN($N93,INT(ET$44-2-1)+1),$DC93,IF($DD93="No",1,0))/
IF(EA93&gt;=INT($N93),$N93-INT($N93),1)))*
IF(ET$44=2,0,
IF(INT(EB93)=INT(EA93),EB93-EA93,INT(EB93)-EA93))+
IF($N93&lt;=1,
IF($N93&gt;0,1/$N93,0),VDB(1,0,$N93,INT(ET$44-2),MIN($N93,INT(ET$44-2)+1),$DC93,IF($DD93="No",1,0))/
IF(EB93&gt;INT($N93),$N93-INT($N93),1))*
IF(ET$44=2,EB93,
IF(INT(EB93)=INT(EA93),0,EB93-INT(EB93)))))</f>
        <v>0</v>
      </c>
      <c r="EU93" s="835">
        <f>+IF(OR(EC93=EB93,EU$44=1),0,
IF(AND(EU$44&gt;1,EC93=$N93),1-SUM($EN93:ET93),
IF($N93&lt;=1,
IF($N93&gt;0,1/$N93,0),
IF(EU$44=2,0,VDB(1,0,$N93,INT(EU$44-2-1),MIN($N93,INT(EU$44-2-1)+1),$DC93,IF($DD93="No",1,0))/
IF(EB93&gt;=INT($N93),$N93-INT($N93),1)))*
IF(EU$44=2,0,
IF(INT(EC93)=INT(EB93),EC93-EB93,INT(EC93)-EB93))+
IF($N93&lt;=1,
IF($N93&gt;0,1/$N93,0),VDB(1,0,$N93,INT(EU$44-2),MIN($N93,INT(EU$44-2)+1),$DC93,IF($DD93="No",1,0))/
IF(EC93&gt;INT($N93),$N93-INT($N93),1))*
IF(EU$44=2,EC93,
IF(INT(EC93)=INT(EB93),0,EC93-INT(EC93)))))</f>
        <v>0</v>
      </c>
      <c r="EV93" s="836">
        <f>+IF(OR(ED93=EC93,EV$44=1),0,
IF(AND(EV$44&gt;1,ED93=$N93),1-SUM($EN93:EU93),
IF($N93&lt;=1,
IF($N93&gt;0,1/$N93,0),
IF(EV$44=2,0,VDB(1,0,$N93,INT(EV$44-2-1),MIN($N93,INT(EV$44-2-1)+1),$DC93,IF($DD93="No",1,0))/
IF(EC93&gt;=INT($N93),$N93-INT($N93),1)))*
IF(EV$44=2,0,
IF(INT(ED93)=INT(EC93),ED93-EC93,INT(ED93)-EC93))+
IF($N93&lt;=1,
IF($N93&gt;0,1/$N93,0),VDB(1,0,$N93,INT(EV$44-2),MIN($N93,INT(EV$44-2)+1),$DC93,IF($DD93="No",1,0))/
IF(ED93&gt;INT($N93),$N93-INT($N93),1))*
IF(EV$44=2,ED93,
IF(INT(ED93)=INT(EC93),0,ED93-INT(ED93)))))</f>
        <v>0</v>
      </c>
      <c r="EW93" s="833"/>
      <c r="EX93" s="834">
        <f t="shared" ca="1" si="246"/>
        <v>0</v>
      </c>
      <c r="EY93" s="835">
        <f t="shared" ca="1" si="246"/>
        <v>0</v>
      </c>
      <c r="EZ93" s="836">
        <f t="shared" ca="1" si="246"/>
        <v>0</v>
      </c>
      <c r="FA93" s="834">
        <f t="shared" ca="1" si="246"/>
        <v>0</v>
      </c>
      <c r="FB93" s="835">
        <f t="shared" ca="1" si="246"/>
        <v>0</v>
      </c>
      <c r="FC93" s="835">
        <f t="shared" ca="1" si="246"/>
        <v>0</v>
      </c>
      <c r="FD93" s="835">
        <f t="shared" ca="1" si="246"/>
        <v>0</v>
      </c>
      <c r="FE93" s="836">
        <f t="shared" ca="1" si="246"/>
        <v>0</v>
      </c>
      <c r="FG93" s="386">
        <f t="shared" ca="1" si="237"/>
        <v>0</v>
      </c>
      <c r="FH93" s="387">
        <f t="shared" ca="1" si="238"/>
        <v>0</v>
      </c>
      <c r="FI93" s="388">
        <f t="shared" ca="1" si="239"/>
        <v>0</v>
      </c>
      <c r="FJ93" s="386">
        <f t="shared" ca="1" si="240"/>
        <v>0</v>
      </c>
      <c r="FK93" s="387">
        <f t="shared" ca="1" si="241"/>
        <v>0</v>
      </c>
      <c r="FL93" s="387">
        <f t="shared" ca="1" si="242"/>
        <v>0</v>
      </c>
      <c r="FM93" s="387">
        <f t="shared" ca="1" si="243"/>
        <v>0</v>
      </c>
      <c r="FN93" s="388">
        <f t="shared" ca="1" si="244"/>
        <v>0</v>
      </c>
      <c r="FR93" s="116"/>
    </row>
    <row r="94" spans="2:174">
      <c r="B94" s="1410">
        <f t="shared" si="135"/>
        <v>48</v>
      </c>
      <c r="C94" s="400" t="s">
        <v>580</v>
      </c>
      <c r="D94" s="410"/>
      <c r="E94" s="402" t="s">
        <v>402</v>
      </c>
      <c r="F94" s="402" t="s">
        <v>520</v>
      </c>
      <c r="G94" s="400" t="s">
        <v>525</v>
      </c>
      <c r="H94" s="2088" t="s">
        <v>483</v>
      </c>
      <c r="I94" s="2089"/>
      <c r="J94" s="411" t="s">
        <v>516</v>
      </c>
      <c r="K94" s="403" t="s">
        <v>544</v>
      </c>
      <c r="L94" s="403">
        <v>40</v>
      </c>
      <c r="M94" s="403" t="s">
        <v>142</v>
      </c>
      <c r="N94" s="403"/>
      <c r="O94" s="347"/>
      <c r="P94" s="347"/>
      <c r="Q94" s="1021">
        <v>5.3935287804878058</v>
      </c>
      <c r="R94" s="1022">
        <v>9.8313384889946462</v>
      </c>
      <c r="S94" s="1022">
        <v>6.1872111478359297</v>
      </c>
      <c r="T94" s="1022">
        <v>6.2394448719477706</v>
      </c>
      <c r="U94" s="1023">
        <v>1.9755682817314207E-14</v>
      </c>
      <c r="V94" s="1021">
        <v>0</v>
      </c>
      <c r="W94" s="1022">
        <v>0.44770218057098038</v>
      </c>
      <c r="X94" s="1022">
        <v>5.2131286130536827</v>
      </c>
      <c r="Y94" s="1022">
        <v>1.2954487156667562</v>
      </c>
      <c r="Z94" s="1023">
        <v>11.105400238516911</v>
      </c>
      <c r="AA94" s="1024"/>
      <c r="AB94" s="1021">
        <v>0</v>
      </c>
      <c r="AC94" s="1022">
        <v>0</v>
      </c>
      <c r="AD94" s="1022">
        <v>0</v>
      </c>
      <c r="AE94" s="1022">
        <v>0</v>
      </c>
      <c r="AF94" s="1023">
        <v>0</v>
      </c>
      <c r="AG94" s="1021">
        <v>0</v>
      </c>
      <c r="AH94" s="1022">
        <v>0</v>
      </c>
      <c r="AI94" s="1022">
        <v>0</v>
      </c>
      <c r="AJ94" s="1022">
        <v>0</v>
      </c>
      <c r="AK94" s="1023">
        <v>0</v>
      </c>
      <c r="AL94" s="1024"/>
      <c r="AM94" s="1021">
        <v>0</v>
      </c>
      <c r="AN94" s="1022">
        <v>0</v>
      </c>
      <c r="AO94" s="1022">
        <v>0</v>
      </c>
      <c r="AP94" s="1022">
        <v>0</v>
      </c>
      <c r="AQ94" s="1023">
        <v>0</v>
      </c>
      <c r="AR94" s="1021">
        <v>0</v>
      </c>
      <c r="AS94" s="1022">
        <v>0</v>
      </c>
      <c r="AT94" s="1022">
        <v>0</v>
      </c>
      <c r="AU94" s="1022">
        <v>0</v>
      </c>
      <c r="AV94" s="1023">
        <v>0</v>
      </c>
      <c r="AW94" s="1025"/>
      <c r="AX94" s="1282">
        <f t="shared" si="191"/>
        <v>5.3935287804878058</v>
      </c>
      <c r="AY94" s="387">
        <f t="shared" si="192"/>
        <v>9.8313384889946462</v>
      </c>
      <c r="AZ94" s="387">
        <f t="shared" si="193"/>
        <v>6.1872111478359297</v>
      </c>
      <c r="BA94" s="387">
        <f t="shared" si="194"/>
        <v>6.2394448719477706</v>
      </c>
      <c r="BB94" s="1283">
        <f t="shared" si="195"/>
        <v>1.9755682817314207E-14</v>
      </c>
      <c r="BC94" s="386">
        <f t="shared" si="196"/>
        <v>0</v>
      </c>
      <c r="BD94" s="387">
        <f t="shared" si="197"/>
        <v>0.44770218057098038</v>
      </c>
      <c r="BE94" s="1277">
        <f t="shared" si="198"/>
        <v>5.2131286130536827</v>
      </c>
      <c r="BF94" s="1277">
        <f t="shared" si="199"/>
        <v>1.2954487156667562</v>
      </c>
      <c r="BG94" s="388">
        <f t="shared" si="200"/>
        <v>11.105400238516911</v>
      </c>
      <c r="BH94" s="1025"/>
      <c r="BI94" s="1282">
        <f t="shared" ca="1" si="201"/>
        <v>6.7419109756097578E-2</v>
      </c>
      <c r="BJ94" s="387">
        <f t="shared" ca="1" si="202"/>
        <v>0.25772995062462822</v>
      </c>
      <c r="BK94" s="387">
        <f t="shared" ca="1" si="203"/>
        <v>0.45796182108501038</v>
      </c>
      <c r="BL94" s="387">
        <f t="shared" ca="1" si="204"/>
        <v>0.61329502133230673</v>
      </c>
      <c r="BM94" s="1283">
        <f t="shared" ca="1" si="205"/>
        <v>0.69128808223165406</v>
      </c>
      <c r="BN94" s="386">
        <f t="shared" ca="1" si="206"/>
        <v>0.69128808223165439</v>
      </c>
      <c r="BO94" s="387">
        <f t="shared" ca="1" si="207"/>
        <v>0.69688435948879168</v>
      </c>
      <c r="BP94" s="1277">
        <f t="shared" ca="1" si="208"/>
        <v>0.76764474440910002</v>
      </c>
      <c r="BQ94" s="1277">
        <f t="shared" ca="1" si="209"/>
        <v>0.84900196101810554</v>
      </c>
      <c r="BR94" s="388">
        <f t="shared" ca="1" si="210"/>
        <v>1.0040125729454015</v>
      </c>
      <c r="BS94" s="1025"/>
      <c r="BT94" s="1282">
        <f>+IF($K94="Ongoing",AX94,IF(RIGHT($K94,2)=RIGHT(BT$43,2),SUM($AX94:AX94),0)+IF(RIGHT(BT$43,2)&gt;RIGHT($K94,2),AX94,0))</f>
        <v>5.3935287804878058</v>
      </c>
      <c r="BU94" s="387">
        <f>+IF($K94="Ongoing",AY94,IF(RIGHT($K94,2)=RIGHT(BU$43,2),SUM($AX94:AY94),0)+IF(RIGHT(BU$43,2)&gt;RIGHT($K94,2),AY94,0))</f>
        <v>9.8313384889946462</v>
      </c>
      <c r="BV94" s="387">
        <f>+IF($K94="Ongoing",AZ94,IF(RIGHT($K94,2)=RIGHT(BV$43,2),SUM($AX94:AZ94),0)+IF(RIGHT(BV$43,2)&gt;RIGHT($K94,2),AZ94,0))</f>
        <v>6.1872111478359297</v>
      </c>
      <c r="BW94" s="387">
        <f>+IF($K94="Ongoing",BA94,IF(RIGHT($K94,2)=RIGHT(BW$43,2),SUM($AX94:BA94),0)+IF(RIGHT(BW$43,2)&gt;RIGHT($K94,2),BA94,0))</f>
        <v>6.2394448719477706</v>
      </c>
      <c r="BX94" s="1283">
        <f>+IF($K94="Ongoing",BB94,IF(RIGHT($K94,2)=RIGHT(BX$43,2),SUM($AX94:BB94),0)+IF(RIGHT(BX$43,2)&gt;RIGHT($K94,2),BB94,0))</f>
        <v>1.9755682817314207E-14</v>
      </c>
      <c r="BY94" s="386">
        <f>+IF($K94="Ongoing",BC94,IF(RIGHT($K94,2)=RIGHT(BY$43,2),SUM($AX94:BC94),0)+IF(RIGHT(BY$43,2)&gt;RIGHT($K94,2),BC94,0))</f>
        <v>0</v>
      </c>
      <c r="BZ94" s="387">
        <f>+IF($K94="Ongoing",BD94,IF(RIGHT($K94,2)=RIGHT(BZ$43,2),SUM($AX94:BD94),0)+IF(RIGHT(BZ$43,2)&gt;RIGHT($K94,2),BD94,0))</f>
        <v>0.44770218057098038</v>
      </c>
      <c r="CA94" s="1277">
        <f>+IF($K94="Ongoing",BE94,IF(RIGHT($K94,2)=RIGHT(CA$43,2),SUM($AX94:BE94),0)+IF(RIGHT(CA$43,2)&gt;RIGHT($K94,2),BE94,0))</f>
        <v>5.2131286130536827</v>
      </c>
      <c r="CB94" s="1277">
        <f>+IF($K94="Ongoing",BF94,IF(RIGHT($K94,2)=RIGHT(CB$43,2),SUM($AX94:BF94),0)+IF(RIGHT(CB$43,2)&gt;RIGHT($K94,2),BF94,0))</f>
        <v>1.2954487156667562</v>
      </c>
      <c r="CC94" s="388">
        <f>+IF($K94="Ongoing",BG94,IF(RIGHT($K94,2)=RIGHT(CC$43,2),SUM($AX94:BG94),0)+IF(RIGHT(CC$43,2)&gt;RIGHT($K94,2),BG94,0))</f>
        <v>11.105400238516911</v>
      </c>
      <c r="CD94" s="1025"/>
      <c r="CE94" s="1282">
        <f>+Q94*KeyAssumptionsPriceControl_FO!AF$15</f>
        <v>5.5499411151219515</v>
      </c>
      <c r="CF94" s="387">
        <f>+R94*KeyAssumptionsPriceControl_FO!AG$15</f>
        <v>10.40982427702558</v>
      </c>
      <c r="CG94" s="387">
        <f>+S94*KeyAssumptionsPriceControl_FO!AH$15</f>
        <v>6.7412597513163295</v>
      </c>
      <c r="CH94" s="387">
        <f>+T94*KeyAssumptionsPriceControl_FO!AI$15</f>
        <v>6.9953178242422958</v>
      </c>
      <c r="CI94" s="1283">
        <f>+U94*KeyAssumptionsPriceControl_FO!AJ$15</f>
        <v>2.2791290601107934E-14</v>
      </c>
      <c r="CJ94" s="386">
        <f>+V94*KeyAssumptionsPriceControl_FO!AK$15</f>
        <v>0</v>
      </c>
      <c r="CK94" s="387">
        <f>+W94*KeyAssumptionsPriceControl_FO!AL$15</f>
        <v>0.546886034240888</v>
      </c>
      <c r="CL94" s="1277">
        <f>+X94*KeyAssumptionsPriceControl_FO!AM$15</f>
        <v>6.5527173872626543</v>
      </c>
      <c r="CM94" s="1277">
        <f>+Y94*KeyAssumptionsPriceControl_FO!AN$15</f>
        <v>1.6755546509949342</v>
      </c>
      <c r="CN94" s="388">
        <f>+Z94*KeyAssumptionsPriceControl_FO!AO$15</f>
        <v>14.780460418732753</v>
      </c>
      <c r="CO94" s="1025"/>
      <c r="CP94" s="1282">
        <f t="shared" ca="1" si="211"/>
        <v>0</v>
      </c>
      <c r="CQ94" s="387">
        <f t="shared" ca="1" si="212"/>
        <v>0</v>
      </c>
      <c r="CR94" s="387">
        <f t="shared" ca="1" si="213"/>
        <v>0</v>
      </c>
      <c r="CS94" s="387">
        <f t="shared" ca="1" si="214"/>
        <v>0</v>
      </c>
      <c r="CT94" s="1283">
        <f t="shared" ca="1" si="215"/>
        <v>0</v>
      </c>
      <c r="CU94" s="386">
        <f t="shared" ca="1" si="216"/>
        <v>0</v>
      </c>
      <c r="CV94" s="387">
        <f t="shared" ca="1" si="217"/>
        <v>0</v>
      </c>
      <c r="CW94" s="1277">
        <f t="shared" ca="1" si="218"/>
        <v>0</v>
      </c>
      <c r="CX94" s="1277">
        <f t="shared" ca="1" si="219"/>
        <v>0</v>
      </c>
      <c r="CY94" s="388">
        <f t="shared" ca="1" si="220"/>
        <v>0</v>
      </c>
      <c r="CZ94" s="347"/>
      <c r="DA94" s="852"/>
      <c r="DB94" s="347"/>
      <c r="DC94" s="1012" t="s">
        <v>581</v>
      </c>
      <c r="DD94" s="841" t="s">
        <v>518</v>
      </c>
      <c r="DE94" s="386">
        <f>+IF($K94="ongoing",CE94,IF(RIGHT($K94,2)=RIGHT(DE$43,2),SUM($CD94:CE94),0)+IF(RIGHT(DE$43,2)&gt;RIGHT($K94,2),CE94,0))</f>
        <v>5.5499411151219515</v>
      </c>
      <c r="DF94" s="387">
        <f>+IF($K94="ongoing",CF94,IF(RIGHT($K94,2)=RIGHT(DF$43,2),SUM($CD94:CF94),0)+IF(RIGHT(DF$43,2)&gt;RIGHT($K94,2),CF94,0))</f>
        <v>10.40982427702558</v>
      </c>
      <c r="DG94" s="388">
        <f>+IF($K94="ongoing",CG94,IF(RIGHT($K94,2)=RIGHT(DG$43,2),SUM($CD94:CG94),0)+IF(RIGHT(DG$43,2)&gt;RIGHT($K94,2),CG94,0))</f>
        <v>6.7412597513163295</v>
      </c>
      <c r="DH94" s="386">
        <f>+IF($K94="ongoing",CH94,IF(RIGHT($K94,2)=RIGHT(DH$43,2),SUM($CD94:CH94),0)+IF(RIGHT(DH$43,2)&gt;RIGHT($K94,2),CH94,0))</f>
        <v>6.9953178242422958</v>
      </c>
      <c r="DI94" s="387">
        <f>+IF($K94="ongoing",CI94,IF(RIGHT($K94,2)=RIGHT(DI$43,2),SUM($CD94:CI94),0)+IF(RIGHT(DI$43,2)&gt;RIGHT($K94,2),CI94,0))</f>
        <v>2.2791290601107934E-14</v>
      </c>
      <c r="DJ94" s="387">
        <f>+IF($K94="ongoing",CJ94,IF(RIGHT($K94,2)=RIGHT(DJ$43,2),SUM($CD94:CJ94),0)+IF(RIGHT(DJ$43,2)&gt;RIGHT($K94,2),CJ94,0))</f>
        <v>0</v>
      </c>
      <c r="DK94" s="387">
        <f>+IF($K94="ongoing",CK94,IF(RIGHT($K94,2)=RIGHT(DK$43,2),SUM($CD94:CK94),0)+IF(RIGHT(DK$43,2)&gt;RIGHT($K94,2),CK94,0))</f>
        <v>0.546886034240888</v>
      </c>
      <c r="DL94" s="388">
        <f>+IF($K94="ongoing",CN94,IF(RIGHT($K94,2)=RIGHT(DL$43,2),SUM($CD94:CN94),0)+IF(RIGHT(DL$43,2)&gt;RIGHT($K94,2),CN94,0))</f>
        <v>14.780460418732753</v>
      </c>
      <c r="DM94" s="841"/>
      <c r="DN94" s="386">
        <f t="shared" si="221"/>
        <v>0.5</v>
      </c>
      <c r="DO94" s="387">
        <f t="shared" si="222"/>
        <v>1</v>
      </c>
      <c r="DP94" s="388">
        <f t="shared" si="223"/>
        <v>1</v>
      </c>
      <c r="DQ94" s="386">
        <f t="shared" si="224"/>
        <v>1</v>
      </c>
      <c r="DR94" s="387">
        <f t="shared" si="225"/>
        <v>1</v>
      </c>
      <c r="DS94" s="387">
        <f t="shared" si="226"/>
        <v>1</v>
      </c>
      <c r="DT94" s="387">
        <f t="shared" si="227"/>
        <v>1</v>
      </c>
      <c r="DU94" s="388">
        <f t="shared" si="228"/>
        <v>1</v>
      </c>
      <c r="DW94" s="386">
        <f t="shared" si="229"/>
        <v>0</v>
      </c>
      <c r="DX94" s="387">
        <f t="shared" si="230"/>
        <v>0.5</v>
      </c>
      <c r="DY94" s="388">
        <f t="shared" si="231"/>
        <v>1</v>
      </c>
      <c r="DZ94" s="386">
        <f t="shared" si="232"/>
        <v>1</v>
      </c>
      <c r="EA94" s="387">
        <f t="shared" si="233"/>
        <v>1</v>
      </c>
      <c r="EB94" s="387">
        <f t="shared" si="234"/>
        <v>1</v>
      </c>
      <c r="EC94" s="387">
        <f t="shared" si="235"/>
        <v>1</v>
      </c>
      <c r="ED94" s="388">
        <f t="shared" si="236"/>
        <v>1</v>
      </c>
      <c r="EF94" s="834">
        <f>+IF(DN94=DM94,0,
IF(AND(EF$44&gt;1,DN94=$N94),1-SUM($EE94:EE94),
IF($N94&lt;=1,
IF($N94&gt;0,1/$N94,0),
IF(EF$44=1,0,VDB(1,0,$N94,INT(EF$44-1-1),MIN($N94,INT(EF$44-1-1)+1),$DC94,IF($DD94="No",1,0))/
IF(DM94&gt;=INT($N94),$N94-INT($N94),1)))*
IF(EF$44=1,0,
IF(INT(DN94)=INT(DM94),DN94-DM94,INT(DN94)-DM94))+
IF($N94&lt;=1,
IF($N94&gt;0,1/$N94,0),VDB(1,0,$N94,INT(EF$44-1),MIN($N94,INT(EF$44-1)+1),$DC94,IF($DD94="No",1,0))/
IF(DN94&gt;INT($N94),$N94-INT($N94),1))*
IF(EF$44=1,DN94,
IF(INT(DN94)=INT(DM94),0,DN94-INT(DN94)))))</f>
        <v>0</v>
      </c>
      <c r="EG94" s="835">
        <f>+IF(DO94=DN94,0,
IF(AND(EG$44&gt;1,DO94=$N94),1-SUM($EE94:EF94),
IF($N94&lt;=1,
IF($N94&gt;0,1/$N94,0),
IF(EG$44=1,0,VDB(1,0,$N94,INT(EG$44-1-1),MIN($N94,INT(EG$44-1-1)+1),$DC94,IF($DD94="No",1,0))/
IF(DN94&gt;=INT($N94),$N94-INT($N94),1)))*
IF(EG$44=1,0,
IF(INT(DO94)=INT(DN94),DO94-DN94,INT(DO94)-DN94))+
IF($N94&lt;=1,
IF($N94&gt;0,1/$N94,0),VDB(1,0,$N94,INT(EG$44-1),MIN($N94,INT(EG$44-1)+1),$DC94,IF($DD94="No",1,0))/
IF(DO94&gt;INT($N94),$N94-INT($N94),1))*
IF(EG$44=1,DO94,
IF(INT(DO94)=INT(DN94),0,DO94-INT(DO94)))))</f>
        <v>0</v>
      </c>
      <c r="EH94" s="836">
        <f>+IF(DP94=DO94,0,
IF(AND(EH$44&gt;1,DP94=$N94),1-SUM($EE94:EG94),
IF($N94&lt;=1,
IF($N94&gt;0,1/$N94,0),
IF(EH$44=1,0,VDB(1,0,$N94,INT(EH$44-1-1),MIN($N94,INT(EH$44-1-1)+1),$DC94,IF($DD94="No",1,0))/
IF(DO94&gt;=INT($N94),$N94-INT($N94),1)))*
IF(EH$44=1,0,
IF(INT(DP94)=INT(DO94),DP94-DO94,INT(DP94)-DO94))+
IF($N94&lt;=1,
IF($N94&gt;0,1/$N94,0),VDB(1,0,$N94,INT(EH$44-1),MIN($N94,INT(EH$44-1)+1),$DC94,IF($DD94="No",1,0))/
IF(DP94&gt;INT($N94),$N94-INT($N94),1))*
IF(EH$44=1,DP94,
IF(INT(DP94)=INT(DO94),0,DP94-INT(DP94)))))</f>
        <v>0</v>
      </c>
      <c r="EI94" s="834">
        <f>+IF(DQ94=DP94,0,
IF(AND(EI$44&gt;1,DQ94=$N94),1-SUM($EE94:EH94),
IF($N94&lt;=1,
IF($N94&gt;0,1/$N94,0),
IF(EI$44=1,0,VDB(1,0,$N94,INT(EI$44-1-1),MIN($N94,INT(EI$44-1-1)+1),$DC94,IF($DD94="No",1,0))/
IF(DP94&gt;=INT($N94),$N94-INT($N94),1)))*
IF(EI$44=1,0,
IF(INT(DQ94)=INT(DP94),DQ94-DP94,INT(DQ94)-DP94))+
IF($N94&lt;=1,
IF($N94&gt;0,1/$N94,0),VDB(1,0,$N94,INT(EI$44-1),MIN($N94,INT(EI$44-1)+1),$DC94,IF($DD94="No",1,0))/
IF(DQ94&gt;INT($N94),$N94-INT($N94),1))*
IF(EI$44=1,DQ94,
IF(INT(DQ94)=INT(DP94),0,DQ94-INT(DQ94)))))</f>
        <v>0</v>
      </c>
      <c r="EJ94" s="835">
        <f>+IF(DR94=DQ94,0,
IF(AND(EJ$44&gt;1,DR94=$N94),1-SUM($EE94:EI94),
IF($N94&lt;=1,
IF($N94&gt;0,1/$N94,0),
IF(EJ$44=1,0,VDB(1,0,$N94,INT(EJ$44-1-1),MIN($N94,INT(EJ$44-1-1)+1),$DC94,IF($DD94="No",1,0))/
IF(DQ94&gt;=INT($N94),$N94-INT($N94),1)))*
IF(EJ$44=1,0,
IF(INT(DR94)=INT(DQ94),DR94-DQ94,INT(DR94)-DQ94))+
IF($N94&lt;=1,
IF($N94&gt;0,1/$N94,0),VDB(1,0,$N94,INT(EJ$44-1),MIN($N94,INT(EJ$44-1)+1),$DC94,IF($DD94="No",1,0))/
IF(DR94&gt;INT($N94),$N94-INT($N94),1))*
IF(EJ$44=1,DR94,
IF(INT(DR94)=INT(DQ94),0,DR94-INT(DR94)))))</f>
        <v>0</v>
      </c>
      <c r="EK94" s="835">
        <f>+IF(DS94=DR94,0,
IF(AND(EK$44&gt;1,DS94=$N94),1-SUM($EE94:EJ94),
IF($N94&lt;=1,
IF($N94&gt;0,1/$N94,0),
IF(EK$44=1,0,VDB(1,0,$N94,INT(EK$44-1-1),MIN($N94,INT(EK$44-1-1)+1),$DC94,IF($DD94="No",1,0))/
IF(DR94&gt;=INT($N94),$N94-INT($N94),1)))*
IF(EK$44=1,0,
IF(INT(DS94)=INT(DR94),DS94-DR94,INT(DS94)-DR94))+
IF($N94&lt;=1,
IF($N94&gt;0,1/$N94,0),VDB(1,0,$N94,INT(EK$44-1),MIN($N94,INT(EK$44-1)+1),$DC94,IF($DD94="No",1,0))/
IF(DS94&gt;INT($N94),$N94-INT($N94),1))*
IF(EK$44=1,DS94,
IF(INT(DS94)=INT(DR94),0,DS94-INT(DS94)))))</f>
        <v>0</v>
      </c>
      <c r="EL94" s="835">
        <f>+IF(DT94=DS94,0,
IF(AND(EL$44&gt;1,DT94=$N94),1-SUM($EE94:EK94),
IF($N94&lt;=1,
IF($N94&gt;0,1/$N94,0),
IF(EL$44=1,0,VDB(1,0,$N94,INT(EL$44-1-1),MIN($N94,INT(EL$44-1-1)+1),$DC94,IF($DD94="No",1,0))/
IF(DS94&gt;=INT($N94),$N94-INT($N94),1)))*
IF(EL$44=1,0,
IF(INT(DT94)=INT(DS94),DT94-DS94,INT(DT94)-DS94))+
IF($N94&lt;=1,
IF($N94&gt;0,1/$N94,0),VDB(1,0,$N94,INT(EL$44-1),MIN($N94,INT(EL$44-1)+1),$DC94,IF($DD94="No",1,0))/
IF(DT94&gt;INT($N94),$N94-INT($N94),1))*
IF(EL$44=1,DT94,
IF(INT(DT94)=INT(DS94),0,DT94-INT(DT94)))))</f>
        <v>0</v>
      </c>
      <c r="EM94" s="836">
        <f>+IF(DU94=DT94,0,
IF(AND(EM$44&gt;1,DU94=$N94),1-SUM($EE94:EL94),
IF($N94&lt;=1,
IF($N94&gt;0,1/$N94,0),
IF(EM$44=1,0,VDB(1,0,$N94,INT(EM$44-1-1),MIN($N94,INT(EM$44-1-1)+1),$DC94,IF($DD94="No",1,0))/
IF(DT94&gt;=INT($N94),$N94-INT($N94),1)))*
IF(EM$44=1,0,
IF(INT(DU94)=INT(DT94),DU94-DT94,INT(DU94)-DT94))+
IF($N94&lt;=1,
IF($N94&gt;0,1/$N94,0),VDB(1,0,$N94,INT(EM$44-1),MIN($N94,INT(EM$44-1)+1),$DC94,IF($DD94="No",1,0))/
IF(DU94&gt;INT($N94),$N94-INT($N94),1))*
IF(EM$44=1,DU94,
IF(INT(DU94)=INT(DT94),0,DU94-INT(DU94)))))</f>
        <v>0</v>
      </c>
      <c r="EN94" s="833"/>
      <c r="EO94" s="834">
        <f>+IF(OR(DW94=DV94,EO$44=1),0,
IF(AND(EO$44&gt;1,DW94=$N94),1-SUM($EN94:EN94),
IF($N94&lt;=1,
IF($N94&gt;0,1/$N94,0),
IF(EO$44=2,0,VDB(1,0,$N94,INT(EO$44-2-1),MIN($N94,INT(EO$44-2-1)+1),$DC94,IF($DD94="No",1,0))/
IF(DV94&gt;=INT($N94),$N94-INT($N94),1)))*
IF(EO$44=2,0,
IF(INT(DW94)=INT(DV94),DW94-DV94,INT(DW94)-DV94))+
IF($N94&lt;=1,
IF($N94&gt;0,1/$N94,0),VDB(1,0,$N94,INT(EO$44-2),MIN($N94,INT(EO$44-2)+1),$DC94,IF($DD94="No",1,0))/
IF(DW94&gt;INT($N94),$N94-INT($N94),1))*
IF(EO$44=2,DW94,
IF(INT(DW94)=INT(DV94),0,DW94-INT(DW94)))))</f>
        <v>0</v>
      </c>
      <c r="EP94" s="835">
        <f>+IF(OR(DX94=DW94,EP$44=1),0,
IF(AND(EP$44&gt;1,DX94=$N94),1-SUM($EN94:EO94),
IF($N94&lt;=1,
IF($N94&gt;0,1/$N94,0),
IF(EP$44=2,0,VDB(1,0,$N94,INT(EP$44-2-1),MIN($N94,INT(EP$44-2-1)+1),$DC94,IF($DD94="No",1,0))/
IF(DW94&gt;=INT($N94),$N94-INT($N94),1)))*
IF(EP$44=2,0,
IF(INT(DX94)=INT(DW94),DX94-DW94,INT(DX94)-DW94))+
IF($N94&lt;=1,
IF($N94&gt;0,1/$N94,0),VDB(1,0,$N94,INT(EP$44-2),MIN($N94,INT(EP$44-2)+1),$DC94,IF($DD94="No",1,0))/
IF(DX94&gt;INT($N94),$N94-INT($N94),1))*
IF(EP$44=2,DX94,
IF(INT(DX94)=INT(DW94),0,DX94-INT(DX94)))))</f>
        <v>0</v>
      </c>
      <c r="EQ94" s="836">
        <f>+IF(OR(DY94=DX94,EQ$44=1),0,
IF(AND(EQ$44&gt;1,DY94=$N94),1-SUM($EN94:EP94),
IF($N94&lt;=1,
IF($N94&gt;0,1/$N94,0),
IF(EQ$44=2,0,VDB(1,0,$N94,INT(EQ$44-2-1),MIN($N94,INT(EQ$44-2-1)+1),$DC94,IF($DD94="No",1,0))/
IF(DX94&gt;=INT($N94),$N94-INT($N94),1)))*
IF(EQ$44=2,0,
IF(INT(DY94)=INT(DX94),DY94-DX94,INT(DY94)-DX94))+
IF($N94&lt;=1,
IF($N94&gt;0,1/$N94,0),VDB(1,0,$N94,INT(EQ$44-2),MIN($N94,INT(EQ$44-2)+1),$DC94,IF($DD94="No",1,0))/
IF(DY94&gt;INT($N94),$N94-INT($N94),1))*
IF(EQ$44=2,DY94,
IF(INT(DY94)=INT(DX94),0,DY94-INT(DY94)))))</f>
        <v>0</v>
      </c>
      <c r="ER94" s="834">
        <f>+IF(OR(DZ94=DY94,ER$44=1),0,
IF(AND(ER$44&gt;1,DZ94=$N94),1-SUM($EN94:EQ94),
IF($N94&lt;=1,
IF($N94&gt;0,1/$N94,0),
IF(ER$44=2,0,VDB(1,0,$N94,INT(ER$44-2-1),MIN($N94,INT(ER$44-2-1)+1),$DC94,IF($DD94="No",1,0))/
IF(DY94&gt;=INT($N94),$N94-INT($N94),1)))*
IF(ER$44=2,0,
IF(INT(DZ94)=INT(DY94),DZ94-DY94,INT(DZ94)-DY94))+
IF($N94&lt;=1,
IF($N94&gt;0,1/$N94,0),VDB(1,0,$N94,INT(ER$44-2),MIN($N94,INT(ER$44-2)+1),$DC94,IF($DD94="No",1,0))/
IF(DZ94&gt;INT($N94),$N94-INT($N94),1))*
IF(ER$44=2,DZ94,
IF(INT(DZ94)=INT(DY94),0,DZ94-INT(DZ94)))))</f>
        <v>0</v>
      </c>
      <c r="ES94" s="835">
        <f>+IF(OR(EA94=DZ94,ES$44=1),0,
IF(AND(ES$44&gt;1,EA94=$N94),1-SUM($EN94:ER94),
IF($N94&lt;=1,
IF($N94&gt;0,1/$N94,0),
IF(ES$44=2,0,VDB(1,0,$N94,INT(ES$44-2-1),MIN($N94,INT(ES$44-2-1)+1),$DC94,IF($DD94="No",1,0))/
IF(DZ94&gt;=INT($N94),$N94-INT($N94),1)))*
IF(ES$44=2,0,
IF(INT(EA94)=INT(DZ94),EA94-DZ94,INT(EA94)-DZ94))+
IF($N94&lt;=1,
IF($N94&gt;0,1/$N94,0),VDB(1,0,$N94,INT(ES$44-2),MIN($N94,INT(ES$44-2)+1),$DC94,IF($DD94="No",1,0))/
IF(EA94&gt;INT($N94),$N94-INT($N94),1))*
IF(ES$44=2,EA94,
IF(INT(EA94)=INT(DZ94),0,EA94-INT(EA94)))))</f>
        <v>0</v>
      </c>
      <c r="ET94" s="835">
        <f>+IF(OR(EB94=EA94,ET$44=1),0,
IF(AND(ET$44&gt;1,EB94=$N94),1-SUM($EN94:ES94),
IF($N94&lt;=1,
IF($N94&gt;0,1/$N94,0),
IF(ET$44=2,0,VDB(1,0,$N94,INT(ET$44-2-1),MIN($N94,INT(ET$44-2-1)+1),$DC94,IF($DD94="No",1,0))/
IF(EA94&gt;=INT($N94),$N94-INT($N94),1)))*
IF(ET$44=2,0,
IF(INT(EB94)=INT(EA94),EB94-EA94,INT(EB94)-EA94))+
IF($N94&lt;=1,
IF($N94&gt;0,1/$N94,0),VDB(1,0,$N94,INT(ET$44-2),MIN($N94,INT(ET$44-2)+1),$DC94,IF($DD94="No",1,0))/
IF(EB94&gt;INT($N94),$N94-INT($N94),1))*
IF(ET$44=2,EB94,
IF(INT(EB94)=INT(EA94),0,EB94-INT(EB94)))))</f>
        <v>0</v>
      </c>
      <c r="EU94" s="835">
        <f>+IF(OR(EC94=EB94,EU$44=1),0,
IF(AND(EU$44&gt;1,EC94=$N94),1-SUM($EN94:ET94),
IF($N94&lt;=1,
IF($N94&gt;0,1/$N94,0),
IF(EU$44=2,0,VDB(1,0,$N94,INT(EU$44-2-1),MIN($N94,INT(EU$44-2-1)+1),$DC94,IF($DD94="No",1,0))/
IF(EB94&gt;=INT($N94),$N94-INT($N94),1)))*
IF(EU$44=2,0,
IF(INT(EC94)=INT(EB94),EC94-EB94,INT(EC94)-EB94))+
IF($N94&lt;=1,
IF($N94&gt;0,1/$N94,0),VDB(1,0,$N94,INT(EU$44-2),MIN($N94,INT(EU$44-2)+1),$DC94,IF($DD94="No",1,0))/
IF(EC94&gt;INT($N94),$N94-INT($N94),1))*
IF(EU$44=2,EC94,
IF(INT(EC94)=INT(EB94),0,EC94-INT(EC94)))))</f>
        <v>0</v>
      </c>
      <c r="EV94" s="836">
        <f>+IF(OR(ED94=EC94,EV$44=1),0,
IF(AND(EV$44&gt;1,ED94=$N94),1-SUM($EN94:EU94),
IF($N94&lt;=1,
IF($N94&gt;0,1/$N94,0),
IF(EV$44=2,0,VDB(1,0,$N94,INT(EV$44-2-1),MIN($N94,INT(EV$44-2-1)+1),$DC94,IF($DD94="No",1,0))/
IF(EC94&gt;=INT($N94),$N94-INT($N94),1)))*
IF(EV$44=2,0,
IF(INT(ED94)=INT(EC94),ED94-EC94,INT(ED94)-EC94))+
IF($N94&lt;=1,
IF($N94&gt;0,1/$N94,0),VDB(1,0,$N94,INT(EV$44-2),MIN($N94,INT(EV$44-2)+1),$DC94,IF($DD94="No",1,0))/
IF(ED94&gt;INT($N94),$N94-INT($N94),1))*
IF(EV$44=2,ED94,
IF(INT(ED94)=INT(EC94),0,ED94-INT(ED94)))))</f>
        <v>0</v>
      </c>
      <c r="EW94" s="833"/>
      <c r="EX94" s="834">
        <f t="shared" ca="1" si="246"/>
        <v>0</v>
      </c>
      <c r="EY94" s="835">
        <f t="shared" ca="1" si="246"/>
        <v>0</v>
      </c>
      <c r="EZ94" s="836">
        <f t="shared" ca="1" si="246"/>
        <v>0</v>
      </c>
      <c r="FA94" s="834">
        <f t="shared" ca="1" si="246"/>
        <v>0</v>
      </c>
      <c r="FB94" s="835">
        <f t="shared" ca="1" si="246"/>
        <v>0</v>
      </c>
      <c r="FC94" s="835">
        <f t="shared" ca="1" si="246"/>
        <v>0</v>
      </c>
      <c r="FD94" s="835">
        <f t="shared" ca="1" si="246"/>
        <v>0</v>
      </c>
      <c r="FE94" s="836">
        <f t="shared" ca="1" si="246"/>
        <v>0</v>
      </c>
      <c r="FG94" s="386">
        <f t="shared" ca="1" si="237"/>
        <v>0</v>
      </c>
      <c r="FH94" s="387">
        <f t="shared" ca="1" si="238"/>
        <v>0</v>
      </c>
      <c r="FI94" s="388">
        <f t="shared" ca="1" si="239"/>
        <v>0</v>
      </c>
      <c r="FJ94" s="386">
        <f t="shared" ca="1" si="240"/>
        <v>0</v>
      </c>
      <c r="FK94" s="387">
        <f t="shared" ca="1" si="241"/>
        <v>0</v>
      </c>
      <c r="FL94" s="387">
        <f t="shared" ca="1" si="242"/>
        <v>0</v>
      </c>
      <c r="FM94" s="387">
        <f t="shared" ca="1" si="243"/>
        <v>0</v>
      </c>
      <c r="FN94" s="388">
        <f t="shared" ca="1" si="244"/>
        <v>0</v>
      </c>
      <c r="FR94" s="116"/>
    </row>
    <row r="95" spans="2:174">
      <c r="B95" s="1410">
        <f t="shared" si="135"/>
        <v>49</v>
      </c>
      <c r="C95" s="400" t="s">
        <v>580</v>
      </c>
      <c r="D95" s="410"/>
      <c r="E95" s="402" t="s">
        <v>402</v>
      </c>
      <c r="F95" s="402" t="s">
        <v>520</v>
      </c>
      <c r="G95" s="400" t="s">
        <v>525</v>
      </c>
      <c r="H95" s="2088" t="s">
        <v>483</v>
      </c>
      <c r="I95" s="2089"/>
      <c r="J95" s="411" t="s">
        <v>516</v>
      </c>
      <c r="K95" s="403" t="s">
        <v>544</v>
      </c>
      <c r="L95" s="403">
        <v>90</v>
      </c>
      <c r="M95" s="403" t="s">
        <v>142</v>
      </c>
      <c r="N95" s="403"/>
      <c r="O95" s="347"/>
      <c r="P95" s="347"/>
      <c r="Q95" s="1021">
        <v>0</v>
      </c>
      <c r="R95" s="1022">
        <v>0</v>
      </c>
      <c r="S95" s="1022">
        <v>0</v>
      </c>
      <c r="T95" s="1022">
        <v>0</v>
      </c>
      <c r="U95" s="1023">
        <v>0</v>
      </c>
      <c r="V95" s="1021">
        <v>0</v>
      </c>
      <c r="W95" s="1022">
        <v>0</v>
      </c>
      <c r="X95" s="1022">
        <v>19.486812154205481</v>
      </c>
      <c r="Y95" s="1022">
        <v>135.89259671996328</v>
      </c>
      <c r="Z95" s="1023">
        <v>132.57814314142757</v>
      </c>
      <c r="AA95" s="1024"/>
      <c r="AB95" s="1021">
        <v>0</v>
      </c>
      <c r="AC95" s="1022">
        <v>0</v>
      </c>
      <c r="AD95" s="1022">
        <v>0</v>
      </c>
      <c r="AE95" s="1022">
        <v>0</v>
      </c>
      <c r="AF95" s="1023">
        <v>0</v>
      </c>
      <c r="AG95" s="1021">
        <v>0</v>
      </c>
      <c r="AH95" s="1022">
        <v>0</v>
      </c>
      <c r="AI95" s="1022">
        <v>0</v>
      </c>
      <c r="AJ95" s="1022">
        <v>0</v>
      </c>
      <c r="AK95" s="1023">
        <v>0</v>
      </c>
      <c r="AL95" s="1024"/>
      <c r="AM95" s="1021">
        <v>0</v>
      </c>
      <c r="AN95" s="1022">
        <v>0</v>
      </c>
      <c r="AO95" s="1022">
        <v>0</v>
      </c>
      <c r="AP95" s="1022">
        <v>0</v>
      </c>
      <c r="AQ95" s="1023">
        <v>0</v>
      </c>
      <c r="AR95" s="1021">
        <v>0</v>
      </c>
      <c r="AS95" s="1022">
        <v>0</v>
      </c>
      <c r="AT95" s="1022">
        <v>0</v>
      </c>
      <c r="AU95" s="1022">
        <v>0</v>
      </c>
      <c r="AV95" s="1023">
        <v>0</v>
      </c>
      <c r="AW95" s="1025"/>
      <c r="AX95" s="1282">
        <f t="shared" si="191"/>
        <v>0</v>
      </c>
      <c r="AY95" s="387">
        <f t="shared" si="192"/>
        <v>0</v>
      </c>
      <c r="AZ95" s="387">
        <f t="shared" si="193"/>
        <v>0</v>
      </c>
      <c r="BA95" s="387">
        <f t="shared" si="194"/>
        <v>0</v>
      </c>
      <c r="BB95" s="1283">
        <f t="shared" si="195"/>
        <v>0</v>
      </c>
      <c r="BC95" s="386">
        <f t="shared" si="196"/>
        <v>0</v>
      </c>
      <c r="BD95" s="387">
        <f t="shared" si="197"/>
        <v>0</v>
      </c>
      <c r="BE95" s="1277">
        <f t="shared" si="198"/>
        <v>19.486812154205481</v>
      </c>
      <c r="BF95" s="1277">
        <f t="shared" si="199"/>
        <v>135.89259671996328</v>
      </c>
      <c r="BG95" s="388">
        <f t="shared" si="200"/>
        <v>132.57814314142757</v>
      </c>
      <c r="BH95" s="1025"/>
      <c r="BI95" s="1282">
        <f t="shared" ca="1" si="201"/>
        <v>0</v>
      </c>
      <c r="BJ95" s="387">
        <f t="shared" ca="1" si="202"/>
        <v>0</v>
      </c>
      <c r="BK95" s="387">
        <f t="shared" ca="1" si="203"/>
        <v>0</v>
      </c>
      <c r="BL95" s="387">
        <f t="shared" ca="1" si="204"/>
        <v>0</v>
      </c>
      <c r="BM95" s="1283">
        <f t="shared" ca="1" si="205"/>
        <v>0</v>
      </c>
      <c r="BN95" s="386">
        <f t="shared" ca="1" si="206"/>
        <v>0</v>
      </c>
      <c r="BO95" s="387">
        <f t="shared" ca="1" si="207"/>
        <v>0</v>
      </c>
      <c r="BP95" s="1277">
        <f t="shared" ca="1" si="208"/>
        <v>0.10826006752336378</v>
      </c>
      <c r="BQ95" s="1277">
        <f t="shared" ca="1" si="209"/>
        <v>0.97147900571319012</v>
      </c>
      <c r="BR95" s="388">
        <f t="shared" ca="1" si="210"/>
        <v>2.4629831160542501</v>
      </c>
      <c r="BS95" s="1025"/>
      <c r="BT95" s="1282">
        <f>+IF($K95="Ongoing",AX95,IF(RIGHT($K95,2)=RIGHT(BT$43,2),SUM($AX95:AX95),0)+IF(RIGHT(BT$43,2)&gt;RIGHT($K95,2),AX95,0))</f>
        <v>0</v>
      </c>
      <c r="BU95" s="387">
        <f>+IF($K95="Ongoing",AY95,IF(RIGHT($K95,2)=RIGHT(BU$43,2),SUM($AX95:AY95),0)+IF(RIGHT(BU$43,2)&gt;RIGHT($K95,2),AY95,0))</f>
        <v>0</v>
      </c>
      <c r="BV95" s="387">
        <f>+IF($K95="Ongoing",AZ95,IF(RIGHT($K95,2)=RIGHT(BV$43,2),SUM($AX95:AZ95),0)+IF(RIGHT(BV$43,2)&gt;RIGHT($K95,2),AZ95,0))</f>
        <v>0</v>
      </c>
      <c r="BW95" s="387">
        <f>+IF($K95="Ongoing",BA95,IF(RIGHT($K95,2)=RIGHT(BW$43,2),SUM($AX95:BA95),0)+IF(RIGHT(BW$43,2)&gt;RIGHT($K95,2),BA95,0))</f>
        <v>0</v>
      </c>
      <c r="BX95" s="1283">
        <f>+IF($K95="Ongoing",BB95,IF(RIGHT($K95,2)=RIGHT(BX$43,2),SUM($AX95:BB95),0)+IF(RIGHT(BX$43,2)&gt;RIGHT($K95,2),BB95,0))</f>
        <v>0</v>
      </c>
      <c r="BY95" s="386">
        <f>+IF($K95="Ongoing",BC95,IF(RIGHT($K95,2)=RIGHT(BY$43,2),SUM($AX95:BC95),0)+IF(RIGHT(BY$43,2)&gt;RIGHT($K95,2),BC95,0))</f>
        <v>0</v>
      </c>
      <c r="BZ95" s="387">
        <f>+IF($K95="Ongoing",BD95,IF(RIGHT($K95,2)=RIGHT(BZ$43,2),SUM($AX95:BD95),0)+IF(RIGHT(BZ$43,2)&gt;RIGHT($K95,2),BD95,0))</f>
        <v>0</v>
      </c>
      <c r="CA95" s="1277">
        <f>+IF($K95="Ongoing",BE95,IF(RIGHT($K95,2)=RIGHT(CA$43,2),SUM($AX95:BE95),0)+IF(RIGHT(CA$43,2)&gt;RIGHT($K95,2),BE95,0))</f>
        <v>19.486812154205481</v>
      </c>
      <c r="CB95" s="1277">
        <f>+IF($K95="Ongoing",BF95,IF(RIGHT($K95,2)=RIGHT(CB$43,2),SUM($AX95:BF95),0)+IF(RIGHT(CB$43,2)&gt;RIGHT($K95,2),BF95,0))</f>
        <v>135.89259671996328</v>
      </c>
      <c r="CC95" s="388">
        <f>+IF($K95="Ongoing",BG95,IF(RIGHT($K95,2)=RIGHT(CC$43,2),SUM($AX95:BG95),0)+IF(RIGHT(CC$43,2)&gt;RIGHT($K95,2),BG95,0))</f>
        <v>132.57814314142757</v>
      </c>
      <c r="CD95" s="1025"/>
      <c r="CE95" s="1282">
        <f>+Q95*KeyAssumptionsPriceControl_FO!AF$15</f>
        <v>0</v>
      </c>
      <c r="CF95" s="387">
        <f>+R95*KeyAssumptionsPriceControl_FO!AG$15</f>
        <v>0</v>
      </c>
      <c r="CG95" s="387">
        <f>+S95*KeyAssumptionsPriceControl_FO!AH$15</f>
        <v>0</v>
      </c>
      <c r="CH95" s="387">
        <f>+T95*KeyAssumptionsPriceControl_FO!AI$15</f>
        <v>0</v>
      </c>
      <c r="CI95" s="1283">
        <f>+U95*KeyAssumptionsPriceControl_FO!AJ$15</f>
        <v>0</v>
      </c>
      <c r="CJ95" s="386">
        <f>+V95*KeyAssumptionsPriceControl_FO!AK$15</f>
        <v>0</v>
      </c>
      <c r="CK95" s="387">
        <f>+W95*KeyAssumptionsPriceControl_FO!AL$15</f>
        <v>0</v>
      </c>
      <c r="CL95" s="1277">
        <f>+X95*KeyAssumptionsPriceControl_FO!AM$15</f>
        <v>24.494230298758325</v>
      </c>
      <c r="CM95" s="1277">
        <f>+Y95*KeyAssumptionsPriceControl_FO!AN$15</f>
        <v>175.76571709573275</v>
      </c>
      <c r="CN95" s="388">
        <f>+Z95*KeyAssumptionsPriceControl_FO!AO$15</f>
        <v>176.45163208927704</v>
      </c>
      <c r="CO95" s="1025"/>
      <c r="CP95" s="1282">
        <f t="shared" ca="1" si="211"/>
        <v>0</v>
      </c>
      <c r="CQ95" s="387">
        <f t="shared" ca="1" si="212"/>
        <v>0</v>
      </c>
      <c r="CR95" s="387">
        <f t="shared" ca="1" si="213"/>
        <v>0</v>
      </c>
      <c r="CS95" s="387">
        <f t="shared" ca="1" si="214"/>
        <v>0</v>
      </c>
      <c r="CT95" s="1283">
        <f t="shared" ca="1" si="215"/>
        <v>0</v>
      </c>
      <c r="CU95" s="386">
        <f t="shared" ca="1" si="216"/>
        <v>0</v>
      </c>
      <c r="CV95" s="387">
        <f t="shared" ca="1" si="217"/>
        <v>0</v>
      </c>
      <c r="CW95" s="1277">
        <f t="shared" ca="1" si="218"/>
        <v>0</v>
      </c>
      <c r="CX95" s="1277">
        <f t="shared" ca="1" si="219"/>
        <v>0</v>
      </c>
      <c r="CY95" s="388">
        <f t="shared" ca="1" si="220"/>
        <v>0</v>
      </c>
      <c r="CZ95" s="347"/>
      <c r="DA95" s="852"/>
      <c r="DB95" s="347"/>
      <c r="DC95" s="1012" t="s">
        <v>582</v>
      </c>
      <c r="DD95" s="841" t="s">
        <v>518</v>
      </c>
      <c r="DE95" s="386">
        <f>+IF($K95="ongoing",CE95,IF(RIGHT($K95,2)=RIGHT(DE$43,2),SUM($CD95:CE95),0)+IF(RIGHT(DE$43,2)&gt;RIGHT($K95,2),CE95,0))</f>
        <v>0</v>
      </c>
      <c r="DF95" s="387">
        <f>+IF($K95="ongoing",CF95,IF(RIGHT($K95,2)=RIGHT(DF$43,2),SUM($CD95:CF95),0)+IF(RIGHT(DF$43,2)&gt;RIGHT($K95,2),CF95,0))</f>
        <v>0</v>
      </c>
      <c r="DG95" s="388">
        <f>+IF($K95="ongoing",CG95,IF(RIGHT($K95,2)=RIGHT(DG$43,2),SUM($CD95:CG95),0)+IF(RIGHT(DG$43,2)&gt;RIGHT($K95,2),CG95,0))</f>
        <v>0</v>
      </c>
      <c r="DH95" s="386">
        <f>+IF($K95="ongoing",CH95,IF(RIGHT($K95,2)=RIGHT(DH$43,2),SUM($CD95:CH95),0)+IF(RIGHT(DH$43,2)&gt;RIGHT($K95,2),CH95,0))</f>
        <v>0</v>
      </c>
      <c r="DI95" s="387">
        <f>+IF($K95="ongoing",CI95,IF(RIGHT($K95,2)=RIGHT(DI$43,2),SUM($CD95:CI95),0)+IF(RIGHT(DI$43,2)&gt;RIGHT($K95,2),CI95,0))</f>
        <v>0</v>
      </c>
      <c r="DJ95" s="387">
        <f>+IF($K95="ongoing",CJ95,IF(RIGHT($K95,2)=RIGHT(DJ$43,2),SUM($CD95:CJ95),0)+IF(RIGHT(DJ$43,2)&gt;RIGHT($K95,2),CJ95,0))</f>
        <v>0</v>
      </c>
      <c r="DK95" s="387">
        <f>+IF($K95="ongoing",CK95,IF(RIGHT($K95,2)=RIGHT(DK$43,2),SUM($CD95:CK95),0)+IF(RIGHT(DK$43,2)&gt;RIGHT($K95,2),CK95,0))</f>
        <v>0</v>
      </c>
      <c r="DL95" s="388">
        <f>+IF($K95="ongoing",CN95,IF(RIGHT($K95,2)=RIGHT(DL$43,2),SUM($CD95:CN95),0)+IF(RIGHT(DL$43,2)&gt;RIGHT($K95,2),CN95,0))</f>
        <v>176.45163208927704</v>
      </c>
      <c r="DM95" s="841"/>
      <c r="DN95" s="386">
        <f t="shared" si="221"/>
        <v>0.5</v>
      </c>
      <c r="DO95" s="387">
        <f t="shared" si="222"/>
        <v>1</v>
      </c>
      <c r="DP95" s="388">
        <f t="shared" si="223"/>
        <v>1</v>
      </c>
      <c r="DQ95" s="386">
        <f t="shared" si="224"/>
        <v>1</v>
      </c>
      <c r="DR95" s="387">
        <f t="shared" si="225"/>
        <v>1</v>
      </c>
      <c r="DS95" s="387">
        <f t="shared" si="226"/>
        <v>1</v>
      </c>
      <c r="DT95" s="387">
        <f t="shared" si="227"/>
        <v>1</v>
      </c>
      <c r="DU95" s="388">
        <f t="shared" si="228"/>
        <v>1</v>
      </c>
      <c r="DW95" s="386">
        <f t="shared" si="229"/>
        <v>0</v>
      </c>
      <c r="DX95" s="387">
        <f t="shared" si="230"/>
        <v>0.5</v>
      </c>
      <c r="DY95" s="388">
        <f t="shared" si="231"/>
        <v>1</v>
      </c>
      <c r="DZ95" s="386">
        <f t="shared" si="232"/>
        <v>1</v>
      </c>
      <c r="EA95" s="387">
        <f t="shared" si="233"/>
        <v>1</v>
      </c>
      <c r="EB95" s="387">
        <f t="shared" si="234"/>
        <v>1</v>
      </c>
      <c r="EC95" s="387">
        <f t="shared" si="235"/>
        <v>1</v>
      </c>
      <c r="ED95" s="388">
        <f t="shared" si="236"/>
        <v>1</v>
      </c>
      <c r="EF95" s="834">
        <f>+IF(DN95=DM95,0,
IF(AND(EF$44&gt;1,DN95=$N95),1-SUM($EE95:EE95),
IF($N95&lt;=1,
IF($N95&gt;0,1/$N95,0),
IF(EF$44=1,0,VDB(1,0,$N95,INT(EF$44-1-1),MIN($N95,INT(EF$44-1-1)+1),$DC95,IF($DD95="No",1,0))/
IF(DM95&gt;=INT($N95),$N95-INT($N95),1)))*
IF(EF$44=1,0,
IF(INT(DN95)=INT(DM95),DN95-DM95,INT(DN95)-DM95))+
IF($N95&lt;=1,
IF($N95&gt;0,1/$N95,0),VDB(1,0,$N95,INT(EF$44-1),MIN($N95,INT(EF$44-1)+1),$DC95,IF($DD95="No",1,0))/
IF(DN95&gt;INT($N95),$N95-INT($N95),1))*
IF(EF$44=1,DN95,
IF(INT(DN95)=INT(DM95),0,DN95-INT(DN95)))))</f>
        <v>0</v>
      </c>
      <c r="EG95" s="835">
        <f>+IF(DO95=DN95,0,
IF(AND(EG$44&gt;1,DO95=$N95),1-SUM($EE95:EF95),
IF($N95&lt;=1,
IF($N95&gt;0,1/$N95,0),
IF(EG$44=1,0,VDB(1,0,$N95,INT(EG$44-1-1),MIN($N95,INT(EG$44-1-1)+1),$DC95,IF($DD95="No",1,0))/
IF(DN95&gt;=INT($N95),$N95-INT($N95),1)))*
IF(EG$44=1,0,
IF(INT(DO95)=INT(DN95),DO95-DN95,INT(DO95)-DN95))+
IF($N95&lt;=1,
IF($N95&gt;0,1/$N95,0),VDB(1,0,$N95,INT(EG$44-1),MIN($N95,INT(EG$44-1)+1),$DC95,IF($DD95="No",1,0))/
IF(DO95&gt;INT($N95),$N95-INT($N95),1))*
IF(EG$44=1,DO95,
IF(INT(DO95)=INT(DN95),0,DO95-INT(DO95)))))</f>
        <v>0</v>
      </c>
      <c r="EH95" s="836">
        <f>+IF(DP95=DO95,0,
IF(AND(EH$44&gt;1,DP95=$N95),1-SUM($EE95:EG95),
IF($N95&lt;=1,
IF($N95&gt;0,1/$N95,0),
IF(EH$44=1,0,VDB(1,0,$N95,INT(EH$44-1-1),MIN($N95,INT(EH$44-1-1)+1),$DC95,IF($DD95="No",1,0))/
IF(DO95&gt;=INT($N95),$N95-INT($N95),1)))*
IF(EH$44=1,0,
IF(INT(DP95)=INT(DO95),DP95-DO95,INT(DP95)-DO95))+
IF($N95&lt;=1,
IF($N95&gt;0,1/$N95,0),VDB(1,0,$N95,INT(EH$44-1),MIN($N95,INT(EH$44-1)+1),$DC95,IF($DD95="No",1,0))/
IF(DP95&gt;INT($N95),$N95-INT($N95),1))*
IF(EH$44=1,DP95,
IF(INT(DP95)=INT(DO95),0,DP95-INT(DP95)))))</f>
        <v>0</v>
      </c>
      <c r="EI95" s="834">
        <f>+IF(DQ95=DP95,0,
IF(AND(EI$44&gt;1,DQ95=$N95),1-SUM($EE95:EH95),
IF($N95&lt;=1,
IF($N95&gt;0,1/$N95,0),
IF(EI$44=1,0,VDB(1,0,$N95,INT(EI$44-1-1),MIN($N95,INT(EI$44-1-1)+1),$DC95,IF($DD95="No",1,0))/
IF(DP95&gt;=INT($N95),$N95-INT($N95),1)))*
IF(EI$44=1,0,
IF(INT(DQ95)=INT(DP95),DQ95-DP95,INT(DQ95)-DP95))+
IF($N95&lt;=1,
IF($N95&gt;0,1/$N95,0),VDB(1,0,$N95,INT(EI$44-1),MIN($N95,INT(EI$44-1)+1),$DC95,IF($DD95="No",1,0))/
IF(DQ95&gt;INT($N95),$N95-INT($N95),1))*
IF(EI$44=1,DQ95,
IF(INT(DQ95)=INT(DP95),0,DQ95-INT(DQ95)))))</f>
        <v>0</v>
      </c>
      <c r="EJ95" s="835">
        <f>+IF(DR95=DQ95,0,
IF(AND(EJ$44&gt;1,DR95=$N95),1-SUM($EE95:EI95),
IF($N95&lt;=1,
IF($N95&gt;0,1/$N95,0),
IF(EJ$44=1,0,VDB(1,0,$N95,INT(EJ$44-1-1),MIN($N95,INT(EJ$44-1-1)+1),$DC95,IF($DD95="No",1,0))/
IF(DQ95&gt;=INT($N95),$N95-INT($N95),1)))*
IF(EJ$44=1,0,
IF(INT(DR95)=INT(DQ95),DR95-DQ95,INT(DR95)-DQ95))+
IF($N95&lt;=1,
IF($N95&gt;0,1/$N95,0),VDB(1,0,$N95,INT(EJ$44-1),MIN($N95,INT(EJ$44-1)+1),$DC95,IF($DD95="No",1,0))/
IF(DR95&gt;INT($N95),$N95-INT($N95),1))*
IF(EJ$44=1,DR95,
IF(INT(DR95)=INT(DQ95),0,DR95-INT(DR95)))))</f>
        <v>0</v>
      </c>
      <c r="EK95" s="835">
        <f>+IF(DS95=DR95,0,
IF(AND(EK$44&gt;1,DS95=$N95),1-SUM($EE95:EJ95),
IF($N95&lt;=1,
IF($N95&gt;0,1/$N95,0),
IF(EK$44=1,0,VDB(1,0,$N95,INT(EK$44-1-1),MIN($N95,INT(EK$44-1-1)+1),$DC95,IF($DD95="No",1,0))/
IF(DR95&gt;=INT($N95),$N95-INT($N95),1)))*
IF(EK$44=1,0,
IF(INT(DS95)=INT(DR95),DS95-DR95,INT(DS95)-DR95))+
IF($N95&lt;=1,
IF($N95&gt;0,1/$N95,0),VDB(1,0,$N95,INT(EK$44-1),MIN($N95,INT(EK$44-1)+1),$DC95,IF($DD95="No",1,0))/
IF(DS95&gt;INT($N95),$N95-INT($N95),1))*
IF(EK$44=1,DS95,
IF(INT(DS95)=INT(DR95),0,DS95-INT(DS95)))))</f>
        <v>0</v>
      </c>
      <c r="EL95" s="835">
        <f>+IF(DT95=DS95,0,
IF(AND(EL$44&gt;1,DT95=$N95),1-SUM($EE95:EK95),
IF($N95&lt;=1,
IF($N95&gt;0,1/$N95,0),
IF(EL$44=1,0,VDB(1,0,$N95,INT(EL$44-1-1),MIN($N95,INT(EL$44-1-1)+1),$DC95,IF($DD95="No",1,0))/
IF(DS95&gt;=INT($N95),$N95-INT($N95),1)))*
IF(EL$44=1,0,
IF(INT(DT95)=INT(DS95),DT95-DS95,INT(DT95)-DS95))+
IF($N95&lt;=1,
IF($N95&gt;0,1/$N95,0),VDB(1,0,$N95,INT(EL$44-1),MIN($N95,INT(EL$44-1)+1),$DC95,IF($DD95="No",1,0))/
IF(DT95&gt;INT($N95),$N95-INT($N95),1))*
IF(EL$44=1,DT95,
IF(INT(DT95)=INT(DS95),0,DT95-INT(DT95)))))</f>
        <v>0</v>
      </c>
      <c r="EM95" s="836">
        <f>+IF(DU95=DT95,0,
IF(AND(EM$44&gt;1,DU95=$N95),1-SUM($EE95:EL95),
IF($N95&lt;=1,
IF($N95&gt;0,1/$N95,0),
IF(EM$44=1,0,VDB(1,0,$N95,INT(EM$44-1-1),MIN($N95,INT(EM$44-1-1)+1),$DC95,IF($DD95="No",1,0))/
IF(DT95&gt;=INT($N95),$N95-INT($N95),1)))*
IF(EM$44=1,0,
IF(INT(DU95)=INT(DT95),DU95-DT95,INT(DU95)-DT95))+
IF($N95&lt;=1,
IF($N95&gt;0,1/$N95,0),VDB(1,0,$N95,INT(EM$44-1),MIN($N95,INT(EM$44-1)+1),$DC95,IF($DD95="No",1,0))/
IF(DU95&gt;INT($N95),$N95-INT($N95),1))*
IF(EM$44=1,DU95,
IF(INT(DU95)=INT(DT95),0,DU95-INT(DU95)))))</f>
        <v>0</v>
      </c>
      <c r="EN95" s="833"/>
      <c r="EO95" s="834">
        <f>+IF(OR(DW95=DV95,EO$44=1),0,
IF(AND(EO$44&gt;1,DW95=$N95),1-SUM($EN95:EN95),
IF($N95&lt;=1,
IF($N95&gt;0,1/$N95,0),
IF(EO$44=2,0,VDB(1,0,$N95,INT(EO$44-2-1),MIN($N95,INT(EO$44-2-1)+1),$DC95,IF($DD95="No",1,0))/
IF(DV95&gt;=INT($N95),$N95-INT($N95),1)))*
IF(EO$44=2,0,
IF(INT(DW95)=INT(DV95),DW95-DV95,INT(DW95)-DV95))+
IF($N95&lt;=1,
IF($N95&gt;0,1/$N95,0),VDB(1,0,$N95,INT(EO$44-2),MIN($N95,INT(EO$44-2)+1),$DC95,IF($DD95="No",1,0))/
IF(DW95&gt;INT($N95),$N95-INT($N95),1))*
IF(EO$44=2,DW95,
IF(INT(DW95)=INT(DV95),0,DW95-INT(DW95)))))</f>
        <v>0</v>
      </c>
      <c r="EP95" s="835">
        <f>+IF(OR(DX95=DW95,EP$44=1),0,
IF(AND(EP$44&gt;1,DX95=$N95),1-SUM($EN95:EO95),
IF($N95&lt;=1,
IF($N95&gt;0,1/$N95,0),
IF(EP$44=2,0,VDB(1,0,$N95,INT(EP$44-2-1),MIN($N95,INT(EP$44-2-1)+1),$DC95,IF($DD95="No",1,0))/
IF(DW95&gt;=INT($N95),$N95-INT($N95),1)))*
IF(EP$44=2,0,
IF(INT(DX95)=INT(DW95),DX95-DW95,INT(DX95)-DW95))+
IF($N95&lt;=1,
IF($N95&gt;0,1/$N95,0),VDB(1,0,$N95,INT(EP$44-2),MIN($N95,INT(EP$44-2)+1),$DC95,IF($DD95="No",1,0))/
IF(DX95&gt;INT($N95),$N95-INT($N95),1))*
IF(EP$44=2,DX95,
IF(INT(DX95)=INT(DW95),0,DX95-INT(DX95)))))</f>
        <v>0</v>
      </c>
      <c r="EQ95" s="836">
        <f>+IF(OR(DY95=DX95,EQ$44=1),0,
IF(AND(EQ$44&gt;1,DY95=$N95),1-SUM($EN95:EP95),
IF($N95&lt;=1,
IF($N95&gt;0,1/$N95,0),
IF(EQ$44=2,0,VDB(1,0,$N95,INT(EQ$44-2-1),MIN($N95,INT(EQ$44-2-1)+1),$DC95,IF($DD95="No",1,0))/
IF(DX95&gt;=INT($N95),$N95-INT($N95),1)))*
IF(EQ$44=2,0,
IF(INT(DY95)=INT(DX95),DY95-DX95,INT(DY95)-DX95))+
IF($N95&lt;=1,
IF($N95&gt;0,1/$N95,0),VDB(1,0,$N95,INT(EQ$44-2),MIN($N95,INT(EQ$44-2)+1),$DC95,IF($DD95="No",1,0))/
IF(DY95&gt;INT($N95),$N95-INT($N95),1))*
IF(EQ$44=2,DY95,
IF(INT(DY95)=INT(DX95),0,DY95-INT(DY95)))))</f>
        <v>0</v>
      </c>
      <c r="ER95" s="834">
        <f>+IF(OR(DZ95=DY95,ER$44=1),0,
IF(AND(ER$44&gt;1,DZ95=$N95),1-SUM($EN95:EQ95),
IF($N95&lt;=1,
IF($N95&gt;0,1/$N95,0),
IF(ER$44=2,0,VDB(1,0,$N95,INT(ER$44-2-1),MIN($N95,INT(ER$44-2-1)+1),$DC95,IF($DD95="No",1,0))/
IF(DY95&gt;=INT($N95),$N95-INT($N95),1)))*
IF(ER$44=2,0,
IF(INT(DZ95)=INT(DY95),DZ95-DY95,INT(DZ95)-DY95))+
IF($N95&lt;=1,
IF($N95&gt;0,1/$N95,0),VDB(1,0,$N95,INT(ER$44-2),MIN($N95,INT(ER$44-2)+1),$DC95,IF($DD95="No",1,0))/
IF(DZ95&gt;INT($N95),$N95-INT($N95),1))*
IF(ER$44=2,DZ95,
IF(INT(DZ95)=INT(DY95),0,DZ95-INT(DZ95)))))</f>
        <v>0</v>
      </c>
      <c r="ES95" s="835">
        <f>+IF(OR(EA95=DZ95,ES$44=1),0,
IF(AND(ES$44&gt;1,EA95=$N95),1-SUM($EN95:ER95),
IF($N95&lt;=1,
IF($N95&gt;0,1/$N95,0),
IF(ES$44=2,0,VDB(1,0,$N95,INT(ES$44-2-1),MIN($N95,INT(ES$44-2-1)+1),$DC95,IF($DD95="No",1,0))/
IF(DZ95&gt;=INT($N95),$N95-INT($N95),1)))*
IF(ES$44=2,0,
IF(INT(EA95)=INT(DZ95),EA95-DZ95,INT(EA95)-DZ95))+
IF($N95&lt;=1,
IF($N95&gt;0,1/$N95,0),VDB(1,0,$N95,INT(ES$44-2),MIN($N95,INT(ES$44-2)+1),$DC95,IF($DD95="No",1,0))/
IF(EA95&gt;INT($N95),$N95-INT($N95),1))*
IF(ES$44=2,EA95,
IF(INT(EA95)=INT(DZ95),0,EA95-INT(EA95)))))</f>
        <v>0</v>
      </c>
      <c r="ET95" s="835">
        <f>+IF(OR(EB95=EA95,ET$44=1),0,
IF(AND(ET$44&gt;1,EB95=$N95),1-SUM($EN95:ES95),
IF($N95&lt;=1,
IF($N95&gt;0,1/$N95,0),
IF(ET$44=2,0,VDB(1,0,$N95,INT(ET$44-2-1),MIN($N95,INT(ET$44-2-1)+1),$DC95,IF($DD95="No",1,0))/
IF(EA95&gt;=INT($N95),$N95-INT($N95),1)))*
IF(ET$44=2,0,
IF(INT(EB95)=INT(EA95),EB95-EA95,INT(EB95)-EA95))+
IF($N95&lt;=1,
IF($N95&gt;0,1/$N95,0),VDB(1,0,$N95,INT(ET$44-2),MIN($N95,INT(ET$44-2)+1),$DC95,IF($DD95="No",1,0))/
IF(EB95&gt;INT($N95),$N95-INT($N95),1))*
IF(ET$44=2,EB95,
IF(INT(EB95)=INT(EA95),0,EB95-INT(EB95)))))</f>
        <v>0</v>
      </c>
      <c r="EU95" s="835">
        <f>+IF(OR(EC95=EB95,EU$44=1),0,
IF(AND(EU$44&gt;1,EC95=$N95),1-SUM($EN95:ET95),
IF($N95&lt;=1,
IF($N95&gt;0,1/$N95,0),
IF(EU$44=2,0,VDB(1,0,$N95,INT(EU$44-2-1),MIN($N95,INT(EU$44-2-1)+1),$DC95,IF($DD95="No",1,0))/
IF(EB95&gt;=INT($N95),$N95-INT($N95),1)))*
IF(EU$44=2,0,
IF(INT(EC95)=INT(EB95),EC95-EB95,INT(EC95)-EB95))+
IF($N95&lt;=1,
IF($N95&gt;0,1/$N95,0),VDB(1,0,$N95,INT(EU$44-2),MIN($N95,INT(EU$44-2)+1),$DC95,IF($DD95="No",1,0))/
IF(EC95&gt;INT($N95),$N95-INT($N95),1))*
IF(EU$44=2,EC95,
IF(INT(EC95)=INT(EB95),0,EC95-INT(EC95)))))</f>
        <v>0</v>
      </c>
      <c r="EV95" s="836">
        <f>+IF(OR(ED95=EC95,EV$44=1),0,
IF(AND(EV$44&gt;1,ED95=$N95),1-SUM($EN95:EU95),
IF($N95&lt;=1,
IF($N95&gt;0,1/$N95,0),
IF(EV$44=2,0,VDB(1,0,$N95,INT(EV$44-2-1),MIN($N95,INT(EV$44-2-1)+1),$DC95,IF($DD95="No",1,0))/
IF(EC95&gt;=INT($N95),$N95-INT($N95),1)))*
IF(EV$44=2,0,
IF(INT(ED95)=INT(EC95),ED95-EC95,INT(ED95)-EC95))+
IF($N95&lt;=1,
IF($N95&gt;0,1/$N95,0),VDB(1,0,$N95,INT(EV$44-2),MIN($N95,INT(EV$44-2)+1),$DC95,IF($DD95="No",1,0))/
IF(ED95&gt;INT($N95),$N95-INT($N95),1))*
IF(EV$44=2,ED95,
IF(INT(ED95)=INT(EC95),0,ED95-INT(ED95)))))</f>
        <v>0</v>
      </c>
      <c r="EW95" s="833"/>
      <c r="EX95" s="834">
        <f t="shared" ca="1" si="246"/>
        <v>0</v>
      </c>
      <c r="EY95" s="835">
        <f t="shared" ca="1" si="246"/>
        <v>0</v>
      </c>
      <c r="EZ95" s="836">
        <f t="shared" ca="1" si="246"/>
        <v>0</v>
      </c>
      <c r="FA95" s="834">
        <f t="shared" ca="1" si="246"/>
        <v>0</v>
      </c>
      <c r="FB95" s="835">
        <f t="shared" ca="1" si="246"/>
        <v>0</v>
      </c>
      <c r="FC95" s="835">
        <f t="shared" ca="1" si="246"/>
        <v>0</v>
      </c>
      <c r="FD95" s="835">
        <f t="shared" ca="1" si="246"/>
        <v>0</v>
      </c>
      <c r="FE95" s="836">
        <f t="shared" ca="1" si="246"/>
        <v>0</v>
      </c>
      <c r="FG95" s="386">
        <f t="shared" ca="1" si="237"/>
        <v>0</v>
      </c>
      <c r="FH95" s="387">
        <f t="shared" ca="1" si="238"/>
        <v>0</v>
      </c>
      <c r="FI95" s="388">
        <f t="shared" ca="1" si="239"/>
        <v>0</v>
      </c>
      <c r="FJ95" s="386">
        <f t="shared" ca="1" si="240"/>
        <v>0</v>
      </c>
      <c r="FK95" s="387">
        <f t="shared" ca="1" si="241"/>
        <v>0</v>
      </c>
      <c r="FL95" s="387">
        <f t="shared" ca="1" si="242"/>
        <v>0</v>
      </c>
      <c r="FM95" s="387">
        <f t="shared" ca="1" si="243"/>
        <v>0</v>
      </c>
      <c r="FN95" s="388">
        <f t="shared" ca="1" si="244"/>
        <v>0</v>
      </c>
      <c r="FR95" s="116"/>
    </row>
    <row r="96" spans="2:174">
      <c r="B96" s="1410">
        <f t="shared" si="135"/>
        <v>50</v>
      </c>
      <c r="C96" s="400" t="s">
        <v>580</v>
      </c>
      <c r="D96" s="410"/>
      <c r="E96" s="402" t="s">
        <v>402</v>
      </c>
      <c r="F96" s="402" t="s">
        <v>514</v>
      </c>
      <c r="G96" s="400" t="s">
        <v>525</v>
      </c>
      <c r="H96" s="2088" t="s">
        <v>483</v>
      </c>
      <c r="I96" s="2089"/>
      <c r="J96" s="411" t="s">
        <v>516</v>
      </c>
      <c r="K96" s="403" t="s">
        <v>544</v>
      </c>
      <c r="L96" s="403">
        <v>40</v>
      </c>
      <c r="M96" s="403" t="s">
        <v>142</v>
      </c>
      <c r="N96" s="403"/>
      <c r="O96" s="347"/>
      <c r="P96" s="347"/>
      <c r="Q96" s="1021">
        <v>6.327872731707318</v>
      </c>
      <c r="R96" s="1022">
        <v>0.47590719809637128</v>
      </c>
      <c r="S96" s="1022">
        <v>3.9001175258629459</v>
      </c>
      <c r="T96" s="1022">
        <v>3.1868870438795081</v>
      </c>
      <c r="U96" s="1023">
        <v>0</v>
      </c>
      <c r="V96" s="1021">
        <v>0</v>
      </c>
      <c r="W96" s="1022">
        <v>0</v>
      </c>
      <c r="X96" s="1022">
        <v>0</v>
      </c>
      <c r="Y96" s="1022">
        <v>0</v>
      </c>
      <c r="Z96" s="1023">
        <v>0</v>
      </c>
      <c r="AA96" s="1024"/>
      <c r="AB96" s="1021">
        <v>0</v>
      </c>
      <c r="AC96" s="1022">
        <v>0</v>
      </c>
      <c r="AD96" s="1022">
        <v>0</v>
      </c>
      <c r="AE96" s="1022">
        <v>0</v>
      </c>
      <c r="AF96" s="1023">
        <v>0</v>
      </c>
      <c r="AG96" s="1021">
        <v>0</v>
      </c>
      <c r="AH96" s="1022">
        <v>0</v>
      </c>
      <c r="AI96" s="1022">
        <v>0</v>
      </c>
      <c r="AJ96" s="1022">
        <v>0</v>
      </c>
      <c r="AK96" s="1023">
        <v>0</v>
      </c>
      <c r="AL96" s="1024"/>
      <c r="AM96" s="1021">
        <v>0</v>
      </c>
      <c r="AN96" s="1022">
        <v>0</v>
      </c>
      <c r="AO96" s="1022">
        <v>0</v>
      </c>
      <c r="AP96" s="1022">
        <v>0</v>
      </c>
      <c r="AQ96" s="1023">
        <v>0</v>
      </c>
      <c r="AR96" s="1021">
        <v>0</v>
      </c>
      <c r="AS96" s="1022">
        <v>0</v>
      </c>
      <c r="AT96" s="1022">
        <v>0</v>
      </c>
      <c r="AU96" s="1022">
        <v>0</v>
      </c>
      <c r="AV96" s="1023">
        <v>0</v>
      </c>
      <c r="AW96" s="1025"/>
      <c r="AX96" s="1282">
        <f t="shared" si="191"/>
        <v>6.327872731707318</v>
      </c>
      <c r="AY96" s="387">
        <f t="shared" si="192"/>
        <v>0.47590719809637128</v>
      </c>
      <c r="AZ96" s="387">
        <f t="shared" si="193"/>
        <v>3.9001175258629459</v>
      </c>
      <c r="BA96" s="387">
        <f t="shared" si="194"/>
        <v>3.1868870438795081</v>
      </c>
      <c r="BB96" s="1283">
        <f t="shared" si="195"/>
        <v>0</v>
      </c>
      <c r="BC96" s="386">
        <f t="shared" si="196"/>
        <v>0</v>
      </c>
      <c r="BD96" s="387">
        <f t="shared" si="197"/>
        <v>0</v>
      </c>
      <c r="BE96" s="1277">
        <f t="shared" si="198"/>
        <v>0</v>
      </c>
      <c r="BF96" s="1277">
        <f t="shared" si="199"/>
        <v>0</v>
      </c>
      <c r="BG96" s="388">
        <f t="shared" si="200"/>
        <v>0</v>
      </c>
      <c r="BH96" s="1025"/>
      <c r="BI96" s="1282">
        <f t="shared" ca="1" si="201"/>
        <v>7.9098409146341475E-2</v>
      </c>
      <c r="BJ96" s="387">
        <f t="shared" ca="1" si="202"/>
        <v>0.16414565826888758</v>
      </c>
      <c r="BK96" s="387">
        <f t="shared" ca="1" si="203"/>
        <v>0.21884596731837908</v>
      </c>
      <c r="BL96" s="387">
        <f t="shared" ca="1" si="204"/>
        <v>0.30743352444015976</v>
      </c>
      <c r="BM96" s="1283">
        <f t="shared" ca="1" si="205"/>
        <v>0.34726961248865357</v>
      </c>
      <c r="BN96" s="386">
        <f t="shared" ca="1" si="206"/>
        <v>0.34726961248865357</v>
      </c>
      <c r="BO96" s="387">
        <f t="shared" ca="1" si="207"/>
        <v>0.34726961248865357</v>
      </c>
      <c r="BP96" s="1277">
        <f t="shared" ca="1" si="208"/>
        <v>0.34726961248865357</v>
      </c>
      <c r="BQ96" s="1277">
        <f t="shared" ca="1" si="209"/>
        <v>0.34726961248865357</v>
      </c>
      <c r="BR96" s="388">
        <f t="shared" ca="1" si="210"/>
        <v>0.34726961248865357</v>
      </c>
      <c r="BS96" s="1025"/>
      <c r="BT96" s="1282">
        <f>+IF($K96="Ongoing",AX96,IF(RIGHT($K96,2)=RIGHT(BT$43,2),SUM($AX96:AX96),0)+IF(RIGHT(BT$43,2)&gt;RIGHT($K96,2),AX96,0))</f>
        <v>6.327872731707318</v>
      </c>
      <c r="BU96" s="387">
        <f>+IF($K96="Ongoing",AY96,IF(RIGHT($K96,2)=RIGHT(BU$43,2),SUM($AX96:AY96),0)+IF(RIGHT(BU$43,2)&gt;RIGHT($K96,2),AY96,0))</f>
        <v>0.47590719809637128</v>
      </c>
      <c r="BV96" s="387">
        <f>+IF($K96="Ongoing",AZ96,IF(RIGHT($K96,2)=RIGHT(BV$43,2),SUM($AX96:AZ96),0)+IF(RIGHT(BV$43,2)&gt;RIGHT($K96,2),AZ96,0))</f>
        <v>3.9001175258629459</v>
      </c>
      <c r="BW96" s="387">
        <f>+IF($K96="Ongoing",BA96,IF(RIGHT($K96,2)=RIGHT(BW$43,2),SUM($AX96:BA96),0)+IF(RIGHT(BW$43,2)&gt;RIGHT($K96,2),BA96,0))</f>
        <v>3.1868870438795081</v>
      </c>
      <c r="BX96" s="1283">
        <f>+IF($K96="Ongoing",BB96,IF(RIGHT($K96,2)=RIGHT(BX$43,2),SUM($AX96:BB96),0)+IF(RIGHT(BX$43,2)&gt;RIGHT($K96,2),BB96,0))</f>
        <v>0</v>
      </c>
      <c r="BY96" s="386">
        <f>+IF($K96="Ongoing",BC96,IF(RIGHT($K96,2)=RIGHT(BY$43,2),SUM($AX96:BC96),0)+IF(RIGHT(BY$43,2)&gt;RIGHT($K96,2),BC96,0))</f>
        <v>0</v>
      </c>
      <c r="BZ96" s="387">
        <f>+IF($K96="Ongoing",BD96,IF(RIGHT($K96,2)=RIGHT(BZ$43,2),SUM($AX96:BD96),0)+IF(RIGHT(BZ$43,2)&gt;RIGHT($K96,2),BD96,0))</f>
        <v>0</v>
      </c>
      <c r="CA96" s="1277">
        <f>+IF($K96="Ongoing",BE96,IF(RIGHT($K96,2)=RIGHT(CA$43,2),SUM($AX96:BE96),0)+IF(RIGHT(CA$43,2)&gt;RIGHT($K96,2),BE96,0))</f>
        <v>0</v>
      </c>
      <c r="CB96" s="1277">
        <f>+IF($K96="Ongoing",BF96,IF(RIGHT($K96,2)=RIGHT(CB$43,2),SUM($AX96:BF96),0)+IF(RIGHT(CB$43,2)&gt;RIGHT($K96,2),BF96,0))</f>
        <v>0</v>
      </c>
      <c r="CC96" s="388">
        <f>+IF($K96="Ongoing",BG96,IF(RIGHT($K96,2)=RIGHT(CC$43,2),SUM($AX96:BG96),0)+IF(RIGHT(CC$43,2)&gt;RIGHT($K96,2),BG96,0))</f>
        <v>0</v>
      </c>
      <c r="CD96" s="1025"/>
      <c r="CE96" s="1282">
        <f>+Q96*KeyAssumptionsPriceControl_FO!AF$15</f>
        <v>6.51138104092683</v>
      </c>
      <c r="CF96" s="387">
        <f>+R96*KeyAssumptionsPriceControl_FO!AG$15</f>
        <v>0.50391005353955987</v>
      </c>
      <c r="CG96" s="387">
        <f>+S96*KeyAssumptionsPriceControl_FO!AH$15</f>
        <v>4.249362867097112</v>
      </c>
      <c r="CH96" s="387">
        <f>+T96*KeyAssumptionsPriceControl_FO!AI$15</f>
        <v>3.5729601269700542</v>
      </c>
      <c r="CI96" s="1283">
        <f>+U96*KeyAssumptionsPriceControl_FO!AJ$15</f>
        <v>0</v>
      </c>
      <c r="CJ96" s="386">
        <f>+V96*KeyAssumptionsPriceControl_FO!AK$15</f>
        <v>0</v>
      </c>
      <c r="CK96" s="387">
        <f>+W96*KeyAssumptionsPriceControl_FO!AL$15</f>
        <v>0</v>
      </c>
      <c r="CL96" s="1277">
        <f>+X96*KeyAssumptionsPriceControl_FO!AM$15</f>
        <v>0</v>
      </c>
      <c r="CM96" s="1277">
        <f>+Y96*KeyAssumptionsPriceControl_FO!AN$15</f>
        <v>0</v>
      </c>
      <c r="CN96" s="388">
        <f>+Z96*KeyAssumptionsPriceControl_FO!AO$15</f>
        <v>0</v>
      </c>
      <c r="CO96" s="1025"/>
      <c r="CP96" s="1282">
        <f t="shared" ca="1" si="211"/>
        <v>0</v>
      </c>
      <c r="CQ96" s="387">
        <f t="shared" ca="1" si="212"/>
        <v>0</v>
      </c>
      <c r="CR96" s="387">
        <f t="shared" ca="1" si="213"/>
        <v>0</v>
      </c>
      <c r="CS96" s="387">
        <f t="shared" ca="1" si="214"/>
        <v>0</v>
      </c>
      <c r="CT96" s="1283">
        <f t="shared" ca="1" si="215"/>
        <v>0</v>
      </c>
      <c r="CU96" s="386">
        <f t="shared" ca="1" si="216"/>
        <v>0</v>
      </c>
      <c r="CV96" s="387">
        <f t="shared" ca="1" si="217"/>
        <v>0</v>
      </c>
      <c r="CW96" s="1277">
        <f t="shared" ca="1" si="218"/>
        <v>0</v>
      </c>
      <c r="CX96" s="1277">
        <f t="shared" ca="1" si="219"/>
        <v>0</v>
      </c>
      <c r="CY96" s="388">
        <f t="shared" ca="1" si="220"/>
        <v>0</v>
      </c>
      <c r="CZ96" s="347"/>
      <c r="DA96" s="852"/>
      <c r="DB96" s="347"/>
      <c r="DC96" s="1012" t="s">
        <v>583</v>
      </c>
      <c r="DD96" s="841" t="s">
        <v>518</v>
      </c>
      <c r="DE96" s="386">
        <f>+IF($K96="ongoing",CE96,IF(RIGHT($K96,2)=RIGHT(DE$43,2),SUM($CD96:CE96),0)+IF(RIGHT(DE$43,2)&gt;RIGHT($K96,2),CE96,0))</f>
        <v>6.51138104092683</v>
      </c>
      <c r="DF96" s="387">
        <f>+IF($K96="ongoing",CF96,IF(RIGHT($K96,2)=RIGHT(DF$43,2),SUM($CD96:CF96),0)+IF(RIGHT(DF$43,2)&gt;RIGHT($K96,2),CF96,0))</f>
        <v>0.50391005353955987</v>
      </c>
      <c r="DG96" s="388">
        <f>+IF($K96="ongoing",CG96,IF(RIGHT($K96,2)=RIGHT(DG$43,2),SUM($CD96:CG96),0)+IF(RIGHT(DG$43,2)&gt;RIGHT($K96,2),CG96,0))</f>
        <v>4.249362867097112</v>
      </c>
      <c r="DH96" s="386">
        <f>+IF($K96="ongoing",CH96,IF(RIGHT($K96,2)=RIGHT(DH$43,2),SUM($CD96:CH96),0)+IF(RIGHT(DH$43,2)&gt;RIGHT($K96,2),CH96,0))</f>
        <v>3.5729601269700542</v>
      </c>
      <c r="DI96" s="387">
        <f>+IF($K96="ongoing",CI96,IF(RIGHT($K96,2)=RIGHT(DI$43,2),SUM($CD96:CI96),0)+IF(RIGHT(DI$43,2)&gt;RIGHT($K96,2),CI96,0))</f>
        <v>0</v>
      </c>
      <c r="DJ96" s="387">
        <f>+IF($K96="ongoing",CJ96,IF(RIGHT($K96,2)=RIGHT(DJ$43,2),SUM($CD96:CJ96),0)+IF(RIGHT(DJ$43,2)&gt;RIGHT($K96,2),CJ96,0))</f>
        <v>0</v>
      </c>
      <c r="DK96" s="387">
        <f>+IF($K96="ongoing",CK96,IF(RIGHT($K96,2)=RIGHT(DK$43,2),SUM($CD96:CK96),0)+IF(RIGHT(DK$43,2)&gt;RIGHT($K96,2),CK96,0))</f>
        <v>0</v>
      </c>
      <c r="DL96" s="388">
        <f>+IF($K96="ongoing",CN96,IF(RIGHT($K96,2)=RIGHT(DL$43,2),SUM($CD96:CN96),0)+IF(RIGHT(DL$43,2)&gt;RIGHT($K96,2),CN96,0))</f>
        <v>0</v>
      </c>
      <c r="DM96" s="841"/>
      <c r="DN96" s="386">
        <f t="shared" si="221"/>
        <v>0.5</v>
      </c>
      <c r="DO96" s="387">
        <f t="shared" si="222"/>
        <v>1</v>
      </c>
      <c r="DP96" s="388">
        <f t="shared" si="223"/>
        <v>1</v>
      </c>
      <c r="DQ96" s="386">
        <f t="shared" si="224"/>
        <v>1</v>
      </c>
      <c r="DR96" s="387">
        <f t="shared" si="225"/>
        <v>1</v>
      </c>
      <c r="DS96" s="387">
        <f t="shared" si="226"/>
        <v>1</v>
      </c>
      <c r="DT96" s="387">
        <f t="shared" si="227"/>
        <v>1</v>
      </c>
      <c r="DU96" s="388">
        <f t="shared" si="228"/>
        <v>1</v>
      </c>
      <c r="DW96" s="386">
        <f t="shared" si="229"/>
        <v>0</v>
      </c>
      <c r="DX96" s="387">
        <f t="shared" si="230"/>
        <v>0.5</v>
      </c>
      <c r="DY96" s="388">
        <f t="shared" si="231"/>
        <v>1</v>
      </c>
      <c r="DZ96" s="386">
        <f t="shared" si="232"/>
        <v>1</v>
      </c>
      <c r="EA96" s="387">
        <f t="shared" si="233"/>
        <v>1</v>
      </c>
      <c r="EB96" s="387">
        <f t="shared" si="234"/>
        <v>1</v>
      </c>
      <c r="EC96" s="387">
        <f t="shared" si="235"/>
        <v>1</v>
      </c>
      <c r="ED96" s="388">
        <f t="shared" si="236"/>
        <v>1</v>
      </c>
      <c r="EF96" s="834">
        <f>+IF(DN96=DM96,0,
IF(AND(EF$44&gt;1,DN96=$N96),1-SUM($EE96:EE96),
IF($N96&lt;=1,
IF($N96&gt;0,1/$N96,0),
IF(EF$44=1,0,VDB(1,0,$N96,INT(EF$44-1-1),MIN($N96,INT(EF$44-1-1)+1),$DC96,IF($DD96="No",1,0))/
IF(DM96&gt;=INT($N96),$N96-INT($N96),1)))*
IF(EF$44=1,0,
IF(INT(DN96)=INT(DM96),DN96-DM96,INT(DN96)-DM96))+
IF($N96&lt;=1,
IF($N96&gt;0,1/$N96,0),VDB(1,0,$N96,INT(EF$44-1),MIN($N96,INT(EF$44-1)+1),$DC96,IF($DD96="No",1,0))/
IF(DN96&gt;INT($N96),$N96-INT($N96),1))*
IF(EF$44=1,DN96,
IF(INT(DN96)=INT(DM96),0,DN96-INT(DN96)))))</f>
        <v>0</v>
      </c>
      <c r="EG96" s="835">
        <f>+IF(DO96=DN96,0,
IF(AND(EG$44&gt;1,DO96=$N96),1-SUM($EE96:EF96),
IF($N96&lt;=1,
IF($N96&gt;0,1/$N96,0),
IF(EG$44=1,0,VDB(1,0,$N96,INT(EG$44-1-1),MIN($N96,INT(EG$44-1-1)+1),$DC96,IF($DD96="No",1,0))/
IF(DN96&gt;=INT($N96),$N96-INT($N96),1)))*
IF(EG$44=1,0,
IF(INT(DO96)=INT(DN96),DO96-DN96,INT(DO96)-DN96))+
IF($N96&lt;=1,
IF($N96&gt;0,1/$N96,0),VDB(1,0,$N96,INT(EG$44-1),MIN($N96,INT(EG$44-1)+1),$DC96,IF($DD96="No",1,0))/
IF(DO96&gt;INT($N96),$N96-INT($N96),1))*
IF(EG$44=1,DO96,
IF(INT(DO96)=INT(DN96),0,DO96-INT(DO96)))))</f>
        <v>0</v>
      </c>
      <c r="EH96" s="836">
        <f>+IF(DP96=DO96,0,
IF(AND(EH$44&gt;1,DP96=$N96),1-SUM($EE96:EG96),
IF($N96&lt;=1,
IF($N96&gt;0,1/$N96,0),
IF(EH$44=1,0,VDB(1,0,$N96,INT(EH$44-1-1),MIN($N96,INT(EH$44-1-1)+1),$DC96,IF($DD96="No",1,0))/
IF(DO96&gt;=INT($N96),$N96-INT($N96),1)))*
IF(EH$44=1,0,
IF(INT(DP96)=INT(DO96),DP96-DO96,INT(DP96)-DO96))+
IF($N96&lt;=1,
IF($N96&gt;0,1/$N96,0),VDB(1,0,$N96,INT(EH$44-1),MIN($N96,INT(EH$44-1)+1),$DC96,IF($DD96="No",1,0))/
IF(DP96&gt;INT($N96),$N96-INT($N96),1))*
IF(EH$44=1,DP96,
IF(INT(DP96)=INT(DO96),0,DP96-INT(DP96)))))</f>
        <v>0</v>
      </c>
      <c r="EI96" s="834">
        <f>+IF(DQ96=DP96,0,
IF(AND(EI$44&gt;1,DQ96=$N96),1-SUM($EE96:EH96),
IF($N96&lt;=1,
IF($N96&gt;0,1/$N96,0),
IF(EI$44=1,0,VDB(1,0,$N96,INT(EI$44-1-1),MIN($N96,INT(EI$44-1-1)+1),$DC96,IF($DD96="No",1,0))/
IF(DP96&gt;=INT($N96),$N96-INT($N96),1)))*
IF(EI$44=1,0,
IF(INT(DQ96)=INT(DP96),DQ96-DP96,INT(DQ96)-DP96))+
IF($N96&lt;=1,
IF($N96&gt;0,1/$N96,0),VDB(1,0,$N96,INT(EI$44-1),MIN($N96,INT(EI$44-1)+1),$DC96,IF($DD96="No",1,0))/
IF(DQ96&gt;INT($N96),$N96-INT($N96),1))*
IF(EI$44=1,DQ96,
IF(INT(DQ96)=INT(DP96),0,DQ96-INT(DQ96)))))</f>
        <v>0</v>
      </c>
      <c r="EJ96" s="835">
        <f>+IF(DR96=DQ96,0,
IF(AND(EJ$44&gt;1,DR96=$N96),1-SUM($EE96:EI96),
IF($N96&lt;=1,
IF($N96&gt;0,1/$N96,0),
IF(EJ$44=1,0,VDB(1,0,$N96,INT(EJ$44-1-1),MIN($N96,INT(EJ$44-1-1)+1),$DC96,IF($DD96="No",1,0))/
IF(DQ96&gt;=INT($N96),$N96-INT($N96),1)))*
IF(EJ$44=1,0,
IF(INT(DR96)=INT(DQ96),DR96-DQ96,INT(DR96)-DQ96))+
IF($N96&lt;=1,
IF($N96&gt;0,1/$N96,0),VDB(1,0,$N96,INT(EJ$44-1),MIN($N96,INT(EJ$44-1)+1),$DC96,IF($DD96="No",1,0))/
IF(DR96&gt;INT($N96),$N96-INT($N96),1))*
IF(EJ$44=1,DR96,
IF(INT(DR96)=INT(DQ96),0,DR96-INT(DR96)))))</f>
        <v>0</v>
      </c>
      <c r="EK96" s="835">
        <f>+IF(DS96=DR96,0,
IF(AND(EK$44&gt;1,DS96=$N96),1-SUM($EE96:EJ96),
IF($N96&lt;=1,
IF($N96&gt;0,1/$N96,0),
IF(EK$44=1,0,VDB(1,0,$N96,INT(EK$44-1-1),MIN($N96,INT(EK$44-1-1)+1),$DC96,IF($DD96="No",1,0))/
IF(DR96&gt;=INT($N96),$N96-INT($N96),1)))*
IF(EK$44=1,0,
IF(INT(DS96)=INT(DR96),DS96-DR96,INT(DS96)-DR96))+
IF($N96&lt;=1,
IF($N96&gt;0,1/$N96,0),VDB(1,0,$N96,INT(EK$44-1),MIN($N96,INT(EK$44-1)+1),$DC96,IF($DD96="No",1,0))/
IF(DS96&gt;INT($N96),$N96-INT($N96),1))*
IF(EK$44=1,DS96,
IF(INT(DS96)=INT(DR96),0,DS96-INT(DS96)))))</f>
        <v>0</v>
      </c>
      <c r="EL96" s="835">
        <f>+IF(DT96=DS96,0,
IF(AND(EL$44&gt;1,DT96=$N96),1-SUM($EE96:EK96),
IF($N96&lt;=1,
IF($N96&gt;0,1/$N96,0),
IF(EL$44=1,0,VDB(1,0,$N96,INT(EL$44-1-1),MIN($N96,INT(EL$44-1-1)+1),$DC96,IF($DD96="No",1,0))/
IF(DS96&gt;=INT($N96),$N96-INT($N96),1)))*
IF(EL$44=1,0,
IF(INT(DT96)=INT(DS96),DT96-DS96,INT(DT96)-DS96))+
IF($N96&lt;=1,
IF($N96&gt;0,1/$N96,0),VDB(1,0,$N96,INT(EL$44-1),MIN($N96,INT(EL$44-1)+1),$DC96,IF($DD96="No",1,0))/
IF(DT96&gt;INT($N96),$N96-INT($N96),1))*
IF(EL$44=1,DT96,
IF(INT(DT96)=INT(DS96),0,DT96-INT(DT96)))))</f>
        <v>0</v>
      </c>
      <c r="EM96" s="836">
        <f>+IF(DU96=DT96,0,
IF(AND(EM$44&gt;1,DU96=$N96),1-SUM($EE96:EL96),
IF($N96&lt;=1,
IF($N96&gt;0,1/$N96,0),
IF(EM$44=1,0,VDB(1,0,$N96,INT(EM$44-1-1),MIN($N96,INT(EM$44-1-1)+1),$DC96,IF($DD96="No",1,0))/
IF(DT96&gt;=INT($N96),$N96-INT($N96),1)))*
IF(EM$44=1,0,
IF(INT(DU96)=INT(DT96),DU96-DT96,INT(DU96)-DT96))+
IF($N96&lt;=1,
IF($N96&gt;0,1/$N96,0),VDB(1,0,$N96,INT(EM$44-1),MIN($N96,INT(EM$44-1)+1),$DC96,IF($DD96="No",1,0))/
IF(DU96&gt;INT($N96),$N96-INT($N96),1))*
IF(EM$44=1,DU96,
IF(INT(DU96)=INT(DT96),0,DU96-INT(DU96)))))</f>
        <v>0</v>
      </c>
      <c r="EN96" s="833"/>
      <c r="EO96" s="834">
        <f>+IF(OR(DW96=DV96,EO$44=1),0,
IF(AND(EO$44&gt;1,DW96=$N96),1-SUM($EN96:EN96),
IF($N96&lt;=1,
IF($N96&gt;0,1/$N96,0),
IF(EO$44=2,0,VDB(1,0,$N96,INT(EO$44-2-1),MIN($N96,INT(EO$44-2-1)+1),$DC96,IF($DD96="No",1,0))/
IF(DV96&gt;=INT($N96),$N96-INT($N96),1)))*
IF(EO$44=2,0,
IF(INT(DW96)=INT(DV96),DW96-DV96,INT(DW96)-DV96))+
IF($N96&lt;=1,
IF($N96&gt;0,1/$N96,0),VDB(1,0,$N96,INT(EO$44-2),MIN($N96,INT(EO$44-2)+1),$DC96,IF($DD96="No",1,0))/
IF(DW96&gt;INT($N96),$N96-INT($N96),1))*
IF(EO$44=2,DW96,
IF(INT(DW96)=INT(DV96),0,DW96-INT(DW96)))))</f>
        <v>0</v>
      </c>
      <c r="EP96" s="835">
        <f>+IF(OR(DX96=DW96,EP$44=1),0,
IF(AND(EP$44&gt;1,DX96=$N96),1-SUM($EN96:EO96),
IF($N96&lt;=1,
IF($N96&gt;0,1/$N96,0),
IF(EP$44=2,0,VDB(1,0,$N96,INT(EP$44-2-1),MIN($N96,INT(EP$44-2-1)+1),$DC96,IF($DD96="No",1,0))/
IF(DW96&gt;=INT($N96),$N96-INT($N96),1)))*
IF(EP$44=2,0,
IF(INT(DX96)=INT(DW96),DX96-DW96,INT(DX96)-DW96))+
IF($N96&lt;=1,
IF($N96&gt;0,1/$N96,0),VDB(1,0,$N96,INT(EP$44-2),MIN($N96,INT(EP$44-2)+1),$DC96,IF($DD96="No",1,0))/
IF(DX96&gt;INT($N96),$N96-INT($N96),1))*
IF(EP$44=2,DX96,
IF(INT(DX96)=INT(DW96),0,DX96-INT(DX96)))))</f>
        <v>0</v>
      </c>
      <c r="EQ96" s="836">
        <f>+IF(OR(DY96=DX96,EQ$44=1),0,
IF(AND(EQ$44&gt;1,DY96=$N96),1-SUM($EN96:EP96),
IF($N96&lt;=1,
IF($N96&gt;0,1/$N96,0),
IF(EQ$44=2,0,VDB(1,0,$N96,INT(EQ$44-2-1),MIN($N96,INT(EQ$44-2-1)+1),$DC96,IF($DD96="No",1,0))/
IF(DX96&gt;=INT($N96),$N96-INT($N96),1)))*
IF(EQ$44=2,0,
IF(INT(DY96)=INT(DX96),DY96-DX96,INT(DY96)-DX96))+
IF($N96&lt;=1,
IF($N96&gt;0,1/$N96,0),VDB(1,0,$N96,INT(EQ$44-2),MIN($N96,INT(EQ$44-2)+1),$DC96,IF($DD96="No",1,0))/
IF(DY96&gt;INT($N96),$N96-INT($N96),1))*
IF(EQ$44=2,DY96,
IF(INT(DY96)=INT(DX96),0,DY96-INT(DY96)))))</f>
        <v>0</v>
      </c>
      <c r="ER96" s="834">
        <f>+IF(OR(DZ96=DY96,ER$44=1),0,
IF(AND(ER$44&gt;1,DZ96=$N96),1-SUM($EN96:EQ96),
IF($N96&lt;=1,
IF($N96&gt;0,1/$N96,0),
IF(ER$44=2,0,VDB(1,0,$N96,INT(ER$44-2-1),MIN($N96,INT(ER$44-2-1)+1),$DC96,IF($DD96="No",1,0))/
IF(DY96&gt;=INT($N96),$N96-INT($N96),1)))*
IF(ER$44=2,0,
IF(INT(DZ96)=INT(DY96),DZ96-DY96,INT(DZ96)-DY96))+
IF($N96&lt;=1,
IF($N96&gt;0,1/$N96,0),VDB(1,0,$N96,INT(ER$44-2),MIN($N96,INT(ER$44-2)+1),$DC96,IF($DD96="No",1,0))/
IF(DZ96&gt;INT($N96),$N96-INT($N96),1))*
IF(ER$44=2,DZ96,
IF(INT(DZ96)=INT(DY96),0,DZ96-INT(DZ96)))))</f>
        <v>0</v>
      </c>
      <c r="ES96" s="835">
        <f>+IF(OR(EA96=DZ96,ES$44=1),0,
IF(AND(ES$44&gt;1,EA96=$N96),1-SUM($EN96:ER96),
IF($N96&lt;=1,
IF($N96&gt;0,1/$N96,0),
IF(ES$44=2,0,VDB(1,0,$N96,INT(ES$44-2-1),MIN($N96,INT(ES$44-2-1)+1),$DC96,IF($DD96="No",1,0))/
IF(DZ96&gt;=INT($N96),$N96-INT($N96),1)))*
IF(ES$44=2,0,
IF(INT(EA96)=INT(DZ96),EA96-DZ96,INT(EA96)-DZ96))+
IF($N96&lt;=1,
IF($N96&gt;0,1/$N96,0),VDB(1,0,$N96,INT(ES$44-2),MIN($N96,INT(ES$44-2)+1),$DC96,IF($DD96="No",1,0))/
IF(EA96&gt;INT($N96),$N96-INT($N96),1))*
IF(ES$44=2,EA96,
IF(INT(EA96)=INT(DZ96),0,EA96-INT(EA96)))))</f>
        <v>0</v>
      </c>
      <c r="ET96" s="835">
        <f>+IF(OR(EB96=EA96,ET$44=1),0,
IF(AND(ET$44&gt;1,EB96=$N96),1-SUM($EN96:ES96),
IF($N96&lt;=1,
IF($N96&gt;0,1/$N96,0),
IF(ET$44=2,0,VDB(1,0,$N96,INT(ET$44-2-1),MIN($N96,INT(ET$44-2-1)+1),$DC96,IF($DD96="No",1,0))/
IF(EA96&gt;=INT($N96),$N96-INT($N96),1)))*
IF(ET$44=2,0,
IF(INT(EB96)=INT(EA96),EB96-EA96,INT(EB96)-EA96))+
IF($N96&lt;=1,
IF($N96&gt;0,1/$N96,0),VDB(1,0,$N96,INT(ET$44-2),MIN($N96,INT(ET$44-2)+1),$DC96,IF($DD96="No",1,0))/
IF(EB96&gt;INT($N96),$N96-INT($N96),1))*
IF(ET$44=2,EB96,
IF(INT(EB96)=INT(EA96),0,EB96-INT(EB96)))))</f>
        <v>0</v>
      </c>
      <c r="EU96" s="835">
        <f>+IF(OR(EC96=EB96,EU$44=1),0,
IF(AND(EU$44&gt;1,EC96=$N96),1-SUM($EN96:ET96),
IF($N96&lt;=1,
IF($N96&gt;0,1/$N96,0),
IF(EU$44=2,0,VDB(1,0,$N96,INT(EU$44-2-1),MIN($N96,INT(EU$44-2-1)+1),$DC96,IF($DD96="No",1,0))/
IF(EB96&gt;=INT($N96),$N96-INT($N96),1)))*
IF(EU$44=2,0,
IF(INT(EC96)=INT(EB96),EC96-EB96,INT(EC96)-EB96))+
IF($N96&lt;=1,
IF($N96&gt;0,1/$N96,0),VDB(1,0,$N96,INT(EU$44-2),MIN($N96,INT(EU$44-2)+1),$DC96,IF($DD96="No",1,0))/
IF(EC96&gt;INT($N96),$N96-INT($N96),1))*
IF(EU$44=2,EC96,
IF(INT(EC96)=INT(EB96),0,EC96-INT(EC96)))))</f>
        <v>0</v>
      </c>
      <c r="EV96" s="836">
        <f>+IF(OR(ED96=EC96,EV$44=1),0,
IF(AND(EV$44&gt;1,ED96=$N96),1-SUM($EN96:EU96),
IF($N96&lt;=1,
IF($N96&gt;0,1/$N96,0),
IF(EV$44=2,0,VDB(1,0,$N96,INT(EV$44-2-1),MIN($N96,INT(EV$44-2-1)+1),$DC96,IF($DD96="No",1,0))/
IF(EC96&gt;=INT($N96),$N96-INT($N96),1)))*
IF(EV$44=2,0,
IF(INT(ED96)=INT(EC96),ED96-EC96,INT(ED96)-EC96))+
IF($N96&lt;=1,
IF($N96&gt;0,1/$N96,0),VDB(1,0,$N96,INT(EV$44-2),MIN($N96,INT(EV$44-2)+1),$DC96,IF($DD96="No",1,0))/
IF(ED96&gt;INT($N96),$N96-INT($N96),1))*
IF(EV$44=2,ED96,
IF(INT(ED96)=INT(EC96),0,ED96-INT(ED96)))))</f>
        <v>0</v>
      </c>
      <c r="EW96" s="833"/>
      <c r="EX96" s="834">
        <f t="shared" ca="1" si="246"/>
        <v>0</v>
      </c>
      <c r="EY96" s="835">
        <f t="shared" ca="1" si="246"/>
        <v>0</v>
      </c>
      <c r="EZ96" s="836">
        <f t="shared" ca="1" si="246"/>
        <v>0</v>
      </c>
      <c r="FA96" s="834">
        <f t="shared" ca="1" si="246"/>
        <v>0</v>
      </c>
      <c r="FB96" s="835">
        <f t="shared" ca="1" si="246"/>
        <v>0</v>
      </c>
      <c r="FC96" s="835">
        <f t="shared" ca="1" si="246"/>
        <v>0</v>
      </c>
      <c r="FD96" s="835">
        <f t="shared" ca="1" si="246"/>
        <v>0</v>
      </c>
      <c r="FE96" s="836">
        <f t="shared" ca="1" si="246"/>
        <v>0</v>
      </c>
      <c r="FG96" s="386">
        <f t="shared" ca="1" si="237"/>
        <v>0</v>
      </c>
      <c r="FH96" s="387">
        <f t="shared" ca="1" si="238"/>
        <v>0</v>
      </c>
      <c r="FI96" s="388">
        <f t="shared" ca="1" si="239"/>
        <v>0</v>
      </c>
      <c r="FJ96" s="386">
        <f t="shared" ca="1" si="240"/>
        <v>0</v>
      </c>
      <c r="FK96" s="387">
        <f t="shared" ca="1" si="241"/>
        <v>0</v>
      </c>
      <c r="FL96" s="387">
        <f t="shared" ca="1" si="242"/>
        <v>0</v>
      </c>
      <c r="FM96" s="387">
        <f t="shared" ca="1" si="243"/>
        <v>0</v>
      </c>
      <c r="FN96" s="388">
        <f t="shared" ca="1" si="244"/>
        <v>0</v>
      </c>
      <c r="FR96" s="116"/>
    </row>
    <row r="97" spans="2:174">
      <c r="B97" s="1410">
        <f t="shared" si="135"/>
        <v>51</v>
      </c>
      <c r="C97" s="400" t="s">
        <v>580</v>
      </c>
      <c r="D97" s="410"/>
      <c r="E97" s="402" t="s">
        <v>402</v>
      </c>
      <c r="F97" s="402" t="s">
        <v>514</v>
      </c>
      <c r="G97" s="400" t="s">
        <v>525</v>
      </c>
      <c r="H97" s="2088" t="s">
        <v>483</v>
      </c>
      <c r="I97" s="2089"/>
      <c r="J97" s="411" t="s">
        <v>516</v>
      </c>
      <c r="K97" s="403" t="s">
        <v>544</v>
      </c>
      <c r="L97" s="403">
        <v>90</v>
      </c>
      <c r="M97" s="403" t="s">
        <v>142</v>
      </c>
      <c r="N97" s="403"/>
      <c r="O97" s="347"/>
      <c r="P97" s="347"/>
      <c r="Q97" s="1021">
        <v>34.544137795121955</v>
      </c>
      <c r="R97" s="1022">
        <v>36.592686838786435</v>
      </c>
      <c r="S97" s="1022">
        <v>9.2859941091974907</v>
      </c>
      <c r="T97" s="1022">
        <v>0</v>
      </c>
      <c r="U97" s="1023">
        <v>0</v>
      </c>
      <c r="V97" s="1021">
        <v>0</v>
      </c>
      <c r="W97" s="1022">
        <v>0</v>
      </c>
      <c r="X97" s="1022">
        <v>0</v>
      </c>
      <c r="Y97" s="1022">
        <v>0</v>
      </c>
      <c r="Z97" s="1023">
        <v>0</v>
      </c>
      <c r="AA97" s="1024"/>
      <c r="AB97" s="1021">
        <v>0</v>
      </c>
      <c r="AC97" s="1022">
        <v>0</v>
      </c>
      <c r="AD97" s="1022">
        <v>0</v>
      </c>
      <c r="AE97" s="1022">
        <v>0</v>
      </c>
      <c r="AF97" s="1023">
        <v>0</v>
      </c>
      <c r="AG97" s="1021">
        <v>0</v>
      </c>
      <c r="AH97" s="1022">
        <v>0</v>
      </c>
      <c r="AI97" s="1022">
        <v>0</v>
      </c>
      <c r="AJ97" s="1022">
        <v>0</v>
      </c>
      <c r="AK97" s="1023">
        <v>0</v>
      </c>
      <c r="AL97" s="1024"/>
      <c r="AM97" s="1021">
        <v>0</v>
      </c>
      <c r="AN97" s="1022">
        <v>0</v>
      </c>
      <c r="AO97" s="1022">
        <v>0</v>
      </c>
      <c r="AP97" s="1022">
        <v>0</v>
      </c>
      <c r="AQ97" s="1023">
        <v>0</v>
      </c>
      <c r="AR97" s="1021">
        <v>0</v>
      </c>
      <c r="AS97" s="1022">
        <v>0</v>
      </c>
      <c r="AT97" s="1022">
        <v>0</v>
      </c>
      <c r="AU97" s="1022">
        <v>0</v>
      </c>
      <c r="AV97" s="1023">
        <v>0</v>
      </c>
      <c r="AW97" s="1025"/>
      <c r="AX97" s="1282">
        <f t="shared" si="191"/>
        <v>34.544137795121955</v>
      </c>
      <c r="AY97" s="387">
        <f t="shared" si="192"/>
        <v>36.592686838786435</v>
      </c>
      <c r="AZ97" s="387">
        <f t="shared" si="193"/>
        <v>9.2859941091974907</v>
      </c>
      <c r="BA97" s="387">
        <f t="shared" si="194"/>
        <v>0</v>
      </c>
      <c r="BB97" s="1283">
        <f t="shared" si="195"/>
        <v>0</v>
      </c>
      <c r="BC97" s="386">
        <f t="shared" si="196"/>
        <v>0</v>
      </c>
      <c r="BD97" s="387">
        <f t="shared" si="197"/>
        <v>0</v>
      </c>
      <c r="BE97" s="1277">
        <f t="shared" si="198"/>
        <v>0</v>
      </c>
      <c r="BF97" s="1277">
        <f t="shared" si="199"/>
        <v>0</v>
      </c>
      <c r="BG97" s="388">
        <f t="shared" si="200"/>
        <v>0</v>
      </c>
      <c r="BH97" s="1025"/>
      <c r="BI97" s="1282">
        <f t="shared" ca="1" si="201"/>
        <v>0.19191187663956641</v>
      </c>
      <c r="BJ97" s="387">
        <f t="shared" ca="1" si="202"/>
        <v>0.58711645793905742</v>
      </c>
      <c r="BK97" s="387">
        <f t="shared" ca="1" si="203"/>
        <v>0.8419980187611904</v>
      </c>
      <c r="BL97" s="387">
        <f t="shared" ca="1" si="204"/>
        <v>0.89358687492339861</v>
      </c>
      <c r="BM97" s="1283">
        <f t="shared" ca="1" si="205"/>
        <v>0.89358687492339861</v>
      </c>
      <c r="BN97" s="386">
        <f t="shared" ca="1" si="206"/>
        <v>0.89358687492339861</v>
      </c>
      <c r="BO97" s="387">
        <f t="shared" ca="1" si="207"/>
        <v>0.89358687492339861</v>
      </c>
      <c r="BP97" s="1277">
        <f t="shared" ca="1" si="208"/>
        <v>0.89358687492339861</v>
      </c>
      <c r="BQ97" s="1277">
        <f t="shared" ca="1" si="209"/>
        <v>0.89358687492339861</v>
      </c>
      <c r="BR97" s="388">
        <f t="shared" ca="1" si="210"/>
        <v>0.89358687492339861</v>
      </c>
      <c r="BS97" s="1025"/>
      <c r="BT97" s="1282">
        <f>+IF($K97="Ongoing",AX97,IF(RIGHT($K97,2)=RIGHT(BT$43,2),SUM($AX97:AX97),0)+IF(RIGHT(BT$43,2)&gt;RIGHT($K97,2),AX97,0))</f>
        <v>34.544137795121955</v>
      </c>
      <c r="BU97" s="387">
        <f>+IF($K97="Ongoing",AY97,IF(RIGHT($K97,2)=RIGHT(BU$43,2),SUM($AX97:AY97),0)+IF(RIGHT(BU$43,2)&gt;RIGHT($K97,2),AY97,0))</f>
        <v>36.592686838786435</v>
      </c>
      <c r="BV97" s="387">
        <f>+IF($K97="Ongoing",AZ97,IF(RIGHT($K97,2)=RIGHT(BV$43,2),SUM($AX97:AZ97),0)+IF(RIGHT(BV$43,2)&gt;RIGHT($K97,2),AZ97,0))</f>
        <v>9.2859941091974907</v>
      </c>
      <c r="BW97" s="387">
        <f>+IF($K97="Ongoing",BA97,IF(RIGHT($K97,2)=RIGHT(BW$43,2),SUM($AX97:BA97),0)+IF(RIGHT(BW$43,2)&gt;RIGHT($K97,2),BA97,0))</f>
        <v>0</v>
      </c>
      <c r="BX97" s="1283">
        <f>+IF($K97="Ongoing",BB97,IF(RIGHT($K97,2)=RIGHT(BX$43,2),SUM($AX97:BB97),0)+IF(RIGHT(BX$43,2)&gt;RIGHT($K97,2),BB97,0))</f>
        <v>0</v>
      </c>
      <c r="BY97" s="386">
        <f>+IF($K97="Ongoing",BC97,IF(RIGHT($K97,2)=RIGHT(BY$43,2),SUM($AX97:BC97),0)+IF(RIGHT(BY$43,2)&gt;RIGHT($K97,2),BC97,0))</f>
        <v>0</v>
      </c>
      <c r="BZ97" s="387">
        <f>+IF($K97="Ongoing",BD97,IF(RIGHT($K97,2)=RIGHT(BZ$43,2),SUM($AX97:BD97),0)+IF(RIGHT(BZ$43,2)&gt;RIGHT($K97,2),BD97,0))</f>
        <v>0</v>
      </c>
      <c r="CA97" s="1277">
        <f>+IF($K97="Ongoing",BE97,IF(RIGHT($K97,2)=RIGHT(CA$43,2),SUM($AX97:BE97),0)+IF(RIGHT(CA$43,2)&gt;RIGHT($K97,2),BE97,0))</f>
        <v>0</v>
      </c>
      <c r="CB97" s="1277">
        <f>+IF($K97="Ongoing",BF97,IF(RIGHT($K97,2)=RIGHT(CB$43,2),SUM($AX97:BF97),0)+IF(RIGHT(CB$43,2)&gt;RIGHT($K97,2),BF97,0))</f>
        <v>0</v>
      </c>
      <c r="CC97" s="388">
        <f>+IF($K97="Ongoing",BG97,IF(RIGHT($K97,2)=RIGHT(CC$43,2),SUM($AX97:BG97),0)+IF(RIGHT(CC$43,2)&gt;RIGHT($K97,2),BG97,0))</f>
        <v>0</v>
      </c>
      <c r="CD97" s="1025"/>
      <c r="CE97" s="1282">
        <f>+Q97*KeyAssumptionsPriceControl_FO!AF$15</f>
        <v>35.545917791180486</v>
      </c>
      <c r="CF97" s="387">
        <f>+R97*KeyAssumptionsPriceControl_FO!AG$15</f>
        <v>38.745837125067467</v>
      </c>
      <c r="CG97" s="387">
        <f>+S97*KeyAssumptionsPriceControl_FO!AH$15</f>
        <v>10.117530635945505</v>
      </c>
      <c r="CH97" s="387">
        <f>+T97*KeyAssumptionsPriceControl_FO!AI$15</f>
        <v>0</v>
      </c>
      <c r="CI97" s="1283">
        <f>+U97*KeyAssumptionsPriceControl_FO!AJ$15</f>
        <v>0</v>
      </c>
      <c r="CJ97" s="386">
        <f>+V97*KeyAssumptionsPriceControl_FO!AK$15</f>
        <v>0</v>
      </c>
      <c r="CK97" s="387">
        <f>+W97*KeyAssumptionsPriceControl_FO!AL$15</f>
        <v>0</v>
      </c>
      <c r="CL97" s="1277">
        <f>+X97*KeyAssumptionsPriceControl_FO!AM$15</f>
        <v>0</v>
      </c>
      <c r="CM97" s="1277">
        <f>+Y97*KeyAssumptionsPriceControl_FO!AN$15</f>
        <v>0</v>
      </c>
      <c r="CN97" s="388">
        <f>+Z97*KeyAssumptionsPriceControl_FO!AO$15</f>
        <v>0</v>
      </c>
      <c r="CO97" s="1025"/>
      <c r="CP97" s="1282">
        <f t="shared" ca="1" si="211"/>
        <v>0</v>
      </c>
      <c r="CQ97" s="387">
        <f t="shared" ca="1" si="212"/>
        <v>0</v>
      </c>
      <c r="CR97" s="387">
        <f t="shared" ca="1" si="213"/>
        <v>0</v>
      </c>
      <c r="CS97" s="387">
        <f t="shared" ca="1" si="214"/>
        <v>0</v>
      </c>
      <c r="CT97" s="1283">
        <f t="shared" ca="1" si="215"/>
        <v>0</v>
      </c>
      <c r="CU97" s="386">
        <f t="shared" ca="1" si="216"/>
        <v>0</v>
      </c>
      <c r="CV97" s="387">
        <f t="shared" ca="1" si="217"/>
        <v>0</v>
      </c>
      <c r="CW97" s="1277">
        <f t="shared" ca="1" si="218"/>
        <v>0</v>
      </c>
      <c r="CX97" s="1277">
        <f t="shared" ca="1" si="219"/>
        <v>0</v>
      </c>
      <c r="CY97" s="388">
        <f t="shared" ca="1" si="220"/>
        <v>0</v>
      </c>
      <c r="CZ97" s="347"/>
      <c r="DA97" s="852"/>
      <c r="DB97" s="347"/>
      <c r="DC97" s="1012" t="s">
        <v>584</v>
      </c>
      <c r="DD97" s="841" t="s">
        <v>518</v>
      </c>
      <c r="DE97" s="386">
        <f>+IF($K97="ongoing",CE97,IF(RIGHT($K97,2)=RIGHT(DE$43,2),SUM($CD97:CE97),0)+IF(RIGHT(DE$43,2)&gt;RIGHT($K97,2),CE97,0))</f>
        <v>35.545917791180486</v>
      </c>
      <c r="DF97" s="387">
        <f>+IF($K97="ongoing",CF97,IF(RIGHT($K97,2)=RIGHT(DF$43,2),SUM($CD97:CF97),0)+IF(RIGHT(DF$43,2)&gt;RIGHT($K97,2),CF97,0))</f>
        <v>38.745837125067467</v>
      </c>
      <c r="DG97" s="388">
        <f>+IF($K97="ongoing",CG97,IF(RIGHT($K97,2)=RIGHT(DG$43,2),SUM($CD97:CG97),0)+IF(RIGHT(DG$43,2)&gt;RIGHT($K97,2),CG97,0))</f>
        <v>10.117530635945505</v>
      </c>
      <c r="DH97" s="386">
        <f>+IF($K97="ongoing",CH97,IF(RIGHT($K97,2)=RIGHT(DH$43,2),SUM($CD97:CH97),0)+IF(RIGHT(DH$43,2)&gt;RIGHT($K97,2),CH97,0))</f>
        <v>0</v>
      </c>
      <c r="DI97" s="387">
        <f>+IF($K97="ongoing",CI97,IF(RIGHT($K97,2)=RIGHT(DI$43,2),SUM($CD97:CI97),0)+IF(RIGHT(DI$43,2)&gt;RIGHT($K97,2),CI97,0))</f>
        <v>0</v>
      </c>
      <c r="DJ97" s="387">
        <f>+IF($K97="ongoing",CJ97,IF(RIGHT($K97,2)=RIGHT(DJ$43,2),SUM($CD97:CJ97),0)+IF(RIGHT(DJ$43,2)&gt;RIGHT($K97,2),CJ97,0))</f>
        <v>0</v>
      </c>
      <c r="DK97" s="387">
        <f>+IF($K97="ongoing",CK97,IF(RIGHT($K97,2)=RIGHT(DK$43,2),SUM($CD97:CK97),0)+IF(RIGHT(DK$43,2)&gt;RIGHT($K97,2),CK97,0))</f>
        <v>0</v>
      </c>
      <c r="DL97" s="388">
        <f>+IF($K97="ongoing",CN97,IF(RIGHT($K97,2)=RIGHT(DL$43,2),SUM($CD97:CN97),0)+IF(RIGHT(DL$43,2)&gt;RIGHT($K97,2),CN97,0))</f>
        <v>0</v>
      </c>
      <c r="DM97" s="841"/>
      <c r="DN97" s="386">
        <f t="shared" si="221"/>
        <v>0.5</v>
      </c>
      <c r="DO97" s="387">
        <f t="shared" si="222"/>
        <v>1</v>
      </c>
      <c r="DP97" s="388">
        <f t="shared" si="223"/>
        <v>1</v>
      </c>
      <c r="DQ97" s="386">
        <f t="shared" si="224"/>
        <v>1</v>
      </c>
      <c r="DR97" s="387">
        <f t="shared" si="225"/>
        <v>1</v>
      </c>
      <c r="DS97" s="387">
        <f t="shared" si="226"/>
        <v>1</v>
      </c>
      <c r="DT97" s="387">
        <f t="shared" si="227"/>
        <v>1</v>
      </c>
      <c r="DU97" s="388">
        <f t="shared" si="228"/>
        <v>1</v>
      </c>
      <c r="DW97" s="386">
        <f t="shared" si="229"/>
        <v>0</v>
      </c>
      <c r="DX97" s="387">
        <f t="shared" si="230"/>
        <v>0.5</v>
      </c>
      <c r="DY97" s="388">
        <f t="shared" si="231"/>
        <v>1</v>
      </c>
      <c r="DZ97" s="386">
        <f t="shared" si="232"/>
        <v>1</v>
      </c>
      <c r="EA97" s="387">
        <f t="shared" si="233"/>
        <v>1</v>
      </c>
      <c r="EB97" s="387">
        <f t="shared" si="234"/>
        <v>1</v>
      </c>
      <c r="EC97" s="387">
        <f t="shared" si="235"/>
        <v>1</v>
      </c>
      <c r="ED97" s="388">
        <f t="shared" si="236"/>
        <v>1</v>
      </c>
      <c r="EF97" s="834">
        <f>+IF(DN97=DM97,0,
IF(AND(EF$44&gt;1,DN97=$N97),1-SUM($EE97:EE97),
IF($N97&lt;=1,
IF($N97&gt;0,1/$N97,0),
IF(EF$44=1,0,VDB(1,0,$N97,INT(EF$44-1-1),MIN($N97,INT(EF$44-1-1)+1),$DC97,IF($DD97="No",1,0))/
IF(DM97&gt;=INT($N97),$N97-INT($N97),1)))*
IF(EF$44=1,0,
IF(INT(DN97)=INT(DM97),DN97-DM97,INT(DN97)-DM97))+
IF($N97&lt;=1,
IF($N97&gt;0,1/$N97,0),VDB(1,0,$N97,INT(EF$44-1),MIN($N97,INT(EF$44-1)+1),$DC97,IF($DD97="No",1,0))/
IF(DN97&gt;INT($N97),$N97-INT($N97),1))*
IF(EF$44=1,DN97,
IF(INT(DN97)=INT(DM97),0,DN97-INT(DN97)))))</f>
        <v>0</v>
      </c>
      <c r="EG97" s="835">
        <f>+IF(DO97=DN97,0,
IF(AND(EG$44&gt;1,DO97=$N97),1-SUM($EE97:EF97),
IF($N97&lt;=1,
IF($N97&gt;0,1/$N97,0),
IF(EG$44=1,0,VDB(1,0,$N97,INT(EG$44-1-1),MIN($N97,INT(EG$44-1-1)+1),$DC97,IF($DD97="No",1,0))/
IF(DN97&gt;=INT($N97),$N97-INT($N97),1)))*
IF(EG$44=1,0,
IF(INT(DO97)=INT(DN97),DO97-DN97,INT(DO97)-DN97))+
IF($N97&lt;=1,
IF($N97&gt;0,1/$N97,0),VDB(1,0,$N97,INT(EG$44-1),MIN($N97,INT(EG$44-1)+1),$DC97,IF($DD97="No",1,0))/
IF(DO97&gt;INT($N97),$N97-INT($N97),1))*
IF(EG$44=1,DO97,
IF(INT(DO97)=INT(DN97),0,DO97-INT(DO97)))))</f>
        <v>0</v>
      </c>
      <c r="EH97" s="836">
        <f>+IF(DP97=DO97,0,
IF(AND(EH$44&gt;1,DP97=$N97),1-SUM($EE97:EG97),
IF($N97&lt;=1,
IF($N97&gt;0,1/$N97,0),
IF(EH$44=1,0,VDB(1,0,$N97,INT(EH$44-1-1),MIN($N97,INT(EH$44-1-1)+1),$DC97,IF($DD97="No",1,0))/
IF(DO97&gt;=INT($N97),$N97-INT($N97),1)))*
IF(EH$44=1,0,
IF(INT(DP97)=INT(DO97),DP97-DO97,INT(DP97)-DO97))+
IF($N97&lt;=1,
IF($N97&gt;0,1/$N97,0),VDB(1,0,$N97,INT(EH$44-1),MIN($N97,INT(EH$44-1)+1),$DC97,IF($DD97="No",1,0))/
IF(DP97&gt;INT($N97),$N97-INT($N97),1))*
IF(EH$44=1,DP97,
IF(INT(DP97)=INT(DO97),0,DP97-INT(DP97)))))</f>
        <v>0</v>
      </c>
      <c r="EI97" s="834">
        <f>+IF(DQ97=DP97,0,
IF(AND(EI$44&gt;1,DQ97=$N97),1-SUM($EE97:EH97),
IF($N97&lt;=1,
IF($N97&gt;0,1/$N97,0),
IF(EI$44=1,0,VDB(1,0,$N97,INT(EI$44-1-1),MIN($N97,INT(EI$44-1-1)+1),$DC97,IF($DD97="No",1,0))/
IF(DP97&gt;=INT($N97),$N97-INT($N97),1)))*
IF(EI$44=1,0,
IF(INT(DQ97)=INT(DP97),DQ97-DP97,INT(DQ97)-DP97))+
IF($N97&lt;=1,
IF($N97&gt;0,1/$N97,0),VDB(1,0,$N97,INT(EI$44-1),MIN($N97,INT(EI$44-1)+1),$DC97,IF($DD97="No",1,0))/
IF(DQ97&gt;INT($N97),$N97-INT($N97),1))*
IF(EI$44=1,DQ97,
IF(INT(DQ97)=INT(DP97),0,DQ97-INT(DQ97)))))</f>
        <v>0</v>
      </c>
      <c r="EJ97" s="835">
        <f>+IF(DR97=DQ97,0,
IF(AND(EJ$44&gt;1,DR97=$N97),1-SUM($EE97:EI97),
IF($N97&lt;=1,
IF($N97&gt;0,1/$N97,0),
IF(EJ$44=1,0,VDB(1,0,$N97,INT(EJ$44-1-1),MIN($N97,INT(EJ$44-1-1)+1),$DC97,IF($DD97="No",1,0))/
IF(DQ97&gt;=INT($N97),$N97-INT($N97),1)))*
IF(EJ$44=1,0,
IF(INT(DR97)=INT(DQ97),DR97-DQ97,INT(DR97)-DQ97))+
IF($N97&lt;=1,
IF($N97&gt;0,1/$N97,0),VDB(1,0,$N97,INT(EJ$44-1),MIN($N97,INT(EJ$44-1)+1),$DC97,IF($DD97="No",1,0))/
IF(DR97&gt;INT($N97),$N97-INT($N97),1))*
IF(EJ$44=1,DR97,
IF(INT(DR97)=INT(DQ97),0,DR97-INT(DR97)))))</f>
        <v>0</v>
      </c>
      <c r="EK97" s="835">
        <f>+IF(DS97=DR97,0,
IF(AND(EK$44&gt;1,DS97=$N97),1-SUM($EE97:EJ97),
IF($N97&lt;=1,
IF($N97&gt;0,1/$N97,0),
IF(EK$44=1,0,VDB(1,0,$N97,INT(EK$44-1-1),MIN($N97,INT(EK$44-1-1)+1),$DC97,IF($DD97="No",1,0))/
IF(DR97&gt;=INT($N97),$N97-INT($N97),1)))*
IF(EK$44=1,0,
IF(INT(DS97)=INT(DR97),DS97-DR97,INT(DS97)-DR97))+
IF($N97&lt;=1,
IF($N97&gt;0,1/$N97,0),VDB(1,0,$N97,INT(EK$44-1),MIN($N97,INT(EK$44-1)+1),$DC97,IF($DD97="No",1,0))/
IF(DS97&gt;INT($N97),$N97-INT($N97),1))*
IF(EK$44=1,DS97,
IF(INT(DS97)=INT(DR97),0,DS97-INT(DS97)))))</f>
        <v>0</v>
      </c>
      <c r="EL97" s="835">
        <f>+IF(DT97=DS97,0,
IF(AND(EL$44&gt;1,DT97=$N97),1-SUM($EE97:EK97),
IF($N97&lt;=1,
IF($N97&gt;0,1/$N97,0),
IF(EL$44=1,0,VDB(1,0,$N97,INT(EL$44-1-1),MIN($N97,INT(EL$44-1-1)+1),$DC97,IF($DD97="No",1,0))/
IF(DS97&gt;=INT($N97),$N97-INT($N97),1)))*
IF(EL$44=1,0,
IF(INT(DT97)=INT(DS97),DT97-DS97,INT(DT97)-DS97))+
IF($N97&lt;=1,
IF($N97&gt;0,1/$N97,0),VDB(1,0,$N97,INT(EL$44-1),MIN($N97,INT(EL$44-1)+1),$DC97,IF($DD97="No",1,0))/
IF(DT97&gt;INT($N97),$N97-INT($N97),1))*
IF(EL$44=1,DT97,
IF(INT(DT97)=INT(DS97),0,DT97-INT(DT97)))))</f>
        <v>0</v>
      </c>
      <c r="EM97" s="836">
        <f>+IF(DU97=DT97,0,
IF(AND(EM$44&gt;1,DU97=$N97),1-SUM($EE97:EL97),
IF($N97&lt;=1,
IF($N97&gt;0,1/$N97,0),
IF(EM$44=1,0,VDB(1,0,$N97,INT(EM$44-1-1),MIN($N97,INT(EM$44-1-1)+1),$DC97,IF($DD97="No",1,0))/
IF(DT97&gt;=INT($N97),$N97-INT($N97),1)))*
IF(EM$44=1,0,
IF(INT(DU97)=INT(DT97),DU97-DT97,INT(DU97)-DT97))+
IF($N97&lt;=1,
IF($N97&gt;0,1/$N97,0),VDB(1,0,$N97,INT(EM$44-1),MIN($N97,INT(EM$44-1)+1),$DC97,IF($DD97="No",1,0))/
IF(DU97&gt;INT($N97),$N97-INT($N97),1))*
IF(EM$44=1,DU97,
IF(INT(DU97)=INT(DT97),0,DU97-INT(DU97)))))</f>
        <v>0</v>
      </c>
      <c r="EN97" s="833"/>
      <c r="EO97" s="834">
        <f>+IF(OR(DW97=DV97,EO$44=1),0,
IF(AND(EO$44&gt;1,DW97=$N97),1-SUM($EN97:EN97),
IF($N97&lt;=1,
IF($N97&gt;0,1/$N97,0),
IF(EO$44=2,0,VDB(1,0,$N97,INT(EO$44-2-1),MIN($N97,INT(EO$44-2-1)+1),$DC97,IF($DD97="No",1,0))/
IF(DV97&gt;=INT($N97),$N97-INT($N97),1)))*
IF(EO$44=2,0,
IF(INT(DW97)=INT(DV97),DW97-DV97,INT(DW97)-DV97))+
IF($N97&lt;=1,
IF($N97&gt;0,1/$N97,0),VDB(1,0,$N97,INT(EO$44-2),MIN($N97,INT(EO$44-2)+1),$DC97,IF($DD97="No",1,0))/
IF(DW97&gt;INT($N97),$N97-INT($N97),1))*
IF(EO$44=2,DW97,
IF(INT(DW97)=INT(DV97),0,DW97-INT(DW97)))))</f>
        <v>0</v>
      </c>
      <c r="EP97" s="835">
        <f>+IF(OR(DX97=DW97,EP$44=1),0,
IF(AND(EP$44&gt;1,DX97=$N97),1-SUM($EN97:EO97),
IF($N97&lt;=1,
IF($N97&gt;0,1/$N97,0),
IF(EP$44=2,0,VDB(1,0,$N97,INT(EP$44-2-1),MIN($N97,INT(EP$44-2-1)+1),$DC97,IF($DD97="No",1,0))/
IF(DW97&gt;=INT($N97),$N97-INT($N97),1)))*
IF(EP$44=2,0,
IF(INT(DX97)=INT(DW97),DX97-DW97,INT(DX97)-DW97))+
IF($N97&lt;=1,
IF($N97&gt;0,1/$N97,0),VDB(1,0,$N97,INT(EP$44-2),MIN($N97,INT(EP$44-2)+1),$DC97,IF($DD97="No",1,0))/
IF(DX97&gt;INT($N97),$N97-INT($N97),1))*
IF(EP$44=2,DX97,
IF(INT(DX97)=INT(DW97),0,DX97-INT(DX97)))))</f>
        <v>0</v>
      </c>
      <c r="EQ97" s="836">
        <f>+IF(OR(DY97=DX97,EQ$44=1),0,
IF(AND(EQ$44&gt;1,DY97=$N97),1-SUM($EN97:EP97),
IF($N97&lt;=1,
IF($N97&gt;0,1/$N97,0),
IF(EQ$44=2,0,VDB(1,0,$N97,INT(EQ$44-2-1),MIN($N97,INT(EQ$44-2-1)+1),$DC97,IF($DD97="No",1,0))/
IF(DX97&gt;=INT($N97),$N97-INT($N97),1)))*
IF(EQ$44=2,0,
IF(INT(DY97)=INT(DX97),DY97-DX97,INT(DY97)-DX97))+
IF($N97&lt;=1,
IF($N97&gt;0,1/$N97,0),VDB(1,0,$N97,INT(EQ$44-2),MIN($N97,INT(EQ$44-2)+1),$DC97,IF($DD97="No",1,0))/
IF(DY97&gt;INT($N97),$N97-INT($N97),1))*
IF(EQ$44=2,DY97,
IF(INT(DY97)=INT(DX97),0,DY97-INT(DY97)))))</f>
        <v>0</v>
      </c>
      <c r="ER97" s="834">
        <f>+IF(OR(DZ97=DY97,ER$44=1),0,
IF(AND(ER$44&gt;1,DZ97=$N97),1-SUM($EN97:EQ97),
IF($N97&lt;=1,
IF($N97&gt;0,1/$N97,0),
IF(ER$44=2,0,VDB(1,0,$N97,INT(ER$44-2-1),MIN($N97,INT(ER$44-2-1)+1),$DC97,IF($DD97="No",1,0))/
IF(DY97&gt;=INT($N97),$N97-INT($N97),1)))*
IF(ER$44=2,0,
IF(INT(DZ97)=INT(DY97),DZ97-DY97,INT(DZ97)-DY97))+
IF($N97&lt;=1,
IF($N97&gt;0,1/$N97,0),VDB(1,0,$N97,INT(ER$44-2),MIN($N97,INT(ER$44-2)+1),$DC97,IF($DD97="No",1,0))/
IF(DZ97&gt;INT($N97),$N97-INT($N97),1))*
IF(ER$44=2,DZ97,
IF(INT(DZ97)=INT(DY97),0,DZ97-INT(DZ97)))))</f>
        <v>0</v>
      </c>
      <c r="ES97" s="835">
        <f>+IF(OR(EA97=DZ97,ES$44=1),0,
IF(AND(ES$44&gt;1,EA97=$N97),1-SUM($EN97:ER97),
IF($N97&lt;=1,
IF($N97&gt;0,1/$N97,0),
IF(ES$44=2,0,VDB(1,0,$N97,INT(ES$44-2-1),MIN($N97,INT(ES$44-2-1)+1),$DC97,IF($DD97="No",1,0))/
IF(DZ97&gt;=INT($N97),$N97-INT($N97),1)))*
IF(ES$44=2,0,
IF(INT(EA97)=INT(DZ97),EA97-DZ97,INT(EA97)-DZ97))+
IF($N97&lt;=1,
IF($N97&gt;0,1/$N97,0),VDB(1,0,$N97,INT(ES$44-2),MIN($N97,INT(ES$44-2)+1),$DC97,IF($DD97="No",1,0))/
IF(EA97&gt;INT($N97),$N97-INT($N97),1))*
IF(ES$44=2,EA97,
IF(INT(EA97)=INT(DZ97),0,EA97-INT(EA97)))))</f>
        <v>0</v>
      </c>
      <c r="ET97" s="835">
        <f>+IF(OR(EB97=EA97,ET$44=1),0,
IF(AND(ET$44&gt;1,EB97=$N97),1-SUM($EN97:ES97),
IF($N97&lt;=1,
IF($N97&gt;0,1/$N97,0),
IF(ET$44=2,0,VDB(1,0,$N97,INT(ET$44-2-1),MIN($N97,INT(ET$44-2-1)+1),$DC97,IF($DD97="No",1,0))/
IF(EA97&gt;=INT($N97),$N97-INT($N97),1)))*
IF(ET$44=2,0,
IF(INT(EB97)=INT(EA97),EB97-EA97,INT(EB97)-EA97))+
IF($N97&lt;=1,
IF($N97&gt;0,1/$N97,0),VDB(1,0,$N97,INT(ET$44-2),MIN($N97,INT(ET$44-2)+1),$DC97,IF($DD97="No",1,0))/
IF(EB97&gt;INT($N97),$N97-INT($N97),1))*
IF(ET$44=2,EB97,
IF(INT(EB97)=INT(EA97),0,EB97-INT(EB97)))))</f>
        <v>0</v>
      </c>
      <c r="EU97" s="835">
        <f>+IF(OR(EC97=EB97,EU$44=1),0,
IF(AND(EU$44&gt;1,EC97=$N97),1-SUM($EN97:ET97),
IF($N97&lt;=1,
IF($N97&gt;0,1/$N97,0),
IF(EU$44=2,0,VDB(1,0,$N97,INT(EU$44-2-1),MIN($N97,INT(EU$44-2-1)+1),$DC97,IF($DD97="No",1,0))/
IF(EB97&gt;=INT($N97),$N97-INT($N97),1)))*
IF(EU$44=2,0,
IF(INT(EC97)=INT(EB97),EC97-EB97,INT(EC97)-EB97))+
IF($N97&lt;=1,
IF($N97&gt;0,1/$N97,0),VDB(1,0,$N97,INT(EU$44-2),MIN($N97,INT(EU$44-2)+1),$DC97,IF($DD97="No",1,0))/
IF(EC97&gt;INT($N97),$N97-INT($N97),1))*
IF(EU$44=2,EC97,
IF(INT(EC97)=INT(EB97),0,EC97-INT(EC97)))))</f>
        <v>0</v>
      </c>
      <c r="EV97" s="836">
        <f>+IF(OR(ED97=EC97,EV$44=1),0,
IF(AND(EV$44&gt;1,ED97=$N97),1-SUM($EN97:EU97),
IF($N97&lt;=1,
IF($N97&gt;0,1/$N97,0),
IF(EV$44=2,0,VDB(1,0,$N97,INT(EV$44-2-1),MIN($N97,INT(EV$44-2-1)+1),$DC97,IF($DD97="No",1,0))/
IF(EC97&gt;=INT($N97),$N97-INT($N97),1)))*
IF(EV$44=2,0,
IF(INT(ED97)=INT(EC97),ED97-EC97,INT(ED97)-EC97))+
IF($N97&lt;=1,
IF($N97&gt;0,1/$N97,0),VDB(1,0,$N97,INT(EV$44-2),MIN($N97,INT(EV$44-2)+1),$DC97,IF($DD97="No",1,0))/
IF(ED97&gt;INT($N97),$N97-INT($N97),1))*
IF(EV$44=2,ED97,
IF(INT(ED97)=INT(EC97),0,ED97-INT(ED97)))))</f>
        <v>0</v>
      </c>
      <c r="EW97" s="833"/>
      <c r="EX97" s="834">
        <f t="shared" ca="1" si="246"/>
        <v>0</v>
      </c>
      <c r="EY97" s="835">
        <f t="shared" ca="1" si="246"/>
        <v>0</v>
      </c>
      <c r="EZ97" s="836">
        <f t="shared" ca="1" si="246"/>
        <v>0</v>
      </c>
      <c r="FA97" s="834">
        <f t="shared" ca="1" si="246"/>
        <v>0</v>
      </c>
      <c r="FB97" s="835">
        <f t="shared" ca="1" si="246"/>
        <v>0</v>
      </c>
      <c r="FC97" s="835">
        <f t="shared" ca="1" si="246"/>
        <v>0</v>
      </c>
      <c r="FD97" s="835">
        <f t="shared" ca="1" si="246"/>
        <v>0</v>
      </c>
      <c r="FE97" s="836">
        <f t="shared" ca="1" si="246"/>
        <v>0</v>
      </c>
      <c r="FG97" s="386">
        <f t="shared" ca="1" si="237"/>
        <v>0</v>
      </c>
      <c r="FH97" s="387">
        <f t="shared" ca="1" si="238"/>
        <v>0</v>
      </c>
      <c r="FI97" s="388">
        <f t="shared" ca="1" si="239"/>
        <v>0</v>
      </c>
      <c r="FJ97" s="386">
        <f t="shared" ca="1" si="240"/>
        <v>0</v>
      </c>
      <c r="FK97" s="387">
        <f t="shared" ca="1" si="241"/>
        <v>0</v>
      </c>
      <c r="FL97" s="387">
        <f t="shared" ca="1" si="242"/>
        <v>0</v>
      </c>
      <c r="FM97" s="387">
        <f t="shared" ca="1" si="243"/>
        <v>0</v>
      </c>
      <c r="FN97" s="388">
        <f t="shared" ca="1" si="244"/>
        <v>0</v>
      </c>
      <c r="FR97" s="116"/>
    </row>
    <row r="98" spans="2:174">
      <c r="B98" s="1410">
        <f t="shared" si="135"/>
        <v>52</v>
      </c>
      <c r="C98" s="400" t="s">
        <v>580</v>
      </c>
      <c r="D98" s="410"/>
      <c r="E98" s="402" t="s">
        <v>402</v>
      </c>
      <c r="F98" s="402" t="s">
        <v>527</v>
      </c>
      <c r="G98" s="400" t="s">
        <v>525</v>
      </c>
      <c r="H98" s="2088" t="s">
        <v>483</v>
      </c>
      <c r="I98" s="2089"/>
      <c r="J98" s="411" t="s">
        <v>516</v>
      </c>
      <c r="K98" s="403" t="s">
        <v>544</v>
      </c>
      <c r="L98" s="403">
        <v>40</v>
      </c>
      <c r="M98" s="403" t="s">
        <v>142</v>
      </c>
      <c r="N98" s="403"/>
      <c r="O98" s="347"/>
      <c r="P98" s="347"/>
      <c r="Q98" s="1021">
        <v>62.505545516263417</v>
      </c>
      <c r="R98" s="1022">
        <v>20.613466971362765</v>
      </c>
      <c r="S98" s="1022">
        <v>11.04982949368698</v>
      </c>
      <c r="T98" s="1022">
        <v>39.018042050327686</v>
      </c>
      <c r="U98" s="1023">
        <v>60.174739511707649</v>
      </c>
      <c r="V98" s="1021">
        <v>29.408343033239607</v>
      </c>
      <c r="W98" s="1022">
        <v>38.571129104983626</v>
      </c>
      <c r="X98" s="1022">
        <v>16.899403344699007</v>
      </c>
      <c r="Y98" s="1022">
        <v>1.23725951345496</v>
      </c>
      <c r="Z98" s="1023">
        <v>11.482562989363691</v>
      </c>
      <c r="AA98" s="1024"/>
      <c r="AB98" s="1021">
        <v>0</v>
      </c>
      <c r="AC98" s="1022">
        <v>0</v>
      </c>
      <c r="AD98" s="1022">
        <v>0</v>
      </c>
      <c r="AE98" s="1022">
        <v>0</v>
      </c>
      <c r="AF98" s="1023">
        <v>0</v>
      </c>
      <c r="AG98" s="1021">
        <v>0</v>
      </c>
      <c r="AH98" s="1022">
        <v>0</v>
      </c>
      <c r="AI98" s="1022">
        <v>0</v>
      </c>
      <c r="AJ98" s="1022">
        <v>0</v>
      </c>
      <c r="AK98" s="1023">
        <v>0</v>
      </c>
      <c r="AL98" s="1024"/>
      <c r="AM98" s="1021">
        <v>0</v>
      </c>
      <c r="AN98" s="1022">
        <v>0</v>
      </c>
      <c r="AO98" s="1022">
        <v>0</v>
      </c>
      <c r="AP98" s="1022">
        <v>0</v>
      </c>
      <c r="AQ98" s="1023">
        <v>0</v>
      </c>
      <c r="AR98" s="1021">
        <v>0</v>
      </c>
      <c r="AS98" s="1022">
        <v>0</v>
      </c>
      <c r="AT98" s="1022">
        <v>0</v>
      </c>
      <c r="AU98" s="1022">
        <v>0</v>
      </c>
      <c r="AV98" s="1023">
        <v>0</v>
      </c>
      <c r="AW98" s="1025"/>
      <c r="AX98" s="1282">
        <f t="shared" si="191"/>
        <v>62.505545516263417</v>
      </c>
      <c r="AY98" s="387">
        <f t="shared" si="192"/>
        <v>20.613466971362765</v>
      </c>
      <c r="AZ98" s="387">
        <f t="shared" si="193"/>
        <v>11.04982949368698</v>
      </c>
      <c r="BA98" s="387">
        <f t="shared" si="194"/>
        <v>39.018042050327686</v>
      </c>
      <c r="BB98" s="1283">
        <f t="shared" si="195"/>
        <v>60.174739511707649</v>
      </c>
      <c r="BC98" s="386">
        <f t="shared" si="196"/>
        <v>29.408343033239607</v>
      </c>
      <c r="BD98" s="387">
        <f t="shared" si="197"/>
        <v>38.571129104983626</v>
      </c>
      <c r="BE98" s="1277">
        <f t="shared" si="198"/>
        <v>16.899403344699007</v>
      </c>
      <c r="BF98" s="1277">
        <f t="shared" si="199"/>
        <v>1.23725951345496</v>
      </c>
      <c r="BG98" s="388">
        <f t="shared" si="200"/>
        <v>11.482562989363691</v>
      </c>
      <c r="BH98" s="1025"/>
      <c r="BI98" s="1282">
        <f t="shared" ca="1" si="201"/>
        <v>0.78131931895329276</v>
      </c>
      <c r="BJ98" s="387">
        <f t="shared" ca="1" si="202"/>
        <v>1.82030697504862</v>
      </c>
      <c r="BK98" s="387">
        <f t="shared" ca="1" si="203"/>
        <v>2.2160981808617417</v>
      </c>
      <c r="BL98" s="387">
        <f t="shared" ca="1" si="204"/>
        <v>2.8419465751619253</v>
      </c>
      <c r="BM98" s="1283">
        <f t="shared" ca="1" si="205"/>
        <v>4.0818563446873668</v>
      </c>
      <c r="BN98" s="386">
        <f t="shared" ca="1" si="206"/>
        <v>5.2016448764992083</v>
      </c>
      <c r="BO98" s="387">
        <f t="shared" ca="1" si="207"/>
        <v>6.051388278226999</v>
      </c>
      <c r="BP98" s="1277">
        <f t="shared" ca="1" si="208"/>
        <v>6.7447699338480316</v>
      </c>
      <c r="BQ98" s="1277">
        <f t="shared" ca="1" si="209"/>
        <v>6.9714782195749558</v>
      </c>
      <c r="BR98" s="388">
        <f t="shared" ca="1" si="210"/>
        <v>7.1304760008601882</v>
      </c>
      <c r="BS98" s="1025"/>
      <c r="BT98" s="1282">
        <f>+IF($K98="Ongoing",AX98,IF(RIGHT($K98,2)=RIGHT(BT$43,2),SUM($AX98:AX98),0)+IF(RIGHT(BT$43,2)&gt;RIGHT($K98,2),AX98,0))</f>
        <v>62.505545516263417</v>
      </c>
      <c r="BU98" s="387">
        <f>+IF($K98="Ongoing",AY98,IF(RIGHT($K98,2)=RIGHT(BU$43,2),SUM($AX98:AY98),0)+IF(RIGHT(BU$43,2)&gt;RIGHT($K98,2),AY98,0))</f>
        <v>20.613466971362765</v>
      </c>
      <c r="BV98" s="387">
        <f>+IF($K98="Ongoing",AZ98,IF(RIGHT($K98,2)=RIGHT(BV$43,2),SUM($AX98:AZ98),0)+IF(RIGHT(BV$43,2)&gt;RIGHT($K98,2),AZ98,0))</f>
        <v>11.04982949368698</v>
      </c>
      <c r="BW98" s="387">
        <f>+IF($K98="Ongoing",BA98,IF(RIGHT($K98,2)=RIGHT(BW$43,2),SUM($AX98:BA98),0)+IF(RIGHT(BW$43,2)&gt;RIGHT($K98,2),BA98,0))</f>
        <v>39.018042050327686</v>
      </c>
      <c r="BX98" s="1283">
        <f>+IF($K98="Ongoing",BB98,IF(RIGHT($K98,2)=RIGHT(BX$43,2),SUM($AX98:BB98),0)+IF(RIGHT(BX$43,2)&gt;RIGHT($K98,2),BB98,0))</f>
        <v>60.174739511707649</v>
      </c>
      <c r="BY98" s="386">
        <f>+IF($K98="Ongoing",BC98,IF(RIGHT($K98,2)=RIGHT(BY$43,2),SUM($AX98:BC98),0)+IF(RIGHT(BY$43,2)&gt;RIGHT($K98,2),BC98,0))</f>
        <v>29.408343033239607</v>
      </c>
      <c r="BZ98" s="387">
        <f>+IF($K98="Ongoing",BD98,IF(RIGHT($K98,2)=RIGHT(BZ$43,2),SUM($AX98:BD98),0)+IF(RIGHT(BZ$43,2)&gt;RIGHT($K98,2),BD98,0))</f>
        <v>38.571129104983626</v>
      </c>
      <c r="CA98" s="1277">
        <f>+IF($K98="Ongoing",BE98,IF(RIGHT($K98,2)=RIGHT(CA$43,2),SUM($AX98:BE98),0)+IF(RIGHT(CA$43,2)&gt;RIGHT($K98,2),BE98,0))</f>
        <v>16.899403344699007</v>
      </c>
      <c r="CB98" s="1277">
        <f>+IF($K98="Ongoing",BF98,IF(RIGHT($K98,2)=RIGHT(CB$43,2),SUM($AX98:BF98),0)+IF(RIGHT(CB$43,2)&gt;RIGHT($K98,2),BF98,0))</f>
        <v>1.23725951345496</v>
      </c>
      <c r="CC98" s="388">
        <f>+IF($K98="Ongoing",BG98,IF(RIGHT($K98,2)=RIGHT(CC$43,2),SUM($AX98:BG98),0)+IF(RIGHT(CC$43,2)&gt;RIGHT($K98,2),BG98,0))</f>
        <v>11.482562989363691</v>
      </c>
      <c r="CD98" s="1025"/>
      <c r="CE98" s="1282">
        <f>+Q98*KeyAssumptionsPriceControl_FO!AF$15</f>
        <v>64.31820633623505</v>
      </c>
      <c r="CF98" s="387">
        <f>+R98*KeyAssumptionsPriceControl_FO!AG$15</f>
        <v>21.826383981424719</v>
      </c>
      <c r="CG98" s="387">
        <f>+S98*KeyAssumptionsPriceControl_FO!AH$15</f>
        <v>12.039312873741839</v>
      </c>
      <c r="CH98" s="387">
        <f>+T98*KeyAssumptionsPriceControl_FO!AI$15</f>
        <v>43.744854009181708</v>
      </c>
      <c r="CI98" s="1283">
        <f>+U98*KeyAssumptionsPriceControl_FO!AJ$15</f>
        <v>69.42103635392094</v>
      </c>
      <c r="CJ98" s="386">
        <f>+V98*KeyAssumptionsPriceControl_FO!AK$15</f>
        <v>34.911041406072599</v>
      </c>
      <c r="CK98" s="387">
        <f>+W98*KeyAssumptionsPriceControl_FO!AL$15</f>
        <v>47.1161695158942</v>
      </c>
      <c r="CL98" s="1277">
        <f>+X98*KeyAssumptionsPriceControl_FO!AM$15</f>
        <v>21.241949384077763</v>
      </c>
      <c r="CM98" s="1277">
        <f>+Y98*KeyAssumptionsPriceControl_FO!AN$15</f>
        <v>1.6002917808986232</v>
      </c>
      <c r="CN98" s="388">
        <f>+Z98*KeyAssumptionsPriceControl_FO!AO$15</f>
        <v>15.282435943304723</v>
      </c>
      <c r="CO98" s="1025"/>
      <c r="CP98" s="1282">
        <f t="shared" ca="1" si="211"/>
        <v>0</v>
      </c>
      <c r="CQ98" s="387">
        <f t="shared" ca="1" si="212"/>
        <v>0</v>
      </c>
      <c r="CR98" s="387">
        <f t="shared" ca="1" si="213"/>
        <v>0</v>
      </c>
      <c r="CS98" s="387">
        <f t="shared" ca="1" si="214"/>
        <v>0</v>
      </c>
      <c r="CT98" s="1283">
        <f t="shared" ca="1" si="215"/>
        <v>0</v>
      </c>
      <c r="CU98" s="386">
        <f t="shared" ca="1" si="216"/>
        <v>0</v>
      </c>
      <c r="CV98" s="387">
        <f t="shared" ca="1" si="217"/>
        <v>0</v>
      </c>
      <c r="CW98" s="1277">
        <f t="shared" ca="1" si="218"/>
        <v>0</v>
      </c>
      <c r="CX98" s="1277">
        <f t="shared" ca="1" si="219"/>
        <v>0</v>
      </c>
      <c r="CY98" s="388">
        <f t="shared" ca="1" si="220"/>
        <v>0</v>
      </c>
      <c r="CZ98" s="347"/>
      <c r="DA98" s="852"/>
      <c r="DB98" s="347"/>
      <c r="DC98" s="1012" t="s">
        <v>585</v>
      </c>
      <c r="DD98" s="841" t="s">
        <v>518</v>
      </c>
      <c r="DE98" s="386">
        <f>+IF($K98="ongoing",CE98,IF(RIGHT($K98,2)=RIGHT(DE$43,2),SUM($CD98:CE98),0)+IF(RIGHT(DE$43,2)&gt;RIGHT($K98,2),CE98,0))</f>
        <v>64.31820633623505</v>
      </c>
      <c r="DF98" s="387">
        <f>+IF($K98="ongoing",CF98,IF(RIGHT($K98,2)=RIGHT(DF$43,2),SUM($CD98:CF98),0)+IF(RIGHT(DF$43,2)&gt;RIGHT($K98,2),CF98,0))</f>
        <v>21.826383981424719</v>
      </c>
      <c r="DG98" s="388">
        <f>+IF($K98="ongoing",CG98,IF(RIGHT($K98,2)=RIGHT(DG$43,2),SUM($CD98:CG98),0)+IF(RIGHT(DG$43,2)&gt;RIGHT($K98,2),CG98,0))</f>
        <v>12.039312873741839</v>
      </c>
      <c r="DH98" s="386">
        <f>+IF($K98="ongoing",CH98,IF(RIGHT($K98,2)=RIGHT(DH$43,2),SUM($CD98:CH98),0)+IF(RIGHT(DH$43,2)&gt;RIGHT($K98,2),CH98,0))</f>
        <v>43.744854009181708</v>
      </c>
      <c r="DI98" s="387">
        <f>+IF($K98="ongoing",CI98,IF(RIGHT($K98,2)=RIGHT(DI$43,2),SUM($CD98:CI98),0)+IF(RIGHT(DI$43,2)&gt;RIGHT($K98,2),CI98,0))</f>
        <v>69.42103635392094</v>
      </c>
      <c r="DJ98" s="387">
        <f>+IF($K98="ongoing",CJ98,IF(RIGHT($K98,2)=RIGHT(DJ$43,2),SUM($CD98:CJ98),0)+IF(RIGHT(DJ$43,2)&gt;RIGHT($K98,2),CJ98,0))</f>
        <v>34.911041406072599</v>
      </c>
      <c r="DK98" s="387">
        <f>+IF($K98="ongoing",CK98,IF(RIGHT($K98,2)=RIGHT(DK$43,2),SUM($CD98:CK98),0)+IF(RIGHT(DK$43,2)&gt;RIGHT($K98,2),CK98,0))</f>
        <v>47.1161695158942</v>
      </c>
      <c r="DL98" s="388">
        <f>+IF($K98="ongoing",CN98,IF(RIGHT($K98,2)=RIGHT(DL$43,2),SUM($CD98:CN98),0)+IF(RIGHT(DL$43,2)&gt;RIGHT($K98,2),CN98,0))</f>
        <v>15.282435943304723</v>
      </c>
      <c r="DM98" s="841"/>
      <c r="DN98" s="386">
        <f t="shared" si="221"/>
        <v>0.5</v>
      </c>
      <c r="DO98" s="387">
        <f t="shared" si="222"/>
        <v>1</v>
      </c>
      <c r="DP98" s="388">
        <f t="shared" si="223"/>
        <v>1</v>
      </c>
      <c r="DQ98" s="386">
        <f t="shared" si="224"/>
        <v>1</v>
      </c>
      <c r="DR98" s="387">
        <f t="shared" si="225"/>
        <v>1</v>
      </c>
      <c r="DS98" s="387">
        <f t="shared" si="226"/>
        <v>1</v>
      </c>
      <c r="DT98" s="387">
        <f t="shared" si="227"/>
        <v>1</v>
      </c>
      <c r="DU98" s="388">
        <f t="shared" si="228"/>
        <v>1</v>
      </c>
      <c r="DW98" s="386">
        <f t="shared" si="229"/>
        <v>0</v>
      </c>
      <c r="DX98" s="387">
        <f t="shared" si="230"/>
        <v>0.5</v>
      </c>
      <c r="DY98" s="388">
        <f t="shared" si="231"/>
        <v>1</v>
      </c>
      <c r="DZ98" s="386">
        <f t="shared" si="232"/>
        <v>1</v>
      </c>
      <c r="EA98" s="387">
        <f t="shared" si="233"/>
        <v>1</v>
      </c>
      <c r="EB98" s="387">
        <f t="shared" si="234"/>
        <v>1</v>
      </c>
      <c r="EC98" s="387">
        <f t="shared" si="235"/>
        <v>1</v>
      </c>
      <c r="ED98" s="388">
        <f t="shared" si="236"/>
        <v>1</v>
      </c>
      <c r="EF98" s="834">
        <f>+IF(DN98=DM98,0,
IF(AND(EF$44&gt;1,DN98=$N98),1-SUM($EE98:EE98),
IF($N98&lt;=1,
IF($N98&gt;0,1/$N98,0),
IF(EF$44=1,0,VDB(1,0,$N98,INT(EF$44-1-1),MIN($N98,INT(EF$44-1-1)+1),$DC98,IF($DD98="No",1,0))/
IF(DM98&gt;=INT($N98),$N98-INT($N98),1)))*
IF(EF$44=1,0,
IF(INT(DN98)=INT(DM98),DN98-DM98,INT(DN98)-DM98))+
IF($N98&lt;=1,
IF($N98&gt;0,1/$N98,0),VDB(1,0,$N98,INT(EF$44-1),MIN($N98,INT(EF$44-1)+1),$DC98,IF($DD98="No",1,0))/
IF(DN98&gt;INT($N98),$N98-INT($N98),1))*
IF(EF$44=1,DN98,
IF(INT(DN98)=INT(DM98),0,DN98-INT(DN98)))))</f>
        <v>0</v>
      </c>
      <c r="EG98" s="835">
        <f>+IF(DO98=DN98,0,
IF(AND(EG$44&gt;1,DO98=$N98),1-SUM($EE98:EF98),
IF($N98&lt;=1,
IF($N98&gt;0,1/$N98,0),
IF(EG$44=1,0,VDB(1,0,$N98,INT(EG$44-1-1),MIN($N98,INT(EG$44-1-1)+1),$DC98,IF($DD98="No",1,0))/
IF(DN98&gt;=INT($N98),$N98-INT($N98),1)))*
IF(EG$44=1,0,
IF(INT(DO98)=INT(DN98),DO98-DN98,INT(DO98)-DN98))+
IF($N98&lt;=1,
IF($N98&gt;0,1/$N98,0),VDB(1,0,$N98,INT(EG$44-1),MIN($N98,INT(EG$44-1)+1),$DC98,IF($DD98="No",1,0))/
IF(DO98&gt;INT($N98),$N98-INT($N98),1))*
IF(EG$44=1,DO98,
IF(INT(DO98)=INT(DN98),0,DO98-INT(DO98)))))</f>
        <v>0</v>
      </c>
      <c r="EH98" s="836">
        <f>+IF(DP98=DO98,0,
IF(AND(EH$44&gt;1,DP98=$N98),1-SUM($EE98:EG98),
IF($N98&lt;=1,
IF($N98&gt;0,1/$N98,0),
IF(EH$44=1,0,VDB(1,0,$N98,INT(EH$44-1-1),MIN($N98,INT(EH$44-1-1)+1),$DC98,IF($DD98="No",1,0))/
IF(DO98&gt;=INT($N98),$N98-INT($N98),1)))*
IF(EH$44=1,0,
IF(INT(DP98)=INT(DO98),DP98-DO98,INT(DP98)-DO98))+
IF($N98&lt;=1,
IF($N98&gt;0,1/$N98,0),VDB(1,0,$N98,INT(EH$44-1),MIN($N98,INT(EH$44-1)+1),$DC98,IF($DD98="No",1,0))/
IF(DP98&gt;INT($N98),$N98-INT($N98),1))*
IF(EH$44=1,DP98,
IF(INT(DP98)=INT(DO98),0,DP98-INT(DP98)))))</f>
        <v>0</v>
      </c>
      <c r="EI98" s="834">
        <f>+IF(DQ98=DP98,0,
IF(AND(EI$44&gt;1,DQ98=$N98),1-SUM($EE98:EH98),
IF($N98&lt;=1,
IF($N98&gt;0,1/$N98,0),
IF(EI$44=1,0,VDB(1,0,$N98,INT(EI$44-1-1),MIN($N98,INT(EI$44-1-1)+1),$DC98,IF($DD98="No",1,0))/
IF(DP98&gt;=INT($N98),$N98-INT($N98),1)))*
IF(EI$44=1,0,
IF(INT(DQ98)=INT(DP98),DQ98-DP98,INT(DQ98)-DP98))+
IF($N98&lt;=1,
IF($N98&gt;0,1/$N98,0),VDB(1,0,$N98,INT(EI$44-1),MIN($N98,INT(EI$44-1)+1),$DC98,IF($DD98="No",1,0))/
IF(DQ98&gt;INT($N98),$N98-INT($N98),1))*
IF(EI$44=1,DQ98,
IF(INT(DQ98)=INT(DP98),0,DQ98-INT(DQ98)))))</f>
        <v>0</v>
      </c>
      <c r="EJ98" s="835">
        <f>+IF(DR98=DQ98,0,
IF(AND(EJ$44&gt;1,DR98=$N98),1-SUM($EE98:EI98),
IF($N98&lt;=1,
IF($N98&gt;0,1/$N98,0),
IF(EJ$44=1,0,VDB(1,0,$N98,INT(EJ$44-1-1),MIN($N98,INT(EJ$44-1-1)+1),$DC98,IF($DD98="No",1,0))/
IF(DQ98&gt;=INT($N98),$N98-INT($N98),1)))*
IF(EJ$44=1,0,
IF(INT(DR98)=INT(DQ98),DR98-DQ98,INT(DR98)-DQ98))+
IF($N98&lt;=1,
IF($N98&gt;0,1/$N98,0),VDB(1,0,$N98,INT(EJ$44-1),MIN($N98,INT(EJ$44-1)+1),$DC98,IF($DD98="No",1,0))/
IF(DR98&gt;INT($N98),$N98-INT($N98),1))*
IF(EJ$44=1,DR98,
IF(INT(DR98)=INT(DQ98),0,DR98-INT(DR98)))))</f>
        <v>0</v>
      </c>
      <c r="EK98" s="835">
        <f>+IF(DS98=DR98,0,
IF(AND(EK$44&gt;1,DS98=$N98),1-SUM($EE98:EJ98),
IF($N98&lt;=1,
IF($N98&gt;0,1/$N98,0),
IF(EK$44=1,0,VDB(1,0,$N98,INT(EK$44-1-1),MIN($N98,INT(EK$44-1-1)+1),$DC98,IF($DD98="No",1,0))/
IF(DR98&gt;=INT($N98),$N98-INT($N98),1)))*
IF(EK$44=1,0,
IF(INT(DS98)=INT(DR98),DS98-DR98,INT(DS98)-DR98))+
IF($N98&lt;=1,
IF($N98&gt;0,1/$N98,0),VDB(1,0,$N98,INT(EK$44-1),MIN($N98,INT(EK$44-1)+1),$DC98,IF($DD98="No",1,0))/
IF(DS98&gt;INT($N98),$N98-INT($N98),1))*
IF(EK$44=1,DS98,
IF(INT(DS98)=INT(DR98),0,DS98-INT(DS98)))))</f>
        <v>0</v>
      </c>
      <c r="EL98" s="835">
        <f>+IF(DT98=DS98,0,
IF(AND(EL$44&gt;1,DT98=$N98),1-SUM($EE98:EK98),
IF($N98&lt;=1,
IF($N98&gt;0,1/$N98,0),
IF(EL$44=1,0,VDB(1,0,$N98,INT(EL$44-1-1),MIN($N98,INT(EL$44-1-1)+1),$DC98,IF($DD98="No",1,0))/
IF(DS98&gt;=INT($N98),$N98-INT($N98),1)))*
IF(EL$44=1,0,
IF(INT(DT98)=INT(DS98),DT98-DS98,INT(DT98)-DS98))+
IF($N98&lt;=1,
IF($N98&gt;0,1/$N98,0),VDB(1,0,$N98,INT(EL$44-1),MIN($N98,INT(EL$44-1)+1),$DC98,IF($DD98="No",1,0))/
IF(DT98&gt;INT($N98),$N98-INT($N98),1))*
IF(EL$44=1,DT98,
IF(INT(DT98)=INT(DS98),0,DT98-INT(DT98)))))</f>
        <v>0</v>
      </c>
      <c r="EM98" s="836">
        <f>+IF(DU98=DT98,0,
IF(AND(EM$44&gt;1,DU98=$N98),1-SUM($EE98:EL98),
IF($N98&lt;=1,
IF($N98&gt;0,1/$N98,0),
IF(EM$44=1,0,VDB(1,0,$N98,INT(EM$44-1-1),MIN($N98,INT(EM$44-1-1)+1),$DC98,IF($DD98="No",1,0))/
IF(DT98&gt;=INT($N98),$N98-INT($N98),1)))*
IF(EM$44=1,0,
IF(INT(DU98)=INT(DT98),DU98-DT98,INT(DU98)-DT98))+
IF($N98&lt;=1,
IF($N98&gt;0,1/$N98,0),VDB(1,0,$N98,INT(EM$44-1),MIN($N98,INT(EM$44-1)+1),$DC98,IF($DD98="No",1,0))/
IF(DU98&gt;INT($N98),$N98-INT($N98),1))*
IF(EM$44=1,DU98,
IF(INT(DU98)=INT(DT98),0,DU98-INT(DU98)))))</f>
        <v>0</v>
      </c>
      <c r="EN98" s="833"/>
      <c r="EO98" s="834">
        <f>+IF(OR(DW98=DV98,EO$44=1),0,
IF(AND(EO$44&gt;1,DW98=$N98),1-SUM($EN98:EN98),
IF($N98&lt;=1,
IF($N98&gt;0,1/$N98,0),
IF(EO$44=2,0,VDB(1,0,$N98,INT(EO$44-2-1),MIN($N98,INT(EO$44-2-1)+1),$DC98,IF($DD98="No",1,0))/
IF(DV98&gt;=INT($N98),$N98-INT($N98),1)))*
IF(EO$44=2,0,
IF(INT(DW98)=INT(DV98),DW98-DV98,INT(DW98)-DV98))+
IF($N98&lt;=1,
IF($N98&gt;0,1/$N98,0),VDB(1,0,$N98,INT(EO$44-2),MIN($N98,INT(EO$44-2)+1),$DC98,IF($DD98="No",1,0))/
IF(DW98&gt;INT($N98),$N98-INT($N98),1))*
IF(EO$44=2,DW98,
IF(INT(DW98)=INT(DV98),0,DW98-INT(DW98)))))</f>
        <v>0</v>
      </c>
      <c r="EP98" s="835">
        <f>+IF(OR(DX98=DW98,EP$44=1),0,
IF(AND(EP$44&gt;1,DX98=$N98),1-SUM($EN98:EO98),
IF($N98&lt;=1,
IF($N98&gt;0,1/$N98,0),
IF(EP$44=2,0,VDB(1,0,$N98,INT(EP$44-2-1),MIN($N98,INT(EP$44-2-1)+1),$DC98,IF($DD98="No",1,0))/
IF(DW98&gt;=INT($N98),$N98-INT($N98),1)))*
IF(EP$44=2,0,
IF(INT(DX98)=INT(DW98),DX98-DW98,INT(DX98)-DW98))+
IF($N98&lt;=1,
IF($N98&gt;0,1/$N98,0),VDB(1,0,$N98,INT(EP$44-2),MIN($N98,INT(EP$44-2)+1),$DC98,IF($DD98="No",1,0))/
IF(DX98&gt;INT($N98),$N98-INT($N98),1))*
IF(EP$44=2,DX98,
IF(INT(DX98)=INT(DW98),0,DX98-INT(DX98)))))</f>
        <v>0</v>
      </c>
      <c r="EQ98" s="836">
        <f>+IF(OR(DY98=DX98,EQ$44=1),0,
IF(AND(EQ$44&gt;1,DY98=$N98),1-SUM($EN98:EP98),
IF($N98&lt;=1,
IF($N98&gt;0,1/$N98,0),
IF(EQ$44=2,0,VDB(1,0,$N98,INT(EQ$44-2-1),MIN($N98,INT(EQ$44-2-1)+1),$DC98,IF($DD98="No",1,0))/
IF(DX98&gt;=INT($N98),$N98-INT($N98),1)))*
IF(EQ$44=2,0,
IF(INT(DY98)=INT(DX98),DY98-DX98,INT(DY98)-DX98))+
IF($N98&lt;=1,
IF($N98&gt;0,1/$N98,0),VDB(1,0,$N98,INT(EQ$44-2),MIN($N98,INT(EQ$44-2)+1),$DC98,IF($DD98="No",1,0))/
IF(DY98&gt;INT($N98),$N98-INT($N98),1))*
IF(EQ$44=2,DY98,
IF(INT(DY98)=INT(DX98),0,DY98-INT(DY98)))))</f>
        <v>0</v>
      </c>
      <c r="ER98" s="834">
        <f>+IF(OR(DZ98=DY98,ER$44=1),0,
IF(AND(ER$44&gt;1,DZ98=$N98),1-SUM($EN98:EQ98),
IF($N98&lt;=1,
IF($N98&gt;0,1/$N98,0),
IF(ER$44=2,0,VDB(1,0,$N98,INT(ER$44-2-1),MIN($N98,INT(ER$44-2-1)+1),$DC98,IF($DD98="No",1,0))/
IF(DY98&gt;=INT($N98),$N98-INT($N98),1)))*
IF(ER$44=2,0,
IF(INT(DZ98)=INT(DY98),DZ98-DY98,INT(DZ98)-DY98))+
IF($N98&lt;=1,
IF($N98&gt;0,1/$N98,0),VDB(1,0,$N98,INT(ER$44-2),MIN($N98,INT(ER$44-2)+1),$DC98,IF($DD98="No",1,0))/
IF(DZ98&gt;INT($N98),$N98-INT($N98),1))*
IF(ER$44=2,DZ98,
IF(INT(DZ98)=INT(DY98),0,DZ98-INT(DZ98)))))</f>
        <v>0</v>
      </c>
      <c r="ES98" s="835">
        <f>+IF(OR(EA98=DZ98,ES$44=1),0,
IF(AND(ES$44&gt;1,EA98=$N98),1-SUM($EN98:ER98),
IF($N98&lt;=1,
IF($N98&gt;0,1/$N98,0),
IF(ES$44=2,0,VDB(1,0,$N98,INT(ES$44-2-1),MIN($N98,INT(ES$44-2-1)+1),$DC98,IF($DD98="No",1,0))/
IF(DZ98&gt;=INT($N98),$N98-INT($N98),1)))*
IF(ES$44=2,0,
IF(INT(EA98)=INT(DZ98),EA98-DZ98,INT(EA98)-DZ98))+
IF($N98&lt;=1,
IF($N98&gt;0,1/$N98,0),VDB(1,0,$N98,INT(ES$44-2),MIN($N98,INT(ES$44-2)+1),$DC98,IF($DD98="No",1,0))/
IF(EA98&gt;INT($N98),$N98-INT($N98),1))*
IF(ES$44=2,EA98,
IF(INT(EA98)=INT(DZ98),0,EA98-INT(EA98)))))</f>
        <v>0</v>
      </c>
      <c r="ET98" s="835">
        <f>+IF(OR(EB98=EA98,ET$44=1),0,
IF(AND(ET$44&gt;1,EB98=$N98),1-SUM($EN98:ES98),
IF($N98&lt;=1,
IF($N98&gt;0,1/$N98,0),
IF(ET$44=2,0,VDB(1,0,$N98,INT(ET$44-2-1),MIN($N98,INT(ET$44-2-1)+1),$DC98,IF($DD98="No",1,0))/
IF(EA98&gt;=INT($N98),$N98-INT($N98),1)))*
IF(ET$44=2,0,
IF(INT(EB98)=INT(EA98),EB98-EA98,INT(EB98)-EA98))+
IF($N98&lt;=1,
IF($N98&gt;0,1/$N98,0),VDB(1,0,$N98,INT(ET$44-2),MIN($N98,INT(ET$44-2)+1),$DC98,IF($DD98="No",1,0))/
IF(EB98&gt;INT($N98),$N98-INT($N98),1))*
IF(ET$44=2,EB98,
IF(INT(EB98)=INT(EA98),0,EB98-INT(EB98)))))</f>
        <v>0</v>
      </c>
      <c r="EU98" s="835">
        <f>+IF(OR(EC98=EB98,EU$44=1),0,
IF(AND(EU$44&gt;1,EC98=$N98),1-SUM($EN98:ET98),
IF($N98&lt;=1,
IF($N98&gt;0,1/$N98,0),
IF(EU$44=2,0,VDB(1,0,$N98,INT(EU$44-2-1),MIN($N98,INT(EU$44-2-1)+1),$DC98,IF($DD98="No",1,0))/
IF(EB98&gt;=INT($N98),$N98-INT($N98),1)))*
IF(EU$44=2,0,
IF(INT(EC98)=INT(EB98),EC98-EB98,INT(EC98)-EB98))+
IF($N98&lt;=1,
IF($N98&gt;0,1/$N98,0),VDB(1,0,$N98,INT(EU$44-2),MIN($N98,INT(EU$44-2)+1),$DC98,IF($DD98="No",1,0))/
IF(EC98&gt;INT($N98),$N98-INT($N98),1))*
IF(EU$44=2,EC98,
IF(INT(EC98)=INT(EB98),0,EC98-INT(EC98)))))</f>
        <v>0</v>
      </c>
      <c r="EV98" s="836">
        <f>+IF(OR(ED98=EC98,EV$44=1),0,
IF(AND(EV$44&gt;1,ED98=$N98),1-SUM($EN98:EU98),
IF($N98&lt;=1,
IF($N98&gt;0,1/$N98,0),
IF(EV$44=2,0,VDB(1,0,$N98,INT(EV$44-2-1),MIN($N98,INT(EV$44-2-1)+1),$DC98,IF($DD98="No",1,0))/
IF(EC98&gt;=INT($N98),$N98-INT($N98),1)))*
IF(EV$44=2,0,
IF(INT(ED98)=INT(EC98),ED98-EC98,INT(ED98)-EC98))+
IF($N98&lt;=1,
IF($N98&gt;0,1/$N98,0),VDB(1,0,$N98,INT(EV$44-2),MIN($N98,INT(EV$44-2)+1),$DC98,IF($DD98="No",1,0))/
IF(ED98&gt;INT($N98),$N98-INT($N98),1))*
IF(EV$44=2,ED98,
IF(INT(ED98)=INT(EC98),0,ED98-INT(ED98)))))</f>
        <v>0</v>
      </c>
      <c r="EW98" s="833"/>
      <c r="EX98" s="834">
        <f t="shared" ca="1" si="246"/>
        <v>0</v>
      </c>
      <c r="EY98" s="835">
        <f t="shared" ca="1" si="246"/>
        <v>0</v>
      </c>
      <c r="EZ98" s="836">
        <f t="shared" ca="1" si="246"/>
        <v>0</v>
      </c>
      <c r="FA98" s="834">
        <f t="shared" ca="1" si="246"/>
        <v>0</v>
      </c>
      <c r="FB98" s="835">
        <f t="shared" ca="1" si="246"/>
        <v>0</v>
      </c>
      <c r="FC98" s="835">
        <f t="shared" ca="1" si="246"/>
        <v>0</v>
      </c>
      <c r="FD98" s="835">
        <f t="shared" ca="1" si="246"/>
        <v>0</v>
      </c>
      <c r="FE98" s="836">
        <f t="shared" ca="1" si="246"/>
        <v>0</v>
      </c>
      <c r="FG98" s="386">
        <f t="shared" ca="1" si="237"/>
        <v>0</v>
      </c>
      <c r="FH98" s="387">
        <f t="shared" ca="1" si="238"/>
        <v>0</v>
      </c>
      <c r="FI98" s="388">
        <f t="shared" ca="1" si="239"/>
        <v>0</v>
      </c>
      <c r="FJ98" s="386">
        <f t="shared" ca="1" si="240"/>
        <v>0</v>
      </c>
      <c r="FK98" s="387">
        <f t="shared" ca="1" si="241"/>
        <v>0</v>
      </c>
      <c r="FL98" s="387">
        <f t="shared" ca="1" si="242"/>
        <v>0</v>
      </c>
      <c r="FM98" s="387">
        <f t="shared" ca="1" si="243"/>
        <v>0</v>
      </c>
      <c r="FN98" s="388">
        <f t="shared" ca="1" si="244"/>
        <v>0</v>
      </c>
      <c r="FR98" s="116"/>
    </row>
    <row r="99" spans="2:174">
      <c r="B99" s="1410">
        <f t="shared" si="135"/>
        <v>53</v>
      </c>
      <c r="C99" s="400" t="s">
        <v>580</v>
      </c>
      <c r="D99" s="410"/>
      <c r="E99" s="402" t="s">
        <v>402</v>
      </c>
      <c r="F99" s="402" t="s">
        <v>527</v>
      </c>
      <c r="G99" s="400" t="s">
        <v>525</v>
      </c>
      <c r="H99" s="2088" t="s">
        <v>483</v>
      </c>
      <c r="I99" s="2089"/>
      <c r="J99" s="411" t="s">
        <v>516</v>
      </c>
      <c r="K99" s="403" t="s">
        <v>544</v>
      </c>
      <c r="L99" s="403">
        <v>90</v>
      </c>
      <c r="M99" s="403" t="s">
        <v>142</v>
      </c>
      <c r="N99" s="403"/>
      <c r="O99" s="347"/>
      <c r="P99" s="347"/>
      <c r="Q99" s="1021">
        <v>0.14625360965853662</v>
      </c>
      <c r="R99" s="1022">
        <v>1.1942696918500895</v>
      </c>
      <c r="S99" s="1022">
        <v>1.8454793324066692</v>
      </c>
      <c r="T99" s="1022">
        <v>10.987792490023045</v>
      </c>
      <c r="U99" s="1023">
        <v>17.430119876552844</v>
      </c>
      <c r="V99" s="1021">
        <v>8.022271967652177</v>
      </c>
      <c r="W99" s="1022">
        <v>52.6409884251592</v>
      </c>
      <c r="X99" s="1022">
        <v>20.46939527057252</v>
      </c>
      <c r="Y99" s="1022">
        <v>18.905719254813139</v>
      </c>
      <c r="Z99" s="1023">
        <v>0</v>
      </c>
      <c r="AA99" s="1024"/>
      <c r="AB99" s="1021">
        <v>0</v>
      </c>
      <c r="AC99" s="1022">
        <v>0</v>
      </c>
      <c r="AD99" s="1022">
        <v>0</v>
      </c>
      <c r="AE99" s="1022">
        <v>0</v>
      </c>
      <c r="AF99" s="1023">
        <v>0</v>
      </c>
      <c r="AG99" s="1021">
        <v>0</v>
      </c>
      <c r="AH99" s="1022">
        <v>0</v>
      </c>
      <c r="AI99" s="1022">
        <v>0</v>
      </c>
      <c r="AJ99" s="1022">
        <v>0</v>
      </c>
      <c r="AK99" s="1023">
        <v>0</v>
      </c>
      <c r="AL99" s="1024"/>
      <c r="AM99" s="1021">
        <v>0</v>
      </c>
      <c r="AN99" s="1022">
        <v>0</v>
      </c>
      <c r="AO99" s="1022">
        <v>0</v>
      </c>
      <c r="AP99" s="1022">
        <v>0</v>
      </c>
      <c r="AQ99" s="1023">
        <v>0</v>
      </c>
      <c r="AR99" s="1021">
        <v>0</v>
      </c>
      <c r="AS99" s="1022">
        <v>0</v>
      </c>
      <c r="AT99" s="1022">
        <v>0</v>
      </c>
      <c r="AU99" s="1022">
        <v>0</v>
      </c>
      <c r="AV99" s="1023">
        <v>0</v>
      </c>
      <c r="AW99" s="1025"/>
      <c r="AX99" s="1282">
        <f t="shared" si="191"/>
        <v>0.14625360965853662</v>
      </c>
      <c r="AY99" s="387">
        <f t="shared" si="192"/>
        <v>1.1942696918500895</v>
      </c>
      <c r="AZ99" s="387">
        <f t="shared" si="193"/>
        <v>1.8454793324066692</v>
      </c>
      <c r="BA99" s="387">
        <f t="shared" si="194"/>
        <v>10.987792490023045</v>
      </c>
      <c r="BB99" s="1283">
        <f t="shared" si="195"/>
        <v>17.430119876552844</v>
      </c>
      <c r="BC99" s="386">
        <f t="shared" si="196"/>
        <v>8.022271967652177</v>
      </c>
      <c r="BD99" s="387">
        <f t="shared" si="197"/>
        <v>52.6409884251592</v>
      </c>
      <c r="BE99" s="1277">
        <f t="shared" si="198"/>
        <v>20.46939527057252</v>
      </c>
      <c r="BF99" s="1277">
        <f t="shared" si="199"/>
        <v>18.905719254813139</v>
      </c>
      <c r="BG99" s="388">
        <f t="shared" si="200"/>
        <v>0</v>
      </c>
      <c r="BH99" s="1025"/>
      <c r="BI99" s="1282">
        <f t="shared" ca="1" si="201"/>
        <v>8.1252005365853677E-4</v>
      </c>
      <c r="BJ99" s="387">
        <f t="shared" ca="1" si="202"/>
        <v>8.25987172870646E-3</v>
      </c>
      <c r="BK99" s="387">
        <f t="shared" ca="1" si="203"/>
        <v>2.5147366307910674E-2</v>
      </c>
      <c r="BL99" s="387">
        <f t="shared" ca="1" si="204"/>
        <v>9.6443320876964639E-2</v>
      </c>
      <c r="BM99" s="1283">
        <f t="shared" ca="1" si="205"/>
        <v>0.25432061180238624</v>
      </c>
      <c r="BN99" s="386">
        <f t="shared" ca="1" si="206"/>
        <v>0.39572278871463634</v>
      </c>
      <c r="BO99" s="387">
        <f t="shared" ca="1" si="207"/>
        <v>0.73274090200803288</v>
      </c>
      <c r="BP99" s="1277">
        <f t="shared" ca="1" si="208"/>
        <v>1.1389097003176534</v>
      </c>
      <c r="BQ99" s="1277">
        <f t="shared" ca="1" si="209"/>
        <v>1.3576603365697959</v>
      </c>
      <c r="BR99" s="388">
        <f t="shared" ca="1" si="210"/>
        <v>1.4626921102076469</v>
      </c>
      <c r="BS99" s="1025"/>
      <c r="BT99" s="1282">
        <f>+IF($K99="Ongoing",AX99,IF(RIGHT($K99,2)=RIGHT(BT$43,2),SUM($AX99:AX99),0)+IF(RIGHT(BT$43,2)&gt;RIGHT($K99,2),AX99,0))</f>
        <v>0.14625360965853662</v>
      </c>
      <c r="BU99" s="387">
        <f>+IF($K99="Ongoing",AY99,IF(RIGHT($K99,2)=RIGHT(BU$43,2),SUM($AX99:AY99),0)+IF(RIGHT(BU$43,2)&gt;RIGHT($K99,2),AY99,0))</f>
        <v>1.1942696918500895</v>
      </c>
      <c r="BV99" s="387">
        <f>+IF($K99="Ongoing",AZ99,IF(RIGHT($K99,2)=RIGHT(BV$43,2),SUM($AX99:AZ99),0)+IF(RIGHT(BV$43,2)&gt;RIGHT($K99,2),AZ99,0))</f>
        <v>1.8454793324066692</v>
      </c>
      <c r="BW99" s="387">
        <f>+IF($K99="Ongoing",BA99,IF(RIGHT($K99,2)=RIGHT(BW$43,2),SUM($AX99:BA99),0)+IF(RIGHT(BW$43,2)&gt;RIGHT($K99,2),BA99,0))</f>
        <v>10.987792490023045</v>
      </c>
      <c r="BX99" s="1283">
        <f>+IF($K99="Ongoing",BB99,IF(RIGHT($K99,2)=RIGHT(BX$43,2),SUM($AX99:BB99),0)+IF(RIGHT(BX$43,2)&gt;RIGHT($K99,2),BB99,0))</f>
        <v>17.430119876552844</v>
      </c>
      <c r="BY99" s="386">
        <f>+IF($K99="Ongoing",BC99,IF(RIGHT($K99,2)=RIGHT(BY$43,2),SUM($AX99:BC99),0)+IF(RIGHT(BY$43,2)&gt;RIGHT($K99,2),BC99,0))</f>
        <v>8.022271967652177</v>
      </c>
      <c r="BZ99" s="387">
        <f>+IF($K99="Ongoing",BD99,IF(RIGHT($K99,2)=RIGHT(BZ$43,2),SUM($AX99:BD99),0)+IF(RIGHT(BZ$43,2)&gt;RIGHT($K99,2),BD99,0))</f>
        <v>52.6409884251592</v>
      </c>
      <c r="CA99" s="1277">
        <f>+IF($K99="Ongoing",BE99,IF(RIGHT($K99,2)=RIGHT(CA$43,2),SUM($AX99:BE99),0)+IF(RIGHT(CA$43,2)&gt;RIGHT($K99,2),BE99,0))</f>
        <v>20.46939527057252</v>
      </c>
      <c r="CB99" s="1277">
        <f>+IF($K99="Ongoing",BF99,IF(RIGHT($K99,2)=RIGHT(CB$43,2),SUM($AX99:BF99),0)+IF(RIGHT(CB$43,2)&gt;RIGHT($K99,2),BF99,0))</f>
        <v>18.905719254813139</v>
      </c>
      <c r="CC99" s="388">
        <f>+IF($K99="Ongoing",BG99,IF(RIGHT($K99,2)=RIGHT(CC$43,2),SUM($AX99:BG99),0)+IF(RIGHT(CC$43,2)&gt;RIGHT($K99,2),BG99,0))</f>
        <v>0</v>
      </c>
      <c r="CD99" s="1025"/>
      <c r="CE99" s="1282">
        <f>+Q99*KeyAssumptionsPriceControl_FO!AF$15</f>
        <v>0.15049496433863416</v>
      </c>
      <c r="CF99" s="387">
        <f>+R99*KeyAssumptionsPriceControl_FO!AG$15</f>
        <v>1.2645417147882405</v>
      </c>
      <c r="CG99" s="387">
        <f>+S99*KeyAssumptionsPriceControl_FO!AH$15</f>
        <v>2.0107371880771492</v>
      </c>
      <c r="CH99" s="387">
        <f>+T99*KeyAssumptionsPriceControl_FO!AI$15</f>
        <v>12.318900516311389</v>
      </c>
      <c r="CI99" s="1283">
        <f>+U99*KeyAssumptionsPriceControl_FO!AJ$15</f>
        <v>20.108387596226372</v>
      </c>
      <c r="CJ99" s="386">
        <f>+V99*KeyAssumptionsPriceControl_FO!AK$15</f>
        <v>9.5233474567719885</v>
      </c>
      <c r="CK99" s="387">
        <f>+W99*KeyAssumptionsPriceControl_FO!AL$15</f>
        <v>64.303062722723425</v>
      </c>
      <c r="CL99" s="1277">
        <f>+X99*KeyAssumptionsPriceControl_FO!AM$15</f>
        <v>25.729302354131516</v>
      </c>
      <c r="CM99" s="1277">
        <f>+Y99*KeyAssumptionsPriceControl_FO!AN$15</f>
        <v>24.452967874920827</v>
      </c>
      <c r="CN99" s="388">
        <f>+Z99*KeyAssumptionsPriceControl_FO!AO$15</f>
        <v>0</v>
      </c>
      <c r="CO99" s="1025"/>
      <c r="CP99" s="1282">
        <f t="shared" ca="1" si="211"/>
        <v>0</v>
      </c>
      <c r="CQ99" s="387">
        <f t="shared" ca="1" si="212"/>
        <v>0</v>
      </c>
      <c r="CR99" s="387">
        <f t="shared" ca="1" si="213"/>
        <v>0</v>
      </c>
      <c r="CS99" s="387">
        <f t="shared" ca="1" si="214"/>
        <v>0</v>
      </c>
      <c r="CT99" s="1283">
        <f t="shared" ca="1" si="215"/>
        <v>0</v>
      </c>
      <c r="CU99" s="386">
        <f t="shared" ca="1" si="216"/>
        <v>0</v>
      </c>
      <c r="CV99" s="387">
        <f t="shared" ca="1" si="217"/>
        <v>0</v>
      </c>
      <c r="CW99" s="1277">
        <f t="shared" ca="1" si="218"/>
        <v>0</v>
      </c>
      <c r="CX99" s="1277">
        <f t="shared" ca="1" si="219"/>
        <v>0</v>
      </c>
      <c r="CY99" s="388">
        <f t="shared" ca="1" si="220"/>
        <v>0</v>
      </c>
      <c r="CZ99" s="347"/>
      <c r="DA99" s="852"/>
      <c r="DB99" s="347"/>
      <c r="DC99" s="1012" t="s">
        <v>586</v>
      </c>
      <c r="DD99" s="841" t="s">
        <v>518</v>
      </c>
      <c r="DE99" s="386">
        <f>+IF($K99="ongoing",CE99,IF(RIGHT($K99,2)=RIGHT(DE$43,2),SUM($CD99:CE99),0)+IF(RIGHT(DE$43,2)&gt;RIGHT($K99,2),CE99,0))</f>
        <v>0.15049496433863416</v>
      </c>
      <c r="DF99" s="387">
        <f>+IF($K99="ongoing",CF99,IF(RIGHT($K99,2)=RIGHT(DF$43,2),SUM($CD99:CF99),0)+IF(RIGHT(DF$43,2)&gt;RIGHT($K99,2),CF99,0))</f>
        <v>1.2645417147882405</v>
      </c>
      <c r="DG99" s="388">
        <f>+IF($K99="ongoing",CG99,IF(RIGHT($K99,2)=RIGHT(DG$43,2),SUM($CD99:CG99),0)+IF(RIGHT(DG$43,2)&gt;RIGHT($K99,2),CG99,0))</f>
        <v>2.0107371880771492</v>
      </c>
      <c r="DH99" s="386">
        <f>+IF($K99="ongoing",CH99,IF(RIGHT($K99,2)=RIGHT(DH$43,2),SUM($CD99:CH99),0)+IF(RIGHT(DH$43,2)&gt;RIGHT($K99,2),CH99,0))</f>
        <v>12.318900516311389</v>
      </c>
      <c r="DI99" s="387">
        <f>+IF($K99="ongoing",CI99,IF(RIGHT($K99,2)=RIGHT(DI$43,2),SUM($CD99:CI99),0)+IF(RIGHT(DI$43,2)&gt;RIGHT($K99,2),CI99,0))</f>
        <v>20.108387596226372</v>
      </c>
      <c r="DJ99" s="387">
        <f>+IF($K99="ongoing",CJ99,IF(RIGHT($K99,2)=RIGHT(DJ$43,2),SUM($CD99:CJ99),0)+IF(RIGHT(DJ$43,2)&gt;RIGHT($K99,2),CJ99,0))</f>
        <v>9.5233474567719885</v>
      </c>
      <c r="DK99" s="387">
        <f>+IF($K99="ongoing",CK99,IF(RIGHT($K99,2)=RIGHT(DK$43,2),SUM($CD99:CK99),0)+IF(RIGHT(DK$43,2)&gt;RIGHT($K99,2),CK99,0))</f>
        <v>64.303062722723425</v>
      </c>
      <c r="DL99" s="388">
        <f>+IF($K99="ongoing",CN99,IF(RIGHT($K99,2)=RIGHT(DL$43,2),SUM($CD99:CN99),0)+IF(RIGHT(DL$43,2)&gt;RIGHT($K99,2),CN99,0))</f>
        <v>0</v>
      </c>
      <c r="DM99" s="841"/>
      <c r="DN99" s="386">
        <f t="shared" si="221"/>
        <v>0.5</v>
      </c>
      <c r="DO99" s="387">
        <f t="shared" si="222"/>
        <v>1</v>
      </c>
      <c r="DP99" s="388">
        <f t="shared" si="223"/>
        <v>1</v>
      </c>
      <c r="DQ99" s="386">
        <f t="shared" si="224"/>
        <v>1</v>
      </c>
      <c r="DR99" s="387">
        <f t="shared" si="225"/>
        <v>1</v>
      </c>
      <c r="DS99" s="387">
        <f t="shared" si="226"/>
        <v>1</v>
      </c>
      <c r="DT99" s="387">
        <f t="shared" si="227"/>
        <v>1</v>
      </c>
      <c r="DU99" s="388">
        <f t="shared" si="228"/>
        <v>1</v>
      </c>
      <c r="DW99" s="386">
        <f t="shared" si="229"/>
        <v>0</v>
      </c>
      <c r="DX99" s="387">
        <f t="shared" si="230"/>
        <v>0.5</v>
      </c>
      <c r="DY99" s="388">
        <f t="shared" si="231"/>
        <v>1</v>
      </c>
      <c r="DZ99" s="386">
        <f t="shared" si="232"/>
        <v>1</v>
      </c>
      <c r="EA99" s="387">
        <f t="shared" si="233"/>
        <v>1</v>
      </c>
      <c r="EB99" s="387">
        <f t="shared" si="234"/>
        <v>1</v>
      </c>
      <c r="EC99" s="387">
        <f t="shared" si="235"/>
        <v>1</v>
      </c>
      <c r="ED99" s="388">
        <f t="shared" si="236"/>
        <v>1</v>
      </c>
      <c r="EF99" s="834">
        <f>+IF(DN99=DM99,0,
IF(AND(EF$44&gt;1,DN99=$N99),1-SUM($EE99:EE99),
IF($N99&lt;=1,
IF($N99&gt;0,1/$N99,0),
IF(EF$44=1,0,VDB(1,0,$N99,INT(EF$44-1-1),MIN($N99,INT(EF$44-1-1)+1),$DC99,IF($DD99="No",1,0))/
IF(DM99&gt;=INT($N99),$N99-INT($N99),1)))*
IF(EF$44=1,0,
IF(INT(DN99)=INT(DM99),DN99-DM99,INT(DN99)-DM99))+
IF($N99&lt;=1,
IF($N99&gt;0,1/$N99,0),VDB(1,0,$N99,INT(EF$44-1),MIN($N99,INT(EF$44-1)+1),$DC99,IF($DD99="No",1,0))/
IF(DN99&gt;INT($N99),$N99-INT($N99),1))*
IF(EF$44=1,DN99,
IF(INT(DN99)=INT(DM99),0,DN99-INT(DN99)))))</f>
        <v>0</v>
      </c>
      <c r="EG99" s="835">
        <f>+IF(DO99=DN99,0,
IF(AND(EG$44&gt;1,DO99=$N99),1-SUM($EE99:EF99),
IF($N99&lt;=1,
IF($N99&gt;0,1/$N99,0),
IF(EG$44=1,0,VDB(1,0,$N99,INT(EG$44-1-1),MIN($N99,INT(EG$44-1-1)+1),$DC99,IF($DD99="No",1,0))/
IF(DN99&gt;=INT($N99),$N99-INT($N99),1)))*
IF(EG$44=1,0,
IF(INT(DO99)=INT(DN99),DO99-DN99,INT(DO99)-DN99))+
IF($N99&lt;=1,
IF($N99&gt;0,1/$N99,0),VDB(1,0,$N99,INT(EG$44-1),MIN($N99,INT(EG$44-1)+1),$DC99,IF($DD99="No",1,0))/
IF(DO99&gt;INT($N99),$N99-INT($N99),1))*
IF(EG$44=1,DO99,
IF(INT(DO99)=INT(DN99),0,DO99-INT(DO99)))))</f>
        <v>0</v>
      </c>
      <c r="EH99" s="836">
        <f>+IF(DP99=DO99,0,
IF(AND(EH$44&gt;1,DP99=$N99),1-SUM($EE99:EG99),
IF($N99&lt;=1,
IF($N99&gt;0,1/$N99,0),
IF(EH$44=1,0,VDB(1,0,$N99,INT(EH$44-1-1),MIN($N99,INT(EH$44-1-1)+1),$DC99,IF($DD99="No",1,0))/
IF(DO99&gt;=INT($N99),$N99-INT($N99),1)))*
IF(EH$44=1,0,
IF(INT(DP99)=INT(DO99),DP99-DO99,INT(DP99)-DO99))+
IF($N99&lt;=1,
IF($N99&gt;0,1/$N99,0),VDB(1,0,$N99,INT(EH$44-1),MIN($N99,INT(EH$44-1)+1),$DC99,IF($DD99="No",1,0))/
IF(DP99&gt;INT($N99),$N99-INT($N99),1))*
IF(EH$44=1,DP99,
IF(INT(DP99)=INT(DO99),0,DP99-INT(DP99)))))</f>
        <v>0</v>
      </c>
      <c r="EI99" s="834">
        <f>+IF(DQ99=DP99,0,
IF(AND(EI$44&gt;1,DQ99=$N99),1-SUM($EE99:EH99),
IF($N99&lt;=1,
IF($N99&gt;0,1/$N99,0),
IF(EI$44=1,0,VDB(1,0,$N99,INT(EI$44-1-1),MIN($N99,INT(EI$44-1-1)+1),$DC99,IF($DD99="No",1,0))/
IF(DP99&gt;=INT($N99),$N99-INT($N99),1)))*
IF(EI$44=1,0,
IF(INT(DQ99)=INT(DP99),DQ99-DP99,INT(DQ99)-DP99))+
IF($N99&lt;=1,
IF($N99&gt;0,1/$N99,0),VDB(1,0,$N99,INT(EI$44-1),MIN($N99,INT(EI$44-1)+1),$DC99,IF($DD99="No",1,0))/
IF(DQ99&gt;INT($N99),$N99-INT($N99),1))*
IF(EI$44=1,DQ99,
IF(INT(DQ99)=INT(DP99),0,DQ99-INT(DQ99)))))</f>
        <v>0</v>
      </c>
      <c r="EJ99" s="835">
        <f>+IF(DR99=DQ99,0,
IF(AND(EJ$44&gt;1,DR99=$N99),1-SUM($EE99:EI99),
IF($N99&lt;=1,
IF($N99&gt;0,1/$N99,0),
IF(EJ$44=1,0,VDB(1,0,$N99,INT(EJ$44-1-1),MIN($N99,INT(EJ$44-1-1)+1),$DC99,IF($DD99="No",1,0))/
IF(DQ99&gt;=INT($N99),$N99-INT($N99),1)))*
IF(EJ$44=1,0,
IF(INT(DR99)=INT(DQ99),DR99-DQ99,INT(DR99)-DQ99))+
IF($N99&lt;=1,
IF($N99&gt;0,1/$N99,0),VDB(1,0,$N99,INT(EJ$44-1),MIN($N99,INT(EJ$44-1)+1),$DC99,IF($DD99="No",1,0))/
IF(DR99&gt;INT($N99),$N99-INT($N99),1))*
IF(EJ$44=1,DR99,
IF(INT(DR99)=INT(DQ99),0,DR99-INT(DR99)))))</f>
        <v>0</v>
      </c>
      <c r="EK99" s="835">
        <f>+IF(DS99=DR99,0,
IF(AND(EK$44&gt;1,DS99=$N99),1-SUM($EE99:EJ99),
IF($N99&lt;=1,
IF($N99&gt;0,1/$N99,0),
IF(EK$44=1,0,VDB(1,0,$N99,INT(EK$44-1-1),MIN($N99,INT(EK$44-1-1)+1),$DC99,IF($DD99="No",1,0))/
IF(DR99&gt;=INT($N99),$N99-INT($N99),1)))*
IF(EK$44=1,0,
IF(INT(DS99)=INT(DR99),DS99-DR99,INT(DS99)-DR99))+
IF($N99&lt;=1,
IF($N99&gt;0,1/$N99,0),VDB(1,0,$N99,INT(EK$44-1),MIN($N99,INT(EK$44-1)+1),$DC99,IF($DD99="No",1,0))/
IF(DS99&gt;INT($N99),$N99-INT($N99),1))*
IF(EK$44=1,DS99,
IF(INT(DS99)=INT(DR99),0,DS99-INT(DS99)))))</f>
        <v>0</v>
      </c>
      <c r="EL99" s="835">
        <f>+IF(DT99=DS99,0,
IF(AND(EL$44&gt;1,DT99=$N99),1-SUM($EE99:EK99),
IF($N99&lt;=1,
IF($N99&gt;0,1/$N99,0),
IF(EL$44=1,0,VDB(1,0,$N99,INT(EL$44-1-1),MIN($N99,INT(EL$44-1-1)+1),$DC99,IF($DD99="No",1,0))/
IF(DS99&gt;=INT($N99),$N99-INT($N99),1)))*
IF(EL$44=1,0,
IF(INT(DT99)=INT(DS99),DT99-DS99,INT(DT99)-DS99))+
IF($N99&lt;=1,
IF($N99&gt;0,1/$N99,0),VDB(1,0,$N99,INT(EL$44-1),MIN($N99,INT(EL$44-1)+1),$DC99,IF($DD99="No",1,0))/
IF(DT99&gt;INT($N99),$N99-INT($N99),1))*
IF(EL$44=1,DT99,
IF(INT(DT99)=INT(DS99),0,DT99-INT(DT99)))))</f>
        <v>0</v>
      </c>
      <c r="EM99" s="836">
        <f>+IF(DU99=DT99,0,
IF(AND(EM$44&gt;1,DU99=$N99),1-SUM($EE99:EL99),
IF($N99&lt;=1,
IF($N99&gt;0,1/$N99,0),
IF(EM$44=1,0,VDB(1,0,$N99,INT(EM$44-1-1),MIN($N99,INT(EM$44-1-1)+1),$DC99,IF($DD99="No",1,0))/
IF(DT99&gt;=INT($N99),$N99-INT($N99),1)))*
IF(EM$44=1,0,
IF(INT(DU99)=INT(DT99),DU99-DT99,INT(DU99)-DT99))+
IF($N99&lt;=1,
IF($N99&gt;0,1/$N99,0),VDB(1,0,$N99,INT(EM$44-1),MIN($N99,INT(EM$44-1)+1),$DC99,IF($DD99="No",1,0))/
IF(DU99&gt;INT($N99),$N99-INT($N99),1))*
IF(EM$44=1,DU99,
IF(INT(DU99)=INT(DT99),0,DU99-INT(DU99)))))</f>
        <v>0</v>
      </c>
      <c r="EN99" s="833"/>
      <c r="EO99" s="834">
        <f>+IF(OR(DW99=DV99,EO$44=1),0,
IF(AND(EO$44&gt;1,DW99=$N99),1-SUM($EN99:EN99),
IF($N99&lt;=1,
IF($N99&gt;0,1/$N99,0),
IF(EO$44=2,0,VDB(1,0,$N99,INT(EO$44-2-1),MIN($N99,INT(EO$44-2-1)+1),$DC99,IF($DD99="No",1,0))/
IF(DV99&gt;=INT($N99),$N99-INT($N99),1)))*
IF(EO$44=2,0,
IF(INT(DW99)=INT(DV99),DW99-DV99,INT(DW99)-DV99))+
IF($N99&lt;=1,
IF($N99&gt;0,1/$N99,0),VDB(1,0,$N99,INT(EO$44-2),MIN($N99,INT(EO$44-2)+1),$DC99,IF($DD99="No",1,0))/
IF(DW99&gt;INT($N99),$N99-INT($N99),1))*
IF(EO$44=2,DW99,
IF(INT(DW99)=INT(DV99),0,DW99-INT(DW99)))))</f>
        <v>0</v>
      </c>
      <c r="EP99" s="835">
        <f>+IF(OR(DX99=DW99,EP$44=1),0,
IF(AND(EP$44&gt;1,DX99=$N99),1-SUM($EN99:EO99),
IF($N99&lt;=1,
IF($N99&gt;0,1/$N99,0),
IF(EP$44=2,0,VDB(1,0,$N99,INT(EP$44-2-1),MIN($N99,INT(EP$44-2-1)+1),$DC99,IF($DD99="No",1,0))/
IF(DW99&gt;=INT($N99),$N99-INT($N99),1)))*
IF(EP$44=2,0,
IF(INT(DX99)=INT(DW99),DX99-DW99,INT(DX99)-DW99))+
IF($N99&lt;=1,
IF($N99&gt;0,1/$N99,0),VDB(1,0,$N99,INT(EP$44-2),MIN($N99,INT(EP$44-2)+1),$DC99,IF($DD99="No",1,0))/
IF(DX99&gt;INT($N99),$N99-INT($N99),1))*
IF(EP$44=2,DX99,
IF(INT(DX99)=INT(DW99),0,DX99-INT(DX99)))))</f>
        <v>0</v>
      </c>
      <c r="EQ99" s="836">
        <f>+IF(OR(DY99=DX99,EQ$44=1),0,
IF(AND(EQ$44&gt;1,DY99=$N99),1-SUM($EN99:EP99),
IF($N99&lt;=1,
IF($N99&gt;0,1/$N99,0),
IF(EQ$44=2,0,VDB(1,0,$N99,INT(EQ$44-2-1),MIN($N99,INT(EQ$44-2-1)+1),$DC99,IF($DD99="No",1,0))/
IF(DX99&gt;=INT($N99),$N99-INT($N99),1)))*
IF(EQ$44=2,0,
IF(INT(DY99)=INT(DX99),DY99-DX99,INT(DY99)-DX99))+
IF($N99&lt;=1,
IF($N99&gt;0,1/$N99,0),VDB(1,0,$N99,INT(EQ$44-2),MIN($N99,INT(EQ$44-2)+1),$DC99,IF($DD99="No",1,0))/
IF(DY99&gt;INT($N99),$N99-INT($N99),1))*
IF(EQ$44=2,DY99,
IF(INT(DY99)=INT(DX99),0,DY99-INT(DY99)))))</f>
        <v>0</v>
      </c>
      <c r="ER99" s="834">
        <f>+IF(OR(DZ99=DY99,ER$44=1),0,
IF(AND(ER$44&gt;1,DZ99=$N99),1-SUM($EN99:EQ99),
IF($N99&lt;=1,
IF($N99&gt;0,1/$N99,0),
IF(ER$44=2,0,VDB(1,0,$N99,INT(ER$44-2-1),MIN($N99,INT(ER$44-2-1)+1),$DC99,IF($DD99="No",1,0))/
IF(DY99&gt;=INT($N99),$N99-INT($N99),1)))*
IF(ER$44=2,0,
IF(INT(DZ99)=INT(DY99),DZ99-DY99,INT(DZ99)-DY99))+
IF($N99&lt;=1,
IF($N99&gt;0,1/$N99,0),VDB(1,0,$N99,INT(ER$44-2),MIN($N99,INT(ER$44-2)+1),$DC99,IF($DD99="No",1,0))/
IF(DZ99&gt;INT($N99),$N99-INT($N99),1))*
IF(ER$44=2,DZ99,
IF(INT(DZ99)=INT(DY99),0,DZ99-INT(DZ99)))))</f>
        <v>0</v>
      </c>
      <c r="ES99" s="835">
        <f>+IF(OR(EA99=DZ99,ES$44=1),0,
IF(AND(ES$44&gt;1,EA99=$N99),1-SUM($EN99:ER99),
IF($N99&lt;=1,
IF($N99&gt;0,1/$N99,0),
IF(ES$44=2,0,VDB(1,0,$N99,INT(ES$44-2-1),MIN($N99,INT(ES$44-2-1)+1),$DC99,IF($DD99="No",1,0))/
IF(DZ99&gt;=INT($N99),$N99-INT($N99),1)))*
IF(ES$44=2,0,
IF(INT(EA99)=INT(DZ99),EA99-DZ99,INT(EA99)-DZ99))+
IF($N99&lt;=1,
IF($N99&gt;0,1/$N99,0),VDB(1,0,$N99,INT(ES$44-2),MIN($N99,INT(ES$44-2)+1),$DC99,IF($DD99="No",1,0))/
IF(EA99&gt;INT($N99),$N99-INT($N99),1))*
IF(ES$44=2,EA99,
IF(INT(EA99)=INT(DZ99),0,EA99-INT(EA99)))))</f>
        <v>0</v>
      </c>
      <c r="ET99" s="835">
        <f>+IF(OR(EB99=EA99,ET$44=1),0,
IF(AND(ET$44&gt;1,EB99=$N99),1-SUM($EN99:ES99),
IF($N99&lt;=1,
IF($N99&gt;0,1/$N99,0),
IF(ET$44=2,0,VDB(1,0,$N99,INT(ET$44-2-1),MIN($N99,INT(ET$44-2-1)+1),$DC99,IF($DD99="No",1,0))/
IF(EA99&gt;=INT($N99),$N99-INT($N99),1)))*
IF(ET$44=2,0,
IF(INT(EB99)=INT(EA99),EB99-EA99,INT(EB99)-EA99))+
IF($N99&lt;=1,
IF($N99&gt;0,1/$N99,0),VDB(1,0,$N99,INT(ET$44-2),MIN($N99,INT(ET$44-2)+1),$DC99,IF($DD99="No",1,0))/
IF(EB99&gt;INT($N99),$N99-INT($N99),1))*
IF(ET$44=2,EB99,
IF(INT(EB99)=INT(EA99),0,EB99-INT(EB99)))))</f>
        <v>0</v>
      </c>
      <c r="EU99" s="835">
        <f>+IF(OR(EC99=EB99,EU$44=1),0,
IF(AND(EU$44&gt;1,EC99=$N99),1-SUM($EN99:ET99),
IF($N99&lt;=1,
IF($N99&gt;0,1/$N99,0),
IF(EU$44=2,0,VDB(1,0,$N99,INT(EU$44-2-1),MIN($N99,INT(EU$44-2-1)+1),$DC99,IF($DD99="No",1,0))/
IF(EB99&gt;=INT($N99),$N99-INT($N99),1)))*
IF(EU$44=2,0,
IF(INT(EC99)=INT(EB99),EC99-EB99,INT(EC99)-EB99))+
IF($N99&lt;=1,
IF($N99&gt;0,1/$N99,0),VDB(1,0,$N99,INT(EU$44-2),MIN($N99,INT(EU$44-2)+1),$DC99,IF($DD99="No",1,0))/
IF(EC99&gt;INT($N99),$N99-INT($N99),1))*
IF(EU$44=2,EC99,
IF(INT(EC99)=INT(EB99),0,EC99-INT(EC99)))))</f>
        <v>0</v>
      </c>
      <c r="EV99" s="836">
        <f>+IF(OR(ED99=EC99,EV$44=1),0,
IF(AND(EV$44&gt;1,ED99=$N99),1-SUM($EN99:EU99),
IF($N99&lt;=1,
IF($N99&gt;0,1/$N99,0),
IF(EV$44=2,0,VDB(1,0,$N99,INT(EV$44-2-1),MIN($N99,INT(EV$44-2-1)+1),$DC99,IF($DD99="No",1,0))/
IF(EC99&gt;=INT($N99),$N99-INT($N99),1)))*
IF(EV$44=2,0,
IF(INT(ED99)=INT(EC99),ED99-EC99,INT(ED99)-EC99))+
IF($N99&lt;=1,
IF($N99&gt;0,1/$N99,0),VDB(1,0,$N99,INT(EV$44-2),MIN($N99,INT(EV$44-2)+1),$DC99,IF($DD99="No",1,0))/
IF(ED99&gt;INT($N99),$N99-INT($N99),1))*
IF(EV$44=2,ED99,
IF(INT(ED99)=INT(EC99),0,ED99-INT(ED99)))))</f>
        <v>0</v>
      </c>
      <c r="EW99" s="833"/>
      <c r="EX99" s="834">
        <f t="shared" ca="1" si="246"/>
        <v>0</v>
      </c>
      <c r="EY99" s="835">
        <f t="shared" ca="1" si="246"/>
        <v>0</v>
      </c>
      <c r="EZ99" s="836">
        <f t="shared" ca="1" si="246"/>
        <v>0</v>
      </c>
      <c r="FA99" s="834">
        <f t="shared" ca="1" si="246"/>
        <v>0</v>
      </c>
      <c r="FB99" s="835">
        <f t="shared" ca="1" si="246"/>
        <v>0</v>
      </c>
      <c r="FC99" s="835">
        <f t="shared" ca="1" si="246"/>
        <v>0</v>
      </c>
      <c r="FD99" s="835">
        <f t="shared" ca="1" si="246"/>
        <v>0</v>
      </c>
      <c r="FE99" s="836">
        <f t="shared" ca="1" si="246"/>
        <v>0</v>
      </c>
      <c r="FG99" s="386">
        <f t="shared" ca="1" si="237"/>
        <v>0</v>
      </c>
      <c r="FH99" s="387">
        <f t="shared" ca="1" si="238"/>
        <v>0</v>
      </c>
      <c r="FI99" s="388">
        <f t="shared" ca="1" si="239"/>
        <v>0</v>
      </c>
      <c r="FJ99" s="386">
        <f t="shared" ca="1" si="240"/>
        <v>0</v>
      </c>
      <c r="FK99" s="387">
        <f t="shared" ca="1" si="241"/>
        <v>0</v>
      </c>
      <c r="FL99" s="387">
        <f t="shared" ca="1" si="242"/>
        <v>0</v>
      </c>
      <c r="FM99" s="387">
        <f t="shared" ca="1" si="243"/>
        <v>0</v>
      </c>
      <c r="FN99" s="388">
        <f t="shared" ca="1" si="244"/>
        <v>0</v>
      </c>
      <c r="FR99" s="116"/>
    </row>
    <row r="100" spans="2:174">
      <c r="B100" s="1410">
        <f t="shared" si="135"/>
        <v>54</v>
      </c>
      <c r="C100" s="400" t="s">
        <v>587</v>
      </c>
      <c r="D100" s="410"/>
      <c r="E100" s="402" t="s">
        <v>401</v>
      </c>
      <c r="F100" s="402" t="s">
        <v>514</v>
      </c>
      <c r="G100" s="400" t="s">
        <v>522</v>
      </c>
      <c r="H100" s="2088" t="s">
        <v>483</v>
      </c>
      <c r="I100" s="2089"/>
      <c r="J100" s="411" t="s">
        <v>516</v>
      </c>
      <c r="K100" s="403" t="s">
        <v>544</v>
      </c>
      <c r="L100" s="403">
        <v>25</v>
      </c>
      <c r="M100" s="403" t="s">
        <v>142</v>
      </c>
      <c r="N100" s="403"/>
      <c r="O100" s="347"/>
      <c r="P100" s="347"/>
      <c r="Q100" s="1021">
        <v>18.671115121951221</v>
      </c>
      <c r="R100" s="1022">
        <v>41.784462343842954</v>
      </c>
      <c r="S100" s="1022">
        <v>49.839209994051174</v>
      </c>
      <c r="T100" s="1022">
        <v>23.300486176997989</v>
      </c>
      <c r="U100" s="1023">
        <v>13.21598237456449</v>
      </c>
      <c r="V100" s="1021">
        <v>27.063618286603425</v>
      </c>
      <c r="W100" s="1022">
        <v>27.063618707236042</v>
      </c>
      <c r="X100" s="1022">
        <v>27.063618337900092</v>
      </c>
      <c r="Y100" s="1022">
        <v>27.063618518063972</v>
      </c>
      <c r="Z100" s="1023">
        <v>27.063617912635213</v>
      </c>
      <c r="AA100" s="1024"/>
      <c r="AB100" s="1021">
        <v>0</v>
      </c>
      <c r="AC100" s="1022">
        <v>0</v>
      </c>
      <c r="AD100" s="1022">
        <v>0</v>
      </c>
      <c r="AE100" s="1022">
        <v>0</v>
      </c>
      <c r="AF100" s="1023">
        <v>0</v>
      </c>
      <c r="AG100" s="1021">
        <v>0</v>
      </c>
      <c r="AH100" s="1022">
        <v>0</v>
      </c>
      <c r="AI100" s="1022">
        <v>0</v>
      </c>
      <c r="AJ100" s="1022">
        <v>0</v>
      </c>
      <c r="AK100" s="1023">
        <v>0</v>
      </c>
      <c r="AL100" s="1024"/>
      <c r="AM100" s="1021">
        <v>0</v>
      </c>
      <c r="AN100" s="1022">
        <v>0</v>
      </c>
      <c r="AO100" s="1022">
        <v>0</v>
      </c>
      <c r="AP100" s="1022">
        <v>0</v>
      </c>
      <c r="AQ100" s="1023">
        <v>0</v>
      </c>
      <c r="AR100" s="1021">
        <v>0</v>
      </c>
      <c r="AS100" s="1022">
        <v>0</v>
      </c>
      <c r="AT100" s="1022">
        <v>0</v>
      </c>
      <c r="AU100" s="1022">
        <v>0</v>
      </c>
      <c r="AV100" s="1023">
        <v>0</v>
      </c>
      <c r="AW100" s="1025"/>
      <c r="AX100" s="1282">
        <f t="shared" ref="AX100:AX163" si="247">+Q100-AB100-AM100</f>
        <v>18.671115121951221</v>
      </c>
      <c r="AY100" s="387">
        <f t="shared" ref="AY100:AY163" si="248">+R100-AC100-AN100</f>
        <v>41.784462343842954</v>
      </c>
      <c r="AZ100" s="387">
        <f t="shared" ref="AZ100:AZ163" si="249">+S100-AD100-AO100</f>
        <v>49.839209994051174</v>
      </c>
      <c r="BA100" s="387">
        <f t="shared" ref="BA100:BA163" si="250">+T100-AE100-AP100</f>
        <v>23.300486176997989</v>
      </c>
      <c r="BB100" s="1283">
        <f t="shared" ref="BB100:BB163" si="251">+U100-AF100-AQ100</f>
        <v>13.21598237456449</v>
      </c>
      <c r="BC100" s="386">
        <f t="shared" ref="BC100:BC163" si="252">+V100-AG100-AR100</f>
        <v>27.063618286603425</v>
      </c>
      <c r="BD100" s="387">
        <f t="shared" ref="BD100:BD163" si="253">+W100-AH100-AS100</f>
        <v>27.063618707236042</v>
      </c>
      <c r="BE100" s="1277">
        <f t="shared" ref="BE100:BE163" si="254">+X100-AI100-AT100</f>
        <v>27.063618337900092</v>
      </c>
      <c r="BF100" s="1277">
        <f t="shared" ref="BF100:BF163" si="255">+Y100-AJ100-AU100</f>
        <v>27.063618518063972</v>
      </c>
      <c r="BG100" s="388">
        <f t="shared" ref="BG100:BG163" si="256">+Z100-AK100-AV100</f>
        <v>27.063617912635213</v>
      </c>
      <c r="BH100" s="1025"/>
      <c r="BI100" s="1282">
        <f t="shared" ref="BI100:BI163" ca="1" si="257">IF($L100=0,0,
IF($L100&lt;=0.5,BT100,
IF($J100="straight line",
IF((LEFT(BI$43,4)*1)-INT($L100)&lt;LEFT($BI$43,4)*1,0,((OFFSET(BT100,0,-INT($L100+0.5),1,1))/$L100)*(IF($L100-INT($L100)&gt;0.5,$L100-0.5-INT($L100),IF($L100-INT($L100)&lt;=0.5,$L100-0.5-INT($L100)+1,0))))
+BT100/$L100*0.5,
IF($J100="Declining Balance",-$BI$42,0))))</f>
        <v>0.37342230243902441</v>
      </c>
      <c r="BJ100" s="387">
        <f t="shared" ref="BJ100:BJ163" ca="1" si="258">IF($L100=0,0,
IF($L100&lt;=0.5,BU100,
IF(AND($J100="straight line",$L100&lt;1.51),(BT100-((BT100/$L100)*0.5))+BU100/$L100*0.5,
IF($J100="straight line",
IF((LEFT(BJ$43,4)*1)-INT($L100)&lt;LEFT($BI$43,4)*1,0,((OFFSET(BU100,0,-INT($L100+0.5),1,1))/$L100)*(IF($L100-INT($L100)&gt;0.5,$L100-0.5-INT($L100),IF($L100-INT($L100)&lt;=0.5,$L100-0.5-INT($L100)+1,0))))
+BU100/$L100*0.5
+SUM(OFFSET(BU100,0,MAX(-INT($L100+(0.5-(10^-12))),-BJ$44)+1,1,MIN(INT($L100+(0.5-(10^-12))),BJ$44)-1))*1/$L100,
IF($J100="Declining Balance",-$BI$42,0)))))</f>
        <v>1.5825338517549079</v>
      </c>
      <c r="BK100" s="387">
        <f t="shared" ref="BK100:BK163" ca="1" si="259">IF($L100=0,0,
IF($L100&lt;=0.5,BV100,
IF(AND($J100="straight line",$L100&lt;1.51),(BU100-((BU100/$L100)*0.5))+BV100/$L100*0.5,
IF($J100="straight line",
IF((LEFT(BK$43,4)*1)-INT($L100)&lt;LEFT($BI$43,4)*1,0,((OFFSET(BV100,0,-INT($L100+0.5),1,1))/$L100)*(IF($L100-INT($L100)&gt;0.5,$L100-0.5-INT($L100),IF($L100-INT($L100)&lt;=0.5,$L100-0.5-INT($L100)+1,0))))
+BV100/$L100*0.5
+SUM(OFFSET(BV100,0,MAX(-INT($L100+(0.5-(10^-12))),-BK$44)+1,1,MIN(INT($L100+(0.5-(10^-12))),BK$44)-1))*1/$L100,
IF($J100="Declining Balance",-$BI$42,0)))))</f>
        <v>3.4150072985127906</v>
      </c>
      <c r="BL100" s="387">
        <f t="shared" ref="BL100:BL163" ca="1" si="260">IF($L100=0,0,
IF($L100&lt;=0.5,BW100,
IF(AND($J100="straight line",$L100&lt;1.51),(BV100-((BV100/$L100)*0.5))+BW100/$L100*0.5,
IF($J100="straight line",
IF((LEFT(BL$43,4)*1)-INT($L100)&lt;LEFT($BI$43,4)*1,0,((OFFSET(BW100,0,-INT($L100+0.5),1,1))/$L100)*(IF($L100-INT($L100)&gt;0.5,$L100-0.5-INT($L100),IF($L100-INT($L100)&lt;=0.5,$L100-0.5-INT($L100)+1,0))))
+BW100/$L100*0.5
+SUM(OFFSET(BW100,0,MAX(-INT($L100+(0.5-(10^-12))),-BL$44)+1,1,MIN(INT($L100+(0.5-(10^-12))),BL$44)-1))*1/$L100,
IF($J100="Declining Balance",-$BI$42,0)))))</f>
        <v>4.8778012219337743</v>
      </c>
      <c r="BM100" s="1283">
        <f t="shared" ref="BM100:BM163" ca="1" si="261">IF($L100=0,0,
IF($L100&lt;=0.5,BX100,
IF(AND($J100="straight line",$L100&lt;1.51),(BW100-((BW100/$L100)*0.5))+BX100/$L100*0.5,
IF($J100="straight line",
IF((LEFT(BM$43,4)*1)-INT($L100)&lt;LEFT($BI$43,4)*1,0,((OFFSET(BX100,0,-INT($L100+0.5),1,1))/$L100)*(IF($L100-INT($L100)&gt;0.5,$L100-0.5-INT($L100),IF($L100-INT($L100)&lt;=0.5,$L100-0.5-INT($L100)+1,0))))
+BX100/$L100*0.5
+SUM(OFFSET(BX100,0,MAX(-INT($L100+(0.5-(10^-12))),-BM$44)+1,1,MIN(INT($L100+(0.5-(10^-12))),BM$44)-1))*1/$L100,
IF($J100="Declining Balance",-$BI$42,0)))))</f>
        <v>5.6081305929650229</v>
      </c>
      <c r="BN100" s="386">
        <f t="shared" ref="BN100:BN163" ca="1" si="262">IF($L100=0,0,
IF($L100&lt;=0.5,BY100,
IF(AND($J100="straight line",$L100&lt;1.51),(BX100-((BX100/$L100)*0.5))+BY100/$L100*0.5,
IF($J100="straight line",
IF((LEFT(BN$43,4)*1)-INT($L100)&lt;LEFT($BI$43,4)*1,0,((OFFSET(BY100,0,-INT($L100+0.5),1,1))/$L100)*(IF($L100-INT($L100)&gt;0.5,$L100-0.5-INT($L100),IF($L100-INT($L100)&lt;=0.5,$L100-0.5-INT($L100)+1,0))))
+BY100/$L100*0.5
+SUM(OFFSET(BY100,0,MAX(-INT($L100+(0.5-(10^-12))),-BN$44)+1,1,MIN(INT($L100+(0.5-(10^-12))),BN$44)-1))*1/$L100,
IF($J100="Declining Balance",-$BI$42,0)))))</f>
        <v>6.4137226061883812</v>
      </c>
      <c r="BO100" s="387">
        <f t="shared" ref="BO100:BO163" ca="1" si="263">IF($L100=0,0,
IF($L100&lt;=0.5,BZ100,
IF(AND($J100="straight line",$L100&lt;1.51),(BY100-((BY100/$L100)*0.5))+BZ100/$L100*0.5,
IF($J100="straight line",
IF((LEFT(BO$43,4)*1)-INT($L100)&lt;LEFT($BI$43,4)*1,0,((OFFSET(BZ100,0,-INT($L100+0.5),1,1))/$L100)*(IF($L100-INT($L100)&gt;0.5,$L100-0.5-INT($L100),IF($L100-INT($L100)&lt;=0.5,$L100-0.5-INT($L100)+1,0))))
+BZ100/$L100*0.5
+SUM(OFFSET(BZ100,0,MAX(-INT($L100+(0.5-(10^-12))),-BO$44)+1,1,MIN(INT($L100+(0.5-(10^-12))),BO$44)-1))*1/$L100,
IF($J100="Declining Balance",-$BI$42,0)))))</f>
        <v>7.4962673460651699</v>
      </c>
      <c r="BP100" s="1277">
        <f t="shared" ref="BP100:BP163" ca="1" si="264">IF($L100=0,0,
IF($L100&lt;=0.5,CA100,
IF(AND($J100="straight line",$L100&lt;1.51),(BZ100-((BZ100/$L100)*0.5))+CA100/$L100*0.5,
IF($J100="straight line",
IF((LEFT(BP$43,4)*1)-INT($L100)&lt;LEFT($BI$43,4)*1,0,((OFFSET(CA100,0,-INT($L100+0.5),1,1))/$L100)*(IF($L100-INT($L100)&gt;0.5,$L100-0.5-INT($L100),IF($L100-INT($L100)&lt;=0.5,$L100-0.5-INT($L100)+1,0))))
+CA100/$L100*0.5
+SUM(OFFSET(CA100,0,MAX(-INT($L100+(0.5-(10^-12))),-BP$44)+1,1,MIN(INT($L100+(0.5-(10^-12))),BP$44)-1))*1/$L100,
IF($J100="Declining Balance",-$BI$42,0)))))</f>
        <v>8.5788120869678917</v>
      </c>
      <c r="BQ100" s="1277">
        <f t="shared" ref="BQ100:BQ163" ca="1" si="265">IF($L100=0,0,
IF($L100&lt;=0.5,CB100,
IF(AND($J100="straight line",$L100&lt;1.51),(CA100-((CA100/$L100)*0.5))+CB100/$L100*0.5,
IF($J100="straight line",
IF((LEFT(BQ$43,4)*1)-INT($L100)&lt;LEFT($BI$43,4)*1,0,((OFFSET(CB100,0,-INT($L100+0.5),1,1))/$L100)*(IF($L100-INT($L100)&gt;0.5,$L100-0.5-INT($L100),IF($L100-INT($L100)&lt;=0.5,$L100-0.5-INT($L100)+1,0))))
+CB100/$L100*0.5
+SUM(OFFSET(CB100,0,MAX(-INT($L100+(0.5-(10^-12))),-BQ$44)+1,1,MIN(INT($L100+(0.5-(10^-12))),BQ$44)-1))*1/$L100,
IF($J100="Declining Balance",-$BI$42,0)))))</f>
        <v>9.6613568240871732</v>
      </c>
      <c r="BR100" s="388">
        <f t="shared" ref="BR100:BR163" ca="1" si="266">IF($L100=0,0,
IF($L100&lt;=0.5,CC100,
IF(AND($J100="straight line",$L100&lt;1.51),(CB100-((CB100/$L100)*0.5))+CC100/$L100*0.5,
IF($J100="straight line",
IF((LEFT(BR$43,4)*1)-INT($L100)&lt;LEFT($BI$43,4)*1,0,((OFFSET(CC100,0,-INT($L100+0.5),1,1))/$L100)*(IF($L100-INT($L100)&gt;0.5,$L100-0.5-INT($L100),IF($L100-INT($L100)&lt;=0.5,$L100-0.5-INT($L100)+1,0))))
+CC100/$L100*0.5
+SUM(OFFSET(CC100,0,MAX(-INT($L100+(0.5-(10^-12))),-BR$44)+1,1,MIN(INT($L100+(0.5-(10^-12))),BR$44)-1))*1/$L100,
IF($J100="Declining Balance",-$BI$42,0)))))</f>
        <v>10.743901552701159</v>
      </c>
      <c r="BS100" s="1025"/>
      <c r="BT100" s="1282">
        <f>+IF($K100="Ongoing",AX100,IF(RIGHT($K100,2)=RIGHT(BT$43,2),SUM($AX100:AX100),0)+IF(RIGHT(BT$43,2)&gt;RIGHT($K100,2),AX100,0))</f>
        <v>18.671115121951221</v>
      </c>
      <c r="BU100" s="387">
        <f>+IF($K100="Ongoing",AY100,IF(RIGHT($K100,2)=RIGHT(BU$43,2),SUM($AX100:AY100),0)+IF(RIGHT(BU$43,2)&gt;RIGHT($K100,2),AY100,0))</f>
        <v>41.784462343842954</v>
      </c>
      <c r="BV100" s="387">
        <f>+IF($K100="Ongoing",AZ100,IF(RIGHT($K100,2)=RIGHT(BV$43,2),SUM($AX100:AZ100),0)+IF(RIGHT(BV$43,2)&gt;RIGHT($K100,2),AZ100,0))</f>
        <v>49.839209994051174</v>
      </c>
      <c r="BW100" s="387">
        <f>+IF($K100="Ongoing",BA100,IF(RIGHT($K100,2)=RIGHT(BW$43,2),SUM($AX100:BA100),0)+IF(RIGHT(BW$43,2)&gt;RIGHT($K100,2),BA100,0))</f>
        <v>23.300486176997989</v>
      </c>
      <c r="BX100" s="1283">
        <f>+IF($K100="Ongoing",BB100,IF(RIGHT($K100,2)=RIGHT(BX$43,2),SUM($AX100:BB100),0)+IF(RIGHT(BX$43,2)&gt;RIGHT($K100,2),BB100,0))</f>
        <v>13.21598237456449</v>
      </c>
      <c r="BY100" s="386">
        <f>+IF($K100="Ongoing",BC100,IF(RIGHT($K100,2)=RIGHT(BY$43,2),SUM($AX100:BC100),0)+IF(RIGHT(BY$43,2)&gt;RIGHT($K100,2),BC100,0))</f>
        <v>27.063618286603425</v>
      </c>
      <c r="BZ100" s="387">
        <f>+IF($K100="Ongoing",BD100,IF(RIGHT($K100,2)=RIGHT(BZ$43,2),SUM($AX100:BD100),0)+IF(RIGHT(BZ$43,2)&gt;RIGHT($K100,2),BD100,0))</f>
        <v>27.063618707236042</v>
      </c>
      <c r="CA100" s="1277">
        <f>+IF($K100="Ongoing",BE100,IF(RIGHT($K100,2)=RIGHT(CA$43,2),SUM($AX100:BE100),0)+IF(RIGHT(CA$43,2)&gt;RIGHT($K100,2),BE100,0))</f>
        <v>27.063618337900092</v>
      </c>
      <c r="CB100" s="1277">
        <f>+IF($K100="Ongoing",BF100,IF(RIGHT($K100,2)=RIGHT(CB$43,2),SUM($AX100:BF100),0)+IF(RIGHT(CB$43,2)&gt;RIGHT($K100,2),BF100,0))</f>
        <v>27.063618518063972</v>
      </c>
      <c r="CC100" s="388">
        <f>+IF($K100="Ongoing",BG100,IF(RIGHT($K100,2)=RIGHT(CC$43,2),SUM($AX100:BG100),0)+IF(RIGHT(CC$43,2)&gt;RIGHT($K100,2),BG100,0))</f>
        <v>27.063617912635213</v>
      </c>
      <c r="CD100" s="1025"/>
      <c r="CE100" s="1282">
        <f>+Q100*KeyAssumptionsPriceControl_FO!AF$15</f>
        <v>19.212577460487804</v>
      </c>
      <c r="CF100" s="387">
        <f>+R100*KeyAssumptionsPriceControl_FO!AG$15</f>
        <v>44.243101892617013</v>
      </c>
      <c r="CG100" s="387">
        <f>+S100*KeyAssumptionsPriceControl_FO!AH$15</f>
        <v>54.302181118841155</v>
      </c>
      <c r="CH100" s="387">
        <f>+T100*KeyAssumptionsPriceControl_FO!AI$15</f>
        <v>26.123206408999529</v>
      </c>
      <c r="CI100" s="1283">
        <f>+U100*KeyAssumptionsPriceControl_FO!AJ$15</f>
        <v>15.246716484728889</v>
      </c>
      <c r="CJ100" s="386">
        <f>+V100*KeyAssumptionsPriceControl_FO!AK$15</f>
        <v>32.127586975364345</v>
      </c>
      <c r="CK100" s="387">
        <f>+W100*KeyAssumptionsPriceControl_FO!AL$15</f>
        <v>33.059287511469392</v>
      </c>
      <c r="CL100" s="1277">
        <f>+X100*KeyAssumptionsPriceControl_FO!AM$15</f>
        <v>34.018006385059842</v>
      </c>
      <c r="CM100" s="1277">
        <f>+Y100*KeyAssumptionsPriceControl_FO!AN$15</f>
        <v>35.004528803253493</v>
      </c>
      <c r="CN100" s="388">
        <f>+Z100*KeyAssumptionsPriceControl_FO!AO$15</f>
        <v>36.019659332767269</v>
      </c>
      <c r="CO100" s="1025"/>
      <c r="CP100" s="1282">
        <f t="shared" ref="CP100:CP163" ca="1" si="267">IF($M100="straight line",IF($N100=0,0,
IF($N100&lt;=0.5,CE100,
IF($J100="straight line",
IF((LEFT(CP$43,4)*1)-INT($N100)&lt;LEFT($CP$43,4)*1,0,((OFFSET(CE100,0,-INT($N100+0.5),1,1))/$N100)*(IF($N100-INT($N100)&gt;0.5,$N100-0.5-INT($N100),IF($N100-INT($N100)&lt;=0.5,$N100-0.5-INT($N100)+1,0))))
+CE100/$N100*0.5,
IF($J100="Declining Balance",-$CP$42,0)))),IFERROR(FG100,0))</f>
        <v>0</v>
      </c>
      <c r="CQ100" s="387">
        <f t="shared" ref="CQ100:CQ163" ca="1" si="268">IF($M100="straight line",IF($N100=0,0,
IF($N100&lt;=0.5,CF100,
IF($J100="straight line",
IF((LEFT(CQ$43,4)*1)-INT($N100)&lt;LEFT($CP$43,4)*1,0,((OFFSET(CF100,0,-INT($N100+0.5),1,1))/$N100)*(IF($N100-INT($N100)&gt;0.5,$N100-0.5-INT($N100),IF($N100-INT($N100)&lt;=0.5,$N100-0.5-INT($N100)+1,0))))
+CF100/$N100*0.5,
IF($J100="Declining Balance",-$CP$42,0)))),IFERROR(FH100,0))</f>
        <v>0</v>
      </c>
      <c r="CR100" s="387">
        <f t="shared" ref="CR100:CR163" ca="1" si="269">IF($M100="straight line",IF($N100=0,0,
IF($N100&lt;=0.5,CG100,
IF($J100="straight line",
IF((LEFT(CR$43,4)*1)-INT($N100)&lt;LEFT($CP$43,4)*1,0,((OFFSET(CG100,0,-INT($N100+0.5),1,1))/$N100)*(IF($N100-INT($N100)&gt;0.5,$N100-0.5-INT($N100),IF($N100-INT($N100)&lt;=0.5,$N100-0.5-INT($N100)+1,0))))
+CG100/$N100*0.5,
IF($J100="Declining Balance",-$CP$42,0)))),IFERROR(FI100,0))</f>
        <v>0</v>
      </c>
      <c r="CS100" s="387">
        <f t="shared" ref="CS100:CS163" ca="1" si="270">IF($M100="straight line",IF($N100=0,0,
IF($N100&lt;=0.5,CH100,
IF($J100="straight line",
IF((LEFT(CS$43,4)*1)-INT($N100)&lt;LEFT($CP$43,4)*1,0,((OFFSET(CH100,0,-INT($N100+0.5),1,1))/$N100)*(IF($N100-INT($N100)&gt;0.5,$N100-0.5-INT($N100),IF($N100-INT($N100)&lt;=0.5,$N100-0.5-INT($N100)+1,0))))
+CH100/$N100*0.5,
IF($J100="Declining Balance",-$CP$42,0)))),IFERROR(FJ100,0))</f>
        <v>0</v>
      </c>
      <c r="CT100" s="1283">
        <f t="shared" ref="CT100:CT163" ca="1" si="271">IF($M100="straight line",IF($N100=0,0,
IF($N100&lt;=0.5,CI100,
IF($J100="straight line",
IF((LEFT(CT$43,4)*1)-INT($N100)&lt;LEFT($CP$43,4)*1,0,((OFFSET(CI100,0,-INT($N100+0.5),1,1))/$N100)*(IF($N100-INT($N100)&gt;0.5,$N100-0.5-INT($N100),IF($N100-INT($N100)&lt;=0.5,$N100-0.5-INT($N100)+1,0))))
+CI100/$N100*0.5,
IF($J100="Declining Balance",-$CP$42,0)))),IFERROR(FK100,0))</f>
        <v>0</v>
      </c>
      <c r="CU100" s="386">
        <f t="shared" ref="CU100:CU163" ca="1" si="272">IF($M100="straight line",IF($N100=0,0,
IF($N100&lt;=0.5,CJ100,
IF($J100="straight line",
IF((LEFT(CU$43,4)*1)-INT($N100)&lt;LEFT($CP$43,4)*1,0,((OFFSET(CJ100,0,-INT($N100+0.5),1,1))/$N100)*(IF($N100-INT($N100)&gt;0.5,$N100-0.5-INT($N100),IF($N100-INT($N100)&lt;=0.5,$N100-0.5-INT($N100)+1,0))))
+CJ100/$N100*0.5,
IF($J100="Declining Balance",-$CP$42,0)))),IFERROR(FL100,0))</f>
        <v>0</v>
      </c>
      <c r="CV100" s="387">
        <f t="shared" ref="CV100:CV163" ca="1" si="273">IF($M100="straight line",IF($N100=0,0,
IF($N100&lt;=0.5,CK100,
IF($J100="straight line",
IF((LEFT(CV$43,4)*1)-INT($N100)&lt;LEFT($CP$43,4)*1,0,((OFFSET(CK100,0,-INT($N100+0.5),1,1))/$N100)*(IF($N100-INT($N100)&gt;0.5,$N100-0.5-INT($N100),IF($N100-INT($N100)&lt;=0.5,$N100-0.5-INT($N100)+1,0))))
+CK100/$N100*0.5,
IF($J100="Declining Balance",-$CP$42,0)))),IFERROR(FM100,0))</f>
        <v>0</v>
      </c>
      <c r="CW100" s="1277">
        <f t="shared" ref="CW100:CW163" ca="1" si="274">IF($M100="straight line",IF($N100=0,0,
IF($N100&lt;=0.5,CL100,
IF($J100="straight line",
IF((LEFT(CW$43,4)*1)-INT($N100)&lt;LEFT($CP$43,4)*1,0,((OFFSET(CL100,0,-INT($N100+0.5),1,1))/$N100)*(IF($N100-INT($N100)&gt;0.5,$N100-0.5-INT($N100),IF($N100-INT($N100)&lt;=0.5,$N100-0.5-INT($N100)+1,0))))
+CL100/$N100*0.5,
IF($J100="Declining Balance",-$CP$42,0)))),IFERROR(FN100,0))</f>
        <v>0</v>
      </c>
      <c r="CX100" s="1277">
        <f t="shared" ref="CX100:CX163" ca="1" si="275">IF($M100="straight line",IF($N100=0,0,
IF($N100&lt;=0.5,CM100,
IF($J100="straight line",
IF((LEFT(CX$43,4)*1)-INT($N100)&lt;LEFT($CP$43,4)*1,0,((OFFSET(CM100,0,-INT($N100+0.5),1,1))/$N100)*(IF($N100-INT($N100)&gt;0.5,$N100-0.5-INT($N100),IF($N100-INT($N100)&lt;=0.5,$N100-0.5-INT($N100)+1,0))))
+CM100/$N100*0.5,
IF($J100="Declining Balance",-$CP$42,0)))),IFERROR(FO100,0))</f>
        <v>0</v>
      </c>
      <c r="CY100" s="388">
        <f t="shared" ref="CY100:CY163" ca="1" si="276">IF($M100="straight line",IF($N100=0,0,
IF($N100&lt;=0.5,CN100,
IF($J100="straight line",
IF((LEFT(CY$43,4)*1)-INT($N100)&lt;LEFT($CP$43,4)*1,0,((OFFSET(CN100,0,-INT($N100+0.5),1,1))/$N100)*(IF($N100-INT($N100)&gt;0.5,$N100-0.5-INT($N100),IF($N100-INT($N100)&lt;=0.5,$N100-0.5-INT($N100)+1,0))))
+CN100/$N100*0.5,
IF($J100="Declining Balance",-$CP$42,0)))),IFERROR(FP100,0))</f>
        <v>0</v>
      </c>
      <c r="CZ100" s="347"/>
      <c r="DA100" s="852"/>
      <c r="DB100" s="347"/>
      <c r="DC100" s="1012" t="s">
        <v>588</v>
      </c>
      <c r="DD100" s="841" t="s">
        <v>518</v>
      </c>
      <c r="DE100" s="386">
        <f>+IF($K100="ongoing",CE100,IF(RIGHT($K100,2)=RIGHT(DE$43,2),SUM($CD100:CE100),0)+IF(RIGHT(DE$43,2)&gt;RIGHT($K100,2),CE100,0))</f>
        <v>19.212577460487804</v>
      </c>
      <c r="DF100" s="387">
        <f>+IF($K100="ongoing",CF100,IF(RIGHT($K100,2)=RIGHT(DF$43,2),SUM($CD100:CF100),0)+IF(RIGHT(DF$43,2)&gt;RIGHT($K100,2),CF100,0))</f>
        <v>44.243101892617013</v>
      </c>
      <c r="DG100" s="388">
        <f>+IF($K100="ongoing",CG100,IF(RIGHT($K100,2)=RIGHT(DG$43,2),SUM($CD100:CG100),0)+IF(RIGHT(DG$43,2)&gt;RIGHT($K100,2),CG100,0))</f>
        <v>54.302181118841155</v>
      </c>
      <c r="DH100" s="386">
        <f>+IF($K100="ongoing",CH100,IF(RIGHT($K100,2)=RIGHT(DH$43,2),SUM($CD100:CH100),0)+IF(RIGHT(DH$43,2)&gt;RIGHT($K100,2),CH100,0))</f>
        <v>26.123206408999529</v>
      </c>
      <c r="DI100" s="387">
        <f>+IF($K100="ongoing",CI100,IF(RIGHT($K100,2)=RIGHT(DI$43,2),SUM($CD100:CI100),0)+IF(RIGHT(DI$43,2)&gt;RIGHT($K100,2),CI100,0))</f>
        <v>15.246716484728889</v>
      </c>
      <c r="DJ100" s="387">
        <f>+IF($K100="ongoing",CJ100,IF(RIGHT($K100,2)=RIGHT(DJ$43,2),SUM($CD100:CJ100),0)+IF(RIGHT(DJ$43,2)&gt;RIGHT($K100,2),CJ100,0))</f>
        <v>32.127586975364345</v>
      </c>
      <c r="DK100" s="387">
        <f>+IF($K100="ongoing",CK100,IF(RIGHT($K100,2)=RIGHT(DK$43,2),SUM($CD100:CK100),0)+IF(RIGHT(DK$43,2)&gt;RIGHT($K100,2),CK100,0))</f>
        <v>33.059287511469392</v>
      </c>
      <c r="DL100" s="388">
        <f>+IF($K100="ongoing",CN100,IF(RIGHT($K100,2)=RIGHT(DL$43,2),SUM($CD100:CN100),0)+IF(RIGHT(DL$43,2)&gt;RIGHT($K100,2),CN100,0))</f>
        <v>36.019659332767269</v>
      </c>
      <c r="DM100" s="841"/>
      <c r="DN100" s="386">
        <f t="shared" ref="DN100:DN163" si="277">+MIN(IF($N100&lt;=$DC100,MIN($N100,1),$N100),IF(DN$44=1,0.5,DM100+1))</f>
        <v>0.5</v>
      </c>
      <c r="DO100" s="387">
        <f t="shared" ref="DO100:DO163" si="278">+MIN(IF($N100&lt;=$DC100,MIN($N100,1),$N100),IF(DO$44=1,0.5,DN100+1))</f>
        <v>1</v>
      </c>
      <c r="DP100" s="388">
        <f t="shared" ref="DP100:DP163" si="279">+MIN(IF($N100&lt;=$DC100,MIN($N100,1),$N100),IF(DP$44=1,0.5,DO100+1))</f>
        <v>1</v>
      </c>
      <c r="DQ100" s="386">
        <f t="shared" ref="DQ100:DQ163" si="280">+MIN(IF($N100&lt;=$DC100,MIN($N100,1),$N100),IF(DQ$44=1,0.5,DP100+1))</f>
        <v>1</v>
      </c>
      <c r="DR100" s="387">
        <f t="shared" ref="DR100:DR163" si="281">+MIN(IF($N100&lt;=$DC100,MIN($N100,1),$N100),IF(DR$44=1,0.5,DQ100+1))</f>
        <v>1</v>
      </c>
      <c r="DS100" s="387">
        <f t="shared" ref="DS100:DS163" si="282">+MIN(IF($N100&lt;=$DC100,MIN($N100,1),$N100),IF(DS$44=1,0.5,DR100+1))</f>
        <v>1</v>
      </c>
      <c r="DT100" s="387">
        <f t="shared" ref="DT100:DT163" si="283">+MIN(IF($N100&lt;=$DC100,MIN($N100,1),$N100),IF(DT$44=1,0.5,DS100+1))</f>
        <v>1</v>
      </c>
      <c r="DU100" s="388">
        <f t="shared" ref="DU100:DU163" si="284">+MIN(IF($N100&lt;=$DC100,MIN($N100,1),$N100),IF(DU$44=1,0.5,DT100+1))</f>
        <v>1</v>
      </c>
      <c r="DW100" s="386">
        <f t="shared" ref="DW100:DW163" si="285">+IF(DW$44=1,0,MIN(IF($N100&lt;=$DC100,MIN($N100,1),$N100),IF(DW$44=2,0.5,DV100+1)))</f>
        <v>0</v>
      </c>
      <c r="DX100" s="387">
        <f t="shared" ref="DX100:DX163" si="286">+IF(DX$44=1,0,MIN(IF($N100&lt;=$DC100,MIN($N100,1),$N100),IF(DX$44=2,0.5,DW100+1)))</f>
        <v>0.5</v>
      </c>
      <c r="DY100" s="388">
        <f t="shared" ref="DY100:DY163" si="287">+IF(DY$44=1,0,MIN(IF($N100&lt;=$DC100,MIN($N100,1),$N100),IF(DY$44=2,0.5,DX100+1)))</f>
        <v>1</v>
      </c>
      <c r="DZ100" s="386">
        <f t="shared" ref="DZ100:DZ163" si="288">+IF(DZ$44=1,0,MIN(IF($N100&lt;=$DC100,MIN($N100,1),$N100),IF(DZ$44=2,0.5,DY100+1)))</f>
        <v>1</v>
      </c>
      <c r="EA100" s="387">
        <f t="shared" ref="EA100:EA163" si="289">+IF(EA$44=1,0,MIN(IF($N100&lt;=$DC100,MIN($N100,1),$N100),IF(EA$44=2,0.5,DZ100+1)))</f>
        <v>1</v>
      </c>
      <c r="EB100" s="387">
        <f t="shared" ref="EB100:EB163" si="290">+IF(EB$44=1,0,MIN(IF($N100&lt;=$DC100,MIN($N100,1),$N100),IF(EB$44=2,0.5,EA100+1)))</f>
        <v>1</v>
      </c>
      <c r="EC100" s="387">
        <f t="shared" ref="EC100:EC163" si="291">+IF(EC$44=1,0,MIN(IF($N100&lt;=$DC100,MIN($N100,1),$N100),IF(EC$44=2,0.5,EB100+1)))</f>
        <v>1</v>
      </c>
      <c r="ED100" s="388">
        <f t="shared" ref="ED100:ED163" si="292">+IF(ED$44=1,0,MIN(IF($N100&lt;=$DC100,MIN($N100,1),$N100),IF(ED$44=2,0.5,EC100+1)))</f>
        <v>1</v>
      </c>
      <c r="EF100" s="834">
        <f>+IF(DN100=DM100,0,
IF(AND(EF$44&gt;1,DN100=$N100),1-SUM($EE100:EE100),
IF($N100&lt;=1,
IF($N100&gt;0,1/$N100,0),
IF(EF$44=1,0,VDB(1,0,$N100,INT(EF$44-1-1),MIN($N100,INT(EF$44-1-1)+1),$DC100,IF($DD100="No",1,0))/
IF(DM100&gt;=INT($N100),$N100-INT($N100),1)))*
IF(EF$44=1,0,
IF(INT(DN100)=INT(DM100),DN100-DM100,INT(DN100)-DM100))+
IF($N100&lt;=1,
IF($N100&gt;0,1/$N100,0),VDB(1,0,$N100,INT(EF$44-1),MIN($N100,INT(EF$44-1)+1),$DC100,IF($DD100="No",1,0))/
IF(DN100&gt;INT($N100),$N100-INT($N100),1))*
IF(EF$44=1,DN100,
IF(INT(DN100)=INT(DM100),0,DN100-INT(DN100)))))</f>
        <v>0</v>
      </c>
      <c r="EG100" s="835">
        <f>+IF(DO100=DN100,0,
IF(AND(EG$44&gt;1,DO100=$N100),1-SUM($EE100:EF100),
IF($N100&lt;=1,
IF($N100&gt;0,1/$N100,0),
IF(EG$44=1,0,VDB(1,0,$N100,INT(EG$44-1-1),MIN($N100,INT(EG$44-1-1)+1),$DC100,IF($DD100="No",1,0))/
IF(DN100&gt;=INT($N100),$N100-INT($N100),1)))*
IF(EG$44=1,0,
IF(INT(DO100)=INT(DN100),DO100-DN100,INT(DO100)-DN100))+
IF($N100&lt;=1,
IF($N100&gt;0,1/$N100,0),VDB(1,0,$N100,INT(EG$44-1),MIN($N100,INT(EG$44-1)+1),$DC100,IF($DD100="No",1,0))/
IF(DO100&gt;INT($N100),$N100-INT($N100),1))*
IF(EG$44=1,DO100,
IF(INT(DO100)=INT(DN100),0,DO100-INT(DO100)))))</f>
        <v>0</v>
      </c>
      <c r="EH100" s="836">
        <f>+IF(DP100=DO100,0,
IF(AND(EH$44&gt;1,DP100=$N100),1-SUM($EE100:EG100),
IF($N100&lt;=1,
IF($N100&gt;0,1/$N100,0),
IF(EH$44=1,0,VDB(1,0,$N100,INT(EH$44-1-1),MIN($N100,INT(EH$44-1-1)+1),$DC100,IF($DD100="No",1,0))/
IF(DO100&gt;=INT($N100),$N100-INT($N100),1)))*
IF(EH$44=1,0,
IF(INT(DP100)=INT(DO100),DP100-DO100,INT(DP100)-DO100))+
IF($N100&lt;=1,
IF($N100&gt;0,1/$N100,0),VDB(1,0,$N100,INT(EH$44-1),MIN($N100,INT(EH$44-1)+1),$DC100,IF($DD100="No",1,0))/
IF(DP100&gt;INT($N100),$N100-INT($N100),1))*
IF(EH$44=1,DP100,
IF(INT(DP100)=INT(DO100),0,DP100-INT(DP100)))))</f>
        <v>0</v>
      </c>
      <c r="EI100" s="834">
        <f>+IF(DQ100=DP100,0,
IF(AND(EI$44&gt;1,DQ100=$N100),1-SUM($EE100:EH100),
IF($N100&lt;=1,
IF($N100&gt;0,1/$N100,0),
IF(EI$44=1,0,VDB(1,0,$N100,INT(EI$44-1-1),MIN($N100,INT(EI$44-1-1)+1),$DC100,IF($DD100="No",1,0))/
IF(DP100&gt;=INT($N100),$N100-INT($N100),1)))*
IF(EI$44=1,0,
IF(INT(DQ100)=INT(DP100),DQ100-DP100,INT(DQ100)-DP100))+
IF($N100&lt;=1,
IF($N100&gt;0,1/$N100,0),VDB(1,0,$N100,INT(EI$44-1),MIN($N100,INT(EI$44-1)+1),$DC100,IF($DD100="No",1,0))/
IF(DQ100&gt;INT($N100),$N100-INT($N100),1))*
IF(EI$44=1,DQ100,
IF(INT(DQ100)=INT(DP100),0,DQ100-INT(DQ100)))))</f>
        <v>0</v>
      </c>
      <c r="EJ100" s="835">
        <f>+IF(DR100=DQ100,0,
IF(AND(EJ$44&gt;1,DR100=$N100),1-SUM($EE100:EI100),
IF($N100&lt;=1,
IF($N100&gt;0,1/$N100,0),
IF(EJ$44=1,0,VDB(1,0,$N100,INT(EJ$44-1-1),MIN($N100,INT(EJ$44-1-1)+1),$DC100,IF($DD100="No",1,0))/
IF(DQ100&gt;=INT($N100),$N100-INT($N100),1)))*
IF(EJ$44=1,0,
IF(INT(DR100)=INT(DQ100),DR100-DQ100,INT(DR100)-DQ100))+
IF($N100&lt;=1,
IF($N100&gt;0,1/$N100,0),VDB(1,0,$N100,INT(EJ$44-1),MIN($N100,INT(EJ$44-1)+1),$DC100,IF($DD100="No",1,0))/
IF(DR100&gt;INT($N100),$N100-INT($N100),1))*
IF(EJ$44=1,DR100,
IF(INT(DR100)=INT(DQ100),0,DR100-INT(DR100)))))</f>
        <v>0</v>
      </c>
      <c r="EK100" s="835">
        <f>+IF(DS100=DR100,0,
IF(AND(EK$44&gt;1,DS100=$N100),1-SUM($EE100:EJ100),
IF($N100&lt;=1,
IF($N100&gt;0,1/$N100,0),
IF(EK$44=1,0,VDB(1,0,$N100,INT(EK$44-1-1),MIN($N100,INT(EK$44-1-1)+1),$DC100,IF($DD100="No",1,0))/
IF(DR100&gt;=INT($N100),$N100-INT($N100),1)))*
IF(EK$44=1,0,
IF(INT(DS100)=INT(DR100),DS100-DR100,INT(DS100)-DR100))+
IF($N100&lt;=1,
IF($N100&gt;0,1/$N100,0),VDB(1,0,$N100,INT(EK$44-1),MIN($N100,INT(EK$44-1)+1),$DC100,IF($DD100="No",1,0))/
IF(DS100&gt;INT($N100),$N100-INT($N100),1))*
IF(EK$44=1,DS100,
IF(INT(DS100)=INT(DR100),0,DS100-INT(DS100)))))</f>
        <v>0</v>
      </c>
      <c r="EL100" s="835">
        <f>+IF(DT100=DS100,0,
IF(AND(EL$44&gt;1,DT100=$N100),1-SUM($EE100:EK100),
IF($N100&lt;=1,
IF($N100&gt;0,1/$N100,0),
IF(EL$44=1,0,VDB(1,0,$N100,INT(EL$44-1-1),MIN($N100,INT(EL$44-1-1)+1),$DC100,IF($DD100="No",1,0))/
IF(DS100&gt;=INT($N100),$N100-INT($N100),1)))*
IF(EL$44=1,0,
IF(INT(DT100)=INT(DS100),DT100-DS100,INT(DT100)-DS100))+
IF($N100&lt;=1,
IF($N100&gt;0,1/$N100,0),VDB(1,0,$N100,INT(EL$44-1),MIN($N100,INT(EL$44-1)+1),$DC100,IF($DD100="No",1,0))/
IF(DT100&gt;INT($N100),$N100-INT($N100),1))*
IF(EL$44=1,DT100,
IF(INT(DT100)=INT(DS100),0,DT100-INT(DT100)))))</f>
        <v>0</v>
      </c>
      <c r="EM100" s="836">
        <f>+IF(DU100=DT100,0,
IF(AND(EM$44&gt;1,DU100=$N100),1-SUM($EE100:EL100),
IF($N100&lt;=1,
IF($N100&gt;0,1/$N100,0),
IF(EM$44=1,0,VDB(1,0,$N100,INT(EM$44-1-1),MIN($N100,INT(EM$44-1-1)+1),$DC100,IF($DD100="No",1,0))/
IF(DT100&gt;=INT($N100),$N100-INT($N100),1)))*
IF(EM$44=1,0,
IF(INT(DU100)=INT(DT100),DU100-DT100,INT(DU100)-DT100))+
IF($N100&lt;=1,
IF($N100&gt;0,1/$N100,0),VDB(1,0,$N100,INT(EM$44-1),MIN($N100,INT(EM$44-1)+1),$DC100,IF($DD100="No",1,0))/
IF(DU100&gt;INT($N100),$N100-INT($N100),1))*
IF(EM$44=1,DU100,
IF(INT(DU100)=INT(DT100),0,DU100-INT(DU100)))))</f>
        <v>0</v>
      </c>
      <c r="EN100" s="833"/>
      <c r="EO100" s="834">
        <f>+IF(OR(DW100=DV100,EO$44=1),0,
IF(AND(EO$44&gt;1,DW100=$N100),1-SUM($EN100:EN100),
IF($N100&lt;=1,
IF($N100&gt;0,1/$N100,0),
IF(EO$44=2,0,VDB(1,0,$N100,INT(EO$44-2-1),MIN($N100,INT(EO$44-2-1)+1),$DC100,IF($DD100="No",1,0))/
IF(DV100&gt;=INT($N100),$N100-INT($N100),1)))*
IF(EO$44=2,0,
IF(INT(DW100)=INT(DV100),DW100-DV100,INT(DW100)-DV100))+
IF($N100&lt;=1,
IF($N100&gt;0,1/$N100,0),VDB(1,0,$N100,INT(EO$44-2),MIN($N100,INT(EO$44-2)+1),$DC100,IF($DD100="No",1,0))/
IF(DW100&gt;INT($N100),$N100-INT($N100),1))*
IF(EO$44=2,DW100,
IF(INT(DW100)=INT(DV100),0,DW100-INT(DW100)))))</f>
        <v>0</v>
      </c>
      <c r="EP100" s="835">
        <f>+IF(OR(DX100=DW100,EP$44=1),0,
IF(AND(EP$44&gt;1,DX100=$N100),1-SUM($EN100:EO100),
IF($N100&lt;=1,
IF($N100&gt;0,1/$N100,0),
IF(EP$44=2,0,VDB(1,0,$N100,INT(EP$44-2-1),MIN($N100,INT(EP$44-2-1)+1),$DC100,IF($DD100="No",1,0))/
IF(DW100&gt;=INT($N100),$N100-INT($N100),1)))*
IF(EP$44=2,0,
IF(INT(DX100)=INT(DW100),DX100-DW100,INT(DX100)-DW100))+
IF($N100&lt;=1,
IF($N100&gt;0,1/$N100,0),VDB(1,0,$N100,INT(EP$44-2),MIN($N100,INT(EP$44-2)+1),$DC100,IF($DD100="No",1,0))/
IF(DX100&gt;INT($N100),$N100-INT($N100),1))*
IF(EP$44=2,DX100,
IF(INT(DX100)=INT(DW100),0,DX100-INT(DX100)))))</f>
        <v>0</v>
      </c>
      <c r="EQ100" s="836">
        <f>+IF(OR(DY100=DX100,EQ$44=1),0,
IF(AND(EQ$44&gt;1,DY100=$N100),1-SUM($EN100:EP100),
IF($N100&lt;=1,
IF($N100&gt;0,1/$N100,0),
IF(EQ$44=2,0,VDB(1,0,$N100,INT(EQ$44-2-1),MIN($N100,INT(EQ$44-2-1)+1),$DC100,IF($DD100="No",1,0))/
IF(DX100&gt;=INT($N100),$N100-INT($N100),1)))*
IF(EQ$44=2,0,
IF(INT(DY100)=INT(DX100),DY100-DX100,INT(DY100)-DX100))+
IF($N100&lt;=1,
IF($N100&gt;0,1/$N100,0),VDB(1,0,$N100,INT(EQ$44-2),MIN($N100,INT(EQ$44-2)+1),$DC100,IF($DD100="No",1,0))/
IF(DY100&gt;INT($N100),$N100-INT($N100),1))*
IF(EQ$44=2,DY100,
IF(INT(DY100)=INT(DX100),0,DY100-INT(DY100)))))</f>
        <v>0</v>
      </c>
      <c r="ER100" s="834">
        <f>+IF(OR(DZ100=DY100,ER$44=1),0,
IF(AND(ER$44&gt;1,DZ100=$N100),1-SUM($EN100:EQ100),
IF($N100&lt;=1,
IF($N100&gt;0,1/$N100,0),
IF(ER$44=2,0,VDB(1,0,$N100,INT(ER$44-2-1),MIN($N100,INT(ER$44-2-1)+1),$DC100,IF($DD100="No",1,0))/
IF(DY100&gt;=INT($N100),$N100-INT($N100),1)))*
IF(ER$44=2,0,
IF(INT(DZ100)=INT(DY100),DZ100-DY100,INT(DZ100)-DY100))+
IF($N100&lt;=1,
IF($N100&gt;0,1/$N100,0),VDB(1,0,$N100,INT(ER$44-2),MIN($N100,INT(ER$44-2)+1),$DC100,IF($DD100="No",1,0))/
IF(DZ100&gt;INT($N100),$N100-INT($N100),1))*
IF(ER$44=2,DZ100,
IF(INT(DZ100)=INT(DY100),0,DZ100-INT(DZ100)))))</f>
        <v>0</v>
      </c>
      <c r="ES100" s="835">
        <f>+IF(OR(EA100=DZ100,ES$44=1),0,
IF(AND(ES$44&gt;1,EA100=$N100),1-SUM($EN100:ER100),
IF($N100&lt;=1,
IF($N100&gt;0,1/$N100,0),
IF(ES$44=2,0,VDB(1,0,$N100,INT(ES$44-2-1),MIN($N100,INT(ES$44-2-1)+1),$DC100,IF($DD100="No",1,0))/
IF(DZ100&gt;=INT($N100),$N100-INT($N100),1)))*
IF(ES$44=2,0,
IF(INT(EA100)=INT(DZ100),EA100-DZ100,INT(EA100)-DZ100))+
IF($N100&lt;=1,
IF($N100&gt;0,1/$N100,0),VDB(1,0,$N100,INT(ES$44-2),MIN($N100,INT(ES$44-2)+1),$DC100,IF($DD100="No",1,0))/
IF(EA100&gt;INT($N100),$N100-INT($N100),1))*
IF(ES$44=2,EA100,
IF(INT(EA100)=INT(DZ100),0,EA100-INT(EA100)))))</f>
        <v>0</v>
      </c>
      <c r="ET100" s="835">
        <f>+IF(OR(EB100=EA100,ET$44=1),0,
IF(AND(ET$44&gt;1,EB100=$N100),1-SUM($EN100:ES100),
IF($N100&lt;=1,
IF($N100&gt;0,1/$N100,0),
IF(ET$44=2,0,VDB(1,0,$N100,INT(ET$44-2-1),MIN($N100,INT(ET$44-2-1)+1),$DC100,IF($DD100="No",1,0))/
IF(EA100&gt;=INT($N100),$N100-INT($N100),1)))*
IF(ET$44=2,0,
IF(INT(EB100)=INT(EA100),EB100-EA100,INT(EB100)-EA100))+
IF($N100&lt;=1,
IF($N100&gt;0,1/$N100,0),VDB(1,0,$N100,INT(ET$44-2),MIN($N100,INT(ET$44-2)+1),$DC100,IF($DD100="No",1,0))/
IF(EB100&gt;INT($N100),$N100-INT($N100),1))*
IF(ET$44=2,EB100,
IF(INT(EB100)=INT(EA100),0,EB100-INT(EB100)))))</f>
        <v>0</v>
      </c>
      <c r="EU100" s="835">
        <f>+IF(OR(EC100=EB100,EU$44=1),0,
IF(AND(EU$44&gt;1,EC100=$N100),1-SUM($EN100:ET100),
IF($N100&lt;=1,
IF($N100&gt;0,1/$N100,0),
IF(EU$44=2,0,VDB(1,0,$N100,INT(EU$44-2-1),MIN($N100,INT(EU$44-2-1)+1),$DC100,IF($DD100="No",1,0))/
IF(EB100&gt;=INT($N100),$N100-INT($N100),1)))*
IF(EU$44=2,0,
IF(INT(EC100)=INT(EB100),EC100-EB100,INT(EC100)-EB100))+
IF($N100&lt;=1,
IF($N100&gt;0,1/$N100,0),VDB(1,0,$N100,INT(EU$44-2),MIN($N100,INT(EU$44-2)+1),$DC100,IF($DD100="No",1,0))/
IF(EC100&gt;INT($N100),$N100-INT($N100),1))*
IF(EU$44=2,EC100,
IF(INT(EC100)=INT(EB100),0,EC100-INT(EC100)))))</f>
        <v>0</v>
      </c>
      <c r="EV100" s="836">
        <f>+IF(OR(ED100=EC100,EV$44=1),0,
IF(AND(EV$44&gt;1,ED100=$N100),1-SUM($EN100:EU100),
IF($N100&lt;=1,
IF($N100&gt;0,1/$N100,0),
IF(EV$44=2,0,VDB(1,0,$N100,INT(EV$44-2-1),MIN($N100,INT(EV$44-2-1)+1),$DC100,IF($DD100="No",1,0))/
IF(EC100&gt;=INT($N100),$N100-INT($N100),1)))*
IF(EV$44=2,0,
IF(INT(ED100)=INT(EC100),ED100-EC100,INT(ED100)-EC100))+
IF($N100&lt;=1,
IF($N100&gt;0,1/$N100,0),VDB(1,0,$N100,INT(EV$44-2),MIN($N100,INT(EV$44-2)+1),$DC100,IF($DD100="No",1,0))/
IF(ED100&gt;INT($N100),$N100-INT($N100),1))*
IF(EV$44=2,ED100,
IF(INT(ED100)=INT(EC100),0,ED100-INT(ED100)))))</f>
        <v>0</v>
      </c>
      <c r="EW100" s="833"/>
      <c r="EX100" s="834">
        <f t="shared" ca="1" si="246"/>
        <v>0</v>
      </c>
      <c r="EY100" s="835">
        <f t="shared" ca="1" si="246"/>
        <v>0</v>
      </c>
      <c r="EZ100" s="836">
        <f t="shared" ca="1" si="246"/>
        <v>0</v>
      </c>
      <c r="FA100" s="834">
        <f t="shared" ca="1" si="246"/>
        <v>0</v>
      </c>
      <c r="FB100" s="835">
        <f t="shared" ca="1" si="246"/>
        <v>0</v>
      </c>
      <c r="FC100" s="835">
        <f t="shared" ca="1" si="246"/>
        <v>0</v>
      </c>
      <c r="FD100" s="835">
        <f t="shared" ca="1" si="246"/>
        <v>0</v>
      </c>
      <c r="FE100" s="836">
        <f t="shared" ca="1" si="246"/>
        <v>0</v>
      </c>
      <c r="FG100" s="386">
        <f t="shared" ref="FG100:FG163" ca="1" si="293">-(-$DE100*(-ISBLANK($DE100)+1)*EF100-
IF(FG$44&gt;1,SUMPRODUCT(OFFSET($DF100,0,0,1,FG$44-1)*(-ISBLANK(OFFSET($DF100,0,0,1,FG$44-1))+1),OFFSET($EX100,0,MAX($FG$44:$HY$44)-FG$44,1,FG$44-1)),0))</f>
        <v>0</v>
      </c>
      <c r="FH100" s="387">
        <f t="shared" ref="FH100:FH163" ca="1" si="294">-(-$DE100*(-ISBLANK($DE100)+1)*EG100-
IF(FH$44&gt;1,SUMPRODUCT(OFFSET($DF100,0,0,1,FH$44-1)*(-ISBLANK(OFFSET($DF100,0,0,1,FH$44-1))+1),OFFSET($EX100,0,MAX($FG$44:$HY$44)-FH$44,1,FH$44-1)),0))</f>
        <v>0</v>
      </c>
      <c r="FI100" s="388">
        <f t="shared" ref="FI100:FI163" ca="1" si="295">-(-$DE100*(-ISBLANK($DE100)+1)*EH100-
IF(FI$44&gt;1,SUMPRODUCT(OFFSET($DF100,0,0,1,FI$44-1)*(-ISBLANK(OFFSET($DF100,0,0,1,FI$44-1))+1),OFFSET($EX100,0,MAX($FG$44:$HY$44)-FI$44,1,FI$44-1)),0))</f>
        <v>0</v>
      </c>
      <c r="FJ100" s="386">
        <f t="shared" ref="FJ100:FJ163" ca="1" si="296">-(-$DE100*(-ISBLANK($DE100)+1)*EI100-
IF(FJ$44&gt;1,SUMPRODUCT(OFFSET($DF100,0,0,1,FJ$44-1)*(-ISBLANK(OFFSET($DF100,0,0,1,FJ$44-1))+1),OFFSET($EX100,0,MAX($FG$44:$HY$44)-FJ$44,1,FJ$44-1)),0))</f>
        <v>0</v>
      </c>
      <c r="FK100" s="387">
        <f t="shared" ref="FK100:FK163" ca="1" si="297">-(-$DE100*(-ISBLANK($DE100)+1)*EJ100-
IF(FK$44&gt;1,SUMPRODUCT(OFFSET($DF100,0,0,1,FK$44-1)*(-ISBLANK(OFFSET($DF100,0,0,1,FK$44-1))+1),OFFSET($EX100,0,MAX($FG$44:$HY$44)-FK$44,1,FK$44-1)),0))</f>
        <v>0</v>
      </c>
      <c r="FL100" s="387">
        <f t="shared" ref="FL100:FL163" ca="1" si="298">-(-$DE100*(-ISBLANK($DE100)+1)*EK100-
IF(FL$44&gt;1,SUMPRODUCT(OFFSET($DF100,0,0,1,FL$44-1)*(-ISBLANK(OFFSET($DF100,0,0,1,FL$44-1))+1),OFFSET($EX100,0,MAX($FG$44:$HY$44)-FL$44,1,FL$44-1)),0))</f>
        <v>0</v>
      </c>
      <c r="FM100" s="387">
        <f t="shared" ref="FM100:FM163" ca="1" si="299">-(-$DE100*(-ISBLANK($DE100)+1)*EL100-
IF(FM$44&gt;1,SUMPRODUCT(OFFSET($DF100,0,0,1,FM$44-1)*(-ISBLANK(OFFSET($DF100,0,0,1,FM$44-1))+1),OFFSET($EX100,0,MAX($FG$44:$HY$44)-FM$44,1,FM$44-1)),0))</f>
        <v>0</v>
      </c>
      <c r="FN100" s="388">
        <f t="shared" ref="FN100:FN163" ca="1" si="300">-(-$DE100*(-ISBLANK($DE100)+1)*EM100-
IF(FN$44&gt;1,SUMPRODUCT(OFFSET($DF100,0,0,1,FN$44-1)*(-ISBLANK(OFFSET($DF100,0,0,1,FN$44-1))+1),OFFSET($EX100,0,MAX($FG$44:$HY$44)-FN$44,1,FN$44-1)),0))</f>
        <v>0</v>
      </c>
      <c r="FR100" s="116"/>
    </row>
    <row r="101" spans="2:174">
      <c r="B101" s="1410">
        <f t="shared" si="135"/>
        <v>55</v>
      </c>
      <c r="C101" s="400" t="s">
        <v>589</v>
      </c>
      <c r="D101" s="410"/>
      <c r="E101" s="402" t="s">
        <v>401</v>
      </c>
      <c r="F101" s="402" t="s">
        <v>520</v>
      </c>
      <c r="G101" s="400" t="s">
        <v>522</v>
      </c>
      <c r="H101" s="2088" t="s">
        <v>483</v>
      </c>
      <c r="I101" s="2089"/>
      <c r="J101" s="411" t="s">
        <v>516</v>
      </c>
      <c r="K101" s="403" t="s">
        <v>544</v>
      </c>
      <c r="L101" s="403">
        <v>25</v>
      </c>
      <c r="M101" s="403" t="s">
        <v>142</v>
      </c>
      <c r="N101" s="403"/>
      <c r="O101" s="347"/>
      <c r="P101" s="347"/>
      <c r="Q101" s="1021">
        <v>1.0572725951219513</v>
      </c>
      <c r="R101" s="1022">
        <v>5.4331593099345641</v>
      </c>
      <c r="S101" s="1022">
        <v>4.6969375371802515</v>
      </c>
      <c r="T101" s="1022">
        <v>9.2955210861782032</v>
      </c>
      <c r="U101" s="1023">
        <v>23.421756796599965</v>
      </c>
      <c r="V101" s="1021">
        <v>9.7715023833305441</v>
      </c>
      <c r="W101" s="1022">
        <v>34.217805567604245</v>
      </c>
      <c r="X101" s="1022">
        <v>103.09696890290003</v>
      </c>
      <c r="Y101" s="1022">
        <v>107.06304490288767</v>
      </c>
      <c r="Z101" s="1023">
        <v>73.298527676111718</v>
      </c>
      <c r="AA101" s="1024"/>
      <c r="AB101" s="1021">
        <v>0</v>
      </c>
      <c r="AC101" s="1022">
        <v>0</v>
      </c>
      <c r="AD101" s="1022">
        <v>0</v>
      </c>
      <c r="AE101" s="1022">
        <v>0</v>
      </c>
      <c r="AF101" s="1023">
        <v>0</v>
      </c>
      <c r="AG101" s="1021">
        <v>0</v>
      </c>
      <c r="AH101" s="1022">
        <v>0</v>
      </c>
      <c r="AI101" s="1022">
        <v>0</v>
      </c>
      <c r="AJ101" s="1022">
        <v>0</v>
      </c>
      <c r="AK101" s="1023">
        <v>0</v>
      </c>
      <c r="AL101" s="1024"/>
      <c r="AM101" s="1021">
        <v>0</v>
      </c>
      <c r="AN101" s="1022">
        <v>0</v>
      </c>
      <c r="AO101" s="1022">
        <v>0</v>
      </c>
      <c r="AP101" s="1022">
        <v>0</v>
      </c>
      <c r="AQ101" s="1023">
        <v>0</v>
      </c>
      <c r="AR101" s="1021">
        <v>0</v>
      </c>
      <c r="AS101" s="1022">
        <v>0</v>
      </c>
      <c r="AT101" s="1022">
        <v>0</v>
      </c>
      <c r="AU101" s="1022">
        <v>0</v>
      </c>
      <c r="AV101" s="1023">
        <v>0</v>
      </c>
      <c r="AW101" s="1025"/>
      <c r="AX101" s="1282">
        <f t="shared" si="247"/>
        <v>1.0572725951219513</v>
      </c>
      <c r="AY101" s="387">
        <f t="shared" si="248"/>
        <v>5.4331593099345641</v>
      </c>
      <c r="AZ101" s="387">
        <f t="shared" si="249"/>
        <v>4.6969375371802515</v>
      </c>
      <c r="BA101" s="387">
        <f t="shared" si="250"/>
        <v>9.2955210861782032</v>
      </c>
      <c r="BB101" s="1283">
        <f t="shared" si="251"/>
        <v>23.421756796599965</v>
      </c>
      <c r="BC101" s="386">
        <f t="shared" si="252"/>
        <v>9.7715023833305441</v>
      </c>
      <c r="BD101" s="387">
        <f t="shared" si="253"/>
        <v>34.217805567604245</v>
      </c>
      <c r="BE101" s="1277">
        <f t="shared" si="254"/>
        <v>103.09696890290003</v>
      </c>
      <c r="BF101" s="1277">
        <f t="shared" si="255"/>
        <v>107.06304490288767</v>
      </c>
      <c r="BG101" s="388">
        <f t="shared" si="256"/>
        <v>73.298527676111718</v>
      </c>
      <c r="BH101" s="1025"/>
      <c r="BI101" s="1282">
        <f t="shared" ca="1" si="257"/>
        <v>2.1145451902439025E-2</v>
      </c>
      <c r="BJ101" s="387">
        <f t="shared" ca="1" si="258"/>
        <v>0.15095409000356932</v>
      </c>
      <c r="BK101" s="387">
        <f t="shared" ca="1" si="259"/>
        <v>0.35355602694586563</v>
      </c>
      <c r="BL101" s="387">
        <f t="shared" ca="1" si="260"/>
        <v>0.63340519941303475</v>
      </c>
      <c r="BM101" s="1283">
        <f t="shared" ca="1" si="261"/>
        <v>1.2877507570685982</v>
      </c>
      <c r="BN101" s="386">
        <f t="shared" ca="1" si="262"/>
        <v>1.9516159406672082</v>
      </c>
      <c r="BO101" s="387">
        <f t="shared" ca="1" si="263"/>
        <v>2.8314020996859037</v>
      </c>
      <c r="BP101" s="1277">
        <f t="shared" ca="1" si="264"/>
        <v>5.5776975890959894</v>
      </c>
      <c r="BQ101" s="1277">
        <f t="shared" ca="1" si="265"/>
        <v>9.7808978652117435</v>
      </c>
      <c r="BR101" s="388">
        <f t="shared" ca="1" si="266"/>
        <v>13.388129316791732</v>
      </c>
      <c r="BS101" s="1025"/>
      <c r="BT101" s="1282">
        <f>+IF($K101="Ongoing",AX101,IF(RIGHT($K101,2)=RIGHT(BT$43,2),SUM($AX101:AX101),0)+IF(RIGHT(BT$43,2)&gt;RIGHT($K101,2),AX101,0))</f>
        <v>1.0572725951219513</v>
      </c>
      <c r="BU101" s="387">
        <f>+IF($K101="Ongoing",AY101,IF(RIGHT($K101,2)=RIGHT(BU$43,2),SUM($AX101:AY101),0)+IF(RIGHT(BU$43,2)&gt;RIGHT($K101,2),AY101,0))</f>
        <v>5.4331593099345641</v>
      </c>
      <c r="BV101" s="387">
        <f>+IF($K101="Ongoing",AZ101,IF(RIGHT($K101,2)=RIGHT(BV$43,2),SUM($AX101:AZ101),0)+IF(RIGHT(BV$43,2)&gt;RIGHT($K101,2),AZ101,0))</f>
        <v>4.6969375371802515</v>
      </c>
      <c r="BW101" s="387">
        <f>+IF($K101="Ongoing",BA101,IF(RIGHT($K101,2)=RIGHT(BW$43,2),SUM($AX101:BA101),0)+IF(RIGHT(BW$43,2)&gt;RIGHT($K101,2),BA101,0))</f>
        <v>9.2955210861782032</v>
      </c>
      <c r="BX101" s="1283">
        <f>+IF($K101="Ongoing",BB101,IF(RIGHT($K101,2)=RIGHT(BX$43,2),SUM($AX101:BB101),0)+IF(RIGHT(BX$43,2)&gt;RIGHT($K101,2),BB101,0))</f>
        <v>23.421756796599965</v>
      </c>
      <c r="BY101" s="386">
        <f>+IF($K101="Ongoing",BC101,IF(RIGHT($K101,2)=RIGHT(BY$43,2),SUM($AX101:BC101),0)+IF(RIGHT(BY$43,2)&gt;RIGHT($K101,2),BC101,0))</f>
        <v>9.7715023833305441</v>
      </c>
      <c r="BZ101" s="387">
        <f>+IF($K101="Ongoing",BD101,IF(RIGHT($K101,2)=RIGHT(BZ$43,2),SUM($AX101:BD101),0)+IF(RIGHT(BZ$43,2)&gt;RIGHT($K101,2),BD101,0))</f>
        <v>34.217805567604245</v>
      </c>
      <c r="CA101" s="1277">
        <f>+IF($K101="Ongoing",BE101,IF(RIGHT($K101,2)=RIGHT(CA$43,2),SUM($AX101:BE101),0)+IF(RIGHT(CA$43,2)&gt;RIGHT($K101,2),BE101,0))</f>
        <v>103.09696890290003</v>
      </c>
      <c r="CB101" s="1277">
        <f>+IF($K101="Ongoing",BF101,IF(RIGHT($K101,2)=RIGHT(CB$43,2),SUM($AX101:BF101),0)+IF(RIGHT(CB$43,2)&gt;RIGHT($K101,2),BF101,0))</f>
        <v>107.06304490288767</v>
      </c>
      <c r="CC101" s="388">
        <f>+IF($K101="Ongoing",BG101,IF(RIGHT($K101,2)=RIGHT(CC$43,2),SUM($AX101:BG101),0)+IF(RIGHT(CC$43,2)&gt;RIGHT($K101,2),BG101,0))</f>
        <v>73.298527676111718</v>
      </c>
      <c r="CD101" s="1025"/>
      <c r="CE101" s="1282">
        <f>+Q101*KeyAssumptionsPriceControl_FO!AF$15</f>
        <v>1.0879335003804878</v>
      </c>
      <c r="CF101" s="387">
        <f>+R101*KeyAssumptionsPriceControl_FO!AG$15</f>
        <v>5.7528518368904233</v>
      </c>
      <c r="CG101" s="387">
        <f>+S101*KeyAssumptionsPriceControl_FO!AH$15</f>
        <v>5.1175360299308323</v>
      </c>
      <c r="CH101" s="387">
        <f>+T101*KeyAssumptionsPriceControl_FO!AI$15</f>
        <v>10.421620139976261</v>
      </c>
      <c r="CI101" s="1283">
        <f>+U101*KeyAssumptionsPriceControl_FO!AJ$15</f>
        <v>27.020684148256468</v>
      </c>
      <c r="CJ101" s="386">
        <f>+V101*KeyAssumptionsPriceControl_FO!AK$15</f>
        <v>11.599882520358735</v>
      </c>
      <c r="CK101" s="387">
        <f>+W101*KeyAssumptionsPriceControl_FO!AL$15</f>
        <v>41.798411532029597</v>
      </c>
      <c r="CL101" s="1277">
        <f>+X101*KeyAssumptionsPriceControl_FO!AM$15</f>
        <v>129.58922575063534</v>
      </c>
      <c r="CM101" s="1277">
        <f>+Y101*KeyAssumptionsPriceControl_FO!AN$15</f>
        <v>138.47710115207644</v>
      </c>
      <c r="CN101" s="388">
        <f>+Z101*KeyAssumptionsPriceControl_FO!AO$15</f>
        <v>97.554879950264549</v>
      </c>
      <c r="CO101" s="1025"/>
      <c r="CP101" s="1282">
        <f t="shared" ca="1" si="267"/>
        <v>0</v>
      </c>
      <c r="CQ101" s="387">
        <f t="shared" ca="1" si="268"/>
        <v>0</v>
      </c>
      <c r="CR101" s="387">
        <f t="shared" ca="1" si="269"/>
        <v>0</v>
      </c>
      <c r="CS101" s="387">
        <f t="shared" ca="1" si="270"/>
        <v>0</v>
      </c>
      <c r="CT101" s="1283">
        <f t="shared" ca="1" si="271"/>
        <v>0</v>
      </c>
      <c r="CU101" s="386">
        <f t="shared" ca="1" si="272"/>
        <v>0</v>
      </c>
      <c r="CV101" s="387">
        <f t="shared" ca="1" si="273"/>
        <v>0</v>
      </c>
      <c r="CW101" s="1277">
        <f t="shared" ca="1" si="274"/>
        <v>0</v>
      </c>
      <c r="CX101" s="1277">
        <f t="shared" ca="1" si="275"/>
        <v>0</v>
      </c>
      <c r="CY101" s="388">
        <f t="shared" ca="1" si="276"/>
        <v>0</v>
      </c>
      <c r="CZ101" s="347"/>
      <c r="DA101" s="852"/>
      <c r="DB101" s="347"/>
      <c r="DC101" s="1012" t="s">
        <v>590</v>
      </c>
      <c r="DD101" s="841" t="s">
        <v>518</v>
      </c>
      <c r="DE101" s="386">
        <f>+IF($K101="ongoing",CE101,IF(RIGHT($K101,2)=RIGHT(DE$43,2),SUM($CD101:CE101),0)+IF(RIGHT(DE$43,2)&gt;RIGHT($K101,2),CE101,0))</f>
        <v>1.0879335003804878</v>
      </c>
      <c r="DF101" s="387">
        <f>+IF($K101="ongoing",CF101,IF(RIGHT($K101,2)=RIGHT(DF$43,2),SUM($CD101:CF101),0)+IF(RIGHT(DF$43,2)&gt;RIGHT($K101,2),CF101,0))</f>
        <v>5.7528518368904233</v>
      </c>
      <c r="DG101" s="388">
        <f>+IF($K101="ongoing",CG101,IF(RIGHT($K101,2)=RIGHT(DG$43,2),SUM($CD101:CG101),0)+IF(RIGHT(DG$43,2)&gt;RIGHT($K101,2),CG101,0))</f>
        <v>5.1175360299308323</v>
      </c>
      <c r="DH101" s="386">
        <f>+IF($K101="ongoing",CH101,IF(RIGHT($K101,2)=RIGHT(DH$43,2),SUM($CD101:CH101),0)+IF(RIGHT(DH$43,2)&gt;RIGHT($K101,2),CH101,0))</f>
        <v>10.421620139976261</v>
      </c>
      <c r="DI101" s="387">
        <f>+IF($K101="ongoing",CI101,IF(RIGHT($K101,2)=RIGHT(DI$43,2),SUM($CD101:CI101),0)+IF(RIGHT(DI$43,2)&gt;RIGHT($K101,2),CI101,0))</f>
        <v>27.020684148256468</v>
      </c>
      <c r="DJ101" s="387">
        <f>+IF($K101="ongoing",CJ101,IF(RIGHT($K101,2)=RIGHT(DJ$43,2),SUM($CD101:CJ101),0)+IF(RIGHT(DJ$43,2)&gt;RIGHT($K101,2),CJ101,0))</f>
        <v>11.599882520358735</v>
      </c>
      <c r="DK101" s="387">
        <f>+IF($K101="ongoing",CK101,IF(RIGHT($K101,2)=RIGHT(DK$43,2),SUM($CD101:CK101),0)+IF(RIGHT(DK$43,2)&gt;RIGHT($K101,2),CK101,0))</f>
        <v>41.798411532029597</v>
      </c>
      <c r="DL101" s="388">
        <f>+IF($K101="ongoing",CN101,IF(RIGHT($K101,2)=RIGHT(DL$43,2),SUM($CD101:CN101),0)+IF(RIGHT(DL$43,2)&gt;RIGHT($K101,2),CN101,0))</f>
        <v>97.554879950264549</v>
      </c>
      <c r="DM101" s="841"/>
      <c r="DN101" s="386">
        <f t="shared" si="277"/>
        <v>0.5</v>
      </c>
      <c r="DO101" s="387">
        <f t="shared" si="278"/>
        <v>1</v>
      </c>
      <c r="DP101" s="388">
        <f t="shared" si="279"/>
        <v>1</v>
      </c>
      <c r="DQ101" s="386">
        <f t="shared" si="280"/>
        <v>1</v>
      </c>
      <c r="DR101" s="387">
        <f t="shared" si="281"/>
        <v>1</v>
      </c>
      <c r="DS101" s="387">
        <f t="shared" si="282"/>
        <v>1</v>
      </c>
      <c r="DT101" s="387">
        <f t="shared" si="283"/>
        <v>1</v>
      </c>
      <c r="DU101" s="388">
        <f t="shared" si="284"/>
        <v>1</v>
      </c>
      <c r="DW101" s="386">
        <f t="shared" si="285"/>
        <v>0</v>
      </c>
      <c r="DX101" s="387">
        <f t="shared" si="286"/>
        <v>0.5</v>
      </c>
      <c r="DY101" s="388">
        <f t="shared" si="287"/>
        <v>1</v>
      </c>
      <c r="DZ101" s="386">
        <f t="shared" si="288"/>
        <v>1</v>
      </c>
      <c r="EA101" s="387">
        <f t="shared" si="289"/>
        <v>1</v>
      </c>
      <c r="EB101" s="387">
        <f t="shared" si="290"/>
        <v>1</v>
      </c>
      <c r="EC101" s="387">
        <f t="shared" si="291"/>
        <v>1</v>
      </c>
      <c r="ED101" s="388">
        <f t="shared" si="292"/>
        <v>1</v>
      </c>
      <c r="EF101" s="834">
        <f>+IF(DN101=DM101,0,
IF(AND(EF$44&gt;1,DN101=$N101),1-SUM($EE101:EE101),
IF($N101&lt;=1,
IF($N101&gt;0,1/$N101,0),
IF(EF$44=1,0,VDB(1,0,$N101,INT(EF$44-1-1),MIN($N101,INT(EF$44-1-1)+1),$DC101,IF($DD101="No",1,0))/
IF(DM101&gt;=INT($N101),$N101-INT($N101),1)))*
IF(EF$44=1,0,
IF(INT(DN101)=INT(DM101),DN101-DM101,INT(DN101)-DM101))+
IF($N101&lt;=1,
IF($N101&gt;0,1/$N101,0),VDB(1,0,$N101,INT(EF$44-1),MIN($N101,INT(EF$44-1)+1),$DC101,IF($DD101="No",1,0))/
IF(DN101&gt;INT($N101),$N101-INT($N101),1))*
IF(EF$44=1,DN101,
IF(INT(DN101)=INT(DM101),0,DN101-INT(DN101)))))</f>
        <v>0</v>
      </c>
      <c r="EG101" s="835">
        <f>+IF(DO101=DN101,0,
IF(AND(EG$44&gt;1,DO101=$N101),1-SUM($EE101:EF101),
IF($N101&lt;=1,
IF($N101&gt;0,1/$N101,0),
IF(EG$44=1,0,VDB(1,0,$N101,INT(EG$44-1-1),MIN($N101,INT(EG$44-1-1)+1),$DC101,IF($DD101="No",1,0))/
IF(DN101&gt;=INT($N101),$N101-INT($N101),1)))*
IF(EG$44=1,0,
IF(INT(DO101)=INT(DN101),DO101-DN101,INT(DO101)-DN101))+
IF($N101&lt;=1,
IF($N101&gt;0,1/$N101,0),VDB(1,0,$N101,INT(EG$44-1),MIN($N101,INT(EG$44-1)+1),$DC101,IF($DD101="No",1,0))/
IF(DO101&gt;INT($N101),$N101-INT($N101),1))*
IF(EG$44=1,DO101,
IF(INT(DO101)=INT(DN101),0,DO101-INT(DO101)))))</f>
        <v>0</v>
      </c>
      <c r="EH101" s="836">
        <f>+IF(DP101=DO101,0,
IF(AND(EH$44&gt;1,DP101=$N101),1-SUM($EE101:EG101),
IF($N101&lt;=1,
IF($N101&gt;0,1/$N101,0),
IF(EH$44=1,0,VDB(1,0,$N101,INT(EH$44-1-1),MIN($N101,INT(EH$44-1-1)+1),$DC101,IF($DD101="No",1,0))/
IF(DO101&gt;=INT($N101),$N101-INT($N101),1)))*
IF(EH$44=1,0,
IF(INT(DP101)=INT(DO101),DP101-DO101,INT(DP101)-DO101))+
IF($N101&lt;=1,
IF($N101&gt;0,1/$N101,0),VDB(1,0,$N101,INT(EH$44-1),MIN($N101,INT(EH$44-1)+1),$DC101,IF($DD101="No",1,0))/
IF(DP101&gt;INT($N101),$N101-INT($N101),1))*
IF(EH$44=1,DP101,
IF(INT(DP101)=INT(DO101),0,DP101-INT(DP101)))))</f>
        <v>0</v>
      </c>
      <c r="EI101" s="834">
        <f>+IF(DQ101=DP101,0,
IF(AND(EI$44&gt;1,DQ101=$N101),1-SUM($EE101:EH101),
IF($N101&lt;=1,
IF($N101&gt;0,1/$N101,0),
IF(EI$44=1,0,VDB(1,0,$N101,INT(EI$44-1-1),MIN($N101,INT(EI$44-1-1)+1),$DC101,IF($DD101="No",1,0))/
IF(DP101&gt;=INT($N101),$N101-INT($N101),1)))*
IF(EI$44=1,0,
IF(INT(DQ101)=INT(DP101),DQ101-DP101,INT(DQ101)-DP101))+
IF($N101&lt;=1,
IF($N101&gt;0,1/$N101,0),VDB(1,0,$N101,INT(EI$44-1),MIN($N101,INT(EI$44-1)+1),$DC101,IF($DD101="No",1,0))/
IF(DQ101&gt;INT($N101),$N101-INT($N101),1))*
IF(EI$44=1,DQ101,
IF(INT(DQ101)=INT(DP101),0,DQ101-INT(DQ101)))))</f>
        <v>0</v>
      </c>
      <c r="EJ101" s="835">
        <f>+IF(DR101=DQ101,0,
IF(AND(EJ$44&gt;1,DR101=$N101),1-SUM($EE101:EI101),
IF($N101&lt;=1,
IF($N101&gt;0,1/$N101,0),
IF(EJ$44=1,0,VDB(1,0,$N101,INT(EJ$44-1-1),MIN($N101,INT(EJ$44-1-1)+1),$DC101,IF($DD101="No",1,0))/
IF(DQ101&gt;=INT($N101),$N101-INT($N101),1)))*
IF(EJ$44=1,0,
IF(INT(DR101)=INT(DQ101),DR101-DQ101,INT(DR101)-DQ101))+
IF($N101&lt;=1,
IF($N101&gt;0,1/$N101,0),VDB(1,0,$N101,INT(EJ$44-1),MIN($N101,INT(EJ$44-1)+1),$DC101,IF($DD101="No",1,0))/
IF(DR101&gt;INT($N101),$N101-INT($N101),1))*
IF(EJ$44=1,DR101,
IF(INT(DR101)=INT(DQ101),0,DR101-INT(DR101)))))</f>
        <v>0</v>
      </c>
      <c r="EK101" s="835">
        <f>+IF(DS101=DR101,0,
IF(AND(EK$44&gt;1,DS101=$N101),1-SUM($EE101:EJ101),
IF($N101&lt;=1,
IF($N101&gt;0,1/$N101,0),
IF(EK$44=1,0,VDB(1,0,$N101,INT(EK$44-1-1),MIN($N101,INT(EK$44-1-1)+1),$DC101,IF($DD101="No",1,0))/
IF(DR101&gt;=INT($N101),$N101-INT($N101),1)))*
IF(EK$44=1,0,
IF(INT(DS101)=INT(DR101),DS101-DR101,INT(DS101)-DR101))+
IF($N101&lt;=1,
IF($N101&gt;0,1/$N101,0),VDB(1,0,$N101,INT(EK$44-1),MIN($N101,INT(EK$44-1)+1),$DC101,IF($DD101="No",1,0))/
IF(DS101&gt;INT($N101),$N101-INT($N101),1))*
IF(EK$44=1,DS101,
IF(INT(DS101)=INT(DR101),0,DS101-INT(DS101)))))</f>
        <v>0</v>
      </c>
      <c r="EL101" s="835">
        <f>+IF(DT101=DS101,0,
IF(AND(EL$44&gt;1,DT101=$N101),1-SUM($EE101:EK101),
IF($N101&lt;=1,
IF($N101&gt;0,1/$N101,0),
IF(EL$44=1,0,VDB(1,0,$N101,INT(EL$44-1-1),MIN($N101,INT(EL$44-1-1)+1),$DC101,IF($DD101="No",1,0))/
IF(DS101&gt;=INT($N101),$N101-INT($N101),1)))*
IF(EL$44=1,0,
IF(INT(DT101)=INT(DS101),DT101-DS101,INT(DT101)-DS101))+
IF($N101&lt;=1,
IF($N101&gt;0,1/$N101,0),VDB(1,0,$N101,INT(EL$44-1),MIN($N101,INT(EL$44-1)+1),$DC101,IF($DD101="No",1,0))/
IF(DT101&gt;INT($N101),$N101-INT($N101),1))*
IF(EL$44=1,DT101,
IF(INT(DT101)=INT(DS101),0,DT101-INT(DT101)))))</f>
        <v>0</v>
      </c>
      <c r="EM101" s="836">
        <f>+IF(DU101=DT101,0,
IF(AND(EM$44&gt;1,DU101=$N101),1-SUM($EE101:EL101),
IF($N101&lt;=1,
IF($N101&gt;0,1/$N101,0),
IF(EM$44=1,0,VDB(1,0,$N101,INT(EM$44-1-1),MIN($N101,INT(EM$44-1-1)+1),$DC101,IF($DD101="No",1,0))/
IF(DT101&gt;=INT($N101),$N101-INT($N101),1)))*
IF(EM$44=1,0,
IF(INT(DU101)=INT(DT101),DU101-DT101,INT(DU101)-DT101))+
IF($N101&lt;=1,
IF($N101&gt;0,1/$N101,0),VDB(1,0,$N101,INT(EM$44-1),MIN($N101,INT(EM$44-1)+1),$DC101,IF($DD101="No",1,0))/
IF(DU101&gt;INT($N101),$N101-INT($N101),1))*
IF(EM$44=1,DU101,
IF(INT(DU101)=INT(DT101),0,DU101-INT(DU101)))))</f>
        <v>0</v>
      </c>
      <c r="EN101" s="833"/>
      <c r="EO101" s="834">
        <f>+IF(OR(DW101=DV101,EO$44=1),0,
IF(AND(EO$44&gt;1,DW101=$N101),1-SUM($EN101:EN101),
IF($N101&lt;=1,
IF($N101&gt;0,1/$N101,0),
IF(EO$44=2,0,VDB(1,0,$N101,INT(EO$44-2-1),MIN($N101,INT(EO$44-2-1)+1),$DC101,IF($DD101="No",1,0))/
IF(DV101&gt;=INT($N101),$N101-INT($N101),1)))*
IF(EO$44=2,0,
IF(INT(DW101)=INT(DV101),DW101-DV101,INT(DW101)-DV101))+
IF($N101&lt;=1,
IF($N101&gt;0,1/$N101,0),VDB(1,0,$N101,INT(EO$44-2),MIN($N101,INT(EO$44-2)+1),$DC101,IF($DD101="No",1,0))/
IF(DW101&gt;INT($N101),$N101-INT($N101),1))*
IF(EO$44=2,DW101,
IF(INT(DW101)=INT(DV101),0,DW101-INT(DW101)))))</f>
        <v>0</v>
      </c>
      <c r="EP101" s="835">
        <f>+IF(OR(DX101=DW101,EP$44=1),0,
IF(AND(EP$44&gt;1,DX101=$N101),1-SUM($EN101:EO101),
IF($N101&lt;=1,
IF($N101&gt;0,1/$N101,0),
IF(EP$44=2,0,VDB(1,0,$N101,INT(EP$44-2-1),MIN($N101,INT(EP$44-2-1)+1),$DC101,IF($DD101="No",1,0))/
IF(DW101&gt;=INT($N101),$N101-INT($N101),1)))*
IF(EP$44=2,0,
IF(INT(DX101)=INT(DW101),DX101-DW101,INT(DX101)-DW101))+
IF($N101&lt;=1,
IF($N101&gt;0,1/$N101,0),VDB(1,0,$N101,INT(EP$44-2),MIN($N101,INT(EP$44-2)+1),$DC101,IF($DD101="No",1,0))/
IF(DX101&gt;INT($N101),$N101-INT($N101),1))*
IF(EP$44=2,DX101,
IF(INT(DX101)=INT(DW101),0,DX101-INT(DX101)))))</f>
        <v>0</v>
      </c>
      <c r="EQ101" s="836">
        <f>+IF(OR(DY101=DX101,EQ$44=1),0,
IF(AND(EQ$44&gt;1,DY101=$N101),1-SUM($EN101:EP101),
IF($N101&lt;=1,
IF($N101&gt;0,1/$N101,0),
IF(EQ$44=2,0,VDB(1,0,$N101,INT(EQ$44-2-1),MIN($N101,INT(EQ$44-2-1)+1),$DC101,IF($DD101="No",1,0))/
IF(DX101&gt;=INT($N101),$N101-INT($N101),1)))*
IF(EQ$44=2,0,
IF(INT(DY101)=INT(DX101),DY101-DX101,INT(DY101)-DX101))+
IF($N101&lt;=1,
IF($N101&gt;0,1/$N101,0),VDB(1,0,$N101,INT(EQ$44-2),MIN($N101,INT(EQ$44-2)+1),$DC101,IF($DD101="No",1,0))/
IF(DY101&gt;INT($N101),$N101-INT($N101),1))*
IF(EQ$44=2,DY101,
IF(INT(DY101)=INT(DX101),0,DY101-INT(DY101)))))</f>
        <v>0</v>
      </c>
      <c r="ER101" s="834">
        <f>+IF(OR(DZ101=DY101,ER$44=1),0,
IF(AND(ER$44&gt;1,DZ101=$N101),1-SUM($EN101:EQ101),
IF($N101&lt;=1,
IF($N101&gt;0,1/$N101,0),
IF(ER$44=2,0,VDB(1,0,$N101,INT(ER$44-2-1),MIN($N101,INT(ER$44-2-1)+1),$DC101,IF($DD101="No",1,0))/
IF(DY101&gt;=INT($N101),$N101-INT($N101),1)))*
IF(ER$44=2,0,
IF(INT(DZ101)=INT(DY101),DZ101-DY101,INT(DZ101)-DY101))+
IF($N101&lt;=1,
IF($N101&gt;0,1/$N101,0),VDB(1,0,$N101,INT(ER$44-2),MIN($N101,INT(ER$44-2)+1),$DC101,IF($DD101="No",1,0))/
IF(DZ101&gt;INT($N101),$N101-INT($N101),1))*
IF(ER$44=2,DZ101,
IF(INT(DZ101)=INT(DY101),0,DZ101-INT(DZ101)))))</f>
        <v>0</v>
      </c>
      <c r="ES101" s="835">
        <f>+IF(OR(EA101=DZ101,ES$44=1),0,
IF(AND(ES$44&gt;1,EA101=$N101),1-SUM($EN101:ER101),
IF($N101&lt;=1,
IF($N101&gt;0,1/$N101,0),
IF(ES$44=2,0,VDB(1,0,$N101,INT(ES$44-2-1),MIN($N101,INT(ES$44-2-1)+1),$DC101,IF($DD101="No",1,0))/
IF(DZ101&gt;=INT($N101),$N101-INT($N101),1)))*
IF(ES$44=2,0,
IF(INT(EA101)=INT(DZ101),EA101-DZ101,INT(EA101)-DZ101))+
IF($N101&lt;=1,
IF($N101&gt;0,1/$N101,0),VDB(1,0,$N101,INT(ES$44-2),MIN($N101,INT(ES$44-2)+1),$DC101,IF($DD101="No",1,0))/
IF(EA101&gt;INT($N101),$N101-INT($N101),1))*
IF(ES$44=2,EA101,
IF(INT(EA101)=INT(DZ101),0,EA101-INT(EA101)))))</f>
        <v>0</v>
      </c>
      <c r="ET101" s="835">
        <f>+IF(OR(EB101=EA101,ET$44=1),0,
IF(AND(ET$44&gt;1,EB101=$N101),1-SUM($EN101:ES101),
IF($N101&lt;=1,
IF($N101&gt;0,1/$N101,0),
IF(ET$44=2,0,VDB(1,0,$N101,INT(ET$44-2-1),MIN($N101,INT(ET$44-2-1)+1),$DC101,IF($DD101="No",1,0))/
IF(EA101&gt;=INT($N101),$N101-INT($N101),1)))*
IF(ET$44=2,0,
IF(INT(EB101)=INT(EA101),EB101-EA101,INT(EB101)-EA101))+
IF($N101&lt;=1,
IF($N101&gt;0,1/$N101,0),VDB(1,0,$N101,INT(ET$44-2),MIN($N101,INT(ET$44-2)+1),$DC101,IF($DD101="No",1,0))/
IF(EB101&gt;INT($N101),$N101-INT($N101),1))*
IF(ET$44=2,EB101,
IF(INT(EB101)=INT(EA101),0,EB101-INT(EB101)))))</f>
        <v>0</v>
      </c>
      <c r="EU101" s="835">
        <f>+IF(OR(EC101=EB101,EU$44=1),0,
IF(AND(EU$44&gt;1,EC101=$N101),1-SUM($EN101:ET101),
IF($N101&lt;=1,
IF($N101&gt;0,1/$N101,0),
IF(EU$44=2,0,VDB(1,0,$N101,INT(EU$44-2-1),MIN($N101,INT(EU$44-2-1)+1),$DC101,IF($DD101="No",1,0))/
IF(EB101&gt;=INT($N101),$N101-INT($N101),1)))*
IF(EU$44=2,0,
IF(INT(EC101)=INT(EB101),EC101-EB101,INT(EC101)-EB101))+
IF($N101&lt;=1,
IF($N101&gt;0,1/$N101,0),VDB(1,0,$N101,INT(EU$44-2),MIN($N101,INT(EU$44-2)+1),$DC101,IF($DD101="No",1,0))/
IF(EC101&gt;INT($N101),$N101-INT($N101),1))*
IF(EU$44=2,EC101,
IF(INT(EC101)=INT(EB101),0,EC101-INT(EC101)))))</f>
        <v>0</v>
      </c>
      <c r="EV101" s="836">
        <f>+IF(OR(ED101=EC101,EV$44=1),0,
IF(AND(EV$44&gt;1,ED101=$N101),1-SUM($EN101:EU101),
IF($N101&lt;=1,
IF($N101&gt;0,1/$N101,0),
IF(EV$44=2,0,VDB(1,0,$N101,INT(EV$44-2-1),MIN($N101,INT(EV$44-2-1)+1),$DC101,IF($DD101="No",1,0))/
IF(EC101&gt;=INT($N101),$N101-INT($N101),1)))*
IF(EV$44=2,0,
IF(INT(ED101)=INT(EC101),ED101-EC101,INT(ED101)-EC101))+
IF($N101&lt;=1,
IF($N101&gt;0,1/$N101,0),VDB(1,0,$N101,INT(EV$44-2),MIN($N101,INT(EV$44-2)+1),$DC101,IF($DD101="No",1,0))/
IF(ED101&gt;INT($N101),$N101-INT($N101),1))*
IF(EV$44=2,ED101,
IF(INT(ED101)=INT(EC101),0,ED101-INT(ED101)))))</f>
        <v>0</v>
      </c>
      <c r="EW101" s="833"/>
      <c r="EX101" s="834">
        <f t="shared" ref="EX101:FE132" ca="1" si="301">+OFFSET($EO101,0,MAX($EX$44:$HY$44)-EX$44)</f>
        <v>0</v>
      </c>
      <c r="EY101" s="835">
        <f t="shared" ca="1" si="301"/>
        <v>0</v>
      </c>
      <c r="EZ101" s="836">
        <f t="shared" ca="1" si="301"/>
        <v>0</v>
      </c>
      <c r="FA101" s="834">
        <f t="shared" ca="1" si="301"/>
        <v>0</v>
      </c>
      <c r="FB101" s="835">
        <f t="shared" ca="1" si="301"/>
        <v>0</v>
      </c>
      <c r="FC101" s="835">
        <f t="shared" ca="1" si="301"/>
        <v>0</v>
      </c>
      <c r="FD101" s="835">
        <f t="shared" ca="1" si="301"/>
        <v>0</v>
      </c>
      <c r="FE101" s="836">
        <f t="shared" ca="1" si="301"/>
        <v>0</v>
      </c>
      <c r="FG101" s="386">
        <f t="shared" ca="1" si="293"/>
        <v>0</v>
      </c>
      <c r="FH101" s="387">
        <f t="shared" ca="1" si="294"/>
        <v>0</v>
      </c>
      <c r="FI101" s="388">
        <f t="shared" ca="1" si="295"/>
        <v>0</v>
      </c>
      <c r="FJ101" s="386">
        <f t="shared" ca="1" si="296"/>
        <v>0</v>
      </c>
      <c r="FK101" s="387">
        <f t="shared" ca="1" si="297"/>
        <v>0</v>
      </c>
      <c r="FL101" s="387">
        <f t="shared" ca="1" si="298"/>
        <v>0</v>
      </c>
      <c r="FM101" s="387">
        <f t="shared" ca="1" si="299"/>
        <v>0</v>
      </c>
      <c r="FN101" s="388">
        <f t="shared" ca="1" si="300"/>
        <v>0</v>
      </c>
      <c r="FR101" s="116"/>
    </row>
    <row r="102" spans="2:174">
      <c r="B102" s="1410">
        <f t="shared" si="135"/>
        <v>56</v>
      </c>
      <c r="C102" s="400" t="s">
        <v>589</v>
      </c>
      <c r="D102" s="410"/>
      <c r="E102" s="402" t="s">
        <v>401</v>
      </c>
      <c r="F102" s="402" t="s">
        <v>514</v>
      </c>
      <c r="G102" s="400" t="s">
        <v>522</v>
      </c>
      <c r="H102" s="2088" t="s">
        <v>483</v>
      </c>
      <c r="I102" s="2089"/>
      <c r="J102" s="411" t="s">
        <v>516</v>
      </c>
      <c r="K102" s="403" t="s">
        <v>544</v>
      </c>
      <c r="L102" s="403">
        <v>25</v>
      </c>
      <c r="M102" s="403" t="s">
        <v>142</v>
      </c>
      <c r="N102" s="403"/>
      <c r="O102" s="347"/>
      <c r="P102" s="347"/>
      <c r="Q102" s="1021">
        <v>16.658504634146343</v>
      </c>
      <c r="R102" s="1022">
        <v>13.852135833432484</v>
      </c>
      <c r="S102" s="1022">
        <v>13.349634518361608</v>
      </c>
      <c r="T102" s="1022">
        <v>22.380582207200121</v>
      </c>
      <c r="U102" s="1023">
        <v>12.682172169619136</v>
      </c>
      <c r="V102" s="1021">
        <v>88.5826557059425</v>
      </c>
      <c r="W102" s="1022">
        <v>235.51978766975498</v>
      </c>
      <c r="X102" s="1022">
        <v>66.28341135354421</v>
      </c>
      <c r="Y102" s="1022">
        <v>0</v>
      </c>
      <c r="Z102" s="1023">
        <v>0</v>
      </c>
      <c r="AA102" s="1024"/>
      <c r="AB102" s="1021">
        <v>0</v>
      </c>
      <c r="AC102" s="1022">
        <v>0</v>
      </c>
      <c r="AD102" s="1022">
        <v>0</v>
      </c>
      <c r="AE102" s="1022">
        <v>0</v>
      </c>
      <c r="AF102" s="1023">
        <v>0</v>
      </c>
      <c r="AG102" s="1021">
        <v>0</v>
      </c>
      <c r="AH102" s="1022">
        <v>0</v>
      </c>
      <c r="AI102" s="1022">
        <v>0</v>
      </c>
      <c r="AJ102" s="1022">
        <v>0</v>
      </c>
      <c r="AK102" s="1023">
        <v>0</v>
      </c>
      <c r="AL102" s="1024"/>
      <c r="AM102" s="1021">
        <v>0</v>
      </c>
      <c r="AN102" s="1022">
        <v>0</v>
      </c>
      <c r="AO102" s="1022">
        <v>0</v>
      </c>
      <c r="AP102" s="1022">
        <v>0</v>
      </c>
      <c r="AQ102" s="1023">
        <v>0</v>
      </c>
      <c r="AR102" s="1021">
        <v>0</v>
      </c>
      <c r="AS102" s="1022">
        <v>0</v>
      </c>
      <c r="AT102" s="1022">
        <v>0</v>
      </c>
      <c r="AU102" s="1022">
        <v>0</v>
      </c>
      <c r="AV102" s="1023">
        <v>0</v>
      </c>
      <c r="AW102" s="1025"/>
      <c r="AX102" s="1282">
        <f t="shared" si="247"/>
        <v>16.658504634146343</v>
      </c>
      <c r="AY102" s="387">
        <f t="shared" si="248"/>
        <v>13.852135833432484</v>
      </c>
      <c r="AZ102" s="387">
        <f t="shared" si="249"/>
        <v>13.349634518361608</v>
      </c>
      <c r="BA102" s="387">
        <f t="shared" si="250"/>
        <v>22.380582207200121</v>
      </c>
      <c r="BB102" s="1283">
        <f t="shared" si="251"/>
        <v>12.682172169619136</v>
      </c>
      <c r="BC102" s="386">
        <f t="shared" si="252"/>
        <v>88.5826557059425</v>
      </c>
      <c r="BD102" s="387">
        <f t="shared" si="253"/>
        <v>235.51978766975498</v>
      </c>
      <c r="BE102" s="1277">
        <f t="shared" si="254"/>
        <v>66.28341135354421</v>
      </c>
      <c r="BF102" s="1277">
        <f t="shared" si="255"/>
        <v>0</v>
      </c>
      <c r="BG102" s="388">
        <f t="shared" si="256"/>
        <v>0</v>
      </c>
      <c r="BH102" s="1025"/>
      <c r="BI102" s="1282">
        <f t="shared" ca="1" si="257"/>
        <v>0.33317009268292685</v>
      </c>
      <c r="BJ102" s="387">
        <f t="shared" ca="1" si="258"/>
        <v>0.94338290203450348</v>
      </c>
      <c r="BK102" s="387">
        <f t="shared" ca="1" si="259"/>
        <v>1.4874183090703852</v>
      </c>
      <c r="BL102" s="387">
        <f t="shared" ca="1" si="260"/>
        <v>2.2020226435816199</v>
      </c>
      <c r="BM102" s="1283">
        <f t="shared" ca="1" si="261"/>
        <v>2.9032777311180049</v>
      </c>
      <c r="BN102" s="386">
        <f t="shared" ca="1" si="262"/>
        <v>4.9285742886292372</v>
      </c>
      <c r="BO102" s="387">
        <f t="shared" ca="1" si="263"/>
        <v>11.410623156143187</v>
      </c>
      <c r="BP102" s="1277">
        <f t="shared" ca="1" si="264"/>
        <v>17.446687136609171</v>
      </c>
      <c r="BQ102" s="1277">
        <f t="shared" ca="1" si="265"/>
        <v>18.772355363680052</v>
      </c>
      <c r="BR102" s="388">
        <f t="shared" ca="1" si="266"/>
        <v>18.772355363680052</v>
      </c>
      <c r="BS102" s="1025"/>
      <c r="BT102" s="1282">
        <f>+IF($K102="Ongoing",AX102,IF(RIGHT($K102,2)=RIGHT(BT$43,2),SUM($AX102:AX102),0)+IF(RIGHT(BT$43,2)&gt;RIGHT($K102,2),AX102,0))</f>
        <v>16.658504634146343</v>
      </c>
      <c r="BU102" s="387">
        <f>+IF($K102="Ongoing",AY102,IF(RIGHT($K102,2)=RIGHT(BU$43,2),SUM($AX102:AY102),0)+IF(RIGHT(BU$43,2)&gt;RIGHT($K102,2),AY102,0))</f>
        <v>13.852135833432484</v>
      </c>
      <c r="BV102" s="387">
        <f>+IF($K102="Ongoing",AZ102,IF(RIGHT($K102,2)=RIGHT(BV$43,2),SUM($AX102:AZ102),0)+IF(RIGHT(BV$43,2)&gt;RIGHT($K102,2),AZ102,0))</f>
        <v>13.349634518361608</v>
      </c>
      <c r="BW102" s="387">
        <f>+IF($K102="Ongoing",BA102,IF(RIGHT($K102,2)=RIGHT(BW$43,2),SUM($AX102:BA102),0)+IF(RIGHT(BW$43,2)&gt;RIGHT($K102,2),BA102,0))</f>
        <v>22.380582207200121</v>
      </c>
      <c r="BX102" s="1283">
        <f>+IF($K102="Ongoing",BB102,IF(RIGHT($K102,2)=RIGHT(BX$43,2),SUM($AX102:BB102),0)+IF(RIGHT(BX$43,2)&gt;RIGHT($K102,2),BB102,0))</f>
        <v>12.682172169619136</v>
      </c>
      <c r="BY102" s="386">
        <f>+IF($K102="Ongoing",BC102,IF(RIGHT($K102,2)=RIGHT(BY$43,2),SUM($AX102:BC102),0)+IF(RIGHT(BY$43,2)&gt;RIGHT($K102,2),BC102,0))</f>
        <v>88.5826557059425</v>
      </c>
      <c r="BZ102" s="387">
        <f>+IF($K102="Ongoing",BD102,IF(RIGHT($K102,2)=RIGHT(BZ$43,2),SUM($AX102:BD102),0)+IF(RIGHT(BZ$43,2)&gt;RIGHT($K102,2),BD102,0))</f>
        <v>235.51978766975498</v>
      </c>
      <c r="CA102" s="1277">
        <f>+IF($K102="Ongoing",BE102,IF(RIGHT($K102,2)=RIGHT(CA$43,2),SUM($AX102:BE102),0)+IF(RIGHT(CA$43,2)&gt;RIGHT($K102,2),BE102,0))</f>
        <v>66.28341135354421</v>
      </c>
      <c r="CB102" s="1277">
        <f>+IF($K102="Ongoing",BF102,IF(RIGHT($K102,2)=RIGHT(CB$43,2),SUM($AX102:BF102),0)+IF(RIGHT(CB$43,2)&gt;RIGHT($K102,2),BF102,0))</f>
        <v>0</v>
      </c>
      <c r="CC102" s="388">
        <f>+IF($K102="Ongoing",BG102,IF(RIGHT($K102,2)=RIGHT(CC$43,2),SUM($AX102:BG102),0)+IF(RIGHT(CC$43,2)&gt;RIGHT($K102,2),BG102,0))</f>
        <v>0</v>
      </c>
      <c r="CD102" s="1025"/>
      <c r="CE102" s="1282">
        <f>+Q102*KeyAssumptionsPriceControl_FO!AF$15</f>
        <v>17.141601268536586</v>
      </c>
      <c r="CF102" s="387">
        <f>+R102*KeyAssumptionsPriceControl_FO!AG$15</f>
        <v>14.667209358007485</v>
      </c>
      <c r="CG102" s="387">
        <f>+S102*KeyAssumptionsPriceControl_FO!AH$15</f>
        <v>14.545059433585159</v>
      </c>
      <c r="CH102" s="387">
        <f>+T102*KeyAssumptionsPriceControl_FO!AI$15</f>
        <v>25.091861350491232</v>
      </c>
      <c r="CI102" s="1283">
        <f>+U102*KeyAssumptionsPriceControl_FO!AJ$15</f>
        <v>14.630882366553847</v>
      </c>
      <c r="CJ102" s="386">
        <f>+V102*KeyAssumptionsPriceControl_FO!AK$15</f>
        <v>105.15766759503016</v>
      </c>
      <c r="CK102" s="387">
        <f>+W102*KeyAssumptionsPriceControl_FO!AL$15</f>
        <v>287.69679544490731</v>
      </c>
      <c r="CL102" s="1277">
        <f>+X102*KeyAssumptionsPriceControl_FO!AM$15</f>
        <v>83.315892298508174</v>
      </c>
      <c r="CM102" s="1277">
        <f>+Y102*KeyAssumptionsPriceControl_FO!AN$15</f>
        <v>0</v>
      </c>
      <c r="CN102" s="388">
        <f>+Z102*KeyAssumptionsPriceControl_FO!AO$15</f>
        <v>0</v>
      </c>
      <c r="CO102" s="1025"/>
      <c r="CP102" s="1282">
        <f t="shared" ca="1" si="267"/>
        <v>0</v>
      </c>
      <c r="CQ102" s="387">
        <f t="shared" ca="1" si="268"/>
        <v>0</v>
      </c>
      <c r="CR102" s="387">
        <f t="shared" ca="1" si="269"/>
        <v>0</v>
      </c>
      <c r="CS102" s="387">
        <f t="shared" ca="1" si="270"/>
        <v>0</v>
      </c>
      <c r="CT102" s="1283">
        <f t="shared" ca="1" si="271"/>
        <v>0</v>
      </c>
      <c r="CU102" s="386">
        <f t="shared" ca="1" si="272"/>
        <v>0</v>
      </c>
      <c r="CV102" s="387">
        <f t="shared" ca="1" si="273"/>
        <v>0</v>
      </c>
      <c r="CW102" s="1277">
        <f t="shared" ca="1" si="274"/>
        <v>0</v>
      </c>
      <c r="CX102" s="1277">
        <f t="shared" ca="1" si="275"/>
        <v>0</v>
      </c>
      <c r="CY102" s="388">
        <f t="shared" ca="1" si="276"/>
        <v>0</v>
      </c>
      <c r="CZ102" s="347"/>
      <c r="DA102" s="852"/>
      <c r="DB102" s="347"/>
      <c r="DC102" s="1012" t="s">
        <v>591</v>
      </c>
      <c r="DD102" s="841" t="s">
        <v>518</v>
      </c>
      <c r="DE102" s="386">
        <f>+IF($K102="ongoing",CE102,IF(RIGHT($K102,2)=RIGHT(DE$43,2),SUM($CD102:CE102),0)+IF(RIGHT(DE$43,2)&gt;RIGHT($K102,2),CE102,0))</f>
        <v>17.141601268536586</v>
      </c>
      <c r="DF102" s="387">
        <f>+IF($K102="ongoing",CF102,IF(RIGHT($K102,2)=RIGHT(DF$43,2),SUM($CD102:CF102),0)+IF(RIGHT(DF$43,2)&gt;RIGHT($K102,2),CF102,0))</f>
        <v>14.667209358007485</v>
      </c>
      <c r="DG102" s="388">
        <f>+IF($K102="ongoing",CG102,IF(RIGHT($K102,2)=RIGHT(DG$43,2),SUM($CD102:CG102),0)+IF(RIGHT(DG$43,2)&gt;RIGHT($K102,2),CG102,0))</f>
        <v>14.545059433585159</v>
      </c>
      <c r="DH102" s="386">
        <f>+IF($K102="ongoing",CH102,IF(RIGHT($K102,2)=RIGHT(DH$43,2),SUM($CD102:CH102),0)+IF(RIGHT(DH$43,2)&gt;RIGHT($K102,2),CH102,0))</f>
        <v>25.091861350491232</v>
      </c>
      <c r="DI102" s="387">
        <f>+IF($K102="ongoing",CI102,IF(RIGHT($K102,2)=RIGHT(DI$43,2),SUM($CD102:CI102),0)+IF(RIGHT(DI$43,2)&gt;RIGHT($K102,2),CI102,0))</f>
        <v>14.630882366553847</v>
      </c>
      <c r="DJ102" s="387">
        <f>+IF($K102="ongoing",CJ102,IF(RIGHT($K102,2)=RIGHT(DJ$43,2),SUM($CD102:CJ102),0)+IF(RIGHT(DJ$43,2)&gt;RIGHT($K102,2),CJ102,0))</f>
        <v>105.15766759503016</v>
      </c>
      <c r="DK102" s="387">
        <f>+IF($K102="ongoing",CK102,IF(RIGHT($K102,2)=RIGHT(DK$43,2),SUM($CD102:CK102),0)+IF(RIGHT(DK$43,2)&gt;RIGHT($K102,2),CK102,0))</f>
        <v>287.69679544490731</v>
      </c>
      <c r="DL102" s="388">
        <f>+IF($K102="ongoing",CN102,IF(RIGHT($K102,2)=RIGHT(DL$43,2),SUM($CD102:CN102),0)+IF(RIGHT(DL$43,2)&gt;RIGHT($K102,2),CN102,0))</f>
        <v>0</v>
      </c>
      <c r="DM102" s="841"/>
      <c r="DN102" s="386">
        <f t="shared" si="277"/>
        <v>0.5</v>
      </c>
      <c r="DO102" s="387">
        <f t="shared" si="278"/>
        <v>1</v>
      </c>
      <c r="DP102" s="388">
        <f t="shared" si="279"/>
        <v>1</v>
      </c>
      <c r="DQ102" s="386">
        <f t="shared" si="280"/>
        <v>1</v>
      </c>
      <c r="DR102" s="387">
        <f t="shared" si="281"/>
        <v>1</v>
      </c>
      <c r="DS102" s="387">
        <f t="shared" si="282"/>
        <v>1</v>
      </c>
      <c r="DT102" s="387">
        <f t="shared" si="283"/>
        <v>1</v>
      </c>
      <c r="DU102" s="388">
        <f t="shared" si="284"/>
        <v>1</v>
      </c>
      <c r="DW102" s="386">
        <f t="shared" si="285"/>
        <v>0</v>
      </c>
      <c r="DX102" s="387">
        <f t="shared" si="286"/>
        <v>0.5</v>
      </c>
      <c r="DY102" s="388">
        <f t="shared" si="287"/>
        <v>1</v>
      </c>
      <c r="DZ102" s="386">
        <f t="shared" si="288"/>
        <v>1</v>
      </c>
      <c r="EA102" s="387">
        <f t="shared" si="289"/>
        <v>1</v>
      </c>
      <c r="EB102" s="387">
        <f t="shared" si="290"/>
        <v>1</v>
      </c>
      <c r="EC102" s="387">
        <f t="shared" si="291"/>
        <v>1</v>
      </c>
      <c r="ED102" s="388">
        <f t="shared" si="292"/>
        <v>1</v>
      </c>
      <c r="EF102" s="834">
        <f>+IF(DN102=DM102,0,
IF(AND(EF$44&gt;1,DN102=$N102),1-SUM($EE102:EE102),
IF($N102&lt;=1,
IF($N102&gt;0,1/$N102,0),
IF(EF$44=1,0,VDB(1,0,$N102,INT(EF$44-1-1),MIN($N102,INT(EF$44-1-1)+1),$DC102,IF($DD102="No",1,0))/
IF(DM102&gt;=INT($N102),$N102-INT($N102),1)))*
IF(EF$44=1,0,
IF(INT(DN102)=INT(DM102),DN102-DM102,INT(DN102)-DM102))+
IF($N102&lt;=1,
IF($N102&gt;0,1/$N102,0),VDB(1,0,$N102,INT(EF$44-1),MIN($N102,INT(EF$44-1)+1),$DC102,IF($DD102="No",1,0))/
IF(DN102&gt;INT($N102),$N102-INT($N102),1))*
IF(EF$44=1,DN102,
IF(INT(DN102)=INT(DM102),0,DN102-INT(DN102)))))</f>
        <v>0</v>
      </c>
      <c r="EG102" s="835">
        <f>+IF(DO102=DN102,0,
IF(AND(EG$44&gt;1,DO102=$N102),1-SUM($EE102:EF102),
IF($N102&lt;=1,
IF($N102&gt;0,1/$N102,0),
IF(EG$44=1,0,VDB(1,0,$N102,INT(EG$44-1-1),MIN($N102,INT(EG$44-1-1)+1),$DC102,IF($DD102="No",1,0))/
IF(DN102&gt;=INT($N102),$N102-INT($N102),1)))*
IF(EG$44=1,0,
IF(INT(DO102)=INT(DN102),DO102-DN102,INT(DO102)-DN102))+
IF($N102&lt;=1,
IF($N102&gt;0,1/$N102,0),VDB(1,0,$N102,INT(EG$44-1),MIN($N102,INT(EG$44-1)+1),$DC102,IF($DD102="No",1,0))/
IF(DO102&gt;INT($N102),$N102-INT($N102),1))*
IF(EG$44=1,DO102,
IF(INT(DO102)=INT(DN102),0,DO102-INT(DO102)))))</f>
        <v>0</v>
      </c>
      <c r="EH102" s="836">
        <f>+IF(DP102=DO102,0,
IF(AND(EH$44&gt;1,DP102=$N102),1-SUM($EE102:EG102),
IF($N102&lt;=1,
IF($N102&gt;0,1/$N102,0),
IF(EH$44=1,0,VDB(1,0,$N102,INT(EH$44-1-1),MIN($N102,INT(EH$44-1-1)+1),$DC102,IF($DD102="No",1,0))/
IF(DO102&gt;=INT($N102),$N102-INT($N102),1)))*
IF(EH$44=1,0,
IF(INT(DP102)=INT(DO102),DP102-DO102,INT(DP102)-DO102))+
IF($N102&lt;=1,
IF($N102&gt;0,1/$N102,0),VDB(1,0,$N102,INT(EH$44-1),MIN($N102,INT(EH$44-1)+1),$DC102,IF($DD102="No",1,0))/
IF(DP102&gt;INT($N102),$N102-INT($N102),1))*
IF(EH$44=1,DP102,
IF(INT(DP102)=INT(DO102),0,DP102-INT(DP102)))))</f>
        <v>0</v>
      </c>
      <c r="EI102" s="834">
        <f>+IF(DQ102=DP102,0,
IF(AND(EI$44&gt;1,DQ102=$N102),1-SUM($EE102:EH102),
IF($N102&lt;=1,
IF($N102&gt;0,1/$N102,0),
IF(EI$44=1,0,VDB(1,0,$N102,INT(EI$44-1-1),MIN($N102,INT(EI$44-1-1)+1),$DC102,IF($DD102="No",1,0))/
IF(DP102&gt;=INT($N102),$N102-INT($N102),1)))*
IF(EI$44=1,0,
IF(INT(DQ102)=INT(DP102),DQ102-DP102,INT(DQ102)-DP102))+
IF($N102&lt;=1,
IF($N102&gt;0,1/$N102,0),VDB(1,0,$N102,INT(EI$44-1),MIN($N102,INT(EI$44-1)+1),$DC102,IF($DD102="No",1,0))/
IF(DQ102&gt;INT($N102),$N102-INT($N102),1))*
IF(EI$44=1,DQ102,
IF(INT(DQ102)=INT(DP102),0,DQ102-INT(DQ102)))))</f>
        <v>0</v>
      </c>
      <c r="EJ102" s="835">
        <f>+IF(DR102=DQ102,0,
IF(AND(EJ$44&gt;1,DR102=$N102),1-SUM($EE102:EI102),
IF($N102&lt;=1,
IF($N102&gt;0,1/$N102,0),
IF(EJ$44=1,0,VDB(1,0,$N102,INT(EJ$44-1-1),MIN($N102,INT(EJ$44-1-1)+1),$DC102,IF($DD102="No",1,0))/
IF(DQ102&gt;=INT($N102),$N102-INT($N102),1)))*
IF(EJ$44=1,0,
IF(INT(DR102)=INT(DQ102),DR102-DQ102,INT(DR102)-DQ102))+
IF($N102&lt;=1,
IF($N102&gt;0,1/$N102,0),VDB(1,0,$N102,INT(EJ$44-1),MIN($N102,INT(EJ$44-1)+1),$DC102,IF($DD102="No",1,0))/
IF(DR102&gt;INT($N102),$N102-INT($N102),1))*
IF(EJ$44=1,DR102,
IF(INT(DR102)=INT(DQ102),0,DR102-INT(DR102)))))</f>
        <v>0</v>
      </c>
      <c r="EK102" s="835">
        <f>+IF(DS102=DR102,0,
IF(AND(EK$44&gt;1,DS102=$N102),1-SUM($EE102:EJ102),
IF($N102&lt;=1,
IF($N102&gt;0,1/$N102,0),
IF(EK$44=1,0,VDB(1,0,$N102,INT(EK$44-1-1),MIN($N102,INT(EK$44-1-1)+1),$DC102,IF($DD102="No",1,0))/
IF(DR102&gt;=INT($N102),$N102-INT($N102),1)))*
IF(EK$44=1,0,
IF(INT(DS102)=INT(DR102),DS102-DR102,INT(DS102)-DR102))+
IF($N102&lt;=1,
IF($N102&gt;0,1/$N102,0),VDB(1,0,$N102,INT(EK$44-1),MIN($N102,INT(EK$44-1)+1),$DC102,IF($DD102="No",1,0))/
IF(DS102&gt;INT($N102),$N102-INT($N102),1))*
IF(EK$44=1,DS102,
IF(INT(DS102)=INT(DR102),0,DS102-INT(DS102)))))</f>
        <v>0</v>
      </c>
      <c r="EL102" s="835">
        <f>+IF(DT102=DS102,0,
IF(AND(EL$44&gt;1,DT102=$N102),1-SUM($EE102:EK102),
IF($N102&lt;=1,
IF($N102&gt;0,1/$N102,0),
IF(EL$44=1,0,VDB(1,0,$N102,INT(EL$44-1-1),MIN($N102,INT(EL$44-1-1)+1),$DC102,IF($DD102="No",1,0))/
IF(DS102&gt;=INT($N102),$N102-INT($N102),1)))*
IF(EL$44=1,0,
IF(INT(DT102)=INT(DS102),DT102-DS102,INT(DT102)-DS102))+
IF($N102&lt;=1,
IF($N102&gt;0,1/$N102,0),VDB(1,0,$N102,INT(EL$44-1),MIN($N102,INT(EL$44-1)+1),$DC102,IF($DD102="No",1,0))/
IF(DT102&gt;INT($N102),$N102-INT($N102),1))*
IF(EL$44=1,DT102,
IF(INT(DT102)=INT(DS102),0,DT102-INT(DT102)))))</f>
        <v>0</v>
      </c>
      <c r="EM102" s="836">
        <f>+IF(DU102=DT102,0,
IF(AND(EM$44&gt;1,DU102=$N102),1-SUM($EE102:EL102),
IF($N102&lt;=1,
IF($N102&gt;0,1/$N102,0),
IF(EM$44=1,0,VDB(1,0,$N102,INT(EM$44-1-1),MIN($N102,INT(EM$44-1-1)+1),$DC102,IF($DD102="No",1,0))/
IF(DT102&gt;=INT($N102),$N102-INT($N102),1)))*
IF(EM$44=1,0,
IF(INT(DU102)=INT(DT102),DU102-DT102,INT(DU102)-DT102))+
IF($N102&lt;=1,
IF($N102&gt;0,1/$N102,0),VDB(1,0,$N102,INT(EM$44-1),MIN($N102,INT(EM$44-1)+1),$DC102,IF($DD102="No",1,0))/
IF(DU102&gt;INT($N102),$N102-INT($N102),1))*
IF(EM$44=1,DU102,
IF(INT(DU102)=INT(DT102),0,DU102-INT(DU102)))))</f>
        <v>0</v>
      </c>
      <c r="EN102" s="833"/>
      <c r="EO102" s="834">
        <f>+IF(OR(DW102=DV102,EO$44=1),0,
IF(AND(EO$44&gt;1,DW102=$N102),1-SUM($EN102:EN102),
IF($N102&lt;=1,
IF($N102&gt;0,1/$N102,0),
IF(EO$44=2,0,VDB(1,0,$N102,INT(EO$44-2-1),MIN($N102,INT(EO$44-2-1)+1),$DC102,IF($DD102="No",1,0))/
IF(DV102&gt;=INT($N102),$N102-INT($N102),1)))*
IF(EO$44=2,0,
IF(INT(DW102)=INT(DV102),DW102-DV102,INT(DW102)-DV102))+
IF($N102&lt;=1,
IF($N102&gt;0,1/$N102,0),VDB(1,0,$N102,INT(EO$44-2),MIN($N102,INT(EO$44-2)+1),$DC102,IF($DD102="No",1,0))/
IF(DW102&gt;INT($N102),$N102-INT($N102),1))*
IF(EO$44=2,DW102,
IF(INT(DW102)=INT(DV102),0,DW102-INT(DW102)))))</f>
        <v>0</v>
      </c>
      <c r="EP102" s="835">
        <f>+IF(OR(DX102=DW102,EP$44=1),0,
IF(AND(EP$44&gt;1,DX102=$N102),1-SUM($EN102:EO102),
IF($N102&lt;=1,
IF($N102&gt;0,1/$N102,0),
IF(EP$44=2,0,VDB(1,0,$N102,INT(EP$44-2-1),MIN($N102,INT(EP$44-2-1)+1),$DC102,IF($DD102="No",1,0))/
IF(DW102&gt;=INT($N102),$N102-INT($N102),1)))*
IF(EP$44=2,0,
IF(INT(DX102)=INT(DW102),DX102-DW102,INT(DX102)-DW102))+
IF($N102&lt;=1,
IF($N102&gt;0,1/$N102,0),VDB(1,0,$N102,INT(EP$44-2),MIN($N102,INT(EP$44-2)+1),$DC102,IF($DD102="No",1,0))/
IF(DX102&gt;INT($N102),$N102-INT($N102),1))*
IF(EP$44=2,DX102,
IF(INT(DX102)=INT(DW102),0,DX102-INT(DX102)))))</f>
        <v>0</v>
      </c>
      <c r="EQ102" s="836">
        <f>+IF(OR(DY102=DX102,EQ$44=1),0,
IF(AND(EQ$44&gt;1,DY102=$N102),1-SUM($EN102:EP102),
IF($N102&lt;=1,
IF($N102&gt;0,1/$N102,0),
IF(EQ$44=2,0,VDB(1,0,$N102,INT(EQ$44-2-1),MIN($N102,INT(EQ$44-2-1)+1),$DC102,IF($DD102="No",1,0))/
IF(DX102&gt;=INT($N102),$N102-INT($N102),1)))*
IF(EQ$44=2,0,
IF(INT(DY102)=INT(DX102),DY102-DX102,INT(DY102)-DX102))+
IF($N102&lt;=1,
IF($N102&gt;0,1/$N102,0),VDB(1,0,$N102,INT(EQ$44-2),MIN($N102,INT(EQ$44-2)+1),$DC102,IF($DD102="No",1,0))/
IF(DY102&gt;INT($N102),$N102-INT($N102),1))*
IF(EQ$44=2,DY102,
IF(INT(DY102)=INT(DX102),0,DY102-INT(DY102)))))</f>
        <v>0</v>
      </c>
      <c r="ER102" s="834">
        <f>+IF(OR(DZ102=DY102,ER$44=1),0,
IF(AND(ER$44&gt;1,DZ102=$N102),1-SUM($EN102:EQ102),
IF($N102&lt;=1,
IF($N102&gt;0,1/$N102,0),
IF(ER$44=2,0,VDB(1,0,$N102,INT(ER$44-2-1),MIN($N102,INT(ER$44-2-1)+1),$DC102,IF($DD102="No",1,0))/
IF(DY102&gt;=INT($N102),$N102-INT($N102),1)))*
IF(ER$44=2,0,
IF(INT(DZ102)=INT(DY102),DZ102-DY102,INT(DZ102)-DY102))+
IF($N102&lt;=1,
IF($N102&gt;0,1/$N102,0),VDB(1,0,$N102,INT(ER$44-2),MIN($N102,INT(ER$44-2)+1),$DC102,IF($DD102="No",1,0))/
IF(DZ102&gt;INT($N102),$N102-INT($N102),1))*
IF(ER$44=2,DZ102,
IF(INT(DZ102)=INT(DY102),0,DZ102-INT(DZ102)))))</f>
        <v>0</v>
      </c>
      <c r="ES102" s="835">
        <f>+IF(OR(EA102=DZ102,ES$44=1),0,
IF(AND(ES$44&gt;1,EA102=$N102),1-SUM($EN102:ER102),
IF($N102&lt;=1,
IF($N102&gt;0,1/$N102,0),
IF(ES$44=2,0,VDB(1,0,$N102,INT(ES$44-2-1),MIN($N102,INT(ES$44-2-1)+1),$DC102,IF($DD102="No",1,0))/
IF(DZ102&gt;=INT($N102),$N102-INT($N102),1)))*
IF(ES$44=2,0,
IF(INT(EA102)=INT(DZ102),EA102-DZ102,INT(EA102)-DZ102))+
IF($N102&lt;=1,
IF($N102&gt;0,1/$N102,0),VDB(1,0,$N102,INT(ES$44-2),MIN($N102,INT(ES$44-2)+1),$DC102,IF($DD102="No",1,0))/
IF(EA102&gt;INT($N102),$N102-INT($N102),1))*
IF(ES$44=2,EA102,
IF(INT(EA102)=INT(DZ102),0,EA102-INT(EA102)))))</f>
        <v>0</v>
      </c>
      <c r="ET102" s="835">
        <f>+IF(OR(EB102=EA102,ET$44=1),0,
IF(AND(ET$44&gt;1,EB102=$N102),1-SUM($EN102:ES102),
IF($N102&lt;=1,
IF($N102&gt;0,1/$N102,0),
IF(ET$44=2,0,VDB(1,0,$N102,INT(ET$44-2-1),MIN($N102,INT(ET$44-2-1)+1),$DC102,IF($DD102="No",1,0))/
IF(EA102&gt;=INT($N102),$N102-INT($N102),1)))*
IF(ET$44=2,0,
IF(INT(EB102)=INT(EA102),EB102-EA102,INT(EB102)-EA102))+
IF($N102&lt;=1,
IF($N102&gt;0,1/$N102,0),VDB(1,0,$N102,INT(ET$44-2),MIN($N102,INT(ET$44-2)+1),$DC102,IF($DD102="No",1,0))/
IF(EB102&gt;INT($N102),$N102-INT($N102),1))*
IF(ET$44=2,EB102,
IF(INT(EB102)=INT(EA102),0,EB102-INT(EB102)))))</f>
        <v>0</v>
      </c>
      <c r="EU102" s="835">
        <f>+IF(OR(EC102=EB102,EU$44=1),0,
IF(AND(EU$44&gt;1,EC102=$N102),1-SUM($EN102:ET102),
IF($N102&lt;=1,
IF($N102&gt;0,1/$N102,0),
IF(EU$44=2,0,VDB(1,0,$N102,INT(EU$44-2-1),MIN($N102,INT(EU$44-2-1)+1),$DC102,IF($DD102="No",1,0))/
IF(EB102&gt;=INT($N102),$N102-INT($N102),1)))*
IF(EU$44=2,0,
IF(INT(EC102)=INT(EB102),EC102-EB102,INT(EC102)-EB102))+
IF($N102&lt;=1,
IF($N102&gt;0,1/$N102,0),VDB(1,0,$N102,INT(EU$44-2),MIN($N102,INT(EU$44-2)+1),$DC102,IF($DD102="No",1,0))/
IF(EC102&gt;INT($N102),$N102-INT($N102),1))*
IF(EU$44=2,EC102,
IF(INT(EC102)=INT(EB102),0,EC102-INT(EC102)))))</f>
        <v>0</v>
      </c>
      <c r="EV102" s="836">
        <f>+IF(OR(ED102=EC102,EV$44=1),0,
IF(AND(EV$44&gt;1,ED102=$N102),1-SUM($EN102:EU102),
IF($N102&lt;=1,
IF($N102&gt;0,1/$N102,0),
IF(EV$44=2,0,VDB(1,0,$N102,INT(EV$44-2-1),MIN($N102,INT(EV$44-2-1)+1),$DC102,IF($DD102="No",1,0))/
IF(EC102&gt;=INT($N102),$N102-INT($N102),1)))*
IF(EV$44=2,0,
IF(INT(ED102)=INT(EC102),ED102-EC102,INT(ED102)-EC102))+
IF($N102&lt;=1,
IF($N102&gt;0,1/$N102,0),VDB(1,0,$N102,INT(EV$44-2),MIN($N102,INT(EV$44-2)+1),$DC102,IF($DD102="No",1,0))/
IF(ED102&gt;INT($N102),$N102-INT($N102),1))*
IF(EV$44=2,ED102,
IF(INT(ED102)=INT(EC102),0,ED102-INT(ED102)))))</f>
        <v>0</v>
      </c>
      <c r="EW102" s="833"/>
      <c r="EX102" s="834">
        <f t="shared" ca="1" si="301"/>
        <v>0</v>
      </c>
      <c r="EY102" s="835">
        <f t="shared" ca="1" si="301"/>
        <v>0</v>
      </c>
      <c r="EZ102" s="836">
        <f t="shared" ca="1" si="301"/>
        <v>0</v>
      </c>
      <c r="FA102" s="834">
        <f t="shared" ca="1" si="301"/>
        <v>0</v>
      </c>
      <c r="FB102" s="835">
        <f t="shared" ca="1" si="301"/>
        <v>0</v>
      </c>
      <c r="FC102" s="835">
        <f t="shared" ca="1" si="301"/>
        <v>0</v>
      </c>
      <c r="FD102" s="835">
        <f t="shared" ca="1" si="301"/>
        <v>0</v>
      </c>
      <c r="FE102" s="836">
        <f t="shared" ca="1" si="301"/>
        <v>0</v>
      </c>
      <c r="FG102" s="386">
        <f t="shared" ca="1" si="293"/>
        <v>0</v>
      </c>
      <c r="FH102" s="387">
        <f t="shared" ca="1" si="294"/>
        <v>0</v>
      </c>
      <c r="FI102" s="388">
        <f t="shared" ca="1" si="295"/>
        <v>0</v>
      </c>
      <c r="FJ102" s="386">
        <f t="shared" ca="1" si="296"/>
        <v>0</v>
      </c>
      <c r="FK102" s="387">
        <f t="shared" ca="1" si="297"/>
        <v>0</v>
      </c>
      <c r="FL102" s="387">
        <f t="shared" ca="1" si="298"/>
        <v>0</v>
      </c>
      <c r="FM102" s="387">
        <f t="shared" ca="1" si="299"/>
        <v>0</v>
      </c>
      <c r="FN102" s="388">
        <f t="shared" ca="1" si="300"/>
        <v>0</v>
      </c>
      <c r="FR102" s="116"/>
    </row>
    <row r="103" spans="2:174">
      <c r="B103" s="1410">
        <f t="shared" si="135"/>
        <v>57</v>
      </c>
      <c r="C103" s="400" t="s">
        <v>589</v>
      </c>
      <c r="D103" s="410"/>
      <c r="E103" s="402" t="s">
        <v>401</v>
      </c>
      <c r="F103" s="402" t="s">
        <v>527</v>
      </c>
      <c r="G103" s="400" t="s">
        <v>522</v>
      </c>
      <c r="H103" s="2088" t="s">
        <v>483</v>
      </c>
      <c r="I103" s="2089"/>
      <c r="J103" s="411" t="s">
        <v>516</v>
      </c>
      <c r="K103" s="403" t="s">
        <v>544</v>
      </c>
      <c r="L103" s="403">
        <v>25</v>
      </c>
      <c r="M103" s="403" t="s">
        <v>142</v>
      </c>
      <c r="N103" s="403"/>
      <c r="O103" s="347"/>
      <c r="P103" s="347"/>
      <c r="Q103" s="1021">
        <v>17.890680312195126</v>
      </c>
      <c r="R103" s="1022">
        <v>69.379140863771568</v>
      </c>
      <c r="S103" s="1022">
        <v>78.97966867340871</v>
      </c>
      <c r="T103" s="1022">
        <v>55.224600815709479</v>
      </c>
      <c r="U103" s="1023">
        <v>35.587723671484817</v>
      </c>
      <c r="V103" s="1021">
        <v>31.848270672188825</v>
      </c>
      <c r="W103" s="1022">
        <v>28.098332883126893</v>
      </c>
      <c r="X103" s="1022">
        <v>98.924749150162739</v>
      </c>
      <c r="Y103" s="1022">
        <v>55.106244364731211</v>
      </c>
      <c r="Z103" s="1023">
        <v>41.356083268105969</v>
      </c>
      <c r="AA103" s="1024"/>
      <c r="AB103" s="1021">
        <v>0</v>
      </c>
      <c r="AC103" s="1022">
        <v>0</v>
      </c>
      <c r="AD103" s="1022">
        <v>0</v>
      </c>
      <c r="AE103" s="1022">
        <v>0</v>
      </c>
      <c r="AF103" s="1023">
        <v>0</v>
      </c>
      <c r="AG103" s="1021">
        <v>0</v>
      </c>
      <c r="AH103" s="1022">
        <v>0</v>
      </c>
      <c r="AI103" s="1022">
        <v>0</v>
      </c>
      <c r="AJ103" s="1022">
        <v>0</v>
      </c>
      <c r="AK103" s="1023">
        <v>0</v>
      </c>
      <c r="AL103" s="1024"/>
      <c r="AM103" s="1021">
        <v>0</v>
      </c>
      <c r="AN103" s="1022">
        <v>0</v>
      </c>
      <c r="AO103" s="1022">
        <v>0</v>
      </c>
      <c r="AP103" s="1022">
        <v>0</v>
      </c>
      <c r="AQ103" s="1023">
        <v>0</v>
      </c>
      <c r="AR103" s="1021">
        <v>0</v>
      </c>
      <c r="AS103" s="1022">
        <v>0</v>
      </c>
      <c r="AT103" s="1022">
        <v>0</v>
      </c>
      <c r="AU103" s="1022">
        <v>0</v>
      </c>
      <c r="AV103" s="1023">
        <v>0</v>
      </c>
      <c r="AW103" s="1025"/>
      <c r="AX103" s="1282">
        <f t="shared" si="247"/>
        <v>17.890680312195126</v>
      </c>
      <c r="AY103" s="387">
        <f t="shared" si="248"/>
        <v>69.379140863771568</v>
      </c>
      <c r="AZ103" s="387">
        <f t="shared" si="249"/>
        <v>78.97966867340871</v>
      </c>
      <c r="BA103" s="387">
        <f t="shared" si="250"/>
        <v>55.224600815709479</v>
      </c>
      <c r="BB103" s="1283">
        <f t="shared" si="251"/>
        <v>35.587723671484817</v>
      </c>
      <c r="BC103" s="386">
        <f t="shared" si="252"/>
        <v>31.848270672188825</v>
      </c>
      <c r="BD103" s="387">
        <f t="shared" si="253"/>
        <v>28.098332883126893</v>
      </c>
      <c r="BE103" s="1277">
        <f t="shared" si="254"/>
        <v>98.924749150162739</v>
      </c>
      <c r="BF103" s="1277">
        <f t="shared" si="255"/>
        <v>55.106244364731211</v>
      </c>
      <c r="BG103" s="388">
        <f t="shared" si="256"/>
        <v>41.356083268105969</v>
      </c>
      <c r="BH103" s="1025"/>
      <c r="BI103" s="1282">
        <f t="shared" ca="1" si="257"/>
        <v>0.35781360624390252</v>
      </c>
      <c r="BJ103" s="387">
        <f t="shared" ca="1" si="258"/>
        <v>2.1032100297632366</v>
      </c>
      <c r="BK103" s="387">
        <f t="shared" ca="1" si="259"/>
        <v>5.0703862205068422</v>
      </c>
      <c r="BL103" s="387">
        <f t="shared" ca="1" si="260"/>
        <v>7.7544716102892055</v>
      </c>
      <c r="BM103" s="1283">
        <f t="shared" ca="1" si="261"/>
        <v>9.5707181000330905</v>
      </c>
      <c r="BN103" s="386">
        <f t="shared" ca="1" si="262"/>
        <v>10.919437986906564</v>
      </c>
      <c r="BO103" s="387">
        <f t="shared" ca="1" si="263"/>
        <v>12.118370058012879</v>
      </c>
      <c r="BP103" s="1277">
        <f t="shared" ca="1" si="264"/>
        <v>14.658831698678672</v>
      </c>
      <c r="BQ103" s="1277">
        <f t="shared" ca="1" si="265"/>
        <v>17.739451568976552</v>
      </c>
      <c r="BR103" s="388">
        <f t="shared" ca="1" si="266"/>
        <v>19.668698121633295</v>
      </c>
      <c r="BS103" s="1025"/>
      <c r="BT103" s="1282">
        <f>+IF($K103="Ongoing",AX103,IF(RIGHT($K103,2)=RIGHT(BT$43,2),SUM($AX103:AX103),0)+IF(RIGHT(BT$43,2)&gt;RIGHT($K103,2),AX103,0))</f>
        <v>17.890680312195126</v>
      </c>
      <c r="BU103" s="387">
        <f>+IF($K103="Ongoing",AY103,IF(RIGHT($K103,2)=RIGHT(BU$43,2),SUM($AX103:AY103),0)+IF(RIGHT(BU$43,2)&gt;RIGHT($K103,2),AY103,0))</f>
        <v>69.379140863771568</v>
      </c>
      <c r="BV103" s="387">
        <f>+IF($K103="Ongoing",AZ103,IF(RIGHT($K103,2)=RIGHT(BV$43,2),SUM($AX103:AZ103),0)+IF(RIGHT(BV$43,2)&gt;RIGHT($K103,2),AZ103,0))</f>
        <v>78.97966867340871</v>
      </c>
      <c r="BW103" s="387">
        <f>+IF($K103="Ongoing",BA103,IF(RIGHT($K103,2)=RIGHT(BW$43,2),SUM($AX103:BA103),0)+IF(RIGHT(BW$43,2)&gt;RIGHT($K103,2),BA103,0))</f>
        <v>55.224600815709479</v>
      </c>
      <c r="BX103" s="1283">
        <f>+IF($K103="Ongoing",BB103,IF(RIGHT($K103,2)=RIGHT(BX$43,2),SUM($AX103:BB103),0)+IF(RIGHT(BX$43,2)&gt;RIGHT($K103,2),BB103,0))</f>
        <v>35.587723671484817</v>
      </c>
      <c r="BY103" s="386">
        <f>+IF($K103="Ongoing",BC103,IF(RIGHT($K103,2)=RIGHT(BY$43,2),SUM($AX103:BC103),0)+IF(RIGHT(BY$43,2)&gt;RIGHT($K103,2),BC103,0))</f>
        <v>31.848270672188825</v>
      </c>
      <c r="BZ103" s="387">
        <f>+IF($K103="Ongoing",BD103,IF(RIGHT($K103,2)=RIGHT(BZ$43,2),SUM($AX103:BD103),0)+IF(RIGHT(BZ$43,2)&gt;RIGHT($K103,2),BD103,0))</f>
        <v>28.098332883126893</v>
      </c>
      <c r="CA103" s="1277">
        <f>+IF($K103="Ongoing",BE103,IF(RIGHT($K103,2)=RIGHT(CA$43,2),SUM($AX103:BE103),0)+IF(RIGHT(CA$43,2)&gt;RIGHT($K103,2),BE103,0))</f>
        <v>98.924749150162739</v>
      </c>
      <c r="CB103" s="1277">
        <f>+IF($K103="Ongoing",BF103,IF(RIGHT($K103,2)=RIGHT(CB$43,2),SUM($AX103:BF103),0)+IF(RIGHT(CB$43,2)&gt;RIGHT($K103,2),BF103,0))</f>
        <v>55.106244364731211</v>
      </c>
      <c r="CC103" s="388">
        <f>+IF($K103="Ongoing",BG103,IF(RIGHT($K103,2)=RIGHT(CC$43,2),SUM($AX103:BG103),0)+IF(RIGHT(CC$43,2)&gt;RIGHT($K103,2),BG103,0))</f>
        <v>41.356083268105969</v>
      </c>
      <c r="CD103" s="1025"/>
      <c r="CE103" s="1282">
        <f>+Q103*KeyAssumptionsPriceControl_FO!AF$15</f>
        <v>18.409510041248783</v>
      </c>
      <c r="CF103" s="387">
        <f>+R103*KeyAssumptionsPriceControl_FO!AG$15</f>
        <v>73.461478891336739</v>
      </c>
      <c r="CG103" s="387">
        <f>+S103*KeyAssumptionsPriceControl_FO!AH$15</f>
        <v>86.05209178719754</v>
      </c>
      <c r="CH103" s="387">
        <f>+T103*KeyAssumptionsPriceControl_FO!AI$15</f>
        <v>61.914744396515907</v>
      </c>
      <c r="CI103" s="1283">
        <f>+U103*KeyAssumptionsPriceControl_FO!AJ$15</f>
        <v>41.056042432402563</v>
      </c>
      <c r="CJ103" s="386">
        <f>+V103*KeyAssumptionsPriceControl_FO!AK$15</f>
        <v>37.807512476710599</v>
      </c>
      <c r="CK103" s="387">
        <f>+W103*KeyAssumptionsPriceControl_FO!AL$15</f>
        <v>34.323232063859308</v>
      </c>
      <c r="CL103" s="1277">
        <f>+X103*KeyAssumptionsPriceControl_FO!AM$15</f>
        <v>124.34489380594007</v>
      </c>
      <c r="CM103" s="1277">
        <f>+Y103*KeyAssumptionsPriceControl_FO!AN$15</f>
        <v>71.275321768847874</v>
      </c>
      <c r="CN103" s="388">
        <f>+Z103*KeyAssumptionsPriceControl_FO!AO$15</f>
        <v>55.04186600119224</v>
      </c>
      <c r="CO103" s="1025"/>
      <c r="CP103" s="1282">
        <f t="shared" ca="1" si="267"/>
        <v>0</v>
      </c>
      <c r="CQ103" s="387">
        <f t="shared" ca="1" si="268"/>
        <v>0</v>
      </c>
      <c r="CR103" s="387">
        <f t="shared" ca="1" si="269"/>
        <v>0</v>
      </c>
      <c r="CS103" s="387">
        <f t="shared" ca="1" si="270"/>
        <v>0</v>
      </c>
      <c r="CT103" s="1283">
        <f t="shared" ca="1" si="271"/>
        <v>0</v>
      </c>
      <c r="CU103" s="386">
        <f t="shared" ca="1" si="272"/>
        <v>0</v>
      </c>
      <c r="CV103" s="387">
        <f t="shared" ca="1" si="273"/>
        <v>0</v>
      </c>
      <c r="CW103" s="1277">
        <f t="shared" ca="1" si="274"/>
        <v>0</v>
      </c>
      <c r="CX103" s="1277">
        <f t="shared" ca="1" si="275"/>
        <v>0</v>
      </c>
      <c r="CY103" s="388">
        <f t="shared" ca="1" si="276"/>
        <v>0</v>
      </c>
      <c r="CZ103" s="347"/>
      <c r="DA103" s="852"/>
      <c r="DB103" s="347"/>
      <c r="DC103" s="1012" t="s">
        <v>592</v>
      </c>
      <c r="DD103" s="841" t="s">
        <v>518</v>
      </c>
      <c r="DE103" s="386">
        <f>+IF($K103="ongoing",CE103,IF(RIGHT($K103,2)=RIGHT(DE$43,2),SUM($CD103:CE103),0)+IF(RIGHT(DE$43,2)&gt;RIGHT($K103,2),CE103,0))</f>
        <v>18.409510041248783</v>
      </c>
      <c r="DF103" s="387">
        <f>+IF($K103="ongoing",CF103,IF(RIGHT($K103,2)=RIGHT(DF$43,2),SUM($CD103:CF103),0)+IF(RIGHT(DF$43,2)&gt;RIGHT($K103,2),CF103,0))</f>
        <v>73.461478891336739</v>
      </c>
      <c r="DG103" s="388">
        <f>+IF($K103="ongoing",CG103,IF(RIGHT($K103,2)=RIGHT(DG$43,2),SUM($CD103:CG103),0)+IF(RIGHT(DG$43,2)&gt;RIGHT($K103,2),CG103,0))</f>
        <v>86.05209178719754</v>
      </c>
      <c r="DH103" s="386">
        <f>+IF($K103="ongoing",CH103,IF(RIGHT($K103,2)=RIGHT(DH$43,2),SUM($CD103:CH103),0)+IF(RIGHT(DH$43,2)&gt;RIGHT($K103,2),CH103,0))</f>
        <v>61.914744396515907</v>
      </c>
      <c r="DI103" s="387">
        <f>+IF($K103="ongoing",CI103,IF(RIGHT($K103,2)=RIGHT(DI$43,2),SUM($CD103:CI103),0)+IF(RIGHT(DI$43,2)&gt;RIGHT($K103,2),CI103,0))</f>
        <v>41.056042432402563</v>
      </c>
      <c r="DJ103" s="387">
        <f>+IF($K103="ongoing",CJ103,IF(RIGHT($K103,2)=RIGHT(DJ$43,2),SUM($CD103:CJ103),0)+IF(RIGHT(DJ$43,2)&gt;RIGHT($K103,2),CJ103,0))</f>
        <v>37.807512476710599</v>
      </c>
      <c r="DK103" s="387">
        <f>+IF($K103="ongoing",CK103,IF(RIGHT($K103,2)=RIGHT(DK$43,2),SUM($CD103:CK103),0)+IF(RIGHT(DK$43,2)&gt;RIGHT($K103,2),CK103,0))</f>
        <v>34.323232063859308</v>
      </c>
      <c r="DL103" s="388">
        <f>+IF($K103="ongoing",CN103,IF(RIGHT($K103,2)=RIGHT(DL$43,2),SUM($CD103:CN103),0)+IF(RIGHT(DL$43,2)&gt;RIGHT($K103,2),CN103,0))</f>
        <v>55.04186600119224</v>
      </c>
      <c r="DM103" s="841"/>
      <c r="DN103" s="386">
        <f t="shared" si="277"/>
        <v>0.5</v>
      </c>
      <c r="DO103" s="387">
        <f t="shared" si="278"/>
        <v>1</v>
      </c>
      <c r="DP103" s="388">
        <f t="shared" si="279"/>
        <v>1</v>
      </c>
      <c r="DQ103" s="386">
        <f t="shared" si="280"/>
        <v>1</v>
      </c>
      <c r="DR103" s="387">
        <f t="shared" si="281"/>
        <v>1</v>
      </c>
      <c r="DS103" s="387">
        <f t="shared" si="282"/>
        <v>1</v>
      </c>
      <c r="DT103" s="387">
        <f t="shared" si="283"/>
        <v>1</v>
      </c>
      <c r="DU103" s="388">
        <f t="shared" si="284"/>
        <v>1</v>
      </c>
      <c r="DW103" s="386">
        <f t="shared" si="285"/>
        <v>0</v>
      </c>
      <c r="DX103" s="387">
        <f t="shared" si="286"/>
        <v>0.5</v>
      </c>
      <c r="DY103" s="388">
        <f t="shared" si="287"/>
        <v>1</v>
      </c>
      <c r="DZ103" s="386">
        <f t="shared" si="288"/>
        <v>1</v>
      </c>
      <c r="EA103" s="387">
        <f t="shared" si="289"/>
        <v>1</v>
      </c>
      <c r="EB103" s="387">
        <f t="shared" si="290"/>
        <v>1</v>
      </c>
      <c r="EC103" s="387">
        <f t="shared" si="291"/>
        <v>1</v>
      </c>
      <c r="ED103" s="388">
        <f t="shared" si="292"/>
        <v>1</v>
      </c>
      <c r="EF103" s="834">
        <f>+IF(DN103=DM103,0,
IF(AND(EF$44&gt;1,DN103=$N103),1-SUM($EE103:EE103),
IF($N103&lt;=1,
IF($N103&gt;0,1/$N103,0),
IF(EF$44=1,0,VDB(1,0,$N103,INT(EF$44-1-1),MIN($N103,INT(EF$44-1-1)+1),$DC103,IF($DD103="No",1,0))/
IF(DM103&gt;=INT($N103),$N103-INT($N103),1)))*
IF(EF$44=1,0,
IF(INT(DN103)=INT(DM103),DN103-DM103,INT(DN103)-DM103))+
IF($N103&lt;=1,
IF($N103&gt;0,1/$N103,0),VDB(1,0,$N103,INT(EF$44-1),MIN($N103,INT(EF$44-1)+1),$DC103,IF($DD103="No",1,0))/
IF(DN103&gt;INT($N103),$N103-INT($N103),1))*
IF(EF$44=1,DN103,
IF(INT(DN103)=INT(DM103),0,DN103-INT(DN103)))))</f>
        <v>0</v>
      </c>
      <c r="EG103" s="835">
        <f>+IF(DO103=DN103,0,
IF(AND(EG$44&gt;1,DO103=$N103),1-SUM($EE103:EF103),
IF($N103&lt;=1,
IF($N103&gt;0,1/$N103,0),
IF(EG$44=1,0,VDB(1,0,$N103,INT(EG$44-1-1),MIN($N103,INT(EG$44-1-1)+1),$DC103,IF($DD103="No",1,0))/
IF(DN103&gt;=INT($N103),$N103-INT($N103),1)))*
IF(EG$44=1,0,
IF(INT(DO103)=INT(DN103),DO103-DN103,INT(DO103)-DN103))+
IF($N103&lt;=1,
IF($N103&gt;0,1/$N103,0),VDB(1,0,$N103,INT(EG$44-1),MIN($N103,INT(EG$44-1)+1),$DC103,IF($DD103="No",1,0))/
IF(DO103&gt;INT($N103),$N103-INT($N103),1))*
IF(EG$44=1,DO103,
IF(INT(DO103)=INT(DN103),0,DO103-INT(DO103)))))</f>
        <v>0</v>
      </c>
      <c r="EH103" s="836">
        <f>+IF(DP103=DO103,0,
IF(AND(EH$44&gt;1,DP103=$N103),1-SUM($EE103:EG103),
IF($N103&lt;=1,
IF($N103&gt;0,1/$N103,0),
IF(EH$44=1,0,VDB(1,0,$N103,INT(EH$44-1-1),MIN($N103,INT(EH$44-1-1)+1),$DC103,IF($DD103="No",1,0))/
IF(DO103&gt;=INT($N103),$N103-INT($N103),1)))*
IF(EH$44=1,0,
IF(INT(DP103)=INT(DO103),DP103-DO103,INT(DP103)-DO103))+
IF($N103&lt;=1,
IF($N103&gt;0,1/$N103,0),VDB(1,0,$N103,INT(EH$44-1),MIN($N103,INT(EH$44-1)+1),$DC103,IF($DD103="No",1,0))/
IF(DP103&gt;INT($N103),$N103-INT($N103),1))*
IF(EH$44=1,DP103,
IF(INT(DP103)=INT(DO103),0,DP103-INT(DP103)))))</f>
        <v>0</v>
      </c>
      <c r="EI103" s="834">
        <f>+IF(DQ103=DP103,0,
IF(AND(EI$44&gt;1,DQ103=$N103),1-SUM($EE103:EH103),
IF($N103&lt;=1,
IF($N103&gt;0,1/$N103,0),
IF(EI$44=1,0,VDB(1,0,$N103,INT(EI$44-1-1),MIN($N103,INT(EI$44-1-1)+1),$DC103,IF($DD103="No",1,0))/
IF(DP103&gt;=INT($N103),$N103-INT($N103),1)))*
IF(EI$44=1,0,
IF(INT(DQ103)=INT(DP103),DQ103-DP103,INT(DQ103)-DP103))+
IF($N103&lt;=1,
IF($N103&gt;0,1/$N103,0),VDB(1,0,$N103,INT(EI$44-1),MIN($N103,INT(EI$44-1)+1),$DC103,IF($DD103="No",1,0))/
IF(DQ103&gt;INT($N103),$N103-INT($N103),1))*
IF(EI$44=1,DQ103,
IF(INT(DQ103)=INT(DP103),0,DQ103-INT(DQ103)))))</f>
        <v>0</v>
      </c>
      <c r="EJ103" s="835">
        <f>+IF(DR103=DQ103,0,
IF(AND(EJ$44&gt;1,DR103=$N103),1-SUM($EE103:EI103),
IF($N103&lt;=1,
IF($N103&gt;0,1/$N103,0),
IF(EJ$44=1,0,VDB(1,0,$N103,INT(EJ$44-1-1),MIN($N103,INT(EJ$44-1-1)+1),$DC103,IF($DD103="No",1,0))/
IF(DQ103&gt;=INT($N103),$N103-INT($N103),1)))*
IF(EJ$44=1,0,
IF(INT(DR103)=INT(DQ103),DR103-DQ103,INT(DR103)-DQ103))+
IF($N103&lt;=1,
IF($N103&gt;0,1/$N103,0),VDB(1,0,$N103,INT(EJ$44-1),MIN($N103,INT(EJ$44-1)+1),$DC103,IF($DD103="No",1,0))/
IF(DR103&gt;INT($N103),$N103-INT($N103),1))*
IF(EJ$44=1,DR103,
IF(INT(DR103)=INT(DQ103),0,DR103-INT(DR103)))))</f>
        <v>0</v>
      </c>
      <c r="EK103" s="835">
        <f>+IF(DS103=DR103,0,
IF(AND(EK$44&gt;1,DS103=$N103),1-SUM($EE103:EJ103),
IF($N103&lt;=1,
IF($N103&gt;0,1/$N103,0),
IF(EK$44=1,0,VDB(1,0,$N103,INT(EK$44-1-1),MIN($N103,INT(EK$44-1-1)+1),$DC103,IF($DD103="No",1,0))/
IF(DR103&gt;=INT($N103),$N103-INT($N103),1)))*
IF(EK$44=1,0,
IF(INT(DS103)=INT(DR103),DS103-DR103,INT(DS103)-DR103))+
IF($N103&lt;=1,
IF($N103&gt;0,1/$N103,0),VDB(1,0,$N103,INT(EK$44-1),MIN($N103,INT(EK$44-1)+1),$DC103,IF($DD103="No",1,0))/
IF(DS103&gt;INT($N103),$N103-INT($N103),1))*
IF(EK$44=1,DS103,
IF(INT(DS103)=INT(DR103),0,DS103-INT(DS103)))))</f>
        <v>0</v>
      </c>
      <c r="EL103" s="835">
        <f>+IF(DT103=DS103,0,
IF(AND(EL$44&gt;1,DT103=$N103),1-SUM($EE103:EK103),
IF($N103&lt;=1,
IF($N103&gt;0,1/$N103,0),
IF(EL$44=1,0,VDB(1,0,$N103,INT(EL$44-1-1),MIN($N103,INT(EL$44-1-1)+1),$DC103,IF($DD103="No",1,0))/
IF(DS103&gt;=INT($N103),$N103-INT($N103),1)))*
IF(EL$44=1,0,
IF(INT(DT103)=INT(DS103),DT103-DS103,INT(DT103)-DS103))+
IF($N103&lt;=1,
IF($N103&gt;0,1/$N103,0),VDB(1,0,$N103,INT(EL$44-1),MIN($N103,INT(EL$44-1)+1),$DC103,IF($DD103="No",1,0))/
IF(DT103&gt;INT($N103),$N103-INT($N103),1))*
IF(EL$44=1,DT103,
IF(INT(DT103)=INT(DS103),0,DT103-INT(DT103)))))</f>
        <v>0</v>
      </c>
      <c r="EM103" s="836">
        <f>+IF(DU103=DT103,0,
IF(AND(EM$44&gt;1,DU103=$N103),1-SUM($EE103:EL103),
IF($N103&lt;=1,
IF($N103&gt;0,1/$N103,0),
IF(EM$44=1,0,VDB(1,0,$N103,INT(EM$44-1-1),MIN($N103,INT(EM$44-1-1)+1),$DC103,IF($DD103="No",1,0))/
IF(DT103&gt;=INT($N103),$N103-INT($N103),1)))*
IF(EM$44=1,0,
IF(INT(DU103)=INT(DT103),DU103-DT103,INT(DU103)-DT103))+
IF($N103&lt;=1,
IF($N103&gt;0,1/$N103,0),VDB(1,0,$N103,INT(EM$44-1),MIN($N103,INT(EM$44-1)+1),$DC103,IF($DD103="No",1,0))/
IF(DU103&gt;INT($N103),$N103-INT($N103),1))*
IF(EM$44=1,DU103,
IF(INT(DU103)=INT(DT103),0,DU103-INT(DU103)))))</f>
        <v>0</v>
      </c>
      <c r="EN103" s="833"/>
      <c r="EO103" s="834">
        <f>+IF(OR(DW103=DV103,EO$44=1),0,
IF(AND(EO$44&gt;1,DW103=$N103),1-SUM($EN103:EN103),
IF($N103&lt;=1,
IF($N103&gt;0,1/$N103,0),
IF(EO$44=2,0,VDB(1,0,$N103,INT(EO$44-2-1),MIN($N103,INT(EO$44-2-1)+1),$DC103,IF($DD103="No",1,0))/
IF(DV103&gt;=INT($N103),$N103-INT($N103),1)))*
IF(EO$44=2,0,
IF(INT(DW103)=INT(DV103),DW103-DV103,INT(DW103)-DV103))+
IF($N103&lt;=1,
IF($N103&gt;0,1/$N103,0),VDB(1,0,$N103,INT(EO$44-2),MIN($N103,INT(EO$44-2)+1),$DC103,IF($DD103="No",1,0))/
IF(DW103&gt;INT($N103),$N103-INT($N103),1))*
IF(EO$44=2,DW103,
IF(INT(DW103)=INT(DV103),0,DW103-INT(DW103)))))</f>
        <v>0</v>
      </c>
      <c r="EP103" s="835">
        <f>+IF(OR(DX103=DW103,EP$44=1),0,
IF(AND(EP$44&gt;1,DX103=$N103),1-SUM($EN103:EO103),
IF($N103&lt;=1,
IF($N103&gt;0,1/$N103,0),
IF(EP$44=2,0,VDB(1,0,$N103,INT(EP$44-2-1),MIN($N103,INT(EP$44-2-1)+1),$DC103,IF($DD103="No",1,0))/
IF(DW103&gt;=INT($N103),$N103-INT($N103),1)))*
IF(EP$44=2,0,
IF(INT(DX103)=INT(DW103),DX103-DW103,INT(DX103)-DW103))+
IF($N103&lt;=1,
IF($N103&gt;0,1/$N103,0),VDB(1,0,$N103,INT(EP$44-2),MIN($N103,INT(EP$44-2)+1),$DC103,IF($DD103="No",1,0))/
IF(DX103&gt;INT($N103),$N103-INT($N103),1))*
IF(EP$44=2,DX103,
IF(INT(DX103)=INT(DW103),0,DX103-INT(DX103)))))</f>
        <v>0</v>
      </c>
      <c r="EQ103" s="836">
        <f>+IF(OR(DY103=DX103,EQ$44=1),0,
IF(AND(EQ$44&gt;1,DY103=$N103),1-SUM($EN103:EP103),
IF($N103&lt;=1,
IF($N103&gt;0,1/$N103,0),
IF(EQ$44=2,0,VDB(1,0,$N103,INT(EQ$44-2-1),MIN($N103,INT(EQ$44-2-1)+1),$DC103,IF($DD103="No",1,0))/
IF(DX103&gt;=INT($N103),$N103-INT($N103),1)))*
IF(EQ$44=2,0,
IF(INT(DY103)=INT(DX103),DY103-DX103,INT(DY103)-DX103))+
IF($N103&lt;=1,
IF($N103&gt;0,1/$N103,0),VDB(1,0,$N103,INT(EQ$44-2),MIN($N103,INT(EQ$44-2)+1),$DC103,IF($DD103="No",1,0))/
IF(DY103&gt;INT($N103),$N103-INT($N103),1))*
IF(EQ$44=2,DY103,
IF(INT(DY103)=INT(DX103),0,DY103-INT(DY103)))))</f>
        <v>0</v>
      </c>
      <c r="ER103" s="834">
        <f>+IF(OR(DZ103=DY103,ER$44=1),0,
IF(AND(ER$44&gt;1,DZ103=$N103),1-SUM($EN103:EQ103),
IF($N103&lt;=1,
IF($N103&gt;0,1/$N103,0),
IF(ER$44=2,0,VDB(1,0,$N103,INT(ER$44-2-1),MIN($N103,INT(ER$44-2-1)+1),$DC103,IF($DD103="No",1,0))/
IF(DY103&gt;=INT($N103),$N103-INT($N103),1)))*
IF(ER$44=2,0,
IF(INT(DZ103)=INT(DY103),DZ103-DY103,INT(DZ103)-DY103))+
IF($N103&lt;=1,
IF($N103&gt;0,1/$N103,0),VDB(1,0,$N103,INT(ER$44-2),MIN($N103,INT(ER$44-2)+1),$DC103,IF($DD103="No",1,0))/
IF(DZ103&gt;INT($N103),$N103-INT($N103),1))*
IF(ER$44=2,DZ103,
IF(INT(DZ103)=INT(DY103),0,DZ103-INT(DZ103)))))</f>
        <v>0</v>
      </c>
      <c r="ES103" s="835">
        <f>+IF(OR(EA103=DZ103,ES$44=1),0,
IF(AND(ES$44&gt;1,EA103=$N103),1-SUM($EN103:ER103),
IF($N103&lt;=1,
IF($N103&gt;0,1/$N103,0),
IF(ES$44=2,0,VDB(1,0,$N103,INT(ES$44-2-1),MIN($N103,INT(ES$44-2-1)+1),$DC103,IF($DD103="No",1,0))/
IF(DZ103&gt;=INT($N103),$N103-INT($N103),1)))*
IF(ES$44=2,0,
IF(INT(EA103)=INT(DZ103),EA103-DZ103,INT(EA103)-DZ103))+
IF($N103&lt;=1,
IF($N103&gt;0,1/$N103,0),VDB(1,0,$N103,INT(ES$44-2),MIN($N103,INT(ES$44-2)+1),$DC103,IF($DD103="No",1,0))/
IF(EA103&gt;INT($N103),$N103-INT($N103),1))*
IF(ES$44=2,EA103,
IF(INT(EA103)=INT(DZ103),0,EA103-INT(EA103)))))</f>
        <v>0</v>
      </c>
      <c r="ET103" s="835">
        <f>+IF(OR(EB103=EA103,ET$44=1),0,
IF(AND(ET$44&gt;1,EB103=$N103),1-SUM($EN103:ES103),
IF($N103&lt;=1,
IF($N103&gt;0,1/$N103,0),
IF(ET$44=2,0,VDB(1,0,$N103,INT(ET$44-2-1),MIN($N103,INT(ET$44-2-1)+1),$DC103,IF($DD103="No",1,0))/
IF(EA103&gt;=INT($N103),$N103-INT($N103),1)))*
IF(ET$44=2,0,
IF(INT(EB103)=INT(EA103),EB103-EA103,INT(EB103)-EA103))+
IF($N103&lt;=1,
IF($N103&gt;0,1/$N103,0),VDB(1,0,$N103,INT(ET$44-2),MIN($N103,INT(ET$44-2)+1),$DC103,IF($DD103="No",1,0))/
IF(EB103&gt;INT($N103),$N103-INT($N103),1))*
IF(ET$44=2,EB103,
IF(INT(EB103)=INT(EA103),0,EB103-INT(EB103)))))</f>
        <v>0</v>
      </c>
      <c r="EU103" s="835">
        <f>+IF(OR(EC103=EB103,EU$44=1),0,
IF(AND(EU$44&gt;1,EC103=$N103),1-SUM($EN103:ET103),
IF($N103&lt;=1,
IF($N103&gt;0,1/$N103,0),
IF(EU$44=2,0,VDB(1,0,$N103,INT(EU$44-2-1),MIN($N103,INT(EU$44-2-1)+1),$DC103,IF($DD103="No",1,0))/
IF(EB103&gt;=INT($N103),$N103-INT($N103),1)))*
IF(EU$44=2,0,
IF(INT(EC103)=INT(EB103),EC103-EB103,INT(EC103)-EB103))+
IF($N103&lt;=1,
IF($N103&gt;0,1/$N103,0),VDB(1,0,$N103,INT(EU$44-2),MIN($N103,INT(EU$44-2)+1),$DC103,IF($DD103="No",1,0))/
IF(EC103&gt;INT($N103),$N103-INT($N103),1))*
IF(EU$44=2,EC103,
IF(INT(EC103)=INT(EB103),0,EC103-INT(EC103)))))</f>
        <v>0</v>
      </c>
      <c r="EV103" s="836">
        <f>+IF(OR(ED103=EC103,EV$44=1),0,
IF(AND(EV$44&gt;1,ED103=$N103),1-SUM($EN103:EU103),
IF($N103&lt;=1,
IF($N103&gt;0,1/$N103,0),
IF(EV$44=2,0,VDB(1,0,$N103,INT(EV$44-2-1),MIN($N103,INT(EV$44-2-1)+1),$DC103,IF($DD103="No",1,0))/
IF(EC103&gt;=INT($N103),$N103-INT($N103),1)))*
IF(EV$44=2,0,
IF(INT(ED103)=INT(EC103),ED103-EC103,INT(ED103)-EC103))+
IF($N103&lt;=1,
IF($N103&gt;0,1/$N103,0),VDB(1,0,$N103,INT(EV$44-2),MIN($N103,INT(EV$44-2)+1),$DC103,IF($DD103="No",1,0))/
IF(ED103&gt;INT($N103),$N103-INT($N103),1))*
IF(EV$44=2,ED103,
IF(INT(ED103)=INT(EC103),0,ED103-INT(ED103)))))</f>
        <v>0</v>
      </c>
      <c r="EW103" s="833"/>
      <c r="EX103" s="834">
        <f t="shared" ca="1" si="301"/>
        <v>0</v>
      </c>
      <c r="EY103" s="835">
        <f t="shared" ca="1" si="301"/>
        <v>0</v>
      </c>
      <c r="EZ103" s="836">
        <f t="shared" ca="1" si="301"/>
        <v>0</v>
      </c>
      <c r="FA103" s="834">
        <f t="shared" ca="1" si="301"/>
        <v>0</v>
      </c>
      <c r="FB103" s="835">
        <f t="shared" ca="1" si="301"/>
        <v>0</v>
      </c>
      <c r="FC103" s="835">
        <f t="shared" ca="1" si="301"/>
        <v>0</v>
      </c>
      <c r="FD103" s="835">
        <f t="shared" ca="1" si="301"/>
        <v>0</v>
      </c>
      <c r="FE103" s="836">
        <f t="shared" ca="1" si="301"/>
        <v>0</v>
      </c>
      <c r="FG103" s="386">
        <f t="shared" ca="1" si="293"/>
        <v>0</v>
      </c>
      <c r="FH103" s="387">
        <f t="shared" ca="1" si="294"/>
        <v>0</v>
      </c>
      <c r="FI103" s="388">
        <f t="shared" ca="1" si="295"/>
        <v>0</v>
      </c>
      <c r="FJ103" s="386">
        <f t="shared" ca="1" si="296"/>
        <v>0</v>
      </c>
      <c r="FK103" s="387">
        <f t="shared" ca="1" si="297"/>
        <v>0</v>
      </c>
      <c r="FL103" s="387">
        <f t="shared" ca="1" si="298"/>
        <v>0</v>
      </c>
      <c r="FM103" s="387">
        <f t="shared" ca="1" si="299"/>
        <v>0</v>
      </c>
      <c r="FN103" s="388">
        <f t="shared" ca="1" si="300"/>
        <v>0</v>
      </c>
      <c r="FR103" s="116"/>
    </row>
    <row r="104" spans="2:174">
      <c r="B104" s="1410">
        <f t="shared" si="135"/>
        <v>58</v>
      </c>
      <c r="C104" s="400" t="s">
        <v>593</v>
      </c>
      <c r="D104" s="410"/>
      <c r="E104" s="402" t="s">
        <v>401</v>
      </c>
      <c r="F104" s="402" t="s">
        <v>520</v>
      </c>
      <c r="G104" s="400" t="s">
        <v>522</v>
      </c>
      <c r="H104" s="2088" t="s">
        <v>483</v>
      </c>
      <c r="I104" s="2089"/>
      <c r="J104" s="411" t="s">
        <v>516</v>
      </c>
      <c r="K104" s="403" t="s">
        <v>544</v>
      </c>
      <c r="L104" s="403">
        <v>25</v>
      </c>
      <c r="M104" s="403" t="s">
        <v>142</v>
      </c>
      <c r="N104" s="403"/>
      <c r="O104" s="347"/>
      <c r="P104" s="347"/>
      <c r="Q104" s="1021">
        <v>0.33975609756097563</v>
      </c>
      <c r="R104" s="1022">
        <v>1.6500254610350984</v>
      </c>
      <c r="S104" s="1022">
        <v>5.1719486368450847</v>
      </c>
      <c r="T104" s="1022">
        <v>0</v>
      </c>
      <c r="U104" s="1023">
        <v>0</v>
      </c>
      <c r="V104" s="1021">
        <v>0</v>
      </c>
      <c r="W104" s="1022">
        <v>0</v>
      </c>
      <c r="X104" s="1022">
        <v>0</v>
      </c>
      <c r="Y104" s="1022">
        <v>0</v>
      </c>
      <c r="Z104" s="1023">
        <v>0</v>
      </c>
      <c r="AA104" s="1024"/>
      <c r="AB104" s="1021">
        <v>0</v>
      </c>
      <c r="AC104" s="1022">
        <v>0</v>
      </c>
      <c r="AD104" s="1022">
        <v>0</v>
      </c>
      <c r="AE104" s="1022">
        <v>0</v>
      </c>
      <c r="AF104" s="1023">
        <v>0</v>
      </c>
      <c r="AG104" s="1021">
        <v>0</v>
      </c>
      <c r="AH104" s="1022">
        <v>0</v>
      </c>
      <c r="AI104" s="1022">
        <v>0</v>
      </c>
      <c r="AJ104" s="1022">
        <v>0</v>
      </c>
      <c r="AK104" s="1023">
        <v>0</v>
      </c>
      <c r="AL104" s="1024"/>
      <c r="AM104" s="1021">
        <v>0</v>
      </c>
      <c r="AN104" s="1022">
        <v>0</v>
      </c>
      <c r="AO104" s="1022">
        <v>0</v>
      </c>
      <c r="AP104" s="1022">
        <v>0</v>
      </c>
      <c r="AQ104" s="1023">
        <v>0</v>
      </c>
      <c r="AR104" s="1021">
        <v>0</v>
      </c>
      <c r="AS104" s="1022">
        <v>0</v>
      </c>
      <c r="AT104" s="1022">
        <v>0</v>
      </c>
      <c r="AU104" s="1022">
        <v>0</v>
      </c>
      <c r="AV104" s="1023">
        <v>0</v>
      </c>
      <c r="AW104" s="1025"/>
      <c r="AX104" s="1282">
        <f t="shared" si="247"/>
        <v>0.33975609756097563</v>
      </c>
      <c r="AY104" s="387">
        <f t="shared" si="248"/>
        <v>1.6500254610350984</v>
      </c>
      <c r="AZ104" s="387">
        <f t="shared" si="249"/>
        <v>5.1719486368450847</v>
      </c>
      <c r="BA104" s="387">
        <f t="shared" si="250"/>
        <v>0</v>
      </c>
      <c r="BB104" s="1283">
        <f t="shared" si="251"/>
        <v>0</v>
      </c>
      <c r="BC104" s="386">
        <f t="shared" si="252"/>
        <v>0</v>
      </c>
      <c r="BD104" s="387">
        <f t="shared" si="253"/>
        <v>0</v>
      </c>
      <c r="BE104" s="1277">
        <f t="shared" si="254"/>
        <v>0</v>
      </c>
      <c r="BF104" s="1277">
        <f t="shared" si="255"/>
        <v>0</v>
      </c>
      <c r="BG104" s="388">
        <f t="shared" si="256"/>
        <v>0</v>
      </c>
      <c r="BH104" s="1025"/>
      <c r="BI104" s="1282">
        <f t="shared" ca="1" si="257"/>
        <v>6.7951219512195123E-3</v>
      </c>
      <c r="BJ104" s="387">
        <f t="shared" ca="1" si="258"/>
        <v>4.6590753123140996E-2</v>
      </c>
      <c r="BK104" s="387">
        <f t="shared" ca="1" si="259"/>
        <v>0.18303023508074467</v>
      </c>
      <c r="BL104" s="387">
        <f t="shared" ca="1" si="260"/>
        <v>0.28646920781764634</v>
      </c>
      <c r="BM104" s="1283">
        <f t="shared" ca="1" si="261"/>
        <v>0.28646920781764634</v>
      </c>
      <c r="BN104" s="386">
        <f t="shared" ca="1" si="262"/>
        <v>0.28646920781764634</v>
      </c>
      <c r="BO104" s="387">
        <f t="shared" ca="1" si="263"/>
        <v>0.28646920781764634</v>
      </c>
      <c r="BP104" s="1277">
        <f t="shared" ca="1" si="264"/>
        <v>0.28646920781764634</v>
      </c>
      <c r="BQ104" s="1277">
        <f t="shared" ca="1" si="265"/>
        <v>0.28646920781764634</v>
      </c>
      <c r="BR104" s="388">
        <f t="shared" ca="1" si="266"/>
        <v>0.28646920781764634</v>
      </c>
      <c r="BS104" s="1025"/>
      <c r="BT104" s="1282">
        <f>+IF($K104="Ongoing",AX104,IF(RIGHT($K104,2)=RIGHT(BT$43,2),SUM($AX104:AX104),0)+IF(RIGHT(BT$43,2)&gt;RIGHT($K104,2),AX104,0))</f>
        <v>0.33975609756097563</v>
      </c>
      <c r="BU104" s="387">
        <f>+IF($K104="Ongoing",AY104,IF(RIGHT($K104,2)=RIGHT(BU$43,2),SUM($AX104:AY104),0)+IF(RIGHT(BU$43,2)&gt;RIGHT($K104,2),AY104,0))</f>
        <v>1.6500254610350984</v>
      </c>
      <c r="BV104" s="387">
        <f>+IF($K104="Ongoing",AZ104,IF(RIGHT($K104,2)=RIGHT(BV$43,2),SUM($AX104:AZ104),0)+IF(RIGHT(BV$43,2)&gt;RIGHT($K104,2),AZ104,0))</f>
        <v>5.1719486368450847</v>
      </c>
      <c r="BW104" s="387">
        <f>+IF($K104="Ongoing",BA104,IF(RIGHT($K104,2)=RIGHT(BW$43,2),SUM($AX104:BA104),0)+IF(RIGHT(BW$43,2)&gt;RIGHT($K104,2),BA104,0))</f>
        <v>0</v>
      </c>
      <c r="BX104" s="1283">
        <f>+IF($K104="Ongoing",BB104,IF(RIGHT($K104,2)=RIGHT(BX$43,2),SUM($AX104:BB104),0)+IF(RIGHT(BX$43,2)&gt;RIGHT($K104,2),BB104,0))</f>
        <v>0</v>
      </c>
      <c r="BY104" s="386">
        <f>+IF($K104="Ongoing",BC104,IF(RIGHT($K104,2)=RIGHT(BY$43,2),SUM($AX104:BC104),0)+IF(RIGHT(BY$43,2)&gt;RIGHT($K104,2),BC104,0))</f>
        <v>0</v>
      </c>
      <c r="BZ104" s="387">
        <f>+IF($K104="Ongoing",BD104,IF(RIGHT($K104,2)=RIGHT(BZ$43,2),SUM($AX104:BD104),0)+IF(RIGHT(BZ$43,2)&gt;RIGHT($K104,2),BD104,0))</f>
        <v>0</v>
      </c>
      <c r="CA104" s="1277">
        <f>+IF($K104="Ongoing",BE104,IF(RIGHT($K104,2)=RIGHT(CA$43,2),SUM($AX104:BE104),0)+IF(RIGHT(CA$43,2)&gt;RIGHT($K104,2),BE104,0))</f>
        <v>0</v>
      </c>
      <c r="CB104" s="1277">
        <f>+IF($K104="Ongoing",BF104,IF(RIGHT($K104,2)=RIGHT(CB$43,2),SUM($AX104:BF104),0)+IF(RIGHT(CB$43,2)&gt;RIGHT($K104,2),BF104,0))</f>
        <v>0</v>
      </c>
      <c r="CC104" s="388">
        <f>+IF($K104="Ongoing",BG104,IF(RIGHT($K104,2)=RIGHT(CC$43,2),SUM($AX104:BG104),0)+IF(RIGHT(CC$43,2)&gt;RIGHT($K104,2),BG104,0))</f>
        <v>0</v>
      </c>
      <c r="CD104" s="1025"/>
      <c r="CE104" s="1282">
        <f>+Q104*KeyAssumptionsPriceControl_FO!AF$15</f>
        <v>0.34960902439024388</v>
      </c>
      <c r="CF104" s="387">
        <f>+R104*KeyAssumptionsPriceControl_FO!AG$15</f>
        <v>1.7471146091878644</v>
      </c>
      <c r="CG104" s="387">
        <f>+S104*KeyAssumptionsPriceControl_FO!AH$15</f>
        <v>5.6350831333166704</v>
      </c>
      <c r="CH104" s="387">
        <f>+T104*KeyAssumptionsPriceControl_FO!AI$15</f>
        <v>0</v>
      </c>
      <c r="CI104" s="1283">
        <f>+U104*KeyAssumptionsPriceControl_FO!AJ$15</f>
        <v>0</v>
      </c>
      <c r="CJ104" s="386">
        <f>+V104*KeyAssumptionsPriceControl_FO!AK$15</f>
        <v>0</v>
      </c>
      <c r="CK104" s="387">
        <f>+W104*KeyAssumptionsPriceControl_FO!AL$15</f>
        <v>0</v>
      </c>
      <c r="CL104" s="1277">
        <f>+X104*KeyAssumptionsPriceControl_FO!AM$15</f>
        <v>0</v>
      </c>
      <c r="CM104" s="1277">
        <f>+Y104*KeyAssumptionsPriceControl_FO!AN$15</f>
        <v>0</v>
      </c>
      <c r="CN104" s="388">
        <f>+Z104*KeyAssumptionsPriceControl_FO!AO$15</f>
        <v>0</v>
      </c>
      <c r="CO104" s="1025"/>
      <c r="CP104" s="1282">
        <f t="shared" ca="1" si="267"/>
        <v>0</v>
      </c>
      <c r="CQ104" s="387">
        <f t="shared" ca="1" si="268"/>
        <v>0</v>
      </c>
      <c r="CR104" s="387">
        <f t="shared" ca="1" si="269"/>
        <v>0</v>
      </c>
      <c r="CS104" s="387">
        <f t="shared" ca="1" si="270"/>
        <v>0</v>
      </c>
      <c r="CT104" s="1283">
        <f t="shared" ca="1" si="271"/>
        <v>0</v>
      </c>
      <c r="CU104" s="386">
        <f t="shared" ca="1" si="272"/>
        <v>0</v>
      </c>
      <c r="CV104" s="387">
        <f t="shared" ca="1" si="273"/>
        <v>0</v>
      </c>
      <c r="CW104" s="1277">
        <f t="shared" ca="1" si="274"/>
        <v>0</v>
      </c>
      <c r="CX104" s="1277">
        <f t="shared" ca="1" si="275"/>
        <v>0</v>
      </c>
      <c r="CY104" s="388">
        <f t="shared" ca="1" si="276"/>
        <v>0</v>
      </c>
      <c r="CZ104" s="347"/>
      <c r="DA104" s="852"/>
      <c r="DB104" s="347"/>
      <c r="DC104" s="1012" t="s">
        <v>594</v>
      </c>
      <c r="DD104" s="841" t="s">
        <v>518</v>
      </c>
      <c r="DE104" s="386">
        <f>+IF($K104="ongoing",CE104,IF(RIGHT($K104,2)=RIGHT(DE$43,2),SUM($CD104:CE104),0)+IF(RIGHT(DE$43,2)&gt;RIGHT($K104,2),CE104,0))</f>
        <v>0.34960902439024388</v>
      </c>
      <c r="DF104" s="387">
        <f>+IF($K104="ongoing",CF104,IF(RIGHT($K104,2)=RIGHT(DF$43,2),SUM($CD104:CF104),0)+IF(RIGHT(DF$43,2)&gt;RIGHT($K104,2),CF104,0))</f>
        <v>1.7471146091878644</v>
      </c>
      <c r="DG104" s="388">
        <f>+IF($K104="ongoing",CG104,IF(RIGHT($K104,2)=RIGHT(DG$43,2),SUM($CD104:CG104),0)+IF(RIGHT(DG$43,2)&gt;RIGHT($K104,2),CG104,0))</f>
        <v>5.6350831333166704</v>
      </c>
      <c r="DH104" s="386">
        <f>+IF($K104="ongoing",CH104,IF(RIGHT($K104,2)=RIGHT(DH$43,2),SUM($CD104:CH104),0)+IF(RIGHT(DH$43,2)&gt;RIGHT($K104,2),CH104,0))</f>
        <v>0</v>
      </c>
      <c r="DI104" s="387">
        <f>+IF($K104="ongoing",CI104,IF(RIGHT($K104,2)=RIGHT(DI$43,2),SUM($CD104:CI104),0)+IF(RIGHT(DI$43,2)&gt;RIGHT($K104,2),CI104,0))</f>
        <v>0</v>
      </c>
      <c r="DJ104" s="387">
        <f>+IF($K104="ongoing",CJ104,IF(RIGHT($K104,2)=RIGHT(DJ$43,2),SUM($CD104:CJ104),0)+IF(RIGHT(DJ$43,2)&gt;RIGHT($K104,2),CJ104,0))</f>
        <v>0</v>
      </c>
      <c r="DK104" s="387">
        <f>+IF($K104="ongoing",CK104,IF(RIGHT($K104,2)=RIGHT(DK$43,2),SUM($CD104:CK104),0)+IF(RIGHT(DK$43,2)&gt;RIGHT($K104,2),CK104,0))</f>
        <v>0</v>
      </c>
      <c r="DL104" s="388">
        <f>+IF($K104="ongoing",CN104,IF(RIGHT($K104,2)=RIGHT(DL$43,2),SUM($CD104:CN104),0)+IF(RIGHT(DL$43,2)&gt;RIGHT($K104,2),CN104,0))</f>
        <v>0</v>
      </c>
      <c r="DM104" s="841"/>
      <c r="DN104" s="386">
        <f t="shared" si="277"/>
        <v>0.5</v>
      </c>
      <c r="DO104" s="387">
        <f t="shared" si="278"/>
        <v>1</v>
      </c>
      <c r="DP104" s="388">
        <f t="shared" si="279"/>
        <v>1</v>
      </c>
      <c r="DQ104" s="386">
        <f t="shared" si="280"/>
        <v>1</v>
      </c>
      <c r="DR104" s="387">
        <f t="shared" si="281"/>
        <v>1</v>
      </c>
      <c r="DS104" s="387">
        <f t="shared" si="282"/>
        <v>1</v>
      </c>
      <c r="DT104" s="387">
        <f t="shared" si="283"/>
        <v>1</v>
      </c>
      <c r="DU104" s="388">
        <f t="shared" si="284"/>
        <v>1</v>
      </c>
      <c r="DW104" s="386">
        <f t="shared" si="285"/>
        <v>0</v>
      </c>
      <c r="DX104" s="387">
        <f t="shared" si="286"/>
        <v>0.5</v>
      </c>
      <c r="DY104" s="388">
        <f t="shared" si="287"/>
        <v>1</v>
      </c>
      <c r="DZ104" s="386">
        <f t="shared" si="288"/>
        <v>1</v>
      </c>
      <c r="EA104" s="387">
        <f t="shared" si="289"/>
        <v>1</v>
      </c>
      <c r="EB104" s="387">
        <f t="shared" si="290"/>
        <v>1</v>
      </c>
      <c r="EC104" s="387">
        <f t="shared" si="291"/>
        <v>1</v>
      </c>
      <c r="ED104" s="388">
        <f t="shared" si="292"/>
        <v>1</v>
      </c>
      <c r="EF104" s="834">
        <f>+IF(DN104=DM104,0,
IF(AND(EF$44&gt;1,DN104=$N104),1-SUM($EE104:EE104),
IF($N104&lt;=1,
IF($N104&gt;0,1/$N104,0),
IF(EF$44=1,0,VDB(1,0,$N104,INT(EF$44-1-1),MIN($N104,INT(EF$44-1-1)+1),$DC104,IF($DD104="No",1,0))/
IF(DM104&gt;=INT($N104),$N104-INT($N104),1)))*
IF(EF$44=1,0,
IF(INT(DN104)=INT(DM104),DN104-DM104,INT(DN104)-DM104))+
IF($N104&lt;=1,
IF($N104&gt;0,1/$N104,0),VDB(1,0,$N104,INT(EF$44-1),MIN($N104,INT(EF$44-1)+1),$DC104,IF($DD104="No",1,0))/
IF(DN104&gt;INT($N104),$N104-INT($N104),1))*
IF(EF$44=1,DN104,
IF(INT(DN104)=INT(DM104),0,DN104-INT(DN104)))))</f>
        <v>0</v>
      </c>
      <c r="EG104" s="835">
        <f>+IF(DO104=DN104,0,
IF(AND(EG$44&gt;1,DO104=$N104),1-SUM($EE104:EF104),
IF($N104&lt;=1,
IF($N104&gt;0,1/$N104,0),
IF(EG$44=1,0,VDB(1,0,$N104,INT(EG$44-1-1),MIN($N104,INT(EG$44-1-1)+1),$DC104,IF($DD104="No",1,0))/
IF(DN104&gt;=INT($N104),$N104-INT($N104),1)))*
IF(EG$44=1,0,
IF(INT(DO104)=INT(DN104),DO104-DN104,INT(DO104)-DN104))+
IF($N104&lt;=1,
IF($N104&gt;0,1/$N104,0),VDB(1,0,$N104,INT(EG$44-1),MIN($N104,INT(EG$44-1)+1),$DC104,IF($DD104="No",1,0))/
IF(DO104&gt;INT($N104),$N104-INT($N104),1))*
IF(EG$44=1,DO104,
IF(INT(DO104)=INT(DN104),0,DO104-INT(DO104)))))</f>
        <v>0</v>
      </c>
      <c r="EH104" s="836">
        <f>+IF(DP104=DO104,0,
IF(AND(EH$44&gt;1,DP104=$N104),1-SUM($EE104:EG104),
IF($N104&lt;=1,
IF($N104&gt;0,1/$N104,0),
IF(EH$44=1,0,VDB(1,0,$N104,INT(EH$44-1-1),MIN($N104,INT(EH$44-1-1)+1),$DC104,IF($DD104="No",1,0))/
IF(DO104&gt;=INT($N104),$N104-INT($N104),1)))*
IF(EH$44=1,0,
IF(INT(DP104)=INT(DO104),DP104-DO104,INT(DP104)-DO104))+
IF($N104&lt;=1,
IF($N104&gt;0,1/$N104,0),VDB(1,0,$N104,INT(EH$44-1),MIN($N104,INT(EH$44-1)+1),$DC104,IF($DD104="No",1,0))/
IF(DP104&gt;INT($N104),$N104-INT($N104),1))*
IF(EH$44=1,DP104,
IF(INT(DP104)=INT(DO104),0,DP104-INT(DP104)))))</f>
        <v>0</v>
      </c>
      <c r="EI104" s="834">
        <f>+IF(DQ104=DP104,0,
IF(AND(EI$44&gt;1,DQ104=$N104),1-SUM($EE104:EH104),
IF($N104&lt;=1,
IF($N104&gt;0,1/$N104,0),
IF(EI$44=1,0,VDB(1,0,$N104,INT(EI$44-1-1),MIN($N104,INT(EI$44-1-1)+1),$DC104,IF($DD104="No",1,0))/
IF(DP104&gt;=INT($N104),$N104-INT($N104),1)))*
IF(EI$44=1,0,
IF(INT(DQ104)=INT(DP104),DQ104-DP104,INT(DQ104)-DP104))+
IF($N104&lt;=1,
IF($N104&gt;0,1/$N104,0),VDB(1,0,$N104,INT(EI$44-1),MIN($N104,INT(EI$44-1)+1),$DC104,IF($DD104="No",1,0))/
IF(DQ104&gt;INT($N104),$N104-INT($N104),1))*
IF(EI$44=1,DQ104,
IF(INT(DQ104)=INT(DP104),0,DQ104-INT(DQ104)))))</f>
        <v>0</v>
      </c>
      <c r="EJ104" s="835">
        <f>+IF(DR104=DQ104,0,
IF(AND(EJ$44&gt;1,DR104=$N104),1-SUM($EE104:EI104),
IF($N104&lt;=1,
IF($N104&gt;0,1/$N104,0),
IF(EJ$44=1,0,VDB(1,0,$N104,INT(EJ$44-1-1),MIN($N104,INT(EJ$44-1-1)+1),$DC104,IF($DD104="No",1,0))/
IF(DQ104&gt;=INT($N104),$N104-INT($N104),1)))*
IF(EJ$44=1,0,
IF(INT(DR104)=INT(DQ104),DR104-DQ104,INT(DR104)-DQ104))+
IF($N104&lt;=1,
IF($N104&gt;0,1/$N104,0),VDB(1,0,$N104,INT(EJ$44-1),MIN($N104,INT(EJ$44-1)+1),$DC104,IF($DD104="No",1,0))/
IF(DR104&gt;INT($N104),$N104-INT($N104),1))*
IF(EJ$44=1,DR104,
IF(INT(DR104)=INT(DQ104),0,DR104-INT(DR104)))))</f>
        <v>0</v>
      </c>
      <c r="EK104" s="835">
        <f>+IF(DS104=DR104,0,
IF(AND(EK$44&gt;1,DS104=$N104),1-SUM($EE104:EJ104),
IF($N104&lt;=1,
IF($N104&gt;0,1/$N104,0),
IF(EK$44=1,0,VDB(1,0,$N104,INT(EK$44-1-1),MIN($N104,INT(EK$44-1-1)+1),$DC104,IF($DD104="No",1,0))/
IF(DR104&gt;=INT($N104),$N104-INT($N104),1)))*
IF(EK$44=1,0,
IF(INT(DS104)=INT(DR104),DS104-DR104,INT(DS104)-DR104))+
IF($N104&lt;=1,
IF($N104&gt;0,1/$N104,0),VDB(1,0,$N104,INT(EK$44-1),MIN($N104,INT(EK$44-1)+1),$DC104,IF($DD104="No",1,0))/
IF(DS104&gt;INT($N104),$N104-INT($N104),1))*
IF(EK$44=1,DS104,
IF(INT(DS104)=INT(DR104),0,DS104-INT(DS104)))))</f>
        <v>0</v>
      </c>
      <c r="EL104" s="835">
        <f>+IF(DT104=DS104,0,
IF(AND(EL$44&gt;1,DT104=$N104),1-SUM($EE104:EK104),
IF($N104&lt;=1,
IF($N104&gt;0,1/$N104,0),
IF(EL$44=1,0,VDB(1,0,$N104,INT(EL$44-1-1),MIN($N104,INT(EL$44-1-1)+1),$DC104,IF($DD104="No",1,0))/
IF(DS104&gt;=INT($N104),$N104-INT($N104),1)))*
IF(EL$44=1,0,
IF(INT(DT104)=INT(DS104),DT104-DS104,INT(DT104)-DS104))+
IF($N104&lt;=1,
IF($N104&gt;0,1/$N104,0),VDB(1,0,$N104,INT(EL$44-1),MIN($N104,INT(EL$44-1)+1),$DC104,IF($DD104="No",1,0))/
IF(DT104&gt;INT($N104),$N104-INT($N104),1))*
IF(EL$44=1,DT104,
IF(INT(DT104)=INT(DS104),0,DT104-INT(DT104)))))</f>
        <v>0</v>
      </c>
      <c r="EM104" s="836">
        <f>+IF(DU104=DT104,0,
IF(AND(EM$44&gt;1,DU104=$N104),1-SUM($EE104:EL104),
IF($N104&lt;=1,
IF($N104&gt;0,1/$N104,0),
IF(EM$44=1,0,VDB(1,0,$N104,INT(EM$44-1-1),MIN($N104,INT(EM$44-1-1)+1),$DC104,IF($DD104="No",1,0))/
IF(DT104&gt;=INT($N104),$N104-INT($N104),1)))*
IF(EM$44=1,0,
IF(INT(DU104)=INT(DT104),DU104-DT104,INT(DU104)-DT104))+
IF($N104&lt;=1,
IF($N104&gt;0,1/$N104,0),VDB(1,0,$N104,INT(EM$44-1),MIN($N104,INT(EM$44-1)+1),$DC104,IF($DD104="No",1,0))/
IF(DU104&gt;INT($N104),$N104-INT($N104),1))*
IF(EM$44=1,DU104,
IF(INT(DU104)=INT(DT104),0,DU104-INT(DU104)))))</f>
        <v>0</v>
      </c>
      <c r="EN104" s="833"/>
      <c r="EO104" s="834">
        <f>+IF(OR(DW104=DV104,EO$44=1),0,
IF(AND(EO$44&gt;1,DW104=$N104),1-SUM($EN104:EN104),
IF($N104&lt;=1,
IF($N104&gt;0,1/$N104,0),
IF(EO$44=2,0,VDB(1,0,$N104,INT(EO$44-2-1),MIN($N104,INT(EO$44-2-1)+1),$DC104,IF($DD104="No",1,0))/
IF(DV104&gt;=INT($N104),$N104-INT($N104),1)))*
IF(EO$44=2,0,
IF(INT(DW104)=INT(DV104),DW104-DV104,INT(DW104)-DV104))+
IF($N104&lt;=1,
IF($N104&gt;0,1/$N104,0),VDB(1,0,$N104,INT(EO$44-2),MIN($N104,INT(EO$44-2)+1),$DC104,IF($DD104="No",1,0))/
IF(DW104&gt;INT($N104),$N104-INT($N104),1))*
IF(EO$44=2,DW104,
IF(INT(DW104)=INT(DV104),0,DW104-INT(DW104)))))</f>
        <v>0</v>
      </c>
      <c r="EP104" s="835">
        <f>+IF(OR(DX104=DW104,EP$44=1),0,
IF(AND(EP$44&gt;1,DX104=$N104),1-SUM($EN104:EO104),
IF($N104&lt;=1,
IF($N104&gt;0,1/$N104,0),
IF(EP$44=2,0,VDB(1,0,$N104,INT(EP$44-2-1),MIN($N104,INT(EP$44-2-1)+1),$DC104,IF($DD104="No",1,0))/
IF(DW104&gt;=INT($N104),$N104-INT($N104),1)))*
IF(EP$44=2,0,
IF(INT(DX104)=INT(DW104),DX104-DW104,INT(DX104)-DW104))+
IF($N104&lt;=1,
IF($N104&gt;0,1/$N104,0),VDB(1,0,$N104,INT(EP$44-2),MIN($N104,INT(EP$44-2)+1),$DC104,IF($DD104="No",1,0))/
IF(DX104&gt;INT($N104),$N104-INT($N104),1))*
IF(EP$44=2,DX104,
IF(INT(DX104)=INT(DW104),0,DX104-INT(DX104)))))</f>
        <v>0</v>
      </c>
      <c r="EQ104" s="836">
        <f>+IF(OR(DY104=DX104,EQ$44=1),0,
IF(AND(EQ$44&gt;1,DY104=$N104),1-SUM($EN104:EP104),
IF($N104&lt;=1,
IF($N104&gt;0,1/$N104,0),
IF(EQ$44=2,0,VDB(1,0,$N104,INT(EQ$44-2-1),MIN($N104,INT(EQ$44-2-1)+1),$DC104,IF($DD104="No",1,0))/
IF(DX104&gt;=INT($N104),$N104-INT($N104),1)))*
IF(EQ$44=2,0,
IF(INT(DY104)=INT(DX104),DY104-DX104,INT(DY104)-DX104))+
IF($N104&lt;=1,
IF($N104&gt;0,1/$N104,0),VDB(1,0,$N104,INT(EQ$44-2),MIN($N104,INT(EQ$44-2)+1),$DC104,IF($DD104="No",1,0))/
IF(DY104&gt;INT($N104),$N104-INT($N104),1))*
IF(EQ$44=2,DY104,
IF(INT(DY104)=INT(DX104),0,DY104-INT(DY104)))))</f>
        <v>0</v>
      </c>
      <c r="ER104" s="834">
        <f>+IF(OR(DZ104=DY104,ER$44=1),0,
IF(AND(ER$44&gt;1,DZ104=$N104),1-SUM($EN104:EQ104),
IF($N104&lt;=1,
IF($N104&gt;0,1/$N104,0),
IF(ER$44=2,0,VDB(1,0,$N104,INT(ER$44-2-1),MIN($N104,INT(ER$44-2-1)+1),$DC104,IF($DD104="No",1,0))/
IF(DY104&gt;=INT($N104),$N104-INT($N104),1)))*
IF(ER$44=2,0,
IF(INT(DZ104)=INT(DY104),DZ104-DY104,INT(DZ104)-DY104))+
IF($N104&lt;=1,
IF($N104&gt;0,1/$N104,0),VDB(1,0,$N104,INT(ER$44-2),MIN($N104,INT(ER$44-2)+1),$DC104,IF($DD104="No",1,0))/
IF(DZ104&gt;INT($N104),$N104-INT($N104),1))*
IF(ER$44=2,DZ104,
IF(INT(DZ104)=INT(DY104),0,DZ104-INT(DZ104)))))</f>
        <v>0</v>
      </c>
      <c r="ES104" s="835">
        <f>+IF(OR(EA104=DZ104,ES$44=1),0,
IF(AND(ES$44&gt;1,EA104=$N104),1-SUM($EN104:ER104),
IF($N104&lt;=1,
IF($N104&gt;0,1/$N104,0),
IF(ES$44=2,0,VDB(1,0,$N104,INT(ES$44-2-1),MIN($N104,INT(ES$44-2-1)+1),$DC104,IF($DD104="No",1,0))/
IF(DZ104&gt;=INT($N104),$N104-INT($N104),1)))*
IF(ES$44=2,0,
IF(INT(EA104)=INT(DZ104),EA104-DZ104,INT(EA104)-DZ104))+
IF($N104&lt;=1,
IF($N104&gt;0,1/$N104,0),VDB(1,0,$N104,INT(ES$44-2),MIN($N104,INT(ES$44-2)+1),$DC104,IF($DD104="No",1,0))/
IF(EA104&gt;INT($N104),$N104-INT($N104),1))*
IF(ES$44=2,EA104,
IF(INT(EA104)=INT(DZ104),0,EA104-INT(EA104)))))</f>
        <v>0</v>
      </c>
      <c r="ET104" s="835">
        <f>+IF(OR(EB104=EA104,ET$44=1),0,
IF(AND(ET$44&gt;1,EB104=$N104),1-SUM($EN104:ES104),
IF($N104&lt;=1,
IF($N104&gt;0,1/$N104,0),
IF(ET$44=2,0,VDB(1,0,$N104,INT(ET$44-2-1),MIN($N104,INT(ET$44-2-1)+1),$DC104,IF($DD104="No",1,0))/
IF(EA104&gt;=INT($N104),$N104-INT($N104),1)))*
IF(ET$44=2,0,
IF(INT(EB104)=INT(EA104),EB104-EA104,INT(EB104)-EA104))+
IF($N104&lt;=1,
IF($N104&gt;0,1/$N104,0),VDB(1,0,$N104,INT(ET$44-2),MIN($N104,INT(ET$44-2)+1),$DC104,IF($DD104="No",1,0))/
IF(EB104&gt;INT($N104),$N104-INT($N104),1))*
IF(ET$44=2,EB104,
IF(INT(EB104)=INT(EA104),0,EB104-INT(EB104)))))</f>
        <v>0</v>
      </c>
      <c r="EU104" s="835">
        <f>+IF(OR(EC104=EB104,EU$44=1),0,
IF(AND(EU$44&gt;1,EC104=$N104),1-SUM($EN104:ET104),
IF($N104&lt;=1,
IF($N104&gt;0,1/$N104,0),
IF(EU$44=2,0,VDB(1,0,$N104,INT(EU$44-2-1),MIN($N104,INT(EU$44-2-1)+1),$DC104,IF($DD104="No",1,0))/
IF(EB104&gt;=INT($N104),$N104-INT($N104),1)))*
IF(EU$44=2,0,
IF(INT(EC104)=INT(EB104),EC104-EB104,INT(EC104)-EB104))+
IF($N104&lt;=1,
IF($N104&gt;0,1/$N104,0),VDB(1,0,$N104,INT(EU$44-2),MIN($N104,INT(EU$44-2)+1),$DC104,IF($DD104="No",1,0))/
IF(EC104&gt;INT($N104),$N104-INT($N104),1))*
IF(EU$44=2,EC104,
IF(INT(EC104)=INT(EB104),0,EC104-INT(EC104)))))</f>
        <v>0</v>
      </c>
      <c r="EV104" s="836">
        <f>+IF(OR(ED104=EC104,EV$44=1),0,
IF(AND(EV$44&gt;1,ED104=$N104),1-SUM($EN104:EU104),
IF($N104&lt;=1,
IF($N104&gt;0,1/$N104,0),
IF(EV$44=2,0,VDB(1,0,$N104,INT(EV$44-2-1),MIN($N104,INT(EV$44-2-1)+1),$DC104,IF($DD104="No",1,0))/
IF(EC104&gt;=INT($N104),$N104-INT($N104),1)))*
IF(EV$44=2,0,
IF(INT(ED104)=INT(EC104),ED104-EC104,INT(ED104)-EC104))+
IF($N104&lt;=1,
IF($N104&gt;0,1/$N104,0),VDB(1,0,$N104,INT(EV$44-2),MIN($N104,INT(EV$44-2)+1),$DC104,IF($DD104="No",1,0))/
IF(ED104&gt;INT($N104),$N104-INT($N104),1))*
IF(EV$44=2,ED104,
IF(INT(ED104)=INT(EC104),0,ED104-INT(ED104)))))</f>
        <v>0</v>
      </c>
      <c r="EW104" s="833"/>
      <c r="EX104" s="834">
        <f t="shared" ca="1" si="301"/>
        <v>0</v>
      </c>
      <c r="EY104" s="835">
        <f t="shared" ca="1" si="301"/>
        <v>0</v>
      </c>
      <c r="EZ104" s="836">
        <f t="shared" ca="1" si="301"/>
        <v>0</v>
      </c>
      <c r="FA104" s="834">
        <f t="shared" ca="1" si="301"/>
        <v>0</v>
      </c>
      <c r="FB104" s="835">
        <f t="shared" ca="1" si="301"/>
        <v>0</v>
      </c>
      <c r="FC104" s="835">
        <f t="shared" ca="1" si="301"/>
        <v>0</v>
      </c>
      <c r="FD104" s="835">
        <f t="shared" ca="1" si="301"/>
        <v>0</v>
      </c>
      <c r="FE104" s="836">
        <f t="shared" ca="1" si="301"/>
        <v>0</v>
      </c>
      <c r="FG104" s="386">
        <f t="shared" ca="1" si="293"/>
        <v>0</v>
      </c>
      <c r="FH104" s="387">
        <f t="shared" ca="1" si="294"/>
        <v>0</v>
      </c>
      <c r="FI104" s="388">
        <f t="shared" ca="1" si="295"/>
        <v>0</v>
      </c>
      <c r="FJ104" s="386">
        <f t="shared" ca="1" si="296"/>
        <v>0</v>
      </c>
      <c r="FK104" s="387">
        <f t="shared" ca="1" si="297"/>
        <v>0</v>
      </c>
      <c r="FL104" s="387">
        <f t="shared" ca="1" si="298"/>
        <v>0</v>
      </c>
      <c r="FM104" s="387">
        <f t="shared" ca="1" si="299"/>
        <v>0</v>
      </c>
      <c r="FN104" s="388">
        <f t="shared" ca="1" si="300"/>
        <v>0</v>
      </c>
      <c r="FR104" s="116"/>
    </row>
    <row r="105" spans="2:174">
      <c r="B105" s="1410">
        <f t="shared" si="135"/>
        <v>59</v>
      </c>
      <c r="C105" s="400" t="s">
        <v>593</v>
      </c>
      <c r="D105" s="410"/>
      <c r="E105" s="402" t="s">
        <v>401</v>
      </c>
      <c r="F105" s="402" t="s">
        <v>514</v>
      </c>
      <c r="G105" s="400" t="s">
        <v>522</v>
      </c>
      <c r="H105" s="2088" t="s">
        <v>483</v>
      </c>
      <c r="I105" s="2089"/>
      <c r="J105" s="411" t="s">
        <v>516</v>
      </c>
      <c r="K105" s="403" t="s">
        <v>544</v>
      </c>
      <c r="L105" s="403">
        <v>25</v>
      </c>
      <c r="M105" s="403" t="s">
        <v>142</v>
      </c>
      <c r="N105" s="403"/>
      <c r="O105" s="347"/>
      <c r="P105" s="347"/>
      <c r="Q105" s="1021">
        <v>4.7616160585365854</v>
      </c>
      <c r="R105" s="1022">
        <v>0.6386479762046402</v>
      </c>
      <c r="S105" s="1022">
        <v>7.4287952873579918E-3</v>
      </c>
      <c r="T105" s="1022">
        <v>0</v>
      </c>
      <c r="U105" s="1023">
        <v>0</v>
      </c>
      <c r="V105" s="1021">
        <v>0</v>
      </c>
      <c r="W105" s="1022">
        <v>0</v>
      </c>
      <c r="X105" s="1022">
        <v>0</v>
      </c>
      <c r="Y105" s="1022">
        <v>0</v>
      </c>
      <c r="Z105" s="1023">
        <v>0</v>
      </c>
      <c r="AA105" s="1024"/>
      <c r="AB105" s="1021">
        <v>0</v>
      </c>
      <c r="AC105" s="1022">
        <v>0</v>
      </c>
      <c r="AD105" s="1022">
        <v>0</v>
      </c>
      <c r="AE105" s="1022">
        <v>0</v>
      </c>
      <c r="AF105" s="1023">
        <v>0</v>
      </c>
      <c r="AG105" s="1021">
        <v>0</v>
      </c>
      <c r="AH105" s="1022">
        <v>0</v>
      </c>
      <c r="AI105" s="1022">
        <v>0</v>
      </c>
      <c r="AJ105" s="1022">
        <v>0</v>
      </c>
      <c r="AK105" s="1023">
        <v>0</v>
      </c>
      <c r="AL105" s="1024"/>
      <c r="AM105" s="1021">
        <v>0</v>
      </c>
      <c r="AN105" s="1022">
        <v>0</v>
      </c>
      <c r="AO105" s="1022">
        <v>0</v>
      </c>
      <c r="AP105" s="1022">
        <v>0</v>
      </c>
      <c r="AQ105" s="1023">
        <v>0</v>
      </c>
      <c r="AR105" s="1021">
        <v>0</v>
      </c>
      <c r="AS105" s="1022">
        <v>0</v>
      </c>
      <c r="AT105" s="1022">
        <v>0</v>
      </c>
      <c r="AU105" s="1022">
        <v>0</v>
      </c>
      <c r="AV105" s="1023">
        <v>0</v>
      </c>
      <c r="AW105" s="1025"/>
      <c r="AX105" s="1282">
        <f t="shared" si="247"/>
        <v>4.7616160585365854</v>
      </c>
      <c r="AY105" s="387">
        <f t="shared" si="248"/>
        <v>0.6386479762046402</v>
      </c>
      <c r="AZ105" s="387">
        <f t="shared" si="249"/>
        <v>7.4287952873579918E-3</v>
      </c>
      <c r="BA105" s="387">
        <f t="shared" si="250"/>
        <v>0</v>
      </c>
      <c r="BB105" s="1283">
        <f t="shared" si="251"/>
        <v>0</v>
      </c>
      <c r="BC105" s="386">
        <f t="shared" si="252"/>
        <v>0</v>
      </c>
      <c r="BD105" s="387">
        <f t="shared" si="253"/>
        <v>0</v>
      </c>
      <c r="BE105" s="1277">
        <f t="shared" si="254"/>
        <v>0</v>
      </c>
      <c r="BF105" s="1277">
        <f t="shared" si="255"/>
        <v>0</v>
      </c>
      <c r="BG105" s="388">
        <f t="shared" si="256"/>
        <v>0</v>
      </c>
      <c r="BH105" s="1025"/>
      <c r="BI105" s="1282">
        <f t="shared" ca="1" si="257"/>
        <v>9.5232321170731715E-2</v>
      </c>
      <c r="BJ105" s="387">
        <f t="shared" ca="1" si="258"/>
        <v>0.20323760186555623</v>
      </c>
      <c r="BK105" s="387">
        <f t="shared" ca="1" si="259"/>
        <v>0.21615913729539618</v>
      </c>
      <c r="BL105" s="387">
        <f t="shared" ca="1" si="260"/>
        <v>0.21630771320114334</v>
      </c>
      <c r="BM105" s="1283">
        <f t="shared" ca="1" si="261"/>
        <v>0.21630771320114334</v>
      </c>
      <c r="BN105" s="386">
        <f t="shared" ca="1" si="262"/>
        <v>0.21630771320114334</v>
      </c>
      <c r="BO105" s="387">
        <f t="shared" ca="1" si="263"/>
        <v>0.21630771320114334</v>
      </c>
      <c r="BP105" s="1277">
        <f t="shared" ca="1" si="264"/>
        <v>0.21630771320114334</v>
      </c>
      <c r="BQ105" s="1277">
        <f t="shared" ca="1" si="265"/>
        <v>0.21630771320114334</v>
      </c>
      <c r="BR105" s="388">
        <f t="shared" ca="1" si="266"/>
        <v>0.21630771320114334</v>
      </c>
      <c r="BS105" s="1025"/>
      <c r="BT105" s="1282">
        <f>+IF($K105="Ongoing",AX105,IF(RIGHT($K105,2)=RIGHT(BT$43,2),SUM($AX105:AX105),0)+IF(RIGHT(BT$43,2)&gt;RIGHT($K105,2),AX105,0))</f>
        <v>4.7616160585365854</v>
      </c>
      <c r="BU105" s="387">
        <f>+IF($K105="Ongoing",AY105,IF(RIGHT($K105,2)=RIGHT(BU$43,2),SUM($AX105:AY105),0)+IF(RIGHT(BU$43,2)&gt;RIGHT($K105,2),AY105,0))</f>
        <v>0.6386479762046402</v>
      </c>
      <c r="BV105" s="387">
        <f>+IF($K105="Ongoing",AZ105,IF(RIGHT($K105,2)=RIGHT(BV$43,2),SUM($AX105:AZ105),0)+IF(RIGHT(BV$43,2)&gt;RIGHT($K105,2),AZ105,0))</f>
        <v>7.4287952873579918E-3</v>
      </c>
      <c r="BW105" s="387">
        <f>+IF($K105="Ongoing",BA105,IF(RIGHT($K105,2)=RIGHT(BW$43,2),SUM($AX105:BA105),0)+IF(RIGHT(BW$43,2)&gt;RIGHT($K105,2),BA105,0))</f>
        <v>0</v>
      </c>
      <c r="BX105" s="1283">
        <f>+IF($K105="Ongoing",BB105,IF(RIGHT($K105,2)=RIGHT(BX$43,2),SUM($AX105:BB105),0)+IF(RIGHT(BX$43,2)&gt;RIGHT($K105,2),BB105,0))</f>
        <v>0</v>
      </c>
      <c r="BY105" s="386">
        <f>+IF($K105="Ongoing",BC105,IF(RIGHT($K105,2)=RIGHT(BY$43,2),SUM($AX105:BC105),0)+IF(RIGHT(BY$43,2)&gt;RIGHT($K105,2),BC105,0))</f>
        <v>0</v>
      </c>
      <c r="BZ105" s="387">
        <f>+IF($K105="Ongoing",BD105,IF(RIGHT($K105,2)=RIGHT(BZ$43,2),SUM($AX105:BD105),0)+IF(RIGHT(BZ$43,2)&gt;RIGHT($K105,2),BD105,0))</f>
        <v>0</v>
      </c>
      <c r="CA105" s="1277">
        <f>+IF($K105="Ongoing",BE105,IF(RIGHT($K105,2)=RIGHT(CA$43,2),SUM($AX105:BE105),0)+IF(RIGHT(CA$43,2)&gt;RIGHT($K105,2),BE105,0))</f>
        <v>0</v>
      </c>
      <c r="CB105" s="1277">
        <f>+IF($K105="Ongoing",BF105,IF(RIGHT($K105,2)=RIGHT(CB$43,2),SUM($AX105:BF105),0)+IF(RIGHT(CB$43,2)&gt;RIGHT($K105,2),BF105,0))</f>
        <v>0</v>
      </c>
      <c r="CC105" s="388">
        <f>+IF($K105="Ongoing",BG105,IF(RIGHT($K105,2)=RIGHT(CC$43,2),SUM($AX105:BG105),0)+IF(RIGHT(CC$43,2)&gt;RIGHT($K105,2),BG105,0))</f>
        <v>0</v>
      </c>
      <c r="CD105" s="1025"/>
      <c r="CE105" s="1282">
        <f>+Q105*KeyAssumptionsPriceControl_FO!AF$15</f>
        <v>4.8997029242341457</v>
      </c>
      <c r="CF105" s="387">
        <f>+R105*KeyAssumptionsPriceControl_FO!AG$15</f>
        <v>0.67622666177249735</v>
      </c>
      <c r="CG105" s="387">
        <f>+S105*KeyAssumptionsPriceControl_FO!AH$15</f>
        <v>8.0940245087564033E-3</v>
      </c>
      <c r="CH105" s="387">
        <f>+T105*KeyAssumptionsPriceControl_FO!AI$15</f>
        <v>0</v>
      </c>
      <c r="CI105" s="1283">
        <f>+U105*KeyAssumptionsPriceControl_FO!AJ$15</f>
        <v>0</v>
      </c>
      <c r="CJ105" s="386">
        <f>+V105*KeyAssumptionsPriceControl_FO!AK$15</f>
        <v>0</v>
      </c>
      <c r="CK105" s="387">
        <f>+W105*KeyAssumptionsPriceControl_FO!AL$15</f>
        <v>0</v>
      </c>
      <c r="CL105" s="1277">
        <f>+X105*KeyAssumptionsPriceControl_FO!AM$15</f>
        <v>0</v>
      </c>
      <c r="CM105" s="1277">
        <f>+Y105*KeyAssumptionsPriceControl_FO!AN$15</f>
        <v>0</v>
      </c>
      <c r="CN105" s="388">
        <f>+Z105*KeyAssumptionsPriceControl_FO!AO$15</f>
        <v>0</v>
      </c>
      <c r="CO105" s="1025"/>
      <c r="CP105" s="1282">
        <f t="shared" ca="1" si="267"/>
        <v>0</v>
      </c>
      <c r="CQ105" s="387">
        <f t="shared" ca="1" si="268"/>
        <v>0</v>
      </c>
      <c r="CR105" s="387">
        <f t="shared" ca="1" si="269"/>
        <v>0</v>
      </c>
      <c r="CS105" s="387">
        <f t="shared" ca="1" si="270"/>
        <v>0</v>
      </c>
      <c r="CT105" s="1283">
        <f t="shared" ca="1" si="271"/>
        <v>0</v>
      </c>
      <c r="CU105" s="386">
        <f t="shared" ca="1" si="272"/>
        <v>0</v>
      </c>
      <c r="CV105" s="387">
        <f t="shared" ca="1" si="273"/>
        <v>0</v>
      </c>
      <c r="CW105" s="1277">
        <f t="shared" ca="1" si="274"/>
        <v>0</v>
      </c>
      <c r="CX105" s="1277">
        <f t="shared" ca="1" si="275"/>
        <v>0</v>
      </c>
      <c r="CY105" s="388">
        <f t="shared" ca="1" si="276"/>
        <v>0</v>
      </c>
      <c r="CZ105" s="347"/>
      <c r="DA105" s="852"/>
      <c r="DB105" s="347"/>
      <c r="DC105" s="1012" t="s">
        <v>595</v>
      </c>
      <c r="DD105" s="841" t="s">
        <v>518</v>
      </c>
      <c r="DE105" s="386">
        <f>+IF($K105="ongoing",CE105,IF(RIGHT($K105,2)=RIGHT(DE$43,2),SUM($CD105:CE105),0)+IF(RIGHT(DE$43,2)&gt;RIGHT($K105,2),CE105,0))</f>
        <v>4.8997029242341457</v>
      </c>
      <c r="DF105" s="387">
        <f>+IF($K105="ongoing",CF105,IF(RIGHT($K105,2)=RIGHT(DF$43,2),SUM($CD105:CF105),0)+IF(RIGHT(DF$43,2)&gt;RIGHT($K105,2),CF105,0))</f>
        <v>0.67622666177249735</v>
      </c>
      <c r="DG105" s="388">
        <f>+IF($K105="ongoing",CG105,IF(RIGHT($K105,2)=RIGHT(DG$43,2),SUM($CD105:CG105),0)+IF(RIGHT(DG$43,2)&gt;RIGHT($K105,2),CG105,0))</f>
        <v>8.0940245087564033E-3</v>
      </c>
      <c r="DH105" s="386">
        <f>+IF($K105="ongoing",CH105,IF(RIGHT($K105,2)=RIGHT(DH$43,2),SUM($CD105:CH105),0)+IF(RIGHT(DH$43,2)&gt;RIGHT($K105,2),CH105,0))</f>
        <v>0</v>
      </c>
      <c r="DI105" s="387">
        <f>+IF($K105="ongoing",CI105,IF(RIGHT($K105,2)=RIGHT(DI$43,2),SUM($CD105:CI105),0)+IF(RIGHT(DI$43,2)&gt;RIGHT($K105,2),CI105,0))</f>
        <v>0</v>
      </c>
      <c r="DJ105" s="387">
        <f>+IF($K105="ongoing",CJ105,IF(RIGHT($K105,2)=RIGHT(DJ$43,2),SUM($CD105:CJ105),0)+IF(RIGHT(DJ$43,2)&gt;RIGHT($K105,2),CJ105,0))</f>
        <v>0</v>
      </c>
      <c r="DK105" s="387">
        <f>+IF($K105="ongoing",CK105,IF(RIGHT($K105,2)=RIGHT(DK$43,2),SUM($CD105:CK105),0)+IF(RIGHT(DK$43,2)&gt;RIGHT($K105,2),CK105,0))</f>
        <v>0</v>
      </c>
      <c r="DL105" s="388">
        <f>+IF($K105="ongoing",CN105,IF(RIGHT($K105,2)=RIGHT(DL$43,2),SUM($CD105:CN105),0)+IF(RIGHT(DL$43,2)&gt;RIGHT($K105,2),CN105,0))</f>
        <v>0</v>
      </c>
      <c r="DM105" s="841"/>
      <c r="DN105" s="386">
        <f t="shared" si="277"/>
        <v>0.5</v>
      </c>
      <c r="DO105" s="387">
        <f t="shared" si="278"/>
        <v>1</v>
      </c>
      <c r="DP105" s="388">
        <f t="shared" si="279"/>
        <v>1</v>
      </c>
      <c r="DQ105" s="386">
        <f t="shared" si="280"/>
        <v>1</v>
      </c>
      <c r="DR105" s="387">
        <f t="shared" si="281"/>
        <v>1</v>
      </c>
      <c r="DS105" s="387">
        <f t="shared" si="282"/>
        <v>1</v>
      </c>
      <c r="DT105" s="387">
        <f t="shared" si="283"/>
        <v>1</v>
      </c>
      <c r="DU105" s="388">
        <f t="shared" si="284"/>
        <v>1</v>
      </c>
      <c r="DW105" s="386">
        <f t="shared" si="285"/>
        <v>0</v>
      </c>
      <c r="DX105" s="387">
        <f t="shared" si="286"/>
        <v>0.5</v>
      </c>
      <c r="DY105" s="388">
        <f t="shared" si="287"/>
        <v>1</v>
      </c>
      <c r="DZ105" s="386">
        <f t="shared" si="288"/>
        <v>1</v>
      </c>
      <c r="EA105" s="387">
        <f t="shared" si="289"/>
        <v>1</v>
      </c>
      <c r="EB105" s="387">
        <f t="shared" si="290"/>
        <v>1</v>
      </c>
      <c r="EC105" s="387">
        <f t="shared" si="291"/>
        <v>1</v>
      </c>
      <c r="ED105" s="388">
        <f t="shared" si="292"/>
        <v>1</v>
      </c>
      <c r="EF105" s="834">
        <f>+IF(DN105=DM105,0,
IF(AND(EF$44&gt;1,DN105=$N105),1-SUM($EE105:EE105),
IF($N105&lt;=1,
IF($N105&gt;0,1/$N105,0),
IF(EF$44=1,0,VDB(1,0,$N105,INT(EF$44-1-1),MIN($N105,INT(EF$44-1-1)+1),$DC105,IF($DD105="No",1,0))/
IF(DM105&gt;=INT($N105),$N105-INT($N105),1)))*
IF(EF$44=1,0,
IF(INT(DN105)=INT(DM105),DN105-DM105,INT(DN105)-DM105))+
IF($N105&lt;=1,
IF($N105&gt;0,1/$N105,0),VDB(1,0,$N105,INT(EF$44-1),MIN($N105,INT(EF$44-1)+1),$DC105,IF($DD105="No",1,0))/
IF(DN105&gt;INT($N105),$N105-INT($N105),1))*
IF(EF$44=1,DN105,
IF(INT(DN105)=INT(DM105),0,DN105-INT(DN105)))))</f>
        <v>0</v>
      </c>
      <c r="EG105" s="835">
        <f>+IF(DO105=DN105,0,
IF(AND(EG$44&gt;1,DO105=$N105),1-SUM($EE105:EF105),
IF($N105&lt;=1,
IF($N105&gt;0,1/$N105,0),
IF(EG$44=1,0,VDB(1,0,$N105,INT(EG$44-1-1),MIN($N105,INT(EG$44-1-1)+1),$DC105,IF($DD105="No",1,0))/
IF(DN105&gt;=INT($N105),$N105-INT($N105),1)))*
IF(EG$44=1,0,
IF(INT(DO105)=INT(DN105),DO105-DN105,INT(DO105)-DN105))+
IF($N105&lt;=1,
IF($N105&gt;0,1/$N105,0),VDB(1,0,$N105,INT(EG$44-1),MIN($N105,INT(EG$44-1)+1),$DC105,IF($DD105="No",1,0))/
IF(DO105&gt;INT($N105),$N105-INT($N105),1))*
IF(EG$44=1,DO105,
IF(INT(DO105)=INT(DN105),0,DO105-INT(DO105)))))</f>
        <v>0</v>
      </c>
      <c r="EH105" s="836">
        <f>+IF(DP105=DO105,0,
IF(AND(EH$44&gt;1,DP105=$N105),1-SUM($EE105:EG105),
IF($N105&lt;=1,
IF($N105&gt;0,1/$N105,0),
IF(EH$44=1,0,VDB(1,0,$N105,INT(EH$44-1-1),MIN($N105,INT(EH$44-1-1)+1),$DC105,IF($DD105="No",1,0))/
IF(DO105&gt;=INT($N105),$N105-INT($N105),1)))*
IF(EH$44=1,0,
IF(INT(DP105)=INT(DO105),DP105-DO105,INT(DP105)-DO105))+
IF($N105&lt;=1,
IF($N105&gt;0,1/$N105,0),VDB(1,0,$N105,INT(EH$44-1),MIN($N105,INT(EH$44-1)+1),$DC105,IF($DD105="No",1,0))/
IF(DP105&gt;INT($N105),$N105-INT($N105),1))*
IF(EH$44=1,DP105,
IF(INT(DP105)=INT(DO105),0,DP105-INT(DP105)))))</f>
        <v>0</v>
      </c>
      <c r="EI105" s="834">
        <f>+IF(DQ105=DP105,0,
IF(AND(EI$44&gt;1,DQ105=$N105),1-SUM($EE105:EH105),
IF($N105&lt;=1,
IF($N105&gt;0,1/$N105,0),
IF(EI$44=1,0,VDB(1,0,$N105,INT(EI$44-1-1),MIN($N105,INT(EI$44-1-1)+1),$DC105,IF($DD105="No",1,0))/
IF(DP105&gt;=INT($N105),$N105-INT($N105),1)))*
IF(EI$44=1,0,
IF(INT(DQ105)=INT(DP105),DQ105-DP105,INT(DQ105)-DP105))+
IF($N105&lt;=1,
IF($N105&gt;0,1/$N105,0),VDB(1,0,$N105,INT(EI$44-1),MIN($N105,INT(EI$44-1)+1),$DC105,IF($DD105="No",1,0))/
IF(DQ105&gt;INT($N105),$N105-INT($N105),1))*
IF(EI$44=1,DQ105,
IF(INT(DQ105)=INT(DP105),0,DQ105-INT(DQ105)))))</f>
        <v>0</v>
      </c>
      <c r="EJ105" s="835">
        <f>+IF(DR105=DQ105,0,
IF(AND(EJ$44&gt;1,DR105=$N105),1-SUM($EE105:EI105),
IF($N105&lt;=1,
IF($N105&gt;0,1/$N105,0),
IF(EJ$44=1,0,VDB(1,0,$N105,INT(EJ$44-1-1),MIN($N105,INT(EJ$44-1-1)+1),$DC105,IF($DD105="No",1,0))/
IF(DQ105&gt;=INT($N105),$N105-INT($N105),1)))*
IF(EJ$44=1,0,
IF(INT(DR105)=INT(DQ105),DR105-DQ105,INT(DR105)-DQ105))+
IF($N105&lt;=1,
IF($N105&gt;0,1/$N105,0),VDB(1,0,$N105,INT(EJ$44-1),MIN($N105,INT(EJ$44-1)+1),$DC105,IF($DD105="No",1,0))/
IF(DR105&gt;INT($N105),$N105-INT($N105),1))*
IF(EJ$44=1,DR105,
IF(INT(DR105)=INT(DQ105),0,DR105-INT(DR105)))))</f>
        <v>0</v>
      </c>
      <c r="EK105" s="835">
        <f>+IF(DS105=DR105,0,
IF(AND(EK$44&gt;1,DS105=$N105),1-SUM($EE105:EJ105),
IF($N105&lt;=1,
IF($N105&gt;0,1/$N105,0),
IF(EK$44=1,0,VDB(1,0,$N105,INT(EK$44-1-1),MIN($N105,INT(EK$44-1-1)+1),$DC105,IF($DD105="No",1,0))/
IF(DR105&gt;=INT($N105),$N105-INT($N105),1)))*
IF(EK$44=1,0,
IF(INT(DS105)=INT(DR105),DS105-DR105,INT(DS105)-DR105))+
IF($N105&lt;=1,
IF($N105&gt;0,1/$N105,0),VDB(1,0,$N105,INT(EK$44-1),MIN($N105,INT(EK$44-1)+1),$DC105,IF($DD105="No",1,0))/
IF(DS105&gt;INT($N105),$N105-INT($N105),1))*
IF(EK$44=1,DS105,
IF(INT(DS105)=INT(DR105),0,DS105-INT(DS105)))))</f>
        <v>0</v>
      </c>
      <c r="EL105" s="835">
        <f>+IF(DT105=DS105,0,
IF(AND(EL$44&gt;1,DT105=$N105),1-SUM($EE105:EK105),
IF($N105&lt;=1,
IF($N105&gt;0,1/$N105,0),
IF(EL$44=1,0,VDB(1,0,$N105,INT(EL$44-1-1),MIN($N105,INT(EL$44-1-1)+1),$DC105,IF($DD105="No",1,0))/
IF(DS105&gt;=INT($N105),$N105-INT($N105),1)))*
IF(EL$44=1,0,
IF(INT(DT105)=INT(DS105),DT105-DS105,INT(DT105)-DS105))+
IF($N105&lt;=1,
IF($N105&gt;0,1/$N105,0),VDB(1,0,$N105,INT(EL$44-1),MIN($N105,INT(EL$44-1)+1),$DC105,IF($DD105="No",1,0))/
IF(DT105&gt;INT($N105),$N105-INT($N105),1))*
IF(EL$44=1,DT105,
IF(INT(DT105)=INT(DS105),0,DT105-INT(DT105)))))</f>
        <v>0</v>
      </c>
      <c r="EM105" s="836">
        <f>+IF(DU105=DT105,0,
IF(AND(EM$44&gt;1,DU105=$N105),1-SUM($EE105:EL105),
IF($N105&lt;=1,
IF($N105&gt;0,1/$N105,0),
IF(EM$44=1,0,VDB(1,0,$N105,INT(EM$44-1-1),MIN($N105,INT(EM$44-1-1)+1),$DC105,IF($DD105="No",1,0))/
IF(DT105&gt;=INT($N105),$N105-INT($N105),1)))*
IF(EM$44=1,0,
IF(INT(DU105)=INT(DT105),DU105-DT105,INT(DU105)-DT105))+
IF($N105&lt;=1,
IF($N105&gt;0,1/$N105,0),VDB(1,0,$N105,INT(EM$44-1),MIN($N105,INT(EM$44-1)+1),$DC105,IF($DD105="No",1,0))/
IF(DU105&gt;INT($N105),$N105-INT($N105),1))*
IF(EM$44=1,DU105,
IF(INT(DU105)=INT(DT105),0,DU105-INT(DU105)))))</f>
        <v>0</v>
      </c>
      <c r="EN105" s="833"/>
      <c r="EO105" s="834">
        <f>+IF(OR(DW105=DV105,EO$44=1),0,
IF(AND(EO$44&gt;1,DW105=$N105),1-SUM($EN105:EN105),
IF($N105&lt;=1,
IF($N105&gt;0,1/$N105,0),
IF(EO$44=2,0,VDB(1,0,$N105,INT(EO$44-2-1),MIN($N105,INT(EO$44-2-1)+1),$DC105,IF($DD105="No",1,0))/
IF(DV105&gt;=INT($N105),$N105-INT($N105),1)))*
IF(EO$44=2,0,
IF(INT(DW105)=INT(DV105),DW105-DV105,INT(DW105)-DV105))+
IF($N105&lt;=1,
IF($N105&gt;0,1/$N105,0),VDB(1,0,$N105,INT(EO$44-2),MIN($N105,INT(EO$44-2)+1),$DC105,IF($DD105="No",1,0))/
IF(DW105&gt;INT($N105),$N105-INT($N105),1))*
IF(EO$44=2,DW105,
IF(INT(DW105)=INT(DV105),0,DW105-INT(DW105)))))</f>
        <v>0</v>
      </c>
      <c r="EP105" s="835">
        <f>+IF(OR(DX105=DW105,EP$44=1),0,
IF(AND(EP$44&gt;1,DX105=$N105),1-SUM($EN105:EO105),
IF($N105&lt;=1,
IF($N105&gt;0,1/$N105,0),
IF(EP$44=2,0,VDB(1,0,$N105,INT(EP$44-2-1),MIN($N105,INT(EP$44-2-1)+1),$DC105,IF($DD105="No",1,0))/
IF(DW105&gt;=INT($N105),$N105-INT($N105),1)))*
IF(EP$44=2,0,
IF(INT(DX105)=INT(DW105),DX105-DW105,INT(DX105)-DW105))+
IF($N105&lt;=1,
IF($N105&gt;0,1/$N105,0),VDB(1,0,$N105,INT(EP$44-2),MIN($N105,INT(EP$44-2)+1),$DC105,IF($DD105="No",1,0))/
IF(DX105&gt;INT($N105),$N105-INT($N105),1))*
IF(EP$44=2,DX105,
IF(INT(DX105)=INT(DW105),0,DX105-INT(DX105)))))</f>
        <v>0</v>
      </c>
      <c r="EQ105" s="836">
        <f>+IF(OR(DY105=DX105,EQ$44=1),0,
IF(AND(EQ$44&gt;1,DY105=$N105),1-SUM($EN105:EP105),
IF($N105&lt;=1,
IF($N105&gt;0,1/$N105,0),
IF(EQ$44=2,0,VDB(1,0,$N105,INT(EQ$44-2-1),MIN($N105,INT(EQ$44-2-1)+1),$DC105,IF($DD105="No",1,0))/
IF(DX105&gt;=INT($N105),$N105-INT($N105),1)))*
IF(EQ$44=2,0,
IF(INT(DY105)=INT(DX105),DY105-DX105,INT(DY105)-DX105))+
IF($N105&lt;=1,
IF($N105&gt;0,1/$N105,0),VDB(1,0,$N105,INT(EQ$44-2),MIN($N105,INT(EQ$44-2)+1),$DC105,IF($DD105="No",1,0))/
IF(DY105&gt;INT($N105),$N105-INT($N105),1))*
IF(EQ$44=2,DY105,
IF(INT(DY105)=INT(DX105),0,DY105-INT(DY105)))))</f>
        <v>0</v>
      </c>
      <c r="ER105" s="834">
        <f>+IF(OR(DZ105=DY105,ER$44=1),0,
IF(AND(ER$44&gt;1,DZ105=$N105),1-SUM($EN105:EQ105),
IF($N105&lt;=1,
IF($N105&gt;0,1/$N105,0),
IF(ER$44=2,0,VDB(1,0,$N105,INT(ER$44-2-1),MIN($N105,INT(ER$44-2-1)+1),$DC105,IF($DD105="No",1,0))/
IF(DY105&gt;=INT($N105),$N105-INT($N105),1)))*
IF(ER$44=2,0,
IF(INT(DZ105)=INT(DY105),DZ105-DY105,INT(DZ105)-DY105))+
IF($N105&lt;=1,
IF($N105&gt;0,1/$N105,0),VDB(1,0,$N105,INT(ER$44-2),MIN($N105,INT(ER$44-2)+1),$DC105,IF($DD105="No",1,0))/
IF(DZ105&gt;INT($N105),$N105-INT($N105),1))*
IF(ER$44=2,DZ105,
IF(INT(DZ105)=INT(DY105),0,DZ105-INT(DZ105)))))</f>
        <v>0</v>
      </c>
      <c r="ES105" s="835">
        <f>+IF(OR(EA105=DZ105,ES$44=1),0,
IF(AND(ES$44&gt;1,EA105=$N105),1-SUM($EN105:ER105),
IF($N105&lt;=1,
IF($N105&gt;0,1/$N105,0),
IF(ES$44=2,0,VDB(1,0,$N105,INT(ES$44-2-1),MIN($N105,INT(ES$44-2-1)+1),$DC105,IF($DD105="No",1,0))/
IF(DZ105&gt;=INT($N105),$N105-INT($N105),1)))*
IF(ES$44=2,0,
IF(INT(EA105)=INT(DZ105),EA105-DZ105,INT(EA105)-DZ105))+
IF($N105&lt;=1,
IF($N105&gt;0,1/$N105,0),VDB(1,0,$N105,INT(ES$44-2),MIN($N105,INT(ES$44-2)+1),$DC105,IF($DD105="No",1,0))/
IF(EA105&gt;INT($N105),$N105-INT($N105),1))*
IF(ES$44=2,EA105,
IF(INT(EA105)=INT(DZ105),0,EA105-INT(EA105)))))</f>
        <v>0</v>
      </c>
      <c r="ET105" s="835">
        <f>+IF(OR(EB105=EA105,ET$44=1),0,
IF(AND(ET$44&gt;1,EB105=$N105),1-SUM($EN105:ES105),
IF($N105&lt;=1,
IF($N105&gt;0,1/$N105,0),
IF(ET$44=2,0,VDB(1,0,$N105,INT(ET$44-2-1),MIN($N105,INT(ET$44-2-1)+1),$DC105,IF($DD105="No",1,0))/
IF(EA105&gt;=INT($N105),$N105-INT($N105),1)))*
IF(ET$44=2,0,
IF(INT(EB105)=INT(EA105),EB105-EA105,INT(EB105)-EA105))+
IF($N105&lt;=1,
IF($N105&gt;0,1/$N105,0),VDB(1,0,$N105,INT(ET$44-2),MIN($N105,INT(ET$44-2)+1),$DC105,IF($DD105="No",1,0))/
IF(EB105&gt;INT($N105),$N105-INT($N105),1))*
IF(ET$44=2,EB105,
IF(INT(EB105)=INT(EA105),0,EB105-INT(EB105)))))</f>
        <v>0</v>
      </c>
      <c r="EU105" s="835">
        <f>+IF(OR(EC105=EB105,EU$44=1),0,
IF(AND(EU$44&gt;1,EC105=$N105),1-SUM($EN105:ET105),
IF($N105&lt;=1,
IF($N105&gt;0,1/$N105,0),
IF(EU$44=2,0,VDB(1,0,$N105,INT(EU$44-2-1),MIN($N105,INT(EU$44-2-1)+1),$DC105,IF($DD105="No",1,0))/
IF(EB105&gt;=INT($N105),$N105-INT($N105),1)))*
IF(EU$44=2,0,
IF(INT(EC105)=INT(EB105),EC105-EB105,INT(EC105)-EB105))+
IF($N105&lt;=1,
IF($N105&gt;0,1/$N105,0),VDB(1,0,$N105,INT(EU$44-2),MIN($N105,INT(EU$44-2)+1),$DC105,IF($DD105="No",1,0))/
IF(EC105&gt;INT($N105),$N105-INT($N105),1))*
IF(EU$44=2,EC105,
IF(INT(EC105)=INT(EB105),0,EC105-INT(EC105)))))</f>
        <v>0</v>
      </c>
      <c r="EV105" s="836">
        <f>+IF(OR(ED105=EC105,EV$44=1),0,
IF(AND(EV$44&gt;1,ED105=$N105),1-SUM($EN105:EU105),
IF($N105&lt;=1,
IF($N105&gt;0,1/$N105,0),
IF(EV$44=2,0,VDB(1,0,$N105,INT(EV$44-2-1),MIN($N105,INT(EV$44-2-1)+1),$DC105,IF($DD105="No",1,0))/
IF(EC105&gt;=INT($N105),$N105-INT($N105),1)))*
IF(EV$44=2,0,
IF(INT(ED105)=INT(EC105),ED105-EC105,INT(ED105)-EC105))+
IF($N105&lt;=1,
IF($N105&gt;0,1/$N105,0),VDB(1,0,$N105,INT(EV$44-2),MIN($N105,INT(EV$44-2)+1),$DC105,IF($DD105="No",1,0))/
IF(ED105&gt;INT($N105),$N105-INT($N105),1))*
IF(EV$44=2,ED105,
IF(INT(ED105)=INT(EC105),0,ED105-INT(ED105)))))</f>
        <v>0</v>
      </c>
      <c r="EW105" s="833"/>
      <c r="EX105" s="834">
        <f t="shared" ca="1" si="301"/>
        <v>0</v>
      </c>
      <c r="EY105" s="835">
        <f t="shared" ca="1" si="301"/>
        <v>0</v>
      </c>
      <c r="EZ105" s="836">
        <f t="shared" ca="1" si="301"/>
        <v>0</v>
      </c>
      <c r="FA105" s="834">
        <f t="shared" ca="1" si="301"/>
        <v>0</v>
      </c>
      <c r="FB105" s="835">
        <f t="shared" ca="1" si="301"/>
        <v>0</v>
      </c>
      <c r="FC105" s="835">
        <f t="shared" ca="1" si="301"/>
        <v>0</v>
      </c>
      <c r="FD105" s="835">
        <f t="shared" ca="1" si="301"/>
        <v>0</v>
      </c>
      <c r="FE105" s="836">
        <f t="shared" ca="1" si="301"/>
        <v>0</v>
      </c>
      <c r="FG105" s="386">
        <f t="shared" ca="1" si="293"/>
        <v>0</v>
      </c>
      <c r="FH105" s="387">
        <f t="shared" ca="1" si="294"/>
        <v>0</v>
      </c>
      <c r="FI105" s="388">
        <f t="shared" ca="1" si="295"/>
        <v>0</v>
      </c>
      <c r="FJ105" s="386">
        <f t="shared" ca="1" si="296"/>
        <v>0</v>
      </c>
      <c r="FK105" s="387">
        <f t="shared" ca="1" si="297"/>
        <v>0</v>
      </c>
      <c r="FL105" s="387">
        <f t="shared" ca="1" si="298"/>
        <v>0</v>
      </c>
      <c r="FM105" s="387">
        <f t="shared" ca="1" si="299"/>
        <v>0</v>
      </c>
      <c r="FN105" s="388">
        <f t="shared" ca="1" si="300"/>
        <v>0</v>
      </c>
      <c r="FR105" s="116"/>
    </row>
    <row r="106" spans="2:174">
      <c r="B106" s="1410">
        <f t="shared" si="135"/>
        <v>60</v>
      </c>
      <c r="C106" s="400" t="s">
        <v>596</v>
      </c>
      <c r="D106" s="410"/>
      <c r="E106" s="402" t="s">
        <v>401</v>
      </c>
      <c r="F106" s="402" t="s">
        <v>520</v>
      </c>
      <c r="G106" s="400" t="s">
        <v>525</v>
      </c>
      <c r="H106" s="2088" t="s">
        <v>483</v>
      </c>
      <c r="I106" s="2089"/>
      <c r="J106" s="411" t="s">
        <v>516</v>
      </c>
      <c r="K106" s="403" t="s">
        <v>544</v>
      </c>
      <c r="L106" s="403">
        <v>40</v>
      </c>
      <c r="M106" s="403" t="s">
        <v>142</v>
      </c>
      <c r="N106" s="403"/>
      <c r="O106" s="347"/>
      <c r="P106" s="347"/>
      <c r="Q106" s="1021">
        <v>0.88992878048780488</v>
      </c>
      <c r="R106" s="1022">
        <v>0.99886353361094604</v>
      </c>
      <c r="S106" s="1022">
        <v>3.7348147821418696</v>
      </c>
      <c r="T106" s="1022">
        <v>0</v>
      </c>
      <c r="U106" s="1023">
        <v>0</v>
      </c>
      <c r="V106" s="1021">
        <v>17.245937319210096</v>
      </c>
      <c r="W106" s="1022">
        <v>0</v>
      </c>
      <c r="X106" s="1022">
        <v>0</v>
      </c>
      <c r="Y106" s="1022">
        <v>0</v>
      </c>
      <c r="Z106" s="1023">
        <v>0</v>
      </c>
      <c r="AA106" s="1024"/>
      <c r="AB106" s="1021">
        <v>0</v>
      </c>
      <c r="AC106" s="1022">
        <v>0</v>
      </c>
      <c r="AD106" s="1022">
        <v>0</v>
      </c>
      <c r="AE106" s="1022">
        <v>0</v>
      </c>
      <c r="AF106" s="1023">
        <v>0</v>
      </c>
      <c r="AG106" s="1021">
        <v>0</v>
      </c>
      <c r="AH106" s="1022">
        <v>0</v>
      </c>
      <c r="AI106" s="1022">
        <v>0</v>
      </c>
      <c r="AJ106" s="1022">
        <v>0</v>
      </c>
      <c r="AK106" s="1023">
        <v>0</v>
      </c>
      <c r="AL106" s="1024"/>
      <c r="AM106" s="1021">
        <v>0</v>
      </c>
      <c r="AN106" s="1022">
        <v>0</v>
      </c>
      <c r="AO106" s="1022">
        <v>0</v>
      </c>
      <c r="AP106" s="1022">
        <v>0</v>
      </c>
      <c r="AQ106" s="1023">
        <v>0</v>
      </c>
      <c r="AR106" s="1021">
        <v>0</v>
      </c>
      <c r="AS106" s="1022">
        <v>0</v>
      </c>
      <c r="AT106" s="1022">
        <v>0</v>
      </c>
      <c r="AU106" s="1022">
        <v>0</v>
      </c>
      <c r="AV106" s="1023">
        <v>0</v>
      </c>
      <c r="AW106" s="1025"/>
      <c r="AX106" s="1282">
        <f t="shared" si="247"/>
        <v>0.88992878048780488</v>
      </c>
      <c r="AY106" s="387">
        <f t="shared" si="248"/>
        <v>0.99886353361094604</v>
      </c>
      <c r="AZ106" s="387">
        <f t="shared" si="249"/>
        <v>3.7348147821418696</v>
      </c>
      <c r="BA106" s="387">
        <f t="shared" si="250"/>
        <v>0</v>
      </c>
      <c r="BB106" s="1283">
        <f t="shared" si="251"/>
        <v>0</v>
      </c>
      <c r="BC106" s="386">
        <f t="shared" si="252"/>
        <v>17.245937319210096</v>
      </c>
      <c r="BD106" s="387">
        <f t="shared" si="253"/>
        <v>0</v>
      </c>
      <c r="BE106" s="1277">
        <f t="shared" si="254"/>
        <v>0</v>
      </c>
      <c r="BF106" s="1277">
        <f t="shared" si="255"/>
        <v>0</v>
      </c>
      <c r="BG106" s="388">
        <f t="shared" si="256"/>
        <v>0</v>
      </c>
      <c r="BH106" s="1025"/>
      <c r="BI106" s="1282">
        <f t="shared" ca="1" si="257"/>
        <v>1.1124109756097561E-2</v>
      </c>
      <c r="BJ106" s="387">
        <f t="shared" ca="1" si="258"/>
        <v>3.4734013682331949E-2</v>
      </c>
      <c r="BK106" s="387">
        <f t="shared" ca="1" si="259"/>
        <v>9.3904992629242151E-2</v>
      </c>
      <c r="BL106" s="387">
        <f t="shared" ca="1" si="260"/>
        <v>0.14059017740601551</v>
      </c>
      <c r="BM106" s="1283">
        <f t="shared" ca="1" si="261"/>
        <v>0.14059017740601551</v>
      </c>
      <c r="BN106" s="386">
        <f t="shared" ca="1" si="262"/>
        <v>0.35616439389614174</v>
      </c>
      <c r="BO106" s="387">
        <f t="shared" ca="1" si="263"/>
        <v>0.57173861038626794</v>
      </c>
      <c r="BP106" s="1277">
        <f t="shared" ca="1" si="264"/>
        <v>0.57173861038626794</v>
      </c>
      <c r="BQ106" s="1277">
        <f t="shared" ca="1" si="265"/>
        <v>0.57173861038626794</v>
      </c>
      <c r="BR106" s="388">
        <f t="shared" ca="1" si="266"/>
        <v>0.57173861038626794</v>
      </c>
      <c r="BS106" s="1025"/>
      <c r="BT106" s="1282">
        <f>+IF($K106="Ongoing",AX106,IF(RIGHT($K106,2)=RIGHT(BT$43,2),SUM($AX106:AX106),0)+IF(RIGHT(BT$43,2)&gt;RIGHT($K106,2),AX106,0))</f>
        <v>0.88992878048780488</v>
      </c>
      <c r="BU106" s="387">
        <f>+IF($K106="Ongoing",AY106,IF(RIGHT($K106,2)=RIGHT(BU$43,2),SUM($AX106:AY106),0)+IF(RIGHT(BU$43,2)&gt;RIGHT($K106,2),AY106,0))</f>
        <v>0.99886353361094604</v>
      </c>
      <c r="BV106" s="387">
        <f>+IF($K106="Ongoing",AZ106,IF(RIGHT($K106,2)=RIGHT(BV$43,2),SUM($AX106:AZ106),0)+IF(RIGHT(BV$43,2)&gt;RIGHT($K106,2),AZ106,0))</f>
        <v>3.7348147821418696</v>
      </c>
      <c r="BW106" s="387">
        <f>+IF($K106="Ongoing",BA106,IF(RIGHT($K106,2)=RIGHT(BW$43,2),SUM($AX106:BA106),0)+IF(RIGHT(BW$43,2)&gt;RIGHT($K106,2),BA106,0))</f>
        <v>0</v>
      </c>
      <c r="BX106" s="1283">
        <f>+IF($K106="Ongoing",BB106,IF(RIGHT($K106,2)=RIGHT(BX$43,2),SUM($AX106:BB106),0)+IF(RIGHT(BX$43,2)&gt;RIGHT($K106,2),BB106,0))</f>
        <v>0</v>
      </c>
      <c r="BY106" s="386">
        <f>+IF($K106="Ongoing",BC106,IF(RIGHT($K106,2)=RIGHT(BY$43,2),SUM($AX106:BC106),0)+IF(RIGHT(BY$43,2)&gt;RIGHT($K106,2),BC106,0))</f>
        <v>17.245937319210096</v>
      </c>
      <c r="BZ106" s="387">
        <f>+IF($K106="Ongoing",BD106,IF(RIGHT($K106,2)=RIGHT(BZ$43,2),SUM($AX106:BD106),0)+IF(RIGHT(BZ$43,2)&gt;RIGHT($K106,2),BD106,0))</f>
        <v>0</v>
      </c>
      <c r="CA106" s="1277">
        <f>+IF($K106="Ongoing",BE106,IF(RIGHT($K106,2)=RIGHT(CA$43,2),SUM($AX106:BE106),0)+IF(RIGHT(CA$43,2)&gt;RIGHT($K106,2),BE106,0))</f>
        <v>0</v>
      </c>
      <c r="CB106" s="1277">
        <f>+IF($K106="Ongoing",BF106,IF(RIGHT($K106,2)=RIGHT(CB$43,2),SUM($AX106:BF106),0)+IF(RIGHT(CB$43,2)&gt;RIGHT($K106,2),BF106,0))</f>
        <v>0</v>
      </c>
      <c r="CC106" s="388">
        <f>+IF($K106="Ongoing",BG106,IF(RIGHT($K106,2)=RIGHT(CC$43,2),SUM($AX106:BG106),0)+IF(RIGHT(CC$43,2)&gt;RIGHT($K106,2),BG106,0))</f>
        <v>0</v>
      </c>
      <c r="CD106" s="1025"/>
      <c r="CE106" s="1282">
        <f>+Q106*KeyAssumptionsPriceControl_FO!AF$15</f>
        <v>0.91573671512195109</v>
      </c>
      <c r="CF106" s="387">
        <f>+R106*KeyAssumptionsPriceControl_FO!AG$15</f>
        <v>1.0576376627921475</v>
      </c>
      <c r="CG106" s="387">
        <f>+S106*KeyAssumptionsPriceControl_FO!AH$15</f>
        <v>4.0692576942812773</v>
      </c>
      <c r="CH106" s="387">
        <f>+T106*KeyAssumptionsPriceControl_FO!AI$15</f>
        <v>0</v>
      </c>
      <c r="CI106" s="1283">
        <f>+U106*KeyAssumptionsPriceControl_FO!AJ$15</f>
        <v>0</v>
      </c>
      <c r="CJ106" s="386">
        <f>+V106*KeyAssumptionsPriceControl_FO!AK$15</f>
        <v>20.472885233859166</v>
      </c>
      <c r="CK106" s="387">
        <f>+W106*KeyAssumptionsPriceControl_FO!AL$15</f>
        <v>0</v>
      </c>
      <c r="CL106" s="1277">
        <f>+X106*KeyAssumptionsPriceControl_FO!AM$15</f>
        <v>0</v>
      </c>
      <c r="CM106" s="1277">
        <f>+Y106*KeyAssumptionsPriceControl_FO!AN$15</f>
        <v>0</v>
      </c>
      <c r="CN106" s="388">
        <f>+Z106*KeyAssumptionsPriceControl_FO!AO$15</f>
        <v>0</v>
      </c>
      <c r="CO106" s="1025"/>
      <c r="CP106" s="1282">
        <f t="shared" ca="1" si="267"/>
        <v>0</v>
      </c>
      <c r="CQ106" s="387">
        <f t="shared" ca="1" si="268"/>
        <v>0</v>
      </c>
      <c r="CR106" s="387">
        <f t="shared" ca="1" si="269"/>
        <v>0</v>
      </c>
      <c r="CS106" s="387">
        <f t="shared" ca="1" si="270"/>
        <v>0</v>
      </c>
      <c r="CT106" s="1283">
        <f t="shared" ca="1" si="271"/>
        <v>0</v>
      </c>
      <c r="CU106" s="386">
        <f t="shared" ca="1" si="272"/>
        <v>0</v>
      </c>
      <c r="CV106" s="387">
        <f t="shared" ca="1" si="273"/>
        <v>0</v>
      </c>
      <c r="CW106" s="1277">
        <f t="shared" ca="1" si="274"/>
        <v>0</v>
      </c>
      <c r="CX106" s="1277">
        <f t="shared" ca="1" si="275"/>
        <v>0</v>
      </c>
      <c r="CY106" s="388">
        <f t="shared" ca="1" si="276"/>
        <v>0</v>
      </c>
      <c r="CZ106" s="347"/>
      <c r="DA106" s="852"/>
      <c r="DB106" s="347"/>
      <c r="DC106" s="1012" t="s">
        <v>597</v>
      </c>
      <c r="DD106" s="841" t="s">
        <v>518</v>
      </c>
      <c r="DE106" s="386">
        <f>+IF($K106="ongoing",CE106,IF(RIGHT($K106,2)=RIGHT(DE$43,2),SUM($CD106:CE106),0)+IF(RIGHT(DE$43,2)&gt;RIGHT($K106,2),CE106,0))</f>
        <v>0.91573671512195109</v>
      </c>
      <c r="DF106" s="387">
        <f>+IF($K106="ongoing",CF106,IF(RIGHT($K106,2)=RIGHT(DF$43,2),SUM($CD106:CF106),0)+IF(RIGHT(DF$43,2)&gt;RIGHT($K106,2),CF106,0))</f>
        <v>1.0576376627921475</v>
      </c>
      <c r="DG106" s="388">
        <f>+IF($K106="ongoing",CG106,IF(RIGHT($K106,2)=RIGHT(DG$43,2),SUM($CD106:CG106),0)+IF(RIGHT(DG$43,2)&gt;RIGHT($K106,2),CG106,0))</f>
        <v>4.0692576942812773</v>
      </c>
      <c r="DH106" s="386">
        <f>+IF($K106="ongoing",CH106,IF(RIGHT($K106,2)=RIGHT(DH$43,2),SUM($CD106:CH106),0)+IF(RIGHT(DH$43,2)&gt;RIGHT($K106,2),CH106,0))</f>
        <v>0</v>
      </c>
      <c r="DI106" s="387">
        <f>+IF($K106="ongoing",CI106,IF(RIGHT($K106,2)=RIGHT(DI$43,2),SUM($CD106:CI106),0)+IF(RIGHT(DI$43,2)&gt;RIGHT($K106,2),CI106,0))</f>
        <v>0</v>
      </c>
      <c r="DJ106" s="387">
        <f>+IF($K106="ongoing",CJ106,IF(RIGHT($K106,2)=RIGHT(DJ$43,2),SUM($CD106:CJ106),0)+IF(RIGHT(DJ$43,2)&gt;RIGHT($K106,2),CJ106,0))</f>
        <v>20.472885233859166</v>
      </c>
      <c r="DK106" s="387">
        <f>+IF($K106="ongoing",CK106,IF(RIGHT($K106,2)=RIGHT(DK$43,2),SUM($CD106:CK106),0)+IF(RIGHT(DK$43,2)&gt;RIGHT($K106,2),CK106,0))</f>
        <v>0</v>
      </c>
      <c r="DL106" s="388">
        <f>+IF($K106="ongoing",CN106,IF(RIGHT($K106,2)=RIGHT(DL$43,2),SUM($CD106:CN106),0)+IF(RIGHT(DL$43,2)&gt;RIGHT($K106,2),CN106,0))</f>
        <v>0</v>
      </c>
      <c r="DM106" s="841"/>
      <c r="DN106" s="386">
        <f t="shared" si="277"/>
        <v>0.5</v>
      </c>
      <c r="DO106" s="387">
        <f t="shared" si="278"/>
        <v>1</v>
      </c>
      <c r="DP106" s="388">
        <f t="shared" si="279"/>
        <v>1</v>
      </c>
      <c r="DQ106" s="386">
        <f t="shared" si="280"/>
        <v>1</v>
      </c>
      <c r="DR106" s="387">
        <f t="shared" si="281"/>
        <v>1</v>
      </c>
      <c r="DS106" s="387">
        <f t="shared" si="282"/>
        <v>1</v>
      </c>
      <c r="DT106" s="387">
        <f t="shared" si="283"/>
        <v>1</v>
      </c>
      <c r="DU106" s="388">
        <f t="shared" si="284"/>
        <v>1</v>
      </c>
      <c r="DW106" s="386">
        <f t="shared" si="285"/>
        <v>0</v>
      </c>
      <c r="DX106" s="387">
        <f t="shared" si="286"/>
        <v>0.5</v>
      </c>
      <c r="DY106" s="388">
        <f t="shared" si="287"/>
        <v>1</v>
      </c>
      <c r="DZ106" s="386">
        <f t="shared" si="288"/>
        <v>1</v>
      </c>
      <c r="EA106" s="387">
        <f t="shared" si="289"/>
        <v>1</v>
      </c>
      <c r="EB106" s="387">
        <f t="shared" si="290"/>
        <v>1</v>
      </c>
      <c r="EC106" s="387">
        <f t="shared" si="291"/>
        <v>1</v>
      </c>
      <c r="ED106" s="388">
        <f t="shared" si="292"/>
        <v>1</v>
      </c>
      <c r="EF106" s="834">
        <f>+IF(DN106=DM106,0,
IF(AND(EF$44&gt;1,DN106=$N106),1-SUM($EE106:EE106),
IF($N106&lt;=1,
IF($N106&gt;0,1/$N106,0),
IF(EF$44=1,0,VDB(1,0,$N106,INT(EF$44-1-1),MIN($N106,INT(EF$44-1-1)+1),$DC106,IF($DD106="No",1,0))/
IF(DM106&gt;=INT($N106),$N106-INT($N106),1)))*
IF(EF$44=1,0,
IF(INT(DN106)=INT(DM106),DN106-DM106,INT(DN106)-DM106))+
IF($N106&lt;=1,
IF($N106&gt;0,1/$N106,0),VDB(1,0,$N106,INT(EF$44-1),MIN($N106,INT(EF$44-1)+1),$DC106,IF($DD106="No",1,0))/
IF(DN106&gt;INT($N106),$N106-INT($N106),1))*
IF(EF$44=1,DN106,
IF(INT(DN106)=INT(DM106),0,DN106-INT(DN106)))))</f>
        <v>0</v>
      </c>
      <c r="EG106" s="835">
        <f>+IF(DO106=DN106,0,
IF(AND(EG$44&gt;1,DO106=$N106),1-SUM($EE106:EF106),
IF($N106&lt;=1,
IF($N106&gt;0,1/$N106,0),
IF(EG$44=1,0,VDB(1,0,$N106,INT(EG$44-1-1),MIN($N106,INT(EG$44-1-1)+1),$DC106,IF($DD106="No",1,0))/
IF(DN106&gt;=INT($N106),$N106-INT($N106),1)))*
IF(EG$44=1,0,
IF(INT(DO106)=INT(DN106),DO106-DN106,INT(DO106)-DN106))+
IF($N106&lt;=1,
IF($N106&gt;0,1/$N106,0),VDB(1,0,$N106,INT(EG$44-1),MIN($N106,INT(EG$44-1)+1),$DC106,IF($DD106="No",1,0))/
IF(DO106&gt;INT($N106),$N106-INT($N106),1))*
IF(EG$44=1,DO106,
IF(INT(DO106)=INT(DN106),0,DO106-INT(DO106)))))</f>
        <v>0</v>
      </c>
      <c r="EH106" s="836">
        <f>+IF(DP106=DO106,0,
IF(AND(EH$44&gt;1,DP106=$N106),1-SUM($EE106:EG106),
IF($N106&lt;=1,
IF($N106&gt;0,1/$N106,0),
IF(EH$44=1,0,VDB(1,0,$N106,INT(EH$44-1-1),MIN($N106,INT(EH$44-1-1)+1),$DC106,IF($DD106="No",1,0))/
IF(DO106&gt;=INT($N106),$N106-INT($N106),1)))*
IF(EH$44=1,0,
IF(INT(DP106)=INT(DO106),DP106-DO106,INT(DP106)-DO106))+
IF($N106&lt;=1,
IF($N106&gt;0,1/$N106,0),VDB(1,0,$N106,INT(EH$44-1),MIN($N106,INT(EH$44-1)+1),$DC106,IF($DD106="No",1,0))/
IF(DP106&gt;INT($N106),$N106-INT($N106),1))*
IF(EH$44=1,DP106,
IF(INT(DP106)=INT(DO106),0,DP106-INT(DP106)))))</f>
        <v>0</v>
      </c>
      <c r="EI106" s="834">
        <f>+IF(DQ106=DP106,0,
IF(AND(EI$44&gt;1,DQ106=$N106),1-SUM($EE106:EH106),
IF($N106&lt;=1,
IF($N106&gt;0,1/$N106,0),
IF(EI$44=1,0,VDB(1,0,$N106,INT(EI$44-1-1),MIN($N106,INT(EI$44-1-1)+1),$DC106,IF($DD106="No",1,0))/
IF(DP106&gt;=INT($N106),$N106-INT($N106),1)))*
IF(EI$44=1,0,
IF(INT(DQ106)=INT(DP106),DQ106-DP106,INT(DQ106)-DP106))+
IF($N106&lt;=1,
IF($N106&gt;0,1/$N106,0),VDB(1,0,$N106,INT(EI$44-1),MIN($N106,INT(EI$44-1)+1),$DC106,IF($DD106="No",1,0))/
IF(DQ106&gt;INT($N106),$N106-INT($N106),1))*
IF(EI$44=1,DQ106,
IF(INT(DQ106)=INT(DP106),0,DQ106-INT(DQ106)))))</f>
        <v>0</v>
      </c>
      <c r="EJ106" s="835">
        <f>+IF(DR106=DQ106,0,
IF(AND(EJ$44&gt;1,DR106=$N106),1-SUM($EE106:EI106),
IF($N106&lt;=1,
IF($N106&gt;0,1/$N106,0),
IF(EJ$44=1,0,VDB(1,0,$N106,INT(EJ$44-1-1),MIN($N106,INT(EJ$44-1-1)+1),$DC106,IF($DD106="No",1,0))/
IF(DQ106&gt;=INT($N106),$N106-INT($N106),1)))*
IF(EJ$44=1,0,
IF(INT(DR106)=INT(DQ106),DR106-DQ106,INT(DR106)-DQ106))+
IF($N106&lt;=1,
IF($N106&gt;0,1/$N106,0),VDB(1,0,$N106,INT(EJ$44-1),MIN($N106,INT(EJ$44-1)+1),$DC106,IF($DD106="No",1,0))/
IF(DR106&gt;INT($N106),$N106-INT($N106),1))*
IF(EJ$44=1,DR106,
IF(INT(DR106)=INT(DQ106),0,DR106-INT(DR106)))))</f>
        <v>0</v>
      </c>
      <c r="EK106" s="835">
        <f>+IF(DS106=DR106,0,
IF(AND(EK$44&gt;1,DS106=$N106),1-SUM($EE106:EJ106),
IF($N106&lt;=1,
IF($N106&gt;0,1/$N106,0),
IF(EK$44=1,0,VDB(1,0,$N106,INT(EK$44-1-1),MIN($N106,INT(EK$44-1-1)+1),$DC106,IF($DD106="No",1,0))/
IF(DR106&gt;=INT($N106),$N106-INT($N106),1)))*
IF(EK$44=1,0,
IF(INT(DS106)=INT(DR106),DS106-DR106,INT(DS106)-DR106))+
IF($N106&lt;=1,
IF($N106&gt;0,1/$N106,0),VDB(1,0,$N106,INT(EK$44-1),MIN($N106,INT(EK$44-1)+1),$DC106,IF($DD106="No",1,0))/
IF(DS106&gt;INT($N106),$N106-INT($N106),1))*
IF(EK$44=1,DS106,
IF(INT(DS106)=INT(DR106),0,DS106-INT(DS106)))))</f>
        <v>0</v>
      </c>
      <c r="EL106" s="835">
        <f>+IF(DT106=DS106,0,
IF(AND(EL$44&gt;1,DT106=$N106),1-SUM($EE106:EK106),
IF($N106&lt;=1,
IF($N106&gt;0,1/$N106,0),
IF(EL$44=1,0,VDB(1,0,$N106,INT(EL$44-1-1),MIN($N106,INT(EL$44-1-1)+1),$DC106,IF($DD106="No",1,0))/
IF(DS106&gt;=INT($N106),$N106-INT($N106),1)))*
IF(EL$44=1,0,
IF(INT(DT106)=INT(DS106),DT106-DS106,INT(DT106)-DS106))+
IF($N106&lt;=1,
IF($N106&gt;0,1/$N106,0),VDB(1,0,$N106,INT(EL$44-1),MIN($N106,INT(EL$44-1)+1),$DC106,IF($DD106="No",1,0))/
IF(DT106&gt;INT($N106),$N106-INT($N106),1))*
IF(EL$44=1,DT106,
IF(INT(DT106)=INT(DS106),0,DT106-INT(DT106)))))</f>
        <v>0</v>
      </c>
      <c r="EM106" s="836">
        <f>+IF(DU106=DT106,0,
IF(AND(EM$44&gt;1,DU106=$N106),1-SUM($EE106:EL106),
IF($N106&lt;=1,
IF($N106&gt;0,1/$N106,0),
IF(EM$44=1,0,VDB(1,0,$N106,INT(EM$44-1-1),MIN($N106,INT(EM$44-1-1)+1),$DC106,IF($DD106="No",1,0))/
IF(DT106&gt;=INT($N106),$N106-INT($N106),1)))*
IF(EM$44=1,0,
IF(INT(DU106)=INT(DT106),DU106-DT106,INT(DU106)-DT106))+
IF($N106&lt;=1,
IF($N106&gt;0,1/$N106,0),VDB(1,0,$N106,INT(EM$44-1),MIN($N106,INT(EM$44-1)+1),$DC106,IF($DD106="No",1,0))/
IF(DU106&gt;INT($N106),$N106-INT($N106),1))*
IF(EM$44=1,DU106,
IF(INT(DU106)=INT(DT106),0,DU106-INT(DU106)))))</f>
        <v>0</v>
      </c>
      <c r="EN106" s="833"/>
      <c r="EO106" s="834">
        <f>+IF(OR(DW106=DV106,EO$44=1),0,
IF(AND(EO$44&gt;1,DW106=$N106),1-SUM($EN106:EN106),
IF($N106&lt;=1,
IF($N106&gt;0,1/$N106,0),
IF(EO$44=2,0,VDB(1,0,$N106,INT(EO$44-2-1),MIN($N106,INT(EO$44-2-1)+1),$DC106,IF($DD106="No",1,0))/
IF(DV106&gt;=INT($N106),$N106-INT($N106),1)))*
IF(EO$44=2,0,
IF(INT(DW106)=INT(DV106),DW106-DV106,INT(DW106)-DV106))+
IF($N106&lt;=1,
IF($N106&gt;0,1/$N106,0),VDB(1,0,$N106,INT(EO$44-2),MIN($N106,INT(EO$44-2)+1),$DC106,IF($DD106="No",1,0))/
IF(DW106&gt;INT($N106),$N106-INT($N106),1))*
IF(EO$44=2,DW106,
IF(INT(DW106)=INT(DV106),0,DW106-INT(DW106)))))</f>
        <v>0</v>
      </c>
      <c r="EP106" s="835">
        <f>+IF(OR(DX106=DW106,EP$44=1),0,
IF(AND(EP$44&gt;1,DX106=$N106),1-SUM($EN106:EO106),
IF($N106&lt;=1,
IF($N106&gt;0,1/$N106,0),
IF(EP$44=2,0,VDB(1,0,$N106,INT(EP$44-2-1),MIN($N106,INT(EP$44-2-1)+1),$DC106,IF($DD106="No",1,0))/
IF(DW106&gt;=INT($N106),$N106-INT($N106),1)))*
IF(EP$44=2,0,
IF(INT(DX106)=INT(DW106),DX106-DW106,INT(DX106)-DW106))+
IF($N106&lt;=1,
IF($N106&gt;0,1/$N106,0),VDB(1,0,$N106,INT(EP$44-2),MIN($N106,INT(EP$44-2)+1),$DC106,IF($DD106="No",1,0))/
IF(DX106&gt;INT($N106),$N106-INT($N106),1))*
IF(EP$44=2,DX106,
IF(INT(DX106)=INT(DW106),0,DX106-INT(DX106)))))</f>
        <v>0</v>
      </c>
      <c r="EQ106" s="836">
        <f>+IF(OR(DY106=DX106,EQ$44=1),0,
IF(AND(EQ$44&gt;1,DY106=$N106),1-SUM($EN106:EP106),
IF($N106&lt;=1,
IF($N106&gt;0,1/$N106,0),
IF(EQ$44=2,0,VDB(1,0,$N106,INT(EQ$44-2-1),MIN($N106,INT(EQ$44-2-1)+1),$DC106,IF($DD106="No",1,0))/
IF(DX106&gt;=INT($N106),$N106-INT($N106),1)))*
IF(EQ$44=2,0,
IF(INT(DY106)=INT(DX106),DY106-DX106,INT(DY106)-DX106))+
IF($N106&lt;=1,
IF($N106&gt;0,1/$N106,0),VDB(1,0,$N106,INT(EQ$44-2),MIN($N106,INT(EQ$44-2)+1),$DC106,IF($DD106="No",1,0))/
IF(DY106&gt;INT($N106),$N106-INT($N106),1))*
IF(EQ$44=2,DY106,
IF(INT(DY106)=INT(DX106),0,DY106-INT(DY106)))))</f>
        <v>0</v>
      </c>
      <c r="ER106" s="834">
        <f>+IF(OR(DZ106=DY106,ER$44=1),0,
IF(AND(ER$44&gt;1,DZ106=$N106),1-SUM($EN106:EQ106),
IF($N106&lt;=1,
IF($N106&gt;0,1/$N106,0),
IF(ER$44=2,0,VDB(1,0,$N106,INT(ER$44-2-1),MIN($N106,INT(ER$44-2-1)+1),$DC106,IF($DD106="No",1,0))/
IF(DY106&gt;=INT($N106),$N106-INT($N106),1)))*
IF(ER$44=2,0,
IF(INT(DZ106)=INT(DY106),DZ106-DY106,INT(DZ106)-DY106))+
IF($N106&lt;=1,
IF($N106&gt;0,1/$N106,0),VDB(1,0,$N106,INT(ER$44-2),MIN($N106,INT(ER$44-2)+1),$DC106,IF($DD106="No",1,0))/
IF(DZ106&gt;INT($N106),$N106-INT($N106),1))*
IF(ER$44=2,DZ106,
IF(INT(DZ106)=INT(DY106),0,DZ106-INT(DZ106)))))</f>
        <v>0</v>
      </c>
      <c r="ES106" s="835">
        <f>+IF(OR(EA106=DZ106,ES$44=1),0,
IF(AND(ES$44&gt;1,EA106=$N106),1-SUM($EN106:ER106),
IF($N106&lt;=1,
IF($N106&gt;0,1/$N106,0),
IF(ES$44=2,0,VDB(1,0,$N106,INT(ES$44-2-1),MIN($N106,INT(ES$44-2-1)+1),$DC106,IF($DD106="No",1,0))/
IF(DZ106&gt;=INT($N106),$N106-INT($N106),1)))*
IF(ES$44=2,0,
IF(INT(EA106)=INT(DZ106),EA106-DZ106,INT(EA106)-DZ106))+
IF($N106&lt;=1,
IF($N106&gt;0,1/$N106,0),VDB(1,0,$N106,INT(ES$44-2),MIN($N106,INT(ES$44-2)+1),$DC106,IF($DD106="No",1,0))/
IF(EA106&gt;INT($N106),$N106-INT($N106),1))*
IF(ES$44=2,EA106,
IF(INT(EA106)=INT(DZ106),0,EA106-INT(EA106)))))</f>
        <v>0</v>
      </c>
      <c r="ET106" s="835">
        <f>+IF(OR(EB106=EA106,ET$44=1),0,
IF(AND(ET$44&gt;1,EB106=$N106),1-SUM($EN106:ES106),
IF($N106&lt;=1,
IF($N106&gt;0,1/$N106,0),
IF(ET$44=2,0,VDB(1,0,$N106,INT(ET$44-2-1),MIN($N106,INT(ET$44-2-1)+1),$DC106,IF($DD106="No",1,0))/
IF(EA106&gt;=INT($N106),$N106-INT($N106),1)))*
IF(ET$44=2,0,
IF(INT(EB106)=INT(EA106),EB106-EA106,INT(EB106)-EA106))+
IF($N106&lt;=1,
IF($N106&gt;0,1/$N106,0),VDB(1,0,$N106,INT(ET$44-2),MIN($N106,INT(ET$44-2)+1),$DC106,IF($DD106="No",1,0))/
IF(EB106&gt;INT($N106),$N106-INT($N106),1))*
IF(ET$44=2,EB106,
IF(INT(EB106)=INT(EA106),0,EB106-INT(EB106)))))</f>
        <v>0</v>
      </c>
      <c r="EU106" s="835">
        <f>+IF(OR(EC106=EB106,EU$44=1),0,
IF(AND(EU$44&gt;1,EC106=$N106),1-SUM($EN106:ET106),
IF($N106&lt;=1,
IF($N106&gt;0,1/$N106,0),
IF(EU$44=2,0,VDB(1,0,$N106,INT(EU$44-2-1),MIN($N106,INT(EU$44-2-1)+1),$DC106,IF($DD106="No",1,0))/
IF(EB106&gt;=INT($N106),$N106-INT($N106),1)))*
IF(EU$44=2,0,
IF(INT(EC106)=INT(EB106),EC106-EB106,INT(EC106)-EB106))+
IF($N106&lt;=1,
IF($N106&gt;0,1/$N106,0),VDB(1,0,$N106,INT(EU$44-2),MIN($N106,INT(EU$44-2)+1),$DC106,IF($DD106="No",1,0))/
IF(EC106&gt;INT($N106),$N106-INT($N106),1))*
IF(EU$44=2,EC106,
IF(INT(EC106)=INT(EB106),0,EC106-INT(EC106)))))</f>
        <v>0</v>
      </c>
      <c r="EV106" s="836">
        <f>+IF(OR(ED106=EC106,EV$44=1),0,
IF(AND(EV$44&gt;1,ED106=$N106),1-SUM($EN106:EU106),
IF($N106&lt;=1,
IF($N106&gt;0,1/$N106,0),
IF(EV$44=2,0,VDB(1,0,$N106,INT(EV$44-2-1),MIN($N106,INT(EV$44-2-1)+1),$DC106,IF($DD106="No",1,0))/
IF(EC106&gt;=INT($N106),$N106-INT($N106),1)))*
IF(EV$44=2,0,
IF(INT(ED106)=INT(EC106),ED106-EC106,INT(ED106)-EC106))+
IF($N106&lt;=1,
IF($N106&gt;0,1/$N106,0),VDB(1,0,$N106,INT(EV$44-2),MIN($N106,INT(EV$44-2)+1),$DC106,IF($DD106="No",1,0))/
IF(ED106&gt;INT($N106),$N106-INT($N106),1))*
IF(EV$44=2,ED106,
IF(INT(ED106)=INT(EC106),0,ED106-INT(ED106)))))</f>
        <v>0</v>
      </c>
      <c r="EW106" s="833"/>
      <c r="EX106" s="834">
        <f t="shared" ca="1" si="301"/>
        <v>0</v>
      </c>
      <c r="EY106" s="835">
        <f t="shared" ca="1" si="301"/>
        <v>0</v>
      </c>
      <c r="EZ106" s="836">
        <f t="shared" ca="1" si="301"/>
        <v>0</v>
      </c>
      <c r="FA106" s="834">
        <f t="shared" ca="1" si="301"/>
        <v>0</v>
      </c>
      <c r="FB106" s="835">
        <f t="shared" ca="1" si="301"/>
        <v>0</v>
      </c>
      <c r="FC106" s="835">
        <f t="shared" ca="1" si="301"/>
        <v>0</v>
      </c>
      <c r="FD106" s="835">
        <f t="shared" ca="1" si="301"/>
        <v>0</v>
      </c>
      <c r="FE106" s="836">
        <f t="shared" ca="1" si="301"/>
        <v>0</v>
      </c>
      <c r="FG106" s="386">
        <f t="shared" ca="1" si="293"/>
        <v>0</v>
      </c>
      <c r="FH106" s="387">
        <f t="shared" ca="1" si="294"/>
        <v>0</v>
      </c>
      <c r="FI106" s="388">
        <f t="shared" ca="1" si="295"/>
        <v>0</v>
      </c>
      <c r="FJ106" s="386">
        <f t="shared" ca="1" si="296"/>
        <v>0</v>
      </c>
      <c r="FK106" s="387">
        <f t="shared" ca="1" si="297"/>
        <v>0</v>
      </c>
      <c r="FL106" s="387">
        <f t="shared" ca="1" si="298"/>
        <v>0</v>
      </c>
      <c r="FM106" s="387">
        <f t="shared" ca="1" si="299"/>
        <v>0</v>
      </c>
      <c r="FN106" s="388">
        <f t="shared" ca="1" si="300"/>
        <v>0</v>
      </c>
      <c r="FR106" s="116"/>
    </row>
    <row r="107" spans="2:174">
      <c r="B107" s="1410">
        <f t="shared" si="135"/>
        <v>61</v>
      </c>
      <c r="C107" s="400" t="s">
        <v>596</v>
      </c>
      <c r="D107" s="410"/>
      <c r="E107" s="402" t="s">
        <v>401</v>
      </c>
      <c r="F107" s="402" t="s">
        <v>520</v>
      </c>
      <c r="G107" s="400" t="s">
        <v>525</v>
      </c>
      <c r="H107" s="2088" t="s">
        <v>483</v>
      </c>
      <c r="I107" s="2089"/>
      <c r="J107" s="411" t="s">
        <v>516</v>
      </c>
      <c r="K107" s="403" t="s">
        <v>544</v>
      </c>
      <c r="L107" s="403">
        <v>110</v>
      </c>
      <c r="M107" s="403" t="s">
        <v>142</v>
      </c>
      <c r="N107" s="403"/>
      <c r="O107" s="347"/>
      <c r="P107" s="347"/>
      <c r="Q107" s="1021">
        <v>1.3786025365853658</v>
      </c>
      <c r="R107" s="1022">
        <v>18.357961870315286</v>
      </c>
      <c r="S107" s="1022">
        <v>93.219118162533917</v>
      </c>
      <c r="T107" s="1022">
        <v>48.319563381616497</v>
      </c>
      <c r="U107" s="1023">
        <v>45.120172205197747</v>
      </c>
      <c r="V107" s="1021">
        <v>22.221651166833848</v>
      </c>
      <c r="W107" s="1022">
        <v>43.722913469447313</v>
      </c>
      <c r="X107" s="1022">
        <v>52.108234003148041</v>
      </c>
      <c r="Y107" s="1022">
        <v>105.41957908450459</v>
      </c>
      <c r="Z107" s="1023">
        <v>54.780505132549848</v>
      </c>
      <c r="AA107" s="1024"/>
      <c r="AB107" s="1021">
        <v>0</v>
      </c>
      <c r="AC107" s="1022">
        <v>0</v>
      </c>
      <c r="AD107" s="1022">
        <v>0</v>
      </c>
      <c r="AE107" s="1022">
        <v>0</v>
      </c>
      <c r="AF107" s="1023">
        <v>0</v>
      </c>
      <c r="AG107" s="1021">
        <v>0</v>
      </c>
      <c r="AH107" s="1022">
        <v>0</v>
      </c>
      <c r="AI107" s="1022">
        <v>0</v>
      </c>
      <c r="AJ107" s="1022">
        <v>0</v>
      </c>
      <c r="AK107" s="1023">
        <v>0</v>
      </c>
      <c r="AL107" s="1024"/>
      <c r="AM107" s="1021">
        <v>0</v>
      </c>
      <c r="AN107" s="1022">
        <v>0</v>
      </c>
      <c r="AO107" s="1022">
        <v>0</v>
      </c>
      <c r="AP107" s="1022">
        <v>0</v>
      </c>
      <c r="AQ107" s="1023">
        <v>0</v>
      </c>
      <c r="AR107" s="1021">
        <v>0</v>
      </c>
      <c r="AS107" s="1022">
        <v>0</v>
      </c>
      <c r="AT107" s="1022">
        <v>0</v>
      </c>
      <c r="AU107" s="1022">
        <v>0</v>
      </c>
      <c r="AV107" s="1023">
        <v>0</v>
      </c>
      <c r="AW107" s="1025"/>
      <c r="AX107" s="1282">
        <f t="shared" si="247"/>
        <v>1.3786025365853658</v>
      </c>
      <c r="AY107" s="387">
        <f t="shared" si="248"/>
        <v>18.357961870315286</v>
      </c>
      <c r="AZ107" s="387">
        <f t="shared" si="249"/>
        <v>93.219118162533917</v>
      </c>
      <c r="BA107" s="387">
        <f t="shared" si="250"/>
        <v>48.319563381616497</v>
      </c>
      <c r="BB107" s="1283">
        <f t="shared" si="251"/>
        <v>45.120172205197747</v>
      </c>
      <c r="BC107" s="386">
        <f t="shared" si="252"/>
        <v>22.221651166833848</v>
      </c>
      <c r="BD107" s="387">
        <f t="shared" si="253"/>
        <v>43.722913469447313</v>
      </c>
      <c r="BE107" s="1277">
        <f t="shared" si="254"/>
        <v>52.108234003148041</v>
      </c>
      <c r="BF107" s="1277">
        <f t="shared" si="255"/>
        <v>105.41957908450459</v>
      </c>
      <c r="BG107" s="388">
        <f t="shared" si="256"/>
        <v>54.780505132549848</v>
      </c>
      <c r="BH107" s="1025"/>
      <c r="BI107" s="1282">
        <f t="shared" ca="1" si="257"/>
        <v>6.2663751662971169E-3</v>
      </c>
      <c r="BJ107" s="387">
        <f t="shared" ca="1" si="258"/>
        <v>9.5978031561300081E-2</v>
      </c>
      <c r="BK107" s="387">
        <f t="shared" ca="1" si="259"/>
        <v>0.60314657716516007</v>
      </c>
      <c r="BL107" s="387">
        <f t="shared" ca="1" si="260"/>
        <v>1.2465042205476622</v>
      </c>
      <c r="BM107" s="1283">
        <f t="shared" ca="1" si="261"/>
        <v>1.6712302913968176</v>
      </c>
      <c r="BN107" s="386">
        <f t="shared" ca="1" si="262"/>
        <v>1.9773294885424157</v>
      </c>
      <c r="BO107" s="387">
        <f t="shared" ca="1" si="263"/>
        <v>2.2770775096164209</v>
      </c>
      <c r="BP107" s="1277">
        <f t="shared" ca="1" si="264"/>
        <v>2.7126736344918543</v>
      </c>
      <c r="BQ107" s="1277">
        <f t="shared" ca="1" si="265"/>
        <v>3.4287091485266386</v>
      </c>
      <c r="BR107" s="388">
        <f t="shared" ca="1" si="266"/>
        <v>4.1568913495132502</v>
      </c>
      <c r="BS107" s="1025"/>
      <c r="BT107" s="1282">
        <f>+IF($K107="Ongoing",AX107,IF(RIGHT($K107,2)=RIGHT(BT$43,2),SUM($AX107:AX107),0)+IF(RIGHT(BT$43,2)&gt;RIGHT($K107,2),AX107,0))</f>
        <v>1.3786025365853658</v>
      </c>
      <c r="BU107" s="387">
        <f>+IF($K107="Ongoing",AY107,IF(RIGHT($K107,2)=RIGHT(BU$43,2),SUM($AX107:AY107),0)+IF(RIGHT(BU$43,2)&gt;RIGHT($K107,2),AY107,0))</f>
        <v>18.357961870315286</v>
      </c>
      <c r="BV107" s="387">
        <f>+IF($K107="Ongoing",AZ107,IF(RIGHT($K107,2)=RIGHT(BV$43,2),SUM($AX107:AZ107),0)+IF(RIGHT(BV$43,2)&gt;RIGHT($K107,2),AZ107,0))</f>
        <v>93.219118162533917</v>
      </c>
      <c r="BW107" s="387">
        <f>+IF($K107="Ongoing",BA107,IF(RIGHT($K107,2)=RIGHT(BW$43,2),SUM($AX107:BA107),0)+IF(RIGHT(BW$43,2)&gt;RIGHT($K107,2),BA107,0))</f>
        <v>48.319563381616497</v>
      </c>
      <c r="BX107" s="1283">
        <f>+IF($K107="Ongoing",BB107,IF(RIGHT($K107,2)=RIGHT(BX$43,2),SUM($AX107:BB107),0)+IF(RIGHT(BX$43,2)&gt;RIGHT($K107,2),BB107,0))</f>
        <v>45.120172205197747</v>
      </c>
      <c r="BY107" s="386">
        <f>+IF($K107="Ongoing",BC107,IF(RIGHT($K107,2)=RIGHT(BY$43,2),SUM($AX107:BC107),0)+IF(RIGHT(BY$43,2)&gt;RIGHT($K107,2),BC107,0))</f>
        <v>22.221651166833848</v>
      </c>
      <c r="BZ107" s="387">
        <f>+IF($K107="Ongoing",BD107,IF(RIGHT($K107,2)=RIGHT(BZ$43,2),SUM($AX107:BD107),0)+IF(RIGHT(BZ$43,2)&gt;RIGHT($K107,2),BD107,0))</f>
        <v>43.722913469447313</v>
      </c>
      <c r="CA107" s="1277">
        <f>+IF($K107="Ongoing",BE107,IF(RIGHT($K107,2)=RIGHT(CA$43,2),SUM($AX107:BE107),0)+IF(RIGHT(CA$43,2)&gt;RIGHT($K107,2),BE107,0))</f>
        <v>52.108234003148041</v>
      </c>
      <c r="CB107" s="1277">
        <f>+IF($K107="Ongoing",BF107,IF(RIGHT($K107,2)=RIGHT(CB$43,2),SUM($AX107:BF107),0)+IF(RIGHT(CB$43,2)&gt;RIGHT($K107,2),BF107,0))</f>
        <v>105.41957908450459</v>
      </c>
      <c r="CC107" s="388">
        <f>+IF($K107="Ongoing",BG107,IF(RIGHT($K107,2)=RIGHT(CC$43,2),SUM($AX107:BG107),0)+IF(RIGHT(CC$43,2)&gt;RIGHT($K107,2),BG107,0))</f>
        <v>54.780505132549848</v>
      </c>
      <c r="CD107" s="1025"/>
      <c r="CE107" s="1282">
        <f>+Q107*KeyAssumptionsPriceControl_FO!AF$15</f>
        <v>1.4185820101463413</v>
      </c>
      <c r="CF107" s="387">
        <f>+R107*KeyAssumptionsPriceControl_FO!AG$15</f>
        <v>19.438162704726505</v>
      </c>
      <c r="CG107" s="387">
        <f>+S107*KeyAssumptionsPriceControl_FO!AH$15</f>
        <v>101.56664679887129</v>
      </c>
      <c r="CH107" s="387">
        <f>+T107*KeyAssumptionsPriceControl_FO!AI$15</f>
        <v>54.173201289542007</v>
      </c>
      <c r="CI107" s="1283">
        <f>+U107*KeyAssumptionsPriceControl_FO!AJ$15</f>
        <v>52.053222670665406</v>
      </c>
      <c r="CJ107" s="386">
        <f>+V107*KeyAssumptionsPriceControl_FO!AK$15</f>
        <v>26.379622378581125</v>
      </c>
      <c r="CK107" s="387">
        <f>+W107*KeyAssumptionsPriceControl_FO!AL$15</f>
        <v>53.409279182576007</v>
      </c>
      <c r="CL107" s="1277">
        <f>+X107*KeyAssumptionsPriceControl_FO!AM$15</f>
        <v>65.498198167792467</v>
      </c>
      <c r="CM107" s="1277">
        <f>+Y107*KeyAssumptionsPriceControl_FO!AN$15</f>
        <v>136.35141546306355</v>
      </c>
      <c r="CN107" s="388">
        <f>+Z107*KeyAssumptionsPriceControl_FO!AO$15</f>
        <v>72.908771448112134</v>
      </c>
      <c r="CO107" s="1025"/>
      <c r="CP107" s="1282">
        <f t="shared" ca="1" si="267"/>
        <v>0</v>
      </c>
      <c r="CQ107" s="387">
        <f t="shared" ca="1" si="268"/>
        <v>0</v>
      </c>
      <c r="CR107" s="387">
        <f t="shared" ca="1" si="269"/>
        <v>0</v>
      </c>
      <c r="CS107" s="387">
        <f t="shared" ca="1" si="270"/>
        <v>0</v>
      </c>
      <c r="CT107" s="1283">
        <f t="shared" ca="1" si="271"/>
        <v>0</v>
      </c>
      <c r="CU107" s="386">
        <f t="shared" ca="1" si="272"/>
        <v>0</v>
      </c>
      <c r="CV107" s="387">
        <f t="shared" ca="1" si="273"/>
        <v>0</v>
      </c>
      <c r="CW107" s="1277">
        <f t="shared" ca="1" si="274"/>
        <v>0</v>
      </c>
      <c r="CX107" s="1277">
        <f t="shared" ca="1" si="275"/>
        <v>0</v>
      </c>
      <c r="CY107" s="388">
        <f t="shared" ca="1" si="276"/>
        <v>0</v>
      </c>
      <c r="CZ107" s="347"/>
      <c r="DA107" s="852"/>
      <c r="DB107" s="347"/>
      <c r="DC107" s="1012" t="s">
        <v>598</v>
      </c>
      <c r="DD107" s="841" t="s">
        <v>518</v>
      </c>
      <c r="DE107" s="386">
        <f>+IF($K107="ongoing",CE107,IF(RIGHT($K107,2)=RIGHT(DE$43,2),SUM($CD107:CE107),0)+IF(RIGHT(DE$43,2)&gt;RIGHT($K107,2),CE107,0))</f>
        <v>1.4185820101463413</v>
      </c>
      <c r="DF107" s="387">
        <f>+IF($K107="ongoing",CF107,IF(RIGHT($K107,2)=RIGHT(DF$43,2),SUM($CD107:CF107),0)+IF(RIGHT(DF$43,2)&gt;RIGHT($K107,2),CF107,0))</f>
        <v>19.438162704726505</v>
      </c>
      <c r="DG107" s="388">
        <f>+IF($K107="ongoing",CG107,IF(RIGHT($K107,2)=RIGHT(DG$43,2),SUM($CD107:CG107),0)+IF(RIGHT(DG$43,2)&gt;RIGHT($K107,2),CG107,0))</f>
        <v>101.56664679887129</v>
      </c>
      <c r="DH107" s="386">
        <f>+IF($K107="ongoing",CH107,IF(RIGHT($K107,2)=RIGHT(DH$43,2),SUM($CD107:CH107),0)+IF(RIGHT(DH$43,2)&gt;RIGHT($K107,2),CH107,0))</f>
        <v>54.173201289542007</v>
      </c>
      <c r="DI107" s="387">
        <f>+IF($K107="ongoing",CI107,IF(RIGHT($K107,2)=RIGHT(DI$43,2),SUM($CD107:CI107),0)+IF(RIGHT(DI$43,2)&gt;RIGHT($K107,2),CI107,0))</f>
        <v>52.053222670665406</v>
      </c>
      <c r="DJ107" s="387">
        <f>+IF($K107="ongoing",CJ107,IF(RIGHT($K107,2)=RIGHT(DJ$43,2),SUM($CD107:CJ107),0)+IF(RIGHT(DJ$43,2)&gt;RIGHT($K107,2),CJ107,0))</f>
        <v>26.379622378581125</v>
      </c>
      <c r="DK107" s="387">
        <f>+IF($K107="ongoing",CK107,IF(RIGHT($K107,2)=RIGHT(DK$43,2),SUM($CD107:CK107),0)+IF(RIGHT(DK$43,2)&gt;RIGHT($K107,2),CK107,0))</f>
        <v>53.409279182576007</v>
      </c>
      <c r="DL107" s="388">
        <f>+IF($K107="ongoing",CN107,IF(RIGHT($K107,2)=RIGHT(DL$43,2),SUM($CD107:CN107),0)+IF(RIGHT(DL$43,2)&gt;RIGHT($K107,2),CN107,0))</f>
        <v>72.908771448112134</v>
      </c>
      <c r="DM107" s="841"/>
      <c r="DN107" s="386">
        <f t="shared" si="277"/>
        <v>0.5</v>
      </c>
      <c r="DO107" s="387">
        <f t="shared" si="278"/>
        <v>1</v>
      </c>
      <c r="DP107" s="388">
        <f t="shared" si="279"/>
        <v>1</v>
      </c>
      <c r="DQ107" s="386">
        <f t="shared" si="280"/>
        <v>1</v>
      </c>
      <c r="DR107" s="387">
        <f t="shared" si="281"/>
        <v>1</v>
      </c>
      <c r="DS107" s="387">
        <f t="shared" si="282"/>
        <v>1</v>
      </c>
      <c r="DT107" s="387">
        <f t="shared" si="283"/>
        <v>1</v>
      </c>
      <c r="DU107" s="388">
        <f t="shared" si="284"/>
        <v>1</v>
      </c>
      <c r="DW107" s="386">
        <f t="shared" si="285"/>
        <v>0</v>
      </c>
      <c r="DX107" s="387">
        <f t="shared" si="286"/>
        <v>0.5</v>
      </c>
      <c r="DY107" s="388">
        <f t="shared" si="287"/>
        <v>1</v>
      </c>
      <c r="DZ107" s="386">
        <f t="shared" si="288"/>
        <v>1</v>
      </c>
      <c r="EA107" s="387">
        <f t="shared" si="289"/>
        <v>1</v>
      </c>
      <c r="EB107" s="387">
        <f t="shared" si="290"/>
        <v>1</v>
      </c>
      <c r="EC107" s="387">
        <f t="shared" si="291"/>
        <v>1</v>
      </c>
      <c r="ED107" s="388">
        <f t="shared" si="292"/>
        <v>1</v>
      </c>
      <c r="EF107" s="834">
        <f>+IF(DN107=DM107,0,
IF(AND(EF$44&gt;1,DN107=$N107),1-SUM($EE107:EE107),
IF($N107&lt;=1,
IF($N107&gt;0,1/$N107,0),
IF(EF$44=1,0,VDB(1,0,$N107,INT(EF$44-1-1),MIN($N107,INT(EF$44-1-1)+1),$DC107,IF($DD107="No",1,0))/
IF(DM107&gt;=INT($N107),$N107-INT($N107),1)))*
IF(EF$44=1,0,
IF(INT(DN107)=INT(DM107),DN107-DM107,INT(DN107)-DM107))+
IF($N107&lt;=1,
IF($N107&gt;0,1/$N107,0),VDB(1,0,$N107,INT(EF$44-1),MIN($N107,INT(EF$44-1)+1),$DC107,IF($DD107="No",1,0))/
IF(DN107&gt;INT($N107),$N107-INT($N107),1))*
IF(EF$44=1,DN107,
IF(INT(DN107)=INT(DM107),0,DN107-INT(DN107)))))</f>
        <v>0</v>
      </c>
      <c r="EG107" s="835">
        <f>+IF(DO107=DN107,0,
IF(AND(EG$44&gt;1,DO107=$N107),1-SUM($EE107:EF107),
IF($N107&lt;=1,
IF($N107&gt;0,1/$N107,0),
IF(EG$44=1,0,VDB(1,0,$N107,INT(EG$44-1-1),MIN($N107,INT(EG$44-1-1)+1),$DC107,IF($DD107="No",1,0))/
IF(DN107&gt;=INT($N107),$N107-INT($N107),1)))*
IF(EG$44=1,0,
IF(INT(DO107)=INT(DN107),DO107-DN107,INT(DO107)-DN107))+
IF($N107&lt;=1,
IF($N107&gt;0,1/$N107,0),VDB(1,0,$N107,INT(EG$44-1),MIN($N107,INT(EG$44-1)+1),$DC107,IF($DD107="No",1,0))/
IF(DO107&gt;INT($N107),$N107-INT($N107),1))*
IF(EG$44=1,DO107,
IF(INT(DO107)=INT(DN107),0,DO107-INT(DO107)))))</f>
        <v>0</v>
      </c>
      <c r="EH107" s="836">
        <f>+IF(DP107=DO107,0,
IF(AND(EH$44&gt;1,DP107=$N107),1-SUM($EE107:EG107),
IF($N107&lt;=1,
IF($N107&gt;0,1/$N107,0),
IF(EH$44=1,0,VDB(1,0,$N107,INT(EH$44-1-1),MIN($N107,INT(EH$44-1-1)+1),$DC107,IF($DD107="No",1,0))/
IF(DO107&gt;=INT($N107),$N107-INT($N107),1)))*
IF(EH$44=1,0,
IF(INT(DP107)=INT(DO107),DP107-DO107,INT(DP107)-DO107))+
IF($N107&lt;=1,
IF($N107&gt;0,1/$N107,0),VDB(1,0,$N107,INT(EH$44-1),MIN($N107,INT(EH$44-1)+1),$DC107,IF($DD107="No",1,0))/
IF(DP107&gt;INT($N107),$N107-INT($N107),1))*
IF(EH$44=1,DP107,
IF(INT(DP107)=INT(DO107),0,DP107-INT(DP107)))))</f>
        <v>0</v>
      </c>
      <c r="EI107" s="834">
        <f>+IF(DQ107=DP107,0,
IF(AND(EI$44&gt;1,DQ107=$N107),1-SUM($EE107:EH107),
IF($N107&lt;=1,
IF($N107&gt;0,1/$N107,0),
IF(EI$44=1,0,VDB(1,0,$N107,INT(EI$44-1-1),MIN($N107,INT(EI$44-1-1)+1),$DC107,IF($DD107="No",1,0))/
IF(DP107&gt;=INT($N107),$N107-INT($N107),1)))*
IF(EI$44=1,0,
IF(INT(DQ107)=INT(DP107),DQ107-DP107,INT(DQ107)-DP107))+
IF($N107&lt;=1,
IF($N107&gt;0,1/$N107,0),VDB(1,0,$N107,INT(EI$44-1),MIN($N107,INT(EI$44-1)+1),$DC107,IF($DD107="No",1,0))/
IF(DQ107&gt;INT($N107),$N107-INT($N107),1))*
IF(EI$44=1,DQ107,
IF(INT(DQ107)=INT(DP107),0,DQ107-INT(DQ107)))))</f>
        <v>0</v>
      </c>
      <c r="EJ107" s="835">
        <f>+IF(DR107=DQ107,0,
IF(AND(EJ$44&gt;1,DR107=$N107),1-SUM($EE107:EI107),
IF($N107&lt;=1,
IF($N107&gt;0,1/$N107,0),
IF(EJ$44=1,0,VDB(1,0,$N107,INT(EJ$44-1-1),MIN($N107,INT(EJ$44-1-1)+1),$DC107,IF($DD107="No",1,0))/
IF(DQ107&gt;=INT($N107),$N107-INT($N107),1)))*
IF(EJ$44=1,0,
IF(INT(DR107)=INT(DQ107),DR107-DQ107,INT(DR107)-DQ107))+
IF($N107&lt;=1,
IF($N107&gt;0,1/$N107,0),VDB(1,0,$N107,INT(EJ$44-1),MIN($N107,INT(EJ$44-1)+1),$DC107,IF($DD107="No",1,0))/
IF(DR107&gt;INT($N107),$N107-INT($N107),1))*
IF(EJ$44=1,DR107,
IF(INT(DR107)=INT(DQ107),0,DR107-INT(DR107)))))</f>
        <v>0</v>
      </c>
      <c r="EK107" s="835">
        <f>+IF(DS107=DR107,0,
IF(AND(EK$44&gt;1,DS107=$N107),1-SUM($EE107:EJ107),
IF($N107&lt;=1,
IF($N107&gt;0,1/$N107,0),
IF(EK$44=1,0,VDB(1,0,$N107,INT(EK$44-1-1),MIN($N107,INT(EK$44-1-1)+1),$DC107,IF($DD107="No",1,0))/
IF(DR107&gt;=INT($N107),$N107-INT($N107),1)))*
IF(EK$44=1,0,
IF(INT(DS107)=INT(DR107),DS107-DR107,INT(DS107)-DR107))+
IF($N107&lt;=1,
IF($N107&gt;0,1/$N107,0),VDB(1,0,$N107,INT(EK$44-1),MIN($N107,INT(EK$44-1)+1),$DC107,IF($DD107="No",1,0))/
IF(DS107&gt;INT($N107),$N107-INT($N107),1))*
IF(EK$44=1,DS107,
IF(INT(DS107)=INT(DR107),0,DS107-INT(DS107)))))</f>
        <v>0</v>
      </c>
      <c r="EL107" s="835">
        <f>+IF(DT107=DS107,0,
IF(AND(EL$44&gt;1,DT107=$N107),1-SUM($EE107:EK107),
IF($N107&lt;=1,
IF($N107&gt;0,1/$N107,0),
IF(EL$44=1,0,VDB(1,0,$N107,INT(EL$44-1-1),MIN($N107,INT(EL$44-1-1)+1),$DC107,IF($DD107="No",1,0))/
IF(DS107&gt;=INT($N107),$N107-INT($N107),1)))*
IF(EL$44=1,0,
IF(INT(DT107)=INT(DS107),DT107-DS107,INT(DT107)-DS107))+
IF($N107&lt;=1,
IF($N107&gt;0,1/$N107,0),VDB(1,0,$N107,INT(EL$44-1),MIN($N107,INT(EL$44-1)+1),$DC107,IF($DD107="No",1,0))/
IF(DT107&gt;INT($N107),$N107-INT($N107),1))*
IF(EL$44=1,DT107,
IF(INT(DT107)=INT(DS107),0,DT107-INT(DT107)))))</f>
        <v>0</v>
      </c>
      <c r="EM107" s="836">
        <f>+IF(DU107=DT107,0,
IF(AND(EM$44&gt;1,DU107=$N107),1-SUM($EE107:EL107),
IF($N107&lt;=1,
IF($N107&gt;0,1/$N107,0),
IF(EM$44=1,0,VDB(1,0,$N107,INT(EM$44-1-1),MIN($N107,INT(EM$44-1-1)+1),$DC107,IF($DD107="No",1,0))/
IF(DT107&gt;=INT($N107),$N107-INT($N107),1)))*
IF(EM$44=1,0,
IF(INT(DU107)=INT(DT107),DU107-DT107,INT(DU107)-DT107))+
IF($N107&lt;=1,
IF($N107&gt;0,1/$N107,0),VDB(1,0,$N107,INT(EM$44-1),MIN($N107,INT(EM$44-1)+1),$DC107,IF($DD107="No",1,0))/
IF(DU107&gt;INT($N107),$N107-INT($N107),1))*
IF(EM$44=1,DU107,
IF(INT(DU107)=INT(DT107),0,DU107-INT(DU107)))))</f>
        <v>0</v>
      </c>
      <c r="EN107" s="833"/>
      <c r="EO107" s="834">
        <f>+IF(OR(DW107=DV107,EO$44=1),0,
IF(AND(EO$44&gt;1,DW107=$N107),1-SUM($EN107:EN107),
IF($N107&lt;=1,
IF($N107&gt;0,1/$N107,0),
IF(EO$44=2,0,VDB(1,0,$N107,INT(EO$44-2-1),MIN($N107,INT(EO$44-2-1)+1),$DC107,IF($DD107="No",1,0))/
IF(DV107&gt;=INT($N107),$N107-INT($N107),1)))*
IF(EO$44=2,0,
IF(INT(DW107)=INT(DV107),DW107-DV107,INT(DW107)-DV107))+
IF($N107&lt;=1,
IF($N107&gt;0,1/$N107,0),VDB(1,0,$N107,INT(EO$44-2),MIN($N107,INT(EO$44-2)+1),$DC107,IF($DD107="No",1,0))/
IF(DW107&gt;INT($N107),$N107-INT($N107),1))*
IF(EO$44=2,DW107,
IF(INT(DW107)=INT(DV107),0,DW107-INT(DW107)))))</f>
        <v>0</v>
      </c>
      <c r="EP107" s="835">
        <f>+IF(OR(DX107=DW107,EP$44=1),0,
IF(AND(EP$44&gt;1,DX107=$N107),1-SUM($EN107:EO107),
IF($N107&lt;=1,
IF($N107&gt;0,1/$N107,0),
IF(EP$44=2,0,VDB(1,0,$N107,INT(EP$44-2-1),MIN($N107,INT(EP$44-2-1)+1),$DC107,IF($DD107="No",1,0))/
IF(DW107&gt;=INT($N107),$N107-INT($N107),1)))*
IF(EP$44=2,0,
IF(INT(DX107)=INT(DW107),DX107-DW107,INT(DX107)-DW107))+
IF($N107&lt;=1,
IF($N107&gt;0,1/$N107,0),VDB(1,0,$N107,INT(EP$44-2),MIN($N107,INT(EP$44-2)+1),$DC107,IF($DD107="No",1,0))/
IF(DX107&gt;INT($N107),$N107-INT($N107),1))*
IF(EP$44=2,DX107,
IF(INT(DX107)=INT(DW107),0,DX107-INT(DX107)))))</f>
        <v>0</v>
      </c>
      <c r="EQ107" s="836">
        <f>+IF(OR(DY107=DX107,EQ$44=1),0,
IF(AND(EQ$44&gt;1,DY107=$N107),1-SUM($EN107:EP107),
IF($N107&lt;=1,
IF($N107&gt;0,1/$N107,0),
IF(EQ$44=2,0,VDB(1,0,$N107,INT(EQ$44-2-1),MIN($N107,INT(EQ$44-2-1)+1),$DC107,IF($DD107="No",1,0))/
IF(DX107&gt;=INT($N107),$N107-INT($N107),1)))*
IF(EQ$44=2,0,
IF(INT(DY107)=INT(DX107),DY107-DX107,INT(DY107)-DX107))+
IF($N107&lt;=1,
IF($N107&gt;0,1/$N107,0),VDB(1,0,$N107,INT(EQ$44-2),MIN($N107,INT(EQ$44-2)+1),$DC107,IF($DD107="No",1,0))/
IF(DY107&gt;INT($N107),$N107-INT($N107),1))*
IF(EQ$44=2,DY107,
IF(INT(DY107)=INT(DX107),0,DY107-INT(DY107)))))</f>
        <v>0</v>
      </c>
      <c r="ER107" s="834">
        <f>+IF(OR(DZ107=DY107,ER$44=1),0,
IF(AND(ER$44&gt;1,DZ107=$N107),1-SUM($EN107:EQ107),
IF($N107&lt;=1,
IF($N107&gt;0,1/$N107,0),
IF(ER$44=2,0,VDB(1,0,$N107,INT(ER$44-2-1),MIN($N107,INT(ER$44-2-1)+1),$DC107,IF($DD107="No",1,0))/
IF(DY107&gt;=INT($N107),$N107-INT($N107),1)))*
IF(ER$44=2,0,
IF(INT(DZ107)=INT(DY107),DZ107-DY107,INT(DZ107)-DY107))+
IF($N107&lt;=1,
IF($N107&gt;0,1/$N107,0),VDB(1,0,$N107,INT(ER$44-2),MIN($N107,INT(ER$44-2)+1),$DC107,IF($DD107="No",1,0))/
IF(DZ107&gt;INT($N107),$N107-INT($N107),1))*
IF(ER$44=2,DZ107,
IF(INT(DZ107)=INT(DY107),0,DZ107-INT(DZ107)))))</f>
        <v>0</v>
      </c>
      <c r="ES107" s="835">
        <f>+IF(OR(EA107=DZ107,ES$44=1),0,
IF(AND(ES$44&gt;1,EA107=$N107),1-SUM($EN107:ER107),
IF($N107&lt;=1,
IF($N107&gt;0,1/$N107,0),
IF(ES$44=2,0,VDB(1,0,$N107,INT(ES$44-2-1),MIN($N107,INT(ES$44-2-1)+1),$DC107,IF($DD107="No",1,0))/
IF(DZ107&gt;=INT($N107),$N107-INT($N107),1)))*
IF(ES$44=2,0,
IF(INT(EA107)=INT(DZ107),EA107-DZ107,INT(EA107)-DZ107))+
IF($N107&lt;=1,
IF($N107&gt;0,1/$N107,0),VDB(1,0,$N107,INT(ES$44-2),MIN($N107,INT(ES$44-2)+1),$DC107,IF($DD107="No",1,0))/
IF(EA107&gt;INT($N107),$N107-INT($N107),1))*
IF(ES$44=2,EA107,
IF(INT(EA107)=INT(DZ107),0,EA107-INT(EA107)))))</f>
        <v>0</v>
      </c>
      <c r="ET107" s="835">
        <f>+IF(OR(EB107=EA107,ET$44=1),0,
IF(AND(ET$44&gt;1,EB107=$N107),1-SUM($EN107:ES107),
IF($N107&lt;=1,
IF($N107&gt;0,1/$N107,0),
IF(ET$44=2,0,VDB(1,0,$N107,INT(ET$44-2-1),MIN($N107,INT(ET$44-2-1)+1),$DC107,IF($DD107="No",1,0))/
IF(EA107&gt;=INT($N107),$N107-INT($N107),1)))*
IF(ET$44=2,0,
IF(INT(EB107)=INT(EA107),EB107-EA107,INT(EB107)-EA107))+
IF($N107&lt;=1,
IF($N107&gt;0,1/$N107,0),VDB(1,0,$N107,INT(ET$44-2),MIN($N107,INT(ET$44-2)+1),$DC107,IF($DD107="No",1,0))/
IF(EB107&gt;INT($N107),$N107-INT($N107),1))*
IF(ET$44=2,EB107,
IF(INT(EB107)=INT(EA107),0,EB107-INT(EB107)))))</f>
        <v>0</v>
      </c>
      <c r="EU107" s="835">
        <f>+IF(OR(EC107=EB107,EU$44=1),0,
IF(AND(EU$44&gt;1,EC107=$N107),1-SUM($EN107:ET107),
IF($N107&lt;=1,
IF($N107&gt;0,1/$N107,0),
IF(EU$44=2,0,VDB(1,0,$N107,INT(EU$44-2-1),MIN($N107,INT(EU$44-2-1)+1),$DC107,IF($DD107="No",1,0))/
IF(EB107&gt;=INT($N107),$N107-INT($N107),1)))*
IF(EU$44=2,0,
IF(INT(EC107)=INT(EB107),EC107-EB107,INT(EC107)-EB107))+
IF($N107&lt;=1,
IF($N107&gt;0,1/$N107,0),VDB(1,0,$N107,INT(EU$44-2),MIN($N107,INT(EU$44-2)+1),$DC107,IF($DD107="No",1,0))/
IF(EC107&gt;INT($N107),$N107-INT($N107),1))*
IF(EU$44=2,EC107,
IF(INT(EC107)=INT(EB107),0,EC107-INT(EC107)))))</f>
        <v>0</v>
      </c>
      <c r="EV107" s="836">
        <f>+IF(OR(ED107=EC107,EV$44=1),0,
IF(AND(EV$44&gt;1,ED107=$N107),1-SUM($EN107:EU107),
IF($N107&lt;=1,
IF($N107&gt;0,1/$N107,0),
IF(EV$44=2,0,VDB(1,0,$N107,INT(EV$44-2-1),MIN($N107,INT(EV$44-2-1)+1),$DC107,IF($DD107="No",1,0))/
IF(EC107&gt;=INT($N107),$N107-INT($N107),1)))*
IF(EV$44=2,0,
IF(INT(ED107)=INT(EC107),ED107-EC107,INT(ED107)-EC107))+
IF($N107&lt;=1,
IF($N107&gt;0,1/$N107,0),VDB(1,0,$N107,INT(EV$44-2),MIN($N107,INT(EV$44-2)+1),$DC107,IF($DD107="No",1,0))/
IF(ED107&gt;INT($N107),$N107-INT($N107),1))*
IF(EV$44=2,ED107,
IF(INT(ED107)=INT(EC107),0,ED107-INT(ED107)))))</f>
        <v>0</v>
      </c>
      <c r="EW107" s="833"/>
      <c r="EX107" s="834">
        <f t="shared" ca="1" si="301"/>
        <v>0</v>
      </c>
      <c r="EY107" s="835">
        <f t="shared" ca="1" si="301"/>
        <v>0</v>
      </c>
      <c r="EZ107" s="836">
        <f t="shared" ca="1" si="301"/>
        <v>0</v>
      </c>
      <c r="FA107" s="834">
        <f t="shared" ca="1" si="301"/>
        <v>0</v>
      </c>
      <c r="FB107" s="835">
        <f t="shared" ca="1" si="301"/>
        <v>0</v>
      </c>
      <c r="FC107" s="835">
        <f t="shared" ca="1" si="301"/>
        <v>0</v>
      </c>
      <c r="FD107" s="835">
        <f t="shared" ca="1" si="301"/>
        <v>0</v>
      </c>
      <c r="FE107" s="836">
        <f t="shared" ca="1" si="301"/>
        <v>0</v>
      </c>
      <c r="FG107" s="386">
        <f t="shared" ca="1" si="293"/>
        <v>0</v>
      </c>
      <c r="FH107" s="387">
        <f t="shared" ca="1" si="294"/>
        <v>0</v>
      </c>
      <c r="FI107" s="388">
        <f t="shared" ca="1" si="295"/>
        <v>0</v>
      </c>
      <c r="FJ107" s="386">
        <f t="shared" ca="1" si="296"/>
        <v>0</v>
      </c>
      <c r="FK107" s="387">
        <f t="shared" ca="1" si="297"/>
        <v>0</v>
      </c>
      <c r="FL107" s="387">
        <f t="shared" ca="1" si="298"/>
        <v>0</v>
      </c>
      <c r="FM107" s="387">
        <f t="shared" ca="1" si="299"/>
        <v>0</v>
      </c>
      <c r="FN107" s="388">
        <f t="shared" ca="1" si="300"/>
        <v>0</v>
      </c>
      <c r="FR107" s="116"/>
    </row>
    <row r="108" spans="2:174">
      <c r="B108" s="1410">
        <f t="shared" si="135"/>
        <v>62</v>
      </c>
      <c r="C108" s="400" t="s">
        <v>596</v>
      </c>
      <c r="D108" s="410"/>
      <c r="E108" s="402" t="s">
        <v>401</v>
      </c>
      <c r="F108" s="402" t="s">
        <v>527</v>
      </c>
      <c r="G108" s="400" t="s">
        <v>525</v>
      </c>
      <c r="H108" s="2088" t="s">
        <v>483</v>
      </c>
      <c r="I108" s="2089"/>
      <c r="J108" s="411" t="s">
        <v>516</v>
      </c>
      <c r="K108" s="403" t="s">
        <v>544</v>
      </c>
      <c r="L108" s="403">
        <v>40</v>
      </c>
      <c r="M108" s="403" t="s">
        <v>142</v>
      </c>
      <c r="N108" s="403"/>
      <c r="O108" s="347"/>
      <c r="P108" s="347"/>
      <c r="Q108" s="1021">
        <v>0</v>
      </c>
      <c r="R108" s="1022">
        <v>0</v>
      </c>
      <c r="S108" s="1022">
        <v>0.36201540894647505</v>
      </c>
      <c r="T108" s="1022">
        <v>2.1080610851377743</v>
      </c>
      <c r="U108" s="1023">
        <v>1.7766788123839838</v>
      </c>
      <c r="V108" s="1021">
        <v>7.2718322511440689</v>
      </c>
      <c r="W108" s="1022">
        <v>7.663943116914651</v>
      </c>
      <c r="X108" s="1022">
        <v>0.10667981852771492</v>
      </c>
      <c r="Y108" s="1022">
        <v>0</v>
      </c>
      <c r="Z108" s="1023">
        <v>7.3890227282698504</v>
      </c>
      <c r="AA108" s="1024"/>
      <c r="AB108" s="1021">
        <v>0</v>
      </c>
      <c r="AC108" s="1022">
        <v>0</v>
      </c>
      <c r="AD108" s="1022">
        <v>0</v>
      </c>
      <c r="AE108" s="1022">
        <v>0</v>
      </c>
      <c r="AF108" s="1023">
        <v>0</v>
      </c>
      <c r="AG108" s="1021">
        <v>0</v>
      </c>
      <c r="AH108" s="1022">
        <v>0</v>
      </c>
      <c r="AI108" s="1022">
        <v>0</v>
      </c>
      <c r="AJ108" s="1022">
        <v>0</v>
      </c>
      <c r="AK108" s="1023">
        <v>0</v>
      </c>
      <c r="AL108" s="1024"/>
      <c r="AM108" s="1021">
        <v>0</v>
      </c>
      <c r="AN108" s="1022">
        <v>0</v>
      </c>
      <c r="AO108" s="1022">
        <v>0</v>
      </c>
      <c r="AP108" s="1022">
        <v>0</v>
      </c>
      <c r="AQ108" s="1023">
        <v>0</v>
      </c>
      <c r="AR108" s="1021">
        <v>0</v>
      </c>
      <c r="AS108" s="1022">
        <v>0</v>
      </c>
      <c r="AT108" s="1022">
        <v>0</v>
      </c>
      <c r="AU108" s="1022">
        <v>0</v>
      </c>
      <c r="AV108" s="1023">
        <v>0</v>
      </c>
      <c r="AW108" s="1025"/>
      <c r="AX108" s="1282">
        <f t="shared" si="247"/>
        <v>0</v>
      </c>
      <c r="AY108" s="387">
        <f t="shared" si="248"/>
        <v>0</v>
      </c>
      <c r="AZ108" s="387">
        <f t="shared" si="249"/>
        <v>0.36201540894647505</v>
      </c>
      <c r="BA108" s="387">
        <f t="shared" si="250"/>
        <v>2.1080610851377743</v>
      </c>
      <c r="BB108" s="1283">
        <f t="shared" si="251"/>
        <v>1.7766788123839838</v>
      </c>
      <c r="BC108" s="386">
        <f t="shared" si="252"/>
        <v>7.2718322511440689</v>
      </c>
      <c r="BD108" s="387">
        <f t="shared" si="253"/>
        <v>7.663943116914651</v>
      </c>
      <c r="BE108" s="1277">
        <f t="shared" si="254"/>
        <v>0.10667981852771492</v>
      </c>
      <c r="BF108" s="1277">
        <f t="shared" si="255"/>
        <v>0</v>
      </c>
      <c r="BG108" s="388">
        <f t="shared" si="256"/>
        <v>7.3890227282698504</v>
      </c>
      <c r="BH108" s="1025"/>
      <c r="BI108" s="1282">
        <f t="shared" ca="1" si="257"/>
        <v>0</v>
      </c>
      <c r="BJ108" s="387">
        <f t="shared" ca="1" si="258"/>
        <v>0</v>
      </c>
      <c r="BK108" s="387">
        <f t="shared" ca="1" si="259"/>
        <v>4.5251926118309383E-3</v>
      </c>
      <c r="BL108" s="387">
        <f t="shared" ca="1" si="260"/>
        <v>3.5401148787884057E-2</v>
      </c>
      <c r="BM108" s="1283">
        <f t="shared" ca="1" si="261"/>
        <v>8.3960397506906037E-2</v>
      </c>
      <c r="BN108" s="386">
        <f t="shared" ca="1" si="262"/>
        <v>0.1970667858010067</v>
      </c>
      <c r="BO108" s="387">
        <f t="shared" ca="1" si="263"/>
        <v>0.38376397790174072</v>
      </c>
      <c r="BP108" s="1277">
        <f t="shared" ca="1" si="264"/>
        <v>0.48089676459477027</v>
      </c>
      <c r="BQ108" s="1277">
        <f t="shared" ca="1" si="265"/>
        <v>0.48223026232636679</v>
      </c>
      <c r="BR108" s="388">
        <f t="shared" ca="1" si="266"/>
        <v>0.57459304642973996</v>
      </c>
      <c r="BS108" s="1025"/>
      <c r="BT108" s="1282">
        <f>+IF($K108="Ongoing",AX108,IF(RIGHT($K108,2)=RIGHT(BT$43,2),SUM($AX108:AX108),0)+IF(RIGHT(BT$43,2)&gt;RIGHT($K108,2),AX108,0))</f>
        <v>0</v>
      </c>
      <c r="BU108" s="387">
        <f>+IF($K108="Ongoing",AY108,IF(RIGHT($K108,2)=RIGHT(BU$43,2),SUM($AX108:AY108),0)+IF(RIGHT(BU$43,2)&gt;RIGHT($K108,2),AY108,0))</f>
        <v>0</v>
      </c>
      <c r="BV108" s="387">
        <f>+IF($K108="Ongoing",AZ108,IF(RIGHT($K108,2)=RIGHT(BV$43,2),SUM($AX108:AZ108),0)+IF(RIGHT(BV$43,2)&gt;RIGHT($K108,2),AZ108,0))</f>
        <v>0.36201540894647505</v>
      </c>
      <c r="BW108" s="387">
        <f>+IF($K108="Ongoing",BA108,IF(RIGHT($K108,2)=RIGHT(BW$43,2),SUM($AX108:BA108),0)+IF(RIGHT(BW$43,2)&gt;RIGHT($K108,2),BA108,0))</f>
        <v>2.1080610851377743</v>
      </c>
      <c r="BX108" s="1283">
        <f>+IF($K108="Ongoing",BB108,IF(RIGHT($K108,2)=RIGHT(BX$43,2),SUM($AX108:BB108),0)+IF(RIGHT(BX$43,2)&gt;RIGHT($K108,2),BB108,0))</f>
        <v>1.7766788123839838</v>
      </c>
      <c r="BY108" s="386">
        <f>+IF($K108="Ongoing",BC108,IF(RIGHT($K108,2)=RIGHT(BY$43,2),SUM($AX108:BC108),0)+IF(RIGHT(BY$43,2)&gt;RIGHT($K108,2),BC108,0))</f>
        <v>7.2718322511440689</v>
      </c>
      <c r="BZ108" s="387">
        <f>+IF($K108="Ongoing",BD108,IF(RIGHT($K108,2)=RIGHT(BZ$43,2),SUM($AX108:BD108),0)+IF(RIGHT(BZ$43,2)&gt;RIGHT($K108,2),BD108,0))</f>
        <v>7.663943116914651</v>
      </c>
      <c r="CA108" s="1277">
        <f>+IF($K108="Ongoing",BE108,IF(RIGHT($K108,2)=RIGHT(CA$43,2),SUM($AX108:BE108),0)+IF(RIGHT(CA$43,2)&gt;RIGHT($K108,2),BE108,0))</f>
        <v>0.10667981852771492</v>
      </c>
      <c r="CB108" s="1277">
        <f>+IF($K108="Ongoing",BF108,IF(RIGHT($K108,2)=RIGHT(CB$43,2),SUM($AX108:BF108),0)+IF(RIGHT(CB$43,2)&gt;RIGHT($K108,2),BF108,0))</f>
        <v>0</v>
      </c>
      <c r="CC108" s="388">
        <f>+IF($K108="Ongoing",BG108,IF(RIGHT($K108,2)=RIGHT(CC$43,2),SUM($AX108:BG108),0)+IF(RIGHT(CC$43,2)&gt;RIGHT($K108,2),BG108,0))</f>
        <v>7.3890227282698504</v>
      </c>
      <c r="CD108" s="1025"/>
      <c r="CE108" s="1282">
        <f>+Q108*KeyAssumptionsPriceControl_FO!AF$15</f>
        <v>0</v>
      </c>
      <c r="CF108" s="387">
        <f>+R108*KeyAssumptionsPriceControl_FO!AG$15</f>
        <v>0</v>
      </c>
      <c r="CG108" s="387">
        <f>+S108*KeyAssumptionsPriceControl_FO!AH$15</f>
        <v>0.39443294359539904</v>
      </c>
      <c r="CH108" s="387">
        <f>+T108*KeyAssumptionsPriceControl_FO!AI$15</f>
        <v>2.3634405922481352</v>
      </c>
      <c r="CI108" s="1283">
        <f>+U108*KeyAssumptionsPriceControl_FO!AJ$15</f>
        <v>2.0496787426849221</v>
      </c>
      <c r="CJ108" s="386">
        <f>+V108*KeyAssumptionsPriceControl_FO!AK$15</f>
        <v>8.6324903287058401</v>
      </c>
      <c r="CK108" s="387">
        <f>+W108*KeyAssumptionsPriceControl_FO!AL$15</f>
        <v>9.3618115786521141</v>
      </c>
      <c r="CL108" s="1277">
        <f>+X108*KeyAssumptionsPriceControl_FO!AM$15</f>
        <v>0.13409274039128405</v>
      </c>
      <c r="CM108" s="1277">
        <f>+Y108*KeyAssumptionsPriceControl_FO!AN$15</f>
        <v>0</v>
      </c>
      <c r="CN108" s="388">
        <f>+Z108*KeyAssumptionsPriceControl_FO!AO$15</f>
        <v>9.8342388047865867</v>
      </c>
      <c r="CO108" s="1025"/>
      <c r="CP108" s="1282">
        <f t="shared" ca="1" si="267"/>
        <v>0</v>
      </c>
      <c r="CQ108" s="387">
        <f t="shared" ca="1" si="268"/>
        <v>0</v>
      </c>
      <c r="CR108" s="387">
        <f t="shared" ca="1" si="269"/>
        <v>0</v>
      </c>
      <c r="CS108" s="387">
        <f t="shared" ca="1" si="270"/>
        <v>0</v>
      </c>
      <c r="CT108" s="1283">
        <f t="shared" ca="1" si="271"/>
        <v>0</v>
      </c>
      <c r="CU108" s="386">
        <f t="shared" ca="1" si="272"/>
        <v>0</v>
      </c>
      <c r="CV108" s="387">
        <f t="shared" ca="1" si="273"/>
        <v>0</v>
      </c>
      <c r="CW108" s="1277">
        <f t="shared" ca="1" si="274"/>
        <v>0</v>
      </c>
      <c r="CX108" s="1277">
        <f t="shared" ca="1" si="275"/>
        <v>0</v>
      </c>
      <c r="CY108" s="388">
        <f t="shared" ca="1" si="276"/>
        <v>0</v>
      </c>
      <c r="CZ108" s="347"/>
      <c r="DA108" s="852"/>
      <c r="DB108" s="347"/>
      <c r="DC108" s="1012" t="s">
        <v>599</v>
      </c>
      <c r="DD108" s="841" t="s">
        <v>518</v>
      </c>
      <c r="DE108" s="386">
        <f>+IF($K108="ongoing",CE108,IF(RIGHT($K108,2)=RIGHT(DE$43,2),SUM($CD108:CE108),0)+IF(RIGHT(DE$43,2)&gt;RIGHT($K108,2),CE108,0))</f>
        <v>0</v>
      </c>
      <c r="DF108" s="387">
        <f>+IF($K108="ongoing",CF108,IF(RIGHT($K108,2)=RIGHT(DF$43,2),SUM($CD108:CF108),0)+IF(RIGHT(DF$43,2)&gt;RIGHT($K108,2),CF108,0))</f>
        <v>0</v>
      </c>
      <c r="DG108" s="388">
        <f>+IF($K108="ongoing",CG108,IF(RIGHT($K108,2)=RIGHT(DG$43,2),SUM($CD108:CG108),0)+IF(RIGHT(DG$43,2)&gt;RIGHT($K108,2),CG108,0))</f>
        <v>0.39443294359539904</v>
      </c>
      <c r="DH108" s="386">
        <f>+IF($K108="ongoing",CH108,IF(RIGHT($K108,2)=RIGHT(DH$43,2),SUM($CD108:CH108),0)+IF(RIGHT(DH$43,2)&gt;RIGHT($K108,2),CH108,0))</f>
        <v>2.3634405922481352</v>
      </c>
      <c r="DI108" s="387">
        <f>+IF($K108="ongoing",CI108,IF(RIGHT($K108,2)=RIGHT(DI$43,2),SUM($CD108:CI108),0)+IF(RIGHT(DI$43,2)&gt;RIGHT($K108,2),CI108,0))</f>
        <v>2.0496787426849221</v>
      </c>
      <c r="DJ108" s="387">
        <f>+IF($K108="ongoing",CJ108,IF(RIGHT($K108,2)=RIGHT(DJ$43,2),SUM($CD108:CJ108),0)+IF(RIGHT(DJ$43,2)&gt;RIGHT($K108,2),CJ108,0))</f>
        <v>8.6324903287058401</v>
      </c>
      <c r="DK108" s="387">
        <f>+IF($K108="ongoing",CK108,IF(RIGHT($K108,2)=RIGHT(DK$43,2),SUM($CD108:CK108),0)+IF(RIGHT(DK$43,2)&gt;RIGHT($K108,2),CK108,0))</f>
        <v>9.3618115786521141</v>
      </c>
      <c r="DL108" s="388">
        <f>+IF($K108="ongoing",CN108,IF(RIGHT($K108,2)=RIGHT(DL$43,2),SUM($CD108:CN108),0)+IF(RIGHT(DL$43,2)&gt;RIGHT($K108,2),CN108,0))</f>
        <v>9.8342388047865867</v>
      </c>
      <c r="DM108" s="841"/>
      <c r="DN108" s="386">
        <f t="shared" si="277"/>
        <v>0.5</v>
      </c>
      <c r="DO108" s="387">
        <f t="shared" si="278"/>
        <v>1</v>
      </c>
      <c r="DP108" s="388">
        <f t="shared" si="279"/>
        <v>1</v>
      </c>
      <c r="DQ108" s="386">
        <f t="shared" si="280"/>
        <v>1</v>
      </c>
      <c r="DR108" s="387">
        <f t="shared" si="281"/>
        <v>1</v>
      </c>
      <c r="DS108" s="387">
        <f t="shared" si="282"/>
        <v>1</v>
      </c>
      <c r="DT108" s="387">
        <f t="shared" si="283"/>
        <v>1</v>
      </c>
      <c r="DU108" s="388">
        <f t="shared" si="284"/>
        <v>1</v>
      </c>
      <c r="DW108" s="386">
        <f t="shared" si="285"/>
        <v>0</v>
      </c>
      <c r="DX108" s="387">
        <f t="shared" si="286"/>
        <v>0.5</v>
      </c>
      <c r="DY108" s="388">
        <f t="shared" si="287"/>
        <v>1</v>
      </c>
      <c r="DZ108" s="386">
        <f t="shared" si="288"/>
        <v>1</v>
      </c>
      <c r="EA108" s="387">
        <f t="shared" si="289"/>
        <v>1</v>
      </c>
      <c r="EB108" s="387">
        <f t="shared" si="290"/>
        <v>1</v>
      </c>
      <c r="EC108" s="387">
        <f t="shared" si="291"/>
        <v>1</v>
      </c>
      <c r="ED108" s="388">
        <f t="shared" si="292"/>
        <v>1</v>
      </c>
      <c r="EF108" s="834">
        <f>+IF(DN108=DM108,0,
IF(AND(EF$44&gt;1,DN108=$N108),1-SUM($EE108:EE108),
IF($N108&lt;=1,
IF($N108&gt;0,1/$N108,0),
IF(EF$44=1,0,VDB(1,0,$N108,INT(EF$44-1-1),MIN($N108,INT(EF$44-1-1)+1),$DC108,IF($DD108="No",1,0))/
IF(DM108&gt;=INT($N108),$N108-INT($N108),1)))*
IF(EF$44=1,0,
IF(INT(DN108)=INT(DM108),DN108-DM108,INT(DN108)-DM108))+
IF($N108&lt;=1,
IF($N108&gt;0,1/$N108,0),VDB(1,0,$N108,INT(EF$44-1),MIN($N108,INT(EF$44-1)+1),$DC108,IF($DD108="No",1,0))/
IF(DN108&gt;INT($N108),$N108-INT($N108),1))*
IF(EF$44=1,DN108,
IF(INT(DN108)=INT(DM108),0,DN108-INT(DN108)))))</f>
        <v>0</v>
      </c>
      <c r="EG108" s="835">
        <f>+IF(DO108=DN108,0,
IF(AND(EG$44&gt;1,DO108=$N108),1-SUM($EE108:EF108),
IF($N108&lt;=1,
IF($N108&gt;0,1/$N108,0),
IF(EG$44=1,0,VDB(1,0,$N108,INT(EG$44-1-1),MIN($N108,INT(EG$44-1-1)+1),$DC108,IF($DD108="No",1,0))/
IF(DN108&gt;=INT($N108),$N108-INT($N108),1)))*
IF(EG$44=1,0,
IF(INT(DO108)=INT(DN108),DO108-DN108,INT(DO108)-DN108))+
IF($N108&lt;=1,
IF($N108&gt;0,1/$N108,0),VDB(1,0,$N108,INT(EG$44-1),MIN($N108,INT(EG$44-1)+1),$DC108,IF($DD108="No",1,0))/
IF(DO108&gt;INT($N108),$N108-INT($N108),1))*
IF(EG$44=1,DO108,
IF(INT(DO108)=INT(DN108),0,DO108-INT(DO108)))))</f>
        <v>0</v>
      </c>
      <c r="EH108" s="836">
        <f>+IF(DP108=DO108,0,
IF(AND(EH$44&gt;1,DP108=$N108),1-SUM($EE108:EG108),
IF($N108&lt;=1,
IF($N108&gt;0,1/$N108,0),
IF(EH$44=1,0,VDB(1,0,$N108,INT(EH$44-1-1),MIN($N108,INT(EH$44-1-1)+1),$DC108,IF($DD108="No",1,0))/
IF(DO108&gt;=INT($N108),$N108-INT($N108),1)))*
IF(EH$44=1,0,
IF(INT(DP108)=INT(DO108),DP108-DO108,INT(DP108)-DO108))+
IF($N108&lt;=1,
IF($N108&gt;0,1/$N108,0),VDB(1,0,$N108,INT(EH$44-1),MIN($N108,INT(EH$44-1)+1),$DC108,IF($DD108="No",1,0))/
IF(DP108&gt;INT($N108),$N108-INT($N108),1))*
IF(EH$44=1,DP108,
IF(INT(DP108)=INT(DO108),0,DP108-INT(DP108)))))</f>
        <v>0</v>
      </c>
      <c r="EI108" s="834">
        <f>+IF(DQ108=DP108,0,
IF(AND(EI$44&gt;1,DQ108=$N108),1-SUM($EE108:EH108),
IF($N108&lt;=1,
IF($N108&gt;0,1/$N108,0),
IF(EI$44=1,0,VDB(1,0,$N108,INT(EI$44-1-1),MIN($N108,INT(EI$44-1-1)+1),$DC108,IF($DD108="No",1,0))/
IF(DP108&gt;=INT($N108),$N108-INT($N108),1)))*
IF(EI$44=1,0,
IF(INT(DQ108)=INT(DP108),DQ108-DP108,INT(DQ108)-DP108))+
IF($N108&lt;=1,
IF($N108&gt;0,1/$N108,0),VDB(1,0,$N108,INT(EI$44-1),MIN($N108,INT(EI$44-1)+1),$DC108,IF($DD108="No",1,0))/
IF(DQ108&gt;INT($N108),$N108-INT($N108),1))*
IF(EI$44=1,DQ108,
IF(INT(DQ108)=INT(DP108),0,DQ108-INT(DQ108)))))</f>
        <v>0</v>
      </c>
      <c r="EJ108" s="835">
        <f>+IF(DR108=DQ108,0,
IF(AND(EJ$44&gt;1,DR108=$N108),1-SUM($EE108:EI108),
IF($N108&lt;=1,
IF($N108&gt;0,1/$N108,0),
IF(EJ$44=1,0,VDB(1,0,$N108,INT(EJ$44-1-1),MIN($N108,INT(EJ$44-1-1)+1),$DC108,IF($DD108="No",1,0))/
IF(DQ108&gt;=INT($N108),$N108-INT($N108),1)))*
IF(EJ$44=1,0,
IF(INT(DR108)=INT(DQ108),DR108-DQ108,INT(DR108)-DQ108))+
IF($N108&lt;=1,
IF($N108&gt;0,1/$N108,0),VDB(1,0,$N108,INT(EJ$44-1),MIN($N108,INT(EJ$44-1)+1),$DC108,IF($DD108="No",1,0))/
IF(DR108&gt;INT($N108),$N108-INT($N108),1))*
IF(EJ$44=1,DR108,
IF(INT(DR108)=INT(DQ108),0,DR108-INT(DR108)))))</f>
        <v>0</v>
      </c>
      <c r="EK108" s="835">
        <f>+IF(DS108=DR108,0,
IF(AND(EK$44&gt;1,DS108=$N108),1-SUM($EE108:EJ108),
IF($N108&lt;=1,
IF($N108&gt;0,1/$N108,0),
IF(EK$44=1,0,VDB(1,0,$N108,INT(EK$44-1-1),MIN($N108,INT(EK$44-1-1)+1),$DC108,IF($DD108="No",1,0))/
IF(DR108&gt;=INT($N108),$N108-INT($N108),1)))*
IF(EK$44=1,0,
IF(INT(DS108)=INT(DR108),DS108-DR108,INT(DS108)-DR108))+
IF($N108&lt;=1,
IF($N108&gt;0,1/$N108,0),VDB(1,0,$N108,INT(EK$44-1),MIN($N108,INT(EK$44-1)+1),$DC108,IF($DD108="No",1,0))/
IF(DS108&gt;INT($N108),$N108-INT($N108),1))*
IF(EK$44=1,DS108,
IF(INT(DS108)=INT(DR108),0,DS108-INT(DS108)))))</f>
        <v>0</v>
      </c>
      <c r="EL108" s="835">
        <f>+IF(DT108=DS108,0,
IF(AND(EL$44&gt;1,DT108=$N108),1-SUM($EE108:EK108),
IF($N108&lt;=1,
IF($N108&gt;0,1/$N108,0),
IF(EL$44=1,0,VDB(1,0,$N108,INT(EL$44-1-1),MIN($N108,INT(EL$44-1-1)+1),$DC108,IF($DD108="No",1,0))/
IF(DS108&gt;=INT($N108),$N108-INT($N108),1)))*
IF(EL$44=1,0,
IF(INT(DT108)=INT(DS108),DT108-DS108,INT(DT108)-DS108))+
IF($N108&lt;=1,
IF($N108&gt;0,1/$N108,0),VDB(1,0,$N108,INT(EL$44-1),MIN($N108,INT(EL$44-1)+1),$DC108,IF($DD108="No",1,0))/
IF(DT108&gt;INT($N108),$N108-INT($N108),1))*
IF(EL$44=1,DT108,
IF(INT(DT108)=INT(DS108),0,DT108-INT(DT108)))))</f>
        <v>0</v>
      </c>
      <c r="EM108" s="836">
        <f>+IF(DU108=DT108,0,
IF(AND(EM$44&gt;1,DU108=$N108),1-SUM($EE108:EL108),
IF($N108&lt;=1,
IF($N108&gt;0,1/$N108,0),
IF(EM$44=1,0,VDB(1,0,$N108,INT(EM$44-1-1),MIN($N108,INT(EM$44-1-1)+1),$DC108,IF($DD108="No",1,0))/
IF(DT108&gt;=INT($N108),$N108-INT($N108),1)))*
IF(EM$44=1,0,
IF(INT(DU108)=INT(DT108),DU108-DT108,INT(DU108)-DT108))+
IF($N108&lt;=1,
IF($N108&gt;0,1/$N108,0),VDB(1,0,$N108,INT(EM$44-1),MIN($N108,INT(EM$44-1)+1),$DC108,IF($DD108="No",1,0))/
IF(DU108&gt;INT($N108),$N108-INT($N108),1))*
IF(EM$44=1,DU108,
IF(INT(DU108)=INT(DT108),0,DU108-INT(DU108)))))</f>
        <v>0</v>
      </c>
      <c r="EN108" s="833"/>
      <c r="EO108" s="834">
        <f>+IF(OR(DW108=DV108,EO$44=1),0,
IF(AND(EO$44&gt;1,DW108=$N108),1-SUM($EN108:EN108),
IF($N108&lt;=1,
IF($N108&gt;0,1/$N108,0),
IF(EO$44=2,0,VDB(1,0,$N108,INT(EO$44-2-1),MIN($N108,INT(EO$44-2-1)+1),$DC108,IF($DD108="No",1,0))/
IF(DV108&gt;=INT($N108),$N108-INT($N108),1)))*
IF(EO$44=2,0,
IF(INT(DW108)=INT(DV108),DW108-DV108,INT(DW108)-DV108))+
IF($N108&lt;=1,
IF($N108&gt;0,1/$N108,0),VDB(1,0,$N108,INT(EO$44-2),MIN($N108,INT(EO$44-2)+1),$DC108,IF($DD108="No",1,0))/
IF(DW108&gt;INT($N108),$N108-INT($N108),1))*
IF(EO$44=2,DW108,
IF(INT(DW108)=INT(DV108),0,DW108-INT(DW108)))))</f>
        <v>0</v>
      </c>
      <c r="EP108" s="835">
        <f>+IF(OR(DX108=DW108,EP$44=1),0,
IF(AND(EP$44&gt;1,DX108=$N108),1-SUM($EN108:EO108),
IF($N108&lt;=1,
IF($N108&gt;0,1/$N108,0),
IF(EP$44=2,0,VDB(1,0,$N108,INT(EP$44-2-1),MIN($N108,INT(EP$44-2-1)+1),$DC108,IF($DD108="No",1,0))/
IF(DW108&gt;=INT($N108),$N108-INT($N108),1)))*
IF(EP$44=2,0,
IF(INT(DX108)=INT(DW108),DX108-DW108,INT(DX108)-DW108))+
IF($N108&lt;=1,
IF($N108&gt;0,1/$N108,0),VDB(1,0,$N108,INT(EP$44-2),MIN($N108,INT(EP$44-2)+1),$DC108,IF($DD108="No",1,0))/
IF(DX108&gt;INT($N108),$N108-INT($N108),1))*
IF(EP$44=2,DX108,
IF(INT(DX108)=INT(DW108),0,DX108-INT(DX108)))))</f>
        <v>0</v>
      </c>
      <c r="EQ108" s="836">
        <f>+IF(OR(DY108=DX108,EQ$44=1),0,
IF(AND(EQ$44&gt;1,DY108=$N108),1-SUM($EN108:EP108),
IF($N108&lt;=1,
IF($N108&gt;0,1/$N108,0),
IF(EQ$44=2,0,VDB(1,0,$N108,INT(EQ$44-2-1),MIN($N108,INT(EQ$44-2-1)+1),$DC108,IF($DD108="No",1,0))/
IF(DX108&gt;=INT($N108),$N108-INT($N108),1)))*
IF(EQ$44=2,0,
IF(INT(DY108)=INT(DX108),DY108-DX108,INT(DY108)-DX108))+
IF($N108&lt;=1,
IF($N108&gt;0,1/$N108,0),VDB(1,0,$N108,INT(EQ$44-2),MIN($N108,INT(EQ$44-2)+1),$DC108,IF($DD108="No",1,0))/
IF(DY108&gt;INT($N108),$N108-INT($N108),1))*
IF(EQ$44=2,DY108,
IF(INT(DY108)=INT(DX108),0,DY108-INT(DY108)))))</f>
        <v>0</v>
      </c>
      <c r="ER108" s="834">
        <f>+IF(OR(DZ108=DY108,ER$44=1),0,
IF(AND(ER$44&gt;1,DZ108=$N108),1-SUM($EN108:EQ108),
IF($N108&lt;=1,
IF($N108&gt;0,1/$N108,0),
IF(ER$44=2,0,VDB(1,0,$N108,INT(ER$44-2-1),MIN($N108,INT(ER$44-2-1)+1),$DC108,IF($DD108="No",1,0))/
IF(DY108&gt;=INT($N108),$N108-INT($N108),1)))*
IF(ER$44=2,0,
IF(INT(DZ108)=INT(DY108),DZ108-DY108,INT(DZ108)-DY108))+
IF($N108&lt;=1,
IF($N108&gt;0,1/$N108,0),VDB(1,0,$N108,INT(ER$44-2),MIN($N108,INT(ER$44-2)+1),$DC108,IF($DD108="No",1,0))/
IF(DZ108&gt;INT($N108),$N108-INT($N108),1))*
IF(ER$44=2,DZ108,
IF(INT(DZ108)=INT(DY108),0,DZ108-INT(DZ108)))))</f>
        <v>0</v>
      </c>
      <c r="ES108" s="835">
        <f>+IF(OR(EA108=DZ108,ES$44=1),0,
IF(AND(ES$44&gt;1,EA108=$N108),1-SUM($EN108:ER108),
IF($N108&lt;=1,
IF($N108&gt;0,1/$N108,0),
IF(ES$44=2,0,VDB(1,0,$N108,INT(ES$44-2-1),MIN($N108,INT(ES$44-2-1)+1),$DC108,IF($DD108="No",1,0))/
IF(DZ108&gt;=INT($N108),$N108-INT($N108),1)))*
IF(ES$44=2,0,
IF(INT(EA108)=INT(DZ108),EA108-DZ108,INT(EA108)-DZ108))+
IF($N108&lt;=1,
IF($N108&gt;0,1/$N108,0),VDB(1,0,$N108,INT(ES$44-2),MIN($N108,INT(ES$44-2)+1),$DC108,IF($DD108="No",1,0))/
IF(EA108&gt;INT($N108),$N108-INT($N108),1))*
IF(ES$44=2,EA108,
IF(INT(EA108)=INT(DZ108),0,EA108-INT(EA108)))))</f>
        <v>0</v>
      </c>
      <c r="ET108" s="835">
        <f>+IF(OR(EB108=EA108,ET$44=1),0,
IF(AND(ET$44&gt;1,EB108=$N108),1-SUM($EN108:ES108),
IF($N108&lt;=1,
IF($N108&gt;0,1/$N108,0),
IF(ET$44=2,0,VDB(1,0,$N108,INT(ET$44-2-1),MIN($N108,INT(ET$44-2-1)+1),$DC108,IF($DD108="No",1,0))/
IF(EA108&gt;=INT($N108),$N108-INT($N108),1)))*
IF(ET$44=2,0,
IF(INT(EB108)=INT(EA108),EB108-EA108,INT(EB108)-EA108))+
IF($N108&lt;=1,
IF($N108&gt;0,1/$N108,0),VDB(1,0,$N108,INT(ET$44-2),MIN($N108,INT(ET$44-2)+1),$DC108,IF($DD108="No",1,0))/
IF(EB108&gt;INT($N108),$N108-INT($N108),1))*
IF(ET$44=2,EB108,
IF(INT(EB108)=INT(EA108),0,EB108-INT(EB108)))))</f>
        <v>0</v>
      </c>
      <c r="EU108" s="835">
        <f>+IF(OR(EC108=EB108,EU$44=1),0,
IF(AND(EU$44&gt;1,EC108=$N108),1-SUM($EN108:ET108),
IF($N108&lt;=1,
IF($N108&gt;0,1/$N108,0),
IF(EU$44=2,0,VDB(1,0,$N108,INT(EU$44-2-1),MIN($N108,INT(EU$44-2-1)+1),$DC108,IF($DD108="No",1,0))/
IF(EB108&gt;=INT($N108),$N108-INT($N108),1)))*
IF(EU$44=2,0,
IF(INT(EC108)=INT(EB108),EC108-EB108,INT(EC108)-EB108))+
IF($N108&lt;=1,
IF($N108&gt;0,1/$N108,0),VDB(1,0,$N108,INT(EU$44-2),MIN($N108,INT(EU$44-2)+1),$DC108,IF($DD108="No",1,0))/
IF(EC108&gt;INT($N108),$N108-INT($N108),1))*
IF(EU$44=2,EC108,
IF(INT(EC108)=INT(EB108),0,EC108-INT(EC108)))))</f>
        <v>0</v>
      </c>
      <c r="EV108" s="836">
        <f>+IF(OR(ED108=EC108,EV$44=1),0,
IF(AND(EV$44&gt;1,ED108=$N108),1-SUM($EN108:EU108),
IF($N108&lt;=1,
IF($N108&gt;0,1/$N108,0),
IF(EV$44=2,0,VDB(1,0,$N108,INT(EV$44-2-1),MIN($N108,INT(EV$44-2-1)+1),$DC108,IF($DD108="No",1,0))/
IF(EC108&gt;=INT($N108),$N108-INT($N108),1)))*
IF(EV$44=2,0,
IF(INT(ED108)=INT(EC108),ED108-EC108,INT(ED108)-EC108))+
IF($N108&lt;=1,
IF($N108&gt;0,1/$N108,0),VDB(1,0,$N108,INT(EV$44-2),MIN($N108,INT(EV$44-2)+1),$DC108,IF($DD108="No",1,0))/
IF(ED108&gt;INT($N108),$N108-INT($N108),1))*
IF(EV$44=2,ED108,
IF(INT(ED108)=INT(EC108),0,ED108-INT(ED108)))))</f>
        <v>0</v>
      </c>
      <c r="EW108" s="833"/>
      <c r="EX108" s="834">
        <f t="shared" ca="1" si="301"/>
        <v>0</v>
      </c>
      <c r="EY108" s="835">
        <f t="shared" ca="1" si="301"/>
        <v>0</v>
      </c>
      <c r="EZ108" s="836">
        <f t="shared" ca="1" si="301"/>
        <v>0</v>
      </c>
      <c r="FA108" s="834">
        <f t="shared" ca="1" si="301"/>
        <v>0</v>
      </c>
      <c r="FB108" s="835">
        <f t="shared" ca="1" si="301"/>
        <v>0</v>
      </c>
      <c r="FC108" s="835">
        <f t="shared" ca="1" si="301"/>
        <v>0</v>
      </c>
      <c r="FD108" s="835">
        <f t="shared" ca="1" si="301"/>
        <v>0</v>
      </c>
      <c r="FE108" s="836">
        <f t="shared" ca="1" si="301"/>
        <v>0</v>
      </c>
      <c r="FG108" s="386">
        <f t="shared" ca="1" si="293"/>
        <v>0</v>
      </c>
      <c r="FH108" s="387">
        <f t="shared" ca="1" si="294"/>
        <v>0</v>
      </c>
      <c r="FI108" s="388">
        <f t="shared" ca="1" si="295"/>
        <v>0</v>
      </c>
      <c r="FJ108" s="386">
        <f t="shared" ca="1" si="296"/>
        <v>0</v>
      </c>
      <c r="FK108" s="387">
        <f t="shared" ca="1" si="297"/>
        <v>0</v>
      </c>
      <c r="FL108" s="387">
        <f t="shared" ca="1" si="298"/>
        <v>0</v>
      </c>
      <c r="FM108" s="387">
        <f t="shared" ca="1" si="299"/>
        <v>0</v>
      </c>
      <c r="FN108" s="388">
        <f t="shared" ca="1" si="300"/>
        <v>0</v>
      </c>
      <c r="FR108" s="116"/>
    </row>
    <row r="109" spans="2:174">
      <c r="B109" s="1410">
        <f t="shared" si="135"/>
        <v>63</v>
      </c>
      <c r="C109" s="400" t="s">
        <v>600</v>
      </c>
      <c r="D109" s="410"/>
      <c r="E109" s="402" t="s">
        <v>401</v>
      </c>
      <c r="F109" s="402" t="s">
        <v>514</v>
      </c>
      <c r="G109" s="400" t="s">
        <v>525</v>
      </c>
      <c r="H109" s="2088" t="s">
        <v>483</v>
      </c>
      <c r="I109" s="2089"/>
      <c r="J109" s="411" t="s">
        <v>516</v>
      </c>
      <c r="K109" s="403" t="s">
        <v>544</v>
      </c>
      <c r="L109" s="403">
        <v>40</v>
      </c>
      <c r="M109" s="403" t="s">
        <v>142</v>
      </c>
      <c r="N109" s="403"/>
      <c r="O109" s="347"/>
      <c r="P109" s="347"/>
      <c r="Q109" s="1021">
        <v>5.4638048780487808E-2</v>
      </c>
      <c r="R109" s="1022">
        <v>5.3305413444378356E-2</v>
      </c>
      <c r="S109" s="1022">
        <v>5.2005281409149617E-2</v>
      </c>
      <c r="T109" s="1022">
        <v>5.0736859911365485E-2</v>
      </c>
      <c r="U109" s="1023">
        <v>4.9481698437531217E-2</v>
      </c>
      <c r="V109" s="1021">
        <v>0</v>
      </c>
      <c r="W109" s="1022">
        <v>0</v>
      </c>
      <c r="X109" s="1022">
        <v>0</v>
      </c>
      <c r="Y109" s="1022">
        <v>0</v>
      </c>
      <c r="Z109" s="1023">
        <v>0</v>
      </c>
      <c r="AA109" s="1024"/>
      <c r="AB109" s="1021">
        <v>0</v>
      </c>
      <c r="AC109" s="1022">
        <v>0</v>
      </c>
      <c r="AD109" s="1022">
        <v>0</v>
      </c>
      <c r="AE109" s="1022">
        <v>0</v>
      </c>
      <c r="AF109" s="1023">
        <v>0</v>
      </c>
      <c r="AG109" s="1021">
        <v>0</v>
      </c>
      <c r="AH109" s="1022">
        <v>0</v>
      </c>
      <c r="AI109" s="1022">
        <v>0</v>
      </c>
      <c r="AJ109" s="1022">
        <v>0</v>
      </c>
      <c r="AK109" s="1023">
        <v>0</v>
      </c>
      <c r="AL109" s="1024"/>
      <c r="AM109" s="1021">
        <v>0</v>
      </c>
      <c r="AN109" s="1022">
        <v>0</v>
      </c>
      <c r="AO109" s="1022">
        <v>0</v>
      </c>
      <c r="AP109" s="1022">
        <v>0</v>
      </c>
      <c r="AQ109" s="1023">
        <v>0</v>
      </c>
      <c r="AR109" s="1021">
        <v>0</v>
      </c>
      <c r="AS109" s="1022">
        <v>0</v>
      </c>
      <c r="AT109" s="1022">
        <v>0</v>
      </c>
      <c r="AU109" s="1022">
        <v>0</v>
      </c>
      <c r="AV109" s="1023">
        <v>0</v>
      </c>
      <c r="AW109" s="1025"/>
      <c r="AX109" s="1282">
        <f t="shared" si="247"/>
        <v>5.4638048780487808E-2</v>
      </c>
      <c r="AY109" s="387">
        <f t="shared" si="248"/>
        <v>5.3305413444378356E-2</v>
      </c>
      <c r="AZ109" s="387">
        <f t="shared" si="249"/>
        <v>5.2005281409149617E-2</v>
      </c>
      <c r="BA109" s="387">
        <f t="shared" si="250"/>
        <v>5.0736859911365485E-2</v>
      </c>
      <c r="BB109" s="1283">
        <f t="shared" si="251"/>
        <v>4.9481698437531217E-2</v>
      </c>
      <c r="BC109" s="386">
        <f t="shared" si="252"/>
        <v>0</v>
      </c>
      <c r="BD109" s="387">
        <f t="shared" si="253"/>
        <v>0</v>
      </c>
      <c r="BE109" s="1277">
        <f t="shared" si="254"/>
        <v>0</v>
      </c>
      <c r="BF109" s="1277">
        <f t="shared" si="255"/>
        <v>0</v>
      </c>
      <c r="BG109" s="388">
        <f t="shared" si="256"/>
        <v>0</v>
      </c>
      <c r="BH109" s="1025"/>
      <c r="BI109" s="1282">
        <f t="shared" ca="1" si="257"/>
        <v>6.8297560975609756E-4</v>
      </c>
      <c r="BJ109" s="387">
        <f t="shared" ca="1" si="258"/>
        <v>2.0322688875669247E-3</v>
      </c>
      <c r="BK109" s="387">
        <f t="shared" ca="1" si="259"/>
        <v>3.3486525732360243E-3</v>
      </c>
      <c r="BL109" s="387">
        <f t="shared" ca="1" si="260"/>
        <v>4.6329293397424634E-3</v>
      </c>
      <c r="BM109" s="1283">
        <f t="shared" ca="1" si="261"/>
        <v>5.8856613191036727E-3</v>
      </c>
      <c r="BN109" s="386">
        <f t="shared" ca="1" si="262"/>
        <v>6.5041825495728125E-3</v>
      </c>
      <c r="BO109" s="387">
        <f t="shared" ca="1" si="263"/>
        <v>6.5041825495728125E-3</v>
      </c>
      <c r="BP109" s="1277">
        <f t="shared" ca="1" si="264"/>
        <v>6.5041825495728125E-3</v>
      </c>
      <c r="BQ109" s="1277">
        <f t="shared" ca="1" si="265"/>
        <v>6.5041825495728125E-3</v>
      </c>
      <c r="BR109" s="388">
        <f t="shared" ca="1" si="266"/>
        <v>6.5041825495728125E-3</v>
      </c>
      <c r="BS109" s="1025"/>
      <c r="BT109" s="1282">
        <f>+IF($K109="Ongoing",AX109,IF(RIGHT($K109,2)=RIGHT(BT$43,2),SUM($AX109:AX109),0)+IF(RIGHT(BT$43,2)&gt;RIGHT($K109,2),AX109,0))</f>
        <v>5.4638048780487808E-2</v>
      </c>
      <c r="BU109" s="387">
        <f>+IF($K109="Ongoing",AY109,IF(RIGHT($K109,2)=RIGHT(BU$43,2),SUM($AX109:AY109),0)+IF(RIGHT(BU$43,2)&gt;RIGHT($K109,2),AY109,0))</f>
        <v>5.3305413444378356E-2</v>
      </c>
      <c r="BV109" s="387">
        <f>+IF($K109="Ongoing",AZ109,IF(RIGHT($K109,2)=RIGHT(BV$43,2),SUM($AX109:AZ109),0)+IF(RIGHT(BV$43,2)&gt;RIGHT($K109,2),AZ109,0))</f>
        <v>5.2005281409149617E-2</v>
      </c>
      <c r="BW109" s="387">
        <f>+IF($K109="Ongoing",BA109,IF(RIGHT($K109,2)=RIGHT(BW$43,2),SUM($AX109:BA109),0)+IF(RIGHT(BW$43,2)&gt;RIGHT($K109,2),BA109,0))</f>
        <v>5.0736859911365485E-2</v>
      </c>
      <c r="BX109" s="1283">
        <f>+IF($K109="Ongoing",BB109,IF(RIGHT($K109,2)=RIGHT(BX$43,2),SUM($AX109:BB109),0)+IF(RIGHT(BX$43,2)&gt;RIGHT($K109,2),BB109,0))</f>
        <v>4.9481698437531217E-2</v>
      </c>
      <c r="BY109" s="386">
        <f>+IF($K109="Ongoing",BC109,IF(RIGHT($K109,2)=RIGHT(BY$43,2),SUM($AX109:BC109),0)+IF(RIGHT(BY$43,2)&gt;RIGHT($K109,2),BC109,0))</f>
        <v>0</v>
      </c>
      <c r="BZ109" s="387">
        <f>+IF($K109="Ongoing",BD109,IF(RIGHT($K109,2)=RIGHT(BZ$43,2),SUM($AX109:BD109),0)+IF(RIGHT(BZ$43,2)&gt;RIGHT($K109,2),BD109,0))</f>
        <v>0</v>
      </c>
      <c r="CA109" s="1277">
        <f>+IF($K109="Ongoing",BE109,IF(RIGHT($K109,2)=RIGHT(CA$43,2),SUM($AX109:BE109),0)+IF(RIGHT(CA$43,2)&gt;RIGHT($K109,2),BE109,0))</f>
        <v>0</v>
      </c>
      <c r="CB109" s="1277">
        <f>+IF($K109="Ongoing",BF109,IF(RIGHT($K109,2)=RIGHT(CB$43,2),SUM($AX109:BF109),0)+IF(RIGHT(CB$43,2)&gt;RIGHT($K109,2),BF109,0))</f>
        <v>0</v>
      </c>
      <c r="CC109" s="388">
        <f>+IF($K109="Ongoing",BG109,IF(RIGHT($K109,2)=RIGHT(CC$43,2),SUM($AX109:BG109),0)+IF(RIGHT(CC$43,2)&gt;RIGHT($K109,2),BG109,0))</f>
        <v>0</v>
      </c>
      <c r="CD109" s="1025"/>
      <c r="CE109" s="1282">
        <f>+Q109*KeyAssumptionsPriceControl_FO!AF$15</f>
        <v>5.6222552195121948E-2</v>
      </c>
      <c r="CF109" s="387">
        <f>+R109*KeyAssumptionsPriceControl_FO!AG$15</f>
        <v>5.6441957276859016E-2</v>
      </c>
      <c r="CG109" s="387">
        <f>+S109*KeyAssumptionsPriceControl_FO!AH$15</f>
        <v>5.6662218573549195E-2</v>
      </c>
      <c r="CH109" s="387">
        <f>+T109*KeyAssumptionsPriceControl_FO!AI$15</f>
        <v>5.6883339426519151E-2</v>
      </c>
      <c r="CI109" s="1283">
        <f>+U109*KeyAssumptionsPriceControl_FO!AJ$15</f>
        <v>5.7084929888517044E-2</v>
      </c>
      <c r="CJ109" s="386">
        <f>+V109*KeyAssumptionsPriceControl_FO!AK$15</f>
        <v>0</v>
      </c>
      <c r="CK109" s="387">
        <f>+W109*KeyAssumptionsPriceControl_FO!AL$15</f>
        <v>0</v>
      </c>
      <c r="CL109" s="1277">
        <f>+X109*KeyAssumptionsPriceControl_FO!AM$15</f>
        <v>0</v>
      </c>
      <c r="CM109" s="1277">
        <f>+Y109*KeyAssumptionsPriceControl_FO!AN$15</f>
        <v>0</v>
      </c>
      <c r="CN109" s="388">
        <f>+Z109*KeyAssumptionsPriceControl_FO!AO$15</f>
        <v>0</v>
      </c>
      <c r="CO109" s="1025"/>
      <c r="CP109" s="1282">
        <f t="shared" ca="1" si="267"/>
        <v>0</v>
      </c>
      <c r="CQ109" s="387">
        <f t="shared" ca="1" si="268"/>
        <v>0</v>
      </c>
      <c r="CR109" s="387">
        <f t="shared" ca="1" si="269"/>
        <v>0</v>
      </c>
      <c r="CS109" s="387">
        <f t="shared" ca="1" si="270"/>
        <v>0</v>
      </c>
      <c r="CT109" s="1283">
        <f t="shared" ca="1" si="271"/>
        <v>0</v>
      </c>
      <c r="CU109" s="386">
        <f t="shared" ca="1" si="272"/>
        <v>0</v>
      </c>
      <c r="CV109" s="387">
        <f t="shared" ca="1" si="273"/>
        <v>0</v>
      </c>
      <c r="CW109" s="1277">
        <f t="shared" ca="1" si="274"/>
        <v>0</v>
      </c>
      <c r="CX109" s="1277">
        <f t="shared" ca="1" si="275"/>
        <v>0</v>
      </c>
      <c r="CY109" s="388">
        <f t="shared" ca="1" si="276"/>
        <v>0</v>
      </c>
      <c r="CZ109" s="347"/>
      <c r="DA109" s="852"/>
      <c r="DB109" s="347"/>
      <c r="DC109" s="1012" t="s">
        <v>601</v>
      </c>
      <c r="DD109" s="841" t="s">
        <v>518</v>
      </c>
      <c r="DE109" s="386">
        <f>+IF($K109="ongoing",CE109,IF(RIGHT($K109,2)=RIGHT(DE$43,2),SUM($CD109:CE109),0)+IF(RIGHT(DE$43,2)&gt;RIGHT($K109,2),CE109,0))</f>
        <v>5.6222552195121948E-2</v>
      </c>
      <c r="DF109" s="387">
        <f>+IF($K109="ongoing",CF109,IF(RIGHT($K109,2)=RIGHT(DF$43,2),SUM($CD109:CF109),0)+IF(RIGHT(DF$43,2)&gt;RIGHT($K109,2),CF109,0))</f>
        <v>5.6441957276859016E-2</v>
      </c>
      <c r="DG109" s="388">
        <f>+IF($K109="ongoing",CG109,IF(RIGHT($K109,2)=RIGHT(DG$43,2),SUM($CD109:CG109),0)+IF(RIGHT(DG$43,2)&gt;RIGHT($K109,2),CG109,0))</f>
        <v>5.6662218573549195E-2</v>
      </c>
      <c r="DH109" s="386">
        <f>+IF($K109="ongoing",CH109,IF(RIGHT($K109,2)=RIGHT(DH$43,2),SUM($CD109:CH109),0)+IF(RIGHT(DH$43,2)&gt;RIGHT($K109,2),CH109,0))</f>
        <v>5.6883339426519151E-2</v>
      </c>
      <c r="DI109" s="387">
        <f>+IF($K109="ongoing",CI109,IF(RIGHT($K109,2)=RIGHT(DI$43,2),SUM($CD109:CI109),0)+IF(RIGHT(DI$43,2)&gt;RIGHT($K109,2),CI109,0))</f>
        <v>5.7084929888517044E-2</v>
      </c>
      <c r="DJ109" s="387">
        <f>+IF($K109="ongoing",CJ109,IF(RIGHT($K109,2)=RIGHT(DJ$43,2),SUM($CD109:CJ109),0)+IF(RIGHT(DJ$43,2)&gt;RIGHT($K109,2),CJ109,0))</f>
        <v>0</v>
      </c>
      <c r="DK109" s="387">
        <f>+IF($K109="ongoing",CK109,IF(RIGHT($K109,2)=RIGHT(DK$43,2),SUM($CD109:CK109),0)+IF(RIGHT(DK$43,2)&gt;RIGHT($K109,2),CK109,0))</f>
        <v>0</v>
      </c>
      <c r="DL109" s="388">
        <f>+IF($K109="ongoing",CN109,IF(RIGHT($K109,2)=RIGHT(DL$43,2),SUM($CD109:CN109),0)+IF(RIGHT(DL$43,2)&gt;RIGHT($K109,2),CN109,0))</f>
        <v>0</v>
      </c>
      <c r="DM109" s="841"/>
      <c r="DN109" s="386">
        <f t="shared" si="277"/>
        <v>0.5</v>
      </c>
      <c r="DO109" s="387">
        <f t="shared" si="278"/>
        <v>1</v>
      </c>
      <c r="DP109" s="388">
        <f t="shared" si="279"/>
        <v>1</v>
      </c>
      <c r="DQ109" s="386">
        <f t="shared" si="280"/>
        <v>1</v>
      </c>
      <c r="DR109" s="387">
        <f t="shared" si="281"/>
        <v>1</v>
      </c>
      <c r="DS109" s="387">
        <f t="shared" si="282"/>
        <v>1</v>
      </c>
      <c r="DT109" s="387">
        <f t="shared" si="283"/>
        <v>1</v>
      </c>
      <c r="DU109" s="388">
        <f t="shared" si="284"/>
        <v>1</v>
      </c>
      <c r="DW109" s="386">
        <f t="shared" si="285"/>
        <v>0</v>
      </c>
      <c r="DX109" s="387">
        <f t="shared" si="286"/>
        <v>0.5</v>
      </c>
      <c r="DY109" s="388">
        <f t="shared" si="287"/>
        <v>1</v>
      </c>
      <c r="DZ109" s="386">
        <f t="shared" si="288"/>
        <v>1</v>
      </c>
      <c r="EA109" s="387">
        <f t="shared" si="289"/>
        <v>1</v>
      </c>
      <c r="EB109" s="387">
        <f t="shared" si="290"/>
        <v>1</v>
      </c>
      <c r="EC109" s="387">
        <f t="shared" si="291"/>
        <v>1</v>
      </c>
      <c r="ED109" s="388">
        <f t="shared" si="292"/>
        <v>1</v>
      </c>
      <c r="EF109" s="834">
        <f>+IF(DN109=DM109,0,
IF(AND(EF$44&gt;1,DN109=$N109),1-SUM($EE109:EE109),
IF($N109&lt;=1,
IF($N109&gt;0,1/$N109,0),
IF(EF$44=1,0,VDB(1,0,$N109,INT(EF$44-1-1),MIN($N109,INT(EF$44-1-1)+1),$DC109,IF($DD109="No",1,0))/
IF(DM109&gt;=INT($N109),$N109-INT($N109),1)))*
IF(EF$44=1,0,
IF(INT(DN109)=INT(DM109),DN109-DM109,INT(DN109)-DM109))+
IF($N109&lt;=1,
IF($N109&gt;0,1/$N109,0),VDB(1,0,$N109,INT(EF$44-1),MIN($N109,INT(EF$44-1)+1),$DC109,IF($DD109="No",1,0))/
IF(DN109&gt;INT($N109),$N109-INT($N109),1))*
IF(EF$44=1,DN109,
IF(INT(DN109)=INT(DM109),0,DN109-INT(DN109)))))</f>
        <v>0</v>
      </c>
      <c r="EG109" s="835">
        <f>+IF(DO109=DN109,0,
IF(AND(EG$44&gt;1,DO109=$N109),1-SUM($EE109:EF109),
IF($N109&lt;=1,
IF($N109&gt;0,1/$N109,0),
IF(EG$44=1,0,VDB(1,0,$N109,INT(EG$44-1-1),MIN($N109,INT(EG$44-1-1)+1),$DC109,IF($DD109="No",1,0))/
IF(DN109&gt;=INT($N109),$N109-INT($N109),1)))*
IF(EG$44=1,0,
IF(INT(DO109)=INT(DN109),DO109-DN109,INT(DO109)-DN109))+
IF($N109&lt;=1,
IF($N109&gt;0,1/$N109,0),VDB(1,0,$N109,INT(EG$44-1),MIN($N109,INT(EG$44-1)+1),$DC109,IF($DD109="No",1,0))/
IF(DO109&gt;INT($N109),$N109-INT($N109),1))*
IF(EG$44=1,DO109,
IF(INT(DO109)=INT(DN109),0,DO109-INT(DO109)))))</f>
        <v>0</v>
      </c>
      <c r="EH109" s="836">
        <f>+IF(DP109=DO109,0,
IF(AND(EH$44&gt;1,DP109=$N109),1-SUM($EE109:EG109),
IF($N109&lt;=1,
IF($N109&gt;0,1/$N109,0),
IF(EH$44=1,0,VDB(1,0,$N109,INT(EH$44-1-1),MIN($N109,INT(EH$44-1-1)+1),$DC109,IF($DD109="No",1,0))/
IF(DO109&gt;=INT($N109),$N109-INT($N109),1)))*
IF(EH$44=1,0,
IF(INT(DP109)=INT(DO109),DP109-DO109,INT(DP109)-DO109))+
IF($N109&lt;=1,
IF($N109&gt;0,1/$N109,0),VDB(1,0,$N109,INT(EH$44-1),MIN($N109,INT(EH$44-1)+1),$DC109,IF($DD109="No",1,0))/
IF(DP109&gt;INT($N109),$N109-INT($N109),1))*
IF(EH$44=1,DP109,
IF(INT(DP109)=INT(DO109),0,DP109-INT(DP109)))))</f>
        <v>0</v>
      </c>
      <c r="EI109" s="834">
        <f>+IF(DQ109=DP109,0,
IF(AND(EI$44&gt;1,DQ109=$N109),1-SUM($EE109:EH109),
IF($N109&lt;=1,
IF($N109&gt;0,1/$N109,0),
IF(EI$44=1,0,VDB(1,0,$N109,INT(EI$44-1-1),MIN($N109,INT(EI$44-1-1)+1),$DC109,IF($DD109="No",1,0))/
IF(DP109&gt;=INT($N109),$N109-INT($N109),1)))*
IF(EI$44=1,0,
IF(INT(DQ109)=INT(DP109),DQ109-DP109,INT(DQ109)-DP109))+
IF($N109&lt;=1,
IF($N109&gt;0,1/$N109,0),VDB(1,0,$N109,INT(EI$44-1),MIN($N109,INT(EI$44-1)+1),$DC109,IF($DD109="No",1,0))/
IF(DQ109&gt;INT($N109),$N109-INT($N109),1))*
IF(EI$44=1,DQ109,
IF(INT(DQ109)=INT(DP109),0,DQ109-INT(DQ109)))))</f>
        <v>0</v>
      </c>
      <c r="EJ109" s="835">
        <f>+IF(DR109=DQ109,0,
IF(AND(EJ$44&gt;1,DR109=$N109),1-SUM($EE109:EI109),
IF($N109&lt;=1,
IF($N109&gt;0,1/$N109,0),
IF(EJ$44=1,0,VDB(1,0,$N109,INT(EJ$44-1-1),MIN($N109,INT(EJ$44-1-1)+1),$DC109,IF($DD109="No",1,0))/
IF(DQ109&gt;=INT($N109),$N109-INT($N109),1)))*
IF(EJ$44=1,0,
IF(INT(DR109)=INT(DQ109),DR109-DQ109,INT(DR109)-DQ109))+
IF($N109&lt;=1,
IF($N109&gt;0,1/$N109,0),VDB(1,0,$N109,INT(EJ$44-1),MIN($N109,INT(EJ$44-1)+1),$DC109,IF($DD109="No",1,0))/
IF(DR109&gt;INT($N109),$N109-INT($N109),1))*
IF(EJ$44=1,DR109,
IF(INT(DR109)=INT(DQ109),0,DR109-INT(DR109)))))</f>
        <v>0</v>
      </c>
      <c r="EK109" s="835">
        <f>+IF(DS109=DR109,0,
IF(AND(EK$44&gt;1,DS109=$N109),1-SUM($EE109:EJ109),
IF($N109&lt;=1,
IF($N109&gt;0,1/$N109,0),
IF(EK$44=1,0,VDB(1,0,$N109,INT(EK$44-1-1),MIN($N109,INT(EK$44-1-1)+1),$DC109,IF($DD109="No",1,0))/
IF(DR109&gt;=INT($N109),$N109-INT($N109),1)))*
IF(EK$44=1,0,
IF(INT(DS109)=INT(DR109),DS109-DR109,INT(DS109)-DR109))+
IF($N109&lt;=1,
IF($N109&gt;0,1/$N109,0),VDB(1,0,$N109,INT(EK$44-1),MIN($N109,INT(EK$44-1)+1),$DC109,IF($DD109="No",1,0))/
IF(DS109&gt;INT($N109),$N109-INT($N109),1))*
IF(EK$44=1,DS109,
IF(INT(DS109)=INT(DR109),0,DS109-INT(DS109)))))</f>
        <v>0</v>
      </c>
      <c r="EL109" s="835">
        <f>+IF(DT109=DS109,0,
IF(AND(EL$44&gt;1,DT109=$N109),1-SUM($EE109:EK109),
IF($N109&lt;=1,
IF($N109&gt;0,1/$N109,0),
IF(EL$44=1,0,VDB(1,0,$N109,INT(EL$44-1-1),MIN($N109,INT(EL$44-1-1)+1),$DC109,IF($DD109="No",1,0))/
IF(DS109&gt;=INT($N109),$N109-INT($N109),1)))*
IF(EL$44=1,0,
IF(INT(DT109)=INT(DS109),DT109-DS109,INT(DT109)-DS109))+
IF($N109&lt;=1,
IF($N109&gt;0,1/$N109,0),VDB(1,0,$N109,INT(EL$44-1),MIN($N109,INT(EL$44-1)+1),$DC109,IF($DD109="No",1,0))/
IF(DT109&gt;INT($N109),$N109-INT($N109),1))*
IF(EL$44=1,DT109,
IF(INT(DT109)=INT(DS109),0,DT109-INT(DT109)))))</f>
        <v>0</v>
      </c>
      <c r="EM109" s="836">
        <f>+IF(DU109=DT109,0,
IF(AND(EM$44&gt;1,DU109=$N109),1-SUM($EE109:EL109),
IF($N109&lt;=1,
IF($N109&gt;0,1/$N109,0),
IF(EM$44=1,0,VDB(1,0,$N109,INT(EM$44-1-1),MIN($N109,INT(EM$44-1-1)+1),$DC109,IF($DD109="No",1,0))/
IF(DT109&gt;=INT($N109),$N109-INT($N109),1)))*
IF(EM$44=1,0,
IF(INT(DU109)=INT(DT109),DU109-DT109,INT(DU109)-DT109))+
IF($N109&lt;=1,
IF($N109&gt;0,1/$N109,0),VDB(1,0,$N109,INT(EM$44-1),MIN($N109,INT(EM$44-1)+1),$DC109,IF($DD109="No",1,0))/
IF(DU109&gt;INT($N109),$N109-INT($N109),1))*
IF(EM$44=1,DU109,
IF(INT(DU109)=INT(DT109),0,DU109-INT(DU109)))))</f>
        <v>0</v>
      </c>
      <c r="EN109" s="833"/>
      <c r="EO109" s="834">
        <f>+IF(OR(DW109=DV109,EO$44=1),0,
IF(AND(EO$44&gt;1,DW109=$N109),1-SUM($EN109:EN109),
IF($N109&lt;=1,
IF($N109&gt;0,1/$N109,0),
IF(EO$44=2,0,VDB(1,0,$N109,INT(EO$44-2-1),MIN($N109,INT(EO$44-2-1)+1),$DC109,IF($DD109="No",1,0))/
IF(DV109&gt;=INT($N109),$N109-INT($N109),1)))*
IF(EO$44=2,0,
IF(INT(DW109)=INT(DV109),DW109-DV109,INT(DW109)-DV109))+
IF($N109&lt;=1,
IF($N109&gt;0,1/$N109,0),VDB(1,0,$N109,INT(EO$44-2),MIN($N109,INT(EO$44-2)+1),$DC109,IF($DD109="No",1,0))/
IF(DW109&gt;INT($N109),$N109-INT($N109),1))*
IF(EO$44=2,DW109,
IF(INT(DW109)=INT(DV109),0,DW109-INT(DW109)))))</f>
        <v>0</v>
      </c>
      <c r="EP109" s="835">
        <f>+IF(OR(DX109=DW109,EP$44=1),0,
IF(AND(EP$44&gt;1,DX109=$N109),1-SUM($EN109:EO109),
IF($N109&lt;=1,
IF($N109&gt;0,1/$N109,0),
IF(EP$44=2,0,VDB(1,0,$N109,INT(EP$44-2-1),MIN($N109,INT(EP$44-2-1)+1),$DC109,IF($DD109="No",1,0))/
IF(DW109&gt;=INT($N109),$N109-INT($N109),1)))*
IF(EP$44=2,0,
IF(INT(DX109)=INT(DW109),DX109-DW109,INT(DX109)-DW109))+
IF($N109&lt;=1,
IF($N109&gt;0,1/$N109,0),VDB(1,0,$N109,INT(EP$44-2),MIN($N109,INT(EP$44-2)+1),$DC109,IF($DD109="No",1,0))/
IF(DX109&gt;INT($N109),$N109-INT($N109),1))*
IF(EP$44=2,DX109,
IF(INT(DX109)=INT(DW109),0,DX109-INT(DX109)))))</f>
        <v>0</v>
      </c>
      <c r="EQ109" s="836">
        <f>+IF(OR(DY109=DX109,EQ$44=1),0,
IF(AND(EQ$44&gt;1,DY109=$N109),1-SUM($EN109:EP109),
IF($N109&lt;=1,
IF($N109&gt;0,1/$N109,0),
IF(EQ$44=2,0,VDB(1,0,$N109,INT(EQ$44-2-1),MIN($N109,INT(EQ$44-2-1)+1),$DC109,IF($DD109="No",1,0))/
IF(DX109&gt;=INT($N109),$N109-INT($N109),1)))*
IF(EQ$44=2,0,
IF(INT(DY109)=INT(DX109),DY109-DX109,INT(DY109)-DX109))+
IF($N109&lt;=1,
IF($N109&gt;0,1/$N109,0),VDB(1,0,$N109,INT(EQ$44-2),MIN($N109,INT(EQ$44-2)+1),$DC109,IF($DD109="No",1,0))/
IF(DY109&gt;INT($N109),$N109-INT($N109),1))*
IF(EQ$44=2,DY109,
IF(INT(DY109)=INT(DX109),0,DY109-INT(DY109)))))</f>
        <v>0</v>
      </c>
      <c r="ER109" s="834">
        <f>+IF(OR(DZ109=DY109,ER$44=1),0,
IF(AND(ER$44&gt;1,DZ109=$N109),1-SUM($EN109:EQ109),
IF($N109&lt;=1,
IF($N109&gt;0,1/$N109,0),
IF(ER$44=2,0,VDB(1,0,$N109,INT(ER$44-2-1),MIN($N109,INT(ER$44-2-1)+1),$DC109,IF($DD109="No",1,0))/
IF(DY109&gt;=INT($N109),$N109-INT($N109),1)))*
IF(ER$44=2,0,
IF(INT(DZ109)=INT(DY109),DZ109-DY109,INT(DZ109)-DY109))+
IF($N109&lt;=1,
IF($N109&gt;0,1/$N109,0),VDB(1,0,$N109,INT(ER$44-2),MIN($N109,INT(ER$44-2)+1),$DC109,IF($DD109="No",1,0))/
IF(DZ109&gt;INT($N109),$N109-INT($N109),1))*
IF(ER$44=2,DZ109,
IF(INT(DZ109)=INT(DY109),0,DZ109-INT(DZ109)))))</f>
        <v>0</v>
      </c>
      <c r="ES109" s="835">
        <f>+IF(OR(EA109=DZ109,ES$44=1),0,
IF(AND(ES$44&gt;1,EA109=$N109),1-SUM($EN109:ER109),
IF($N109&lt;=1,
IF($N109&gt;0,1/$N109,0),
IF(ES$44=2,0,VDB(1,0,$N109,INT(ES$44-2-1),MIN($N109,INT(ES$44-2-1)+1),$DC109,IF($DD109="No",1,0))/
IF(DZ109&gt;=INT($N109),$N109-INT($N109),1)))*
IF(ES$44=2,0,
IF(INT(EA109)=INT(DZ109),EA109-DZ109,INT(EA109)-DZ109))+
IF($N109&lt;=1,
IF($N109&gt;0,1/$N109,0),VDB(1,0,$N109,INT(ES$44-2),MIN($N109,INT(ES$44-2)+1),$DC109,IF($DD109="No",1,0))/
IF(EA109&gt;INT($N109),$N109-INT($N109),1))*
IF(ES$44=2,EA109,
IF(INT(EA109)=INT(DZ109),0,EA109-INT(EA109)))))</f>
        <v>0</v>
      </c>
      <c r="ET109" s="835">
        <f>+IF(OR(EB109=EA109,ET$44=1),0,
IF(AND(ET$44&gt;1,EB109=$N109),1-SUM($EN109:ES109),
IF($N109&lt;=1,
IF($N109&gt;0,1/$N109,0),
IF(ET$44=2,0,VDB(1,0,$N109,INT(ET$44-2-1),MIN($N109,INT(ET$44-2-1)+1),$DC109,IF($DD109="No",1,0))/
IF(EA109&gt;=INT($N109),$N109-INT($N109),1)))*
IF(ET$44=2,0,
IF(INT(EB109)=INT(EA109),EB109-EA109,INT(EB109)-EA109))+
IF($N109&lt;=1,
IF($N109&gt;0,1/$N109,0),VDB(1,0,$N109,INT(ET$44-2),MIN($N109,INT(ET$44-2)+1),$DC109,IF($DD109="No",1,0))/
IF(EB109&gt;INT($N109),$N109-INT($N109),1))*
IF(ET$44=2,EB109,
IF(INT(EB109)=INT(EA109),0,EB109-INT(EB109)))))</f>
        <v>0</v>
      </c>
      <c r="EU109" s="835">
        <f>+IF(OR(EC109=EB109,EU$44=1),0,
IF(AND(EU$44&gt;1,EC109=$N109),1-SUM($EN109:ET109),
IF($N109&lt;=1,
IF($N109&gt;0,1/$N109,0),
IF(EU$44=2,0,VDB(1,0,$N109,INT(EU$44-2-1),MIN($N109,INT(EU$44-2-1)+1),$DC109,IF($DD109="No",1,0))/
IF(EB109&gt;=INT($N109),$N109-INT($N109),1)))*
IF(EU$44=2,0,
IF(INT(EC109)=INT(EB109),EC109-EB109,INT(EC109)-EB109))+
IF($N109&lt;=1,
IF($N109&gt;0,1/$N109,0),VDB(1,0,$N109,INT(EU$44-2),MIN($N109,INT(EU$44-2)+1),$DC109,IF($DD109="No",1,0))/
IF(EC109&gt;INT($N109),$N109-INT($N109),1))*
IF(EU$44=2,EC109,
IF(INT(EC109)=INT(EB109),0,EC109-INT(EC109)))))</f>
        <v>0</v>
      </c>
      <c r="EV109" s="836">
        <f>+IF(OR(ED109=EC109,EV$44=1),0,
IF(AND(EV$44&gt;1,ED109=$N109),1-SUM($EN109:EU109),
IF($N109&lt;=1,
IF($N109&gt;0,1/$N109,0),
IF(EV$44=2,0,VDB(1,0,$N109,INT(EV$44-2-1),MIN($N109,INT(EV$44-2-1)+1),$DC109,IF($DD109="No",1,0))/
IF(EC109&gt;=INT($N109),$N109-INT($N109),1)))*
IF(EV$44=2,0,
IF(INT(ED109)=INT(EC109),ED109-EC109,INT(ED109)-EC109))+
IF($N109&lt;=1,
IF($N109&gt;0,1/$N109,0),VDB(1,0,$N109,INT(EV$44-2),MIN($N109,INT(EV$44-2)+1),$DC109,IF($DD109="No",1,0))/
IF(ED109&gt;INT($N109),$N109-INT($N109),1))*
IF(EV$44=2,ED109,
IF(INT(ED109)=INT(EC109),0,ED109-INT(ED109)))))</f>
        <v>0</v>
      </c>
      <c r="EW109" s="833"/>
      <c r="EX109" s="834">
        <f t="shared" ca="1" si="301"/>
        <v>0</v>
      </c>
      <c r="EY109" s="835">
        <f t="shared" ca="1" si="301"/>
        <v>0</v>
      </c>
      <c r="EZ109" s="836">
        <f t="shared" ca="1" si="301"/>
        <v>0</v>
      </c>
      <c r="FA109" s="834">
        <f t="shared" ca="1" si="301"/>
        <v>0</v>
      </c>
      <c r="FB109" s="835">
        <f t="shared" ca="1" si="301"/>
        <v>0</v>
      </c>
      <c r="FC109" s="835">
        <f t="shared" ca="1" si="301"/>
        <v>0</v>
      </c>
      <c r="FD109" s="835">
        <f t="shared" ca="1" si="301"/>
        <v>0</v>
      </c>
      <c r="FE109" s="836">
        <f t="shared" ca="1" si="301"/>
        <v>0</v>
      </c>
      <c r="FG109" s="386">
        <f t="shared" ca="1" si="293"/>
        <v>0</v>
      </c>
      <c r="FH109" s="387">
        <f t="shared" ca="1" si="294"/>
        <v>0</v>
      </c>
      <c r="FI109" s="388">
        <f t="shared" ca="1" si="295"/>
        <v>0</v>
      </c>
      <c r="FJ109" s="386">
        <f t="shared" ca="1" si="296"/>
        <v>0</v>
      </c>
      <c r="FK109" s="387">
        <f t="shared" ca="1" si="297"/>
        <v>0</v>
      </c>
      <c r="FL109" s="387">
        <f t="shared" ca="1" si="298"/>
        <v>0</v>
      </c>
      <c r="FM109" s="387">
        <f t="shared" ca="1" si="299"/>
        <v>0</v>
      </c>
      <c r="FN109" s="388">
        <f t="shared" ca="1" si="300"/>
        <v>0</v>
      </c>
      <c r="FR109" s="116"/>
    </row>
    <row r="110" spans="2:174">
      <c r="B110" s="1410">
        <f t="shared" si="135"/>
        <v>64</v>
      </c>
      <c r="C110" s="400" t="s">
        <v>600</v>
      </c>
      <c r="D110" s="410"/>
      <c r="E110" s="402" t="s">
        <v>401</v>
      </c>
      <c r="F110" s="402" t="s">
        <v>527</v>
      </c>
      <c r="G110" s="400" t="s">
        <v>525</v>
      </c>
      <c r="H110" s="2088" t="s">
        <v>483</v>
      </c>
      <c r="I110" s="2089"/>
      <c r="J110" s="411" t="s">
        <v>516</v>
      </c>
      <c r="K110" s="403" t="s">
        <v>544</v>
      </c>
      <c r="L110" s="403">
        <v>40</v>
      </c>
      <c r="M110" s="403" t="s">
        <v>142</v>
      </c>
      <c r="N110" s="403"/>
      <c r="O110" s="347"/>
      <c r="P110" s="347"/>
      <c r="Q110" s="1021">
        <v>1.3030718048780487</v>
      </c>
      <c r="R110" s="1022">
        <v>1.2712895657346817</v>
      </c>
      <c r="S110" s="1022">
        <v>1.2402825031557871</v>
      </c>
      <c r="T110" s="1022">
        <v>1.21003171039589</v>
      </c>
      <c r="U110" s="1023">
        <v>1.180518741849649</v>
      </c>
      <c r="V110" s="1021">
        <v>0</v>
      </c>
      <c r="W110" s="1022">
        <v>0</v>
      </c>
      <c r="X110" s="1022">
        <v>0</v>
      </c>
      <c r="Y110" s="1022">
        <v>0</v>
      </c>
      <c r="Z110" s="1023">
        <v>0</v>
      </c>
      <c r="AA110" s="1024"/>
      <c r="AB110" s="1021">
        <v>0</v>
      </c>
      <c r="AC110" s="1022">
        <v>0</v>
      </c>
      <c r="AD110" s="1022">
        <v>0</v>
      </c>
      <c r="AE110" s="1022">
        <v>0</v>
      </c>
      <c r="AF110" s="1023">
        <v>0</v>
      </c>
      <c r="AG110" s="1021">
        <v>0</v>
      </c>
      <c r="AH110" s="1022">
        <v>0</v>
      </c>
      <c r="AI110" s="1022">
        <v>0</v>
      </c>
      <c r="AJ110" s="1022">
        <v>0</v>
      </c>
      <c r="AK110" s="1023">
        <v>0</v>
      </c>
      <c r="AL110" s="1024"/>
      <c r="AM110" s="1021">
        <v>0</v>
      </c>
      <c r="AN110" s="1022">
        <v>0</v>
      </c>
      <c r="AO110" s="1022">
        <v>0</v>
      </c>
      <c r="AP110" s="1022">
        <v>0</v>
      </c>
      <c r="AQ110" s="1023">
        <v>0</v>
      </c>
      <c r="AR110" s="1021">
        <v>0</v>
      </c>
      <c r="AS110" s="1022">
        <v>0</v>
      </c>
      <c r="AT110" s="1022">
        <v>0</v>
      </c>
      <c r="AU110" s="1022">
        <v>0</v>
      </c>
      <c r="AV110" s="1023">
        <v>0</v>
      </c>
      <c r="AW110" s="1025"/>
      <c r="AX110" s="1282">
        <f t="shared" si="247"/>
        <v>1.3030718048780487</v>
      </c>
      <c r="AY110" s="387">
        <f t="shared" si="248"/>
        <v>1.2712895657346817</v>
      </c>
      <c r="AZ110" s="387">
        <f t="shared" si="249"/>
        <v>1.2402825031557871</v>
      </c>
      <c r="BA110" s="387">
        <f t="shared" si="250"/>
        <v>1.21003171039589</v>
      </c>
      <c r="BB110" s="1283">
        <f t="shared" si="251"/>
        <v>1.180518741849649</v>
      </c>
      <c r="BC110" s="386">
        <f t="shared" si="252"/>
        <v>0</v>
      </c>
      <c r="BD110" s="387">
        <f t="shared" si="253"/>
        <v>0</v>
      </c>
      <c r="BE110" s="1277">
        <f t="shared" si="254"/>
        <v>0</v>
      </c>
      <c r="BF110" s="1277">
        <f t="shared" si="255"/>
        <v>0</v>
      </c>
      <c r="BG110" s="388">
        <f t="shared" si="256"/>
        <v>0</v>
      </c>
      <c r="BH110" s="1025"/>
      <c r="BI110" s="1282">
        <f t="shared" ca="1" si="257"/>
        <v>1.6288397560975609E-2</v>
      </c>
      <c r="BJ110" s="387">
        <f t="shared" ca="1" si="258"/>
        <v>4.8467914693634741E-2</v>
      </c>
      <c r="BK110" s="387">
        <f t="shared" ca="1" si="259"/>
        <v>7.9862565554765605E-2</v>
      </c>
      <c r="BL110" s="387">
        <f t="shared" ca="1" si="260"/>
        <v>0.11049149322416156</v>
      </c>
      <c r="BM110" s="1283">
        <f t="shared" ca="1" si="261"/>
        <v>0.14037337387723081</v>
      </c>
      <c r="BN110" s="386">
        <f t="shared" ca="1" si="262"/>
        <v>0.15512985815035144</v>
      </c>
      <c r="BO110" s="387">
        <f t="shared" ca="1" si="263"/>
        <v>0.15512985815035144</v>
      </c>
      <c r="BP110" s="1277">
        <f t="shared" ca="1" si="264"/>
        <v>0.15512985815035144</v>
      </c>
      <c r="BQ110" s="1277">
        <f t="shared" ca="1" si="265"/>
        <v>0.15512985815035144</v>
      </c>
      <c r="BR110" s="388">
        <f t="shared" ca="1" si="266"/>
        <v>0.15512985815035144</v>
      </c>
      <c r="BS110" s="1025"/>
      <c r="BT110" s="1282">
        <f>+IF($K110="Ongoing",AX110,IF(RIGHT($K110,2)=RIGHT(BT$43,2),SUM($AX110:AX110),0)+IF(RIGHT(BT$43,2)&gt;RIGHT($K110,2),AX110,0))</f>
        <v>1.3030718048780487</v>
      </c>
      <c r="BU110" s="387">
        <f>+IF($K110="Ongoing",AY110,IF(RIGHT($K110,2)=RIGHT(BU$43,2),SUM($AX110:AY110),0)+IF(RIGHT(BU$43,2)&gt;RIGHT($K110,2),AY110,0))</f>
        <v>1.2712895657346817</v>
      </c>
      <c r="BV110" s="387">
        <f>+IF($K110="Ongoing",AZ110,IF(RIGHT($K110,2)=RIGHT(BV$43,2),SUM($AX110:AZ110),0)+IF(RIGHT(BV$43,2)&gt;RIGHT($K110,2),AZ110,0))</f>
        <v>1.2402825031557871</v>
      </c>
      <c r="BW110" s="387">
        <f>+IF($K110="Ongoing",BA110,IF(RIGHT($K110,2)=RIGHT(BW$43,2),SUM($AX110:BA110),0)+IF(RIGHT(BW$43,2)&gt;RIGHT($K110,2),BA110,0))</f>
        <v>1.21003171039589</v>
      </c>
      <c r="BX110" s="1283">
        <f>+IF($K110="Ongoing",BB110,IF(RIGHT($K110,2)=RIGHT(BX$43,2),SUM($AX110:BB110),0)+IF(RIGHT(BX$43,2)&gt;RIGHT($K110,2),BB110,0))</f>
        <v>1.180518741849649</v>
      </c>
      <c r="BY110" s="386">
        <f>+IF($K110="Ongoing",BC110,IF(RIGHT($K110,2)=RIGHT(BY$43,2),SUM($AX110:BC110),0)+IF(RIGHT(BY$43,2)&gt;RIGHT($K110,2),BC110,0))</f>
        <v>0</v>
      </c>
      <c r="BZ110" s="387">
        <f>+IF($K110="Ongoing",BD110,IF(RIGHT($K110,2)=RIGHT(BZ$43,2),SUM($AX110:BD110),0)+IF(RIGHT(BZ$43,2)&gt;RIGHT($K110,2),BD110,0))</f>
        <v>0</v>
      </c>
      <c r="CA110" s="1277">
        <f>+IF($K110="Ongoing",BE110,IF(RIGHT($K110,2)=RIGHT(CA$43,2),SUM($AX110:BE110),0)+IF(RIGHT(CA$43,2)&gt;RIGHT($K110,2),BE110,0))</f>
        <v>0</v>
      </c>
      <c r="CB110" s="1277">
        <f>+IF($K110="Ongoing",BF110,IF(RIGHT($K110,2)=RIGHT(CB$43,2),SUM($AX110:BF110),0)+IF(RIGHT(CB$43,2)&gt;RIGHT($K110,2),BF110,0))</f>
        <v>0</v>
      </c>
      <c r="CC110" s="388">
        <f>+IF($K110="Ongoing",BG110,IF(RIGHT($K110,2)=RIGHT(CC$43,2),SUM($AX110:BG110),0)+IF(RIGHT(CC$43,2)&gt;RIGHT($K110,2),BG110,0))</f>
        <v>0</v>
      </c>
      <c r="CD110" s="1025"/>
      <c r="CE110" s="1282">
        <f>+Q110*KeyAssumptionsPriceControl_FO!AF$15</f>
        <v>1.340860887219512</v>
      </c>
      <c r="CF110" s="387">
        <f>+R110*KeyAssumptionsPriceControl_FO!AG$15</f>
        <v>1.3460935150720759</v>
      </c>
      <c r="CG110" s="387">
        <f>+S110*KeyAssumptionsPriceControl_FO!AH$15</f>
        <v>1.3513465629357719</v>
      </c>
      <c r="CH110" s="387">
        <f>+T110*KeyAssumptionsPriceControl_FO!AI$15</f>
        <v>1.3566201104984481</v>
      </c>
      <c r="CI110" s="1283">
        <f>+U110*KeyAssumptionsPriceControl_FO!AJ$15</f>
        <v>1.3619142377589302</v>
      </c>
      <c r="CJ110" s="386">
        <f>+V110*KeyAssumptionsPriceControl_FO!AK$15</f>
        <v>0</v>
      </c>
      <c r="CK110" s="387">
        <f>+W110*KeyAssumptionsPriceControl_FO!AL$15</f>
        <v>0</v>
      </c>
      <c r="CL110" s="1277">
        <f>+X110*KeyAssumptionsPriceControl_FO!AM$15</f>
        <v>0</v>
      </c>
      <c r="CM110" s="1277">
        <f>+Y110*KeyAssumptionsPriceControl_FO!AN$15</f>
        <v>0</v>
      </c>
      <c r="CN110" s="388">
        <f>+Z110*KeyAssumptionsPriceControl_FO!AO$15</f>
        <v>0</v>
      </c>
      <c r="CO110" s="1025"/>
      <c r="CP110" s="1282">
        <f t="shared" ca="1" si="267"/>
        <v>0</v>
      </c>
      <c r="CQ110" s="387">
        <f t="shared" ca="1" si="268"/>
        <v>0</v>
      </c>
      <c r="CR110" s="387">
        <f t="shared" ca="1" si="269"/>
        <v>0</v>
      </c>
      <c r="CS110" s="387">
        <f t="shared" ca="1" si="270"/>
        <v>0</v>
      </c>
      <c r="CT110" s="1283">
        <f t="shared" ca="1" si="271"/>
        <v>0</v>
      </c>
      <c r="CU110" s="386">
        <f t="shared" ca="1" si="272"/>
        <v>0</v>
      </c>
      <c r="CV110" s="387">
        <f t="shared" ca="1" si="273"/>
        <v>0</v>
      </c>
      <c r="CW110" s="1277">
        <f t="shared" ca="1" si="274"/>
        <v>0</v>
      </c>
      <c r="CX110" s="1277">
        <f t="shared" ca="1" si="275"/>
        <v>0</v>
      </c>
      <c r="CY110" s="388">
        <f t="shared" ca="1" si="276"/>
        <v>0</v>
      </c>
      <c r="CZ110" s="347"/>
      <c r="DA110" s="852"/>
      <c r="DB110" s="347"/>
      <c r="DC110" s="1012" t="s">
        <v>602</v>
      </c>
      <c r="DD110" s="841" t="s">
        <v>518</v>
      </c>
      <c r="DE110" s="386">
        <f>+IF($K110="ongoing",CE110,IF(RIGHT($K110,2)=RIGHT(DE$43,2),SUM($CD110:CE110),0)+IF(RIGHT(DE$43,2)&gt;RIGHT($K110,2),CE110,0))</f>
        <v>1.340860887219512</v>
      </c>
      <c r="DF110" s="387">
        <f>+IF($K110="ongoing",CF110,IF(RIGHT($K110,2)=RIGHT(DF$43,2),SUM($CD110:CF110),0)+IF(RIGHT(DF$43,2)&gt;RIGHT($K110,2),CF110,0))</f>
        <v>1.3460935150720759</v>
      </c>
      <c r="DG110" s="388">
        <f>+IF($K110="ongoing",CG110,IF(RIGHT($K110,2)=RIGHT(DG$43,2),SUM($CD110:CG110),0)+IF(RIGHT(DG$43,2)&gt;RIGHT($K110,2),CG110,0))</f>
        <v>1.3513465629357719</v>
      </c>
      <c r="DH110" s="386">
        <f>+IF($K110="ongoing",CH110,IF(RIGHT($K110,2)=RIGHT(DH$43,2),SUM($CD110:CH110),0)+IF(RIGHT(DH$43,2)&gt;RIGHT($K110,2),CH110,0))</f>
        <v>1.3566201104984481</v>
      </c>
      <c r="DI110" s="387">
        <f>+IF($K110="ongoing",CI110,IF(RIGHT($K110,2)=RIGHT(DI$43,2),SUM($CD110:CI110),0)+IF(RIGHT(DI$43,2)&gt;RIGHT($K110,2),CI110,0))</f>
        <v>1.3619142377589302</v>
      </c>
      <c r="DJ110" s="387">
        <f>+IF($K110="ongoing",CJ110,IF(RIGHT($K110,2)=RIGHT(DJ$43,2),SUM($CD110:CJ110),0)+IF(RIGHT(DJ$43,2)&gt;RIGHT($K110,2),CJ110,0))</f>
        <v>0</v>
      </c>
      <c r="DK110" s="387">
        <f>+IF($K110="ongoing",CK110,IF(RIGHT($K110,2)=RIGHT(DK$43,2),SUM($CD110:CK110),0)+IF(RIGHT(DK$43,2)&gt;RIGHT($K110,2),CK110,0))</f>
        <v>0</v>
      </c>
      <c r="DL110" s="388">
        <f>+IF($K110="ongoing",CN110,IF(RIGHT($K110,2)=RIGHT(DL$43,2),SUM($CD110:CN110),0)+IF(RIGHT(DL$43,2)&gt;RIGHT($K110,2),CN110,0))</f>
        <v>0</v>
      </c>
      <c r="DM110" s="841"/>
      <c r="DN110" s="386">
        <f t="shared" si="277"/>
        <v>0.5</v>
      </c>
      <c r="DO110" s="387">
        <f t="shared" si="278"/>
        <v>1</v>
      </c>
      <c r="DP110" s="388">
        <f t="shared" si="279"/>
        <v>1</v>
      </c>
      <c r="DQ110" s="386">
        <f t="shared" si="280"/>
        <v>1</v>
      </c>
      <c r="DR110" s="387">
        <f t="shared" si="281"/>
        <v>1</v>
      </c>
      <c r="DS110" s="387">
        <f t="shared" si="282"/>
        <v>1</v>
      </c>
      <c r="DT110" s="387">
        <f t="shared" si="283"/>
        <v>1</v>
      </c>
      <c r="DU110" s="388">
        <f t="shared" si="284"/>
        <v>1</v>
      </c>
      <c r="DW110" s="386">
        <f t="shared" si="285"/>
        <v>0</v>
      </c>
      <c r="DX110" s="387">
        <f t="shared" si="286"/>
        <v>0.5</v>
      </c>
      <c r="DY110" s="388">
        <f t="shared" si="287"/>
        <v>1</v>
      </c>
      <c r="DZ110" s="386">
        <f t="shared" si="288"/>
        <v>1</v>
      </c>
      <c r="EA110" s="387">
        <f t="shared" si="289"/>
        <v>1</v>
      </c>
      <c r="EB110" s="387">
        <f t="shared" si="290"/>
        <v>1</v>
      </c>
      <c r="EC110" s="387">
        <f t="shared" si="291"/>
        <v>1</v>
      </c>
      <c r="ED110" s="388">
        <f t="shared" si="292"/>
        <v>1</v>
      </c>
      <c r="EF110" s="834">
        <f>+IF(DN110=DM110,0,
IF(AND(EF$44&gt;1,DN110=$N110),1-SUM($EE110:EE110),
IF($N110&lt;=1,
IF($N110&gt;0,1/$N110,0),
IF(EF$44=1,0,VDB(1,0,$N110,INT(EF$44-1-1),MIN($N110,INT(EF$44-1-1)+1),$DC110,IF($DD110="No",1,0))/
IF(DM110&gt;=INT($N110),$N110-INT($N110),1)))*
IF(EF$44=1,0,
IF(INT(DN110)=INT(DM110),DN110-DM110,INT(DN110)-DM110))+
IF($N110&lt;=1,
IF($N110&gt;0,1/$N110,0),VDB(1,0,$N110,INT(EF$44-1),MIN($N110,INT(EF$44-1)+1),$DC110,IF($DD110="No",1,0))/
IF(DN110&gt;INT($N110),$N110-INT($N110),1))*
IF(EF$44=1,DN110,
IF(INT(DN110)=INT(DM110),0,DN110-INT(DN110)))))</f>
        <v>0</v>
      </c>
      <c r="EG110" s="835">
        <f>+IF(DO110=DN110,0,
IF(AND(EG$44&gt;1,DO110=$N110),1-SUM($EE110:EF110),
IF($N110&lt;=1,
IF($N110&gt;0,1/$N110,0),
IF(EG$44=1,0,VDB(1,0,$N110,INT(EG$44-1-1),MIN($N110,INT(EG$44-1-1)+1),$DC110,IF($DD110="No",1,0))/
IF(DN110&gt;=INT($N110),$N110-INT($N110),1)))*
IF(EG$44=1,0,
IF(INT(DO110)=INT(DN110),DO110-DN110,INT(DO110)-DN110))+
IF($N110&lt;=1,
IF($N110&gt;0,1/$N110,0),VDB(1,0,$N110,INT(EG$44-1),MIN($N110,INT(EG$44-1)+1),$DC110,IF($DD110="No",1,0))/
IF(DO110&gt;INT($N110),$N110-INT($N110),1))*
IF(EG$44=1,DO110,
IF(INT(DO110)=INT(DN110),0,DO110-INT(DO110)))))</f>
        <v>0</v>
      </c>
      <c r="EH110" s="836">
        <f>+IF(DP110=DO110,0,
IF(AND(EH$44&gt;1,DP110=$N110),1-SUM($EE110:EG110),
IF($N110&lt;=1,
IF($N110&gt;0,1/$N110,0),
IF(EH$44=1,0,VDB(1,0,$N110,INT(EH$44-1-1),MIN($N110,INT(EH$44-1-1)+1),$DC110,IF($DD110="No",1,0))/
IF(DO110&gt;=INT($N110),$N110-INT($N110),1)))*
IF(EH$44=1,0,
IF(INT(DP110)=INT(DO110),DP110-DO110,INT(DP110)-DO110))+
IF($N110&lt;=1,
IF($N110&gt;0,1/$N110,0),VDB(1,0,$N110,INT(EH$44-1),MIN($N110,INT(EH$44-1)+1),$DC110,IF($DD110="No",1,0))/
IF(DP110&gt;INT($N110),$N110-INT($N110),1))*
IF(EH$44=1,DP110,
IF(INT(DP110)=INT(DO110),0,DP110-INT(DP110)))))</f>
        <v>0</v>
      </c>
      <c r="EI110" s="834">
        <f>+IF(DQ110=DP110,0,
IF(AND(EI$44&gt;1,DQ110=$N110),1-SUM($EE110:EH110),
IF($N110&lt;=1,
IF($N110&gt;0,1/$N110,0),
IF(EI$44=1,0,VDB(1,0,$N110,INT(EI$44-1-1),MIN($N110,INT(EI$44-1-1)+1),$DC110,IF($DD110="No",1,0))/
IF(DP110&gt;=INT($N110),$N110-INT($N110),1)))*
IF(EI$44=1,0,
IF(INT(DQ110)=INT(DP110),DQ110-DP110,INT(DQ110)-DP110))+
IF($N110&lt;=1,
IF($N110&gt;0,1/$N110,0),VDB(1,0,$N110,INT(EI$44-1),MIN($N110,INT(EI$44-1)+1),$DC110,IF($DD110="No",1,0))/
IF(DQ110&gt;INT($N110),$N110-INT($N110),1))*
IF(EI$44=1,DQ110,
IF(INT(DQ110)=INT(DP110),0,DQ110-INT(DQ110)))))</f>
        <v>0</v>
      </c>
      <c r="EJ110" s="835">
        <f>+IF(DR110=DQ110,0,
IF(AND(EJ$44&gt;1,DR110=$N110),1-SUM($EE110:EI110),
IF($N110&lt;=1,
IF($N110&gt;0,1/$N110,0),
IF(EJ$44=1,0,VDB(1,0,$N110,INT(EJ$44-1-1),MIN($N110,INT(EJ$44-1-1)+1),$DC110,IF($DD110="No",1,0))/
IF(DQ110&gt;=INT($N110),$N110-INT($N110),1)))*
IF(EJ$44=1,0,
IF(INT(DR110)=INT(DQ110),DR110-DQ110,INT(DR110)-DQ110))+
IF($N110&lt;=1,
IF($N110&gt;0,1/$N110,0),VDB(1,0,$N110,INT(EJ$44-1),MIN($N110,INT(EJ$44-1)+1),$DC110,IF($DD110="No",1,0))/
IF(DR110&gt;INT($N110),$N110-INT($N110),1))*
IF(EJ$44=1,DR110,
IF(INT(DR110)=INT(DQ110),0,DR110-INT(DR110)))))</f>
        <v>0</v>
      </c>
      <c r="EK110" s="835">
        <f>+IF(DS110=DR110,0,
IF(AND(EK$44&gt;1,DS110=$N110),1-SUM($EE110:EJ110),
IF($N110&lt;=1,
IF($N110&gt;0,1/$N110,0),
IF(EK$44=1,0,VDB(1,0,$N110,INT(EK$44-1-1),MIN($N110,INT(EK$44-1-1)+1),$DC110,IF($DD110="No",1,0))/
IF(DR110&gt;=INT($N110),$N110-INT($N110),1)))*
IF(EK$44=1,0,
IF(INT(DS110)=INT(DR110),DS110-DR110,INT(DS110)-DR110))+
IF($N110&lt;=1,
IF($N110&gt;0,1/$N110,0),VDB(1,0,$N110,INT(EK$44-1),MIN($N110,INT(EK$44-1)+1),$DC110,IF($DD110="No",1,0))/
IF(DS110&gt;INT($N110),$N110-INT($N110),1))*
IF(EK$44=1,DS110,
IF(INT(DS110)=INT(DR110),0,DS110-INT(DS110)))))</f>
        <v>0</v>
      </c>
      <c r="EL110" s="835">
        <f>+IF(DT110=DS110,0,
IF(AND(EL$44&gt;1,DT110=$N110),1-SUM($EE110:EK110),
IF($N110&lt;=1,
IF($N110&gt;0,1/$N110,0),
IF(EL$44=1,0,VDB(1,0,$N110,INT(EL$44-1-1),MIN($N110,INT(EL$44-1-1)+1),$DC110,IF($DD110="No",1,0))/
IF(DS110&gt;=INT($N110),$N110-INT($N110),1)))*
IF(EL$44=1,0,
IF(INT(DT110)=INT(DS110),DT110-DS110,INT(DT110)-DS110))+
IF($N110&lt;=1,
IF($N110&gt;0,1/$N110,0),VDB(1,0,$N110,INT(EL$44-1),MIN($N110,INT(EL$44-1)+1),$DC110,IF($DD110="No",1,0))/
IF(DT110&gt;INT($N110),$N110-INT($N110),1))*
IF(EL$44=1,DT110,
IF(INT(DT110)=INT(DS110),0,DT110-INT(DT110)))))</f>
        <v>0</v>
      </c>
      <c r="EM110" s="836">
        <f>+IF(DU110=DT110,0,
IF(AND(EM$44&gt;1,DU110=$N110),1-SUM($EE110:EL110),
IF($N110&lt;=1,
IF($N110&gt;0,1/$N110,0),
IF(EM$44=1,0,VDB(1,0,$N110,INT(EM$44-1-1),MIN($N110,INT(EM$44-1-1)+1),$DC110,IF($DD110="No",1,0))/
IF(DT110&gt;=INT($N110),$N110-INT($N110),1)))*
IF(EM$44=1,0,
IF(INT(DU110)=INT(DT110),DU110-DT110,INT(DU110)-DT110))+
IF($N110&lt;=1,
IF($N110&gt;0,1/$N110,0),VDB(1,0,$N110,INT(EM$44-1),MIN($N110,INT(EM$44-1)+1),$DC110,IF($DD110="No",1,0))/
IF(DU110&gt;INT($N110),$N110-INT($N110),1))*
IF(EM$44=1,DU110,
IF(INT(DU110)=INT(DT110),0,DU110-INT(DU110)))))</f>
        <v>0</v>
      </c>
      <c r="EN110" s="833"/>
      <c r="EO110" s="834">
        <f>+IF(OR(DW110=DV110,EO$44=1),0,
IF(AND(EO$44&gt;1,DW110=$N110),1-SUM($EN110:EN110),
IF($N110&lt;=1,
IF($N110&gt;0,1/$N110,0),
IF(EO$44=2,0,VDB(1,0,$N110,INT(EO$44-2-1),MIN($N110,INT(EO$44-2-1)+1),$DC110,IF($DD110="No",1,0))/
IF(DV110&gt;=INT($N110),$N110-INT($N110),1)))*
IF(EO$44=2,0,
IF(INT(DW110)=INT(DV110),DW110-DV110,INT(DW110)-DV110))+
IF($N110&lt;=1,
IF($N110&gt;0,1/$N110,0),VDB(1,0,$N110,INT(EO$44-2),MIN($N110,INT(EO$44-2)+1),$DC110,IF($DD110="No",1,0))/
IF(DW110&gt;INT($N110),$N110-INT($N110),1))*
IF(EO$44=2,DW110,
IF(INT(DW110)=INT(DV110),0,DW110-INT(DW110)))))</f>
        <v>0</v>
      </c>
      <c r="EP110" s="835">
        <f>+IF(OR(DX110=DW110,EP$44=1),0,
IF(AND(EP$44&gt;1,DX110=$N110),1-SUM($EN110:EO110),
IF($N110&lt;=1,
IF($N110&gt;0,1/$N110,0),
IF(EP$44=2,0,VDB(1,0,$N110,INT(EP$44-2-1),MIN($N110,INT(EP$44-2-1)+1),$DC110,IF($DD110="No",1,0))/
IF(DW110&gt;=INT($N110),$N110-INT($N110),1)))*
IF(EP$44=2,0,
IF(INT(DX110)=INT(DW110),DX110-DW110,INT(DX110)-DW110))+
IF($N110&lt;=1,
IF($N110&gt;0,1/$N110,0),VDB(1,0,$N110,INT(EP$44-2),MIN($N110,INT(EP$44-2)+1),$DC110,IF($DD110="No",1,0))/
IF(DX110&gt;INT($N110),$N110-INT($N110),1))*
IF(EP$44=2,DX110,
IF(INT(DX110)=INT(DW110),0,DX110-INT(DX110)))))</f>
        <v>0</v>
      </c>
      <c r="EQ110" s="836">
        <f>+IF(OR(DY110=DX110,EQ$44=1),0,
IF(AND(EQ$44&gt;1,DY110=$N110),1-SUM($EN110:EP110),
IF($N110&lt;=1,
IF($N110&gt;0,1/$N110,0),
IF(EQ$44=2,0,VDB(1,0,$N110,INT(EQ$44-2-1),MIN($N110,INT(EQ$44-2-1)+1),$DC110,IF($DD110="No",1,0))/
IF(DX110&gt;=INT($N110),$N110-INT($N110),1)))*
IF(EQ$44=2,0,
IF(INT(DY110)=INT(DX110),DY110-DX110,INT(DY110)-DX110))+
IF($N110&lt;=1,
IF($N110&gt;0,1/$N110,0),VDB(1,0,$N110,INT(EQ$44-2),MIN($N110,INT(EQ$44-2)+1),$DC110,IF($DD110="No",1,0))/
IF(DY110&gt;INT($N110),$N110-INT($N110),1))*
IF(EQ$44=2,DY110,
IF(INT(DY110)=INT(DX110),0,DY110-INT(DY110)))))</f>
        <v>0</v>
      </c>
      <c r="ER110" s="834">
        <f>+IF(OR(DZ110=DY110,ER$44=1),0,
IF(AND(ER$44&gt;1,DZ110=$N110),1-SUM($EN110:EQ110),
IF($N110&lt;=1,
IF($N110&gt;0,1/$N110,0),
IF(ER$44=2,0,VDB(1,0,$N110,INT(ER$44-2-1),MIN($N110,INT(ER$44-2-1)+1),$DC110,IF($DD110="No",1,0))/
IF(DY110&gt;=INT($N110),$N110-INT($N110),1)))*
IF(ER$44=2,0,
IF(INT(DZ110)=INT(DY110),DZ110-DY110,INT(DZ110)-DY110))+
IF($N110&lt;=1,
IF($N110&gt;0,1/$N110,0),VDB(1,0,$N110,INT(ER$44-2),MIN($N110,INT(ER$44-2)+1),$DC110,IF($DD110="No",1,0))/
IF(DZ110&gt;INT($N110),$N110-INT($N110),1))*
IF(ER$44=2,DZ110,
IF(INT(DZ110)=INT(DY110),0,DZ110-INT(DZ110)))))</f>
        <v>0</v>
      </c>
      <c r="ES110" s="835">
        <f>+IF(OR(EA110=DZ110,ES$44=1),0,
IF(AND(ES$44&gt;1,EA110=$N110),1-SUM($EN110:ER110),
IF($N110&lt;=1,
IF($N110&gt;0,1/$N110,0),
IF(ES$44=2,0,VDB(1,0,$N110,INT(ES$44-2-1),MIN($N110,INT(ES$44-2-1)+1),$DC110,IF($DD110="No",1,0))/
IF(DZ110&gt;=INT($N110),$N110-INT($N110),1)))*
IF(ES$44=2,0,
IF(INT(EA110)=INT(DZ110),EA110-DZ110,INT(EA110)-DZ110))+
IF($N110&lt;=1,
IF($N110&gt;0,1/$N110,0),VDB(1,0,$N110,INT(ES$44-2),MIN($N110,INT(ES$44-2)+1),$DC110,IF($DD110="No",1,0))/
IF(EA110&gt;INT($N110),$N110-INT($N110),1))*
IF(ES$44=2,EA110,
IF(INT(EA110)=INT(DZ110),0,EA110-INT(EA110)))))</f>
        <v>0</v>
      </c>
      <c r="ET110" s="835">
        <f>+IF(OR(EB110=EA110,ET$44=1),0,
IF(AND(ET$44&gt;1,EB110=$N110),1-SUM($EN110:ES110),
IF($N110&lt;=1,
IF($N110&gt;0,1/$N110,0),
IF(ET$44=2,0,VDB(1,0,$N110,INT(ET$44-2-1),MIN($N110,INT(ET$44-2-1)+1),$DC110,IF($DD110="No",1,0))/
IF(EA110&gt;=INT($N110),$N110-INT($N110),1)))*
IF(ET$44=2,0,
IF(INT(EB110)=INT(EA110),EB110-EA110,INT(EB110)-EA110))+
IF($N110&lt;=1,
IF($N110&gt;0,1/$N110,0),VDB(1,0,$N110,INT(ET$44-2),MIN($N110,INT(ET$44-2)+1),$DC110,IF($DD110="No",1,0))/
IF(EB110&gt;INT($N110),$N110-INT($N110),1))*
IF(ET$44=2,EB110,
IF(INT(EB110)=INT(EA110),0,EB110-INT(EB110)))))</f>
        <v>0</v>
      </c>
      <c r="EU110" s="835">
        <f>+IF(OR(EC110=EB110,EU$44=1),0,
IF(AND(EU$44&gt;1,EC110=$N110),1-SUM($EN110:ET110),
IF($N110&lt;=1,
IF($N110&gt;0,1/$N110,0),
IF(EU$44=2,0,VDB(1,0,$N110,INT(EU$44-2-1),MIN($N110,INT(EU$44-2-1)+1),$DC110,IF($DD110="No",1,0))/
IF(EB110&gt;=INT($N110),$N110-INT($N110),1)))*
IF(EU$44=2,0,
IF(INT(EC110)=INT(EB110),EC110-EB110,INT(EC110)-EB110))+
IF($N110&lt;=1,
IF($N110&gt;0,1/$N110,0),VDB(1,0,$N110,INT(EU$44-2),MIN($N110,INT(EU$44-2)+1),$DC110,IF($DD110="No",1,0))/
IF(EC110&gt;INT($N110),$N110-INT($N110),1))*
IF(EU$44=2,EC110,
IF(INT(EC110)=INT(EB110),0,EC110-INT(EC110)))))</f>
        <v>0</v>
      </c>
      <c r="EV110" s="836">
        <f>+IF(OR(ED110=EC110,EV$44=1),0,
IF(AND(EV$44&gt;1,ED110=$N110),1-SUM($EN110:EU110),
IF($N110&lt;=1,
IF($N110&gt;0,1/$N110,0),
IF(EV$44=2,0,VDB(1,0,$N110,INT(EV$44-2-1),MIN($N110,INT(EV$44-2-1)+1),$DC110,IF($DD110="No",1,0))/
IF(EC110&gt;=INT($N110),$N110-INT($N110),1)))*
IF(EV$44=2,0,
IF(INT(ED110)=INT(EC110),ED110-EC110,INT(ED110)-EC110))+
IF($N110&lt;=1,
IF($N110&gt;0,1/$N110,0),VDB(1,0,$N110,INT(EV$44-2),MIN($N110,INT(EV$44-2)+1),$DC110,IF($DD110="No",1,0))/
IF(ED110&gt;INT($N110),$N110-INT($N110),1))*
IF(EV$44=2,ED110,
IF(INT(ED110)=INT(EC110),0,ED110-INT(ED110)))))</f>
        <v>0</v>
      </c>
      <c r="EW110" s="833"/>
      <c r="EX110" s="834">
        <f t="shared" ca="1" si="301"/>
        <v>0</v>
      </c>
      <c r="EY110" s="835">
        <f t="shared" ca="1" si="301"/>
        <v>0</v>
      </c>
      <c r="EZ110" s="836">
        <f t="shared" ca="1" si="301"/>
        <v>0</v>
      </c>
      <c r="FA110" s="834">
        <f t="shared" ca="1" si="301"/>
        <v>0</v>
      </c>
      <c r="FB110" s="835">
        <f t="shared" ca="1" si="301"/>
        <v>0</v>
      </c>
      <c r="FC110" s="835">
        <f t="shared" ca="1" si="301"/>
        <v>0</v>
      </c>
      <c r="FD110" s="835">
        <f t="shared" ca="1" si="301"/>
        <v>0</v>
      </c>
      <c r="FE110" s="836">
        <f t="shared" ca="1" si="301"/>
        <v>0</v>
      </c>
      <c r="FG110" s="386">
        <f t="shared" ca="1" si="293"/>
        <v>0</v>
      </c>
      <c r="FH110" s="387">
        <f t="shared" ca="1" si="294"/>
        <v>0</v>
      </c>
      <c r="FI110" s="388">
        <f t="shared" ca="1" si="295"/>
        <v>0</v>
      </c>
      <c r="FJ110" s="386">
        <f t="shared" ca="1" si="296"/>
        <v>0</v>
      </c>
      <c r="FK110" s="387">
        <f t="shared" ca="1" si="297"/>
        <v>0</v>
      </c>
      <c r="FL110" s="387">
        <f t="shared" ca="1" si="298"/>
        <v>0</v>
      </c>
      <c r="FM110" s="387">
        <f t="shared" ca="1" si="299"/>
        <v>0</v>
      </c>
      <c r="FN110" s="388">
        <f t="shared" ca="1" si="300"/>
        <v>0</v>
      </c>
      <c r="FR110" s="116"/>
    </row>
    <row r="111" spans="2:174">
      <c r="B111" s="1410">
        <f t="shared" si="135"/>
        <v>65</v>
      </c>
      <c r="C111" s="400" t="s">
        <v>600</v>
      </c>
      <c r="D111" s="410"/>
      <c r="E111" s="402" t="s">
        <v>401</v>
      </c>
      <c r="F111" s="402" t="s">
        <v>527</v>
      </c>
      <c r="G111" s="400" t="s">
        <v>525</v>
      </c>
      <c r="H111" s="2088" t="s">
        <v>483</v>
      </c>
      <c r="I111" s="2089"/>
      <c r="J111" s="411" t="s">
        <v>516</v>
      </c>
      <c r="K111" s="403" t="s">
        <v>544</v>
      </c>
      <c r="L111" s="403">
        <v>110</v>
      </c>
      <c r="M111" s="403" t="s">
        <v>142</v>
      </c>
      <c r="N111" s="403"/>
      <c r="O111" s="347"/>
      <c r="P111" s="347"/>
      <c r="Q111" s="1021">
        <v>10.39997736585366</v>
      </c>
      <c r="R111" s="1022">
        <v>12.790924640095183</v>
      </c>
      <c r="S111" s="1022">
        <v>14.332426675178832</v>
      </c>
      <c r="T111" s="1022">
        <v>16.376815159102279</v>
      </c>
      <c r="U111" s="1023">
        <v>18.24269098000202</v>
      </c>
      <c r="V111" s="1021">
        <v>13.526780227979431</v>
      </c>
      <c r="W111" s="1022">
        <v>10.224351526460975</v>
      </c>
      <c r="X111" s="1022">
        <v>9.3583649737727175</v>
      </c>
      <c r="Y111" s="1022">
        <v>8.8239424702149662</v>
      </c>
      <c r="Z111" s="1023">
        <v>51.471219068084679</v>
      </c>
      <c r="AA111" s="1024"/>
      <c r="AB111" s="1021">
        <v>0</v>
      </c>
      <c r="AC111" s="1022">
        <v>0</v>
      </c>
      <c r="AD111" s="1022">
        <v>0</v>
      </c>
      <c r="AE111" s="1022">
        <v>0</v>
      </c>
      <c r="AF111" s="1023">
        <v>0</v>
      </c>
      <c r="AG111" s="1021">
        <v>0</v>
      </c>
      <c r="AH111" s="1022">
        <v>0</v>
      </c>
      <c r="AI111" s="1022">
        <v>0</v>
      </c>
      <c r="AJ111" s="1022">
        <v>0</v>
      </c>
      <c r="AK111" s="1023">
        <v>0</v>
      </c>
      <c r="AL111" s="1024"/>
      <c r="AM111" s="1021">
        <v>0</v>
      </c>
      <c r="AN111" s="1022">
        <v>0</v>
      </c>
      <c r="AO111" s="1022">
        <v>0</v>
      </c>
      <c r="AP111" s="1022">
        <v>0</v>
      </c>
      <c r="AQ111" s="1023">
        <v>0</v>
      </c>
      <c r="AR111" s="1021">
        <v>0</v>
      </c>
      <c r="AS111" s="1022">
        <v>0</v>
      </c>
      <c r="AT111" s="1022">
        <v>0</v>
      </c>
      <c r="AU111" s="1022">
        <v>0</v>
      </c>
      <c r="AV111" s="1023">
        <v>0</v>
      </c>
      <c r="AW111" s="1025"/>
      <c r="AX111" s="1282">
        <f t="shared" si="247"/>
        <v>10.39997736585366</v>
      </c>
      <c r="AY111" s="387">
        <f t="shared" si="248"/>
        <v>12.790924640095183</v>
      </c>
      <c r="AZ111" s="387">
        <f t="shared" si="249"/>
        <v>14.332426675178832</v>
      </c>
      <c r="BA111" s="387">
        <f t="shared" si="250"/>
        <v>16.376815159102279</v>
      </c>
      <c r="BB111" s="1283">
        <f t="shared" si="251"/>
        <v>18.24269098000202</v>
      </c>
      <c r="BC111" s="386">
        <f t="shared" si="252"/>
        <v>13.526780227979431</v>
      </c>
      <c r="BD111" s="387">
        <f t="shared" si="253"/>
        <v>10.224351526460975</v>
      </c>
      <c r="BE111" s="1277">
        <f t="shared" si="254"/>
        <v>9.3583649737727175</v>
      </c>
      <c r="BF111" s="1277">
        <f t="shared" si="255"/>
        <v>8.8239424702149662</v>
      </c>
      <c r="BG111" s="388">
        <f t="shared" si="256"/>
        <v>51.471219068084679</v>
      </c>
      <c r="BH111" s="1025"/>
      <c r="BI111" s="1282">
        <f t="shared" ca="1" si="257"/>
        <v>4.7272624390243913E-2</v>
      </c>
      <c r="BJ111" s="387">
        <f t="shared" ca="1" si="258"/>
        <v>0.15268581532637501</v>
      </c>
      <c r="BK111" s="387">
        <f t="shared" ca="1" si="259"/>
        <v>0.27597377585034782</v>
      </c>
      <c r="BL111" s="387">
        <f t="shared" ca="1" si="260"/>
        <v>0.41556123873344375</v>
      </c>
      <c r="BM111" s="1283">
        <f t="shared" ca="1" si="261"/>
        <v>0.57292263027482693</v>
      </c>
      <c r="BN111" s="386">
        <f t="shared" ca="1" si="262"/>
        <v>0.71732931758383345</v>
      </c>
      <c r="BO111" s="387">
        <f t="shared" ca="1" si="263"/>
        <v>0.82528900737674438</v>
      </c>
      <c r="BP111" s="1277">
        <f t="shared" ca="1" si="264"/>
        <v>0.91430135510507948</v>
      </c>
      <c r="BQ111" s="1277">
        <f t="shared" ca="1" si="265"/>
        <v>0.99694820712320531</v>
      </c>
      <c r="BR111" s="388">
        <f t="shared" ca="1" si="266"/>
        <v>1.2710171232063854</v>
      </c>
      <c r="BS111" s="1025"/>
      <c r="BT111" s="1282">
        <f>+IF($K111="Ongoing",AX111,IF(RIGHT($K111,2)=RIGHT(BT$43,2),SUM($AX111:AX111),0)+IF(RIGHT(BT$43,2)&gt;RIGHT($K111,2),AX111,0))</f>
        <v>10.39997736585366</v>
      </c>
      <c r="BU111" s="387">
        <f>+IF($K111="Ongoing",AY111,IF(RIGHT($K111,2)=RIGHT(BU$43,2),SUM($AX111:AY111),0)+IF(RIGHT(BU$43,2)&gt;RIGHT($K111,2),AY111,0))</f>
        <v>12.790924640095183</v>
      </c>
      <c r="BV111" s="387">
        <f>+IF($K111="Ongoing",AZ111,IF(RIGHT($K111,2)=RIGHT(BV$43,2),SUM($AX111:AZ111),0)+IF(RIGHT(BV$43,2)&gt;RIGHT($K111,2),AZ111,0))</f>
        <v>14.332426675178832</v>
      </c>
      <c r="BW111" s="387">
        <f>+IF($K111="Ongoing",BA111,IF(RIGHT($K111,2)=RIGHT(BW$43,2),SUM($AX111:BA111),0)+IF(RIGHT(BW$43,2)&gt;RIGHT($K111,2),BA111,0))</f>
        <v>16.376815159102279</v>
      </c>
      <c r="BX111" s="1283">
        <f>+IF($K111="Ongoing",BB111,IF(RIGHT($K111,2)=RIGHT(BX$43,2),SUM($AX111:BB111),0)+IF(RIGHT(BX$43,2)&gt;RIGHT($K111,2),BB111,0))</f>
        <v>18.24269098000202</v>
      </c>
      <c r="BY111" s="386">
        <f>+IF($K111="Ongoing",BC111,IF(RIGHT($K111,2)=RIGHT(BY$43,2),SUM($AX111:BC111),0)+IF(RIGHT(BY$43,2)&gt;RIGHT($K111,2),BC111,0))</f>
        <v>13.526780227979431</v>
      </c>
      <c r="BZ111" s="387">
        <f>+IF($K111="Ongoing",BD111,IF(RIGHT($K111,2)=RIGHT(BZ$43,2),SUM($AX111:BD111),0)+IF(RIGHT(BZ$43,2)&gt;RIGHT($K111,2),BD111,0))</f>
        <v>10.224351526460975</v>
      </c>
      <c r="CA111" s="1277">
        <f>+IF($K111="Ongoing",BE111,IF(RIGHT($K111,2)=RIGHT(CA$43,2),SUM($AX111:BE111),0)+IF(RIGHT(CA$43,2)&gt;RIGHT($K111,2),BE111,0))</f>
        <v>9.3583649737727175</v>
      </c>
      <c r="CB111" s="1277">
        <f>+IF($K111="Ongoing",BF111,IF(RIGHT($K111,2)=RIGHT(CB$43,2),SUM($AX111:BF111),0)+IF(RIGHT(CB$43,2)&gt;RIGHT($K111,2),BF111,0))</f>
        <v>8.8239424702149662</v>
      </c>
      <c r="CC111" s="388">
        <f>+IF($K111="Ongoing",BG111,IF(RIGHT($K111,2)=RIGHT(CC$43,2),SUM($AX111:BG111),0)+IF(RIGHT(CC$43,2)&gt;RIGHT($K111,2),BG111,0))</f>
        <v>51.471219068084679</v>
      </c>
      <c r="CD111" s="1025"/>
      <c r="CE111" s="1282">
        <f>+Q111*KeyAssumptionsPriceControl_FO!AF$15</f>
        <v>10.701576709463415</v>
      </c>
      <c r="CF111" s="387">
        <f>+R111*KeyAssumptionsPriceControl_FO!AG$15</f>
        <v>13.543555436843022</v>
      </c>
      <c r="CG111" s="387">
        <f>+S111*KeyAssumptionsPriceControl_FO!AH$15</f>
        <v>15.615858061975045</v>
      </c>
      <c r="CH111" s="387">
        <f>+T111*KeyAssumptionsPriceControl_FO!AI$15</f>
        <v>18.360772366440834</v>
      </c>
      <c r="CI111" s="1283">
        <f>+U111*KeyAssumptionsPriceControl_FO!AJ$15</f>
        <v>21.045816300869387</v>
      </c>
      <c r="CJ111" s="386">
        <f>+V111*KeyAssumptionsPriceControl_FO!AK$15</f>
        <v>16.05782359434798</v>
      </c>
      <c r="CK111" s="387">
        <f>+W111*KeyAssumptionsPriceControl_FO!AL$15</f>
        <v>12.489452367329951</v>
      </c>
      <c r="CL111" s="1277">
        <f>+X111*KeyAssumptionsPriceControl_FO!AM$15</f>
        <v>11.763132167205333</v>
      </c>
      <c r="CM111" s="1277">
        <f>+Y111*KeyAssumptionsPriceControl_FO!AN$15</f>
        <v>11.413032154245261</v>
      </c>
      <c r="CN111" s="388">
        <f>+Z111*KeyAssumptionsPriceControl_FO!AO$15</f>
        <v>68.504358222153215</v>
      </c>
      <c r="CO111" s="1025"/>
      <c r="CP111" s="1282">
        <f t="shared" ca="1" si="267"/>
        <v>0</v>
      </c>
      <c r="CQ111" s="387">
        <f t="shared" ca="1" si="268"/>
        <v>0</v>
      </c>
      <c r="CR111" s="387">
        <f t="shared" ca="1" si="269"/>
        <v>0</v>
      </c>
      <c r="CS111" s="387">
        <f t="shared" ca="1" si="270"/>
        <v>0</v>
      </c>
      <c r="CT111" s="1283">
        <f t="shared" ca="1" si="271"/>
        <v>0</v>
      </c>
      <c r="CU111" s="386">
        <f t="shared" ca="1" si="272"/>
        <v>0</v>
      </c>
      <c r="CV111" s="387">
        <f t="shared" ca="1" si="273"/>
        <v>0</v>
      </c>
      <c r="CW111" s="1277">
        <f t="shared" ca="1" si="274"/>
        <v>0</v>
      </c>
      <c r="CX111" s="1277">
        <f t="shared" ca="1" si="275"/>
        <v>0</v>
      </c>
      <c r="CY111" s="388">
        <f t="shared" ca="1" si="276"/>
        <v>0</v>
      </c>
      <c r="CZ111" s="347"/>
      <c r="DA111" s="852"/>
      <c r="DB111" s="347"/>
      <c r="DC111" s="1012" t="s">
        <v>603</v>
      </c>
      <c r="DD111" s="841" t="s">
        <v>518</v>
      </c>
      <c r="DE111" s="386">
        <f>+IF($K111="ongoing",CE111,IF(RIGHT($K111,2)=RIGHT(DE$43,2),SUM($CD111:CE111),0)+IF(RIGHT(DE$43,2)&gt;RIGHT($K111,2),CE111,0))</f>
        <v>10.701576709463415</v>
      </c>
      <c r="DF111" s="387">
        <f>+IF($K111="ongoing",CF111,IF(RIGHT($K111,2)=RIGHT(DF$43,2),SUM($CD111:CF111),0)+IF(RIGHT(DF$43,2)&gt;RIGHT($K111,2),CF111,0))</f>
        <v>13.543555436843022</v>
      </c>
      <c r="DG111" s="388">
        <f>+IF($K111="ongoing",CG111,IF(RIGHT($K111,2)=RIGHT(DG$43,2),SUM($CD111:CG111),0)+IF(RIGHT(DG$43,2)&gt;RIGHT($K111,2),CG111,0))</f>
        <v>15.615858061975045</v>
      </c>
      <c r="DH111" s="386">
        <f>+IF($K111="ongoing",CH111,IF(RIGHT($K111,2)=RIGHT(DH$43,2),SUM($CD111:CH111),0)+IF(RIGHT(DH$43,2)&gt;RIGHT($K111,2),CH111,0))</f>
        <v>18.360772366440834</v>
      </c>
      <c r="DI111" s="387">
        <f>+IF($K111="ongoing",CI111,IF(RIGHT($K111,2)=RIGHT(DI$43,2),SUM($CD111:CI111),0)+IF(RIGHT(DI$43,2)&gt;RIGHT($K111,2),CI111,0))</f>
        <v>21.045816300869387</v>
      </c>
      <c r="DJ111" s="387">
        <f>+IF($K111="ongoing",CJ111,IF(RIGHT($K111,2)=RIGHT(DJ$43,2),SUM($CD111:CJ111),0)+IF(RIGHT(DJ$43,2)&gt;RIGHT($K111,2),CJ111,0))</f>
        <v>16.05782359434798</v>
      </c>
      <c r="DK111" s="387">
        <f>+IF($K111="ongoing",CK111,IF(RIGHT($K111,2)=RIGHT(DK$43,2),SUM($CD111:CK111),0)+IF(RIGHT(DK$43,2)&gt;RIGHT($K111,2),CK111,0))</f>
        <v>12.489452367329951</v>
      </c>
      <c r="DL111" s="388">
        <f>+IF($K111="ongoing",CN111,IF(RIGHT($K111,2)=RIGHT(DL$43,2),SUM($CD111:CN111),0)+IF(RIGHT(DL$43,2)&gt;RIGHT($K111,2),CN111,0))</f>
        <v>68.504358222153215</v>
      </c>
      <c r="DM111" s="841"/>
      <c r="DN111" s="386">
        <f t="shared" si="277"/>
        <v>0.5</v>
      </c>
      <c r="DO111" s="387">
        <f t="shared" si="278"/>
        <v>1</v>
      </c>
      <c r="DP111" s="388">
        <f t="shared" si="279"/>
        <v>1</v>
      </c>
      <c r="DQ111" s="386">
        <f t="shared" si="280"/>
        <v>1</v>
      </c>
      <c r="DR111" s="387">
        <f t="shared" si="281"/>
        <v>1</v>
      </c>
      <c r="DS111" s="387">
        <f t="shared" si="282"/>
        <v>1</v>
      </c>
      <c r="DT111" s="387">
        <f t="shared" si="283"/>
        <v>1</v>
      </c>
      <c r="DU111" s="388">
        <f t="shared" si="284"/>
        <v>1</v>
      </c>
      <c r="DW111" s="386">
        <f t="shared" si="285"/>
        <v>0</v>
      </c>
      <c r="DX111" s="387">
        <f t="shared" si="286"/>
        <v>0.5</v>
      </c>
      <c r="DY111" s="388">
        <f t="shared" si="287"/>
        <v>1</v>
      </c>
      <c r="DZ111" s="386">
        <f t="shared" si="288"/>
        <v>1</v>
      </c>
      <c r="EA111" s="387">
        <f t="shared" si="289"/>
        <v>1</v>
      </c>
      <c r="EB111" s="387">
        <f t="shared" si="290"/>
        <v>1</v>
      </c>
      <c r="EC111" s="387">
        <f t="shared" si="291"/>
        <v>1</v>
      </c>
      <c r="ED111" s="388">
        <f t="shared" si="292"/>
        <v>1</v>
      </c>
      <c r="EF111" s="834">
        <f>+IF(DN111=DM111,0,
IF(AND(EF$44&gt;1,DN111=$N111),1-SUM($EE111:EE111),
IF($N111&lt;=1,
IF($N111&gt;0,1/$N111,0),
IF(EF$44=1,0,VDB(1,0,$N111,INT(EF$44-1-1),MIN($N111,INT(EF$44-1-1)+1),$DC111,IF($DD111="No",1,0))/
IF(DM111&gt;=INT($N111),$N111-INT($N111),1)))*
IF(EF$44=1,0,
IF(INT(DN111)=INT(DM111),DN111-DM111,INT(DN111)-DM111))+
IF($N111&lt;=1,
IF($N111&gt;0,1/$N111,0),VDB(1,0,$N111,INT(EF$44-1),MIN($N111,INT(EF$44-1)+1),$DC111,IF($DD111="No",1,0))/
IF(DN111&gt;INT($N111),$N111-INT($N111),1))*
IF(EF$44=1,DN111,
IF(INT(DN111)=INT(DM111),0,DN111-INT(DN111)))))</f>
        <v>0</v>
      </c>
      <c r="EG111" s="835">
        <f>+IF(DO111=DN111,0,
IF(AND(EG$44&gt;1,DO111=$N111),1-SUM($EE111:EF111),
IF($N111&lt;=1,
IF($N111&gt;0,1/$N111,0),
IF(EG$44=1,0,VDB(1,0,$N111,INT(EG$44-1-1),MIN($N111,INT(EG$44-1-1)+1),$DC111,IF($DD111="No",1,0))/
IF(DN111&gt;=INT($N111),$N111-INT($N111),1)))*
IF(EG$44=1,0,
IF(INT(DO111)=INT(DN111),DO111-DN111,INT(DO111)-DN111))+
IF($N111&lt;=1,
IF($N111&gt;0,1/$N111,0),VDB(1,0,$N111,INT(EG$44-1),MIN($N111,INT(EG$44-1)+1),$DC111,IF($DD111="No",1,0))/
IF(DO111&gt;INT($N111),$N111-INT($N111),1))*
IF(EG$44=1,DO111,
IF(INT(DO111)=INT(DN111),0,DO111-INT(DO111)))))</f>
        <v>0</v>
      </c>
      <c r="EH111" s="836">
        <f>+IF(DP111=DO111,0,
IF(AND(EH$44&gt;1,DP111=$N111),1-SUM($EE111:EG111),
IF($N111&lt;=1,
IF($N111&gt;0,1/$N111,0),
IF(EH$44=1,0,VDB(1,0,$N111,INT(EH$44-1-1),MIN($N111,INT(EH$44-1-1)+1),$DC111,IF($DD111="No",1,0))/
IF(DO111&gt;=INT($N111),$N111-INT($N111),1)))*
IF(EH$44=1,0,
IF(INT(DP111)=INT(DO111),DP111-DO111,INT(DP111)-DO111))+
IF($N111&lt;=1,
IF($N111&gt;0,1/$N111,0),VDB(1,0,$N111,INT(EH$44-1),MIN($N111,INT(EH$44-1)+1),$DC111,IF($DD111="No",1,0))/
IF(DP111&gt;INT($N111),$N111-INT($N111),1))*
IF(EH$44=1,DP111,
IF(INT(DP111)=INT(DO111),0,DP111-INT(DP111)))))</f>
        <v>0</v>
      </c>
      <c r="EI111" s="834">
        <f>+IF(DQ111=DP111,0,
IF(AND(EI$44&gt;1,DQ111=$N111),1-SUM($EE111:EH111),
IF($N111&lt;=1,
IF($N111&gt;0,1/$N111,0),
IF(EI$44=1,0,VDB(1,0,$N111,INT(EI$44-1-1),MIN($N111,INT(EI$44-1-1)+1),$DC111,IF($DD111="No",1,0))/
IF(DP111&gt;=INT($N111),$N111-INT($N111),1)))*
IF(EI$44=1,0,
IF(INT(DQ111)=INT(DP111),DQ111-DP111,INT(DQ111)-DP111))+
IF($N111&lt;=1,
IF($N111&gt;0,1/$N111,0),VDB(1,0,$N111,INT(EI$44-1),MIN($N111,INT(EI$44-1)+1),$DC111,IF($DD111="No",1,0))/
IF(DQ111&gt;INT($N111),$N111-INT($N111),1))*
IF(EI$44=1,DQ111,
IF(INT(DQ111)=INT(DP111),0,DQ111-INT(DQ111)))))</f>
        <v>0</v>
      </c>
      <c r="EJ111" s="835">
        <f>+IF(DR111=DQ111,0,
IF(AND(EJ$44&gt;1,DR111=$N111),1-SUM($EE111:EI111),
IF($N111&lt;=1,
IF($N111&gt;0,1/$N111,0),
IF(EJ$44=1,0,VDB(1,0,$N111,INT(EJ$44-1-1),MIN($N111,INT(EJ$44-1-1)+1),$DC111,IF($DD111="No",1,0))/
IF(DQ111&gt;=INT($N111),$N111-INT($N111),1)))*
IF(EJ$44=1,0,
IF(INT(DR111)=INT(DQ111),DR111-DQ111,INT(DR111)-DQ111))+
IF($N111&lt;=1,
IF($N111&gt;0,1/$N111,0),VDB(1,0,$N111,INT(EJ$44-1),MIN($N111,INT(EJ$44-1)+1),$DC111,IF($DD111="No",1,0))/
IF(DR111&gt;INT($N111),$N111-INT($N111),1))*
IF(EJ$44=1,DR111,
IF(INT(DR111)=INT(DQ111),0,DR111-INT(DR111)))))</f>
        <v>0</v>
      </c>
      <c r="EK111" s="835">
        <f>+IF(DS111=DR111,0,
IF(AND(EK$44&gt;1,DS111=$N111),1-SUM($EE111:EJ111),
IF($N111&lt;=1,
IF($N111&gt;0,1/$N111,0),
IF(EK$44=1,0,VDB(1,0,$N111,INT(EK$44-1-1),MIN($N111,INT(EK$44-1-1)+1),$DC111,IF($DD111="No",1,0))/
IF(DR111&gt;=INT($N111),$N111-INT($N111),1)))*
IF(EK$44=1,0,
IF(INT(DS111)=INT(DR111),DS111-DR111,INT(DS111)-DR111))+
IF($N111&lt;=1,
IF($N111&gt;0,1/$N111,0),VDB(1,0,$N111,INT(EK$44-1),MIN($N111,INT(EK$44-1)+1),$DC111,IF($DD111="No",1,0))/
IF(DS111&gt;INT($N111),$N111-INT($N111),1))*
IF(EK$44=1,DS111,
IF(INT(DS111)=INT(DR111),0,DS111-INT(DS111)))))</f>
        <v>0</v>
      </c>
      <c r="EL111" s="835">
        <f>+IF(DT111=DS111,0,
IF(AND(EL$44&gt;1,DT111=$N111),1-SUM($EE111:EK111),
IF($N111&lt;=1,
IF($N111&gt;0,1/$N111,0),
IF(EL$44=1,0,VDB(1,0,$N111,INT(EL$44-1-1),MIN($N111,INT(EL$44-1-1)+1),$DC111,IF($DD111="No",1,0))/
IF(DS111&gt;=INT($N111),$N111-INT($N111),1)))*
IF(EL$44=1,0,
IF(INT(DT111)=INT(DS111),DT111-DS111,INT(DT111)-DS111))+
IF($N111&lt;=1,
IF($N111&gt;0,1/$N111,0),VDB(1,0,$N111,INT(EL$44-1),MIN($N111,INT(EL$44-1)+1),$DC111,IF($DD111="No",1,0))/
IF(DT111&gt;INT($N111),$N111-INT($N111),1))*
IF(EL$44=1,DT111,
IF(INT(DT111)=INT(DS111),0,DT111-INT(DT111)))))</f>
        <v>0</v>
      </c>
      <c r="EM111" s="836">
        <f>+IF(DU111=DT111,0,
IF(AND(EM$44&gt;1,DU111=$N111),1-SUM($EE111:EL111),
IF($N111&lt;=1,
IF($N111&gt;0,1/$N111,0),
IF(EM$44=1,0,VDB(1,0,$N111,INT(EM$44-1-1),MIN($N111,INT(EM$44-1-1)+1),$DC111,IF($DD111="No",1,0))/
IF(DT111&gt;=INT($N111),$N111-INT($N111),1)))*
IF(EM$44=1,0,
IF(INT(DU111)=INT(DT111),DU111-DT111,INT(DU111)-DT111))+
IF($N111&lt;=1,
IF($N111&gt;0,1/$N111,0),VDB(1,0,$N111,INT(EM$44-1),MIN($N111,INT(EM$44-1)+1),$DC111,IF($DD111="No",1,0))/
IF(DU111&gt;INT($N111),$N111-INT($N111),1))*
IF(EM$44=1,DU111,
IF(INT(DU111)=INT(DT111),0,DU111-INT(DU111)))))</f>
        <v>0</v>
      </c>
      <c r="EN111" s="833"/>
      <c r="EO111" s="834">
        <f>+IF(OR(DW111=DV111,EO$44=1),0,
IF(AND(EO$44&gt;1,DW111=$N111),1-SUM($EN111:EN111),
IF($N111&lt;=1,
IF($N111&gt;0,1/$N111,0),
IF(EO$44=2,0,VDB(1,0,$N111,INT(EO$44-2-1),MIN($N111,INT(EO$44-2-1)+1),$DC111,IF($DD111="No",1,0))/
IF(DV111&gt;=INT($N111),$N111-INT($N111),1)))*
IF(EO$44=2,0,
IF(INT(DW111)=INT(DV111),DW111-DV111,INT(DW111)-DV111))+
IF($N111&lt;=1,
IF($N111&gt;0,1/$N111,0),VDB(1,0,$N111,INT(EO$44-2),MIN($N111,INT(EO$44-2)+1),$DC111,IF($DD111="No",1,0))/
IF(DW111&gt;INT($N111),$N111-INT($N111),1))*
IF(EO$44=2,DW111,
IF(INT(DW111)=INT(DV111),0,DW111-INT(DW111)))))</f>
        <v>0</v>
      </c>
      <c r="EP111" s="835">
        <f>+IF(OR(DX111=DW111,EP$44=1),0,
IF(AND(EP$44&gt;1,DX111=$N111),1-SUM($EN111:EO111),
IF($N111&lt;=1,
IF($N111&gt;0,1/$N111,0),
IF(EP$44=2,0,VDB(1,0,$N111,INT(EP$44-2-1),MIN($N111,INT(EP$44-2-1)+1),$DC111,IF($DD111="No",1,0))/
IF(DW111&gt;=INT($N111),$N111-INT($N111),1)))*
IF(EP$44=2,0,
IF(INT(DX111)=INT(DW111),DX111-DW111,INT(DX111)-DW111))+
IF($N111&lt;=1,
IF($N111&gt;0,1/$N111,0),VDB(1,0,$N111,INT(EP$44-2),MIN($N111,INT(EP$44-2)+1),$DC111,IF($DD111="No",1,0))/
IF(DX111&gt;INT($N111),$N111-INT($N111),1))*
IF(EP$44=2,DX111,
IF(INT(DX111)=INT(DW111),0,DX111-INT(DX111)))))</f>
        <v>0</v>
      </c>
      <c r="EQ111" s="836">
        <f>+IF(OR(DY111=DX111,EQ$44=1),0,
IF(AND(EQ$44&gt;1,DY111=$N111),1-SUM($EN111:EP111),
IF($N111&lt;=1,
IF($N111&gt;0,1/$N111,0),
IF(EQ$44=2,0,VDB(1,0,$N111,INT(EQ$44-2-1),MIN($N111,INT(EQ$44-2-1)+1),$DC111,IF($DD111="No",1,0))/
IF(DX111&gt;=INT($N111),$N111-INT($N111),1)))*
IF(EQ$44=2,0,
IF(INT(DY111)=INT(DX111),DY111-DX111,INT(DY111)-DX111))+
IF($N111&lt;=1,
IF($N111&gt;0,1/$N111,0),VDB(1,0,$N111,INT(EQ$44-2),MIN($N111,INT(EQ$44-2)+1),$DC111,IF($DD111="No",1,0))/
IF(DY111&gt;INT($N111),$N111-INT($N111),1))*
IF(EQ$44=2,DY111,
IF(INT(DY111)=INT(DX111),0,DY111-INT(DY111)))))</f>
        <v>0</v>
      </c>
      <c r="ER111" s="834">
        <f>+IF(OR(DZ111=DY111,ER$44=1),0,
IF(AND(ER$44&gt;1,DZ111=$N111),1-SUM($EN111:EQ111),
IF($N111&lt;=1,
IF($N111&gt;0,1/$N111,0),
IF(ER$44=2,0,VDB(1,0,$N111,INT(ER$44-2-1),MIN($N111,INT(ER$44-2-1)+1),$DC111,IF($DD111="No",1,0))/
IF(DY111&gt;=INT($N111),$N111-INT($N111),1)))*
IF(ER$44=2,0,
IF(INT(DZ111)=INT(DY111),DZ111-DY111,INT(DZ111)-DY111))+
IF($N111&lt;=1,
IF($N111&gt;0,1/$N111,0),VDB(1,0,$N111,INT(ER$44-2),MIN($N111,INT(ER$44-2)+1),$DC111,IF($DD111="No",1,0))/
IF(DZ111&gt;INT($N111),$N111-INT($N111),1))*
IF(ER$44=2,DZ111,
IF(INT(DZ111)=INT(DY111),0,DZ111-INT(DZ111)))))</f>
        <v>0</v>
      </c>
      <c r="ES111" s="835">
        <f>+IF(OR(EA111=DZ111,ES$44=1),0,
IF(AND(ES$44&gt;1,EA111=$N111),1-SUM($EN111:ER111),
IF($N111&lt;=1,
IF($N111&gt;0,1/$N111,0),
IF(ES$44=2,0,VDB(1,0,$N111,INT(ES$44-2-1),MIN($N111,INT(ES$44-2-1)+1),$DC111,IF($DD111="No",1,0))/
IF(DZ111&gt;=INT($N111),$N111-INT($N111),1)))*
IF(ES$44=2,0,
IF(INT(EA111)=INT(DZ111),EA111-DZ111,INT(EA111)-DZ111))+
IF($N111&lt;=1,
IF($N111&gt;0,1/$N111,0),VDB(1,0,$N111,INT(ES$44-2),MIN($N111,INT(ES$44-2)+1),$DC111,IF($DD111="No",1,0))/
IF(EA111&gt;INT($N111),$N111-INT($N111),1))*
IF(ES$44=2,EA111,
IF(INT(EA111)=INT(DZ111),0,EA111-INT(EA111)))))</f>
        <v>0</v>
      </c>
      <c r="ET111" s="835">
        <f>+IF(OR(EB111=EA111,ET$44=1),0,
IF(AND(ET$44&gt;1,EB111=$N111),1-SUM($EN111:ES111),
IF($N111&lt;=1,
IF($N111&gt;0,1/$N111,0),
IF(ET$44=2,0,VDB(1,0,$N111,INT(ET$44-2-1),MIN($N111,INT(ET$44-2-1)+1),$DC111,IF($DD111="No",1,0))/
IF(EA111&gt;=INT($N111),$N111-INT($N111),1)))*
IF(ET$44=2,0,
IF(INT(EB111)=INT(EA111),EB111-EA111,INT(EB111)-EA111))+
IF($N111&lt;=1,
IF($N111&gt;0,1/$N111,0),VDB(1,0,$N111,INT(ET$44-2),MIN($N111,INT(ET$44-2)+1),$DC111,IF($DD111="No",1,0))/
IF(EB111&gt;INT($N111),$N111-INT($N111),1))*
IF(ET$44=2,EB111,
IF(INT(EB111)=INT(EA111),0,EB111-INT(EB111)))))</f>
        <v>0</v>
      </c>
      <c r="EU111" s="835">
        <f>+IF(OR(EC111=EB111,EU$44=1),0,
IF(AND(EU$44&gt;1,EC111=$N111),1-SUM($EN111:ET111),
IF($N111&lt;=1,
IF($N111&gt;0,1/$N111,0),
IF(EU$44=2,0,VDB(1,0,$N111,INT(EU$44-2-1),MIN($N111,INT(EU$44-2-1)+1),$DC111,IF($DD111="No",1,0))/
IF(EB111&gt;=INT($N111),$N111-INT($N111),1)))*
IF(EU$44=2,0,
IF(INT(EC111)=INT(EB111),EC111-EB111,INT(EC111)-EB111))+
IF($N111&lt;=1,
IF($N111&gt;0,1/$N111,0),VDB(1,0,$N111,INT(EU$44-2),MIN($N111,INT(EU$44-2)+1),$DC111,IF($DD111="No",1,0))/
IF(EC111&gt;INT($N111),$N111-INT($N111),1))*
IF(EU$44=2,EC111,
IF(INT(EC111)=INT(EB111),0,EC111-INT(EC111)))))</f>
        <v>0</v>
      </c>
      <c r="EV111" s="836">
        <f>+IF(OR(ED111=EC111,EV$44=1),0,
IF(AND(EV$44&gt;1,ED111=$N111),1-SUM($EN111:EU111),
IF($N111&lt;=1,
IF($N111&gt;0,1/$N111,0),
IF(EV$44=2,0,VDB(1,0,$N111,INT(EV$44-2-1),MIN($N111,INT(EV$44-2-1)+1),$DC111,IF($DD111="No",1,0))/
IF(EC111&gt;=INT($N111),$N111-INT($N111),1)))*
IF(EV$44=2,0,
IF(INT(ED111)=INT(EC111),ED111-EC111,INT(ED111)-EC111))+
IF($N111&lt;=1,
IF($N111&gt;0,1/$N111,0),VDB(1,0,$N111,INT(EV$44-2),MIN($N111,INT(EV$44-2)+1),$DC111,IF($DD111="No",1,0))/
IF(ED111&gt;INT($N111),$N111-INT($N111),1))*
IF(EV$44=2,ED111,
IF(INT(ED111)=INT(EC111),0,ED111-INT(ED111)))))</f>
        <v>0</v>
      </c>
      <c r="EW111" s="833"/>
      <c r="EX111" s="834">
        <f t="shared" ca="1" si="301"/>
        <v>0</v>
      </c>
      <c r="EY111" s="835">
        <f t="shared" ca="1" si="301"/>
        <v>0</v>
      </c>
      <c r="EZ111" s="836">
        <f t="shared" ca="1" si="301"/>
        <v>0</v>
      </c>
      <c r="FA111" s="834">
        <f t="shared" ca="1" si="301"/>
        <v>0</v>
      </c>
      <c r="FB111" s="835">
        <f t="shared" ca="1" si="301"/>
        <v>0</v>
      </c>
      <c r="FC111" s="835">
        <f t="shared" ca="1" si="301"/>
        <v>0</v>
      </c>
      <c r="FD111" s="835">
        <f t="shared" ca="1" si="301"/>
        <v>0</v>
      </c>
      <c r="FE111" s="836">
        <f t="shared" ca="1" si="301"/>
        <v>0</v>
      </c>
      <c r="FG111" s="386">
        <f t="shared" ca="1" si="293"/>
        <v>0</v>
      </c>
      <c r="FH111" s="387">
        <f t="shared" ca="1" si="294"/>
        <v>0</v>
      </c>
      <c r="FI111" s="388">
        <f t="shared" ca="1" si="295"/>
        <v>0</v>
      </c>
      <c r="FJ111" s="386">
        <f t="shared" ca="1" si="296"/>
        <v>0</v>
      </c>
      <c r="FK111" s="387">
        <f t="shared" ca="1" si="297"/>
        <v>0</v>
      </c>
      <c r="FL111" s="387">
        <f t="shared" ca="1" si="298"/>
        <v>0</v>
      </c>
      <c r="FM111" s="387">
        <f t="shared" ca="1" si="299"/>
        <v>0</v>
      </c>
      <c r="FN111" s="388">
        <f t="shared" ca="1" si="300"/>
        <v>0</v>
      </c>
      <c r="FR111" s="116"/>
    </row>
    <row r="112" spans="2:174">
      <c r="B112" s="1410">
        <f t="shared" si="135"/>
        <v>66</v>
      </c>
      <c r="C112" s="400" t="s">
        <v>604</v>
      </c>
      <c r="D112" s="410"/>
      <c r="E112" s="402" t="s">
        <v>401</v>
      </c>
      <c r="F112" s="402" t="s">
        <v>520</v>
      </c>
      <c r="G112" s="400" t="s">
        <v>525</v>
      </c>
      <c r="H112" s="2088" t="s">
        <v>483</v>
      </c>
      <c r="I112" s="2089"/>
      <c r="J112" s="411" t="s">
        <v>516</v>
      </c>
      <c r="K112" s="403" t="s">
        <v>544</v>
      </c>
      <c r="L112" s="403">
        <v>40</v>
      </c>
      <c r="M112" s="403" t="s">
        <v>142</v>
      </c>
      <c r="N112" s="403"/>
      <c r="O112" s="347"/>
      <c r="P112" s="347"/>
      <c r="Q112" s="1021">
        <v>0</v>
      </c>
      <c r="R112" s="1022">
        <v>0</v>
      </c>
      <c r="S112" s="1022">
        <v>0</v>
      </c>
      <c r="T112" s="1022">
        <v>0</v>
      </c>
      <c r="U112" s="1023">
        <v>1.9641186750116215</v>
      </c>
      <c r="V112" s="1021">
        <v>5.6523559563711094</v>
      </c>
      <c r="W112" s="1022">
        <v>1.2295764422932238</v>
      </c>
      <c r="X112" s="1022">
        <v>0</v>
      </c>
      <c r="Y112" s="1022">
        <v>0</v>
      </c>
      <c r="Z112" s="1023">
        <v>0</v>
      </c>
      <c r="AA112" s="1024"/>
      <c r="AB112" s="1021">
        <v>0</v>
      </c>
      <c r="AC112" s="1022">
        <v>0</v>
      </c>
      <c r="AD112" s="1022">
        <v>0</v>
      </c>
      <c r="AE112" s="1022">
        <v>0</v>
      </c>
      <c r="AF112" s="1023">
        <v>0</v>
      </c>
      <c r="AG112" s="1021">
        <v>0</v>
      </c>
      <c r="AH112" s="1022">
        <v>0</v>
      </c>
      <c r="AI112" s="1022">
        <v>0</v>
      </c>
      <c r="AJ112" s="1022">
        <v>0</v>
      </c>
      <c r="AK112" s="1023">
        <v>0</v>
      </c>
      <c r="AL112" s="1024"/>
      <c r="AM112" s="1021">
        <v>0</v>
      </c>
      <c r="AN112" s="1022">
        <v>0</v>
      </c>
      <c r="AO112" s="1022">
        <v>0</v>
      </c>
      <c r="AP112" s="1022">
        <v>0</v>
      </c>
      <c r="AQ112" s="1023">
        <v>0</v>
      </c>
      <c r="AR112" s="1021">
        <v>0</v>
      </c>
      <c r="AS112" s="1022">
        <v>0</v>
      </c>
      <c r="AT112" s="1022">
        <v>0</v>
      </c>
      <c r="AU112" s="1022">
        <v>0</v>
      </c>
      <c r="AV112" s="1023">
        <v>0</v>
      </c>
      <c r="AW112" s="1025"/>
      <c r="AX112" s="1282">
        <f t="shared" si="247"/>
        <v>0</v>
      </c>
      <c r="AY112" s="387">
        <f t="shared" si="248"/>
        <v>0</v>
      </c>
      <c r="AZ112" s="387">
        <f t="shared" si="249"/>
        <v>0</v>
      </c>
      <c r="BA112" s="387">
        <f t="shared" si="250"/>
        <v>0</v>
      </c>
      <c r="BB112" s="1283">
        <f t="shared" si="251"/>
        <v>1.9641186750116215</v>
      </c>
      <c r="BC112" s="386">
        <f t="shared" si="252"/>
        <v>5.6523559563711094</v>
      </c>
      <c r="BD112" s="387">
        <f t="shared" si="253"/>
        <v>1.2295764422932238</v>
      </c>
      <c r="BE112" s="1277">
        <f t="shared" si="254"/>
        <v>0</v>
      </c>
      <c r="BF112" s="1277">
        <f t="shared" si="255"/>
        <v>0</v>
      </c>
      <c r="BG112" s="388">
        <f t="shared" si="256"/>
        <v>0</v>
      </c>
      <c r="BH112" s="1025"/>
      <c r="BI112" s="1282">
        <f t="shared" ca="1" si="257"/>
        <v>0</v>
      </c>
      <c r="BJ112" s="387">
        <f t="shared" ca="1" si="258"/>
        <v>0</v>
      </c>
      <c r="BK112" s="387">
        <f t="shared" ca="1" si="259"/>
        <v>0</v>
      </c>
      <c r="BL112" s="387">
        <f t="shared" ca="1" si="260"/>
        <v>0</v>
      </c>
      <c r="BM112" s="1283">
        <f t="shared" ca="1" si="261"/>
        <v>2.455148343764527E-2</v>
      </c>
      <c r="BN112" s="386">
        <f t="shared" ca="1" si="262"/>
        <v>0.11975741632992939</v>
      </c>
      <c r="BO112" s="387">
        <f t="shared" ca="1" si="263"/>
        <v>0.20578157131323357</v>
      </c>
      <c r="BP112" s="1277">
        <f t="shared" ca="1" si="264"/>
        <v>0.22115127684189889</v>
      </c>
      <c r="BQ112" s="1277">
        <f t="shared" ca="1" si="265"/>
        <v>0.22115127684189889</v>
      </c>
      <c r="BR112" s="388">
        <f t="shared" ca="1" si="266"/>
        <v>0.22115127684189889</v>
      </c>
      <c r="BS112" s="1025"/>
      <c r="BT112" s="1282">
        <f>+IF($K112="Ongoing",AX112,IF(RIGHT($K112,2)=RIGHT(BT$43,2),SUM($AX112:AX112),0)+IF(RIGHT(BT$43,2)&gt;RIGHT($K112,2),AX112,0))</f>
        <v>0</v>
      </c>
      <c r="BU112" s="387">
        <f>+IF($K112="Ongoing",AY112,IF(RIGHT($K112,2)=RIGHT(BU$43,2),SUM($AX112:AY112),0)+IF(RIGHT(BU$43,2)&gt;RIGHT($K112,2),AY112,0))</f>
        <v>0</v>
      </c>
      <c r="BV112" s="387">
        <f>+IF($K112="Ongoing",AZ112,IF(RIGHT($K112,2)=RIGHT(BV$43,2),SUM($AX112:AZ112),0)+IF(RIGHT(BV$43,2)&gt;RIGHT($K112,2),AZ112,0))</f>
        <v>0</v>
      </c>
      <c r="BW112" s="387">
        <f>+IF($K112="Ongoing",BA112,IF(RIGHT($K112,2)=RIGHT(BW$43,2),SUM($AX112:BA112),0)+IF(RIGHT(BW$43,2)&gt;RIGHT($K112,2),BA112,0))</f>
        <v>0</v>
      </c>
      <c r="BX112" s="1283">
        <f>+IF($K112="Ongoing",BB112,IF(RIGHT($K112,2)=RIGHT(BX$43,2),SUM($AX112:BB112),0)+IF(RIGHT(BX$43,2)&gt;RIGHT($K112,2),BB112,0))</f>
        <v>1.9641186750116215</v>
      </c>
      <c r="BY112" s="386">
        <f>+IF($K112="Ongoing",BC112,IF(RIGHT($K112,2)=RIGHT(BY$43,2),SUM($AX112:BC112),0)+IF(RIGHT(BY$43,2)&gt;RIGHT($K112,2),BC112,0))</f>
        <v>5.6523559563711094</v>
      </c>
      <c r="BZ112" s="387">
        <f>+IF($K112="Ongoing",BD112,IF(RIGHT($K112,2)=RIGHT(BZ$43,2),SUM($AX112:BD112),0)+IF(RIGHT(BZ$43,2)&gt;RIGHT($K112,2),BD112,0))</f>
        <v>1.2295764422932238</v>
      </c>
      <c r="CA112" s="1277">
        <f>+IF($K112="Ongoing",BE112,IF(RIGHT($K112,2)=RIGHT(CA$43,2),SUM($AX112:BE112),0)+IF(RIGHT(CA$43,2)&gt;RIGHT($K112,2),BE112,0))</f>
        <v>0</v>
      </c>
      <c r="CB112" s="1277">
        <f>+IF($K112="Ongoing",BF112,IF(RIGHT($K112,2)=RIGHT(CB$43,2),SUM($AX112:BF112),0)+IF(RIGHT(CB$43,2)&gt;RIGHT($K112,2),BF112,0))</f>
        <v>0</v>
      </c>
      <c r="CC112" s="388">
        <f>+IF($K112="Ongoing",BG112,IF(RIGHT($K112,2)=RIGHT(CC$43,2),SUM($AX112:BG112),0)+IF(RIGHT(CC$43,2)&gt;RIGHT($K112,2),BG112,0))</f>
        <v>0</v>
      </c>
      <c r="CD112" s="1025"/>
      <c r="CE112" s="1282">
        <f>+Q112*KeyAssumptionsPriceControl_FO!AF$15</f>
        <v>0</v>
      </c>
      <c r="CF112" s="387">
        <f>+R112*KeyAssumptionsPriceControl_FO!AG$15</f>
        <v>0</v>
      </c>
      <c r="CG112" s="387">
        <f>+S112*KeyAssumptionsPriceControl_FO!AH$15</f>
        <v>0</v>
      </c>
      <c r="CH112" s="387">
        <f>+T112*KeyAssumptionsPriceControl_FO!AI$15</f>
        <v>0</v>
      </c>
      <c r="CI112" s="1283">
        <f>+U112*KeyAssumptionsPriceControl_FO!AJ$15</f>
        <v>2.2659201360542363</v>
      </c>
      <c r="CJ112" s="386">
        <f>+V112*KeyAssumptionsPriceControl_FO!AK$15</f>
        <v>6.7099881353973432</v>
      </c>
      <c r="CK112" s="387">
        <f>+W112*KeyAssumptionsPriceControl_FO!AL$15</f>
        <v>1.5019765672442384</v>
      </c>
      <c r="CL112" s="1277">
        <f>+X112*KeyAssumptionsPriceControl_FO!AM$15</f>
        <v>0</v>
      </c>
      <c r="CM112" s="1277">
        <f>+Y112*KeyAssumptionsPriceControl_FO!AN$15</f>
        <v>0</v>
      </c>
      <c r="CN112" s="388">
        <f>+Z112*KeyAssumptionsPriceControl_FO!AO$15</f>
        <v>0</v>
      </c>
      <c r="CO112" s="1025"/>
      <c r="CP112" s="1282">
        <f t="shared" ca="1" si="267"/>
        <v>0</v>
      </c>
      <c r="CQ112" s="387">
        <f t="shared" ca="1" si="268"/>
        <v>0</v>
      </c>
      <c r="CR112" s="387">
        <f t="shared" ca="1" si="269"/>
        <v>0</v>
      </c>
      <c r="CS112" s="387">
        <f t="shared" ca="1" si="270"/>
        <v>0</v>
      </c>
      <c r="CT112" s="1283">
        <f t="shared" ca="1" si="271"/>
        <v>0</v>
      </c>
      <c r="CU112" s="386">
        <f t="shared" ca="1" si="272"/>
        <v>0</v>
      </c>
      <c r="CV112" s="387">
        <f t="shared" ca="1" si="273"/>
        <v>0</v>
      </c>
      <c r="CW112" s="1277">
        <f t="shared" ca="1" si="274"/>
        <v>0</v>
      </c>
      <c r="CX112" s="1277">
        <f t="shared" ca="1" si="275"/>
        <v>0</v>
      </c>
      <c r="CY112" s="388">
        <f t="shared" ca="1" si="276"/>
        <v>0</v>
      </c>
      <c r="CZ112" s="347"/>
      <c r="DA112" s="852"/>
      <c r="DB112" s="347"/>
      <c r="DC112" s="1012" t="s">
        <v>605</v>
      </c>
      <c r="DD112" s="841" t="s">
        <v>518</v>
      </c>
      <c r="DE112" s="386">
        <f>+IF($K112="ongoing",CE112,IF(RIGHT($K112,2)=RIGHT(DE$43,2),SUM($CD112:CE112),0)+IF(RIGHT(DE$43,2)&gt;RIGHT($K112,2),CE112,0))</f>
        <v>0</v>
      </c>
      <c r="DF112" s="387">
        <f>+IF($K112="ongoing",CF112,IF(RIGHT($K112,2)=RIGHT(DF$43,2),SUM($CD112:CF112),0)+IF(RIGHT(DF$43,2)&gt;RIGHT($K112,2),CF112,0))</f>
        <v>0</v>
      </c>
      <c r="DG112" s="388">
        <f>+IF($K112="ongoing",CG112,IF(RIGHT($K112,2)=RIGHT(DG$43,2),SUM($CD112:CG112),0)+IF(RIGHT(DG$43,2)&gt;RIGHT($K112,2),CG112,0))</f>
        <v>0</v>
      </c>
      <c r="DH112" s="386">
        <f>+IF($K112="ongoing",CH112,IF(RIGHT($K112,2)=RIGHT(DH$43,2),SUM($CD112:CH112),0)+IF(RIGHT(DH$43,2)&gt;RIGHT($K112,2),CH112,0))</f>
        <v>0</v>
      </c>
      <c r="DI112" s="387">
        <f>+IF($K112="ongoing",CI112,IF(RIGHT($K112,2)=RIGHT(DI$43,2),SUM($CD112:CI112),0)+IF(RIGHT(DI$43,2)&gt;RIGHT($K112,2),CI112,0))</f>
        <v>2.2659201360542363</v>
      </c>
      <c r="DJ112" s="387">
        <f>+IF($K112="ongoing",CJ112,IF(RIGHT($K112,2)=RIGHT(DJ$43,2),SUM($CD112:CJ112),0)+IF(RIGHT(DJ$43,2)&gt;RIGHT($K112,2),CJ112,0))</f>
        <v>6.7099881353973432</v>
      </c>
      <c r="DK112" s="387">
        <f>+IF($K112="ongoing",CK112,IF(RIGHT($K112,2)=RIGHT(DK$43,2),SUM($CD112:CK112),0)+IF(RIGHT(DK$43,2)&gt;RIGHT($K112,2),CK112,0))</f>
        <v>1.5019765672442384</v>
      </c>
      <c r="DL112" s="388">
        <f>+IF($K112="ongoing",CN112,IF(RIGHT($K112,2)=RIGHT(DL$43,2),SUM($CD112:CN112),0)+IF(RIGHT(DL$43,2)&gt;RIGHT($K112,2),CN112,0))</f>
        <v>0</v>
      </c>
      <c r="DM112" s="841"/>
      <c r="DN112" s="386">
        <f t="shared" si="277"/>
        <v>0.5</v>
      </c>
      <c r="DO112" s="387">
        <f t="shared" si="278"/>
        <v>1</v>
      </c>
      <c r="DP112" s="388">
        <f t="shared" si="279"/>
        <v>1</v>
      </c>
      <c r="DQ112" s="386">
        <f t="shared" si="280"/>
        <v>1</v>
      </c>
      <c r="DR112" s="387">
        <f t="shared" si="281"/>
        <v>1</v>
      </c>
      <c r="DS112" s="387">
        <f t="shared" si="282"/>
        <v>1</v>
      </c>
      <c r="DT112" s="387">
        <f t="shared" si="283"/>
        <v>1</v>
      </c>
      <c r="DU112" s="388">
        <f t="shared" si="284"/>
        <v>1</v>
      </c>
      <c r="DW112" s="386">
        <f t="shared" si="285"/>
        <v>0</v>
      </c>
      <c r="DX112" s="387">
        <f t="shared" si="286"/>
        <v>0.5</v>
      </c>
      <c r="DY112" s="388">
        <f t="shared" si="287"/>
        <v>1</v>
      </c>
      <c r="DZ112" s="386">
        <f t="shared" si="288"/>
        <v>1</v>
      </c>
      <c r="EA112" s="387">
        <f t="shared" si="289"/>
        <v>1</v>
      </c>
      <c r="EB112" s="387">
        <f t="shared" si="290"/>
        <v>1</v>
      </c>
      <c r="EC112" s="387">
        <f t="shared" si="291"/>
        <v>1</v>
      </c>
      <c r="ED112" s="388">
        <f t="shared" si="292"/>
        <v>1</v>
      </c>
      <c r="EF112" s="834">
        <f>+IF(DN112=DM112,0,
IF(AND(EF$44&gt;1,DN112=$N112),1-SUM($EE112:EE112),
IF($N112&lt;=1,
IF($N112&gt;0,1/$N112,0),
IF(EF$44=1,0,VDB(1,0,$N112,INT(EF$44-1-1),MIN($N112,INT(EF$44-1-1)+1),$DC112,IF($DD112="No",1,0))/
IF(DM112&gt;=INT($N112),$N112-INT($N112),1)))*
IF(EF$44=1,0,
IF(INT(DN112)=INT(DM112),DN112-DM112,INT(DN112)-DM112))+
IF($N112&lt;=1,
IF($N112&gt;0,1/$N112,0),VDB(1,0,$N112,INT(EF$44-1),MIN($N112,INT(EF$44-1)+1),$DC112,IF($DD112="No",1,0))/
IF(DN112&gt;INT($N112),$N112-INT($N112),1))*
IF(EF$44=1,DN112,
IF(INT(DN112)=INT(DM112),0,DN112-INT(DN112)))))</f>
        <v>0</v>
      </c>
      <c r="EG112" s="835">
        <f>+IF(DO112=DN112,0,
IF(AND(EG$44&gt;1,DO112=$N112),1-SUM($EE112:EF112),
IF($N112&lt;=1,
IF($N112&gt;0,1/$N112,0),
IF(EG$44=1,0,VDB(1,0,$N112,INT(EG$44-1-1),MIN($N112,INT(EG$44-1-1)+1),$DC112,IF($DD112="No",1,0))/
IF(DN112&gt;=INT($N112),$N112-INT($N112),1)))*
IF(EG$44=1,0,
IF(INT(DO112)=INT(DN112),DO112-DN112,INT(DO112)-DN112))+
IF($N112&lt;=1,
IF($N112&gt;0,1/$N112,0),VDB(1,0,$N112,INT(EG$44-1),MIN($N112,INT(EG$44-1)+1),$DC112,IF($DD112="No",1,0))/
IF(DO112&gt;INT($N112),$N112-INT($N112),1))*
IF(EG$44=1,DO112,
IF(INT(DO112)=INT(DN112),0,DO112-INT(DO112)))))</f>
        <v>0</v>
      </c>
      <c r="EH112" s="836">
        <f>+IF(DP112=DO112,0,
IF(AND(EH$44&gt;1,DP112=$N112),1-SUM($EE112:EG112),
IF($N112&lt;=1,
IF($N112&gt;0,1/$N112,0),
IF(EH$44=1,0,VDB(1,0,$N112,INT(EH$44-1-1),MIN($N112,INT(EH$44-1-1)+1),$DC112,IF($DD112="No",1,0))/
IF(DO112&gt;=INT($N112),$N112-INT($N112),1)))*
IF(EH$44=1,0,
IF(INT(DP112)=INT(DO112),DP112-DO112,INT(DP112)-DO112))+
IF($N112&lt;=1,
IF($N112&gt;0,1/$N112,0),VDB(1,0,$N112,INT(EH$44-1),MIN($N112,INT(EH$44-1)+1),$DC112,IF($DD112="No",1,0))/
IF(DP112&gt;INT($N112),$N112-INT($N112),1))*
IF(EH$44=1,DP112,
IF(INT(DP112)=INT(DO112),0,DP112-INT(DP112)))))</f>
        <v>0</v>
      </c>
      <c r="EI112" s="834">
        <f>+IF(DQ112=DP112,0,
IF(AND(EI$44&gt;1,DQ112=$N112),1-SUM($EE112:EH112),
IF($N112&lt;=1,
IF($N112&gt;0,1/$N112,0),
IF(EI$44=1,0,VDB(1,0,$N112,INT(EI$44-1-1),MIN($N112,INT(EI$44-1-1)+1),$DC112,IF($DD112="No",1,0))/
IF(DP112&gt;=INT($N112),$N112-INT($N112),1)))*
IF(EI$44=1,0,
IF(INT(DQ112)=INT(DP112),DQ112-DP112,INT(DQ112)-DP112))+
IF($N112&lt;=1,
IF($N112&gt;0,1/$N112,0),VDB(1,0,$N112,INT(EI$44-1),MIN($N112,INT(EI$44-1)+1),$DC112,IF($DD112="No",1,0))/
IF(DQ112&gt;INT($N112),$N112-INT($N112),1))*
IF(EI$44=1,DQ112,
IF(INT(DQ112)=INT(DP112),0,DQ112-INT(DQ112)))))</f>
        <v>0</v>
      </c>
      <c r="EJ112" s="835">
        <f>+IF(DR112=DQ112,0,
IF(AND(EJ$44&gt;1,DR112=$N112),1-SUM($EE112:EI112),
IF($N112&lt;=1,
IF($N112&gt;0,1/$N112,0),
IF(EJ$44=1,0,VDB(1,0,$N112,INT(EJ$44-1-1),MIN($N112,INT(EJ$44-1-1)+1),$DC112,IF($DD112="No",1,0))/
IF(DQ112&gt;=INT($N112),$N112-INT($N112),1)))*
IF(EJ$44=1,0,
IF(INT(DR112)=INT(DQ112),DR112-DQ112,INT(DR112)-DQ112))+
IF($N112&lt;=1,
IF($N112&gt;0,1/$N112,0),VDB(1,0,$N112,INT(EJ$44-1),MIN($N112,INT(EJ$44-1)+1),$DC112,IF($DD112="No",1,0))/
IF(DR112&gt;INT($N112),$N112-INT($N112),1))*
IF(EJ$44=1,DR112,
IF(INT(DR112)=INT(DQ112),0,DR112-INT(DR112)))))</f>
        <v>0</v>
      </c>
      <c r="EK112" s="835">
        <f>+IF(DS112=DR112,0,
IF(AND(EK$44&gt;1,DS112=$N112),1-SUM($EE112:EJ112),
IF($N112&lt;=1,
IF($N112&gt;0,1/$N112,0),
IF(EK$44=1,0,VDB(1,0,$N112,INT(EK$44-1-1),MIN($N112,INT(EK$44-1-1)+1),$DC112,IF($DD112="No",1,0))/
IF(DR112&gt;=INT($N112),$N112-INT($N112),1)))*
IF(EK$44=1,0,
IF(INT(DS112)=INT(DR112),DS112-DR112,INT(DS112)-DR112))+
IF($N112&lt;=1,
IF($N112&gt;0,1/$N112,0),VDB(1,0,$N112,INT(EK$44-1),MIN($N112,INT(EK$44-1)+1),$DC112,IF($DD112="No",1,0))/
IF(DS112&gt;INT($N112),$N112-INT($N112),1))*
IF(EK$44=1,DS112,
IF(INT(DS112)=INT(DR112),0,DS112-INT(DS112)))))</f>
        <v>0</v>
      </c>
      <c r="EL112" s="835">
        <f>+IF(DT112=DS112,0,
IF(AND(EL$44&gt;1,DT112=$N112),1-SUM($EE112:EK112),
IF($N112&lt;=1,
IF($N112&gt;0,1/$N112,0),
IF(EL$44=1,0,VDB(1,0,$N112,INT(EL$44-1-1),MIN($N112,INT(EL$44-1-1)+1),$DC112,IF($DD112="No",1,0))/
IF(DS112&gt;=INT($N112),$N112-INT($N112),1)))*
IF(EL$44=1,0,
IF(INT(DT112)=INT(DS112),DT112-DS112,INT(DT112)-DS112))+
IF($N112&lt;=1,
IF($N112&gt;0,1/$N112,0),VDB(1,0,$N112,INT(EL$44-1),MIN($N112,INT(EL$44-1)+1),$DC112,IF($DD112="No",1,0))/
IF(DT112&gt;INT($N112),$N112-INT($N112),1))*
IF(EL$44=1,DT112,
IF(INT(DT112)=INT(DS112),0,DT112-INT(DT112)))))</f>
        <v>0</v>
      </c>
      <c r="EM112" s="836">
        <f>+IF(DU112=DT112,0,
IF(AND(EM$44&gt;1,DU112=$N112),1-SUM($EE112:EL112),
IF($N112&lt;=1,
IF($N112&gt;0,1/$N112,0),
IF(EM$44=1,0,VDB(1,0,$N112,INT(EM$44-1-1),MIN($N112,INT(EM$44-1-1)+1),$DC112,IF($DD112="No",1,0))/
IF(DT112&gt;=INT($N112),$N112-INT($N112),1)))*
IF(EM$44=1,0,
IF(INT(DU112)=INT(DT112),DU112-DT112,INT(DU112)-DT112))+
IF($N112&lt;=1,
IF($N112&gt;0,1/$N112,0),VDB(1,0,$N112,INT(EM$44-1),MIN($N112,INT(EM$44-1)+1),$DC112,IF($DD112="No",1,0))/
IF(DU112&gt;INT($N112),$N112-INT($N112),1))*
IF(EM$44=1,DU112,
IF(INT(DU112)=INT(DT112),0,DU112-INT(DU112)))))</f>
        <v>0</v>
      </c>
      <c r="EN112" s="833"/>
      <c r="EO112" s="834">
        <f>+IF(OR(DW112=DV112,EO$44=1),0,
IF(AND(EO$44&gt;1,DW112=$N112),1-SUM($EN112:EN112),
IF($N112&lt;=1,
IF($N112&gt;0,1/$N112,0),
IF(EO$44=2,0,VDB(1,0,$N112,INT(EO$44-2-1),MIN($N112,INT(EO$44-2-1)+1),$DC112,IF($DD112="No",1,0))/
IF(DV112&gt;=INT($N112),$N112-INT($N112),1)))*
IF(EO$44=2,0,
IF(INT(DW112)=INT(DV112),DW112-DV112,INT(DW112)-DV112))+
IF($N112&lt;=1,
IF($N112&gt;0,1/$N112,0),VDB(1,0,$N112,INT(EO$44-2),MIN($N112,INT(EO$44-2)+1),$DC112,IF($DD112="No",1,0))/
IF(DW112&gt;INT($N112),$N112-INT($N112),1))*
IF(EO$44=2,DW112,
IF(INT(DW112)=INT(DV112),0,DW112-INT(DW112)))))</f>
        <v>0</v>
      </c>
      <c r="EP112" s="835">
        <f>+IF(OR(DX112=DW112,EP$44=1),0,
IF(AND(EP$44&gt;1,DX112=$N112),1-SUM($EN112:EO112),
IF($N112&lt;=1,
IF($N112&gt;0,1/$N112,0),
IF(EP$44=2,0,VDB(1,0,$N112,INT(EP$44-2-1),MIN($N112,INT(EP$44-2-1)+1),$DC112,IF($DD112="No",1,0))/
IF(DW112&gt;=INT($N112),$N112-INT($N112),1)))*
IF(EP$44=2,0,
IF(INT(DX112)=INT(DW112),DX112-DW112,INT(DX112)-DW112))+
IF($N112&lt;=1,
IF($N112&gt;0,1/$N112,0),VDB(1,0,$N112,INT(EP$44-2),MIN($N112,INT(EP$44-2)+1),$DC112,IF($DD112="No",1,0))/
IF(DX112&gt;INT($N112),$N112-INT($N112),1))*
IF(EP$44=2,DX112,
IF(INT(DX112)=INT(DW112),0,DX112-INT(DX112)))))</f>
        <v>0</v>
      </c>
      <c r="EQ112" s="836">
        <f>+IF(OR(DY112=DX112,EQ$44=1),0,
IF(AND(EQ$44&gt;1,DY112=$N112),1-SUM($EN112:EP112),
IF($N112&lt;=1,
IF($N112&gt;0,1/$N112,0),
IF(EQ$44=2,0,VDB(1,0,$N112,INT(EQ$44-2-1),MIN($N112,INT(EQ$44-2-1)+1),$DC112,IF($DD112="No",1,0))/
IF(DX112&gt;=INT($N112),$N112-INT($N112),1)))*
IF(EQ$44=2,0,
IF(INT(DY112)=INT(DX112),DY112-DX112,INT(DY112)-DX112))+
IF($N112&lt;=1,
IF($N112&gt;0,1/$N112,0),VDB(1,0,$N112,INT(EQ$44-2),MIN($N112,INT(EQ$44-2)+1),$DC112,IF($DD112="No",1,0))/
IF(DY112&gt;INT($N112),$N112-INT($N112),1))*
IF(EQ$44=2,DY112,
IF(INT(DY112)=INT(DX112),0,DY112-INT(DY112)))))</f>
        <v>0</v>
      </c>
      <c r="ER112" s="834">
        <f>+IF(OR(DZ112=DY112,ER$44=1),0,
IF(AND(ER$44&gt;1,DZ112=$N112),1-SUM($EN112:EQ112),
IF($N112&lt;=1,
IF($N112&gt;0,1/$N112,0),
IF(ER$44=2,0,VDB(1,0,$N112,INT(ER$44-2-1),MIN($N112,INT(ER$44-2-1)+1),$DC112,IF($DD112="No",1,0))/
IF(DY112&gt;=INT($N112),$N112-INT($N112),1)))*
IF(ER$44=2,0,
IF(INT(DZ112)=INT(DY112),DZ112-DY112,INT(DZ112)-DY112))+
IF($N112&lt;=1,
IF($N112&gt;0,1/$N112,0),VDB(1,0,$N112,INT(ER$44-2),MIN($N112,INT(ER$44-2)+1),$DC112,IF($DD112="No",1,0))/
IF(DZ112&gt;INT($N112),$N112-INT($N112),1))*
IF(ER$44=2,DZ112,
IF(INT(DZ112)=INT(DY112),0,DZ112-INT(DZ112)))))</f>
        <v>0</v>
      </c>
      <c r="ES112" s="835">
        <f>+IF(OR(EA112=DZ112,ES$44=1),0,
IF(AND(ES$44&gt;1,EA112=$N112),1-SUM($EN112:ER112),
IF($N112&lt;=1,
IF($N112&gt;0,1/$N112,0),
IF(ES$44=2,0,VDB(1,0,$N112,INT(ES$44-2-1),MIN($N112,INT(ES$44-2-1)+1),$DC112,IF($DD112="No",1,0))/
IF(DZ112&gt;=INT($N112),$N112-INT($N112),1)))*
IF(ES$44=2,0,
IF(INT(EA112)=INT(DZ112),EA112-DZ112,INT(EA112)-DZ112))+
IF($N112&lt;=1,
IF($N112&gt;0,1/$N112,0),VDB(1,0,$N112,INT(ES$44-2),MIN($N112,INT(ES$44-2)+1),$DC112,IF($DD112="No",1,0))/
IF(EA112&gt;INT($N112),$N112-INT($N112),1))*
IF(ES$44=2,EA112,
IF(INT(EA112)=INT(DZ112),0,EA112-INT(EA112)))))</f>
        <v>0</v>
      </c>
      <c r="ET112" s="835">
        <f>+IF(OR(EB112=EA112,ET$44=1),0,
IF(AND(ET$44&gt;1,EB112=$N112),1-SUM($EN112:ES112),
IF($N112&lt;=1,
IF($N112&gt;0,1/$N112,0),
IF(ET$44=2,0,VDB(1,0,$N112,INT(ET$44-2-1),MIN($N112,INT(ET$44-2-1)+1),$DC112,IF($DD112="No",1,0))/
IF(EA112&gt;=INT($N112),$N112-INT($N112),1)))*
IF(ET$44=2,0,
IF(INT(EB112)=INT(EA112),EB112-EA112,INT(EB112)-EA112))+
IF($N112&lt;=1,
IF($N112&gt;0,1/$N112,0),VDB(1,0,$N112,INT(ET$44-2),MIN($N112,INT(ET$44-2)+1),$DC112,IF($DD112="No",1,0))/
IF(EB112&gt;INT($N112),$N112-INT($N112),1))*
IF(ET$44=2,EB112,
IF(INT(EB112)=INT(EA112),0,EB112-INT(EB112)))))</f>
        <v>0</v>
      </c>
      <c r="EU112" s="835">
        <f>+IF(OR(EC112=EB112,EU$44=1),0,
IF(AND(EU$44&gt;1,EC112=$N112),1-SUM($EN112:ET112),
IF($N112&lt;=1,
IF($N112&gt;0,1/$N112,0),
IF(EU$44=2,0,VDB(1,0,$N112,INT(EU$44-2-1),MIN($N112,INT(EU$44-2-1)+1),$DC112,IF($DD112="No",1,0))/
IF(EB112&gt;=INT($N112),$N112-INT($N112),1)))*
IF(EU$44=2,0,
IF(INT(EC112)=INT(EB112),EC112-EB112,INT(EC112)-EB112))+
IF($N112&lt;=1,
IF($N112&gt;0,1/$N112,0),VDB(1,0,$N112,INT(EU$44-2),MIN($N112,INT(EU$44-2)+1),$DC112,IF($DD112="No",1,0))/
IF(EC112&gt;INT($N112),$N112-INT($N112),1))*
IF(EU$44=2,EC112,
IF(INT(EC112)=INT(EB112),0,EC112-INT(EC112)))))</f>
        <v>0</v>
      </c>
      <c r="EV112" s="836">
        <f>+IF(OR(ED112=EC112,EV$44=1),0,
IF(AND(EV$44&gt;1,ED112=$N112),1-SUM($EN112:EU112),
IF($N112&lt;=1,
IF($N112&gt;0,1/$N112,0),
IF(EV$44=2,0,VDB(1,0,$N112,INT(EV$44-2-1),MIN($N112,INT(EV$44-2-1)+1),$DC112,IF($DD112="No",1,0))/
IF(EC112&gt;=INT($N112),$N112-INT($N112),1)))*
IF(EV$44=2,0,
IF(INT(ED112)=INT(EC112),ED112-EC112,INT(ED112)-EC112))+
IF($N112&lt;=1,
IF($N112&gt;0,1/$N112,0),VDB(1,0,$N112,INT(EV$44-2),MIN($N112,INT(EV$44-2)+1),$DC112,IF($DD112="No",1,0))/
IF(ED112&gt;INT($N112),$N112-INT($N112),1))*
IF(EV$44=2,ED112,
IF(INT(ED112)=INT(EC112),0,ED112-INT(ED112)))))</f>
        <v>0</v>
      </c>
      <c r="EW112" s="833"/>
      <c r="EX112" s="834">
        <f t="shared" ca="1" si="301"/>
        <v>0</v>
      </c>
      <c r="EY112" s="835">
        <f t="shared" ca="1" si="301"/>
        <v>0</v>
      </c>
      <c r="EZ112" s="836">
        <f t="shared" ca="1" si="301"/>
        <v>0</v>
      </c>
      <c r="FA112" s="834">
        <f t="shared" ca="1" si="301"/>
        <v>0</v>
      </c>
      <c r="FB112" s="835">
        <f t="shared" ca="1" si="301"/>
        <v>0</v>
      </c>
      <c r="FC112" s="835">
        <f t="shared" ca="1" si="301"/>
        <v>0</v>
      </c>
      <c r="FD112" s="835">
        <f t="shared" ca="1" si="301"/>
        <v>0</v>
      </c>
      <c r="FE112" s="836">
        <f t="shared" ca="1" si="301"/>
        <v>0</v>
      </c>
      <c r="FG112" s="386">
        <f t="shared" ca="1" si="293"/>
        <v>0</v>
      </c>
      <c r="FH112" s="387">
        <f t="shared" ca="1" si="294"/>
        <v>0</v>
      </c>
      <c r="FI112" s="388">
        <f t="shared" ca="1" si="295"/>
        <v>0</v>
      </c>
      <c r="FJ112" s="386">
        <f t="shared" ca="1" si="296"/>
        <v>0</v>
      </c>
      <c r="FK112" s="387">
        <f t="shared" ca="1" si="297"/>
        <v>0</v>
      </c>
      <c r="FL112" s="387">
        <f t="shared" ca="1" si="298"/>
        <v>0</v>
      </c>
      <c r="FM112" s="387">
        <f t="shared" ca="1" si="299"/>
        <v>0</v>
      </c>
      <c r="FN112" s="388">
        <f t="shared" ca="1" si="300"/>
        <v>0</v>
      </c>
      <c r="FR112" s="116"/>
    </row>
    <row r="113" spans="2:174">
      <c r="B113" s="1410">
        <f t="shared" si="135"/>
        <v>67</v>
      </c>
      <c r="C113" s="400" t="s">
        <v>604</v>
      </c>
      <c r="D113" s="410"/>
      <c r="E113" s="402" t="s">
        <v>401</v>
      </c>
      <c r="F113" s="402" t="s">
        <v>520</v>
      </c>
      <c r="G113" s="400" t="s">
        <v>525</v>
      </c>
      <c r="H113" s="2088" t="s">
        <v>483</v>
      </c>
      <c r="I113" s="2089"/>
      <c r="J113" s="411" t="s">
        <v>516</v>
      </c>
      <c r="K113" s="403" t="s">
        <v>544</v>
      </c>
      <c r="L113" s="403">
        <v>110</v>
      </c>
      <c r="M113" s="403" t="s">
        <v>142</v>
      </c>
      <c r="N113" s="403"/>
      <c r="O113" s="347"/>
      <c r="P113" s="347"/>
      <c r="Q113" s="1021">
        <v>5.0291912195121951</v>
      </c>
      <c r="R113" s="1022">
        <v>18.653658536585368</v>
      </c>
      <c r="S113" s="1022">
        <v>10.767110169614488</v>
      </c>
      <c r="T113" s="1022">
        <v>0</v>
      </c>
      <c r="U113" s="1023">
        <v>0</v>
      </c>
      <c r="V113" s="1021">
        <v>0</v>
      </c>
      <c r="W113" s="1022">
        <v>0</v>
      </c>
      <c r="X113" s="1022">
        <v>0</v>
      </c>
      <c r="Y113" s="1022">
        <v>0</v>
      </c>
      <c r="Z113" s="1023">
        <v>0</v>
      </c>
      <c r="AA113" s="1024"/>
      <c r="AB113" s="1021">
        <v>0</v>
      </c>
      <c r="AC113" s="1022">
        <v>0</v>
      </c>
      <c r="AD113" s="1022">
        <v>0</v>
      </c>
      <c r="AE113" s="1022">
        <v>0</v>
      </c>
      <c r="AF113" s="1023">
        <v>0</v>
      </c>
      <c r="AG113" s="1021">
        <v>0</v>
      </c>
      <c r="AH113" s="1022">
        <v>0</v>
      </c>
      <c r="AI113" s="1022">
        <v>0</v>
      </c>
      <c r="AJ113" s="1022">
        <v>0</v>
      </c>
      <c r="AK113" s="1023">
        <v>0</v>
      </c>
      <c r="AL113" s="1024"/>
      <c r="AM113" s="1021">
        <v>0</v>
      </c>
      <c r="AN113" s="1022">
        <v>0</v>
      </c>
      <c r="AO113" s="1022">
        <v>0</v>
      </c>
      <c r="AP113" s="1022">
        <v>0</v>
      </c>
      <c r="AQ113" s="1023">
        <v>0</v>
      </c>
      <c r="AR113" s="1021">
        <v>0</v>
      </c>
      <c r="AS113" s="1022">
        <v>0</v>
      </c>
      <c r="AT113" s="1022">
        <v>0</v>
      </c>
      <c r="AU113" s="1022">
        <v>0</v>
      </c>
      <c r="AV113" s="1023">
        <v>0</v>
      </c>
      <c r="AW113" s="1025"/>
      <c r="AX113" s="1282">
        <f t="shared" si="247"/>
        <v>5.0291912195121951</v>
      </c>
      <c r="AY113" s="387">
        <f t="shared" si="248"/>
        <v>18.653658536585368</v>
      </c>
      <c r="AZ113" s="387">
        <f t="shared" si="249"/>
        <v>10.767110169614488</v>
      </c>
      <c r="BA113" s="387">
        <f t="shared" si="250"/>
        <v>0</v>
      </c>
      <c r="BB113" s="1283">
        <f t="shared" si="251"/>
        <v>0</v>
      </c>
      <c r="BC113" s="386">
        <f t="shared" si="252"/>
        <v>0</v>
      </c>
      <c r="BD113" s="387">
        <f t="shared" si="253"/>
        <v>0</v>
      </c>
      <c r="BE113" s="1277">
        <f t="shared" si="254"/>
        <v>0</v>
      </c>
      <c r="BF113" s="1277">
        <f t="shared" si="255"/>
        <v>0</v>
      </c>
      <c r="BG113" s="388">
        <f t="shared" si="256"/>
        <v>0</v>
      </c>
      <c r="BH113" s="1025"/>
      <c r="BI113" s="1282">
        <f t="shared" ca="1" si="257"/>
        <v>2.2859960088691796E-2</v>
      </c>
      <c r="BJ113" s="387">
        <f t="shared" ca="1" si="258"/>
        <v>0.13050927716186256</v>
      </c>
      <c r="BK113" s="387">
        <f t="shared" ca="1" si="259"/>
        <v>0.26424004400822554</v>
      </c>
      <c r="BL113" s="387">
        <f t="shared" ca="1" si="260"/>
        <v>0.31318145387010954</v>
      </c>
      <c r="BM113" s="1283">
        <f t="shared" ca="1" si="261"/>
        <v>0.31318145387010954</v>
      </c>
      <c r="BN113" s="386">
        <f t="shared" ca="1" si="262"/>
        <v>0.31318145387010954</v>
      </c>
      <c r="BO113" s="387">
        <f t="shared" ca="1" si="263"/>
        <v>0.31318145387010954</v>
      </c>
      <c r="BP113" s="1277">
        <f t="shared" ca="1" si="264"/>
        <v>0.31318145387010954</v>
      </c>
      <c r="BQ113" s="1277">
        <f t="shared" ca="1" si="265"/>
        <v>0.31318145387010954</v>
      </c>
      <c r="BR113" s="388">
        <f t="shared" ca="1" si="266"/>
        <v>0.31318145387010954</v>
      </c>
      <c r="BS113" s="1025"/>
      <c r="BT113" s="1282">
        <f>+IF($K113="Ongoing",AX113,IF(RIGHT($K113,2)=RIGHT(BT$43,2),SUM($AX113:AX113),0)+IF(RIGHT(BT$43,2)&gt;RIGHT($K113,2),AX113,0))</f>
        <v>5.0291912195121951</v>
      </c>
      <c r="BU113" s="387">
        <f>+IF($K113="Ongoing",AY113,IF(RIGHT($K113,2)=RIGHT(BU$43,2),SUM($AX113:AY113),0)+IF(RIGHT(BU$43,2)&gt;RIGHT($K113,2),AY113,0))</f>
        <v>18.653658536585368</v>
      </c>
      <c r="BV113" s="387">
        <f>+IF($K113="Ongoing",AZ113,IF(RIGHT($K113,2)=RIGHT(BV$43,2),SUM($AX113:AZ113),0)+IF(RIGHT(BV$43,2)&gt;RIGHT($K113,2),AZ113,0))</f>
        <v>10.767110169614488</v>
      </c>
      <c r="BW113" s="387">
        <f>+IF($K113="Ongoing",BA113,IF(RIGHT($K113,2)=RIGHT(BW$43,2),SUM($AX113:BA113),0)+IF(RIGHT(BW$43,2)&gt;RIGHT($K113,2),BA113,0))</f>
        <v>0</v>
      </c>
      <c r="BX113" s="1283">
        <f>+IF($K113="Ongoing",BB113,IF(RIGHT($K113,2)=RIGHT(BX$43,2),SUM($AX113:BB113),0)+IF(RIGHT(BX$43,2)&gt;RIGHT($K113,2),BB113,0))</f>
        <v>0</v>
      </c>
      <c r="BY113" s="386">
        <f>+IF($K113="Ongoing",BC113,IF(RIGHT($K113,2)=RIGHT(BY$43,2),SUM($AX113:BC113),0)+IF(RIGHT(BY$43,2)&gt;RIGHT($K113,2),BC113,0))</f>
        <v>0</v>
      </c>
      <c r="BZ113" s="387">
        <f>+IF($K113="Ongoing",BD113,IF(RIGHT($K113,2)=RIGHT(BZ$43,2),SUM($AX113:BD113),0)+IF(RIGHT(BZ$43,2)&gt;RIGHT($K113,2),BD113,0))</f>
        <v>0</v>
      </c>
      <c r="CA113" s="1277">
        <f>+IF($K113="Ongoing",BE113,IF(RIGHT($K113,2)=RIGHT(CA$43,2),SUM($AX113:BE113),0)+IF(RIGHT(CA$43,2)&gt;RIGHT($K113,2),BE113,0))</f>
        <v>0</v>
      </c>
      <c r="CB113" s="1277">
        <f>+IF($K113="Ongoing",BF113,IF(RIGHT($K113,2)=RIGHT(CB$43,2),SUM($AX113:BF113),0)+IF(RIGHT(CB$43,2)&gt;RIGHT($K113,2),BF113,0))</f>
        <v>0</v>
      </c>
      <c r="CC113" s="388">
        <f>+IF($K113="Ongoing",BG113,IF(RIGHT($K113,2)=RIGHT(CC$43,2),SUM($AX113:BG113),0)+IF(RIGHT(CC$43,2)&gt;RIGHT($K113,2),BG113,0))</f>
        <v>0</v>
      </c>
      <c r="CD113" s="1025"/>
      <c r="CE113" s="1282">
        <f>+Q113*KeyAssumptionsPriceControl_FO!AF$15</f>
        <v>5.1750377648780486</v>
      </c>
      <c r="CF113" s="387">
        <f>+R113*KeyAssumptionsPriceControl_FO!AG$15</f>
        <v>19.751258458536586</v>
      </c>
      <c r="CG113" s="387">
        <f>+S113*KeyAssumptionsPriceControl_FO!AH$15</f>
        <v>11.731276772378811</v>
      </c>
      <c r="CH113" s="387">
        <f>+T113*KeyAssumptionsPriceControl_FO!AI$15</f>
        <v>0</v>
      </c>
      <c r="CI113" s="1283">
        <f>+U113*KeyAssumptionsPriceControl_FO!AJ$15</f>
        <v>0</v>
      </c>
      <c r="CJ113" s="386">
        <f>+V113*KeyAssumptionsPriceControl_FO!AK$15</f>
        <v>0</v>
      </c>
      <c r="CK113" s="387">
        <f>+W113*KeyAssumptionsPriceControl_FO!AL$15</f>
        <v>0</v>
      </c>
      <c r="CL113" s="1277">
        <f>+X113*KeyAssumptionsPriceControl_FO!AM$15</f>
        <v>0</v>
      </c>
      <c r="CM113" s="1277">
        <f>+Y113*KeyAssumptionsPriceControl_FO!AN$15</f>
        <v>0</v>
      </c>
      <c r="CN113" s="388">
        <f>+Z113*KeyAssumptionsPriceControl_FO!AO$15</f>
        <v>0</v>
      </c>
      <c r="CO113" s="1025"/>
      <c r="CP113" s="1282">
        <f t="shared" ca="1" si="267"/>
        <v>0</v>
      </c>
      <c r="CQ113" s="387">
        <f t="shared" ca="1" si="268"/>
        <v>0</v>
      </c>
      <c r="CR113" s="387">
        <f t="shared" ca="1" si="269"/>
        <v>0</v>
      </c>
      <c r="CS113" s="387">
        <f t="shared" ca="1" si="270"/>
        <v>0</v>
      </c>
      <c r="CT113" s="1283">
        <f t="shared" ca="1" si="271"/>
        <v>0</v>
      </c>
      <c r="CU113" s="386">
        <f t="shared" ca="1" si="272"/>
        <v>0</v>
      </c>
      <c r="CV113" s="387">
        <f t="shared" ca="1" si="273"/>
        <v>0</v>
      </c>
      <c r="CW113" s="1277">
        <f t="shared" ca="1" si="274"/>
        <v>0</v>
      </c>
      <c r="CX113" s="1277">
        <f t="shared" ca="1" si="275"/>
        <v>0</v>
      </c>
      <c r="CY113" s="388">
        <f t="shared" ca="1" si="276"/>
        <v>0</v>
      </c>
      <c r="CZ113" s="347"/>
      <c r="DA113" s="852"/>
      <c r="DB113" s="347"/>
      <c r="DC113" s="1012" t="s">
        <v>606</v>
      </c>
      <c r="DD113" s="841" t="s">
        <v>518</v>
      </c>
      <c r="DE113" s="386">
        <f>+IF($K113="ongoing",CE113,IF(RIGHT($K113,2)=RIGHT(DE$43,2),SUM($CD113:CE113),0)+IF(RIGHT(DE$43,2)&gt;RIGHT($K113,2),CE113,0))</f>
        <v>5.1750377648780486</v>
      </c>
      <c r="DF113" s="387">
        <f>+IF($K113="ongoing",CF113,IF(RIGHT($K113,2)=RIGHT(DF$43,2),SUM($CD113:CF113),0)+IF(RIGHT(DF$43,2)&gt;RIGHT($K113,2),CF113,0))</f>
        <v>19.751258458536586</v>
      </c>
      <c r="DG113" s="388">
        <f>+IF($K113="ongoing",CG113,IF(RIGHT($K113,2)=RIGHT(DG$43,2),SUM($CD113:CG113),0)+IF(RIGHT(DG$43,2)&gt;RIGHT($K113,2),CG113,0))</f>
        <v>11.731276772378811</v>
      </c>
      <c r="DH113" s="386">
        <f>+IF($K113="ongoing",CH113,IF(RIGHT($K113,2)=RIGHT(DH$43,2),SUM($CD113:CH113),0)+IF(RIGHT(DH$43,2)&gt;RIGHT($K113,2),CH113,0))</f>
        <v>0</v>
      </c>
      <c r="DI113" s="387">
        <f>+IF($K113="ongoing",CI113,IF(RIGHT($K113,2)=RIGHT(DI$43,2),SUM($CD113:CI113),0)+IF(RIGHT(DI$43,2)&gt;RIGHT($K113,2),CI113,0))</f>
        <v>0</v>
      </c>
      <c r="DJ113" s="387">
        <f>+IF($K113="ongoing",CJ113,IF(RIGHT($K113,2)=RIGHT(DJ$43,2),SUM($CD113:CJ113),0)+IF(RIGHT(DJ$43,2)&gt;RIGHT($K113,2),CJ113,0))</f>
        <v>0</v>
      </c>
      <c r="DK113" s="387">
        <f>+IF($K113="ongoing",CK113,IF(RIGHT($K113,2)=RIGHT(DK$43,2),SUM($CD113:CK113),0)+IF(RIGHT(DK$43,2)&gt;RIGHT($K113,2),CK113,0))</f>
        <v>0</v>
      </c>
      <c r="DL113" s="388">
        <f>+IF($K113="ongoing",CN113,IF(RIGHT($K113,2)=RIGHT(DL$43,2),SUM($CD113:CN113),0)+IF(RIGHT(DL$43,2)&gt;RIGHT($K113,2),CN113,0))</f>
        <v>0</v>
      </c>
      <c r="DM113" s="841"/>
      <c r="DN113" s="386">
        <f t="shared" si="277"/>
        <v>0.5</v>
      </c>
      <c r="DO113" s="387">
        <f t="shared" si="278"/>
        <v>1</v>
      </c>
      <c r="DP113" s="388">
        <f t="shared" si="279"/>
        <v>1</v>
      </c>
      <c r="DQ113" s="386">
        <f t="shared" si="280"/>
        <v>1</v>
      </c>
      <c r="DR113" s="387">
        <f t="shared" si="281"/>
        <v>1</v>
      </c>
      <c r="DS113" s="387">
        <f t="shared" si="282"/>
        <v>1</v>
      </c>
      <c r="DT113" s="387">
        <f t="shared" si="283"/>
        <v>1</v>
      </c>
      <c r="DU113" s="388">
        <f t="shared" si="284"/>
        <v>1</v>
      </c>
      <c r="DW113" s="386">
        <f t="shared" si="285"/>
        <v>0</v>
      </c>
      <c r="DX113" s="387">
        <f t="shared" si="286"/>
        <v>0.5</v>
      </c>
      <c r="DY113" s="388">
        <f t="shared" si="287"/>
        <v>1</v>
      </c>
      <c r="DZ113" s="386">
        <f t="shared" si="288"/>
        <v>1</v>
      </c>
      <c r="EA113" s="387">
        <f t="shared" si="289"/>
        <v>1</v>
      </c>
      <c r="EB113" s="387">
        <f t="shared" si="290"/>
        <v>1</v>
      </c>
      <c r="EC113" s="387">
        <f t="shared" si="291"/>
        <v>1</v>
      </c>
      <c r="ED113" s="388">
        <f t="shared" si="292"/>
        <v>1</v>
      </c>
      <c r="EF113" s="834">
        <f>+IF(DN113=DM113,0,
IF(AND(EF$44&gt;1,DN113=$N113),1-SUM($EE113:EE113),
IF($N113&lt;=1,
IF($N113&gt;0,1/$N113,0),
IF(EF$44=1,0,VDB(1,0,$N113,INT(EF$44-1-1),MIN($N113,INT(EF$44-1-1)+1),$DC113,IF($DD113="No",1,0))/
IF(DM113&gt;=INT($N113),$N113-INT($N113),1)))*
IF(EF$44=1,0,
IF(INT(DN113)=INT(DM113),DN113-DM113,INT(DN113)-DM113))+
IF($N113&lt;=1,
IF($N113&gt;0,1/$N113,0),VDB(1,0,$N113,INT(EF$44-1),MIN($N113,INT(EF$44-1)+1),$DC113,IF($DD113="No",1,0))/
IF(DN113&gt;INT($N113),$N113-INT($N113),1))*
IF(EF$44=1,DN113,
IF(INT(DN113)=INT(DM113),0,DN113-INT(DN113)))))</f>
        <v>0</v>
      </c>
      <c r="EG113" s="835">
        <f>+IF(DO113=DN113,0,
IF(AND(EG$44&gt;1,DO113=$N113),1-SUM($EE113:EF113),
IF($N113&lt;=1,
IF($N113&gt;0,1/$N113,0),
IF(EG$44=1,0,VDB(1,0,$N113,INT(EG$44-1-1),MIN($N113,INT(EG$44-1-1)+1),$DC113,IF($DD113="No",1,0))/
IF(DN113&gt;=INT($N113),$N113-INT($N113),1)))*
IF(EG$44=1,0,
IF(INT(DO113)=INT(DN113),DO113-DN113,INT(DO113)-DN113))+
IF($N113&lt;=1,
IF($N113&gt;0,1/$N113,0),VDB(1,0,$N113,INT(EG$44-1),MIN($N113,INT(EG$44-1)+1),$DC113,IF($DD113="No",1,0))/
IF(DO113&gt;INT($N113),$N113-INT($N113),1))*
IF(EG$44=1,DO113,
IF(INT(DO113)=INT(DN113),0,DO113-INT(DO113)))))</f>
        <v>0</v>
      </c>
      <c r="EH113" s="836">
        <f>+IF(DP113=DO113,0,
IF(AND(EH$44&gt;1,DP113=$N113),1-SUM($EE113:EG113),
IF($N113&lt;=1,
IF($N113&gt;0,1/$N113,0),
IF(EH$44=1,0,VDB(1,0,$N113,INT(EH$44-1-1),MIN($N113,INT(EH$44-1-1)+1),$DC113,IF($DD113="No",1,0))/
IF(DO113&gt;=INT($N113),$N113-INT($N113),1)))*
IF(EH$44=1,0,
IF(INT(DP113)=INT(DO113),DP113-DO113,INT(DP113)-DO113))+
IF($N113&lt;=1,
IF($N113&gt;0,1/$N113,0),VDB(1,0,$N113,INT(EH$44-1),MIN($N113,INT(EH$44-1)+1),$DC113,IF($DD113="No",1,0))/
IF(DP113&gt;INT($N113),$N113-INT($N113),1))*
IF(EH$44=1,DP113,
IF(INT(DP113)=INT(DO113),0,DP113-INT(DP113)))))</f>
        <v>0</v>
      </c>
      <c r="EI113" s="834">
        <f>+IF(DQ113=DP113,0,
IF(AND(EI$44&gt;1,DQ113=$N113),1-SUM($EE113:EH113),
IF($N113&lt;=1,
IF($N113&gt;0,1/$N113,0),
IF(EI$44=1,0,VDB(1,0,$N113,INT(EI$44-1-1),MIN($N113,INT(EI$44-1-1)+1),$DC113,IF($DD113="No",1,0))/
IF(DP113&gt;=INT($N113),$N113-INT($N113),1)))*
IF(EI$44=1,0,
IF(INT(DQ113)=INT(DP113),DQ113-DP113,INT(DQ113)-DP113))+
IF($N113&lt;=1,
IF($N113&gt;0,1/$N113,0),VDB(1,0,$N113,INT(EI$44-1),MIN($N113,INT(EI$44-1)+1),$DC113,IF($DD113="No",1,0))/
IF(DQ113&gt;INT($N113),$N113-INT($N113),1))*
IF(EI$44=1,DQ113,
IF(INT(DQ113)=INT(DP113),0,DQ113-INT(DQ113)))))</f>
        <v>0</v>
      </c>
      <c r="EJ113" s="835">
        <f>+IF(DR113=DQ113,0,
IF(AND(EJ$44&gt;1,DR113=$N113),1-SUM($EE113:EI113),
IF($N113&lt;=1,
IF($N113&gt;0,1/$N113,0),
IF(EJ$44=1,0,VDB(1,0,$N113,INT(EJ$44-1-1),MIN($N113,INT(EJ$44-1-1)+1),$DC113,IF($DD113="No",1,0))/
IF(DQ113&gt;=INT($N113),$N113-INT($N113),1)))*
IF(EJ$44=1,0,
IF(INT(DR113)=INT(DQ113),DR113-DQ113,INT(DR113)-DQ113))+
IF($N113&lt;=1,
IF($N113&gt;0,1/$N113,0),VDB(1,0,$N113,INT(EJ$44-1),MIN($N113,INT(EJ$44-1)+1),$DC113,IF($DD113="No",1,0))/
IF(DR113&gt;INT($N113),$N113-INT($N113),1))*
IF(EJ$44=1,DR113,
IF(INT(DR113)=INT(DQ113),0,DR113-INT(DR113)))))</f>
        <v>0</v>
      </c>
      <c r="EK113" s="835">
        <f>+IF(DS113=DR113,0,
IF(AND(EK$44&gt;1,DS113=$N113),1-SUM($EE113:EJ113),
IF($N113&lt;=1,
IF($N113&gt;0,1/$N113,0),
IF(EK$44=1,0,VDB(1,0,$N113,INT(EK$44-1-1),MIN($N113,INT(EK$44-1-1)+1),$DC113,IF($DD113="No",1,0))/
IF(DR113&gt;=INT($N113),$N113-INT($N113),1)))*
IF(EK$44=1,0,
IF(INT(DS113)=INT(DR113),DS113-DR113,INT(DS113)-DR113))+
IF($N113&lt;=1,
IF($N113&gt;0,1/$N113,0),VDB(1,0,$N113,INT(EK$44-1),MIN($N113,INT(EK$44-1)+1),$DC113,IF($DD113="No",1,0))/
IF(DS113&gt;INT($N113),$N113-INT($N113),1))*
IF(EK$44=1,DS113,
IF(INT(DS113)=INT(DR113),0,DS113-INT(DS113)))))</f>
        <v>0</v>
      </c>
      <c r="EL113" s="835">
        <f>+IF(DT113=DS113,0,
IF(AND(EL$44&gt;1,DT113=$N113),1-SUM($EE113:EK113),
IF($N113&lt;=1,
IF($N113&gt;0,1/$N113,0),
IF(EL$44=1,0,VDB(1,0,$N113,INT(EL$44-1-1),MIN($N113,INT(EL$44-1-1)+1),$DC113,IF($DD113="No",1,0))/
IF(DS113&gt;=INT($N113),$N113-INT($N113),1)))*
IF(EL$44=1,0,
IF(INT(DT113)=INT(DS113),DT113-DS113,INT(DT113)-DS113))+
IF($N113&lt;=1,
IF($N113&gt;0,1/$N113,0),VDB(1,0,$N113,INT(EL$44-1),MIN($N113,INT(EL$44-1)+1),$DC113,IF($DD113="No",1,0))/
IF(DT113&gt;INT($N113),$N113-INT($N113),1))*
IF(EL$44=1,DT113,
IF(INT(DT113)=INT(DS113),0,DT113-INT(DT113)))))</f>
        <v>0</v>
      </c>
      <c r="EM113" s="836">
        <f>+IF(DU113=DT113,0,
IF(AND(EM$44&gt;1,DU113=$N113),1-SUM($EE113:EL113),
IF($N113&lt;=1,
IF($N113&gt;0,1/$N113,0),
IF(EM$44=1,0,VDB(1,0,$N113,INT(EM$44-1-1),MIN($N113,INT(EM$44-1-1)+1),$DC113,IF($DD113="No",1,0))/
IF(DT113&gt;=INT($N113),$N113-INT($N113),1)))*
IF(EM$44=1,0,
IF(INT(DU113)=INT(DT113),DU113-DT113,INT(DU113)-DT113))+
IF($N113&lt;=1,
IF($N113&gt;0,1/$N113,0),VDB(1,0,$N113,INT(EM$44-1),MIN($N113,INT(EM$44-1)+1),$DC113,IF($DD113="No",1,0))/
IF(DU113&gt;INT($N113),$N113-INT($N113),1))*
IF(EM$44=1,DU113,
IF(INT(DU113)=INT(DT113),0,DU113-INT(DU113)))))</f>
        <v>0</v>
      </c>
      <c r="EN113" s="833"/>
      <c r="EO113" s="834">
        <f>+IF(OR(DW113=DV113,EO$44=1),0,
IF(AND(EO$44&gt;1,DW113=$N113),1-SUM($EN113:EN113),
IF($N113&lt;=1,
IF($N113&gt;0,1/$N113,0),
IF(EO$44=2,0,VDB(1,0,$N113,INT(EO$44-2-1),MIN($N113,INT(EO$44-2-1)+1),$DC113,IF($DD113="No",1,0))/
IF(DV113&gt;=INT($N113),$N113-INT($N113),1)))*
IF(EO$44=2,0,
IF(INT(DW113)=INT(DV113),DW113-DV113,INT(DW113)-DV113))+
IF($N113&lt;=1,
IF($N113&gt;0,1/$N113,0),VDB(1,0,$N113,INT(EO$44-2),MIN($N113,INT(EO$44-2)+1),$DC113,IF($DD113="No",1,0))/
IF(DW113&gt;INT($N113),$N113-INT($N113),1))*
IF(EO$44=2,DW113,
IF(INT(DW113)=INT(DV113),0,DW113-INT(DW113)))))</f>
        <v>0</v>
      </c>
      <c r="EP113" s="835">
        <f>+IF(OR(DX113=DW113,EP$44=1),0,
IF(AND(EP$44&gt;1,DX113=$N113),1-SUM($EN113:EO113),
IF($N113&lt;=1,
IF($N113&gt;0,1/$N113,0),
IF(EP$44=2,0,VDB(1,0,$N113,INT(EP$44-2-1),MIN($N113,INT(EP$44-2-1)+1),$DC113,IF($DD113="No",1,0))/
IF(DW113&gt;=INT($N113),$N113-INT($N113),1)))*
IF(EP$44=2,0,
IF(INT(DX113)=INT(DW113),DX113-DW113,INT(DX113)-DW113))+
IF($N113&lt;=1,
IF($N113&gt;0,1/$N113,0),VDB(1,0,$N113,INT(EP$44-2),MIN($N113,INT(EP$44-2)+1),$DC113,IF($DD113="No",1,0))/
IF(DX113&gt;INT($N113),$N113-INT($N113),1))*
IF(EP$44=2,DX113,
IF(INT(DX113)=INT(DW113),0,DX113-INT(DX113)))))</f>
        <v>0</v>
      </c>
      <c r="EQ113" s="836">
        <f>+IF(OR(DY113=DX113,EQ$44=1),0,
IF(AND(EQ$44&gt;1,DY113=$N113),1-SUM($EN113:EP113),
IF($N113&lt;=1,
IF($N113&gt;0,1/$N113,0),
IF(EQ$44=2,0,VDB(1,0,$N113,INT(EQ$44-2-1),MIN($N113,INT(EQ$44-2-1)+1),$DC113,IF($DD113="No",1,0))/
IF(DX113&gt;=INT($N113),$N113-INT($N113),1)))*
IF(EQ$44=2,0,
IF(INT(DY113)=INT(DX113),DY113-DX113,INT(DY113)-DX113))+
IF($N113&lt;=1,
IF($N113&gt;0,1/$N113,0),VDB(1,0,$N113,INT(EQ$44-2),MIN($N113,INT(EQ$44-2)+1),$DC113,IF($DD113="No",1,0))/
IF(DY113&gt;INT($N113),$N113-INT($N113),1))*
IF(EQ$44=2,DY113,
IF(INT(DY113)=INT(DX113),0,DY113-INT(DY113)))))</f>
        <v>0</v>
      </c>
      <c r="ER113" s="834">
        <f>+IF(OR(DZ113=DY113,ER$44=1),0,
IF(AND(ER$44&gt;1,DZ113=$N113),1-SUM($EN113:EQ113),
IF($N113&lt;=1,
IF($N113&gt;0,1/$N113,0),
IF(ER$44=2,0,VDB(1,0,$N113,INT(ER$44-2-1),MIN($N113,INT(ER$44-2-1)+1),$DC113,IF($DD113="No",1,0))/
IF(DY113&gt;=INT($N113),$N113-INT($N113),1)))*
IF(ER$44=2,0,
IF(INT(DZ113)=INT(DY113),DZ113-DY113,INT(DZ113)-DY113))+
IF($N113&lt;=1,
IF($N113&gt;0,1/$N113,0),VDB(1,0,$N113,INT(ER$44-2),MIN($N113,INT(ER$44-2)+1),$DC113,IF($DD113="No",1,0))/
IF(DZ113&gt;INT($N113),$N113-INT($N113),1))*
IF(ER$44=2,DZ113,
IF(INT(DZ113)=INT(DY113),0,DZ113-INT(DZ113)))))</f>
        <v>0</v>
      </c>
      <c r="ES113" s="835">
        <f>+IF(OR(EA113=DZ113,ES$44=1),0,
IF(AND(ES$44&gt;1,EA113=$N113),1-SUM($EN113:ER113),
IF($N113&lt;=1,
IF($N113&gt;0,1/$N113,0),
IF(ES$44=2,0,VDB(1,0,$N113,INT(ES$44-2-1),MIN($N113,INT(ES$44-2-1)+1),$DC113,IF($DD113="No",1,0))/
IF(DZ113&gt;=INT($N113),$N113-INT($N113),1)))*
IF(ES$44=2,0,
IF(INT(EA113)=INT(DZ113),EA113-DZ113,INT(EA113)-DZ113))+
IF($N113&lt;=1,
IF($N113&gt;0,1/$N113,0),VDB(1,0,$N113,INT(ES$44-2),MIN($N113,INT(ES$44-2)+1),$DC113,IF($DD113="No",1,0))/
IF(EA113&gt;INT($N113),$N113-INT($N113),1))*
IF(ES$44=2,EA113,
IF(INT(EA113)=INT(DZ113),0,EA113-INT(EA113)))))</f>
        <v>0</v>
      </c>
      <c r="ET113" s="835">
        <f>+IF(OR(EB113=EA113,ET$44=1),0,
IF(AND(ET$44&gt;1,EB113=$N113),1-SUM($EN113:ES113),
IF($N113&lt;=1,
IF($N113&gt;0,1/$N113,0),
IF(ET$44=2,0,VDB(1,0,$N113,INT(ET$44-2-1),MIN($N113,INT(ET$44-2-1)+1),$DC113,IF($DD113="No",1,0))/
IF(EA113&gt;=INT($N113),$N113-INT($N113),1)))*
IF(ET$44=2,0,
IF(INT(EB113)=INT(EA113),EB113-EA113,INT(EB113)-EA113))+
IF($N113&lt;=1,
IF($N113&gt;0,1/$N113,0),VDB(1,0,$N113,INT(ET$44-2),MIN($N113,INT(ET$44-2)+1),$DC113,IF($DD113="No",1,0))/
IF(EB113&gt;INT($N113),$N113-INT($N113),1))*
IF(ET$44=2,EB113,
IF(INT(EB113)=INT(EA113),0,EB113-INT(EB113)))))</f>
        <v>0</v>
      </c>
      <c r="EU113" s="835">
        <f>+IF(OR(EC113=EB113,EU$44=1),0,
IF(AND(EU$44&gt;1,EC113=$N113),1-SUM($EN113:ET113),
IF($N113&lt;=1,
IF($N113&gt;0,1/$N113,0),
IF(EU$44=2,0,VDB(1,0,$N113,INT(EU$44-2-1),MIN($N113,INT(EU$44-2-1)+1),$DC113,IF($DD113="No",1,0))/
IF(EB113&gt;=INT($N113),$N113-INT($N113),1)))*
IF(EU$44=2,0,
IF(INT(EC113)=INT(EB113),EC113-EB113,INT(EC113)-EB113))+
IF($N113&lt;=1,
IF($N113&gt;0,1/$N113,0),VDB(1,0,$N113,INT(EU$44-2),MIN($N113,INT(EU$44-2)+1),$DC113,IF($DD113="No",1,0))/
IF(EC113&gt;INT($N113),$N113-INT($N113),1))*
IF(EU$44=2,EC113,
IF(INT(EC113)=INT(EB113),0,EC113-INT(EC113)))))</f>
        <v>0</v>
      </c>
      <c r="EV113" s="836">
        <f>+IF(OR(ED113=EC113,EV$44=1),0,
IF(AND(EV$44&gt;1,ED113=$N113),1-SUM($EN113:EU113),
IF($N113&lt;=1,
IF($N113&gt;0,1/$N113,0),
IF(EV$44=2,0,VDB(1,0,$N113,INT(EV$44-2-1),MIN($N113,INT(EV$44-2-1)+1),$DC113,IF($DD113="No",1,0))/
IF(EC113&gt;=INT($N113),$N113-INT($N113),1)))*
IF(EV$44=2,0,
IF(INT(ED113)=INT(EC113),ED113-EC113,INT(ED113)-EC113))+
IF($N113&lt;=1,
IF($N113&gt;0,1/$N113,0),VDB(1,0,$N113,INT(EV$44-2),MIN($N113,INT(EV$44-2)+1),$DC113,IF($DD113="No",1,0))/
IF(ED113&gt;INT($N113),$N113-INT($N113),1))*
IF(EV$44=2,ED113,
IF(INT(ED113)=INT(EC113),0,ED113-INT(ED113)))))</f>
        <v>0</v>
      </c>
      <c r="EW113" s="833"/>
      <c r="EX113" s="834">
        <f t="shared" ca="1" si="301"/>
        <v>0</v>
      </c>
      <c r="EY113" s="835">
        <f t="shared" ca="1" si="301"/>
        <v>0</v>
      </c>
      <c r="EZ113" s="836">
        <f t="shared" ca="1" si="301"/>
        <v>0</v>
      </c>
      <c r="FA113" s="834">
        <f t="shared" ca="1" si="301"/>
        <v>0</v>
      </c>
      <c r="FB113" s="835">
        <f t="shared" ca="1" si="301"/>
        <v>0</v>
      </c>
      <c r="FC113" s="835">
        <f t="shared" ca="1" si="301"/>
        <v>0</v>
      </c>
      <c r="FD113" s="835">
        <f t="shared" ca="1" si="301"/>
        <v>0</v>
      </c>
      <c r="FE113" s="836">
        <f t="shared" ca="1" si="301"/>
        <v>0</v>
      </c>
      <c r="FG113" s="386">
        <f t="shared" ca="1" si="293"/>
        <v>0</v>
      </c>
      <c r="FH113" s="387">
        <f t="shared" ca="1" si="294"/>
        <v>0</v>
      </c>
      <c r="FI113" s="388">
        <f t="shared" ca="1" si="295"/>
        <v>0</v>
      </c>
      <c r="FJ113" s="386">
        <f t="shared" ca="1" si="296"/>
        <v>0</v>
      </c>
      <c r="FK113" s="387">
        <f t="shared" ca="1" si="297"/>
        <v>0</v>
      </c>
      <c r="FL113" s="387">
        <f t="shared" ca="1" si="298"/>
        <v>0</v>
      </c>
      <c r="FM113" s="387">
        <f t="shared" ca="1" si="299"/>
        <v>0</v>
      </c>
      <c r="FN113" s="388">
        <f t="shared" ca="1" si="300"/>
        <v>0</v>
      </c>
      <c r="FR113" s="116"/>
    </row>
    <row r="114" spans="2:174">
      <c r="B114" s="1410">
        <f t="shared" si="135"/>
        <v>68</v>
      </c>
      <c r="C114" s="400" t="s">
        <v>604</v>
      </c>
      <c r="D114" s="410"/>
      <c r="E114" s="402" t="s">
        <v>401</v>
      </c>
      <c r="F114" s="402" t="s">
        <v>514</v>
      </c>
      <c r="G114" s="400" t="s">
        <v>515</v>
      </c>
      <c r="H114" s="2088" t="s">
        <v>483</v>
      </c>
      <c r="I114" s="2089"/>
      <c r="J114" s="411" t="s">
        <v>516</v>
      </c>
      <c r="K114" s="403" t="s">
        <v>544</v>
      </c>
      <c r="L114" s="403">
        <v>25</v>
      </c>
      <c r="M114" s="403" t="s">
        <v>142</v>
      </c>
      <c r="N114" s="403"/>
      <c r="O114" s="347"/>
      <c r="P114" s="347"/>
      <c r="Q114" s="1021">
        <v>0</v>
      </c>
      <c r="R114" s="1022">
        <v>0</v>
      </c>
      <c r="S114" s="1022">
        <v>0</v>
      </c>
      <c r="T114" s="1022">
        <v>0</v>
      </c>
      <c r="U114" s="1023">
        <v>0</v>
      </c>
      <c r="V114" s="1021">
        <v>0.10347562391526056</v>
      </c>
      <c r="W114" s="1022">
        <v>0.3785693557875387</v>
      </c>
      <c r="X114" s="1022">
        <v>0.11490451991383291</v>
      </c>
      <c r="Y114" s="1022">
        <v>6.0454991313549726</v>
      </c>
      <c r="Z114" s="1023">
        <v>0.46871904103543638</v>
      </c>
      <c r="AA114" s="1024"/>
      <c r="AB114" s="1021">
        <v>0</v>
      </c>
      <c r="AC114" s="1022">
        <v>0</v>
      </c>
      <c r="AD114" s="1022">
        <v>0</v>
      </c>
      <c r="AE114" s="1022">
        <v>0</v>
      </c>
      <c r="AF114" s="1023">
        <v>0</v>
      </c>
      <c r="AG114" s="1021">
        <v>0</v>
      </c>
      <c r="AH114" s="1022">
        <v>0</v>
      </c>
      <c r="AI114" s="1022">
        <v>0</v>
      </c>
      <c r="AJ114" s="1022">
        <v>0</v>
      </c>
      <c r="AK114" s="1023">
        <v>0</v>
      </c>
      <c r="AL114" s="1024"/>
      <c r="AM114" s="1021">
        <v>0</v>
      </c>
      <c r="AN114" s="1022">
        <v>0</v>
      </c>
      <c r="AO114" s="1022">
        <v>0</v>
      </c>
      <c r="AP114" s="1022">
        <v>0</v>
      </c>
      <c r="AQ114" s="1023">
        <v>0</v>
      </c>
      <c r="AR114" s="1021">
        <v>0</v>
      </c>
      <c r="AS114" s="1022">
        <v>0</v>
      </c>
      <c r="AT114" s="1022">
        <v>0</v>
      </c>
      <c r="AU114" s="1022">
        <v>0</v>
      </c>
      <c r="AV114" s="1023">
        <v>0</v>
      </c>
      <c r="AW114" s="1025"/>
      <c r="AX114" s="1282">
        <f t="shared" si="247"/>
        <v>0</v>
      </c>
      <c r="AY114" s="387">
        <f t="shared" si="248"/>
        <v>0</v>
      </c>
      <c r="AZ114" s="387">
        <f t="shared" si="249"/>
        <v>0</v>
      </c>
      <c r="BA114" s="387">
        <f t="shared" si="250"/>
        <v>0</v>
      </c>
      <c r="BB114" s="1283">
        <f t="shared" si="251"/>
        <v>0</v>
      </c>
      <c r="BC114" s="386">
        <f t="shared" si="252"/>
        <v>0.10347562391526056</v>
      </c>
      <c r="BD114" s="387">
        <f t="shared" si="253"/>
        <v>0.3785693557875387</v>
      </c>
      <c r="BE114" s="1277">
        <f t="shared" si="254"/>
        <v>0.11490451991383291</v>
      </c>
      <c r="BF114" s="1277">
        <f t="shared" si="255"/>
        <v>6.0454991313549726</v>
      </c>
      <c r="BG114" s="388">
        <f t="shared" si="256"/>
        <v>0.46871904103543638</v>
      </c>
      <c r="BH114" s="1025"/>
      <c r="BI114" s="1282">
        <f t="shared" ca="1" si="257"/>
        <v>0</v>
      </c>
      <c r="BJ114" s="387">
        <f t="shared" ca="1" si="258"/>
        <v>0</v>
      </c>
      <c r="BK114" s="387">
        <f t="shared" ca="1" si="259"/>
        <v>0</v>
      </c>
      <c r="BL114" s="387">
        <f t="shared" ca="1" si="260"/>
        <v>0</v>
      </c>
      <c r="BM114" s="1283">
        <f t="shared" ca="1" si="261"/>
        <v>0</v>
      </c>
      <c r="BN114" s="386">
        <f t="shared" ca="1" si="262"/>
        <v>2.0695124783052113E-3</v>
      </c>
      <c r="BO114" s="387">
        <f t="shared" ca="1" si="263"/>
        <v>1.1710412072361197E-2</v>
      </c>
      <c r="BP114" s="1277">
        <f t="shared" ca="1" si="264"/>
        <v>2.1579889586388627E-2</v>
      </c>
      <c r="BQ114" s="1277">
        <f t="shared" ca="1" si="265"/>
        <v>0.14478796261176474</v>
      </c>
      <c r="BR114" s="388">
        <f t="shared" ca="1" si="266"/>
        <v>0.27507232605957294</v>
      </c>
      <c r="BS114" s="1025"/>
      <c r="BT114" s="1282">
        <f>+IF($K114="Ongoing",AX114,IF(RIGHT($K114,2)=RIGHT(BT$43,2),SUM($AX114:AX114),0)+IF(RIGHT(BT$43,2)&gt;RIGHT($K114,2),AX114,0))</f>
        <v>0</v>
      </c>
      <c r="BU114" s="387">
        <f>+IF($K114="Ongoing",AY114,IF(RIGHT($K114,2)=RIGHT(BU$43,2),SUM($AX114:AY114),0)+IF(RIGHT(BU$43,2)&gt;RIGHT($K114,2),AY114,0))</f>
        <v>0</v>
      </c>
      <c r="BV114" s="387">
        <f>+IF($K114="Ongoing",AZ114,IF(RIGHT($K114,2)=RIGHT(BV$43,2),SUM($AX114:AZ114),0)+IF(RIGHT(BV$43,2)&gt;RIGHT($K114,2),AZ114,0))</f>
        <v>0</v>
      </c>
      <c r="BW114" s="387">
        <f>+IF($K114="Ongoing",BA114,IF(RIGHT($K114,2)=RIGHT(BW$43,2),SUM($AX114:BA114),0)+IF(RIGHT(BW$43,2)&gt;RIGHT($K114,2),BA114,0))</f>
        <v>0</v>
      </c>
      <c r="BX114" s="1283">
        <f>+IF($K114="Ongoing",BB114,IF(RIGHT($K114,2)=RIGHT(BX$43,2),SUM($AX114:BB114),0)+IF(RIGHT(BX$43,2)&gt;RIGHT($K114,2),BB114,0))</f>
        <v>0</v>
      </c>
      <c r="BY114" s="386">
        <f>+IF($K114="Ongoing",BC114,IF(RIGHT($K114,2)=RIGHT(BY$43,2),SUM($AX114:BC114),0)+IF(RIGHT(BY$43,2)&gt;RIGHT($K114,2),BC114,0))</f>
        <v>0.10347562391526056</v>
      </c>
      <c r="BZ114" s="387">
        <f>+IF($K114="Ongoing",BD114,IF(RIGHT($K114,2)=RIGHT(BZ$43,2),SUM($AX114:BD114),0)+IF(RIGHT(BZ$43,2)&gt;RIGHT($K114,2),BD114,0))</f>
        <v>0.3785693557875387</v>
      </c>
      <c r="CA114" s="1277">
        <f>+IF($K114="Ongoing",BE114,IF(RIGHT($K114,2)=RIGHT(CA$43,2),SUM($AX114:BE114),0)+IF(RIGHT(CA$43,2)&gt;RIGHT($K114,2),BE114,0))</f>
        <v>0.11490451991383291</v>
      </c>
      <c r="CB114" s="1277">
        <f>+IF($K114="Ongoing",BF114,IF(RIGHT($K114,2)=RIGHT(CB$43,2),SUM($AX114:BF114),0)+IF(RIGHT(CB$43,2)&gt;RIGHT($K114,2),BF114,0))</f>
        <v>6.0454991313549726</v>
      </c>
      <c r="CC114" s="388">
        <f>+IF($K114="Ongoing",BG114,IF(RIGHT($K114,2)=RIGHT(CC$43,2),SUM($AX114:BG114),0)+IF(RIGHT(CC$43,2)&gt;RIGHT($K114,2),BG114,0))</f>
        <v>0.46871904103543638</v>
      </c>
      <c r="CD114" s="1025"/>
      <c r="CE114" s="1282">
        <f>+Q114*KeyAssumptionsPriceControl_FO!AF$15</f>
        <v>0</v>
      </c>
      <c r="CF114" s="387">
        <f>+R114*KeyAssumptionsPriceControl_FO!AG$15</f>
        <v>0</v>
      </c>
      <c r="CG114" s="387">
        <f>+S114*KeyAssumptionsPriceControl_FO!AH$15</f>
        <v>0</v>
      </c>
      <c r="CH114" s="387">
        <f>+T114*KeyAssumptionsPriceControl_FO!AI$15</f>
        <v>0</v>
      </c>
      <c r="CI114" s="1283">
        <f>+U114*KeyAssumptionsPriceControl_FO!AJ$15</f>
        <v>0</v>
      </c>
      <c r="CJ114" s="386">
        <f>+V114*KeyAssumptionsPriceControl_FO!AK$15</f>
        <v>0.122837311403155</v>
      </c>
      <c r="CK114" s="387">
        <f>+W114*KeyAssumptionsPriceControl_FO!AL$15</f>
        <v>0.46243753695309692</v>
      </c>
      <c r="CL114" s="1277">
        <f>+X114*KeyAssumptionsPriceControl_FO!AM$15</f>
        <v>0.14443089772024531</v>
      </c>
      <c r="CM114" s="1277">
        <f>+Y114*KeyAssumptionsPriceControl_FO!AN$15</f>
        <v>7.8193478943811838</v>
      </c>
      <c r="CN114" s="388">
        <f>+Z114*KeyAssumptionsPriceControl_FO!AO$15</f>
        <v>0.62383012631121848</v>
      </c>
      <c r="CO114" s="1025"/>
      <c r="CP114" s="1282">
        <f t="shared" ca="1" si="267"/>
        <v>0</v>
      </c>
      <c r="CQ114" s="387">
        <f t="shared" ca="1" si="268"/>
        <v>0</v>
      </c>
      <c r="CR114" s="387">
        <f t="shared" ca="1" si="269"/>
        <v>0</v>
      </c>
      <c r="CS114" s="387">
        <f t="shared" ca="1" si="270"/>
        <v>0</v>
      </c>
      <c r="CT114" s="1283">
        <f t="shared" ca="1" si="271"/>
        <v>0</v>
      </c>
      <c r="CU114" s="386">
        <f t="shared" ca="1" si="272"/>
        <v>0</v>
      </c>
      <c r="CV114" s="387">
        <f t="shared" ca="1" si="273"/>
        <v>0</v>
      </c>
      <c r="CW114" s="1277">
        <f t="shared" ca="1" si="274"/>
        <v>0</v>
      </c>
      <c r="CX114" s="1277">
        <f t="shared" ca="1" si="275"/>
        <v>0</v>
      </c>
      <c r="CY114" s="388">
        <f t="shared" ca="1" si="276"/>
        <v>0</v>
      </c>
      <c r="CZ114" s="347"/>
      <c r="DA114" s="852"/>
      <c r="DB114" s="347"/>
      <c r="DC114" s="1012" t="s">
        <v>607</v>
      </c>
      <c r="DD114" s="841" t="s">
        <v>518</v>
      </c>
      <c r="DE114" s="386">
        <f>+IF($K114="ongoing",CE114,IF(RIGHT($K114,2)=RIGHT(DE$43,2),SUM($CD114:CE114),0)+IF(RIGHT(DE$43,2)&gt;RIGHT($K114,2),CE114,0))</f>
        <v>0</v>
      </c>
      <c r="DF114" s="387">
        <f>+IF($K114="ongoing",CF114,IF(RIGHT($K114,2)=RIGHT(DF$43,2),SUM($CD114:CF114),0)+IF(RIGHT(DF$43,2)&gt;RIGHT($K114,2),CF114,0))</f>
        <v>0</v>
      </c>
      <c r="DG114" s="388">
        <f>+IF($K114="ongoing",CG114,IF(RIGHT($K114,2)=RIGHT(DG$43,2),SUM($CD114:CG114),0)+IF(RIGHT(DG$43,2)&gt;RIGHT($K114,2),CG114,0))</f>
        <v>0</v>
      </c>
      <c r="DH114" s="386">
        <f>+IF($K114="ongoing",CH114,IF(RIGHT($K114,2)=RIGHT(DH$43,2),SUM($CD114:CH114),0)+IF(RIGHT(DH$43,2)&gt;RIGHT($K114,2),CH114,0))</f>
        <v>0</v>
      </c>
      <c r="DI114" s="387">
        <f>+IF($K114="ongoing",CI114,IF(RIGHT($K114,2)=RIGHT(DI$43,2),SUM($CD114:CI114),0)+IF(RIGHT(DI$43,2)&gt;RIGHT($K114,2),CI114,0))</f>
        <v>0</v>
      </c>
      <c r="DJ114" s="387">
        <f>+IF($K114="ongoing",CJ114,IF(RIGHT($K114,2)=RIGHT(DJ$43,2),SUM($CD114:CJ114),0)+IF(RIGHT(DJ$43,2)&gt;RIGHT($K114,2),CJ114,0))</f>
        <v>0.122837311403155</v>
      </c>
      <c r="DK114" s="387">
        <f>+IF($K114="ongoing",CK114,IF(RIGHT($K114,2)=RIGHT(DK$43,2),SUM($CD114:CK114),0)+IF(RIGHT(DK$43,2)&gt;RIGHT($K114,2),CK114,0))</f>
        <v>0.46243753695309692</v>
      </c>
      <c r="DL114" s="388">
        <f>+IF($K114="ongoing",CN114,IF(RIGHT($K114,2)=RIGHT(DL$43,2),SUM($CD114:CN114),0)+IF(RIGHT(DL$43,2)&gt;RIGHT($K114,2),CN114,0))</f>
        <v>0.62383012631121848</v>
      </c>
      <c r="DM114" s="841"/>
      <c r="DN114" s="386">
        <f t="shared" si="277"/>
        <v>0.5</v>
      </c>
      <c r="DO114" s="387">
        <f t="shared" si="278"/>
        <v>1</v>
      </c>
      <c r="DP114" s="388">
        <f t="shared" si="279"/>
        <v>1</v>
      </c>
      <c r="DQ114" s="386">
        <f t="shared" si="280"/>
        <v>1</v>
      </c>
      <c r="DR114" s="387">
        <f t="shared" si="281"/>
        <v>1</v>
      </c>
      <c r="DS114" s="387">
        <f t="shared" si="282"/>
        <v>1</v>
      </c>
      <c r="DT114" s="387">
        <f t="shared" si="283"/>
        <v>1</v>
      </c>
      <c r="DU114" s="388">
        <f t="shared" si="284"/>
        <v>1</v>
      </c>
      <c r="DW114" s="386">
        <f t="shared" si="285"/>
        <v>0</v>
      </c>
      <c r="DX114" s="387">
        <f t="shared" si="286"/>
        <v>0.5</v>
      </c>
      <c r="DY114" s="388">
        <f t="shared" si="287"/>
        <v>1</v>
      </c>
      <c r="DZ114" s="386">
        <f t="shared" si="288"/>
        <v>1</v>
      </c>
      <c r="EA114" s="387">
        <f t="shared" si="289"/>
        <v>1</v>
      </c>
      <c r="EB114" s="387">
        <f t="shared" si="290"/>
        <v>1</v>
      </c>
      <c r="EC114" s="387">
        <f t="shared" si="291"/>
        <v>1</v>
      </c>
      <c r="ED114" s="388">
        <f t="shared" si="292"/>
        <v>1</v>
      </c>
      <c r="EF114" s="834">
        <f>+IF(DN114=DM114,0,
IF(AND(EF$44&gt;1,DN114=$N114),1-SUM($EE114:EE114),
IF($N114&lt;=1,
IF($N114&gt;0,1/$N114,0),
IF(EF$44=1,0,VDB(1,0,$N114,INT(EF$44-1-1),MIN($N114,INT(EF$44-1-1)+1),$DC114,IF($DD114="No",1,0))/
IF(DM114&gt;=INT($N114),$N114-INT($N114),1)))*
IF(EF$44=1,0,
IF(INT(DN114)=INT(DM114),DN114-DM114,INT(DN114)-DM114))+
IF($N114&lt;=1,
IF($N114&gt;0,1/$N114,0),VDB(1,0,$N114,INT(EF$44-1),MIN($N114,INT(EF$44-1)+1),$DC114,IF($DD114="No",1,0))/
IF(DN114&gt;INT($N114),$N114-INT($N114),1))*
IF(EF$44=1,DN114,
IF(INT(DN114)=INT(DM114),0,DN114-INT(DN114)))))</f>
        <v>0</v>
      </c>
      <c r="EG114" s="835">
        <f>+IF(DO114=DN114,0,
IF(AND(EG$44&gt;1,DO114=$N114),1-SUM($EE114:EF114),
IF($N114&lt;=1,
IF($N114&gt;0,1/$N114,0),
IF(EG$44=1,0,VDB(1,0,$N114,INT(EG$44-1-1),MIN($N114,INT(EG$44-1-1)+1),$DC114,IF($DD114="No",1,0))/
IF(DN114&gt;=INT($N114),$N114-INT($N114),1)))*
IF(EG$44=1,0,
IF(INT(DO114)=INT(DN114),DO114-DN114,INT(DO114)-DN114))+
IF($N114&lt;=1,
IF($N114&gt;0,1/$N114,0),VDB(1,0,$N114,INT(EG$44-1),MIN($N114,INT(EG$44-1)+1),$DC114,IF($DD114="No",1,0))/
IF(DO114&gt;INT($N114),$N114-INT($N114),1))*
IF(EG$44=1,DO114,
IF(INT(DO114)=INT(DN114),0,DO114-INT(DO114)))))</f>
        <v>0</v>
      </c>
      <c r="EH114" s="836">
        <f>+IF(DP114=DO114,0,
IF(AND(EH$44&gt;1,DP114=$N114),1-SUM($EE114:EG114),
IF($N114&lt;=1,
IF($N114&gt;0,1/$N114,0),
IF(EH$44=1,0,VDB(1,0,$N114,INT(EH$44-1-1),MIN($N114,INT(EH$44-1-1)+1),$DC114,IF($DD114="No",1,0))/
IF(DO114&gt;=INT($N114),$N114-INT($N114),1)))*
IF(EH$44=1,0,
IF(INT(DP114)=INT(DO114),DP114-DO114,INT(DP114)-DO114))+
IF($N114&lt;=1,
IF($N114&gt;0,1/$N114,0),VDB(1,0,$N114,INT(EH$44-1),MIN($N114,INT(EH$44-1)+1),$DC114,IF($DD114="No",1,0))/
IF(DP114&gt;INT($N114),$N114-INT($N114),1))*
IF(EH$44=1,DP114,
IF(INT(DP114)=INT(DO114),0,DP114-INT(DP114)))))</f>
        <v>0</v>
      </c>
      <c r="EI114" s="834">
        <f>+IF(DQ114=DP114,0,
IF(AND(EI$44&gt;1,DQ114=$N114),1-SUM($EE114:EH114),
IF($N114&lt;=1,
IF($N114&gt;0,1/$N114,0),
IF(EI$44=1,0,VDB(1,0,$N114,INT(EI$44-1-1),MIN($N114,INT(EI$44-1-1)+1),$DC114,IF($DD114="No",1,0))/
IF(DP114&gt;=INT($N114),$N114-INT($N114),1)))*
IF(EI$44=1,0,
IF(INT(DQ114)=INT(DP114),DQ114-DP114,INT(DQ114)-DP114))+
IF($N114&lt;=1,
IF($N114&gt;0,1/$N114,0),VDB(1,0,$N114,INT(EI$44-1),MIN($N114,INT(EI$44-1)+1),$DC114,IF($DD114="No",1,0))/
IF(DQ114&gt;INT($N114),$N114-INT($N114),1))*
IF(EI$44=1,DQ114,
IF(INT(DQ114)=INT(DP114),0,DQ114-INT(DQ114)))))</f>
        <v>0</v>
      </c>
      <c r="EJ114" s="835">
        <f>+IF(DR114=DQ114,0,
IF(AND(EJ$44&gt;1,DR114=$N114),1-SUM($EE114:EI114),
IF($N114&lt;=1,
IF($N114&gt;0,1/$N114,0),
IF(EJ$44=1,0,VDB(1,0,$N114,INT(EJ$44-1-1),MIN($N114,INT(EJ$44-1-1)+1),$DC114,IF($DD114="No",1,0))/
IF(DQ114&gt;=INT($N114),$N114-INT($N114),1)))*
IF(EJ$44=1,0,
IF(INT(DR114)=INT(DQ114),DR114-DQ114,INT(DR114)-DQ114))+
IF($N114&lt;=1,
IF($N114&gt;0,1/$N114,0),VDB(1,0,$N114,INT(EJ$44-1),MIN($N114,INT(EJ$44-1)+1),$DC114,IF($DD114="No",1,0))/
IF(DR114&gt;INT($N114),$N114-INT($N114),1))*
IF(EJ$44=1,DR114,
IF(INT(DR114)=INT(DQ114),0,DR114-INT(DR114)))))</f>
        <v>0</v>
      </c>
      <c r="EK114" s="835">
        <f>+IF(DS114=DR114,0,
IF(AND(EK$44&gt;1,DS114=$N114),1-SUM($EE114:EJ114),
IF($N114&lt;=1,
IF($N114&gt;0,1/$N114,0),
IF(EK$44=1,0,VDB(1,0,$N114,INT(EK$44-1-1),MIN($N114,INT(EK$44-1-1)+1),$DC114,IF($DD114="No",1,0))/
IF(DR114&gt;=INT($N114),$N114-INT($N114),1)))*
IF(EK$44=1,0,
IF(INT(DS114)=INT(DR114),DS114-DR114,INT(DS114)-DR114))+
IF($N114&lt;=1,
IF($N114&gt;0,1/$N114,0),VDB(1,0,$N114,INT(EK$44-1),MIN($N114,INT(EK$44-1)+1),$DC114,IF($DD114="No",1,0))/
IF(DS114&gt;INT($N114),$N114-INT($N114),1))*
IF(EK$44=1,DS114,
IF(INT(DS114)=INT(DR114),0,DS114-INT(DS114)))))</f>
        <v>0</v>
      </c>
      <c r="EL114" s="835">
        <f>+IF(DT114=DS114,0,
IF(AND(EL$44&gt;1,DT114=$N114),1-SUM($EE114:EK114),
IF($N114&lt;=1,
IF($N114&gt;0,1/$N114,0),
IF(EL$44=1,0,VDB(1,0,$N114,INT(EL$44-1-1),MIN($N114,INT(EL$44-1-1)+1),$DC114,IF($DD114="No",1,0))/
IF(DS114&gt;=INT($N114),$N114-INT($N114),1)))*
IF(EL$44=1,0,
IF(INT(DT114)=INT(DS114),DT114-DS114,INT(DT114)-DS114))+
IF($N114&lt;=1,
IF($N114&gt;0,1/$N114,0),VDB(1,0,$N114,INT(EL$44-1),MIN($N114,INT(EL$44-1)+1),$DC114,IF($DD114="No",1,0))/
IF(DT114&gt;INT($N114),$N114-INT($N114),1))*
IF(EL$44=1,DT114,
IF(INT(DT114)=INT(DS114),0,DT114-INT(DT114)))))</f>
        <v>0</v>
      </c>
      <c r="EM114" s="836">
        <f>+IF(DU114=DT114,0,
IF(AND(EM$44&gt;1,DU114=$N114),1-SUM($EE114:EL114),
IF($N114&lt;=1,
IF($N114&gt;0,1/$N114,0),
IF(EM$44=1,0,VDB(1,0,$N114,INT(EM$44-1-1),MIN($N114,INT(EM$44-1-1)+1),$DC114,IF($DD114="No",1,0))/
IF(DT114&gt;=INT($N114),$N114-INT($N114),1)))*
IF(EM$44=1,0,
IF(INT(DU114)=INT(DT114),DU114-DT114,INT(DU114)-DT114))+
IF($N114&lt;=1,
IF($N114&gt;0,1/$N114,0),VDB(1,0,$N114,INT(EM$44-1),MIN($N114,INT(EM$44-1)+1),$DC114,IF($DD114="No",1,0))/
IF(DU114&gt;INT($N114),$N114-INT($N114),1))*
IF(EM$44=1,DU114,
IF(INT(DU114)=INT(DT114),0,DU114-INT(DU114)))))</f>
        <v>0</v>
      </c>
      <c r="EN114" s="833"/>
      <c r="EO114" s="834">
        <f>+IF(OR(DW114=DV114,EO$44=1),0,
IF(AND(EO$44&gt;1,DW114=$N114),1-SUM($EN114:EN114),
IF($N114&lt;=1,
IF($N114&gt;0,1/$N114,0),
IF(EO$44=2,0,VDB(1,0,$N114,INT(EO$44-2-1),MIN($N114,INT(EO$44-2-1)+1),$DC114,IF($DD114="No",1,0))/
IF(DV114&gt;=INT($N114),$N114-INT($N114),1)))*
IF(EO$44=2,0,
IF(INT(DW114)=INT(DV114),DW114-DV114,INT(DW114)-DV114))+
IF($N114&lt;=1,
IF($N114&gt;0,1/$N114,0),VDB(1,0,$N114,INT(EO$44-2),MIN($N114,INT(EO$44-2)+1),$DC114,IF($DD114="No",1,0))/
IF(DW114&gt;INT($N114),$N114-INT($N114),1))*
IF(EO$44=2,DW114,
IF(INT(DW114)=INT(DV114),0,DW114-INT(DW114)))))</f>
        <v>0</v>
      </c>
      <c r="EP114" s="835">
        <f>+IF(OR(DX114=DW114,EP$44=1),0,
IF(AND(EP$44&gt;1,DX114=$N114),1-SUM($EN114:EO114),
IF($N114&lt;=1,
IF($N114&gt;0,1/$N114,0),
IF(EP$44=2,0,VDB(1,0,$N114,INT(EP$44-2-1),MIN($N114,INT(EP$44-2-1)+1),$DC114,IF($DD114="No",1,0))/
IF(DW114&gt;=INT($N114),$N114-INT($N114),1)))*
IF(EP$44=2,0,
IF(INT(DX114)=INT(DW114),DX114-DW114,INT(DX114)-DW114))+
IF($N114&lt;=1,
IF($N114&gt;0,1/$N114,0),VDB(1,0,$N114,INT(EP$44-2),MIN($N114,INT(EP$44-2)+1),$DC114,IF($DD114="No",1,0))/
IF(DX114&gt;INT($N114),$N114-INT($N114),1))*
IF(EP$44=2,DX114,
IF(INT(DX114)=INT(DW114),0,DX114-INT(DX114)))))</f>
        <v>0</v>
      </c>
      <c r="EQ114" s="836">
        <f>+IF(OR(DY114=DX114,EQ$44=1),0,
IF(AND(EQ$44&gt;1,DY114=$N114),1-SUM($EN114:EP114),
IF($N114&lt;=1,
IF($N114&gt;0,1/$N114,0),
IF(EQ$44=2,0,VDB(1,0,$N114,INT(EQ$44-2-1),MIN($N114,INT(EQ$44-2-1)+1),$DC114,IF($DD114="No",1,0))/
IF(DX114&gt;=INT($N114),$N114-INT($N114),1)))*
IF(EQ$44=2,0,
IF(INT(DY114)=INT(DX114),DY114-DX114,INT(DY114)-DX114))+
IF($N114&lt;=1,
IF($N114&gt;0,1/$N114,0),VDB(1,0,$N114,INT(EQ$44-2),MIN($N114,INT(EQ$44-2)+1),$DC114,IF($DD114="No",1,0))/
IF(DY114&gt;INT($N114),$N114-INT($N114),1))*
IF(EQ$44=2,DY114,
IF(INT(DY114)=INT(DX114),0,DY114-INT(DY114)))))</f>
        <v>0</v>
      </c>
      <c r="ER114" s="834">
        <f>+IF(OR(DZ114=DY114,ER$44=1),0,
IF(AND(ER$44&gt;1,DZ114=$N114),1-SUM($EN114:EQ114),
IF($N114&lt;=1,
IF($N114&gt;0,1/$N114,0),
IF(ER$44=2,0,VDB(1,0,$N114,INT(ER$44-2-1),MIN($N114,INT(ER$44-2-1)+1),$DC114,IF($DD114="No",1,0))/
IF(DY114&gt;=INT($N114),$N114-INT($N114),1)))*
IF(ER$44=2,0,
IF(INT(DZ114)=INT(DY114),DZ114-DY114,INT(DZ114)-DY114))+
IF($N114&lt;=1,
IF($N114&gt;0,1/$N114,0),VDB(1,0,$N114,INT(ER$44-2),MIN($N114,INT(ER$44-2)+1),$DC114,IF($DD114="No",1,0))/
IF(DZ114&gt;INT($N114),$N114-INT($N114),1))*
IF(ER$44=2,DZ114,
IF(INT(DZ114)=INT(DY114),0,DZ114-INT(DZ114)))))</f>
        <v>0</v>
      </c>
      <c r="ES114" s="835">
        <f>+IF(OR(EA114=DZ114,ES$44=1),0,
IF(AND(ES$44&gt;1,EA114=$N114),1-SUM($EN114:ER114),
IF($N114&lt;=1,
IF($N114&gt;0,1/$N114,0),
IF(ES$44=2,0,VDB(1,0,$N114,INT(ES$44-2-1),MIN($N114,INT(ES$44-2-1)+1),$DC114,IF($DD114="No",1,0))/
IF(DZ114&gt;=INT($N114),$N114-INT($N114),1)))*
IF(ES$44=2,0,
IF(INT(EA114)=INT(DZ114),EA114-DZ114,INT(EA114)-DZ114))+
IF($N114&lt;=1,
IF($N114&gt;0,1/$N114,0),VDB(1,0,$N114,INT(ES$44-2),MIN($N114,INT(ES$44-2)+1),$DC114,IF($DD114="No",1,0))/
IF(EA114&gt;INT($N114),$N114-INT($N114),1))*
IF(ES$44=2,EA114,
IF(INT(EA114)=INT(DZ114),0,EA114-INT(EA114)))))</f>
        <v>0</v>
      </c>
      <c r="ET114" s="835">
        <f>+IF(OR(EB114=EA114,ET$44=1),0,
IF(AND(ET$44&gt;1,EB114=$N114),1-SUM($EN114:ES114),
IF($N114&lt;=1,
IF($N114&gt;0,1/$N114,0),
IF(ET$44=2,0,VDB(1,0,$N114,INT(ET$44-2-1),MIN($N114,INT(ET$44-2-1)+1),$DC114,IF($DD114="No",1,0))/
IF(EA114&gt;=INT($N114),$N114-INT($N114),1)))*
IF(ET$44=2,0,
IF(INT(EB114)=INT(EA114),EB114-EA114,INT(EB114)-EA114))+
IF($N114&lt;=1,
IF($N114&gt;0,1/$N114,0),VDB(1,0,$N114,INT(ET$44-2),MIN($N114,INT(ET$44-2)+1),$DC114,IF($DD114="No",1,0))/
IF(EB114&gt;INT($N114),$N114-INT($N114),1))*
IF(ET$44=2,EB114,
IF(INT(EB114)=INT(EA114),0,EB114-INT(EB114)))))</f>
        <v>0</v>
      </c>
      <c r="EU114" s="835">
        <f>+IF(OR(EC114=EB114,EU$44=1),0,
IF(AND(EU$44&gt;1,EC114=$N114),1-SUM($EN114:ET114),
IF($N114&lt;=1,
IF($N114&gt;0,1/$N114,0),
IF(EU$44=2,0,VDB(1,0,$N114,INT(EU$44-2-1),MIN($N114,INT(EU$44-2-1)+1),$DC114,IF($DD114="No",1,0))/
IF(EB114&gt;=INT($N114),$N114-INT($N114),1)))*
IF(EU$44=2,0,
IF(INT(EC114)=INT(EB114),EC114-EB114,INT(EC114)-EB114))+
IF($N114&lt;=1,
IF($N114&gt;0,1/$N114,0),VDB(1,0,$N114,INT(EU$44-2),MIN($N114,INT(EU$44-2)+1),$DC114,IF($DD114="No",1,0))/
IF(EC114&gt;INT($N114),$N114-INT($N114),1))*
IF(EU$44=2,EC114,
IF(INT(EC114)=INT(EB114),0,EC114-INT(EC114)))))</f>
        <v>0</v>
      </c>
      <c r="EV114" s="836">
        <f>+IF(OR(ED114=EC114,EV$44=1),0,
IF(AND(EV$44&gt;1,ED114=$N114),1-SUM($EN114:EU114),
IF($N114&lt;=1,
IF($N114&gt;0,1/$N114,0),
IF(EV$44=2,0,VDB(1,0,$N114,INT(EV$44-2-1),MIN($N114,INT(EV$44-2-1)+1),$DC114,IF($DD114="No",1,0))/
IF(EC114&gt;=INT($N114),$N114-INT($N114),1)))*
IF(EV$44=2,0,
IF(INT(ED114)=INT(EC114),ED114-EC114,INT(ED114)-EC114))+
IF($N114&lt;=1,
IF($N114&gt;0,1/$N114,0),VDB(1,0,$N114,INT(EV$44-2),MIN($N114,INT(EV$44-2)+1),$DC114,IF($DD114="No",1,0))/
IF(ED114&gt;INT($N114),$N114-INT($N114),1))*
IF(EV$44=2,ED114,
IF(INT(ED114)=INT(EC114),0,ED114-INT(ED114)))))</f>
        <v>0</v>
      </c>
      <c r="EW114" s="833"/>
      <c r="EX114" s="834">
        <f t="shared" ca="1" si="301"/>
        <v>0</v>
      </c>
      <c r="EY114" s="835">
        <f t="shared" ca="1" si="301"/>
        <v>0</v>
      </c>
      <c r="EZ114" s="836">
        <f t="shared" ca="1" si="301"/>
        <v>0</v>
      </c>
      <c r="FA114" s="834">
        <f t="shared" ca="1" si="301"/>
        <v>0</v>
      </c>
      <c r="FB114" s="835">
        <f t="shared" ca="1" si="301"/>
        <v>0</v>
      </c>
      <c r="FC114" s="835">
        <f t="shared" ca="1" si="301"/>
        <v>0</v>
      </c>
      <c r="FD114" s="835">
        <f t="shared" ca="1" si="301"/>
        <v>0</v>
      </c>
      <c r="FE114" s="836">
        <f t="shared" ca="1" si="301"/>
        <v>0</v>
      </c>
      <c r="FG114" s="386">
        <f t="shared" ca="1" si="293"/>
        <v>0</v>
      </c>
      <c r="FH114" s="387">
        <f t="shared" ca="1" si="294"/>
        <v>0</v>
      </c>
      <c r="FI114" s="388">
        <f t="shared" ca="1" si="295"/>
        <v>0</v>
      </c>
      <c r="FJ114" s="386">
        <f t="shared" ca="1" si="296"/>
        <v>0</v>
      </c>
      <c r="FK114" s="387">
        <f t="shared" ca="1" si="297"/>
        <v>0</v>
      </c>
      <c r="FL114" s="387">
        <f t="shared" ca="1" si="298"/>
        <v>0</v>
      </c>
      <c r="FM114" s="387">
        <f t="shared" ca="1" si="299"/>
        <v>0</v>
      </c>
      <c r="FN114" s="388">
        <f t="shared" ca="1" si="300"/>
        <v>0</v>
      </c>
      <c r="FR114" s="116"/>
    </row>
    <row r="115" spans="2:174">
      <c r="B115" s="1410">
        <f t="shared" si="135"/>
        <v>69</v>
      </c>
      <c r="C115" s="400" t="s">
        <v>604</v>
      </c>
      <c r="D115" s="410"/>
      <c r="E115" s="402" t="s">
        <v>401</v>
      </c>
      <c r="F115" s="402" t="s">
        <v>527</v>
      </c>
      <c r="G115" s="400" t="s">
        <v>525</v>
      </c>
      <c r="H115" s="2088" t="s">
        <v>483</v>
      </c>
      <c r="I115" s="2089"/>
      <c r="J115" s="411" t="s">
        <v>516</v>
      </c>
      <c r="K115" s="403" t="s">
        <v>544</v>
      </c>
      <c r="L115" s="403">
        <v>40</v>
      </c>
      <c r="M115" s="403" t="s">
        <v>142</v>
      </c>
      <c r="N115" s="403"/>
      <c r="O115" s="347"/>
      <c r="P115" s="347"/>
      <c r="Q115" s="1021">
        <v>3.7000048780487806</v>
      </c>
      <c r="R115" s="1022">
        <v>4.5124663890541354</v>
      </c>
      <c r="S115" s="1022">
        <v>1.4434861293364898</v>
      </c>
      <c r="T115" s="1022">
        <v>0</v>
      </c>
      <c r="U115" s="1023">
        <v>0</v>
      </c>
      <c r="V115" s="1021">
        <v>0</v>
      </c>
      <c r="W115" s="1022">
        <v>0</v>
      </c>
      <c r="X115" s="1022">
        <v>7.7630920038885121</v>
      </c>
      <c r="Y115" s="1022">
        <v>8.2532284931386659</v>
      </c>
      <c r="Z115" s="1023">
        <v>0.11488249644919744</v>
      </c>
      <c r="AA115" s="1024"/>
      <c r="AB115" s="1021">
        <v>0</v>
      </c>
      <c r="AC115" s="1022">
        <v>0</v>
      </c>
      <c r="AD115" s="1022">
        <v>0</v>
      </c>
      <c r="AE115" s="1022">
        <v>0</v>
      </c>
      <c r="AF115" s="1023">
        <v>0</v>
      </c>
      <c r="AG115" s="1021">
        <v>0</v>
      </c>
      <c r="AH115" s="1022">
        <v>0</v>
      </c>
      <c r="AI115" s="1022">
        <v>0</v>
      </c>
      <c r="AJ115" s="1022">
        <v>0</v>
      </c>
      <c r="AK115" s="1023">
        <v>0</v>
      </c>
      <c r="AL115" s="1024"/>
      <c r="AM115" s="1021">
        <v>0</v>
      </c>
      <c r="AN115" s="1022">
        <v>0</v>
      </c>
      <c r="AO115" s="1022">
        <v>0</v>
      </c>
      <c r="AP115" s="1022">
        <v>0</v>
      </c>
      <c r="AQ115" s="1023">
        <v>0</v>
      </c>
      <c r="AR115" s="1021">
        <v>0</v>
      </c>
      <c r="AS115" s="1022">
        <v>0</v>
      </c>
      <c r="AT115" s="1022">
        <v>0</v>
      </c>
      <c r="AU115" s="1022">
        <v>0</v>
      </c>
      <c r="AV115" s="1023">
        <v>0</v>
      </c>
      <c r="AW115" s="1025"/>
      <c r="AX115" s="1282">
        <f t="shared" si="247"/>
        <v>3.7000048780487806</v>
      </c>
      <c r="AY115" s="387">
        <f t="shared" si="248"/>
        <v>4.5124663890541354</v>
      </c>
      <c r="AZ115" s="387">
        <f t="shared" si="249"/>
        <v>1.4434861293364898</v>
      </c>
      <c r="BA115" s="387">
        <f t="shared" si="250"/>
        <v>0</v>
      </c>
      <c r="BB115" s="1283">
        <f t="shared" si="251"/>
        <v>0</v>
      </c>
      <c r="BC115" s="386">
        <f t="shared" si="252"/>
        <v>0</v>
      </c>
      <c r="BD115" s="387">
        <f t="shared" si="253"/>
        <v>0</v>
      </c>
      <c r="BE115" s="1277">
        <f t="shared" si="254"/>
        <v>7.7630920038885121</v>
      </c>
      <c r="BF115" s="1277">
        <f t="shared" si="255"/>
        <v>8.2532284931386659</v>
      </c>
      <c r="BG115" s="388">
        <f t="shared" si="256"/>
        <v>0.11488249644919744</v>
      </c>
      <c r="BH115" s="1025"/>
      <c r="BI115" s="1282">
        <f t="shared" ca="1" si="257"/>
        <v>4.6250060975609755E-2</v>
      </c>
      <c r="BJ115" s="387">
        <f t="shared" ca="1" si="258"/>
        <v>0.1489059518143962</v>
      </c>
      <c r="BK115" s="387">
        <f t="shared" ca="1" si="259"/>
        <v>0.22335535829427905</v>
      </c>
      <c r="BL115" s="387">
        <f t="shared" ca="1" si="260"/>
        <v>0.24139893491098516</v>
      </c>
      <c r="BM115" s="1283">
        <f t="shared" ca="1" si="261"/>
        <v>0.24139893491098516</v>
      </c>
      <c r="BN115" s="386">
        <f t="shared" ca="1" si="262"/>
        <v>0.24139893491098516</v>
      </c>
      <c r="BO115" s="387">
        <f t="shared" ca="1" si="263"/>
        <v>0.24139893491098516</v>
      </c>
      <c r="BP115" s="1277">
        <f t="shared" ca="1" si="264"/>
        <v>0.33843758495959153</v>
      </c>
      <c r="BQ115" s="1277">
        <f t="shared" ca="1" si="265"/>
        <v>0.53864159117243127</v>
      </c>
      <c r="BR115" s="388">
        <f t="shared" ca="1" si="266"/>
        <v>0.64324297854227963</v>
      </c>
      <c r="BS115" s="1025"/>
      <c r="BT115" s="1282">
        <f>+IF($K115="Ongoing",AX115,IF(RIGHT($K115,2)=RIGHT(BT$43,2),SUM($AX115:AX115),0)+IF(RIGHT(BT$43,2)&gt;RIGHT($K115,2),AX115,0))</f>
        <v>3.7000048780487806</v>
      </c>
      <c r="BU115" s="387">
        <f>+IF($K115="Ongoing",AY115,IF(RIGHT($K115,2)=RIGHT(BU$43,2),SUM($AX115:AY115),0)+IF(RIGHT(BU$43,2)&gt;RIGHT($K115,2),AY115,0))</f>
        <v>4.5124663890541354</v>
      </c>
      <c r="BV115" s="387">
        <f>+IF($K115="Ongoing",AZ115,IF(RIGHT($K115,2)=RIGHT(BV$43,2),SUM($AX115:AZ115),0)+IF(RIGHT(BV$43,2)&gt;RIGHT($K115,2),AZ115,0))</f>
        <v>1.4434861293364898</v>
      </c>
      <c r="BW115" s="387">
        <f>+IF($K115="Ongoing",BA115,IF(RIGHT($K115,2)=RIGHT(BW$43,2),SUM($AX115:BA115),0)+IF(RIGHT(BW$43,2)&gt;RIGHT($K115,2),BA115,0))</f>
        <v>0</v>
      </c>
      <c r="BX115" s="1283">
        <f>+IF($K115="Ongoing",BB115,IF(RIGHT($K115,2)=RIGHT(BX$43,2),SUM($AX115:BB115),0)+IF(RIGHT(BX$43,2)&gt;RIGHT($K115,2),BB115,0))</f>
        <v>0</v>
      </c>
      <c r="BY115" s="386">
        <f>+IF($K115="Ongoing",BC115,IF(RIGHT($K115,2)=RIGHT(BY$43,2),SUM($AX115:BC115),0)+IF(RIGHT(BY$43,2)&gt;RIGHT($K115,2),BC115,0))</f>
        <v>0</v>
      </c>
      <c r="BZ115" s="387">
        <f>+IF($K115="Ongoing",BD115,IF(RIGHT($K115,2)=RIGHT(BZ$43,2),SUM($AX115:BD115),0)+IF(RIGHT(BZ$43,2)&gt;RIGHT($K115,2),BD115,0))</f>
        <v>0</v>
      </c>
      <c r="CA115" s="1277">
        <f>+IF($K115="Ongoing",BE115,IF(RIGHT($K115,2)=RIGHT(CA$43,2),SUM($AX115:BE115),0)+IF(RIGHT(CA$43,2)&gt;RIGHT($K115,2),BE115,0))</f>
        <v>7.7630920038885121</v>
      </c>
      <c r="CB115" s="1277">
        <f>+IF($K115="Ongoing",BF115,IF(RIGHT($K115,2)=RIGHT(CB$43,2),SUM($AX115:BF115),0)+IF(RIGHT(CB$43,2)&gt;RIGHT($K115,2),BF115,0))</f>
        <v>8.2532284931386659</v>
      </c>
      <c r="CC115" s="388">
        <f>+IF($K115="Ongoing",BG115,IF(RIGHT($K115,2)=RIGHT(CC$43,2),SUM($AX115:BG115),0)+IF(RIGHT(CC$43,2)&gt;RIGHT($K115,2),BG115,0))</f>
        <v>0.11488249644919744</v>
      </c>
      <c r="CD115" s="1025"/>
      <c r="CE115" s="1282">
        <f>+Q115*KeyAssumptionsPriceControl_FO!AF$15</f>
        <v>3.8073050195121949</v>
      </c>
      <c r="CF115" s="387">
        <f>+R115*KeyAssumptionsPriceControl_FO!AG$15</f>
        <v>4.7779844238524696</v>
      </c>
      <c r="CG115" s="387">
        <f>+S115*KeyAssumptionsPriceControl_FO!AH$15</f>
        <v>1.5727465432762884</v>
      </c>
      <c r="CH115" s="387">
        <f>+T115*KeyAssumptionsPriceControl_FO!AI$15</f>
        <v>0</v>
      </c>
      <c r="CI115" s="1283">
        <f>+U115*KeyAssumptionsPriceControl_FO!AJ$15</f>
        <v>0</v>
      </c>
      <c r="CJ115" s="386">
        <f>+V115*KeyAssumptionsPriceControl_FO!AK$15</f>
        <v>0</v>
      </c>
      <c r="CK115" s="387">
        <f>+W115*KeyAssumptionsPriceControl_FO!AL$15</f>
        <v>0</v>
      </c>
      <c r="CL115" s="1277">
        <f>+X115*KeyAssumptionsPriceControl_FO!AM$15</f>
        <v>9.757930741517292</v>
      </c>
      <c r="CM115" s="1277">
        <f>+Y115*KeyAssumptionsPriceControl_FO!AN$15</f>
        <v>10.674861320376449</v>
      </c>
      <c r="CN115" s="388">
        <f>+Z115*KeyAssumptionsPriceControl_FO!AO$15</f>
        <v>0.15290004458221429</v>
      </c>
      <c r="CO115" s="1025"/>
      <c r="CP115" s="1282">
        <f t="shared" ca="1" si="267"/>
        <v>0</v>
      </c>
      <c r="CQ115" s="387">
        <f t="shared" ca="1" si="268"/>
        <v>0</v>
      </c>
      <c r="CR115" s="387">
        <f t="shared" ca="1" si="269"/>
        <v>0</v>
      </c>
      <c r="CS115" s="387">
        <f t="shared" ca="1" si="270"/>
        <v>0</v>
      </c>
      <c r="CT115" s="1283">
        <f t="shared" ca="1" si="271"/>
        <v>0</v>
      </c>
      <c r="CU115" s="386">
        <f t="shared" ca="1" si="272"/>
        <v>0</v>
      </c>
      <c r="CV115" s="387">
        <f t="shared" ca="1" si="273"/>
        <v>0</v>
      </c>
      <c r="CW115" s="1277">
        <f t="shared" ca="1" si="274"/>
        <v>0</v>
      </c>
      <c r="CX115" s="1277">
        <f t="shared" ca="1" si="275"/>
        <v>0</v>
      </c>
      <c r="CY115" s="388">
        <f t="shared" ca="1" si="276"/>
        <v>0</v>
      </c>
      <c r="CZ115" s="347"/>
      <c r="DA115" s="852"/>
      <c r="DB115" s="347"/>
      <c r="DC115" s="1012" t="s">
        <v>608</v>
      </c>
      <c r="DD115" s="841" t="s">
        <v>518</v>
      </c>
      <c r="DE115" s="386">
        <f>+IF($K115="ongoing",CE115,IF(RIGHT($K115,2)=RIGHT(DE$43,2),SUM($CD115:CE115),0)+IF(RIGHT(DE$43,2)&gt;RIGHT($K115,2),CE115,0))</f>
        <v>3.8073050195121949</v>
      </c>
      <c r="DF115" s="387">
        <f>+IF($K115="ongoing",CF115,IF(RIGHT($K115,2)=RIGHT(DF$43,2),SUM($CD115:CF115),0)+IF(RIGHT(DF$43,2)&gt;RIGHT($K115,2),CF115,0))</f>
        <v>4.7779844238524696</v>
      </c>
      <c r="DG115" s="388">
        <f>+IF($K115="ongoing",CG115,IF(RIGHT($K115,2)=RIGHT(DG$43,2),SUM($CD115:CG115),0)+IF(RIGHT(DG$43,2)&gt;RIGHT($K115,2),CG115,0))</f>
        <v>1.5727465432762884</v>
      </c>
      <c r="DH115" s="386">
        <f>+IF($K115="ongoing",CH115,IF(RIGHT($K115,2)=RIGHT(DH$43,2),SUM($CD115:CH115),0)+IF(RIGHT(DH$43,2)&gt;RIGHT($K115,2),CH115,0))</f>
        <v>0</v>
      </c>
      <c r="DI115" s="387">
        <f>+IF($K115="ongoing",CI115,IF(RIGHT($K115,2)=RIGHT(DI$43,2),SUM($CD115:CI115),0)+IF(RIGHT(DI$43,2)&gt;RIGHT($K115,2),CI115,0))</f>
        <v>0</v>
      </c>
      <c r="DJ115" s="387">
        <f>+IF($K115="ongoing",CJ115,IF(RIGHT($K115,2)=RIGHT(DJ$43,2),SUM($CD115:CJ115),0)+IF(RIGHT(DJ$43,2)&gt;RIGHT($K115,2),CJ115,0))</f>
        <v>0</v>
      </c>
      <c r="DK115" s="387">
        <f>+IF($K115="ongoing",CK115,IF(RIGHT($K115,2)=RIGHT(DK$43,2),SUM($CD115:CK115),0)+IF(RIGHT(DK$43,2)&gt;RIGHT($K115,2),CK115,0))</f>
        <v>0</v>
      </c>
      <c r="DL115" s="388">
        <f>+IF($K115="ongoing",CN115,IF(RIGHT($K115,2)=RIGHT(DL$43,2),SUM($CD115:CN115),0)+IF(RIGHT(DL$43,2)&gt;RIGHT($K115,2),CN115,0))</f>
        <v>0.15290004458221429</v>
      </c>
      <c r="DM115" s="841"/>
      <c r="DN115" s="386">
        <f t="shared" si="277"/>
        <v>0.5</v>
      </c>
      <c r="DO115" s="387">
        <f t="shared" si="278"/>
        <v>1</v>
      </c>
      <c r="DP115" s="388">
        <f t="shared" si="279"/>
        <v>1</v>
      </c>
      <c r="DQ115" s="386">
        <f t="shared" si="280"/>
        <v>1</v>
      </c>
      <c r="DR115" s="387">
        <f t="shared" si="281"/>
        <v>1</v>
      </c>
      <c r="DS115" s="387">
        <f t="shared" si="282"/>
        <v>1</v>
      </c>
      <c r="DT115" s="387">
        <f t="shared" si="283"/>
        <v>1</v>
      </c>
      <c r="DU115" s="388">
        <f t="shared" si="284"/>
        <v>1</v>
      </c>
      <c r="DW115" s="386">
        <f t="shared" si="285"/>
        <v>0</v>
      </c>
      <c r="DX115" s="387">
        <f t="shared" si="286"/>
        <v>0.5</v>
      </c>
      <c r="DY115" s="388">
        <f t="shared" si="287"/>
        <v>1</v>
      </c>
      <c r="DZ115" s="386">
        <f t="shared" si="288"/>
        <v>1</v>
      </c>
      <c r="EA115" s="387">
        <f t="shared" si="289"/>
        <v>1</v>
      </c>
      <c r="EB115" s="387">
        <f t="shared" si="290"/>
        <v>1</v>
      </c>
      <c r="EC115" s="387">
        <f t="shared" si="291"/>
        <v>1</v>
      </c>
      <c r="ED115" s="388">
        <f t="shared" si="292"/>
        <v>1</v>
      </c>
      <c r="EF115" s="834">
        <f>+IF(DN115=DM115,0,
IF(AND(EF$44&gt;1,DN115=$N115),1-SUM($EE115:EE115),
IF($N115&lt;=1,
IF($N115&gt;0,1/$N115,0),
IF(EF$44=1,0,VDB(1,0,$N115,INT(EF$44-1-1),MIN($N115,INT(EF$44-1-1)+1),$DC115,IF($DD115="No",1,0))/
IF(DM115&gt;=INT($N115),$N115-INT($N115),1)))*
IF(EF$44=1,0,
IF(INT(DN115)=INT(DM115),DN115-DM115,INT(DN115)-DM115))+
IF($N115&lt;=1,
IF($N115&gt;0,1/$N115,0),VDB(1,0,$N115,INT(EF$44-1),MIN($N115,INT(EF$44-1)+1),$DC115,IF($DD115="No",1,0))/
IF(DN115&gt;INT($N115),$N115-INT($N115),1))*
IF(EF$44=1,DN115,
IF(INT(DN115)=INT(DM115),0,DN115-INT(DN115)))))</f>
        <v>0</v>
      </c>
      <c r="EG115" s="835">
        <f>+IF(DO115=DN115,0,
IF(AND(EG$44&gt;1,DO115=$N115),1-SUM($EE115:EF115),
IF($N115&lt;=1,
IF($N115&gt;0,1/$N115,0),
IF(EG$44=1,0,VDB(1,0,$N115,INT(EG$44-1-1),MIN($N115,INT(EG$44-1-1)+1),$DC115,IF($DD115="No",1,0))/
IF(DN115&gt;=INT($N115),$N115-INT($N115),1)))*
IF(EG$44=1,0,
IF(INT(DO115)=INT(DN115),DO115-DN115,INT(DO115)-DN115))+
IF($N115&lt;=1,
IF($N115&gt;0,1/$N115,0),VDB(1,0,$N115,INT(EG$44-1),MIN($N115,INT(EG$44-1)+1),$DC115,IF($DD115="No",1,0))/
IF(DO115&gt;INT($N115),$N115-INT($N115),1))*
IF(EG$44=1,DO115,
IF(INT(DO115)=INT(DN115),0,DO115-INT(DO115)))))</f>
        <v>0</v>
      </c>
      <c r="EH115" s="836">
        <f>+IF(DP115=DO115,0,
IF(AND(EH$44&gt;1,DP115=$N115),1-SUM($EE115:EG115),
IF($N115&lt;=1,
IF($N115&gt;0,1/$N115,0),
IF(EH$44=1,0,VDB(1,0,$N115,INT(EH$44-1-1),MIN($N115,INT(EH$44-1-1)+1),$DC115,IF($DD115="No",1,0))/
IF(DO115&gt;=INT($N115),$N115-INT($N115),1)))*
IF(EH$44=1,0,
IF(INT(DP115)=INT(DO115),DP115-DO115,INT(DP115)-DO115))+
IF($N115&lt;=1,
IF($N115&gt;0,1/$N115,0),VDB(1,0,$N115,INT(EH$44-1),MIN($N115,INT(EH$44-1)+1),$DC115,IF($DD115="No",1,0))/
IF(DP115&gt;INT($N115),$N115-INT($N115),1))*
IF(EH$44=1,DP115,
IF(INT(DP115)=INT(DO115),0,DP115-INT(DP115)))))</f>
        <v>0</v>
      </c>
      <c r="EI115" s="834">
        <f>+IF(DQ115=DP115,0,
IF(AND(EI$44&gt;1,DQ115=$N115),1-SUM($EE115:EH115),
IF($N115&lt;=1,
IF($N115&gt;0,1/$N115,0),
IF(EI$44=1,0,VDB(1,0,$N115,INT(EI$44-1-1),MIN($N115,INT(EI$44-1-1)+1),$DC115,IF($DD115="No",1,0))/
IF(DP115&gt;=INT($N115),$N115-INT($N115),1)))*
IF(EI$44=1,0,
IF(INT(DQ115)=INT(DP115),DQ115-DP115,INT(DQ115)-DP115))+
IF($N115&lt;=1,
IF($N115&gt;0,1/$N115,0),VDB(1,0,$N115,INT(EI$44-1),MIN($N115,INT(EI$44-1)+1),$DC115,IF($DD115="No",1,0))/
IF(DQ115&gt;INT($N115),$N115-INT($N115),1))*
IF(EI$44=1,DQ115,
IF(INT(DQ115)=INT(DP115),0,DQ115-INT(DQ115)))))</f>
        <v>0</v>
      </c>
      <c r="EJ115" s="835">
        <f>+IF(DR115=DQ115,0,
IF(AND(EJ$44&gt;1,DR115=$N115),1-SUM($EE115:EI115),
IF($N115&lt;=1,
IF($N115&gt;0,1/$N115,0),
IF(EJ$44=1,0,VDB(1,0,$N115,INT(EJ$44-1-1),MIN($N115,INT(EJ$44-1-1)+1),$DC115,IF($DD115="No",1,0))/
IF(DQ115&gt;=INT($N115),$N115-INT($N115),1)))*
IF(EJ$44=1,0,
IF(INT(DR115)=INT(DQ115),DR115-DQ115,INT(DR115)-DQ115))+
IF($N115&lt;=1,
IF($N115&gt;0,1/$N115,0),VDB(1,0,$N115,INT(EJ$44-1),MIN($N115,INT(EJ$44-1)+1),$DC115,IF($DD115="No",1,0))/
IF(DR115&gt;INT($N115),$N115-INT($N115),1))*
IF(EJ$44=1,DR115,
IF(INT(DR115)=INT(DQ115),0,DR115-INT(DR115)))))</f>
        <v>0</v>
      </c>
      <c r="EK115" s="835">
        <f>+IF(DS115=DR115,0,
IF(AND(EK$44&gt;1,DS115=$N115),1-SUM($EE115:EJ115),
IF($N115&lt;=1,
IF($N115&gt;0,1/$N115,0),
IF(EK$44=1,0,VDB(1,0,$N115,INT(EK$44-1-1),MIN($N115,INT(EK$44-1-1)+1),$DC115,IF($DD115="No",1,0))/
IF(DR115&gt;=INT($N115),$N115-INT($N115),1)))*
IF(EK$44=1,0,
IF(INT(DS115)=INT(DR115),DS115-DR115,INT(DS115)-DR115))+
IF($N115&lt;=1,
IF($N115&gt;0,1/$N115,0),VDB(1,0,$N115,INT(EK$44-1),MIN($N115,INT(EK$44-1)+1),$DC115,IF($DD115="No",1,0))/
IF(DS115&gt;INT($N115),$N115-INT($N115),1))*
IF(EK$44=1,DS115,
IF(INT(DS115)=INT(DR115),0,DS115-INT(DS115)))))</f>
        <v>0</v>
      </c>
      <c r="EL115" s="835">
        <f>+IF(DT115=DS115,0,
IF(AND(EL$44&gt;1,DT115=$N115),1-SUM($EE115:EK115),
IF($N115&lt;=1,
IF($N115&gt;0,1/$N115,0),
IF(EL$44=1,0,VDB(1,0,$N115,INT(EL$44-1-1),MIN($N115,INT(EL$44-1-1)+1),$DC115,IF($DD115="No",1,0))/
IF(DS115&gt;=INT($N115),$N115-INT($N115),1)))*
IF(EL$44=1,0,
IF(INT(DT115)=INT(DS115),DT115-DS115,INT(DT115)-DS115))+
IF($N115&lt;=1,
IF($N115&gt;0,1/$N115,0),VDB(1,0,$N115,INT(EL$44-1),MIN($N115,INT(EL$44-1)+1),$DC115,IF($DD115="No",1,0))/
IF(DT115&gt;INT($N115),$N115-INT($N115),1))*
IF(EL$44=1,DT115,
IF(INT(DT115)=INT(DS115),0,DT115-INT(DT115)))))</f>
        <v>0</v>
      </c>
      <c r="EM115" s="836">
        <f>+IF(DU115=DT115,0,
IF(AND(EM$44&gt;1,DU115=$N115),1-SUM($EE115:EL115),
IF($N115&lt;=1,
IF($N115&gt;0,1/$N115,0),
IF(EM$44=1,0,VDB(1,0,$N115,INT(EM$44-1-1),MIN($N115,INT(EM$44-1-1)+1),$DC115,IF($DD115="No",1,0))/
IF(DT115&gt;=INT($N115),$N115-INT($N115),1)))*
IF(EM$44=1,0,
IF(INT(DU115)=INT(DT115),DU115-DT115,INT(DU115)-DT115))+
IF($N115&lt;=1,
IF($N115&gt;0,1/$N115,0),VDB(1,0,$N115,INT(EM$44-1),MIN($N115,INT(EM$44-1)+1),$DC115,IF($DD115="No",1,0))/
IF(DU115&gt;INT($N115),$N115-INT($N115),1))*
IF(EM$44=1,DU115,
IF(INT(DU115)=INT(DT115),0,DU115-INT(DU115)))))</f>
        <v>0</v>
      </c>
      <c r="EN115" s="833"/>
      <c r="EO115" s="834">
        <f>+IF(OR(DW115=DV115,EO$44=1),0,
IF(AND(EO$44&gt;1,DW115=$N115),1-SUM($EN115:EN115),
IF($N115&lt;=1,
IF($N115&gt;0,1/$N115,0),
IF(EO$44=2,0,VDB(1,0,$N115,INT(EO$44-2-1),MIN($N115,INT(EO$44-2-1)+1),$DC115,IF($DD115="No",1,0))/
IF(DV115&gt;=INT($N115),$N115-INT($N115),1)))*
IF(EO$44=2,0,
IF(INT(DW115)=INT(DV115),DW115-DV115,INT(DW115)-DV115))+
IF($N115&lt;=1,
IF($N115&gt;0,1/$N115,0),VDB(1,0,$N115,INT(EO$44-2),MIN($N115,INT(EO$44-2)+1),$DC115,IF($DD115="No",1,0))/
IF(DW115&gt;INT($N115),$N115-INT($N115),1))*
IF(EO$44=2,DW115,
IF(INT(DW115)=INT(DV115),0,DW115-INT(DW115)))))</f>
        <v>0</v>
      </c>
      <c r="EP115" s="835">
        <f>+IF(OR(DX115=DW115,EP$44=1),0,
IF(AND(EP$44&gt;1,DX115=$N115),1-SUM($EN115:EO115),
IF($N115&lt;=1,
IF($N115&gt;0,1/$N115,0),
IF(EP$44=2,0,VDB(1,0,$N115,INT(EP$44-2-1),MIN($N115,INT(EP$44-2-1)+1),$DC115,IF($DD115="No",1,0))/
IF(DW115&gt;=INT($N115),$N115-INT($N115),1)))*
IF(EP$44=2,0,
IF(INT(DX115)=INT(DW115),DX115-DW115,INT(DX115)-DW115))+
IF($N115&lt;=1,
IF($N115&gt;0,1/$N115,0),VDB(1,0,$N115,INT(EP$44-2),MIN($N115,INT(EP$44-2)+1),$DC115,IF($DD115="No",1,0))/
IF(DX115&gt;INT($N115),$N115-INT($N115),1))*
IF(EP$44=2,DX115,
IF(INT(DX115)=INT(DW115),0,DX115-INT(DX115)))))</f>
        <v>0</v>
      </c>
      <c r="EQ115" s="836">
        <f>+IF(OR(DY115=DX115,EQ$44=1),0,
IF(AND(EQ$44&gt;1,DY115=$N115),1-SUM($EN115:EP115),
IF($N115&lt;=1,
IF($N115&gt;0,1/$N115,0),
IF(EQ$44=2,0,VDB(1,0,$N115,INT(EQ$44-2-1),MIN($N115,INT(EQ$44-2-1)+1),$DC115,IF($DD115="No",1,0))/
IF(DX115&gt;=INT($N115),$N115-INT($N115),1)))*
IF(EQ$44=2,0,
IF(INT(DY115)=INT(DX115),DY115-DX115,INT(DY115)-DX115))+
IF($N115&lt;=1,
IF($N115&gt;0,1/$N115,0),VDB(1,0,$N115,INT(EQ$44-2),MIN($N115,INT(EQ$44-2)+1),$DC115,IF($DD115="No",1,0))/
IF(DY115&gt;INT($N115),$N115-INT($N115),1))*
IF(EQ$44=2,DY115,
IF(INT(DY115)=INT(DX115),0,DY115-INT(DY115)))))</f>
        <v>0</v>
      </c>
      <c r="ER115" s="834">
        <f>+IF(OR(DZ115=DY115,ER$44=1),0,
IF(AND(ER$44&gt;1,DZ115=$N115),1-SUM($EN115:EQ115),
IF($N115&lt;=1,
IF($N115&gt;0,1/$N115,0),
IF(ER$44=2,0,VDB(1,0,$N115,INT(ER$44-2-1),MIN($N115,INT(ER$44-2-1)+1),$DC115,IF($DD115="No",1,0))/
IF(DY115&gt;=INT($N115),$N115-INT($N115),1)))*
IF(ER$44=2,0,
IF(INT(DZ115)=INT(DY115),DZ115-DY115,INT(DZ115)-DY115))+
IF($N115&lt;=1,
IF($N115&gt;0,1/$N115,0),VDB(1,0,$N115,INT(ER$44-2),MIN($N115,INT(ER$44-2)+1),$DC115,IF($DD115="No",1,0))/
IF(DZ115&gt;INT($N115),$N115-INT($N115),1))*
IF(ER$44=2,DZ115,
IF(INT(DZ115)=INT(DY115),0,DZ115-INT(DZ115)))))</f>
        <v>0</v>
      </c>
      <c r="ES115" s="835">
        <f>+IF(OR(EA115=DZ115,ES$44=1),0,
IF(AND(ES$44&gt;1,EA115=$N115),1-SUM($EN115:ER115),
IF($N115&lt;=1,
IF($N115&gt;0,1/$N115,0),
IF(ES$44=2,0,VDB(1,0,$N115,INT(ES$44-2-1),MIN($N115,INT(ES$44-2-1)+1),$DC115,IF($DD115="No",1,0))/
IF(DZ115&gt;=INT($N115),$N115-INT($N115),1)))*
IF(ES$44=2,0,
IF(INT(EA115)=INT(DZ115),EA115-DZ115,INT(EA115)-DZ115))+
IF($N115&lt;=1,
IF($N115&gt;0,1/$N115,0),VDB(1,0,$N115,INT(ES$44-2),MIN($N115,INT(ES$44-2)+1),$DC115,IF($DD115="No",1,0))/
IF(EA115&gt;INT($N115),$N115-INT($N115),1))*
IF(ES$44=2,EA115,
IF(INT(EA115)=INT(DZ115),0,EA115-INT(EA115)))))</f>
        <v>0</v>
      </c>
      <c r="ET115" s="835">
        <f>+IF(OR(EB115=EA115,ET$44=1),0,
IF(AND(ET$44&gt;1,EB115=$N115),1-SUM($EN115:ES115),
IF($N115&lt;=1,
IF($N115&gt;0,1/$N115,0),
IF(ET$44=2,0,VDB(1,0,$N115,INT(ET$44-2-1),MIN($N115,INT(ET$44-2-1)+1),$DC115,IF($DD115="No",1,0))/
IF(EA115&gt;=INT($N115),$N115-INT($N115),1)))*
IF(ET$44=2,0,
IF(INT(EB115)=INT(EA115),EB115-EA115,INT(EB115)-EA115))+
IF($N115&lt;=1,
IF($N115&gt;0,1/$N115,0),VDB(1,0,$N115,INT(ET$44-2),MIN($N115,INT(ET$44-2)+1),$DC115,IF($DD115="No",1,0))/
IF(EB115&gt;INT($N115),$N115-INT($N115),1))*
IF(ET$44=2,EB115,
IF(INT(EB115)=INT(EA115),0,EB115-INT(EB115)))))</f>
        <v>0</v>
      </c>
      <c r="EU115" s="835">
        <f>+IF(OR(EC115=EB115,EU$44=1),0,
IF(AND(EU$44&gt;1,EC115=$N115),1-SUM($EN115:ET115),
IF($N115&lt;=1,
IF($N115&gt;0,1/$N115,0),
IF(EU$44=2,0,VDB(1,0,$N115,INT(EU$44-2-1),MIN($N115,INT(EU$44-2-1)+1),$DC115,IF($DD115="No",1,0))/
IF(EB115&gt;=INT($N115),$N115-INT($N115),1)))*
IF(EU$44=2,0,
IF(INT(EC115)=INT(EB115),EC115-EB115,INT(EC115)-EB115))+
IF($N115&lt;=1,
IF($N115&gt;0,1/$N115,0),VDB(1,0,$N115,INT(EU$44-2),MIN($N115,INT(EU$44-2)+1),$DC115,IF($DD115="No",1,0))/
IF(EC115&gt;INT($N115),$N115-INT($N115),1))*
IF(EU$44=2,EC115,
IF(INT(EC115)=INT(EB115),0,EC115-INT(EC115)))))</f>
        <v>0</v>
      </c>
      <c r="EV115" s="836">
        <f>+IF(OR(ED115=EC115,EV$44=1),0,
IF(AND(EV$44&gt;1,ED115=$N115),1-SUM($EN115:EU115),
IF($N115&lt;=1,
IF($N115&gt;0,1/$N115,0),
IF(EV$44=2,0,VDB(1,0,$N115,INT(EV$44-2-1),MIN($N115,INT(EV$44-2-1)+1),$DC115,IF($DD115="No",1,0))/
IF(EC115&gt;=INT($N115),$N115-INT($N115),1)))*
IF(EV$44=2,0,
IF(INT(ED115)=INT(EC115),ED115-EC115,INT(ED115)-EC115))+
IF($N115&lt;=1,
IF($N115&gt;0,1/$N115,0),VDB(1,0,$N115,INT(EV$44-2),MIN($N115,INT(EV$44-2)+1),$DC115,IF($DD115="No",1,0))/
IF(ED115&gt;INT($N115),$N115-INT($N115),1))*
IF(EV$44=2,ED115,
IF(INT(ED115)=INT(EC115),0,ED115-INT(ED115)))))</f>
        <v>0</v>
      </c>
      <c r="EW115" s="833"/>
      <c r="EX115" s="834">
        <f t="shared" ca="1" si="301"/>
        <v>0</v>
      </c>
      <c r="EY115" s="835">
        <f t="shared" ca="1" si="301"/>
        <v>0</v>
      </c>
      <c r="EZ115" s="836">
        <f t="shared" ca="1" si="301"/>
        <v>0</v>
      </c>
      <c r="FA115" s="834">
        <f t="shared" ca="1" si="301"/>
        <v>0</v>
      </c>
      <c r="FB115" s="835">
        <f t="shared" ca="1" si="301"/>
        <v>0</v>
      </c>
      <c r="FC115" s="835">
        <f t="shared" ca="1" si="301"/>
        <v>0</v>
      </c>
      <c r="FD115" s="835">
        <f t="shared" ca="1" si="301"/>
        <v>0</v>
      </c>
      <c r="FE115" s="836">
        <f t="shared" ca="1" si="301"/>
        <v>0</v>
      </c>
      <c r="FG115" s="386">
        <f t="shared" ca="1" si="293"/>
        <v>0</v>
      </c>
      <c r="FH115" s="387">
        <f t="shared" ca="1" si="294"/>
        <v>0</v>
      </c>
      <c r="FI115" s="388">
        <f t="shared" ca="1" si="295"/>
        <v>0</v>
      </c>
      <c r="FJ115" s="386">
        <f t="shared" ca="1" si="296"/>
        <v>0</v>
      </c>
      <c r="FK115" s="387">
        <f t="shared" ca="1" si="297"/>
        <v>0</v>
      </c>
      <c r="FL115" s="387">
        <f t="shared" ca="1" si="298"/>
        <v>0</v>
      </c>
      <c r="FM115" s="387">
        <f t="shared" ca="1" si="299"/>
        <v>0</v>
      </c>
      <c r="FN115" s="388">
        <f t="shared" ca="1" si="300"/>
        <v>0</v>
      </c>
      <c r="FR115" s="116"/>
    </row>
    <row r="116" spans="2:174">
      <c r="B116" s="1410">
        <f t="shared" si="135"/>
        <v>70</v>
      </c>
      <c r="C116" s="400" t="s">
        <v>604</v>
      </c>
      <c r="D116" s="410"/>
      <c r="E116" s="402" t="s">
        <v>401</v>
      </c>
      <c r="F116" s="402" t="s">
        <v>527</v>
      </c>
      <c r="G116" s="400" t="s">
        <v>525</v>
      </c>
      <c r="H116" s="2088" t="s">
        <v>483</v>
      </c>
      <c r="I116" s="2089"/>
      <c r="J116" s="411" t="s">
        <v>516</v>
      </c>
      <c r="K116" s="403" t="s">
        <v>544</v>
      </c>
      <c r="L116" s="403">
        <v>110</v>
      </c>
      <c r="M116" s="403" t="s">
        <v>142</v>
      </c>
      <c r="N116" s="403"/>
      <c r="O116" s="347"/>
      <c r="P116" s="347"/>
      <c r="Q116" s="1021">
        <v>0</v>
      </c>
      <c r="R116" s="1022">
        <v>0</v>
      </c>
      <c r="S116" s="1022">
        <v>0</v>
      </c>
      <c r="T116" s="1022">
        <v>0</v>
      </c>
      <c r="U116" s="1023">
        <v>0</v>
      </c>
      <c r="V116" s="1021">
        <v>0</v>
      </c>
      <c r="W116" s="1022">
        <v>0</v>
      </c>
      <c r="X116" s="1022">
        <v>5.7588636914728415</v>
      </c>
      <c r="Y116" s="1022">
        <v>24.368628259785602</v>
      </c>
      <c r="Z116" s="1023">
        <v>25.871335090643967</v>
      </c>
      <c r="AA116" s="1024"/>
      <c r="AB116" s="1021">
        <v>0</v>
      </c>
      <c r="AC116" s="1022">
        <v>0</v>
      </c>
      <c r="AD116" s="1022">
        <v>0</v>
      </c>
      <c r="AE116" s="1022">
        <v>0</v>
      </c>
      <c r="AF116" s="1023">
        <v>0</v>
      </c>
      <c r="AG116" s="1021">
        <v>0</v>
      </c>
      <c r="AH116" s="1022">
        <v>0</v>
      </c>
      <c r="AI116" s="1022">
        <v>0</v>
      </c>
      <c r="AJ116" s="1022">
        <v>0</v>
      </c>
      <c r="AK116" s="1023">
        <v>0</v>
      </c>
      <c r="AL116" s="1024"/>
      <c r="AM116" s="1021">
        <v>0</v>
      </c>
      <c r="AN116" s="1022">
        <v>0</v>
      </c>
      <c r="AO116" s="1022">
        <v>0</v>
      </c>
      <c r="AP116" s="1022">
        <v>0</v>
      </c>
      <c r="AQ116" s="1023">
        <v>0</v>
      </c>
      <c r="AR116" s="1021">
        <v>0</v>
      </c>
      <c r="AS116" s="1022">
        <v>0</v>
      </c>
      <c r="AT116" s="1022">
        <v>0</v>
      </c>
      <c r="AU116" s="1022">
        <v>0</v>
      </c>
      <c r="AV116" s="1023">
        <v>0</v>
      </c>
      <c r="AW116" s="1025"/>
      <c r="AX116" s="1282">
        <f t="shared" si="247"/>
        <v>0</v>
      </c>
      <c r="AY116" s="387">
        <f t="shared" si="248"/>
        <v>0</v>
      </c>
      <c r="AZ116" s="387">
        <f t="shared" si="249"/>
        <v>0</v>
      </c>
      <c r="BA116" s="387">
        <f t="shared" si="250"/>
        <v>0</v>
      </c>
      <c r="BB116" s="1283">
        <f t="shared" si="251"/>
        <v>0</v>
      </c>
      <c r="BC116" s="386">
        <f t="shared" si="252"/>
        <v>0</v>
      </c>
      <c r="BD116" s="387">
        <f t="shared" si="253"/>
        <v>0</v>
      </c>
      <c r="BE116" s="1277">
        <f t="shared" si="254"/>
        <v>5.7588636914728415</v>
      </c>
      <c r="BF116" s="1277">
        <f t="shared" si="255"/>
        <v>24.368628259785602</v>
      </c>
      <c r="BG116" s="388">
        <f t="shared" si="256"/>
        <v>25.871335090643967</v>
      </c>
      <c r="BH116" s="1025"/>
      <c r="BI116" s="1282">
        <f t="shared" ca="1" si="257"/>
        <v>0</v>
      </c>
      <c r="BJ116" s="387">
        <f t="shared" ca="1" si="258"/>
        <v>0</v>
      </c>
      <c r="BK116" s="387">
        <f t="shared" ca="1" si="259"/>
        <v>0</v>
      </c>
      <c r="BL116" s="387">
        <f t="shared" ca="1" si="260"/>
        <v>0</v>
      </c>
      <c r="BM116" s="1283">
        <f t="shared" ca="1" si="261"/>
        <v>0</v>
      </c>
      <c r="BN116" s="386">
        <f t="shared" ca="1" si="262"/>
        <v>0</v>
      </c>
      <c r="BO116" s="387">
        <f t="shared" ca="1" si="263"/>
        <v>0</v>
      </c>
      <c r="BP116" s="1277">
        <f t="shared" ca="1" si="264"/>
        <v>2.6176653143058372E-2</v>
      </c>
      <c r="BQ116" s="1277">
        <f t="shared" ca="1" si="265"/>
        <v>0.16311979837605128</v>
      </c>
      <c r="BR116" s="388">
        <f t="shared" ca="1" si="266"/>
        <v>0.39148326815073115</v>
      </c>
      <c r="BS116" s="1025"/>
      <c r="BT116" s="1282">
        <f>+IF($K116="Ongoing",AX116,IF(RIGHT($K116,2)=RIGHT(BT$43,2),SUM($AX116:AX116),0)+IF(RIGHT(BT$43,2)&gt;RIGHT($K116,2),AX116,0))</f>
        <v>0</v>
      </c>
      <c r="BU116" s="387">
        <f>+IF($K116="Ongoing",AY116,IF(RIGHT($K116,2)=RIGHT(BU$43,2),SUM($AX116:AY116),0)+IF(RIGHT(BU$43,2)&gt;RIGHT($K116,2),AY116,0))</f>
        <v>0</v>
      </c>
      <c r="BV116" s="387">
        <f>+IF($K116="Ongoing",AZ116,IF(RIGHT($K116,2)=RIGHT(BV$43,2),SUM($AX116:AZ116),0)+IF(RIGHT(BV$43,2)&gt;RIGHT($K116,2),AZ116,0))</f>
        <v>0</v>
      </c>
      <c r="BW116" s="387">
        <f>+IF($K116="Ongoing",BA116,IF(RIGHT($K116,2)=RIGHT(BW$43,2),SUM($AX116:BA116),0)+IF(RIGHT(BW$43,2)&gt;RIGHT($K116,2),BA116,0))</f>
        <v>0</v>
      </c>
      <c r="BX116" s="1283">
        <f>+IF($K116="Ongoing",BB116,IF(RIGHT($K116,2)=RIGHT(BX$43,2),SUM($AX116:BB116),0)+IF(RIGHT(BX$43,2)&gt;RIGHT($K116,2),BB116,0))</f>
        <v>0</v>
      </c>
      <c r="BY116" s="386">
        <f>+IF($K116="Ongoing",BC116,IF(RIGHT($K116,2)=RIGHT(BY$43,2),SUM($AX116:BC116),0)+IF(RIGHT(BY$43,2)&gt;RIGHT($K116,2),BC116,0))</f>
        <v>0</v>
      </c>
      <c r="BZ116" s="387">
        <f>+IF($K116="Ongoing",BD116,IF(RIGHT($K116,2)=RIGHT(BZ$43,2),SUM($AX116:BD116),0)+IF(RIGHT(BZ$43,2)&gt;RIGHT($K116,2),BD116,0))</f>
        <v>0</v>
      </c>
      <c r="CA116" s="1277">
        <f>+IF($K116="Ongoing",BE116,IF(RIGHT($K116,2)=RIGHT(CA$43,2),SUM($AX116:BE116),0)+IF(RIGHT(CA$43,2)&gt;RIGHT($K116,2),BE116,0))</f>
        <v>5.7588636914728415</v>
      </c>
      <c r="CB116" s="1277">
        <f>+IF($K116="Ongoing",BF116,IF(RIGHT($K116,2)=RIGHT(CB$43,2),SUM($AX116:BF116),0)+IF(RIGHT(CB$43,2)&gt;RIGHT($K116,2),BF116,0))</f>
        <v>24.368628259785602</v>
      </c>
      <c r="CC116" s="388">
        <f>+IF($K116="Ongoing",BG116,IF(RIGHT($K116,2)=RIGHT(CC$43,2),SUM($AX116:BG116),0)+IF(RIGHT(CC$43,2)&gt;RIGHT($K116,2),BG116,0))</f>
        <v>25.871335090643967</v>
      </c>
      <c r="CD116" s="1025"/>
      <c r="CE116" s="1282">
        <f>+Q116*KeyAssumptionsPriceControl_FO!AF$15</f>
        <v>0</v>
      </c>
      <c r="CF116" s="387">
        <f>+R116*KeyAssumptionsPriceControl_FO!AG$15</f>
        <v>0</v>
      </c>
      <c r="CG116" s="387">
        <f>+S116*KeyAssumptionsPriceControl_FO!AH$15</f>
        <v>0</v>
      </c>
      <c r="CH116" s="387">
        <f>+T116*KeyAssumptionsPriceControl_FO!AI$15</f>
        <v>0</v>
      </c>
      <c r="CI116" s="1283">
        <f>+U116*KeyAssumptionsPriceControl_FO!AJ$15</f>
        <v>0</v>
      </c>
      <c r="CJ116" s="386">
        <f>+V116*KeyAssumptionsPriceControl_FO!AK$15</f>
        <v>0</v>
      </c>
      <c r="CK116" s="387">
        <f>+W116*KeyAssumptionsPriceControl_FO!AL$15</f>
        <v>0</v>
      </c>
      <c r="CL116" s="1277">
        <f>+X116*KeyAssumptionsPriceControl_FO!AM$15</f>
        <v>7.2386869849130822</v>
      </c>
      <c r="CM116" s="1277">
        <f>+Y116*KeyAssumptionsPriceControl_FO!AN$15</f>
        <v>31.518784128814399</v>
      </c>
      <c r="CN116" s="388">
        <f>+Z116*KeyAssumptionsPriceControl_FO!AO$15</f>
        <v>34.432819716014293</v>
      </c>
      <c r="CO116" s="1025"/>
      <c r="CP116" s="1282">
        <f t="shared" ca="1" si="267"/>
        <v>0</v>
      </c>
      <c r="CQ116" s="387">
        <f t="shared" ca="1" si="268"/>
        <v>0</v>
      </c>
      <c r="CR116" s="387">
        <f t="shared" ca="1" si="269"/>
        <v>0</v>
      </c>
      <c r="CS116" s="387">
        <f t="shared" ca="1" si="270"/>
        <v>0</v>
      </c>
      <c r="CT116" s="1283">
        <f t="shared" ca="1" si="271"/>
        <v>0</v>
      </c>
      <c r="CU116" s="386">
        <f t="shared" ca="1" si="272"/>
        <v>0</v>
      </c>
      <c r="CV116" s="387">
        <f t="shared" ca="1" si="273"/>
        <v>0</v>
      </c>
      <c r="CW116" s="1277">
        <f t="shared" ca="1" si="274"/>
        <v>0</v>
      </c>
      <c r="CX116" s="1277">
        <f t="shared" ca="1" si="275"/>
        <v>0</v>
      </c>
      <c r="CY116" s="388">
        <f t="shared" ca="1" si="276"/>
        <v>0</v>
      </c>
      <c r="CZ116" s="347"/>
      <c r="DA116" s="852"/>
      <c r="DB116" s="347"/>
      <c r="DC116" s="1012" t="s">
        <v>609</v>
      </c>
      <c r="DD116" s="841" t="s">
        <v>518</v>
      </c>
      <c r="DE116" s="386">
        <f>+IF($K116="ongoing",CE116,IF(RIGHT($K116,2)=RIGHT(DE$43,2),SUM($CD116:CE116),0)+IF(RIGHT(DE$43,2)&gt;RIGHT($K116,2),CE116,0))</f>
        <v>0</v>
      </c>
      <c r="DF116" s="387">
        <f>+IF($K116="ongoing",CF116,IF(RIGHT($K116,2)=RIGHT(DF$43,2),SUM($CD116:CF116),0)+IF(RIGHT(DF$43,2)&gt;RIGHT($K116,2),CF116,0))</f>
        <v>0</v>
      </c>
      <c r="DG116" s="388">
        <f>+IF($K116="ongoing",CG116,IF(RIGHT($K116,2)=RIGHT(DG$43,2),SUM($CD116:CG116),0)+IF(RIGHT(DG$43,2)&gt;RIGHT($K116,2),CG116,0))</f>
        <v>0</v>
      </c>
      <c r="DH116" s="386">
        <f>+IF($K116="ongoing",CH116,IF(RIGHT($K116,2)=RIGHT(DH$43,2),SUM($CD116:CH116),0)+IF(RIGHT(DH$43,2)&gt;RIGHT($K116,2),CH116,0))</f>
        <v>0</v>
      </c>
      <c r="DI116" s="387">
        <f>+IF($K116="ongoing",CI116,IF(RIGHT($K116,2)=RIGHT(DI$43,2),SUM($CD116:CI116),0)+IF(RIGHT(DI$43,2)&gt;RIGHT($K116,2),CI116,0))</f>
        <v>0</v>
      </c>
      <c r="DJ116" s="387">
        <f>+IF($K116="ongoing",CJ116,IF(RIGHT($K116,2)=RIGHT(DJ$43,2),SUM($CD116:CJ116),0)+IF(RIGHT(DJ$43,2)&gt;RIGHT($K116,2),CJ116,0))</f>
        <v>0</v>
      </c>
      <c r="DK116" s="387">
        <f>+IF($K116="ongoing",CK116,IF(RIGHT($K116,2)=RIGHT(DK$43,2),SUM($CD116:CK116),0)+IF(RIGHT(DK$43,2)&gt;RIGHT($K116,2),CK116,0))</f>
        <v>0</v>
      </c>
      <c r="DL116" s="388">
        <f>+IF($K116="ongoing",CN116,IF(RIGHT($K116,2)=RIGHT(DL$43,2),SUM($CD116:CN116),0)+IF(RIGHT(DL$43,2)&gt;RIGHT($K116,2),CN116,0))</f>
        <v>34.432819716014293</v>
      </c>
      <c r="DM116" s="841"/>
      <c r="DN116" s="386">
        <f t="shared" si="277"/>
        <v>0.5</v>
      </c>
      <c r="DO116" s="387">
        <f t="shared" si="278"/>
        <v>1</v>
      </c>
      <c r="DP116" s="388">
        <f t="shared" si="279"/>
        <v>1</v>
      </c>
      <c r="DQ116" s="386">
        <f t="shared" si="280"/>
        <v>1</v>
      </c>
      <c r="DR116" s="387">
        <f t="shared" si="281"/>
        <v>1</v>
      </c>
      <c r="DS116" s="387">
        <f t="shared" si="282"/>
        <v>1</v>
      </c>
      <c r="DT116" s="387">
        <f t="shared" si="283"/>
        <v>1</v>
      </c>
      <c r="DU116" s="388">
        <f t="shared" si="284"/>
        <v>1</v>
      </c>
      <c r="DW116" s="386">
        <f t="shared" si="285"/>
        <v>0</v>
      </c>
      <c r="DX116" s="387">
        <f t="shared" si="286"/>
        <v>0.5</v>
      </c>
      <c r="DY116" s="388">
        <f t="shared" si="287"/>
        <v>1</v>
      </c>
      <c r="DZ116" s="386">
        <f t="shared" si="288"/>
        <v>1</v>
      </c>
      <c r="EA116" s="387">
        <f t="shared" si="289"/>
        <v>1</v>
      </c>
      <c r="EB116" s="387">
        <f t="shared" si="290"/>
        <v>1</v>
      </c>
      <c r="EC116" s="387">
        <f t="shared" si="291"/>
        <v>1</v>
      </c>
      <c r="ED116" s="388">
        <f t="shared" si="292"/>
        <v>1</v>
      </c>
      <c r="EF116" s="834">
        <f>+IF(DN116=DM116,0,
IF(AND(EF$44&gt;1,DN116=$N116),1-SUM($EE116:EE116),
IF($N116&lt;=1,
IF($N116&gt;0,1/$N116,0),
IF(EF$44=1,0,VDB(1,0,$N116,INT(EF$44-1-1),MIN($N116,INT(EF$44-1-1)+1),$DC116,IF($DD116="No",1,0))/
IF(DM116&gt;=INT($N116),$N116-INT($N116),1)))*
IF(EF$44=1,0,
IF(INT(DN116)=INT(DM116),DN116-DM116,INT(DN116)-DM116))+
IF($N116&lt;=1,
IF($N116&gt;0,1/$N116,0),VDB(1,0,$N116,INT(EF$44-1),MIN($N116,INT(EF$44-1)+1),$DC116,IF($DD116="No",1,0))/
IF(DN116&gt;INT($N116),$N116-INT($N116),1))*
IF(EF$44=1,DN116,
IF(INT(DN116)=INT(DM116),0,DN116-INT(DN116)))))</f>
        <v>0</v>
      </c>
      <c r="EG116" s="835">
        <f>+IF(DO116=DN116,0,
IF(AND(EG$44&gt;1,DO116=$N116),1-SUM($EE116:EF116),
IF($N116&lt;=1,
IF($N116&gt;0,1/$N116,0),
IF(EG$44=1,0,VDB(1,0,$N116,INT(EG$44-1-1),MIN($N116,INT(EG$44-1-1)+1),$DC116,IF($DD116="No",1,0))/
IF(DN116&gt;=INT($N116),$N116-INT($N116),1)))*
IF(EG$44=1,0,
IF(INT(DO116)=INT(DN116),DO116-DN116,INT(DO116)-DN116))+
IF($N116&lt;=1,
IF($N116&gt;0,1/$N116,0),VDB(1,0,$N116,INT(EG$44-1),MIN($N116,INT(EG$44-1)+1),$DC116,IF($DD116="No",1,0))/
IF(DO116&gt;INT($N116),$N116-INT($N116),1))*
IF(EG$44=1,DO116,
IF(INT(DO116)=INT(DN116),0,DO116-INT(DO116)))))</f>
        <v>0</v>
      </c>
      <c r="EH116" s="836">
        <f>+IF(DP116=DO116,0,
IF(AND(EH$44&gt;1,DP116=$N116),1-SUM($EE116:EG116),
IF($N116&lt;=1,
IF($N116&gt;0,1/$N116,0),
IF(EH$44=1,0,VDB(1,0,$N116,INT(EH$44-1-1),MIN($N116,INT(EH$44-1-1)+1),$DC116,IF($DD116="No",1,0))/
IF(DO116&gt;=INT($N116),$N116-INT($N116),1)))*
IF(EH$44=1,0,
IF(INT(DP116)=INT(DO116),DP116-DO116,INT(DP116)-DO116))+
IF($N116&lt;=1,
IF($N116&gt;0,1/$N116,0),VDB(1,0,$N116,INT(EH$44-1),MIN($N116,INT(EH$44-1)+1),$DC116,IF($DD116="No",1,0))/
IF(DP116&gt;INT($N116),$N116-INT($N116),1))*
IF(EH$44=1,DP116,
IF(INT(DP116)=INT(DO116),0,DP116-INT(DP116)))))</f>
        <v>0</v>
      </c>
      <c r="EI116" s="834">
        <f>+IF(DQ116=DP116,0,
IF(AND(EI$44&gt;1,DQ116=$N116),1-SUM($EE116:EH116),
IF($N116&lt;=1,
IF($N116&gt;0,1/$N116,0),
IF(EI$44=1,0,VDB(1,0,$N116,INT(EI$44-1-1),MIN($N116,INT(EI$44-1-1)+1),$DC116,IF($DD116="No",1,0))/
IF(DP116&gt;=INT($N116),$N116-INT($N116),1)))*
IF(EI$44=1,0,
IF(INT(DQ116)=INT(DP116),DQ116-DP116,INT(DQ116)-DP116))+
IF($N116&lt;=1,
IF($N116&gt;0,1/$N116,0),VDB(1,0,$N116,INT(EI$44-1),MIN($N116,INT(EI$44-1)+1),$DC116,IF($DD116="No",1,0))/
IF(DQ116&gt;INT($N116),$N116-INT($N116),1))*
IF(EI$44=1,DQ116,
IF(INT(DQ116)=INT(DP116),0,DQ116-INT(DQ116)))))</f>
        <v>0</v>
      </c>
      <c r="EJ116" s="835">
        <f>+IF(DR116=DQ116,0,
IF(AND(EJ$44&gt;1,DR116=$N116),1-SUM($EE116:EI116),
IF($N116&lt;=1,
IF($N116&gt;0,1/$N116,0),
IF(EJ$44=1,0,VDB(1,0,$N116,INT(EJ$44-1-1),MIN($N116,INT(EJ$44-1-1)+1),$DC116,IF($DD116="No",1,0))/
IF(DQ116&gt;=INT($N116),$N116-INT($N116),1)))*
IF(EJ$44=1,0,
IF(INT(DR116)=INT(DQ116),DR116-DQ116,INT(DR116)-DQ116))+
IF($N116&lt;=1,
IF($N116&gt;0,1/$N116,0),VDB(1,0,$N116,INT(EJ$44-1),MIN($N116,INT(EJ$44-1)+1),$DC116,IF($DD116="No",1,0))/
IF(DR116&gt;INT($N116),$N116-INT($N116),1))*
IF(EJ$44=1,DR116,
IF(INT(DR116)=INT(DQ116),0,DR116-INT(DR116)))))</f>
        <v>0</v>
      </c>
      <c r="EK116" s="835">
        <f>+IF(DS116=DR116,0,
IF(AND(EK$44&gt;1,DS116=$N116),1-SUM($EE116:EJ116),
IF($N116&lt;=1,
IF($N116&gt;0,1/$N116,0),
IF(EK$44=1,0,VDB(1,0,$N116,INT(EK$44-1-1),MIN($N116,INT(EK$44-1-1)+1),$DC116,IF($DD116="No",1,0))/
IF(DR116&gt;=INT($N116),$N116-INT($N116),1)))*
IF(EK$44=1,0,
IF(INT(DS116)=INT(DR116),DS116-DR116,INT(DS116)-DR116))+
IF($N116&lt;=1,
IF($N116&gt;0,1/$N116,0),VDB(1,0,$N116,INT(EK$44-1),MIN($N116,INT(EK$44-1)+1),$DC116,IF($DD116="No",1,0))/
IF(DS116&gt;INT($N116),$N116-INT($N116),1))*
IF(EK$44=1,DS116,
IF(INT(DS116)=INT(DR116),0,DS116-INT(DS116)))))</f>
        <v>0</v>
      </c>
      <c r="EL116" s="835">
        <f>+IF(DT116=DS116,0,
IF(AND(EL$44&gt;1,DT116=$N116),1-SUM($EE116:EK116),
IF($N116&lt;=1,
IF($N116&gt;0,1/$N116,0),
IF(EL$44=1,0,VDB(1,0,$N116,INT(EL$44-1-1),MIN($N116,INT(EL$44-1-1)+1),$DC116,IF($DD116="No",1,0))/
IF(DS116&gt;=INT($N116),$N116-INT($N116),1)))*
IF(EL$44=1,0,
IF(INT(DT116)=INT(DS116),DT116-DS116,INT(DT116)-DS116))+
IF($N116&lt;=1,
IF($N116&gt;0,1/$N116,0),VDB(1,0,$N116,INT(EL$44-1),MIN($N116,INT(EL$44-1)+1),$DC116,IF($DD116="No",1,0))/
IF(DT116&gt;INT($N116),$N116-INT($N116),1))*
IF(EL$44=1,DT116,
IF(INT(DT116)=INT(DS116),0,DT116-INT(DT116)))))</f>
        <v>0</v>
      </c>
      <c r="EM116" s="836">
        <f>+IF(DU116=DT116,0,
IF(AND(EM$44&gt;1,DU116=$N116),1-SUM($EE116:EL116),
IF($N116&lt;=1,
IF($N116&gt;0,1/$N116,0),
IF(EM$44=1,0,VDB(1,0,$N116,INT(EM$44-1-1),MIN($N116,INT(EM$44-1-1)+1),$DC116,IF($DD116="No",1,0))/
IF(DT116&gt;=INT($N116),$N116-INT($N116),1)))*
IF(EM$44=1,0,
IF(INT(DU116)=INT(DT116),DU116-DT116,INT(DU116)-DT116))+
IF($N116&lt;=1,
IF($N116&gt;0,1/$N116,0),VDB(1,0,$N116,INT(EM$44-1),MIN($N116,INT(EM$44-1)+1),$DC116,IF($DD116="No",1,0))/
IF(DU116&gt;INT($N116),$N116-INT($N116),1))*
IF(EM$44=1,DU116,
IF(INT(DU116)=INT(DT116),0,DU116-INT(DU116)))))</f>
        <v>0</v>
      </c>
      <c r="EN116" s="833"/>
      <c r="EO116" s="834">
        <f>+IF(OR(DW116=DV116,EO$44=1),0,
IF(AND(EO$44&gt;1,DW116=$N116),1-SUM($EN116:EN116),
IF($N116&lt;=1,
IF($N116&gt;0,1/$N116,0),
IF(EO$44=2,0,VDB(1,0,$N116,INT(EO$44-2-1),MIN($N116,INT(EO$44-2-1)+1),$DC116,IF($DD116="No",1,0))/
IF(DV116&gt;=INT($N116),$N116-INT($N116),1)))*
IF(EO$44=2,0,
IF(INT(DW116)=INT(DV116),DW116-DV116,INT(DW116)-DV116))+
IF($N116&lt;=1,
IF($N116&gt;0,1/$N116,0),VDB(1,0,$N116,INT(EO$44-2),MIN($N116,INT(EO$44-2)+1),$DC116,IF($DD116="No",1,0))/
IF(DW116&gt;INT($N116),$N116-INT($N116),1))*
IF(EO$44=2,DW116,
IF(INT(DW116)=INT(DV116),0,DW116-INT(DW116)))))</f>
        <v>0</v>
      </c>
      <c r="EP116" s="835">
        <f>+IF(OR(DX116=DW116,EP$44=1),0,
IF(AND(EP$44&gt;1,DX116=$N116),1-SUM($EN116:EO116),
IF($N116&lt;=1,
IF($N116&gt;0,1/$N116,0),
IF(EP$44=2,0,VDB(1,0,$N116,INT(EP$44-2-1),MIN($N116,INT(EP$44-2-1)+1),$DC116,IF($DD116="No",1,0))/
IF(DW116&gt;=INT($N116),$N116-INT($N116),1)))*
IF(EP$44=2,0,
IF(INT(DX116)=INT(DW116),DX116-DW116,INT(DX116)-DW116))+
IF($N116&lt;=1,
IF($N116&gt;0,1/$N116,0),VDB(1,0,$N116,INT(EP$44-2),MIN($N116,INT(EP$44-2)+1),$DC116,IF($DD116="No",1,0))/
IF(DX116&gt;INT($N116),$N116-INT($N116),1))*
IF(EP$44=2,DX116,
IF(INT(DX116)=INT(DW116),0,DX116-INT(DX116)))))</f>
        <v>0</v>
      </c>
      <c r="EQ116" s="836">
        <f>+IF(OR(DY116=DX116,EQ$44=1),0,
IF(AND(EQ$44&gt;1,DY116=$N116),1-SUM($EN116:EP116),
IF($N116&lt;=1,
IF($N116&gt;0,1/$N116,0),
IF(EQ$44=2,0,VDB(1,0,$N116,INT(EQ$44-2-1),MIN($N116,INT(EQ$44-2-1)+1),$DC116,IF($DD116="No",1,0))/
IF(DX116&gt;=INT($N116),$N116-INT($N116),1)))*
IF(EQ$44=2,0,
IF(INT(DY116)=INT(DX116),DY116-DX116,INT(DY116)-DX116))+
IF($N116&lt;=1,
IF($N116&gt;0,1/$N116,0),VDB(1,0,$N116,INT(EQ$44-2),MIN($N116,INT(EQ$44-2)+1),$DC116,IF($DD116="No",1,0))/
IF(DY116&gt;INT($N116),$N116-INT($N116),1))*
IF(EQ$44=2,DY116,
IF(INT(DY116)=INT(DX116),0,DY116-INT(DY116)))))</f>
        <v>0</v>
      </c>
      <c r="ER116" s="834">
        <f>+IF(OR(DZ116=DY116,ER$44=1),0,
IF(AND(ER$44&gt;1,DZ116=$N116),1-SUM($EN116:EQ116),
IF($N116&lt;=1,
IF($N116&gt;0,1/$N116,0),
IF(ER$44=2,0,VDB(1,0,$N116,INT(ER$44-2-1),MIN($N116,INT(ER$44-2-1)+1),$DC116,IF($DD116="No",1,0))/
IF(DY116&gt;=INT($N116),$N116-INT($N116),1)))*
IF(ER$44=2,0,
IF(INT(DZ116)=INT(DY116),DZ116-DY116,INT(DZ116)-DY116))+
IF($N116&lt;=1,
IF($N116&gt;0,1/$N116,0),VDB(1,0,$N116,INT(ER$44-2),MIN($N116,INT(ER$44-2)+1),$DC116,IF($DD116="No",1,0))/
IF(DZ116&gt;INT($N116),$N116-INT($N116),1))*
IF(ER$44=2,DZ116,
IF(INT(DZ116)=INT(DY116),0,DZ116-INT(DZ116)))))</f>
        <v>0</v>
      </c>
      <c r="ES116" s="835">
        <f>+IF(OR(EA116=DZ116,ES$44=1),0,
IF(AND(ES$44&gt;1,EA116=$N116),1-SUM($EN116:ER116),
IF($N116&lt;=1,
IF($N116&gt;0,1/$N116,0),
IF(ES$44=2,0,VDB(1,0,$N116,INT(ES$44-2-1),MIN($N116,INT(ES$44-2-1)+1),$DC116,IF($DD116="No",1,0))/
IF(DZ116&gt;=INT($N116),$N116-INT($N116),1)))*
IF(ES$44=2,0,
IF(INT(EA116)=INT(DZ116),EA116-DZ116,INT(EA116)-DZ116))+
IF($N116&lt;=1,
IF($N116&gt;0,1/$N116,0),VDB(1,0,$N116,INT(ES$44-2),MIN($N116,INT(ES$44-2)+1),$DC116,IF($DD116="No",1,0))/
IF(EA116&gt;INT($N116),$N116-INT($N116),1))*
IF(ES$44=2,EA116,
IF(INT(EA116)=INT(DZ116),0,EA116-INT(EA116)))))</f>
        <v>0</v>
      </c>
      <c r="ET116" s="835">
        <f>+IF(OR(EB116=EA116,ET$44=1),0,
IF(AND(ET$44&gt;1,EB116=$N116),1-SUM($EN116:ES116),
IF($N116&lt;=1,
IF($N116&gt;0,1/$N116,0),
IF(ET$44=2,0,VDB(1,0,$N116,INT(ET$44-2-1),MIN($N116,INT(ET$44-2-1)+1),$DC116,IF($DD116="No",1,0))/
IF(EA116&gt;=INT($N116),$N116-INT($N116),1)))*
IF(ET$44=2,0,
IF(INT(EB116)=INT(EA116),EB116-EA116,INT(EB116)-EA116))+
IF($N116&lt;=1,
IF($N116&gt;0,1/$N116,0),VDB(1,0,$N116,INT(ET$44-2),MIN($N116,INT(ET$44-2)+1),$DC116,IF($DD116="No",1,0))/
IF(EB116&gt;INT($N116),$N116-INT($N116),1))*
IF(ET$44=2,EB116,
IF(INT(EB116)=INT(EA116),0,EB116-INT(EB116)))))</f>
        <v>0</v>
      </c>
      <c r="EU116" s="835">
        <f>+IF(OR(EC116=EB116,EU$44=1),0,
IF(AND(EU$44&gt;1,EC116=$N116),1-SUM($EN116:ET116),
IF($N116&lt;=1,
IF($N116&gt;0,1/$N116,0),
IF(EU$44=2,0,VDB(1,0,$N116,INT(EU$44-2-1),MIN($N116,INT(EU$44-2-1)+1),$DC116,IF($DD116="No",1,0))/
IF(EB116&gt;=INT($N116),$N116-INT($N116),1)))*
IF(EU$44=2,0,
IF(INT(EC116)=INT(EB116),EC116-EB116,INT(EC116)-EB116))+
IF($N116&lt;=1,
IF($N116&gt;0,1/$N116,0),VDB(1,0,$N116,INT(EU$44-2),MIN($N116,INT(EU$44-2)+1),$DC116,IF($DD116="No",1,0))/
IF(EC116&gt;INT($N116),$N116-INT($N116),1))*
IF(EU$44=2,EC116,
IF(INT(EC116)=INT(EB116),0,EC116-INT(EC116)))))</f>
        <v>0</v>
      </c>
      <c r="EV116" s="836">
        <f>+IF(OR(ED116=EC116,EV$44=1),0,
IF(AND(EV$44&gt;1,ED116=$N116),1-SUM($EN116:EU116),
IF($N116&lt;=1,
IF($N116&gt;0,1/$N116,0),
IF(EV$44=2,0,VDB(1,0,$N116,INT(EV$44-2-1),MIN($N116,INT(EV$44-2-1)+1),$DC116,IF($DD116="No",1,0))/
IF(EC116&gt;=INT($N116),$N116-INT($N116),1)))*
IF(EV$44=2,0,
IF(INT(ED116)=INT(EC116),ED116-EC116,INT(ED116)-EC116))+
IF($N116&lt;=1,
IF($N116&gt;0,1/$N116,0),VDB(1,0,$N116,INT(EV$44-2),MIN($N116,INT(EV$44-2)+1),$DC116,IF($DD116="No",1,0))/
IF(ED116&gt;INT($N116),$N116-INT($N116),1))*
IF(EV$44=2,ED116,
IF(INT(ED116)=INT(EC116),0,ED116-INT(ED116)))))</f>
        <v>0</v>
      </c>
      <c r="EW116" s="833"/>
      <c r="EX116" s="834">
        <f t="shared" ca="1" si="301"/>
        <v>0</v>
      </c>
      <c r="EY116" s="835">
        <f t="shared" ca="1" si="301"/>
        <v>0</v>
      </c>
      <c r="EZ116" s="836">
        <f t="shared" ca="1" si="301"/>
        <v>0</v>
      </c>
      <c r="FA116" s="834">
        <f t="shared" ca="1" si="301"/>
        <v>0</v>
      </c>
      <c r="FB116" s="835">
        <f t="shared" ca="1" si="301"/>
        <v>0</v>
      </c>
      <c r="FC116" s="835">
        <f t="shared" ca="1" si="301"/>
        <v>0</v>
      </c>
      <c r="FD116" s="835">
        <f t="shared" ca="1" si="301"/>
        <v>0</v>
      </c>
      <c r="FE116" s="836">
        <f t="shared" ca="1" si="301"/>
        <v>0</v>
      </c>
      <c r="FG116" s="386">
        <f t="shared" ca="1" si="293"/>
        <v>0</v>
      </c>
      <c r="FH116" s="387">
        <f t="shared" ca="1" si="294"/>
        <v>0</v>
      </c>
      <c r="FI116" s="388">
        <f t="shared" ca="1" si="295"/>
        <v>0</v>
      </c>
      <c r="FJ116" s="386">
        <f t="shared" ca="1" si="296"/>
        <v>0</v>
      </c>
      <c r="FK116" s="387">
        <f t="shared" ca="1" si="297"/>
        <v>0</v>
      </c>
      <c r="FL116" s="387">
        <f t="shared" ca="1" si="298"/>
        <v>0</v>
      </c>
      <c r="FM116" s="387">
        <f t="shared" ca="1" si="299"/>
        <v>0</v>
      </c>
      <c r="FN116" s="388">
        <f t="shared" ca="1" si="300"/>
        <v>0</v>
      </c>
      <c r="FR116" s="116"/>
    </row>
    <row r="117" spans="2:174">
      <c r="B117" s="1410">
        <f t="shared" si="135"/>
        <v>71</v>
      </c>
      <c r="C117" s="400" t="s">
        <v>610</v>
      </c>
      <c r="D117" s="410"/>
      <c r="E117" s="402" t="s">
        <v>401</v>
      </c>
      <c r="F117" s="402" t="s">
        <v>520</v>
      </c>
      <c r="G117" s="400" t="s">
        <v>525</v>
      </c>
      <c r="H117" s="2088" t="s">
        <v>483</v>
      </c>
      <c r="I117" s="2089"/>
      <c r="J117" s="411" t="s">
        <v>516</v>
      </c>
      <c r="K117" s="403" t="s">
        <v>544</v>
      </c>
      <c r="L117" s="403">
        <v>40</v>
      </c>
      <c r="M117" s="403" t="s">
        <v>142</v>
      </c>
      <c r="N117" s="403"/>
      <c r="O117" s="347"/>
      <c r="P117" s="347"/>
      <c r="Q117" s="1021">
        <v>7.6409970731707331</v>
      </c>
      <c r="R117" s="1022">
        <v>8.1671996383105316</v>
      </c>
      <c r="S117" s="1022">
        <v>0.8453086171123444</v>
      </c>
      <c r="T117" s="1022">
        <v>0</v>
      </c>
      <c r="U117" s="1023">
        <v>0</v>
      </c>
      <c r="V117" s="1021">
        <v>0</v>
      </c>
      <c r="W117" s="1022">
        <v>10.185176328375967</v>
      </c>
      <c r="X117" s="1022">
        <v>20.532099998549072</v>
      </c>
      <c r="Y117" s="1022">
        <v>10.46726315495189</v>
      </c>
      <c r="Z117" s="1023">
        <v>0.14360334152506868</v>
      </c>
      <c r="AA117" s="1024"/>
      <c r="AB117" s="1021">
        <v>0</v>
      </c>
      <c r="AC117" s="1022">
        <v>0</v>
      </c>
      <c r="AD117" s="1022">
        <v>0</v>
      </c>
      <c r="AE117" s="1022">
        <v>0</v>
      </c>
      <c r="AF117" s="1023">
        <v>0</v>
      </c>
      <c r="AG117" s="1021">
        <v>0</v>
      </c>
      <c r="AH117" s="1022">
        <v>0</v>
      </c>
      <c r="AI117" s="1022">
        <v>0</v>
      </c>
      <c r="AJ117" s="1022">
        <v>0</v>
      </c>
      <c r="AK117" s="1023">
        <v>0</v>
      </c>
      <c r="AL117" s="1024"/>
      <c r="AM117" s="1021">
        <v>0</v>
      </c>
      <c r="AN117" s="1022">
        <v>0</v>
      </c>
      <c r="AO117" s="1022">
        <v>0</v>
      </c>
      <c r="AP117" s="1022">
        <v>0</v>
      </c>
      <c r="AQ117" s="1023">
        <v>0</v>
      </c>
      <c r="AR117" s="1021">
        <v>0</v>
      </c>
      <c r="AS117" s="1022">
        <v>0</v>
      </c>
      <c r="AT117" s="1022">
        <v>0</v>
      </c>
      <c r="AU117" s="1022">
        <v>0</v>
      </c>
      <c r="AV117" s="1023">
        <v>0</v>
      </c>
      <c r="AW117" s="1025"/>
      <c r="AX117" s="1282">
        <f t="shared" si="247"/>
        <v>7.6409970731707331</v>
      </c>
      <c r="AY117" s="387">
        <f t="shared" si="248"/>
        <v>8.1671996383105316</v>
      </c>
      <c r="AZ117" s="387">
        <f t="shared" si="249"/>
        <v>0.8453086171123444</v>
      </c>
      <c r="BA117" s="387">
        <f t="shared" si="250"/>
        <v>0</v>
      </c>
      <c r="BB117" s="1283">
        <f t="shared" si="251"/>
        <v>0</v>
      </c>
      <c r="BC117" s="386">
        <f t="shared" si="252"/>
        <v>0</v>
      </c>
      <c r="BD117" s="387">
        <f t="shared" si="253"/>
        <v>10.185176328375967</v>
      </c>
      <c r="BE117" s="1277">
        <f t="shared" si="254"/>
        <v>20.532099998549072</v>
      </c>
      <c r="BF117" s="1277">
        <f t="shared" si="255"/>
        <v>10.46726315495189</v>
      </c>
      <c r="BG117" s="388">
        <f t="shared" si="256"/>
        <v>0.14360334152506868</v>
      </c>
      <c r="BH117" s="1025"/>
      <c r="BI117" s="1282">
        <f t="shared" ca="1" si="257"/>
        <v>9.5512463414634166E-2</v>
      </c>
      <c r="BJ117" s="387">
        <f t="shared" ca="1" si="258"/>
        <v>0.29311492230814995</v>
      </c>
      <c r="BK117" s="387">
        <f t="shared" ca="1" si="259"/>
        <v>0.40577127550093595</v>
      </c>
      <c r="BL117" s="387">
        <f t="shared" ca="1" si="260"/>
        <v>0.41633763321484024</v>
      </c>
      <c r="BM117" s="1283">
        <f t="shared" ca="1" si="261"/>
        <v>0.41633763321484024</v>
      </c>
      <c r="BN117" s="386">
        <f t="shared" ca="1" si="262"/>
        <v>0.41633763321484024</v>
      </c>
      <c r="BO117" s="387">
        <f t="shared" ca="1" si="263"/>
        <v>0.54365233731953988</v>
      </c>
      <c r="BP117" s="1277">
        <f t="shared" ca="1" si="264"/>
        <v>0.92761829140610286</v>
      </c>
      <c r="BQ117" s="1277">
        <f t="shared" ca="1" si="265"/>
        <v>1.3151103308248648</v>
      </c>
      <c r="BR117" s="388">
        <f t="shared" ca="1" si="266"/>
        <v>1.4477461620308267</v>
      </c>
      <c r="BS117" s="1025"/>
      <c r="BT117" s="1282">
        <f>+IF($K117="Ongoing",AX117,IF(RIGHT($K117,2)=RIGHT(BT$43,2),SUM($AX117:AX117),0)+IF(RIGHT(BT$43,2)&gt;RIGHT($K117,2),AX117,0))</f>
        <v>7.6409970731707331</v>
      </c>
      <c r="BU117" s="387">
        <f>+IF($K117="Ongoing",AY117,IF(RIGHT($K117,2)=RIGHT(BU$43,2),SUM($AX117:AY117),0)+IF(RIGHT(BU$43,2)&gt;RIGHT($K117,2),AY117,0))</f>
        <v>8.1671996383105316</v>
      </c>
      <c r="BV117" s="387">
        <f>+IF($K117="Ongoing",AZ117,IF(RIGHT($K117,2)=RIGHT(BV$43,2),SUM($AX117:AZ117),0)+IF(RIGHT(BV$43,2)&gt;RIGHT($K117,2),AZ117,0))</f>
        <v>0.8453086171123444</v>
      </c>
      <c r="BW117" s="387">
        <f>+IF($K117="Ongoing",BA117,IF(RIGHT($K117,2)=RIGHT(BW$43,2),SUM($AX117:BA117),0)+IF(RIGHT(BW$43,2)&gt;RIGHT($K117,2),BA117,0))</f>
        <v>0</v>
      </c>
      <c r="BX117" s="1283">
        <f>+IF($K117="Ongoing",BB117,IF(RIGHT($K117,2)=RIGHT(BX$43,2),SUM($AX117:BB117),0)+IF(RIGHT(BX$43,2)&gt;RIGHT($K117,2),BB117,0))</f>
        <v>0</v>
      </c>
      <c r="BY117" s="386">
        <f>+IF($K117="Ongoing",BC117,IF(RIGHT($K117,2)=RIGHT(BY$43,2),SUM($AX117:BC117),0)+IF(RIGHT(BY$43,2)&gt;RIGHT($K117,2),BC117,0))</f>
        <v>0</v>
      </c>
      <c r="BZ117" s="387">
        <f>+IF($K117="Ongoing",BD117,IF(RIGHT($K117,2)=RIGHT(BZ$43,2),SUM($AX117:BD117),0)+IF(RIGHT(BZ$43,2)&gt;RIGHT($K117,2),BD117,0))</f>
        <v>10.185176328375967</v>
      </c>
      <c r="CA117" s="1277">
        <f>+IF($K117="Ongoing",BE117,IF(RIGHT($K117,2)=RIGHT(CA$43,2),SUM($AX117:BE117),0)+IF(RIGHT(CA$43,2)&gt;RIGHT($K117,2),BE117,0))</f>
        <v>20.532099998549072</v>
      </c>
      <c r="CB117" s="1277">
        <f>+IF($K117="Ongoing",BF117,IF(RIGHT($K117,2)=RIGHT(CB$43,2),SUM($AX117:BF117),0)+IF(RIGHT(CB$43,2)&gt;RIGHT($K117,2),BF117,0))</f>
        <v>10.46726315495189</v>
      </c>
      <c r="CC117" s="388">
        <f>+IF($K117="Ongoing",BG117,IF(RIGHT($K117,2)=RIGHT(CC$43,2),SUM($AX117:BG117),0)+IF(RIGHT(CC$43,2)&gt;RIGHT($K117,2),BG117,0))</f>
        <v>0.14360334152506868</v>
      </c>
      <c r="CD117" s="1025"/>
      <c r="CE117" s="1282">
        <f>+Q117*KeyAssumptionsPriceControl_FO!AF$15</f>
        <v>7.8625859882926834</v>
      </c>
      <c r="CF117" s="387">
        <f>+R117*KeyAssumptionsPriceControl_FO!AG$15</f>
        <v>8.6477658322283606</v>
      </c>
      <c r="CG117" s="387">
        <f>+S117*KeyAssumptionsPriceControl_FO!AH$15</f>
        <v>0.92100379667395538</v>
      </c>
      <c r="CH117" s="387">
        <f>+T117*KeyAssumptionsPriceControl_FO!AI$15</f>
        <v>0</v>
      </c>
      <c r="CI117" s="1283">
        <f>+U117*KeyAssumptionsPriceControl_FO!AJ$15</f>
        <v>0</v>
      </c>
      <c r="CJ117" s="386">
        <f>+V117*KeyAssumptionsPriceControl_FO!AK$15</f>
        <v>0</v>
      </c>
      <c r="CK117" s="387">
        <f>+W117*KeyAssumptionsPriceControl_FO!AL$15</f>
        <v>12.441598303510142</v>
      </c>
      <c r="CL117" s="1277">
        <f>+X117*KeyAssumptionsPriceControl_FO!AM$15</f>
        <v>25.808119968614818</v>
      </c>
      <c r="CM117" s="1277">
        <f>+Y117*KeyAssumptionsPriceControl_FO!AN$15</f>
        <v>13.538530125015908</v>
      </c>
      <c r="CN117" s="388">
        <f>+Z117*KeyAssumptionsPriceControl_FO!AO$15</f>
        <v>0.19112534981382132</v>
      </c>
      <c r="CO117" s="1025"/>
      <c r="CP117" s="1282">
        <f t="shared" ca="1" si="267"/>
        <v>0</v>
      </c>
      <c r="CQ117" s="387">
        <f t="shared" ca="1" si="268"/>
        <v>0</v>
      </c>
      <c r="CR117" s="387">
        <f t="shared" ca="1" si="269"/>
        <v>0</v>
      </c>
      <c r="CS117" s="387">
        <f t="shared" ca="1" si="270"/>
        <v>0</v>
      </c>
      <c r="CT117" s="1283">
        <f t="shared" ca="1" si="271"/>
        <v>0</v>
      </c>
      <c r="CU117" s="386">
        <f t="shared" ca="1" si="272"/>
        <v>0</v>
      </c>
      <c r="CV117" s="387">
        <f t="shared" ca="1" si="273"/>
        <v>0</v>
      </c>
      <c r="CW117" s="1277">
        <f t="shared" ca="1" si="274"/>
        <v>0</v>
      </c>
      <c r="CX117" s="1277">
        <f t="shared" ca="1" si="275"/>
        <v>0</v>
      </c>
      <c r="CY117" s="388">
        <f t="shared" ca="1" si="276"/>
        <v>0</v>
      </c>
      <c r="CZ117" s="347"/>
      <c r="DA117" s="852"/>
      <c r="DB117" s="347"/>
      <c r="DC117" s="1012" t="s">
        <v>611</v>
      </c>
      <c r="DD117" s="841" t="s">
        <v>518</v>
      </c>
      <c r="DE117" s="386">
        <f>+IF($K117="ongoing",CE117,IF(RIGHT($K117,2)=RIGHT(DE$43,2),SUM($CD117:CE117),0)+IF(RIGHT(DE$43,2)&gt;RIGHT($K117,2),CE117,0))</f>
        <v>7.8625859882926834</v>
      </c>
      <c r="DF117" s="387">
        <f>+IF($K117="ongoing",CF117,IF(RIGHT($K117,2)=RIGHT(DF$43,2),SUM($CD117:CF117),0)+IF(RIGHT(DF$43,2)&gt;RIGHT($K117,2),CF117,0))</f>
        <v>8.6477658322283606</v>
      </c>
      <c r="DG117" s="388">
        <f>+IF($K117="ongoing",CG117,IF(RIGHT($K117,2)=RIGHT(DG$43,2),SUM($CD117:CG117),0)+IF(RIGHT(DG$43,2)&gt;RIGHT($K117,2),CG117,0))</f>
        <v>0.92100379667395538</v>
      </c>
      <c r="DH117" s="386">
        <f>+IF($K117="ongoing",CH117,IF(RIGHT($K117,2)=RIGHT(DH$43,2),SUM($CD117:CH117),0)+IF(RIGHT(DH$43,2)&gt;RIGHT($K117,2),CH117,0))</f>
        <v>0</v>
      </c>
      <c r="DI117" s="387">
        <f>+IF($K117="ongoing",CI117,IF(RIGHT($K117,2)=RIGHT(DI$43,2),SUM($CD117:CI117),0)+IF(RIGHT(DI$43,2)&gt;RIGHT($K117,2),CI117,0))</f>
        <v>0</v>
      </c>
      <c r="DJ117" s="387">
        <f>+IF($K117="ongoing",CJ117,IF(RIGHT($K117,2)=RIGHT(DJ$43,2),SUM($CD117:CJ117),0)+IF(RIGHT(DJ$43,2)&gt;RIGHT($K117,2),CJ117,0))</f>
        <v>0</v>
      </c>
      <c r="DK117" s="387">
        <f>+IF($K117="ongoing",CK117,IF(RIGHT($K117,2)=RIGHT(DK$43,2),SUM($CD117:CK117),0)+IF(RIGHT(DK$43,2)&gt;RIGHT($K117,2),CK117,0))</f>
        <v>12.441598303510142</v>
      </c>
      <c r="DL117" s="388">
        <f>+IF($K117="ongoing",CN117,IF(RIGHT($K117,2)=RIGHT(DL$43,2),SUM($CD117:CN117),0)+IF(RIGHT(DL$43,2)&gt;RIGHT($K117,2),CN117,0))</f>
        <v>0.19112534981382132</v>
      </c>
      <c r="DM117" s="841"/>
      <c r="DN117" s="386">
        <f t="shared" si="277"/>
        <v>0.5</v>
      </c>
      <c r="DO117" s="387">
        <f t="shared" si="278"/>
        <v>1</v>
      </c>
      <c r="DP117" s="388">
        <f t="shared" si="279"/>
        <v>1</v>
      </c>
      <c r="DQ117" s="386">
        <f t="shared" si="280"/>
        <v>1</v>
      </c>
      <c r="DR117" s="387">
        <f t="shared" si="281"/>
        <v>1</v>
      </c>
      <c r="DS117" s="387">
        <f t="shared" si="282"/>
        <v>1</v>
      </c>
      <c r="DT117" s="387">
        <f t="shared" si="283"/>
        <v>1</v>
      </c>
      <c r="DU117" s="388">
        <f t="shared" si="284"/>
        <v>1</v>
      </c>
      <c r="DW117" s="386">
        <f t="shared" si="285"/>
        <v>0</v>
      </c>
      <c r="DX117" s="387">
        <f t="shared" si="286"/>
        <v>0.5</v>
      </c>
      <c r="DY117" s="388">
        <f t="shared" si="287"/>
        <v>1</v>
      </c>
      <c r="DZ117" s="386">
        <f t="shared" si="288"/>
        <v>1</v>
      </c>
      <c r="EA117" s="387">
        <f t="shared" si="289"/>
        <v>1</v>
      </c>
      <c r="EB117" s="387">
        <f t="shared" si="290"/>
        <v>1</v>
      </c>
      <c r="EC117" s="387">
        <f t="shared" si="291"/>
        <v>1</v>
      </c>
      <c r="ED117" s="388">
        <f t="shared" si="292"/>
        <v>1</v>
      </c>
      <c r="EF117" s="834">
        <f>+IF(DN117=DM117,0,
IF(AND(EF$44&gt;1,DN117=$N117),1-SUM($EE117:EE117),
IF($N117&lt;=1,
IF($N117&gt;0,1/$N117,0),
IF(EF$44=1,0,VDB(1,0,$N117,INT(EF$44-1-1),MIN($N117,INT(EF$44-1-1)+1),$DC117,IF($DD117="No",1,0))/
IF(DM117&gt;=INT($N117),$N117-INT($N117),1)))*
IF(EF$44=1,0,
IF(INT(DN117)=INT(DM117),DN117-DM117,INT(DN117)-DM117))+
IF($N117&lt;=1,
IF($N117&gt;0,1/$N117,0),VDB(1,0,$N117,INT(EF$44-1),MIN($N117,INT(EF$44-1)+1),$DC117,IF($DD117="No",1,0))/
IF(DN117&gt;INT($N117),$N117-INT($N117),1))*
IF(EF$44=1,DN117,
IF(INT(DN117)=INT(DM117),0,DN117-INT(DN117)))))</f>
        <v>0</v>
      </c>
      <c r="EG117" s="835">
        <f>+IF(DO117=DN117,0,
IF(AND(EG$44&gt;1,DO117=$N117),1-SUM($EE117:EF117),
IF($N117&lt;=1,
IF($N117&gt;0,1/$N117,0),
IF(EG$44=1,0,VDB(1,0,$N117,INT(EG$44-1-1),MIN($N117,INT(EG$44-1-1)+1),$DC117,IF($DD117="No",1,0))/
IF(DN117&gt;=INT($N117),$N117-INT($N117),1)))*
IF(EG$44=1,0,
IF(INT(DO117)=INT(DN117),DO117-DN117,INT(DO117)-DN117))+
IF($N117&lt;=1,
IF($N117&gt;0,1/$N117,0),VDB(1,0,$N117,INT(EG$44-1),MIN($N117,INT(EG$44-1)+1),$DC117,IF($DD117="No",1,0))/
IF(DO117&gt;INT($N117),$N117-INT($N117),1))*
IF(EG$44=1,DO117,
IF(INT(DO117)=INT(DN117),0,DO117-INT(DO117)))))</f>
        <v>0</v>
      </c>
      <c r="EH117" s="836">
        <f>+IF(DP117=DO117,0,
IF(AND(EH$44&gt;1,DP117=$N117),1-SUM($EE117:EG117),
IF($N117&lt;=1,
IF($N117&gt;0,1/$N117,0),
IF(EH$44=1,0,VDB(1,0,$N117,INT(EH$44-1-1),MIN($N117,INT(EH$44-1-1)+1),$DC117,IF($DD117="No",1,0))/
IF(DO117&gt;=INT($N117),$N117-INT($N117),1)))*
IF(EH$44=1,0,
IF(INT(DP117)=INT(DO117),DP117-DO117,INT(DP117)-DO117))+
IF($N117&lt;=1,
IF($N117&gt;0,1/$N117,0),VDB(1,0,$N117,INT(EH$44-1),MIN($N117,INT(EH$44-1)+1),$DC117,IF($DD117="No",1,0))/
IF(DP117&gt;INT($N117),$N117-INT($N117),1))*
IF(EH$44=1,DP117,
IF(INT(DP117)=INT(DO117),0,DP117-INT(DP117)))))</f>
        <v>0</v>
      </c>
      <c r="EI117" s="834">
        <f>+IF(DQ117=DP117,0,
IF(AND(EI$44&gt;1,DQ117=$N117),1-SUM($EE117:EH117),
IF($N117&lt;=1,
IF($N117&gt;0,1/$N117,0),
IF(EI$44=1,0,VDB(1,0,$N117,INT(EI$44-1-1),MIN($N117,INT(EI$44-1-1)+1),$DC117,IF($DD117="No",1,0))/
IF(DP117&gt;=INT($N117),$N117-INT($N117),1)))*
IF(EI$44=1,0,
IF(INT(DQ117)=INT(DP117),DQ117-DP117,INT(DQ117)-DP117))+
IF($N117&lt;=1,
IF($N117&gt;0,1/$N117,0),VDB(1,0,$N117,INT(EI$44-1),MIN($N117,INT(EI$44-1)+1),$DC117,IF($DD117="No",1,0))/
IF(DQ117&gt;INT($N117),$N117-INT($N117),1))*
IF(EI$44=1,DQ117,
IF(INT(DQ117)=INT(DP117),0,DQ117-INT(DQ117)))))</f>
        <v>0</v>
      </c>
      <c r="EJ117" s="835">
        <f>+IF(DR117=DQ117,0,
IF(AND(EJ$44&gt;1,DR117=$N117),1-SUM($EE117:EI117),
IF($N117&lt;=1,
IF($N117&gt;0,1/$N117,0),
IF(EJ$44=1,0,VDB(1,0,$N117,INT(EJ$44-1-1),MIN($N117,INT(EJ$44-1-1)+1),$DC117,IF($DD117="No",1,0))/
IF(DQ117&gt;=INT($N117),$N117-INT($N117),1)))*
IF(EJ$44=1,0,
IF(INT(DR117)=INT(DQ117),DR117-DQ117,INT(DR117)-DQ117))+
IF($N117&lt;=1,
IF($N117&gt;0,1/$N117,0),VDB(1,0,$N117,INT(EJ$44-1),MIN($N117,INT(EJ$44-1)+1),$DC117,IF($DD117="No",1,0))/
IF(DR117&gt;INT($N117),$N117-INT($N117),1))*
IF(EJ$44=1,DR117,
IF(INT(DR117)=INT(DQ117),0,DR117-INT(DR117)))))</f>
        <v>0</v>
      </c>
      <c r="EK117" s="835">
        <f>+IF(DS117=DR117,0,
IF(AND(EK$44&gt;1,DS117=$N117),1-SUM($EE117:EJ117),
IF($N117&lt;=1,
IF($N117&gt;0,1/$N117,0),
IF(EK$44=1,0,VDB(1,0,$N117,INT(EK$44-1-1),MIN($N117,INT(EK$44-1-1)+1),$DC117,IF($DD117="No",1,0))/
IF(DR117&gt;=INT($N117),$N117-INT($N117),1)))*
IF(EK$44=1,0,
IF(INT(DS117)=INT(DR117),DS117-DR117,INT(DS117)-DR117))+
IF($N117&lt;=1,
IF($N117&gt;0,1/$N117,0),VDB(1,0,$N117,INT(EK$44-1),MIN($N117,INT(EK$44-1)+1),$DC117,IF($DD117="No",1,0))/
IF(DS117&gt;INT($N117),$N117-INT($N117),1))*
IF(EK$44=1,DS117,
IF(INT(DS117)=INT(DR117),0,DS117-INT(DS117)))))</f>
        <v>0</v>
      </c>
      <c r="EL117" s="835">
        <f>+IF(DT117=DS117,0,
IF(AND(EL$44&gt;1,DT117=$N117),1-SUM($EE117:EK117),
IF($N117&lt;=1,
IF($N117&gt;0,1/$N117,0),
IF(EL$44=1,0,VDB(1,0,$N117,INT(EL$44-1-1),MIN($N117,INT(EL$44-1-1)+1),$DC117,IF($DD117="No",1,0))/
IF(DS117&gt;=INT($N117),$N117-INT($N117),1)))*
IF(EL$44=1,0,
IF(INT(DT117)=INT(DS117),DT117-DS117,INT(DT117)-DS117))+
IF($N117&lt;=1,
IF($N117&gt;0,1/$N117,0),VDB(1,0,$N117,INT(EL$44-1),MIN($N117,INT(EL$44-1)+1),$DC117,IF($DD117="No",1,0))/
IF(DT117&gt;INT($N117),$N117-INT($N117),1))*
IF(EL$44=1,DT117,
IF(INT(DT117)=INT(DS117),0,DT117-INT(DT117)))))</f>
        <v>0</v>
      </c>
      <c r="EM117" s="836">
        <f>+IF(DU117=DT117,0,
IF(AND(EM$44&gt;1,DU117=$N117),1-SUM($EE117:EL117),
IF($N117&lt;=1,
IF($N117&gt;0,1/$N117,0),
IF(EM$44=1,0,VDB(1,0,$N117,INT(EM$44-1-1),MIN($N117,INT(EM$44-1-1)+1),$DC117,IF($DD117="No",1,0))/
IF(DT117&gt;=INT($N117),$N117-INT($N117),1)))*
IF(EM$44=1,0,
IF(INT(DU117)=INT(DT117),DU117-DT117,INT(DU117)-DT117))+
IF($N117&lt;=1,
IF($N117&gt;0,1/$N117,0),VDB(1,0,$N117,INT(EM$44-1),MIN($N117,INT(EM$44-1)+1),$DC117,IF($DD117="No",1,0))/
IF(DU117&gt;INT($N117),$N117-INT($N117),1))*
IF(EM$44=1,DU117,
IF(INT(DU117)=INT(DT117),0,DU117-INT(DU117)))))</f>
        <v>0</v>
      </c>
      <c r="EN117" s="833"/>
      <c r="EO117" s="834">
        <f>+IF(OR(DW117=DV117,EO$44=1),0,
IF(AND(EO$44&gt;1,DW117=$N117),1-SUM($EN117:EN117),
IF($N117&lt;=1,
IF($N117&gt;0,1/$N117,0),
IF(EO$44=2,0,VDB(1,0,$N117,INT(EO$44-2-1),MIN($N117,INT(EO$44-2-1)+1),$DC117,IF($DD117="No",1,0))/
IF(DV117&gt;=INT($N117),$N117-INT($N117),1)))*
IF(EO$44=2,0,
IF(INT(DW117)=INT(DV117),DW117-DV117,INT(DW117)-DV117))+
IF($N117&lt;=1,
IF($N117&gt;0,1/$N117,0),VDB(1,0,$N117,INT(EO$44-2),MIN($N117,INT(EO$44-2)+1),$DC117,IF($DD117="No",1,0))/
IF(DW117&gt;INT($N117),$N117-INT($N117),1))*
IF(EO$44=2,DW117,
IF(INT(DW117)=INT(DV117),0,DW117-INT(DW117)))))</f>
        <v>0</v>
      </c>
      <c r="EP117" s="835">
        <f>+IF(OR(DX117=DW117,EP$44=1),0,
IF(AND(EP$44&gt;1,DX117=$N117),1-SUM($EN117:EO117),
IF($N117&lt;=1,
IF($N117&gt;0,1/$N117,0),
IF(EP$44=2,0,VDB(1,0,$N117,INT(EP$44-2-1),MIN($N117,INT(EP$44-2-1)+1),$DC117,IF($DD117="No",1,0))/
IF(DW117&gt;=INT($N117),$N117-INT($N117),1)))*
IF(EP$44=2,0,
IF(INT(DX117)=INT(DW117),DX117-DW117,INT(DX117)-DW117))+
IF($N117&lt;=1,
IF($N117&gt;0,1/$N117,0),VDB(1,0,$N117,INT(EP$44-2),MIN($N117,INT(EP$44-2)+1),$DC117,IF($DD117="No",1,0))/
IF(DX117&gt;INT($N117),$N117-INT($N117),1))*
IF(EP$44=2,DX117,
IF(INT(DX117)=INT(DW117),0,DX117-INT(DX117)))))</f>
        <v>0</v>
      </c>
      <c r="EQ117" s="836">
        <f>+IF(OR(DY117=DX117,EQ$44=1),0,
IF(AND(EQ$44&gt;1,DY117=$N117),1-SUM($EN117:EP117),
IF($N117&lt;=1,
IF($N117&gt;0,1/$N117,0),
IF(EQ$44=2,0,VDB(1,0,$N117,INT(EQ$44-2-1),MIN($N117,INT(EQ$44-2-1)+1),$DC117,IF($DD117="No",1,0))/
IF(DX117&gt;=INT($N117),$N117-INT($N117),1)))*
IF(EQ$44=2,0,
IF(INT(DY117)=INT(DX117),DY117-DX117,INT(DY117)-DX117))+
IF($N117&lt;=1,
IF($N117&gt;0,1/$N117,0),VDB(1,0,$N117,INT(EQ$44-2),MIN($N117,INT(EQ$44-2)+1),$DC117,IF($DD117="No",1,0))/
IF(DY117&gt;INT($N117),$N117-INT($N117),1))*
IF(EQ$44=2,DY117,
IF(INT(DY117)=INT(DX117),0,DY117-INT(DY117)))))</f>
        <v>0</v>
      </c>
      <c r="ER117" s="834">
        <f>+IF(OR(DZ117=DY117,ER$44=1),0,
IF(AND(ER$44&gt;1,DZ117=$N117),1-SUM($EN117:EQ117),
IF($N117&lt;=1,
IF($N117&gt;0,1/$N117,0),
IF(ER$44=2,0,VDB(1,0,$N117,INT(ER$44-2-1),MIN($N117,INT(ER$44-2-1)+1),$DC117,IF($DD117="No",1,0))/
IF(DY117&gt;=INT($N117),$N117-INT($N117),1)))*
IF(ER$44=2,0,
IF(INT(DZ117)=INT(DY117),DZ117-DY117,INT(DZ117)-DY117))+
IF($N117&lt;=1,
IF($N117&gt;0,1/$N117,0),VDB(1,0,$N117,INT(ER$44-2),MIN($N117,INT(ER$44-2)+1),$DC117,IF($DD117="No",1,0))/
IF(DZ117&gt;INT($N117),$N117-INT($N117),1))*
IF(ER$44=2,DZ117,
IF(INT(DZ117)=INT(DY117),0,DZ117-INT(DZ117)))))</f>
        <v>0</v>
      </c>
      <c r="ES117" s="835">
        <f>+IF(OR(EA117=DZ117,ES$44=1),0,
IF(AND(ES$44&gt;1,EA117=$N117),1-SUM($EN117:ER117),
IF($N117&lt;=1,
IF($N117&gt;0,1/$N117,0),
IF(ES$44=2,0,VDB(1,0,$N117,INT(ES$44-2-1),MIN($N117,INT(ES$44-2-1)+1),$DC117,IF($DD117="No",1,0))/
IF(DZ117&gt;=INT($N117),$N117-INT($N117),1)))*
IF(ES$44=2,0,
IF(INT(EA117)=INT(DZ117),EA117-DZ117,INT(EA117)-DZ117))+
IF($N117&lt;=1,
IF($N117&gt;0,1/$N117,0),VDB(1,0,$N117,INT(ES$44-2),MIN($N117,INT(ES$44-2)+1),$DC117,IF($DD117="No",1,0))/
IF(EA117&gt;INT($N117),$N117-INT($N117),1))*
IF(ES$44=2,EA117,
IF(INT(EA117)=INT(DZ117),0,EA117-INT(EA117)))))</f>
        <v>0</v>
      </c>
      <c r="ET117" s="835">
        <f>+IF(OR(EB117=EA117,ET$44=1),0,
IF(AND(ET$44&gt;1,EB117=$N117),1-SUM($EN117:ES117),
IF($N117&lt;=1,
IF($N117&gt;0,1/$N117,0),
IF(ET$44=2,0,VDB(1,0,$N117,INT(ET$44-2-1),MIN($N117,INT(ET$44-2-1)+1),$DC117,IF($DD117="No",1,0))/
IF(EA117&gt;=INT($N117),$N117-INT($N117),1)))*
IF(ET$44=2,0,
IF(INT(EB117)=INT(EA117),EB117-EA117,INT(EB117)-EA117))+
IF($N117&lt;=1,
IF($N117&gt;0,1/$N117,0),VDB(1,0,$N117,INT(ET$44-2),MIN($N117,INT(ET$44-2)+1),$DC117,IF($DD117="No",1,0))/
IF(EB117&gt;INT($N117),$N117-INT($N117),1))*
IF(ET$44=2,EB117,
IF(INT(EB117)=INT(EA117),0,EB117-INT(EB117)))))</f>
        <v>0</v>
      </c>
      <c r="EU117" s="835">
        <f>+IF(OR(EC117=EB117,EU$44=1),0,
IF(AND(EU$44&gt;1,EC117=$N117),1-SUM($EN117:ET117),
IF($N117&lt;=1,
IF($N117&gt;0,1/$N117,0),
IF(EU$44=2,0,VDB(1,0,$N117,INT(EU$44-2-1),MIN($N117,INT(EU$44-2-1)+1),$DC117,IF($DD117="No",1,0))/
IF(EB117&gt;=INT($N117),$N117-INT($N117),1)))*
IF(EU$44=2,0,
IF(INT(EC117)=INT(EB117),EC117-EB117,INT(EC117)-EB117))+
IF($N117&lt;=1,
IF($N117&gt;0,1/$N117,0),VDB(1,0,$N117,INT(EU$44-2),MIN($N117,INT(EU$44-2)+1),$DC117,IF($DD117="No",1,0))/
IF(EC117&gt;INT($N117),$N117-INT($N117),1))*
IF(EU$44=2,EC117,
IF(INT(EC117)=INT(EB117),0,EC117-INT(EC117)))))</f>
        <v>0</v>
      </c>
      <c r="EV117" s="836">
        <f>+IF(OR(ED117=EC117,EV$44=1),0,
IF(AND(EV$44&gt;1,ED117=$N117),1-SUM($EN117:EU117),
IF($N117&lt;=1,
IF($N117&gt;0,1/$N117,0),
IF(EV$44=2,0,VDB(1,0,$N117,INT(EV$44-2-1),MIN($N117,INT(EV$44-2-1)+1),$DC117,IF($DD117="No",1,0))/
IF(EC117&gt;=INT($N117),$N117-INT($N117),1)))*
IF(EV$44=2,0,
IF(INT(ED117)=INT(EC117),ED117-EC117,INT(ED117)-EC117))+
IF($N117&lt;=1,
IF($N117&gt;0,1/$N117,0),VDB(1,0,$N117,INT(EV$44-2),MIN($N117,INT(EV$44-2)+1),$DC117,IF($DD117="No",1,0))/
IF(ED117&gt;INT($N117),$N117-INT($N117),1))*
IF(EV$44=2,ED117,
IF(INT(ED117)=INT(EC117),0,ED117-INT(ED117)))))</f>
        <v>0</v>
      </c>
      <c r="EW117" s="833"/>
      <c r="EX117" s="834">
        <f t="shared" ca="1" si="301"/>
        <v>0</v>
      </c>
      <c r="EY117" s="835">
        <f t="shared" ca="1" si="301"/>
        <v>0</v>
      </c>
      <c r="EZ117" s="836">
        <f t="shared" ca="1" si="301"/>
        <v>0</v>
      </c>
      <c r="FA117" s="834">
        <f t="shared" ca="1" si="301"/>
        <v>0</v>
      </c>
      <c r="FB117" s="835">
        <f t="shared" ca="1" si="301"/>
        <v>0</v>
      </c>
      <c r="FC117" s="835">
        <f t="shared" ca="1" si="301"/>
        <v>0</v>
      </c>
      <c r="FD117" s="835">
        <f t="shared" ca="1" si="301"/>
        <v>0</v>
      </c>
      <c r="FE117" s="836">
        <f t="shared" ca="1" si="301"/>
        <v>0</v>
      </c>
      <c r="FG117" s="386">
        <f t="shared" ca="1" si="293"/>
        <v>0</v>
      </c>
      <c r="FH117" s="387">
        <f t="shared" ca="1" si="294"/>
        <v>0</v>
      </c>
      <c r="FI117" s="388">
        <f t="shared" ca="1" si="295"/>
        <v>0</v>
      </c>
      <c r="FJ117" s="386">
        <f t="shared" ca="1" si="296"/>
        <v>0</v>
      </c>
      <c r="FK117" s="387">
        <f t="shared" ca="1" si="297"/>
        <v>0</v>
      </c>
      <c r="FL117" s="387">
        <f t="shared" ca="1" si="298"/>
        <v>0</v>
      </c>
      <c r="FM117" s="387">
        <f t="shared" ca="1" si="299"/>
        <v>0</v>
      </c>
      <c r="FN117" s="388">
        <f t="shared" ca="1" si="300"/>
        <v>0</v>
      </c>
      <c r="FR117" s="116"/>
    </row>
    <row r="118" spans="2:174">
      <c r="B118" s="1410">
        <f t="shared" si="135"/>
        <v>72</v>
      </c>
      <c r="C118" s="400" t="s">
        <v>610</v>
      </c>
      <c r="D118" s="410"/>
      <c r="E118" s="402" t="s">
        <v>401</v>
      </c>
      <c r="F118" s="402" t="s">
        <v>520</v>
      </c>
      <c r="G118" s="400" t="s">
        <v>525</v>
      </c>
      <c r="H118" s="2088" t="s">
        <v>483</v>
      </c>
      <c r="I118" s="2089"/>
      <c r="J118" s="411" t="s">
        <v>516</v>
      </c>
      <c r="K118" s="403" t="s">
        <v>544</v>
      </c>
      <c r="L118" s="403">
        <v>110</v>
      </c>
      <c r="M118" s="403" t="s">
        <v>142</v>
      </c>
      <c r="N118" s="403"/>
      <c r="O118" s="347"/>
      <c r="P118" s="347"/>
      <c r="Q118" s="1021">
        <v>0</v>
      </c>
      <c r="R118" s="1022">
        <v>0</v>
      </c>
      <c r="S118" s="1022">
        <v>0</v>
      </c>
      <c r="T118" s="1022">
        <v>0</v>
      </c>
      <c r="U118" s="1023">
        <v>0</v>
      </c>
      <c r="V118" s="1021">
        <v>0.17245937319210097</v>
      </c>
      <c r="W118" s="1022">
        <v>4.6582833039871367</v>
      </c>
      <c r="X118" s="1022">
        <v>30.519760087488176</v>
      </c>
      <c r="Y118" s="1022">
        <v>65.661756836567406</v>
      </c>
      <c r="Z118" s="1023">
        <v>33.177068042409047</v>
      </c>
      <c r="AA118" s="1024"/>
      <c r="AB118" s="1021">
        <v>0</v>
      </c>
      <c r="AC118" s="1022">
        <v>0</v>
      </c>
      <c r="AD118" s="1022">
        <v>0</v>
      </c>
      <c r="AE118" s="1022">
        <v>0</v>
      </c>
      <c r="AF118" s="1023">
        <v>0</v>
      </c>
      <c r="AG118" s="1021">
        <v>0</v>
      </c>
      <c r="AH118" s="1022">
        <v>0</v>
      </c>
      <c r="AI118" s="1022">
        <v>0</v>
      </c>
      <c r="AJ118" s="1022">
        <v>0</v>
      </c>
      <c r="AK118" s="1023">
        <v>0</v>
      </c>
      <c r="AL118" s="1024"/>
      <c r="AM118" s="1021">
        <v>0</v>
      </c>
      <c r="AN118" s="1022">
        <v>0</v>
      </c>
      <c r="AO118" s="1022">
        <v>0</v>
      </c>
      <c r="AP118" s="1022">
        <v>0</v>
      </c>
      <c r="AQ118" s="1023">
        <v>0</v>
      </c>
      <c r="AR118" s="1021">
        <v>0</v>
      </c>
      <c r="AS118" s="1022">
        <v>0</v>
      </c>
      <c r="AT118" s="1022">
        <v>0</v>
      </c>
      <c r="AU118" s="1022">
        <v>0</v>
      </c>
      <c r="AV118" s="1023">
        <v>0</v>
      </c>
      <c r="AW118" s="1025"/>
      <c r="AX118" s="1282">
        <f t="shared" si="247"/>
        <v>0</v>
      </c>
      <c r="AY118" s="387">
        <f t="shared" si="248"/>
        <v>0</v>
      </c>
      <c r="AZ118" s="387">
        <f t="shared" si="249"/>
        <v>0</v>
      </c>
      <c r="BA118" s="387">
        <f t="shared" si="250"/>
        <v>0</v>
      </c>
      <c r="BB118" s="1283">
        <f t="shared" si="251"/>
        <v>0</v>
      </c>
      <c r="BC118" s="386">
        <f t="shared" si="252"/>
        <v>0.17245937319210097</v>
      </c>
      <c r="BD118" s="387">
        <f t="shared" si="253"/>
        <v>4.6582833039871367</v>
      </c>
      <c r="BE118" s="1277">
        <f t="shared" si="254"/>
        <v>30.519760087488176</v>
      </c>
      <c r="BF118" s="1277">
        <f t="shared" si="255"/>
        <v>65.661756836567406</v>
      </c>
      <c r="BG118" s="388">
        <f t="shared" si="256"/>
        <v>33.177068042409047</v>
      </c>
      <c r="BH118" s="1025"/>
      <c r="BI118" s="1282">
        <f t="shared" ca="1" si="257"/>
        <v>0</v>
      </c>
      <c r="BJ118" s="387">
        <f t="shared" ca="1" si="258"/>
        <v>0</v>
      </c>
      <c r="BK118" s="387">
        <f t="shared" ca="1" si="259"/>
        <v>0</v>
      </c>
      <c r="BL118" s="387">
        <f t="shared" ca="1" si="260"/>
        <v>0</v>
      </c>
      <c r="BM118" s="1283">
        <f t="shared" ca="1" si="261"/>
        <v>0</v>
      </c>
      <c r="BN118" s="386">
        <f t="shared" ca="1" si="262"/>
        <v>7.8390624178227715E-4</v>
      </c>
      <c r="BO118" s="387">
        <f t="shared" ca="1" si="263"/>
        <v>2.2741827501687902E-2</v>
      </c>
      <c r="BP118" s="1277">
        <f t="shared" ca="1" si="264"/>
        <v>0.1826420247356666</v>
      </c>
      <c r="BQ118" s="1277">
        <f t="shared" ca="1" si="265"/>
        <v>0.61983073802682831</v>
      </c>
      <c r="BR118" s="388">
        <f t="shared" ca="1" si="266"/>
        <v>1.0690981238403576</v>
      </c>
      <c r="BS118" s="1025"/>
      <c r="BT118" s="1282">
        <f>+IF($K118="Ongoing",AX118,IF(RIGHT($K118,2)=RIGHT(BT$43,2),SUM($AX118:AX118),0)+IF(RIGHT(BT$43,2)&gt;RIGHT($K118,2),AX118,0))</f>
        <v>0</v>
      </c>
      <c r="BU118" s="387">
        <f>+IF($K118="Ongoing",AY118,IF(RIGHT($K118,2)=RIGHT(BU$43,2),SUM($AX118:AY118),0)+IF(RIGHT(BU$43,2)&gt;RIGHT($K118,2),AY118,0))</f>
        <v>0</v>
      </c>
      <c r="BV118" s="387">
        <f>+IF($K118="Ongoing",AZ118,IF(RIGHT($K118,2)=RIGHT(BV$43,2),SUM($AX118:AZ118),0)+IF(RIGHT(BV$43,2)&gt;RIGHT($K118,2),AZ118,0))</f>
        <v>0</v>
      </c>
      <c r="BW118" s="387">
        <f>+IF($K118="Ongoing",BA118,IF(RIGHT($K118,2)=RIGHT(BW$43,2),SUM($AX118:BA118),0)+IF(RIGHT(BW$43,2)&gt;RIGHT($K118,2),BA118,0))</f>
        <v>0</v>
      </c>
      <c r="BX118" s="1283">
        <f>+IF($K118="Ongoing",BB118,IF(RIGHT($K118,2)=RIGHT(BX$43,2),SUM($AX118:BB118),0)+IF(RIGHT(BX$43,2)&gt;RIGHT($K118,2),BB118,0))</f>
        <v>0</v>
      </c>
      <c r="BY118" s="386">
        <f>+IF($K118="Ongoing",BC118,IF(RIGHT($K118,2)=RIGHT(BY$43,2),SUM($AX118:BC118),0)+IF(RIGHT(BY$43,2)&gt;RIGHT($K118,2),BC118,0))</f>
        <v>0.17245937319210097</v>
      </c>
      <c r="BZ118" s="387">
        <f>+IF($K118="Ongoing",BD118,IF(RIGHT($K118,2)=RIGHT(BZ$43,2),SUM($AX118:BD118),0)+IF(RIGHT(BZ$43,2)&gt;RIGHT($K118,2),BD118,0))</f>
        <v>4.6582833039871367</v>
      </c>
      <c r="CA118" s="1277">
        <f>+IF($K118="Ongoing",BE118,IF(RIGHT($K118,2)=RIGHT(CA$43,2),SUM($AX118:BE118),0)+IF(RIGHT(CA$43,2)&gt;RIGHT($K118,2),BE118,0))</f>
        <v>30.519760087488176</v>
      </c>
      <c r="CB118" s="1277">
        <f>+IF($K118="Ongoing",BF118,IF(RIGHT($K118,2)=RIGHT(CB$43,2),SUM($AX118:BF118),0)+IF(RIGHT(CB$43,2)&gt;RIGHT($K118,2),BF118,0))</f>
        <v>65.661756836567406</v>
      </c>
      <c r="CC118" s="388">
        <f>+IF($K118="Ongoing",BG118,IF(RIGHT($K118,2)=RIGHT(CC$43,2),SUM($AX118:BG118),0)+IF(RIGHT(CC$43,2)&gt;RIGHT($K118,2),BG118,0))</f>
        <v>33.177068042409047</v>
      </c>
      <c r="CD118" s="1025"/>
      <c r="CE118" s="1282">
        <f>+Q118*KeyAssumptionsPriceControl_FO!AF$15</f>
        <v>0</v>
      </c>
      <c r="CF118" s="387">
        <f>+R118*KeyAssumptionsPriceControl_FO!AG$15</f>
        <v>0</v>
      </c>
      <c r="CG118" s="387">
        <f>+S118*KeyAssumptionsPriceControl_FO!AH$15</f>
        <v>0</v>
      </c>
      <c r="CH118" s="387">
        <f>+T118*KeyAssumptionsPriceControl_FO!AI$15</f>
        <v>0</v>
      </c>
      <c r="CI118" s="1283">
        <f>+U118*KeyAssumptionsPriceControl_FO!AJ$15</f>
        <v>0</v>
      </c>
      <c r="CJ118" s="386">
        <f>+V118*KeyAssumptionsPriceControl_FO!AK$15</f>
        <v>0.2047288523385917</v>
      </c>
      <c r="CK118" s="387">
        <f>+W118*KeyAssumptionsPriceControl_FO!AL$15</f>
        <v>5.6902784776232913</v>
      </c>
      <c r="CL118" s="1277">
        <f>+X118*KeyAssumptionsPriceControl_FO!AM$15</f>
        <v>38.362253729861926</v>
      </c>
      <c r="CM118" s="1277">
        <f>+Y118*KeyAssumptionsPriceControl_FO!AN$15</f>
        <v>84.927995010117144</v>
      </c>
      <c r="CN118" s="388">
        <f>+Z118*KeyAssumptionsPriceControl_FO!AO$15</f>
        <v>44.156206032959503</v>
      </c>
      <c r="CO118" s="1025"/>
      <c r="CP118" s="1282">
        <f t="shared" ca="1" si="267"/>
        <v>0</v>
      </c>
      <c r="CQ118" s="387">
        <f t="shared" ca="1" si="268"/>
        <v>0</v>
      </c>
      <c r="CR118" s="387">
        <f t="shared" ca="1" si="269"/>
        <v>0</v>
      </c>
      <c r="CS118" s="387">
        <f t="shared" ca="1" si="270"/>
        <v>0</v>
      </c>
      <c r="CT118" s="1283">
        <f t="shared" ca="1" si="271"/>
        <v>0</v>
      </c>
      <c r="CU118" s="386">
        <f t="shared" ca="1" si="272"/>
        <v>0</v>
      </c>
      <c r="CV118" s="387">
        <f t="shared" ca="1" si="273"/>
        <v>0</v>
      </c>
      <c r="CW118" s="1277">
        <f t="shared" ca="1" si="274"/>
        <v>0</v>
      </c>
      <c r="CX118" s="1277">
        <f t="shared" ca="1" si="275"/>
        <v>0</v>
      </c>
      <c r="CY118" s="388">
        <f t="shared" ca="1" si="276"/>
        <v>0</v>
      </c>
      <c r="CZ118" s="347"/>
      <c r="DA118" s="852"/>
      <c r="DB118" s="347"/>
      <c r="DC118" s="1012" t="s">
        <v>612</v>
      </c>
      <c r="DD118" s="841" t="s">
        <v>518</v>
      </c>
      <c r="DE118" s="386">
        <f>+IF($K118="ongoing",CE118,IF(RIGHT($K118,2)=RIGHT(DE$43,2),SUM($CD118:CE118),0)+IF(RIGHT(DE$43,2)&gt;RIGHT($K118,2),CE118,0))</f>
        <v>0</v>
      </c>
      <c r="DF118" s="387">
        <f>+IF($K118="ongoing",CF118,IF(RIGHT($K118,2)=RIGHT(DF$43,2),SUM($CD118:CF118),0)+IF(RIGHT(DF$43,2)&gt;RIGHT($K118,2),CF118,0))</f>
        <v>0</v>
      </c>
      <c r="DG118" s="388">
        <f>+IF($K118="ongoing",CG118,IF(RIGHT($K118,2)=RIGHT(DG$43,2),SUM($CD118:CG118),0)+IF(RIGHT(DG$43,2)&gt;RIGHT($K118,2),CG118,0))</f>
        <v>0</v>
      </c>
      <c r="DH118" s="386">
        <f>+IF($K118="ongoing",CH118,IF(RIGHT($K118,2)=RIGHT(DH$43,2),SUM($CD118:CH118),0)+IF(RIGHT(DH$43,2)&gt;RIGHT($K118,2),CH118,0))</f>
        <v>0</v>
      </c>
      <c r="DI118" s="387">
        <f>+IF($K118="ongoing",CI118,IF(RIGHT($K118,2)=RIGHT(DI$43,2),SUM($CD118:CI118),0)+IF(RIGHT(DI$43,2)&gt;RIGHT($K118,2),CI118,0))</f>
        <v>0</v>
      </c>
      <c r="DJ118" s="387">
        <f>+IF($K118="ongoing",CJ118,IF(RIGHT($K118,2)=RIGHT(DJ$43,2),SUM($CD118:CJ118),0)+IF(RIGHT(DJ$43,2)&gt;RIGHT($K118,2),CJ118,0))</f>
        <v>0.2047288523385917</v>
      </c>
      <c r="DK118" s="387">
        <f>+IF($K118="ongoing",CK118,IF(RIGHT($K118,2)=RIGHT(DK$43,2),SUM($CD118:CK118),0)+IF(RIGHT(DK$43,2)&gt;RIGHT($K118,2),CK118,0))</f>
        <v>5.6902784776232913</v>
      </c>
      <c r="DL118" s="388">
        <f>+IF($K118="ongoing",CN118,IF(RIGHT($K118,2)=RIGHT(DL$43,2),SUM($CD118:CN118),0)+IF(RIGHT(DL$43,2)&gt;RIGHT($K118,2),CN118,0))</f>
        <v>44.156206032959503</v>
      </c>
      <c r="DM118" s="841"/>
      <c r="DN118" s="386">
        <f t="shared" si="277"/>
        <v>0.5</v>
      </c>
      <c r="DO118" s="387">
        <f t="shared" si="278"/>
        <v>1</v>
      </c>
      <c r="DP118" s="388">
        <f t="shared" si="279"/>
        <v>1</v>
      </c>
      <c r="DQ118" s="386">
        <f t="shared" si="280"/>
        <v>1</v>
      </c>
      <c r="DR118" s="387">
        <f t="shared" si="281"/>
        <v>1</v>
      </c>
      <c r="DS118" s="387">
        <f t="shared" si="282"/>
        <v>1</v>
      </c>
      <c r="DT118" s="387">
        <f t="shared" si="283"/>
        <v>1</v>
      </c>
      <c r="DU118" s="388">
        <f t="shared" si="284"/>
        <v>1</v>
      </c>
      <c r="DW118" s="386">
        <f t="shared" si="285"/>
        <v>0</v>
      </c>
      <c r="DX118" s="387">
        <f t="shared" si="286"/>
        <v>0.5</v>
      </c>
      <c r="DY118" s="388">
        <f t="shared" si="287"/>
        <v>1</v>
      </c>
      <c r="DZ118" s="386">
        <f t="shared" si="288"/>
        <v>1</v>
      </c>
      <c r="EA118" s="387">
        <f t="shared" si="289"/>
        <v>1</v>
      </c>
      <c r="EB118" s="387">
        <f t="shared" si="290"/>
        <v>1</v>
      </c>
      <c r="EC118" s="387">
        <f t="shared" si="291"/>
        <v>1</v>
      </c>
      <c r="ED118" s="388">
        <f t="shared" si="292"/>
        <v>1</v>
      </c>
      <c r="EF118" s="834">
        <f>+IF(DN118=DM118,0,
IF(AND(EF$44&gt;1,DN118=$N118),1-SUM($EE118:EE118),
IF($N118&lt;=1,
IF($N118&gt;0,1/$N118,0),
IF(EF$44=1,0,VDB(1,0,$N118,INT(EF$44-1-1),MIN($N118,INT(EF$44-1-1)+1),$DC118,IF($DD118="No",1,0))/
IF(DM118&gt;=INT($N118),$N118-INT($N118),1)))*
IF(EF$44=1,0,
IF(INT(DN118)=INT(DM118),DN118-DM118,INT(DN118)-DM118))+
IF($N118&lt;=1,
IF($N118&gt;0,1/$N118,0),VDB(1,0,$N118,INT(EF$44-1),MIN($N118,INT(EF$44-1)+1),$DC118,IF($DD118="No",1,0))/
IF(DN118&gt;INT($N118),$N118-INT($N118),1))*
IF(EF$44=1,DN118,
IF(INT(DN118)=INT(DM118),0,DN118-INT(DN118)))))</f>
        <v>0</v>
      </c>
      <c r="EG118" s="835">
        <f>+IF(DO118=DN118,0,
IF(AND(EG$44&gt;1,DO118=$N118),1-SUM($EE118:EF118),
IF($N118&lt;=1,
IF($N118&gt;0,1/$N118,0),
IF(EG$44=1,0,VDB(1,0,$N118,INT(EG$44-1-1),MIN($N118,INT(EG$44-1-1)+1),$DC118,IF($DD118="No",1,0))/
IF(DN118&gt;=INT($N118),$N118-INT($N118),1)))*
IF(EG$44=1,0,
IF(INT(DO118)=INT(DN118),DO118-DN118,INT(DO118)-DN118))+
IF($N118&lt;=1,
IF($N118&gt;0,1/$N118,0),VDB(1,0,$N118,INT(EG$44-1),MIN($N118,INT(EG$44-1)+1),$DC118,IF($DD118="No",1,0))/
IF(DO118&gt;INT($N118),$N118-INT($N118),1))*
IF(EG$44=1,DO118,
IF(INT(DO118)=INT(DN118),0,DO118-INT(DO118)))))</f>
        <v>0</v>
      </c>
      <c r="EH118" s="836">
        <f>+IF(DP118=DO118,0,
IF(AND(EH$44&gt;1,DP118=$N118),1-SUM($EE118:EG118),
IF($N118&lt;=1,
IF($N118&gt;0,1/$N118,0),
IF(EH$44=1,0,VDB(1,0,$N118,INT(EH$44-1-1),MIN($N118,INT(EH$44-1-1)+1),$DC118,IF($DD118="No",1,0))/
IF(DO118&gt;=INT($N118),$N118-INT($N118),1)))*
IF(EH$44=1,0,
IF(INT(DP118)=INT(DO118),DP118-DO118,INT(DP118)-DO118))+
IF($N118&lt;=1,
IF($N118&gt;0,1/$N118,0),VDB(1,0,$N118,INT(EH$44-1),MIN($N118,INT(EH$44-1)+1),$DC118,IF($DD118="No",1,0))/
IF(DP118&gt;INT($N118),$N118-INT($N118),1))*
IF(EH$44=1,DP118,
IF(INT(DP118)=INT(DO118),0,DP118-INT(DP118)))))</f>
        <v>0</v>
      </c>
      <c r="EI118" s="834">
        <f>+IF(DQ118=DP118,0,
IF(AND(EI$44&gt;1,DQ118=$N118),1-SUM($EE118:EH118),
IF($N118&lt;=1,
IF($N118&gt;0,1/$N118,0),
IF(EI$44=1,0,VDB(1,0,$N118,INT(EI$44-1-1),MIN($N118,INT(EI$44-1-1)+1),$DC118,IF($DD118="No",1,0))/
IF(DP118&gt;=INT($N118),$N118-INT($N118),1)))*
IF(EI$44=1,0,
IF(INT(DQ118)=INT(DP118),DQ118-DP118,INT(DQ118)-DP118))+
IF($N118&lt;=1,
IF($N118&gt;0,1/$N118,0),VDB(1,0,$N118,INT(EI$44-1),MIN($N118,INT(EI$44-1)+1),$DC118,IF($DD118="No",1,0))/
IF(DQ118&gt;INT($N118),$N118-INT($N118),1))*
IF(EI$44=1,DQ118,
IF(INT(DQ118)=INT(DP118),0,DQ118-INT(DQ118)))))</f>
        <v>0</v>
      </c>
      <c r="EJ118" s="835">
        <f>+IF(DR118=DQ118,0,
IF(AND(EJ$44&gt;1,DR118=$N118),1-SUM($EE118:EI118),
IF($N118&lt;=1,
IF($N118&gt;0,1/$N118,0),
IF(EJ$44=1,0,VDB(1,0,$N118,INT(EJ$44-1-1),MIN($N118,INT(EJ$44-1-1)+1),$DC118,IF($DD118="No",1,0))/
IF(DQ118&gt;=INT($N118),$N118-INT($N118),1)))*
IF(EJ$44=1,0,
IF(INT(DR118)=INT(DQ118),DR118-DQ118,INT(DR118)-DQ118))+
IF($N118&lt;=1,
IF($N118&gt;0,1/$N118,0),VDB(1,0,$N118,INT(EJ$44-1),MIN($N118,INT(EJ$44-1)+1),$DC118,IF($DD118="No",1,0))/
IF(DR118&gt;INT($N118),$N118-INT($N118),1))*
IF(EJ$44=1,DR118,
IF(INT(DR118)=INT(DQ118),0,DR118-INT(DR118)))))</f>
        <v>0</v>
      </c>
      <c r="EK118" s="835">
        <f>+IF(DS118=DR118,0,
IF(AND(EK$44&gt;1,DS118=$N118),1-SUM($EE118:EJ118),
IF($N118&lt;=1,
IF($N118&gt;0,1/$N118,0),
IF(EK$44=1,0,VDB(1,0,$N118,INT(EK$44-1-1),MIN($N118,INT(EK$44-1-1)+1),$DC118,IF($DD118="No",1,0))/
IF(DR118&gt;=INT($N118),$N118-INT($N118),1)))*
IF(EK$44=1,0,
IF(INT(DS118)=INT(DR118),DS118-DR118,INT(DS118)-DR118))+
IF($N118&lt;=1,
IF($N118&gt;0,1/$N118,0),VDB(1,0,$N118,INT(EK$44-1),MIN($N118,INT(EK$44-1)+1),$DC118,IF($DD118="No",1,0))/
IF(DS118&gt;INT($N118),$N118-INT($N118),1))*
IF(EK$44=1,DS118,
IF(INT(DS118)=INT(DR118),0,DS118-INT(DS118)))))</f>
        <v>0</v>
      </c>
      <c r="EL118" s="835">
        <f>+IF(DT118=DS118,0,
IF(AND(EL$44&gt;1,DT118=$N118),1-SUM($EE118:EK118),
IF($N118&lt;=1,
IF($N118&gt;0,1/$N118,0),
IF(EL$44=1,0,VDB(1,0,$N118,INT(EL$44-1-1),MIN($N118,INT(EL$44-1-1)+1),$DC118,IF($DD118="No",1,0))/
IF(DS118&gt;=INT($N118),$N118-INT($N118),1)))*
IF(EL$44=1,0,
IF(INT(DT118)=INT(DS118),DT118-DS118,INT(DT118)-DS118))+
IF($N118&lt;=1,
IF($N118&gt;0,1/$N118,0),VDB(1,0,$N118,INT(EL$44-1),MIN($N118,INT(EL$44-1)+1),$DC118,IF($DD118="No",1,0))/
IF(DT118&gt;INT($N118),$N118-INT($N118),1))*
IF(EL$44=1,DT118,
IF(INT(DT118)=INT(DS118),0,DT118-INT(DT118)))))</f>
        <v>0</v>
      </c>
      <c r="EM118" s="836">
        <f>+IF(DU118=DT118,0,
IF(AND(EM$44&gt;1,DU118=$N118),1-SUM($EE118:EL118),
IF($N118&lt;=1,
IF($N118&gt;0,1/$N118,0),
IF(EM$44=1,0,VDB(1,0,$N118,INT(EM$44-1-1),MIN($N118,INT(EM$44-1-1)+1),$DC118,IF($DD118="No",1,0))/
IF(DT118&gt;=INT($N118),$N118-INT($N118),1)))*
IF(EM$44=1,0,
IF(INT(DU118)=INT(DT118),DU118-DT118,INT(DU118)-DT118))+
IF($N118&lt;=1,
IF($N118&gt;0,1/$N118,0),VDB(1,0,$N118,INT(EM$44-1),MIN($N118,INT(EM$44-1)+1),$DC118,IF($DD118="No",1,0))/
IF(DU118&gt;INT($N118),$N118-INT($N118),1))*
IF(EM$44=1,DU118,
IF(INT(DU118)=INT(DT118),0,DU118-INT(DU118)))))</f>
        <v>0</v>
      </c>
      <c r="EN118" s="833"/>
      <c r="EO118" s="834">
        <f>+IF(OR(DW118=DV118,EO$44=1),0,
IF(AND(EO$44&gt;1,DW118=$N118),1-SUM($EN118:EN118),
IF($N118&lt;=1,
IF($N118&gt;0,1/$N118,0),
IF(EO$44=2,0,VDB(1,0,$N118,INT(EO$44-2-1),MIN($N118,INT(EO$44-2-1)+1),$DC118,IF($DD118="No",1,0))/
IF(DV118&gt;=INT($N118),$N118-INT($N118),1)))*
IF(EO$44=2,0,
IF(INT(DW118)=INT(DV118),DW118-DV118,INT(DW118)-DV118))+
IF($N118&lt;=1,
IF($N118&gt;0,1/$N118,0),VDB(1,0,$N118,INT(EO$44-2),MIN($N118,INT(EO$44-2)+1),$DC118,IF($DD118="No",1,0))/
IF(DW118&gt;INT($N118),$N118-INT($N118),1))*
IF(EO$44=2,DW118,
IF(INT(DW118)=INT(DV118),0,DW118-INT(DW118)))))</f>
        <v>0</v>
      </c>
      <c r="EP118" s="835">
        <f>+IF(OR(DX118=DW118,EP$44=1),0,
IF(AND(EP$44&gt;1,DX118=$N118),1-SUM($EN118:EO118),
IF($N118&lt;=1,
IF($N118&gt;0,1/$N118,0),
IF(EP$44=2,0,VDB(1,0,$N118,INT(EP$44-2-1),MIN($N118,INT(EP$44-2-1)+1),$DC118,IF($DD118="No",1,0))/
IF(DW118&gt;=INT($N118),$N118-INT($N118),1)))*
IF(EP$44=2,0,
IF(INT(DX118)=INT(DW118),DX118-DW118,INT(DX118)-DW118))+
IF($N118&lt;=1,
IF($N118&gt;0,1/$N118,0),VDB(1,0,$N118,INT(EP$44-2),MIN($N118,INT(EP$44-2)+1),$DC118,IF($DD118="No",1,0))/
IF(DX118&gt;INT($N118),$N118-INT($N118),1))*
IF(EP$44=2,DX118,
IF(INT(DX118)=INT(DW118),0,DX118-INT(DX118)))))</f>
        <v>0</v>
      </c>
      <c r="EQ118" s="836">
        <f>+IF(OR(DY118=DX118,EQ$44=1),0,
IF(AND(EQ$44&gt;1,DY118=$N118),1-SUM($EN118:EP118),
IF($N118&lt;=1,
IF($N118&gt;0,1/$N118,0),
IF(EQ$44=2,0,VDB(1,0,$N118,INT(EQ$44-2-1),MIN($N118,INT(EQ$44-2-1)+1),$DC118,IF($DD118="No",1,0))/
IF(DX118&gt;=INT($N118),$N118-INT($N118),1)))*
IF(EQ$44=2,0,
IF(INT(DY118)=INT(DX118),DY118-DX118,INT(DY118)-DX118))+
IF($N118&lt;=1,
IF($N118&gt;0,1/$N118,0),VDB(1,0,$N118,INT(EQ$44-2),MIN($N118,INT(EQ$44-2)+1),$DC118,IF($DD118="No",1,0))/
IF(DY118&gt;INT($N118),$N118-INT($N118),1))*
IF(EQ$44=2,DY118,
IF(INT(DY118)=INT(DX118),0,DY118-INT(DY118)))))</f>
        <v>0</v>
      </c>
      <c r="ER118" s="834">
        <f>+IF(OR(DZ118=DY118,ER$44=1),0,
IF(AND(ER$44&gt;1,DZ118=$N118),1-SUM($EN118:EQ118),
IF($N118&lt;=1,
IF($N118&gt;0,1/$N118,0),
IF(ER$44=2,0,VDB(1,0,$N118,INT(ER$44-2-1),MIN($N118,INT(ER$44-2-1)+1),$DC118,IF($DD118="No",1,0))/
IF(DY118&gt;=INT($N118),$N118-INT($N118),1)))*
IF(ER$44=2,0,
IF(INT(DZ118)=INT(DY118),DZ118-DY118,INT(DZ118)-DY118))+
IF($N118&lt;=1,
IF($N118&gt;0,1/$N118,0),VDB(1,0,$N118,INT(ER$44-2),MIN($N118,INT(ER$44-2)+1),$DC118,IF($DD118="No",1,0))/
IF(DZ118&gt;INT($N118),$N118-INT($N118),1))*
IF(ER$44=2,DZ118,
IF(INT(DZ118)=INT(DY118),0,DZ118-INT(DZ118)))))</f>
        <v>0</v>
      </c>
      <c r="ES118" s="835">
        <f>+IF(OR(EA118=DZ118,ES$44=1),0,
IF(AND(ES$44&gt;1,EA118=$N118),1-SUM($EN118:ER118),
IF($N118&lt;=1,
IF($N118&gt;0,1/$N118,0),
IF(ES$44=2,0,VDB(1,0,$N118,INT(ES$44-2-1),MIN($N118,INT(ES$44-2-1)+1),$DC118,IF($DD118="No",1,0))/
IF(DZ118&gt;=INT($N118),$N118-INT($N118),1)))*
IF(ES$44=2,0,
IF(INT(EA118)=INT(DZ118),EA118-DZ118,INT(EA118)-DZ118))+
IF($N118&lt;=1,
IF($N118&gt;0,1/$N118,0),VDB(1,0,$N118,INT(ES$44-2),MIN($N118,INT(ES$44-2)+1),$DC118,IF($DD118="No",1,0))/
IF(EA118&gt;INT($N118),$N118-INT($N118),1))*
IF(ES$44=2,EA118,
IF(INT(EA118)=INT(DZ118),0,EA118-INT(EA118)))))</f>
        <v>0</v>
      </c>
      <c r="ET118" s="835">
        <f>+IF(OR(EB118=EA118,ET$44=1),0,
IF(AND(ET$44&gt;1,EB118=$N118),1-SUM($EN118:ES118),
IF($N118&lt;=1,
IF($N118&gt;0,1/$N118,0),
IF(ET$44=2,0,VDB(1,0,$N118,INT(ET$44-2-1),MIN($N118,INT(ET$44-2-1)+1),$DC118,IF($DD118="No",1,0))/
IF(EA118&gt;=INT($N118),$N118-INT($N118),1)))*
IF(ET$44=2,0,
IF(INT(EB118)=INT(EA118),EB118-EA118,INT(EB118)-EA118))+
IF($N118&lt;=1,
IF($N118&gt;0,1/$N118,0),VDB(1,0,$N118,INT(ET$44-2),MIN($N118,INT(ET$44-2)+1),$DC118,IF($DD118="No",1,0))/
IF(EB118&gt;INT($N118),$N118-INT($N118),1))*
IF(ET$44=2,EB118,
IF(INT(EB118)=INT(EA118),0,EB118-INT(EB118)))))</f>
        <v>0</v>
      </c>
      <c r="EU118" s="835">
        <f>+IF(OR(EC118=EB118,EU$44=1),0,
IF(AND(EU$44&gt;1,EC118=$N118),1-SUM($EN118:ET118),
IF($N118&lt;=1,
IF($N118&gt;0,1/$N118,0),
IF(EU$44=2,0,VDB(1,0,$N118,INT(EU$44-2-1),MIN($N118,INT(EU$44-2-1)+1),$DC118,IF($DD118="No",1,0))/
IF(EB118&gt;=INT($N118),$N118-INT($N118),1)))*
IF(EU$44=2,0,
IF(INT(EC118)=INT(EB118),EC118-EB118,INT(EC118)-EB118))+
IF($N118&lt;=1,
IF($N118&gt;0,1/$N118,0),VDB(1,0,$N118,INT(EU$44-2),MIN($N118,INT(EU$44-2)+1),$DC118,IF($DD118="No",1,0))/
IF(EC118&gt;INT($N118),$N118-INT($N118),1))*
IF(EU$44=2,EC118,
IF(INT(EC118)=INT(EB118),0,EC118-INT(EC118)))))</f>
        <v>0</v>
      </c>
      <c r="EV118" s="836">
        <f>+IF(OR(ED118=EC118,EV$44=1),0,
IF(AND(EV$44&gt;1,ED118=$N118),1-SUM($EN118:EU118),
IF($N118&lt;=1,
IF($N118&gt;0,1/$N118,0),
IF(EV$44=2,0,VDB(1,0,$N118,INT(EV$44-2-1),MIN($N118,INT(EV$44-2-1)+1),$DC118,IF($DD118="No",1,0))/
IF(EC118&gt;=INT($N118),$N118-INT($N118),1)))*
IF(EV$44=2,0,
IF(INT(ED118)=INT(EC118),ED118-EC118,INT(ED118)-EC118))+
IF($N118&lt;=1,
IF($N118&gt;0,1/$N118,0),VDB(1,0,$N118,INT(EV$44-2),MIN($N118,INT(EV$44-2)+1),$DC118,IF($DD118="No",1,0))/
IF(ED118&gt;INT($N118),$N118-INT($N118),1))*
IF(EV$44=2,ED118,
IF(INT(ED118)=INT(EC118),0,ED118-INT(ED118)))))</f>
        <v>0</v>
      </c>
      <c r="EW118" s="833"/>
      <c r="EX118" s="834">
        <f t="shared" ca="1" si="301"/>
        <v>0</v>
      </c>
      <c r="EY118" s="835">
        <f t="shared" ca="1" si="301"/>
        <v>0</v>
      </c>
      <c r="EZ118" s="836">
        <f t="shared" ca="1" si="301"/>
        <v>0</v>
      </c>
      <c r="FA118" s="834">
        <f t="shared" ca="1" si="301"/>
        <v>0</v>
      </c>
      <c r="FB118" s="835">
        <f t="shared" ca="1" si="301"/>
        <v>0</v>
      </c>
      <c r="FC118" s="835">
        <f t="shared" ca="1" si="301"/>
        <v>0</v>
      </c>
      <c r="FD118" s="835">
        <f t="shared" ca="1" si="301"/>
        <v>0</v>
      </c>
      <c r="FE118" s="836">
        <f t="shared" ca="1" si="301"/>
        <v>0</v>
      </c>
      <c r="FG118" s="386">
        <f t="shared" ca="1" si="293"/>
        <v>0</v>
      </c>
      <c r="FH118" s="387">
        <f t="shared" ca="1" si="294"/>
        <v>0</v>
      </c>
      <c r="FI118" s="388">
        <f t="shared" ca="1" si="295"/>
        <v>0</v>
      </c>
      <c r="FJ118" s="386">
        <f t="shared" ca="1" si="296"/>
        <v>0</v>
      </c>
      <c r="FK118" s="387">
        <f t="shared" ca="1" si="297"/>
        <v>0</v>
      </c>
      <c r="FL118" s="387">
        <f t="shared" ca="1" si="298"/>
        <v>0</v>
      </c>
      <c r="FM118" s="387">
        <f t="shared" ca="1" si="299"/>
        <v>0</v>
      </c>
      <c r="FN118" s="388">
        <f t="shared" ca="1" si="300"/>
        <v>0</v>
      </c>
      <c r="FR118" s="116"/>
    </row>
    <row r="119" spans="2:174">
      <c r="B119" s="1410">
        <f t="shared" si="135"/>
        <v>73</v>
      </c>
      <c r="C119" s="400" t="s">
        <v>610</v>
      </c>
      <c r="D119" s="410"/>
      <c r="E119" s="402" t="s">
        <v>401</v>
      </c>
      <c r="F119" s="402" t="s">
        <v>514</v>
      </c>
      <c r="G119" s="400" t="s">
        <v>525</v>
      </c>
      <c r="H119" s="2088" t="s">
        <v>483</v>
      </c>
      <c r="I119" s="2089"/>
      <c r="J119" s="411" t="s">
        <v>516</v>
      </c>
      <c r="K119" s="403" t="s">
        <v>544</v>
      </c>
      <c r="L119" s="403">
        <v>40</v>
      </c>
      <c r="M119" s="403" t="s">
        <v>142</v>
      </c>
      <c r="N119" s="403"/>
      <c r="O119" s="347"/>
      <c r="P119" s="347"/>
      <c r="Q119" s="1021">
        <v>10.940638048780489</v>
      </c>
      <c r="R119" s="1022">
        <v>0.32252325996430703</v>
      </c>
      <c r="S119" s="1022">
        <v>6.9931497639326192</v>
      </c>
      <c r="T119" s="1022">
        <v>15.530226520813333</v>
      </c>
      <c r="U119" s="1023">
        <v>3.3844548381143633E-2</v>
      </c>
      <c r="V119" s="1021">
        <v>6.1742783459391504</v>
      </c>
      <c r="W119" s="1022">
        <v>16.243490704263454</v>
      </c>
      <c r="X119" s="1022">
        <v>1.0026240109052734E-2</v>
      </c>
      <c r="Y119" s="1022">
        <v>12.800482012852472</v>
      </c>
      <c r="Z119" s="1023">
        <v>1.0797163977437862E-2</v>
      </c>
      <c r="AA119" s="1024"/>
      <c r="AB119" s="1021">
        <v>0</v>
      </c>
      <c r="AC119" s="1022">
        <v>0</v>
      </c>
      <c r="AD119" s="1022">
        <v>0</v>
      </c>
      <c r="AE119" s="1022">
        <v>0</v>
      </c>
      <c r="AF119" s="1023">
        <v>0</v>
      </c>
      <c r="AG119" s="1021">
        <v>0</v>
      </c>
      <c r="AH119" s="1022">
        <v>0</v>
      </c>
      <c r="AI119" s="1022">
        <v>0</v>
      </c>
      <c r="AJ119" s="1022">
        <v>0</v>
      </c>
      <c r="AK119" s="1023">
        <v>0</v>
      </c>
      <c r="AL119" s="1024"/>
      <c r="AM119" s="1021">
        <v>0</v>
      </c>
      <c r="AN119" s="1022">
        <v>0</v>
      </c>
      <c r="AO119" s="1022">
        <v>0</v>
      </c>
      <c r="AP119" s="1022">
        <v>0</v>
      </c>
      <c r="AQ119" s="1023">
        <v>0</v>
      </c>
      <c r="AR119" s="1021">
        <v>0</v>
      </c>
      <c r="AS119" s="1022">
        <v>0</v>
      </c>
      <c r="AT119" s="1022">
        <v>0</v>
      </c>
      <c r="AU119" s="1022">
        <v>0</v>
      </c>
      <c r="AV119" s="1023">
        <v>0</v>
      </c>
      <c r="AW119" s="1025"/>
      <c r="AX119" s="1282">
        <f t="shared" si="247"/>
        <v>10.940638048780489</v>
      </c>
      <c r="AY119" s="387">
        <f t="shared" si="248"/>
        <v>0.32252325996430703</v>
      </c>
      <c r="AZ119" s="387">
        <f t="shared" si="249"/>
        <v>6.9931497639326192</v>
      </c>
      <c r="BA119" s="387">
        <f t="shared" si="250"/>
        <v>15.530226520813333</v>
      </c>
      <c r="BB119" s="1283">
        <f t="shared" si="251"/>
        <v>3.3844548381143633E-2</v>
      </c>
      <c r="BC119" s="386">
        <f t="shared" si="252"/>
        <v>6.1742783459391504</v>
      </c>
      <c r="BD119" s="387">
        <f t="shared" si="253"/>
        <v>16.243490704263454</v>
      </c>
      <c r="BE119" s="1277">
        <f t="shared" si="254"/>
        <v>1.0026240109052734E-2</v>
      </c>
      <c r="BF119" s="1277">
        <f t="shared" si="255"/>
        <v>12.800482012852472</v>
      </c>
      <c r="BG119" s="388">
        <f t="shared" si="256"/>
        <v>1.0797163977437862E-2</v>
      </c>
      <c r="BH119" s="1025"/>
      <c r="BI119" s="1282">
        <f t="shared" ca="1" si="257"/>
        <v>0.13675797560975611</v>
      </c>
      <c r="BJ119" s="387">
        <f t="shared" ca="1" si="258"/>
        <v>0.27754749196906608</v>
      </c>
      <c r="BK119" s="387">
        <f t="shared" ca="1" si="259"/>
        <v>0.36899340476777764</v>
      </c>
      <c r="BL119" s="387">
        <f t="shared" ca="1" si="260"/>
        <v>0.650535608327102</v>
      </c>
      <c r="BM119" s="1283">
        <f t="shared" ca="1" si="261"/>
        <v>0.84508649669203306</v>
      </c>
      <c r="BN119" s="386">
        <f t="shared" ca="1" si="262"/>
        <v>0.92268803287103673</v>
      </c>
      <c r="BO119" s="387">
        <f t="shared" ca="1" si="263"/>
        <v>1.2029101459985694</v>
      </c>
      <c r="BP119" s="1277">
        <f t="shared" ca="1" si="264"/>
        <v>1.4060791078032255</v>
      </c>
      <c r="BQ119" s="1277">
        <f t="shared" ca="1" si="265"/>
        <v>1.5662104609652447</v>
      </c>
      <c r="BR119" s="388">
        <f t="shared" ca="1" si="266"/>
        <v>1.7263514506756186</v>
      </c>
      <c r="BS119" s="1025"/>
      <c r="BT119" s="1282">
        <f>+IF($K119="Ongoing",AX119,IF(RIGHT($K119,2)=RIGHT(BT$43,2),SUM($AX119:AX119),0)+IF(RIGHT(BT$43,2)&gt;RIGHT($K119,2),AX119,0))</f>
        <v>10.940638048780489</v>
      </c>
      <c r="BU119" s="387">
        <f>+IF($K119="Ongoing",AY119,IF(RIGHT($K119,2)=RIGHT(BU$43,2),SUM($AX119:AY119),0)+IF(RIGHT(BU$43,2)&gt;RIGHT($K119,2),AY119,0))</f>
        <v>0.32252325996430703</v>
      </c>
      <c r="BV119" s="387">
        <f>+IF($K119="Ongoing",AZ119,IF(RIGHT($K119,2)=RIGHT(BV$43,2),SUM($AX119:AZ119),0)+IF(RIGHT(BV$43,2)&gt;RIGHT($K119,2),AZ119,0))</f>
        <v>6.9931497639326192</v>
      </c>
      <c r="BW119" s="387">
        <f>+IF($K119="Ongoing",BA119,IF(RIGHT($K119,2)=RIGHT(BW$43,2),SUM($AX119:BA119),0)+IF(RIGHT(BW$43,2)&gt;RIGHT($K119,2),BA119,0))</f>
        <v>15.530226520813333</v>
      </c>
      <c r="BX119" s="1283">
        <f>+IF($K119="Ongoing",BB119,IF(RIGHT($K119,2)=RIGHT(BX$43,2),SUM($AX119:BB119),0)+IF(RIGHT(BX$43,2)&gt;RIGHT($K119,2),BB119,0))</f>
        <v>3.3844548381143633E-2</v>
      </c>
      <c r="BY119" s="386">
        <f>+IF($K119="Ongoing",BC119,IF(RIGHT($K119,2)=RIGHT(BY$43,2),SUM($AX119:BC119),0)+IF(RIGHT(BY$43,2)&gt;RIGHT($K119,2),BC119,0))</f>
        <v>6.1742783459391504</v>
      </c>
      <c r="BZ119" s="387">
        <f>+IF($K119="Ongoing",BD119,IF(RIGHT($K119,2)=RIGHT(BZ$43,2),SUM($AX119:BD119),0)+IF(RIGHT(BZ$43,2)&gt;RIGHT($K119,2),BD119,0))</f>
        <v>16.243490704263454</v>
      </c>
      <c r="CA119" s="1277">
        <f>+IF($K119="Ongoing",BE119,IF(RIGHT($K119,2)=RIGHT(CA$43,2),SUM($AX119:BE119),0)+IF(RIGHT(CA$43,2)&gt;RIGHT($K119,2),BE119,0))</f>
        <v>1.0026240109052734E-2</v>
      </c>
      <c r="CB119" s="1277">
        <f>+IF($K119="Ongoing",BF119,IF(RIGHT($K119,2)=RIGHT(CB$43,2),SUM($AX119:BF119),0)+IF(RIGHT(CB$43,2)&gt;RIGHT($K119,2),BF119,0))</f>
        <v>12.800482012852472</v>
      </c>
      <c r="CC119" s="388">
        <f>+IF($K119="Ongoing",BG119,IF(RIGHT($K119,2)=RIGHT(CC$43,2),SUM($AX119:BG119),0)+IF(RIGHT(CC$43,2)&gt;RIGHT($K119,2),BG119,0))</f>
        <v>1.0797163977437862E-2</v>
      </c>
      <c r="CD119" s="1025"/>
      <c r="CE119" s="1282">
        <f>+Q119*KeyAssumptionsPriceControl_FO!AF$15</f>
        <v>11.257916552195121</v>
      </c>
      <c r="CF119" s="387">
        <f>+R119*KeyAssumptionsPriceControl_FO!AG$15</f>
        <v>0.3415008511038668</v>
      </c>
      <c r="CG119" s="387">
        <f>+S119*KeyAssumptionsPriceControl_FO!AH$15</f>
        <v>7.6193680661787502</v>
      </c>
      <c r="CH119" s="387">
        <f>+T119*KeyAssumptionsPriceControl_FO!AI$15</f>
        <v>17.41162437126431</v>
      </c>
      <c r="CI119" s="1283">
        <f>+U119*KeyAssumptionsPriceControl_FO!AJ$15</f>
        <v>3.9045015277420235E-2</v>
      </c>
      <c r="CJ119" s="386">
        <f>+V119*KeyAssumptionsPriceControl_FO!AK$15</f>
        <v>7.3295692567264705</v>
      </c>
      <c r="CK119" s="387">
        <f>+W119*KeyAssumptionsPriceControl_FO!AL$15</f>
        <v>19.842070463346719</v>
      </c>
      <c r="CL119" s="1277">
        <f>+X119*KeyAssumptionsPriceControl_FO!AM$15</f>
        <v>1.2602627475360834E-2</v>
      </c>
      <c r="CM119" s="1277">
        <f>+Y119*KeyAssumptionsPriceControl_FO!AN$15</f>
        <v>16.556353726880577</v>
      </c>
      <c r="CN119" s="388">
        <f>+Z119*KeyAssumptionsPriceControl_FO!AO$15</f>
        <v>1.4370220917350723E-2</v>
      </c>
      <c r="CO119" s="1025"/>
      <c r="CP119" s="1282">
        <f t="shared" ca="1" si="267"/>
        <v>0</v>
      </c>
      <c r="CQ119" s="387">
        <f t="shared" ca="1" si="268"/>
        <v>0</v>
      </c>
      <c r="CR119" s="387">
        <f t="shared" ca="1" si="269"/>
        <v>0</v>
      </c>
      <c r="CS119" s="387">
        <f t="shared" ca="1" si="270"/>
        <v>0</v>
      </c>
      <c r="CT119" s="1283">
        <f t="shared" ca="1" si="271"/>
        <v>0</v>
      </c>
      <c r="CU119" s="386">
        <f t="shared" ca="1" si="272"/>
        <v>0</v>
      </c>
      <c r="CV119" s="387">
        <f t="shared" ca="1" si="273"/>
        <v>0</v>
      </c>
      <c r="CW119" s="1277">
        <f t="shared" ca="1" si="274"/>
        <v>0</v>
      </c>
      <c r="CX119" s="1277">
        <f t="shared" ca="1" si="275"/>
        <v>0</v>
      </c>
      <c r="CY119" s="388">
        <f t="shared" ca="1" si="276"/>
        <v>0</v>
      </c>
      <c r="CZ119" s="347"/>
      <c r="DA119" s="852"/>
      <c r="DB119" s="347"/>
      <c r="DC119" s="1012" t="s">
        <v>613</v>
      </c>
      <c r="DD119" s="841" t="s">
        <v>518</v>
      </c>
      <c r="DE119" s="386">
        <f>+IF($K119="ongoing",CE119,IF(RIGHT($K119,2)=RIGHT(DE$43,2),SUM($CD119:CE119),0)+IF(RIGHT(DE$43,2)&gt;RIGHT($K119,2),CE119,0))</f>
        <v>11.257916552195121</v>
      </c>
      <c r="DF119" s="387">
        <f>+IF($K119="ongoing",CF119,IF(RIGHT($K119,2)=RIGHT(DF$43,2),SUM($CD119:CF119),0)+IF(RIGHT(DF$43,2)&gt;RIGHT($K119,2),CF119,0))</f>
        <v>0.3415008511038668</v>
      </c>
      <c r="DG119" s="388">
        <f>+IF($K119="ongoing",CG119,IF(RIGHT($K119,2)=RIGHT(DG$43,2),SUM($CD119:CG119),0)+IF(RIGHT(DG$43,2)&gt;RIGHT($K119,2),CG119,0))</f>
        <v>7.6193680661787502</v>
      </c>
      <c r="DH119" s="386">
        <f>+IF($K119="ongoing",CH119,IF(RIGHT($K119,2)=RIGHT(DH$43,2),SUM($CD119:CH119),0)+IF(RIGHT(DH$43,2)&gt;RIGHT($K119,2),CH119,0))</f>
        <v>17.41162437126431</v>
      </c>
      <c r="DI119" s="387">
        <f>+IF($K119="ongoing",CI119,IF(RIGHT($K119,2)=RIGHT(DI$43,2),SUM($CD119:CI119),0)+IF(RIGHT(DI$43,2)&gt;RIGHT($K119,2),CI119,0))</f>
        <v>3.9045015277420235E-2</v>
      </c>
      <c r="DJ119" s="387">
        <f>+IF($K119="ongoing",CJ119,IF(RIGHT($K119,2)=RIGHT(DJ$43,2),SUM($CD119:CJ119),0)+IF(RIGHT(DJ$43,2)&gt;RIGHT($K119,2),CJ119,0))</f>
        <v>7.3295692567264705</v>
      </c>
      <c r="DK119" s="387">
        <f>+IF($K119="ongoing",CK119,IF(RIGHT($K119,2)=RIGHT(DK$43,2),SUM($CD119:CK119),0)+IF(RIGHT(DK$43,2)&gt;RIGHT($K119,2),CK119,0))</f>
        <v>19.842070463346719</v>
      </c>
      <c r="DL119" s="388">
        <f>+IF($K119="ongoing",CN119,IF(RIGHT($K119,2)=RIGHT(DL$43,2),SUM($CD119:CN119),0)+IF(RIGHT(DL$43,2)&gt;RIGHT($K119,2),CN119,0))</f>
        <v>1.4370220917350723E-2</v>
      </c>
      <c r="DM119" s="841"/>
      <c r="DN119" s="386">
        <f t="shared" si="277"/>
        <v>0.5</v>
      </c>
      <c r="DO119" s="387">
        <f t="shared" si="278"/>
        <v>1</v>
      </c>
      <c r="DP119" s="388">
        <f t="shared" si="279"/>
        <v>1</v>
      </c>
      <c r="DQ119" s="386">
        <f t="shared" si="280"/>
        <v>1</v>
      </c>
      <c r="DR119" s="387">
        <f t="shared" si="281"/>
        <v>1</v>
      </c>
      <c r="DS119" s="387">
        <f t="shared" si="282"/>
        <v>1</v>
      </c>
      <c r="DT119" s="387">
        <f t="shared" si="283"/>
        <v>1</v>
      </c>
      <c r="DU119" s="388">
        <f t="shared" si="284"/>
        <v>1</v>
      </c>
      <c r="DW119" s="386">
        <f t="shared" si="285"/>
        <v>0</v>
      </c>
      <c r="DX119" s="387">
        <f t="shared" si="286"/>
        <v>0.5</v>
      </c>
      <c r="DY119" s="388">
        <f t="shared" si="287"/>
        <v>1</v>
      </c>
      <c r="DZ119" s="386">
        <f t="shared" si="288"/>
        <v>1</v>
      </c>
      <c r="EA119" s="387">
        <f t="shared" si="289"/>
        <v>1</v>
      </c>
      <c r="EB119" s="387">
        <f t="shared" si="290"/>
        <v>1</v>
      </c>
      <c r="EC119" s="387">
        <f t="shared" si="291"/>
        <v>1</v>
      </c>
      <c r="ED119" s="388">
        <f t="shared" si="292"/>
        <v>1</v>
      </c>
      <c r="EF119" s="834">
        <f>+IF(DN119=DM119,0,
IF(AND(EF$44&gt;1,DN119=$N119),1-SUM($EE119:EE119),
IF($N119&lt;=1,
IF($N119&gt;0,1/$N119,0),
IF(EF$44=1,0,VDB(1,0,$N119,INT(EF$44-1-1),MIN($N119,INT(EF$44-1-1)+1),$DC119,IF($DD119="No",1,0))/
IF(DM119&gt;=INT($N119),$N119-INT($N119),1)))*
IF(EF$44=1,0,
IF(INT(DN119)=INT(DM119),DN119-DM119,INT(DN119)-DM119))+
IF($N119&lt;=1,
IF($N119&gt;0,1/$N119,0),VDB(1,0,$N119,INT(EF$44-1),MIN($N119,INT(EF$44-1)+1),$DC119,IF($DD119="No",1,0))/
IF(DN119&gt;INT($N119),$N119-INT($N119),1))*
IF(EF$44=1,DN119,
IF(INT(DN119)=INT(DM119),0,DN119-INT(DN119)))))</f>
        <v>0</v>
      </c>
      <c r="EG119" s="835">
        <f>+IF(DO119=DN119,0,
IF(AND(EG$44&gt;1,DO119=$N119),1-SUM($EE119:EF119),
IF($N119&lt;=1,
IF($N119&gt;0,1/$N119,0),
IF(EG$44=1,0,VDB(1,0,$N119,INT(EG$44-1-1),MIN($N119,INT(EG$44-1-1)+1),$DC119,IF($DD119="No",1,0))/
IF(DN119&gt;=INT($N119),$N119-INT($N119),1)))*
IF(EG$44=1,0,
IF(INT(DO119)=INT(DN119),DO119-DN119,INT(DO119)-DN119))+
IF($N119&lt;=1,
IF($N119&gt;0,1/$N119,0),VDB(1,0,$N119,INT(EG$44-1),MIN($N119,INT(EG$44-1)+1),$DC119,IF($DD119="No",1,0))/
IF(DO119&gt;INT($N119),$N119-INT($N119),1))*
IF(EG$44=1,DO119,
IF(INT(DO119)=INT(DN119),0,DO119-INT(DO119)))))</f>
        <v>0</v>
      </c>
      <c r="EH119" s="836">
        <f>+IF(DP119=DO119,0,
IF(AND(EH$44&gt;1,DP119=$N119),1-SUM($EE119:EG119),
IF($N119&lt;=1,
IF($N119&gt;0,1/$N119,0),
IF(EH$44=1,0,VDB(1,0,$N119,INT(EH$44-1-1),MIN($N119,INT(EH$44-1-1)+1),$DC119,IF($DD119="No",1,0))/
IF(DO119&gt;=INT($N119),$N119-INT($N119),1)))*
IF(EH$44=1,0,
IF(INT(DP119)=INT(DO119),DP119-DO119,INT(DP119)-DO119))+
IF($N119&lt;=1,
IF($N119&gt;0,1/$N119,0),VDB(1,0,$N119,INT(EH$44-1),MIN($N119,INT(EH$44-1)+1),$DC119,IF($DD119="No",1,0))/
IF(DP119&gt;INT($N119),$N119-INT($N119),1))*
IF(EH$44=1,DP119,
IF(INT(DP119)=INT(DO119),0,DP119-INT(DP119)))))</f>
        <v>0</v>
      </c>
      <c r="EI119" s="834">
        <f>+IF(DQ119=DP119,0,
IF(AND(EI$44&gt;1,DQ119=$N119),1-SUM($EE119:EH119),
IF($N119&lt;=1,
IF($N119&gt;0,1/$N119,0),
IF(EI$44=1,0,VDB(1,0,$N119,INT(EI$44-1-1),MIN($N119,INT(EI$44-1-1)+1),$DC119,IF($DD119="No",1,0))/
IF(DP119&gt;=INT($N119),$N119-INT($N119),1)))*
IF(EI$44=1,0,
IF(INT(DQ119)=INT(DP119),DQ119-DP119,INT(DQ119)-DP119))+
IF($N119&lt;=1,
IF($N119&gt;0,1/$N119,0),VDB(1,0,$N119,INT(EI$44-1),MIN($N119,INT(EI$44-1)+1),$DC119,IF($DD119="No",1,0))/
IF(DQ119&gt;INT($N119),$N119-INT($N119),1))*
IF(EI$44=1,DQ119,
IF(INT(DQ119)=INT(DP119),0,DQ119-INT(DQ119)))))</f>
        <v>0</v>
      </c>
      <c r="EJ119" s="835">
        <f>+IF(DR119=DQ119,0,
IF(AND(EJ$44&gt;1,DR119=$N119),1-SUM($EE119:EI119),
IF($N119&lt;=1,
IF($N119&gt;0,1/$N119,0),
IF(EJ$44=1,0,VDB(1,0,$N119,INT(EJ$44-1-1),MIN($N119,INT(EJ$44-1-1)+1),$DC119,IF($DD119="No",1,0))/
IF(DQ119&gt;=INT($N119),$N119-INT($N119),1)))*
IF(EJ$44=1,0,
IF(INT(DR119)=INT(DQ119),DR119-DQ119,INT(DR119)-DQ119))+
IF($N119&lt;=1,
IF($N119&gt;0,1/$N119,0),VDB(1,0,$N119,INT(EJ$44-1),MIN($N119,INT(EJ$44-1)+1),$DC119,IF($DD119="No",1,0))/
IF(DR119&gt;INT($N119),$N119-INT($N119),1))*
IF(EJ$44=1,DR119,
IF(INT(DR119)=INT(DQ119),0,DR119-INT(DR119)))))</f>
        <v>0</v>
      </c>
      <c r="EK119" s="835">
        <f>+IF(DS119=DR119,0,
IF(AND(EK$44&gt;1,DS119=$N119),1-SUM($EE119:EJ119),
IF($N119&lt;=1,
IF($N119&gt;0,1/$N119,0),
IF(EK$44=1,0,VDB(1,0,$N119,INT(EK$44-1-1),MIN($N119,INT(EK$44-1-1)+1),$DC119,IF($DD119="No",1,0))/
IF(DR119&gt;=INT($N119),$N119-INT($N119),1)))*
IF(EK$44=1,0,
IF(INT(DS119)=INT(DR119),DS119-DR119,INT(DS119)-DR119))+
IF($N119&lt;=1,
IF($N119&gt;0,1/$N119,0),VDB(1,0,$N119,INT(EK$44-1),MIN($N119,INT(EK$44-1)+1),$DC119,IF($DD119="No",1,0))/
IF(DS119&gt;INT($N119),$N119-INT($N119),1))*
IF(EK$44=1,DS119,
IF(INT(DS119)=INT(DR119),0,DS119-INT(DS119)))))</f>
        <v>0</v>
      </c>
      <c r="EL119" s="835">
        <f>+IF(DT119=DS119,0,
IF(AND(EL$44&gt;1,DT119=$N119),1-SUM($EE119:EK119),
IF($N119&lt;=1,
IF($N119&gt;0,1/$N119,0),
IF(EL$44=1,0,VDB(1,0,$N119,INT(EL$44-1-1),MIN($N119,INT(EL$44-1-1)+1),$DC119,IF($DD119="No",1,0))/
IF(DS119&gt;=INT($N119),$N119-INT($N119),1)))*
IF(EL$44=1,0,
IF(INT(DT119)=INT(DS119),DT119-DS119,INT(DT119)-DS119))+
IF($N119&lt;=1,
IF($N119&gt;0,1/$N119,0),VDB(1,0,$N119,INT(EL$44-1),MIN($N119,INT(EL$44-1)+1),$DC119,IF($DD119="No",1,0))/
IF(DT119&gt;INT($N119),$N119-INT($N119),1))*
IF(EL$44=1,DT119,
IF(INT(DT119)=INT(DS119),0,DT119-INT(DT119)))))</f>
        <v>0</v>
      </c>
      <c r="EM119" s="836">
        <f>+IF(DU119=DT119,0,
IF(AND(EM$44&gt;1,DU119=$N119),1-SUM($EE119:EL119),
IF($N119&lt;=1,
IF($N119&gt;0,1/$N119,0),
IF(EM$44=1,0,VDB(1,0,$N119,INT(EM$44-1-1),MIN($N119,INT(EM$44-1-1)+1),$DC119,IF($DD119="No",1,0))/
IF(DT119&gt;=INT($N119),$N119-INT($N119),1)))*
IF(EM$44=1,0,
IF(INT(DU119)=INT(DT119),DU119-DT119,INT(DU119)-DT119))+
IF($N119&lt;=1,
IF($N119&gt;0,1/$N119,0),VDB(1,0,$N119,INT(EM$44-1),MIN($N119,INT(EM$44-1)+1),$DC119,IF($DD119="No",1,0))/
IF(DU119&gt;INT($N119),$N119-INT($N119),1))*
IF(EM$44=1,DU119,
IF(INT(DU119)=INT(DT119),0,DU119-INT(DU119)))))</f>
        <v>0</v>
      </c>
      <c r="EN119" s="833"/>
      <c r="EO119" s="834">
        <f>+IF(OR(DW119=DV119,EO$44=1),0,
IF(AND(EO$44&gt;1,DW119=$N119),1-SUM($EN119:EN119),
IF($N119&lt;=1,
IF($N119&gt;0,1/$N119,0),
IF(EO$44=2,0,VDB(1,0,$N119,INT(EO$44-2-1),MIN($N119,INT(EO$44-2-1)+1),$DC119,IF($DD119="No",1,0))/
IF(DV119&gt;=INT($N119),$N119-INT($N119),1)))*
IF(EO$44=2,0,
IF(INT(DW119)=INT(DV119),DW119-DV119,INT(DW119)-DV119))+
IF($N119&lt;=1,
IF($N119&gt;0,1/$N119,0),VDB(1,0,$N119,INT(EO$44-2),MIN($N119,INT(EO$44-2)+1),$DC119,IF($DD119="No",1,0))/
IF(DW119&gt;INT($N119),$N119-INT($N119),1))*
IF(EO$44=2,DW119,
IF(INT(DW119)=INT(DV119),0,DW119-INT(DW119)))))</f>
        <v>0</v>
      </c>
      <c r="EP119" s="835">
        <f>+IF(OR(DX119=DW119,EP$44=1),0,
IF(AND(EP$44&gt;1,DX119=$N119),1-SUM($EN119:EO119),
IF($N119&lt;=1,
IF($N119&gt;0,1/$N119,0),
IF(EP$44=2,0,VDB(1,0,$N119,INT(EP$44-2-1),MIN($N119,INT(EP$44-2-1)+1),$DC119,IF($DD119="No",1,0))/
IF(DW119&gt;=INT($N119),$N119-INT($N119),1)))*
IF(EP$44=2,0,
IF(INT(DX119)=INT(DW119),DX119-DW119,INT(DX119)-DW119))+
IF($N119&lt;=1,
IF($N119&gt;0,1/$N119,0),VDB(1,0,$N119,INT(EP$44-2),MIN($N119,INT(EP$44-2)+1),$DC119,IF($DD119="No",1,0))/
IF(DX119&gt;INT($N119),$N119-INT($N119),1))*
IF(EP$44=2,DX119,
IF(INT(DX119)=INT(DW119),0,DX119-INT(DX119)))))</f>
        <v>0</v>
      </c>
      <c r="EQ119" s="836">
        <f>+IF(OR(DY119=DX119,EQ$44=1),0,
IF(AND(EQ$44&gt;1,DY119=$N119),1-SUM($EN119:EP119),
IF($N119&lt;=1,
IF($N119&gt;0,1/$N119,0),
IF(EQ$44=2,0,VDB(1,0,$N119,INT(EQ$44-2-1),MIN($N119,INT(EQ$44-2-1)+1),$DC119,IF($DD119="No",1,0))/
IF(DX119&gt;=INT($N119),$N119-INT($N119),1)))*
IF(EQ$44=2,0,
IF(INT(DY119)=INT(DX119),DY119-DX119,INT(DY119)-DX119))+
IF($N119&lt;=1,
IF($N119&gt;0,1/$N119,0),VDB(1,0,$N119,INT(EQ$44-2),MIN($N119,INT(EQ$44-2)+1),$DC119,IF($DD119="No",1,0))/
IF(DY119&gt;INT($N119),$N119-INT($N119),1))*
IF(EQ$44=2,DY119,
IF(INT(DY119)=INT(DX119),0,DY119-INT(DY119)))))</f>
        <v>0</v>
      </c>
      <c r="ER119" s="834">
        <f>+IF(OR(DZ119=DY119,ER$44=1),0,
IF(AND(ER$44&gt;1,DZ119=$N119),1-SUM($EN119:EQ119),
IF($N119&lt;=1,
IF($N119&gt;0,1/$N119,0),
IF(ER$44=2,0,VDB(1,0,$N119,INT(ER$44-2-1),MIN($N119,INT(ER$44-2-1)+1),$DC119,IF($DD119="No",1,0))/
IF(DY119&gt;=INT($N119),$N119-INT($N119),1)))*
IF(ER$44=2,0,
IF(INT(DZ119)=INT(DY119),DZ119-DY119,INT(DZ119)-DY119))+
IF($N119&lt;=1,
IF($N119&gt;0,1/$N119,0),VDB(1,0,$N119,INT(ER$44-2),MIN($N119,INT(ER$44-2)+1),$DC119,IF($DD119="No",1,0))/
IF(DZ119&gt;INT($N119),$N119-INT($N119),1))*
IF(ER$44=2,DZ119,
IF(INT(DZ119)=INT(DY119),0,DZ119-INT(DZ119)))))</f>
        <v>0</v>
      </c>
      <c r="ES119" s="835">
        <f>+IF(OR(EA119=DZ119,ES$44=1),0,
IF(AND(ES$44&gt;1,EA119=$N119),1-SUM($EN119:ER119),
IF($N119&lt;=1,
IF($N119&gt;0,1/$N119,0),
IF(ES$44=2,0,VDB(1,0,$N119,INT(ES$44-2-1),MIN($N119,INT(ES$44-2-1)+1),$DC119,IF($DD119="No",1,0))/
IF(DZ119&gt;=INT($N119),$N119-INT($N119),1)))*
IF(ES$44=2,0,
IF(INT(EA119)=INT(DZ119),EA119-DZ119,INT(EA119)-DZ119))+
IF($N119&lt;=1,
IF($N119&gt;0,1/$N119,0),VDB(1,0,$N119,INT(ES$44-2),MIN($N119,INT(ES$44-2)+1),$DC119,IF($DD119="No",1,0))/
IF(EA119&gt;INT($N119),$N119-INT($N119),1))*
IF(ES$44=2,EA119,
IF(INT(EA119)=INT(DZ119),0,EA119-INT(EA119)))))</f>
        <v>0</v>
      </c>
      <c r="ET119" s="835">
        <f>+IF(OR(EB119=EA119,ET$44=1),0,
IF(AND(ET$44&gt;1,EB119=$N119),1-SUM($EN119:ES119),
IF($N119&lt;=1,
IF($N119&gt;0,1/$N119,0),
IF(ET$44=2,0,VDB(1,0,$N119,INT(ET$44-2-1),MIN($N119,INT(ET$44-2-1)+1),$DC119,IF($DD119="No",1,0))/
IF(EA119&gt;=INT($N119),$N119-INT($N119),1)))*
IF(ET$44=2,0,
IF(INT(EB119)=INT(EA119),EB119-EA119,INT(EB119)-EA119))+
IF($N119&lt;=1,
IF($N119&gt;0,1/$N119,0),VDB(1,0,$N119,INT(ET$44-2),MIN($N119,INT(ET$44-2)+1),$DC119,IF($DD119="No",1,0))/
IF(EB119&gt;INT($N119),$N119-INT($N119),1))*
IF(ET$44=2,EB119,
IF(INT(EB119)=INT(EA119),0,EB119-INT(EB119)))))</f>
        <v>0</v>
      </c>
      <c r="EU119" s="835">
        <f>+IF(OR(EC119=EB119,EU$44=1),0,
IF(AND(EU$44&gt;1,EC119=$N119),1-SUM($EN119:ET119),
IF($N119&lt;=1,
IF($N119&gt;0,1/$N119,0),
IF(EU$44=2,0,VDB(1,0,$N119,INT(EU$44-2-1),MIN($N119,INT(EU$44-2-1)+1),$DC119,IF($DD119="No",1,0))/
IF(EB119&gt;=INT($N119),$N119-INT($N119),1)))*
IF(EU$44=2,0,
IF(INT(EC119)=INT(EB119),EC119-EB119,INT(EC119)-EB119))+
IF($N119&lt;=1,
IF($N119&gt;0,1/$N119,0),VDB(1,0,$N119,INT(EU$44-2),MIN($N119,INT(EU$44-2)+1),$DC119,IF($DD119="No",1,0))/
IF(EC119&gt;INT($N119),$N119-INT($N119),1))*
IF(EU$44=2,EC119,
IF(INT(EC119)=INT(EB119),0,EC119-INT(EC119)))))</f>
        <v>0</v>
      </c>
      <c r="EV119" s="836">
        <f>+IF(OR(ED119=EC119,EV$44=1),0,
IF(AND(EV$44&gt;1,ED119=$N119),1-SUM($EN119:EU119),
IF($N119&lt;=1,
IF($N119&gt;0,1/$N119,0),
IF(EV$44=2,0,VDB(1,0,$N119,INT(EV$44-2-1),MIN($N119,INT(EV$44-2-1)+1),$DC119,IF($DD119="No",1,0))/
IF(EC119&gt;=INT($N119),$N119-INT($N119),1)))*
IF(EV$44=2,0,
IF(INT(ED119)=INT(EC119),ED119-EC119,INT(ED119)-EC119))+
IF($N119&lt;=1,
IF($N119&gt;0,1/$N119,0),VDB(1,0,$N119,INT(EV$44-2),MIN($N119,INT(EV$44-2)+1),$DC119,IF($DD119="No",1,0))/
IF(ED119&gt;INT($N119),$N119-INT($N119),1))*
IF(EV$44=2,ED119,
IF(INT(ED119)=INT(EC119),0,ED119-INT(ED119)))))</f>
        <v>0</v>
      </c>
      <c r="EW119" s="833"/>
      <c r="EX119" s="834">
        <f t="shared" ca="1" si="301"/>
        <v>0</v>
      </c>
      <c r="EY119" s="835">
        <f t="shared" ca="1" si="301"/>
        <v>0</v>
      </c>
      <c r="EZ119" s="836">
        <f t="shared" ca="1" si="301"/>
        <v>0</v>
      </c>
      <c r="FA119" s="834">
        <f t="shared" ca="1" si="301"/>
        <v>0</v>
      </c>
      <c r="FB119" s="835">
        <f t="shared" ca="1" si="301"/>
        <v>0</v>
      </c>
      <c r="FC119" s="835">
        <f t="shared" ca="1" si="301"/>
        <v>0</v>
      </c>
      <c r="FD119" s="835">
        <f t="shared" ca="1" si="301"/>
        <v>0</v>
      </c>
      <c r="FE119" s="836">
        <f t="shared" ca="1" si="301"/>
        <v>0</v>
      </c>
      <c r="FG119" s="386">
        <f t="shared" ca="1" si="293"/>
        <v>0</v>
      </c>
      <c r="FH119" s="387">
        <f t="shared" ca="1" si="294"/>
        <v>0</v>
      </c>
      <c r="FI119" s="388">
        <f t="shared" ca="1" si="295"/>
        <v>0</v>
      </c>
      <c r="FJ119" s="386">
        <f t="shared" ca="1" si="296"/>
        <v>0</v>
      </c>
      <c r="FK119" s="387">
        <f t="shared" ca="1" si="297"/>
        <v>0</v>
      </c>
      <c r="FL119" s="387">
        <f t="shared" ca="1" si="298"/>
        <v>0</v>
      </c>
      <c r="FM119" s="387">
        <f t="shared" ca="1" si="299"/>
        <v>0</v>
      </c>
      <c r="FN119" s="388">
        <f t="shared" ca="1" si="300"/>
        <v>0</v>
      </c>
      <c r="FR119" s="116"/>
    </row>
    <row r="120" spans="2:174">
      <c r="B120" s="1410">
        <f t="shared" si="135"/>
        <v>74</v>
      </c>
      <c r="C120" s="400" t="s">
        <v>610</v>
      </c>
      <c r="D120" s="410"/>
      <c r="E120" s="402" t="s">
        <v>401</v>
      </c>
      <c r="F120" s="402" t="s">
        <v>514</v>
      </c>
      <c r="G120" s="400" t="s">
        <v>525</v>
      </c>
      <c r="H120" s="2088" t="s">
        <v>483</v>
      </c>
      <c r="I120" s="2089"/>
      <c r="J120" s="411" t="s">
        <v>516</v>
      </c>
      <c r="K120" s="403" t="s">
        <v>544</v>
      </c>
      <c r="L120" s="403">
        <v>110</v>
      </c>
      <c r="M120" s="403" t="s">
        <v>142</v>
      </c>
      <c r="N120" s="403"/>
      <c r="O120" s="347"/>
      <c r="P120" s="347"/>
      <c r="Q120" s="1021">
        <v>0.87456585365853667</v>
      </c>
      <c r="R120" s="1022">
        <v>21.047376561570495</v>
      </c>
      <c r="S120" s="1022">
        <v>28.209326903556253</v>
      </c>
      <c r="T120" s="1022">
        <v>5.5697392666966543</v>
      </c>
      <c r="U120" s="1023">
        <v>2.1212502902628418E-2</v>
      </c>
      <c r="V120" s="1021">
        <v>8.6229686596050494E-3</v>
      </c>
      <c r="W120" s="1022">
        <v>0</v>
      </c>
      <c r="X120" s="1022">
        <v>0</v>
      </c>
      <c r="Y120" s="1022">
        <v>0</v>
      </c>
      <c r="Z120" s="1023">
        <v>0</v>
      </c>
      <c r="AA120" s="1024"/>
      <c r="AB120" s="1021">
        <v>0</v>
      </c>
      <c r="AC120" s="1022">
        <v>0</v>
      </c>
      <c r="AD120" s="1022">
        <v>0</v>
      </c>
      <c r="AE120" s="1022">
        <v>0</v>
      </c>
      <c r="AF120" s="1023">
        <v>0</v>
      </c>
      <c r="AG120" s="1021">
        <v>0</v>
      </c>
      <c r="AH120" s="1022">
        <v>0</v>
      </c>
      <c r="AI120" s="1022">
        <v>0</v>
      </c>
      <c r="AJ120" s="1022">
        <v>0</v>
      </c>
      <c r="AK120" s="1023">
        <v>0</v>
      </c>
      <c r="AL120" s="1024"/>
      <c r="AM120" s="1021">
        <v>0</v>
      </c>
      <c r="AN120" s="1022">
        <v>0</v>
      </c>
      <c r="AO120" s="1022">
        <v>0</v>
      </c>
      <c r="AP120" s="1022">
        <v>0</v>
      </c>
      <c r="AQ120" s="1023">
        <v>0</v>
      </c>
      <c r="AR120" s="1021">
        <v>0</v>
      </c>
      <c r="AS120" s="1022">
        <v>0</v>
      </c>
      <c r="AT120" s="1022">
        <v>0</v>
      </c>
      <c r="AU120" s="1022">
        <v>0</v>
      </c>
      <c r="AV120" s="1023">
        <v>0</v>
      </c>
      <c r="AW120" s="1025"/>
      <c r="AX120" s="1282">
        <f t="shared" si="247"/>
        <v>0.87456585365853667</v>
      </c>
      <c r="AY120" s="387">
        <f t="shared" si="248"/>
        <v>21.047376561570495</v>
      </c>
      <c r="AZ120" s="387">
        <f t="shared" si="249"/>
        <v>28.209326903556253</v>
      </c>
      <c r="BA120" s="387">
        <f t="shared" si="250"/>
        <v>5.5697392666966543</v>
      </c>
      <c r="BB120" s="1283">
        <f t="shared" si="251"/>
        <v>2.1212502902628418E-2</v>
      </c>
      <c r="BC120" s="386">
        <f t="shared" si="252"/>
        <v>8.6229686596050494E-3</v>
      </c>
      <c r="BD120" s="387">
        <f t="shared" si="253"/>
        <v>0</v>
      </c>
      <c r="BE120" s="1277">
        <f t="shared" si="254"/>
        <v>0</v>
      </c>
      <c r="BF120" s="1277">
        <f t="shared" si="255"/>
        <v>0</v>
      </c>
      <c r="BG120" s="388">
        <f t="shared" si="256"/>
        <v>0</v>
      </c>
      <c r="BH120" s="1025"/>
      <c r="BI120" s="1282">
        <f t="shared" ca="1" si="257"/>
        <v>3.9752993348115299E-3</v>
      </c>
      <c r="BJ120" s="387">
        <f t="shared" ca="1" si="258"/>
        <v>0.10362049213130713</v>
      </c>
      <c r="BK120" s="387">
        <f t="shared" ca="1" si="259"/>
        <v>0.32751459879097417</v>
      </c>
      <c r="BL120" s="387">
        <f t="shared" ca="1" si="260"/>
        <v>0.48105580865576014</v>
      </c>
      <c r="BM120" s="1283">
        <f t="shared" ca="1" si="261"/>
        <v>0.50646922579030229</v>
      </c>
      <c r="BN120" s="386">
        <f t="shared" ca="1" si="262"/>
        <v>0.50660484157013064</v>
      </c>
      <c r="BO120" s="387">
        <f t="shared" ca="1" si="263"/>
        <v>0.50664403688221982</v>
      </c>
      <c r="BP120" s="1277">
        <f t="shared" ca="1" si="264"/>
        <v>0.50664403688221982</v>
      </c>
      <c r="BQ120" s="1277">
        <f t="shared" ca="1" si="265"/>
        <v>0.50664403688221982</v>
      </c>
      <c r="BR120" s="388">
        <f t="shared" ca="1" si="266"/>
        <v>0.50664403688221982</v>
      </c>
      <c r="BS120" s="1025"/>
      <c r="BT120" s="1282">
        <f>+IF($K120="Ongoing",AX120,IF(RIGHT($K120,2)=RIGHT(BT$43,2),SUM($AX120:AX120),0)+IF(RIGHT(BT$43,2)&gt;RIGHT($K120,2),AX120,0))</f>
        <v>0.87456585365853667</v>
      </c>
      <c r="BU120" s="387">
        <f>+IF($K120="Ongoing",AY120,IF(RIGHT($K120,2)=RIGHT(BU$43,2),SUM($AX120:AY120),0)+IF(RIGHT(BU$43,2)&gt;RIGHT($K120,2),AY120,0))</f>
        <v>21.047376561570495</v>
      </c>
      <c r="BV120" s="387">
        <f>+IF($K120="Ongoing",AZ120,IF(RIGHT($K120,2)=RIGHT(BV$43,2),SUM($AX120:AZ120),0)+IF(RIGHT(BV$43,2)&gt;RIGHT($K120,2),AZ120,0))</f>
        <v>28.209326903556253</v>
      </c>
      <c r="BW120" s="387">
        <f>+IF($K120="Ongoing",BA120,IF(RIGHT($K120,2)=RIGHT(BW$43,2),SUM($AX120:BA120),0)+IF(RIGHT(BW$43,2)&gt;RIGHT($K120,2),BA120,0))</f>
        <v>5.5697392666966543</v>
      </c>
      <c r="BX120" s="1283">
        <f>+IF($K120="Ongoing",BB120,IF(RIGHT($K120,2)=RIGHT(BX$43,2),SUM($AX120:BB120),0)+IF(RIGHT(BX$43,2)&gt;RIGHT($K120,2),BB120,0))</f>
        <v>2.1212502902628418E-2</v>
      </c>
      <c r="BY120" s="386">
        <f>+IF($K120="Ongoing",BC120,IF(RIGHT($K120,2)=RIGHT(BY$43,2),SUM($AX120:BC120),0)+IF(RIGHT(BY$43,2)&gt;RIGHT($K120,2),BC120,0))</f>
        <v>8.6229686596050494E-3</v>
      </c>
      <c r="BZ120" s="387">
        <f>+IF($K120="Ongoing",BD120,IF(RIGHT($K120,2)=RIGHT(BZ$43,2),SUM($AX120:BD120),0)+IF(RIGHT(BZ$43,2)&gt;RIGHT($K120,2),BD120,0))</f>
        <v>0</v>
      </c>
      <c r="CA120" s="1277">
        <f>+IF($K120="Ongoing",BE120,IF(RIGHT($K120,2)=RIGHT(CA$43,2),SUM($AX120:BE120),0)+IF(RIGHT(CA$43,2)&gt;RIGHT($K120,2),BE120,0))</f>
        <v>0</v>
      </c>
      <c r="CB120" s="1277">
        <f>+IF($K120="Ongoing",BF120,IF(RIGHT($K120,2)=RIGHT(CB$43,2),SUM($AX120:BF120),0)+IF(RIGHT(CB$43,2)&gt;RIGHT($K120,2),BF120,0))</f>
        <v>0</v>
      </c>
      <c r="CC120" s="388">
        <f>+IF($K120="Ongoing",BG120,IF(RIGHT($K120,2)=RIGHT(CC$43,2),SUM($AX120:BG120),0)+IF(RIGHT(CC$43,2)&gt;RIGHT($K120,2),BG120,0))</f>
        <v>0</v>
      </c>
      <c r="CD120" s="1025"/>
      <c r="CE120" s="1282">
        <f>+Q120*KeyAssumptionsPriceControl_FO!AF$15</f>
        <v>0.89992826341463417</v>
      </c>
      <c r="CF120" s="387">
        <f>+R120*KeyAssumptionsPriceControl_FO!AG$15</f>
        <v>22.285825245829862</v>
      </c>
      <c r="CG120" s="387">
        <f>+S120*KeyAssumptionsPriceControl_FO!AH$15</f>
        <v>30.735398473217163</v>
      </c>
      <c r="CH120" s="387">
        <f>+T120*KeyAssumptionsPriceControl_FO!AI$15</f>
        <v>6.2444812268278769</v>
      </c>
      <c r="CI120" s="1283">
        <f>+U120*KeyAssumptionsPriceControl_FO!AJ$15</f>
        <v>2.4471961941347695E-2</v>
      </c>
      <c r="CJ120" s="386">
        <f>+V120*KeyAssumptionsPriceControl_FO!AK$15</f>
        <v>1.0236442616929586E-2</v>
      </c>
      <c r="CK120" s="387">
        <f>+W120*KeyAssumptionsPriceControl_FO!AL$15</f>
        <v>0</v>
      </c>
      <c r="CL120" s="1277">
        <f>+X120*KeyAssumptionsPriceControl_FO!AM$15</f>
        <v>0</v>
      </c>
      <c r="CM120" s="1277">
        <f>+Y120*KeyAssumptionsPriceControl_FO!AN$15</f>
        <v>0</v>
      </c>
      <c r="CN120" s="388">
        <f>+Z120*KeyAssumptionsPriceControl_FO!AO$15</f>
        <v>0</v>
      </c>
      <c r="CO120" s="1025"/>
      <c r="CP120" s="1282">
        <f t="shared" ca="1" si="267"/>
        <v>0</v>
      </c>
      <c r="CQ120" s="387">
        <f t="shared" ca="1" si="268"/>
        <v>0</v>
      </c>
      <c r="CR120" s="387">
        <f t="shared" ca="1" si="269"/>
        <v>0</v>
      </c>
      <c r="CS120" s="387">
        <f t="shared" ca="1" si="270"/>
        <v>0</v>
      </c>
      <c r="CT120" s="1283">
        <f t="shared" ca="1" si="271"/>
        <v>0</v>
      </c>
      <c r="CU120" s="386">
        <f t="shared" ca="1" si="272"/>
        <v>0</v>
      </c>
      <c r="CV120" s="387">
        <f t="shared" ca="1" si="273"/>
        <v>0</v>
      </c>
      <c r="CW120" s="1277">
        <f t="shared" ca="1" si="274"/>
        <v>0</v>
      </c>
      <c r="CX120" s="1277">
        <f t="shared" ca="1" si="275"/>
        <v>0</v>
      </c>
      <c r="CY120" s="388">
        <f t="shared" ca="1" si="276"/>
        <v>0</v>
      </c>
      <c r="CZ120" s="347"/>
      <c r="DA120" s="852"/>
      <c r="DB120" s="347"/>
      <c r="DC120" s="1012" t="s">
        <v>614</v>
      </c>
      <c r="DD120" s="841" t="s">
        <v>518</v>
      </c>
      <c r="DE120" s="386">
        <f>+IF($K120="ongoing",CE120,IF(RIGHT($K120,2)=RIGHT(DE$43,2),SUM($CD120:CE120),0)+IF(RIGHT(DE$43,2)&gt;RIGHT($K120,2),CE120,0))</f>
        <v>0.89992826341463417</v>
      </c>
      <c r="DF120" s="387">
        <f>+IF($K120="ongoing",CF120,IF(RIGHT($K120,2)=RIGHT(DF$43,2),SUM($CD120:CF120),0)+IF(RIGHT(DF$43,2)&gt;RIGHT($K120,2),CF120,0))</f>
        <v>22.285825245829862</v>
      </c>
      <c r="DG120" s="388">
        <f>+IF($K120="ongoing",CG120,IF(RIGHT($K120,2)=RIGHT(DG$43,2),SUM($CD120:CG120),0)+IF(RIGHT(DG$43,2)&gt;RIGHT($K120,2),CG120,0))</f>
        <v>30.735398473217163</v>
      </c>
      <c r="DH120" s="386">
        <f>+IF($K120="ongoing",CH120,IF(RIGHT($K120,2)=RIGHT(DH$43,2),SUM($CD120:CH120),0)+IF(RIGHT(DH$43,2)&gt;RIGHT($K120,2),CH120,0))</f>
        <v>6.2444812268278769</v>
      </c>
      <c r="DI120" s="387">
        <f>+IF($K120="ongoing",CI120,IF(RIGHT($K120,2)=RIGHT(DI$43,2),SUM($CD120:CI120),0)+IF(RIGHT(DI$43,2)&gt;RIGHT($K120,2),CI120,0))</f>
        <v>2.4471961941347695E-2</v>
      </c>
      <c r="DJ120" s="387">
        <f>+IF($K120="ongoing",CJ120,IF(RIGHT($K120,2)=RIGHT(DJ$43,2),SUM($CD120:CJ120),0)+IF(RIGHT(DJ$43,2)&gt;RIGHT($K120,2),CJ120,0))</f>
        <v>1.0236442616929586E-2</v>
      </c>
      <c r="DK120" s="387">
        <f>+IF($K120="ongoing",CK120,IF(RIGHT($K120,2)=RIGHT(DK$43,2),SUM($CD120:CK120),0)+IF(RIGHT(DK$43,2)&gt;RIGHT($K120,2),CK120,0))</f>
        <v>0</v>
      </c>
      <c r="DL120" s="388">
        <f>+IF($K120="ongoing",CN120,IF(RIGHT($K120,2)=RIGHT(DL$43,2),SUM($CD120:CN120),0)+IF(RIGHT(DL$43,2)&gt;RIGHT($K120,2),CN120,0))</f>
        <v>0</v>
      </c>
      <c r="DM120" s="841"/>
      <c r="DN120" s="386">
        <f t="shared" si="277"/>
        <v>0.5</v>
      </c>
      <c r="DO120" s="387">
        <f t="shared" si="278"/>
        <v>1</v>
      </c>
      <c r="DP120" s="388">
        <f t="shared" si="279"/>
        <v>1</v>
      </c>
      <c r="DQ120" s="386">
        <f t="shared" si="280"/>
        <v>1</v>
      </c>
      <c r="DR120" s="387">
        <f t="shared" si="281"/>
        <v>1</v>
      </c>
      <c r="DS120" s="387">
        <f t="shared" si="282"/>
        <v>1</v>
      </c>
      <c r="DT120" s="387">
        <f t="shared" si="283"/>
        <v>1</v>
      </c>
      <c r="DU120" s="388">
        <f t="shared" si="284"/>
        <v>1</v>
      </c>
      <c r="DW120" s="386">
        <f t="shared" si="285"/>
        <v>0</v>
      </c>
      <c r="DX120" s="387">
        <f t="shared" si="286"/>
        <v>0.5</v>
      </c>
      <c r="DY120" s="388">
        <f t="shared" si="287"/>
        <v>1</v>
      </c>
      <c r="DZ120" s="386">
        <f t="shared" si="288"/>
        <v>1</v>
      </c>
      <c r="EA120" s="387">
        <f t="shared" si="289"/>
        <v>1</v>
      </c>
      <c r="EB120" s="387">
        <f t="shared" si="290"/>
        <v>1</v>
      </c>
      <c r="EC120" s="387">
        <f t="shared" si="291"/>
        <v>1</v>
      </c>
      <c r="ED120" s="388">
        <f t="shared" si="292"/>
        <v>1</v>
      </c>
      <c r="EF120" s="834">
        <f>+IF(DN120=DM120,0,
IF(AND(EF$44&gt;1,DN120=$N120),1-SUM($EE120:EE120),
IF($N120&lt;=1,
IF($N120&gt;0,1/$N120,0),
IF(EF$44=1,0,VDB(1,0,$N120,INT(EF$44-1-1),MIN($N120,INT(EF$44-1-1)+1),$DC120,IF($DD120="No",1,0))/
IF(DM120&gt;=INT($N120),$N120-INT($N120),1)))*
IF(EF$44=1,0,
IF(INT(DN120)=INT(DM120),DN120-DM120,INT(DN120)-DM120))+
IF($N120&lt;=1,
IF($N120&gt;0,1/$N120,0),VDB(1,0,$N120,INT(EF$44-1),MIN($N120,INT(EF$44-1)+1),$DC120,IF($DD120="No",1,0))/
IF(DN120&gt;INT($N120),$N120-INT($N120),1))*
IF(EF$44=1,DN120,
IF(INT(DN120)=INT(DM120),0,DN120-INT(DN120)))))</f>
        <v>0</v>
      </c>
      <c r="EG120" s="835">
        <f>+IF(DO120=DN120,0,
IF(AND(EG$44&gt;1,DO120=$N120),1-SUM($EE120:EF120),
IF($N120&lt;=1,
IF($N120&gt;0,1/$N120,0),
IF(EG$44=1,0,VDB(1,0,$N120,INT(EG$44-1-1),MIN($N120,INT(EG$44-1-1)+1),$DC120,IF($DD120="No",1,0))/
IF(DN120&gt;=INT($N120),$N120-INT($N120),1)))*
IF(EG$44=1,0,
IF(INT(DO120)=INT(DN120),DO120-DN120,INT(DO120)-DN120))+
IF($N120&lt;=1,
IF($N120&gt;0,1/$N120,0),VDB(1,0,$N120,INT(EG$44-1),MIN($N120,INT(EG$44-1)+1),$DC120,IF($DD120="No",1,0))/
IF(DO120&gt;INT($N120),$N120-INT($N120),1))*
IF(EG$44=1,DO120,
IF(INT(DO120)=INT(DN120),0,DO120-INT(DO120)))))</f>
        <v>0</v>
      </c>
      <c r="EH120" s="836">
        <f>+IF(DP120=DO120,0,
IF(AND(EH$44&gt;1,DP120=$N120),1-SUM($EE120:EG120),
IF($N120&lt;=1,
IF($N120&gt;0,1/$N120,0),
IF(EH$44=1,0,VDB(1,0,$N120,INT(EH$44-1-1),MIN($N120,INT(EH$44-1-1)+1),$DC120,IF($DD120="No",1,0))/
IF(DO120&gt;=INT($N120),$N120-INT($N120),1)))*
IF(EH$44=1,0,
IF(INT(DP120)=INT(DO120),DP120-DO120,INT(DP120)-DO120))+
IF($N120&lt;=1,
IF($N120&gt;0,1/$N120,0),VDB(1,0,$N120,INT(EH$44-1),MIN($N120,INT(EH$44-1)+1),$DC120,IF($DD120="No",1,0))/
IF(DP120&gt;INT($N120),$N120-INT($N120),1))*
IF(EH$44=1,DP120,
IF(INT(DP120)=INT(DO120),0,DP120-INT(DP120)))))</f>
        <v>0</v>
      </c>
      <c r="EI120" s="834">
        <f>+IF(DQ120=DP120,0,
IF(AND(EI$44&gt;1,DQ120=$N120),1-SUM($EE120:EH120),
IF($N120&lt;=1,
IF($N120&gt;0,1/$N120,0),
IF(EI$44=1,0,VDB(1,0,$N120,INT(EI$44-1-1),MIN($N120,INT(EI$44-1-1)+1),$DC120,IF($DD120="No",1,0))/
IF(DP120&gt;=INT($N120),$N120-INT($N120),1)))*
IF(EI$44=1,0,
IF(INT(DQ120)=INT(DP120),DQ120-DP120,INT(DQ120)-DP120))+
IF($N120&lt;=1,
IF($N120&gt;0,1/$N120,0),VDB(1,0,$N120,INT(EI$44-1),MIN($N120,INT(EI$44-1)+1),$DC120,IF($DD120="No",1,0))/
IF(DQ120&gt;INT($N120),$N120-INT($N120),1))*
IF(EI$44=1,DQ120,
IF(INT(DQ120)=INT(DP120),0,DQ120-INT(DQ120)))))</f>
        <v>0</v>
      </c>
      <c r="EJ120" s="835">
        <f>+IF(DR120=DQ120,0,
IF(AND(EJ$44&gt;1,DR120=$N120),1-SUM($EE120:EI120),
IF($N120&lt;=1,
IF($N120&gt;0,1/$N120,0),
IF(EJ$44=1,0,VDB(1,0,$N120,INT(EJ$44-1-1),MIN($N120,INT(EJ$44-1-1)+1),$DC120,IF($DD120="No",1,0))/
IF(DQ120&gt;=INT($N120),$N120-INT($N120),1)))*
IF(EJ$44=1,0,
IF(INT(DR120)=INT(DQ120),DR120-DQ120,INT(DR120)-DQ120))+
IF($N120&lt;=1,
IF($N120&gt;0,1/$N120,0),VDB(1,0,$N120,INT(EJ$44-1),MIN($N120,INT(EJ$44-1)+1),$DC120,IF($DD120="No",1,0))/
IF(DR120&gt;INT($N120),$N120-INT($N120),1))*
IF(EJ$44=1,DR120,
IF(INT(DR120)=INT(DQ120),0,DR120-INT(DR120)))))</f>
        <v>0</v>
      </c>
      <c r="EK120" s="835">
        <f>+IF(DS120=DR120,0,
IF(AND(EK$44&gt;1,DS120=$N120),1-SUM($EE120:EJ120),
IF($N120&lt;=1,
IF($N120&gt;0,1/$N120,0),
IF(EK$44=1,0,VDB(1,0,$N120,INT(EK$44-1-1),MIN($N120,INT(EK$44-1-1)+1),$DC120,IF($DD120="No",1,0))/
IF(DR120&gt;=INT($N120),$N120-INT($N120),1)))*
IF(EK$44=1,0,
IF(INT(DS120)=INT(DR120),DS120-DR120,INT(DS120)-DR120))+
IF($N120&lt;=1,
IF($N120&gt;0,1/$N120,0),VDB(1,0,$N120,INT(EK$44-1),MIN($N120,INT(EK$44-1)+1),$DC120,IF($DD120="No",1,0))/
IF(DS120&gt;INT($N120),$N120-INT($N120),1))*
IF(EK$44=1,DS120,
IF(INT(DS120)=INT(DR120),0,DS120-INT(DS120)))))</f>
        <v>0</v>
      </c>
      <c r="EL120" s="835">
        <f>+IF(DT120=DS120,0,
IF(AND(EL$44&gt;1,DT120=$N120),1-SUM($EE120:EK120),
IF($N120&lt;=1,
IF($N120&gt;0,1/$N120,0),
IF(EL$44=1,0,VDB(1,0,$N120,INT(EL$44-1-1),MIN($N120,INT(EL$44-1-1)+1),$DC120,IF($DD120="No",1,0))/
IF(DS120&gt;=INT($N120),$N120-INT($N120),1)))*
IF(EL$44=1,0,
IF(INT(DT120)=INT(DS120),DT120-DS120,INT(DT120)-DS120))+
IF($N120&lt;=1,
IF($N120&gt;0,1/$N120,0),VDB(1,0,$N120,INT(EL$44-1),MIN($N120,INT(EL$44-1)+1),$DC120,IF($DD120="No",1,0))/
IF(DT120&gt;INT($N120),$N120-INT($N120),1))*
IF(EL$44=1,DT120,
IF(INT(DT120)=INT(DS120),0,DT120-INT(DT120)))))</f>
        <v>0</v>
      </c>
      <c r="EM120" s="836">
        <f>+IF(DU120=DT120,0,
IF(AND(EM$44&gt;1,DU120=$N120),1-SUM($EE120:EL120),
IF($N120&lt;=1,
IF($N120&gt;0,1/$N120,0),
IF(EM$44=1,0,VDB(1,0,$N120,INT(EM$44-1-1),MIN($N120,INT(EM$44-1-1)+1),$DC120,IF($DD120="No",1,0))/
IF(DT120&gt;=INT($N120),$N120-INT($N120),1)))*
IF(EM$44=1,0,
IF(INT(DU120)=INT(DT120),DU120-DT120,INT(DU120)-DT120))+
IF($N120&lt;=1,
IF($N120&gt;0,1/$N120,0),VDB(1,0,$N120,INT(EM$44-1),MIN($N120,INT(EM$44-1)+1),$DC120,IF($DD120="No",1,0))/
IF(DU120&gt;INT($N120),$N120-INT($N120),1))*
IF(EM$44=1,DU120,
IF(INT(DU120)=INT(DT120),0,DU120-INT(DU120)))))</f>
        <v>0</v>
      </c>
      <c r="EN120" s="833"/>
      <c r="EO120" s="834">
        <f>+IF(OR(DW120=DV120,EO$44=1),0,
IF(AND(EO$44&gt;1,DW120=$N120),1-SUM($EN120:EN120),
IF($N120&lt;=1,
IF($N120&gt;0,1/$N120,0),
IF(EO$44=2,0,VDB(1,0,$N120,INT(EO$44-2-1),MIN($N120,INT(EO$44-2-1)+1),$DC120,IF($DD120="No",1,0))/
IF(DV120&gt;=INT($N120),$N120-INT($N120),1)))*
IF(EO$44=2,0,
IF(INT(DW120)=INT(DV120),DW120-DV120,INT(DW120)-DV120))+
IF($N120&lt;=1,
IF($N120&gt;0,1/$N120,0),VDB(1,0,$N120,INT(EO$44-2),MIN($N120,INT(EO$44-2)+1),$DC120,IF($DD120="No",1,0))/
IF(DW120&gt;INT($N120),$N120-INT($N120),1))*
IF(EO$44=2,DW120,
IF(INT(DW120)=INT(DV120),0,DW120-INT(DW120)))))</f>
        <v>0</v>
      </c>
      <c r="EP120" s="835">
        <f>+IF(OR(DX120=DW120,EP$44=1),0,
IF(AND(EP$44&gt;1,DX120=$N120),1-SUM($EN120:EO120),
IF($N120&lt;=1,
IF($N120&gt;0,1/$N120,0),
IF(EP$44=2,0,VDB(1,0,$N120,INT(EP$44-2-1),MIN($N120,INT(EP$44-2-1)+1),$DC120,IF($DD120="No",1,0))/
IF(DW120&gt;=INT($N120),$N120-INT($N120),1)))*
IF(EP$44=2,0,
IF(INT(DX120)=INT(DW120),DX120-DW120,INT(DX120)-DW120))+
IF($N120&lt;=1,
IF($N120&gt;0,1/$N120,0),VDB(1,0,$N120,INT(EP$44-2),MIN($N120,INT(EP$44-2)+1),$DC120,IF($DD120="No",1,0))/
IF(DX120&gt;INT($N120),$N120-INT($N120),1))*
IF(EP$44=2,DX120,
IF(INT(DX120)=INT(DW120),0,DX120-INT(DX120)))))</f>
        <v>0</v>
      </c>
      <c r="EQ120" s="836">
        <f>+IF(OR(DY120=DX120,EQ$44=1),0,
IF(AND(EQ$44&gt;1,DY120=$N120),1-SUM($EN120:EP120),
IF($N120&lt;=1,
IF($N120&gt;0,1/$N120,0),
IF(EQ$44=2,0,VDB(1,0,$N120,INT(EQ$44-2-1),MIN($N120,INT(EQ$44-2-1)+1),$DC120,IF($DD120="No",1,0))/
IF(DX120&gt;=INT($N120),$N120-INT($N120),1)))*
IF(EQ$44=2,0,
IF(INT(DY120)=INT(DX120),DY120-DX120,INT(DY120)-DX120))+
IF($N120&lt;=1,
IF($N120&gt;0,1/$N120,0),VDB(1,0,$N120,INT(EQ$44-2),MIN($N120,INT(EQ$44-2)+1),$DC120,IF($DD120="No",1,0))/
IF(DY120&gt;INT($N120),$N120-INT($N120),1))*
IF(EQ$44=2,DY120,
IF(INT(DY120)=INT(DX120),0,DY120-INT(DY120)))))</f>
        <v>0</v>
      </c>
      <c r="ER120" s="834">
        <f>+IF(OR(DZ120=DY120,ER$44=1),0,
IF(AND(ER$44&gt;1,DZ120=$N120),1-SUM($EN120:EQ120),
IF($N120&lt;=1,
IF($N120&gt;0,1/$N120,0),
IF(ER$44=2,0,VDB(1,0,$N120,INT(ER$44-2-1),MIN($N120,INT(ER$44-2-1)+1),$DC120,IF($DD120="No",1,0))/
IF(DY120&gt;=INT($N120),$N120-INT($N120),1)))*
IF(ER$44=2,0,
IF(INT(DZ120)=INT(DY120),DZ120-DY120,INT(DZ120)-DY120))+
IF($N120&lt;=1,
IF($N120&gt;0,1/$N120,0),VDB(1,0,$N120,INT(ER$44-2),MIN($N120,INT(ER$44-2)+1),$DC120,IF($DD120="No",1,0))/
IF(DZ120&gt;INT($N120),$N120-INT($N120),1))*
IF(ER$44=2,DZ120,
IF(INT(DZ120)=INT(DY120),0,DZ120-INT(DZ120)))))</f>
        <v>0</v>
      </c>
      <c r="ES120" s="835">
        <f>+IF(OR(EA120=DZ120,ES$44=1),0,
IF(AND(ES$44&gt;1,EA120=$N120),1-SUM($EN120:ER120),
IF($N120&lt;=1,
IF($N120&gt;0,1/$N120,0),
IF(ES$44=2,0,VDB(1,0,$N120,INT(ES$44-2-1),MIN($N120,INT(ES$44-2-1)+1),$DC120,IF($DD120="No",1,0))/
IF(DZ120&gt;=INT($N120),$N120-INT($N120),1)))*
IF(ES$44=2,0,
IF(INT(EA120)=INT(DZ120),EA120-DZ120,INT(EA120)-DZ120))+
IF($N120&lt;=1,
IF($N120&gt;0,1/$N120,0),VDB(1,0,$N120,INT(ES$44-2),MIN($N120,INT(ES$44-2)+1),$DC120,IF($DD120="No",1,0))/
IF(EA120&gt;INT($N120),$N120-INT($N120),1))*
IF(ES$44=2,EA120,
IF(INT(EA120)=INT(DZ120),0,EA120-INT(EA120)))))</f>
        <v>0</v>
      </c>
      <c r="ET120" s="835">
        <f>+IF(OR(EB120=EA120,ET$44=1),0,
IF(AND(ET$44&gt;1,EB120=$N120),1-SUM($EN120:ES120),
IF($N120&lt;=1,
IF($N120&gt;0,1/$N120,0),
IF(ET$44=2,0,VDB(1,0,$N120,INT(ET$44-2-1),MIN($N120,INT(ET$44-2-1)+1),$DC120,IF($DD120="No",1,0))/
IF(EA120&gt;=INT($N120),$N120-INT($N120),1)))*
IF(ET$44=2,0,
IF(INT(EB120)=INT(EA120),EB120-EA120,INT(EB120)-EA120))+
IF($N120&lt;=1,
IF($N120&gt;0,1/$N120,0),VDB(1,0,$N120,INT(ET$44-2),MIN($N120,INT(ET$44-2)+1),$DC120,IF($DD120="No",1,0))/
IF(EB120&gt;INT($N120),$N120-INT($N120),1))*
IF(ET$44=2,EB120,
IF(INT(EB120)=INT(EA120),0,EB120-INT(EB120)))))</f>
        <v>0</v>
      </c>
      <c r="EU120" s="835">
        <f>+IF(OR(EC120=EB120,EU$44=1),0,
IF(AND(EU$44&gt;1,EC120=$N120),1-SUM($EN120:ET120),
IF($N120&lt;=1,
IF($N120&gt;0,1/$N120,0),
IF(EU$44=2,0,VDB(1,0,$N120,INT(EU$44-2-1),MIN($N120,INT(EU$44-2-1)+1),$DC120,IF($DD120="No",1,0))/
IF(EB120&gt;=INT($N120),$N120-INT($N120),1)))*
IF(EU$44=2,0,
IF(INT(EC120)=INT(EB120),EC120-EB120,INT(EC120)-EB120))+
IF($N120&lt;=1,
IF($N120&gt;0,1/$N120,0),VDB(1,0,$N120,INT(EU$44-2),MIN($N120,INT(EU$44-2)+1),$DC120,IF($DD120="No",1,0))/
IF(EC120&gt;INT($N120),$N120-INT($N120),1))*
IF(EU$44=2,EC120,
IF(INT(EC120)=INT(EB120),0,EC120-INT(EC120)))))</f>
        <v>0</v>
      </c>
      <c r="EV120" s="836">
        <f>+IF(OR(ED120=EC120,EV$44=1),0,
IF(AND(EV$44&gt;1,ED120=$N120),1-SUM($EN120:EU120),
IF($N120&lt;=1,
IF($N120&gt;0,1/$N120,0),
IF(EV$44=2,0,VDB(1,0,$N120,INT(EV$44-2-1),MIN($N120,INT(EV$44-2-1)+1),$DC120,IF($DD120="No",1,0))/
IF(EC120&gt;=INT($N120),$N120-INT($N120),1)))*
IF(EV$44=2,0,
IF(INT(ED120)=INT(EC120),ED120-EC120,INT(ED120)-EC120))+
IF($N120&lt;=1,
IF($N120&gt;0,1/$N120,0),VDB(1,0,$N120,INT(EV$44-2),MIN($N120,INT(EV$44-2)+1),$DC120,IF($DD120="No",1,0))/
IF(ED120&gt;INT($N120),$N120-INT($N120),1))*
IF(EV$44=2,ED120,
IF(INT(ED120)=INT(EC120),0,ED120-INT(ED120)))))</f>
        <v>0</v>
      </c>
      <c r="EW120" s="833"/>
      <c r="EX120" s="834">
        <f t="shared" ca="1" si="301"/>
        <v>0</v>
      </c>
      <c r="EY120" s="835">
        <f t="shared" ca="1" si="301"/>
        <v>0</v>
      </c>
      <c r="EZ120" s="836">
        <f t="shared" ca="1" si="301"/>
        <v>0</v>
      </c>
      <c r="FA120" s="834">
        <f t="shared" ca="1" si="301"/>
        <v>0</v>
      </c>
      <c r="FB120" s="835">
        <f t="shared" ca="1" si="301"/>
        <v>0</v>
      </c>
      <c r="FC120" s="835">
        <f t="shared" ca="1" si="301"/>
        <v>0</v>
      </c>
      <c r="FD120" s="835">
        <f t="shared" ca="1" si="301"/>
        <v>0</v>
      </c>
      <c r="FE120" s="836">
        <f t="shared" ca="1" si="301"/>
        <v>0</v>
      </c>
      <c r="FG120" s="386">
        <f t="shared" ca="1" si="293"/>
        <v>0</v>
      </c>
      <c r="FH120" s="387">
        <f t="shared" ca="1" si="294"/>
        <v>0</v>
      </c>
      <c r="FI120" s="388">
        <f t="shared" ca="1" si="295"/>
        <v>0</v>
      </c>
      <c r="FJ120" s="386">
        <f t="shared" ca="1" si="296"/>
        <v>0</v>
      </c>
      <c r="FK120" s="387">
        <f t="shared" ca="1" si="297"/>
        <v>0</v>
      </c>
      <c r="FL120" s="387">
        <f t="shared" ca="1" si="298"/>
        <v>0</v>
      </c>
      <c r="FM120" s="387">
        <f t="shared" ca="1" si="299"/>
        <v>0</v>
      </c>
      <c r="FN120" s="388">
        <f t="shared" ca="1" si="300"/>
        <v>0</v>
      </c>
      <c r="FR120" s="116"/>
    </row>
    <row r="121" spans="2:174">
      <c r="B121" s="1410">
        <f t="shared" si="135"/>
        <v>75</v>
      </c>
      <c r="C121" s="400" t="s">
        <v>610</v>
      </c>
      <c r="D121" s="410"/>
      <c r="E121" s="402" t="s">
        <v>401</v>
      </c>
      <c r="F121" s="402" t="s">
        <v>527</v>
      </c>
      <c r="G121" s="400" t="s">
        <v>525</v>
      </c>
      <c r="H121" s="2088" t="s">
        <v>483</v>
      </c>
      <c r="I121" s="2089"/>
      <c r="J121" s="411" t="s">
        <v>516</v>
      </c>
      <c r="K121" s="403" t="s">
        <v>544</v>
      </c>
      <c r="L121" s="403">
        <v>40</v>
      </c>
      <c r="M121" s="403" t="s">
        <v>142</v>
      </c>
      <c r="N121" s="403"/>
      <c r="O121" s="347"/>
      <c r="P121" s="347"/>
      <c r="Q121" s="1021">
        <v>7.026884780487805</v>
      </c>
      <c r="R121" s="1022">
        <v>5.8854196311719225</v>
      </c>
      <c r="S121" s="1022">
        <v>13.062531768256413</v>
      </c>
      <c r="T121" s="1022">
        <v>20.425685540992326</v>
      </c>
      <c r="U121" s="1023">
        <v>9.7640037204396197</v>
      </c>
      <c r="V121" s="1021">
        <v>27.540943188324452</v>
      </c>
      <c r="W121" s="1022">
        <v>27.108736221860479</v>
      </c>
      <c r="X121" s="1022">
        <v>8.6629421291965691</v>
      </c>
      <c r="Y121" s="1022">
        <v>17.073540293748337</v>
      </c>
      <c r="Z121" s="1023">
        <v>16.531825067059803</v>
      </c>
      <c r="AA121" s="1024"/>
      <c r="AB121" s="1021">
        <v>0</v>
      </c>
      <c r="AC121" s="1022">
        <v>0</v>
      </c>
      <c r="AD121" s="1022">
        <v>0</v>
      </c>
      <c r="AE121" s="1022">
        <v>0</v>
      </c>
      <c r="AF121" s="1023">
        <v>0</v>
      </c>
      <c r="AG121" s="1021">
        <v>0</v>
      </c>
      <c r="AH121" s="1022">
        <v>0</v>
      </c>
      <c r="AI121" s="1022">
        <v>0</v>
      </c>
      <c r="AJ121" s="1022">
        <v>0</v>
      </c>
      <c r="AK121" s="1023">
        <v>0</v>
      </c>
      <c r="AL121" s="1024"/>
      <c r="AM121" s="1021">
        <v>0</v>
      </c>
      <c r="AN121" s="1022">
        <v>0</v>
      </c>
      <c r="AO121" s="1022">
        <v>0</v>
      </c>
      <c r="AP121" s="1022">
        <v>0</v>
      </c>
      <c r="AQ121" s="1023">
        <v>0</v>
      </c>
      <c r="AR121" s="1021">
        <v>0</v>
      </c>
      <c r="AS121" s="1022">
        <v>0</v>
      </c>
      <c r="AT121" s="1022">
        <v>0</v>
      </c>
      <c r="AU121" s="1022">
        <v>0</v>
      </c>
      <c r="AV121" s="1023">
        <v>0</v>
      </c>
      <c r="AW121" s="1025"/>
      <c r="AX121" s="1282">
        <f t="shared" si="247"/>
        <v>7.026884780487805</v>
      </c>
      <c r="AY121" s="387">
        <f t="shared" si="248"/>
        <v>5.8854196311719225</v>
      </c>
      <c r="AZ121" s="387">
        <f t="shared" si="249"/>
        <v>13.062531768256413</v>
      </c>
      <c r="BA121" s="387">
        <f t="shared" si="250"/>
        <v>20.425685540992326</v>
      </c>
      <c r="BB121" s="1283">
        <f t="shared" si="251"/>
        <v>9.7640037204396197</v>
      </c>
      <c r="BC121" s="386">
        <f t="shared" si="252"/>
        <v>27.540943188324452</v>
      </c>
      <c r="BD121" s="387">
        <f t="shared" si="253"/>
        <v>27.108736221860479</v>
      </c>
      <c r="BE121" s="1277">
        <f t="shared" si="254"/>
        <v>8.6629421291965691</v>
      </c>
      <c r="BF121" s="1277">
        <f t="shared" si="255"/>
        <v>17.073540293748337</v>
      </c>
      <c r="BG121" s="388">
        <f t="shared" si="256"/>
        <v>16.531825067059803</v>
      </c>
      <c r="BH121" s="1025"/>
      <c r="BI121" s="1282">
        <f t="shared" ca="1" si="257"/>
        <v>8.7836059756097568E-2</v>
      </c>
      <c r="BJ121" s="387">
        <f t="shared" ca="1" si="258"/>
        <v>0.24923986490184416</v>
      </c>
      <c r="BK121" s="387">
        <f t="shared" ca="1" si="259"/>
        <v>0.48608925739469833</v>
      </c>
      <c r="BL121" s="387">
        <f t="shared" ca="1" si="260"/>
        <v>0.90469197376030752</v>
      </c>
      <c r="BM121" s="1283">
        <f t="shared" ca="1" si="261"/>
        <v>1.2820630895282068</v>
      </c>
      <c r="BN121" s="386">
        <f t="shared" ca="1" si="262"/>
        <v>1.7483749258877577</v>
      </c>
      <c r="BO121" s="387">
        <f t="shared" ca="1" si="263"/>
        <v>2.4314959185150693</v>
      </c>
      <c r="BP121" s="1277">
        <f t="shared" ca="1" si="264"/>
        <v>2.8786418979032824</v>
      </c>
      <c r="BQ121" s="1277">
        <f t="shared" ca="1" si="265"/>
        <v>3.2003479281900939</v>
      </c>
      <c r="BR121" s="388">
        <f t="shared" ca="1" si="266"/>
        <v>3.6204149952001958</v>
      </c>
      <c r="BS121" s="1025"/>
      <c r="BT121" s="1282">
        <f>+IF($K121="Ongoing",AX121,IF(RIGHT($K121,2)=RIGHT(BT$43,2),SUM($AX121:AX121),0)+IF(RIGHT(BT$43,2)&gt;RIGHT($K121,2),AX121,0))</f>
        <v>7.026884780487805</v>
      </c>
      <c r="BU121" s="387">
        <f>+IF($K121="Ongoing",AY121,IF(RIGHT($K121,2)=RIGHT(BU$43,2),SUM($AX121:AY121),0)+IF(RIGHT(BU$43,2)&gt;RIGHT($K121,2),AY121,0))</f>
        <v>5.8854196311719225</v>
      </c>
      <c r="BV121" s="387">
        <f>+IF($K121="Ongoing",AZ121,IF(RIGHT($K121,2)=RIGHT(BV$43,2),SUM($AX121:AZ121),0)+IF(RIGHT(BV$43,2)&gt;RIGHT($K121,2),AZ121,0))</f>
        <v>13.062531768256413</v>
      </c>
      <c r="BW121" s="387">
        <f>+IF($K121="Ongoing",BA121,IF(RIGHT($K121,2)=RIGHT(BW$43,2),SUM($AX121:BA121),0)+IF(RIGHT(BW$43,2)&gt;RIGHT($K121,2),BA121,0))</f>
        <v>20.425685540992326</v>
      </c>
      <c r="BX121" s="1283">
        <f>+IF($K121="Ongoing",BB121,IF(RIGHT($K121,2)=RIGHT(BX$43,2),SUM($AX121:BB121),0)+IF(RIGHT(BX$43,2)&gt;RIGHT($K121,2),BB121,0))</f>
        <v>9.7640037204396197</v>
      </c>
      <c r="BY121" s="386">
        <f>+IF($K121="Ongoing",BC121,IF(RIGHT($K121,2)=RIGHT(BY$43,2),SUM($AX121:BC121),0)+IF(RIGHT(BY$43,2)&gt;RIGHT($K121,2),BC121,0))</f>
        <v>27.540943188324452</v>
      </c>
      <c r="BZ121" s="387">
        <f>+IF($K121="Ongoing",BD121,IF(RIGHT($K121,2)=RIGHT(BZ$43,2),SUM($AX121:BD121),0)+IF(RIGHT(BZ$43,2)&gt;RIGHT($K121,2),BD121,0))</f>
        <v>27.108736221860479</v>
      </c>
      <c r="CA121" s="1277">
        <f>+IF($K121="Ongoing",BE121,IF(RIGHT($K121,2)=RIGHT(CA$43,2),SUM($AX121:BE121),0)+IF(RIGHT(CA$43,2)&gt;RIGHT($K121,2),BE121,0))</f>
        <v>8.6629421291965691</v>
      </c>
      <c r="CB121" s="1277">
        <f>+IF($K121="Ongoing",BF121,IF(RIGHT($K121,2)=RIGHT(CB$43,2),SUM($AX121:BF121),0)+IF(RIGHT(CB$43,2)&gt;RIGHT($K121,2),BF121,0))</f>
        <v>17.073540293748337</v>
      </c>
      <c r="CC121" s="388">
        <f>+IF($K121="Ongoing",BG121,IF(RIGHT($K121,2)=RIGHT(CC$43,2),SUM($AX121:BG121),0)+IF(RIGHT(CC$43,2)&gt;RIGHT($K121,2),BG121,0))</f>
        <v>16.531825067059803</v>
      </c>
      <c r="CD121" s="1025"/>
      <c r="CE121" s="1282">
        <f>+Q121*KeyAssumptionsPriceControl_FO!AF$15</f>
        <v>7.2306644391219503</v>
      </c>
      <c r="CF121" s="387">
        <f>+R121*KeyAssumptionsPriceControl_FO!AG$15</f>
        <v>6.2317236076897089</v>
      </c>
      <c r="CG121" s="387">
        <f>+S121*KeyAssumptionsPriceControl_FO!AH$15</f>
        <v>14.232247381833325</v>
      </c>
      <c r="CH121" s="387">
        <f>+T121*KeyAssumptionsPriceControl_FO!AI$15</f>
        <v>22.90014016786521</v>
      </c>
      <c r="CI121" s="1283">
        <f>+U121*KeyAssumptionsPriceControl_FO!AJ$15</f>
        <v>11.264315603802149</v>
      </c>
      <c r="CJ121" s="386">
        <f>+V121*KeyAssumptionsPriceControl_FO!AK$15</f>
        <v>32.694225816229931</v>
      </c>
      <c r="CK121" s="387">
        <f>+W121*KeyAssumptionsPriceControl_FO!AL$15</f>
        <v>33.114400351474536</v>
      </c>
      <c r="CL121" s="1277">
        <f>+X121*KeyAssumptionsPriceControl_FO!AM$15</f>
        <v>10.88901036753531</v>
      </c>
      <c r="CM121" s="1277">
        <f>+Y121*KeyAssumptionsPriceControl_FO!AN$15</f>
        <v>22.083197506908125</v>
      </c>
      <c r="CN121" s="388">
        <f>+Z121*KeyAssumptionsPriceControl_FO!AO$15</f>
        <v>22.002627623056583</v>
      </c>
      <c r="CO121" s="1025"/>
      <c r="CP121" s="1282">
        <f t="shared" ca="1" si="267"/>
        <v>0</v>
      </c>
      <c r="CQ121" s="387">
        <f t="shared" ca="1" si="268"/>
        <v>0</v>
      </c>
      <c r="CR121" s="387">
        <f t="shared" ca="1" si="269"/>
        <v>0</v>
      </c>
      <c r="CS121" s="387">
        <f t="shared" ca="1" si="270"/>
        <v>0</v>
      </c>
      <c r="CT121" s="1283">
        <f t="shared" ca="1" si="271"/>
        <v>0</v>
      </c>
      <c r="CU121" s="386">
        <f t="shared" ca="1" si="272"/>
        <v>0</v>
      </c>
      <c r="CV121" s="387">
        <f t="shared" ca="1" si="273"/>
        <v>0</v>
      </c>
      <c r="CW121" s="1277">
        <f t="shared" ca="1" si="274"/>
        <v>0</v>
      </c>
      <c r="CX121" s="1277">
        <f t="shared" ca="1" si="275"/>
        <v>0</v>
      </c>
      <c r="CY121" s="388">
        <f t="shared" ca="1" si="276"/>
        <v>0</v>
      </c>
      <c r="CZ121" s="347"/>
      <c r="DA121" s="852"/>
      <c r="DB121" s="347"/>
      <c r="DC121" s="1012" t="s">
        <v>615</v>
      </c>
      <c r="DD121" s="841" t="s">
        <v>518</v>
      </c>
      <c r="DE121" s="386">
        <f>+IF($K121="ongoing",CE121,IF(RIGHT($K121,2)=RIGHT(DE$43,2),SUM($CD121:CE121),0)+IF(RIGHT(DE$43,2)&gt;RIGHT($K121,2),CE121,0))</f>
        <v>7.2306644391219503</v>
      </c>
      <c r="DF121" s="387">
        <f>+IF($K121="ongoing",CF121,IF(RIGHT($K121,2)=RIGHT(DF$43,2),SUM($CD121:CF121),0)+IF(RIGHT(DF$43,2)&gt;RIGHT($K121,2),CF121,0))</f>
        <v>6.2317236076897089</v>
      </c>
      <c r="DG121" s="388">
        <f>+IF($K121="ongoing",CG121,IF(RIGHT($K121,2)=RIGHT(DG$43,2),SUM($CD121:CG121),0)+IF(RIGHT(DG$43,2)&gt;RIGHT($K121,2),CG121,0))</f>
        <v>14.232247381833325</v>
      </c>
      <c r="DH121" s="386">
        <f>+IF($K121="ongoing",CH121,IF(RIGHT($K121,2)=RIGHT(DH$43,2),SUM($CD121:CH121),0)+IF(RIGHT(DH$43,2)&gt;RIGHT($K121,2),CH121,0))</f>
        <v>22.90014016786521</v>
      </c>
      <c r="DI121" s="387">
        <f>+IF($K121="ongoing",CI121,IF(RIGHT($K121,2)=RIGHT(DI$43,2),SUM($CD121:CI121),0)+IF(RIGHT(DI$43,2)&gt;RIGHT($K121,2),CI121,0))</f>
        <v>11.264315603802149</v>
      </c>
      <c r="DJ121" s="387">
        <f>+IF($K121="ongoing",CJ121,IF(RIGHT($K121,2)=RIGHT(DJ$43,2),SUM($CD121:CJ121),0)+IF(RIGHT(DJ$43,2)&gt;RIGHT($K121,2),CJ121,0))</f>
        <v>32.694225816229931</v>
      </c>
      <c r="DK121" s="387">
        <f>+IF($K121="ongoing",CK121,IF(RIGHT($K121,2)=RIGHT(DK$43,2),SUM($CD121:CK121),0)+IF(RIGHT(DK$43,2)&gt;RIGHT($K121,2),CK121,0))</f>
        <v>33.114400351474536</v>
      </c>
      <c r="DL121" s="388">
        <f>+IF($K121="ongoing",CN121,IF(RIGHT($K121,2)=RIGHT(DL$43,2),SUM($CD121:CN121),0)+IF(RIGHT(DL$43,2)&gt;RIGHT($K121,2),CN121,0))</f>
        <v>22.002627623056583</v>
      </c>
      <c r="DM121" s="841"/>
      <c r="DN121" s="386">
        <f t="shared" si="277"/>
        <v>0.5</v>
      </c>
      <c r="DO121" s="387">
        <f t="shared" si="278"/>
        <v>1</v>
      </c>
      <c r="DP121" s="388">
        <f t="shared" si="279"/>
        <v>1</v>
      </c>
      <c r="DQ121" s="386">
        <f t="shared" si="280"/>
        <v>1</v>
      </c>
      <c r="DR121" s="387">
        <f t="shared" si="281"/>
        <v>1</v>
      </c>
      <c r="DS121" s="387">
        <f t="shared" si="282"/>
        <v>1</v>
      </c>
      <c r="DT121" s="387">
        <f t="shared" si="283"/>
        <v>1</v>
      </c>
      <c r="DU121" s="388">
        <f t="shared" si="284"/>
        <v>1</v>
      </c>
      <c r="DW121" s="386">
        <f t="shared" si="285"/>
        <v>0</v>
      </c>
      <c r="DX121" s="387">
        <f t="shared" si="286"/>
        <v>0.5</v>
      </c>
      <c r="DY121" s="388">
        <f t="shared" si="287"/>
        <v>1</v>
      </c>
      <c r="DZ121" s="386">
        <f t="shared" si="288"/>
        <v>1</v>
      </c>
      <c r="EA121" s="387">
        <f t="shared" si="289"/>
        <v>1</v>
      </c>
      <c r="EB121" s="387">
        <f t="shared" si="290"/>
        <v>1</v>
      </c>
      <c r="EC121" s="387">
        <f t="shared" si="291"/>
        <v>1</v>
      </c>
      <c r="ED121" s="388">
        <f t="shared" si="292"/>
        <v>1</v>
      </c>
      <c r="EF121" s="834">
        <f>+IF(DN121=DM121,0,
IF(AND(EF$44&gt;1,DN121=$N121),1-SUM($EE121:EE121),
IF($N121&lt;=1,
IF($N121&gt;0,1/$N121,0),
IF(EF$44=1,0,VDB(1,0,$N121,INT(EF$44-1-1),MIN($N121,INT(EF$44-1-1)+1),$DC121,IF($DD121="No",1,0))/
IF(DM121&gt;=INT($N121),$N121-INT($N121),1)))*
IF(EF$44=1,0,
IF(INT(DN121)=INT(DM121),DN121-DM121,INT(DN121)-DM121))+
IF($N121&lt;=1,
IF($N121&gt;0,1/$N121,0),VDB(1,0,$N121,INT(EF$44-1),MIN($N121,INT(EF$44-1)+1),$DC121,IF($DD121="No",1,0))/
IF(DN121&gt;INT($N121),$N121-INT($N121),1))*
IF(EF$44=1,DN121,
IF(INT(DN121)=INT(DM121),0,DN121-INT(DN121)))))</f>
        <v>0</v>
      </c>
      <c r="EG121" s="835">
        <f>+IF(DO121=DN121,0,
IF(AND(EG$44&gt;1,DO121=$N121),1-SUM($EE121:EF121),
IF($N121&lt;=1,
IF($N121&gt;0,1/$N121,0),
IF(EG$44=1,0,VDB(1,0,$N121,INT(EG$44-1-1),MIN($N121,INT(EG$44-1-1)+1),$DC121,IF($DD121="No",1,0))/
IF(DN121&gt;=INT($N121),$N121-INT($N121),1)))*
IF(EG$44=1,0,
IF(INT(DO121)=INT(DN121),DO121-DN121,INT(DO121)-DN121))+
IF($N121&lt;=1,
IF($N121&gt;0,1/$N121,0),VDB(1,0,$N121,INT(EG$44-1),MIN($N121,INT(EG$44-1)+1),$DC121,IF($DD121="No",1,0))/
IF(DO121&gt;INT($N121),$N121-INT($N121),1))*
IF(EG$44=1,DO121,
IF(INT(DO121)=INT(DN121),0,DO121-INT(DO121)))))</f>
        <v>0</v>
      </c>
      <c r="EH121" s="836">
        <f>+IF(DP121=DO121,0,
IF(AND(EH$44&gt;1,DP121=$N121),1-SUM($EE121:EG121),
IF($N121&lt;=1,
IF($N121&gt;0,1/$N121,0),
IF(EH$44=1,0,VDB(1,0,$N121,INT(EH$44-1-1),MIN($N121,INT(EH$44-1-1)+1),$DC121,IF($DD121="No",1,0))/
IF(DO121&gt;=INT($N121),$N121-INT($N121),1)))*
IF(EH$44=1,0,
IF(INT(DP121)=INT(DO121),DP121-DO121,INT(DP121)-DO121))+
IF($N121&lt;=1,
IF($N121&gt;0,1/$N121,0),VDB(1,0,$N121,INT(EH$44-1),MIN($N121,INT(EH$44-1)+1),$DC121,IF($DD121="No",1,0))/
IF(DP121&gt;INT($N121),$N121-INT($N121),1))*
IF(EH$44=1,DP121,
IF(INT(DP121)=INT(DO121),0,DP121-INT(DP121)))))</f>
        <v>0</v>
      </c>
      <c r="EI121" s="834">
        <f>+IF(DQ121=DP121,0,
IF(AND(EI$44&gt;1,DQ121=$N121),1-SUM($EE121:EH121),
IF($N121&lt;=1,
IF($N121&gt;0,1/$N121,0),
IF(EI$44=1,0,VDB(1,0,$N121,INT(EI$44-1-1),MIN($N121,INT(EI$44-1-1)+1),$DC121,IF($DD121="No",1,0))/
IF(DP121&gt;=INT($N121),$N121-INT($N121),1)))*
IF(EI$44=1,0,
IF(INT(DQ121)=INT(DP121),DQ121-DP121,INT(DQ121)-DP121))+
IF($N121&lt;=1,
IF($N121&gt;0,1/$N121,0),VDB(1,0,$N121,INT(EI$44-1),MIN($N121,INT(EI$44-1)+1),$DC121,IF($DD121="No",1,0))/
IF(DQ121&gt;INT($N121),$N121-INT($N121),1))*
IF(EI$44=1,DQ121,
IF(INT(DQ121)=INT(DP121),0,DQ121-INT(DQ121)))))</f>
        <v>0</v>
      </c>
      <c r="EJ121" s="835">
        <f>+IF(DR121=DQ121,0,
IF(AND(EJ$44&gt;1,DR121=$N121),1-SUM($EE121:EI121),
IF($N121&lt;=1,
IF($N121&gt;0,1/$N121,0),
IF(EJ$44=1,0,VDB(1,0,$N121,INT(EJ$44-1-1),MIN($N121,INT(EJ$44-1-1)+1),$DC121,IF($DD121="No",1,0))/
IF(DQ121&gt;=INT($N121),$N121-INT($N121),1)))*
IF(EJ$44=1,0,
IF(INT(DR121)=INT(DQ121),DR121-DQ121,INT(DR121)-DQ121))+
IF($N121&lt;=1,
IF($N121&gt;0,1/$N121,0),VDB(1,0,$N121,INT(EJ$44-1),MIN($N121,INT(EJ$44-1)+1),$DC121,IF($DD121="No",1,0))/
IF(DR121&gt;INT($N121),$N121-INT($N121),1))*
IF(EJ$44=1,DR121,
IF(INT(DR121)=INT(DQ121),0,DR121-INT(DR121)))))</f>
        <v>0</v>
      </c>
      <c r="EK121" s="835">
        <f>+IF(DS121=DR121,0,
IF(AND(EK$44&gt;1,DS121=$N121),1-SUM($EE121:EJ121),
IF($N121&lt;=1,
IF($N121&gt;0,1/$N121,0),
IF(EK$44=1,0,VDB(1,0,$N121,INT(EK$44-1-1),MIN($N121,INT(EK$44-1-1)+1),$DC121,IF($DD121="No",1,0))/
IF(DR121&gt;=INT($N121),$N121-INT($N121),1)))*
IF(EK$44=1,0,
IF(INT(DS121)=INT(DR121),DS121-DR121,INT(DS121)-DR121))+
IF($N121&lt;=1,
IF($N121&gt;0,1/$N121,0),VDB(1,0,$N121,INT(EK$44-1),MIN($N121,INT(EK$44-1)+1),$DC121,IF($DD121="No",1,0))/
IF(DS121&gt;INT($N121),$N121-INT($N121),1))*
IF(EK$44=1,DS121,
IF(INT(DS121)=INT(DR121),0,DS121-INT(DS121)))))</f>
        <v>0</v>
      </c>
      <c r="EL121" s="835">
        <f>+IF(DT121=DS121,0,
IF(AND(EL$44&gt;1,DT121=$N121),1-SUM($EE121:EK121),
IF($N121&lt;=1,
IF($N121&gt;0,1/$N121,0),
IF(EL$44=1,0,VDB(1,0,$N121,INT(EL$44-1-1),MIN($N121,INT(EL$44-1-1)+1),$DC121,IF($DD121="No",1,0))/
IF(DS121&gt;=INT($N121),$N121-INT($N121),1)))*
IF(EL$44=1,0,
IF(INT(DT121)=INT(DS121),DT121-DS121,INT(DT121)-DS121))+
IF($N121&lt;=1,
IF($N121&gt;0,1/$N121,0),VDB(1,0,$N121,INT(EL$44-1),MIN($N121,INT(EL$44-1)+1),$DC121,IF($DD121="No",1,0))/
IF(DT121&gt;INT($N121),$N121-INT($N121),1))*
IF(EL$44=1,DT121,
IF(INT(DT121)=INT(DS121),0,DT121-INT(DT121)))))</f>
        <v>0</v>
      </c>
      <c r="EM121" s="836">
        <f>+IF(DU121=DT121,0,
IF(AND(EM$44&gt;1,DU121=$N121),1-SUM($EE121:EL121),
IF($N121&lt;=1,
IF($N121&gt;0,1/$N121,0),
IF(EM$44=1,0,VDB(1,0,$N121,INT(EM$44-1-1),MIN($N121,INT(EM$44-1-1)+1),$DC121,IF($DD121="No",1,0))/
IF(DT121&gt;=INT($N121),$N121-INT($N121),1)))*
IF(EM$44=1,0,
IF(INT(DU121)=INT(DT121),DU121-DT121,INT(DU121)-DT121))+
IF($N121&lt;=1,
IF($N121&gt;0,1/$N121,0),VDB(1,0,$N121,INT(EM$44-1),MIN($N121,INT(EM$44-1)+1),$DC121,IF($DD121="No",1,0))/
IF(DU121&gt;INT($N121),$N121-INT($N121),1))*
IF(EM$44=1,DU121,
IF(INT(DU121)=INT(DT121),0,DU121-INT(DU121)))))</f>
        <v>0</v>
      </c>
      <c r="EN121" s="833"/>
      <c r="EO121" s="834">
        <f>+IF(OR(DW121=DV121,EO$44=1),0,
IF(AND(EO$44&gt;1,DW121=$N121),1-SUM($EN121:EN121),
IF($N121&lt;=1,
IF($N121&gt;0,1/$N121,0),
IF(EO$44=2,0,VDB(1,0,$N121,INT(EO$44-2-1),MIN($N121,INT(EO$44-2-1)+1),$DC121,IF($DD121="No",1,0))/
IF(DV121&gt;=INT($N121),$N121-INT($N121),1)))*
IF(EO$44=2,0,
IF(INT(DW121)=INT(DV121),DW121-DV121,INT(DW121)-DV121))+
IF($N121&lt;=1,
IF($N121&gt;0,1/$N121,0),VDB(1,0,$N121,INT(EO$44-2),MIN($N121,INT(EO$44-2)+1),$DC121,IF($DD121="No",1,0))/
IF(DW121&gt;INT($N121),$N121-INT($N121),1))*
IF(EO$44=2,DW121,
IF(INT(DW121)=INT(DV121),0,DW121-INT(DW121)))))</f>
        <v>0</v>
      </c>
      <c r="EP121" s="835">
        <f>+IF(OR(DX121=DW121,EP$44=1),0,
IF(AND(EP$44&gt;1,DX121=$N121),1-SUM($EN121:EO121),
IF($N121&lt;=1,
IF($N121&gt;0,1/$N121,0),
IF(EP$44=2,0,VDB(1,0,$N121,INT(EP$44-2-1),MIN($N121,INT(EP$44-2-1)+1),$DC121,IF($DD121="No",1,0))/
IF(DW121&gt;=INT($N121),$N121-INT($N121),1)))*
IF(EP$44=2,0,
IF(INT(DX121)=INT(DW121),DX121-DW121,INT(DX121)-DW121))+
IF($N121&lt;=1,
IF($N121&gt;0,1/$N121,0),VDB(1,0,$N121,INT(EP$44-2),MIN($N121,INT(EP$44-2)+1),$DC121,IF($DD121="No",1,0))/
IF(DX121&gt;INT($N121),$N121-INT($N121),1))*
IF(EP$44=2,DX121,
IF(INT(DX121)=INT(DW121),0,DX121-INT(DX121)))))</f>
        <v>0</v>
      </c>
      <c r="EQ121" s="836">
        <f>+IF(OR(DY121=DX121,EQ$44=1),0,
IF(AND(EQ$44&gt;1,DY121=$N121),1-SUM($EN121:EP121),
IF($N121&lt;=1,
IF($N121&gt;0,1/$N121,0),
IF(EQ$44=2,0,VDB(1,0,$N121,INT(EQ$44-2-1),MIN($N121,INT(EQ$44-2-1)+1),$DC121,IF($DD121="No",1,0))/
IF(DX121&gt;=INT($N121),$N121-INT($N121),1)))*
IF(EQ$44=2,0,
IF(INT(DY121)=INT(DX121),DY121-DX121,INT(DY121)-DX121))+
IF($N121&lt;=1,
IF($N121&gt;0,1/$N121,0),VDB(1,0,$N121,INT(EQ$44-2),MIN($N121,INT(EQ$44-2)+1),$DC121,IF($DD121="No",1,0))/
IF(DY121&gt;INT($N121),$N121-INT($N121),1))*
IF(EQ$44=2,DY121,
IF(INT(DY121)=INT(DX121),0,DY121-INT(DY121)))))</f>
        <v>0</v>
      </c>
      <c r="ER121" s="834">
        <f>+IF(OR(DZ121=DY121,ER$44=1),0,
IF(AND(ER$44&gt;1,DZ121=$N121),1-SUM($EN121:EQ121),
IF($N121&lt;=1,
IF($N121&gt;0,1/$N121,0),
IF(ER$44=2,0,VDB(1,0,$N121,INT(ER$44-2-1),MIN($N121,INT(ER$44-2-1)+1),$DC121,IF($DD121="No",1,0))/
IF(DY121&gt;=INT($N121),$N121-INT($N121),1)))*
IF(ER$44=2,0,
IF(INT(DZ121)=INT(DY121),DZ121-DY121,INT(DZ121)-DY121))+
IF($N121&lt;=1,
IF($N121&gt;0,1/$N121,0),VDB(1,0,$N121,INT(ER$44-2),MIN($N121,INT(ER$44-2)+1),$DC121,IF($DD121="No",1,0))/
IF(DZ121&gt;INT($N121),$N121-INT($N121),1))*
IF(ER$44=2,DZ121,
IF(INT(DZ121)=INT(DY121),0,DZ121-INT(DZ121)))))</f>
        <v>0</v>
      </c>
      <c r="ES121" s="835">
        <f>+IF(OR(EA121=DZ121,ES$44=1),0,
IF(AND(ES$44&gt;1,EA121=$N121),1-SUM($EN121:ER121),
IF($N121&lt;=1,
IF($N121&gt;0,1/$N121,0),
IF(ES$44=2,0,VDB(1,0,$N121,INT(ES$44-2-1),MIN($N121,INT(ES$44-2-1)+1),$DC121,IF($DD121="No",1,0))/
IF(DZ121&gt;=INT($N121),$N121-INT($N121),1)))*
IF(ES$44=2,0,
IF(INT(EA121)=INT(DZ121),EA121-DZ121,INT(EA121)-DZ121))+
IF($N121&lt;=1,
IF($N121&gt;0,1/$N121,0),VDB(1,0,$N121,INT(ES$44-2),MIN($N121,INT(ES$44-2)+1),$DC121,IF($DD121="No",1,0))/
IF(EA121&gt;INT($N121),$N121-INT($N121),1))*
IF(ES$44=2,EA121,
IF(INT(EA121)=INT(DZ121),0,EA121-INT(EA121)))))</f>
        <v>0</v>
      </c>
      <c r="ET121" s="835">
        <f>+IF(OR(EB121=EA121,ET$44=1),0,
IF(AND(ET$44&gt;1,EB121=$N121),1-SUM($EN121:ES121),
IF($N121&lt;=1,
IF($N121&gt;0,1/$N121,0),
IF(ET$44=2,0,VDB(1,0,$N121,INT(ET$44-2-1),MIN($N121,INT(ET$44-2-1)+1),$DC121,IF($DD121="No",1,0))/
IF(EA121&gt;=INT($N121),$N121-INT($N121),1)))*
IF(ET$44=2,0,
IF(INT(EB121)=INT(EA121),EB121-EA121,INT(EB121)-EA121))+
IF($N121&lt;=1,
IF($N121&gt;0,1/$N121,0),VDB(1,0,$N121,INT(ET$44-2),MIN($N121,INT(ET$44-2)+1),$DC121,IF($DD121="No",1,0))/
IF(EB121&gt;INT($N121),$N121-INT($N121),1))*
IF(ET$44=2,EB121,
IF(INT(EB121)=INT(EA121),0,EB121-INT(EB121)))))</f>
        <v>0</v>
      </c>
      <c r="EU121" s="835">
        <f>+IF(OR(EC121=EB121,EU$44=1),0,
IF(AND(EU$44&gt;1,EC121=$N121),1-SUM($EN121:ET121),
IF($N121&lt;=1,
IF($N121&gt;0,1/$N121,0),
IF(EU$44=2,0,VDB(1,0,$N121,INT(EU$44-2-1),MIN($N121,INT(EU$44-2-1)+1),$DC121,IF($DD121="No",1,0))/
IF(EB121&gt;=INT($N121),$N121-INT($N121),1)))*
IF(EU$44=2,0,
IF(INT(EC121)=INT(EB121),EC121-EB121,INT(EC121)-EB121))+
IF($N121&lt;=1,
IF($N121&gt;0,1/$N121,0),VDB(1,0,$N121,INT(EU$44-2),MIN($N121,INT(EU$44-2)+1),$DC121,IF($DD121="No",1,0))/
IF(EC121&gt;INT($N121),$N121-INT($N121),1))*
IF(EU$44=2,EC121,
IF(INT(EC121)=INT(EB121),0,EC121-INT(EC121)))))</f>
        <v>0</v>
      </c>
      <c r="EV121" s="836">
        <f>+IF(OR(ED121=EC121,EV$44=1),0,
IF(AND(EV$44&gt;1,ED121=$N121),1-SUM($EN121:EU121),
IF($N121&lt;=1,
IF($N121&gt;0,1/$N121,0),
IF(EV$44=2,0,VDB(1,0,$N121,INT(EV$44-2-1),MIN($N121,INT(EV$44-2-1)+1),$DC121,IF($DD121="No",1,0))/
IF(EC121&gt;=INT($N121),$N121-INT($N121),1)))*
IF(EV$44=2,0,
IF(INT(ED121)=INT(EC121),ED121-EC121,INT(ED121)-EC121))+
IF($N121&lt;=1,
IF($N121&gt;0,1/$N121,0),VDB(1,0,$N121,INT(EV$44-2),MIN($N121,INT(EV$44-2)+1),$DC121,IF($DD121="No",1,0))/
IF(ED121&gt;INT($N121),$N121-INT($N121),1))*
IF(EV$44=2,ED121,
IF(INT(ED121)=INT(EC121),0,ED121-INT(ED121)))))</f>
        <v>0</v>
      </c>
      <c r="EW121" s="833"/>
      <c r="EX121" s="834">
        <f t="shared" ca="1" si="301"/>
        <v>0</v>
      </c>
      <c r="EY121" s="835">
        <f t="shared" ca="1" si="301"/>
        <v>0</v>
      </c>
      <c r="EZ121" s="836">
        <f t="shared" ca="1" si="301"/>
        <v>0</v>
      </c>
      <c r="FA121" s="834">
        <f t="shared" ca="1" si="301"/>
        <v>0</v>
      </c>
      <c r="FB121" s="835">
        <f t="shared" ca="1" si="301"/>
        <v>0</v>
      </c>
      <c r="FC121" s="835">
        <f t="shared" ca="1" si="301"/>
        <v>0</v>
      </c>
      <c r="FD121" s="835">
        <f t="shared" ca="1" si="301"/>
        <v>0</v>
      </c>
      <c r="FE121" s="836">
        <f t="shared" ca="1" si="301"/>
        <v>0</v>
      </c>
      <c r="FG121" s="386">
        <f t="shared" ca="1" si="293"/>
        <v>0</v>
      </c>
      <c r="FH121" s="387">
        <f t="shared" ca="1" si="294"/>
        <v>0</v>
      </c>
      <c r="FI121" s="388">
        <f t="shared" ca="1" si="295"/>
        <v>0</v>
      </c>
      <c r="FJ121" s="386">
        <f t="shared" ca="1" si="296"/>
        <v>0</v>
      </c>
      <c r="FK121" s="387">
        <f t="shared" ca="1" si="297"/>
        <v>0</v>
      </c>
      <c r="FL121" s="387">
        <f t="shared" ca="1" si="298"/>
        <v>0</v>
      </c>
      <c r="FM121" s="387">
        <f t="shared" ca="1" si="299"/>
        <v>0</v>
      </c>
      <c r="FN121" s="388">
        <f t="shared" ca="1" si="300"/>
        <v>0</v>
      </c>
      <c r="FR121" s="116"/>
    </row>
    <row r="122" spans="2:174">
      <c r="B122" s="1410">
        <f t="shared" si="135"/>
        <v>76</v>
      </c>
      <c r="C122" s="400" t="s">
        <v>610</v>
      </c>
      <c r="D122" s="410"/>
      <c r="E122" s="402" t="s">
        <v>401</v>
      </c>
      <c r="F122" s="402" t="s">
        <v>527</v>
      </c>
      <c r="G122" s="400" t="s">
        <v>525</v>
      </c>
      <c r="H122" s="2088" t="s">
        <v>483</v>
      </c>
      <c r="I122" s="2089"/>
      <c r="J122" s="411" t="s">
        <v>516</v>
      </c>
      <c r="K122" s="403" t="s">
        <v>544</v>
      </c>
      <c r="L122" s="403">
        <v>110</v>
      </c>
      <c r="M122" s="403" t="s">
        <v>142</v>
      </c>
      <c r="N122" s="403"/>
      <c r="O122" s="347"/>
      <c r="P122" s="347"/>
      <c r="Q122" s="1021">
        <v>0</v>
      </c>
      <c r="R122" s="1022">
        <v>2.4662462819750153E-2</v>
      </c>
      <c r="S122" s="1022">
        <v>0.38481066728573304</v>
      </c>
      <c r="T122" s="1022">
        <v>0.4423494272870212</v>
      </c>
      <c r="U122" s="1023">
        <v>1.5760385859708976</v>
      </c>
      <c r="V122" s="1021">
        <v>7.0294164578103242</v>
      </c>
      <c r="W122" s="1022">
        <v>65.922518847544197</v>
      </c>
      <c r="X122" s="1022">
        <v>76.501856808200273</v>
      </c>
      <c r="Y122" s="1022">
        <v>64.426801767828678</v>
      </c>
      <c r="Z122" s="1023">
        <v>46.106386697335751</v>
      </c>
      <c r="AA122" s="1024"/>
      <c r="AB122" s="1021">
        <v>0</v>
      </c>
      <c r="AC122" s="1022">
        <v>0</v>
      </c>
      <c r="AD122" s="1022">
        <v>0</v>
      </c>
      <c r="AE122" s="1022">
        <v>0</v>
      </c>
      <c r="AF122" s="1023">
        <v>0</v>
      </c>
      <c r="AG122" s="1021">
        <v>0</v>
      </c>
      <c r="AH122" s="1022">
        <v>0</v>
      </c>
      <c r="AI122" s="1022">
        <v>0</v>
      </c>
      <c r="AJ122" s="1022">
        <v>0</v>
      </c>
      <c r="AK122" s="1023">
        <v>0</v>
      </c>
      <c r="AL122" s="1024"/>
      <c r="AM122" s="1021">
        <v>0</v>
      </c>
      <c r="AN122" s="1022">
        <v>0</v>
      </c>
      <c r="AO122" s="1022">
        <v>0</v>
      </c>
      <c r="AP122" s="1022">
        <v>0</v>
      </c>
      <c r="AQ122" s="1023">
        <v>0</v>
      </c>
      <c r="AR122" s="1021">
        <v>0</v>
      </c>
      <c r="AS122" s="1022">
        <v>0</v>
      </c>
      <c r="AT122" s="1022">
        <v>0</v>
      </c>
      <c r="AU122" s="1022">
        <v>0</v>
      </c>
      <c r="AV122" s="1023">
        <v>0</v>
      </c>
      <c r="AW122" s="1025"/>
      <c r="AX122" s="1282">
        <f t="shared" si="247"/>
        <v>0</v>
      </c>
      <c r="AY122" s="387">
        <f t="shared" si="248"/>
        <v>2.4662462819750153E-2</v>
      </c>
      <c r="AZ122" s="387">
        <f t="shared" si="249"/>
        <v>0.38481066728573304</v>
      </c>
      <c r="BA122" s="387">
        <f t="shared" si="250"/>
        <v>0.4423494272870212</v>
      </c>
      <c r="BB122" s="1283">
        <f t="shared" si="251"/>
        <v>1.5760385859708976</v>
      </c>
      <c r="BC122" s="386">
        <f t="shared" si="252"/>
        <v>7.0294164578103242</v>
      </c>
      <c r="BD122" s="387">
        <f t="shared" si="253"/>
        <v>65.922518847544197</v>
      </c>
      <c r="BE122" s="1277">
        <f t="shared" si="254"/>
        <v>76.501856808200273</v>
      </c>
      <c r="BF122" s="1277">
        <f t="shared" si="255"/>
        <v>64.426801767828678</v>
      </c>
      <c r="BG122" s="388">
        <f t="shared" si="256"/>
        <v>46.106386697335751</v>
      </c>
      <c r="BH122" s="1025"/>
      <c r="BI122" s="1282">
        <f t="shared" ca="1" si="257"/>
        <v>0</v>
      </c>
      <c r="BJ122" s="387">
        <f t="shared" ca="1" si="258"/>
        <v>1.1210210372613706E-4</v>
      </c>
      <c r="BK122" s="387">
        <f t="shared" ca="1" si="259"/>
        <v>1.9733436042056064E-3</v>
      </c>
      <c r="BL122" s="387">
        <f t="shared" ca="1" si="260"/>
        <v>5.7331622158999437E-3</v>
      </c>
      <c r="BM122" s="1283">
        <f t="shared" ca="1" si="261"/>
        <v>1.4907653185254121E-2</v>
      </c>
      <c r="BN122" s="386">
        <f t="shared" ca="1" si="262"/>
        <v>5.4023357929714216E-2</v>
      </c>
      <c r="BO122" s="387">
        <f t="shared" ca="1" si="263"/>
        <v>0.38562306386314388</v>
      </c>
      <c r="BP122" s="1277">
        <f t="shared" ca="1" si="264"/>
        <v>1.0330065895710734</v>
      </c>
      <c r="BQ122" s="1277">
        <f t="shared" ca="1" si="265"/>
        <v>1.6735914012802957</v>
      </c>
      <c r="BR122" s="388">
        <f t="shared" ca="1" si="266"/>
        <v>2.1760149852128614</v>
      </c>
      <c r="BS122" s="1025"/>
      <c r="BT122" s="1282">
        <f>+IF($K122="Ongoing",AX122,IF(RIGHT($K122,2)=RIGHT(BT$43,2),SUM($AX122:AX122),0)+IF(RIGHT(BT$43,2)&gt;RIGHT($K122,2),AX122,0))</f>
        <v>0</v>
      </c>
      <c r="BU122" s="387">
        <f>+IF($K122="Ongoing",AY122,IF(RIGHT($K122,2)=RIGHT(BU$43,2),SUM($AX122:AY122),0)+IF(RIGHT(BU$43,2)&gt;RIGHT($K122,2),AY122,0))</f>
        <v>2.4662462819750153E-2</v>
      </c>
      <c r="BV122" s="387">
        <f>+IF($K122="Ongoing",AZ122,IF(RIGHT($K122,2)=RIGHT(BV$43,2),SUM($AX122:AZ122),0)+IF(RIGHT(BV$43,2)&gt;RIGHT($K122,2),AZ122,0))</f>
        <v>0.38481066728573304</v>
      </c>
      <c r="BW122" s="387">
        <f>+IF($K122="Ongoing",BA122,IF(RIGHT($K122,2)=RIGHT(BW$43,2),SUM($AX122:BA122),0)+IF(RIGHT(BW$43,2)&gt;RIGHT($K122,2),BA122,0))</f>
        <v>0.4423494272870212</v>
      </c>
      <c r="BX122" s="1283">
        <f>+IF($K122="Ongoing",BB122,IF(RIGHT($K122,2)=RIGHT(BX$43,2),SUM($AX122:BB122),0)+IF(RIGHT(BX$43,2)&gt;RIGHT($K122,2),BB122,0))</f>
        <v>1.5760385859708976</v>
      </c>
      <c r="BY122" s="386">
        <f>+IF($K122="Ongoing",BC122,IF(RIGHT($K122,2)=RIGHT(BY$43,2),SUM($AX122:BC122),0)+IF(RIGHT(BY$43,2)&gt;RIGHT($K122,2),BC122,0))</f>
        <v>7.0294164578103242</v>
      </c>
      <c r="BZ122" s="387">
        <f>+IF($K122="Ongoing",BD122,IF(RIGHT($K122,2)=RIGHT(BZ$43,2),SUM($AX122:BD122),0)+IF(RIGHT(BZ$43,2)&gt;RIGHT($K122,2),BD122,0))</f>
        <v>65.922518847544197</v>
      </c>
      <c r="CA122" s="1277">
        <f>+IF($K122="Ongoing",BE122,IF(RIGHT($K122,2)=RIGHT(CA$43,2),SUM($AX122:BE122),0)+IF(RIGHT(CA$43,2)&gt;RIGHT($K122,2),BE122,0))</f>
        <v>76.501856808200273</v>
      </c>
      <c r="CB122" s="1277">
        <f>+IF($K122="Ongoing",BF122,IF(RIGHT($K122,2)=RIGHT(CB$43,2),SUM($AX122:BF122),0)+IF(RIGHT(CB$43,2)&gt;RIGHT($K122,2),BF122,0))</f>
        <v>64.426801767828678</v>
      </c>
      <c r="CC122" s="388">
        <f>+IF($K122="Ongoing",BG122,IF(RIGHT($K122,2)=RIGHT(CC$43,2),SUM($AX122:BG122),0)+IF(RIGHT(CC$43,2)&gt;RIGHT($K122,2),BG122,0))</f>
        <v>46.106386697335751</v>
      </c>
      <c r="CD122" s="1025"/>
      <c r="CE122" s="1282">
        <f>+Q122*KeyAssumptionsPriceControl_FO!AF$15</f>
        <v>0</v>
      </c>
      <c r="CF122" s="387">
        <f>+R122*KeyAssumptionsPriceControl_FO!AG$15</f>
        <v>2.611362679452707E-2</v>
      </c>
      <c r="CG122" s="387">
        <f>+S122*KeyAssumptionsPriceControl_FO!AH$15</f>
        <v>0.41926945780051811</v>
      </c>
      <c r="CH122" s="387">
        <f>+T122*KeyAssumptionsPriceControl_FO!AI$15</f>
        <v>0.49593752276847958</v>
      </c>
      <c r="CI122" s="1283">
        <f>+U122*KeyAssumptionsPriceControl_FO!AJ$15</f>
        <v>1.8182086513325229</v>
      </c>
      <c r="CJ122" s="386">
        <f>+V122*KeyAssumptionsPriceControl_FO!AK$15</f>
        <v>8.3447152647046217</v>
      </c>
      <c r="CK122" s="387">
        <f>+W122*KeyAssumptionsPriceControl_FO!AL$15</f>
        <v>80.526980801666667</v>
      </c>
      <c r="CL122" s="1277">
        <f>+X122*KeyAssumptionsPriceControl_FO!AM$15</f>
        <v>96.160115062139099</v>
      </c>
      <c r="CM122" s="1277">
        <f>+Y122*KeyAssumptionsPriceControl_FO!AN$15</f>
        <v>83.330683835872833</v>
      </c>
      <c r="CN122" s="388">
        <f>+Z122*KeyAssumptionsPriceControl_FO!AO$15</f>
        <v>61.364165990812225</v>
      </c>
      <c r="CO122" s="1025"/>
      <c r="CP122" s="1282">
        <f t="shared" ca="1" si="267"/>
        <v>0</v>
      </c>
      <c r="CQ122" s="387">
        <f t="shared" ca="1" si="268"/>
        <v>0</v>
      </c>
      <c r="CR122" s="387">
        <f t="shared" ca="1" si="269"/>
        <v>0</v>
      </c>
      <c r="CS122" s="387">
        <f t="shared" ca="1" si="270"/>
        <v>0</v>
      </c>
      <c r="CT122" s="1283">
        <f t="shared" ca="1" si="271"/>
        <v>0</v>
      </c>
      <c r="CU122" s="386">
        <f t="shared" ca="1" si="272"/>
        <v>0</v>
      </c>
      <c r="CV122" s="387">
        <f t="shared" ca="1" si="273"/>
        <v>0</v>
      </c>
      <c r="CW122" s="1277">
        <f t="shared" ca="1" si="274"/>
        <v>0</v>
      </c>
      <c r="CX122" s="1277">
        <f t="shared" ca="1" si="275"/>
        <v>0</v>
      </c>
      <c r="CY122" s="388">
        <f t="shared" ca="1" si="276"/>
        <v>0</v>
      </c>
      <c r="CZ122" s="347"/>
      <c r="DA122" s="852"/>
      <c r="DB122" s="347"/>
      <c r="DC122" s="1012" t="s">
        <v>616</v>
      </c>
      <c r="DD122" s="841" t="s">
        <v>518</v>
      </c>
      <c r="DE122" s="386">
        <f>+IF($K122="ongoing",CE122,IF(RIGHT($K122,2)=RIGHT(DE$43,2),SUM($CD122:CE122),0)+IF(RIGHT(DE$43,2)&gt;RIGHT($K122,2),CE122,0))</f>
        <v>0</v>
      </c>
      <c r="DF122" s="387">
        <f>+IF($K122="ongoing",CF122,IF(RIGHT($K122,2)=RIGHT(DF$43,2),SUM($CD122:CF122),0)+IF(RIGHT(DF$43,2)&gt;RIGHT($K122,2),CF122,0))</f>
        <v>2.611362679452707E-2</v>
      </c>
      <c r="DG122" s="388">
        <f>+IF($K122="ongoing",CG122,IF(RIGHT($K122,2)=RIGHT(DG$43,2),SUM($CD122:CG122),0)+IF(RIGHT(DG$43,2)&gt;RIGHT($K122,2),CG122,0))</f>
        <v>0.41926945780051811</v>
      </c>
      <c r="DH122" s="386">
        <f>+IF($K122="ongoing",CH122,IF(RIGHT($K122,2)=RIGHT(DH$43,2),SUM($CD122:CH122),0)+IF(RIGHT(DH$43,2)&gt;RIGHT($K122,2),CH122,0))</f>
        <v>0.49593752276847958</v>
      </c>
      <c r="DI122" s="387">
        <f>+IF($K122="ongoing",CI122,IF(RIGHT($K122,2)=RIGHT(DI$43,2),SUM($CD122:CI122),0)+IF(RIGHT(DI$43,2)&gt;RIGHT($K122,2),CI122,0))</f>
        <v>1.8182086513325229</v>
      </c>
      <c r="DJ122" s="387">
        <f>+IF($K122="ongoing",CJ122,IF(RIGHT($K122,2)=RIGHT(DJ$43,2),SUM($CD122:CJ122),0)+IF(RIGHT(DJ$43,2)&gt;RIGHT($K122,2),CJ122,0))</f>
        <v>8.3447152647046217</v>
      </c>
      <c r="DK122" s="387">
        <f>+IF($K122="ongoing",CK122,IF(RIGHT($K122,2)=RIGHT(DK$43,2),SUM($CD122:CK122),0)+IF(RIGHT(DK$43,2)&gt;RIGHT($K122,2),CK122,0))</f>
        <v>80.526980801666667</v>
      </c>
      <c r="DL122" s="388">
        <f>+IF($K122="ongoing",CN122,IF(RIGHT($K122,2)=RIGHT(DL$43,2),SUM($CD122:CN122),0)+IF(RIGHT(DL$43,2)&gt;RIGHT($K122,2),CN122,0))</f>
        <v>61.364165990812225</v>
      </c>
      <c r="DM122" s="841"/>
      <c r="DN122" s="386">
        <f t="shared" si="277"/>
        <v>0.5</v>
      </c>
      <c r="DO122" s="387">
        <f t="shared" si="278"/>
        <v>1</v>
      </c>
      <c r="DP122" s="388">
        <f t="shared" si="279"/>
        <v>1</v>
      </c>
      <c r="DQ122" s="386">
        <f t="shared" si="280"/>
        <v>1</v>
      </c>
      <c r="DR122" s="387">
        <f t="shared" si="281"/>
        <v>1</v>
      </c>
      <c r="DS122" s="387">
        <f t="shared" si="282"/>
        <v>1</v>
      </c>
      <c r="DT122" s="387">
        <f t="shared" si="283"/>
        <v>1</v>
      </c>
      <c r="DU122" s="388">
        <f t="shared" si="284"/>
        <v>1</v>
      </c>
      <c r="DW122" s="386">
        <f t="shared" si="285"/>
        <v>0</v>
      </c>
      <c r="DX122" s="387">
        <f t="shared" si="286"/>
        <v>0.5</v>
      </c>
      <c r="DY122" s="388">
        <f t="shared" si="287"/>
        <v>1</v>
      </c>
      <c r="DZ122" s="386">
        <f t="shared" si="288"/>
        <v>1</v>
      </c>
      <c r="EA122" s="387">
        <f t="shared" si="289"/>
        <v>1</v>
      </c>
      <c r="EB122" s="387">
        <f t="shared" si="290"/>
        <v>1</v>
      </c>
      <c r="EC122" s="387">
        <f t="shared" si="291"/>
        <v>1</v>
      </c>
      <c r="ED122" s="388">
        <f t="shared" si="292"/>
        <v>1</v>
      </c>
      <c r="EF122" s="834">
        <f>+IF(DN122=DM122,0,
IF(AND(EF$44&gt;1,DN122=$N122),1-SUM($EE122:EE122),
IF($N122&lt;=1,
IF($N122&gt;0,1/$N122,0),
IF(EF$44=1,0,VDB(1,0,$N122,INT(EF$44-1-1),MIN($N122,INT(EF$44-1-1)+1),$DC122,IF($DD122="No",1,0))/
IF(DM122&gt;=INT($N122),$N122-INT($N122),1)))*
IF(EF$44=1,0,
IF(INT(DN122)=INT(DM122),DN122-DM122,INT(DN122)-DM122))+
IF($N122&lt;=1,
IF($N122&gt;0,1/$N122,0),VDB(1,0,$N122,INT(EF$44-1),MIN($N122,INT(EF$44-1)+1),$DC122,IF($DD122="No",1,0))/
IF(DN122&gt;INT($N122),$N122-INT($N122),1))*
IF(EF$44=1,DN122,
IF(INT(DN122)=INT(DM122),0,DN122-INT(DN122)))))</f>
        <v>0</v>
      </c>
      <c r="EG122" s="835">
        <f>+IF(DO122=DN122,0,
IF(AND(EG$44&gt;1,DO122=$N122),1-SUM($EE122:EF122),
IF($N122&lt;=1,
IF($N122&gt;0,1/$N122,0),
IF(EG$44=1,0,VDB(1,0,$N122,INT(EG$44-1-1),MIN($N122,INT(EG$44-1-1)+1),$DC122,IF($DD122="No",1,0))/
IF(DN122&gt;=INT($N122),$N122-INT($N122),1)))*
IF(EG$44=1,0,
IF(INT(DO122)=INT(DN122),DO122-DN122,INT(DO122)-DN122))+
IF($N122&lt;=1,
IF($N122&gt;0,1/$N122,0),VDB(1,0,$N122,INT(EG$44-1),MIN($N122,INT(EG$44-1)+1),$DC122,IF($DD122="No",1,0))/
IF(DO122&gt;INT($N122),$N122-INT($N122),1))*
IF(EG$44=1,DO122,
IF(INT(DO122)=INT(DN122),0,DO122-INT(DO122)))))</f>
        <v>0</v>
      </c>
      <c r="EH122" s="836">
        <f>+IF(DP122=DO122,0,
IF(AND(EH$44&gt;1,DP122=$N122),1-SUM($EE122:EG122),
IF($N122&lt;=1,
IF($N122&gt;0,1/$N122,0),
IF(EH$44=1,0,VDB(1,0,$N122,INT(EH$44-1-1),MIN($N122,INT(EH$44-1-1)+1),$DC122,IF($DD122="No",1,0))/
IF(DO122&gt;=INT($N122),$N122-INT($N122),1)))*
IF(EH$44=1,0,
IF(INT(DP122)=INT(DO122),DP122-DO122,INT(DP122)-DO122))+
IF($N122&lt;=1,
IF($N122&gt;0,1/$N122,0),VDB(1,0,$N122,INT(EH$44-1),MIN($N122,INT(EH$44-1)+1),$DC122,IF($DD122="No",1,0))/
IF(DP122&gt;INT($N122),$N122-INT($N122),1))*
IF(EH$44=1,DP122,
IF(INT(DP122)=INT(DO122),0,DP122-INT(DP122)))))</f>
        <v>0</v>
      </c>
      <c r="EI122" s="834">
        <f>+IF(DQ122=DP122,0,
IF(AND(EI$44&gt;1,DQ122=$N122),1-SUM($EE122:EH122),
IF($N122&lt;=1,
IF($N122&gt;0,1/$N122,0),
IF(EI$44=1,0,VDB(1,0,$N122,INT(EI$44-1-1),MIN($N122,INT(EI$44-1-1)+1),$DC122,IF($DD122="No",1,0))/
IF(DP122&gt;=INT($N122),$N122-INT($N122),1)))*
IF(EI$44=1,0,
IF(INT(DQ122)=INT(DP122),DQ122-DP122,INT(DQ122)-DP122))+
IF($N122&lt;=1,
IF($N122&gt;0,1/$N122,0),VDB(1,0,$N122,INT(EI$44-1),MIN($N122,INT(EI$44-1)+1),$DC122,IF($DD122="No",1,0))/
IF(DQ122&gt;INT($N122),$N122-INT($N122),1))*
IF(EI$44=1,DQ122,
IF(INT(DQ122)=INT(DP122),0,DQ122-INT(DQ122)))))</f>
        <v>0</v>
      </c>
      <c r="EJ122" s="835">
        <f>+IF(DR122=DQ122,0,
IF(AND(EJ$44&gt;1,DR122=$N122),1-SUM($EE122:EI122),
IF($N122&lt;=1,
IF($N122&gt;0,1/$N122,0),
IF(EJ$44=1,0,VDB(1,0,$N122,INT(EJ$44-1-1),MIN($N122,INT(EJ$44-1-1)+1),$DC122,IF($DD122="No",1,0))/
IF(DQ122&gt;=INT($N122),$N122-INT($N122),1)))*
IF(EJ$44=1,0,
IF(INT(DR122)=INT(DQ122),DR122-DQ122,INT(DR122)-DQ122))+
IF($N122&lt;=1,
IF($N122&gt;0,1/$N122,0),VDB(1,0,$N122,INT(EJ$44-1),MIN($N122,INT(EJ$44-1)+1),$DC122,IF($DD122="No",1,0))/
IF(DR122&gt;INT($N122),$N122-INT($N122),1))*
IF(EJ$44=1,DR122,
IF(INT(DR122)=INT(DQ122),0,DR122-INT(DR122)))))</f>
        <v>0</v>
      </c>
      <c r="EK122" s="835">
        <f>+IF(DS122=DR122,0,
IF(AND(EK$44&gt;1,DS122=$N122),1-SUM($EE122:EJ122),
IF($N122&lt;=1,
IF($N122&gt;0,1/$N122,0),
IF(EK$44=1,0,VDB(1,0,$N122,INT(EK$44-1-1),MIN($N122,INT(EK$44-1-1)+1),$DC122,IF($DD122="No",1,0))/
IF(DR122&gt;=INT($N122),$N122-INT($N122),1)))*
IF(EK$44=1,0,
IF(INT(DS122)=INT(DR122),DS122-DR122,INT(DS122)-DR122))+
IF($N122&lt;=1,
IF($N122&gt;0,1/$N122,0),VDB(1,0,$N122,INT(EK$44-1),MIN($N122,INT(EK$44-1)+1),$DC122,IF($DD122="No",1,0))/
IF(DS122&gt;INT($N122),$N122-INT($N122),1))*
IF(EK$44=1,DS122,
IF(INT(DS122)=INT(DR122),0,DS122-INT(DS122)))))</f>
        <v>0</v>
      </c>
      <c r="EL122" s="835">
        <f>+IF(DT122=DS122,0,
IF(AND(EL$44&gt;1,DT122=$N122),1-SUM($EE122:EK122),
IF($N122&lt;=1,
IF($N122&gt;0,1/$N122,0),
IF(EL$44=1,0,VDB(1,0,$N122,INT(EL$44-1-1),MIN($N122,INT(EL$44-1-1)+1),$DC122,IF($DD122="No",1,0))/
IF(DS122&gt;=INT($N122),$N122-INT($N122),1)))*
IF(EL$44=1,0,
IF(INT(DT122)=INT(DS122),DT122-DS122,INT(DT122)-DS122))+
IF($N122&lt;=1,
IF($N122&gt;0,1/$N122,0),VDB(1,0,$N122,INT(EL$44-1),MIN($N122,INT(EL$44-1)+1),$DC122,IF($DD122="No",1,0))/
IF(DT122&gt;INT($N122),$N122-INT($N122),1))*
IF(EL$44=1,DT122,
IF(INT(DT122)=INT(DS122),0,DT122-INT(DT122)))))</f>
        <v>0</v>
      </c>
      <c r="EM122" s="836">
        <f>+IF(DU122=DT122,0,
IF(AND(EM$44&gt;1,DU122=$N122),1-SUM($EE122:EL122),
IF($N122&lt;=1,
IF($N122&gt;0,1/$N122,0),
IF(EM$44=1,0,VDB(1,0,$N122,INT(EM$44-1-1),MIN($N122,INT(EM$44-1-1)+1),$DC122,IF($DD122="No",1,0))/
IF(DT122&gt;=INT($N122),$N122-INT($N122),1)))*
IF(EM$44=1,0,
IF(INT(DU122)=INT(DT122),DU122-DT122,INT(DU122)-DT122))+
IF($N122&lt;=1,
IF($N122&gt;0,1/$N122,0),VDB(1,0,$N122,INT(EM$44-1),MIN($N122,INT(EM$44-1)+1),$DC122,IF($DD122="No",1,0))/
IF(DU122&gt;INT($N122),$N122-INT($N122),1))*
IF(EM$44=1,DU122,
IF(INT(DU122)=INT(DT122),0,DU122-INT(DU122)))))</f>
        <v>0</v>
      </c>
      <c r="EN122" s="833"/>
      <c r="EO122" s="834">
        <f>+IF(OR(DW122=DV122,EO$44=1),0,
IF(AND(EO$44&gt;1,DW122=$N122),1-SUM($EN122:EN122),
IF($N122&lt;=1,
IF($N122&gt;0,1/$N122,0),
IF(EO$44=2,0,VDB(1,0,$N122,INT(EO$44-2-1),MIN($N122,INT(EO$44-2-1)+1),$DC122,IF($DD122="No",1,0))/
IF(DV122&gt;=INT($N122),$N122-INT($N122),1)))*
IF(EO$44=2,0,
IF(INT(DW122)=INT(DV122),DW122-DV122,INT(DW122)-DV122))+
IF($N122&lt;=1,
IF($N122&gt;0,1/$N122,0),VDB(1,0,$N122,INT(EO$44-2),MIN($N122,INT(EO$44-2)+1),$DC122,IF($DD122="No",1,0))/
IF(DW122&gt;INT($N122),$N122-INT($N122),1))*
IF(EO$44=2,DW122,
IF(INT(DW122)=INT(DV122),0,DW122-INT(DW122)))))</f>
        <v>0</v>
      </c>
      <c r="EP122" s="835">
        <f>+IF(OR(DX122=DW122,EP$44=1),0,
IF(AND(EP$44&gt;1,DX122=$N122),1-SUM($EN122:EO122),
IF($N122&lt;=1,
IF($N122&gt;0,1/$N122,0),
IF(EP$44=2,0,VDB(1,0,$N122,INT(EP$44-2-1),MIN($N122,INT(EP$44-2-1)+1),$DC122,IF($DD122="No",1,0))/
IF(DW122&gt;=INT($N122),$N122-INT($N122),1)))*
IF(EP$44=2,0,
IF(INT(DX122)=INT(DW122),DX122-DW122,INT(DX122)-DW122))+
IF($N122&lt;=1,
IF($N122&gt;0,1/$N122,0),VDB(1,0,$N122,INT(EP$44-2),MIN($N122,INT(EP$44-2)+1),$DC122,IF($DD122="No",1,0))/
IF(DX122&gt;INT($N122),$N122-INT($N122),1))*
IF(EP$44=2,DX122,
IF(INT(DX122)=INT(DW122),0,DX122-INT(DX122)))))</f>
        <v>0</v>
      </c>
      <c r="EQ122" s="836">
        <f>+IF(OR(DY122=DX122,EQ$44=1),0,
IF(AND(EQ$44&gt;1,DY122=$N122),1-SUM($EN122:EP122),
IF($N122&lt;=1,
IF($N122&gt;0,1/$N122,0),
IF(EQ$44=2,0,VDB(1,0,$N122,INT(EQ$44-2-1),MIN($N122,INT(EQ$44-2-1)+1),$DC122,IF($DD122="No",1,0))/
IF(DX122&gt;=INT($N122),$N122-INT($N122),1)))*
IF(EQ$44=2,0,
IF(INT(DY122)=INT(DX122),DY122-DX122,INT(DY122)-DX122))+
IF($N122&lt;=1,
IF($N122&gt;0,1/$N122,0),VDB(1,0,$N122,INT(EQ$44-2),MIN($N122,INT(EQ$44-2)+1),$DC122,IF($DD122="No",1,0))/
IF(DY122&gt;INT($N122),$N122-INT($N122),1))*
IF(EQ$44=2,DY122,
IF(INT(DY122)=INT(DX122),0,DY122-INT(DY122)))))</f>
        <v>0</v>
      </c>
      <c r="ER122" s="834">
        <f>+IF(OR(DZ122=DY122,ER$44=1),0,
IF(AND(ER$44&gt;1,DZ122=$N122),1-SUM($EN122:EQ122),
IF($N122&lt;=1,
IF($N122&gt;0,1/$N122,0),
IF(ER$44=2,0,VDB(1,0,$N122,INT(ER$44-2-1),MIN($N122,INT(ER$44-2-1)+1),$DC122,IF($DD122="No",1,0))/
IF(DY122&gt;=INT($N122),$N122-INT($N122),1)))*
IF(ER$44=2,0,
IF(INT(DZ122)=INT(DY122),DZ122-DY122,INT(DZ122)-DY122))+
IF($N122&lt;=1,
IF($N122&gt;0,1/$N122,0),VDB(1,0,$N122,INT(ER$44-2),MIN($N122,INT(ER$44-2)+1),$DC122,IF($DD122="No",1,0))/
IF(DZ122&gt;INT($N122),$N122-INT($N122),1))*
IF(ER$44=2,DZ122,
IF(INT(DZ122)=INT(DY122),0,DZ122-INT(DZ122)))))</f>
        <v>0</v>
      </c>
      <c r="ES122" s="835">
        <f>+IF(OR(EA122=DZ122,ES$44=1),0,
IF(AND(ES$44&gt;1,EA122=$N122),1-SUM($EN122:ER122),
IF($N122&lt;=1,
IF($N122&gt;0,1/$N122,0),
IF(ES$44=2,0,VDB(1,0,$N122,INT(ES$44-2-1),MIN($N122,INT(ES$44-2-1)+1),$DC122,IF($DD122="No",1,0))/
IF(DZ122&gt;=INT($N122),$N122-INT($N122),1)))*
IF(ES$44=2,0,
IF(INT(EA122)=INT(DZ122),EA122-DZ122,INT(EA122)-DZ122))+
IF($N122&lt;=1,
IF($N122&gt;0,1/$N122,0),VDB(1,0,$N122,INT(ES$44-2),MIN($N122,INT(ES$44-2)+1),$DC122,IF($DD122="No",1,0))/
IF(EA122&gt;INT($N122),$N122-INT($N122),1))*
IF(ES$44=2,EA122,
IF(INT(EA122)=INT(DZ122),0,EA122-INT(EA122)))))</f>
        <v>0</v>
      </c>
      <c r="ET122" s="835">
        <f>+IF(OR(EB122=EA122,ET$44=1),0,
IF(AND(ET$44&gt;1,EB122=$N122),1-SUM($EN122:ES122),
IF($N122&lt;=1,
IF($N122&gt;0,1/$N122,0),
IF(ET$44=2,0,VDB(1,0,$N122,INT(ET$44-2-1),MIN($N122,INT(ET$44-2-1)+1),$DC122,IF($DD122="No",1,0))/
IF(EA122&gt;=INT($N122),$N122-INT($N122),1)))*
IF(ET$44=2,0,
IF(INT(EB122)=INT(EA122),EB122-EA122,INT(EB122)-EA122))+
IF($N122&lt;=1,
IF($N122&gt;0,1/$N122,0),VDB(1,0,$N122,INT(ET$44-2),MIN($N122,INT(ET$44-2)+1),$DC122,IF($DD122="No",1,0))/
IF(EB122&gt;INT($N122),$N122-INT($N122),1))*
IF(ET$44=2,EB122,
IF(INT(EB122)=INT(EA122),0,EB122-INT(EB122)))))</f>
        <v>0</v>
      </c>
      <c r="EU122" s="835">
        <f>+IF(OR(EC122=EB122,EU$44=1),0,
IF(AND(EU$44&gt;1,EC122=$N122),1-SUM($EN122:ET122),
IF($N122&lt;=1,
IF($N122&gt;0,1/$N122,0),
IF(EU$44=2,0,VDB(1,0,$N122,INT(EU$44-2-1),MIN($N122,INT(EU$44-2-1)+1),$DC122,IF($DD122="No",1,0))/
IF(EB122&gt;=INT($N122),$N122-INT($N122),1)))*
IF(EU$44=2,0,
IF(INT(EC122)=INT(EB122),EC122-EB122,INT(EC122)-EB122))+
IF($N122&lt;=1,
IF($N122&gt;0,1/$N122,0),VDB(1,0,$N122,INT(EU$44-2),MIN($N122,INT(EU$44-2)+1),$DC122,IF($DD122="No",1,0))/
IF(EC122&gt;INT($N122),$N122-INT($N122),1))*
IF(EU$44=2,EC122,
IF(INT(EC122)=INT(EB122),0,EC122-INT(EC122)))))</f>
        <v>0</v>
      </c>
      <c r="EV122" s="836">
        <f>+IF(OR(ED122=EC122,EV$44=1),0,
IF(AND(EV$44&gt;1,ED122=$N122),1-SUM($EN122:EU122),
IF($N122&lt;=1,
IF($N122&gt;0,1/$N122,0),
IF(EV$44=2,0,VDB(1,0,$N122,INT(EV$44-2-1),MIN($N122,INT(EV$44-2-1)+1),$DC122,IF($DD122="No",1,0))/
IF(EC122&gt;=INT($N122),$N122-INT($N122),1)))*
IF(EV$44=2,0,
IF(INT(ED122)=INT(EC122),ED122-EC122,INT(ED122)-EC122))+
IF($N122&lt;=1,
IF($N122&gt;0,1/$N122,0),VDB(1,0,$N122,INT(EV$44-2),MIN($N122,INT(EV$44-2)+1),$DC122,IF($DD122="No",1,0))/
IF(ED122&gt;INT($N122),$N122-INT($N122),1))*
IF(EV$44=2,ED122,
IF(INT(ED122)=INT(EC122),0,ED122-INT(ED122)))))</f>
        <v>0</v>
      </c>
      <c r="EW122" s="833"/>
      <c r="EX122" s="834">
        <f t="shared" ca="1" si="301"/>
        <v>0</v>
      </c>
      <c r="EY122" s="835">
        <f t="shared" ca="1" si="301"/>
        <v>0</v>
      </c>
      <c r="EZ122" s="836">
        <f t="shared" ca="1" si="301"/>
        <v>0</v>
      </c>
      <c r="FA122" s="834">
        <f t="shared" ca="1" si="301"/>
        <v>0</v>
      </c>
      <c r="FB122" s="835">
        <f t="shared" ca="1" si="301"/>
        <v>0</v>
      </c>
      <c r="FC122" s="835">
        <f t="shared" ca="1" si="301"/>
        <v>0</v>
      </c>
      <c r="FD122" s="835">
        <f t="shared" ca="1" si="301"/>
        <v>0</v>
      </c>
      <c r="FE122" s="836">
        <f t="shared" ca="1" si="301"/>
        <v>0</v>
      </c>
      <c r="FG122" s="386">
        <f t="shared" ca="1" si="293"/>
        <v>0</v>
      </c>
      <c r="FH122" s="387">
        <f t="shared" ca="1" si="294"/>
        <v>0</v>
      </c>
      <c r="FI122" s="388">
        <f t="shared" ca="1" si="295"/>
        <v>0</v>
      </c>
      <c r="FJ122" s="386">
        <f t="shared" ca="1" si="296"/>
        <v>0</v>
      </c>
      <c r="FK122" s="387">
        <f t="shared" ca="1" si="297"/>
        <v>0</v>
      </c>
      <c r="FL122" s="387">
        <f t="shared" ca="1" si="298"/>
        <v>0</v>
      </c>
      <c r="FM122" s="387">
        <f t="shared" ca="1" si="299"/>
        <v>0</v>
      </c>
      <c r="FN122" s="388">
        <f t="shared" ca="1" si="300"/>
        <v>0</v>
      </c>
      <c r="FR122" s="116"/>
    </row>
    <row r="123" spans="2:174">
      <c r="B123" s="1410">
        <f t="shared" si="135"/>
        <v>77</v>
      </c>
      <c r="C123" s="400" t="s">
        <v>617</v>
      </c>
      <c r="D123" s="410"/>
      <c r="E123" s="402" t="s">
        <v>402</v>
      </c>
      <c r="F123" s="402" t="s">
        <v>514</v>
      </c>
      <c r="G123" s="400" t="s">
        <v>522</v>
      </c>
      <c r="H123" s="2088" t="s">
        <v>483</v>
      </c>
      <c r="I123" s="2089"/>
      <c r="J123" s="411" t="s">
        <v>516</v>
      </c>
      <c r="K123" s="403" t="s">
        <v>544</v>
      </c>
      <c r="L123" s="403">
        <v>50</v>
      </c>
      <c r="M123" s="403" t="s">
        <v>142</v>
      </c>
      <c r="N123" s="403"/>
      <c r="O123" s="347"/>
      <c r="P123" s="347"/>
      <c r="Q123" s="1021">
        <v>0</v>
      </c>
      <c r="R123" s="1022">
        <v>0.47859512195121956</v>
      </c>
      <c r="S123" s="1022">
        <v>0.46692207019631188</v>
      </c>
      <c r="T123" s="1022">
        <v>0.45553372702079203</v>
      </c>
      <c r="U123" s="1023">
        <v>0.44442314831296797</v>
      </c>
      <c r="V123" s="1021">
        <v>0.91920845911389815</v>
      </c>
      <c r="W123" s="1022">
        <v>0.91920845911389815</v>
      </c>
      <c r="X123" s="1022">
        <v>0.91920825392725558</v>
      </c>
      <c r="Y123" s="1022">
        <v>0.91920813381800148</v>
      </c>
      <c r="Z123" s="1023">
        <v>0.91920881736660298</v>
      </c>
      <c r="AA123" s="1024"/>
      <c r="AB123" s="1021">
        <v>0</v>
      </c>
      <c r="AC123" s="1022">
        <v>0</v>
      </c>
      <c r="AD123" s="1022">
        <v>0</v>
      </c>
      <c r="AE123" s="1022">
        <v>0</v>
      </c>
      <c r="AF123" s="1023">
        <v>0</v>
      </c>
      <c r="AG123" s="1021">
        <v>0</v>
      </c>
      <c r="AH123" s="1022">
        <v>0</v>
      </c>
      <c r="AI123" s="1022">
        <v>0</v>
      </c>
      <c r="AJ123" s="1022">
        <v>0</v>
      </c>
      <c r="AK123" s="1023">
        <v>0</v>
      </c>
      <c r="AL123" s="1024"/>
      <c r="AM123" s="1021">
        <v>0</v>
      </c>
      <c r="AN123" s="1022">
        <v>0</v>
      </c>
      <c r="AO123" s="1022">
        <v>0</v>
      </c>
      <c r="AP123" s="1022">
        <v>0</v>
      </c>
      <c r="AQ123" s="1023">
        <v>0</v>
      </c>
      <c r="AR123" s="1021">
        <v>0</v>
      </c>
      <c r="AS123" s="1022">
        <v>0</v>
      </c>
      <c r="AT123" s="1022">
        <v>0</v>
      </c>
      <c r="AU123" s="1022">
        <v>0</v>
      </c>
      <c r="AV123" s="1023">
        <v>0</v>
      </c>
      <c r="AW123" s="1025"/>
      <c r="AX123" s="1282">
        <f t="shared" si="247"/>
        <v>0</v>
      </c>
      <c r="AY123" s="387">
        <f t="shared" si="248"/>
        <v>0.47859512195121956</v>
      </c>
      <c r="AZ123" s="387">
        <f t="shared" si="249"/>
        <v>0.46692207019631188</v>
      </c>
      <c r="BA123" s="387">
        <f t="shared" si="250"/>
        <v>0.45553372702079203</v>
      </c>
      <c r="BB123" s="1283">
        <f t="shared" si="251"/>
        <v>0.44442314831296797</v>
      </c>
      <c r="BC123" s="386">
        <f t="shared" si="252"/>
        <v>0.91920845911389815</v>
      </c>
      <c r="BD123" s="387">
        <f t="shared" si="253"/>
        <v>0.91920845911389815</v>
      </c>
      <c r="BE123" s="1277">
        <f t="shared" si="254"/>
        <v>0.91920825392725558</v>
      </c>
      <c r="BF123" s="1277">
        <f t="shared" si="255"/>
        <v>0.91920813381800148</v>
      </c>
      <c r="BG123" s="388">
        <f t="shared" si="256"/>
        <v>0.91920881736660298</v>
      </c>
      <c r="BH123" s="1025"/>
      <c r="BI123" s="1282">
        <f t="shared" ca="1" si="257"/>
        <v>0</v>
      </c>
      <c r="BJ123" s="387">
        <f t="shared" ca="1" si="258"/>
        <v>4.7859512195121958E-3</v>
      </c>
      <c r="BK123" s="387">
        <f t="shared" ca="1" si="259"/>
        <v>1.4241123140987511E-2</v>
      </c>
      <c r="BL123" s="387">
        <f t="shared" ca="1" si="260"/>
        <v>2.3465681113158551E-2</v>
      </c>
      <c r="BM123" s="1283">
        <f t="shared" ca="1" si="261"/>
        <v>3.2465249866496147E-2</v>
      </c>
      <c r="BN123" s="386">
        <f t="shared" ca="1" si="262"/>
        <v>4.6101565940764803E-2</v>
      </c>
      <c r="BO123" s="387">
        <f t="shared" ca="1" si="263"/>
        <v>6.4485735123042759E-2</v>
      </c>
      <c r="BP123" s="1277">
        <f t="shared" ca="1" si="264"/>
        <v>8.2869902253454308E-2</v>
      </c>
      <c r="BQ123" s="1277">
        <f t="shared" ca="1" si="265"/>
        <v>0.10125406613090687</v>
      </c>
      <c r="BR123" s="388">
        <f t="shared" ca="1" si="266"/>
        <v>0.11963823564275292</v>
      </c>
      <c r="BS123" s="1025"/>
      <c r="BT123" s="1282">
        <f>+IF($K123="Ongoing",AX123,IF(RIGHT($K123,2)=RIGHT(BT$43,2),SUM($AX123:AX123),0)+IF(RIGHT(BT$43,2)&gt;RIGHT($K123,2),AX123,0))</f>
        <v>0</v>
      </c>
      <c r="BU123" s="387">
        <f>+IF($K123="Ongoing",AY123,IF(RIGHT($K123,2)=RIGHT(BU$43,2),SUM($AX123:AY123),0)+IF(RIGHT(BU$43,2)&gt;RIGHT($K123,2),AY123,0))</f>
        <v>0.47859512195121956</v>
      </c>
      <c r="BV123" s="387">
        <f>+IF($K123="Ongoing",AZ123,IF(RIGHT($K123,2)=RIGHT(BV$43,2),SUM($AX123:AZ123),0)+IF(RIGHT(BV$43,2)&gt;RIGHT($K123,2),AZ123,0))</f>
        <v>0.46692207019631188</v>
      </c>
      <c r="BW123" s="387">
        <f>+IF($K123="Ongoing",BA123,IF(RIGHT($K123,2)=RIGHT(BW$43,2),SUM($AX123:BA123),0)+IF(RIGHT(BW$43,2)&gt;RIGHT($K123,2),BA123,0))</f>
        <v>0.45553372702079203</v>
      </c>
      <c r="BX123" s="1283">
        <f>+IF($K123="Ongoing",BB123,IF(RIGHT($K123,2)=RIGHT(BX$43,2),SUM($AX123:BB123),0)+IF(RIGHT(BX$43,2)&gt;RIGHT($K123,2),BB123,0))</f>
        <v>0.44442314831296797</v>
      </c>
      <c r="BY123" s="386">
        <f>+IF($K123="Ongoing",BC123,IF(RIGHT($K123,2)=RIGHT(BY$43,2),SUM($AX123:BC123),0)+IF(RIGHT(BY$43,2)&gt;RIGHT($K123,2),BC123,0))</f>
        <v>0.91920845911389815</v>
      </c>
      <c r="BZ123" s="387">
        <f>+IF($K123="Ongoing",BD123,IF(RIGHT($K123,2)=RIGHT(BZ$43,2),SUM($AX123:BD123),0)+IF(RIGHT(BZ$43,2)&gt;RIGHT($K123,2),BD123,0))</f>
        <v>0.91920845911389815</v>
      </c>
      <c r="CA123" s="1277">
        <f>+IF($K123="Ongoing",BE123,IF(RIGHT($K123,2)=RIGHT(CA$43,2),SUM($AX123:BE123),0)+IF(RIGHT(CA$43,2)&gt;RIGHT($K123,2),BE123,0))</f>
        <v>0.91920825392725558</v>
      </c>
      <c r="CB123" s="1277">
        <f>+IF($K123="Ongoing",BF123,IF(RIGHT($K123,2)=RIGHT(CB$43,2),SUM($AX123:BF123),0)+IF(RIGHT(CB$43,2)&gt;RIGHT($K123,2),BF123,0))</f>
        <v>0.91920813381800148</v>
      </c>
      <c r="CC123" s="388">
        <f>+IF($K123="Ongoing",BG123,IF(RIGHT($K123,2)=RIGHT(CC$43,2),SUM($AX123:BG123),0)+IF(RIGHT(CC$43,2)&gt;RIGHT($K123,2),BG123,0))</f>
        <v>0.91920881736660298</v>
      </c>
      <c r="CD123" s="1025"/>
      <c r="CE123" s="1282">
        <f>+Q123*KeyAssumptionsPriceControl_FO!AF$15</f>
        <v>0</v>
      </c>
      <c r="CF123" s="387">
        <f>+R123*KeyAssumptionsPriceControl_FO!AG$15</f>
        <v>0.50675613752195126</v>
      </c>
      <c r="CG123" s="387">
        <f>+S123*KeyAssumptionsPriceControl_FO!AH$15</f>
        <v>0.50873372244886628</v>
      </c>
      <c r="CH123" s="387">
        <f>+T123*KeyAssumptionsPriceControl_FO!AI$15</f>
        <v>0.51071902478037401</v>
      </c>
      <c r="CI123" s="1283">
        <f>+U123*KeyAssumptionsPriceControl_FO!AJ$15</f>
        <v>0.51271207463317547</v>
      </c>
      <c r="CJ123" s="386">
        <f>+V123*KeyAssumptionsPriceControl_FO!AK$15</f>
        <v>1.0912047829646936</v>
      </c>
      <c r="CK123" s="387">
        <f>+W123*KeyAssumptionsPriceControl_FO!AL$15</f>
        <v>1.1228497216706697</v>
      </c>
      <c r="CL123" s="1277">
        <f>+X123*KeyAssumptionsPriceControl_FO!AM$15</f>
        <v>1.1554121056868019</v>
      </c>
      <c r="CM123" s="1277">
        <f>+Y123*KeyAssumptionsPriceControl_FO!AN$15</f>
        <v>1.1889189014004364</v>
      </c>
      <c r="CN123" s="388">
        <f>+Z123*KeyAssumptionsPriceControl_FO!AO$15</f>
        <v>1.2233984592933167</v>
      </c>
      <c r="CO123" s="1025"/>
      <c r="CP123" s="1282">
        <f t="shared" ca="1" si="267"/>
        <v>0</v>
      </c>
      <c r="CQ123" s="387">
        <f t="shared" ca="1" si="268"/>
        <v>0</v>
      </c>
      <c r="CR123" s="387">
        <f t="shared" ca="1" si="269"/>
        <v>0</v>
      </c>
      <c r="CS123" s="387">
        <f t="shared" ca="1" si="270"/>
        <v>0</v>
      </c>
      <c r="CT123" s="1283">
        <f t="shared" ca="1" si="271"/>
        <v>0</v>
      </c>
      <c r="CU123" s="386">
        <f t="shared" ca="1" si="272"/>
        <v>0</v>
      </c>
      <c r="CV123" s="387">
        <f t="shared" ca="1" si="273"/>
        <v>0</v>
      </c>
      <c r="CW123" s="1277">
        <f t="shared" ca="1" si="274"/>
        <v>0</v>
      </c>
      <c r="CX123" s="1277">
        <f t="shared" ca="1" si="275"/>
        <v>0</v>
      </c>
      <c r="CY123" s="388">
        <f t="shared" ca="1" si="276"/>
        <v>0</v>
      </c>
      <c r="CZ123" s="347"/>
      <c r="DA123" s="852"/>
      <c r="DB123" s="347"/>
      <c r="DC123" s="1012" t="s">
        <v>618</v>
      </c>
      <c r="DD123" s="841" t="s">
        <v>518</v>
      </c>
      <c r="DE123" s="386">
        <f>+IF($K123="ongoing",CE123,IF(RIGHT($K123,2)=RIGHT(DE$43,2),SUM($CD123:CE123),0)+IF(RIGHT(DE$43,2)&gt;RIGHT($K123,2),CE123,0))</f>
        <v>0</v>
      </c>
      <c r="DF123" s="387">
        <f>+IF($K123="ongoing",CF123,IF(RIGHT($K123,2)=RIGHT(DF$43,2),SUM($CD123:CF123),0)+IF(RIGHT(DF$43,2)&gt;RIGHT($K123,2),CF123,0))</f>
        <v>0.50675613752195126</v>
      </c>
      <c r="DG123" s="388">
        <f>+IF($K123="ongoing",CG123,IF(RIGHT($K123,2)=RIGHT(DG$43,2),SUM($CD123:CG123),0)+IF(RIGHT(DG$43,2)&gt;RIGHT($K123,2),CG123,0))</f>
        <v>0.50873372244886628</v>
      </c>
      <c r="DH123" s="386">
        <f>+IF($K123="ongoing",CH123,IF(RIGHT($K123,2)=RIGHT(DH$43,2),SUM($CD123:CH123),0)+IF(RIGHT(DH$43,2)&gt;RIGHT($K123,2),CH123,0))</f>
        <v>0.51071902478037401</v>
      </c>
      <c r="DI123" s="387">
        <f>+IF($K123="ongoing",CI123,IF(RIGHT($K123,2)=RIGHT(DI$43,2),SUM($CD123:CI123),0)+IF(RIGHT(DI$43,2)&gt;RIGHT($K123,2),CI123,0))</f>
        <v>0.51271207463317547</v>
      </c>
      <c r="DJ123" s="387">
        <f>+IF($K123="ongoing",CJ123,IF(RIGHT($K123,2)=RIGHT(DJ$43,2),SUM($CD123:CJ123),0)+IF(RIGHT(DJ$43,2)&gt;RIGHT($K123,2),CJ123,0))</f>
        <v>1.0912047829646936</v>
      </c>
      <c r="DK123" s="387">
        <f>+IF($K123="ongoing",CK123,IF(RIGHT($K123,2)=RIGHT(DK$43,2),SUM($CD123:CK123),0)+IF(RIGHT(DK$43,2)&gt;RIGHT($K123,2),CK123,0))</f>
        <v>1.1228497216706697</v>
      </c>
      <c r="DL123" s="388">
        <f>+IF($K123="ongoing",CN123,IF(RIGHT($K123,2)=RIGHT(DL$43,2),SUM($CD123:CN123),0)+IF(RIGHT(DL$43,2)&gt;RIGHT($K123,2),CN123,0))</f>
        <v>1.2233984592933167</v>
      </c>
      <c r="DM123" s="841"/>
      <c r="DN123" s="386">
        <f t="shared" si="277"/>
        <v>0.5</v>
      </c>
      <c r="DO123" s="387">
        <f t="shared" si="278"/>
        <v>1</v>
      </c>
      <c r="DP123" s="388">
        <f t="shared" si="279"/>
        <v>1</v>
      </c>
      <c r="DQ123" s="386">
        <f t="shared" si="280"/>
        <v>1</v>
      </c>
      <c r="DR123" s="387">
        <f t="shared" si="281"/>
        <v>1</v>
      </c>
      <c r="DS123" s="387">
        <f t="shared" si="282"/>
        <v>1</v>
      </c>
      <c r="DT123" s="387">
        <f t="shared" si="283"/>
        <v>1</v>
      </c>
      <c r="DU123" s="388">
        <f t="shared" si="284"/>
        <v>1</v>
      </c>
      <c r="DW123" s="386">
        <f t="shared" si="285"/>
        <v>0</v>
      </c>
      <c r="DX123" s="387">
        <f t="shared" si="286"/>
        <v>0.5</v>
      </c>
      <c r="DY123" s="388">
        <f t="shared" si="287"/>
        <v>1</v>
      </c>
      <c r="DZ123" s="386">
        <f t="shared" si="288"/>
        <v>1</v>
      </c>
      <c r="EA123" s="387">
        <f t="shared" si="289"/>
        <v>1</v>
      </c>
      <c r="EB123" s="387">
        <f t="shared" si="290"/>
        <v>1</v>
      </c>
      <c r="EC123" s="387">
        <f t="shared" si="291"/>
        <v>1</v>
      </c>
      <c r="ED123" s="388">
        <f t="shared" si="292"/>
        <v>1</v>
      </c>
      <c r="EF123" s="834">
        <f>+IF(DN123=DM123,0,
IF(AND(EF$44&gt;1,DN123=$N123),1-SUM($EE123:EE123),
IF($N123&lt;=1,
IF($N123&gt;0,1/$N123,0),
IF(EF$44=1,0,VDB(1,0,$N123,INT(EF$44-1-1),MIN($N123,INT(EF$44-1-1)+1),$DC123,IF($DD123="No",1,0))/
IF(DM123&gt;=INT($N123),$N123-INT($N123),1)))*
IF(EF$44=1,0,
IF(INT(DN123)=INT(DM123),DN123-DM123,INT(DN123)-DM123))+
IF($N123&lt;=1,
IF($N123&gt;0,1/$N123,0),VDB(1,0,$N123,INT(EF$44-1),MIN($N123,INT(EF$44-1)+1),$DC123,IF($DD123="No",1,0))/
IF(DN123&gt;INT($N123),$N123-INT($N123),1))*
IF(EF$44=1,DN123,
IF(INT(DN123)=INT(DM123),0,DN123-INT(DN123)))))</f>
        <v>0</v>
      </c>
      <c r="EG123" s="835">
        <f>+IF(DO123=DN123,0,
IF(AND(EG$44&gt;1,DO123=$N123),1-SUM($EE123:EF123),
IF($N123&lt;=1,
IF($N123&gt;0,1/$N123,0),
IF(EG$44=1,0,VDB(1,0,$N123,INT(EG$44-1-1),MIN($N123,INT(EG$44-1-1)+1),$DC123,IF($DD123="No",1,0))/
IF(DN123&gt;=INT($N123),$N123-INT($N123),1)))*
IF(EG$44=1,0,
IF(INT(DO123)=INT(DN123),DO123-DN123,INT(DO123)-DN123))+
IF($N123&lt;=1,
IF($N123&gt;0,1/$N123,0),VDB(1,0,$N123,INT(EG$44-1),MIN($N123,INT(EG$44-1)+1),$DC123,IF($DD123="No",1,0))/
IF(DO123&gt;INT($N123),$N123-INT($N123),1))*
IF(EG$44=1,DO123,
IF(INT(DO123)=INT(DN123),0,DO123-INT(DO123)))))</f>
        <v>0</v>
      </c>
      <c r="EH123" s="836">
        <f>+IF(DP123=DO123,0,
IF(AND(EH$44&gt;1,DP123=$N123),1-SUM($EE123:EG123),
IF($N123&lt;=1,
IF($N123&gt;0,1/$N123,0),
IF(EH$44=1,0,VDB(1,0,$N123,INT(EH$44-1-1),MIN($N123,INT(EH$44-1-1)+1),$DC123,IF($DD123="No",1,0))/
IF(DO123&gt;=INT($N123),$N123-INT($N123),1)))*
IF(EH$44=1,0,
IF(INT(DP123)=INT(DO123),DP123-DO123,INT(DP123)-DO123))+
IF($N123&lt;=1,
IF($N123&gt;0,1/$N123,0),VDB(1,0,$N123,INT(EH$44-1),MIN($N123,INT(EH$44-1)+1),$DC123,IF($DD123="No",1,0))/
IF(DP123&gt;INT($N123),$N123-INT($N123),1))*
IF(EH$44=1,DP123,
IF(INT(DP123)=INT(DO123),0,DP123-INT(DP123)))))</f>
        <v>0</v>
      </c>
      <c r="EI123" s="834">
        <f>+IF(DQ123=DP123,0,
IF(AND(EI$44&gt;1,DQ123=$N123),1-SUM($EE123:EH123),
IF($N123&lt;=1,
IF($N123&gt;0,1/$N123,0),
IF(EI$44=1,0,VDB(1,0,$N123,INT(EI$44-1-1),MIN($N123,INT(EI$44-1-1)+1),$DC123,IF($DD123="No",1,0))/
IF(DP123&gt;=INT($N123),$N123-INT($N123),1)))*
IF(EI$44=1,0,
IF(INT(DQ123)=INT(DP123),DQ123-DP123,INT(DQ123)-DP123))+
IF($N123&lt;=1,
IF($N123&gt;0,1/$N123,0),VDB(1,0,$N123,INT(EI$44-1),MIN($N123,INT(EI$44-1)+1),$DC123,IF($DD123="No",1,0))/
IF(DQ123&gt;INT($N123),$N123-INT($N123),1))*
IF(EI$44=1,DQ123,
IF(INT(DQ123)=INT(DP123),0,DQ123-INT(DQ123)))))</f>
        <v>0</v>
      </c>
      <c r="EJ123" s="835">
        <f>+IF(DR123=DQ123,0,
IF(AND(EJ$44&gt;1,DR123=$N123),1-SUM($EE123:EI123),
IF($N123&lt;=1,
IF($N123&gt;0,1/$N123,0),
IF(EJ$44=1,0,VDB(1,0,$N123,INT(EJ$44-1-1),MIN($N123,INT(EJ$44-1-1)+1),$DC123,IF($DD123="No",1,0))/
IF(DQ123&gt;=INT($N123),$N123-INT($N123),1)))*
IF(EJ$44=1,0,
IF(INT(DR123)=INT(DQ123),DR123-DQ123,INT(DR123)-DQ123))+
IF($N123&lt;=1,
IF($N123&gt;0,1/$N123,0),VDB(1,0,$N123,INT(EJ$44-1),MIN($N123,INT(EJ$44-1)+1),$DC123,IF($DD123="No",1,0))/
IF(DR123&gt;INT($N123),$N123-INT($N123),1))*
IF(EJ$44=1,DR123,
IF(INT(DR123)=INT(DQ123),0,DR123-INT(DR123)))))</f>
        <v>0</v>
      </c>
      <c r="EK123" s="835">
        <f>+IF(DS123=DR123,0,
IF(AND(EK$44&gt;1,DS123=$N123),1-SUM($EE123:EJ123),
IF($N123&lt;=1,
IF($N123&gt;0,1/$N123,0),
IF(EK$44=1,0,VDB(1,0,$N123,INT(EK$44-1-1),MIN($N123,INT(EK$44-1-1)+1),$DC123,IF($DD123="No",1,0))/
IF(DR123&gt;=INT($N123),$N123-INT($N123),1)))*
IF(EK$44=1,0,
IF(INT(DS123)=INT(DR123),DS123-DR123,INT(DS123)-DR123))+
IF($N123&lt;=1,
IF($N123&gt;0,1/$N123,0),VDB(1,0,$N123,INT(EK$44-1),MIN($N123,INT(EK$44-1)+1),$DC123,IF($DD123="No",1,0))/
IF(DS123&gt;INT($N123),$N123-INT($N123),1))*
IF(EK$44=1,DS123,
IF(INT(DS123)=INT(DR123),0,DS123-INT(DS123)))))</f>
        <v>0</v>
      </c>
      <c r="EL123" s="835">
        <f>+IF(DT123=DS123,0,
IF(AND(EL$44&gt;1,DT123=$N123),1-SUM($EE123:EK123),
IF($N123&lt;=1,
IF($N123&gt;0,1/$N123,0),
IF(EL$44=1,0,VDB(1,0,$N123,INT(EL$44-1-1),MIN($N123,INT(EL$44-1-1)+1),$DC123,IF($DD123="No",1,0))/
IF(DS123&gt;=INT($N123),$N123-INT($N123),1)))*
IF(EL$44=1,0,
IF(INT(DT123)=INT(DS123),DT123-DS123,INT(DT123)-DS123))+
IF($N123&lt;=1,
IF($N123&gt;0,1/$N123,0),VDB(1,0,$N123,INT(EL$44-1),MIN($N123,INT(EL$44-1)+1),$DC123,IF($DD123="No",1,0))/
IF(DT123&gt;INT($N123),$N123-INT($N123),1))*
IF(EL$44=1,DT123,
IF(INT(DT123)=INT(DS123),0,DT123-INT(DT123)))))</f>
        <v>0</v>
      </c>
      <c r="EM123" s="836">
        <f>+IF(DU123=DT123,0,
IF(AND(EM$44&gt;1,DU123=$N123),1-SUM($EE123:EL123),
IF($N123&lt;=1,
IF($N123&gt;0,1/$N123,0),
IF(EM$44=1,0,VDB(1,0,$N123,INT(EM$44-1-1),MIN($N123,INT(EM$44-1-1)+1),$DC123,IF($DD123="No",1,0))/
IF(DT123&gt;=INT($N123),$N123-INT($N123),1)))*
IF(EM$44=1,0,
IF(INT(DU123)=INT(DT123),DU123-DT123,INT(DU123)-DT123))+
IF($N123&lt;=1,
IF($N123&gt;0,1/$N123,0),VDB(1,0,$N123,INT(EM$44-1),MIN($N123,INT(EM$44-1)+1),$DC123,IF($DD123="No",1,0))/
IF(DU123&gt;INT($N123),$N123-INT($N123),1))*
IF(EM$44=1,DU123,
IF(INT(DU123)=INT(DT123),0,DU123-INT(DU123)))))</f>
        <v>0</v>
      </c>
      <c r="EN123" s="833"/>
      <c r="EO123" s="834">
        <f>+IF(OR(DW123=DV123,EO$44=1),0,
IF(AND(EO$44&gt;1,DW123=$N123),1-SUM($EN123:EN123),
IF($N123&lt;=1,
IF($N123&gt;0,1/$N123,0),
IF(EO$44=2,0,VDB(1,0,$N123,INT(EO$44-2-1),MIN($N123,INT(EO$44-2-1)+1),$DC123,IF($DD123="No",1,0))/
IF(DV123&gt;=INT($N123),$N123-INT($N123),1)))*
IF(EO$44=2,0,
IF(INT(DW123)=INT(DV123),DW123-DV123,INT(DW123)-DV123))+
IF($N123&lt;=1,
IF($N123&gt;0,1/$N123,0),VDB(1,0,$N123,INT(EO$44-2),MIN($N123,INT(EO$44-2)+1),$DC123,IF($DD123="No",1,0))/
IF(DW123&gt;INT($N123),$N123-INT($N123),1))*
IF(EO$44=2,DW123,
IF(INT(DW123)=INT(DV123),0,DW123-INT(DW123)))))</f>
        <v>0</v>
      </c>
      <c r="EP123" s="835">
        <f>+IF(OR(DX123=DW123,EP$44=1),0,
IF(AND(EP$44&gt;1,DX123=$N123),1-SUM($EN123:EO123),
IF($N123&lt;=1,
IF($N123&gt;0,1/$N123,0),
IF(EP$44=2,0,VDB(1,0,$N123,INT(EP$44-2-1),MIN($N123,INT(EP$44-2-1)+1),$DC123,IF($DD123="No",1,0))/
IF(DW123&gt;=INT($N123),$N123-INT($N123),1)))*
IF(EP$44=2,0,
IF(INT(DX123)=INT(DW123),DX123-DW123,INT(DX123)-DW123))+
IF($N123&lt;=1,
IF($N123&gt;0,1/$N123,0),VDB(1,0,$N123,INT(EP$44-2),MIN($N123,INT(EP$44-2)+1),$DC123,IF($DD123="No",1,0))/
IF(DX123&gt;INT($N123),$N123-INT($N123),1))*
IF(EP$44=2,DX123,
IF(INT(DX123)=INT(DW123),0,DX123-INT(DX123)))))</f>
        <v>0</v>
      </c>
      <c r="EQ123" s="836">
        <f>+IF(OR(DY123=DX123,EQ$44=1),0,
IF(AND(EQ$44&gt;1,DY123=$N123),1-SUM($EN123:EP123),
IF($N123&lt;=1,
IF($N123&gt;0,1/$N123,0),
IF(EQ$44=2,0,VDB(1,0,$N123,INT(EQ$44-2-1),MIN($N123,INT(EQ$44-2-1)+1),$DC123,IF($DD123="No",1,0))/
IF(DX123&gt;=INT($N123),$N123-INT($N123),1)))*
IF(EQ$44=2,0,
IF(INT(DY123)=INT(DX123),DY123-DX123,INT(DY123)-DX123))+
IF($N123&lt;=1,
IF($N123&gt;0,1/$N123,0),VDB(1,0,$N123,INT(EQ$44-2),MIN($N123,INT(EQ$44-2)+1),$DC123,IF($DD123="No",1,0))/
IF(DY123&gt;INT($N123),$N123-INT($N123),1))*
IF(EQ$44=2,DY123,
IF(INT(DY123)=INT(DX123),0,DY123-INT(DY123)))))</f>
        <v>0</v>
      </c>
      <c r="ER123" s="834">
        <f>+IF(OR(DZ123=DY123,ER$44=1),0,
IF(AND(ER$44&gt;1,DZ123=$N123),1-SUM($EN123:EQ123),
IF($N123&lt;=1,
IF($N123&gt;0,1/$N123,0),
IF(ER$44=2,0,VDB(1,0,$N123,INT(ER$44-2-1),MIN($N123,INT(ER$44-2-1)+1),$DC123,IF($DD123="No",1,0))/
IF(DY123&gt;=INT($N123),$N123-INT($N123),1)))*
IF(ER$44=2,0,
IF(INT(DZ123)=INT(DY123),DZ123-DY123,INT(DZ123)-DY123))+
IF($N123&lt;=1,
IF($N123&gt;0,1/$N123,0),VDB(1,0,$N123,INT(ER$44-2),MIN($N123,INT(ER$44-2)+1),$DC123,IF($DD123="No",1,0))/
IF(DZ123&gt;INT($N123),$N123-INT($N123),1))*
IF(ER$44=2,DZ123,
IF(INT(DZ123)=INT(DY123),0,DZ123-INT(DZ123)))))</f>
        <v>0</v>
      </c>
      <c r="ES123" s="835">
        <f>+IF(OR(EA123=DZ123,ES$44=1),0,
IF(AND(ES$44&gt;1,EA123=$N123),1-SUM($EN123:ER123),
IF($N123&lt;=1,
IF($N123&gt;0,1/$N123,0),
IF(ES$44=2,0,VDB(1,0,$N123,INT(ES$44-2-1),MIN($N123,INT(ES$44-2-1)+1),$DC123,IF($DD123="No",1,0))/
IF(DZ123&gt;=INT($N123),$N123-INT($N123),1)))*
IF(ES$44=2,0,
IF(INT(EA123)=INT(DZ123),EA123-DZ123,INT(EA123)-DZ123))+
IF($N123&lt;=1,
IF($N123&gt;0,1/$N123,0),VDB(1,0,$N123,INT(ES$44-2),MIN($N123,INT(ES$44-2)+1),$DC123,IF($DD123="No",1,0))/
IF(EA123&gt;INT($N123),$N123-INT($N123),1))*
IF(ES$44=2,EA123,
IF(INT(EA123)=INT(DZ123),0,EA123-INT(EA123)))))</f>
        <v>0</v>
      </c>
      <c r="ET123" s="835">
        <f>+IF(OR(EB123=EA123,ET$44=1),0,
IF(AND(ET$44&gt;1,EB123=$N123),1-SUM($EN123:ES123),
IF($N123&lt;=1,
IF($N123&gt;0,1/$N123,0),
IF(ET$44=2,0,VDB(1,0,$N123,INT(ET$44-2-1),MIN($N123,INT(ET$44-2-1)+1),$DC123,IF($DD123="No",1,0))/
IF(EA123&gt;=INT($N123),$N123-INT($N123),1)))*
IF(ET$44=2,0,
IF(INT(EB123)=INT(EA123),EB123-EA123,INT(EB123)-EA123))+
IF($N123&lt;=1,
IF($N123&gt;0,1/$N123,0),VDB(1,0,$N123,INT(ET$44-2),MIN($N123,INT(ET$44-2)+1),$DC123,IF($DD123="No",1,0))/
IF(EB123&gt;INT($N123),$N123-INT($N123),1))*
IF(ET$44=2,EB123,
IF(INT(EB123)=INT(EA123),0,EB123-INT(EB123)))))</f>
        <v>0</v>
      </c>
      <c r="EU123" s="835">
        <f>+IF(OR(EC123=EB123,EU$44=1),0,
IF(AND(EU$44&gt;1,EC123=$N123),1-SUM($EN123:ET123),
IF($N123&lt;=1,
IF($N123&gt;0,1/$N123,0),
IF(EU$44=2,0,VDB(1,0,$N123,INT(EU$44-2-1),MIN($N123,INT(EU$44-2-1)+1),$DC123,IF($DD123="No",1,0))/
IF(EB123&gt;=INT($N123),$N123-INT($N123),1)))*
IF(EU$44=2,0,
IF(INT(EC123)=INT(EB123),EC123-EB123,INT(EC123)-EB123))+
IF($N123&lt;=1,
IF($N123&gt;0,1/$N123,0),VDB(1,0,$N123,INT(EU$44-2),MIN($N123,INT(EU$44-2)+1),$DC123,IF($DD123="No",1,0))/
IF(EC123&gt;INT($N123),$N123-INT($N123),1))*
IF(EU$44=2,EC123,
IF(INT(EC123)=INT(EB123),0,EC123-INT(EC123)))))</f>
        <v>0</v>
      </c>
      <c r="EV123" s="836">
        <f>+IF(OR(ED123=EC123,EV$44=1),0,
IF(AND(EV$44&gt;1,ED123=$N123),1-SUM($EN123:EU123),
IF($N123&lt;=1,
IF($N123&gt;0,1/$N123,0),
IF(EV$44=2,0,VDB(1,0,$N123,INT(EV$44-2-1),MIN($N123,INT(EV$44-2-1)+1),$DC123,IF($DD123="No",1,0))/
IF(EC123&gt;=INT($N123),$N123-INT($N123),1)))*
IF(EV$44=2,0,
IF(INT(ED123)=INT(EC123),ED123-EC123,INT(ED123)-EC123))+
IF($N123&lt;=1,
IF($N123&gt;0,1/$N123,0),VDB(1,0,$N123,INT(EV$44-2),MIN($N123,INT(EV$44-2)+1),$DC123,IF($DD123="No",1,0))/
IF(ED123&gt;INT($N123),$N123-INT($N123),1))*
IF(EV$44=2,ED123,
IF(INT(ED123)=INT(EC123),0,ED123-INT(ED123)))))</f>
        <v>0</v>
      </c>
      <c r="EW123" s="833"/>
      <c r="EX123" s="834">
        <f t="shared" ca="1" si="301"/>
        <v>0</v>
      </c>
      <c r="EY123" s="835">
        <f t="shared" ca="1" si="301"/>
        <v>0</v>
      </c>
      <c r="EZ123" s="836">
        <f t="shared" ca="1" si="301"/>
        <v>0</v>
      </c>
      <c r="FA123" s="834">
        <f t="shared" ca="1" si="301"/>
        <v>0</v>
      </c>
      <c r="FB123" s="835">
        <f t="shared" ca="1" si="301"/>
        <v>0</v>
      </c>
      <c r="FC123" s="835">
        <f t="shared" ca="1" si="301"/>
        <v>0</v>
      </c>
      <c r="FD123" s="835">
        <f t="shared" ca="1" si="301"/>
        <v>0</v>
      </c>
      <c r="FE123" s="836">
        <f t="shared" ca="1" si="301"/>
        <v>0</v>
      </c>
      <c r="FG123" s="386">
        <f t="shared" ca="1" si="293"/>
        <v>0</v>
      </c>
      <c r="FH123" s="387">
        <f t="shared" ca="1" si="294"/>
        <v>0</v>
      </c>
      <c r="FI123" s="388">
        <f t="shared" ca="1" si="295"/>
        <v>0</v>
      </c>
      <c r="FJ123" s="386">
        <f t="shared" ca="1" si="296"/>
        <v>0</v>
      </c>
      <c r="FK123" s="387">
        <f t="shared" ca="1" si="297"/>
        <v>0</v>
      </c>
      <c r="FL123" s="387">
        <f t="shared" ca="1" si="298"/>
        <v>0</v>
      </c>
      <c r="FM123" s="387">
        <f t="shared" ca="1" si="299"/>
        <v>0</v>
      </c>
      <c r="FN123" s="388">
        <f t="shared" ca="1" si="300"/>
        <v>0</v>
      </c>
      <c r="FR123" s="116"/>
    </row>
    <row r="124" spans="2:174">
      <c r="B124" s="1410">
        <f t="shared" si="135"/>
        <v>78</v>
      </c>
      <c r="C124" s="400" t="s">
        <v>617</v>
      </c>
      <c r="D124" s="410"/>
      <c r="E124" s="402" t="s">
        <v>402</v>
      </c>
      <c r="F124" s="402" t="s">
        <v>527</v>
      </c>
      <c r="G124" s="400" t="s">
        <v>522</v>
      </c>
      <c r="H124" s="2088" t="s">
        <v>483</v>
      </c>
      <c r="I124" s="2089"/>
      <c r="J124" s="411" t="s">
        <v>516</v>
      </c>
      <c r="K124" s="403" t="s">
        <v>544</v>
      </c>
      <c r="L124" s="403">
        <v>50</v>
      </c>
      <c r="M124" s="403" t="s">
        <v>142</v>
      </c>
      <c r="N124" s="403"/>
      <c r="O124" s="347"/>
      <c r="P124" s="347"/>
      <c r="Q124" s="1021">
        <v>6.6509151219512201</v>
      </c>
      <c r="R124" s="1022">
        <v>10.946288856632959</v>
      </c>
      <c r="S124" s="1022">
        <v>0.49667903831923521</v>
      </c>
      <c r="T124" s="1022">
        <v>0</v>
      </c>
      <c r="U124" s="1023">
        <v>0</v>
      </c>
      <c r="V124" s="1021">
        <v>0</v>
      </c>
      <c r="W124" s="1022">
        <v>0</v>
      </c>
      <c r="X124" s="1022">
        <v>0</v>
      </c>
      <c r="Y124" s="1022">
        <v>0</v>
      </c>
      <c r="Z124" s="1023">
        <v>0</v>
      </c>
      <c r="AA124" s="1024"/>
      <c r="AB124" s="1021">
        <v>0</v>
      </c>
      <c r="AC124" s="1022">
        <v>0</v>
      </c>
      <c r="AD124" s="1022">
        <v>0</v>
      </c>
      <c r="AE124" s="1022">
        <v>0</v>
      </c>
      <c r="AF124" s="1023">
        <v>0</v>
      </c>
      <c r="AG124" s="1021">
        <v>0</v>
      </c>
      <c r="AH124" s="1022">
        <v>0</v>
      </c>
      <c r="AI124" s="1022">
        <v>0</v>
      </c>
      <c r="AJ124" s="1022">
        <v>0</v>
      </c>
      <c r="AK124" s="1023">
        <v>0</v>
      </c>
      <c r="AL124" s="1024"/>
      <c r="AM124" s="1021">
        <v>0</v>
      </c>
      <c r="AN124" s="1022">
        <v>0</v>
      </c>
      <c r="AO124" s="1022">
        <v>0</v>
      </c>
      <c r="AP124" s="1022">
        <v>0</v>
      </c>
      <c r="AQ124" s="1023">
        <v>0</v>
      </c>
      <c r="AR124" s="1021">
        <v>0</v>
      </c>
      <c r="AS124" s="1022">
        <v>0</v>
      </c>
      <c r="AT124" s="1022">
        <v>0</v>
      </c>
      <c r="AU124" s="1022">
        <v>0</v>
      </c>
      <c r="AV124" s="1023">
        <v>0</v>
      </c>
      <c r="AW124" s="1025"/>
      <c r="AX124" s="1282">
        <f t="shared" si="247"/>
        <v>6.6509151219512201</v>
      </c>
      <c r="AY124" s="387">
        <f t="shared" si="248"/>
        <v>10.946288856632959</v>
      </c>
      <c r="AZ124" s="387">
        <f t="shared" si="249"/>
        <v>0.49667903831923521</v>
      </c>
      <c r="BA124" s="387">
        <f t="shared" si="250"/>
        <v>0</v>
      </c>
      <c r="BB124" s="1283">
        <f t="shared" si="251"/>
        <v>0</v>
      </c>
      <c r="BC124" s="386">
        <f t="shared" si="252"/>
        <v>0</v>
      </c>
      <c r="BD124" s="387">
        <f t="shared" si="253"/>
        <v>0</v>
      </c>
      <c r="BE124" s="1277">
        <f t="shared" si="254"/>
        <v>0</v>
      </c>
      <c r="BF124" s="1277">
        <f t="shared" si="255"/>
        <v>0</v>
      </c>
      <c r="BG124" s="388">
        <f t="shared" si="256"/>
        <v>0</v>
      </c>
      <c r="BH124" s="1025"/>
      <c r="BI124" s="1282">
        <f t="shared" ca="1" si="257"/>
        <v>6.6509151219512203E-2</v>
      </c>
      <c r="BJ124" s="387">
        <f t="shared" ca="1" si="258"/>
        <v>0.24248119100535398</v>
      </c>
      <c r="BK124" s="387">
        <f t="shared" ca="1" si="259"/>
        <v>0.35691086995487598</v>
      </c>
      <c r="BL124" s="387">
        <f t="shared" ca="1" si="260"/>
        <v>0.36187766033806829</v>
      </c>
      <c r="BM124" s="1283">
        <f t="shared" ca="1" si="261"/>
        <v>0.36187766033806829</v>
      </c>
      <c r="BN124" s="386">
        <f t="shared" ca="1" si="262"/>
        <v>0.36187766033806829</v>
      </c>
      <c r="BO124" s="387">
        <f t="shared" ca="1" si="263"/>
        <v>0.36187766033806829</v>
      </c>
      <c r="BP124" s="1277">
        <f t="shared" ca="1" si="264"/>
        <v>0.36187766033806829</v>
      </c>
      <c r="BQ124" s="1277">
        <f t="shared" ca="1" si="265"/>
        <v>0.36187766033806829</v>
      </c>
      <c r="BR124" s="388">
        <f t="shared" ca="1" si="266"/>
        <v>0.36187766033806829</v>
      </c>
      <c r="BS124" s="1025"/>
      <c r="BT124" s="1282">
        <f>+IF($K124="Ongoing",AX124,IF(RIGHT($K124,2)=RIGHT(BT$43,2),SUM($AX124:AX124),0)+IF(RIGHT(BT$43,2)&gt;RIGHT($K124,2),AX124,0))</f>
        <v>6.6509151219512201</v>
      </c>
      <c r="BU124" s="387">
        <f>+IF($K124="Ongoing",AY124,IF(RIGHT($K124,2)=RIGHT(BU$43,2),SUM($AX124:AY124),0)+IF(RIGHT(BU$43,2)&gt;RIGHT($K124,2),AY124,0))</f>
        <v>10.946288856632959</v>
      </c>
      <c r="BV124" s="387">
        <f>+IF($K124="Ongoing",AZ124,IF(RIGHT($K124,2)=RIGHT(BV$43,2),SUM($AX124:AZ124),0)+IF(RIGHT(BV$43,2)&gt;RIGHT($K124,2),AZ124,0))</f>
        <v>0.49667903831923521</v>
      </c>
      <c r="BW124" s="387">
        <f>+IF($K124="Ongoing",BA124,IF(RIGHT($K124,2)=RIGHT(BW$43,2),SUM($AX124:BA124),0)+IF(RIGHT(BW$43,2)&gt;RIGHT($K124,2),BA124,0))</f>
        <v>0</v>
      </c>
      <c r="BX124" s="1283">
        <f>+IF($K124="Ongoing",BB124,IF(RIGHT($K124,2)=RIGHT(BX$43,2),SUM($AX124:BB124),0)+IF(RIGHT(BX$43,2)&gt;RIGHT($K124,2),BB124,0))</f>
        <v>0</v>
      </c>
      <c r="BY124" s="386">
        <f>+IF($K124="Ongoing",BC124,IF(RIGHT($K124,2)=RIGHT(BY$43,2),SUM($AX124:BC124),0)+IF(RIGHT(BY$43,2)&gt;RIGHT($K124,2),BC124,0))</f>
        <v>0</v>
      </c>
      <c r="BZ124" s="387">
        <f>+IF($K124="Ongoing",BD124,IF(RIGHT($K124,2)=RIGHT(BZ$43,2),SUM($AX124:BD124),0)+IF(RIGHT(BZ$43,2)&gt;RIGHT($K124,2),BD124,0))</f>
        <v>0</v>
      </c>
      <c r="CA124" s="1277">
        <f>+IF($K124="Ongoing",BE124,IF(RIGHT($K124,2)=RIGHT(CA$43,2),SUM($AX124:BE124),0)+IF(RIGHT(CA$43,2)&gt;RIGHT($K124,2),BE124,0))</f>
        <v>0</v>
      </c>
      <c r="CB124" s="1277">
        <f>+IF($K124="Ongoing",BF124,IF(RIGHT($K124,2)=RIGHT(CB$43,2),SUM($AX124:BF124),0)+IF(RIGHT(CB$43,2)&gt;RIGHT($K124,2),BF124,0))</f>
        <v>0</v>
      </c>
      <c r="CC124" s="388">
        <f>+IF($K124="Ongoing",BG124,IF(RIGHT($K124,2)=RIGHT(CC$43,2),SUM($AX124:BG124),0)+IF(RIGHT(CC$43,2)&gt;RIGHT($K124,2),BG124,0))</f>
        <v>0</v>
      </c>
      <c r="CD124" s="1025"/>
      <c r="CE124" s="1282">
        <f>+Q124*KeyAssumptionsPriceControl_FO!AF$15</f>
        <v>6.8437916604878053</v>
      </c>
      <c r="CF124" s="387">
        <f>+R124*KeyAssumptionsPriceControl_FO!AG$15</f>
        <v>11.590379439246098</v>
      </c>
      <c r="CG124" s="387">
        <f>+S124*KeyAssumptionsPriceControl_FO!AH$15</f>
        <v>0.54115534937175358</v>
      </c>
      <c r="CH124" s="387">
        <f>+T124*KeyAssumptionsPriceControl_FO!AI$15</f>
        <v>0</v>
      </c>
      <c r="CI124" s="1283">
        <f>+U124*KeyAssumptionsPriceControl_FO!AJ$15</f>
        <v>0</v>
      </c>
      <c r="CJ124" s="386">
        <f>+V124*KeyAssumptionsPriceControl_FO!AK$15</f>
        <v>0</v>
      </c>
      <c r="CK124" s="387">
        <f>+W124*KeyAssumptionsPriceControl_FO!AL$15</f>
        <v>0</v>
      </c>
      <c r="CL124" s="1277">
        <f>+X124*KeyAssumptionsPriceControl_FO!AM$15</f>
        <v>0</v>
      </c>
      <c r="CM124" s="1277">
        <f>+Y124*KeyAssumptionsPriceControl_FO!AN$15</f>
        <v>0</v>
      </c>
      <c r="CN124" s="388">
        <f>+Z124*KeyAssumptionsPriceControl_FO!AO$15</f>
        <v>0</v>
      </c>
      <c r="CO124" s="1025"/>
      <c r="CP124" s="1282">
        <f t="shared" ca="1" si="267"/>
        <v>0</v>
      </c>
      <c r="CQ124" s="387">
        <f t="shared" ca="1" si="268"/>
        <v>0</v>
      </c>
      <c r="CR124" s="387">
        <f t="shared" ca="1" si="269"/>
        <v>0</v>
      </c>
      <c r="CS124" s="387">
        <f t="shared" ca="1" si="270"/>
        <v>0</v>
      </c>
      <c r="CT124" s="1283">
        <f t="shared" ca="1" si="271"/>
        <v>0</v>
      </c>
      <c r="CU124" s="386">
        <f t="shared" ca="1" si="272"/>
        <v>0</v>
      </c>
      <c r="CV124" s="387">
        <f t="shared" ca="1" si="273"/>
        <v>0</v>
      </c>
      <c r="CW124" s="1277">
        <f t="shared" ca="1" si="274"/>
        <v>0</v>
      </c>
      <c r="CX124" s="1277">
        <f t="shared" ca="1" si="275"/>
        <v>0</v>
      </c>
      <c r="CY124" s="388">
        <f t="shared" ca="1" si="276"/>
        <v>0</v>
      </c>
      <c r="CZ124" s="347"/>
      <c r="DA124" s="852"/>
      <c r="DB124" s="347"/>
      <c r="DC124" s="1012" t="s">
        <v>619</v>
      </c>
      <c r="DD124" s="841" t="s">
        <v>518</v>
      </c>
      <c r="DE124" s="386">
        <f>+IF($K124="ongoing",CE124,IF(RIGHT($K124,2)=RIGHT(DE$43,2),SUM($CD124:CE124),0)+IF(RIGHT(DE$43,2)&gt;RIGHT($K124,2),CE124,0))</f>
        <v>6.8437916604878053</v>
      </c>
      <c r="DF124" s="387">
        <f>+IF($K124="ongoing",CF124,IF(RIGHT($K124,2)=RIGHT(DF$43,2),SUM($CD124:CF124),0)+IF(RIGHT(DF$43,2)&gt;RIGHT($K124,2),CF124,0))</f>
        <v>11.590379439246098</v>
      </c>
      <c r="DG124" s="388">
        <f>+IF($K124="ongoing",CG124,IF(RIGHT($K124,2)=RIGHT(DG$43,2),SUM($CD124:CG124),0)+IF(RIGHT(DG$43,2)&gt;RIGHT($K124,2),CG124,0))</f>
        <v>0.54115534937175358</v>
      </c>
      <c r="DH124" s="386">
        <f>+IF($K124="ongoing",CH124,IF(RIGHT($K124,2)=RIGHT(DH$43,2),SUM($CD124:CH124),0)+IF(RIGHT(DH$43,2)&gt;RIGHT($K124,2),CH124,0))</f>
        <v>0</v>
      </c>
      <c r="DI124" s="387">
        <f>+IF($K124="ongoing",CI124,IF(RIGHT($K124,2)=RIGHT(DI$43,2),SUM($CD124:CI124),0)+IF(RIGHT(DI$43,2)&gt;RIGHT($K124,2),CI124,0))</f>
        <v>0</v>
      </c>
      <c r="DJ124" s="387">
        <f>+IF($K124="ongoing",CJ124,IF(RIGHT($K124,2)=RIGHT(DJ$43,2),SUM($CD124:CJ124),0)+IF(RIGHT(DJ$43,2)&gt;RIGHT($K124,2),CJ124,0))</f>
        <v>0</v>
      </c>
      <c r="DK124" s="387">
        <f>+IF($K124="ongoing",CK124,IF(RIGHT($K124,2)=RIGHT(DK$43,2),SUM($CD124:CK124),0)+IF(RIGHT(DK$43,2)&gt;RIGHT($K124,2),CK124,0))</f>
        <v>0</v>
      </c>
      <c r="DL124" s="388">
        <f>+IF($K124="ongoing",CN124,IF(RIGHT($K124,2)=RIGHT(DL$43,2),SUM($CD124:CN124),0)+IF(RIGHT(DL$43,2)&gt;RIGHT($K124,2),CN124,0))</f>
        <v>0</v>
      </c>
      <c r="DM124" s="841"/>
      <c r="DN124" s="386">
        <f t="shared" si="277"/>
        <v>0.5</v>
      </c>
      <c r="DO124" s="387">
        <f t="shared" si="278"/>
        <v>1</v>
      </c>
      <c r="DP124" s="388">
        <f t="shared" si="279"/>
        <v>1</v>
      </c>
      <c r="DQ124" s="386">
        <f t="shared" si="280"/>
        <v>1</v>
      </c>
      <c r="DR124" s="387">
        <f t="shared" si="281"/>
        <v>1</v>
      </c>
      <c r="DS124" s="387">
        <f t="shared" si="282"/>
        <v>1</v>
      </c>
      <c r="DT124" s="387">
        <f t="shared" si="283"/>
        <v>1</v>
      </c>
      <c r="DU124" s="388">
        <f t="shared" si="284"/>
        <v>1</v>
      </c>
      <c r="DW124" s="386">
        <f t="shared" si="285"/>
        <v>0</v>
      </c>
      <c r="DX124" s="387">
        <f t="shared" si="286"/>
        <v>0.5</v>
      </c>
      <c r="DY124" s="388">
        <f t="shared" si="287"/>
        <v>1</v>
      </c>
      <c r="DZ124" s="386">
        <f t="shared" si="288"/>
        <v>1</v>
      </c>
      <c r="EA124" s="387">
        <f t="shared" si="289"/>
        <v>1</v>
      </c>
      <c r="EB124" s="387">
        <f t="shared" si="290"/>
        <v>1</v>
      </c>
      <c r="EC124" s="387">
        <f t="shared" si="291"/>
        <v>1</v>
      </c>
      <c r="ED124" s="388">
        <f t="shared" si="292"/>
        <v>1</v>
      </c>
      <c r="EF124" s="834">
        <f>+IF(DN124=DM124,0,
IF(AND(EF$44&gt;1,DN124=$N124),1-SUM($EE124:EE124),
IF($N124&lt;=1,
IF($N124&gt;0,1/$N124,0),
IF(EF$44=1,0,VDB(1,0,$N124,INT(EF$44-1-1),MIN($N124,INT(EF$44-1-1)+1),$DC124,IF($DD124="No",1,0))/
IF(DM124&gt;=INT($N124),$N124-INT($N124),1)))*
IF(EF$44=1,0,
IF(INT(DN124)=INT(DM124),DN124-DM124,INT(DN124)-DM124))+
IF($N124&lt;=1,
IF($N124&gt;0,1/$N124,0),VDB(1,0,$N124,INT(EF$44-1),MIN($N124,INT(EF$44-1)+1),$DC124,IF($DD124="No",1,0))/
IF(DN124&gt;INT($N124),$N124-INT($N124),1))*
IF(EF$44=1,DN124,
IF(INT(DN124)=INT(DM124),0,DN124-INT(DN124)))))</f>
        <v>0</v>
      </c>
      <c r="EG124" s="835">
        <f>+IF(DO124=DN124,0,
IF(AND(EG$44&gt;1,DO124=$N124),1-SUM($EE124:EF124),
IF($N124&lt;=1,
IF($N124&gt;0,1/$N124,0),
IF(EG$44=1,0,VDB(1,0,$N124,INT(EG$44-1-1),MIN($N124,INT(EG$44-1-1)+1),$DC124,IF($DD124="No",1,0))/
IF(DN124&gt;=INT($N124),$N124-INT($N124),1)))*
IF(EG$44=1,0,
IF(INT(DO124)=INT(DN124),DO124-DN124,INT(DO124)-DN124))+
IF($N124&lt;=1,
IF($N124&gt;0,1/$N124,0),VDB(1,0,$N124,INT(EG$44-1),MIN($N124,INT(EG$44-1)+1),$DC124,IF($DD124="No",1,0))/
IF(DO124&gt;INT($N124),$N124-INT($N124),1))*
IF(EG$44=1,DO124,
IF(INT(DO124)=INT(DN124),0,DO124-INT(DO124)))))</f>
        <v>0</v>
      </c>
      <c r="EH124" s="836">
        <f>+IF(DP124=DO124,0,
IF(AND(EH$44&gt;1,DP124=$N124),1-SUM($EE124:EG124),
IF($N124&lt;=1,
IF($N124&gt;0,1/$N124,0),
IF(EH$44=1,0,VDB(1,0,$N124,INT(EH$44-1-1),MIN($N124,INT(EH$44-1-1)+1),$DC124,IF($DD124="No",1,0))/
IF(DO124&gt;=INT($N124),$N124-INT($N124),1)))*
IF(EH$44=1,0,
IF(INT(DP124)=INT(DO124),DP124-DO124,INT(DP124)-DO124))+
IF($N124&lt;=1,
IF($N124&gt;0,1/$N124,0),VDB(1,0,$N124,INT(EH$44-1),MIN($N124,INT(EH$44-1)+1),$DC124,IF($DD124="No",1,0))/
IF(DP124&gt;INT($N124),$N124-INT($N124),1))*
IF(EH$44=1,DP124,
IF(INT(DP124)=INT(DO124),0,DP124-INT(DP124)))))</f>
        <v>0</v>
      </c>
      <c r="EI124" s="834">
        <f>+IF(DQ124=DP124,0,
IF(AND(EI$44&gt;1,DQ124=$N124),1-SUM($EE124:EH124),
IF($N124&lt;=1,
IF($N124&gt;0,1/$N124,0),
IF(EI$44=1,0,VDB(1,0,$N124,INT(EI$44-1-1),MIN($N124,INT(EI$44-1-1)+1),$DC124,IF($DD124="No",1,0))/
IF(DP124&gt;=INT($N124),$N124-INT($N124),1)))*
IF(EI$44=1,0,
IF(INT(DQ124)=INT(DP124),DQ124-DP124,INT(DQ124)-DP124))+
IF($N124&lt;=1,
IF($N124&gt;0,1/$N124,0),VDB(1,0,$N124,INT(EI$44-1),MIN($N124,INT(EI$44-1)+1),$DC124,IF($DD124="No",1,0))/
IF(DQ124&gt;INT($N124),$N124-INT($N124),1))*
IF(EI$44=1,DQ124,
IF(INT(DQ124)=INT(DP124),0,DQ124-INT(DQ124)))))</f>
        <v>0</v>
      </c>
      <c r="EJ124" s="835">
        <f>+IF(DR124=DQ124,0,
IF(AND(EJ$44&gt;1,DR124=$N124),1-SUM($EE124:EI124),
IF($N124&lt;=1,
IF($N124&gt;0,1/$N124,0),
IF(EJ$44=1,0,VDB(1,0,$N124,INT(EJ$44-1-1),MIN($N124,INT(EJ$44-1-1)+1),$DC124,IF($DD124="No",1,0))/
IF(DQ124&gt;=INT($N124),$N124-INT($N124),1)))*
IF(EJ$44=1,0,
IF(INT(DR124)=INT(DQ124),DR124-DQ124,INT(DR124)-DQ124))+
IF($N124&lt;=1,
IF($N124&gt;0,1/$N124,0),VDB(1,0,$N124,INT(EJ$44-1),MIN($N124,INT(EJ$44-1)+1),$DC124,IF($DD124="No",1,0))/
IF(DR124&gt;INT($N124),$N124-INT($N124),1))*
IF(EJ$44=1,DR124,
IF(INT(DR124)=INT(DQ124),0,DR124-INT(DR124)))))</f>
        <v>0</v>
      </c>
      <c r="EK124" s="835">
        <f>+IF(DS124=DR124,0,
IF(AND(EK$44&gt;1,DS124=$N124),1-SUM($EE124:EJ124),
IF($N124&lt;=1,
IF($N124&gt;0,1/$N124,0),
IF(EK$44=1,0,VDB(1,0,$N124,INT(EK$44-1-1),MIN($N124,INT(EK$44-1-1)+1),$DC124,IF($DD124="No",1,0))/
IF(DR124&gt;=INT($N124),$N124-INT($N124),1)))*
IF(EK$44=1,0,
IF(INT(DS124)=INT(DR124),DS124-DR124,INT(DS124)-DR124))+
IF($N124&lt;=1,
IF($N124&gt;0,1/$N124,0),VDB(1,0,$N124,INT(EK$44-1),MIN($N124,INT(EK$44-1)+1),$DC124,IF($DD124="No",1,0))/
IF(DS124&gt;INT($N124),$N124-INT($N124),1))*
IF(EK$44=1,DS124,
IF(INT(DS124)=INT(DR124),0,DS124-INT(DS124)))))</f>
        <v>0</v>
      </c>
      <c r="EL124" s="835">
        <f>+IF(DT124=DS124,0,
IF(AND(EL$44&gt;1,DT124=$N124),1-SUM($EE124:EK124),
IF($N124&lt;=1,
IF($N124&gt;0,1/$N124,0),
IF(EL$44=1,0,VDB(1,0,$N124,INT(EL$44-1-1),MIN($N124,INT(EL$44-1-1)+1),$DC124,IF($DD124="No",1,0))/
IF(DS124&gt;=INT($N124),$N124-INT($N124),1)))*
IF(EL$44=1,0,
IF(INT(DT124)=INT(DS124),DT124-DS124,INT(DT124)-DS124))+
IF($N124&lt;=1,
IF($N124&gt;0,1/$N124,0),VDB(1,0,$N124,INT(EL$44-1),MIN($N124,INT(EL$44-1)+1),$DC124,IF($DD124="No",1,0))/
IF(DT124&gt;INT($N124),$N124-INT($N124),1))*
IF(EL$44=1,DT124,
IF(INT(DT124)=INT(DS124),0,DT124-INT(DT124)))))</f>
        <v>0</v>
      </c>
      <c r="EM124" s="836">
        <f>+IF(DU124=DT124,0,
IF(AND(EM$44&gt;1,DU124=$N124),1-SUM($EE124:EL124),
IF($N124&lt;=1,
IF($N124&gt;0,1/$N124,0),
IF(EM$44=1,0,VDB(1,0,$N124,INT(EM$44-1-1),MIN($N124,INT(EM$44-1-1)+1),$DC124,IF($DD124="No",1,0))/
IF(DT124&gt;=INT($N124),$N124-INT($N124),1)))*
IF(EM$44=1,0,
IF(INT(DU124)=INT(DT124),DU124-DT124,INT(DU124)-DT124))+
IF($N124&lt;=1,
IF($N124&gt;0,1/$N124,0),VDB(1,0,$N124,INT(EM$44-1),MIN($N124,INT(EM$44-1)+1),$DC124,IF($DD124="No",1,0))/
IF(DU124&gt;INT($N124),$N124-INT($N124),1))*
IF(EM$44=1,DU124,
IF(INT(DU124)=INT(DT124),0,DU124-INT(DU124)))))</f>
        <v>0</v>
      </c>
      <c r="EN124" s="833"/>
      <c r="EO124" s="834">
        <f>+IF(OR(DW124=DV124,EO$44=1),0,
IF(AND(EO$44&gt;1,DW124=$N124),1-SUM($EN124:EN124),
IF($N124&lt;=1,
IF($N124&gt;0,1/$N124,0),
IF(EO$44=2,0,VDB(1,0,$N124,INT(EO$44-2-1),MIN($N124,INT(EO$44-2-1)+1),$DC124,IF($DD124="No",1,0))/
IF(DV124&gt;=INT($N124),$N124-INT($N124),1)))*
IF(EO$44=2,0,
IF(INT(DW124)=INT(DV124),DW124-DV124,INT(DW124)-DV124))+
IF($N124&lt;=1,
IF($N124&gt;0,1/$N124,0),VDB(1,0,$N124,INT(EO$44-2),MIN($N124,INT(EO$44-2)+1),$DC124,IF($DD124="No",1,0))/
IF(DW124&gt;INT($N124),$N124-INT($N124),1))*
IF(EO$44=2,DW124,
IF(INT(DW124)=INT(DV124),0,DW124-INT(DW124)))))</f>
        <v>0</v>
      </c>
      <c r="EP124" s="835">
        <f>+IF(OR(DX124=DW124,EP$44=1),0,
IF(AND(EP$44&gt;1,DX124=$N124),1-SUM($EN124:EO124),
IF($N124&lt;=1,
IF($N124&gt;0,1/$N124,0),
IF(EP$44=2,0,VDB(1,0,$N124,INT(EP$44-2-1),MIN($N124,INT(EP$44-2-1)+1),$DC124,IF($DD124="No",1,0))/
IF(DW124&gt;=INT($N124),$N124-INT($N124),1)))*
IF(EP$44=2,0,
IF(INT(DX124)=INT(DW124),DX124-DW124,INT(DX124)-DW124))+
IF($N124&lt;=1,
IF($N124&gt;0,1/$N124,0),VDB(1,0,$N124,INT(EP$44-2),MIN($N124,INT(EP$44-2)+1),$DC124,IF($DD124="No",1,0))/
IF(DX124&gt;INT($N124),$N124-INT($N124),1))*
IF(EP$44=2,DX124,
IF(INT(DX124)=INT(DW124),0,DX124-INT(DX124)))))</f>
        <v>0</v>
      </c>
      <c r="EQ124" s="836">
        <f>+IF(OR(DY124=DX124,EQ$44=1),0,
IF(AND(EQ$44&gt;1,DY124=$N124),1-SUM($EN124:EP124),
IF($N124&lt;=1,
IF($N124&gt;0,1/$N124,0),
IF(EQ$44=2,0,VDB(1,0,$N124,INT(EQ$44-2-1),MIN($N124,INT(EQ$44-2-1)+1),$DC124,IF($DD124="No",1,0))/
IF(DX124&gt;=INT($N124),$N124-INT($N124),1)))*
IF(EQ$44=2,0,
IF(INT(DY124)=INT(DX124),DY124-DX124,INT(DY124)-DX124))+
IF($N124&lt;=1,
IF($N124&gt;0,1/$N124,0),VDB(1,0,$N124,INT(EQ$44-2),MIN($N124,INT(EQ$44-2)+1),$DC124,IF($DD124="No",1,0))/
IF(DY124&gt;INT($N124),$N124-INT($N124),1))*
IF(EQ$44=2,DY124,
IF(INT(DY124)=INT(DX124),0,DY124-INT(DY124)))))</f>
        <v>0</v>
      </c>
      <c r="ER124" s="834">
        <f>+IF(OR(DZ124=DY124,ER$44=1),0,
IF(AND(ER$44&gt;1,DZ124=$N124),1-SUM($EN124:EQ124),
IF($N124&lt;=1,
IF($N124&gt;0,1/$N124,0),
IF(ER$44=2,0,VDB(1,0,$N124,INT(ER$44-2-1),MIN($N124,INT(ER$44-2-1)+1),$DC124,IF($DD124="No",1,0))/
IF(DY124&gt;=INT($N124),$N124-INT($N124),1)))*
IF(ER$44=2,0,
IF(INT(DZ124)=INT(DY124),DZ124-DY124,INT(DZ124)-DY124))+
IF($N124&lt;=1,
IF($N124&gt;0,1/$N124,0),VDB(1,0,$N124,INT(ER$44-2),MIN($N124,INT(ER$44-2)+1),$DC124,IF($DD124="No",1,0))/
IF(DZ124&gt;INT($N124),$N124-INT($N124),1))*
IF(ER$44=2,DZ124,
IF(INT(DZ124)=INT(DY124),0,DZ124-INT(DZ124)))))</f>
        <v>0</v>
      </c>
      <c r="ES124" s="835">
        <f>+IF(OR(EA124=DZ124,ES$44=1),0,
IF(AND(ES$44&gt;1,EA124=$N124),1-SUM($EN124:ER124),
IF($N124&lt;=1,
IF($N124&gt;0,1/$N124,0),
IF(ES$44=2,0,VDB(1,0,$N124,INT(ES$44-2-1),MIN($N124,INT(ES$44-2-1)+1),$DC124,IF($DD124="No",1,0))/
IF(DZ124&gt;=INT($N124),$N124-INT($N124),1)))*
IF(ES$44=2,0,
IF(INT(EA124)=INT(DZ124),EA124-DZ124,INT(EA124)-DZ124))+
IF($N124&lt;=1,
IF($N124&gt;0,1/$N124,0),VDB(1,0,$N124,INT(ES$44-2),MIN($N124,INT(ES$44-2)+1),$DC124,IF($DD124="No",1,0))/
IF(EA124&gt;INT($N124),$N124-INT($N124),1))*
IF(ES$44=2,EA124,
IF(INT(EA124)=INT(DZ124),0,EA124-INT(EA124)))))</f>
        <v>0</v>
      </c>
      <c r="ET124" s="835">
        <f>+IF(OR(EB124=EA124,ET$44=1),0,
IF(AND(ET$44&gt;1,EB124=$N124),1-SUM($EN124:ES124),
IF($N124&lt;=1,
IF($N124&gt;0,1/$N124,0),
IF(ET$44=2,0,VDB(1,0,$N124,INT(ET$44-2-1),MIN($N124,INT(ET$44-2-1)+1),$DC124,IF($DD124="No",1,0))/
IF(EA124&gt;=INT($N124),$N124-INT($N124),1)))*
IF(ET$44=2,0,
IF(INT(EB124)=INT(EA124),EB124-EA124,INT(EB124)-EA124))+
IF($N124&lt;=1,
IF($N124&gt;0,1/$N124,0),VDB(1,0,$N124,INT(ET$44-2),MIN($N124,INT(ET$44-2)+1),$DC124,IF($DD124="No",1,0))/
IF(EB124&gt;INT($N124),$N124-INT($N124),1))*
IF(ET$44=2,EB124,
IF(INT(EB124)=INT(EA124),0,EB124-INT(EB124)))))</f>
        <v>0</v>
      </c>
      <c r="EU124" s="835">
        <f>+IF(OR(EC124=EB124,EU$44=1),0,
IF(AND(EU$44&gt;1,EC124=$N124),1-SUM($EN124:ET124),
IF($N124&lt;=1,
IF($N124&gt;0,1/$N124,0),
IF(EU$44=2,0,VDB(1,0,$N124,INT(EU$44-2-1),MIN($N124,INT(EU$44-2-1)+1),$DC124,IF($DD124="No",1,0))/
IF(EB124&gt;=INT($N124),$N124-INT($N124),1)))*
IF(EU$44=2,0,
IF(INT(EC124)=INT(EB124),EC124-EB124,INT(EC124)-EB124))+
IF($N124&lt;=1,
IF($N124&gt;0,1/$N124,0),VDB(1,0,$N124,INT(EU$44-2),MIN($N124,INT(EU$44-2)+1),$DC124,IF($DD124="No",1,0))/
IF(EC124&gt;INT($N124),$N124-INT($N124),1))*
IF(EU$44=2,EC124,
IF(INT(EC124)=INT(EB124),0,EC124-INT(EC124)))))</f>
        <v>0</v>
      </c>
      <c r="EV124" s="836">
        <f>+IF(OR(ED124=EC124,EV$44=1),0,
IF(AND(EV$44&gt;1,ED124=$N124),1-SUM($EN124:EU124),
IF($N124&lt;=1,
IF($N124&gt;0,1/$N124,0),
IF(EV$44=2,0,VDB(1,0,$N124,INT(EV$44-2-1),MIN($N124,INT(EV$44-2-1)+1),$DC124,IF($DD124="No",1,0))/
IF(EC124&gt;=INT($N124),$N124-INT($N124),1)))*
IF(EV$44=2,0,
IF(INT(ED124)=INT(EC124),ED124-EC124,INT(ED124)-EC124))+
IF($N124&lt;=1,
IF($N124&gt;0,1/$N124,0),VDB(1,0,$N124,INT(EV$44-2),MIN($N124,INT(EV$44-2)+1),$DC124,IF($DD124="No",1,0))/
IF(ED124&gt;INT($N124),$N124-INT($N124),1))*
IF(EV$44=2,ED124,
IF(INT(ED124)=INT(EC124),0,ED124-INT(ED124)))))</f>
        <v>0</v>
      </c>
      <c r="EW124" s="833"/>
      <c r="EX124" s="834">
        <f t="shared" ca="1" si="301"/>
        <v>0</v>
      </c>
      <c r="EY124" s="835">
        <f t="shared" ca="1" si="301"/>
        <v>0</v>
      </c>
      <c r="EZ124" s="836">
        <f t="shared" ca="1" si="301"/>
        <v>0</v>
      </c>
      <c r="FA124" s="834">
        <f t="shared" ca="1" si="301"/>
        <v>0</v>
      </c>
      <c r="FB124" s="835">
        <f t="shared" ca="1" si="301"/>
        <v>0</v>
      </c>
      <c r="FC124" s="835">
        <f t="shared" ca="1" si="301"/>
        <v>0</v>
      </c>
      <c r="FD124" s="835">
        <f t="shared" ca="1" si="301"/>
        <v>0</v>
      </c>
      <c r="FE124" s="836">
        <f t="shared" ca="1" si="301"/>
        <v>0</v>
      </c>
      <c r="FG124" s="386">
        <f t="shared" ca="1" si="293"/>
        <v>0</v>
      </c>
      <c r="FH124" s="387">
        <f t="shared" ca="1" si="294"/>
        <v>0</v>
      </c>
      <c r="FI124" s="388">
        <f t="shared" ca="1" si="295"/>
        <v>0</v>
      </c>
      <c r="FJ124" s="386">
        <f t="shared" ca="1" si="296"/>
        <v>0</v>
      </c>
      <c r="FK124" s="387">
        <f t="shared" ca="1" si="297"/>
        <v>0</v>
      </c>
      <c r="FL124" s="387">
        <f t="shared" ca="1" si="298"/>
        <v>0</v>
      </c>
      <c r="FM124" s="387">
        <f t="shared" ca="1" si="299"/>
        <v>0</v>
      </c>
      <c r="FN124" s="388">
        <f t="shared" ca="1" si="300"/>
        <v>0</v>
      </c>
      <c r="FR124" s="116"/>
    </row>
    <row r="125" spans="2:174">
      <c r="B125" s="1410">
        <f t="shared" si="135"/>
        <v>79</v>
      </c>
      <c r="C125" s="400" t="s">
        <v>620</v>
      </c>
      <c r="D125" s="410"/>
      <c r="E125" s="402" t="s">
        <v>402</v>
      </c>
      <c r="F125" s="402" t="s">
        <v>514</v>
      </c>
      <c r="G125" s="400" t="s">
        <v>522</v>
      </c>
      <c r="H125" s="2088" t="s">
        <v>483</v>
      </c>
      <c r="I125" s="2089"/>
      <c r="J125" s="411" t="s">
        <v>516</v>
      </c>
      <c r="K125" s="403" t="s">
        <v>544</v>
      </c>
      <c r="L125" s="403">
        <v>50</v>
      </c>
      <c r="M125" s="403" t="s">
        <v>142</v>
      </c>
      <c r="N125" s="403"/>
      <c r="O125" s="347"/>
      <c r="P125" s="347"/>
      <c r="Q125" s="1021">
        <v>0.46009756097560983</v>
      </c>
      <c r="R125" s="1022">
        <v>0.46360975609756105</v>
      </c>
      <c r="S125" s="1022">
        <v>0.46360975609756111</v>
      </c>
      <c r="T125" s="1022">
        <v>0.46360937106853706</v>
      </c>
      <c r="U125" s="1023">
        <v>0.46360985718839531</v>
      </c>
      <c r="V125" s="1021">
        <v>0.51512148867808427</v>
      </c>
      <c r="W125" s="1022">
        <v>0.51512100495057411</v>
      </c>
      <c r="X125" s="1022">
        <v>0.51512106650656697</v>
      </c>
      <c r="Y125" s="1022">
        <v>0.51512136677970266</v>
      </c>
      <c r="Z125" s="1023">
        <v>0.51512144489954281</v>
      </c>
      <c r="AA125" s="1024"/>
      <c r="AB125" s="1021">
        <v>0</v>
      </c>
      <c r="AC125" s="1022">
        <v>0</v>
      </c>
      <c r="AD125" s="1022">
        <v>0</v>
      </c>
      <c r="AE125" s="1022">
        <v>0</v>
      </c>
      <c r="AF125" s="1023">
        <v>0</v>
      </c>
      <c r="AG125" s="1021">
        <v>0</v>
      </c>
      <c r="AH125" s="1022">
        <v>0</v>
      </c>
      <c r="AI125" s="1022">
        <v>0</v>
      </c>
      <c r="AJ125" s="1022">
        <v>0</v>
      </c>
      <c r="AK125" s="1023">
        <v>0</v>
      </c>
      <c r="AL125" s="1024"/>
      <c r="AM125" s="1021">
        <v>0</v>
      </c>
      <c r="AN125" s="1022">
        <v>0</v>
      </c>
      <c r="AO125" s="1022">
        <v>0</v>
      </c>
      <c r="AP125" s="1022">
        <v>0</v>
      </c>
      <c r="AQ125" s="1023">
        <v>0</v>
      </c>
      <c r="AR125" s="1021">
        <v>0</v>
      </c>
      <c r="AS125" s="1022">
        <v>0</v>
      </c>
      <c r="AT125" s="1022">
        <v>0</v>
      </c>
      <c r="AU125" s="1022">
        <v>0</v>
      </c>
      <c r="AV125" s="1023">
        <v>0</v>
      </c>
      <c r="AW125" s="1025"/>
      <c r="AX125" s="1282">
        <f t="shared" si="247"/>
        <v>0.46009756097560983</v>
      </c>
      <c r="AY125" s="387">
        <f t="shared" si="248"/>
        <v>0.46360975609756105</v>
      </c>
      <c r="AZ125" s="387">
        <f t="shared" si="249"/>
        <v>0.46360975609756111</v>
      </c>
      <c r="BA125" s="387">
        <f t="shared" si="250"/>
        <v>0.46360937106853706</v>
      </c>
      <c r="BB125" s="1283">
        <f t="shared" si="251"/>
        <v>0.46360985718839531</v>
      </c>
      <c r="BC125" s="386">
        <f t="shared" si="252"/>
        <v>0.51512148867808427</v>
      </c>
      <c r="BD125" s="387">
        <f t="shared" si="253"/>
        <v>0.51512100495057411</v>
      </c>
      <c r="BE125" s="1277">
        <f t="shared" si="254"/>
        <v>0.51512106650656697</v>
      </c>
      <c r="BF125" s="1277">
        <f t="shared" si="255"/>
        <v>0.51512136677970266</v>
      </c>
      <c r="BG125" s="388">
        <f t="shared" si="256"/>
        <v>0.51512144489954281</v>
      </c>
      <c r="BH125" s="1025"/>
      <c r="BI125" s="1282">
        <f t="shared" ca="1" si="257"/>
        <v>4.6009756097560982E-3</v>
      </c>
      <c r="BJ125" s="387">
        <f t="shared" ca="1" si="258"/>
        <v>1.3838048780487807E-2</v>
      </c>
      <c r="BK125" s="387">
        <f t="shared" ca="1" si="259"/>
        <v>2.3110243902439029E-2</v>
      </c>
      <c r="BL125" s="387">
        <f t="shared" ca="1" si="260"/>
        <v>3.2382435174100013E-2</v>
      </c>
      <c r="BM125" s="1283">
        <f t="shared" ca="1" si="261"/>
        <v>4.1654627456669341E-2</v>
      </c>
      <c r="BN125" s="386">
        <f t="shared" ca="1" si="262"/>
        <v>5.1441940915334133E-2</v>
      </c>
      <c r="BO125" s="387">
        <f t="shared" ca="1" si="263"/>
        <v>6.1744365851620721E-2</v>
      </c>
      <c r="BP125" s="1277">
        <f t="shared" ca="1" si="264"/>
        <v>7.2046786566192123E-2</v>
      </c>
      <c r="BQ125" s="1277">
        <f t="shared" ca="1" si="265"/>
        <v>8.2349210899054823E-2</v>
      </c>
      <c r="BR125" s="388">
        <f t="shared" ca="1" si="266"/>
        <v>9.2651639015847276E-2</v>
      </c>
      <c r="BS125" s="1025"/>
      <c r="BT125" s="1282">
        <f>+IF($K125="Ongoing",AX125,IF(RIGHT($K125,2)=RIGHT(BT$43,2),SUM($AX125:AX125),0)+IF(RIGHT(BT$43,2)&gt;RIGHT($K125,2),AX125,0))</f>
        <v>0.46009756097560983</v>
      </c>
      <c r="BU125" s="387">
        <f>+IF($K125="Ongoing",AY125,IF(RIGHT($K125,2)=RIGHT(BU$43,2),SUM($AX125:AY125),0)+IF(RIGHT(BU$43,2)&gt;RIGHT($K125,2),AY125,0))</f>
        <v>0.46360975609756105</v>
      </c>
      <c r="BV125" s="387">
        <f>+IF($K125="Ongoing",AZ125,IF(RIGHT($K125,2)=RIGHT(BV$43,2),SUM($AX125:AZ125),0)+IF(RIGHT(BV$43,2)&gt;RIGHT($K125,2),AZ125,0))</f>
        <v>0.46360975609756111</v>
      </c>
      <c r="BW125" s="387">
        <f>+IF($K125="Ongoing",BA125,IF(RIGHT($K125,2)=RIGHT(BW$43,2),SUM($AX125:BA125),0)+IF(RIGHT(BW$43,2)&gt;RIGHT($K125,2),BA125,0))</f>
        <v>0.46360937106853706</v>
      </c>
      <c r="BX125" s="1283">
        <f>+IF($K125="Ongoing",BB125,IF(RIGHT($K125,2)=RIGHT(BX$43,2),SUM($AX125:BB125),0)+IF(RIGHT(BX$43,2)&gt;RIGHT($K125,2),BB125,0))</f>
        <v>0.46360985718839531</v>
      </c>
      <c r="BY125" s="386">
        <f>+IF($K125="Ongoing",BC125,IF(RIGHT($K125,2)=RIGHT(BY$43,2),SUM($AX125:BC125),0)+IF(RIGHT(BY$43,2)&gt;RIGHT($K125,2),BC125,0))</f>
        <v>0.51512148867808427</v>
      </c>
      <c r="BZ125" s="387">
        <f>+IF($K125="Ongoing",BD125,IF(RIGHT($K125,2)=RIGHT(BZ$43,2),SUM($AX125:BD125),0)+IF(RIGHT(BZ$43,2)&gt;RIGHT($K125,2),BD125,0))</f>
        <v>0.51512100495057411</v>
      </c>
      <c r="CA125" s="1277">
        <f>+IF($K125="Ongoing",BE125,IF(RIGHT($K125,2)=RIGHT(CA$43,2),SUM($AX125:BE125),0)+IF(RIGHT(CA$43,2)&gt;RIGHT($K125,2),BE125,0))</f>
        <v>0.51512106650656697</v>
      </c>
      <c r="CB125" s="1277">
        <f>+IF($K125="Ongoing",BF125,IF(RIGHT($K125,2)=RIGHT(CB$43,2),SUM($AX125:BF125),0)+IF(RIGHT(CB$43,2)&gt;RIGHT($K125,2),BF125,0))</f>
        <v>0.51512136677970266</v>
      </c>
      <c r="CC125" s="388">
        <f>+IF($K125="Ongoing",BG125,IF(RIGHT($K125,2)=RIGHT(CC$43,2),SUM($AX125:BG125),0)+IF(RIGHT(CC$43,2)&gt;RIGHT($K125,2),BG125,0))</f>
        <v>0.51512144489954281</v>
      </c>
      <c r="CD125" s="1025"/>
      <c r="CE125" s="1282">
        <f>+Q125*KeyAssumptionsPriceControl_FO!AF$15</f>
        <v>0.4734403902439025</v>
      </c>
      <c r="CF125" s="387">
        <f>+R125*KeyAssumptionsPriceControl_FO!AG$15</f>
        <v>0.49088901775609761</v>
      </c>
      <c r="CG125" s="387">
        <f>+S125*KeyAssumptionsPriceControl_FO!AH$15</f>
        <v>0.50512479927102449</v>
      </c>
      <c r="CH125" s="387">
        <f>+T125*KeyAssumptionsPriceControl_FO!AI$15</f>
        <v>0.51977298677680261</v>
      </c>
      <c r="CI125" s="1283">
        <f>+U125*KeyAssumptionsPriceControl_FO!AJ$15</f>
        <v>0.53484696420912448</v>
      </c>
      <c r="CJ125" s="386">
        <f>+V125*KeyAssumptionsPriceControl_FO!AK$15</f>
        <v>0.61150767998292466</v>
      </c>
      <c r="CK125" s="387">
        <f>+W125*KeyAssumptionsPriceControl_FO!AL$15</f>
        <v>0.62924081181002101</v>
      </c>
      <c r="CL125" s="1277">
        <f>+X125*KeyAssumptionsPriceControl_FO!AM$15</f>
        <v>0.64748887272620692</v>
      </c>
      <c r="CM125" s="1277">
        <f>+Y125*KeyAssumptionsPriceControl_FO!AN$15</f>
        <v>0.66626643841347344</v>
      </c>
      <c r="CN125" s="388">
        <f>+Z125*KeyAssumptionsPriceControl_FO!AO$15</f>
        <v>0.68558826909915194</v>
      </c>
      <c r="CO125" s="1025"/>
      <c r="CP125" s="1282">
        <f t="shared" ca="1" si="267"/>
        <v>0</v>
      </c>
      <c r="CQ125" s="387">
        <f t="shared" ca="1" si="268"/>
        <v>0</v>
      </c>
      <c r="CR125" s="387">
        <f t="shared" ca="1" si="269"/>
        <v>0</v>
      </c>
      <c r="CS125" s="387">
        <f t="shared" ca="1" si="270"/>
        <v>0</v>
      </c>
      <c r="CT125" s="1283">
        <f t="shared" ca="1" si="271"/>
        <v>0</v>
      </c>
      <c r="CU125" s="386">
        <f t="shared" ca="1" si="272"/>
        <v>0</v>
      </c>
      <c r="CV125" s="387">
        <f t="shared" ca="1" si="273"/>
        <v>0</v>
      </c>
      <c r="CW125" s="1277">
        <f t="shared" ca="1" si="274"/>
        <v>0</v>
      </c>
      <c r="CX125" s="1277">
        <f t="shared" ca="1" si="275"/>
        <v>0</v>
      </c>
      <c r="CY125" s="388">
        <f t="shared" ca="1" si="276"/>
        <v>0</v>
      </c>
      <c r="CZ125" s="347"/>
      <c r="DA125" s="852"/>
      <c r="DB125" s="347"/>
      <c r="DC125" s="1012" t="s">
        <v>621</v>
      </c>
      <c r="DD125" s="841" t="s">
        <v>518</v>
      </c>
      <c r="DE125" s="386">
        <f>+IF($K125="ongoing",CE125,IF(RIGHT($K125,2)=RIGHT(DE$43,2),SUM($CD125:CE125),0)+IF(RIGHT(DE$43,2)&gt;RIGHT($K125,2),CE125,0))</f>
        <v>0.4734403902439025</v>
      </c>
      <c r="DF125" s="387">
        <f>+IF($K125="ongoing",CF125,IF(RIGHT($K125,2)=RIGHT(DF$43,2),SUM($CD125:CF125),0)+IF(RIGHT(DF$43,2)&gt;RIGHT($K125,2),CF125,0))</f>
        <v>0.49088901775609761</v>
      </c>
      <c r="DG125" s="388">
        <f>+IF($K125="ongoing",CG125,IF(RIGHT($K125,2)=RIGHT(DG$43,2),SUM($CD125:CG125),0)+IF(RIGHT(DG$43,2)&gt;RIGHT($K125,2),CG125,0))</f>
        <v>0.50512479927102449</v>
      </c>
      <c r="DH125" s="386">
        <f>+IF($K125="ongoing",CH125,IF(RIGHT($K125,2)=RIGHT(DH$43,2),SUM($CD125:CH125),0)+IF(RIGHT(DH$43,2)&gt;RIGHT($K125,2),CH125,0))</f>
        <v>0.51977298677680261</v>
      </c>
      <c r="DI125" s="387">
        <f>+IF($K125="ongoing",CI125,IF(RIGHT($K125,2)=RIGHT(DI$43,2),SUM($CD125:CI125),0)+IF(RIGHT(DI$43,2)&gt;RIGHT($K125,2),CI125,0))</f>
        <v>0.53484696420912448</v>
      </c>
      <c r="DJ125" s="387">
        <f>+IF($K125="ongoing",CJ125,IF(RIGHT($K125,2)=RIGHT(DJ$43,2),SUM($CD125:CJ125),0)+IF(RIGHT(DJ$43,2)&gt;RIGHT($K125,2),CJ125,0))</f>
        <v>0.61150767998292466</v>
      </c>
      <c r="DK125" s="387">
        <f>+IF($K125="ongoing",CK125,IF(RIGHT($K125,2)=RIGHT(DK$43,2),SUM($CD125:CK125),0)+IF(RIGHT(DK$43,2)&gt;RIGHT($K125,2),CK125,0))</f>
        <v>0.62924081181002101</v>
      </c>
      <c r="DL125" s="388">
        <f>+IF($K125="ongoing",CN125,IF(RIGHT($K125,2)=RIGHT(DL$43,2),SUM($CD125:CN125),0)+IF(RIGHT(DL$43,2)&gt;RIGHT($K125,2),CN125,0))</f>
        <v>0.68558826909915194</v>
      </c>
      <c r="DM125" s="841"/>
      <c r="DN125" s="386">
        <f t="shared" si="277"/>
        <v>0.5</v>
      </c>
      <c r="DO125" s="387">
        <f t="shared" si="278"/>
        <v>1</v>
      </c>
      <c r="DP125" s="388">
        <f t="shared" si="279"/>
        <v>1</v>
      </c>
      <c r="DQ125" s="386">
        <f t="shared" si="280"/>
        <v>1</v>
      </c>
      <c r="DR125" s="387">
        <f t="shared" si="281"/>
        <v>1</v>
      </c>
      <c r="DS125" s="387">
        <f t="shared" si="282"/>
        <v>1</v>
      </c>
      <c r="DT125" s="387">
        <f t="shared" si="283"/>
        <v>1</v>
      </c>
      <c r="DU125" s="388">
        <f t="shared" si="284"/>
        <v>1</v>
      </c>
      <c r="DW125" s="386">
        <f t="shared" si="285"/>
        <v>0</v>
      </c>
      <c r="DX125" s="387">
        <f t="shared" si="286"/>
        <v>0.5</v>
      </c>
      <c r="DY125" s="388">
        <f t="shared" si="287"/>
        <v>1</v>
      </c>
      <c r="DZ125" s="386">
        <f t="shared" si="288"/>
        <v>1</v>
      </c>
      <c r="EA125" s="387">
        <f t="shared" si="289"/>
        <v>1</v>
      </c>
      <c r="EB125" s="387">
        <f t="shared" si="290"/>
        <v>1</v>
      </c>
      <c r="EC125" s="387">
        <f t="shared" si="291"/>
        <v>1</v>
      </c>
      <c r="ED125" s="388">
        <f t="shared" si="292"/>
        <v>1</v>
      </c>
      <c r="EF125" s="834">
        <f>+IF(DN125=DM125,0,
IF(AND(EF$44&gt;1,DN125=$N125),1-SUM($EE125:EE125),
IF($N125&lt;=1,
IF($N125&gt;0,1/$N125,0),
IF(EF$44=1,0,VDB(1,0,$N125,INT(EF$44-1-1),MIN($N125,INT(EF$44-1-1)+1),$DC125,IF($DD125="No",1,0))/
IF(DM125&gt;=INT($N125),$N125-INT($N125),1)))*
IF(EF$44=1,0,
IF(INT(DN125)=INT(DM125),DN125-DM125,INT(DN125)-DM125))+
IF($N125&lt;=1,
IF($N125&gt;0,1/$N125,0),VDB(1,0,$N125,INT(EF$44-1),MIN($N125,INT(EF$44-1)+1),$DC125,IF($DD125="No",1,0))/
IF(DN125&gt;INT($N125),$N125-INT($N125),1))*
IF(EF$44=1,DN125,
IF(INT(DN125)=INT(DM125),0,DN125-INT(DN125)))))</f>
        <v>0</v>
      </c>
      <c r="EG125" s="835">
        <f>+IF(DO125=DN125,0,
IF(AND(EG$44&gt;1,DO125=$N125),1-SUM($EE125:EF125),
IF($N125&lt;=1,
IF($N125&gt;0,1/$N125,0),
IF(EG$44=1,0,VDB(1,0,$N125,INT(EG$44-1-1),MIN($N125,INT(EG$44-1-1)+1),$DC125,IF($DD125="No",1,0))/
IF(DN125&gt;=INT($N125),$N125-INT($N125),1)))*
IF(EG$44=1,0,
IF(INT(DO125)=INT(DN125),DO125-DN125,INT(DO125)-DN125))+
IF($N125&lt;=1,
IF($N125&gt;0,1/$N125,0),VDB(1,0,$N125,INT(EG$44-1),MIN($N125,INT(EG$44-1)+1),$DC125,IF($DD125="No",1,0))/
IF(DO125&gt;INT($N125),$N125-INT($N125),1))*
IF(EG$44=1,DO125,
IF(INT(DO125)=INT(DN125),0,DO125-INT(DO125)))))</f>
        <v>0</v>
      </c>
      <c r="EH125" s="836">
        <f>+IF(DP125=DO125,0,
IF(AND(EH$44&gt;1,DP125=$N125),1-SUM($EE125:EG125),
IF($N125&lt;=1,
IF($N125&gt;0,1/$N125,0),
IF(EH$44=1,0,VDB(1,0,$N125,INT(EH$44-1-1),MIN($N125,INT(EH$44-1-1)+1),$DC125,IF($DD125="No",1,0))/
IF(DO125&gt;=INT($N125),$N125-INT($N125),1)))*
IF(EH$44=1,0,
IF(INT(DP125)=INT(DO125),DP125-DO125,INT(DP125)-DO125))+
IF($N125&lt;=1,
IF($N125&gt;0,1/$N125,0),VDB(1,0,$N125,INT(EH$44-1),MIN($N125,INT(EH$44-1)+1),$DC125,IF($DD125="No",1,0))/
IF(DP125&gt;INT($N125),$N125-INT($N125),1))*
IF(EH$44=1,DP125,
IF(INT(DP125)=INT(DO125),0,DP125-INT(DP125)))))</f>
        <v>0</v>
      </c>
      <c r="EI125" s="834">
        <f>+IF(DQ125=DP125,0,
IF(AND(EI$44&gt;1,DQ125=$N125),1-SUM($EE125:EH125),
IF($N125&lt;=1,
IF($N125&gt;0,1/$N125,0),
IF(EI$44=1,0,VDB(1,0,$N125,INT(EI$44-1-1),MIN($N125,INT(EI$44-1-1)+1),$DC125,IF($DD125="No",1,0))/
IF(DP125&gt;=INT($N125),$N125-INT($N125),1)))*
IF(EI$44=1,0,
IF(INT(DQ125)=INT(DP125),DQ125-DP125,INT(DQ125)-DP125))+
IF($N125&lt;=1,
IF($N125&gt;0,1/$N125,0),VDB(1,0,$N125,INT(EI$44-1),MIN($N125,INT(EI$44-1)+1),$DC125,IF($DD125="No",1,0))/
IF(DQ125&gt;INT($N125),$N125-INT($N125),1))*
IF(EI$44=1,DQ125,
IF(INT(DQ125)=INT(DP125),0,DQ125-INT(DQ125)))))</f>
        <v>0</v>
      </c>
      <c r="EJ125" s="835">
        <f>+IF(DR125=DQ125,0,
IF(AND(EJ$44&gt;1,DR125=$N125),1-SUM($EE125:EI125),
IF($N125&lt;=1,
IF($N125&gt;0,1/$N125,0),
IF(EJ$44=1,0,VDB(1,0,$N125,INT(EJ$44-1-1),MIN($N125,INT(EJ$44-1-1)+1),$DC125,IF($DD125="No",1,0))/
IF(DQ125&gt;=INT($N125),$N125-INT($N125),1)))*
IF(EJ$44=1,0,
IF(INT(DR125)=INT(DQ125),DR125-DQ125,INT(DR125)-DQ125))+
IF($N125&lt;=1,
IF($N125&gt;0,1/$N125,0),VDB(1,0,$N125,INT(EJ$44-1),MIN($N125,INT(EJ$44-1)+1),$DC125,IF($DD125="No",1,0))/
IF(DR125&gt;INT($N125),$N125-INT($N125),1))*
IF(EJ$44=1,DR125,
IF(INT(DR125)=INT(DQ125),0,DR125-INT(DR125)))))</f>
        <v>0</v>
      </c>
      <c r="EK125" s="835">
        <f>+IF(DS125=DR125,0,
IF(AND(EK$44&gt;1,DS125=$N125),1-SUM($EE125:EJ125),
IF($N125&lt;=1,
IF($N125&gt;0,1/$N125,0),
IF(EK$44=1,0,VDB(1,0,$N125,INT(EK$44-1-1),MIN($N125,INT(EK$44-1-1)+1),$DC125,IF($DD125="No",1,0))/
IF(DR125&gt;=INT($N125),$N125-INT($N125),1)))*
IF(EK$44=1,0,
IF(INT(DS125)=INT(DR125),DS125-DR125,INT(DS125)-DR125))+
IF($N125&lt;=1,
IF($N125&gt;0,1/$N125,0),VDB(1,0,$N125,INT(EK$44-1),MIN($N125,INT(EK$44-1)+1),$DC125,IF($DD125="No",1,0))/
IF(DS125&gt;INT($N125),$N125-INT($N125),1))*
IF(EK$44=1,DS125,
IF(INT(DS125)=INT(DR125),0,DS125-INT(DS125)))))</f>
        <v>0</v>
      </c>
      <c r="EL125" s="835">
        <f>+IF(DT125=DS125,0,
IF(AND(EL$44&gt;1,DT125=$N125),1-SUM($EE125:EK125),
IF($N125&lt;=1,
IF($N125&gt;0,1/$N125,0),
IF(EL$44=1,0,VDB(1,0,$N125,INT(EL$44-1-1),MIN($N125,INT(EL$44-1-1)+1),$DC125,IF($DD125="No",1,0))/
IF(DS125&gt;=INT($N125),$N125-INT($N125),1)))*
IF(EL$44=1,0,
IF(INT(DT125)=INT(DS125),DT125-DS125,INT(DT125)-DS125))+
IF($N125&lt;=1,
IF($N125&gt;0,1/$N125,0),VDB(1,0,$N125,INT(EL$44-1),MIN($N125,INT(EL$44-1)+1),$DC125,IF($DD125="No",1,0))/
IF(DT125&gt;INT($N125),$N125-INT($N125),1))*
IF(EL$44=1,DT125,
IF(INT(DT125)=INT(DS125),0,DT125-INT(DT125)))))</f>
        <v>0</v>
      </c>
      <c r="EM125" s="836">
        <f>+IF(DU125=DT125,0,
IF(AND(EM$44&gt;1,DU125=$N125),1-SUM($EE125:EL125),
IF($N125&lt;=1,
IF($N125&gt;0,1/$N125,0),
IF(EM$44=1,0,VDB(1,0,$N125,INT(EM$44-1-1),MIN($N125,INT(EM$44-1-1)+1),$DC125,IF($DD125="No",1,0))/
IF(DT125&gt;=INT($N125),$N125-INT($N125),1)))*
IF(EM$44=1,0,
IF(INT(DU125)=INT(DT125),DU125-DT125,INT(DU125)-DT125))+
IF($N125&lt;=1,
IF($N125&gt;0,1/$N125,0),VDB(1,0,$N125,INT(EM$44-1),MIN($N125,INT(EM$44-1)+1),$DC125,IF($DD125="No",1,0))/
IF(DU125&gt;INT($N125),$N125-INT($N125),1))*
IF(EM$44=1,DU125,
IF(INT(DU125)=INT(DT125),0,DU125-INT(DU125)))))</f>
        <v>0</v>
      </c>
      <c r="EN125" s="833"/>
      <c r="EO125" s="834">
        <f>+IF(OR(DW125=DV125,EO$44=1),0,
IF(AND(EO$44&gt;1,DW125=$N125),1-SUM($EN125:EN125),
IF($N125&lt;=1,
IF($N125&gt;0,1/$N125,0),
IF(EO$44=2,0,VDB(1,0,$N125,INT(EO$44-2-1),MIN($N125,INT(EO$44-2-1)+1),$DC125,IF($DD125="No",1,0))/
IF(DV125&gt;=INT($N125),$N125-INT($N125),1)))*
IF(EO$44=2,0,
IF(INT(DW125)=INT(DV125),DW125-DV125,INT(DW125)-DV125))+
IF($N125&lt;=1,
IF($N125&gt;0,1/$N125,0),VDB(1,0,$N125,INT(EO$44-2),MIN($N125,INT(EO$44-2)+1),$DC125,IF($DD125="No",1,0))/
IF(DW125&gt;INT($N125),$N125-INT($N125),1))*
IF(EO$44=2,DW125,
IF(INT(DW125)=INT(DV125),0,DW125-INT(DW125)))))</f>
        <v>0</v>
      </c>
      <c r="EP125" s="835">
        <f>+IF(OR(DX125=DW125,EP$44=1),0,
IF(AND(EP$44&gt;1,DX125=$N125),1-SUM($EN125:EO125),
IF($N125&lt;=1,
IF($N125&gt;0,1/$N125,0),
IF(EP$44=2,0,VDB(1,0,$N125,INT(EP$44-2-1),MIN($N125,INT(EP$44-2-1)+1),$DC125,IF($DD125="No",1,0))/
IF(DW125&gt;=INT($N125),$N125-INT($N125),1)))*
IF(EP$44=2,0,
IF(INT(DX125)=INT(DW125),DX125-DW125,INT(DX125)-DW125))+
IF($N125&lt;=1,
IF($N125&gt;0,1/$N125,0),VDB(1,0,$N125,INT(EP$44-2),MIN($N125,INT(EP$44-2)+1),$DC125,IF($DD125="No",1,0))/
IF(DX125&gt;INT($N125),$N125-INT($N125),1))*
IF(EP$44=2,DX125,
IF(INT(DX125)=INT(DW125),0,DX125-INT(DX125)))))</f>
        <v>0</v>
      </c>
      <c r="EQ125" s="836">
        <f>+IF(OR(DY125=DX125,EQ$44=1),0,
IF(AND(EQ$44&gt;1,DY125=$N125),1-SUM($EN125:EP125),
IF($N125&lt;=1,
IF($N125&gt;0,1/$N125,0),
IF(EQ$44=2,0,VDB(1,0,$N125,INT(EQ$44-2-1),MIN($N125,INT(EQ$44-2-1)+1),$DC125,IF($DD125="No",1,0))/
IF(DX125&gt;=INT($N125),$N125-INT($N125),1)))*
IF(EQ$44=2,0,
IF(INT(DY125)=INT(DX125),DY125-DX125,INT(DY125)-DX125))+
IF($N125&lt;=1,
IF($N125&gt;0,1/$N125,0),VDB(1,0,$N125,INT(EQ$44-2),MIN($N125,INT(EQ$44-2)+1),$DC125,IF($DD125="No",1,0))/
IF(DY125&gt;INT($N125),$N125-INT($N125),1))*
IF(EQ$44=2,DY125,
IF(INT(DY125)=INT(DX125),0,DY125-INT(DY125)))))</f>
        <v>0</v>
      </c>
      <c r="ER125" s="834">
        <f>+IF(OR(DZ125=DY125,ER$44=1),0,
IF(AND(ER$44&gt;1,DZ125=$N125),1-SUM($EN125:EQ125),
IF($N125&lt;=1,
IF($N125&gt;0,1/$N125,0),
IF(ER$44=2,0,VDB(1,0,$N125,INT(ER$44-2-1),MIN($N125,INT(ER$44-2-1)+1),$DC125,IF($DD125="No",1,0))/
IF(DY125&gt;=INT($N125),$N125-INT($N125),1)))*
IF(ER$44=2,0,
IF(INT(DZ125)=INT(DY125),DZ125-DY125,INT(DZ125)-DY125))+
IF($N125&lt;=1,
IF($N125&gt;0,1/$N125,0),VDB(1,0,$N125,INT(ER$44-2),MIN($N125,INT(ER$44-2)+1),$DC125,IF($DD125="No",1,0))/
IF(DZ125&gt;INT($N125),$N125-INT($N125),1))*
IF(ER$44=2,DZ125,
IF(INT(DZ125)=INT(DY125),0,DZ125-INT(DZ125)))))</f>
        <v>0</v>
      </c>
      <c r="ES125" s="835">
        <f>+IF(OR(EA125=DZ125,ES$44=1),0,
IF(AND(ES$44&gt;1,EA125=$N125),1-SUM($EN125:ER125),
IF($N125&lt;=1,
IF($N125&gt;0,1/$N125,0),
IF(ES$44=2,0,VDB(1,0,$N125,INT(ES$44-2-1),MIN($N125,INT(ES$44-2-1)+1),$DC125,IF($DD125="No",1,0))/
IF(DZ125&gt;=INT($N125),$N125-INT($N125),1)))*
IF(ES$44=2,0,
IF(INT(EA125)=INT(DZ125),EA125-DZ125,INT(EA125)-DZ125))+
IF($N125&lt;=1,
IF($N125&gt;0,1/$N125,0),VDB(1,0,$N125,INT(ES$44-2),MIN($N125,INT(ES$44-2)+1),$DC125,IF($DD125="No",1,0))/
IF(EA125&gt;INT($N125),$N125-INT($N125),1))*
IF(ES$44=2,EA125,
IF(INT(EA125)=INT(DZ125),0,EA125-INT(EA125)))))</f>
        <v>0</v>
      </c>
      <c r="ET125" s="835">
        <f>+IF(OR(EB125=EA125,ET$44=1),0,
IF(AND(ET$44&gt;1,EB125=$N125),1-SUM($EN125:ES125),
IF($N125&lt;=1,
IF($N125&gt;0,1/$N125,0),
IF(ET$44=2,0,VDB(1,0,$N125,INT(ET$44-2-1),MIN($N125,INT(ET$44-2-1)+1),$DC125,IF($DD125="No",1,0))/
IF(EA125&gt;=INT($N125),$N125-INT($N125),1)))*
IF(ET$44=2,0,
IF(INT(EB125)=INT(EA125),EB125-EA125,INT(EB125)-EA125))+
IF($N125&lt;=1,
IF($N125&gt;0,1/$N125,0),VDB(1,0,$N125,INT(ET$44-2),MIN($N125,INT(ET$44-2)+1),$DC125,IF($DD125="No",1,0))/
IF(EB125&gt;INT($N125),$N125-INT($N125),1))*
IF(ET$44=2,EB125,
IF(INT(EB125)=INT(EA125),0,EB125-INT(EB125)))))</f>
        <v>0</v>
      </c>
      <c r="EU125" s="835">
        <f>+IF(OR(EC125=EB125,EU$44=1),0,
IF(AND(EU$44&gt;1,EC125=$N125),1-SUM($EN125:ET125),
IF($N125&lt;=1,
IF($N125&gt;0,1/$N125,0),
IF(EU$44=2,0,VDB(1,0,$N125,INT(EU$44-2-1),MIN($N125,INT(EU$44-2-1)+1),$DC125,IF($DD125="No",1,0))/
IF(EB125&gt;=INT($N125),$N125-INT($N125),1)))*
IF(EU$44=2,0,
IF(INT(EC125)=INT(EB125),EC125-EB125,INT(EC125)-EB125))+
IF($N125&lt;=1,
IF($N125&gt;0,1/$N125,0),VDB(1,0,$N125,INT(EU$44-2),MIN($N125,INT(EU$44-2)+1),$DC125,IF($DD125="No",1,0))/
IF(EC125&gt;INT($N125),$N125-INT($N125),1))*
IF(EU$44=2,EC125,
IF(INT(EC125)=INT(EB125),0,EC125-INT(EC125)))))</f>
        <v>0</v>
      </c>
      <c r="EV125" s="836">
        <f>+IF(OR(ED125=EC125,EV$44=1),0,
IF(AND(EV$44&gt;1,ED125=$N125),1-SUM($EN125:EU125),
IF($N125&lt;=1,
IF($N125&gt;0,1/$N125,0),
IF(EV$44=2,0,VDB(1,0,$N125,INT(EV$44-2-1),MIN($N125,INT(EV$44-2-1)+1),$DC125,IF($DD125="No",1,0))/
IF(EC125&gt;=INT($N125),$N125-INT($N125),1)))*
IF(EV$44=2,0,
IF(INT(ED125)=INT(EC125),ED125-EC125,INT(ED125)-EC125))+
IF($N125&lt;=1,
IF($N125&gt;0,1/$N125,0),VDB(1,0,$N125,INT(EV$44-2),MIN($N125,INT(EV$44-2)+1),$DC125,IF($DD125="No",1,0))/
IF(ED125&gt;INT($N125),$N125-INT($N125),1))*
IF(EV$44=2,ED125,
IF(INT(ED125)=INT(EC125),0,ED125-INT(ED125)))))</f>
        <v>0</v>
      </c>
      <c r="EW125" s="833"/>
      <c r="EX125" s="834">
        <f t="shared" ca="1" si="301"/>
        <v>0</v>
      </c>
      <c r="EY125" s="835">
        <f t="shared" ca="1" si="301"/>
        <v>0</v>
      </c>
      <c r="EZ125" s="836">
        <f t="shared" ca="1" si="301"/>
        <v>0</v>
      </c>
      <c r="FA125" s="834">
        <f t="shared" ca="1" si="301"/>
        <v>0</v>
      </c>
      <c r="FB125" s="835">
        <f t="shared" ca="1" si="301"/>
        <v>0</v>
      </c>
      <c r="FC125" s="835">
        <f t="shared" ca="1" si="301"/>
        <v>0</v>
      </c>
      <c r="FD125" s="835">
        <f t="shared" ca="1" si="301"/>
        <v>0</v>
      </c>
      <c r="FE125" s="836">
        <f t="shared" ca="1" si="301"/>
        <v>0</v>
      </c>
      <c r="FG125" s="386">
        <f t="shared" ca="1" si="293"/>
        <v>0</v>
      </c>
      <c r="FH125" s="387">
        <f t="shared" ca="1" si="294"/>
        <v>0</v>
      </c>
      <c r="FI125" s="388">
        <f t="shared" ca="1" si="295"/>
        <v>0</v>
      </c>
      <c r="FJ125" s="386">
        <f t="shared" ca="1" si="296"/>
        <v>0</v>
      </c>
      <c r="FK125" s="387">
        <f t="shared" ca="1" si="297"/>
        <v>0</v>
      </c>
      <c r="FL125" s="387">
        <f t="shared" ca="1" si="298"/>
        <v>0</v>
      </c>
      <c r="FM125" s="387">
        <f t="shared" ca="1" si="299"/>
        <v>0</v>
      </c>
      <c r="FN125" s="388">
        <f t="shared" ca="1" si="300"/>
        <v>0</v>
      </c>
      <c r="FR125" s="116"/>
    </row>
    <row r="126" spans="2:174">
      <c r="B126" s="1410">
        <f t="shared" si="135"/>
        <v>80</v>
      </c>
      <c r="C126" s="400" t="s">
        <v>620</v>
      </c>
      <c r="D126" s="410"/>
      <c r="E126" s="402" t="s">
        <v>402</v>
      </c>
      <c r="F126" s="402" t="s">
        <v>527</v>
      </c>
      <c r="G126" s="400" t="s">
        <v>522</v>
      </c>
      <c r="H126" s="2088" t="s">
        <v>483</v>
      </c>
      <c r="I126" s="2089"/>
      <c r="J126" s="411" t="s">
        <v>516</v>
      </c>
      <c r="K126" s="403" t="s">
        <v>544</v>
      </c>
      <c r="L126" s="403">
        <v>50</v>
      </c>
      <c r="M126" s="403" t="s">
        <v>142</v>
      </c>
      <c r="N126" s="403"/>
      <c r="O126" s="347"/>
      <c r="P126" s="347"/>
      <c r="Q126" s="1021">
        <v>15.019795791219513</v>
      </c>
      <c r="R126" s="1022">
        <v>18.588445950553247</v>
      </c>
      <c r="S126" s="1022">
        <v>20.216925751025091</v>
      </c>
      <c r="T126" s="1022">
        <v>23.785989085825733</v>
      </c>
      <c r="U126" s="1023">
        <v>25.760033220845568</v>
      </c>
      <c r="V126" s="1021">
        <v>24.173629279711644</v>
      </c>
      <c r="W126" s="1022">
        <v>21.834518896105514</v>
      </c>
      <c r="X126" s="1022">
        <v>19.192441447562842</v>
      </c>
      <c r="Y126" s="1022">
        <v>10.368785120230324</v>
      </c>
      <c r="Z126" s="1023">
        <v>8.6665916015452318</v>
      </c>
      <c r="AA126" s="1024"/>
      <c r="AB126" s="1021">
        <v>0</v>
      </c>
      <c r="AC126" s="1022">
        <v>0</v>
      </c>
      <c r="AD126" s="1022">
        <v>0</v>
      </c>
      <c r="AE126" s="1022">
        <v>0</v>
      </c>
      <c r="AF126" s="1023">
        <v>0</v>
      </c>
      <c r="AG126" s="1021">
        <v>0</v>
      </c>
      <c r="AH126" s="1022">
        <v>0</v>
      </c>
      <c r="AI126" s="1022">
        <v>0</v>
      </c>
      <c r="AJ126" s="1022">
        <v>0</v>
      </c>
      <c r="AK126" s="1023">
        <v>0</v>
      </c>
      <c r="AL126" s="1024"/>
      <c r="AM126" s="1021">
        <v>0</v>
      </c>
      <c r="AN126" s="1022">
        <v>0</v>
      </c>
      <c r="AO126" s="1022">
        <v>0</v>
      </c>
      <c r="AP126" s="1022">
        <v>0</v>
      </c>
      <c r="AQ126" s="1023">
        <v>0</v>
      </c>
      <c r="AR126" s="1021">
        <v>0</v>
      </c>
      <c r="AS126" s="1022">
        <v>0</v>
      </c>
      <c r="AT126" s="1022">
        <v>0</v>
      </c>
      <c r="AU126" s="1022">
        <v>0</v>
      </c>
      <c r="AV126" s="1023">
        <v>0</v>
      </c>
      <c r="AW126" s="1025"/>
      <c r="AX126" s="1282">
        <f t="shared" si="247"/>
        <v>15.019795791219513</v>
      </c>
      <c r="AY126" s="387">
        <f t="shared" si="248"/>
        <v>18.588445950553247</v>
      </c>
      <c r="AZ126" s="387">
        <f t="shared" si="249"/>
        <v>20.216925751025091</v>
      </c>
      <c r="BA126" s="387">
        <f t="shared" si="250"/>
        <v>23.785989085825733</v>
      </c>
      <c r="BB126" s="1283">
        <f t="shared" si="251"/>
        <v>25.760033220845568</v>
      </c>
      <c r="BC126" s="386">
        <f t="shared" si="252"/>
        <v>24.173629279711644</v>
      </c>
      <c r="BD126" s="387">
        <f t="shared" si="253"/>
        <v>21.834518896105514</v>
      </c>
      <c r="BE126" s="1277">
        <f t="shared" si="254"/>
        <v>19.192441447562842</v>
      </c>
      <c r="BF126" s="1277">
        <f t="shared" si="255"/>
        <v>10.368785120230324</v>
      </c>
      <c r="BG126" s="388">
        <f t="shared" si="256"/>
        <v>8.6665916015452318</v>
      </c>
      <c r="BH126" s="1025"/>
      <c r="BI126" s="1282">
        <f t="shared" ca="1" si="257"/>
        <v>0.15019795791219515</v>
      </c>
      <c r="BJ126" s="387">
        <f t="shared" ca="1" si="258"/>
        <v>0.48628037532992274</v>
      </c>
      <c r="BK126" s="387">
        <f t="shared" ca="1" si="259"/>
        <v>0.87433409234570614</v>
      </c>
      <c r="BL126" s="387">
        <f t="shared" ca="1" si="260"/>
        <v>1.3143632407142141</v>
      </c>
      <c r="BM126" s="1283">
        <f t="shared" ca="1" si="261"/>
        <v>1.8098234637809272</v>
      </c>
      <c r="BN126" s="386">
        <f t="shared" ca="1" si="262"/>
        <v>2.3091600887864994</v>
      </c>
      <c r="BO126" s="387">
        <f t="shared" ca="1" si="263"/>
        <v>2.7692415705446711</v>
      </c>
      <c r="BP126" s="1277">
        <f t="shared" ca="1" si="264"/>
        <v>3.1795111739813544</v>
      </c>
      <c r="BQ126" s="1277">
        <f t="shared" ca="1" si="265"/>
        <v>3.4751234396592863</v>
      </c>
      <c r="BR126" s="388">
        <f t="shared" ca="1" si="266"/>
        <v>3.6654772068770414</v>
      </c>
      <c r="BS126" s="1025"/>
      <c r="BT126" s="1282">
        <f>+IF($K126="Ongoing",AX126,IF(RIGHT($K126,2)=RIGHT(BT$43,2),SUM($AX126:AX126),0)+IF(RIGHT(BT$43,2)&gt;RIGHT($K126,2),AX126,0))</f>
        <v>15.019795791219513</v>
      </c>
      <c r="BU126" s="387">
        <f>+IF($K126="Ongoing",AY126,IF(RIGHT($K126,2)=RIGHT(BU$43,2),SUM($AX126:AY126),0)+IF(RIGHT(BU$43,2)&gt;RIGHT($K126,2),AY126,0))</f>
        <v>18.588445950553247</v>
      </c>
      <c r="BV126" s="387">
        <f>+IF($K126="Ongoing",AZ126,IF(RIGHT($K126,2)=RIGHT(BV$43,2),SUM($AX126:AZ126),0)+IF(RIGHT(BV$43,2)&gt;RIGHT($K126,2),AZ126,0))</f>
        <v>20.216925751025091</v>
      </c>
      <c r="BW126" s="387">
        <f>+IF($K126="Ongoing",BA126,IF(RIGHT($K126,2)=RIGHT(BW$43,2),SUM($AX126:BA126),0)+IF(RIGHT(BW$43,2)&gt;RIGHT($K126,2),BA126,0))</f>
        <v>23.785989085825733</v>
      </c>
      <c r="BX126" s="1283">
        <f>+IF($K126="Ongoing",BB126,IF(RIGHT($K126,2)=RIGHT(BX$43,2),SUM($AX126:BB126),0)+IF(RIGHT(BX$43,2)&gt;RIGHT($K126,2),BB126,0))</f>
        <v>25.760033220845568</v>
      </c>
      <c r="BY126" s="386">
        <f>+IF($K126="Ongoing",BC126,IF(RIGHT($K126,2)=RIGHT(BY$43,2),SUM($AX126:BC126),0)+IF(RIGHT(BY$43,2)&gt;RIGHT($K126,2),BC126,0))</f>
        <v>24.173629279711644</v>
      </c>
      <c r="BZ126" s="387">
        <f>+IF($K126="Ongoing",BD126,IF(RIGHT($K126,2)=RIGHT(BZ$43,2),SUM($AX126:BD126),0)+IF(RIGHT(BZ$43,2)&gt;RIGHT($K126,2),BD126,0))</f>
        <v>21.834518896105514</v>
      </c>
      <c r="CA126" s="1277">
        <f>+IF($K126="Ongoing",BE126,IF(RIGHT($K126,2)=RIGHT(CA$43,2),SUM($AX126:BE126),0)+IF(RIGHT(CA$43,2)&gt;RIGHT($K126,2),BE126,0))</f>
        <v>19.192441447562842</v>
      </c>
      <c r="CB126" s="1277">
        <f>+IF($K126="Ongoing",BF126,IF(RIGHT($K126,2)=RIGHT(CB$43,2),SUM($AX126:BF126),0)+IF(RIGHT(CB$43,2)&gt;RIGHT($K126,2),BF126,0))</f>
        <v>10.368785120230324</v>
      </c>
      <c r="CC126" s="388">
        <f>+IF($K126="Ongoing",BG126,IF(RIGHT($K126,2)=RIGHT(CC$43,2),SUM($AX126:BG126),0)+IF(RIGHT(CC$43,2)&gt;RIGHT($K126,2),BG126,0))</f>
        <v>8.6665916015452318</v>
      </c>
      <c r="CD126" s="1025"/>
      <c r="CE126" s="1282">
        <f>+Q126*KeyAssumptionsPriceControl_FO!AF$15</f>
        <v>15.455369869164878</v>
      </c>
      <c r="CF126" s="387">
        <f>+R126*KeyAssumptionsPriceControl_FO!AG$15</f>
        <v>19.682208698729749</v>
      </c>
      <c r="CG126" s="387">
        <f>+S126*KeyAssumptionsPriceControl_FO!AH$15</f>
        <v>22.027298665636248</v>
      </c>
      <c r="CH126" s="387">
        <f>+T126*KeyAssumptionsPriceControl_FO!AI$15</f>
        <v>26.667525210037994</v>
      </c>
      <c r="CI126" s="1283">
        <f>+U126*KeyAssumptionsPriceControl_FO!AJ$15</f>
        <v>29.718254158035872</v>
      </c>
      <c r="CJ126" s="386">
        <f>+V126*KeyAssumptionsPriceControl_FO!AK$15</f>
        <v>28.69684197321795</v>
      </c>
      <c r="CK126" s="387">
        <f>+W126*KeyAssumptionsPriceControl_FO!AL$15</f>
        <v>26.671733949162007</v>
      </c>
      <c r="CL126" s="1277">
        <f>+X126*KeyAssumptionsPriceControl_FO!AM$15</f>
        <v>24.124216782711937</v>
      </c>
      <c r="CM126" s="1277">
        <f>+Y126*KeyAssumptionsPriceControl_FO!AN$15</f>
        <v>13.411157017070348</v>
      </c>
      <c r="CN126" s="388">
        <f>+Z126*KeyAssumptionsPriceControl_FO!AO$15</f>
        <v>11.534587802399441</v>
      </c>
      <c r="CO126" s="1025"/>
      <c r="CP126" s="1282">
        <f t="shared" ca="1" si="267"/>
        <v>0</v>
      </c>
      <c r="CQ126" s="387">
        <f t="shared" ca="1" si="268"/>
        <v>0</v>
      </c>
      <c r="CR126" s="387">
        <f t="shared" ca="1" si="269"/>
        <v>0</v>
      </c>
      <c r="CS126" s="387">
        <f t="shared" ca="1" si="270"/>
        <v>0</v>
      </c>
      <c r="CT126" s="1283">
        <f t="shared" ca="1" si="271"/>
        <v>0</v>
      </c>
      <c r="CU126" s="386">
        <f t="shared" ca="1" si="272"/>
        <v>0</v>
      </c>
      <c r="CV126" s="387">
        <f t="shared" ca="1" si="273"/>
        <v>0</v>
      </c>
      <c r="CW126" s="1277">
        <f t="shared" ca="1" si="274"/>
        <v>0</v>
      </c>
      <c r="CX126" s="1277">
        <f t="shared" ca="1" si="275"/>
        <v>0</v>
      </c>
      <c r="CY126" s="388">
        <f t="shared" ca="1" si="276"/>
        <v>0</v>
      </c>
      <c r="CZ126" s="347"/>
      <c r="DA126" s="852"/>
      <c r="DB126" s="347"/>
      <c r="DC126" s="1012" t="s">
        <v>622</v>
      </c>
      <c r="DD126" s="841" t="s">
        <v>518</v>
      </c>
      <c r="DE126" s="386">
        <f>+IF($K126="ongoing",CE126,IF(RIGHT($K126,2)=RIGHT(DE$43,2),SUM($CD126:CE126),0)+IF(RIGHT(DE$43,2)&gt;RIGHT($K126,2),CE126,0))</f>
        <v>15.455369869164878</v>
      </c>
      <c r="DF126" s="387">
        <f>+IF($K126="ongoing",CF126,IF(RIGHT($K126,2)=RIGHT(DF$43,2),SUM($CD126:CF126),0)+IF(RIGHT(DF$43,2)&gt;RIGHT($K126,2),CF126,0))</f>
        <v>19.682208698729749</v>
      </c>
      <c r="DG126" s="388">
        <f>+IF($K126="ongoing",CG126,IF(RIGHT($K126,2)=RIGHT(DG$43,2),SUM($CD126:CG126),0)+IF(RIGHT(DG$43,2)&gt;RIGHT($K126,2),CG126,0))</f>
        <v>22.027298665636248</v>
      </c>
      <c r="DH126" s="386">
        <f>+IF($K126="ongoing",CH126,IF(RIGHT($K126,2)=RIGHT(DH$43,2),SUM($CD126:CH126),0)+IF(RIGHT(DH$43,2)&gt;RIGHT($K126,2),CH126,0))</f>
        <v>26.667525210037994</v>
      </c>
      <c r="DI126" s="387">
        <f>+IF($K126="ongoing",CI126,IF(RIGHT($K126,2)=RIGHT(DI$43,2),SUM($CD126:CI126),0)+IF(RIGHT(DI$43,2)&gt;RIGHT($K126,2),CI126,0))</f>
        <v>29.718254158035872</v>
      </c>
      <c r="DJ126" s="387">
        <f>+IF($K126="ongoing",CJ126,IF(RIGHT($K126,2)=RIGHT(DJ$43,2),SUM($CD126:CJ126),0)+IF(RIGHT(DJ$43,2)&gt;RIGHT($K126,2),CJ126,0))</f>
        <v>28.69684197321795</v>
      </c>
      <c r="DK126" s="387">
        <f>+IF($K126="ongoing",CK126,IF(RIGHT($K126,2)=RIGHT(DK$43,2),SUM($CD126:CK126),0)+IF(RIGHT(DK$43,2)&gt;RIGHT($K126,2),CK126,0))</f>
        <v>26.671733949162007</v>
      </c>
      <c r="DL126" s="388">
        <f>+IF($K126="ongoing",CN126,IF(RIGHT($K126,2)=RIGHT(DL$43,2),SUM($CD126:CN126),0)+IF(RIGHT(DL$43,2)&gt;RIGHT($K126,2),CN126,0))</f>
        <v>11.534587802399441</v>
      </c>
      <c r="DM126" s="841"/>
      <c r="DN126" s="386">
        <f t="shared" si="277"/>
        <v>0.5</v>
      </c>
      <c r="DO126" s="387">
        <f t="shared" si="278"/>
        <v>1</v>
      </c>
      <c r="DP126" s="388">
        <f t="shared" si="279"/>
        <v>1</v>
      </c>
      <c r="DQ126" s="386">
        <f t="shared" si="280"/>
        <v>1</v>
      </c>
      <c r="DR126" s="387">
        <f t="shared" si="281"/>
        <v>1</v>
      </c>
      <c r="DS126" s="387">
        <f t="shared" si="282"/>
        <v>1</v>
      </c>
      <c r="DT126" s="387">
        <f t="shared" si="283"/>
        <v>1</v>
      </c>
      <c r="DU126" s="388">
        <f t="shared" si="284"/>
        <v>1</v>
      </c>
      <c r="DW126" s="386">
        <f t="shared" si="285"/>
        <v>0</v>
      </c>
      <c r="DX126" s="387">
        <f t="shared" si="286"/>
        <v>0.5</v>
      </c>
      <c r="DY126" s="388">
        <f t="shared" si="287"/>
        <v>1</v>
      </c>
      <c r="DZ126" s="386">
        <f t="shared" si="288"/>
        <v>1</v>
      </c>
      <c r="EA126" s="387">
        <f t="shared" si="289"/>
        <v>1</v>
      </c>
      <c r="EB126" s="387">
        <f t="shared" si="290"/>
        <v>1</v>
      </c>
      <c r="EC126" s="387">
        <f t="shared" si="291"/>
        <v>1</v>
      </c>
      <c r="ED126" s="388">
        <f t="shared" si="292"/>
        <v>1</v>
      </c>
      <c r="EF126" s="834">
        <f>+IF(DN126=DM126,0,
IF(AND(EF$44&gt;1,DN126=$N126),1-SUM($EE126:EE126),
IF($N126&lt;=1,
IF($N126&gt;0,1/$N126,0),
IF(EF$44=1,0,VDB(1,0,$N126,INT(EF$44-1-1),MIN($N126,INT(EF$44-1-1)+1),$DC126,IF($DD126="No",1,0))/
IF(DM126&gt;=INT($N126),$N126-INT($N126),1)))*
IF(EF$44=1,0,
IF(INT(DN126)=INT(DM126),DN126-DM126,INT(DN126)-DM126))+
IF($N126&lt;=1,
IF($N126&gt;0,1/$N126,0),VDB(1,0,$N126,INT(EF$44-1),MIN($N126,INT(EF$44-1)+1),$DC126,IF($DD126="No",1,0))/
IF(DN126&gt;INT($N126),$N126-INT($N126),1))*
IF(EF$44=1,DN126,
IF(INT(DN126)=INT(DM126),0,DN126-INT(DN126)))))</f>
        <v>0</v>
      </c>
      <c r="EG126" s="835">
        <f>+IF(DO126=DN126,0,
IF(AND(EG$44&gt;1,DO126=$N126),1-SUM($EE126:EF126),
IF($N126&lt;=1,
IF($N126&gt;0,1/$N126,0),
IF(EG$44=1,0,VDB(1,0,$N126,INT(EG$44-1-1),MIN($N126,INT(EG$44-1-1)+1),$DC126,IF($DD126="No",1,0))/
IF(DN126&gt;=INT($N126),$N126-INT($N126),1)))*
IF(EG$44=1,0,
IF(INT(DO126)=INT(DN126),DO126-DN126,INT(DO126)-DN126))+
IF($N126&lt;=1,
IF($N126&gt;0,1/$N126,0),VDB(1,0,$N126,INT(EG$44-1),MIN($N126,INT(EG$44-1)+1),$DC126,IF($DD126="No",1,0))/
IF(DO126&gt;INT($N126),$N126-INT($N126),1))*
IF(EG$44=1,DO126,
IF(INT(DO126)=INT(DN126),0,DO126-INT(DO126)))))</f>
        <v>0</v>
      </c>
      <c r="EH126" s="836">
        <f>+IF(DP126=DO126,0,
IF(AND(EH$44&gt;1,DP126=$N126),1-SUM($EE126:EG126),
IF($N126&lt;=1,
IF($N126&gt;0,1/$N126,0),
IF(EH$44=1,0,VDB(1,0,$N126,INT(EH$44-1-1),MIN($N126,INT(EH$44-1-1)+1),$DC126,IF($DD126="No",1,0))/
IF(DO126&gt;=INT($N126),$N126-INT($N126),1)))*
IF(EH$44=1,0,
IF(INT(DP126)=INT(DO126),DP126-DO126,INT(DP126)-DO126))+
IF($N126&lt;=1,
IF($N126&gt;0,1/$N126,0),VDB(1,0,$N126,INT(EH$44-1),MIN($N126,INT(EH$44-1)+1),$DC126,IF($DD126="No",1,0))/
IF(DP126&gt;INT($N126),$N126-INT($N126),1))*
IF(EH$44=1,DP126,
IF(INT(DP126)=INT(DO126),0,DP126-INT(DP126)))))</f>
        <v>0</v>
      </c>
      <c r="EI126" s="834">
        <f>+IF(DQ126=DP126,0,
IF(AND(EI$44&gt;1,DQ126=$N126),1-SUM($EE126:EH126),
IF($N126&lt;=1,
IF($N126&gt;0,1/$N126,0),
IF(EI$44=1,0,VDB(1,0,$N126,INT(EI$44-1-1),MIN($N126,INT(EI$44-1-1)+1),$DC126,IF($DD126="No",1,0))/
IF(DP126&gt;=INT($N126),$N126-INT($N126),1)))*
IF(EI$44=1,0,
IF(INT(DQ126)=INT(DP126),DQ126-DP126,INT(DQ126)-DP126))+
IF($N126&lt;=1,
IF($N126&gt;0,1/$N126,0),VDB(1,0,$N126,INT(EI$44-1),MIN($N126,INT(EI$44-1)+1),$DC126,IF($DD126="No",1,0))/
IF(DQ126&gt;INT($N126),$N126-INT($N126),1))*
IF(EI$44=1,DQ126,
IF(INT(DQ126)=INT(DP126),0,DQ126-INT(DQ126)))))</f>
        <v>0</v>
      </c>
      <c r="EJ126" s="835">
        <f>+IF(DR126=DQ126,0,
IF(AND(EJ$44&gt;1,DR126=$N126),1-SUM($EE126:EI126),
IF($N126&lt;=1,
IF($N126&gt;0,1/$N126,0),
IF(EJ$44=1,0,VDB(1,0,$N126,INT(EJ$44-1-1),MIN($N126,INT(EJ$44-1-1)+1),$DC126,IF($DD126="No",1,0))/
IF(DQ126&gt;=INT($N126),$N126-INT($N126),1)))*
IF(EJ$44=1,0,
IF(INT(DR126)=INT(DQ126),DR126-DQ126,INT(DR126)-DQ126))+
IF($N126&lt;=1,
IF($N126&gt;0,1/$N126,0),VDB(1,0,$N126,INT(EJ$44-1),MIN($N126,INT(EJ$44-1)+1),$DC126,IF($DD126="No",1,0))/
IF(DR126&gt;INT($N126),$N126-INT($N126),1))*
IF(EJ$44=1,DR126,
IF(INT(DR126)=INT(DQ126),0,DR126-INT(DR126)))))</f>
        <v>0</v>
      </c>
      <c r="EK126" s="835">
        <f>+IF(DS126=DR126,0,
IF(AND(EK$44&gt;1,DS126=$N126),1-SUM($EE126:EJ126),
IF($N126&lt;=1,
IF($N126&gt;0,1/$N126,0),
IF(EK$44=1,0,VDB(1,0,$N126,INT(EK$44-1-1),MIN($N126,INT(EK$44-1-1)+1),$DC126,IF($DD126="No",1,0))/
IF(DR126&gt;=INT($N126),$N126-INT($N126),1)))*
IF(EK$44=1,0,
IF(INT(DS126)=INT(DR126),DS126-DR126,INT(DS126)-DR126))+
IF($N126&lt;=1,
IF($N126&gt;0,1/$N126,0),VDB(1,0,$N126,INT(EK$44-1),MIN($N126,INT(EK$44-1)+1),$DC126,IF($DD126="No",1,0))/
IF(DS126&gt;INT($N126),$N126-INT($N126),1))*
IF(EK$44=1,DS126,
IF(INT(DS126)=INT(DR126),0,DS126-INT(DS126)))))</f>
        <v>0</v>
      </c>
      <c r="EL126" s="835">
        <f>+IF(DT126=DS126,0,
IF(AND(EL$44&gt;1,DT126=$N126),1-SUM($EE126:EK126),
IF($N126&lt;=1,
IF($N126&gt;0,1/$N126,0),
IF(EL$44=1,0,VDB(1,0,$N126,INT(EL$44-1-1),MIN($N126,INT(EL$44-1-1)+1),$DC126,IF($DD126="No",1,0))/
IF(DS126&gt;=INT($N126),$N126-INT($N126),1)))*
IF(EL$44=1,0,
IF(INT(DT126)=INT(DS126),DT126-DS126,INT(DT126)-DS126))+
IF($N126&lt;=1,
IF($N126&gt;0,1/$N126,0),VDB(1,0,$N126,INT(EL$44-1),MIN($N126,INT(EL$44-1)+1),$DC126,IF($DD126="No",1,0))/
IF(DT126&gt;INT($N126),$N126-INT($N126),1))*
IF(EL$44=1,DT126,
IF(INT(DT126)=INT(DS126),0,DT126-INT(DT126)))))</f>
        <v>0</v>
      </c>
      <c r="EM126" s="836">
        <f>+IF(DU126=DT126,0,
IF(AND(EM$44&gt;1,DU126=$N126),1-SUM($EE126:EL126),
IF($N126&lt;=1,
IF($N126&gt;0,1/$N126,0),
IF(EM$44=1,0,VDB(1,0,$N126,INT(EM$44-1-1),MIN($N126,INT(EM$44-1-1)+1),$DC126,IF($DD126="No",1,0))/
IF(DT126&gt;=INT($N126),$N126-INT($N126),1)))*
IF(EM$44=1,0,
IF(INT(DU126)=INT(DT126),DU126-DT126,INT(DU126)-DT126))+
IF($N126&lt;=1,
IF($N126&gt;0,1/$N126,0),VDB(1,0,$N126,INT(EM$44-1),MIN($N126,INT(EM$44-1)+1),$DC126,IF($DD126="No",1,0))/
IF(DU126&gt;INT($N126),$N126-INT($N126),1))*
IF(EM$44=1,DU126,
IF(INT(DU126)=INT(DT126),0,DU126-INT(DU126)))))</f>
        <v>0</v>
      </c>
      <c r="EN126" s="833"/>
      <c r="EO126" s="834">
        <f>+IF(OR(DW126=DV126,EO$44=1),0,
IF(AND(EO$44&gt;1,DW126=$N126),1-SUM($EN126:EN126),
IF($N126&lt;=1,
IF($N126&gt;0,1/$N126,0),
IF(EO$44=2,0,VDB(1,0,$N126,INT(EO$44-2-1),MIN($N126,INT(EO$44-2-1)+1),$DC126,IF($DD126="No",1,0))/
IF(DV126&gt;=INT($N126),$N126-INT($N126),1)))*
IF(EO$44=2,0,
IF(INT(DW126)=INT(DV126),DW126-DV126,INT(DW126)-DV126))+
IF($N126&lt;=1,
IF($N126&gt;0,1/$N126,0),VDB(1,0,$N126,INT(EO$44-2),MIN($N126,INT(EO$44-2)+1),$DC126,IF($DD126="No",1,0))/
IF(DW126&gt;INT($N126),$N126-INT($N126),1))*
IF(EO$44=2,DW126,
IF(INT(DW126)=INT(DV126),0,DW126-INT(DW126)))))</f>
        <v>0</v>
      </c>
      <c r="EP126" s="835">
        <f>+IF(OR(DX126=DW126,EP$44=1),0,
IF(AND(EP$44&gt;1,DX126=$N126),1-SUM($EN126:EO126),
IF($N126&lt;=1,
IF($N126&gt;0,1/$N126,0),
IF(EP$44=2,0,VDB(1,0,$N126,INT(EP$44-2-1),MIN($N126,INT(EP$44-2-1)+1),$DC126,IF($DD126="No",1,0))/
IF(DW126&gt;=INT($N126),$N126-INT($N126),1)))*
IF(EP$44=2,0,
IF(INT(DX126)=INT(DW126),DX126-DW126,INT(DX126)-DW126))+
IF($N126&lt;=1,
IF($N126&gt;0,1/$N126,0),VDB(1,0,$N126,INT(EP$44-2),MIN($N126,INT(EP$44-2)+1),$DC126,IF($DD126="No",1,0))/
IF(DX126&gt;INT($N126),$N126-INT($N126),1))*
IF(EP$44=2,DX126,
IF(INT(DX126)=INT(DW126),0,DX126-INT(DX126)))))</f>
        <v>0</v>
      </c>
      <c r="EQ126" s="836">
        <f>+IF(OR(DY126=DX126,EQ$44=1),0,
IF(AND(EQ$44&gt;1,DY126=$N126),1-SUM($EN126:EP126),
IF($N126&lt;=1,
IF($N126&gt;0,1/$N126,0),
IF(EQ$44=2,0,VDB(1,0,$N126,INT(EQ$44-2-1),MIN($N126,INT(EQ$44-2-1)+1),$DC126,IF($DD126="No",1,0))/
IF(DX126&gt;=INT($N126),$N126-INT($N126),1)))*
IF(EQ$44=2,0,
IF(INT(DY126)=INT(DX126),DY126-DX126,INT(DY126)-DX126))+
IF($N126&lt;=1,
IF($N126&gt;0,1/$N126,0),VDB(1,0,$N126,INT(EQ$44-2),MIN($N126,INT(EQ$44-2)+1),$DC126,IF($DD126="No",1,0))/
IF(DY126&gt;INT($N126),$N126-INT($N126),1))*
IF(EQ$44=2,DY126,
IF(INT(DY126)=INT(DX126),0,DY126-INT(DY126)))))</f>
        <v>0</v>
      </c>
      <c r="ER126" s="834">
        <f>+IF(OR(DZ126=DY126,ER$44=1),0,
IF(AND(ER$44&gt;1,DZ126=$N126),1-SUM($EN126:EQ126),
IF($N126&lt;=1,
IF($N126&gt;0,1/$N126,0),
IF(ER$44=2,0,VDB(1,0,$N126,INT(ER$44-2-1),MIN($N126,INT(ER$44-2-1)+1),$DC126,IF($DD126="No",1,0))/
IF(DY126&gt;=INT($N126),$N126-INT($N126),1)))*
IF(ER$44=2,0,
IF(INT(DZ126)=INT(DY126),DZ126-DY126,INT(DZ126)-DY126))+
IF($N126&lt;=1,
IF($N126&gt;0,1/$N126,0),VDB(1,0,$N126,INT(ER$44-2),MIN($N126,INT(ER$44-2)+1),$DC126,IF($DD126="No",1,0))/
IF(DZ126&gt;INT($N126),$N126-INT($N126),1))*
IF(ER$44=2,DZ126,
IF(INT(DZ126)=INT(DY126),0,DZ126-INT(DZ126)))))</f>
        <v>0</v>
      </c>
      <c r="ES126" s="835">
        <f>+IF(OR(EA126=DZ126,ES$44=1),0,
IF(AND(ES$44&gt;1,EA126=$N126),1-SUM($EN126:ER126),
IF($N126&lt;=1,
IF($N126&gt;0,1/$N126,0),
IF(ES$44=2,0,VDB(1,0,$N126,INT(ES$44-2-1),MIN($N126,INT(ES$44-2-1)+1),$DC126,IF($DD126="No",1,0))/
IF(DZ126&gt;=INT($N126),$N126-INT($N126),1)))*
IF(ES$44=2,0,
IF(INT(EA126)=INT(DZ126),EA126-DZ126,INT(EA126)-DZ126))+
IF($N126&lt;=1,
IF($N126&gt;0,1/$N126,0),VDB(1,0,$N126,INT(ES$44-2),MIN($N126,INT(ES$44-2)+1),$DC126,IF($DD126="No",1,0))/
IF(EA126&gt;INT($N126),$N126-INT($N126),1))*
IF(ES$44=2,EA126,
IF(INT(EA126)=INT(DZ126),0,EA126-INT(EA126)))))</f>
        <v>0</v>
      </c>
      <c r="ET126" s="835">
        <f>+IF(OR(EB126=EA126,ET$44=1),0,
IF(AND(ET$44&gt;1,EB126=$N126),1-SUM($EN126:ES126),
IF($N126&lt;=1,
IF($N126&gt;0,1/$N126,0),
IF(ET$44=2,0,VDB(1,0,$N126,INT(ET$44-2-1),MIN($N126,INT(ET$44-2-1)+1),$DC126,IF($DD126="No",1,0))/
IF(EA126&gt;=INT($N126),$N126-INT($N126),1)))*
IF(ET$44=2,0,
IF(INT(EB126)=INT(EA126),EB126-EA126,INT(EB126)-EA126))+
IF($N126&lt;=1,
IF($N126&gt;0,1/$N126,0),VDB(1,0,$N126,INT(ET$44-2),MIN($N126,INT(ET$44-2)+1),$DC126,IF($DD126="No",1,0))/
IF(EB126&gt;INT($N126),$N126-INT($N126),1))*
IF(ET$44=2,EB126,
IF(INT(EB126)=INT(EA126),0,EB126-INT(EB126)))))</f>
        <v>0</v>
      </c>
      <c r="EU126" s="835">
        <f>+IF(OR(EC126=EB126,EU$44=1),0,
IF(AND(EU$44&gt;1,EC126=$N126),1-SUM($EN126:ET126),
IF($N126&lt;=1,
IF($N126&gt;0,1/$N126,0),
IF(EU$44=2,0,VDB(1,0,$N126,INT(EU$44-2-1),MIN($N126,INT(EU$44-2-1)+1),$DC126,IF($DD126="No",1,0))/
IF(EB126&gt;=INT($N126),$N126-INT($N126),1)))*
IF(EU$44=2,0,
IF(INT(EC126)=INT(EB126),EC126-EB126,INT(EC126)-EB126))+
IF($N126&lt;=1,
IF($N126&gt;0,1/$N126,0),VDB(1,0,$N126,INT(EU$44-2),MIN($N126,INT(EU$44-2)+1),$DC126,IF($DD126="No",1,0))/
IF(EC126&gt;INT($N126),$N126-INT($N126),1))*
IF(EU$44=2,EC126,
IF(INT(EC126)=INT(EB126),0,EC126-INT(EC126)))))</f>
        <v>0</v>
      </c>
      <c r="EV126" s="836">
        <f>+IF(OR(ED126=EC126,EV$44=1),0,
IF(AND(EV$44&gt;1,ED126=$N126),1-SUM($EN126:EU126),
IF($N126&lt;=1,
IF($N126&gt;0,1/$N126,0),
IF(EV$44=2,0,VDB(1,0,$N126,INT(EV$44-2-1),MIN($N126,INT(EV$44-2-1)+1),$DC126,IF($DD126="No",1,0))/
IF(EC126&gt;=INT($N126),$N126-INT($N126),1)))*
IF(EV$44=2,0,
IF(INT(ED126)=INT(EC126),ED126-EC126,INT(ED126)-EC126))+
IF($N126&lt;=1,
IF($N126&gt;0,1/$N126,0),VDB(1,0,$N126,INT(EV$44-2),MIN($N126,INT(EV$44-2)+1),$DC126,IF($DD126="No",1,0))/
IF(ED126&gt;INT($N126),$N126-INT($N126),1))*
IF(EV$44=2,ED126,
IF(INT(ED126)=INT(EC126),0,ED126-INT(ED126)))))</f>
        <v>0</v>
      </c>
      <c r="EW126" s="833"/>
      <c r="EX126" s="834">
        <f t="shared" ca="1" si="301"/>
        <v>0</v>
      </c>
      <c r="EY126" s="835">
        <f t="shared" ca="1" si="301"/>
        <v>0</v>
      </c>
      <c r="EZ126" s="836">
        <f t="shared" ca="1" si="301"/>
        <v>0</v>
      </c>
      <c r="FA126" s="834">
        <f t="shared" ca="1" si="301"/>
        <v>0</v>
      </c>
      <c r="FB126" s="835">
        <f t="shared" ca="1" si="301"/>
        <v>0</v>
      </c>
      <c r="FC126" s="835">
        <f t="shared" ca="1" si="301"/>
        <v>0</v>
      </c>
      <c r="FD126" s="835">
        <f t="shared" ca="1" si="301"/>
        <v>0</v>
      </c>
      <c r="FE126" s="836">
        <f t="shared" ca="1" si="301"/>
        <v>0</v>
      </c>
      <c r="FG126" s="386">
        <f t="shared" ca="1" si="293"/>
        <v>0</v>
      </c>
      <c r="FH126" s="387">
        <f t="shared" ca="1" si="294"/>
        <v>0</v>
      </c>
      <c r="FI126" s="388">
        <f t="shared" ca="1" si="295"/>
        <v>0</v>
      </c>
      <c r="FJ126" s="386">
        <f t="shared" ca="1" si="296"/>
        <v>0</v>
      </c>
      <c r="FK126" s="387">
        <f t="shared" ca="1" si="297"/>
        <v>0</v>
      </c>
      <c r="FL126" s="387">
        <f t="shared" ca="1" si="298"/>
        <v>0</v>
      </c>
      <c r="FM126" s="387">
        <f t="shared" ca="1" si="299"/>
        <v>0</v>
      </c>
      <c r="FN126" s="388">
        <f t="shared" ca="1" si="300"/>
        <v>0</v>
      </c>
      <c r="FR126" s="116"/>
    </row>
    <row r="127" spans="2:174">
      <c r="B127" s="1410">
        <f t="shared" si="135"/>
        <v>81</v>
      </c>
      <c r="C127" s="400" t="s">
        <v>623</v>
      </c>
      <c r="D127" s="410"/>
      <c r="E127" s="402" t="s">
        <v>402</v>
      </c>
      <c r="F127" s="402" t="s">
        <v>520</v>
      </c>
      <c r="G127" s="400" t="s">
        <v>522</v>
      </c>
      <c r="H127" s="2088" t="s">
        <v>483</v>
      </c>
      <c r="I127" s="2089"/>
      <c r="J127" s="411" t="s">
        <v>516</v>
      </c>
      <c r="K127" s="403" t="s">
        <v>544</v>
      </c>
      <c r="L127" s="403">
        <v>50</v>
      </c>
      <c r="M127" s="403" t="s">
        <v>142</v>
      </c>
      <c r="N127" s="403"/>
      <c r="O127" s="347"/>
      <c r="P127" s="347"/>
      <c r="Q127" s="1021">
        <v>32.788292682926837</v>
      </c>
      <c r="R127" s="1022">
        <v>6.7394798334324815</v>
      </c>
      <c r="S127" s="1022">
        <v>2.3046992353564231</v>
      </c>
      <c r="T127" s="1022">
        <v>3.2427823867623675</v>
      </c>
      <c r="U127" s="1023">
        <v>0</v>
      </c>
      <c r="V127" s="1021">
        <v>0</v>
      </c>
      <c r="W127" s="1022">
        <v>15.038667459845332</v>
      </c>
      <c r="X127" s="1022">
        <v>13.928991163796237</v>
      </c>
      <c r="Y127" s="1022">
        <v>0</v>
      </c>
      <c r="Z127" s="1023">
        <v>2.9534874874759627</v>
      </c>
      <c r="AA127" s="1024"/>
      <c r="AB127" s="1021">
        <v>0</v>
      </c>
      <c r="AC127" s="1022">
        <v>0</v>
      </c>
      <c r="AD127" s="1022">
        <v>0</v>
      </c>
      <c r="AE127" s="1022">
        <v>0</v>
      </c>
      <c r="AF127" s="1023">
        <v>0</v>
      </c>
      <c r="AG127" s="1021">
        <v>0</v>
      </c>
      <c r="AH127" s="1022">
        <v>0</v>
      </c>
      <c r="AI127" s="1022">
        <v>0</v>
      </c>
      <c r="AJ127" s="1022">
        <v>0</v>
      </c>
      <c r="AK127" s="1023">
        <v>0</v>
      </c>
      <c r="AL127" s="1024"/>
      <c r="AM127" s="1021">
        <v>0</v>
      </c>
      <c r="AN127" s="1022">
        <v>0</v>
      </c>
      <c r="AO127" s="1022">
        <v>0</v>
      </c>
      <c r="AP127" s="1022">
        <v>0</v>
      </c>
      <c r="AQ127" s="1023">
        <v>0</v>
      </c>
      <c r="AR127" s="1021">
        <v>0</v>
      </c>
      <c r="AS127" s="1022">
        <v>0</v>
      </c>
      <c r="AT127" s="1022">
        <v>0</v>
      </c>
      <c r="AU127" s="1022">
        <v>0</v>
      </c>
      <c r="AV127" s="1023">
        <v>0</v>
      </c>
      <c r="AW127" s="1025"/>
      <c r="AX127" s="1282">
        <f t="shared" si="247"/>
        <v>32.788292682926837</v>
      </c>
      <c r="AY127" s="387">
        <f t="shared" si="248"/>
        <v>6.7394798334324815</v>
      </c>
      <c r="AZ127" s="387">
        <f t="shared" si="249"/>
        <v>2.3046992353564231</v>
      </c>
      <c r="BA127" s="387">
        <f t="shared" si="250"/>
        <v>3.2427823867623675</v>
      </c>
      <c r="BB127" s="1283">
        <f t="shared" si="251"/>
        <v>0</v>
      </c>
      <c r="BC127" s="386">
        <f t="shared" si="252"/>
        <v>0</v>
      </c>
      <c r="BD127" s="387">
        <f t="shared" si="253"/>
        <v>15.038667459845332</v>
      </c>
      <c r="BE127" s="1277">
        <f t="shared" si="254"/>
        <v>13.928991163796237</v>
      </c>
      <c r="BF127" s="1277">
        <f t="shared" si="255"/>
        <v>0</v>
      </c>
      <c r="BG127" s="388">
        <f t="shared" si="256"/>
        <v>2.9534874874759627</v>
      </c>
      <c r="BH127" s="1025"/>
      <c r="BI127" s="1282">
        <f t="shared" ca="1" si="257"/>
        <v>0.3278829268292684</v>
      </c>
      <c r="BJ127" s="387">
        <f t="shared" ca="1" si="258"/>
        <v>0.72316065199286161</v>
      </c>
      <c r="BK127" s="387">
        <f t="shared" ca="1" si="259"/>
        <v>0.81360244268075066</v>
      </c>
      <c r="BL127" s="387">
        <f t="shared" ca="1" si="260"/>
        <v>0.86907725890193854</v>
      </c>
      <c r="BM127" s="1283">
        <f t="shared" ca="1" si="261"/>
        <v>0.9015050827695622</v>
      </c>
      <c r="BN127" s="386">
        <f t="shared" ca="1" si="262"/>
        <v>0.9015050827695622</v>
      </c>
      <c r="BO127" s="387">
        <f t="shared" ca="1" si="263"/>
        <v>1.0518917573680155</v>
      </c>
      <c r="BP127" s="1277">
        <f t="shared" ca="1" si="264"/>
        <v>1.3415683436044312</v>
      </c>
      <c r="BQ127" s="1277">
        <f t="shared" ca="1" si="265"/>
        <v>1.4808582552423937</v>
      </c>
      <c r="BR127" s="388">
        <f t="shared" ca="1" si="266"/>
        <v>1.5103931301171534</v>
      </c>
      <c r="BS127" s="1025"/>
      <c r="BT127" s="1282">
        <f>+IF($K127="Ongoing",AX127,IF(RIGHT($K127,2)=RIGHT(BT$43,2),SUM($AX127:AX127),0)+IF(RIGHT(BT$43,2)&gt;RIGHT($K127,2),AX127,0))</f>
        <v>32.788292682926837</v>
      </c>
      <c r="BU127" s="387">
        <f>+IF($K127="Ongoing",AY127,IF(RIGHT($K127,2)=RIGHT(BU$43,2),SUM($AX127:AY127),0)+IF(RIGHT(BU$43,2)&gt;RIGHT($K127,2),AY127,0))</f>
        <v>6.7394798334324815</v>
      </c>
      <c r="BV127" s="387">
        <f>+IF($K127="Ongoing",AZ127,IF(RIGHT($K127,2)=RIGHT(BV$43,2),SUM($AX127:AZ127),0)+IF(RIGHT(BV$43,2)&gt;RIGHT($K127,2),AZ127,0))</f>
        <v>2.3046992353564231</v>
      </c>
      <c r="BW127" s="387">
        <f>+IF($K127="Ongoing",BA127,IF(RIGHT($K127,2)=RIGHT(BW$43,2),SUM($AX127:BA127),0)+IF(RIGHT(BW$43,2)&gt;RIGHT($K127,2),BA127,0))</f>
        <v>3.2427823867623675</v>
      </c>
      <c r="BX127" s="1283">
        <f>+IF($K127="Ongoing",BB127,IF(RIGHT($K127,2)=RIGHT(BX$43,2),SUM($AX127:BB127),0)+IF(RIGHT(BX$43,2)&gt;RIGHT($K127,2),BB127,0))</f>
        <v>0</v>
      </c>
      <c r="BY127" s="386">
        <f>+IF($K127="Ongoing",BC127,IF(RIGHT($K127,2)=RIGHT(BY$43,2),SUM($AX127:BC127),0)+IF(RIGHT(BY$43,2)&gt;RIGHT($K127,2),BC127,0))</f>
        <v>0</v>
      </c>
      <c r="BZ127" s="387">
        <f>+IF($K127="Ongoing",BD127,IF(RIGHT($K127,2)=RIGHT(BZ$43,2),SUM($AX127:BD127),0)+IF(RIGHT(BZ$43,2)&gt;RIGHT($K127,2),BD127,0))</f>
        <v>15.038667459845332</v>
      </c>
      <c r="CA127" s="1277">
        <f>+IF($K127="Ongoing",BE127,IF(RIGHT($K127,2)=RIGHT(CA$43,2),SUM($AX127:BE127),0)+IF(RIGHT(CA$43,2)&gt;RIGHT($K127,2),BE127,0))</f>
        <v>13.928991163796237</v>
      </c>
      <c r="CB127" s="1277">
        <f>+IF($K127="Ongoing",BF127,IF(RIGHT($K127,2)=RIGHT(CB$43,2),SUM($AX127:BF127),0)+IF(RIGHT(CB$43,2)&gt;RIGHT($K127,2),BF127,0))</f>
        <v>0</v>
      </c>
      <c r="CC127" s="388">
        <f>+IF($K127="Ongoing",BG127,IF(RIGHT($K127,2)=RIGHT(CC$43,2),SUM($AX127:BG127),0)+IF(RIGHT(CC$43,2)&gt;RIGHT($K127,2),BG127,0))</f>
        <v>2.9534874874759627</v>
      </c>
      <c r="CD127" s="1025"/>
      <c r="CE127" s="1282">
        <f>+Q127*KeyAssumptionsPriceControl_FO!AF$15</f>
        <v>33.739153170731711</v>
      </c>
      <c r="CF127" s="387">
        <f>+R127*KeyAssumptionsPriceControl_FO!AG$15</f>
        <v>7.1360375663114812</v>
      </c>
      <c r="CG127" s="387">
        <f>+S127*KeyAssumptionsPriceControl_FO!AH$15</f>
        <v>2.5110790343128868</v>
      </c>
      <c r="CH127" s="387">
        <f>+T127*KeyAssumptionsPriceControl_FO!AI$15</f>
        <v>3.6356268699872967</v>
      </c>
      <c r="CI127" s="1283">
        <f>+U127*KeyAssumptionsPriceControl_FO!AJ$15</f>
        <v>0</v>
      </c>
      <c r="CJ127" s="386">
        <f>+V127*KeyAssumptionsPriceControl_FO!AK$15</f>
        <v>0</v>
      </c>
      <c r="CK127" s="387">
        <f>+W127*KeyAssumptionsPriceControl_FO!AL$15</f>
        <v>18.370330912601773</v>
      </c>
      <c r="CL127" s="1277">
        <f>+X127*KeyAssumptionsPriceControl_FO!AM$15</f>
        <v>17.508246843841214</v>
      </c>
      <c r="CM127" s="1277">
        <f>+Y127*KeyAssumptionsPriceControl_FO!AN$15</f>
        <v>0</v>
      </c>
      <c r="CN127" s="388">
        <f>+Z127*KeyAssumptionsPriceControl_FO!AO$15</f>
        <v>3.9308718252635213</v>
      </c>
      <c r="CO127" s="1025"/>
      <c r="CP127" s="1282">
        <f t="shared" ca="1" si="267"/>
        <v>0</v>
      </c>
      <c r="CQ127" s="387">
        <f t="shared" ca="1" si="268"/>
        <v>0</v>
      </c>
      <c r="CR127" s="387">
        <f t="shared" ca="1" si="269"/>
        <v>0</v>
      </c>
      <c r="CS127" s="387">
        <f t="shared" ca="1" si="270"/>
        <v>0</v>
      </c>
      <c r="CT127" s="1283">
        <f t="shared" ca="1" si="271"/>
        <v>0</v>
      </c>
      <c r="CU127" s="386">
        <f t="shared" ca="1" si="272"/>
        <v>0</v>
      </c>
      <c r="CV127" s="387">
        <f t="shared" ca="1" si="273"/>
        <v>0</v>
      </c>
      <c r="CW127" s="1277">
        <f t="shared" ca="1" si="274"/>
        <v>0</v>
      </c>
      <c r="CX127" s="1277">
        <f t="shared" ca="1" si="275"/>
        <v>0</v>
      </c>
      <c r="CY127" s="388">
        <f t="shared" ca="1" si="276"/>
        <v>0</v>
      </c>
      <c r="CZ127" s="347"/>
      <c r="DA127" s="852"/>
      <c r="DB127" s="347"/>
      <c r="DC127" s="1012" t="s">
        <v>624</v>
      </c>
      <c r="DD127" s="841" t="s">
        <v>518</v>
      </c>
      <c r="DE127" s="386">
        <f>+IF($K127="ongoing",CE127,IF(RIGHT($K127,2)=RIGHT(DE$43,2),SUM($CD127:CE127),0)+IF(RIGHT(DE$43,2)&gt;RIGHT($K127,2),CE127,0))</f>
        <v>33.739153170731711</v>
      </c>
      <c r="DF127" s="387">
        <f>+IF($K127="ongoing",CF127,IF(RIGHT($K127,2)=RIGHT(DF$43,2),SUM($CD127:CF127),0)+IF(RIGHT(DF$43,2)&gt;RIGHT($K127,2),CF127,0))</f>
        <v>7.1360375663114812</v>
      </c>
      <c r="DG127" s="388">
        <f>+IF($K127="ongoing",CG127,IF(RIGHT($K127,2)=RIGHT(DG$43,2),SUM($CD127:CG127),0)+IF(RIGHT(DG$43,2)&gt;RIGHT($K127,2),CG127,0))</f>
        <v>2.5110790343128868</v>
      </c>
      <c r="DH127" s="386">
        <f>+IF($K127="ongoing",CH127,IF(RIGHT($K127,2)=RIGHT(DH$43,2),SUM($CD127:CH127),0)+IF(RIGHT(DH$43,2)&gt;RIGHT($K127,2),CH127,0))</f>
        <v>3.6356268699872967</v>
      </c>
      <c r="DI127" s="387">
        <f>+IF($K127="ongoing",CI127,IF(RIGHT($K127,2)=RIGHT(DI$43,2),SUM($CD127:CI127),0)+IF(RIGHT(DI$43,2)&gt;RIGHT($K127,2),CI127,0))</f>
        <v>0</v>
      </c>
      <c r="DJ127" s="387">
        <f>+IF($K127="ongoing",CJ127,IF(RIGHT($K127,2)=RIGHT(DJ$43,2),SUM($CD127:CJ127),0)+IF(RIGHT(DJ$43,2)&gt;RIGHT($K127,2),CJ127,0))</f>
        <v>0</v>
      </c>
      <c r="DK127" s="387">
        <f>+IF($K127="ongoing",CK127,IF(RIGHT($K127,2)=RIGHT(DK$43,2),SUM($CD127:CK127),0)+IF(RIGHT(DK$43,2)&gt;RIGHT($K127,2),CK127,0))</f>
        <v>18.370330912601773</v>
      </c>
      <c r="DL127" s="388">
        <f>+IF($K127="ongoing",CN127,IF(RIGHT($K127,2)=RIGHT(DL$43,2),SUM($CD127:CN127),0)+IF(RIGHT(DL$43,2)&gt;RIGHT($K127,2),CN127,0))</f>
        <v>3.9308718252635213</v>
      </c>
      <c r="DM127" s="841"/>
      <c r="DN127" s="386">
        <f t="shared" si="277"/>
        <v>0.5</v>
      </c>
      <c r="DO127" s="387">
        <f t="shared" si="278"/>
        <v>1</v>
      </c>
      <c r="DP127" s="388">
        <f t="shared" si="279"/>
        <v>1</v>
      </c>
      <c r="DQ127" s="386">
        <f t="shared" si="280"/>
        <v>1</v>
      </c>
      <c r="DR127" s="387">
        <f t="shared" si="281"/>
        <v>1</v>
      </c>
      <c r="DS127" s="387">
        <f t="shared" si="282"/>
        <v>1</v>
      </c>
      <c r="DT127" s="387">
        <f t="shared" si="283"/>
        <v>1</v>
      </c>
      <c r="DU127" s="388">
        <f t="shared" si="284"/>
        <v>1</v>
      </c>
      <c r="DW127" s="386">
        <f t="shared" si="285"/>
        <v>0</v>
      </c>
      <c r="DX127" s="387">
        <f t="shared" si="286"/>
        <v>0.5</v>
      </c>
      <c r="DY127" s="388">
        <f t="shared" si="287"/>
        <v>1</v>
      </c>
      <c r="DZ127" s="386">
        <f t="shared" si="288"/>
        <v>1</v>
      </c>
      <c r="EA127" s="387">
        <f t="shared" si="289"/>
        <v>1</v>
      </c>
      <c r="EB127" s="387">
        <f t="shared" si="290"/>
        <v>1</v>
      </c>
      <c r="EC127" s="387">
        <f t="shared" si="291"/>
        <v>1</v>
      </c>
      <c r="ED127" s="388">
        <f t="shared" si="292"/>
        <v>1</v>
      </c>
      <c r="EF127" s="834">
        <f>+IF(DN127=DM127,0,
IF(AND(EF$44&gt;1,DN127=$N127),1-SUM($EE127:EE127),
IF($N127&lt;=1,
IF($N127&gt;0,1/$N127,0),
IF(EF$44=1,0,VDB(1,0,$N127,INT(EF$44-1-1),MIN($N127,INT(EF$44-1-1)+1),$DC127,IF($DD127="No",1,0))/
IF(DM127&gt;=INT($N127),$N127-INT($N127),1)))*
IF(EF$44=1,0,
IF(INT(DN127)=INT(DM127),DN127-DM127,INT(DN127)-DM127))+
IF($N127&lt;=1,
IF($N127&gt;0,1/$N127,0),VDB(1,0,$N127,INT(EF$44-1),MIN($N127,INT(EF$44-1)+1),$DC127,IF($DD127="No",1,0))/
IF(DN127&gt;INT($N127),$N127-INT($N127),1))*
IF(EF$44=1,DN127,
IF(INT(DN127)=INT(DM127),0,DN127-INT(DN127)))))</f>
        <v>0</v>
      </c>
      <c r="EG127" s="835">
        <f>+IF(DO127=DN127,0,
IF(AND(EG$44&gt;1,DO127=$N127),1-SUM($EE127:EF127),
IF($N127&lt;=1,
IF($N127&gt;0,1/$N127,0),
IF(EG$44=1,0,VDB(1,0,$N127,INT(EG$44-1-1),MIN($N127,INT(EG$44-1-1)+1),$DC127,IF($DD127="No",1,0))/
IF(DN127&gt;=INT($N127),$N127-INT($N127),1)))*
IF(EG$44=1,0,
IF(INT(DO127)=INT(DN127),DO127-DN127,INT(DO127)-DN127))+
IF($N127&lt;=1,
IF($N127&gt;0,1/$N127,0),VDB(1,0,$N127,INT(EG$44-1),MIN($N127,INT(EG$44-1)+1),$DC127,IF($DD127="No",1,0))/
IF(DO127&gt;INT($N127),$N127-INT($N127),1))*
IF(EG$44=1,DO127,
IF(INT(DO127)=INT(DN127),0,DO127-INT(DO127)))))</f>
        <v>0</v>
      </c>
      <c r="EH127" s="836">
        <f>+IF(DP127=DO127,0,
IF(AND(EH$44&gt;1,DP127=$N127),1-SUM($EE127:EG127),
IF($N127&lt;=1,
IF($N127&gt;0,1/$N127,0),
IF(EH$44=1,0,VDB(1,0,$N127,INT(EH$44-1-1),MIN($N127,INT(EH$44-1-1)+1),$DC127,IF($DD127="No",1,0))/
IF(DO127&gt;=INT($N127),$N127-INT($N127),1)))*
IF(EH$44=1,0,
IF(INT(DP127)=INT(DO127),DP127-DO127,INT(DP127)-DO127))+
IF($N127&lt;=1,
IF($N127&gt;0,1/$N127,0),VDB(1,0,$N127,INT(EH$44-1),MIN($N127,INT(EH$44-1)+1),$DC127,IF($DD127="No",1,0))/
IF(DP127&gt;INT($N127),$N127-INT($N127),1))*
IF(EH$44=1,DP127,
IF(INT(DP127)=INT(DO127),0,DP127-INT(DP127)))))</f>
        <v>0</v>
      </c>
      <c r="EI127" s="834">
        <f>+IF(DQ127=DP127,0,
IF(AND(EI$44&gt;1,DQ127=$N127),1-SUM($EE127:EH127),
IF($N127&lt;=1,
IF($N127&gt;0,1/$N127,0),
IF(EI$44=1,0,VDB(1,0,$N127,INT(EI$44-1-1),MIN($N127,INT(EI$44-1-1)+1),$DC127,IF($DD127="No",1,0))/
IF(DP127&gt;=INT($N127),$N127-INT($N127),1)))*
IF(EI$44=1,0,
IF(INT(DQ127)=INT(DP127),DQ127-DP127,INT(DQ127)-DP127))+
IF($N127&lt;=1,
IF($N127&gt;0,1/$N127,0),VDB(1,0,$N127,INT(EI$44-1),MIN($N127,INT(EI$44-1)+1),$DC127,IF($DD127="No",1,0))/
IF(DQ127&gt;INT($N127),$N127-INT($N127),1))*
IF(EI$44=1,DQ127,
IF(INT(DQ127)=INT(DP127),0,DQ127-INT(DQ127)))))</f>
        <v>0</v>
      </c>
      <c r="EJ127" s="835">
        <f>+IF(DR127=DQ127,0,
IF(AND(EJ$44&gt;1,DR127=$N127),1-SUM($EE127:EI127),
IF($N127&lt;=1,
IF($N127&gt;0,1/$N127,0),
IF(EJ$44=1,0,VDB(1,0,$N127,INT(EJ$44-1-1),MIN($N127,INT(EJ$44-1-1)+1),$DC127,IF($DD127="No",1,0))/
IF(DQ127&gt;=INT($N127),$N127-INT($N127),1)))*
IF(EJ$44=1,0,
IF(INT(DR127)=INT(DQ127),DR127-DQ127,INT(DR127)-DQ127))+
IF($N127&lt;=1,
IF($N127&gt;0,1/$N127,0),VDB(1,0,$N127,INT(EJ$44-1),MIN($N127,INT(EJ$44-1)+1),$DC127,IF($DD127="No",1,0))/
IF(DR127&gt;INT($N127),$N127-INT($N127),1))*
IF(EJ$44=1,DR127,
IF(INT(DR127)=INT(DQ127),0,DR127-INT(DR127)))))</f>
        <v>0</v>
      </c>
      <c r="EK127" s="835">
        <f>+IF(DS127=DR127,0,
IF(AND(EK$44&gt;1,DS127=$N127),1-SUM($EE127:EJ127),
IF($N127&lt;=1,
IF($N127&gt;0,1/$N127,0),
IF(EK$44=1,0,VDB(1,0,$N127,INT(EK$44-1-1),MIN($N127,INT(EK$44-1-1)+1),$DC127,IF($DD127="No",1,0))/
IF(DR127&gt;=INT($N127),$N127-INT($N127),1)))*
IF(EK$44=1,0,
IF(INT(DS127)=INT(DR127),DS127-DR127,INT(DS127)-DR127))+
IF($N127&lt;=1,
IF($N127&gt;0,1/$N127,0),VDB(1,0,$N127,INT(EK$44-1),MIN($N127,INT(EK$44-1)+1),$DC127,IF($DD127="No",1,0))/
IF(DS127&gt;INT($N127),$N127-INT($N127),1))*
IF(EK$44=1,DS127,
IF(INT(DS127)=INT(DR127),0,DS127-INT(DS127)))))</f>
        <v>0</v>
      </c>
      <c r="EL127" s="835">
        <f>+IF(DT127=DS127,0,
IF(AND(EL$44&gt;1,DT127=$N127),1-SUM($EE127:EK127),
IF($N127&lt;=1,
IF($N127&gt;0,1/$N127,0),
IF(EL$44=1,0,VDB(1,0,$N127,INT(EL$44-1-1),MIN($N127,INT(EL$44-1-1)+1),$DC127,IF($DD127="No",1,0))/
IF(DS127&gt;=INT($N127),$N127-INT($N127),1)))*
IF(EL$44=1,0,
IF(INT(DT127)=INT(DS127),DT127-DS127,INT(DT127)-DS127))+
IF($N127&lt;=1,
IF($N127&gt;0,1/$N127,0),VDB(1,0,$N127,INT(EL$44-1),MIN($N127,INT(EL$44-1)+1),$DC127,IF($DD127="No",1,0))/
IF(DT127&gt;INT($N127),$N127-INT($N127),1))*
IF(EL$44=1,DT127,
IF(INT(DT127)=INT(DS127),0,DT127-INT(DT127)))))</f>
        <v>0</v>
      </c>
      <c r="EM127" s="836">
        <f>+IF(DU127=DT127,0,
IF(AND(EM$44&gt;1,DU127=$N127),1-SUM($EE127:EL127),
IF($N127&lt;=1,
IF($N127&gt;0,1/$N127,0),
IF(EM$44=1,0,VDB(1,0,$N127,INT(EM$44-1-1),MIN($N127,INT(EM$44-1-1)+1),$DC127,IF($DD127="No",1,0))/
IF(DT127&gt;=INT($N127),$N127-INT($N127),1)))*
IF(EM$44=1,0,
IF(INT(DU127)=INT(DT127),DU127-DT127,INT(DU127)-DT127))+
IF($N127&lt;=1,
IF($N127&gt;0,1/$N127,0),VDB(1,0,$N127,INT(EM$44-1),MIN($N127,INT(EM$44-1)+1),$DC127,IF($DD127="No",1,0))/
IF(DU127&gt;INT($N127),$N127-INT($N127),1))*
IF(EM$44=1,DU127,
IF(INT(DU127)=INT(DT127),0,DU127-INT(DU127)))))</f>
        <v>0</v>
      </c>
      <c r="EN127" s="833"/>
      <c r="EO127" s="834">
        <f>+IF(OR(DW127=DV127,EO$44=1),0,
IF(AND(EO$44&gt;1,DW127=$N127),1-SUM($EN127:EN127),
IF($N127&lt;=1,
IF($N127&gt;0,1/$N127,0),
IF(EO$44=2,0,VDB(1,0,$N127,INT(EO$44-2-1),MIN($N127,INT(EO$44-2-1)+1),$DC127,IF($DD127="No",1,0))/
IF(DV127&gt;=INT($N127),$N127-INT($N127),1)))*
IF(EO$44=2,0,
IF(INT(DW127)=INT(DV127),DW127-DV127,INT(DW127)-DV127))+
IF($N127&lt;=1,
IF($N127&gt;0,1/$N127,0),VDB(1,0,$N127,INT(EO$44-2),MIN($N127,INT(EO$44-2)+1),$DC127,IF($DD127="No",1,0))/
IF(DW127&gt;INT($N127),$N127-INT($N127),1))*
IF(EO$44=2,DW127,
IF(INT(DW127)=INT(DV127),0,DW127-INT(DW127)))))</f>
        <v>0</v>
      </c>
      <c r="EP127" s="835">
        <f>+IF(OR(DX127=DW127,EP$44=1),0,
IF(AND(EP$44&gt;1,DX127=$N127),1-SUM($EN127:EO127),
IF($N127&lt;=1,
IF($N127&gt;0,1/$N127,0),
IF(EP$44=2,0,VDB(1,0,$N127,INT(EP$44-2-1),MIN($N127,INT(EP$44-2-1)+1),$DC127,IF($DD127="No",1,0))/
IF(DW127&gt;=INT($N127),$N127-INT($N127),1)))*
IF(EP$44=2,0,
IF(INT(DX127)=INT(DW127),DX127-DW127,INT(DX127)-DW127))+
IF($N127&lt;=1,
IF($N127&gt;0,1/$N127,0),VDB(1,0,$N127,INT(EP$44-2),MIN($N127,INT(EP$44-2)+1),$DC127,IF($DD127="No",1,0))/
IF(DX127&gt;INT($N127),$N127-INT($N127),1))*
IF(EP$44=2,DX127,
IF(INT(DX127)=INT(DW127),0,DX127-INT(DX127)))))</f>
        <v>0</v>
      </c>
      <c r="EQ127" s="836">
        <f>+IF(OR(DY127=DX127,EQ$44=1),0,
IF(AND(EQ$44&gt;1,DY127=$N127),1-SUM($EN127:EP127),
IF($N127&lt;=1,
IF($N127&gt;0,1/$N127,0),
IF(EQ$44=2,0,VDB(1,0,$N127,INT(EQ$44-2-1),MIN($N127,INT(EQ$44-2-1)+1),$DC127,IF($DD127="No",1,0))/
IF(DX127&gt;=INT($N127),$N127-INT($N127),1)))*
IF(EQ$44=2,0,
IF(INT(DY127)=INT(DX127),DY127-DX127,INT(DY127)-DX127))+
IF($N127&lt;=1,
IF($N127&gt;0,1/$N127,0),VDB(1,0,$N127,INT(EQ$44-2),MIN($N127,INT(EQ$44-2)+1),$DC127,IF($DD127="No",1,0))/
IF(DY127&gt;INT($N127),$N127-INT($N127),1))*
IF(EQ$44=2,DY127,
IF(INT(DY127)=INT(DX127),0,DY127-INT(DY127)))))</f>
        <v>0</v>
      </c>
      <c r="ER127" s="834">
        <f>+IF(OR(DZ127=DY127,ER$44=1),0,
IF(AND(ER$44&gt;1,DZ127=$N127),1-SUM($EN127:EQ127),
IF($N127&lt;=1,
IF($N127&gt;0,1/$N127,0),
IF(ER$44=2,0,VDB(1,0,$N127,INT(ER$44-2-1),MIN($N127,INT(ER$44-2-1)+1),$DC127,IF($DD127="No",1,0))/
IF(DY127&gt;=INT($N127),$N127-INT($N127),1)))*
IF(ER$44=2,0,
IF(INT(DZ127)=INT(DY127),DZ127-DY127,INT(DZ127)-DY127))+
IF($N127&lt;=1,
IF($N127&gt;0,1/$N127,0),VDB(1,0,$N127,INT(ER$44-2),MIN($N127,INT(ER$44-2)+1),$DC127,IF($DD127="No",1,0))/
IF(DZ127&gt;INT($N127),$N127-INT($N127),1))*
IF(ER$44=2,DZ127,
IF(INT(DZ127)=INT(DY127),0,DZ127-INT(DZ127)))))</f>
        <v>0</v>
      </c>
      <c r="ES127" s="835">
        <f>+IF(OR(EA127=DZ127,ES$44=1),0,
IF(AND(ES$44&gt;1,EA127=$N127),1-SUM($EN127:ER127),
IF($N127&lt;=1,
IF($N127&gt;0,1/$N127,0),
IF(ES$44=2,0,VDB(1,0,$N127,INT(ES$44-2-1),MIN($N127,INT(ES$44-2-1)+1),$DC127,IF($DD127="No",1,0))/
IF(DZ127&gt;=INT($N127),$N127-INT($N127),1)))*
IF(ES$44=2,0,
IF(INT(EA127)=INT(DZ127),EA127-DZ127,INT(EA127)-DZ127))+
IF($N127&lt;=1,
IF($N127&gt;0,1/$N127,0),VDB(1,0,$N127,INT(ES$44-2),MIN($N127,INT(ES$44-2)+1),$DC127,IF($DD127="No",1,0))/
IF(EA127&gt;INT($N127),$N127-INT($N127),1))*
IF(ES$44=2,EA127,
IF(INT(EA127)=INT(DZ127),0,EA127-INT(EA127)))))</f>
        <v>0</v>
      </c>
      <c r="ET127" s="835">
        <f>+IF(OR(EB127=EA127,ET$44=1),0,
IF(AND(ET$44&gt;1,EB127=$N127),1-SUM($EN127:ES127),
IF($N127&lt;=1,
IF($N127&gt;0,1/$N127,0),
IF(ET$44=2,0,VDB(1,0,$N127,INT(ET$44-2-1),MIN($N127,INT(ET$44-2-1)+1),$DC127,IF($DD127="No",1,0))/
IF(EA127&gt;=INT($N127),$N127-INT($N127),1)))*
IF(ET$44=2,0,
IF(INT(EB127)=INT(EA127),EB127-EA127,INT(EB127)-EA127))+
IF($N127&lt;=1,
IF($N127&gt;0,1/$N127,0),VDB(1,0,$N127,INT(ET$44-2),MIN($N127,INT(ET$44-2)+1),$DC127,IF($DD127="No",1,0))/
IF(EB127&gt;INT($N127),$N127-INT($N127),1))*
IF(ET$44=2,EB127,
IF(INT(EB127)=INT(EA127),0,EB127-INT(EB127)))))</f>
        <v>0</v>
      </c>
      <c r="EU127" s="835">
        <f>+IF(OR(EC127=EB127,EU$44=1),0,
IF(AND(EU$44&gt;1,EC127=$N127),1-SUM($EN127:ET127),
IF($N127&lt;=1,
IF($N127&gt;0,1/$N127,0),
IF(EU$44=2,0,VDB(1,0,$N127,INT(EU$44-2-1),MIN($N127,INT(EU$44-2-1)+1),$DC127,IF($DD127="No",1,0))/
IF(EB127&gt;=INT($N127),$N127-INT($N127),1)))*
IF(EU$44=2,0,
IF(INT(EC127)=INT(EB127),EC127-EB127,INT(EC127)-EB127))+
IF($N127&lt;=1,
IF($N127&gt;0,1/$N127,0),VDB(1,0,$N127,INT(EU$44-2),MIN($N127,INT(EU$44-2)+1),$DC127,IF($DD127="No",1,0))/
IF(EC127&gt;INT($N127),$N127-INT($N127),1))*
IF(EU$44=2,EC127,
IF(INT(EC127)=INT(EB127),0,EC127-INT(EC127)))))</f>
        <v>0</v>
      </c>
      <c r="EV127" s="836">
        <f>+IF(OR(ED127=EC127,EV$44=1),0,
IF(AND(EV$44&gt;1,ED127=$N127),1-SUM($EN127:EU127),
IF($N127&lt;=1,
IF($N127&gt;0,1/$N127,0),
IF(EV$44=2,0,VDB(1,0,$N127,INT(EV$44-2-1),MIN($N127,INT(EV$44-2-1)+1),$DC127,IF($DD127="No",1,0))/
IF(EC127&gt;=INT($N127),$N127-INT($N127),1)))*
IF(EV$44=2,0,
IF(INT(ED127)=INT(EC127),ED127-EC127,INT(ED127)-EC127))+
IF($N127&lt;=1,
IF($N127&gt;0,1/$N127,0),VDB(1,0,$N127,INT(EV$44-2),MIN($N127,INT(EV$44-2)+1),$DC127,IF($DD127="No",1,0))/
IF(ED127&gt;INT($N127),$N127-INT($N127),1))*
IF(EV$44=2,ED127,
IF(INT(ED127)=INT(EC127),0,ED127-INT(ED127)))))</f>
        <v>0</v>
      </c>
      <c r="EW127" s="833"/>
      <c r="EX127" s="834">
        <f t="shared" ca="1" si="301"/>
        <v>0</v>
      </c>
      <c r="EY127" s="835">
        <f t="shared" ca="1" si="301"/>
        <v>0</v>
      </c>
      <c r="EZ127" s="836">
        <f t="shared" ca="1" si="301"/>
        <v>0</v>
      </c>
      <c r="FA127" s="834">
        <f t="shared" ca="1" si="301"/>
        <v>0</v>
      </c>
      <c r="FB127" s="835">
        <f t="shared" ca="1" si="301"/>
        <v>0</v>
      </c>
      <c r="FC127" s="835">
        <f t="shared" ca="1" si="301"/>
        <v>0</v>
      </c>
      <c r="FD127" s="835">
        <f t="shared" ca="1" si="301"/>
        <v>0</v>
      </c>
      <c r="FE127" s="836">
        <f t="shared" ca="1" si="301"/>
        <v>0</v>
      </c>
      <c r="FG127" s="386">
        <f t="shared" ca="1" si="293"/>
        <v>0</v>
      </c>
      <c r="FH127" s="387">
        <f t="shared" ca="1" si="294"/>
        <v>0</v>
      </c>
      <c r="FI127" s="388">
        <f t="shared" ca="1" si="295"/>
        <v>0</v>
      </c>
      <c r="FJ127" s="386">
        <f t="shared" ca="1" si="296"/>
        <v>0</v>
      </c>
      <c r="FK127" s="387">
        <f t="shared" ca="1" si="297"/>
        <v>0</v>
      </c>
      <c r="FL127" s="387">
        <f t="shared" ca="1" si="298"/>
        <v>0</v>
      </c>
      <c r="FM127" s="387">
        <f t="shared" ca="1" si="299"/>
        <v>0</v>
      </c>
      <c r="FN127" s="388">
        <f t="shared" ca="1" si="300"/>
        <v>0</v>
      </c>
      <c r="FR127" s="116"/>
    </row>
    <row r="128" spans="2:174">
      <c r="B128" s="1410">
        <f t="shared" ref="B128:B191" si="302">B127+1</f>
        <v>82</v>
      </c>
      <c r="C128" s="400" t="s">
        <v>625</v>
      </c>
      <c r="D128" s="410"/>
      <c r="E128" s="402" t="s">
        <v>402</v>
      </c>
      <c r="F128" s="402" t="s">
        <v>520</v>
      </c>
      <c r="G128" s="400" t="s">
        <v>522</v>
      </c>
      <c r="H128" s="2088" t="s">
        <v>483</v>
      </c>
      <c r="I128" s="2089"/>
      <c r="J128" s="411" t="s">
        <v>516</v>
      </c>
      <c r="K128" s="403" t="s">
        <v>544</v>
      </c>
      <c r="L128" s="403">
        <v>50</v>
      </c>
      <c r="M128" s="403" t="s">
        <v>142</v>
      </c>
      <c r="N128" s="403"/>
      <c r="O128" s="347"/>
      <c r="P128" s="347"/>
      <c r="Q128" s="1021">
        <v>48.878048780487816</v>
      </c>
      <c r="R128" s="1022">
        <v>36.098022643664486</v>
      </c>
      <c r="S128" s="1022">
        <v>12.443232106324636</v>
      </c>
      <c r="T128" s="1022">
        <v>0</v>
      </c>
      <c r="U128" s="1023">
        <v>0</v>
      </c>
      <c r="V128" s="1021">
        <v>4.3114843298025241</v>
      </c>
      <c r="W128" s="1022">
        <v>4.2063261754170966</v>
      </c>
      <c r="X128" s="1022">
        <v>0</v>
      </c>
      <c r="Y128" s="1022">
        <v>0</v>
      </c>
      <c r="Z128" s="1023">
        <v>0</v>
      </c>
      <c r="AA128" s="1024"/>
      <c r="AB128" s="1021">
        <v>0</v>
      </c>
      <c r="AC128" s="1022">
        <v>0</v>
      </c>
      <c r="AD128" s="1022">
        <v>0</v>
      </c>
      <c r="AE128" s="1022">
        <v>0</v>
      </c>
      <c r="AF128" s="1023">
        <v>0</v>
      </c>
      <c r="AG128" s="1021">
        <v>0</v>
      </c>
      <c r="AH128" s="1022">
        <v>0</v>
      </c>
      <c r="AI128" s="1022">
        <v>0</v>
      </c>
      <c r="AJ128" s="1022">
        <v>0</v>
      </c>
      <c r="AK128" s="1023">
        <v>0</v>
      </c>
      <c r="AL128" s="1024"/>
      <c r="AM128" s="1021">
        <v>0</v>
      </c>
      <c r="AN128" s="1022">
        <v>0</v>
      </c>
      <c r="AO128" s="1022">
        <v>0</v>
      </c>
      <c r="AP128" s="1022">
        <v>0</v>
      </c>
      <c r="AQ128" s="1023">
        <v>0</v>
      </c>
      <c r="AR128" s="1021">
        <v>0</v>
      </c>
      <c r="AS128" s="1022">
        <v>0</v>
      </c>
      <c r="AT128" s="1022">
        <v>0</v>
      </c>
      <c r="AU128" s="1022">
        <v>0</v>
      </c>
      <c r="AV128" s="1023">
        <v>0</v>
      </c>
      <c r="AW128" s="1025"/>
      <c r="AX128" s="1282">
        <f t="shared" si="247"/>
        <v>48.878048780487816</v>
      </c>
      <c r="AY128" s="387">
        <f t="shared" si="248"/>
        <v>36.098022643664486</v>
      </c>
      <c r="AZ128" s="387">
        <f t="shared" si="249"/>
        <v>12.443232106324636</v>
      </c>
      <c r="BA128" s="387">
        <f t="shared" si="250"/>
        <v>0</v>
      </c>
      <c r="BB128" s="1283">
        <f t="shared" si="251"/>
        <v>0</v>
      </c>
      <c r="BC128" s="386">
        <f t="shared" si="252"/>
        <v>4.3114843298025241</v>
      </c>
      <c r="BD128" s="387">
        <f t="shared" si="253"/>
        <v>4.2063261754170966</v>
      </c>
      <c r="BE128" s="1277">
        <f t="shared" si="254"/>
        <v>0</v>
      </c>
      <c r="BF128" s="1277">
        <f t="shared" si="255"/>
        <v>0</v>
      </c>
      <c r="BG128" s="388">
        <f t="shared" si="256"/>
        <v>0</v>
      </c>
      <c r="BH128" s="1025"/>
      <c r="BI128" s="1282">
        <f t="shared" ca="1" si="257"/>
        <v>0.48878048780487815</v>
      </c>
      <c r="BJ128" s="387">
        <f t="shared" ca="1" si="258"/>
        <v>1.3385412020464011</v>
      </c>
      <c r="BK128" s="387">
        <f t="shared" ca="1" si="259"/>
        <v>1.8239537495462925</v>
      </c>
      <c r="BL128" s="387">
        <f t="shared" ca="1" si="260"/>
        <v>1.9483860706095391</v>
      </c>
      <c r="BM128" s="1283">
        <f t="shared" ca="1" si="261"/>
        <v>1.9483860706095391</v>
      </c>
      <c r="BN128" s="386">
        <f t="shared" ca="1" si="262"/>
        <v>1.9915009139075643</v>
      </c>
      <c r="BO128" s="387">
        <f t="shared" ca="1" si="263"/>
        <v>2.0766790189597604</v>
      </c>
      <c r="BP128" s="1277">
        <f t="shared" ca="1" si="264"/>
        <v>2.1187422807139313</v>
      </c>
      <c r="BQ128" s="1277">
        <f t="shared" ca="1" si="265"/>
        <v>2.1187422807139313</v>
      </c>
      <c r="BR128" s="388">
        <f t="shared" ca="1" si="266"/>
        <v>2.1187422807139313</v>
      </c>
      <c r="BS128" s="1025"/>
      <c r="BT128" s="1282">
        <f>+IF($K128="Ongoing",AX128,IF(RIGHT($K128,2)=RIGHT(BT$43,2),SUM($AX128:AX128),0)+IF(RIGHT(BT$43,2)&gt;RIGHT($K128,2),AX128,0))</f>
        <v>48.878048780487816</v>
      </c>
      <c r="BU128" s="387">
        <f>+IF($K128="Ongoing",AY128,IF(RIGHT($K128,2)=RIGHT(BU$43,2),SUM($AX128:AY128),0)+IF(RIGHT(BU$43,2)&gt;RIGHT($K128,2),AY128,0))</f>
        <v>36.098022643664486</v>
      </c>
      <c r="BV128" s="387">
        <f>+IF($K128="Ongoing",AZ128,IF(RIGHT($K128,2)=RIGHT(BV$43,2),SUM($AX128:AZ128),0)+IF(RIGHT(BV$43,2)&gt;RIGHT($K128,2),AZ128,0))</f>
        <v>12.443232106324636</v>
      </c>
      <c r="BW128" s="387">
        <f>+IF($K128="Ongoing",BA128,IF(RIGHT($K128,2)=RIGHT(BW$43,2),SUM($AX128:BA128),0)+IF(RIGHT(BW$43,2)&gt;RIGHT($K128,2),BA128,0))</f>
        <v>0</v>
      </c>
      <c r="BX128" s="1283">
        <f>+IF($K128="Ongoing",BB128,IF(RIGHT($K128,2)=RIGHT(BX$43,2),SUM($AX128:BB128),0)+IF(RIGHT(BX$43,2)&gt;RIGHT($K128,2),BB128,0))</f>
        <v>0</v>
      </c>
      <c r="BY128" s="386">
        <f>+IF($K128="Ongoing",BC128,IF(RIGHT($K128,2)=RIGHT(BY$43,2),SUM($AX128:BC128),0)+IF(RIGHT(BY$43,2)&gt;RIGHT($K128,2),BC128,0))</f>
        <v>4.3114843298025241</v>
      </c>
      <c r="BZ128" s="387">
        <f>+IF($K128="Ongoing",BD128,IF(RIGHT($K128,2)=RIGHT(BZ$43,2),SUM($AX128:BD128),0)+IF(RIGHT(BZ$43,2)&gt;RIGHT($K128,2),BD128,0))</f>
        <v>4.2063261754170966</v>
      </c>
      <c r="CA128" s="1277">
        <f>+IF($K128="Ongoing",BE128,IF(RIGHT($K128,2)=RIGHT(CA$43,2),SUM($AX128:BE128),0)+IF(RIGHT(CA$43,2)&gt;RIGHT($K128,2),BE128,0))</f>
        <v>0</v>
      </c>
      <c r="CB128" s="1277">
        <f>+IF($K128="Ongoing",BF128,IF(RIGHT($K128,2)=RIGHT(CB$43,2),SUM($AX128:BF128),0)+IF(RIGHT(CB$43,2)&gt;RIGHT($K128,2),BF128,0))</f>
        <v>0</v>
      </c>
      <c r="CC128" s="388">
        <f>+IF($K128="Ongoing",BG128,IF(RIGHT($K128,2)=RIGHT(CC$43,2),SUM($AX128:BG128),0)+IF(RIGHT(CC$43,2)&gt;RIGHT($K128,2),BG128,0))</f>
        <v>0</v>
      </c>
      <c r="CD128" s="1025"/>
      <c r="CE128" s="1282">
        <f>+Q128*KeyAssumptionsPriceControl_FO!AF$15</f>
        <v>50.295512195121958</v>
      </c>
      <c r="CF128" s="387">
        <f>+R128*KeyAssumptionsPriceControl_FO!AG$15</f>
        <v>38.222066394040347</v>
      </c>
      <c r="CG128" s="387">
        <f>+S128*KeyAssumptionsPriceControl_FO!AH$15</f>
        <v>13.557491052166975</v>
      </c>
      <c r="CH128" s="387">
        <f>+T128*KeyAssumptionsPriceControl_FO!AI$15</f>
        <v>0</v>
      </c>
      <c r="CI128" s="1283">
        <f>+U128*KeyAssumptionsPriceControl_FO!AJ$15</f>
        <v>0</v>
      </c>
      <c r="CJ128" s="386">
        <f>+V128*KeyAssumptionsPriceControl_FO!AK$15</f>
        <v>5.1182213084647916</v>
      </c>
      <c r="CK128" s="387">
        <f>+W128*KeyAssumptionsPriceControl_FO!AL$15</f>
        <v>5.1381948550344099</v>
      </c>
      <c r="CL128" s="1277">
        <f>+X128*KeyAssumptionsPriceControl_FO!AM$15</f>
        <v>0</v>
      </c>
      <c r="CM128" s="1277">
        <f>+Y128*KeyAssumptionsPriceControl_FO!AN$15</f>
        <v>0</v>
      </c>
      <c r="CN128" s="388">
        <f>+Z128*KeyAssumptionsPriceControl_FO!AO$15</f>
        <v>0</v>
      </c>
      <c r="CO128" s="1025"/>
      <c r="CP128" s="1282">
        <f t="shared" ca="1" si="267"/>
        <v>0</v>
      </c>
      <c r="CQ128" s="387">
        <f t="shared" ca="1" si="268"/>
        <v>0</v>
      </c>
      <c r="CR128" s="387">
        <f t="shared" ca="1" si="269"/>
        <v>0</v>
      </c>
      <c r="CS128" s="387">
        <f t="shared" ca="1" si="270"/>
        <v>0</v>
      </c>
      <c r="CT128" s="1283">
        <f t="shared" ca="1" si="271"/>
        <v>0</v>
      </c>
      <c r="CU128" s="386">
        <f t="shared" ca="1" si="272"/>
        <v>0</v>
      </c>
      <c r="CV128" s="387">
        <f t="shared" ca="1" si="273"/>
        <v>0</v>
      </c>
      <c r="CW128" s="1277">
        <f t="shared" ca="1" si="274"/>
        <v>0</v>
      </c>
      <c r="CX128" s="1277">
        <f t="shared" ca="1" si="275"/>
        <v>0</v>
      </c>
      <c r="CY128" s="388">
        <f t="shared" ca="1" si="276"/>
        <v>0</v>
      </c>
      <c r="CZ128" s="347"/>
      <c r="DA128" s="852"/>
      <c r="DB128" s="347"/>
      <c r="DC128" s="1012" t="s">
        <v>626</v>
      </c>
      <c r="DD128" s="841" t="s">
        <v>518</v>
      </c>
      <c r="DE128" s="386">
        <f>+IF($K128="ongoing",CE128,IF(RIGHT($K128,2)=RIGHT(DE$43,2),SUM($CD128:CE128),0)+IF(RIGHT(DE$43,2)&gt;RIGHT($K128,2),CE128,0))</f>
        <v>50.295512195121958</v>
      </c>
      <c r="DF128" s="387">
        <f>+IF($K128="ongoing",CF128,IF(RIGHT($K128,2)=RIGHT(DF$43,2),SUM($CD128:CF128),0)+IF(RIGHT(DF$43,2)&gt;RIGHT($K128,2),CF128,0))</f>
        <v>38.222066394040347</v>
      </c>
      <c r="DG128" s="388">
        <f>+IF($K128="ongoing",CG128,IF(RIGHT($K128,2)=RIGHT(DG$43,2),SUM($CD128:CG128),0)+IF(RIGHT(DG$43,2)&gt;RIGHT($K128,2),CG128,0))</f>
        <v>13.557491052166975</v>
      </c>
      <c r="DH128" s="386">
        <f>+IF($K128="ongoing",CH128,IF(RIGHT($K128,2)=RIGHT(DH$43,2),SUM($CD128:CH128),0)+IF(RIGHT(DH$43,2)&gt;RIGHT($K128,2),CH128,0))</f>
        <v>0</v>
      </c>
      <c r="DI128" s="387">
        <f>+IF($K128="ongoing",CI128,IF(RIGHT($K128,2)=RIGHT(DI$43,2),SUM($CD128:CI128),0)+IF(RIGHT(DI$43,2)&gt;RIGHT($K128,2),CI128,0))</f>
        <v>0</v>
      </c>
      <c r="DJ128" s="387">
        <f>+IF($K128="ongoing",CJ128,IF(RIGHT($K128,2)=RIGHT(DJ$43,2),SUM($CD128:CJ128),0)+IF(RIGHT(DJ$43,2)&gt;RIGHT($K128,2),CJ128,0))</f>
        <v>5.1182213084647916</v>
      </c>
      <c r="DK128" s="387">
        <f>+IF($K128="ongoing",CK128,IF(RIGHT($K128,2)=RIGHT(DK$43,2),SUM($CD128:CK128),0)+IF(RIGHT(DK$43,2)&gt;RIGHT($K128,2),CK128,0))</f>
        <v>5.1381948550344099</v>
      </c>
      <c r="DL128" s="388">
        <f>+IF($K128="ongoing",CN128,IF(RIGHT($K128,2)=RIGHT(DL$43,2),SUM($CD128:CN128),0)+IF(RIGHT(DL$43,2)&gt;RIGHT($K128,2),CN128,0))</f>
        <v>0</v>
      </c>
      <c r="DM128" s="841"/>
      <c r="DN128" s="386">
        <f t="shared" si="277"/>
        <v>0.5</v>
      </c>
      <c r="DO128" s="387">
        <f t="shared" si="278"/>
        <v>1</v>
      </c>
      <c r="DP128" s="388">
        <f t="shared" si="279"/>
        <v>1</v>
      </c>
      <c r="DQ128" s="386">
        <f t="shared" si="280"/>
        <v>1</v>
      </c>
      <c r="DR128" s="387">
        <f t="shared" si="281"/>
        <v>1</v>
      </c>
      <c r="DS128" s="387">
        <f t="shared" si="282"/>
        <v>1</v>
      </c>
      <c r="DT128" s="387">
        <f t="shared" si="283"/>
        <v>1</v>
      </c>
      <c r="DU128" s="388">
        <f t="shared" si="284"/>
        <v>1</v>
      </c>
      <c r="DW128" s="386">
        <f t="shared" si="285"/>
        <v>0</v>
      </c>
      <c r="DX128" s="387">
        <f t="shared" si="286"/>
        <v>0.5</v>
      </c>
      <c r="DY128" s="388">
        <f t="shared" si="287"/>
        <v>1</v>
      </c>
      <c r="DZ128" s="386">
        <f t="shared" si="288"/>
        <v>1</v>
      </c>
      <c r="EA128" s="387">
        <f t="shared" si="289"/>
        <v>1</v>
      </c>
      <c r="EB128" s="387">
        <f t="shared" si="290"/>
        <v>1</v>
      </c>
      <c r="EC128" s="387">
        <f t="shared" si="291"/>
        <v>1</v>
      </c>
      <c r="ED128" s="388">
        <f t="shared" si="292"/>
        <v>1</v>
      </c>
      <c r="EF128" s="834">
        <f>+IF(DN128=DM128,0,
IF(AND(EF$44&gt;1,DN128=$N128),1-SUM($EE128:EE128),
IF($N128&lt;=1,
IF($N128&gt;0,1/$N128,0),
IF(EF$44=1,0,VDB(1,0,$N128,INT(EF$44-1-1),MIN($N128,INT(EF$44-1-1)+1),$DC128,IF($DD128="No",1,0))/
IF(DM128&gt;=INT($N128),$N128-INT($N128),1)))*
IF(EF$44=1,0,
IF(INT(DN128)=INT(DM128),DN128-DM128,INT(DN128)-DM128))+
IF($N128&lt;=1,
IF($N128&gt;0,1/$N128,0),VDB(1,0,$N128,INT(EF$44-1),MIN($N128,INT(EF$44-1)+1),$DC128,IF($DD128="No",1,0))/
IF(DN128&gt;INT($N128),$N128-INT($N128),1))*
IF(EF$44=1,DN128,
IF(INT(DN128)=INT(DM128),0,DN128-INT(DN128)))))</f>
        <v>0</v>
      </c>
      <c r="EG128" s="835">
        <f>+IF(DO128=DN128,0,
IF(AND(EG$44&gt;1,DO128=$N128),1-SUM($EE128:EF128),
IF($N128&lt;=1,
IF($N128&gt;0,1/$N128,0),
IF(EG$44=1,0,VDB(1,0,$N128,INT(EG$44-1-1),MIN($N128,INT(EG$44-1-1)+1),$DC128,IF($DD128="No",1,0))/
IF(DN128&gt;=INT($N128),$N128-INT($N128),1)))*
IF(EG$44=1,0,
IF(INT(DO128)=INT(DN128),DO128-DN128,INT(DO128)-DN128))+
IF($N128&lt;=1,
IF($N128&gt;0,1/$N128,0),VDB(1,0,$N128,INT(EG$44-1),MIN($N128,INT(EG$44-1)+1),$DC128,IF($DD128="No",1,0))/
IF(DO128&gt;INT($N128),$N128-INT($N128),1))*
IF(EG$44=1,DO128,
IF(INT(DO128)=INT(DN128),0,DO128-INT(DO128)))))</f>
        <v>0</v>
      </c>
      <c r="EH128" s="836">
        <f>+IF(DP128=DO128,0,
IF(AND(EH$44&gt;1,DP128=$N128),1-SUM($EE128:EG128),
IF($N128&lt;=1,
IF($N128&gt;0,1/$N128,0),
IF(EH$44=1,0,VDB(1,0,$N128,INT(EH$44-1-1),MIN($N128,INT(EH$44-1-1)+1),$DC128,IF($DD128="No",1,0))/
IF(DO128&gt;=INT($N128),$N128-INT($N128),1)))*
IF(EH$44=1,0,
IF(INT(DP128)=INT(DO128),DP128-DO128,INT(DP128)-DO128))+
IF($N128&lt;=1,
IF($N128&gt;0,1/$N128,0),VDB(1,0,$N128,INT(EH$44-1),MIN($N128,INT(EH$44-1)+1),$DC128,IF($DD128="No",1,0))/
IF(DP128&gt;INT($N128),$N128-INT($N128),1))*
IF(EH$44=1,DP128,
IF(INT(DP128)=INT(DO128),0,DP128-INT(DP128)))))</f>
        <v>0</v>
      </c>
      <c r="EI128" s="834">
        <f>+IF(DQ128=DP128,0,
IF(AND(EI$44&gt;1,DQ128=$N128),1-SUM($EE128:EH128),
IF($N128&lt;=1,
IF($N128&gt;0,1/$N128,0),
IF(EI$44=1,0,VDB(1,0,$N128,INT(EI$44-1-1),MIN($N128,INT(EI$44-1-1)+1),$DC128,IF($DD128="No",1,0))/
IF(DP128&gt;=INT($N128),$N128-INT($N128),1)))*
IF(EI$44=1,0,
IF(INT(DQ128)=INT(DP128),DQ128-DP128,INT(DQ128)-DP128))+
IF($N128&lt;=1,
IF($N128&gt;0,1/$N128,0),VDB(1,0,$N128,INT(EI$44-1),MIN($N128,INT(EI$44-1)+1),$DC128,IF($DD128="No",1,0))/
IF(DQ128&gt;INT($N128),$N128-INT($N128),1))*
IF(EI$44=1,DQ128,
IF(INT(DQ128)=INT(DP128),0,DQ128-INT(DQ128)))))</f>
        <v>0</v>
      </c>
      <c r="EJ128" s="835">
        <f>+IF(DR128=DQ128,0,
IF(AND(EJ$44&gt;1,DR128=$N128),1-SUM($EE128:EI128),
IF($N128&lt;=1,
IF($N128&gt;0,1/$N128,0),
IF(EJ$44=1,0,VDB(1,0,$N128,INT(EJ$44-1-1),MIN($N128,INT(EJ$44-1-1)+1),$DC128,IF($DD128="No",1,0))/
IF(DQ128&gt;=INT($N128),$N128-INT($N128),1)))*
IF(EJ$44=1,0,
IF(INT(DR128)=INT(DQ128),DR128-DQ128,INT(DR128)-DQ128))+
IF($N128&lt;=1,
IF($N128&gt;0,1/$N128,0),VDB(1,0,$N128,INT(EJ$44-1),MIN($N128,INT(EJ$44-1)+1),$DC128,IF($DD128="No",1,0))/
IF(DR128&gt;INT($N128),$N128-INT($N128),1))*
IF(EJ$44=1,DR128,
IF(INT(DR128)=INT(DQ128),0,DR128-INT(DR128)))))</f>
        <v>0</v>
      </c>
      <c r="EK128" s="835">
        <f>+IF(DS128=DR128,0,
IF(AND(EK$44&gt;1,DS128=$N128),1-SUM($EE128:EJ128),
IF($N128&lt;=1,
IF($N128&gt;0,1/$N128,0),
IF(EK$44=1,0,VDB(1,0,$N128,INT(EK$44-1-1),MIN($N128,INT(EK$44-1-1)+1),$DC128,IF($DD128="No",1,0))/
IF(DR128&gt;=INT($N128),$N128-INT($N128),1)))*
IF(EK$44=1,0,
IF(INT(DS128)=INT(DR128),DS128-DR128,INT(DS128)-DR128))+
IF($N128&lt;=1,
IF($N128&gt;0,1/$N128,0),VDB(1,0,$N128,INT(EK$44-1),MIN($N128,INT(EK$44-1)+1),$DC128,IF($DD128="No",1,0))/
IF(DS128&gt;INT($N128),$N128-INT($N128),1))*
IF(EK$44=1,DS128,
IF(INT(DS128)=INT(DR128),0,DS128-INT(DS128)))))</f>
        <v>0</v>
      </c>
      <c r="EL128" s="835">
        <f>+IF(DT128=DS128,0,
IF(AND(EL$44&gt;1,DT128=$N128),1-SUM($EE128:EK128),
IF($N128&lt;=1,
IF($N128&gt;0,1/$N128,0),
IF(EL$44=1,0,VDB(1,0,$N128,INT(EL$44-1-1),MIN($N128,INT(EL$44-1-1)+1),$DC128,IF($DD128="No",1,0))/
IF(DS128&gt;=INT($N128),$N128-INT($N128),1)))*
IF(EL$44=1,0,
IF(INT(DT128)=INT(DS128),DT128-DS128,INT(DT128)-DS128))+
IF($N128&lt;=1,
IF($N128&gt;0,1/$N128,0),VDB(1,0,$N128,INT(EL$44-1),MIN($N128,INT(EL$44-1)+1),$DC128,IF($DD128="No",1,0))/
IF(DT128&gt;INT($N128),$N128-INT($N128),1))*
IF(EL$44=1,DT128,
IF(INT(DT128)=INT(DS128),0,DT128-INT(DT128)))))</f>
        <v>0</v>
      </c>
      <c r="EM128" s="836">
        <f>+IF(DU128=DT128,0,
IF(AND(EM$44&gt;1,DU128=$N128),1-SUM($EE128:EL128),
IF($N128&lt;=1,
IF($N128&gt;0,1/$N128,0),
IF(EM$44=1,0,VDB(1,0,$N128,INT(EM$44-1-1),MIN($N128,INT(EM$44-1-1)+1),$DC128,IF($DD128="No",1,0))/
IF(DT128&gt;=INT($N128),$N128-INT($N128),1)))*
IF(EM$44=1,0,
IF(INT(DU128)=INT(DT128),DU128-DT128,INT(DU128)-DT128))+
IF($N128&lt;=1,
IF($N128&gt;0,1/$N128,0),VDB(1,0,$N128,INT(EM$44-1),MIN($N128,INT(EM$44-1)+1),$DC128,IF($DD128="No",1,0))/
IF(DU128&gt;INT($N128),$N128-INT($N128),1))*
IF(EM$44=1,DU128,
IF(INT(DU128)=INT(DT128),0,DU128-INT(DU128)))))</f>
        <v>0</v>
      </c>
      <c r="EN128" s="833"/>
      <c r="EO128" s="834">
        <f>+IF(OR(DW128=DV128,EO$44=1),0,
IF(AND(EO$44&gt;1,DW128=$N128),1-SUM($EN128:EN128),
IF($N128&lt;=1,
IF($N128&gt;0,1/$N128,0),
IF(EO$44=2,0,VDB(1,0,$N128,INT(EO$44-2-1),MIN($N128,INT(EO$44-2-1)+1),$DC128,IF($DD128="No",1,0))/
IF(DV128&gt;=INT($N128),$N128-INT($N128),1)))*
IF(EO$44=2,0,
IF(INT(DW128)=INT(DV128),DW128-DV128,INT(DW128)-DV128))+
IF($N128&lt;=1,
IF($N128&gt;0,1/$N128,0),VDB(1,0,$N128,INT(EO$44-2),MIN($N128,INT(EO$44-2)+1),$DC128,IF($DD128="No",1,0))/
IF(DW128&gt;INT($N128),$N128-INT($N128),1))*
IF(EO$44=2,DW128,
IF(INT(DW128)=INT(DV128),0,DW128-INT(DW128)))))</f>
        <v>0</v>
      </c>
      <c r="EP128" s="835">
        <f>+IF(OR(DX128=DW128,EP$44=1),0,
IF(AND(EP$44&gt;1,DX128=$N128),1-SUM($EN128:EO128),
IF($N128&lt;=1,
IF($N128&gt;0,1/$N128,0),
IF(EP$44=2,0,VDB(1,0,$N128,INT(EP$44-2-1),MIN($N128,INT(EP$44-2-1)+1),$DC128,IF($DD128="No",1,0))/
IF(DW128&gt;=INT($N128),$N128-INT($N128),1)))*
IF(EP$44=2,0,
IF(INT(DX128)=INT(DW128),DX128-DW128,INT(DX128)-DW128))+
IF($N128&lt;=1,
IF($N128&gt;0,1/$N128,0),VDB(1,0,$N128,INT(EP$44-2),MIN($N128,INT(EP$44-2)+1),$DC128,IF($DD128="No",1,0))/
IF(DX128&gt;INT($N128),$N128-INT($N128),1))*
IF(EP$44=2,DX128,
IF(INT(DX128)=INT(DW128),0,DX128-INT(DX128)))))</f>
        <v>0</v>
      </c>
      <c r="EQ128" s="836">
        <f>+IF(OR(DY128=DX128,EQ$44=1),0,
IF(AND(EQ$44&gt;1,DY128=$N128),1-SUM($EN128:EP128),
IF($N128&lt;=1,
IF($N128&gt;0,1/$N128,0),
IF(EQ$44=2,0,VDB(1,0,$N128,INT(EQ$44-2-1),MIN($N128,INT(EQ$44-2-1)+1),$DC128,IF($DD128="No",1,0))/
IF(DX128&gt;=INT($N128),$N128-INT($N128),1)))*
IF(EQ$44=2,0,
IF(INT(DY128)=INT(DX128),DY128-DX128,INT(DY128)-DX128))+
IF($N128&lt;=1,
IF($N128&gt;0,1/$N128,0),VDB(1,0,$N128,INT(EQ$44-2),MIN($N128,INT(EQ$44-2)+1),$DC128,IF($DD128="No",1,0))/
IF(DY128&gt;INT($N128),$N128-INT($N128),1))*
IF(EQ$44=2,DY128,
IF(INT(DY128)=INT(DX128),0,DY128-INT(DY128)))))</f>
        <v>0</v>
      </c>
      <c r="ER128" s="834">
        <f>+IF(OR(DZ128=DY128,ER$44=1),0,
IF(AND(ER$44&gt;1,DZ128=$N128),1-SUM($EN128:EQ128),
IF($N128&lt;=1,
IF($N128&gt;0,1/$N128,0),
IF(ER$44=2,0,VDB(1,0,$N128,INT(ER$44-2-1),MIN($N128,INT(ER$44-2-1)+1),$DC128,IF($DD128="No",1,0))/
IF(DY128&gt;=INT($N128),$N128-INT($N128),1)))*
IF(ER$44=2,0,
IF(INT(DZ128)=INT(DY128),DZ128-DY128,INT(DZ128)-DY128))+
IF($N128&lt;=1,
IF($N128&gt;0,1/$N128,0),VDB(1,0,$N128,INT(ER$44-2),MIN($N128,INT(ER$44-2)+1),$DC128,IF($DD128="No",1,0))/
IF(DZ128&gt;INT($N128),$N128-INT($N128),1))*
IF(ER$44=2,DZ128,
IF(INT(DZ128)=INT(DY128),0,DZ128-INT(DZ128)))))</f>
        <v>0</v>
      </c>
      <c r="ES128" s="835">
        <f>+IF(OR(EA128=DZ128,ES$44=1),0,
IF(AND(ES$44&gt;1,EA128=$N128),1-SUM($EN128:ER128),
IF($N128&lt;=1,
IF($N128&gt;0,1/$N128,0),
IF(ES$44=2,0,VDB(1,0,$N128,INT(ES$44-2-1),MIN($N128,INT(ES$44-2-1)+1),$DC128,IF($DD128="No",1,0))/
IF(DZ128&gt;=INT($N128),$N128-INT($N128),1)))*
IF(ES$44=2,0,
IF(INT(EA128)=INT(DZ128),EA128-DZ128,INT(EA128)-DZ128))+
IF($N128&lt;=1,
IF($N128&gt;0,1/$N128,0),VDB(1,0,$N128,INT(ES$44-2),MIN($N128,INT(ES$44-2)+1),$DC128,IF($DD128="No",1,0))/
IF(EA128&gt;INT($N128),$N128-INT($N128),1))*
IF(ES$44=2,EA128,
IF(INT(EA128)=INT(DZ128),0,EA128-INT(EA128)))))</f>
        <v>0</v>
      </c>
      <c r="ET128" s="835">
        <f>+IF(OR(EB128=EA128,ET$44=1),0,
IF(AND(ET$44&gt;1,EB128=$N128),1-SUM($EN128:ES128),
IF($N128&lt;=1,
IF($N128&gt;0,1/$N128,0),
IF(ET$44=2,0,VDB(1,0,$N128,INT(ET$44-2-1),MIN($N128,INT(ET$44-2-1)+1),$DC128,IF($DD128="No",1,0))/
IF(EA128&gt;=INT($N128),$N128-INT($N128),1)))*
IF(ET$44=2,0,
IF(INT(EB128)=INT(EA128),EB128-EA128,INT(EB128)-EA128))+
IF($N128&lt;=1,
IF($N128&gt;0,1/$N128,0),VDB(1,0,$N128,INT(ET$44-2),MIN($N128,INT(ET$44-2)+1),$DC128,IF($DD128="No",1,0))/
IF(EB128&gt;INT($N128),$N128-INT($N128),1))*
IF(ET$44=2,EB128,
IF(INT(EB128)=INT(EA128),0,EB128-INT(EB128)))))</f>
        <v>0</v>
      </c>
      <c r="EU128" s="835">
        <f>+IF(OR(EC128=EB128,EU$44=1),0,
IF(AND(EU$44&gt;1,EC128=$N128),1-SUM($EN128:ET128),
IF($N128&lt;=1,
IF($N128&gt;0,1/$N128,0),
IF(EU$44=2,0,VDB(1,0,$N128,INT(EU$44-2-1),MIN($N128,INT(EU$44-2-1)+1),$DC128,IF($DD128="No",1,0))/
IF(EB128&gt;=INT($N128),$N128-INT($N128),1)))*
IF(EU$44=2,0,
IF(INT(EC128)=INT(EB128),EC128-EB128,INT(EC128)-EB128))+
IF($N128&lt;=1,
IF($N128&gt;0,1/$N128,0),VDB(1,0,$N128,INT(EU$44-2),MIN($N128,INT(EU$44-2)+1),$DC128,IF($DD128="No",1,0))/
IF(EC128&gt;INT($N128),$N128-INT($N128),1))*
IF(EU$44=2,EC128,
IF(INT(EC128)=INT(EB128),0,EC128-INT(EC128)))))</f>
        <v>0</v>
      </c>
      <c r="EV128" s="836">
        <f>+IF(OR(ED128=EC128,EV$44=1),0,
IF(AND(EV$44&gt;1,ED128=$N128),1-SUM($EN128:EU128),
IF($N128&lt;=1,
IF($N128&gt;0,1/$N128,0),
IF(EV$44=2,0,VDB(1,0,$N128,INT(EV$44-2-1),MIN($N128,INT(EV$44-2-1)+1),$DC128,IF($DD128="No",1,0))/
IF(EC128&gt;=INT($N128),$N128-INT($N128),1)))*
IF(EV$44=2,0,
IF(INT(ED128)=INT(EC128),ED128-EC128,INT(ED128)-EC128))+
IF($N128&lt;=1,
IF($N128&gt;0,1/$N128,0),VDB(1,0,$N128,INT(EV$44-2),MIN($N128,INT(EV$44-2)+1),$DC128,IF($DD128="No",1,0))/
IF(ED128&gt;INT($N128),$N128-INT($N128),1))*
IF(EV$44=2,ED128,
IF(INT(ED128)=INT(EC128),0,ED128-INT(ED128)))))</f>
        <v>0</v>
      </c>
      <c r="EW128" s="833"/>
      <c r="EX128" s="834">
        <f t="shared" ca="1" si="301"/>
        <v>0</v>
      </c>
      <c r="EY128" s="835">
        <f t="shared" ca="1" si="301"/>
        <v>0</v>
      </c>
      <c r="EZ128" s="836">
        <f t="shared" ca="1" si="301"/>
        <v>0</v>
      </c>
      <c r="FA128" s="834">
        <f t="shared" ca="1" si="301"/>
        <v>0</v>
      </c>
      <c r="FB128" s="835">
        <f t="shared" ca="1" si="301"/>
        <v>0</v>
      </c>
      <c r="FC128" s="835">
        <f t="shared" ca="1" si="301"/>
        <v>0</v>
      </c>
      <c r="FD128" s="835">
        <f t="shared" ca="1" si="301"/>
        <v>0</v>
      </c>
      <c r="FE128" s="836">
        <f t="shared" ca="1" si="301"/>
        <v>0</v>
      </c>
      <c r="FG128" s="386">
        <f t="shared" ca="1" si="293"/>
        <v>0</v>
      </c>
      <c r="FH128" s="387">
        <f t="shared" ca="1" si="294"/>
        <v>0</v>
      </c>
      <c r="FI128" s="388">
        <f t="shared" ca="1" si="295"/>
        <v>0</v>
      </c>
      <c r="FJ128" s="386">
        <f t="shared" ca="1" si="296"/>
        <v>0</v>
      </c>
      <c r="FK128" s="387">
        <f t="shared" ca="1" si="297"/>
        <v>0</v>
      </c>
      <c r="FL128" s="387">
        <f t="shared" ca="1" si="298"/>
        <v>0</v>
      </c>
      <c r="FM128" s="387">
        <f t="shared" ca="1" si="299"/>
        <v>0</v>
      </c>
      <c r="FN128" s="388">
        <f t="shared" ca="1" si="300"/>
        <v>0</v>
      </c>
      <c r="FR128" s="116"/>
    </row>
    <row r="129" spans="2:174">
      <c r="B129" s="1410">
        <f t="shared" si="302"/>
        <v>83</v>
      </c>
      <c r="C129" s="400" t="s">
        <v>625</v>
      </c>
      <c r="D129" s="410"/>
      <c r="E129" s="402" t="s">
        <v>402</v>
      </c>
      <c r="F129" s="402" t="s">
        <v>514</v>
      </c>
      <c r="G129" s="400" t="s">
        <v>522</v>
      </c>
      <c r="H129" s="2088" t="s">
        <v>483</v>
      </c>
      <c r="I129" s="2089"/>
      <c r="J129" s="411" t="s">
        <v>516</v>
      </c>
      <c r="K129" s="403" t="s">
        <v>544</v>
      </c>
      <c r="L129" s="403">
        <v>50</v>
      </c>
      <c r="M129" s="403" t="s">
        <v>142</v>
      </c>
      <c r="N129" s="403"/>
      <c r="O129" s="347"/>
      <c r="P129" s="347"/>
      <c r="Q129" s="1021">
        <v>6.1555160975609766</v>
      </c>
      <c r="R129" s="1022">
        <v>9.5565972635336116E-2</v>
      </c>
      <c r="S129" s="1022">
        <v>9.3235095253986475E-2</v>
      </c>
      <c r="T129" s="1022">
        <v>9.0961068540474602E-2</v>
      </c>
      <c r="U129" s="1023">
        <v>8.8724828807393782E-2</v>
      </c>
      <c r="V129" s="1021">
        <v>0</v>
      </c>
      <c r="W129" s="1022">
        <v>0</v>
      </c>
      <c r="X129" s="1022">
        <v>0</v>
      </c>
      <c r="Y129" s="1022">
        <v>0</v>
      </c>
      <c r="Z129" s="1023">
        <v>0</v>
      </c>
      <c r="AA129" s="1024"/>
      <c r="AB129" s="1021">
        <v>0</v>
      </c>
      <c r="AC129" s="1022">
        <v>0</v>
      </c>
      <c r="AD129" s="1022">
        <v>0</v>
      </c>
      <c r="AE129" s="1022">
        <v>0</v>
      </c>
      <c r="AF129" s="1023">
        <v>0</v>
      </c>
      <c r="AG129" s="1021">
        <v>0</v>
      </c>
      <c r="AH129" s="1022">
        <v>0</v>
      </c>
      <c r="AI129" s="1022">
        <v>0</v>
      </c>
      <c r="AJ129" s="1022">
        <v>0</v>
      </c>
      <c r="AK129" s="1023">
        <v>0</v>
      </c>
      <c r="AL129" s="1024"/>
      <c r="AM129" s="1021">
        <v>0</v>
      </c>
      <c r="AN129" s="1022">
        <v>0</v>
      </c>
      <c r="AO129" s="1022">
        <v>0</v>
      </c>
      <c r="AP129" s="1022">
        <v>0</v>
      </c>
      <c r="AQ129" s="1023">
        <v>0</v>
      </c>
      <c r="AR129" s="1021">
        <v>0</v>
      </c>
      <c r="AS129" s="1022">
        <v>0</v>
      </c>
      <c r="AT129" s="1022">
        <v>0</v>
      </c>
      <c r="AU129" s="1022">
        <v>0</v>
      </c>
      <c r="AV129" s="1023">
        <v>0</v>
      </c>
      <c r="AW129" s="1025"/>
      <c r="AX129" s="1282">
        <f t="shared" si="247"/>
        <v>6.1555160975609766</v>
      </c>
      <c r="AY129" s="387">
        <f t="shared" si="248"/>
        <v>9.5565972635336116E-2</v>
      </c>
      <c r="AZ129" s="387">
        <f t="shared" si="249"/>
        <v>9.3235095253986475E-2</v>
      </c>
      <c r="BA129" s="387">
        <f t="shared" si="250"/>
        <v>9.0961068540474602E-2</v>
      </c>
      <c r="BB129" s="1283">
        <f t="shared" si="251"/>
        <v>8.8724828807393782E-2</v>
      </c>
      <c r="BC129" s="386">
        <f t="shared" si="252"/>
        <v>0</v>
      </c>
      <c r="BD129" s="387">
        <f t="shared" si="253"/>
        <v>0</v>
      </c>
      <c r="BE129" s="1277">
        <f t="shared" si="254"/>
        <v>0</v>
      </c>
      <c r="BF129" s="1277">
        <f t="shared" si="255"/>
        <v>0</v>
      </c>
      <c r="BG129" s="388">
        <f t="shared" si="256"/>
        <v>0</v>
      </c>
      <c r="BH129" s="1025"/>
      <c r="BI129" s="1282">
        <f t="shared" ca="1" si="257"/>
        <v>6.1555160975609764E-2</v>
      </c>
      <c r="BJ129" s="387">
        <f t="shared" ca="1" si="258"/>
        <v>0.12406598167757289</v>
      </c>
      <c r="BK129" s="387">
        <f t="shared" ca="1" si="259"/>
        <v>0.12595399235646612</v>
      </c>
      <c r="BL129" s="387">
        <f t="shared" ca="1" si="260"/>
        <v>0.12779595399441074</v>
      </c>
      <c r="BM129" s="1283">
        <f t="shared" ca="1" si="261"/>
        <v>0.12959281296788944</v>
      </c>
      <c r="BN129" s="386">
        <f t="shared" ca="1" si="262"/>
        <v>0.13048006125596337</v>
      </c>
      <c r="BO129" s="387">
        <f t="shared" ca="1" si="263"/>
        <v>0.13048006125596337</v>
      </c>
      <c r="BP129" s="1277">
        <f t="shared" ca="1" si="264"/>
        <v>0.13048006125596337</v>
      </c>
      <c r="BQ129" s="1277">
        <f t="shared" ca="1" si="265"/>
        <v>0.13048006125596337</v>
      </c>
      <c r="BR129" s="388">
        <f t="shared" ca="1" si="266"/>
        <v>0.13048006125596337</v>
      </c>
      <c r="BS129" s="1025"/>
      <c r="BT129" s="1282">
        <f>+IF($K129="Ongoing",AX129,IF(RIGHT($K129,2)=RIGHT(BT$43,2),SUM($AX129:AX129),0)+IF(RIGHT(BT$43,2)&gt;RIGHT($K129,2),AX129,0))</f>
        <v>6.1555160975609766</v>
      </c>
      <c r="BU129" s="387">
        <f>+IF($K129="Ongoing",AY129,IF(RIGHT($K129,2)=RIGHT(BU$43,2),SUM($AX129:AY129),0)+IF(RIGHT(BU$43,2)&gt;RIGHT($K129,2),AY129,0))</f>
        <v>9.5565972635336116E-2</v>
      </c>
      <c r="BV129" s="387">
        <f>+IF($K129="Ongoing",AZ129,IF(RIGHT($K129,2)=RIGHT(BV$43,2),SUM($AX129:AZ129),0)+IF(RIGHT(BV$43,2)&gt;RIGHT($K129,2),AZ129,0))</f>
        <v>9.3235095253986475E-2</v>
      </c>
      <c r="BW129" s="387">
        <f>+IF($K129="Ongoing",BA129,IF(RIGHT($K129,2)=RIGHT(BW$43,2),SUM($AX129:BA129),0)+IF(RIGHT(BW$43,2)&gt;RIGHT($K129,2),BA129,0))</f>
        <v>9.0961068540474602E-2</v>
      </c>
      <c r="BX129" s="1283">
        <f>+IF($K129="Ongoing",BB129,IF(RIGHT($K129,2)=RIGHT(BX$43,2),SUM($AX129:BB129),0)+IF(RIGHT(BX$43,2)&gt;RIGHT($K129,2),BB129,0))</f>
        <v>8.8724828807393782E-2</v>
      </c>
      <c r="BY129" s="386">
        <f>+IF($K129="Ongoing",BC129,IF(RIGHT($K129,2)=RIGHT(BY$43,2),SUM($AX129:BC129),0)+IF(RIGHT(BY$43,2)&gt;RIGHT($K129,2),BC129,0))</f>
        <v>0</v>
      </c>
      <c r="BZ129" s="387">
        <f>+IF($K129="Ongoing",BD129,IF(RIGHT($K129,2)=RIGHT(BZ$43,2),SUM($AX129:BD129),0)+IF(RIGHT(BZ$43,2)&gt;RIGHT($K129,2),BD129,0))</f>
        <v>0</v>
      </c>
      <c r="CA129" s="1277">
        <f>+IF($K129="Ongoing",BE129,IF(RIGHT($K129,2)=RIGHT(CA$43,2),SUM($AX129:BE129),0)+IF(RIGHT(CA$43,2)&gt;RIGHT($K129,2),BE129,0))</f>
        <v>0</v>
      </c>
      <c r="CB129" s="1277">
        <f>+IF($K129="Ongoing",BF129,IF(RIGHT($K129,2)=RIGHT(CB$43,2),SUM($AX129:BF129),0)+IF(RIGHT(CB$43,2)&gt;RIGHT($K129,2),BF129,0))</f>
        <v>0</v>
      </c>
      <c r="CC129" s="388">
        <f>+IF($K129="Ongoing",BG129,IF(RIGHT($K129,2)=RIGHT(CC$43,2),SUM($AX129:BG129),0)+IF(RIGHT(CC$43,2)&gt;RIGHT($K129,2),BG129,0))</f>
        <v>0</v>
      </c>
      <c r="CD129" s="1025"/>
      <c r="CE129" s="1282">
        <f>+Q129*KeyAssumptionsPriceControl_FO!AF$15</f>
        <v>6.3340260643902448</v>
      </c>
      <c r="CF129" s="387">
        <f>+R129*KeyAssumptionsPriceControl_FO!AG$15</f>
        <v>0.10118917003117192</v>
      </c>
      <c r="CG129" s="387">
        <f>+S129*KeyAssumptionsPriceControl_FO!AH$15</f>
        <v>0.10158405459714724</v>
      </c>
      <c r="CH129" s="387">
        <f>+T129*KeyAssumptionsPriceControl_FO!AI$15</f>
        <v>0.10198048017606293</v>
      </c>
      <c r="CI129" s="1283">
        <f>+U129*KeyAssumptionsPriceControl_FO!AJ$15</f>
        <v>0.10235805948001027</v>
      </c>
      <c r="CJ129" s="386">
        <f>+V129*KeyAssumptionsPriceControl_FO!AK$15</f>
        <v>0</v>
      </c>
      <c r="CK129" s="387">
        <f>+W129*KeyAssumptionsPriceControl_FO!AL$15</f>
        <v>0</v>
      </c>
      <c r="CL129" s="1277">
        <f>+X129*KeyAssumptionsPriceControl_FO!AM$15</f>
        <v>0</v>
      </c>
      <c r="CM129" s="1277">
        <f>+Y129*KeyAssumptionsPriceControl_FO!AN$15</f>
        <v>0</v>
      </c>
      <c r="CN129" s="388">
        <f>+Z129*KeyAssumptionsPriceControl_FO!AO$15</f>
        <v>0</v>
      </c>
      <c r="CO129" s="1025"/>
      <c r="CP129" s="1282">
        <f t="shared" ca="1" si="267"/>
        <v>0</v>
      </c>
      <c r="CQ129" s="387">
        <f t="shared" ca="1" si="268"/>
        <v>0</v>
      </c>
      <c r="CR129" s="387">
        <f t="shared" ca="1" si="269"/>
        <v>0</v>
      </c>
      <c r="CS129" s="387">
        <f t="shared" ca="1" si="270"/>
        <v>0</v>
      </c>
      <c r="CT129" s="1283">
        <f t="shared" ca="1" si="271"/>
        <v>0</v>
      </c>
      <c r="CU129" s="386">
        <f t="shared" ca="1" si="272"/>
        <v>0</v>
      </c>
      <c r="CV129" s="387">
        <f t="shared" ca="1" si="273"/>
        <v>0</v>
      </c>
      <c r="CW129" s="1277">
        <f t="shared" ca="1" si="274"/>
        <v>0</v>
      </c>
      <c r="CX129" s="1277">
        <f t="shared" ca="1" si="275"/>
        <v>0</v>
      </c>
      <c r="CY129" s="388">
        <f t="shared" ca="1" si="276"/>
        <v>0</v>
      </c>
      <c r="CZ129" s="347"/>
      <c r="DA129" s="852"/>
      <c r="DB129" s="347"/>
      <c r="DC129" s="1012" t="s">
        <v>627</v>
      </c>
      <c r="DD129" s="841" t="s">
        <v>518</v>
      </c>
      <c r="DE129" s="386">
        <f>+IF($K129="ongoing",CE129,IF(RIGHT($K129,2)=RIGHT(DE$43,2),SUM($CD129:CE129),0)+IF(RIGHT(DE$43,2)&gt;RIGHT($K129,2),CE129,0))</f>
        <v>6.3340260643902448</v>
      </c>
      <c r="DF129" s="387">
        <f>+IF($K129="ongoing",CF129,IF(RIGHT($K129,2)=RIGHT(DF$43,2),SUM($CD129:CF129),0)+IF(RIGHT(DF$43,2)&gt;RIGHT($K129,2),CF129,0))</f>
        <v>0.10118917003117192</v>
      </c>
      <c r="DG129" s="388">
        <f>+IF($K129="ongoing",CG129,IF(RIGHT($K129,2)=RIGHT(DG$43,2),SUM($CD129:CG129),0)+IF(RIGHT(DG$43,2)&gt;RIGHT($K129,2),CG129,0))</f>
        <v>0.10158405459714724</v>
      </c>
      <c r="DH129" s="386">
        <f>+IF($K129="ongoing",CH129,IF(RIGHT($K129,2)=RIGHT(DH$43,2),SUM($CD129:CH129),0)+IF(RIGHT(DH$43,2)&gt;RIGHT($K129,2),CH129,0))</f>
        <v>0.10198048017606293</v>
      </c>
      <c r="DI129" s="387">
        <f>+IF($K129="ongoing",CI129,IF(RIGHT($K129,2)=RIGHT(DI$43,2),SUM($CD129:CI129),0)+IF(RIGHT(DI$43,2)&gt;RIGHT($K129,2),CI129,0))</f>
        <v>0.10235805948001027</v>
      </c>
      <c r="DJ129" s="387">
        <f>+IF($K129="ongoing",CJ129,IF(RIGHT($K129,2)=RIGHT(DJ$43,2),SUM($CD129:CJ129),0)+IF(RIGHT(DJ$43,2)&gt;RIGHT($K129,2),CJ129,0))</f>
        <v>0</v>
      </c>
      <c r="DK129" s="387">
        <f>+IF($K129="ongoing",CK129,IF(RIGHT($K129,2)=RIGHT(DK$43,2),SUM($CD129:CK129),0)+IF(RIGHT(DK$43,2)&gt;RIGHT($K129,2),CK129,0))</f>
        <v>0</v>
      </c>
      <c r="DL129" s="388">
        <f>+IF($K129="ongoing",CN129,IF(RIGHT($K129,2)=RIGHT(DL$43,2),SUM($CD129:CN129),0)+IF(RIGHT(DL$43,2)&gt;RIGHT($K129,2),CN129,0))</f>
        <v>0</v>
      </c>
      <c r="DM129" s="841"/>
      <c r="DN129" s="386">
        <f t="shared" si="277"/>
        <v>0.5</v>
      </c>
      <c r="DO129" s="387">
        <f t="shared" si="278"/>
        <v>1</v>
      </c>
      <c r="DP129" s="388">
        <f t="shared" si="279"/>
        <v>1</v>
      </c>
      <c r="DQ129" s="386">
        <f t="shared" si="280"/>
        <v>1</v>
      </c>
      <c r="DR129" s="387">
        <f t="shared" si="281"/>
        <v>1</v>
      </c>
      <c r="DS129" s="387">
        <f t="shared" si="282"/>
        <v>1</v>
      </c>
      <c r="DT129" s="387">
        <f t="shared" si="283"/>
        <v>1</v>
      </c>
      <c r="DU129" s="388">
        <f t="shared" si="284"/>
        <v>1</v>
      </c>
      <c r="DW129" s="386">
        <f t="shared" si="285"/>
        <v>0</v>
      </c>
      <c r="DX129" s="387">
        <f t="shared" si="286"/>
        <v>0.5</v>
      </c>
      <c r="DY129" s="388">
        <f t="shared" si="287"/>
        <v>1</v>
      </c>
      <c r="DZ129" s="386">
        <f t="shared" si="288"/>
        <v>1</v>
      </c>
      <c r="EA129" s="387">
        <f t="shared" si="289"/>
        <v>1</v>
      </c>
      <c r="EB129" s="387">
        <f t="shared" si="290"/>
        <v>1</v>
      </c>
      <c r="EC129" s="387">
        <f t="shared" si="291"/>
        <v>1</v>
      </c>
      <c r="ED129" s="388">
        <f t="shared" si="292"/>
        <v>1</v>
      </c>
      <c r="EF129" s="834">
        <f>+IF(DN129=DM129,0,
IF(AND(EF$44&gt;1,DN129=$N129),1-SUM($EE129:EE129),
IF($N129&lt;=1,
IF($N129&gt;0,1/$N129,0),
IF(EF$44=1,0,VDB(1,0,$N129,INT(EF$44-1-1),MIN($N129,INT(EF$44-1-1)+1),$DC129,IF($DD129="No",1,0))/
IF(DM129&gt;=INT($N129),$N129-INT($N129),1)))*
IF(EF$44=1,0,
IF(INT(DN129)=INT(DM129),DN129-DM129,INT(DN129)-DM129))+
IF($N129&lt;=1,
IF($N129&gt;0,1/$N129,0),VDB(1,0,$N129,INT(EF$44-1),MIN($N129,INT(EF$44-1)+1),$DC129,IF($DD129="No",1,0))/
IF(DN129&gt;INT($N129),$N129-INT($N129),1))*
IF(EF$44=1,DN129,
IF(INT(DN129)=INT(DM129),0,DN129-INT(DN129)))))</f>
        <v>0</v>
      </c>
      <c r="EG129" s="835">
        <f>+IF(DO129=DN129,0,
IF(AND(EG$44&gt;1,DO129=$N129),1-SUM($EE129:EF129),
IF($N129&lt;=1,
IF($N129&gt;0,1/$N129,0),
IF(EG$44=1,0,VDB(1,0,$N129,INT(EG$44-1-1),MIN($N129,INT(EG$44-1-1)+1),$DC129,IF($DD129="No",1,0))/
IF(DN129&gt;=INT($N129),$N129-INT($N129),1)))*
IF(EG$44=1,0,
IF(INT(DO129)=INT(DN129),DO129-DN129,INT(DO129)-DN129))+
IF($N129&lt;=1,
IF($N129&gt;0,1/$N129,0),VDB(1,0,$N129,INT(EG$44-1),MIN($N129,INT(EG$44-1)+1),$DC129,IF($DD129="No",1,0))/
IF(DO129&gt;INT($N129),$N129-INT($N129),1))*
IF(EG$44=1,DO129,
IF(INT(DO129)=INT(DN129),0,DO129-INT(DO129)))))</f>
        <v>0</v>
      </c>
      <c r="EH129" s="836">
        <f>+IF(DP129=DO129,0,
IF(AND(EH$44&gt;1,DP129=$N129),1-SUM($EE129:EG129),
IF($N129&lt;=1,
IF($N129&gt;0,1/$N129,0),
IF(EH$44=1,0,VDB(1,0,$N129,INT(EH$44-1-1),MIN($N129,INT(EH$44-1-1)+1),$DC129,IF($DD129="No",1,0))/
IF(DO129&gt;=INT($N129),$N129-INT($N129),1)))*
IF(EH$44=1,0,
IF(INT(DP129)=INT(DO129),DP129-DO129,INT(DP129)-DO129))+
IF($N129&lt;=1,
IF($N129&gt;0,1/$N129,0),VDB(1,0,$N129,INT(EH$44-1),MIN($N129,INT(EH$44-1)+1),$DC129,IF($DD129="No",1,0))/
IF(DP129&gt;INT($N129),$N129-INT($N129),1))*
IF(EH$44=1,DP129,
IF(INT(DP129)=INT(DO129),0,DP129-INT(DP129)))))</f>
        <v>0</v>
      </c>
      <c r="EI129" s="834">
        <f>+IF(DQ129=DP129,0,
IF(AND(EI$44&gt;1,DQ129=$N129),1-SUM($EE129:EH129),
IF($N129&lt;=1,
IF($N129&gt;0,1/$N129,0),
IF(EI$44=1,0,VDB(1,0,$N129,INT(EI$44-1-1),MIN($N129,INT(EI$44-1-1)+1),$DC129,IF($DD129="No",1,0))/
IF(DP129&gt;=INT($N129),$N129-INT($N129),1)))*
IF(EI$44=1,0,
IF(INT(DQ129)=INT(DP129),DQ129-DP129,INT(DQ129)-DP129))+
IF($N129&lt;=1,
IF($N129&gt;0,1/$N129,0),VDB(1,0,$N129,INT(EI$44-1),MIN($N129,INT(EI$44-1)+1),$DC129,IF($DD129="No",1,0))/
IF(DQ129&gt;INT($N129),$N129-INT($N129),1))*
IF(EI$44=1,DQ129,
IF(INT(DQ129)=INT(DP129),0,DQ129-INT(DQ129)))))</f>
        <v>0</v>
      </c>
      <c r="EJ129" s="835">
        <f>+IF(DR129=DQ129,0,
IF(AND(EJ$44&gt;1,DR129=$N129),1-SUM($EE129:EI129),
IF($N129&lt;=1,
IF($N129&gt;0,1/$N129,0),
IF(EJ$44=1,0,VDB(1,0,$N129,INT(EJ$44-1-1),MIN($N129,INT(EJ$44-1-1)+1),$DC129,IF($DD129="No",1,0))/
IF(DQ129&gt;=INT($N129),$N129-INT($N129),1)))*
IF(EJ$44=1,0,
IF(INT(DR129)=INT(DQ129),DR129-DQ129,INT(DR129)-DQ129))+
IF($N129&lt;=1,
IF($N129&gt;0,1/$N129,0),VDB(1,0,$N129,INT(EJ$44-1),MIN($N129,INT(EJ$44-1)+1),$DC129,IF($DD129="No",1,0))/
IF(DR129&gt;INT($N129),$N129-INT($N129),1))*
IF(EJ$44=1,DR129,
IF(INT(DR129)=INT(DQ129),0,DR129-INT(DR129)))))</f>
        <v>0</v>
      </c>
      <c r="EK129" s="835">
        <f>+IF(DS129=DR129,0,
IF(AND(EK$44&gt;1,DS129=$N129),1-SUM($EE129:EJ129),
IF($N129&lt;=1,
IF($N129&gt;0,1/$N129,0),
IF(EK$44=1,0,VDB(1,0,$N129,INT(EK$44-1-1),MIN($N129,INT(EK$44-1-1)+1),$DC129,IF($DD129="No",1,0))/
IF(DR129&gt;=INT($N129),$N129-INT($N129),1)))*
IF(EK$44=1,0,
IF(INT(DS129)=INT(DR129),DS129-DR129,INT(DS129)-DR129))+
IF($N129&lt;=1,
IF($N129&gt;0,1/$N129,0),VDB(1,0,$N129,INT(EK$44-1),MIN($N129,INT(EK$44-1)+1),$DC129,IF($DD129="No",1,0))/
IF(DS129&gt;INT($N129),$N129-INT($N129),1))*
IF(EK$44=1,DS129,
IF(INT(DS129)=INT(DR129),0,DS129-INT(DS129)))))</f>
        <v>0</v>
      </c>
      <c r="EL129" s="835">
        <f>+IF(DT129=DS129,0,
IF(AND(EL$44&gt;1,DT129=$N129),1-SUM($EE129:EK129),
IF($N129&lt;=1,
IF($N129&gt;0,1/$N129,0),
IF(EL$44=1,0,VDB(1,0,$N129,INT(EL$44-1-1),MIN($N129,INT(EL$44-1-1)+1),$DC129,IF($DD129="No",1,0))/
IF(DS129&gt;=INT($N129),$N129-INT($N129),1)))*
IF(EL$44=1,0,
IF(INT(DT129)=INT(DS129),DT129-DS129,INT(DT129)-DS129))+
IF($N129&lt;=1,
IF($N129&gt;0,1/$N129,0),VDB(1,0,$N129,INT(EL$44-1),MIN($N129,INT(EL$44-1)+1),$DC129,IF($DD129="No",1,0))/
IF(DT129&gt;INT($N129),$N129-INT($N129),1))*
IF(EL$44=1,DT129,
IF(INT(DT129)=INT(DS129),0,DT129-INT(DT129)))))</f>
        <v>0</v>
      </c>
      <c r="EM129" s="836">
        <f>+IF(DU129=DT129,0,
IF(AND(EM$44&gt;1,DU129=$N129),1-SUM($EE129:EL129),
IF($N129&lt;=1,
IF($N129&gt;0,1/$N129,0),
IF(EM$44=1,0,VDB(1,0,$N129,INT(EM$44-1-1),MIN($N129,INT(EM$44-1-1)+1),$DC129,IF($DD129="No",1,0))/
IF(DT129&gt;=INT($N129),$N129-INT($N129),1)))*
IF(EM$44=1,0,
IF(INT(DU129)=INT(DT129),DU129-DT129,INT(DU129)-DT129))+
IF($N129&lt;=1,
IF($N129&gt;0,1/$N129,0),VDB(1,0,$N129,INT(EM$44-1),MIN($N129,INT(EM$44-1)+1),$DC129,IF($DD129="No",1,0))/
IF(DU129&gt;INT($N129),$N129-INT($N129),1))*
IF(EM$44=1,DU129,
IF(INT(DU129)=INT(DT129),0,DU129-INT(DU129)))))</f>
        <v>0</v>
      </c>
      <c r="EN129" s="833"/>
      <c r="EO129" s="834">
        <f>+IF(OR(DW129=DV129,EO$44=1),0,
IF(AND(EO$44&gt;1,DW129=$N129),1-SUM($EN129:EN129),
IF($N129&lt;=1,
IF($N129&gt;0,1/$N129,0),
IF(EO$44=2,0,VDB(1,0,$N129,INT(EO$44-2-1),MIN($N129,INT(EO$44-2-1)+1),$DC129,IF($DD129="No",1,0))/
IF(DV129&gt;=INT($N129),$N129-INT($N129),1)))*
IF(EO$44=2,0,
IF(INT(DW129)=INT(DV129),DW129-DV129,INT(DW129)-DV129))+
IF($N129&lt;=1,
IF($N129&gt;0,1/$N129,0),VDB(1,0,$N129,INT(EO$44-2),MIN($N129,INT(EO$44-2)+1),$DC129,IF($DD129="No",1,0))/
IF(DW129&gt;INT($N129),$N129-INT($N129),1))*
IF(EO$44=2,DW129,
IF(INT(DW129)=INT(DV129),0,DW129-INT(DW129)))))</f>
        <v>0</v>
      </c>
      <c r="EP129" s="835">
        <f>+IF(OR(DX129=DW129,EP$44=1),0,
IF(AND(EP$44&gt;1,DX129=$N129),1-SUM($EN129:EO129),
IF($N129&lt;=1,
IF($N129&gt;0,1/$N129,0),
IF(EP$44=2,0,VDB(1,0,$N129,INT(EP$44-2-1),MIN($N129,INT(EP$44-2-1)+1),$DC129,IF($DD129="No",1,0))/
IF(DW129&gt;=INT($N129),$N129-INT($N129),1)))*
IF(EP$44=2,0,
IF(INT(DX129)=INT(DW129),DX129-DW129,INT(DX129)-DW129))+
IF($N129&lt;=1,
IF($N129&gt;0,1/$N129,0),VDB(1,0,$N129,INT(EP$44-2),MIN($N129,INT(EP$44-2)+1),$DC129,IF($DD129="No",1,0))/
IF(DX129&gt;INT($N129),$N129-INT($N129),1))*
IF(EP$44=2,DX129,
IF(INT(DX129)=INT(DW129),0,DX129-INT(DX129)))))</f>
        <v>0</v>
      </c>
      <c r="EQ129" s="836">
        <f>+IF(OR(DY129=DX129,EQ$44=1),0,
IF(AND(EQ$44&gt;1,DY129=$N129),1-SUM($EN129:EP129),
IF($N129&lt;=1,
IF($N129&gt;0,1/$N129,0),
IF(EQ$44=2,0,VDB(1,0,$N129,INT(EQ$44-2-1),MIN($N129,INT(EQ$44-2-1)+1),$DC129,IF($DD129="No",1,0))/
IF(DX129&gt;=INT($N129),$N129-INT($N129),1)))*
IF(EQ$44=2,0,
IF(INT(DY129)=INT(DX129),DY129-DX129,INT(DY129)-DX129))+
IF($N129&lt;=1,
IF($N129&gt;0,1/$N129,0),VDB(1,0,$N129,INT(EQ$44-2),MIN($N129,INT(EQ$44-2)+1),$DC129,IF($DD129="No",1,0))/
IF(DY129&gt;INT($N129),$N129-INT($N129),1))*
IF(EQ$44=2,DY129,
IF(INT(DY129)=INT(DX129),0,DY129-INT(DY129)))))</f>
        <v>0</v>
      </c>
      <c r="ER129" s="834">
        <f>+IF(OR(DZ129=DY129,ER$44=1),0,
IF(AND(ER$44&gt;1,DZ129=$N129),1-SUM($EN129:EQ129),
IF($N129&lt;=1,
IF($N129&gt;0,1/$N129,0),
IF(ER$44=2,0,VDB(1,0,$N129,INT(ER$44-2-1),MIN($N129,INT(ER$44-2-1)+1),$DC129,IF($DD129="No",1,0))/
IF(DY129&gt;=INT($N129),$N129-INT($N129),1)))*
IF(ER$44=2,0,
IF(INT(DZ129)=INT(DY129),DZ129-DY129,INT(DZ129)-DY129))+
IF($N129&lt;=1,
IF($N129&gt;0,1/$N129,0),VDB(1,0,$N129,INT(ER$44-2),MIN($N129,INT(ER$44-2)+1),$DC129,IF($DD129="No",1,0))/
IF(DZ129&gt;INT($N129),$N129-INT($N129),1))*
IF(ER$44=2,DZ129,
IF(INT(DZ129)=INT(DY129),0,DZ129-INT(DZ129)))))</f>
        <v>0</v>
      </c>
      <c r="ES129" s="835">
        <f>+IF(OR(EA129=DZ129,ES$44=1),0,
IF(AND(ES$44&gt;1,EA129=$N129),1-SUM($EN129:ER129),
IF($N129&lt;=1,
IF($N129&gt;0,1/$N129,0),
IF(ES$44=2,0,VDB(1,0,$N129,INT(ES$44-2-1),MIN($N129,INT(ES$44-2-1)+1),$DC129,IF($DD129="No",1,0))/
IF(DZ129&gt;=INT($N129),$N129-INT($N129),1)))*
IF(ES$44=2,0,
IF(INT(EA129)=INT(DZ129),EA129-DZ129,INT(EA129)-DZ129))+
IF($N129&lt;=1,
IF($N129&gt;0,1/$N129,0),VDB(1,0,$N129,INT(ES$44-2),MIN($N129,INT(ES$44-2)+1),$DC129,IF($DD129="No",1,0))/
IF(EA129&gt;INT($N129),$N129-INT($N129),1))*
IF(ES$44=2,EA129,
IF(INT(EA129)=INT(DZ129),0,EA129-INT(EA129)))))</f>
        <v>0</v>
      </c>
      <c r="ET129" s="835">
        <f>+IF(OR(EB129=EA129,ET$44=1),0,
IF(AND(ET$44&gt;1,EB129=$N129),1-SUM($EN129:ES129),
IF($N129&lt;=1,
IF($N129&gt;0,1/$N129,0),
IF(ET$44=2,0,VDB(1,0,$N129,INT(ET$44-2-1),MIN($N129,INT(ET$44-2-1)+1),$DC129,IF($DD129="No",1,0))/
IF(EA129&gt;=INT($N129),$N129-INT($N129),1)))*
IF(ET$44=2,0,
IF(INT(EB129)=INT(EA129),EB129-EA129,INT(EB129)-EA129))+
IF($N129&lt;=1,
IF($N129&gt;0,1/$N129,0),VDB(1,0,$N129,INT(ET$44-2),MIN($N129,INT(ET$44-2)+1),$DC129,IF($DD129="No",1,0))/
IF(EB129&gt;INT($N129),$N129-INT($N129),1))*
IF(ET$44=2,EB129,
IF(INT(EB129)=INT(EA129),0,EB129-INT(EB129)))))</f>
        <v>0</v>
      </c>
      <c r="EU129" s="835">
        <f>+IF(OR(EC129=EB129,EU$44=1),0,
IF(AND(EU$44&gt;1,EC129=$N129),1-SUM($EN129:ET129),
IF($N129&lt;=1,
IF($N129&gt;0,1/$N129,0),
IF(EU$44=2,0,VDB(1,0,$N129,INT(EU$44-2-1),MIN($N129,INT(EU$44-2-1)+1),$DC129,IF($DD129="No",1,0))/
IF(EB129&gt;=INT($N129),$N129-INT($N129),1)))*
IF(EU$44=2,0,
IF(INT(EC129)=INT(EB129),EC129-EB129,INT(EC129)-EB129))+
IF($N129&lt;=1,
IF($N129&gt;0,1/$N129,0),VDB(1,0,$N129,INT(EU$44-2),MIN($N129,INT(EU$44-2)+1),$DC129,IF($DD129="No",1,0))/
IF(EC129&gt;INT($N129),$N129-INT($N129),1))*
IF(EU$44=2,EC129,
IF(INT(EC129)=INT(EB129),0,EC129-INT(EC129)))))</f>
        <v>0</v>
      </c>
      <c r="EV129" s="836">
        <f>+IF(OR(ED129=EC129,EV$44=1),0,
IF(AND(EV$44&gt;1,ED129=$N129),1-SUM($EN129:EU129),
IF($N129&lt;=1,
IF($N129&gt;0,1/$N129,0),
IF(EV$44=2,0,VDB(1,0,$N129,INT(EV$44-2-1),MIN($N129,INT(EV$44-2-1)+1),$DC129,IF($DD129="No",1,0))/
IF(EC129&gt;=INT($N129),$N129-INT($N129),1)))*
IF(EV$44=2,0,
IF(INT(ED129)=INT(EC129),ED129-EC129,INT(ED129)-EC129))+
IF($N129&lt;=1,
IF($N129&gt;0,1/$N129,0),VDB(1,0,$N129,INT(EV$44-2),MIN($N129,INT(EV$44-2)+1),$DC129,IF($DD129="No",1,0))/
IF(ED129&gt;INT($N129),$N129-INT($N129),1))*
IF(EV$44=2,ED129,
IF(INT(ED129)=INT(EC129),0,ED129-INT(ED129)))))</f>
        <v>0</v>
      </c>
      <c r="EW129" s="833"/>
      <c r="EX129" s="834">
        <f t="shared" ca="1" si="301"/>
        <v>0</v>
      </c>
      <c r="EY129" s="835">
        <f t="shared" ca="1" si="301"/>
        <v>0</v>
      </c>
      <c r="EZ129" s="836">
        <f t="shared" ca="1" si="301"/>
        <v>0</v>
      </c>
      <c r="FA129" s="834">
        <f t="shared" ca="1" si="301"/>
        <v>0</v>
      </c>
      <c r="FB129" s="835">
        <f t="shared" ca="1" si="301"/>
        <v>0</v>
      </c>
      <c r="FC129" s="835">
        <f t="shared" ca="1" si="301"/>
        <v>0</v>
      </c>
      <c r="FD129" s="835">
        <f t="shared" ca="1" si="301"/>
        <v>0</v>
      </c>
      <c r="FE129" s="836">
        <f t="shared" ca="1" si="301"/>
        <v>0</v>
      </c>
      <c r="FG129" s="386">
        <f t="shared" ca="1" si="293"/>
        <v>0</v>
      </c>
      <c r="FH129" s="387">
        <f t="shared" ca="1" si="294"/>
        <v>0</v>
      </c>
      <c r="FI129" s="388">
        <f t="shared" ca="1" si="295"/>
        <v>0</v>
      </c>
      <c r="FJ129" s="386">
        <f t="shared" ca="1" si="296"/>
        <v>0</v>
      </c>
      <c r="FK129" s="387">
        <f t="shared" ca="1" si="297"/>
        <v>0</v>
      </c>
      <c r="FL129" s="387">
        <f t="shared" ca="1" si="298"/>
        <v>0</v>
      </c>
      <c r="FM129" s="387">
        <f t="shared" ca="1" si="299"/>
        <v>0</v>
      </c>
      <c r="FN129" s="388">
        <f t="shared" ca="1" si="300"/>
        <v>0</v>
      </c>
      <c r="FR129" s="116"/>
    </row>
    <row r="130" spans="2:174">
      <c r="B130" s="1410">
        <f t="shared" si="302"/>
        <v>84</v>
      </c>
      <c r="C130" s="400" t="s">
        <v>625</v>
      </c>
      <c r="D130" s="410"/>
      <c r="E130" s="402" t="s">
        <v>402</v>
      </c>
      <c r="F130" s="402" t="s">
        <v>527</v>
      </c>
      <c r="G130" s="400" t="s">
        <v>522</v>
      </c>
      <c r="H130" s="2088" t="s">
        <v>483</v>
      </c>
      <c r="I130" s="2089"/>
      <c r="J130" s="411" t="s">
        <v>516</v>
      </c>
      <c r="K130" s="403" t="s">
        <v>544</v>
      </c>
      <c r="L130" s="403">
        <v>50</v>
      </c>
      <c r="M130" s="403" t="s">
        <v>142</v>
      </c>
      <c r="N130" s="403"/>
      <c r="O130" s="347"/>
      <c r="P130" s="347"/>
      <c r="Q130" s="1021">
        <v>29.369327473170735</v>
      </c>
      <c r="R130" s="1022">
        <v>57.466423186198696</v>
      </c>
      <c r="S130" s="1022">
        <v>24.094467244526349</v>
      </c>
      <c r="T130" s="1022">
        <v>5.0417859288170535</v>
      </c>
      <c r="U130" s="1023">
        <v>3.2513526047345542</v>
      </c>
      <c r="V130" s="1021">
        <v>0</v>
      </c>
      <c r="W130" s="1022">
        <v>0</v>
      </c>
      <c r="X130" s="1022">
        <v>0</v>
      </c>
      <c r="Y130" s="1022">
        <v>13.131945133009477</v>
      </c>
      <c r="Z130" s="1023">
        <v>12.811653788301928</v>
      </c>
      <c r="AA130" s="1024"/>
      <c r="AB130" s="1021">
        <v>0</v>
      </c>
      <c r="AC130" s="1022">
        <v>0</v>
      </c>
      <c r="AD130" s="1022">
        <v>0</v>
      </c>
      <c r="AE130" s="1022">
        <v>0</v>
      </c>
      <c r="AF130" s="1023">
        <v>0</v>
      </c>
      <c r="AG130" s="1021">
        <v>0</v>
      </c>
      <c r="AH130" s="1022">
        <v>0</v>
      </c>
      <c r="AI130" s="1022">
        <v>0</v>
      </c>
      <c r="AJ130" s="1022">
        <v>0</v>
      </c>
      <c r="AK130" s="1023">
        <v>0</v>
      </c>
      <c r="AL130" s="1024"/>
      <c r="AM130" s="1021">
        <v>0</v>
      </c>
      <c r="AN130" s="1022">
        <v>0</v>
      </c>
      <c r="AO130" s="1022">
        <v>0</v>
      </c>
      <c r="AP130" s="1022">
        <v>0</v>
      </c>
      <c r="AQ130" s="1023">
        <v>0</v>
      </c>
      <c r="AR130" s="1021">
        <v>0</v>
      </c>
      <c r="AS130" s="1022">
        <v>0</v>
      </c>
      <c r="AT130" s="1022">
        <v>0</v>
      </c>
      <c r="AU130" s="1022">
        <v>0</v>
      </c>
      <c r="AV130" s="1023">
        <v>0</v>
      </c>
      <c r="AW130" s="1025"/>
      <c r="AX130" s="1282">
        <f t="shared" si="247"/>
        <v>29.369327473170735</v>
      </c>
      <c r="AY130" s="387">
        <f t="shared" si="248"/>
        <v>57.466423186198696</v>
      </c>
      <c r="AZ130" s="387">
        <f t="shared" si="249"/>
        <v>24.094467244526349</v>
      </c>
      <c r="BA130" s="387">
        <f t="shared" si="250"/>
        <v>5.0417859288170535</v>
      </c>
      <c r="BB130" s="1283">
        <f t="shared" si="251"/>
        <v>3.2513526047345542</v>
      </c>
      <c r="BC130" s="386">
        <f t="shared" si="252"/>
        <v>0</v>
      </c>
      <c r="BD130" s="387">
        <f t="shared" si="253"/>
        <v>0</v>
      </c>
      <c r="BE130" s="1277">
        <f t="shared" si="254"/>
        <v>0</v>
      </c>
      <c r="BF130" s="1277">
        <f t="shared" si="255"/>
        <v>13.131945133009477</v>
      </c>
      <c r="BG130" s="388">
        <f t="shared" si="256"/>
        <v>12.811653788301928</v>
      </c>
      <c r="BH130" s="1025"/>
      <c r="BI130" s="1282">
        <f t="shared" ca="1" si="257"/>
        <v>0.29369327473170737</v>
      </c>
      <c r="BJ130" s="387">
        <f t="shared" ca="1" si="258"/>
        <v>1.1620507813254017</v>
      </c>
      <c r="BK130" s="387">
        <f t="shared" ca="1" si="259"/>
        <v>1.9776596856326523</v>
      </c>
      <c r="BL130" s="387">
        <f t="shared" ca="1" si="260"/>
        <v>2.2690222173660861</v>
      </c>
      <c r="BM130" s="1283">
        <f t="shared" ca="1" si="261"/>
        <v>2.3519536027016024</v>
      </c>
      <c r="BN130" s="386">
        <f t="shared" ca="1" si="262"/>
        <v>2.3844671287489478</v>
      </c>
      <c r="BO130" s="387">
        <f t="shared" ca="1" si="263"/>
        <v>2.3844671287489478</v>
      </c>
      <c r="BP130" s="1277">
        <f t="shared" ca="1" si="264"/>
        <v>2.3844671287489478</v>
      </c>
      <c r="BQ130" s="1277">
        <f t="shared" ca="1" si="265"/>
        <v>2.5157865800790424</v>
      </c>
      <c r="BR130" s="388">
        <f t="shared" ca="1" si="266"/>
        <v>2.7752225692921568</v>
      </c>
      <c r="BS130" s="1025"/>
      <c r="BT130" s="1282">
        <f>+IF($K130="Ongoing",AX130,IF(RIGHT($K130,2)=RIGHT(BT$43,2),SUM($AX130:AX130),0)+IF(RIGHT(BT$43,2)&gt;RIGHT($K130,2),AX130,0))</f>
        <v>29.369327473170735</v>
      </c>
      <c r="BU130" s="387">
        <f>+IF($K130="Ongoing",AY130,IF(RIGHT($K130,2)=RIGHT(BU$43,2),SUM($AX130:AY130),0)+IF(RIGHT(BU$43,2)&gt;RIGHT($K130,2),AY130,0))</f>
        <v>57.466423186198696</v>
      </c>
      <c r="BV130" s="387">
        <f>+IF($K130="Ongoing",AZ130,IF(RIGHT($K130,2)=RIGHT(BV$43,2),SUM($AX130:AZ130),0)+IF(RIGHT(BV$43,2)&gt;RIGHT($K130,2),AZ130,0))</f>
        <v>24.094467244526349</v>
      </c>
      <c r="BW130" s="387">
        <f>+IF($K130="Ongoing",BA130,IF(RIGHT($K130,2)=RIGHT(BW$43,2),SUM($AX130:BA130),0)+IF(RIGHT(BW$43,2)&gt;RIGHT($K130,2),BA130,0))</f>
        <v>5.0417859288170535</v>
      </c>
      <c r="BX130" s="1283">
        <f>+IF($K130="Ongoing",BB130,IF(RIGHT($K130,2)=RIGHT(BX$43,2),SUM($AX130:BB130),0)+IF(RIGHT(BX$43,2)&gt;RIGHT($K130,2),BB130,0))</f>
        <v>3.2513526047345542</v>
      </c>
      <c r="BY130" s="386">
        <f>+IF($K130="Ongoing",BC130,IF(RIGHT($K130,2)=RIGHT(BY$43,2),SUM($AX130:BC130),0)+IF(RIGHT(BY$43,2)&gt;RIGHT($K130,2),BC130,0))</f>
        <v>0</v>
      </c>
      <c r="BZ130" s="387">
        <f>+IF($K130="Ongoing",BD130,IF(RIGHT($K130,2)=RIGHT(BZ$43,2),SUM($AX130:BD130),0)+IF(RIGHT(BZ$43,2)&gt;RIGHT($K130,2),BD130,0))</f>
        <v>0</v>
      </c>
      <c r="CA130" s="1277">
        <f>+IF($K130="Ongoing",BE130,IF(RIGHT($K130,2)=RIGHT(CA$43,2),SUM($AX130:BE130),0)+IF(RIGHT(CA$43,2)&gt;RIGHT($K130,2),BE130,0))</f>
        <v>0</v>
      </c>
      <c r="CB130" s="1277">
        <f>+IF($K130="Ongoing",BF130,IF(RIGHT($K130,2)=RIGHT(CB$43,2),SUM($AX130:BF130),0)+IF(RIGHT(CB$43,2)&gt;RIGHT($K130,2),BF130,0))</f>
        <v>13.131945133009477</v>
      </c>
      <c r="CC130" s="388">
        <f>+IF($K130="Ongoing",BG130,IF(RIGHT($K130,2)=RIGHT(CC$43,2),SUM($AX130:BG130),0)+IF(RIGHT(CC$43,2)&gt;RIGHT($K130,2),BG130,0))</f>
        <v>12.811653788301928</v>
      </c>
      <c r="CD130" s="1025"/>
      <c r="CE130" s="1282">
        <f>+Q130*KeyAssumptionsPriceControl_FO!AF$15</f>
        <v>30.221037969892684</v>
      </c>
      <c r="CF130" s="387">
        <f>+R130*KeyAssumptionsPriceControl_FO!AG$15</f>
        <v>60.847804992897807</v>
      </c>
      <c r="CG130" s="387">
        <f>+S130*KeyAssumptionsPriceControl_FO!AH$15</f>
        <v>26.252063875619704</v>
      </c>
      <c r="CH130" s="387">
        <f>+T130*KeyAssumptionsPriceControl_FO!AI$15</f>
        <v>5.6525693707841072</v>
      </c>
      <c r="CI130" s="1283">
        <f>+U130*KeyAssumptionsPriceControl_FO!AJ$15</f>
        <v>3.7509471450022356</v>
      </c>
      <c r="CJ130" s="386">
        <f>+V130*KeyAssumptionsPriceControl_FO!AK$15</f>
        <v>0</v>
      </c>
      <c r="CK130" s="387">
        <f>+W130*KeyAssumptionsPriceControl_FO!AL$15</f>
        <v>0</v>
      </c>
      <c r="CL130" s="1277">
        <f>+X130*KeyAssumptionsPriceControl_FO!AM$15</f>
        <v>0</v>
      </c>
      <c r="CM130" s="1277">
        <f>+Y130*KeyAssumptionsPriceControl_FO!AN$15</f>
        <v>16.985073571900848</v>
      </c>
      <c r="CN130" s="388">
        <f>+Z130*KeyAssumptionsPriceControl_FO!AO$15</f>
        <v>17.051356785839975</v>
      </c>
      <c r="CO130" s="1025"/>
      <c r="CP130" s="1282">
        <f t="shared" ca="1" si="267"/>
        <v>0</v>
      </c>
      <c r="CQ130" s="387">
        <f t="shared" ca="1" si="268"/>
        <v>0</v>
      </c>
      <c r="CR130" s="387">
        <f t="shared" ca="1" si="269"/>
        <v>0</v>
      </c>
      <c r="CS130" s="387">
        <f t="shared" ca="1" si="270"/>
        <v>0</v>
      </c>
      <c r="CT130" s="1283">
        <f t="shared" ca="1" si="271"/>
        <v>0</v>
      </c>
      <c r="CU130" s="386">
        <f t="shared" ca="1" si="272"/>
        <v>0</v>
      </c>
      <c r="CV130" s="387">
        <f t="shared" ca="1" si="273"/>
        <v>0</v>
      </c>
      <c r="CW130" s="1277">
        <f t="shared" ca="1" si="274"/>
        <v>0</v>
      </c>
      <c r="CX130" s="1277">
        <f t="shared" ca="1" si="275"/>
        <v>0</v>
      </c>
      <c r="CY130" s="388">
        <f t="shared" ca="1" si="276"/>
        <v>0</v>
      </c>
      <c r="CZ130" s="347"/>
      <c r="DA130" s="852"/>
      <c r="DB130" s="347"/>
      <c r="DC130" s="1012" t="s">
        <v>628</v>
      </c>
      <c r="DD130" s="841" t="s">
        <v>518</v>
      </c>
      <c r="DE130" s="386">
        <f>+IF($K130="ongoing",CE130,IF(RIGHT($K130,2)=RIGHT(DE$43,2),SUM($CD130:CE130),0)+IF(RIGHT(DE$43,2)&gt;RIGHT($K130,2),CE130,0))</f>
        <v>30.221037969892684</v>
      </c>
      <c r="DF130" s="387">
        <f>+IF($K130="ongoing",CF130,IF(RIGHT($K130,2)=RIGHT(DF$43,2),SUM($CD130:CF130),0)+IF(RIGHT(DF$43,2)&gt;RIGHT($K130,2),CF130,0))</f>
        <v>60.847804992897807</v>
      </c>
      <c r="DG130" s="388">
        <f>+IF($K130="ongoing",CG130,IF(RIGHT($K130,2)=RIGHT(DG$43,2),SUM($CD130:CG130),0)+IF(RIGHT(DG$43,2)&gt;RIGHT($K130,2),CG130,0))</f>
        <v>26.252063875619704</v>
      </c>
      <c r="DH130" s="386">
        <f>+IF($K130="ongoing",CH130,IF(RIGHT($K130,2)=RIGHT(DH$43,2),SUM($CD130:CH130),0)+IF(RIGHT(DH$43,2)&gt;RIGHT($K130,2),CH130,0))</f>
        <v>5.6525693707841072</v>
      </c>
      <c r="DI130" s="387">
        <f>+IF($K130="ongoing",CI130,IF(RIGHT($K130,2)=RIGHT(DI$43,2),SUM($CD130:CI130),0)+IF(RIGHT(DI$43,2)&gt;RIGHT($K130,2),CI130,0))</f>
        <v>3.7509471450022356</v>
      </c>
      <c r="DJ130" s="387">
        <f>+IF($K130="ongoing",CJ130,IF(RIGHT($K130,2)=RIGHT(DJ$43,2),SUM($CD130:CJ130),0)+IF(RIGHT(DJ$43,2)&gt;RIGHT($K130,2),CJ130,0))</f>
        <v>0</v>
      </c>
      <c r="DK130" s="387">
        <f>+IF($K130="ongoing",CK130,IF(RIGHT($K130,2)=RIGHT(DK$43,2),SUM($CD130:CK130),0)+IF(RIGHT(DK$43,2)&gt;RIGHT($K130,2),CK130,0))</f>
        <v>0</v>
      </c>
      <c r="DL130" s="388">
        <f>+IF($K130="ongoing",CN130,IF(RIGHT($K130,2)=RIGHT(DL$43,2),SUM($CD130:CN130),0)+IF(RIGHT(DL$43,2)&gt;RIGHT($K130,2),CN130,0))</f>
        <v>17.051356785839975</v>
      </c>
      <c r="DM130" s="841"/>
      <c r="DN130" s="386">
        <f t="shared" si="277"/>
        <v>0.5</v>
      </c>
      <c r="DO130" s="387">
        <f t="shared" si="278"/>
        <v>1</v>
      </c>
      <c r="DP130" s="388">
        <f t="shared" si="279"/>
        <v>1</v>
      </c>
      <c r="DQ130" s="386">
        <f t="shared" si="280"/>
        <v>1</v>
      </c>
      <c r="DR130" s="387">
        <f t="shared" si="281"/>
        <v>1</v>
      </c>
      <c r="DS130" s="387">
        <f t="shared" si="282"/>
        <v>1</v>
      </c>
      <c r="DT130" s="387">
        <f t="shared" si="283"/>
        <v>1</v>
      </c>
      <c r="DU130" s="388">
        <f t="shared" si="284"/>
        <v>1</v>
      </c>
      <c r="DW130" s="386">
        <f t="shared" si="285"/>
        <v>0</v>
      </c>
      <c r="DX130" s="387">
        <f t="shared" si="286"/>
        <v>0.5</v>
      </c>
      <c r="DY130" s="388">
        <f t="shared" si="287"/>
        <v>1</v>
      </c>
      <c r="DZ130" s="386">
        <f t="shared" si="288"/>
        <v>1</v>
      </c>
      <c r="EA130" s="387">
        <f t="shared" si="289"/>
        <v>1</v>
      </c>
      <c r="EB130" s="387">
        <f t="shared" si="290"/>
        <v>1</v>
      </c>
      <c r="EC130" s="387">
        <f t="shared" si="291"/>
        <v>1</v>
      </c>
      <c r="ED130" s="388">
        <f t="shared" si="292"/>
        <v>1</v>
      </c>
      <c r="EF130" s="834">
        <f>+IF(DN130=DM130,0,
IF(AND(EF$44&gt;1,DN130=$N130),1-SUM($EE130:EE130),
IF($N130&lt;=1,
IF($N130&gt;0,1/$N130,0),
IF(EF$44=1,0,VDB(1,0,$N130,INT(EF$44-1-1),MIN($N130,INT(EF$44-1-1)+1),$DC130,IF($DD130="No",1,0))/
IF(DM130&gt;=INT($N130),$N130-INT($N130),1)))*
IF(EF$44=1,0,
IF(INT(DN130)=INT(DM130),DN130-DM130,INT(DN130)-DM130))+
IF($N130&lt;=1,
IF($N130&gt;0,1/$N130,0),VDB(1,0,$N130,INT(EF$44-1),MIN($N130,INT(EF$44-1)+1),$DC130,IF($DD130="No",1,0))/
IF(DN130&gt;INT($N130),$N130-INT($N130),1))*
IF(EF$44=1,DN130,
IF(INT(DN130)=INT(DM130),0,DN130-INT(DN130)))))</f>
        <v>0</v>
      </c>
      <c r="EG130" s="835">
        <f>+IF(DO130=DN130,0,
IF(AND(EG$44&gt;1,DO130=$N130),1-SUM($EE130:EF130),
IF($N130&lt;=1,
IF($N130&gt;0,1/$N130,0),
IF(EG$44=1,0,VDB(1,0,$N130,INT(EG$44-1-1),MIN($N130,INT(EG$44-1-1)+1),$DC130,IF($DD130="No",1,0))/
IF(DN130&gt;=INT($N130),$N130-INT($N130),1)))*
IF(EG$44=1,0,
IF(INT(DO130)=INT(DN130),DO130-DN130,INT(DO130)-DN130))+
IF($N130&lt;=1,
IF($N130&gt;0,1/$N130,0),VDB(1,0,$N130,INT(EG$44-1),MIN($N130,INT(EG$44-1)+1),$DC130,IF($DD130="No",1,0))/
IF(DO130&gt;INT($N130),$N130-INT($N130),1))*
IF(EG$44=1,DO130,
IF(INT(DO130)=INT(DN130),0,DO130-INT(DO130)))))</f>
        <v>0</v>
      </c>
      <c r="EH130" s="836">
        <f>+IF(DP130=DO130,0,
IF(AND(EH$44&gt;1,DP130=$N130),1-SUM($EE130:EG130),
IF($N130&lt;=1,
IF($N130&gt;0,1/$N130,0),
IF(EH$44=1,0,VDB(1,0,$N130,INT(EH$44-1-1),MIN($N130,INT(EH$44-1-1)+1),$DC130,IF($DD130="No",1,0))/
IF(DO130&gt;=INT($N130),$N130-INT($N130),1)))*
IF(EH$44=1,0,
IF(INT(DP130)=INT(DO130),DP130-DO130,INT(DP130)-DO130))+
IF($N130&lt;=1,
IF($N130&gt;0,1/$N130,0),VDB(1,0,$N130,INT(EH$44-1),MIN($N130,INT(EH$44-1)+1),$DC130,IF($DD130="No",1,0))/
IF(DP130&gt;INT($N130),$N130-INT($N130),1))*
IF(EH$44=1,DP130,
IF(INT(DP130)=INT(DO130),0,DP130-INT(DP130)))))</f>
        <v>0</v>
      </c>
      <c r="EI130" s="834">
        <f>+IF(DQ130=DP130,0,
IF(AND(EI$44&gt;1,DQ130=$N130),1-SUM($EE130:EH130),
IF($N130&lt;=1,
IF($N130&gt;0,1/$N130,0),
IF(EI$44=1,0,VDB(1,0,$N130,INT(EI$44-1-1),MIN($N130,INT(EI$44-1-1)+1),$DC130,IF($DD130="No",1,0))/
IF(DP130&gt;=INT($N130),$N130-INT($N130),1)))*
IF(EI$44=1,0,
IF(INT(DQ130)=INT(DP130),DQ130-DP130,INT(DQ130)-DP130))+
IF($N130&lt;=1,
IF($N130&gt;0,1/$N130,0),VDB(1,0,$N130,INT(EI$44-1),MIN($N130,INT(EI$44-1)+1),$DC130,IF($DD130="No",1,0))/
IF(DQ130&gt;INT($N130),$N130-INT($N130),1))*
IF(EI$44=1,DQ130,
IF(INT(DQ130)=INT(DP130),0,DQ130-INT(DQ130)))))</f>
        <v>0</v>
      </c>
      <c r="EJ130" s="835">
        <f>+IF(DR130=DQ130,0,
IF(AND(EJ$44&gt;1,DR130=$N130),1-SUM($EE130:EI130),
IF($N130&lt;=1,
IF($N130&gt;0,1/$N130,0),
IF(EJ$44=1,0,VDB(1,0,$N130,INT(EJ$44-1-1),MIN($N130,INT(EJ$44-1-1)+1),$DC130,IF($DD130="No",1,0))/
IF(DQ130&gt;=INT($N130),$N130-INT($N130),1)))*
IF(EJ$44=1,0,
IF(INT(DR130)=INT(DQ130),DR130-DQ130,INT(DR130)-DQ130))+
IF($N130&lt;=1,
IF($N130&gt;0,1/$N130,0),VDB(1,0,$N130,INT(EJ$44-1),MIN($N130,INT(EJ$44-1)+1),$DC130,IF($DD130="No",1,0))/
IF(DR130&gt;INT($N130),$N130-INT($N130),1))*
IF(EJ$44=1,DR130,
IF(INT(DR130)=INT(DQ130),0,DR130-INT(DR130)))))</f>
        <v>0</v>
      </c>
      <c r="EK130" s="835">
        <f>+IF(DS130=DR130,0,
IF(AND(EK$44&gt;1,DS130=$N130),1-SUM($EE130:EJ130),
IF($N130&lt;=1,
IF($N130&gt;0,1/$N130,0),
IF(EK$44=1,0,VDB(1,0,$N130,INT(EK$44-1-1),MIN($N130,INT(EK$44-1-1)+1),$DC130,IF($DD130="No",1,0))/
IF(DR130&gt;=INT($N130),$N130-INT($N130),1)))*
IF(EK$44=1,0,
IF(INT(DS130)=INT(DR130),DS130-DR130,INT(DS130)-DR130))+
IF($N130&lt;=1,
IF($N130&gt;0,1/$N130,0),VDB(1,0,$N130,INT(EK$44-1),MIN($N130,INT(EK$44-1)+1),$DC130,IF($DD130="No",1,0))/
IF(DS130&gt;INT($N130),$N130-INT($N130),1))*
IF(EK$44=1,DS130,
IF(INT(DS130)=INT(DR130),0,DS130-INT(DS130)))))</f>
        <v>0</v>
      </c>
      <c r="EL130" s="835">
        <f>+IF(DT130=DS130,0,
IF(AND(EL$44&gt;1,DT130=$N130),1-SUM($EE130:EK130),
IF($N130&lt;=1,
IF($N130&gt;0,1/$N130,0),
IF(EL$44=1,0,VDB(1,0,$N130,INT(EL$44-1-1),MIN($N130,INT(EL$44-1-1)+1),$DC130,IF($DD130="No",1,0))/
IF(DS130&gt;=INT($N130),$N130-INT($N130),1)))*
IF(EL$44=1,0,
IF(INT(DT130)=INT(DS130),DT130-DS130,INT(DT130)-DS130))+
IF($N130&lt;=1,
IF($N130&gt;0,1/$N130,0),VDB(1,0,$N130,INT(EL$44-1),MIN($N130,INT(EL$44-1)+1),$DC130,IF($DD130="No",1,0))/
IF(DT130&gt;INT($N130),$N130-INT($N130),1))*
IF(EL$44=1,DT130,
IF(INT(DT130)=INT(DS130),0,DT130-INT(DT130)))))</f>
        <v>0</v>
      </c>
      <c r="EM130" s="836">
        <f>+IF(DU130=DT130,0,
IF(AND(EM$44&gt;1,DU130=$N130),1-SUM($EE130:EL130),
IF($N130&lt;=1,
IF($N130&gt;0,1/$N130,0),
IF(EM$44=1,0,VDB(1,0,$N130,INT(EM$44-1-1),MIN($N130,INT(EM$44-1-1)+1),$DC130,IF($DD130="No",1,0))/
IF(DT130&gt;=INT($N130),$N130-INT($N130),1)))*
IF(EM$44=1,0,
IF(INT(DU130)=INT(DT130),DU130-DT130,INT(DU130)-DT130))+
IF($N130&lt;=1,
IF($N130&gt;0,1/$N130,0),VDB(1,0,$N130,INT(EM$44-1),MIN($N130,INT(EM$44-1)+1),$DC130,IF($DD130="No",1,0))/
IF(DU130&gt;INT($N130),$N130-INT($N130),1))*
IF(EM$44=1,DU130,
IF(INT(DU130)=INT(DT130),0,DU130-INT(DU130)))))</f>
        <v>0</v>
      </c>
      <c r="EN130" s="833"/>
      <c r="EO130" s="834">
        <f>+IF(OR(DW130=DV130,EO$44=1),0,
IF(AND(EO$44&gt;1,DW130=$N130),1-SUM($EN130:EN130),
IF($N130&lt;=1,
IF($N130&gt;0,1/$N130,0),
IF(EO$44=2,0,VDB(1,0,$N130,INT(EO$44-2-1),MIN($N130,INT(EO$44-2-1)+1),$DC130,IF($DD130="No",1,0))/
IF(DV130&gt;=INT($N130),$N130-INT($N130),1)))*
IF(EO$44=2,0,
IF(INT(DW130)=INT(DV130),DW130-DV130,INT(DW130)-DV130))+
IF($N130&lt;=1,
IF($N130&gt;0,1/$N130,0),VDB(1,0,$N130,INT(EO$44-2),MIN($N130,INT(EO$44-2)+1),$DC130,IF($DD130="No",1,0))/
IF(DW130&gt;INT($N130),$N130-INT($N130),1))*
IF(EO$44=2,DW130,
IF(INT(DW130)=INT(DV130),0,DW130-INT(DW130)))))</f>
        <v>0</v>
      </c>
      <c r="EP130" s="835">
        <f>+IF(OR(DX130=DW130,EP$44=1),0,
IF(AND(EP$44&gt;1,DX130=$N130),1-SUM($EN130:EO130),
IF($N130&lt;=1,
IF($N130&gt;0,1/$N130,0),
IF(EP$44=2,0,VDB(1,0,$N130,INT(EP$44-2-1),MIN($N130,INT(EP$44-2-1)+1),$DC130,IF($DD130="No",1,0))/
IF(DW130&gt;=INT($N130),$N130-INT($N130),1)))*
IF(EP$44=2,0,
IF(INT(DX130)=INT(DW130),DX130-DW130,INT(DX130)-DW130))+
IF($N130&lt;=1,
IF($N130&gt;0,1/$N130,0),VDB(1,0,$N130,INT(EP$44-2),MIN($N130,INT(EP$44-2)+1),$DC130,IF($DD130="No",1,0))/
IF(DX130&gt;INT($N130),$N130-INT($N130),1))*
IF(EP$44=2,DX130,
IF(INT(DX130)=INT(DW130),0,DX130-INT(DX130)))))</f>
        <v>0</v>
      </c>
      <c r="EQ130" s="836">
        <f>+IF(OR(DY130=DX130,EQ$44=1),0,
IF(AND(EQ$44&gt;1,DY130=$N130),1-SUM($EN130:EP130),
IF($N130&lt;=1,
IF($N130&gt;0,1/$N130,0),
IF(EQ$44=2,0,VDB(1,0,$N130,INT(EQ$44-2-1),MIN($N130,INT(EQ$44-2-1)+1),$DC130,IF($DD130="No",1,0))/
IF(DX130&gt;=INT($N130),$N130-INT($N130),1)))*
IF(EQ$44=2,0,
IF(INT(DY130)=INT(DX130),DY130-DX130,INT(DY130)-DX130))+
IF($N130&lt;=1,
IF($N130&gt;0,1/$N130,0),VDB(1,0,$N130,INT(EQ$44-2),MIN($N130,INT(EQ$44-2)+1),$DC130,IF($DD130="No",1,0))/
IF(DY130&gt;INT($N130),$N130-INT($N130),1))*
IF(EQ$44=2,DY130,
IF(INT(DY130)=INT(DX130),0,DY130-INT(DY130)))))</f>
        <v>0</v>
      </c>
      <c r="ER130" s="834">
        <f>+IF(OR(DZ130=DY130,ER$44=1),0,
IF(AND(ER$44&gt;1,DZ130=$N130),1-SUM($EN130:EQ130),
IF($N130&lt;=1,
IF($N130&gt;0,1/$N130,0),
IF(ER$44=2,0,VDB(1,0,$N130,INT(ER$44-2-1),MIN($N130,INT(ER$44-2-1)+1),$DC130,IF($DD130="No",1,0))/
IF(DY130&gt;=INT($N130),$N130-INT($N130),1)))*
IF(ER$44=2,0,
IF(INT(DZ130)=INT(DY130),DZ130-DY130,INT(DZ130)-DY130))+
IF($N130&lt;=1,
IF($N130&gt;0,1/$N130,0),VDB(1,0,$N130,INT(ER$44-2),MIN($N130,INT(ER$44-2)+1),$DC130,IF($DD130="No",1,0))/
IF(DZ130&gt;INT($N130),$N130-INT($N130),1))*
IF(ER$44=2,DZ130,
IF(INT(DZ130)=INT(DY130),0,DZ130-INT(DZ130)))))</f>
        <v>0</v>
      </c>
      <c r="ES130" s="835">
        <f>+IF(OR(EA130=DZ130,ES$44=1),0,
IF(AND(ES$44&gt;1,EA130=$N130),1-SUM($EN130:ER130),
IF($N130&lt;=1,
IF($N130&gt;0,1/$N130,0),
IF(ES$44=2,0,VDB(1,0,$N130,INT(ES$44-2-1),MIN($N130,INT(ES$44-2-1)+1),$DC130,IF($DD130="No",1,0))/
IF(DZ130&gt;=INT($N130),$N130-INT($N130),1)))*
IF(ES$44=2,0,
IF(INT(EA130)=INT(DZ130),EA130-DZ130,INT(EA130)-DZ130))+
IF($N130&lt;=1,
IF($N130&gt;0,1/$N130,0),VDB(1,0,$N130,INT(ES$44-2),MIN($N130,INT(ES$44-2)+1),$DC130,IF($DD130="No",1,0))/
IF(EA130&gt;INT($N130),$N130-INT($N130),1))*
IF(ES$44=2,EA130,
IF(INT(EA130)=INT(DZ130),0,EA130-INT(EA130)))))</f>
        <v>0</v>
      </c>
      <c r="ET130" s="835">
        <f>+IF(OR(EB130=EA130,ET$44=1),0,
IF(AND(ET$44&gt;1,EB130=$N130),1-SUM($EN130:ES130),
IF($N130&lt;=1,
IF($N130&gt;0,1/$N130,0),
IF(ET$44=2,0,VDB(1,0,$N130,INT(ET$44-2-1),MIN($N130,INT(ET$44-2-1)+1),$DC130,IF($DD130="No",1,0))/
IF(EA130&gt;=INT($N130),$N130-INT($N130),1)))*
IF(ET$44=2,0,
IF(INT(EB130)=INT(EA130),EB130-EA130,INT(EB130)-EA130))+
IF($N130&lt;=1,
IF($N130&gt;0,1/$N130,0),VDB(1,0,$N130,INT(ET$44-2),MIN($N130,INT(ET$44-2)+1),$DC130,IF($DD130="No",1,0))/
IF(EB130&gt;INT($N130),$N130-INT($N130),1))*
IF(ET$44=2,EB130,
IF(INT(EB130)=INT(EA130),0,EB130-INT(EB130)))))</f>
        <v>0</v>
      </c>
      <c r="EU130" s="835">
        <f>+IF(OR(EC130=EB130,EU$44=1),0,
IF(AND(EU$44&gt;1,EC130=$N130),1-SUM($EN130:ET130),
IF($N130&lt;=1,
IF($N130&gt;0,1/$N130,0),
IF(EU$44=2,0,VDB(1,0,$N130,INT(EU$44-2-1),MIN($N130,INT(EU$44-2-1)+1),$DC130,IF($DD130="No",1,0))/
IF(EB130&gt;=INT($N130),$N130-INT($N130),1)))*
IF(EU$44=2,0,
IF(INT(EC130)=INT(EB130),EC130-EB130,INT(EC130)-EB130))+
IF($N130&lt;=1,
IF($N130&gt;0,1/$N130,0),VDB(1,0,$N130,INT(EU$44-2),MIN($N130,INT(EU$44-2)+1),$DC130,IF($DD130="No",1,0))/
IF(EC130&gt;INT($N130),$N130-INT($N130),1))*
IF(EU$44=2,EC130,
IF(INT(EC130)=INT(EB130),0,EC130-INT(EC130)))))</f>
        <v>0</v>
      </c>
      <c r="EV130" s="836">
        <f>+IF(OR(ED130=EC130,EV$44=1),0,
IF(AND(EV$44&gt;1,ED130=$N130),1-SUM($EN130:EU130),
IF($N130&lt;=1,
IF($N130&gt;0,1/$N130,0),
IF(EV$44=2,0,VDB(1,0,$N130,INT(EV$44-2-1),MIN($N130,INT(EV$44-2-1)+1),$DC130,IF($DD130="No",1,0))/
IF(EC130&gt;=INT($N130),$N130-INT($N130),1)))*
IF(EV$44=2,0,
IF(INT(ED130)=INT(EC130),ED130-EC130,INT(ED130)-EC130))+
IF($N130&lt;=1,
IF($N130&gt;0,1/$N130,0),VDB(1,0,$N130,INT(EV$44-2),MIN($N130,INT(EV$44-2)+1),$DC130,IF($DD130="No",1,0))/
IF(ED130&gt;INT($N130),$N130-INT($N130),1))*
IF(EV$44=2,ED130,
IF(INT(ED130)=INT(EC130),0,ED130-INT(ED130)))))</f>
        <v>0</v>
      </c>
      <c r="EW130" s="833"/>
      <c r="EX130" s="834">
        <f t="shared" ca="1" si="301"/>
        <v>0</v>
      </c>
      <c r="EY130" s="835">
        <f t="shared" ca="1" si="301"/>
        <v>0</v>
      </c>
      <c r="EZ130" s="836">
        <f t="shared" ca="1" si="301"/>
        <v>0</v>
      </c>
      <c r="FA130" s="834">
        <f t="shared" ca="1" si="301"/>
        <v>0</v>
      </c>
      <c r="FB130" s="835">
        <f t="shared" ca="1" si="301"/>
        <v>0</v>
      </c>
      <c r="FC130" s="835">
        <f t="shared" ca="1" si="301"/>
        <v>0</v>
      </c>
      <c r="FD130" s="835">
        <f t="shared" ca="1" si="301"/>
        <v>0</v>
      </c>
      <c r="FE130" s="836">
        <f t="shared" ca="1" si="301"/>
        <v>0</v>
      </c>
      <c r="FG130" s="386">
        <f t="shared" ca="1" si="293"/>
        <v>0</v>
      </c>
      <c r="FH130" s="387">
        <f t="shared" ca="1" si="294"/>
        <v>0</v>
      </c>
      <c r="FI130" s="388">
        <f t="shared" ca="1" si="295"/>
        <v>0</v>
      </c>
      <c r="FJ130" s="386">
        <f t="shared" ca="1" si="296"/>
        <v>0</v>
      </c>
      <c r="FK130" s="387">
        <f t="shared" ca="1" si="297"/>
        <v>0</v>
      </c>
      <c r="FL130" s="387">
        <f t="shared" ca="1" si="298"/>
        <v>0</v>
      </c>
      <c r="FM130" s="387">
        <f t="shared" ca="1" si="299"/>
        <v>0</v>
      </c>
      <c r="FN130" s="388">
        <f t="shared" ca="1" si="300"/>
        <v>0</v>
      </c>
      <c r="FR130" s="116"/>
    </row>
    <row r="131" spans="2:174">
      <c r="B131" s="1410">
        <f t="shared" si="302"/>
        <v>85</v>
      </c>
      <c r="C131" s="400" t="s">
        <v>629</v>
      </c>
      <c r="D131" s="410"/>
      <c r="E131" s="402" t="s">
        <v>402</v>
      </c>
      <c r="F131" s="402" t="s">
        <v>520</v>
      </c>
      <c r="G131" s="400" t="s">
        <v>522</v>
      </c>
      <c r="H131" s="2088" t="s">
        <v>483</v>
      </c>
      <c r="I131" s="2089"/>
      <c r="J131" s="411" t="s">
        <v>516</v>
      </c>
      <c r="K131" s="403" t="s">
        <v>544</v>
      </c>
      <c r="L131" s="403">
        <v>50</v>
      </c>
      <c r="M131" s="403" t="s">
        <v>142</v>
      </c>
      <c r="N131" s="403"/>
      <c r="O131" s="347"/>
      <c r="P131" s="347"/>
      <c r="Q131" s="1021">
        <v>3.272582614634147</v>
      </c>
      <c r="R131" s="1022">
        <v>4.9494348602022615</v>
      </c>
      <c r="S131" s="1022">
        <v>13.082108501037437</v>
      </c>
      <c r="T131" s="1022">
        <v>5.366851619793759</v>
      </c>
      <c r="U131" s="1023">
        <v>0</v>
      </c>
      <c r="V131" s="1021">
        <v>4.3114843298025241</v>
      </c>
      <c r="W131" s="1022">
        <v>8.4126523508341933</v>
      </c>
      <c r="X131" s="1022">
        <v>18.893111186795565</v>
      </c>
      <c r="Y131" s="1022">
        <v>43.990983187964417</v>
      </c>
      <c r="Z131" s="1023">
        <v>178.50128009780181</v>
      </c>
      <c r="AA131" s="1024"/>
      <c r="AB131" s="1021">
        <v>0</v>
      </c>
      <c r="AC131" s="1022">
        <v>0</v>
      </c>
      <c r="AD131" s="1022">
        <v>0</v>
      </c>
      <c r="AE131" s="1022">
        <v>0</v>
      </c>
      <c r="AF131" s="1023">
        <v>0</v>
      </c>
      <c r="AG131" s="1021">
        <v>0</v>
      </c>
      <c r="AH131" s="1022">
        <v>0</v>
      </c>
      <c r="AI131" s="1022">
        <v>0</v>
      </c>
      <c r="AJ131" s="1022">
        <v>0</v>
      </c>
      <c r="AK131" s="1023">
        <v>0</v>
      </c>
      <c r="AL131" s="1024"/>
      <c r="AM131" s="1021">
        <v>0</v>
      </c>
      <c r="AN131" s="1022">
        <v>0</v>
      </c>
      <c r="AO131" s="1022">
        <v>0</v>
      </c>
      <c r="AP131" s="1022">
        <v>0</v>
      </c>
      <c r="AQ131" s="1023">
        <v>0</v>
      </c>
      <c r="AR131" s="1021">
        <v>0</v>
      </c>
      <c r="AS131" s="1022">
        <v>0</v>
      </c>
      <c r="AT131" s="1022">
        <v>0</v>
      </c>
      <c r="AU131" s="1022">
        <v>0</v>
      </c>
      <c r="AV131" s="1023">
        <v>0</v>
      </c>
      <c r="AW131" s="1025"/>
      <c r="AX131" s="1282">
        <f t="shared" si="247"/>
        <v>3.272582614634147</v>
      </c>
      <c r="AY131" s="387">
        <f t="shared" si="248"/>
        <v>4.9494348602022615</v>
      </c>
      <c r="AZ131" s="387">
        <f t="shared" si="249"/>
        <v>13.082108501037437</v>
      </c>
      <c r="BA131" s="387">
        <f t="shared" si="250"/>
        <v>5.366851619793759</v>
      </c>
      <c r="BB131" s="1283">
        <f t="shared" si="251"/>
        <v>0</v>
      </c>
      <c r="BC131" s="386">
        <f t="shared" si="252"/>
        <v>4.3114843298025241</v>
      </c>
      <c r="BD131" s="387">
        <f t="shared" si="253"/>
        <v>8.4126523508341933</v>
      </c>
      <c r="BE131" s="1277">
        <f t="shared" si="254"/>
        <v>18.893111186795565</v>
      </c>
      <c r="BF131" s="1277">
        <f t="shared" si="255"/>
        <v>43.990983187964417</v>
      </c>
      <c r="BG131" s="388">
        <f t="shared" si="256"/>
        <v>178.50128009780181</v>
      </c>
      <c r="BH131" s="1025"/>
      <c r="BI131" s="1282">
        <f t="shared" ca="1" si="257"/>
        <v>3.2725826146341473E-2</v>
      </c>
      <c r="BJ131" s="387">
        <f t="shared" ca="1" si="258"/>
        <v>0.11494600089470555</v>
      </c>
      <c r="BK131" s="387">
        <f t="shared" ca="1" si="259"/>
        <v>0.29526143450710257</v>
      </c>
      <c r="BL131" s="387">
        <f t="shared" ca="1" si="260"/>
        <v>0.4797510357154145</v>
      </c>
      <c r="BM131" s="1283">
        <f t="shared" ca="1" si="261"/>
        <v>0.53341955191335211</v>
      </c>
      <c r="BN131" s="386">
        <f t="shared" ca="1" si="262"/>
        <v>0.57653439521137739</v>
      </c>
      <c r="BO131" s="387">
        <f t="shared" ca="1" si="263"/>
        <v>0.7037757620177445</v>
      </c>
      <c r="BP131" s="1277">
        <f t="shared" ca="1" si="264"/>
        <v>0.97683339739404218</v>
      </c>
      <c r="BQ131" s="1277">
        <f t="shared" ca="1" si="265"/>
        <v>1.6056743411416421</v>
      </c>
      <c r="BR131" s="388">
        <f t="shared" ca="1" si="266"/>
        <v>3.8305969739993042</v>
      </c>
      <c r="BS131" s="1025"/>
      <c r="BT131" s="1282">
        <f>+IF($K131="Ongoing",AX131,IF(RIGHT($K131,2)=RIGHT(BT$43,2),SUM($AX131:AX131),0)+IF(RIGHT(BT$43,2)&gt;RIGHT($K131,2),AX131,0))</f>
        <v>3.272582614634147</v>
      </c>
      <c r="BU131" s="387">
        <f>+IF($K131="Ongoing",AY131,IF(RIGHT($K131,2)=RIGHT(BU$43,2),SUM($AX131:AY131),0)+IF(RIGHT(BU$43,2)&gt;RIGHT($K131,2),AY131,0))</f>
        <v>4.9494348602022615</v>
      </c>
      <c r="BV131" s="387">
        <f>+IF($K131="Ongoing",AZ131,IF(RIGHT($K131,2)=RIGHT(BV$43,2),SUM($AX131:AZ131),0)+IF(RIGHT(BV$43,2)&gt;RIGHT($K131,2),AZ131,0))</f>
        <v>13.082108501037437</v>
      </c>
      <c r="BW131" s="387">
        <f>+IF($K131="Ongoing",BA131,IF(RIGHT($K131,2)=RIGHT(BW$43,2),SUM($AX131:BA131),0)+IF(RIGHT(BW$43,2)&gt;RIGHT($K131,2),BA131,0))</f>
        <v>5.366851619793759</v>
      </c>
      <c r="BX131" s="1283">
        <f>+IF($K131="Ongoing",BB131,IF(RIGHT($K131,2)=RIGHT(BX$43,2),SUM($AX131:BB131),0)+IF(RIGHT(BX$43,2)&gt;RIGHT($K131,2),BB131,0))</f>
        <v>0</v>
      </c>
      <c r="BY131" s="386">
        <f>+IF($K131="Ongoing",BC131,IF(RIGHT($K131,2)=RIGHT(BY$43,2),SUM($AX131:BC131),0)+IF(RIGHT(BY$43,2)&gt;RIGHT($K131,2),BC131,0))</f>
        <v>4.3114843298025241</v>
      </c>
      <c r="BZ131" s="387">
        <f>+IF($K131="Ongoing",BD131,IF(RIGHT($K131,2)=RIGHT(BZ$43,2),SUM($AX131:BD131),0)+IF(RIGHT(BZ$43,2)&gt;RIGHT($K131,2),BD131,0))</f>
        <v>8.4126523508341933</v>
      </c>
      <c r="CA131" s="1277">
        <f>+IF($K131="Ongoing",BE131,IF(RIGHT($K131,2)=RIGHT(CA$43,2),SUM($AX131:BE131),0)+IF(RIGHT(CA$43,2)&gt;RIGHT($K131,2),BE131,0))</f>
        <v>18.893111186795565</v>
      </c>
      <c r="CB131" s="1277">
        <f>+IF($K131="Ongoing",BF131,IF(RIGHT($K131,2)=RIGHT(CB$43,2),SUM($AX131:BF131),0)+IF(RIGHT(CB$43,2)&gt;RIGHT($K131,2),BF131,0))</f>
        <v>43.990983187964417</v>
      </c>
      <c r="CC131" s="388">
        <f>+IF($K131="Ongoing",BG131,IF(RIGHT($K131,2)=RIGHT(CC$43,2),SUM($AX131:BG131),0)+IF(RIGHT(CC$43,2)&gt;RIGHT($K131,2),BG131,0))</f>
        <v>178.50128009780181</v>
      </c>
      <c r="CD131" s="1025"/>
      <c r="CE131" s="1282">
        <f>+Q131*KeyAssumptionsPriceControl_FO!AF$15</f>
        <v>3.3674875104585369</v>
      </c>
      <c r="CF131" s="387">
        <f>+R131*KeyAssumptionsPriceControl_FO!AG$15</f>
        <v>5.2406645568114225</v>
      </c>
      <c r="CG131" s="387">
        <f>+S131*KeyAssumptionsPriceControl_FO!AH$15</f>
        <v>14.253577159920042</v>
      </c>
      <c r="CH131" s="387">
        <f>+T131*KeyAssumptionsPriceControl_FO!AI$15</f>
        <v>6.0170149054121147</v>
      </c>
      <c r="CI131" s="1283">
        <f>+U131*KeyAssumptionsPriceControl_FO!AJ$15</f>
        <v>0</v>
      </c>
      <c r="CJ131" s="386">
        <f>+V131*KeyAssumptionsPriceControl_FO!AK$15</f>
        <v>5.1182213084647916</v>
      </c>
      <c r="CK131" s="387">
        <f>+W131*KeyAssumptionsPriceControl_FO!AL$15</f>
        <v>10.27638971006882</v>
      </c>
      <c r="CL131" s="1277">
        <f>+X131*KeyAssumptionsPriceControl_FO!AM$15</f>
        <v>23.747969283397957</v>
      </c>
      <c r="CM131" s="1277">
        <f>+Y131*KeyAssumptionsPriceControl_FO!AN$15</f>
        <v>56.898660356844928</v>
      </c>
      <c r="CN131" s="388">
        <f>+Z131*KeyAssumptionsPriceControl_FO!AO$15</f>
        <v>237.57190632609101</v>
      </c>
      <c r="CO131" s="1025"/>
      <c r="CP131" s="1282">
        <f t="shared" ca="1" si="267"/>
        <v>0</v>
      </c>
      <c r="CQ131" s="387">
        <f t="shared" ca="1" si="268"/>
        <v>0</v>
      </c>
      <c r="CR131" s="387">
        <f t="shared" ca="1" si="269"/>
        <v>0</v>
      </c>
      <c r="CS131" s="387">
        <f t="shared" ca="1" si="270"/>
        <v>0</v>
      </c>
      <c r="CT131" s="1283">
        <f t="shared" ca="1" si="271"/>
        <v>0</v>
      </c>
      <c r="CU131" s="386">
        <f t="shared" ca="1" si="272"/>
        <v>0</v>
      </c>
      <c r="CV131" s="387">
        <f t="shared" ca="1" si="273"/>
        <v>0</v>
      </c>
      <c r="CW131" s="1277">
        <f t="shared" ca="1" si="274"/>
        <v>0</v>
      </c>
      <c r="CX131" s="1277">
        <f t="shared" ca="1" si="275"/>
        <v>0</v>
      </c>
      <c r="CY131" s="388">
        <f t="shared" ca="1" si="276"/>
        <v>0</v>
      </c>
      <c r="CZ131" s="347"/>
      <c r="DA131" s="852"/>
      <c r="DB131" s="347"/>
      <c r="DC131" s="1012" t="s">
        <v>630</v>
      </c>
      <c r="DD131" s="841" t="s">
        <v>518</v>
      </c>
      <c r="DE131" s="386">
        <f>+IF($K131="ongoing",CE131,IF(RIGHT($K131,2)=RIGHT(DE$43,2),SUM($CD131:CE131),0)+IF(RIGHT(DE$43,2)&gt;RIGHT($K131,2),CE131,0))</f>
        <v>3.3674875104585369</v>
      </c>
      <c r="DF131" s="387">
        <f>+IF($K131="ongoing",CF131,IF(RIGHT($K131,2)=RIGHT(DF$43,2),SUM($CD131:CF131),0)+IF(RIGHT(DF$43,2)&gt;RIGHT($K131,2),CF131,0))</f>
        <v>5.2406645568114225</v>
      </c>
      <c r="DG131" s="388">
        <f>+IF($K131="ongoing",CG131,IF(RIGHT($K131,2)=RIGHT(DG$43,2),SUM($CD131:CG131),0)+IF(RIGHT(DG$43,2)&gt;RIGHT($K131,2),CG131,0))</f>
        <v>14.253577159920042</v>
      </c>
      <c r="DH131" s="386">
        <f>+IF($K131="ongoing",CH131,IF(RIGHT($K131,2)=RIGHT(DH$43,2),SUM($CD131:CH131),0)+IF(RIGHT(DH$43,2)&gt;RIGHT($K131,2),CH131,0))</f>
        <v>6.0170149054121147</v>
      </c>
      <c r="DI131" s="387">
        <f>+IF($K131="ongoing",CI131,IF(RIGHT($K131,2)=RIGHT(DI$43,2),SUM($CD131:CI131),0)+IF(RIGHT(DI$43,2)&gt;RIGHT($K131,2),CI131,0))</f>
        <v>0</v>
      </c>
      <c r="DJ131" s="387">
        <f>+IF($K131="ongoing",CJ131,IF(RIGHT($K131,2)=RIGHT(DJ$43,2),SUM($CD131:CJ131),0)+IF(RIGHT(DJ$43,2)&gt;RIGHT($K131,2),CJ131,0))</f>
        <v>5.1182213084647916</v>
      </c>
      <c r="DK131" s="387">
        <f>+IF($K131="ongoing",CK131,IF(RIGHT($K131,2)=RIGHT(DK$43,2),SUM($CD131:CK131),0)+IF(RIGHT(DK$43,2)&gt;RIGHT($K131,2),CK131,0))</f>
        <v>10.27638971006882</v>
      </c>
      <c r="DL131" s="388">
        <f>+IF($K131="ongoing",CN131,IF(RIGHT($K131,2)=RIGHT(DL$43,2),SUM($CD131:CN131),0)+IF(RIGHT(DL$43,2)&gt;RIGHT($K131,2),CN131,0))</f>
        <v>237.57190632609101</v>
      </c>
      <c r="DM131" s="841"/>
      <c r="DN131" s="386">
        <f t="shared" si="277"/>
        <v>0.5</v>
      </c>
      <c r="DO131" s="387">
        <f t="shared" si="278"/>
        <v>1</v>
      </c>
      <c r="DP131" s="388">
        <f t="shared" si="279"/>
        <v>1</v>
      </c>
      <c r="DQ131" s="386">
        <f t="shared" si="280"/>
        <v>1</v>
      </c>
      <c r="DR131" s="387">
        <f t="shared" si="281"/>
        <v>1</v>
      </c>
      <c r="DS131" s="387">
        <f t="shared" si="282"/>
        <v>1</v>
      </c>
      <c r="DT131" s="387">
        <f t="shared" si="283"/>
        <v>1</v>
      </c>
      <c r="DU131" s="388">
        <f t="shared" si="284"/>
        <v>1</v>
      </c>
      <c r="DW131" s="386">
        <f t="shared" si="285"/>
        <v>0</v>
      </c>
      <c r="DX131" s="387">
        <f t="shared" si="286"/>
        <v>0.5</v>
      </c>
      <c r="DY131" s="388">
        <f t="shared" si="287"/>
        <v>1</v>
      </c>
      <c r="DZ131" s="386">
        <f t="shared" si="288"/>
        <v>1</v>
      </c>
      <c r="EA131" s="387">
        <f t="shared" si="289"/>
        <v>1</v>
      </c>
      <c r="EB131" s="387">
        <f t="shared" si="290"/>
        <v>1</v>
      </c>
      <c r="EC131" s="387">
        <f t="shared" si="291"/>
        <v>1</v>
      </c>
      <c r="ED131" s="388">
        <f t="shared" si="292"/>
        <v>1</v>
      </c>
      <c r="EF131" s="834">
        <f>+IF(DN131=DM131,0,
IF(AND(EF$44&gt;1,DN131=$N131),1-SUM($EE131:EE131),
IF($N131&lt;=1,
IF($N131&gt;0,1/$N131,0),
IF(EF$44=1,0,VDB(1,0,$N131,INT(EF$44-1-1),MIN($N131,INT(EF$44-1-1)+1),$DC131,IF($DD131="No",1,0))/
IF(DM131&gt;=INT($N131),$N131-INT($N131),1)))*
IF(EF$44=1,0,
IF(INT(DN131)=INT(DM131),DN131-DM131,INT(DN131)-DM131))+
IF($N131&lt;=1,
IF($N131&gt;0,1/$N131,0),VDB(1,0,$N131,INT(EF$44-1),MIN($N131,INT(EF$44-1)+1),$DC131,IF($DD131="No",1,0))/
IF(DN131&gt;INT($N131),$N131-INT($N131),1))*
IF(EF$44=1,DN131,
IF(INT(DN131)=INT(DM131),0,DN131-INT(DN131)))))</f>
        <v>0</v>
      </c>
      <c r="EG131" s="835">
        <f>+IF(DO131=DN131,0,
IF(AND(EG$44&gt;1,DO131=$N131),1-SUM($EE131:EF131),
IF($N131&lt;=1,
IF($N131&gt;0,1/$N131,0),
IF(EG$44=1,0,VDB(1,0,$N131,INT(EG$44-1-1),MIN($N131,INT(EG$44-1-1)+1),$DC131,IF($DD131="No",1,0))/
IF(DN131&gt;=INT($N131),$N131-INT($N131),1)))*
IF(EG$44=1,0,
IF(INT(DO131)=INT(DN131),DO131-DN131,INT(DO131)-DN131))+
IF($N131&lt;=1,
IF($N131&gt;0,1/$N131,0),VDB(1,0,$N131,INT(EG$44-1),MIN($N131,INT(EG$44-1)+1),$DC131,IF($DD131="No",1,0))/
IF(DO131&gt;INT($N131),$N131-INT($N131),1))*
IF(EG$44=1,DO131,
IF(INT(DO131)=INT(DN131),0,DO131-INT(DO131)))))</f>
        <v>0</v>
      </c>
      <c r="EH131" s="836">
        <f>+IF(DP131=DO131,0,
IF(AND(EH$44&gt;1,DP131=$N131),1-SUM($EE131:EG131),
IF($N131&lt;=1,
IF($N131&gt;0,1/$N131,0),
IF(EH$44=1,0,VDB(1,0,$N131,INT(EH$44-1-1),MIN($N131,INT(EH$44-1-1)+1),$DC131,IF($DD131="No",1,0))/
IF(DO131&gt;=INT($N131),$N131-INT($N131),1)))*
IF(EH$44=1,0,
IF(INT(DP131)=INT(DO131),DP131-DO131,INT(DP131)-DO131))+
IF($N131&lt;=1,
IF($N131&gt;0,1/$N131,0),VDB(1,0,$N131,INT(EH$44-1),MIN($N131,INT(EH$44-1)+1),$DC131,IF($DD131="No",1,0))/
IF(DP131&gt;INT($N131),$N131-INT($N131),1))*
IF(EH$44=1,DP131,
IF(INT(DP131)=INT(DO131),0,DP131-INT(DP131)))))</f>
        <v>0</v>
      </c>
      <c r="EI131" s="834">
        <f>+IF(DQ131=DP131,0,
IF(AND(EI$44&gt;1,DQ131=$N131),1-SUM($EE131:EH131),
IF($N131&lt;=1,
IF($N131&gt;0,1/$N131,0),
IF(EI$44=1,0,VDB(1,0,$N131,INT(EI$44-1-1),MIN($N131,INT(EI$44-1-1)+1),$DC131,IF($DD131="No",1,0))/
IF(DP131&gt;=INT($N131),$N131-INT($N131),1)))*
IF(EI$44=1,0,
IF(INT(DQ131)=INT(DP131),DQ131-DP131,INT(DQ131)-DP131))+
IF($N131&lt;=1,
IF($N131&gt;0,1/$N131,0),VDB(1,0,$N131,INT(EI$44-1),MIN($N131,INT(EI$44-1)+1),$DC131,IF($DD131="No",1,0))/
IF(DQ131&gt;INT($N131),$N131-INT($N131),1))*
IF(EI$44=1,DQ131,
IF(INT(DQ131)=INT(DP131),0,DQ131-INT(DQ131)))))</f>
        <v>0</v>
      </c>
      <c r="EJ131" s="835">
        <f>+IF(DR131=DQ131,0,
IF(AND(EJ$44&gt;1,DR131=$N131),1-SUM($EE131:EI131),
IF($N131&lt;=1,
IF($N131&gt;0,1/$N131,0),
IF(EJ$44=1,0,VDB(1,0,$N131,INT(EJ$44-1-1),MIN($N131,INT(EJ$44-1-1)+1),$DC131,IF($DD131="No",1,0))/
IF(DQ131&gt;=INT($N131),$N131-INT($N131),1)))*
IF(EJ$44=1,0,
IF(INT(DR131)=INT(DQ131),DR131-DQ131,INT(DR131)-DQ131))+
IF($N131&lt;=1,
IF($N131&gt;0,1/$N131,0),VDB(1,0,$N131,INT(EJ$44-1),MIN($N131,INT(EJ$44-1)+1),$DC131,IF($DD131="No",1,0))/
IF(DR131&gt;INT($N131),$N131-INT($N131),1))*
IF(EJ$44=1,DR131,
IF(INT(DR131)=INT(DQ131),0,DR131-INT(DR131)))))</f>
        <v>0</v>
      </c>
      <c r="EK131" s="835">
        <f>+IF(DS131=DR131,0,
IF(AND(EK$44&gt;1,DS131=$N131),1-SUM($EE131:EJ131),
IF($N131&lt;=1,
IF($N131&gt;0,1/$N131,0),
IF(EK$44=1,0,VDB(1,0,$N131,INT(EK$44-1-1),MIN($N131,INT(EK$44-1-1)+1),$DC131,IF($DD131="No",1,0))/
IF(DR131&gt;=INT($N131),$N131-INT($N131),1)))*
IF(EK$44=1,0,
IF(INT(DS131)=INT(DR131),DS131-DR131,INT(DS131)-DR131))+
IF($N131&lt;=1,
IF($N131&gt;0,1/$N131,0),VDB(1,0,$N131,INT(EK$44-1),MIN($N131,INT(EK$44-1)+1),$DC131,IF($DD131="No",1,0))/
IF(DS131&gt;INT($N131),$N131-INT($N131),1))*
IF(EK$44=1,DS131,
IF(INT(DS131)=INT(DR131),0,DS131-INT(DS131)))))</f>
        <v>0</v>
      </c>
      <c r="EL131" s="835">
        <f>+IF(DT131=DS131,0,
IF(AND(EL$44&gt;1,DT131=$N131),1-SUM($EE131:EK131),
IF($N131&lt;=1,
IF($N131&gt;0,1/$N131,0),
IF(EL$44=1,0,VDB(1,0,$N131,INT(EL$44-1-1),MIN($N131,INT(EL$44-1-1)+1),$DC131,IF($DD131="No",1,0))/
IF(DS131&gt;=INT($N131),$N131-INT($N131),1)))*
IF(EL$44=1,0,
IF(INT(DT131)=INT(DS131),DT131-DS131,INT(DT131)-DS131))+
IF($N131&lt;=1,
IF($N131&gt;0,1/$N131,0),VDB(1,0,$N131,INT(EL$44-1),MIN($N131,INT(EL$44-1)+1),$DC131,IF($DD131="No",1,0))/
IF(DT131&gt;INT($N131),$N131-INT($N131),1))*
IF(EL$44=1,DT131,
IF(INT(DT131)=INT(DS131),0,DT131-INT(DT131)))))</f>
        <v>0</v>
      </c>
      <c r="EM131" s="836">
        <f>+IF(DU131=DT131,0,
IF(AND(EM$44&gt;1,DU131=$N131),1-SUM($EE131:EL131),
IF($N131&lt;=1,
IF($N131&gt;0,1/$N131,0),
IF(EM$44=1,0,VDB(1,0,$N131,INT(EM$44-1-1),MIN($N131,INT(EM$44-1-1)+1),$DC131,IF($DD131="No",1,0))/
IF(DT131&gt;=INT($N131),$N131-INT($N131),1)))*
IF(EM$44=1,0,
IF(INT(DU131)=INT(DT131),DU131-DT131,INT(DU131)-DT131))+
IF($N131&lt;=1,
IF($N131&gt;0,1/$N131,0),VDB(1,0,$N131,INT(EM$44-1),MIN($N131,INT(EM$44-1)+1),$DC131,IF($DD131="No",1,0))/
IF(DU131&gt;INT($N131),$N131-INT($N131),1))*
IF(EM$44=1,DU131,
IF(INT(DU131)=INT(DT131),0,DU131-INT(DU131)))))</f>
        <v>0</v>
      </c>
      <c r="EN131" s="833"/>
      <c r="EO131" s="834">
        <f>+IF(OR(DW131=DV131,EO$44=1),0,
IF(AND(EO$44&gt;1,DW131=$N131),1-SUM($EN131:EN131),
IF($N131&lt;=1,
IF($N131&gt;0,1/$N131,0),
IF(EO$44=2,0,VDB(1,0,$N131,INT(EO$44-2-1),MIN($N131,INT(EO$44-2-1)+1),$DC131,IF($DD131="No",1,0))/
IF(DV131&gt;=INT($N131),$N131-INT($N131),1)))*
IF(EO$44=2,0,
IF(INT(DW131)=INT(DV131),DW131-DV131,INT(DW131)-DV131))+
IF($N131&lt;=1,
IF($N131&gt;0,1/$N131,0),VDB(1,0,$N131,INT(EO$44-2),MIN($N131,INT(EO$44-2)+1),$DC131,IF($DD131="No",1,0))/
IF(DW131&gt;INT($N131),$N131-INT($N131),1))*
IF(EO$44=2,DW131,
IF(INT(DW131)=INT(DV131),0,DW131-INT(DW131)))))</f>
        <v>0</v>
      </c>
      <c r="EP131" s="835">
        <f>+IF(OR(DX131=DW131,EP$44=1),0,
IF(AND(EP$44&gt;1,DX131=$N131),1-SUM($EN131:EO131),
IF($N131&lt;=1,
IF($N131&gt;0,1/$N131,0),
IF(EP$44=2,0,VDB(1,0,$N131,INT(EP$44-2-1),MIN($N131,INT(EP$44-2-1)+1),$DC131,IF($DD131="No",1,0))/
IF(DW131&gt;=INT($N131),$N131-INT($N131),1)))*
IF(EP$44=2,0,
IF(INT(DX131)=INT(DW131),DX131-DW131,INT(DX131)-DW131))+
IF($N131&lt;=1,
IF($N131&gt;0,1/$N131,0),VDB(1,0,$N131,INT(EP$44-2),MIN($N131,INT(EP$44-2)+1),$DC131,IF($DD131="No",1,0))/
IF(DX131&gt;INT($N131),$N131-INT($N131),1))*
IF(EP$44=2,DX131,
IF(INT(DX131)=INT(DW131),0,DX131-INT(DX131)))))</f>
        <v>0</v>
      </c>
      <c r="EQ131" s="836">
        <f>+IF(OR(DY131=DX131,EQ$44=1),0,
IF(AND(EQ$44&gt;1,DY131=$N131),1-SUM($EN131:EP131),
IF($N131&lt;=1,
IF($N131&gt;0,1/$N131,0),
IF(EQ$44=2,0,VDB(1,0,$N131,INT(EQ$44-2-1),MIN($N131,INT(EQ$44-2-1)+1),$DC131,IF($DD131="No",1,0))/
IF(DX131&gt;=INT($N131),$N131-INT($N131),1)))*
IF(EQ$44=2,0,
IF(INT(DY131)=INT(DX131),DY131-DX131,INT(DY131)-DX131))+
IF($N131&lt;=1,
IF($N131&gt;0,1/$N131,0),VDB(1,0,$N131,INT(EQ$44-2),MIN($N131,INT(EQ$44-2)+1),$DC131,IF($DD131="No",1,0))/
IF(DY131&gt;INT($N131),$N131-INT($N131),1))*
IF(EQ$44=2,DY131,
IF(INT(DY131)=INT(DX131),0,DY131-INT(DY131)))))</f>
        <v>0</v>
      </c>
      <c r="ER131" s="834">
        <f>+IF(OR(DZ131=DY131,ER$44=1),0,
IF(AND(ER$44&gt;1,DZ131=$N131),1-SUM($EN131:EQ131),
IF($N131&lt;=1,
IF($N131&gt;0,1/$N131,0),
IF(ER$44=2,0,VDB(1,0,$N131,INT(ER$44-2-1),MIN($N131,INT(ER$44-2-1)+1),$DC131,IF($DD131="No",1,0))/
IF(DY131&gt;=INT($N131),$N131-INT($N131),1)))*
IF(ER$44=2,0,
IF(INT(DZ131)=INT(DY131),DZ131-DY131,INT(DZ131)-DY131))+
IF($N131&lt;=1,
IF($N131&gt;0,1/$N131,0),VDB(1,0,$N131,INT(ER$44-2),MIN($N131,INT(ER$44-2)+1),$DC131,IF($DD131="No",1,0))/
IF(DZ131&gt;INT($N131),$N131-INT($N131),1))*
IF(ER$44=2,DZ131,
IF(INT(DZ131)=INT(DY131),0,DZ131-INT(DZ131)))))</f>
        <v>0</v>
      </c>
      <c r="ES131" s="835">
        <f>+IF(OR(EA131=DZ131,ES$44=1),0,
IF(AND(ES$44&gt;1,EA131=$N131),1-SUM($EN131:ER131),
IF($N131&lt;=1,
IF($N131&gt;0,1/$N131,0),
IF(ES$44=2,0,VDB(1,0,$N131,INT(ES$44-2-1),MIN($N131,INT(ES$44-2-1)+1),$DC131,IF($DD131="No",1,0))/
IF(DZ131&gt;=INT($N131),$N131-INT($N131),1)))*
IF(ES$44=2,0,
IF(INT(EA131)=INT(DZ131),EA131-DZ131,INT(EA131)-DZ131))+
IF($N131&lt;=1,
IF($N131&gt;0,1/$N131,0),VDB(1,0,$N131,INT(ES$44-2),MIN($N131,INT(ES$44-2)+1),$DC131,IF($DD131="No",1,0))/
IF(EA131&gt;INT($N131),$N131-INT($N131),1))*
IF(ES$44=2,EA131,
IF(INT(EA131)=INT(DZ131),0,EA131-INT(EA131)))))</f>
        <v>0</v>
      </c>
      <c r="ET131" s="835">
        <f>+IF(OR(EB131=EA131,ET$44=1),0,
IF(AND(ET$44&gt;1,EB131=$N131),1-SUM($EN131:ES131),
IF($N131&lt;=1,
IF($N131&gt;0,1/$N131,0),
IF(ET$44=2,0,VDB(1,0,$N131,INT(ET$44-2-1),MIN($N131,INT(ET$44-2-1)+1),$DC131,IF($DD131="No",1,0))/
IF(EA131&gt;=INT($N131),$N131-INT($N131),1)))*
IF(ET$44=2,0,
IF(INT(EB131)=INT(EA131),EB131-EA131,INT(EB131)-EA131))+
IF($N131&lt;=1,
IF($N131&gt;0,1/$N131,0),VDB(1,0,$N131,INT(ET$44-2),MIN($N131,INT(ET$44-2)+1),$DC131,IF($DD131="No",1,0))/
IF(EB131&gt;INT($N131),$N131-INT($N131),1))*
IF(ET$44=2,EB131,
IF(INT(EB131)=INT(EA131),0,EB131-INT(EB131)))))</f>
        <v>0</v>
      </c>
      <c r="EU131" s="835">
        <f>+IF(OR(EC131=EB131,EU$44=1),0,
IF(AND(EU$44&gt;1,EC131=$N131),1-SUM($EN131:ET131),
IF($N131&lt;=1,
IF($N131&gt;0,1/$N131,0),
IF(EU$44=2,0,VDB(1,0,$N131,INT(EU$44-2-1),MIN($N131,INT(EU$44-2-1)+1),$DC131,IF($DD131="No",1,0))/
IF(EB131&gt;=INT($N131),$N131-INT($N131),1)))*
IF(EU$44=2,0,
IF(INT(EC131)=INT(EB131),EC131-EB131,INT(EC131)-EB131))+
IF($N131&lt;=1,
IF($N131&gt;0,1/$N131,0),VDB(1,0,$N131,INT(EU$44-2),MIN($N131,INT(EU$44-2)+1),$DC131,IF($DD131="No",1,0))/
IF(EC131&gt;INT($N131),$N131-INT($N131),1))*
IF(EU$44=2,EC131,
IF(INT(EC131)=INT(EB131),0,EC131-INT(EC131)))))</f>
        <v>0</v>
      </c>
      <c r="EV131" s="836">
        <f>+IF(OR(ED131=EC131,EV$44=1),0,
IF(AND(EV$44&gt;1,ED131=$N131),1-SUM($EN131:EU131),
IF($N131&lt;=1,
IF($N131&gt;0,1/$N131,0),
IF(EV$44=2,0,VDB(1,0,$N131,INT(EV$44-2-1),MIN($N131,INT(EV$44-2-1)+1),$DC131,IF($DD131="No",1,0))/
IF(EC131&gt;=INT($N131),$N131-INT($N131),1)))*
IF(EV$44=2,0,
IF(INT(ED131)=INT(EC131),ED131-EC131,INT(ED131)-EC131))+
IF($N131&lt;=1,
IF($N131&gt;0,1/$N131,0),VDB(1,0,$N131,INT(EV$44-2),MIN($N131,INT(EV$44-2)+1),$DC131,IF($DD131="No",1,0))/
IF(ED131&gt;INT($N131),$N131-INT($N131),1))*
IF(EV$44=2,ED131,
IF(INT(ED131)=INT(EC131),0,ED131-INT(ED131)))))</f>
        <v>0</v>
      </c>
      <c r="EW131" s="833"/>
      <c r="EX131" s="834">
        <f t="shared" ca="1" si="301"/>
        <v>0</v>
      </c>
      <c r="EY131" s="835">
        <f t="shared" ca="1" si="301"/>
        <v>0</v>
      </c>
      <c r="EZ131" s="836">
        <f t="shared" ca="1" si="301"/>
        <v>0</v>
      </c>
      <c r="FA131" s="834">
        <f t="shared" ca="1" si="301"/>
        <v>0</v>
      </c>
      <c r="FB131" s="835">
        <f t="shared" ca="1" si="301"/>
        <v>0</v>
      </c>
      <c r="FC131" s="835">
        <f t="shared" ca="1" si="301"/>
        <v>0</v>
      </c>
      <c r="FD131" s="835">
        <f t="shared" ca="1" si="301"/>
        <v>0</v>
      </c>
      <c r="FE131" s="836">
        <f t="shared" ca="1" si="301"/>
        <v>0</v>
      </c>
      <c r="FG131" s="386">
        <f t="shared" ca="1" si="293"/>
        <v>0</v>
      </c>
      <c r="FH131" s="387">
        <f t="shared" ca="1" si="294"/>
        <v>0</v>
      </c>
      <c r="FI131" s="388">
        <f t="shared" ca="1" si="295"/>
        <v>0</v>
      </c>
      <c r="FJ131" s="386">
        <f t="shared" ca="1" si="296"/>
        <v>0</v>
      </c>
      <c r="FK131" s="387">
        <f t="shared" ca="1" si="297"/>
        <v>0</v>
      </c>
      <c r="FL131" s="387">
        <f t="shared" ca="1" si="298"/>
        <v>0</v>
      </c>
      <c r="FM131" s="387">
        <f t="shared" ca="1" si="299"/>
        <v>0</v>
      </c>
      <c r="FN131" s="388">
        <f t="shared" ca="1" si="300"/>
        <v>0</v>
      </c>
      <c r="FR131" s="116"/>
    </row>
    <row r="132" spans="2:174">
      <c r="B132" s="1410">
        <f t="shared" si="302"/>
        <v>86</v>
      </c>
      <c r="C132" s="400" t="s">
        <v>629</v>
      </c>
      <c r="D132" s="410"/>
      <c r="E132" s="402" t="s">
        <v>402</v>
      </c>
      <c r="F132" s="402" t="s">
        <v>514</v>
      </c>
      <c r="G132" s="400" t="s">
        <v>522</v>
      </c>
      <c r="H132" s="2088" t="s">
        <v>483</v>
      </c>
      <c r="I132" s="2089"/>
      <c r="J132" s="411" t="s">
        <v>516</v>
      </c>
      <c r="K132" s="403" t="s">
        <v>544</v>
      </c>
      <c r="L132" s="403">
        <v>50</v>
      </c>
      <c r="M132" s="403" t="s">
        <v>142</v>
      </c>
      <c r="N132" s="403"/>
      <c r="O132" s="347"/>
      <c r="P132" s="347"/>
      <c r="Q132" s="1021">
        <v>1.7336585365853661</v>
      </c>
      <c r="R132" s="1022">
        <v>0.12373587150505654</v>
      </c>
      <c r="S132" s="1022">
        <v>7.2430754051740417E-2</v>
      </c>
      <c r="T132" s="1022">
        <v>0</v>
      </c>
      <c r="U132" s="1023">
        <v>0</v>
      </c>
      <c r="V132" s="1021">
        <v>0</v>
      </c>
      <c r="W132" s="1022">
        <v>0</v>
      </c>
      <c r="X132" s="1022">
        <v>0</v>
      </c>
      <c r="Y132" s="1022">
        <v>0</v>
      </c>
      <c r="Z132" s="1023">
        <v>0</v>
      </c>
      <c r="AA132" s="1024"/>
      <c r="AB132" s="1021">
        <v>0</v>
      </c>
      <c r="AC132" s="1022">
        <v>0</v>
      </c>
      <c r="AD132" s="1022">
        <v>0</v>
      </c>
      <c r="AE132" s="1022">
        <v>0</v>
      </c>
      <c r="AF132" s="1023">
        <v>0</v>
      </c>
      <c r="AG132" s="1021">
        <v>0</v>
      </c>
      <c r="AH132" s="1022">
        <v>0</v>
      </c>
      <c r="AI132" s="1022">
        <v>0</v>
      </c>
      <c r="AJ132" s="1022">
        <v>0</v>
      </c>
      <c r="AK132" s="1023">
        <v>0</v>
      </c>
      <c r="AL132" s="1024"/>
      <c r="AM132" s="1021">
        <v>0</v>
      </c>
      <c r="AN132" s="1022">
        <v>0</v>
      </c>
      <c r="AO132" s="1022">
        <v>0</v>
      </c>
      <c r="AP132" s="1022">
        <v>0</v>
      </c>
      <c r="AQ132" s="1023">
        <v>0</v>
      </c>
      <c r="AR132" s="1021">
        <v>0</v>
      </c>
      <c r="AS132" s="1022">
        <v>0</v>
      </c>
      <c r="AT132" s="1022">
        <v>0</v>
      </c>
      <c r="AU132" s="1022">
        <v>0</v>
      </c>
      <c r="AV132" s="1023">
        <v>0</v>
      </c>
      <c r="AW132" s="1025"/>
      <c r="AX132" s="1282">
        <f t="shared" si="247"/>
        <v>1.7336585365853661</v>
      </c>
      <c r="AY132" s="387">
        <f t="shared" si="248"/>
        <v>0.12373587150505654</v>
      </c>
      <c r="AZ132" s="387">
        <f t="shared" si="249"/>
        <v>7.2430754051740417E-2</v>
      </c>
      <c r="BA132" s="387">
        <f t="shared" si="250"/>
        <v>0</v>
      </c>
      <c r="BB132" s="1283">
        <f t="shared" si="251"/>
        <v>0</v>
      </c>
      <c r="BC132" s="386">
        <f t="shared" si="252"/>
        <v>0</v>
      </c>
      <c r="BD132" s="387">
        <f t="shared" si="253"/>
        <v>0</v>
      </c>
      <c r="BE132" s="1277">
        <f t="shared" si="254"/>
        <v>0</v>
      </c>
      <c r="BF132" s="1277">
        <f t="shared" si="255"/>
        <v>0</v>
      </c>
      <c r="BG132" s="388">
        <f t="shared" si="256"/>
        <v>0</v>
      </c>
      <c r="BH132" s="1025"/>
      <c r="BI132" s="1282">
        <f t="shared" ca="1" si="257"/>
        <v>1.7336585365853661E-2</v>
      </c>
      <c r="BJ132" s="387">
        <f t="shared" ca="1" si="258"/>
        <v>3.5910529446757891E-2</v>
      </c>
      <c r="BK132" s="387">
        <f t="shared" ca="1" si="259"/>
        <v>3.7872195702325855E-2</v>
      </c>
      <c r="BL132" s="387">
        <f t="shared" ca="1" si="260"/>
        <v>3.8596503242843257E-2</v>
      </c>
      <c r="BM132" s="1283">
        <f t="shared" ca="1" si="261"/>
        <v>3.8596503242843257E-2</v>
      </c>
      <c r="BN132" s="386">
        <f t="shared" ca="1" si="262"/>
        <v>3.8596503242843257E-2</v>
      </c>
      <c r="BO132" s="387">
        <f t="shared" ca="1" si="263"/>
        <v>3.8596503242843257E-2</v>
      </c>
      <c r="BP132" s="1277">
        <f t="shared" ca="1" si="264"/>
        <v>3.8596503242843257E-2</v>
      </c>
      <c r="BQ132" s="1277">
        <f t="shared" ca="1" si="265"/>
        <v>3.8596503242843257E-2</v>
      </c>
      <c r="BR132" s="388">
        <f t="shared" ca="1" si="266"/>
        <v>3.8596503242843257E-2</v>
      </c>
      <c r="BS132" s="1025"/>
      <c r="BT132" s="1282">
        <f>+IF($K132="Ongoing",AX132,IF(RIGHT($K132,2)=RIGHT(BT$43,2),SUM($AX132:AX132),0)+IF(RIGHT(BT$43,2)&gt;RIGHT($K132,2),AX132,0))</f>
        <v>1.7336585365853661</v>
      </c>
      <c r="BU132" s="387">
        <f>+IF($K132="Ongoing",AY132,IF(RIGHT($K132,2)=RIGHT(BU$43,2),SUM($AX132:AY132),0)+IF(RIGHT(BU$43,2)&gt;RIGHT($K132,2),AY132,0))</f>
        <v>0.12373587150505654</v>
      </c>
      <c r="BV132" s="387">
        <f>+IF($K132="Ongoing",AZ132,IF(RIGHT($K132,2)=RIGHT(BV$43,2),SUM($AX132:AZ132),0)+IF(RIGHT(BV$43,2)&gt;RIGHT($K132,2),AZ132,0))</f>
        <v>7.2430754051740417E-2</v>
      </c>
      <c r="BW132" s="387">
        <f>+IF($K132="Ongoing",BA132,IF(RIGHT($K132,2)=RIGHT(BW$43,2),SUM($AX132:BA132),0)+IF(RIGHT(BW$43,2)&gt;RIGHT($K132,2),BA132,0))</f>
        <v>0</v>
      </c>
      <c r="BX132" s="1283">
        <f>+IF($K132="Ongoing",BB132,IF(RIGHT($K132,2)=RIGHT(BX$43,2),SUM($AX132:BB132),0)+IF(RIGHT(BX$43,2)&gt;RIGHT($K132,2),BB132,0))</f>
        <v>0</v>
      </c>
      <c r="BY132" s="386">
        <f>+IF($K132="Ongoing",BC132,IF(RIGHT($K132,2)=RIGHT(BY$43,2),SUM($AX132:BC132),0)+IF(RIGHT(BY$43,2)&gt;RIGHT($K132,2),BC132,0))</f>
        <v>0</v>
      </c>
      <c r="BZ132" s="387">
        <f>+IF($K132="Ongoing",BD132,IF(RIGHT($K132,2)=RIGHT(BZ$43,2),SUM($AX132:BD132),0)+IF(RIGHT(BZ$43,2)&gt;RIGHT($K132,2),BD132,0))</f>
        <v>0</v>
      </c>
      <c r="CA132" s="1277">
        <f>+IF($K132="Ongoing",BE132,IF(RIGHT($K132,2)=RIGHT(CA$43,2),SUM($AX132:BE132),0)+IF(RIGHT(CA$43,2)&gt;RIGHT($K132,2),BE132,0))</f>
        <v>0</v>
      </c>
      <c r="CB132" s="1277">
        <f>+IF($K132="Ongoing",BF132,IF(RIGHT($K132,2)=RIGHT(CB$43,2),SUM($AX132:BF132),0)+IF(RIGHT(CB$43,2)&gt;RIGHT($K132,2),BF132,0))</f>
        <v>0</v>
      </c>
      <c r="CC132" s="388">
        <f>+IF($K132="Ongoing",BG132,IF(RIGHT($K132,2)=RIGHT(CC$43,2),SUM($AX132:BG132),0)+IF(RIGHT(CC$43,2)&gt;RIGHT($K132,2),BG132,0))</f>
        <v>0</v>
      </c>
      <c r="CD132" s="1025"/>
      <c r="CE132" s="1282">
        <f>+Q132*KeyAssumptionsPriceControl_FO!AF$15</f>
        <v>1.7839346341463416</v>
      </c>
      <c r="CF132" s="387">
        <f>+R132*KeyAssumptionsPriceControl_FO!AG$15</f>
        <v>0.13101661392028555</v>
      </c>
      <c r="CG132" s="387">
        <f>+S132*KeyAssumptionsPriceControl_FO!AH$15</f>
        <v>7.8916738960374933E-2</v>
      </c>
      <c r="CH132" s="387">
        <f>+T132*KeyAssumptionsPriceControl_FO!AI$15</f>
        <v>0</v>
      </c>
      <c r="CI132" s="1283">
        <f>+U132*KeyAssumptionsPriceControl_FO!AJ$15</f>
        <v>0</v>
      </c>
      <c r="CJ132" s="386">
        <f>+V132*KeyAssumptionsPriceControl_FO!AK$15</f>
        <v>0</v>
      </c>
      <c r="CK132" s="387">
        <f>+W132*KeyAssumptionsPriceControl_FO!AL$15</f>
        <v>0</v>
      </c>
      <c r="CL132" s="1277">
        <f>+X132*KeyAssumptionsPriceControl_FO!AM$15</f>
        <v>0</v>
      </c>
      <c r="CM132" s="1277">
        <f>+Y132*KeyAssumptionsPriceControl_FO!AN$15</f>
        <v>0</v>
      </c>
      <c r="CN132" s="388">
        <f>+Z132*KeyAssumptionsPriceControl_FO!AO$15</f>
        <v>0</v>
      </c>
      <c r="CO132" s="1025"/>
      <c r="CP132" s="1282">
        <f t="shared" ca="1" si="267"/>
        <v>0</v>
      </c>
      <c r="CQ132" s="387">
        <f t="shared" ca="1" si="268"/>
        <v>0</v>
      </c>
      <c r="CR132" s="387">
        <f t="shared" ca="1" si="269"/>
        <v>0</v>
      </c>
      <c r="CS132" s="387">
        <f t="shared" ca="1" si="270"/>
        <v>0</v>
      </c>
      <c r="CT132" s="1283">
        <f t="shared" ca="1" si="271"/>
        <v>0</v>
      </c>
      <c r="CU132" s="386">
        <f t="shared" ca="1" si="272"/>
        <v>0</v>
      </c>
      <c r="CV132" s="387">
        <f t="shared" ca="1" si="273"/>
        <v>0</v>
      </c>
      <c r="CW132" s="1277">
        <f t="shared" ca="1" si="274"/>
        <v>0</v>
      </c>
      <c r="CX132" s="1277">
        <f t="shared" ca="1" si="275"/>
        <v>0</v>
      </c>
      <c r="CY132" s="388">
        <f t="shared" ca="1" si="276"/>
        <v>0</v>
      </c>
      <c r="CZ132" s="347"/>
      <c r="DA132" s="852"/>
      <c r="DB132" s="347"/>
      <c r="DC132" s="1012" t="s">
        <v>631</v>
      </c>
      <c r="DD132" s="841" t="s">
        <v>518</v>
      </c>
      <c r="DE132" s="386">
        <f>+IF($K132="ongoing",CE132,IF(RIGHT($K132,2)=RIGHT(DE$43,2),SUM($CD132:CE132),0)+IF(RIGHT(DE$43,2)&gt;RIGHT($K132,2),CE132,0))</f>
        <v>1.7839346341463416</v>
      </c>
      <c r="DF132" s="387">
        <f>+IF($K132="ongoing",CF132,IF(RIGHT($K132,2)=RIGHT(DF$43,2),SUM($CD132:CF132),0)+IF(RIGHT(DF$43,2)&gt;RIGHT($K132,2),CF132,0))</f>
        <v>0.13101661392028555</v>
      </c>
      <c r="DG132" s="388">
        <f>+IF($K132="ongoing",CG132,IF(RIGHT($K132,2)=RIGHT(DG$43,2),SUM($CD132:CG132),0)+IF(RIGHT(DG$43,2)&gt;RIGHT($K132,2),CG132,0))</f>
        <v>7.8916738960374933E-2</v>
      </c>
      <c r="DH132" s="386">
        <f>+IF($K132="ongoing",CH132,IF(RIGHT($K132,2)=RIGHT(DH$43,2),SUM($CD132:CH132),0)+IF(RIGHT(DH$43,2)&gt;RIGHT($K132,2),CH132,0))</f>
        <v>0</v>
      </c>
      <c r="DI132" s="387">
        <f>+IF($K132="ongoing",CI132,IF(RIGHT($K132,2)=RIGHT(DI$43,2),SUM($CD132:CI132),0)+IF(RIGHT(DI$43,2)&gt;RIGHT($K132,2),CI132,0))</f>
        <v>0</v>
      </c>
      <c r="DJ132" s="387">
        <f>+IF($K132="ongoing",CJ132,IF(RIGHT($K132,2)=RIGHT(DJ$43,2),SUM($CD132:CJ132),0)+IF(RIGHT(DJ$43,2)&gt;RIGHT($K132,2),CJ132,0))</f>
        <v>0</v>
      </c>
      <c r="DK132" s="387">
        <f>+IF($K132="ongoing",CK132,IF(RIGHT($K132,2)=RIGHT(DK$43,2),SUM($CD132:CK132),0)+IF(RIGHT(DK$43,2)&gt;RIGHT($K132,2),CK132,0))</f>
        <v>0</v>
      </c>
      <c r="DL132" s="388">
        <f>+IF($K132="ongoing",CN132,IF(RIGHT($K132,2)=RIGHT(DL$43,2),SUM($CD132:CN132),0)+IF(RIGHT(DL$43,2)&gt;RIGHT($K132,2),CN132,0))</f>
        <v>0</v>
      </c>
      <c r="DM132" s="841"/>
      <c r="DN132" s="386">
        <f t="shared" si="277"/>
        <v>0.5</v>
      </c>
      <c r="DO132" s="387">
        <f t="shared" si="278"/>
        <v>1</v>
      </c>
      <c r="DP132" s="388">
        <f t="shared" si="279"/>
        <v>1</v>
      </c>
      <c r="DQ132" s="386">
        <f t="shared" si="280"/>
        <v>1</v>
      </c>
      <c r="DR132" s="387">
        <f t="shared" si="281"/>
        <v>1</v>
      </c>
      <c r="DS132" s="387">
        <f t="shared" si="282"/>
        <v>1</v>
      </c>
      <c r="DT132" s="387">
        <f t="shared" si="283"/>
        <v>1</v>
      </c>
      <c r="DU132" s="388">
        <f t="shared" si="284"/>
        <v>1</v>
      </c>
      <c r="DW132" s="386">
        <f t="shared" si="285"/>
        <v>0</v>
      </c>
      <c r="DX132" s="387">
        <f t="shared" si="286"/>
        <v>0.5</v>
      </c>
      <c r="DY132" s="388">
        <f t="shared" si="287"/>
        <v>1</v>
      </c>
      <c r="DZ132" s="386">
        <f t="shared" si="288"/>
        <v>1</v>
      </c>
      <c r="EA132" s="387">
        <f t="shared" si="289"/>
        <v>1</v>
      </c>
      <c r="EB132" s="387">
        <f t="shared" si="290"/>
        <v>1</v>
      </c>
      <c r="EC132" s="387">
        <f t="shared" si="291"/>
        <v>1</v>
      </c>
      <c r="ED132" s="388">
        <f t="shared" si="292"/>
        <v>1</v>
      </c>
      <c r="EF132" s="834">
        <f>+IF(DN132=DM132,0,
IF(AND(EF$44&gt;1,DN132=$N132),1-SUM($EE132:EE132),
IF($N132&lt;=1,
IF($N132&gt;0,1/$N132,0),
IF(EF$44=1,0,VDB(1,0,$N132,INT(EF$44-1-1),MIN($N132,INT(EF$44-1-1)+1),$DC132,IF($DD132="No",1,0))/
IF(DM132&gt;=INT($N132),$N132-INT($N132),1)))*
IF(EF$44=1,0,
IF(INT(DN132)=INT(DM132),DN132-DM132,INT(DN132)-DM132))+
IF($N132&lt;=1,
IF($N132&gt;0,1/$N132,0),VDB(1,0,$N132,INT(EF$44-1),MIN($N132,INT(EF$44-1)+1),$DC132,IF($DD132="No",1,0))/
IF(DN132&gt;INT($N132),$N132-INT($N132),1))*
IF(EF$44=1,DN132,
IF(INT(DN132)=INT(DM132),0,DN132-INT(DN132)))))</f>
        <v>0</v>
      </c>
      <c r="EG132" s="835">
        <f>+IF(DO132=DN132,0,
IF(AND(EG$44&gt;1,DO132=$N132),1-SUM($EE132:EF132),
IF($N132&lt;=1,
IF($N132&gt;0,1/$N132,0),
IF(EG$44=1,0,VDB(1,0,$N132,INT(EG$44-1-1),MIN($N132,INT(EG$44-1-1)+1),$DC132,IF($DD132="No",1,0))/
IF(DN132&gt;=INT($N132),$N132-INT($N132),1)))*
IF(EG$44=1,0,
IF(INT(DO132)=INT(DN132),DO132-DN132,INT(DO132)-DN132))+
IF($N132&lt;=1,
IF($N132&gt;0,1/$N132,0),VDB(1,0,$N132,INT(EG$44-1),MIN($N132,INT(EG$44-1)+1),$DC132,IF($DD132="No",1,0))/
IF(DO132&gt;INT($N132),$N132-INT($N132),1))*
IF(EG$44=1,DO132,
IF(INT(DO132)=INT(DN132),0,DO132-INT(DO132)))))</f>
        <v>0</v>
      </c>
      <c r="EH132" s="836">
        <f>+IF(DP132=DO132,0,
IF(AND(EH$44&gt;1,DP132=$N132),1-SUM($EE132:EG132),
IF($N132&lt;=1,
IF($N132&gt;0,1/$N132,0),
IF(EH$44=1,0,VDB(1,0,$N132,INT(EH$44-1-1),MIN($N132,INT(EH$44-1-1)+1),$DC132,IF($DD132="No",1,0))/
IF(DO132&gt;=INT($N132),$N132-INT($N132),1)))*
IF(EH$44=1,0,
IF(INT(DP132)=INT(DO132),DP132-DO132,INT(DP132)-DO132))+
IF($N132&lt;=1,
IF($N132&gt;0,1/$N132,0),VDB(1,0,$N132,INT(EH$44-1),MIN($N132,INT(EH$44-1)+1),$DC132,IF($DD132="No",1,0))/
IF(DP132&gt;INT($N132),$N132-INT($N132),1))*
IF(EH$44=1,DP132,
IF(INT(DP132)=INT(DO132),0,DP132-INT(DP132)))))</f>
        <v>0</v>
      </c>
      <c r="EI132" s="834">
        <f>+IF(DQ132=DP132,0,
IF(AND(EI$44&gt;1,DQ132=$N132),1-SUM($EE132:EH132),
IF($N132&lt;=1,
IF($N132&gt;0,1/$N132,0),
IF(EI$44=1,0,VDB(1,0,$N132,INT(EI$44-1-1),MIN($N132,INT(EI$44-1-1)+1),$DC132,IF($DD132="No",1,0))/
IF(DP132&gt;=INT($N132),$N132-INT($N132),1)))*
IF(EI$44=1,0,
IF(INT(DQ132)=INT(DP132),DQ132-DP132,INT(DQ132)-DP132))+
IF($N132&lt;=1,
IF($N132&gt;0,1/$N132,0),VDB(1,0,$N132,INT(EI$44-1),MIN($N132,INT(EI$44-1)+1),$DC132,IF($DD132="No",1,0))/
IF(DQ132&gt;INT($N132),$N132-INT($N132),1))*
IF(EI$44=1,DQ132,
IF(INT(DQ132)=INT(DP132),0,DQ132-INT(DQ132)))))</f>
        <v>0</v>
      </c>
      <c r="EJ132" s="835">
        <f>+IF(DR132=DQ132,0,
IF(AND(EJ$44&gt;1,DR132=$N132),1-SUM($EE132:EI132),
IF($N132&lt;=1,
IF($N132&gt;0,1/$N132,0),
IF(EJ$44=1,0,VDB(1,0,$N132,INT(EJ$44-1-1),MIN($N132,INT(EJ$44-1-1)+1),$DC132,IF($DD132="No",1,0))/
IF(DQ132&gt;=INT($N132),$N132-INT($N132),1)))*
IF(EJ$44=1,0,
IF(INT(DR132)=INT(DQ132),DR132-DQ132,INT(DR132)-DQ132))+
IF($N132&lt;=1,
IF($N132&gt;0,1/$N132,0),VDB(1,0,$N132,INT(EJ$44-1),MIN($N132,INT(EJ$44-1)+1),$DC132,IF($DD132="No",1,0))/
IF(DR132&gt;INT($N132),$N132-INT($N132),1))*
IF(EJ$44=1,DR132,
IF(INT(DR132)=INT(DQ132),0,DR132-INT(DR132)))))</f>
        <v>0</v>
      </c>
      <c r="EK132" s="835">
        <f>+IF(DS132=DR132,0,
IF(AND(EK$44&gt;1,DS132=$N132),1-SUM($EE132:EJ132),
IF($N132&lt;=1,
IF($N132&gt;0,1/$N132,0),
IF(EK$44=1,0,VDB(1,0,$N132,INT(EK$44-1-1),MIN($N132,INT(EK$44-1-1)+1),$DC132,IF($DD132="No",1,0))/
IF(DR132&gt;=INT($N132),$N132-INT($N132),1)))*
IF(EK$44=1,0,
IF(INT(DS132)=INT(DR132),DS132-DR132,INT(DS132)-DR132))+
IF($N132&lt;=1,
IF($N132&gt;0,1/$N132,0),VDB(1,0,$N132,INT(EK$44-1),MIN($N132,INT(EK$44-1)+1),$DC132,IF($DD132="No",1,0))/
IF(DS132&gt;INT($N132),$N132-INT($N132),1))*
IF(EK$44=1,DS132,
IF(INT(DS132)=INT(DR132),0,DS132-INT(DS132)))))</f>
        <v>0</v>
      </c>
      <c r="EL132" s="835">
        <f>+IF(DT132=DS132,0,
IF(AND(EL$44&gt;1,DT132=$N132),1-SUM($EE132:EK132),
IF($N132&lt;=1,
IF($N132&gt;0,1/$N132,0),
IF(EL$44=1,0,VDB(1,0,$N132,INT(EL$44-1-1),MIN($N132,INT(EL$44-1-1)+1),$DC132,IF($DD132="No",1,0))/
IF(DS132&gt;=INT($N132),$N132-INT($N132),1)))*
IF(EL$44=1,0,
IF(INT(DT132)=INT(DS132),DT132-DS132,INT(DT132)-DS132))+
IF($N132&lt;=1,
IF($N132&gt;0,1/$N132,0),VDB(1,0,$N132,INT(EL$44-1),MIN($N132,INT(EL$44-1)+1),$DC132,IF($DD132="No",1,0))/
IF(DT132&gt;INT($N132),$N132-INT($N132),1))*
IF(EL$44=1,DT132,
IF(INT(DT132)=INT(DS132),0,DT132-INT(DT132)))))</f>
        <v>0</v>
      </c>
      <c r="EM132" s="836">
        <f>+IF(DU132=DT132,0,
IF(AND(EM$44&gt;1,DU132=$N132),1-SUM($EE132:EL132),
IF($N132&lt;=1,
IF($N132&gt;0,1/$N132,0),
IF(EM$44=1,0,VDB(1,0,$N132,INT(EM$44-1-1),MIN($N132,INT(EM$44-1-1)+1),$DC132,IF($DD132="No",1,0))/
IF(DT132&gt;=INT($N132),$N132-INT($N132),1)))*
IF(EM$44=1,0,
IF(INT(DU132)=INT(DT132),DU132-DT132,INT(DU132)-DT132))+
IF($N132&lt;=1,
IF($N132&gt;0,1/$N132,0),VDB(1,0,$N132,INT(EM$44-1),MIN($N132,INT(EM$44-1)+1),$DC132,IF($DD132="No",1,0))/
IF(DU132&gt;INT($N132),$N132-INT($N132),1))*
IF(EM$44=1,DU132,
IF(INT(DU132)=INT(DT132),0,DU132-INT(DU132)))))</f>
        <v>0</v>
      </c>
      <c r="EN132" s="833"/>
      <c r="EO132" s="834">
        <f>+IF(OR(DW132=DV132,EO$44=1),0,
IF(AND(EO$44&gt;1,DW132=$N132),1-SUM($EN132:EN132),
IF($N132&lt;=1,
IF($N132&gt;0,1/$N132,0),
IF(EO$44=2,0,VDB(1,0,$N132,INT(EO$44-2-1),MIN($N132,INT(EO$44-2-1)+1),$DC132,IF($DD132="No",1,0))/
IF(DV132&gt;=INT($N132),$N132-INT($N132),1)))*
IF(EO$44=2,0,
IF(INT(DW132)=INT(DV132),DW132-DV132,INT(DW132)-DV132))+
IF($N132&lt;=1,
IF($N132&gt;0,1/$N132,0),VDB(1,0,$N132,INT(EO$44-2),MIN($N132,INT(EO$44-2)+1),$DC132,IF($DD132="No",1,0))/
IF(DW132&gt;INT($N132),$N132-INT($N132),1))*
IF(EO$44=2,DW132,
IF(INT(DW132)=INT(DV132),0,DW132-INT(DW132)))))</f>
        <v>0</v>
      </c>
      <c r="EP132" s="835">
        <f>+IF(OR(DX132=DW132,EP$44=1),0,
IF(AND(EP$44&gt;1,DX132=$N132),1-SUM($EN132:EO132),
IF($N132&lt;=1,
IF($N132&gt;0,1/$N132,0),
IF(EP$44=2,0,VDB(1,0,$N132,INT(EP$44-2-1),MIN($N132,INT(EP$44-2-1)+1),$DC132,IF($DD132="No",1,0))/
IF(DW132&gt;=INT($N132),$N132-INT($N132),1)))*
IF(EP$44=2,0,
IF(INT(DX132)=INT(DW132),DX132-DW132,INT(DX132)-DW132))+
IF($N132&lt;=1,
IF($N132&gt;0,1/$N132,0),VDB(1,0,$N132,INT(EP$44-2),MIN($N132,INT(EP$44-2)+1),$DC132,IF($DD132="No",1,0))/
IF(DX132&gt;INT($N132),$N132-INT($N132),1))*
IF(EP$44=2,DX132,
IF(INT(DX132)=INT(DW132),0,DX132-INT(DX132)))))</f>
        <v>0</v>
      </c>
      <c r="EQ132" s="836">
        <f>+IF(OR(DY132=DX132,EQ$44=1),0,
IF(AND(EQ$44&gt;1,DY132=$N132),1-SUM($EN132:EP132),
IF($N132&lt;=1,
IF($N132&gt;0,1/$N132,0),
IF(EQ$44=2,0,VDB(1,0,$N132,INT(EQ$44-2-1),MIN($N132,INT(EQ$44-2-1)+1),$DC132,IF($DD132="No",1,0))/
IF(DX132&gt;=INT($N132),$N132-INT($N132),1)))*
IF(EQ$44=2,0,
IF(INT(DY132)=INT(DX132),DY132-DX132,INT(DY132)-DX132))+
IF($N132&lt;=1,
IF($N132&gt;0,1/$N132,0),VDB(1,0,$N132,INT(EQ$44-2),MIN($N132,INT(EQ$44-2)+1),$DC132,IF($DD132="No",1,0))/
IF(DY132&gt;INT($N132),$N132-INT($N132),1))*
IF(EQ$44=2,DY132,
IF(INT(DY132)=INT(DX132),0,DY132-INT(DY132)))))</f>
        <v>0</v>
      </c>
      <c r="ER132" s="834">
        <f>+IF(OR(DZ132=DY132,ER$44=1),0,
IF(AND(ER$44&gt;1,DZ132=$N132),1-SUM($EN132:EQ132),
IF($N132&lt;=1,
IF($N132&gt;0,1/$N132,0),
IF(ER$44=2,0,VDB(1,0,$N132,INT(ER$44-2-1),MIN($N132,INT(ER$44-2-1)+1),$DC132,IF($DD132="No",1,0))/
IF(DY132&gt;=INT($N132),$N132-INT($N132),1)))*
IF(ER$44=2,0,
IF(INT(DZ132)=INT(DY132),DZ132-DY132,INT(DZ132)-DY132))+
IF($N132&lt;=1,
IF($N132&gt;0,1/$N132,0),VDB(1,0,$N132,INT(ER$44-2),MIN($N132,INT(ER$44-2)+1),$DC132,IF($DD132="No",1,0))/
IF(DZ132&gt;INT($N132),$N132-INT($N132),1))*
IF(ER$44=2,DZ132,
IF(INT(DZ132)=INT(DY132),0,DZ132-INT(DZ132)))))</f>
        <v>0</v>
      </c>
      <c r="ES132" s="835">
        <f>+IF(OR(EA132=DZ132,ES$44=1),0,
IF(AND(ES$44&gt;1,EA132=$N132),1-SUM($EN132:ER132),
IF($N132&lt;=1,
IF($N132&gt;0,1/$N132,0),
IF(ES$44=2,0,VDB(1,0,$N132,INT(ES$44-2-1),MIN($N132,INT(ES$44-2-1)+1),$DC132,IF($DD132="No",1,0))/
IF(DZ132&gt;=INT($N132),$N132-INT($N132),1)))*
IF(ES$44=2,0,
IF(INT(EA132)=INT(DZ132),EA132-DZ132,INT(EA132)-DZ132))+
IF($N132&lt;=1,
IF($N132&gt;0,1/$N132,0),VDB(1,0,$N132,INT(ES$44-2),MIN($N132,INT(ES$44-2)+1),$DC132,IF($DD132="No",1,0))/
IF(EA132&gt;INT($N132),$N132-INT($N132),1))*
IF(ES$44=2,EA132,
IF(INT(EA132)=INT(DZ132),0,EA132-INT(EA132)))))</f>
        <v>0</v>
      </c>
      <c r="ET132" s="835">
        <f>+IF(OR(EB132=EA132,ET$44=1),0,
IF(AND(ET$44&gt;1,EB132=$N132),1-SUM($EN132:ES132),
IF($N132&lt;=1,
IF($N132&gt;0,1/$N132,0),
IF(ET$44=2,0,VDB(1,0,$N132,INT(ET$44-2-1),MIN($N132,INT(ET$44-2-1)+1),$DC132,IF($DD132="No",1,0))/
IF(EA132&gt;=INT($N132),$N132-INT($N132),1)))*
IF(ET$44=2,0,
IF(INT(EB132)=INT(EA132),EB132-EA132,INT(EB132)-EA132))+
IF($N132&lt;=1,
IF($N132&gt;0,1/$N132,0),VDB(1,0,$N132,INT(ET$44-2),MIN($N132,INT(ET$44-2)+1),$DC132,IF($DD132="No",1,0))/
IF(EB132&gt;INT($N132),$N132-INT($N132),1))*
IF(ET$44=2,EB132,
IF(INT(EB132)=INT(EA132),0,EB132-INT(EB132)))))</f>
        <v>0</v>
      </c>
      <c r="EU132" s="835">
        <f>+IF(OR(EC132=EB132,EU$44=1),0,
IF(AND(EU$44&gt;1,EC132=$N132),1-SUM($EN132:ET132),
IF($N132&lt;=1,
IF($N132&gt;0,1/$N132,0),
IF(EU$44=2,0,VDB(1,0,$N132,INT(EU$44-2-1),MIN($N132,INT(EU$44-2-1)+1),$DC132,IF($DD132="No",1,0))/
IF(EB132&gt;=INT($N132),$N132-INT($N132),1)))*
IF(EU$44=2,0,
IF(INT(EC132)=INT(EB132),EC132-EB132,INT(EC132)-EB132))+
IF($N132&lt;=1,
IF($N132&gt;0,1/$N132,0),VDB(1,0,$N132,INT(EU$44-2),MIN($N132,INT(EU$44-2)+1),$DC132,IF($DD132="No",1,0))/
IF(EC132&gt;INT($N132),$N132-INT($N132),1))*
IF(EU$44=2,EC132,
IF(INT(EC132)=INT(EB132),0,EC132-INT(EC132)))))</f>
        <v>0</v>
      </c>
      <c r="EV132" s="836">
        <f>+IF(OR(ED132=EC132,EV$44=1),0,
IF(AND(EV$44&gt;1,ED132=$N132),1-SUM($EN132:EU132),
IF($N132&lt;=1,
IF($N132&gt;0,1/$N132,0),
IF(EV$44=2,0,VDB(1,0,$N132,INT(EV$44-2-1),MIN($N132,INT(EV$44-2-1)+1),$DC132,IF($DD132="No",1,0))/
IF(EC132&gt;=INT($N132),$N132-INT($N132),1)))*
IF(EV$44=2,0,
IF(INT(ED132)=INT(EC132),ED132-EC132,INT(ED132)-EC132))+
IF($N132&lt;=1,
IF($N132&gt;0,1/$N132,0),VDB(1,0,$N132,INT(EV$44-2),MIN($N132,INT(EV$44-2)+1),$DC132,IF($DD132="No",1,0))/
IF(ED132&gt;INT($N132),$N132-INT($N132),1))*
IF(EV$44=2,ED132,
IF(INT(ED132)=INT(EC132),0,ED132-INT(ED132)))))</f>
        <v>0</v>
      </c>
      <c r="EW132" s="833"/>
      <c r="EX132" s="834">
        <f t="shared" ca="1" si="301"/>
        <v>0</v>
      </c>
      <c r="EY132" s="835">
        <f t="shared" ca="1" si="301"/>
        <v>0</v>
      </c>
      <c r="EZ132" s="836">
        <f t="shared" ca="1" si="301"/>
        <v>0</v>
      </c>
      <c r="FA132" s="834">
        <f t="shared" ca="1" si="301"/>
        <v>0</v>
      </c>
      <c r="FB132" s="835">
        <f t="shared" ca="1" si="301"/>
        <v>0</v>
      </c>
      <c r="FC132" s="835">
        <f t="shared" ca="1" si="301"/>
        <v>0</v>
      </c>
      <c r="FD132" s="835">
        <f t="shared" ca="1" si="301"/>
        <v>0</v>
      </c>
      <c r="FE132" s="836">
        <f t="shared" ref="EX132:FE164" ca="1" si="303">+OFFSET($EO132,0,MAX($EX$44:$HY$44)-FE$44)</f>
        <v>0</v>
      </c>
      <c r="FG132" s="386">
        <f t="shared" ca="1" si="293"/>
        <v>0</v>
      </c>
      <c r="FH132" s="387">
        <f t="shared" ca="1" si="294"/>
        <v>0</v>
      </c>
      <c r="FI132" s="388">
        <f t="shared" ca="1" si="295"/>
        <v>0</v>
      </c>
      <c r="FJ132" s="386">
        <f t="shared" ca="1" si="296"/>
        <v>0</v>
      </c>
      <c r="FK132" s="387">
        <f t="shared" ca="1" si="297"/>
        <v>0</v>
      </c>
      <c r="FL132" s="387">
        <f t="shared" ca="1" si="298"/>
        <v>0</v>
      </c>
      <c r="FM132" s="387">
        <f t="shared" ca="1" si="299"/>
        <v>0</v>
      </c>
      <c r="FN132" s="388">
        <f t="shared" ca="1" si="300"/>
        <v>0</v>
      </c>
      <c r="FR132" s="116"/>
    </row>
    <row r="133" spans="2:174">
      <c r="B133" s="1410">
        <f t="shared" si="302"/>
        <v>87</v>
      </c>
      <c r="C133" s="400" t="s">
        <v>629</v>
      </c>
      <c r="D133" s="410"/>
      <c r="E133" s="402" t="s">
        <v>402</v>
      </c>
      <c r="F133" s="402" t="s">
        <v>527</v>
      </c>
      <c r="G133" s="400" t="s">
        <v>522</v>
      </c>
      <c r="H133" s="2088" t="s">
        <v>483</v>
      </c>
      <c r="I133" s="2089"/>
      <c r="J133" s="411" t="s">
        <v>516</v>
      </c>
      <c r="K133" s="403" t="s">
        <v>544</v>
      </c>
      <c r="L133" s="403">
        <v>50</v>
      </c>
      <c r="M133" s="403" t="s">
        <v>142</v>
      </c>
      <c r="N133" s="403"/>
      <c r="O133" s="347"/>
      <c r="P133" s="347"/>
      <c r="Q133" s="1021">
        <v>4.8097995121951227</v>
      </c>
      <c r="R133" s="1022">
        <v>9.1847421963117188</v>
      </c>
      <c r="S133" s="1022">
        <v>2.3466375705517919</v>
      </c>
      <c r="T133" s="1022">
        <v>14.389330053037044</v>
      </c>
      <c r="U133" s="1023">
        <v>13.25781431414276</v>
      </c>
      <c r="V133" s="1021">
        <v>17.245937319210096</v>
      </c>
      <c r="W133" s="1022">
        <v>16.825304701668387</v>
      </c>
      <c r="X133" s="1022">
        <v>0</v>
      </c>
      <c r="Y133" s="1022">
        <v>0.43645803024388846</v>
      </c>
      <c r="Z133" s="1023">
        <v>6.4983486209771391</v>
      </c>
      <c r="AA133" s="1024"/>
      <c r="AB133" s="1021">
        <v>0</v>
      </c>
      <c r="AC133" s="1022">
        <v>0</v>
      </c>
      <c r="AD133" s="1022">
        <v>0</v>
      </c>
      <c r="AE133" s="1022">
        <v>0</v>
      </c>
      <c r="AF133" s="1023">
        <v>0</v>
      </c>
      <c r="AG133" s="1021">
        <v>0</v>
      </c>
      <c r="AH133" s="1022">
        <v>0</v>
      </c>
      <c r="AI133" s="1022">
        <v>0</v>
      </c>
      <c r="AJ133" s="1022">
        <v>0</v>
      </c>
      <c r="AK133" s="1023">
        <v>0</v>
      </c>
      <c r="AL133" s="1024"/>
      <c r="AM133" s="1021">
        <v>0</v>
      </c>
      <c r="AN133" s="1022">
        <v>0</v>
      </c>
      <c r="AO133" s="1022">
        <v>0</v>
      </c>
      <c r="AP133" s="1022">
        <v>0</v>
      </c>
      <c r="AQ133" s="1023">
        <v>0</v>
      </c>
      <c r="AR133" s="1021">
        <v>0</v>
      </c>
      <c r="AS133" s="1022">
        <v>0</v>
      </c>
      <c r="AT133" s="1022">
        <v>0</v>
      </c>
      <c r="AU133" s="1022">
        <v>0</v>
      </c>
      <c r="AV133" s="1023">
        <v>0</v>
      </c>
      <c r="AW133" s="1025"/>
      <c r="AX133" s="1282">
        <f t="shared" si="247"/>
        <v>4.8097995121951227</v>
      </c>
      <c r="AY133" s="387">
        <f t="shared" si="248"/>
        <v>9.1847421963117188</v>
      </c>
      <c r="AZ133" s="387">
        <f t="shared" si="249"/>
        <v>2.3466375705517919</v>
      </c>
      <c r="BA133" s="387">
        <f t="shared" si="250"/>
        <v>14.389330053037044</v>
      </c>
      <c r="BB133" s="1283">
        <f t="shared" si="251"/>
        <v>13.25781431414276</v>
      </c>
      <c r="BC133" s="386">
        <f t="shared" si="252"/>
        <v>17.245937319210096</v>
      </c>
      <c r="BD133" s="387">
        <f t="shared" si="253"/>
        <v>16.825304701668387</v>
      </c>
      <c r="BE133" s="1277">
        <f t="shared" si="254"/>
        <v>0</v>
      </c>
      <c r="BF133" s="1277">
        <f t="shared" si="255"/>
        <v>0.43645803024388846</v>
      </c>
      <c r="BG133" s="388">
        <f t="shared" si="256"/>
        <v>6.4983486209771391</v>
      </c>
      <c r="BH133" s="1025"/>
      <c r="BI133" s="1282">
        <f t="shared" ca="1" si="257"/>
        <v>4.8097995121951224E-2</v>
      </c>
      <c r="BJ133" s="387">
        <f t="shared" ca="1" si="258"/>
        <v>0.18804341220701964</v>
      </c>
      <c r="BK133" s="387">
        <f t="shared" ca="1" si="259"/>
        <v>0.30335720987565473</v>
      </c>
      <c r="BL133" s="387">
        <f t="shared" ca="1" si="260"/>
        <v>0.47071688611154305</v>
      </c>
      <c r="BM133" s="1283">
        <f t="shared" ca="1" si="261"/>
        <v>0.74718832978334115</v>
      </c>
      <c r="BN133" s="386">
        <f t="shared" ca="1" si="262"/>
        <v>1.0522258461168699</v>
      </c>
      <c r="BO133" s="387">
        <f t="shared" ca="1" si="263"/>
        <v>1.3929382663256547</v>
      </c>
      <c r="BP133" s="1277">
        <f t="shared" ca="1" si="264"/>
        <v>1.5611913133423385</v>
      </c>
      <c r="BQ133" s="1277">
        <f t="shared" ca="1" si="265"/>
        <v>1.5655558936447773</v>
      </c>
      <c r="BR133" s="388">
        <f t="shared" ca="1" si="266"/>
        <v>1.6349039601569877</v>
      </c>
      <c r="BS133" s="1025"/>
      <c r="BT133" s="1282">
        <f>+IF($K133="Ongoing",AX133,IF(RIGHT($K133,2)=RIGHT(BT$43,2),SUM($AX133:AX133),0)+IF(RIGHT(BT$43,2)&gt;RIGHT($K133,2),AX133,0))</f>
        <v>4.8097995121951227</v>
      </c>
      <c r="BU133" s="387">
        <f>+IF($K133="Ongoing",AY133,IF(RIGHT($K133,2)=RIGHT(BU$43,2),SUM($AX133:AY133),0)+IF(RIGHT(BU$43,2)&gt;RIGHT($K133,2),AY133,0))</f>
        <v>9.1847421963117188</v>
      </c>
      <c r="BV133" s="387">
        <f>+IF($K133="Ongoing",AZ133,IF(RIGHT($K133,2)=RIGHT(BV$43,2),SUM($AX133:AZ133),0)+IF(RIGHT(BV$43,2)&gt;RIGHT($K133,2),AZ133,0))</f>
        <v>2.3466375705517919</v>
      </c>
      <c r="BW133" s="387">
        <f>+IF($K133="Ongoing",BA133,IF(RIGHT($K133,2)=RIGHT(BW$43,2),SUM($AX133:BA133),0)+IF(RIGHT(BW$43,2)&gt;RIGHT($K133,2),BA133,0))</f>
        <v>14.389330053037044</v>
      </c>
      <c r="BX133" s="1283">
        <f>+IF($K133="Ongoing",BB133,IF(RIGHT($K133,2)=RIGHT(BX$43,2),SUM($AX133:BB133),0)+IF(RIGHT(BX$43,2)&gt;RIGHT($K133,2),BB133,0))</f>
        <v>13.25781431414276</v>
      </c>
      <c r="BY133" s="386">
        <f>+IF($K133="Ongoing",BC133,IF(RIGHT($K133,2)=RIGHT(BY$43,2),SUM($AX133:BC133),0)+IF(RIGHT(BY$43,2)&gt;RIGHT($K133,2),BC133,0))</f>
        <v>17.245937319210096</v>
      </c>
      <c r="BZ133" s="387">
        <f>+IF($K133="Ongoing",BD133,IF(RIGHT($K133,2)=RIGHT(BZ$43,2),SUM($AX133:BD133),0)+IF(RIGHT(BZ$43,2)&gt;RIGHT($K133,2),BD133,0))</f>
        <v>16.825304701668387</v>
      </c>
      <c r="CA133" s="1277">
        <f>+IF($K133="Ongoing",BE133,IF(RIGHT($K133,2)=RIGHT(CA$43,2),SUM($AX133:BE133),0)+IF(RIGHT(CA$43,2)&gt;RIGHT($K133,2),BE133,0))</f>
        <v>0</v>
      </c>
      <c r="CB133" s="1277">
        <f>+IF($K133="Ongoing",BF133,IF(RIGHT($K133,2)=RIGHT(CB$43,2),SUM($AX133:BF133),0)+IF(RIGHT(CB$43,2)&gt;RIGHT($K133,2),BF133,0))</f>
        <v>0.43645803024388846</v>
      </c>
      <c r="CC133" s="388">
        <f>+IF($K133="Ongoing",BG133,IF(RIGHT($K133,2)=RIGHT(CC$43,2),SUM($AX133:BG133),0)+IF(RIGHT(CC$43,2)&gt;RIGHT($K133,2),BG133,0))</f>
        <v>6.4983486209771391</v>
      </c>
      <c r="CD133" s="1025"/>
      <c r="CE133" s="1282">
        <f>+Q133*KeyAssumptionsPriceControl_FO!AF$15</f>
        <v>4.9492836980487809</v>
      </c>
      <c r="CF133" s="387">
        <f>+R133*KeyAssumptionsPriceControl_FO!AG$15</f>
        <v>9.7251816118848957</v>
      </c>
      <c r="CG133" s="387">
        <f>+S133*KeyAssumptionsPriceControl_FO!AH$15</f>
        <v>2.5567728379240076</v>
      </c>
      <c r="CH133" s="387">
        <f>+T133*KeyAssumptionsPriceControl_FO!AI$15</f>
        <v>16.132514841419368</v>
      </c>
      <c r="CI133" s="1283">
        <f>+U133*KeyAssumptionsPriceControl_FO!AJ$15</f>
        <v>15.294976213342308</v>
      </c>
      <c r="CJ133" s="386">
        <f>+V133*KeyAssumptionsPriceControl_FO!AK$15</f>
        <v>20.472885233859166</v>
      </c>
      <c r="CK133" s="387">
        <f>+W133*KeyAssumptionsPriceControl_FO!AL$15</f>
        <v>20.552779420137639</v>
      </c>
      <c r="CL133" s="1277">
        <f>+X133*KeyAssumptionsPriceControl_FO!AM$15</f>
        <v>0</v>
      </c>
      <c r="CM133" s="1277">
        <f>+Y133*KeyAssumptionsPriceControl_FO!AN$15</f>
        <v>0.56452198662517983</v>
      </c>
      <c r="CN133" s="388">
        <f>+Z133*KeyAssumptionsPriceControl_FO!AO$15</f>
        <v>8.6488179189034025</v>
      </c>
      <c r="CO133" s="1025"/>
      <c r="CP133" s="1282">
        <f t="shared" ca="1" si="267"/>
        <v>0</v>
      </c>
      <c r="CQ133" s="387">
        <f t="shared" ca="1" si="268"/>
        <v>0</v>
      </c>
      <c r="CR133" s="387">
        <f t="shared" ca="1" si="269"/>
        <v>0</v>
      </c>
      <c r="CS133" s="387">
        <f t="shared" ca="1" si="270"/>
        <v>0</v>
      </c>
      <c r="CT133" s="1283">
        <f t="shared" ca="1" si="271"/>
        <v>0</v>
      </c>
      <c r="CU133" s="386">
        <f t="shared" ca="1" si="272"/>
        <v>0</v>
      </c>
      <c r="CV133" s="387">
        <f t="shared" ca="1" si="273"/>
        <v>0</v>
      </c>
      <c r="CW133" s="1277">
        <f t="shared" ca="1" si="274"/>
        <v>0</v>
      </c>
      <c r="CX133" s="1277">
        <f t="shared" ca="1" si="275"/>
        <v>0</v>
      </c>
      <c r="CY133" s="388">
        <f t="shared" ca="1" si="276"/>
        <v>0</v>
      </c>
      <c r="CZ133" s="347"/>
      <c r="DA133" s="852"/>
      <c r="DB133" s="347"/>
      <c r="DC133" s="1012" t="s">
        <v>632</v>
      </c>
      <c r="DD133" s="841" t="s">
        <v>518</v>
      </c>
      <c r="DE133" s="386">
        <f>+IF($K133="ongoing",CE133,IF(RIGHT($K133,2)=RIGHT(DE$43,2),SUM($CD133:CE133),0)+IF(RIGHT(DE$43,2)&gt;RIGHT($K133,2),CE133,0))</f>
        <v>4.9492836980487809</v>
      </c>
      <c r="DF133" s="387">
        <f>+IF($K133="ongoing",CF133,IF(RIGHT($K133,2)=RIGHT(DF$43,2),SUM($CD133:CF133),0)+IF(RIGHT(DF$43,2)&gt;RIGHT($K133,2),CF133,0))</f>
        <v>9.7251816118848957</v>
      </c>
      <c r="DG133" s="388">
        <f>+IF($K133="ongoing",CG133,IF(RIGHT($K133,2)=RIGHT(DG$43,2),SUM($CD133:CG133),0)+IF(RIGHT(DG$43,2)&gt;RIGHT($K133,2),CG133,0))</f>
        <v>2.5567728379240076</v>
      </c>
      <c r="DH133" s="386">
        <f>+IF($K133="ongoing",CH133,IF(RIGHT($K133,2)=RIGHT(DH$43,2),SUM($CD133:CH133),0)+IF(RIGHT(DH$43,2)&gt;RIGHT($K133,2),CH133,0))</f>
        <v>16.132514841419368</v>
      </c>
      <c r="DI133" s="387">
        <f>+IF($K133="ongoing",CI133,IF(RIGHT($K133,2)=RIGHT(DI$43,2),SUM($CD133:CI133),0)+IF(RIGHT(DI$43,2)&gt;RIGHT($K133,2),CI133,0))</f>
        <v>15.294976213342308</v>
      </c>
      <c r="DJ133" s="387">
        <f>+IF($K133="ongoing",CJ133,IF(RIGHT($K133,2)=RIGHT(DJ$43,2),SUM($CD133:CJ133),0)+IF(RIGHT(DJ$43,2)&gt;RIGHT($K133,2),CJ133,0))</f>
        <v>20.472885233859166</v>
      </c>
      <c r="DK133" s="387">
        <f>+IF($K133="ongoing",CK133,IF(RIGHT($K133,2)=RIGHT(DK$43,2),SUM($CD133:CK133),0)+IF(RIGHT(DK$43,2)&gt;RIGHT($K133,2),CK133,0))</f>
        <v>20.552779420137639</v>
      </c>
      <c r="DL133" s="388">
        <f>+IF($K133="ongoing",CN133,IF(RIGHT($K133,2)=RIGHT(DL$43,2),SUM($CD133:CN133),0)+IF(RIGHT(DL$43,2)&gt;RIGHT($K133,2),CN133,0))</f>
        <v>8.6488179189034025</v>
      </c>
      <c r="DM133" s="841"/>
      <c r="DN133" s="386">
        <f t="shared" si="277"/>
        <v>0.5</v>
      </c>
      <c r="DO133" s="387">
        <f t="shared" si="278"/>
        <v>1</v>
      </c>
      <c r="DP133" s="388">
        <f t="shared" si="279"/>
        <v>1</v>
      </c>
      <c r="DQ133" s="386">
        <f t="shared" si="280"/>
        <v>1</v>
      </c>
      <c r="DR133" s="387">
        <f t="shared" si="281"/>
        <v>1</v>
      </c>
      <c r="DS133" s="387">
        <f t="shared" si="282"/>
        <v>1</v>
      </c>
      <c r="DT133" s="387">
        <f t="shared" si="283"/>
        <v>1</v>
      </c>
      <c r="DU133" s="388">
        <f t="shared" si="284"/>
        <v>1</v>
      </c>
      <c r="DW133" s="386">
        <f t="shared" si="285"/>
        <v>0</v>
      </c>
      <c r="DX133" s="387">
        <f t="shared" si="286"/>
        <v>0.5</v>
      </c>
      <c r="DY133" s="388">
        <f t="shared" si="287"/>
        <v>1</v>
      </c>
      <c r="DZ133" s="386">
        <f t="shared" si="288"/>
        <v>1</v>
      </c>
      <c r="EA133" s="387">
        <f t="shared" si="289"/>
        <v>1</v>
      </c>
      <c r="EB133" s="387">
        <f t="shared" si="290"/>
        <v>1</v>
      </c>
      <c r="EC133" s="387">
        <f t="shared" si="291"/>
        <v>1</v>
      </c>
      <c r="ED133" s="388">
        <f t="shared" si="292"/>
        <v>1</v>
      </c>
      <c r="EF133" s="834">
        <f>+IF(DN133=DM133,0,
IF(AND(EF$44&gt;1,DN133=$N133),1-SUM($EE133:EE133),
IF($N133&lt;=1,
IF($N133&gt;0,1/$N133,0),
IF(EF$44=1,0,VDB(1,0,$N133,INT(EF$44-1-1),MIN($N133,INT(EF$44-1-1)+1),$DC133,IF($DD133="No",1,0))/
IF(DM133&gt;=INT($N133),$N133-INT($N133),1)))*
IF(EF$44=1,0,
IF(INT(DN133)=INT(DM133),DN133-DM133,INT(DN133)-DM133))+
IF($N133&lt;=1,
IF($N133&gt;0,1/$N133,0),VDB(1,0,$N133,INT(EF$44-1),MIN($N133,INT(EF$44-1)+1),$DC133,IF($DD133="No",1,0))/
IF(DN133&gt;INT($N133),$N133-INT($N133),1))*
IF(EF$44=1,DN133,
IF(INT(DN133)=INT(DM133),0,DN133-INT(DN133)))))</f>
        <v>0</v>
      </c>
      <c r="EG133" s="835">
        <f>+IF(DO133=DN133,0,
IF(AND(EG$44&gt;1,DO133=$N133),1-SUM($EE133:EF133),
IF($N133&lt;=1,
IF($N133&gt;0,1/$N133,0),
IF(EG$44=1,0,VDB(1,0,$N133,INT(EG$44-1-1),MIN($N133,INT(EG$44-1-1)+1),$DC133,IF($DD133="No",1,0))/
IF(DN133&gt;=INT($N133),$N133-INT($N133),1)))*
IF(EG$44=1,0,
IF(INT(DO133)=INT(DN133),DO133-DN133,INT(DO133)-DN133))+
IF($N133&lt;=1,
IF($N133&gt;0,1/$N133,0),VDB(1,0,$N133,INT(EG$44-1),MIN($N133,INT(EG$44-1)+1),$DC133,IF($DD133="No",1,0))/
IF(DO133&gt;INT($N133),$N133-INT($N133),1))*
IF(EG$44=1,DO133,
IF(INT(DO133)=INT(DN133),0,DO133-INT(DO133)))))</f>
        <v>0</v>
      </c>
      <c r="EH133" s="836">
        <f>+IF(DP133=DO133,0,
IF(AND(EH$44&gt;1,DP133=$N133),1-SUM($EE133:EG133),
IF($N133&lt;=1,
IF($N133&gt;0,1/$N133,0),
IF(EH$44=1,0,VDB(1,0,$N133,INT(EH$44-1-1),MIN($N133,INT(EH$44-1-1)+1),$DC133,IF($DD133="No",1,0))/
IF(DO133&gt;=INT($N133),$N133-INT($N133),1)))*
IF(EH$44=1,0,
IF(INT(DP133)=INT(DO133),DP133-DO133,INT(DP133)-DO133))+
IF($N133&lt;=1,
IF($N133&gt;0,1/$N133,0),VDB(1,0,$N133,INT(EH$44-1),MIN($N133,INT(EH$44-1)+1),$DC133,IF($DD133="No",1,0))/
IF(DP133&gt;INT($N133),$N133-INT($N133),1))*
IF(EH$44=1,DP133,
IF(INT(DP133)=INT(DO133),0,DP133-INT(DP133)))))</f>
        <v>0</v>
      </c>
      <c r="EI133" s="834">
        <f>+IF(DQ133=DP133,0,
IF(AND(EI$44&gt;1,DQ133=$N133),1-SUM($EE133:EH133),
IF($N133&lt;=1,
IF($N133&gt;0,1/$N133,0),
IF(EI$44=1,0,VDB(1,0,$N133,INT(EI$44-1-1),MIN($N133,INT(EI$44-1-1)+1),$DC133,IF($DD133="No",1,0))/
IF(DP133&gt;=INT($N133),$N133-INT($N133),1)))*
IF(EI$44=1,0,
IF(INT(DQ133)=INT(DP133),DQ133-DP133,INT(DQ133)-DP133))+
IF($N133&lt;=1,
IF($N133&gt;0,1/$N133,0),VDB(1,0,$N133,INT(EI$44-1),MIN($N133,INT(EI$44-1)+1),$DC133,IF($DD133="No",1,0))/
IF(DQ133&gt;INT($N133),$N133-INT($N133),1))*
IF(EI$44=1,DQ133,
IF(INT(DQ133)=INT(DP133),0,DQ133-INT(DQ133)))))</f>
        <v>0</v>
      </c>
      <c r="EJ133" s="835">
        <f>+IF(DR133=DQ133,0,
IF(AND(EJ$44&gt;1,DR133=$N133),1-SUM($EE133:EI133),
IF($N133&lt;=1,
IF($N133&gt;0,1/$N133,0),
IF(EJ$44=1,0,VDB(1,0,$N133,INT(EJ$44-1-1),MIN($N133,INT(EJ$44-1-1)+1),$DC133,IF($DD133="No",1,0))/
IF(DQ133&gt;=INT($N133),$N133-INT($N133),1)))*
IF(EJ$44=1,0,
IF(INT(DR133)=INT(DQ133),DR133-DQ133,INT(DR133)-DQ133))+
IF($N133&lt;=1,
IF($N133&gt;0,1/$N133,0),VDB(1,0,$N133,INT(EJ$44-1),MIN($N133,INT(EJ$44-1)+1),$DC133,IF($DD133="No",1,0))/
IF(DR133&gt;INT($N133),$N133-INT($N133),1))*
IF(EJ$44=1,DR133,
IF(INT(DR133)=INT(DQ133),0,DR133-INT(DR133)))))</f>
        <v>0</v>
      </c>
      <c r="EK133" s="835">
        <f>+IF(DS133=DR133,0,
IF(AND(EK$44&gt;1,DS133=$N133),1-SUM($EE133:EJ133),
IF($N133&lt;=1,
IF($N133&gt;0,1/$N133,0),
IF(EK$44=1,0,VDB(1,0,$N133,INT(EK$44-1-1),MIN($N133,INT(EK$44-1-1)+1),$DC133,IF($DD133="No",1,0))/
IF(DR133&gt;=INT($N133),$N133-INT($N133),1)))*
IF(EK$44=1,0,
IF(INT(DS133)=INT(DR133),DS133-DR133,INT(DS133)-DR133))+
IF($N133&lt;=1,
IF($N133&gt;0,1/$N133,0),VDB(1,0,$N133,INT(EK$44-1),MIN($N133,INT(EK$44-1)+1),$DC133,IF($DD133="No",1,0))/
IF(DS133&gt;INT($N133),$N133-INT($N133),1))*
IF(EK$44=1,DS133,
IF(INT(DS133)=INT(DR133),0,DS133-INT(DS133)))))</f>
        <v>0</v>
      </c>
      <c r="EL133" s="835">
        <f>+IF(DT133=DS133,0,
IF(AND(EL$44&gt;1,DT133=$N133),1-SUM($EE133:EK133),
IF($N133&lt;=1,
IF($N133&gt;0,1/$N133,0),
IF(EL$44=1,0,VDB(1,0,$N133,INT(EL$44-1-1),MIN($N133,INT(EL$44-1-1)+1),$DC133,IF($DD133="No",1,0))/
IF(DS133&gt;=INT($N133),$N133-INT($N133),1)))*
IF(EL$44=1,0,
IF(INT(DT133)=INT(DS133),DT133-DS133,INT(DT133)-DS133))+
IF($N133&lt;=1,
IF($N133&gt;0,1/$N133,0),VDB(1,0,$N133,INT(EL$44-1),MIN($N133,INT(EL$44-1)+1),$DC133,IF($DD133="No",1,0))/
IF(DT133&gt;INT($N133),$N133-INT($N133),1))*
IF(EL$44=1,DT133,
IF(INT(DT133)=INT(DS133),0,DT133-INT(DT133)))))</f>
        <v>0</v>
      </c>
      <c r="EM133" s="836">
        <f>+IF(DU133=DT133,0,
IF(AND(EM$44&gt;1,DU133=$N133),1-SUM($EE133:EL133),
IF($N133&lt;=1,
IF($N133&gt;0,1/$N133,0),
IF(EM$44=1,0,VDB(1,0,$N133,INT(EM$44-1-1),MIN($N133,INT(EM$44-1-1)+1),$DC133,IF($DD133="No",1,0))/
IF(DT133&gt;=INT($N133),$N133-INT($N133),1)))*
IF(EM$44=1,0,
IF(INT(DU133)=INT(DT133),DU133-DT133,INT(DU133)-DT133))+
IF($N133&lt;=1,
IF($N133&gt;0,1/$N133,0),VDB(1,0,$N133,INT(EM$44-1),MIN($N133,INT(EM$44-1)+1),$DC133,IF($DD133="No",1,0))/
IF(DU133&gt;INT($N133),$N133-INT($N133),1))*
IF(EM$44=1,DU133,
IF(INT(DU133)=INT(DT133),0,DU133-INT(DU133)))))</f>
        <v>0</v>
      </c>
      <c r="EN133" s="833"/>
      <c r="EO133" s="834">
        <f>+IF(OR(DW133=DV133,EO$44=1),0,
IF(AND(EO$44&gt;1,DW133=$N133),1-SUM($EN133:EN133),
IF($N133&lt;=1,
IF($N133&gt;0,1/$N133,0),
IF(EO$44=2,0,VDB(1,0,$N133,INT(EO$44-2-1),MIN($N133,INT(EO$44-2-1)+1),$DC133,IF($DD133="No",1,0))/
IF(DV133&gt;=INT($N133),$N133-INT($N133),1)))*
IF(EO$44=2,0,
IF(INT(DW133)=INT(DV133),DW133-DV133,INT(DW133)-DV133))+
IF($N133&lt;=1,
IF($N133&gt;0,1/$N133,0),VDB(1,0,$N133,INT(EO$44-2),MIN($N133,INT(EO$44-2)+1),$DC133,IF($DD133="No",1,0))/
IF(DW133&gt;INT($N133),$N133-INT($N133),1))*
IF(EO$44=2,DW133,
IF(INT(DW133)=INT(DV133),0,DW133-INT(DW133)))))</f>
        <v>0</v>
      </c>
      <c r="EP133" s="835">
        <f>+IF(OR(DX133=DW133,EP$44=1),0,
IF(AND(EP$44&gt;1,DX133=$N133),1-SUM($EN133:EO133),
IF($N133&lt;=1,
IF($N133&gt;0,1/$N133,0),
IF(EP$44=2,0,VDB(1,0,$N133,INT(EP$44-2-1),MIN($N133,INT(EP$44-2-1)+1),$DC133,IF($DD133="No",1,0))/
IF(DW133&gt;=INT($N133),$N133-INT($N133),1)))*
IF(EP$44=2,0,
IF(INT(DX133)=INT(DW133),DX133-DW133,INT(DX133)-DW133))+
IF($N133&lt;=1,
IF($N133&gt;0,1/$N133,0),VDB(1,0,$N133,INT(EP$44-2),MIN($N133,INT(EP$44-2)+1),$DC133,IF($DD133="No",1,0))/
IF(DX133&gt;INT($N133),$N133-INT($N133),1))*
IF(EP$44=2,DX133,
IF(INT(DX133)=INT(DW133),0,DX133-INT(DX133)))))</f>
        <v>0</v>
      </c>
      <c r="EQ133" s="836">
        <f>+IF(OR(DY133=DX133,EQ$44=1),0,
IF(AND(EQ$44&gt;1,DY133=$N133),1-SUM($EN133:EP133),
IF($N133&lt;=1,
IF($N133&gt;0,1/$N133,0),
IF(EQ$44=2,0,VDB(1,0,$N133,INT(EQ$44-2-1),MIN($N133,INT(EQ$44-2-1)+1),$DC133,IF($DD133="No",1,0))/
IF(DX133&gt;=INT($N133),$N133-INT($N133),1)))*
IF(EQ$44=2,0,
IF(INT(DY133)=INT(DX133),DY133-DX133,INT(DY133)-DX133))+
IF($N133&lt;=1,
IF($N133&gt;0,1/$N133,0),VDB(1,0,$N133,INT(EQ$44-2),MIN($N133,INT(EQ$44-2)+1),$DC133,IF($DD133="No",1,0))/
IF(DY133&gt;INT($N133),$N133-INT($N133),1))*
IF(EQ$44=2,DY133,
IF(INT(DY133)=INT(DX133),0,DY133-INT(DY133)))))</f>
        <v>0</v>
      </c>
      <c r="ER133" s="834">
        <f>+IF(OR(DZ133=DY133,ER$44=1),0,
IF(AND(ER$44&gt;1,DZ133=$N133),1-SUM($EN133:EQ133),
IF($N133&lt;=1,
IF($N133&gt;0,1/$N133,0),
IF(ER$44=2,0,VDB(1,0,$N133,INT(ER$44-2-1),MIN($N133,INT(ER$44-2-1)+1),$DC133,IF($DD133="No",1,0))/
IF(DY133&gt;=INT($N133),$N133-INT($N133),1)))*
IF(ER$44=2,0,
IF(INT(DZ133)=INT(DY133),DZ133-DY133,INT(DZ133)-DY133))+
IF($N133&lt;=1,
IF($N133&gt;0,1/$N133,0),VDB(1,0,$N133,INT(ER$44-2),MIN($N133,INT(ER$44-2)+1),$DC133,IF($DD133="No",1,0))/
IF(DZ133&gt;INT($N133),$N133-INT($N133),1))*
IF(ER$44=2,DZ133,
IF(INT(DZ133)=INT(DY133),0,DZ133-INT(DZ133)))))</f>
        <v>0</v>
      </c>
      <c r="ES133" s="835">
        <f>+IF(OR(EA133=DZ133,ES$44=1),0,
IF(AND(ES$44&gt;1,EA133=$N133),1-SUM($EN133:ER133),
IF($N133&lt;=1,
IF($N133&gt;0,1/$N133,0),
IF(ES$44=2,0,VDB(1,0,$N133,INT(ES$44-2-1),MIN($N133,INT(ES$44-2-1)+1),$DC133,IF($DD133="No",1,0))/
IF(DZ133&gt;=INT($N133),$N133-INT($N133),1)))*
IF(ES$44=2,0,
IF(INT(EA133)=INT(DZ133),EA133-DZ133,INT(EA133)-DZ133))+
IF($N133&lt;=1,
IF($N133&gt;0,1/$N133,0),VDB(1,0,$N133,INT(ES$44-2),MIN($N133,INT(ES$44-2)+1),$DC133,IF($DD133="No",1,0))/
IF(EA133&gt;INT($N133),$N133-INT($N133),1))*
IF(ES$44=2,EA133,
IF(INT(EA133)=INT(DZ133),0,EA133-INT(EA133)))))</f>
        <v>0</v>
      </c>
      <c r="ET133" s="835">
        <f>+IF(OR(EB133=EA133,ET$44=1),0,
IF(AND(ET$44&gt;1,EB133=$N133),1-SUM($EN133:ES133),
IF($N133&lt;=1,
IF($N133&gt;0,1/$N133,0),
IF(ET$44=2,0,VDB(1,0,$N133,INT(ET$44-2-1),MIN($N133,INT(ET$44-2-1)+1),$DC133,IF($DD133="No",1,0))/
IF(EA133&gt;=INT($N133),$N133-INT($N133),1)))*
IF(ET$44=2,0,
IF(INT(EB133)=INT(EA133),EB133-EA133,INT(EB133)-EA133))+
IF($N133&lt;=1,
IF($N133&gt;0,1/$N133,0),VDB(1,0,$N133,INT(ET$44-2),MIN($N133,INT(ET$44-2)+1),$DC133,IF($DD133="No",1,0))/
IF(EB133&gt;INT($N133),$N133-INT($N133),1))*
IF(ET$44=2,EB133,
IF(INT(EB133)=INT(EA133),0,EB133-INT(EB133)))))</f>
        <v>0</v>
      </c>
      <c r="EU133" s="835">
        <f>+IF(OR(EC133=EB133,EU$44=1),0,
IF(AND(EU$44&gt;1,EC133=$N133),1-SUM($EN133:ET133),
IF($N133&lt;=1,
IF($N133&gt;0,1/$N133,0),
IF(EU$44=2,0,VDB(1,0,$N133,INT(EU$44-2-1),MIN($N133,INT(EU$44-2-1)+1),$DC133,IF($DD133="No",1,0))/
IF(EB133&gt;=INT($N133),$N133-INT($N133),1)))*
IF(EU$44=2,0,
IF(INT(EC133)=INT(EB133),EC133-EB133,INT(EC133)-EB133))+
IF($N133&lt;=1,
IF($N133&gt;0,1/$N133,0),VDB(1,0,$N133,INT(EU$44-2),MIN($N133,INT(EU$44-2)+1),$DC133,IF($DD133="No",1,0))/
IF(EC133&gt;INT($N133),$N133-INT($N133),1))*
IF(EU$44=2,EC133,
IF(INT(EC133)=INT(EB133),0,EC133-INT(EC133)))))</f>
        <v>0</v>
      </c>
      <c r="EV133" s="836">
        <f>+IF(OR(ED133=EC133,EV$44=1),0,
IF(AND(EV$44&gt;1,ED133=$N133),1-SUM($EN133:EU133),
IF($N133&lt;=1,
IF($N133&gt;0,1/$N133,0),
IF(EV$44=2,0,VDB(1,0,$N133,INT(EV$44-2-1),MIN($N133,INT(EV$44-2-1)+1),$DC133,IF($DD133="No",1,0))/
IF(EC133&gt;=INT($N133),$N133-INT($N133),1)))*
IF(EV$44=2,0,
IF(INT(ED133)=INT(EC133),ED133-EC133,INT(ED133)-EC133))+
IF($N133&lt;=1,
IF($N133&gt;0,1/$N133,0),VDB(1,0,$N133,INT(EV$44-2),MIN($N133,INT(EV$44-2)+1),$DC133,IF($DD133="No",1,0))/
IF(ED133&gt;INT($N133),$N133-INT($N133),1))*
IF(EV$44=2,ED133,
IF(INT(ED133)=INT(EC133),0,ED133-INT(ED133)))))</f>
        <v>0</v>
      </c>
      <c r="EW133" s="833"/>
      <c r="EX133" s="834">
        <f t="shared" ca="1" si="303"/>
        <v>0</v>
      </c>
      <c r="EY133" s="835">
        <f t="shared" ca="1" si="303"/>
        <v>0</v>
      </c>
      <c r="EZ133" s="836">
        <f t="shared" ca="1" si="303"/>
        <v>0</v>
      </c>
      <c r="FA133" s="834">
        <f t="shared" ca="1" si="303"/>
        <v>0</v>
      </c>
      <c r="FB133" s="835">
        <f t="shared" ca="1" si="303"/>
        <v>0</v>
      </c>
      <c r="FC133" s="835">
        <f t="shared" ca="1" si="303"/>
        <v>0</v>
      </c>
      <c r="FD133" s="835">
        <f t="shared" ca="1" si="303"/>
        <v>0</v>
      </c>
      <c r="FE133" s="836">
        <f t="shared" ca="1" si="303"/>
        <v>0</v>
      </c>
      <c r="FG133" s="386">
        <f t="shared" ca="1" si="293"/>
        <v>0</v>
      </c>
      <c r="FH133" s="387">
        <f t="shared" ca="1" si="294"/>
        <v>0</v>
      </c>
      <c r="FI133" s="388">
        <f t="shared" ca="1" si="295"/>
        <v>0</v>
      </c>
      <c r="FJ133" s="386">
        <f t="shared" ca="1" si="296"/>
        <v>0</v>
      </c>
      <c r="FK133" s="387">
        <f t="shared" ca="1" si="297"/>
        <v>0</v>
      </c>
      <c r="FL133" s="387">
        <f t="shared" ca="1" si="298"/>
        <v>0</v>
      </c>
      <c r="FM133" s="387">
        <f t="shared" ca="1" si="299"/>
        <v>0</v>
      </c>
      <c r="FN133" s="388">
        <f t="shared" ca="1" si="300"/>
        <v>0</v>
      </c>
      <c r="FR133" s="116"/>
    </row>
    <row r="134" spans="2:174">
      <c r="B134" s="1410">
        <f t="shared" si="302"/>
        <v>88</v>
      </c>
      <c r="C134" s="400" t="s">
        <v>633</v>
      </c>
      <c r="D134" s="410"/>
      <c r="E134" s="402" t="s">
        <v>401</v>
      </c>
      <c r="F134" s="402" t="s">
        <v>514</v>
      </c>
      <c r="G134" s="400" t="s">
        <v>522</v>
      </c>
      <c r="H134" s="2088" t="s">
        <v>483</v>
      </c>
      <c r="I134" s="2089"/>
      <c r="J134" s="411" t="s">
        <v>516</v>
      </c>
      <c r="K134" s="403" t="s">
        <v>544</v>
      </c>
      <c r="L134" s="403">
        <v>25</v>
      </c>
      <c r="M134" s="403" t="s">
        <v>142</v>
      </c>
      <c r="N134" s="403"/>
      <c r="O134" s="347"/>
      <c r="P134" s="347"/>
      <c r="Q134" s="1021">
        <v>8.2536585365853662E-2</v>
      </c>
      <c r="R134" s="1022">
        <v>8.0523497917906015E-2</v>
      </c>
      <c r="S134" s="1022">
        <v>7.8559510163810756E-2</v>
      </c>
      <c r="T134" s="1022">
        <v>7.6643424550059278E-2</v>
      </c>
      <c r="U134" s="1023">
        <v>7.4774072731765159E-2</v>
      </c>
      <c r="V134" s="1021">
        <v>0</v>
      </c>
      <c r="W134" s="1022">
        <v>0</v>
      </c>
      <c r="X134" s="1022">
        <v>0</v>
      </c>
      <c r="Y134" s="1022">
        <v>0</v>
      </c>
      <c r="Z134" s="1023">
        <v>0</v>
      </c>
      <c r="AA134" s="1024"/>
      <c r="AB134" s="1021">
        <v>0</v>
      </c>
      <c r="AC134" s="1022">
        <v>0</v>
      </c>
      <c r="AD134" s="1022">
        <v>0</v>
      </c>
      <c r="AE134" s="1022">
        <v>0</v>
      </c>
      <c r="AF134" s="1023">
        <v>0</v>
      </c>
      <c r="AG134" s="1021">
        <v>0</v>
      </c>
      <c r="AH134" s="1022">
        <v>0</v>
      </c>
      <c r="AI134" s="1022">
        <v>0</v>
      </c>
      <c r="AJ134" s="1022">
        <v>0</v>
      </c>
      <c r="AK134" s="1023">
        <v>0</v>
      </c>
      <c r="AL134" s="1024"/>
      <c r="AM134" s="1021">
        <v>0</v>
      </c>
      <c r="AN134" s="1022">
        <v>0</v>
      </c>
      <c r="AO134" s="1022">
        <v>0</v>
      </c>
      <c r="AP134" s="1022">
        <v>0</v>
      </c>
      <c r="AQ134" s="1023">
        <v>0</v>
      </c>
      <c r="AR134" s="1021">
        <v>0</v>
      </c>
      <c r="AS134" s="1022">
        <v>0</v>
      </c>
      <c r="AT134" s="1022">
        <v>0</v>
      </c>
      <c r="AU134" s="1022">
        <v>0</v>
      </c>
      <c r="AV134" s="1023">
        <v>0</v>
      </c>
      <c r="AW134" s="1025"/>
      <c r="AX134" s="1282">
        <f t="shared" si="247"/>
        <v>8.2536585365853662E-2</v>
      </c>
      <c r="AY134" s="387">
        <f t="shared" si="248"/>
        <v>8.0523497917906015E-2</v>
      </c>
      <c r="AZ134" s="387">
        <f t="shared" si="249"/>
        <v>7.8559510163810756E-2</v>
      </c>
      <c r="BA134" s="387">
        <f t="shared" si="250"/>
        <v>7.6643424550059278E-2</v>
      </c>
      <c r="BB134" s="1283">
        <f t="shared" si="251"/>
        <v>7.4774072731765159E-2</v>
      </c>
      <c r="BC134" s="386">
        <f t="shared" si="252"/>
        <v>0</v>
      </c>
      <c r="BD134" s="387">
        <f t="shared" si="253"/>
        <v>0</v>
      </c>
      <c r="BE134" s="1277">
        <f t="shared" si="254"/>
        <v>0</v>
      </c>
      <c r="BF134" s="1277">
        <f t="shared" si="255"/>
        <v>0</v>
      </c>
      <c r="BG134" s="388">
        <f t="shared" si="256"/>
        <v>0</v>
      </c>
      <c r="BH134" s="1025"/>
      <c r="BI134" s="1282">
        <f t="shared" ca="1" si="257"/>
        <v>1.6507317073170733E-3</v>
      </c>
      <c r="BJ134" s="387">
        <f t="shared" ca="1" si="258"/>
        <v>4.9119333729922667E-3</v>
      </c>
      <c r="BK134" s="387">
        <f t="shared" ca="1" si="259"/>
        <v>8.0935935346266013E-3</v>
      </c>
      <c r="BL134" s="387">
        <f t="shared" ca="1" si="260"/>
        <v>1.1197652228904004E-2</v>
      </c>
      <c r="BM134" s="1283">
        <f t="shared" ca="1" si="261"/>
        <v>1.4226002174540493E-2</v>
      </c>
      <c r="BN134" s="386">
        <f t="shared" ca="1" si="262"/>
        <v>1.5721483629175796E-2</v>
      </c>
      <c r="BO134" s="387">
        <f t="shared" ca="1" si="263"/>
        <v>1.5721483629175796E-2</v>
      </c>
      <c r="BP134" s="1277">
        <f t="shared" ca="1" si="264"/>
        <v>1.5721483629175796E-2</v>
      </c>
      <c r="BQ134" s="1277">
        <f t="shared" ca="1" si="265"/>
        <v>1.5721483629175796E-2</v>
      </c>
      <c r="BR134" s="388">
        <f t="shared" ca="1" si="266"/>
        <v>1.5721483629175796E-2</v>
      </c>
      <c r="BS134" s="1025"/>
      <c r="BT134" s="1282">
        <f>+IF($K134="Ongoing",AX134,IF(RIGHT($K134,2)=RIGHT(BT$43,2),SUM($AX134:AX134),0)+IF(RIGHT(BT$43,2)&gt;RIGHT($K134,2),AX134,0))</f>
        <v>8.2536585365853662E-2</v>
      </c>
      <c r="BU134" s="387">
        <f>+IF($K134="Ongoing",AY134,IF(RIGHT($K134,2)=RIGHT(BU$43,2),SUM($AX134:AY134),0)+IF(RIGHT(BU$43,2)&gt;RIGHT($K134,2),AY134,0))</f>
        <v>8.0523497917906015E-2</v>
      </c>
      <c r="BV134" s="387">
        <f>+IF($K134="Ongoing",AZ134,IF(RIGHT($K134,2)=RIGHT(BV$43,2),SUM($AX134:AZ134),0)+IF(RIGHT(BV$43,2)&gt;RIGHT($K134,2),AZ134,0))</f>
        <v>7.8559510163810756E-2</v>
      </c>
      <c r="BW134" s="387">
        <f>+IF($K134="Ongoing",BA134,IF(RIGHT($K134,2)=RIGHT(BW$43,2),SUM($AX134:BA134),0)+IF(RIGHT(BW$43,2)&gt;RIGHT($K134,2),BA134,0))</f>
        <v>7.6643424550059278E-2</v>
      </c>
      <c r="BX134" s="1283">
        <f>+IF($K134="Ongoing",BB134,IF(RIGHT($K134,2)=RIGHT(BX$43,2),SUM($AX134:BB134),0)+IF(RIGHT(BX$43,2)&gt;RIGHT($K134,2),BB134,0))</f>
        <v>7.4774072731765159E-2</v>
      </c>
      <c r="BY134" s="386">
        <f>+IF($K134="Ongoing",BC134,IF(RIGHT($K134,2)=RIGHT(BY$43,2),SUM($AX134:BC134),0)+IF(RIGHT(BY$43,2)&gt;RIGHT($K134,2),BC134,0))</f>
        <v>0</v>
      </c>
      <c r="BZ134" s="387">
        <f>+IF($K134="Ongoing",BD134,IF(RIGHT($K134,2)=RIGHT(BZ$43,2),SUM($AX134:BD134),0)+IF(RIGHT(BZ$43,2)&gt;RIGHT($K134,2),BD134,0))</f>
        <v>0</v>
      </c>
      <c r="CA134" s="1277">
        <f>+IF($K134="Ongoing",BE134,IF(RIGHT($K134,2)=RIGHT(CA$43,2),SUM($AX134:BE134),0)+IF(RIGHT(CA$43,2)&gt;RIGHT($K134,2),BE134,0))</f>
        <v>0</v>
      </c>
      <c r="CB134" s="1277">
        <f>+IF($K134="Ongoing",BF134,IF(RIGHT($K134,2)=RIGHT(CB$43,2),SUM($AX134:BF134),0)+IF(RIGHT(CB$43,2)&gt;RIGHT($K134,2),BF134,0))</f>
        <v>0</v>
      </c>
      <c r="CC134" s="388">
        <f>+IF($K134="Ongoing",BG134,IF(RIGHT($K134,2)=RIGHT(CC$43,2),SUM($AX134:BG134),0)+IF(RIGHT(CC$43,2)&gt;RIGHT($K134,2),BG134,0))</f>
        <v>0</v>
      </c>
      <c r="CD134" s="1025"/>
      <c r="CE134" s="1282">
        <f>+Q134*KeyAssumptionsPriceControl_FO!AF$15</f>
        <v>8.4930146341463411E-2</v>
      </c>
      <c r="CF134" s="387">
        <f>+R134*KeyAssumptionsPriceControl_FO!AG$15</f>
        <v>8.5261581058893518E-2</v>
      </c>
      <c r="CG134" s="387">
        <f>+S134*KeyAssumptionsPriceControl_FO!AH$15</f>
        <v>8.5594309180098957E-2</v>
      </c>
      <c r="CH134" s="387">
        <f>+T134*KeyAssumptionsPriceControl_FO!AI$15</f>
        <v>8.5928335752509105E-2</v>
      </c>
      <c r="CI134" s="1283">
        <f>+U134*KeyAssumptionsPriceControl_FO!AJ$15</f>
        <v>8.6263665843250611E-2</v>
      </c>
      <c r="CJ134" s="386">
        <f>+V134*KeyAssumptionsPriceControl_FO!AK$15</f>
        <v>0</v>
      </c>
      <c r="CK134" s="387">
        <f>+W134*KeyAssumptionsPriceControl_FO!AL$15</f>
        <v>0</v>
      </c>
      <c r="CL134" s="1277">
        <f>+X134*KeyAssumptionsPriceControl_FO!AM$15</f>
        <v>0</v>
      </c>
      <c r="CM134" s="1277">
        <f>+Y134*KeyAssumptionsPriceControl_FO!AN$15</f>
        <v>0</v>
      </c>
      <c r="CN134" s="388">
        <f>+Z134*KeyAssumptionsPriceControl_FO!AO$15</f>
        <v>0</v>
      </c>
      <c r="CO134" s="1025"/>
      <c r="CP134" s="1282">
        <f t="shared" ca="1" si="267"/>
        <v>0</v>
      </c>
      <c r="CQ134" s="387">
        <f t="shared" ca="1" si="268"/>
        <v>0</v>
      </c>
      <c r="CR134" s="387">
        <f t="shared" ca="1" si="269"/>
        <v>0</v>
      </c>
      <c r="CS134" s="387">
        <f t="shared" ca="1" si="270"/>
        <v>0</v>
      </c>
      <c r="CT134" s="1283">
        <f t="shared" ca="1" si="271"/>
        <v>0</v>
      </c>
      <c r="CU134" s="386">
        <f t="shared" ca="1" si="272"/>
        <v>0</v>
      </c>
      <c r="CV134" s="387">
        <f t="shared" ca="1" si="273"/>
        <v>0</v>
      </c>
      <c r="CW134" s="1277">
        <f t="shared" ca="1" si="274"/>
        <v>0</v>
      </c>
      <c r="CX134" s="1277">
        <f t="shared" ca="1" si="275"/>
        <v>0</v>
      </c>
      <c r="CY134" s="388">
        <f t="shared" ca="1" si="276"/>
        <v>0</v>
      </c>
      <c r="CZ134" s="347"/>
      <c r="DA134" s="852"/>
      <c r="DB134" s="347"/>
      <c r="DC134" s="1012" t="s">
        <v>634</v>
      </c>
      <c r="DD134" s="841" t="s">
        <v>518</v>
      </c>
      <c r="DE134" s="386">
        <f>+IF($K134="ongoing",CE134,IF(RIGHT($K134,2)=RIGHT(DE$43,2),SUM($CD134:CE134),0)+IF(RIGHT(DE$43,2)&gt;RIGHT($K134,2),CE134,0))</f>
        <v>8.4930146341463411E-2</v>
      </c>
      <c r="DF134" s="387">
        <f>+IF($K134="ongoing",CF134,IF(RIGHT($K134,2)=RIGHT(DF$43,2),SUM($CD134:CF134),0)+IF(RIGHT(DF$43,2)&gt;RIGHT($K134,2),CF134,0))</f>
        <v>8.5261581058893518E-2</v>
      </c>
      <c r="DG134" s="388">
        <f>+IF($K134="ongoing",CG134,IF(RIGHT($K134,2)=RIGHT(DG$43,2),SUM($CD134:CG134),0)+IF(RIGHT(DG$43,2)&gt;RIGHT($K134,2),CG134,0))</f>
        <v>8.5594309180098957E-2</v>
      </c>
      <c r="DH134" s="386">
        <f>+IF($K134="ongoing",CH134,IF(RIGHT($K134,2)=RIGHT(DH$43,2),SUM($CD134:CH134),0)+IF(RIGHT(DH$43,2)&gt;RIGHT($K134,2),CH134,0))</f>
        <v>8.5928335752509105E-2</v>
      </c>
      <c r="DI134" s="387">
        <f>+IF($K134="ongoing",CI134,IF(RIGHT($K134,2)=RIGHT(DI$43,2),SUM($CD134:CI134),0)+IF(RIGHT(DI$43,2)&gt;RIGHT($K134,2),CI134,0))</f>
        <v>8.6263665843250611E-2</v>
      </c>
      <c r="DJ134" s="387">
        <f>+IF($K134="ongoing",CJ134,IF(RIGHT($K134,2)=RIGHT(DJ$43,2),SUM($CD134:CJ134),0)+IF(RIGHT(DJ$43,2)&gt;RIGHT($K134,2),CJ134,0))</f>
        <v>0</v>
      </c>
      <c r="DK134" s="387">
        <f>+IF($K134="ongoing",CK134,IF(RIGHT($K134,2)=RIGHT(DK$43,2),SUM($CD134:CK134),0)+IF(RIGHT(DK$43,2)&gt;RIGHT($K134,2),CK134,0))</f>
        <v>0</v>
      </c>
      <c r="DL134" s="388">
        <f>+IF($K134="ongoing",CN134,IF(RIGHT($K134,2)=RIGHT(DL$43,2),SUM($CD134:CN134),0)+IF(RIGHT(DL$43,2)&gt;RIGHT($K134,2),CN134,0))</f>
        <v>0</v>
      </c>
      <c r="DM134" s="841"/>
      <c r="DN134" s="386">
        <f t="shared" si="277"/>
        <v>0.5</v>
      </c>
      <c r="DO134" s="387">
        <f t="shared" si="278"/>
        <v>1</v>
      </c>
      <c r="DP134" s="388">
        <f t="shared" si="279"/>
        <v>1</v>
      </c>
      <c r="DQ134" s="386">
        <f t="shared" si="280"/>
        <v>1</v>
      </c>
      <c r="DR134" s="387">
        <f t="shared" si="281"/>
        <v>1</v>
      </c>
      <c r="DS134" s="387">
        <f t="shared" si="282"/>
        <v>1</v>
      </c>
      <c r="DT134" s="387">
        <f t="shared" si="283"/>
        <v>1</v>
      </c>
      <c r="DU134" s="388">
        <f t="shared" si="284"/>
        <v>1</v>
      </c>
      <c r="DW134" s="386">
        <f t="shared" si="285"/>
        <v>0</v>
      </c>
      <c r="DX134" s="387">
        <f t="shared" si="286"/>
        <v>0.5</v>
      </c>
      <c r="DY134" s="388">
        <f t="shared" si="287"/>
        <v>1</v>
      </c>
      <c r="DZ134" s="386">
        <f t="shared" si="288"/>
        <v>1</v>
      </c>
      <c r="EA134" s="387">
        <f t="shared" si="289"/>
        <v>1</v>
      </c>
      <c r="EB134" s="387">
        <f t="shared" si="290"/>
        <v>1</v>
      </c>
      <c r="EC134" s="387">
        <f t="shared" si="291"/>
        <v>1</v>
      </c>
      <c r="ED134" s="388">
        <f t="shared" si="292"/>
        <v>1</v>
      </c>
      <c r="EF134" s="834">
        <f>+IF(DN134=DM134,0,
IF(AND(EF$44&gt;1,DN134=$N134),1-SUM($EE134:EE134),
IF($N134&lt;=1,
IF($N134&gt;0,1/$N134,0),
IF(EF$44=1,0,VDB(1,0,$N134,INT(EF$44-1-1),MIN($N134,INT(EF$44-1-1)+1),$DC134,IF($DD134="No",1,0))/
IF(DM134&gt;=INT($N134),$N134-INT($N134),1)))*
IF(EF$44=1,0,
IF(INT(DN134)=INT(DM134),DN134-DM134,INT(DN134)-DM134))+
IF($N134&lt;=1,
IF($N134&gt;0,1/$N134,0),VDB(1,0,$N134,INT(EF$44-1),MIN($N134,INT(EF$44-1)+1),$DC134,IF($DD134="No",1,0))/
IF(DN134&gt;INT($N134),$N134-INT($N134),1))*
IF(EF$44=1,DN134,
IF(INT(DN134)=INT(DM134),0,DN134-INT(DN134)))))</f>
        <v>0</v>
      </c>
      <c r="EG134" s="835">
        <f>+IF(DO134=DN134,0,
IF(AND(EG$44&gt;1,DO134=$N134),1-SUM($EE134:EF134),
IF($N134&lt;=1,
IF($N134&gt;0,1/$N134,0),
IF(EG$44=1,0,VDB(1,0,$N134,INT(EG$44-1-1),MIN($N134,INT(EG$44-1-1)+1),$DC134,IF($DD134="No",1,0))/
IF(DN134&gt;=INT($N134),$N134-INT($N134),1)))*
IF(EG$44=1,0,
IF(INT(DO134)=INT(DN134),DO134-DN134,INT(DO134)-DN134))+
IF($N134&lt;=1,
IF($N134&gt;0,1/$N134,0),VDB(1,0,$N134,INT(EG$44-1),MIN($N134,INT(EG$44-1)+1),$DC134,IF($DD134="No",1,0))/
IF(DO134&gt;INT($N134),$N134-INT($N134),1))*
IF(EG$44=1,DO134,
IF(INT(DO134)=INT(DN134),0,DO134-INT(DO134)))))</f>
        <v>0</v>
      </c>
      <c r="EH134" s="836">
        <f>+IF(DP134=DO134,0,
IF(AND(EH$44&gt;1,DP134=$N134),1-SUM($EE134:EG134),
IF($N134&lt;=1,
IF($N134&gt;0,1/$N134,0),
IF(EH$44=1,0,VDB(1,0,$N134,INT(EH$44-1-1),MIN($N134,INT(EH$44-1-1)+1),$DC134,IF($DD134="No",1,0))/
IF(DO134&gt;=INT($N134),$N134-INT($N134),1)))*
IF(EH$44=1,0,
IF(INT(DP134)=INT(DO134),DP134-DO134,INT(DP134)-DO134))+
IF($N134&lt;=1,
IF($N134&gt;0,1/$N134,0),VDB(1,0,$N134,INT(EH$44-1),MIN($N134,INT(EH$44-1)+1),$DC134,IF($DD134="No",1,0))/
IF(DP134&gt;INT($N134),$N134-INT($N134),1))*
IF(EH$44=1,DP134,
IF(INT(DP134)=INT(DO134),0,DP134-INT(DP134)))))</f>
        <v>0</v>
      </c>
      <c r="EI134" s="834">
        <f>+IF(DQ134=DP134,0,
IF(AND(EI$44&gt;1,DQ134=$N134),1-SUM($EE134:EH134),
IF($N134&lt;=1,
IF($N134&gt;0,1/$N134,0),
IF(EI$44=1,0,VDB(1,0,$N134,INT(EI$44-1-1),MIN($N134,INT(EI$44-1-1)+1),$DC134,IF($DD134="No",1,0))/
IF(DP134&gt;=INT($N134),$N134-INT($N134),1)))*
IF(EI$44=1,0,
IF(INT(DQ134)=INT(DP134),DQ134-DP134,INT(DQ134)-DP134))+
IF($N134&lt;=1,
IF($N134&gt;0,1/$N134,0),VDB(1,0,$N134,INT(EI$44-1),MIN($N134,INT(EI$44-1)+1),$DC134,IF($DD134="No",1,0))/
IF(DQ134&gt;INT($N134),$N134-INT($N134),1))*
IF(EI$44=1,DQ134,
IF(INT(DQ134)=INT(DP134),0,DQ134-INT(DQ134)))))</f>
        <v>0</v>
      </c>
      <c r="EJ134" s="835">
        <f>+IF(DR134=DQ134,0,
IF(AND(EJ$44&gt;1,DR134=$N134),1-SUM($EE134:EI134),
IF($N134&lt;=1,
IF($N134&gt;0,1/$N134,0),
IF(EJ$44=1,0,VDB(1,0,$N134,INT(EJ$44-1-1),MIN($N134,INT(EJ$44-1-1)+1),$DC134,IF($DD134="No",1,0))/
IF(DQ134&gt;=INT($N134),$N134-INT($N134),1)))*
IF(EJ$44=1,0,
IF(INT(DR134)=INT(DQ134),DR134-DQ134,INT(DR134)-DQ134))+
IF($N134&lt;=1,
IF($N134&gt;0,1/$N134,0),VDB(1,0,$N134,INT(EJ$44-1),MIN($N134,INT(EJ$44-1)+1),$DC134,IF($DD134="No",1,0))/
IF(DR134&gt;INT($N134),$N134-INT($N134),1))*
IF(EJ$44=1,DR134,
IF(INT(DR134)=INT(DQ134),0,DR134-INT(DR134)))))</f>
        <v>0</v>
      </c>
      <c r="EK134" s="835">
        <f>+IF(DS134=DR134,0,
IF(AND(EK$44&gt;1,DS134=$N134),1-SUM($EE134:EJ134),
IF($N134&lt;=1,
IF($N134&gt;0,1/$N134,0),
IF(EK$44=1,0,VDB(1,0,$N134,INT(EK$44-1-1),MIN($N134,INT(EK$44-1-1)+1),$DC134,IF($DD134="No",1,0))/
IF(DR134&gt;=INT($N134),$N134-INT($N134),1)))*
IF(EK$44=1,0,
IF(INT(DS134)=INT(DR134),DS134-DR134,INT(DS134)-DR134))+
IF($N134&lt;=1,
IF($N134&gt;0,1/$N134,0),VDB(1,0,$N134,INT(EK$44-1),MIN($N134,INT(EK$44-1)+1),$DC134,IF($DD134="No",1,0))/
IF(DS134&gt;INT($N134),$N134-INT($N134),1))*
IF(EK$44=1,DS134,
IF(INT(DS134)=INT(DR134),0,DS134-INT(DS134)))))</f>
        <v>0</v>
      </c>
      <c r="EL134" s="835">
        <f>+IF(DT134=DS134,0,
IF(AND(EL$44&gt;1,DT134=$N134),1-SUM($EE134:EK134),
IF($N134&lt;=1,
IF($N134&gt;0,1/$N134,0),
IF(EL$44=1,0,VDB(1,0,$N134,INT(EL$44-1-1),MIN($N134,INT(EL$44-1-1)+1),$DC134,IF($DD134="No",1,0))/
IF(DS134&gt;=INT($N134),$N134-INT($N134),1)))*
IF(EL$44=1,0,
IF(INT(DT134)=INT(DS134),DT134-DS134,INT(DT134)-DS134))+
IF($N134&lt;=1,
IF($N134&gt;0,1/$N134,0),VDB(1,0,$N134,INT(EL$44-1),MIN($N134,INT(EL$44-1)+1),$DC134,IF($DD134="No",1,0))/
IF(DT134&gt;INT($N134),$N134-INT($N134),1))*
IF(EL$44=1,DT134,
IF(INT(DT134)=INT(DS134),0,DT134-INT(DT134)))))</f>
        <v>0</v>
      </c>
      <c r="EM134" s="836">
        <f>+IF(DU134=DT134,0,
IF(AND(EM$44&gt;1,DU134=$N134),1-SUM($EE134:EL134),
IF($N134&lt;=1,
IF($N134&gt;0,1/$N134,0),
IF(EM$44=1,0,VDB(1,0,$N134,INT(EM$44-1-1),MIN($N134,INT(EM$44-1-1)+1),$DC134,IF($DD134="No",1,0))/
IF(DT134&gt;=INT($N134),$N134-INT($N134),1)))*
IF(EM$44=1,0,
IF(INT(DU134)=INT(DT134),DU134-DT134,INT(DU134)-DT134))+
IF($N134&lt;=1,
IF($N134&gt;0,1/$N134,0),VDB(1,0,$N134,INT(EM$44-1),MIN($N134,INT(EM$44-1)+1),$DC134,IF($DD134="No",1,0))/
IF(DU134&gt;INT($N134),$N134-INT($N134),1))*
IF(EM$44=1,DU134,
IF(INT(DU134)=INT(DT134),0,DU134-INT(DU134)))))</f>
        <v>0</v>
      </c>
      <c r="EN134" s="833"/>
      <c r="EO134" s="834">
        <f>+IF(OR(DW134=DV134,EO$44=1),0,
IF(AND(EO$44&gt;1,DW134=$N134),1-SUM($EN134:EN134),
IF($N134&lt;=1,
IF($N134&gt;0,1/$N134,0),
IF(EO$44=2,0,VDB(1,0,$N134,INT(EO$44-2-1),MIN($N134,INT(EO$44-2-1)+1),$DC134,IF($DD134="No",1,0))/
IF(DV134&gt;=INT($N134),$N134-INT($N134),1)))*
IF(EO$44=2,0,
IF(INT(DW134)=INT(DV134),DW134-DV134,INT(DW134)-DV134))+
IF($N134&lt;=1,
IF($N134&gt;0,1/$N134,0),VDB(1,0,$N134,INT(EO$44-2),MIN($N134,INT(EO$44-2)+1),$DC134,IF($DD134="No",1,0))/
IF(DW134&gt;INT($N134),$N134-INT($N134),1))*
IF(EO$44=2,DW134,
IF(INT(DW134)=INT(DV134),0,DW134-INT(DW134)))))</f>
        <v>0</v>
      </c>
      <c r="EP134" s="835">
        <f>+IF(OR(DX134=DW134,EP$44=1),0,
IF(AND(EP$44&gt;1,DX134=$N134),1-SUM($EN134:EO134),
IF($N134&lt;=1,
IF($N134&gt;0,1/$N134,0),
IF(EP$44=2,0,VDB(1,0,$N134,INT(EP$44-2-1),MIN($N134,INT(EP$44-2-1)+1),$DC134,IF($DD134="No",1,0))/
IF(DW134&gt;=INT($N134),$N134-INT($N134),1)))*
IF(EP$44=2,0,
IF(INT(DX134)=INT(DW134),DX134-DW134,INT(DX134)-DW134))+
IF($N134&lt;=1,
IF($N134&gt;0,1/$N134,0),VDB(1,0,$N134,INT(EP$44-2),MIN($N134,INT(EP$44-2)+1),$DC134,IF($DD134="No",1,0))/
IF(DX134&gt;INT($N134),$N134-INT($N134),1))*
IF(EP$44=2,DX134,
IF(INT(DX134)=INT(DW134),0,DX134-INT(DX134)))))</f>
        <v>0</v>
      </c>
      <c r="EQ134" s="836">
        <f>+IF(OR(DY134=DX134,EQ$44=1),0,
IF(AND(EQ$44&gt;1,DY134=$N134),1-SUM($EN134:EP134),
IF($N134&lt;=1,
IF($N134&gt;0,1/$N134,0),
IF(EQ$44=2,0,VDB(1,0,$N134,INT(EQ$44-2-1),MIN($N134,INT(EQ$44-2-1)+1),$DC134,IF($DD134="No",1,0))/
IF(DX134&gt;=INT($N134),$N134-INT($N134),1)))*
IF(EQ$44=2,0,
IF(INT(DY134)=INT(DX134),DY134-DX134,INT(DY134)-DX134))+
IF($N134&lt;=1,
IF($N134&gt;0,1/$N134,0),VDB(1,0,$N134,INT(EQ$44-2),MIN($N134,INT(EQ$44-2)+1),$DC134,IF($DD134="No",1,0))/
IF(DY134&gt;INT($N134),$N134-INT($N134),1))*
IF(EQ$44=2,DY134,
IF(INT(DY134)=INT(DX134),0,DY134-INT(DY134)))))</f>
        <v>0</v>
      </c>
      <c r="ER134" s="834">
        <f>+IF(OR(DZ134=DY134,ER$44=1),0,
IF(AND(ER$44&gt;1,DZ134=$N134),1-SUM($EN134:EQ134),
IF($N134&lt;=1,
IF($N134&gt;0,1/$N134,0),
IF(ER$44=2,0,VDB(1,0,$N134,INT(ER$44-2-1),MIN($N134,INT(ER$44-2-1)+1),$DC134,IF($DD134="No",1,0))/
IF(DY134&gt;=INT($N134),$N134-INT($N134),1)))*
IF(ER$44=2,0,
IF(INT(DZ134)=INT(DY134),DZ134-DY134,INT(DZ134)-DY134))+
IF($N134&lt;=1,
IF($N134&gt;0,1/$N134,0),VDB(1,0,$N134,INT(ER$44-2),MIN($N134,INT(ER$44-2)+1),$DC134,IF($DD134="No",1,0))/
IF(DZ134&gt;INT($N134),$N134-INT($N134),1))*
IF(ER$44=2,DZ134,
IF(INT(DZ134)=INT(DY134),0,DZ134-INT(DZ134)))))</f>
        <v>0</v>
      </c>
      <c r="ES134" s="835">
        <f>+IF(OR(EA134=DZ134,ES$44=1),0,
IF(AND(ES$44&gt;1,EA134=$N134),1-SUM($EN134:ER134),
IF($N134&lt;=1,
IF($N134&gt;0,1/$N134,0),
IF(ES$44=2,0,VDB(1,0,$N134,INT(ES$44-2-1),MIN($N134,INT(ES$44-2-1)+1),$DC134,IF($DD134="No",1,0))/
IF(DZ134&gt;=INT($N134),$N134-INT($N134),1)))*
IF(ES$44=2,0,
IF(INT(EA134)=INT(DZ134),EA134-DZ134,INT(EA134)-DZ134))+
IF($N134&lt;=1,
IF($N134&gt;0,1/$N134,0),VDB(1,0,$N134,INT(ES$44-2),MIN($N134,INT(ES$44-2)+1),$DC134,IF($DD134="No",1,0))/
IF(EA134&gt;INT($N134),$N134-INT($N134),1))*
IF(ES$44=2,EA134,
IF(INT(EA134)=INT(DZ134),0,EA134-INT(EA134)))))</f>
        <v>0</v>
      </c>
      <c r="ET134" s="835">
        <f>+IF(OR(EB134=EA134,ET$44=1),0,
IF(AND(ET$44&gt;1,EB134=$N134),1-SUM($EN134:ES134),
IF($N134&lt;=1,
IF($N134&gt;0,1/$N134,0),
IF(ET$44=2,0,VDB(1,0,$N134,INT(ET$44-2-1),MIN($N134,INT(ET$44-2-1)+1),$DC134,IF($DD134="No",1,0))/
IF(EA134&gt;=INT($N134),$N134-INT($N134),1)))*
IF(ET$44=2,0,
IF(INT(EB134)=INT(EA134),EB134-EA134,INT(EB134)-EA134))+
IF($N134&lt;=1,
IF($N134&gt;0,1/$N134,0),VDB(1,0,$N134,INT(ET$44-2),MIN($N134,INT(ET$44-2)+1),$DC134,IF($DD134="No",1,0))/
IF(EB134&gt;INT($N134),$N134-INT($N134),1))*
IF(ET$44=2,EB134,
IF(INT(EB134)=INT(EA134),0,EB134-INT(EB134)))))</f>
        <v>0</v>
      </c>
      <c r="EU134" s="835">
        <f>+IF(OR(EC134=EB134,EU$44=1),0,
IF(AND(EU$44&gt;1,EC134=$N134),1-SUM($EN134:ET134),
IF($N134&lt;=1,
IF($N134&gt;0,1/$N134,0),
IF(EU$44=2,0,VDB(1,0,$N134,INT(EU$44-2-1),MIN($N134,INT(EU$44-2-1)+1),$DC134,IF($DD134="No",1,0))/
IF(EB134&gt;=INT($N134),$N134-INT($N134),1)))*
IF(EU$44=2,0,
IF(INT(EC134)=INT(EB134),EC134-EB134,INT(EC134)-EB134))+
IF($N134&lt;=1,
IF($N134&gt;0,1/$N134,0),VDB(1,0,$N134,INT(EU$44-2),MIN($N134,INT(EU$44-2)+1),$DC134,IF($DD134="No",1,0))/
IF(EC134&gt;INT($N134),$N134-INT($N134),1))*
IF(EU$44=2,EC134,
IF(INT(EC134)=INT(EB134),0,EC134-INT(EC134)))))</f>
        <v>0</v>
      </c>
      <c r="EV134" s="836">
        <f>+IF(OR(ED134=EC134,EV$44=1),0,
IF(AND(EV$44&gt;1,ED134=$N134),1-SUM($EN134:EU134),
IF($N134&lt;=1,
IF($N134&gt;0,1/$N134,0),
IF(EV$44=2,0,VDB(1,0,$N134,INT(EV$44-2-1),MIN($N134,INT(EV$44-2-1)+1),$DC134,IF($DD134="No",1,0))/
IF(EC134&gt;=INT($N134),$N134-INT($N134),1)))*
IF(EV$44=2,0,
IF(INT(ED134)=INT(EC134),ED134-EC134,INT(ED134)-EC134))+
IF($N134&lt;=1,
IF($N134&gt;0,1/$N134,0),VDB(1,0,$N134,INT(EV$44-2),MIN($N134,INT(EV$44-2)+1),$DC134,IF($DD134="No",1,0))/
IF(ED134&gt;INT($N134),$N134-INT($N134),1))*
IF(EV$44=2,ED134,
IF(INT(ED134)=INT(EC134),0,ED134-INT(ED134)))))</f>
        <v>0</v>
      </c>
      <c r="EW134" s="833"/>
      <c r="EX134" s="834">
        <f t="shared" ca="1" si="303"/>
        <v>0</v>
      </c>
      <c r="EY134" s="835">
        <f t="shared" ca="1" si="303"/>
        <v>0</v>
      </c>
      <c r="EZ134" s="836">
        <f t="shared" ca="1" si="303"/>
        <v>0</v>
      </c>
      <c r="FA134" s="834">
        <f t="shared" ca="1" si="303"/>
        <v>0</v>
      </c>
      <c r="FB134" s="835">
        <f t="shared" ca="1" si="303"/>
        <v>0</v>
      </c>
      <c r="FC134" s="835">
        <f t="shared" ca="1" si="303"/>
        <v>0</v>
      </c>
      <c r="FD134" s="835">
        <f t="shared" ca="1" si="303"/>
        <v>0</v>
      </c>
      <c r="FE134" s="836">
        <f t="shared" ca="1" si="303"/>
        <v>0</v>
      </c>
      <c r="FG134" s="386">
        <f t="shared" ca="1" si="293"/>
        <v>0</v>
      </c>
      <c r="FH134" s="387">
        <f t="shared" ca="1" si="294"/>
        <v>0</v>
      </c>
      <c r="FI134" s="388">
        <f t="shared" ca="1" si="295"/>
        <v>0</v>
      </c>
      <c r="FJ134" s="386">
        <f t="shared" ca="1" si="296"/>
        <v>0</v>
      </c>
      <c r="FK134" s="387">
        <f t="shared" ca="1" si="297"/>
        <v>0</v>
      </c>
      <c r="FL134" s="387">
        <f t="shared" ca="1" si="298"/>
        <v>0</v>
      </c>
      <c r="FM134" s="387">
        <f t="shared" ca="1" si="299"/>
        <v>0</v>
      </c>
      <c r="FN134" s="388">
        <f t="shared" ca="1" si="300"/>
        <v>0</v>
      </c>
      <c r="FR134" s="116"/>
    </row>
    <row r="135" spans="2:174">
      <c r="B135" s="1410">
        <f t="shared" si="302"/>
        <v>89</v>
      </c>
      <c r="C135" s="400" t="s">
        <v>633</v>
      </c>
      <c r="D135" s="410"/>
      <c r="E135" s="402" t="s">
        <v>401</v>
      </c>
      <c r="F135" s="402" t="s">
        <v>527</v>
      </c>
      <c r="G135" s="400" t="s">
        <v>522</v>
      </c>
      <c r="H135" s="2088" t="s">
        <v>483</v>
      </c>
      <c r="I135" s="2089"/>
      <c r="J135" s="411" t="s">
        <v>516</v>
      </c>
      <c r="K135" s="403" t="s">
        <v>544</v>
      </c>
      <c r="L135" s="403">
        <v>25</v>
      </c>
      <c r="M135" s="403" t="s">
        <v>142</v>
      </c>
      <c r="N135" s="403"/>
      <c r="O135" s="347"/>
      <c r="P135" s="347"/>
      <c r="Q135" s="1021">
        <v>0.42750357073170731</v>
      </c>
      <c r="R135" s="1022">
        <v>0.41707665437239738</v>
      </c>
      <c r="S135" s="1022">
        <v>0.40690405304624144</v>
      </c>
      <c r="T135" s="1022">
        <v>0.39697956394755263</v>
      </c>
      <c r="U135" s="1023">
        <v>0.38729713555858802</v>
      </c>
      <c r="V135" s="1021">
        <v>0</v>
      </c>
      <c r="W135" s="1022">
        <v>0</v>
      </c>
      <c r="X135" s="1022">
        <v>0</v>
      </c>
      <c r="Y135" s="1022">
        <v>0</v>
      </c>
      <c r="Z135" s="1023">
        <v>0</v>
      </c>
      <c r="AA135" s="1024"/>
      <c r="AB135" s="1021">
        <v>0</v>
      </c>
      <c r="AC135" s="1022">
        <v>0</v>
      </c>
      <c r="AD135" s="1022">
        <v>0</v>
      </c>
      <c r="AE135" s="1022">
        <v>0</v>
      </c>
      <c r="AF135" s="1023">
        <v>0</v>
      </c>
      <c r="AG135" s="1021">
        <v>0</v>
      </c>
      <c r="AH135" s="1022">
        <v>0</v>
      </c>
      <c r="AI135" s="1022">
        <v>0</v>
      </c>
      <c r="AJ135" s="1022">
        <v>0</v>
      </c>
      <c r="AK135" s="1023">
        <v>0</v>
      </c>
      <c r="AL135" s="1024"/>
      <c r="AM135" s="1021">
        <v>0</v>
      </c>
      <c r="AN135" s="1022">
        <v>0</v>
      </c>
      <c r="AO135" s="1022">
        <v>0</v>
      </c>
      <c r="AP135" s="1022">
        <v>0</v>
      </c>
      <c r="AQ135" s="1023">
        <v>0</v>
      </c>
      <c r="AR135" s="1021">
        <v>0</v>
      </c>
      <c r="AS135" s="1022">
        <v>0</v>
      </c>
      <c r="AT135" s="1022">
        <v>0</v>
      </c>
      <c r="AU135" s="1022">
        <v>0</v>
      </c>
      <c r="AV135" s="1023">
        <v>0</v>
      </c>
      <c r="AW135" s="1025"/>
      <c r="AX135" s="1282">
        <f t="shared" si="247"/>
        <v>0.42750357073170731</v>
      </c>
      <c r="AY135" s="387">
        <f t="shared" si="248"/>
        <v>0.41707665437239738</v>
      </c>
      <c r="AZ135" s="387">
        <f t="shared" si="249"/>
        <v>0.40690405304624144</v>
      </c>
      <c r="BA135" s="387">
        <f t="shared" si="250"/>
        <v>0.39697956394755263</v>
      </c>
      <c r="BB135" s="1283">
        <f t="shared" si="251"/>
        <v>0.38729713555858802</v>
      </c>
      <c r="BC135" s="386">
        <f t="shared" si="252"/>
        <v>0</v>
      </c>
      <c r="BD135" s="387">
        <f t="shared" si="253"/>
        <v>0</v>
      </c>
      <c r="BE135" s="1277">
        <f t="shared" si="254"/>
        <v>0</v>
      </c>
      <c r="BF135" s="1277">
        <f t="shared" si="255"/>
        <v>0</v>
      </c>
      <c r="BG135" s="388">
        <f t="shared" si="256"/>
        <v>0</v>
      </c>
      <c r="BH135" s="1025"/>
      <c r="BI135" s="1282">
        <f t="shared" ca="1" si="257"/>
        <v>8.5500714146341458E-3</v>
      </c>
      <c r="BJ135" s="387">
        <f t="shared" ca="1" si="258"/>
        <v>2.5441675916716242E-2</v>
      </c>
      <c r="BK135" s="387">
        <f t="shared" ca="1" si="259"/>
        <v>4.1921290065089017E-2</v>
      </c>
      <c r="BL135" s="387">
        <f t="shared" ca="1" si="260"/>
        <v>5.7998962404964896E-2</v>
      </c>
      <c r="BM135" s="1283">
        <f t="shared" ca="1" si="261"/>
        <v>7.3684496395087715E-2</v>
      </c>
      <c r="BN135" s="386">
        <f t="shared" ca="1" si="262"/>
        <v>8.1430439106259467E-2</v>
      </c>
      <c r="BO135" s="387">
        <f t="shared" ca="1" si="263"/>
        <v>8.1430439106259467E-2</v>
      </c>
      <c r="BP135" s="1277">
        <f t="shared" ca="1" si="264"/>
        <v>8.1430439106259467E-2</v>
      </c>
      <c r="BQ135" s="1277">
        <f t="shared" ca="1" si="265"/>
        <v>8.1430439106259467E-2</v>
      </c>
      <c r="BR135" s="388">
        <f t="shared" ca="1" si="266"/>
        <v>8.1430439106259467E-2</v>
      </c>
      <c r="BS135" s="1025"/>
      <c r="BT135" s="1282">
        <f>+IF($K135="Ongoing",AX135,IF(RIGHT($K135,2)=RIGHT(BT$43,2),SUM($AX135:AX135),0)+IF(RIGHT(BT$43,2)&gt;RIGHT($K135,2),AX135,0))</f>
        <v>0.42750357073170731</v>
      </c>
      <c r="BU135" s="387">
        <f>+IF($K135="Ongoing",AY135,IF(RIGHT($K135,2)=RIGHT(BU$43,2),SUM($AX135:AY135),0)+IF(RIGHT(BU$43,2)&gt;RIGHT($K135,2),AY135,0))</f>
        <v>0.41707665437239738</v>
      </c>
      <c r="BV135" s="387">
        <f>+IF($K135="Ongoing",AZ135,IF(RIGHT($K135,2)=RIGHT(BV$43,2),SUM($AX135:AZ135),0)+IF(RIGHT(BV$43,2)&gt;RIGHT($K135,2),AZ135,0))</f>
        <v>0.40690405304624144</v>
      </c>
      <c r="BW135" s="387">
        <f>+IF($K135="Ongoing",BA135,IF(RIGHT($K135,2)=RIGHT(BW$43,2),SUM($AX135:BA135),0)+IF(RIGHT(BW$43,2)&gt;RIGHT($K135,2),BA135,0))</f>
        <v>0.39697956394755263</v>
      </c>
      <c r="BX135" s="1283">
        <f>+IF($K135="Ongoing",BB135,IF(RIGHT($K135,2)=RIGHT(BX$43,2),SUM($AX135:BB135),0)+IF(RIGHT(BX$43,2)&gt;RIGHT($K135,2),BB135,0))</f>
        <v>0.38729713555858802</v>
      </c>
      <c r="BY135" s="386">
        <f>+IF($K135="Ongoing",BC135,IF(RIGHT($K135,2)=RIGHT(BY$43,2),SUM($AX135:BC135),0)+IF(RIGHT(BY$43,2)&gt;RIGHT($K135,2),BC135,0))</f>
        <v>0</v>
      </c>
      <c r="BZ135" s="387">
        <f>+IF($K135="Ongoing",BD135,IF(RIGHT($K135,2)=RIGHT(BZ$43,2),SUM($AX135:BD135),0)+IF(RIGHT(BZ$43,2)&gt;RIGHT($K135,2),BD135,0))</f>
        <v>0</v>
      </c>
      <c r="CA135" s="1277">
        <f>+IF($K135="Ongoing",BE135,IF(RIGHT($K135,2)=RIGHT(CA$43,2),SUM($AX135:BE135),0)+IF(RIGHT(CA$43,2)&gt;RIGHT($K135,2),BE135,0))</f>
        <v>0</v>
      </c>
      <c r="CB135" s="1277">
        <f>+IF($K135="Ongoing",BF135,IF(RIGHT($K135,2)=RIGHT(CB$43,2),SUM($AX135:BF135),0)+IF(RIGHT(CB$43,2)&gt;RIGHT($K135,2),BF135,0))</f>
        <v>0</v>
      </c>
      <c r="CC135" s="388">
        <f>+IF($K135="Ongoing",BG135,IF(RIGHT($K135,2)=RIGHT(CC$43,2),SUM($AX135:BG135),0)+IF(RIGHT(CC$43,2)&gt;RIGHT($K135,2),BG135,0))</f>
        <v>0</v>
      </c>
      <c r="CD135" s="1025"/>
      <c r="CE135" s="1282">
        <f>+Q135*KeyAssumptionsPriceControl_FO!AF$15</f>
        <v>0.4399011742829268</v>
      </c>
      <c r="CF135" s="387">
        <f>+R135*KeyAssumptionsPriceControl_FO!AG$15</f>
        <v>0.4416178617923236</v>
      </c>
      <c r="CG135" s="387">
        <f>+S135*KeyAssumptionsPriceControl_FO!AH$15</f>
        <v>0.44334124857004981</v>
      </c>
      <c r="CH135" s="387">
        <f>+T135*KeyAssumptionsPriceControl_FO!AI$15</f>
        <v>0.44507136075959142</v>
      </c>
      <c r="CI135" s="1283">
        <f>+U135*KeyAssumptionsPriceControl_FO!AJ$15</f>
        <v>0.44680822460645819</v>
      </c>
      <c r="CJ135" s="386">
        <f>+V135*KeyAssumptionsPriceControl_FO!AK$15</f>
        <v>0</v>
      </c>
      <c r="CK135" s="387">
        <f>+W135*KeyAssumptionsPriceControl_FO!AL$15</f>
        <v>0</v>
      </c>
      <c r="CL135" s="1277">
        <f>+X135*KeyAssumptionsPriceControl_FO!AM$15</f>
        <v>0</v>
      </c>
      <c r="CM135" s="1277">
        <f>+Y135*KeyAssumptionsPriceControl_FO!AN$15</f>
        <v>0</v>
      </c>
      <c r="CN135" s="388">
        <f>+Z135*KeyAssumptionsPriceControl_FO!AO$15</f>
        <v>0</v>
      </c>
      <c r="CO135" s="1025"/>
      <c r="CP135" s="1282">
        <f t="shared" ca="1" si="267"/>
        <v>0</v>
      </c>
      <c r="CQ135" s="387">
        <f t="shared" ca="1" si="268"/>
        <v>0</v>
      </c>
      <c r="CR135" s="387">
        <f t="shared" ca="1" si="269"/>
        <v>0</v>
      </c>
      <c r="CS135" s="387">
        <f t="shared" ca="1" si="270"/>
        <v>0</v>
      </c>
      <c r="CT135" s="1283">
        <f t="shared" ca="1" si="271"/>
        <v>0</v>
      </c>
      <c r="CU135" s="386">
        <f t="shared" ca="1" si="272"/>
        <v>0</v>
      </c>
      <c r="CV135" s="387">
        <f t="shared" ca="1" si="273"/>
        <v>0</v>
      </c>
      <c r="CW135" s="1277">
        <f t="shared" ca="1" si="274"/>
        <v>0</v>
      </c>
      <c r="CX135" s="1277">
        <f t="shared" ca="1" si="275"/>
        <v>0</v>
      </c>
      <c r="CY135" s="388">
        <f t="shared" ca="1" si="276"/>
        <v>0</v>
      </c>
      <c r="CZ135" s="347"/>
      <c r="DA135" s="852"/>
      <c r="DB135" s="347"/>
      <c r="DC135" s="1012" t="s">
        <v>635</v>
      </c>
      <c r="DD135" s="841" t="s">
        <v>518</v>
      </c>
      <c r="DE135" s="386">
        <f>+IF($K135="ongoing",CE135,IF(RIGHT($K135,2)=RIGHT(DE$43,2),SUM($CD135:CE135),0)+IF(RIGHT(DE$43,2)&gt;RIGHT($K135,2),CE135,0))</f>
        <v>0.4399011742829268</v>
      </c>
      <c r="DF135" s="387">
        <f>+IF($K135="ongoing",CF135,IF(RIGHT($K135,2)=RIGHT(DF$43,2),SUM($CD135:CF135),0)+IF(RIGHT(DF$43,2)&gt;RIGHT($K135,2),CF135,0))</f>
        <v>0.4416178617923236</v>
      </c>
      <c r="DG135" s="388">
        <f>+IF($K135="ongoing",CG135,IF(RIGHT($K135,2)=RIGHT(DG$43,2),SUM($CD135:CG135),0)+IF(RIGHT(DG$43,2)&gt;RIGHT($K135,2),CG135,0))</f>
        <v>0.44334124857004981</v>
      </c>
      <c r="DH135" s="386">
        <f>+IF($K135="ongoing",CH135,IF(RIGHT($K135,2)=RIGHT(DH$43,2),SUM($CD135:CH135),0)+IF(RIGHT(DH$43,2)&gt;RIGHT($K135,2),CH135,0))</f>
        <v>0.44507136075959142</v>
      </c>
      <c r="DI135" s="387">
        <f>+IF($K135="ongoing",CI135,IF(RIGHT($K135,2)=RIGHT(DI$43,2),SUM($CD135:CI135),0)+IF(RIGHT(DI$43,2)&gt;RIGHT($K135,2),CI135,0))</f>
        <v>0.44680822460645819</v>
      </c>
      <c r="DJ135" s="387">
        <f>+IF($K135="ongoing",CJ135,IF(RIGHT($K135,2)=RIGHT(DJ$43,2),SUM($CD135:CJ135),0)+IF(RIGHT(DJ$43,2)&gt;RIGHT($K135,2),CJ135,0))</f>
        <v>0</v>
      </c>
      <c r="DK135" s="387">
        <f>+IF($K135="ongoing",CK135,IF(RIGHT($K135,2)=RIGHT(DK$43,2),SUM($CD135:CK135),0)+IF(RIGHT(DK$43,2)&gt;RIGHT($K135,2),CK135,0))</f>
        <v>0</v>
      </c>
      <c r="DL135" s="388">
        <f>+IF($K135="ongoing",CN135,IF(RIGHT($K135,2)=RIGHT(DL$43,2),SUM($CD135:CN135),0)+IF(RIGHT(DL$43,2)&gt;RIGHT($K135,2),CN135,0))</f>
        <v>0</v>
      </c>
      <c r="DM135" s="841"/>
      <c r="DN135" s="386">
        <f t="shared" si="277"/>
        <v>0.5</v>
      </c>
      <c r="DO135" s="387">
        <f t="shared" si="278"/>
        <v>1</v>
      </c>
      <c r="DP135" s="388">
        <f t="shared" si="279"/>
        <v>1</v>
      </c>
      <c r="DQ135" s="386">
        <f t="shared" si="280"/>
        <v>1</v>
      </c>
      <c r="DR135" s="387">
        <f t="shared" si="281"/>
        <v>1</v>
      </c>
      <c r="DS135" s="387">
        <f t="shared" si="282"/>
        <v>1</v>
      </c>
      <c r="DT135" s="387">
        <f t="shared" si="283"/>
        <v>1</v>
      </c>
      <c r="DU135" s="388">
        <f t="shared" si="284"/>
        <v>1</v>
      </c>
      <c r="DW135" s="386">
        <f t="shared" si="285"/>
        <v>0</v>
      </c>
      <c r="DX135" s="387">
        <f t="shared" si="286"/>
        <v>0.5</v>
      </c>
      <c r="DY135" s="388">
        <f t="shared" si="287"/>
        <v>1</v>
      </c>
      <c r="DZ135" s="386">
        <f t="shared" si="288"/>
        <v>1</v>
      </c>
      <c r="EA135" s="387">
        <f t="shared" si="289"/>
        <v>1</v>
      </c>
      <c r="EB135" s="387">
        <f t="shared" si="290"/>
        <v>1</v>
      </c>
      <c r="EC135" s="387">
        <f t="shared" si="291"/>
        <v>1</v>
      </c>
      <c r="ED135" s="388">
        <f t="shared" si="292"/>
        <v>1</v>
      </c>
      <c r="EF135" s="834">
        <f>+IF(DN135=DM135,0,
IF(AND(EF$44&gt;1,DN135=$N135),1-SUM($EE135:EE135),
IF($N135&lt;=1,
IF($N135&gt;0,1/$N135,0),
IF(EF$44=1,0,VDB(1,0,$N135,INT(EF$44-1-1),MIN($N135,INT(EF$44-1-1)+1),$DC135,IF($DD135="No",1,0))/
IF(DM135&gt;=INT($N135),$N135-INT($N135),1)))*
IF(EF$44=1,0,
IF(INT(DN135)=INT(DM135),DN135-DM135,INT(DN135)-DM135))+
IF($N135&lt;=1,
IF($N135&gt;0,1/$N135,0),VDB(1,0,$N135,INT(EF$44-1),MIN($N135,INT(EF$44-1)+1),$DC135,IF($DD135="No",1,0))/
IF(DN135&gt;INT($N135),$N135-INT($N135),1))*
IF(EF$44=1,DN135,
IF(INT(DN135)=INT(DM135),0,DN135-INT(DN135)))))</f>
        <v>0</v>
      </c>
      <c r="EG135" s="835">
        <f>+IF(DO135=DN135,0,
IF(AND(EG$44&gt;1,DO135=$N135),1-SUM($EE135:EF135),
IF($N135&lt;=1,
IF($N135&gt;0,1/$N135,0),
IF(EG$44=1,0,VDB(1,0,$N135,INT(EG$44-1-1),MIN($N135,INT(EG$44-1-1)+1),$DC135,IF($DD135="No",1,0))/
IF(DN135&gt;=INT($N135),$N135-INT($N135),1)))*
IF(EG$44=1,0,
IF(INT(DO135)=INT(DN135),DO135-DN135,INT(DO135)-DN135))+
IF($N135&lt;=1,
IF($N135&gt;0,1/$N135,0),VDB(1,0,$N135,INT(EG$44-1),MIN($N135,INT(EG$44-1)+1),$DC135,IF($DD135="No",1,0))/
IF(DO135&gt;INT($N135),$N135-INT($N135),1))*
IF(EG$44=1,DO135,
IF(INT(DO135)=INT(DN135),0,DO135-INT(DO135)))))</f>
        <v>0</v>
      </c>
      <c r="EH135" s="836">
        <f>+IF(DP135=DO135,0,
IF(AND(EH$44&gt;1,DP135=$N135),1-SUM($EE135:EG135),
IF($N135&lt;=1,
IF($N135&gt;0,1/$N135,0),
IF(EH$44=1,0,VDB(1,0,$N135,INT(EH$44-1-1),MIN($N135,INT(EH$44-1-1)+1),$DC135,IF($DD135="No",1,0))/
IF(DO135&gt;=INT($N135),$N135-INT($N135),1)))*
IF(EH$44=1,0,
IF(INT(DP135)=INT(DO135),DP135-DO135,INT(DP135)-DO135))+
IF($N135&lt;=1,
IF($N135&gt;0,1/$N135,0),VDB(1,0,$N135,INT(EH$44-1),MIN($N135,INT(EH$44-1)+1),$DC135,IF($DD135="No",1,0))/
IF(DP135&gt;INT($N135),$N135-INT($N135),1))*
IF(EH$44=1,DP135,
IF(INT(DP135)=INT(DO135),0,DP135-INT(DP135)))))</f>
        <v>0</v>
      </c>
      <c r="EI135" s="834">
        <f>+IF(DQ135=DP135,0,
IF(AND(EI$44&gt;1,DQ135=$N135),1-SUM($EE135:EH135),
IF($N135&lt;=1,
IF($N135&gt;0,1/$N135,0),
IF(EI$44=1,0,VDB(1,0,$N135,INT(EI$44-1-1),MIN($N135,INT(EI$44-1-1)+1),$DC135,IF($DD135="No",1,0))/
IF(DP135&gt;=INT($N135),$N135-INT($N135),1)))*
IF(EI$44=1,0,
IF(INT(DQ135)=INT(DP135),DQ135-DP135,INT(DQ135)-DP135))+
IF($N135&lt;=1,
IF($N135&gt;0,1/$N135,0),VDB(1,0,$N135,INT(EI$44-1),MIN($N135,INT(EI$44-1)+1),$DC135,IF($DD135="No",1,0))/
IF(DQ135&gt;INT($N135),$N135-INT($N135),1))*
IF(EI$44=1,DQ135,
IF(INT(DQ135)=INT(DP135),0,DQ135-INT(DQ135)))))</f>
        <v>0</v>
      </c>
      <c r="EJ135" s="835">
        <f>+IF(DR135=DQ135,0,
IF(AND(EJ$44&gt;1,DR135=$N135),1-SUM($EE135:EI135),
IF($N135&lt;=1,
IF($N135&gt;0,1/$N135,0),
IF(EJ$44=1,0,VDB(1,0,$N135,INT(EJ$44-1-1),MIN($N135,INT(EJ$44-1-1)+1),$DC135,IF($DD135="No",1,0))/
IF(DQ135&gt;=INT($N135),$N135-INT($N135),1)))*
IF(EJ$44=1,0,
IF(INT(DR135)=INT(DQ135),DR135-DQ135,INT(DR135)-DQ135))+
IF($N135&lt;=1,
IF($N135&gt;0,1/$N135,0),VDB(1,0,$N135,INT(EJ$44-1),MIN($N135,INT(EJ$44-1)+1),$DC135,IF($DD135="No",1,0))/
IF(DR135&gt;INT($N135),$N135-INT($N135),1))*
IF(EJ$44=1,DR135,
IF(INT(DR135)=INT(DQ135),0,DR135-INT(DR135)))))</f>
        <v>0</v>
      </c>
      <c r="EK135" s="835">
        <f>+IF(DS135=DR135,0,
IF(AND(EK$44&gt;1,DS135=$N135),1-SUM($EE135:EJ135),
IF($N135&lt;=1,
IF($N135&gt;0,1/$N135,0),
IF(EK$44=1,0,VDB(1,0,$N135,INT(EK$44-1-1),MIN($N135,INT(EK$44-1-1)+1),$DC135,IF($DD135="No",1,0))/
IF(DR135&gt;=INT($N135),$N135-INT($N135),1)))*
IF(EK$44=1,0,
IF(INT(DS135)=INT(DR135),DS135-DR135,INT(DS135)-DR135))+
IF($N135&lt;=1,
IF($N135&gt;0,1/$N135,0),VDB(1,0,$N135,INT(EK$44-1),MIN($N135,INT(EK$44-1)+1),$DC135,IF($DD135="No",1,0))/
IF(DS135&gt;INT($N135),$N135-INT($N135),1))*
IF(EK$44=1,DS135,
IF(INT(DS135)=INT(DR135),0,DS135-INT(DS135)))))</f>
        <v>0</v>
      </c>
      <c r="EL135" s="835">
        <f>+IF(DT135=DS135,0,
IF(AND(EL$44&gt;1,DT135=$N135),1-SUM($EE135:EK135),
IF($N135&lt;=1,
IF($N135&gt;0,1/$N135,0),
IF(EL$44=1,0,VDB(1,0,$N135,INT(EL$44-1-1),MIN($N135,INT(EL$44-1-1)+1),$DC135,IF($DD135="No",1,0))/
IF(DS135&gt;=INT($N135),$N135-INT($N135),1)))*
IF(EL$44=1,0,
IF(INT(DT135)=INT(DS135),DT135-DS135,INT(DT135)-DS135))+
IF($N135&lt;=1,
IF($N135&gt;0,1/$N135,0),VDB(1,0,$N135,INT(EL$44-1),MIN($N135,INT(EL$44-1)+1),$DC135,IF($DD135="No",1,0))/
IF(DT135&gt;INT($N135),$N135-INT($N135),1))*
IF(EL$44=1,DT135,
IF(INT(DT135)=INT(DS135),0,DT135-INT(DT135)))))</f>
        <v>0</v>
      </c>
      <c r="EM135" s="836">
        <f>+IF(DU135=DT135,0,
IF(AND(EM$44&gt;1,DU135=$N135),1-SUM($EE135:EL135),
IF($N135&lt;=1,
IF($N135&gt;0,1/$N135,0),
IF(EM$44=1,0,VDB(1,0,$N135,INT(EM$44-1-1),MIN($N135,INT(EM$44-1-1)+1),$DC135,IF($DD135="No",1,0))/
IF(DT135&gt;=INT($N135),$N135-INT($N135),1)))*
IF(EM$44=1,0,
IF(INT(DU135)=INT(DT135),DU135-DT135,INT(DU135)-DT135))+
IF($N135&lt;=1,
IF($N135&gt;0,1/$N135,0),VDB(1,0,$N135,INT(EM$44-1),MIN($N135,INT(EM$44-1)+1),$DC135,IF($DD135="No",1,0))/
IF(DU135&gt;INT($N135),$N135-INT($N135),1))*
IF(EM$44=1,DU135,
IF(INT(DU135)=INT(DT135),0,DU135-INT(DU135)))))</f>
        <v>0</v>
      </c>
      <c r="EN135" s="833"/>
      <c r="EO135" s="834">
        <f>+IF(OR(DW135=DV135,EO$44=1),0,
IF(AND(EO$44&gt;1,DW135=$N135),1-SUM($EN135:EN135),
IF($N135&lt;=1,
IF($N135&gt;0,1/$N135,0),
IF(EO$44=2,0,VDB(1,0,$N135,INT(EO$44-2-1),MIN($N135,INT(EO$44-2-1)+1),$DC135,IF($DD135="No",1,0))/
IF(DV135&gt;=INT($N135),$N135-INT($N135),1)))*
IF(EO$44=2,0,
IF(INT(DW135)=INT(DV135),DW135-DV135,INT(DW135)-DV135))+
IF($N135&lt;=1,
IF($N135&gt;0,1/$N135,0),VDB(1,0,$N135,INT(EO$44-2),MIN($N135,INT(EO$44-2)+1),$DC135,IF($DD135="No",1,0))/
IF(DW135&gt;INT($N135),$N135-INT($N135),1))*
IF(EO$44=2,DW135,
IF(INT(DW135)=INT(DV135),0,DW135-INT(DW135)))))</f>
        <v>0</v>
      </c>
      <c r="EP135" s="835">
        <f>+IF(OR(DX135=DW135,EP$44=1),0,
IF(AND(EP$44&gt;1,DX135=$N135),1-SUM($EN135:EO135),
IF($N135&lt;=1,
IF($N135&gt;0,1/$N135,0),
IF(EP$44=2,0,VDB(1,0,$N135,INT(EP$44-2-1),MIN($N135,INT(EP$44-2-1)+1),$DC135,IF($DD135="No",1,0))/
IF(DW135&gt;=INT($N135),$N135-INT($N135),1)))*
IF(EP$44=2,0,
IF(INT(DX135)=INT(DW135),DX135-DW135,INT(DX135)-DW135))+
IF($N135&lt;=1,
IF($N135&gt;0,1/$N135,0),VDB(1,0,$N135,INT(EP$44-2),MIN($N135,INT(EP$44-2)+1),$DC135,IF($DD135="No",1,0))/
IF(DX135&gt;INT($N135),$N135-INT($N135),1))*
IF(EP$44=2,DX135,
IF(INT(DX135)=INT(DW135),0,DX135-INT(DX135)))))</f>
        <v>0</v>
      </c>
      <c r="EQ135" s="836">
        <f>+IF(OR(DY135=DX135,EQ$44=1),0,
IF(AND(EQ$44&gt;1,DY135=$N135),1-SUM($EN135:EP135),
IF($N135&lt;=1,
IF($N135&gt;0,1/$N135,0),
IF(EQ$44=2,0,VDB(1,0,$N135,INT(EQ$44-2-1),MIN($N135,INT(EQ$44-2-1)+1),$DC135,IF($DD135="No",1,0))/
IF(DX135&gt;=INT($N135),$N135-INT($N135),1)))*
IF(EQ$44=2,0,
IF(INT(DY135)=INT(DX135),DY135-DX135,INT(DY135)-DX135))+
IF($N135&lt;=1,
IF($N135&gt;0,1/$N135,0),VDB(1,0,$N135,INT(EQ$44-2),MIN($N135,INT(EQ$44-2)+1),$DC135,IF($DD135="No",1,0))/
IF(DY135&gt;INT($N135),$N135-INT($N135),1))*
IF(EQ$44=2,DY135,
IF(INT(DY135)=INT(DX135),0,DY135-INT(DY135)))))</f>
        <v>0</v>
      </c>
      <c r="ER135" s="834">
        <f>+IF(OR(DZ135=DY135,ER$44=1),0,
IF(AND(ER$44&gt;1,DZ135=$N135),1-SUM($EN135:EQ135),
IF($N135&lt;=1,
IF($N135&gt;0,1/$N135,0),
IF(ER$44=2,0,VDB(1,0,$N135,INT(ER$44-2-1),MIN($N135,INT(ER$44-2-1)+1),$DC135,IF($DD135="No",1,0))/
IF(DY135&gt;=INT($N135),$N135-INT($N135),1)))*
IF(ER$44=2,0,
IF(INT(DZ135)=INT(DY135),DZ135-DY135,INT(DZ135)-DY135))+
IF($N135&lt;=1,
IF($N135&gt;0,1/$N135,0),VDB(1,0,$N135,INT(ER$44-2),MIN($N135,INT(ER$44-2)+1),$DC135,IF($DD135="No",1,0))/
IF(DZ135&gt;INT($N135),$N135-INT($N135),1))*
IF(ER$44=2,DZ135,
IF(INT(DZ135)=INT(DY135),0,DZ135-INT(DZ135)))))</f>
        <v>0</v>
      </c>
      <c r="ES135" s="835">
        <f>+IF(OR(EA135=DZ135,ES$44=1),0,
IF(AND(ES$44&gt;1,EA135=$N135),1-SUM($EN135:ER135),
IF($N135&lt;=1,
IF($N135&gt;0,1/$N135,0),
IF(ES$44=2,0,VDB(1,0,$N135,INT(ES$44-2-1),MIN($N135,INT(ES$44-2-1)+1),$DC135,IF($DD135="No",1,0))/
IF(DZ135&gt;=INT($N135),$N135-INT($N135),1)))*
IF(ES$44=2,0,
IF(INT(EA135)=INT(DZ135),EA135-DZ135,INT(EA135)-DZ135))+
IF($N135&lt;=1,
IF($N135&gt;0,1/$N135,0),VDB(1,0,$N135,INT(ES$44-2),MIN($N135,INT(ES$44-2)+1),$DC135,IF($DD135="No",1,0))/
IF(EA135&gt;INT($N135),$N135-INT($N135),1))*
IF(ES$44=2,EA135,
IF(INT(EA135)=INT(DZ135),0,EA135-INT(EA135)))))</f>
        <v>0</v>
      </c>
      <c r="ET135" s="835">
        <f>+IF(OR(EB135=EA135,ET$44=1),0,
IF(AND(ET$44&gt;1,EB135=$N135),1-SUM($EN135:ES135),
IF($N135&lt;=1,
IF($N135&gt;0,1/$N135,0),
IF(ET$44=2,0,VDB(1,0,$N135,INT(ET$44-2-1),MIN($N135,INT(ET$44-2-1)+1),$DC135,IF($DD135="No",1,0))/
IF(EA135&gt;=INT($N135),$N135-INT($N135),1)))*
IF(ET$44=2,0,
IF(INT(EB135)=INT(EA135),EB135-EA135,INT(EB135)-EA135))+
IF($N135&lt;=1,
IF($N135&gt;0,1/$N135,0),VDB(1,0,$N135,INT(ET$44-2),MIN($N135,INT(ET$44-2)+1),$DC135,IF($DD135="No",1,0))/
IF(EB135&gt;INT($N135),$N135-INT($N135),1))*
IF(ET$44=2,EB135,
IF(INT(EB135)=INT(EA135),0,EB135-INT(EB135)))))</f>
        <v>0</v>
      </c>
      <c r="EU135" s="835">
        <f>+IF(OR(EC135=EB135,EU$44=1),0,
IF(AND(EU$44&gt;1,EC135=$N135),1-SUM($EN135:ET135),
IF($N135&lt;=1,
IF($N135&gt;0,1/$N135,0),
IF(EU$44=2,0,VDB(1,0,$N135,INT(EU$44-2-1),MIN($N135,INT(EU$44-2-1)+1),$DC135,IF($DD135="No",1,0))/
IF(EB135&gt;=INT($N135),$N135-INT($N135),1)))*
IF(EU$44=2,0,
IF(INT(EC135)=INT(EB135),EC135-EB135,INT(EC135)-EB135))+
IF($N135&lt;=1,
IF($N135&gt;0,1/$N135,0),VDB(1,0,$N135,INT(EU$44-2),MIN($N135,INT(EU$44-2)+1),$DC135,IF($DD135="No",1,0))/
IF(EC135&gt;INT($N135),$N135-INT($N135),1))*
IF(EU$44=2,EC135,
IF(INT(EC135)=INT(EB135),0,EC135-INT(EC135)))))</f>
        <v>0</v>
      </c>
      <c r="EV135" s="836">
        <f>+IF(OR(ED135=EC135,EV$44=1),0,
IF(AND(EV$44&gt;1,ED135=$N135),1-SUM($EN135:EU135),
IF($N135&lt;=1,
IF($N135&gt;0,1/$N135,0),
IF(EV$44=2,0,VDB(1,0,$N135,INT(EV$44-2-1),MIN($N135,INT(EV$44-2-1)+1),$DC135,IF($DD135="No",1,0))/
IF(EC135&gt;=INT($N135),$N135-INT($N135),1)))*
IF(EV$44=2,0,
IF(INT(ED135)=INT(EC135),ED135-EC135,INT(ED135)-EC135))+
IF($N135&lt;=1,
IF($N135&gt;0,1/$N135,0),VDB(1,0,$N135,INT(EV$44-2),MIN($N135,INT(EV$44-2)+1),$DC135,IF($DD135="No",1,0))/
IF(ED135&gt;INT($N135),$N135-INT($N135),1))*
IF(EV$44=2,ED135,
IF(INT(ED135)=INT(EC135),0,ED135-INT(ED135)))))</f>
        <v>0</v>
      </c>
      <c r="EW135" s="833"/>
      <c r="EX135" s="834">
        <f t="shared" ca="1" si="303"/>
        <v>0</v>
      </c>
      <c r="EY135" s="835">
        <f t="shared" ca="1" si="303"/>
        <v>0</v>
      </c>
      <c r="EZ135" s="836">
        <f t="shared" ca="1" si="303"/>
        <v>0</v>
      </c>
      <c r="FA135" s="834">
        <f t="shared" ca="1" si="303"/>
        <v>0</v>
      </c>
      <c r="FB135" s="835">
        <f t="shared" ca="1" si="303"/>
        <v>0</v>
      </c>
      <c r="FC135" s="835">
        <f t="shared" ca="1" si="303"/>
        <v>0</v>
      </c>
      <c r="FD135" s="835">
        <f t="shared" ca="1" si="303"/>
        <v>0</v>
      </c>
      <c r="FE135" s="836">
        <f t="shared" ca="1" si="303"/>
        <v>0</v>
      </c>
      <c r="FG135" s="386">
        <f t="shared" ca="1" si="293"/>
        <v>0</v>
      </c>
      <c r="FH135" s="387">
        <f t="shared" ca="1" si="294"/>
        <v>0</v>
      </c>
      <c r="FI135" s="388">
        <f t="shared" ca="1" si="295"/>
        <v>0</v>
      </c>
      <c r="FJ135" s="386">
        <f t="shared" ca="1" si="296"/>
        <v>0</v>
      </c>
      <c r="FK135" s="387">
        <f t="shared" ca="1" si="297"/>
        <v>0</v>
      </c>
      <c r="FL135" s="387">
        <f t="shared" ca="1" si="298"/>
        <v>0</v>
      </c>
      <c r="FM135" s="387">
        <f t="shared" ca="1" si="299"/>
        <v>0</v>
      </c>
      <c r="FN135" s="388">
        <f t="shared" ca="1" si="300"/>
        <v>0</v>
      </c>
      <c r="FR135" s="116"/>
    </row>
    <row r="136" spans="2:174">
      <c r="B136" s="1410">
        <f t="shared" si="302"/>
        <v>90</v>
      </c>
      <c r="C136" s="400" t="s">
        <v>636</v>
      </c>
      <c r="D136" s="410"/>
      <c r="E136" s="402" t="s">
        <v>411</v>
      </c>
      <c r="F136" s="402" t="s">
        <v>527</v>
      </c>
      <c r="G136" s="400" t="s">
        <v>522</v>
      </c>
      <c r="H136" s="2088" t="s">
        <v>483</v>
      </c>
      <c r="I136" s="2089"/>
      <c r="J136" s="411" t="s">
        <v>516</v>
      </c>
      <c r="K136" s="403" t="s">
        <v>544</v>
      </c>
      <c r="L136" s="403">
        <v>35</v>
      </c>
      <c r="M136" s="403" t="s">
        <v>142</v>
      </c>
      <c r="N136" s="403"/>
      <c r="O136" s="347"/>
      <c r="P136" s="347"/>
      <c r="Q136" s="1021">
        <v>0.97560975609756106</v>
      </c>
      <c r="R136" s="1022">
        <v>1.9036287923854851</v>
      </c>
      <c r="S136" s="1022">
        <v>4.6429970545987453</v>
      </c>
      <c r="T136" s="1022">
        <v>4.5297532239987754</v>
      </c>
      <c r="U136" s="1023">
        <v>4.4192714380475868</v>
      </c>
      <c r="V136" s="1021">
        <v>2.5868905978815144</v>
      </c>
      <c r="W136" s="1022">
        <v>12.61897852625129</v>
      </c>
      <c r="X136" s="1022">
        <v>20.518664270327303</v>
      </c>
      <c r="Y136" s="1022">
        <v>16.01456723537741</v>
      </c>
      <c r="Z136" s="1023">
        <v>26.87322501936502</v>
      </c>
      <c r="AA136" s="1024"/>
      <c r="AB136" s="1021">
        <v>0</v>
      </c>
      <c r="AC136" s="1022">
        <v>0</v>
      </c>
      <c r="AD136" s="1022">
        <v>0</v>
      </c>
      <c r="AE136" s="1022">
        <v>0</v>
      </c>
      <c r="AF136" s="1023">
        <v>0</v>
      </c>
      <c r="AG136" s="1021">
        <v>0</v>
      </c>
      <c r="AH136" s="1022">
        <v>0</v>
      </c>
      <c r="AI136" s="1022">
        <v>0</v>
      </c>
      <c r="AJ136" s="1022">
        <v>0</v>
      </c>
      <c r="AK136" s="1023">
        <v>0</v>
      </c>
      <c r="AL136" s="1024"/>
      <c r="AM136" s="1021">
        <v>0</v>
      </c>
      <c r="AN136" s="1022">
        <v>0</v>
      </c>
      <c r="AO136" s="1022">
        <v>0</v>
      </c>
      <c r="AP136" s="1022">
        <v>0</v>
      </c>
      <c r="AQ136" s="1023">
        <v>0</v>
      </c>
      <c r="AR136" s="1021">
        <v>0</v>
      </c>
      <c r="AS136" s="1022">
        <v>0</v>
      </c>
      <c r="AT136" s="1022">
        <v>0</v>
      </c>
      <c r="AU136" s="1022">
        <v>0</v>
      </c>
      <c r="AV136" s="1023">
        <v>0</v>
      </c>
      <c r="AW136" s="1025"/>
      <c r="AX136" s="1282">
        <f t="shared" si="247"/>
        <v>0.97560975609756106</v>
      </c>
      <c r="AY136" s="387">
        <f t="shared" si="248"/>
        <v>1.9036287923854851</v>
      </c>
      <c r="AZ136" s="387">
        <f t="shared" si="249"/>
        <v>4.6429970545987453</v>
      </c>
      <c r="BA136" s="387">
        <f t="shared" si="250"/>
        <v>4.5297532239987754</v>
      </c>
      <c r="BB136" s="1283">
        <f t="shared" si="251"/>
        <v>4.4192714380475868</v>
      </c>
      <c r="BC136" s="386">
        <f t="shared" si="252"/>
        <v>2.5868905978815144</v>
      </c>
      <c r="BD136" s="387">
        <f t="shared" si="253"/>
        <v>12.61897852625129</v>
      </c>
      <c r="BE136" s="1277">
        <f t="shared" si="254"/>
        <v>20.518664270327303</v>
      </c>
      <c r="BF136" s="1277">
        <f t="shared" si="255"/>
        <v>16.01456723537741</v>
      </c>
      <c r="BG136" s="388">
        <f t="shared" si="256"/>
        <v>26.87322501936502</v>
      </c>
      <c r="BH136" s="1025"/>
      <c r="BI136" s="1282">
        <f t="shared" ca="1" si="257"/>
        <v>1.3937282229965159E-2</v>
      </c>
      <c r="BJ136" s="387">
        <f t="shared" ca="1" si="258"/>
        <v>5.5069261494008676E-2</v>
      </c>
      <c r="BK136" s="387">
        <f t="shared" ca="1" si="259"/>
        <v>0.14859248787949769</v>
      </c>
      <c r="BL136" s="387">
        <f t="shared" ca="1" si="260"/>
        <v>0.27963177757374796</v>
      </c>
      <c r="BM136" s="1283">
        <f t="shared" ca="1" si="261"/>
        <v>0.40747498703155316</v>
      </c>
      <c r="BN136" s="386">
        <f t="shared" ca="1" si="262"/>
        <v>0.50756301611625465</v>
      </c>
      <c r="BO136" s="387">
        <f t="shared" ca="1" si="263"/>
        <v>0.72478971788958035</v>
      </c>
      <c r="BP136" s="1277">
        <f t="shared" ca="1" si="264"/>
        <v>1.1981846149835602</v>
      </c>
      <c r="BQ136" s="1277">
        <f t="shared" ca="1" si="265"/>
        <v>1.7200879222079133</v>
      </c>
      <c r="BR136" s="388">
        <f t="shared" ca="1" si="266"/>
        <v>2.3327706687042338</v>
      </c>
      <c r="BS136" s="1025"/>
      <c r="BT136" s="1282">
        <f>+IF($K136="Ongoing",AX136,IF(RIGHT($K136,2)=RIGHT(BT$43,2),SUM($AX136:AX136),0)+IF(RIGHT(BT$43,2)&gt;RIGHT($K136,2),AX136,0))</f>
        <v>0.97560975609756106</v>
      </c>
      <c r="BU136" s="387">
        <f>+IF($K136="Ongoing",AY136,IF(RIGHT($K136,2)=RIGHT(BU$43,2),SUM($AX136:AY136),0)+IF(RIGHT(BU$43,2)&gt;RIGHT($K136,2),AY136,0))</f>
        <v>1.9036287923854851</v>
      </c>
      <c r="BV136" s="387">
        <f>+IF($K136="Ongoing",AZ136,IF(RIGHT($K136,2)=RIGHT(BV$43,2),SUM($AX136:AZ136),0)+IF(RIGHT(BV$43,2)&gt;RIGHT($K136,2),AZ136,0))</f>
        <v>4.6429970545987453</v>
      </c>
      <c r="BW136" s="387">
        <f>+IF($K136="Ongoing",BA136,IF(RIGHT($K136,2)=RIGHT(BW$43,2),SUM($AX136:BA136),0)+IF(RIGHT(BW$43,2)&gt;RIGHT($K136,2),BA136,0))</f>
        <v>4.5297532239987754</v>
      </c>
      <c r="BX136" s="1283">
        <f>+IF($K136="Ongoing",BB136,IF(RIGHT($K136,2)=RIGHT(BX$43,2),SUM($AX136:BB136),0)+IF(RIGHT(BX$43,2)&gt;RIGHT($K136,2),BB136,0))</f>
        <v>4.4192714380475868</v>
      </c>
      <c r="BY136" s="386">
        <f>+IF($K136="Ongoing",BC136,IF(RIGHT($K136,2)=RIGHT(BY$43,2),SUM($AX136:BC136),0)+IF(RIGHT(BY$43,2)&gt;RIGHT($K136,2),BC136,0))</f>
        <v>2.5868905978815144</v>
      </c>
      <c r="BZ136" s="387">
        <f>+IF($K136="Ongoing",BD136,IF(RIGHT($K136,2)=RIGHT(BZ$43,2),SUM($AX136:BD136),0)+IF(RIGHT(BZ$43,2)&gt;RIGHT($K136,2),BD136,0))</f>
        <v>12.61897852625129</v>
      </c>
      <c r="CA136" s="1277">
        <f>+IF($K136="Ongoing",BE136,IF(RIGHT($K136,2)=RIGHT(CA$43,2),SUM($AX136:BE136),0)+IF(RIGHT(CA$43,2)&gt;RIGHT($K136,2),BE136,0))</f>
        <v>20.518664270327303</v>
      </c>
      <c r="CB136" s="1277">
        <f>+IF($K136="Ongoing",BF136,IF(RIGHT($K136,2)=RIGHT(CB$43,2),SUM($AX136:BF136),0)+IF(RIGHT(CB$43,2)&gt;RIGHT($K136,2),BF136,0))</f>
        <v>16.01456723537741</v>
      </c>
      <c r="CC136" s="388">
        <f>+IF($K136="Ongoing",BG136,IF(RIGHT($K136,2)=RIGHT(CC$43,2),SUM($AX136:BG136),0)+IF(RIGHT(CC$43,2)&gt;RIGHT($K136,2),BG136,0))</f>
        <v>26.87322501936502</v>
      </c>
      <c r="CD136" s="1025"/>
      <c r="CE136" s="1282">
        <f>+Q136*KeyAssumptionsPriceControl_FO!AF$15</f>
        <v>1.0039024390243902</v>
      </c>
      <c r="CF136" s="387">
        <f>+R136*KeyAssumptionsPriceControl_FO!AG$15</f>
        <v>2.0156402141582395</v>
      </c>
      <c r="CG136" s="387">
        <f>+S136*KeyAssumptionsPriceControl_FO!AH$15</f>
        <v>5.0587653179727523</v>
      </c>
      <c r="CH136" s="387">
        <f>+T136*KeyAssumptionsPriceControl_FO!AI$15</f>
        <v>5.0785068411648409</v>
      </c>
      <c r="CI136" s="1283">
        <f>+U136*KeyAssumptionsPriceControl_FO!AJ$15</f>
        <v>5.0983254044474355</v>
      </c>
      <c r="CJ136" s="386">
        <f>+V136*KeyAssumptionsPriceControl_FO!AK$15</f>
        <v>3.0709327850788752</v>
      </c>
      <c r="CK136" s="387">
        <f>+W136*KeyAssumptionsPriceControl_FO!AL$15</f>
        <v>15.41458456510323</v>
      </c>
      <c r="CL136" s="1277">
        <f>+X136*KeyAssumptionsPriceControl_FO!AM$15</f>
        <v>25.791231735758089</v>
      </c>
      <c r="CM136" s="1277">
        <f>+Y136*KeyAssumptionsPriceControl_FO!AN$15</f>
        <v>20.713504355976642</v>
      </c>
      <c r="CN136" s="388">
        <f>+Z136*KeyAssumptionsPriceControl_FO!AO$15</f>
        <v>35.766260575176531</v>
      </c>
      <c r="CO136" s="1025"/>
      <c r="CP136" s="1282">
        <f t="shared" ca="1" si="267"/>
        <v>0</v>
      </c>
      <c r="CQ136" s="387">
        <f t="shared" ca="1" si="268"/>
        <v>0</v>
      </c>
      <c r="CR136" s="387">
        <f t="shared" ca="1" si="269"/>
        <v>0</v>
      </c>
      <c r="CS136" s="387">
        <f t="shared" ca="1" si="270"/>
        <v>0</v>
      </c>
      <c r="CT136" s="1283">
        <f t="shared" ca="1" si="271"/>
        <v>0</v>
      </c>
      <c r="CU136" s="386">
        <f t="shared" ca="1" si="272"/>
        <v>0</v>
      </c>
      <c r="CV136" s="387">
        <f t="shared" ca="1" si="273"/>
        <v>0</v>
      </c>
      <c r="CW136" s="1277">
        <f t="shared" ca="1" si="274"/>
        <v>0</v>
      </c>
      <c r="CX136" s="1277">
        <f t="shared" ca="1" si="275"/>
        <v>0</v>
      </c>
      <c r="CY136" s="388">
        <f t="shared" ca="1" si="276"/>
        <v>0</v>
      </c>
      <c r="CZ136" s="347"/>
      <c r="DA136" s="852"/>
      <c r="DB136" s="347"/>
      <c r="DC136" s="1012" t="s">
        <v>637</v>
      </c>
      <c r="DD136" s="841" t="s">
        <v>518</v>
      </c>
      <c r="DE136" s="386">
        <f>+IF($K136="ongoing",CE136,IF(RIGHT($K136,2)=RIGHT(DE$43,2),SUM($CD136:CE136),0)+IF(RIGHT(DE$43,2)&gt;RIGHT($K136,2),CE136,0))</f>
        <v>1.0039024390243902</v>
      </c>
      <c r="DF136" s="387">
        <f>+IF($K136="ongoing",CF136,IF(RIGHT($K136,2)=RIGHT(DF$43,2),SUM($CD136:CF136),0)+IF(RIGHT(DF$43,2)&gt;RIGHT($K136,2),CF136,0))</f>
        <v>2.0156402141582395</v>
      </c>
      <c r="DG136" s="388">
        <f>+IF($K136="ongoing",CG136,IF(RIGHT($K136,2)=RIGHT(DG$43,2),SUM($CD136:CG136),0)+IF(RIGHT(DG$43,2)&gt;RIGHT($K136,2),CG136,0))</f>
        <v>5.0587653179727523</v>
      </c>
      <c r="DH136" s="386">
        <f>+IF($K136="ongoing",CH136,IF(RIGHT($K136,2)=RIGHT(DH$43,2),SUM($CD136:CH136),0)+IF(RIGHT(DH$43,2)&gt;RIGHT($K136,2),CH136,0))</f>
        <v>5.0785068411648409</v>
      </c>
      <c r="DI136" s="387">
        <f>+IF($K136="ongoing",CI136,IF(RIGHT($K136,2)=RIGHT(DI$43,2),SUM($CD136:CI136),0)+IF(RIGHT(DI$43,2)&gt;RIGHT($K136,2),CI136,0))</f>
        <v>5.0983254044474355</v>
      </c>
      <c r="DJ136" s="387">
        <f>+IF($K136="ongoing",CJ136,IF(RIGHT($K136,2)=RIGHT(DJ$43,2),SUM($CD136:CJ136),0)+IF(RIGHT(DJ$43,2)&gt;RIGHT($K136,2),CJ136,0))</f>
        <v>3.0709327850788752</v>
      </c>
      <c r="DK136" s="387">
        <f>+IF($K136="ongoing",CK136,IF(RIGHT($K136,2)=RIGHT(DK$43,2),SUM($CD136:CK136),0)+IF(RIGHT(DK$43,2)&gt;RIGHT($K136,2),CK136,0))</f>
        <v>15.41458456510323</v>
      </c>
      <c r="DL136" s="388">
        <f>+IF($K136="ongoing",CN136,IF(RIGHT($K136,2)=RIGHT(DL$43,2),SUM($CD136:CN136),0)+IF(RIGHT(DL$43,2)&gt;RIGHT($K136,2),CN136,0))</f>
        <v>35.766260575176531</v>
      </c>
      <c r="DM136" s="841"/>
      <c r="DN136" s="386">
        <f t="shared" si="277"/>
        <v>0.5</v>
      </c>
      <c r="DO136" s="387">
        <f t="shared" si="278"/>
        <v>1</v>
      </c>
      <c r="DP136" s="388">
        <f t="shared" si="279"/>
        <v>1</v>
      </c>
      <c r="DQ136" s="386">
        <f t="shared" si="280"/>
        <v>1</v>
      </c>
      <c r="DR136" s="387">
        <f t="shared" si="281"/>
        <v>1</v>
      </c>
      <c r="DS136" s="387">
        <f t="shared" si="282"/>
        <v>1</v>
      </c>
      <c r="DT136" s="387">
        <f t="shared" si="283"/>
        <v>1</v>
      </c>
      <c r="DU136" s="388">
        <f t="shared" si="284"/>
        <v>1</v>
      </c>
      <c r="DW136" s="386">
        <f t="shared" si="285"/>
        <v>0</v>
      </c>
      <c r="DX136" s="387">
        <f t="shared" si="286"/>
        <v>0.5</v>
      </c>
      <c r="DY136" s="388">
        <f t="shared" si="287"/>
        <v>1</v>
      </c>
      <c r="DZ136" s="386">
        <f t="shared" si="288"/>
        <v>1</v>
      </c>
      <c r="EA136" s="387">
        <f t="shared" si="289"/>
        <v>1</v>
      </c>
      <c r="EB136" s="387">
        <f t="shared" si="290"/>
        <v>1</v>
      </c>
      <c r="EC136" s="387">
        <f t="shared" si="291"/>
        <v>1</v>
      </c>
      <c r="ED136" s="388">
        <f t="shared" si="292"/>
        <v>1</v>
      </c>
      <c r="EF136" s="834">
        <f>+IF(DN136=DM136,0,
IF(AND(EF$44&gt;1,DN136=$N136),1-SUM($EE136:EE136),
IF($N136&lt;=1,
IF($N136&gt;0,1/$N136,0),
IF(EF$44=1,0,VDB(1,0,$N136,INT(EF$44-1-1),MIN($N136,INT(EF$44-1-1)+1),$DC136,IF($DD136="No",1,0))/
IF(DM136&gt;=INT($N136),$N136-INT($N136),1)))*
IF(EF$44=1,0,
IF(INT(DN136)=INT(DM136),DN136-DM136,INT(DN136)-DM136))+
IF($N136&lt;=1,
IF($N136&gt;0,1/$N136,0),VDB(1,0,$N136,INT(EF$44-1),MIN($N136,INT(EF$44-1)+1),$DC136,IF($DD136="No",1,0))/
IF(DN136&gt;INT($N136),$N136-INT($N136),1))*
IF(EF$44=1,DN136,
IF(INT(DN136)=INT(DM136),0,DN136-INT(DN136)))))</f>
        <v>0</v>
      </c>
      <c r="EG136" s="835">
        <f>+IF(DO136=DN136,0,
IF(AND(EG$44&gt;1,DO136=$N136),1-SUM($EE136:EF136),
IF($N136&lt;=1,
IF($N136&gt;0,1/$N136,0),
IF(EG$44=1,0,VDB(1,0,$N136,INT(EG$44-1-1),MIN($N136,INT(EG$44-1-1)+1),$DC136,IF($DD136="No",1,0))/
IF(DN136&gt;=INT($N136),$N136-INT($N136),1)))*
IF(EG$44=1,0,
IF(INT(DO136)=INT(DN136),DO136-DN136,INT(DO136)-DN136))+
IF($N136&lt;=1,
IF($N136&gt;0,1/$N136,0),VDB(1,0,$N136,INT(EG$44-1),MIN($N136,INT(EG$44-1)+1),$DC136,IF($DD136="No",1,0))/
IF(DO136&gt;INT($N136),$N136-INT($N136),1))*
IF(EG$44=1,DO136,
IF(INT(DO136)=INT(DN136),0,DO136-INT(DO136)))))</f>
        <v>0</v>
      </c>
      <c r="EH136" s="836">
        <f>+IF(DP136=DO136,0,
IF(AND(EH$44&gt;1,DP136=$N136),1-SUM($EE136:EG136),
IF($N136&lt;=1,
IF($N136&gt;0,1/$N136,0),
IF(EH$44=1,0,VDB(1,0,$N136,INT(EH$44-1-1),MIN($N136,INT(EH$44-1-1)+1),$DC136,IF($DD136="No",1,0))/
IF(DO136&gt;=INT($N136),$N136-INT($N136),1)))*
IF(EH$44=1,0,
IF(INT(DP136)=INT(DO136),DP136-DO136,INT(DP136)-DO136))+
IF($N136&lt;=1,
IF($N136&gt;0,1/$N136,0),VDB(1,0,$N136,INT(EH$44-1),MIN($N136,INT(EH$44-1)+1),$DC136,IF($DD136="No",1,0))/
IF(DP136&gt;INT($N136),$N136-INT($N136),1))*
IF(EH$44=1,DP136,
IF(INT(DP136)=INT(DO136),0,DP136-INT(DP136)))))</f>
        <v>0</v>
      </c>
      <c r="EI136" s="834">
        <f>+IF(DQ136=DP136,0,
IF(AND(EI$44&gt;1,DQ136=$N136),1-SUM($EE136:EH136),
IF($N136&lt;=1,
IF($N136&gt;0,1/$N136,0),
IF(EI$44=1,0,VDB(1,0,$N136,INT(EI$44-1-1),MIN($N136,INT(EI$44-1-1)+1),$DC136,IF($DD136="No",1,0))/
IF(DP136&gt;=INT($N136),$N136-INT($N136),1)))*
IF(EI$44=1,0,
IF(INT(DQ136)=INT(DP136),DQ136-DP136,INT(DQ136)-DP136))+
IF($N136&lt;=1,
IF($N136&gt;0,1/$N136,0),VDB(1,0,$N136,INT(EI$44-1),MIN($N136,INT(EI$44-1)+1),$DC136,IF($DD136="No",1,0))/
IF(DQ136&gt;INT($N136),$N136-INT($N136),1))*
IF(EI$44=1,DQ136,
IF(INT(DQ136)=INT(DP136),0,DQ136-INT(DQ136)))))</f>
        <v>0</v>
      </c>
      <c r="EJ136" s="835">
        <f>+IF(DR136=DQ136,0,
IF(AND(EJ$44&gt;1,DR136=$N136),1-SUM($EE136:EI136),
IF($N136&lt;=1,
IF($N136&gt;0,1/$N136,0),
IF(EJ$44=1,0,VDB(1,0,$N136,INT(EJ$44-1-1),MIN($N136,INT(EJ$44-1-1)+1),$DC136,IF($DD136="No",1,0))/
IF(DQ136&gt;=INT($N136),$N136-INT($N136),1)))*
IF(EJ$44=1,0,
IF(INT(DR136)=INT(DQ136),DR136-DQ136,INT(DR136)-DQ136))+
IF($N136&lt;=1,
IF($N136&gt;0,1/$N136,0),VDB(1,0,$N136,INT(EJ$44-1),MIN($N136,INT(EJ$44-1)+1),$DC136,IF($DD136="No",1,0))/
IF(DR136&gt;INT($N136),$N136-INT($N136),1))*
IF(EJ$44=1,DR136,
IF(INT(DR136)=INT(DQ136),0,DR136-INT(DR136)))))</f>
        <v>0</v>
      </c>
      <c r="EK136" s="835">
        <f>+IF(DS136=DR136,0,
IF(AND(EK$44&gt;1,DS136=$N136),1-SUM($EE136:EJ136),
IF($N136&lt;=1,
IF($N136&gt;0,1/$N136,0),
IF(EK$44=1,0,VDB(1,0,$N136,INT(EK$44-1-1),MIN($N136,INT(EK$44-1-1)+1),$DC136,IF($DD136="No",1,0))/
IF(DR136&gt;=INT($N136),$N136-INT($N136),1)))*
IF(EK$44=1,0,
IF(INT(DS136)=INT(DR136),DS136-DR136,INT(DS136)-DR136))+
IF($N136&lt;=1,
IF($N136&gt;0,1/$N136,0),VDB(1,0,$N136,INT(EK$44-1),MIN($N136,INT(EK$44-1)+1),$DC136,IF($DD136="No",1,0))/
IF(DS136&gt;INT($N136),$N136-INT($N136),1))*
IF(EK$44=1,DS136,
IF(INT(DS136)=INT(DR136),0,DS136-INT(DS136)))))</f>
        <v>0</v>
      </c>
      <c r="EL136" s="835">
        <f>+IF(DT136=DS136,0,
IF(AND(EL$44&gt;1,DT136=$N136),1-SUM($EE136:EK136),
IF($N136&lt;=1,
IF($N136&gt;0,1/$N136,0),
IF(EL$44=1,0,VDB(1,0,$N136,INT(EL$44-1-1),MIN($N136,INT(EL$44-1-1)+1),$DC136,IF($DD136="No",1,0))/
IF(DS136&gt;=INT($N136),$N136-INT($N136),1)))*
IF(EL$44=1,0,
IF(INT(DT136)=INT(DS136),DT136-DS136,INT(DT136)-DS136))+
IF($N136&lt;=1,
IF($N136&gt;0,1/$N136,0),VDB(1,0,$N136,INT(EL$44-1),MIN($N136,INT(EL$44-1)+1),$DC136,IF($DD136="No",1,0))/
IF(DT136&gt;INT($N136),$N136-INT($N136),1))*
IF(EL$44=1,DT136,
IF(INT(DT136)=INT(DS136),0,DT136-INT(DT136)))))</f>
        <v>0</v>
      </c>
      <c r="EM136" s="836">
        <f>+IF(DU136=DT136,0,
IF(AND(EM$44&gt;1,DU136=$N136),1-SUM($EE136:EL136),
IF($N136&lt;=1,
IF($N136&gt;0,1/$N136,0),
IF(EM$44=1,0,VDB(1,0,$N136,INT(EM$44-1-1),MIN($N136,INT(EM$44-1-1)+1),$DC136,IF($DD136="No",1,0))/
IF(DT136&gt;=INT($N136),$N136-INT($N136),1)))*
IF(EM$44=1,0,
IF(INT(DU136)=INT(DT136),DU136-DT136,INT(DU136)-DT136))+
IF($N136&lt;=1,
IF($N136&gt;0,1/$N136,0),VDB(1,0,$N136,INT(EM$44-1),MIN($N136,INT(EM$44-1)+1),$DC136,IF($DD136="No",1,0))/
IF(DU136&gt;INT($N136),$N136-INT($N136),1))*
IF(EM$44=1,DU136,
IF(INT(DU136)=INT(DT136),0,DU136-INT(DU136)))))</f>
        <v>0</v>
      </c>
      <c r="EN136" s="833"/>
      <c r="EO136" s="834">
        <f>+IF(OR(DW136=DV136,EO$44=1),0,
IF(AND(EO$44&gt;1,DW136=$N136),1-SUM($EN136:EN136),
IF($N136&lt;=1,
IF($N136&gt;0,1/$N136,0),
IF(EO$44=2,0,VDB(1,0,$N136,INT(EO$44-2-1),MIN($N136,INT(EO$44-2-1)+1),$DC136,IF($DD136="No",1,0))/
IF(DV136&gt;=INT($N136),$N136-INT($N136),1)))*
IF(EO$44=2,0,
IF(INT(DW136)=INT(DV136),DW136-DV136,INT(DW136)-DV136))+
IF($N136&lt;=1,
IF($N136&gt;0,1/$N136,0),VDB(1,0,$N136,INT(EO$44-2),MIN($N136,INT(EO$44-2)+1),$DC136,IF($DD136="No",1,0))/
IF(DW136&gt;INT($N136),$N136-INT($N136),1))*
IF(EO$44=2,DW136,
IF(INT(DW136)=INT(DV136),0,DW136-INT(DW136)))))</f>
        <v>0</v>
      </c>
      <c r="EP136" s="835">
        <f>+IF(OR(DX136=DW136,EP$44=1),0,
IF(AND(EP$44&gt;1,DX136=$N136),1-SUM($EN136:EO136),
IF($N136&lt;=1,
IF($N136&gt;0,1/$N136,0),
IF(EP$44=2,0,VDB(1,0,$N136,INT(EP$44-2-1),MIN($N136,INT(EP$44-2-1)+1),$DC136,IF($DD136="No",1,0))/
IF(DW136&gt;=INT($N136),$N136-INT($N136),1)))*
IF(EP$44=2,0,
IF(INT(DX136)=INT(DW136),DX136-DW136,INT(DX136)-DW136))+
IF($N136&lt;=1,
IF($N136&gt;0,1/$N136,0),VDB(1,0,$N136,INT(EP$44-2),MIN($N136,INT(EP$44-2)+1),$DC136,IF($DD136="No",1,0))/
IF(DX136&gt;INT($N136),$N136-INT($N136),1))*
IF(EP$44=2,DX136,
IF(INT(DX136)=INT(DW136),0,DX136-INT(DX136)))))</f>
        <v>0</v>
      </c>
      <c r="EQ136" s="836">
        <f>+IF(OR(DY136=DX136,EQ$44=1),0,
IF(AND(EQ$44&gt;1,DY136=$N136),1-SUM($EN136:EP136),
IF($N136&lt;=1,
IF($N136&gt;0,1/$N136,0),
IF(EQ$44=2,0,VDB(1,0,$N136,INT(EQ$44-2-1),MIN($N136,INT(EQ$44-2-1)+1),$DC136,IF($DD136="No",1,0))/
IF(DX136&gt;=INT($N136),$N136-INT($N136),1)))*
IF(EQ$44=2,0,
IF(INT(DY136)=INT(DX136),DY136-DX136,INT(DY136)-DX136))+
IF($N136&lt;=1,
IF($N136&gt;0,1/$N136,0),VDB(1,0,$N136,INT(EQ$44-2),MIN($N136,INT(EQ$44-2)+1),$DC136,IF($DD136="No",1,0))/
IF(DY136&gt;INT($N136),$N136-INT($N136),1))*
IF(EQ$44=2,DY136,
IF(INT(DY136)=INT(DX136),0,DY136-INT(DY136)))))</f>
        <v>0</v>
      </c>
      <c r="ER136" s="834">
        <f>+IF(OR(DZ136=DY136,ER$44=1),0,
IF(AND(ER$44&gt;1,DZ136=$N136),1-SUM($EN136:EQ136),
IF($N136&lt;=1,
IF($N136&gt;0,1/$N136,0),
IF(ER$44=2,0,VDB(1,0,$N136,INT(ER$44-2-1),MIN($N136,INT(ER$44-2-1)+1),$DC136,IF($DD136="No",1,0))/
IF(DY136&gt;=INT($N136),$N136-INT($N136),1)))*
IF(ER$44=2,0,
IF(INT(DZ136)=INT(DY136),DZ136-DY136,INT(DZ136)-DY136))+
IF($N136&lt;=1,
IF($N136&gt;0,1/$N136,0),VDB(1,0,$N136,INT(ER$44-2),MIN($N136,INT(ER$44-2)+1),$DC136,IF($DD136="No",1,0))/
IF(DZ136&gt;INT($N136),$N136-INT($N136),1))*
IF(ER$44=2,DZ136,
IF(INT(DZ136)=INT(DY136),0,DZ136-INT(DZ136)))))</f>
        <v>0</v>
      </c>
      <c r="ES136" s="835">
        <f>+IF(OR(EA136=DZ136,ES$44=1),0,
IF(AND(ES$44&gt;1,EA136=$N136),1-SUM($EN136:ER136),
IF($N136&lt;=1,
IF($N136&gt;0,1/$N136,0),
IF(ES$44=2,0,VDB(1,0,$N136,INT(ES$44-2-1),MIN($N136,INT(ES$44-2-1)+1),$DC136,IF($DD136="No",1,0))/
IF(DZ136&gt;=INT($N136),$N136-INT($N136),1)))*
IF(ES$44=2,0,
IF(INT(EA136)=INT(DZ136),EA136-DZ136,INT(EA136)-DZ136))+
IF($N136&lt;=1,
IF($N136&gt;0,1/$N136,0),VDB(1,0,$N136,INT(ES$44-2),MIN($N136,INT(ES$44-2)+1),$DC136,IF($DD136="No",1,0))/
IF(EA136&gt;INT($N136),$N136-INT($N136),1))*
IF(ES$44=2,EA136,
IF(INT(EA136)=INT(DZ136),0,EA136-INT(EA136)))))</f>
        <v>0</v>
      </c>
      <c r="ET136" s="835">
        <f>+IF(OR(EB136=EA136,ET$44=1),0,
IF(AND(ET$44&gt;1,EB136=$N136),1-SUM($EN136:ES136),
IF($N136&lt;=1,
IF($N136&gt;0,1/$N136,0),
IF(ET$44=2,0,VDB(1,0,$N136,INT(ET$44-2-1),MIN($N136,INT(ET$44-2-1)+1),$DC136,IF($DD136="No",1,0))/
IF(EA136&gt;=INT($N136),$N136-INT($N136),1)))*
IF(ET$44=2,0,
IF(INT(EB136)=INT(EA136),EB136-EA136,INT(EB136)-EA136))+
IF($N136&lt;=1,
IF($N136&gt;0,1/$N136,0),VDB(1,0,$N136,INT(ET$44-2),MIN($N136,INT(ET$44-2)+1),$DC136,IF($DD136="No",1,0))/
IF(EB136&gt;INT($N136),$N136-INT($N136),1))*
IF(ET$44=2,EB136,
IF(INT(EB136)=INT(EA136),0,EB136-INT(EB136)))))</f>
        <v>0</v>
      </c>
      <c r="EU136" s="835">
        <f>+IF(OR(EC136=EB136,EU$44=1),0,
IF(AND(EU$44&gt;1,EC136=$N136),1-SUM($EN136:ET136),
IF($N136&lt;=1,
IF($N136&gt;0,1/$N136,0),
IF(EU$44=2,0,VDB(1,0,$N136,INT(EU$44-2-1),MIN($N136,INT(EU$44-2-1)+1),$DC136,IF($DD136="No",1,0))/
IF(EB136&gt;=INT($N136),$N136-INT($N136),1)))*
IF(EU$44=2,0,
IF(INT(EC136)=INT(EB136),EC136-EB136,INT(EC136)-EB136))+
IF($N136&lt;=1,
IF($N136&gt;0,1/$N136,0),VDB(1,0,$N136,INT(EU$44-2),MIN($N136,INT(EU$44-2)+1),$DC136,IF($DD136="No",1,0))/
IF(EC136&gt;INT($N136),$N136-INT($N136),1))*
IF(EU$44=2,EC136,
IF(INT(EC136)=INT(EB136),0,EC136-INT(EC136)))))</f>
        <v>0</v>
      </c>
      <c r="EV136" s="836">
        <f>+IF(OR(ED136=EC136,EV$44=1),0,
IF(AND(EV$44&gt;1,ED136=$N136),1-SUM($EN136:EU136),
IF($N136&lt;=1,
IF($N136&gt;0,1/$N136,0),
IF(EV$44=2,0,VDB(1,0,$N136,INT(EV$44-2-1),MIN($N136,INT(EV$44-2-1)+1),$DC136,IF($DD136="No",1,0))/
IF(EC136&gt;=INT($N136),$N136-INT($N136),1)))*
IF(EV$44=2,0,
IF(INT(ED136)=INT(EC136),ED136-EC136,INT(ED136)-EC136))+
IF($N136&lt;=1,
IF($N136&gt;0,1/$N136,0),VDB(1,0,$N136,INT(EV$44-2),MIN($N136,INT(EV$44-2)+1),$DC136,IF($DD136="No",1,0))/
IF(ED136&gt;INT($N136),$N136-INT($N136),1))*
IF(EV$44=2,ED136,
IF(INT(ED136)=INT(EC136),0,ED136-INT(ED136)))))</f>
        <v>0</v>
      </c>
      <c r="EW136" s="833"/>
      <c r="EX136" s="834">
        <f t="shared" ca="1" si="303"/>
        <v>0</v>
      </c>
      <c r="EY136" s="835">
        <f t="shared" ca="1" si="303"/>
        <v>0</v>
      </c>
      <c r="EZ136" s="836">
        <f t="shared" ca="1" si="303"/>
        <v>0</v>
      </c>
      <c r="FA136" s="834">
        <f t="shared" ca="1" si="303"/>
        <v>0</v>
      </c>
      <c r="FB136" s="835">
        <f t="shared" ca="1" si="303"/>
        <v>0</v>
      </c>
      <c r="FC136" s="835">
        <f t="shared" ca="1" si="303"/>
        <v>0</v>
      </c>
      <c r="FD136" s="835">
        <f t="shared" ca="1" si="303"/>
        <v>0</v>
      </c>
      <c r="FE136" s="836">
        <f t="shared" ca="1" si="303"/>
        <v>0</v>
      </c>
      <c r="FG136" s="386">
        <f t="shared" ca="1" si="293"/>
        <v>0</v>
      </c>
      <c r="FH136" s="387">
        <f t="shared" ca="1" si="294"/>
        <v>0</v>
      </c>
      <c r="FI136" s="388">
        <f t="shared" ca="1" si="295"/>
        <v>0</v>
      </c>
      <c r="FJ136" s="386">
        <f t="shared" ca="1" si="296"/>
        <v>0</v>
      </c>
      <c r="FK136" s="387">
        <f t="shared" ca="1" si="297"/>
        <v>0</v>
      </c>
      <c r="FL136" s="387">
        <f t="shared" ca="1" si="298"/>
        <v>0</v>
      </c>
      <c r="FM136" s="387">
        <f t="shared" ca="1" si="299"/>
        <v>0</v>
      </c>
      <c r="FN136" s="388">
        <f t="shared" ca="1" si="300"/>
        <v>0</v>
      </c>
      <c r="FR136" s="116"/>
    </row>
    <row r="137" spans="2:174">
      <c r="B137" s="1410">
        <f t="shared" si="302"/>
        <v>91</v>
      </c>
      <c r="C137" s="400" t="s">
        <v>636</v>
      </c>
      <c r="D137" s="410"/>
      <c r="E137" s="402" t="s">
        <v>401</v>
      </c>
      <c r="F137" s="402" t="s">
        <v>520</v>
      </c>
      <c r="G137" s="400" t="s">
        <v>515</v>
      </c>
      <c r="H137" s="2088" t="s">
        <v>483</v>
      </c>
      <c r="I137" s="2089"/>
      <c r="J137" s="411" t="s">
        <v>516</v>
      </c>
      <c r="K137" s="403" t="s">
        <v>366</v>
      </c>
      <c r="L137" s="403">
        <v>100</v>
      </c>
      <c r="M137" s="403" t="s">
        <v>142</v>
      </c>
      <c r="N137" s="403"/>
      <c r="O137" s="347"/>
      <c r="P137" s="347"/>
      <c r="Q137" s="1021">
        <v>40.975609756097562</v>
      </c>
      <c r="R137" s="1022">
        <v>42.831647828673418</v>
      </c>
      <c r="S137" s="1022">
        <v>65.930558175302181</v>
      </c>
      <c r="T137" s="1022">
        <v>69.75819964958113</v>
      </c>
      <c r="U137" s="1023">
        <v>30.051045778723591</v>
      </c>
      <c r="V137" s="1021">
        <v>86.229686596050485</v>
      </c>
      <c r="W137" s="1022">
        <v>84.126523508341933</v>
      </c>
      <c r="X137" s="1022">
        <v>82.074657081309212</v>
      </c>
      <c r="Y137" s="1022">
        <v>80.072836176887051</v>
      </c>
      <c r="Z137" s="1023">
        <v>78.119840172572736</v>
      </c>
      <c r="AA137" s="1024"/>
      <c r="AB137" s="1021">
        <v>0</v>
      </c>
      <c r="AC137" s="1022">
        <v>0</v>
      </c>
      <c r="AD137" s="1022">
        <v>0</v>
      </c>
      <c r="AE137" s="1022">
        <v>0</v>
      </c>
      <c r="AF137" s="1023">
        <v>0</v>
      </c>
      <c r="AG137" s="1021">
        <v>0</v>
      </c>
      <c r="AH137" s="1022">
        <v>0</v>
      </c>
      <c r="AI137" s="1022">
        <v>0</v>
      </c>
      <c r="AJ137" s="1022">
        <v>0</v>
      </c>
      <c r="AK137" s="1023">
        <v>0</v>
      </c>
      <c r="AL137" s="1024"/>
      <c r="AM137" s="1021">
        <v>0</v>
      </c>
      <c r="AN137" s="1022">
        <v>0</v>
      </c>
      <c r="AO137" s="1022">
        <v>0</v>
      </c>
      <c r="AP137" s="1022">
        <v>0</v>
      </c>
      <c r="AQ137" s="1023">
        <v>0</v>
      </c>
      <c r="AR137" s="1021">
        <v>0</v>
      </c>
      <c r="AS137" s="1022">
        <v>0</v>
      </c>
      <c r="AT137" s="1022">
        <v>0</v>
      </c>
      <c r="AU137" s="1022">
        <v>0</v>
      </c>
      <c r="AV137" s="1023">
        <v>0</v>
      </c>
      <c r="AW137" s="1025"/>
      <c r="AX137" s="1282">
        <f t="shared" si="247"/>
        <v>40.975609756097562</v>
      </c>
      <c r="AY137" s="387">
        <f t="shared" si="248"/>
        <v>42.831647828673418</v>
      </c>
      <c r="AZ137" s="387">
        <f t="shared" si="249"/>
        <v>65.930558175302181</v>
      </c>
      <c r="BA137" s="387">
        <f t="shared" si="250"/>
        <v>69.75819964958113</v>
      </c>
      <c r="BB137" s="1283">
        <f t="shared" si="251"/>
        <v>30.051045778723591</v>
      </c>
      <c r="BC137" s="386">
        <f t="shared" si="252"/>
        <v>86.229686596050485</v>
      </c>
      <c r="BD137" s="387">
        <f t="shared" si="253"/>
        <v>84.126523508341933</v>
      </c>
      <c r="BE137" s="1277">
        <f t="shared" si="254"/>
        <v>82.074657081309212</v>
      </c>
      <c r="BF137" s="1277">
        <f t="shared" si="255"/>
        <v>80.072836176887051</v>
      </c>
      <c r="BG137" s="388">
        <f t="shared" si="256"/>
        <v>78.119840172572736</v>
      </c>
      <c r="BH137" s="1025"/>
      <c r="BI137" s="1282">
        <f t="shared" ca="1" si="257"/>
        <v>0</v>
      </c>
      <c r="BJ137" s="387">
        <f t="shared" ca="1" si="258"/>
        <v>0</v>
      </c>
      <c r="BK137" s="387">
        <f t="shared" ca="1" si="259"/>
        <v>0</v>
      </c>
      <c r="BL137" s="387">
        <f t="shared" ca="1" si="260"/>
        <v>0</v>
      </c>
      <c r="BM137" s="1283">
        <f t="shared" ca="1" si="261"/>
        <v>0</v>
      </c>
      <c r="BN137" s="386">
        <f t="shared" ca="1" si="262"/>
        <v>0</v>
      </c>
      <c r="BO137" s="387">
        <f t="shared" ca="1" si="263"/>
        <v>0</v>
      </c>
      <c r="BP137" s="1277">
        <f t="shared" ca="1" si="264"/>
        <v>0</v>
      </c>
      <c r="BQ137" s="1277">
        <f t="shared" ca="1" si="265"/>
        <v>0</v>
      </c>
      <c r="BR137" s="388">
        <f t="shared" ca="1" si="266"/>
        <v>3.3008530236176963</v>
      </c>
      <c r="BS137" s="1025"/>
      <c r="BT137" s="1282">
        <f>+IF($K137="Ongoing",AX137,IF(RIGHT($K137,2)=RIGHT(BT$43,2),SUM($AX137:AX137),0)+IF(RIGHT(BT$43,2)&gt;RIGHT($K137,2),AX137,0))</f>
        <v>0</v>
      </c>
      <c r="BU137" s="387">
        <f>+IF($K137="Ongoing",AY137,IF(RIGHT($K137,2)=RIGHT(BU$43,2),SUM($AX137:AY137),0)+IF(RIGHT(BU$43,2)&gt;RIGHT($K137,2),AY137,0))</f>
        <v>0</v>
      </c>
      <c r="BV137" s="387">
        <f>+IF($K137="Ongoing",AZ137,IF(RIGHT($K137,2)=RIGHT(BV$43,2),SUM($AX137:AZ137),0)+IF(RIGHT(BV$43,2)&gt;RIGHT($K137,2),AZ137,0))</f>
        <v>0</v>
      </c>
      <c r="BW137" s="387">
        <f>+IF($K137="Ongoing",BA137,IF(RIGHT($K137,2)=RIGHT(BW$43,2),SUM($AX137:BA137),0)+IF(RIGHT(BW$43,2)&gt;RIGHT($K137,2),BA137,0))</f>
        <v>0</v>
      </c>
      <c r="BX137" s="1283">
        <f>+IF($K137="Ongoing",BB137,IF(RIGHT($K137,2)=RIGHT(BX$43,2),SUM($AX137:BB137),0)+IF(RIGHT(BX$43,2)&gt;RIGHT($K137,2),BB137,0))</f>
        <v>0</v>
      </c>
      <c r="BY137" s="386">
        <f>+IF($K137="Ongoing",BC137,IF(RIGHT($K137,2)=RIGHT(BY$43,2),SUM($AX137:BC137),0)+IF(RIGHT(BY$43,2)&gt;RIGHT($K137,2),BC137,0))</f>
        <v>0</v>
      </c>
      <c r="BZ137" s="387">
        <f>+IF($K137="Ongoing",BD137,IF(RIGHT($K137,2)=RIGHT(BZ$43,2),SUM($AX137:BD137),0)+IF(RIGHT(BZ$43,2)&gt;RIGHT($K137,2),BD137,0))</f>
        <v>0</v>
      </c>
      <c r="CA137" s="1277">
        <f>+IF($K137="Ongoing",BE137,IF(RIGHT($K137,2)=RIGHT(CA$43,2),SUM($AX137:BE137),0)+IF(RIGHT(CA$43,2)&gt;RIGHT($K137,2),BE137,0))</f>
        <v>0</v>
      </c>
      <c r="CB137" s="1277">
        <f>+IF($K137="Ongoing",BF137,IF(RIGHT($K137,2)=RIGHT(CB$43,2),SUM($AX137:BF137),0)+IF(RIGHT(CB$43,2)&gt;RIGHT($K137,2),BF137,0))</f>
        <v>0</v>
      </c>
      <c r="CC137" s="388">
        <f>+IF($K137="Ongoing",BG137,IF(RIGHT($K137,2)=RIGHT(CC$43,2),SUM($AX137:BG137),0)+IF(RIGHT(CC$43,2)&gt;RIGHT($K137,2),BG137,0))</f>
        <v>660.17060472353921</v>
      </c>
      <c r="CD137" s="1025"/>
      <c r="CE137" s="1282">
        <f>+Q137*KeyAssumptionsPriceControl_FO!AF$15</f>
        <v>42.16390243902439</v>
      </c>
      <c r="CF137" s="387">
        <f>+R137*KeyAssumptionsPriceControl_FO!AG$15</f>
        <v>45.351904818560385</v>
      </c>
      <c r="CG137" s="387">
        <f>+S137*KeyAssumptionsPriceControl_FO!AH$15</f>
        <v>71.834467515213078</v>
      </c>
      <c r="CH137" s="387">
        <f>+T137*KeyAssumptionsPriceControl_FO!AI$15</f>
        <v>78.209005353938537</v>
      </c>
      <c r="CI137" s="1283">
        <f>+U137*KeyAssumptionsPriceControl_FO!AJ$15</f>
        <v>34.668612750242566</v>
      </c>
      <c r="CJ137" s="386">
        <f>+V137*KeyAssumptionsPriceControl_FO!AK$15</f>
        <v>102.36442616929584</v>
      </c>
      <c r="CK137" s="387">
        <f>+W137*KeyAssumptionsPriceControl_FO!AL$15</f>
        <v>102.7638971006882</v>
      </c>
      <c r="CL137" s="1277">
        <f>+X137*KeyAssumptionsPriceControl_FO!AM$15</f>
        <v>103.16492694303236</v>
      </c>
      <c r="CM137" s="1277">
        <f>+Y137*KeyAssumptionsPriceControl_FO!AN$15</f>
        <v>103.56752177988322</v>
      </c>
      <c r="CN137" s="388">
        <f>+Z137*KeyAssumptionsPriceControl_FO!AO$15</f>
        <v>103.97168771853643</v>
      </c>
      <c r="CO137" s="1025"/>
      <c r="CP137" s="1282">
        <f t="shared" ca="1" si="267"/>
        <v>0</v>
      </c>
      <c r="CQ137" s="387">
        <f t="shared" ca="1" si="268"/>
        <v>0</v>
      </c>
      <c r="CR137" s="387">
        <f t="shared" ca="1" si="269"/>
        <v>0</v>
      </c>
      <c r="CS137" s="387">
        <f t="shared" ca="1" si="270"/>
        <v>0</v>
      </c>
      <c r="CT137" s="1283">
        <f t="shared" ca="1" si="271"/>
        <v>0</v>
      </c>
      <c r="CU137" s="386">
        <f t="shared" ca="1" si="272"/>
        <v>0</v>
      </c>
      <c r="CV137" s="387">
        <f t="shared" ca="1" si="273"/>
        <v>0</v>
      </c>
      <c r="CW137" s="1277">
        <f t="shared" ca="1" si="274"/>
        <v>0</v>
      </c>
      <c r="CX137" s="1277">
        <f t="shared" ca="1" si="275"/>
        <v>0</v>
      </c>
      <c r="CY137" s="388">
        <f t="shared" ca="1" si="276"/>
        <v>0</v>
      </c>
      <c r="CZ137" s="347"/>
      <c r="DA137" s="852"/>
      <c r="DB137" s="347"/>
      <c r="DC137" s="1012" t="s">
        <v>638</v>
      </c>
      <c r="DD137" s="841" t="s">
        <v>518</v>
      </c>
      <c r="DE137" s="386">
        <f>+IF($K137="ongoing",CE137,IF(RIGHT($K137,2)=RIGHT(DE$43,2),SUM($CD137:CE137),0)+IF(RIGHT(DE$43,2)&gt;RIGHT($K137,2),CE137,0))</f>
        <v>0</v>
      </c>
      <c r="DF137" s="387">
        <f>+IF($K137="ongoing",CF137,IF(RIGHT($K137,2)=RIGHT(DF$43,2),SUM($CD137:CF137),0)+IF(RIGHT(DF$43,2)&gt;RIGHT($K137,2),CF137,0))</f>
        <v>0</v>
      </c>
      <c r="DG137" s="388">
        <f>+IF($K137="ongoing",CG137,IF(RIGHT($K137,2)=RIGHT(DG$43,2),SUM($CD137:CG137),0)+IF(RIGHT(DG$43,2)&gt;RIGHT($K137,2),CG137,0))</f>
        <v>0</v>
      </c>
      <c r="DH137" s="386">
        <f>+IF($K137="ongoing",CH137,IF(RIGHT($K137,2)=RIGHT(DH$43,2),SUM($CD137:CH137),0)+IF(RIGHT(DH$43,2)&gt;RIGHT($K137,2),CH137,0))</f>
        <v>0</v>
      </c>
      <c r="DI137" s="387">
        <f>+IF($K137="ongoing",CI137,IF(RIGHT($K137,2)=RIGHT(DI$43,2),SUM($CD137:CI137),0)+IF(RIGHT(DI$43,2)&gt;RIGHT($K137,2),CI137,0))</f>
        <v>0</v>
      </c>
      <c r="DJ137" s="387">
        <f>+IF($K137="ongoing",CJ137,IF(RIGHT($K137,2)=RIGHT(DJ$43,2),SUM($CD137:CJ137),0)+IF(RIGHT(DJ$43,2)&gt;RIGHT($K137,2),CJ137,0))</f>
        <v>0</v>
      </c>
      <c r="DK137" s="387">
        <f>+IF($K137="ongoing",CK137,IF(RIGHT($K137,2)=RIGHT(DK$43,2),SUM($CD137:CK137),0)+IF(RIGHT(DK$43,2)&gt;RIGHT($K137,2),CK137,0))</f>
        <v>0</v>
      </c>
      <c r="DL137" s="388">
        <f>+IF($K137="ongoing",CN137,IF(RIGHT($K137,2)=RIGHT(DL$43,2),SUM($CD137:CN137),0)+IF(RIGHT(DL$43,2)&gt;RIGHT($K137,2),CN137,0))</f>
        <v>0</v>
      </c>
      <c r="DM137" s="841"/>
      <c r="DN137" s="386">
        <f t="shared" si="277"/>
        <v>0.5</v>
      </c>
      <c r="DO137" s="387">
        <f t="shared" si="278"/>
        <v>1</v>
      </c>
      <c r="DP137" s="388">
        <f t="shared" si="279"/>
        <v>1</v>
      </c>
      <c r="DQ137" s="386">
        <f t="shared" si="280"/>
        <v>1</v>
      </c>
      <c r="DR137" s="387">
        <f t="shared" si="281"/>
        <v>1</v>
      </c>
      <c r="DS137" s="387">
        <f t="shared" si="282"/>
        <v>1</v>
      </c>
      <c r="DT137" s="387">
        <f t="shared" si="283"/>
        <v>1</v>
      </c>
      <c r="DU137" s="388">
        <f t="shared" si="284"/>
        <v>1</v>
      </c>
      <c r="DW137" s="386">
        <f t="shared" si="285"/>
        <v>0</v>
      </c>
      <c r="DX137" s="387">
        <f t="shared" si="286"/>
        <v>0.5</v>
      </c>
      <c r="DY137" s="388">
        <f t="shared" si="287"/>
        <v>1</v>
      </c>
      <c r="DZ137" s="386">
        <f t="shared" si="288"/>
        <v>1</v>
      </c>
      <c r="EA137" s="387">
        <f t="shared" si="289"/>
        <v>1</v>
      </c>
      <c r="EB137" s="387">
        <f t="shared" si="290"/>
        <v>1</v>
      </c>
      <c r="EC137" s="387">
        <f t="shared" si="291"/>
        <v>1</v>
      </c>
      <c r="ED137" s="388">
        <f t="shared" si="292"/>
        <v>1</v>
      </c>
      <c r="EF137" s="834">
        <f>+IF(DN137=DM137,0,
IF(AND(EF$44&gt;1,DN137=$N137),1-SUM($EE137:EE137),
IF($N137&lt;=1,
IF($N137&gt;0,1/$N137,0),
IF(EF$44=1,0,VDB(1,0,$N137,INT(EF$44-1-1),MIN($N137,INT(EF$44-1-1)+1),$DC137,IF($DD137="No",1,0))/
IF(DM137&gt;=INT($N137),$N137-INT($N137),1)))*
IF(EF$44=1,0,
IF(INT(DN137)=INT(DM137),DN137-DM137,INT(DN137)-DM137))+
IF($N137&lt;=1,
IF($N137&gt;0,1/$N137,0),VDB(1,0,$N137,INT(EF$44-1),MIN($N137,INT(EF$44-1)+1),$DC137,IF($DD137="No",1,0))/
IF(DN137&gt;INT($N137),$N137-INT($N137),1))*
IF(EF$44=1,DN137,
IF(INT(DN137)=INT(DM137),0,DN137-INT(DN137)))))</f>
        <v>0</v>
      </c>
      <c r="EG137" s="835">
        <f>+IF(DO137=DN137,0,
IF(AND(EG$44&gt;1,DO137=$N137),1-SUM($EE137:EF137),
IF($N137&lt;=1,
IF($N137&gt;0,1/$N137,0),
IF(EG$44=1,0,VDB(1,0,$N137,INT(EG$44-1-1),MIN($N137,INT(EG$44-1-1)+1),$DC137,IF($DD137="No",1,0))/
IF(DN137&gt;=INT($N137),$N137-INT($N137),1)))*
IF(EG$44=1,0,
IF(INT(DO137)=INT(DN137),DO137-DN137,INT(DO137)-DN137))+
IF($N137&lt;=1,
IF($N137&gt;0,1/$N137,0),VDB(1,0,$N137,INT(EG$44-1),MIN($N137,INT(EG$44-1)+1),$DC137,IF($DD137="No",1,0))/
IF(DO137&gt;INT($N137),$N137-INT($N137),1))*
IF(EG$44=1,DO137,
IF(INT(DO137)=INT(DN137),0,DO137-INT(DO137)))))</f>
        <v>0</v>
      </c>
      <c r="EH137" s="836">
        <f>+IF(DP137=DO137,0,
IF(AND(EH$44&gt;1,DP137=$N137),1-SUM($EE137:EG137),
IF($N137&lt;=1,
IF($N137&gt;0,1/$N137,0),
IF(EH$44=1,0,VDB(1,0,$N137,INT(EH$44-1-1),MIN($N137,INT(EH$44-1-1)+1),$DC137,IF($DD137="No",1,0))/
IF(DO137&gt;=INT($N137),$N137-INT($N137),1)))*
IF(EH$44=1,0,
IF(INT(DP137)=INT(DO137),DP137-DO137,INT(DP137)-DO137))+
IF($N137&lt;=1,
IF($N137&gt;0,1/$N137,0),VDB(1,0,$N137,INT(EH$44-1),MIN($N137,INT(EH$44-1)+1),$DC137,IF($DD137="No",1,0))/
IF(DP137&gt;INT($N137),$N137-INT($N137),1))*
IF(EH$44=1,DP137,
IF(INT(DP137)=INT(DO137),0,DP137-INT(DP137)))))</f>
        <v>0</v>
      </c>
      <c r="EI137" s="834">
        <f>+IF(DQ137=DP137,0,
IF(AND(EI$44&gt;1,DQ137=$N137),1-SUM($EE137:EH137),
IF($N137&lt;=1,
IF($N137&gt;0,1/$N137,0),
IF(EI$44=1,0,VDB(1,0,$N137,INT(EI$44-1-1),MIN($N137,INT(EI$44-1-1)+1),$DC137,IF($DD137="No",1,0))/
IF(DP137&gt;=INT($N137),$N137-INT($N137),1)))*
IF(EI$44=1,0,
IF(INT(DQ137)=INT(DP137),DQ137-DP137,INT(DQ137)-DP137))+
IF($N137&lt;=1,
IF($N137&gt;0,1/$N137,0),VDB(1,0,$N137,INT(EI$44-1),MIN($N137,INT(EI$44-1)+1),$DC137,IF($DD137="No",1,0))/
IF(DQ137&gt;INT($N137),$N137-INT($N137),1))*
IF(EI$44=1,DQ137,
IF(INT(DQ137)=INT(DP137),0,DQ137-INT(DQ137)))))</f>
        <v>0</v>
      </c>
      <c r="EJ137" s="835">
        <f>+IF(DR137=DQ137,0,
IF(AND(EJ$44&gt;1,DR137=$N137),1-SUM($EE137:EI137),
IF($N137&lt;=1,
IF($N137&gt;0,1/$N137,0),
IF(EJ$44=1,0,VDB(1,0,$N137,INT(EJ$44-1-1),MIN($N137,INT(EJ$44-1-1)+1),$DC137,IF($DD137="No",1,0))/
IF(DQ137&gt;=INT($N137),$N137-INT($N137),1)))*
IF(EJ$44=1,0,
IF(INT(DR137)=INT(DQ137),DR137-DQ137,INT(DR137)-DQ137))+
IF($N137&lt;=1,
IF($N137&gt;0,1/$N137,0),VDB(1,0,$N137,INT(EJ$44-1),MIN($N137,INT(EJ$44-1)+1),$DC137,IF($DD137="No",1,0))/
IF(DR137&gt;INT($N137),$N137-INT($N137),1))*
IF(EJ$44=1,DR137,
IF(INT(DR137)=INT(DQ137),0,DR137-INT(DR137)))))</f>
        <v>0</v>
      </c>
      <c r="EK137" s="835">
        <f>+IF(DS137=DR137,0,
IF(AND(EK$44&gt;1,DS137=$N137),1-SUM($EE137:EJ137),
IF($N137&lt;=1,
IF($N137&gt;0,1/$N137,0),
IF(EK$44=1,0,VDB(1,0,$N137,INT(EK$44-1-1),MIN($N137,INT(EK$44-1-1)+1),$DC137,IF($DD137="No",1,0))/
IF(DR137&gt;=INT($N137),$N137-INT($N137),1)))*
IF(EK$44=1,0,
IF(INT(DS137)=INT(DR137),DS137-DR137,INT(DS137)-DR137))+
IF($N137&lt;=1,
IF($N137&gt;0,1/$N137,0),VDB(1,0,$N137,INT(EK$44-1),MIN($N137,INT(EK$44-1)+1),$DC137,IF($DD137="No",1,0))/
IF(DS137&gt;INT($N137),$N137-INT($N137),1))*
IF(EK$44=1,DS137,
IF(INT(DS137)=INT(DR137),0,DS137-INT(DS137)))))</f>
        <v>0</v>
      </c>
      <c r="EL137" s="835">
        <f>+IF(DT137=DS137,0,
IF(AND(EL$44&gt;1,DT137=$N137),1-SUM($EE137:EK137),
IF($N137&lt;=1,
IF($N137&gt;0,1/$N137,0),
IF(EL$44=1,0,VDB(1,0,$N137,INT(EL$44-1-1),MIN($N137,INT(EL$44-1-1)+1),$DC137,IF($DD137="No",1,0))/
IF(DS137&gt;=INT($N137),$N137-INT($N137),1)))*
IF(EL$44=1,0,
IF(INT(DT137)=INT(DS137),DT137-DS137,INT(DT137)-DS137))+
IF($N137&lt;=1,
IF($N137&gt;0,1/$N137,0),VDB(1,0,$N137,INT(EL$44-1),MIN($N137,INT(EL$44-1)+1),$DC137,IF($DD137="No",1,0))/
IF(DT137&gt;INT($N137),$N137-INT($N137),1))*
IF(EL$44=1,DT137,
IF(INT(DT137)=INT(DS137),0,DT137-INT(DT137)))))</f>
        <v>0</v>
      </c>
      <c r="EM137" s="836">
        <f>+IF(DU137=DT137,0,
IF(AND(EM$44&gt;1,DU137=$N137),1-SUM($EE137:EL137),
IF($N137&lt;=1,
IF($N137&gt;0,1/$N137,0),
IF(EM$44=1,0,VDB(1,0,$N137,INT(EM$44-1-1),MIN($N137,INT(EM$44-1-1)+1),$DC137,IF($DD137="No",1,0))/
IF(DT137&gt;=INT($N137),$N137-INT($N137),1)))*
IF(EM$44=1,0,
IF(INT(DU137)=INT(DT137),DU137-DT137,INT(DU137)-DT137))+
IF($N137&lt;=1,
IF($N137&gt;0,1/$N137,0),VDB(1,0,$N137,INT(EM$44-1),MIN($N137,INT(EM$44-1)+1),$DC137,IF($DD137="No",1,0))/
IF(DU137&gt;INT($N137),$N137-INT($N137),1))*
IF(EM$44=1,DU137,
IF(INT(DU137)=INT(DT137),0,DU137-INT(DU137)))))</f>
        <v>0</v>
      </c>
      <c r="EN137" s="833"/>
      <c r="EO137" s="834">
        <f>+IF(OR(DW137=DV137,EO$44=1),0,
IF(AND(EO$44&gt;1,DW137=$N137),1-SUM($EN137:EN137),
IF($N137&lt;=1,
IF($N137&gt;0,1/$N137,0),
IF(EO$44=2,0,VDB(1,0,$N137,INT(EO$44-2-1),MIN($N137,INT(EO$44-2-1)+1),$DC137,IF($DD137="No",1,0))/
IF(DV137&gt;=INT($N137),$N137-INT($N137),1)))*
IF(EO$44=2,0,
IF(INT(DW137)=INT(DV137),DW137-DV137,INT(DW137)-DV137))+
IF($N137&lt;=1,
IF($N137&gt;0,1/$N137,0),VDB(1,0,$N137,INT(EO$44-2),MIN($N137,INT(EO$44-2)+1),$DC137,IF($DD137="No",1,0))/
IF(DW137&gt;INT($N137),$N137-INT($N137),1))*
IF(EO$44=2,DW137,
IF(INT(DW137)=INT(DV137),0,DW137-INT(DW137)))))</f>
        <v>0</v>
      </c>
      <c r="EP137" s="835">
        <f>+IF(OR(DX137=DW137,EP$44=1),0,
IF(AND(EP$44&gt;1,DX137=$N137),1-SUM($EN137:EO137),
IF($N137&lt;=1,
IF($N137&gt;0,1/$N137,0),
IF(EP$44=2,0,VDB(1,0,$N137,INT(EP$44-2-1),MIN($N137,INT(EP$44-2-1)+1),$DC137,IF($DD137="No",1,0))/
IF(DW137&gt;=INT($N137),$N137-INT($N137),1)))*
IF(EP$44=2,0,
IF(INT(DX137)=INT(DW137),DX137-DW137,INT(DX137)-DW137))+
IF($N137&lt;=1,
IF($N137&gt;0,1/$N137,0),VDB(1,0,$N137,INT(EP$44-2),MIN($N137,INT(EP$44-2)+1),$DC137,IF($DD137="No",1,0))/
IF(DX137&gt;INT($N137),$N137-INT($N137),1))*
IF(EP$44=2,DX137,
IF(INT(DX137)=INT(DW137),0,DX137-INT(DX137)))))</f>
        <v>0</v>
      </c>
      <c r="EQ137" s="836">
        <f>+IF(OR(DY137=DX137,EQ$44=1),0,
IF(AND(EQ$44&gt;1,DY137=$N137),1-SUM($EN137:EP137),
IF($N137&lt;=1,
IF($N137&gt;0,1/$N137,0),
IF(EQ$44=2,0,VDB(1,0,$N137,INT(EQ$44-2-1),MIN($N137,INT(EQ$44-2-1)+1),$DC137,IF($DD137="No",1,0))/
IF(DX137&gt;=INT($N137),$N137-INT($N137),1)))*
IF(EQ$44=2,0,
IF(INT(DY137)=INT(DX137),DY137-DX137,INT(DY137)-DX137))+
IF($N137&lt;=1,
IF($N137&gt;0,1/$N137,0),VDB(1,0,$N137,INT(EQ$44-2),MIN($N137,INT(EQ$44-2)+1),$DC137,IF($DD137="No",1,0))/
IF(DY137&gt;INT($N137),$N137-INT($N137),1))*
IF(EQ$44=2,DY137,
IF(INT(DY137)=INT(DX137),0,DY137-INT(DY137)))))</f>
        <v>0</v>
      </c>
      <c r="ER137" s="834">
        <f>+IF(OR(DZ137=DY137,ER$44=1),0,
IF(AND(ER$44&gt;1,DZ137=$N137),1-SUM($EN137:EQ137),
IF($N137&lt;=1,
IF($N137&gt;0,1/$N137,0),
IF(ER$44=2,0,VDB(1,0,$N137,INT(ER$44-2-1),MIN($N137,INT(ER$44-2-1)+1),$DC137,IF($DD137="No",1,0))/
IF(DY137&gt;=INT($N137),$N137-INT($N137),1)))*
IF(ER$44=2,0,
IF(INT(DZ137)=INT(DY137),DZ137-DY137,INT(DZ137)-DY137))+
IF($N137&lt;=1,
IF($N137&gt;0,1/$N137,0),VDB(1,0,$N137,INT(ER$44-2),MIN($N137,INT(ER$44-2)+1),$DC137,IF($DD137="No",1,0))/
IF(DZ137&gt;INT($N137),$N137-INT($N137),1))*
IF(ER$44=2,DZ137,
IF(INT(DZ137)=INT(DY137),0,DZ137-INT(DZ137)))))</f>
        <v>0</v>
      </c>
      <c r="ES137" s="835">
        <f>+IF(OR(EA137=DZ137,ES$44=1),0,
IF(AND(ES$44&gt;1,EA137=$N137),1-SUM($EN137:ER137),
IF($N137&lt;=1,
IF($N137&gt;0,1/$N137,0),
IF(ES$44=2,0,VDB(1,0,$N137,INT(ES$44-2-1),MIN($N137,INT(ES$44-2-1)+1),$DC137,IF($DD137="No",1,0))/
IF(DZ137&gt;=INT($N137),$N137-INT($N137),1)))*
IF(ES$44=2,0,
IF(INT(EA137)=INT(DZ137),EA137-DZ137,INT(EA137)-DZ137))+
IF($N137&lt;=1,
IF($N137&gt;0,1/$N137,0),VDB(1,0,$N137,INT(ES$44-2),MIN($N137,INT(ES$44-2)+1),$DC137,IF($DD137="No",1,0))/
IF(EA137&gt;INT($N137),$N137-INT($N137),1))*
IF(ES$44=2,EA137,
IF(INT(EA137)=INT(DZ137),0,EA137-INT(EA137)))))</f>
        <v>0</v>
      </c>
      <c r="ET137" s="835">
        <f>+IF(OR(EB137=EA137,ET$44=1),0,
IF(AND(ET$44&gt;1,EB137=$N137),1-SUM($EN137:ES137),
IF($N137&lt;=1,
IF($N137&gt;0,1/$N137,0),
IF(ET$44=2,0,VDB(1,0,$N137,INT(ET$44-2-1),MIN($N137,INT(ET$44-2-1)+1),$DC137,IF($DD137="No",1,0))/
IF(EA137&gt;=INT($N137),$N137-INT($N137),1)))*
IF(ET$44=2,0,
IF(INT(EB137)=INT(EA137),EB137-EA137,INT(EB137)-EA137))+
IF($N137&lt;=1,
IF($N137&gt;0,1/$N137,0),VDB(1,0,$N137,INT(ET$44-2),MIN($N137,INT(ET$44-2)+1),$DC137,IF($DD137="No",1,0))/
IF(EB137&gt;INT($N137),$N137-INT($N137),1))*
IF(ET$44=2,EB137,
IF(INT(EB137)=INT(EA137),0,EB137-INT(EB137)))))</f>
        <v>0</v>
      </c>
      <c r="EU137" s="835">
        <f>+IF(OR(EC137=EB137,EU$44=1),0,
IF(AND(EU$44&gt;1,EC137=$N137),1-SUM($EN137:ET137),
IF($N137&lt;=1,
IF($N137&gt;0,1/$N137,0),
IF(EU$44=2,0,VDB(1,0,$N137,INT(EU$44-2-1),MIN($N137,INT(EU$44-2-1)+1),$DC137,IF($DD137="No",1,0))/
IF(EB137&gt;=INT($N137),$N137-INT($N137),1)))*
IF(EU$44=2,0,
IF(INT(EC137)=INT(EB137),EC137-EB137,INT(EC137)-EB137))+
IF($N137&lt;=1,
IF($N137&gt;0,1/$N137,0),VDB(1,0,$N137,INT(EU$44-2),MIN($N137,INT(EU$44-2)+1),$DC137,IF($DD137="No",1,0))/
IF(EC137&gt;INT($N137),$N137-INT($N137),1))*
IF(EU$44=2,EC137,
IF(INT(EC137)=INT(EB137),0,EC137-INT(EC137)))))</f>
        <v>0</v>
      </c>
      <c r="EV137" s="836">
        <f>+IF(OR(ED137=EC137,EV$44=1),0,
IF(AND(EV$44&gt;1,ED137=$N137),1-SUM($EN137:EU137),
IF($N137&lt;=1,
IF($N137&gt;0,1/$N137,0),
IF(EV$44=2,0,VDB(1,0,$N137,INT(EV$44-2-1),MIN($N137,INT(EV$44-2-1)+1),$DC137,IF($DD137="No",1,0))/
IF(EC137&gt;=INT($N137),$N137-INT($N137),1)))*
IF(EV$44=2,0,
IF(INT(ED137)=INT(EC137),ED137-EC137,INT(ED137)-EC137))+
IF($N137&lt;=1,
IF($N137&gt;0,1/$N137,0),VDB(1,0,$N137,INT(EV$44-2),MIN($N137,INT(EV$44-2)+1),$DC137,IF($DD137="No",1,0))/
IF(ED137&gt;INT($N137),$N137-INT($N137),1))*
IF(EV$44=2,ED137,
IF(INT(ED137)=INT(EC137),0,ED137-INT(ED137)))))</f>
        <v>0</v>
      </c>
      <c r="EW137" s="833"/>
      <c r="EX137" s="834">
        <f t="shared" ca="1" si="303"/>
        <v>0</v>
      </c>
      <c r="EY137" s="835">
        <f t="shared" ca="1" si="303"/>
        <v>0</v>
      </c>
      <c r="EZ137" s="836">
        <f t="shared" ca="1" si="303"/>
        <v>0</v>
      </c>
      <c r="FA137" s="834">
        <f t="shared" ca="1" si="303"/>
        <v>0</v>
      </c>
      <c r="FB137" s="835">
        <f t="shared" ca="1" si="303"/>
        <v>0</v>
      </c>
      <c r="FC137" s="835">
        <f t="shared" ca="1" si="303"/>
        <v>0</v>
      </c>
      <c r="FD137" s="835">
        <f t="shared" ca="1" si="303"/>
        <v>0</v>
      </c>
      <c r="FE137" s="836">
        <f t="shared" ca="1" si="303"/>
        <v>0</v>
      </c>
      <c r="FG137" s="386">
        <f t="shared" ca="1" si="293"/>
        <v>0</v>
      </c>
      <c r="FH137" s="387">
        <f t="shared" ca="1" si="294"/>
        <v>0</v>
      </c>
      <c r="FI137" s="388">
        <f t="shared" ca="1" si="295"/>
        <v>0</v>
      </c>
      <c r="FJ137" s="386">
        <f t="shared" ca="1" si="296"/>
        <v>0</v>
      </c>
      <c r="FK137" s="387">
        <f t="shared" ca="1" si="297"/>
        <v>0</v>
      </c>
      <c r="FL137" s="387">
        <f t="shared" ca="1" si="298"/>
        <v>0</v>
      </c>
      <c r="FM137" s="387">
        <f t="shared" ca="1" si="299"/>
        <v>0</v>
      </c>
      <c r="FN137" s="388">
        <f t="shared" ca="1" si="300"/>
        <v>0</v>
      </c>
      <c r="FR137" s="116"/>
    </row>
    <row r="138" spans="2:174">
      <c r="B138" s="1410">
        <f t="shared" si="302"/>
        <v>92</v>
      </c>
      <c r="C138" s="400" t="s">
        <v>639</v>
      </c>
      <c r="D138" s="410"/>
      <c r="E138" s="402" t="s">
        <v>402</v>
      </c>
      <c r="F138" s="402" t="s">
        <v>527</v>
      </c>
      <c r="G138" s="400" t="s">
        <v>522</v>
      </c>
      <c r="H138" s="2088" t="s">
        <v>483</v>
      </c>
      <c r="I138" s="2089"/>
      <c r="J138" s="411" t="s">
        <v>516</v>
      </c>
      <c r="K138" s="403" t="s">
        <v>544</v>
      </c>
      <c r="L138" s="403">
        <v>50</v>
      </c>
      <c r="M138" s="403" t="s">
        <v>142</v>
      </c>
      <c r="N138" s="403"/>
      <c r="O138" s="347"/>
      <c r="P138" s="347"/>
      <c r="Q138" s="1021">
        <v>0.79896292682926839</v>
      </c>
      <c r="R138" s="1022">
        <v>4.1988064247471746</v>
      </c>
      <c r="S138" s="1022">
        <v>0.53818650338793705</v>
      </c>
      <c r="T138" s="1022">
        <v>0</v>
      </c>
      <c r="U138" s="1023">
        <v>0</v>
      </c>
      <c r="V138" s="1021">
        <v>0</v>
      </c>
      <c r="W138" s="1022">
        <v>0</v>
      </c>
      <c r="X138" s="1022">
        <v>0</v>
      </c>
      <c r="Y138" s="1022">
        <v>0</v>
      </c>
      <c r="Z138" s="1023">
        <v>0</v>
      </c>
      <c r="AA138" s="1024"/>
      <c r="AB138" s="1021">
        <v>0</v>
      </c>
      <c r="AC138" s="1022">
        <v>0</v>
      </c>
      <c r="AD138" s="1022">
        <v>0</v>
      </c>
      <c r="AE138" s="1022">
        <v>0</v>
      </c>
      <c r="AF138" s="1023">
        <v>0</v>
      </c>
      <c r="AG138" s="1021">
        <v>0</v>
      </c>
      <c r="AH138" s="1022">
        <v>0</v>
      </c>
      <c r="AI138" s="1022">
        <v>0</v>
      </c>
      <c r="AJ138" s="1022">
        <v>0</v>
      </c>
      <c r="AK138" s="1023">
        <v>0</v>
      </c>
      <c r="AL138" s="1024"/>
      <c r="AM138" s="1021">
        <v>0</v>
      </c>
      <c r="AN138" s="1022">
        <v>0</v>
      </c>
      <c r="AO138" s="1022">
        <v>0</v>
      </c>
      <c r="AP138" s="1022">
        <v>0</v>
      </c>
      <c r="AQ138" s="1023">
        <v>0</v>
      </c>
      <c r="AR138" s="1021">
        <v>0</v>
      </c>
      <c r="AS138" s="1022">
        <v>0</v>
      </c>
      <c r="AT138" s="1022">
        <v>0</v>
      </c>
      <c r="AU138" s="1022">
        <v>0</v>
      </c>
      <c r="AV138" s="1023">
        <v>0</v>
      </c>
      <c r="AW138" s="1025"/>
      <c r="AX138" s="1282">
        <f t="shared" si="247"/>
        <v>0.79896292682926839</v>
      </c>
      <c r="AY138" s="387">
        <f t="shared" si="248"/>
        <v>4.1988064247471746</v>
      </c>
      <c r="AZ138" s="387">
        <f t="shared" si="249"/>
        <v>0.53818650338793705</v>
      </c>
      <c r="BA138" s="387">
        <f t="shared" si="250"/>
        <v>0</v>
      </c>
      <c r="BB138" s="1283">
        <f t="shared" si="251"/>
        <v>0</v>
      </c>
      <c r="BC138" s="386">
        <f t="shared" si="252"/>
        <v>0</v>
      </c>
      <c r="BD138" s="387">
        <f t="shared" si="253"/>
        <v>0</v>
      </c>
      <c r="BE138" s="1277">
        <f t="shared" si="254"/>
        <v>0</v>
      </c>
      <c r="BF138" s="1277">
        <f t="shared" si="255"/>
        <v>0</v>
      </c>
      <c r="BG138" s="388">
        <f t="shared" si="256"/>
        <v>0</v>
      </c>
      <c r="BH138" s="1025"/>
      <c r="BI138" s="1282">
        <f t="shared" ca="1" si="257"/>
        <v>7.9896292682926848E-3</v>
      </c>
      <c r="BJ138" s="387">
        <f t="shared" ca="1" si="258"/>
        <v>5.7967322784057113E-2</v>
      </c>
      <c r="BK138" s="387">
        <f t="shared" ca="1" si="259"/>
        <v>0.10533725206540823</v>
      </c>
      <c r="BL138" s="387">
        <f t="shared" ca="1" si="260"/>
        <v>0.1107191170992876</v>
      </c>
      <c r="BM138" s="1283">
        <f t="shared" ca="1" si="261"/>
        <v>0.1107191170992876</v>
      </c>
      <c r="BN138" s="386">
        <f t="shared" ca="1" si="262"/>
        <v>0.1107191170992876</v>
      </c>
      <c r="BO138" s="387">
        <f t="shared" ca="1" si="263"/>
        <v>0.1107191170992876</v>
      </c>
      <c r="BP138" s="1277">
        <f t="shared" ca="1" si="264"/>
        <v>0.1107191170992876</v>
      </c>
      <c r="BQ138" s="1277">
        <f t="shared" ca="1" si="265"/>
        <v>0.1107191170992876</v>
      </c>
      <c r="BR138" s="388">
        <f t="shared" ca="1" si="266"/>
        <v>0.1107191170992876</v>
      </c>
      <c r="BS138" s="1025"/>
      <c r="BT138" s="1282">
        <f>+IF($K138="Ongoing",AX138,IF(RIGHT($K138,2)=RIGHT(BT$43,2),SUM($AX138:AX138),0)+IF(RIGHT(BT$43,2)&gt;RIGHT($K138,2),AX138,0))</f>
        <v>0.79896292682926839</v>
      </c>
      <c r="BU138" s="387">
        <f>+IF($K138="Ongoing",AY138,IF(RIGHT($K138,2)=RIGHT(BU$43,2),SUM($AX138:AY138),0)+IF(RIGHT(BU$43,2)&gt;RIGHT($K138,2),AY138,0))</f>
        <v>4.1988064247471746</v>
      </c>
      <c r="BV138" s="387">
        <f>+IF($K138="Ongoing",AZ138,IF(RIGHT($K138,2)=RIGHT(BV$43,2),SUM($AX138:AZ138),0)+IF(RIGHT(BV$43,2)&gt;RIGHT($K138,2),AZ138,0))</f>
        <v>0.53818650338793705</v>
      </c>
      <c r="BW138" s="387">
        <f>+IF($K138="Ongoing",BA138,IF(RIGHT($K138,2)=RIGHT(BW$43,2),SUM($AX138:BA138),0)+IF(RIGHT(BW$43,2)&gt;RIGHT($K138,2),BA138,0))</f>
        <v>0</v>
      </c>
      <c r="BX138" s="1283">
        <f>+IF($K138="Ongoing",BB138,IF(RIGHT($K138,2)=RIGHT(BX$43,2),SUM($AX138:BB138),0)+IF(RIGHT(BX$43,2)&gt;RIGHT($K138,2),BB138,0))</f>
        <v>0</v>
      </c>
      <c r="BY138" s="386">
        <f>+IF($K138="Ongoing",BC138,IF(RIGHT($K138,2)=RIGHT(BY$43,2),SUM($AX138:BC138),0)+IF(RIGHT(BY$43,2)&gt;RIGHT($K138,2),BC138,0))</f>
        <v>0</v>
      </c>
      <c r="BZ138" s="387">
        <f>+IF($K138="Ongoing",BD138,IF(RIGHT($K138,2)=RIGHT(BZ$43,2),SUM($AX138:BD138),0)+IF(RIGHT(BZ$43,2)&gt;RIGHT($K138,2),BD138,0))</f>
        <v>0</v>
      </c>
      <c r="CA138" s="1277">
        <f>+IF($K138="Ongoing",BE138,IF(RIGHT($K138,2)=RIGHT(CA$43,2),SUM($AX138:BE138),0)+IF(RIGHT(CA$43,2)&gt;RIGHT($K138,2),BE138,0))</f>
        <v>0</v>
      </c>
      <c r="CB138" s="1277">
        <f>+IF($K138="Ongoing",BF138,IF(RIGHT($K138,2)=RIGHT(CB$43,2),SUM($AX138:BF138),0)+IF(RIGHT(CB$43,2)&gt;RIGHT($K138,2),BF138,0))</f>
        <v>0</v>
      </c>
      <c r="CC138" s="388">
        <f>+IF($K138="Ongoing",BG138,IF(RIGHT($K138,2)=RIGHT(CC$43,2),SUM($AX138:BG138),0)+IF(RIGHT(CC$43,2)&gt;RIGHT($K138,2),BG138,0))</f>
        <v>0</v>
      </c>
      <c r="CD138" s="1025"/>
      <c r="CE138" s="1282">
        <f>+Q138*KeyAssumptionsPriceControl_FO!AF$15</f>
        <v>0.82213285170731709</v>
      </c>
      <c r="CF138" s="387">
        <f>+R138*KeyAssumptionsPriceControl_FO!AG$15</f>
        <v>4.4458683935857231</v>
      </c>
      <c r="CG138" s="387">
        <f>+S138*KeyAssumptionsPriceControl_FO!AH$15</f>
        <v>0.58637969956136637</v>
      </c>
      <c r="CH138" s="387">
        <f>+T138*KeyAssumptionsPriceControl_FO!AI$15</f>
        <v>0</v>
      </c>
      <c r="CI138" s="1283">
        <f>+U138*KeyAssumptionsPriceControl_FO!AJ$15</f>
        <v>0</v>
      </c>
      <c r="CJ138" s="386">
        <f>+V138*KeyAssumptionsPriceControl_FO!AK$15</f>
        <v>0</v>
      </c>
      <c r="CK138" s="387">
        <f>+W138*KeyAssumptionsPriceControl_FO!AL$15</f>
        <v>0</v>
      </c>
      <c r="CL138" s="1277">
        <f>+X138*KeyAssumptionsPriceControl_FO!AM$15</f>
        <v>0</v>
      </c>
      <c r="CM138" s="1277">
        <f>+Y138*KeyAssumptionsPriceControl_FO!AN$15</f>
        <v>0</v>
      </c>
      <c r="CN138" s="388">
        <f>+Z138*KeyAssumptionsPriceControl_FO!AO$15</f>
        <v>0</v>
      </c>
      <c r="CO138" s="1025"/>
      <c r="CP138" s="1282">
        <f t="shared" ca="1" si="267"/>
        <v>0</v>
      </c>
      <c r="CQ138" s="387">
        <f t="shared" ca="1" si="268"/>
        <v>0</v>
      </c>
      <c r="CR138" s="387">
        <f t="shared" ca="1" si="269"/>
        <v>0</v>
      </c>
      <c r="CS138" s="387">
        <f t="shared" ca="1" si="270"/>
        <v>0</v>
      </c>
      <c r="CT138" s="1283">
        <f t="shared" ca="1" si="271"/>
        <v>0</v>
      </c>
      <c r="CU138" s="386">
        <f t="shared" ca="1" si="272"/>
        <v>0</v>
      </c>
      <c r="CV138" s="387">
        <f t="shared" ca="1" si="273"/>
        <v>0</v>
      </c>
      <c r="CW138" s="1277">
        <f t="shared" ca="1" si="274"/>
        <v>0</v>
      </c>
      <c r="CX138" s="1277">
        <f t="shared" ca="1" si="275"/>
        <v>0</v>
      </c>
      <c r="CY138" s="388">
        <f t="shared" ca="1" si="276"/>
        <v>0</v>
      </c>
      <c r="CZ138" s="347"/>
      <c r="DA138" s="852"/>
      <c r="DB138" s="347"/>
      <c r="DC138" s="1012" t="s">
        <v>640</v>
      </c>
      <c r="DD138" s="841" t="s">
        <v>518</v>
      </c>
      <c r="DE138" s="386">
        <f>+IF($K138="ongoing",CE138,IF(RIGHT($K138,2)=RIGHT(DE$43,2),SUM($CD138:CE138),0)+IF(RIGHT(DE$43,2)&gt;RIGHT($K138,2),CE138,0))</f>
        <v>0.82213285170731709</v>
      </c>
      <c r="DF138" s="387">
        <f>+IF($K138="ongoing",CF138,IF(RIGHT($K138,2)=RIGHT(DF$43,2),SUM($CD138:CF138),0)+IF(RIGHT(DF$43,2)&gt;RIGHT($K138,2),CF138,0))</f>
        <v>4.4458683935857231</v>
      </c>
      <c r="DG138" s="388">
        <f>+IF($K138="ongoing",CG138,IF(RIGHT($K138,2)=RIGHT(DG$43,2),SUM($CD138:CG138),0)+IF(RIGHT(DG$43,2)&gt;RIGHT($K138,2),CG138,0))</f>
        <v>0.58637969956136637</v>
      </c>
      <c r="DH138" s="386">
        <f>+IF($K138="ongoing",CH138,IF(RIGHT($K138,2)=RIGHT(DH$43,2),SUM($CD138:CH138),0)+IF(RIGHT(DH$43,2)&gt;RIGHT($K138,2),CH138,0))</f>
        <v>0</v>
      </c>
      <c r="DI138" s="387">
        <f>+IF($K138="ongoing",CI138,IF(RIGHT($K138,2)=RIGHT(DI$43,2),SUM($CD138:CI138),0)+IF(RIGHT(DI$43,2)&gt;RIGHT($K138,2),CI138,0))</f>
        <v>0</v>
      </c>
      <c r="DJ138" s="387">
        <f>+IF($K138="ongoing",CJ138,IF(RIGHT($K138,2)=RIGHT(DJ$43,2),SUM($CD138:CJ138),0)+IF(RIGHT(DJ$43,2)&gt;RIGHT($K138,2),CJ138,0))</f>
        <v>0</v>
      </c>
      <c r="DK138" s="387">
        <f>+IF($K138="ongoing",CK138,IF(RIGHT($K138,2)=RIGHT(DK$43,2),SUM($CD138:CK138),0)+IF(RIGHT(DK$43,2)&gt;RIGHT($K138,2),CK138,0))</f>
        <v>0</v>
      </c>
      <c r="DL138" s="388">
        <f>+IF($K138="ongoing",CN138,IF(RIGHT($K138,2)=RIGHT(DL$43,2),SUM($CD138:CN138),0)+IF(RIGHT(DL$43,2)&gt;RIGHT($K138,2),CN138,0))</f>
        <v>0</v>
      </c>
      <c r="DM138" s="841"/>
      <c r="DN138" s="386">
        <f t="shared" si="277"/>
        <v>0.5</v>
      </c>
      <c r="DO138" s="387">
        <f t="shared" si="278"/>
        <v>1</v>
      </c>
      <c r="DP138" s="388">
        <f t="shared" si="279"/>
        <v>1</v>
      </c>
      <c r="DQ138" s="386">
        <f t="shared" si="280"/>
        <v>1</v>
      </c>
      <c r="DR138" s="387">
        <f t="shared" si="281"/>
        <v>1</v>
      </c>
      <c r="DS138" s="387">
        <f t="shared" si="282"/>
        <v>1</v>
      </c>
      <c r="DT138" s="387">
        <f t="shared" si="283"/>
        <v>1</v>
      </c>
      <c r="DU138" s="388">
        <f t="shared" si="284"/>
        <v>1</v>
      </c>
      <c r="DW138" s="386">
        <f t="shared" si="285"/>
        <v>0</v>
      </c>
      <c r="DX138" s="387">
        <f t="shared" si="286"/>
        <v>0.5</v>
      </c>
      <c r="DY138" s="388">
        <f t="shared" si="287"/>
        <v>1</v>
      </c>
      <c r="DZ138" s="386">
        <f t="shared" si="288"/>
        <v>1</v>
      </c>
      <c r="EA138" s="387">
        <f t="shared" si="289"/>
        <v>1</v>
      </c>
      <c r="EB138" s="387">
        <f t="shared" si="290"/>
        <v>1</v>
      </c>
      <c r="EC138" s="387">
        <f t="shared" si="291"/>
        <v>1</v>
      </c>
      <c r="ED138" s="388">
        <f t="shared" si="292"/>
        <v>1</v>
      </c>
      <c r="EF138" s="834">
        <f>+IF(DN138=DM138,0,
IF(AND(EF$44&gt;1,DN138=$N138),1-SUM($EE138:EE138),
IF($N138&lt;=1,
IF($N138&gt;0,1/$N138,0),
IF(EF$44=1,0,VDB(1,0,$N138,INT(EF$44-1-1),MIN($N138,INT(EF$44-1-1)+1),$DC138,IF($DD138="No",1,0))/
IF(DM138&gt;=INT($N138),$N138-INT($N138),1)))*
IF(EF$44=1,0,
IF(INT(DN138)=INT(DM138),DN138-DM138,INT(DN138)-DM138))+
IF($N138&lt;=1,
IF($N138&gt;0,1/$N138,0),VDB(1,0,$N138,INT(EF$44-1),MIN($N138,INT(EF$44-1)+1),$DC138,IF($DD138="No",1,0))/
IF(DN138&gt;INT($N138),$N138-INT($N138),1))*
IF(EF$44=1,DN138,
IF(INT(DN138)=INT(DM138),0,DN138-INT(DN138)))))</f>
        <v>0</v>
      </c>
      <c r="EG138" s="835">
        <f>+IF(DO138=DN138,0,
IF(AND(EG$44&gt;1,DO138=$N138),1-SUM($EE138:EF138),
IF($N138&lt;=1,
IF($N138&gt;0,1/$N138,0),
IF(EG$44=1,0,VDB(1,0,$N138,INT(EG$44-1-1),MIN($N138,INT(EG$44-1-1)+1),$DC138,IF($DD138="No",1,0))/
IF(DN138&gt;=INT($N138),$N138-INT($N138),1)))*
IF(EG$44=1,0,
IF(INT(DO138)=INT(DN138),DO138-DN138,INT(DO138)-DN138))+
IF($N138&lt;=1,
IF($N138&gt;0,1/$N138,0),VDB(1,0,$N138,INT(EG$44-1),MIN($N138,INT(EG$44-1)+1),$DC138,IF($DD138="No",1,0))/
IF(DO138&gt;INT($N138),$N138-INT($N138),1))*
IF(EG$44=1,DO138,
IF(INT(DO138)=INT(DN138),0,DO138-INT(DO138)))))</f>
        <v>0</v>
      </c>
      <c r="EH138" s="836">
        <f>+IF(DP138=DO138,0,
IF(AND(EH$44&gt;1,DP138=$N138),1-SUM($EE138:EG138),
IF($N138&lt;=1,
IF($N138&gt;0,1/$N138,0),
IF(EH$44=1,0,VDB(1,0,$N138,INT(EH$44-1-1),MIN($N138,INT(EH$44-1-1)+1),$DC138,IF($DD138="No",1,0))/
IF(DO138&gt;=INT($N138),$N138-INT($N138),1)))*
IF(EH$44=1,0,
IF(INT(DP138)=INT(DO138),DP138-DO138,INT(DP138)-DO138))+
IF($N138&lt;=1,
IF($N138&gt;0,1/$N138,0),VDB(1,0,$N138,INT(EH$44-1),MIN($N138,INT(EH$44-1)+1),$DC138,IF($DD138="No",1,0))/
IF(DP138&gt;INT($N138),$N138-INT($N138),1))*
IF(EH$44=1,DP138,
IF(INT(DP138)=INT(DO138),0,DP138-INT(DP138)))))</f>
        <v>0</v>
      </c>
      <c r="EI138" s="834">
        <f>+IF(DQ138=DP138,0,
IF(AND(EI$44&gt;1,DQ138=$N138),1-SUM($EE138:EH138),
IF($N138&lt;=1,
IF($N138&gt;0,1/$N138,0),
IF(EI$44=1,0,VDB(1,0,$N138,INT(EI$44-1-1),MIN($N138,INT(EI$44-1-1)+1),$DC138,IF($DD138="No",1,0))/
IF(DP138&gt;=INT($N138),$N138-INT($N138),1)))*
IF(EI$44=1,0,
IF(INT(DQ138)=INT(DP138),DQ138-DP138,INT(DQ138)-DP138))+
IF($N138&lt;=1,
IF($N138&gt;0,1/$N138,0),VDB(1,0,$N138,INT(EI$44-1),MIN($N138,INT(EI$44-1)+1),$DC138,IF($DD138="No",1,0))/
IF(DQ138&gt;INT($N138),$N138-INT($N138),1))*
IF(EI$44=1,DQ138,
IF(INT(DQ138)=INT(DP138),0,DQ138-INT(DQ138)))))</f>
        <v>0</v>
      </c>
      <c r="EJ138" s="835">
        <f>+IF(DR138=DQ138,0,
IF(AND(EJ$44&gt;1,DR138=$N138),1-SUM($EE138:EI138),
IF($N138&lt;=1,
IF($N138&gt;0,1/$N138,0),
IF(EJ$44=1,0,VDB(1,0,$N138,INT(EJ$44-1-1),MIN($N138,INT(EJ$44-1-1)+1),$DC138,IF($DD138="No",1,0))/
IF(DQ138&gt;=INT($N138),$N138-INT($N138),1)))*
IF(EJ$44=1,0,
IF(INT(DR138)=INT(DQ138),DR138-DQ138,INT(DR138)-DQ138))+
IF($N138&lt;=1,
IF($N138&gt;0,1/$N138,0),VDB(1,0,$N138,INT(EJ$44-1),MIN($N138,INT(EJ$44-1)+1),$DC138,IF($DD138="No",1,0))/
IF(DR138&gt;INT($N138),$N138-INT($N138),1))*
IF(EJ$44=1,DR138,
IF(INT(DR138)=INT(DQ138),0,DR138-INT(DR138)))))</f>
        <v>0</v>
      </c>
      <c r="EK138" s="835">
        <f>+IF(DS138=DR138,0,
IF(AND(EK$44&gt;1,DS138=$N138),1-SUM($EE138:EJ138),
IF($N138&lt;=1,
IF($N138&gt;0,1/$N138,0),
IF(EK$44=1,0,VDB(1,0,$N138,INT(EK$44-1-1),MIN($N138,INT(EK$44-1-1)+1),$DC138,IF($DD138="No",1,0))/
IF(DR138&gt;=INT($N138),$N138-INT($N138),1)))*
IF(EK$44=1,0,
IF(INT(DS138)=INT(DR138),DS138-DR138,INT(DS138)-DR138))+
IF($N138&lt;=1,
IF($N138&gt;0,1/$N138,0),VDB(1,0,$N138,INT(EK$44-1),MIN($N138,INT(EK$44-1)+1),$DC138,IF($DD138="No",1,0))/
IF(DS138&gt;INT($N138),$N138-INT($N138),1))*
IF(EK$44=1,DS138,
IF(INT(DS138)=INT(DR138),0,DS138-INT(DS138)))))</f>
        <v>0</v>
      </c>
      <c r="EL138" s="835">
        <f>+IF(DT138=DS138,0,
IF(AND(EL$44&gt;1,DT138=$N138),1-SUM($EE138:EK138),
IF($N138&lt;=1,
IF($N138&gt;0,1/$N138,0),
IF(EL$44=1,0,VDB(1,0,$N138,INT(EL$44-1-1),MIN($N138,INT(EL$44-1-1)+1),$DC138,IF($DD138="No",1,0))/
IF(DS138&gt;=INT($N138),$N138-INT($N138),1)))*
IF(EL$44=1,0,
IF(INT(DT138)=INT(DS138),DT138-DS138,INT(DT138)-DS138))+
IF($N138&lt;=1,
IF($N138&gt;0,1/$N138,0),VDB(1,0,$N138,INT(EL$44-1),MIN($N138,INT(EL$44-1)+1),$DC138,IF($DD138="No",1,0))/
IF(DT138&gt;INT($N138),$N138-INT($N138),1))*
IF(EL$44=1,DT138,
IF(INT(DT138)=INT(DS138),0,DT138-INT(DT138)))))</f>
        <v>0</v>
      </c>
      <c r="EM138" s="836">
        <f>+IF(DU138=DT138,0,
IF(AND(EM$44&gt;1,DU138=$N138),1-SUM($EE138:EL138),
IF($N138&lt;=1,
IF($N138&gt;0,1/$N138,0),
IF(EM$44=1,0,VDB(1,0,$N138,INT(EM$44-1-1),MIN($N138,INT(EM$44-1-1)+1),$DC138,IF($DD138="No",1,0))/
IF(DT138&gt;=INT($N138),$N138-INT($N138),1)))*
IF(EM$44=1,0,
IF(INT(DU138)=INT(DT138),DU138-DT138,INT(DU138)-DT138))+
IF($N138&lt;=1,
IF($N138&gt;0,1/$N138,0),VDB(1,0,$N138,INT(EM$44-1),MIN($N138,INT(EM$44-1)+1),$DC138,IF($DD138="No",1,0))/
IF(DU138&gt;INT($N138),$N138-INT($N138),1))*
IF(EM$44=1,DU138,
IF(INT(DU138)=INT(DT138),0,DU138-INT(DU138)))))</f>
        <v>0</v>
      </c>
      <c r="EN138" s="833"/>
      <c r="EO138" s="834">
        <f>+IF(OR(DW138=DV138,EO$44=1),0,
IF(AND(EO$44&gt;1,DW138=$N138),1-SUM($EN138:EN138),
IF($N138&lt;=1,
IF($N138&gt;0,1/$N138,0),
IF(EO$44=2,0,VDB(1,0,$N138,INT(EO$44-2-1),MIN($N138,INT(EO$44-2-1)+1),$DC138,IF($DD138="No",1,0))/
IF(DV138&gt;=INT($N138),$N138-INT($N138),1)))*
IF(EO$44=2,0,
IF(INT(DW138)=INT(DV138),DW138-DV138,INT(DW138)-DV138))+
IF($N138&lt;=1,
IF($N138&gt;0,1/$N138,0),VDB(1,0,$N138,INT(EO$44-2),MIN($N138,INT(EO$44-2)+1),$DC138,IF($DD138="No",1,0))/
IF(DW138&gt;INT($N138),$N138-INT($N138),1))*
IF(EO$44=2,DW138,
IF(INT(DW138)=INT(DV138),0,DW138-INT(DW138)))))</f>
        <v>0</v>
      </c>
      <c r="EP138" s="835">
        <f>+IF(OR(DX138=DW138,EP$44=1),0,
IF(AND(EP$44&gt;1,DX138=$N138),1-SUM($EN138:EO138),
IF($N138&lt;=1,
IF($N138&gt;0,1/$N138,0),
IF(EP$44=2,0,VDB(1,0,$N138,INT(EP$44-2-1),MIN($N138,INT(EP$44-2-1)+1),$DC138,IF($DD138="No",1,0))/
IF(DW138&gt;=INT($N138),$N138-INT($N138),1)))*
IF(EP$44=2,0,
IF(INT(DX138)=INT(DW138),DX138-DW138,INT(DX138)-DW138))+
IF($N138&lt;=1,
IF($N138&gt;0,1/$N138,0),VDB(1,0,$N138,INT(EP$44-2),MIN($N138,INT(EP$44-2)+1),$DC138,IF($DD138="No",1,0))/
IF(DX138&gt;INT($N138),$N138-INT($N138),1))*
IF(EP$44=2,DX138,
IF(INT(DX138)=INT(DW138),0,DX138-INT(DX138)))))</f>
        <v>0</v>
      </c>
      <c r="EQ138" s="836">
        <f>+IF(OR(DY138=DX138,EQ$44=1),0,
IF(AND(EQ$44&gt;1,DY138=$N138),1-SUM($EN138:EP138),
IF($N138&lt;=1,
IF($N138&gt;0,1/$N138,0),
IF(EQ$44=2,0,VDB(1,0,$N138,INT(EQ$44-2-1),MIN($N138,INT(EQ$44-2-1)+1),$DC138,IF($DD138="No",1,0))/
IF(DX138&gt;=INT($N138),$N138-INT($N138),1)))*
IF(EQ$44=2,0,
IF(INT(DY138)=INT(DX138),DY138-DX138,INT(DY138)-DX138))+
IF($N138&lt;=1,
IF($N138&gt;0,1/$N138,0),VDB(1,0,$N138,INT(EQ$44-2),MIN($N138,INT(EQ$44-2)+1),$DC138,IF($DD138="No",1,0))/
IF(DY138&gt;INT($N138),$N138-INT($N138),1))*
IF(EQ$44=2,DY138,
IF(INT(DY138)=INT(DX138),0,DY138-INT(DY138)))))</f>
        <v>0</v>
      </c>
      <c r="ER138" s="834">
        <f>+IF(OR(DZ138=DY138,ER$44=1),0,
IF(AND(ER$44&gt;1,DZ138=$N138),1-SUM($EN138:EQ138),
IF($N138&lt;=1,
IF($N138&gt;0,1/$N138,0),
IF(ER$44=2,0,VDB(1,0,$N138,INT(ER$44-2-1),MIN($N138,INT(ER$44-2-1)+1),$DC138,IF($DD138="No",1,0))/
IF(DY138&gt;=INT($N138),$N138-INT($N138),1)))*
IF(ER$44=2,0,
IF(INT(DZ138)=INT(DY138),DZ138-DY138,INT(DZ138)-DY138))+
IF($N138&lt;=1,
IF($N138&gt;0,1/$N138,0),VDB(1,0,$N138,INT(ER$44-2),MIN($N138,INT(ER$44-2)+1),$DC138,IF($DD138="No",1,0))/
IF(DZ138&gt;INT($N138),$N138-INT($N138),1))*
IF(ER$44=2,DZ138,
IF(INT(DZ138)=INT(DY138),0,DZ138-INT(DZ138)))))</f>
        <v>0</v>
      </c>
      <c r="ES138" s="835">
        <f>+IF(OR(EA138=DZ138,ES$44=1),0,
IF(AND(ES$44&gt;1,EA138=$N138),1-SUM($EN138:ER138),
IF($N138&lt;=1,
IF($N138&gt;0,1/$N138,0),
IF(ES$44=2,0,VDB(1,0,$N138,INT(ES$44-2-1),MIN($N138,INT(ES$44-2-1)+1),$DC138,IF($DD138="No",1,0))/
IF(DZ138&gt;=INT($N138),$N138-INT($N138),1)))*
IF(ES$44=2,0,
IF(INT(EA138)=INT(DZ138),EA138-DZ138,INT(EA138)-DZ138))+
IF($N138&lt;=1,
IF($N138&gt;0,1/$N138,0),VDB(1,0,$N138,INT(ES$44-2),MIN($N138,INT(ES$44-2)+1),$DC138,IF($DD138="No",1,0))/
IF(EA138&gt;INT($N138),$N138-INT($N138),1))*
IF(ES$44=2,EA138,
IF(INT(EA138)=INT(DZ138),0,EA138-INT(EA138)))))</f>
        <v>0</v>
      </c>
      <c r="ET138" s="835">
        <f>+IF(OR(EB138=EA138,ET$44=1),0,
IF(AND(ET$44&gt;1,EB138=$N138),1-SUM($EN138:ES138),
IF($N138&lt;=1,
IF($N138&gt;0,1/$N138,0),
IF(ET$44=2,0,VDB(1,0,$N138,INT(ET$44-2-1),MIN($N138,INT(ET$44-2-1)+1),$DC138,IF($DD138="No",1,0))/
IF(EA138&gt;=INT($N138),$N138-INT($N138),1)))*
IF(ET$44=2,0,
IF(INT(EB138)=INT(EA138),EB138-EA138,INT(EB138)-EA138))+
IF($N138&lt;=1,
IF($N138&gt;0,1/$N138,0),VDB(1,0,$N138,INT(ET$44-2),MIN($N138,INT(ET$44-2)+1),$DC138,IF($DD138="No",1,0))/
IF(EB138&gt;INT($N138),$N138-INT($N138),1))*
IF(ET$44=2,EB138,
IF(INT(EB138)=INT(EA138),0,EB138-INT(EB138)))))</f>
        <v>0</v>
      </c>
      <c r="EU138" s="835">
        <f>+IF(OR(EC138=EB138,EU$44=1),0,
IF(AND(EU$44&gt;1,EC138=$N138),1-SUM($EN138:ET138),
IF($N138&lt;=1,
IF($N138&gt;0,1/$N138,0),
IF(EU$44=2,0,VDB(1,0,$N138,INT(EU$44-2-1),MIN($N138,INT(EU$44-2-1)+1),$DC138,IF($DD138="No",1,0))/
IF(EB138&gt;=INT($N138),$N138-INT($N138),1)))*
IF(EU$44=2,0,
IF(INT(EC138)=INT(EB138),EC138-EB138,INT(EC138)-EB138))+
IF($N138&lt;=1,
IF($N138&gt;0,1/$N138,0),VDB(1,0,$N138,INT(EU$44-2),MIN($N138,INT(EU$44-2)+1),$DC138,IF($DD138="No",1,0))/
IF(EC138&gt;INT($N138),$N138-INT($N138),1))*
IF(EU$44=2,EC138,
IF(INT(EC138)=INT(EB138),0,EC138-INT(EC138)))))</f>
        <v>0</v>
      </c>
      <c r="EV138" s="836">
        <f>+IF(OR(ED138=EC138,EV$44=1),0,
IF(AND(EV$44&gt;1,ED138=$N138),1-SUM($EN138:EU138),
IF($N138&lt;=1,
IF($N138&gt;0,1/$N138,0),
IF(EV$44=2,0,VDB(1,0,$N138,INT(EV$44-2-1),MIN($N138,INT(EV$44-2-1)+1),$DC138,IF($DD138="No",1,0))/
IF(EC138&gt;=INT($N138),$N138-INT($N138),1)))*
IF(EV$44=2,0,
IF(INT(ED138)=INT(EC138),ED138-EC138,INT(ED138)-EC138))+
IF($N138&lt;=1,
IF($N138&gt;0,1/$N138,0),VDB(1,0,$N138,INT(EV$44-2),MIN($N138,INT(EV$44-2)+1),$DC138,IF($DD138="No",1,0))/
IF(ED138&gt;INT($N138),$N138-INT($N138),1))*
IF(EV$44=2,ED138,
IF(INT(ED138)=INT(EC138),0,ED138-INT(ED138)))))</f>
        <v>0</v>
      </c>
      <c r="EW138" s="833"/>
      <c r="EX138" s="834">
        <f t="shared" ca="1" si="303"/>
        <v>0</v>
      </c>
      <c r="EY138" s="835">
        <f t="shared" ca="1" si="303"/>
        <v>0</v>
      </c>
      <c r="EZ138" s="836">
        <f t="shared" ca="1" si="303"/>
        <v>0</v>
      </c>
      <c r="FA138" s="834">
        <f t="shared" ca="1" si="303"/>
        <v>0</v>
      </c>
      <c r="FB138" s="835">
        <f t="shared" ca="1" si="303"/>
        <v>0</v>
      </c>
      <c r="FC138" s="835">
        <f t="shared" ca="1" si="303"/>
        <v>0</v>
      </c>
      <c r="FD138" s="835">
        <f t="shared" ca="1" si="303"/>
        <v>0</v>
      </c>
      <c r="FE138" s="836">
        <f t="shared" ca="1" si="303"/>
        <v>0</v>
      </c>
      <c r="FG138" s="386">
        <f t="shared" ca="1" si="293"/>
        <v>0</v>
      </c>
      <c r="FH138" s="387">
        <f t="shared" ca="1" si="294"/>
        <v>0</v>
      </c>
      <c r="FI138" s="388">
        <f t="shared" ca="1" si="295"/>
        <v>0</v>
      </c>
      <c r="FJ138" s="386">
        <f t="shared" ca="1" si="296"/>
        <v>0</v>
      </c>
      <c r="FK138" s="387">
        <f t="shared" ca="1" si="297"/>
        <v>0</v>
      </c>
      <c r="FL138" s="387">
        <f t="shared" ca="1" si="298"/>
        <v>0</v>
      </c>
      <c r="FM138" s="387">
        <f t="shared" ca="1" si="299"/>
        <v>0</v>
      </c>
      <c r="FN138" s="388">
        <f t="shared" ca="1" si="300"/>
        <v>0</v>
      </c>
      <c r="FR138" s="116"/>
    </row>
    <row r="139" spans="2:174">
      <c r="B139" s="1410">
        <f t="shared" si="302"/>
        <v>93</v>
      </c>
      <c r="C139" s="400" t="s">
        <v>641</v>
      </c>
      <c r="D139" s="410"/>
      <c r="E139" s="402" t="s">
        <v>402</v>
      </c>
      <c r="F139" s="402" t="s">
        <v>520</v>
      </c>
      <c r="G139" s="400" t="s">
        <v>522</v>
      </c>
      <c r="H139" s="2088" t="s">
        <v>483</v>
      </c>
      <c r="I139" s="2089"/>
      <c r="J139" s="411" t="s">
        <v>516</v>
      </c>
      <c r="K139" s="403" t="s">
        <v>544</v>
      </c>
      <c r="L139" s="403">
        <v>35</v>
      </c>
      <c r="M139" s="403" t="s">
        <v>142</v>
      </c>
      <c r="N139" s="403"/>
      <c r="O139" s="347"/>
      <c r="P139" s="347"/>
      <c r="Q139" s="1021">
        <v>0</v>
      </c>
      <c r="R139" s="1022">
        <v>0</v>
      </c>
      <c r="S139" s="1022">
        <v>0.76941797130047473</v>
      </c>
      <c r="T139" s="1022">
        <v>5.2154264992686938</v>
      </c>
      <c r="U139" s="1023">
        <v>34.575228953001847</v>
      </c>
      <c r="V139" s="1021">
        <v>10.760389602995247</v>
      </c>
      <c r="W139" s="1022">
        <v>0</v>
      </c>
      <c r="X139" s="1022">
        <v>0</v>
      </c>
      <c r="Y139" s="1022">
        <v>0</v>
      </c>
      <c r="Z139" s="1023">
        <v>0</v>
      </c>
      <c r="AA139" s="1024"/>
      <c r="AB139" s="1021">
        <v>0</v>
      </c>
      <c r="AC139" s="1022">
        <v>0</v>
      </c>
      <c r="AD139" s="1022">
        <v>0</v>
      </c>
      <c r="AE139" s="1022">
        <v>0</v>
      </c>
      <c r="AF139" s="1023">
        <v>0</v>
      </c>
      <c r="AG139" s="1021">
        <v>0</v>
      </c>
      <c r="AH139" s="1022">
        <v>0</v>
      </c>
      <c r="AI139" s="1022">
        <v>0</v>
      </c>
      <c r="AJ139" s="1022">
        <v>0</v>
      </c>
      <c r="AK139" s="1023">
        <v>0</v>
      </c>
      <c r="AL139" s="1024"/>
      <c r="AM139" s="1021">
        <v>0</v>
      </c>
      <c r="AN139" s="1022">
        <v>0</v>
      </c>
      <c r="AO139" s="1022">
        <v>0</v>
      </c>
      <c r="AP139" s="1022">
        <v>0</v>
      </c>
      <c r="AQ139" s="1023">
        <v>0</v>
      </c>
      <c r="AR139" s="1021">
        <v>0</v>
      </c>
      <c r="AS139" s="1022">
        <v>0</v>
      </c>
      <c r="AT139" s="1022">
        <v>0</v>
      </c>
      <c r="AU139" s="1022">
        <v>0</v>
      </c>
      <c r="AV139" s="1023">
        <v>0</v>
      </c>
      <c r="AW139" s="1025"/>
      <c r="AX139" s="1282">
        <f t="shared" si="247"/>
        <v>0</v>
      </c>
      <c r="AY139" s="387">
        <f t="shared" si="248"/>
        <v>0</v>
      </c>
      <c r="AZ139" s="387">
        <f t="shared" si="249"/>
        <v>0.76941797130047473</v>
      </c>
      <c r="BA139" s="387">
        <f t="shared" si="250"/>
        <v>5.2154264992686938</v>
      </c>
      <c r="BB139" s="1283">
        <f t="shared" si="251"/>
        <v>34.575228953001847</v>
      </c>
      <c r="BC139" s="386">
        <f t="shared" si="252"/>
        <v>10.760389602995247</v>
      </c>
      <c r="BD139" s="387">
        <f t="shared" si="253"/>
        <v>0</v>
      </c>
      <c r="BE139" s="1277">
        <f t="shared" si="254"/>
        <v>0</v>
      </c>
      <c r="BF139" s="1277">
        <f t="shared" si="255"/>
        <v>0</v>
      </c>
      <c r="BG139" s="388">
        <f t="shared" si="256"/>
        <v>0</v>
      </c>
      <c r="BH139" s="1025"/>
      <c r="BI139" s="1282">
        <f t="shared" ca="1" si="257"/>
        <v>0</v>
      </c>
      <c r="BJ139" s="387">
        <f t="shared" ca="1" si="258"/>
        <v>0</v>
      </c>
      <c r="BK139" s="387">
        <f t="shared" ca="1" si="259"/>
        <v>1.0991685304292497E-2</v>
      </c>
      <c r="BL139" s="387">
        <f t="shared" ca="1" si="260"/>
        <v>9.6489463455280616E-2</v>
      </c>
      <c r="BM139" s="1283">
        <f t="shared" ca="1" si="261"/>
        <v>0.66492739848771687</v>
      </c>
      <c r="BN139" s="386">
        <f t="shared" ca="1" si="262"/>
        <v>1.3125790921448182</v>
      </c>
      <c r="BO139" s="387">
        <f t="shared" ca="1" si="263"/>
        <v>1.4662989436161789</v>
      </c>
      <c r="BP139" s="1277">
        <f t="shared" ca="1" si="264"/>
        <v>1.4662989436161789</v>
      </c>
      <c r="BQ139" s="1277">
        <f t="shared" ca="1" si="265"/>
        <v>1.4662989436161789</v>
      </c>
      <c r="BR139" s="388">
        <f t="shared" ca="1" si="266"/>
        <v>1.4662989436161789</v>
      </c>
      <c r="BS139" s="1025"/>
      <c r="BT139" s="1282">
        <f>+IF($K139="Ongoing",AX139,IF(RIGHT($K139,2)=RIGHT(BT$43,2),SUM($AX139:AX139),0)+IF(RIGHT(BT$43,2)&gt;RIGHT($K139,2),AX139,0))</f>
        <v>0</v>
      </c>
      <c r="BU139" s="387">
        <f>+IF($K139="Ongoing",AY139,IF(RIGHT($K139,2)=RIGHT(BU$43,2),SUM($AX139:AY139),0)+IF(RIGHT(BU$43,2)&gt;RIGHT($K139,2),AY139,0))</f>
        <v>0</v>
      </c>
      <c r="BV139" s="387">
        <f>+IF($K139="Ongoing",AZ139,IF(RIGHT($K139,2)=RIGHT(BV$43,2),SUM($AX139:AZ139),0)+IF(RIGHT(BV$43,2)&gt;RIGHT($K139,2),AZ139,0))</f>
        <v>0.76941797130047473</v>
      </c>
      <c r="BW139" s="387">
        <f>+IF($K139="Ongoing",BA139,IF(RIGHT($K139,2)=RIGHT(BW$43,2),SUM($AX139:BA139),0)+IF(RIGHT(BW$43,2)&gt;RIGHT($K139,2),BA139,0))</f>
        <v>5.2154264992686938</v>
      </c>
      <c r="BX139" s="1283">
        <f>+IF($K139="Ongoing",BB139,IF(RIGHT($K139,2)=RIGHT(BX$43,2),SUM($AX139:BB139),0)+IF(RIGHT(BX$43,2)&gt;RIGHT($K139,2),BB139,0))</f>
        <v>34.575228953001847</v>
      </c>
      <c r="BY139" s="386">
        <f>+IF($K139="Ongoing",BC139,IF(RIGHT($K139,2)=RIGHT(BY$43,2),SUM($AX139:BC139),0)+IF(RIGHT(BY$43,2)&gt;RIGHT($K139,2),BC139,0))</f>
        <v>10.760389602995247</v>
      </c>
      <c r="BZ139" s="387">
        <f>+IF($K139="Ongoing",BD139,IF(RIGHT($K139,2)=RIGHT(BZ$43,2),SUM($AX139:BD139),0)+IF(RIGHT(BZ$43,2)&gt;RIGHT($K139,2),BD139,0))</f>
        <v>0</v>
      </c>
      <c r="CA139" s="1277">
        <f>+IF($K139="Ongoing",BE139,IF(RIGHT($K139,2)=RIGHT(CA$43,2),SUM($AX139:BE139),0)+IF(RIGHT(CA$43,2)&gt;RIGHT($K139,2),BE139,0))</f>
        <v>0</v>
      </c>
      <c r="CB139" s="1277">
        <f>+IF($K139="Ongoing",BF139,IF(RIGHT($K139,2)=RIGHT(CB$43,2),SUM($AX139:BF139),0)+IF(RIGHT(CB$43,2)&gt;RIGHT($K139,2),BF139,0))</f>
        <v>0</v>
      </c>
      <c r="CC139" s="388">
        <f>+IF($K139="Ongoing",BG139,IF(RIGHT($K139,2)=RIGHT(CC$43,2),SUM($AX139:BG139),0)+IF(RIGHT(CC$43,2)&gt;RIGHT($K139,2),BG139,0))</f>
        <v>0</v>
      </c>
      <c r="CD139" s="1025"/>
      <c r="CE139" s="1282">
        <f>+Q139*KeyAssumptionsPriceControl_FO!AF$15</f>
        <v>0</v>
      </c>
      <c r="CF139" s="387">
        <f>+R139*KeyAssumptionsPriceControl_FO!AG$15</f>
        <v>0</v>
      </c>
      <c r="CG139" s="387">
        <f>+S139*KeyAssumptionsPriceControl_FO!AH$15</f>
        <v>0.83831734168010907</v>
      </c>
      <c r="CH139" s="387">
        <f>+T139*KeyAssumptionsPriceControl_FO!AI$15</f>
        <v>5.8472455002188033</v>
      </c>
      <c r="CI139" s="1283">
        <f>+U139*KeyAssumptionsPriceControl_FO!AJ$15</f>
        <v>39.887970360461416</v>
      </c>
      <c r="CJ139" s="386">
        <f>+V139*KeyAssumptionsPriceControl_FO!AK$15</f>
        <v>12.773803901533789</v>
      </c>
      <c r="CK139" s="387">
        <f>+W139*KeyAssumptionsPriceControl_FO!AL$15</f>
        <v>0</v>
      </c>
      <c r="CL139" s="1277">
        <f>+X139*KeyAssumptionsPriceControl_FO!AM$15</f>
        <v>0</v>
      </c>
      <c r="CM139" s="1277">
        <f>+Y139*KeyAssumptionsPriceControl_FO!AN$15</f>
        <v>0</v>
      </c>
      <c r="CN139" s="388">
        <f>+Z139*KeyAssumptionsPriceControl_FO!AO$15</f>
        <v>0</v>
      </c>
      <c r="CO139" s="1025"/>
      <c r="CP139" s="1282">
        <f t="shared" ca="1" si="267"/>
        <v>0</v>
      </c>
      <c r="CQ139" s="387">
        <f t="shared" ca="1" si="268"/>
        <v>0</v>
      </c>
      <c r="CR139" s="387">
        <f t="shared" ca="1" si="269"/>
        <v>0</v>
      </c>
      <c r="CS139" s="387">
        <f t="shared" ca="1" si="270"/>
        <v>0</v>
      </c>
      <c r="CT139" s="1283">
        <f t="shared" ca="1" si="271"/>
        <v>0</v>
      </c>
      <c r="CU139" s="386">
        <f t="shared" ca="1" si="272"/>
        <v>0</v>
      </c>
      <c r="CV139" s="387">
        <f t="shared" ca="1" si="273"/>
        <v>0</v>
      </c>
      <c r="CW139" s="1277">
        <f t="shared" ca="1" si="274"/>
        <v>0</v>
      </c>
      <c r="CX139" s="1277">
        <f t="shared" ca="1" si="275"/>
        <v>0</v>
      </c>
      <c r="CY139" s="388">
        <f t="shared" ca="1" si="276"/>
        <v>0</v>
      </c>
      <c r="CZ139" s="347"/>
      <c r="DA139" s="852"/>
      <c r="DB139" s="347"/>
      <c r="DC139" s="1012" t="s">
        <v>642</v>
      </c>
      <c r="DD139" s="841" t="s">
        <v>518</v>
      </c>
      <c r="DE139" s="386">
        <f>+IF($K139="ongoing",CE139,IF(RIGHT($K139,2)=RIGHT(DE$43,2),SUM($CD139:CE139),0)+IF(RIGHT(DE$43,2)&gt;RIGHT($K139,2),CE139,0))</f>
        <v>0</v>
      </c>
      <c r="DF139" s="387">
        <f>+IF($K139="ongoing",CF139,IF(RIGHT($K139,2)=RIGHT(DF$43,2),SUM($CD139:CF139),0)+IF(RIGHT(DF$43,2)&gt;RIGHT($K139,2),CF139,0))</f>
        <v>0</v>
      </c>
      <c r="DG139" s="388">
        <f>+IF($K139="ongoing",CG139,IF(RIGHT($K139,2)=RIGHT(DG$43,2),SUM($CD139:CG139),0)+IF(RIGHT(DG$43,2)&gt;RIGHT($K139,2),CG139,0))</f>
        <v>0.83831734168010907</v>
      </c>
      <c r="DH139" s="386">
        <f>+IF($K139="ongoing",CH139,IF(RIGHT($K139,2)=RIGHT(DH$43,2),SUM($CD139:CH139),0)+IF(RIGHT(DH$43,2)&gt;RIGHT($K139,2),CH139,0))</f>
        <v>5.8472455002188033</v>
      </c>
      <c r="DI139" s="387">
        <f>+IF($K139="ongoing",CI139,IF(RIGHT($K139,2)=RIGHT(DI$43,2),SUM($CD139:CI139),0)+IF(RIGHT(DI$43,2)&gt;RIGHT($K139,2),CI139,0))</f>
        <v>39.887970360461416</v>
      </c>
      <c r="DJ139" s="387">
        <f>+IF($K139="ongoing",CJ139,IF(RIGHT($K139,2)=RIGHT(DJ$43,2),SUM($CD139:CJ139),0)+IF(RIGHT(DJ$43,2)&gt;RIGHT($K139,2),CJ139,0))</f>
        <v>12.773803901533789</v>
      </c>
      <c r="DK139" s="387">
        <f>+IF($K139="ongoing",CK139,IF(RIGHT($K139,2)=RIGHT(DK$43,2),SUM($CD139:CK139),0)+IF(RIGHT(DK$43,2)&gt;RIGHT($K139,2),CK139,0))</f>
        <v>0</v>
      </c>
      <c r="DL139" s="388">
        <f>+IF($K139="ongoing",CN139,IF(RIGHT($K139,2)=RIGHT(DL$43,2),SUM($CD139:CN139),0)+IF(RIGHT(DL$43,2)&gt;RIGHT($K139,2),CN139,0))</f>
        <v>0</v>
      </c>
      <c r="DM139" s="841"/>
      <c r="DN139" s="386">
        <f t="shared" si="277"/>
        <v>0.5</v>
      </c>
      <c r="DO139" s="387">
        <f t="shared" si="278"/>
        <v>1</v>
      </c>
      <c r="DP139" s="388">
        <f t="shared" si="279"/>
        <v>1</v>
      </c>
      <c r="DQ139" s="386">
        <f t="shared" si="280"/>
        <v>1</v>
      </c>
      <c r="DR139" s="387">
        <f t="shared" si="281"/>
        <v>1</v>
      </c>
      <c r="DS139" s="387">
        <f t="shared" si="282"/>
        <v>1</v>
      </c>
      <c r="DT139" s="387">
        <f t="shared" si="283"/>
        <v>1</v>
      </c>
      <c r="DU139" s="388">
        <f t="shared" si="284"/>
        <v>1</v>
      </c>
      <c r="DW139" s="386">
        <f t="shared" si="285"/>
        <v>0</v>
      </c>
      <c r="DX139" s="387">
        <f t="shared" si="286"/>
        <v>0.5</v>
      </c>
      <c r="DY139" s="388">
        <f t="shared" si="287"/>
        <v>1</v>
      </c>
      <c r="DZ139" s="386">
        <f t="shared" si="288"/>
        <v>1</v>
      </c>
      <c r="EA139" s="387">
        <f t="shared" si="289"/>
        <v>1</v>
      </c>
      <c r="EB139" s="387">
        <f t="shared" si="290"/>
        <v>1</v>
      </c>
      <c r="EC139" s="387">
        <f t="shared" si="291"/>
        <v>1</v>
      </c>
      <c r="ED139" s="388">
        <f t="shared" si="292"/>
        <v>1</v>
      </c>
      <c r="EF139" s="834">
        <f>+IF(DN139=DM139,0,
IF(AND(EF$44&gt;1,DN139=$N139),1-SUM($EE139:EE139),
IF($N139&lt;=1,
IF($N139&gt;0,1/$N139,0),
IF(EF$44=1,0,VDB(1,0,$N139,INT(EF$44-1-1),MIN($N139,INT(EF$44-1-1)+1),$DC139,IF($DD139="No",1,0))/
IF(DM139&gt;=INT($N139),$N139-INT($N139),1)))*
IF(EF$44=1,0,
IF(INT(DN139)=INT(DM139),DN139-DM139,INT(DN139)-DM139))+
IF($N139&lt;=1,
IF($N139&gt;0,1/$N139,0),VDB(1,0,$N139,INT(EF$44-1),MIN($N139,INT(EF$44-1)+1),$DC139,IF($DD139="No",1,0))/
IF(DN139&gt;INT($N139),$N139-INT($N139),1))*
IF(EF$44=1,DN139,
IF(INT(DN139)=INT(DM139),0,DN139-INT(DN139)))))</f>
        <v>0</v>
      </c>
      <c r="EG139" s="835">
        <f>+IF(DO139=DN139,0,
IF(AND(EG$44&gt;1,DO139=$N139),1-SUM($EE139:EF139),
IF($N139&lt;=1,
IF($N139&gt;0,1/$N139,0),
IF(EG$44=1,0,VDB(1,0,$N139,INT(EG$44-1-1),MIN($N139,INT(EG$44-1-1)+1),$DC139,IF($DD139="No",1,0))/
IF(DN139&gt;=INT($N139),$N139-INT($N139),1)))*
IF(EG$44=1,0,
IF(INT(DO139)=INT(DN139),DO139-DN139,INT(DO139)-DN139))+
IF($N139&lt;=1,
IF($N139&gt;0,1/$N139,0),VDB(1,0,$N139,INT(EG$44-1),MIN($N139,INT(EG$44-1)+1),$DC139,IF($DD139="No",1,0))/
IF(DO139&gt;INT($N139),$N139-INT($N139),1))*
IF(EG$44=1,DO139,
IF(INT(DO139)=INT(DN139),0,DO139-INT(DO139)))))</f>
        <v>0</v>
      </c>
      <c r="EH139" s="836">
        <f>+IF(DP139=DO139,0,
IF(AND(EH$44&gt;1,DP139=$N139),1-SUM($EE139:EG139),
IF($N139&lt;=1,
IF($N139&gt;0,1/$N139,0),
IF(EH$44=1,0,VDB(1,0,$N139,INT(EH$44-1-1),MIN($N139,INT(EH$44-1-1)+1),$DC139,IF($DD139="No",1,0))/
IF(DO139&gt;=INT($N139),$N139-INT($N139),1)))*
IF(EH$44=1,0,
IF(INT(DP139)=INT(DO139),DP139-DO139,INT(DP139)-DO139))+
IF($N139&lt;=1,
IF($N139&gt;0,1/$N139,0),VDB(1,0,$N139,INT(EH$44-1),MIN($N139,INT(EH$44-1)+1),$DC139,IF($DD139="No",1,0))/
IF(DP139&gt;INT($N139),$N139-INT($N139),1))*
IF(EH$44=1,DP139,
IF(INT(DP139)=INT(DO139),0,DP139-INT(DP139)))))</f>
        <v>0</v>
      </c>
      <c r="EI139" s="834">
        <f>+IF(DQ139=DP139,0,
IF(AND(EI$44&gt;1,DQ139=$N139),1-SUM($EE139:EH139),
IF($N139&lt;=1,
IF($N139&gt;0,1/$N139,0),
IF(EI$44=1,0,VDB(1,0,$N139,INT(EI$44-1-1),MIN($N139,INT(EI$44-1-1)+1),$DC139,IF($DD139="No",1,0))/
IF(DP139&gt;=INT($N139),$N139-INT($N139),1)))*
IF(EI$44=1,0,
IF(INT(DQ139)=INT(DP139),DQ139-DP139,INT(DQ139)-DP139))+
IF($N139&lt;=1,
IF($N139&gt;0,1/$N139,0),VDB(1,0,$N139,INT(EI$44-1),MIN($N139,INT(EI$44-1)+1),$DC139,IF($DD139="No",1,0))/
IF(DQ139&gt;INT($N139),$N139-INT($N139),1))*
IF(EI$44=1,DQ139,
IF(INT(DQ139)=INT(DP139),0,DQ139-INT(DQ139)))))</f>
        <v>0</v>
      </c>
      <c r="EJ139" s="835">
        <f>+IF(DR139=DQ139,0,
IF(AND(EJ$44&gt;1,DR139=$N139),1-SUM($EE139:EI139),
IF($N139&lt;=1,
IF($N139&gt;0,1/$N139,0),
IF(EJ$44=1,0,VDB(1,0,$N139,INT(EJ$44-1-1),MIN($N139,INT(EJ$44-1-1)+1),$DC139,IF($DD139="No",1,0))/
IF(DQ139&gt;=INT($N139),$N139-INT($N139),1)))*
IF(EJ$44=1,0,
IF(INT(DR139)=INT(DQ139),DR139-DQ139,INT(DR139)-DQ139))+
IF($N139&lt;=1,
IF($N139&gt;0,1/$N139,0),VDB(1,0,$N139,INT(EJ$44-1),MIN($N139,INT(EJ$44-1)+1),$DC139,IF($DD139="No",1,0))/
IF(DR139&gt;INT($N139),$N139-INT($N139),1))*
IF(EJ$44=1,DR139,
IF(INT(DR139)=INT(DQ139),0,DR139-INT(DR139)))))</f>
        <v>0</v>
      </c>
      <c r="EK139" s="835">
        <f>+IF(DS139=DR139,0,
IF(AND(EK$44&gt;1,DS139=$N139),1-SUM($EE139:EJ139),
IF($N139&lt;=1,
IF($N139&gt;0,1/$N139,0),
IF(EK$44=1,0,VDB(1,0,$N139,INT(EK$44-1-1),MIN($N139,INT(EK$44-1-1)+1),$DC139,IF($DD139="No",1,0))/
IF(DR139&gt;=INT($N139),$N139-INT($N139),1)))*
IF(EK$44=1,0,
IF(INT(DS139)=INT(DR139),DS139-DR139,INT(DS139)-DR139))+
IF($N139&lt;=1,
IF($N139&gt;0,1/$N139,0),VDB(1,0,$N139,INT(EK$44-1),MIN($N139,INT(EK$44-1)+1),$DC139,IF($DD139="No",1,0))/
IF(DS139&gt;INT($N139),$N139-INT($N139),1))*
IF(EK$44=1,DS139,
IF(INT(DS139)=INT(DR139),0,DS139-INT(DS139)))))</f>
        <v>0</v>
      </c>
      <c r="EL139" s="835">
        <f>+IF(DT139=DS139,0,
IF(AND(EL$44&gt;1,DT139=$N139),1-SUM($EE139:EK139),
IF($N139&lt;=1,
IF($N139&gt;0,1/$N139,0),
IF(EL$44=1,0,VDB(1,0,$N139,INT(EL$44-1-1),MIN($N139,INT(EL$44-1-1)+1),$DC139,IF($DD139="No",1,0))/
IF(DS139&gt;=INT($N139),$N139-INT($N139),1)))*
IF(EL$44=1,0,
IF(INT(DT139)=INT(DS139),DT139-DS139,INT(DT139)-DS139))+
IF($N139&lt;=1,
IF($N139&gt;0,1/$N139,0),VDB(1,0,$N139,INT(EL$44-1),MIN($N139,INT(EL$44-1)+1),$DC139,IF($DD139="No",1,0))/
IF(DT139&gt;INT($N139),$N139-INT($N139),1))*
IF(EL$44=1,DT139,
IF(INT(DT139)=INT(DS139),0,DT139-INT(DT139)))))</f>
        <v>0</v>
      </c>
      <c r="EM139" s="836">
        <f>+IF(DU139=DT139,0,
IF(AND(EM$44&gt;1,DU139=$N139),1-SUM($EE139:EL139),
IF($N139&lt;=1,
IF($N139&gt;0,1/$N139,0),
IF(EM$44=1,0,VDB(1,0,$N139,INT(EM$44-1-1),MIN($N139,INT(EM$44-1-1)+1),$DC139,IF($DD139="No",1,0))/
IF(DT139&gt;=INT($N139),$N139-INT($N139),1)))*
IF(EM$44=1,0,
IF(INT(DU139)=INT(DT139),DU139-DT139,INT(DU139)-DT139))+
IF($N139&lt;=1,
IF($N139&gt;0,1/$N139,0),VDB(1,0,$N139,INT(EM$44-1),MIN($N139,INT(EM$44-1)+1),$DC139,IF($DD139="No",1,0))/
IF(DU139&gt;INT($N139),$N139-INT($N139),1))*
IF(EM$44=1,DU139,
IF(INT(DU139)=INT(DT139),0,DU139-INT(DU139)))))</f>
        <v>0</v>
      </c>
      <c r="EN139" s="833"/>
      <c r="EO139" s="834">
        <f>+IF(OR(DW139=DV139,EO$44=1),0,
IF(AND(EO$44&gt;1,DW139=$N139),1-SUM($EN139:EN139),
IF($N139&lt;=1,
IF($N139&gt;0,1/$N139,0),
IF(EO$44=2,0,VDB(1,0,$N139,INT(EO$44-2-1),MIN($N139,INT(EO$44-2-1)+1),$DC139,IF($DD139="No",1,0))/
IF(DV139&gt;=INT($N139),$N139-INT($N139),1)))*
IF(EO$44=2,0,
IF(INT(DW139)=INT(DV139),DW139-DV139,INT(DW139)-DV139))+
IF($N139&lt;=1,
IF($N139&gt;0,1/$N139,0),VDB(1,0,$N139,INT(EO$44-2),MIN($N139,INT(EO$44-2)+1),$DC139,IF($DD139="No",1,0))/
IF(DW139&gt;INT($N139),$N139-INT($N139),1))*
IF(EO$44=2,DW139,
IF(INT(DW139)=INT(DV139),0,DW139-INT(DW139)))))</f>
        <v>0</v>
      </c>
      <c r="EP139" s="835">
        <f>+IF(OR(DX139=DW139,EP$44=1),0,
IF(AND(EP$44&gt;1,DX139=$N139),1-SUM($EN139:EO139),
IF($N139&lt;=1,
IF($N139&gt;0,1/$N139,0),
IF(EP$44=2,0,VDB(1,0,$N139,INT(EP$44-2-1),MIN($N139,INT(EP$44-2-1)+1),$DC139,IF($DD139="No",1,0))/
IF(DW139&gt;=INT($N139),$N139-INT($N139),1)))*
IF(EP$44=2,0,
IF(INT(DX139)=INT(DW139),DX139-DW139,INT(DX139)-DW139))+
IF($N139&lt;=1,
IF($N139&gt;0,1/$N139,0),VDB(1,0,$N139,INT(EP$44-2),MIN($N139,INT(EP$44-2)+1),$DC139,IF($DD139="No",1,0))/
IF(DX139&gt;INT($N139),$N139-INT($N139),1))*
IF(EP$44=2,DX139,
IF(INT(DX139)=INT(DW139),0,DX139-INT(DX139)))))</f>
        <v>0</v>
      </c>
      <c r="EQ139" s="836">
        <f>+IF(OR(DY139=DX139,EQ$44=1),0,
IF(AND(EQ$44&gt;1,DY139=$N139),1-SUM($EN139:EP139),
IF($N139&lt;=1,
IF($N139&gt;0,1/$N139,0),
IF(EQ$44=2,0,VDB(1,0,$N139,INT(EQ$44-2-1),MIN($N139,INT(EQ$44-2-1)+1),$DC139,IF($DD139="No",1,0))/
IF(DX139&gt;=INT($N139),$N139-INT($N139),1)))*
IF(EQ$44=2,0,
IF(INT(DY139)=INT(DX139),DY139-DX139,INT(DY139)-DX139))+
IF($N139&lt;=1,
IF($N139&gt;0,1/$N139,0),VDB(1,0,$N139,INT(EQ$44-2),MIN($N139,INT(EQ$44-2)+1),$DC139,IF($DD139="No",1,0))/
IF(DY139&gt;INT($N139),$N139-INT($N139),1))*
IF(EQ$44=2,DY139,
IF(INT(DY139)=INT(DX139),0,DY139-INT(DY139)))))</f>
        <v>0</v>
      </c>
      <c r="ER139" s="834">
        <f>+IF(OR(DZ139=DY139,ER$44=1),0,
IF(AND(ER$44&gt;1,DZ139=$N139),1-SUM($EN139:EQ139),
IF($N139&lt;=1,
IF($N139&gt;0,1/$N139,0),
IF(ER$44=2,0,VDB(1,0,$N139,INT(ER$44-2-1),MIN($N139,INT(ER$44-2-1)+1),$DC139,IF($DD139="No",1,0))/
IF(DY139&gt;=INT($N139),$N139-INT($N139),1)))*
IF(ER$44=2,0,
IF(INT(DZ139)=INT(DY139),DZ139-DY139,INT(DZ139)-DY139))+
IF($N139&lt;=1,
IF($N139&gt;0,1/$N139,0),VDB(1,0,$N139,INT(ER$44-2),MIN($N139,INT(ER$44-2)+1),$DC139,IF($DD139="No",1,0))/
IF(DZ139&gt;INT($N139),$N139-INT($N139),1))*
IF(ER$44=2,DZ139,
IF(INT(DZ139)=INT(DY139),0,DZ139-INT(DZ139)))))</f>
        <v>0</v>
      </c>
      <c r="ES139" s="835">
        <f>+IF(OR(EA139=DZ139,ES$44=1),0,
IF(AND(ES$44&gt;1,EA139=$N139),1-SUM($EN139:ER139),
IF($N139&lt;=1,
IF($N139&gt;0,1/$N139,0),
IF(ES$44=2,0,VDB(1,0,$N139,INT(ES$44-2-1),MIN($N139,INT(ES$44-2-1)+1),$DC139,IF($DD139="No",1,0))/
IF(DZ139&gt;=INT($N139),$N139-INT($N139),1)))*
IF(ES$44=2,0,
IF(INT(EA139)=INT(DZ139),EA139-DZ139,INT(EA139)-DZ139))+
IF($N139&lt;=1,
IF($N139&gt;0,1/$N139,0),VDB(1,0,$N139,INT(ES$44-2),MIN($N139,INT(ES$44-2)+1),$DC139,IF($DD139="No",1,0))/
IF(EA139&gt;INT($N139),$N139-INT($N139),1))*
IF(ES$44=2,EA139,
IF(INT(EA139)=INT(DZ139),0,EA139-INT(EA139)))))</f>
        <v>0</v>
      </c>
      <c r="ET139" s="835">
        <f>+IF(OR(EB139=EA139,ET$44=1),0,
IF(AND(ET$44&gt;1,EB139=$N139),1-SUM($EN139:ES139),
IF($N139&lt;=1,
IF($N139&gt;0,1/$N139,0),
IF(ET$44=2,0,VDB(1,0,$N139,INT(ET$44-2-1),MIN($N139,INT(ET$44-2-1)+1),$DC139,IF($DD139="No",1,0))/
IF(EA139&gt;=INT($N139),$N139-INT($N139),1)))*
IF(ET$44=2,0,
IF(INT(EB139)=INT(EA139),EB139-EA139,INT(EB139)-EA139))+
IF($N139&lt;=1,
IF($N139&gt;0,1/$N139,0),VDB(1,0,$N139,INT(ET$44-2),MIN($N139,INT(ET$44-2)+1),$DC139,IF($DD139="No",1,0))/
IF(EB139&gt;INT($N139),$N139-INT($N139),1))*
IF(ET$44=2,EB139,
IF(INT(EB139)=INT(EA139),0,EB139-INT(EB139)))))</f>
        <v>0</v>
      </c>
      <c r="EU139" s="835">
        <f>+IF(OR(EC139=EB139,EU$44=1),0,
IF(AND(EU$44&gt;1,EC139=$N139),1-SUM($EN139:ET139),
IF($N139&lt;=1,
IF($N139&gt;0,1/$N139,0),
IF(EU$44=2,0,VDB(1,0,$N139,INT(EU$44-2-1),MIN($N139,INT(EU$44-2-1)+1),$DC139,IF($DD139="No",1,0))/
IF(EB139&gt;=INT($N139),$N139-INT($N139),1)))*
IF(EU$44=2,0,
IF(INT(EC139)=INT(EB139),EC139-EB139,INT(EC139)-EB139))+
IF($N139&lt;=1,
IF($N139&gt;0,1/$N139,0),VDB(1,0,$N139,INT(EU$44-2),MIN($N139,INT(EU$44-2)+1),$DC139,IF($DD139="No",1,0))/
IF(EC139&gt;INT($N139),$N139-INT($N139),1))*
IF(EU$44=2,EC139,
IF(INT(EC139)=INT(EB139),0,EC139-INT(EC139)))))</f>
        <v>0</v>
      </c>
      <c r="EV139" s="836">
        <f>+IF(OR(ED139=EC139,EV$44=1),0,
IF(AND(EV$44&gt;1,ED139=$N139),1-SUM($EN139:EU139),
IF($N139&lt;=1,
IF($N139&gt;0,1/$N139,0),
IF(EV$44=2,0,VDB(1,0,$N139,INT(EV$44-2-1),MIN($N139,INT(EV$44-2-1)+1),$DC139,IF($DD139="No",1,0))/
IF(EC139&gt;=INT($N139),$N139-INT($N139),1)))*
IF(EV$44=2,0,
IF(INT(ED139)=INT(EC139),ED139-EC139,INT(ED139)-EC139))+
IF($N139&lt;=1,
IF($N139&gt;0,1/$N139,0),VDB(1,0,$N139,INT(EV$44-2),MIN($N139,INT(EV$44-2)+1),$DC139,IF($DD139="No",1,0))/
IF(ED139&gt;INT($N139),$N139-INT($N139),1))*
IF(EV$44=2,ED139,
IF(INT(ED139)=INT(EC139),0,ED139-INT(ED139)))))</f>
        <v>0</v>
      </c>
      <c r="EW139" s="833"/>
      <c r="EX139" s="834">
        <f t="shared" ca="1" si="303"/>
        <v>0</v>
      </c>
      <c r="EY139" s="835">
        <f t="shared" ca="1" si="303"/>
        <v>0</v>
      </c>
      <c r="EZ139" s="836">
        <f t="shared" ca="1" si="303"/>
        <v>0</v>
      </c>
      <c r="FA139" s="834">
        <f t="shared" ca="1" si="303"/>
        <v>0</v>
      </c>
      <c r="FB139" s="835">
        <f t="shared" ca="1" si="303"/>
        <v>0</v>
      </c>
      <c r="FC139" s="835">
        <f t="shared" ca="1" si="303"/>
        <v>0</v>
      </c>
      <c r="FD139" s="835">
        <f t="shared" ca="1" si="303"/>
        <v>0</v>
      </c>
      <c r="FE139" s="836">
        <f t="shared" ca="1" si="303"/>
        <v>0</v>
      </c>
      <c r="FG139" s="386">
        <f t="shared" ca="1" si="293"/>
        <v>0</v>
      </c>
      <c r="FH139" s="387">
        <f t="shared" ca="1" si="294"/>
        <v>0</v>
      </c>
      <c r="FI139" s="388">
        <f t="shared" ca="1" si="295"/>
        <v>0</v>
      </c>
      <c r="FJ139" s="386">
        <f t="shared" ca="1" si="296"/>
        <v>0</v>
      </c>
      <c r="FK139" s="387">
        <f t="shared" ca="1" si="297"/>
        <v>0</v>
      </c>
      <c r="FL139" s="387">
        <f t="shared" ca="1" si="298"/>
        <v>0</v>
      </c>
      <c r="FM139" s="387">
        <f t="shared" ca="1" si="299"/>
        <v>0</v>
      </c>
      <c r="FN139" s="388">
        <f t="shared" ca="1" si="300"/>
        <v>0</v>
      </c>
      <c r="FR139" s="116"/>
    </row>
    <row r="140" spans="2:174">
      <c r="B140" s="1410">
        <f t="shared" si="302"/>
        <v>94</v>
      </c>
      <c r="C140" s="400" t="s">
        <v>641</v>
      </c>
      <c r="D140" s="410"/>
      <c r="E140" s="402" t="s">
        <v>402</v>
      </c>
      <c r="F140" s="402" t="s">
        <v>527</v>
      </c>
      <c r="G140" s="400" t="s">
        <v>522</v>
      </c>
      <c r="H140" s="2088" t="s">
        <v>483</v>
      </c>
      <c r="I140" s="2089"/>
      <c r="J140" s="411" t="s">
        <v>516</v>
      </c>
      <c r="K140" s="403" t="s">
        <v>544</v>
      </c>
      <c r="L140" s="403">
        <v>35</v>
      </c>
      <c r="M140" s="403" t="s">
        <v>142</v>
      </c>
      <c r="N140" s="403"/>
      <c r="O140" s="347"/>
      <c r="P140" s="347"/>
      <c r="Q140" s="1021">
        <v>0.47206146341463417</v>
      </c>
      <c r="R140" s="1022">
        <v>5.0376880428316477</v>
      </c>
      <c r="S140" s="1022">
        <v>22.032178987536462</v>
      </c>
      <c r="T140" s="1022">
        <v>26.262206435717676</v>
      </c>
      <c r="U140" s="1023">
        <v>0</v>
      </c>
      <c r="V140" s="1021">
        <v>0</v>
      </c>
      <c r="W140" s="1022">
        <v>0</v>
      </c>
      <c r="X140" s="1022">
        <v>0</v>
      </c>
      <c r="Y140" s="1022">
        <v>0</v>
      </c>
      <c r="Z140" s="1023">
        <v>0</v>
      </c>
      <c r="AA140" s="1024"/>
      <c r="AB140" s="1021">
        <v>0</v>
      </c>
      <c r="AC140" s="1022">
        <v>0</v>
      </c>
      <c r="AD140" s="1022">
        <v>0</v>
      </c>
      <c r="AE140" s="1022">
        <v>0</v>
      </c>
      <c r="AF140" s="1023">
        <v>0</v>
      </c>
      <c r="AG140" s="1021">
        <v>0</v>
      </c>
      <c r="AH140" s="1022">
        <v>0</v>
      </c>
      <c r="AI140" s="1022">
        <v>0</v>
      </c>
      <c r="AJ140" s="1022">
        <v>0</v>
      </c>
      <c r="AK140" s="1023">
        <v>0</v>
      </c>
      <c r="AL140" s="1024"/>
      <c r="AM140" s="1021">
        <v>0</v>
      </c>
      <c r="AN140" s="1022">
        <v>0</v>
      </c>
      <c r="AO140" s="1022">
        <v>0</v>
      </c>
      <c r="AP140" s="1022">
        <v>0</v>
      </c>
      <c r="AQ140" s="1023">
        <v>0</v>
      </c>
      <c r="AR140" s="1021">
        <v>0</v>
      </c>
      <c r="AS140" s="1022">
        <v>0</v>
      </c>
      <c r="AT140" s="1022">
        <v>0</v>
      </c>
      <c r="AU140" s="1022">
        <v>0</v>
      </c>
      <c r="AV140" s="1023">
        <v>0</v>
      </c>
      <c r="AW140" s="1025"/>
      <c r="AX140" s="1282">
        <f t="shared" si="247"/>
        <v>0.47206146341463417</v>
      </c>
      <c r="AY140" s="387">
        <f t="shared" si="248"/>
        <v>5.0376880428316477</v>
      </c>
      <c r="AZ140" s="387">
        <f t="shared" si="249"/>
        <v>22.032178987536462</v>
      </c>
      <c r="BA140" s="387">
        <f t="shared" si="250"/>
        <v>26.262206435717676</v>
      </c>
      <c r="BB140" s="1283">
        <f t="shared" si="251"/>
        <v>0</v>
      </c>
      <c r="BC140" s="386">
        <f t="shared" si="252"/>
        <v>0</v>
      </c>
      <c r="BD140" s="387">
        <f t="shared" si="253"/>
        <v>0</v>
      </c>
      <c r="BE140" s="1277">
        <f t="shared" si="254"/>
        <v>0</v>
      </c>
      <c r="BF140" s="1277">
        <f t="shared" si="255"/>
        <v>0</v>
      </c>
      <c r="BG140" s="388">
        <f t="shared" si="256"/>
        <v>0</v>
      </c>
      <c r="BH140" s="1025"/>
      <c r="BI140" s="1282">
        <f t="shared" ca="1" si="257"/>
        <v>6.7437351916376309E-3</v>
      </c>
      <c r="BJ140" s="387">
        <f t="shared" ca="1" si="258"/>
        <v>8.5454442423727364E-2</v>
      </c>
      <c r="BK140" s="387">
        <f t="shared" ca="1" si="259"/>
        <v>0.47216682857184322</v>
      </c>
      <c r="BL140" s="387">
        <f t="shared" ca="1" si="260"/>
        <v>1.1620866203326166</v>
      </c>
      <c r="BM140" s="1283">
        <f t="shared" ca="1" si="261"/>
        <v>1.5372609979857264</v>
      </c>
      <c r="BN140" s="386">
        <f t="shared" ca="1" si="262"/>
        <v>1.5372609979857264</v>
      </c>
      <c r="BO140" s="387">
        <f t="shared" ca="1" si="263"/>
        <v>1.5372609979857264</v>
      </c>
      <c r="BP140" s="1277">
        <f t="shared" ca="1" si="264"/>
        <v>1.5372609979857264</v>
      </c>
      <c r="BQ140" s="1277">
        <f t="shared" ca="1" si="265"/>
        <v>1.5372609979857264</v>
      </c>
      <c r="BR140" s="388">
        <f t="shared" ca="1" si="266"/>
        <v>1.5372609979857264</v>
      </c>
      <c r="BS140" s="1025"/>
      <c r="BT140" s="1282">
        <f>+IF($K140="Ongoing",AX140,IF(RIGHT($K140,2)=RIGHT(BT$43,2),SUM($AX140:AX140),0)+IF(RIGHT(BT$43,2)&gt;RIGHT($K140,2),AX140,0))</f>
        <v>0.47206146341463417</v>
      </c>
      <c r="BU140" s="387">
        <f>+IF($K140="Ongoing",AY140,IF(RIGHT($K140,2)=RIGHT(BU$43,2),SUM($AX140:AY140),0)+IF(RIGHT(BU$43,2)&gt;RIGHT($K140,2),AY140,0))</f>
        <v>5.0376880428316477</v>
      </c>
      <c r="BV140" s="387">
        <f>+IF($K140="Ongoing",AZ140,IF(RIGHT($K140,2)=RIGHT(BV$43,2),SUM($AX140:AZ140),0)+IF(RIGHT(BV$43,2)&gt;RIGHT($K140,2),AZ140,0))</f>
        <v>22.032178987536462</v>
      </c>
      <c r="BW140" s="387">
        <f>+IF($K140="Ongoing",BA140,IF(RIGHT($K140,2)=RIGHT(BW$43,2),SUM($AX140:BA140),0)+IF(RIGHT(BW$43,2)&gt;RIGHT($K140,2),BA140,0))</f>
        <v>26.262206435717676</v>
      </c>
      <c r="BX140" s="1283">
        <f>+IF($K140="Ongoing",BB140,IF(RIGHT($K140,2)=RIGHT(BX$43,2),SUM($AX140:BB140),0)+IF(RIGHT(BX$43,2)&gt;RIGHT($K140,2),BB140,0))</f>
        <v>0</v>
      </c>
      <c r="BY140" s="386">
        <f>+IF($K140="Ongoing",BC140,IF(RIGHT($K140,2)=RIGHT(BY$43,2),SUM($AX140:BC140),0)+IF(RIGHT(BY$43,2)&gt;RIGHT($K140,2),BC140,0))</f>
        <v>0</v>
      </c>
      <c r="BZ140" s="387">
        <f>+IF($K140="Ongoing",BD140,IF(RIGHT($K140,2)=RIGHT(BZ$43,2),SUM($AX140:BD140),0)+IF(RIGHT(BZ$43,2)&gt;RIGHT($K140,2),BD140,0))</f>
        <v>0</v>
      </c>
      <c r="CA140" s="1277">
        <f>+IF($K140="Ongoing",BE140,IF(RIGHT($K140,2)=RIGHT(CA$43,2),SUM($AX140:BE140),0)+IF(RIGHT(CA$43,2)&gt;RIGHT($K140,2),BE140,0))</f>
        <v>0</v>
      </c>
      <c r="CB140" s="1277">
        <f>+IF($K140="Ongoing",BF140,IF(RIGHT($K140,2)=RIGHT(CB$43,2),SUM($AX140:BF140),0)+IF(RIGHT(CB$43,2)&gt;RIGHT($K140,2),BF140,0))</f>
        <v>0</v>
      </c>
      <c r="CC140" s="388">
        <f>+IF($K140="Ongoing",BG140,IF(RIGHT($K140,2)=RIGHT(CC$43,2),SUM($AX140:BG140),0)+IF(RIGHT(CC$43,2)&gt;RIGHT($K140,2),BG140,0))</f>
        <v>0</v>
      </c>
      <c r="CD140" s="1025"/>
      <c r="CE140" s="1282">
        <f>+Q140*KeyAssumptionsPriceControl_FO!AF$15</f>
        <v>0.48575124585365853</v>
      </c>
      <c r="CF140" s="387">
        <f>+R140*KeyAssumptionsPriceControl_FO!AG$15</f>
        <v>5.3341106449599041</v>
      </c>
      <c r="CG140" s="387">
        <f>+S140*KeyAssumptionsPriceControl_FO!AH$15</f>
        <v>24.005103089851012</v>
      </c>
      <c r="CH140" s="387">
        <f>+T140*KeyAssumptionsPriceControl_FO!AI$15</f>
        <v>29.443722086506227</v>
      </c>
      <c r="CI140" s="1283">
        <f>+U140*KeyAssumptionsPriceControl_FO!AJ$15</f>
        <v>0</v>
      </c>
      <c r="CJ140" s="386">
        <f>+V140*KeyAssumptionsPriceControl_FO!AK$15</f>
        <v>0</v>
      </c>
      <c r="CK140" s="387">
        <f>+W140*KeyAssumptionsPriceControl_FO!AL$15</f>
        <v>0</v>
      </c>
      <c r="CL140" s="1277">
        <f>+X140*KeyAssumptionsPriceControl_FO!AM$15</f>
        <v>0</v>
      </c>
      <c r="CM140" s="1277">
        <f>+Y140*KeyAssumptionsPriceControl_FO!AN$15</f>
        <v>0</v>
      </c>
      <c r="CN140" s="388">
        <f>+Z140*KeyAssumptionsPriceControl_FO!AO$15</f>
        <v>0</v>
      </c>
      <c r="CO140" s="1025"/>
      <c r="CP140" s="1282">
        <f t="shared" ca="1" si="267"/>
        <v>0</v>
      </c>
      <c r="CQ140" s="387">
        <f t="shared" ca="1" si="268"/>
        <v>0</v>
      </c>
      <c r="CR140" s="387">
        <f t="shared" ca="1" si="269"/>
        <v>0</v>
      </c>
      <c r="CS140" s="387">
        <f t="shared" ca="1" si="270"/>
        <v>0</v>
      </c>
      <c r="CT140" s="1283">
        <f t="shared" ca="1" si="271"/>
        <v>0</v>
      </c>
      <c r="CU140" s="386">
        <f t="shared" ca="1" si="272"/>
        <v>0</v>
      </c>
      <c r="CV140" s="387">
        <f t="shared" ca="1" si="273"/>
        <v>0</v>
      </c>
      <c r="CW140" s="1277">
        <f t="shared" ca="1" si="274"/>
        <v>0</v>
      </c>
      <c r="CX140" s="1277">
        <f t="shared" ca="1" si="275"/>
        <v>0</v>
      </c>
      <c r="CY140" s="388">
        <f t="shared" ca="1" si="276"/>
        <v>0</v>
      </c>
      <c r="CZ140" s="347"/>
      <c r="DA140" s="852"/>
      <c r="DB140" s="347"/>
      <c r="DC140" s="1012" t="s">
        <v>643</v>
      </c>
      <c r="DD140" s="841" t="s">
        <v>518</v>
      </c>
      <c r="DE140" s="386">
        <f>+IF($K140="ongoing",CE140,IF(RIGHT($K140,2)=RIGHT(DE$43,2),SUM($CD140:CE140),0)+IF(RIGHT(DE$43,2)&gt;RIGHT($K140,2),CE140,0))</f>
        <v>0.48575124585365853</v>
      </c>
      <c r="DF140" s="387">
        <f>+IF($K140="ongoing",CF140,IF(RIGHT($K140,2)=RIGHT(DF$43,2),SUM($CD140:CF140),0)+IF(RIGHT(DF$43,2)&gt;RIGHT($K140,2),CF140,0))</f>
        <v>5.3341106449599041</v>
      </c>
      <c r="DG140" s="388">
        <f>+IF($K140="ongoing",CG140,IF(RIGHT($K140,2)=RIGHT(DG$43,2),SUM($CD140:CG140),0)+IF(RIGHT(DG$43,2)&gt;RIGHT($K140,2),CG140,0))</f>
        <v>24.005103089851012</v>
      </c>
      <c r="DH140" s="386">
        <f>+IF($K140="ongoing",CH140,IF(RIGHT($K140,2)=RIGHT(DH$43,2),SUM($CD140:CH140),0)+IF(RIGHT(DH$43,2)&gt;RIGHT($K140,2),CH140,0))</f>
        <v>29.443722086506227</v>
      </c>
      <c r="DI140" s="387">
        <f>+IF($K140="ongoing",CI140,IF(RIGHT($K140,2)=RIGHT(DI$43,2),SUM($CD140:CI140),0)+IF(RIGHT(DI$43,2)&gt;RIGHT($K140,2),CI140,0))</f>
        <v>0</v>
      </c>
      <c r="DJ140" s="387">
        <f>+IF($K140="ongoing",CJ140,IF(RIGHT($K140,2)=RIGHT(DJ$43,2),SUM($CD140:CJ140),0)+IF(RIGHT(DJ$43,2)&gt;RIGHT($K140,2),CJ140,0))</f>
        <v>0</v>
      </c>
      <c r="DK140" s="387">
        <f>+IF($K140="ongoing",CK140,IF(RIGHT($K140,2)=RIGHT(DK$43,2),SUM($CD140:CK140),0)+IF(RIGHT(DK$43,2)&gt;RIGHT($K140,2),CK140,0))</f>
        <v>0</v>
      </c>
      <c r="DL140" s="388">
        <f>+IF($K140="ongoing",CN140,IF(RIGHT($K140,2)=RIGHT(DL$43,2),SUM($CD140:CN140),0)+IF(RIGHT(DL$43,2)&gt;RIGHT($K140,2),CN140,0))</f>
        <v>0</v>
      </c>
      <c r="DM140" s="841"/>
      <c r="DN140" s="386">
        <f t="shared" si="277"/>
        <v>0.5</v>
      </c>
      <c r="DO140" s="387">
        <f t="shared" si="278"/>
        <v>1</v>
      </c>
      <c r="DP140" s="388">
        <f t="shared" si="279"/>
        <v>1</v>
      </c>
      <c r="DQ140" s="386">
        <f t="shared" si="280"/>
        <v>1</v>
      </c>
      <c r="DR140" s="387">
        <f t="shared" si="281"/>
        <v>1</v>
      </c>
      <c r="DS140" s="387">
        <f t="shared" si="282"/>
        <v>1</v>
      </c>
      <c r="DT140" s="387">
        <f t="shared" si="283"/>
        <v>1</v>
      </c>
      <c r="DU140" s="388">
        <f t="shared" si="284"/>
        <v>1</v>
      </c>
      <c r="DW140" s="386">
        <f t="shared" si="285"/>
        <v>0</v>
      </c>
      <c r="DX140" s="387">
        <f t="shared" si="286"/>
        <v>0.5</v>
      </c>
      <c r="DY140" s="388">
        <f t="shared" si="287"/>
        <v>1</v>
      </c>
      <c r="DZ140" s="386">
        <f t="shared" si="288"/>
        <v>1</v>
      </c>
      <c r="EA140" s="387">
        <f t="shared" si="289"/>
        <v>1</v>
      </c>
      <c r="EB140" s="387">
        <f t="shared" si="290"/>
        <v>1</v>
      </c>
      <c r="EC140" s="387">
        <f t="shared" si="291"/>
        <v>1</v>
      </c>
      <c r="ED140" s="388">
        <f t="shared" si="292"/>
        <v>1</v>
      </c>
      <c r="EF140" s="834">
        <f>+IF(DN140=DM140,0,
IF(AND(EF$44&gt;1,DN140=$N140),1-SUM($EE140:EE140),
IF($N140&lt;=1,
IF($N140&gt;0,1/$N140,0),
IF(EF$44=1,0,VDB(1,0,$N140,INT(EF$44-1-1),MIN($N140,INT(EF$44-1-1)+1),$DC140,IF($DD140="No",1,0))/
IF(DM140&gt;=INT($N140),$N140-INT($N140),1)))*
IF(EF$44=1,0,
IF(INT(DN140)=INT(DM140),DN140-DM140,INT(DN140)-DM140))+
IF($N140&lt;=1,
IF($N140&gt;0,1/$N140,0),VDB(1,0,$N140,INT(EF$44-1),MIN($N140,INT(EF$44-1)+1),$DC140,IF($DD140="No",1,0))/
IF(DN140&gt;INT($N140),$N140-INT($N140),1))*
IF(EF$44=1,DN140,
IF(INT(DN140)=INT(DM140),0,DN140-INT(DN140)))))</f>
        <v>0</v>
      </c>
      <c r="EG140" s="835">
        <f>+IF(DO140=DN140,0,
IF(AND(EG$44&gt;1,DO140=$N140),1-SUM($EE140:EF140),
IF($N140&lt;=1,
IF($N140&gt;0,1/$N140,0),
IF(EG$44=1,0,VDB(1,0,$N140,INT(EG$44-1-1),MIN($N140,INT(EG$44-1-1)+1),$DC140,IF($DD140="No",1,0))/
IF(DN140&gt;=INT($N140),$N140-INT($N140),1)))*
IF(EG$44=1,0,
IF(INT(DO140)=INT(DN140),DO140-DN140,INT(DO140)-DN140))+
IF($N140&lt;=1,
IF($N140&gt;0,1/$N140,0),VDB(1,0,$N140,INT(EG$44-1),MIN($N140,INT(EG$44-1)+1),$DC140,IF($DD140="No",1,0))/
IF(DO140&gt;INT($N140),$N140-INT($N140),1))*
IF(EG$44=1,DO140,
IF(INT(DO140)=INT(DN140),0,DO140-INT(DO140)))))</f>
        <v>0</v>
      </c>
      <c r="EH140" s="836">
        <f>+IF(DP140=DO140,0,
IF(AND(EH$44&gt;1,DP140=$N140),1-SUM($EE140:EG140),
IF($N140&lt;=1,
IF($N140&gt;0,1/$N140,0),
IF(EH$44=1,0,VDB(1,0,$N140,INT(EH$44-1-1),MIN($N140,INT(EH$44-1-1)+1),$DC140,IF($DD140="No",1,0))/
IF(DO140&gt;=INT($N140),$N140-INT($N140),1)))*
IF(EH$44=1,0,
IF(INT(DP140)=INT(DO140),DP140-DO140,INT(DP140)-DO140))+
IF($N140&lt;=1,
IF($N140&gt;0,1/$N140,0),VDB(1,0,$N140,INT(EH$44-1),MIN($N140,INT(EH$44-1)+1),$DC140,IF($DD140="No",1,0))/
IF(DP140&gt;INT($N140),$N140-INT($N140),1))*
IF(EH$44=1,DP140,
IF(INT(DP140)=INT(DO140),0,DP140-INT(DP140)))))</f>
        <v>0</v>
      </c>
      <c r="EI140" s="834">
        <f>+IF(DQ140=DP140,0,
IF(AND(EI$44&gt;1,DQ140=$N140),1-SUM($EE140:EH140),
IF($N140&lt;=1,
IF($N140&gt;0,1/$N140,0),
IF(EI$44=1,0,VDB(1,0,$N140,INT(EI$44-1-1),MIN($N140,INT(EI$44-1-1)+1),$DC140,IF($DD140="No",1,0))/
IF(DP140&gt;=INT($N140),$N140-INT($N140),1)))*
IF(EI$44=1,0,
IF(INT(DQ140)=INT(DP140),DQ140-DP140,INT(DQ140)-DP140))+
IF($N140&lt;=1,
IF($N140&gt;0,1/$N140,0),VDB(1,0,$N140,INT(EI$44-1),MIN($N140,INT(EI$44-1)+1),$DC140,IF($DD140="No",1,0))/
IF(DQ140&gt;INT($N140),$N140-INT($N140),1))*
IF(EI$44=1,DQ140,
IF(INT(DQ140)=INT(DP140),0,DQ140-INT(DQ140)))))</f>
        <v>0</v>
      </c>
      <c r="EJ140" s="835">
        <f>+IF(DR140=DQ140,0,
IF(AND(EJ$44&gt;1,DR140=$N140),1-SUM($EE140:EI140),
IF($N140&lt;=1,
IF($N140&gt;0,1/$N140,0),
IF(EJ$44=1,0,VDB(1,0,$N140,INT(EJ$44-1-1),MIN($N140,INT(EJ$44-1-1)+1),$DC140,IF($DD140="No",1,0))/
IF(DQ140&gt;=INT($N140),$N140-INT($N140),1)))*
IF(EJ$44=1,0,
IF(INT(DR140)=INT(DQ140),DR140-DQ140,INT(DR140)-DQ140))+
IF($N140&lt;=1,
IF($N140&gt;0,1/$N140,0),VDB(1,0,$N140,INT(EJ$44-1),MIN($N140,INT(EJ$44-1)+1),$DC140,IF($DD140="No",1,0))/
IF(DR140&gt;INT($N140),$N140-INT($N140),1))*
IF(EJ$44=1,DR140,
IF(INT(DR140)=INT(DQ140),0,DR140-INT(DR140)))))</f>
        <v>0</v>
      </c>
      <c r="EK140" s="835">
        <f>+IF(DS140=DR140,0,
IF(AND(EK$44&gt;1,DS140=$N140),1-SUM($EE140:EJ140),
IF($N140&lt;=1,
IF($N140&gt;0,1/$N140,0),
IF(EK$44=1,0,VDB(1,0,$N140,INT(EK$44-1-1),MIN($N140,INT(EK$44-1-1)+1),$DC140,IF($DD140="No",1,0))/
IF(DR140&gt;=INT($N140),$N140-INT($N140),1)))*
IF(EK$44=1,0,
IF(INT(DS140)=INT(DR140),DS140-DR140,INT(DS140)-DR140))+
IF($N140&lt;=1,
IF($N140&gt;0,1/$N140,0),VDB(1,0,$N140,INT(EK$44-1),MIN($N140,INT(EK$44-1)+1),$DC140,IF($DD140="No",1,0))/
IF(DS140&gt;INT($N140),$N140-INT($N140),1))*
IF(EK$44=1,DS140,
IF(INT(DS140)=INT(DR140),0,DS140-INT(DS140)))))</f>
        <v>0</v>
      </c>
      <c r="EL140" s="835">
        <f>+IF(DT140=DS140,0,
IF(AND(EL$44&gt;1,DT140=$N140),1-SUM($EE140:EK140),
IF($N140&lt;=1,
IF($N140&gt;0,1/$N140,0),
IF(EL$44=1,0,VDB(1,0,$N140,INT(EL$44-1-1),MIN($N140,INT(EL$44-1-1)+1),$DC140,IF($DD140="No",1,0))/
IF(DS140&gt;=INT($N140),$N140-INT($N140),1)))*
IF(EL$44=1,0,
IF(INT(DT140)=INT(DS140),DT140-DS140,INT(DT140)-DS140))+
IF($N140&lt;=1,
IF($N140&gt;0,1/$N140,0),VDB(1,0,$N140,INT(EL$44-1),MIN($N140,INT(EL$44-1)+1),$DC140,IF($DD140="No",1,0))/
IF(DT140&gt;INT($N140),$N140-INT($N140),1))*
IF(EL$44=1,DT140,
IF(INT(DT140)=INT(DS140),0,DT140-INT(DT140)))))</f>
        <v>0</v>
      </c>
      <c r="EM140" s="836">
        <f>+IF(DU140=DT140,0,
IF(AND(EM$44&gt;1,DU140=$N140),1-SUM($EE140:EL140),
IF($N140&lt;=1,
IF($N140&gt;0,1/$N140,0),
IF(EM$44=1,0,VDB(1,0,$N140,INT(EM$44-1-1),MIN($N140,INT(EM$44-1-1)+1),$DC140,IF($DD140="No",1,0))/
IF(DT140&gt;=INT($N140),$N140-INT($N140),1)))*
IF(EM$44=1,0,
IF(INT(DU140)=INT(DT140),DU140-DT140,INT(DU140)-DT140))+
IF($N140&lt;=1,
IF($N140&gt;0,1/$N140,0),VDB(1,0,$N140,INT(EM$44-1),MIN($N140,INT(EM$44-1)+1),$DC140,IF($DD140="No",1,0))/
IF(DU140&gt;INT($N140),$N140-INT($N140),1))*
IF(EM$44=1,DU140,
IF(INT(DU140)=INT(DT140),0,DU140-INT(DU140)))))</f>
        <v>0</v>
      </c>
      <c r="EN140" s="833"/>
      <c r="EO140" s="834">
        <f>+IF(OR(DW140=DV140,EO$44=1),0,
IF(AND(EO$44&gt;1,DW140=$N140),1-SUM($EN140:EN140),
IF($N140&lt;=1,
IF($N140&gt;0,1/$N140,0),
IF(EO$44=2,0,VDB(1,0,$N140,INT(EO$44-2-1),MIN($N140,INT(EO$44-2-1)+1),$DC140,IF($DD140="No",1,0))/
IF(DV140&gt;=INT($N140),$N140-INT($N140),1)))*
IF(EO$44=2,0,
IF(INT(DW140)=INT(DV140),DW140-DV140,INT(DW140)-DV140))+
IF($N140&lt;=1,
IF($N140&gt;0,1/$N140,0),VDB(1,0,$N140,INT(EO$44-2),MIN($N140,INT(EO$44-2)+1),$DC140,IF($DD140="No",1,0))/
IF(DW140&gt;INT($N140),$N140-INT($N140),1))*
IF(EO$44=2,DW140,
IF(INT(DW140)=INT(DV140),0,DW140-INT(DW140)))))</f>
        <v>0</v>
      </c>
      <c r="EP140" s="835">
        <f>+IF(OR(DX140=DW140,EP$44=1),0,
IF(AND(EP$44&gt;1,DX140=$N140),1-SUM($EN140:EO140),
IF($N140&lt;=1,
IF($N140&gt;0,1/$N140,0),
IF(EP$44=2,0,VDB(1,0,$N140,INT(EP$44-2-1),MIN($N140,INT(EP$44-2-1)+1),$DC140,IF($DD140="No",1,0))/
IF(DW140&gt;=INT($N140),$N140-INT($N140),1)))*
IF(EP$44=2,0,
IF(INT(DX140)=INT(DW140),DX140-DW140,INT(DX140)-DW140))+
IF($N140&lt;=1,
IF($N140&gt;0,1/$N140,0),VDB(1,0,$N140,INT(EP$44-2),MIN($N140,INT(EP$44-2)+1),$DC140,IF($DD140="No",1,0))/
IF(DX140&gt;INT($N140),$N140-INT($N140),1))*
IF(EP$44=2,DX140,
IF(INT(DX140)=INT(DW140),0,DX140-INT(DX140)))))</f>
        <v>0</v>
      </c>
      <c r="EQ140" s="836">
        <f>+IF(OR(DY140=DX140,EQ$44=1),0,
IF(AND(EQ$44&gt;1,DY140=$N140),1-SUM($EN140:EP140),
IF($N140&lt;=1,
IF($N140&gt;0,1/$N140,0),
IF(EQ$44=2,0,VDB(1,0,$N140,INT(EQ$44-2-1),MIN($N140,INT(EQ$44-2-1)+1),$DC140,IF($DD140="No",1,0))/
IF(DX140&gt;=INT($N140),$N140-INT($N140),1)))*
IF(EQ$44=2,0,
IF(INT(DY140)=INT(DX140),DY140-DX140,INT(DY140)-DX140))+
IF($N140&lt;=1,
IF($N140&gt;0,1/$N140,0),VDB(1,0,$N140,INT(EQ$44-2),MIN($N140,INT(EQ$44-2)+1),$DC140,IF($DD140="No",1,0))/
IF(DY140&gt;INT($N140),$N140-INT($N140),1))*
IF(EQ$44=2,DY140,
IF(INT(DY140)=INT(DX140),0,DY140-INT(DY140)))))</f>
        <v>0</v>
      </c>
      <c r="ER140" s="834">
        <f>+IF(OR(DZ140=DY140,ER$44=1),0,
IF(AND(ER$44&gt;1,DZ140=$N140),1-SUM($EN140:EQ140),
IF($N140&lt;=1,
IF($N140&gt;0,1/$N140,0),
IF(ER$44=2,0,VDB(1,0,$N140,INT(ER$44-2-1),MIN($N140,INT(ER$44-2-1)+1),$DC140,IF($DD140="No",1,0))/
IF(DY140&gt;=INT($N140),$N140-INT($N140),1)))*
IF(ER$44=2,0,
IF(INT(DZ140)=INT(DY140),DZ140-DY140,INT(DZ140)-DY140))+
IF($N140&lt;=1,
IF($N140&gt;0,1/$N140,0),VDB(1,0,$N140,INT(ER$44-2),MIN($N140,INT(ER$44-2)+1),$DC140,IF($DD140="No",1,0))/
IF(DZ140&gt;INT($N140),$N140-INT($N140),1))*
IF(ER$44=2,DZ140,
IF(INT(DZ140)=INT(DY140),0,DZ140-INT(DZ140)))))</f>
        <v>0</v>
      </c>
      <c r="ES140" s="835">
        <f>+IF(OR(EA140=DZ140,ES$44=1),0,
IF(AND(ES$44&gt;1,EA140=$N140),1-SUM($EN140:ER140),
IF($N140&lt;=1,
IF($N140&gt;0,1/$N140,0),
IF(ES$44=2,0,VDB(1,0,$N140,INT(ES$44-2-1),MIN($N140,INT(ES$44-2-1)+1),$DC140,IF($DD140="No",1,0))/
IF(DZ140&gt;=INT($N140),$N140-INT($N140),1)))*
IF(ES$44=2,0,
IF(INT(EA140)=INT(DZ140),EA140-DZ140,INT(EA140)-DZ140))+
IF($N140&lt;=1,
IF($N140&gt;0,1/$N140,0),VDB(1,0,$N140,INT(ES$44-2),MIN($N140,INT(ES$44-2)+1),$DC140,IF($DD140="No",1,0))/
IF(EA140&gt;INT($N140),$N140-INT($N140),1))*
IF(ES$44=2,EA140,
IF(INT(EA140)=INT(DZ140),0,EA140-INT(EA140)))))</f>
        <v>0</v>
      </c>
      <c r="ET140" s="835">
        <f>+IF(OR(EB140=EA140,ET$44=1),0,
IF(AND(ET$44&gt;1,EB140=$N140),1-SUM($EN140:ES140),
IF($N140&lt;=1,
IF($N140&gt;0,1/$N140,0),
IF(ET$44=2,0,VDB(1,0,$N140,INT(ET$44-2-1),MIN($N140,INT(ET$44-2-1)+1),$DC140,IF($DD140="No",1,0))/
IF(EA140&gt;=INT($N140),$N140-INT($N140),1)))*
IF(ET$44=2,0,
IF(INT(EB140)=INT(EA140),EB140-EA140,INT(EB140)-EA140))+
IF($N140&lt;=1,
IF($N140&gt;0,1/$N140,0),VDB(1,0,$N140,INT(ET$44-2),MIN($N140,INT(ET$44-2)+1),$DC140,IF($DD140="No",1,0))/
IF(EB140&gt;INT($N140),$N140-INT($N140),1))*
IF(ET$44=2,EB140,
IF(INT(EB140)=INT(EA140),0,EB140-INT(EB140)))))</f>
        <v>0</v>
      </c>
      <c r="EU140" s="835">
        <f>+IF(OR(EC140=EB140,EU$44=1),0,
IF(AND(EU$44&gt;1,EC140=$N140),1-SUM($EN140:ET140),
IF($N140&lt;=1,
IF($N140&gt;0,1/$N140,0),
IF(EU$44=2,0,VDB(1,0,$N140,INT(EU$44-2-1),MIN($N140,INT(EU$44-2-1)+1),$DC140,IF($DD140="No",1,0))/
IF(EB140&gt;=INT($N140),$N140-INT($N140),1)))*
IF(EU$44=2,0,
IF(INT(EC140)=INT(EB140),EC140-EB140,INT(EC140)-EB140))+
IF($N140&lt;=1,
IF($N140&gt;0,1/$N140,0),VDB(1,0,$N140,INT(EU$44-2),MIN($N140,INT(EU$44-2)+1),$DC140,IF($DD140="No",1,0))/
IF(EC140&gt;INT($N140),$N140-INT($N140),1))*
IF(EU$44=2,EC140,
IF(INT(EC140)=INT(EB140),0,EC140-INT(EC140)))))</f>
        <v>0</v>
      </c>
      <c r="EV140" s="836">
        <f>+IF(OR(ED140=EC140,EV$44=1),0,
IF(AND(EV$44&gt;1,ED140=$N140),1-SUM($EN140:EU140),
IF($N140&lt;=1,
IF($N140&gt;0,1/$N140,0),
IF(EV$44=2,0,VDB(1,0,$N140,INT(EV$44-2-1),MIN($N140,INT(EV$44-2-1)+1),$DC140,IF($DD140="No",1,0))/
IF(EC140&gt;=INT($N140),$N140-INT($N140),1)))*
IF(EV$44=2,0,
IF(INT(ED140)=INT(EC140),ED140-EC140,INT(ED140)-EC140))+
IF($N140&lt;=1,
IF($N140&gt;0,1/$N140,0),VDB(1,0,$N140,INT(EV$44-2),MIN($N140,INT(EV$44-2)+1),$DC140,IF($DD140="No",1,0))/
IF(ED140&gt;INT($N140),$N140-INT($N140),1))*
IF(EV$44=2,ED140,
IF(INT(ED140)=INT(EC140),0,ED140-INT(ED140)))))</f>
        <v>0</v>
      </c>
      <c r="EW140" s="833"/>
      <c r="EX140" s="834">
        <f t="shared" ca="1" si="303"/>
        <v>0</v>
      </c>
      <c r="EY140" s="835">
        <f t="shared" ca="1" si="303"/>
        <v>0</v>
      </c>
      <c r="EZ140" s="836">
        <f t="shared" ca="1" si="303"/>
        <v>0</v>
      </c>
      <c r="FA140" s="834">
        <f t="shared" ca="1" si="303"/>
        <v>0</v>
      </c>
      <c r="FB140" s="835">
        <f t="shared" ca="1" si="303"/>
        <v>0</v>
      </c>
      <c r="FC140" s="835">
        <f t="shared" ca="1" si="303"/>
        <v>0</v>
      </c>
      <c r="FD140" s="835">
        <f t="shared" ca="1" si="303"/>
        <v>0</v>
      </c>
      <c r="FE140" s="836">
        <f t="shared" ca="1" si="303"/>
        <v>0</v>
      </c>
      <c r="FG140" s="386">
        <f t="shared" ca="1" si="293"/>
        <v>0</v>
      </c>
      <c r="FH140" s="387">
        <f t="shared" ca="1" si="294"/>
        <v>0</v>
      </c>
      <c r="FI140" s="388">
        <f t="shared" ca="1" si="295"/>
        <v>0</v>
      </c>
      <c r="FJ140" s="386">
        <f t="shared" ca="1" si="296"/>
        <v>0</v>
      </c>
      <c r="FK140" s="387">
        <f t="shared" ca="1" si="297"/>
        <v>0</v>
      </c>
      <c r="FL140" s="387">
        <f t="shared" ca="1" si="298"/>
        <v>0</v>
      </c>
      <c r="FM140" s="387">
        <f t="shared" ca="1" si="299"/>
        <v>0</v>
      </c>
      <c r="FN140" s="388">
        <f t="shared" ca="1" si="300"/>
        <v>0</v>
      </c>
      <c r="FR140" s="116"/>
    </row>
    <row r="141" spans="2:174">
      <c r="B141" s="1410">
        <f t="shared" si="302"/>
        <v>95</v>
      </c>
      <c r="C141" s="400" t="s">
        <v>644</v>
      </c>
      <c r="D141" s="410"/>
      <c r="E141" s="402" t="s">
        <v>420</v>
      </c>
      <c r="F141" s="402" t="s">
        <v>514</v>
      </c>
      <c r="G141" s="400" t="s">
        <v>522</v>
      </c>
      <c r="H141" s="2088" t="s">
        <v>483</v>
      </c>
      <c r="I141" s="2089"/>
      <c r="J141" s="411" t="s">
        <v>516</v>
      </c>
      <c r="K141" s="403" t="s">
        <v>544</v>
      </c>
      <c r="L141" s="403">
        <v>100</v>
      </c>
      <c r="M141" s="403" t="s">
        <v>142</v>
      </c>
      <c r="N141" s="403"/>
      <c r="O141" s="347"/>
      <c r="P141" s="347"/>
      <c r="Q141" s="1021">
        <v>2.0070503317073172</v>
      </c>
      <c r="R141" s="1022">
        <v>1.7538036882807855</v>
      </c>
      <c r="S141" s="1022">
        <v>4.9930493173343411</v>
      </c>
      <c r="T141" s="1022">
        <v>1.3015457712099505</v>
      </c>
      <c r="U141" s="1023">
        <v>1.2555892593094786</v>
      </c>
      <c r="V141" s="1021">
        <v>1.34949459522819</v>
      </c>
      <c r="W141" s="1022">
        <v>1.3467604832141689</v>
      </c>
      <c r="X141" s="1022">
        <v>1.344093159452348</v>
      </c>
      <c r="Y141" s="1022">
        <v>1.2373959651191828</v>
      </c>
      <c r="Z141" s="1023">
        <v>1.3389514058042464</v>
      </c>
      <c r="AA141" s="1024"/>
      <c r="AB141" s="1021">
        <v>0</v>
      </c>
      <c r="AC141" s="1022">
        <v>0</v>
      </c>
      <c r="AD141" s="1022">
        <v>0</v>
      </c>
      <c r="AE141" s="1022">
        <v>0</v>
      </c>
      <c r="AF141" s="1023">
        <v>0</v>
      </c>
      <c r="AG141" s="1021">
        <v>0</v>
      </c>
      <c r="AH141" s="1022">
        <v>0</v>
      </c>
      <c r="AI141" s="1022">
        <v>0</v>
      </c>
      <c r="AJ141" s="1022">
        <v>0</v>
      </c>
      <c r="AK141" s="1023">
        <v>0</v>
      </c>
      <c r="AL141" s="1024"/>
      <c r="AM141" s="1021">
        <v>0</v>
      </c>
      <c r="AN141" s="1022">
        <v>0</v>
      </c>
      <c r="AO141" s="1022">
        <v>0</v>
      </c>
      <c r="AP141" s="1022">
        <v>0</v>
      </c>
      <c r="AQ141" s="1023">
        <v>0</v>
      </c>
      <c r="AR141" s="1021">
        <v>0</v>
      </c>
      <c r="AS141" s="1022">
        <v>0</v>
      </c>
      <c r="AT141" s="1022">
        <v>0</v>
      </c>
      <c r="AU141" s="1022">
        <v>0</v>
      </c>
      <c r="AV141" s="1023">
        <v>0</v>
      </c>
      <c r="AW141" s="1025"/>
      <c r="AX141" s="1282">
        <f t="shared" si="247"/>
        <v>2.0070503317073172</v>
      </c>
      <c r="AY141" s="387">
        <f t="shared" si="248"/>
        <v>1.7538036882807855</v>
      </c>
      <c r="AZ141" s="387">
        <f t="shared" si="249"/>
        <v>4.9930493173343411</v>
      </c>
      <c r="BA141" s="387">
        <f t="shared" si="250"/>
        <v>1.3015457712099505</v>
      </c>
      <c r="BB141" s="1283">
        <f t="shared" si="251"/>
        <v>1.2555892593094786</v>
      </c>
      <c r="BC141" s="386">
        <f t="shared" si="252"/>
        <v>1.34949459522819</v>
      </c>
      <c r="BD141" s="387">
        <f t="shared" si="253"/>
        <v>1.3467604832141689</v>
      </c>
      <c r="BE141" s="1277">
        <f t="shared" si="254"/>
        <v>1.344093159452348</v>
      </c>
      <c r="BF141" s="1277">
        <f t="shared" si="255"/>
        <v>1.2373959651191828</v>
      </c>
      <c r="BG141" s="388">
        <f t="shared" si="256"/>
        <v>1.3389514058042464</v>
      </c>
      <c r="BH141" s="1025"/>
      <c r="BI141" s="1282">
        <f t="shared" ca="1" si="257"/>
        <v>1.0035251658536587E-2</v>
      </c>
      <c r="BJ141" s="387">
        <f t="shared" ca="1" si="258"/>
        <v>2.88395217584771E-2</v>
      </c>
      <c r="BK141" s="387">
        <f t="shared" ca="1" si="259"/>
        <v>6.2573786786552732E-2</v>
      </c>
      <c r="BL141" s="387">
        <f t="shared" ca="1" si="260"/>
        <v>9.4046762229274203E-2</v>
      </c>
      <c r="BM141" s="1283">
        <f t="shared" ca="1" si="261"/>
        <v>0.10683243738187134</v>
      </c>
      <c r="BN141" s="386">
        <f t="shared" ca="1" si="262"/>
        <v>0.1198578566545597</v>
      </c>
      <c r="BO141" s="387">
        <f t="shared" ca="1" si="263"/>
        <v>0.1333391320467715</v>
      </c>
      <c r="BP141" s="1277">
        <f t="shared" ca="1" si="264"/>
        <v>0.14679340026010407</v>
      </c>
      <c r="BQ141" s="1277">
        <f t="shared" ca="1" si="265"/>
        <v>0.15970084588296171</v>
      </c>
      <c r="BR141" s="388">
        <f t="shared" ca="1" si="266"/>
        <v>0.17258258273757884</v>
      </c>
      <c r="BS141" s="1025"/>
      <c r="BT141" s="1282">
        <f>+IF($K141="Ongoing",AX141,IF(RIGHT($K141,2)=RIGHT(BT$43,2),SUM($AX141:AX141),0)+IF(RIGHT(BT$43,2)&gt;RIGHT($K141,2),AX141,0))</f>
        <v>2.0070503317073172</v>
      </c>
      <c r="BU141" s="387">
        <f>+IF($K141="Ongoing",AY141,IF(RIGHT($K141,2)=RIGHT(BU$43,2),SUM($AX141:AY141),0)+IF(RIGHT(BU$43,2)&gt;RIGHT($K141,2),AY141,0))</f>
        <v>1.7538036882807855</v>
      </c>
      <c r="BV141" s="387">
        <f>+IF($K141="Ongoing",AZ141,IF(RIGHT($K141,2)=RIGHT(BV$43,2),SUM($AX141:AZ141),0)+IF(RIGHT(BV$43,2)&gt;RIGHT($K141,2),AZ141,0))</f>
        <v>4.9930493173343411</v>
      </c>
      <c r="BW141" s="387">
        <f>+IF($K141="Ongoing",BA141,IF(RIGHT($K141,2)=RIGHT(BW$43,2),SUM($AX141:BA141),0)+IF(RIGHT(BW$43,2)&gt;RIGHT($K141,2),BA141,0))</f>
        <v>1.3015457712099505</v>
      </c>
      <c r="BX141" s="1283">
        <f>+IF($K141="Ongoing",BB141,IF(RIGHT($K141,2)=RIGHT(BX$43,2),SUM($AX141:BB141),0)+IF(RIGHT(BX$43,2)&gt;RIGHT($K141,2),BB141,0))</f>
        <v>1.2555892593094786</v>
      </c>
      <c r="BY141" s="386">
        <f>+IF($K141="Ongoing",BC141,IF(RIGHT($K141,2)=RIGHT(BY$43,2),SUM($AX141:BC141),0)+IF(RIGHT(BY$43,2)&gt;RIGHT($K141,2),BC141,0))</f>
        <v>1.34949459522819</v>
      </c>
      <c r="BZ141" s="387">
        <f>+IF($K141="Ongoing",BD141,IF(RIGHT($K141,2)=RIGHT(BZ$43,2),SUM($AX141:BD141),0)+IF(RIGHT(BZ$43,2)&gt;RIGHT($K141,2),BD141,0))</f>
        <v>1.3467604832141689</v>
      </c>
      <c r="CA141" s="1277">
        <f>+IF($K141="Ongoing",BE141,IF(RIGHT($K141,2)=RIGHT(CA$43,2),SUM($AX141:BE141),0)+IF(RIGHT(CA$43,2)&gt;RIGHT($K141,2),BE141,0))</f>
        <v>1.344093159452348</v>
      </c>
      <c r="CB141" s="1277">
        <f>+IF($K141="Ongoing",BF141,IF(RIGHT($K141,2)=RIGHT(CB$43,2),SUM($AX141:BF141),0)+IF(RIGHT(CB$43,2)&gt;RIGHT($K141,2),BF141,0))</f>
        <v>1.2373959651191828</v>
      </c>
      <c r="CC141" s="388">
        <f>+IF($K141="Ongoing",BG141,IF(RIGHT($K141,2)=RIGHT(CC$43,2),SUM($AX141:BG141),0)+IF(RIGHT(CC$43,2)&gt;RIGHT($K141,2),BG141,0))</f>
        <v>1.3389514058042464</v>
      </c>
      <c r="CD141" s="1025"/>
      <c r="CE141" s="1282">
        <f>+Q141*KeyAssumptionsPriceControl_FO!AF$15</f>
        <v>2.0652547913268293</v>
      </c>
      <c r="CF141" s="387">
        <f>+R141*KeyAssumptionsPriceControl_FO!AG$15</f>
        <v>1.856999251102915</v>
      </c>
      <c r="CG141" s="387">
        <f>+S141*KeyAssumptionsPriceControl_FO!AH$15</f>
        <v>5.4401638468498632</v>
      </c>
      <c r="CH141" s="387">
        <f>+T141*KeyAssumptionsPriceControl_FO!AI$15</f>
        <v>1.4592205747896807</v>
      </c>
      <c r="CI141" s="1283">
        <f>+U141*KeyAssumptionsPriceControl_FO!AJ$15</f>
        <v>1.4485198992703112</v>
      </c>
      <c r="CJ141" s="386">
        <f>+V141*KeyAssumptionsPriceControl_FO!AK$15</f>
        <v>1.6020032695494799</v>
      </c>
      <c r="CK141" s="387">
        <f>+W141*KeyAssumptionsPriceControl_FO!AL$15</f>
        <v>1.6451215377106421</v>
      </c>
      <c r="CL141" s="1277">
        <f>+X141*KeyAssumptionsPriceControl_FO!AM$15</f>
        <v>1.6894773311347613</v>
      </c>
      <c r="CM141" s="1277">
        <f>+Y141*KeyAssumptionsPriceControl_FO!AN$15</f>
        <v>1.6004682697228119</v>
      </c>
      <c r="CN141" s="388">
        <f>+Z141*KeyAssumptionsPriceControl_FO!AO$15</f>
        <v>1.7820445757062757</v>
      </c>
      <c r="CO141" s="1025"/>
      <c r="CP141" s="1282">
        <f t="shared" ca="1" si="267"/>
        <v>0</v>
      </c>
      <c r="CQ141" s="387">
        <f t="shared" ca="1" si="268"/>
        <v>0</v>
      </c>
      <c r="CR141" s="387">
        <f t="shared" ca="1" si="269"/>
        <v>0</v>
      </c>
      <c r="CS141" s="387">
        <f t="shared" ca="1" si="270"/>
        <v>0</v>
      </c>
      <c r="CT141" s="1283">
        <f t="shared" ca="1" si="271"/>
        <v>0</v>
      </c>
      <c r="CU141" s="386">
        <f t="shared" ca="1" si="272"/>
        <v>0</v>
      </c>
      <c r="CV141" s="387">
        <f t="shared" ca="1" si="273"/>
        <v>0</v>
      </c>
      <c r="CW141" s="1277">
        <f t="shared" ca="1" si="274"/>
        <v>0</v>
      </c>
      <c r="CX141" s="1277">
        <f t="shared" ca="1" si="275"/>
        <v>0</v>
      </c>
      <c r="CY141" s="388">
        <f t="shared" ca="1" si="276"/>
        <v>0</v>
      </c>
      <c r="CZ141" s="347"/>
      <c r="DA141" s="852"/>
      <c r="DB141" s="347"/>
      <c r="DC141" s="1012" t="s">
        <v>645</v>
      </c>
      <c r="DD141" s="841" t="s">
        <v>518</v>
      </c>
      <c r="DE141" s="386">
        <f>+IF($K141="ongoing",CE141,IF(RIGHT($K141,2)=RIGHT(DE$43,2),SUM($CD141:CE141),0)+IF(RIGHT(DE$43,2)&gt;RIGHT($K141,2),CE141,0))</f>
        <v>2.0652547913268293</v>
      </c>
      <c r="DF141" s="387">
        <f>+IF($K141="ongoing",CF141,IF(RIGHT($K141,2)=RIGHT(DF$43,2),SUM($CD141:CF141),0)+IF(RIGHT(DF$43,2)&gt;RIGHT($K141,2),CF141,0))</f>
        <v>1.856999251102915</v>
      </c>
      <c r="DG141" s="388">
        <f>+IF($K141="ongoing",CG141,IF(RIGHT($K141,2)=RIGHT(DG$43,2),SUM($CD141:CG141),0)+IF(RIGHT(DG$43,2)&gt;RIGHT($K141,2),CG141,0))</f>
        <v>5.4401638468498632</v>
      </c>
      <c r="DH141" s="386">
        <f>+IF($K141="ongoing",CH141,IF(RIGHT($K141,2)=RIGHT(DH$43,2),SUM($CD141:CH141),0)+IF(RIGHT(DH$43,2)&gt;RIGHT($K141,2),CH141,0))</f>
        <v>1.4592205747896807</v>
      </c>
      <c r="DI141" s="387">
        <f>+IF($K141="ongoing",CI141,IF(RIGHT($K141,2)=RIGHT(DI$43,2),SUM($CD141:CI141),0)+IF(RIGHT(DI$43,2)&gt;RIGHT($K141,2),CI141,0))</f>
        <v>1.4485198992703112</v>
      </c>
      <c r="DJ141" s="387">
        <f>+IF($K141="ongoing",CJ141,IF(RIGHT($K141,2)=RIGHT(DJ$43,2),SUM($CD141:CJ141),0)+IF(RIGHT(DJ$43,2)&gt;RIGHT($K141,2),CJ141,0))</f>
        <v>1.6020032695494799</v>
      </c>
      <c r="DK141" s="387">
        <f>+IF($K141="ongoing",CK141,IF(RIGHT($K141,2)=RIGHT(DK$43,2),SUM($CD141:CK141),0)+IF(RIGHT(DK$43,2)&gt;RIGHT($K141,2),CK141,0))</f>
        <v>1.6451215377106421</v>
      </c>
      <c r="DL141" s="388">
        <f>+IF($K141="ongoing",CN141,IF(RIGHT($K141,2)=RIGHT(DL$43,2),SUM($CD141:CN141),0)+IF(RIGHT(DL$43,2)&gt;RIGHT($K141,2),CN141,0))</f>
        <v>1.7820445757062757</v>
      </c>
      <c r="DM141" s="841"/>
      <c r="DN141" s="386">
        <f t="shared" si="277"/>
        <v>0.5</v>
      </c>
      <c r="DO141" s="387">
        <f t="shared" si="278"/>
        <v>1</v>
      </c>
      <c r="DP141" s="388">
        <f t="shared" si="279"/>
        <v>1</v>
      </c>
      <c r="DQ141" s="386">
        <f t="shared" si="280"/>
        <v>1</v>
      </c>
      <c r="DR141" s="387">
        <f t="shared" si="281"/>
        <v>1</v>
      </c>
      <c r="DS141" s="387">
        <f t="shared" si="282"/>
        <v>1</v>
      </c>
      <c r="DT141" s="387">
        <f t="shared" si="283"/>
        <v>1</v>
      </c>
      <c r="DU141" s="388">
        <f t="shared" si="284"/>
        <v>1</v>
      </c>
      <c r="DW141" s="386">
        <f t="shared" si="285"/>
        <v>0</v>
      </c>
      <c r="DX141" s="387">
        <f t="shared" si="286"/>
        <v>0.5</v>
      </c>
      <c r="DY141" s="388">
        <f t="shared" si="287"/>
        <v>1</v>
      </c>
      <c r="DZ141" s="386">
        <f t="shared" si="288"/>
        <v>1</v>
      </c>
      <c r="EA141" s="387">
        <f t="shared" si="289"/>
        <v>1</v>
      </c>
      <c r="EB141" s="387">
        <f t="shared" si="290"/>
        <v>1</v>
      </c>
      <c r="EC141" s="387">
        <f t="shared" si="291"/>
        <v>1</v>
      </c>
      <c r="ED141" s="388">
        <f t="shared" si="292"/>
        <v>1</v>
      </c>
      <c r="EF141" s="834">
        <f>+IF(DN141=DM141,0,
IF(AND(EF$44&gt;1,DN141=$N141),1-SUM($EE141:EE141),
IF($N141&lt;=1,
IF($N141&gt;0,1/$N141,0),
IF(EF$44=1,0,VDB(1,0,$N141,INT(EF$44-1-1),MIN($N141,INT(EF$44-1-1)+1),$DC141,IF($DD141="No",1,0))/
IF(DM141&gt;=INT($N141),$N141-INT($N141),1)))*
IF(EF$44=1,0,
IF(INT(DN141)=INT(DM141),DN141-DM141,INT(DN141)-DM141))+
IF($N141&lt;=1,
IF($N141&gt;0,1/$N141,0),VDB(1,0,$N141,INT(EF$44-1),MIN($N141,INT(EF$44-1)+1),$DC141,IF($DD141="No",1,0))/
IF(DN141&gt;INT($N141),$N141-INT($N141),1))*
IF(EF$44=1,DN141,
IF(INT(DN141)=INT(DM141),0,DN141-INT(DN141)))))</f>
        <v>0</v>
      </c>
      <c r="EG141" s="835">
        <f>+IF(DO141=DN141,0,
IF(AND(EG$44&gt;1,DO141=$N141),1-SUM($EE141:EF141),
IF($N141&lt;=1,
IF($N141&gt;0,1/$N141,0),
IF(EG$44=1,0,VDB(1,0,$N141,INT(EG$44-1-1),MIN($N141,INT(EG$44-1-1)+1),$DC141,IF($DD141="No",1,0))/
IF(DN141&gt;=INT($N141),$N141-INT($N141),1)))*
IF(EG$44=1,0,
IF(INT(DO141)=INT(DN141),DO141-DN141,INT(DO141)-DN141))+
IF($N141&lt;=1,
IF($N141&gt;0,1/$N141,0),VDB(1,0,$N141,INT(EG$44-1),MIN($N141,INT(EG$44-1)+1),$DC141,IF($DD141="No",1,0))/
IF(DO141&gt;INT($N141),$N141-INT($N141),1))*
IF(EG$44=1,DO141,
IF(INT(DO141)=INT(DN141),0,DO141-INT(DO141)))))</f>
        <v>0</v>
      </c>
      <c r="EH141" s="836">
        <f>+IF(DP141=DO141,0,
IF(AND(EH$44&gt;1,DP141=$N141),1-SUM($EE141:EG141),
IF($N141&lt;=1,
IF($N141&gt;0,1/$N141,0),
IF(EH$44=1,0,VDB(1,0,$N141,INT(EH$44-1-1),MIN($N141,INT(EH$44-1-1)+1),$DC141,IF($DD141="No",1,0))/
IF(DO141&gt;=INT($N141),$N141-INT($N141),1)))*
IF(EH$44=1,0,
IF(INT(DP141)=INT(DO141),DP141-DO141,INT(DP141)-DO141))+
IF($N141&lt;=1,
IF($N141&gt;0,1/$N141,0),VDB(1,0,$N141,INT(EH$44-1),MIN($N141,INT(EH$44-1)+1),$DC141,IF($DD141="No",1,0))/
IF(DP141&gt;INT($N141),$N141-INT($N141),1))*
IF(EH$44=1,DP141,
IF(INT(DP141)=INT(DO141),0,DP141-INT(DP141)))))</f>
        <v>0</v>
      </c>
      <c r="EI141" s="834">
        <f>+IF(DQ141=DP141,0,
IF(AND(EI$44&gt;1,DQ141=$N141),1-SUM($EE141:EH141),
IF($N141&lt;=1,
IF($N141&gt;0,1/$N141,0),
IF(EI$44=1,0,VDB(1,0,$N141,INT(EI$44-1-1),MIN($N141,INT(EI$44-1-1)+1),$DC141,IF($DD141="No",1,0))/
IF(DP141&gt;=INT($N141),$N141-INT($N141),1)))*
IF(EI$44=1,0,
IF(INT(DQ141)=INT(DP141),DQ141-DP141,INT(DQ141)-DP141))+
IF($N141&lt;=1,
IF($N141&gt;0,1/$N141,0),VDB(1,0,$N141,INT(EI$44-1),MIN($N141,INT(EI$44-1)+1),$DC141,IF($DD141="No",1,0))/
IF(DQ141&gt;INT($N141),$N141-INT($N141),1))*
IF(EI$44=1,DQ141,
IF(INT(DQ141)=INT(DP141),0,DQ141-INT(DQ141)))))</f>
        <v>0</v>
      </c>
      <c r="EJ141" s="835">
        <f>+IF(DR141=DQ141,0,
IF(AND(EJ$44&gt;1,DR141=$N141),1-SUM($EE141:EI141),
IF($N141&lt;=1,
IF($N141&gt;0,1/$N141,0),
IF(EJ$44=1,0,VDB(1,0,$N141,INT(EJ$44-1-1),MIN($N141,INT(EJ$44-1-1)+1),$DC141,IF($DD141="No",1,0))/
IF(DQ141&gt;=INT($N141),$N141-INT($N141),1)))*
IF(EJ$44=1,0,
IF(INT(DR141)=INT(DQ141),DR141-DQ141,INT(DR141)-DQ141))+
IF($N141&lt;=1,
IF($N141&gt;0,1/$N141,0),VDB(1,0,$N141,INT(EJ$44-1),MIN($N141,INT(EJ$44-1)+1),$DC141,IF($DD141="No",1,0))/
IF(DR141&gt;INT($N141),$N141-INT($N141),1))*
IF(EJ$44=1,DR141,
IF(INT(DR141)=INT(DQ141),0,DR141-INT(DR141)))))</f>
        <v>0</v>
      </c>
      <c r="EK141" s="835">
        <f>+IF(DS141=DR141,0,
IF(AND(EK$44&gt;1,DS141=$N141),1-SUM($EE141:EJ141),
IF($N141&lt;=1,
IF($N141&gt;0,1/$N141,0),
IF(EK$44=1,0,VDB(1,0,$N141,INT(EK$44-1-1),MIN($N141,INT(EK$44-1-1)+1),$DC141,IF($DD141="No",1,0))/
IF(DR141&gt;=INT($N141),$N141-INT($N141),1)))*
IF(EK$44=1,0,
IF(INT(DS141)=INT(DR141),DS141-DR141,INT(DS141)-DR141))+
IF($N141&lt;=1,
IF($N141&gt;0,1/$N141,0),VDB(1,0,$N141,INT(EK$44-1),MIN($N141,INT(EK$44-1)+1),$DC141,IF($DD141="No",1,0))/
IF(DS141&gt;INT($N141),$N141-INT($N141),1))*
IF(EK$44=1,DS141,
IF(INT(DS141)=INT(DR141),0,DS141-INT(DS141)))))</f>
        <v>0</v>
      </c>
      <c r="EL141" s="835">
        <f>+IF(DT141=DS141,0,
IF(AND(EL$44&gt;1,DT141=$N141),1-SUM($EE141:EK141),
IF($N141&lt;=1,
IF($N141&gt;0,1/$N141,0),
IF(EL$44=1,0,VDB(1,0,$N141,INT(EL$44-1-1),MIN($N141,INT(EL$44-1-1)+1),$DC141,IF($DD141="No",1,0))/
IF(DS141&gt;=INT($N141),$N141-INT($N141),1)))*
IF(EL$44=1,0,
IF(INT(DT141)=INT(DS141),DT141-DS141,INT(DT141)-DS141))+
IF($N141&lt;=1,
IF($N141&gt;0,1/$N141,0),VDB(1,0,$N141,INT(EL$44-1),MIN($N141,INT(EL$44-1)+1),$DC141,IF($DD141="No",1,0))/
IF(DT141&gt;INT($N141),$N141-INT($N141),1))*
IF(EL$44=1,DT141,
IF(INT(DT141)=INT(DS141),0,DT141-INT(DT141)))))</f>
        <v>0</v>
      </c>
      <c r="EM141" s="836">
        <f>+IF(DU141=DT141,0,
IF(AND(EM$44&gt;1,DU141=$N141),1-SUM($EE141:EL141),
IF($N141&lt;=1,
IF($N141&gt;0,1/$N141,0),
IF(EM$44=1,0,VDB(1,0,$N141,INT(EM$44-1-1),MIN($N141,INT(EM$44-1-1)+1),$DC141,IF($DD141="No",1,0))/
IF(DT141&gt;=INT($N141),$N141-INT($N141),1)))*
IF(EM$44=1,0,
IF(INT(DU141)=INT(DT141),DU141-DT141,INT(DU141)-DT141))+
IF($N141&lt;=1,
IF($N141&gt;0,1/$N141,0),VDB(1,0,$N141,INT(EM$44-1),MIN($N141,INT(EM$44-1)+1),$DC141,IF($DD141="No",1,0))/
IF(DU141&gt;INT($N141),$N141-INT($N141),1))*
IF(EM$44=1,DU141,
IF(INT(DU141)=INT(DT141),0,DU141-INT(DU141)))))</f>
        <v>0</v>
      </c>
      <c r="EN141" s="833"/>
      <c r="EO141" s="834">
        <f>+IF(OR(DW141=DV141,EO$44=1),0,
IF(AND(EO$44&gt;1,DW141=$N141),1-SUM($EN141:EN141),
IF($N141&lt;=1,
IF($N141&gt;0,1/$N141,0),
IF(EO$44=2,0,VDB(1,0,$N141,INT(EO$44-2-1),MIN($N141,INT(EO$44-2-1)+1),$DC141,IF($DD141="No",1,0))/
IF(DV141&gt;=INT($N141),$N141-INT($N141),1)))*
IF(EO$44=2,0,
IF(INT(DW141)=INT(DV141),DW141-DV141,INT(DW141)-DV141))+
IF($N141&lt;=1,
IF($N141&gt;0,1/$N141,0),VDB(1,0,$N141,INT(EO$44-2),MIN($N141,INT(EO$44-2)+1),$DC141,IF($DD141="No",1,0))/
IF(DW141&gt;INT($N141),$N141-INT($N141),1))*
IF(EO$44=2,DW141,
IF(INT(DW141)=INT(DV141),0,DW141-INT(DW141)))))</f>
        <v>0</v>
      </c>
      <c r="EP141" s="835">
        <f>+IF(OR(DX141=DW141,EP$44=1),0,
IF(AND(EP$44&gt;1,DX141=$N141),1-SUM($EN141:EO141),
IF($N141&lt;=1,
IF($N141&gt;0,1/$N141,0),
IF(EP$44=2,0,VDB(1,0,$N141,INT(EP$44-2-1),MIN($N141,INT(EP$44-2-1)+1),$DC141,IF($DD141="No",1,0))/
IF(DW141&gt;=INT($N141),$N141-INT($N141),1)))*
IF(EP$44=2,0,
IF(INT(DX141)=INT(DW141),DX141-DW141,INT(DX141)-DW141))+
IF($N141&lt;=1,
IF($N141&gt;0,1/$N141,0),VDB(1,0,$N141,INT(EP$44-2),MIN($N141,INT(EP$44-2)+1),$DC141,IF($DD141="No",1,0))/
IF(DX141&gt;INT($N141),$N141-INT($N141),1))*
IF(EP$44=2,DX141,
IF(INT(DX141)=INT(DW141),0,DX141-INT(DX141)))))</f>
        <v>0</v>
      </c>
      <c r="EQ141" s="836">
        <f>+IF(OR(DY141=DX141,EQ$44=1),0,
IF(AND(EQ$44&gt;1,DY141=$N141),1-SUM($EN141:EP141),
IF($N141&lt;=1,
IF($N141&gt;0,1/$N141,0),
IF(EQ$44=2,0,VDB(1,0,$N141,INT(EQ$44-2-1),MIN($N141,INT(EQ$44-2-1)+1),$DC141,IF($DD141="No",1,0))/
IF(DX141&gt;=INT($N141),$N141-INT($N141),1)))*
IF(EQ$44=2,0,
IF(INT(DY141)=INT(DX141),DY141-DX141,INT(DY141)-DX141))+
IF($N141&lt;=1,
IF($N141&gt;0,1/$N141,0),VDB(1,0,$N141,INT(EQ$44-2),MIN($N141,INT(EQ$44-2)+1),$DC141,IF($DD141="No",1,0))/
IF(DY141&gt;INT($N141),$N141-INT($N141),1))*
IF(EQ$44=2,DY141,
IF(INT(DY141)=INT(DX141),0,DY141-INT(DY141)))))</f>
        <v>0</v>
      </c>
      <c r="ER141" s="834">
        <f>+IF(OR(DZ141=DY141,ER$44=1),0,
IF(AND(ER$44&gt;1,DZ141=$N141),1-SUM($EN141:EQ141),
IF($N141&lt;=1,
IF($N141&gt;0,1/$N141,0),
IF(ER$44=2,0,VDB(1,0,$N141,INT(ER$44-2-1),MIN($N141,INT(ER$44-2-1)+1),$DC141,IF($DD141="No",1,0))/
IF(DY141&gt;=INT($N141),$N141-INT($N141),1)))*
IF(ER$44=2,0,
IF(INT(DZ141)=INT(DY141),DZ141-DY141,INT(DZ141)-DY141))+
IF($N141&lt;=1,
IF($N141&gt;0,1/$N141,0),VDB(1,0,$N141,INT(ER$44-2),MIN($N141,INT(ER$44-2)+1),$DC141,IF($DD141="No",1,0))/
IF(DZ141&gt;INT($N141),$N141-INT($N141),1))*
IF(ER$44=2,DZ141,
IF(INT(DZ141)=INT(DY141),0,DZ141-INT(DZ141)))))</f>
        <v>0</v>
      </c>
      <c r="ES141" s="835">
        <f>+IF(OR(EA141=DZ141,ES$44=1),0,
IF(AND(ES$44&gt;1,EA141=$N141),1-SUM($EN141:ER141),
IF($N141&lt;=1,
IF($N141&gt;0,1/$N141,0),
IF(ES$44=2,0,VDB(1,0,$N141,INT(ES$44-2-1),MIN($N141,INT(ES$44-2-1)+1),$DC141,IF($DD141="No",1,0))/
IF(DZ141&gt;=INT($N141),$N141-INT($N141),1)))*
IF(ES$44=2,0,
IF(INT(EA141)=INT(DZ141),EA141-DZ141,INT(EA141)-DZ141))+
IF($N141&lt;=1,
IF($N141&gt;0,1/$N141,0),VDB(1,0,$N141,INT(ES$44-2),MIN($N141,INT(ES$44-2)+1),$DC141,IF($DD141="No",1,0))/
IF(EA141&gt;INT($N141),$N141-INT($N141),1))*
IF(ES$44=2,EA141,
IF(INT(EA141)=INT(DZ141),0,EA141-INT(EA141)))))</f>
        <v>0</v>
      </c>
      <c r="ET141" s="835">
        <f>+IF(OR(EB141=EA141,ET$44=1),0,
IF(AND(ET$44&gt;1,EB141=$N141),1-SUM($EN141:ES141),
IF($N141&lt;=1,
IF($N141&gt;0,1/$N141,0),
IF(ET$44=2,0,VDB(1,0,$N141,INT(ET$44-2-1),MIN($N141,INT(ET$44-2-1)+1),$DC141,IF($DD141="No",1,0))/
IF(EA141&gt;=INT($N141),$N141-INT($N141),1)))*
IF(ET$44=2,0,
IF(INT(EB141)=INT(EA141),EB141-EA141,INT(EB141)-EA141))+
IF($N141&lt;=1,
IF($N141&gt;0,1/$N141,0),VDB(1,0,$N141,INT(ET$44-2),MIN($N141,INT(ET$44-2)+1),$DC141,IF($DD141="No",1,0))/
IF(EB141&gt;INT($N141),$N141-INT($N141),1))*
IF(ET$44=2,EB141,
IF(INT(EB141)=INT(EA141),0,EB141-INT(EB141)))))</f>
        <v>0</v>
      </c>
      <c r="EU141" s="835">
        <f>+IF(OR(EC141=EB141,EU$44=1),0,
IF(AND(EU$44&gt;1,EC141=$N141),1-SUM($EN141:ET141),
IF($N141&lt;=1,
IF($N141&gt;0,1/$N141,0),
IF(EU$44=2,0,VDB(1,0,$N141,INT(EU$44-2-1),MIN($N141,INT(EU$44-2-1)+1),$DC141,IF($DD141="No",1,0))/
IF(EB141&gt;=INT($N141),$N141-INT($N141),1)))*
IF(EU$44=2,0,
IF(INT(EC141)=INT(EB141),EC141-EB141,INT(EC141)-EB141))+
IF($N141&lt;=1,
IF($N141&gt;0,1/$N141,0),VDB(1,0,$N141,INT(EU$44-2),MIN($N141,INT(EU$44-2)+1),$DC141,IF($DD141="No",1,0))/
IF(EC141&gt;INT($N141),$N141-INT($N141),1))*
IF(EU$44=2,EC141,
IF(INT(EC141)=INT(EB141),0,EC141-INT(EC141)))))</f>
        <v>0</v>
      </c>
      <c r="EV141" s="836">
        <f>+IF(OR(ED141=EC141,EV$44=1),0,
IF(AND(EV$44&gt;1,ED141=$N141),1-SUM($EN141:EU141),
IF($N141&lt;=1,
IF($N141&gt;0,1/$N141,0),
IF(EV$44=2,0,VDB(1,0,$N141,INT(EV$44-2-1),MIN($N141,INT(EV$44-2-1)+1),$DC141,IF($DD141="No",1,0))/
IF(EC141&gt;=INT($N141),$N141-INT($N141),1)))*
IF(EV$44=2,0,
IF(INT(ED141)=INT(EC141),ED141-EC141,INT(ED141)-EC141))+
IF($N141&lt;=1,
IF($N141&gt;0,1/$N141,0),VDB(1,0,$N141,INT(EV$44-2),MIN($N141,INT(EV$44-2)+1),$DC141,IF($DD141="No",1,0))/
IF(ED141&gt;INT($N141),$N141-INT($N141),1))*
IF(EV$44=2,ED141,
IF(INT(ED141)=INT(EC141),0,ED141-INT(ED141)))))</f>
        <v>0</v>
      </c>
      <c r="EW141" s="833"/>
      <c r="EX141" s="834">
        <f t="shared" ca="1" si="303"/>
        <v>0</v>
      </c>
      <c r="EY141" s="835">
        <f t="shared" ca="1" si="303"/>
        <v>0</v>
      </c>
      <c r="EZ141" s="836">
        <f t="shared" ca="1" si="303"/>
        <v>0</v>
      </c>
      <c r="FA141" s="834">
        <f t="shared" ca="1" si="303"/>
        <v>0</v>
      </c>
      <c r="FB141" s="835">
        <f t="shared" ca="1" si="303"/>
        <v>0</v>
      </c>
      <c r="FC141" s="835">
        <f t="shared" ca="1" si="303"/>
        <v>0</v>
      </c>
      <c r="FD141" s="835">
        <f t="shared" ca="1" si="303"/>
        <v>0</v>
      </c>
      <c r="FE141" s="836">
        <f t="shared" ca="1" si="303"/>
        <v>0</v>
      </c>
      <c r="FG141" s="386">
        <f t="shared" ca="1" si="293"/>
        <v>0</v>
      </c>
      <c r="FH141" s="387">
        <f t="shared" ca="1" si="294"/>
        <v>0</v>
      </c>
      <c r="FI141" s="388">
        <f t="shared" ca="1" si="295"/>
        <v>0</v>
      </c>
      <c r="FJ141" s="386">
        <f t="shared" ca="1" si="296"/>
        <v>0</v>
      </c>
      <c r="FK141" s="387">
        <f t="shared" ca="1" si="297"/>
        <v>0</v>
      </c>
      <c r="FL141" s="387">
        <f t="shared" ca="1" si="298"/>
        <v>0</v>
      </c>
      <c r="FM141" s="387">
        <f t="shared" ca="1" si="299"/>
        <v>0</v>
      </c>
      <c r="FN141" s="388">
        <f t="shared" ca="1" si="300"/>
        <v>0</v>
      </c>
      <c r="FR141" s="116"/>
    </row>
    <row r="142" spans="2:174">
      <c r="B142" s="1410">
        <f t="shared" si="302"/>
        <v>96</v>
      </c>
      <c r="C142" s="400" t="s">
        <v>644</v>
      </c>
      <c r="D142" s="410"/>
      <c r="E142" s="402" t="s">
        <v>420</v>
      </c>
      <c r="F142" s="402" t="s">
        <v>527</v>
      </c>
      <c r="G142" s="400" t="s">
        <v>522</v>
      </c>
      <c r="H142" s="2088" t="s">
        <v>483</v>
      </c>
      <c r="I142" s="2089"/>
      <c r="J142" s="411" t="s">
        <v>516</v>
      </c>
      <c r="K142" s="403" t="s">
        <v>544</v>
      </c>
      <c r="L142" s="403">
        <v>100</v>
      </c>
      <c r="M142" s="403" t="s">
        <v>142</v>
      </c>
      <c r="N142" s="403"/>
      <c r="O142" s="347"/>
      <c r="P142" s="347"/>
      <c r="Q142" s="1021">
        <v>10.074036643902438</v>
      </c>
      <c r="R142" s="1022">
        <v>23.227481508625822</v>
      </c>
      <c r="S142" s="1022">
        <v>7.4924199103321207</v>
      </c>
      <c r="T142" s="1022">
        <v>11.102506470150875</v>
      </c>
      <c r="U142" s="1023">
        <v>22.763746512143975</v>
      </c>
      <c r="V142" s="1021">
        <v>26.27188662237193</v>
      </c>
      <c r="W142" s="1022">
        <v>25.933866797737814</v>
      </c>
      <c r="X142" s="1022">
        <v>25.933866428401863</v>
      </c>
      <c r="Y142" s="1022">
        <v>25.933866068074103</v>
      </c>
      <c r="Z142" s="1023">
        <v>25.933866751622702</v>
      </c>
      <c r="AA142" s="1024"/>
      <c r="AB142" s="1021">
        <v>0</v>
      </c>
      <c r="AC142" s="1022">
        <v>0</v>
      </c>
      <c r="AD142" s="1022">
        <v>0</v>
      </c>
      <c r="AE142" s="1022">
        <v>0</v>
      </c>
      <c r="AF142" s="1023">
        <v>0</v>
      </c>
      <c r="AG142" s="1021">
        <v>0</v>
      </c>
      <c r="AH142" s="1022">
        <v>0</v>
      </c>
      <c r="AI142" s="1022">
        <v>0</v>
      </c>
      <c r="AJ142" s="1022">
        <v>0</v>
      </c>
      <c r="AK142" s="1023">
        <v>0</v>
      </c>
      <c r="AL142" s="1024"/>
      <c r="AM142" s="1021">
        <v>0</v>
      </c>
      <c r="AN142" s="1022">
        <v>0</v>
      </c>
      <c r="AO142" s="1022">
        <v>0</v>
      </c>
      <c r="AP142" s="1022">
        <v>0</v>
      </c>
      <c r="AQ142" s="1023">
        <v>0</v>
      </c>
      <c r="AR142" s="1021">
        <v>0</v>
      </c>
      <c r="AS142" s="1022">
        <v>0</v>
      </c>
      <c r="AT142" s="1022">
        <v>0</v>
      </c>
      <c r="AU142" s="1022">
        <v>0</v>
      </c>
      <c r="AV142" s="1023">
        <v>0</v>
      </c>
      <c r="AW142" s="1025"/>
      <c r="AX142" s="1282">
        <f t="shared" si="247"/>
        <v>10.074036643902438</v>
      </c>
      <c r="AY142" s="387">
        <f t="shared" si="248"/>
        <v>23.227481508625822</v>
      </c>
      <c r="AZ142" s="387">
        <f t="shared" si="249"/>
        <v>7.4924199103321207</v>
      </c>
      <c r="BA142" s="387">
        <f t="shared" si="250"/>
        <v>11.102506470150875</v>
      </c>
      <c r="BB142" s="1283">
        <f t="shared" si="251"/>
        <v>22.763746512143975</v>
      </c>
      <c r="BC142" s="386">
        <f t="shared" si="252"/>
        <v>26.27188662237193</v>
      </c>
      <c r="BD142" s="387">
        <f t="shared" si="253"/>
        <v>25.933866797737814</v>
      </c>
      <c r="BE142" s="1277">
        <f t="shared" si="254"/>
        <v>25.933866428401863</v>
      </c>
      <c r="BF142" s="1277">
        <f t="shared" si="255"/>
        <v>25.933866068074103</v>
      </c>
      <c r="BG142" s="388">
        <f t="shared" si="256"/>
        <v>25.933866751622702</v>
      </c>
      <c r="BH142" s="1025"/>
      <c r="BI142" s="1282">
        <f t="shared" ca="1" si="257"/>
        <v>5.0370183219512192E-2</v>
      </c>
      <c r="BJ142" s="387">
        <f t="shared" ca="1" si="258"/>
        <v>0.21687777398215349</v>
      </c>
      <c r="BK142" s="387">
        <f t="shared" ca="1" si="259"/>
        <v>0.37047728107694322</v>
      </c>
      <c r="BL142" s="387">
        <f t="shared" ca="1" si="260"/>
        <v>0.46345191297935817</v>
      </c>
      <c r="BM142" s="1283">
        <f t="shared" ca="1" si="261"/>
        <v>0.63278317789083227</v>
      </c>
      <c r="BN142" s="386">
        <f t="shared" ca="1" si="262"/>
        <v>0.87796134356341171</v>
      </c>
      <c r="BO142" s="387">
        <f t="shared" ca="1" si="263"/>
        <v>1.1389901106639604</v>
      </c>
      <c r="BP142" s="1277">
        <f t="shared" ca="1" si="264"/>
        <v>1.3983287767946588</v>
      </c>
      <c r="BQ142" s="1277">
        <f t="shared" ca="1" si="265"/>
        <v>1.6576674392770387</v>
      </c>
      <c r="BR142" s="388">
        <f t="shared" ca="1" si="266"/>
        <v>1.917006103375523</v>
      </c>
      <c r="BS142" s="1025"/>
      <c r="BT142" s="1282">
        <f>+IF($K142="Ongoing",AX142,IF(RIGHT($K142,2)=RIGHT(BT$43,2),SUM($AX142:AX142),0)+IF(RIGHT(BT$43,2)&gt;RIGHT($K142,2),AX142,0))</f>
        <v>10.074036643902438</v>
      </c>
      <c r="BU142" s="387">
        <f>+IF($K142="Ongoing",AY142,IF(RIGHT($K142,2)=RIGHT(BU$43,2),SUM($AX142:AY142),0)+IF(RIGHT(BU$43,2)&gt;RIGHT($K142,2),AY142,0))</f>
        <v>23.227481508625822</v>
      </c>
      <c r="BV142" s="387">
        <f>+IF($K142="Ongoing",AZ142,IF(RIGHT($K142,2)=RIGHT(BV$43,2),SUM($AX142:AZ142),0)+IF(RIGHT(BV$43,2)&gt;RIGHT($K142,2),AZ142,0))</f>
        <v>7.4924199103321207</v>
      </c>
      <c r="BW142" s="387">
        <f>+IF($K142="Ongoing",BA142,IF(RIGHT($K142,2)=RIGHT(BW$43,2),SUM($AX142:BA142),0)+IF(RIGHT(BW$43,2)&gt;RIGHT($K142,2),BA142,0))</f>
        <v>11.102506470150875</v>
      </c>
      <c r="BX142" s="1283">
        <f>+IF($K142="Ongoing",BB142,IF(RIGHT($K142,2)=RIGHT(BX$43,2),SUM($AX142:BB142),0)+IF(RIGHT(BX$43,2)&gt;RIGHT($K142,2),BB142,0))</f>
        <v>22.763746512143975</v>
      </c>
      <c r="BY142" s="386">
        <f>+IF($K142="Ongoing",BC142,IF(RIGHT($K142,2)=RIGHT(BY$43,2),SUM($AX142:BC142),0)+IF(RIGHT(BY$43,2)&gt;RIGHT($K142,2),BC142,0))</f>
        <v>26.27188662237193</v>
      </c>
      <c r="BZ142" s="387">
        <f>+IF($K142="Ongoing",BD142,IF(RIGHT($K142,2)=RIGHT(BZ$43,2),SUM($AX142:BD142),0)+IF(RIGHT(BZ$43,2)&gt;RIGHT($K142,2),BD142,0))</f>
        <v>25.933866797737814</v>
      </c>
      <c r="CA142" s="1277">
        <f>+IF($K142="Ongoing",BE142,IF(RIGHT($K142,2)=RIGHT(CA$43,2),SUM($AX142:BE142),0)+IF(RIGHT(CA$43,2)&gt;RIGHT($K142,2),BE142,0))</f>
        <v>25.933866428401863</v>
      </c>
      <c r="CB142" s="1277">
        <f>+IF($K142="Ongoing",BF142,IF(RIGHT($K142,2)=RIGHT(CB$43,2),SUM($AX142:BF142),0)+IF(RIGHT(CB$43,2)&gt;RIGHT($K142,2),BF142,0))</f>
        <v>25.933866068074103</v>
      </c>
      <c r="CC142" s="388">
        <f>+IF($K142="Ongoing",BG142,IF(RIGHT($K142,2)=RIGHT(CC$43,2),SUM($AX142:BG142),0)+IF(RIGHT(CC$43,2)&gt;RIGHT($K142,2),BG142,0))</f>
        <v>25.933866751622702</v>
      </c>
      <c r="CD142" s="1025"/>
      <c r="CE142" s="1282">
        <f>+Q142*KeyAssumptionsPriceControl_FO!AF$15</f>
        <v>10.366183706575608</v>
      </c>
      <c r="CF142" s="387">
        <f>+R142*KeyAssumptionsPriceControl_FO!AG$15</f>
        <v>24.594209748074871</v>
      </c>
      <c r="CG142" s="387">
        <f>+S142*KeyAssumptionsPriceControl_FO!AH$15</f>
        <v>8.1633465505939746</v>
      </c>
      <c r="CH142" s="387">
        <f>+T142*KeyAssumptionsPriceControl_FO!AI$15</f>
        <v>12.447511437049837</v>
      </c>
      <c r="CI142" s="1283">
        <f>+U142*KeyAssumptionsPriceControl_FO!AJ$15</f>
        <v>26.261565683446403</v>
      </c>
      <c r="CJ142" s="386">
        <f>+V142*KeyAssumptionsPriceControl_FO!AK$15</f>
        <v>31.187711618182767</v>
      </c>
      <c r="CK142" s="387">
        <f>+W142*KeyAssumptionsPriceControl_FO!AL$15</f>
        <v>31.679250584524826</v>
      </c>
      <c r="CL142" s="1277">
        <f>+X142*KeyAssumptionsPriceControl_FO!AM$15</f>
        <v>32.597948387233885</v>
      </c>
      <c r="CM142" s="1277">
        <f>+Y142*KeyAssumptionsPriceControl_FO!AN$15</f>
        <v>33.543288424409816</v>
      </c>
      <c r="CN142" s="388">
        <f>+Z142*KeyAssumptionsPriceControl_FO!AO$15</f>
        <v>34.516044698469969</v>
      </c>
      <c r="CO142" s="1025"/>
      <c r="CP142" s="1282">
        <f t="shared" ca="1" si="267"/>
        <v>0</v>
      </c>
      <c r="CQ142" s="387">
        <f t="shared" ca="1" si="268"/>
        <v>0</v>
      </c>
      <c r="CR142" s="387">
        <f t="shared" ca="1" si="269"/>
        <v>0</v>
      </c>
      <c r="CS142" s="387">
        <f t="shared" ca="1" si="270"/>
        <v>0</v>
      </c>
      <c r="CT142" s="1283">
        <f t="shared" ca="1" si="271"/>
        <v>0</v>
      </c>
      <c r="CU142" s="386">
        <f t="shared" ca="1" si="272"/>
        <v>0</v>
      </c>
      <c r="CV142" s="387">
        <f t="shared" ca="1" si="273"/>
        <v>0</v>
      </c>
      <c r="CW142" s="1277">
        <f t="shared" ca="1" si="274"/>
        <v>0</v>
      </c>
      <c r="CX142" s="1277">
        <f t="shared" ca="1" si="275"/>
        <v>0</v>
      </c>
      <c r="CY142" s="388">
        <f t="shared" ca="1" si="276"/>
        <v>0</v>
      </c>
      <c r="CZ142" s="347"/>
      <c r="DA142" s="852"/>
      <c r="DB142" s="347"/>
      <c r="DC142" s="1012" t="s">
        <v>646</v>
      </c>
      <c r="DD142" s="841" t="s">
        <v>518</v>
      </c>
      <c r="DE142" s="386">
        <f>+IF($K142="ongoing",CE142,IF(RIGHT($K142,2)=RIGHT(DE$43,2),SUM($CD142:CE142),0)+IF(RIGHT(DE$43,2)&gt;RIGHT($K142,2),CE142,0))</f>
        <v>10.366183706575608</v>
      </c>
      <c r="DF142" s="387">
        <f>+IF($K142="ongoing",CF142,IF(RIGHT($K142,2)=RIGHT(DF$43,2),SUM($CD142:CF142),0)+IF(RIGHT(DF$43,2)&gt;RIGHT($K142,2),CF142,0))</f>
        <v>24.594209748074871</v>
      </c>
      <c r="DG142" s="388">
        <f>+IF($K142="ongoing",CG142,IF(RIGHT($K142,2)=RIGHT(DG$43,2),SUM($CD142:CG142),0)+IF(RIGHT(DG$43,2)&gt;RIGHT($K142,2),CG142,0))</f>
        <v>8.1633465505939746</v>
      </c>
      <c r="DH142" s="386">
        <f>+IF($K142="ongoing",CH142,IF(RIGHT($K142,2)=RIGHT(DH$43,2),SUM($CD142:CH142),0)+IF(RIGHT(DH$43,2)&gt;RIGHT($K142,2),CH142,0))</f>
        <v>12.447511437049837</v>
      </c>
      <c r="DI142" s="387">
        <f>+IF($K142="ongoing",CI142,IF(RIGHT($K142,2)=RIGHT(DI$43,2),SUM($CD142:CI142),0)+IF(RIGHT(DI$43,2)&gt;RIGHT($K142,2),CI142,0))</f>
        <v>26.261565683446403</v>
      </c>
      <c r="DJ142" s="387">
        <f>+IF($K142="ongoing",CJ142,IF(RIGHT($K142,2)=RIGHT(DJ$43,2),SUM($CD142:CJ142),0)+IF(RIGHT(DJ$43,2)&gt;RIGHT($K142,2),CJ142,0))</f>
        <v>31.187711618182767</v>
      </c>
      <c r="DK142" s="387">
        <f>+IF($K142="ongoing",CK142,IF(RIGHT($K142,2)=RIGHT(DK$43,2),SUM($CD142:CK142),0)+IF(RIGHT(DK$43,2)&gt;RIGHT($K142,2),CK142,0))</f>
        <v>31.679250584524826</v>
      </c>
      <c r="DL142" s="388">
        <f>+IF($K142="ongoing",CN142,IF(RIGHT($K142,2)=RIGHT(DL$43,2),SUM($CD142:CN142),0)+IF(RIGHT(DL$43,2)&gt;RIGHT($K142,2),CN142,0))</f>
        <v>34.516044698469969</v>
      </c>
      <c r="DM142" s="841"/>
      <c r="DN142" s="386">
        <f t="shared" si="277"/>
        <v>0.5</v>
      </c>
      <c r="DO142" s="387">
        <f t="shared" si="278"/>
        <v>1</v>
      </c>
      <c r="DP142" s="388">
        <f t="shared" si="279"/>
        <v>1</v>
      </c>
      <c r="DQ142" s="386">
        <f t="shared" si="280"/>
        <v>1</v>
      </c>
      <c r="DR142" s="387">
        <f t="shared" si="281"/>
        <v>1</v>
      </c>
      <c r="DS142" s="387">
        <f t="shared" si="282"/>
        <v>1</v>
      </c>
      <c r="DT142" s="387">
        <f t="shared" si="283"/>
        <v>1</v>
      </c>
      <c r="DU142" s="388">
        <f t="shared" si="284"/>
        <v>1</v>
      </c>
      <c r="DW142" s="386">
        <f t="shared" si="285"/>
        <v>0</v>
      </c>
      <c r="DX142" s="387">
        <f t="shared" si="286"/>
        <v>0.5</v>
      </c>
      <c r="DY142" s="388">
        <f t="shared" si="287"/>
        <v>1</v>
      </c>
      <c r="DZ142" s="386">
        <f t="shared" si="288"/>
        <v>1</v>
      </c>
      <c r="EA142" s="387">
        <f t="shared" si="289"/>
        <v>1</v>
      </c>
      <c r="EB142" s="387">
        <f t="shared" si="290"/>
        <v>1</v>
      </c>
      <c r="EC142" s="387">
        <f t="shared" si="291"/>
        <v>1</v>
      </c>
      <c r="ED142" s="388">
        <f t="shared" si="292"/>
        <v>1</v>
      </c>
      <c r="EF142" s="834">
        <f>+IF(DN142=DM142,0,
IF(AND(EF$44&gt;1,DN142=$N142),1-SUM($EE142:EE142),
IF($N142&lt;=1,
IF($N142&gt;0,1/$N142,0),
IF(EF$44=1,0,VDB(1,0,$N142,INT(EF$44-1-1),MIN($N142,INT(EF$44-1-1)+1),$DC142,IF($DD142="No",1,0))/
IF(DM142&gt;=INT($N142),$N142-INT($N142),1)))*
IF(EF$44=1,0,
IF(INT(DN142)=INT(DM142),DN142-DM142,INT(DN142)-DM142))+
IF($N142&lt;=1,
IF($N142&gt;0,1/$N142,0),VDB(1,0,$N142,INT(EF$44-1),MIN($N142,INT(EF$44-1)+1),$DC142,IF($DD142="No",1,0))/
IF(DN142&gt;INT($N142),$N142-INT($N142),1))*
IF(EF$44=1,DN142,
IF(INT(DN142)=INT(DM142),0,DN142-INT(DN142)))))</f>
        <v>0</v>
      </c>
      <c r="EG142" s="835">
        <f>+IF(DO142=DN142,0,
IF(AND(EG$44&gt;1,DO142=$N142),1-SUM($EE142:EF142),
IF($N142&lt;=1,
IF($N142&gt;0,1/$N142,0),
IF(EG$44=1,0,VDB(1,0,$N142,INT(EG$44-1-1),MIN($N142,INT(EG$44-1-1)+1),$DC142,IF($DD142="No",1,0))/
IF(DN142&gt;=INT($N142),$N142-INT($N142),1)))*
IF(EG$44=1,0,
IF(INT(DO142)=INT(DN142),DO142-DN142,INT(DO142)-DN142))+
IF($N142&lt;=1,
IF($N142&gt;0,1/$N142,0),VDB(1,0,$N142,INT(EG$44-1),MIN($N142,INT(EG$44-1)+1),$DC142,IF($DD142="No",1,0))/
IF(DO142&gt;INT($N142),$N142-INT($N142),1))*
IF(EG$44=1,DO142,
IF(INT(DO142)=INT(DN142),0,DO142-INT(DO142)))))</f>
        <v>0</v>
      </c>
      <c r="EH142" s="836">
        <f>+IF(DP142=DO142,0,
IF(AND(EH$44&gt;1,DP142=$N142),1-SUM($EE142:EG142),
IF($N142&lt;=1,
IF($N142&gt;0,1/$N142,0),
IF(EH$44=1,0,VDB(1,0,$N142,INT(EH$44-1-1),MIN($N142,INT(EH$44-1-1)+1),$DC142,IF($DD142="No",1,0))/
IF(DO142&gt;=INT($N142),$N142-INT($N142),1)))*
IF(EH$44=1,0,
IF(INT(DP142)=INT(DO142),DP142-DO142,INT(DP142)-DO142))+
IF($N142&lt;=1,
IF($N142&gt;0,1/$N142,0),VDB(1,0,$N142,INT(EH$44-1),MIN($N142,INT(EH$44-1)+1),$DC142,IF($DD142="No",1,0))/
IF(DP142&gt;INT($N142),$N142-INT($N142),1))*
IF(EH$44=1,DP142,
IF(INT(DP142)=INT(DO142),0,DP142-INT(DP142)))))</f>
        <v>0</v>
      </c>
      <c r="EI142" s="834">
        <f>+IF(DQ142=DP142,0,
IF(AND(EI$44&gt;1,DQ142=$N142),1-SUM($EE142:EH142),
IF($N142&lt;=1,
IF($N142&gt;0,1/$N142,0),
IF(EI$44=1,0,VDB(1,0,$N142,INT(EI$44-1-1),MIN($N142,INT(EI$44-1-1)+1),$DC142,IF($DD142="No",1,0))/
IF(DP142&gt;=INT($N142),$N142-INT($N142),1)))*
IF(EI$44=1,0,
IF(INT(DQ142)=INT(DP142),DQ142-DP142,INT(DQ142)-DP142))+
IF($N142&lt;=1,
IF($N142&gt;0,1/$N142,0),VDB(1,0,$N142,INT(EI$44-1),MIN($N142,INT(EI$44-1)+1),$DC142,IF($DD142="No",1,0))/
IF(DQ142&gt;INT($N142),$N142-INT($N142),1))*
IF(EI$44=1,DQ142,
IF(INT(DQ142)=INT(DP142),0,DQ142-INT(DQ142)))))</f>
        <v>0</v>
      </c>
      <c r="EJ142" s="835">
        <f>+IF(DR142=DQ142,0,
IF(AND(EJ$44&gt;1,DR142=$N142),1-SUM($EE142:EI142),
IF($N142&lt;=1,
IF($N142&gt;0,1/$N142,0),
IF(EJ$44=1,0,VDB(1,0,$N142,INT(EJ$44-1-1),MIN($N142,INT(EJ$44-1-1)+1),$DC142,IF($DD142="No",1,0))/
IF(DQ142&gt;=INT($N142),$N142-INT($N142),1)))*
IF(EJ$44=1,0,
IF(INT(DR142)=INT(DQ142),DR142-DQ142,INT(DR142)-DQ142))+
IF($N142&lt;=1,
IF($N142&gt;0,1/$N142,0),VDB(1,0,$N142,INT(EJ$44-1),MIN($N142,INT(EJ$44-1)+1),$DC142,IF($DD142="No",1,0))/
IF(DR142&gt;INT($N142),$N142-INT($N142),1))*
IF(EJ$44=1,DR142,
IF(INT(DR142)=INT(DQ142),0,DR142-INT(DR142)))))</f>
        <v>0</v>
      </c>
      <c r="EK142" s="835">
        <f>+IF(DS142=DR142,0,
IF(AND(EK$44&gt;1,DS142=$N142),1-SUM($EE142:EJ142),
IF($N142&lt;=1,
IF($N142&gt;0,1/$N142,0),
IF(EK$44=1,0,VDB(1,0,$N142,INT(EK$44-1-1),MIN($N142,INT(EK$44-1-1)+1),$DC142,IF($DD142="No",1,0))/
IF(DR142&gt;=INT($N142),$N142-INT($N142),1)))*
IF(EK$44=1,0,
IF(INT(DS142)=INT(DR142),DS142-DR142,INT(DS142)-DR142))+
IF($N142&lt;=1,
IF($N142&gt;0,1/$N142,0),VDB(1,0,$N142,INT(EK$44-1),MIN($N142,INT(EK$44-1)+1),$DC142,IF($DD142="No",1,0))/
IF(DS142&gt;INT($N142),$N142-INT($N142),1))*
IF(EK$44=1,DS142,
IF(INT(DS142)=INT(DR142),0,DS142-INT(DS142)))))</f>
        <v>0</v>
      </c>
      <c r="EL142" s="835">
        <f>+IF(DT142=DS142,0,
IF(AND(EL$44&gt;1,DT142=$N142),1-SUM($EE142:EK142),
IF($N142&lt;=1,
IF($N142&gt;0,1/$N142,0),
IF(EL$44=1,0,VDB(1,0,$N142,INT(EL$44-1-1),MIN($N142,INT(EL$44-1-1)+1),$DC142,IF($DD142="No",1,0))/
IF(DS142&gt;=INT($N142),$N142-INT($N142),1)))*
IF(EL$44=1,0,
IF(INT(DT142)=INT(DS142),DT142-DS142,INT(DT142)-DS142))+
IF($N142&lt;=1,
IF($N142&gt;0,1/$N142,0),VDB(1,0,$N142,INT(EL$44-1),MIN($N142,INT(EL$44-1)+1),$DC142,IF($DD142="No",1,0))/
IF(DT142&gt;INT($N142),$N142-INT($N142),1))*
IF(EL$44=1,DT142,
IF(INT(DT142)=INT(DS142),0,DT142-INT(DT142)))))</f>
        <v>0</v>
      </c>
      <c r="EM142" s="836">
        <f>+IF(DU142=DT142,0,
IF(AND(EM$44&gt;1,DU142=$N142),1-SUM($EE142:EL142),
IF($N142&lt;=1,
IF($N142&gt;0,1/$N142,0),
IF(EM$44=1,0,VDB(1,0,$N142,INT(EM$44-1-1),MIN($N142,INT(EM$44-1-1)+1),$DC142,IF($DD142="No",1,0))/
IF(DT142&gt;=INT($N142),$N142-INT($N142),1)))*
IF(EM$44=1,0,
IF(INT(DU142)=INT(DT142),DU142-DT142,INT(DU142)-DT142))+
IF($N142&lt;=1,
IF($N142&gt;0,1/$N142,0),VDB(1,0,$N142,INT(EM$44-1),MIN($N142,INT(EM$44-1)+1),$DC142,IF($DD142="No",1,0))/
IF(DU142&gt;INT($N142),$N142-INT($N142),1))*
IF(EM$44=1,DU142,
IF(INT(DU142)=INT(DT142),0,DU142-INT(DU142)))))</f>
        <v>0</v>
      </c>
      <c r="EN142" s="833"/>
      <c r="EO142" s="834">
        <f>+IF(OR(DW142=DV142,EO$44=1),0,
IF(AND(EO$44&gt;1,DW142=$N142),1-SUM($EN142:EN142),
IF($N142&lt;=1,
IF($N142&gt;0,1/$N142,0),
IF(EO$44=2,0,VDB(1,0,$N142,INT(EO$44-2-1),MIN($N142,INT(EO$44-2-1)+1),$DC142,IF($DD142="No",1,0))/
IF(DV142&gt;=INT($N142),$N142-INT($N142),1)))*
IF(EO$44=2,0,
IF(INT(DW142)=INT(DV142),DW142-DV142,INT(DW142)-DV142))+
IF($N142&lt;=1,
IF($N142&gt;0,1/$N142,0),VDB(1,0,$N142,INT(EO$44-2),MIN($N142,INT(EO$44-2)+1),$DC142,IF($DD142="No",1,0))/
IF(DW142&gt;INT($N142),$N142-INT($N142),1))*
IF(EO$44=2,DW142,
IF(INT(DW142)=INT(DV142),0,DW142-INT(DW142)))))</f>
        <v>0</v>
      </c>
      <c r="EP142" s="835">
        <f>+IF(OR(DX142=DW142,EP$44=1),0,
IF(AND(EP$44&gt;1,DX142=$N142),1-SUM($EN142:EO142),
IF($N142&lt;=1,
IF($N142&gt;0,1/$N142,0),
IF(EP$44=2,0,VDB(1,0,$N142,INT(EP$44-2-1),MIN($N142,INT(EP$44-2-1)+1),$DC142,IF($DD142="No",1,0))/
IF(DW142&gt;=INT($N142),$N142-INT($N142),1)))*
IF(EP$44=2,0,
IF(INT(DX142)=INT(DW142),DX142-DW142,INT(DX142)-DW142))+
IF($N142&lt;=1,
IF($N142&gt;0,1/$N142,0),VDB(1,0,$N142,INT(EP$44-2),MIN($N142,INT(EP$44-2)+1),$DC142,IF($DD142="No",1,0))/
IF(DX142&gt;INT($N142),$N142-INT($N142),1))*
IF(EP$44=2,DX142,
IF(INT(DX142)=INT(DW142),0,DX142-INT(DX142)))))</f>
        <v>0</v>
      </c>
      <c r="EQ142" s="836">
        <f>+IF(OR(DY142=DX142,EQ$44=1),0,
IF(AND(EQ$44&gt;1,DY142=$N142),1-SUM($EN142:EP142),
IF($N142&lt;=1,
IF($N142&gt;0,1/$N142,0),
IF(EQ$44=2,0,VDB(1,0,$N142,INT(EQ$44-2-1),MIN($N142,INT(EQ$44-2-1)+1),$DC142,IF($DD142="No",1,0))/
IF(DX142&gt;=INT($N142),$N142-INT($N142),1)))*
IF(EQ$44=2,0,
IF(INT(DY142)=INT(DX142),DY142-DX142,INT(DY142)-DX142))+
IF($N142&lt;=1,
IF($N142&gt;0,1/$N142,0),VDB(1,0,$N142,INT(EQ$44-2),MIN($N142,INT(EQ$44-2)+1),$DC142,IF($DD142="No",1,0))/
IF(DY142&gt;INT($N142),$N142-INT($N142),1))*
IF(EQ$44=2,DY142,
IF(INT(DY142)=INT(DX142),0,DY142-INT(DY142)))))</f>
        <v>0</v>
      </c>
      <c r="ER142" s="834">
        <f>+IF(OR(DZ142=DY142,ER$44=1),0,
IF(AND(ER$44&gt;1,DZ142=$N142),1-SUM($EN142:EQ142),
IF($N142&lt;=1,
IF($N142&gt;0,1/$N142,0),
IF(ER$44=2,0,VDB(1,0,$N142,INT(ER$44-2-1),MIN($N142,INT(ER$44-2-1)+1),$DC142,IF($DD142="No",1,0))/
IF(DY142&gt;=INT($N142),$N142-INT($N142),1)))*
IF(ER$44=2,0,
IF(INT(DZ142)=INT(DY142),DZ142-DY142,INT(DZ142)-DY142))+
IF($N142&lt;=1,
IF($N142&gt;0,1/$N142,0),VDB(1,0,$N142,INT(ER$44-2),MIN($N142,INT(ER$44-2)+1),$DC142,IF($DD142="No",1,0))/
IF(DZ142&gt;INT($N142),$N142-INT($N142),1))*
IF(ER$44=2,DZ142,
IF(INT(DZ142)=INT(DY142),0,DZ142-INT(DZ142)))))</f>
        <v>0</v>
      </c>
      <c r="ES142" s="835">
        <f>+IF(OR(EA142=DZ142,ES$44=1),0,
IF(AND(ES$44&gt;1,EA142=$N142),1-SUM($EN142:ER142),
IF($N142&lt;=1,
IF($N142&gt;0,1/$N142,0),
IF(ES$44=2,0,VDB(1,0,$N142,INT(ES$44-2-1),MIN($N142,INT(ES$44-2-1)+1),$DC142,IF($DD142="No",1,0))/
IF(DZ142&gt;=INT($N142),$N142-INT($N142),1)))*
IF(ES$44=2,0,
IF(INT(EA142)=INT(DZ142),EA142-DZ142,INT(EA142)-DZ142))+
IF($N142&lt;=1,
IF($N142&gt;0,1/$N142,0),VDB(1,0,$N142,INT(ES$44-2),MIN($N142,INT(ES$44-2)+1),$DC142,IF($DD142="No",1,0))/
IF(EA142&gt;INT($N142),$N142-INT($N142),1))*
IF(ES$44=2,EA142,
IF(INT(EA142)=INT(DZ142),0,EA142-INT(EA142)))))</f>
        <v>0</v>
      </c>
      <c r="ET142" s="835">
        <f>+IF(OR(EB142=EA142,ET$44=1),0,
IF(AND(ET$44&gt;1,EB142=$N142),1-SUM($EN142:ES142),
IF($N142&lt;=1,
IF($N142&gt;0,1/$N142,0),
IF(ET$44=2,0,VDB(1,0,$N142,INT(ET$44-2-1),MIN($N142,INT(ET$44-2-1)+1),$DC142,IF($DD142="No",1,0))/
IF(EA142&gt;=INT($N142),$N142-INT($N142),1)))*
IF(ET$44=2,0,
IF(INT(EB142)=INT(EA142),EB142-EA142,INT(EB142)-EA142))+
IF($N142&lt;=1,
IF($N142&gt;0,1/$N142,0),VDB(1,0,$N142,INT(ET$44-2),MIN($N142,INT(ET$44-2)+1),$DC142,IF($DD142="No",1,0))/
IF(EB142&gt;INT($N142),$N142-INT($N142),1))*
IF(ET$44=2,EB142,
IF(INT(EB142)=INT(EA142),0,EB142-INT(EB142)))))</f>
        <v>0</v>
      </c>
      <c r="EU142" s="835">
        <f>+IF(OR(EC142=EB142,EU$44=1),0,
IF(AND(EU$44&gt;1,EC142=$N142),1-SUM($EN142:ET142),
IF($N142&lt;=1,
IF($N142&gt;0,1/$N142,0),
IF(EU$44=2,0,VDB(1,0,$N142,INT(EU$44-2-1),MIN($N142,INT(EU$44-2-1)+1),$DC142,IF($DD142="No",1,0))/
IF(EB142&gt;=INT($N142),$N142-INT($N142),1)))*
IF(EU$44=2,0,
IF(INT(EC142)=INT(EB142),EC142-EB142,INT(EC142)-EB142))+
IF($N142&lt;=1,
IF($N142&gt;0,1/$N142,0),VDB(1,0,$N142,INT(EU$44-2),MIN($N142,INT(EU$44-2)+1),$DC142,IF($DD142="No",1,0))/
IF(EC142&gt;INT($N142),$N142-INT($N142),1))*
IF(EU$44=2,EC142,
IF(INT(EC142)=INT(EB142),0,EC142-INT(EC142)))))</f>
        <v>0</v>
      </c>
      <c r="EV142" s="836">
        <f>+IF(OR(ED142=EC142,EV$44=1),0,
IF(AND(EV$44&gt;1,ED142=$N142),1-SUM($EN142:EU142),
IF($N142&lt;=1,
IF($N142&gt;0,1/$N142,0),
IF(EV$44=2,0,VDB(1,0,$N142,INT(EV$44-2-1),MIN($N142,INT(EV$44-2-1)+1),$DC142,IF($DD142="No",1,0))/
IF(EC142&gt;=INT($N142),$N142-INT($N142),1)))*
IF(EV$44=2,0,
IF(INT(ED142)=INT(EC142),ED142-EC142,INT(ED142)-EC142))+
IF($N142&lt;=1,
IF($N142&gt;0,1/$N142,0),VDB(1,0,$N142,INT(EV$44-2),MIN($N142,INT(EV$44-2)+1),$DC142,IF($DD142="No",1,0))/
IF(ED142&gt;INT($N142),$N142-INT($N142),1))*
IF(EV$44=2,ED142,
IF(INT(ED142)=INT(EC142),0,ED142-INT(ED142)))))</f>
        <v>0</v>
      </c>
      <c r="EW142" s="833"/>
      <c r="EX142" s="834">
        <f t="shared" ca="1" si="303"/>
        <v>0</v>
      </c>
      <c r="EY142" s="835">
        <f t="shared" ca="1" si="303"/>
        <v>0</v>
      </c>
      <c r="EZ142" s="836">
        <f t="shared" ca="1" si="303"/>
        <v>0</v>
      </c>
      <c r="FA142" s="834">
        <f t="shared" ca="1" si="303"/>
        <v>0</v>
      </c>
      <c r="FB142" s="835">
        <f t="shared" ca="1" si="303"/>
        <v>0</v>
      </c>
      <c r="FC142" s="835">
        <f t="shared" ca="1" si="303"/>
        <v>0</v>
      </c>
      <c r="FD142" s="835">
        <f t="shared" ca="1" si="303"/>
        <v>0</v>
      </c>
      <c r="FE142" s="836">
        <f t="shared" ca="1" si="303"/>
        <v>0</v>
      </c>
      <c r="FG142" s="386">
        <f t="shared" ca="1" si="293"/>
        <v>0</v>
      </c>
      <c r="FH142" s="387">
        <f t="shared" ca="1" si="294"/>
        <v>0</v>
      </c>
      <c r="FI142" s="388">
        <f t="shared" ca="1" si="295"/>
        <v>0</v>
      </c>
      <c r="FJ142" s="386">
        <f t="shared" ca="1" si="296"/>
        <v>0</v>
      </c>
      <c r="FK142" s="387">
        <f t="shared" ca="1" si="297"/>
        <v>0</v>
      </c>
      <c r="FL142" s="387">
        <f t="shared" ca="1" si="298"/>
        <v>0</v>
      </c>
      <c r="FM142" s="387">
        <f t="shared" ca="1" si="299"/>
        <v>0</v>
      </c>
      <c r="FN142" s="388">
        <f t="shared" ca="1" si="300"/>
        <v>0</v>
      </c>
      <c r="FR142" s="116"/>
    </row>
    <row r="143" spans="2:174">
      <c r="B143" s="1410">
        <f t="shared" si="302"/>
        <v>97</v>
      </c>
      <c r="C143" s="400" t="s">
        <v>647</v>
      </c>
      <c r="D143" s="410"/>
      <c r="E143" s="402" t="s">
        <v>420</v>
      </c>
      <c r="F143" s="402" t="s">
        <v>514</v>
      </c>
      <c r="G143" s="400" t="s">
        <v>522</v>
      </c>
      <c r="H143" s="2088" t="s">
        <v>483</v>
      </c>
      <c r="I143" s="2089"/>
      <c r="J143" s="411" t="s">
        <v>516</v>
      </c>
      <c r="K143" s="403" t="s">
        <v>544</v>
      </c>
      <c r="L143" s="403">
        <v>100</v>
      </c>
      <c r="M143" s="403" t="s">
        <v>142</v>
      </c>
      <c r="N143" s="403"/>
      <c r="O143" s="347"/>
      <c r="P143" s="347"/>
      <c r="Q143" s="1021">
        <v>19.839917824390248</v>
      </c>
      <c r="R143" s="1022">
        <v>13.319960023795362</v>
      </c>
      <c r="S143" s="1022">
        <v>13.832765049839676</v>
      </c>
      <c r="T143" s="1022">
        <v>23.273484318029734</v>
      </c>
      <c r="U143" s="1023">
        <v>12.151469154421873</v>
      </c>
      <c r="V143" s="1021">
        <v>74.015817156463996</v>
      </c>
      <c r="W143" s="1022">
        <v>48.98553282085755</v>
      </c>
      <c r="X143" s="1022">
        <v>53.115893053326594</v>
      </c>
      <c r="Y143" s="1022">
        <v>31.077889195182447</v>
      </c>
      <c r="Z143" s="1023">
        <v>30.351556212556119</v>
      </c>
      <c r="AA143" s="1024"/>
      <c r="AB143" s="1021">
        <v>0</v>
      </c>
      <c r="AC143" s="1022">
        <v>0</v>
      </c>
      <c r="AD143" s="1022">
        <v>0</v>
      </c>
      <c r="AE143" s="1022">
        <v>0</v>
      </c>
      <c r="AF143" s="1023">
        <v>0</v>
      </c>
      <c r="AG143" s="1021">
        <v>0</v>
      </c>
      <c r="AH143" s="1022">
        <v>0</v>
      </c>
      <c r="AI143" s="1022">
        <v>0</v>
      </c>
      <c r="AJ143" s="1022">
        <v>0</v>
      </c>
      <c r="AK143" s="1023">
        <v>0</v>
      </c>
      <c r="AL143" s="1024"/>
      <c r="AM143" s="1021">
        <v>0</v>
      </c>
      <c r="AN143" s="1022">
        <v>0</v>
      </c>
      <c r="AO143" s="1022">
        <v>0</v>
      </c>
      <c r="AP143" s="1022">
        <v>0</v>
      </c>
      <c r="AQ143" s="1023">
        <v>0</v>
      </c>
      <c r="AR143" s="1021">
        <v>0</v>
      </c>
      <c r="AS143" s="1022">
        <v>0</v>
      </c>
      <c r="AT143" s="1022">
        <v>0</v>
      </c>
      <c r="AU143" s="1022">
        <v>0</v>
      </c>
      <c r="AV143" s="1023">
        <v>0</v>
      </c>
      <c r="AW143" s="1025"/>
      <c r="AX143" s="1282">
        <f t="shared" si="247"/>
        <v>19.839917824390248</v>
      </c>
      <c r="AY143" s="387">
        <f t="shared" si="248"/>
        <v>13.319960023795362</v>
      </c>
      <c r="AZ143" s="387">
        <f t="shared" si="249"/>
        <v>13.832765049839676</v>
      </c>
      <c r="BA143" s="387">
        <f t="shared" si="250"/>
        <v>23.273484318029734</v>
      </c>
      <c r="BB143" s="1283">
        <f t="shared" si="251"/>
        <v>12.151469154421873</v>
      </c>
      <c r="BC143" s="386">
        <f t="shared" si="252"/>
        <v>74.015817156463996</v>
      </c>
      <c r="BD143" s="387">
        <f t="shared" si="253"/>
        <v>48.98553282085755</v>
      </c>
      <c r="BE143" s="1277">
        <f t="shared" si="254"/>
        <v>53.115893053326594</v>
      </c>
      <c r="BF143" s="1277">
        <f t="shared" si="255"/>
        <v>31.077889195182447</v>
      </c>
      <c r="BG143" s="388">
        <f t="shared" si="256"/>
        <v>30.351556212556119</v>
      </c>
      <c r="BH143" s="1025"/>
      <c r="BI143" s="1282">
        <f t="shared" ca="1" si="257"/>
        <v>9.9199589121951245E-2</v>
      </c>
      <c r="BJ143" s="387">
        <f t="shared" ca="1" si="258"/>
        <v>0.26499897836287933</v>
      </c>
      <c r="BK143" s="387">
        <f t="shared" ca="1" si="259"/>
        <v>0.40076260373105449</v>
      </c>
      <c r="BL143" s="387">
        <f t="shared" ca="1" si="260"/>
        <v>0.58629385057040151</v>
      </c>
      <c r="BM143" s="1283">
        <f t="shared" ca="1" si="261"/>
        <v>0.76341861793265942</v>
      </c>
      <c r="BN143" s="386">
        <f t="shared" ca="1" si="262"/>
        <v>1.1942550494870887</v>
      </c>
      <c r="BO143" s="387">
        <f t="shared" ca="1" si="263"/>
        <v>1.8092617993736966</v>
      </c>
      <c r="BP143" s="1277">
        <f t="shared" ca="1" si="264"/>
        <v>2.319768928744617</v>
      </c>
      <c r="BQ143" s="1277">
        <f t="shared" ca="1" si="265"/>
        <v>2.7407378399871622</v>
      </c>
      <c r="BR143" s="388">
        <f t="shared" ca="1" si="266"/>
        <v>3.0478850670258546</v>
      </c>
      <c r="BS143" s="1025"/>
      <c r="BT143" s="1282">
        <f>+IF($K143="Ongoing",AX143,IF(RIGHT($K143,2)=RIGHT(BT$43,2),SUM($AX143:AX143),0)+IF(RIGHT(BT$43,2)&gt;RIGHT($K143,2),AX143,0))</f>
        <v>19.839917824390248</v>
      </c>
      <c r="BU143" s="387">
        <f>+IF($K143="Ongoing",AY143,IF(RIGHT($K143,2)=RIGHT(BU$43,2),SUM($AX143:AY143),0)+IF(RIGHT(BU$43,2)&gt;RIGHT($K143,2),AY143,0))</f>
        <v>13.319960023795362</v>
      </c>
      <c r="BV143" s="387">
        <f>+IF($K143="Ongoing",AZ143,IF(RIGHT($K143,2)=RIGHT(BV$43,2),SUM($AX143:AZ143),0)+IF(RIGHT(BV$43,2)&gt;RIGHT($K143,2),AZ143,0))</f>
        <v>13.832765049839676</v>
      </c>
      <c r="BW143" s="387">
        <f>+IF($K143="Ongoing",BA143,IF(RIGHT($K143,2)=RIGHT(BW$43,2),SUM($AX143:BA143),0)+IF(RIGHT(BW$43,2)&gt;RIGHT($K143,2),BA143,0))</f>
        <v>23.273484318029734</v>
      </c>
      <c r="BX143" s="1283">
        <f>+IF($K143="Ongoing",BB143,IF(RIGHT($K143,2)=RIGHT(BX$43,2),SUM($AX143:BB143),0)+IF(RIGHT(BX$43,2)&gt;RIGHT($K143,2),BB143,0))</f>
        <v>12.151469154421873</v>
      </c>
      <c r="BY143" s="386">
        <f>+IF($K143="Ongoing",BC143,IF(RIGHT($K143,2)=RIGHT(BY$43,2),SUM($AX143:BC143),0)+IF(RIGHT(BY$43,2)&gt;RIGHT($K143,2),BC143,0))</f>
        <v>74.015817156463996</v>
      </c>
      <c r="BZ143" s="387">
        <f>+IF($K143="Ongoing",BD143,IF(RIGHT($K143,2)=RIGHT(BZ$43,2),SUM($AX143:BD143),0)+IF(RIGHT(BZ$43,2)&gt;RIGHT($K143,2),BD143,0))</f>
        <v>48.98553282085755</v>
      </c>
      <c r="CA143" s="1277">
        <f>+IF($K143="Ongoing",BE143,IF(RIGHT($K143,2)=RIGHT(CA$43,2),SUM($AX143:BE143),0)+IF(RIGHT(CA$43,2)&gt;RIGHT($K143,2),BE143,0))</f>
        <v>53.115893053326594</v>
      </c>
      <c r="CB143" s="1277">
        <f>+IF($K143="Ongoing",BF143,IF(RIGHT($K143,2)=RIGHT(CB$43,2),SUM($AX143:BF143),0)+IF(RIGHT(CB$43,2)&gt;RIGHT($K143,2),BF143,0))</f>
        <v>31.077889195182447</v>
      </c>
      <c r="CC143" s="388">
        <f>+IF($K143="Ongoing",BG143,IF(RIGHT($K143,2)=RIGHT(CC$43,2),SUM($AX143:BG143),0)+IF(RIGHT(CC$43,2)&gt;RIGHT($K143,2),BG143,0))</f>
        <v>30.351556212556119</v>
      </c>
      <c r="CD143" s="1025"/>
      <c r="CE143" s="1282">
        <f>+Q143*KeyAssumptionsPriceControl_FO!AF$15</f>
        <v>20.415275441297563</v>
      </c>
      <c r="CF143" s="387">
        <f>+R143*KeyAssumptionsPriceControl_FO!AG$15</f>
        <v>14.103719791555504</v>
      </c>
      <c r="CG143" s="387">
        <f>+S143*KeyAssumptionsPriceControl_FO!AH$15</f>
        <v>15.07145304270327</v>
      </c>
      <c r="CH143" s="387">
        <f>+T143*KeyAssumptionsPriceControl_FO!AI$15</f>
        <v>26.092933429719348</v>
      </c>
      <c r="CI143" s="1283">
        <f>+U143*KeyAssumptionsPriceControl_FO!AJ$15</f>
        <v>14.018632880970671</v>
      </c>
      <c r="CJ143" s="386">
        <f>+V143*KeyAssumptionsPriceControl_FO!AK$15</f>
        <v>87.865176713050744</v>
      </c>
      <c r="CK143" s="387">
        <f>+W143*KeyAssumptionsPriceControl_FO!AL$15</f>
        <v>59.837778197571986</v>
      </c>
      <c r="CL143" s="1277">
        <f>+X143*KeyAssumptionsPriceControl_FO!AM$15</f>
        <v>66.764789780745176</v>
      </c>
      <c r="CM143" s="1277">
        <f>+Y143*KeyAssumptionsPriceControl_FO!AN$15</f>
        <v>40.196652445088723</v>
      </c>
      <c r="CN143" s="388">
        <f>+Z143*KeyAssumptionsPriceControl_FO!AO$15</f>
        <v>40.395660274423236</v>
      </c>
      <c r="CO143" s="1025"/>
      <c r="CP143" s="1282">
        <f t="shared" ca="1" si="267"/>
        <v>0</v>
      </c>
      <c r="CQ143" s="387">
        <f t="shared" ca="1" si="268"/>
        <v>0</v>
      </c>
      <c r="CR143" s="387">
        <f t="shared" ca="1" si="269"/>
        <v>0</v>
      </c>
      <c r="CS143" s="387">
        <f t="shared" ca="1" si="270"/>
        <v>0</v>
      </c>
      <c r="CT143" s="1283">
        <f t="shared" ca="1" si="271"/>
        <v>0</v>
      </c>
      <c r="CU143" s="386">
        <f t="shared" ca="1" si="272"/>
        <v>0</v>
      </c>
      <c r="CV143" s="387">
        <f t="shared" ca="1" si="273"/>
        <v>0</v>
      </c>
      <c r="CW143" s="1277">
        <f t="shared" ca="1" si="274"/>
        <v>0</v>
      </c>
      <c r="CX143" s="1277">
        <f t="shared" ca="1" si="275"/>
        <v>0</v>
      </c>
      <c r="CY143" s="388">
        <f t="shared" ca="1" si="276"/>
        <v>0</v>
      </c>
      <c r="CZ143" s="347"/>
      <c r="DA143" s="852"/>
      <c r="DB143" s="347"/>
      <c r="DC143" s="1012" t="s">
        <v>648</v>
      </c>
      <c r="DD143" s="841" t="s">
        <v>518</v>
      </c>
      <c r="DE143" s="386">
        <f>+IF($K143="ongoing",CE143,IF(RIGHT($K143,2)=RIGHT(DE$43,2),SUM($CD143:CE143),0)+IF(RIGHT(DE$43,2)&gt;RIGHT($K143,2),CE143,0))</f>
        <v>20.415275441297563</v>
      </c>
      <c r="DF143" s="387">
        <f>+IF($K143="ongoing",CF143,IF(RIGHT($K143,2)=RIGHT(DF$43,2),SUM($CD143:CF143),0)+IF(RIGHT(DF$43,2)&gt;RIGHT($K143,2),CF143,0))</f>
        <v>14.103719791555504</v>
      </c>
      <c r="DG143" s="388">
        <f>+IF($K143="ongoing",CG143,IF(RIGHT($K143,2)=RIGHT(DG$43,2),SUM($CD143:CG143),0)+IF(RIGHT(DG$43,2)&gt;RIGHT($K143,2),CG143,0))</f>
        <v>15.07145304270327</v>
      </c>
      <c r="DH143" s="386">
        <f>+IF($K143="ongoing",CH143,IF(RIGHT($K143,2)=RIGHT(DH$43,2),SUM($CD143:CH143),0)+IF(RIGHT(DH$43,2)&gt;RIGHT($K143,2),CH143,0))</f>
        <v>26.092933429719348</v>
      </c>
      <c r="DI143" s="387">
        <f>+IF($K143="ongoing",CI143,IF(RIGHT($K143,2)=RIGHT(DI$43,2),SUM($CD143:CI143),0)+IF(RIGHT(DI$43,2)&gt;RIGHT($K143,2),CI143,0))</f>
        <v>14.018632880970671</v>
      </c>
      <c r="DJ143" s="387">
        <f>+IF($K143="ongoing",CJ143,IF(RIGHT($K143,2)=RIGHT(DJ$43,2),SUM($CD143:CJ143),0)+IF(RIGHT(DJ$43,2)&gt;RIGHT($K143,2),CJ143,0))</f>
        <v>87.865176713050744</v>
      </c>
      <c r="DK143" s="387">
        <f>+IF($K143="ongoing",CK143,IF(RIGHT($K143,2)=RIGHT(DK$43,2),SUM($CD143:CK143),0)+IF(RIGHT(DK$43,2)&gt;RIGHT($K143,2),CK143,0))</f>
        <v>59.837778197571986</v>
      </c>
      <c r="DL143" s="388">
        <f>+IF($K143="ongoing",CN143,IF(RIGHT($K143,2)=RIGHT(DL$43,2),SUM($CD143:CN143),0)+IF(RIGHT(DL$43,2)&gt;RIGHT($K143,2),CN143,0))</f>
        <v>40.395660274423236</v>
      </c>
      <c r="DM143" s="841"/>
      <c r="DN143" s="386">
        <f t="shared" si="277"/>
        <v>0.5</v>
      </c>
      <c r="DO143" s="387">
        <f t="shared" si="278"/>
        <v>1</v>
      </c>
      <c r="DP143" s="388">
        <f t="shared" si="279"/>
        <v>1</v>
      </c>
      <c r="DQ143" s="386">
        <f t="shared" si="280"/>
        <v>1</v>
      </c>
      <c r="DR143" s="387">
        <f t="shared" si="281"/>
        <v>1</v>
      </c>
      <c r="DS143" s="387">
        <f t="shared" si="282"/>
        <v>1</v>
      </c>
      <c r="DT143" s="387">
        <f t="shared" si="283"/>
        <v>1</v>
      </c>
      <c r="DU143" s="388">
        <f t="shared" si="284"/>
        <v>1</v>
      </c>
      <c r="DW143" s="386">
        <f t="shared" si="285"/>
        <v>0</v>
      </c>
      <c r="DX143" s="387">
        <f t="shared" si="286"/>
        <v>0.5</v>
      </c>
      <c r="DY143" s="388">
        <f t="shared" si="287"/>
        <v>1</v>
      </c>
      <c r="DZ143" s="386">
        <f t="shared" si="288"/>
        <v>1</v>
      </c>
      <c r="EA143" s="387">
        <f t="shared" si="289"/>
        <v>1</v>
      </c>
      <c r="EB143" s="387">
        <f t="shared" si="290"/>
        <v>1</v>
      </c>
      <c r="EC143" s="387">
        <f t="shared" si="291"/>
        <v>1</v>
      </c>
      <c r="ED143" s="388">
        <f t="shared" si="292"/>
        <v>1</v>
      </c>
      <c r="EF143" s="834">
        <f>+IF(DN143=DM143,0,
IF(AND(EF$44&gt;1,DN143=$N143),1-SUM($EE143:EE143),
IF($N143&lt;=1,
IF($N143&gt;0,1/$N143,0),
IF(EF$44=1,0,VDB(1,0,$N143,INT(EF$44-1-1),MIN($N143,INT(EF$44-1-1)+1),$DC143,IF($DD143="No",1,0))/
IF(DM143&gt;=INT($N143),$N143-INT($N143),1)))*
IF(EF$44=1,0,
IF(INT(DN143)=INT(DM143),DN143-DM143,INT(DN143)-DM143))+
IF($N143&lt;=1,
IF($N143&gt;0,1/$N143,0),VDB(1,0,$N143,INT(EF$44-1),MIN($N143,INT(EF$44-1)+1),$DC143,IF($DD143="No",1,0))/
IF(DN143&gt;INT($N143),$N143-INT($N143),1))*
IF(EF$44=1,DN143,
IF(INT(DN143)=INT(DM143),0,DN143-INT(DN143)))))</f>
        <v>0</v>
      </c>
      <c r="EG143" s="835">
        <f>+IF(DO143=DN143,0,
IF(AND(EG$44&gt;1,DO143=$N143),1-SUM($EE143:EF143),
IF($N143&lt;=1,
IF($N143&gt;0,1/$N143,0),
IF(EG$44=1,0,VDB(1,0,$N143,INT(EG$44-1-1),MIN($N143,INT(EG$44-1-1)+1),$DC143,IF($DD143="No",1,0))/
IF(DN143&gt;=INT($N143),$N143-INT($N143),1)))*
IF(EG$44=1,0,
IF(INT(DO143)=INT(DN143),DO143-DN143,INT(DO143)-DN143))+
IF($N143&lt;=1,
IF($N143&gt;0,1/$N143,0),VDB(1,0,$N143,INT(EG$44-1),MIN($N143,INT(EG$44-1)+1),$DC143,IF($DD143="No",1,0))/
IF(DO143&gt;INT($N143),$N143-INT($N143),1))*
IF(EG$44=1,DO143,
IF(INT(DO143)=INT(DN143),0,DO143-INT(DO143)))))</f>
        <v>0</v>
      </c>
      <c r="EH143" s="836">
        <f>+IF(DP143=DO143,0,
IF(AND(EH$44&gt;1,DP143=$N143),1-SUM($EE143:EG143),
IF($N143&lt;=1,
IF($N143&gt;0,1/$N143,0),
IF(EH$44=1,0,VDB(1,0,$N143,INT(EH$44-1-1),MIN($N143,INT(EH$44-1-1)+1),$DC143,IF($DD143="No",1,0))/
IF(DO143&gt;=INT($N143),$N143-INT($N143),1)))*
IF(EH$44=1,0,
IF(INT(DP143)=INT(DO143),DP143-DO143,INT(DP143)-DO143))+
IF($N143&lt;=1,
IF($N143&gt;0,1/$N143,0),VDB(1,0,$N143,INT(EH$44-1),MIN($N143,INT(EH$44-1)+1),$DC143,IF($DD143="No",1,0))/
IF(DP143&gt;INT($N143),$N143-INT($N143),1))*
IF(EH$44=1,DP143,
IF(INT(DP143)=INT(DO143),0,DP143-INT(DP143)))))</f>
        <v>0</v>
      </c>
      <c r="EI143" s="834">
        <f>+IF(DQ143=DP143,0,
IF(AND(EI$44&gt;1,DQ143=$N143),1-SUM($EE143:EH143),
IF($N143&lt;=1,
IF($N143&gt;0,1/$N143,0),
IF(EI$44=1,0,VDB(1,0,$N143,INT(EI$44-1-1),MIN($N143,INT(EI$44-1-1)+1),$DC143,IF($DD143="No",1,0))/
IF(DP143&gt;=INT($N143),$N143-INT($N143),1)))*
IF(EI$44=1,0,
IF(INT(DQ143)=INT(DP143),DQ143-DP143,INT(DQ143)-DP143))+
IF($N143&lt;=1,
IF($N143&gt;0,1/$N143,0),VDB(1,0,$N143,INT(EI$44-1),MIN($N143,INT(EI$44-1)+1),$DC143,IF($DD143="No",1,0))/
IF(DQ143&gt;INT($N143),$N143-INT($N143),1))*
IF(EI$44=1,DQ143,
IF(INT(DQ143)=INT(DP143),0,DQ143-INT(DQ143)))))</f>
        <v>0</v>
      </c>
      <c r="EJ143" s="835">
        <f>+IF(DR143=DQ143,0,
IF(AND(EJ$44&gt;1,DR143=$N143),1-SUM($EE143:EI143),
IF($N143&lt;=1,
IF($N143&gt;0,1/$N143,0),
IF(EJ$44=1,0,VDB(1,0,$N143,INT(EJ$44-1-1),MIN($N143,INT(EJ$44-1-1)+1),$DC143,IF($DD143="No",1,0))/
IF(DQ143&gt;=INT($N143),$N143-INT($N143),1)))*
IF(EJ$44=1,0,
IF(INT(DR143)=INT(DQ143),DR143-DQ143,INT(DR143)-DQ143))+
IF($N143&lt;=1,
IF($N143&gt;0,1/$N143,0),VDB(1,0,$N143,INT(EJ$44-1),MIN($N143,INT(EJ$44-1)+1),$DC143,IF($DD143="No",1,0))/
IF(DR143&gt;INT($N143),$N143-INT($N143),1))*
IF(EJ$44=1,DR143,
IF(INT(DR143)=INT(DQ143),0,DR143-INT(DR143)))))</f>
        <v>0</v>
      </c>
      <c r="EK143" s="835">
        <f>+IF(DS143=DR143,0,
IF(AND(EK$44&gt;1,DS143=$N143),1-SUM($EE143:EJ143),
IF($N143&lt;=1,
IF($N143&gt;0,1/$N143,0),
IF(EK$44=1,0,VDB(1,0,$N143,INT(EK$44-1-1),MIN($N143,INT(EK$44-1-1)+1),$DC143,IF($DD143="No",1,0))/
IF(DR143&gt;=INT($N143),$N143-INT($N143),1)))*
IF(EK$44=1,0,
IF(INT(DS143)=INT(DR143),DS143-DR143,INT(DS143)-DR143))+
IF($N143&lt;=1,
IF($N143&gt;0,1/$N143,0),VDB(1,0,$N143,INT(EK$44-1),MIN($N143,INT(EK$44-1)+1),$DC143,IF($DD143="No",1,0))/
IF(DS143&gt;INT($N143),$N143-INT($N143),1))*
IF(EK$44=1,DS143,
IF(INT(DS143)=INT(DR143),0,DS143-INT(DS143)))))</f>
        <v>0</v>
      </c>
      <c r="EL143" s="835">
        <f>+IF(DT143=DS143,0,
IF(AND(EL$44&gt;1,DT143=$N143),1-SUM($EE143:EK143),
IF($N143&lt;=1,
IF($N143&gt;0,1/$N143,0),
IF(EL$44=1,0,VDB(1,0,$N143,INT(EL$44-1-1),MIN($N143,INT(EL$44-1-1)+1),$DC143,IF($DD143="No",1,0))/
IF(DS143&gt;=INT($N143),$N143-INT($N143),1)))*
IF(EL$44=1,0,
IF(INT(DT143)=INT(DS143),DT143-DS143,INT(DT143)-DS143))+
IF($N143&lt;=1,
IF($N143&gt;0,1/$N143,0),VDB(1,0,$N143,INT(EL$44-1),MIN($N143,INT(EL$44-1)+1),$DC143,IF($DD143="No",1,0))/
IF(DT143&gt;INT($N143),$N143-INT($N143),1))*
IF(EL$44=1,DT143,
IF(INT(DT143)=INT(DS143),0,DT143-INT(DT143)))))</f>
        <v>0</v>
      </c>
      <c r="EM143" s="836">
        <f>+IF(DU143=DT143,0,
IF(AND(EM$44&gt;1,DU143=$N143),1-SUM($EE143:EL143),
IF($N143&lt;=1,
IF($N143&gt;0,1/$N143,0),
IF(EM$44=1,0,VDB(1,0,$N143,INT(EM$44-1-1),MIN($N143,INT(EM$44-1-1)+1),$DC143,IF($DD143="No",1,0))/
IF(DT143&gt;=INT($N143),$N143-INT($N143),1)))*
IF(EM$44=1,0,
IF(INT(DU143)=INT(DT143),DU143-DT143,INT(DU143)-DT143))+
IF($N143&lt;=1,
IF($N143&gt;0,1/$N143,0),VDB(1,0,$N143,INT(EM$44-1),MIN($N143,INT(EM$44-1)+1),$DC143,IF($DD143="No",1,0))/
IF(DU143&gt;INT($N143),$N143-INT($N143),1))*
IF(EM$44=1,DU143,
IF(INT(DU143)=INT(DT143),0,DU143-INT(DU143)))))</f>
        <v>0</v>
      </c>
      <c r="EN143" s="833"/>
      <c r="EO143" s="834">
        <f>+IF(OR(DW143=DV143,EO$44=1),0,
IF(AND(EO$44&gt;1,DW143=$N143),1-SUM($EN143:EN143),
IF($N143&lt;=1,
IF($N143&gt;0,1/$N143,0),
IF(EO$44=2,0,VDB(1,0,$N143,INT(EO$44-2-1),MIN($N143,INT(EO$44-2-1)+1),$DC143,IF($DD143="No",1,0))/
IF(DV143&gt;=INT($N143),$N143-INT($N143),1)))*
IF(EO$44=2,0,
IF(INT(DW143)=INT(DV143),DW143-DV143,INT(DW143)-DV143))+
IF($N143&lt;=1,
IF($N143&gt;0,1/$N143,0),VDB(1,0,$N143,INT(EO$44-2),MIN($N143,INT(EO$44-2)+1),$DC143,IF($DD143="No",1,0))/
IF(DW143&gt;INT($N143),$N143-INT($N143),1))*
IF(EO$44=2,DW143,
IF(INT(DW143)=INT(DV143),0,DW143-INT(DW143)))))</f>
        <v>0</v>
      </c>
      <c r="EP143" s="835">
        <f>+IF(OR(DX143=DW143,EP$44=1),0,
IF(AND(EP$44&gt;1,DX143=$N143),1-SUM($EN143:EO143),
IF($N143&lt;=1,
IF($N143&gt;0,1/$N143,0),
IF(EP$44=2,0,VDB(1,0,$N143,INT(EP$44-2-1),MIN($N143,INT(EP$44-2-1)+1),$DC143,IF($DD143="No",1,0))/
IF(DW143&gt;=INT($N143),$N143-INT($N143),1)))*
IF(EP$44=2,0,
IF(INT(DX143)=INT(DW143),DX143-DW143,INT(DX143)-DW143))+
IF($N143&lt;=1,
IF($N143&gt;0,1/$N143,0),VDB(1,0,$N143,INT(EP$44-2),MIN($N143,INT(EP$44-2)+1),$DC143,IF($DD143="No",1,0))/
IF(DX143&gt;INT($N143),$N143-INT($N143),1))*
IF(EP$44=2,DX143,
IF(INT(DX143)=INT(DW143),0,DX143-INT(DX143)))))</f>
        <v>0</v>
      </c>
      <c r="EQ143" s="836">
        <f>+IF(OR(DY143=DX143,EQ$44=1),0,
IF(AND(EQ$44&gt;1,DY143=$N143),1-SUM($EN143:EP143),
IF($N143&lt;=1,
IF($N143&gt;0,1/$N143,0),
IF(EQ$44=2,0,VDB(1,0,$N143,INT(EQ$44-2-1),MIN($N143,INT(EQ$44-2-1)+1),$DC143,IF($DD143="No",1,0))/
IF(DX143&gt;=INT($N143),$N143-INT($N143),1)))*
IF(EQ$44=2,0,
IF(INT(DY143)=INT(DX143),DY143-DX143,INT(DY143)-DX143))+
IF($N143&lt;=1,
IF($N143&gt;0,1/$N143,0),VDB(1,0,$N143,INT(EQ$44-2),MIN($N143,INT(EQ$44-2)+1),$DC143,IF($DD143="No",1,0))/
IF(DY143&gt;INT($N143),$N143-INT($N143),1))*
IF(EQ$44=2,DY143,
IF(INT(DY143)=INT(DX143),0,DY143-INT(DY143)))))</f>
        <v>0</v>
      </c>
      <c r="ER143" s="834">
        <f>+IF(OR(DZ143=DY143,ER$44=1),0,
IF(AND(ER$44&gt;1,DZ143=$N143),1-SUM($EN143:EQ143),
IF($N143&lt;=1,
IF($N143&gt;0,1/$N143,0),
IF(ER$44=2,0,VDB(1,0,$N143,INT(ER$44-2-1),MIN($N143,INT(ER$44-2-1)+1),$DC143,IF($DD143="No",1,0))/
IF(DY143&gt;=INT($N143),$N143-INT($N143),1)))*
IF(ER$44=2,0,
IF(INT(DZ143)=INT(DY143),DZ143-DY143,INT(DZ143)-DY143))+
IF($N143&lt;=1,
IF($N143&gt;0,1/$N143,0),VDB(1,0,$N143,INT(ER$44-2),MIN($N143,INT(ER$44-2)+1),$DC143,IF($DD143="No",1,0))/
IF(DZ143&gt;INT($N143),$N143-INT($N143),1))*
IF(ER$44=2,DZ143,
IF(INT(DZ143)=INT(DY143),0,DZ143-INT(DZ143)))))</f>
        <v>0</v>
      </c>
      <c r="ES143" s="835">
        <f>+IF(OR(EA143=DZ143,ES$44=1),0,
IF(AND(ES$44&gt;1,EA143=$N143),1-SUM($EN143:ER143),
IF($N143&lt;=1,
IF($N143&gt;0,1/$N143,0),
IF(ES$44=2,0,VDB(1,0,$N143,INT(ES$44-2-1),MIN($N143,INT(ES$44-2-1)+1),$DC143,IF($DD143="No",1,0))/
IF(DZ143&gt;=INT($N143),$N143-INT($N143),1)))*
IF(ES$44=2,0,
IF(INT(EA143)=INT(DZ143),EA143-DZ143,INT(EA143)-DZ143))+
IF($N143&lt;=1,
IF($N143&gt;0,1/$N143,0),VDB(1,0,$N143,INT(ES$44-2),MIN($N143,INT(ES$44-2)+1),$DC143,IF($DD143="No",1,0))/
IF(EA143&gt;INT($N143),$N143-INT($N143),1))*
IF(ES$44=2,EA143,
IF(INT(EA143)=INT(DZ143),0,EA143-INT(EA143)))))</f>
        <v>0</v>
      </c>
      <c r="ET143" s="835">
        <f>+IF(OR(EB143=EA143,ET$44=1),0,
IF(AND(ET$44&gt;1,EB143=$N143),1-SUM($EN143:ES143),
IF($N143&lt;=1,
IF($N143&gt;0,1/$N143,0),
IF(ET$44=2,0,VDB(1,0,$N143,INT(ET$44-2-1),MIN($N143,INT(ET$44-2-1)+1),$DC143,IF($DD143="No",1,0))/
IF(EA143&gt;=INT($N143),$N143-INT($N143),1)))*
IF(ET$44=2,0,
IF(INT(EB143)=INT(EA143),EB143-EA143,INT(EB143)-EA143))+
IF($N143&lt;=1,
IF($N143&gt;0,1/$N143,0),VDB(1,0,$N143,INT(ET$44-2),MIN($N143,INT(ET$44-2)+1),$DC143,IF($DD143="No",1,0))/
IF(EB143&gt;INT($N143),$N143-INT($N143),1))*
IF(ET$44=2,EB143,
IF(INT(EB143)=INT(EA143),0,EB143-INT(EB143)))))</f>
        <v>0</v>
      </c>
      <c r="EU143" s="835">
        <f>+IF(OR(EC143=EB143,EU$44=1),0,
IF(AND(EU$44&gt;1,EC143=$N143),1-SUM($EN143:ET143),
IF($N143&lt;=1,
IF($N143&gt;0,1/$N143,0),
IF(EU$44=2,0,VDB(1,0,$N143,INT(EU$44-2-1),MIN($N143,INT(EU$44-2-1)+1),$DC143,IF($DD143="No",1,0))/
IF(EB143&gt;=INT($N143),$N143-INT($N143),1)))*
IF(EU$44=2,0,
IF(INT(EC143)=INT(EB143),EC143-EB143,INT(EC143)-EB143))+
IF($N143&lt;=1,
IF($N143&gt;0,1/$N143,0),VDB(1,0,$N143,INT(EU$44-2),MIN($N143,INT(EU$44-2)+1),$DC143,IF($DD143="No",1,0))/
IF(EC143&gt;INT($N143),$N143-INT($N143),1))*
IF(EU$44=2,EC143,
IF(INT(EC143)=INT(EB143),0,EC143-INT(EC143)))))</f>
        <v>0</v>
      </c>
      <c r="EV143" s="836">
        <f>+IF(OR(ED143=EC143,EV$44=1),0,
IF(AND(EV$44&gt;1,ED143=$N143),1-SUM($EN143:EU143),
IF($N143&lt;=1,
IF($N143&gt;0,1/$N143,0),
IF(EV$44=2,0,VDB(1,0,$N143,INT(EV$44-2-1),MIN($N143,INT(EV$44-2-1)+1),$DC143,IF($DD143="No",1,0))/
IF(EC143&gt;=INT($N143),$N143-INT($N143),1)))*
IF(EV$44=2,0,
IF(INT(ED143)=INT(EC143),ED143-EC143,INT(ED143)-EC143))+
IF($N143&lt;=1,
IF($N143&gt;0,1/$N143,0),VDB(1,0,$N143,INT(EV$44-2),MIN($N143,INT(EV$44-2)+1),$DC143,IF($DD143="No",1,0))/
IF(ED143&gt;INT($N143),$N143-INT($N143),1))*
IF(EV$44=2,ED143,
IF(INT(ED143)=INT(EC143),0,ED143-INT(ED143)))))</f>
        <v>0</v>
      </c>
      <c r="EW143" s="833"/>
      <c r="EX143" s="834">
        <f t="shared" ca="1" si="303"/>
        <v>0</v>
      </c>
      <c r="EY143" s="835">
        <f t="shared" ca="1" si="303"/>
        <v>0</v>
      </c>
      <c r="EZ143" s="836">
        <f t="shared" ca="1" si="303"/>
        <v>0</v>
      </c>
      <c r="FA143" s="834">
        <f t="shared" ca="1" si="303"/>
        <v>0</v>
      </c>
      <c r="FB143" s="835">
        <f t="shared" ca="1" si="303"/>
        <v>0</v>
      </c>
      <c r="FC143" s="835">
        <f t="shared" ca="1" si="303"/>
        <v>0</v>
      </c>
      <c r="FD143" s="835">
        <f t="shared" ca="1" si="303"/>
        <v>0</v>
      </c>
      <c r="FE143" s="836">
        <f t="shared" ca="1" si="303"/>
        <v>0</v>
      </c>
      <c r="FG143" s="386">
        <f t="shared" ca="1" si="293"/>
        <v>0</v>
      </c>
      <c r="FH143" s="387">
        <f t="shared" ca="1" si="294"/>
        <v>0</v>
      </c>
      <c r="FI143" s="388">
        <f t="shared" ca="1" si="295"/>
        <v>0</v>
      </c>
      <c r="FJ143" s="386">
        <f t="shared" ca="1" si="296"/>
        <v>0</v>
      </c>
      <c r="FK143" s="387">
        <f t="shared" ca="1" si="297"/>
        <v>0</v>
      </c>
      <c r="FL143" s="387">
        <f t="shared" ca="1" si="298"/>
        <v>0</v>
      </c>
      <c r="FM143" s="387">
        <f t="shared" ca="1" si="299"/>
        <v>0</v>
      </c>
      <c r="FN143" s="388">
        <f t="shared" ca="1" si="300"/>
        <v>0</v>
      </c>
      <c r="FR143" s="116"/>
    </row>
    <row r="144" spans="2:174">
      <c r="B144" s="1410">
        <f t="shared" si="302"/>
        <v>98</v>
      </c>
      <c r="C144" s="400" t="s">
        <v>649</v>
      </c>
      <c r="D144" s="410"/>
      <c r="E144" s="402" t="s">
        <v>420</v>
      </c>
      <c r="F144" s="402" t="s">
        <v>514</v>
      </c>
      <c r="G144" s="400" t="s">
        <v>522</v>
      </c>
      <c r="H144" s="2088" t="s">
        <v>483</v>
      </c>
      <c r="I144" s="2089"/>
      <c r="J144" s="411" t="s">
        <v>516</v>
      </c>
      <c r="K144" s="403" t="s">
        <v>544</v>
      </c>
      <c r="L144" s="403">
        <v>25</v>
      </c>
      <c r="M144" s="403" t="s">
        <v>142</v>
      </c>
      <c r="N144" s="403"/>
      <c r="O144" s="347"/>
      <c r="P144" s="347"/>
      <c r="Q144" s="1021">
        <v>2.6006955121951219</v>
      </c>
      <c r="R144" s="1022">
        <v>2.6169765615704939</v>
      </c>
      <c r="S144" s="1022">
        <v>2.1941643330770018</v>
      </c>
      <c r="T144" s="1022">
        <v>2.0536768679304447</v>
      </c>
      <c r="U144" s="1023">
        <v>2.0071226053752627</v>
      </c>
      <c r="V144" s="1021">
        <v>2.0219136913041917</v>
      </c>
      <c r="W144" s="1022">
        <v>2.0214930586866497</v>
      </c>
      <c r="X144" s="1022">
        <v>2.0201798641733495</v>
      </c>
      <c r="Y144" s="1022">
        <v>2.0196395126566191</v>
      </c>
      <c r="Z144" s="1023">
        <v>1.8667001416692841</v>
      </c>
      <c r="AA144" s="1024"/>
      <c r="AB144" s="1021">
        <v>0</v>
      </c>
      <c r="AC144" s="1022">
        <v>0</v>
      </c>
      <c r="AD144" s="1022">
        <v>0</v>
      </c>
      <c r="AE144" s="1022">
        <v>0</v>
      </c>
      <c r="AF144" s="1023">
        <v>0</v>
      </c>
      <c r="AG144" s="1021">
        <v>0</v>
      </c>
      <c r="AH144" s="1022">
        <v>0</v>
      </c>
      <c r="AI144" s="1022">
        <v>0</v>
      </c>
      <c r="AJ144" s="1022">
        <v>0</v>
      </c>
      <c r="AK144" s="1023">
        <v>0</v>
      </c>
      <c r="AL144" s="1024"/>
      <c r="AM144" s="1021">
        <v>0</v>
      </c>
      <c r="AN144" s="1022">
        <v>0</v>
      </c>
      <c r="AO144" s="1022">
        <v>0</v>
      </c>
      <c r="AP144" s="1022">
        <v>0</v>
      </c>
      <c r="AQ144" s="1023">
        <v>0</v>
      </c>
      <c r="AR144" s="1021">
        <v>0</v>
      </c>
      <c r="AS144" s="1022">
        <v>0</v>
      </c>
      <c r="AT144" s="1022">
        <v>0</v>
      </c>
      <c r="AU144" s="1022">
        <v>0</v>
      </c>
      <c r="AV144" s="1023">
        <v>0</v>
      </c>
      <c r="AW144" s="1025"/>
      <c r="AX144" s="1282">
        <f t="shared" si="247"/>
        <v>2.6006955121951219</v>
      </c>
      <c r="AY144" s="387">
        <f t="shared" si="248"/>
        <v>2.6169765615704939</v>
      </c>
      <c r="AZ144" s="387">
        <f t="shared" si="249"/>
        <v>2.1941643330770018</v>
      </c>
      <c r="BA144" s="387">
        <f t="shared" si="250"/>
        <v>2.0536768679304447</v>
      </c>
      <c r="BB144" s="1283">
        <f t="shared" si="251"/>
        <v>2.0071226053752627</v>
      </c>
      <c r="BC144" s="386">
        <f t="shared" si="252"/>
        <v>2.0219136913041917</v>
      </c>
      <c r="BD144" s="387">
        <f t="shared" si="253"/>
        <v>2.0214930586866497</v>
      </c>
      <c r="BE144" s="1277">
        <f t="shared" si="254"/>
        <v>2.0201798641733495</v>
      </c>
      <c r="BF144" s="1277">
        <f t="shared" si="255"/>
        <v>2.0196395126566191</v>
      </c>
      <c r="BG144" s="388">
        <f t="shared" si="256"/>
        <v>1.8667001416692841</v>
      </c>
      <c r="BH144" s="1025"/>
      <c r="BI144" s="1282">
        <f t="shared" ca="1" si="257"/>
        <v>5.2013910243902436E-2</v>
      </c>
      <c r="BJ144" s="387">
        <f t="shared" ca="1" si="258"/>
        <v>0.15636735171921476</v>
      </c>
      <c r="BK144" s="387">
        <f t="shared" ca="1" si="259"/>
        <v>0.25259016961216468</v>
      </c>
      <c r="BL144" s="387">
        <f t="shared" ca="1" si="260"/>
        <v>0.33754699363231361</v>
      </c>
      <c r="BM144" s="1283">
        <f t="shared" ca="1" si="261"/>
        <v>0.41876298309842774</v>
      </c>
      <c r="BN144" s="386">
        <f t="shared" ca="1" si="262"/>
        <v>0.4993437090320168</v>
      </c>
      <c r="BO144" s="387">
        <f t="shared" ca="1" si="263"/>
        <v>0.58021184403183368</v>
      </c>
      <c r="BP144" s="1277">
        <f t="shared" ca="1" si="264"/>
        <v>0.66104530248903359</v>
      </c>
      <c r="BQ144" s="1277">
        <f t="shared" ca="1" si="265"/>
        <v>0.74184169002563294</v>
      </c>
      <c r="BR144" s="388">
        <f t="shared" ca="1" si="266"/>
        <v>0.81956848311215114</v>
      </c>
      <c r="BS144" s="1025"/>
      <c r="BT144" s="1282">
        <f>+IF($K144="Ongoing",AX144,IF(RIGHT($K144,2)=RIGHT(BT$43,2),SUM($AX144:AX144),0)+IF(RIGHT(BT$43,2)&gt;RIGHT($K144,2),AX144,0))</f>
        <v>2.6006955121951219</v>
      </c>
      <c r="BU144" s="387">
        <f>+IF($K144="Ongoing",AY144,IF(RIGHT($K144,2)=RIGHT(BU$43,2),SUM($AX144:AY144),0)+IF(RIGHT(BU$43,2)&gt;RIGHT($K144,2),AY144,0))</f>
        <v>2.6169765615704939</v>
      </c>
      <c r="BV144" s="387">
        <f>+IF($K144="Ongoing",AZ144,IF(RIGHT($K144,2)=RIGHT(BV$43,2),SUM($AX144:AZ144),0)+IF(RIGHT(BV$43,2)&gt;RIGHT($K144,2),AZ144,0))</f>
        <v>2.1941643330770018</v>
      </c>
      <c r="BW144" s="387">
        <f>+IF($K144="Ongoing",BA144,IF(RIGHT($K144,2)=RIGHT(BW$43,2),SUM($AX144:BA144),0)+IF(RIGHT(BW$43,2)&gt;RIGHT($K144,2),BA144,0))</f>
        <v>2.0536768679304447</v>
      </c>
      <c r="BX144" s="1283">
        <f>+IF($K144="Ongoing",BB144,IF(RIGHT($K144,2)=RIGHT(BX$43,2),SUM($AX144:BB144),0)+IF(RIGHT(BX$43,2)&gt;RIGHT($K144,2),BB144,0))</f>
        <v>2.0071226053752627</v>
      </c>
      <c r="BY144" s="386">
        <f>+IF($K144="Ongoing",BC144,IF(RIGHT($K144,2)=RIGHT(BY$43,2),SUM($AX144:BC144),0)+IF(RIGHT(BY$43,2)&gt;RIGHT($K144,2),BC144,0))</f>
        <v>2.0219136913041917</v>
      </c>
      <c r="BZ144" s="387">
        <f>+IF($K144="Ongoing",BD144,IF(RIGHT($K144,2)=RIGHT(BZ$43,2),SUM($AX144:BD144),0)+IF(RIGHT(BZ$43,2)&gt;RIGHT($K144,2),BD144,0))</f>
        <v>2.0214930586866497</v>
      </c>
      <c r="CA144" s="1277">
        <f>+IF($K144="Ongoing",BE144,IF(RIGHT($K144,2)=RIGHT(CA$43,2),SUM($AX144:BE144),0)+IF(RIGHT(CA$43,2)&gt;RIGHT($K144,2),BE144,0))</f>
        <v>2.0201798641733495</v>
      </c>
      <c r="CB144" s="1277">
        <f>+IF($K144="Ongoing",BF144,IF(RIGHT($K144,2)=RIGHT(CB$43,2),SUM($AX144:BF144),0)+IF(RIGHT(CB$43,2)&gt;RIGHT($K144,2),BF144,0))</f>
        <v>2.0196395126566191</v>
      </c>
      <c r="CC144" s="388">
        <f>+IF($K144="Ongoing",BG144,IF(RIGHT($K144,2)=RIGHT(CC$43,2),SUM($AX144:BG144),0)+IF(RIGHT(CC$43,2)&gt;RIGHT($K144,2),BG144,0))</f>
        <v>1.8667001416692841</v>
      </c>
      <c r="CD144" s="1025"/>
      <c r="CE144" s="1282">
        <f>+Q144*KeyAssumptionsPriceControl_FO!AF$15</f>
        <v>2.6761156820487804</v>
      </c>
      <c r="CF144" s="387">
        <f>+R144*KeyAssumptionsPriceControl_FO!AG$15</f>
        <v>2.7709620794298631</v>
      </c>
      <c r="CG144" s="387">
        <f>+S144*KeyAssumptionsPriceControl_FO!AH$15</f>
        <v>2.3906460201409732</v>
      </c>
      <c r="CH144" s="387">
        <f>+T144*KeyAssumptionsPriceControl_FO!AI$15</f>
        <v>2.3024680391131094</v>
      </c>
      <c r="CI144" s="1283">
        <f>+U144*KeyAssumptionsPriceControl_FO!AJ$15</f>
        <v>2.315531940564914</v>
      </c>
      <c r="CJ144" s="386">
        <f>+V144*KeyAssumptionsPriceControl_FO!AK$15</f>
        <v>2.4002410648176489</v>
      </c>
      <c r="CK144" s="387">
        <f>+W144*KeyAssumptionsPriceControl_FO!AL$15</f>
        <v>2.4693342362118567</v>
      </c>
      <c r="CL144" s="1277">
        <f>+X144*KeyAssumptionsPriceControl_FO!AM$15</f>
        <v>2.5392942902309126</v>
      </c>
      <c r="CM144" s="1277">
        <f>+Y144*KeyAssumptionsPriceControl_FO!AN$15</f>
        <v>2.612234925118758</v>
      </c>
      <c r="CN144" s="388">
        <f>+Z144*KeyAssumptionsPriceControl_FO!AO$15</f>
        <v>2.4844388284082521</v>
      </c>
      <c r="CO144" s="1025"/>
      <c r="CP144" s="1282">
        <f t="shared" ca="1" si="267"/>
        <v>0</v>
      </c>
      <c r="CQ144" s="387">
        <f t="shared" ca="1" si="268"/>
        <v>0</v>
      </c>
      <c r="CR144" s="387">
        <f t="shared" ca="1" si="269"/>
        <v>0</v>
      </c>
      <c r="CS144" s="387">
        <f t="shared" ca="1" si="270"/>
        <v>0</v>
      </c>
      <c r="CT144" s="1283">
        <f t="shared" ca="1" si="271"/>
        <v>0</v>
      </c>
      <c r="CU144" s="386">
        <f t="shared" ca="1" si="272"/>
        <v>0</v>
      </c>
      <c r="CV144" s="387">
        <f t="shared" ca="1" si="273"/>
        <v>0</v>
      </c>
      <c r="CW144" s="1277">
        <f t="shared" ca="1" si="274"/>
        <v>0</v>
      </c>
      <c r="CX144" s="1277">
        <f t="shared" ca="1" si="275"/>
        <v>0</v>
      </c>
      <c r="CY144" s="388">
        <f t="shared" ca="1" si="276"/>
        <v>0</v>
      </c>
      <c r="CZ144" s="347"/>
      <c r="DA144" s="852"/>
      <c r="DB144" s="347"/>
      <c r="DC144" s="1012" t="s">
        <v>650</v>
      </c>
      <c r="DD144" s="841" t="s">
        <v>518</v>
      </c>
      <c r="DE144" s="386">
        <f>+IF($K144="ongoing",CE144,IF(RIGHT($K144,2)=RIGHT(DE$43,2),SUM($CD144:CE144),0)+IF(RIGHT(DE$43,2)&gt;RIGHT($K144,2),CE144,0))</f>
        <v>2.6761156820487804</v>
      </c>
      <c r="DF144" s="387">
        <f>+IF($K144="ongoing",CF144,IF(RIGHT($K144,2)=RIGHT(DF$43,2),SUM($CD144:CF144),0)+IF(RIGHT(DF$43,2)&gt;RIGHT($K144,2),CF144,0))</f>
        <v>2.7709620794298631</v>
      </c>
      <c r="DG144" s="388">
        <f>+IF($K144="ongoing",CG144,IF(RIGHT($K144,2)=RIGHT(DG$43,2),SUM($CD144:CG144),0)+IF(RIGHT(DG$43,2)&gt;RIGHT($K144,2),CG144,0))</f>
        <v>2.3906460201409732</v>
      </c>
      <c r="DH144" s="386">
        <f>+IF($K144="ongoing",CH144,IF(RIGHT($K144,2)=RIGHT(DH$43,2),SUM($CD144:CH144),0)+IF(RIGHT(DH$43,2)&gt;RIGHT($K144,2),CH144,0))</f>
        <v>2.3024680391131094</v>
      </c>
      <c r="DI144" s="387">
        <f>+IF($K144="ongoing",CI144,IF(RIGHT($K144,2)=RIGHT(DI$43,2),SUM($CD144:CI144),0)+IF(RIGHT(DI$43,2)&gt;RIGHT($K144,2),CI144,0))</f>
        <v>2.315531940564914</v>
      </c>
      <c r="DJ144" s="387">
        <f>+IF($K144="ongoing",CJ144,IF(RIGHT($K144,2)=RIGHT(DJ$43,2),SUM($CD144:CJ144),0)+IF(RIGHT(DJ$43,2)&gt;RIGHT($K144,2),CJ144,0))</f>
        <v>2.4002410648176489</v>
      </c>
      <c r="DK144" s="387">
        <f>+IF($K144="ongoing",CK144,IF(RIGHT($K144,2)=RIGHT(DK$43,2),SUM($CD144:CK144),0)+IF(RIGHT(DK$43,2)&gt;RIGHT($K144,2),CK144,0))</f>
        <v>2.4693342362118567</v>
      </c>
      <c r="DL144" s="388">
        <f>+IF($K144="ongoing",CN144,IF(RIGHT($K144,2)=RIGHT(DL$43,2),SUM($CD144:CN144),0)+IF(RIGHT(DL$43,2)&gt;RIGHT($K144,2),CN144,0))</f>
        <v>2.4844388284082521</v>
      </c>
      <c r="DM144" s="841"/>
      <c r="DN144" s="386">
        <f t="shared" si="277"/>
        <v>0.5</v>
      </c>
      <c r="DO144" s="387">
        <f t="shared" si="278"/>
        <v>1</v>
      </c>
      <c r="DP144" s="388">
        <f t="shared" si="279"/>
        <v>1</v>
      </c>
      <c r="DQ144" s="386">
        <f t="shared" si="280"/>
        <v>1</v>
      </c>
      <c r="DR144" s="387">
        <f t="shared" si="281"/>
        <v>1</v>
      </c>
      <c r="DS144" s="387">
        <f t="shared" si="282"/>
        <v>1</v>
      </c>
      <c r="DT144" s="387">
        <f t="shared" si="283"/>
        <v>1</v>
      </c>
      <c r="DU144" s="388">
        <f t="shared" si="284"/>
        <v>1</v>
      </c>
      <c r="DW144" s="386">
        <f t="shared" si="285"/>
        <v>0</v>
      </c>
      <c r="DX144" s="387">
        <f t="shared" si="286"/>
        <v>0.5</v>
      </c>
      <c r="DY144" s="388">
        <f t="shared" si="287"/>
        <v>1</v>
      </c>
      <c r="DZ144" s="386">
        <f t="shared" si="288"/>
        <v>1</v>
      </c>
      <c r="EA144" s="387">
        <f t="shared" si="289"/>
        <v>1</v>
      </c>
      <c r="EB144" s="387">
        <f t="shared" si="290"/>
        <v>1</v>
      </c>
      <c r="EC144" s="387">
        <f t="shared" si="291"/>
        <v>1</v>
      </c>
      <c r="ED144" s="388">
        <f t="shared" si="292"/>
        <v>1</v>
      </c>
      <c r="EF144" s="834">
        <f>+IF(DN144=DM144,0,
IF(AND(EF$44&gt;1,DN144=$N144),1-SUM($EE144:EE144),
IF($N144&lt;=1,
IF($N144&gt;0,1/$N144,0),
IF(EF$44=1,0,VDB(1,0,$N144,INT(EF$44-1-1),MIN($N144,INT(EF$44-1-1)+1),$DC144,IF($DD144="No",1,0))/
IF(DM144&gt;=INT($N144),$N144-INT($N144),1)))*
IF(EF$44=1,0,
IF(INT(DN144)=INT(DM144),DN144-DM144,INT(DN144)-DM144))+
IF($N144&lt;=1,
IF($N144&gt;0,1/$N144,0),VDB(1,0,$N144,INT(EF$44-1),MIN($N144,INT(EF$44-1)+1),$DC144,IF($DD144="No",1,0))/
IF(DN144&gt;INT($N144),$N144-INT($N144),1))*
IF(EF$44=1,DN144,
IF(INT(DN144)=INT(DM144),0,DN144-INT(DN144)))))</f>
        <v>0</v>
      </c>
      <c r="EG144" s="835">
        <f>+IF(DO144=DN144,0,
IF(AND(EG$44&gt;1,DO144=$N144),1-SUM($EE144:EF144),
IF($N144&lt;=1,
IF($N144&gt;0,1/$N144,0),
IF(EG$44=1,0,VDB(1,0,$N144,INT(EG$44-1-1),MIN($N144,INT(EG$44-1-1)+1),$DC144,IF($DD144="No",1,0))/
IF(DN144&gt;=INT($N144),$N144-INT($N144),1)))*
IF(EG$44=1,0,
IF(INT(DO144)=INT(DN144),DO144-DN144,INT(DO144)-DN144))+
IF($N144&lt;=1,
IF($N144&gt;0,1/$N144,0),VDB(1,0,$N144,INT(EG$44-1),MIN($N144,INT(EG$44-1)+1),$DC144,IF($DD144="No",1,0))/
IF(DO144&gt;INT($N144),$N144-INT($N144),1))*
IF(EG$44=1,DO144,
IF(INT(DO144)=INT(DN144),0,DO144-INT(DO144)))))</f>
        <v>0</v>
      </c>
      <c r="EH144" s="836">
        <f>+IF(DP144=DO144,0,
IF(AND(EH$44&gt;1,DP144=$N144),1-SUM($EE144:EG144),
IF($N144&lt;=1,
IF($N144&gt;0,1/$N144,0),
IF(EH$44=1,0,VDB(1,0,$N144,INT(EH$44-1-1),MIN($N144,INT(EH$44-1-1)+1),$DC144,IF($DD144="No",1,0))/
IF(DO144&gt;=INT($N144),$N144-INT($N144),1)))*
IF(EH$44=1,0,
IF(INT(DP144)=INT(DO144),DP144-DO144,INT(DP144)-DO144))+
IF($N144&lt;=1,
IF($N144&gt;0,1/$N144,0),VDB(1,0,$N144,INT(EH$44-1),MIN($N144,INT(EH$44-1)+1),$DC144,IF($DD144="No",1,0))/
IF(DP144&gt;INT($N144),$N144-INT($N144),1))*
IF(EH$44=1,DP144,
IF(INT(DP144)=INT(DO144),0,DP144-INT(DP144)))))</f>
        <v>0</v>
      </c>
      <c r="EI144" s="834">
        <f>+IF(DQ144=DP144,0,
IF(AND(EI$44&gt;1,DQ144=$N144),1-SUM($EE144:EH144),
IF($N144&lt;=1,
IF($N144&gt;0,1/$N144,0),
IF(EI$44=1,0,VDB(1,0,$N144,INT(EI$44-1-1),MIN($N144,INT(EI$44-1-1)+1),$DC144,IF($DD144="No",1,0))/
IF(DP144&gt;=INT($N144),$N144-INT($N144),1)))*
IF(EI$44=1,0,
IF(INT(DQ144)=INT(DP144),DQ144-DP144,INT(DQ144)-DP144))+
IF($N144&lt;=1,
IF($N144&gt;0,1/$N144,0),VDB(1,0,$N144,INT(EI$44-1),MIN($N144,INT(EI$44-1)+1),$DC144,IF($DD144="No",1,0))/
IF(DQ144&gt;INT($N144),$N144-INT($N144),1))*
IF(EI$44=1,DQ144,
IF(INT(DQ144)=INT(DP144),0,DQ144-INT(DQ144)))))</f>
        <v>0</v>
      </c>
      <c r="EJ144" s="835">
        <f>+IF(DR144=DQ144,0,
IF(AND(EJ$44&gt;1,DR144=$N144),1-SUM($EE144:EI144),
IF($N144&lt;=1,
IF($N144&gt;0,1/$N144,0),
IF(EJ$44=1,0,VDB(1,0,$N144,INT(EJ$44-1-1),MIN($N144,INT(EJ$44-1-1)+1),$DC144,IF($DD144="No",1,0))/
IF(DQ144&gt;=INT($N144),$N144-INT($N144),1)))*
IF(EJ$44=1,0,
IF(INT(DR144)=INT(DQ144),DR144-DQ144,INT(DR144)-DQ144))+
IF($N144&lt;=1,
IF($N144&gt;0,1/$N144,0),VDB(1,0,$N144,INT(EJ$44-1),MIN($N144,INT(EJ$44-1)+1),$DC144,IF($DD144="No",1,0))/
IF(DR144&gt;INT($N144),$N144-INT($N144),1))*
IF(EJ$44=1,DR144,
IF(INT(DR144)=INT(DQ144),0,DR144-INT(DR144)))))</f>
        <v>0</v>
      </c>
      <c r="EK144" s="835">
        <f>+IF(DS144=DR144,0,
IF(AND(EK$44&gt;1,DS144=$N144),1-SUM($EE144:EJ144),
IF($N144&lt;=1,
IF($N144&gt;0,1/$N144,0),
IF(EK$44=1,0,VDB(1,0,$N144,INT(EK$44-1-1),MIN($N144,INT(EK$44-1-1)+1),$DC144,IF($DD144="No",1,0))/
IF(DR144&gt;=INT($N144),$N144-INT($N144),1)))*
IF(EK$44=1,0,
IF(INT(DS144)=INT(DR144),DS144-DR144,INT(DS144)-DR144))+
IF($N144&lt;=1,
IF($N144&gt;0,1/$N144,0),VDB(1,0,$N144,INT(EK$44-1),MIN($N144,INT(EK$44-1)+1),$DC144,IF($DD144="No",1,0))/
IF(DS144&gt;INT($N144),$N144-INT($N144),1))*
IF(EK$44=1,DS144,
IF(INT(DS144)=INT(DR144),0,DS144-INT(DS144)))))</f>
        <v>0</v>
      </c>
      <c r="EL144" s="835">
        <f>+IF(DT144=DS144,0,
IF(AND(EL$44&gt;1,DT144=$N144),1-SUM($EE144:EK144),
IF($N144&lt;=1,
IF($N144&gt;0,1/$N144,0),
IF(EL$44=1,0,VDB(1,0,$N144,INT(EL$44-1-1),MIN($N144,INT(EL$44-1-1)+1),$DC144,IF($DD144="No",1,0))/
IF(DS144&gt;=INT($N144),$N144-INT($N144),1)))*
IF(EL$44=1,0,
IF(INT(DT144)=INT(DS144),DT144-DS144,INT(DT144)-DS144))+
IF($N144&lt;=1,
IF($N144&gt;0,1/$N144,0),VDB(1,0,$N144,INT(EL$44-1),MIN($N144,INT(EL$44-1)+1),$DC144,IF($DD144="No",1,0))/
IF(DT144&gt;INT($N144),$N144-INT($N144),1))*
IF(EL$44=1,DT144,
IF(INT(DT144)=INT(DS144),0,DT144-INT(DT144)))))</f>
        <v>0</v>
      </c>
      <c r="EM144" s="836">
        <f>+IF(DU144=DT144,0,
IF(AND(EM$44&gt;1,DU144=$N144),1-SUM($EE144:EL144),
IF($N144&lt;=1,
IF($N144&gt;0,1/$N144,0),
IF(EM$44=1,0,VDB(1,0,$N144,INT(EM$44-1-1),MIN($N144,INT(EM$44-1-1)+1),$DC144,IF($DD144="No",1,0))/
IF(DT144&gt;=INT($N144),$N144-INT($N144),1)))*
IF(EM$44=1,0,
IF(INT(DU144)=INT(DT144),DU144-DT144,INT(DU144)-DT144))+
IF($N144&lt;=1,
IF($N144&gt;0,1/$N144,0),VDB(1,0,$N144,INT(EM$44-1),MIN($N144,INT(EM$44-1)+1),$DC144,IF($DD144="No",1,0))/
IF(DU144&gt;INT($N144),$N144-INT($N144),1))*
IF(EM$44=1,DU144,
IF(INT(DU144)=INT(DT144),0,DU144-INT(DU144)))))</f>
        <v>0</v>
      </c>
      <c r="EN144" s="833"/>
      <c r="EO144" s="834">
        <f>+IF(OR(DW144=DV144,EO$44=1),0,
IF(AND(EO$44&gt;1,DW144=$N144),1-SUM($EN144:EN144),
IF($N144&lt;=1,
IF($N144&gt;0,1/$N144,0),
IF(EO$44=2,0,VDB(1,0,$N144,INT(EO$44-2-1),MIN($N144,INT(EO$44-2-1)+1),$DC144,IF($DD144="No",1,0))/
IF(DV144&gt;=INT($N144),$N144-INT($N144),1)))*
IF(EO$44=2,0,
IF(INT(DW144)=INT(DV144),DW144-DV144,INT(DW144)-DV144))+
IF($N144&lt;=1,
IF($N144&gt;0,1/$N144,0),VDB(1,0,$N144,INT(EO$44-2),MIN($N144,INT(EO$44-2)+1),$DC144,IF($DD144="No",1,0))/
IF(DW144&gt;INT($N144),$N144-INT($N144),1))*
IF(EO$44=2,DW144,
IF(INT(DW144)=INT(DV144),0,DW144-INT(DW144)))))</f>
        <v>0</v>
      </c>
      <c r="EP144" s="835">
        <f>+IF(OR(DX144=DW144,EP$44=1),0,
IF(AND(EP$44&gt;1,DX144=$N144),1-SUM($EN144:EO144),
IF($N144&lt;=1,
IF($N144&gt;0,1/$N144,0),
IF(EP$44=2,0,VDB(1,0,$N144,INT(EP$44-2-1),MIN($N144,INT(EP$44-2-1)+1),$DC144,IF($DD144="No",1,0))/
IF(DW144&gt;=INT($N144),$N144-INT($N144),1)))*
IF(EP$44=2,0,
IF(INT(DX144)=INT(DW144),DX144-DW144,INT(DX144)-DW144))+
IF($N144&lt;=1,
IF($N144&gt;0,1/$N144,0),VDB(1,0,$N144,INT(EP$44-2),MIN($N144,INT(EP$44-2)+1),$DC144,IF($DD144="No",1,0))/
IF(DX144&gt;INT($N144),$N144-INT($N144),1))*
IF(EP$44=2,DX144,
IF(INT(DX144)=INT(DW144),0,DX144-INT(DX144)))))</f>
        <v>0</v>
      </c>
      <c r="EQ144" s="836">
        <f>+IF(OR(DY144=DX144,EQ$44=1),0,
IF(AND(EQ$44&gt;1,DY144=$N144),1-SUM($EN144:EP144),
IF($N144&lt;=1,
IF($N144&gt;0,1/$N144,0),
IF(EQ$44=2,0,VDB(1,0,$N144,INT(EQ$44-2-1),MIN($N144,INT(EQ$44-2-1)+1),$DC144,IF($DD144="No",1,0))/
IF(DX144&gt;=INT($N144),$N144-INT($N144),1)))*
IF(EQ$44=2,0,
IF(INT(DY144)=INT(DX144),DY144-DX144,INT(DY144)-DX144))+
IF($N144&lt;=1,
IF($N144&gt;0,1/$N144,0),VDB(1,0,$N144,INT(EQ$44-2),MIN($N144,INT(EQ$44-2)+1),$DC144,IF($DD144="No",1,0))/
IF(DY144&gt;INT($N144),$N144-INT($N144),1))*
IF(EQ$44=2,DY144,
IF(INT(DY144)=INT(DX144),0,DY144-INT(DY144)))))</f>
        <v>0</v>
      </c>
      <c r="ER144" s="834">
        <f>+IF(OR(DZ144=DY144,ER$44=1),0,
IF(AND(ER$44&gt;1,DZ144=$N144),1-SUM($EN144:EQ144),
IF($N144&lt;=1,
IF($N144&gt;0,1/$N144,0),
IF(ER$44=2,0,VDB(1,0,$N144,INT(ER$44-2-1),MIN($N144,INT(ER$44-2-1)+1),$DC144,IF($DD144="No",1,0))/
IF(DY144&gt;=INT($N144),$N144-INT($N144),1)))*
IF(ER$44=2,0,
IF(INT(DZ144)=INT(DY144),DZ144-DY144,INT(DZ144)-DY144))+
IF($N144&lt;=1,
IF($N144&gt;0,1/$N144,0),VDB(1,0,$N144,INT(ER$44-2),MIN($N144,INT(ER$44-2)+1),$DC144,IF($DD144="No",1,0))/
IF(DZ144&gt;INT($N144),$N144-INT($N144),1))*
IF(ER$44=2,DZ144,
IF(INT(DZ144)=INT(DY144),0,DZ144-INT(DZ144)))))</f>
        <v>0</v>
      </c>
      <c r="ES144" s="835">
        <f>+IF(OR(EA144=DZ144,ES$44=1),0,
IF(AND(ES$44&gt;1,EA144=$N144),1-SUM($EN144:ER144),
IF($N144&lt;=1,
IF($N144&gt;0,1/$N144,0),
IF(ES$44=2,0,VDB(1,0,$N144,INT(ES$44-2-1),MIN($N144,INT(ES$44-2-1)+1),$DC144,IF($DD144="No",1,0))/
IF(DZ144&gt;=INT($N144),$N144-INT($N144),1)))*
IF(ES$44=2,0,
IF(INT(EA144)=INT(DZ144),EA144-DZ144,INT(EA144)-DZ144))+
IF($N144&lt;=1,
IF($N144&gt;0,1/$N144,0),VDB(1,0,$N144,INT(ES$44-2),MIN($N144,INT(ES$44-2)+1),$DC144,IF($DD144="No",1,0))/
IF(EA144&gt;INT($N144),$N144-INT($N144),1))*
IF(ES$44=2,EA144,
IF(INT(EA144)=INT(DZ144),0,EA144-INT(EA144)))))</f>
        <v>0</v>
      </c>
      <c r="ET144" s="835">
        <f>+IF(OR(EB144=EA144,ET$44=1),0,
IF(AND(ET$44&gt;1,EB144=$N144),1-SUM($EN144:ES144),
IF($N144&lt;=1,
IF($N144&gt;0,1/$N144,0),
IF(ET$44=2,0,VDB(1,0,$N144,INT(ET$44-2-1),MIN($N144,INT(ET$44-2-1)+1),$DC144,IF($DD144="No",1,0))/
IF(EA144&gt;=INT($N144),$N144-INT($N144),1)))*
IF(ET$44=2,0,
IF(INT(EB144)=INT(EA144),EB144-EA144,INT(EB144)-EA144))+
IF($N144&lt;=1,
IF($N144&gt;0,1/$N144,0),VDB(1,0,$N144,INT(ET$44-2),MIN($N144,INT(ET$44-2)+1),$DC144,IF($DD144="No",1,0))/
IF(EB144&gt;INT($N144),$N144-INT($N144),1))*
IF(ET$44=2,EB144,
IF(INT(EB144)=INT(EA144),0,EB144-INT(EB144)))))</f>
        <v>0</v>
      </c>
      <c r="EU144" s="835">
        <f>+IF(OR(EC144=EB144,EU$44=1),0,
IF(AND(EU$44&gt;1,EC144=$N144),1-SUM($EN144:ET144),
IF($N144&lt;=1,
IF($N144&gt;0,1/$N144,0),
IF(EU$44=2,0,VDB(1,0,$N144,INT(EU$44-2-1),MIN($N144,INT(EU$44-2-1)+1),$DC144,IF($DD144="No",1,0))/
IF(EB144&gt;=INT($N144),$N144-INT($N144),1)))*
IF(EU$44=2,0,
IF(INT(EC144)=INT(EB144),EC144-EB144,INT(EC144)-EB144))+
IF($N144&lt;=1,
IF($N144&gt;0,1/$N144,0),VDB(1,0,$N144,INT(EU$44-2),MIN($N144,INT(EU$44-2)+1),$DC144,IF($DD144="No",1,0))/
IF(EC144&gt;INT($N144),$N144-INT($N144),1))*
IF(EU$44=2,EC144,
IF(INT(EC144)=INT(EB144),0,EC144-INT(EC144)))))</f>
        <v>0</v>
      </c>
      <c r="EV144" s="836">
        <f>+IF(OR(ED144=EC144,EV$44=1),0,
IF(AND(EV$44&gt;1,ED144=$N144),1-SUM($EN144:EU144),
IF($N144&lt;=1,
IF($N144&gt;0,1/$N144,0),
IF(EV$44=2,0,VDB(1,0,$N144,INT(EV$44-2-1),MIN($N144,INT(EV$44-2-1)+1),$DC144,IF($DD144="No",1,0))/
IF(EC144&gt;=INT($N144),$N144-INT($N144),1)))*
IF(EV$44=2,0,
IF(INT(ED144)=INT(EC144),ED144-EC144,INT(ED144)-EC144))+
IF($N144&lt;=1,
IF($N144&gt;0,1/$N144,0),VDB(1,0,$N144,INT(EV$44-2),MIN($N144,INT(EV$44-2)+1),$DC144,IF($DD144="No",1,0))/
IF(ED144&gt;INT($N144),$N144-INT($N144),1))*
IF(EV$44=2,ED144,
IF(INT(ED144)=INT(EC144),0,ED144-INT(ED144)))))</f>
        <v>0</v>
      </c>
      <c r="EW144" s="833"/>
      <c r="EX144" s="834">
        <f t="shared" ca="1" si="303"/>
        <v>0</v>
      </c>
      <c r="EY144" s="835">
        <f t="shared" ca="1" si="303"/>
        <v>0</v>
      </c>
      <c r="EZ144" s="836">
        <f t="shared" ca="1" si="303"/>
        <v>0</v>
      </c>
      <c r="FA144" s="834">
        <f t="shared" ca="1" si="303"/>
        <v>0</v>
      </c>
      <c r="FB144" s="835">
        <f t="shared" ca="1" si="303"/>
        <v>0</v>
      </c>
      <c r="FC144" s="835">
        <f t="shared" ca="1" si="303"/>
        <v>0</v>
      </c>
      <c r="FD144" s="835">
        <f t="shared" ca="1" si="303"/>
        <v>0</v>
      </c>
      <c r="FE144" s="836">
        <f t="shared" ca="1" si="303"/>
        <v>0</v>
      </c>
      <c r="FG144" s="386">
        <f t="shared" ca="1" si="293"/>
        <v>0</v>
      </c>
      <c r="FH144" s="387">
        <f t="shared" ca="1" si="294"/>
        <v>0</v>
      </c>
      <c r="FI144" s="388">
        <f t="shared" ca="1" si="295"/>
        <v>0</v>
      </c>
      <c r="FJ144" s="386">
        <f t="shared" ca="1" si="296"/>
        <v>0</v>
      </c>
      <c r="FK144" s="387">
        <f t="shared" ca="1" si="297"/>
        <v>0</v>
      </c>
      <c r="FL144" s="387">
        <f t="shared" ca="1" si="298"/>
        <v>0</v>
      </c>
      <c r="FM144" s="387">
        <f t="shared" ca="1" si="299"/>
        <v>0</v>
      </c>
      <c r="FN144" s="388">
        <f t="shared" ca="1" si="300"/>
        <v>0</v>
      </c>
      <c r="FR144" s="116"/>
    </row>
    <row r="145" spans="2:174">
      <c r="B145" s="1410">
        <f t="shared" si="302"/>
        <v>99</v>
      </c>
      <c r="C145" s="400" t="s">
        <v>649</v>
      </c>
      <c r="D145" s="410"/>
      <c r="E145" s="402" t="s">
        <v>420</v>
      </c>
      <c r="F145" s="402" t="s">
        <v>527</v>
      </c>
      <c r="G145" s="400" t="s">
        <v>522</v>
      </c>
      <c r="H145" s="2088" t="s">
        <v>483</v>
      </c>
      <c r="I145" s="2089"/>
      <c r="J145" s="411" t="s">
        <v>516</v>
      </c>
      <c r="K145" s="403" t="s">
        <v>544</v>
      </c>
      <c r="L145" s="403">
        <v>25</v>
      </c>
      <c r="M145" s="403" t="s">
        <v>142</v>
      </c>
      <c r="N145" s="403"/>
      <c r="O145" s="347"/>
      <c r="P145" s="347"/>
      <c r="Q145" s="1021">
        <v>0.79412234146341476</v>
      </c>
      <c r="R145" s="1022">
        <v>0.77475350386674613</v>
      </c>
      <c r="S145" s="1022">
        <v>0.75585707694316706</v>
      </c>
      <c r="T145" s="1022">
        <v>0.73742153848113856</v>
      </c>
      <c r="U145" s="1023">
        <v>0.71943564729867193</v>
      </c>
      <c r="V145" s="1021">
        <v>0.90998619413245052</v>
      </c>
      <c r="W145" s="1022">
        <v>0.9099856683416786</v>
      </c>
      <c r="X145" s="1022">
        <v>0.90998552471102889</v>
      </c>
      <c r="Y145" s="1022">
        <v>0.90998534454714763</v>
      </c>
      <c r="Z145" s="1023">
        <v>0.90998520783742731</v>
      </c>
      <c r="AA145" s="1024"/>
      <c r="AB145" s="1021">
        <v>0</v>
      </c>
      <c r="AC145" s="1022">
        <v>0</v>
      </c>
      <c r="AD145" s="1022">
        <v>0</v>
      </c>
      <c r="AE145" s="1022">
        <v>0</v>
      </c>
      <c r="AF145" s="1023">
        <v>0</v>
      </c>
      <c r="AG145" s="1021">
        <v>0</v>
      </c>
      <c r="AH145" s="1022">
        <v>0</v>
      </c>
      <c r="AI145" s="1022">
        <v>0</v>
      </c>
      <c r="AJ145" s="1022">
        <v>0</v>
      </c>
      <c r="AK145" s="1023">
        <v>0</v>
      </c>
      <c r="AL145" s="1024"/>
      <c r="AM145" s="1021">
        <v>0</v>
      </c>
      <c r="AN145" s="1022">
        <v>0</v>
      </c>
      <c r="AO145" s="1022">
        <v>0</v>
      </c>
      <c r="AP145" s="1022">
        <v>0</v>
      </c>
      <c r="AQ145" s="1023">
        <v>0</v>
      </c>
      <c r="AR145" s="1021">
        <v>0</v>
      </c>
      <c r="AS145" s="1022">
        <v>0</v>
      </c>
      <c r="AT145" s="1022">
        <v>0</v>
      </c>
      <c r="AU145" s="1022">
        <v>0</v>
      </c>
      <c r="AV145" s="1023">
        <v>0</v>
      </c>
      <c r="AW145" s="1025"/>
      <c r="AX145" s="1282">
        <f t="shared" si="247"/>
        <v>0.79412234146341476</v>
      </c>
      <c r="AY145" s="387">
        <f t="shared" si="248"/>
        <v>0.77475350386674613</v>
      </c>
      <c r="AZ145" s="387">
        <f t="shared" si="249"/>
        <v>0.75585707694316706</v>
      </c>
      <c r="BA145" s="387">
        <f t="shared" si="250"/>
        <v>0.73742153848113856</v>
      </c>
      <c r="BB145" s="1283">
        <f t="shared" si="251"/>
        <v>0.71943564729867193</v>
      </c>
      <c r="BC145" s="386">
        <f t="shared" si="252"/>
        <v>0.90998619413245052</v>
      </c>
      <c r="BD145" s="387">
        <f t="shared" si="253"/>
        <v>0.9099856683416786</v>
      </c>
      <c r="BE145" s="1277">
        <f t="shared" si="254"/>
        <v>0.90998552471102889</v>
      </c>
      <c r="BF145" s="1277">
        <f t="shared" si="255"/>
        <v>0.90998534454714763</v>
      </c>
      <c r="BG145" s="388">
        <f t="shared" si="256"/>
        <v>0.90998520783742731</v>
      </c>
      <c r="BH145" s="1025"/>
      <c r="BI145" s="1282">
        <f t="shared" ca="1" si="257"/>
        <v>1.5882446829268294E-2</v>
      </c>
      <c r="BJ145" s="387">
        <f t="shared" ca="1" si="258"/>
        <v>4.7259963735871512E-2</v>
      </c>
      <c r="BK145" s="387">
        <f t="shared" ca="1" si="259"/>
        <v>7.7872175352069778E-2</v>
      </c>
      <c r="BL145" s="387">
        <f t="shared" ca="1" si="260"/>
        <v>0.1077377476605559</v>
      </c>
      <c r="BM145" s="1283">
        <f t="shared" ca="1" si="261"/>
        <v>0.13687489137615211</v>
      </c>
      <c r="BN145" s="386">
        <f t="shared" ca="1" si="262"/>
        <v>0.16946332820477455</v>
      </c>
      <c r="BO145" s="387">
        <f t="shared" ca="1" si="263"/>
        <v>0.20586276545425714</v>
      </c>
      <c r="BP145" s="1277">
        <f t="shared" ca="1" si="264"/>
        <v>0.24226218931531129</v>
      </c>
      <c r="BQ145" s="1277">
        <f t="shared" ca="1" si="265"/>
        <v>0.27866160670047485</v>
      </c>
      <c r="BR145" s="388">
        <f t="shared" ca="1" si="266"/>
        <v>0.31506101774816631</v>
      </c>
      <c r="BS145" s="1025"/>
      <c r="BT145" s="1282">
        <f>+IF($K145="Ongoing",AX145,IF(RIGHT($K145,2)=RIGHT(BT$43,2),SUM($AX145:AX145),0)+IF(RIGHT(BT$43,2)&gt;RIGHT($K145,2),AX145,0))</f>
        <v>0.79412234146341476</v>
      </c>
      <c r="BU145" s="387">
        <f>+IF($K145="Ongoing",AY145,IF(RIGHT($K145,2)=RIGHT(BU$43,2),SUM($AX145:AY145),0)+IF(RIGHT(BU$43,2)&gt;RIGHT($K145,2),AY145,0))</f>
        <v>0.77475350386674613</v>
      </c>
      <c r="BV145" s="387">
        <f>+IF($K145="Ongoing",AZ145,IF(RIGHT($K145,2)=RIGHT(BV$43,2),SUM($AX145:AZ145),0)+IF(RIGHT(BV$43,2)&gt;RIGHT($K145,2),AZ145,0))</f>
        <v>0.75585707694316706</v>
      </c>
      <c r="BW145" s="387">
        <f>+IF($K145="Ongoing",BA145,IF(RIGHT($K145,2)=RIGHT(BW$43,2),SUM($AX145:BA145),0)+IF(RIGHT(BW$43,2)&gt;RIGHT($K145,2),BA145,0))</f>
        <v>0.73742153848113856</v>
      </c>
      <c r="BX145" s="1283">
        <f>+IF($K145="Ongoing",BB145,IF(RIGHT($K145,2)=RIGHT(BX$43,2),SUM($AX145:BB145),0)+IF(RIGHT(BX$43,2)&gt;RIGHT($K145,2),BB145,0))</f>
        <v>0.71943564729867193</v>
      </c>
      <c r="BY145" s="386">
        <f>+IF($K145="Ongoing",BC145,IF(RIGHT($K145,2)=RIGHT(BY$43,2),SUM($AX145:BC145),0)+IF(RIGHT(BY$43,2)&gt;RIGHT($K145,2),BC145,0))</f>
        <v>0.90998619413245052</v>
      </c>
      <c r="BZ145" s="387">
        <f>+IF($K145="Ongoing",BD145,IF(RIGHT($K145,2)=RIGHT(BZ$43,2),SUM($AX145:BD145),0)+IF(RIGHT(BZ$43,2)&gt;RIGHT($K145,2),BD145,0))</f>
        <v>0.9099856683416786</v>
      </c>
      <c r="CA145" s="1277">
        <f>+IF($K145="Ongoing",BE145,IF(RIGHT($K145,2)=RIGHT(CA$43,2),SUM($AX145:BE145),0)+IF(RIGHT(CA$43,2)&gt;RIGHT($K145,2),BE145,0))</f>
        <v>0.90998552471102889</v>
      </c>
      <c r="CB145" s="1277">
        <f>+IF($K145="Ongoing",BF145,IF(RIGHT($K145,2)=RIGHT(CB$43,2),SUM($AX145:BF145),0)+IF(RIGHT(CB$43,2)&gt;RIGHT($K145,2),BF145,0))</f>
        <v>0.90998534454714763</v>
      </c>
      <c r="CC145" s="388">
        <f>+IF($K145="Ongoing",BG145,IF(RIGHT($K145,2)=RIGHT(CC$43,2),SUM($AX145:BG145),0)+IF(RIGHT(CC$43,2)&gt;RIGHT($K145,2),BG145,0))</f>
        <v>0.90998520783742731</v>
      </c>
      <c r="CD145" s="1025"/>
      <c r="CE145" s="1282">
        <f>+Q145*KeyAssumptionsPriceControl_FO!AF$15</f>
        <v>0.8171518893658537</v>
      </c>
      <c r="CF145" s="387">
        <f>+R145*KeyAssumptionsPriceControl_FO!AG$15</f>
        <v>0.82034077478776923</v>
      </c>
      <c r="CG145" s="387">
        <f>+S145*KeyAssumptionsPriceControl_FO!AH$15</f>
        <v>0.82354210464059963</v>
      </c>
      <c r="CH145" s="387">
        <f>+T145*KeyAssumptionsPriceControl_FO!AI$15</f>
        <v>0.82675592748797755</v>
      </c>
      <c r="CI145" s="1283">
        <f>+U145*KeyAssumptionsPriceControl_FO!AJ$15</f>
        <v>0.82998229208305263</v>
      </c>
      <c r="CJ145" s="386">
        <f>+V145*KeyAssumptionsPriceControl_FO!AK$15</f>
        <v>1.0802569075858874</v>
      </c>
      <c r="CK145" s="387">
        <f>+W145*KeyAssumptionsPriceControl_FO!AL$15</f>
        <v>1.1115837156315211</v>
      </c>
      <c r="CL145" s="1277">
        <f>+X145*KeyAssumptionsPriceControl_FO!AM$15</f>
        <v>1.1438194628462133</v>
      </c>
      <c r="CM145" s="1277">
        <f>+Y145*KeyAssumptionsPriceControl_FO!AN$15</f>
        <v>1.1769899942418296</v>
      </c>
      <c r="CN145" s="388">
        <f>+Z145*KeyAssumptionsPriceControl_FO!AO$15</f>
        <v>1.2111225221243891</v>
      </c>
      <c r="CO145" s="1025"/>
      <c r="CP145" s="1282">
        <f t="shared" ca="1" si="267"/>
        <v>0</v>
      </c>
      <c r="CQ145" s="387">
        <f t="shared" ca="1" si="268"/>
        <v>0</v>
      </c>
      <c r="CR145" s="387">
        <f t="shared" ca="1" si="269"/>
        <v>0</v>
      </c>
      <c r="CS145" s="387">
        <f t="shared" ca="1" si="270"/>
        <v>0</v>
      </c>
      <c r="CT145" s="1283">
        <f t="shared" ca="1" si="271"/>
        <v>0</v>
      </c>
      <c r="CU145" s="386">
        <f t="shared" ca="1" si="272"/>
        <v>0</v>
      </c>
      <c r="CV145" s="387">
        <f t="shared" ca="1" si="273"/>
        <v>0</v>
      </c>
      <c r="CW145" s="1277">
        <f t="shared" ca="1" si="274"/>
        <v>0</v>
      </c>
      <c r="CX145" s="1277">
        <f t="shared" ca="1" si="275"/>
        <v>0</v>
      </c>
      <c r="CY145" s="388">
        <f t="shared" ca="1" si="276"/>
        <v>0</v>
      </c>
      <c r="CZ145" s="347"/>
      <c r="DA145" s="852"/>
      <c r="DB145" s="347"/>
      <c r="DC145" s="1012" t="s">
        <v>651</v>
      </c>
      <c r="DD145" s="841" t="s">
        <v>518</v>
      </c>
      <c r="DE145" s="386">
        <f>+IF($K145="ongoing",CE145,IF(RIGHT($K145,2)=RIGHT(DE$43,2),SUM($CD145:CE145),0)+IF(RIGHT(DE$43,2)&gt;RIGHT($K145,2),CE145,0))</f>
        <v>0.8171518893658537</v>
      </c>
      <c r="DF145" s="387">
        <f>+IF($K145="ongoing",CF145,IF(RIGHT($K145,2)=RIGHT(DF$43,2),SUM($CD145:CF145),0)+IF(RIGHT(DF$43,2)&gt;RIGHT($K145,2),CF145,0))</f>
        <v>0.82034077478776923</v>
      </c>
      <c r="DG145" s="388">
        <f>+IF($K145="ongoing",CG145,IF(RIGHT($K145,2)=RIGHT(DG$43,2),SUM($CD145:CG145),0)+IF(RIGHT(DG$43,2)&gt;RIGHT($K145,2),CG145,0))</f>
        <v>0.82354210464059963</v>
      </c>
      <c r="DH145" s="386">
        <f>+IF($K145="ongoing",CH145,IF(RIGHT($K145,2)=RIGHT(DH$43,2),SUM($CD145:CH145),0)+IF(RIGHT(DH$43,2)&gt;RIGHT($K145,2),CH145,0))</f>
        <v>0.82675592748797755</v>
      </c>
      <c r="DI145" s="387">
        <f>+IF($K145="ongoing",CI145,IF(RIGHT($K145,2)=RIGHT(DI$43,2),SUM($CD145:CI145),0)+IF(RIGHT(DI$43,2)&gt;RIGHT($K145,2),CI145,0))</f>
        <v>0.82998229208305263</v>
      </c>
      <c r="DJ145" s="387">
        <f>+IF($K145="ongoing",CJ145,IF(RIGHT($K145,2)=RIGHT(DJ$43,2),SUM($CD145:CJ145),0)+IF(RIGHT(DJ$43,2)&gt;RIGHT($K145,2),CJ145,0))</f>
        <v>1.0802569075858874</v>
      </c>
      <c r="DK145" s="387">
        <f>+IF($K145="ongoing",CK145,IF(RIGHT($K145,2)=RIGHT(DK$43,2),SUM($CD145:CK145),0)+IF(RIGHT(DK$43,2)&gt;RIGHT($K145,2),CK145,0))</f>
        <v>1.1115837156315211</v>
      </c>
      <c r="DL145" s="388">
        <f>+IF($K145="ongoing",CN145,IF(RIGHT($K145,2)=RIGHT(DL$43,2),SUM($CD145:CN145),0)+IF(RIGHT(DL$43,2)&gt;RIGHT($K145,2),CN145,0))</f>
        <v>1.2111225221243891</v>
      </c>
      <c r="DM145" s="841"/>
      <c r="DN145" s="386">
        <f t="shared" si="277"/>
        <v>0.5</v>
      </c>
      <c r="DO145" s="387">
        <f t="shared" si="278"/>
        <v>1</v>
      </c>
      <c r="DP145" s="388">
        <f t="shared" si="279"/>
        <v>1</v>
      </c>
      <c r="DQ145" s="386">
        <f t="shared" si="280"/>
        <v>1</v>
      </c>
      <c r="DR145" s="387">
        <f t="shared" si="281"/>
        <v>1</v>
      </c>
      <c r="DS145" s="387">
        <f t="shared" si="282"/>
        <v>1</v>
      </c>
      <c r="DT145" s="387">
        <f t="shared" si="283"/>
        <v>1</v>
      </c>
      <c r="DU145" s="388">
        <f t="shared" si="284"/>
        <v>1</v>
      </c>
      <c r="DW145" s="386">
        <f t="shared" si="285"/>
        <v>0</v>
      </c>
      <c r="DX145" s="387">
        <f t="shared" si="286"/>
        <v>0.5</v>
      </c>
      <c r="DY145" s="388">
        <f t="shared" si="287"/>
        <v>1</v>
      </c>
      <c r="DZ145" s="386">
        <f t="shared" si="288"/>
        <v>1</v>
      </c>
      <c r="EA145" s="387">
        <f t="shared" si="289"/>
        <v>1</v>
      </c>
      <c r="EB145" s="387">
        <f t="shared" si="290"/>
        <v>1</v>
      </c>
      <c r="EC145" s="387">
        <f t="shared" si="291"/>
        <v>1</v>
      </c>
      <c r="ED145" s="388">
        <f t="shared" si="292"/>
        <v>1</v>
      </c>
      <c r="EF145" s="834">
        <f>+IF(DN145=DM145,0,
IF(AND(EF$44&gt;1,DN145=$N145),1-SUM($EE145:EE145),
IF($N145&lt;=1,
IF($N145&gt;0,1/$N145,0),
IF(EF$44=1,0,VDB(1,0,$N145,INT(EF$44-1-1),MIN($N145,INT(EF$44-1-1)+1),$DC145,IF($DD145="No",1,0))/
IF(DM145&gt;=INT($N145),$N145-INT($N145),1)))*
IF(EF$44=1,0,
IF(INT(DN145)=INT(DM145),DN145-DM145,INT(DN145)-DM145))+
IF($N145&lt;=1,
IF($N145&gt;0,1/$N145,0),VDB(1,0,$N145,INT(EF$44-1),MIN($N145,INT(EF$44-1)+1),$DC145,IF($DD145="No",1,0))/
IF(DN145&gt;INT($N145),$N145-INT($N145),1))*
IF(EF$44=1,DN145,
IF(INT(DN145)=INT(DM145),0,DN145-INT(DN145)))))</f>
        <v>0</v>
      </c>
      <c r="EG145" s="835">
        <f>+IF(DO145=DN145,0,
IF(AND(EG$44&gt;1,DO145=$N145),1-SUM($EE145:EF145),
IF($N145&lt;=1,
IF($N145&gt;0,1/$N145,0),
IF(EG$44=1,0,VDB(1,0,$N145,INT(EG$44-1-1),MIN($N145,INT(EG$44-1-1)+1),$DC145,IF($DD145="No",1,0))/
IF(DN145&gt;=INT($N145),$N145-INT($N145),1)))*
IF(EG$44=1,0,
IF(INT(DO145)=INT(DN145),DO145-DN145,INT(DO145)-DN145))+
IF($N145&lt;=1,
IF($N145&gt;0,1/$N145,0),VDB(1,0,$N145,INT(EG$44-1),MIN($N145,INT(EG$44-1)+1),$DC145,IF($DD145="No",1,0))/
IF(DO145&gt;INT($N145),$N145-INT($N145),1))*
IF(EG$44=1,DO145,
IF(INT(DO145)=INT(DN145),0,DO145-INT(DO145)))))</f>
        <v>0</v>
      </c>
      <c r="EH145" s="836">
        <f>+IF(DP145=DO145,0,
IF(AND(EH$44&gt;1,DP145=$N145),1-SUM($EE145:EG145),
IF($N145&lt;=1,
IF($N145&gt;0,1/$N145,0),
IF(EH$44=1,0,VDB(1,0,$N145,INT(EH$44-1-1),MIN($N145,INT(EH$44-1-1)+1),$DC145,IF($DD145="No",1,0))/
IF(DO145&gt;=INT($N145),$N145-INT($N145),1)))*
IF(EH$44=1,0,
IF(INT(DP145)=INT(DO145),DP145-DO145,INT(DP145)-DO145))+
IF($N145&lt;=1,
IF($N145&gt;0,1/$N145,0),VDB(1,0,$N145,INT(EH$44-1),MIN($N145,INT(EH$44-1)+1),$DC145,IF($DD145="No",1,0))/
IF(DP145&gt;INT($N145),$N145-INT($N145),1))*
IF(EH$44=1,DP145,
IF(INT(DP145)=INT(DO145),0,DP145-INT(DP145)))))</f>
        <v>0</v>
      </c>
      <c r="EI145" s="834">
        <f>+IF(DQ145=DP145,0,
IF(AND(EI$44&gt;1,DQ145=$N145),1-SUM($EE145:EH145),
IF($N145&lt;=1,
IF($N145&gt;0,1/$N145,0),
IF(EI$44=1,0,VDB(1,0,$N145,INT(EI$44-1-1),MIN($N145,INT(EI$44-1-1)+1),$DC145,IF($DD145="No",1,0))/
IF(DP145&gt;=INT($N145),$N145-INT($N145),1)))*
IF(EI$44=1,0,
IF(INT(DQ145)=INT(DP145),DQ145-DP145,INT(DQ145)-DP145))+
IF($N145&lt;=1,
IF($N145&gt;0,1/$N145,0),VDB(1,0,$N145,INT(EI$44-1),MIN($N145,INT(EI$44-1)+1),$DC145,IF($DD145="No",1,0))/
IF(DQ145&gt;INT($N145),$N145-INT($N145),1))*
IF(EI$44=1,DQ145,
IF(INT(DQ145)=INT(DP145),0,DQ145-INT(DQ145)))))</f>
        <v>0</v>
      </c>
      <c r="EJ145" s="835">
        <f>+IF(DR145=DQ145,0,
IF(AND(EJ$44&gt;1,DR145=$N145),1-SUM($EE145:EI145),
IF($N145&lt;=1,
IF($N145&gt;0,1/$N145,0),
IF(EJ$44=1,0,VDB(1,0,$N145,INT(EJ$44-1-1),MIN($N145,INT(EJ$44-1-1)+1),$DC145,IF($DD145="No",1,0))/
IF(DQ145&gt;=INT($N145),$N145-INT($N145),1)))*
IF(EJ$44=1,0,
IF(INT(DR145)=INT(DQ145),DR145-DQ145,INT(DR145)-DQ145))+
IF($N145&lt;=1,
IF($N145&gt;0,1/$N145,0),VDB(1,0,$N145,INT(EJ$44-1),MIN($N145,INT(EJ$44-1)+1),$DC145,IF($DD145="No",1,0))/
IF(DR145&gt;INT($N145),$N145-INT($N145),1))*
IF(EJ$44=1,DR145,
IF(INT(DR145)=INT(DQ145),0,DR145-INT(DR145)))))</f>
        <v>0</v>
      </c>
      <c r="EK145" s="835">
        <f>+IF(DS145=DR145,0,
IF(AND(EK$44&gt;1,DS145=$N145),1-SUM($EE145:EJ145),
IF($N145&lt;=1,
IF($N145&gt;0,1/$N145,0),
IF(EK$44=1,0,VDB(1,0,$N145,INT(EK$44-1-1),MIN($N145,INT(EK$44-1-1)+1),$DC145,IF($DD145="No",1,0))/
IF(DR145&gt;=INT($N145),$N145-INT($N145),1)))*
IF(EK$44=1,0,
IF(INT(DS145)=INT(DR145),DS145-DR145,INT(DS145)-DR145))+
IF($N145&lt;=1,
IF($N145&gt;0,1/$N145,0),VDB(1,0,$N145,INT(EK$44-1),MIN($N145,INT(EK$44-1)+1),$DC145,IF($DD145="No",1,0))/
IF(DS145&gt;INT($N145),$N145-INT($N145),1))*
IF(EK$44=1,DS145,
IF(INT(DS145)=INT(DR145),0,DS145-INT(DS145)))))</f>
        <v>0</v>
      </c>
      <c r="EL145" s="835">
        <f>+IF(DT145=DS145,0,
IF(AND(EL$44&gt;1,DT145=$N145),1-SUM($EE145:EK145),
IF($N145&lt;=1,
IF($N145&gt;0,1/$N145,0),
IF(EL$44=1,0,VDB(1,0,$N145,INT(EL$44-1-1),MIN($N145,INT(EL$44-1-1)+1),$DC145,IF($DD145="No",1,0))/
IF(DS145&gt;=INT($N145),$N145-INT($N145),1)))*
IF(EL$44=1,0,
IF(INT(DT145)=INT(DS145),DT145-DS145,INT(DT145)-DS145))+
IF($N145&lt;=1,
IF($N145&gt;0,1/$N145,0),VDB(1,0,$N145,INT(EL$44-1),MIN($N145,INT(EL$44-1)+1),$DC145,IF($DD145="No",1,0))/
IF(DT145&gt;INT($N145),$N145-INT($N145),1))*
IF(EL$44=1,DT145,
IF(INT(DT145)=INT(DS145),0,DT145-INT(DT145)))))</f>
        <v>0</v>
      </c>
      <c r="EM145" s="836">
        <f>+IF(DU145=DT145,0,
IF(AND(EM$44&gt;1,DU145=$N145),1-SUM($EE145:EL145),
IF($N145&lt;=1,
IF($N145&gt;0,1/$N145,0),
IF(EM$44=1,0,VDB(1,0,$N145,INT(EM$44-1-1),MIN($N145,INT(EM$44-1-1)+1),$DC145,IF($DD145="No",1,0))/
IF(DT145&gt;=INT($N145),$N145-INT($N145),1)))*
IF(EM$44=1,0,
IF(INT(DU145)=INT(DT145),DU145-DT145,INT(DU145)-DT145))+
IF($N145&lt;=1,
IF($N145&gt;0,1/$N145,0),VDB(1,0,$N145,INT(EM$44-1),MIN($N145,INT(EM$44-1)+1),$DC145,IF($DD145="No",1,0))/
IF(DU145&gt;INT($N145),$N145-INT($N145),1))*
IF(EM$44=1,DU145,
IF(INT(DU145)=INT(DT145),0,DU145-INT(DU145)))))</f>
        <v>0</v>
      </c>
      <c r="EN145" s="833"/>
      <c r="EO145" s="834">
        <f>+IF(OR(DW145=DV145,EO$44=1),0,
IF(AND(EO$44&gt;1,DW145=$N145),1-SUM($EN145:EN145),
IF($N145&lt;=1,
IF($N145&gt;0,1/$N145,0),
IF(EO$44=2,0,VDB(1,0,$N145,INT(EO$44-2-1),MIN($N145,INT(EO$44-2-1)+1),$DC145,IF($DD145="No",1,0))/
IF(DV145&gt;=INT($N145),$N145-INT($N145),1)))*
IF(EO$44=2,0,
IF(INT(DW145)=INT(DV145),DW145-DV145,INT(DW145)-DV145))+
IF($N145&lt;=1,
IF($N145&gt;0,1/$N145,0),VDB(1,0,$N145,INT(EO$44-2),MIN($N145,INT(EO$44-2)+1),$DC145,IF($DD145="No",1,0))/
IF(DW145&gt;INT($N145),$N145-INT($N145),1))*
IF(EO$44=2,DW145,
IF(INT(DW145)=INT(DV145),0,DW145-INT(DW145)))))</f>
        <v>0</v>
      </c>
      <c r="EP145" s="835">
        <f>+IF(OR(DX145=DW145,EP$44=1),0,
IF(AND(EP$44&gt;1,DX145=$N145),1-SUM($EN145:EO145),
IF($N145&lt;=1,
IF($N145&gt;0,1/$N145,0),
IF(EP$44=2,0,VDB(1,0,$N145,INT(EP$44-2-1),MIN($N145,INT(EP$44-2-1)+1),$DC145,IF($DD145="No",1,0))/
IF(DW145&gt;=INT($N145),$N145-INT($N145),1)))*
IF(EP$44=2,0,
IF(INT(DX145)=INT(DW145),DX145-DW145,INT(DX145)-DW145))+
IF($N145&lt;=1,
IF($N145&gt;0,1/$N145,0),VDB(1,0,$N145,INT(EP$44-2),MIN($N145,INT(EP$44-2)+1),$DC145,IF($DD145="No",1,0))/
IF(DX145&gt;INT($N145),$N145-INT($N145),1))*
IF(EP$44=2,DX145,
IF(INT(DX145)=INT(DW145),0,DX145-INT(DX145)))))</f>
        <v>0</v>
      </c>
      <c r="EQ145" s="836">
        <f>+IF(OR(DY145=DX145,EQ$44=1),0,
IF(AND(EQ$44&gt;1,DY145=$N145),1-SUM($EN145:EP145),
IF($N145&lt;=1,
IF($N145&gt;0,1/$N145,0),
IF(EQ$44=2,0,VDB(1,0,$N145,INT(EQ$44-2-1),MIN($N145,INT(EQ$44-2-1)+1),$DC145,IF($DD145="No",1,0))/
IF(DX145&gt;=INT($N145),$N145-INT($N145),1)))*
IF(EQ$44=2,0,
IF(INT(DY145)=INT(DX145),DY145-DX145,INT(DY145)-DX145))+
IF($N145&lt;=1,
IF($N145&gt;0,1/$N145,0),VDB(1,0,$N145,INT(EQ$44-2),MIN($N145,INT(EQ$44-2)+1),$DC145,IF($DD145="No",1,0))/
IF(DY145&gt;INT($N145),$N145-INT($N145),1))*
IF(EQ$44=2,DY145,
IF(INT(DY145)=INT(DX145),0,DY145-INT(DY145)))))</f>
        <v>0</v>
      </c>
      <c r="ER145" s="834">
        <f>+IF(OR(DZ145=DY145,ER$44=1),0,
IF(AND(ER$44&gt;1,DZ145=$N145),1-SUM($EN145:EQ145),
IF($N145&lt;=1,
IF($N145&gt;0,1/$N145,0),
IF(ER$44=2,0,VDB(1,0,$N145,INT(ER$44-2-1),MIN($N145,INT(ER$44-2-1)+1),$DC145,IF($DD145="No",1,0))/
IF(DY145&gt;=INT($N145),$N145-INT($N145),1)))*
IF(ER$44=2,0,
IF(INT(DZ145)=INT(DY145),DZ145-DY145,INT(DZ145)-DY145))+
IF($N145&lt;=1,
IF($N145&gt;0,1/$N145,0),VDB(1,0,$N145,INT(ER$44-2),MIN($N145,INT(ER$44-2)+1),$DC145,IF($DD145="No",1,0))/
IF(DZ145&gt;INT($N145),$N145-INT($N145),1))*
IF(ER$44=2,DZ145,
IF(INT(DZ145)=INT(DY145),0,DZ145-INT(DZ145)))))</f>
        <v>0</v>
      </c>
      <c r="ES145" s="835">
        <f>+IF(OR(EA145=DZ145,ES$44=1),0,
IF(AND(ES$44&gt;1,EA145=$N145),1-SUM($EN145:ER145),
IF($N145&lt;=1,
IF($N145&gt;0,1/$N145,0),
IF(ES$44=2,0,VDB(1,0,$N145,INT(ES$44-2-1),MIN($N145,INT(ES$44-2-1)+1),$DC145,IF($DD145="No",1,0))/
IF(DZ145&gt;=INT($N145),$N145-INT($N145),1)))*
IF(ES$44=2,0,
IF(INT(EA145)=INT(DZ145),EA145-DZ145,INT(EA145)-DZ145))+
IF($N145&lt;=1,
IF($N145&gt;0,1/$N145,0),VDB(1,0,$N145,INT(ES$44-2),MIN($N145,INT(ES$44-2)+1),$DC145,IF($DD145="No",1,0))/
IF(EA145&gt;INT($N145),$N145-INT($N145),1))*
IF(ES$44=2,EA145,
IF(INT(EA145)=INT(DZ145),0,EA145-INT(EA145)))))</f>
        <v>0</v>
      </c>
      <c r="ET145" s="835">
        <f>+IF(OR(EB145=EA145,ET$44=1),0,
IF(AND(ET$44&gt;1,EB145=$N145),1-SUM($EN145:ES145),
IF($N145&lt;=1,
IF($N145&gt;0,1/$N145,0),
IF(ET$44=2,0,VDB(1,0,$N145,INT(ET$44-2-1),MIN($N145,INT(ET$44-2-1)+1),$DC145,IF($DD145="No",1,0))/
IF(EA145&gt;=INT($N145),$N145-INT($N145),1)))*
IF(ET$44=2,0,
IF(INT(EB145)=INT(EA145),EB145-EA145,INT(EB145)-EA145))+
IF($N145&lt;=1,
IF($N145&gt;0,1/$N145,0),VDB(1,0,$N145,INT(ET$44-2),MIN($N145,INT(ET$44-2)+1),$DC145,IF($DD145="No",1,0))/
IF(EB145&gt;INT($N145),$N145-INT($N145),1))*
IF(ET$44=2,EB145,
IF(INT(EB145)=INT(EA145),0,EB145-INT(EB145)))))</f>
        <v>0</v>
      </c>
      <c r="EU145" s="835">
        <f>+IF(OR(EC145=EB145,EU$44=1),0,
IF(AND(EU$44&gt;1,EC145=$N145),1-SUM($EN145:ET145),
IF($N145&lt;=1,
IF($N145&gt;0,1/$N145,0),
IF(EU$44=2,0,VDB(1,0,$N145,INT(EU$44-2-1),MIN($N145,INT(EU$44-2-1)+1),$DC145,IF($DD145="No",1,0))/
IF(EB145&gt;=INT($N145),$N145-INT($N145),1)))*
IF(EU$44=2,0,
IF(INT(EC145)=INT(EB145),EC145-EB145,INT(EC145)-EB145))+
IF($N145&lt;=1,
IF($N145&gt;0,1/$N145,0),VDB(1,0,$N145,INT(EU$44-2),MIN($N145,INT(EU$44-2)+1),$DC145,IF($DD145="No",1,0))/
IF(EC145&gt;INT($N145),$N145-INT($N145),1))*
IF(EU$44=2,EC145,
IF(INT(EC145)=INT(EB145),0,EC145-INT(EC145)))))</f>
        <v>0</v>
      </c>
      <c r="EV145" s="836">
        <f>+IF(OR(ED145=EC145,EV$44=1),0,
IF(AND(EV$44&gt;1,ED145=$N145),1-SUM($EN145:EU145),
IF($N145&lt;=1,
IF($N145&gt;0,1/$N145,0),
IF(EV$44=2,0,VDB(1,0,$N145,INT(EV$44-2-1),MIN($N145,INT(EV$44-2-1)+1),$DC145,IF($DD145="No",1,0))/
IF(EC145&gt;=INT($N145),$N145-INT($N145),1)))*
IF(EV$44=2,0,
IF(INT(ED145)=INT(EC145),ED145-EC145,INT(ED145)-EC145))+
IF($N145&lt;=1,
IF($N145&gt;0,1/$N145,0),VDB(1,0,$N145,INT(EV$44-2),MIN($N145,INT(EV$44-2)+1),$DC145,IF($DD145="No",1,0))/
IF(ED145&gt;INT($N145),$N145-INT($N145),1))*
IF(EV$44=2,ED145,
IF(INT(ED145)=INT(EC145),0,ED145-INT(ED145)))))</f>
        <v>0</v>
      </c>
      <c r="EW145" s="833"/>
      <c r="EX145" s="834">
        <f t="shared" ca="1" si="303"/>
        <v>0</v>
      </c>
      <c r="EY145" s="835">
        <f t="shared" ca="1" si="303"/>
        <v>0</v>
      </c>
      <c r="EZ145" s="836">
        <f t="shared" ca="1" si="303"/>
        <v>0</v>
      </c>
      <c r="FA145" s="834">
        <f t="shared" ca="1" si="303"/>
        <v>0</v>
      </c>
      <c r="FB145" s="835">
        <f t="shared" ca="1" si="303"/>
        <v>0</v>
      </c>
      <c r="FC145" s="835">
        <f t="shared" ca="1" si="303"/>
        <v>0</v>
      </c>
      <c r="FD145" s="835">
        <f t="shared" ca="1" si="303"/>
        <v>0</v>
      </c>
      <c r="FE145" s="836">
        <f t="shared" ca="1" si="303"/>
        <v>0</v>
      </c>
      <c r="FG145" s="386">
        <f t="shared" ca="1" si="293"/>
        <v>0</v>
      </c>
      <c r="FH145" s="387">
        <f t="shared" ca="1" si="294"/>
        <v>0</v>
      </c>
      <c r="FI145" s="388">
        <f t="shared" ca="1" si="295"/>
        <v>0</v>
      </c>
      <c r="FJ145" s="386">
        <f t="shared" ca="1" si="296"/>
        <v>0</v>
      </c>
      <c r="FK145" s="387">
        <f t="shared" ca="1" si="297"/>
        <v>0</v>
      </c>
      <c r="FL145" s="387">
        <f t="shared" ca="1" si="298"/>
        <v>0</v>
      </c>
      <c r="FM145" s="387">
        <f t="shared" ca="1" si="299"/>
        <v>0</v>
      </c>
      <c r="FN145" s="388">
        <f t="shared" ca="1" si="300"/>
        <v>0</v>
      </c>
      <c r="FR145" s="116"/>
    </row>
    <row r="146" spans="2:174">
      <c r="B146" s="1410">
        <f t="shared" si="302"/>
        <v>100</v>
      </c>
      <c r="C146" s="400" t="s">
        <v>652</v>
      </c>
      <c r="D146" s="410"/>
      <c r="E146" s="402" t="s">
        <v>420</v>
      </c>
      <c r="F146" s="402" t="s">
        <v>514</v>
      </c>
      <c r="G146" s="400" t="s">
        <v>522</v>
      </c>
      <c r="H146" s="2088" t="s">
        <v>483</v>
      </c>
      <c r="I146" s="2089"/>
      <c r="J146" s="411" t="s">
        <v>516</v>
      </c>
      <c r="K146" s="403" t="s">
        <v>544</v>
      </c>
      <c r="L146" s="403">
        <v>25</v>
      </c>
      <c r="M146" s="403" t="s">
        <v>142</v>
      </c>
      <c r="N146" s="403"/>
      <c r="O146" s="347"/>
      <c r="P146" s="347"/>
      <c r="Q146" s="1021">
        <v>32.668669268292682</v>
      </c>
      <c r="R146" s="1022">
        <v>9.479196383105295</v>
      </c>
      <c r="S146" s="1022">
        <v>1.5017952171326594</v>
      </c>
      <c r="T146" s="1022">
        <v>1.1628782476649657</v>
      </c>
      <c r="U146" s="1023">
        <v>1.3289633068496705</v>
      </c>
      <c r="V146" s="1021">
        <v>8.373194024817197</v>
      </c>
      <c r="W146" s="1022">
        <v>20.680814861403345</v>
      </c>
      <c r="X146" s="1022">
        <v>6.6665993790727063</v>
      </c>
      <c r="Y146" s="1022">
        <v>6.1869798255959143</v>
      </c>
      <c r="Z146" s="1023">
        <v>6.1869796302963129</v>
      </c>
      <c r="AA146" s="1024"/>
      <c r="AB146" s="1021">
        <v>0</v>
      </c>
      <c r="AC146" s="1022">
        <v>0</v>
      </c>
      <c r="AD146" s="1022">
        <v>0</v>
      </c>
      <c r="AE146" s="1022">
        <v>0</v>
      </c>
      <c r="AF146" s="1023">
        <v>0</v>
      </c>
      <c r="AG146" s="1021">
        <v>0</v>
      </c>
      <c r="AH146" s="1022">
        <v>0</v>
      </c>
      <c r="AI146" s="1022">
        <v>0</v>
      </c>
      <c r="AJ146" s="1022">
        <v>0</v>
      </c>
      <c r="AK146" s="1023">
        <v>0</v>
      </c>
      <c r="AL146" s="1024"/>
      <c r="AM146" s="1021">
        <v>0</v>
      </c>
      <c r="AN146" s="1022">
        <v>0</v>
      </c>
      <c r="AO146" s="1022">
        <v>0</v>
      </c>
      <c r="AP146" s="1022">
        <v>0</v>
      </c>
      <c r="AQ146" s="1023">
        <v>0</v>
      </c>
      <c r="AR146" s="1021">
        <v>0</v>
      </c>
      <c r="AS146" s="1022">
        <v>0</v>
      </c>
      <c r="AT146" s="1022">
        <v>0</v>
      </c>
      <c r="AU146" s="1022">
        <v>0</v>
      </c>
      <c r="AV146" s="1023">
        <v>0</v>
      </c>
      <c r="AW146" s="1025"/>
      <c r="AX146" s="1282">
        <f t="shared" si="247"/>
        <v>32.668669268292682</v>
      </c>
      <c r="AY146" s="387">
        <f t="shared" si="248"/>
        <v>9.479196383105295</v>
      </c>
      <c r="AZ146" s="387">
        <f t="shared" si="249"/>
        <v>1.5017952171326594</v>
      </c>
      <c r="BA146" s="387">
        <f t="shared" si="250"/>
        <v>1.1628782476649657</v>
      </c>
      <c r="BB146" s="1283">
        <f t="shared" si="251"/>
        <v>1.3289633068496705</v>
      </c>
      <c r="BC146" s="386">
        <f t="shared" si="252"/>
        <v>8.373194024817197</v>
      </c>
      <c r="BD146" s="387">
        <f t="shared" si="253"/>
        <v>20.680814861403345</v>
      </c>
      <c r="BE146" s="1277">
        <f t="shared" si="254"/>
        <v>6.6665993790727063</v>
      </c>
      <c r="BF146" s="1277">
        <f t="shared" si="255"/>
        <v>6.1869798255959143</v>
      </c>
      <c r="BG146" s="388">
        <f t="shared" si="256"/>
        <v>6.1869796302963129</v>
      </c>
      <c r="BH146" s="1025"/>
      <c r="BI146" s="1282">
        <f t="shared" ca="1" si="257"/>
        <v>0.65337338536585365</v>
      </c>
      <c r="BJ146" s="387">
        <f t="shared" ca="1" si="258"/>
        <v>1.4963306983938132</v>
      </c>
      <c r="BK146" s="387">
        <f t="shared" ca="1" si="259"/>
        <v>1.7159505303985725</v>
      </c>
      <c r="BL146" s="387">
        <f t="shared" ca="1" si="260"/>
        <v>1.7692439996945248</v>
      </c>
      <c r="BM146" s="1283">
        <f t="shared" ca="1" si="261"/>
        <v>1.8190808307848176</v>
      </c>
      <c r="BN146" s="386">
        <f t="shared" ca="1" si="262"/>
        <v>2.0131239774181546</v>
      </c>
      <c r="BO146" s="387">
        <f t="shared" ca="1" si="263"/>
        <v>2.5942041551425654</v>
      </c>
      <c r="BP146" s="1277">
        <f t="shared" ca="1" si="264"/>
        <v>3.1411524399520863</v>
      </c>
      <c r="BQ146" s="1277">
        <f t="shared" ca="1" si="265"/>
        <v>3.3982240240454589</v>
      </c>
      <c r="BR146" s="388">
        <f t="shared" ca="1" si="266"/>
        <v>3.6457032131633036</v>
      </c>
      <c r="BS146" s="1025"/>
      <c r="BT146" s="1282">
        <f>+IF($K146="Ongoing",AX146,IF(RIGHT($K146,2)=RIGHT(BT$43,2),SUM($AX146:AX146),0)+IF(RIGHT(BT$43,2)&gt;RIGHT($K146,2),AX146,0))</f>
        <v>32.668669268292682</v>
      </c>
      <c r="BU146" s="387">
        <f>+IF($K146="Ongoing",AY146,IF(RIGHT($K146,2)=RIGHT(BU$43,2),SUM($AX146:AY146),0)+IF(RIGHT(BU$43,2)&gt;RIGHT($K146,2),AY146,0))</f>
        <v>9.479196383105295</v>
      </c>
      <c r="BV146" s="387">
        <f>+IF($K146="Ongoing",AZ146,IF(RIGHT($K146,2)=RIGHT(BV$43,2),SUM($AX146:AZ146),0)+IF(RIGHT(BV$43,2)&gt;RIGHT($K146,2),AZ146,0))</f>
        <v>1.5017952171326594</v>
      </c>
      <c r="BW146" s="387">
        <f>+IF($K146="Ongoing",BA146,IF(RIGHT($K146,2)=RIGHT(BW$43,2),SUM($AX146:BA146),0)+IF(RIGHT(BW$43,2)&gt;RIGHT($K146,2),BA146,0))</f>
        <v>1.1628782476649657</v>
      </c>
      <c r="BX146" s="1283">
        <f>+IF($K146="Ongoing",BB146,IF(RIGHT($K146,2)=RIGHT(BX$43,2),SUM($AX146:BB146),0)+IF(RIGHT(BX$43,2)&gt;RIGHT($K146,2),BB146,0))</f>
        <v>1.3289633068496705</v>
      </c>
      <c r="BY146" s="386">
        <f>+IF($K146="Ongoing",BC146,IF(RIGHT($K146,2)=RIGHT(BY$43,2),SUM($AX146:BC146),0)+IF(RIGHT(BY$43,2)&gt;RIGHT($K146,2),BC146,0))</f>
        <v>8.373194024817197</v>
      </c>
      <c r="BZ146" s="387">
        <f>+IF($K146="Ongoing",BD146,IF(RIGHT($K146,2)=RIGHT(BZ$43,2),SUM($AX146:BD146),0)+IF(RIGHT(BZ$43,2)&gt;RIGHT($K146,2),BD146,0))</f>
        <v>20.680814861403345</v>
      </c>
      <c r="CA146" s="1277">
        <f>+IF($K146="Ongoing",BE146,IF(RIGHT($K146,2)=RIGHT(CA$43,2),SUM($AX146:BE146),0)+IF(RIGHT(CA$43,2)&gt;RIGHT($K146,2),BE146,0))</f>
        <v>6.6665993790727063</v>
      </c>
      <c r="CB146" s="1277">
        <f>+IF($K146="Ongoing",BF146,IF(RIGHT($K146,2)=RIGHT(CB$43,2),SUM($AX146:BF146),0)+IF(RIGHT(CB$43,2)&gt;RIGHT($K146,2),BF146,0))</f>
        <v>6.1869798255959143</v>
      </c>
      <c r="CC146" s="388">
        <f>+IF($K146="Ongoing",BG146,IF(RIGHT($K146,2)=RIGHT(CC$43,2),SUM($AX146:BG146),0)+IF(RIGHT(CC$43,2)&gt;RIGHT($K146,2),BG146,0))</f>
        <v>6.1869796302963129</v>
      </c>
      <c r="CD146" s="1025"/>
      <c r="CE146" s="1282">
        <f>+Q146*KeyAssumptionsPriceControl_FO!AF$15</f>
        <v>33.616060677073165</v>
      </c>
      <c r="CF146" s="387">
        <f>+R146*KeyAssumptionsPriceControl_FO!AG$15</f>
        <v>10.036961777483594</v>
      </c>
      <c r="CG146" s="387">
        <f>+S146*KeyAssumptionsPriceControl_FO!AH$15</f>
        <v>1.6362770576395769</v>
      </c>
      <c r="CH146" s="387">
        <f>+T146*KeyAssumptionsPriceControl_FO!AI$15</f>
        <v>1.3037542762638381</v>
      </c>
      <c r="CI146" s="1283">
        <f>+U146*KeyAssumptionsPriceControl_FO!AJ$15</f>
        <v>1.533168415625433</v>
      </c>
      <c r="CJ146" s="386">
        <f>+V146*KeyAssumptionsPriceControl_FO!AK$15</f>
        <v>9.9399317727990795</v>
      </c>
      <c r="CK146" s="387">
        <f>+W146*KeyAssumptionsPriceControl_FO!AL$15</f>
        <v>25.262438547872467</v>
      </c>
      <c r="CL146" s="1277">
        <f>+X146*KeyAssumptionsPriceControl_FO!AM$15</f>
        <v>8.3796784824718262</v>
      </c>
      <c r="CM146" s="1277">
        <f>+Y146*KeyAssumptionsPriceControl_FO!AN$15</f>
        <v>8.0023413486140598</v>
      </c>
      <c r="CN146" s="388">
        <f>+Z146*KeyAssumptionsPriceControl_FO!AO$15</f>
        <v>8.2344089877946463</v>
      </c>
      <c r="CO146" s="1025"/>
      <c r="CP146" s="1282">
        <f t="shared" ca="1" si="267"/>
        <v>0</v>
      </c>
      <c r="CQ146" s="387">
        <f t="shared" ca="1" si="268"/>
        <v>0</v>
      </c>
      <c r="CR146" s="387">
        <f t="shared" ca="1" si="269"/>
        <v>0</v>
      </c>
      <c r="CS146" s="387">
        <f t="shared" ca="1" si="270"/>
        <v>0</v>
      </c>
      <c r="CT146" s="1283">
        <f t="shared" ca="1" si="271"/>
        <v>0</v>
      </c>
      <c r="CU146" s="386">
        <f t="shared" ca="1" si="272"/>
        <v>0</v>
      </c>
      <c r="CV146" s="387">
        <f t="shared" ca="1" si="273"/>
        <v>0</v>
      </c>
      <c r="CW146" s="1277">
        <f t="shared" ca="1" si="274"/>
        <v>0</v>
      </c>
      <c r="CX146" s="1277">
        <f t="shared" ca="1" si="275"/>
        <v>0</v>
      </c>
      <c r="CY146" s="388">
        <f t="shared" ca="1" si="276"/>
        <v>0</v>
      </c>
      <c r="CZ146" s="347"/>
      <c r="DA146" s="852"/>
      <c r="DB146" s="347"/>
      <c r="DC146" s="1012" t="s">
        <v>653</v>
      </c>
      <c r="DD146" s="841" t="s">
        <v>518</v>
      </c>
      <c r="DE146" s="386">
        <f>+IF($K146="ongoing",CE146,IF(RIGHT($K146,2)=RIGHT(DE$43,2),SUM($CD146:CE146),0)+IF(RIGHT(DE$43,2)&gt;RIGHT($K146,2),CE146,0))</f>
        <v>33.616060677073165</v>
      </c>
      <c r="DF146" s="387">
        <f>+IF($K146="ongoing",CF146,IF(RIGHT($K146,2)=RIGHT(DF$43,2),SUM($CD146:CF146),0)+IF(RIGHT(DF$43,2)&gt;RIGHT($K146,2),CF146,0))</f>
        <v>10.036961777483594</v>
      </c>
      <c r="DG146" s="388">
        <f>+IF($K146="ongoing",CG146,IF(RIGHT($K146,2)=RIGHT(DG$43,2),SUM($CD146:CG146),0)+IF(RIGHT(DG$43,2)&gt;RIGHT($K146,2),CG146,0))</f>
        <v>1.6362770576395769</v>
      </c>
      <c r="DH146" s="386">
        <f>+IF($K146="ongoing",CH146,IF(RIGHT($K146,2)=RIGHT(DH$43,2),SUM($CD146:CH146),0)+IF(RIGHT(DH$43,2)&gt;RIGHT($K146,2),CH146,0))</f>
        <v>1.3037542762638381</v>
      </c>
      <c r="DI146" s="387">
        <f>+IF($K146="ongoing",CI146,IF(RIGHT($K146,2)=RIGHT(DI$43,2),SUM($CD146:CI146),0)+IF(RIGHT(DI$43,2)&gt;RIGHT($K146,2),CI146,0))</f>
        <v>1.533168415625433</v>
      </c>
      <c r="DJ146" s="387">
        <f>+IF($K146="ongoing",CJ146,IF(RIGHT($K146,2)=RIGHT(DJ$43,2),SUM($CD146:CJ146),0)+IF(RIGHT(DJ$43,2)&gt;RIGHT($K146,2),CJ146,0))</f>
        <v>9.9399317727990795</v>
      </c>
      <c r="DK146" s="387">
        <f>+IF($K146="ongoing",CK146,IF(RIGHT($K146,2)=RIGHT(DK$43,2),SUM($CD146:CK146),0)+IF(RIGHT(DK$43,2)&gt;RIGHT($K146,2),CK146,0))</f>
        <v>25.262438547872467</v>
      </c>
      <c r="DL146" s="388">
        <f>+IF($K146="ongoing",CN146,IF(RIGHT($K146,2)=RIGHT(DL$43,2),SUM($CD146:CN146),0)+IF(RIGHT(DL$43,2)&gt;RIGHT($K146,2),CN146,0))</f>
        <v>8.2344089877946463</v>
      </c>
      <c r="DM146" s="841"/>
      <c r="DN146" s="386">
        <f t="shared" si="277"/>
        <v>0.5</v>
      </c>
      <c r="DO146" s="387">
        <f t="shared" si="278"/>
        <v>1</v>
      </c>
      <c r="DP146" s="388">
        <f t="shared" si="279"/>
        <v>1</v>
      </c>
      <c r="DQ146" s="386">
        <f t="shared" si="280"/>
        <v>1</v>
      </c>
      <c r="DR146" s="387">
        <f t="shared" si="281"/>
        <v>1</v>
      </c>
      <c r="DS146" s="387">
        <f t="shared" si="282"/>
        <v>1</v>
      </c>
      <c r="DT146" s="387">
        <f t="shared" si="283"/>
        <v>1</v>
      </c>
      <c r="DU146" s="388">
        <f t="shared" si="284"/>
        <v>1</v>
      </c>
      <c r="DW146" s="386">
        <f t="shared" si="285"/>
        <v>0</v>
      </c>
      <c r="DX146" s="387">
        <f t="shared" si="286"/>
        <v>0.5</v>
      </c>
      <c r="DY146" s="388">
        <f t="shared" si="287"/>
        <v>1</v>
      </c>
      <c r="DZ146" s="386">
        <f t="shared" si="288"/>
        <v>1</v>
      </c>
      <c r="EA146" s="387">
        <f t="shared" si="289"/>
        <v>1</v>
      </c>
      <c r="EB146" s="387">
        <f t="shared" si="290"/>
        <v>1</v>
      </c>
      <c r="EC146" s="387">
        <f t="shared" si="291"/>
        <v>1</v>
      </c>
      <c r="ED146" s="388">
        <f t="shared" si="292"/>
        <v>1</v>
      </c>
      <c r="EF146" s="834">
        <f>+IF(DN146=DM146,0,
IF(AND(EF$44&gt;1,DN146=$N146),1-SUM($EE146:EE146),
IF($N146&lt;=1,
IF($N146&gt;0,1/$N146,0),
IF(EF$44=1,0,VDB(1,0,$N146,INT(EF$44-1-1),MIN($N146,INT(EF$44-1-1)+1),$DC146,IF($DD146="No",1,0))/
IF(DM146&gt;=INT($N146),$N146-INT($N146),1)))*
IF(EF$44=1,0,
IF(INT(DN146)=INT(DM146),DN146-DM146,INT(DN146)-DM146))+
IF($N146&lt;=1,
IF($N146&gt;0,1/$N146,0),VDB(1,0,$N146,INT(EF$44-1),MIN($N146,INT(EF$44-1)+1),$DC146,IF($DD146="No",1,0))/
IF(DN146&gt;INT($N146),$N146-INT($N146),1))*
IF(EF$44=1,DN146,
IF(INT(DN146)=INT(DM146),0,DN146-INT(DN146)))))</f>
        <v>0</v>
      </c>
      <c r="EG146" s="835">
        <f>+IF(DO146=DN146,0,
IF(AND(EG$44&gt;1,DO146=$N146),1-SUM($EE146:EF146),
IF($N146&lt;=1,
IF($N146&gt;0,1/$N146,0),
IF(EG$44=1,0,VDB(1,0,$N146,INT(EG$44-1-1),MIN($N146,INT(EG$44-1-1)+1),$DC146,IF($DD146="No",1,0))/
IF(DN146&gt;=INT($N146),$N146-INT($N146),1)))*
IF(EG$44=1,0,
IF(INT(DO146)=INT(DN146),DO146-DN146,INT(DO146)-DN146))+
IF($N146&lt;=1,
IF($N146&gt;0,1/$N146,0),VDB(1,0,$N146,INT(EG$44-1),MIN($N146,INT(EG$44-1)+1),$DC146,IF($DD146="No",1,0))/
IF(DO146&gt;INT($N146),$N146-INT($N146),1))*
IF(EG$44=1,DO146,
IF(INT(DO146)=INT(DN146),0,DO146-INT(DO146)))))</f>
        <v>0</v>
      </c>
      <c r="EH146" s="836">
        <f>+IF(DP146=DO146,0,
IF(AND(EH$44&gt;1,DP146=$N146),1-SUM($EE146:EG146),
IF($N146&lt;=1,
IF($N146&gt;0,1/$N146,0),
IF(EH$44=1,0,VDB(1,0,$N146,INT(EH$44-1-1),MIN($N146,INT(EH$44-1-1)+1),$DC146,IF($DD146="No",1,0))/
IF(DO146&gt;=INT($N146),$N146-INT($N146),1)))*
IF(EH$44=1,0,
IF(INT(DP146)=INT(DO146),DP146-DO146,INT(DP146)-DO146))+
IF($N146&lt;=1,
IF($N146&gt;0,1/$N146,0),VDB(1,0,$N146,INT(EH$44-1),MIN($N146,INT(EH$44-1)+1),$DC146,IF($DD146="No",1,0))/
IF(DP146&gt;INT($N146),$N146-INT($N146),1))*
IF(EH$44=1,DP146,
IF(INT(DP146)=INT(DO146),0,DP146-INT(DP146)))))</f>
        <v>0</v>
      </c>
      <c r="EI146" s="834">
        <f>+IF(DQ146=DP146,0,
IF(AND(EI$44&gt;1,DQ146=$N146),1-SUM($EE146:EH146),
IF($N146&lt;=1,
IF($N146&gt;0,1/$N146,0),
IF(EI$44=1,0,VDB(1,0,$N146,INT(EI$44-1-1),MIN($N146,INT(EI$44-1-1)+1),$DC146,IF($DD146="No",1,0))/
IF(DP146&gt;=INT($N146),$N146-INT($N146),1)))*
IF(EI$44=1,0,
IF(INT(DQ146)=INT(DP146),DQ146-DP146,INT(DQ146)-DP146))+
IF($N146&lt;=1,
IF($N146&gt;0,1/$N146,0),VDB(1,0,$N146,INT(EI$44-1),MIN($N146,INT(EI$44-1)+1),$DC146,IF($DD146="No",1,0))/
IF(DQ146&gt;INT($N146),$N146-INT($N146),1))*
IF(EI$44=1,DQ146,
IF(INT(DQ146)=INT(DP146),0,DQ146-INT(DQ146)))))</f>
        <v>0</v>
      </c>
      <c r="EJ146" s="835">
        <f>+IF(DR146=DQ146,0,
IF(AND(EJ$44&gt;1,DR146=$N146),1-SUM($EE146:EI146),
IF($N146&lt;=1,
IF($N146&gt;0,1/$N146,0),
IF(EJ$44=1,0,VDB(1,0,$N146,INT(EJ$44-1-1),MIN($N146,INT(EJ$44-1-1)+1),$DC146,IF($DD146="No",1,0))/
IF(DQ146&gt;=INT($N146),$N146-INT($N146),1)))*
IF(EJ$44=1,0,
IF(INT(DR146)=INT(DQ146),DR146-DQ146,INT(DR146)-DQ146))+
IF($N146&lt;=1,
IF($N146&gt;0,1/$N146,0),VDB(1,0,$N146,INT(EJ$44-1),MIN($N146,INT(EJ$44-1)+1),$DC146,IF($DD146="No",1,0))/
IF(DR146&gt;INT($N146),$N146-INT($N146),1))*
IF(EJ$44=1,DR146,
IF(INT(DR146)=INT(DQ146),0,DR146-INT(DR146)))))</f>
        <v>0</v>
      </c>
      <c r="EK146" s="835">
        <f>+IF(DS146=DR146,0,
IF(AND(EK$44&gt;1,DS146=$N146),1-SUM($EE146:EJ146),
IF($N146&lt;=1,
IF($N146&gt;0,1/$N146,0),
IF(EK$44=1,0,VDB(1,0,$N146,INT(EK$44-1-1),MIN($N146,INT(EK$44-1-1)+1),$DC146,IF($DD146="No",1,0))/
IF(DR146&gt;=INT($N146),$N146-INT($N146),1)))*
IF(EK$44=1,0,
IF(INT(DS146)=INT(DR146),DS146-DR146,INT(DS146)-DR146))+
IF($N146&lt;=1,
IF($N146&gt;0,1/$N146,0),VDB(1,0,$N146,INT(EK$44-1),MIN($N146,INT(EK$44-1)+1),$DC146,IF($DD146="No",1,0))/
IF(DS146&gt;INT($N146),$N146-INT($N146),1))*
IF(EK$44=1,DS146,
IF(INT(DS146)=INT(DR146),0,DS146-INT(DS146)))))</f>
        <v>0</v>
      </c>
      <c r="EL146" s="835">
        <f>+IF(DT146=DS146,0,
IF(AND(EL$44&gt;1,DT146=$N146),1-SUM($EE146:EK146),
IF($N146&lt;=1,
IF($N146&gt;0,1/$N146,0),
IF(EL$44=1,0,VDB(1,0,$N146,INT(EL$44-1-1),MIN($N146,INT(EL$44-1-1)+1),$DC146,IF($DD146="No",1,0))/
IF(DS146&gt;=INT($N146),$N146-INT($N146),1)))*
IF(EL$44=1,0,
IF(INT(DT146)=INT(DS146),DT146-DS146,INT(DT146)-DS146))+
IF($N146&lt;=1,
IF($N146&gt;0,1/$N146,0),VDB(1,0,$N146,INT(EL$44-1),MIN($N146,INT(EL$44-1)+1),$DC146,IF($DD146="No",1,0))/
IF(DT146&gt;INT($N146),$N146-INT($N146),1))*
IF(EL$44=1,DT146,
IF(INT(DT146)=INT(DS146),0,DT146-INT(DT146)))))</f>
        <v>0</v>
      </c>
      <c r="EM146" s="836">
        <f>+IF(DU146=DT146,0,
IF(AND(EM$44&gt;1,DU146=$N146),1-SUM($EE146:EL146),
IF($N146&lt;=1,
IF($N146&gt;0,1/$N146,0),
IF(EM$44=1,0,VDB(1,0,$N146,INT(EM$44-1-1),MIN($N146,INT(EM$44-1-1)+1),$DC146,IF($DD146="No",1,0))/
IF(DT146&gt;=INT($N146),$N146-INT($N146),1)))*
IF(EM$44=1,0,
IF(INT(DU146)=INT(DT146),DU146-DT146,INT(DU146)-DT146))+
IF($N146&lt;=1,
IF($N146&gt;0,1/$N146,0),VDB(1,0,$N146,INT(EM$44-1),MIN($N146,INT(EM$44-1)+1),$DC146,IF($DD146="No",1,0))/
IF(DU146&gt;INT($N146),$N146-INT($N146),1))*
IF(EM$44=1,DU146,
IF(INT(DU146)=INT(DT146),0,DU146-INT(DU146)))))</f>
        <v>0</v>
      </c>
      <c r="EN146" s="833"/>
      <c r="EO146" s="834">
        <f>+IF(OR(DW146=DV146,EO$44=1),0,
IF(AND(EO$44&gt;1,DW146=$N146),1-SUM($EN146:EN146),
IF($N146&lt;=1,
IF($N146&gt;0,1/$N146,0),
IF(EO$44=2,0,VDB(1,0,$N146,INT(EO$44-2-1),MIN($N146,INT(EO$44-2-1)+1),$DC146,IF($DD146="No",1,0))/
IF(DV146&gt;=INT($N146),$N146-INT($N146),1)))*
IF(EO$44=2,0,
IF(INT(DW146)=INT(DV146),DW146-DV146,INT(DW146)-DV146))+
IF($N146&lt;=1,
IF($N146&gt;0,1/$N146,0),VDB(1,0,$N146,INT(EO$44-2),MIN($N146,INT(EO$44-2)+1),$DC146,IF($DD146="No",1,0))/
IF(DW146&gt;INT($N146),$N146-INT($N146),1))*
IF(EO$44=2,DW146,
IF(INT(DW146)=INT(DV146),0,DW146-INT(DW146)))))</f>
        <v>0</v>
      </c>
      <c r="EP146" s="835">
        <f>+IF(OR(DX146=DW146,EP$44=1),0,
IF(AND(EP$44&gt;1,DX146=$N146),1-SUM($EN146:EO146),
IF($N146&lt;=1,
IF($N146&gt;0,1/$N146,0),
IF(EP$44=2,0,VDB(1,0,$N146,INT(EP$44-2-1),MIN($N146,INT(EP$44-2-1)+1),$DC146,IF($DD146="No",1,0))/
IF(DW146&gt;=INT($N146),$N146-INT($N146),1)))*
IF(EP$44=2,0,
IF(INT(DX146)=INT(DW146),DX146-DW146,INT(DX146)-DW146))+
IF($N146&lt;=1,
IF($N146&gt;0,1/$N146,0),VDB(1,0,$N146,INT(EP$44-2),MIN($N146,INT(EP$44-2)+1),$DC146,IF($DD146="No",1,0))/
IF(DX146&gt;INT($N146),$N146-INT($N146),1))*
IF(EP$44=2,DX146,
IF(INT(DX146)=INT(DW146),0,DX146-INT(DX146)))))</f>
        <v>0</v>
      </c>
      <c r="EQ146" s="836">
        <f>+IF(OR(DY146=DX146,EQ$44=1),0,
IF(AND(EQ$44&gt;1,DY146=$N146),1-SUM($EN146:EP146),
IF($N146&lt;=1,
IF($N146&gt;0,1/$N146,0),
IF(EQ$44=2,0,VDB(1,0,$N146,INT(EQ$44-2-1),MIN($N146,INT(EQ$44-2-1)+1),$DC146,IF($DD146="No",1,0))/
IF(DX146&gt;=INT($N146),$N146-INT($N146),1)))*
IF(EQ$44=2,0,
IF(INT(DY146)=INT(DX146),DY146-DX146,INT(DY146)-DX146))+
IF($N146&lt;=1,
IF($N146&gt;0,1/$N146,0),VDB(1,0,$N146,INT(EQ$44-2),MIN($N146,INT(EQ$44-2)+1),$DC146,IF($DD146="No",1,0))/
IF(DY146&gt;INT($N146),$N146-INT($N146),1))*
IF(EQ$44=2,DY146,
IF(INT(DY146)=INT(DX146),0,DY146-INT(DY146)))))</f>
        <v>0</v>
      </c>
      <c r="ER146" s="834">
        <f>+IF(OR(DZ146=DY146,ER$44=1),0,
IF(AND(ER$44&gt;1,DZ146=$N146),1-SUM($EN146:EQ146),
IF($N146&lt;=1,
IF($N146&gt;0,1/$N146,0),
IF(ER$44=2,0,VDB(1,0,$N146,INT(ER$44-2-1),MIN($N146,INT(ER$44-2-1)+1),$DC146,IF($DD146="No",1,0))/
IF(DY146&gt;=INT($N146),$N146-INT($N146),1)))*
IF(ER$44=2,0,
IF(INT(DZ146)=INT(DY146),DZ146-DY146,INT(DZ146)-DY146))+
IF($N146&lt;=1,
IF($N146&gt;0,1/$N146,0),VDB(1,0,$N146,INT(ER$44-2),MIN($N146,INT(ER$44-2)+1),$DC146,IF($DD146="No",1,0))/
IF(DZ146&gt;INT($N146),$N146-INT($N146),1))*
IF(ER$44=2,DZ146,
IF(INT(DZ146)=INT(DY146),0,DZ146-INT(DZ146)))))</f>
        <v>0</v>
      </c>
      <c r="ES146" s="835">
        <f>+IF(OR(EA146=DZ146,ES$44=1),0,
IF(AND(ES$44&gt;1,EA146=$N146),1-SUM($EN146:ER146),
IF($N146&lt;=1,
IF($N146&gt;0,1/$N146,0),
IF(ES$44=2,0,VDB(1,0,$N146,INT(ES$44-2-1),MIN($N146,INT(ES$44-2-1)+1),$DC146,IF($DD146="No",1,0))/
IF(DZ146&gt;=INT($N146),$N146-INT($N146),1)))*
IF(ES$44=2,0,
IF(INT(EA146)=INT(DZ146),EA146-DZ146,INT(EA146)-DZ146))+
IF($N146&lt;=1,
IF($N146&gt;0,1/$N146,0),VDB(1,0,$N146,INT(ES$44-2),MIN($N146,INT(ES$44-2)+1),$DC146,IF($DD146="No",1,0))/
IF(EA146&gt;INT($N146),$N146-INT($N146),1))*
IF(ES$44=2,EA146,
IF(INT(EA146)=INT(DZ146),0,EA146-INT(EA146)))))</f>
        <v>0</v>
      </c>
      <c r="ET146" s="835">
        <f>+IF(OR(EB146=EA146,ET$44=1),0,
IF(AND(ET$44&gt;1,EB146=$N146),1-SUM($EN146:ES146),
IF($N146&lt;=1,
IF($N146&gt;0,1/$N146,0),
IF(ET$44=2,0,VDB(1,0,$N146,INT(ET$44-2-1),MIN($N146,INT(ET$44-2-1)+1),$DC146,IF($DD146="No",1,0))/
IF(EA146&gt;=INT($N146),$N146-INT($N146),1)))*
IF(ET$44=2,0,
IF(INT(EB146)=INT(EA146),EB146-EA146,INT(EB146)-EA146))+
IF($N146&lt;=1,
IF($N146&gt;0,1/$N146,0),VDB(1,0,$N146,INT(ET$44-2),MIN($N146,INT(ET$44-2)+1),$DC146,IF($DD146="No",1,0))/
IF(EB146&gt;INT($N146),$N146-INT($N146),1))*
IF(ET$44=2,EB146,
IF(INT(EB146)=INT(EA146),0,EB146-INT(EB146)))))</f>
        <v>0</v>
      </c>
      <c r="EU146" s="835">
        <f>+IF(OR(EC146=EB146,EU$44=1),0,
IF(AND(EU$44&gt;1,EC146=$N146),1-SUM($EN146:ET146),
IF($N146&lt;=1,
IF($N146&gt;0,1/$N146,0),
IF(EU$44=2,0,VDB(1,0,$N146,INT(EU$44-2-1),MIN($N146,INT(EU$44-2-1)+1),$DC146,IF($DD146="No",1,0))/
IF(EB146&gt;=INT($N146),$N146-INT($N146),1)))*
IF(EU$44=2,0,
IF(INT(EC146)=INT(EB146),EC146-EB146,INT(EC146)-EB146))+
IF($N146&lt;=1,
IF($N146&gt;0,1/$N146,0),VDB(1,0,$N146,INT(EU$44-2),MIN($N146,INT(EU$44-2)+1),$DC146,IF($DD146="No",1,0))/
IF(EC146&gt;INT($N146),$N146-INT($N146),1))*
IF(EU$44=2,EC146,
IF(INT(EC146)=INT(EB146),0,EC146-INT(EC146)))))</f>
        <v>0</v>
      </c>
      <c r="EV146" s="836">
        <f>+IF(OR(ED146=EC146,EV$44=1),0,
IF(AND(EV$44&gt;1,ED146=$N146),1-SUM($EN146:EU146),
IF($N146&lt;=1,
IF($N146&gt;0,1/$N146,0),
IF(EV$44=2,0,VDB(1,0,$N146,INT(EV$44-2-1),MIN($N146,INT(EV$44-2-1)+1),$DC146,IF($DD146="No",1,0))/
IF(EC146&gt;=INT($N146),$N146-INT($N146),1)))*
IF(EV$44=2,0,
IF(INT(ED146)=INT(EC146),ED146-EC146,INT(ED146)-EC146))+
IF($N146&lt;=1,
IF($N146&gt;0,1/$N146,0),VDB(1,0,$N146,INT(EV$44-2),MIN($N146,INT(EV$44-2)+1),$DC146,IF($DD146="No",1,0))/
IF(ED146&gt;INT($N146),$N146-INT($N146),1))*
IF(EV$44=2,ED146,
IF(INT(ED146)=INT(EC146),0,ED146-INT(ED146)))))</f>
        <v>0</v>
      </c>
      <c r="EW146" s="833"/>
      <c r="EX146" s="834">
        <f t="shared" ca="1" si="303"/>
        <v>0</v>
      </c>
      <c r="EY146" s="835">
        <f t="shared" ca="1" si="303"/>
        <v>0</v>
      </c>
      <c r="EZ146" s="836">
        <f t="shared" ca="1" si="303"/>
        <v>0</v>
      </c>
      <c r="FA146" s="834">
        <f t="shared" ca="1" si="303"/>
        <v>0</v>
      </c>
      <c r="FB146" s="835">
        <f t="shared" ca="1" si="303"/>
        <v>0</v>
      </c>
      <c r="FC146" s="835">
        <f t="shared" ca="1" si="303"/>
        <v>0</v>
      </c>
      <c r="FD146" s="835">
        <f t="shared" ca="1" si="303"/>
        <v>0</v>
      </c>
      <c r="FE146" s="836">
        <f t="shared" ca="1" si="303"/>
        <v>0</v>
      </c>
      <c r="FG146" s="386">
        <f t="shared" ca="1" si="293"/>
        <v>0</v>
      </c>
      <c r="FH146" s="387">
        <f t="shared" ca="1" si="294"/>
        <v>0</v>
      </c>
      <c r="FI146" s="388">
        <f t="shared" ca="1" si="295"/>
        <v>0</v>
      </c>
      <c r="FJ146" s="386">
        <f t="shared" ca="1" si="296"/>
        <v>0</v>
      </c>
      <c r="FK146" s="387">
        <f t="shared" ca="1" si="297"/>
        <v>0</v>
      </c>
      <c r="FL146" s="387">
        <f t="shared" ca="1" si="298"/>
        <v>0</v>
      </c>
      <c r="FM146" s="387">
        <f t="shared" ca="1" si="299"/>
        <v>0</v>
      </c>
      <c r="FN146" s="388">
        <f t="shared" ca="1" si="300"/>
        <v>0</v>
      </c>
      <c r="FR146" s="116"/>
    </row>
    <row r="147" spans="2:174">
      <c r="B147" s="1410">
        <f t="shared" si="302"/>
        <v>101</v>
      </c>
      <c r="C147" s="400" t="s">
        <v>652</v>
      </c>
      <c r="D147" s="410"/>
      <c r="E147" s="402" t="s">
        <v>420</v>
      </c>
      <c r="F147" s="402" t="s">
        <v>527</v>
      </c>
      <c r="G147" s="400" t="s">
        <v>522</v>
      </c>
      <c r="H147" s="2088" t="s">
        <v>483</v>
      </c>
      <c r="I147" s="2089"/>
      <c r="J147" s="411" t="s">
        <v>516</v>
      </c>
      <c r="K147" s="403" t="s">
        <v>544</v>
      </c>
      <c r="L147" s="403">
        <v>25</v>
      </c>
      <c r="M147" s="403" t="s">
        <v>142</v>
      </c>
      <c r="N147" s="403"/>
      <c r="O147" s="347"/>
      <c r="P147" s="347"/>
      <c r="Q147" s="1021">
        <v>5.4977320682926836</v>
      </c>
      <c r="R147" s="1022">
        <v>6.0873251635931007</v>
      </c>
      <c r="S147" s="1022">
        <v>9.7524518796883406</v>
      </c>
      <c r="T147" s="1022">
        <v>19.523312404693819</v>
      </c>
      <c r="U147" s="1023">
        <v>10.956714701874271</v>
      </c>
      <c r="V147" s="1021">
        <v>22.046282748934743</v>
      </c>
      <c r="W147" s="1022">
        <v>23.227333140653208</v>
      </c>
      <c r="X147" s="1022">
        <v>16.705381316474035</v>
      </c>
      <c r="Y147" s="1022">
        <v>14.141669202298555</v>
      </c>
      <c r="Z147" s="1023">
        <v>14.141668284390432</v>
      </c>
      <c r="AA147" s="1024"/>
      <c r="AB147" s="1021">
        <v>0</v>
      </c>
      <c r="AC147" s="1022">
        <v>0</v>
      </c>
      <c r="AD147" s="1022">
        <v>0</v>
      </c>
      <c r="AE147" s="1022">
        <v>0</v>
      </c>
      <c r="AF147" s="1023">
        <v>0</v>
      </c>
      <c r="AG147" s="1021">
        <v>0</v>
      </c>
      <c r="AH147" s="1022">
        <v>0</v>
      </c>
      <c r="AI147" s="1022">
        <v>0</v>
      </c>
      <c r="AJ147" s="1022">
        <v>0</v>
      </c>
      <c r="AK147" s="1023">
        <v>0</v>
      </c>
      <c r="AL147" s="1024"/>
      <c r="AM147" s="1021">
        <v>0</v>
      </c>
      <c r="AN147" s="1022">
        <v>0</v>
      </c>
      <c r="AO147" s="1022">
        <v>0</v>
      </c>
      <c r="AP147" s="1022">
        <v>0</v>
      </c>
      <c r="AQ147" s="1023">
        <v>0</v>
      </c>
      <c r="AR147" s="1021">
        <v>0</v>
      </c>
      <c r="AS147" s="1022">
        <v>0</v>
      </c>
      <c r="AT147" s="1022">
        <v>0</v>
      </c>
      <c r="AU147" s="1022">
        <v>0</v>
      </c>
      <c r="AV147" s="1023">
        <v>0</v>
      </c>
      <c r="AW147" s="1025"/>
      <c r="AX147" s="1282">
        <f t="shared" si="247"/>
        <v>5.4977320682926836</v>
      </c>
      <c r="AY147" s="387">
        <f t="shared" si="248"/>
        <v>6.0873251635931007</v>
      </c>
      <c r="AZ147" s="387">
        <f t="shared" si="249"/>
        <v>9.7524518796883406</v>
      </c>
      <c r="BA147" s="387">
        <f t="shared" si="250"/>
        <v>19.523312404693819</v>
      </c>
      <c r="BB147" s="1283">
        <f t="shared" si="251"/>
        <v>10.956714701874271</v>
      </c>
      <c r="BC147" s="386">
        <f t="shared" si="252"/>
        <v>22.046282748934743</v>
      </c>
      <c r="BD147" s="387">
        <f t="shared" si="253"/>
        <v>23.227333140653208</v>
      </c>
      <c r="BE147" s="1277">
        <f t="shared" si="254"/>
        <v>16.705381316474035</v>
      </c>
      <c r="BF147" s="1277">
        <f t="shared" si="255"/>
        <v>14.141669202298555</v>
      </c>
      <c r="BG147" s="388">
        <f t="shared" si="256"/>
        <v>14.141668284390432</v>
      </c>
      <c r="BH147" s="1025"/>
      <c r="BI147" s="1282">
        <f t="shared" ca="1" si="257"/>
        <v>0.10995464136585367</v>
      </c>
      <c r="BJ147" s="387">
        <f t="shared" ca="1" si="258"/>
        <v>0.34165578600356938</v>
      </c>
      <c r="BK147" s="387">
        <f t="shared" ca="1" si="259"/>
        <v>0.65845132686919816</v>
      </c>
      <c r="BL147" s="387">
        <f t="shared" ca="1" si="260"/>
        <v>1.2439666125568414</v>
      </c>
      <c r="BM147" s="1283">
        <f t="shared" ca="1" si="261"/>
        <v>1.8535671546882033</v>
      </c>
      <c r="BN147" s="386">
        <f t="shared" ca="1" si="262"/>
        <v>2.5136271037043834</v>
      </c>
      <c r="BO147" s="387">
        <f t="shared" ca="1" si="263"/>
        <v>3.4190994214961425</v>
      </c>
      <c r="BP147" s="1277">
        <f t="shared" ca="1" si="264"/>
        <v>4.2177537106386866</v>
      </c>
      <c r="BQ147" s="1277">
        <f t="shared" ca="1" si="265"/>
        <v>4.8346947210141389</v>
      </c>
      <c r="BR147" s="388">
        <f t="shared" ca="1" si="266"/>
        <v>5.4003614707479191</v>
      </c>
      <c r="BS147" s="1025"/>
      <c r="BT147" s="1282">
        <f>+IF($K147="Ongoing",AX147,IF(RIGHT($K147,2)=RIGHT(BT$43,2),SUM($AX147:AX147),0)+IF(RIGHT(BT$43,2)&gt;RIGHT($K147,2),AX147,0))</f>
        <v>5.4977320682926836</v>
      </c>
      <c r="BU147" s="387">
        <f>+IF($K147="Ongoing",AY147,IF(RIGHT($K147,2)=RIGHT(BU$43,2),SUM($AX147:AY147),0)+IF(RIGHT(BU$43,2)&gt;RIGHT($K147,2),AY147,0))</f>
        <v>6.0873251635931007</v>
      </c>
      <c r="BV147" s="387">
        <f>+IF($K147="Ongoing",AZ147,IF(RIGHT($K147,2)=RIGHT(BV$43,2),SUM($AX147:AZ147),0)+IF(RIGHT(BV$43,2)&gt;RIGHT($K147,2),AZ147,0))</f>
        <v>9.7524518796883406</v>
      </c>
      <c r="BW147" s="387">
        <f>+IF($K147="Ongoing",BA147,IF(RIGHT($K147,2)=RIGHT(BW$43,2),SUM($AX147:BA147),0)+IF(RIGHT(BW$43,2)&gt;RIGHT($K147,2),BA147,0))</f>
        <v>19.523312404693819</v>
      </c>
      <c r="BX147" s="1283">
        <f>+IF($K147="Ongoing",BB147,IF(RIGHT($K147,2)=RIGHT(BX$43,2),SUM($AX147:BB147),0)+IF(RIGHT(BX$43,2)&gt;RIGHT($K147,2),BB147,0))</f>
        <v>10.956714701874271</v>
      </c>
      <c r="BY147" s="386">
        <f>+IF($K147="Ongoing",BC147,IF(RIGHT($K147,2)=RIGHT(BY$43,2),SUM($AX147:BC147),0)+IF(RIGHT(BY$43,2)&gt;RIGHT($K147,2),BC147,0))</f>
        <v>22.046282748934743</v>
      </c>
      <c r="BZ147" s="387">
        <f>+IF($K147="Ongoing",BD147,IF(RIGHT($K147,2)=RIGHT(BZ$43,2),SUM($AX147:BD147),0)+IF(RIGHT(BZ$43,2)&gt;RIGHT($K147,2),BD147,0))</f>
        <v>23.227333140653208</v>
      </c>
      <c r="CA147" s="1277">
        <f>+IF($K147="Ongoing",BE147,IF(RIGHT($K147,2)=RIGHT(CA$43,2),SUM($AX147:BE147),0)+IF(RIGHT(CA$43,2)&gt;RIGHT($K147,2),BE147,0))</f>
        <v>16.705381316474035</v>
      </c>
      <c r="CB147" s="1277">
        <f>+IF($K147="Ongoing",BF147,IF(RIGHT($K147,2)=RIGHT(CB$43,2),SUM($AX147:BF147),0)+IF(RIGHT(CB$43,2)&gt;RIGHT($K147,2),BF147,0))</f>
        <v>14.141669202298555</v>
      </c>
      <c r="CC147" s="388">
        <f>+IF($K147="Ongoing",BG147,IF(RIGHT($K147,2)=RIGHT(CC$43,2),SUM($AX147:BG147),0)+IF(RIGHT(CC$43,2)&gt;RIGHT($K147,2),BG147,0))</f>
        <v>14.141668284390432</v>
      </c>
      <c r="CD147" s="1025"/>
      <c r="CE147" s="1282">
        <f>+Q147*KeyAssumptionsPriceControl_FO!AF$15</f>
        <v>5.6571662982731707</v>
      </c>
      <c r="CF147" s="387">
        <f>+R147*KeyAssumptionsPriceControl_FO!AG$15</f>
        <v>6.4455094635440817</v>
      </c>
      <c r="CG147" s="387">
        <f>+S147*KeyAssumptionsPriceControl_FO!AH$15</f>
        <v>10.625758481862572</v>
      </c>
      <c r="CH147" s="387">
        <f>+T147*KeyAssumptionsPriceControl_FO!AI$15</f>
        <v>21.888449702765257</v>
      </c>
      <c r="CI147" s="1283">
        <f>+U147*KeyAssumptionsPriceControl_FO!AJ$15</f>
        <v>12.640295509552903</v>
      </c>
      <c r="CJ147" s="386">
        <f>+V147*KeyAssumptionsPriceControl_FO!AK$15</f>
        <v>26.171440159961286</v>
      </c>
      <c r="CK147" s="387">
        <f>+W147*KeyAssumptionsPriceControl_FO!AL$15</f>
        <v>28.373111989500011</v>
      </c>
      <c r="CL147" s="1277">
        <f>+X147*KeyAssumptionsPriceControl_FO!AM$15</f>
        <v>20.998070590318825</v>
      </c>
      <c r="CM147" s="1277">
        <f>+Y147*KeyAssumptionsPriceControl_FO!AN$15</f>
        <v>18.2910672712717</v>
      </c>
      <c r="CN147" s="388">
        <f>+Z147*KeyAssumptionsPriceControl_FO!AO$15</f>
        <v>18.821507000471247</v>
      </c>
      <c r="CO147" s="1025"/>
      <c r="CP147" s="1282">
        <f t="shared" ca="1" si="267"/>
        <v>0</v>
      </c>
      <c r="CQ147" s="387">
        <f t="shared" ca="1" si="268"/>
        <v>0</v>
      </c>
      <c r="CR147" s="387">
        <f t="shared" ca="1" si="269"/>
        <v>0</v>
      </c>
      <c r="CS147" s="387">
        <f t="shared" ca="1" si="270"/>
        <v>0</v>
      </c>
      <c r="CT147" s="1283">
        <f t="shared" ca="1" si="271"/>
        <v>0</v>
      </c>
      <c r="CU147" s="386">
        <f t="shared" ca="1" si="272"/>
        <v>0</v>
      </c>
      <c r="CV147" s="387">
        <f t="shared" ca="1" si="273"/>
        <v>0</v>
      </c>
      <c r="CW147" s="1277">
        <f t="shared" ca="1" si="274"/>
        <v>0</v>
      </c>
      <c r="CX147" s="1277">
        <f t="shared" ca="1" si="275"/>
        <v>0</v>
      </c>
      <c r="CY147" s="388">
        <f t="shared" ca="1" si="276"/>
        <v>0</v>
      </c>
      <c r="CZ147" s="347"/>
      <c r="DA147" s="852"/>
      <c r="DB147" s="347"/>
      <c r="DC147" s="1012" t="s">
        <v>654</v>
      </c>
      <c r="DD147" s="841" t="s">
        <v>518</v>
      </c>
      <c r="DE147" s="386">
        <f>+IF($K147="ongoing",CE147,IF(RIGHT($K147,2)=RIGHT(DE$43,2),SUM($CD147:CE147),0)+IF(RIGHT(DE$43,2)&gt;RIGHT($K147,2),CE147,0))</f>
        <v>5.6571662982731707</v>
      </c>
      <c r="DF147" s="387">
        <f>+IF($K147="ongoing",CF147,IF(RIGHT($K147,2)=RIGHT(DF$43,2),SUM($CD147:CF147),0)+IF(RIGHT(DF$43,2)&gt;RIGHT($K147,2),CF147,0))</f>
        <v>6.4455094635440817</v>
      </c>
      <c r="DG147" s="388">
        <f>+IF($K147="ongoing",CG147,IF(RIGHT($K147,2)=RIGHT(DG$43,2),SUM($CD147:CG147),0)+IF(RIGHT(DG$43,2)&gt;RIGHT($K147,2),CG147,0))</f>
        <v>10.625758481862572</v>
      </c>
      <c r="DH147" s="386">
        <f>+IF($K147="ongoing",CH147,IF(RIGHT($K147,2)=RIGHT(DH$43,2),SUM($CD147:CH147),0)+IF(RIGHT(DH$43,2)&gt;RIGHT($K147,2),CH147,0))</f>
        <v>21.888449702765257</v>
      </c>
      <c r="DI147" s="387">
        <f>+IF($K147="ongoing",CI147,IF(RIGHT($K147,2)=RIGHT(DI$43,2),SUM($CD147:CI147),0)+IF(RIGHT(DI$43,2)&gt;RIGHT($K147,2),CI147,0))</f>
        <v>12.640295509552903</v>
      </c>
      <c r="DJ147" s="387">
        <f>+IF($K147="ongoing",CJ147,IF(RIGHT($K147,2)=RIGHT(DJ$43,2),SUM($CD147:CJ147),0)+IF(RIGHT(DJ$43,2)&gt;RIGHT($K147,2),CJ147,0))</f>
        <v>26.171440159961286</v>
      </c>
      <c r="DK147" s="387">
        <f>+IF($K147="ongoing",CK147,IF(RIGHT($K147,2)=RIGHT(DK$43,2),SUM($CD147:CK147),0)+IF(RIGHT(DK$43,2)&gt;RIGHT($K147,2),CK147,0))</f>
        <v>28.373111989500011</v>
      </c>
      <c r="DL147" s="388">
        <f>+IF($K147="ongoing",CN147,IF(RIGHT($K147,2)=RIGHT(DL$43,2),SUM($CD147:CN147),0)+IF(RIGHT(DL$43,2)&gt;RIGHT($K147,2),CN147,0))</f>
        <v>18.821507000471247</v>
      </c>
      <c r="DM147" s="841"/>
      <c r="DN147" s="386">
        <f t="shared" si="277"/>
        <v>0.5</v>
      </c>
      <c r="DO147" s="387">
        <f t="shared" si="278"/>
        <v>1</v>
      </c>
      <c r="DP147" s="388">
        <f t="shared" si="279"/>
        <v>1</v>
      </c>
      <c r="DQ147" s="386">
        <f t="shared" si="280"/>
        <v>1</v>
      </c>
      <c r="DR147" s="387">
        <f t="shared" si="281"/>
        <v>1</v>
      </c>
      <c r="DS147" s="387">
        <f t="shared" si="282"/>
        <v>1</v>
      </c>
      <c r="DT147" s="387">
        <f t="shared" si="283"/>
        <v>1</v>
      </c>
      <c r="DU147" s="388">
        <f t="shared" si="284"/>
        <v>1</v>
      </c>
      <c r="DW147" s="386">
        <f t="shared" si="285"/>
        <v>0</v>
      </c>
      <c r="DX147" s="387">
        <f t="shared" si="286"/>
        <v>0.5</v>
      </c>
      <c r="DY147" s="388">
        <f t="shared" si="287"/>
        <v>1</v>
      </c>
      <c r="DZ147" s="386">
        <f t="shared" si="288"/>
        <v>1</v>
      </c>
      <c r="EA147" s="387">
        <f t="shared" si="289"/>
        <v>1</v>
      </c>
      <c r="EB147" s="387">
        <f t="shared" si="290"/>
        <v>1</v>
      </c>
      <c r="EC147" s="387">
        <f t="shared" si="291"/>
        <v>1</v>
      </c>
      <c r="ED147" s="388">
        <f t="shared" si="292"/>
        <v>1</v>
      </c>
      <c r="EF147" s="834">
        <f>+IF(DN147=DM147,0,
IF(AND(EF$44&gt;1,DN147=$N147),1-SUM($EE147:EE147),
IF($N147&lt;=1,
IF($N147&gt;0,1/$N147,0),
IF(EF$44=1,0,VDB(1,0,$N147,INT(EF$44-1-1),MIN($N147,INT(EF$44-1-1)+1),$DC147,IF($DD147="No",1,0))/
IF(DM147&gt;=INT($N147),$N147-INT($N147),1)))*
IF(EF$44=1,0,
IF(INT(DN147)=INT(DM147),DN147-DM147,INT(DN147)-DM147))+
IF($N147&lt;=1,
IF($N147&gt;0,1/$N147,0),VDB(1,0,$N147,INT(EF$44-1),MIN($N147,INT(EF$44-1)+1),$DC147,IF($DD147="No",1,0))/
IF(DN147&gt;INT($N147),$N147-INT($N147),1))*
IF(EF$44=1,DN147,
IF(INT(DN147)=INT(DM147),0,DN147-INT(DN147)))))</f>
        <v>0</v>
      </c>
      <c r="EG147" s="835">
        <f>+IF(DO147=DN147,0,
IF(AND(EG$44&gt;1,DO147=$N147),1-SUM($EE147:EF147),
IF($N147&lt;=1,
IF($N147&gt;0,1/$N147,0),
IF(EG$44=1,0,VDB(1,0,$N147,INT(EG$44-1-1),MIN($N147,INT(EG$44-1-1)+1),$DC147,IF($DD147="No",1,0))/
IF(DN147&gt;=INT($N147),$N147-INT($N147),1)))*
IF(EG$44=1,0,
IF(INT(DO147)=INT(DN147),DO147-DN147,INT(DO147)-DN147))+
IF($N147&lt;=1,
IF($N147&gt;0,1/$N147,0),VDB(1,0,$N147,INT(EG$44-1),MIN($N147,INT(EG$44-1)+1),$DC147,IF($DD147="No",1,0))/
IF(DO147&gt;INT($N147),$N147-INT($N147),1))*
IF(EG$44=1,DO147,
IF(INT(DO147)=INT(DN147),0,DO147-INT(DO147)))))</f>
        <v>0</v>
      </c>
      <c r="EH147" s="836">
        <f>+IF(DP147=DO147,0,
IF(AND(EH$44&gt;1,DP147=$N147),1-SUM($EE147:EG147),
IF($N147&lt;=1,
IF($N147&gt;0,1/$N147,0),
IF(EH$44=1,0,VDB(1,0,$N147,INT(EH$44-1-1),MIN($N147,INT(EH$44-1-1)+1),$DC147,IF($DD147="No",1,0))/
IF(DO147&gt;=INT($N147),$N147-INT($N147),1)))*
IF(EH$44=1,0,
IF(INT(DP147)=INT(DO147),DP147-DO147,INT(DP147)-DO147))+
IF($N147&lt;=1,
IF($N147&gt;0,1/$N147,0),VDB(1,0,$N147,INT(EH$44-1),MIN($N147,INT(EH$44-1)+1),$DC147,IF($DD147="No",1,0))/
IF(DP147&gt;INT($N147),$N147-INT($N147),1))*
IF(EH$44=1,DP147,
IF(INT(DP147)=INT(DO147),0,DP147-INT(DP147)))))</f>
        <v>0</v>
      </c>
      <c r="EI147" s="834">
        <f>+IF(DQ147=DP147,0,
IF(AND(EI$44&gt;1,DQ147=$N147),1-SUM($EE147:EH147),
IF($N147&lt;=1,
IF($N147&gt;0,1/$N147,0),
IF(EI$44=1,0,VDB(1,0,$N147,INT(EI$44-1-1),MIN($N147,INT(EI$44-1-1)+1),$DC147,IF($DD147="No",1,0))/
IF(DP147&gt;=INT($N147),$N147-INT($N147),1)))*
IF(EI$44=1,0,
IF(INT(DQ147)=INT(DP147),DQ147-DP147,INT(DQ147)-DP147))+
IF($N147&lt;=1,
IF($N147&gt;0,1/$N147,0),VDB(1,0,$N147,INT(EI$44-1),MIN($N147,INT(EI$44-1)+1),$DC147,IF($DD147="No",1,0))/
IF(DQ147&gt;INT($N147),$N147-INT($N147),1))*
IF(EI$44=1,DQ147,
IF(INT(DQ147)=INT(DP147),0,DQ147-INT(DQ147)))))</f>
        <v>0</v>
      </c>
      <c r="EJ147" s="835">
        <f>+IF(DR147=DQ147,0,
IF(AND(EJ$44&gt;1,DR147=$N147),1-SUM($EE147:EI147),
IF($N147&lt;=1,
IF($N147&gt;0,1/$N147,0),
IF(EJ$44=1,0,VDB(1,0,$N147,INT(EJ$44-1-1),MIN($N147,INT(EJ$44-1-1)+1),$DC147,IF($DD147="No",1,0))/
IF(DQ147&gt;=INT($N147),$N147-INT($N147),1)))*
IF(EJ$44=1,0,
IF(INT(DR147)=INT(DQ147),DR147-DQ147,INT(DR147)-DQ147))+
IF($N147&lt;=1,
IF($N147&gt;0,1/$N147,0),VDB(1,0,$N147,INT(EJ$44-1),MIN($N147,INT(EJ$44-1)+1),$DC147,IF($DD147="No",1,0))/
IF(DR147&gt;INT($N147),$N147-INT($N147),1))*
IF(EJ$44=1,DR147,
IF(INT(DR147)=INT(DQ147),0,DR147-INT(DR147)))))</f>
        <v>0</v>
      </c>
      <c r="EK147" s="835">
        <f>+IF(DS147=DR147,0,
IF(AND(EK$44&gt;1,DS147=$N147),1-SUM($EE147:EJ147),
IF($N147&lt;=1,
IF($N147&gt;0,1/$N147,0),
IF(EK$44=1,0,VDB(1,0,$N147,INT(EK$44-1-1),MIN($N147,INT(EK$44-1-1)+1),$DC147,IF($DD147="No",1,0))/
IF(DR147&gt;=INT($N147),$N147-INT($N147),1)))*
IF(EK$44=1,0,
IF(INT(DS147)=INT(DR147),DS147-DR147,INT(DS147)-DR147))+
IF($N147&lt;=1,
IF($N147&gt;0,1/$N147,0),VDB(1,0,$N147,INT(EK$44-1),MIN($N147,INT(EK$44-1)+1),$DC147,IF($DD147="No",1,0))/
IF(DS147&gt;INT($N147),$N147-INT($N147),1))*
IF(EK$44=1,DS147,
IF(INT(DS147)=INT(DR147),0,DS147-INT(DS147)))))</f>
        <v>0</v>
      </c>
      <c r="EL147" s="835">
        <f>+IF(DT147=DS147,0,
IF(AND(EL$44&gt;1,DT147=$N147),1-SUM($EE147:EK147),
IF($N147&lt;=1,
IF($N147&gt;0,1/$N147,0),
IF(EL$44=1,0,VDB(1,0,$N147,INT(EL$44-1-1),MIN($N147,INT(EL$44-1-1)+1),$DC147,IF($DD147="No",1,0))/
IF(DS147&gt;=INT($N147),$N147-INT($N147),1)))*
IF(EL$44=1,0,
IF(INT(DT147)=INT(DS147),DT147-DS147,INT(DT147)-DS147))+
IF($N147&lt;=1,
IF($N147&gt;0,1/$N147,0),VDB(1,0,$N147,INT(EL$44-1),MIN($N147,INT(EL$44-1)+1),$DC147,IF($DD147="No",1,0))/
IF(DT147&gt;INT($N147),$N147-INT($N147),1))*
IF(EL$44=1,DT147,
IF(INT(DT147)=INT(DS147),0,DT147-INT(DT147)))))</f>
        <v>0</v>
      </c>
      <c r="EM147" s="836">
        <f>+IF(DU147=DT147,0,
IF(AND(EM$44&gt;1,DU147=$N147),1-SUM($EE147:EL147),
IF($N147&lt;=1,
IF($N147&gt;0,1/$N147,0),
IF(EM$44=1,0,VDB(1,0,$N147,INT(EM$44-1-1),MIN($N147,INT(EM$44-1-1)+1),$DC147,IF($DD147="No",1,0))/
IF(DT147&gt;=INT($N147),$N147-INT($N147),1)))*
IF(EM$44=1,0,
IF(INT(DU147)=INT(DT147),DU147-DT147,INT(DU147)-DT147))+
IF($N147&lt;=1,
IF($N147&gt;0,1/$N147,0),VDB(1,0,$N147,INT(EM$44-1),MIN($N147,INT(EM$44-1)+1),$DC147,IF($DD147="No",1,0))/
IF(DU147&gt;INT($N147),$N147-INT($N147),1))*
IF(EM$44=1,DU147,
IF(INT(DU147)=INT(DT147),0,DU147-INT(DU147)))))</f>
        <v>0</v>
      </c>
      <c r="EN147" s="833"/>
      <c r="EO147" s="834">
        <f>+IF(OR(DW147=DV147,EO$44=1),0,
IF(AND(EO$44&gt;1,DW147=$N147),1-SUM($EN147:EN147),
IF($N147&lt;=1,
IF($N147&gt;0,1/$N147,0),
IF(EO$44=2,0,VDB(1,0,$N147,INT(EO$44-2-1),MIN($N147,INT(EO$44-2-1)+1),$DC147,IF($DD147="No",1,0))/
IF(DV147&gt;=INT($N147),$N147-INT($N147),1)))*
IF(EO$44=2,0,
IF(INT(DW147)=INT(DV147),DW147-DV147,INT(DW147)-DV147))+
IF($N147&lt;=1,
IF($N147&gt;0,1/$N147,0),VDB(1,0,$N147,INT(EO$44-2),MIN($N147,INT(EO$44-2)+1),$DC147,IF($DD147="No",1,0))/
IF(DW147&gt;INT($N147),$N147-INT($N147),1))*
IF(EO$44=2,DW147,
IF(INT(DW147)=INT(DV147),0,DW147-INT(DW147)))))</f>
        <v>0</v>
      </c>
      <c r="EP147" s="835">
        <f>+IF(OR(DX147=DW147,EP$44=1),0,
IF(AND(EP$44&gt;1,DX147=$N147),1-SUM($EN147:EO147),
IF($N147&lt;=1,
IF($N147&gt;0,1/$N147,0),
IF(EP$44=2,0,VDB(1,0,$N147,INT(EP$44-2-1),MIN($N147,INT(EP$44-2-1)+1),$DC147,IF($DD147="No",1,0))/
IF(DW147&gt;=INT($N147),$N147-INT($N147),1)))*
IF(EP$44=2,0,
IF(INT(DX147)=INT(DW147),DX147-DW147,INT(DX147)-DW147))+
IF($N147&lt;=1,
IF($N147&gt;0,1/$N147,0),VDB(1,0,$N147,INT(EP$44-2),MIN($N147,INT(EP$44-2)+1),$DC147,IF($DD147="No",1,0))/
IF(DX147&gt;INT($N147),$N147-INT($N147),1))*
IF(EP$44=2,DX147,
IF(INT(DX147)=INT(DW147),0,DX147-INT(DX147)))))</f>
        <v>0</v>
      </c>
      <c r="EQ147" s="836">
        <f>+IF(OR(DY147=DX147,EQ$44=1),0,
IF(AND(EQ$44&gt;1,DY147=$N147),1-SUM($EN147:EP147),
IF($N147&lt;=1,
IF($N147&gt;0,1/$N147,0),
IF(EQ$44=2,0,VDB(1,0,$N147,INT(EQ$44-2-1),MIN($N147,INT(EQ$44-2-1)+1),$DC147,IF($DD147="No",1,0))/
IF(DX147&gt;=INT($N147),$N147-INT($N147),1)))*
IF(EQ$44=2,0,
IF(INT(DY147)=INT(DX147),DY147-DX147,INT(DY147)-DX147))+
IF($N147&lt;=1,
IF($N147&gt;0,1/$N147,0),VDB(1,0,$N147,INT(EQ$44-2),MIN($N147,INT(EQ$44-2)+1),$DC147,IF($DD147="No",1,0))/
IF(DY147&gt;INT($N147),$N147-INT($N147),1))*
IF(EQ$44=2,DY147,
IF(INT(DY147)=INT(DX147),0,DY147-INT(DY147)))))</f>
        <v>0</v>
      </c>
      <c r="ER147" s="834">
        <f>+IF(OR(DZ147=DY147,ER$44=1),0,
IF(AND(ER$44&gt;1,DZ147=$N147),1-SUM($EN147:EQ147),
IF($N147&lt;=1,
IF($N147&gt;0,1/$N147,0),
IF(ER$44=2,0,VDB(1,0,$N147,INT(ER$44-2-1),MIN($N147,INT(ER$44-2-1)+1),$DC147,IF($DD147="No",1,0))/
IF(DY147&gt;=INT($N147),$N147-INT($N147),1)))*
IF(ER$44=2,0,
IF(INT(DZ147)=INT(DY147),DZ147-DY147,INT(DZ147)-DY147))+
IF($N147&lt;=1,
IF($N147&gt;0,1/$N147,0),VDB(1,0,$N147,INT(ER$44-2),MIN($N147,INT(ER$44-2)+1),$DC147,IF($DD147="No",1,0))/
IF(DZ147&gt;INT($N147),$N147-INT($N147),1))*
IF(ER$44=2,DZ147,
IF(INT(DZ147)=INT(DY147),0,DZ147-INT(DZ147)))))</f>
        <v>0</v>
      </c>
      <c r="ES147" s="835">
        <f>+IF(OR(EA147=DZ147,ES$44=1),0,
IF(AND(ES$44&gt;1,EA147=$N147),1-SUM($EN147:ER147),
IF($N147&lt;=1,
IF($N147&gt;0,1/$N147,0),
IF(ES$44=2,0,VDB(1,0,$N147,INT(ES$44-2-1),MIN($N147,INT(ES$44-2-1)+1),$DC147,IF($DD147="No",1,0))/
IF(DZ147&gt;=INT($N147),$N147-INT($N147),1)))*
IF(ES$44=2,0,
IF(INT(EA147)=INT(DZ147),EA147-DZ147,INT(EA147)-DZ147))+
IF($N147&lt;=1,
IF($N147&gt;0,1/$N147,0),VDB(1,0,$N147,INT(ES$44-2),MIN($N147,INT(ES$44-2)+1),$DC147,IF($DD147="No",1,0))/
IF(EA147&gt;INT($N147),$N147-INT($N147),1))*
IF(ES$44=2,EA147,
IF(INT(EA147)=INT(DZ147),0,EA147-INT(EA147)))))</f>
        <v>0</v>
      </c>
      <c r="ET147" s="835">
        <f>+IF(OR(EB147=EA147,ET$44=1),0,
IF(AND(ET$44&gt;1,EB147=$N147),1-SUM($EN147:ES147),
IF($N147&lt;=1,
IF($N147&gt;0,1/$N147,0),
IF(ET$44=2,0,VDB(1,0,$N147,INT(ET$44-2-1),MIN($N147,INT(ET$44-2-1)+1),$DC147,IF($DD147="No",1,0))/
IF(EA147&gt;=INT($N147),$N147-INT($N147),1)))*
IF(ET$44=2,0,
IF(INT(EB147)=INT(EA147),EB147-EA147,INT(EB147)-EA147))+
IF($N147&lt;=1,
IF($N147&gt;0,1/$N147,0),VDB(1,0,$N147,INT(ET$44-2),MIN($N147,INT(ET$44-2)+1),$DC147,IF($DD147="No",1,0))/
IF(EB147&gt;INT($N147),$N147-INT($N147),1))*
IF(ET$44=2,EB147,
IF(INT(EB147)=INT(EA147),0,EB147-INT(EB147)))))</f>
        <v>0</v>
      </c>
      <c r="EU147" s="835">
        <f>+IF(OR(EC147=EB147,EU$44=1),0,
IF(AND(EU$44&gt;1,EC147=$N147),1-SUM($EN147:ET147),
IF($N147&lt;=1,
IF($N147&gt;0,1/$N147,0),
IF(EU$44=2,0,VDB(1,0,$N147,INT(EU$44-2-1),MIN($N147,INT(EU$44-2-1)+1),$DC147,IF($DD147="No",1,0))/
IF(EB147&gt;=INT($N147),$N147-INT($N147),1)))*
IF(EU$44=2,0,
IF(INT(EC147)=INT(EB147),EC147-EB147,INT(EC147)-EB147))+
IF($N147&lt;=1,
IF($N147&gt;0,1/$N147,0),VDB(1,0,$N147,INT(EU$44-2),MIN($N147,INT(EU$44-2)+1),$DC147,IF($DD147="No",1,0))/
IF(EC147&gt;INT($N147),$N147-INT($N147),1))*
IF(EU$44=2,EC147,
IF(INT(EC147)=INT(EB147),0,EC147-INT(EC147)))))</f>
        <v>0</v>
      </c>
      <c r="EV147" s="836">
        <f>+IF(OR(ED147=EC147,EV$44=1),0,
IF(AND(EV$44&gt;1,ED147=$N147),1-SUM($EN147:EU147),
IF($N147&lt;=1,
IF($N147&gt;0,1/$N147,0),
IF(EV$44=2,0,VDB(1,0,$N147,INT(EV$44-2-1),MIN($N147,INT(EV$44-2-1)+1),$DC147,IF($DD147="No",1,0))/
IF(EC147&gt;=INT($N147),$N147-INT($N147),1)))*
IF(EV$44=2,0,
IF(INT(ED147)=INT(EC147),ED147-EC147,INT(ED147)-EC147))+
IF($N147&lt;=1,
IF($N147&gt;0,1/$N147,0),VDB(1,0,$N147,INT(EV$44-2),MIN($N147,INT(EV$44-2)+1),$DC147,IF($DD147="No",1,0))/
IF(ED147&gt;INT($N147),$N147-INT($N147),1))*
IF(EV$44=2,ED147,
IF(INT(ED147)=INT(EC147),0,ED147-INT(ED147)))))</f>
        <v>0</v>
      </c>
      <c r="EW147" s="833"/>
      <c r="EX147" s="834">
        <f t="shared" ca="1" si="303"/>
        <v>0</v>
      </c>
      <c r="EY147" s="835">
        <f t="shared" ca="1" si="303"/>
        <v>0</v>
      </c>
      <c r="EZ147" s="836">
        <f t="shared" ca="1" si="303"/>
        <v>0</v>
      </c>
      <c r="FA147" s="834">
        <f t="shared" ca="1" si="303"/>
        <v>0</v>
      </c>
      <c r="FB147" s="835">
        <f t="shared" ca="1" si="303"/>
        <v>0</v>
      </c>
      <c r="FC147" s="835">
        <f t="shared" ca="1" si="303"/>
        <v>0</v>
      </c>
      <c r="FD147" s="835">
        <f t="shared" ca="1" si="303"/>
        <v>0</v>
      </c>
      <c r="FE147" s="836">
        <f t="shared" ca="1" si="303"/>
        <v>0</v>
      </c>
      <c r="FG147" s="386">
        <f t="shared" ca="1" si="293"/>
        <v>0</v>
      </c>
      <c r="FH147" s="387">
        <f t="shared" ca="1" si="294"/>
        <v>0</v>
      </c>
      <c r="FI147" s="388">
        <f t="shared" ca="1" si="295"/>
        <v>0</v>
      </c>
      <c r="FJ147" s="386">
        <f t="shared" ca="1" si="296"/>
        <v>0</v>
      </c>
      <c r="FK147" s="387">
        <f t="shared" ca="1" si="297"/>
        <v>0</v>
      </c>
      <c r="FL147" s="387">
        <f t="shared" ca="1" si="298"/>
        <v>0</v>
      </c>
      <c r="FM147" s="387">
        <f t="shared" ca="1" si="299"/>
        <v>0</v>
      </c>
      <c r="FN147" s="388">
        <f t="shared" ca="1" si="300"/>
        <v>0</v>
      </c>
      <c r="FR147" s="116"/>
    </row>
    <row r="148" spans="2:174">
      <c r="B148" s="1410">
        <f t="shared" si="302"/>
        <v>102</v>
      </c>
      <c r="C148" s="400" t="s">
        <v>655</v>
      </c>
      <c r="D148" s="410"/>
      <c r="E148" s="402" t="s">
        <v>420</v>
      </c>
      <c r="F148" s="402" t="s">
        <v>520</v>
      </c>
      <c r="G148" s="400" t="s">
        <v>522</v>
      </c>
      <c r="H148" s="2088" t="s">
        <v>483</v>
      </c>
      <c r="I148" s="2089"/>
      <c r="J148" s="411" t="s">
        <v>516</v>
      </c>
      <c r="K148" s="403" t="s">
        <v>544</v>
      </c>
      <c r="L148" s="403">
        <v>100</v>
      </c>
      <c r="M148" s="403" t="s">
        <v>142</v>
      </c>
      <c r="N148" s="403"/>
      <c r="O148" s="347"/>
      <c r="P148" s="347"/>
      <c r="Q148" s="1021">
        <v>323.14222434146347</v>
      </c>
      <c r="R148" s="1022">
        <v>343.99080381677572</v>
      </c>
      <c r="S148" s="1022">
        <v>284.90716594361669</v>
      </c>
      <c r="T148" s="1022">
        <v>260.64971558458063</v>
      </c>
      <c r="U148" s="1023">
        <v>237.6162708003865</v>
      </c>
      <c r="V148" s="1021">
        <v>211.35499792498143</v>
      </c>
      <c r="W148" s="1022">
        <v>252.35853889414869</v>
      </c>
      <c r="X148" s="1022">
        <v>270.71833190327357</v>
      </c>
      <c r="Y148" s="1022">
        <v>288.19414832604303</v>
      </c>
      <c r="Z148" s="1023">
        <v>285.12882344747152</v>
      </c>
      <c r="AA148" s="1024"/>
      <c r="AB148" s="1021">
        <v>0</v>
      </c>
      <c r="AC148" s="1022">
        <v>0</v>
      </c>
      <c r="AD148" s="1022">
        <v>0</v>
      </c>
      <c r="AE148" s="1022">
        <v>0</v>
      </c>
      <c r="AF148" s="1023">
        <v>0</v>
      </c>
      <c r="AG148" s="1021">
        <v>0</v>
      </c>
      <c r="AH148" s="1022">
        <v>0</v>
      </c>
      <c r="AI148" s="1022">
        <v>0</v>
      </c>
      <c r="AJ148" s="1022">
        <v>0</v>
      </c>
      <c r="AK148" s="1023">
        <v>0</v>
      </c>
      <c r="AL148" s="1024"/>
      <c r="AM148" s="1021">
        <v>0</v>
      </c>
      <c r="AN148" s="1022">
        <v>0</v>
      </c>
      <c r="AO148" s="1022">
        <v>0</v>
      </c>
      <c r="AP148" s="1022">
        <v>0</v>
      </c>
      <c r="AQ148" s="1023">
        <v>0</v>
      </c>
      <c r="AR148" s="1021">
        <v>0</v>
      </c>
      <c r="AS148" s="1022">
        <v>0</v>
      </c>
      <c r="AT148" s="1022">
        <v>0</v>
      </c>
      <c r="AU148" s="1022">
        <v>0</v>
      </c>
      <c r="AV148" s="1023">
        <v>0</v>
      </c>
      <c r="AW148" s="1025"/>
      <c r="AX148" s="1282">
        <f t="shared" si="247"/>
        <v>323.14222434146347</v>
      </c>
      <c r="AY148" s="387">
        <f t="shared" si="248"/>
        <v>343.99080381677572</v>
      </c>
      <c r="AZ148" s="387">
        <f t="shared" si="249"/>
        <v>284.90716594361669</v>
      </c>
      <c r="BA148" s="387">
        <f t="shared" si="250"/>
        <v>260.64971558458063</v>
      </c>
      <c r="BB148" s="1283">
        <f t="shared" si="251"/>
        <v>237.6162708003865</v>
      </c>
      <c r="BC148" s="386">
        <f t="shared" si="252"/>
        <v>211.35499792498143</v>
      </c>
      <c r="BD148" s="387">
        <f t="shared" si="253"/>
        <v>252.35853889414869</v>
      </c>
      <c r="BE148" s="1277">
        <f t="shared" si="254"/>
        <v>270.71833190327357</v>
      </c>
      <c r="BF148" s="1277">
        <f t="shared" si="255"/>
        <v>288.19414832604303</v>
      </c>
      <c r="BG148" s="388">
        <f t="shared" si="256"/>
        <v>285.12882344747152</v>
      </c>
      <c r="BH148" s="1025"/>
      <c r="BI148" s="1282">
        <f t="shared" ca="1" si="257"/>
        <v>1.6157111217073175</v>
      </c>
      <c r="BJ148" s="387">
        <f t="shared" ca="1" si="258"/>
        <v>4.9513762624985134</v>
      </c>
      <c r="BK148" s="387">
        <f t="shared" ca="1" si="259"/>
        <v>8.0958661113004755</v>
      </c>
      <c r="BL148" s="387">
        <f t="shared" ca="1" si="260"/>
        <v>10.823650518941463</v>
      </c>
      <c r="BM148" s="1283">
        <f t="shared" ca="1" si="261"/>
        <v>13.314980450866297</v>
      </c>
      <c r="BN148" s="386">
        <f t="shared" ca="1" si="262"/>
        <v>15.559836794493137</v>
      </c>
      <c r="BO148" s="387">
        <f t="shared" ca="1" si="263"/>
        <v>17.878404478588788</v>
      </c>
      <c r="BP148" s="1277">
        <f t="shared" ca="1" si="264"/>
        <v>20.493788832575902</v>
      </c>
      <c r="BQ148" s="1277">
        <f t="shared" ca="1" si="265"/>
        <v>23.288351233722487</v>
      </c>
      <c r="BR148" s="388">
        <f t="shared" ca="1" si="266"/>
        <v>26.154966092590058</v>
      </c>
      <c r="BS148" s="1025"/>
      <c r="BT148" s="1282">
        <f>+IF($K148="Ongoing",AX148,IF(RIGHT($K148,2)=RIGHT(BT$43,2),SUM($AX148:AX148),0)+IF(RIGHT(BT$43,2)&gt;RIGHT($K148,2),AX148,0))</f>
        <v>323.14222434146347</v>
      </c>
      <c r="BU148" s="387">
        <f>+IF($K148="Ongoing",AY148,IF(RIGHT($K148,2)=RIGHT(BU$43,2),SUM($AX148:AY148),0)+IF(RIGHT(BU$43,2)&gt;RIGHT($K148,2),AY148,0))</f>
        <v>343.99080381677572</v>
      </c>
      <c r="BV148" s="387">
        <f>+IF($K148="Ongoing",AZ148,IF(RIGHT($K148,2)=RIGHT(BV$43,2),SUM($AX148:AZ148),0)+IF(RIGHT(BV$43,2)&gt;RIGHT($K148,2),AZ148,0))</f>
        <v>284.90716594361669</v>
      </c>
      <c r="BW148" s="387">
        <f>+IF($K148="Ongoing",BA148,IF(RIGHT($K148,2)=RIGHT(BW$43,2),SUM($AX148:BA148),0)+IF(RIGHT(BW$43,2)&gt;RIGHT($K148,2),BA148,0))</f>
        <v>260.64971558458063</v>
      </c>
      <c r="BX148" s="1283">
        <f>+IF($K148="Ongoing",BB148,IF(RIGHT($K148,2)=RIGHT(BX$43,2),SUM($AX148:BB148),0)+IF(RIGHT(BX$43,2)&gt;RIGHT($K148,2),BB148,0))</f>
        <v>237.6162708003865</v>
      </c>
      <c r="BY148" s="386">
        <f>+IF($K148="Ongoing",BC148,IF(RIGHT($K148,2)=RIGHT(BY$43,2),SUM($AX148:BC148),0)+IF(RIGHT(BY$43,2)&gt;RIGHT($K148,2),BC148,0))</f>
        <v>211.35499792498143</v>
      </c>
      <c r="BZ148" s="387">
        <f>+IF($K148="Ongoing",BD148,IF(RIGHT($K148,2)=RIGHT(BZ$43,2),SUM($AX148:BD148),0)+IF(RIGHT(BZ$43,2)&gt;RIGHT($K148,2),BD148,0))</f>
        <v>252.35853889414869</v>
      </c>
      <c r="CA148" s="1277">
        <f>+IF($K148="Ongoing",BE148,IF(RIGHT($K148,2)=RIGHT(CA$43,2),SUM($AX148:BE148),0)+IF(RIGHT(CA$43,2)&gt;RIGHT($K148,2),BE148,0))</f>
        <v>270.71833190327357</v>
      </c>
      <c r="CB148" s="1277">
        <f>+IF($K148="Ongoing",BF148,IF(RIGHT($K148,2)=RIGHT(CB$43,2),SUM($AX148:BF148),0)+IF(RIGHT(CB$43,2)&gt;RIGHT($K148,2),BF148,0))</f>
        <v>288.19414832604303</v>
      </c>
      <c r="CC148" s="388">
        <f>+IF($K148="Ongoing",BG148,IF(RIGHT($K148,2)=RIGHT(CC$43,2),SUM($AX148:BG148),0)+IF(RIGHT(CC$43,2)&gt;RIGHT($K148,2),BG148,0))</f>
        <v>285.12882344747152</v>
      </c>
      <c r="CD148" s="1025"/>
      <c r="CE148" s="1282">
        <f>+Q148*KeyAssumptionsPriceControl_FO!AF$15</f>
        <v>332.51334884736588</v>
      </c>
      <c r="CF148" s="387">
        <f>+R148*KeyAssumptionsPriceControl_FO!AG$15</f>
        <v>364.23156670415858</v>
      </c>
      <c r="CG148" s="387">
        <f>+S148*KeyAssumptionsPriceControl_FO!AH$15</f>
        <v>310.41985876125722</v>
      </c>
      <c r="CH148" s="387">
        <f>+T148*KeyAssumptionsPriceControl_FO!AI$15</f>
        <v>292.22593335347676</v>
      </c>
      <c r="CI148" s="1283">
        <f>+U148*KeyAssumptionsPriceControl_FO!AJ$15</f>
        <v>274.12778031731011</v>
      </c>
      <c r="CJ148" s="386">
        <f>+V148*KeyAssumptionsPriceControl_FO!AK$15</f>
        <v>250.90237405077593</v>
      </c>
      <c r="CK148" s="387">
        <f>+W148*KeyAssumptionsPriceControl_FO!AL$15</f>
        <v>308.26600032778941</v>
      </c>
      <c r="CL148" s="1277">
        <f>+X148*KeyAssumptionsPriceControl_FO!AM$15</f>
        <v>340.28332162597565</v>
      </c>
      <c r="CM148" s="1277">
        <f>+Y148*KeyAssumptionsPriceControl_FO!AN$15</f>
        <v>372.75504601406669</v>
      </c>
      <c r="CN148" s="388">
        <f>+Z148*KeyAssumptionsPriceControl_FO!AO$15</f>
        <v>379.48522328700892</v>
      </c>
      <c r="CO148" s="1025"/>
      <c r="CP148" s="1282">
        <f t="shared" ca="1" si="267"/>
        <v>0</v>
      </c>
      <c r="CQ148" s="387">
        <f t="shared" ca="1" si="268"/>
        <v>0</v>
      </c>
      <c r="CR148" s="387">
        <f t="shared" ca="1" si="269"/>
        <v>0</v>
      </c>
      <c r="CS148" s="387">
        <f t="shared" ca="1" si="270"/>
        <v>0</v>
      </c>
      <c r="CT148" s="1283">
        <f t="shared" ca="1" si="271"/>
        <v>0</v>
      </c>
      <c r="CU148" s="386">
        <f t="shared" ca="1" si="272"/>
        <v>0</v>
      </c>
      <c r="CV148" s="387">
        <f t="shared" ca="1" si="273"/>
        <v>0</v>
      </c>
      <c r="CW148" s="1277">
        <f t="shared" ca="1" si="274"/>
        <v>0</v>
      </c>
      <c r="CX148" s="1277">
        <f t="shared" ca="1" si="275"/>
        <v>0</v>
      </c>
      <c r="CY148" s="388">
        <f t="shared" ca="1" si="276"/>
        <v>0</v>
      </c>
      <c r="CZ148" s="347"/>
      <c r="DA148" s="852"/>
      <c r="DB148" s="347"/>
      <c r="DC148" s="1012" t="s">
        <v>656</v>
      </c>
      <c r="DD148" s="841" t="s">
        <v>518</v>
      </c>
      <c r="DE148" s="386">
        <f>+IF($K148="ongoing",CE148,IF(RIGHT($K148,2)=RIGHT(DE$43,2),SUM($CD148:CE148),0)+IF(RIGHT(DE$43,2)&gt;RIGHT($K148,2),CE148,0))</f>
        <v>332.51334884736588</v>
      </c>
      <c r="DF148" s="387">
        <f>+IF($K148="ongoing",CF148,IF(RIGHT($K148,2)=RIGHT(DF$43,2),SUM($CD148:CF148),0)+IF(RIGHT(DF$43,2)&gt;RIGHT($K148,2),CF148,0))</f>
        <v>364.23156670415858</v>
      </c>
      <c r="DG148" s="388">
        <f>+IF($K148="ongoing",CG148,IF(RIGHT($K148,2)=RIGHT(DG$43,2),SUM($CD148:CG148),0)+IF(RIGHT(DG$43,2)&gt;RIGHT($K148,2),CG148,0))</f>
        <v>310.41985876125722</v>
      </c>
      <c r="DH148" s="386">
        <f>+IF($K148="ongoing",CH148,IF(RIGHT($K148,2)=RIGHT(DH$43,2),SUM($CD148:CH148),0)+IF(RIGHT(DH$43,2)&gt;RIGHT($K148,2),CH148,0))</f>
        <v>292.22593335347676</v>
      </c>
      <c r="DI148" s="387">
        <f>+IF($K148="ongoing",CI148,IF(RIGHT($K148,2)=RIGHT(DI$43,2),SUM($CD148:CI148),0)+IF(RIGHT(DI$43,2)&gt;RIGHT($K148,2),CI148,0))</f>
        <v>274.12778031731011</v>
      </c>
      <c r="DJ148" s="387">
        <f>+IF($K148="ongoing",CJ148,IF(RIGHT($K148,2)=RIGHT(DJ$43,2),SUM($CD148:CJ148),0)+IF(RIGHT(DJ$43,2)&gt;RIGHT($K148,2),CJ148,0))</f>
        <v>250.90237405077593</v>
      </c>
      <c r="DK148" s="387">
        <f>+IF($K148="ongoing",CK148,IF(RIGHT($K148,2)=RIGHT(DK$43,2),SUM($CD148:CK148),0)+IF(RIGHT(DK$43,2)&gt;RIGHT($K148,2),CK148,0))</f>
        <v>308.26600032778941</v>
      </c>
      <c r="DL148" s="388">
        <f>+IF($K148="ongoing",CN148,IF(RIGHT($K148,2)=RIGHT(DL$43,2),SUM($CD148:CN148),0)+IF(RIGHT(DL$43,2)&gt;RIGHT($K148,2),CN148,0))</f>
        <v>379.48522328700892</v>
      </c>
      <c r="DM148" s="841"/>
      <c r="DN148" s="386">
        <f t="shared" si="277"/>
        <v>0.5</v>
      </c>
      <c r="DO148" s="387">
        <f t="shared" si="278"/>
        <v>1</v>
      </c>
      <c r="DP148" s="388">
        <f t="shared" si="279"/>
        <v>1</v>
      </c>
      <c r="DQ148" s="386">
        <f t="shared" si="280"/>
        <v>1</v>
      </c>
      <c r="DR148" s="387">
        <f t="shared" si="281"/>
        <v>1</v>
      </c>
      <c r="DS148" s="387">
        <f t="shared" si="282"/>
        <v>1</v>
      </c>
      <c r="DT148" s="387">
        <f t="shared" si="283"/>
        <v>1</v>
      </c>
      <c r="DU148" s="388">
        <f t="shared" si="284"/>
        <v>1</v>
      </c>
      <c r="DW148" s="386">
        <f t="shared" si="285"/>
        <v>0</v>
      </c>
      <c r="DX148" s="387">
        <f t="shared" si="286"/>
        <v>0.5</v>
      </c>
      <c r="DY148" s="388">
        <f t="shared" si="287"/>
        <v>1</v>
      </c>
      <c r="DZ148" s="386">
        <f t="shared" si="288"/>
        <v>1</v>
      </c>
      <c r="EA148" s="387">
        <f t="shared" si="289"/>
        <v>1</v>
      </c>
      <c r="EB148" s="387">
        <f t="shared" si="290"/>
        <v>1</v>
      </c>
      <c r="EC148" s="387">
        <f t="shared" si="291"/>
        <v>1</v>
      </c>
      <c r="ED148" s="388">
        <f t="shared" si="292"/>
        <v>1</v>
      </c>
      <c r="EF148" s="834">
        <f>+IF(DN148=DM148,0,
IF(AND(EF$44&gt;1,DN148=$N148),1-SUM($EE148:EE148),
IF($N148&lt;=1,
IF($N148&gt;0,1/$N148,0),
IF(EF$44=1,0,VDB(1,0,$N148,INT(EF$44-1-1),MIN($N148,INT(EF$44-1-1)+1),$DC148,IF($DD148="No",1,0))/
IF(DM148&gt;=INT($N148),$N148-INT($N148),1)))*
IF(EF$44=1,0,
IF(INT(DN148)=INT(DM148),DN148-DM148,INT(DN148)-DM148))+
IF($N148&lt;=1,
IF($N148&gt;0,1/$N148,0),VDB(1,0,$N148,INT(EF$44-1),MIN($N148,INT(EF$44-1)+1),$DC148,IF($DD148="No",1,0))/
IF(DN148&gt;INT($N148),$N148-INT($N148),1))*
IF(EF$44=1,DN148,
IF(INT(DN148)=INT(DM148),0,DN148-INT(DN148)))))</f>
        <v>0</v>
      </c>
      <c r="EG148" s="835">
        <f>+IF(DO148=DN148,0,
IF(AND(EG$44&gt;1,DO148=$N148),1-SUM($EE148:EF148),
IF($N148&lt;=1,
IF($N148&gt;0,1/$N148,0),
IF(EG$44=1,0,VDB(1,0,$N148,INT(EG$44-1-1),MIN($N148,INT(EG$44-1-1)+1),$DC148,IF($DD148="No",1,0))/
IF(DN148&gt;=INT($N148),$N148-INT($N148),1)))*
IF(EG$44=1,0,
IF(INT(DO148)=INT(DN148),DO148-DN148,INT(DO148)-DN148))+
IF($N148&lt;=1,
IF($N148&gt;0,1/$N148,0),VDB(1,0,$N148,INT(EG$44-1),MIN($N148,INT(EG$44-1)+1),$DC148,IF($DD148="No",1,0))/
IF(DO148&gt;INT($N148),$N148-INT($N148),1))*
IF(EG$44=1,DO148,
IF(INT(DO148)=INT(DN148),0,DO148-INT(DO148)))))</f>
        <v>0</v>
      </c>
      <c r="EH148" s="836">
        <f>+IF(DP148=DO148,0,
IF(AND(EH$44&gt;1,DP148=$N148),1-SUM($EE148:EG148),
IF($N148&lt;=1,
IF($N148&gt;0,1/$N148,0),
IF(EH$44=1,0,VDB(1,0,$N148,INT(EH$44-1-1),MIN($N148,INT(EH$44-1-1)+1),$DC148,IF($DD148="No",1,0))/
IF(DO148&gt;=INT($N148),$N148-INT($N148),1)))*
IF(EH$44=1,0,
IF(INT(DP148)=INT(DO148),DP148-DO148,INT(DP148)-DO148))+
IF($N148&lt;=1,
IF($N148&gt;0,1/$N148,0),VDB(1,0,$N148,INT(EH$44-1),MIN($N148,INT(EH$44-1)+1),$DC148,IF($DD148="No",1,0))/
IF(DP148&gt;INT($N148),$N148-INT($N148),1))*
IF(EH$44=1,DP148,
IF(INT(DP148)=INT(DO148),0,DP148-INT(DP148)))))</f>
        <v>0</v>
      </c>
      <c r="EI148" s="834">
        <f>+IF(DQ148=DP148,0,
IF(AND(EI$44&gt;1,DQ148=$N148),1-SUM($EE148:EH148),
IF($N148&lt;=1,
IF($N148&gt;0,1/$N148,0),
IF(EI$44=1,0,VDB(1,0,$N148,INT(EI$44-1-1),MIN($N148,INT(EI$44-1-1)+1),$DC148,IF($DD148="No",1,0))/
IF(DP148&gt;=INT($N148),$N148-INT($N148),1)))*
IF(EI$44=1,0,
IF(INT(DQ148)=INT(DP148),DQ148-DP148,INT(DQ148)-DP148))+
IF($N148&lt;=1,
IF($N148&gt;0,1/$N148,0),VDB(1,0,$N148,INT(EI$44-1),MIN($N148,INT(EI$44-1)+1),$DC148,IF($DD148="No",1,0))/
IF(DQ148&gt;INT($N148),$N148-INT($N148),1))*
IF(EI$44=1,DQ148,
IF(INT(DQ148)=INT(DP148),0,DQ148-INT(DQ148)))))</f>
        <v>0</v>
      </c>
      <c r="EJ148" s="835">
        <f>+IF(DR148=DQ148,0,
IF(AND(EJ$44&gt;1,DR148=$N148),1-SUM($EE148:EI148),
IF($N148&lt;=1,
IF($N148&gt;0,1/$N148,0),
IF(EJ$44=1,0,VDB(1,0,$N148,INT(EJ$44-1-1),MIN($N148,INT(EJ$44-1-1)+1),$DC148,IF($DD148="No",1,0))/
IF(DQ148&gt;=INT($N148),$N148-INT($N148),1)))*
IF(EJ$44=1,0,
IF(INT(DR148)=INT(DQ148),DR148-DQ148,INT(DR148)-DQ148))+
IF($N148&lt;=1,
IF($N148&gt;0,1/$N148,0),VDB(1,0,$N148,INT(EJ$44-1),MIN($N148,INT(EJ$44-1)+1),$DC148,IF($DD148="No",1,0))/
IF(DR148&gt;INT($N148),$N148-INT($N148),1))*
IF(EJ$44=1,DR148,
IF(INT(DR148)=INT(DQ148),0,DR148-INT(DR148)))))</f>
        <v>0</v>
      </c>
      <c r="EK148" s="835">
        <f>+IF(DS148=DR148,0,
IF(AND(EK$44&gt;1,DS148=$N148),1-SUM($EE148:EJ148),
IF($N148&lt;=1,
IF($N148&gt;0,1/$N148,0),
IF(EK$44=1,0,VDB(1,0,$N148,INT(EK$44-1-1),MIN($N148,INT(EK$44-1-1)+1),$DC148,IF($DD148="No",1,0))/
IF(DR148&gt;=INT($N148),$N148-INT($N148),1)))*
IF(EK$44=1,0,
IF(INT(DS148)=INT(DR148),DS148-DR148,INT(DS148)-DR148))+
IF($N148&lt;=1,
IF($N148&gt;0,1/$N148,0),VDB(1,0,$N148,INT(EK$44-1),MIN($N148,INT(EK$44-1)+1),$DC148,IF($DD148="No",1,0))/
IF(DS148&gt;INT($N148),$N148-INT($N148),1))*
IF(EK$44=1,DS148,
IF(INT(DS148)=INT(DR148),0,DS148-INT(DS148)))))</f>
        <v>0</v>
      </c>
      <c r="EL148" s="835">
        <f>+IF(DT148=DS148,0,
IF(AND(EL$44&gt;1,DT148=$N148),1-SUM($EE148:EK148),
IF($N148&lt;=1,
IF($N148&gt;0,1/$N148,0),
IF(EL$44=1,0,VDB(1,0,$N148,INT(EL$44-1-1),MIN($N148,INT(EL$44-1-1)+1),$DC148,IF($DD148="No",1,0))/
IF(DS148&gt;=INT($N148),$N148-INT($N148),1)))*
IF(EL$44=1,0,
IF(INT(DT148)=INT(DS148),DT148-DS148,INT(DT148)-DS148))+
IF($N148&lt;=1,
IF($N148&gt;0,1/$N148,0),VDB(1,0,$N148,INT(EL$44-1),MIN($N148,INT(EL$44-1)+1),$DC148,IF($DD148="No",1,0))/
IF(DT148&gt;INT($N148),$N148-INT($N148),1))*
IF(EL$44=1,DT148,
IF(INT(DT148)=INT(DS148),0,DT148-INT(DT148)))))</f>
        <v>0</v>
      </c>
      <c r="EM148" s="836">
        <f>+IF(DU148=DT148,0,
IF(AND(EM$44&gt;1,DU148=$N148),1-SUM($EE148:EL148),
IF($N148&lt;=1,
IF($N148&gt;0,1/$N148,0),
IF(EM$44=1,0,VDB(1,0,$N148,INT(EM$44-1-1),MIN($N148,INT(EM$44-1-1)+1),$DC148,IF($DD148="No",1,0))/
IF(DT148&gt;=INT($N148),$N148-INT($N148),1)))*
IF(EM$44=1,0,
IF(INT(DU148)=INT(DT148),DU148-DT148,INT(DU148)-DT148))+
IF($N148&lt;=1,
IF($N148&gt;0,1/$N148,0),VDB(1,0,$N148,INT(EM$44-1),MIN($N148,INT(EM$44-1)+1),$DC148,IF($DD148="No",1,0))/
IF(DU148&gt;INT($N148),$N148-INT($N148),1))*
IF(EM$44=1,DU148,
IF(INT(DU148)=INT(DT148),0,DU148-INT(DU148)))))</f>
        <v>0</v>
      </c>
      <c r="EN148" s="833"/>
      <c r="EO148" s="834">
        <f>+IF(OR(DW148=DV148,EO$44=1),0,
IF(AND(EO$44&gt;1,DW148=$N148),1-SUM($EN148:EN148),
IF($N148&lt;=1,
IF($N148&gt;0,1/$N148,0),
IF(EO$44=2,0,VDB(1,0,$N148,INT(EO$44-2-1),MIN($N148,INT(EO$44-2-1)+1),$DC148,IF($DD148="No",1,0))/
IF(DV148&gt;=INT($N148),$N148-INT($N148),1)))*
IF(EO$44=2,0,
IF(INT(DW148)=INT(DV148),DW148-DV148,INT(DW148)-DV148))+
IF($N148&lt;=1,
IF($N148&gt;0,1/$N148,0),VDB(1,0,$N148,INT(EO$44-2),MIN($N148,INT(EO$44-2)+1),$DC148,IF($DD148="No",1,0))/
IF(DW148&gt;INT($N148),$N148-INT($N148),1))*
IF(EO$44=2,DW148,
IF(INT(DW148)=INT(DV148),0,DW148-INT(DW148)))))</f>
        <v>0</v>
      </c>
      <c r="EP148" s="835">
        <f>+IF(OR(DX148=DW148,EP$44=1),0,
IF(AND(EP$44&gt;1,DX148=$N148),1-SUM($EN148:EO148),
IF($N148&lt;=1,
IF($N148&gt;0,1/$N148,0),
IF(EP$44=2,0,VDB(1,0,$N148,INT(EP$44-2-1),MIN($N148,INT(EP$44-2-1)+1),$DC148,IF($DD148="No",1,0))/
IF(DW148&gt;=INT($N148),$N148-INT($N148),1)))*
IF(EP$44=2,0,
IF(INT(DX148)=INT(DW148),DX148-DW148,INT(DX148)-DW148))+
IF($N148&lt;=1,
IF($N148&gt;0,1/$N148,0),VDB(1,0,$N148,INT(EP$44-2),MIN($N148,INT(EP$44-2)+1),$DC148,IF($DD148="No",1,0))/
IF(DX148&gt;INT($N148),$N148-INT($N148),1))*
IF(EP$44=2,DX148,
IF(INT(DX148)=INT(DW148),0,DX148-INT(DX148)))))</f>
        <v>0</v>
      </c>
      <c r="EQ148" s="836">
        <f>+IF(OR(DY148=DX148,EQ$44=1),0,
IF(AND(EQ$44&gt;1,DY148=$N148),1-SUM($EN148:EP148),
IF($N148&lt;=1,
IF($N148&gt;0,1/$N148,0),
IF(EQ$44=2,0,VDB(1,0,$N148,INT(EQ$44-2-1),MIN($N148,INT(EQ$44-2-1)+1),$DC148,IF($DD148="No",1,0))/
IF(DX148&gt;=INT($N148),$N148-INT($N148),1)))*
IF(EQ$44=2,0,
IF(INT(DY148)=INT(DX148),DY148-DX148,INT(DY148)-DX148))+
IF($N148&lt;=1,
IF($N148&gt;0,1/$N148,0),VDB(1,0,$N148,INT(EQ$44-2),MIN($N148,INT(EQ$44-2)+1),$DC148,IF($DD148="No",1,0))/
IF(DY148&gt;INT($N148),$N148-INT($N148),1))*
IF(EQ$44=2,DY148,
IF(INT(DY148)=INT(DX148),0,DY148-INT(DY148)))))</f>
        <v>0</v>
      </c>
      <c r="ER148" s="834">
        <f>+IF(OR(DZ148=DY148,ER$44=1),0,
IF(AND(ER$44&gt;1,DZ148=$N148),1-SUM($EN148:EQ148),
IF($N148&lt;=1,
IF($N148&gt;0,1/$N148,0),
IF(ER$44=2,0,VDB(1,0,$N148,INT(ER$44-2-1),MIN($N148,INT(ER$44-2-1)+1),$DC148,IF($DD148="No",1,0))/
IF(DY148&gt;=INT($N148),$N148-INT($N148),1)))*
IF(ER$44=2,0,
IF(INT(DZ148)=INT(DY148),DZ148-DY148,INT(DZ148)-DY148))+
IF($N148&lt;=1,
IF($N148&gt;0,1/$N148,0),VDB(1,0,$N148,INT(ER$44-2),MIN($N148,INT(ER$44-2)+1),$DC148,IF($DD148="No",1,0))/
IF(DZ148&gt;INT($N148),$N148-INT($N148),1))*
IF(ER$44=2,DZ148,
IF(INT(DZ148)=INT(DY148),0,DZ148-INT(DZ148)))))</f>
        <v>0</v>
      </c>
      <c r="ES148" s="835">
        <f>+IF(OR(EA148=DZ148,ES$44=1),0,
IF(AND(ES$44&gt;1,EA148=$N148),1-SUM($EN148:ER148),
IF($N148&lt;=1,
IF($N148&gt;0,1/$N148,0),
IF(ES$44=2,0,VDB(1,0,$N148,INT(ES$44-2-1),MIN($N148,INT(ES$44-2-1)+1),$DC148,IF($DD148="No",1,0))/
IF(DZ148&gt;=INT($N148),$N148-INT($N148),1)))*
IF(ES$44=2,0,
IF(INT(EA148)=INT(DZ148),EA148-DZ148,INT(EA148)-DZ148))+
IF($N148&lt;=1,
IF($N148&gt;0,1/$N148,0),VDB(1,0,$N148,INT(ES$44-2),MIN($N148,INT(ES$44-2)+1),$DC148,IF($DD148="No",1,0))/
IF(EA148&gt;INT($N148),$N148-INT($N148),1))*
IF(ES$44=2,EA148,
IF(INT(EA148)=INT(DZ148),0,EA148-INT(EA148)))))</f>
        <v>0</v>
      </c>
      <c r="ET148" s="835">
        <f>+IF(OR(EB148=EA148,ET$44=1),0,
IF(AND(ET$44&gt;1,EB148=$N148),1-SUM($EN148:ES148),
IF($N148&lt;=1,
IF($N148&gt;0,1/$N148,0),
IF(ET$44=2,0,VDB(1,0,$N148,INT(ET$44-2-1),MIN($N148,INT(ET$44-2-1)+1),$DC148,IF($DD148="No",1,0))/
IF(EA148&gt;=INT($N148),$N148-INT($N148),1)))*
IF(ET$44=2,0,
IF(INT(EB148)=INT(EA148),EB148-EA148,INT(EB148)-EA148))+
IF($N148&lt;=1,
IF($N148&gt;0,1/$N148,0),VDB(1,0,$N148,INT(ET$44-2),MIN($N148,INT(ET$44-2)+1),$DC148,IF($DD148="No",1,0))/
IF(EB148&gt;INT($N148),$N148-INT($N148),1))*
IF(ET$44=2,EB148,
IF(INT(EB148)=INT(EA148),0,EB148-INT(EB148)))))</f>
        <v>0</v>
      </c>
      <c r="EU148" s="835">
        <f>+IF(OR(EC148=EB148,EU$44=1),0,
IF(AND(EU$44&gt;1,EC148=$N148),1-SUM($EN148:ET148),
IF($N148&lt;=1,
IF($N148&gt;0,1/$N148,0),
IF(EU$44=2,0,VDB(1,0,$N148,INT(EU$44-2-1),MIN($N148,INT(EU$44-2-1)+1),$DC148,IF($DD148="No",1,0))/
IF(EB148&gt;=INT($N148),$N148-INT($N148),1)))*
IF(EU$44=2,0,
IF(INT(EC148)=INT(EB148),EC148-EB148,INT(EC148)-EB148))+
IF($N148&lt;=1,
IF($N148&gt;0,1/$N148,0),VDB(1,0,$N148,INT(EU$44-2),MIN($N148,INT(EU$44-2)+1),$DC148,IF($DD148="No",1,0))/
IF(EC148&gt;INT($N148),$N148-INT($N148),1))*
IF(EU$44=2,EC148,
IF(INT(EC148)=INT(EB148),0,EC148-INT(EC148)))))</f>
        <v>0</v>
      </c>
      <c r="EV148" s="836">
        <f>+IF(OR(ED148=EC148,EV$44=1),0,
IF(AND(EV$44&gt;1,ED148=$N148),1-SUM($EN148:EU148),
IF($N148&lt;=1,
IF($N148&gt;0,1/$N148,0),
IF(EV$44=2,0,VDB(1,0,$N148,INT(EV$44-2-1),MIN($N148,INT(EV$44-2-1)+1),$DC148,IF($DD148="No",1,0))/
IF(EC148&gt;=INT($N148),$N148-INT($N148),1)))*
IF(EV$44=2,0,
IF(INT(ED148)=INT(EC148),ED148-EC148,INT(ED148)-EC148))+
IF($N148&lt;=1,
IF($N148&gt;0,1/$N148,0),VDB(1,0,$N148,INT(EV$44-2),MIN($N148,INT(EV$44-2)+1),$DC148,IF($DD148="No",1,0))/
IF(ED148&gt;INT($N148),$N148-INT($N148),1))*
IF(EV$44=2,ED148,
IF(INT(ED148)=INT(EC148),0,ED148-INT(ED148)))))</f>
        <v>0</v>
      </c>
      <c r="EW148" s="833"/>
      <c r="EX148" s="834">
        <f t="shared" ca="1" si="303"/>
        <v>0</v>
      </c>
      <c r="EY148" s="835">
        <f t="shared" ca="1" si="303"/>
        <v>0</v>
      </c>
      <c r="EZ148" s="836">
        <f t="shared" ca="1" si="303"/>
        <v>0</v>
      </c>
      <c r="FA148" s="834">
        <f t="shared" ca="1" si="303"/>
        <v>0</v>
      </c>
      <c r="FB148" s="835">
        <f t="shared" ca="1" si="303"/>
        <v>0</v>
      </c>
      <c r="FC148" s="835">
        <f t="shared" ca="1" si="303"/>
        <v>0</v>
      </c>
      <c r="FD148" s="835">
        <f t="shared" ca="1" si="303"/>
        <v>0</v>
      </c>
      <c r="FE148" s="836">
        <f t="shared" ca="1" si="303"/>
        <v>0</v>
      </c>
      <c r="FG148" s="386">
        <f t="shared" ca="1" si="293"/>
        <v>0</v>
      </c>
      <c r="FH148" s="387">
        <f t="shared" ca="1" si="294"/>
        <v>0</v>
      </c>
      <c r="FI148" s="388">
        <f t="shared" ca="1" si="295"/>
        <v>0</v>
      </c>
      <c r="FJ148" s="386">
        <f t="shared" ca="1" si="296"/>
        <v>0</v>
      </c>
      <c r="FK148" s="387">
        <f t="shared" ca="1" si="297"/>
        <v>0</v>
      </c>
      <c r="FL148" s="387">
        <f t="shared" ca="1" si="298"/>
        <v>0</v>
      </c>
      <c r="FM148" s="387">
        <f t="shared" ca="1" si="299"/>
        <v>0</v>
      </c>
      <c r="FN148" s="388">
        <f t="shared" ca="1" si="300"/>
        <v>0</v>
      </c>
      <c r="FR148" s="116"/>
    </row>
    <row r="149" spans="2:174">
      <c r="B149" s="1410">
        <f t="shared" si="302"/>
        <v>103</v>
      </c>
      <c r="C149" s="400" t="s">
        <v>655</v>
      </c>
      <c r="D149" s="410"/>
      <c r="E149" s="402" t="s">
        <v>420</v>
      </c>
      <c r="F149" s="402" t="s">
        <v>514</v>
      </c>
      <c r="G149" s="400" t="s">
        <v>522</v>
      </c>
      <c r="H149" s="2088" t="s">
        <v>483</v>
      </c>
      <c r="I149" s="2089"/>
      <c r="J149" s="411" t="s">
        <v>516</v>
      </c>
      <c r="K149" s="403" t="s">
        <v>544</v>
      </c>
      <c r="L149" s="403">
        <v>100</v>
      </c>
      <c r="M149" s="403" t="s">
        <v>142</v>
      </c>
      <c r="N149" s="403"/>
      <c r="O149" s="347"/>
      <c r="P149" s="347"/>
      <c r="Q149" s="1021">
        <v>4.9862663414634145</v>
      </c>
      <c r="R149" s="1022">
        <v>3.5798710291493161</v>
      </c>
      <c r="S149" s="1022">
        <v>3.9433345424471509</v>
      </c>
      <c r="T149" s="1022">
        <v>13.367514662421915</v>
      </c>
      <c r="U149" s="1023">
        <v>19.114657073901473</v>
      </c>
      <c r="V149" s="1021">
        <v>42.009113990726021</v>
      </c>
      <c r="W149" s="1022">
        <v>0</v>
      </c>
      <c r="X149" s="1022">
        <v>0</v>
      </c>
      <c r="Y149" s="1022">
        <v>0</v>
      </c>
      <c r="Z149" s="1023">
        <v>0</v>
      </c>
      <c r="AA149" s="1024"/>
      <c r="AB149" s="1021">
        <v>0</v>
      </c>
      <c r="AC149" s="1022">
        <v>0</v>
      </c>
      <c r="AD149" s="1022">
        <v>0</v>
      </c>
      <c r="AE149" s="1022">
        <v>0</v>
      </c>
      <c r="AF149" s="1023">
        <v>0</v>
      </c>
      <c r="AG149" s="1021">
        <v>0</v>
      </c>
      <c r="AH149" s="1022">
        <v>0</v>
      </c>
      <c r="AI149" s="1022">
        <v>0</v>
      </c>
      <c r="AJ149" s="1022">
        <v>0</v>
      </c>
      <c r="AK149" s="1023">
        <v>0</v>
      </c>
      <c r="AL149" s="1024"/>
      <c r="AM149" s="1021">
        <v>0</v>
      </c>
      <c r="AN149" s="1022">
        <v>0</v>
      </c>
      <c r="AO149" s="1022">
        <v>0</v>
      </c>
      <c r="AP149" s="1022">
        <v>0</v>
      </c>
      <c r="AQ149" s="1023">
        <v>0</v>
      </c>
      <c r="AR149" s="1021">
        <v>0</v>
      </c>
      <c r="AS149" s="1022">
        <v>0</v>
      </c>
      <c r="AT149" s="1022">
        <v>0</v>
      </c>
      <c r="AU149" s="1022">
        <v>0</v>
      </c>
      <c r="AV149" s="1023">
        <v>0</v>
      </c>
      <c r="AW149" s="1025"/>
      <c r="AX149" s="1282">
        <f t="shared" si="247"/>
        <v>4.9862663414634145</v>
      </c>
      <c r="AY149" s="387">
        <f t="shared" si="248"/>
        <v>3.5798710291493161</v>
      </c>
      <c r="AZ149" s="387">
        <f t="shared" si="249"/>
        <v>3.9433345424471509</v>
      </c>
      <c r="BA149" s="387">
        <f t="shared" si="250"/>
        <v>13.367514662421915</v>
      </c>
      <c r="BB149" s="1283">
        <f t="shared" si="251"/>
        <v>19.114657073901473</v>
      </c>
      <c r="BC149" s="386">
        <f t="shared" si="252"/>
        <v>42.009113990726021</v>
      </c>
      <c r="BD149" s="387">
        <f t="shared" si="253"/>
        <v>0</v>
      </c>
      <c r="BE149" s="1277">
        <f t="shared" si="254"/>
        <v>0</v>
      </c>
      <c r="BF149" s="1277">
        <f t="shared" si="255"/>
        <v>0</v>
      </c>
      <c r="BG149" s="388">
        <f t="shared" si="256"/>
        <v>0</v>
      </c>
      <c r="BH149" s="1025"/>
      <c r="BI149" s="1282">
        <f t="shared" ca="1" si="257"/>
        <v>2.4931331707317074E-2</v>
      </c>
      <c r="BJ149" s="387">
        <f t="shared" ca="1" si="258"/>
        <v>6.7762018560380721E-2</v>
      </c>
      <c r="BK149" s="387">
        <f t="shared" ca="1" si="259"/>
        <v>0.10537804641836307</v>
      </c>
      <c r="BL149" s="387">
        <f t="shared" ca="1" si="260"/>
        <v>0.19193229244270837</v>
      </c>
      <c r="BM149" s="1283">
        <f t="shared" ca="1" si="261"/>
        <v>0.3543431511243253</v>
      </c>
      <c r="BN149" s="386">
        <f t="shared" ca="1" si="262"/>
        <v>0.65996200644746272</v>
      </c>
      <c r="BO149" s="387">
        <f t="shared" ca="1" si="263"/>
        <v>0.87000757640109283</v>
      </c>
      <c r="BP149" s="1277">
        <f t="shared" ca="1" si="264"/>
        <v>0.87000757640109283</v>
      </c>
      <c r="BQ149" s="1277">
        <f t="shared" ca="1" si="265"/>
        <v>0.87000757640109283</v>
      </c>
      <c r="BR149" s="388">
        <f t="shared" ca="1" si="266"/>
        <v>0.87000757640109283</v>
      </c>
      <c r="BS149" s="1025"/>
      <c r="BT149" s="1282">
        <f>+IF($K149="Ongoing",AX149,IF(RIGHT($K149,2)=RIGHT(BT$43,2),SUM($AX149:AX149),0)+IF(RIGHT(BT$43,2)&gt;RIGHT($K149,2),AX149,0))</f>
        <v>4.9862663414634145</v>
      </c>
      <c r="BU149" s="387">
        <f>+IF($K149="Ongoing",AY149,IF(RIGHT($K149,2)=RIGHT(BU$43,2),SUM($AX149:AY149),0)+IF(RIGHT(BU$43,2)&gt;RIGHT($K149,2),AY149,0))</f>
        <v>3.5798710291493161</v>
      </c>
      <c r="BV149" s="387">
        <f>+IF($K149="Ongoing",AZ149,IF(RIGHT($K149,2)=RIGHT(BV$43,2),SUM($AX149:AZ149),0)+IF(RIGHT(BV$43,2)&gt;RIGHT($K149,2),AZ149,0))</f>
        <v>3.9433345424471509</v>
      </c>
      <c r="BW149" s="387">
        <f>+IF($K149="Ongoing",BA149,IF(RIGHT($K149,2)=RIGHT(BW$43,2),SUM($AX149:BA149),0)+IF(RIGHT(BW$43,2)&gt;RIGHT($K149,2),BA149,0))</f>
        <v>13.367514662421915</v>
      </c>
      <c r="BX149" s="1283">
        <f>+IF($K149="Ongoing",BB149,IF(RIGHT($K149,2)=RIGHT(BX$43,2),SUM($AX149:BB149),0)+IF(RIGHT(BX$43,2)&gt;RIGHT($K149,2),BB149,0))</f>
        <v>19.114657073901473</v>
      </c>
      <c r="BY149" s="386">
        <f>+IF($K149="Ongoing",BC149,IF(RIGHT($K149,2)=RIGHT(BY$43,2),SUM($AX149:BC149),0)+IF(RIGHT(BY$43,2)&gt;RIGHT($K149,2),BC149,0))</f>
        <v>42.009113990726021</v>
      </c>
      <c r="BZ149" s="387">
        <f>+IF($K149="Ongoing",BD149,IF(RIGHT($K149,2)=RIGHT(BZ$43,2),SUM($AX149:BD149),0)+IF(RIGHT(BZ$43,2)&gt;RIGHT($K149,2),BD149,0))</f>
        <v>0</v>
      </c>
      <c r="CA149" s="1277">
        <f>+IF($K149="Ongoing",BE149,IF(RIGHT($K149,2)=RIGHT(CA$43,2),SUM($AX149:BE149),0)+IF(RIGHT(CA$43,2)&gt;RIGHT($K149,2),BE149,0))</f>
        <v>0</v>
      </c>
      <c r="CB149" s="1277">
        <f>+IF($K149="Ongoing",BF149,IF(RIGHT($K149,2)=RIGHT(CB$43,2),SUM($AX149:BF149),0)+IF(RIGHT(CB$43,2)&gt;RIGHT($K149,2),BF149,0))</f>
        <v>0</v>
      </c>
      <c r="CC149" s="388">
        <f>+IF($K149="Ongoing",BG149,IF(RIGHT($K149,2)=RIGHT(CC$43,2),SUM($AX149:BG149),0)+IF(RIGHT(CC$43,2)&gt;RIGHT($K149,2),BG149,0))</f>
        <v>0</v>
      </c>
      <c r="CD149" s="1025"/>
      <c r="CE149" s="1282">
        <f>+Q149*KeyAssumptionsPriceControl_FO!AF$15</f>
        <v>5.1308680653658527</v>
      </c>
      <c r="CF149" s="387">
        <f>+R149*KeyAssumptionsPriceControl_FO!AG$15</f>
        <v>3.7905142203754907</v>
      </c>
      <c r="CG149" s="387">
        <f>+S149*KeyAssumptionsPriceControl_FO!AH$15</f>
        <v>4.2964498546768022</v>
      </c>
      <c r="CH149" s="387">
        <f>+T149*KeyAssumptionsPriceControl_FO!AI$15</f>
        <v>14.98691237809898</v>
      </c>
      <c r="CI149" s="1283">
        <f>+U149*KeyAssumptionsPriceControl_FO!AJ$15</f>
        <v>22.051766478554875</v>
      </c>
      <c r="CJ149" s="386">
        <f>+V149*KeyAssumptionsPriceControl_FO!AK$15</f>
        <v>49.869586882369205</v>
      </c>
      <c r="CK149" s="387">
        <f>+W149*KeyAssumptionsPriceControl_FO!AL$15</f>
        <v>0</v>
      </c>
      <c r="CL149" s="1277">
        <f>+X149*KeyAssumptionsPriceControl_FO!AM$15</f>
        <v>0</v>
      </c>
      <c r="CM149" s="1277">
        <f>+Y149*KeyAssumptionsPriceControl_FO!AN$15</f>
        <v>0</v>
      </c>
      <c r="CN149" s="388">
        <f>+Z149*KeyAssumptionsPriceControl_FO!AO$15</f>
        <v>0</v>
      </c>
      <c r="CO149" s="1025"/>
      <c r="CP149" s="1282">
        <f t="shared" ca="1" si="267"/>
        <v>0</v>
      </c>
      <c r="CQ149" s="387">
        <f t="shared" ca="1" si="268"/>
        <v>0</v>
      </c>
      <c r="CR149" s="387">
        <f t="shared" ca="1" si="269"/>
        <v>0</v>
      </c>
      <c r="CS149" s="387">
        <f t="shared" ca="1" si="270"/>
        <v>0</v>
      </c>
      <c r="CT149" s="1283">
        <f t="shared" ca="1" si="271"/>
        <v>0</v>
      </c>
      <c r="CU149" s="386">
        <f t="shared" ca="1" si="272"/>
        <v>0</v>
      </c>
      <c r="CV149" s="387">
        <f t="shared" ca="1" si="273"/>
        <v>0</v>
      </c>
      <c r="CW149" s="1277">
        <f t="shared" ca="1" si="274"/>
        <v>0</v>
      </c>
      <c r="CX149" s="1277">
        <f t="shared" ca="1" si="275"/>
        <v>0</v>
      </c>
      <c r="CY149" s="388">
        <f t="shared" ca="1" si="276"/>
        <v>0</v>
      </c>
      <c r="CZ149" s="347"/>
      <c r="DA149" s="852"/>
      <c r="DB149" s="347"/>
      <c r="DC149" s="1012" t="s">
        <v>657</v>
      </c>
      <c r="DD149" s="841" t="s">
        <v>518</v>
      </c>
      <c r="DE149" s="386">
        <f>+IF($K149="ongoing",CE149,IF(RIGHT($K149,2)=RIGHT(DE$43,2),SUM($CD149:CE149),0)+IF(RIGHT(DE$43,2)&gt;RIGHT($K149,2),CE149,0))</f>
        <v>5.1308680653658527</v>
      </c>
      <c r="DF149" s="387">
        <f>+IF($K149="ongoing",CF149,IF(RIGHT($K149,2)=RIGHT(DF$43,2),SUM($CD149:CF149),0)+IF(RIGHT(DF$43,2)&gt;RIGHT($K149,2),CF149,0))</f>
        <v>3.7905142203754907</v>
      </c>
      <c r="DG149" s="388">
        <f>+IF($K149="ongoing",CG149,IF(RIGHT($K149,2)=RIGHT(DG$43,2),SUM($CD149:CG149),0)+IF(RIGHT(DG$43,2)&gt;RIGHT($K149,2),CG149,0))</f>
        <v>4.2964498546768022</v>
      </c>
      <c r="DH149" s="386">
        <f>+IF($K149="ongoing",CH149,IF(RIGHT($K149,2)=RIGHT(DH$43,2),SUM($CD149:CH149),0)+IF(RIGHT(DH$43,2)&gt;RIGHT($K149,2),CH149,0))</f>
        <v>14.98691237809898</v>
      </c>
      <c r="DI149" s="387">
        <f>+IF($K149="ongoing",CI149,IF(RIGHT($K149,2)=RIGHT(DI$43,2),SUM($CD149:CI149),0)+IF(RIGHT(DI$43,2)&gt;RIGHT($K149,2),CI149,0))</f>
        <v>22.051766478554875</v>
      </c>
      <c r="DJ149" s="387">
        <f>+IF($K149="ongoing",CJ149,IF(RIGHT($K149,2)=RIGHT(DJ$43,2),SUM($CD149:CJ149),0)+IF(RIGHT(DJ$43,2)&gt;RIGHT($K149,2),CJ149,0))</f>
        <v>49.869586882369205</v>
      </c>
      <c r="DK149" s="387">
        <f>+IF($K149="ongoing",CK149,IF(RIGHT($K149,2)=RIGHT(DK$43,2),SUM($CD149:CK149),0)+IF(RIGHT(DK$43,2)&gt;RIGHT($K149,2),CK149,0))</f>
        <v>0</v>
      </c>
      <c r="DL149" s="388">
        <f>+IF($K149="ongoing",CN149,IF(RIGHT($K149,2)=RIGHT(DL$43,2),SUM($CD149:CN149),0)+IF(RIGHT(DL$43,2)&gt;RIGHT($K149,2),CN149,0))</f>
        <v>0</v>
      </c>
      <c r="DM149" s="841"/>
      <c r="DN149" s="386">
        <f t="shared" si="277"/>
        <v>0.5</v>
      </c>
      <c r="DO149" s="387">
        <f t="shared" si="278"/>
        <v>1</v>
      </c>
      <c r="DP149" s="388">
        <f t="shared" si="279"/>
        <v>1</v>
      </c>
      <c r="DQ149" s="386">
        <f t="shared" si="280"/>
        <v>1</v>
      </c>
      <c r="DR149" s="387">
        <f t="shared" si="281"/>
        <v>1</v>
      </c>
      <c r="DS149" s="387">
        <f t="shared" si="282"/>
        <v>1</v>
      </c>
      <c r="DT149" s="387">
        <f t="shared" si="283"/>
        <v>1</v>
      </c>
      <c r="DU149" s="388">
        <f t="shared" si="284"/>
        <v>1</v>
      </c>
      <c r="DW149" s="386">
        <f t="shared" si="285"/>
        <v>0</v>
      </c>
      <c r="DX149" s="387">
        <f t="shared" si="286"/>
        <v>0.5</v>
      </c>
      <c r="DY149" s="388">
        <f t="shared" si="287"/>
        <v>1</v>
      </c>
      <c r="DZ149" s="386">
        <f t="shared" si="288"/>
        <v>1</v>
      </c>
      <c r="EA149" s="387">
        <f t="shared" si="289"/>
        <v>1</v>
      </c>
      <c r="EB149" s="387">
        <f t="shared" si="290"/>
        <v>1</v>
      </c>
      <c r="EC149" s="387">
        <f t="shared" si="291"/>
        <v>1</v>
      </c>
      <c r="ED149" s="388">
        <f t="shared" si="292"/>
        <v>1</v>
      </c>
      <c r="EF149" s="834">
        <f>+IF(DN149=DM149,0,
IF(AND(EF$44&gt;1,DN149=$N149),1-SUM($EE149:EE149),
IF($N149&lt;=1,
IF($N149&gt;0,1/$N149,0),
IF(EF$44=1,0,VDB(1,0,$N149,INT(EF$44-1-1),MIN($N149,INT(EF$44-1-1)+1),$DC149,IF($DD149="No",1,0))/
IF(DM149&gt;=INT($N149),$N149-INT($N149),1)))*
IF(EF$44=1,0,
IF(INT(DN149)=INT(DM149),DN149-DM149,INT(DN149)-DM149))+
IF($N149&lt;=1,
IF($N149&gt;0,1/$N149,0),VDB(1,0,$N149,INT(EF$44-1),MIN($N149,INT(EF$44-1)+1),$DC149,IF($DD149="No",1,0))/
IF(DN149&gt;INT($N149),$N149-INT($N149),1))*
IF(EF$44=1,DN149,
IF(INT(DN149)=INT(DM149),0,DN149-INT(DN149)))))</f>
        <v>0</v>
      </c>
      <c r="EG149" s="835">
        <f>+IF(DO149=DN149,0,
IF(AND(EG$44&gt;1,DO149=$N149),1-SUM($EE149:EF149),
IF($N149&lt;=1,
IF($N149&gt;0,1/$N149,0),
IF(EG$44=1,0,VDB(1,0,$N149,INT(EG$44-1-1),MIN($N149,INT(EG$44-1-1)+1),$DC149,IF($DD149="No",1,0))/
IF(DN149&gt;=INT($N149),$N149-INT($N149),1)))*
IF(EG$44=1,0,
IF(INT(DO149)=INT(DN149),DO149-DN149,INT(DO149)-DN149))+
IF($N149&lt;=1,
IF($N149&gt;0,1/$N149,0),VDB(1,0,$N149,INT(EG$44-1),MIN($N149,INT(EG$44-1)+1),$DC149,IF($DD149="No",1,0))/
IF(DO149&gt;INT($N149),$N149-INT($N149),1))*
IF(EG$44=1,DO149,
IF(INT(DO149)=INT(DN149),0,DO149-INT(DO149)))))</f>
        <v>0</v>
      </c>
      <c r="EH149" s="836">
        <f>+IF(DP149=DO149,0,
IF(AND(EH$44&gt;1,DP149=$N149),1-SUM($EE149:EG149),
IF($N149&lt;=1,
IF($N149&gt;0,1/$N149,0),
IF(EH$44=1,0,VDB(1,0,$N149,INT(EH$44-1-1),MIN($N149,INT(EH$44-1-1)+1),$DC149,IF($DD149="No",1,0))/
IF(DO149&gt;=INT($N149),$N149-INT($N149),1)))*
IF(EH$44=1,0,
IF(INT(DP149)=INT(DO149),DP149-DO149,INT(DP149)-DO149))+
IF($N149&lt;=1,
IF($N149&gt;0,1/$N149,0),VDB(1,0,$N149,INT(EH$44-1),MIN($N149,INT(EH$44-1)+1),$DC149,IF($DD149="No",1,0))/
IF(DP149&gt;INT($N149),$N149-INT($N149),1))*
IF(EH$44=1,DP149,
IF(INT(DP149)=INT(DO149),0,DP149-INT(DP149)))))</f>
        <v>0</v>
      </c>
      <c r="EI149" s="834">
        <f>+IF(DQ149=DP149,0,
IF(AND(EI$44&gt;1,DQ149=$N149),1-SUM($EE149:EH149),
IF($N149&lt;=1,
IF($N149&gt;0,1/$N149,0),
IF(EI$44=1,0,VDB(1,0,$N149,INT(EI$44-1-1),MIN($N149,INT(EI$44-1-1)+1),$DC149,IF($DD149="No",1,0))/
IF(DP149&gt;=INT($N149),$N149-INT($N149),1)))*
IF(EI$44=1,0,
IF(INT(DQ149)=INT(DP149),DQ149-DP149,INT(DQ149)-DP149))+
IF($N149&lt;=1,
IF($N149&gt;0,1/$N149,0),VDB(1,0,$N149,INT(EI$44-1),MIN($N149,INT(EI$44-1)+1),$DC149,IF($DD149="No",1,0))/
IF(DQ149&gt;INT($N149),$N149-INT($N149),1))*
IF(EI$44=1,DQ149,
IF(INT(DQ149)=INT(DP149),0,DQ149-INT(DQ149)))))</f>
        <v>0</v>
      </c>
      <c r="EJ149" s="835">
        <f>+IF(DR149=DQ149,0,
IF(AND(EJ$44&gt;1,DR149=$N149),1-SUM($EE149:EI149),
IF($N149&lt;=1,
IF($N149&gt;0,1/$N149,0),
IF(EJ$44=1,0,VDB(1,0,$N149,INT(EJ$44-1-1),MIN($N149,INT(EJ$44-1-1)+1),$DC149,IF($DD149="No",1,0))/
IF(DQ149&gt;=INT($N149),$N149-INT($N149),1)))*
IF(EJ$44=1,0,
IF(INT(DR149)=INT(DQ149),DR149-DQ149,INT(DR149)-DQ149))+
IF($N149&lt;=1,
IF($N149&gt;0,1/$N149,0),VDB(1,0,$N149,INT(EJ$44-1),MIN($N149,INT(EJ$44-1)+1),$DC149,IF($DD149="No",1,0))/
IF(DR149&gt;INT($N149),$N149-INT($N149),1))*
IF(EJ$44=1,DR149,
IF(INT(DR149)=INT(DQ149),0,DR149-INT(DR149)))))</f>
        <v>0</v>
      </c>
      <c r="EK149" s="835">
        <f>+IF(DS149=DR149,0,
IF(AND(EK$44&gt;1,DS149=$N149),1-SUM($EE149:EJ149),
IF($N149&lt;=1,
IF($N149&gt;0,1/$N149,0),
IF(EK$44=1,0,VDB(1,0,$N149,INT(EK$44-1-1),MIN($N149,INT(EK$44-1-1)+1),$DC149,IF($DD149="No",1,0))/
IF(DR149&gt;=INT($N149),$N149-INT($N149),1)))*
IF(EK$44=1,0,
IF(INT(DS149)=INT(DR149),DS149-DR149,INT(DS149)-DR149))+
IF($N149&lt;=1,
IF($N149&gt;0,1/$N149,0),VDB(1,0,$N149,INT(EK$44-1),MIN($N149,INT(EK$44-1)+1),$DC149,IF($DD149="No",1,0))/
IF(DS149&gt;INT($N149),$N149-INT($N149),1))*
IF(EK$44=1,DS149,
IF(INT(DS149)=INT(DR149),0,DS149-INT(DS149)))))</f>
        <v>0</v>
      </c>
      <c r="EL149" s="835">
        <f>+IF(DT149=DS149,0,
IF(AND(EL$44&gt;1,DT149=$N149),1-SUM($EE149:EK149),
IF($N149&lt;=1,
IF($N149&gt;0,1/$N149,0),
IF(EL$44=1,0,VDB(1,0,$N149,INT(EL$44-1-1),MIN($N149,INT(EL$44-1-1)+1),$DC149,IF($DD149="No",1,0))/
IF(DS149&gt;=INT($N149),$N149-INT($N149),1)))*
IF(EL$44=1,0,
IF(INT(DT149)=INT(DS149),DT149-DS149,INT(DT149)-DS149))+
IF($N149&lt;=1,
IF($N149&gt;0,1/$N149,0),VDB(1,0,$N149,INT(EL$44-1),MIN($N149,INT(EL$44-1)+1),$DC149,IF($DD149="No",1,0))/
IF(DT149&gt;INT($N149),$N149-INT($N149),1))*
IF(EL$44=1,DT149,
IF(INT(DT149)=INT(DS149),0,DT149-INT(DT149)))))</f>
        <v>0</v>
      </c>
      <c r="EM149" s="836">
        <f>+IF(DU149=DT149,0,
IF(AND(EM$44&gt;1,DU149=$N149),1-SUM($EE149:EL149),
IF($N149&lt;=1,
IF($N149&gt;0,1/$N149,0),
IF(EM$44=1,0,VDB(1,0,$N149,INT(EM$44-1-1),MIN($N149,INT(EM$44-1-1)+1),$DC149,IF($DD149="No",1,0))/
IF(DT149&gt;=INT($N149),$N149-INT($N149),1)))*
IF(EM$44=1,0,
IF(INT(DU149)=INT(DT149),DU149-DT149,INT(DU149)-DT149))+
IF($N149&lt;=1,
IF($N149&gt;0,1/$N149,0),VDB(1,0,$N149,INT(EM$44-1),MIN($N149,INT(EM$44-1)+1),$DC149,IF($DD149="No",1,0))/
IF(DU149&gt;INT($N149),$N149-INT($N149),1))*
IF(EM$44=1,DU149,
IF(INT(DU149)=INT(DT149),0,DU149-INT(DU149)))))</f>
        <v>0</v>
      </c>
      <c r="EN149" s="833"/>
      <c r="EO149" s="834">
        <f>+IF(OR(DW149=DV149,EO$44=1),0,
IF(AND(EO$44&gt;1,DW149=$N149),1-SUM($EN149:EN149),
IF($N149&lt;=1,
IF($N149&gt;0,1/$N149,0),
IF(EO$44=2,0,VDB(1,0,$N149,INT(EO$44-2-1),MIN($N149,INT(EO$44-2-1)+1),$DC149,IF($DD149="No",1,0))/
IF(DV149&gt;=INT($N149),$N149-INT($N149),1)))*
IF(EO$44=2,0,
IF(INT(DW149)=INT(DV149),DW149-DV149,INT(DW149)-DV149))+
IF($N149&lt;=1,
IF($N149&gt;0,1/$N149,0),VDB(1,0,$N149,INT(EO$44-2),MIN($N149,INT(EO$44-2)+1),$DC149,IF($DD149="No",1,0))/
IF(DW149&gt;INT($N149),$N149-INT($N149),1))*
IF(EO$44=2,DW149,
IF(INT(DW149)=INT(DV149),0,DW149-INT(DW149)))))</f>
        <v>0</v>
      </c>
      <c r="EP149" s="835">
        <f>+IF(OR(DX149=DW149,EP$44=1),0,
IF(AND(EP$44&gt;1,DX149=$N149),1-SUM($EN149:EO149),
IF($N149&lt;=1,
IF($N149&gt;0,1/$N149,0),
IF(EP$44=2,0,VDB(1,0,$N149,INT(EP$44-2-1),MIN($N149,INT(EP$44-2-1)+1),$DC149,IF($DD149="No",1,0))/
IF(DW149&gt;=INT($N149),$N149-INT($N149),1)))*
IF(EP$44=2,0,
IF(INT(DX149)=INT(DW149),DX149-DW149,INT(DX149)-DW149))+
IF($N149&lt;=1,
IF($N149&gt;0,1/$N149,0),VDB(1,0,$N149,INT(EP$44-2),MIN($N149,INT(EP$44-2)+1),$DC149,IF($DD149="No",1,0))/
IF(DX149&gt;INT($N149),$N149-INT($N149),1))*
IF(EP$44=2,DX149,
IF(INT(DX149)=INT(DW149),0,DX149-INT(DX149)))))</f>
        <v>0</v>
      </c>
      <c r="EQ149" s="836">
        <f>+IF(OR(DY149=DX149,EQ$44=1),0,
IF(AND(EQ$44&gt;1,DY149=$N149),1-SUM($EN149:EP149),
IF($N149&lt;=1,
IF($N149&gt;0,1/$N149,0),
IF(EQ$44=2,0,VDB(1,0,$N149,INT(EQ$44-2-1),MIN($N149,INT(EQ$44-2-1)+1),$DC149,IF($DD149="No",1,0))/
IF(DX149&gt;=INT($N149),$N149-INT($N149),1)))*
IF(EQ$44=2,0,
IF(INT(DY149)=INT(DX149),DY149-DX149,INT(DY149)-DX149))+
IF($N149&lt;=1,
IF($N149&gt;0,1/$N149,0),VDB(1,0,$N149,INT(EQ$44-2),MIN($N149,INT(EQ$44-2)+1),$DC149,IF($DD149="No",1,0))/
IF(DY149&gt;INT($N149),$N149-INT($N149),1))*
IF(EQ$44=2,DY149,
IF(INT(DY149)=INT(DX149),0,DY149-INT(DY149)))))</f>
        <v>0</v>
      </c>
      <c r="ER149" s="834">
        <f>+IF(OR(DZ149=DY149,ER$44=1),0,
IF(AND(ER$44&gt;1,DZ149=$N149),1-SUM($EN149:EQ149),
IF($N149&lt;=1,
IF($N149&gt;0,1/$N149,0),
IF(ER$44=2,0,VDB(1,0,$N149,INT(ER$44-2-1),MIN($N149,INT(ER$44-2-1)+1),$DC149,IF($DD149="No",1,0))/
IF(DY149&gt;=INT($N149),$N149-INT($N149),1)))*
IF(ER$44=2,0,
IF(INT(DZ149)=INT(DY149),DZ149-DY149,INT(DZ149)-DY149))+
IF($N149&lt;=1,
IF($N149&gt;0,1/$N149,0),VDB(1,0,$N149,INT(ER$44-2),MIN($N149,INT(ER$44-2)+1),$DC149,IF($DD149="No",1,0))/
IF(DZ149&gt;INT($N149),$N149-INT($N149),1))*
IF(ER$44=2,DZ149,
IF(INT(DZ149)=INT(DY149),0,DZ149-INT(DZ149)))))</f>
        <v>0</v>
      </c>
      <c r="ES149" s="835">
        <f>+IF(OR(EA149=DZ149,ES$44=1),0,
IF(AND(ES$44&gt;1,EA149=$N149),1-SUM($EN149:ER149),
IF($N149&lt;=1,
IF($N149&gt;0,1/$N149,0),
IF(ES$44=2,0,VDB(1,0,$N149,INT(ES$44-2-1),MIN($N149,INT(ES$44-2-1)+1),$DC149,IF($DD149="No",1,0))/
IF(DZ149&gt;=INT($N149),$N149-INT($N149),1)))*
IF(ES$44=2,0,
IF(INT(EA149)=INT(DZ149),EA149-DZ149,INT(EA149)-DZ149))+
IF($N149&lt;=1,
IF($N149&gt;0,1/$N149,0),VDB(1,0,$N149,INT(ES$44-2),MIN($N149,INT(ES$44-2)+1),$DC149,IF($DD149="No",1,0))/
IF(EA149&gt;INT($N149),$N149-INT($N149),1))*
IF(ES$44=2,EA149,
IF(INT(EA149)=INT(DZ149),0,EA149-INT(EA149)))))</f>
        <v>0</v>
      </c>
      <c r="ET149" s="835">
        <f>+IF(OR(EB149=EA149,ET$44=1),0,
IF(AND(ET$44&gt;1,EB149=$N149),1-SUM($EN149:ES149),
IF($N149&lt;=1,
IF($N149&gt;0,1/$N149,0),
IF(ET$44=2,0,VDB(1,0,$N149,INT(ET$44-2-1),MIN($N149,INT(ET$44-2-1)+1),$DC149,IF($DD149="No",1,0))/
IF(EA149&gt;=INT($N149),$N149-INT($N149),1)))*
IF(ET$44=2,0,
IF(INT(EB149)=INT(EA149),EB149-EA149,INT(EB149)-EA149))+
IF($N149&lt;=1,
IF($N149&gt;0,1/$N149,0),VDB(1,0,$N149,INT(ET$44-2),MIN($N149,INT(ET$44-2)+1),$DC149,IF($DD149="No",1,0))/
IF(EB149&gt;INT($N149),$N149-INT($N149),1))*
IF(ET$44=2,EB149,
IF(INT(EB149)=INT(EA149),0,EB149-INT(EB149)))))</f>
        <v>0</v>
      </c>
      <c r="EU149" s="835">
        <f>+IF(OR(EC149=EB149,EU$44=1),0,
IF(AND(EU$44&gt;1,EC149=$N149),1-SUM($EN149:ET149),
IF($N149&lt;=1,
IF($N149&gt;0,1/$N149,0),
IF(EU$44=2,0,VDB(1,0,$N149,INT(EU$44-2-1),MIN($N149,INT(EU$44-2-1)+1),$DC149,IF($DD149="No",1,0))/
IF(EB149&gt;=INT($N149),$N149-INT($N149),1)))*
IF(EU$44=2,0,
IF(INT(EC149)=INT(EB149),EC149-EB149,INT(EC149)-EB149))+
IF($N149&lt;=1,
IF($N149&gt;0,1/$N149,0),VDB(1,0,$N149,INT(EU$44-2),MIN($N149,INT(EU$44-2)+1),$DC149,IF($DD149="No",1,0))/
IF(EC149&gt;INT($N149),$N149-INT($N149),1))*
IF(EU$44=2,EC149,
IF(INT(EC149)=INT(EB149),0,EC149-INT(EC149)))))</f>
        <v>0</v>
      </c>
      <c r="EV149" s="836">
        <f>+IF(OR(ED149=EC149,EV$44=1),0,
IF(AND(EV$44&gt;1,ED149=$N149),1-SUM($EN149:EU149),
IF($N149&lt;=1,
IF($N149&gt;0,1/$N149,0),
IF(EV$44=2,0,VDB(1,0,$N149,INT(EV$44-2-1),MIN($N149,INT(EV$44-2-1)+1),$DC149,IF($DD149="No",1,0))/
IF(EC149&gt;=INT($N149),$N149-INT($N149),1)))*
IF(EV$44=2,0,
IF(INT(ED149)=INT(EC149),ED149-EC149,INT(ED149)-EC149))+
IF($N149&lt;=1,
IF($N149&gt;0,1/$N149,0),VDB(1,0,$N149,INT(EV$44-2),MIN($N149,INT(EV$44-2)+1),$DC149,IF($DD149="No",1,0))/
IF(ED149&gt;INT($N149),$N149-INT($N149),1))*
IF(EV$44=2,ED149,
IF(INT(ED149)=INT(EC149),0,ED149-INT(ED149)))))</f>
        <v>0</v>
      </c>
      <c r="EW149" s="833"/>
      <c r="EX149" s="834">
        <f t="shared" ca="1" si="303"/>
        <v>0</v>
      </c>
      <c r="EY149" s="835">
        <f t="shared" ca="1" si="303"/>
        <v>0</v>
      </c>
      <c r="EZ149" s="836">
        <f t="shared" ca="1" si="303"/>
        <v>0</v>
      </c>
      <c r="FA149" s="834">
        <f t="shared" ca="1" si="303"/>
        <v>0</v>
      </c>
      <c r="FB149" s="835">
        <f t="shared" ca="1" si="303"/>
        <v>0</v>
      </c>
      <c r="FC149" s="835">
        <f t="shared" ca="1" si="303"/>
        <v>0</v>
      </c>
      <c r="FD149" s="835">
        <f t="shared" ca="1" si="303"/>
        <v>0</v>
      </c>
      <c r="FE149" s="836">
        <f t="shared" ca="1" si="303"/>
        <v>0</v>
      </c>
      <c r="FG149" s="386">
        <f t="shared" ca="1" si="293"/>
        <v>0</v>
      </c>
      <c r="FH149" s="387">
        <f t="shared" ca="1" si="294"/>
        <v>0</v>
      </c>
      <c r="FI149" s="388">
        <f t="shared" ca="1" si="295"/>
        <v>0</v>
      </c>
      <c r="FJ149" s="386">
        <f t="shared" ca="1" si="296"/>
        <v>0</v>
      </c>
      <c r="FK149" s="387">
        <f t="shared" ca="1" si="297"/>
        <v>0</v>
      </c>
      <c r="FL149" s="387">
        <f t="shared" ca="1" si="298"/>
        <v>0</v>
      </c>
      <c r="FM149" s="387">
        <f t="shared" ca="1" si="299"/>
        <v>0</v>
      </c>
      <c r="FN149" s="388">
        <f t="shared" ca="1" si="300"/>
        <v>0</v>
      </c>
      <c r="FR149" s="116"/>
    </row>
    <row r="150" spans="2:174">
      <c r="B150" s="1410">
        <f t="shared" si="302"/>
        <v>104</v>
      </c>
      <c r="C150" s="400" t="s">
        <v>658</v>
      </c>
      <c r="D150" s="410"/>
      <c r="E150" s="402" t="s">
        <v>427</v>
      </c>
      <c r="F150" s="402" t="s">
        <v>527</v>
      </c>
      <c r="G150" s="400" t="s">
        <v>525</v>
      </c>
      <c r="H150" s="2088" t="s">
        <v>483</v>
      </c>
      <c r="I150" s="2089"/>
      <c r="J150" s="411" t="s">
        <v>516</v>
      </c>
      <c r="K150" s="403" t="s">
        <v>544</v>
      </c>
      <c r="L150" s="403">
        <v>25</v>
      </c>
      <c r="M150" s="403" t="s">
        <v>142</v>
      </c>
      <c r="N150" s="403"/>
      <c r="O150" s="347"/>
      <c r="P150" s="347"/>
      <c r="Q150" s="1021">
        <v>0.3902439024390244</v>
      </c>
      <c r="R150" s="1022">
        <v>0.38072575847709705</v>
      </c>
      <c r="S150" s="1022">
        <v>0.37143976436789955</v>
      </c>
      <c r="T150" s="1022">
        <v>0.36238025791990203</v>
      </c>
      <c r="U150" s="1023">
        <v>0.35354171504380694</v>
      </c>
      <c r="V150" s="1021">
        <v>0.34491874638420195</v>
      </c>
      <c r="W150" s="1022">
        <v>0.33650609403336773</v>
      </c>
      <c r="X150" s="1022">
        <v>0.32829862832523693</v>
      </c>
      <c r="Y150" s="1022">
        <v>0.32029134470754822</v>
      </c>
      <c r="Z150" s="1023">
        <v>0.15623968034514546</v>
      </c>
      <c r="AA150" s="1024"/>
      <c r="AB150" s="1021">
        <v>0</v>
      </c>
      <c r="AC150" s="1022">
        <v>0</v>
      </c>
      <c r="AD150" s="1022">
        <v>0</v>
      </c>
      <c r="AE150" s="1022">
        <v>0</v>
      </c>
      <c r="AF150" s="1023">
        <v>0</v>
      </c>
      <c r="AG150" s="1021">
        <v>0</v>
      </c>
      <c r="AH150" s="1022">
        <v>0</v>
      </c>
      <c r="AI150" s="1022">
        <v>0</v>
      </c>
      <c r="AJ150" s="1022">
        <v>0</v>
      </c>
      <c r="AK150" s="1023">
        <v>0</v>
      </c>
      <c r="AL150" s="1024"/>
      <c r="AM150" s="1021">
        <v>0</v>
      </c>
      <c r="AN150" s="1022">
        <v>0</v>
      </c>
      <c r="AO150" s="1022">
        <v>0</v>
      </c>
      <c r="AP150" s="1022">
        <v>0</v>
      </c>
      <c r="AQ150" s="1023">
        <v>0</v>
      </c>
      <c r="AR150" s="1021">
        <v>0</v>
      </c>
      <c r="AS150" s="1022">
        <v>0</v>
      </c>
      <c r="AT150" s="1022">
        <v>0</v>
      </c>
      <c r="AU150" s="1022">
        <v>0</v>
      </c>
      <c r="AV150" s="1023">
        <v>0</v>
      </c>
      <c r="AW150" s="1025"/>
      <c r="AX150" s="1282">
        <f t="shared" si="247"/>
        <v>0.3902439024390244</v>
      </c>
      <c r="AY150" s="387">
        <f t="shared" si="248"/>
        <v>0.38072575847709705</v>
      </c>
      <c r="AZ150" s="387">
        <f t="shared" si="249"/>
        <v>0.37143976436789955</v>
      </c>
      <c r="BA150" s="387">
        <f t="shared" si="250"/>
        <v>0.36238025791990203</v>
      </c>
      <c r="BB150" s="1283">
        <f t="shared" si="251"/>
        <v>0.35354171504380694</v>
      </c>
      <c r="BC150" s="386">
        <f t="shared" si="252"/>
        <v>0.34491874638420195</v>
      </c>
      <c r="BD150" s="387">
        <f t="shared" si="253"/>
        <v>0.33650609403336773</v>
      </c>
      <c r="BE150" s="1277">
        <f t="shared" si="254"/>
        <v>0.32829862832523693</v>
      </c>
      <c r="BF150" s="1277">
        <f t="shared" si="255"/>
        <v>0.32029134470754822</v>
      </c>
      <c r="BG150" s="388">
        <f t="shared" si="256"/>
        <v>0.15623968034514546</v>
      </c>
      <c r="BH150" s="1025"/>
      <c r="BI150" s="1282">
        <f t="shared" ca="1" si="257"/>
        <v>7.8048780487804878E-3</v>
      </c>
      <c r="BJ150" s="387">
        <f t="shared" ca="1" si="258"/>
        <v>2.3224271267102917E-2</v>
      </c>
      <c r="BK150" s="387">
        <f t="shared" ca="1" si="259"/>
        <v>3.8267581724002846E-2</v>
      </c>
      <c r="BL150" s="387">
        <f t="shared" ca="1" si="260"/>
        <v>5.2943982169758881E-2</v>
      </c>
      <c r="BM150" s="1283">
        <f t="shared" ca="1" si="261"/>
        <v>6.7262421629033051E-2</v>
      </c>
      <c r="BN150" s="386">
        <f t="shared" ca="1" si="262"/>
        <v>8.1231630857593232E-2</v>
      </c>
      <c r="BO150" s="387">
        <f t="shared" ca="1" si="263"/>
        <v>9.4860127665944621E-2</v>
      </c>
      <c r="BP150" s="1277">
        <f t="shared" ca="1" si="264"/>
        <v>0.10815622211311672</v>
      </c>
      <c r="BQ150" s="1277">
        <f t="shared" ca="1" si="265"/>
        <v>0.12112802157377243</v>
      </c>
      <c r="BR150" s="388">
        <f t="shared" ca="1" si="266"/>
        <v>0.1306586420748263</v>
      </c>
      <c r="BS150" s="1025"/>
      <c r="BT150" s="1282">
        <f>+IF($K150="Ongoing",AX150,IF(RIGHT($K150,2)=RIGHT(BT$43,2),SUM($AX150:AX150),0)+IF(RIGHT(BT$43,2)&gt;RIGHT($K150,2),AX150,0))</f>
        <v>0.3902439024390244</v>
      </c>
      <c r="BU150" s="387">
        <f>+IF($K150="Ongoing",AY150,IF(RIGHT($K150,2)=RIGHT(BU$43,2),SUM($AX150:AY150),0)+IF(RIGHT(BU$43,2)&gt;RIGHT($K150,2),AY150,0))</f>
        <v>0.38072575847709705</v>
      </c>
      <c r="BV150" s="387">
        <f>+IF($K150="Ongoing",AZ150,IF(RIGHT($K150,2)=RIGHT(BV$43,2),SUM($AX150:AZ150),0)+IF(RIGHT(BV$43,2)&gt;RIGHT($K150,2),AZ150,0))</f>
        <v>0.37143976436789955</v>
      </c>
      <c r="BW150" s="387">
        <f>+IF($K150="Ongoing",BA150,IF(RIGHT($K150,2)=RIGHT(BW$43,2),SUM($AX150:BA150),0)+IF(RIGHT(BW$43,2)&gt;RIGHT($K150,2),BA150,0))</f>
        <v>0.36238025791990203</v>
      </c>
      <c r="BX150" s="1283">
        <f>+IF($K150="Ongoing",BB150,IF(RIGHT($K150,2)=RIGHT(BX$43,2),SUM($AX150:BB150),0)+IF(RIGHT(BX$43,2)&gt;RIGHT($K150,2),BB150,0))</f>
        <v>0.35354171504380694</v>
      </c>
      <c r="BY150" s="386">
        <f>+IF($K150="Ongoing",BC150,IF(RIGHT($K150,2)=RIGHT(BY$43,2),SUM($AX150:BC150),0)+IF(RIGHT(BY$43,2)&gt;RIGHT($K150,2),BC150,0))</f>
        <v>0.34491874638420195</v>
      </c>
      <c r="BZ150" s="387">
        <f>+IF($K150="Ongoing",BD150,IF(RIGHT($K150,2)=RIGHT(BZ$43,2),SUM($AX150:BD150),0)+IF(RIGHT(BZ$43,2)&gt;RIGHT($K150,2),BD150,0))</f>
        <v>0.33650609403336773</v>
      </c>
      <c r="CA150" s="1277">
        <f>+IF($K150="Ongoing",BE150,IF(RIGHT($K150,2)=RIGHT(CA$43,2),SUM($AX150:BE150),0)+IF(RIGHT(CA$43,2)&gt;RIGHT($K150,2),BE150,0))</f>
        <v>0.32829862832523693</v>
      </c>
      <c r="CB150" s="1277">
        <f>+IF($K150="Ongoing",BF150,IF(RIGHT($K150,2)=RIGHT(CB$43,2),SUM($AX150:BF150),0)+IF(RIGHT(CB$43,2)&gt;RIGHT($K150,2),BF150,0))</f>
        <v>0.32029134470754822</v>
      </c>
      <c r="CC150" s="388">
        <f>+IF($K150="Ongoing",BG150,IF(RIGHT($K150,2)=RIGHT(CC$43,2),SUM($AX150:BG150),0)+IF(RIGHT(CC$43,2)&gt;RIGHT($K150,2),BG150,0))</f>
        <v>0.15623968034514546</v>
      </c>
      <c r="CD150" s="1025"/>
      <c r="CE150" s="1282">
        <f>+Q150*KeyAssumptionsPriceControl_FO!AF$15</f>
        <v>0.40156097560975607</v>
      </c>
      <c r="CF150" s="387">
        <f>+R150*KeyAssumptionsPriceControl_FO!AG$15</f>
        <v>0.40312804283164788</v>
      </c>
      <c r="CG150" s="387">
        <f>+S150*KeyAssumptionsPriceControl_FO!AH$15</f>
        <v>0.40470122543782011</v>
      </c>
      <c r="CH150" s="387">
        <f>+T150*KeyAssumptionsPriceControl_FO!AI$15</f>
        <v>0.40628054729318724</v>
      </c>
      <c r="CI150" s="1283">
        <f>+U150*KeyAssumptionsPriceControl_FO!AJ$15</f>
        <v>0.40786603235579488</v>
      </c>
      <c r="CJ150" s="386">
        <f>+V150*KeyAssumptionsPriceControl_FO!AK$15</f>
        <v>0.4094577046771834</v>
      </c>
      <c r="CK150" s="387">
        <f>+W150*KeyAssumptionsPriceControl_FO!AL$15</f>
        <v>0.4110555884027528</v>
      </c>
      <c r="CL150" s="1277">
        <f>+X150*KeyAssumptionsPriceControl_FO!AM$15</f>
        <v>0.41265970777212951</v>
      </c>
      <c r="CM150" s="1277">
        <f>+Y150*KeyAssumptionsPriceControl_FO!AN$15</f>
        <v>0.41427008711953289</v>
      </c>
      <c r="CN150" s="388">
        <f>+Z150*KeyAssumptionsPriceControl_FO!AO$15</f>
        <v>0.20794337543707284</v>
      </c>
      <c r="CO150" s="1025"/>
      <c r="CP150" s="1282">
        <f t="shared" ca="1" si="267"/>
        <v>0</v>
      </c>
      <c r="CQ150" s="387">
        <f t="shared" ca="1" si="268"/>
        <v>0</v>
      </c>
      <c r="CR150" s="387">
        <f t="shared" ca="1" si="269"/>
        <v>0</v>
      </c>
      <c r="CS150" s="387">
        <f t="shared" ca="1" si="270"/>
        <v>0</v>
      </c>
      <c r="CT150" s="1283">
        <f t="shared" ca="1" si="271"/>
        <v>0</v>
      </c>
      <c r="CU150" s="386">
        <f t="shared" ca="1" si="272"/>
        <v>0</v>
      </c>
      <c r="CV150" s="387">
        <f t="shared" ca="1" si="273"/>
        <v>0</v>
      </c>
      <c r="CW150" s="1277">
        <f t="shared" ca="1" si="274"/>
        <v>0</v>
      </c>
      <c r="CX150" s="1277">
        <f t="shared" ca="1" si="275"/>
        <v>0</v>
      </c>
      <c r="CY150" s="388">
        <f t="shared" ca="1" si="276"/>
        <v>0</v>
      </c>
      <c r="CZ150" s="347"/>
      <c r="DA150" s="852"/>
      <c r="DB150" s="347"/>
      <c r="DC150" s="1012" t="s">
        <v>659</v>
      </c>
      <c r="DD150" s="841" t="s">
        <v>518</v>
      </c>
      <c r="DE150" s="386">
        <f>+IF($K150="ongoing",CE150,IF(RIGHT($K150,2)=RIGHT(DE$43,2),SUM($CD150:CE150),0)+IF(RIGHT(DE$43,2)&gt;RIGHT($K150,2),CE150,0))</f>
        <v>0.40156097560975607</v>
      </c>
      <c r="DF150" s="387">
        <f>+IF($K150="ongoing",CF150,IF(RIGHT($K150,2)=RIGHT(DF$43,2),SUM($CD150:CF150),0)+IF(RIGHT(DF$43,2)&gt;RIGHT($K150,2),CF150,0))</f>
        <v>0.40312804283164788</v>
      </c>
      <c r="DG150" s="388">
        <f>+IF($K150="ongoing",CG150,IF(RIGHT($K150,2)=RIGHT(DG$43,2),SUM($CD150:CG150),0)+IF(RIGHT(DG$43,2)&gt;RIGHT($K150,2),CG150,0))</f>
        <v>0.40470122543782011</v>
      </c>
      <c r="DH150" s="386">
        <f>+IF($K150="ongoing",CH150,IF(RIGHT($K150,2)=RIGHT(DH$43,2),SUM($CD150:CH150),0)+IF(RIGHT(DH$43,2)&gt;RIGHT($K150,2),CH150,0))</f>
        <v>0.40628054729318724</v>
      </c>
      <c r="DI150" s="387">
        <f>+IF($K150="ongoing",CI150,IF(RIGHT($K150,2)=RIGHT(DI$43,2),SUM($CD150:CI150),0)+IF(RIGHT(DI$43,2)&gt;RIGHT($K150,2),CI150,0))</f>
        <v>0.40786603235579488</v>
      </c>
      <c r="DJ150" s="387">
        <f>+IF($K150="ongoing",CJ150,IF(RIGHT($K150,2)=RIGHT(DJ$43,2),SUM($CD150:CJ150),0)+IF(RIGHT(DJ$43,2)&gt;RIGHT($K150,2),CJ150,0))</f>
        <v>0.4094577046771834</v>
      </c>
      <c r="DK150" s="387">
        <f>+IF($K150="ongoing",CK150,IF(RIGHT($K150,2)=RIGHT(DK$43,2),SUM($CD150:CK150),0)+IF(RIGHT(DK$43,2)&gt;RIGHT($K150,2),CK150,0))</f>
        <v>0.4110555884027528</v>
      </c>
      <c r="DL150" s="388">
        <f>+IF($K150="ongoing",CN150,IF(RIGHT($K150,2)=RIGHT(DL$43,2),SUM($CD150:CN150),0)+IF(RIGHT(DL$43,2)&gt;RIGHT($K150,2),CN150,0))</f>
        <v>0.20794337543707284</v>
      </c>
      <c r="DM150" s="841"/>
      <c r="DN150" s="386">
        <f t="shared" si="277"/>
        <v>0.5</v>
      </c>
      <c r="DO150" s="387">
        <f t="shared" si="278"/>
        <v>1</v>
      </c>
      <c r="DP150" s="388">
        <f t="shared" si="279"/>
        <v>1</v>
      </c>
      <c r="DQ150" s="386">
        <f t="shared" si="280"/>
        <v>1</v>
      </c>
      <c r="DR150" s="387">
        <f t="shared" si="281"/>
        <v>1</v>
      </c>
      <c r="DS150" s="387">
        <f t="shared" si="282"/>
        <v>1</v>
      </c>
      <c r="DT150" s="387">
        <f t="shared" si="283"/>
        <v>1</v>
      </c>
      <c r="DU150" s="388">
        <f t="shared" si="284"/>
        <v>1</v>
      </c>
      <c r="DW150" s="386">
        <f t="shared" si="285"/>
        <v>0</v>
      </c>
      <c r="DX150" s="387">
        <f t="shared" si="286"/>
        <v>0.5</v>
      </c>
      <c r="DY150" s="388">
        <f t="shared" si="287"/>
        <v>1</v>
      </c>
      <c r="DZ150" s="386">
        <f t="shared" si="288"/>
        <v>1</v>
      </c>
      <c r="EA150" s="387">
        <f t="shared" si="289"/>
        <v>1</v>
      </c>
      <c r="EB150" s="387">
        <f t="shared" si="290"/>
        <v>1</v>
      </c>
      <c r="EC150" s="387">
        <f t="shared" si="291"/>
        <v>1</v>
      </c>
      <c r="ED150" s="388">
        <f t="shared" si="292"/>
        <v>1</v>
      </c>
      <c r="EF150" s="834">
        <f>+IF(DN150=DM150,0,
IF(AND(EF$44&gt;1,DN150=$N150),1-SUM($EE150:EE150),
IF($N150&lt;=1,
IF($N150&gt;0,1/$N150,0),
IF(EF$44=1,0,VDB(1,0,$N150,INT(EF$44-1-1),MIN($N150,INT(EF$44-1-1)+1),$DC150,IF($DD150="No",1,0))/
IF(DM150&gt;=INT($N150),$N150-INT($N150),1)))*
IF(EF$44=1,0,
IF(INT(DN150)=INT(DM150),DN150-DM150,INT(DN150)-DM150))+
IF($N150&lt;=1,
IF($N150&gt;0,1/$N150,0),VDB(1,0,$N150,INT(EF$44-1),MIN($N150,INT(EF$44-1)+1),$DC150,IF($DD150="No",1,0))/
IF(DN150&gt;INT($N150),$N150-INT($N150),1))*
IF(EF$44=1,DN150,
IF(INT(DN150)=INT(DM150),0,DN150-INT(DN150)))))</f>
        <v>0</v>
      </c>
      <c r="EG150" s="835">
        <f>+IF(DO150=DN150,0,
IF(AND(EG$44&gt;1,DO150=$N150),1-SUM($EE150:EF150),
IF($N150&lt;=1,
IF($N150&gt;0,1/$N150,0),
IF(EG$44=1,0,VDB(1,0,$N150,INT(EG$44-1-1),MIN($N150,INT(EG$44-1-1)+1),$DC150,IF($DD150="No",1,0))/
IF(DN150&gt;=INT($N150),$N150-INT($N150),1)))*
IF(EG$44=1,0,
IF(INT(DO150)=INT(DN150),DO150-DN150,INT(DO150)-DN150))+
IF($N150&lt;=1,
IF($N150&gt;0,1/$N150,0),VDB(1,0,$N150,INT(EG$44-1),MIN($N150,INT(EG$44-1)+1),$DC150,IF($DD150="No",1,0))/
IF(DO150&gt;INT($N150),$N150-INT($N150),1))*
IF(EG$44=1,DO150,
IF(INT(DO150)=INT(DN150),0,DO150-INT(DO150)))))</f>
        <v>0</v>
      </c>
      <c r="EH150" s="836">
        <f>+IF(DP150=DO150,0,
IF(AND(EH$44&gt;1,DP150=$N150),1-SUM($EE150:EG150),
IF($N150&lt;=1,
IF($N150&gt;0,1/$N150,0),
IF(EH$44=1,0,VDB(1,0,$N150,INT(EH$44-1-1),MIN($N150,INT(EH$44-1-1)+1),$DC150,IF($DD150="No",1,0))/
IF(DO150&gt;=INT($N150),$N150-INT($N150),1)))*
IF(EH$44=1,0,
IF(INT(DP150)=INT(DO150),DP150-DO150,INT(DP150)-DO150))+
IF($N150&lt;=1,
IF($N150&gt;0,1/$N150,0),VDB(1,0,$N150,INT(EH$44-1),MIN($N150,INT(EH$44-1)+1),$DC150,IF($DD150="No",1,0))/
IF(DP150&gt;INT($N150),$N150-INT($N150),1))*
IF(EH$44=1,DP150,
IF(INT(DP150)=INT(DO150),0,DP150-INT(DP150)))))</f>
        <v>0</v>
      </c>
      <c r="EI150" s="834">
        <f>+IF(DQ150=DP150,0,
IF(AND(EI$44&gt;1,DQ150=$N150),1-SUM($EE150:EH150),
IF($N150&lt;=1,
IF($N150&gt;0,1/$N150,0),
IF(EI$44=1,0,VDB(1,0,$N150,INT(EI$44-1-1),MIN($N150,INT(EI$44-1-1)+1),$DC150,IF($DD150="No",1,0))/
IF(DP150&gt;=INT($N150),$N150-INT($N150),1)))*
IF(EI$44=1,0,
IF(INT(DQ150)=INT(DP150),DQ150-DP150,INT(DQ150)-DP150))+
IF($N150&lt;=1,
IF($N150&gt;0,1/$N150,0),VDB(1,0,$N150,INT(EI$44-1),MIN($N150,INT(EI$44-1)+1),$DC150,IF($DD150="No",1,0))/
IF(DQ150&gt;INT($N150),$N150-INT($N150),1))*
IF(EI$44=1,DQ150,
IF(INT(DQ150)=INT(DP150),0,DQ150-INT(DQ150)))))</f>
        <v>0</v>
      </c>
      <c r="EJ150" s="835">
        <f>+IF(DR150=DQ150,0,
IF(AND(EJ$44&gt;1,DR150=$N150),1-SUM($EE150:EI150),
IF($N150&lt;=1,
IF($N150&gt;0,1/$N150,0),
IF(EJ$44=1,0,VDB(1,0,$N150,INT(EJ$44-1-1),MIN($N150,INT(EJ$44-1-1)+1),$DC150,IF($DD150="No",1,0))/
IF(DQ150&gt;=INT($N150),$N150-INT($N150),1)))*
IF(EJ$44=1,0,
IF(INT(DR150)=INT(DQ150),DR150-DQ150,INT(DR150)-DQ150))+
IF($N150&lt;=1,
IF($N150&gt;0,1/$N150,0),VDB(1,0,$N150,INT(EJ$44-1),MIN($N150,INT(EJ$44-1)+1),$DC150,IF($DD150="No",1,0))/
IF(DR150&gt;INT($N150),$N150-INT($N150),1))*
IF(EJ$44=1,DR150,
IF(INT(DR150)=INT(DQ150),0,DR150-INT(DR150)))))</f>
        <v>0</v>
      </c>
      <c r="EK150" s="835">
        <f>+IF(DS150=DR150,0,
IF(AND(EK$44&gt;1,DS150=$N150),1-SUM($EE150:EJ150),
IF($N150&lt;=1,
IF($N150&gt;0,1/$N150,0),
IF(EK$44=1,0,VDB(1,0,$N150,INT(EK$44-1-1),MIN($N150,INT(EK$44-1-1)+1),$DC150,IF($DD150="No",1,0))/
IF(DR150&gt;=INT($N150),$N150-INT($N150),1)))*
IF(EK$44=1,0,
IF(INT(DS150)=INT(DR150),DS150-DR150,INT(DS150)-DR150))+
IF($N150&lt;=1,
IF($N150&gt;0,1/$N150,0),VDB(1,0,$N150,INT(EK$44-1),MIN($N150,INT(EK$44-1)+1),$DC150,IF($DD150="No",1,0))/
IF(DS150&gt;INT($N150),$N150-INT($N150),1))*
IF(EK$44=1,DS150,
IF(INT(DS150)=INT(DR150),0,DS150-INT(DS150)))))</f>
        <v>0</v>
      </c>
      <c r="EL150" s="835">
        <f>+IF(DT150=DS150,0,
IF(AND(EL$44&gt;1,DT150=$N150),1-SUM($EE150:EK150),
IF($N150&lt;=1,
IF($N150&gt;0,1/$N150,0),
IF(EL$44=1,0,VDB(1,0,$N150,INT(EL$44-1-1),MIN($N150,INT(EL$44-1-1)+1),$DC150,IF($DD150="No",1,0))/
IF(DS150&gt;=INT($N150),$N150-INT($N150),1)))*
IF(EL$44=1,0,
IF(INT(DT150)=INT(DS150),DT150-DS150,INT(DT150)-DS150))+
IF($N150&lt;=1,
IF($N150&gt;0,1/$N150,0),VDB(1,0,$N150,INT(EL$44-1),MIN($N150,INT(EL$44-1)+1),$DC150,IF($DD150="No",1,0))/
IF(DT150&gt;INT($N150),$N150-INT($N150),1))*
IF(EL$44=1,DT150,
IF(INT(DT150)=INT(DS150),0,DT150-INT(DT150)))))</f>
        <v>0</v>
      </c>
      <c r="EM150" s="836">
        <f>+IF(DU150=DT150,0,
IF(AND(EM$44&gt;1,DU150=$N150),1-SUM($EE150:EL150),
IF($N150&lt;=1,
IF($N150&gt;0,1/$N150,0),
IF(EM$44=1,0,VDB(1,0,$N150,INT(EM$44-1-1),MIN($N150,INT(EM$44-1-1)+1),$DC150,IF($DD150="No",1,0))/
IF(DT150&gt;=INT($N150),$N150-INT($N150),1)))*
IF(EM$44=1,0,
IF(INT(DU150)=INT(DT150),DU150-DT150,INT(DU150)-DT150))+
IF($N150&lt;=1,
IF($N150&gt;0,1/$N150,0),VDB(1,0,$N150,INT(EM$44-1),MIN($N150,INT(EM$44-1)+1),$DC150,IF($DD150="No",1,0))/
IF(DU150&gt;INT($N150),$N150-INT($N150),1))*
IF(EM$44=1,DU150,
IF(INT(DU150)=INT(DT150),0,DU150-INT(DU150)))))</f>
        <v>0</v>
      </c>
      <c r="EN150" s="833"/>
      <c r="EO150" s="834">
        <f>+IF(OR(DW150=DV150,EO$44=1),0,
IF(AND(EO$44&gt;1,DW150=$N150),1-SUM($EN150:EN150),
IF($N150&lt;=1,
IF($N150&gt;0,1/$N150,0),
IF(EO$44=2,0,VDB(1,0,$N150,INT(EO$44-2-1),MIN($N150,INT(EO$44-2-1)+1),$DC150,IF($DD150="No",1,0))/
IF(DV150&gt;=INT($N150),$N150-INT($N150),1)))*
IF(EO$44=2,0,
IF(INT(DW150)=INT(DV150),DW150-DV150,INT(DW150)-DV150))+
IF($N150&lt;=1,
IF($N150&gt;0,1/$N150,0),VDB(1,0,$N150,INT(EO$44-2),MIN($N150,INT(EO$44-2)+1),$DC150,IF($DD150="No",1,0))/
IF(DW150&gt;INT($N150),$N150-INT($N150),1))*
IF(EO$44=2,DW150,
IF(INT(DW150)=INT(DV150),0,DW150-INT(DW150)))))</f>
        <v>0</v>
      </c>
      <c r="EP150" s="835">
        <f>+IF(OR(DX150=DW150,EP$44=1),0,
IF(AND(EP$44&gt;1,DX150=$N150),1-SUM($EN150:EO150),
IF($N150&lt;=1,
IF($N150&gt;0,1/$N150,0),
IF(EP$44=2,0,VDB(1,0,$N150,INT(EP$44-2-1),MIN($N150,INT(EP$44-2-1)+1),$DC150,IF($DD150="No",1,0))/
IF(DW150&gt;=INT($N150),$N150-INT($N150),1)))*
IF(EP$44=2,0,
IF(INT(DX150)=INT(DW150),DX150-DW150,INT(DX150)-DW150))+
IF($N150&lt;=1,
IF($N150&gt;0,1/$N150,0),VDB(1,0,$N150,INT(EP$44-2),MIN($N150,INT(EP$44-2)+1),$DC150,IF($DD150="No",1,0))/
IF(DX150&gt;INT($N150),$N150-INT($N150),1))*
IF(EP$44=2,DX150,
IF(INT(DX150)=INT(DW150),0,DX150-INT(DX150)))))</f>
        <v>0</v>
      </c>
      <c r="EQ150" s="836">
        <f>+IF(OR(DY150=DX150,EQ$44=1),0,
IF(AND(EQ$44&gt;1,DY150=$N150),1-SUM($EN150:EP150),
IF($N150&lt;=1,
IF($N150&gt;0,1/$N150,0),
IF(EQ$44=2,0,VDB(1,0,$N150,INT(EQ$44-2-1),MIN($N150,INT(EQ$44-2-1)+1),$DC150,IF($DD150="No",1,0))/
IF(DX150&gt;=INT($N150),$N150-INT($N150),1)))*
IF(EQ$44=2,0,
IF(INT(DY150)=INT(DX150),DY150-DX150,INT(DY150)-DX150))+
IF($N150&lt;=1,
IF($N150&gt;0,1/$N150,0),VDB(1,0,$N150,INT(EQ$44-2),MIN($N150,INT(EQ$44-2)+1),$DC150,IF($DD150="No",1,0))/
IF(DY150&gt;INT($N150),$N150-INT($N150),1))*
IF(EQ$44=2,DY150,
IF(INT(DY150)=INT(DX150),0,DY150-INT(DY150)))))</f>
        <v>0</v>
      </c>
      <c r="ER150" s="834">
        <f>+IF(OR(DZ150=DY150,ER$44=1),0,
IF(AND(ER$44&gt;1,DZ150=$N150),1-SUM($EN150:EQ150),
IF($N150&lt;=1,
IF($N150&gt;0,1/$N150,0),
IF(ER$44=2,0,VDB(1,0,$N150,INT(ER$44-2-1),MIN($N150,INT(ER$44-2-1)+1),$DC150,IF($DD150="No",1,0))/
IF(DY150&gt;=INT($N150),$N150-INT($N150),1)))*
IF(ER$44=2,0,
IF(INT(DZ150)=INT(DY150),DZ150-DY150,INT(DZ150)-DY150))+
IF($N150&lt;=1,
IF($N150&gt;0,1/$N150,0),VDB(1,0,$N150,INT(ER$44-2),MIN($N150,INT(ER$44-2)+1),$DC150,IF($DD150="No",1,0))/
IF(DZ150&gt;INT($N150),$N150-INT($N150),1))*
IF(ER$44=2,DZ150,
IF(INT(DZ150)=INT(DY150),0,DZ150-INT(DZ150)))))</f>
        <v>0</v>
      </c>
      <c r="ES150" s="835">
        <f>+IF(OR(EA150=DZ150,ES$44=1),0,
IF(AND(ES$44&gt;1,EA150=$N150),1-SUM($EN150:ER150),
IF($N150&lt;=1,
IF($N150&gt;0,1/$N150,0),
IF(ES$44=2,0,VDB(1,0,$N150,INT(ES$44-2-1),MIN($N150,INT(ES$44-2-1)+1),$DC150,IF($DD150="No",1,0))/
IF(DZ150&gt;=INT($N150),$N150-INT($N150),1)))*
IF(ES$44=2,0,
IF(INT(EA150)=INT(DZ150),EA150-DZ150,INT(EA150)-DZ150))+
IF($N150&lt;=1,
IF($N150&gt;0,1/$N150,0),VDB(1,0,$N150,INT(ES$44-2),MIN($N150,INT(ES$44-2)+1),$DC150,IF($DD150="No",1,0))/
IF(EA150&gt;INT($N150),$N150-INT($N150),1))*
IF(ES$44=2,EA150,
IF(INT(EA150)=INT(DZ150),0,EA150-INT(EA150)))))</f>
        <v>0</v>
      </c>
      <c r="ET150" s="835">
        <f>+IF(OR(EB150=EA150,ET$44=1),0,
IF(AND(ET$44&gt;1,EB150=$N150),1-SUM($EN150:ES150),
IF($N150&lt;=1,
IF($N150&gt;0,1/$N150,0),
IF(ET$44=2,0,VDB(1,0,$N150,INT(ET$44-2-1),MIN($N150,INT(ET$44-2-1)+1),$DC150,IF($DD150="No",1,0))/
IF(EA150&gt;=INT($N150),$N150-INT($N150),1)))*
IF(ET$44=2,0,
IF(INT(EB150)=INT(EA150),EB150-EA150,INT(EB150)-EA150))+
IF($N150&lt;=1,
IF($N150&gt;0,1/$N150,0),VDB(1,0,$N150,INT(ET$44-2),MIN($N150,INT(ET$44-2)+1),$DC150,IF($DD150="No",1,0))/
IF(EB150&gt;INT($N150),$N150-INT($N150),1))*
IF(ET$44=2,EB150,
IF(INT(EB150)=INT(EA150),0,EB150-INT(EB150)))))</f>
        <v>0</v>
      </c>
      <c r="EU150" s="835">
        <f>+IF(OR(EC150=EB150,EU$44=1),0,
IF(AND(EU$44&gt;1,EC150=$N150),1-SUM($EN150:ET150),
IF($N150&lt;=1,
IF($N150&gt;0,1/$N150,0),
IF(EU$44=2,0,VDB(1,0,$N150,INT(EU$44-2-1),MIN($N150,INT(EU$44-2-1)+1),$DC150,IF($DD150="No",1,0))/
IF(EB150&gt;=INT($N150),$N150-INT($N150),1)))*
IF(EU$44=2,0,
IF(INT(EC150)=INT(EB150),EC150-EB150,INT(EC150)-EB150))+
IF($N150&lt;=1,
IF($N150&gt;0,1/$N150,0),VDB(1,0,$N150,INT(EU$44-2),MIN($N150,INT(EU$44-2)+1),$DC150,IF($DD150="No",1,0))/
IF(EC150&gt;INT($N150),$N150-INT($N150),1))*
IF(EU$44=2,EC150,
IF(INT(EC150)=INT(EB150),0,EC150-INT(EC150)))))</f>
        <v>0</v>
      </c>
      <c r="EV150" s="836">
        <f>+IF(OR(ED150=EC150,EV$44=1),0,
IF(AND(EV$44&gt;1,ED150=$N150),1-SUM($EN150:EU150),
IF($N150&lt;=1,
IF($N150&gt;0,1/$N150,0),
IF(EV$44=2,0,VDB(1,0,$N150,INT(EV$44-2-1),MIN($N150,INT(EV$44-2-1)+1),$DC150,IF($DD150="No",1,0))/
IF(EC150&gt;=INT($N150),$N150-INT($N150),1)))*
IF(EV$44=2,0,
IF(INT(ED150)=INT(EC150),ED150-EC150,INT(ED150)-EC150))+
IF($N150&lt;=1,
IF($N150&gt;0,1/$N150,0),VDB(1,0,$N150,INT(EV$44-2),MIN($N150,INT(EV$44-2)+1),$DC150,IF($DD150="No",1,0))/
IF(ED150&gt;INT($N150),$N150-INT($N150),1))*
IF(EV$44=2,ED150,
IF(INT(ED150)=INT(EC150),0,ED150-INT(ED150)))))</f>
        <v>0</v>
      </c>
      <c r="EW150" s="833"/>
      <c r="EX150" s="834">
        <f t="shared" ca="1" si="303"/>
        <v>0</v>
      </c>
      <c r="EY150" s="835">
        <f t="shared" ca="1" si="303"/>
        <v>0</v>
      </c>
      <c r="EZ150" s="836">
        <f t="shared" ca="1" si="303"/>
        <v>0</v>
      </c>
      <c r="FA150" s="834">
        <f t="shared" ca="1" si="303"/>
        <v>0</v>
      </c>
      <c r="FB150" s="835">
        <f t="shared" ca="1" si="303"/>
        <v>0</v>
      </c>
      <c r="FC150" s="835">
        <f t="shared" ca="1" si="303"/>
        <v>0</v>
      </c>
      <c r="FD150" s="835">
        <f t="shared" ca="1" si="303"/>
        <v>0</v>
      </c>
      <c r="FE150" s="836">
        <f t="shared" ca="1" si="303"/>
        <v>0</v>
      </c>
      <c r="FG150" s="386">
        <f t="shared" ca="1" si="293"/>
        <v>0</v>
      </c>
      <c r="FH150" s="387">
        <f t="shared" ca="1" si="294"/>
        <v>0</v>
      </c>
      <c r="FI150" s="388">
        <f t="shared" ca="1" si="295"/>
        <v>0</v>
      </c>
      <c r="FJ150" s="386">
        <f t="shared" ca="1" si="296"/>
        <v>0</v>
      </c>
      <c r="FK150" s="387">
        <f t="shared" ca="1" si="297"/>
        <v>0</v>
      </c>
      <c r="FL150" s="387">
        <f t="shared" ca="1" si="298"/>
        <v>0</v>
      </c>
      <c r="FM150" s="387">
        <f t="shared" ca="1" si="299"/>
        <v>0</v>
      </c>
      <c r="FN150" s="388">
        <f t="shared" ca="1" si="300"/>
        <v>0</v>
      </c>
      <c r="FR150" s="116"/>
    </row>
    <row r="151" spans="2:174">
      <c r="B151" s="1410">
        <f t="shared" si="302"/>
        <v>105</v>
      </c>
      <c r="C151" s="400" t="s">
        <v>658</v>
      </c>
      <c r="D151" s="410"/>
      <c r="E151" s="402" t="s">
        <v>420</v>
      </c>
      <c r="F151" s="402" t="s">
        <v>520</v>
      </c>
      <c r="G151" s="400" t="s">
        <v>522</v>
      </c>
      <c r="H151" s="2088" t="s">
        <v>483</v>
      </c>
      <c r="I151" s="2089"/>
      <c r="J151" s="411" t="s">
        <v>516</v>
      </c>
      <c r="K151" s="403" t="s">
        <v>544</v>
      </c>
      <c r="L151" s="403">
        <v>25</v>
      </c>
      <c r="M151" s="403" t="s">
        <v>142</v>
      </c>
      <c r="N151" s="403"/>
      <c r="O151" s="347"/>
      <c r="P151" s="347"/>
      <c r="Q151" s="1021">
        <v>0</v>
      </c>
      <c r="R151" s="1022">
        <v>0</v>
      </c>
      <c r="S151" s="1022">
        <v>0.7428795287357991</v>
      </c>
      <c r="T151" s="1022">
        <v>1.4495210316796081</v>
      </c>
      <c r="U151" s="1023">
        <v>1.4141668601752277</v>
      </c>
      <c r="V151" s="1021">
        <v>2.7938418457120355</v>
      </c>
      <c r="W151" s="1022">
        <v>2.7601912363086991</v>
      </c>
      <c r="X151" s="1022">
        <v>2.0707641168257021</v>
      </c>
      <c r="Y151" s="1022">
        <v>1.4141671604483639</v>
      </c>
      <c r="Z151" s="1023">
        <v>1.414166750319203</v>
      </c>
      <c r="AA151" s="1024"/>
      <c r="AB151" s="1021">
        <v>0</v>
      </c>
      <c r="AC151" s="1022">
        <v>0</v>
      </c>
      <c r="AD151" s="1022">
        <v>0</v>
      </c>
      <c r="AE151" s="1022">
        <v>0</v>
      </c>
      <c r="AF151" s="1023">
        <v>0</v>
      </c>
      <c r="AG151" s="1021">
        <v>0</v>
      </c>
      <c r="AH151" s="1022">
        <v>0</v>
      </c>
      <c r="AI151" s="1022">
        <v>0</v>
      </c>
      <c r="AJ151" s="1022">
        <v>0</v>
      </c>
      <c r="AK151" s="1023">
        <v>0</v>
      </c>
      <c r="AL151" s="1024"/>
      <c r="AM151" s="1021">
        <v>0</v>
      </c>
      <c r="AN151" s="1022">
        <v>0</v>
      </c>
      <c r="AO151" s="1022">
        <v>0</v>
      </c>
      <c r="AP151" s="1022">
        <v>0</v>
      </c>
      <c r="AQ151" s="1023">
        <v>0</v>
      </c>
      <c r="AR151" s="1021">
        <v>0</v>
      </c>
      <c r="AS151" s="1022">
        <v>0</v>
      </c>
      <c r="AT151" s="1022">
        <v>0</v>
      </c>
      <c r="AU151" s="1022">
        <v>0</v>
      </c>
      <c r="AV151" s="1023">
        <v>0</v>
      </c>
      <c r="AW151" s="1025"/>
      <c r="AX151" s="1282">
        <f t="shared" si="247"/>
        <v>0</v>
      </c>
      <c r="AY151" s="387">
        <f t="shared" si="248"/>
        <v>0</v>
      </c>
      <c r="AZ151" s="387">
        <f t="shared" si="249"/>
        <v>0.7428795287357991</v>
      </c>
      <c r="BA151" s="387">
        <f t="shared" si="250"/>
        <v>1.4495210316796081</v>
      </c>
      <c r="BB151" s="1283">
        <f t="shared" si="251"/>
        <v>1.4141668601752277</v>
      </c>
      <c r="BC151" s="386">
        <f t="shared" si="252"/>
        <v>2.7938418457120355</v>
      </c>
      <c r="BD151" s="387">
        <f t="shared" si="253"/>
        <v>2.7601912363086991</v>
      </c>
      <c r="BE151" s="1277">
        <f t="shared" si="254"/>
        <v>2.0707641168257021</v>
      </c>
      <c r="BF151" s="1277">
        <f t="shared" si="255"/>
        <v>1.4141671604483639</v>
      </c>
      <c r="BG151" s="388">
        <f t="shared" si="256"/>
        <v>1.414166750319203</v>
      </c>
      <c r="BH151" s="1025"/>
      <c r="BI151" s="1282">
        <f t="shared" ca="1" si="257"/>
        <v>0</v>
      </c>
      <c r="BJ151" s="387">
        <f t="shared" ca="1" si="258"/>
        <v>0</v>
      </c>
      <c r="BK151" s="387">
        <f t="shared" ca="1" si="259"/>
        <v>1.4857590574715982E-2</v>
      </c>
      <c r="BL151" s="387">
        <f t="shared" ca="1" si="260"/>
        <v>5.8705601783024128E-2</v>
      </c>
      <c r="BM151" s="1283">
        <f t="shared" ca="1" si="261"/>
        <v>0.11597935962012083</v>
      </c>
      <c r="BN151" s="386">
        <f t="shared" ca="1" si="262"/>
        <v>0.20013953373786608</v>
      </c>
      <c r="BO151" s="387">
        <f t="shared" ca="1" si="263"/>
        <v>0.31122019537828077</v>
      </c>
      <c r="BP151" s="1277">
        <f t="shared" ca="1" si="264"/>
        <v>0.40783930244096883</v>
      </c>
      <c r="BQ151" s="1277">
        <f t="shared" ca="1" si="265"/>
        <v>0.47753792798645012</v>
      </c>
      <c r="BR151" s="388">
        <f t="shared" ca="1" si="266"/>
        <v>0.53410460620180145</v>
      </c>
      <c r="BS151" s="1025"/>
      <c r="BT151" s="1282">
        <f>+IF($K151="Ongoing",AX151,IF(RIGHT($K151,2)=RIGHT(BT$43,2),SUM($AX151:AX151),0)+IF(RIGHT(BT$43,2)&gt;RIGHT($K151,2),AX151,0))</f>
        <v>0</v>
      </c>
      <c r="BU151" s="387">
        <f>+IF($K151="Ongoing",AY151,IF(RIGHT($K151,2)=RIGHT(BU$43,2),SUM($AX151:AY151),0)+IF(RIGHT(BU$43,2)&gt;RIGHT($K151,2),AY151,0))</f>
        <v>0</v>
      </c>
      <c r="BV151" s="387">
        <f>+IF($K151="Ongoing",AZ151,IF(RIGHT($K151,2)=RIGHT(BV$43,2),SUM($AX151:AZ151),0)+IF(RIGHT(BV$43,2)&gt;RIGHT($K151,2),AZ151,0))</f>
        <v>0.7428795287357991</v>
      </c>
      <c r="BW151" s="387">
        <f>+IF($K151="Ongoing",BA151,IF(RIGHT($K151,2)=RIGHT(BW$43,2),SUM($AX151:BA151),0)+IF(RIGHT(BW$43,2)&gt;RIGHT($K151,2),BA151,0))</f>
        <v>1.4495210316796081</v>
      </c>
      <c r="BX151" s="1283">
        <f>+IF($K151="Ongoing",BB151,IF(RIGHT($K151,2)=RIGHT(BX$43,2),SUM($AX151:BB151),0)+IF(RIGHT(BX$43,2)&gt;RIGHT($K151,2),BB151,0))</f>
        <v>1.4141668601752277</v>
      </c>
      <c r="BY151" s="386">
        <f>+IF($K151="Ongoing",BC151,IF(RIGHT($K151,2)=RIGHT(BY$43,2),SUM($AX151:BC151),0)+IF(RIGHT(BY$43,2)&gt;RIGHT($K151,2),BC151,0))</f>
        <v>2.7938418457120355</v>
      </c>
      <c r="BZ151" s="387">
        <f>+IF($K151="Ongoing",BD151,IF(RIGHT($K151,2)=RIGHT(BZ$43,2),SUM($AX151:BD151),0)+IF(RIGHT(BZ$43,2)&gt;RIGHT($K151,2),BD151,0))</f>
        <v>2.7601912363086991</v>
      </c>
      <c r="CA151" s="1277">
        <f>+IF($K151="Ongoing",BE151,IF(RIGHT($K151,2)=RIGHT(CA$43,2),SUM($AX151:BE151),0)+IF(RIGHT(CA$43,2)&gt;RIGHT($K151,2),BE151,0))</f>
        <v>2.0707641168257021</v>
      </c>
      <c r="CB151" s="1277">
        <f>+IF($K151="Ongoing",BF151,IF(RIGHT($K151,2)=RIGHT(CB$43,2),SUM($AX151:BF151),0)+IF(RIGHT(CB$43,2)&gt;RIGHT($K151,2),BF151,0))</f>
        <v>1.4141671604483639</v>
      </c>
      <c r="CC151" s="388">
        <f>+IF($K151="Ongoing",BG151,IF(RIGHT($K151,2)=RIGHT(CC$43,2),SUM($AX151:BG151),0)+IF(RIGHT(CC$43,2)&gt;RIGHT($K151,2),BG151,0))</f>
        <v>1.414166750319203</v>
      </c>
      <c r="CD151" s="1025"/>
      <c r="CE151" s="1282">
        <f>+Q151*KeyAssumptionsPriceControl_FO!AF$15</f>
        <v>0</v>
      </c>
      <c r="CF151" s="387">
        <f>+R151*KeyAssumptionsPriceControl_FO!AG$15</f>
        <v>0</v>
      </c>
      <c r="CG151" s="387">
        <f>+S151*KeyAssumptionsPriceControl_FO!AH$15</f>
        <v>0.80940245087564022</v>
      </c>
      <c r="CH151" s="387">
        <f>+T151*KeyAssumptionsPriceControl_FO!AI$15</f>
        <v>1.625122189172749</v>
      </c>
      <c r="CI151" s="1283">
        <f>+U151*KeyAssumptionsPriceControl_FO!AJ$15</f>
        <v>1.6314641294231795</v>
      </c>
      <c r="CJ151" s="386">
        <f>+V151*KeyAssumptionsPriceControl_FO!AK$15</f>
        <v>3.316607407885185</v>
      </c>
      <c r="CK151" s="387">
        <f>+W151*KeyAssumptionsPriceControl_FO!AL$15</f>
        <v>3.37168346387358</v>
      </c>
      <c r="CL151" s="1277">
        <f>+X151*KeyAssumptionsPriceControl_FO!AM$15</f>
        <v>2.6028768980044426</v>
      </c>
      <c r="CM151" s="1277">
        <f>+Y151*KeyAssumptionsPriceControl_FO!AN$15</f>
        <v>1.8291070378297352</v>
      </c>
      <c r="CN151" s="388">
        <f>+Z151*KeyAssumptionsPriceControl_FO!AO$15</f>
        <v>1.882150596075437</v>
      </c>
      <c r="CO151" s="1025"/>
      <c r="CP151" s="1282">
        <f t="shared" ca="1" si="267"/>
        <v>0</v>
      </c>
      <c r="CQ151" s="387">
        <f t="shared" ca="1" si="268"/>
        <v>0</v>
      </c>
      <c r="CR151" s="387">
        <f t="shared" ca="1" si="269"/>
        <v>0</v>
      </c>
      <c r="CS151" s="387">
        <f t="shared" ca="1" si="270"/>
        <v>0</v>
      </c>
      <c r="CT151" s="1283">
        <f t="shared" ca="1" si="271"/>
        <v>0</v>
      </c>
      <c r="CU151" s="386">
        <f t="shared" ca="1" si="272"/>
        <v>0</v>
      </c>
      <c r="CV151" s="387">
        <f t="shared" ca="1" si="273"/>
        <v>0</v>
      </c>
      <c r="CW151" s="1277">
        <f t="shared" ca="1" si="274"/>
        <v>0</v>
      </c>
      <c r="CX151" s="1277">
        <f t="shared" ca="1" si="275"/>
        <v>0</v>
      </c>
      <c r="CY151" s="388">
        <f t="shared" ca="1" si="276"/>
        <v>0</v>
      </c>
      <c r="CZ151" s="347"/>
      <c r="DA151" s="852"/>
      <c r="DB151" s="347"/>
      <c r="DC151" s="1012" t="s">
        <v>660</v>
      </c>
      <c r="DD151" s="841" t="s">
        <v>518</v>
      </c>
      <c r="DE151" s="386">
        <f>+IF($K151="ongoing",CE151,IF(RIGHT($K151,2)=RIGHT(DE$43,2),SUM($CD151:CE151),0)+IF(RIGHT(DE$43,2)&gt;RIGHT($K151,2),CE151,0))</f>
        <v>0</v>
      </c>
      <c r="DF151" s="387">
        <f>+IF($K151="ongoing",CF151,IF(RIGHT($K151,2)=RIGHT(DF$43,2),SUM($CD151:CF151),0)+IF(RIGHT(DF$43,2)&gt;RIGHT($K151,2),CF151,0))</f>
        <v>0</v>
      </c>
      <c r="DG151" s="388">
        <f>+IF($K151="ongoing",CG151,IF(RIGHT($K151,2)=RIGHT(DG$43,2),SUM($CD151:CG151),0)+IF(RIGHT(DG$43,2)&gt;RIGHT($K151,2),CG151,0))</f>
        <v>0.80940245087564022</v>
      </c>
      <c r="DH151" s="386">
        <f>+IF($K151="ongoing",CH151,IF(RIGHT($K151,2)=RIGHT(DH$43,2),SUM($CD151:CH151),0)+IF(RIGHT(DH$43,2)&gt;RIGHT($K151,2),CH151,0))</f>
        <v>1.625122189172749</v>
      </c>
      <c r="DI151" s="387">
        <f>+IF($K151="ongoing",CI151,IF(RIGHT($K151,2)=RIGHT(DI$43,2),SUM($CD151:CI151),0)+IF(RIGHT(DI$43,2)&gt;RIGHT($K151,2),CI151,0))</f>
        <v>1.6314641294231795</v>
      </c>
      <c r="DJ151" s="387">
        <f>+IF($K151="ongoing",CJ151,IF(RIGHT($K151,2)=RIGHT(DJ$43,2),SUM($CD151:CJ151),0)+IF(RIGHT(DJ$43,2)&gt;RIGHT($K151,2),CJ151,0))</f>
        <v>3.316607407885185</v>
      </c>
      <c r="DK151" s="387">
        <f>+IF($K151="ongoing",CK151,IF(RIGHT($K151,2)=RIGHT(DK$43,2),SUM($CD151:CK151),0)+IF(RIGHT(DK$43,2)&gt;RIGHT($K151,2),CK151,0))</f>
        <v>3.37168346387358</v>
      </c>
      <c r="DL151" s="388">
        <f>+IF($K151="ongoing",CN151,IF(RIGHT($K151,2)=RIGHT(DL$43,2),SUM($CD151:CN151),0)+IF(RIGHT(DL$43,2)&gt;RIGHT($K151,2),CN151,0))</f>
        <v>1.882150596075437</v>
      </c>
      <c r="DM151" s="841"/>
      <c r="DN151" s="386">
        <f t="shared" si="277"/>
        <v>0.5</v>
      </c>
      <c r="DO151" s="387">
        <f t="shared" si="278"/>
        <v>1</v>
      </c>
      <c r="DP151" s="388">
        <f t="shared" si="279"/>
        <v>1</v>
      </c>
      <c r="DQ151" s="386">
        <f t="shared" si="280"/>
        <v>1</v>
      </c>
      <c r="DR151" s="387">
        <f t="shared" si="281"/>
        <v>1</v>
      </c>
      <c r="DS151" s="387">
        <f t="shared" si="282"/>
        <v>1</v>
      </c>
      <c r="DT151" s="387">
        <f t="shared" si="283"/>
        <v>1</v>
      </c>
      <c r="DU151" s="388">
        <f t="shared" si="284"/>
        <v>1</v>
      </c>
      <c r="DW151" s="386">
        <f t="shared" si="285"/>
        <v>0</v>
      </c>
      <c r="DX151" s="387">
        <f t="shared" si="286"/>
        <v>0.5</v>
      </c>
      <c r="DY151" s="388">
        <f t="shared" si="287"/>
        <v>1</v>
      </c>
      <c r="DZ151" s="386">
        <f t="shared" si="288"/>
        <v>1</v>
      </c>
      <c r="EA151" s="387">
        <f t="shared" si="289"/>
        <v>1</v>
      </c>
      <c r="EB151" s="387">
        <f t="shared" si="290"/>
        <v>1</v>
      </c>
      <c r="EC151" s="387">
        <f t="shared" si="291"/>
        <v>1</v>
      </c>
      <c r="ED151" s="388">
        <f t="shared" si="292"/>
        <v>1</v>
      </c>
      <c r="EF151" s="834">
        <f>+IF(DN151=DM151,0,
IF(AND(EF$44&gt;1,DN151=$N151),1-SUM($EE151:EE151),
IF($N151&lt;=1,
IF($N151&gt;0,1/$N151,0),
IF(EF$44=1,0,VDB(1,0,$N151,INT(EF$44-1-1),MIN($N151,INT(EF$44-1-1)+1),$DC151,IF($DD151="No",1,0))/
IF(DM151&gt;=INT($N151),$N151-INT($N151),1)))*
IF(EF$44=1,0,
IF(INT(DN151)=INT(DM151),DN151-DM151,INT(DN151)-DM151))+
IF($N151&lt;=1,
IF($N151&gt;0,1/$N151,0),VDB(1,0,$N151,INT(EF$44-1),MIN($N151,INT(EF$44-1)+1),$DC151,IF($DD151="No",1,0))/
IF(DN151&gt;INT($N151),$N151-INT($N151),1))*
IF(EF$44=1,DN151,
IF(INT(DN151)=INT(DM151),0,DN151-INT(DN151)))))</f>
        <v>0</v>
      </c>
      <c r="EG151" s="835">
        <f>+IF(DO151=DN151,0,
IF(AND(EG$44&gt;1,DO151=$N151),1-SUM($EE151:EF151),
IF($N151&lt;=1,
IF($N151&gt;0,1/$N151,0),
IF(EG$44=1,0,VDB(1,0,$N151,INT(EG$44-1-1),MIN($N151,INT(EG$44-1-1)+1),$DC151,IF($DD151="No",1,0))/
IF(DN151&gt;=INT($N151),$N151-INT($N151),1)))*
IF(EG$44=1,0,
IF(INT(DO151)=INT(DN151),DO151-DN151,INT(DO151)-DN151))+
IF($N151&lt;=1,
IF($N151&gt;0,1/$N151,0),VDB(1,0,$N151,INT(EG$44-1),MIN($N151,INT(EG$44-1)+1),$DC151,IF($DD151="No",1,0))/
IF(DO151&gt;INT($N151),$N151-INT($N151),1))*
IF(EG$44=1,DO151,
IF(INT(DO151)=INT(DN151),0,DO151-INT(DO151)))))</f>
        <v>0</v>
      </c>
      <c r="EH151" s="836">
        <f>+IF(DP151=DO151,0,
IF(AND(EH$44&gt;1,DP151=$N151),1-SUM($EE151:EG151),
IF($N151&lt;=1,
IF($N151&gt;0,1/$N151,0),
IF(EH$44=1,0,VDB(1,0,$N151,INT(EH$44-1-1),MIN($N151,INT(EH$44-1-1)+1),$DC151,IF($DD151="No",1,0))/
IF(DO151&gt;=INT($N151),$N151-INT($N151),1)))*
IF(EH$44=1,0,
IF(INT(DP151)=INT(DO151),DP151-DO151,INT(DP151)-DO151))+
IF($N151&lt;=1,
IF($N151&gt;0,1/$N151,0),VDB(1,0,$N151,INT(EH$44-1),MIN($N151,INT(EH$44-1)+1),$DC151,IF($DD151="No",1,0))/
IF(DP151&gt;INT($N151),$N151-INT($N151),1))*
IF(EH$44=1,DP151,
IF(INT(DP151)=INT(DO151),0,DP151-INT(DP151)))))</f>
        <v>0</v>
      </c>
      <c r="EI151" s="834">
        <f>+IF(DQ151=DP151,0,
IF(AND(EI$44&gt;1,DQ151=$N151),1-SUM($EE151:EH151),
IF($N151&lt;=1,
IF($N151&gt;0,1/$N151,0),
IF(EI$44=1,0,VDB(1,0,$N151,INT(EI$44-1-1),MIN($N151,INT(EI$44-1-1)+1),$DC151,IF($DD151="No",1,0))/
IF(DP151&gt;=INT($N151),$N151-INT($N151),1)))*
IF(EI$44=1,0,
IF(INT(DQ151)=INT(DP151),DQ151-DP151,INT(DQ151)-DP151))+
IF($N151&lt;=1,
IF($N151&gt;0,1/$N151,0),VDB(1,0,$N151,INT(EI$44-1),MIN($N151,INT(EI$44-1)+1),$DC151,IF($DD151="No",1,0))/
IF(DQ151&gt;INT($N151),$N151-INT($N151),1))*
IF(EI$44=1,DQ151,
IF(INT(DQ151)=INT(DP151),0,DQ151-INT(DQ151)))))</f>
        <v>0</v>
      </c>
      <c r="EJ151" s="835">
        <f>+IF(DR151=DQ151,0,
IF(AND(EJ$44&gt;1,DR151=$N151),1-SUM($EE151:EI151),
IF($N151&lt;=1,
IF($N151&gt;0,1/$N151,0),
IF(EJ$44=1,0,VDB(1,0,$N151,INT(EJ$44-1-1),MIN($N151,INT(EJ$44-1-1)+1),$DC151,IF($DD151="No",1,0))/
IF(DQ151&gt;=INT($N151),$N151-INT($N151),1)))*
IF(EJ$44=1,0,
IF(INT(DR151)=INT(DQ151),DR151-DQ151,INT(DR151)-DQ151))+
IF($N151&lt;=1,
IF($N151&gt;0,1/$N151,0),VDB(1,0,$N151,INT(EJ$44-1),MIN($N151,INT(EJ$44-1)+1),$DC151,IF($DD151="No",1,0))/
IF(DR151&gt;INT($N151),$N151-INT($N151),1))*
IF(EJ$44=1,DR151,
IF(INT(DR151)=INT(DQ151),0,DR151-INT(DR151)))))</f>
        <v>0</v>
      </c>
      <c r="EK151" s="835">
        <f>+IF(DS151=DR151,0,
IF(AND(EK$44&gt;1,DS151=$N151),1-SUM($EE151:EJ151),
IF($N151&lt;=1,
IF($N151&gt;0,1/$N151,0),
IF(EK$44=1,0,VDB(1,0,$N151,INT(EK$44-1-1),MIN($N151,INT(EK$44-1-1)+1),$DC151,IF($DD151="No",1,0))/
IF(DR151&gt;=INT($N151),$N151-INT($N151),1)))*
IF(EK$44=1,0,
IF(INT(DS151)=INT(DR151),DS151-DR151,INT(DS151)-DR151))+
IF($N151&lt;=1,
IF($N151&gt;0,1/$N151,0),VDB(1,0,$N151,INT(EK$44-1),MIN($N151,INT(EK$44-1)+1),$DC151,IF($DD151="No",1,0))/
IF(DS151&gt;INT($N151),$N151-INT($N151),1))*
IF(EK$44=1,DS151,
IF(INT(DS151)=INT(DR151),0,DS151-INT(DS151)))))</f>
        <v>0</v>
      </c>
      <c r="EL151" s="835">
        <f>+IF(DT151=DS151,0,
IF(AND(EL$44&gt;1,DT151=$N151),1-SUM($EE151:EK151),
IF($N151&lt;=1,
IF($N151&gt;0,1/$N151,0),
IF(EL$44=1,0,VDB(1,0,$N151,INT(EL$44-1-1),MIN($N151,INT(EL$44-1-1)+1),$DC151,IF($DD151="No",1,0))/
IF(DS151&gt;=INT($N151),$N151-INT($N151),1)))*
IF(EL$44=1,0,
IF(INT(DT151)=INT(DS151),DT151-DS151,INT(DT151)-DS151))+
IF($N151&lt;=1,
IF($N151&gt;0,1/$N151,0),VDB(1,0,$N151,INT(EL$44-1),MIN($N151,INT(EL$44-1)+1),$DC151,IF($DD151="No",1,0))/
IF(DT151&gt;INT($N151),$N151-INT($N151),1))*
IF(EL$44=1,DT151,
IF(INT(DT151)=INT(DS151),0,DT151-INT(DT151)))))</f>
        <v>0</v>
      </c>
      <c r="EM151" s="836">
        <f>+IF(DU151=DT151,0,
IF(AND(EM$44&gt;1,DU151=$N151),1-SUM($EE151:EL151),
IF($N151&lt;=1,
IF($N151&gt;0,1/$N151,0),
IF(EM$44=1,0,VDB(1,0,$N151,INT(EM$44-1-1),MIN($N151,INT(EM$44-1-1)+1),$DC151,IF($DD151="No",1,0))/
IF(DT151&gt;=INT($N151),$N151-INT($N151),1)))*
IF(EM$44=1,0,
IF(INT(DU151)=INT(DT151),DU151-DT151,INT(DU151)-DT151))+
IF($N151&lt;=1,
IF($N151&gt;0,1/$N151,0),VDB(1,0,$N151,INT(EM$44-1),MIN($N151,INT(EM$44-1)+1),$DC151,IF($DD151="No",1,0))/
IF(DU151&gt;INT($N151),$N151-INT($N151),1))*
IF(EM$44=1,DU151,
IF(INT(DU151)=INT(DT151),0,DU151-INT(DU151)))))</f>
        <v>0</v>
      </c>
      <c r="EN151" s="833"/>
      <c r="EO151" s="834">
        <f>+IF(OR(DW151=DV151,EO$44=1),0,
IF(AND(EO$44&gt;1,DW151=$N151),1-SUM($EN151:EN151),
IF($N151&lt;=1,
IF($N151&gt;0,1/$N151,0),
IF(EO$44=2,0,VDB(1,0,$N151,INT(EO$44-2-1),MIN($N151,INT(EO$44-2-1)+1),$DC151,IF($DD151="No",1,0))/
IF(DV151&gt;=INT($N151),$N151-INT($N151),1)))*
IF(EO$44=2,0,
IF(INT(DW151)=INT(DV151),DW151-DV151,INT(DW151)-DV151))+
IF($N151&lt;=1,
IF($N151&gt;0,1/$N151,0),VDB(1,0,$N151,INT(EO$44-2),MIN($N151,INT(EO$44-2)+1),$DC151,IF($DD151="No",1,0))/
IF(DW151&gt;INT($N151),$N151-INT($N151),1))*
IF(EO$44=2,DW151,
IF(INT(DW151)=INT(DV151),0,DW151-INT(DW151)))))</f>
        <v>0</v>
      </c>
      <c r="EP151" s="835">
        <f>+IF(OR(DX151=DW151,EP$44=1),0,
IF(AND(EP$44&gt;1,DX151=$N151),1-SUM($EN151:EO151),
IF($N151&lt;=1,
IF($N151&gt;0,1/$N151,0),
IF(EP$44=2,0,VDB(1,0,$N151,INT(EP$44-2-1),MIN($N151,INT(EP$44-2-1)+1),$DC151,IF($DD151="No",1,0))/
IF(DW151&gt;=INT($N151),$N151-INT($N151),1)))*
IF(EP$44=2,0,
IF(INT(DX151)=INT(DW151),DX151-DW151,INT(DX151)-DW151))+
IF($N151&lt;=1,
IF($N151&gt;0,1/$N151,0),VDB(1,0,$N151,INT(EP$44-2),MIN($N151,INT(EP$44-2)+1),$DC151,IF($DD151="No",1,0))/
IF(DX151&gt;INT($N151),$N151-INT($N151),1))*
IF(EP$44=2,DX151,
IF(INT(DX151)=INT(DW151),0,DX151-INT(DX151)))))</f>
        <v>0</v>
      </c>
      <c r="EQ151" s="836">
        <f>+IF(OR(DY151=DX151,EQ$44=1),0,
IF(AND(EQ$44&gt;1,DY151=$N151),1-SUM($EN151:EP151),
IF($N151&lt;=1,
IF($N151&gt;0,1/$N151,0),
IF(EQ$44=2,0,VDB(1,0,$N151,INT(EQ$44-2-1),MIN($N151,INT(EQ$44-2-1)+1),$DC151,IF($DD151="No",1,0))/
IF(DX151&gt;=INT($N151),$N151-INT($N151),1)))*
IF(EQ$44=2,0,
IF(INT(DY151)=INT(DX151),DY151-DX151,INT(DY151)-DX151))+
IF($N151&lt;=1,
IF($N151&gt;0,1/$N151,0),VDB(1,0,$N151,INT(EQ$44-2),MIN($N151,INT(EQ$44-2)+1),$DC151,IF($DD151="No",1,0))/
IF(DY151&gt;INT($N151),$N151-INT($N151),1))*
IF(EQ$44=2,DY151,
IF(INT(DY151)=INT(DX151),0,DY151-INT(DY151)))))</f>
        <v>0</v>
      </c>
      <c r="ER151" s="834">
        <f>+IF(OR(DZ151=DY151,ER$44=1),0,
IF(AND(ER$44&gt;1,DZ151=$N151),1-SUM($EN151:EQ151),
IF($N151&lt;=1,
IF($N151&gt;0,1/$N151,0),
IF(ER$44=2,0,VDB(1,0,$N151,INT(ER$44-2-1),MIN($N151,INT(ER$44-2-1)+1),$DC151,IF($DD151="No",1,0))/
IF(DY151&gt;=INT($N151),$N151-INT($N151),1)))*
IF(ER$44=2,0,
IF(INT(DZ151)=INT(DY151),DZ151-DY151,INT(DZ151)-DY151))+
IF($N151&lt;=1,
IF($N151&gt;0,1/$N151,0),VDB(1,0,$N151,INT(ER$44-2),MIN($N151,INT(ER$44-2)+1),$DC151,IF($DD151="No",1,0))/
IF(DZ151&gt;INT($N151),$N151-INT($N151),1))*
IF(ER$44=2,DZ151,
IF(INT(DZ151)=INT(DY151),0,DZ151-INT(DZ151)))))</f>
        <v>0</v>
      </c>
      <c r="ES151" s="835">
        <f>+IF(OR(EA151=DZ151,ES$44=1),0,
IF(AND(ES$44&gt;1,EA151=$N151),1-SUM($EN151:ER151),
IF($N151&lt;=1,
IF($N151&gt;0,1/$N151,0),
IF(ES$44=2,0,VDB(1,0,$N151,INT(ES$44-2-1),MIN($N151,INT(ES$44-2-1)+1),$DC151,IF($DD151="No",1,0))/
IF(DZ151&gt;=INT($N151),$N151-INT($N151),1)))*
IF(ES$44=2,0,
IF(INT(EA151)=INT(DZ151),EA151-DZ151,INT(EA151)-DZ151))+
IF($N151&lt;=1,
IF($N151&gt;0,1/$N151,0),VDB(1,0,$N151,INT(ES$44-2),MIN($N151,INT(ES$44-2)+1),$DC151,IF($DD151="No",1,0))/
IF(EA151&gt;INT($N151),$N151-INT($N151),1))*
IF(ES$44=2,EA151,
IF(INT(EA151)=INT(DZ151),0,EA151-INT(EA151)))))</f>
        <v>0</v>
      </c>
      <c r="ET151" s="835">
        <f>+IF(OR(EB151=EA151,ET$44=1),0,
IF(AND(ET$44&gt;1,EB151=$N151),1-SUM($EN151:ES151),
IF($N151&lt;=1,
IF($N151&gt;0,1/$N151,0),
IF(ET$44=2,0,VDB(1,0,$N151,INT(ET$44-2-1),MIN($N151,INT(ET$44-2-1)+1),$DC151,IF($DD151="No",1,0))/
IF(EA151&gt;=INT($N151),$N151-INT($N151),1)))*
IF(ET$44=2,0,
IF(INT(EB151)=INT(EA151),EB151-EA151,INT(EB151)-EA151))+
IF($N151&lt;=1,
IF($N151&gt;0,1/$N151,0),VDB(1,0,$N151,INT(ET$44-2),MIN($N151,INT(ET$44-2)+1),$DC151,IF($DD151="No",1,0))/
IF(EB151&gt;INT($N151),$N151-INT($N151),1))*
IF(ET$44=2,EB151,
IF(INT(EB151)=INT(EA151),0,EB151-INT(EB151)))))</f>
        <v>0</v>
      </c>
      <c r="EU151" s="835">
        <f>+IF(OR(EC151=EB151,EU$44=1),0,
IF(AND(EU$44&gt;1,EC151=$N151),1-SUM($EN151:ET151),
IF($N151&lt;=1,
IF($N151&gt;0,1/$N151,0),
IF(EU$44=2,0,VDB(1,0,$N151,INT(EU$44-2-1),MIN($N151,INT(EU$44-2-1)+1),$DC151,IF($DD151="No",1,0))/
IF(EB151&gt;=INT($N151),$N151-INT($N151),1)))*
IF(EU$44=2,0,
IF(INT(EC151)=INT(EB151),EC151-EB151,INT(EC151)-EB151))+
IF($N151&lt;=1,
IF($N151&gt;0,1/$N151,0),VDB(1,0,$N151,INT(EU$44-2),MIN($N151,INT(EU$44-2)+1),$DC151,IF($DD151="No",1,0))/
IF(EC151&gt;INT($N151),$N151-INT($N151),1))*
IF(EU$44=2,EC151,
IF(INT(EC151)=INT(EB151),0,EC151-INT(EC151)))))</f>
        <v>0</v>
      </c>
      <c r="EV151" s="836">
        <f>+IF(OR(ED151=EC151,EV$44=1),0,
IF(AND(EV$44&gt;1,ED151=$N151),1-SUM($EN151:EU151),
IF($N151&lt;=1,
IF($N151&gt;0,1/$N151,0),
IF(EV$44=2,0,VDB(1,0,$N151,INT(EV$44-2-1),MIN($N151,INT(EV$44-2-1)+1),$DC151,IF($DD151="No",1,0))/
IF(EC151&gt;=INT($N151),$N151-INT($N151),1)))*
IF(EV$44=2,0,
IF(INT(ED151)=INT(EC151),ED151-EC151,INT(ED151)-EC151))+
IF($N151&lt;=1,
IF($N151&gt;0,1/$N151,0),VDB(1,0,$N151,INT(EV$44-2),MIN($N151,INT(EV$44-2)+1),$DC151,IF($DD151="No",1,0))/
IF(ED151&gt;INT($N151),$N151-INT($N151),1))*
IF(EV$44=2,ED151,
IF(INT(ED151)=INT(EC151),0,ED151-INT(ED151)))))</f>
        <v>0</v>
      </c>
      <c r="EW151" s="833"/>
      <c r="EX151" s="834">
        <f t="shared" ca="1" si="303"/>
        <v>0</v>
      </c>
      <c r="EY151" s="835">
        <f t="shared" ca="1" si="303"/>
        <v>0</v>
      </c>
      <c r="EZ151" s="836">
        <f t="shared" ca="1" si="303"/>
        <v>0</v>
      </c>
      <c r="FA151" s="834">
        <f t="shared" ca="1" si="303"/>
        <v>0</v>
      </c>
      <c r="FB151" s="835">
        <f t="shared" ca="1" si="303"/>
        <v>0</v>
      </c>
      <c r="FC151" s="835">
        <f t="shared" ca="1" si="303"/>
        <v>0</v>
      </c>
      <c r="FD151" s="835">
        <f t="shared" ca="1" si="303"/>
        <v>0</v>
      </c>
      <c r="FE151" s="836">
        <f t="shared" ca="1" si="303"/>
        <v>0</v>
      </c>
      <c r="FG151" s="386">
        <f t="shared" ca="1" si="293"/>
        <v>0</v>
      </c>
      <c r="FH151" s="387">
        <f t="shared" ca="1" si="294"/>
        <v>0</v>
      </c>
      <c r="FI151" s="388">
        <f t="shared" ca="1" si="295"/>
        <v>0</v>
      </c>
      <c r="FJ151" s="386">
        <f t="shared" ca="1" si="296"/>
        <v>0</v>
      </c>
      <c r="FK151" s="387">
        <f t="shared" ca="1" si="297"/>
        <v>0</v>
      </c>
      <c r="FL151" s="387">
        <f t="shared" ca="1" si="298"/>
        <v>0</v>
      </c>
      <c r="FM151" s="387">
        <f t="shared" ca="1" si="299"/>
        <v>0</v>
      </c>
      <c r="FN151" s="388">
        <f t="shared" ca="1" si="300"/>
        <v>0</v>
      </c>
      <c r="FR151" s="116"/>
    </row>
    <row r="152" spans="2:174">
      <c r="B152" s="1410">
        <f t="shared" si="302"/>
        <v>106</v>
      </c>
      <c r="C152" s="400" t="s">
        <v>658</v>
      </c>
      <c r="D152" s="410"/>
      <c r="E152" s="402" t="s">
        <v>420</v>
      </c>
      <c r="F152" s="402" t="s">
        <v>514</v>
      </c>
      <c r="G152" s="400" t="s">
        <v>522</v>
      </c>
      <c r="H152" s="2088" t="s">
        <v>483</v>
      </c>
      <c r="I152" s="2089"/>
      <c r="J152" s="411" t="s">
        <v>516</v>
      </c>
      <c r="K152" s="403" t="s">
        <v>544</v>
      </c>
      <c r="L152" s="403">
        <v>25</v>
      </c>
      <c r="M152" s="403" t="s">
        <v>142</v>
      </c>
      <c r="N152" s="403"/>
      <c r="O152" s="347"/>
      <c r="P152" s="347"/>
      <c r="Q152" s="1021">
        <v>30.564944546341469</v>
      </c>
      <c r="R152" s="1022">
        <v>26.968185289708515</v>
      </c>
      <c r="S152" s="1022">
        <v>20.592744383859788</v>
      </c>
      <c r="T152" s="1022">
        <v>19.050129943756748</v>
      </c>
      <c r="U152" s="1023">
        <v>15.170703026935959</v>
      </c>
      <c r="V152" s="1021">
        <v>41.416212152014559</v>
      </c>
      <c r="W152" s="1022">
        <v>28.417837545168979</v>
      </c>
      <c r="X152" s="1022">
        <v>28.354396300767828</v>
      </c>
      <c r="Y152" s="1022">
        <v>25.463092729326906</v>
      </c>
      <c r="Z152" s="1023">
        <v>27.964639345343862</v>
      </c>
      <c r="AA152" s="1024"/>
      <c r="AB152" s="1021">
        <v>0</v>
      </c>
      <c r="AC152" s="1022">
        <v>0</v>
      </c>
      <c r="AD152" s="1022">
        <v>0</v>
      </c>
      <c r="AE152" s="1022">
        <v>0</v>
      </c>
      <c r="AF152" s="1023">
        <v>0</v>
      </c>
      <c r="AG152" s="1021">
        <v>0</v>
      </c>
      <c r="AH152" s="1022">
        <v>0</v>
      </c>
      <c r="AI152" s="1022">
        <v>0</v>
      </c>
      <c r="AJ152" s="1022">
        <v>0</v>
      </c>
      <c r="AK152" s="1023">
        <v>0</v>
      </c>
      <c r="AL152" s="1024"/>
      <c r="AM152" s="1021">
        <v>0</v>
      </c>
      <c r="AN152" s="1022">
        <v>0</v>
      </c>
      <c r="AO152" s="1022">
        <v>0</v>
      </c>
      <c r="AP152" s="1022">
        <v>0</v>
      </c>
      <c r="AQ152" s="1023">
        <v>0</v>
      </c>
      <c r="AR152" s="1021">
        <v>0</v>
      </c>
      <c r="AS152" s="1022">
        <v>0</v>
      </c>
      <c r="AT152" s="1022">
        <v>0</v>
      </c>
      <c r="AU152" s="1022">
        <v>0</v>
      </c>
      <c r="AV152" s="1023">
        <v>0</v>
      </c>
      <c r="AW152" s="1025"/>
      <c r="AX152" s="1282">
        <f t="shared" si="247"/>
        <v>30.564944546341469</v>
      </c>
      <c r="AY152" s="387">
        <f t="shared" si="248"/>
        <v>26.968185289708515</v>
      </c>
      <c r="AZ152" s="387">
        <f t="shared" si="249"/>
        <v>20.592744383859788</v>
      </c>
      <c r="BA152" s="387">
        <f t="shared" si="250"/>
        <v>19.050129943756748</v>
      </c>
      <c r="BB152" s="1283">
        <f t="shared" si="251"/>
        <v>15.170703026935959</v>
      </c>
      <c r="BC152" s="386">
        <f t="shared" si="252"/>
        <v>41.416212152014559</v>
      </c>
      <c r="BD152" s="387">
        <f t="shared" si="253"/>
        <v>28.417837545168979</v>
      </c>
      <c r="BE152" s="1277">
        <f t="shared" si="254"/>
        <v>28.354396300767828</v>
      </c>
      <c r="BF152" s="1277">
        <f t="shared" si="255"/>
        <v>25.463092729326906</v>
      </c>
      <c r="BG152" s="388">
        <f t="shared" si="256"/>
        <v>27.964639345343862</v>
      </c>
      <c r="BH152" s="1025"/>
      <c r="BI152" s="1282">
        <f t="shared" ca="1" si="257"/>
        <v>0.61129889092682932</v>
      </c>
      <c r="BJ152" s="387">
        <f t="shared" ca="1" si="258"/>
        <v>1.7619614876478289</v>
      </c>
      <c r="BK152" s="387">
        <f t="shared" ca="1" si="259"/>
        <v>2.7131800811191948</v>
      </c>
      <c r="BL152" s="387">
        <f t="shared" ca="1" si="260"/>
        <v>3.5060375676715259</v>
      </c>
      <c r="BM152" s="1283">
        <f t="shared" ca="1" si="261"/>
        <v>4.1904542270853797</v>
      </c>
      <c r="BN152" s="386">
        <f t="shared" ca="1" si="262"/>
        <v>5.32219253066439</v>
      </c>
      <c r="BO152" s="387">
        <f t="shared" ca="1" si="263"/>
        <v>6.7188735246080604</v>
      </c>
      <c r="BP152" s="1277">
        <f t="shared" ca="1" si="264"/>
        <v>7.8543182015267972</v>
      </c>
      <c r="BQ152" s="1277">
        <f t="shared" ca="1" si="265"/>
        <v>8.9306679821286927</v>
      </c>
      <c r="BR152" s="388">
        <f t="shared" ca="1" si="266"/>
        <v>9.9992226236221065</v>
      </c>
      <c r="BS152" s="1025"/>
      <c r="BT152" s="1282">
        <f>+IF($K152="Ongoing",AX152,IF(RIGHT($K152,2)=RIGHT(BT$43,2),SUM($AX152:AX152),0)+IF(RIGHT(BT$43,2)&gt;RIGHT($K152,2),AX152,0))</f>
        <v>30.564944546341469</v>
      </c>
      <c r="BU152" s="387">
        <f>+IF($K152="Ongoing",AY152,IF(RIGHT($K152,2)=RIGHT(BU$43,2),SUM($AX152:AY152),0)+IF(RIGHT(BU$43,2)&gt;RIGHT($K152,2),AY152,0))</f>
        <v>26.968185289708515</v>
      </c>
      <c r="BV152" s="387">
        <f>+IF($K152="Ongoing",AZ152,IF(RIGHT($K152,2)=RIGHT(BV$43,2),SUM($AX152:AZ152),0)+IF(RIGHT(BV$43,2)&gt;RIGHT($K152,2),AZ152,0))</f>
        <v>20.592744383859788</v>
      </c>
      <c r="BW152" s="387">
        <f>+IF($K152="Ongoing",BA152,IF(RIGHT($K152,2)=RIGHT(BW$43,2),SUM($AX152:BA152),0)+IF(RIGHT(BW$43,2)&gt;RIGHT($K152,2),BA152,0))</f>
        <v>19.050129943756748</v>
      </c>
      <c r="BX152" s="1283">
        <f>+IF($K152="Ongoing",BB152,IF(RIGHT($K152,2)=RIGHT(BX$43,2),SUM($AX152:BB152),0)+IF(RIGHT(BX$43,2)&gt;RIGHT($K152,2),BB152,0))</f>
        <v>15.170703026935959</v>
      </c>
      <c r="BY152" s="386">
        <f>+IF($K152="Ongoing",BC152,IF(RIGHT($K152,2)=RIGHT(BY$43,2),SUM($AX152:BC152),0)+IF(RIGHT(BY$43,2)&gt;RIGHT($K152,2),BC152,0))</f>
        <v>41.416212152014559</v>
      </c>
      <c r="BZ152" s="387">
        <f>+IF($K152="Ongoing",BD152,IF(RIGHT($K152,2)=RIGHT(BZ$43,2),SUM($AX152:BD152),0)+IF(RIGHT(BZ$43,2)&gt;RIGHT($K152,2),BD152,0))</f>
        <v>28.417837545168979</v>
      </c>
      <c r="CA152" s="1277">
        <f>+IF($K152="Ongoing",BE152,IF(RIGHT($K152,2)=RIGHT(CA$43,2),SUM($AX152:BE152),0)+IF(RIGHT(CA$43,2)&gt;RIGHT($K152,2),BE152,0))</f>
        <v>28.354396300767828</v>
      </c>
      <c r="CB152" s="1277">
        <f>+IF($K152="Ongoing",BF152,IF(RIGHT($K152,2)=RIGHT(CB$43,2),SUM($AX152:BF152),0)+IF(RIGHT(CB$43,2)&gt;RIGHT($K152,2),BF152,0))</f>
        <v>25.463092729326906</v>
      </c>
      <c r="CC152" s="388">
        <f>+IF($K152="Ongoing",BG152,IF(RIGHT($K152,2)=RIGHT(CC$43,2),SUM($AX152:BG152),0)+IF(RIGHT(CC$43,2)&gt;RIGHT($K152,2),BG152,0))</f>
        <v>27.964639345343862</v>
      </c>
      <c r="CD152" s="1025"/>
      <c r="CE152" s="1282">
        <f>+Q152*KeyAssumptionsPriceControl_FO!AF$15</f>
        <v>31.451327938185369</v>
      </c>
      <c r="CF152" s="387">
        <f>+R152*KeyAssumptionsPriceControl_FO!AG$15</f>
        <v>28.555020280340251</v>
      </c>
      <c r="CG152" s="387">
        <f>+S152*KeyAssumptionsPriceControl_FO!AH$15</f>
        <v>22.436770875778841</v>
      </c>
      <c r="CH152" s="387">
        <f>+T152*KeyAssumptionsPriceControl_FO!AI$15</f>
        <v>21.357943901200471</v>
      </c>
      <c r="CI152" s="1283">
        <f>+U152*KeyAssumptionsPriceControl_FO!AJ$15</f>
        <v>17.501794521978027</v>
      </c>
      <c r="CJ152" s="386">
        <f>+V152*KeyAssumptionsPriceControl_FO!AK$15</f>
        <v>49.165745097825379</v>
      </c>
      <c r="CK152" s="387">
        <f>+W152*KeyAssumptionsPriceControl_FO!AL$15</f>
        <v>34.713519726346959</v>
      </c>
      <c r="CL152" s="1277">
        <f>+X152*KeyAssumptionsPriceControl_FO!AM$15</f>
        <v>35.640468408958462</v>
      </c>
      <c r="CM152" s="1277">
        <f>+Y152*KeyAssumptionsPriceControl_FO!AN$15</f>
        <v>32.934382454020792</v>
      </c>
      <c r="CN152" s="388">
        <f>+Z152*KeyAssumptionsPriceControl_FO!AO$15</f>
        <v>37.218851737953251</v>
      </c>
      <c r="CO152" s="1025"/>
      <c r="CP152" s="1282">
        <f t="shared" ca="1" si="267"/>
        <v>0</v>
      </c>
      <c r="CQ152" s="387">
        <f t="shared" ca="1" si="268"/>
        <v>0</v>
      </c>
      <c r="CR152" s="387">
        <f t="shared" ca="1" si="269"/>
        <v>0</v>
      </c>
      <c r="CS152" s="387">
        <f t="shared" ca="1" si="270"/>
        <v>0</v>
      </c>
      <c r="CT152" s="1283">
        <f t="shared" ca="1" si="271"/>
        <v>0</v>
      </c>
      <c r="CU152" s="386">
        <f t="shared" ca="1" si="272"/>
        <v>0</v>
      </c>
      <c r="CV152" s="387">
        <f t="shared" ca="1" si="273"/>
        <v>0</v>
      </c>
      <c r="CW152" s="1277">
        <f t="shared" ca="1" si="274"/>
        <v>0</v>
      </c>
      <c r="CX152" s="1277">
        <f t="shared" ca="1" si="275"/>
        <v>0</v>
      </c>
      <c r="CY152" s="388">
        <f t="shared" ca="1" si="276"/>
        <v>0</v>
      </c>
      <c r="CZ152" s="347"/>
      <c r="DA152" s="852"/>
      <c r="DB152" s="347"/>
      <c r="DC152" s="1012" t="s">
        <v>661</v>
      </c>
      <c r="DD152" s="841" t="s">
        <v>518</v>
      </c>
      <c r="DE152" s="386">
        <f>+IF($K152="ongoing",CE152,IF(RIGHT($K152,2)=RIGHT(DE$43,2),SUM($CD152:CE152),0)+IF(RIGHT(DE$43,2)&gt;RIGHT($K152,2),CE152,0))</f>
        <v>31.451327938185369</v>
      </c>
      <c r="DF152" s="387">
        <f>+IF($K152="ongoing",CF152,IF(RIGHT($K152,2)=RIGHT(DF$43,2),SUM($CD152:CF152),0)+IF(RIGHT(DF$43,2)&gt;RIGHT($K152,2),CF152,0))</f>
        <v>28.555020280340251</v>
      </c>
      <c r="DG152" s="388">
        <f>+IF($K152="ongoing",CG152,IF(RIGHT($K152,2)=RIGHT(DG$43,2),SUM($CD152:CG152),0)+IF(RIGHT(DG$43,2)&gt;RIGHT($K152,2),CG152,0))</f>
        <v>22.436770875778841</v>
      </c>
      <c r="DH152" s="386">
        <f>+IF($K152="ongoing",CH152,IF(RIGHT($K152,2)=RIGHT(DH$43,2),SUM($CD152:CH152),0)+IF(RIGHT(DH$43,2)&gt;RIGHT($K152,2),CH152,0))</f>
        <v>21.357943901200471</v>
      </c>
      <c r="DI152" s="387">
        <f>+IF($K152="ongoing",CI152,IF(RIGHT($K152,2)=RIGHT(DI$43,2),SUM($CD152:CI152),0)+IF(RIGHT(DI$43,2)&gt;RIGHT($K152,2),CI152,0))</f>
        <v>17.501794521978027</v>
      </c>
      <c r="DJ152" s="387">
        <f>+IF($K152="ongoing",CJ152,IF(RIGHT($K152,2)=RIGHT(DJ$43,2),SUM($CD152:CJ152),0)+IF(RIGHT(DJ$43,2)&gt;RIGHT($K152,2),CJ152,0))</f>
        <v>49.165745097825379</v>
      </c>
      <c r="DK152" s="387">
        <f>+IF($K152="ongoing",CK152,IF(RIGHT($K152,2)=RIGHT(DK$43,2),SUM($CD152:CK152),0)+IF(RIGHT(DK$43,2)&gt;RIGHT($K152,2),CK152,0))</f>
        <v>34.713519726346959</v>
      </c>
      <c r="DL152" s="388">
        <f>+IF($K152="ongoing",CN152,IF(RIGHT($K152,2)=RIGHT(DL$43,2),SUM($CD152:CN152),0)+IF(RIGHT(DL$43,2)&gt;RIGHT($K152,2),CN152,0))</f>
        <v>37.218851737953251</v>
      </c>
      <c r="DM152" s="841"/>
      <c r="DN152" s="386">
        <f t="shared" si="277"/>
        <v>0.5</v>
      </c>
      <c r="DO152" s="387">
        <f t="shared" si="278"/>
        <v>1</v>
      </c>
      <c r="DP152" s="388">
        <f t="shared" si="279"/>
        <v>1</v>
      </c>
      <c r="DQ152" s="386">
        <f t="shared" si="280"/>
        <v>1</v>
      </c>
      <c r="DR152" s="387">
        <f t="shared" si="281"/>
        <v>1</v>
      </c>
      <c r="DS152" s="387">
        <f t="shared" si="282"/>
        <v>1</v>
      </c>
      <c r="DT152" s="387">
        <f t="shared" si="283"/>
        <v>1</v>
      </c>
      <c r="DU152" s="388">
        <f t="shared" si="284"/>
        <v>1</v>
      </c>
      <c r="DW152" s="386">
        <f t="shared" si="285"/>
        <v>0</v>
      </c>
      <c r="DX152" s="387">
        <f t="shared" si="286"/>
        <v>0.5</v>
      </c>
      <c r="DY152" s="388">
        <f t="shared" si="287"/>
        <v>1</v>
      </c>
      <c r="DZ152" s="386">
        <f t="shared" si="288"/>
        <v>1</v>
      </c>
      <c r="EA152" s="387">
        <f t="shared" si="289"/>
        <v>1</v>
      </c>
      <c r="EB152" s="387">
        <f t="shared" si="290"/>
        <v>1</v>
      </c>
      <c r="EC152" s="387">
        <f t="shared" si="291"/>
        <v>1</v>
      </c>
      <c r="ED152" s="388">
        <f t="shared" si="292"/>
        <v>1</v>
      </c>
      <c r="EF152" s="834">
        <f>+IF(DN152=DM152,0,
IF(AND(EF$44&gt;1,DN152=$N152),1-SUM($EE152:EE152),
IF($N152&lt;=1,
IF($N152&gt;0,1/$N152,0),
IF(EF$44=1,0,VDB(1,0,$N152,INT(EF$44-1-1),MIN($N152,INT(EF$44-1-1)+1),$DC152,IF($DD152="No",1,0))/
IF(DM152&gt;=INT($N152),$N152-INT($N152),1)))*
IF(EF$44=1,0,
IF(INT(DN152)=INT(DM152),DN152-DM152,INT(DN152)-DM152))+
IF($N152&lt;=1,
IF($N152&gt;0,1/$N152,0),VDB(1,0,$N152,INT(EF$44-1),MIN($N152,INT(EF$44-1)+1),$DC152,IF($DD152="No",1,0))/
IF(DN152&gt;INT($N152),$N152-INT($N152),1))*
IF(EF$44=1,DN152,
IF(INT(DN152)=INT(DM152),0,DN152-INT(DN152)))))</f>
        <v>0</v>
      </c>
      <c r="EG152" s="835">
        <f>+IF(DO152=DN152,0,
IF(AND(EG$44&gt;1,DO152=$N152),1-SUM($EE152:EF152),
IF($N152&lt;=1,
IF($N152&gt;0,1/$N152,0),
IF(EG$44=1,0,VDB(1,0,$N152,INT(EG$44-1-1),MIN($N152,INT(EG$44-1-1)+1),$DC152,IF($DD152="No",1,0))/
IF(DN152&gt;=INT($N152),$N152-INT($N152),1)))*
IF(EG$44=1,0,
IF(INT(DO152)=INT(DN152),DO152-DN152,INT(DO152)-DN152))+
IF($N152&lt;=1,
IF($N152&gt;0,1/$N152,0),VDB(1,0,$N152,INT(EG$44-1),MIN($N152,INT(EG$44-1)+1),$DC152,IF($DD152="No",1,0))/
IF(DO152&gt;INT($N152),$N152-INT($N152),1))*
IF(EG$44=1,DO152,
IF(INT(DO152)=INT(DN152),0,DO152-INT(DO152)))))</f>
        <v>0</v>
      </c>
      <c r="EH152" s="836">
        <f>+IF(DP152=DO152,0,
IF(AND(EH$44&gt;1,DP152=$N152),1-SUM($EE152:EG152),
IF($N152&lt;=1,
IF($N152&gt;0,1/$N152,0),
IF(EH$44=1,0,VDB(1,0,$N152,INT(EH$44-1-1),MIN($N152,INT(EH$44-1-1)+1),$DC152,IF($DD152="No",1,0))/
IF(DO152&gt;=INT($N152),$N152-INT($N152),1)))*
IF(EH$44=1,0,
IF(INT(DP152)=INT(DO152),DP152-DO152,INT(DP152)-DO152))+
IF($N152&lt;=1,
IF($N152&gt;0,1/$N152,0),VDB(1,0,$N152,INT(EH$44-1),MIN($N152,INT(EH$44-1)+1),$DC152,IF($DD152="No",1,0))/
IF(DP152&gt;INT($N152),$N152-INT($N152),1))*
IF(EH$44=1,DP152,
IF(INT(DP152)=INT(DO152),0,DP152-INT(DP152)))))</f>
        <v>0</v>
      </c>
      <c r="EI152" s="834">
        <f>+IF(DQ152=DP152,0,
IF(AND(EI$44&gt;1,DQ152=$N152),1-SUM($EE152:EH152),
IF($N152&lt;=1,
IF($N152&gt;0,1/$N152,0),
IF(EI$44=1,0,VDB(1,0,$N152,INT(EI$44-1-1),MIN($N152,INT(EI$44-1-1)+1),$DC152,IF($DD152="No",1,0))/
IF(DP152&gt;=INT($N152),$N152-INT($N152),1)))*
IF(EI$44=1,0,
IF(INT(DQ152)=INT(DP152),DQ152-DP152,INT(DQ152)-DP152))+
IF($N152&lt;=1,
IF($N152&gt;0,1/$N152,0),VDB(1,0,$N152,INT(EI$44-1),MIN($N152,INT(EI$44-1)+1),$DC152,IF($DD152="No",1,0))/
IF(DQ152&gt;INT($N152),$N152-INT($N152),1))*
IF(EI$44=1,DQ152,
IF(INT(DQ152)=INT(DP152),0,DQ152-INT(DQ152)))))</f>
        <v>0</v>
      </c>
      <c r="EJ152" s="835">
        <f>+IF(DR152=DQ152,0,
IF(AND(EJ$44&gt;1,DR152=$N152),1-SUM($EE152:EI152),
IF($N152&lt;=1,
IF($N152&gt;0,1/$N152,0),
IF(EJ$44=1,0,VDB(1,0,$N152,INT(EJ$44-1-1),MIN($N152,INT(EJ$44-1-1)+1),$DC152,IF($DD152="No",1,0))/
IF(DQ152&gt;=INT($N152),$N152-INT($N152),1)))*
IF(EJ$44=1,0,
IF(INT(DR152)=INT(DQ152),DR152-DQ152,INT(DR152)-DQ152))+
IF($N152&lt;=1,
IF($N152&gt;0,1/$N152,0),VDB(1,0,$N152,INT(EJ$44-1),MIN($N152,INT(EJ$44-1)+1),$DC152,IF($DD152="No",1,0))/
IF(DR152&gt;INT($N152),$N152-INT($N152),1))*
IF(EJ$44=1,DR152,
IF(INT(DR152)=INT(DQ152),0,DR152-INT(DR152)))))</f>
        <v>0</v>
      </c>
      <c r="EK152" s="835">
        <f>+IF(DS152=DR152,0,
IF(AND(EK$44&gt;1,DS152=$N152),1-SUM($EE152:EJ152),
IF($N152&lt;=1,
IF($N152&gt;0,1/$N152,0),
IF(EK$44=1,0,VDB(1,0,$N152,INT(EK$44-1-1),MIN($N152,INT(EK$44-1-1)+1),$DC152,IF($DD152="No",1,0))/
IF(DR152&gt;=INT($N152),$N152-INT($N152),1)))*
IF(EK$44=1,0,
IF(INT(DS152)=INT(DR152),DS152-DR152,INT(DS152)-DR152))+
IF($N152&lt;=1,
IF($N152&gt;0,1/$N152,0),VDB(1,0,$N152,INT(EK$44-1),MIN($N152,INT(EK$44-1)+1),$DC152,IF($DD152="No",1,0))/
IF(DS152&gt;INT($N152),$N152-INT($N152),1))*
IF(EK$44=1,DS152,
IF(INT(DS152)=INT(DR152),0,DS152-INT(DS152)))))</f>
        <v>0</v>
      </c>
      <c r="EL152" s="835">
        <f>+IF(DT152=DS152,0,
IF(AND(EL$44&gt;1,DT152=$N152),1-SUM($EE152:EK152),
IF($N152&lt;=1,
IF($N152&gt;0,1/$N152,0),
IF(EL$44=1,0,VDB(1,0,$N152,INT(EL$44-1-1),MIN($N152,INT(EL$44-1-1)+1),$DC152,IF($DD152="No",1,0))/
IF(DS152&gt;=INT($N152),$N152-INT($N152),1)))*
IF(EL$44=1,0,
IF(INT(DT152)=INT(DS152),DT152-DS152,INT(DT152)-DS152))+
IF($N152&lt;=1,
IF($N152&gt;0,1/$N152,0),VDB(1,0,$N152,INT(EL$44-1),MIN($N152,INT(EL$44-1)+1),$DC152,IF($DD152="No",1,0))/
IF(DT152&gt;INT($N152),$N152-INT($N152),1))*
IF(EL$44=1,DT152,
IF(INT(DT152)=INT(DS152),0,DT152-INT(DT152)))))</f>
        <v>0</v>
      </c>
      <c r="EM152" s="836">
        <f>+IF(DU152=DT152,0,
IF(AND(EM$44&gt;1,DU152=$N152),1-SUM($EE152:EL152),
IF($N152&lt;=1,
IF($N152&gt;0,1/$N152,0),
IF(EM$44=1,0,VDB(1,0,$N152,INT(EM$44-1-1),MIN($N152,INT(EM$44-1-1)+1),$DC152,IF($DD152="No",1,0))/
IF(DT152&gt;=INT($N152),$N152-INT($N152),1)))*
IF(EM$44=1,0,
IF(INT(DU152)=INT(DT152),DU152-DT152,INT(DU152)-DT152))+
IF($N152&lt;=1,
IF($N152&gt;0,1/$N152,0),VDB(1,0,$N152,INT(EM$44-1),MIN($N152,INT(EM$44-1)+1),$DC152,IF($DD152="No",1,0))/
IF(DU152&gt;INT($N152),$N152-INT($N152),1))*
IF(EM$44=1,DU152,
IF(INT(DU152)=INT(DT152),0,DU152-INT(DU152)))))</f>
        <v>0</v>
      </c>
      <c r="EN152" s="833"/>
      <c r="EO152" s="834">
        <f>+IF(OR(DW152=DV152,EO$44=1),0,
IF(AND(EO$44&gt;1,DW152=$N152),1-SUM($EN152:EN152),
IF($N152&lt;=1,
IF($N152&gt;0,1/$N152,0),
IF(EO$44=2,0,VDB(1,0,$N152,INT(EO$44-2-1),MIN($N152,INT(EO$44-2-1)+1),$DC152,IF($DD152="No",1,0))/
IF(DV152&gt;=INT($N152),$N152-INT($N152),1)))*
IF(EO$44=2,0,
IF(INT(DW152)=INT(DV152),DW152-DV152,INT(DW152)-DV152))+
IF($N152&lt;=1,
IF($N152&gt;0,1/$N152,0),VDB(1,0,$N152,INT(EO$44-2),MIN($N152,INT(EO$44-2)+1),$DC152,IF($DD152="No",1,0))/
IF(DW152&gt;INT($N152),$N152-INT($N152),1))*
IF(EO$44=2,DW152,
IF(INT(DW152)=INT(DV152),0,DW152-INT(DW152)))))</f>
        <v>0</v>
      </c>
      <c r="EP152" s="835">
        <f>+IF(OR(DX152=DW152,EP$44=1),0,
IF(AND(EP$44&gt;1,DX152=$N152),1-SUM($EN152:EO152),
IF($N152&lt;=1,
IF($N152&gt;0,1/$N152,0),
IF(EP$44=2,0,VDB(1,0,$N152,INT(EP$44-2-1),MIN($N152,INT(EP$44-2-1)+1),$DC152,IF($DD152="No",1,0))/
IF(DW152&gt;=INT($N152),$N152-INT($N152),1)))*
IF(EP$44=2,0,
IF(INT(DX152)=INT(DW152),DX152-DW152,INT(DX152)-DW152))+
IF($N152&lt;=1,
IF($N152&gt;0,1/$N152,0),VDB(1,0,$N152,INT(EP$44-2),MIN($N152,INT(EP$44-2)+1),$DC152,IF($DD152="No",1,0))/
IF(DX152&gt;INT($N152),$N152-INT($N152),1))*
IF(EP$44=2,DX152,
IF(INT(DX152)=INT(DW152),0,DX152-INT(DX152)))))</f>
        <v>0</v>
      </c>
      <c r="EQ152" s="836">
        <f>+IF(OR(DY152=DX152,EQ$44=1),0,
IF(AND(EQ$44&gt;1,DY152=$N152),1-SUM($EN152:EP152),
IF($N152&lt;=1,
IF($N152&gt;0,1/$N152,0),
IF(EQ$44=2,0,VDB(1,0,$N152,INT(EQ$44-2-1),MIN($N152,INT(EQ$44-2-1)+1),$DC152,IF($DD152="No",1,0))/
IF(DX152&gt;=INT($N152),$N152-INT($N152),1)))*
IF(EQ$44=2,0,
IF(INT(DY152)=INT(DX152),DY152-DX152,INT(DY152)-DX152))+
IF($N152&lt;=1,
IF($N152&gt;0,1/$N152,0),VDB(1,0,$N152,INT(EQ$44-2),MIN($N152,INT(EQ$44-2)+1),$DC152,IF($DD152="No",1,0))/
IF(DY152&gt;INT($N152),$N152-INT($N152),1))*
IF(EQ$44=2,DY152,
IF(INT(DY152)=INT(DX152),0,DY152-INT(DY152)))))</f>
        <v>0</v>
      </c>
      <c r="ER152" s="834">
        <f>+IF(OR(DZ152=DY152,ER$44=1),0,
IF(AND(ER$44&gt;1,DZ152=$N152),1-SUM($EN152:EQ152),
IF($N152&lt;=1,
IF($N152&gt;0,1/$N152,0),
IF(ER$44=2,0,VDB(1,0,$N152,INT(ER$44-2-1),MIN($N152,INT(ER$44-2-1)+1),$DC152,IF($DD152="No",1,0))/
IF(DY152&gt;=INT($N152),$N152-INT($N152),1)))*
IF(ER$44=2,0,
IF(INT(DZ152)=INT(DY152),DZ152-DY152,INT(DZ152)-DY152))+
IF($N152&lt;=1,
IF($N152&gt;0,1/$N152,0),VDB(1,0,$N152,INT(ER$44-2),MIN($N152,INT(ER$44-2)+1),$DC152,IF($DD152="No",1,0))/
IF(DZ152&gt;INT($N152),$N152-INT($N152),1))*
IF(ER$44=2,DZ152,
IF(INT(DZ152)=INT(DY152),0,DZ152-INT(DZ152)))))</f>
        <v>0</v>
      </c>
      <c r="ES152" s="835">
        <f>+IF(OR(EA152=DZ152,ES$44=1),0,
IF(AND(ES$44&gt;1,EA152=$N152),1-SUM($EN152:ER152),
IF($N152&lt;=1,
IF($N152&gt;0,1/$N152,0),
IF(ES$44=2,0,VDB(1,0,$N152,INT(ES$44-2-1),MIN($N152,INT(ES$44-2-1)+1),$DC152,IF($DD152="No",1,0))/
IF(DZ152&gt;=INT($N152),$N152-INT($N152),1)))*
IF(ES$44=2,0,
IF(INT(EA152)=INT(DZ152),EA152-DZ152,INT(EA152)-DZ152))+
IF($N152&lt;=1,
IF($N152&gt;0,1/$N152,0),VDB(1,0,$N152,INT(ES$44-2),MIN($N152,INT(ES$44-2)+1),$DC152,IF($DD152="No",1,0))/
IF(EA152&gt;INT($N152),$N152-INT($N152),1))*
IF(ES$44=2,EA152,
IF(INT(EA152)=INT(DZ152),0,EA152-INT(EA152)))))</f>
        <v>0</v>
      </c>
      <c r="ET152" s="835">
        <f>+IF(OR(EB152=EA152,ET$44=1),0,
IF(AND(ET$44&gt;1,EB152=$N152),1-SUM($EN152:ES152),
IF($N152&lt;=1,
IF($N152&gt;0,1/$N152,0),
IF(ET$44=2,0,VDB(1,0,$N152,INT(ET$44-2-1),MIN($N152,INT(ET$44-2-1)+1),$DC152,IF($DD152="No",1,0))/
IF(EA152&gt;=INT($N152),$N152-INT($N152),1)))*
IF(ET$44=2,0,
IF(INT(EB152)=INT(EA152),EB152-EA152,INT(EB152)-EA152))+
IF($N152&lt;=1,
IF($N152&gt;0,1/$N152,0),VDB(1,0,$N152,INT(ET$44-2),MIN($N152,INT(ET$44-2)+1),$DC152,IF($DD152="No",1,0))/
IF(EB152&gt;INT($N152),$N152-INT($N152),1))*
IF(ET$44=2,EB152,
IF(INT(EB152)=INT(EA152),0,EB152-INT(EB152)))))</f>
        <v>0</v>
      </c>
      <c r="EU152" s="835">
        <f>+IF(OR(EC152=EB152,EU$44=1),0,
IF(AND(EU$44&gt;1,EC152=$N152),1-SUM($EN152:ET152),
IF($N152&lt;=1,
IF($N152&gt;0,1/$N152,0),
IF(EU$44=2,0,VDB(1,0,$N152,INT(EU$44-2-1),MIN($N152,INT(EU$44-2-1)+1),$DC152,IF($DD152="No",1,0))/
IF(EB152&gt;=INT($N152),$N152-INT($N152),1)))*
IF(EU$44=2,0,
IF(INT(EC152)=INT(EB152),EC152-EB152,INT(EC152)-EB152))+
IF($N152&lt;=1,
IF($N152&gt;0,1/$N152,0),VDB(1,0,$N152,INT(EU$44-2),MIN($N152,INT(EU$44-2)+1),$DC152,IF($DD152="No",1,0))/
IF(EC152&gt;INT($N152),$N152-INT($N152),1))*
IF(EU$44=2,EC152,
IF(INT(EC152)=INT(EB152),0,EC152-INT(EC152)))))</f>
        <v>0</v>
      </c>
      <c r="EV152" s="836">
        <f>+IF(OR(ED152=EC152,EV$44=1),0,
IF(AND(EV$44&gt;1,ED152=$N152),1-SUM($EN152:EU152),
IF($N152&lt;=1,
IF($N152&gt;0,1/$N152,0),
IF(EV$44=2,0,VDB(1,0,$N152,INT(EV$44-2-1),MIN($N152,INT(EV$44-2-1)+1),$DC152,IF($DD152="No",1,0))/
IF(EC152&gt;=INT($N152),$N152-INT($N152),1)))*
IF(EV$44=2,0,
IF(INT(ED152)=INT(EC152),ED152-EC152,INT(ED152)-EC152))+
IF($N152&lt;=1,
IF($N152&gt;0,1/$N152,0),VDB(1,0,$N152,INT(EV$44-2),MIN($N152,INT(EV$44-2)+1),$DC152,IF($DD152="No",1,0))/
IF(ED152&gt;INT($N152),$N152-INT($N152),1))*
IF(EV$44=2,ED152,
IF(INT(ED152)=INT(EC152),0,ED152-INT(ED152)))))</f>
        <v>0</v>
      </c>
      <c r="EW152" s="833"/>
      <c r="EX152" s="834">
        <f t="shared" ca="1" si="303"/>
        <v>0</v>
      </c>
      <c r="EY152" s="835">
        <f t="shared" ca="1" si="303"/>
        <v>0</v>
      </c>
      <c r="EZ152" s="836">
        <f t="shared" ca="1" si="303"/>
        <v>0</v>
      </c>
      <c r="FA152" s="834">
        <f t="shared" ca="1" si="303"/>
        <v>0</v>
      </c>
      <c r="FB152" s="835">
        <f t="shared" ca="1" si="303"/>
        <v>0</v>
      </c>
      <c r="FC152" s="835">
        <f t="shared" ca="1" si="303"/>
        <v>0</v>
      </c>
      <c r="FD152" s="835">
        <f t="shared" ca="1" si="303"/>
        <v>0</v>
      </c>
      <c r="FE152" s="836">
        <f t="shared" ca="1" si="303"/>
        <v>0</v>
      </c>
      <c r="FG152" s="386">
        <f t="shared" ca="1" si="293"/>
        <v>0</v>
      </c>
      <c r="FH152" s="387">
        <f t="shared" ca="1" si="294"/>
        <v>0</v>
      </c>
      <c r="FI152" s="388">
        <f t="shared" ca="1" si="295"/>
        <v>0</v>
      </c>
      <c r="FJ152" s="386">
        <f t="shared" ca="1" si="296"/>
        <v>0</v>
      </c>
      <c r="FK152" s="387">
        <f t="shared" ca="1" si="297"/>
        <v>0</v>
      </c>
      <c r="FL152" s="387">
        <f t="shared" ca="1" si="298"/>
        <v>0</v>
      </c>
      <c r="FM152" s="387">
        <f t="shared" ca="1" si="299"/>
        <v>0</v>
      </c>
      <c r="FN152" s="388">
        <f t="shared" ca="1" si="300"/>
        <v>0</v>
      </c>
      <c r="FR152" s="116"/>
    </row>
    <row r="153" spans="2:174">
      <c r="B153" s="1410">
        <f t="shared" si="302"/>
        <v>107</v>
      </c>
      <c r="C153" s="400" t="s">
        <v>658</v>
      </c>
      <c r="D153" s="410"/>
      <c r="E153" s="402" t="s">
        <v>420</v>
      </c>
      <c r="F153" s="402" t="s">
        <v>527</v>
      </c>
      <c r="G153" s="400" t="s">
        <v>522</v>
      </c>
      <c r="H153" s="2088" t="s">
        <v>483</v>
      </c>
      <c r="I153" s="2089"/>
      <c r="J153" s="411" t="s">
        <v>516</v>
      </c>
      <c r="K153" s="403" t="s">
        <v>544</v>
      </c>
      <c r="L153" s="403">
        <v>25</v>
      </c>
      <c r="M153" s="403" t="s">
        <v>142</v>
      </c>
      <c r="N153" s="403"/>
      <c r="O153" s="347"/>
      <c r="P153" s="347"/>
      <c r="Q153" s="1021">
        <v>12.888771390243905</v>
      </c>
      <c r="R153" s="1022">
        <v>10.977704727882214</v>
      </c>
      <c r="S153" s="1022">
        <v>0.84504738396671564</v>
      </c>
      <c r="T153" s="1022">
        <v>0.78120460601178954</v>
      </c>
      <c r="U153" s="1023">
        <v>0.85624189055040489</v>
      </c>
      <c r="V153" s="1021">
        <v>0.20388699999999996</v>
      </c>
      <c r="W153" s="1022">
        <v>0.11545797000000001</v>
      </c>
      <c r="X153" s="1022">
        <v>0.11545797000000001</v>
      </c>
      <c r="Y153" s="1022">
        <v>0.21581168000000001</v>
      </c>
      <c r="Z153" s="1023">
        <v>0.21581168000000003</v>
      </c>
      <c r="AA153" s="1024"/>
      <c r="AB153" s="1021">
        <v>0</v>
      </c>
      <c r="AC153" s="1022">
        <v>0</v>
      </c>
      <c r="AD153" s="1022">
        <v>0</v>
      </c>
      <c r="AE153" s="1022">
        <v>0</v>
      </c>
      <c r="AF153" s="1023">
        <v>0</v>
      </c>
      <c r="AG153" s="1021">
        <v>0</v>
      </c>
      <c r="AH153" s="1022">
        <v>0</v>
      </c>
      <c r="AI153" s="1022">
        <v>0</v>
      </c>
      <c r="AJ153" s="1022">
        <v>0</v>
      </c>
      <c r="AK153" s="1023">
        <v>0</v>
      </c>
      <c r="AL153" s="1024"/>
      <c r="AM153" s="1021">
        <v>0</v>
      </c>
      <c r="AN153" s="1022">
        <v>0</v>
      </c>
      <c r="AO153" s="1022">
        <v>0</v>
      </c>
      <c r="AP153" s="1022">
        <v>0</v>
      </c>
      <c r="AQ153" s="1023">
        <v>0</v>
      </c>
      <c r="AR153" s="1021">
        <v>0</v>
      </c>
      <c r="AS153" s="1022">
        <v>0</v>
      </c>
      <c r="AT153" s="1022">
        <v>0</v>
      </c>
      <c r="AU153" s="1022">
        <v>0</v>
      </c>
      <c r="AV153" s="1023">
        <v>0</v>
      </c>
      <c r="AW153" s="1025"/>
      <c r="AX153" s="1282">
        <f t="shared" si="247"/>
        <v>12.888771390243905</v>
      </c>
      <c r="AY153" s="387">
        <f t="shared" si="248"/>
        <v>10.977704727882214</v>
      </c>
      <c r="AZ153" s="387">
        <f t="shared" si="249"/>
        <v>0.84504738396671564</v>
      </c>
      <c r="BA153" s="387">
        <f t="shared" si="250"/>
        <v>0.78120460601178954</v>
      </c>
      <c r="BB153" s="1283">
        <f t="shared" si="251"/>
        <v>0.85624189055040489</v>
      </c>
      <c r="BC153" s="386">
        <f t="shared" si="252"/>
        <v>0.20388699999999996</v>
      </c>
      <c r="BD153" s="387">
        <f t="shared" si="253"/>
        <v>0.11545797000000001</v>
      </c>
      <c r="BE153" s="1277">
        <f t="shared" si="254"/>
        <v>0.11545797000000001</v>
      </c>
      <c r="BF153" s="1277">
        <f t="shared" si="255"/>
        <v>0.21581168000000001</v>
      </c>
      <c r="BG153" s="388">
        <f t="shared" si="256"/>
        <v>0.21581168000000003</v>
      </c>
      <c r="BH153" s="1025"/>
      <c r="BI153" s="1282">
        <f t="shared" ca="1" si="257"/>
        <v>0.25777542780487811</v>
      </c>
      <c r="BJ153" s="387">
        <f t="shared" ca="1" si="258"/>
        <v>0.73510495016740052</v>
      </c>
      <c r="BK153" s="387">
        <f t="shared" ca="1" si="259"/>
        <v>0.97155999240437918</v>
      </c>
      <c r="BL153" s="387">
        <f t="shared" ca="1" si="260"/>
        <v>1.0040850322039492</v>
      </c>
      <c r="BM153" s="1283">
        <f t="shared" ca="1" si="261"/>
        <v>1.036833962135193</v>
      </c>
      <c r="BN153" s="386">
        <f t="shared" ca="1" si="262"/>
        <v>1.0580365399462013</v>
      </c>
      <c r="BO153" s="387">
        <f t="shared" ca="1" si="263"/>
        <v>1.0644234393462013</v>
      </c>
      <c r="BP153" s="1277">
        <f t="shared" ca="1" si="264"/>
        <v>1.0690417581462013</v>
      </c>
      <c r="BQ153" s="1277">
        <f t="shared" ca="1" si="265"/>
        <v>1.0756671511462013</v>
      </c>
      <c r="BR153" s="388">
        <f t="shared" ca="1" si="266"/>
        <v>1.0842996183462015</v>
      </c>
      <c r="BS153" s="1025"/>
      <c r="BT153" s="1282">
        <f>+IF($K153="Ongoing",AX153,IF(RIGHT($K153,2)=RIGHT(BT$43,2),SUM($AX153:AX153),0)+IF(RIGHT(BT$43,2)&gt;RIGHT($K153,2),AX153,0))</f>
        <v>12.888771390243905</v>
      </c>
      <c r="BU153" s="387">
        <f>+IF($K153="Ongoing",AY153,IF(RIGHT($K153,2)=RIGHT(BU$43,2),SUM($AX153:AY153),0)+IF(RIGHT(BU$43,2)&gt;RIGHT($K153,2),AY153,0))</f>
        <v>10.977704727882214</v>
      </c>
      <c r="BV153" s="387">
        <f>+IF($K153="Ongoing",AZ153,IF(RIGHT($K153,2)=RIGHT(BV$43,2),SUM($AX153:AZ153),0)+IF(RIGHT(BV$43,2)&gt;RIGHT($K153,2),AZ153,0))</f>
        <v>0.84504738396671564</v>
      </c>
      <c r="BW153" s="387">
        <f>+IF($K153="Ongoing",BA153,IF(RIGHT($K153,2)=RIGHT(BW$43,2),SUM($AX153:BA153),0)+IF(RIGHT(BW$43,2)&gt;RIGHT($K153,2),BA153,0))</f>
        <v>0.78120460601178954</v>
      </c>
      <c r="BX153" s="1283">
        <f>+IF($K153="Ongoing",BB153,IF(RIGHT($K153,2)=RIGHT(BX$43,2),SUM($AX153:BB153),0)+IF(RIGHT(BX$43,2)&gt;RIGHT($K153,2),BB153,0))</f>
        <v>0.85624189055040489</v>
      </c>
      <c r="BY153" s="386">
        <f>+IF($K153="Ongoing",BC153,IF(RIGHT($K153,2)=RIGHT(BY$43,2),SUM($AX153:BC153),0)+IF(RIGHT(BY$43,2)&gt;RIGHT($K153,2),BC153,0))</f>
        <v>0.20388699999999996</v>
      </c>
      <c r="BZ153" s="387">
        <f>+IF($K153="Ongoing",BD153,IF(RIGHT($K153,2)=RIGHT(BZ$43,2),SUM($AX153:BD153),0)+IF(RIGHT(BZ$43,2)&gt;RIGHT($K153,2),BD153,0))</f>
        <v>0.11545797000000001</v>
      </c>
      <c r="CA153" s="1277">
        <f>+IF($K153="Ongoing",BE153,IF(RIGHT($K153,2)=RIGHT(CA$43,2),SUM($AX153:BE153),0)+IF(RIGHT(CA$43,2)&gt;RIGHT($K153,2),BE153,0))</f>
        <v>0.11545797000000001</v>
      </c>
      <c r="CB153" s="1277">
        <f>+IF($K153="Ongoing",BF153,IF(RIGHT($K153,2)=RIGHT(CB$43,2),SUM($AX153:BF153),0)+IF(RIGHT(CB$43,2)&gt;RIGHT($K153,2),BF153,0))</f>
        <v>0.21581168000000001</v>
      </c>
      <c r="CC153" s="388">
        <f>+IF($K153="Ongoing",BG153,IF(RIGHT($K153,2)=RIGHT(CC$43,2),SUM($AX153:BG153),0)+IF(RIGHT(CC$43,2)&gt;RIGHT($K153,2),BG153,0))</f>
        <v>0.21581168000000003</v>
      </c>
      <c r="CD153" s="1025"/>
      <c r="CE153" s="1282">
        <f>+Q153*KeyAssumptionsPriceControl_FO!AF$15</f>
        <v>13.262545760560977</v>
      </c>
      <c r="CF153" s="387">
        <f>+R153*KeyAssumptionsPriceControl_FO!AG$15</f>
        <v>11.623643851775531</v>
      </c>
      <c r="CG153" s="387">
        <f>+S153*KeyAssumptionsPriceControl_FO!AH$15</f>
        <v>0.92071917078221532</v>
      </c>
      <c r="CH153" s="387">
        <f>+T153*KeyAssumptionsPriceControl_FO!AI$15</f>
        <v>0.8758430624788115</v>
      </c>
      <c r="CI153" s="1283">
        <f>+U153*KeyAssumptionsPriceControl_FO!AJ$15</f>
        <v>0.98780983339503647</v>
      </c>
      <c r="CJ153" s="386">
        <f>+V153*KeyAssumptionsPriceControl_FO!AK$15</f>
        <v>0.24203701279989515</v>
      </c>
      <c r="CK153" s="387">
        <f>+W153*KeyAssumptionsPriceControl_FO!AL$15</f>
        <v>0.14103650613064772</v>
      </c>
      <c r="CL153" s="1277">
        <f>+X153*KeyAssumptionsPriceControl_FO!AM$15</f>
        <v>0.1451265648084365</v>
      </c>
      <c r="CM153" s="1277">
        <f>+Y153*KeyAssumptionsPriceControl_FO!AN$15</f>
        <v>0.27913437235291544</v>
      </c>
      <c r="CN153" s="388">
        <f>+Z153*KeyAssumptionsPriceControl_FO!AO$15</f>
        <v>0.28722926915115005</v>
      </c>
      <c r="CO153" s="1025"/>
      <c r="CP153" s="1282">
        <f t="shared" ca="1" si="267"/>
        <v>0</v>
      </c>
      <c r="CQ153" s="387">
        <f t="shared" ca="1" si="268"/>
        <v>0</v>
      </c>
      <c r="CR153" s="387">
        <f t="shared" ca="1" si="269"/>
        <v>0</v>
      </c>
      <c r="CS153" s="387">
        <f t="shared" ca="1" si="270"/>
        <v>0</v>
      </c>
      <c r="CT153" s="1283">
        <f t="shared" ca="1" si="271"/>
        <v>0</v>
      </c>
      <c r="CU153" s="386">
        <f t="shared" ca="1" si="272"/>
        <v>0</v>
      </c>
      <c r="CV153" s="387">
        <f t="shared" ca="1" si="273"/>
        <v>0</v>
      </c>
      <c r="CW153" s="1277">
        <f t="shared" ca="1" si="274"/>
        <v>0</v>
      </c>
      <c r="CX153" s="1277">
        <f t="shared" ca="1" si="275"/>
        <v>0</v>
      </c>
      <c r="CY153" s="388">
        <f t="shared" ca="1" si="276"/>
        <v>0</v>
      </c>
      <c r="CZ153" s="347"/>
      <c r="DA153" s="852"/>
      <c r="DB153" s="347"/>
      <c r="DC153" s="1012" t="s">
        <v>662</v>
      </c>
      <c r="DD153" s="841" t="s">
        <v>518</v>
      </c>
      <c r="DE153" s="386">
        <f>+IF($K153="ongoing",CE153,IF(RIGHT($K153,2)=RIGHT(DE$43,2),SUM($CD153:CE153),0)+IF(RIGHT(DE$43,2)&gt;RIGHT($K153,2),CE153,0))</f>
        <v>13.262545760560977</v>
      </c>
      <c r="DF153" s="387">
        <f>+IF($K153="ongoing",CF153,IF(RIGHT($K153,2)=RIGHT(DF$43,2),SUM($CD153:CF153),0)+IF(RIGHT(DF$43,2)&gt;RIGHT($K153,2),CF153,0))</f>
        <v>11.623643851775531</v>
      </c>
      <c r="DG153" s="388">
        <f>+IF($K153="ongoing",CG153,IF(RIGHT($K153,2)=RIGHT(DG$43,2),SUM($CD153:CG153),0)+IF(RIGHT(DG$43,2)&gt;RIGHT($K153,2),CG153,0))</f>
        <v>0.92071917078221532</v>
      </c>
      <c r="DH153" s="386">
        <f>+IF($K153="ongoing",CH153,IF(RIGHT($K153,2)=RIGHT(DH$43,2),SUM($CD153:CH153),0)+IF(RIGHT(DH$43,2)&gt;RIGHT($K153,2),CH153,0))</f>
        <v>0.8758430624788115</v>
      </c>
      <c r="DI153" s="387">
        <f>+IF($K153="ongoing",CI153,IF(RIGHT($K153,2)=RIGHT(DI$43,2),SUM($CD153:CI153),0)+IF(RIGHT(DI$43,2)&gt;RIGHT($K153,2),CI153,0))</f>
        <v>0.98780983339503647</v>
      </c>
      <c r="DJ153" s="387">
        <f>+IF($K153="ongoing",CJ153,IF(RIGHT($K153,2)=RIGHT(DJ$43,2),SUM($CD153:CJ153),0)+IF(RIGHT(DJ$43,2)&gt;RIGHT($K153,2),CJ153,0))</f>
        <v>0.24203701279989515</v>
      </c>
      <c r="DK153" s="387">
        <f>+IF($K153="ongoing",CK153,IF(RIGHT($K153,2)=RIGHT(DK$43,2),SUM($CD153:CK153),0)+IF(RIGHT(DK$43,2)&gt;RIGHT($K153,2),CK153,0))</f>
        <v>0.14103650613064772</v>
      </c>
      <c r="DL153" s="388">
        <f>+IF($K153="ongoing",CN153,IF(RIGHT($K153,2)=RIGHT(DL$43,2),SUM($CD153:CN153),0)+IF(RIGHT(DL$43,2)&gt;RIGHT($K153,2),CN153,0))</f>
        <v>0.28722926915115005</v>
      </c>
      <c r="DM153" s="841"/>
      <c r="DN153" s="386">
        <f t="shared" si="277"/>
        <v>0.5</v>
      </c>
      <c r="DO153" s="387">
        <f t="shared" si="278"/>
        <v>1</v>
      </c>
      <c r="DP153" s="388">
        <f t="shared" si="279"/>
        <v>1</v>
      </c>
      <c r="DQ153" s="386">
        <f t="shared" si="280"/>
        <v>1</v>
      </c>
      <c r="DR153" s="387">
        <f t="shared" si="281"/>
        <v>1</v>
      </c>
      <c r="DS153" s="387">
        <f t="shared" si="282"/>
        <v>1</v>
      </c>
      <c r="DT153" s="387">
        <f t="shared" si="283"/>
        <v>1</v>
      </c>
      <c r="DU153" s="388">
        <f t="shared" si="284"/>
        <v>1</v>
      </c>
      <c r="DW153" s="386">
        <f t="shared" si="285"/>
        <v>0</v>
      </c>
      <c r="DX153" s="387">
        <f t="shared" si="286"/>
        <v>0.5</v>
      </c>
      <c r="DY153" s="388">
        <f t="shared" si="287"/>
        <v>1</v>
      </c>
      <c r="DZ153" s="386">
        <f t="shared" si="288"/>
        <v>1</v>
      </c>
      <c r="EA153" s="387">
        <f t="shared" si="289"/>
        <v>1</v>
      </c>
      <c r="EB153" s="387">
        <f t="shared" si="290"/>
        <v>1</v>
      </c>
      <c r="EC153" s="387">
        <f t="shared" si="291"/>
        <v>1</v>
      </c>
      <c r="ED153" s="388">
        <f t="shared" si="292"/>
        <v>1</v>
      </c>
      <c r="EF153" s="834">
        <f>+IF(DN153=DM153,0,
IF(AND(EF$44&gt;1,DN153=$N153),1-SUM($EE153:EE153),
IF($N153&lt;=1,
IF($N153&gt;0,1/$N153,0),
IF(EF$44=1,0,VDB(1,0,$N153,INT(EF$44-1-1),MIN($N153,INT(EF$44-1-1)+1),$DC153,IF($DD153="No",1,0))/
IF(DM153&gt;=INT($N153),$N153-INT($N153),1)))*
IF(EF$44=1,0,
IF(INT(DN153)=INT(DM153),DN153-DM153,INT(DN153)-DM153))+
IF($N153&lt;=1,
IF($N153&gt;0,1/$N153,0),VDB(1,0,$N153,INT(EF$44-1),MIN($N153,INT(EF$44-1)+1),$DC153,IF($DD153="No",1,0))/
IF(DN153&gt;INT($N153),$N153-INT($N153),1))*
IF(EF$44=1,DN153,
IF(INT(DN153)=INT(DM153),0,DN153-INT(DN153)))))</f>
        <v>0</v>
      </c>
      <c r="EG153" s="835">
        <f>+IF(DO153=DN153,0,
IF(AND(EG$44&gt;1,DO153=$N153),1-SUM($EE153:EF153),
IF($N153&lt;=1,
IF($N153&gt;0,1/$N153,0),
IF(EG$44=1,0,VDB(1,0,$N153,INT(EG$44-1-1),MIN($N153,INT(EG$44-1-1)+1),$DC153,IF($DD153="No",1,0))/
IF(DN153&gt;=INT($N153),$N153-INT($N153),1)))*
IF(EG$44=1,0,
IF(INT(DO153)=INT(DN153),DO153-DN153,INT(DO153)-DN153))+
IF($N153&lt;=1,
IF($N153&gt;0,1/$N153,0),VDB(1,0,$N153,INT(EG$44-1),MIN($N153,INT(EG$44-1)+1),$DC153,IF($DD153="No",1,0))/
IF(DO153&gt;INT($N153),$N153-INT($N153),1))*
IF(EG$44=1,DO153,
IF(INT(DO153)=INT(DN153),0,DO153-INT(DO153)))))</f>
        <v>0</v>
      </c>
      <c r="EH153" s="836">
        <f>+IF(DP153=DO153,0,
IF(AND(EH$44&gt;1,DP153=$N153),1-SUM($EE153:EG153),
IF($N153&lt;=1,
IF($N153&gt;0,1/$N153,0),
IF(EH$44=1,0,VDB(1,0,$N153,INT(EH$44-1-1),MIN($N153,INT(EH$44-1-1)+1),$DC153,IF($DD153="No",1,0))/
IF(DO153&gt;=INT($N153),$N153-INT($N153),1)))*
IF(EH$44=1,0,
IF(INT(DP153)=INT(DO153),DP153-DO153,INT(DP153)-DO153))+
IF($N153&lt;=1,
IF($N153&gt;0,1/$N153,0),VDB(1,0,$N153,INT(EH$44-1),MIN($N153,INT(EH$44-1)+1),$DC153,IF($DD153="No",1,0))/
IF(DP153&gt;INT($N153),$N153-INT($N153),1))*
IF(EH$44=1,DP153,
IF(INT(DP153)=INT(DO153),0,DP153-INT(DP153)))))</f>
        <v>0</v>
      </c>
      <c r="EI153" s="834">
        <f>+IF(DQ153=DP153,0,
IF(AND(EI$44&gt;1,DQ153=$N153),1-SUM($EE153:EH153),
IF($N153&lt;=1,
IF($N153&gt;0,1/$N153,0),
IF(EI$44=1,0,VDB(1,0,$N153,INT(EI$44-1-1),MIN($N153,INT(EI$44-1-1)+1),$DC153,IF($DD153="No",1,0))/
IF(DP153&gt;=INT($N153),$N153-INT($N153),1)))*
IF(EI$44=1,0,
IF(INT(DQ153)=INT(DP153),DQ153-DP153,INT(DQ153)-DP153))+
IF($N153&lt;=1,
IF($N153&gt;0,1/$N153,0),VDB(1,0,$N153,INT(EI$44-1),MIN($N153,INT(EI$44-1)+1),$DC153,IF($DD153="No",1,0))/
IF(DQ153&gt;INT($N153),$N153-INT($N153),1))*
IF(EI$44=1,DQ153,
IF(INT(DQ153)=INT(DP153),0,DQ153-INT(DQ153)))))</f>
        <v>0</v>
      </c>
      <c r="EJ153" s="835">
        <f>+IF(DR153=DQ153,0,
IF(AND(EJ$44&gt;1,DR153=$N153),1-SUM($EE153:EI153),
IF($N153&lt;=1,
IF($N153&gt;0,1/$N153,0),
IF(EJ$44=1,0,VDB(1,0,$N153,INT(EJ$44-1-1),MIN($N153,INT(EJ$44-1-1)+1),$DC153,IF($DD153="No",1,0))/
IF(DQ153&gt;=INT($N153),$N153-INT($N153),1)))*
IF(EJ$44=1,0,
IF(INT(DR153)=INT(DQ153),DR153-DQ153,INT(DR153)-DQ153))+
IF($N153&lt;=1,
IF($N153&gt;0,1/$N153,0),VDB(1,0,$N153,INT(EJ$44-1),MIN($N153,INT(EJ$44-1)+1),$DC153,IF($DD153="No",1,0))/
IF(DR153&gt;INT($N153),$N153-INT($N153),1))*
IF(EJ$44=1,DR153,
IF(INT(DR153)=INT(DQ153),0,DR153-INT(DR153)))))</f>
        <v>0</v>
      </c>
      <c r="EK153" s="835">
        <f>+IF(DS153=DR153,0,
IF(AND(EK$44&gt;1,DS153=$N153),1-SUM($EE153:EJ153),
IF($N153&lt;=1,
IF($N153&gt;0,1/$N153,0),
IF(EK$44=1,0,VDB(1,0,$N153,INT(EK$44-1-1),MIN($N153,INT(EK$44-1-1)+1),$DC153,IF($DD153="No",1,0))/
IF(DR153&gt;=INT($N153),$N153-INT($N153),1)))*
IF(EK$44=1,0,
IF(INT(DS153)=INT(DR153),DS153-DR153,INT(DS153)-DR153))+
IF($N153&lt;=1,
IF($N153&gt;0,1/$N153,0),VDB(1,0,$N153,INT(EK$44-1),MIN($N153,INT(EK$44-1)+1),$DC153,IF($DD153="No",1,0))/
IF(DS153&gt;INT($N153),$N153-INT($N153),1))*
IF(EK$44=1,DS153,
IF(INT(DS153)=INT(DR153),0,DS153-INT(DS153)))))</f>
        <v>0</v>
      </c>
      <c r="EL153" s="835">
        <f>+IF(DT153=DS153,0,
IF(AND(EL$44&gt;1,DT153=$N153),1-SUM($EE153:EK153),
IF($N153&lt;=1,
IF($N153&gt;0,1/$N153,0),
IF(EL$44=1,0,VDB(1,0,$N153,INT(EL$44-1-1),MIN($N153,INT(EL$44-1-1)+1),$DC153,IF($DD153="No",1,0))/
IF(DS153&gt;=INT($N153),$N153-INT($N153),1)))*
IF(EL$44=1,0,
IF(INT(DT153)=INT(DS153),DT153-DS153,INT(DT153)-DS153))+
IF($N153&lt;=1,
IF($N153&gt;0,1/$N153,0),VDB(1,0,$N153,INT(EL$44-1),MIN($N153,INT(EL$44-1)+1),$DC153,IF($DD153="No",1,0))/
IF(DT153&gt;INT($N153),$N153-INT($N153),1))*
IF(EL$44=1,DT153,
IF(INT(DT153)=INT(DS153),0,DT153-INT(DT153)))))</f>
        <v>0</v>
      </c>
      <c r="EM153" s="836">
        <f>+IF(DU153=DT153,0,
IF(AND(EM$44&gt;1,DU153=$N153),1-SUM($EE153:EL153),
IF($N153&lt;=1,
IF($N153&gt;0,1/$N153,0),
IF(EM$44=1,0,VDB(1,0,$N153,INT(EM$44-1-1),MIN($N153,INT(EM$44-1-1)+1),$DC153,IF($DD153="No",1,0))/
IF(DT153&gt;=INT($N153),$N153-INT($N153),1)))*
IF(EM$44=1,0,
IF(INT(DU153)=INT(DT153),DU153-DT153,INT(DU153)-DT153))+
IF($N153&lt;=1,
IF($N153&gt;0,1/$N153,0),VDB(1,0,$N153,INT(EM$44-1),MIN($N153,INT(EM$44-1)+1),$DC153,IF($DD153="No",1,0))/
IF(DU153&gt;INT($N153),$N153-INT($N153),1))*
IF(EM$44=1,DU153,
IF(INT(DU153)=INT(DT153),0,DU153-INT(DU153)))))</f>
        <v>0</v>
      </c>
      <c r="EN153" s="833"/>
      <c r="EO153" s="834">
        <f>+IF(OR(DW153=DV153,EO$44=1),0,
IF(AND(EO$44&gt;1,DW153=$N153),1-SUM($EN153:EN153),
IF($N153&lt;=1,
IF($N153&gt;0,1/$N153,0),
IF(EO$44=2,0,VDB(1,0,$N153,INT(EO$44-2-1),MIN($N153,INT(EO$44-2-1)+1),$DC153,IF($DD153="No",1,0))/
IF(DV153&gt;=INT($N153),$N153-INT($N153),1)))*
IF(EO$44=2,0,
IF(INT(DW153)=INT(DV153),DW153-DV153,INT(DW153)-DV153))+
IF($N153&lt;=1,
IF($N153&gt;0,1/$N153,0),VDB(1,0,$N153,INT(EO$44-2),MIN($N153,INT(EO$44-2)+1),$DC153,IF($DD153="No",1,0))/
IF(DW153&gt;INT($N153),$N153-INT($N153),1))*
IF(EO$44=2,DW153,
IF(INT(DW153)=INT(DV153),0,DW153-INT(DW153)))))</f>
        <v>0</v>
      </c>
      <c r="EP153" s="835">
        <f>+IF(OR(DX153=DW153,EP$44=1),0,
IF(AND(EP$44&gt;1,DX153=$N153),1-SUM($EN153:EO153),
IF($N153&lt;=1,
IF($N153&gt;0,1/$N153,0),
IF(EP$44=2,0,VDB(1,0,$N153,INT(EP$44-2-1),MIN($N153,INT(EP$44-2-1)+1),$DC153,IF($DD153="No",1,0))/
IF(DW153&gt;=INT($N153),$N153-INT($N153),1)))*
IF(EP$44=2,0,
IF(INT(DX153)=INT(DW153),DX153-DW153,INT(DX153)-DW153))+
IF($N153&lt;=1,
IF($N153&gt;0,1/$N153,0),VDB(1,0,$N153,INT(EP$44-2),MIN($N153,INT(EP$44-2)+1),$DC153,IF($DD153="No",1,0))/
IF(DX153&gt;INT($N153),$N153-INT($N153),1))*
IF(EP$44=2,DX153,
IF(INT(DX153)=INT(DW153),0,DX153-INT(DX153)))))</f>
        <v>0</v>
      </c>
      <c r="EQ153" s="836">
        <f>+IF(OR(DY153=DX153,EQ$44=1),0,
IF(AND(EQ$44&gt;1,DY153=$N153),1-SUM($EN153:EP153),
IF($N153&lt;=1,
IF($N153&gt;0,1/$N153,0),
IF(EQ$44=2,0,VDB(1,0,$N153,INT(EQ$44-2-1),MIN($N153,INT(EQ$44-2-1)+1),$DC153,IF($DD153="No",1,0))/
IF(DX153&gt;=INT($N153),$N153-INT($N153),1)))*
IF(EQ$44=2,0,
IF(INT(DY153)=INT(DX153),DY153-DX153,INT(DY153)-DX153))+
IF($N153&lt;=1,
IF($N153&gt;0,1/$N153,0),VDB(1,0,$N153,INT(EQ$44-2),MIN($N153,INT(EQ$44-2)+1),$DC153,IF($DD153="No",1,0))/
IF(DY153&gt;INT($N153),$N153-INT($N153),1))*
IF(EQ$44=2,DY153,
IF(INT(DY153)=INT(DX153),0,DY153-INT(DY153)))))</f>
        <v>0</v>
      </c>
      <c r="ER153" s="834">
        <f>+IF(OR(DZ153=DY153,ER$44=1),0,
IF(AND(ER$44&gt;1,DZ153=$N153),1-SUM($EN153:EQ153),
IF($N153&lt;=1,
IF($N153&gt;0,1/$N153,0),
IF(ER$44=2,0,VDB(1,0,$N153,INT(ER$44-2-1),MIN($N153,INT(ER$44-2-1)+1),$DC153,IF($DD153="No",1,0))/
IF(DY153&gt;=INT($N153),$N153-INT($N153),1)))*
IF(ER$44=2,0,
IF(INT(DZ153)=INT(DY153),DZ153-DY153,INT(DZ153)-DY153))+
IF($N153&lt;=1,
IF($N153&gt;0,1/$N153,0),VDB(1,0,$N153,INT(ER$44-2),MIN($N153,INT(ER$44-2)+1),$DC153,IF($DD153="No",1,0))/
IF(DZ153&gt;INT($N153),$N153-INT($N153),1))*
IF(ER$44=2,DZ153,
IF(INT(DZ153)=INT(DY153),0,DZ153-INT(DZ153)))))</f>
        <v>0</v>
      </c>
      <c r="ES153" s="835">
        <f>+IF(OR(EA153=DZ153,ES$44=1),0,
IF(AND(ES$44&gt;1,EA153=$N153),1-SUM($EN153:ER153),
IF($N153&lt;=1,
IF($N153&gt;0,1/$N153,0),
IF(ES$44=2,0,VDB(1,0,$N153,INT(ES$44-2-1),MIN($N153,INT(ES$44-2-1)+1),$DC153,IF($DD153="No",1,0))/
IF(DZ153&gt;=INT($N153),$N153-INT($N153),1)))*
IF(ES$44=2,0,
IF(INT(EA153)=INT(DZ153),EA153-DZ153,INT(EA153)-DZ153))+
IF($N153&lt;=1,
IF($N153&gt;0,1/$N153,0),VDB(1,0,$N153,INT(ES$44-2),MIN($N153,INT(ES$44-2)+1),$DC153,IF($DD153="No",1,0))/
IF(EA153&gt;INT($N153),$N153-INT($N153),1))*
IF(ES$44=2,EA153,
IF(INT(EA153)=INT(DZ153),0,EA153-INT(EA153)))))</f>
        <v>0</v>
      </c>
      <c r="ET153" s="835">
        <f>+IF(OR(EB153=EA153,ET$44=1),0,
IF(AND(ET$44&gt;1,EB153=$N153),1-SUM($EN153:ES153),
IF($N153&lt;=1,
IF($N153&gt;0,1/$N153,0),
IF(ET$44=2,0,VDB(1,0,$N153,INT(ET$44-2-1),MIN($N153,INT(ET$44-2-1)+1),$DC153,IF($DD153="No",1,0))/
IF(EA153&gt;=INT($N153),$N153-INT($N153),1)))*
IF(ET$44=2,0,
IF(INT(EB153)=INT(EA153),EB153-EA153,INT(EB153)-EA153))+
IF($N153&lt;=1,
IF($N153&gt;0,1/$N153,0),VDB(1,0,$N153,INT(ET$44-2),MIN($N153,INT(ET$44-2)+1),$DC153,IF($DD153="No",1,0))/
IF(EB153&gt;INT($N153),$N153-INT($N153),1))*
IF(ET$44=2,EB153,
IF(INT(EB153)=INT(EA153),0,EB153-INT(EB153)))))</f>
        <v>0</v>
      </c>
      <c r="EU153" s="835">
        <f>+IF(OR(EC153=EB153,EU$44=1),0,
IF(AND(EU$44&gt;1,EC153=$N153),1-SUM($EN153:ET153),
IF($N153&lt;=1,
IF($N153&gt;0,1/$N153,0),
IF(EU$44=2,0,VDB(1,0,$N153,INT(EU$44-2-1),MIN($N153,INT(EU$44-2-1)+1),$DC153,IF($DD153="No",1,0))/
IF(EB153&gt;=INT($N153),$N153-INT($N153),1)))*
IF(EU$44=2,0,
IF(INT(EC153)=INT(EB153),EC153-EB153,INT(EC153)-EB153))+
IF($N153&lt;=1,
IF($N153&gt;0,1/$N153,0),VDB(1,0,$N153,INT(EU$44-2),MIN($N153,INT(EU$44-2)+1),$DC153,IF($DD153="No",1,0))/
IF(EC153&gt;INT($N153),$N153-INT($N153),1))*
IF(EU$44=2,EC153,
IF(INT(EC153)=INT(EB153),0,EC153-INT(EC153)))))</f>
        <v>0</v>
      </c>
      <c r="EV153" s="836">
        <f>+IF(OR(ED153=EC153,EV$44=1),0,
IF(AND(EV$44&gt;1,ED153=$N153),1-SUM($EN153:EU153),
IF($N153&lt;=1,
IF($N153&gt;0,1/$N153,0),
IF(EV$44=2,0,VDB(1,0,$N153,INT(EV$44-2-1),MIN($N153,INT(EV$44-2-1)+1),$DC153,IF($DD153="No",1,0))/
IF(EC153&gt;=INT($N153),$N153-INT($N153),1)))*
IF(EV$44=2,0,
IF(INT(ED153)=INT(EC153),ED153-EC153,INT(ED153)-EC153))+
IF($N153&lt;=1,
IF($N153&gt;0,1/$N153,0),VDB(1,0,$N153,INT(EV$44-2),MIN($N153,INT(EV$44-2)+1),$DC153,IF($DD153="No",1,0))/
IF(ED153&gt;INT($N153),$N153-INT($N153),1))*
IF(EV$44=2,ED153,
IF(INT(ED153)=INT(EC153),0,ED153-INT(ED153)))))</f>
        <v>0</v>
      </c>
      <c r="EW153" s="833"/>
      <c r="EX153" s="834">
        <f t="shared" ca="1" si="303"/>
        <v>0</v>
      </c>
      <c r="EY153" s="835">
        <f t="shared" ca="1" si="303"/>
        <v>0</v>
      </c>
      <c r="EZ153" s="836">
        <f t="shared" ca="1" si="303"/>
        <v>0</v>
      </c>
      <c r="FA153" s="834">
        <f t="shared" ca="1" si="303"/>
        <v>0</v>
      </c>
      <c r="FB153" s="835">
        <f t="shared" ca="1" si="303"/>
        <v>0</v>
      </c>
      <c r="FC153" s="835">
        <f t="shared" ca="1" si="303"/>
        <v>0</v>
      </c>
      <c r="FD153" s="835">
        <f t="shared" ca="1" si="303"/>
        <v>0</v>
      </c>
      <c r="FE153" s="836">
        <f t="shared" ca="1" si="303"/>
        <v>0</v>
      </c>
      <c r="FG153" s="386">
        <f t="shared" ca="1" si="293"/>
        <v>0</v>
      </c>
      <c r="FH153" s="387">
        <f t="shared" ca="1" si="294"/>
        <v>0</v>
      </c>
      <c r="FI153" s="388">
        <f t="shared" ca="1" si="295"/>
        <v>0</v>
      </c>
      <c r="FJ153" s="386">
        <f t="shared" ca="1" si="296"/>
        <v>0</v>
      </c>
      <c r="FK153" s="387">
        <f t="shared" ca="1" si="297"/>
        <v>0</v>
      </c>
      <c r="FL153" s="387">
        <f t="shared" ca="1" si="298"/>
        <v>0</v>
      </c>
      <c r="FM153" s="387">
        <f t="shared" ca="1" si="299"/>
        <v>0</v>
      </c>
      <c r="FN153" s="388">
        <f t="shared" ca="1" si="300"/>
        <v>0</v>
      </c>
      <c r="FR153" s="116"/>
    </row>
    <row r="154" spans="2:174">
      <c r="B154" s="1410">
        <f t="shared" si="302"/>
        <v>108</v>
      </c>
      <c r="C154" s="400" t="s">
        <v>663</v>
      </c>
      <c r="D154" s="410"/>
      <c r="E154" s="402" t="s">
        <v>420</v>
      </c>
      <c r="F154" s="402" t="s">
        <v>514</v>
      </c>
      <c r="G154" s="400" t="s">
        <v>522</v>
      </c>
      <c r="H154" s="2088" t="s">
        <v>483</v>
      </c>
      <c r="I154" s="2089"/>
      <c r="J154" s="411" t="s">
        <v>516</v>
      </c>
      <c r="K154" s="403" t="s">
        <v>544</v>
      </c>
      <c r="L154" s="403">
        <v>25</v>
      </c>
      <c r="M154" s="403" t="s">
        <v>142</v>
      </c>
      <c r="N154" s="403"/>
      <c r="O154" s="347"/>
      <c r="P154" s="347"/>
      <c r="Q154" s="1021">
        <v>20.578533529305915</v>
      </c>
      <c r="R154" s="1022">
        <v>6.9191422843178492</v>
      </c>
      <c r="S154" s="1022">
        <v>4.7311712830632189</v>
      </c>
      <c r="T154" s="1022">
        <v>1.4051294500844203</v>
      </c>
      <c r="U154" s="1023">
        <v>0.49230683819850113</v>
      </c>
      <c r="V154" s="1021">
        <v>8.3381140637161906</v>
      </c>
      <c r="W154" s="1022">
        <v>9.773633581582212</v>
      </c>
      <c r="X154" s="1022">
        <v>10.112558846651718</v>
      </c>
      <c r="Y154" s="1022">
        <v>10.646986354761731</v>
      </c>
      <c r="Z154" s="1023">
        <v>11.150015883490441</v>
      </c>
      <c r="AA154" s="1024"/>
      <c r="AB154" s="1021">
        <v>3.1177006219888401</v>
      </c>
      <c r="AC154" s="1022">
        <v>1.7174128375599664</v>
      </c>
      <c r="AD154" s="1022">
        <v>0</v>
      </c>
      <c r="AE154" s="1022">
        <v>0</v>
      </c>
      <c r="AF154" s="1023">
        <v>0</v>
      </c>
      <c r="AG154" s="1021">
        <v>0</v>
      </c>
      <c r="AH154" s="1022">
        <v>0</v>
      </c>
      <c r="AI154" s="1022">
        <v>0</v>
      </c>
      <c r="AJ154" s="1022">
        <v>0</v>
      </c>
      <c r="AK154" s="1023">
        <v>0</v>
      </c>
      <c r="AL154" s="1024"/>
      <c r="AM154" s="1021">
        <v>0</v>
      </c>
      <c r="AN154" s="1022">
        <v>0</v>
      </c>
      <c r="AO154" s="1022">
        <v>0</v>
      </c>
      <c r="AP154" s="1022">
        <v>0</v>
      </c>
      <c r="AQ154" s="1023">
        <v>0</v>
      </c>
      <c r="AR154" s="1021">
        <v>0</v>
      </c>
      <c r="AS154" s="1022">
        <v>0</v>
      </c>
      <c r="AT154" s="1022">
        <v>0</v>
      </c>
      <c r="AU154" s="1022">
        <v>0</v>
      </c>
      <c r="AV154" s="1023">
        <v>0</v>
      </c>
      <c r="AW154" s="1025"/>
      <c r="AX154" s="1282">
        <f t="shared" si="247"/>
        <v>17.460832907317076</v>
      </c>
      <c r="AY154" s="387">
        <f t="shared" si="248"/>
        <v>5.2017294467578825</v>
      </c>
      <c r="AZ154" s="387">
        <f t="shared" si="249"/>
        <v>4.7311712830632189</v>
      </c>
      <c r="BA154" s="387">
        <f t="shared" si="250"/>
        <v>1.4051294500844203</v>
      </c>
      <c r="BB154" s="1283">
        <f t="shared" si="251"/>
        <v>0.49230683819850113</v>
      </c>
      <c r="BC154" s="386">
        <f t="shared" si="252"/>
        <v>8.3381140637161906</v>
      </c>
      <c r="BD154" s="387">
        <f t="shared" si="253"/>
        <v>9.773633581582212</v>
      </c>
      <c r="BE154" s="1277">
        <f t="shared" si="254"/>
        <v>10.112558846651718</v>
      </c>
      <c r="BF154" s="1277">
        <f t="shared" si="255"/>
        <v>10.646986354761731</v>
      </c>
      <c r="BG154" s="388">
        <f t="shared" si="256"/>
        <v>11.150015883490441</v>
      </c>
      <c r="BH154" s="1025"/>
      <c r="BI154" s="1282">
        <f t="shared" ca="1" si="257"/>
        <v>0.34921665814634151</v>
      </c>
      <c r="BJ154" s="387">
        <f t="shared" ca="1" si="258"/>
        <v>0.80246790522784073</v>
      </c>
      <c r="BK154" s="387">
        <f t="shared" ca="1" si="259"/>
        <v>1.0011259198242628</v>
      </c>
      <c r="BL154" s="387">
        <f t="shared" ca="1" si="260"/>
        <v>1.1238519344872153</v>
      </c>
      <c r="BM154" s="1283">
        <f t="shared" ca="1" si="261"/>
        <v>1.1618006602528739</v>
      </c>
      <c r="BN154" s="386">
        <f t="shared" ca="1" si="262"/>
        <v>1.3384090782911677</v>
      </c>
      <c r="BO154" s="387">
        <f t="shared" ca="1" si="263"/>
        <v>1.7006440311971358</v>
      </c>
      <c r="BP154" s="1277">
        <f t="shared" ca="1" si="264"/>
        <v>2.0983678797618146</v>
      </c>
      <c r="BQ154" s="1277">
        <f t="shared" ca="1" si="265"/>
        <v>2.5135587837900832</v>
      </c>
      <c r="BR154" s="388">
        <f t="shared" ca="1" si="266"/>
        <v>2.9494988285551273</v>
      </c>
      <c r="BS154" s="1025"/>
      <c r="BT154" s="1282">
        <f>+IF($K154="Ongoing",AX154,IF(RIGHT($K154,2)=RIGHT(BT$43,2),SUM($AX154:AX154),0)+IF(RIGHT(BT$43,2)&gt;RIGHT($K154,2),AX154,0))</f>
        <v>17.460832907317076</v>
      </c>
      <c r="BU154" s="387">
        <f>+IF($K154="Ongoing",AY154,IF(RIGHT($K154,2)=RIGHT(BU$43,2),SUM($AX154:AY154),0)+IF(RIGHT(BU$43,2)&gt;RIGHT($K154,2),AY154,0))</f>
        <v>5.2017294467578825</v>
      </c>
      <c r="BV154" s="387">
        <f>+IF($K154="Ongoing",AZ154,IF(RIGHT($K154,2)=RIGHT(BV$43,2),SUM($AX154:AZ154),0)+IF(RIGHT(BV$43,2)&gt;RIGHT($K154,2),AZ154,0))</f>
        <v>4.7311712830632189</v>
      </c>
      <c r="BW154" s="387">
        <f>+IF($K154="Ongoing",BA154,IF(RIGHT($K154,2)=RIGHT(BW$43,2),SUM($AX154:BA154),0)+IF(RIGHT(BW$43,2)&gt;RIGHT($K154,2),BA154,0))</f>
        <v>1.4051294500844203</v>
      </c>
      <c r="BX154" s="1283">
        <f>+IF($K154="Ongoing",BB154,IF(RIGHT($K154,2)=RIGHT(BX$43,2),SUM($AX154:BB154),0)+IF(RIGHT(BX$43,2)&gt;RIGHT($K154,2),BB154,0))</f>
        <v>0.49230683819850113</v>
      </c>
      <c r="BY154" s="386">
        <f>+IF($K154="Ongoing",BC154,IF(RIGHT($K154,2)=RIGHT(BY$43,2),SUM($AX154:BC154),0)+IF(RIGHT(BY$43,2)&gt;RIGHT($K154,2),BC154,0))</f>
        <v>8.3381140637161906</v>
      </c>
      <c r="BZ154" s="387">
        <f>+IF($K154="Ongoing",BD154,IF(RIGHT($K154,2)=RIGHT(BZ$43,2),SUM($AX154:BD154),0)+IF(RIGHT(BZ$43,2)&gt;RIGHT($K154,2),BD154,0))</f>
        <v>9.773633581582212</v>
      </c>
      <c r="CA154" s="1277">
        <f>+IF($K154="Ongoing",BE154,IF(RIGHT($K154,2)=RIGHT(CA$43,2),SUM($AX154:BE154),0)+IF(RIGHT(CA$43,2)&gt;RIGHT($K154,2),BE154,0))</f>
        <v>10.112558846651718</v>
      </c>
      <c r="CB154" s="1277">
        <f>+IF($K154="Ongoing",BF154,IF(RIGHT($K154,2)=RIGHT(CB$43,2),SUM($AX154:BF154),0)+IF(RIGHT(CB$43,2)&gt;RIGHT($K154,2),BF154,0))</f>
        <v>10.646986354761731</v>
      </c>
      <c r="CC154" s="388">
        <f>+IF($K154="Ongoing",BG154,IF(RIGHT($K154,2)=RIGHT(CC$43,2),SUM($AX154:BG154),0)+IF(RIGHT(CC$43,2)&gt;RIGHT($K154,2),BG154,0))</f>
        <v>11.150015883490441</v>
      </c>
      <c r="CD154" s="1025"/>
      <c r="CE154" s="1282">
        <f>+Q154*KeyAssumptionsPriceControl_FO!AF$15</f>
        <v>21.175311001655786</v>
      </c>
      <c r="CF154" s="387">
        <f>+R154*KeyAssumptionsPriceControl_FO!AG$15</f>
        <v>7.3262715354693952</v>
      </c>
      <c r="CG154" s="387">
        <f>+S154*KeyAssumptionsPriceControl_FO!AH$15</f>
        <v>5.1548353183733093</v>
      </c>
      <c r="CH154" s="387">
        <f>+T154*KeyAssumptionsPriceControl_FO!AI$15</f>
        <v>1.5753528221293338</v>
      </c>
      <c r="CI154" s="1283">
        <f>+U154*KeyAssumptionsPriceControl_FO!AJ$15</f>
        <v>0.56795345005544429</v>
      </c>
      <c r="CJ154" s="386">
        <f>+V154*KeyAssumptionsPriceControl_FO!AK$15</f>
        <v>9.8982878769448845</v>
      </c>
      <c r="CK154" s="387">
        <f>+W154*KeyAssumptionsPriceControl_FO!AL$15</f>
        <v>11.938882456945363</v>
      </c>
      <c r="CL154" s="1277">
        <f>+X154*KeyAssumptionsPriceControl_FO!AM$15</f>
        <v>12.711127060676091</v>
      </c>
      <c r="CM154" s="1277">
        <f>+Y154*KeyAssumptionsPriceControl_FO!AN$15</f>
        <v>13.770987064214832</v>
      </c>
      <c r="CN154" s="388">
        <f>+Z154*KeyAssumptionsPriceControl_FO!AO$15</f>
        <v>14.839840518542246</v>
      </c>
      <c r="CO154" s="1025"/>
      <c r="CP154" s="1282">
        <f t="shared" ca="1" si="267"/>
        <v>0</v>
      </c>
      <c r="CQ154" s="387">
        <f t="shared" ca="1" si="268"/>
        <v>0</v>
      </c>
      <c r="CR154" s="387">
        <f t="shared" ca="1" si="269"/>
        <v>0</v>
      </c>
      <c r="CS154" s="387">
        <f t="shared" ca="1" si="270"/>
        <v>0</v>
      </c>
      <c r="CT154" s="1283">
        <f t="shared" ca="1" si="271"/>
        <v>0</v>
      </c>
      <c r="CU154" s="386">
        <f t="shared" ca="1" si="272"/>
        <v>0</v>
      </c>
      <c r="CV154" s="387">
        <f t="shared" ca="1" si="273"/>
        <v>0</v>
      </c>
      <c r="CW154" s="1277">
        <f t="shared" ca="1" si="274"/>
        <v>0</v>
      </c>
      <c r="CX154" s="1277">
        <f t="shared" ca="1" si="275"/>
        <v>0</v>
      </c>
      <c r="CY154" s="388">
        <f t="shared" ca="1" si="276"/>
        <v>0</v>
      </c>
      <c r="CZ154" s="347"/>
      <c r="DA154" s="852"/>
      <c r="DB154" s="347"/>
      <c r="DC154" s="1012" t="s">
        <v>664</v>
      </c>
      <c r="DD154" s="841" t="s">
        <v>518</v>
      </c>
      <c r="DE154" s="386">
        <f>+IF($K154="ongoing",CE154,IF(RIGHT($K154,2)=RIGHT(DE$43,2),SUM($CD154:CE154),0)+IF(RIGHT(DE$43,2)&gt;RIGHT($K154,2),CE154,0))</f>
        <v>21.175311001655786</v>
      </c>
      <c r="DF154" s="387">
        <f>+IF($K154="ongoing",CF154,IF(RIGHT($K154,2)=RIGHT(DF$43,2),SUM($CD154:CF154),0)+IF(RIGHT(DF$43,2)&gt;RIGHT($K154,2),CF154,0))</f>
        <v>7.3262715354693952</v>
      </c>
      <c r="DG154" s="388">
        <f>+IF($K154="ongoing",CG154,IF(RIGHT($K154,2)=RIGHT(DG$43,2),SUM($CD154:CG154),0)+IF(RIGHT(DG$43,2)&gt;RIGHT($K154,2),CG154,0))</f>
        <v>5.1548353183733093</v>
      </c>
      <c r="DH154" s="386">
        <f>+IF($K154="ongoing",CH154,IF(RIGHT($K154,2)=RIGHT(DH$43,2),SUM($CD154:CH154),0)+IF(RIGHT(DH$43,2)&gt;RIGHT($K154,2),CH154,0))</f>
        <v>1.5753528221293338</v>
      </c>
      <c r="DI154" s="387">
        <f>+IF($K154="ongoing",CI154,IF(RIGHT($K154,2)=RIGHT(DI$43,2),SUM($CD154:CI154),0)+IF(RIGHT(DI$43,2)&gt;RIGHT($K154,2),CI154,0))</f>
        <v>0.56795345005544429</v>
      </c>
      <c r="DJ154" s="387">
        <f>+IF($K154="ongoing",CJ154,IF(RIGHT($K154,2)=RIGHT(DJ$43,2),SUM($CD154:CJ154),0)+IF(RIGHT(DJ$43,2)&gt;RIGHT($K154,2),CJ154,0))</f>
        <v>9.8982878769448845</v>
      </c>
      <c r="DK154" s="387">
        <f>+IF($K154="ongoing",CK154,IF(RIGHT($K154,2)=RIGHT(DK$43,2),SUM($CD154:CK154),0)+IF(RIGHT(DK$43,2)&gt;RIGHT($K154,2),CK154,0))</f>
        <v>11.938882456945363</v>
      </c>
      <c r="DL154" s="388">
        <f>+IF($K154="ongoing",CN154,IF(RIGHT($K154,2)=RIGHT(DL$43,2),SUM($CD154:CN154),0)+IF(RIGHT(DL$43,2)&gt;RIGHT($K154,2),CN154,0))</f>
        <v>14.839840518542246</v>
      </c>
      <c r="DM154" s="841"/>
      <c r="DN154" s="386">
        <f t="shared" si="277"/>
        <v>0.5</v>
      </c>
      <c r="DO154" s="387">
        <f t="shared" si="278"/>
        <v>1</v>
      </c>
      <c r="DP154" s="388">
        <f t="shared" si="279"/>
        <v>1</v>
      </c>
      <c r="DQ154" s="386">
        <f t="shared" si="280"/>
        <v>1</v>
      </c>
      <c r="DR154" s="387">
        <f t="shared" si="281"/>
        <v>1</v>
      </c>
      <c r="DS154" s="387">
        <f t="shared" si="282"/>
        <v>1</v>
      </c>
      <c r="DT154" s="387">
        <f t="shared" si="283"/>
        <v>1</v>
      </c>
      <c r="DU154" s="388">
        <f t="shared" si="284"/>
        <v>1</v>
      </c>
      <c r="DW154" s="386">
        <f t="shared" si="285"/>
        <v>0</v>
      </c>
      <c r="DX154" s="387">
        <f t="shared" si="286"/>
        <v>0.5</v>
      </c>
      <c r="DY154" s="388">
        <f t="shared" si="287"/>
        <v>1</v>
      </c>
      <c r="DZ154" s="386">
        <f t="shared" si="288"/>
        <v>1</v>
      </c>
      <c r="EA154" s="387">
        <f t="shared" si="289"/>
        <v>1</v>
      </c>
      <c r="EB154" s="387">
        <f t="shared" si="290"/>
        <v>1</v>
      </c>
      <c r="EC154" s="387">
        <f t="shared" si="291"/>
        <v>1</v>
      </c>
      <c r="ED154" s="388">
        <f t="shared" si="292"/>
        <v>1</v>
      </c>
      <c r="EF154" s="834">
        <f>+IF(DN154=DM154,0,
IF(AND(EF$44&gt;1,DN154=$N154),1-SUM($EE154:EE154),
IF($N154&lt;=1,
IF($N154&gt;0,1/$N154,0),
IF(EF$44=1,0,VDB(1,0,$N154,INT(EF$44-1-1),MIN($N154,INT(EF$44-1-1)+1),$DC154,IF($DD154="No",1,0))/
IF(DM154&gt;=INT($N154),$N154-INT($N154),1)))*
IF(EF$44=1,0,
IF(INT(DN154)=INT(DM154),DN154-DM154,INT(DN154)-DM154))+
IF($N154&lt;=1,
IF($N154&gt;0,1/$N154,0),VDB(1,0,$N154,INT(EF$44-1),MIN($N154,INT(EF$44-1)+1),$DC154,IF($DD154="No",1,0))/
IF(DN154&gt;INT($N154),$N154-INT($N154),1))*
IF(EF$44=1,DN154,
IF(INT(DN154)=INT(DM154),0,DN154-INT(DN154)))))</f>
        <v>0</v>
      </c>
      <c r="EG154" s="835">
        <f>+IF(DO154=DN154,0,
IF(AND(EG$44&gt;1,DO154=$N154),1-SUM($EE154:EF154),
IF($N154&lt;=1,
IF($N154&gt;0,1/$N154,0),
IF(EG$44=1,0,VDB(1,0,$N154,INT(EG$44-1-1),MIN($N154,INT(EG$44-1-1)+1),$DC154,IF($DD154="No",1,0))/
IF(DN154&gt;=INT($N154),$N154-INT($N154),1)))*
IF(EG$44=1,0,
IF(INT(DO154)=INT(DN154),DO154-DN154,INT(DO154)-DN154))+
IF($N154&lt;=1,
IF($N154&gt;0,1/$N154,0),VDB(1,0,$N154,INT(EG$44-1),MIN($N154,INT(EG$44-1)+1),$DC154,IF($DD154="No",1,0))/
IF(DO154&gt;INT($N154),$N154-INT($N154),1))*
IF(EG$44=1,DO154,
IF(INT(DO154)=INT(DN154),0,DO154-INT(DO154)))))</f>
        <v>0</v>
      </c>
      <c r="EH154" s="836">
        <f>+IF(DP154=DO154,0,
IF(AND(EH$44&gt;1,DP154=$N154),1-SUM($EE154:EG154),
IF($N154&lt;=1,
IF($N154&gt;0,1/$N154,0),
IF(EH$44=1,0,VDB(1,0,$N154,INT(EH$44-1-1),MIN($N154,INT(EH$44-1-1)+1),$DC154,IF($DD154="No",1,0))/
IF(DO154&gt;=INT($N154),$N154-INT($N154),1)))*
IF(EH$44=1,0,
IF(INT(DP154)=INT(DO154),DP154-DO154,INT(DP154)-DO154))+
IF($N154&lt;=1,
IF($N154&gt;0,1/$N154,0),VDB(1,0,$N154,INT(EH$44-1),MIN($N154,INT(EH$44-1)+1),$DC154,IF($DD154="No",1,0))/
IF(DP154&gt;INT($N154),$N154-INT($N154),1))*
IF(EH$44=1,DP154,
IF(INT(DP154)=INT(DO154),0,DP154-INT(DP154)))))</f>
        <v>0</v>
      </c>
      <c r="EI154" s="834">
        <f>+IF(DQ154=DP154,0,
IF(AND(EI$44&gt;1,DQ154=$N154),1-SUM($EE154:EH154),
IF($N154&lt;=1,
IF($N154&gt;0,1/$N154,0),
IF(EI$44=1,0,VDB(1,0,$N154,INT(EI$44-1-1),MIN($N154,INT(EI$44-1-1)+1),$DC154,IF($DD154="No",1,0))/
IF(DP154&gt;=INT($N154),$N154-INT($N154),1)))*
IF(EI$44=1,0,
IF(INT(DQ154)=INT(DP154),DQ154-DP154,INT(DQ154)-DP154))+
IF($N154&lt;=1,
IF($N154&gt;0,1/$N154,0),VDB(1,0,$N154,INT(EI$44-1),MIN($N154,INT(EI$44-1)+1),$DC154,IF($DD154="No",1,0))/
IF(DQ154&gt;INT($N154),$N154-INT($N154),1))*
IF(EI$44=1,DQ154,
IF(INT(DQ154)=INT(DP154),0,DQ154-INT(DQ154)))))</f>
        <v>0</v>
      </c>
      <c r="EJ154" s="835">
        <f>+IF(DR154=DQ154,0,
IF(AND(EJ$44&gt;1,DR154=$N154),1-SUM($EE154:EI154),
IF($N154&lt;=1,
IF($N154&gt;0,1/$N154,0),
IF(EJ$44=1,0,VDB(1,0,$N154,INT(EJ$44-1-1),MIN($N154,INT(EJ$44-1-1)+1),$DC154,IF($DD154="No",1,0))/
IF(DQ154&gt;=INT($N154),$N154-INT($N154),1)))*
IF(EJ$44=1,0,
IF(INT(DR154)=INT(DQ154),DR154-DQ154,INT(DR154)-DQ154))+
IF($N154&lt;=1,
IF($N154&gt;0,1/$N154,0),VDB(1,0,$N154,INT(EJ$44-1),MIN($N154,INT(EJ$44-1)+1),$DC154,IF($DD154="No",1,0))/
IF(DR154&gt;INT($N154),$N154-INT($N154),1))*
IF(EJ$44=1,DR154,
IF(INT(DR154)=INT(DQ154),0,DR154-INT(DR154)))))</f>
        <v>0</v>
      </c>
      <c r="EK154" s="835">
        <f>+IF(DS154=DR154,0,
IF(AND(EK$44&gt;1,DS154=$N154),1-SUM($EE154:EJ154),
IF($N154&lt;=1,
IF($N154&gt;0,1/$N154,0),
IF(EK$44=1,0,VDB(1,0,$N154,INT(EK$44-1-1),MIN($N154,INT(EK$44-1-1)+1),$DC154,IF($DD154="No",1,0))/
IF(DR154&gt;=INT($N154),$N154-INT($N154),1)))*
IF(EK$44=1,0,
IF(INT(DS154)=INT(DR154),DS154-DR154,INT(DS154)-DR154))+
IF($N154&lt;=1,
IF($N154&gt;0,1/$N154,0),VDB(1,0,$N154,INT(EK$44-1),MIN($N154,INT(EK$44-1)+1),$DC154,IF($DD154="No",1,0))/
IF(DS154&gt;INT($N154),$N154-INT($N154),1))*
IF(EK$44=1,DS154,
IF(INT(DS154)=INT(DR154),0,DS154-INT(DS154)))))</f>
        <v>0</v>
      </c>
      <c r="EL154" s="835">
        <f>+IF(DT154=DS154,0,
IF(AND(EL$44&gt;1,DT154=$N154),1-SUM($EE154:EK154),
IF($N154&lt;=1,
IF($N154&gt;0,1/$N154,0),
IF(EL$44=1,0,VDB(1,0,$N154,INT(EL$44-1-1),MIN($N154,INT(EL$44-1-1)+1),$DC154,IF($DD154="No",1,0))/
IF(DS154&gt;=INT($N154),$N154-INT($N154),1)))*
IF(EL$44=1,0,
IF(INT(DT154)=INT(DS154),DT154-DS154,INT(DT154)-DS154))+
IF($N154&lt;=1,
IF($N154&gt;0,1/$N154,0),VDB(1,0,$N154,INT(EL$44-1),MIN($N154,INT(EL$44-1)+1),$DC154,IF($DD154="No",1,0))/
IF(DT154&gt;INT($N154),$N154-INT($N154),1))*
IF(EL$44=1,DT154,
IF(INT(DT154)=INT(DS154),0,DT154-INT(DT154)))))</f>
        <v>0</v>
      </c>
      <c r="EM154" s="836">
        <f>+IF(DU154=DT154,0,
IF(AND(EM$44&gt;1,DU154=$N154),1-SUM($EE154:EL154),
IF($N154&lt;=1,
IF($N154&gt;0,1/$N154,0),
IF(EM$44=1,0,VDB(1,0,$N154,INT(EM$44-1-1),MIN($N154,INT(EM$44-1-1)+1),$DC154,IF($DD154="No",1,0))/
IF(DT154&gt;=INT($N154),$N154-INT($N154),1)))*
IF(EM$44=1,0,
IF(INT(DU154)=INT(DT154),DU154-DT154,INT(DU154)-DT154))+
IF($N154&lt;=1,
IF($N154&gt;0,1/$N154,0),VDB(1,0,$N154,INT(EM$44-1),MIN($N154,INT(EM$44-1)+1),$DC154,IF($DD154="No",1,0))/
IF(DU154&gt;INT($N154),$N154-INT($N154),1))*
IF(EM$44=1,DU154,
IF(INT(DU154)=INT(DT154),0,DU154-INT(DU154)))))</f>
        <v>0</v>
      </c>
      <c r="EN154" s="833"/>
      <c r="EO154" s="834">
        <f>+IF(OR(DW154=DV154,EO$44=1),0,
IF(AND(EO$44&gt;1,DW154=$N154),1-SUM($EN154:EN154),
IF($N154&lt;=1,
IF($N154&gt;0,1/$N154,0),
IF(EO$44=2,0,VDB(1,0,$N154,INT(EO$44-2-1),MIN($N154,INT(EO$44-2-1)+1),$DC154,IF($DD154="No",1,0))/
IF(DV154&gt;=INT($N154),$N154-INT($N154),1)))*
IF(EO$44=2,0,
IF(INT(DW154)=INT(DV154),DW154-DV154,INT(DW154)-DV154))+
IF($N154&lt;=1,
IF($N154&gt;0,1/$N154,0),VDB(1,0,$N154,INT(EO$44-2),MIN($N154,INT(EO$44-2)+1),$DC154,IF($DD154="No",1,0))/
IF(DW154&gt;INT($N154),$N154-INT($N154),1))*
IF(EO$44=2,DW154,
IF(INT(DW154)=INT(DV154),0,DW154-INT(DW154)))))</f>
        <v>0</v>
      </c>
      <c r="EP154" s="835">
        <f>+IF(OR(DX154=DW154,EP$44=1),0,
IF(AND(EP$44&gt;1,DX154=$N154),1-SUM($EN154:EO154),
IF($N154&lt;=1,
IF($N154&gt;0,1/$N154,0),
IF(EP$44=2,0,VDB(1,0,$N154,INT(EP$44-2-1),MIN($N154,INT(EP$44-2-1)+1),$DC154,IF($DD154="No",1,0))/
IF(DW154&gt;=INT($N154),$N154-INT($N154),1)))*
IF(EP$44=2,0,
IF(INT(DX154)=INT(DW154),DX154-DW154,INT(DX154)-DW154))+
IF($N154&lt;=1,
IF($N154&gt;0,1/$N154,0),VDB(1,0,$N154,INT(EP$44-2),MIN($N154,INT(EP$44-2)+1),$DC154,IF($DD154="No",1,0))/
IF(DX154&gt;INT($N154),$N154-INT($N154),1))*
IF(EP$44=2,DX154,
IF(INT(DX154)=INT(DW154),0,DX154-INT(DX154)))))</f>
        <v>0</v>
      </c>
      <c r="EQ154" s="836">
        <f>+IF(OR(DY154=DX154,EQ$44=1),0,
IF(AND(EQ$44&gt;1,DY154=$N154),1-SUM($EN154:EP154),
IF($N154&lt;=1,
IF($N154&gt;0,1/$N154,0),
IF(EQ$44=2,0,VDB(1,0,$N154,INT(EQ$44-2-1),MIN($N154,INT(EQ$44-2-1)+1),$DC154,IF($DD154="No",1,0))/
IF(DX154&gt;=INT($N154),$N154-INT($N154),1)))*
IF(EQ$44=2,0,
IF(INT(DY154)=INT(DX154),DY154-DX154,INT(DY154)-DX154))+
IF($N154&lt;=1,
IF($N154&gt;0,1/$N154,0),VDB(1,0,$N154,INT(EQ$44-2),MIN($N154,INT(EQ$44-2)+1),$DC154,IF($DD154="No",1,0))/
IF(DY154&gt;INT($N154),$N154-INT($N154),1))*
IF(EQ$44=2,DY154,
IF(INT(DY154)=INT(DX154),0,DY154-INT(DY154)))))</f>
        <v>0</v>
      </c>
      <c r="ER154" s="834">
        <f>+IF(OR(DZ154=DY154,ER$44=1),0,
IF(AND(ER$44&gt;1,DZ154=$N154),1-SUM($EN154:EQ154),
IF($N154&lt;=1,
IF($N154&gt;0,1/$N154,0),
IF(ER$44=2,0,VDB(1,0,$N154,INT(ER$44-2-1),MIN($N154,INT(ER$44-2-1)+1),$DC154,IF($DD154="No",1,0))/
IF(DY154&gt;=INT($N154),$N154-INT($N154),1)))*
IF(ER$44=2,0,
IF(INT(DZ154)=INT(DY154),DZ154-DY154,INT(DZ154)-DY154))+
IF($N154&lt;=1,
IF($N154&gt;0,1/$N154,0),VDB(1,0,$N154,INT(ER$44-2),MIN($N154,INT(ER$44-2)+1),$DC154,IF($DD154="No",1,0))/
IF(DZ154&gt;INT($N154),$N154-INT($N154),1))*
IF(ER$44=2,DZ154,
IF(INT(DZ154)=INT(DY154),0,DZ154-INT(DZ154)))))</f>
        <v>0</v>
      </c>
      <c r="ES154" s="835">
        <f>+IF(OR(EA154=DZ154,ES$44=1),0,
IF(AND(ES$44&gt;1,EA154=$N154),1-SUM($EN154:ER154),
IF($N154&lt;=1,
IF($N154&gt;0,1/$N154,0),
IF(ES$44=2,0,VDB(1,0,$N154,INT(ES$44-2-1),MIN($N154,INT(ES$44-2-1)+1),$DC154,IF($DD154="No",1,0))/
IF(DZ154&gt;=INT($N154),$N154-INT($N154),1)))*
IF(ES$44=2,0,
IF(INT(EA154)=INT(DZ154),EA154-DZ154,INT(EA154)-DZ154))+
IF($N154&lt;=1,
IF($N154&gt;0,1/$N154,0),VDB(1,0,$N154,INT(ES$44-2),MIN($N154,INT(ES$44-2)+1),$DC154,IF($DD154="No",1,0))/
IF(EA154&gt;INT($N154),$N154-INT($N154),1))*
IF(ES$44=2,EA154,
IF(INT(EA154)=INT(DZ154),0,EA154-INT(EA154)))))</f>
        <v>0</v>
      </c>
      <c r="ET154" s="835">
        <f>+IF(OR(EB154=EA154,ET$44=1),0,
IF(AND(ET$44&gt;1,EB154=$N154),1-SUM($EN154:ES154),
IF($N154&lt;=1,
IF($N154&gt;0,1/$N154,0),
IF(ET$44=2,0,VDB(1,0,$N154,INT(ET$44-2-1),MIN($N154,INT(ET$44-2-1)+1),$DC154,IF($DD154="No",1,0))/
IF(EA154&gt;=INT($N154),$N154-INT($N154),1)))*
IF(ET$44=2,0,
IF(INT(EB154)=INT(EA154),EB154-EA154,INT(EB154)-EA154))+
IF($N154&lt;=1,
IF($N154&gt;0,1/$N154,0),VDB(1,0,$N154,INT(ET$44-2),MIN($N154,INT(ET$44-2)+1),$DC154,IF($DD154="No",1,0))/
IF(EB154&gt;INT($N154),$N154-INT($N154),1))*
IF(ET$44=2,EB154,
IF(INT(EB154)=INT(EA154),0,EB154-INT(EB154)))))</f>
        <v>0</v>
      </c>
      <c r="EU154" s="835">
        <f>+IF(OR(EC154=EB154,EU$44=1),0,
IF(AND(EU$44&gt;1,EC154=$N154),1-SUM($EN154:ET154),
IF($N154&lt;=1,
IF($N154&gt;0,1/$N154,0),
IF(EU$44=2,0,VDB(1,0,$N154,INT(EU$44-2-1),MIN($N154,INT(EU$44-2-1)+1),$DC154,IF($DD154="No",1,0))/
IF(EB154&gt;=INT($N154),$N154-INT($N154),1)))*
IF(EU$44=2,0,
IF(INT(EC154)=INT(EB154),EC154-EB154,INT(EC154)-EB154))+
IF($N154&lt;=1,
IF($N154&gt;0,1/$N154,0),VDB(1,0,$N154,INT(EU$44-2),MIN($N154,INT(EU$44-2)+1),$DC154,IF($DD154="No",1,0))/
IF(EC154&gt;INT($N154),$N154-INT($N154),1))*
IF(EU$44=2,EC154,
IF(INT(EC154)=INT(EB154),0,EC154-INT(EC154)))))</f>
        <v>0</v>
      </c>
      <c r="EV154" s="836">
        <f>+IF(OR(ED154=EC154,EV$44=1),0,
IF(AND(EV$44&gt;1,ED154=$N154),1-SUM($EN154:EU154),
IF($N154&lt;=1,
IF($N154&gt;0,1/$N154,0),
IF(EV$44=2,0,VDB(1,0,$N154,INT(EV$44-2-1),MIN($N154,INT(EV$44-2-1)+1),$DC154,IF($DD154="No",1,0))/
IF(EC154&gt;=INT($N154),$N154-INT($N154),1)))*
IF(EV$44=2,0,
IF(INT(ED154)=INT(EC154),ED154-EC154,INT(ED154)-EC154))+
IF($N154&lt;=1,
IF($N154&gt;0,1/$N154,0),VDB(1,0,$N154,INT(EV$44-2),MIN($N154,INT(EV$44-2)+1),$DC154,IF($DD154="No",1,0))/
IF(ED154&gt;INT($N154),$N154-INT($N154),1))*
IF(EV$44=2,ED154,
IF(INT(ED154)=INT(EC154),0,ED154-INT(ED154)))))</f>
        <v>0</v>
      </c>
      <c r="EW154" s="833"/>
      <c r="EX154" s="834">
        <f t="shared" ca="1" si="303"/>
        <v>0</v>
      </c>
      <c r="EY154" s="835">
        <f t="shared" ca="1" si="303"/>
        <v>0</v>
      </c>
      <c r="EZ154" s="836">
        <f t="shared" ca="1" si="303"/>
        <v>0</v>
      </c>
      <c r="FA154" s="834">
        <f t="shared" ca="1" si="303"/>
        <v>0</v>
      </c>
      <c r="FB154" s="835">
        <f t="shared" ca="1" si="303"/>
        <v>0</v>
      </c>
      <c r="FC154" s="835">
        <f t="shared" ca="1" si="303"/>
        <v>0</v>
      </c>
      <c r="FD154" s="835">
        <f t="shared" ca="1" si="303"/>
        <v>0</v>
      </c>
      <c r="FE154" s="836">
        <f t="shared" ca="1" si="303"/>
        <v>0</v>
      </c>
      <c r="FG154" s="386">
        <f t="shared" ca="1" si="293"/>
        <v>0</v>
      </c>
      <c r="FH154" s="387">
        <f t="shared" ca="1" si="294"/>
        <v>0</v>
      </c>
      <c r="FI154" s="388">
        <f t="shared" ca="1" si="295"/>
        <v>0</v>
      </c>
      <c r="FJ154" s="386">
        <f t="shared" ca="1" si="296"/>
        <v>0</v>
      </c>
      <c r="FK154" s="387">
        <f t="shared" ca="1" si="297"/>
        <v>0</v>
      </c>
      <c r="FL154" s="387">
        <f t="shared" ca="1" si="298"/>
        <v>0</v>
      </c>
      <c r="FM154" s="387">
        <f t="shared" ca="1" si="299"/>
        <v>0</v>
      </c>
      <c r="FN154" s="388">
        <f t="shared" ca="1" si="300"/>
        <v>0</v>
      </c>
      <c r="FR154" s="116"/>
    </row>
    <row r="155" spans="2:174">
      <c r="B155" s="1410">
        <f t="shared" si="302"/>
        <v>109</v>
      </c>
      <c r="C155" s="400" t="s">
        <v>665</v>
      </c>
      <c r="D155" s="410"/>
      <c r="E155" s="402" t="s">
        <v>420</v>
      </c>
      <c r="F155" s="402" t="s">
        <v>514</v>
      </c>
      <c r="G155" s="400" t="s">
        <v>522</v>
      </c>
      <c r="H155" s="2088" t="s">
        <v>483</v>
      </c>
      <c r="I155" s="2089"/>
      <c r="J155" s="411" t="s">
        <v>516</v>
      </c>
      <c r="K155" s="403" t="s">
        <v>544</v>
      </c>
      <c r="L155" s="403">
        <v>25</v>
      </c>
      <c r="M155" s="403" t="s">
        <v>142</v>
      </c>
      <c r="N155" s="403"/>
      <c r="O155" s="347"/>
      <c r="P155" s="347"/>
      <c r="Q155" s="1021">
        <v>0.56585365853658542</v>
      </c>
      <c r="R155" s="1022">
        <v>0</v>
      </c>
      <c r="S155" s="1022">
        <v>0</v>
      </c>
      <c r="T155" s="1022">
        <v>0</v>
      </c>
      <c r="U155" s="1023">
        <v>0</v>
      </c>
      <c r="V155" s="1021">
        <v>0</v>
      </c>
      <c r="W155" s="1022">
        <v>0</v>
      </c>
      <c r="X155" s="1022">
        <v>0</v>
      </c>
      <c r="Y155" s="1022">
        <v>0</v>
      </c>
      <c r="Z155" s="1023">
        <v>0</v>
      </c>
      <c r="AA155" s="1024"/>
      <c r="AB155" s="1021">
        <v>0</v>
      </c>
      <c r="AC155" s="1022">
        <v>0</v>
      </c>
      <c r="AD155" s="1022">
        <v>0</v>
      </c>
      <c r="AE155" s="1022">
        <v>0</v>
      </c>
      <c r="AF155" s="1023">
        <v>0</v>
      </c>
      <c r="AG155" s="1021">
        <v>0</v>
      </c>
      <c r="AH155" s="1022">
        <v>0</v>
      </c>
      <c r="AI155" s="1022">
        <v>0</v>
      </c>
      <c r="AJ155" s="1022">
        <v>0</v>
      </c>
      <c r="AK155" s="1023">
        <v>0</v>
      </c>
      <c r="AL155" s="1024"/>
      <c r="AM155" s="1021">
        <v>0</v>
      </c>
      <c r="AN155" s="1022">
        <v>0</v>
      </c>
      <c r="AO155" s="1022">
        <v>0</v>
      </c>
      <c r="AP155" s="1022">
        <v>0</v>
      </c>
      <c r="AQ155" s="1023">
        <v>0</v>
      </c>
      <c r="AR155" s="1021">
        <v>0</v>
      </c>
      <c r="AS155" s="1022">
        <v>0</v>
      </c>
      <c r="AT155" s="1022">
        <v>0</v>
      </c>
      <c r="AU155" s="1022">
        <v>0</v>
      </c>
      <c r="AV155" s="1023">
        <v>0</v>
      </c>
      <c r="AW155" s="1025"/>
      <c r="AX155" s="1282">
        <f t="shared" si="247"/>
        <v>0.56585365853658542</v>
      </c>
      <c r="AY155" s="387">
        <f t="shared" si="248"/>
        <v>0</v>
      </c>
      <c r="AZ155" s="387">
        <f t="shared" si="249"/>
        <v>0</v>
      </c>
      <c r="BA155" s="387">
        <f t="shared" si="250"/>
        <v>0</v>
      </c>
      <c r="BB155" s="1283">
        <f t="shared" si="251"/>
        <v>0</v>
      </c>
      <c r="BC155" s="386">
        <f t="shared" si="252"/>
        <v>0</v>
      </c>
      <c r="BD155" s="387">
        <f t="shared" si="253"/>
        <v>0</v>
      </c>
      <c r="BE155" s="1277">
        <f t="shared" si="254"/>
        <v>0</v>
      </c>
      <c r="BF155" s="1277">
        <f t="shared" si="255"/>
        <v>0</v>
      </c>
      <c r="BG155" s="388">
        <f t="shared" si="256"/>
        <v>0</v>
      </c>
      <c r="BH155" s="1025"/>
      <c r="BI155" s="1282">
        <f t="shared" ca="1" si="257"/>
        <v>1.1317073170731709E-2</v>
      </c>
      <c r="BJ155" s="387">
        <f t="shared" ca="1" si="258"/>
        <v>2.2634146341463417E-2</v>
      </c>
      <c r="BK155" s="387">
        <f t="shared" ca="1" si="259"/>
        <v>2.2634146341463417E-2</v>
      </c>
      <c r="BL155" s="387">
        <f t="shared" ca="1" si="260"/>
        <v>2.2634146341463417E-2</v>
      </c>
      <c r="BM155" s="1283">
        <f t="shared" ca="1" si="261"/>
        <v>2.2634146341463417E-2</v>
      </c>
      <c r="BN155" s="386">
        <f t="shared" ca="1" si="262"/>
        <v>2.2634146341463417E-2</v>
      </c>
      <c r="BO155" s="387">
        <f t="shared" ca="1" si="263"/>
        <v>2.2634146341463417E-2</v>
      </c>
      <c r="BP155" s="1277">
        <f t="shared" ca="1" si="264"/>
        <v>2.2634146341463417E-2</v>
      </c>
      <c r="BQ155" s="1277">
        <f t="shared" ca="1" si="265"/>
        <v>2.2634146341463417E-2</v>
      </c>
      <c r="BR155" s="388">
        <f t="shared" ca="1" si="266"/>
        <v>2.2634146341463417E-2</v>
      </c>
      <c r="BS155" s="1025"/>
      <c r="BT155" s="1282">
        <f>+IF($K155="Ongoing",AX155,IF(RIGHT($K155,2)=RIGHT(BT$43,2),SUM($AX155:AX155),0)+IF(RIGHT(BT$43,2)&gt;RIGHT($K155,2),AX155,0))</f>
        <v>0.56585365853658542</v>
      </c>
      <c r="BU155" s="387">
        <f>+IF($K155="Ongoing",AY155,IF(RIGHT($K155,2)=RIGHT(BU$43,2),SUM($AX155:AY155),0)+IF(RIGHT(BU$43,2)&gt;RIGHT($K155,2),AY155,0))</f>
        <v>0</v>
      </c>
      <c r="BV155" s="387">
        <f>+IF($K155="Ongoing",AZ155,IF(RIGHT($K155,2)=RIGHT(BV$43,2),SUM($AX155:AZ155),0)+IF(RIGHT(BV$43,2)&gt;RIGHT($K155,2),AZ155,0))</f>
        <v>0</v>
      </c>
      <c r="BW155" s="387">
        <f>+IF($K155="Ongoing",BA155,IF(RIGHT($K155,2)=RIGHT(BW$43,2),SUM($AX155:BA155),0)+IF(RIGHT(BW$43,2)&gt;RIGHT($K155,2),BA155,0))</f>
        <v>0</v>
      </c>
      <c r="BX155" s="1283">
        <f>+IF($K155="Ongoing",BB155,IF(RIGHT($K155,2)=RIGHT(BX$43,2),SUM($AX155:BB155),0)+IF(RIGHT(BX$43,2)&gt;RIGHT($K155,2),BB155,0))</f>
        <v>0</v>
      </c>
      <c r="BY155" s="386">
        <f>+IF($K155="Ongoing",BC155,IF(RIGHT($K155,2)=RIGHT(BY$43,2),SUM($AX155:BC155),0)+IF(RIGHT(BY$43,2)&gt;RIGHT($K155,2),BC155,0))</f>
        <v>0</v>
      </c>
      <c r="BZ155" s="387">
        <f>+IF($K155="Ongoing",BD155,IF(RIGHT($K155,2)=RIGHT(BZ$43,2),SUM($AX155:BD155),0)+IF(RIGHT(BZ$43,2)&gt;RIGHT($K155,2),BD155,0))</f>
        <v>0</v>
      </c>
      <c r="CA155" s="1277">
        <f>+IF($K155="Ongoing",BE155,IF(RIGHT($K155,2)=RIGHT(CA$43,2),SUM($AX155:BE155),0)+IF(RIGHT(CA$43,2)&gt;RIGHT($K155,2),BE155,0))</f>
        <v>0</v>
      </c>
      <c r="CB155" s="1277">
        <f>+IF($K155="Ongoing",BF155,IF(RIGHT($K155,2)=RIGHT(CB$43,2),SUM($AX155:BF155),0)+IF(RIGHT(CB$43,2)&gt;RIGHT($K155,2),BF155,0))</f>
        <v>0</v>
      </c>
      <c r="CC155" s="388">
        <f>+IF($K155="Ongoing",BG155,IF(RIGHT($K155,2)=RIGHT(CC$43,2),SUM($AX155:BG155),0)+IF(RIGHT(CC$43,2)&gt;RIGHT($K155,2),BG155,0))</f>
        <v>0</v>
      </c>
      <c r="CD155" s="1025"/>
      <c r="CE155" s="1282">
        <f>+Q155*KeyAssumptionsPriceControl_FO!AF$15</f>
        <v>0.58226341463414633</v>
      </c>
      <c r="CF155" s="387">
        <f>+R155*KeyAssumptionsPriceControl_FO!AG$15</f>
        <v>0</v>
      </c>
      <c r="CG155" s="387">
        <f>+S155*KeyAssumptionsPriceControl_FO!AH$15</f>
        <v>0</v>
      </c>
      <c r="CH155" s="387">
        <f>+T155*KeyAssumptionsPriceControl_FO!AI$15</f>
        <v>0</v>
      </c>
      <c r="CI155" s="1283">
        <f>+U155*KeyAssumptionsPriceControl_FO!AJ$15</f>
        <v>0</v>
      </c>
      <c r="CJ155" s="386">
        <f>+V155*KeyAssumptionsPriceControl_FO!AK$15</f>
        <v>0</v>
      </c>
      <c r="CK155" s="387">
        <f>+W155*KeyAssumptionsPriceControl_FO!AL$15</f>
        <v>0</v>
      </c>
      <c r="CL155" s="1277">
        <f>+X155*KeyAssumptionsPriceControl_FO!AM$15</f>
        <v>0</v>
      </c>
      <c r="CM155" s="1277">
        <f>+Y155*KeyAssumptionsPriceControl_FO!AN$15</f>
        <v>0</v>
      </c>
      <c r="CN155" s="388">
        <f>+Z155*KeyAssumptionsPriceControl_FO!AO$15</f>
        <v>0</v>
      </c>
      <c r="CO155" s="1025"/>
      <c r="CP155" s="1282">
        <f t="shared" ca="1" si="267"/>
        <v>0</v>
      </c>
      <c r="CQ155" s="387">
        <f t="shared" ca="1" si="268"/>
        <v>0</v>
      </c>
      <c r="CR155" s="387">
        <f t="shared" ca="1" si="269"/>
        <v>0</v>
      </c>
      <c r="CS155" s="387">
        <f t="shared" ca="1" si="270"/>
        <v>0</v>
      </c>
      <c r="CT155" s="1283">
        <f t="shared" ca="1" si="271"/>
        <v>0</v>
      </c>
      <c r="CU155" s="386">
        <f t="shared" ca="1" si="272"/>
        <v>0</v>
      </c>
      <c r="CV155" s="387">
        <f t="shared" ca="1" si="273"/>
        <v>0</v>
      </c>
      <c r="CW155" s="1277">
        <f t="shared" ca="1" si="274"/>
        <v>0</v>
      </c>
      <c r="CX155" s="1277">
        <f t="shared" ca="1" si="275"/>
        <v>0</v>
      </c>
      <c r="CY155" s="388">
        <f t="shared" ca="1" si="276"/>
        <v>0</v>
      </c>
      <c r="CZ155" s="347"/>
      <c r="DA155" s="852"/>
      <c r="DB155" s="347"/>
      <c r="DC155" s="1012" t="s">
        <v>666</v>
      </c>
      <c r="DD155" s="841" t="s">
        <v>518</v>
      </c>
      <c r="DE155" s="386">
        <f>+IF($K155="ongoing",CE155,IF(RIGHT($K155,2)=RIGHT(DE$43,2),SUM($CD155:CE155),0)+IF(RIGHT(DE$43,2)&gt;RIGHT($K155,2),CE155,0))</f>
        <v>0.58226341463414633</v>
      </c>
      <c r="DF155" s="387">
        <f>+IF($K155="ongoing",CF155,IF(RIGHT($K155,2)=RIGHT(DF$43,2),SUM($CD155:CF155),0)+IF(RIGHT(DF$43,2)&gt;RIGHT($K155,2),CF155,0))</f>
        <v>0</v>
      </c>
      <c r="DG155" s="388">
        <f>+IF($K155="ongoing",CG155,IF(RIGHT($K155,2)=RIGHT(DG$43,2),SUM($CD155:CG155),0)+IF(RIGHT(DG$43,2)&gt;RIGHT($K155,2),CG155,0))</f>
        <v>0</v>
      </c>
      <c r="DH155" s="386">
        <f>+IF($K155="ongoing",CH155,IF(RIGHT($K155,2)=RIGHT(DH$43,2),SUM($CD155:CH155),0)+IF(RIGHT(DH$43,2)&gt;RIGHT($K155,2),CH155,0))</f>
        <v>0</v>
      </c>
      <c r="DI155" s="387">
        <f>+IF($K155="ongoing",CI155,IF(RIGHT($K155,2)=RIGHT(DI$43,2),SUM($CD155:CI155),0)+IF(RIGHT(DI$43,2)&gt;RIGHT($K155,2),CI155,0))</f>
        <v>0</v>
      </c>
      <c r="DJ155" s="387">
        <f>+IF($K155="ongoing",CJ155,IF(RIGHT($K155,2)=RIGHT(DJ$43,2),SUM($CD155:CJ155),0)+IF(RIGHT(DJ$43,2)&gt;RIGHT($K155,2),CJ155,0))</f>
        <v>0</v>
      </c>
      <c r="DK155" s="387">
        <f>+IF($K155="ongoing",CK155,IF(RIGHT($K155,2)=RIGHT(DK$43,2),SUM($CD155:CK155),0)+IF(RIGHT(DK$43,2)&gt;RIGHT($K155,2),CK155,0))</f>
        <v>0</v>
      </c>
      <c r="DL155" s="388">
        <f>+IF($K155="ongoing",CN155,IF(RIGHT($K155,2)=RIGHT(DL$43,2),SUM($CD155:CN155),0)+IF(RIGHT(DL$43,2)&gt;RIGHT($K155,2),CN155,0))</f>
        <v>0</v>
      </c>
      <c r="DM155" s="841"/>
      <c r="DN155" s="386">
        <f t="shared" si="277"/>
        <v>0.5</v>
      </c>
      <c r="DO155" s="387">
        <f t="shared" si="278"/>
        <v>1</v>
      </c>
      <c r="DP155" s="388">
        <f t="shared" si="279"/>
        <v>1</v>
      </c>
      <c r="DQ155" s="386">
        <f t="shared" si="280"/>
        <v>1</v>
      </c>
      <c r="DR155" s="387">
        <f t="shared" si="281"/>
        <v>1</v>
      </c>
      <c r="DS155" s="387">
        <f t="shared" si="282"/>
        <v>1</v>
      </c>
      <c r="DT155" s="387">
        <f t="shared" si="283"/>
        <v>1</v>
      </c>
      <c r="DU155" s="388">
        <f t="shared" si="284"/>
        <v>1</v>
      </c>
      <c r="DW155" s="386">
        <f t="shared" si="285"/>
        <v>0</v>
      </c>
      <c r="DX155" s="387">
        <f t="shared" si="286"/>
        <v>0.5</v>
      </c>
      <c r="DY155" s="388">
        <f t="shared" si="287"/>
        <v>1</v>
      </c>
      <c r="DZ155" s="386">
        <f t="shared" si="288"/>
        <v>1</v>
      </c>
      <c r="EA155" s="387">
        <f t="shared" si="289"/>
        <v>1</v>
      </c>
      <c r="EB155" s="387">
        <f t="shared" si="290"/>
        <v>1</v>
      </c>
      <c r="EC155" s="387">
        <f t="shared" si="291"/>
        <v>1</v>
      </c>
      <c r="ED155" s="388">
        <f t="shared" si="292"/>
        <v>1</v>
      </c>
      <c r="EF155" s="834">
        <f>+IF(DN155=DM155,0,
IF(AND(EF$44&gt;1,DN155=$N155),1-SUM($EE155:EE155),
IF($N155&lt;=1,
IF($N155&gt;0,1/$N155,0),
IF(EF$44=1,0,VDB(1,0,$N155,INT(EF$44-1-1),MIN($N155,INT(EF$44-1-1)+1),$DC155,IF($DD155="No",1,0))/
IF(DM155&gt;=INT($N155),$N155-INT($N155),1)))*
IF(EF$44=1,0,
IF(INT(DN155)=INT(DM155),DN155-DM155,INT(DN155)-DM155))+
IF($N155&lt;=1,
IF($N155&gt;0,1/$N155,0),VDB(1,0,$N155,INT(EF$44-1),MIN($N155,INT(EF$44-1)+1),$DC155,IF($DD155="No",1,0))/
IF(DN155&gt;INT($N155),$N155-INT($N155),1))*
IF(EF$44=1,DN155,
IF(INT(DN155)=INT(DM155),0,DN155-INT(DN155)))))</f>
        <v>0</v>
      </c>
      <c r="EG155" s="835">
        <f>+IF(DO155=DN155,0,
IF(AND(EG$44&gt;1,DO155=$N155),1-SUM($EE155:EF155),
IF($N155&lt;=1,
IF($N155&gt;0,1/$N155,0),
IF(EG$44=1,0,VDB(1,0,$N155,INT(EG$44-1-1),MIN($N155,INT(EG$44-1-1)+1),$DC155,IF($DD155="No",1,0))/
IF(DN155&gt;=INT($N155),$N155-INT($N155),1)))*
IF(EG$44=1,0,
IF(INT(DO155)=INT(DN155),DO155-DN155,INT(DO155)-DN155))+
IF($N155&lt;=1,
IF($N155&gt;0,1/$N155,0),VDB(1,0,$N155,INT(EG$44-1),MIN($N155,INT(EG$44-1)+1),$DC155,IF($DD155="No",1,0))/
IF(DO155&gt;INT($N155),$N155-INT($N155),1))*
IF(EG$44=1,DO155,
IF(INT(DO155)=INT(DN155),0,DO155-INT(DO155)))))</f>
        <v>0</v>
      </c>
      <c r="EH155" s="836">
        <f>+IF(DP155=DO155,0,
IF(AND(EH$44&gt;1,DP155=$N155),1-SUM($EE155:EG155),
IF($N155&lt;=1,
IF($N155&gt;0,1/$N155,0),
IF(EH$44=1,0,VDB(1,0,$N155,INT(EH$44-1-1),MIN($N155,INT(EH$44-1-1)+1),$DC155,IF($DD155="No",1,0))/
IF(DO155&gt;=INT($N155),$N155-INT($N155),1)))*
IF(EH$44=1,0,
IF(INT(DP155)=INT(DO155),DP155-DO155,INT(DP155)-DO155))+
IF($N155&lt;=1,
IF($N155&gt;0,1/$N155,0),VDB(1,0,$N155,INT(EH$44-1),MIN($N155,INT(EH$44-1)+1),$DC155,IF($DD155="No",1,0))/
IF(DP155&gt;INT($N155),$N155-INT($N155),1))*
IF(EH$44=1,DP155,
IF(INT(DP155)=INT(DO155),0,DP155-INT(DP155)))))</f>
        <v>0</v>
      </c>
      <c r="EI155" s="834">
        <f>+IF(DQ155=DP155,0,
IF(AND(EI$44&gt;1,DQ155=$N155),1-SUM($EE155:EH155),
IF($N155&lt;=1,
IF($N155&gt;0,1/$N155,0),
IF(EI$44=1,0,VDB(1,0,$N155,INT(EI$44-1-1),MIN($N155,INT(EI$44-1-1)+1),$DC155,IF($DD155="No",1,0))/
IF(DP155&gt;=INT($N155),$N155-INT($N155),1)))*
IF(EI$44=1,0,
IF(INT(DQ155)=INT(DP155),DQ155-DP155,INT(DQ155)-DP155))+
IF($N155&lt;=1,
IF($N155&gt;0,1/$N155,0),VDB(1,0,$N155,INT(EI$44-1),MIN($N155,INT(EI$44-1)+1),$DC155,IF($DD155="No",1,0))/
IF(DQ155&gt;INT($N155),$N155-INT($N155),1))*
IF(EI$44=1,DQ155,
IF(INT(DQ155)=INT(DP155),0,DQ155-INT(DQ155)))))</f>
        <v>0</v>
      </c>
      <c r="EJ155" s="835">
        <f>+IF(DR155=DQ155,0,
IF(AND(EJ$44&gt;1,DR155=$N155),1-SUM($EE155:EI155),
IF($N155&lt;=1,
IF($N155&gt;0,1/$N155,0),
IF(EJ$44=1,0,VDB(1,0,$N155,INT(EJ$44-1-1),MIN($N155,INT(EJ$44-1-1)+1),$DC155,IF($DD155="No",1,0))/
IF(DQ155&gt;=INT($N155),$N155-INT($N155),1)))*
IF(EJ$44=1,0,
IF(INT(DR155)=INT(DQ155),DR155-DQ155,INT(DR155)-DQ155))+
IF($N155&lt;=1,
IF($N155&gt;0,1/$N155,0),VDB(1,0,$N155,INT(EJ$44-1),MIN($N155,INT(EJ$44-1)+1),$DC155,IF($DD155="No",1,0))/
IF(DR155&gt;INT($N155),$N155-INT($N155),1))*
IF(EJ$44=1,DR155,
IF(INT(DR155)=INT(DQ155),0,DR155-INT(DR155)))))</f>
        <v>0</v>
      </c>
      <c r="EK155" s="835">
        <f>+IF(DS155=DR155,0,
IF(AND(EK$44&gt;1,DS155=$N155),1-SUM($EE155:EJ155),
IF($N155&lt;=1,
IF($N155&gt;0,1/$N155,0),
IF(EK$44=1,0,VDB(1,0,$N155,INT(EK$44-1-1),MIN($N155,INT(EK$44-1-1)+1),$DC155,IF($DD155="No",1,0))/
IF(DR155&gt;=INT($N155),$N155-INT($N155),1)))*
IF(EK$44=1,0,
IF(INT(DS155)=INT(DR155),DS155-DR155,INT(DS155)-DR155))+
IF($N155&lt;=1,
IF($N155&gt;0,1/$N155,0),VDB(1,0,$N155,INT(EK$44-1),MIN($N155,INT(EK$44-1)+1),$DC155,IF($DD155="No",1,0))/
IF(DS155&gt;INT($N155),$N155-INT($N155),1))*
IF(EK$44=1,DS155,
IF(INT(DS155)=INT(DR155),0,DS155-INT(DS155)))))</f>
        <v>0</v>
      </c>
      <c r="EL155" s="835">
        <f>+IF(DT155=DS155,0,
IF(AND(EL$44&gt;1,DT155=$N155),1-SUM($EE155:EK155),
IF($N155&lt;=1,
IF($N155&gt;0,1/$N155,0),
IF(EL$44=1,0,VDB(1,0,$N155,INT(EL$44-1-1),MIN($N155,INT(EL$44-1-1)+1),$DC155,IF($DD155="No",1,0))/
IF(DS155&gt;=INT($N155),$N155-INT($N155),1)))*
IF(EL$44=1,0,
IF(INT(DT155)=INT(DS155),DT155-DS155,INT(DT155)-DS155))+
IF($N155&lt;=1,
IF($N155&gt;0,1/$N155,0),VDB(1,0,$N155,INT(EL$44-1),MIN($N155,INT(EL$44-1)+1),$DC155,IF($DD155="No",1,0))/
IF(DT155&gt;INT($N155),$N155-INT($N155),1))*
IF(EL$44=1,DT155,
IF(INT(DT155)=INT(DS155),0,DT155-INT(DT155)))))</f>
        <v>0</v>
      </c>
      <c r="EM155" s="836">
        <f>+IF(DU155=DT155,0,
IF(AND(EM$44&gt;1,DU155=$N155),1-SUM($EE155:EL155),
IF($N155&lt;=1,
IF($N155&gt;0,1/$N155,0),
IF(EM$44=1,0,VDB(1,0,$N155,INT(EM$44-1-1),MIN($N155,INT(EM$44-1-1)+1),$DC155,IF($DD155="No",1,0))/
IF(DT155&gt;=INT($N155),$N155-INT($N155),1)))*
IF(EM$44=1,0,
IF(INT(DU155)=INT(DT155),DU155-DT155,INT(DU155)-DT155))+
IF($N155&lt;=1,
IF($N155&gt;0,1/$N155,0),VDB(1,0,$N155,INT(EM$44-1),MIN($N155,INT(EM$44-1)+1),$DC155,IF($DD155="No",1,0))/
IF(DU155&gt;INT($N155),$N155-INT($N155),1))*
IF(EM$44=1,DU155,
IF(INT(DU155)=INT(DT155),0,DU155-INT(DU155)))))</f>
        <v>0</v>
      </c>
      <c r="EN155" s="833"/>
      <c r="EO155" s="834">
        <f>+IF(OR(DW155=DV155,EO$44=1),0,
IF(AND(EO$44&gt;1,DW155=$N155),1-SUM($EN155:EN155),
IF($N155&lt;=1,
IF($N155&gt;0,1/$N155,0),
IF(EO$44=2,0,VDB(1,0,$N155,INT(EO$44-2-1),MIN($N155,INT(EO$44-2-1)+1),$DC155,IF($DD155="No",1,0))/
IF(DV155&gt;=INT($N155),$N155-INT($N155),1)))*
IF(EO$44=2,0,
IF(INT(DW155)=INT(DV155),DW155-DV155,INT(DW155)-DV155))+
IF($N155&lt;=1,
IF($N155&gt;0,1/$N155,0),VDB(1,0,$N155,INT(EO$44-2),MIN($N155,INT(EO$44-2)+1),$DC155,IF($DD155="No",1,0))/
IF(DW155&gt;INT($N155),$N155-INT($N155),1))*
IF(EO$44=2,DW155,
IF(INT(DW155)=INT(DV155),0,DW155-INT(DW155)))))</f>
        <v>0</v>
      </c>
      <c r="EP155" s="835">
        <f>+IF(OR(DX155=DW155,EP$44=1),0,
IF(AND(EP$44&gt;1,DX155=$N155),1-SUM($EN155:EO155),
IF($N155&lt;=1,
IF($N155&gt;0,1/$N155,0),
IF(EP$44=2,0,VDB(1,0,$N155,INT(EP$44-2-1),MIN($N155,INT(EP$44-2-1)+1),$DC155,IF($DD155="No",1,0))/
IF(DW155&gt;=INT($N155),$N155-INT($N155),1)))*
IF(EP$44=2,0,
IF(INT(DX155)=INT(DW155),DX155-DW155,INT(DX155)-DW155))+
IF($N155&lt;=1,
IF($N155&gt;0,1/$N155,0),VDB(1,0,$N155,INT(EP$44-2),MIN($N155,INT(EP$44-2)+1),$DC155,IF($DD155="No",1,0))/
IF(DX155&gt;INT($N155),$N155-INT($N155),1))*
IF(EP$44=2,DX155,
IF(INT(DX155)=INT(DW155),0,DX155-INT(DX155)))))</f>
        <v>0</v>
      </c>
      <c r="EQ155" s="836">
        <f>+IF(OR(DY155=DX155,EQ$44=1),0,
IF(AND(EQ$44&gt;1,DY155=$N155),1-SUM($EN155:EP155),
IF($N155&lt;=1,
IF($N155&gt;0,1/$N155,0),
IF(EQ$44=2,0,VDB(1,0,$N155,INT(EQ$44-2-1),MIN($N155,INT(EQ$44-2-1)+1),$DC155,IF($DD155="No",1,0))/
IF(DX155&gt;=INT($N155),$N155-INT($N155),1)))*
IF(EQ$44=2,0,
IF(INT(DY155)=INT(DX155),DY155-DX155,INT(DY155)-DX155))+
IF($N155&lt;=1,
IF($N155&gt;0,1/$N155,0),VDB(1,0,$N155,INT(EQ$44-2),MIN($N155,INT(EQ$44-2)+1),$DC155,IF($DD155="No",1,0))/
IF(DY155&gt;INT($N155),$N155-INT($N155),1))*
IF(EQ$44=2,DY155,
IF(INT(DY155)=INT(DX155),0,DY155-INT(DY155)))))</f>
        <v>0</v>
      </c>
      <c r="ER155" s="834">
        <f>+IF(OR(DZ155=DY155,ER$44=1),0,
IF(AND(ER$44&gt;1,DZ155=$N155),1-SUM($EN155:EQ155),
IF($N155&lt;=1,
IF($N155&gt;0,1/$N155,0),
IF(ER$44=2,0,VDB(1,0,$N155,INT(ER$44-2-1),MIN($N155,INT(ER$44-2-1)+1),$DC155,IF($DD155="No",1,0))/
IF(DY155&gt;=INT($N155),$N155-INT($N155),1)))*
IF(ER$44=2,0,
IF(INT(DZ155)=INT(DY155),DZ155-DY155,INT(DZ155)-DY155))+
IF($N155&lt;=1,
IF($N155&gt;0,1/$N155,0),VDB(1,0,$N155,INT(ER$44-2),MIN($N155,INT(ER$44-2)+1),$DC155,IF($DD155="No",1,0))/
IF(DZ155&gt;INT($N155),$N155-INT($N155),1))*
IF(ER$44=2,DZ155,
IF(INT(DZ155)=INT(DY155),0,DZ155-INT(DZ155)))))</f>
        <v>0</v>
      </c>
      <c r="ES155" s="835">
        <f>+IF(OR(EA155=DZ155,ES$44=1),0,
IF(AND(ES$44&gt;1,EA155=$N155),1-SUM($EN155:ER155),
IF($N155&lt;=1,
IF($N155&gt;0,1/$N155,0),
IF(ES$44=2,0,VDB(1,0,$N155,INT(ES$44-2-1),MIN($N155,INT(ES$44-2-1)+1),$DC155,IF($DD155="No",1,0))/
IF(DZ155&gt;=INT($N155),$N155-INT($N155),1)))*
IF(ES$44=2,0,
IF(INT(EA155)=INT(DZ155),EA155-DZ155,INT(EA155)-DZ155))+
IF($N155&lt;=1,
IF($N155&gt;0,1/$N155,0),VDB(1,0,$N155,INT(ES$44-2),MIN($N155,INT(ES$44-2)+1),$DC155,IF($DD155="No",1,0))/
IF(EA155&gt;INT($N155),$N155-INT($N155),1))*
IF(ES$44=2,EA155,
IF(INT(EA155)=INT(DZ155),0,EA155-INT(EA155)))))</f>
        <v>0</v>
      </c>
      <c r="ET155" s="835">
        <f>+IF(OR(EB155=EA155,ET$44=1),0,
IF(AND(ET$44&gt;1,EB155=$N155),1-SUM($EN155:ES155),
IF($N155&lt;=1,
IF($N155&gt;0,1/$N155,0),
IF(ET$44=2,0,VDB(1,0,$N155,INT(ET$44-2-1),MIN($N155,INT(ET$44-2-1)+1),$DC155,IF($DD155="No",1,0))/
IF(EA155&gt;=INT($N155),$N155-INT($N155),1)))*
IF(ET$44=2,0,
IF(INT(EB155)=INT(EA155),EB155-EA155,INT(EB155)-EA155))+
IF($N155&lt;=1,
IF($N155&gt;0,1/$N155,0),VDB(1,0,$N155,INT(ET$44-2),MIN($N155,INT(ET$44-2)+1),$DC155,IF($DD155="No",1,0))/
IF(EB155&gt;INT($N155),$N155-INT($N155),1))*
IF(ET$44=2,EB155,
IF(INT(EB155)=INT(EA155),0,EB155-INT(EB155)))))</f>
        <v>0</v>
      </c>
      <c r="EU155" s="835">
        <f>+IF(OR(EC155=EB155,EU$44=1),0,
IF(AND(EU$44&gt;1,EC155=$N155),1-SUM($EN155:ET155),
IF($N155&lt;=1,
IF($N155&gt;0,1/$N155,0),
IF(EU$44=2,0,VDB(1,0,$N155,INT(EU$44-2-1),MIN($N155,INT(EU$44-2-1)+1),$DC155,IF($DD155="No",1,0))/
IF(EB155&gt;=INT($N155),$N155-INT($N155),1)))*
IF(EU$44=2,0,
IF(INT(EC155)=INT(EB155),EC155-EB155,INT(EC155)-EB155))+
IF($N155&lt;=1,
IF($N155&gt;0,1/$N155,0),VDB(1,0,$N155,INT(EU$44-2),MIN($N155,INT(EU$44-2)+1),$DC155,IF($DD155="No",1,0))/
IF(EC155&gt;INT($N155),$N155-INT($N155),1))*
IF(EU$44=2,EC155,
IF(INT(EC155)=INT(EB155),0,EC155-INT(EC155)))))</f>
        <v>0</v>
      </c>
      <c r="EV155" s="836">
        <f>+IF(OR(ED155=EC155,EV$44=1),0,
IF(AND(EV$44&gt;1,ED155=$N155),1-SUM($EN155:EU155),
IF($N155&lt;=1,
IF($N155&gt;0,1/$N155,0),
IF(EV$44=2,0,VDB(1,0,$N155,INT(EV$44-2-1),MIN($N155,INT(EV$44-2-1)+1),$DC155,IF($DD155="No",1,0))/
IF(EC155&gt;=INT($N155),$N155-INT($N155),1)))*
IF(EV$44=2,0,
IF(INT(ED155)=INT(EC155),ED155-EC155,INT(ED155)-EC155))+
IF($N155&lt;=1,
IF($N155&gt;0,1/$N155,0),VDB(1,0,$N155,INT(EV$44-2),MIN($N155,INT(EV$44-2)+1),$DC155,IF($DD155="No",1,0))/
IF(ED155&gt;INT($N155),$N155-INT($N155),1))*
IF(EV$44=2,ED155,
IF(INT(ED155)=INT(EC155),0,ED155-INT(ED155)))))</f>
        <v>0</v>
      </c>
      <c r="EW155" s="833"/>
      <c r="EX155" s="834">
        <f t="shared" ca="1" si="303"/>
        <v>0</v>
      </c>
      <c r="EY155" s="835">
        <f t="shared" ca="1" si="303"/>
        <v>0</v>
      </c>
      <c r="EZ155" s="836">
        <f t="shared" ca="1" si="303"/>
        <v>0</v>
      </c>
      <c r="FA155" s="834">
        <f t="shared" ca="1" si="303"/>
        <v>0</v>
      </c>
      <c r="FB155" s="835">
        <f t="shared" ca="1" si="303"/>
        <v>0</v>
      </c>
      <c r="FC155" s="835">
        <f t="shared" ca="1" si="303"/>
        <v>0</v>
      </c>
      <c r="FD155" s="835">
        <f t="shared" ca="1" si="303"/>
        <v>0</v>
      </c>
      <c r="FE155" s="836">
        <f t="shared" ca="1" si="303"/>
        <v>0</v>
      </c>
      <c r="FG155" s="386">
        <f t="shared" ca="1" si="293"/>
        <v>0</v>
      </c>
      <c r="FH155" s="387">
        <f t="shared" ca="1" si="294"/>
        <v>0</v>
      </c>
      <c r="FI155" s="388">
        <f t="shared" ca="1" si="295"/>
        <v>0</v>
      </c>
      <c r="FJ155" s="386">
        <f t="shared" ca="1" si="296"/>
        <v>0</v>
      </c>
      <c r="FK155" s="387">
        <f t="shared" ca="1" si="297"/>
        <v>0</v>
      </c>
      <c r="FL155" s="387">
        <f t="shared" ca="1" si="298"/>
        <v>0</v>
      </c>
      <c r="FM155" s="387">
        <f t="shared" ca="1" si="299"/>
        <v>0</v>
      </c>
      <c r="FN155" s="388">
        <f t="shared" ca="1" si="300"/>
        <v>0</v>
      </c>
      <c r="FR155" s="116"/>
    </row>
    <row r="156" spans="2:174">
      <c r="B156" s="1410">
        <f t="shared" si="302"/>
        <v>110</v>
      </c>
      <c r="C156" s="400" t="s">
        <v>667</v>
      </c>
      <c r="D156" s="410"/>
      <c r="E156" s="402" t="s">
        <v>420</v>
      </c>
      <c r="F156" s="402" t="s">
        <v>514</v>
      </c>
      <c r="G156" s="400" t="s">
        <v>437</v>
      </c>
      <c r="H156" s="2088" t="s">
        <v>483</v>
      </c>
      <c r="I156" s="2089"/>
      <c r="J156" s="411" t="s">
        <v>516</v>
      </c>
      <c r="K156" s="403" t="s">
        <v>544</v>
      </c>
      <c r="L156" s="403">
        <v>10</v>
      </c>
      <c r="M156" s="403" t="s">
        <v>142</v>
      </c>
      <c r="N156" s="403"/>
      <c r="O156" s="347"/>
      <c r="P156" s="347"/>
      <c r="Q156" s="1021">
        <v>0.23070440229671199</v>
      </c>
      <c r="R156" s="1022">
        <v>0.10529426587523331</v>
      </c>
      <c r="S156" s="1022">
        <v>1.7305417779573848</v>
      </c>
      <c r="T156" s="1022">
        <v>0.63984451563496181</v>
      </c>
      <c r="U156" s="1023">
        <v>6.5031824817602335E-2</v>
      </c>
      <c r="V156" s="1021">
        <v>0.16962525716815977</v>
      </c>
      <c r="W156" s="1022">
        <v>0.16548805577381442</v>
      </c>
      <c r="X156" s="1022">
        <v>0.16145176173055067</v>
      </c>
      <c r="Y156" s="1022">
        <v>0.15751391388346409</v>
      </c>
      <c r="Z156" s="1023">
        <v>0.15367211110581863</v>
      </c>
      <c r="AA156" s="1024"/>
      <c r="AB156" s="1021">
        <v>0</v>
      </c>
      <c r="AC156" s="1022">
        <v>0</v>
      </c>
      <c r="AD156" s="1022">
        <v>0</v>
      </c>
      <c r="AE156" s="1022">
        <v>0</v>
      </c>
      <c r="AF156" s="1023">
        <v>0</v>
      </c>
      <c r="AG156" s="1021">
        <v>0</v>
      </c>
      <c r="AH156" s="1022">
        <v>0</v>
      </c>
      <c r="AI156" s="1022">
        <v>0</v>
      </c>
      <c r="AJ156" s="1022">
        <v>0</v>
      </c>
      <c r="AK156" s="1023">
        <v>0</v>
      </c>
      <c r="AL156" s="1024"/>
      <c r="AM156" s="1021">
        <v>0</v>
      </c>
      <c r="AN156" s="1022">
        <v>0</v>
      </c>
      <c r="AO156" s="1022">
        <v>0</v>
      </c>
      <c r="AP156" s="1022">
        <v>0</v>
      </c>
      <c r="AQ156" s="1023">
        <v>0</v>
      </c>
      <c r="AR156" s="1021">
        <v>0</v>
      </c>
      <c r="AS156" s="1022">
        <v>0</v>
      </c>
      <c r="AT156" s="1022">
        <v>0</v>
      </c>
      <c r="AU156" s="1022">
        <v>0</v>
      </c>
      <c r="AV156" s="1023">
        <v>0</v>
      </c>
      <c r="AW156" s="1025"/>
      <c r="AX156" s="1282">
        <f t="shared" si="247"/>
        <v>0.23070440229671199</v>
      </c>
      <c r="AY156" s="387">
        <f t="shared" si="248"/>
        <v>0.10529426587523331</v>
      </c>
      <c r="AZ156" s="387">
        <f t="shared" si="249"/>
        <v>1.7305417779573848</v>
      </c>
      <c r="BA156" s="387">
        <f t="shared" si="250"/>
        <v>0.63984451563496181</v>
      </c>
      <c r="BB156" s="1283">
        <f t="shared" si="251"/>
        <v>6.5031824817602335E-2</v>
      </c>
      <c r="BC156" s="386">
        <f t="shared" si="252"/>
        <v>0.16962525716815977</v>
      </c>
      <c r="BD156" s="387">
        <f t="shared" si="253"/>
        <v>0.16548805577381442</v>
      </c>
      <c r="BE156" s="1277">
        <f t="shared" si="254"/>
        <v>0.16145176173055067</v>
      </c>
      <c r="BF156" s="1277">
        <f t="shared" si="255"/>
        <v>0.15751391388346409</v>
      </c>
      <c r="BG156" s="388">
        <f t="shared" si="256"/>
        <v>0.15367211110581863</v>
      </c>
      <c r="BH156" s="1025"/>
      <c r="BI156" s="1282">
        <f t="shared" ca="1" si="257"/>
        <v>1.15352201148356E-2</v>
      </c>
      <c r="BJ156" s="387">
        <f t="shared" ca="1" si="258"/>
        <v>2.8335153523432865E-2</v>
      </c>
      <c r="BK156" s="387">
        <f t="shared" ca="1" si="259"/>
        <v>0.12012695571506377</v>
      </c>
      <c r="BL156" s="387">
        <f t="shared" ca="1" si="260"/>
        <v>0.23864627039468111</v>
      </c>
      <c r="BM156" s="1283">
        <f t="shared" ca="1" si="261"/>
        <v>0.2738900874173093</v>
      </c>
      <c r="BN156" s="386">
        <f t="shared" ca="1" si="262"/>
        <v>0.28562294151659745</v>
      </c>
      <c r="BO156" s="387">
        <f t="shared" ca="1" si="263"/>
        <v>0.30237860716369613</v>
      </c>
      <c r="BP156" s="1277">
        <f t="shared" ca="1" si="264"/>
        <v>0.31872559803891443</v>
      </c>
      <c r="BQ156" s="1277">
        <f t="shared" ca="1" si="265"/>
        <v>0.3346738818196151</v>
      </c>
      <c r="BR156" s="388">
        <f t="shared" ca="1" si="266"/>
        <v>0.35023318306907925</v>
      </c>
      <c r="BS156" s="1025"/>
      <c r="BT156" s="1282">
        <f>+IF($K156="Ongoing",AX156,IF(RIGHT($K156,2)=RIGHT(BT$43,2),SUM($AX156:AX156),0)+IF(RIGHT(BT$43,2)&gt;RIGHT($K156,2),AX156,0))</f>
        <v>0.23070440229671199</v>
      </c>
      <c r="BU156" s="387">
        <f>+IF($K156="Ongoing",AY156,IF(RIGHT($K156,2)=RIGHT(BU$43,2),SUM($AX156:AY156),0)+IF(RIGHT(BU$43,2)&gt;RIGHT($K156,2),AY156,0))</f>
        <v>0.10529426587523331</v>
      </c>
      <c r="BV156" s="387">
        <f>+IF($K156="Ongoing",AZ156,IF(RIGHT($K156,2)=RIGHT(BV$43,2),SUM($AX156:AZ156),0)+IF(RIGHT(BV$43,2)&gt;RIGHT($K156,2),AZ156,0))</f>
        <v>1.7305417779573848</v>
      </c>
      <c r="BW156" s="387">
        <f>+IF($K156="Ongoing",BA156,IF(RIGHT($K156,2)=RIGHT(BW$43,2),SUM($AX156:BA156),0)+IF(RIGHT(BW$43,2)&gt;RIGHT($K156,2),BA156,0))</f>
        <v>0.63984451563496181</v>
      </c>
      <c r="BX156" s="1283">
        <f>+IF($K156="Ongoing",BB156,IF(RIGHT($K156,2)=RIGHT(BX$43,2),SUM($AX156:BB156),0)+IF(RIGHT(BX$43,2)&gt;RIGHT($K156,2),BB156,0))</f>
        <v>6.5031824817602335E-2</v>
      </c>
      <c r="BY156" s="386">
        <f>+IF($K156="Ongoing",BC156,IF(RIGHT($K156,2)=RIGHT(BY$43,2),SUM($AX156:BC156),0)+IF(RIGHT(BY$43,2)&gt;RIGHT($K156,2),BC156,0))</f>
        <v>0.16962525716815977</v>
      </c>
      <c r="BZ156" s="387">
        <f>+IF($K156="Ongoing",BD156,IF(RIGHT($K156,2)=RIGHT(BZ$43,2),SUM($AX156:BD156),0)+IF(RIGHT(BZ$43,2)&gt;RIGHT($K156,2),BD156,0))</f>
        <v>0.16548805577381442</v>
      </c>
      <c r="CA156" s="1277">
        <f>+IF($K156="Ongoing",BE156,IF(RIGHT($K156,2)=RIGHT(CA$43,2),SUM($AX156:BE156),0)+IF(RIGHT(CA$43,2)&gt;RIGHT($K156,2),BE156,0))</f>
        <v>0.16145176173055067</v>
      </c>
      <c r="CB156" s="1277">
        <f>+IF($K156="Ongoing",BF156,IF(RIGHT($K156,2)=RIGHT(CB$43,2),SUM($AX156:BF156),0)+IF(RIGHT(CB$43,2)&gt;RIGHT($K156,2),BF156,0))</f>
        <v>0.15751391388346409</v>
      </c>
      <c r="CC156" s="388">
        <f>+IF($K156="Ongoing",BG156,IF(RIGHT($K156,2)=RIGHT(CC$43,2),SUM($AX156:BG156),0)+IF(RIGHT(CC$43,2)&gt;RIGHT($K156,2),BG156,0))</f>
        <v>0.15367211110581863</v>
      </c>
      <c r="CD156" s="1025"/>
      <c r="CE156" s="1282">
        <f>+Q156*KeyAssumptionsPriceControl_FO!AF$15</f>
        <v>0.23739482996331662</v>
      </c>
      <c r="CF156" s="387">
        <f>+R156*KeyAssumptionsPriceControl_FO!AG$15</f>
        <v>0.1114898857735979</v>
      </c>
      <c r="CG156" s="387">
        <f>+S156*KeyAssumptionsPriceControl_FO!AH$15</f>
        <v>1.885507275728886</v>
      </c>
      <c r="CH156" s="387">
        <f>+T156*KeyAssumptionsPriceControl_FO!AI$15</f>
        <v>0.71735800809594741</v>
      </c>
      <c r="CI156" s="1283">
        <f>+U156*KeyAssumptionsPriceControl_FO!AJ$15</f>
        <v>7.5024448987373343E-2</v>
      </c>
      <c r="CJ156" s="386">
        <f>+V156*KeyAssumptionsPriceControl_FO!AK$15</f>
        <v>0.20136443490951064</v>
      </c>
      <c r="CK156" s="387">
        <f>+W156*KeyAssumptionsPriceControl_FO!AL$15</f>
        <v>0.20215024733842582</v>
      </c>
      <c r="CL156" s="1277">
        <f>+X156*KeyAssumptionsPriceControl_FO!AM$15</f>
        <v>0.20293912635242944</v>
      </c>
      <c r="CM156" s="1277">
        <f>+Y156*KeyAssumptionsPriceControl_FO!AN$15</f>
        <v>0.2037310839186828</v>
      </c>
      <c r="CN156" s="388">
        <f>+Z156*KeyAssumptionsPriceControl_FO!AO$15</f>
        <v>0.20452613205104841</v>
      </c>
      <c r="CO156" s="1025"/>
      <c r="CP156" s="1282">
        <f t="shared" ca="1" si="267"/>
        <v>0</v>
      </c>
      <c r="CQ156" s="387">
        <f t="shared" ca="1" si="268"/>
        <v>0</v>
      </c>
      <c r="CR156" s="387">
        <f t="shared" ca="1" si="269"/>
        <v>0</v>
      </c>
      <c r="CS156" s="387">
        <f t="shared" ca="1" si="270"/>
        <v>0</v>
      </c>
      <c r="CT156" s="1283">
        <f t="shared" ca="1" si="271"/>
        <v>0</v>
      </c>
      <c r="CU156" s="386">
        <f t="shared" ca="1" si="272"/>
        <v>0</v>
      </c>
      <c r="CV156" s="387">
        <f t="shared" ca="1" si="273"/>
        <v>0</v>
      </c>
      <c r="CW156" s="1277">
        <f t="shared" ca="1" si="274"/>
        <v>0</v>
      </c>
      <c r="CX156" s="1277">
        <f t="shared" ca="1" si="275"/>
        <v>0</v>
      </c>
      <c r="CY156" s="388">
        <f t="shared" ca="1" si="276"/>
        <v>0</v>
      </c>
      <c r="CZ156" s="347"/>
      <c r="DA156" s="852"/>
      <c r="DB156" s="347"/>
      <c r="DC156" s="1012" t="s">
        <v>668</v>
      </c>
      <c r="DD156" s="841" t="s">
        <v>518</v>
      </c>
      <c r="DE156" s="386">
        <f>+IF($K156="ongoing",CE156,IF(RIGHT($K156,2)=RIGHT(DE$43,2),SUM($CD156:CE156),0)+IF(RIGHT(DE$43,2)&gt;RIGHT($K156,2),CE156,0))</f>
        <v>0.23739482996331662</v>
      </c>
      <c r="DF156" s="387">
        <f>+IF($K156="ongoing",CF156,IF(RIGHT($K156,2)=RIGHT(DF$43,2),SUM($CD156:CF156),0)+IF(RIGHT(DF$43,2)&gt;RIGHT($K156,2),CF156,0))</f>
        <v>0.1114898857735979</v>
      </c>
      <c r="DG156" s="388">
        <f>+IF($K156="ongoing",CG156,IF(RIGHT($K156,2)=RIGHT(DG$43,2),SUM($CD156:CG156),0)+IF(RIGHT(DG$43,2)&gt;RIGHT($K156,2),CG156,0))</f>
        <v>1.885507275728886</v>
      </c>
      <c r="DH156" s="386">
        <f>+IF($K156="ongoing",CH156,IF(RIGHT($K156,2)=RIGHT(DH$43,2),SUM($CD156:CH156),0)+IF(RIGHT(DH$43,2)&gt;RIGHT($K156,2),CH156,0))</f>
        <v>0.71735800809594741</v>
      </c>
      <c r="DI156" s="387">
        <f>+IF($K156="ongoing",CI156,IF(RIGHT($K156,2)=RIGHT(DI$43,2),SUM($CD156:CI156),0)+IF(RIGHT(DI$43,2)&gt;RIGHT($K156,2),CI156,0))</f>
        <v>7.5024448987373343E-2</v>
      </c>
      <c r="DJ156" s="387">
        <f>+IF($K156="ongoing",CJ156,IF(RIGHT($K156,2)=RIGHT(DJ$43,2),SUM($CD156:CJ156),0)+IF(RIGHT(DJ$43,2)&gt;RIGHT($K156,2),CJ156,0))</f>
        <v>0.20136443490951064</v>
      </c>
      <c r="DK156" s="387">
        <f>+IF($K156="ongoing",CK156,IF(RIGHT($K156,2)=RIGHT(DK$43,2),SUM($CD156:CK156),0)+IF(RIGHT(DK$43,2)&gt;RIGHT($K156,2),CK156,0))</f>
        <v>0.20215024733842582</v>
      </c>
      <c r="DL156" s="388">
        <f>+IF($K156="ongoing",CN156,IF(RIGHT($K156,2)=RIGHT(DL$43,2),SUM($CD156:CN156),0)+IF(RIGHT(DL$43,2)&gt;RIGHT($K156,2),CN156,0))</f>
        <v>0.20452613205104841</v>
      </c>
      <c r="DM156" s="841"/>
      <c r="DN156" s="386">
        <f t="shared" si="277"/>
        <v>0.5</v>
      </c>
      <c r="DO156" s="387">
        <f t="shared" si="278"/>
        <v>1</v>
      </c>
      <c r="DP156" s="388">
        <f t="shared" si="279"/>
        <v>1</v>
      </c>
      <c r="DQ156" s="386">
        <f t="shared" si="280"/>
        <v>1</v>
      </c>
      <c r="DR156" s="387">
        <f t="shared" si="281"/>
        <v>1</v>
      </c>
      <c r="DS156" s="387">
        <f t="shared" si="282"/>
        <v>1</v>
      </c>
      <c r="DT156" s="387">
        <f t="shared" si="283"/>
        <v>1</v>
      </c>
      <c r="DU156" s="388">
        <f t="shared" si="284"/>
        <v>1</v>
      </c>
      <c r="DW156" s="386">
        <f t="shared" si="285"/>
        <v>0</v>
      </c>
      <c r="DX156" s="387">
        <f t="shared" si="286"/>
        <v>0.5</v>
      </c>
      <c r="DY156" s="388">
        <f t="shared" si="287"/>
        <v>1</v>
      </c>
      <c r="DZ156" s="386">
        <f t="shared" si="288"/>
        <v>1</v>
      </c>
      <c r="EA156" s="387">
        <f t="shared" si="289"/>
        <v>1</v>
      </c>
      <c r="EB156" s="387">
        <f t="shared" si="290"/>
        <v>1</v>
      </c>
      <c r="EC156" s="387">
        <f t="shared" si="291"/>
        <v>1</v>
      </c>
      <c r="ED156" s="388">
        <f t="shared" si="292"/>
        <v>1</v>
      </c>
      <c r="EF156" s="834">
        <f>+IF(DN156=DM156,0,
IF(AND(EF$44&gt;1,DN156=$N156),1-SUM($EE156:EE156),
IF($N156&lt;=1,
IF($N156&gt;0,1/$N156,0),
IF(EF$44=1,0,VDB(1,0,$N156,INT(EF$44-1-1),MIN($N156,INT(EF$44-1-1)+1),$DC156,IF($DD156="No",1,0))/
IF(DM156&gt;=INT($N156),$N156-INT($N156),1)))*
IF(EF$44=1,0,
IF(INT(DN156)=INT(DM156),DN156-DM156,INT(DN156)-DM156))+
IF($N156&lt;=1,
IF($N156&gt;0,1/$N156,0),VDB(1,0,$N156,INT(EF$44-1),MIN($N156,INT(EF$44-1)+1),$DC156,IF($DD156="No",1,0))/
IF(DN156&gt;INT($N156),$N156-INT($N156),1))*
IF(EF$44=1,DN156,
IF(INT(DN156)=INT(DM156),0,DN156-INT(DN156)))))</f>
        <v>0</v>
      </c>
      <c r="EG156" s="835">
        <f>+IF(DO156=DN156,0,
IF(AND(EG$44&gt;1,DO156=$N156),1-SUM($EE156:EF156),
IF($N156&lt;=1,
IF($N156&gt;0,1/$N156,0),
IF(EG$44=1,0,VDB(1,0,$N156,INT(EG$44-1-1),MIN($N156,INT(EG$44-1-1)+1),$DC156,IF($DD156="No",1,0))/
IF(DN156&gt;=INT($N156),$N156-INT($N156),1)))*
IF(EG$44=1,0,
IF(INT(DO156)=INT(DN156),DO156-DN156,INT(DO156)-DN156))+
IF($N156&lt;=1,
IF($N156&gt;0,1/$N156,0),VDB(1,0,$N156,INT(EG$44-1),MIN($N156,INT(EG$44-1)+1),$DC156,IF($DD156="No",1,0))/
IF(DO156&gt;INT($N156),$N156-INT($N156),1))*
IF(EG$44=1,DO156,
IF(INT(DO156)=INT(DN156),0,DO156-INT(DO156)))))</f>
        <v>0</v>
      </c>
      <c r="EH156" s="836">
        <f>+IF(DP156=DO156,0,
IF(AND(EH$44&gt;1,DP156=$N156),1-SUM($EE156:EG156),
IF($N156&lt;=1,
IF($N156&gt;0,1/$N156,0),
IF(EH$44=1,0,VDB(1,0,$N156,INT(EH$44-1-1),MIN($N156,INT(EH$44-1-1)+1),$DC156,IF($DD156="No",1,0))/
IF(DO156&gt;=INT($N156),$N156-INT($N156),1)))*
IF(EH$44=1,0,
IF(INT(DP156)=INT(DO156),DP156-DO156,INT(DP156)-DO156))+
IF($N156&lt;=1,
IF($N156&gt;0,1/$N156,0),VDB(1,0,$N156,INT(EH$44-1),MIN($N156,INT(EH$44-1)+1),$DC156,IF($DD156="No",1,0))/
IF(DP156&gt;INT($N156),$N156-INT($N156),1))*
IF(EH$44=1,DP156,
IF(INT(DP156)=INT(DO156),0,DP156-INT(DP156)))))</f>
        <v>0</v>
      </c>
      <c r="EI156" s="834">
        <f>+IF(DQ156=DP156,0,
IF(AND(EI$44&gt;1,DQ156=$N156),1-SUM($EE156:EH156),
IF($N156&lt;=1,
IF($N156&gt;0,1/$N156,0),
IF(EI$44=1,0,VDB(1,0,$N156,INT(EI$44-1-1),MIN($N156,INT(EI$44-1-1)+1),$DC156,IF($DD156="No",1,0))/
IF(DP156&gt;=INT($N156),$N156-INT($N156),1)))*
IF(EI$44=1,0,
IF(INT(DQ156)=INT(DP156),DQ156-DP156,INT(DQ156)-DP156))+
IF($N156&lt;=1,
IF($N156&gt;0,1/$N156,0),VDB(1,0,$N156,INT(EI$44-1),MIN($N156,INT(EI$44-1)+1),$DC156,IF($DD156="No",1,0))/
IF(DQ156&gt;INT($N156),$N156-INT($N156),1))*
IF(EI$44=1,DQ156,
IF(INT(DQ156)=INT(DP156),0,DQ156-INT(DQ156)))))</f>
        <v>0</v>
      </c>
      <c r="EJ156" s="835">
        <f>+IF(DR156=DQ156,0,
IF(AND(EJ$44&gt;1,DR156=$N156),1-SUM($EE156:EI156),
IF($N156&lt;=1,
IF($N156&gt;0,1/$N156,0),
IF(EJ$44=1,0,VDB(1,0,$N156,INT(EJ$44-1-1),MIN($N156,INT(EJ$44-1-1)+1),$DC156,IF($DD156="No",1,0))/
IF(DQ156&gt;=INT($N156),$N156-INT($N156),1)))*
IF(EJ$44=1,0,
IF(INT(DR156)=INT(DQ156),DR156-DQ156,INT(DR156)-DQ156))+
IF($N156&lt;=1,
IF($N156&gt;0,1/$N156,0),VDB(1,0,$N156,INT(EJ$44-1),MIN($N156,INT(EJ$44-1)+1),$DC156,IF($DD156="No",1,0))/
IF(DR156&gt;INT($N156),$N156-INT($N156),1))*
IF(EJ$44=1,DR156,
IF(INT(DR156)=INT(DQ156),0,DR156-INT(DR156)))))</f>
        <v>0</v>
      </c>
      <c r="EK156" s="835">
        <f>+IF(DS156=DR156,0,
IF(AND(EK$44&gt;1,DS156=$N156),1-SUM($EE156:EJ156),
IF($N156&lt;=1,
IF($N156&gt;0,1/$N156,0),
IF(EK$44=1,0,VDB(1,0,$N156,INT(EK$44-1-1),MIN($N156,INT(EK$44-1-1)+1),$DC156,IF($DD156="No",1,0))/
IF(DR156&gt;=INT($N156),$N156-INT($N156),1)))*
IF(EK$44=1,0,
IF(INT(DS156)=INT(DR156),DS156-DR156,INT(DS156)-DR156))+
IF($N156&lt;=1,
IF($N156&gt;0,1/$N156,0),VDB(1,0,$N156,INT(EK$44-1),MIN($N156,INT(EK$44-1)+1),$DC156,IF($DD156="No",1,0))/
IF(DS156&gt;INT($N156),$N156-INT($N156),1))*
IF(EK$44=1,DS156,
IF(INT(DS156)=INT(DR156),0,DS156-INT(DS156)))))</f>
        <v>0</v>
      </c>
      <c r="EL156" s="835">
        <f>+IF(DT156=DS156,0,
IF(AND(EL$44&gt;1,DT156=$N156),1-SUM($EE156:EK156),
IF($N156&lt;=1,
IF($N156&gt;0,1/$N156,0),
IF(EL$44=1,0,VDB(1,0,$N156,INT(EL$44-1-1),MIN($N156,INT(EL$44-1-1)+1),$DC156,IF($DD156="No",1,0))/
IF(DS156&gt;=INT($N156),$N156-INT($N156),1)))*
IF(EL$44=1,0,
IF(INT(DT156)=INT(DS156),DT156-DS156,INT(DT156)-DS156))+
IF($N156&lt;=1,
IF($N156&gt;0,1/$N156,0),VDB(1,0,$N156,INT(EL$44-1),MIN($N156,INT(EL$44-1)+1),$DC156,IF($DD156="No",1,0))/
IF(DT156&gt;INT($N156),$N156-INT($N156),1))*
IF(EL$44=1,DT156,
IF(INT(DT156)=INT(DS156),0,DT156-INT(DT156)))))</f>
        <v>0</v>
      </c>
      <c r="EM156" s="836">
        <f>+IF(DU156=DT156,0,
IF(AND(EM$44&gt;1,DU156=$N156),1-SUM($EE156:EL156),
IF($N156&lt;=1,
IF($N156&gt;0,1/$N156,0),
IF(EM$44=1,0,VDB(1,0,$N156,INT(EM$44-1-1),MIN($N156,INT(EM$44-1-1)+1),$DC156,IF($DD156="No",1,0))/
IF(DT156&gt;=INT($N156),$N156-INT($N156),1)))*
IF(EM$44=1,0,
IF(INT(DU156)=INT(DT156),DU156-DT156,INT(DU156)-DT156))+
IF($N156&lt;=1,
IF($N156&gt;0,1/$N156,0),VDB(1,0,$N156,INT(EM$44-1),MIN($N156,INT(EM$44-1)+1),$DC156,IF($DD156="No",1,0))/
IF(DU156&gt;INT($N156),$N156-INT($N156),1))*
IF(EM$44=1,DU156,
IF(INT(DU156)=INT(DT156),0,DU156-INT(DU156)))))</f>
        <v>0</v>
      </c>
      <c r="EN156" s="833"/>
      <c r="EO156" s="834">
        <f>+IF(OR(DW156=DV156,EO$44=1),0,
IF(AND(EO$44&gt;1,DW156=$N156),1-SUM($EN156:EN156),
IF($N156&lt;=1,
IF($N156&gt;0,1/$N156,0),
IF(EO$44=2,0,VDB(1,0,$N156,INT(EO$44-2-1),MIN($N156,INT(EO$44-2-1)+1),$DC156,IF($DD156="No",1,0))/
IF(DV156&gt;=INT($N156),$N156-INT($N156),1)))*
IF(EO$44=2,0,
IF(INT(DW156)=INT(DV156),DW156-DV156,INT(DW156)-DV156))+
IF($N156&lt;=1,
IF($N156&gt;0,1/$N156,0),VDB(1,0,$N156,INT(EO$44-2),MIN($N156,INT(EO$44-2)+1),$DC156,IF($DD156="No",1,0))/
IF(DW156&gt;INT($N156),$N156-INT($N156),1))*
IF(EO$44=2,DW156,
IF(INT(DW156)=INT(DV156),0,DW156-INT(DW156)))))</f>
        <v>0</v>
      </c>
      <c r="EP156" s="835">
        <f>+IF(OR(DX156=DW156,EP$44=1),0,
IF(AND(EP$44&gt;1,DX156=$N156),1-SUM($EN156:EO156),
IF($N156&lt;=1,
IF($N156&gt;0,1/$N156,0),
IF(EP$44=2,0,VDB(1,0,$N156,INT(EP$44-2-1),MIN($N156,INT(EP$44-2-1)+1),$DC156,IF($DD156="No",1,0))/
IF(DW156&gt;=INT($N156),$N156-INT($N156),1)))*
IF(EP$44=2,0,
IF(INT(DX156)=INT(DW156),DX156-DW156,INT(DX156)-DW156))+
IF($N156&lt;=1,
IF($N156&gt;0,1/$N156,0),VDB(1,0,$N156,INT(EP$44-2),MIN($N156,INT(EP$44-2)+1),$DC156,IF($DD156="No",1,0))/
IF(DX156&gt;INT($N156),$N156-INT($N156),1))*
IF(EP$44=2,DX156,
IF(INT(DX156)=INT(DW156),0,DX156-INT(DX156)))))</f>
        <v>0</v>
      </c>
      <c r="EQ156" s="836">
        <f>+IF(OR(DY156=DX156,EQ$44=1),0,
IF(AND(EQ$44&gt;1,DY156=$N156),1-SUM($EN156:EP156),
IF($N156&lt;=1,
IF($N156&gt;0,1/$N156,0),
IF(EQ$44=2,0,VDB(1,0,$N156,INT(EQ$44-2-1),MIN($N156,INT(EQ$44-2-1)+1),$DC156,IF($DD156="No",1,0))/
IF(DX156&gt;=INT($N156),$N156-INT($N156),1)))*
IF(EQ$44=2,0,
IF(INT(DY156)=INT(DX156),DY156-DX156,INT(DY156)-DX156))+
IF($N156&lt;=1,
IF($N156&gt;0,1/$N156,0),VDB(1,0,$N156,INT(EQ$44-2),MIN($N156,INT(EQ$44-2)+1),$DC156,IF($DD156="No",1,0))/
IF(DY156&gt;INT($N156),$N156-INT($N156),1))*
IF(EQ$44=2,DY156,
IF(INT(DY156)=INT(DX156),0,DY156-INT(DY156)))))</f>
        <v>0</v>
      </c>
      <c r="ER156" s="834">
        <f>+IF(OR(DZ156=DY156,ER$44=1),0,
IF(AND(ER$44&gt;1,DZ156=$N156),1-SUM($EN156:EQ156),
IF($N156&lt;=1,
IF($N156&gt;0,1/$N156,0),
IF(ER$44=2,0,VDB(1,0,$N156,INT(ER$44-2-1),MIN($N156,INT(ER$44-2-1)+1),$DC156,IF($DD156="No",1,0))/
IF(DY156&gt;=INT($N156),$N156-INT($N156),1)))*
IF(ER$44=2,0,
IF(INT(DZ156)=INT(DY156),DZ156-DY156,INT(DZ156)-DY156))+
IF($N156&lt;=1,
IF($N156&gt;0,1/$N156,0),VDB(1,0,$N156,INT(ER$44-2),MIN($N156,INT(ER$44-2)+1),$DC156,IF($DD156="No",1,0))/
IF(DZ156&gt;INT($N156),$N156-INT($N156),1))*
IF(ER$44=2,DZ156,
IF(INT(DZ156)=INT(DY156),0,DZ156-INT(DZ156)))))</f>
        <v>0</v>
      </c>
      <c r="ES156" s="835">
        <f>+IF(OR(EA156=DZ156,ES$44=1),0,
IF(AND(ES$44&gt;1,EA156=$N156),1-SUM($EN156:ER156),
IF($N156&lt;=1,
IF($N156&gt;0,1/$N156,0),
IF(ES$44=2,0,VDB(1,0,$N156,INT(ES$44-2-1),MIN($N156,INT(ES$44-2-1)+1),$DC156,IF($DD156="No",1,0))/
IF(DZ156&gt;=INT($N156),$N156-INT($N156),1)))*
IF(ES$44=2,0,
IF(INT(EA156)=INT(DZ156),EA156-DZ156,INT(EA156)-DZ156))+
IF($N156&lt;=1,
IF($N156&gt;0,1/$N156,0),VDB(1,0,$N156,INT(ES$44-2),MIN($N156,INT(ES$44-2)+1),$DC156,IF($DD156="No",1,0))/
IF(EA156&gt;INT($N156),$N156-INT($N156),1))*
IF(ES$44=2,EA156,
IF(INT(EA156)=INT(DZ156),0,EA156-INT(EA156)))))</f>
        <v>0</v>
      </c>
      <c r="ET156" s="835">
        <f>+IF(OR(EB156=EA156,ET$44=1),0,
IF(AND(ET$44&gt;1,EB156=$N156),1-SUM($EN156:ES156),
IF($N156&lt;=1,
IF($N156&gt;0,1/$N156,0),
IF(ET$44=2,0,VDB(1,0,$N156,INT(ET$44-2-1),MIN($N156,INT(ET$44-2-1)+1),$DC156,IF($DD156="No",1,0))/
IF(EA156&gt;=INT($N156),$N156-INT($N156),1)))*
IF(ET$44=2,0,
IF(INT(EB156)=INT(EA156),EB156-EA156,INT(EB156)-EA156))+
IF($N156&lt;=1,
IF($N156&gt;0,1/$N156,0),VDB(1,0,$N156,INT(ET$44-2),MIN($N156,INT(ET$44-2)+1),$DC156,IF($DD156="No",1,0))/
IF(EB156&gt;INT($N156),$N156-INT($N156),1))*
IF(ET$44=2,EB156,
IF(INT(EB156)=INT(EA156),0,EB156-INT(EB156)))))</f>
        <v>0</v>
      </c>
      <c r="EU156" s="835">
        <f>+IF(OR(EC156=EB156,EU$44=1),0,
IF(AND(EU$44&gt;1,EC156=$N156),1-SUM($EN156:ET156),
IF($N156&lt;=1,
IF($N156&gt;0,1/$N156,0),
IF(EU$44=2,0,VDB(1,0,$N156,INT(EU$44-2-1),MIN($N156,INT(EU$44-2-1)+1),$DC156,IF($DD156="No",1,0))/
IF(EB156&gt;=INT($N156),$N156-INT($N156),1)))*
IF(EU$44=2,0,
IF(INT(EC156)=INT(EB156),EC156-EB156,INT(EC156)-EB156))+
IF($N156&lt;=1,
IF($N156&gt;0,1/$N156,0),VDB(1,0,$N156,INT(EU$44-2),MIN($N156,INT(EU$44-2)+1),$DC156,IF($DD156="No",1,0))/
IF(EC156&gt;INT($N156),$N156-INT($N156),1))*
IF(EU$44=2,EC156,
IF(INT(EC156)=INT(EB156),0,EC156-INT(EC156)))))</f>
        <v>0</v>
      </c>
      <c r="EV156" s="836">
        <f>+IF(OR(ED156=EC156,EV$44=1),0,
IF(AND(EV$44&gt;1,ED156=$N156),1-SUM($EN156:EU156),
IF($N156&lt;=1,
IF($N156&gt;0,1/$N156,0),
IF(EV$44=2,0,VDB(1,0,$N156,INT(EV$44-2-1),MIN($N156,INT(EV$44-2-1)+1),$DC156,IF($DD156="No",1,0))/
IF(EC156&gt;=INT($N156),$N156-INT($N156),1)))*
IF(EV$44=2,0,
IF(INT(ED156)=INT(EC156),ED156-EC156,INT(ED156)-EC156))+
IF($N156&lt;=1,
IF($N156&gt;0,1/$N156,0),VDB(1,0,$N156,INT(EV$44-2),MIN($N156,INT(EV$44-2)+1),$DC156,IF($DD156="No",1,0))/
IF(ED156&gt;INT($N156),$N156-INT($N156),1))*
IF(EV$44=2,ED156,
IF(INT(ED156)=INT(EC156),0,ED156-INT(ED156)))))</f>
        <v>0</v>
      </c>
      <c r="EW156" s="833"/>
      <c r="EX156" s="834">
        <f t="shared" ca="1" si="303"/>
        <v>0</v>
      </c>
      <c r="EY156" s="835">
        <f t="shared" ca="1" si="303"/>
        <v>0</v>
      </c>
      <c r="EZ156" s="836">
        <f t="shared" ca="1" si="303"/>
        <v>0</v>
      </c>
      <c r="FA156" s="834">
        <f t="shared" ca="1" si="303"/>
        <v>0</v>
      </c>
      <c r="FB156" s="835">
        <f t="shared" ca="1" si="303"/>
        <v>0</v>
      </c>
      <c r="FC156" s="835">
        <f t="shared" ca="1" si="303"/>
        <v>0</v>
      </c>
      <c r="FD156" s="835">
        <f t="shared" ca="1" si="303"/>
        <v>0</v>
      </c>
      <c r="FE156" s="836">
        <f t="shared" ca="1" si="303"/>
        <v>0</v>
      </c>
      <c r="FG156" s="386">
        <f t="shared" ca="1" si="293"/>
        <v>0</v>
      </c>
      <c r="FH156" s="387">
        <f t="shared" ca="1" si="294"/>
        <v>0</v>
      </c>
      <c r="FI156" s="388">
        <f t="shared" ca="1" si="295"/>
        <v>0</v>
      </c>
      <c r="FJ156" s="386">
        <f t="shared" ca="1" si="296"/>
        <v>0</v>
      </c>
      <c r="FK156" s="387">
        <f t="shared" ca="1" si="297"/>
        <v>0</v>
      </c>
      <c r="FL156" s="387">
        <f t="shared" ca="1" si="298"/>
        <v>0</v>
      </c>
      <c r="FM156" s="387">
        <f t="shared" ca="1" si="299"/>
        <v>0</v>
      </c>
      <c r="FN156" s="388">
        <f t="shared" ca="1" si="300"/>
        <v>0</v>
      </c>
      <c r="FR156" s="116"/>
    </row>
    <row r="157" spans="2:174">
      <c r="B157" s="1410">
        <f t="shared" si="302"/>
        <v>111</v>
      </c>
      <c r="C157" s="400" t="s">
        <v>667</v>
      </c>
      <c r="D157" s="410"/>
      <c r="E157" s="402" t="s">
        <v>411</v>
      </c>
      <c r="F157" s="402" t="s">
        <v>514</v>
      </c>
      <c r="G157" s="400" t="s">
        <v>437</v>
      </c>
      <c r="H157" s="2088" t="s">
        <v>483</v>
      </c>
      <c r="I157" s="2089"/>
      <c r="J157" s="411" t="s">
        <v>516</v>
      </c>
      <c r="K157" s="403" t="s">
        <v>544</v>
      </c>
      <c r="L157" s="403">
        <v>10</v>
      </c>
      <c r="M157" s="403" t="s">
        <v>142</v>
      </c>
      <c r="N157" s="403"/>
      <c r="O157" s="347"/>
      <c r="P157" s="347"/>
      <c r="Q157" s="1021">
        <v>5.9441197875814561E-3</v>
      </c>
      <c r="R157" s="1022">
        <v>2.7129162819480245E-3</v>
      </c>
      <c r="S157" s="1022">
        <v>4.4587565400521584E-2</v>
      </c>
      <c r="T157" s="1022">
        <v>1.6485651805940651E-2</v>
      </c>
      <c r="U157" s="1023">
        <v>1.6755508471992004E-3</v>
      </c>
      <c r="V157" s="1021">
        <v>4.3704100900081597E-3</v>
      </c>
      <c r="W157" s="1022">
        <v>4.2638147219591803E-3</v>
      </c>
      <c r="X157" s="1022">
        <v>4.1598192409357864E-3</v>
      </c>
      <c r="Y157" s="1022">
        <v>4.0583602350593041E-3</v>
      </c>
      <c r="Z157" s="1023">
        <v>3.9593758390822475E-3</v>
      </c>
      <c r="AA157" s="1024"/>
      <c r="AB157" s="1021">
        <v>0</v>
      </c>
      <c r="AC157" s="1022">
        <v>0</v>
      </c>
      <c r="AD157" s="1022">
        <v>0</v>
      </c>
      <c r="AE157" s="1022">
        <v>0</v>
      </c>
      <c r="AF157" s="1023">
        <v>0</v>
      </c>
      <c r="AG157" s="1021">
        <v>0</v>
      </c>
      <c r="AH157" s="1022">
        <v>0</v>
      </c>
      <c r="AI157" s="1022">
        <v>0</v>
      </c>
      <c r="AJ157" s="1022">
        <v>0</v>
      </c>
      <c r="AK157" s="1023">
        <v>0</v>
      </c>
      <c r="AL157" s="1024"/>
      <c r="AM157" s="1021">
        <v>0</v>
      </c>
      <c r="AN157" s="1022">
        <v>0</v>
      </c>
      <c r="AO157" s="1022">
        <v>0</v>
      </c>
      <c r="AP157" s="1022">
        <v>0</v>
      </c>
      <c r="AQ157" s="1023">
        <v>0</v>
      </c>
      <c r="AR157" s="1021">
        <v>0</v>
      </c>
      <c r="AS157" s="1022">
        <v>0</v>
      </c>
      <c r="AT157" s="1022">
        <v>0</v>
      </c>
      <c r="AU157" s="1022">
        <v>0</v>
      </c>
      <c r="AV157" s="1023">
        <v>0</v>
      </c>
      <c r="AW157" s="1025"/>
      <c r="AX157" s="1282">
        <f t="shared" si="247"/>
        <v>5.9441197875814561E-3</v>
      </c>
      <c r="AY157" s="387">
        <f t="shared" si="248"/>
        <v>2.7129162819480245E-3</v>
      </c>
      <c r="AZ157" s="387">
        <f t="shared" si="249"/>
        <v>4.4587565400521584E-2</v>
      </c>
      <c r="BA157" s="387">
        <f t="shared" si="250"/>
        <v>1.6485651805940651E-2</v>
      </c>
      <c r="BB157" s="1283">
        <f t="shared" si="251"/>
        <v>1.6755508471992004E-3</v>
      </c>
      <c r="BC157" s="386">
        <f t="shared" si="252"/>
        <v>4.3704100900081597E-3</v>
      </c>
      <c r="BD157" s="387">
        <f t="shared" si="253"/>
        <v>4.2638147219591803E-3</v>
      </c>
      <c r="BE157" s="1277">
        <f t="shared" si="254"/>
        <v>4.1598192409357864E-3</v>
      </c>
      <c r="BF157" s="1277">
        <f t="shared" si="255"/>
        <v>4.0583602350593041E-3</v>
      </c>
      <c r="BG157" s="388">
        <f t="shared" si="256"/>
        <v>3.9593758390822475E-3</v>
      </c>
      <c r="BH157" s="1025"/>
      <c r="BI157" s="1282">
        <f t="shared" ca="1" si="257"/>
        <v>2.9720598937907279E-4</v>
      </c>
      <c r="BJ157" s="387">
        <f t="shared" ca="1" si="258"/>
        <v>7.3005779285554683E-4</v>
      </c>
      <c r="BK157" s="387">
        <f t="shared" ca="1" si="259"/>
        <v>3.0950818769790276E-3</v>
      </c>
      <c r="BL157" s="387">
        <f t="shared" ca="1" si="260"/>
        <v>6.1487427373021391E-3</v>
      </c>
      <c r="BM157" s="1283">
        <f t="shared" ca="1" si="261"/>
        <v>7.0568028699591326E-3</v>
      </c>
      <c r="BN157" s="386">
        <f t="shared" ca="1" si="262"/>
        <v>7.3591009168195E-3</v>
      </c>
      <c r="BO157" s="387">
        <f t="shared" ca="1" si="263"/>
        <v>7.7908121574178663E-3</v>
      </c>
      <c r="BP157" s="1277">
        <f t="shared" ca="1" si="264"/>
        <v>8.2119938555626146E-3</v>
      </c>
      <c r="BQ157" s="1277">
        <f t="shared" ca="1" si="265"/>
        <v>8.6229028293623687E-3</v>
      </c>
      <c r="BR157" s="388">
        <f t="shared" ca="1" si="266"/>
        <v>9.0237896330694466E-3</v>
      </c>
      <c r="BS157" s="1025"/>
      <c r="BT157" s="1282">
        <f>+IF($K157="Ongoing",AX157,IF(RIGHT($K157,2)=RIGHT(BT$43,2),SUM($AX157:AX157),0)+IF(RIGHT(BT$43,2)&gt;RIGHT($K157,2),AX157,0))</f>
        <v>5.9441197875814561E-3</v>
      </c>
      <c r="BU157" s="387">
        <f>+IF($K157="Ongoing",AY157,IF(RIGHT($K157,2)=RIGHT(BU$43,2),SUM($AX157:AY157),0)+IF(RIGHT(BU$43,2)&gt;RIGHT($K157,2),AY157,0))</f>
        <v>2.7129162819480245E-3</v>
      </c>
      <c r="BV157" s="387">
        <f>+IF($K157="Ongoing",AZ157,IF(RIGHT($K157,2)=RIGHT(BV$43,2),SUM($AX157:AZ157),0)+IF(RIGHT(BV$43,2)&gt;RIGHT($K157,2),AZ157,0))</f>
        <v>4.4587565400521584E-2</v>
      </c>
      <c r="BW157" s="387">
        <f>+IF($K157="Ongoing",BA157,IF(RIGHT($K157,2)=RIGHT(BW$43,2),SUM($AX157:BA157),0)+IF(RIGHT(BW$43,2)&gt;RIGHT($K157,2),BA157,0))</f>
        <v>1.6485651805940651E-2</v>
      </c>
      <c r="BX157" s="1283">
        <f>+IF($K157="Ongoing",BB157,IF(RIGHT($K157,2)=RIGHT(BX$43,2),SUM($AX157:BB157),0)+IF(RIGHT(BX$43,2)&gt;RIGHT($K157,2),BB157,0))</f>
        <v>1.6755508471992004E-3</v>
      </c>
      <c r="BY157" s="386">
        <f>+IF($K157="Ongoing",BC157,IF(RIGHT($K157,2)=RIGHT(BY$43,2),SUM($AX157:BC157),0)+IF(RIGHT(BY$43,2)&gt;RIGHT($K157,2),BC157,0))</f>
        <v>4.3704100900081597E-3</v>
      </c>
      <c r="BZ157" s="387">
        <f>+IF($K157="Ongoing",BD157,IF(RIGHT($K157,2)=RIGHT(BZ$43,2),SUM($AX157:BD157),0)+IF(RIGHT(BZ$43,2)&gt;RIGHT($K157,2),BD157,0))</f>
        <v>4.2638147219591803E-3</v>
      </c>
      <c r="CA157" s="1277">
        <f>+IF($K157="Ongoing",BE157,IF(RIGHT($K157,2)=RIGHT(CA$43,2),SUM($AX157:BE157),0)+IF(RIGHT(CA$43,2)&gt;RIGHT($K157,2),BE157,0))</f>
        <v>4.1598192409357864E-3</v>
      </c>
      <c r="CB157" s="1277">
        <f>+IF($K157="Ongoing",BF157,IF(RIGHT($K157,2)=RIGHT(CB$43,2),SUM($AX157:BF157),0)+IF(RIGHT(CB$43,2)&gt;RIGHT($K157,2),BF157,0))</f>
        <v>4.0583602350593041E-3</v>
      </c>
      <c r="CC157" s="388">
        <f>+IF($K157="Ongoing",BG157,IF(RIGHT($K157,2)=RIGHT(CC$43,2),SUM($AX157:BG157),0)+IF(RIGHT(CC$43,2)&gt;RIGHT($K157,2),BG157,0))</f>
        <v>3.9593758390822475E-3</v>
      </c>
      <c r="CD157" s="1025"/>
      <c r="CE157" s="1282">
        <f>+Q157*KeyAssumptionsPriceControl_FO!AF$15</f>
        <v>6.1164992614213178E-3</v>
      </c>
      <c r="CF157" s="387">
        <f>+R157*KeyAssumptionsPriceControl_FO!AG$15</f>
        <v>2.8725469888941282E-3</v>
      </c>
      <c r="CG157" s="387">
        <f>+S157*KeyAssumptionsPriceControl_FO!AH$15</f>
        <v>4.8580265464005019E-2</v>
      </c>
      <c r="CH157" s="387">
        <f>+T157*KeyAssumptionsPriceControl_FO!AI$15</f>
        <v>1.8482793948678414E-2</v>
      </c>
      <c r="CI157" s="1283">
        <f>+U157*KeyAssumptionsPriceControl_FO!AJ$15</f>
        <v>1.9330117125580194E-3</v>
      </c>
      <c r="CJ157" s="386">
        <f>+V157*KeyAssumptionsPriceControl_FO!AK$15</f>
        <v>5.1881728746614349E-3</v>
      </c>
      <c r="CK157" s="387">
        <f>+W157*KeyAssumptionsPriceControl_FO!AL$15</f>
        <v>5.2084194029527959E-3</v>
      </c>
      <c r="CL157" s="1277">
        <f>+X157*KeyAssumptionsPriceControl_FO!AM$15</f>
        <v>5.2287449420862714E-3</v>
      </c>
      <c r="CM157" s="1277">
        <f>+Y157*KeyAssumptionsPriceControl_FO!AN$15</f>
        <v>5.2491498003968519E-3</v>
      </c>
      <c r="CN157" s="388">
        <f>+Z157*KeyAssumptionsPriceControl_FO!AO$15</f>
        <v>5.26963428742279E-3</v>
      </c>
      <c r="CO157" s="1025"/>
      <c r="CP157" s="1282">
        <f t="shared" ca="1" si="267"/>
        <v>0</v>
      </c>
      <c r="CQ157" s="387">
        <f t="shared" ca="1" si="268"/>
        <v>0</v>
      </c>
      <c r="CR157" s="387">
        <f t="shared" ca="1" si="269"/>
        <v>0</v>
      </c>
      <c r="CS157" s="387">
        <f t="shared" ca="1" si="270"/>
        <v>0</v>
      </c>
      <c r="CT157" s="1283">
        <f t="shared" ca="1" si="271"/>
        <v>0</v>
      </c>
      <c r="CU157" s="386">
        <f t="shared" ca="1" si="272"/>
        <v>0</v>
      </c>
      <c r="CV157" s="387">
        <f t="shared" ca="1" si="273"/>
        <v>0</v>
      </c>
      <c r="CW157" s="1277">
        <f t="shared" ca="1" si="274"/>
        <v>0</v>
      </c>
      <c r="CX157" s="1277">
        <f t="shared" ca="1" si="275"/>
        <v>0</v>
      </c>
      <c r="CY157" s="388">
        <f t="shared" ca="1" si="276"/>
        <v>0</v>
      </c>
      <c r="CZ157" s="347"/>
      <c r="DA157" s="852"/>
      <c r="DB157" s="347"/>
      <c r="DC157" s="1012" t="s">
        <v>669</v>
      </c>
      <c r="DD157" s="841" t="s">
        <v>518</v>
      </c>
      <c r="DE157" s="386">
        <f>+IF($K157="ongoing",CE157,IF(RIGHT($K157,2)=RIGHT(DE$43,2),SUM($CD157:CE157),0)+IF(RIGHT(DE$43,2)&gt;RIGHT($K157,2),CE157,0))</f>
        <v>6.1164992614213178E-3</v>
      </c>
      <c r="DF157" s="387">
        <f>+IF($K157="ongoing",CF157,IF(RIGHT($K157,2)=RIGHT(DF$43,2),SUM($CD157:CF157),0)+IF(RIGHT(DF$43,2)&gt;RIGHT($K157,2),CF157,0))</f>
        <v>2.8725469888941282E-3</v>
      </c>
      <c r="DG157" s="388">
        <f>+IF($K157="ongoing",CG157,IF(RIGHT($K157,2)=RIGHT(DG$43,2),SUM($CD157:CG157),0)+IF(RIGHT(DG$43,2)&gt;RIGHT($K157,2),CG157,0))</f>
        <v>4.8580265464005019E-2</v>
      </c>
      <c r="DH157" s="386">
        <f>+IF($K157="ongoing",CH157,IF(RIGHT($K157,2)=RIGHT(DH$43,2),SUM($CD157:CH157),0)+IF(RIGHT(DH$43,2)&gt;RIGHT($K157,2),CH157,0))</f>
        <v>1.8482793948678414E-2</v>
      </c>
      <c r="DI157" s="387">
        <f>+IF($K157="ongoing",CI157,IF(RIGHT($K157,2)=RIGHT(DI$43,2),SUM($CD157:CI157),0)+IF(RIGHT(DI$43,2)&gt;RIGHT($K157,2),CI157,0))</f>
        <v>1.9330117125580194E-3</v>
      </c>
      <c r="DJ157" s="387">
        <f>+IF($K157="ongoing",CJ157,IF(RIGHT($K157,2)=RIGHT(DJ$43,2),SUM($CD157:CJ157),0)+IF(RIGHT(DJ$43,2)&gt;RIGHT($K157,2),CJ157,0))</f>
        <v>5.1881728746614349E-3</v>
      </c>
      <c r="DK157" s="387">
        <f>+IF($K157="ongoing",CK157,IF(RIGHT($K157,2)=RIGHT(DK$43,2),SUM($CD157:CK157),0)+IF(RIGHT(DK$43,2)&gt;RIGHT($K157,2),CK157,0))</f>
        <v>5.2084194029527959E-3</v>
      </c>
      <c r="DL157" s="388">
        <f>+IF($K157="ongoing",CN157,IF(RIGHT($K157,2)=RIGHT(DL$43,2),SUM($CD157:CN157),0)+IF(RIGHT(DL$43,2)&gt;RIGHT($K157,2),CN157,0))</f>
        <v>5.26963428742279E-3</v>
      </c>
      <c r="DM157" s="841"/>
      <c r="DN157" s="386">
        <f t="shared" si="277"/>
        <v>0.5</v>
      </c>
      <c r="DO157" s="387">
        <f t="shared" si="278"/>
        <v>1</v>
      </c>
      <c r="DP157" s="388">
        <f t="shared" si="279"/>
        <v>1</v>
      </c>
      <c r="DQ157" s="386">
        <f t="shared" si="280"/>
        <v>1</v>
      </c>
      <c r="DR157" s="387">
        <f t="shared" si="281"/>
        <v>1</v>
      </c>
      <c r="DS157" s="387">
        <f t="shared" si="282"/>
        <v>1</v>
      </c>
      <c r="DT157" s="387">
        <f t="shared" si="283"/>
        <v>1</v>
      </c>
      <c r="DU157" s="388">
        <f t="shared" si="284"/>
        <v>1</v>
      </c>
      <c r="DW157" s="386">
        <f t="shared" si="285"/>
        <v>0</v>
      </c>
      <c r="DX157" s="387">
        <f t="shared" si="286"/>
        <v>0.5</v>
      </c>
      <c r="DY157" s="388">
        <f t="shared" si="287"/>
        <v>1</v>
      </c>
      <c r="DZ157" s="386">
        <f t="shared" si="288"/>
        <v>1</v>
      </c>
      <c r="EA157" s="387">
        <f t="shared" si="289"/>
        <v>1</v>
      </c>
      <c r="EB157" s="387">
        <f t="shared" si="290"/>
        <v>1</v>
      </c>
      <c r="EC157" s="387">
        <f t="shared" si="291"/>
        <v>1</v>
      </c>
      <c r="ED157" s="388">
        <f t="shared" si="292"/>
        <v>1</v>
      </c>
      <c r="EF157" s="834">
        <f>+IF(DN157=DM157,0,
IF(AND(EF$44&gt;1,DN157=$N157),1-SUM($EE157:EE157),
IF($N157&lt;=1,
IF($N157&gt;0,1/$N157,0),
IF(EF$44=1,0,VDB(1,0,$N157,INT(EF$44-1-1),MIN($N157,INT(EF$44-1-1)+1),$DC157,IF($DD157="No",1,0))/
IF(DM157&gt;=INT($N157),$N157-INT($N157),1)))*
IF(EF$44=1,0,
IF(INT(DN157)=INT(DM157),DN157-DM157,INT(DN157)-DM157))+
IF($N157&lt;=1,
IF($N157&gt;0,1/$N157,0),VDB(1,0,$N157,INT(EF$44-1),MIN($N157,INT(EF$44-1)+1),$DC157,IF($DD157="No",1,0))/
IF(DN157&gt;INT($N157),$N157-INT($N157),1))*
IF(EF$44=1,DN157,
IF(INT(DN157)=INT(DM157),0,DN157-INT(DN157)))))</f>
        <v>0</v>
      </c>
      <c r="EG157" s="835">
        <f>+IF(DO157=DN157,0,
IF(AND(EG$44&gt;1,DO157=$N157),1-SUM($EE157:EF157),
IF($N157&lt;=1,
IF($N157&gt;0,1/$N157,0),
IF(EG$44=1,0,VDB(1,0,$N157,INT(EG$44-1-1),MIN($N157,INT(EG$44-1-1)+1),$DC157,IF($DD157="No",1,0))/
IF(DN157&gt;=INT($N157),$N157-INT($N157),1)))*
IF(EG$44=1,0,
IF(INT(DO157)=INT(DN157),DO157-DN157,INT(DO157)-DN157))+
IF($N157&lt;=1,
IF($N157&gt;0,1/$N157,0),VDB(1,0,$N157,INT(EG$44-1),MIN($N157,INT(EG$44-1)+1),$DC157,IF($DD157="No",1,0))/
IF(DO157&gt;INT($N157),$N157-INT($N157),1))*
IF(EG$44=1,DO157,
IF(INT(DO157)=INT(DN157),0,DO157-INT(DO157)))))</f>
        <v>0</v>
      </c>
      <c r="EH157" s="836">
        <f>+IF(DP157=DO157,0,
IF(AND(EH$44&gt;1,DP157=$N157),1-SUM($EE157:EG157),
IF($N157&lt;=1,
IF($N157&gt;0,1/$N157,0),
IF(EH$44=1,0,VDB(1,0,$N157,INT(EH$44-1-1),MIN($N157,INT(EH$44-1-1)+1),$DC157,IF($DD157="No",1,0))/
IF(DO157&gt;=INT($N157),$N157-INT($N157),1)))*
IF(EH$44=1,0,
IF(INT(DP157)=INT(DO157),DP157-DO157,INT(DP157)-DO157))+
IF($N157&lt;=1,
IF($N157&gt;0,1/$N157,0),VDB(1,0,$N157,INT(EH$44-1),MIN($N157,INT(EH$44-1)+1),$DC157,IF($DD157="No",1,0))/
IF(DP157&gt;INT($N157),$N157-INT($N157),1))*
IF(EH$44=1,DP157,
IF(INT(DP157)=INT(DO157),0,DP157-INT(DP157)))))</f>
        <v>0</v>
      </c>
      <c r="EI157" s="834">
        <f>+IF(DQ157=DP157,0,
IF(AND(EI$44&gt;1,DQ157=$N157),1-SUM($EE157:EH157),
IF($N157&lt;=1,
IF($N157&gt;0,1/$N157,0),
IF(EI$44=1,0,VDB(1,0,$N157,INT(EI$44-1-1),MIN($N157,INT(EI$44-1-1)+1),$DC157,IF($DD157="No",1,0))/
IF(DP157&gt;=INT($N157),$N157-INT($N157),1)))*
IF(EI$44=1,0,
IF(INT(DQ157)=INT(DP157),DQ157-DP157,INT(DQ157)-DP157))+
IF($N157&lt;=1,
IF($N157&gt;0,1/$N157,0),VDB(1,0,$N157,INT(EI$44-1),MIN($N157,INT(EI$44-1)+1),$DC157,IF($DD157="No",1,0))/
IF(DQ157&gt;INT($N157),$N157-INT($N157),1))*
IF(EI$44=1,DQ157,
IF(INT(DQ157)=INT(DP157),0,DQ157-INT(DQ157)))))</f>
        <v>0</v>
      </c>
      <c r="EJ157" s="835">
        <f>+IF(DR157=DQ157,0,
IF(AND(EJ$44&gt;1,DR157=$N157),1-SUM($EE157:EI157),
IF($N157&lt;=1,
IF($N157&gt;0,1/$N157,0),
IF(EJ$44=1,0,VDB(1,0,$N157,INT(EJ$44-1-1),MIN($N157,INT(EJ$44-1-1)+1),$DC157,IF($DD157="No",1,0))/
IF(DQ157&gt;=INT($N157),$N157-INT($N157),1)))*
IF(EJ$44=1,0,
IF(INT(DR157)=INT(DQ157),DR157-DQ157,INT(DR157)-DQ157))+
IF($N157&lt;=1,
IF($N157&gt;0,1/$N157,0),VDB(1,0,$N157,INT(EJ$44-1),MIN($N157,INT(EJ$44-1)+1),$DC157,IF($DD157="No",1,0))/
IF(DR157&gt;INT($N157),$N157-INT($N157),1))*
IF(EJ$44=1,DR157,
IF(INT(DR157)=INT(DQ157),0,DR157-INT(DR157)))))</f>
        <v>0</v>
      </c>
      <c r="EK157" s="835">
        <f>+IF(DS157=DR157,0,
IF(AND(EK$44&gt;1,DS157=$N157),1-SUM($EE157:EJ157),
IF($N157&lt;=1,
IF($N157&gt;0,1/$N157,0),
IF(EK$44=1,0,VDB(1,0,$N157,INT(EK$44-1-1),MIN($N157,INT(EK$44-1-1)+1),$DC157,IF($DD157="No",1,0))/
IF(DR157&gt;=INT($N157),$N157-INT($N157),1)))*
IF(EK$44=1,0,
IF(INT(DS157)=INT(DR157),DS157-DR157,INT(DS157)-DR157))+
IF($N157&lt;=1,
IF($N157&gt;0,1/$N157,0),VDB(1,0,$N157,INT(EK$44-1),MIN($N157,INT(EK$44-1)+1),$DC157,IF($DD157="No",1,0))/
IF(DS157&gt;INT($N157),$N157-INT($N157),1))*
IF(EK$44=1,DS157,
IF(INT(DS157)=INT(DR157),0,DS157-INT(DS157)))))</f>
        <v>0</v>
      </c>
      <c r="EL157" s="835">
        <f>+IF(DT157=DS157,0,
IF(AND(EL$44&gt;1,DT157=$N157),1-SUM($EE157:EK157),
IF($N157&lt;=1,
IF($N157&gt;0,1/$N157,0),
IF(EL$44=1,0,VDB(1,0,$N157,INT(EL$44-1-1),MIN($N157,INT(EL$44-1-1)+1),$DC157,IF($DD157="No",1,0))/
IF(DS157&gt;=INT($N157),$N157-INT($N157),1)))*
IF(EL$44=1,0,
IF(INT(DT157)=INT(DS157),DT157-DS157,INT(DT157)-DS157))+
IF($N157&lt;=1,
IF($N157&gt;0,1/$N157,0),VDB(1,0,$N157,INT(EL$44-1),MIN($N157,INT(EL$44-1)+1),$DC157,IF($DD157="No",1,0))/
IF(DT157&gt;INT($N157),$N157-INT($N157),1))*
IF(EL$44=1,DT157,
IF(INT(DT157)=INT(DS157),0,DT157-INT(DT157)))))</f>
        <v>0</v>
      </c>
      <c r="EM157" s="836">
        <f>+IF(DU157=DT157,0,
IF(AND(EM$44&gt;1,DU157=$N157),1-SUM($EE157:EL157),
IF($N157&lt;=1,
IF($N157&gt;0,1/$N157,0),
IF(EM$44=1,0,VDB(1,0,$N157,INT(EM$44-1-1),MIN($N157,INT(EM$44-1-1)+1),$DC157,IF($DD157="No",1,0))/
IF(DT157&gt;=INT($N157),$N157-INT($N157),1)))*
IF(EM$44=1,0,
IF(INT(DU157)=INT(DT157),DU157-DT157,INT(DU157)-DT157))+
IF($N157&lt;=1,
IF($N157&gt;0,1/$N157,0),VDB(1,0,$N157,INT(EM$44-1),MIN($N157,INT(EM$44-1)+1),$DC157,IF($DD157="No",1,0))/
IF(DU157&gt;INT($N157),$N157-INT($N157),1))*
IF(EM$44=1,DU157,
IF(INT(DU157)=INT(DT157),0,DU157-INT(DU157)))))</f>
        <v>0</v>
      </c>
      <c r="EN157" s="833"/>
      <c r="EO157" s="834">
        <f>+IF(OR(DW157=DV157,EO$44=1),0,
IF(AND(EO$44&gt;1,DW157=$N157),1-SUM($EN157:EN157),
IF($N157&lt;=1,
IF($N157&gt;0,1/$N157,0),
IF(EO$44=2,0,VDB(1,0,$N157,INT(EO$44-2-1),MIN($N157,INT(EO$44-2-1)+1),$DC157,IF($DD157="No",1,0))/
IF(DV157&gt;=INT($N157),$N157-INT($N157),1)))*
IF(EO$44=2,0,
IF(INT(DW157)=INT(DV157),DW157-DV157,INT(DW157)-DV157))+
IF($N157&lt;=1,
IF($N157&gt;0,1/$N157,0),VDB(1,0,$N157,INT(EO$44-2),MIN($N157,INT(EO$44-2)+1),$DC157,IF($DD157="No",1,0))/
IF(DW157&gt;INT($N157),$N157-INT($N157),1))*
IF(EO$44=2,DW157,
IF(INT(DW157)=INT(DV157),0,DW157-INT(DW157)))))</f>
        <v>0</v>
      </c>
      <c r="EP157" s="835">
        <f>+IF(OR(DX157=DW157,EP$44=1),0,
IF(AND(EP$44&gt;1,DX157=$N157),1-SUM($EN157:EO157),
IF($N157&lt;=1,
IF($N157&gt;0,1/$N157,0),
IF(EP$44=2,0,VDB(1,0,$N157,INT(EP$44-2-1),MIN($N157,INT(EP$44-2-1)+1),$DC157,IF($DD157="No",1,0))/
IF(DW157&gt;=INT($N157),$N157-INT($N157),1)))*
IF(EP$44=2,0,
IF(INT(DX157)=INT(DW157),DX157-DW157,INT(DX157)-DW157))+
IF($N157&lt;=1,
IF($N157&gt;0,1/$N157,0),VDB(1,0,$N157,INT(EP$44-2),MIN($N157,INT(EP$44-2)+1),$DC157,IF($DD157="No",1,0))/
IF(DX157&gt;INT($N157),$N157-INT($N157),1))*
IF(EP$44=2,DX157,
IF(INT(DX157)=INT(DW157),0,DX157-INT(DX157)))))</f>
        <v>0</v>
      </c>
      <c r="EQ157" s="836">
        <f>+IF(OR(DY157=DX157,EQ$44=1),0,
IF(AND(EQ$44&gt;1,DY157=$N157),1-SUM($EN157:EP157),
IF($N157&lt;=1,
IF($N157&gt;0,1/$N157,0),
IF(EQ$44=2,0,VDB(1,0,$N157,INT(EQ$44-2-1),MIN($N157,INT(EQ$44-2-1)+1),$DC157,IF($DD157="No",1,0))/
IF(DX157&gt;=INT($N157),$N157-INT($N157),1)))*
IF(EQ$44=2,0,
IF(INT(DY157)=INT(DX157),DY157-DX157,INT(DY157)-DX157))+
IF($N157&lt;=1,
IF($N157&gt;0,1/$N157,0),VDB(1,0,$N157,INT(EQ$44-2),MIN($N157,INT(EQ$44-2)+1),$DC157,IF($DD157="No",1,0))/
IF(DY157&gt;INT($N157),$N157-INT($N157),1))*
IF(EQ$44=2,DY157,
IF(INT(DY157)=INT(DX157),0,DY157-INT(DY157)))))</f>
        <v>0</v>
      </c>
      <c r="ER157" s="834">
        <f>+IF(OR(DZ157=DY157,ER$44=1),0,
IF(AND(ER$44&gt;1,DZ157=$N157),1-SUM($EN157:EQ157),
IF($N157&lt;=1,
IF($N157&gt;0,1/$N157,0),
IF(ER$44=2,0,VDB(1,0,$N157,INT(ER$44-2-1),MIN($N157,INT(ER$44-2-1)+1),$DC157,IF($DD157="No",1,0))/
IF(DY157&gt;=INT($N157),$N157-INT($N157),1)))*
IF(ER$44=2,0,
IF(INT(DZ157)=INT(DY157),DZ157-DY157,INT(DZ157)-DY157))+
IF($N157&lt;=1,
IF($N157&gt;0,1/$N157,0),VDB(1,0,$N157,INT(ER$44-2),MIN($N157,INT(ER$44-2)+1),$DC157,IF($DD157="No",1,0))/
IF(DZ157&gt;INT($N157),$N157-INT($N157),1))*
IF(ER$44=2,DZ157,
IF(INT(DZ157)=INT(DY157),0,DZ157-INT(DZ157)))))</f>
        <v>0</v>
      </c>
      <c r="ES157" s="835">
        <f>+IF(OR(EA157=DZ157,ES$44=1),0,
IF(AND(ES$44&gt;1,EA157=$N157),1-SUM($EN157:ER157),
IF($N157&lt;=1,
IF($N157&gt;0,1/$N157,0),
IF(ES$44=2,0,VDB(1,0,$N157,INT(ES$44-2-1),MIN($N157,INT(ES$44-2-1)+1),$DC157,IF($DD157="No",1,0))/
IF(DZ157&gt;=INT($N157),$N157-INT($N157),1)))*
IF(ES$44=2,0,
IF(INT(EA157)=INT(DZ157),EA157-DZ157,INT(EA157)-DZ157))+
IF($N157&lt;=1,
IF($N157&gt;0,1/$N157,0),VDB(1,0,$N157,INT(ES$44-2),MIN($N157,INT(ES$44-2)+1),$DC157,IF($DD157="No",1,0))/
IF(EA157&gt;INT($N157),$N157-INT($N157),1))*
IF(ES$44=2,EA157,
IF(INT(EA157)=INT(DZ157),0,EA157-INT(EA157)))))</f>
        <v>0</v>
      </c>
      <c r="ET157" s="835">
        <f>+IF(OR(EB157=EA157,ET$44=1),0,
IF(AND(ET$44&gt;1,EB157=$N157),1-SUM($EN157:ES157),
IF($N157&lt;=1,
IF($N157&gt;0,1/$N157,0),
IF(ET$44=2,0,VDB(1,0,$N157,INT(ET$44-2-1),MIN($N157,INT(ET$44-2-1)+1),$DC157,IF($DD157="No",1,0))/
IF(EA157&gt;=INT($N157),$N157-INT($N157),1)))*
IF(ET$44=2,0,
IF(INT(EB157)=INT(EA157),EB157-EA157,INT(EB157)-EA157))+
IF($N157&lt;=1,
IF($N157&gt;0,1/$N157,0),VDB(1,0,$N157,INT(ET$44-2),MIN($N157,INT(ET$44-2)+1),$DC157,IF($DD157="No",1,0))/
IF(EB157&gt;INT($N157),$N157-INT($N157),1))*
IF(ET$44=2,EB157,
IF(INT(EB157)=INT(EA157),0,EB157-INT(EB157)))))</f>
        <v>0</v>
      </c>
      <c r="EU157" s="835">
        <f>+IF(OR(EC157=EB157,EU$44=1),0,
IF(AND(EU$44&gt;1,EC157=$N157),1-SUM($EN157:ET157),
IF($N157&lt;=1,
IF($N157&gt;0,1/$N157,0),
IF(EU$44=2,0,VDB(1,0,$N157,INT(EU$44-2-1),MIN($N157,INT(EU$44-2-1)+1),$DC157,IF($DD157="No",1,0))/
IF(EB157&gt;=INT($N157),$N157-INT($N157),1)))*
IF(EU$44=2,0,
IF(INT(EC157)=INT(EB157),EC157-EB157,INT(EC157)-EB157))+
IF($N157&lt;=1,
IF($N157&gt;0,1/$N157,0),VDB(1,0,$N157,INT(EU$44-2),MIN($N157,INT(EU$44-2)+1),$DC157,IF($DD157="No",1,0))/
IF(EC157&gt;INT($N157),$N157-INT($N157),1))*
IF(EU$44=2,EC157,
IF(INT(EC157)=INT(EB157),0,EC157-INT(EC157)))))</f>
        <v>0</v>
      </c>
      <c r="EV157" s="836">
        <f>+IF(OR(ED157=EC157,EV$44=1),0,
IF(AND(EV$44&gt;1,ED157=$N157),1-SUM($EN157:EU157),
IF($N157&lt;=1,
IF($N157&gt;0,1/$N157,0),
IF(EV$44=2,0,VDB(1,0,$N157,INT(EV$44-2-1),MIN($N157,INT(EV$44-2-1)+1),$DC157,IF($DD157="No",1,0))/
IF(EC157&gt;=INT($N157),$N157-INT($N157),1)))*
IF(EV$44=2,0,
IF(INT(ED157)=INT(EC157),ED157-EC157,INT(ED157)-EC157))+
IF($N157&lt;=1,
IF($N157&gt;0,1/$N157,0),VDB(1,0,$N157,INT(EV$44-2),MIN($N157,INT(EV$44-2)+1),$DC157,IF($DD157="No",1,0))/
IF(ED157&gt;INT($N157),$N157-INT($N157),1))*
IF(EV$44=2,ED157,
IF(INT(ED157)=INT(EC157),0,ED157-INT(ED157)))))</f>
        <v>0</v>
      </c>
      <c r="EW157" s="833"/>
      <c r="EX157" s="834">
        <f t="shared" ca="1" si="303"/>
        <v>0</v>
      </c>
      <c r="EY157" s="835">
        <f t="shared" ca="1" si="303"/>
        <v>0</v>
      </c>
      <c r="EZ157" s="836">
        <f t="shared" ca="1" si="303"/>
        <v>0</v>
      </c>
      <c r="FA157" s="834">
        <f t="shared" ca="1" si="303"/>
        <v>0</v>
      </c>
      <c r="FB157" s="835">
        <f t="shared" ca="1" si="303"/>
        <v>0</v>
      </c>
      <c r="FC157" s="835">
        <f t="shared" ca="1" si="303"/>
        <v>0</v>
      </c>
      <c r="FD157" s="835">
        <f t="shared" ca="1" si="303"/>
        <v>0</v>
      </c>
      <c r="FE157" s="836">
        <f t="shared" ca="1" si="303"/>
        <v>0</v>
      </c>
      <c r="FG157" s="386">
        <f t="shared" ca="1" si="293"/>
        <v>0</v>
      </c>
      <c r="FH157" s="387">
        <f t="shared" ca="1" si="294"/>
        <v>0</v>
      </c>
      <c r="FI157" s="388">
        <f t="shared" ca="1" si="295"/>
        <v>0</v>
      </c>
      <c r="FJ157" s="386">
        <f t="shared" ca="1" si="296"/>
        <v>0</v>
      </c>
      <c r="FK157" s="387">
        <f t="shared" ca="1" si="297"/>
        <v>0</v>
      </c>
      <c r="FL157" s="387">
        <f t="shared" ca="1" si="298"/>
        <v>0</v>
      </c>
      <c r="FM157" s="387">
        <f t="shared" ca="1" si="299"/>
        <v>0</v>
      </c>
      <c r="FN157" s="388">
        <f t="shared" ca="1" si="300"/>
        <v>0</v>
      </c>
      <c r="FR157" s="116"/>
    </row>
    <row r="158" spans="2:174">
      <c r="B158" s="1410">
        <f t="shared" si="302"/>
        <v>112</v>
      </c>
      <c r="C158" s="400" t="s">
        <v>667</v>
      </c>
      <c r="D158" s="410"/>
      <c r="E158" s="402" t="s">
        <v>402</v>
      </c>
      <c r="F158" s="402" t="s">
        <v>514</v>
      </c>
      <c r="G158" s="400" t="s">
        <v>437</v>
      </c>
      <c r="H158" s="2088" t="s">
        <v>483</v>
      </c>
      <c r="I158" s="2089"/>
      <c r="J158" s="411" t="s">
        <v>516</v>
      </c>
      <c r="K158" s="403" t="s">
        <v>544</v>
      </c>
      <c r="L158" s="403">
        <v>10</v>
      </c>
      <c r="M158" s="403" t="s">
        <v>142</v>
      </c>
      <c r="N158" s="403"/>
      <c r="O158" s="347"/>
      <c r="P158" s="347"/>
      <c r="Q158" s="1021">
        <v>0.48742016371639152</v>
      </c>
      <c r="R158" s="1022">
        <v>0.22246020362150204</v>
      </c>
      <c r="S158" s="1022">
        <v>3.6561979239789539</v>
      </c>
      <c r="T158" s="1022">
        <v>1.3518299410807262</v>
      </c>
      <c r="U158" s="1023">
        <v>0.13739582939819431</v>
      </c>
      <c r="V158" s="1021">
        <v>0.35837534869839716</v>
      </c>
      <c r="W158" s="1022">
        <v>0.3496344865350216</v>
      </c>
      <c r="X158" s="1022">
        <v>0.34110681613172844</v>
      </c>
      <c r="Y158" s="1022">
        <v>0.3327871376894912</v>
      </c>
      <c r="Z158" s="1023">
        <v>0.32467037823364997</v>
      </c>
      <c r="AA158" s="1024"/>
      <c r="AB158" s="1021">
        <v>0</v>
      </c>
      <c r="AC158" s="1022">
        <v>0</v>
      </c>
      <c r="AD158" s="1022">
        <v>0</v>
      </c>
      <c r="AE158" s="1022">
        <v>0</v>
      </c>
      <c r="AF158" s="1023">
        <v>0</v>
      </c>
      <c r="AG158" s="1021">
        <v>0</v>
      </c>
      <c r="AH158" s="1022">
        <v>0</v>
      </c>
      <c r="AI158" s="1022">
        <v>0</v>
      </c>
      <c r="AJ158" s="1022">
        <v>0</v>
      </c>
      <c r="AK158" s="1023">
        <v>0</v>
      </c>
      <c r="AL158" s="1024"/>
      <c r="AM158" s="1021">
        <v>0</v>
      </c>
      <c r="AN158" s="1022">
        <v>0</v>
      </c>
      <c r="AO158" s="1022">
        <v>0</v>
      </c>
      <c r="AP158" s="1022">
        <v>0</v>
      </c>
      <c r="AQ158" s="1023">
        <v>0</v>
      </c>
      <c r="AR158" s="1021">
        <v>0</v>
      </c>
      <c r="AS158" s="1022">
        <v>0</v>
      </c>
      <c r="AT158" s="1022">
        <v>0</v>
      </c>
      <c r="AU158" s="1022">
        <v>0</v>
      </c>
      <c r="AV158" s="1023">
        <v>0</v>
      </c>
      <c r="AW158" s="1025"/>
      <c r="AX158" s="1282">
        <f t="shared" si="247"/>
        <v>0.48742016371639152</v>
      </c>
      <c r="AY158" s="387">
        <f t="shared" si="248"/>
        <v>0.22246020362150204</v>
      </c>
      <c r="AZ158" s="387">
        <f t="shared" si="249"/>
        <v>3.6561979239789539</v>
      </c>
      <c r="BA158" s="387">
        <f t="shared" si="250"/>
        <v>1.3518299410807262</v>
      </c>
      <c r="BB158" s="1283">
        <f t="shared" si="251"/>
        <v>0.13739582939819431</v>
      </c>
      <c r="BC158" s="386">
        <f t="shared" si="252"/>
        <v>0.35837534869839716</v>
      </c>
      <c r="BD158" s="387">
        <f t="shared" si="253"/>
        <v>0.3496344865350216</v>
      </c>
      <c r="BE158" s="1277">
        <f t="shared" si="254"/>
        <v>0.34110681613172844</v>
      </c>
      <c r="BF158" s="1277">
        <f t="shared" si="255"/>
        <v>0.3327871376894912</v>
      </c>
      <c r="BG158" s="388">
        <f t="shared" si="256"/>
        <v>0.32467037823364997</v>
      </c>
      <c r="BH158" s="1025"/>
      <c r="BI158" s="1282">
        <f t="shared" ca="1" si="257"/>
        <v>2.4371008185819575E-2</v>
      </c>
      <c r="BJ158" s="387">
        <f t="shared" ca="1" si="258"/>
        <v>5.9865026552714251E-2</v>
      </c>
      <c r="BK158" s="387">
        <f t="shared" ca="1" si="259"/>
        <v>0.25379793293273706</v>
      </c>
      <c r="BL158" s="387">
        <f t="shared" ca="1" si="260"/>
        <v>0.50419932618572105</v>
      </c>
      <c r="BM158" s="1283">
        <f t="shared" ca="1" si="261"/>
        <v>0.57866061470966723</v>
      </c>
      <c r="BN158" s="386">
        <f t="shared" ca="1" si="262"/>
        <v>0.60344917361449668</v>
      </c>
      <c r="BO158" s="387">
        <f t="shared" ca="1" si="263"/>
        <v>0.63884966537616772</v>
      </c>
      <c r="BP158" s="1277">
        <f t="shared" ca="1" si="264"/>
        <v>0.67338673050950526</v>
      </c>
      <c r="BQ158" s="1277">
        <f t="shared" ca="1" si="265"/>
        <v>0.70708142820056619</v>
      </c>
      <c r="BR158" s="388">
        <f t="shared" ca="1" si="266"/>
        <v>0.73995430399672324</v>
      </c>
      <c r="BS158" s="1025"/>
      <c r="BT158" s="1282">
        <f>+IF($K158="Ongoing",AX158,IF(RIGHT($K158,2)=RIGHT(BT$43,2),SUM($AX158:AX158),0)+IF(RIGHT(BT$43,2)&gt;RIGHT($K158,2),AX158,0))</f>
        <v>0.48742016371639152</v>
      </c>
      <c r="BU158" s="387">
        <f>+IF($K158="Ongoing",AY158,IF(RIGHT($K158,2)=RIGHT(BU$43,2),SUM($AX158:AY158),0)+IF(RIGHT(BU$43,2)&gt;RIGHT($K158,2),AY158,0))</f>
        <v>0.22246020362150204</v>
      </c>
      <c r="BV158" s="387">
        <f>+IF($K158="Ongoing",AZ158,IF(RIGHT($K158,2)=RIGHT(BV$43,2),SUM($AX158:AZ158),0)+IF(RIGHT(BV$43,2)&gt;RIGHT($K158,2),AZ158,0))</f>
        <v>3.6561979239789539</v>
      </c>
      <c r="BW158" s="387">
        <f>+IF($K158="Ongoing",BA158,IF(RIGHT($K158,2)=RIGHT(BW$43,2),SUM($AX158:BA158),0)+IF(RIGHT(BW$43,2)&gt;RIGHT($K158,2),BA158,0))</f>
        <v>1.3518299410807262</v>
      </c>
      <c r="BX158" s="1283">
        <f>+IF($K158="Ongoing",BB158,IF(RIGHT($K158,2)=RIGHT(BX$43,2),SUM($AX158:BB158),0)+IF(RIGHT(BX$43,2)&gt;RIGHT($K158,2),BB158,0))</f>
        <v>0.13739582939819431</v>
      </c>
      <c r="BY158" s="386">
        <f>+IF($K158="Ongoing",BC158,IF(RIGHT($K158,2)=RIGHT(BY$43,2),SUM($AX158:BC158),0)+IF(RIGHT(BY$43,2)&gt;RIGHT($K158,2),BC158,0))</f>
        <v>0.35837534869839716</v>
      </c>
      <c r="BZ158" s="387">
        <f>+IF($K158="Ongoing",BD158,IF(RIGHT($K158,2)=RIGHT(BZ$43,2),SUM($AX158:BD158),0)+IF(RIGHT(BZ$43,2)&gt;RIGHT($K158,2),BD158,0))</f>
        <v>0.3496344865350216</v>
      </c>
      <c r="CA158" s="1277">
        <f>+IF($K158="Ongoing",BE158,IF(RIGHT($K158,2)=RIGHT(CA$43,2),SUM($AX158:BE158),0)+IF(RIGHT(CA$43,2)&gt;RIGHT($K158,2),BE158,0))</f>
        <v>0.34110681613172844</v>
      </c>
      <c r="CB158" s="1277">
        <f>+IF($K158="Ongoing",BF158,IF(RIGHT($K158,2)=RIGHT(CB$43,2),SUM($AX158:BF158),0)+IF(RIGHT(CB$43,2)&gt;RIGHT($K158,2),BF158,0))</f>
        <v>0.3327871376894912</v>
      </c>
      <c r="CC158" s="388">
        <f>+IF($K158="Ongoing",BG158,IF(RIGHT($K158,2)=RIGHT(CC$43,2),SUM($AX158:BG158),0)+IF(RIGHT(CC$43,2)&gt;RIGHT($K158,2),BG158,0))</f>
        <v>0.32467037823364997</v>
      </c>
      <c r="CD158" s="1025"/>
      <c r="CE158" s="1282">
        <f>+Q158*KeyAssumptionsPriceControl_FO!AF$15</f>
        <v>0.50155534846416683</v>
      </c>
      <c r="CF158" s="387">
        <f>+R158*KeyAssumptionsPriceControl_FO!AG$15</f>
        <v>0.23554998446279482</v>
      </c>
      <c r="CG158" s="387">
        <f>+S158*KeyAssumptionsPriceControl_FO!AH$15</f>
        <v>3.9836009017384892</v>
      </c>
      <c r="CH158" s="387">
        <f>+T158*KeyAssumptionsPriceControl_FO!AI$15</f>
        <v>1.5155963833741481</v>
      </c>
      <c r="CI158" s="1283">
        <f>+U158*KeyAssumptionsPriceControl_FO!AJ$15</f>
        <v>0.15850772176044758</v>
      </c>
      <c r="CJ158" s="386">
        <f>+V158*KeyAssumptionsPriceControl_FO!AK$15</f>
        <v>0.42543221912177265</v>
      </c>
      <c r="CK158" s="387">
        <f>+W158*KeyAssumptionsPriceControl_FO!AL$15</f>
        <v>0.42709244241590627</v>
      </c>
      <c r="CL158" s="1277">
        <f>+X158*KeyAssumptionsPriceControl_FO!AM$15</f>
        <v>0.42875914463021231</v>
      </c>
      <c r="CM158" s="1277">
        <f>+Y158*KeyAssumptionsPriceControl_FO!AN$15</f>
        <v>0.43043235104828143</v>
      </c>
      <c r="CN158" s="388">
        <f>+Z158*KeyAssumptionsPriceControl_FO!AO$15</f>
        <v>0.43211208705237231</v>
      </c>
      <c r="CO158" s="1025"/>
      <c r="CP158" s="1282">
        <f t="shared" ca="1" si="267"/>
        <v>0</v>
      </c>
      <c r="CQ158" s="387">
        <f t="shared" ca="1" si="268"/>
        <v>0</v>
      </c>
      <c r="CR158" s="387">
        <f t="shared" ca="1" si="269"/>
        <v>0</v>
      </c>
      <c r="CS158" s="387">
        <f t="shared" ca="1" si="270"/>
        <v>0</v>
      </c>
      <c r="CT158" s="1283">
        <f t="shared" ca="1" si="271"/>
        <v>0</v>
      </c>
      <c r="CU158" s="386">
        <f t="shared" ca="1" si="272"/>
        <v>0</v>
      </c>
      <c r="CV158" s="387">
        <f t="shared" ca="1" si="273"/>
        <v>0</v>
      </c>
      <c r="CW158" s="1277">
        <f t="shared" ca="1" si="274"/>
        <v>0</v>
      </c>
      <c r="CX158" s="1277">
        <f t="shared" ca="1" si="275"/>
        <v>0</v>
      </c>
      <c r="CY158" s="388">
        <f t="shared" ca="1" si="276"/>
        <v>0</v>
      </c>
      <c r="CZ158" s="347"/>
      <c r="DA158" s="852"/>
      <c r="DB158" s="347"/>
      <c r="DC158" s="1012" t="s">
        <v>670</v>
      </c>
      <c r="DD158" s="841" t="s">
        <v>518</v>
      </c>
      <c r="DE158" s="386">
        <f>+IF($K158="ongoing",CE158,IF(RIGHT($K158,2)=RIGHT(DE$43,2),SUM($CD158:CE158),0)+IF(RIGHT(DE$43,2)&gt;RIGHT($K158,2),CE158,0))</f>
        <v>0.50155534846416683</v>
      </c>
      <c r="DF158" s="387">
        <f>+IF($K158="ongoing",CF158,IF(RIGHT($K158,2)=RIGHT(DF$43,2),SUM($CD158:CF158),0)+IF(RIGHT(DF$43,2)&gt;RIGHT($K158,2),CF158,0))</f>
        <v>0.23554998446279482</v>
      </c>
      <c r="DG158" s="388">
        <f>+IF($K158="ongoing",CG158,IF(RIGHT($K158,2)=RIGHT(DG$43,2),SUM($CD158:CG158),0)+IF(RIGHT(DG$43,2)&gt;RIGHT($K158,2),CG158,0))</f>
        <v>3.9836009017384892</v>
      </c>
      <c r="DH158" s="386">
        <f>+IF($K158="ongoing",CH158,IF(RIGHT($K158,2)=RIGHT(DH$43,2),SUM($CD158:CH158),0)+IF(RIGHT(DH$43,2)&gt;RIGHT($K158,2),CH158,0))</f>
        <v>1.5155963833741481</v>
      </c>
      <c r="DI158" s="387">
        <f>+IF($K158="ongoing",CI158,IF(RIGHT($K158,2)=RIGHT(DI$43,2),SUM($CD158:CI158),0)+IF(RIGHT(DI$43,2)&gt;RIGHT($K158,2),CI158,0))</f>
        <v>0.15850772176044758</v>
      </c>
      <c r="DJ158" s="387">
        <f>+IF($K158="ongoing",CJ158,IF(RIGHT($K158,2)=RIGHT(DJ$43,2),SUM($CD158:CJ158),0)+IF(RIGHT(DJ$43,2)&gt;RIGHT($K158,2),CJ158,0))</f>
        <v>0.42543221912177265</v>
      </c>
      <c r="DK158" s="387">
        <f>+IF($K158="ongoing",CK158,IF(RIGHT($K158,2)=RIGHT(DK$43,2),SUM($CD158:CK158),0)+IF(RIGHT(DK$43,2)&gt;RIGHT($K158,2),CK158,0))</f>
        <v>0.42709244241590627</v>
      </c>
      <c r="DL158" s="388">
        <f>+IF($K158="ongoing",CN158,IF(RIGHT($K158,2)=RIGHT(DL$43,2),SUM($CD158:CN158),0)+IF(RIGHT(DL$43,2)&gt;RIGHT($K158,2),CN158,0))</f>
        <v>0.43211208705237231</v>
      </c>
      <c r="DM158" s="841"/>
      <c r="DN158" s="386">
        <f t="shared" si="277"/>
        <v>0.5</v>
      </c>
      <c r="DO158" s="387">
        <f t="shared" si="278"/>
        <v>1</v>
      </c>
      <c r="DP158" s="388">
        <f t="shared" si="279"/>
        <v>1</v>
      </c>
      <c r="DQ158" s="386">
        <f t="shared" si="280"/>
        <v>1</v>
      </c>
      <c r="DR158" s="387">
        <f t="shared" si="281"/>
        <v>1</v>
      </c>
      <c r="DS158" s="387">
        <f t="shared" si="282"/>
        <v>1</v>
      </c>
      <c r="DT158" s="387">
        <f t="shared" si="283"/>
        <v>1</v>
      </c>
      <c r="DU158" s="388">
        <f t="shared" si="284"/>
        <v>1</v>
      </c>
      <c r="DW158" s="386">
        <f t="shared" si="285"/>
        <v>0</v>
      </c>
      <c r="DX158" s="387">
        <f t="shared" si="286"/>
        <v>0.5</v>
      </c>
      <c r="DY158" s="388">
        <f t="shared" si="287"/>
        <v>1</v>
      </c>
      <c r="DZ158" s="386">
        <f t="shared" si="288"/>
        <v>1</v>
      </c>
      <c r="EA158" s="387">
        <f t="shared" si="289"/>
        <v>1</v>
      </c>
      <c r="EB158" s="387">
        <f t="shared" si="290"/>
        <v>1</v>
      </c>
      <c r="EC158" s="387">
        <f t="shared" si="291"/>
        <v>1</v>
      </c>
      <c r="ED158" s="388">
        <f t="shared" si="292"/>
        <v>1</v>
      </c>
      <c r="EF158" s="834">
        <f>+IF(DN158=DM158,0,
IF(AND(EF$44&gt;1,DN158=$N158),1-SUM($EE158:EE158),
IF($N158&lt;=1,
IF($N158&gt;0,1/$N158,0),
IF(EF$44=1,0,VDB(1,0,$N158,INT(EF$44-1-1),MIN($N158,INT(EF$44-1-1)+1),$DC158,IF($DD158="No",1,0))/
IF(DM158&gt;=INT($N158),$N158-INT($N158),1)))*
IF(EF$44=1,0,
IF(INT(DN158)=INT(DM158),DN158-DM158,INT(DN158)-DM158))+
IF($N158&lt;=1,
IF($N158&gt;0,1/$N158,0),VDB(1,0,$N158,INT(EF$44-1),MIN($N158,INT(EF$44-1)+1),$DC158,IF($DD158="No",1,0))/
IF(DN158&gt;INT($N158),$N158-INT($N158),1))*
IF(EF$44=1,DN158,
IF(INT(DN158)=INT(DM158),0,DN158-INT(DN158)))))</f>
        <v>0</v>
      </c>
      <c r="EG158" s="835">
        <f>+IF(DO158=DN158,0,
IF(AND(EG$44&gt;1,DO158=$N158),1-SUM($EE158:EF158),
IF($N158&lt;=1,
IF($N158&gt;0,1/$N158,0),
IF(EG$44=1,0,VDB(1,0,$N158,INT(EG$44-1-1),MIN($N158,INT(EG$44-1-1)+1),$DC158,IF($DD158="No",1,0))/
IF(DN158&gt;=INT($N158),$N158-INT($N158),1)))*
IF(EG$44=1,0,
IF(INT(DO158)=INT(DN158),DO158-DN158,INT(DO158)-DN158))+
IF($N158&lt;=1,
IF($N158&gt;0,1/$N158,0),VDB(1,0,$N158,INT(EG$44-1),MIN($N158,INT(EG$44-1)+1),$DC158,IF($DD158="No",1,0))/
IF(DO158&gt;INT($N158),$N158-INT($N158),1))*
IF(EG$44=1,DO158,
IF(INT(DO158)=INT(DN158),0,DO158-INT(DO158)))))</f>
        <v>0</v>
      </c>
      <c r="EH158" s="836">
        <f>+IF(DP158=DO158,0,
IF(AND(EH$44&gt;1,DP158=$N158),1-SUM($EE158:EG158),
IF($N158&lt;=1,
IF($N158&gt;0,1/$N158,0),
IF(EH$44=1,0,VDB(1,0,$N158,INT(EH$44-1-1),MIN($N158,INT(EH$44-1-1)+1),$DC158,IF($DD158="No",1,0))/
IF(DO158&gt;=INT($N158),$N158-INT($N158),1)))*
IF(EH$44=1,0,
IF(INT(DP158)=INT(DO158),DP158-DO158,INT(DP158)-DO158))+
IF($N158&lt;=1,
IF($N158&gt;0,1/$N158,0),VDB(1,0,$N158,INT(EH$44-1),MIN($N158,INT(EH$44-1)+1),$DC158,IF($DD158="No",1,0))/
IF(DP158&gt;INT($N158),$N158-INT($N158),1))*
IF(EH$44=1,DP158,
IF(INT(DP158)=INT(DO158),0,DP158-INT(DP158)))))</f>
        <v>0</v>
      </c>
      <c r="EI158" s="834">
        <f>+IF(DQ158=DP158,0,
IF(AND(EI$44&gt;1,DQ158=$N158),1-SUM($EE158:EH158),
IF($N158&lt;=1,
IF($N158&gt;0,1/$N158,0),
IF(EI$44=1,0,VDB(1,0,$N158,INT(EI$44-1-1),MIN($N158,INT(EI$44-1-1)+1),$DC158,IF($DD158="No",1,0))/
IF(DP158&gt;=INT($N158),$N158-INT($N158),1)))*
IF(EI$44=1,0,
IF(INT(DQ158)=INT(DP158),DQ158-DP158,INT(DQ158)-DP158))+
IF($N158&lt;=1,
IF($N158&gt;0,1/$N158,0),VDB(1,0,$N158,INT(EI$44-1),MIN($N158,INT(EI$44-1)+1),$DC158,IF($DD158="No",1,0))/
IF(DQ158&gt;INT($N158),$N158-INT($N158),1))*
IF(EI$44=1,DQ158,
IF(INT(DQ158)=INT(DP158),0,DQ158-INT(DQ158)))))</f>
        <v>0</v>
      </c>
      <c r="EJ158" s="835">
        <f>+IF(DR158=DQ158,0,
IF(AND(EJ$44&gt;1,DR158=$N158),1-SUM($EE158:EI158),
IF($N158&lt;=1,
IF($N158&gt;0,1/$N158,0),
IF(EJ$44=1,0,VDB(1,0,$N158,INT(EJ$44-1-1),MIN($N158,INT(EJ$44-1-1)+1),$DC158,IF($DD158="No",1,0))/
IF(DQ158&gt;=INT($N158),$N158-INT($N158),1)))*
IF(EJ$44=1,0,
IF(INT(DR158)=INT(DQ158),DR158-DQ158,INT(DR158)-DQ158))+
IF($N158&lt;=1,
IF($N158&gt;0,1/$N158,0),VDB(1,0,$N158,INT(EJ$44-1),MIN($N158,INT(EJ$44-1)+1),$DC158,IF($DD158="No",1,0))/
IF(DR158&gt;INT($N158),$N158-INT($N158),1))*
IF(EJ$44=1,DR158,
IF(INT(DR158)=INT(DQ158),0,DR158-INT(DR158)))))</f>
        <v>0</v>
      </c>
      <c r="EK158" s="835">
        <f>+IF(DS158=DR158,0,
IF(AND(EK$44&gt;1,DS158=$N158),1-SUM($EE158:EJ158),
IF($N158&lt;=1,
IF($N158&gt;0,1/$N158,0),
IF(EK$44=1,0,VDB(1,0,$N158,INT(EK$44-1-1),MIN($N158,INT(EK$44-1-1)+1),$DC158,IF($DD158="No",1,0))/
IF(DR158&gt;=INT($N158),$N158-INT($N158),1)))*
IF(EK$44=1,0,
IF(INT(DS158)=INT(DR158),DS158-DR158,INT(DS158)-DR158))+
IF($N158&lt;=1,
IF($N158&gt;0,1/$N158,0),VDB(1,0,$N158,INT(EK$44-1),MIN($N158,INT(EK$44-1)+1),$DC158,IF($DD158="No",1,0))/
IF(DS158&gt;INT($N158),$N158-INT($N158),1))*
IF(EK$44=1,DS158,
IF(INT(DS158)=INT(DR158),0,DS158-INT(DS158)))))</f>
        <v>0</v>
      </c>
      <c r="EL158" s="835">
        <f>+IF(DT158=DS158,0,
IF(AND(EL$44&gt;1,DT158=$N158),1-SUM($EE158:EK158),
IF($N158&lt;=1,
IF($N158&gt;0,1/$N158,0),
IF(EL$44=1,0,VDB(1,0,$N158,INT(EL$44-1-1),MIN($N158,INT(EL$44-1-1)+1),$DC158,IF($DD158="No",1,0))/
IF(DS158&gt;=INT($N158),$N158-INT($N158),1)))*
IF(EL$44=1,0,
IF(INT(DT158)=INT(DS158),DT158-DS158,INT(DT158)-DS158))+
IF($N158&lt;=1,
IF($N158&gt;0,1/$N158,0),VDB(1,0,$N158,INT(EL$44-1),MIN($N158,INT(EL$44-1)+1),$DC158,IF($DD158="No",1,0))/
IF(DT158&gt;INT($N158),$N158-INT($N158),1))*
IF(EL$44=1,DT158,
IF(INT(DT158)=INT(DS158),0,DT158-INT(DT158)))))</f>
        <v>0</v>
      </c>
      <c r="EM158" s="836">
        <f>+IF(DU158=DT158,0,
IF(AND(EM$44&gt;1,DU158=$N158),1-SUM($EE158:EL158),
IF($N158&lt;=1,
IF($N158&gt;0,1/$N158,0),
IF(EM$44=1,0,VDB(1,0,$N158,INT(EM$44-1-1),MIN($N158,INT(EM$44-1-1)+1),$DC158,IF($DD158="No",1,0))/
IF(DT158&gt;=INT($N158),$N158-INT($N158),1)))*
IF(EM$44=1,0,
IF(INT(DU158)=INT(DT158),DU158-DT158,INT(DU158)-DT158))+
IF($N158&lt;=1,
IF($N158&gt;0,1/$N158,0),VDB(1,0,$N158,INT(EM$44-1),MIN($N158,INT(EM$44-1)+1),$DC158,IF($DD158="No",1,0))/
IF(DU158&gt;INT($N158),$N158-INT($N158),1))*
IF(EM$44=1,DU158,
IF(INT(DU158)=INT(DT158),0,DU158-INT(DU158)))))</f>
        <v>0</v>
      </c>
      <c r="EN158" s="833"/>
      <c r="EO158" s="834">
        <f>+IF(OR(DW158=DV158,EO$44=1),0,
IF(AND(EO$44&gt;1,DW158=$N158),1-SUM($EN158:EN158),
IF($N158&lt;=1,
IF($N158&gt;0,1/$N158,0),
IF(EO$44=2,0,VDB(1,0,$N158,INT(EO$44-2-1),MIN($N158,INT(EO$44-2-1)+1),$DC158,IF($DD158="No",1,0))/
IF(DV158&gt;=INT($N158),$N158-INT($N158),1)))*
IF(EO$44=2,0,
IF(INT(DW158)=INT(DV158),DW158-DV158,INT(DW158)-DV158))+
IF($N158&lt;=1,
IF($N158&gt;0,1/$N158,0),VDB(1,0,$N158,INT(EO$44-2),MIN($N158,INT(EO$44-2)+1),$DC158,IF($DD158="No",1,0))/
IF(DW158&gt;INT($N158),$N158-INT($N158),1))*
IF(EO$44=2,DW158,
IF(INT(DW158)=INT(DV158),0,DW158-INT(DW158)))))</f>
        <v>0</v>
      </c>
      <c r="EP158" s="835">
        <f>+IF(OR(DX158=DW158,EP$44=1),0,
IF(AND(EP$44&gt;1,DX158=$N158),1-SUM($EN158:EO158),
IF($N158&lt;=1,
IF($N158&gt;0,1/$N158,0),
IF(EP$44=2,0,VDB(1,0,$N158,INT(EP$44-2-1),MIN($N158,INT(EP$44-2-1)+1),$DC158,IF($DD158="No",1,0))/
IF(DW158&gt;=INT($N158),$N158-INT($N158),1)))*
IF(EP$44=2,0,
IF(INT(DX158)=INT(DW158),DX158-DW158,INT(DX158)-DW158))+
IF($N158&lt;=1,
IF($N158&gt;0,1/$N158,0),VDB(1,0,$N158,INT(EP$44-2),MIN($N158,INT(EP$44-2)+1),$DC158,IF($DD158="No",1,0))/
IF(DX158&gt;INT($N158),$N158-INT($N158),1))*
IF(EP$44=2,DX158,
IF(INT(DX158)=INT(DW158),0,DX158-INT(DX158)))))</f>
        <v>0</v>
      </c>
      <c r="EQ158" s="836">
        <f>+IF(OR(DY158=DX158,EQ$44=1),0,
IF(AND(EQ$44&gt;1,DY158=$N158),1-SUM($EN158:EP158),
IF($N158&lt;=1,
IF($N158&gt;0,1/$N158,0),
IF(EQ$44=2,0,VDB(1,0,$N158,INT(EQ$44-2-1),MIN($N158,INT(EQ$44-2-1)+1),$DC158,IF($DD158="No",1,0))/
IF(DX158&gt;=INT($N158),$N158-INT($N158),1)))*
IF(EQ$44=2,0,
IF(INT(DY158)=INT(DX158),DY158-DX158,INT(DY158)-DX158))+
IF($N158&lt;=1,
IF($N158&gt;0,1/$N158,0),VDB(1,0,$N158,INT(EQ$44-2),MIN($N158,INT(EQ$44-2)+1),$DC158,IF($DD158="No",1,0))/
IF(DY158&gt;INT($N158),$N158-INT($N158),1))*
IF(EQ$44=2,DY158,
IF(INT(DY158)=INT(DX158),0,DY158-INT(DY158)))))</f>
        <v>0</v>
      </c>
      <c r="ER158" s="834">
        <f>+IF(OR(DZ158=DY158,ER$44=1),0,
IF(AND(ER$44&gt;1,DZ158=$N158),1-SUM($EN158:EQ158),
IF($N158&lt;=1,
IF($N158&gt;0,1/$N158,0),
IF(ER$44=2,0,VDB(1,0,$N158,INT(ER$44-2-1),MIN($N158,INT(ER$44-2-1)+1),$DC158,IF($DD158="No",1,0))/
IF(DY158&gt;=INT($N158),$N158-INT($N158),1)))*
IF(ER$44=2,0,
IF(INT(DZ158)=INT(DY158),DZ158-DY158,INT(DZ158)-DY158))+
IF($N158&lt;=1,
IF($N158&gt;0,1/$N158,0),VDB(1,0,$N158,INT(ER$44-2),MIN($N158,INT(ER$44-2)+1),$DC158,IF($DD158="No",1,0))/
IF(DZ158&gt;INT($N158),$N158-INT($N158),1))*
IF(ER$44=2,DZ158,
IF(INT(DZ158)=INT(DY158),0,DZ158-INT(DZ158)))))</f>
        <v>0</v>
      </c>
      <c r="ES158" s="835">
        <f>+IF(OR(EA158=DZ158,ES$44=1),0,
IF(AND(ES$44&gt;1,EA158=$N158),1-SUM($EN158:ER158),
IF($N158&lt;=1,
IF($N158&gt;0,1/$N158,0),
IF(ES$44=2,0,VDB(1,0,$N158,INT(ES$44-2-1),MIN($N158,INT(ES$44-2-1)+1),$DC158,IF($DD158="No",1,0))/
IF(DZ158&gt;=INT($N158),$N158-INT($N158),1)))*
IF(ES$44=2,0,
IF(INT(EA158)=INT(DZ158),EA158-DZ158,INT(EA158)-DZ158))+
IF($N158&lt;=1,
IF($N158&gt;0,1/$N158,0),VDB(1,0,$N158,INT(ES$44-2),MIN($N158,INT(ES$44-2)+1),$DC158,IF($DD158="No",1,0))/
IF(EA158&gt;INT($N158),$N158-INT($N158),1))*
IF(ES$44=2,EA158,
IF(INT(EA158)=INT(DZ158),0,EA158-INT(EA158)))))</f>
        <v>0</v>
      </c>
      <c r="ET158" s="835">
        <f>+IF(OR(EB158=EA158,ET$44=1),0,
IF(AND(ET$44&gt;1,EB158=$N158),1-SUM($EN158:ES158),
IF($N158&lt;=1,
IF($N158&gt;0,1/$N158,0),
IF(ET$44=2,0,VDB(1,0,$N158,INT(ET$44-2-1),MIN($N158,INT(ET$44-2-1)+1),$DC158,IF($DD158="No",1,0))/
IF(EA158&gt;=INT($N158),$N158-INT($N158),1)))*
IF(ET$44=2,0,
IF(INT(EB158)=INT(EA158),EB158-EA158,INT(EB158)-EA158))+
IF($N158&lt;=1,
IF($N158&gt;0,1/$N158,0),VDB(1,0,$N158,INT(ET$44-2),MIN($N158,INT(ET$44-2)+1),$DC158,IF($DD158="No",1,0))/
IF(EB158&gt;INT($N158),$N158-INT($N158),1))*
IF(ET$44=2,EB158,
IF(INT(EB158)=INT(EA158),0,EB158-INT(EB158)))))</f>
        <v>0</v>
      </c>
      <c r="EU158" s="835">
        <f>+IF(OR(EC158=EB158,EU$44=1),0,
IF(AND(EU$44&gt;1,EC158=$N158),1-SUM($EN158:ET158),
IF($N158&lt;=1,
IF($N158&gt;0,1/$N158,0),
IF(EU$44=2,0,VDB(1,0,$N158,INT(EU$44-2-1),MIN($N158,INT(EU$44-2-1)+1),$DC158,IF($DD158="No",1,0))/
IF(EB158&gt;=INT($N158),$N158-INT($N158),1)))*
IF(EU$44=2,0,
IF(INT(EC158)=INT(EB158),EC158-EB158,INT(EC158)-EB158))+
IF($N158&lt;=1,
IF($N158&gt;0,1/$N158,0),VDB(1,0,$N158,INT(EU$44-2),MIN($N158,INT(EU$44-2)+1),$DC158,IF($DD158="No",1,0))/
IF(EC158&gt;INT($N158),$N158-INT($N158),1))*
IF(EU$44=2,EC158,
IF(INT(EC158)=INT(EB158),0,EC158-INT(EC158)))))</f>
        <v>0</v>
      </c>
      <c r="EV158" s="836">
        <f>+IF(OR(ED158=EC158,EV$44=1),0,
IF(AND(EV$44&gt;1,ED158=$N158),1-SUM($EN158:EU158),
IF($N158&lt;=1,
IF($N158&gt;0,1/$N158,0),
IF(EV$44=2,0,VDB(1,0,$N158,INT(EV$44-2-1),MIN($N158,INT(EV$44-2-1)+1),$DC158,IF($DD158="No",1,0))/
IF(EC158&gt;=INT($N158),$N158-INT($N158),1)))*
IF(EV$44=2,0,
IF(INT(ED158)=INT(EC158),ED158-EC158,INT(ED158)-EC158))+
IF($N158&lt;=1,
IF($N158&gt;0,1/$N158,0),VDB(1,0,$N158,INT(EV$44-2),MIN($N158,INT(EV$44-2)+1),$DC158,IF($DD158="No",1,0))/
IF(ED158&gt;INT($N158),$N158-INT($N158),1))*
IF(EV$44=2,ED158,
IF(INT(ED158)=INT(EC158),0,ED158-INT(ED158)))))</f>
        <v>0</v>
      </c>
      <c r="EW158" s="833"/>
      <c r="EX158" s="834">
        <f t="shared" ca="1" si="303"/>
        <v>0</v>
      </c>
      <c r="EY158" s="835">
        <f t="shared" ca="1" si="303"/>
        <v>0</v>
      </c>
      <c r="EZ158" s="836">
        <f t="shared" ca="1" si="303"/>
        <v>0</v>
      </c>
      <c r="FA158" s="834">
        <f t="shared" ca="1" si="303"/>
        <v>0</v>
      </c>
      <c r="FB158" s="835">
        <f t="shared" ca="1" si="303"/>
        <v>0</v>
      </c>
      <c r="FC158" s="835">
        <f t="shared" ca="1" si="303"/>
        <v>0</v>
      </c>
      <c r="FD158" s="835">
        <f t="shared" ca="1" si="303"/>
        <v>0</v>
      </c>
      <c r="FE158" s="836">
        <f t="shared" ca="1" si="303"/>
        <v>0</v>
      </c>
      <c r="FG158" s="386">
        <f t="shared" ca="1" si="293"/>
        <v>0</v>
      </c>
      <c r="FH158" s="387">
        <f t="shared" ca="1" si="294"/>
        <v>0</v>
      </c>
      <c r="FI158" s="388">
        <f t="shared" ca="1" si="295"/>
        <v>0</v>
      </c>
      <c r="FJ158" s="386">
        <f t="shared" ca="1" si="296"/>
        <v>0</v>
      </c>
      <c r="FK158" s="387">
        <f t="shared" ca="1" si="297"/>
        <v>0</v>
      </c>
      <c r="FL158" s="387">
        <f t="shared" ca="1" si="298"/>
        <v>0</v>
      </c>
      <c r="FM158" s="387">
        <f t="shared" ca="1" si="299"/>
        <v>0</v>
      </c>
      <c r="FN158" s="388">
        <f t="shared" ca="1" si="300"/>
        <v>0</v>
      </c>
      <c r="FR158" s="116"/>
    </row>
    <row r="159" spans="2:174">
      <c r="B159" s="1410">
        <f t="shared" si="302"/>
        <v>113</v>
      </c>
      <c r="C159" s="400" t="s">
        <v>667</v>
      </c>
      <c r="D159" s="410"/>
      <c r="E159" s="402" t="s">
        <v>401</v>
      </c>
      <c r="F159" s="402" t="s">
        <v>514</v>
      </c>
      <c r="G159" s="400" t="s">
        <v>437</v>
      </c>
      <c r="H159" s="2088" t="s">
        <v>483</v>
      </c>
      <c r="I159" s="2089"/>
      <c r="J159" s="411" t="s">
        <v>516</v>
      </c>
      <c r="K159" s="403" t="s">
        <v>544</v>
      </c>
      <c r="L159" s="403">
        <v>10</v>
      </c>
      <c r="M159" s="403" t="s">
        <v>142</v>
      </c>
      <c r="N159" s="403"/>
      <c r="O159" s="347"/>
      <c r="P159" s="347"/>
      <c r="Q159" s="1021">
        <v>0.36663082639443711</v>
      </c>
      <c r="R159" s="1022">
        <v>0.16733154343012099</v>
      </c>
      <c r="S159" s="1022">
        <v>2.7501424153433116</v>
      </c>
      <c r="T159" s="1022">
        <v>1.0168281194282947</v>
      </c>
      <c r="U159" s="1023">
        <v>0.10334727659055</v>
      </c>
      <c r="V159" s="1021">
        <v>0.26956506938670444</v>
      </c>
      <c r="W159" s="1022">
        <v>0.26299031159678482</v>
      </c>
      <c r="X159" s="1022">
        <v>0.25657591375296085</v>
      </c>
      <c r="Y159" s="1022">
        <v>0.25031796463703498</v>
      </c>
      <c r="Z159" s="1023">
        <v>0.24421264842637558</v>
      </c>
      <c r="AA159" s="1024"/>
      <c r="AB159" s="1021">
        <v>0</v>
      </c>
      <c r="AC159" s="1022">
        <v>0</v>
      </c>
      <c r="AD159" s="1022">
        <v>0</v>
      </c>
      <c r="AE159" s="1022">
        <v>0</v>
      </c>
      <c r="AF159" s="1023">
        <v>0</v>
      </c>
      <c r="AG159" s="1021">
        <v>0</v>
      </c>
      <c r="AH159" s="1022">
        <v>0</v>
      </c>
      <c r="AI159" s="1022">
        <v>0</v>
      </c>
      <c r="AJ159" s="1022">
        <v>0</v>
      </c>
      <c r="AK159" s="1023">
        <v>0</v>
      </c>
      <c r="AL159" s="1024"/>
      <c r="AM159" s="1021">
        <v>0</v>
      </c>
      <c r="AN159" s="1022">
        <v>0</v>
      </c>
      <c r="AO159" s="1022">
        <v>0</v>
      </c>
      <c r="AP159" s="1022">
        <v>0</v>
      </c>
      <c r="AQ159" s="1023">
        <v>0</v>
      </c>
      <c r="AR159" s="1021">
        <v>0</v>
      </c>
      <c r="AS159" s="1022">
        <v>0</v>
      </c>
      <c r="AT159" s="1022">
        <v>0</v>
      </c>
      <c r="AU159" s="1022">
        <v>0</v>
      </c>
      <c r="AV159" s="1023">
        <v>0</v>
      </c>
      <c r="AW159" s="1025"/>
      <c r="AX159" s="1282">
        <f t="shared" si="247"/>
        <v>0.36663082639443711</v>
      </c>
      <c r="AY159" s="387">
        <f t="shared" si="248"/>
        <v>0.16733154343012099</v>
      </c>
      <c r="AZ159" s="387">
        <f t="shared" si="249"/>
        <v>2.7501424153433116</v>
      </c>
      <c r="BA159" s="387">
        <f t="shared" si="250"/>
        <v>1.0168281194282947</v>
      </c>
      <c r="BB159" s="1283">
        <f t="shared" si="251"/>
        <v>0.10334727659055</v>
      </c>
      <c r="BC159" s="386">
        <f t="shared" si="252"/>
        <v>0.26956506938670444</v>
      </c>
      <c r="BD159" s="387">
        <f t="shared" si="253"/>
        <v>0.26299031159678482</v>
      </c>
      <c r="BE159" s="1277">
        <f t="shared" si="254"/>
        <v>0.25657591375296085</v>
      </c>
      <c r="BF159" s="1277">
        <f t="shared" si="255"/>
        <v>0.25031796463703498</v>
      </c>
      <c r="BG159" s="388">
        <f t="shared" si="256"/>
        <v>0.24421264842637558</v>
      </c>
      <c r="BH159" s="1025"/>
      <c r="BI159" s="1282">
        <f t="shared" ca="1" si="257"/>
        <v>1.8331541319721856E-2</v>
      </c>
      <c r="BJ159" s="387">
        <f t="shared" ca="1" si="258"/>
        <v>4.5029659810949765E-2</v>
      </c>
      <c r="BK159" s="387">
        <f t="shared" ca="1" si="259"/>
        <v>0.19090335774962142</v>
      </c>
      <c r="BL159" s="387">
        <f t="shared" ca="1" si="260"/>
        <v>0.37925188448820168</v>
      </c>
      <c r="BM159" s="1283">
        <f t="shared" ca="1" si="261"/>
        <v>0.43526065428914396</v>
      </c>
      <c r="BN159" s="386">
        <f t="shared" ca="1" si="262"/>
        <v>0.45390627158800667</v>
      </c>
      <c r="BO159" s="387">
        <f t="shared" ca="1" si="263"/>
        <v>0.48053404063718114</v>
      </c>
      <c r="BP159" s="1277">
        <f t="shared" ca="1" si="264"/>
        <v>0.50651235190466848</v>
      </c>
      <c r="BQ159" s="1277">
        <f t="shared" ca="1" si="265"/>
        <v>0.53185704582416826</v>
      </c>
      <c r="BR159" s="388">
        <f t="shared" ca="1" si="266"/>
        <v>0.5565835764773388</v>
      </c>
      <c r="BS159" s="1025"/>
      <c r="BT159" s="1282">
        <f>+IF($K159="Ongoing",AX159,IF(RIGHT($K159,2)=RIGHT(BT$43,2),SUM($AX159:AX159),0)+IF(RIGHT(BT$43,2)&gt;RIGHT($K159,2),AX159,0))</f>
        <v>0.36663082639443711</v>
      </c>
      <c r="BU159" s="387">
        <f>+IF($K159="Ongoing",AY159,IF(RIGHT($K159,2)=RIGHT(BU$43,2),SUM($AX159:AY159),0)+IF(RIGHT(BU$43,2)&gt;RIGHT($K159,2),AY159,0))</f>
        <v>0.16733154343012099</v>
      </c>
      <c r="BV159" s="387">
        <f>+IF($K159="Ongoing",AZ159,IF(RIGHT($K159,2)=RIGHT(BV$43,2),SUM($AX159:AZ159),0)+IF(RIGHT(BV$43,2)&gt;RIGHT($K159,2),AZ159,0))</f>
        <v>2.7501424153433116</v>
      </c>
      <c r="BW159" s="387">
        <f>+IF($K159="Ongoing",BA159,IF(RIGHT($K159,2)=RIGHT(BW$43,2),SUM($AX159:BA159),0)+IF(RIGHT(BW$43,2)&gt;RIGHT($K159,2),BA159,0))</f>
        <v>1.0168281194282947</v>
      </c>
      <c r="BX159" s="1283">
        <f>+IF($K159="Ongoing",BB159,IF(RIGHT($K159,2)=RIGHT(BX$43,2),SUM($AX159:BB159),0)+IF(RIGHT(BX$43,2)&gt;RIGHT($K159,2),BB159,0))</f>
        <v>0.10334727659055</v>
      </c>
      <c r="BY159" s="386">
        <f>+IF($K159="Ongoing",BC159,IF(RIGHT($K159,2)=RIGHT(BY$43,2),SUM($AX159:BC159),0)+IF(RIGHT(BY$43,2)&gt;RIGHT($K159,2),BC159,0))</f>
        <v>0.26956506938670444</v>
      </c>
      <c r="BZ159" s="387">
        <f>+IF($K159="Ongoing",BD159,IF(RIGHT($K159,2)=RIGHT(BZ$43,2),SUM($AX159:BD159),0)+IF(RIGHT(BZ$43,2)&gt;RIGHT($K159,2),BD159,0))</f>
        <v>0.26299031159678482</v>
      </c>
      <c r="CA159" s="1277">
        <f>+IF($K159="Ongoing",BE159,IF(RIGHT($K159,2)=RIGHT(CA$43,2),SUM($AX159:BE159),0)+IF(RIGHT(CA$43,2)&gt;RIGHT($K159,2),BE159,0))</f>
        <v>0.25657591375296085</v>
      </c>
      <c r="CB159" s="1277">
        <f>+IF($K159="Ongoing",BF159,IF(RIGHT($K159,2)=RIGHT(CB$43,2),SUM($AX159:BF159),0)+IF(RIGHT(CB$43,2)&gt;RIGHT($K159,2),BF159,0))</f>
        <v>0.25031796463703498</v>
      </c>
      <c r="CC159" s="388">
        <f>+IF($K159="Ongoing",BG159,IF(RIGHT($K159,2)=RIGHT(CC$43,2),SUM($AX159:BG159),0)+IF(RIGHT(CC$43,2)&gt;RIGHT($K159,2),BG159,0))</f>
        <v>0.24421264842637558</v>
      </c>
      <c r="CD159" s="1025"/>
      <c r="CE159" s="1282">
        <f>+Q159*KeyAssumptionsPriceControl_FO!AF$15</f>
        <v>0.37726312035987575</v>
      </c>
      <c r="CF159" s="387">
        <f>+R159*KeyAssumptionsPriceControl_FO!AG$15</f>
        <v>0.17717749877709274</v>
      </c>
      <c r="CG159" s="387">
        <f>+S159*KeyAssumptionsPriceControl_FO!AH$15</f>
        <v>2.9964104880154583</v>
      </c>
      <c r="CH159" s="387">
        <f>+T159*KeyAssumptionsPriceControl_FO!AI$15</f>
        <v>1.14001101283984</v>
      </c>
      <c r="CI159" s="1283">
        <f>+U159*KeyAssumptionsPriceControl_FO!AJ$15</f>
        <v>0.11922735525719097</v>
      </c>
      <c r="CJ159" s="386">
        <f>+V159*KeyAssumptionsPriceControl_FO!AK$15</f>
        <v>0.32000433646850668</v>
      </c>
      <c r="CK159" s="387">
        <f>+W159*KeyAssumptionsPriceControl_FO!AL$15</f>
        <v>0.32125313387911542</v>
      </c>
      <c r="CL159" s="1277">
        <f>+X159*KeyAssumptionsPriceControl_FO!AM$15</f>
        <v>0.32250680464547299</v>
      </c>
      <c r="CM159" s="1277">
        <f>+Y159*KeyAssumptionsPriceControl_FO!AN$15</f>
        <v>0.32376536778555287</v>
      </c>
      <c r="CN159" s="388">
        <f>+Z159*KeyAssumptionsPriceControl_FO!AO$15</f>
        <v>0.32502884239154523</v>
      </c>
      <c r="CO159" s="1025"/>
      <c r="CP159" s="1282">
        <f t="shared" ca="1" si="267"/>
        <v>0</v>
      </c>
      <c r="CQ159" s="387">
        <f t="shared" ca="1" si="268"/>
        <v>0</v>
      </c>
      <c r="CR159" s="387">
        <f t="shared" ca="1" si="269"/>
        <v>0</v>
      </c>
      <c r="CS159" s="387">
        <f t="shared" ca="1" si="270"/>
        <v>0</v>
      </c>
      <c r="CT159" s="1283">
        <f t="shared" ca="1" si="271"/>
        <v>0</v>
      </c>
      <c r="CU159" s="386">
        <f t="shared" ca="1" si="272"/>
        <v>0</v>
      </c>
      <c r="CV159" s="387">
        <f t="shared" ca="1" si="273"/>
        <v>0</v>
      </c>
      <c r="CW159" s="1277">
        <f t="shared" ca="1" si="274"/>
        <v>0</v>
      </c>
      <c r="CX159" s="1277">
        <f t="shared" ca="1" si="275"/>
        <v>0</v>
      </c>
      <c r="CY159" s="388">
        <f t="shared" ca="1" si="276"/>
        <v>0</v>
      </c>
      <c r="CZ159" s="347"/>
      <c r="DA159" s="852"/>
      <c r="DB159" s="347"/>
      <c r="DC159" s="1012" t="s">
        <v>671</v>
      </c>
      <c r="DD159" s="841" t="s">
        <v>518</v>
      </c>
      <c r="DE159" s="386">
        <f>+IF($K159="ongoing",CE159,IF(RIGHT($K159,2)=RIGHT(DE$43,2),SUM($CD159:CE159),0)+IF(RIGHT(DE$43,2)&gt;RIGHT($K159,2),CE159,0))</f>
        <v>0.37726312035987575</v>
      </c>
      <c r="DF159" s="387">
        <f>+IF($K159="ongoing",CF159,IF(RIGHT($K159,2)=RIGHT(DF$43,2),SUM($CD159:CF159),0)+IF(RIGHT(DF$43,2)&gt;RIGHT($K159,2),CF159,0))</f>
        <v>0.17717749877709274</v>
      </c>
      <c r="DG159" s="388">
        <f>+IF($K159="ongoing",CG159,IF(RIGHT($K159,2)=RIGHT(DG$43,2),SUM($CD159:CG159),0)+IF(RIGHT(DG$43,2)&gt;RIGHT($K159,2),CG159,0))</f>
        <v>2.9964104880154583</v>
      </c>
      <c r="DH159" s="386">
        <f>+IF($K159="ongoing",CH159,IF(RIGHT($K159,2)=RIGHT(DH$43,2),SUM($CD159:CH159),0)+IF(RIGHT(DH$43,2)&gt;RIGHT($K159,2),CH159,0))</f>
        <v>1.14001101283984</v>
      </c>
      <c r="DI159" s="387">
        <f>+IF($K159="ongoing",CI159,IF(RIGHT($K159,2)=RIGHT(DI$43,2),SUM($CD159:CI159),0)+IF(RIGHT(DI$43,2)&gt;RIGHT($K159,2),CI159,0))</f>
        <v>0.11922735525719097</v>
      </c>
      <c r="DJ159" s="387">
        <f>+IF($K159="ongoing",CJ159,IF(RIGHT($K159,2)=RIGHT(DJ$43,2),SUM($CD159:CJ159),0)+IF(RIGHT(DJ$43,2)&gt;RIGHT($K159,2),CJ159,0))</f>
        <v>0.32000433646850668</v>
      </c>
      <c r="DK159" s="387">
        <f>+IF($K159="ongoing",CK159,IF(RIGHT($K159,2)=RIGHT(DK$43,2),SUM($CD159:CK159),0)+IF(RIGHT(DK$43,2)&gt;RIGHT($K159,2),CK159,0))</f>
        <v>0.32125313387911542</v>
      </c>
      <c r="DL159" s="388">
        <f>+IF($K159="ongoing",CN159,IF(RIGHT($K159,2)=RIGHT(DL$43,2),SUM($CD159:CN159),0)+IF(RIGHT(DL$43,2)&gt;RIGHT($K159,2),CN159,0))</f>
        <v>0.32502884239154523</v>
      </c>
      <c r="DM159" s="841"/>
      <c r="DN159" s="386">
        <f t="shared" si="277"/>
        <v>0.5</v>
      </c>
      <c r="DO159" s="387">
        <f t="shared" si="278"/>
        <v>1</v>
      </c>
      <c r="DP159" s="388">
        <f t="shared" si="279"/>
        <v>1</v>
      </c>
      <c r="DQ159" s="386">
        <f t="shared" si="280"/>
        <v>1</v>
      </c>
      <c r="DR159" s="387">
        <f t="shared" si="281"/>
        <v>1</v>
      </c>
      <c r="DS159" s="387">
        <f t="shared" si="282"/>
        <v>1</v>
      </c>
      <c r="DT159" s="387">
        <f t="shared" si="283"/>
        <v>1</v>
      </c>
      <c r="DU159" s="388">
        <f t="shared" si="284"/>
        <v>1</v>
      </c>
      <c r="DW159" s="386">
        <f t="shared" si="285"/>
        <v>0</v>
      </c>
      <c r="DX159" s="387">
        <f t="shared" si="286"/>
        <v>0.5</v>
      </c>
      <c r="DY159" s="388">
        <f t="shared" si="287"/>
        <v>1</v>
      </c>
      <c r="DZ159" s="386">
        <f t="shared" si="288"/>
        <v>1</v>
      </c>
      <c r="EA159" s="387">
        <f t="shared" si="289"/>
        <v>1</v>
      </c>
      <c r="EB159" s="387">
        <f t="shared" si="290"/>
        <v>1</v>
      </c>
      <c r="EC159" s="387">
        <f t="shared" si="291"/>
        <v>1</v>
      </c>
      <c r="ED159" s="388">
        <f t="shared" si="292"/>
        <v>1</v>
      </c>
      <c r="EF159" s="834">
        <f>+IF(DN159=DM159,0,
IF(AND(EF$44&gt;1,DN159=$N159),1-SUM($EE159:EE159),
IF($N159&lt;=1,
IF($N159&gt;0,1/$N159,0),
IF(EF$44=1,0,VDB(1,0,$N159,INT(EF$44-1-1),MIN($N159,INT(EF$44-1-1)+1),$DC159,IF($DD159="No",1,0))/
IF(DM159&gt;=INT($N159),$N159-INT($N159),1)))*
IF(EF$44=1,0,
IF(INT(DN159)=INT(DM159),DN159-DM159,INT(DN159)-DM159))+
IF($N159&lt;=1,
IF($N159&gt;0,1/$N159,0),VDB(1,0,$N159,INT(EF$44-1),MIN($N159,INT(EF$44-1)+1),$DC159,IF($DD159="No",1,0))/
IF(DN159&gt;INT($N159),$N159-INT($N159),1))*
IF(EF$44=1,DN159,
IF(INT(DN159)=INT(DM159),0,DN159-INT(DN159)))))</f>
        <v>0</v>
      </c>
      <c r="EG159" s="835">
        <f>+IF(DO159=DN159,0,
IF(AND(EG$44&gt;1,DO159=$N159),1-SUM($EE159:EF159),
IF($N159&lt;=1,
IF($N159&gt;0,1/$N159,0),
IF(EG$44=1,0,VDB(1,0,$N159,INT(EG$44-1-1),MIN($N159,INT(EG$44-1-1)+1),$DC159,IF($DD159="No",1,0))/
IF(DN159&gt;=INT($N159),$N159-INT($N159),1)))*
IF(EG$44=1,0,
IF(INT(DO159)=INT(DN159),DO159-DN159,INT(DO159)-DN159))+
IF($N159&lt;=1,
IF($N159&gt;0,1/$N159,0),VDB(1,0,$N159,INT(EG$44-1),MIN($N159,INT(EG$44-1)+1),$DC159,IF($DD159="No",1,0))/
IF(DO159&gt;INT($N159),$N159-INT($N159),1))*
IF(EG$44=1,DO159,
IF(INT(DO159)=INT(DN159),0,DO159-INT(DO159)))))</f>
        <v>0</v>
      </c>
      <c r="EH159" s="836">
        <f>+IF(DP159=DO159,0,
IF(AND(EH$44&gt;1,DP159=$N159),1-SUM($EE159:EG159),
IF($N159&lt;=1,
IF($N159&gt;0,1/$N159,0),
IF(EH$44=1,0,VDB(1,0,$N159,INT(EH$44-1-1),MIN($N159,INT(EH$44-1-1)+1),$DC159,IF($DD159="No",1,0))/
IF(DO159&gt;=INT($N159),$N159-INT($N159),1)))*
IF(EH$44=1,0,
IF(INT(DP159)=INT(DO159),DP159-DO159,INT(DP159)-DO159))+
IF($N159&lt;=1,
IF($N159&gt;0,1/$N159,0),VDB(1,0,$N159,INT(EH$44-1),MIN($N159,INT(EH$44-1)+1),$DC159,IF($DD159="No",1,0))/
IF(DP159&gt;INT($N159),$N159-INT($N159),1))*
IF(EH$44=1,DP159,
IF(INT(DP159)=INT(DO159),0,DP159-INT(DP159)))))</f>
        <v>0</v>
      </c>
      <c r="EI159" s="834">
        <f>+IF(DQ159=DP159,0,
IF(AND(EI$44&gt;1,DQ159=$N159),1-SUM($EE159:EH159),
IF($N159&lt;=1,
IF($N159&gt;0,1/$N159,0),
IF(EI$44=1,0,VDB(1,0,$N159,INT(EI$44-1-1),MIN($N159,INT(EI$44-1-1)+1),$DC159,IF($DD159="No",1,0))/
IF(DP159&gt;=INT($N159),$N159-INT($N159),1)))*
IF(EI$44=1,0,
IF(INT(DQ159)=INT(DP159),DQ159-DP159,INT(DQ159)-DP159))+
IF($N159&lt;=1,
IF($N159&gt;0,1/$N159,0),VDB(1,0,$N159,INT(EI$44-1),MIN($N159,INT(EI$44-1)+1),$DC159,IF($DD159="No",1,0))/
IF(DQ159&gt;INT($N159),$N159-INT($N159),1))*
IF(EI$44=1,DQ159,
IF(INT(DQ159)=INT(DP159),0,DQ159-INT(DQ159)))))</f>
        <v>0</v>
      </c>
      <c r="EJ159" s="835">
        <f>+IF(DR159=DQ159,0,
IF(AND(EJ$44&gt;1,DR159=$N159),1-SUM($EE159:EI159),
IF($N159&lt;=1,
IF($N159&gt;0,1/$N159,0),
IF(EJ$44=1,0,VDB(1,0,$N159,INT(EJ$44-1-1),MIN($N159,INT(EJ$44-1-1)+1),$DC159,IF($DD159="No",1,0))/
IF(DQ159&gt;=INT($N159),$N159-INT($N159),1)))*
IF(EJ$44=1,0,
IF(INT(DR159)=INT(DQ159),DR159-DQ159,INT(DR159)-DQ159))+
IF($N159&lt;=1,
IF($N159&gt;0,1/$N159,0),VDB(1,0,$N159,INT(EJ$44-1),MIN($N159,INT(EJ$44-1)+1),$DC159,IF($DD159="No",1,0))/
IF(DR159&gt;INT($N159),$N159-INT($N159),1))*
IF(EJ$44=1,DR159,
IF(INT(DR159)=INT(DQ159),0,DR159-INT(DR159)))))</f>
        <v>0</v>
      </c>
      <c r="EK159" s="835">
        <f>+IF(DS159=DR159,0,
IF(AND(EK$44&gt;1,DS159=$N159),1-SUM($EE159:EJ159),
IF($N159&lt;=1,
IF($N159&gt;0,1/$N159,0),
IF(EK$44=1,0,VDB(1,0,$N159,INT(EK$44-1-1),MIN($N159,INT(EK$44-1-1)+1),$DC159,IF($DD159="No",1,0))/
IF(DR159&gt;=INT($N159),$N159-INT($N159),1)))*
IF(EK$44=1,0,
IF(INT(DS159)=INT(DR159),DS159-DR159,INT(DS159)-DR159))+
IF($N159&lt;=1,
IF($N159&gt;0,1/$N159,0),VDB(1,0,$N159,INT(EK$44-1),MIN($N159,INT(EK$44-1)+1),$DC159,IF($DD159="No",1,0))/
IF(DS159&gt;INT($N159),$N159-INT($N159),1))*
IF(EK$44=1,DS159,
IF(INT(DS159)=INT(DR159),0,DS159-INT(DS159)))))</f>
        <v>0</v>
      </c>
      <c r="EL159" s="835">
        <f>+IF(DT159=DS159,0,
IF(AND(EL$44&gt;1,DT159=$N159),1-SUM($EE159:EK159),
IF($N159&lt;=1,
IF($N159&gt;0,1/$N159,0),
IF(EL$44=1,0,VDB(1,0,$N159,INT(EL$44-1-1),MIN($N159,INT(EL$44-1-1)+1),$DC159,IF($DD159="No",1,0))/
IF(DS159&gt;=INT($N159),$N159-INT($N159),1)))*
IF(EL$44=1,0,
IF(INT(DT159)=INT(DS159),DT159-DS159,INT(DT159)-DS159))+
IF($N159&lt;=1,
IF($N159&gt;0,1/$N159,0),VDB(1,0,$N159,INT(EL$44-1),MIN($N159,INT(EL$44-1)+1),$DC159,IF($DD159="No",1,0))/
IF(DT159&gt;INT($N159),$N159-INT($N159),1))*
IF(EL$44=1,DT159,
IF(INT(DT159)=INT(DS159),0,DT159-INT(DT159)))))</f>
        <v>0</v>
      </c>
      <c r="EM159" s="836">
        <f>+IF(DU159=DT159,0,
IF(AND(EM$44&gt;1,DU159=$N159),1-SUM($EE159:EL159),
IF($N159&lt;=1,
IF($N159&gt;0,1/$N159,0),
IF(EM$44=1,0,VDB(1,0,$N159,INT(EM$44-1-1),MIN($N159,INT(EM$44-1-1)+1),$DC159,IF($DD159="No",1,0))/
IF(DT159&gt;=INT($N159),$N159-INT($N159),1)))*
IF(EM$44=1,0,
IF(INT(DU159)=INT(DT159),DU159-DT159,INT(DU159)-DT159))+
IF($N159&lt;=1,
IF($N159&gt;0,1/$N159,0),VDB(1,0,$N159,INT(EM$44-1),MIN($N159,INT(EM$44-1)+1),$DC159,IF($DD159="No",1,0))/
IF(DU159&gt;INT($N159),$N159-INT($N159),1))*
IF(EM$44=1,DU159,
IF(INT(DU159)=INT(DT159),0,DU159-INT(DU159)))))</f>
        <v>0</v>
      </c>
      <c r="EN159" s="833"/>
      <c r="EO159" s="834">
        <f>+IF(OR(DW159=DV159,EO$44=1),0,
IF(AND(EO$44&gt;1,DW159=$N159),1-SUM($EN159:EN159),
IF($N159&lt;=1,
IF($N159&gt;0,1/$N159,0),
IF(EO$44=2,0,VDB(1,0,$N159,INT(EO$44-2-1),MIN($N159,INT(EO$44-2-1)+1),$DC159,IF($DD159="No",1,0))/
IF(DV159&gt;=INT($N159),$N159-INT($N159),1)))*
IF(EO$44=2,0,
IF(INT(DW159)=INT(DV159),DW159-DV159,INT(DW159)-DV159))+
IF($N159&lt;=1,
IF($N159&gt;0,1/$N159,0),VDB(1,0,$N159,INT(EO$44-2),MIN($N159,INT(EO$44-2)+1),$DC159,IF($DD159="No",1,0))/
IF(DW159&gt;INT($N159),$N159-INT($N159),1))*
IF(EO$44=2,DW159,
IF(INT(DW159)=INT(DV159),0,DW159-INT(DW159)))))</f>
        <v>0</v>
      </c>
      <c r="EP159" s="835">
        <f>+IF(OR(DX159=DW159,EP$44=1),0,
IF(AND(EP$44&gt;1,DX159=$N159),1-SUM($EN159:EO159),
IF($N159&lt;=1,
IF($N159&gt;0,1/$N159,0),
IF(EP$44=2,0,VDB(1,0,$N159,INT(EP$44-2-1),MIN($N159,INT(EP$44-2-1)+1),$DC159,IF($DD159="No",1,0))/
IF(DW159&gt;=INT($N159),$N159-INT($N159),1)))*
IF(EP$44=2,0,
IF(INT(DX159)=INT(DW159),DX159-DW159,INT(DX159)-DW159))+
IF($N159&lt;=1,
IF($N159&gt;0,1/$N159,0),VDB(1,0,$N159,INT(EP$44-2),MIN($N159,INT(EP$44-2)+1),$DC159,IF($DD159="No",1,0))/
IF(DX159&gt;INT($N159),$N159-INT($N159),1))*
IF(EP$44=2,DX159,
IF(INT(DX159)=INT(DW159),0,DX159-INT(DX159)))))</f>
        <v>0</v>
      </c>
      <c r="EQ159" s="836">
        <f>+IF(OR(DY159=DX159,EQ$44=1),0,
IF(AND(EQ$44&gt;1,DY159=$N159),1-SUM($EN159:EP159),
IF($N159&lt;=1,
IF($N159&gt;0,1/$N159,0),
IF(EQ$44=2,0,VDB(1,0,$N159,INT(EQ$44-2-1),MIN($N159,INT(EQ$44-2-1)+1),$DC159,IF($DD159="No",1,0))/
IF(DX159&gt;=INT($N159),$N159-INT($N159),1)))*
IF(EQ$44=2,0,
IF(INT(DY159)=INT(DX159),DY159-DX159,INT(DY159)-DX159))+
IF($N159&lt;=1,
IF($N159&gt;0,1/$N159,0),VDB(1,0,$N159,INT(EQ$44-2),MIN($N159,INT(EQ$44-2)+1),$DC159,IF($DD159="No",1,0))/
IF(DY159&gt;INT($N159),$N159-INT($N159),1))*
IF(EQ$44=2,DY159,
IF(INT(DY159)=INT(DX159),0,DY159-INT(DY159)))))</f>
        <v>0</v>
      </c>
      <c r="ER159" s="834">
        <f>+IF(OR(DZ159=DY159,ER$44=1),0,
IF(AND(ER$44&gt;1,DZ159=$N159),1-SUM($EN159:EQ159),
IF($N159&lt;=1,
IF($N159&gt;0,1/$N159,0),
IF(ER$44=2,0,VDB(1,0,$N159,INT(ER$44-2-1),MIN($N159,INT(ER$44-2-1)+1),$DC159,IF($DD159="No",1,0))/
IF(DY159&gt;=INT($N159),$N159-INT($N159),1)))*
IF(ER$44=2,0,
IF(INT(DZ159)=INT(DY159),DZ159-DY159,INT(DZ159)-DY159))+
IF($N159&lt;=1,
IF($N159&gt;0,1/$N159,0),VDB(1,0,$N159,INT(ER$44-2),MIN($N159,INT(ER$44-2)+1),$DC159,IF($DD159="No",1,0))/
IF(DZ159&gt;INT($N159),$N159-INT($N159),1))*
IF(ER$44=2,DZ159,
IF(INT(DZ159)=INT(DY159),0,DZ159-INT(DZ159)))))</f>
        <v>0</v>
      </c>
      <c r="ES159" s="835">
        <f>+IF(OR(EA159=DZ159,ES$44=1),0,
IF(AND(ES$44&gt;1,EA159=$N159),1-SUM($EN159:ER159),
IF($N159&lt;=1,
IF($N159&gt;0,1/$N159,0),
IF(ES$44=2,0,VDB(1,0,$N159,INT(ES$44-2-1),MIN($N159,INT(ES$44-2-1)+1),$DC159,IF($DD159="No",1,0))/
IF(DZ159&gt;=INT($N159),$N159-INT($N159),1)))*
IF(ES$44=2,0,
IF(INT(EA159)=INT(DZ159),EA159-DZ159,INT(EA159)-DZ159))+
IF($N159&lt;=1,
IF($N159&gt;0,1/$N159,0),VDB(1,0,$N159,INT(ES$44-2),MIN($N159,INT(ES$44-2)+1),$DC159,IF($DD159="No",1,0))/
IF(EA159&gt;INT($N159),$N159-INT($N159),1))*
IF(ES$44=2,EA159,
IF(INT(EA159)=INT(DZ159),0,EA159-INT(EA159)))))</f>
        <v>0</v>
      </c>
      <c r="ET159" s="835">
        <f>+IF(OR(EB159=EA159,ET$44=1),0,
IF(AND(ET$44&gt;1,EB159=$N159),1-SUM($EN159:ES159),
IF($N159&lt;=1,
IF($N159&gt;0,1/$N159,0),
IF(ET$44=2,0,VDB(1,0,$N159,INT(ET$44-2-1),MIN($N159,INT(ET$44-2-1)+1),$DC159,IF($DD159="No",1,0))/
IF(EA159&gt;=INT($N159),$N159-INT($N159),1)))*
IF(ET$44=2,0,
IF(INT(EB159)=INT(EA159),EB159-EA159,INT(EB159)-EA159))+
IF($N159&lt;=1,
IF($N159&gt;0,1/$N159,0),VDB(1,0,$N159,INT(ET$44-2),MIN($N159,INT(ET$44-2)+1),$DC159,IF($DD159="No",1,0))/
IF(EB159&gt;INT($N159),$N159-INT($N159),1))*
IF(ET$44=2,EB159,
IF(INT(EB159)=INT(EA159),0,EB159-INT(EB159)))))</f>
        <v>0</v>
      </c>
      <c r="EU159" s="835">
        <f>+IF(OR(EC159=EB159,EU$44=1),0,
IF(AND(EU$44&gt;1,EC159=$N159),1-SUM($EN159:ET159),
IF($N159&lt;=1,
IF($N159&gt;0,1/$N159,0),
IF(EU$44=2,0,VDB(1,0,$N159,INT(EU$44-2-1),MIN($N159,INT(EU$44-2-1)+1),$DC159,IF($DD159="No",1,0))/
IF(EB159&gt;=INT($N159),$N159-INT($N159),1)))*
IF(EU$44=2,0,
IF(INT(EC159)=INT(EB159),EC159-EB159,INT(EC159)-EB159))+
IF($N159&lt;=1,
IF($N159&gt;0,1/$N159,0),VDB(1,0,$N159,INT(EU$44-2),MIN($N159,INT(EU$44-2)+1),$DC159,IF($DD159="No",1,0))/
IF(EC159&gt;INT($N159),$N159-INT($N159),1))*
IF(EU$44=2,EC159,
IF(INT(EC159)=INT(EB159),0,EC159-INT(EC159)))))</f>
        <v>0</v>
      </c>
      <c r="EV159" s="836">
        <f>+IF(OR(ED159=EC159,EV$44=1),0,
IF(AND(EV$44&gt;1,ED159=$N159),1-SUM($EN159:EU159),
IF($N159&lt;=1,
IF($N159&gt;0,1/$N159,0),
IF(EV$44=2,0,VDB(1,0,$N159,INT(EV$44-2-1),MIN($N159,INT(EV$44-2-1)+1),$DC159,IF($DD159="No",1,0))/
IF(EC159&gt;=INT($N159),$N159-INT($N159),1)))*
IF(EV$44=2,0,
IF(INT(ED159)=INT(EC159),ED159-EC159,INT(ED159)-EC159))+
IF($N159&lt;=1,
IF($N159&gt;0,1/$N159,0),VDB(1,0,$N159,INT(EV$44-2),MIN($N159,INT(EV$44-2)+1),$DC159,IF($DD159="No",1,0))/
IF(ED159&gt;INT($N159),$N159-INT($N159),1))*
IF(EV$44=2,ED159,
IF(INT(ED159)=INT(EC159),0,ED159-INT(ED159)))))</f>
        <v>0</v>
      </c>
      <c r="EW159" s="833"/>
      <c r="EX159" s="834">
        <f t="shared" ca="1" si="303"/>
        <v>0</v>
      </c>
      <c r="EY159" s="835">
        <f t="shared" ca="1" si="303"/>
        <v>0</v>
      </c>
      <c r="EZ159" s="836">
        <f t="shared" ca="1" si="303"/>
        <v>0</v>
      </c>
      <c r="FA159" s="834">
        <f t="shared" ca="1" si="303"/>
        <v>0</v>
      </c>
      <c r="FB159" s="835">
        <f t="shared" ca="1" si="303"/>
        <v>0</v>
      </c>
      <c r="FC159" s="835">
        <f t="shared" ca="1" si="303"/>
        <v>0</v>
      </c>
      <c r="FD159" s="835">
        <f t="shared" ca="1" si="303"/>
        <v>0</v>
      </c>
      <c r="FE159" s="836">
        <f t="shared" ca="1" si="303"/>
        <v>0</v>
      </c>
      <c r="FG159" s="386">
        <f t="shared" ca="1" si="293"/>
        <v>0</v>
      </c>
      <c r="FH159" s="387">
        <f t="shared" ca="1" si="294"/>
        <v>0</v>
      </c>
      <c r="FI159" s="388">
        <f t="shared" ca="1" si="295"/>
        <v>0</v>
      </c>
      <c r="FJ159" s="386">
        <f t="shared" ca="1" si="296"/>
        <v>0</v>
      </c>
      <c r="FK159" s="387">
        <f t="shared" ca="1" si="297"/>
        <v>0</v>
      </c>
      <c r="FL159" s="387">
        <f t="shared" ca="1" si="298"/>
        <v>0</v>
      </c>
      <c r="FM159" s="387">
        <f t="shared" ca="1" si="299"/>
        <v>0</v>
      </c>
      <c r="FN159" s="388">
        <f t="shared" ca="1" si="300"/>
        <v>0</v>
      </c>
      <c r="FR159" s="116"/>
    </row>
    <row r="160" spans="2:174">
      <c r="B160" s="1410">
        <f t="shared" si="302"/>
        <v>114</v>
      </c>
      <c r="C160" s="400" t="s">
        <v>672</v>
      </c>
      <c r="D160" s="410"/>
      <c r="E160" s="402" t="s">
        <v>420</v>
      </c>
      <c r="F160" s="402" t="s">
        <v>527</v>
      </c>
      <c r="G160" s="400" t="s">
        <v>437</v>
      </c>
      <c r="H160" s="2088" t="s">
        <v>483</v>
      </c>
      <c r="I160" s="2089"/>
      <c r="J160" s="411" t="s">
        <v>516</v>
      </c>
      <c r="K160" s="403" t="s">
        <v>544</v>
      </c>
      <c r="L160" s="403">
        <v>10</v>
      </c>
      <c r="M160" s="403" t="s">
        <v>142</v>
      </c>
      <c r="N160" s="403"/>
      <c r="O160" s="347"/>
      <c r="P160" s="347"/>
      <c r="Q160" s="1021">
        <v>3.3468099297877867</v>
      </c>
      <c r="R160" s="1022">
        <v>3.4730621032455051</v>
      </c>
      <c r="S160" s="1022">
        <v>3.0849726149837742</v>
      </c>
      <c r="T160" s="1022">
        <v>3.2121698147147635</v>
      </c>
      <c r="U160" s="1023">
        <v>3.3850247105604478</v>
      </c>
      <c r="V160" s="1021">
        <v>1.2223901891478712</v>
      </c>
      <c r="W160" s="1022">
        <v>1.5341063069695384</v>
      </c>
      <c r="X160" s="1022">
        <v>1.9809803052693764</v>
      </c>
      <c r="Y160" s="1022">
        <v>1.6459692504026375</v>
      </c>
      <c r="Z160" s="1023">
        <v>1.6460148645814234</v>
      </c>
      <c r="AA160" s="1024"/>
      <c r="AB160" s="1021">
        <v>0</v>
      </c>
      <c r="AC160" s="1022">
        <v>0</v>
      </c>
      <c r="AD160" s="1022">
        <v>0</v>
      </c>
      <c r="AE160" s="1022">
        <v>0</v>
      </c>
      <c r="AF160" s="1023">
        <v>0</v>
      </c>
      <c r="AG160" s="1021">
        <v>0</v>
      </c>
      <c r="AH160" s="1022">
        <v>0</v>
      </c>
      <c r="AI160" s="1022">
        <v>0</v>
      </c>
      <c r="AJ160" s="1022">
        <v>0</v>
      </c>
      <c r="AK160" s="1023">
        <v>0</v>
      </c>
      <c r="AL160" s="1024"/>
      <c r="AM160" s="1021">
        <v>0</v>
      </c>
      <c r="AN160" s="1022">
        <v>0</v>
      </c>
      <c r="AO160" s="1022">
        <v>0</v>
      </c>
      <c r="AP160" s="1022">
        <v>0</v>
      </c>
      <c r="AQ160" s="1023">
        <v>0</v>
      </c>
      <c r="AR160" s="1021">
        <v>0</v>
      </c>
      <c r="AS160" s="1022">
        <v>0</v>
      </c>
      <c r="AT160" s="1022">
        <v>0</v>
      </c>
      <c r="AU160" s="1022">
        <v>0</v>
      </c>
      <c r="AV160" s="1023">
        <v>0</v>
      </c>
      <c r="AW160" s="1025"/>
      <c r="AX160" s="1282">
        <f t="shared" si="247"/>
        <v>3.3468099297877867</v>
      </c>
      <c r="AY160" s="387">
        <f t="shared" si="248"/>
        <v>3.4730621032455051</v>
      </c>
      <c r="AZ160" s="387">
        <f t="shared" si="249"/>
        <v>3.0849726149837742</v>
      </c>
      <c r="BA160" s="387">
        <f t="shared" si="250"/>
        <v>3.2121698147147635</v>
      </c>
      <c r="BB160" s="1283">
        <f t="shared" si="251"/>
        <v>3.3850247105604478</v>
      </c>
      <c r="BC160" s="386">
        <f t="shared" si="252"/>
        <v>1.2223901891478712</v>
      </c>
      <c r="BD160" s="387">
        <f t="shared" si="253"/>
        <v>1.5341063069695384</v>
      </c>
      <c r="BE160" s="1277">
        <f t="shared" si="254"/>
        <v>1.9809803052693764</v>
      </c>
      <c r="BF160" s="1277">
        <f t="shared" si="255"/>
        <v>1.6459692504026375</v>
      </c>
      <c r="BG160" s="388">
        <f t="shared" si="256"/>
        <v>1.6460148645814234</v>
      </c>
      <c r="BH160" s="1025"/>
      <c r="BI160" s="1282">
        <f t="shared" ca="1" si="257"/>
        <v>0.16734049648938934</v>
      </c>
      <c r="BJ160" s="387">
        <f t="shared" ca="1" si="258"/>
        <v>0.5083340981410539</v>
      </c>
      <c r="BK160" s="387">
        <f t="shared" ca="1" si="259"/>
        <v>0.83623583405251789</v>
      </c>
      <c r="BL160" s="387">
        <f t="shared" ca="1" si="260"/>
        <v>1.1510929555374447</v>
      </c>
      <c r="BM160" s="1283">
        <f t="shared" ca="1" si="261"/>
        <v>1.4809526818012055</v>
      </c>
      <c r="BN160" s="386">
        <f t="shared" ca="1" si="262"/>
        <v>1.7113234267866213</v>
      </c>
      <c r="BO160" s="387">
        <f t="shared" ca="1" si="263"/>
        <v>1.8491482515924917</v>
      </c>
      <c r="BP160" s="1277">
        <f t="shared" ca="1" si="264"/>
        <v>2.0249025822044371</v>
      </c>
      <c r="BQ160" s="1277">
        <f t="shared" ca="1" si="265"/>
        <v>2.2062500599880379</v>
      </c>
      <c r="BR160" s="388">
        <f t="shared" ca="1" si="266"/>
        <v>2.3708492657372409</v>
      </c>
      <c r="BS160" s="1025"/>
      <c r="BT160" s="1282">
        <f>+IF($K160="Ongoing",AX160,IF(RIGHT($K160,2)=RIGHT(BT$43,2),SUM($AX160:AX160),0)+IF(RIGHT(BT$43,2)&gt;RIGHT($K160,2),AX160,0))</f>
        <v>3.3468099297877867</v>
      </c>
      <c r="BU160" s="387">
        <f>+IF($K160="Ongoing",AY160,IF(RIGHT($K160,2)=RIGHT(BU$43,2),SUM($AX160:AY160),0)+IF(RIGHT(BU$43,2)&gt;RIGHT($K160,2),AY160,0))</f>
        <v>3.4730621032455051</v>
      </c>
      <c r="BV160" s="387">
        <f>+IF($K160="Ongoing",AZ160,IF(RIGHT($K160,2)=RIGHT(BV$43,2),SUM($AX160:AZ160),0)+IF(RIGHT(BV$43,2)&gt;RIGHT($K160,2),AZ160,0))</f>
        <v>3.0849726149837742</v>
      </c>
      <c r="BW160" s="387">
        <f>+IF($K160="Ongoing",BA160,IF(RIGHT($K160,2)=RIGHT(BW$43,2),SUM($AX160:BA160),0)+IF(RIGHT(BW$43,2)&gt;RIGHT($K160,2),BA160,0))</f>
        <v>3.2121698147147635</v>
      </c>
      <c r="BX160" s="1283">
        <f>+IF($K160="Ongoing",BB160,IF(RIGHT($K160,2)=RIGHT(BX$43,2),SUM($AX160:BB160),0)+IF(RIGHT(BX$43,2)&gt;RIGHT($K160,2),BB160,0))</f>
        <v>3.3850247105604478</v>
      </c>
      <c r="BY160" s="386">
        <f>+IF($K160="Ongoing",BC160,IF(RIGHT($K160,2)=RIGHT(BY$43,2),SUM($AX160:BC160),0)+IF(RIGHT(BY$43,2)&gt;RIGHT($K160,2),BC160,0))</f>
        <v>1.2223901891478712</v>
      </c>
      <c r="BZ160" s="387">
        <f>+IF($K160="Ongoing",BD160,IF(RIGHT($K160,2)=RIGHT(BZ$43,2),SUM($AX160:BD160),0)+IF(RIGHT(BZ$43,2)&gt;RIGHT($K160,2),BD160,0))</f>
        <v>1.5341063069695384</v>
      </c>
      <c r="CA160" s="1277">
        <f>+IF($K160="Ongoing",BE160,IF(RIGHT($K160,2)=RIGHT(CA$43,2),SUM($AX160:BE160),0)+IF(RIGHT(CA$43,2)&gt;RIGHT($K160,2),BE160,0))</f>
        <v>1.9809803052693764</v>
      </c>
      <c r="CB160" s="1277">
        <f>+IF($K160="Ongoing",BF160,IF(RIGHT($K160,2)=RIGHT(CB$43,2),SUM($AX160:BF160),0)+IF(RIGHT(CB$43,2)&gt;RIGHT($K160,2),BF160,0))</f>
        <v>1.6459692504026375</v>
      </c>
      <c r="CC160" s="388">
        <f>+IF($K160="Ongoing",BG160,IF(RIGHT($K160,2)=RIGHT(CC$43,2),SUM($AX160:BG160),0)+IF(RIGHT(CC$43,2)&gt;RIGHT($K160,2),BG160,0))</f>
        <v>1.6460148645814234</v>
      </c>
      <c r="CD160" s="1025"/>
      <c r="CE160" s="1282">
        <f>+Q160*KeyAssumptionsPriceControl_FO!AF$15</f>
        <v>3.4438674177516324</v>
      </c>
      <c r="CF160" s="387">
        <f>+R160*KeyAssumptionsPriceControl_FO!AG$15</f>
        <v>3.6774205504625734</v>
      </c>
      <c r="CG160" s="387">
        <f>+S160*KeyAssumptionsPriceControl_FO!AH$15</f>
        <v>3.3612238577920728</v>
      </c>
      <c r="CH160" s="387">
        <f>+T160*KeyAssumptionsPriceControl_FO!AI$15</f>
        <v>3.601305760451849</v>
      </c>
      <c r="CI160" s="1283">
        <f>+U160*KeyAssumptionsPriceControl_FO!AJ$15</f>
        <v>3.9051589653332415</v>
      </c>
      <c r="CJ160" s="386">
        <f>+V160*KeyAssumptionsPriceControl_FO!AK$15</f>
        <v>1.451115911545364</v>
      </c>
      <c r="CK160" s="387">
        <f>+W160*KeyAssumptionsPriceControl_FO!AL$15</f>
        <v>1.8739719186815307</v>
      </c>
      <c r="CL160" s="1277">
        <f>+X160*KeyAssumptionsPriceControl_FO!AM$15</f>
        <v>2.4900218378766961</v>
      </c>
      <c r="CM160" s="1277">
        <f>+Y160*KeyAssumptionsPriceControl_FO!AN$15</f>
        <v>2.128923669114382</v>
      </c>
      <c r="CN160" s="388">
        <f>+Z160*KeyAssumptionsPriceControl_FO!AO$15</f>
        <v>2.1907231645926273</v>
      </c>
      <c r="CO160" s="1025"/>
      <c r="CP160" s="1282">
        <f t="shared" ca="1" si="267"/>
        <v>0</v>
      </c>
      <c r="CQ160" s="387">
        <f t="shared" ca="1" si="268"/>
        <v>0</v>
      </c>
      <c r="CR160" s="387">
        <f t="shared" ca="1" si="269"/>
        <v>0</v>
      </c>
      <c r="CS160" s="387">
        <f t="shared" ca="1" si="270"/>
        <v>0</v>
      </c>
      <c r="CT160" s="1283">
        <f t="shared" ca="1" si="271"/>
        <v>0</v>
      </c>
      <c r="CU160" s="386">
        <f t="shared" ca="1" si="272"/>
        <v>0</v>
      </c>
      <c r="CV160" s="387">
        <f t="shared" ca="1" si="273"/>
        <v>0</v>
      </c>
      <c r="CW160" s="1277">
        <f t="shared" ca="1" si="274"/>
        <v>0</v>
      </c>
      <c r="CX160" s="1277">
        <f t="shared" ca="1" si="275"/>
        <v>0</v>
      </c>
      <c r="CY160" s="388">
        <f t="shared" ca="1" si="276"/>
        <v>0</v>
      </c>
      <c r="CZ160" s="347"/>
      <c r="DA160" s="852"/>
      <c r="DB160" s="347"/>
      <c r="DC160" s="1012" t="s">
        <v>673</v>
      </c>
      <c r="DD160" s="841" t="s">
        <v>518</v>
      </c>
      <c r="DE160" s="386">
        <f>+IF($K160="ongoing",CE160,IF(RIGHT($K160,2)=RIGHT(DE$43,2),SUM($CD160:CE160),0)+IF(RIGHT(DE$43,2)&gt;RIGHT($K160,2),CE160,0))</f>
        <v>3.4438674177516324</v>
      </c>
      <c r="DF160" s="387">
        <f>+IF($K160="ongoing",CF160,IF(RIGHT($K160,2)=RIGHT(DF$43,2),SUM($CD160:CF160),0)+IF(RIGHT(DF$43,2)&gt;RIGHT($K160,2),CF160,0))</f>
        <v>3.6774205504625734</v>
      </c>
      <c r="DG160" s="388">
        <f>+IF($K160="ongoing",CG160,IF(RIGHT($K160,2)=RIGHT(DG$43,2),SUM($CD160:CG160),0)+IF(RIGHT(DG$43,2)&gt;RIGHT($K160,2),CG160,0))</f>
        <v>3.3612238577920728</v>
      </c>
      <c r="DH160" s="386">
        <f>+IF($K160="ongoing",CH160,IF(RIGHT($K160,2)=RIGHT(DH$43,2),SUM($CD160:CH160),0)+IF(RIGHT(DH$43,2)&gt;RIGHT($K160,2),CH160,0))</f>
        <v>3.601305760451849</v>
      </c>
      <c r="DI160" s="387">
        <f>+IF($K160="ongoing",CI160,IF(RIGHT($K160,2)=RIGHT(DI$43,2),SUM($CD160:CI160),0)+IF(RIGHT(DI$43,2)&gt;RIGHT($K160,2),CI160,0))</f>
        <v>3.9051589653332415</v>
      </c>
      <c r="DJ160" s="387">
        <f>+IF($K160="ongoing",CJ160,IF(RIGHT($K160,2)=RIGHT(DJ$43,2),SUM($CD160:CJ160),0)+IF(RIGHT(DJ$43,2)&gt;RIGHT($K160,2),CJ160,0))</f>
        <v>1.451115911545364</v>
      </c>
      <c r="DK160" s="387">
        <f>+IF($K160="ongoing",CK160,IF(RIGHT($K160,2)=RIGHT(DK$43,2),SUM($CD160:CK160),0)+IF(RIGHT(DK$43,2)&gt;RIGHT($K160,2),CK160,0))</f>
        <v>1.8739719186815307</v>
      </c>
      <c r="DL160" s="388">
        <f>+IF($K160="ongoing",CN160,IF(RIGHT($K160,2)=RIGHT(DL$43,2),SUM($CD160:CN160),0)+IF(RIGHT(DL$43,2)&gt;RIGHT($K160,2),CN160,0))</f>
        <v>2.1907231645926273</v>
      </c>
      <c r="DM160" s="841"/>
      <c r="DN160" s="386">
        <f t="shared" si="277"/>
        <v>0.5</v>
      </c>
      <c r="DO160" s="387">
        <f t="shared" si="278"/>
        <v>1</v>
      </c>
      <c r="DP160" s="388">
        <f t="shared" si="279"/>
        <v>1</v>
      </c>
      <c r="DQ160" s="386">
        <f t="shared" si="280"/>
        <v>1</v>
      </c>
      <c r="DR160" s="387">
        <f t="shared" si="281"/>
        <v>1</v>
      </c>
      <c r="DS160" s="387">
        <f t="shared" si="282"/>
        <v>1</v>
      </c>
      <c r="DT160" s="387">
        <f t="shared" si="283"/>
        <v>1</v>
      </c>
      <c r="DU160" s="388">
        <f t="shared" si="284"/>
        <v>1</v>
      </c>
      <c r="DW160" s="386">
        <f t="shared" si="285"/>
        <v>0</v>
      </c>
      <c r="DX160" s="387">
        <f t="shared" si="286"/>
        <v>0.5</v>
      </c>
      <c r="DY160" s="388">
        <f t="shared" si="287"/>
        <v>1</v>
      </c>
      <c r="DZ160" s="386">
        <f t="shared" si="288"/>
        <v>1</v>
      </c>
      <c r="EA160" s="387">
        <f t="shared" si="289"/>
        <v>1</v>
      </c>
      <c r="EB160" s="387">
        <f t="shared" si="290"/>
        <v>1</v>
      </c>
      <c r="EC160" s="387">
        <f t="shared" si="291"/>
        <v>1</v>
      </c>
      <c r="ED160" s="388">
        <f t="shared" si="292"/>
        <v>1</v>
      </c>
      <c r="EF160" s="834">
        <f>+IF(DN160=DM160,0,
IF(AND(EF$44&gt;1,DN160=$N160),1-SUM($EE160:EE160),
IF($N160&lt;=1,
IF($N160&gt;0,1/$N160,0),
IF(EF$44=1,0,VDB(1,0,$N160,INT(EF$44-1-1),MIN($N160,INT(EF$44-1-1)+1),$DC160,IF($DD160="No",1,0))/
IF(DM160&gt;=INT($N160),$N160-INT($N160),1)))*
IF(EF$44=1,0,
IF(INT(DN160)=INT(DM160),DN160-DM160,INT(DN160)-DM160))+
IF($N160&lt;=1,
IF($N160&gt;0,1/$N160,0),VDB(1,0,$N160,INT(EF$44-1),MIN($N160,INT(EF$44-1)+1),$DC160,IF($DD160="No",1,0))/
IF(DN160&gt;INT($N160),$N160-INT($N160),1))*
IF(EF$44=1,DN160,
IF(INT(DN160)=INT(DM160),0,DN160-INT(DN160)))))</f>
        <v>0</v>
      </c>
      <c r="EG160" s="835">
        <f>+IF(DO160=DN160,0,
IF(AND(EG$44&gt;1,DO160=$N160),1-SUM($EE160:EF160),
IF($N160&lt;=1,
IF($N160&gt;0,1/$N160,0),
IF(EG$44=1,0,VDB(1,0,$N160,INT(EG$44-1-1),MIN($N160,INT(EG$44-1-1)+1),$DC160,IF($DD160="No",1,0))/
IF(DN160&gt;=INT($N160),$N160-INT($N160),1)))*
IF(EG$44=1,0,
IF(INT(DO160)=INT(DN160),DO160-DN160,INT(DO160)-DN160))+
IF($N160&lt;=1,
IF($N160&gt;0,1/$N160,0),VDB(1,0,$N160,INT(EG$44-1),MIN($N160,INT(EG$44-1)+1),$DC160,IF($DD160="No",1,0))/
IF(DO160&gt;INT($N160),$N160-INT($N160),1))*
IF(EG$44=1,DO160,
IF(INT(DO160)=INT(DN160),0,DO160-INT(DO160)))))</f>
        <v>0</v>
      </c>
      <c r="EH160" s="836">
        <f>+IF(DP160=DO160,0,
IF(AND(EH$44&gt;1,DP160=$N160),1-SUM($EE160:EG160),
IF($N160&lt;=1,
IF($N160&gt;0,1/$N160,0),
IF(EH$44=1,0,VDB(1,0,$N160,INT(EH$44-1-1),MIN($N160,INT(EH$44-1-1)+1),$DC160,IF($DD160="No",1,0))/
IF(DO160&gt;=INT($N160),$N160-INT($N160),1)))*
IF(EH$44=1,0,
IF(INT(DP160)=INT(DO160),DP160-DO160,INT(DP160)-DO160))+
IF($N160&lt;=1,
IF($N160&gt;0,1/$N160,0),VDB(1,0,$N160,INT(EH$44-1),MIN($N160,INT(EH$44-1)+1),$DC160,IF($DD160="No",1,0))/
IF(DP160&gt;INT($N160),$N160-INT($N160),1))*
IF(EH$44=1,DP160,
IF(INT(DP160)=INT(DO160),0,DP160-INT(DP160)))))</f>
        <v>0</v>
      </c>
      <c r="EI160" s="834">
        <f>+IF(DQ160=DP160,0,
IF(AND(EI$44&gt;1,DQ160=$N160),1-SUM($EE160:EH160),
IF($N160&lt;=1,
IF($N160&gt;0,1/$N160,0),
IF(EI$44=1,0,VDB(1,0,$N160,INT(EI$44-1-1),MIN($N160,INT(EI$44-1-1)+1),$DC160,IF($DD160="No",1,0))/
IF(DP160&gt;=INT($N160),$N160-INT($N160),1)))*
IF(EI$44=1,0,
IF(INT(DQ160)=INT(DP160),DQ160-DP160,INT(DQ160)-DP160))+
IF($N160&lt;=1,
IF($N160&gt;0,1/$N160,0),VDB(1,0,$N160,INT(EI$44-1),MIN($N160,INT(EI$44-1)+1),$DC160,IF($DD160="No",1,0))/
IF(DQ160&gt;INT($N160),$N160-INT($N160),1))*
IF(EI$44=1,DQ160,
IF(INT(DQ160)=INT(DP160),0,DQ160-INT(DQ160)))))</f>
        <v>0</v>
      </c>
      <c r="EJ160" s="835">
        <f>+IF(DR160=DQ160,0,
IF(AND(EJ$44&gt;1,DR160=$N160),1-SUM($EE160:EI160),
IF($N160&lt;=1,
IF($N160&gt;0,1/$N160,0),
IF(EJ$44=1,0,VDB(1,0,$N160,INT(EJ$44-1-1),MIN($N160,INT(EJ$44-1-1)+1),$DC160,IF($DD160="No",1,0))/
IF(DQ160&gt;=INT($N160),$N160-INT($N160),1)))*
IF(EJ$44=1,0,
IF(INT(DR160)=INT(DQ160),DR160-DQ160,INT(DR160)-DQ160))+
IF($N160&lt;=1,
IF($N160&gt;0,1/$N160,0),VDB(1,0,$N160,INT(EJ$44-1),MIN($N160,INT(EJ$44-1)+1),$DC160,IF($DD160="No",1,0))/
IF(DR160&gt;INT($N160),$N160-INT($N160),1))*
IF(EJ$44=1,DR160,
IF(INT(DR160)=INT(DQ160),0,DR160-INT(DR160)))))</f>
        <v>0</v>
      </c>
      <c r="EK160" s="835">
        <f>+IF(DS160=DR160,0,
IF(AND(EK$44&gt;1,DS160=$N160),1-SUM($EE160:EJ160),
IF($N160&lt;=1,
IF($N160&gt;0,1/$N160,0),
IF(EK$44=1,0,VDB(1,0,$N160,INT(EK$44-1-1),MIN($N160,INT(EK$44-1-1)+1),$DC160,IF($DD160="No",1,0))/
IF(DR160&gt;=INT($N160),$N160-INT($N160),1)))*
IF(EK$44=1,0,
IF(INT(DS160)=INT(DR160),DS160-DR160,INT(DS160)-DR160))+
IF($N160&lt;=1,
IF($N160&gt;0,1/$N160,0),VDB(1,0,$N160,INT(EK$44-1),MIN($N160,INT(EK$44-1)+1),$DC160,IF($DD160="No",1,0))/
IF(DS160&gt;INT($N160),$N160-INT($N160),1))*
IF(EK$44=1,DS160,
IF(INT(DS160)=INT(DR160),0,DS160-INT(DS160)))))</f>
        <v>0</v>
      </c>
      <c r="EL160" s="835">
        <f>+IF(DT160=DS160,0,
IF(AND(EL$44&gt;1,DT160=$N160),1-SUM($EE160:EK160),
IF($N160&lt;=1,
IF($N160&gt;0,1/$N160,0),
IF(EL$44=1,0,VDB(1,0,$N160,INT(EL$44-1-1),MIN($N160,INT(EL$44-1-1)+1),$DC160,IF($DD160="No",1,0))/
IF(DS160&gt;=INT($N160),$N160-INT($N160),1)))*
IF(EL$44=1,0,
IF(INT(DT160)=INT(DS160),DT160-DS160,INT(DT160)-DS160))+
IF($N160&lt;=1,
IF($N160&gt;0,1/$N160,0),VDB(1,0,$N160,INT(EL$44-1),MIN($N160,INT(EL$44-1)+1),$DC160,IF($DD160="No",1,0))/
IF(DT160&gt;INT($N160),$N160-INT($N160),1))*
IF(EL$44=1,DT160,
IF(INT(DT160)=INT(DS160),0,DT160-INT(DT160)))))</f>
        <v>0</v>
      </c>
      <c r="EM160" s="836">
        <f>+IF(DU160=DT160,0,
IF(AND(EM$44&gt;1,DU160=$N160),1-SUM($EE160:EL160),
IF($N160&lt;=1,
IF($N160&gt;0,1/$N160,0),
IF(EM$44=1,0,VDB(1,0,$N160,INT(EM$44-1-1),MIN($N160,INT(EM$44-1-1)+1),$DC160,IF($DD160="No",1,0))/
IF(DT160&gt;=INT($N160),$N160-INT($N160),1)))*
IF(EM$44=1,0,
IF(INT(DU160)=INT(DT160),DU160-DT160,INT(DU160)-DT160))+
IF($N160&lt;=1,
IF($N160&gt;0,1/$N160,0),VDB(1,0,$N160,INT(EM$44-1),MIN($N160,INT(EM$44-1)+1),$DC160,IF($DD160="No",1,0))/
IF(DU160&gt;INT($N160),$N160-INT($N160),1))*
IF(EM$44=1,DU160,
IF(INT(DU160)=INT(DT160),0,DU160-INT(DU160)))))</f>
        <v>0</v>
      </c>
      <c r="EN160" s="833"/>
      <c r="EO160" s="834">
        <f>+IF(OR(DW160=DV160,EO$44=1),0,
IF(AND(EO$44&gt;1,DW160=$N160),1-SUM($EN160:EN160),
IF($N160&lt;=1,
IF($N160&gt;0,1/$N160,0),
IF(EO$44=2,0,VDB(1,0,$N160,INT(EO$44-2-1),MIN($N160,INT(EO$44-2-1)+1),$DC160,IF($DD160="No",1,0))/
IF(DV160&gt;=INT($N160),$N160-INT($N160),1)))*
IF(EO$44=2,0,
IF(INT(DW160)=INT(DV160),DW160-DV160,INT(DW160)-DV160))+
IF($N160&lt;=1,
IF($N160&gt;0,1/$N160,0),VDB(1,0,$N160,INT(EO$44-2),MIN($N160,INT(EO$44-2)+1),$DC160,IF($DD160="No",1,0))/
IF(DW160&gt;INT($N160),$N160-INT($N160),1))*
IF(EO$44=2,DW160,
IF(INT(DW160)=INT(DV160),0,DW160-INT(DW160)))))</f>
        <v>0</v>
      </c>
      <c r="EP160" s="835">
        <f>+IF(OR(DX160=DW160,EP$44=1),0,
IF(AND(EP$44&gt;1,DX160=$N160),1-SUM($EN160:EO160),
IF($N160&lt;=1,
IF($N160&gt;0,1/$N160,0),
IF(EP$44=2,0,VDB(1,0,$N160,INT(EP$44-2-1),MIN($N160,INT(EP$44-2-1)+1),$DC160,IF($DD160="No",1,0))/
IF(DW160&gt;=INT($N160),$N160-INT($N160),1)))*
IF(EP$44=2,0,
IF(INT(DX160)=INT(DW160),DX160-DW160,INT(DX160)-DW160))+
IF($N160&lt;=1,
IF($N160&gt;0,1/$N160,0),VDB(1,0,$N160,INT(EP$44-2),MIN($N160,INT(EP$44-2)+1),$DC160,IF($DD160="No",1,0))/
IF(DX160&gt;INT($N160),$N160-INT($N160),1))*
IF(EP$44=2,DX160,
IF(INT(DX160)=INT(DW160),0,DX160-INT(DX160)))))</f>
        <v>0</v>
      </c>
      <c r="EQ160" s="836">
        <f>+IF(OR(DY160=DX160,EQ$44=1),0,
IF(AND(EQ$44&gt;1,DY160=$N160),1-SUM($EN160:EP160),
IF($N160&lt;=1,
IF($N160&gt;0,1/$N160,0),
IF(EQ$44=2,0,VDB(1,0,$N160,INT(EQ$44-2-1),MIN($N160,INT(EQ$44-2-1)+1),$DC160,IF($DD160="No",1,0))/
IF(DX160&gt;=INT($N160),$N160-INT($N160),1)))*
IF(EQ$44=2,0,
IF(INT(DY160)=INT(DX160),DY160-DX160,INT(DY160)-DX160))+
IF($N160&lt;=1,
IF($N160&gt;0,1/$N160,0),VDB(1,0,$N160,INT(EQ$44-2),MIN($N160,INT(EQ$44-2)+1),$DC160,IF($DD160="No",1,0))/
IF(DY160&gt;INT($N160),$N160-INT($N160),1))*
IF(EQ$44=2,DY160,
IF(INT(DY160)=INT(DX160),0,DY160-INT(DY160)))))</f>
        <v>0</v>
      </c>
      <c r="ER160" s="834">
        <f>+IF(OR(DZ160=DY160,ER$44=1),0,
IF(AND(ER$44&gt;1,DZ160=$N160),1-SUM($EN160:EQ160),
IF($N160&lt;=1,
IF($N160&gt;0,1/$N160,0),
IF(ER$44=2,0,VDB(1,0,$N160,INT(ER$44-2-1),MIN($N160,INT(ER$44-2-1)+1),$DC160,IF($DD160="No",1,0))/
IF(DY160&gt;=INT($N160),$N160-INT($N160),1)))*
IF(ER$44=2,0,
IF(INT(DZ160)=INT(DY160),DZ160-DY160,INT(DZ160)-DY160))+
IF($N160&lt;=1,
IF($N160&gt;0,1/$N160,0),VDB(1,0,$N160,INT(ER$44-2),MIN($N160,INT(ER$44-2)+1),$DC160,IF($DD160="No",1,0))/
IF(DZ160&gt;INT($N160),$N160-INT($N160),1))*
IF(ER$44=2,DZ160,
IF(INT(DZ160)=INT(DY160),0,DZ160-INT(DZ160)))))</f>
        <v>0</v>
      </c>
      <c r="ES160" s="835">
        <f>+IF(OR(EA160=DZ160,ES$44=1),0,
IF(AND(ES$44&gt;1,EA160=$N160),1-SUM($EN160:ER160),
IF($N160&lt;=1,
IF($N160&gt;0,1/$N160,0),
IF(ES$44=2,0,VDB(1,0,$N160,INT(ES$44-2-1),MIN($N160,INT(ES$44-2-1)+1),$DC160,IF($DD160="No",1,0))/
IF(DZ160&gt;=INT($N160),$N160-INT($N160),1)))*
IF(ES$44=2,0,
IF(INT(EA160)=INT(DZ160),EA160-DZ160,INT(EA160)-DZ160))+
IF($N160&lt;=1,
IF($N160&gt;0,1/$N160,0),VDB(1,0,$N160,INT(ES$44-2),MIN($N160,INT(ES$44-2)+1),$DC160,IF($DD160="No",1,0))/
IF(EA160&gt;INT($N160),$N160-INT($N160),1))*
IF(ES$44=2,EA160,
IF(INT(EA160)=INT(DZ160),0,EA160-INT(EA160)))))</f>
        <v>0</v>
      </c>
      <c r="ET160" s="835">
        <f>+IF(OR(EB160=EA160,ET$44=1),0,
IF(AND(ET$44&gt;1,EB160=$N160),1-SUM($EN160:ES160),
IF($N160&lt;=1,
IF($N160&gt;0,1/$N160,0),
IF(ET$44=2,0,VDB(1,0,$N160,INT(ET$44-2-1),MIN($N160,INT(ET$44-2-1)+1),$DC160,IF($DD160="No",1,0))/
IF(EA160&gt;=INT($N160),$N160-INT($N160),1)))*
IF(ET$44=2,0,
IF(INT(EB160)=INT(EA160),EB160-EA160,INT(EB160)-EA160))+
IF($N160&lt;=1,
IF($N160&gt;0,1/$N160,0),VDB(1,0,$N160,INT(ET$44-2),MIN($N160,INT(ET$44-2)+1),$DC160,IF($DD160="No",1,0))/
IF(EB160&gt;INT($N160),$N160-INT($N160),1))*
IF(ET$44=2,EB160,
IF(INT(EB160)=INT(EA160),0,EB160-INT(EB160)))))</f>
        <v>0</v>
      </c>
      <c r="EU160" s="835">
        <f>+IF(OR(EC160=EB160,EU$44=1),0,
IF(AND(EU$44&gt;1,EC160=$N160),1-SUM($EN160:ET160),
IF($N160&lt;=1,
IF($N160&gt;0,1/$N160,0),
IF(EU$44=2,0,VDB(1,0,$N160,INT(EU$44-2-1),MIN($N160,INT(EU$44-2-1)+1),$DC160,IF($DD160="No",1,0))/
IF(EB160&gt;=INT($N160),$N160-INT($N160),1)))*
IF(EU$44=2,0,
IF(INT(EC160)=INT(EB160),EC160-EB160,INT(EC160)-EB160))+
IF($N160&lt;=1,
IF($N160&gt;0,1/$N160,0),VDB(1,0,$N160,INT(EU$44-2),MIN($N160,INT(EU$44-2)+1),$DC160,IF($DD160="No",1,0))/
IF(EC160&gt;INT($N160),$N160-INT($N160),1))*
IF(EU$44=2,EC160,
IF(INT(EC160)=INT(EB160),0,EC160-INT(EC160)))))</f>
        <v>0</v>
      </c>
      <c r="EV160" s="836">
        <f>+IF(OR(ED160=EC160,EV$44=1),0,
IF(AND(EV$44&gt;1,ED160=$N160),1-SUM($EN160:EU160),
IF($N160&lt;=1,
IF($N160&gt;0,1/$N160,0),
IF(EV$44=2,0,VDB(1,0,$N160,INT(EV$44-2-1),MIN($N160,INT(EV$44-2-1)+1),$DC160,IF($DD160="No",1,0))/
IF(EC160&gt;=INT($N160),$N160-INT($N160),1)))*
IF(EV$44=2,0,
IF(INT(ED160)=INT(EC160),ED160-EC160,INT(ED160)-EC160))+
IF($N160&lt;=1,
IF($N160&gt;0,1/$N160,0),VDB(1,0,$N160,INT(EV$44-2),MIN($N160,INT(EV$44-2)+1),$DC160,IF($DD160="No",1,0))/
IF(ED160&gt;INT($N160),$N160-INT($N160),1))*
IF(EV$44=2,ED160,
IF(INT(ED160)=INT(EC160),0,ED160-INT(ED160)))))</f>
        <v>0</v>
      </c>
      <c r="EW160" s="833"/>
      <c r="EX160" s="834">
        <f t="shared" ca="1" si="303"/>
        <v>0</v>
      </c>
      <c r="EY160" s="835">
        <f t="shared" ca="1" si="303"/>
        <v>0</v>
      </c>
      <c r="EZ160" s="836">
        <f t="shared" ca="1" si="303"/>
        <v>0</v>
      </c>
      <c r="FA160" s="834">
        <f t="shared" ca="1" si="303"/>
        <v>0</v>
      </c>
      <c r="FB160" s="835">
        <f t="shared" ca="1" si="303"/>
        <v>0</v>
      </c>
      <c r="FC160" s="835">
        <f t="shared" ca="1" si="303"/>
        <v>0</v>
      </c>
      <c r="FD160" s="835">
        <f t="shared" ca="1" si="303"/>
        <v>0</v>
      </c>
      <c r="FE160" s="836">
        <f t="shared" ca="1" si="303"/>
        <v>0</v>
      </c>
      <c r="FG160" s="386">
        <f t="shared" ca="1" si="293"/>
        <v>0</v>
      </c>
      <c r="FH160" s="387">
        <f t="shared" ca="1" si="294"/>
        <v>0</v>
      </c>
      <c r="FI160" s="388">
        <f t="shared" ca="1" si="295"/>
        <v>0</v>
      </c>
      <c r="FJ160" s="386">
        <f t="shared" ca="1" si="296"/>
        <v>0</v>
      </c>
      <c r="FK160" s="387">
        <f t="shared" ca="1" si="297"/>
        <v>0</v>
      </c>
      <c r="FL160" s="387">
        <f t="shared" ca="1" si="298"/>
        <v>0</v>
      </c>
      <c r="FM160" s="387">
        <f t="shared" ca="1" si="299"/>
        <v>0</v>
      </c>
      <c r="FN160" s="388">
        <f t="shared" ca="1" si="300"/>
        <v>0</v>
      </c>
      <c r="FR160" s="116"/>
    </row>
    <row r="161" spans="2:174">
      <c r="B161" s="1410">
        <f t="shared" si="302"/>
        <v>115</v>
      </c>
      <c r="C161" s="400" t="s">
        <v>672</v>
      </c>
      <c r="D161" s="410"/>
      <c r="E161" s="402" t="s">
        <v>411</v>
      </c>
      <c r="F161" s="402" t="s">
        <v>527</v>
      </c>
      <c r="G161" s="400" t="s">
        <v>437</v>
      </c>
      <c r="H161" s="2088" t="s">
        <v>483</v>
      </c>
      <c r="I161" s="2089"/>
      <c r="J161" s="411" t="s">
        <v>516</v>
      </c>
      <c r="K161" s="403" t="s">
        <v>544</v>
      </c>
      <c r="L161" s="403">
        <v>10</v>
      </c>
      <c r="M161" s="403" t="s">
        <v>142</v>
      </c>
      <c r="N161" s="403"/>
      <c r="O161" s="347"/>
      <c r="P161" s="347"/>
      <c r="Q161" s="1021">
        <v>8.6230860490212752E-2</v>
      </c>
      <c r="R161" s="1022">
        <v>8.9483759156229595E-2</v>
      </c>
      <c r="S161" s="1022">
        <v>7.9484598396557402E-2</v>
      </c>
      <c r="T161" s="1022">
        <v>8.2761845749962981E-2</v>
      </c>
      <c r="U161" s="1023">
        <v>8.7215467772551111E-2</v>
      </c>
      <c r="V161" s="1021">
        <v>3.1494993763120122E-2</v>
      </c>
      <c r="W161" s="1022">
        <v>3.9526387727023916E-2</v>
      </c>
      <c r="X161" s="1022">
        <v>5.1040136703662177E-2</v>
      </c>
      <c r="Y161" s="1022">
        <v>4.2408546580250395E-2</v>
      </c>
      <c r="Z161" s="1023">
        <v>4.2409721833691655E-2</v>
      </c>
      <c r="AA161" s="1024"/>
      <c r="AB161" s="1021">
        <v>0</v>
      </c>
      <c r="AC161" s="1022">
        <v>0</v>
      </c>
      <c r="AD161" s="1022">
        <v>0</v>
      </c>
      <c r="AE161" s="1022">
        <v>0</v>
      </c>
      <c r="AF161" s="1023">
        <v>0</v>
      </c>
      <c r="AG161" s="1021">
        <v>0</v>
      </c>
      <c r="AH161" s="1022">
        <v>0</v>
      </c>
      <c r="AI161" s="1022">
        <v>0</v>
      </c>
      <c r="AJ161" s="1022">
        <v>0</v>
      </c>
      <c r="AK161" s="1023">
        <v>0</v>
      </c>
      <c r="AL161" s="1024"/>
      <c r="AM161" s="1021">
        <v>0</v>
      </c>
      <c r="AN161" s="1022">
        <v>0</v>
      </c>
      <c r="AO161" s="1022">
        <v>0</v>
      </c>
      <c r="AP161" s="1022">
        <v>0</v>
      </c>
      <c r="AQ161" s="1023">
        <v>0</v>
      </c>
      <c r="AR161" s="1021">
        <v>0</v>
      </c>
      <c r="AS161" s="1022">
        <v>0</v>
      </c>
      <c r="AT161" s="1022">
        <v>0</v>
      </c>
      <c r="AU161" s="1022">
        <v>0</v>
      </c>
      <c r="AV161" s="1023">
        <v>0</v>
      </c>
      <c r="AW161" s="1025"/>
      <c r="AX161" s="1282">
        <f t="shared" si="247"/>
        <v>8.6230860490212752E-2</v>
      </c>
      <c r="AY161" s="387">
        <f t="shared" si="248"/>
        <v>8.9483759156229595E-2</v>
      </c>
      <c r="AZ161" s="387">
        <f t="shared" si="249"/>
        <v>7.9484598396557402E-2</v>
      </c>
      <c r="BA161" s="387">
        <f t="shared" si="250"/>
        <v>8.2761845749962981E-2</v>
      </c>
      <c r="BB161" s="1283">
        <f t="shared" si="251"/>
        <v>8.7215467772551111E-2</v>
      </c>
      <c r="BC161" s="386">
        <f t="shared" si="252"/>
        <v>3.1494993763120122E-2</v>
      </c>
      <c r="BD161" s="387">
        <f t="shared" si="253"/>
        <v>3.9526387727023916E-2</v>
      </c>
      <c r="BE161" s="1277">
        <f t="shared" si="254"/>
        <v>5.1040136703662177E-2</v>
      </c>
      <c r="BF161" s="1277">
        <f t="shared" si="255"/>
        <v>4.2408546580250395E-2</v>
      </c>
      <c r="BG161" s="388">
        <f t="shared" si="256"/>
        <v>4.2409721833691655E-2</v>
      </c>
      <c r="BH161" s="1025"/>
      <c r="BI161" s="1282">
        <f t="shared" ca="1" si="257"/>
        <v>4.3115430245106376E-3</v>
      </c>
      <c r="BJ161" s="387">
        <f t="shared" ca="1" si="258"/>
        <v>1.3097274006832756E-2</v>
      </c>
      <c r="BK161" s="387">
        <f t="shared" ca="1" si="259"/>
        <v>2.1545691884472105E-2</v>
      </c>
      <c r="BL161" s="387">
        <f t="shared" ca="1" si="260"/>
        <v>2.9658014091798128E-2</v>
      </c>
      <c r="BM161" s="1283">
        <f t="shared" ca="1" si="261"/>
        <v>3.8156879767923826E-2</v>
      </c>
      <c r="BN161" s="386">
        <f t="shared" ca="1" si="262"/>
        <v>4.409240284470739E-2</v>
      </c>
      <c r="BO161" s="387">
        <f t="shared" ca="1" si="263"/>
        <v>4.7643471919214593E-2</v>
      </c>
      <c r="BP161" s="1277">
        <f t="shared" ca="1" si="264"/>
        <v>5.2171798140748897E-2</v>
      </c>
      <c r="BQ161" s="1277">
        <f t="shared" ca="1" si="265"/>
        <v>5.6844232304944529E-2</v>
      </c>
      <c r="BR161" s="388">
        <f t="shared" ca="1" si="266"/>
        <v>6.1085145725641631E-2</v>
      </c>
      <c r="BS161" s="1025"/>
      <c r="BT161" s="1282">
        <f>+IF($K161="Ongoing",AX161,IF(RIGHT($K161,2)=RIGHT(BT$43,2),SUM($AX161:AX161),0)+IF(RIGHT(BT$43,2)&gt;RIGHT($K161,2),AX161,0))</f>
        <v>8.6230860490212752E-2</v>
      </c>
      <c r="BU161" s="387">
        <f>+IF($K161="Ongoing",AY161,IF(RIGHT($K161,2)=RIGHT(BU$43,2),SUM($AX161:AY161),0)+IF(RIGHT(BU$43,2)&gt;RIGHT($K161,2),AY161,0))</f>
        <v>8.9483759156229595E-2</v>
      </c>
      <c r="BV161" s="387">
        <f>+IF($K161="Ongoing",AZ161,IF(RIGHT($K161,2)=RIGHT(BV$43,2),SUM($AX161:AZ161),0)+IF(RIGHT(BV$43,2)&gt;RIGHT($K161,2),AZ161,0))</f>
        <v>7.9484598396557402E-2</v>
      </c>
      <c r="BW161" s="387">
        <f>+IF($K161="Ongoing",BA161,IF(RIGHT($K161,2)=RIGHT(BW$43,2),SUM($AX161:BA161),0)+IF(RIGHT(BW$43,2)&gt;RIGHT($K161,2),BA161,0))</f>
        <v>8.2761845749962981E-2</v>
      </c>
      <c r="BX161" s="1283">
        <f>+IF($K161="Ongoing",BB161,IF(RIGHT($K161,2)=RIGHT(BX$43,2),SUM($AX161:BB161),0)+IF(RIGHT(BX$43,2)&gt;RIGHT($K161,2),BB161,0))</f>
        <v>8.7215467772551111E-2</v>
      </c>
      <c r="BY161" s="386">
        <f>+IF($K161="Ongoing",BC161,IF(RIGHT($K161,2)=RIGHT(BY$43,2),SUM($AX161:BC161),0)+IF(RIGHT(BY$43,2)&gt;RIGHT($K161,2),BC161,0))</f>
        <v>3.1494993763120122E-2</v>
      </c>
      <c r="BZ161" s="387">
        <f>+IF($K161="Ongoing",BD161,IF(RIGHT($K161,2)=RIGHT(BZ$43,2),SUM($AX161:BD161),0)+IF(RIGHT(BZ$43,2)&gt;RIGHT($K161,2),BD161,0))</f>
        <v>3.9526387727023916E-2</v>
      </c>
      <c r="CA161" s="1277">
        <f>+IF($K161="Ongoing",BE161,IF(RIGHT($K161,2)=RIGHT(CA$43,2),SUM($AX161:BE161),0)+IF(RIGHT(CA$43,2)&gt;RIGHT($K161,2),BE161,0))</f>
        <v>5.1040136703662177E-2</v>
      </c>
      <c r="CB161" s="1277">
        <f>+IF($K161="Ongoing",BF161,IF(RIGHT($K161,2)=RIGHT(CB$43,2),SUM($AX161:BF161),0)+IF(RIGHT(CB$43,2)&gt;RIGHT($K161,2),BF161,0))</f>
        <v>4.2408546580250395E-2</v>
      </c>
      <c r="CC161" s="388">
        <f>+IF($K161="Ongoing",BG161,IF(RIGHT($K161,2)=RIGHT(CC$43,2),SUM($AX161:BG161),0)+IF(RIGHT(CC$43,2)&gt;RIGHT($K161,2),BG161,0))</f>
        <v>4.2409721833691655E-2</v>
      </c>
      <c r="CD161" s="1025"/>
      <c r="CE161" s="1282">
        <f>+Q161*KeyAssumptionsPriceControl_FO!AF$15</f>
        <v>8.8731555444428914E-2</v>
      </c>
      <c r="CF161" s="387">
        <f>+R161*KeyAssumptionsPriceControl_FO!AG$15</f>
        <v>9.474907302874129E-2</v>
      </c>
      <c r="CG161" s="387">
        <f>+S161*KeyAssumptionsPriceControl_FO!AH$15</f>
        <v>8.660223664868269E-2</v>
      </c>
      <c r="CH161" s="387">
        <f>+T161*KeyAssumptionsPriceControl_FO!AI$15</f>
        <v>9.2787968581117986E-2</v>
      </c>
      <c r="CI161" s="1283">
        <f>+U161*KeyAssumptionsPriceControl_FO!AJ$15</f>
        <v>0.10061677388207896</v>
      </c>
      <c r="CJ161" s="386">
        <f>+V161*KeyAssumptionsPriceControl_FO!AK$15</f>
        <v>3.7388132684167817E-2</v>
      </c>
      <c r="CK161" s="387">
        <f>+W161*KeyAssumptionsPriceControl_FO!AL$15</f>
        <v>4.8283055946547186E-2</v>
      </c>
      <c r="CL161" s="1277">
        <f>+X161*KeyAssumptionsPriceControl_FO!AM$15</f>
        <v>6.4155637823490985E-2</v>
      </c>
      <c r="CM161" s="1277">
        <f>+Y161*KeyAssumptionsPriceControl_FO!AN$15</f>
        <v>5.4851910851523758E-2</v>
      </c>
      <c r="CN161" s="388">
        <f>+Z161*KeyAssumptionsPriceControl_FO!AO$15</f>
        <v>5.6444180440997548E-2</v>
      </c>
      <c r="CO161" s="1025"/>
      <c r="CP161" s="1282">
        <f t="shared" ca="1" si="267"/>
        <v>0</v>
      </c>
      <c r="CQ161" s="387">
        <f t="shared" ca="1" si="268"/>
        <v>0</v>
      </c>
      <c r="CR161" s="387">
        <f t="shared" ca="1" si="269"/>
        <v>0</v>
      </c>
      <c r="CS161" s="387">
        <f t="shared" ca="1" si="270"/>
        <v>0</v>
      </c>
      <c r="CT161" s="1283">
        <f t="shared" ca="1" si="271"/>
        <v>0</v>
      </c>
      <c r="CU161" s="386">
        <f t="shared" ca="1" si="272"/>
        <v>0</v>
      </c>
      <c r="CV161" s="387">
        <f t="shared" ca="1" si="273"/>
        <v>0</v>
      </c>
      <c r="CW161" s="1277">
        <f t="shared" ca="1" si="274"/>
        <v>0</v>
      </c>
      <c r="CX161" s="1277">
        <f t="shared" ca="1" si="275"/>
        <v>0</v>
      </c>
      <c r="CY161" s="388">
        <f t="shared" ca="1" si="276"/>
        <v>0</v>
      </c>
      <c r="CZ161" s="347"/>
      <c r="DA161" s="852"/>
      <c r="DB161" s="347"/>
      <c r="DC161" s="1012" t="s">
        <v>674</v>
      </c>
      <c r="DD161" s="841" t="s">
        <v>518</v>
      </c>
      <c r="DE161" s="386">
        <f>+IF($K161="ongoing",CE161,IF(RIGHT($K161,2)=RIGHT(DE$43,2),SUM($CD161:CE161),0)+IF(RIGHT(DE$43,2)&gt;RIGHT($K161,2),CE161,0))</f>
        <v>8.8731555444428914E-2</v>
      </c>
      <c r="DF161" s="387">
        <f>+IF($K161="ongoing",CF161,IF(RIGHT($K161,2)=RIGHT(DF$43,2),SUM($CD161:CF161),0)+IF(RIGHT(DF$43,2)&gt;RIGHT($K161,2),CF161,0))</f>
        <v>9.474907302874129E-2</v>
      </c>
      <c r="DG161" s="388">
        <f>+IF($K161="ongoing",CG161,IF(RIGHT($K161,2)=RIGHT(DG$43,2),SUM($CD161:CG161),0)+IF(RIGHT(DG$43,2)&gt;RIGHT($K161,2),CG161,0))</f>
        <v>8.660223664868269E-2</v>
      </c>
      <c r="DH161" s="386">
        <f>+IF($K161="ongoing",CH161,IF(RIGHT($K161,2)=RIGHT(DH$43,2),SUM($CD161:CH161),0)+IF(RIGHT(DH$43,2)&gt;RIGHT($K161,2),CH161,0))</f>
        <v>9.2787968581117986E-2</v>
      </c>
      <c r="DI161" s="387">
        <f>+IF($K161="ongoing",CI161,IF(RIGHT($K161,2)=RIGHT(DI$43,2),SUM($CD161:CI161),0)+IF(RIGHT(DI$43,2)&gt;RIGHT($K161,2),CI161,0))</f>
        <v>0.10061677388207896</v>
      </c>
      <c r="DJ161" s="387">
        <f>+IF($K161="ongoing",CJ161,IF(RIGHT($K161,2)=RIGHT(DJ$43,2),SUM($CD161:CJ161),0)+IF(RIGHT(DJ$43,2)&gt;RIGHT($K161,2),CJ161,0))</f>
        <v>3.7388132684167817E-2</v>
      </c>
      <c r="DK161" s="387">
        <f>+IF($K161="ongoing",CK161,IF(RIGHT($K161,2)=RIGHT(DK$43,2),SUM($CD161:CK161),0)+IF(RIGHT(DK$43,2)&gt;RIGHT($K161,2),CK161,0))</f>
        <v>4.8283055946547186E-2</v>
      </c>
      <c r="DL161" s="388">
        <f>+IF($K161="ongoing",CN161,IF(RIGHT($K161,2)=RIGHT(DL$43,2),SUM($CD161:CN161),0)+IF(RIGHT(DL$43,2)&gt;RIGHT($K161,2),CN161,0))</f>
        <v>5.6444180440997548E-2</v>
      </c>
      <c r="DM161" s="841"/>
      <c r="DN161" s="386">
        <f t="shared" si="277"/>
        <v>0.5</v>
      </c>
      <c r="DO161" s="387">
        <f t="shared" si="278"/>
        <v>1</v>
      </c>
      <c r="DP161" s="388">
        <f t="shared" si="279"/>
        <v>1</v>
      </c>
      <c r="DQ161" s="386">
        <f t="shared" si="280"/>
        <v>1</v>
      </c>
      <c r="DR161" s="387">
        <f t="shared" si="281"/>
        <v>1</v>
      </c>
      <c r="DS161" s="387">
        <f t="shared" si="282"/>
        <v>1</v>
      </c>
      <c r="DT161" s="387">
        <f t="shared" si="283"/>
        <v>1</v>
      </c>
      <c r="DU161" s="388">
        <f t="shared" si="284"/>
        <v>1</v>
      </c>
      <c r="DW161" s="386">
        <f t="shared" si="285"/>
        <v>0</v>
      </c>
      <c r="DX161" s="387">
        <f t="shared" si="286"/>
        <v>0.5</v>
      </c>
      <c r="DY161" s="388">
        <f t="shared" si="287"/>
        <v>1</v>
      </c>
      <c r="DZ161" s="386">
        <f t="shared" si="288"/>
        <v>1</v>
      </c>
      <c r="EA161" s="387">
        <f t="shared" si="289"/>
        <v>1</v>
      </c>
      <c r="EB161" s="387">
        <f t="shared" si="290"/>
        <v>1</v>
      </c>
      <c r="EC161" s="387">
        <f t="shared" si="291"/>
        <v>1</v>
      </c>
      <c r="ED161" s="388">
        <f t="shared" si="292"/>
        <v>1</v>
      </c>
      <c r="EF161" s="834">
        <f>+IF(DN161=DM161,0,
IF(AND(EF$44&gt;1,DN161=$N161),1-SUM($EE161:EE161),
IF($N161&lt;=1,
IF($N161&gt;0,1/$N161,0),
IF(EF$44=1,0,VDB(1,0,$N161,INT(EF$44-1-1),MIN($N161,INT(EF$44-1-1)+1),$DC161,IF($DD161="No",1,0))/
IF(DM161&gt;=INT($N161),$N161-INT($N161),1)))*
IF(EF$44=1,0,
IF(INT(DN161)=INT(DM161),DN161-DM161,INT(DN161)-DM161))+
IF($N161&lt;=1,
IF($N161&gt;0,1/$N161,0),VDB(1,0,$N161,INT(EF$44-1),MIN($N161,INT(EF$44-1)+1),$DC161,IF($DD161="No",1,0))/
IF(DN161&gt;INT($N161),$N161-INT($N161),1))*
IF(EF$44=1,DN161,
IF(INT(DN161)=INT(DM161),0,DN161-INT(DN161)))))</f>
        <v>0</v>
      </c>
      <c r="EG161" s="835">
        <f>+IF(DO161=DN161,0,
IF(AND(EG$44&gt;1,DO161=$N161),1-SUM($EE161:EF161),
IF($N161&lt;=1,
IF($N161&gt;0,1/$N161,0),
IF(EG$44=1,0,VDB(1,0,$N161,INT(EG$44-1-1),MIN($N161,INT(EG$44-1-1)+1),$DC161,IF($DD161="No",1,0))/
IF(DN161&gt;=INT($N161),$N161-INT($N161),1)))*
IF(EG$44=1,0,
IF(INT(DO161)=INT(DN161),DO161-DN161,INT(DO161)-DN161))+
IF($N161&lt;=1,
IF($N161&gt;0,1/$N161,0),VDB(1,0,$N161,INT(EG$44-1),MIN($N161,INT(EG$44-1)+1),$DC161,IF($DD161="No",1,0))/
IF(DO161&gt;INT($N161),$N161-INT($N161),1))*
IF(EG$44=1,DO161,
IF(INT(DO161)=INT(DN161),0,DO161-INT(DO161)))))</f>
        <v>0</v>
      </c>
      <c r="EH161" s="836">
        <f>+IF(DP161=DO161,0,
IF(AND(EH$44&gt;1,DP161=$N161),1-SUM($EE161:EG161),
IF($N161&lt;=1,
IF($N161&gt;0,1/$N161,0),
IF(EH$44=1,0,VDB(1,0,$N161,INT(EH$44-1-1),MIN($N161,INT(EH$44-1-1)+1),$DC161,IF($DD161="No",1,0))/
IF(DO161&gt;=INT($N161),$N161-INT($N161),1)))*
IF(EH$44=1,0,
IF(INT(DP161)=INT(DO161),DP161-DO161,INT(DP161)-DO161))+
IF($N161&lt;=1,
IF($N161&gt;0,1/$N161,0),VDB(1,0,$N161,INT(EH$44-1),MIN($N161,INT(EH$44-1)+1),$DC161,IF($DD161="No",1,0))/
IF(DP161&gt;INT($N161),$N161-INT($N161),1))*
IF(EH$44=1,DP161,
IF(INT(DP161)=INT(DO161),0,DP161-INT(DP161)))))</f>
        <v>0</v>
      </c>
      <c r="EI161" s="834">
        <f>+IF(DQ161=DP161,0,
IF(AND(EI$44&gt;1,DQ161=$N161),1-SUM($EE161:EH161),
IF($N161&lt;=1,
IF($N161&gt;0,1/$N161,0),
IF(EI$44=1,0,VDB(1,0,$N161,INT(EI$44-1-1),MIN($N161,INT(EI$44-1-1)+1),$DC161,IF($DD161="No",1,0))/
IF(DP161&gt;=INT($N161),$N161-INT($N161),1)))*
IF(EI$44=1,0,
IF(INT(DQ161)=INT(DP161),DQ161-DP161,INT(DQ161)-DP161))+
IF($N161&lt;=1,
IF($N161&gt;0,1/$N161,0),VDB(1,0,$N161,INT(EI$44-1),MIN($N161,INT(EI$44-1)+1),$DC161,IF($DD161="No",1,0))/
IF(DQ161&gt;INT($N161),$N161-INT($N161),1))*
IF(EI$44=1,DQ161,
IF(INT(DQ161)=INT(DP161),0,DQ161-INT(DQ161)))))</f>
        <v>0</v>
      </c>
      <c r="EJ161" s="835">
        <f>+IF(DR161=DQ161,0,
IF(AND(EJ$44&gt;1,DR161=$N161),1-SUM($EE161:EI161),
IF($N161&lt;=1,
IF($N161&gt;0,1/$N161,0),
IF(EJ$44=1,0,VDB(1,0,$N161,INT(EJ$44-1-1),MIN($N161,INT(EJ$44-1-1)+1),$DC161,IF($DD161="No",1,0))/
IF(DQ161&gt;=INT($N161),$N161-INT($N161),1)))*
IF(EJ$44=1,0,
IF(INT(DR161)=INT(DQ161),DR161-DQ161,INT(DR161)-DQ161))+
IF($N161&lt;=1,
IF($N161&gt;0,1/$N161,0),VDB(1,0,$N161,INT(EJ$44-1),MIN($N161,INT(EJ$44-1)+1),$DC161,IF($DD161="No",1,0))/
IF(DR161&gt;INT($N161),$N161-INT($N161),1))*
IF(EJ$44=1,DR161,
IF(INT(DR161)=INT(DQ161),0,DR161-INT(DR161)))))</f>
        <v>0</v>
      </c>
      <c r="EK161" s="835">
        <f>+IF(DS161=DR161,0,
IF(AND(EK$44&gt;1,DS161=$N161),1-SUM($EE161:EJ161),
IF($N161&lt;=1,
IF($N161&gt;0,1/$N161,0),
IF(EK$44=1,0,VDB(1,0,$N161,INT(EK$44-1-1),MIN($N161,INT(EK$44-1-1)+1),$DC161,IF($DD161="No",1,0))/
IF(DR161&gt;=INT($N161),$N161-INT($N161),1)))*
IF(EK$44=1,0,
IF(INT(DS161)=INT(DR161),DS161-DR161,INT(DS161)-DR161))+
IF($N161&lt;=1,
IF($N161&gt;0,1/$N161,0),VDB(1,0,$N161,INT(EK$44-1),MIN($N161,INT(EK$44-1)+1),$DC161,IF($DD161="No",1,0))/
IF(DS161&gt;INT($N161),$N161-INT($N161),1))*
IF(EK$44=1,DS161,
IF(INT(DS161)=INT(DR161),0,DS161-INT(DS161)))))</f>
        <v>0</v>
      </c>
      <c r="EL161" s="835">
        <f>+IF(DT161=DS161,0,
IF(AND(EL$44&gt;1,DT161=$N161),1-SUM($EE161:EK161),
IF($N161&lt;=1,
IF($N161&gt;0,1/$N161,0),
IF(EL$44=1,0,VDB(1,0,$N161,INT(EL$44-1-1),MIN($N161,INT(EL$44-1-1)+1),$DC161,IF($DD161="No",1,0))/
IF(DS161&gt;=INT($N161),$N161-INT($N161),1)))*
IF(EL$44=1,0,
IF(INT(DT161)=INT(DS161),DT161-DS161,INT(DT161)-DS161))+
IF($N161&lt;=1,
IF($N161&gt;0,1/$N161,0),VDB(1,0,$N161,INT(EL$44-1),MIN($N161,INT(EL$44-1)+1),$DC161,IF($DD161="No",1,0))/
IF(DT161&gt;INT($N161),$N161-INT($N161),1))*
IF(EL$44=1,DT161,
IF(INT(DT161)=INT(DS161),0,DT161-INT(DT161)))))</f>
        <v>0</v>
      </c>
      <c r="EM161" s="836">
        <f>+IF(DU161=DT161,0,
IF(AND(EM$44&gt;1,DU161=$N161),1-SUM($EE161:EL161),
IF($N161&lt;=1,
IF($N161&gt;0,1/$N161,0),
IF(EM$44=1,0,VDB(1,0,$N161,INT(EM$44-1-1),MIN($N161,INT(EM$44-1-1)+1),$DC161,IF($DD161="No",1,0))/
IF(DT161&gt;=INT($N161),$N161-INT($N161),1)))*
IF(EM$44=1,0,
IF(INT(DU161)=INT(DT161),DU161-DT161,INT(DU161)-DT161))+
IF($N161&lt;=1,
IF($N161&gt;0,1/$N161,0),VDB(1,0,$N161,INT(EM$44-1),MIN($N161,INT(EM$44-1)+1),$DC161,IF($DD161="No",1,0))/
IF(DU161&gt;INT($N161),$N161-INT($N161),1))*
IF(EM$44=1,DU161,
IF(INT(DU161)=INT(DT161),0,DU161-INT(DU161)))))</f>
        <v>0</v>
      </c>
      <c r="EN161" s="833"/>
      <c r="EO161" s="834">
        <f>+IF(OR(DW161=DV161,EO$44=1),0,
IF(AND(EO$44&gt;1,DW161=$N161),1-SUM($EN161:EN161),
IF($N161&lt;=1,
IF($N161&gt;0,1/$N161,0),
IF(EO$44=2,0,VDB(1,0,$N161,INT(EO$44-2-1),MIN($N161,INT(EO$44-2-1)+1),$DC161,IF($DD161="No",1,0))/
IF(DV161&gt;=INT($N161),$N161-INT($N161),1)))*
IF(EO$44=2,0,
IF(INT(DW161)=INT(DV161),DW161-DV161,INT(DW161)-DV161))+
IF($N161&lt;=1,
IF($N161&gt;0,1/$N161,0),VDB(1,0,$N161,INT(EO$44-2),MIN($N161,INT(EO$44-2)+1),$DC161,IF($DD161="No",1,0))/
IF(DW161&gt;INT($N161),$N161-INT($N161),1))*
IF(EO$44=2,DW161,
IF(INT(DW161)=INT(DV161),0,DW161-INT(DW161)))))</f>
        <v>0</v>
      </c>
      <c r="EP161" s="835">
        <f>+IF(OR(DX161=DW161,EP$44=1),0,
IF(AND(EP$44&gt;1,DX161=$N161),1-SUM($EN161:EO161),
IF($N161&lt;=1,
IF($N161&gt;0,1/$N161,0),
IF(EP$44=2,0,VDB(1,0,$N161,INT(EP$44-2-1),MIN($N161,INT(EP$44-2-1)+1),$DC161,IF($DD161="No",1,0))/
IF(DW161&gt;=INT($N161),$N161-INT($N161),1)))*
IF(EP$44=2,0,
IF(INT(DX161)=INT(DW161),DX161-DW161,INT(DX161)-DW161))+
IF($N161&lt;=1,
IF($N161&gt;0,1/$N161,0),VDB(1,0,$N161,INT(EP$44-2),MIN($N161,INT(EP$44-2)+1),$DC161,IF($DD161="No",1,0))/
IF(DX161&gt;INT($N161),$N161-INT($N161),1))*
IF(EP$44=2,DX161,
IF(INT(DX161)=INT(DW161),0,DX161-INT(DX161)))))</f>
        <v>0</v>
      </c>
      <c r="EQ161" s="836">
        <f>+IF(OR(DY161=DX161,EQ$44=1),0,
IF(AND(EQ$44&gt;1,DY161=$N161),1-SUM($EN161:EP161),
IF($N161&lt;=1,
IF($N161&gt;0,1/$N161,0),
IF(EQ$44=2,0,VDB(1,0,$N161,INT(EQ$44-2-1),MIN($N161,INT(EQ$44-2-1)+1),$DC161,IF($DD161="No",1,0))/
IF(DX161&gt;=INT($N161),$N161-INT($N161),1)))*
IF(EQ$44=2,0,
IF(INT(DY161)=INT(DX161),DY161-DX161,INT(DY161)-DX161))+
IF($N161&lt;=1,
IF($N161&gt;0,1/$N161,0),VDB(1,0,$N161,INT(EQ$44-2),MIN($N161,INT(EQ$44-2)+1),$DC161,IF($DD161="No",1,0))/
IF(DY161&gt;INT($N161),$N161-INT($N161),1))*
IF(EQ$44=2,DY161,
IF(INT(DY161)=INT(DX161),0,DY161-INT(DY161)))))</f>
        <v>0</v>
      </c>
      <c r="ER161" s="834">
        <f>+IF(OR(DZ161=DY161,ER$44=1),0,
IF(AND(ER$44&gt;1,DZ161=$N161),1-SUM($EN161:EQ161),
IF($N161&lt;=1,
IF($N161&gt;0,1/$N161,0),
IF(ER$44=2,0,VDB(1,0,$N161,INT(ER$44-2-1),MIN($N161,INT(ER$44-2-1)+1),$DC161,IF($DD161="No",1,0))/
IF(DY161&gt;=INT($N161),$N161-INT($N161),1)))*
IF(ER$44=2,0,
IF(INT(DZ161)=INT(DY161),DZ161-DY161,INT(DZ161)-DY161))+
IF($N161&lt;=1,
IF($N161&gt;0,1/$N161,0),VDB(1,0,$N161,INT(ER$44-2),MIN($N161,INT(ER$44-2)+1),$DC161,IF($DD161="No",1,0))/
IF(DZ161&gt;INT($N161),$N161-INT($N161),1))*
IF(ER$44=2,DZ161,
IF(INT(DZ161)=INT(DY161),0,DZ161-INT(DZ161)))))</f>
        <v>0</v>
      </c>
      <c r="ES161" s="835">
        <f>+IF(OR(EA161=DZ161,ES$44=1),0,
IF(AND(ES$44&gt;1,EA161=$N161),1-SUM($EN161:ER161),
IF($N161&lt;=1,
IF($N161&gt;0,1/$N161,0),
IF(ES$44=2,0,VDB(1,0,$N161,INT(ES$44-2-1),MIN($N161,INT(ES$44-2-1)+1),$DC161,IF($DD161="No",1,0))/
IF(DZ161&gt;=INT($N161),$N161-INT($N161),1)))*
IF(ES$44=2,0,
IF(INT(EA161)=INT(DZ161),EA161-DZ161,INT(EA161)-DZ161))+
IF($N161&lt;=1,
IF($N161&gt;0,1/$N161,0),VDB(1,0,$N161,INT(ES$44-2),MIN($N161,INT(ES$44-2)+1),$DC161,IF($DD161="No",1,0))/
IF(EA161&gt;INT($N161),$N161-INT($N161),1))*
IF(ES$44=2,EA161,
IF(INT(EA161)=INT(DZ161),0,EA161-INT(EA161)))))</f>
        <v>0</v>
      </c>
      <c r="ET161" s="835">
        <f>+IF(OR(EB161=EA161,ET$44=1),0,
IF(AND(ET$44&gt;1,EB161=$N161),1-SUM($EN161:ES161),
IF($N161&lt;=1,
IF($N161&gt;0,1/$N161,0),
IF(ET$44=2,0,VDB(1,0,$N161,INT(ET$44-2-1),MIN($N161,INT(ET$44-2-1)+1),$DC161,IF($DD161="No",1,0))/
IF(EA161&gt;=INT($N161),$N161-INT($N161),1)))*
IF(ET$44=2,0,
IF(INT(EB161)=INT(EA161),EB161-EA161,INT(EB161)-EA161))+
IF($N161&lt;=1,
IF($N161&gt;0,1/$N161,0),VDB(1,0,$N161,INT(ET$44-2),MIN($N161,INT(ET$44-2)+1),$DC161,IF($DD161="No",1,0))/
IF(EB161&gt;INT($N161),$N161-INT($N161),1))*
IF(ET$44=2,EB161,
IF(INT(EB161)=INT(EA161),0,EB161-INT(EB161)))))</f>
        <v>0</v>
      </c>
      <c r="EU161" s="835">
        <f>+IF(OR(EC161=EB161,EU$44=1),0,
IF(AND(EU$44&gt;1,EC161=$N161),1-SUM($EN161:ET161),
IF($N161&lt;=1,
IF($N161&gt;0,1/$N161,0),
IF(EU$44=2,0,VDB(1,0,$N161,INT(EU$44-2-1),MIN($N161,INT(EU$44-2-1)+1),$DC161,IF($DD161="No",1,0))/
IF(EB161&gt;=INT($N161),$N161-INT($N161),1)))*
IF(EU$44=2,0,
IF(INT(EC161)=INT(EB161),EC161-EB161,INT(EC161)-EB161))+
IF($N161&lt;=1,
IF($N161&gt;0,1/$N161,0),VDB(1,0,$N161,INT(EU$44-2),MIN($N161,INT(EU$44-2)+1),$DC161,IF($DD161="No",1,0))/
IF(EC161&gt;INT($N161),$N161-INT($N161),1))*
IF(EU$44=2,EC161,
IF(INT(EC161)=INT(EB161),0,EC161-INT(EC161)))))</f>
        <v>0</v>
      </c>
      <c r="EV161" s="836">
        <f>+IF(OR(ED161=EC161,EV$44=1),0,
IF(AND(EV$44&gt;1,ED161=$N161),1-SUM($EN161:EU161),
IF($N161&lt;=1,
IF($N161&gt;0,1/$N161,0),
IF(EV$44=2,0,VDB(1,0,$N161,INT(EV$44-2-1),MIN($N161,INT(EV$44-2-1)+1),$DC161,IF($DD161="No",1,0))/
IF(EC161&gt;=INT($N161),$N161-INT($N161),1)))*
IF(EV$44=2,0,
IF(INT(ED161)=INT(EC161),ED161-EC161,INT(ED161)-EC161))+
IF($N161&lt;=1,
IF($N161&gt;0,1/$N161,0),VDB(1,0,$N161,INT(EV$44-2),MIN($N161,INT(EV$44-2)+1),$DC161,IF($DD161="No",1,0))/
IF(ED161&gt;INT($N161),$N161-INT($N161),1))*
IF(EV$44=2,ED161,
IF(INT(ED161)=INT(EC161),0,ED161-INT(ED161)))))</f>
        <v>0</v>
      </c>
      <c r="EW161" s="833"/>
      <c r="EX161" s="834">
        <f t="shared" ca="1" si="303"/>
        <v>0</v>
      </c>
      <c r="EY161" s="835">
        <f t="shared" ca="1" si="303"/>
        <v>0</v>
      </c>
      <c r="EZ161" s="836">
        <f t="shared" ca="1" si="303"/>
        <v>0</v>
      </c>
      <c r="FA161" s="834">
        <f t="shared" ca="1" si="303"/>
        <v>0</v>
      </c>
      <c r="FB161" s="835">
        <f t="shared" ca="1" si="303"/>
        <v>0</v>
      </c>
      <c r="FC161" s="835">
        <f t="shared" ca="1" si="303"/>
        <v>0</v>
      </c>
      <c r="FD161" s="835">
        <f t="shared" ca="1" si="303"/>
        <v>0</v>
      </c>
      <c r="FE161" s="836">
        <f t="shared" ca="1" si="303"/>
        <v>0</v>
      </c>
      <c r="FG161" s="386">
        <f t="shared" ca="1" si="293"/>
        <v>0</v>
      </c>
      <c r="FH161" s="387">
        <f t="shared" ca="1" si="294"/>
        <v>0</v>
      </c>
      <c r="FI161" s="388">
        <f t="shared" ca="1" si="295"/>
        <v>0</v>
      </c>
      <c r="FJ161" s="386">
        <f t="shared" ca="1" si="296"/>
        <v>0</v>
      </c>
      <c r="FK161" s="387">
        <f t="shared" ca="1" si="297"/>
        <v>0</v>
      </c>
      <c r="FL161" s="387">
        <f t="shared" ca="1" si="298"/>
        <v>0</v>
      </c>
      <c r="FM161" s="387">
        <f t="shared" ca="1" si="299"/>
        <v>0</v>
      </c>
      <c r="FN161" s="388">
        <f t="shared" ca="1" si="300"/>
        <v>0</v>
      </c>
      <c r="FR161" s="116"/>
    </row>
    <row r="162" spans="2:174">
      <c r="B162" s="1410">
        <f t="shared" si="302"/>
        <v>116</v>
      </c>
      <c r="C162" s="400" t="s">
        <v>672</v>
      </c>
      <c r="D162" s="410"/>
      <c r="E162" s="402" t="s">
        <v>402</v>
      </c>
      <c r="F162" s="402" t="s">
        <v>527</v>
      </c>
      <c r="G162" s="400" t="s">
        <v>437</v>
      </c>
      <c r="H162" s="2088" t="s">
        <v>483</v>
      </c>
      <c r="I162" s="2089"/>
      <c r="J162" s="411" t="s">
        <v>516</v>
      </c>
      <c r="K162" s="403" t="s">
        <v>544</v>
      </c>
      <c r="L162" s="403">
        <v>10</v>
      </c>
      <c r="M162" s="403" t="s">
        <v>142</v>
      </c>
      <c r="N162" s="403"/>
      <c r="O162" s="347"/>
      <c r="P162" s="347"/>
      <c r="Q162" s="1021">
        <v>7.0709645228475875</v>
      </c>
      <c r="R162" s="1022">
        <v>7.3377034946387143</v>
      </c>
      <c r="S162" s="1022">
        <v>6.5177683741035679</v>
      </c>
      <c r="T162" s="1022">
        <v>6.7865039478504787</v>
      </c>
      <c r="U162" s="1023">
        <v>7.1517027077940565</v>
      </c>
      <c r="V162" s="1021">
        <v>2.5826018931076886</v>
      </c>
      <c r="W162" s="1022">
        <v>3.2411793613705924</v>
      </c>
      <c r="X162" s="1022">
        <v>4.1853113122285137</v>
      </c>
      <c r="Y162" s="1022">
        <v>3.4775175224943422</v>
      </c>
      <c r="Z162" s="1023">
        <v>3.4776138937394072</v>
      </c>
      <c r="AA162" s="1024"/>
      <c r="AB162" s="1021">
        <v>0</v>
      </c>
      <c r="AC162" s="1022">
        <v>0</v>
      </c>
      <c r="AD162" s="1022">
        <v>0</v>
      </c>
      <c r="AE162" s="1022">
        <v>0</v>
      </c>
      <c r="AF162" s="1023">
        <v>0</v>
      </c>
      <c r="AG162" s="1021">
        <v>0</v>
      </c>
      <c r="AH162" s="1022">
        <v>0</v>
      </c>
      <c r="AI162" s="1022">
        <v>0</v>
      </c>
      <c r="AJ162" s="1022">
        <v>0</v>
      </c>
      <c r="AK162" s="1023">
        <v>0</v>
      </c>
      <c r="AL162" s="1024"/>
      <c r="AM162" s="1021">
        <v>0</v>
      </c>
      <c r="AN162" s="1022">
        <v>0</v>
      </c>
      <c r="AO162" s="1022">
        <v>0</v>
      </c>
      <c r="AP162" s="1022">
        <v>0</v>
      </c>
      <c r="AQ162" s="1023">
        <v>0</v>
      </c>
      <c r="AR162" s="1021">
        <v>0</v>
      </c>
      <c r="AS162" s="1022">
        <v>0</v>
      </c>
      <c r="AT162" s="1022">
        <v>0</v>
      </c>
      <c r="AU162" s="1022">
        <v>0</v>
      </c>
      <c r="AV162" s="1023">
        <v>0</v>
      </c>
      <c r="AW162" s="1025"/>
      <c r="AX162" s="1282">
        <f t="shared" si="247"/>
        <v>7.0709645228475875</v>
      </c>
      <c r="AY162" s="387">
        <f t="shared" si="248"/>
        <v>7.3377034946387143</v>
      </c>
      <c r="AZ162" s="387">
        <f t="shared" si="249"/>
        <v>6.5177683741035679</v>
      </c>
      <c r="BA162" s="387">
        <f t="shared" si="250"/>
        <v>6.7865039478504787</v>
      </c>
      <c r="BB162" s="1283">
        <f t="shared" si="251"/>
        <v>7.1517027077940565</v>
      </c>
      <c r="BC162" s="386">
        <f t="shared" si="252"/>
        <v>2.5826018931076886</v>
      </c>
      <c r="BD162" s="387">
        <f t="shared" si="253"/>
        <v>3.2411793613705924</v>
      </c>
      <c r="BE162" s="1277">
        <f t="shared" si="254"/>
        <v>4.1853113122285137</v>
      </c>
      <c r="BF162" s="1277">
        <f t="shared" si="255"/>
        <v>3.4775175224943422</v>
      </c>
      <c r="BG162" s="388">
        <f t="shared" si="256"/>
        <v>3.4776138937394072</v>
      </c>
      <c r="BH162" s="1025"/>
      <c r="BI162" s="1282">
        <f t="shared" ca="1" si="257"/>
        <v>0.35354822614237935</v>
      </c>
      <c r="BJ162" s="387">
        <f t="shared" ca="1" si="258"/>
        <v>1.0739816270166944</v>
      </c>
      <c r="BK162" s="387">
        <f t="shared" ca="1" si="259"/>
        <v>1.7667552204538088</v>
      </c>
      <c r="BL162" s="387">
        <f t="shared" ca="1" si="260"/>
        <v>2.4319688365515106</v>
      </c>
      <c r="BM162" s="1283">
        <f t="shared" ca="1" si="261"/>
        <v>3.1288791693337381</v>
      </c>
      <c r="BN162" s="386">
        <f t="shared" ca="1" si="262"/>
        <v>3.6155943993788253</v>
      </c>
      <c r="BO162" s="387">
        <f t="shared" ca="1" si="263"/>
        <v>3.9067834621027395</v>
      </c>
      <c r="BP162" s="1277">
        <f t="shared" ca="1" si="264"/>
        <v>4.278107995782694</v>
      </c>
      <c r="BQ162" s="1277">
        <f t="shared" ca="1" si="265"/>
        <v>4.6612494375188378</v>
      </c>
      <c r="BR162" s="388">
        <f t="shared" ca="1" si="266"/>
        <v>5.009006008330525</v>
      </c>
      <c r="BS162" s="1025"/>
      <c r="BT162" s="1282">
        <f>+IF($K162="Ongoing",AX162,IF(RIGHT($K162,2)=RIGHT(BT$43,2),SUM($AX162:AX162),0)+IF(RIGHT(BT$43,2)&gt;RIGHT($K162,2),AX162,0))</f>
        <v>7.0709645228475875</v>
      </c>
      <c r="BU162" s="387">
        <f>+IF($K162="Ongoing",AY162,IF(RIGHT($K162,2)=RIGHT(BU$43,2),SUM($AX162:AY162),0)+IF(RIGHT(BU$43,2)&gt;RIGHT($K162,2),AY162,0))</f>
        <v>7.3377034946387143</v>
      </c>
      <c r="BV162" s="387">
        <f>+IF($K162="Ongoing",AZ162,IF(RIGHT($K162,2)=RIGHT(BV$43,2),SUM($AX162:AZ162),0)+IF(RIGHT(BV$43,2)&gt;RIGHT($K162,2),AZ162,0))</f>
        <v>6.5177683741035679</v>
      </c>
      <c r="BW162" s="387">
        <f>+IF($K162="Ongoing",BA162,IF(RIGHT($K162,2)=RIGHT(BW$43,2),SUM($AX162:BA162),0)+IF(RIGHT(BW$43,2)&gt;RIGHT($K162,2),BA162,0))</f>
        <v>6.7865039478504787</v>
      </c>
      <c r="BX162" s="1283">
        <f>+IF($K162="Ongoing",BB162,IF(RIGHT($K162,2)=RIGHT(BX$43,2),SUM($AX162:BB162),0)+IF(RIGHT(BX$43,2)&gt;RIGHT($K162,2),BB162,0))</f>
        <v>7.1517027077940565</v>
      </c>
      <c r="BY162" s="386">
        <f>+IF($K162="Ongoing",BC162,IF(RIGHT($K162,2)=RIGHT(BY$43,2),SUM($AX162:BC162),0)+IF(RIGHT(BY$43,2)&gt;RIGHT($K162,2),BC162,0))</f>
        <v>2.5826018931076886</v>
      </c>
      <c r="BZ162" s="387">
        <f>+IF($K162="Ongoing",BD162,IF(RIGHT($K162,2)=RIGHT(BZ$43,2),SUM($AX162:BD162),0)+IF(RIGHT(BZ$43,2)&gt;RIGHT($K162,2),BD162,0))</f>
        <v>3.2411793613705924</v>
      </c>
      <c r="CA162" s="1277">
        <f>+IF($K162="Ongoing",BE162,IF(RIGHT($K162,2)=RIGHT(CA$43,2),SUM($AX162:BE162),0)+IF(RIGHT(CA$43,2)&gt;RIGHT($K162,2),BE162,0))</f>
        <v>4.1853113122285137</v>
      </c>
      <c r="CB162" s="1277">
        <f>+IF($K162="Ongoing",BF162,IF(RIGHT($K162,2)=RIGHT(CB$43,2),SUM($AX162:BF162),0)+IF(RIGHT(CB$43,2)&gt;RIGHT($K162,2),BF162,0))</f>
        <v>3.4775175224943422</v>
      </c>
      <c r="CC162" s="388">
        <f>+IF($K162="Ongoing",BG162,IF(RIGHT($K162,2)=RIGHT(CC$43,2),SUM($AX162:BG162),0)+IF(RIGHT(CC$43,2)&gt;RIGHT($K162,2),BG162,0))</f>
        <v>3.4776138937394072</v>
      </c>
      <c r="CD162" s="1025"/>
      <c r="CE162" s="1282">
        <f>+Q162*KeyAssumptionsPriceControl_FO!AF$15</f>
        <v>7.2760224940101672</v>
      </c>
      <c r="CF162" s="387">
        <f>+R162*KeyAssumptionsPriceControl_FO!AG$15</f>
        <v>7.7694613059667503</v>
      </c>
      <c r="CG162" s="387">
        <f>+S162*KeyAssumptionsPriceControl_FO!AH$15</f>
        <v>7.1014175141113167</v>
      </c>
      <c r="CH162" s="387">
        <f>+T162*KeyAssumptionsPriceControl_FO!AI$15</f>
        <v>7.6086499688664215</v>
      </c>
      <c r="CI162" s="1283">
        <f>+U162*KeyAssumptionsPriceControl_FO!AJ$15</f>
        <v>8.2506150869769979</v>
      </c>
      <c r="CJ162" s="386">
        <f>+V162*KeyAssumptionsPriceControl_FO!AK$15</f>
        <v>3.0658416056891276</v>
      </c>
      <c r="CK162" s="387">
        <f>+W162*KeyAssumptionsPriceControl_FO!AL$15</f>
        <v>3.9592296042488218</v>
      </c>
      <c r="CL162" s="1277">
        <f>+X162*KeyAssumptionsPriceControl_FO!AM$15</f>
        <v>5.2607875696897644</v>
      </c>
      <c r="CM162" s="1277">
        <f>+Y162*KeyAssumptionsPriceControl_FO!AN$15</f>
        <v>4.4978782936480721</v>
      </c>
      <c r="CN162" s="388">
        <f>+Z162*KeyAssumptionsPriceControl_FO!AO$15</f>
        <v>4.6284450271118542</v>
      </c>
      <c r="CO162" s="1025"/>
      <c r="CP162" s="1282">
        <f t="shared" ca="1" si="267"/>
        <v>0</v>
      </c>
      <c r="CQ162" s="387">
        <f t="shared" ca="1" si="268"/>
        <v>0</v>
      </c>
      <c r="CR162" s="387">
        <f t="shared" ca="1" si="269"/>
        <v>0</v>
      </c>
      <c r="CS162" s="387">
        <f t="shared" ca="1" si="270"/>
        <v>0</v>
      </c>
      <c r="CT162" s="1283">
        <f t="shared" ca="1" si="271"/>
        <v>0</v>
      </c>
      <c r="CU162" s="386">
        <f t="shared" ca="1" si="272"/>
        <v>0</v>
      </c>
      <c r="CV162" s="387">
        <f t="shared" ca="1" si="273"/>
        <v>0</v>
      </c>
      <c r="CW162" s="1277">
        <f t="shared" ca="1" si="274"/>
        <v>0</v>
      </c>
      <c r="CX162" s="1277">
        <f t="shared" ca="1" si="275"/>
        <v>0</v>
      </c>
      <c r="CY162" s="388">
        <f t="shared" ca="1" si="276"/>
        <v>0</v>
      </c>
      <c r="CZ162" s="347"/>
      <c r="DA162" s="852"/>
      <c r="DB162" s="347"/>
      <c r="DC162" s="1012" t="s">
        <v>675</v>
      </c>
      <c r="DD162" s="841" t="s">
        <v>518</v>
      </c>
      <c r="DE162" s="386">
        <f>+IF($K162="ongoing",CE162,IF(RIGHT($K162,2)=RIGHT(DE$43,2),SUM($CD162:CE162),0)+IF(RIGHT(DE$43,2)&gt;RIGHT($K162,2),CE162,0))</f>
        <v>7.2760224940101672</v>
      </c>
      <c r="DF162" s="387">
        <f>+IF($K162="ongoing",CF162,IF(RIGHT($K162,2)=RIGHT(DF$43,2),SUM($CD162:CF162),0)+IF(RIGHT(DF$43,2)&gt;RIGHT($K162,2),CF162,0))</f>
        <v>7.7694613059667503</v>
      </c>
      <c r="DG162" s="388">
        <f>+IF($K162="ongoing",CG162,IF(RIGHT($K162,2)=RIGHT(DG$43,2),SUM($CD162:CG162),0)+IF(RIGHT(DG$43,2)&gt;RIGHT($K162,2),CG162,0))</f>
        <v>7.1014175141113167</v>
      </c>
      <c r="DH162" s="386">
        <f>+IF($K162="ongoing",CH162,IF(RIGHT($K162,2)=RIGHT(DH$43,2),SUM($CD162:CH162),0)+IF(RIGHT(DH$43,2)&gt;RIGHT($K162,2),CH162,0))</f>
        <v>7.6086499688664215</v>
      </c>
      <c r="DI162" s="387">
        <f>+IF($K162="ongoing",CI162,IF(RIGHT($K162,2)=RIGHT(DI$43,2),SUM($CD162:CI162),0)+IF(RIGHT(DI$43,2)&gt;RIGHT($K162,2),CI162,0))</f>
        <v>8.2506150869769979</v>
      </c>
      <c r="DJ162" s="387">
        <f>+IF($K162="ongoing",CJ162,IF(RIGHT($K162,2)=RIGHT(DJ$43,2),SUM($CD162:CJ162),0)+IF(RIGHT(DJ$43,2)&gt;RIGHT($K162,2),CJ162,0))</f>
        <v>3.0658416056891276</v>
      </c>
      <c r="DK162" s="387">
        <f>+IF($K162="ongoing",CK162,IF(RIGHT($K162,2)=RIGHT(DK$43,2),SUM($CD162:CK162),0)+IF(RIGHT(DK$43,2)&gt;RIGHT($K162,2),CK162,0))</f>
        <v>3.9592296042488218</v>
      </c>
      <c r="DL162" s="388">
        <f>+IF($K162="ongoing",CN162,IF(RIGHT($K162,2)=RIGHT(DL$43,2),SUM($CD162:CN162),0)+IF(RIGHT(DL$43,2)&gt;RIGHT($K162,2),CN162,0))</f>
        <v>4.6284450271118542</v>
      </c>
      <c r="DM162" s="841"/>
      <c r="DN162" s="386">
        <f t="shared" si="277"/>
        <v>0.5</v>
      </c>
      <c r="DO162" s="387">
        <f t="shared" si="278"/>
        <v>1</v>
      </c>
      <c r="DP162" s="388">
        <f t="shared" si="279"/>
        <v>1</v>
      </c>
      <c r="DQ162" s="386">
        <f t="shared" si="280"/>
        <v>1</v>
      </c>
      <c r="DR162" s="387">
        <f t="shared" si="281"/>
        <v>1</v>
      </c>
      <c r="DS162" s="387">
        <f t="shared" si="282"/>
        <v>1</v>
      </c>
      <c r="DT162" s="387">
        <f t="shared" si="283"/>
        <v>1</v>
      </c>
      <c r="DU162" s="388">
        <f t="shared" si="284"/>
        <v>1</v>
      </c>
      <c r="DW162" s="386">
        <f t="shared" si="285"/>
        <v>0</v>
      </c>
      <c r="DX162" s="387">
        <f t="shared" si="286"/>
        <v>0.5</v>
      </c>
      <c r="DY162" s="388">
        <f t="shared" si="287"/>
        <v>1</v>
      </c>
      <c r="DZ162" s="386">
        <f t="shared" si="288"/>
        <v>1</v>
      </c>
      <c r="EA162" s="387">
        <f t="shared" si="289"/>
        <v>1</v>
      </c>
      <c r="EB162" s="387">
        <f t="shared" si="290"/>
        <v>1</v>
      </c>
      <c r="EC162" s="387">
        <f t="shared" si="291"/>
        <v>1</v>
      </c>
      <c r="ED162" s="388">
        <f t="shared" si="292"/>
        <v>1</v>
      </c>
      <c r="EF162" s="834">
        <f>+IF(DN162=DM162,0,
IF(AND(EF$44&gt;1,DN162=$N162),1-SUM($EE162:EE162),
IF($N162&lt;=1,
IF($N162&gt;0,1/$N162,0),
IF(EF$44=1,0,VDB(1,0,$N162,INT(EF$44-1-1),MIN($N162,INT(EF$44-1-1)+1),$DC162,IF($DD162="No",1,0))/
IF(DM162&gt;=INT($N162),$N162-INT($N162),1)))*
IF(EF$44=1,0,
IF(INT(DN162)=INT(DM162),DN162-DM162,INT(DN162)-DM162))+
IF($N162&lt;=1,
IF($N162&gt;0,1/$N162,0),VDB(1,0,$N162,INT(EF$44-1),MIN($N162,INT(EF$44-1)+1),$DC162,IF($DD162="No",1,0))/
IF(DN162&gt;INT($N162),$N162-INT($N162),1))*
IF(EF$44=1,DN162,
IF(INT(DN162)=INT(DM162),0,DN162-INT(DN162)))))</f>
        <v>0</v>
      </c>
      <c r="EG162" s="835">
        <f>+IF(DO162=DN162,0,
IF(AND(EG$44&gt;1,DO162=$N162),1-SUM($EE162:EF162),
IF($N162&lt;=1,
IF($N162&gt;0,1/$N162,0),
IF(EG$44=1,0,VDB(1,0,$N162,INT(EG$44-1-1),MIN($N162,INT(EG$44-1-1)+1),$DC162,IF($DD162="No",1,0))/
IF(DN162&gt;=INT($N162),$N162-INT($N162),1)))*
IF(EG$44=1,0,
IF(INT(DO162)=INT(DN162),DO162-DN162,INT(DO162)-DN162))+
IF($N162&lt;=1,
IF($N162&gt;0,1/$N162,0),VDB(1,0,$N162,INT(EG$44-1),MIN($N162,INT(EG$44-1)+1),$DC162,IF($DD162="No",1,0))/
IF(DO162&gt;INT($N162),$N162-INT($N162),1))*
IF(EG$44=1,DO162,
IF(INT(DO162)=INT(DN162),0,DO162-INT(DO162)))))</f>
        <v>0</v>
      </c>
      <c r="EH162" s="836">
        <f>+IF(DP162=DO162,0,
IF(AND(EH$44&gt;1,DP162=$N162),1-SUM($EE162:EG162),
IF($N162&lt;=1,
IF($N162&gt;0,1/$N162,0),
IF(EH$44=1,0,VDB(1,0,$N162,INT(EH$44-1-1),MIN($N162,INT(EH$44-1-1)+1),$DC162,IF($DD162="No",1,0))/
IF(DO162&gt;=INT($N162),$N162-INT($N162),1)))*
IF(EH$44=1,0,
IF(INT(DP162)=INT(DO162),DP162-DO162,INT(DP162)-DO162))+
IF($N162&lt;=1,
IF($N162&gt;0,1/$N162,0),VDB(1,0,$N162,INT(EH$44-1),MIN($N162,INT(EH$44-1)+1),$DC162,IF($DD162="No",1,0))/
IF(DP162&gt;INT($N162),$N162-INT($N162),1))*
IF(EH$44=1,DP162,
IF(INT(DP162)=INT(DO162),0,DP162-INT(DP162)))))</f>
        <v>0</v>
      </c>
      <c r="EI162" s="834">
        <f>+IF(DQ162=DP162,0,
IF(AND(EI$44&gt;1,DQ162=$N162),1-SUM($EE162:EH162),
IF($N162&lt;=1,
IF($N162&gt;0,1/$N162,0),
IF(EI$44=1,0,VDB(1,0,$N162,INT(EI$44-1-1),MIN($N162,INT(EI$44-1-1)+1),$DC162,IF($DD162="No",1,0))/
IF(DP162&gt;=INT($N162),$N162-INT($N162),1)))*
IF(EI$44=1,0,
IF(INT(DQ162)=INT(DP162),DQ162-DP162,INT(DQ162)-DP162))+
IF($N162&lt;=1,
IF($N162&gt;0,1/$N162,0),VDB(1,0,$N162,INT(EI$44-1),MIN($N162,INT(EI$44-1)+1),$DC162,IF($DD162="No",1,0))/
IF(DQ162&gt;INT($N162),$N162-INT($N162),1))*
IF(EI$44=1,DQ162,
IF(INT(DQ162)=INT(DP162),0,DQ162-INT(DQ162)))))</f>
        <v>0</v>
      </c>
      <c r="EJ162" s="835">
        <f>+IF(DR162=DQ162,0,
IF(AND(EJ$44&gt;1,DR162=$N162),1-SUM($EE162:EI162),
IF($N162&lt;=1,
IF($N162&gt;0,1/$N162,0),
IF(EJ$44=1,0,VDB(1,0,$N162,INT(EJ$44-1-1),MIN($N162,INT(EJ$44-1-1)+1),$DC162,IF($DD162="No",1,0))/
IF(DQ162&gt;=INT($N162),$N162-INT($N162),1)))*
IF(EJ$44=1,0,
IF(INT(DR162)=INT(DQ162),DR162-DQ162,INT(DR162)-DQ162))+
IF($N162&lt;=1,
IF($N162&gt;0,1/$N162,0),VDB(1,0,$N162,INT(EJ$44-1),MIN($N162,INT(EJ$44-1)+1),$DC162,IF($DD162="No",1,0))/
IF(DR162&gt;INT($N162),$N162-INT($N162),1))*
IF(EJ$44=1,DR162,
IF(INT(DR162)=INT(DQ162),0,DR162-INT(DR162)))))</f>
        <v>0</v>
      </c>
      <c r="EK162" s="835">
        <f>+IF(DS162=DR162,0,
IF(AND(EK$44&gt;1,DS162=$N162),1-SUM($EE162:EJ162),
IF($N162&lt;=1,
IF($N162&gt;0,1/$N162,0),
IF(EK$44=1,0,VDB(1,0,$N162,INT(EK$44-1-1),MIN($N162,INT(EK$44-1-1)+1),$DC162,IF($DD162="No",1,0))/
IF(DR162&gt;=INT($N162),$N162-INT($N162),1)))*
IF(EK$44=1,0,
IF(INT(DS162)=INT(DR162),DS162-DR162,INT(DS162)-DR162))+
IF($N162&lt;=1,
IF($N162&gt;0,1/$N162,0),VDB(1,0,$N162,INT(EK$44-1),MIN($N162,INT(EK$44-1)+1),$DC162,IF($DD162="No",1,0))/
IF(DS162&gt;INT($N162),$N162-INT($N162),1))*
IF(EK$44=1,DS162,
IF(INT(DS162)=INT(DR162),0,DS162-INT(DS162)))))</f>
        <v>0</v>
      </c>
      <c r="EL162" s="835">
        <f>+IF(DT162=DS162,0,
IF(AND(EL$44&gt;1,DT162=$N162),1-SUM($EE162:EK162),
IF($N162&lt;=1,
IF($N162&gt;0,1/$N162,0),
IF(EL$44=1,0,VDB(1,0,$N162,INT(EL$44-1-1),MIN($N162,INT(EL$44-1-1)+1),$DC162,IF($DD162="No",1,0))/
IF(DS162&gt;=INT($N162),$N162-INT($N162),1)))*
IF(EL$44=1,0,
IF(INT(DT162)=INT(DS162),DT162-DS162,INT(DT162)-DS162))+
IF($N162&lt;=1,
IF($N162&gt;0,1/$N162,0),VDB(1,0,$N162,INT(EL$44-1),MIN($N162,INT(EL$44-1)+1),$DC162,IF($DD162="No",1,0))/
IF(DT162&gt;INT($N162),$N162-INT($N162),1))*
IF(EL$44=1,DT162,
IF(INT(DT162)=INT(DS162),0,DT162-INT(DT162)))))</f>
        <v>0</v>
      </c>
      <c r="EM162" s="836">
        <f>+IF(DU162=DT162,0,
IF(AND(EM$44&gt;1,DU162=$N162),1-SUM($EE162:EL162),
IF($N162&lt;=1,
IF($N162&gt;0,1/$N162,0),
IF(EM$44=1,0,VDB(1,0,$N162,INT(EM$44-1-1),MIN($N162,INT(EM$44-1-1)+1),$DC162,IF($DD162="No",1,0))/
IF(DT162&gt;=INT($N162),$N162-INT($N162),1)))*
IF(EM$44=1,0,
IF(INT(DU162)=INT(DT162),DU162-DT162,INT(DU162)-DT162))+
IF($N162&lt;=1,
IF($N162&gt;0,1/$N162,0),VDB(1,0,$N162,INT(EM$44-1),MIN($N162,INT(EM$44-1)+1),$DC162,IF($DD162="No",1,0))/
IF(DU162&gt;INT($N162),$N162-INT($N162),1))*
IF(EM$44=1,DU162,
IF(INT(DU162)=INT(DT162),0,DU162-INT(DU162)))))</f>
        <v>0</v>
      </c>
      <c r="EN162" s="833"/>
      <c r="EO162" s="834">
        <f>+IF(OR(DW162=DV162,EO$44=1),0,
IF(AND(EO$44&gt;1,DW162=$N162),1-SUM($EN162:EN162),
IF($N162&lt;=1,
IF($N162&gt;0,1/$N162,0),
IF(EO$44=2,0,VDB(1,0,$N162,INT(EO$44-2-1),MIN($N162,INT(EO$44-2-1)+1),$DC162,IF($DD162="No",1,0))/
IF(DV162&gt;=INT($N162),$N162-INT($N162),1)))*
IF(EO$44=2,0,
IF(INT(DW162)=INT(DV162),DW162-DV162,INT(DW162)-DV162))+
IF($N162&lt;=1,
IF($N162&gt;0,1/$N162,0),VDB(1,0,$N162,INT(EO$44-2),MIN($N162,INT(EO$44-2)+1),$DC162,IF($DD162="No",1,0))/
IF(DW162&gt;INT($N162),$N162-INT($N162),1))*
IF(EO$44=2,DW162,
IF(INT(DW162)=INT(DV162),0,DW162-INT(DW162)))))</f>
        <v>0</v>
      </c>
      <c r="EP162" s="835">
        <f>+IF(OR(DX162=DW162,EP$44=1),0,
IF(AND(EP$44&gt;1,DX162=$N162),1-SUM($EN162:EO162),
IF($N162&lt;=1,
IF($N162&gt;0,1/$N162,0),
IF(EP$44=2,0,VDB(1,0,$N162,INT(EP$44-2-1),MIN($N162,INT(EP$44-2-1)+1),$DC162,IF($DD162="No",1,0))/
IF(DW162&gt;=INT($N162),$N162-INT($N162),1)))*
IF(EP$44=2,0,
IF(INT(DX162)=INT(DW162),DX162-DW162,INT(DX162)-DW162))+
IF($N162&lt;=1,
IF($N162&gt;0,1/$N162,0),VDB(1,0,$N162,INT(EP$44-2),MIN($N162,INT(EP$44-2)+1),$DC162,IF($DD162="No",1,0))/
IF(DX162&gt;INT($N162),$N162-INT($N162),1))*
IF(EP$44=2,DX162,
IF(INT(DX162)=INT(DW162),0,DX162-INT(DX162)))))</f>
        <v>0</v>
      </c>
      <c r="EQ162" s="836">
        <f>+IF(OR(DY162=DX162,EQ$44=1),0,
IF(AND(EQ$44&gt;1,DY162=$N162),1-SUM($EN162:EP162),
IF($N162&lt;=1,
IF($N162&gt;0,1/$N162,0),
IF(EQ$44=2,0,VDB(1,0,$N162,INT(EQ$44-2-1),MIN($N162,INT(EQ$44-2-1)+1),$DC162,IF($DD162="No",1,0))/
IF(DX162&gt;=INT($N162),$N162-INT($N162),1)))*
IF(EQ$44=2,0,
IF(INT(DY162)=INT(DX162),DY162-DX162,INT(DY162)-DX162))+
IF($N162&lt;=1,
IF($N162&gt;0,1/$N162,0),VDB(1,0,$N162,INT(EQ$44-2),MIN($N162,INT(EQ$44-2)+1),$DC162,IF($DD162="No",1,0))/
IF(DY162&gt;INT($N162),$N162-INT($N162),1))*
IF(EQ$44=2,DY162,
IF(INT(DY162)=INT(DX162),0,DY162-INT(DY162)))))</f>
        <v>0</v>
      </c>
      <c r="ER162" s="834">
        <f>+IF(OR(DZ162=DY162,ER$44=1),0,
IF(AND(ER$44&gt;1,DZ162=$N162),1-SUM($EN162:EQ162),
IF($N162&lt;=1,
IF($N162&gt;0,1/$N162,0),
IF(ER$44=2,0,VDB(1,0,$N162,INT(ER$44-2-1),MIN($N162,INT(ER$44-2-1)+1),$DC162,IF($DD162="No",1,0))/
IF(DY162&gt;=INT($N162),$N162-INT($N162),1)))*
IF(ER$44=2,0,
IF(INT(DZ162)=INT(DY162),DZ162-DY162,INT(DZ162)-DY162))+
IF($N162&lt;=1,
IF($N162&gt;0,1/$N162,0),VDB(1,0,$N162,INT(ER$44-2),MIN($N162,INT(ER$44-2)+1),$DC162,IF($DD162="No",1,0))/
IF(DZ162&gt;INT($N162),$N162-INT($N162),1))*
IF(ER$44=2,DZ162,
IF(INT(DZ162)=INT(DY162),0,DZ162-INT(DZ162)))))</f>
        <v>0</v>
      </c>
      <c r="ES162" s="835">
        <f>+IF(OR(EA162=DZ162,ES$44=1),0,
IF(AND(ES$44&gt;1,EA162=$N162),1-SUM($EN162:ER162),
IF($N162&lt;=1,
IF($N162&gt;0,1/$N162,0),
IF(ES$44=2,0,VDB(1,0,$N162,INT(ES$44-2-1),MIN($N162,INT(ES$44-2-1)+1),$DC162,IF($DD162="No",1,0))/
IF(DZ162&gt;=INT($N162),$N162-INT($N162),1)))*
IF(ES$44=2,0,
IF(INT(EA162)=INT(DZ162),EA162-DZ162,INT(EA162)-DZ162))+
IF($N162&lt;=1,
IF($N162&gt;0,1/$N162,0),VDB(1,0,$N162,INT(ES$44-2),MIN($N162,INT(ES$44-2)+1),$DC162,IF($DD162="No",1,0))/
IF(EA162&gt;INT($N162),$N162-INT($N162),1))*
IF(ES$44=2,EA162,
IF(INT(EA162)=INT(DZ162),0,EA162-INT(EA162)))))</f>
        <v>0</v>
      </c>
      <c r="ET162" s="835">
        <f>+IF(OR(EB162=EA162,ET$44=1),0,
IF(AND(ET$44&gt;1,EB162=$N162),1-SUM($EN162:ES162),
IF($N162&lt;=1,
IF($N162&gt;0,1/$N162,0),
IF(ET$44=2,0,VDB(1,0,$N162,INT(ET$44-2-1),MIN($N162,INT(ET$44-2-1)+1),$DC162,IF($DD162="No",1,0))/
IF(EA162&gt;=INT($N162),$N162-INT($N162),1)))*
IF(ET$44=2,0,
IF(INT(EB162)=INT(EA162),EB162-EA162,INT(EB162)-EA162))+
IF($N162&lt;=1,
IF($N162&gt;0,1/$N162,0),VDB(1,0,$N162,INT(ET$44-2),MIN($N162,INT(ET$44-2)+1),$DC162,IF($DD162="No",1,0))/
IF(EB162&gt;INT($N162),$N162-INT($N162),1))*
IF(ET$44=2,EB162,
IF(INT(EB162)=INT(EA162),0,EB162-INT(EB162)))))</f>
        <v>0</v>
      </c>
      <c r="EU162" s="835">
        <f>+IF(OR(EC162=EB162,EU$44=1),0,
IF(AND(EU$44&gt;1,EC162=$N162),1-SUM($EN162:ET162),
IF($N162&lt;=1,
IF($N162&gt;0,1/$N162,0),
IF(EU$44=2,0,VDB(1,0,$N162,INT(EU$44-2-1),MIN($N162,INT(EU$44-2-1)+1),$DC162,IF($DD162="No",1,0))/
IF(EB162&gt;=INT($N162),$N162-INT($N162),1)))*
IF(EU$44=2,0,
IF(INT(EC162)=INT(EB162),EC162-EB162,INT(EC162)-EB162))+
IF($N162&lt;=1,
IF($N162&gt;0,1/$N162,0),VDB(1,0,$N162,INT(EU$44-2),MIN($N162,INT(EU$44-2)+1),$DC162,IF($DD162="No",1,0))/
IF(EC162&gt;INT($N162),$N162-INT($N162),1))*
IF(EU$44=2,EC162,
IF(INT(EC162)=INT(EB162),0,EC162-INT(EC162)))))</f>
        <v>0</v>
      </c>
      <c r="EV162" s="836">
        <f>+IF(OR(ED162=EC162,EV$44=1),0,
IF(AND(EV$44&gt;1,ED162=$N162),1-SUM($EN162:EU162),
IF($N162&lt;=1,
IF($N162&gt;0,1/$N162,0),
IF(EV$44=2,0,VDB(1,0,$N162,INT(EV$44-2-1),MIN($N162,INT(EV$44-2-1)+1),$DC162,IF($DD162="No",1,0))/
IF(EC162&gt;=INT($N162),$N162-INT($N162),1)))*
IF(EV$44=2,0,
IF(INT(ED162)=INT(EC162),ED162-EC162,INT(ED162)-EC162))+
IF($N162&lt;=1,
IF($N162&gt;0,1/$N162,0),VDB(1,0,$N162,INT(EV$44-2),MIN($N162,INT(EV$44-2)+1),$DC162,IF($DD162="No",1,0))/
IF(ED162&gt;INT($N162),$N162-INT($N162),1))*
IF(EV$44=2,ED162,
IF(INT(ED162)=INT(EC162),0,ED162-INT(ED162)))))</f>
        <v>0</v>
      </c>
      <c r="EW162" s="833"/>
      <c r="EX162" s="834">
        <f t="shared" ca="1" si="303"/>
        <v>0</v>
      </c>
      <c r="EY162" s="835">
        <f t="shared" ca="1" si="303"/>
        <v>0</v>
      </c>
      <c r="EZ162" s="836">
        <f t="shared" ca="1" si="303"/>
        <v>0</v>
      </c>
      <c r="FA162" s="834">
        <f t="shared" ca="1" si="303"/>
        <v>0</v>
      </c>
      <c r="FB162" s="835">
        <f t="shared" ca="1" si="303"/>
        <v>0</v>
      </c>
      <c r="FC162" s="835">
        <f t="shared" ca="1" si="303"/>
        <v>0</v>
      </c>
      <c r="FD162" s="835">
        <f t="shared" ca="1" si="303"/>
        <v>0</v>
      </c>
      <c r="FE162" s="836">
        <f t="shared" ca="1" si="303"/>
        <v>0</v>
      </c>
      <c r="FG162" s="386">
        <f t="shared" ca="1" si="293"/>
        <v>0</v>
      </c>
      <c r="FH162" s="387">
        <f t="shared" ca="1" si="294"/>
        <v>0</v>
      </c>
      <c r="FI162" s="388">
        <f t="shared" ca="1" si="295"/>
        <v>0</v>
      </c>
      <c r="FJ162" s="386">
        <f t="shared" ca="1" si="296"/>
        <v>0</v>
      </c>
      <c r="FK162" s="387">
        <f t="shared" ca="1" si="297"/>
        <v>0</v>
      </c>
      <c r="FL162" s="387">
        <f t="shared" ca="1" si="298"/>
        <v>0</v>
      </c>
      <c r="FM162" s="387">
        <f t="shared" ca="1" si="299"/>
        <v>0</v>
      </c>
      <c r="FN162" s="388">
        <f t="shared" ca="1" si="300"/>
        <v>0</v>
      </c>
      <c r="FR162" s="116"/>
    </row>
    <row r="163" spans="2:174">
      <c r="B163" s="1410">
        <f t="shared" si="302"/>
        <v>117</v>
      </c>
      <c r="C163" s="400" t="s">
        <v>672</v>
      </c>
      <c r="D163" s="410"/>
      <c r="E163" s="402" t="s">
        <v>401</v>
      </c>
      <c r="F163" s="402" t="s">
        <v>527</v>
      </c>
      <c r="G163" s="400" t="s">
        <v>437</v>
      </c>
      <c r="H163" s="2088" t="s">
        <v>483</v>
      </c>
      <c r="I163" s="2089"/>
      <c r="J163" s="411" t="s">
        <v>516</v>
      </c>
      <c r="K163" s="403" t="s">
        <v>544</v>
      </c>
      <c r="L163" s="403">
        <v>10</v>
      </c>
      <c r="M163" s="403" t="s">
        <v>142</v>
      </c>
      <c r="N163" s="403"/>
      <c r="O163" s="347"/>
      <c r="P163" s="347"/>
      <c r="Q163" s="1021">
        <v>5.3186834673622192</v>
      </c>
      <c r="R163" s="1022">
        <v>5.5193208987596725</v>
      </c>
      <c r="S163" s="1022">
        <v>4.9025768384820658</v>
      </c>
      <c r="T163" s="1022">
        <v>5.1047160867503054</v>
      </c>
      <c r="U163" s="1023">
        <v>5.379413633391489</v>
      </c>
      <c r="V163" s="1021">
        <v>1.9425980638520464</v>
      </c>
      <c r="W163" s="1022">
        <v>2.4379710898528266</v>
      </c>
      <c r="X163" s="1022">
        <v>3.1481343189018411</v>
      </c>
      <c r="Y163" s="1022">
        <v>2.6157414444082838</v>
      </c>
      <c r="Z163" s="1023">
        <v>2.615813933549787</v>
      </c>
      <c r="AA163" s="1024"/>
      <c r="AB163" s="1021">
        <v>0</v>
      </c>
      <c r="AC163" s="1022">
        <v>0</v>
      </c>
      <c r="AD163" s="1022">
        <v>0</v>
      </c>
      <c r="AE163" s="1022">
        <v>0</v>
      </c>
      <c r="AF163" s="1023">
        <v>0</v>
      </c>
      <c r="AG163" s="1021">
        <v>0</v>
      </c>
      <c r="AH163" s="1022">
        <v>0</v>
      </c>
      <c r="AI163" s="1022">
        <v>0</v>
      </c>
      <c r="AJ163" s="1022">
        <v>0</v>
      </c>
      <c r="AK163" s="1023">
        <v>0</v>
      </c>
      <c r="AL163" s="1024"/>
      <c r="AM163" s="1021">
        <v>0</v>
      </c>
      <c r="AN163" s="1022">
        <v>0</v>
      </c>
      <c r="AO163" s="1022">
        <v>0</v>
      </c>
      <c r="AP163" s="1022">
        <v>0</v>
      </c>
      <c r="AQ163" s="1023">
        <v>0</v>
      </c>
      <c r="AR163" s="1021">
        <v>0</v>
      </c>
      <c r="AS163" s="1022">
        <v>0</v>
      </c>
      <c r="AT163" s="1022">
        <v>0</v>
      </c>
      <c r="AU163" s="1022">
        <v>0</v>
      </c>
      <c r="AV163" s="1023">
        <v>0</v>
      </c>
      <c r="AW163" s="1025"/>
      <c r="AX163" s="1282">
        <f t="shared" si="247"/>
        <v>5.3186834673622192</v>
      </c>
      <c r="AY163" s="387">
        <f t="shared" si="248"/>
        <v>5.5193208987596725</v>
      </c>
      <c r="AZ163" s="387">
        <f t="shared" si="249"/>
        <v>4.9025768384820658</v>
      </c>
      <c r="BA163" s="387">
        <f t="shared" si="250"/>
        <v>5.1047160867503054</v>
      </c>
      <c r="BB163" s="1283">
        <f t="shared" si="251"/>
        <v>5.379413633391489</v>
      </c>
      <c r="BC163" s="386">
        <f t="shared" si="252"/>
        <v>1.9425980638520464</v>
      </c>
      <c r="BD163" s="387">
        <f t="shared" si="253"/>
        <v>2.4379710898528266</v>
      </c>
      <c r="BE163" s="1277">
        <f t="shared" si="254"/>
        <v>3.1481343189018411</v>
      </c>
      <c r="BF163" s="1277">
        <f t="shared" si="255"/>
        <v>2.6157414444082838</v>
      </c>
      <c r="BG163" s="388">
        <f t="shared" si="256"/>
        <v>2.615813933549787</v>
      </c>
      <c r="BH163" s="1025"/>
      <c r="BI163" s="1282">
        <f t="shared" ca="1" si="257"/>
        <v>0.26593417336811098</v>
      </c>
      <c r="BJ163" s="387">
        <f t="shared" ca="1" si="258"/>
        <v>0.80783439167420557</v>
      </c>
      <c r="BK163" s="387">
        <f t="shared" ca="1" si="259"/>
        <v>1.3289292785362925</v>
      </c>
      <c r="BL163" s="387">
        <f t="shared" ca="1" si="260"/>
        <v>1.829293924797911</v>
      </c>
      <c r="BM163" s="1283">
        <f t="shared" ca="1" si="261"/>
        <v>2.3535004108050011</v>
      </c>
      <c r="BN163" s="386">
        <f t="shared" ca="1" si="262"/>
        <v>2.7196009956671778</v>
      </c>
      <c r="BO163" s="387">
        <f t="shared" ca="1" si="263"/>
        <v>2.9386294533524215</v>
      </c>
      <c r="BP163" s="1277">
        <f t="shared" ca="1" si="264"/>
        <v>3.2179347237901545</v>
      </c>
      <c r="BQ163" s="1277">
        <f t="shared" ca="1" si="265"/>
        <v>3.5061285119556609</v>
      </c>
      <c r="BR163" s="388">
        <f t="shared" ca="1" si="266"/>
        <v>3.7677062808535644</v>
      </c>
      <c r="BS163" s="1025"/>
      <c r="BT163" s="1282">
        <f>+IF($K163="Ongoing",AX163,IF(RIGHT($K163,2)=RIGHT(BT$43,2),SUM($AX163:AX163),0)+IF(RIGHT(BT$43,2)&gt;RIGHT($K163,2),AX163,0))</f>
        <v>5.3186834673622192</v>
      </c>
      <c r="BU163" s="387">
        <f>+IF($K163="Ongoing",AY163,IF(RIGHT($K163,2)=RIGHT(BU$43,2),SUM($AX163:AY163),0)+IF(RIGHT(BU$43,2)&gt;RIGHT($K163,2),AY163,0))</f>
        <v>5.5193208987596725</v>
      </c>
      <c r="BV163" s="387">
        <f>+IF($K163="Ongoing",AZ163,IF(RIGHT($K163,2)=RIGHT(BV$43,2),SUM($AX163:AZ163),0)+IF(RIGHT(BV$43,2)&gt;RIGHT($K163,2),AZ163,0))</f>
        <v>4.9025768384820658</v>
      </c>
      <c r="BW163" s="387">
        <f>+IF($K163="Ongoing",BA163,IF(RIGHT($K163,2)=RIGHT(BW$43,2),SUM($AX163:BA163),0)+IF(RIGHT(BW$43,2)&gt;RIGHT($K163,2),BA163,0))</f>
        <v>5.1047160867503054</v>
      </c>
      <c r="BX163" s="1283">
        <f>+IF($K163="Ongoing",BB163,IF(RIGHT($K163,2)=RIGHT(BX$43,2),SUM($AX163:BB163),0)+IF(RIGHT(BX$43,2)&gt;RIGHT($K163,2),BB163,0))</f>
        <v>5.379413633391489</v>
      </c>
      <c r="BY163" s="386">
        <f>+IF($K163="Ongoing",BC163,IF(RIGHT($K163,2)=RIGHT(BY$43,2),SUM($AX163:BC163),0)+IF(RIGHT(BY$43,2)&gt;RIGHT($K163,2),BC163,0))</f>
        <v>1.9425980638520464</v>
      </c>
      <c r="BZ163" s="387">
        <f>+IF($K163="Ongoing",BD163,IF(RIGHT($K163,2)=RIGHT(BZ$43,2),SUM($AX163:BD163),0)+IF(RIGHT(BZ$43,2)&gt;RIGHT($K163,2),BD163,0))</f>
        <v>2.4379710898528266</v>
      </c>
      <c r="CA163" s="1277">
        <f>+IF($K163="Ongoing",BE163,IF(RIGHT($K163,2)=RIGHT(CA$43,2),SUM($AX163:BE163),0)+IF(RIGHT(CA$43,2)&gt;RIGHT($K163,2),BE163,0))</f>
        <v>3.1481343189018411</v>
      </c>
      <c r="CB163" s="1277">
        <f>+IF($K163="Ongoing",BF163,IF(RIGHT($K163,2)=RIGHT(CB$43,2),SUM($AX163:BF163),0)+IF(RIGHT(CB$43,2)&gt;RIGHT($K163,2),BF163,0))</f>
        <v>2.6157414444082838</v>
      </c>
      <c r="CC163" s="388">
        <f>+IF($K163="Ongoing",BG163,IF(RIGHT($K163,2)=RIGHT(CC$43,2),SUM($AX163:BG163),0)+IF(RIGHT(CC$43,2)&gt;RIGHT($K163,2),BG163,0))</f>
        <v>2.615813933549787</v>
      </c>
      <c r="CD163" s="1025"/>
      <c r="CE163" s="1282">
        <f>+Q163*KeyAssumptionsPriceControl_FO!AF$15</f>
        <v>5.4729252879157233</v>
      </c>
      <c r="CF163" s="387">
        <f>+R163*KeyAssumptionsPriceControl_FO!AG$15</f>
        <v>5.8440832597635897</v>
      </c>
      <c r="CG163" s="387">
        <f>+S163*KeyAssumptionsPriceControl_FO!AH$15</f>
        <v>5.3415897937400088</v>
      </c>
      <c r="CH163" s="387">
        <f>+T163*KeyAssumptionsPriceControl_FO!AI$15</f>
        <v>5.7231231563383398</v>
      </c>
      <c r="CI163" s="1283">
        <f>+U163*KeyAssumptionsPriceControl_FO!AJ$15</f>
        <v>6.2060005982043487</v>
      </c>
      <c r="CJ163" s="386">
        <f>+V163*KeyAssumptionsPriceControl_FO!AK$15</f>
        <v>2.3060844116869115</v>
      </c>
      <c r="CK163" s="387">
        <f>+W163*KeyAssumptionsPriceControl_FO!AL$15</f>
        <v>2.9780787290853117</v>
      </c>
      <c r="CL163" s="1277">
        <f>+X163*KeyAssumptionsPriceControl_FO!AM$15</f>
        <v>3.9570929512944937</v>
      </c>
      <c r="CM163" s="1277">
        <f>+Y163*KeyAssumptionsPriceControl_FO!AN$15</f>
        <v>3.3832429566481981</v>
      </c>
      <c r="CN163" s="388">
        <f>+Z163*KeyAssumptionsPriceControl_FO!AO$15</f>
        <v>3.4814534800382448</v>
      </c>
      <c r="CO163" s="1025"/>
      <c r="CP163" s="1282">
        <f t="shared" ca="1" si="267"/>
        <v>0</v>
      </c>
      <c r="CQ163" s="387">
        <f t="shared" ca="1" si="268"/>
        <v>0</v>
      </c>
      <c r="CR163" s="387">
        <f t="shared" ca="1" si="269"/>
        <v>0</v>
      </c>
      <c r="CS163" s="387">
        <f t="shared" ca="1" si="270"/>
        <v>0</v>
      </c>
      <c r="CT163" s="1283">
        <f t="shared" ca="1" si="271"/>
        <v>0</v>
      </c>
      <c r="CU163" s="386">
        <f t="shared" ca="1" si="272"/>
        <v>0</v>
      </c>
      <c r="CV163" s="387">
        <f t="shared" ca="1" si="273"/>
        <v>0</v>
      </c>
      <c r="CW163" s="1277">
        <f t="shared" ca="1" si="274"/>
        <v>0</v>
      </c>
      <c r="CX163" s="1277">
        <f t="shared" ca="1" si="275"/>
        <v>0</v>
      </c>
      <c r="CY163" s="388">
        <f t="shared" ca="1" si="276"/>
        <v>0</v>
      </c>
      <c r="CZ163" s="347"/>
      <c r="DA163" s="852"/>
      <c r="DB163" s="347"/>
      <c r="DC163" s="1012" t="s">
        <v>676</v>
      </c>
      <c r="DD163" s="841" t="s">
        <v>518</v>
      </c>
      <c r="DE163" s="386">
        <f>+IF($K163="ongoing",CE163,IF(RIGHT($K163,2)=RIGHT(DE$43,2),SUM($CD163:CE163),0)+IF(RIGHT(DE$43,2)&gt;RIGHT($K163,2),CE163,0))</f>
        <v>5.4729252879157233</v>
      </c>
      <c r="DF163" s="387">
        <f>+IF($K163="ongoing",CF163,IF(RIGHT($K163,2)=RIGHT(DF$43,2),SUM($CD163:CF163),0)+IF(RIGHT(DF$43,2)&gt;RIGHT($K163,2),CF163,0))</f>
        <v>5.8440832597635897</v>
      </c>
      <c r="DG163" s="388">
        <f>+IF($K163="ongoing",CG163,IF(RIGHT($K163,2)=RIGHT(DG$43,2),SUM($CD163:CG163),0)+IF(RIGHT(DG$43,2)&gt;RIGHT($K163,2),CG163,0))</f>
        <v>5.3415897937400088</v>
      </c>
      <c r="DH163" s="386">
        <f>+IF($K163="ongoing",CH163,IF(RIGHT($K163,2)=RIGHT(DH$43,2),SUM($CD163:CH163),0)+IF(RIGHT(DH$43,2)&gt;RIGHT($K163,2),CH163,0))</f>
        <v>5.7231231563383398</v>
      </c>
      <c r="DI163" s="387">
        <f>+IF($K163="ongoing",CI163,IF(RIGHT($K163,2)=RIGHT(DI$43,2),SUM($CD163:CI163),0)+IF(RIGHT(DI$43,2)&gt;RIGHT($K163,2),CI163,0))</f>
        <v>6.2060005982043487</v>
      </c>
      <c r="DJ163" s="387">
        <f>+IF($K163="ongoing",CJ163,IF(RIGHT($K163,2)=RIGHT(DJ$43,2),SUM($CD163:CJ163),0)+IF(RIGHT(DJ$43,2)&gt;RIGHT($K163,2),CJ163,0))</f>
        <v>2.3060844116869115</v>
      </c>
      <c r="DK163" s="387">
        <f>+IF($K163="ongoing",CK163,IF(RIGHT($K163,2)=RIGHT(DK$43,2),SUM($CD163:CK163),0)+IF(RIGHT(DK$43,2)&gt;RIGHT($K163,2),CK163,0))</f>
        <v>2.9780787290853117</v>
      </c>
      <c r="DL163" s="388">
        <f>+IF($K163="ongoing",CN163,IF(RIGHT($K163,2)=RIGHT(DL$43,2),SUM($CD163:CN163),0)+IF(RIGHT(DL$43,2)&gt;RIGHT($K163,2),CN163,0))</f>
        <v>3.4814534800382448</v>
      </c>
      <c r="DM163" s="841"/>
      <c r="DN163" s="386">
        <f t="shared" si="277"/>
        <v>0.5</v>
      </c>
      <c r="DO163" s="387">
        <f t="shared" si="278"/>
        <v>1</v>
      </c>
      <c r="DP163" s="388">
        <f t="shared" si="279"/>
        <v>1</v>
      </c>
      <c r="DQ163" s="386">
        <f t="shared" si="280"/>
        <v>1</v>
      </c>
      <c r="DR163" s="387">
        <f t="shared" si="281"/>
        <v>1</v>
      </c>
      <c r="DS163" s="387">
        <f t="shared" si="282"/>
        <v>1</v>
      </c>
      <c r="DT163" s="387">
        <f t="shared" si="283"/>
        <v>1</v>
      </c>
      <c r="DU163" s="388">
        <f t="shared" si="284"/>
        <v>1</v>
      </c>
      <c r="DW163" s="386">
        <f t="shared" si="285"/>
        <v>0</v>
      </c>
      <c r="DX163" s="387">
        <f t="shared" si="286"/>
        <v>0.5</v>
      </c>
      <c r="DY163" s="388">
        <f t="shared" si="287"/>
        <v>1</v>
      </c>
      <c r="DZ163" s="386">
        <f t="shared" si="288"/>
        <v>1</v>
      </c>
      <c r="EA163" s="387">
        <f t="shared" si="289"/>
        <v>1</v>
      </c>
      <c r="EB163" s="387">
        <f t="shared" si="290"/>
        <v>1</v>
      </c>
      <c r="EC163" s="387">
        <f t="shared" si="291"/>
        <v>1</v>
      </c>
      <c r="ED163" s="388">
        <f t="shared" si="292"/>
        <v>1</v>
      </c>
      <c r="EF163" s="834">
        <f>+IF(DN163=DM163,0,
IF(AND(EF$44&gt;1,DN163=$N163),1-SUM($EE163:EE163),
IF($N163&lt;=1,
IF($N163&gt;0,1/$N163,0),
IF(EF$44=1,0,VDB(1,0,$N163,INT(EF$44-1-1),MIN($N163,INT(EF$44-1-1)+1),$DC163,IF($DD163="No",1,0))/
IF(DM163&gt;=INT($N163),$N163-INT($N163),1)))*
IF(EF$44=1,0,
IF(INT(DN163)=INT(DM163),DN163-DM163,INT(DN163)-DM163))+
IF($N163&lt;=1,
IF($N163&gt;0,1/$N163,0),VDB(1,0,$N163,INT(EF$44-1),MIN($N163,INT(EF$44-1)+1),$DC163,IF($DD163="No",1,0))/
IF(DN163&gt;INT($N163),$N163-INT($N163),1))*
IF(EF$44=1,DN163,
IF(INT(DN163)=INT(DM163),0,DN163-INT(DN163)))))</f>
        <v>0</v>
      </c>
      <c r="EG163" s="835">
        <f>+IF(DO163=DN163,0,
IF(AND(EG$44&gt;1,DO163=$N163),1-SUM($EE163:EF163),
IF($N163&lt;=1,
IF($N163&gt;0,1/$N163,0),
IF(EG$44=1,0,VDB(1,0,$N163,INT(EG$44-1-1),MIN($N163,INT(EG$44-1-1)+1),$DC163,IF($DD163="No",1,0))/
IF(DN163&gt;=INT($N163),$N163-INT($N163),1)))*
IF(EG$44=1,0,
IF(INT(DO163)=INT(DN163),DO163-DN163,INT(DO163)-DN163))+
IF($N163&lt;=1,
IF($N163&gt;0,1/$N163,0),VDB(1,0,$N163,INT(EG$44-1),MIN($N163,INT(EG$44-1)+1),$DC163,IF($DD163="No",1,0))/
IF(DO163&gt;INT($N163),$N163-INT($N163),1))*
IF(EG$44=1,DO163,
IF(INT(DO163)=INT(DN163),0,DO163-INT(DO163)))))</f>
        <v>0</v>
      </c>
      <c r="EH163" s="836">
        <f>+IF(DP163=DO163,0,
IF(AND(EH$44&gt;1,DP163=$N163),1-SUM($EE163:EG163),
IF($N163&lt;=1,
IF($N163&gt;0,1/$N163,0),
IF(EH$44=1,0,VDB(1,0,$N163,INT(EH$44-1-1),MIN($N163,INT(EH$44-1-1)+1),$DC163,IF($DD163="No",1,0))/
IF(DO163&gt;=INT($N163),$N163-INT($N163),1)))*
IF(EH$44=1,0,
IF(INT(DP163)=INT(DO163),DP163-DO163,INT(DP163)-DO163))+
IF($N163&lt;=1,
IF($N163&gt;0,1/$N163,0),VDB(1,0,$N163,INT(EH$44-1),MIN($N163,INT(EH$44-1)+1),$DC163,IF($DD163="No",1,0))/
IF(DP163&gt;INT($N163),$N163-INT($N163),1))*
IF(EH$44=1,DP163,
IF(INT(DP163)=INT(DO163),0,DP163-INT(DP163)))))</f>
        <v>0</v>
      </c>
      <c r="EI163" s="834">
        <f>+IF(DQ163=DP163,0,
IF(AND(EI$44&gt;1,DQ163=$N163),1-SUM($EE163:EH163),
IF($N163&lt;=1,
IF($N163&gt;0,1/$N163,0),
IF(EI$44=1,0,VDB(1,0,$N163,INT(EI$44-1-1),MIN($N163,INT(EI$44-1-1)+1),$DC163,IF($DD163="No",1,0))/
IF(DP163&gt;=INT($N163),$N163-INT($N163),1)))*
IF(EI$44=1,0,
IF(INT(DQ163)=INT(DP163),DQ163-DP163,INT(DQ163)-DP163))+
IF($N163&lt;=1,
IF($N163&gt;0,1/$N163,0),VDB(1,0,$N163,INT(EI$44-1),MIN($N163,INT(EI$44-1)+1),$DC163,IF($DD163="No",1,0))/
IF(DQ163&gt;INT($N163),$N163-INT($N163),1))*
IF(EI$44=1,DQ163,
IF(INT(DQ163)=INT(DP163),0,DQ163-INT(DQ163)))))</f>
        <v>0</v>
      </c>
      <c r="EJ163" s="835">
        <f>+IF(DR163=DQ163,0,
IF(AND(EJ$44&gt;1,DR163=$N163),1-SUM($EE163:EI163),
IF($N163&lt;=1,
IF($N163&gt;0,1/$N163,0),
IF(EJ$44=1,0,VDB(1,0,$N163,INT(EJ$44-1-1),MIN($N163,INT(EJ$44-1-1)+1),$DC163,IF($DD163="No",1,0))/
IF(DQ163&gt;=INT($N163),$N163-INT($N163),1)))*
IF(EJ$44=1,0,
IF(INT(DR163)=INT(DQ163),DR163-DQ163,INT(DR163)-DQ163))+
IF($N163&lt;=1,
IF($N163&gt;0,1/$N163,0),VDB(1,0,$N163,INT(EJ$44-1),MIN($N163,INT(EJ$44-1)+1),$DC163,IF($DD163="No",1,0))/
IF(DR163&gt;INT($N163),$N163-INT($N163),1))*
IF(EJ$44=1,DR163,
IF(INT(DR163)=INT(DQ163),0,DR163-INT(DR163)))))</f>
        <v>0</v>
      </c>
      <c r="EK163" s="835">
        <f>+IF(DS163=DR163,0,
IF(AND(EK$44&gt;1,DS163=$N163),1-SUM($EE163:EJ163),
IF($N163&lt;=1,
IF($N163&gt;0,1/$N163,0),
IF(EK$44=1,0,VDB(1,0,$N163,INT(EK$44-1-1),MIN($N163,INT(EK$44-1-1)+1),$DC163,IF($DD163="No",1,0))/
IF(DR163&gt;=INT($N163),$N163-INT($N163),1)))*
IF(EK$44=1,0,
IF(INT(DS163)=INT(DR163),DS163-DR163,INT(DS163)-DR163))+
IF($N163&lt;=1,
IF($N163&gt;0,1/$N163,0),VDB(1,0,$N163,INT(EK$44-1),MIN($N163,INT(EK$44-1)+1),$DC163,IF($DD163="No",1,0))/
IF(DS163&gt;INT($N163),$N163-INT($N163),1))*
IF(EK$44=1,DS163,
IF(INT(DS163)=INT(DR163),0,DS163-INT(DS163)))))</f>
        <v>0</v>
      </c>
      <c r="EL163" s="835">
        <f>+IF(DT163=DS163,0,
IF(AND(EL$44&gt;1,DT163=$N163),1-SUM($EE163:EK163),
IF($N163&lt;=1,
IF($N163&gt;0,1/$N163,0),
IF(EL$44=1,0,VDB(1,0,$N163,INT(EL$44-1-1),MIN($N163,INT(EL$44-1-1)+1),$DC163,IF($DD163="No",1,0))/
IF(DS163&gt;=INT($N163),$N163-INT($N163),1)))*
IF(EL$44=1,0,
IF(INT(DT163)=INT(DS163),DT163-DS163,INT(DT163)-DS163))+
IF($N163&lt;=1,
IF($N163&gt;0,1/$N163,0),VDB(1,0,$N163,INT(EL$44-1),MIN($N163,INT(EL$44-1)+1),$DC163,IF($DD163="No",1,0))/
IF(DT163&gt;INT($N163),$N163-INT($N163),1))*
IF(EL$44=1,DT163,
IF(INT(DT163)=INT(DS163),0,DT163-INT(DT163)))))</f>
        <v>0</v>
      </c>
      <c r="EM163" s="836">
        <f>+IF(DU163=DT163,0,
IF(AND(EM$44&gt;1,DU163=$N163),1-SUM($EE163:EL163),
IF($N163&lt;=1,
IF($N163&gt;0,1/$N163,0),
IF(EM$44=1,0,VDB(1,0,$N163,INT(EM$44-1-1),MIN($N163,INT(EM$44-1-1)+1),$DC163,IF($DD163="No",1,0))/
IF(DT163&gt;=INT($N163),$N163-INT($N163),1)))*
IF(EM$44=1,0,
IF(INT(DU163)=INT(DT163),DU163-DT163,INT(DU163)-DT163))+
IF($N163&lt;=1,
IF($N163&gt;0,1/$N163,0),VDB(1,0,$N163,INT(EM$44-1),MIN($N163,INT(EM$44-1)+1),$DC163,IF($DD163="No",1,0))/
IF(DU163&gt;INT($N163),$N163-INT($N163),1))*
IF(EM$44=1,DU163,
IF(INT(DU163)=INT(DT163),0,DU163-INT(DU163)))))</f>
        <v>0</v>
      </c>
      <c r="EN163" s="833"/>
      <c r="EO163" s="834">
        <f>+IF(OR(DW163=DV163,EO$44=1),0,
IF(AND(EO$44&gt;1,DW163=$N163),1-SUM($EN163:EN163),
IF($N163&lt;=1,
IF($N163&gt;0,1/$N163,0),
IF(EO$44=2,0,VDB(1,0,$N163,INT(EO$44-2-1),MIN($N163,INT(EO$44-2-1)+1),$DC163,IF($DD163="No",1,0))/
IF(DV163&gt;=INT($N163),$N163-INT($N163),1)))*
IF(EO$44=2,0,
IF(INT(DW163)=INT(DV163),DW163-DV163,INT(DW163)-DV163))+
IF($N163&lt;=1,
IF($N163&gt;0,1/$N163,0),VDB(1,0,$N163,INT(EO$44-2),MIN($N163,INT(EO$44-2)+1),$DC163,IF($DD163="No",1,0))/
IF(DW163&gt;INT($N163),$N163-INT($N163),1))*
IF(EO$44=2,DW163,
IF(INT(DW163)=INT(DV163),0,DW163-INT(DW163)))))</f>
        <v>0</v>
      </c>
      <c r="EP163" s="835">
        <f>+IF(OR(DX163=DW163,EP$44=1),0,
IF(AND(EP$44&gt;1,DX163=$N163),1-SUM($EN163:EO163),
IF($N163&lt;=1,
IF($N163&gt;0,1/$N163,0),
IF(EP$44=2,0,VDB(1,0,$N163,INT(EP$44-2-1),MIN($N163,INT(EP$44-2-1)+1),$DC163,IF($DD163="No",1,0))/
IF(DW163&gt;=INT($N163),$N163-INT($N163),1)))*
IF(EP$44=2,0,
IF(INT(DX163)=INT(DW163),DX163-DW163,INT(DX163)-DW163))+
IF($N163&lt;=1,
IF($N163&gt;0,1/$N163,0),VDB(1,0,$N163,INT(EP$44-2),MIN($N163,INT(EP$44-2)+1),$DC163,IF($DD163="No",1,0))/
IF(DX163&gt;INT($N163),$N163-INT($N163),1))*
IF(EP$44=2,DX163,
IF(INT(DX163)=INT(DW163),0,DX163-INT(DX163)))))</f>
        <v>0</v>
      </c>
      <c r="EQ163" s="836">
        <f>+IF(OR(DY163=DX163,EQ$44=1),0,
IF(AND(EQ$44&gt;1,DY163=$N163),1-SUM($EN163:EP163),
IF($N163&lt;=1,
IF($N163&gt;0,1/$N163,0),
IF(EQ$44=2,0,VDB(1,0,$N163,INT(EQ$44-2-1),MIN($N163,INT(EQ$44-2-1)+1),$DC163,IF($DD163="No",1,0))/
IF(DX163&gt;=INT($N163),$N163-INT($N163),1)))*
IF(EQ$44=2,0,
IF(INT(DY163)=INT(DX163),DY163-DX163,INT(DY163)-DX163))+
IF($N163&lt;=1,
IF($N163&gt;0,1/$N163,0),VDB(1,0,$N163,INT(EQ$44-2),MIN($N163,INT(EQ$44-2)+1),$DC163,IF($DD163="No",1,0))/
IF(DY163&gt;INT($N163),$N163-INT($N163),1))*
IF(EQ$44=2,DY163,
IF(INT(DY163)=INT(DX163),0,DY163-INT(DY163)))))</f>
        <v>0</v>
      </c>
      <c r="ER163" s="834">
        <f>+IF(OR(DZ163=DY163,ER$44=1),0,
IF(AND(ER$44&gt;1,DZ163=$N163),1-SUM($EN163:EQ163),
IF($N163&lt;=1,
IF($N163&gt;0,1/$N163,0),
IF(ER$44=2,0,VDB(1,0,$N163,INT(ER$44-2-1),MIN($N163,INT(ER$44-2-1)+1),$DC163,IF($DD163="No",1,0))/
IF(DY163&gt;=INT($N163),$N163-INT($N163),1)))*
IF(ER$44=2,0,
IF(INT(DZ163)=INT(DY163),DZ163-DY163,INT(DZ163)-DY163))+
IF($N163&lt;=1,
IF($N163&gt;0,1/$N163,0),VDB(1,0,$N163,INT(ER$44-2),MIN($N163,INT(ER$44-2)+1),$DC163,IF($DD163="No",1,0))/
IF(DZ163&gt;INT($N163),$N163-INT($N163),1))*
IF(ER$44=2,DZ163,
IF(INT(DZ163)=INT(DY163),0,DZ163-INT(DZ163)))))</f>
        <v>0</v>
      </c>
      <c r="ES163" s="835">
        <f>+IF(OR(EA163=DZ163,ES$44=1),0,
IF(AND(ES$44&gt;1,EA163=$N163),1-SUM($EN163:ER163),
IF($N163&lt;=1,
IF($N163&gt;0,1/$N163,0),
IF(ES$44=2,0,VDB(1,0,$N163,INT(ES$44-2-1),MIN($N163,INT(ES$44-2-1)+1),$DC163,IF($DD163="No",1,0))/
IF(DZ163&gt;=INT($N163),$N163-INT($N163),1)))*
IF(ES$44=2,0,
IF(INT(EA163)=INT(DZ163),EA163-DZ163,INT(EA163)-DZ163))+
IF($N163&lt;=1,
IF($N163&gt;0,1/$N163,0),VDB(1,0,$N163,INT(ES$44-2),MIN($N163,INT(ES$44-2)+1),$DC163,IF($DD163="No",1,0))/
IF(EA163&gt;INT($N163),$N163-INT($N163),1))*
IF(ES$44=2,EA163,
IF(INT(EA163)=INT(DZ163),0,EA163-INT(EA163)))))</f>
        <v>0</v>
      </c>
      <c r="ET163" s="835">
        <f>+IF(OR(EB163=EA163,ET$44=1),0,
IF(AND(ET$44&gt;1,EB163=$N163),1-SUM($EN163:ES163),
IF($N163&lt;=1,
IF($N163&gt;0,1/$N163,0),
IF(ET$44=2,0,VDB(1,0,$N163,INT(ET$44-2-1),MIN($N163,INT(ET$44-2-1)+1),$DC163,IF($DD163="No",1,0))/
IF(EA163&gt;=INT($N163),$N163-INT($N163),1)))*
IF(ET$44=2,0,
IF(INT(EB163)=INT(EA163),EB163-EA163,INT(EB163)-EA163))+
IF($N163&lt;=1,
IF($N163&gt;0,1/$N163,0),VDB(1,0,$N163,INT(ET$44-2),MIN($N163,INT(ET$44-2)+1),$DC163,IF($DD163="No",1,0))/
IF(EB163&gt;INT($N163),$N163-INT($N163),1))*
IF(ET$44=2,EB163,
IF(INT(EB163)=INT(EA163),0,EB163-INT(EB163)))))</f>
        <v>0</v>
      </c>
      <c r="EU163" s="835">
        <f>+IF(OR(EC163=EB163,EU$44=1),0,
IF(AND(EU$44&gt;1,EC163=$N163),1-SUM($EN163:ET163),
IF($N163&lt;=1,
IF($N163&gt;0,1/$N163,0),
IF(EU$44=2,0,VDB(1,0,$N163,INT(EU$44-2-1),MIN($N163,INT(EU$44-2-1)+1),$DC163,IF($DD163="No",1,0))/
IF(EB163&gt;=INT($N163),$N163-INT($N163),1)))*
IF(EU$44=2,0,
IF(INT(EC163)=INT(EB163),EC163-EB163,INT(EC163)-EB163))+
IF($N163&lt;=1,
IF($N163&gt;0,1/$N163,0),VDB(1,0,$N163,INT(EU$44-2),MIN($N163,INT(EU$44-2)+1),$DC163,IF($DD163="No",1,0))/
IF(EC163&gt;INT($N163),$N163-INT($N163),1))*
IF(EU$44=2,EC163,
IF(INT(EC163)=INT(EB163),0,EC163-INT(EC163)))))</f>
        <v>0</v>
      </c>
      <c r="EV163" s="836">
        <f>+IF(OR(ED163=EC163,EV$44=1),0,
IF(AND(EV$44&gt;1,ED163=$N163),1-SUM($EN163:EU163),
IF($N163&lt;=1,
IF($N163&gt;0,1/$N163,0),
IF(EV$44=2,0,VDB(1,0,$N163,INT(EV$44-2-1),MIN($N163,INT(EV$44-2-1)+1),$DC163,IF($DD163="No",1,0))/
IF(EC163&gt;=INT($N163),$N163-INT($N163),1)))*
IF(EV$44=2,0,
IF(INT(ED163)=INT(EC163),ED163-EC163,INT(ED163)-EC163))+
IF($N163&lt;=1,
IF($N163&gt;0,1/$N163,0),VDB(1,0,$N163,INT(EV$44-2),MIN($N163,INT(EV$44-2)+1),$DC163,IF($DD163="No",1,0))/
IF(ED163&gt;INT($N163),$N163-INT($N163),1))*
IF(EV$44=2,ED163,
IF(INT(ED163)=INT(EC163),0,ED163-INT(ED163)))))</f>
        <v>0</v>
      </c>
      <c r="EW163" s="833"/>
      <c r="EX163" s="834">
        <f t="shared" ca="1" si="303"/>
        <v>0</v>
      </c>
      <c r="EY163" s="835">
        <f t="shared" ca="1" si="303"/>
        <v>0</v>
      </c>
      <c r="EZ163" s="836">
        <f t="shared" ca="1" si="303"/>
        <v>0</v>
      </c>
      <c r="FA163" s="834">
        <f t="shared" ca="1" si="303"/>
        <v>0</v>
      </c>
      <c r="FB163" s="835">
        <f t="shared" ca="1" si="303"/>
        <v>0</v>
      </c>
      <c r="FC163" s="835">
        <f t="shared" ca="1" si="303"/>
        <v>0</v>
      </c>
      <c r="FD163" s="835">
        <f t="shared" ca="1" si="303"/>
        <v>0</v>
      </c>
      <c r="FE163" s="836">
        <f t="shared" ca="1" si="303"/>
        <v>0</v>
      </c>
      <c r="FG163" s="386">
        <f t="shared" ca="1" si="293"/>
        <v>0</v>
      </c>
      <c r="FH163" s="387">
        <f t="shared" ca="1" si="294"/>
        <v>0</v>
      </c>
      <c r="FI163" s="388">
        <f t="shared" ca="1" si="295"/>
        <v>0</v>
      </c>
      <c r="FJ163" s="386">
        <f t="shared" ca="1" si="296"/>
        <v>0</v>
      </c>
      <c r="FK163" s="387">
        <f t="shared" ca="1" si="297"/>
        <v>0</v>
      </c>
      <c r="FL163" s="387">
        <f t="shared" ca="1" si="298"/>
        <v>0</v>
      </c>
      <c r="FM163" s="387">
        <f t="shared" ca="1" si="299"/>
        <v>0</v>
      </c>
      <c r="FN163" s="388">
        <f t="shared" ca="1" si="300"/>
        <v>0</v>
      </c>
      <c r="FR163" s="116"/>
    </row>
    <row r="164" spans="2:174">
      <c r="B164" s="1410">
        <f t="shared" si="302"/>
        <v>118</v>
      </c>
      <c r="C164" s="400" t="s">
        <v>677</v>
      </c>
      <c r="D164" s="410"/>
      <c r="E164" s="402" t="s">
        <v>420</v>
      </c>
      <c r="F164" s="402" t="s">
        <v>514</v>
      </c>
      <c r="G164" s="400" t="s">
        <v>437</v>
      </c>
      <c r="H164" s="2088" t="s">
        <v>483</v>
      </c>
      <c r="I164" s="2089"/>
      <c r="J164" s="411" t="s">
        <v>516</v>
      </c>
      <c r="K164" s="403" t="s">
        <v>544</v>
      </c>
      <c r="L164" s="403">
        <v>10</v>
      </c>
      <c r="M164" s="403" t="s">
        <v>142</v>
      </c>
      <c r="N164" s="403"/>
      <c r="O164" s="347"/>
      <c r="P164" s="347"/>
      <c r="Q164" s="1021">
        <v>3.0670321383089547</v>
      </c>
      <c r="R164" s="1022">
        <v>3.9076567365292068</v>
      </c>
      <c r="S164" s="1022">
        <v>3.6379692041237033</v>
      </c>
      <c r="T164" s="1022">
        <v>3.637969223286341</v>
      </c>
      <c r="U164" s="1023">
        <v>3.786032857831966</v>
      </c>
      <c r="V164" s="1021">
        <v>7.3591443637735585</v>
      </c>
      <c r="W164" s="1022">
        <v>7.3591443708023538</v>
      </c>
      <c r="X164" s="1022">
        <v>7.3591443672868735</v>
      </c>
      <c r="Y164" s="1022">
        <v>7.3591443719022012</v>
      </c>
      <c r="Z164" s="1023">
        <v>7.3591443666971772</v>
      </c>
      <c r="AA164" s="1024"/>
      <c r="AB164" s="1021">
        <v>0</v>
      </c>
      <c r="AC164" s="1022">
        <v>0</v>
      </c>
      <c r="AD164" s="1022">
        <v>0</v>
      </c>
      <c r="AE164" s="1022">
        <v>0</v>
      </c>
      <c r="AF164" s="1023">
        <v>0</v>
      </c>
      <c r="AG164" s="1021">
        <v>0</v>
      </c>
      <c r="AH164" s="1022">
        <v>0</v>
      </c>
      <c r="AI164" s="1022">
        <v>0</v>
      </c>
      <c r="AJ164" s="1022">
        <v>0</v>
      </c>
      <c r="AK164" s="1023">
        <v>0</v>
      </c>
      <c r="AL164" s="1024"/>
      <c r="AM164" s="1021">
        <v>0</v>
      </c>
      <c r="AN164" s="1022">
        <v>0</v>
      </c>
      <c r="AO164" s="1022">
        <v>0</v>
      </c>
      <c r="AP164" s="1022">
        <v>0</v>
      </c>
      <c r="AQ164" s="1023">
        <v>0</v>
      </c>
      <c r="AR164" s="1021">
        <v>0</v>
      </c>
      <c r="AS164" s="1022">
        <v>0</v>
      </c>
      <c r="AT164" s="1022">
        <v>0</v>
      </c>
      <c r="AU164" s="1022">
        <v>0</v>
      </c>
      <c r="AV164" s="1023">
        <v>0</v>
      </c>
      <c r="AW164" s="1025"/>
      <c r="AX164" s="1282">
        <f t="shared" ref="AX164:AX227" si="304">+Q164-AB164-AM164</f>
        <v>3.0670321383089547</v>
      </c>
      <c r="AY164" s="387">
        <f t="shared" ref="AY164:AY227" si="305">+R164-AC164-AN164</f>
        <v>3.9076567365292068</v>
      </c>
      <c r="AZ164" s="387">
        <f t="shared" ref="AZ164:AZ227" si="306">+S164-AD164-AO164</f>
        <v>3.6379692041237033</v>
      </c>
      <c r="BA164" s="387">
        <f t="shared" ref="BA164:BA227" si="307">+T164-AE164-AP164</f>
        <v>3.637969223286341</v>
      </c>
      <c r="BB164" s="1283">
        <f t="shared" ref="BB164:BB227" si="308">+U164-AF164-AQ164</f>
        <v>3.786032857831966</v>
      </c>
      <c r="BC164" s="386">
        <f t="shared" ref="BC164:BC227" si="309">+V164-AG164-AR164</f>
        <v>7.3591443637735585</v>
      </c>
      <c r="BD164" s="387">
        <f t="shared" ref="BD164:BD227" si="310">+W164-AH164-AS164</f>
        <v>7.3591443708023538</v>
      </c>
      <c r="BE164" s="1277">
        <f t="shared" ref="BE164:BE227" si="311">+X164-AI164-AT164</f>
        <v>7.3591443672868735</v>
      </c>
      <c r="BF164" s="1277">
        <f t="shared" ref="BF164:BF227" si="312">+Y164-AJ164-AU164</f>
        <v>7.3591443719022012</v>
      </c>
      <c r="BG164" s="388">
        <f t="shared" ref="BG164:BG227" si="313">+Z164-AK164-AV164</f>
        <v>7.3591443666971772</v>
      </c>
      <c r="BH164" s="1025"/>
      <c r="BI164" s="1282">
        <f t="shared" ref="BI164:BI227" ca="1" si="314">IF($L164=0,0,
IF($L164&lt;=0.5,BT164,
IF($J164="straight line",
IF((LEFT(BI$43,4)*1)-INT($L164)&lt;LEFT($BI$43,4)*1,0,((OFFSET(BT164,0,-INT($L164+0.5),1,1))/$L164)*(IF($L164-INT($L164)&gt;0.5,$L164-0.5-INT($L164),IF($L164-INT($L164)&lt;=0.5,$L164-0.5-INT($L164)+1,0))))
+BT164/$L164*0.5,
IF($J164="Declining Balance",-$BI$42,0))))</f>
        <v>0.15335160691544775</v>
      </c>
      <c r="BJ164" s="387">
        <f t="shared" ref="BJ164:BJ227" ca="1" si="315">IF($L164=0,0,
IF($L164&lt;=0.5,BU164,
IF(AND($J164="straight line",$L164&lt;1.51),(BT164-((BT164/$L164)*0.5))+BU164/$L164*0.5,
IF($J164="straight line",
IF((LEFT(BJ$43,4)*1)-INT($L164)&lt;LEFT($BI$43,4)*1,0,((OFFSET(BU164,0,-INT($L164+0.5),1,1))/$L164)*(IF($L164-INT($L164)&gt;0.5,$L164-0.5-INT($L164),IF($L164-INT($L164)&lt;=0.5,$L164-0.5-INT($L164)+1,0))))
+BU164/$L164*0.5
+SUM(OFFSET(BU164,0,MAX(-INT($L164+(0.5-(10^-12))),-BJ$44)+1,1,MIN(INT($L164+(0.5-(10^-12))),BJ$44)-1))*1/$L164,
IF($J164="Declining Balance",-$BI$42,0)))))</f>
        <v>0.5020860506573559</v>
      </c>
      <c r="BK164" s="387">
        <f t="shared" ref="BK164:BK227" ca="1" si="316">IF($L164=0,0,
IF($L164&lt;=0.5,BV164,
IF(AND($J164="straight line",$L164&lt;1.51),(BU164-((BU164/$L164)*0.5))+BV164/$L164*0.5,
IF($J164="straight line",
IF((LEFT(BK$43,4)*1)-INT($L164)&lt;LEFT($BI$43,4)*1,0,((OFFSET(BV164,0,-INT($L164+0.5),1,1))/$L164)*(IF($L164-INT($L164)&gt;0.5,$L164-0.5-INT($L164),IF($L164-INT($L164)&lt;=0.5,$L164-0.5-INT($L164)+1,0))))
+BV164/$L164*0.5
+SUM(OFFSET(BV164,0,MAX(-INT($L164+(0.5-(10^-12))),-BK$44)+1,1,MIN(INT($L164+(0.5-(10^-12))),BK$44)-1))*1/$L164,
IF($J164="Declining Balance",-$BI$42,0)))))</f>
        <v>0.87936734769000136</v>
      </c>
      <c r="BL164" s="387">
        <f t="shared" ref="BL164:BL227" ca="1" si="317">IF($L164=0,0,
IF($L164&lt;=0.5,BW164,
IF(AND($J164="straight line",$L164&lt;1.51),(BV164-((BV164/$L164)*0.5))+BW164/$L164*0.5,
IF($J164="straight line",
IF((LEFT(BL$43,4)*1)-INT($L164)&lt;LEFT($BI$43,4)*1,0,((OFFSET(BW164,0,-INT($L164+0.5),1,1))/$L164)*(IF($L164-INT($L164)&gt;0.5,$L164-0.5-INT($L164),IF($L164-INT($L164)&lt;=0.5,$L164-0.5-INT($L164)+1,0))))
+BW164/$L164*0.5
+SUM(OFFSET(BW164,0,MAX(-INT($L164+(0.5-(10^-12))),-BL$44)+1,1,MIN(INT($L164+(0.5-(10^-12))),BL$44)-1))*1/$L164,
IF($J164="Declining Balance",-$BI$42,0)))))</f>
        <v>1.2431642690605036</v>
      </c>
      <c r="BM164" s="1283">
        <f t="shared" ref="BM164:BM227" ca="1" si="318">IF($L164=0,0,
IF($L164&lt;=0.5,BX164,
IF(AND($J164="straight line",$L164&lt;1.51),(BW164-((BW164/$L164)*0.5))+BX164/$L164*0.5,
IF($J164="straight line",
IF((LEFT(BM$43,4)*1)-INT($L164)&lt;LEFT($BI$43,4)*1,0,((OFFSET(BX164,0,-INT($L164+0.5),1,1))/$L164)*(IF($L164-INT($L164)&gt;0.5,$L164-0.5-INT($L164),IF($L164-INT($L164)&lt;=0.5,$L164-0.5-INT($L164)+1,0))))
+BX164/$L164*0.5
+SUM(OFFSET(BX164,0,MAX(-INT($L164+(0.5-(10^-12))),-BM$44)+1,1,MIN(INT($L164+(0.5-(10^-12))),BM$44)-1))*1/$L164,
IF($J164="Declining Balance",-$BI$42,0)))))</f>
        <v>1.6143643731164188</v>
      </c>
      <c r="BN164" s="386">
        <f t="shared" ref="BN164:BN227" ca="1" si="319">IF($L164=0,0,
IF($L164&lt;=0.5,BY164,
IF(AND($J164="straight line",$L164&lt;1.51),(BX164-((BX164/$L164)*0.5))+BY164/$L164*0.5,
IF($J164="straight line",
IF((LEFT(BN$43,4)*1)-INT($L164)&lt;LEFT($BI$43,4)*1,0,((OFFSET(BY164,0,-INT($L164+0.5),1,1))/$L164)*(IF($L164-INT($L164)&gt;0.5,$L164-0.5-INT($L164),IF($L164-INT($L164)&lt;=0.5,$L164-0.5-INT($L164)+1,0))))
+BY164/$L164*0.5
+SUM(OFFSET(BY164,0,MAX(-INT($L164+(0.5-(10^-12))),-BN$44)+1,1,MIN(INT($L164+(0.5-(10^-12))),BN$44)-1))*1/$L164,
IF($J164="Declining Balance",-$BI$42,0)))))</f>
        <v>2.1716232341966952</v>
      </c>
      <c r="BO164" s="387">
        <f t="shared" ref="BO164:BO227" ca="1" si="320">IF($L164=0,0,
IF($L164&lt;=0.5,BZ164,
IF(AND($J164="straight line",$L164&lt;1.51),(BY164-((BY164/$L164)*0.5))+BZ164/$L164*0.5,
IF($J164="straight line",
IF((LEFT(BO$43,4)*1)-INT($L164)&lt;LEFT($BI$43,4)*1,0,((OFFSET(BZ164,0,-INT($L164+0.5),1,1))/$L164)*(IF($L164-INT($L164)&gt;0.5,$L164-0.5-INT($L164),IF($L164-INT($L164)&lt;=0.5,$L164-0.5-INT($L164)+1,0))))
+BZ164/$L164*0.5
+SUM(OFFSET(BZ164,0,MAX(-INT($L164+(0.5-(10^-12))),-BO$44)+1,1,MIN(INT($L164+(0.5-(10^-12))),BO$44)-1))*1/$L164,
IF($J164="Declining Balance",-$BI$42,0)))))</f>
        <v>2.9075376709254908</v>
      </c>
      <c r="BP164" s="1277">
        <f t="shared" ref="BP164:BP227" ca="1" si="321">IF($L164=0,0,
IF($L164&lt;=0.5,CA164,
IF(AND($J164="straight line",$L164&lt;1.51),(BZ164-((BZ164/$L164)*0.5))+CA164/$L164*0.5,
IF($J164="straight line",
IF((LEFT(BP$43,4)*1)-INT($L164)&lt;LEFT($BI$43,4)*1,0,((OFFSET(CA164,0,-INT($L164+0.5),1,1))/$L164)*(IF($L164-INT($L164)&gt;0.5,$L164-0.5-INT($L164),IF($L164-INT($L164)&lt;=0.5,$L164-0.5-INT($L164)+1,0))))
+CA164/$L164*0.5
+SUM(OFFSET(CA164,0,MAX(-INT($L164+(0.5-(10^-12))),-BP$44)+1,1,MIN(INT($L164+(0.5-(10^-12))),BP$44)-1))*1/$L164,
IF($J164="Declining Balance",-$BI$42,0)))))</f>
        <v>3.6434521078299515</v>
      </c>
      <c r="BQ164" s="1277">
        <f t="shared" ref="BQ164:BQ227" ca="1" si="322">IF($L164=0,0,
IF($L164&lt;=0.5,CB164,
IF(AND($J164="straight line",$L164&lt;1.51),(CA164-((CA164/$L164)*0.5))+CB164/$L164*0.5,
IF($J164="straight line",
IF((LEFT(BQ$43,4)*1)-INT($L164)&lt;LEFT($BI$43,4)*1,0,((OFFSET(CB164,0,-INT($L164+0.5),1,1))/$L164)*(IF($L164-INT($L164)&gt;0.5,$L164-0.5-INT($L164),IF($L164-INT($L164)&lt;=0.5,$L164-0.5-INT($L164)+1,0))))
+CB164/$L164*0.5
+SUM(OFFSET(CB164,0,MAX(-INT($L164+(0.5-(10^-12))),-BQ$44)+1,1,MIN(INT($L164+(0.5-(10^-12))),BQ$44)-1))*1/$L164,
IF($J164="Declining Balance",-$BI$42,0)))))</f>
        <v>4.3793665447894048</v>
      </c>
      <c r="BR164" s="388">
        <f t="shared" ref="BR164:BR227" ca="1" si="323">IF($L164=0,0,
IF($L164&lt;=0.5,CC164,
IF(AND($J164="straight line",$L164&lt;1.51),(CB164-((CB164/$L164)*0.5))+CC164/$L164*0.5,
IF($J164="straight line",
IF((LEFT(BR$43,4)*1)-INT($L164)&lt;LEFT($BI$43,4)*1,0,((OFFSET(CC164,0,-INT($L164+0.5),1,1))/$L164)*(IF($L164-INT($L164)&gt;0.5,$L164-0.5-INT($L164),IF($L164-INT($L164)&lt;=0.5,$L164-0.5-INT($L164)+1,0))))
+CC164/$L164*0.5
+SUM(OFFSET(CC164,0,MAX(-INT($L164+(0.5-(10^-12))),-BR$44)+1,1,MIN(INT($L164+(0.5-(10^-12))),BR$44)-1))*1/$L164,
IF($J164="Declining Balance",-$BI$42,0)))))</f>
        <v>5.1152809817193754</v>
      </c>
      <c r="BS164" s="1025"/>
      <c r="BT164" s="1282">
        <f>+IF($K164="Ongoing",AX164,IF(RIGHT($K164,2)=RIGHT(BT$43,2),SUM($AX164:AX164),0)+IF(RIGHT(BT$43,2)&gt;RIGHT($K164,2),AX164,0))</f>
        <v>3.0670321383089547</v>
      </c>
      <c r="BU164" s="387">
        <f>+IF($K164="Ongoing",AY164,IF(RIGHT($K164,2)=RIGHT(BU$43,2),SUM($AX164:AY164),0)+IF(RIGHT(BU$43,2)&gt;RIGHT($K164,2),AY164,0))</f>
        <v>3.9076567365292068</v>
      </c>
      <c r="BV164" s="387">
        <f>+IF($K164="Ongoing",AZ164,IF(RIGHT($K164,2)=RIGHT(BV$43,2),SUM($AX164:AZ164),0)+IF(RIGHT(BV$43,2)&gt;RIGHT($K164,2),AZ164,0))</f>
        <v>3.6379692041237033</v>
      </c>
      <c r="BW164" s="387">
        <f>+IF($K164="Ongoing",BA164,IF(RIGHT($K164,2)=RIGHT(BW$43,2),SUM($AX164:BA164),0)+IF(RIGHT(BW$43,2)&gt;RIGHT($K164,2),BA164,0))</f>
        <v>3.637969223286341</v>
      </c>
      <c r="BX164" s="1283">
        <f>+IF($K164="Ongoing",BB164,IF(RIGHT($K164,2)=RIGHT(BX$43,2),SUM($AX164:BB164),0)+IF(RIGHT(BX$43,2)&gt;RIGHT($K164,2),BB164,0))</f>
        <v>3.786032857831966</v>
      </c>
      <c r="BY164" s="386">
        <f>+IF($K164="Ongoing",BC164,IF(RIGHT($K164,2)=RIGHT(BY$43,2),SUM($AX164:BC164),0)+IF(RIGHT(BY$43,2)&gt;RIGHT($K164,2),BC164,0))</f>
        <v>7.3591443637735585</v>
      </c>
      <c r="BZ164" s="387">
        <f>+IF($K164="Ongoing",BD164,IF(RIGHT($K164,2)=RIGHT(BZ$43,2),SUM($AX164:BD164),0)+IF(RIGHT(BZ$43,2)&gt;RIGHT($K164,2),BD164,0))</f>
        <v>7.3591443708023538</v>
      </c>
      <c r="CA164" s="1277">
        <f>+IF($K164="Ongoing",BE164,IF(RIGHT($K164,2)=RIGHT(CA$43,2),SUM($AX164:BE164),0)+IF(RIGHT(CA$43,2)&gt;RIGHT($K164,2),BE164,0))</f>
        <v>7.3591443672868735</v>
      </c>
      <c r="CB164" s="1277">
        <f>+IF($K164="Ongoing",BF164,IF(RIGHT($K164,2)=RIGHT(CB$43,2),SUM($AX164:BF164),0)+IF(RIGHT(CB$43,2)&gt;RIGHT($K164,2),BF164,0))</f>
        <v>7.3591443719022012</v>
      </c>
      <c r="CC164" s="388">
        <f>+IF($K164="Ongoing",BG164,IF(RIGHT($K164,2)=RIGHT(CC$43,2),SUM($AX164:BG164),0)+IF(RIGHT(CC$43,2)&gt;RIGHT($K164,2),BG164,0))</f>
        <v>7.3591443666971772</v>
      </c>
      <c r="CD164" s="1025"/>
      <c r="CE164" s="1282">
        <f>+Q164*KeyAssumptionsPriceControl_FO!AF$15</f>
        <v>3.1559760703199142</v>
      </c>
      <c r="CF164" s="387">
        <f>+R164*KeyAssumptionsPriceControl_FO!AG$15</f>
        <v>4.1375871665633213</v>
      </c>
      <c r="CG164" s="387">
        <f>+S164*KeyAssumptionsPriceControl_FO!AH$15</f>
        <v>3.9637398476153884</v>
      </c>
      <c r="CH164" s="387">
        <f>+T164*KeyAssumptionsPriceControl_FO!AI$15</f>
        <v>4.0786883246803161</v>
      </c>
      <c r="CI164" s="1283">
        <f>+U164*KeyAssumptionsPriceControl_FO!AJ$15</f>
        <v>4.3677850007070758</v>
      </c>
      <c r="CJ164" s="386">
        <f>+V164*KeyAssumptionsPriceControl_FO!AK$15</f>
        <v>8.7361397174461217</v>
      </c>
      <c r="CK164" s="387">
        <f>+W164*KeyAssumptionsPriceControl_FO!AL$15</f>
        <v>8.9894877778380113</v>
      </c>
      <c r="CL164" s="1277">
        <f>+X164*KeyAssumptionsPriceControl_FO!AM$15</f>
        <v>9.2501829189764795</v>
      </c>
      <c r="CM164" s="1277">
        <f>+Y164*KeyAssumptionsPriceControl_FO!AN$15</f>
        <v>9.5184382295963363</v>
      </c>
      <c r="CN164" s="388">
        <f>+Z164*KeyAssumptionsPriceControl_FO!AO$15</f>
        <v>9.7944729313271299</v>
      </c>
      <c r="CO164" s="1025"/>
      <c r="CP164" s="1282">
        <f t="shared" ref="CP164:CP227" ca="1" si="324">IF($M164="straight line",IF($N164=0,0,
IF($N164&lt;=0.5,CE164,
IF($J164="straight line",
IF((LEFT(CP$43,4)*1)-INT($N164)&lt;LEFT($CP$43,4)*1,0,((OFFSET(CE164,0,-INT($N164+0.5),1,1))/$N164)*(IF($N164-INT($N164)&gt;0.5,$N164-0.5-INT($N164),IF($N164-INT($N164)&lt;=0.5,$N164-0.5-INT($N164)+1,0))))
+CE164/$N164*0.5,
IF($J164="Declining Balance",-$CP$42,0)))),IFERROR(FG164,0))</f>
        <v>0</v>
      </c>
      <c r="CQ164" s="387">
        <f t="shared" ref="CQ164:CQ227" ca="1" si="325">IF($M164="straight line",IF($N164=0,0,
IF($N164&lt;=0.5,CF164,
IF($J164="straight line",
IF((LEFT(CQ$43,4)*1)-INT($N164)&lt;LEFT($CP$43,4)*1,0,((OFFSET(CF164,0,-INT($N164+0.5),1,1))/$N164)*(IF($N164-INT($N164)&gt;0.5,$N164-0.5-INT($N164),IF($N164-INT($N164)&lt;=0.5,$N164-0.5-INT($N164)+1,0))))
+CF164/$N164*0.5,
IF($J164="Declining Balance",-$CP$42,0)))),IFERROR(FH164,0))</f>
        <v>0</v>
      </c>
      <c r="CR164" s="387">
        <f t="shared" ref="CR164:CR227" ca="1" si="326">IF($M164="straight line",IF($N164=0,0,
IF($N164&lt;=0.5,CG164,
IF($J164="straight line",
IF((LEFT(CR$43,4)*1)-INT($N164)&lt;LEFT($CP$43,4)*1,0,((OFFSET(CG164,0,-INT($N164+0.5),1,1))/$N164)*(IF($N164-INT($N164)&gt;0.5,$N164-0.5-INT($N164),IF($N164-INT($N164)&lt;=0.5,$N164-0.5-INT($N164)+1,0))))
+CG164/$N164*0.5,
IF($J164="Declining Balance",-$CP$42,0)))),IFERROR(FI164,0))</f>
        <v>0</v>
      </c>
      <c r="CS164" s="387">
        <f t="shared" ref="CS164:CS227" ca="1" si="327">IF($M164="straight line",IF($N164=0,0,
IF($N164&lt;=0.5,CH164,
IF($J164="straight line",
IF((LEFT(CS$43,4)*1)-INT($N164)&lt;LEFT($CP$43,4)*1,0,((OFFSET(CH164,0,-INT($N164+0.5),1,1))/$N164)*(IF($N164-INT($N164)&gt;0.5,$N164-0.5-INT($N164),IF($N164-INT($N164)&lt;=0.5,$N164-0.5-INT($N164)+1,0))))
+CH164/$N164*0.5,
IF($J164="Declining Balance",-$CP$42,0)))),IFERROR(FJ164,0))</f>
        <v>0</v>
      </c>
      <c r="CT164" s="1283">
        <f t="shared" ref="CT164:CT227" ca="1" si="328">IF($M164="straight line",IF($N164=0,0,
IF($N164&lt;=0.5,CI164,
IF($J164="straight line",
IF((LEFT(CT$43,4)*1)-INT($N164)&lt;LEFT($CP$43,4)*1,0,((OFFSET(CI164,0,-INT($N164+0.5),1,1))/$N164)*(IF($N164-INT($N164)&gt;0.5,$N164-0.5-INT($N164),IF($N164-INT($N164)&lt;=0.5,$N164-0.5-INT($N164)+1,0))))
+CI164/$N164*0.5,
IF($J164="Declining Balance",-$CP$42,0)))),IFERROR(FK164,0))</f>
        <v>0</v>
      </c>
      <c r="CU164" s="386">
        <f t="shared" ref="CU164:CU227" ca="1" si="329">IF($M164="straight line",IF($N164=0,0,
IF($N164&lt;=0.5,CJ164,
IF($J164="straight line",
IF((LEFT(CU$43,4)*1)-INT($N164)&lt;LEFT($CP$43,4)*1,0,((OFFSET(CJ164,0,-INT($N164+0.5),1,1))/$N164)*(IF($N164-INT($N164)&gt;0.5,$N164-0.5-INT($N164),IF($N164-INT($N164)&lt;=0.5,$N164-0.5-INT($N164)+1,0))))
+CJ164/$N164*0.5,
IF($J164="Declining Balance",-$CP$42,0)))),IFERROR(FL164,0))</f>
        <v>0</v>
      </c>
      <c r="CV164" s="387">
        <f t="shared" ref="CV164:CV227" ca="1" si="330">IF($M164="straight line",IF($N164=0,0,
IF($N164&lt;=0.5,CK164,
IF($J164="straight line",
IF((LEFT(CV$43,4)*1)-INT($N164)&lt;LEFT($CP$43,4)*1,0,((OFFSET(CK164,0,-INT($N164+0.5),1,1))/$N164)*(IF($N164-INT($N164)&gt;0.5,$N164-0.5-INT($N164),IF($N164-INT($N164)&lt;=0.5,$N164-0.5-INT($N164)+1,0))))
+CK164/$N164*0.5,
IF($J164="Declining Balance",-$CP$42,0)))),IFERROR(FM164,0))</f>
        <v>0</v>
      </c>
      <c r="CW164" s="1277">
        <f t="shared" ref="CW164:CW227" ca="1" si="331">IF($M164="straight line",IF($N164=0,0,
IF($N164&lt;=0.5,CL164,
IF($J164="straight line",
IF((LEFT(CW$43,4)*1)-INT($N164)&lt;LEFT($CP$43,4)*1,0,((OFFSET(CL164,0,-INT($N164+0.5),1,1))/$N164)*(IF($N164-INT($N164)&gt;0.5,$N164-0.5-INT($N164),IF($N164-INT($N164)&lt;=0.5,$N164-0.5-INT($N164)+1,0))))
+CL164/$N164*0.5,
IF($J164="Declining Balance",-$CP$42,0)))),IFERROR(FN164,0))</f>
        <v>0</v>
      </c>
      <c r="CX164" s="1277">
        <f t="shared" ref="CX164:CX227" ca="1" si="332">IF($M164="straight line",IF($N164=0,0,
IF($N164&lt;=0.5,CM164,
IF($J164="straight line",
IF((LEFT(CX$43,4)*1)-INT($N164)&lt;LEFT($CP$43,4)*1,0,((OFFSET(CM164,0,-INT($N164+0.5),1,1))/$N164)*(IF($N164-INT($N164)&gt;0.5,$N164-0.5-INT($N164),IF($N164-INT($N164)&lt;=0.5,$N164-0.5-INT($N164)+1,0))))
+CM164/$N164*0.5,
IF($J164="Declining Balance",-$CP$42,0)))),IFERROR(FO164,0))</f>
        <v>0</v>
      </c>
      <c r="CY164" s="388">
        <f t="shared" ref="CY164:CY227" ca="1" si="333">IF($M164="straight line",IF($N164=0,0,
IF($N164&lt;=0.5,CN164,
IF($J164="straight line",
IF((LEFT(CY$43,4)*1)-INT($N164)&lt;LEFT($CP$43,4)*1,0,((OFFSET(CN164,0,-INT($N164+0.5),1,1))/$N164)*(IF($N164-INT($N164)&gt;0.5,$N164-0.5-INT($N164),IF($N164-INT($N164)&lt;=0.5,$N164-0.5-INT($N164)+1,0))))
+CN164/$N164*0.5,
IF($J164="Declining Balance",-$CP$42,0)))),IFERROR(FP164,0))</f>
        <v>0</v>
      </c>
      <c r="CZ164" s="347"/>
      <c r="DA164" s="852"/>
      <c r="DB164" s="347"/>
      <c r="DC164" s="1012" t="s">
        <v>678</v>
      </c>
      <c r="DD164" s="841" t="s">
        <v>518</v>
      </c>
      <c r="DE164" s="386">
        <f>+IF($K164="ongoing",CE164,IF(RIGHT($K164,2)=RIGHT(DE$43,2),SUM($CD164:CE164),0)+IF(RIGHT(DE$43,2)&gt;RIGHT($K164,2),CE164,0))</f>
        <v>3.1559760703199142</v>
      </c>
      <c r="DF164" s="387">
        <f>+IF($K164="ongoing",CF164,IF(RIGHT($K164,2)=RIGHT(DF$43,2),SUM($CD164:CF164),0)+IF(RIGHT(DF$43,2)&gt;RIGHT($K164,2),CF164,0))</f>
        <v>4.1375871665633213</v>
      </c>
      <c r="DG164" s="388">
        <f>+IF($K164="ongoing",CG164,IF(RIGHT($K164,2)=RIGHT(DG$43,2),SUM($CD164:CG164),0)+IF(RIGHT(DG$43,2)&gt;RIGHT($K164,2),CG164,0))</f>
        <v>3.9637398476153884</v>
      </c>
      <c r="DH164" s="386">
        <f>+IF($K164="ongoing",CH164,IF(RIGHT($K164,2)=RIGHT(DH$43,2),SUM($CD164:CH164),0)+IF(RIGHT(DH$43,2)&gt;RIGHT($K164,2),CH164,0))</f>
        <v>4.0786883246803161</v>
      </c>
      <c r="DI164" s="387">
        <f>+IF($K164="ongoing",CI164,IF(RIGHT($K164,2)=RIGHT(DI$43,2),SUM($CD164:CI164),0)+IF(RIGHT(DI$43,2)&gt;RIGHT($K164,2),CI164,0))</f>
        <v>4.3677850007070758</v>
      </c>
      <c r="DJ164" s="387">
        <f>+IF($K164="ongoing",CJ164,IF(RIGHT($K164,2)=RIGHT(DJ$43,2),SUM($CD164:CJ164),0)+IF(RIGHT(DJ$43,2)&gt;RIGHT($K164,2),CJ164,0))</f>
        <v>8.7361397174461217</v>
      </c>
      <c r="DK164" s="387">
        <f>+IF($K164="ongoing",CK164,IF(RIGHT($K164,2)=RIGHT(DK$43,2),SUM($CD164:CK164),0)+IF(RIGHT(DK$43,2)&gt;RIGHT($K164,2),CK164,0))</f>
        <v>8.9894877778380113</v>
      </c>
      <c r="DL164" s="388">
        <f>+IF($K164="ongoing",CN164,IF(RIGHT($K164,2)=RIGHT(DL$43,2),SUM($CD164:CN164),0)+IF(RIGHT(DL$43,2)&gt;RIGHT($K164,2),CN164,0))</f>
        <v>9.7944729313271299</v>
      </c>
      <c r="DM164" s="841"/>
      <c r="DN164" s="386">
        <f t="shared" ref="DN164:DN227" si="334">+MIN(IF($N164&lt;=$DC164,MIN($N164,1),$N164),IF(DN$44=1,0.5,DM164+1))</f>
        <v>0.5</v>
      </c>
      <c r="DO164" s="387">
        <f t="shared" ref="DO164:DO227" si="335">+MIN(IF($N164&lt;=$DC164,MIN($N164,1),$N164),IF(DO$44=1,0.5,DN164+1))</f>
        <v>1</v>
      </c>
      <c r="DP164" s="388">
        <f t="shared" ref="DP164:DP227" si="336">+MIN(IF($N164&lt;=$DC164,MIN($N164,1),$N164),IF(DP$44=1,0.5,DO164+1))</f>
        <v>1</v>
      </c>
      <c r="DQ164" s="386">
        <f t="shared" ref="DQ164:DQ227" si="337">+MIN(IF($N164&lt;=$DC164,MIN($N164,1),$N164),IF(DQ$44=1,0.5,DP164+1))</f>
        <v>1</v>
      </c>
      <c r="DR164" s="387">
        <f t="shared" ref="DR164:DR227" si="338">+MIN(IF($N164&lt;=$DC164,MIN($N164,1),$N164),IF(DR$44=1,0.5,DQ164+1))</f>
        <v>1</v>
      </c>
      <c r="DS164" s="387">
        <f t="shared" ref="DS164:DS227" si="339">+MIN(IF($N164&lt;=$DC164,MIN($N164,1),$N164),IF(DS$44=1,0.5,DR164+1))</f>
        <v>1</v>
      </c>
      <c r="DT164" s="387">
        <f t="shared" ref="DT164:DT227" si="340">+MIN(IF($N164&lt;=$DC164,MIN($N164,1),$N164),IF(DT$44=1,0.5,DS164+1))</f>
        <v>1</v>
      </c>
      <c r="DU164" s="388">
        <f t="shared" ref="DU164:DU227" si="341">+MIN(IF($N164&lt;=$DC164,MIN($N164,1),$N164),IF(DU$44=1,0.5,DT164+1))</f>
        <v>1</v>
      </c>
      <c r="DW164" s="386">
        <f t="shared" ref="DW164:DW227" si="342">+IF(DW$44=1,0,MIN(IF($N164&lt;=$DC164,MIN($N164,1),$N164),IF(DW$44=2,0.5,DV164+1)))</f>
        <v>0</v>
      </c>
      <c r="DX164" s="387">
        <f t="shared" ref="DX164:DX227" si="343">+IF(DX$44=1,0,MIN(IF($N164&lt;=$DC164,MIN($N164,1),$N164),IF(DX$44=2,0.5,DW164+1)))</f>
        <v>0.5</v>
      </c>
      <c r="DY164" s="388">
        <f t="shared" ref="DY164:DY227" si="344">+IF(DY$44=1,0,MIN(IF($N164&lt;=$DC164,MIN($N164,1),$N164),IF(DY$44=2,0.5,DX164+1)))</f>
        <v>1</v>
      </c>
      <c r="DZ164" s="386">
        <f t="shared" ref="DZ164:DZ227" si="345">+IF(DZ$44=1,0,MIN(IF($N164&lt;=$DC164,MIN($N164,1),$N164),IF(DZ$44=2,0.5,DY164+1)))</f>
        <v>1</v>
      </c>
      <c r="EA164" s="387">
        <f t="shared" ref="EA164:EA227" si="346">+IF(EA$44=1,0,MIN(IF($N164&lt;=$DC164,MIN($N164,1),$N164),IF(EA$44=2,0.5,DZ164+1)))</f>
        <v>1</v>
      </c>
      <c r="EB164" s="387">
        <f t="shared" ref="EB164:EB227" si="347">+IF(EB$44=1,0,MIN(IF($N164&lt;=$DC164,MIN($N164,1),$N164),IF(EB$44=2,0.5,EA164+1)))</f>
        <v>1</v>
      </c>
      <c r="EC164" s="387">
        <f t="shared" ref="EC164:EC227" si="348">+IF(EC$44=1,0,MIN(IF($N164&lt;=$DC164,MIN($N164,1),$N164),IF(EC$44=2,0.5,EB164+1)))</f>
        <v>1</v>
      </c>
      <c r="ED164" s="388">
        <f t="shared" ref="ED164:ED227" si="349">+IF(ED$44=1,0,MIN(IF($N164&lt;=$DC164,MIN($N164,1),$N164),IF(ED$44=2,0.5,EC164+1)))</f>
        <v>1</v>
      </c>
      <c r="EF164" s="834">
        <f>+IF(DN164=DM164,0,
IF(AND(EF$44&gt;1,DN164=$N164),1-SUM($EE164:EE164),
IF($N164&lt;=1,
IF($N164&gt;0,1/$N164,0),
IF(EF$44=1,0,VDB(1,0,$N164,INT(EF$44-1-1),MIN($N164,INT(EF$44-1-1)+1),$DC164,IF($DD164="No",1,0))/
IF(DM164&gt;=INT($N164),$N164-INT($N164),1)))*
IF(EF$44=1,0,
IF(INT(DN164)=INT(DM164),DN164-DM164,INT(DN164)-DM164))+
IF($N164&lt;=1,
IF($N164&gt;0,1/$N164,0),VDB(1,0,$N164,INT(EF$44-1),MIN($N164,INT(EF$44-1)+1),$DC164,IF($DD164="No",1,0))/
IF(DN164&gt;INT($N164),$N164-INT($N164),1))*
IF(EF$44=1,DN164,
IF(INT(DN164)=INT(DM164),0,DN164-INT(DN164)))))</f>
        <v>0</v>
      </c>
      <c r="EG164" s="835">
        <f>+IF(DO164=DN164,0,
IF(AND(EG$44&gt;1,DO164=$N164),1-SUM($EE164:EF164),
IF($N164&lt;=1,
IF($N164&gt;0,1/$N164,0),
IF(EG$44=1,0,VDB(1,0,$N164,INT(EG$44-1-1),MIN($N164,INT(EG$44-1-1)+1),$DC164,IF($DD164="No",1,0))/
IF(DN164&gt;=INT($N164),$N164-INT($N164),1)))*
IF(EG$44=1,0,
IF(INT(DO164)=INT(DN164),DO164-DN164,INT(DO164)-DN164))+
IF($N164&lt;=1,
IF($N164&gt;0,1/$N164,0),VDB(1,0,$N164,INT(EG$44-1),MIN($N164,INT(EG$44-1)+1),$DC164,IF($DD164="No",1,0))/
IF(DO164&gt;INT($N164),$N164-INT($N164),1))*
IF(EG$44=1,DO164,
IF(INT(DO164)=INT(DN164),0,DO164-INT(DO164)))))</f>
        <v>0</v>
      </c>
      <c r="EH164" s="836">
        <f>+IF(DP164=DO164,0,
IF(AND(EH$44&gt;1,DP164=$N164),1-SUM($EE164:EG164),
IF($N164&lt;=1,
IF($N164&gt;0,1/$N164,0),
IF(EH$44=1,0,VDB(1,0,$N164,INT(EH$44-1-1),MIN($N164,INT(EH$44-1-1)+1),$DC164,IF($DD164="No",1,0))/
IF(DO164&gt;=INT($N164),$N164-INT($N164),1)))*
IF(EH$44=1,0,
IF(INT(DP164)=INT(DO164),DP164-DO164,INT(DP164)-DO164))+
IF($N164&lt;=1,
IF($N164&gt;0,1/$N164,0),VDB(1,0,$N164,INT(EH$44-1),MIN($N164,INT(EH$44-1)+1),$DC164,IF($DD164="No",1,0))/
IF(DP164&gt;INT($N164),$N164-INT($N164),1))*
IF(EH$44=1,DP164,
IF(INT(DP164)=INT(DO164),0,DP164-INT(DP164)))))</f>
        <v>0</v>
      </c>
      <c r="EI164" s="834">
        <f>+IF(DQ164=DP164,0,
IF(AND(EI$44&gt;1,DQ164=$N164),1-SUM($EE164:EH164),
IF($N164&lt;=1,
IF($N164&gt;0,1/$N164,0),
IF(EI$44=1,0,VDB(1,0,$N164,INT(EI$44-1-1),MIN($N164,INT(EI$44-1-1)+1),$DC164,IF($DD164="No",1,0))/
IF(DP164&gt;=INT($N164),$N164-INT($N164),1)))*
IF(EI$44=1,0,
IF(INT(DQ164)=INT(DP164),DQ164-DP164,INT(DQ164)-DP164))+
IF($N164&lt;=1,
IF($N164&gt;0,1/$N164,0),VDB(1,0,$N164,INT(EI$44-1),MIN($N164,INT(EI$44-1)+1),$DC164,IF($DD164="No",1,0))/
IF(DQ164&gt;INT($N164),$N164-INT($N164),1))*
IF(EI$44=1,DQ164,
IF(INT(DQ164)=INT(DP164),0,DQ164-INT(DQ164)))))</f>
        <v>0</v>
      </c>
      <c r="EJ164" s="835">
        <f>+IF(DR164=DQ164,0,
IF(AND(EJ$44&gt;1,DR164=$N164),1-SUM($EE164:EI164),
IF($N164&lt;=1,
IF($N164&gt;0,1/$N164,0),
IF(EJ$44=1,0,VDB(1,0,$N164,INT(EJ$44-1-1),MIN($N164,INT(EJ$44-1-1)+1),$DC164,IF($DD164="No",1,0))/
IF(DQ164&gt;=INT($N164),$N164-INT($N164),1)))*
IF(EJ$44=1,0,
IF(INT(DR164)=INT(DQ164),DR164-DQ164,INT(DR164)-DQ164))+
IF($N164&lt;=1,
IF($N164&gt;0,1/$N164,0),VDB(1,0,$N164,INT(EJ$44-1),MIN($N164,INT(EJ$44-1)+1),$DC164,IF($DD164="No",1,0))/
IF(DR164&gt;INT($N164),$N164-INT($N164),1))*
IF(EJ$44=1,DR164,
IF(INT(DR164)=INT(DQ164),0,DR164-INT(DR164)))))</f>
        <v>0</v>
      </c>
      <c r="EK164" s="835">
        <f>+IF(DS164=DR164,0,
IF(AND(EK$44&gt;1,DS164=$N164),1-SUM($EE164:EJ164),
IF($N164&lt;=1,
IF($N164&gt;0,1/$N164,0),
IF(EK$44=1,0,VDB(1,0,$N164,INT(EK$44-1-1),MIN($N164,INT(EK$44-1-1)+1),$DC164,IF($DD164="No",1,0))/
IF(DR164&gt;=INT($N164),$N164-INT($N164),1)))*
IF(EK$44=1,0,
IF(INT(DS164)=INT(DR164),DS164-DR164,INT(DS164)-DR164))+
IF($N164&lt;=1,
IF($N164&gt;0,1/$N164,0),VDB(1,0,$N164,INT(EK$44-1),MIN($N164,INT(EK$44-1)+1),$DC164,IF($DD164="No",1,0))/
IF(DS164&gt;INT($N164),$N164-INT($N164),1))*
IF(EK$44=1,DS164,
IF(INT(DS164)=INT(DR164),0,DS164-INT(DS164)))))</f>
        <v>0</v>
      </c>
      <c r="EL164" s="835">
        <f>+IF(DT164=DS164,0,
IF(AND(EL$44&gt;1,DT164=$N164),1-SUM($EE164:EK164),
IF($N164&lt;=1,
IF($N164&gt;0,1/$N164,0),
IF(EL$44=1,0,VDB(1,0,$N164,INT(EL$44-1-1),MIN($N164,INT(EL$44-1-1)+1),$DC164,IF($DD164="No",1,0))/
IF(DS164&gt;=INT($N164),$N164-INT($N164),1)))*
IF(EL$44=1,0,
IF(INT(DT164)=INT(DS164),DT164-DS164,INT(DT164)-DS164))+
IF($N164&lt;=1,
IF($N164&gt;0,1/$N164,0),VDB(1,0,$N164,INT(EL$44-1),MIN($N164,INT(EL$44-1)+1),$DC164,IF($DD164="No",1,0))/
IF(DT164&gt;INT($N164),$N164-INT($N164),1))*
IF(EL$44=1,DT164,
IF(INT(DT164)=INT(DS164),0,DT164-INT(DT164)))))</f>
        <v>0</v>
      </c>
      <c r="EM164" s="836">
        <f>+IF(DU164=DT164,0,
IF(AND(EM$44&gt;1,DU164=$N164),1-SUM($EE164:EL164),
IF($N164&lt;=1,
IF($N164&gt;0,1/$N164,0),
IF(EM$44=1,0,VDB(1,0,$N164,INT(EM$44-1-1),MIN($N164,INT(EM$44-1-1)+1),$DC164,IF($DD164="No",1,0))/
IF(DT164&gt;=INT($N164),$N164-INT($N164),1)))*
IF(EM$44=1,0,
IF(INT(DU164)=INT(DT164),DU164-DT164,INT(DU164)-DT164))+
IF($N164&lt;=1,
IF($N164&gt;0,1/$N164,0),VDB(1,0,$N164,INT(EM$44-1),MIN($N164,INT(EM$44-1)+1),$DC164,IF($DD164="No",1,0))/
IF(DU164&gt;INT($N164),$N164-INT($N164),1))*
IF(EM$44=1,DU164,
IF(INT(DU164)=INT(DT164),0,DU164-INT(DU164)))))</f>
        <v>0</v>
      </c>
      <c r="EN164" s="833"/>
      <c r="EO164" s="834">
        <f>+IF(OR(DW164=DV164,EO$44=1),0,
IF(AND(EO$44&gt;1,DW164=$N164),1-SUM($EN164:EN164),
IF($N164&lt;=1,
IF($N164&gt;0,1/$N164,0),
IF(EO$44=2,0,VDB(1,0,$N164,INT(EO$44-2-1),MIN($N164,INT(EO$44-2-1)+1),$DC164,IF($DD164="No",1,0))/
IF(DV164&gt;=INT($N164),$N164-INT($N164),1)))*
IF(EO$44=2,0,
IF(INT(DW164)=INT(DV164),DW164-DV164,INT(DW164)-DV164))+
IF($N164&lt;=1,
IF($N164&gt;0,1/$N164,0),VDB(1,0,$N164,INT(EO$44-2),MIN($N164,INT(EO$44-2)+1),$DC164,IF($DD164="No",1,0))/
IF(DW164&gt;INT($N164),$N164-INT($N164),1))*
IF(EO$44=2,DW164,
IF(INT(DW164)=INT(DV164),0,DW164-INT(DW164)))))</f>
        <v>0</v>
      </c>
      <c r="EP164" s="835">
        <f>+IF(OR(DX164=DW164,EP$44=1),0,
IF(AND(EP$44&gt;1,DX164=$N164),1-SUM($EN164:EO164),
IF($N164&lt;=1,
IF($N164&gt;0,1/$N164,0),
IF(EP$44=2,0,VDB(1,0,$N164,INT(EP$44-2-1),MIN($N164,INT(EP$44-2-1)+1),$DC164,IF($DD164="No",1,0))/
IF(DW164&gt;=INT($N164),$N164-INT($N164),1)))*
IF(EP$44=2,0,
IF(INT(DX164)=INT(DW164),DX164-DW164,INT(DX164)-DW164))+
IF($N164&lt;=1,
IF($N164&gt;0,1/$N164,0),VDB(1,0,$N164,INT(EP$44-2),MIN($N164,INT(EP$44-2)+1),$DC164,IF($DD164="No",1,0))/
IF(DX164&gt;INT($N164),$N164-INT($N164),1))*
IF(EP$44=2,DX164,
IF(INT(DX164)=INT(DW164),0,DX164-INT(DX164)))))</f>
        <v>0</v>
      </c>
      <c r="EQ164" s="836">
        <f>+IF(OR(DY164=DX164,EQ$44=1),0,
IF(AND(EQ$44&gt;1,DY164=$N164),1-SUM($EN164:EP164),
IF($N164&lt;=1,
IF($N164&gt;0,1/$N164,0),
IF(EQ$44=2,0,VDB(1,0,$N164,INT(EQ$44-2-1),MIN($N164,INT(EQ$44-2-1)+1),$DC164,IF($DD164="No",1,0))/
IF(DX164&gt;=INT($N164),$N164-INT($N164),1)))*
IF(EQ$44=2,0,
IF(INT(DY164)=INT(DX164),DY164-DX164,INT(DY164)-DX164))+
IF($N164&lt;=1,
IF($N164&gt;0,1/$N164,0),VDB(1,0,$N164,INT(EQ$44-2),MIN($N164,INT(EQ$44-2)+1),$DC164,IF($DD164="No",1,0))/
IF(DY164&gt;INT($N164),$N164-INT($N164),1))*
IF(EQ$44=2,DY164,
IF(INT(DY164)=INT(DX164),0,DY164-INT(DY164)))))</f>
        <v>0</v>
      </c>
      <c r="ER164" s="834">
        <f>+IF(OR(DZ164=DY164,ER$44=1),0,
IF(AND(ER$44&gt;1,DZ164=$N164),1-SUM($EN164:EQ164),
IF($N164&lt;=1,
IF($N164&gt;0,1/$N164,0),
IF(ER$44=2,0,VDB(1,0,$N164,INT(ER$44-2-1),MIN($N164,INT(ER$44-2-1)+1),$DC164,IF($DD164="No",1,0))/
IF(DY164&gt;=INT($N164),$N164-INT($N164),1)))*
IF(ER$44=2,0,
IF(INT(DZ164)=INT(DY164),DZ164-DY164,INT(DZ164)-DY164))+
IF($N164&lt;=1,
IF($N164&gt;0,1/$N164,0),VDB(1,0,$N164,INT(ER$44-2),MIN($N164,INT(ER$44-2)+1),$DC164,IF($DD164="No",1,0))/
IF(DZ164&gt;INT($N164),$N164-INT($N164),1))*
IF(ER$44=2,DZ164,
IF(INT(DZ164)=INT(DY164),0,DZ164-INT(DZ164)))))</f>
        <v>0</v>
      </c>
      <c r="ES164" s="835">
        <f>+IF(OR(EA164=DZ164,ES$44=1),0,
IF(AND(ES$44&gt;1,EA164=$N164),1-SUM($EN164:ER164),
IF($N164&lt;=1,
IF($N164&gt;0,1/$N164,0),
IF(ES$44=2,0,VDB(1,0,$N164,INT(ES$44-2-1),MIN($N164,INT(ES$44-2-1)+1),$DC164,IF($DD164="No",1,0))/
IF(DZ164&gt;=INT($N164),$N164-INT($N164),1)))*
IF(ES$44=2,0,
IF(INT(EA164)=INT(DZ164),EA164-DZ164,INT(EA164)-DZ164))+
IF($N164&lt;=1,
IF($N164&gt;0,1/$N164,0),VDB(1,0,$N164,INT(ES$44-2),MIN($N164,INT(ES$44-2)+1),$DC164,IF($DD164="No",1,0))/
IF(EA164&gt;INT($N164),$N164-INT($N164),1))*
IF(ES$44=2,EA164,
IF(INT(EA164)=INT(DZ164),0,EA164-INT(EA164)))))</f>
        <v>0</v>
      </c>
      <c r="ET164" s="835">
        <f>+IF(OR(EB164=EA164,ET$44=1),0,
IF(AND(ET$44&gt;1,EB164=$N164),1-SUM($EN164:ES164),
IF($N164&lt;=1,
IF($N164&gt;0,1/$N164,0),
IF(ET$44=2,0,VDB(1,0,$N164,INT(ET$44-2-1),MIN($N164,INT(ET$44-2-1)+1),$DC164,IF($DD164="No",1,0))/
IF(EA164&gt;=INT($N164),$N164-INT($N164),1)))*
IF(ET$44=2,0,
IF(INT(EB164)=INT(EA164),EB164-EA164,INT(EB164)-EA164))+
IF($N164&lt;=1,
IF($N164&gt;0,1/$N164,0),VDB(1,0,$N164,INT(ET$44-2),MIN($N164,INT(ET$44-2)+1),$DC164,IF($DD164="No",1,0))/
IF(EB164&gt;INT($N164),$N164-INT($N164),1))*
IF(ET$44=2,EB164,
IF(INT(EB164)=INT(EA164),0,EB164-INT(EB164)))))</f>
        <v>0</v>
      </c>
      <c r="EU164" s="835">
        <f>+IF(OR(EC164=EB164,EU$44=1),0,
IF(AND(EU$44&gt;1,EC164=$N164),1-SUM($EN164:ET164),
IF($N164&lt;=1,
IF($N164&gt;0,1/$N164,0),
IF(EU$44=2,0,VDB(1,0,$N164,INT(EU$44-2-1),MIN($N164,INT(EU$44-2-1)+1),$DC164,IF($DD164="No",1,0))/
IF(EB164&gt;=INT($N164),$N164-INT($N164),1)))*
IF(EU$44=2,0,
IF(INT(EC164)=INT(EB164),EC164-EB164,INT(EC164)-EB164))+
IF($N164&lt;=1,
IF($N164&gt;0,1/$N164,0),VDB(1,0,$N164,INT(EU$44-2),MIN($N164,INT(EU$44-2)+1),$DC164,IF($DD164="No",1,0))/
IF(EC164&gt;INT($N164),$N164-INT($N164),1))*
IF(EU$44=2,EC164,
IF(INT(EC164)=INT(EB164),0,EC164-INT(EC164)))))</f>
        <v>0</v>
      </c>
      <c r="EV164" s="836">
        <f>+IF(OR(ED164=EC164,EV$44=1),0,
IF(AND(EV$44&gt;1,ED164=$N164),1-SUM($EN164:EU164),
IF($N164&lt;=1,
IF($N164&gt;0,1/$N164,0),
IF(EV$44=2,0,VDB(1,0,$N164,INT(EV$44-2-1),MIN($N164,INT(EV$44-2-1)+1),$DC164,IF($DD164="No",1,0))/
IF(EC164&gt;=INT($N164),$N164-INT($N164),1)))*
IF(EV$44=2,0,
IF(INT(ED164)=INT(EC164),ED164-EC164,INT(ED164)-EC164))+
IF($N164&lt;=1,
IF($N164&gt;0,1/$N164,0),VDB(1,0,$N164,INT(EV$44-2),MIN($N164,INT(EV$44-2)+1),$DC164,IF($DD164="No",1,0))/
IF(ED164&gt;INT($N164),$N164-INT($N164),1))*
IF(EV$44=2,ED164,
IF(INT(ED164)=INT(EC164),0,ED164-INT(ED164)))))</f>
        <v>0</v>
      </c>
      <c r="EW164" s="833"/>
      <c r="EX164" s="834">
        <f t="shared" ca="1" si="303"/>
        <v>0</v>
      </c>
      <c r="EY164" s="835">
        <f t="shared" ca="1" si="303"/>
        <v>0</v>
      </c>
      <c r="EZ164" s="836">
        <f t="shared" ca="1" si="303"/>
        <v>0</v>
      </c>
      <c r="FA164" s="834">
        <f t="shared" ca="1" si="303"/>
        <v>0</v>
      </c>
      <c r="FB164" s="835">
        <f t="shared" ca="1" si="303"/>
        <v>0</v>
      </c>
      <c r="FC164" s="835">
        <f t="shared" ca="1" si="303"/>
        <v>0</v>
      </c>
      <c r="FD164" s="835">
        <f t="shared" ref="EX164:FE196" ca="1" si="350">+OFFSET($EO164,0,MAX($EX$44:$HY$44)-FD$44)</f>
        <v>0</v>
      </c>
      <c r="FE164" s="836">
        <f t="shared" ca="1" si="350"/>
        <v>0</v>
      </c>
      <c r="FG164" s="386">
        <f t="shared" ref="FG164:FG227" ca="1" si="351">-(-$DE164*(-ISBLANK($DE164)+1)*EF164-
IF(FG$44&gt;1,SUMPRODUCT(OFFSET($DF164,0,0,1,FG$44-1)*(-ISBLANK(OFFSET($DF164,0,0,1,FG$44-1))+1),OFFSET($EX164,0,MAX($FG$44:$HY$44)-FG$44,1,FG$44-1)),0))</f>
        <v>0</v>
      </c>
      <c r="FH164" s="387">
        <f t="shared" ref="FH164:FH227" ca="1" si="352">-(-$DE164*(-ISBLANK($DE164)+1)*EG164-
IF(FH$44&gt;1,SUMPRODUCT(OFFSET($DF164,0,0,1,FH$44-1)*(-ISBLANK(OFFSET($DF164,0,0,1,FH$44-1))+1),OFFSET($EX164,0,MAX($FG$44:$HY$44)-FH$44,1,FH$44-1)),0))</f>
        <v>0</v>
      </c>
      <c r="FI164" s="388">
        <f t="shared" ref="FI164:FI227" ca="1" si="353">-(-$DE164*(-ISBLANK($DE164)+1)*EH164-
IF(FI$44&gt;1,SUMPRODUCT(OFFSET($DF164,0,0,1,FI$44-1)*(-ISBLANK(OFFSET($DF164,0,0,1,FI$44-1))+1),OFFSET($EX164,0,MAX($FG$44:$HY$44)-FI$44,1,FI$44-1)),0))</f>
        <v>0</v>
      </c>
      <c r="FJ164" s="386">
        <f t="shared" ref="FJ164:FJ227" ca="1" si="354">-(-$DE164*(-ISBLANK($DE164)+1)*EI164-
IF(FJ$44&gt;1,SUMPRODUCT(OFFSET($DF164,0,0,1,FJ$44-1)*(-ISBLANK(OFFSET($DF164,0,0,1,FJ$44-1))+1),OFFSET($EX164,0,MAX($FG$44:$HY$44)-FJ$44,1,FJ$44-1)),0))</f>
        <v>0</v>
      </c>
      <c r="FK164" s="387">
        <f t="shared" ref="FK164:FK227" ca="1" si="355">-(-$DE164*(-ISBLANK($DE164)+1)*EJ164-
IF(FK$44&gt;1,SUMPRODUCT(OFFSET($DF164,0,0,1,FK$44-1)*(-ISBLANK(OFFSET($DF164,0,0,1,FK$44-1))+1),OFFSET($EX164,0,MAX($FG$44:$HY$44)-FK$44,1,FK$44-1)),0))</f>
        <v>0</v>
      </c>
      <c r="FL164" s="387">
        <f t="shared" ref="FL164:FL227" ca="1" si="356">-(-$DE164*(-ISBLANK($DE164)+1)*EK164-
IF(FL$44&gt;1,SUMPRODUCT(OFFSET($DF164,0,0,1,FL$44-1)*(-ISBLANK(OFFSET($DF164,0,0,1,FL$44-1))+1),OFFSET($EX164,0,MAX($FG$44:$HY$44)-FL$44,1,FL$44-1)),0))</f>
        <v>0</v>
      </c>
      <c r="FM164" s="387">
        <f t="shared" ref="FM164:FM227" ca="1" si="357">-(-$DE164*(-ISBLANK($DE164)+1)*EL164-
IF(FM$44&gt;1,SUMPRODUCT(OFFSET($DF164,0,0,1,FM$44-1)*(-ISBLANK(OFFSET($DF164,0,0,1,FM$44-1))+1),OFFSET($EX164,0,MAX($FG$44:$HY$44)-FM$44,1,FM$44-1)),0))</f>
        <v>0</v>
      </c>
      <c r="FN164" s="388">
        <f t="shared" ref="FN164:FN227" ca="1" si="358">-(-$DE164*(-ISBLANK($DE164)+1)*EM164-
IF(FN$44&gt;1,SUMPRODUCT(OFFSET($DF164,0,0,1,FN$44-1)*(-ISBLANK(OFFSET($DF164,0,0,1,FN$44-1))+1),OFFSET($EX164,0,MAX($FG$44:$HY$44)-FN$44,1,FN$44-1)),0))</f>
        <v>0</v>
      </c>
      <c r="FR164" s="116"/>
    </row>
    <row r="165" spans="2:174">
      <c r="B165" s="1410">
        <f t="shared" si="302"/>
        <v>119</v>
      </c>
      <c r="C165" s="400" t="s">
        <v>677</v>
      </c>
      <c r="D165" s="410"/>
      <c r="E165" s="402" t="s">
        <v>411</v>
      </c>
      <c r="F165" s="402" t="s">
        <v>514</v>
      </c>
      <c r="G165" s="400" t="s">
        <v>437</v>
      </c>
      <c r="H165" s="2088" t="s">
        <v>483</v>
      </c>
      <c r="I165" s="2089"/>
      <c r="J165" s="411" t="s">
        <v>516</v>
      </c>
      <c r="K165" s="403" t="s">
        <v>544</v>
      </c>
      <c r="L165" s="403">
        <v>10</v>
      </c>
      <c r="M165" s="403" t="s">
        <v>142</v>
      </c>
      <c r="N165" s="403"/>
      <c r="O165" s="347"/>
      <c r="P165" s="347"/>
      <c r="Q165" s="1021">
        <v>7.9022360392688326E-2</v>
      </c>
      <c r="R165" s="1022">
        <v>0.10068112918281437</v>
      </c>
      <c r="S165" s="1022">
        <v>9.3732605522767964E-2</v>
      </c>
      <c r="T165" s="1022">
        <v>9.3732606016495065E-2</v>
      </c>
      <c r="U165" s="1023">
        <v>9.7547478949834052E-2</v>
      </c>
      <c r="V165" s="1021">
        <v>0.18960902001391242</v>
      </c>
      <c r="W165" s="1022">
        <v>0.18960902019500994</v>
      </c>
      <c r="X165" s="1022">
        <v>0.18960902010443323</v>
      </c>
      <c r="Y165" s="1022">
        <v>0.18960902022334758</v>
      </c>
      <c r="Z165" s="1023">
        <v>0.18960902008923969</v>
      </c>
      <c r="AA165" s="1024"/>
      <c r="AB165" s="1021">
        <v>0</v>
      </c>
      <c r="AC165" s="1022">
        <v>0</v>
      </c>
      <c r="AD165" s="1022">
        <v>0</v>
      </c>
      <c r="AE165" s="1022">
        <v>0</v>
      </c>
      <c r="AF165" s="1023">
        <v>0</v>
      </c>
      <c r="AG165" s="1021">
        <v>0</v>
      </c>
      <c r="AH165" s="1022">
        <v>0</v>
      </c>
      <c r="AI165" s="1022">
        <v>0</v>
      </c>
      <c r="AJ165" s="1022">
        <v>0</v>
      </c>
      <c r="AK165" s="1023">
        <v>0</v>
      </c>
      <c r="AL165" s="1024"/>
      <c r="AM165" s="1021">
        <v>0</v>
      </c>
      <c r="AN165" s="1022">
        <v>0</v>
      </c>
      <c r="AO165" s="1022">
        <v>0</v>
      </c>
      <c r="AP165" s="1022">
        <v>0</v>
      </c>
      <c r="AQ165" s="1023">
        <v>0</v>
      </c>
      <c r="AR165" s="1021">
        <v>0</v>
      </c>
      <c r="AS165" s="1022">
        <v>0</v>
      </c>
      <c r="AT165" s="1022">
        <v>0</v>
      </c>
      <c r="AU165" s="1022">
        <v>0</v>
      </c>
      <c r="AV165" s="1023">
        <v>0</v>
      </c>
      <c r="AW165" s="1025"/>
      <c r="AX165" s="1282">
        <f t="shared" si="304"/>
        <v>7.9022360392688326E-2</v>
      </c>
      <c r="AY165" s="387">
        <f t="shared" si="305"/>
        <v>0.10068112918281437</v>
      </c>
      <c r="AZ165" s="387">
        <f t="shared" si="306"/>
        <v>9.3732605522767964E-2</v>
      </c>
      <c r="BA165" s="387">
        <f t="shared" si="307"/>
        <v>9.3732606016495065E-2</v>
      </c>
      <c r="BB165" s="1283">
        <f t="shared" si="308"/>
        <v>9.7547478949834052E-2</v>
      </c>
      <c r="BC165" s="386">
        <f t="shared" si="309"/>
        <v>0.18960902001391242</v>
      </c>
      <c r="BD165" s="387">
        <f t="shared" si="310"/>
        <v>0.18960902019500994</v>
      </c>
      <c r="BE165" s="1277">
        <f t="shared" si="311"/>
        <v>0.18960902010443323</v>
      </c>
      <c r="BF165" s="1277">
        <f t="shared" si="312"/>
        <v>0.18960902022334758</v>
      </c>
      <c r="BG165" s="388">
        <f t="shared" si="313"/>
        <v>0.18960902008923969</v>
      </c>
      <c r="BH165" s="1025"/>
      <c r="BI165" s="1282">
        <f t="shared" ca="1" si="314"/>
        <v>3.9511180196344165E-3</v>
      </c>
      <c r="BJ165" s="387">
        <f t="shared" ca="1" si="315"/>
        <v>1.2936292498409552E-2</v>
      </c>
      <c r="BK165" s="387">
        <f t="shared" ca="1" si="316"/>
        <v>2.2656979233688666E-2</v>
      </c>
      <c r="BL165" s="387">
        <f t="shared" ca="1" si="317"/>
        <v>3.2030239810651819E-2</v>
      </c>
      <c r="BM165" s="1283">
        <f t="shared" ca="1" si="318"/>
        <v>4.1594244058968277E-2</v>
      </c>
      <c r="BN165" s="386">
        <f t="shared" ca="1" si="319"/>
        <v>5.5952069007155603E-2</v>
      </c>
      <c r="BO165" s="387">
        <f t="shared" ca="1" si="320"/>
        <v>7.4912971017601721E-2</v>
      </c>
      <c r="BP165" s="1277">
        <f t="shared" ca="1" si="321"/>
        <v>9.3873873032573871E-2</v>
      </c>
      <c r="BQ165" s="1277">
        <f t="shared" ca="1" si="322"/>
        <v>0.11283477504896292</v>
      </c>
      <c r="BR165" s="388">
        <f t="shared" ca="1" si="323"/>
        <v>0.13179567706459228</v>
      </c>
      <c r="BS165" s="1025"/>
      <c r="BT165" s="1282">
        <f>+IF($K165="Ongoing",AX165,IF(RIGHT($K165,2)=RIGHT(BT$43,2),SUM($AX165:AX165),0)+IF(RIGHT(BT$43,2)&gt;RIGHT($K165,2),AX165,0))</f>
        <v>7.9022360392688326E-2</v>
      </c>
      <c r="BU165" s="387">
        <f>+IF($K165="Ongoing",AY165,IF(RIGHT($K165,2)=RIGHT(BU$43,2),SUM($AX165:AY165),0)+IF(RIGHT(BU$43,2)&gt;RIGHT($K165,2),AY165,0))</f>
        <v>0.10068112918281437</v>
      </c>
      <c r="BV165" s="387">
        <f>+IF($K165="Ongoing",AZ165,IF(RIGHT($K165,2)=RIGHT(BV$43,2),SUM($AX165:AZ165),0)+IF(RIGHT(BV$43,2)&gt;RIGHT($K165,2),AZ165,0))</f>
        <v>9.3732605522767964E-2</v>
      </c>
      <c r="BW165" s="387">
        <f>+IF($K165="Ongoing",BA165,IF(RIGHT($K165,2)=RIGHT(BW$43,2),SUM($AX165:BA165),0)+IF(RIGHT(BW$43,2)&gt;RIGHT($K165,2),BA165,0))</f>
        <v>9.3732606016495065E-2</v>
      </c>
      <c r="BX165" s="1283">
        <f>+IF($K165="Ongoing",BB165,IF(RIGHT($K165,2)=RIGHT(BX$43,2),SUM($AX165:BB165),0)+IF(RIGHT(BX$43,2)&gt;RIGHT($K165,2),BB165,0))</f>
        <v>9.7547478949834052E-2</v>
      </c>
      <c r="BY165" s="386">
        <f>+IF($K165="Ongoing",BC165,IF(RIGHT($K165,2)=RIGHT(BY$43,2),SUM($AX165:BC165),0)+IF(RIGHT(BY$43,2)&gt;RIGHT($K165,2),BC165,0))</f>
        <v>0.18960902001391242</v>
      </c>
      <c r="BZ165" s="387">
        <f>+IF($K165="Ongoing",BD165,IF(RIGHT($K165,2)=RIGHT(BZ$43,2),SUM($AX165:BD165),0)+IF(RIGHT(BZ$43,2)&gt;RIGHT($K165,2),BD165,0))</f>
        <v>0.18960902019500994</v>
      </c>
      <c r="CA165" s="1277">
        <f>+IF($K165="Ongoing",BE165,IF(RIGHT($K165,2)=RIGHT(CA$43,2),SUM($AX165:BE165),0)+IF(RIGHT(CA$43,2)&gt;RIGHT($K165,2),BE165,0))</f>
        <v>0.18960902010443323</v>
      </c>
      <c r="CB165" s="1277">
        <f>+IF($K165="Ongoing",BF165,IF(RIGHT($K165,2)=RIGHT(CB$43,2),SUM($AX165:BF165),0)+IF(RIGHT(CB$43,2)&gt;RIGHT($K165,2),BF165,0))</f>
        <v>0.18960902022334758</v>
      </c>
      <c r="CC165" s="388">
        <f>+IF($K165="Ongoing",BG165,IF(RIGHT($K165,2)=RIGHT(CC$43,2),SUM($AX165:BG165),0)+IF(RIGHT(CC$43,2)&gt;RIGHT($K165,2),BG165,0))</f>
        <v>0.18960902008923969</v>
      </c>
      <c r="CD165" s="1025"/>
      <c r="CE165" s="1282">
        <f>+Q165*KeyAssumptionsPriceControl_FO!AF$15</f>
        <v>8.1314008844076274E-2</v>
      </c>
      <c r="CF165" s="387">
        <f>+R165*KeyAssumptionsPriceControl_FO!AG$15</f>
        <v>0.10660530750506034</v>
      </c>
      <c r="CG165" s="387">
        <f>+S165*KeyAssumptionsPriceControl_FO!AH$15</f>
        <v>0.1021261156114988</v>
      </c>
      <c r="CH165" s="387">
        <f>+T165*KeyAssumptionsPriceControl_FO!AI$15</f>
        <v>0.10508777351777157</v>
      </c>
      <c r="CI165" s="1283">
        <f>+U165*KeyAssumptionsPriceControl_FO!AJ$15</f>
        <v>0.11253637551837231</v>
      </c>
      <c r="CJ165" s="386">
        <f>+V165*KeyAssumptionsPriceControl_FO!AK$15</f>
        <v>0.22508742982182731</v>
      </c>
      <c r="CK165" s="387">
        <f>+W165*KeyAssumptionsPriceControl_FO!AL$15</f>
        <v>0.23161496550787811</v>
      </c>
      <c r="CL165" s="1277">
        <f>+X165*KeyAssumptionsPriceControl_FO!AM$15</f>
        <v>0.23833179939375485</v>
      </c>
      <c r="CM165" s="1277">
        <f>+Y165*KeyAssumptionsPriceControl_FO!AN$15</f>
        <v>0.24524342172997948</v>
      </c>
      <c r="CN165" s="388">
        <f>+Z165*KeyAssumptionsPriceControl_FO!AO$15</f>
        <v>0.25235548078166126</v>
      </c>
      <c r="CO165" s="1025"/>
      <c r="CP165" s="1282">
        <f t="shared" ca="1" si="324"/>
        <v>0</v>
      </c>
      <c r="CQ165" s="387">
        <f t="shared" ca="1" si="325"/>
        <v>0</v>
      </c>
      <c r="CR165" s="387">
        <f t="shared" ca="1" si="326"/>
        <v>0</v>
      </c>
      <c r="CS165" s="387">
        <f t="shared" ca="1" si="327"/>
        <v>0</v>
      </c>
      <c r="CT165" s="1283">
        <f t="shared" ca="1" si="328"/>
        <v>0</v>
      </c>
      <c r="CU165" s="386">
        <f t="shared" ca="1" si="329"/>
        <v>0</v>
      </c>
      <c r="CV165" s="387">
        <f t="shared" ca="1" si="330"/>
        <v>0</v>
      </c>
      <c r="CW165" s="1277">
        <f t="shared" ca="1" si="331"/>
        <v>0</v>
      </c>
      <c r="CX165" s="1277">
        <f t="shared" ca="1" si="332"/>
        <v>0</v>
      </c>
      <c r="CY165" s="388">
        <f t="shared" ca="1" si="333"/>
        <v>0</v>
      </c>
      <c r="CZ165" s="347"/>
      <c r="DA165" s="852"/>
      <c r="DB165" s="347"/>
      <c r="DC165" s="1012" t="s">
        <v>679</v>
      </c>
      <c r="DD165" s="841" t="s">
        <v>518</v>
      </c>
      <c r="DE165" s="386">
        <f>+IF($K165="ongoing",CE165,IF(RIGHT($K165,2)=RIGHT(DE$43,2),SUM($CD165:CE165),0)+IF(RIGHT(DE$43,2)&gt;RIGHT($K165,2),CE165,0))</f>
        <v>8.1314008844076274E-2</v>
      </c>
      <c r="DF165" s="387">
        <f>+IF($K165="ongoing",CF165,IF(RIGHT($K165,2)=RIGHT(DF$43,2),SUM($CD165:CF165),0)+IF(RIGHT(DF$43,2)&gt;RIGHT($K165,2),CF165,0))</f>
        <v>0.10660530750506034</v>
      </c>
      <c r="DG165" s="388">
        <f>+IF($K165="ongoing",CG165,IF(RIGHT($K165,2)=RIGHT(DG$43,2),SUM($CD165:CG165),0)+IF(RIGHT(DG$43,2)&gt;RIGHT($K165,2),CG165,0))</f>
        <v>0.1021261156114988</v>
      </c>
      <c r="DH165" s="386">
        <f>+IF($K165="ongoing",CH165,IF(RIGHT($K165,2)=RIGHT(DH$43,2),SUM($CD165:CH165),0)+IF(RIGHT(DH$43,2)&gt;RIGHT($K165,2),CH165,0))</f>
        <v>0.10508777351777157</v>
      </c>
      <c r="DI165" s="387">
        <f>+IF($K165="ongoing",CI165,IF(RIGHT($K165,2)=RIGHT(DI$43,2),SUM($CD165:CI165),0)+IF(RIGHT(DI$43,2)&gt;RIGHT($K165,2),CI165,0))</f>
        <v>0.11253637551837231</v>
      </c>
      <c r="DJ165" s="387">
        <f>+IF($K165="ongoing",CJ165,IF(RIGHT($K165,2)=RIGHT(DJ$43,2),SUM($CD165:CJ165),0)+IF(RIGHT(DJ$43,2)&gt;RIGHT($K165,2),CJ165,0))</f>
        <v>0.22508742982182731</v>
      </c>
      <c r="DK165" s="387">
        <f>+IF($K165="ongoing",CK165,IF(RIGHT($K165,2)=RIGHT(DK$43,2),SUM($CD165:CK165),0)+IF(RIGHT(DK$43,2)&gt;RIGHT($K165,2),CK165,0))</f>
        <v>0.23161496550787811</v>
      </c>
      <c r="DL165" s="388">
        <f>+IF($K165="ongoing",CN165,IF(RIGHT($K165,2)=RIGHT(DL$43,2),SUM($CD165:CN165),0)+IF(RIGHT(DL$43,2)&gt;RIGHT($K165,2),CN165,0))</f>
        <v>0.25235548078166126</v>
      </c>
      <c r="DM165" s="841"/>
      <c r="DN165" s="386">
        <f t="shared" si="334"/>
        <v>0.5</v>
      </c>
      <c r="DO165" s="387">
        <f t="shared" si="335"/>
        <v>1</v>
      </c>
      <c r="DP165" s="388">
        <f t="shared" si="336"/>
        <v>1</v>
      </c>
      <c r="DQ165" s="386">
        <f t="shared" si="337"/>
        <v>1</v>
      </c>
      <c r="DR165" s="387">
        <f t="shared" si="338"/>
        <v>1</v>
      </c>
      <c r="DS165" s="387">
        <f t="shared" si="339"/>
        <v>1</v>
      </c>
      <c r="DT165" s="387">
        <f t="shared" si="340"/>
        <v>1</v>
      </c>
      <c r="DU165" s="388">
        <f t="shared" si="341"/>
        <v>1</v>
      </c>
      <c r="DW165" s="386">
        <f t="shared" si="342"/>
        <v>0</v>
      </c>
      <c r="DX165" s="387">
        <f t="shared" si="343"/>
        <v>0.5</v>
      </c>
      <c r="DY165" s="388">
        <f t="shared" si="344"/>
        <v>1</v>
      </c>
      <c r="DZ165" s="386">
        <f t="shared" si="345"/>
        <v>1</v>
      </c>
      <c r="EA165" s="387">
        <f t="shared" si="346"/>
        <v>1</v>
      </c>
      <c r="EB165" s="387">
        <f t="shared" si="347"/>
        <v>1</v>
      </c>
      <c r="EC165" s="387">
        <f t="shared" si="348"/>
        <v>1</v>
      </c>
      <c r="ED165" s="388">
        <f t="shared" si="349"/>
        <v>1</v>
      </c>
      <c r="EF165" s="834">
        <f>+IF(DN165=DM165,0,
IF(AND(EF$44&gt;1,DN165=$N165),1-SUM($EE165:EE165),
IF($N165&lt;=1,
IF($N165&gt;0,1/$N165,0),
IF(EF$44=1,0,VDB(1,0,$N165,INT(EF$44-1-1),MIN($N165,INT(EF$44-1-1)+1),$DC165,IF($DD165="No",1,0))/
IF(DM165&gt;=INT($N165),$N165-INT($N165),1)))*
IF(EF$44=1,0,
IF(INT(DN165)=INT(DM165),DN165-DM165,INT(DN165)-DM165))+
IF($N165&lt;=1,
IF($N165&gt;0,1/$N165,0),VDB(1,0,$N165,INT(EF$44-1),MIN($N165,INT(EF$44-1)+1),$DC165,IF($DD165="No",1,0))/
IF(DN165&gt;INT($N165),$N165-INT($N165),1))*
IF(EF$44=1,DN165,
IF(INT(DN165)=INT(DM165),0,DN165-INT(DN165)))))</f>
        <v>0</v>
      </c>
      <c r="EG165" s="835">
        <f>+IF(DO165=DN165,0,
IF(AND(EG$44&gt;1,DO165=$N165),1-SUM($EE165:EF165),
IF($N165&lt;=1,
IF($N165&gt;0,1/$N165,0),
IF(EG$44=1,0,VDB(1,0,$N165,INT(EG$44-1-1),MIN($N165,INT(EG$44-1-1)+1),$DC165,IF($DD165="No",1,0))/
IF(DN165&gt;=INT($N165),$N165-INT($N165),1)))*
IF(EG$44=1,0,
IF(INT(DO165)=INT(DN165),DO165-DN165,INT(DO165)-DN165))+
IF($N165&lt;=1,
IF($N165&gt;0,1/$N165,0),VDB(1,0,$N165,INT(EG$44-1),MIN($N165,INT(EG$44-1)+1),$DC165,IF($DD165="No",1,0))/
IF(DO165&gt;INT($N165),$N165-INT($N165),1))*
IF(EG$44=1,DO165,
IF(INT(DO165)=INT(DN165),0,DO165-INT(DO165)))))</f>
        <v>0</v>
      </c>
      <c r="EH165" s="836">
        <f>+IF(DP165=DO165,0,
IF(AND(EH$44&gt;1,DP165=$N165),1-SUM($EE165:EG165),
IF($N165&lt;=1,
IF($N165&gt;0,1/$N165,0),
IF(EH$44=1,0,VDB(1,0,$N165,INT(EH$44-1-1),MIN($N165,INT(EH$44-1-1)+1),$DC165,IF($DD165="No",1,0))/
IF(DO165&gt;=INT($N165),$N165-INT($N165),1)))*
IF(EH$44=1,0,
IF(INT(DP165)=INT(DO165),DP165-DO165,INT(DP165)-DO165))+
IF($N165&lt;=1,
IF($N165&gt;0,1/$N165,0),VDB(1,0,$N165,INT(EH$44-1),MIN($N165,INT(EH$44-1)+1),$DC165,IF($DD165="No",1,0))/
IF(DP165&gt;INT($N165),$N165-INT($N165),1))*
IF(EH$44=1,DP165,
IF(INT(DP165)=INT(DO165),0,DP165-INT(DP165)))))</f>
        <v>0</v>
      </c>
      <c r="EI165" s="834">
        <f>+IF(DQ165=DP165,0,
IF(AND(EI$44&gt;1,DQ165=$N165),1-SUM($EE165:EH165),
IF($N165&lt;=1,
IF($N165&gt;0,1/$N165,0),
IF(EI$44=1,0,VDB(1,0,$N165,INT(EI$44-1-1),MIN($N165,INT(EI$44-1-1)+1),$DC165,IF($DD165="No",1,0))/
IF(DP165&gt;=INT($N165),$N165-INT($N165),1)))*
IF(EI$44=1,0,
IF(INT(DQ165)=INT(DP165),DQ165-DP165,INT(DQ165)-DP165))+
IF($N165&lt;=1,
IF($N165&gt;0,1/$N165,0),VDB(1,0,$N165,INT(EI$44-1),MIN($N165,INT(EI$44-1)+1),$DC165,IF($DD165="No",1,0))/
IF(DQ165&gt;INT($N165),$N165-INT($N165),1))*
IF(EI$44=1,DQ165,
IF(INT(DQ165)=INT(DP165),0,DQ165-INT(DQ165)))))</f>
        <v>0</v>
      </c>
      <c r="EJ165" s="835">
        <f>+IF(DR165=DQ165,0,
IF(AND(EJ$44&gt;1,DR165=$N165),1-SUM($EE165:EI165),
IF($N165&lt;=1,
IF($N165&gt;0,1/$N165,0),
IF(EJ$44=1,0,VDB(1,0,$N165,INT(EJ$44-1-1),MIN($N165,INT(EJ$44-1-1)+1),$DC165,IF($DD165="No",1,0))/
IF(DQ165&gt;=INT($N165),$N165-INT($N165),1)))*
IF(EJ$44=1,0,
IF(INT(DR165)=INT(DQ165),DR165-DQ165,INT(DR165)-DQ165))+
IF($N165&lt;=1,
IF($N165&gt;0,1/$N165,0),VDB(1,0,$N165,INT(EJ$44-1),MIN($N165,INT(EJ$44-1)+1),$DC165,IF($DD165="No",1,0))/
IF(DR165&gt;INT($N165),$N165-INT($N165),1))*
IF(EJ$44=1,DR165,
IF(INT(DR165)=INT(DQ165),0,DR165-INT(DR165)))))</f>
        <v>0</v>
      </c>
      <c r="EK165" s="835">
        <f>+IF(DS165=DR165,0,
IF(AND(EK$44&gt;1,DS165=$N165),1-SUM($EE165:EJ165),
IF($N165&lt;=1,
IF($N165&gt;0,1/$N165,0),
IF(EK$44=1,0,VDB(1,0,$N165,INT(EK$44-1-1),MIN($N165,INT(EK$44-1-1)+1),$DC165,IF($DD165="No",1,0))/
IF(DR165&gt;=INT($N165),$N165-INT($N165),1)))*
IF(EK$44=1,0,
IF(INT(DS165)=INT(DR165),DS165-DR165,INT(DS165)-DR165))+
IF($N165&lt;=1,
IF($N165&gt;0,1/$N165,0),VDB(1,0,$N165,INT(EK$44-1),MIN($N165,INT(EK$44-1)+1),$DC165,IF($DD165="No",1,0))/
IF(DS165&gt;INT($N165),$N165-INT($N165),1))*
IF(EK$44=1,DS165,
IF(INT(DS165)=INT(DR165),0,DS165-INT(DS165)))))</f>
        <v>0</v>
      </c>
      <c r="EL165" s="835">
        <f>+IF(DT165=DS165,0,
IF(AND(EL$44&gt;1,DT165=$N165),1-SUM($EE165:EK165),
IF($N165&lt;=1,
IF($N165&gt;0,1/$N165,0),
IF(EL$44=1,0,VDB(1,0,$N165,INT(EL$44-1-1),MIN($N165,INT(EL$44-1-1)+1),$DC165,IF($DD165="No",1,0))/
IF(DS165&gt;=INT($N165),$N165-INT($N165),1)))*
IF(EL$44=1,0,
IF(INT(DT165)=INT(DS165),DT165-DS165,INT(DT165)-DS165))+
IF($N165&lt;=1,
IF($N165&gt;0,1/$N165,0),VDB(1,0,$N165,INT(EL$44-1),MIN($N165,INT(EL$44-1)+1),$DC165,IF($DD165="No",1,0))/
IF(DT165&gt;INT($N165),$N165-INT($N165),1))*
IF(EL$44=1,DT165,
IF(INT(DT165)=INT(DS165),0,DT165-INT(DT165)))))</f>
        <v>0</v>
      </c>
      <c r="EM165" s="836">
        <f>+IF(DU165=DT165,0,
IF(AND(EM$44&gt;1,DU165=$N165),1-SUM($EE165:EL165),
IF($N165&lt;=1,
IF($N165&gt;0,1/$N165,0),
IF(EM$44=1,0,VDB(1,0,$N165,INT(EM$44-1-1),MIN($N165,INT(EM$44-1-1)+1),$DC165,IF($DD165="No",1,0))/
IF(DT165&gt;=INT($N165),$N165-INT($N165),1)))*
IF(EM$44=1,0,
IF(INT(DU165)=INT(DT165),DU165-DT165,INT(DU165)-DT165))+
IF($N165&lt;=1,
IF($N165&gt;0,1/$N165,0),VDB(1,0,$N165,INT(EM$44-1),MIN($N165,INT(EM$44-1)+1),$DC165,IF($DD165="No",1,0))/
IF(DU165&gt;INT($N165),$N165-INT($N165),1))*
IF(EM$44=1,DU165,
IF(INT(DU165)=INT(DT165),0,DU165-INT(DU165)))))</f>
        <v>0</v>
      </c>
      <c r="EN165" s="833"/>
      <c r="EO165" s="834">
        <f>+IF(OR(DW165=DV165,EO$44=1),0,
IF(AND(EO$44&gt;1,DW165=$N165),1-SUM($EN165:EN165),
IF($N165&lt;=1,
IF($N165&gt;0,1/$N165,0),
IF(EO$44=2,0,VDB(1,0,$N165,INT(EO$44-2-1),MIN($N165,INT(EO$44-2-1)+1),$DC165,IF($DD165="No",1,0))/
IF(DV165&gt;=INT($N165),$N165-INT($N165),1)))*
IF(EO$44=2,0,
IF(INT(DW165)=INT(DV165),DW165-DV165,INT(DW165)-DV165))+
IF($N165&lt;=1,
IF($N165&gt;0,1/$N165,0),VDB(1,0,$N165,INT(EO$44-2),MIN($N165,INT(EO$44-2)+1),$DC165,IF($DD165="No",1,0))/
IF(DW165&gt;INT($N165),$N165-INT($N165),1))*
IF(EO$44=2,DW165,
IF(INT(DW165)=INT(DV165),0,DW165-INT(DW165)))))</f>
        <v>0</v>
      </c>
      <c r="EP165" s="835">
        <f>+IF(OR(DX165=DW165,EP$44=1),0,
IF(AND(EP$44&gt;1,DX165=$N165),1-SUM($EN165:EO165),
IF($N165&lt;=1,
IF($N165&gt;0,1/$N165,0),
IF(EP$44=2,0,VDB(1,0,$N165,INT(EP$44-2-1),MIN($N165,INT(EP$44-2-1)+1),$DC165,IF($DD165="No",1,0))/
IF(DW165&gt;=INT($N165),$N165-INT($N165),1)))*
IF(EP$44=2,0,
IF(INT(DX165)=INT(DW165),DX165-DW165,INT(DX165)-DW165))+
IF($N165&lt;=1,
IF($N165&gt;0,1/$N165,0),VDB(1,0,$N165,INT(EP$44-2),MIN($N165,INT(EP$44-2)+1),$DC165,IF($DD165="No",1,0))/
IF(DX165&gt;INT($N165),$N165-INT($N165),1))*
IF(EP$44=2,DX165,
IF(INT(DX165)=INT(DW165),0,DX165-INT(DX165)))))</f>
        <v>0</v>
      </c>
      <c r="EQ165" s="836">
        <f>+IF(OR(DY165=DX165,EQ$44=1),0,
IF(AND(EQ$44&gt;1,DY165=$N165),1-SUM($EN165:EP165),
IF($N165&lt;=1,
IF($N165&gt;0,1/$N165,0),
IF(EQ$44=2,0,VDB(1,0,$N165,INT(EQ$44-2-1),MIN($N165,INT(EQ$44-2-1)+1),$DC165,IF($DD165="No",1,0))/
IF(DX165&gt;=INT($N165),$N165-INT($N165),1)))*
IF(EQ$44=2,0,
IF(INT(DY165)=INT(DX165),DY165-DX165,INT(DY165)-DX165))+
IF($N165&lt;=1,
IF($N165&gt;0,1/$N165,0),VDB(1,0,$N165,INT(EQ$44-2),MIN($N165,INT(EQ$44-2)+1),$DC165,IF($DD165="No",1,0))/
IF(DY165&gt;INT($N165),$N165-INT($N165),1))*
IF(EQ$44=2,DY165,
IF(INT(DY165)=INT(DX165),0,DY165-INT(DY165)))))</f>
        <v>0</v>
      </c>
      <c r="ER165" s="834">
        <f>+IF(OR(DZ165=DY165,ER$44=1),0,
IF(AND(ER$44&gt;1,DZ165=$N165),1-SUM($EN165:EQ165),
IF($N165&lt;=1,
IF($N165&gt;0,1/$N165,0),
IF(ER$44=2,0,VDB(1,0,$N165,INT(ER$44-2-1),MIN($N165,INT(ER$44-2-1)+1),$DC165,IF($DD165="No",1,0))/
IF(DY165&gt;=INT($N165),$N165-INT($N165),1)))*
IF(ER$44=2,0,
IF(INT(DZ165)=INT(DY165),DZ165-DY165,INT(DZ165)-DY165))+
IF($N165&lt;=1,
IF($N165&gt;0,1/$N165,0),VDB(1,0,$N165,INT(ER$44-2),MIN($N165,INT(ER$44-2)+1),$DC165,IF($DD165="No",1,0))/
IF(DZ165&gt;INT($N165),$N165-INT($N165),1))*
IF(ER$44=2,DZ165,
IF(INT(DZ165)=INT(DY165),0,DZ165-INT(DZ165)))))</f>
        <v>0</v>
      </c>
      <c r="ES165" s="835">
        <f>+IF(OR(EA165=DZ165,ES$44=1),0,
IF(AND(ES$44&gt;1,EA165=$N165),1-SUM($EN165:ER165),
IF($N165&lt;=1,
IF($N165&gt;0,1/$N165,0),
IF(ES$44=2,0,VDB(1,0,$N165,INT(ES$44-2-1),MIN($N165,INT(ES$44-2-1)+1),$DC165,IF($DD165="No",1,0))/
IF(DZ165&gt;=INT($N165),$N165-INT($N165),1)))*
IF(ES$44=2,0,
IF(INT(EA165)=INT(DZ165),EA165-DZ165,INT(EA165)-DZ165))+
IF($N165&lt;=1,
IF($N165&gt;0,1/$N165,0),VDB(1,0,$N165,INT(ES$44-2),MIN($N165,INT(ES$44-2)+1),$DC165,IF($DD165="No",1,0))/
IF(EA165&gt;INT($N165),$N165-INT($N165),1))*
IF(ES$44=2,EA165,
IF(INT(EA165)=INT(DZ165),0,EA165-INT(EA165)))))</f>
        <v>0</v>
      </c>
      <c r="ET165" s="835">
        <f>+IF(OR(EB165=EA165,ET$44=1),0,
IF(AND(ET$44&gt;1,EB165=$N165),1-SUM($EN165:ES165),
IF($N165&lt;=1,
IF($N165&gt;0,1/$N165,0),
IF(ET$44=2,0,VDB(1,0,$N165,INT(ET$44-2-1),MIN($N165,INT(ET$44-2-1)+1),$DC165,IF($DD165="No",1,0))/
IF(EA165&gt;=INT($N165),$N165-INT($N165),1)))*
IF(ET$44=2,0,
IF(INT(EB165)=INT(EA165),EB165-EA165,INT(EB165)-EA165))+
IF($N165&lt;=1,
IF($N165&gt;0,1/$N165,0),VDB(1,0,$N165,INT(ET$44-2),MIN($N165,INT(ET$44-2)+1),$DC165,IF($DD165="No",1,0))/
IF(EB165&gt;INT($N165),$N165-INT($N165),1))*
IF(ET$44=2,EB165,
IF(INT(EB165)=INT(EA165),0,EB165-INT(EB165)))))</f>
        <v>0</v>
      </c>
      <c r="EU165" s="835">
        <f>+IF(OR(EC165=EB165,EU$44=1),0,
IF(AND(EU$44&gt;1,EC165=$N165),1-SUM($EN165:ET165),
IF($N165&lt;=1,
IF($N165&gt;0,1/$N165,0),
IF(EU$44=2,0,VDB(1,0,$N165,INT(EU$44-2-1),MIN($N165,INT(EU$44-2-1)+1),$DC165,IF($DD165="No",1,0))/
IF(EB165&gt;=INT($N165),$N165-INT($N165),1)))*
IF(EU$44=2,0,
IF(INT(EC165)=INT(EB165),EC165-EB165,INT(EC165)-EB165))+
IF($N165&lt;=1,
IF($N165&gt;0,1/$N165,0),VDB(1,0,$N165,INT(EU$44-2),MIN($N165,INT(EU$44-2)+1),$DC165,IF($DD165="No",1,0))/
IF(EC165&gt;INT($N165),$N165-INT($N165),1))*
IF(EU$44=2,EC165,
IF(INT(EC165)=INT(EB165),0,EC165-INT(EC165)))))</f>
        <v>0</v>
      </c>
      <c r="EV165" s="836">
        <f>+IF(OR(ED165=EC165,EV$44=1),0,
IF(AND(EV$44&gt;1,ED165=$N165),1-SUM($EN165:EU165),
IF($N165&lt;=1,
IF($N165&gt;0,1/$N165,0),
IF(EV$44=2,0,VDB(1,0,$N165,INT(EV$44-2-1),MIN($N165,INT(EV$44-2-1)+1),$DC165,IF($DD165="No",1,0))/
IF(EC165&gt;=INT($N165),$N165-INT($N165),1)))*
IF(EV$44=2,0,
IF(INT(ED165)=INT(EC165),ED165-EC165,INT(ED165)-EC165))+
IF($N165&lt;=1,
IF($N165&gt;0,1/$N165,0),VDB(1,0,$N165,INT(EV$44-2),MIN($N165,INT(EV$44-2)+1),$DC165,IF($DD165="No",1,0))/
IF(ED165&gt;INT($N165),$N165-INT($N165),1))*
IF(EV$44=2,ED165,
IF(INT(ED165)=INT(EC165),0,ED165-INT(ED165)))))</f>
        <v>0</v>
      </c>
      <c r="EW165" s="833"/>
      <c r="EX165" s="834">
        <f t="shared" ca="1" si="350"/>
        <v>0</v>
      </c>
      <c r="EY165" s="835">
        <f t="shared" ca="1" si="350"/>
        <v>0</v>
      </c>
      <c r="EZ165" s="836">
        <f t="shared" ca="1" si="350"/>
        <v>0</v>
      </c>
      <c r="FA165" s="834">
        <f t="shared" ca="1" si="350"/>
        <v>0</v>
      </c>
      <c r="FB165" s="835">
        <f t="shared" ca="1" si="350"/>
        <v>0</v>
      </c>
      <c r="FC165" s="835">
        <f t="shared" ca="1" si="350"/>
        <v>0</v>
      </c>
      <c r="FD165" s="835">
        <f t="shared" ca="1" si="350"/>
        <v>0</v>
      </c>
      <c r="FE165" s="836">
        <f t="shared" ca="1" si="350"/>
        <v>0</v>
      </c>
      <c r="FG165" s="386">
        <f t="shared" ca="1" si="351"/>
        <v>0</v>
      </c>
      <c r="FH165" s="387">
        <f t="shared" ca="1" si="352"/>
        <v>0</v>
      </c>
      <c r="FI165" s="388">
        <f t="shared" ca="1" si="353"/>
        <v>0</v>
      </c>
      <c r="FJ165" s="386">
        <f t="shared" ca="1" si="354"/>
        <v>0</v>
      </c>
      <c r="FK165" s="387">
        <f t="shared" ca="1" si="355"/>
        <v>0</v>
      </c>
      <c r="FL165" s="387">
        <f t="shared" ca="1" si="356"/>
        <v>0</v>
      </c>
      <c r="FM165" s="387">
        <f t="shared" ca="1" si="357"/>
        <v>0</v>
      </c>
      <c r="FN165" s="388">
        <f t="shared" ca="1" si="358"/>
        <v>0</v>
      </c>
      <c r="FR165" s="116"/>
    </row>
    <row r="166" spans="2:174">
      <c r="B166" s="1410">
        <f t="shared" si="302"/>
        <v>120</v>
      </c>
      <c r="C166" s="400" t="s">
        <v>677</v>
      </c>
      <c r="D166" s="410"/>
      <c r="E166" s="402" t="s">
        <v>402</v>
      </c>
      <c r="F166" s="402" t="s">
        <v>514</v>
      </c>
      <c r="G166" s="400" t="s">
        <v>437</v>
      </c>
      <c r="H166" s="2088" t="s">
        <v>483</v>
      </c>
      <c r="I166" s="2089"/>
      <c r="J166" s="411" t="s">
        <v>516</v>
      </c>
      <c r="K166" s="403" t="s">
        <v>544</v>
      </c>
      <c r="L166" s="403">
        <v>10</v>
      </c>
      <c r="M166" s="403" t="s">
        <v>142</v>
      </c>
      <c r="N166" s="403"/>
      <c r="O166" s="347"/>
      <c r="P166" s="347"/>
      <c r="Q166" s="1021">
        <v>6.4798646757305116</v>
      </c>
      <c r="R166" s="1022">
        <v>8.2558922469841036</v>
      </c>
      <c r="S166" s="1022">
        <v>7.6861105701338328</v>
      </c>
      <c r="T166" s="1022">
        <v>7.6861106106196493</v>
      </c>
      <c r="U166" s="1023">
        <v>7.9989316936688333</v>
      </c>
      <c r="V166" s="1021">
        <v>15.548014320029253</v>
      </c>
      <c r="W166" s="1022">
        <v>15.548014334879324</v>
      </c>
      <c r="X166" s="1022">
        <v>15.548014327452</v>
      </c>
      <c r="Y166" s="1022">
        <v>15.548014337203025</v>
      </c>
      <c r="Z166" s="1023">
        <v>15.548014326206122</v>
      </c>
      <c r="AA166" s="1024"/>
      <c r="AB166" s="1021">
        <v>0</v>
      </c>
      <c r="AC166" s="1022">
        <v>0</v>
      </c>
      <c r="AD166" s="1022">
        <v>0</v>
      </c>
      <c r="AE166" s="1022">
        <v>0</v>
      </c>
      <c r="AF166" s="1023">
        <v>0</v>
      </c>
      <c r="AG166" s="1021">
        <v>0</v>
      </c>
      <c r="AH166" s="1022">
        <v>0</v>
      </c>
      <c r="AI166" s="1022">
        <v>0</v>
      </c>
      <c r="AJ166" s="1022">
        <v>0</v>
      </c>
      <c r="AK166" s="1023">
        <v>0</v>
      </c>
      <c r="AL166" s="1024"/>
      <c r="AM166" s="1021">
        <v>0</v>
      </c>
      <c r="AN166" s="1022">
        <v>0</v>
      </c>
      <c r="AO166" s="1022">
        <v>0</v>
      </c>
      <c r="AP166" s="1022">
        <v>0</v>
      </c>
      <c r="AQ166" s="1023">
        <v>0</v>
      </c>
      <c r="AR166" s="1021">
        <v>0</v>
      </c>
      <c r="AS166" s="1022">
        <v>0</v>
      </c>
      <c r="AT166" s="1022">
        <v>0</v>
      </c>
      <c r="AU166" s="1022">
        <v>0</v>
      </c>
      <c r="AV166" s="1023">
        <v>0</v>
      </c>
      <c r="AW166" s="1025"/>
      <c r="AX166" s="1282">
        <f t="shared" si="304"/>
        <v>6.4798646757305116</v>
      </c>
      <c r="AY166" s="387">
        <f t="shared" si="305"/>
        <v>8.2558922469841036</v>
      </c>
      <c r="AZ166" s="387">
        <f t="shared" si="306"/>
        <v>7.6861105701338328</v>
      </c>
      <c r="BA166" s="387">
        <f t="shared" si="307"/>
        <v>7.6861106106196493</v>
      </c>
      <c r="BB166" s="1283">
        <f t="shared" si="308"/>
        <v>7.9989316936688333</v>
      </c>
      <c r="BC166" s="386">
        <f t="shared" si="309"/>
        <v>15.548014320029253</v>
      </c>
      <c r="BD166" s="387">
        <f t="shared" si="310"/>
        <v>15.548014334879324</v>
      </c>
      <c r="BE166" s="1277">
        <f t="shared" si="311"/>
        <v>15.548014327452</v>
      </c>
      <c r="BF166" s="1277">
        <f t="shared" si="312"/>
        <v>15.548014337203025</v>
      </c>
      <c r="BG166" s="388">
        <f t="shared" si="313"/>
        <v>15.548014326206122</v>
      </c>
      <c r="BH166" s="1025"/>
      <c r="BI166" s="1282">
        <f t="shared" ca="1" si="314"/>
        <v>0.32399323378652556</v>
      </c>
      <c r="BJ166" s="387">
        <f t="shared" ca="1" si="315"/>
        <v>1.0607810799222563</v>
      </c>
      <c r="BK166" s="387">
        <f t="shared" ca="1" si="316"/>
        <v>1.857881220778153</v>
      </c>
      <c r="BL166" s="387">
        <f t="shared" ca="1" si="317"/>
        <v>2.6264922798158277</v>
      </c>
      <c r="BM166" s="1283">
        <f t="shared" ca="1" si="318"/>
        <v>3.4107443950302514</v>
      </c>
      <c r="BN166" s="386">
        <f t="shared" ca="1" si="319"/>
        <v>4.5880916957151561</v>
      </c>
      <c r="BO166" s="387">
        <f t="shared" ca="1" si="320"/>
        <v>6.1428931284605852</v>
      </c>
      <c r="BP166" s="1277">
        <f t="shared" ca="1" si="321"/>
        <v>7.6976945615771513</v>
      </c>
      <c r="BQ166" s="1277">
        <f t="shared" ca="1" si="322"/>
        <v>9.2524959948099035</v>
      </c>
      <c r="BR166" s="388">
        <f t="shared" ca="1" si="323"/>
        <v>10.807297427980359</v>
      </c>
      <c r="BS166" s="1025"/>
      <c r="BT166" s="1282">
        <f>+IF($K166="Ongoing",AX166,IF(RIGHT($K166,2)=RIGHT(BT$43,2),SUM($AX166:AX166),0)+IF(RIGHT(BT$43,2)&gt;RIGHT($K166,2),AX166,0))</f>
        <v>6.4798646757305116</v>
      </c>
      <c r="BU166" s="387">
        <f>+IF($K166="Ongoing",AY166,IF(RIGHT($K166,2)=RIGHT(BU$43,2),SUM($AX166:AY166),0)+IF(RIGHT(BU$43,2)&gt;RIGHT($K166,2),AY166,0))</f>
        <v>8.2558922469841036</v>
      </c>
      <c r="BV166" s="387">
        <f>+IF($K166="Ongoing",AZ166,IF(RIGHT($K166,2)=RIGHT(BV$43,2),SUM($AX166:AZ166),0)+IF(RIGHT(BV$43,2)&gt;RIGHT($K166,2),AZ166,0))</f>
        <v>7.6861105701338328</v>
      </c>
      <c r="BW166" s="387">
        <f>+IF($K166="Ongoing",BA166,IF(RIGHT($K166,2)=RIGHT(BW$43,2),SUM($AX166:BA166),0)+IF(RIGHT(BW$43,2)&gt;RIGHT($K166,2),BA166,0))</f>
        <v>7.6861106106196493</v>
      </c>
      <c r="BX166" s="1283">
        <f>+IF($K166="Ongoing",BB166,IF(RIGHT($K166,2)=RIGHT(BX$43,2),SUM($AX166:BB166),0)+IF(RIGHT(BX$43,2)&gt;RIGHT($K166,2),BB166,0))</f>
        <v>7.9989316936688333</v>
      </c>
      <c r="BY166" s="386">
        <f>+IF($K166="Ongoing",BC166,IF(RIGHT($K166,2)=RIGHT(BY$43,2),SUM($AX166:BC166),0)+IF(RIGHT(BY$43,2)&gt;RIGHT($K166,2),BC166,0))</f>
        <v>15.548014320029253</v>
      </c>
      <c r="BZ166" s="387">
        <f>+IF($K166="Ongoing",BD166,IF(RIGHT($K166,2)=RIGHT(BZ$43,2),SUM($AX166:BD166),0)+IF(RIGHT(BZ$43,2)&gt;RIGHT($K166,2),BD166,0))</f>
        <v>15.548014334879324</v>
      </c>
      <c r="CA166" s="1277">
        <f>+IF($K166="Ongoing",BE166,IF(RIGHT($K166,2)=RIGHT(CA$43,2),SUM($AX166:BE166),0)+IF(RIGHT(CA$43,2)&gt;RIGHT($K166,2),BE166,0))</f>
        <v>15.548014327452</v>
      </c>
      <c r="CB166" s="1277">
        <f>+IF($K166="Ongoing",BF166,IF(RIGHT($K166,2)=RIGHT(CB$43,2),SUM($AX166:BF166),0)+IF(RIGHT(CB$43,2)&gt;RIGHT($K166,2),BF166,0))</f>
        <v>15.548014337203025</v>
      </c>
      <c r="CC166" s="388">
        <f>+IF($K166="Ongoing",BG166,IF(RIGHT($K166,2)=RIGHT(CC$43,2),SUM($AX166:BG166),0)+IF(RIGHT(CC$43,2)&gt;RIGHT($K166,2),BG166,0))</f>
        <v>15.548014326206122</v>
      </c>
      <c r="CD166" s="1025"/>
      <c r="CE166" s="1282">
        <f>+Q166*KeyAssumptionsPriceControl_FO!AF$15</f>
        <v>6.6677807513266956</v>
      </c>
      <c r="CF166" s="387">
        <f>+R166*KeyAssumptionsPriceControl_FO!AG$15</f>
        <v>8.7416772026888943</v>
      </c>
      <c r="CG166" s="387">
        <f>+S166*KeyAssumptionsPriceControl_FO!AH$15</f>
        <v>8.3743817032546168</v>
      </c>
      <c r="CH166" s="387">
        <f>+T166*KeyAssumptionsPriceControl_FO!AI$15</f>
        <v>8.6172388180394428</v>
      </c>
      <c r="CI166" s="1283">
        <f>+U166*KeyAssumptionsPriceControl_FO!AJ$15</f>
        <v>9.2280271157746512</v>
      </c>
      <c r="CJ166" s="386">
        <f>+V166*KeyAssumptionsPriceControl_FO!AK$15</f>
        <v>18.457257897707425</v>
      </c>
      <c r="CK166" s="387">
        <f>+W166*KeyAssumptionsPriceControl_FO!AL$15</f>
        <v>18.992518394880893</v>
      </c>
      <c r="CL166" s="1277">
        <f>+X166*KeyAssumptionsPriceControl_FO!AM$15</f>
        <v>19.543301418996556</v>
      </c>
      <c r="CM166" s="1277">
        <f>+Y166*KeyAssumptionsPriceControl_FO!AN$15</f>
        <v>20.110057172759589</v>
      </c>
      <c r="CN166" s="388">
        <f>+Z166*KeyAssumptionsPriceControl_FO!AO$15</f>
        <v>20.693248816133558</v>
      </c>
      <c r="CO166" s="1025"/>
      <c r="CP166" s="1282">
        <f t="shared" ca="1" si="324"/>
        <v>0</v>
      </c>
      <c r="CQ166" s="387">
        <f t="shared" ca="1" si="325"/>
        <v>0</v>
      </c>
      <c r="CR166" s="387">
        <f t="shared" ca="1" si="326"/>
        <v>0</v>
      </c>
      <c r="CS166" s="387">
        <f t="shared" ca="1" si="327"/>
        <v>0</v>
      </c>
      <c r="CT166" s="1283">
        <f t="shared" ca="1" si="328"/>
        <v>0</v>
      </c>
      <c r="CU166" s="386">
        <f t="shared" ca="1" si="329"/>
        <v>0</v>
      </c>
      <c r="CV166" s="387">
        <f t="shared" ca="1" si="330"/>
        <v>0</v>
      </c>
      <c r="CW166" s="1277">
        <f t="shared" ca="1" si="331"/>
        <v>0</v>
      </c>
      <c r="CX166" s="1277">
        <f t="shared" ca="1" si="332"/>
        <v>0</v>
      </c>
      <c r="CY166" s="388">
        <f t="shared" ca="1" si="333"/>
        <v>0</v>
      </c>
      <c r="CZ166" s="347"/>
      <c r="DA166" s="852"/>
      <c r="DB166" s="347"/>
      <c r="DC166" s="1012" t="s">
        <v>680</v>
      </c>
      <c r="DD166" s="841" t="s">
        <v>518</v>
      </c>
      <c r="DE166" s="386">
        <f>+IF($K166="ongoing",CE166,IF(RIGHT($K166,2)=RIGHT(DE$43,2),SUM($CD166:CE166),0)+IF(RIGHT(DE$43,2)&gt;RIGHT($K166,2),CE166,0))</f>
        <v>6.6677807513266956</v>
      </c>
      <c r="DF166" s="387">
        <f>+IF($K166="ongoing",CF166,IF(RIGHT($K166,2)=RIGHT(DF$43,2),SUM($CD166:CF166),0)+IF(RIGHT(DF$43,2)&gt;RIGHT($K166,2),CF166,0))</f>
        <v>8.7416772026888943</v>
      </c>
      <c r="DG166" s="388">
        <f>+IF($K166="ongoing",CG166,IF(RIGHT($K166,2)=RIGHT(DG$43,2),SUM($CD166:CG166),0)+IF(RIGHT(DG$43,2)&gt;RIGHT($K166,2),CG166,0))</f>
        <v>8.3743817032546168</v>
      </c>
      <c r="DH166" s="386">
        <f>+IF($K166="ongoing",CH166,IF(RIGHT($K166,2)=RIGHT(DH$43,2),SUM($CD166:CH166),0)+IF(RIGHT(DH$43,2)&gt;RIGHT($K166,2),CH166,0))</f>
        <v>8.6172388180394428</v>
      </c>
      <c r="DI166" s="387">
        <f>+IF($K166="ongoing",CI166,IF(RIGHT($K166,2)=RIGHT(DI$43,2),SUM($CD166:CI166),0)+IF(RIGHT(DI$43,2)&gt;RIGHT($K166,2),CI166,0))</f>
        <v>9.2280271157746512</v>
      </c>
      <c r="DJ166" s="387">
        <f>+IF($K166="ongoing",CJ166,IF(RIGHT($K166,2)=RIGHT(DJ$43,2),SUM($CD166:CJ166),0)+IF(RIGHT(DJ$43,2)&gt;RIGHT($K166,2),CJ166,0))</f>
        <v>18.457257897707425</v>
      </c>
      <c r="DK166" s="387">
        <f>+IF($K166="ongoing",CK166,IF(RIGHT($K166,2)=RIGHT(DK$43,2),SUM($CD166:CK166),0)+IF(RIGHT(DK$43,2)&gt;RIGHT($K166,2),CK166,0))</f>
        <v>18.992518394880893</v>
      </c>
      <c r="DL166" s="388">
        <f>+IF($K166="ongoing",CN166,IF(RIGHT($K166,2)=RIGHT(DL$43,2),SUM($CD166:CN166),0)+IF(RIGHT(DL$43,2)&gt;RIGHT($K166,2),CN166,0))</f>
        <v>20.693248816133558</v>
      </c>
      <c r="DM166" s="841"/>
      <c r="DN166" s="386">
        <f t="shared" si="334"/>
        <v>0.5</v>
      </c>
      <c r="DO166" s="387">
        <f t="shared" si="335"/>
        <v>1</v>
      </c>
      <c r="DP166" s="388">
        <f t="shared" si="336"/>
        <v>1</v>
      </c>
      <c r="DQ166" s="386">
        <f t="shared" si="337"/>
        <v>1</v>
      </c>
      <c r="DR166" s="387">
        <f t="shared" si="338"/>
        <v>1</v>
      </c>
      <c r="DS166" s="387">
        <f t="shared" si="339"/>
        <v>1</v>
      </c>
      <c r="DT166" s="387">
        <f t="shared" si="340"/>
        <v>1</v>
      </c>
      <c r="DU166" s="388">
        <f t="shared" si="341"/>
        <v>1</v>
      </c>
      <c r="DW166" s="386">
        <f t="shared" si="342"/>
        <v>0</v>
      </c>
      <c r="DX166" s="387">
        <f t="shared" si="343"/>
        <v>0.5</v>
      </c>
      <c r="DY166" s="388">
        <f t="shared" si="344"/>
        <v>1</v>
      </c>
      <c r="DZ166" s="386">
        <f t="shared" si="345"/>
        <v>1</v>
      </c>
      <c r="EA166" s="387">
        <f t="shared" si="346"/>
        <v>1</v>
      </c>
      <c r="EB166" s="387">
        <f t="shared" si="347"/>
        <v>1</v>
      </c>
      <c r="EC166" s="387">
        <f t="shared" si="348"/>
        <v>1</v>
      </c>
      <c r="ED166" s="388">
        <f t="shared" si="349"/>
        <v>1</v>
      </c>
      <c r="EF166" s="834">
        <f>+IF(DN166=DM166,0,
IF(AND(EF$44&gt;1,DN166=$N166),1-SUM($EE166:EE166),
IF($N166&lt;=1,
IF($N166&gt;0,1/$N166,0),
IF(EF$44=1,0,VDB(1,0,$N166,INT(EF$44-1-1),MIN($N166,INT(EF$44-1-1)+1),$DC166,IF($DD166="No",1,0))/
IF(DM166&gt;=INT($N166),$N166-INT($N166),1)))*
IF(EF$44=1,0,
IF(INT(DN166)=INT(DM166),DN166-DM166,INT(DN166)-DM166))+
IF($N166&lt;=1,
IF($N166&gt;0,1/$N166,0),VDB(1,0,$N166,INT(EF$44-1),MIN($N166,INT(EF$44-1)+1),$DC166,IF($DD166="No",1,0))/
IF(DN166&gt;INT($N166),$N166-INT($N166),1))*
IF(EF$44=1,DN166,
IF(INT(DN166)=INT(DM166),0,DN166-INT(DN166)))))</f>
        <v>0</v>
      </c>
      <c r="EG166" s="835">
        <f>+IF(DO166=DN166,0,
IF(AND(EG$44&gt;1,DO166=$N166),1-SUM($EE166:EF166),
IF($N166&lt;=1,
IF($N166&gt;0,1/$N166,0),
IF(EG$44=1,0,VDB(1,0,$N166,INT(EG$44-1-1),MIN($N166,INT(EG$44-1-1)+1),$DC166,IF($DD166="No",1,0))/
IF(DN166&gt;=INT($N166),$N166-INT($N166),1)))*
IF(EG$44=1,0,
IF(INT(DO166)=INT(DN166),DO166-DN166,INT(DO166)-DN166))+
IF($N166&lt;=1,
IF($N166&gt;0,1/$N166,0),VDB(1,0,$N166,INT(EG$44-1),MIN($N166,INT(EG$44-1)+1),$DC166,IF($DD166="No",1,0))/
IF(DO166&gt;INT($N166),$N166-INT($N166),1))*
IF(EG$44=1,DO166,
IF(INT(DO166)=INT(DN166),0,DO166-INT(DO166)))))</f>
        <v>0</v>
      </c>
      <c r="EH166" s="836">
        <f>+IF(DP166=DO166,0,
IF(AND(EH$44&gt;1,DP166=$N166),1-SUM($EE166:EG166),
IF($N166&lt;=1,
IF($N166&gt;0,1/$N166,0),
IF(EH$44=1,0,VDB(1,0,$N166,INT(EH$44-1-1),MIN($N166,INT(EH$44-1-1)+1),$DC166,IF($DD166="No",1,0))/
IF(DO166&gt;=INT($N166),$N166-INT($N166),1)))*
IF(EH$44=1,0,
IF(INT(DP166)=INT(DO166),DP166-DO166,INT(DP166)-DO166))+
IF($N166&lt;=1,
IF($N166&gt;0,1/$N166,0),VDB(1,0,$N166,INT(EH$44-1),MIN($N166,INT(EH$44-1)+1),$DC166,IF($DD166="No",1,0))/
IF(DP166&gt;INT($N166),$N166-INT($N166),1))*
IF(EH$44=1,DP166,
IF(INT(DP166)=INT(DO166),0,DP166-INT(DP166)))))</f>
        <v>0</v>
      </c>
      <c r="EI166" s="834">
        <f>+IF(DQ166=DP166,0,
IF(AND(EI$44&gt;1,DQ166=$N166),1-SUM($EE166:EH166),
IF($N166&lt;=1,
IF($N166&gt;0,1/$N166,0),
IF(EI$44=1,0,VDB(1,0,$N166,INT(EI$44-1-1),MIN($N166,INT(EI$44-1-1)+1),$DC166,IF($DD166="No",1,0))/
IF(DP166&gt;=INT($N166),$N166-INT($N166),1)))*
IF(EI$44=1,0,
IF(INT(DQ166)=INT(DP166),DQ166-DP166,INT(DQ166)-DP166))+
IF($N166&lt;=1,
IF($N166&gt;0,1/$N166,0),VDB(1,0,$N166,INT(EI$44-1),MIN($N166,INT(EI$44-1)+1),$DC166,IF($DD166="No",1,0))/
IF(DQ166&gt;INT($N166),$N166-INT($N166),1))*
IF(EI$44=1,DQ166,
IF(INT(DQ166)=INT(DP166),0,DQ166-INT(DQ166)))))</f>
        <v>0</v>
      </c>
      <c r="EJ166" s="835">
        <f>+IF(DR166=DQ166,0,
IF(AND(EJ$44&gt;1,DR166=$N166),1-SUM($EE166:EI166),
IF($N166&lt;=1,
IF($N166&gt;0,1/$N166,0),
IF(EJ$44=1,0,VDB(1,0,$N166,INT(EJ$44-1-1),MIN($N166,INT(EJ$44-1-1)+1),$DC166,IF($DD166="No",1,0))/
IF(DQ166&gt;=INT($N166),$N166-INT($N166),1)))*
IF(EJ$44=1,0,
IF(INT(DR166)=INT(DQ166),DR166-DQ166,INT(DR166)-DQ166))+
IF($N166&lt;=1,
IF($N166&gt;0,1/$N166,0),VDB(1,0,$N166,INT(EJ$44-1),MIN($N166,INT(EJ$44-1)+1),$DC166,IF($DD166="No",1,0))/
IF(DR166&gt;INT($N166),$N166-INT($N166),1))*
IF(EJ$44=1,DR166,
IF(INT(DR166)=INT(DQ166),0,DR166-INT(DR166)))))</f>
        <v>0</v>
      </c>
      <c r="EK166" s="835">
        <f>+IF(DS166=DR166,0,
IF(AND(EK$44&gt;1,DS166=$N166),1-SUM($EE166:EJ166),
IF($N166&lt;=1,
IF($N166&gt;0,1/$N166,0),
IF(EK$44=1,0,VDB(1,0,$N166,INT(EK$44-1-1),MIN($N166,INT(EK$44-1-1)+1),$DC166,IF($DD166="No",1,0))/
IF(DR166&gt;=INT($N166),$N166-INT($N166),1)))*
IF(EK$44=1,0,
IF(INT(DS166)=INT(DR166),DS166-DR166,INT(DS166)-DR166))+
IF($N166&lt;=1,
IF($N166&gt;0,1/$N166,0),VDB(1,0,$N166,INT(EK$44-1),MIN($N166,INT(EK$44-1)+1),$DC166,IF($DD166="No",1,0))/
IF(DS166&gt;INT($N166),$N166-INT($N166),1))*
IF(EK$44=1,DS166,
IF(INT(DS166)=INT(DR166),0,DS166-INT(DS166)))))</f>
        <v>0</v>
      </c>
      <c r="EL166" s="835">
        <f>+IF(DT166=DS166,0,
IF(AND(EL$44&gt;1,DT166=$N166),1-SUM($EE166:EK166),
IF($N166&lt;=1,
IF($N166&gt;0,1/$N166,0),
IF(EL$44=1,0,VDB(1,0,$N166,INT(EL$44-1-1),MIN($N166,INT(EL$44-1-1)+1),$DC166,IF($DD166="No",1,0))/
IF(DS166&gt;=INT($N166),$N166-INT($N166),1)))*
IF(EL$44=1,0,
IF(INT(DT166)=INT(DS166),DT166-DS166,INT(DT166)-DS166))+
IF($N166&lt;=1,
IF($N166&gt;0,1/$N166,0),VDB(1,0,$N166,INT(EL$44-1),MIN($N166,INT(EL$44-1)+1),$DC166,IF($DD166="No",1,0))/
IF(DT166&gt;INT($N166),$N166-INT($N166),1))*
IF(EL$44=1,DT166,
IF(INT(DT166)=INT(DS166),0,DT166-INT(DT166)))))</f>
        <v>0</v>
      </c>
      <c r="EM166" s="836">
        <f>+IF(DU166=DT166,0,
IF(AND(EM$44&gt;1,DU166=$N166),1-SUM($EE166:EL166),
IF($N166&lt;=1,
IF($N166&gt;0,1/$N166,0),
IF(EM$44=1,0,VDB(1,0,$N166,INT(EM$44-1-1),MIN($N166,INT(EM$44-1-1)+1),$DC166,IF($DD166="No",1,0))/
IF(DT166&gt;=INT($N166),$N166-INT($N166),1)))*
IF(EM$44=1,0,
IF(INT(DU166)=INT(DT166),DU166-DT166,INT(DU166)-DT166))+
IF($N166&lt;=1,
IF($N166&gt;0,1/$N166,0),VDB(1,0,$N166,INT(EM$44-1),MIN($N166,INT(EM$44-1)+1),$DC166,IF($DD166="No",1,0))/
IF(DU166&gt;INT($N166),$N166-INT($N166),1))*
IF(EM$44=1,DU166,
IF(INT(DU166)=INT(DT166),0,DU166-INT(DU166)))))</f>
        <v>0</v>
      </c>
      <c r="EN166" s="833"/>
      <c r="EO166" s="834">
        <f>+IF(OR(DW166=DV166,EO$44=1),0,
IF(AND(EO$44&gt;1,DW166=$N166),1-SUM($EN166:EN166),
IF($N166&lt;=1,
IF($N166&gt;0,1/$N166,0),
IF(EO$44=2,0,VDB(1,0,$N166,INT(EO$44-2-1),MIN($N166,INT(EO$44-2-1)+1),$DC166,IF($DD166="No",1,0))/
IF(DV166&gt;=INT($N166),$N166-INT($N166),1)))*
IF(EO$44=2,0,
IF(INT(DW166)=INT(DV166),DW166-DV166,INT(DW166)-DV166))+
IF($N166&lt;=1,
IF($N166&gt;0,1/$N166,0),VDB(1,0,$N166,INT(EO$44-2),MIN($N166,INT(EO$44-2)+1),$DC166,IF($DD166="No",1,0))/
IF(DW166&gt;INT($N166),$N166-INT($N166),1))*
IF(EO$44=2,DW166,
IF(INT(DW166)=INT(DV166),0,DW166-INT(DW166)))))</f>
        <v>0</v>
      </c>
      <c r="EP166" s="835">
        <f>+IF(OR(DX166=DW166,EP$44=1),0,
IF(AND(EP$44&gt;1,DX166=$N166),1-SUM($EN166:EO166),
IF($N166&lt;=1,
IF($N166&gt;0,1/$N166,0),
IF(EP$44=2,0,VDB(1,0,$N166,INT(EP$44-2-1),MIN($N166,INT(EP$44-2-1)+1),$DC166,IF($DD166="No",1,0))/
IF(DW166&gt;=INT($N166),$N166-INT($N166),1)))*
IF(EP$44=2,0,
IF(INT(DX166)=INT(DW166),DX166-DW166,INT(DX166)-DW166))+
IF($N166&lt;=1,
IF($N166&gt;0,1/$N166,0),VDB(1,0,$N166,INT(EP$44-2),MIN($N166,INT(EP$44-2)+1),$DC166,IF($DD166="No",1,0))/
IF(DX166&gt;INT($N166),$N166-INT($N166),1))*
IF(EP$44=2,DX166,
IF(INT(DX166)=INT(DW166),0,DX166-INT(DX166)))))</f>
        <v>0</v>
      </c>
      <c r="EQ166" s="836">
        <f>+IF(OR(DY166=DX166,EQ$44=1),0,
IF(AND(EQ$44&gt;1,DY166=$N166),1-SUM($EN166:EP166),
IF($N166&lt;=1,
IF($N166&gt;0,1/$N166,0),
IF(EQ$44=2,0,VDB(1,0,$N166,INT(EQ$44-2-1),MIN($N166,INT(EQ$44-2-1)+1),$DC166,IF($DD166="No",1,0))/
IF(DX166&gt;=INT($N166),$N166-INT($N166),1)))*
IF(EQ$44=2,0,
IF(INT(DY166)=INT(DX166),DY166-DX166,INT(DY166)-DX166))+
IF($N166&lt;=1,
IF($N166&gt;0,1/$N166,0),VDB(1,0,$N166,INT(EQ$44-2),MIN($N166,INT(EQ$44-2)+1),$DC166,IF($DD166="No",1,0))/
IF(DY166&gt;INT($N166),$N166-INT($N166),1))*
IF(EQ$44=2,DY166,
IF(INT(DY166)=INT(DX166),0,DY166-INT(DY166)))))</f>
        <v>0</v>
      </c>
      <c r="ER166" s="834">
        <f>+IF(OR(DZ166=DY166,ER$44=1),0,
IF(AND(ER$44&gt;1,DZ166=$N166),1-SUM($EN166:EQ166),
IF($N166&lt;=1,
IF($N166&gt;0,1/$N166,0),
IF(ER$44=2,0,VDB(1,0,$N166,INT(ER$44-2-1),MIN($N166,INT(ER$44-2-1)+1),$DC166,IF($DD166="No",1,0))/
IF(DY166&gt;=INT($N166),$N166-INT($N166),1)))*
IF(ER$44=2,0,
IF(INT(DZ166)=INT(DY166),DZ166-DY166,INT(DZ166)-DY166))+
IF($N166&lt;=1,
IF($N166&gt;0,1/$N166,0),VDB(1,0,$N166,INT(ER$44-2),MIN($N166,INT(ER$44-2)+1),$DC166,IF($DD166="No",1,0))/
IF(DZ166&gt;INT($N166),$N166-INT($N166),1))*
IF(ER$44=2,DZ166,
IF(INT(DZ166)=INT(DY166),0,DZ166-INT(DZ166)))))</f>
        <v>0</v>
      </c>
      <c r="ES166" s="835">
        <f>+IF(OR(EA166=DZ166,ES$44=1),0,
IF(AND(ES$44&gt;1,EA166=$N166),1-SUM($EN166:ER166),
IF($N166&lt;=1,
IF($N166&gt;0,1/$N166,0),
IF(ES$44=2,0,VDB(1,0,$N166,INT(ES$44-2-1),MIN($N166,INT(ES$44-2-1)+1),$DC166,IF($DD166="No",1,0))/
IF(DZ166&gt;=INT($N166),$N166-INT($N166),1)))*
IF(ES$44=2,0,
IF(INT(EA166)=INT(DZ166),EA166-DZ166,INT(EA166)-DZ166))+
IF($N166&lt;=1,
IF($N166&gt;0,1/$N166,0),VDB(1,0,$N166,INT(ES$44-2),MIN($N166,INT(ES$44-2)+1),$DC166,IF($DD166="No",1,0))/
IF(EA166&gt;INT($N166),$N166-INT($N166),1))*
IF(ES$44=2,EA166,
IF(INT(EA166)=INT(DZ166),0,EA166-INT(EA166)))))</f>
        <v>0</v>
      </c>
      <c r="ET166" s="835">
        <f>+IF(OR(EB166=EA166,ET$44=1),0,
IF(AND(ET$44&gt;1,EB166=$N166),1-SUM($EN166:ES166),
IF($N166&lt;=1,
IF($N166&gt;0,1/$N166,0),
IF(ET$44=2,0,VDB(1,0,$N166,INT(ET$44-2-1),MIN($N166,INT(ET$44-2-1)+1),$DC166,IF($DD166="No",1,0))/
IF(EA166&gt;=INT($N166),$N166-INT($N166),1)))*
IF(ET$44=2,0,
IF(INT(EB166)=INT(EA166),EB166-EA166,INT(EB166)-EA166))+
IF($N166&lt;=1,
IF($N166&gt;0,1/$N166,0),VDB(1,0,$N166,INT(ET$44-2),MIN($N166,INT(ET$44-2)+1),$DC166,IF($DD166="No",1,0))/
IF(EB166&gt;INT($N166),$N166-INT($N166),1))*
IF(ET$44=2,EB166,
IF(INT(EB166)=INT(EA166),0,EB166-INT(EB166)))))</f>
        <v>0</v>
      </c>
      <c r="EU166" s="835">
        <f>+IF(OR(EC166=EB166,EU$44=1),0,
IF(AND(EU$44&gt;1,EC166=$N166),1-SUM($EN166:ET166),
IF($N166&lt;=1,
IF($N166&gt;0,1/$N166,0),
IF(EU$44=2,0,VDB(1,0,$N166,INT(EU$44-2-1),MIN($N166,INT(EU$44-2-1)+1),$DC166,IF($DD166="No",1,0))/
IF(EB166&gt;=INT($N166),$N166-INT($N166),1)))*
IF(EU$44=2,0,
IF(INT(EC166)=INT(EB166),EC166-EB166,INT(EC166)-EB166))+
IF($N166&lt;=1,
IF($N166&gt;0,1/$N166,0),VDB(1,0,$N166,INT(EU$44-2),MIN($N166,INT(EU$44-2)+1),$DC166,IF($DD166="No",1,0))/
IF(EC166&gt;INT($N166),$N166-INT($N166),1))*
IF(EU$44=2,EC166,
IF(INT(EC166)=INT(EB166),0,EC166-INT(EC166)))))</f>
        <v>0</v>
      </c>
      <c r="EV166" s="836">
        <f>+IF(OR(ED166=EC166,EV$44=1),0,
IF(AND(EV$44&gt;1,ED166=$N166),1-SUM($EN166:EU166),
IF($N166&lt;=1,
IF($N166&gt;0,1/$N166,0),
IF(EV$44=2,0,VDB(1,0,$N166,INT(EV$44-2-1),MIN($N166,INT(EV$44-2-1)+1),$DC166,IF($DD166="No",1,0))/
IF(EC166&gt;=INT($N166),$N166-INT($N166),1)))*
IF(EV$44=2,0,
IF(INT(ED166)=INT(EC166),ED166-EC166,INT(ED166)-EC166))+
IF($N166&lt;=1,
IF($N166&gt;0,1/$N166,0),VDB(1,0,$N166,INT(EV$44-2),MIN($N166,INT(EV$44-2)+1),$DC166,IF($DD166="No",1,0))/
IF(ED166&gt;INT($N166),$N166-INT($N166),1))*
IF(EV$44=2,ED166,
IF(INT(ED166)=INT(EC166),0,ED166-INT(ED166)))))</f>
        <v>0</v>
      </c>
      <c r="EW166" s="833"/>
      <c r="EX166" s="834">
        <f t="shared" ca="1" si="350"/>
        <v>0</v>
      </c>
      <c r="EY166" s="835">
        <f t="shared" ca="1" si="350"/>
        <v>0</v>
      </c>
      <c r="EZ166" s="836">
        <f t="shared" ca="1" si="350"/>
        <v>0</v>
      </c>
      <c r="FA166" s="834">
        <f t="shared" ca="1" si="350"/>
        <v>0</v>
      </c>
      <c r="FB166" s="835">
        <f t="shared" ca="1" si="350"/>
        <v>0</v>
      </c>
      <c r="FC166" s="835">
        <f t="shared" ca="1" si="350"/>
        <v>0</v>
      </c>
      <c r="FD166" s="835">
        <f t="shared" ca="1" si="350"/>
        <v>0</v>
      </c>
      <c r="FE166" s="836">
        <f t="shared" ca="1" si="350"/>
        <v>0</v>
      </c>
      <c r="FG166" s="386">
        <f t="shared" ca="1" si="351"/>
        <v>0</v>
      </c>
      <c r="FH166" s="387">
        <f t="shared" ca="1" si="352"/>
        <v>0</v>
      </c>
      <c r="FI166" s="388">
        <f t="shared" ca="1" si="353"/>
        <v>0</v>
      </c>
      <c r="FJ166" s="386">
        <f t="shared" ca="1" si="354"/>
        <v>0</v>
      </c>
      <c r="FK166" s="387">
        <f t="shared" ca="1" si="355"/>
        <v>0</v>
      </c>
      <c r="FL166" s="387">
        <f t="shared" ca="1" si="356"/>
        <v>0</v>
      </c>
      <c r="FM166" s="387">
        <f t="shared" ca="1" si="357"/>
        <v>0</v>
      </c>
      <c r="FN166" s="388">
        <f t="shared" ca="1" si="358"/>
        <v>0</v>
      </c>
      <c r="FR166" s="116"/>
    </row>
    <row r="167" spans="2:174">
      <c r="B167" s="1410">
        <f t="shared" si="302"/>
        <v>121</v>
      </c>
      <c r="C167" s="400" t="s">
        <v>677</v>
      </c>
      <c r="D167" s="410"/>
      <c r="E167" s="402" t="s">
        <v>401</v>
      </c>
      <c r="F167" s="402" t="s">
        <v>514</v>
      </c>
      <c r="G167" s="400" t="s">
        <v>437</v>
      </c>
      <c r="H167" s="2088" t="s">
        <v>483</v>
      </c>
      <c r="I167" s="2089"/>
      <c r="J167" s="411" t="s">
        <v>516</v>
      </c>
      <c r="K167" s="403" t="s">
        <v>544</v>
      </c>
      <c r="L167" s="403">
        <v>10</v>
      </c>
      <c r="M167" s="403" t="s">
        <v>142</v>
      </c>
      <c r="N167" s="403"/>
      <c r="O167" s="347"/>
      <c r="P167" s="347"/>
      <c r="Q167" s="1021">
        <v>4.8740661914215053</v>
      </c>
      <c r="R167" s="1022">
        <v>6.2099700062806775</v>
      </c>
      <c r="S167" s="1022">
        <v>5.7813879684444816</v>
      </c>
      <c r="T167" s="1022">
        <v>5.7813879988973627</v>
      </c>
      <c r="U167" s="1023">
        <v>6.0166877684379978</v>
      </c>
      <c r="V167" s="1021">
        <v>11.695005178861805</v>
      </c>
      <c r="W167" s="1022">
        <v>11.695005190031827</v>
      </c>
      <c r="X167" s="1022">
        <v>11.695005184445092</v>
      </c>
      <c r="Y167" s="1022">
        <v>11.69500519177968</v>
      </c>
      <c r="Z167" s="1023">
        <v>11.695005183507963</v>
      </c>
      <c r="AA167" s="1024"/>
      <c r="AB167" s="1021">
        <v>0</v>
      </c>
      <c r="AC167" s="1022">
        <v>0</v>
      </c>
      <c r="AD167" s="1022">
        <v>0</v>
      </c>
      <c r="AE167" s="1022">
        <v>0</v>
      </c>
      <c r="AF167" s="1023">
        <v>0</v>
      </c>
      <c r="AG167" s="1021">
        <v>0</v>
      </c>
      <c r="AH167" s="1022">
        <v>0</v>
      </c>
      <c r="AI167" s="1022">
        <v>0</v>
      </c>
      <c r="AJ167" s="1022">
        <v>0</v>
      </c>
      <c r="AK167" s="1023">
        <v>0</v>
      </c>
      <c r="AL167" s="1024"/>
      <c r="AM167" s="1021">
        <v>0</v>
      </c>
      <c r="AN167" s="1022">
        <v>0</v>
      </c>
      <c r="AO167" s="1022">
        <v>0</v>
      </c>
      <c r="AP167" s="1022">
        <v>0</v>
      </c>
      <c r="AQ167" s="1023">
        <v>0</v>
      </c>
      <c r="AR167" s="1021">
        <v>0</v>
      </c>
      <c r="AS167" s="1022">
        <v>0</v>
      </c>
      <c r="AT167" s="1022">
        <v>0</v>
      </c>
      <c r="AU167" s="1022">
        <v>0</v>
      </c>
      <c r="AV167" s="1023">
        <v>0</v>
      </c>
      <c r="AW167" s="1025"/>
      <c r="AX167" s="1282">
        <f t="shared" si="304"/>
        <v>4.8740661914215053</v>
      </c>
      <c r="AY167" s="387">
        <f t="shared" si="305"/>
        <v>6.2099700062806775</v>
      </c>
      <c r="AZ167" s="387">
        <f t="shared" si="306"/>
        <v>5.7813879684444816</v>
      </c>
      <c r="BA167" s="387">
        <f t="shared" si="307"/>
        <v>5.7813879988973627</v>
      </c>
      <c r="BB167" s="1283">
        <f t="shared" si="308"/>
        <v>6.0166877684379978</v>
      </c>
      <c r="BC167" s="386">
        <f t="shared" si="309"/>
        <v>11.695005178861805</v>
      </c>
      <c r="BD167" s="387">
        <f t="shared" si="310"/>
        <v>11.695005190031827</v>
      </c>
      <c r="BE167" s="1277">
        <f t="shared" si="311"/>
        <v>11.695005184445092</v>
      </c>
      <c r="BF167" s="1277">
        <f t="shared" si="312"/>
        <v>11.69500519177968</v>
      </c>
      <c r="BG167" s="388">
        <f t="shared" si="313"/>
        <v>11.695005183507963</v>
      </c>
      <c r="BH167" s="1025"/>
      <c r="BI167" s="1282">
        <f t="shared" ca="1" si="314"/>
        <v>0.24370330957107528</v>
      </c>
      <c r="BJ167" s="387">
        <f t="shared" ca="1" si="315"/>
        <v>0.79790511945618436</v>
      </c>
      <c r="BK167" s="387">
        <f t="shared" ca="1" si="316"/>
        <v>1.3974730181924424</v>
      </c>
      <c r="BL167" s="387">
        <f t="shared" ca="1" si="317"/>
        <v>1.9756118165595344</v>
      </c>
      <c r="BM167" s="1283">
        <f t="shared" ca="1" si="318"/>
        <v>2.5655156049263024</v>
      </c>
      <c r="BN167" s="386">
        <f t="shared" ca="1" si="319"/>
        <v>3.4511002522912926</v>
      </c>
      <c r="BO167" s="387">
        <f t="shared" ca="1" si="320"/>
        <v>4.6206007707359742</v>
      </c>
      <c r="BP167" s="1277">
        <f t="shared" ca="1" si="321"/>
        <v>5.7901012894598205</v>
      </c>
      <c r="BQ167" s="1277">
        <f t="shared" ca="1" si="322"/>
        <v>6.9596018082710591</v>
      </c>
      <c r="BR167" s="388">
        <f t="shared" ca="1" si="323"/>
        <v>8.1291023270354419</v>
      </c>
      <c r="BS167" s="1025"/>
      <c r="BT167" s="1282">
        <f>+IF($K167="Ongoing",AX167,IF(RIGHT($K167,2)=RIGHT(BT$43,2),SUM($AX167:AX167),0)+IF(RIGHT(BT$43,2)&gt;RIGHT($K167,2),AX167,0))</f>
        <v>4.8740661914215053</v>
      </c>
      <c r="BU167" s="387">
        <f>+IF($K167="Ongoing",AY167,IF(RIGHT($K167,2)=RIGHT(BU$43,2),SUM($AX167:AY167),0)+IF(RIGHT(BU$43,2)&gt;RIGHT($K167,2),AY167,0))</f>
        <v>6.2099700062806775</v>
      </c>
      <c r="BV167" s="387">
        <f>+IF($K167="Ongoing",AZ167,IF(RIGHT($K167,2)=RIGHT(BV$43,2),SUM($AX167:AZ167),0)+IF(RIGHT(BV$43,2)&gt;RIGHT($K167,2),AZ167,0))</f>
        <v>5.7813879684444816</v>
      </c>
      <c r="BW167" s="387">
        <f>+IF($K167="Ongoing",BA167,IF(RIGHT($K167,2)=RIGHT(BW$43,2),SUM($AX167:BA167),0)+IF(RIGHT(BW$43,2)&gt;RIGHT($K167,2),BA167,0))</f>
        <v>5.7813879988973627</v>
      </c>
      <c r="BX167" s="1283">
        <f>+IF($K167="Ongoing",BB167,IF(RIGHT($K167,2)=RIGHT(BX$43,2),SUM($AX167:BB167),0)+IF(RIGHT(BX$43,2)&gt;RIGHT($K167,2),BB167,0))</f>
        <v>6.0166877684379978</v>
      </c>
      <c r="BY167" s="386">
        <f>+IF($K167="Ongoing",BC167,IF(RIGHT($K167,2)=RIGHT(BY$43,2),SUM($AX167:BC167),0)+IF(RIGHT(BY$43,2)&gt;RIGHT($K167,2),BC167,0))</f>
        <v>11.695005178861805</v>
      </c>
      <c r="BZ167" s="387">
        <f>+IF($K167="Ongoing",BD167,IF(RIGHT($K167,2)=RIGHT(BZ$43,2),SUM($AX167:BD167),0)+IF(RIGHT(BZ$43,2)&gt;RIGHT($K167,2),BD167,0))</f>
        <v>11.695005190031827</v>
      </c>
      <c r="CA167" s="1277">
        <f>+IF($K167="Ongoing",BE167,IF(RIGHT($K167,2)=RIGHT(CA$43,2),SUM($AX167:BE167),0)+IF(RIGHT(CA$43,2)&gt;RIGHT($K167,2),BE167,0))</f>
        <v>11.695005184445092</v>
      </c>
      <c r="CB167" s="1277">
        <f>+IF($K167="Ongoing",BF167,IF(RIGHT($K167,2)=RIGHT(CB$43,2),SUM($AX167:BF167),0)+IF(RIGHT(CB$43,2)&gt;RIGHT($K167,2),BF167,0))</f>
        <v>11.69500519177968</v>
      </c>
      <c r="CC167" s="388">
        <f>+IF($K167="Ongoing",BG167,IF(RIGHT($K167,2)=RIGHT(CC$43,2),SUM($AX167:BG167),0)+IF(RIGHT(CC$43,2)&gt;RIGHT($K167,2),BG167,0))</f>
        <v>11.695005183507963</v>
      </c>
      <c r="CD167" s="1025"/>
      <c r="CE167" s="1282">
        <f>+Q167*KeyAssumptionsPriceControl_FO!AF$15</f>
        <v>5.0154141109727286</v>
      </c>
      <c r="CF167" s="387">
        <f>+R167*KeyAssumptionsPriceControl_FO!AG$15</f>
        <v>6.5753708514202387</v>
      </c>
      <c r="CG167" s="387">
        <f>+S167*KeyAssumptionsPriceControl_FO!AH$15</f>
        <v>6.2990961658146984</v>
      </c>
      <c r="CH167" s="387">
        <f>+T167*KeyAssumptionsPriceControl_FO!AI$15</f>
        <v>6.4817699887653974</v>
      </c>
      <c r="CI167" s="1283">
        <f>+U167*KeyAssumptionsPriceControl_FO!AJ$15</f>
        <v>6.9411966498278002</v>
      </c>
      <c r="CJ167" s="386">
        <f>+V167*KeyAssumptionsPriceControl_FO!AK$15</f>
        <v>13.883298680990036</v>
      </c>
      <c r="CK167" s="387">
        <f>+W167*KeyAssumptionsPriceControl_FO!AL$15</f>
        <v>14.285914356383371</v>
      </c>
      <c r="CL167" s="1277">
        <f>+X167*KeyAssumptionsPriceControl_FO!AM$15</f>
        <v>14.700205865696161</v>
      </c>
      <c r="CM167" s="1277">
        <f>+Y167*KeyAssumptionsPriceControl_FO!AN$15</f>
        <v>15.126511845288023</v>
      </c>
      <c r="CN167" s="388">
        <f>+Z167*KeyAssumptionsPriceControl_FO!AO$15</f>
        <v>15.565180677792336</v>
      </c>
      <c r="CO167" s="1025"/>
      <c r="CP167" s="1282">
        <f t="shared" ca="1" si="324"/>
        <v>0</v>
      </c>
      <c r="CQ167" s="387">
        <f t="shared" ca="1" si="325"/>
        <v>0</v>
      </c>
      <c r="CR167" s="387">
        <f t="shared" ca="1" si="326"/>
        <v>0</v>
      </c>
      <c r="CS167" s="387">
        <f t="shared" ca="1" si="327"/>
        <v>0</v>
      </c>
      <c r="CT167" s="1283">
        <f t="shared" ca="1" si="328"/>
        <v>0</v>
      </c>
      <c r="CU167" s="386">
        <f t="shared" ca="1" si="329"/>
        <v>0</v>
      </c>
      <c r="CV167" s="387">
        <f t="shared" ca="1" si="330"/>
        <v>0</v>
      </c>
      <c r="CW167" s="1277">
        <f t="shared" ca="1" si="331"/>
        <v>0</v>
      </c>
      <c r="CX167" s="1277">
        <f t="shared" ca="1" si="332"/>
        <v>0</v>
      </c>
      <c r="CY167" s="388">
        <f t="shared" ca="1" si="333"/>
        <v>0</v>
      </c>
      <c r="CZ167" s="347"/>
      <c r="DA167" s="852"/>
      <c r="DB167" s="347"/>
      <c r="DC167" s="1012" t="s">
        <v>681</v>
      </c>
      <c r="DD167" s="841" t="s">
        <v>518</v>
      </c>
      <c r="DE167" s="386">
        <f>+IF($K167="ongoing",CE167,IF(RIGHT($K167,2)=RIGHT(DE$43,2),SUM($CD167:CE167),0)+IF(RIGHT(DE$43,2)&gt;RIGHT($K167,2),CE167,0))</f>
        <v>5.0154141109727286</v>
      </c>
      <c r="DF167" s="387">
        <f>+IF($K167="ongoing",CF167,IF(RIGHT($K167,2)=RIGHT(DF$43,2),SUM($CD167:CF167),0)+IF(RIGHT(DF$43,2)&gt;RIGHT($K167,2),CF167,0))</f>
        <v>6.5753708514202387</v>
      </c>
      <c r="DG167" s="388">
        <f>+IF($K167="ongoing",CG167,IF(RIGHT($K167,2)=RIGHT(DG$43,2),SUM($CD167:CG167),0)+IF(RIGHT(DG$43,2)&gt;RIGHT($K167,2),CG167,0))</f>
        <v>6.2990961658146984</v>
      </c>
      <c r="DH167" s="386">
        <f>+IF($K167="ongoing",CH167,IF(RIGHT($K167,2)=RIGHT(DH$43,2),SUM($CD167:CH167),0)+IF(RIGHT(DH$43,2)&gt;RIGHT($K167,2),CH167,0))</f>
        <v>6.4817699887653974</v>
      </c>
      <c r="DI167" s="387">
        <f>+IF($K167="ongoing",CI167,IF(RIGHT($K167,2)=RIGHT(DI$43,2),SUM($CD167:CI167),0)+IF(RIGHT(DI$43,2)&gt;RIGHT($K167,2),CI167,0))</f>
        <v>6.9411966498278002</v>
      </c>
      <c r="DJ167" s="387">
        <f>+IF($K167="ongoing",CJ167,IF(RIGHT($K167,2)=RIGHT(DJ$43,2),SUM($CD167:CJ167),0)+IF(RIGHT(DJ$43,2)&gt;RIGHT($K167,2),CJ167,0))</f>
        <v>13.883298680990036</v>
      </c>
      <c r="DK167" s="387">
        <f>+IF($K167="ongoing",CK167,IF(RIGHT($K167,2)=RIGHT(DK$43,2),SUM($CD167:CK167),0)+IF(RIGHT(DK$43,2)&gt;RIGHT($K167,2),CK167,0))</f>
        <v>14.285914356383371</v>
      </c>
      <c r="DL167" s="388">
        <f>+IF($K167="ongoing",CN167,IF(RIGHT($K167,2)=RIGHT(DL$43,2),SUM($CD167:CN167),0)+IF(RIGHT(DL$43,2)&gt;RIGHT($K167,2),CN167,0))</f>
        <v>15.565180677792336</v>
      </c>
      <c r="DM167" s="841"/>
      <c r="DN167" s="386">
        <f t="shared" si="334"/>
        <v>0.5</v>
      </c>
      <c r="DO167" s="387">
        <f t="shared" si="335"/>
        <v>1</v>
      </c>
      <c r="DP167" s="388">
        <f t="shared" si="336"/>
        <v>1</v>
      </c>
      <c r="DQ167" s="386">
        <f t="shared" si="337"/>
        <v>1</v>
      </c>
      <c r="DR167" s="387">
        <f t="shared" si="338"/>
        <v>1</v>
      </c>
      <c r="DS167" s="387">
        <f t="shared" si="339"/>
        <v>1</v>
      </c>
      <c r="DT167" s="387">
        <f t="shared" si="340"/>
        <v>1</v>
      </c>
      <c r="DU167" s="388">
        <f t="shared" si="341"/>
        <v>1</v>
      </c>
      <c r="DW167" s="386">
        <f t="shared" si="342"/>
        <v>0</v>
      </c>
      <c r="DX167" s="387">
        <f t="shared" si="343"/>
        <v>0.5</v>
      </c>
      <c r="DY167" s="388">
        <f t="shared" si="344"/>
        <v>1</v>
      </c>
      <c r="DZ167" s="386">
        <f t="shared" si="345"/>
        <v>1</v>
      </c>
      <c r="EA167" s="387">
        <f t="shared" si="346"/>
        <v>1</v>
      </c>
      <c r="EB167" s="387">
        <f t="shared" si="347"/>
        <v>1</v>
      </c>
      <c r="EC167" s="387">
        <f t="shared" si="348"/>
        <v>1</v>
      </c>
      <c r="ED167" s="388">
        <f t="shared" si="349"/>
        <v>1</v>
      </c>
      <c r="EF167" s="834">
        <f>+IF(DN167=DM167,0,
IF(AND(EF$44&gt;1,DN167=$N167),1-SUM($EE167:EE167),
IF($N167&lt;=1,
IF($N167&gt;0,1/$N167,0),
IF(EF$44=1,0,VDB(1,0,$N167,INT(EF$44-1-1),MIN($N167,INT(EF$44-1-1)+1),$DC167,IF($DD167="No",1,0))/
IF(DM167&gt;=INT($N167),$N167-INT($N167),1)))*
IF(EF$44=1,0,
IF(INT(DN167)=INT(DM167),DN167-DM167,INT(DN167)-DM167))+
IF($N167&lt;=1,
IF($N167&gt;0,1/$N167,0),VDB(1,0,$N167,INT(EF$44-1),MIN($N167,INT(EF$44-1)+1),$DC167,IF($DD167="No",1,0))/
IF(DN167&gt;INT($N167),$N167-INT($N167),1))*
IF(EF$44=1,DN167,
IF(INT(DN167)=INT(DM167),0,DN167-INT(DN167)))))</f>
        <v>0</v>
      </c>
      <c r="EG167" s="835">
        <f>+IF(DO167=DN167,0,
IF(AND(EG$44&gt;1,DO167=$N167),1-SUM($EE167:EF167),
IF($N167&lt;=1,
IF($N167&gt;0,1/$N167,0),
IF(EG$44=1,0,VDB(1,0,$N167,INT(EG$44-1-1),MIN($N167,INT(EG$44-1-1)+1),$DC167,IF($DD167="No",1,0))/
IF(DN167&gt;=INT($N167),$N167-INT($N167),1)))*
IF(EG$44=1,0,
IF(INT(DO167)=INT(DN167),DO167-DN167,INT(DO167)-DN167))+
IF($N167&lt;=1,
IF($N167&gt;0,1/$N167,0),VDB(1,0,$N167,INT(EG$44-1),MIN($N167,INT(EG$44-1)+1),$DC167,IF($DD167="No",1,0))/
IF(DO167&gt;INT($N167),$N167-INT($N167),1))*
IF(EG$44=1,DO167,
IF(INT(DO167)=INT(DN167),0,DO167-INT(DO167)))))</f>
        <v>0</v>
      </c>
      <c r="EH167" s="836">
        <f>+IF(DP167=DO167,0,
IF(AND(EH$44&gt;1,DP167=$N167),1-SUM($EE167:EG167),
IF($N167&lt;=1,
IF($N167&gt;0,1/$N167,0),
IF(EH$44=1,0,VDB(1,0,$N167,INT(EH$44-1-1),MIN($N167,INT(EH$44-1-1)+1),$DC167,IF($DD167="No",1,0))/
IF(DO167&gt;=INT($N167),$N167-INT($N167),1)))*
IF(EH$44=1,0,
IF(INT(DP167)=INT(DO167),DP167-DO167,INT(DP167)-DO167))+
IF($N167&lt;=1,
IF($N167&gt;0,1/$N167,0),VDB(1,0,$N167,INT(EH$44-1),MIN($N167,INT(EH$44-1)+1),$DC167,IF($DD167="No",1,0))/
IF(DP167&gt;INT($N167),$N167-INT($N167),1))*
IF(EH$44=1,DP167,
IF(INT(DP167)=INT(DO167),0,DP167-INT(DP167)))))</f>
        <v>0</v>
      </c>
      <c r="EI167" s="834">
        <f>+IF(DQ167=DP167,0,
IF(AND(EI$44&gt;1,DQ167=$N167),1-SUM($EE167:EH167),
IF($N167&lt;=1,
IF($N167&gt;0,1/$N167,0),
IF(EI$44=1,0,VDB(1,0,$N167,INT(EI$44-1-1),MIN($N167,INT(EI$44-1-1)+1),$DC167,IF($DD167="No",1,0))/
IF(DP167&gt;=INT($N167),$N167-INT($N167),1)))*
IF(EI$44=1,0,
IF(INT(DQ167)=INT(DP167),DQ167-DP167,INT(DQ167)-DP167))+
IF($N167&lt;=1,
IF($N167&gt;0,1/$N167,0),VDB(1,0,$N167,INT(EI$44-1),MIN($N167,INT(EI$44-1)+1),$DC167,IF($DD167="No",1,0))/
IF(DQ167&gt;INT($N167),$N167-INT($N167),1))*
IF(EI$44=1,DQ167,
IF(INT(DQ167)=INT(DP167),0,DQ167-INT(DQ167)))))</f>
        <v>0</v>
      </c>
      <c r="EJ167" s="835">
        <f>+IF(DR167=DQ167,0,
IF(AND(EJ$44&gt;1,DR167=$N167),1-SUM($EE167:EI167),
IF($N167&lt;=1,
IF($N167&gt;0,1/$N167,0),
IF(EJ$44=1,0,VDB(1,0,$N167,INT(EJ$44-1-1),MIN($N167,INT(EJ$44-1-1)+1),$DC167,IF($DD167="No",1,0))/
IF(DQ167&gt;=INT($N167),$N167-INT($N167),1)))*
IF(EJ$44=1,0,
IF(INT(DR167)=INT(DQ167),DR167-DQ167,INT(DR167)-DQ167))+
IF($N167&lt;=1,
IF($N167&gt;0,1/$N167,0),VDB(1,0,$N167,INT(EJ$44-1),MIN($N167,INT(EJ$44-1)+1),$DC167,IF($DD167="No",1,0))/
IF(DR167&gt;INT($N167),$N167-INT($N167),1))*
IF(EJ$44=1,DR167,
IF(INT(DR167)=INT(DQ167),0,DR167-INT(DR167)))))</f>
        <v>0</v>
      </c>
      <c r="EK167" s="835">
        <f>+IF(DS167=DR167,0,
IF(AND(EK$44&gt;1,DS167=$N167),1-SUM($EE167:EJ167),
IF($N167&lt;=1,
IF($N167&gt;0,1/$N167,0),
IF(EK$44=1,0,VDB(1,0,$N167,INT(EK$44-1-1),MIN($N167,INT(EK$44-1-1)+1),$DC167,IF($DD167="No",1,0))/
IF(DR167&gt;=INT($N167),$N167-INT($N167),1)))*
IF(EK$44=1,0,
IF(INT(DS167)=INT(DR167),DS167-DR167,INT(DS167)-DR167))+
IF($N167&lt;=1,
IF($N167&gt;0,1/$N167,0),VDB(1,0,$N167,INT(EK$44-1),MIN($N167,INT(EK$44-1)+1),$DC167,IF($DD167="No",1,0))/
IF(DS167&gt;INT($N167),$N167-INT($N167),1))*
IF(EK$44=1,DS167,
IF(INT(DS167)=INT(DR167),0,DS167-INT(DS167)))))</f>
        <v>0</v>
      </c>
      <c r="EL167" s="835">
        <f>+IF(DT167=DS167,0,
IF(AND(EL$44&gt;1,DT167=$N167),1-SUM($EE167:EK167),
IF($N167&lt;=1,
IF($N167&gt;0,1/$N167,0),
IF(EL$44=1,0,VDB(1,0,$N167,INT(EL$44-1-1),MIN($N167,INT(EL$44-1-1)+1),$DC167,IF($DD167="No",1,0))/
IF(DS167&gt;=INT($N167),$N167-INT($N167),1)))*
IF(EL$44=1,0,
IF(INT(DT167)=INT(DS167),DT167-DS167,INT(DT167)-DS167))+
IF($N167&lt;=1,
IF($N167&gt;0,1/$N167,0),VDB(1,0,$N167,INT(EL$44-1),MIN($N167,INT(EL$44-1)+1),$DC167,IF($DD167="No",1,0))/
IF(DT167&gt;INT($N167),$N167-INT($N167),1))*
IF(EL$44=1,DT167,
IF(INT(DT167)=INT(DS167),0,DT167-INT(DT167)))))</f>
        <v>0</v>
      </c>
      <c r="EM167" s="836">
        <f>+IF(DU167=DT167,0,
IF(AND(EM$44&gt;1,DU167=$N167),1-SUM($EE167:EL167),
IF($N167&lt;=1,
IF($N167&gt;0,1/$N167,0),
IF(EM$44=1,0,VDB(1,0,$N167,INT(EM$44-1-1),MIN($N167,INT(EM$44-1-1)+1),$DC167,IF($DD167="No",1,0))/
IF(DT167&gt;=INT($N167),$N167-INT($N167),1)))*
IF(EM$44=1,0,
IF(INT(DU167)=INT(DT167),DU167-DT167,INT(DU167)-DT167))+
IF($N167&lt;=1,
IF($N167&gt;0,1/$N167,0),VDB(1,0,$N167,INT(EM$44-1),MIN($N167,INT(EM$44-1)+1),$DC167,IF($DD167="No",1,0))/
IF(DU167&gt;INT($N167),$N167-INT($N167),1))*
IF(EM$44=1,DU167,
IF(INT(DU167)=INT(DT167),0,DU167-INT(DU167)))))</f>
        <v>0</v>
      </c>
      <c r="EN167" s="833"/>
      <c r="EO167" s="834">
        <f>+IF(OR(DW167=DV167,EO$44=1),0,
IF(AND(EO$44&gt;1,DW167=$N167),1-SUM($EN167:EN167),
IF($N167&lt;=1,
IF($N167&gt;0,1/$N167,0),
IF(EO$44=2,0,VDB(1,0,$N167,INT(EO$44-2-1),MIN($N167,INT(EO$44-2-1)+1),$DC167,IF($DD167="No",1,0))/
IF(DV167&gt;=INT($N167),$N167-INT($N167),1)))*
IF(EO$44=2,0,
IF(INT(DW167)=INT(DV167),DW167-DV167,INT(DW167)-DV167))+
IF($N167&lt;=1,
IF($N167&gt;0,1/$N167,0),VDB(1,0,$N167,INT(EO$44-2),MIN($N167,INT(EO$44-2)+1),$DC167,IF($DD167="No",1,0))/
IF(DW167&gt;INT($N167),$N167-INT($N167),1))*
IF(EO$44=2,DW167,
IF(INT(DW167)=INT(DV167),0,DW167-INT(DW167)))))</f>
        <v>0</v>
      </c>
      <c r="EP167" s="835">
        <f>+IF(OR(DX167=DW167,EP$44=1),0,
IF(AND(EP$44&gt;1,DX167=$N167),1-SUM($EN167:EO167),
IF($N167&lt;=1,
IF($N167&gt;0,1/$N167,0),
IF(EP$44=2,0,VDB(1,0,$N167,INT(EP$44-2-1),MIN($N167,INT(EP$44-2-1)+1),$DC167,IF($DD167="No",1,0))/
IF(DW167&gt;=INT($N167),$N167-INT($N167),1)))*
IF(EP$44=2,0,
IF(INT(DX167)=INT(DW167),DX167-DW167,INT(DX167)-DW167))+
IF($N167&lt;=1,
IF($N167&gt;0,1/$N167,0),VDB(1,0,$N167,INT(EP$44-2),MIN($N167,INT(EP$44-2)+1),$DC167,IF($DD167="No",1,0))/
IF(DX167&gt;INT($N167),$N167-INT($N167),1))*
IF(EP$44=2,DX167,
IF(INT(DX167)=INT(DW167),0,DX167-INT(DX167)))))</f>
        <v>0</v>
      </c>
      <c r="EQ167" s="836">
        <f>+IF(OR(DY167=DX167,EQ$44=1),0,
IF(AND(EQ$44&gt;1,DY167=$N167),1-SUM($EN167:EP167),
IF($N167&lt;=1,
IF($N167&gt;0,1/$N167,0),
IF(EQ$44=2,0,VDB(1,0,$N167,INT(EQ$44-2-1),MIN($N167,INT(EQ$44-2-1)+1),$DC167,IF($DD167="No",1,0))/
IF(DX167&gt;=INT($N167),$N167-INT($N167),1)))*
IF(EQ$44=2,0,
IF(INT(DY167)=INT(DX167),DY167-DX167,INT(DY167)-DX167))+
IF($N167&lt;=1,
IF($N167&gt;0,1/$N167,0),VDB(1,0,$N167,INT(EQ$44-2),MIN($N167,INT(EQ$44-2)+1),$DC167,IF($DD167="No",1,0))/
IF(DY167&gt;INT($N167),$N167-INT($N167),1))*
IF(EQ$44=2,DY167,
IF(INT(DY167)=INT(DX167),0,DY167-INT(DY167)))))</f>
        <v>0</v>
      </c>
      <c r="ER167" s="834">
        <f>+IF(OR(DZ167=DY167,ER$44=1),0,
IF(AND(ER$44&gt;1,DZ167=$N167),1-SUM($EN167:EQ167),
IF($N167&lt;=1,
IF($N167&gt;0,1/$N167,0),
IF(ER$44=2,0,VDB(1,0,$N167,INT(ER$44-2-1),MIN($N167,INT(ER$44-2-1)+1),$DC167,IF($DD167="No",1,0))/
IF(DY167&gt;=INT($N167),$N167-INT($N167),1)))*
IF(ER$44=2,0,
IF(INT(DZ167)=INT(DY167),DZ167-DY167,INT(DZ167)-DY167))+
IF($N167&lt;=1,
IF($N167&gt;0,1/$N167,0),VDB(1,0,$N167,INT(ER$44-2),MIN($N167,INT(ER$44-2)+1),$DC167,IF($DD167="No",1,0))/
IF(DZ167&gt;INT($N167),$N167-INT($N167),1))*
IF(ER$44=2,DZ167,
IF(INT(DZ167)=INT(DY167),0,DZ167-INT(DZ167)))))</f>
        <v>0</v>
      </c>
      <c r="ES167" s="835">
        <f>+IF(OR(EA167=DZ167,ES$44=1),0,
IF(AND(ES$44&gt;1,EA167=$N167),1-SUM($EN167:ER167),
IF($N167&lt;=1,
IF($N167&gt;0,1/$N167,0),
IF(ES$44=2,0,VDB(1,0,$N167,INT(ES$44-2-1),MIN($N167,INT(ES$44-2-1)+1),$DC167,IF($DD167="No",1,0))/
IF(DZ167&gt;=INT($N167),$N167-INT($N167),1)))*
IF(ES$44=2,0,
IF(INT(EA167)=INT(DZ167),EA167-DZ167,INT(EA167)-DZ167))+
IF($N167&lt;=1,
IF($N167&gt;0,1/$N167,0),VDB(1,0,$N167,INT(ES$44-2),MIN($N167,INT(ES$44-2)+1),$DC167,IF($DD167="No",1,0))/
IF(EA167&gt;INT($N167),$N167-INT($N167),1))*
IF(ES$44=2,EA167,
IF(INT(EA167)=INT(DZ167),0,EA167-INT(EA167)))))</f>
        <v>0</v>
      </c>
      <c r="ET167" s="835">
        <f>+IF(OR(EB167=EA167,ET$44=1),0,
IF(AND(ET$44&gt;1,EB167=$N167),1-SUM($EN167:ES167),
IF($N167&lt;=1,
IF($N167&gt;0,1/$N167,0),
IF(ET$44=2,0,VDB(1,0,$N167,INT(ET$44-2-1),MIN($N167,INT(ET$44-2-1)+1),$DC167,IF($DD167="No",1,0))/
IF(EA167&gt;=INT($N167),$N167-INT($N167),1)))*
IF(ET$44=2,0,
IF(INT(EB167)=INT(EA167),EB167-EA167,INT(EB167)-EA167))+
IF($N167&lt;=1,
IF($N167&gt;0,1/$N167,0),VDB(1,0,$N167,INT(ET$44-2),MIN($N167,INT(ET$44-2)+1),$DC167,IF($DD167="No",1,0))/
IF(EB167&gt;INT($N167),$N167-INT($N167),1))*
IF(ET$44=2,EB167,
IF(INT(EB167)=INT(EA167),0,EB167-INT(EB167)))))</f>
        <v>0</v>
      </c>
      <c r="EU167" s="835">
        <f>+IF(OR(EC167=EB167,EU$44=1),0,
IF(AND(EU$44&gt;1,EC167=$N167),1-SUM($EN167:ET167),
IF($N167&lt;=1,
IF($N167&gt;0,1/$N167,0),
IF(EU$44=2,0,VDB(1,0,$N167,INT(EU$44-2-1),MIN($N167,INT(EU$44-2-1)+1),$DC167,IF($DD167="No",1,0))/
IF(EB167&gt;=INT($N167),$N167-INT($N167),1)))*
IF(EU$44=2,0,
IF(INT(EC167)=INT(EB167),EC167-EB167,INT(EC167)-EB167))+
IF($N167&lt;=1,
IF($N167&gt;0,1/$N167,0),VDB(1,0,$N167,INT(EU$44-2),MIN($N167,INT(EU$44-2)+1),$DC167,IF($DD167="No",1,0))/
IF(EC167&gt;INT($N167),$N167-INT($N167),1))*
IF(EU$44=2,EC167,
IF(INT(EC167)=INT(EB167),0,EC167-INT(EC167)))))</f>
        <v>0</v>
      </c>
      <c r="EV167" s="836">
        <f>+IF(OR(ED167=EC167,EV$44=1),0,
IF(AND(EV$44&gt;1,ED167=$N167),1-SUM($EN167:EU167),
IF($N167&lt;=1,
IF($N167&gt;0,1/$N167,0),
IF(EV$44=2,0,VDB(1,0,$N167,INT(EV$44-2-1),MIN($N167,INT(EV$44-2-1)+1),$DC167,IF($DD167="No",1,0))/
IF(EC167&gt;=INT($N167),$N167-INT($N167),1)))*
IF(EV$44=2,0,
IF(INT(ED167)=INT(EC167),ED167-EC167,INT(ED167)-EC167))+
IF($N167&lt;=1,
IF($N167&gt;0,1/$N167,0),VDB(1,0,$N167,INT(EV$44-2),MIN($N167,INT(EV$44-2)+1),$DC167,IF($DD167="No",1,0))/
IF(ED167&gt;INT($N167),$N167-INT($N167),1))*
IF(EV$44=2,ED167,
IF(INT(ED167)=INT(EC167),0,ED167-INT(ED167)))))</f>
        <v>0</v>
      </c>
      <c r="EW167" s="833"/>
      <c r="EX167" s="834">
        <f t="shared" ca="1" si="350"/>
        <v>0</v>
      </c>
      <c r="EY167" s="835">
        <f t="shared" ca="1" si="350"/>
        <v>0</v>
      </c>
      <c r="EZ167" s="836">
        <f t="shared" ca="1" si="350"/>
        <v>0</v>
      </c>
      <c r="FA167" s="834">
        <f t="shared" ca="1" si="350"/>
        <v>0</v>
      </c>
      <c r="FB167" s="835">
        <f t="shared" ca="1" si="350"/>
        <v>0</v>
      </c>
      <c r="FC167" s="835">
        <f t="shared" ca="1" si="350"/>
        <v>0</v>
      </c>
      <c r="FD167" s="835">
        <f t="shared" ca="1" si="350"/>
        <v>0</v>
      </c>
      <c r="FE167" s="836">
        <f t="shared" ca="1" si="350"/>
        <v>0</v>
      </c>
      <c r="FG167" s="386">
        <f t="shared" ca="1" si="351"/>
        <v>0</v>
      </c>
      <c r="FH167" s="387">
        <f t="shared" ca="1" si="352"/>
        <v>0</v>
      </c>
      <c r="FI167" s="388">
        <f t="shared" ca="1" si="353"/>
        <v>0</v>
      </c>
      <c r="FJ167" s="386">
        <f t="shared" ca="1" si="354"/>
        <v>0</v>
      </c>
      <c r="FK167" s="387">
        <f t="shared" ca="1" si="355"/>
        <v>0</v>
      </c>
      <c r="FL167" s="387">
        <f t="shared" ca="1" si="356"/>
        <v>0</v>
      </c>
      <c r="FM167" s="387">
        <f t="shared" ca="1" si="357"/>
        <v>0</v>
      </c>
      <c r="FN167" s="388">
        <f t="shared" ca="1" si="358"/>
        <v>0</v>
      </c>
      <c r="FR167" s="116"/>
    </row>
    <row r="168" spans="2:174">
      <c r="B168" s="1410">
        <f t="shared" si="302"/>
        <v>122</v>
      </c>
      <c r="C168" s="400" t="s">
        <v>682</v>
      </c>
      <c r="D168" s="410"/>
      <c r="E168" s="402" t="s">
        <v>420</v>
      </c>
      <c r="F168" s="402" t="s">
        <v>527</v>
      </c>
      <c r="G168" s="400" t="s">
        <v>437</v>
      </c>
      <c r="H168" s="2088" t="s">
        <v>483</v>
      </c>
      <c r="I168" s="2089"/>
      <c r="J168" s="411" t="s">
        <v>516</v>
      </c>
      <c r="K168" s="403" t="s">
        <v>544</v>
      </c>
      <c r="L168" s="403">
        <v>10</v>
      </c>
      <c r="M168" s="403" t="s">
        <v>142</v>
      </c>
      <c r="N168" s="403"/>
      <c r="O168" s="347"/>
      <c r="P168" s="347"/>
      <c r="Q168" s="1021">
        <v>1.8879936318447841</v>
      </c>
      <c r="R168" s="1022">
        <v>1.8529123205087239</v>
      </c>
      <c r="S168" s="1022">
        <v>0.67009431864973046</v>
      </c>
      <c r="T168" s="1022">
        <v>0.67009431864973035</v>
      </c>
      <c r="U168" s="1023">
        <v>0.67009431864973046</v>
      </c>
      <c r="V168" s="1021">
        <v>0</v>
      </c>
      <c r="W168" s="1022">
        <v>0</v>
      </c>
      <c r="X168" s="1022">
        <v>0</v>
      </c>
      <c r="Y168" s="1022">
        <v>0</v>
      </c>
      <c r="Z168" s="1023">
        <v>0</v>
      </c>
      <c r="AA168" s="1024"/>
      <c r="AB168" s="1021">
        <v>0</v>
      </c>
      <c r="AC168" s="1022">
        <v>0</v>
      </c>
      <c r="AD168" s="1022">
        <v>0</v>
      </c>
      <c r="AE168" s="1022">
        <v>0</v>
      </c>
      <c r="AF168" s="1023">
        <v>0</v>
      </c>
      <c r="AG168" s="1021">
        <v>0</v>
      </c>
      <c r="AH168" s="1022">
        <v>0</v>
      </c>
      <c r="AI168" s="1022">
        <v>0</v>
      </c>
      <c r="AJ168" s="1022">
        <v>0</v>
      </c>
      <c r="AK168" s="1023">
        <v>0</v>
      </c>
      <c r="AL168" s="1024"/>
      <c r="AM168" s="1021">
        <v>0</v>
      </c>
      <c r="AN168" s="1022">
        <v>0</v>
      </c>
      <c r="AO168" s="1022">
        <v>0</v>
      </c>
      <c r="AP168" s="1022">
        <v>0</v>
      </c>
      <c r="AQ168" s="1023">
        <v>0</v>
      </c>
      <c r="AR168" s="1021">
        <v>0</v>
      </c>
      <c r="AS168" s="1022">
        <v>0</v>
      </c>
      <c r="AT168" s="1022">
        <v>0</v>
      </c>
      <c r="AU168" s="1022">
        <v>0</v>
      </c>
      <c r="AV168" s="1023">
        <v>0</v>
      </c>
      <c r="AW168" s="1025"/>
      <c r="AX168" s="1282">
        <f t="shared" si="304"/>
        <v>1.8879936318447841</v>
      </c>
      <c r="AY168" s="387">
        <f t="shared" si="305"/>
        <v>1.8529123205087239</v>
      </c>
      <c r="AZ168" s="387">
        <f t="shared" si="306"/>
        <v>0.67009431864973046</v>
      </c>
      <c r="BA168" s="387">
        <f t="shared" si="307"/>
        <v>0.67009431864973035</v>
      </c>
      <c r="BB168" s="1283">
        <f t="shared" si="308"/>
        <v>0.67009431864973046</v>
      </c>
      <c r="BC168" s="386">
        <f t="shared" si="309"/>
        <v>0</v>
      </c>
      <c r="BD168" s="387">
        <f t="shared" si="310"/>
        <v>0</v>
      </c>
      <c r="BE168" s="1277">
        <f t="shared" si="311"/>
        <v>0</v>
      </c>
      <c r="BF168" s="1277">
        <f t="shared" si="312"/>
        <v>0</v>
      </c>
      <c r="BG168" s="388">
        <f t="shared" si="313"/>
        <v>0</v>
      </c>
      <c r="BH168" s="1025"/>
      <c r="BI168" s="1282">
        <f t="shared" ca="1" si="314"/>
        <v>9.4399681592239201E-2</v>
      </c>
      <c r="BJ168" s="387">
        <f t="shared" ca="1" si="315"/>
        <v>0.28144497920991463</v>
      </c>
      <c r="BK168" s="387">
        <f t="shared" ca="1" si="316"/>
        <v>0.40759531116783732</v>
      </c>
      <c r="BL168" s="387">
        <f t="shared" ca="1" si="317"/>
        <v>0.47460474303281031</v>
      </c>
      <c r="BM168" s="1283">
        <f t="shared" ca="1" si="318"/>
        <v>0.5416141748977833</v>
      </c>
      <c r="BN168" s="386">
        <f t="shared" ca="1" si="319"/>
        <v>0.5751188908302699</v>
      </c>
      <c r="BO168" s="387">
        <f t="shared" ca="1" si="320"/>
        <v>0.5751188908302699</v>
      </c>
      <c r="BP168" s="1277">
        <f t="shared" ca="1" si="321"/>
        <v>0.5751188908302699</v>
      </c>
      <c r="BQ168" s="1277">
        <f t="shared" ca="1" si="322"/>
        <v>0.5751188908302699</v>
      </c>
      <c r="BR168" s="388">
        <f t="shared" ca="1" si="323"/>
        <v>0.5751188908302699</v>
      </c>
      <c r="BS168" s="1025"/>
      <c r="BT168" s="1282">
        <f>+IF($K168="Ongoing",AX168,IF(RIGHT($K168,2)=RIGHT(BT$43,2),SUM($AX168:AX168),0)+IF(RIGHT(BT$43,2)&gt;RIGHT($K168,2),AX168,0))</f>
        <v>1.8879936318447841</v>
      </c>
      <c r="BU168" s="387">
        <f>+IF($K168="Ongoing",AY168,IF(RIGHT($K168,2)=RIGHT(BU$43,2),SUM($AX168:AY168),0)+IF(RIGHT(BU$43,2)&gt;RIGHT($K168,2),AY168,0))</f>
        <v>1.8529123205087239</v>
      </c>
      <c r="BV168" s="387">
        <f>+IF($K168="Ongoing",AZ168,IF(RIGHT($K168,2)=RIGHT(BV$43,2),SUM($AX168:AZ168),0)+IF(RIGHT(BV$43,2)&gt;RIGHT($K168,2),AZ168,0))</f>
        <v>0.67009431864973046</v>
      </c>
      <c r="BW168" s="387">
        <f>+IF($K168="Ongoing",BA168,IF(RIGHT($K168,2)=RIGHT(BW$43,2),SUM($AX168:BA168),0)+IF(RIGHT(BW$43,2)&gt;RIGHT($K168,2),BA168,0))</f>
        <v>0.67009431864973035</v>
      </c>
      <c r="BX168" s="1283">
        <f>+IF($K168="Ongoing",BB168,IF(RIGHT($K168,2)=RIGHT(BX$43,2),SUM($AX168:BB168),0)+IF(RIGHT(BX$43,2)&gt;RIGHT($K168,2),BB168,0))</f>
        <v>0.67009431864973046</v>
      </c>
      <c r="BY168" s="386">
        <f>+IF($K168="Ongoing",BC168,IF(RIGHT($K168,2)=RIGHT(BY$43,2),SUM($AX168:BC168),0)+IF(RIGHT(BY$43,2)&gt;RIGHT($K168,2),BC168,0))</f>
        <v>0</v>
      </c>
      <c r="BZ168" s="387">
        <f>+IF($K168="Ongoing",BD168,IF(RIGHT($K168,2)=RIGHT(BZ$43,2),SUM($AX168:BD168),0)+IF(RIGHT(BZ$43,2)&gt;RIGHT($K168,2),BD168,0))</f>
        <v>0</v>
      </c>
      <c r="CA168" s="1277">
        <f>+IF($K168="Ongoing",BE168,IF(RIGHT($K168,2)=RIGHT(CA$43,2),SUM($AX168:BE168),0)+IF(RIGHT(CA$43,2)&gt;RIGHT($K168,2),BE168,0))</f>
        <v>0</v>
      </c>
      <c r="CB168" s="1277">
        <f>+IF($K168="Ongoing",BF168,IF(RIGHT($K168,2)=RIGHT(CB$43,2),SUM($AX168:BF168),0)+IF(RIGHT(CB$43,2)&gt;RIGHT($K168,2),BF168,0))</f>
        <v>0</v>
      </c>
      <c r="CC168" s="388">
        <f>+IF($K168="Ongoing",BG168,IF(RIGHT($K168,2)=RIGHT(CC$43,2),SUM($AX168:BG168),0)+IF(RIGHT(CC$43,2)&gt;RIGHT($K168,2),BG168,0))</f>
        <v>0</v>
      </c>
      <c r="CD168" s="1025"/>
      <c r="CE168" s="1282">
        <f>+Q168*KeyAssumptionsPriceControl_FO!AF$15</f>
        <v>1.9427454471682826</v>
      </c>
      <c r="CF168" s="387">
        <f>+R168*KeyAssumptionsPriceControl_FO!AG$15</f>
        <v>1.9619395343597776</v>
      </c>
      <c r="CG168" s="387">
        <f>+S168*KeyAssumptionsPriceControl_FO!AH$15</f>
        <v>0.73009951526854766</v>
      </c>
      <c r="CH168" s="387">
        <f>+T168*KeyAssumptionsPriceControl_FO!AI$15</f>
        <v>0.75127240121133543</v>
      </c>
      <c r="CI168" s="1283">
        <f>+U168*KeyAssumptionsPriceControl_FO!AJ$15</f>
        <v>0.77305930084646424</v>
      </c>
      <c r="CJ168" s="386">
        <f>+V168*KeyAssumptionsPriceControl_FO!AK$15</f>
        <v>0</v>
      </c>
      <c r="CK168" s="387">
        <f>+W168*KeyAssumptionsPriceControl_FO!AL$15</f>
        <v>0</v>
      </c>
      <c r="CL168" s="1277">
        <f>+X168*KeyAssumptionsPriceControl_FO!AM$15</f>
        <v>0</v>
      </c>
      <c r="CM168" s="1277">
        <f>+Y168*KeyAssumptionsPriceControl_FO!AN$15</f>
        <v>0</v>
      </c>
      <c r="CN168" s="388">
        <f>+Z168*KeyAssumptionsPriceControl_FO!AO$15</f>
        <v>0</v>
      </c>
      <c r="CO168" s="1025"/>
      <c r="CP168" s="1282">
        <f t="shared" ca="1" si="324"/>
        <v>0</v>
      </c>
      <c r="CQ168" s="387">
        <f t="shared" ca="1" si="325"/>
        <v>0</v>
      </c>
      <c r="CR168" s="387">
        <f t="shared" ca="1" si="326"/>
        <v>0</v>
      </c>
      <c r="CS168" s="387">
        <f t="shared" ca="1" si="327"/>
        <v>0</v>
      </c>
      <c r="CT168" s="1283">
        <f t="shared" ca="1" si="328"/>
        <v>0</v>
      </c>
      <c r="CU168" s="386">
        <f t="shared" ca="1" si="329"/>
        <v>0</v>
      </c>
      <c r="CV168" s="387">
        <f t="shared" ca="1" si="330"/>
        <v>0</v>
      </c>
      <c r="CW168" s="1277">
        <f t="shared" ca="1" si="331"/>
        <v>0</v>
      </c>
      <c r="CX168" s="1277">
        <f t="shared" ca="1" si="332"/>
        <v>0</v>
      </c>
      <c r="CY168" s="388">
        <f t="shared" ca="1" si="333"/>
        <v>0</v>
      </c>
      <c r="CZ168" s="347"/>
      <c r="DA168" s="852"/>
      <c r="DB168" s="347"/>
      <c r="DC168" s="1012" t="s">
        <v>683</v>
      </c>
      <c r="DD168" s="841" t="s">
        <v>518</v>
      </c>
      <c r="DE168" s="386">
        <f>+IF($K168="ongoing",CE168,IF(RIGHT($K168,2)=RIGHT(DE$43,2),SUM($CD168:CE168),0)+IF(RIGHT(DE$43,2)&gt;RIGHT($K168,2),CE168,0))</f>
        <v>1.9427454471682826</v>
      </c>
      <c r="DF168" s="387">
        <f>+IF($K168="ongoing",CF168,IF(RIGHT($K168,2)=RIGHT(DF$43,2),SUM($CD168:CF168),0)+IF(RIGHT(DF$43,2)&gt;RIGHT($K168,2),CF168,0))</f>
        <v>1.9619395343597776</v>
      </c>
      <c r="DG168" s="388">
        <f>+IF($K168="ongoing",CG168,IF(RIGHT($K168,2)=RIGHT(DG$43,2),SUM($CD168:CG168),0)+IF(RIGHT(DG$43,2)&gt;RIGHT($K168,2),CG168,0))</f>
        <v>0.73009951526854766</v>
      </c>
      <c r="DH168" s="386">
        <f>+IF($K168="ongoing",CH168,IF(RIGHT($K168,2)=RIGHT(DH$43,2),SUM($CD168:CH168),0)+IF(RIGHT(DH$43,2)&gt;RIGHT($K168,2),CH168,0))</f>
        <v>0.75127240121133543</v>
      </c>
      <c r="DI168" s="387">
        <f>+IF($K168="ongoing",CI168,IF(RIGHT($K168,2)=RIGHT(DI$43,2),SUM($CD168:CI168),0)+IF(RIGHT(DI$43,2)&gt;RIGHT($K168,2),CI168,0))</f>
        <v>0.77305930084646424</v>
      </c>
      <c r="DJ168" s="387">
        <f>+IF($K168="ongoing",CJ168,IF(RIGHT($K168,2)=RIGHT(DJ$43,2),SUM($CD168:CJ168),0)+IF(RIGHT(DJ$43,2)&gt;RIGHT($K168,2),CJ168,0))</f>
        <v>0</v>
      </c>
      <c r="DK168" s="387">
        <f>+IF($K168="ongoing",CK168,IF(RIGHT($K168,2)=RIGHT(DK$43,2),SUM($CD168:CK168),0)+IF(RIGHT(DK$43,2)&gt;RIGHT($K168,2),CK168,0))</f>
        <v>0</v>
      </c>
      <c r="DL168" s="388">
        <f>+IF($K168="ongoing",CN168,IF(RIGHT($K168,2)=RIGHT(DL$43,2),SUM($CD168:CN168),0)+IF(RIGHT(DL$43,2)&gt;RIGHT($K168,2),CN168,0))</f>
        <v>0</v>
      </c>
      <c r="DM168" s="841"/>
      <c r="DN168" s="386">
        <f t="shared" si="334"/>
        <v>0.5</v>
      </c>
      <c r="DO168" s="387">
        <f t="shared" si="335"/>
        <v>1</v>
      </c>
      <c r="DP168" s="388">
        <f t="shared" si="336"/>
        <v>1</v>
      </c>
      <c r="DQ168" s="386">
        <f t="shared" si="337"/>
        <v>1</v>
      </c>
      <c r="DR168" s="387">
        <f t="shared" si="338"/>
        <v>1</v>
      </c>
      <c r="DS168" s="387">
        <f t="shared" si="339"/>
        <v>1</v>
      </c>
      <c r="DT168" s="387">
        <f t="shared" si="340"/>
        <v>1</v>
      </c>
      <c r="DU168" s="388">
        <f t="shared" si="341"/>
        <v>1</v>
      </c>
      <c r="DW168" s="386">
        <f t="shared" si="342"/>
        <v>0</v>
      </c>
      <c r="DX168" s="387">
        <f t="shared" si="343"/>
        <v>0.5</v>
      </c>
      <c r="DY168" s="388">
        <f t="shared" si="344"/>
        <v>1</v>
      </c>
      <c r="DZ168" s="386">
        <f t="shared" si="345"/>
        <v>1</v>
      </c>
      <c r="EA168" s="387">
        <f t="shared" si="346"/>
        <v>1</v>
      </c>
      <c r="EB168" s="387">
        <f t="shared" si="347"/>
        <v>1</v>
      </c>
      <c r="EC168" s="387">
        <f t="shared" si="348"/>
        <v>1</v>
      </c>
      <c r="ED168" s="388">
        <f t="shared" si="349"/>
        <v>1</v>
      </c>
      <c r="EF168" s="834">
        <f>+IF(DN168=DM168,0,
IF(AND(EF$44&gt;1,DN168=$N168),1-SUM($EE168:EE168),
IF($N168&lt;=1,
IF($N168&gt;0,1/$N168,0),
IF(EF$44=1,0,VDB(1,0,$N168,INT(EF$44-1-1),MIN($N168,INT(EF$44-1-1)+1),$DC168,IF($DD168="No",1,0))/
IF(DM168&gt;=INT($N168),$N168-INT($N168),1)))*
IF(EF$44=1,0,
IF(INT(DN168)=INT(DM168),DN168-DM168,INT(DN168)-DM168))+
IF($N168&lt;=1,
IF($N168&gt;0,1/$N168,0),VDB(1,0,$N168,INT(EF$44-1),MIN($N168,INT(EF$44-1)+1),$DC168,IF($DD168="No",1,0))/
IF(DN168&gt;INT($N168),$N168-INT($N168),1))*
IF(EF$44=1,DN168,
IF(INT(DN168)=INT(DM168),0,DN168-INT(DN168)))))</f>
        <v>0</v>
      </c>
      <c r="EG168" s="835">
        <f>+IF(DO168=DN168,0,
IF(AND(EG$44&gt;1,DO168=$N168),1-SUM($EE168:EF168),
IF($N168&lt;=1,
IF($N168&gt;0,1/$N168,0),
IF(EG$44=1,0,VDB(1,0,$N168,INT(EG$44-1-1),MIN($N168,INT(EG$44-1-1)+1),$DC168,IF($DD168="No",1,0))/
IF(DN168&gt;=INT($N168),$N168-INT($N168),1)))*
IF(EG$44=1,0,
IF(INT(DO168)=INT(DN168),DO168-DN168,INT(DO168)-DN168))+
IF($N168&lt;=1,
IF($N168&gt;0,1/$N168,0),VDB(1,0,$N168,INT(EG$44-1),MIN($N168,INT(EG$44-1)+1),$DC168,IF($DD168="No",1,0))/
IF(DO168&gt;INT($N168),$N168-INT($N168),1))*
IF(EG$44=1,DO168,
IF(INT(DO168)=INT(DN168),0,DO168-INT(DO168)))))</f>
        <v>0</v>
      </c>
      <c r="EH168" s="836">
        <f>+IF(DP168=DO168,0,
IF(AND(EH$44&gt;1,DP168=$N168),1-SUM($EE168:EG168),
IF($N168&lt;=1,
IF($N168&gt;0,1/$N168,0),
IF(EH$44=1,0,VDB(1,0,$N168,INT(EH$44-1-1),MIN($N168,INT(EH$44-1-1)+1),$DC168,IF($DD168="No",1,0))/
IF(DO168&gt;=INT($N168),$N168-INT($N168),1)))*
IF(EH$44=1,0,
IF(INT(DP168)=INT(DO168),DP168-DO168,INT(DP168)-DO168))+
IF($N168&lt;=1,
IF($N168&gt;0,1/$N168,0),VDB(1,0,$N168,INT(EH$44-1),MIN($N168,INT(EH$44-1)+1),$DC168,IF($DD168="No",1,0))/
IF(DP168&gt;INT($N168),$N168-INT($N168),1))*
IF(EH$44=1,DP168,
IF(INT(DP168)=INT(DO168),0,DP168-INT(DP168)))))</f>
        <v>0</v>
      </c>
      <c r="EI168" s="834">
        <f>+IF(DQ168=DP168,0,
IF(AND(EI$44&gt;1,DQ168=$N168),1-SUM($EE168:EH168),
IF($N168&lt;=1,
IF($N168&gt;0,1/$N168,0),
IF(EI$44=1,0,VDB(1,0,$N168,INT(EI$44-1-1),MIN($N168,INT(EI$44-1-1)+1),$DC168,IF($DD168="No",1,0))/
IF(DP168&gt;=INT($N168),$N168-INT($N168),1)))*
IF(EI$44=1,0,
IF(INT(DQ168)=INT(DP168),DQ168-DP168,INT(DQ168)-DP168))+
IF($N168&lt;=1,
IF($N168&gt;0,1/$N168,0),VDB(1,0,$N168,INT(EI$44-1),MIN($N168,INT(EI$44-1)+1),$DC168,IF($DD168="No",1,0))/
IF(DQ168&gt;INT($N168),$N168-INT($N168),1))*
IF(EI$44=1,DQ168,
IF(INT(DQ168)=INT(DP168),0,DQ168-INT(DQ168)))))</f>
        <v>0</v>
      </c>
      <c r="EJ168" s="835">
        <f>+IF(DR168=DQ168,0,
IF(AND(EJ$44&gt;1,DR168=$N168),1-SUM($EE168:EI168),
IF($N168&lt;=1,
IF($N168&gt;0,1/$N168,0),
IF(EJ$44=1,0,VDB(1,0,$N168,INT(EJ$44-1-1),MIN($N168,INT(EJ$44-1-1)+1),$DC168,IF($DD168="No",1,0))/
IF(DQ168&gt;=INT($N168),$N168-INT($N168),1)))*
IF(EJ$44=1,0,
IF(INT(DR168)=INT(DQ168),DR168-DQ168,INT(DR168)-DQ168))+
IF($N168&lt;=1,
IF($N168&gt;0,1/$N168,0),VDB(1,0,$N168,INT(EJ$44-1),MIN($N168,INT(EJ$44-1)+1),$DC168,IF($DD168="No",1,0))/
IF(DR168&gt;INT($N168),$N168-INT($N168),1))*
IF(EJ$44=1,DR168,
IF(INT(DR168)=INT(DQ168),0,DR168-INT(DR168)))))</f>
        <v>0</v>
      </c>
      <c r="EK168" s="835">
        <f>+IF(DS168=DR168,0,
IF(AND(EK$44&gt;1,DS168=$N168),1-SUM($EE168:EJ168),
IF($N168&lt;=1,
IF($N168&gt;0,1/$N168,0),
IF(EK$44=1,0,VDB(1,0,$N168,INT(EK$44-1-1),MIN($N168,INT(EK$44-1-1)+1),$DC168,IF($DD168="No",1,0))/
IF(DR168&gt;=INT($N168),$N168-INT($N168),1)))*
IF(EK$44=1,0,
IF(INT(DS168)=INT(DR168),DS168-DR168,INT(DS168)-DR168))+
IF($N168&lt;=1,
IF($N168&gt;0,1/$N168,0),VDB(1,0,$N168,INT(EK$44-1),MIN($N168,INT(EK$44-1)+1),$DC168,IF($DD168="No",1,0))/
IF(DS168&gt;INT($N168),$N168-INT($N168),1))*
IF(EK$44=1,DS168,
IF(INT(DS168)=INT(DR168),0,DS168-INT(DS168)))))</f>
        <v>0</v>
      </c>
      <c r="EL168" s="835">
        <f>+IF(DT168=DS168,0,
IF(AND(EL$44&gt;1,DT168=$N168),1-SUM($EE168:EK168),
IF($N168&lt;=1,
IF($N168&gt;0,1/$N168,0),
IF(EL$44=1,0,VDB(1,0,$N168,INT(EL$44-1-1),MIN($N168,INT(EL$44-1-1)+1),$DC168,IF($DD168="No",1,0))/
IF(DS168&gt;=INT($N168),$N168-INT($N168),1)))*
IF(EL$44=1,0,
IF(INT(DT168)=INT(DS168),DT168-DS168,INT(DT168)-DS168))+
IF($N168&lt;=1,
IF($N168&gt;0,1/$N168,0),VDB(1,0,$N168,INT(EL$44-1),MIN($N168,INT(EL$44-1)+1),$DC168,IF($DD168="No",1,0))/
IF(DT168&gt;INT($N168),$N168-INT($N168),1))*
IF(EL$44=1,DT168,
IF(INT(DT168)=INT(DS168),0,DT168-INT(DT168)))))</f>
        <v>0</v>
      </c>
      <c r="EM168" s="836">
        <f>+IF(DU168=DT168,0,
IF(AND(EM$44&gt;1,DU168=$N168),1-SUM($EE168:EL168),
IF($N168&lt;=1,
IF($N168&gt;0,1/$N168,0),
IF(EM$44=1,0,VDB(1,0,$N168,INT(EM$44-1-1),MIN($N168,INT(EM$44-1-1)+1),$DC168,IF($DD168="No",1,0))/
IF(DT168&gt;=INT($N168),$N168-INT($N168),1)))*
IF(EM$44=1,0,
IF(INT(DU168)=INT(DT168),DU168-DT168,INT(DU168)-DT168))+
IF($N168&lt;=1,
IF($N168&gt;0,1/$N168,0),VDB(1,0,$N168,INT(EM$44-1),MIN($N168,INT(EM$44-1)+1),$DC168,IF($DD168="No",1,0))/
IF(DU168&gt;INT($N168),$N168-INT($N168),1))*
IF(EM$44=1,DU168,
IF(INT(DU168)=INT(DT168),0,DU168-INT(DU168)))))</f>
        <v>0</v>
      </c>
      <c r="EN168" s="833"/>
      <c r="EO168" s="834">
        <f>+IF(OR(DW168=DV168,EO$44=1),0,
IF(AND(EO$44&gt;1,DW168=$N168),1-SUM($EN168:EN168),
IF($N168&lt;=1,
IF($N168&gt;0,1/$N168,0),
IF(EO$44=2,0,VDB(1,0,$N168,INT(EO$44-2-1),MIN($N168,INT(EO$44-2-1)+1),$DC168,IF($DD168="No",1,0))/
IF(DV168&gt;=INT($N168),$N168-INT($N168),1)))*
IF(EO$44=2,0,
IF(INT(DW168)=INT(DV168),DW168-DV168,INT(DW168)-DV168))+
IF($N168&lt;=1,
IF($N168&gt;0,1/$N168,0),VDB(1,0,$N168,INT(EO$44-2),MIN($N168,INT(EO$44-2)+1),$DC168,IF($DD168="No",1,0))/
IF(DW168&gt;INT($N168),$N168-INT($N168),1))*
IF(EO$44=2,DW168,
IF(INT(DW168)=INT(DV168),0,DW168-INT(DW168)))))</f>
        <v>0</v>
      </c>
      <c r="EP168" s="835">
        <f>+IF(OR(DX168=DW168,EP$44=1),0,
IF(AND(EP$44&gt;1,DX168=$N168),1-SUM($EN168:EO168),
IF($N168&lt;=1,
IF($N168&gt;0,1/$N168,0),
IF(EP$44=2,0,VDB(1,0,$N168,INT(EP$44-2-1),MIN($N168,INT(EP$44-2-1)+1),$DC168,IF($DD168="No",1,0))/
IF(DW168&gt;=INT($N168),$N168-INT($N168),1)))*
IF(EP$44=2,0,
IF(INT(DX168)=INT(DW168),DX168-DW168,INT(DX168)-DW168))+
IF($N168&lt;=1,
IF($N168&gt;0,1/$N168,0),VDB(1,0,$N168,INT(EP$44-2),MIN($N168,INT(EP$44-2)+1),$DC168,IF($DD168="No",1,0))/
IF(DX168&gt;INT($N168),$N168-INT($N168),1))*
IF(EP$44=2,DX168,
IF(INT(DX168)=INT(DW168),0,DX168-INT(DX168)))))</f>
        <v>0</v>
      </c>
      <c r="EQ168" s="836">
        <f>+IF(OR(DY168=DX168,EQ$44=1),0,
IF(AND(EQ$44&gt;1,DY168=$N168),1-SUM($EN168:EP168),
IF($N168&lt;=1,
IF($N168&gt;0,1/$N168,0),
IF(EQ$44=2,0,VDB(1,0,$N168,INT(EQ$44-2-1),MIN($N168,INT(EQ$44-2-1)+1),$DC168,IF($DD168="No",1,0))/
IF(DX168&gt;=INT($N168),$N168-INT($N168),1)))*
IF(EQ$44=2,0,
IF(INT(DY168)=INT(DX168),DY168-DX168,INT(DY168)-DX168))+
IF($N168&lt;=1,
IF($N168&gt;0,1/$N168,0),VDB(1,0,$N168,INT(EQ$44-2),MIN($N168,INT(EQ$44-2)+1),$DC168,IF($DD168="No",1,0))/
IF(DY168&gt;INT($N168),$N168-INT($N168),1))*
IF(EQ$44=2,DY168,
IF(INT(DY168)=INT(DX168),0,DY168-INT(DY168)))))</f>
        <v>0</v>
      </c>
      <c r="ER168" s="834">
        <f>+IF(OR(DZ168=DY168,ER$44=1),0,
IF(AND(ER$44&gt;1,DZ168=$N168),1-SUM($EN168:EQ168),
IF($N168&lt;=1,
IF($N168&gt;0,1/$N168,0),
IF(ER$44=2,0,VDB(1,0,$N168,INT(ER$44-2-1),MIN($N168,INT(ER$44-2-1)+1),$DC168,IF($DD168="No",1,0))/
IF(DY168&gt;=INT($N168),$N168-INT($N168),1)))*
IF(ER$44=2,0,
IF(INT(DZ168)=INT(DY168),DZ168-DY168,INT(DZ168)-DY168))+
IF($N168&lt;=1,
IF($N168&gt;0,1/$N168,0),VDB(1,0,$N168,INT(ER$44-2),MIN($N168,INT(ER$44-2)+1),$DC168,IF($DD168="No",1,0))/
IF(DZ168&gt;INT($N168),$N168-INT($N168),1))*
IF(ER$44=2,DZ168,
IF(INT(DZ168)=INT(DY168),0,DZ168-INT(DZ168)))))</f>
        <v>0</v>
      </c>
      <c r="ES168" s="835">
        <f>+IF(OR(EA168=DZ168,ES$44=1),0,
IF(AND(ES$44&gt;1,EA168=$N168),1-SUM($EN168:ER168),
IF($N168&lt;=1,
IF($N168&gt;0,1/$N168,0),
IF(ES$44=2,0,VDB(1,0,$N168,INT(ES$44-2-1),MIN($N168,INT(ES$44-2-1)+1),$DC168,IF($DD168="No",1,0))/
IF(DZ168&gt;=INT($N168),$N168-INT($N168),1)))*
IF(ES$44=2,0,
IF(INT(EA168)=INT(DZ168),EA168-DZ168,INT(EA168)-DZ168))+
IF($N168&lt;=1,
IF($N168&gt;0,1/$N168,0),VDB(1,0,$N168,INT(ES$44-2),MIN($N168,INT(ES$44-2)+1),$DC168,IF($DD168="No",1,0))/
IF(EA168&gt;INT($N168),$N168-INT($N168),1))*
IF(ES$44=2,EA168,
IF(INT(EA168)=INT(DZ168),0,EA168-INT(EA168)))))</f>
        <v>0</v>
      </c>
      <c r="ET168" s="835">
        <f>+IF(OR(EB168=EA168,ET$44=1),0,
IF(AND(ET$44&gt;1,EB168=$N168),1-SUM($EN168:ES168),
IF($N168&lt;=1,
IF($N168&gt;0,1/$N168,0),
IF(ET$44=2,0,VDB(1,0,$N168,INT(ET$44-2-1),MIN($N168,INT(ET$44-2-1)+1),$DC168,IF($DD168="No",1,0))/
IF(EA168&gt;=INT($N168),$N168-INT($N168),1)))*
IF(ET$44=2,0,
IF(INT(EB168)=INT(EA168),EB168-EA168,INT(EB168)-EA168))+
IF($N168&lt;=1,
IF($N168&gt;0,1/$N168,0),VDB(1,0,$N168,INT(ET$44-2),MIN($N168,INT(ET$44-2)+1),$DC168,IF($DD168="No",1,0))/
IF(EB168&gt;INT($N168),$N168-INT($N168),1))*
IF(ET$44=2,EB168,
IF(INT(EB168)=INT(EA168),0,EB168-INT(EB168)))))</f>
        <v>0</v>
      </c>
      <c r="EU168" s="835">
        <f>+IF(OR(EC168=EB168,EU$44=1),0,
IF(AND(EU$44&gt;1,EC168=$N168),1-SUM($EN168:ET168),
IF($N168&lt;=1,
IF($N168&gt;0,1/$N168,0),
IF(EU$44=2,0,VDB(1,0,$N168,INT(EU$44-2-1),MIN($N168,INT(EU$44-2-1)+1),$DC168,IF($DD168="No",1,0))/
IF(EB168&gt;=INT($N168),$N168-INT($N168),1)))*
IF(EU$44=2,0,
IF(INT(EC168)=INT(EB168),EC168-EB168,INT(EC168)-EB168))+
IF($N168&lt;=1,
IF($N168&gt;0,1/$N168,0),VDB(1,0,$N168,INT(EU$44-2),MIN($N168,INT(EU$44-2)+1),$DC168,IF($DD168="No",1,0))/
IF(EC168&gt;INT($N168),$N168-INT($N168),1))*
IF(EU$44=2,EC168,
IF(INT(EC168)=INT(EB168),0,EC168-INT(EC168)))))</f>
        <v>0</v>
      </c>
      <c r="EV168" s="836">
        <f>+IF(OR(ED168=EC168,EV$44=1),0,
IF(AND(EV$44&gt;1,ED168=$N168),1-SUM($EN168:EU168),
IF($N168&lt;=1,
IF($N168&gt;0,1/$N168,0),
IF(EV$44=2,0,VDB(1,0,$N168,INT(EV$44-2-1),MIN($N168,INT(EV$44-2-1)+1),$DC168,IF($DD168="No",1,0))/
IF(EC168&gt;=INT($N168),$N168-INT($N168),1)))*
IF(EV$44=2,0,
IF(INT(ED168)=INT(EC168),ED168-EC168,INT(ED168)-EC168))+
IF($N168&lt;=1,
IF($N168&gt;0,1/$N168,0),VDB(1,0,$N168,INT(EV$44-2),MIN($N168,INT(EV$44-2)+1),$DC168,IF($DD168="No",1,0))/
IF(ED168&gt;INT($N168),$N168-INT($N168),1))*
IF(EV$44=2,ED168,
IF(INT(ED168)=INT(EC168),0,ED168-INT(ED168)))))</f>
        <v>0</v>
      </c>
      <c r="EW168" s="833"/>
      <c r="EX168" s="834">
        <f t="shared" ca="1" si="350"/>
        <v>0</v>
      </c>
      <c r="EY168" s="835">
        <f t="shared" ca="1" si="350"/>
        <v>0</v>
      </c>
      <c r="EZ168" s="836">
        <f t="shared" ca="1" si="350"/>
        <v>0</v>
      </c>
      <c r="FA168" s="834">
        <f t="shared" ca="1" si="350"/>
        <v>0</v>
      </c>
      <c r="FB168" s="835">
        <f t="shared" ca="1" si="350"/>
        <v>0</v>
      </c>
      <c r="FC168" s="835">
        <f t="shared" ca="1" si="350"/>
        <v>0</v>
      </c>
      <c r="FD168" s="835">
        <f t="shared" ca="1" si="350"/>
        <v>0</v>
      </c>
      <c r="FE168" s="836">
        <f t="shared" ca="1" si="350"/>
        <v>0</v>
      </c>
      <c r="FG168" s="386">
        <f t="shared" ca="1" si="351"/>
        <v>0</v>
      </c>
      <c r="FH168" s="387">
        <f t="shared" ca="1" si="352"/>
        <v>0</v>
      </c>
      <c r="FI168" s="388">
        <f t="shared" ca="1" si="353"/>
        <v>0</v>
      </c>
      <c r="FJ168" s="386">
        <f t="shared" ca="1" si="354"/>
        <v>0</v>
      </c>
      <c r="FK168" s="387">
        <f t="shared" ca="1" si="355"/>
        <v>0</v>
      </c>
      <c r="FL168" s="387">
        <f t="shared" ca="1" si="356"/>
        <v>0</v>
      </c>
      <c r="FM168" s="387">
        <f t="shared" ca="1" si="357"/>
        <v>0</v>
      </c>
      <c r="FN168" s="388">
        <f t="shared" ca="1" si="358"/>
        <v>0</v>
      </c>
      <c r="FR168" s="116"/>
    </row>
    <row r="169" spans="2:174">
      <c r="B169" s="1410">
        <f t="shared" si="302"/>
        <v>123</v>
      </c>
      <c r="C169" s="400" t="s">
        <v>682</v>
      </c>
      <c r="D169" s="410"/>
      <c r="E169" s="402" t="s">
        <v>411</v>
      </c>
      <c r="F169" s="402" t="s">
        <v>527</v>
      </c>
      <c r="G169" s="400" t="s">
        <v>437</v>
      </c>
      <c r="H169" s="2088" t="s">
        <v>483</v>
      </c>
      <c r="I169" s="2089"/>
      <c r="J169" s="411" t="s">
        <v>516</v>
      </c>
      <c r="K169" s="403" t="s">
        <v>544</v>
      </c>
      <c r="L169" s="403">
        <v>10</v>
      </c>
      <c r="M169" s="403" t="s">
        <v>142</v>
      </c>
      <c r="N169" s="403"/>
      <c r="O169" s="347"/>
      <c r="P169" s="347"/>
      <c r="Q169" s="1021">
        <v>4.8644326654170247E-2</v>
      </c>
      <c r="R169" s="1022">
        <v>4.7740453495222927E-2</v>
      </c>
      <c r="S169" s="1022">
        <v>1.7265040716080621E-2</v>
      </c>
      <c r="T169" s="1022">
        <v>1.7265040716080624E-2</v>
      </c>
      <c r="U169" s="1023">
        <v>1.7265040716080624E-2</v>
      </c>
      <c r="V169" s="1021">
        <v>0</v>
      </c>
      <c r="W169" s="1022">
        <v>0</v>
      </c>
      <c r="X169" s="1022">
        <v>0</v>
      </c>
      <c r="Y169" s="1022">
        <v>0</v>
      </c>
      <c r="Z169" s="1023">
        <v>0</v>
      </c>
      <c r="AA169" s="1024"/>
      <c r="AB169" s="1021">
        <v>0</v>
      </c>
      <c r="AC169" s="1022">
        <v>0</v>
      </c>
      <c r="AD169" s="1022">
        <v>0</v>
      </c>
      <c r="AE169" s="1022">
        <v>0</v>
      </c>
      <c r="AF169" s="1023">
        <v>0</v>
      </c>
      <c r="AG169" s="1021">
        <v>0</v>
      </c>
      <c r="AH169" s="1022">
        <v>0</v>
      </c>
      <c r="AI169" s="1022">
        <v>0</v>
      </c>
      <c r="AJ169" s="1022">
        <v>0</v>
      </c>
      <c r="AK169" s="1023">
        <v>0</v>
      </c>
      <c r="AL169" s="1024"/>
      <c r="AM169" s="1021">
        <v>0</v>
      </c>
      <c r="AN169" s="1022">
        <v>0</v>
      </c>
      <c r="AO169" s="1022">
        <v>0</v>
      </c>
      <c r="AP169" s="1022">
        <v>0</v>
      </c>
      <c r="AQ169" s="1023">
        <v>0</v>
      </c>
      <c r="AR169" s="1021">
        <v>0</v>
      </c>
      <c r="AS169" s="1022">
        <v>0</v>
      </c>
      <c r="AT169" s="1022">
        <v>0</v>
      </c>
      <c r="AU169" s="1022">
        <v>0</v>
      </c>
      <c r="AV169" s="1023">
        <v>0</v>
      </c>
      <c r="AW169" s="1025"/>
      <c r="AX169" s="1282">
        <f t="shared" si="304"/>
        <v>4.8644326654170247E-2</v>
      </c>
      <c r="AY169" s="387">
        <f t="shared" si="305"/>
        <v>4.7740453495222927E-2</v>
      </c>
      <c r="AZ169" s="387">
        <f t="shared" si="306"/>
        <v>1.7265040716080621E-2</v>
      </c>
      <c r="BA169" s="387">
        <f t="shared" si="307"/>
        <v>1.7265040716080624E-2</v>
      </c>
      <c r="BB169" s="1283">
        <f t="shared" si="308"/>
        <v>1.7265040716080624E-2</v>
      </c>
      <c r="BC169" s="386">
        <f t="shared" si="309"/>
        <v>0</v>
      </c>
      <c r="BD169" s="387">
        <f t="shared" si="310"/>
        <v>0</v>
      </c>
      <c r="BE169" s="1277">
        <f t="shared" si="311"/>
        <v>0</v>
      </c>
      <c r="BF169" s="1277">
        <f t="shared" si="312"/>
        <v>0</v>
      </c>
      <c r="BG169" s="388">
        <f t="shared" si="313"/>
        <v>0</v>
      </c>
      <c r="BH169" s="1025"/>
      <c r="BI169" s="1282">
        <f t="shared" ca="1" si="314"/>
        <v>2.4322163327085123E-3</v>
      </c>
      <c r="BJ169" s="387">
        <f t="shared" ca="1" si="315"/>
        <v>7.2514553401781708E-3</v>
      </c>
      <c r="BK169" s="387">
        <f t="shared" ca="1" si="316"/>
        <v>1.0501730050743348E-2</v>
      </c>
      <c r="BL169" s="387">
        <f t="shared" ca="1" si="317"/>
        <v>1.2228234122351411E-2</v>
      </c>
      <c r="BM169" s="1283">
        <f t="shared" ca="1" si="318"/>
        <v>1.3954738193959473E-2</v>
      </c>
      <c r="BN169" s="386">
        <f t="shared" ca="1" si="319"/>
        <v>1.4817990229763503E-2</v>
      </c>
      <c r="BO169" s="387">
        <f t="shared" ca="1" si="320"/>
        <v>1.4817990229763503E-2</v>
      </c>
      <c r="BP169" s="1277">
        <f t="shared" ca="1" si="321"/>
        <v>1.4817990229763503E-2</v>
      </c>
      <c r="BQ169" s="1277">
        <f t="shared" ca="1" si="322"/>
        <v>1.4817990229763503E-2</v>
      </c>
      <c r="BR169" s="388">
        <f t="shared" ca="1" si="323"/>
        <v>1.4817990229763503E-2</v>
      </c>
      <c r="BS169" s="1025"/>
      <c r="BT169" s="1282">
        <f>+IF($K169="Ongoing",AX169,IF(RIGHT($K169,2)=RIGHT(BT$43,2),SUM($AX169:AX169),0)+IF(RIGHT(BT$43,2)&gt;RIGHT($K169,2),AX169,0))</f>
        <v>4.8644326654170247E-2</v>
      </c>
      <c r="BU169" s="387">
        <f>+IF($K169="Ongoing",AY169,IF(RIGHT($K169,2)=RIGHT(BU$43,2),SUM($AX169:AY169),0)+IF(RIGHT(BU$43,2)&gt;RIGHT($K169,2),AY169,0))</f>
        <v>4.7740453495222927E-2</v>
      </c>
      <c r="BV169" s="387">
        <f>+IF($K169="Ongoing",AZ169,IF(RIGHT($K169,2)=RIGHT(BV$43,2),SUM($AX169:AZ169),0)+IF(RIGHT(BV$43,2)&gt;RIGHT($K169,2),AZ169,0))</f>
        <v>1.7265040716080621E-2</v>
      </c>
      <c r="BW169" s="387">
        <f>+IF($K169="Ongoing",BA169,IF(RIGHT($K169,2)=RIGHT(BW$43,2),SUM($AX169:BA169),0)+IF(RIGHT(BW$43,2)&gt;RIGHT($K169,2),BA169,0))</f>
        <v>1.7265040716080624E-2</v>
      </c>
      <c r="BX169" s="1283">
        <f>+IF($K169="Ongoing",BB169,IF(RIGHT($K169,2)=RIGHT(BX$43,2),SUM($AX169:BB169),0)+IF(RIGHT(BX$43,2)&gt;RIGHT($K169,2),BB169,0))</f>
        <v>1.7265040716080624E-2</v>
      </c>
      <c r="BY169" s="386">
        <f>+IF($K169="Ongoing",BC169,IF(RIGHT($K169,2)=RIGHT(BY$43,2),SUM($AX169:BC169),0)+IF(RIGHT(BY$43,2)&gt;RIGHT($K169,2),BC169,0))</f>
        <v>0</v>
      </c>
      <c r="BZ169" s="387">
        <f>+IF($K169="Ongoing",BD169,IF(RIGHT($K169,2)=RIGHT(BZ$43,2),SUM($AX169:BD169),0)+IF(RIGHT(BZ$43,2)&gt;RIGHT($K169,2),BD169,0))</f>
        <v>0</v>
      </c>
      <c r="CA169" s="1277">
        <f>+IF($K169="Ongoing",BE169,IF(RIGHT($K169,2)=RIGHT(CA$43,2),SUM($AX169:BE169),0)+IF(RIGHT(CA$43,2)&gt;RIGHT($K169,2),BE169,0))</f>
        <v>0</v>
      </c>
      <c r="CB169" s="1277">
        <f>+IF($K169="Ongoing",BF169,IF(RIGHT($K169,2)=RIGHT(CB$43,2),SUM($AX169:BF169),0)+IF(RIGHT(CB$43,2)&gt;RIGHT($K169,2),BF169,0))</f>
        <v>0</v>
      </c>
      <c r="CC169" s="388">
        <f>+IF($K169="Ongoing",BG169,IF(RIGHT($K169,2)=RIGHT(CC$43,2),SUM($AX169:BG169),0)+IF(RIGHT(CC$43,2)&gt;RIGHT($K169,2),BG169,0))</f>
        <v>0</v>
      </c>
      <c r="CD169" s="1025"/>
      <c r="CE169" s="1282">
        <f>+Q169*KeyAssumptionsPriceControl_FO!AF$15</f>
        <v>5.0055012127141182E-2</v>
      </c>
      <c r="CF169" s="387">
        <f>+R169*KeyAssumptionsPriceControl_FO!AG$15</f>
        <v>5.0549549519335338E-2</v>
      </c>
      <c r="CG169" s="387">
        <f>+S169*KeyAssumptionsPriceControl_FO!AH$15</f>
        <v>1.8811080033184328E-2</v>
      </c>
      <c r="CH169" s="387">
        <f>+T169*KeyAssumptionsPriceControl_FO!AI$15</f>
        <v>1.9356601354146678E-2</v>
      </c>
      <c r="CI169" s="1283">
        <f>+U169*KeyAssumptionsPriceControl_FO!AJ$15</f>
        <v>1.9917942793416927E-2</v>
      </c>
      <c r="CJ169" s="386">
        <f>+V169*KeyAssumptionsPriceControl_FO!AK$15</f>
        <v>0</v>
      </c>
      <c r="CK169" s="387">
        <f>+W169*KeyAssumptionsPriceControl_FO!AL$15</f>
        <v>0</v>
      </c>
      <c r="CL169" s="1277">
        <f>+X169*KeyAssumptionsPriceControl_FO!AM$15</f>
        <v>0</v>
      </c>
      <c r="CM169" s="1277">
        <f>+Y169*KeyAssumptionsPriceControl_FO!AN$15</f>
        <v>0</v>
      </c>
      <c r="CN169" s="388">
        <f>+Z169*KeyAssumptionsPriceControl_FO!AO$15</f>
        <v>0</v>
      </c>
      <c r="CO169" s="1025"/>
      <c r="CP169" s="1282">
        <f t="shared" ca="1" si="324"/>
        <v>0</v>
      </c>
      <c r="CQ169" s="387">
        <f t="shared" ca="1" si="325"/>
        <v>0</v>
      </c>
      <c r="CR169" s="387">
        <f t="shared" ca="1" si="326"/>
        <v>0</v>
      </c>
      <c r="CS169" s="387">
        <f t="shared" ca="1" si="327"/>
        <v>0</v>
      </c>
      <c r="CT169" s="1283">
        <f t="shared" ca="1" si="328"/>
        <v>0</v>
      </c>
      <c r="CU169" s="386">
        <f t="shared" ca="1" si="329"/>
        <v>0</v>
      </c>
      <c r="CV169" s="387">
        <f t="shared" ca="1" si="330"/>
        <v>0</v>
      </c>
      <c r="CW169" s="1277">
        <f t="shared" ca="1" si="331"/>
        <v>0</v>
      </c>
      <c r="CX169" s="1277">
        <f t="shared" ca="1" si="332"/>
        <v>0</v>
      </c>
      <c r="CY169" s="388">
        <f t="shared" ca="1" si="333"/>
        <v>0</v>
      </c>
      <c r="CZ169" s="347"/>
      <c r="DA169" s="852"/>
      <c r="DB169" s="347"/>
      <c r="DC169" s="1012" t="s">
        <v>684</v>
      </c>
      <c r="DD169" s="841" t="s">
        <v>518</v>
      </c>
      <c r="DE169" s="386">
        <f>+IF($K169="ongoing",CE169,IF(RIGHT($K169,2)=RIGHT(DE$43,2),SUM($CD169:CE169),0)+IF(RIGHT(DE$43,2)&gt;RIGHT($K169,2),CE169,0))</f>
        <v>5.0055012127141182E-2</v>
      </c>
      <c r="DF169" s="387">
        <f>+IF($K169="ongoing",CF169,IF(RIGHT($K169,2)=RIGHT(DF$43,2),SUM($CD169:CF169),0)+IF(RIGHT(DF$43,2)&gt;RIGHT($K169,2),CF169,0))</f>
        <v>5.0549549519335338E-2</v>
      </c>
      <c r="DG169" s="388">
        <f>+IF($K169="ongoing",CG169,IF(RIGHT($K169,2)=RIGHT(DG$43,2),SUM($CD169:CG169),0)+IF(RIGHT(DG$43,2)&gt;RIGHT($K169,2),CG169,0))</f>
        <v>1.8811080033184328E-2</v>
      </c>
      <c r="DH169" s="386">
        <f>+IF($K169="ongoing",CH169,IF(RIGHT($K169,2)=RIGHT(DH$43,2),SUM($CD169:CH169),0)+IF(RIGHT(DH$43,2)&gt;RIGHT($K169,2),CH169,0))</f>
        <v>1.9356601354146678E-2</v>
      </c>
      <c r="DI169" s="387">
        <f>+IF($K169="ongoing",CI169,IF(RIGHT($K169,2)=RIGHT(DI$43,2),SUM($CD169:CI169),0)+IF(RIGHT(DI$43,2)&gt;RIGHT($K169,2),CI169,0))</f>
        <v>1.9917942793416927E-2</v>
      </c>
      <c r="DJ169" s="387">
        <f>+IF($K169="ongoing",CJ169,IF(RIGHT($K169,2)=RIGHT(DJ$43,2),SUM($CD169:CJ169),0)+IF(RIGHT(DJ$43,2)&gt;RIGHT($K169,2),CJ169,0))</f>
        <v>0</v>
      </c>
      <c r="DK169" s="387">
        <f>+IF($K169="ongoing",CK169,IF(RIGHT($K169,2)=RIGHT(DK$43,2),SUM($CD169:CK169),0)+IF(RIGHT(DK$43,2)&gt;RIGHT($K169,2),CK169,0))</f>
        <v>0</v>
      </c>
      <c r="DL169" s="388">
        <f>+IF($K169="ongoing",CN169,IF(RIGHT($K169,2)=RIGHT(DL$43,2),SUM($CD169:CN169),0)+IF(RIGHT(DL$43,2)&gt;RIGHT($K169,2),CN169,0))</f>
        <v>0</v>
      </c>
      <c r="DM169" s="841"/>
      <c r="DN169" s="386">
        <f t="shared" si="334"/>
        <v>0.5</v>
      </c>
      <c r="DO169" s="387">
        <f t="shared" si="335"/>
        <v>1</v>
      </c>
      <c r="DP169" s="388">
        <f t="shared" si="336"/>
        <v>1</v>
      </c>
      <c r="DQ169" s="386">
        <f t="shared" si="337"/>
        <v>1</v>
      </c>
      <c r="DR169" s="387">
        <f t="shared" si="338"/>
        <v>1</v>
      </c>
      <c r="DS169" s="387">
        <f t="shared" si="339"/>
        <v>1</v>
      </c>
      <c r="DT169" s="387">
        <f t="shared" si="340"/>
        <v>1</v>
      </c>
      <c r="DU169" s="388">
        <f t="shared" si="341"/>
        <v>1</v>
      </c>
      <c r="DW169" s="386">
        <f t="shared" si="342"/>
        <v>0</v>
      </c>
      <c r="DX169" s="387">
        <f t="shared" si="343"/>
        <v>0.5</v>
      </c>
      <c r="DY169" s="388">
        <f t="shared" si="344"/>
        <v>1</v>
      </c>
      <c r="DZ169" s="386">
        <f t="shared" si="345"/>
        <v>1</v>
      </c>
      <c r="EA169" s="387">
        <f t="shared" si="346"/>
        <v>1</v>
      </c>
      <c r="EB169" s="387">
        <f t="shared" si="347"/>
        <v>1</v>
      </c>
      <c r="EC169" s="387">
        <f t="shared" si="348"/>
        <v>1</v>
      </c>
      <c r="ED169" s="388">
        <f t="shared" si="349"/>
        <v>1</v>
      </c>
      <c r="EF169" s="834">
        <f>+IF(DN169=DM169,0,
IF(AND(EF$44&gt;1,DN169=$N169),1-SUM($EE169:EE169),
IF($N169&lt;=1,
IF($N169&gt;0,1/$N169,0),
IF(EF$44=1,0,VDB(1,0,$N169,INT(EF$44-1-1),MIN($N169,INT(EF$44-1-1)+1),$DC169,IF($DD169="No",1,0))/
IF(DM169&gt;=INT($N169),$N169-INT($N169),1)))*
IF(EF$44=1,0,
IF(INT(DN169)=INT(DM169),DN169-DM169,INT(DN169)-DM169))+
IF($N169&lt;=1,
IF($N169&gt;0,1/$N169,0),VDB(1,0,$N169,INT(EF$44-1),MIN($N169,INT(EF$44-1)+1),$DC169,IF($DD169="No",1,0))/
IF(DN169&gt;INT($N169),$N169-INT($N169),1))*
IF(EF$44=1,DN169,
IF(INT(DN169)=INT(DM169),0,DN169-INT(DN169)))))</f>
        <v>0</v>
      </c>
      <c r="EG169" s="835">
        <f>+IF(DO169=DN169,0,
IF(AND(EG$44&gt;1,DO169=$N169),1-SUM($EE169:EF169),
IF($N169&lt;=1,
IF($N169&gt;0,1/$N169,0),
IF(EG$44=1,0,VDB(1,0,$N169,INT(EG$44-1-1),MIN($N169,INT(EG$44-1-1)+1),$DC169,IF($DD169="No",1,0))/
IF(DN169&gt;=INT($N169),$N169-INT($N169),1)))*
IF(EG$44=1,0,
IF(INT(DO169)=INT(DN169),DO169-DN169,INT(DO169)-DN169))+
IF($N169&lt;=1,
IF($N169&gt;0,1/$N169,0),VDB(1,0,$N169,INT(EG$44-1),MIN($N169,INT(EG$44-1)+1),$DC169,IF($DD169="No",1,0))/
IF(DO169&gt;INT($N169),$N169-INT($N169),1))*
IF(EG$44=1,DO169,
IF(INT(DO169)=INT(DN169),0,DO169-INT(DO169)))))</f>
        <v>0</v>
      </c>
      <c r="EH169" s="836">
        <f>+IF(DP169=DO169,0,
IF(AND(EH$44&gt;1,DP169=$N169),1-SUM($EE169:EG169),
IF($N169&lt;=1,
IF($N169&gt;0,1/$N169,0),
IF(EH$44=1,0,VDB(1,0,$N169,INT(EH$44-1-1),MIN($N169,INT(EH$44-1-1)+1),$DC169,IF($DD169="No",1,0))/
IF(DO169&gt;=INT($N169),$N169-INT($N169),1)))*
IF(EH$44=1,0,
IF(INT(DP169)=INT(DO169),DP169-DO169,INT(DP169)-DO169))+
IF($N169&lt;=1,
IF($N169&gt;0,1/$N169,0),VDB(1,0,$N169,INT(EH$44-1),MIN($N169,INT(EH$44-1)+1),$DC169,IF($DD169="No",1,0))/
IF(DP169&gt;INT($N169),$N169-INT($N169),1))*
IF(EH$44=1,DP169,
IF(INT(DP169)=INT(DO169),0,DP169-INT(DP169)))))</f>
        <v>0</v>
      </c>
      <c r="EI169" s="834">
        <f>+IF(DQ169=DP169,0,
IF(AND(EI$44&gt;1,DQ169=$N169),1-SUM($EE169:EH169),
IF($N169&lt;=1,
IF($N169&gt;0,1/$N169,0),
IF(EI$44=1,0,VDB(1,0,$N169,INT(EI$44-1-1),MIN($N169,INT(EI$44-1-1)+1),$DC169,IF($DD169="No",1,0))/
IF(DP169&gt;=INT($N169),$N169-INT($N169),1)))*
IF(EI$44=1,0,
IF(INT(DQ169)=INT(DP169),DQ169-DP169,INT(DQ169)-DP169))+
IF($N169&lt;=1,
IF($N169&gt;0,1/$N169,0),VDB(1,0,$N169,INT(EI$44-1),MIN($N169,INT(EI$44-1)+1),$DC169,IF($DD169="No",1,0))/
IF(DQ169&gt;INT($N169),$N169-INT($N169),1))*
IF(EI$44=1,DQ169,
IF(INT(DQ169)=INT(DP169),0,DQ169-INT(DQ169)))))</f>
        <v>0</v>
      </c>
      <c r="EJ169" s="835">
        <f>+IF(DR169=DQ169,0,
IF(AND(EJ$44&gt;1,DR169=$N169),1-SUM($EE169:EI169),
IF($N169&lt;=1,
IF($N169&gt;0,1/$N169,0),
IF(EJ$44=1,0,VDB(1,0,$N169,INT(EJ$44-1-1),MIN($N169,INT(EJ$44-1-1)+1),$DC169,IF($DD169="No",1,0))/
IF(DQ169&gt;=INT($N169),$N169-INT($N169),1)))*
IF(EJ$44=1,0,
IF(INT(DR169)=INT(DQ169),DR169-DQ169,INT(DR169)-DQ169))+
IF($N169&lt;=1,
IF($N169&gt;0,1/$N169,0),VDB(1,0,$N169,INT(EJ$44-1),MIN($N169,INT(EJ$44-1)+1),$DC169,IF($DD169="No",1,0))/
IF(DR169&gt;INT($N169),$N169-INT($N169),1))*
IF(EJ$44=1,DR169,
IF(INT(DR169)=INT(DQ169),0,DR169-INT(DR169)))))</f>
        <v>0</v>
      </c>
      <c r="EK169" s="835">
        <f>+IF(DS169=DR169,0,
IF(AND(EK$44&gt;1,DS169=$N169),1-SUM($EE169:EJ169),
IF($N169&lt;=1,
IF($N169&gt;0,1/$N169,0),
IF(EK$44=1,0,VDB(1,0,$N169,INT(EK$44-1-1),MIN($N169,INT(EK$44-1-1)+1),$DC169,IF($DD169="No",1,0))/
IF(DR169&gt;=INT($N169),$N169-INT($N169),1)))*
IF(EK$44=1,0,
IF(INT(DS169)=INT(DR169),DS169-DR169,INT(DS169)-DR169))+
IF($N169&lt;=1,
IF($N169&gt;0,1/$N169,0),VDB(1,0,$N169,INT(EK$44-1),MIN($N169,INT(EK$44-1)+1),$DC169,IF($DD169="No",1,0))/
IF(DS169&gt;INT($N169),$N169-INT($N169),1))*
IF(EK$44=1,DS169,
IF(INT(DS169)=INT(DR169),0,DS169-INT(DS169)))))</f>
        <v>0</v>
      </c>
      <c r="EL169" s="835">
        <f>+IF(DT169=DS169,0,
IF(AND(EL$44&gt;1,DT169=$N169),1-SUM($EE169:EK169),
IF($N169&lt;=1,
IF($N169&gt;0,1/$N169,0),
IF(EL$44=1,0,VDB(1,0,$N169,INT(EL$44-1-1),MIN($N169,INT(EL$44-1-1)+1),$DC169,IF($DD169="No",1,0))/
IF(DS169&gt;=INT($N169),$N169-INT($N169),1)))*
IF(EL$44=1,0,
IF(INT(DT169)=INT(DS169),DT169-DS169,INT(DT169)-DS169))+
IF($N169&lt;=1,
IF($N169&gt;0,1/$N169,0),VDB(1,0,$N169,INT(EL$44-1),MIN($N169,INT(EL$44-1)+1),$DC169,IF($DD169="No",1,0))/
IF(DT169&gt;INT($N169),$N169-INT($N169),1))*
IF(EL$44=1,DT169,
IF(INT(DT169)=INT(DS169),0,DT169-INT(DT169)))))</f>
        <v>0</v>
      </c>
      <c r="EM169" s="836">
        <f>+IF(DU169=DT169,0,
IF(AND(EM$44&gt;1,DU169=$N169),1-SUM($EE169:EL169),
IF($N169&lt;=1,
IF($N169&gt;0,1/$N169,0),
IF(EM$44=1,0,VDB(1,0,$N169,INT(EM$44-1-1),MIN($N169,INT(EM$44-1-1)+1),$DC169,IF($DD169="No",1,0))/
IF(DT169&gt;=INT($N169),$N169-INT($N169),1)))*
IF(EM$44=1,0,
IF(INT(DU169)=INT(DT169),DU169-DT169,INT(DU169)-DT169))+
IF($N169&lt;=1,
IF($N169&gt;0,1/$N169,0),VDB(1,0,$N169,INT(EM$44-1),MIN($N169,INT(EM$44-1)+1),$DC169,IF($DD169="No",1,0))/
IF(DU169&gt;INT($N169),$N169-INT($N169),1))*
IF(EM$44=1,DU169,
IF(INT(DU169)=INT(DT169),0,DU169-INT(DU169)))))</f>
        <v>0</v>
      </c>
      <c r="EN169" s="833"/>
      <c r="EO169" s="834">
        <f>+IF(OR(DW169=DV169,EO$44=1),0,
IF(AND(EO$44&gt;1,DW169=$N169),1-SUM($EN169:EN169),
IF($N169&lt;=1,
IF($N169&gt;0,1/$N169,0),
IF(EO$44=2,0,VDB(1,0,$N169,INT(EO$44-2-1),MIN($N169,INT(EO$44-2-1)+1),$DC169,IF($DD169="No",1,0))/
IF(DV169&gt;=INT($N169),$N169-INT($N169),1)))*
IF(EO$44=2,0,
IF(INT(DW169)=INT(DV169),DW169-DV169,INT(DW169)-DV169))+
IF($N169&lt;=1,
IF($N169&gt;0,1/$N169,0),VDB(1,0,$N169,INT(EO$44-2),MIN($N169,INT(EO$44-2)+1),$DC169,IF($DD169="No",1,0))/
IF(DW169&gt;INT($N169),$N169-INT($N169),1))*
IF(EO$44=2,DW169,
IF(INT(DW169)=INT(DV169),0,DW169-INT(DW169)))))</f>
        <v>0</v>
      </c>
      <c r="EP169" s="835">
        <f>+IF(OR(DX169=DW169,EP$44=1),0,
IF(AND(EP$44&gt;1,DX169=$N169),1-SUM($EN169:EO169),
IF($N169&lt;=1,
IF($N169&gt;0,1/$N169,0),
IF(EP$44=2,0,VDB(1,0,$N169,INT(EP$44-2-1),MIN($N169,INT(EP$44-2-1)+1),$DC169,IF($DD169="No",1,0))/
IF(DW169&gt;=INT($N169),$N169-INT($N169),1)))*
IF(EP$44=2,0,
IF(INT(DX169)=INT(DW169),DX169-DW169,INT(DX169)-DW169))+
IF($N169&lt;=1,
IF($N169&gt;0,1/$N169,0),VDB(1,0,$N169,INT(EP$44-2),MIN($N169,INT(EP$44-2)+1),$DC169,IF($DD169="No",1,0))/
IF(DX169&gt;INT($N169),$N169-INT($N169),1))*
IF(EP$44=2,DX169,
IF(INT(DX169)=INT(DW169),0,DX169-INT(DX169)))))</f>
        <v>0</v>
      </c>
      <c r="EQ169" s="836">
        <f>+IF(OR(DY169=DX169,EQ$44=1),0,
IF(AND(EQ$44&gt;1,DY169=$N169),1-SUM($EN169:EP169),
IF($N169&lt;=1,
IF($N169&gt;0,1/$N169,0),
IF(EQ$44=2,0,VDB(1,0,$N169,INT(EQ$44-2-1),MIN($N169,INT(EQ$44-2-1)+1),$DC169,IF($DD169="No",1,0))/
IF(DX169&gt;=INT($N169),$N169-INT($N169),1)))*
IF(EQ$44=2,0,
IF(INT(DY169)=INT(DX169),DY169-DX169,INT(DY169)-DX169))+
IF($N169&lt;=1,
IF($N169&gt;0,1/$N169,0),VDB(1,0,$N169,INT(EQ$44-2),MIN($N169,INT(EQ$44-2)+1),$DC169,IF($DD169="No",1,0))/
IF(DY169&gt;INT($N169),$N169-INT($N169),1))*
IF(EQ$44=2,DY169,
IF(INT(DY169)=INT(DX169),0,DY169-INT(DY169)))))</f>
        <v>0</v>
      </c>
      <c r="ER169" s="834">
        <f>+IF(OR(DZ169=DY169,ER$44=1),0,
IF(AND(ER$44&gt;1,DZ169=$N169),1-SUM($EN169:EQ169),
IF($N169&lt;=1,
IF($N169&gt;0,1/$N169,0),
IF(ER$44=2,0,VDB(1,0,$N169,INT(ER$44-2-1),MIN($N169,INT(ER$44-2-1)+1),$DC169,IF($DD169="No",1,0))/
IF(DY169&gt;=INT($N169),$N169-INT($N169),1)))*
IF(ER$44=2,0,
IF(INT(DZ169)=INT(DY169),DZ169-DY169,INT(DZ169)-DY169))+
IF($N169&lt;=1,
IF($N169&gt;0,1/$N169,0),VDB(1,0,$N169,INT(ER$44-2),MIN($N169,INT(ER$44-2)+1),$DC169,IF($DD169="No",1,0))/
IF(DZ169&gt;INT($N169),$N169-INT($N169),1))*
IF(ER$44=2,DZ169,
IF(INT(DZ169)=INT(DY169),0,DZ169-INT(DZ169)))))</f>
        <v>0</v>
      </c>
      <c r="ES169" s="835">
        <f>+IF(OR(EA169=DZ169,ES$44=1),0,
IF(AND(ES$44&gt;1,EA169=$N169),1-SUM($EN169:ER169),
IF($N169&lt;=1,
IF($N169&gt;0,1/$N169,0),
IF(ES$44=2,0,VDB(1,0,$N169,INT(ES$44-2-1),MIN($N169,INT(ES$44-2-1)+1),$DC169,IF($DD169="No",1,0))/
IF(DZ169&gt;=INT($N169),$N169-INT($N169),1)))*
IF(ES$44=2,0,
IF(INT(EA169)=INT(DZ169),EA169-DZ169,INT(EA169)-DZ169))+
IF($N169&lt;=1,
IF($N169&gt;0,1/$N169,0),VDB(1,0,$N169,INT(ES$44-2),MIN($N169,INT(ES$44-2)+1),$DC169,IF($DD169="No",1,0))/
IF(EA169&gt;INT($N169),$N169-INT($N169),1))*
IF(ES$44=2,EA169,
IF(INT(EA169)=INT(DZ169),0,EA169-INT(EA169)))))</f>
        <v>0</v>
      </c>
      <c r="ET169" s="835">
        <f>+IF(OR(EB169=EA169,ET$44=1),0,
IF(AND(ET$44&gt;1,EB169=$N169),1-SUM($EN169:ES169),
IF($N169&lt;=1,
IF($N169&gt;0,1/$N169,0),
IF(ET$44=2,0,VDB(1,0,$N169,INT(ET$44-2-1),MIN($N169,INT(ET$44-2-1)+1),$DC169,IF($DD169="No",1,0))/
IF(EA169&gt;=INT($N169),$N169-INT($N169),1)))*
IF(ET$44=2,0,
IF(INT(EB169)=INT(EA169),EB169-EA169,INT(EB169)-EA169))+
IF($N169&lt;=1,
IF($N169&gt;0,1/$N169,0),VDB(1,0,$N169,INT(ET$44-2),MIN($N169,INT(ET$44-2)+1),$DC169,IF($DD169="No",1,0))/
IF(EB169&gt;INT($N169),$N169-INT($N169),1))*
IF(ET$44=2,EB169,
IF(INT(EB169)=INT(EA169),0,EB169-INT(EB169)))))</f>
        <v>0</v>
      </c>
      <c r="EU169" s="835">
        <f>+IF(OR(EC169=EB169,EU$44=1),0,
IF(AND(EU$44&gt;1,EC169=$N169),1-SUM($EN169:ET169),
IF($N169&lt;=1,
IF($N169&gt;0,1/$N169,0),
IF(EU$44=2,0,VDB(1,0,$N169,INT(EU$44-2-1),MIN($N169,INT(EU$44-2-1)+1),$DC169,IF($DD169="No",1,0))/
IF(EB169&gt;=INT($N169),$N169-INT($N169),1)))*
IF(EU$44=2,0,
IF(INT(EC169)=INT(EB169),EC169-EB169,INT(EC169)-EB169))+
IF($N169&lt;=1,
IF($N169&gt;0,1/$N169,0),VDB(1,0,$N169,INT(EU$44-2),MIN($N169,INT(EU$44-2)+1),$DC169,IF($DD169="No",1,0))/
IF(EC169&gt;INT($N169),$N169-INT($N169),1))*
IF(EU$44=2,EC169,
IF(INT(EC169)=INT(EB169),0,EC169-INT(EC169)))))</f>
        <v>0</v>
      </c>
      <c r="EV169" s="836">
        <f>+IF(OR(ED169=EC169,EV$44=1),0,
IF(AND(EV$44&gt;1,ED169=$N169),1-SUM($EN169:EU169),
IF($N169&lt;=1,
IF($N169&gt;0,1/$N169,0),
IF(EV$44=2,0,VDB(1,0,$N169,INT(EV$44-2-1),MIN($N169,INT(EV$44-2-1)+1),$DC169,IF($DD169="No",1,0))/
IF(EC169&gt;=INT($N169),$N169-INT($N169),1)))*
IF(EV$44=2,0,
IF(INT(ED169)=INT(EC169),ED169-EC169,INT(ED169)-EC169))+
IF($N169&lt;=1,
IF($N169&gt;0,1/$N169,0),VDB(1,0,$N169,INT(EV$44-2),MIN($N169,INT(EV$44-2)+1),$DC169,IF($DD169="No",1,0))/
IF(ED169&gt;INT($N169),$N169-INT($N169),1))*
IF(EV$44=2,ED169,
IF(INT(ED169)=INT(EC169),0,ED169-INT(ED169)))))</f>
        <v>0</v>
      </c>
      <c r="EW169" s="833"/>
      <c r="EX169" s="834">
        <f t="shared" ca="1" si="350"/>
        <v>0</v>
      </c>
      <c r="EY169" s="835">
        <f t="shared" ca="1" si="350"/>
        <v>0</v>
      </c>
      <c r="EZ169" s="836">
        <f t="shared" ca="1" si="350"/>
        <v>0</v>
      </c>
      <c r="FA169" s="834">
        <f t="shared" ca="1" si="350"/>
        <v>0</v>
      </c>
      <c r="FB169" s="835">
        <f t="shared" ca="1" si="350"/>
        <v>0</v>
      </c>
      <c r="FC169" s="835">
        <f t="shared" ca="1" si="350"/>
        <v>0</v>
      </c>
      <c r="FD169" s="835">
        <f t="shared" ca="1" si="350"/>
        <v>0</v>
      </c>
      <c r="FE169" s="836">
        <f t="shared" ca="1" si="350"/>
        <v>0</v>
      </c>
      <c r="FG169" s="386">
        <f t="shared" ca="1" si="351"/>
        <v>0</v>
      </c>
      <c r="FH169" s="387">
        <f t="shared" ca="1" si="352"/>
        <v>0</v>
      </c>
      <c r="FI169" s="388">
        <f t="shared" ca="1" si="353"/>
        <v>0</v>
      </c>
      <c r="FJ169" s="386">
        <f t="shared" ca="1" si="354"/>
        <v>0</v>
      </c>
      <c r="FK169" s="387">
        <f t="shared" ca="1" si="355"/>
        <v>0</v>
      </c>
      <c r="FL169" s="387">
        <f t="shared" ca="1" si="356"/>
        <v>0</v>
      </c>
      <c r="FM169" s="387">
        <f t="shared" ca="1" si="357"/>
        <v>0</v>
      </c>
      <c r="FN169" s="388">
        <f t="shared" ca="1" si="358"/>
        <v>0</v>
      </c>
      <c r="FR169" s="116"/>
    </row>
    <row r="170" spans="2:174">
      <c r="B170" s="1410">
        <f t="shared" si="302"/>
        <v>124</v>
      </c>
      <c r="C170" s="400" t="s">
        <v>682</v>
      </c>
      <c r="D170" s="410"/>
      <c r="E170" s="402" t="s">
        <v>402</v>
      </c>
      <c r="F170" s="402" t="s">
        <v>527</v>
      </c>
      <c r="G170" s="400" t="s">
        <v>437</v>
      </c>
      <c r="H170" s="2088" t="s">
        <v>483</v>
      </c>
      <c r="I170" s="2089"/>
      <c r="J170" s="411" t="s">
        <v>516</v>
      </c>
      <c r="K170" s="403" t="s">
        <v>544</v>
      </c>
      <c r="L170" s="403">
        <v>10</v>
      </c>
      <c r="M170" s="403" t="s">
        <v>142</v>
      </c>
      <c r="N170" s="403"/>
      <c r="O170" s="347"/>
      <c r="P170" s="347"/>
      <c r="Q170" s="1021">
        <v>3.9888539445630022</v>
      </c>
      <c r="R170" s="1022">
        <v>3.9147359895323199</v>
      </c>
      <c r="S170" s="1022">
        <v>1.4157401386801816</v>
      </c>
      <c r="T170" s="1022">
        <v>1.4157401386801816</v>
      </c>
      <c r="U170" s="1023">
        <v>1.4157401386801816</v>
      </c>
      <c r="V170" s="1021">
        <v>0</v>
      </c>
      <c r="W170" s="1022">
        <v>0</v>
      </c>
      <c r="X170" s="1022">
        <v>0</v>
      </c>
      <c r="Y170" s="1022">
        <v>0</v>
      </c>
      <c r="Z170" s="1023">
        <v>0</v>
      </c>
      <c r="AA170" s="1024"/>
      <c r="AB170" s="1021">
        <v>0</v>
      </c>
      <c r="AC170" s="1022">
        <v>0</v>
      </c>
      <c r="AD170" s="1022">
        <v>0</v>
      </c>
      <c r="AE170" s="1022">
        <v>0</v>
      </c>
      <c r="AF170" s="1023">
        <v>0</v>
      </c>
      <c r="AG170" s="1021">
        <v>0</v>
      </c>
      <c r="AH170" s="1022">
        <v>0</v>
      </c>
      <c r="AI170" s="1022">
        <v>0</v>
      </c>
      <c r="AJ170" s="1022">
        <v>0</v>
      </c>
      <c r="AK170" s="1023">
        <v>0</v>
      </c>
      <c r="AL170" s="1024"/>
      <c r="AM170" s="1021">
        <v>0</v>
      </c>
      <c r="AN170" s="1022">
        <v>0</v>
      </c>
      <c r="AO170" s="1022">
        <v>0</v>
      </c>
      <c r="AP170" s="1022">
        <v>0</v>
      </c>
      <c r="AQ170" s="1023">
        <v>0</v>
      </c>
      <c r="AR170" s="1021">
        <v>0</v>
      </c>
      <c r="AS170" s="1022">
        <v>0</v>
      </c>
      <c r="AT170" s="1022">
        <v>0</v>
      </c>
      <c r="AU170" s="1022">
        <v>0</v>
      </c>
      <c r="AV170" s="1023">
        <v>0</v>
      </c>
      <c r="AW170" s="1025"/>
      <c r="AX170" s="1282">
        <f t="shared" si="304"/>
        <v>3.9888539445630022</v>
      </c>
      <c r="AY170" s="387">
        <f t="shared" si="305"/>
        <v>3.9147359895323199</v>
      </c>
      <c r="AZ170" s="387">
        <f t="shared" si="306"/>
        <v>1.4157401386801816</v>
      </c>
      <c r="BA170" s="387">
        <f t="shared" si="307"/>
        <v>1.4157401386801816</v>
      </c>
      <c r="BB170" s="1283">
        <f t="shared" si="308"/>
        <v>1.4157401386801816</v>
      </c>
      <c r="BC170" s="386">
        <f t="shared" si="309"/>
        <v>0</v>
      </c>
      <c r="BD170" s="387">
        <f t="shared" si="310"/>
        <v>0</v>
      </c>
      <c r="BE170" s="1277">
        <f t="shared" si="311"/>
        <v>0</v>
      </c>
      <c r="BF170" s="1277">
        <f t="shared" si="312"/>
        <v>0</v>
      </c>
      <c r="BG170" s="388">
        <f t="shared" si="313"/>
        <v>0</v>
      </c>
      <c r="BH170" s="1025"/>
      <c r="BI170" s="1282">
        <f t="shared" ca="1" si="314"/>
        <v>0.19944269722815011</v>
      </c>
      <c r="BJ170" s="387">
        <f t="shared" ca="1" si="315"/>
        <v>0.59462219393291615</v>
      </c>
      <c r="BK170" s="387">
        <f t="shared" ca="1" si="316"/>
        <v>0.86114600034354127</v>
      </c>
      <c r="BL170" s="387">
        <f t="shared" ca="1" si="317"/>
        <v>1.0027200142115595</v>
      </c>
      <c r="BM170" s="1283">
        <f t="shared" ca="1" si="318"/>
        <v>1.1442940280795777</v>
      </c>
      <c r="BN170" s="386">
        <f t="shared" ca="1" si="319"/>
        <v>1.2150810350135868</v>
      </c>
      <c r="BO170" s="387">
        <f t="shared" ca="1" si="320"/>
        <v>1.2150810350135868</v>
      </c>
      <c r="BP170" s="1277">
        <f t="shared" ca="1" si="321"/>
        <v>1.2150810350135868</v>
      </c>
      <c r="BQ170" s="1277">
        <f t="shared" ca="1" si="322"/>
        <v>1.2150810350135868</v>
      </c>
      <c r="BR170" s="388">
        <f t="shared" ca="1" si="323"/>
        <v>1.2150810350135868</v>
      </c>
      <c r="BS170" s="1025"/>
      <c r="BT170" s="1282">
        <f>+IF($K170="Ongoing",AX170,IF(RIGHT($K170,2)=RIGHT(BT$43,2),SUM($AX170:AX170),0)+IF(RIGHT(BT$43,2)&gt;RIGHT($K170,2),AX170,0))</f>
        <v>3.9888539445630022</v>
      </c>
      <c r="BU170" s="387">
        <f>+IF($K170="Ongoing",AY170,IF(RIGHT($K170,2)=RIGHT(BU$43,2),SUM($AX170:AY170),0)+IF(RIGHT(BU$43,2)&gt;RIGHT($K170,2),AY170,0))</f>
        <v>3.9147359895323199</v>
      </c>
      <c r="BV170" s="387">
        <f>+IF($K170="Ongoing",AZ170,IF(RIGHT($K170,2)=RIGHT(BV$43,2),SUM($AX170:AZ170),0)+IF(RIGHT(BV$43,2)&gt;RIGHT($K170,2),AZ170,0))</f>
        <v>1.4157401386801816</v>
      </c>
      <c r="BW170" s="387">
        <f>+IF($K170="Ongoing",BA170,IF(RIGHT($K170,2)=RIGHT(BW$43,2),SUM($AX170:BA170),0)+IF(RIGHT(BW$43,2)&gt;RIGHT($K170,2),BA170,0))</f>
        <v>1.4157401386801816</v>
      </c>
      <c r="BX170" s="1283">
        <f>+IF($K170="Ongoing",BB170,IF(RIGHT($K170,2)=RIGHT(BX$43,2),SUM($AX170:BB170),0)+IF(RIGHT(BX$43,2)&gt;RIGHT($K170,2),BB170,0))</f>
        <v>1.4157401386801816</v>
      </c>
      <c r="BY170" s="386">
        <f>+IF($K170="Ongoing",BC170,IF(RIGHT($K170,2)=RIGHT(BY$43,2),SUM($AX170:BC170),0)+IF(RIGHT(BY$43,2)&gt;RIGHT($K170,2),BC170,0))</f>
        <v>0</v>
      </c>
      <c r="BZ170" s="387">
        <f>+IF($K170="Ongoing",BD170,IF(RIGHT($K170,2)=RIGHT(BZ$43,2),SUM($AX170:BD170),0)+IF(RIGHT(BZ$43,2)&gt;RIGHT($K170,2),BD170,0))</f>
        <v>0</v>
      </c>
      <c r="CA170" s="1277">
        <f>+IF($K170="Ongoing",BE170,IF(RIGHT($K170,2)=RIGHT(CA$43,2),SUM($AX170:BE170),0)+IF(RIGHT(CA$43,2)&gt;RIGHT($K170,2),BE170,0))</f>
        <v>0</v>
      </c>
      <c r="CB170" s="1277">
        <f>+IF($K170="Ongoing",BF170,IF(RIGHT($K170,2)=RIGHT(CB$43,2),SUM($AX170:BF170),0)+IF(RIGHT(CB$43,2)&gt;RIGHT($K170,2),BF170,0))</f>
        <v>0</v>
      </c>
      <c r="CC170" s="388">
        <f>+IF($K170="Ongoing",BG170,IF(RIGHT($K170,2)=RIGHT(CC$43,2),SUM($AX170:BG170),0)+IF(RIGHT(CC$43,2)&gt;RIGHT($K170,2),BG170,0))</f>
        <v>0</v>
      </c>
      <c r="CD170" s="1025"/>
      <c r="CE170" s="1282">
        <f>+Q170*KeyAssumptionsPriceControl_FO!AF$15</f>
        <v>4.1045307089553287</v>
      </c>
      <c r="CF170" s="387">
        <f>+R170*KeyAssumptionsPriceControl_FO!AG$15</f>
        <v>4.1450829698923908</v>
      </c>
      <c r="CG170" s="387">
        <f>+S170*KeyAssumptionsPriceControl_FO!AH$15</f>
        <v>1.5425159716014896</v>
      </c>
      <c r="CH170" s="387">
        <f>+T170*KeyAssumptionsPriceControl_FO!AI$15</f>
        <v>1.5872489347779326</v>
      </c>
      <c r="CI170" s="1283">
        <f>+U170*KeyAssumptionsPriceControl_FO!AJ$15</f>
        <v>1.6332791538864926</v>
      </c>
      <c r="CJ170" s="386">
        <f>+V170*KeyAssumptionsPriceControl_FO!AK$15</f>
        <v>0</v>
      </c>
      <c r="CK170" s="387">
        <f>+W170*KeyAssumptionsPriceControl_FO!AL$15</f>
        <v>0</v>
      </c>
      <c r="CL170" s="1277">
        <f>+X170*KeyAssumptionsPriceControl_FO!AM$15</f>
        <v>0</v>
      </c>
      <c r="CM170" s="1277">
        <f>+Y170*KeyAssumptionsPriceControl_FO!AN$15</f>
        <v>0</v>
      </c>
      <c r="CN170" s="388">
        <f>+Z170*KeyAssumptionsPriceControl_FO!AO$15</f>
        <v>0</v>
      </c>
      <c r="CO170" s="1025"/>
      <c r="CP170" s="1282">
        <f t="shared" ca="1" si="324"/>
        <v>0</v>
      </c>
      <c r="CQ170" s="387">
        <f t="shared" ca="1" si="325"/>
        <v>0</v>
      </c>
      <c r="CR170" s="387">
        <f t="shared" ca="1" si="326"/>
        <v>0</v>
      </c>
      <c r="CS170" s="387">
        <f t="shared" ca="1" si="327"/>
        <v>0</v>
      </c>
      <c r="CT170" s="1283">
        <f t="shared" ca="1" si="328"/>
        <v>0</v>
      </c>
      <c r="CU170" s="386">
        <f t="shared" ca="1" si="329"/>
        <v>0</v>
      </c>
      <c r="CV170" s="387">
        <f t="shared" ca="1" si="330"/>
        <v>0</v>
      </c>
      <c r="CW170" s="1277">
        <f t="shared" ca="1" si="331"/>
        <v>0</v>
      </c>
      <c r="CX170" s="1277">
        <f t="shared" ca="1" si="332"/>
        <v>0</v>
      </c>
      <c r="CY170" s="388">
        <f t="shared" ca="1" si="333"/>
        <v>0</v>
      </c>
      <c r="CZ170" s="347"/>
      <c r="DA170" s="852"/>
      <c r="DB170" s="347"/>
      <c r="DC170" s="1012" t="s">
        <v>685</v>
      </c>
      <c r="DD170" s="841" t="s">
        <v>518</v>
      </c>
      <c r="DE170" s="386">
        <f>+IF($K170="ongoing",CE170,IF(RIGHT($K170,2)=RIGHT(DE$43,2),SUM($CD170:CE170),0)+IF(RIGHT(DE$43,2)&gt;RIGHT($K170,2),CE170,0))</f>
        <v>4.1045307089553287</v>
      </c>
      <c r="DF170" s="387">
        <f>+IF($K170="ongoing",CF170,IF(RIGHT($K170,2)=RIGHT(DF$43,2),SUM($CD170:CF170),0)+IF(RIGHT(DF$43,2)&gt;RIGHT($K170,2),CF170,0))</f>
        <v>4.1450829698923908</v>
      </c>
      <c r="DG170" s="388">
        <f>+IF($K170="ongoing",CG170,IF(RIGHT($K170,2)=RIGHT(DG$43,2),SUM($CD170:CG170),0)+IF(RIGHT(DG$43,2)&gt;RIGHT($K170,2),CG170,0))</f>
        <v>1.5425159716014896</v>
      </c>
      <c r="DH170" s="386">
        <f>+IF($K170="ongoing",CH170,IF(RIGHT($K170,2)=RIGHT(DH$43,2),SUM($CD170:CH170),0)+IF(RIGHT(DH$43,2)&gt;RIGHT($K170,2),CH170,0))</f>
        <v>1.5872489347779326</v>
      </c>
      <c r="DI170" s="387">
        <f>+IF($K170="ongoing",CI170,IF(RIGHT($K170,2)=RIGHT(DI$43,2),SUM($CD170:CI170),0)+IF(RIGHT(DI$43,2)&gt;RIGHT($K170,2),CI170,0))</f>
        <v>1.6332791538864926</v>
      </c>
      <c r="DJ170" s="387">
        <f>+IF($K170="ongoing",CJ170,IF(RIGHT($K170,2)=RIGHT(DJ$43,2),SUM($CD170:CJ170),0)+IF(RIGHT(DJ$43,2)&gt;RIGHT($K170,2),CJ170,0))</f>
        <v>0</v>
      </c>
      <c r="DK170" s="387">
        <f>+IF($K170="ongoing",CK170,IF(RIGHT($K170,2)=RIGHT(DK$43,2),SUM($CD170:CK170),0)+IF(RIGHT(DK$43,2)&gt;RIGHT($K170,2),CK170,0))</f>
        <v>0</v>
      </c>
      <c r="DL170" s="388">
        <f>+IF($K170="ongoing",CN170,IF(RIGHT($K170,2)=RIGHT(DL$43,2),SUM($CD170:CN170),0)+IF(RIGHT(DL$43,2)&gt;RIGHT($K170,2),CN170,0))</f>
        <v>0</v>
      </c>
      <c r="DM170" s="841"/>
      <c r="DN170" s="386">
        <f t="shared" si="334"/>
        <v>0.5</v>
      </c>
      <c r="DO170" s="387">
        <f t="shared" si="335"/>
        <v>1</v>
      </c>
      <c r="DP170" s="388">
        <f t="shared" si="336"/>
        <v>1</v>
      </c>
      <c r="DQ170" s="386">
        <f t="shared" si="337"/>
        <v>1</v>
      </c>
      <c r="DR170" s="387">
        <f t="shared" si="338"/>
        <v>1</v>
      </c>
      <c r="DS170" s="387">
        <f t="shared" si="339"/>
        <v>1</v>
      </c>
      <c r="DT170" s="387">
        <f t="shared" si="340"/>
        <v>1</v>
      </c>
      <c r="DU170" s="388">
        <f t="shared" si="341"/>
        <v>1</v>
      </c>
      <c r="DW170" s="386">
        <f t="shared" si="342"/>
        <v>0</v>
      </c>
      <c r="DX170" s="387">
        <f t="shared" si="343"/>
        <v>0.5</v>
      </c>
      <c r="DY170" s="388">
        <f t="shared" si="344"/>
        <v>1</v>
      </c>
      <c r="DZ170" s="386">
        <f t="shared" si="345"/>
        <v>1</v>
      </c>
      <c r="EA170" s="387">
        <f t="shared" si="346"/>
        <v>1</v>
      </c>
      <c r="EB170" s="387">
        <f t="shared" si="347"/>
        <v>1</v>
      </c>
      <c r="EC170" s="387">
        <f t="shared" si="348"/>
        <v>1</v>
      </c>
      <c r="ED170" s="388">
        <f t="shared" si="349"/>
        <v>1</v>
      </c>
      <c r="EF170" s="834">
        <f>+IF(DN170=DM170,0,
IF(AND(EF$44&gt;1,DN170=$N170),1-SUM($EE170:EE170),
IF($N170&lt;=1,
IF($N170&gt;0,1/$N170,0),
IF(EF$44=1,0,VDB(1,0,$N170,INT(EF$44-1-1),MIN($N170,INT(EF$44-1-1)+1),$DC170,IF($DD170="No",1,0))/
IF(DM170&gt;=INT($N170),$N170-INT($N170),1)))*
IF(EF$44=1,0,
IF(INT(DN170)=INT(DM170),DN170-DM170,INT(DN170)-DM170))+
IF($N170&lt;=1,
IF($N170&gt;0,1/$N170,0),VDB(1,0,$N170,INT(EF$44-1),MIN($N170,INT(EF$44-1)+1),$DC170,IF($DD170="No",1,0))/
IF(DN170&gt;INT($N170),$N170-INT($N170),1))*
IF(EF$44=1,DN170,
IF(INT(DN170)=INT(DM170),0,DN170-INT(DN170)))))</f>
        <v>0</v>
      </c>
      <c r="EG170" s="835">
        <f>+IF(DO170=DN170,0,
IF(AND(EG$44&gt;1,DO170=$N170),1-SUM($EE170:EF170),
IF($N170&lt;=1,
IF($N170&gt;0,1/$N170,0),
IF(EG$44=1,0,VDB(1,0,$N170,INT(EG$44-1-1),MIN($N170,INT(EG$44-1-1)+1),$DC170,IF($DD170="No",1,0))/
IF(DN170&gt;=INT($N170),$N170-INT($N170),1)))*
IF(EG$44=1,0,
IF(INT(DO170)=INT(DN170),DO170-DN170,INT(DO170)-DN170))+
IF($N170&lt;=1,
IF($N170&gt;0,1/$N170,0),VDB(1,0,$N170,INT(EG$44-1),MIN($N170,INT(EG$44-1)+1),$DC170,IF($DD170="No",1,0))/
IF(DO170&gt;INT($N170),$N170-INT($N170),1))*
IF(EG$44=1,DO170,
IF(INT(DO170)=INT(DN170),0,DO170-INT(DO170)))))</f>
        <v>0</v>
      </c>
      <c r="EH170" s="836">
        <f>+IF(DP170=DO170,0,
IF(AND(EH$44&gt;1,DP170=$N170),1-SUM($EE170:EG170),
IF($N170&lt;=1,
IF($N170&gt;0,1/$N170,0),
IF(EH$44=1,0,VDB(1,0,$N170,INT(EH$44-1-1),MIN($N170,INT(EH$44-1-1)+1),$DC170,IF($DD170="No",1,0))/
IF(DO170&gt;=INT($N170),$N170-INT($N170),1)))*
IF(EH$44=1,0,
IF(INT(DP170)=INT(DO170),DP170-DO170,INT(DP170)-DO170))+
IF($N170&lt;=1,
IF($N170&gt;0,1/$N170,0),VDB(1,0,$N170,INT(EH$44-1),MIN($N170,INT(EH$44-1)+1),$DC170,IF($DD170="No",1,0))/
IF(DP170&gt;INT($N170),$N170-INT($N170),1))*
IF(EH$44=1,DP170,
IF(INT(DP170)=INT(DO170),0,DP170-INT(DP170)))))</f>
        <v>0</v>
      </c>
      <c r="EI170" s="834">
        <f>+IF(DQ170=DP170,0,
IF(AND(EI$44&gt;1,DQ170=$N170),1-SUM($EE170:EH170),
IF($N170&lt;=1,
IF($N170&gt;0,1/$N170,0),
IF(EI$44=1,0,VDB(1,0,$N170,INT(EI$44-1-1),MIN($N170,INT(EI$44-1-1)+1),$DC170,IF($DD170="No",1,0))/
IF(DP170&gt;=INT($N170),$N170-INT($N170),1)))*
IF(EI$44=1,0,
IF(INT(DQ170)=INT(DP170),DQ170-DP170,INT(DQ170)-DP170))+
IF($N170&lt;=1,
IF($N170&gt;0,1/$N170,0),VDB(1,0,$N170,INT(EI$44-1),MIN($N170,INT(EI$44-1)+1),$DC170,IF($DD170="No",1,0))/
IF(DQ170&gt;INT($N170),$N170-INT($N170),1))*
IF(EI$44=1,DQ170,
IF(INT(DQ170)=INT(DP170),0,DQ170-INT(DQ170)))))</f>
        <v>0</v>
      </c>
      <c r="EJ170" s="835">
        <f>+IF(DR170=DQ170,0,
IF(AND(EJ$44&gt;1,DR170=$N170),1-SUM($EE170:EI170),
IF($N170&lt;=1,
IF($N170&gt;0,1/$N170,0),
IF(EJ$44=1,0,VDB(1,0,$N170,INT(EJ$44-1-1),MIN($N170,INT(EJ$44-1-1)+1),$DC170,IF($DD170="No",1,0))/
IF(DQ170&gt;=INT($N170),$N170-INT($N170),1)))*
IF(EJ$44=1,0,
IF(INT(DR170)=INT(DQ170),DR170-DQ170,INT(DR170)-DQ170))+
IF($N170&lt;=1,
IF($N170&gt;0,1/$N170,0),VDB(1,0,$N170,INT(EJ$44-1),MIN($N170,INT(EJ$44-1)+1),$DC170,IF($DD170="No",1,0))/
IF(DR170&gt;INT($N170),$N170-INT($N170),1))*
IF(EJ$44=1,DR170,
IF(INT(DR170)=INT(DQ170),0,DR170-INT(DR170)))))</f>
        <v>0</v>
      </c>
      <c r="EK170" s="835">
        <f>+IF(DS170=DR170,0,
IF(AND(EK$44&gt;1,DS170=$N170),1-SUM($EE170:EJ170),
IF($N170&lt;=1,
IF($N170&gt;0,1/$N170,0),
IF(EK$44=1,0,VDB(1,0,$N170,INT(EK$44-1-1),MIN($N170,INT(EK$44-1-1)+1),$DC170,IF($DD170="No",1,0))/
IF(DR170&gt;=INT($N170),$N170-INT($N170),1)))*
IF(EK$44=1,0,
IF(INT(DS170)=INT(DR170),DS170-DR170,INT(DS170)-DR170))+
IF($N170&lt;=1,
IF($N170&gt;0,1/$N170,0),VDB(1,0,$N170,INT(EK$44-1),MIN($N170,INT(EK$44-1)+1),$DC170,IF($DD170="No",1,0))/
IF(DS170&gt;INT($N170),$N170-INT($N170),1))*
IF(EK$44=1,DS170,
IF(INT(DS170)=INT(DR170),0,DS170-INT(DS170)))))</f>
        <v>0</v>
      </c>
      <c r="EL170" s="835">
        <f>+IF(DT170=DS170,0,
IF(AND(EL$44&gt;1,DT170=$N170),1-SUM($EE170:EK170),
IF($N170&lt;=1,
IF($N170&gt;0,1/$N170,0),
IF(EL$44=1,0,VDB(1,0,$N170,INT(EL$44-1-1),MIN($N170,INT(EL$44-1-1)+1),$DC170,IF($DD170="No",1,0))/
IF(DS170&gt;=INT($N170),$N170-INT($N170),1)))*
IF(EL$44=1,0,
IF(INT(DT170)=INT(DS170),DT170-DS170,INT(DT170)-DS170))+
IF($N170&lt;=1,
IF($N170&gt;0,1/$N170,0),VDB(1,0,$N170,INT(EL$44-1),MIN($N170,INT(EL$44-1)+1),$DC170,IF($DD170="No",1,0))/
IF(DT170&gt;INT($N170),$N170-INT($N170),1))*
IF(EL$44=1,DT170,
IF(INT(DT170)=INT(DS170),0,DT170-INT(DT170)))))</f>
        <v>0</v>
      </c>
      <c r="EM170" s="836">
        <f>+IF(DU170=DT170,0,
IF(AND(EM$44&gt;1,DU170=$N170),1-SUM($EE170:EL170),
IF($N170&lt;=1,
IF($N170&gt;0,1/$N170,0),
IF(EM$44=1,0,VDB(1,0,$N170,INT(EM$44-1-1),MIN($N170,INT(EM$44-1-1)+1),$DC170,IF($DD170="No",1,0))/
IF(DT170&gt;=INT($N170),$N170-INT($N170),1)))*
IF(EM$44=1,0,
IF(INT(DU170)=INT(DT170),DU170-DT170,INT(DU170)-DT170))+
IF($N170&lt;=1,
IF($N170&gt;0,1/$N170,0),VDB(1,0,$N170,INT(EM$44-1),MIN($N170,INT(EM$44-1)+1),$DC170,IF($DD170="No",1,0))/
IF(DU170&gt;INT($N170),$N170-INT($N170),1))*
IF(EM$44=1,DU170,
IF(INT(DU170)=INT(DT170),0,DU170-INT(DU170)))))</f>
        <v>0</v>
      </c>
      <c r="EN170" s="833"/>
      <c r="EO170" s="834">
        <f>+IF(OR(DW170=DV170,EO$44=1),0,
IF(AND(EO$44&gt;1,DW170=$N170),1-SUM($EN170:EN170),
IF($N170&lt;=1,
IF($N170&gt;0,1/$N170,0),
IF(EO$44=2,0,VDB(1,0,$N170,INT(EO$44-2-1),MIN($N170,INT(EO$44-2-1)+1),$DC170,IF($DD170="No",1,0))/
IF(DV170&gt;=INT($N170),$N170-INT($N170),1)))*
IF(EO$44=2,0,
IF(INT(DW170)=INT(DV170),DW170-DV170,INT(DW170)-DV170))+
IF($N170&lt;=1,
IF($N170&gt;0,1/$N170,0),VDB(1,0,$N170,INT(EO$44-2),MIN($N170,INT(EO$44-2)+1),$DC170,IF($DD170="No",1,0))/
IF(DW170&gt;INT($N170),$N170-INT($N170),1))*
IF(EO$44=2,DW170,
IF(INT(DW170)=INT(DV170),0,DW170-INT(DW170)))))</f>
        <v>0</v>
      </c>
      <c r="EP170" s="835">
        <f>+IF(OR(DX170=DW170,EP$44=1),0,
IF(AND(EP$44&gt;1,DX170=$N170),1-SUM($EN170:EO170),
IF($N170&lt;=1,
IF($N170&gt;0,1/$N170,0),
IF(EP$44=2,0,VDB(1,0,$N170,INT(EP$44-2-1),MIN($N170,INT(EP$44-2-1)+1),$DC170,IF($DD170="No",1,0))/
IF(DW170&gt;=INT($N170),$N170-INT($N170),1)))*
IF(EP$44=2,0,
IF(INT(DX170)=INT(DW170),DX170-DW170,INT(DX170)-DW170))+
IF($N170&lt;=1,
IF($N170&gt;0,1/$N170,0),VDB(1,0,$N170,INT(EP$44-2),MIN($N170,INT(EP$44-2)+1),$DC170,IF($DD170="No",1,0))/
IF(DX170&gt;INT($N170),$N170-INT($N170),1))*
IF(EP$44=2,DX170,
IF(INT(DX170)=INT(DW170),0,DX170-INT(DX170)))))</f>
        <v>0</v>
      </c>
      <c r="EQ170" s="836">
        <f>+IF(OR(DY170=DX170,EQ$44=1),0,
IF(AND(EQ$44&gt;1,DY170=$N170),1-SUM($EN170:EP170),
IF($N170&lt;=1,
IF($N170&gt;0,1/$N170,0),
IF(EQ$44=2,0,VDB(1,0,$N170,INT(EQ$44-2-1),MIN($N170,INT(EQ$44-2-1)+1),$DC170,IF($DD170="No",1,0))/
IF(DX170&gt;=INT($N170),$N170-INT($N170),1)))*
IF(EQ$44=2,0,
IF(INT(DY170)=INT(DX170),DY170-DX170,INT(DY170)-DX170))+
IF($N170&lt;=1,
IF($N170&gt;0,1/$N170,0),VDB(1,0,$N170,INT(EQ$44-2),MIN($N170,INT(EQ$44-2)+1),$DC170,IF($DD170="No",1,0))/
IF(DY170&gt;INT($N170),$N170-INT($N170),1))*
IF(EQ$44=2,DY170,
IF(INT(DY170)=INT(DX170),0,DY170-INT(DY170)))))</f>
        <v>0</v>
      </c>
      <c r="ER170" s="834">
        <f>+IF(OR(DZ170=DY170,ER$44=1),0,
IF(AND(ER$44&gt;1,DZ170=$N170),1-SUM($EN170:EQ170),
IF($N170&lt;=1,
IF($N170&gt;0,1/$N170,0),
IF(ER$44=2,0,VDB(1,0,$N170,INT(ER$44-2-1),MIN($N170,INT(ER$44-2-1)+1),$DC170,IF($DD170="No",1,0))/
IF(DY170&gt;=INT($N170),$N170-INT($N170),1)))*
IF(ER$44=2,0,
IF(INT(DZ170)=INT(DY170),DZ170-DY170,INT(DZ170)-DY170))+
IF($N170&lt;=1,
IF($N170&gt;0,1/$N170,0),VDB(1,0,$N170,INT(ER$44-2),MIN($N170,INT(ER$44-2)+1),$DC170,IF($DD170="No",1,0))/
IF(DZ170&gt;INT($N170),$N170-INT($N170),1))*
IF(ER$44=2,DZ170,
IF(INT(DZ170)=INT(DY170),0,DZ170-INT(DZ170)))))</f>
        <v>0</v>
      </c>
      <c r="ES170" s="835">
        <f>+IF(OR(EA170=DZ170,ES$44=1),0,
IF(AND(ES$44&gt;1,EA170=$N170),1-SUM($EN170:ER170),
IF($N170&lt;=1,
IF($N170&gt;0,1/$N170,0),
IF(ES$44=2,0,VDB(1,0,$N170,INT(ES$44-2-1),MIN($N170,INT(ES$44-2-1)+1),$DC170,IF($DD170="No",1,0))/
IF(DZ170&gt;=INT($N170),$N170-INT($N170),1)))*
IF(ES$44=2,0,
IF(INT(EA170)=INT(DZ170),EA170-DZ170,INT(EA170)-DZ170))+
IF($N170&lt;=1,
IF($N170&gt;0,1/$N170,0),VDB(1,0,$N170,INT(ES$44-2),MIN($N170,INT(ES$44-2)+1),$DC170,IF($DD170="No",1,0))/
IF(EA170&gt;INT($N170),$N170-INT($N170),1))*
IF(ES$44=2,EA170,
IF(INT(EA170)=INT(DZ170),0,EA170-INT(EA170)))))</f>
        <v>0</v>
      </c>
      <c r="ET170" s="835">
        <f>+IF(OR(EB170=EA170,ET$44=1),0,
IF(AND(ET$44&gt;1,EB170=$N170),1-SUM($EN170:ES170),
IF($N170&lt;=1,
IF($N170&gt;0,1/$N170,0),
IF(ET$44=2,0,VDB(1,0,$N170,INT(ET$44-2-1),MIN($N170,INT(ET$44-2-1)+1),$DC170,IF($DD170="No",1,0))/
IF(EA170&gt;=INT($N170),$N170-INT($N170),1)))*
IF(ET$44=2,0,
IF(INT(EB170)=INT(EA170),EB170-EA170,INT(EB170)-EA170))+
IF($N170&lt;=1,
IF($N170&gt;0,1/$N170,0),VDB(1,0,$N170,INT(ET$44-2),MIN($N170,INT(ET$44-2)+1),$DC170,IF($DD170="No",1,0))/
IF(EB170&gt;INT($N170),$N170-INT($N170),1))*
IF(ET$44=2,EB170,
IF(INT(EB170)=INT(EA170),0,EB170-INT(EB170)))))</f>
        <v>0</v>
      </c>
      <c r="EU170" s="835">
        <f>+IF(OR(EC170=EB170,EU$44=1),0,
IF(AND(EU$44&gt;1,EC170=$N170),1-SUM($EN170:ET170),
IF($N170&lt;=1,
IF($N170&gt;0,1/$N170,0),
IF(EU$44=2,0,VDB(1,0,$N170,INT(EU$44-2-1),MIN($N170,INT(EU$44-2-1)+1),$DC170,IF($DD170="No",1,0))/
IF(EB170&gt;=INT($N170),$N170-INT($N170),1)))*
IF(EU$44=2,0,
IF(INT(EC170)=INT(EB170),EC170-EB170,INT(EC170)-EB170))+
IF($N170&lt;=1,
IF($N170&gt;0,1/$N170,0),VDB(1,0,$N170,INT(EU$44-2),MIN($N170,INT(EU$44-2)+1),$DC170,IF($DD170="No",1,0))/
IF(EC170&gt;INT($N170),$N170-INT($N170),1))*
IF(EU$44=2,EC170,
IF(INT(EC170)=INT(EB170),0,EC170-INT(EC170)))))</f>
        <v>0</v>
      </c>
      <c r="EV170" s="836">
        <f>+IF(OR(ED170=EC170,EV$44=1),0,
IF(AND(EV$44&gt;1,ED170=$N170),1-SUM($EN170:EU170),
IF($N170&lt;=1,
IF($N170&gt;0,1/$N170,0),
IF(EV$44=2,0,VDB(1,0,$N170,INT(EV$44-2-1),MIN($N170,INT(EV$44-2-1)+1),$DC170,IF($DD170="No",1,0))/
IF(EC170&gt;=INT($N170),$N170-INT($N170),1)))*
IF(EV$44=2,0,
IF(INT(ED170)=INT(EC170),ED170-EC170,INT(ED170)-EC170))+
IF($N170&lt;=1,
IF($N170&gt;0,1/$N170,0),VDB(1,0,$N170,INT(EV$44-2),MIN($N170,INT(EV$44-2)+1),$DC170,IF($DD170="No",1,0))/
IF(ED170&gt;INT($N170),$N170-INT($N170),1))*
IF(EV$44=2,ED170,
IF(INT(ED170)=INT(EC170),0,ED170-INT(ED170)))))</f>
        <v>0</v>
      </c>
      <c r="EW170" s="833"/>
      <c r="EX170" s="834">
        <f t="shared" ca="1" si="350"/>
        <v>0</v>
      </c>
      <c r="EY170" s="835">
        <f t="shared" ca="1" si="350"/>
        <v>0</v>
      </c>
      <c r="EZ170" s="836">
        <f t="shared" ca="1" si="350"/>
        <v>0</v>
      </c>
      <c r="FA170" s="834">
        <f t="shared" ca="1" si="350"/>
        <v>0</v>
      </c>
      <c r="FB170" s="835">
        <f t="shared" ca="1" si="350"/>
        <v>0</v>
      </c>
      <c r="FC170" s="835">
        <f t="shared" ca="1" si="350"/>
        <v>0</v>
      </c>
      <c r="FD170" s="835">
        <f t="shared" ca="1" si="350"/>
        <v>0</v>
      </c>
      <c r="FE170" s="836">
        <f t="shared" ca="1" si="350"/>
        <v>0</v>
      </c>
      <c r="FG170" s="386">
        <f t="shared" ca="1" si="351"/>
        <v>0</v>
      </c>
      <c r="FH170" s="387">
        <f t="shared" ca="1" si="352"/>
        <v>0</v>
      </c>
      <c r="FI170" s="388">
        <f t="shared" ca="1" si="353"/>
        <v>0</v>
      </c>
      <c r="FJ170" s="386">
        <f t="shared" ca="1" si="354"/>
        <v>0</v>
      </c>
      <c r="FK170" s="387">
        <f t="shared" ca="1" si="355"/>
        <v>0</v>
      </c>
      <c r="FL170" s="387">
        <f t="shared" ca="1" si="356"/>
        <v>0</v>
      </c>
      <c r="FM170" s="387">
        <f t="shared" ca="1" si="357"/>
        <v>0</v>
      </c>
      <c r="FN170" s="388">
        <f t="shared" ca="1" si="358"/>
        <v>0</v>
      </c>
      <c r="FR170" s="116"/>
    </row>
    <row r="171" spans="2:174">
      <c r="B171" s="1410">
        <f t="shared" si="302"/>
        <v>125</v>
      </c>
      <c r="C171" s="400" t="s">
        <v>682</v>
      </c>
      <c r="D171" s="410"/>
      <c r="E171" s="402" t="s">
        <v>401</v>
      </c>
      <c r="F171" s="402" t="s">
        <v>527</v>
      </c>
      <c r="G171" s="400" t="s">
        <v>437</v>
      </c>
      <c r="H171" s="2088" t="s">
        <v>483</v>
      </c>
      <c r="I171" s="2089"/>
      <c r="J171" s="411" t="s">
        <v>516</v>
      </c>
      <c r="K171" s="403" t="s">
        <v>544</v>
      </c>
      <c r="L171" s="403">
        <v>10</v>
      </c>
      <c r="M171" s="403" t="s">
        <v>142</v>
      </c>
      <c r="N171" s="403"/>
      <c r="O171" s="347"/>
      <c r="P171" s="347"/>
      <c r="Q171" s="1021">
        <v>3.0003617554746298</v>
      </c>
      <c r="R171" s="1022">
        <v>2.9446112364637331</v>
      </c>
      <c r="S171" s="1022">
        <v>1.0649005019540076</v>
      </c>
      <c r="T171" s="1022">
        <v>1.0649005019540079</v>
      </c>
      <c r="U171" s="1023">
        <v>1.0649005019540076</v>
      </c>
      <c r="V171" s="1021">
        <v>0</v>
      </c>
      <c r="W171" s="1022">
        <v>0</v>
      </c>
      <c r="X171" s="1022">
        <v>0</v>
      </c>
      <c r="Y171" s="1022">
        <v>0</v>
      </c>
      <c r="Z171" s="1023">
        <v>0</v>
      </c>
      <c r="AA171" s="1024"/>
      <c r="AB171" s="1021">
        <v>0</v>
      </c>
      <c r="AC171" s="1022">
        <v>0</v>
      </c>
      <c r="AD171" s="1022">
        <v>0</v>
      </c>
      <c r="AE171" s="1022">
        <v>0</v>
      </c>
      <c r="AF171" s="1023">
        <v>0</v>
      </c>
      <c r="AG171" s="1021">
        <v>0</v>
      </c>
      <c r="AH171" s="1022">
        <v>0</v>
      </c>
      <c r="AI171" s="1022">
        <v>0</v>
      </c>
      <c r="AJ171" s="1022">
        <v>0</v>
      </c>
      <c r="AK171" s="1023">
        <v>0</v>
      </c>
      <c r="AL171" s="1024"/>
      <c r="AM171" s="1021">
        <v>0</v>
      </c>
      <c r="AN171" s="1022">
        <v>0</v>
      </c>
      <c r="AO171" s="1022">
        <v>0</v>
      </c>
      <c r="AP171" s="1022">
        <v>0</v>
      </c>
      <c r="AQ171" s="1023">
        <v>0</v>
      </c>
      <c r="AR171" s="1021">
        <v>0</v>
      </c>
      <c r="AS171" s="1022">
        <v>0</v>
      </c>
      <c r="AT171" s="1022">
        <v>0</v>
      </c>
      <c r="AU171" s="1022">
        <v>0</v>
      </c>
      <c r="AV171" s="1023">
        <v>0</v>
      </c>
      <c r="AW171" s="1025"/>
      <c r="AX171" s="1282">
        <f t="shared" si="304"/>
        <v>3.0003617554746298</v>
      </c>
      <c r="AY171" s="387">
        <f t="shared" si="305"/>
        <v>2.9446112364637331</v>
      </c>
      <c r="AZ171" s="387">
        <f t="shared" si="306"/>
        <v>1.0649005019540076</v>
      </c>
      <c r="BA171" s="387">
        <f t="shared" si="307"/>
        <v>1.0649005019540079</v>
      </c>
      <c r="BB171" s="1283">
        <f t="shared" si="308"/>
        <v>1.0649005019540076</v>
      </c>
      <c r="BC171" s="386">
        <f t="shared" si="309"/>
        <v>0</v>
      </c>
      <c r="BD171" s="387">
        <f t="shared" si="310"/>
        <v>0</v>
      </c>
      <c r="BE171" s="1277">
        <f t="shared" si="311"/>
        <v>0</v>
      </c>
      <c r="BF171" s="1277">
        <f t="shared" si="312"/>
        <v>0</v>
      </c>
      <c r="BG171" s="388">
        <f t="shared" si="313"/>
        <v>0</v>
      </c>
      <c r="BH171" s="1025"/>
      <c r="BI171" s="1282">
        <f t="shared" ca="1" si="314"/>
        <v>0.15001808777373149</v>
      </c>
      <c r="BJ171" s="387">
        <f t="shared" ca="1" si="315"/>
        <v>0.44726673737064965</v>
      </c>
      <c r="BK171" s="387">
        <f t="shared" ca="1" si="316"/>
        <v>0.64774232429153655</v>
      </c>
      <c r="BL171" s="387">
        <f t="shared" ca="1" si="317"/>
        <v>0.75423237448693736</v>
      </c>
      <c r="BM171" s="1283">
        <f t="shared" ca="1" si="318"/>
        <v>0.86072242468233817</v>
      </c>
      <c r="BN171" s="386">
        <f t="shared" ca="1" si="319"/>
        <v>0.91396744978003852</v>
      </c>
      <c r="BO171" s="387">
        <f t="shared" ca="1" si="320"/>
        <v>0.91396744978003852</v>
      </c>
      <c r="BP171" s="1277">
        <f t="shared" ca="1" si="321"/>
        <v>0.91396744978003852</v>
      </c>
      <c r="BQ171" s="1277">
        <f t="shared" ca="1" si="322"/>
        <v>0.91396744978003852</v>
      </c>
      <c r="BR171" s="388">
        <f t="shared" ca="1" si="323"/>
        <v>0.91396744978003852</v>
      </c>
      <c r="BS171" s="1025"/>
      <c r="BT171" s="1282">
        <f>+IF($K171="Ongoing",AX171,IF(RIGHT($K171,2)=RIGHT(BT$43,2),SUM($AX171:AX171),0)+IF(RIGHT(BT$43,2)&gt;RIGHT($K171,2),AX171,0))</f>
        <v>3.0003617554746298</v>
      </c>
      <c r="BU171" s="387">
        <f>+IF($K171="Ongoing",AY171,IF(RIGHT($K171,2)=RIGHT(BU$43,2),SUM($AX171:AY171),0)+IF(RIGHT(BU$43,2)&gt;RIGHT($K171,2),AY171,0))</f>
        <v>2.9446112364637331</v>
      </c>
      <c r="BV171" s="387">
        <f>+IF($K171="Ongoing",AZ171,IF(RIGHT($K171,2)=RIGHT(BV$43,2),SUM($AX171:AZ171),0)+IF(RIGHT(BV$43,2)&gt;RIGHT($K171,2),AZ171,0))</f>
        <v>1.0649005019540076</v>
      </c>
      <c r="BW171" s="387">
        <f>+IF($K171="Ongoing",BA171,IF(RIGHT($K171,2)=RIGHT(BW$43,2),SUM($AX171:BA171),0)+IF(RIGHT(BW$43,2)&gt;RIGHT($K171,2),BA171,0))</f>
        <v>1.0649005019540079</v>
      </c>
      <c r="BX171" s="1283">
        <f>+IF($K171="Ongoing",BB171,IF(RIGHT($K171,2)=RIGHT(BX$43,2),SUM($AX171:BB171),0)+IF(RIGHT(BX$43,2)&gt;RIGHT($K171,2),BB171,0))</f>
        <v>1.0649005019540076</v>
      </c>
      <c r="BY171" s="386">
        <f>+IF($K171="Ongoing",BC171,IF(RIGHT($K171,2)=RIGHT(BY$43,2),SUM($AX171:BC171),0)+IF(RIGHT(BY$43,2)&gt;RIGHT($K171,2),BC171,0))</f>
        <v>0</v>
      </c>
      <c r="BZ171" s="387">
        <f>+IF($K171="Ongoing",BD171,IF(RIGHT($K171,2)=RIGHT(BZ$43,2),SUM($AX171:BD171),0)+IF(RIGHT(BZ$43,2)&gt;RIGHT($K171,2),BD171,0))</f>
        <v>0</v>
      </c>
      <c r="CA171" s="1277">
        <f>+IF($K171="Ongoing",BE171,IF(RIGHT($K171,2)=RIGHT(CA$43,2),SUM($AX171:BE171),0)+IF(RIGHT(CA$43,2)&gt;RIGHT($K171,2),BE171,0))</f>
        <v>0</v>
      </c>
      <c r="CB171" s="1277">
        <f>+IF($K171="Ongoing",BF171,IF(RIGHT($K171,2)=RIGHT(CB$43,2),SUM($AX171:BF171),0)+IF(RIGHT(CB$43,2)&gt;RIGHT($K171,2),BF171,0))</f>
        <v>0</v>
      </c>
      <c r="CC171" s="388">
        <f>+IF($K171="Ongoing",BG171,IF(RIGHT($K171,2)=RIGHT(CC$43,2),SUM($AX171:BG171),0)+IF(RIGHT(CC$43,2)&gt;RIGHT($K171,2),BG171,0))</f>
        <v>0</v>
      </c>
      <c r="CD171" s="1025"/>
      <c r="CE171" s="1282">
        <f>+Q171*KeyAssumptionsPriceControl_FO!AF$15</f>
        <v>3.0873722463833939</v>
      </c>
      <c r="CF171" s="387">
        <f>+R171*KeyAssumptionsPriceControl_FO!AG$15</f>
        <v>3.1178751062284955</v>
      </c>
      <c r="CG171" s="387">
        <f>+S171*KeyAssumptionsPriceControl_FO!AH$15</f>
        <v>1.1602595614487783</v>
      </c>
      <c r="CH171" s="387">
        <f>+T171*KeyAssumptionsPriceControl_FO!AI$15</f>
        <v>1.193907088730793</v>
      </c>
      <c r="CI171" s="1283">
        <f>+U171*KeyAssumptionsPriceControl_FO!AJ$15</f>
        <v>1.2285303943039856</v>
      </c>
      <c r="CJ171" s="386">
        <f>+V171*KeyAssumptionsPriceControl_FO!AK$15</f>
        <v>0</v>
      </c>
      <c r="CK171" s="387">
        <f>+W171*KeyAssumptionsPriceControl_FO!AL$15</f>
        <v>0</v>
      </c>
      <c r="CL171" s="1277">
        <f>+X171*KeyAssumptionsPriceControl_FO!AM$15</f>
        <v>0</v>
      </c>
      <c r="CM171" s="1277">
        <f>+Y171*KeyAssumptionsPriceControl_FO!AN$15</f>
        <v>0</v>
      </c>
      <c r="CN171" s="388">
        <f>+Z171*KeyAssumptionsPriceControl_FO!AO$15</f>
        <v>0</v>
      </c>
      <c r="CO171" s="1025"/>
      <c r="CP171" s="1282">
        <f t="shared" ca="1" si="324"/>
        <v>0</v>
      </c>
      <c r="CQ171" s="387">
        <f t="shared" ca="1" si="325"/>
        <v>0</v>
      </c>
      <c r="CR171" s="387">
        <f t="shared" ca="1" si="326"/>
        <v>0</v>
      </c>
      <c r="CS171" s="387">
        <f t="shared" ca="1" si="327"/>
        <v>0</v>
      </c>
      <c r="CT171" s="1283">
        <f t="shared" ca="1" si="328"/>
        <v>0</v>
      </c>
      <c r="CU171" s="386">
        <f t="shared" ca="1" si="329"/>
        <v>0</v>
      </c>
      <c r="CV171" s="387">
        <f t="shared" ca="1" si="330"/>
        <v>0</v>
      </c>
      <c r="CW171" s="1277">
        <f t="shared" ca="1" si="331"/>
        <v>0</v>
      </c>
      <c r="CX171" s="1277">
        <f t="shared" ca="1" si="332"/>
        <v>0</v>
      </c>
      <c r="CY171" s="388">
        <f t="shared" ca="1" si="333"/>
        <v>0</v>
      </c>
      <c r="CZ171" s="347"/>
      <c r="DA171" s="852"/>
      <c r="DB171" s="347"/>
      <c r="DC171" s="1012" t="s">
        <v>686</v>
      </c>
      <c r="DD171" s="841" t="s">
        <v>518</v>
      </c>
      <c r="DE171" s="386">
        <f>+IF($K171="ongoing",CE171,IF(RIGHT($K171,2)=RIGHT(DE$43,2),SUM($CD171:CE171),0)+IF(RIGHT(DE$43,2)&gt;RIGHT($K171,2),CE171,0))</f>
        <v>3.0873722463833939</v>
      </c>
      <c r="DF171" s="387">
        <f>+IF($K171="ongoing",CF171,IF(RIGHT($K171,2)=RIGHT(DF$43,2),SUM($CD171:CF171),0)+IF(RIGHT(DF$43,2)&gt;RIGHT($K171,2),CF171,0))</f>
        <v>3.1178751062284955</v>
      </c>
      <c r="DG171" s="388">
        <f>+IF($K171="ongoing",CG171,IF(RIGHT($K171,2)=RIGHT(DG$43,2),SUM($CD171:CG171),0)+IF(RIGHT(DG$43,2)&gt;RIGHT($K171,2),CG171,0))</f>
        <v>1.1602595614487783</v>
      </c>
      <c r="DH171" s="386">
        <f>+IF($K171="ongoing",CH171,IF(RIGHT($K171,2)=RIGHT(DH$43,2),SUM($CD171:CH171),0)+IF(RIGHT(DH$43,2)&gt;RIGHT($K171,2),CH171,0))</f>
        <v>1.193907088730793</v>
      </c>
      <c r="DI171" s="387">
        <f>+IF($K171="ongoing",CI171,IF(RIGHT($K171,2)=RIGHT(DI$43,2),SUM($CD171:CI171),0)+IF(RIGHT(DI$43,2)&gt;RIGHT($K171,2),CI171,0))</f>
        <v>1.2285303943039856</v>
      </c>
      <c r="DJ171" s="387">
        <f>+IF($K171="ongoing",CJ171,IF(RIGHT($K171,2)=RIGHT(DJ$43,2),SUM($CD171:CJ171),0)+IF(RIGHT(DJ$43,2)&gt;RIGHT($K171,2),CJ171,0))</f>
        <v>0</v>
      </c>
      <c r="DK171" s="387">
        <f>+IF($K171="ongoing",CK171,IF(RIGHT($K171,2)=RIGHT(DK$43,2),SUM($CD171:CK171),0)+IF(RIGHT(DK$43,2)&gt;RIGHT($K171,2),CK171,0))</f>
        <v>0</v>
      </c>
      <c r="DL171" s="388">
        <f>+IF($K171="ongoing",CN171,IF(RIGHT($K171,2)=RIGHT(DL$43,2),SUM($CD171:CN171),0)+IF(RIGHT(DL$43,2)&gt;RIGHT($K171,2),CN171,0))</f>
        <v>0</v>
      </c>
      <c r="DM171" s="841"/>
      <c r="DN171" s="386">
        <f t="shared" si="334"/>
        <v>0.5</v>
      </c>
      <c r="DO171" s="387">
        <f t="shared" si="335"/>
        <v>1</v>
      </c>
      <c r="DP171" s="388">
        <f t="shared" si="336"/>
        <v>1</v>
      </c>
      <c r="DQ171" s="386">
        <f t="shared" si="337"/>
        <v>1</v>
      </c>
      <c r="DR171" s="387">
        <f t="shared" si="338"/>
        <v>1</v>
      </c>
      <c r="DS171" s="387">
        <f t="shared" si="339"/>
        <v>1</v>
      </c>
      <c r="DT171" s="387">
        <f t="shared" si="340"/>
        <v>1</v>
      </c>
      <c r="DU171" s="388">
        <f t="shared" si="341"/>
        <v>1</v>
      </c>
      <c r="DW171" s="386">
        <f t="shared" si="342"/>
        <v>0</v>
      </c>
      <c r="DX171" s="387">
        <f t="shared" si="343"/>
        <v>0.5</v>
      </c>
      <c r="DY171" s="388">
        <f t="shared" si="344"/>
        <v>1</v>
      </c>
      <c r="DZ171" s="386">
        <f t="shared" si="345"/>
        <v>1</v>
      </c>
      <c r="EA171" s="387">
        <f t="shared" si="346"/>
        <v>1</v>
      </c>
      <c r="EB171" s="387">
        <f t="shared" si="347"/>
        <v>1</v>
      </c>
      <c r="EC171" s="387">
        <f t="shared" si="348"/>
        <v>1</v>
      </c>
      <c r="ED171" s="388">
        <f t="shared" si="349"/>
        <v>1</v>
      </c>
      <c r="EF171" s="834">
        <f>+IF(DN171=DM171,0,
IF(AND(EF$44&gt;1,DN171=$N171),1-SUM($EE171:EE171),
IF($N171&lt;=1,
IF($N171&gt;0,1/$N171,0),
IF(EF$44=1,0,VDB(1,0,$N171,INT(EF$44-1-1),MIN($N171,INT(EF$44-1-1)+1),$DC171,IF($DD171="No",1,0))/
IF(DM171&gt;=INT($N171),$N171-INT($N171),1)))*
IF(EF$44=1,0,
IF(INT(DN171)=INT(DM171),DN171-DM171,INT(DN171)-DM171))+
IF($N171&lt;=1,
IF($N171&gt;0,1/$N171,0),VDB(1,0,$N171,INT(EF$44-1),MIN($N171,INT(EF$44-1)+1),$DC171,IF($DD171="No",1,0))/
IF(DN171&gt;INT($N171),$N171-INT($N171),1))*
IF(EF$44=1,DN171,
IF(INT(DN171)=INT(DM171),0,DN171-INT(DN171)))))</f>
        <v>0</v>
      </c>
      <c r="EG171" s="835">
        <f>+IF(DO171=DN171,0,
IF(AND(EG$44&gt;1,DO171=$N171),1-SUM($EE171:EF171),
IF($N171&lt;=1,
IF($N171&gt;0,1/$N171,0),
IF(EG$44=1,0,VDB(1,0,$N171,INT(EG$44-1-1),MIN($N171,INT(EG$44-1-1)+1),$DC171,IF($DD171="No",1,0))/
IF(DN171&gt;=INT($N171),$N171-INT($N171),1)))*
IF(EG$44=1,0,
IF(INT(DO171)=INT(DN171),DO171-DN171,INT(DO171)-DN171))+
IF($N171&lt;=1,
IF($N171&gt;0,1/$N171,0),VDB(1,0,$N171,INT(EG$44-1),MIN($N171,INT(EG$44-1)+1),$DC171,IF($DD171="No",1,0))/
IF(DO171&gt;INT($N171),$N171-INT($N171),1))*
IF(EG$44=1,DO171,
IF(INT(DO171)=INT(DN171),0,DO171-INT(DO171)))))</f>
        <v>0</v>
      </c>
      <c r="EH171" s="836">
        <f>+IF(DP171=DO171,0,
IF(AND(EH$44&gt;1,DP171=$N171),1-SUM($EE171:EG171),
IF($N171&lt;=1,
IF($N171&gt;0,1/$N171,0),
IF(EH$44=1,0,VDB(1,0,$N171,INT(EH$44-1-1),MIN($N171,INT(EH$44-1-1)+1),$DC171,IF($DD171="No",1,0))/
IF(DO171&gt;=INT($N171),$N171-INT($N171),1)))*
IF(EH$44=1,0,
IF(INT(DP171)=INT(DO171),DP171-DO171,INT(DP171)-DO171))+
IF($N171&lt;=1,
IF($N171&gt;0,1/$N171,0),VDB(1,0,$N171,INT(EH$44-1),MIN($N171,INT(EH$44-1)+1),$DC171,IF($DD171="No",1,0))/
IF(DP171&gt;INT($N171),$N171-INT($N171),1))*
IF(EH$44=1,DP171,
IF(INT(DP171)=INT(DO171),0,DP171-INT(DP171)))))</f>
        <v>0</v>
      </c>
      <c r="EI171" s="834">
        <f>+IF(DQ171=DP171,0,
IF(AND(EI$44&gt;1,DQ171=$N171),1-SUM($EE171:EH171),
IF($N171&lt;=1,
IF($N171&gt;0,1/$N171,0),
IF(EI$44=1,0,VDB(1,0,$N171,INT(EI$44-1-1),MIN($N171,INT(EI$44-1-1)+1),$DC171,IF($DD171="No",1,0))/
IF(DP171&gt;=INT($N171),$N171-INT($N171),1)))*
IF(EI$44=1,0,
IF(INT(DQ171)=INT(DP171),DQ171-DP171,INT(DQ171)-DP171))+
IF($N171&lt;=1,
IF($N171&gt;0,1/$N171,0),VDB(1,0,$N171,INT(EI$44-1),MIN($N171,INT(EI$44-1)+1),$DC171,IF($DD171="No",1,0))/
IF(DQ171&gt;INT($N171),$N171-INT($N171),1))*
IF(EI$44=1,DQ171,
IF(INT(DQ171)=INT(DP171),0,DQ171-INT(DQ171)))))</f>
        <v>0</v>
      </c>
      <c r="EJ171" s="835">
        <f>+IF(DR171=DQ171,0,
IF(AND(EJ$44&gt;1,DR171=$N171),1-SUM($EE171:EI171),
IF($N171&lt;=1,
IF($N171&gt;0,1/$N171,0),
IF(EJ$44=1,0,VDB(1,0,$N171,INT(EJ$44-1-1),MIN($N171,INT(EJ$44-1-1)+1),$DC171,IF($DD171="No",1,0))/
IF(DQ171&gt;=INT($N171),$N171-INT($N171),1)))*
IF(EJ$44=1,0,
IF(INT(DR171)=INT(DQ171),DR171-DQ171,INT(DR171)-DQ171))+
IF($N171&lt;=1,
IF($N171&gt;0,1/$N171,0),VDB(1,0,$N171,INT(EJ$44-1),MIN($N171,INT(EJ$44-1)+1),$DC171,IF($DD171="No",1,0))/
IF(DR171&gt;INT($N171),$N171-INT($N171),1))*
IF(EJ$44=1,DR171,
IF(INT(DR171)=INT(DQ171),0,DR171-INT(DR171)))))</f>
        <v>0</v>
      </c>
      <c r="EK171" s="835">
        <f>+IF(DS171=DR171,0,
IF(AND(EK$44&gt;1,DS171=$N171),1-SUM($EE171:EJ171),
IF($N171&lt;=1,
IF($N171&gt;0,1/$N171,0),
IF(EK$44=1,0,VDB(1,0,$N171,INT(EK$44-1-1),MIN($N171,INT(EK$44-1-1)+1),$DC171,IF($DD171="No",1,0))/
IF(DR171&gt;=INT($N171),$N171-INT($N171),1)))*
IF(EK$44=1,0,
IF(INT(DS171)=INT(DR171),DS171-DR171,INT(DS171)-DR171))+
IF($N171&lt;=1,
IF($N171&gt;0,1/$N171,0),VDB(1,0,$N171,INT(EK$44-1),MIN($N171,INT(EK$44-1)+1),$DC171,IF($DD171="No",1,0))/
IF(DS171&gt;INT($N171),$N171-INT($N171),1))*
IF(EK$44=1,DS171,
IF(INT(DS171)=INT(DR171),0,DS171-INT(DS171)))))</f>
        <v>0</v>
      </c>
      <c r="EL171" s="835">
        <f>+IF(DT171=DS171,0,
IF(AND(EL$44&gt;1,DT171=$N171),1-SUM($EE171:EK171),
IF($N171&lt;=1,
IF($N171&gt;0,1/$N171,0),
IF(EL$44=1,0,VDB(1,0,$N171,INT(EL$44-1-1),MIN($N171,INT(EL$44-1-1)+1),$DC171,IF($DD171="No",1,0))/
IF(DS171&gt;=INT($N171),$N171-INT($N171),1)))*
IF(EL$44=1,0,
IF(INT(DT171)=INT(DS171),DT171-DS171,INT(DT171)-DS171))+
IF($N171&lt;=1,
IF($N171&gt;0,1/$N171,0),VDB(1,0,$N171,INT(EL$44-1),MIN($N171,INT(EL$44-1)+1),$DC171,IF($DD171="No",1,0))/
IF(DT171&gt;INT($N171),$N171-INT($N171),1))*
IF(EL$44=1,DT171,
IF(INT(DT171)=INT(DS171),0,DT171-INT(DT171)))))</f>
        <v>0</v>
      </c>
      <c r="EM171" s="836">
        <f>+IF(DU171=DT171,0,
IF(AND(EM$44&gt;1,DU171=$N171),1-SUM($EE171:EL171),
IF($N171&lt;=1,
IF($N171&gt;0,1/$N171,0),
IF(EM$44=1,0,VDB(1,0,$N171,INT(EM$44-1-1),MIN($N171,INT(EM$44-1-1)+1),$DC171,IF($DD171="No",1,0))/
IF(DT171&gt;=INT($N171),$N171-INT($N171),1)))*
IF(EM$44=1,0,
IF(INT(DU171)=INT(DT171),DU171-DT171,INT(DU171)-DT171))+
IF($N171&lt;=1,
IF($N171&gt;0,1/$N171,0),VDB(1,0,$N171,INT(EM$44-1),MIN($N171,INT(EM$44-1)+1),$DC171,IF($DD171="No",1,0))/
IF(DU171&gt;INT($N171),$N171-INT($N171),1))*
IF(EM$44=1,DU171,
IF(INT(DU171)=INT(DT171),0,DU171-INT(DU171)))))</f>
        <v>0</v>
      </c>
      <c r="EN171" s="833"/>
      <c r="EO171" s="834">
        <f>+IF(OR(DW171=DV171,EO$44=1),0,
IF(AND(EO$44&gt;1,DW171=$N171),1-SUM($EN171:EN171),
IF($N171&lt;=1,
IF($N171&gt;0,1/$N171,0),
IF(EO$44=2,0,VDB(1,0,$N171,INT(EO$44-2-1),MIN($N171,INT(EO$44-2-1)+1),$DC171,IF($DD171="No",1,0))/
IF(DV171&gt;=INT($N171),$N171-INT($N171),1)))*
IF(EO$44=2,0,
IF(INT(DW171)=INT(DV171),DW171-DV171,INT(DW171)-DV171))+
IF($N171&lt;=1,
IF($N171&gt;0,1/$N171,0),VDB(1,0,$N171,INT(EO$44-2),MIN($N171,INT(EO$44-2)+1),$DC171,IF($DD171="No",1,0))/
IF(DW171&gt;INT($N171),$N171-INT($N171),1))*
IF(EO$44=2,DW171,
IF(INT(DW171)=INT(DV171),0,DW171-INT(DW171)))))</f>
        <v>0</v>
      </c>
      <c r="EP171" s="835">
        <f>+IF(OR(DX171=DW171,EP$44=1),0,
IF(AND(EP$44&gt;1,DX171=$N171),1-SUM($EN171:EO171),
IF($N171&lt;=1,
IF($N171&gt;0,1/$N171,0),
IF(EP$44=2,0,VDB(1,0,$N171,INT(EP$44-2-1),MIN($N171,INT(EP$44-2-1)+1),$DC171,IF($DD171="No",1,0))/
IF(DW171&gt;=INT($N171),$N171-INT($N171),1)))*
IF(EP$44=2,0,
IF(INT(DX171)=INT(DW171),DX171-DW171,INT(DX171)-DW171))+
IF($N171&lt;=1,
IF($N171&gt;0,1/$N171,0),VDB(1,0,$N171,INT(EP$44-2),MIN($N171,INT(EP$44-2)+1),$DC171,IF($DD171="No",1,0))/
IF(DX171&gt;INT($N171),$N171-INT($N171),1))*
IF(EP$44=2,DX171,
IF(INT(DX171)=INT(DW171),0,DX171-INT(DX171)))))</f>
        <v>0</v>
      </c>
      <c r="EQ171" s="836">
        <f>+IF(OR(DY171=DX171,EQ$44=1),0,
IF(AND(EQ$44&gt;1,DY171=$N171),1-SUM($EN171:EP171),
IF($N171&lt;=1,
IF($N171&gt;0,1/$N171,0),
IF(EQ$44=2,0,VDB(1,0,$N171,INT(EQ$44-2-1),MIN($N171,INT(EQ$44-2-1)+1),$DC171,IF($DD171="No",1,0))/
IF(DX171&gt;=INT($N171),$N171-INT($N171),1)))*
IF(EQ$44=2,0,
IF(INT(DY171)=INT(DX171),DY171-DX171,INT(DY171)-DX171))+
IF($N171&lt;=1,
IF($N171&gt;0,1/$N171,0),VDB(1,0,$N171,INT(EQ$44-2),MIN($N171,INT(EQ$44-2)+1),$DC171,IF($DD171="No",1,0))/
IF(DY171&gt;INT($N171),$N171-INT($N171),1))*
IF(EQ$44=2,DY171,
IF(INT(DY171)=INT(DX171),0,DY171-INT(DY171)))))</f>
        <v>0</v>
      </c>
      <c r="ER171" s="834">
        <f>+IF(OR(DZ171=DY171,ER$44=1),0,
IF(AND(ER$44&gt;1,DZ171=$N171),1-SUM($EN171:EQ171),
IF($N171&lt;=1,
IF($N171&gt;0,1/$N171,0),
IF(ER$44=2,0,VDB(1,0,$N171,INT(ER$44-2-1),MIN($N171,INT(ER$44-2-1)+1),$DC171,IF($DD171="No",1,0))/
IF(DY171&gt;=INT($N171),$N171-INT($N171),1)))*
IF(ER$44=2,0,
IF(INT(DZ171)=INT(DY171),DZ171-DY171,INT(DZ171)-DY171))+
IF($N171&lt;=1,
IF($N171&gt;0,1/$N171,0),VDB(1,0,$N171,INT(ER$44-2),MIN($N171,INT(ER$44-2)+1),$DC171,IF($DD171="No",1,0))/
IF(DZ171&gt;INT($N171),$N171-INT($N171),1))*
IF(ER$44=2,DZ171,
IF(INT(DZ171)=INT(DY171),0,DZ171-INT(DZ171)))))</f>
        <v>0</v>
      </c>
      <c r="ES171" s="835">
        <f>+IF(OR(EA171=DZ171,ES$44=1),0,
IF(AND(ES$44&gt;1,EA171=$N171),1-SUM($EN171:ER171),
IF($N171&lt;=1,
IF($N171&gt;0,1/$N171,0),
IF(ES$44=2,0,VDB(1,0,$N171,INT(ES$44-2-1),MIN($N171,INT(ES$44-2-1)+1),$DC171,IF($DD171="No",1,0))/
IF(DZ171&gt;=INT($N171),$N171-INT($N171),1)))*
IF(ES$44=2,0,
IF(INT(EA171)=INT(DZ171),EA171-DZ171,INT(EA171)-DZ171))+
IF($N171&lt;=1,
IF($N171&gt;0,1/$N171,0),VDB(1,0,$N171,INT(ES$44-2),MIN($N171,INT(ES$44-2)+1),$DC171,IF($DD171="No",1,0))/
IF(EA171&gt;INT($N171),$N171-INT($N171),1))*
IF(ES$44=2,EA171,
IF(INT(EA171)=INT(DZ171),0,EA171-INT(EA171)))))</f>
        <v>0</v>
      </c>
      <c r="ET171" s="835">
        <f>+IF(OR(EB171=EA171,ET$44=1),0,
IF(AND(ET$44&gt;1,EB171=$N171),1-SUM($EN171:ES171),
IF($N171&lt;=1,
IF($N171&gt;0,1/$N171,0),
IF(ET$44=2,0,VDB(1,0,$N171,INT(ET$44-2-1),MIN($N171,INT(ET$44-2-1)+1),$DC171,IF($DD171="No",1,0))/
IF(EA171&gt;=INT($N171),$N171-INT($N171),1)))*
IF(ET$44=2,0,
IF(INT(EB171)=INT(EA171),EB171-EA171,INT(EB171)-EA171))+
IF($N171&lt;=1,
IF($N171&gt;0,1/$N171,0),VDB(1,0,$N171,INT(ET$44-2),MIN($N171,INT(ET$44-2)+1),$DC171,IF($DD171="No",1,0))/
IF(EB171&gt;INT($N171),$N171-INT($N171),1))*
IF(ET$44=2,EB171,
IF(INT(EB171)=INT(EA171),0,EB171-INT(EB171)))))</f>
        <v>0</v>
      </c>
      <c r="EU171" s="835">
        <f>+IF(OR(EC171=EB171,EU$44=1),0,
IF(AND(EU$44&gt;1,EC171=$N171),1-SUM($EN171:ET171),
IF($N171&lt;=1,
IF($N171&gt;0,1/$N171,0),
IF(EU$44=2,0,VDB(1,0,$N171,INT(EU$44-2-1),MIN($N171,INT(EU$44-2-1)+1),$DC171,IF($DD171="No",1,0))/
IF(EB171&gt;=INT($N171),$N171-INT($N171),1)))*
IF(EU$44=2,0,
IF(INT(EC171)=INT(EB171),EC171-EB171,INT(EC171)-EB171))+
IF($N171&lt;=1,
IF($N171&gt;0,1/$N171,0),VDB(1,0,$N171,INT(EU$44-2),MIN($N171,INT(EU$44-2)+1),$DC171,IF($DD171="No",1,0))/
IF(EC171&gt;INT($N171),$N171-INT($N171),1))*
IF(EU$44=2,EC171,
IF(INT(EC171)=INT(EB171),0,EC171-INT(EC171)))))</f>
        <v>0</v>
      </c>
      <c r="EV171" s="836">
        <f>+IF(OR(ED171=EC171,EV$44=1),0,
IF(AND(EV$44&gt;1,ED171=$N171),1-SUM($EN171:EU171),
IF($N171&lt;=1,
IF($N171&gt;0,1/$N171,0),
IF(EV$44=2,0,VDB(1,0,$N171,INT(EV$44-2-1),MIN($N171,INT(EV$44-2-1)+1),$DC171,IF($DD171="No",1,0))/
IF(EC171&gt;=INT($N171),$N171-INT($N171),1)))*
IF(EV$44=2,0,
IF(INT(ED171)=INT(EC171),ED171-EC171,INT(ED171)-EC171))+
IF($N171&lt;=1,
IF($N171&gt;0,1/$N171,0),VDB(1,0,$N171,INT(EV$44-2),MIN($N171,INT(EV$44-2)+1),$DC171,IF($DD171="No",1,0))/
IF(ED171&gt;INT($N171),$N171-INT($N171),1))*
IF(EV$44=2,ED171,
IF(INT(ED171)=INT(EC171),0,ED171-INT(ED171)))))</f>
        <v>0</v>
      </c>
      <c r="EW171" s="833"/>
      <c r="EX171" s="834">
        <f t="shared" ca="1" si="350"/>
        <v>0</v>
      </c>
      <c r="EY171" s="835">
        <f t="shared" ca="1" si="350"/>
        <v>0</v>
      </c>
      <c r="EZ171" s="836">
        <f t="shared" ca="1" si="350"/>
        <v>0</v>
      </c>
      <c r="FA171" s="834">
        <f t="shared" ca="1" si="350"/>
        <v>0</v>
      </c>
      <c r="FB171" s="835">
        <f t="shared" ca="1" si="350"/>
        <v>0</v>
      </c>
      <c r="FC171" s="835">
        <f t="shared" ca="1" si="350"/>
        <v>0</v>
      </c>
      <c r="FD171" s="835">
        <f t="shared" ca="1" si="350"/>
        <v>0</v>
      </c>
      <c r="FE171" s="836">
        <f t="shared" ca="1" si="350"/>
        <v>0</v>
      </c>
      <c r="FG171" s="386">
        <f t="shared" ca="1" si="351"/>
        <v>0</v>
      </c>
      <c r="FH171" s="387">
        <f t="shared" ca="1" si="352"/>
        <v>0</v>
      </c>
      <c r="FI171" s="388">
        <f t="shared" ca="1" si="353"/>
        <v>0</v>
      </c>
      <c r="FJ171" s="386">
        <f t="shared" ca="1" si="354"/>
        <v>0</v>
      </c>
      <c r="FK171" s="387">
        <f t="shared" ca="1" si="355"/>
        <v>0</v>
      </c>
      <c r="FL171" s="387">
        <f t="shared" ca="1" si="356"/>
        <v>0</v>
      </c>
      <c r="FM171" s="387">
        <f t="shared" ca="1" si="357"/>
        <v>0</v>
      </c>
      <c r="FN171" s="388">
        <f t="shared" ca="1" si="358"/>
        <v>0</v>
      </c>
      <c r="FR171" s="116"/>
    </row>
    <row r="172" spans="2:174">
      <c r="B172" s="1410">
        <f t="shared" si="302"/>
        <v>126</v>
      </c>
      <c r="C172" s="400" t="s">
        <v>687</v>
      </c>
      <c r="D172" s="410"/>
      <c r="E172" s="402" t="s">
        <v>420</v>
      </c>
      <c r="F172" s="402" t="s">
        <v>514</v>
      </c>
      <c r="G172" s="400" t="s">
        <v>437</v>
      </c>
      <c r="H172" s="2088" t="s">
        <v>483</v>
      </c>
      <c r="I172" s="2089"/>
      <c r="J172" s="411" t="s">
        <v>516</v>
      </c>
      <c r="K172" s="403" t="s">
        <v>544</v>
      </c>
      <c r="L172" s="403">
        <v>10</v>
      </c>
      <c r="M172" s="403" t="s">
        <v>142</v>
      </c>
      <c r="N172" s="403"/>
      <c r="O172" s="347"/>
      <c r="P172" s="347"/>
      <c r="Q172" s="1021">
        <v>3.2952649590417136</v>
      </c>
      <c r="R172" s="1022">
        <v>3.7447442605349828</v>
      </c>
      <c r="S172" s="1022">
        <v>2.2366090042305076</v>
      </c>
      <c r="T172" s="1022">
        <v>1.8040512764405146</v>
      </c>
      <c r="U172" s="1023">
        <v>1.1589162790031162</v>
      </c>
      <c r="V172" s="1021">
        <v>0</v>
      </c>
      <c r="W172" s="1022">
        <v>0</v>
      </c>
      <c r="X172" s="1022">
        <v>0</v>
      </c>
      <c r="Y172" s="1022">
        <v>0</v>
      </c>
      <c r="Z172" s="1023">
        <v>0</v>
      </c>
      <c r="AA172" s="1024"/>
      <c r="AB172" s="1021">
        <v>0</v>
      </c>
      <c r="AC172" s="1022">
        <v>0</v>
      </c>
      <c r="AD172" s="1022">
        <v>0</v>
      </c>
      <c r="AE172" s="1022">
        <v>0</v>
      </c>
      <c r="AF172" s="1023">
        <v>0</v>
      </c>
      <c r="AG172" s="1021">
        <v>0</v>
      </c>
      <c r="AH172" s="1022">
        <v>0</v>
      </c>
      <c r="AI172" s="1022">
        <v>0</v>
      </c>
      <c r="AJ172" s="1022">
        <v>0</v>
      </c>
      <c r="AK172" s="1023">
        <v>0</v>
      </c>
      <c r="AL172" s="1024"/>
      <c r="AM172" s="1021">
        <v>0</v>
      </c>
      <c r="AN172" s="1022">
        <v>0</v>
      </c>
      <c r="AO172" s="1022">
        <v>0</v>
      </c>
      <c r="AP172" s="1022">
        <v>0</v>
      </c>
      <c r="AQ172" s="1023">
        <v>0</v>
      </c>
      <c r="AR172" s="1021">
        <v>0</v>
      </c>
      <c r="AS172" s="1022">
        <v>0</v>
      </c>
      <c r="AT172" s="1022">
        <v>0</v>
      </c>
      <c r="AU172" s="1022">
        <v>0</v>
      </c>
      <c r="AV172" s="1023">
        <v>0</v>
      </c>
      <c r="AW172" s="1025"/>
      <c r="AX172" s="1282">
        <f t="shared" si="304"/>
        <v>3.2952649590417136</v>
      </c>
      <c r="AY172" s="387">
        <f t="shared" si="305"/>
        <v>3.7447442605349828</v>
      </c>
      <c r="AZ172" s="387">
        <f t="shared" si="306"/>
        <v>2.2366090042305076</v>
      </c>
      <c r="BA172" s="387">
        <f t="shared" si="307"/>
        <v>1.8040512764405146</v>
      </c>
      <c r="BB172" s="1283">
        <f t="shared" si="308"/>
        <v>1.1589162790031162</v>
      </c>
      <c r="BC172" s="386">
        <f t="shared" si="309"/>
        <v>0</v>
      </c>
      <c r="BD172" s="387">
        <f t="shared" si="310"/>
        <v>0</v>
      </c>
      <c r="BE172" s="1277">
        <f t="shared" si="311"/>
        <v>0</v>
      </c>
      <c r="BF172" s="1277">
        <f t="shared" si="312"/>
        <v>0</v>
      </c>
      <c r="BG172" s="388">
        <f t="shared" si="313"/>
        <v>0</v>
      </c>
      <c r="BH172" s="1025"/>
      <c r="BI172" s="1282">
        <f t="shared" ca="1" si="314"/>
        <v>0.16476324795208569</v>
      </c>
      <c r="BJ172" s="387">
        <f t="shared" ca="1" si="315"/>
        <v>0.5167637089309205</v>
      </c>
      <c r="BK172" s="387">
        <f t="shared" ca="1" si="316"/>
        <v>0.81583137216919499</v>
      </c>
      <c r="BL172" s="387">
        <f t="shared" ca="1" si="317"/>
        <v>1.0178643862027459</v>
      </c>
      <c r="BM172" s="1283">
        <f t="shared" ca="1" si="318"/>
        <v>1.1660127639749276</v>
      </c>
      <c r="BN172" s="386">
        <f t="shared" ca="1" si="319"/>
        <v>1.2239585779250834</v>
      </c>
      <c r="BO172" s="387">
        <f t="shared" ca="1" si="320"/>
        <v>1.2239585779250834</v>
      </c>
      <c r="BP172" s="1277">
        <f t="shared" ca="1" si="321"/>
        <v>1.2239585779250834</v>
      </c>
      <c r="BQ172" s="1277">
        <f t="shared" ca="1" si="322"/>
        <v>1.2239585779250834</v>
      </c>
      <c r="BR172" s="388">
        <f t="shared" ca="1" si="323"/>
        <v>1.2239585779250834</v>
      </c>
      <c r="BS172" s="1025"/>
      <c r="BT172" s="1282">
        <f>+IF($K172="Ongoing",AX172,IF(RIGHT($K172,2)=RIGHT(BT$43,2),SUM($AX172:AX172),0)+IF(RIGHT(BT$43,2)&gt;RIGHT($K172,2),AX172,0))</f>
        <v>3.2952649590417136</v>
      </c>
      <c r="BU172" s="387">
        <f>+IF($K172="Ongoing",AY172,IF(RIGHT($K172,2)=RIGHT(BU$43,2),SUM($AX172:AY172),0)+IF(RIGHT(BU$43,2)&gt;RIGHT($K172,2),AY172,0))</f>
        <v>3.7447442605349828</v>
      </c>
      <c r="BV172" s="387">
        <f>+IF($K172="Ongoing",AZ172,IF(RIGHT($K172,2)=RIGHT(BV$43,2),SUM($AX172:AZ172),0)+IF(RIGHT(BV$43,2)&gt;RIGHT($K172,2),AZ172,0))</f>
        <v>2.2366090042305076</v>
      </c>
      <c r="BW172" s="387">
        <f>+IF($K172="Ongoing",BA172,IF(RIGHT($K172,2)=RIGHT(BW$43,2),SUM($AX172:BA172),0)+IF(RIGHT(BW$43,2)&gt;RIGHT($K172,2),BA172,0))</f>
        <v>1.8040512764405146</v>
      </c>
      <c r="BX172" s="1283">
        <f>+IF($K172="Ongoing",BB172,IF(RIGHT($K172,2)=RIGHT(BX$43,2),SUM($AX172:BB172),0)+IF(RIGHT(BX$43,2)&gt;RIGHT($K172,2),BB172,0))</f>
        <v>1.1589162790031162</v>
      </c>
      <c r="BY172" s="386">
        <f>+IF($K172="Ongoing",BC172,IF(RIGHT($K172,2)=RIGHT(BY$43,2),SUM($AX172:BC172),0)+IF(RIGHT(BY$43,2)&gt;RIGHT($K172,2),BC172,0))</f>
        <v>0</v>
      </c>
      <c r="BZ172" s="387">
        <f>+IF($K172="Ongoing",BD172,IF(RIGHT($K172,2)=RIGHT(BZ$43,2),SUM($AX172:BD172),0)+IF(RIGHT(BZ$43,2)&gt;RIGHT($K172,2),BD172,0))</f>
        <v>0</v>
      </c>
      <c r="CA172" s="1277">
        <f>+IF($K172="Ongoing",BE172,IF(RIGHT($K172,2)=RIGHT(CA$43,2),SUM($AX172:BE172),0)+IF(RIGHT(CA$43,2)&gt;RIGHT($K172,2),BE172,0))</f>
        <v>0</v>
      </c>
      <c r="CB172" s="1277">
        <f>+IF($K172="Ongoing",BF172,IF(RIGHT($K172,2)=RIGHT(CB$43,2),SUM($AX172:BF172),0)+IF(RIGHT(CB$43,2)&gt;RIGHT($K172,2),BF172,0))</f>
        <v>0</v>
      </c>
      <c r="CC172" s="388">
        <f>+IF($K172="Ongoing",BG172,IF(RIGHT($K172,2)=RIGHT(CC$43,2),SUM($AX172:BG172),0)+IF(RIGHT(CC$43,2)&gt;RIGHT($K172,2),BG172,0))</f>
        <v>0</v>
      </c>
      <c r="CD172" s="1025"/>
      <c r="CE172" s="1282">
        <f>+Q172*KeyAssumptionsPriceControl_FO!AF$15</f>
        <v>3.3908276428539228</v>
      </c>
      <c r="CF172" s="387">
        <f>+R172*KeyAssumptionsPriceControl_FO!AG$15</f>
        <v>3.9650887575691214</v>
      </c>
      <c r="CG172" s="387">
        <f>+S172*KeyAssumptionsPriceControl_FO!AH$15</f>
        <v>2.436891500773239</v>
      </c>
      <c r="CH172" s="387">
        <f>+T172*KeyAssumptionsPriceControl_FO!AI$15</f>
        <v>2.0226017392460478</v>
      </c>
      <c r="CI172" s="1283">
        <f>+U172*KeyAssumptionsPriceControl_FO!AJ$15</f>
        <v>1.3369923956242982</v>
      </c>
      <c r="CJ172" s="386">
        <f>+V172*KeyAssumptionsPriceControl_FO!AK$15</f>
        <v>0</v>
      </c>
      <c r="CK172" s="387">
        <f>+W172*KeyAssumptionsPriceControl_FO!AL$15</f>
        <v>0</v>
      </c>
      <c r="CL172" s="1277">
        <f>+X172*KeyAssumptionsPriceControl_FO!AM$15</f>
        <v>0</v>
      </c>
      <c r="CM172" s="1277">
        <f>+Y172*KeyAssumptionsPriceControl_FO!AN$15</f>
        <v>0</v>
      </c>
      <c r="CN172" s="388">
        <f>+Z172*KeyAssumptionsPriceControl_FO!AO$15</f>
        <v>0</v>
      </c>
      <c r="CO172" s="1025"/>
      <c r="CP172" s="1282">
        <f t="shared" ca="1" si="324"/>
        <v>0</v>
      </c>
      <c r="CQ172" s="387">
        <f t="shared" ca="1" si="325"/>
        <v>0</v>
      </c>
      <c r="CR172" s="387">
        <f t="shared" ca="1" si="326"/>
        <v>0</v>
      </c>
      <c r="CS172" s="387">
        <f t="shared" ca="1" si="327"/>
        <v>0</v>
      </c>
      <c r="CT172" s="1283">
        <f t="shared" ca="1" si="328"/>
        <v>0</v>
      </c>
      <c r="CU172" s="386">
        <f t="shared" ca="1" si="329"/>
        <v>0</v>
      </c>
      <c r="CV172" s="387">
        <f t="shared" ca="1" si="330"/>
        <v>0</v>
      </c>
      <c r="CW172" s="1277">
        <f t="shared" ca="1" si="331"/>
        <v>0</v>
      </c>
      <c r="CX172" s="1277">
        <f t="shared" ca="1" si="332"/>
        <v>0</v>
      </c>
      <c r="CY172" s="388">
        <f t="shared" ca="1" si="333"/>
        <v>0</v>
      </c>
      <c r="CZ172" s="347"/>
      <c r="DA172" s="852"/>
      <c r="DB172" s="347"/>
      <c r="DC172" s="1012" t="s">
        <v>688</v>
      </c>
      <c r="DD172" s="841" t="s">
        <v>518</v>
      </c>
      <c r="DE172" s="386">
        <f>+IF($K172="ongoing",CE172,IF(RIGHT($K172,2)=RIGHT(DE$43,2),SUM($CD172:CE172),0)+IF(RIGHT(DE$43,2)&gt;RIGHT($K172,2),CE172,0))</f>
        <v>3.3908276428539228</v>
      </c>
      <c r="DF172" s="387">
        <f>+IF($K172="ongoing",CF172,IF(RIGHT($K172,2)=RIGHT(DF$43,2),SUM($CD172:CF172),0)+IF(RIGHT(DF$43,2)&gt;RIGHT($K172,2),CF172,0))</f>
        <v>3.9650887575691214</v>
      </c>
      <c r="DG172" s="388">
        <f>+IF($K172="ongoing",CG172,IF(RIGHT($K172,2)=RIGHT(DG$43,2),SUM($CD172:CG172),0)+IF(RIGHT(DG$43,2)&gt;RIGHT($K172,2),CG172,0))</f>
        <v>2.436891500773239</v>
      </c>
      <c r="DH172" s="386">
        <f>+IF($K172="ongoing",CH172,IF(RIGHT($K172,2)=RIGHT(DH$43,2),SUM($CD172:CH172),0)+IF(RIGHT(DH$43,2)&gt;RIGHT($K172,2),CH172,0))</f>
        <v>2.0226017392460478</v>
      </c>
      <c r="DI172" s="387">
        <f>+IF($K172="ongoing",CI172,IF(RIGHT($K172,2)=RIGHT(DI$43,2),SUM($CD172:CI172),0)+IF(RIGHT(DI$43,2)&gt;RIGHT($K172,2),CI172,0))</f>
        <v>1.3369923956242982</v>
      </c>
      <c r="DJ172" s="387">
        <f>+IF($K172="ongoing",CJ172,IF(RIGHT($K172,2)=RIGHT(DJ$43,2),SUM($CD172:CJ172),0)+IF(RIGHT(DJ$43,2)&gt;RIGHT($K172,2),CJ172,0))</f>
        <v>0</v>
      </c>
      <c r="DK172" s="387">
        <f>+IF($K172="ongoing",CK172,IF(RIGHT($K172,2)=RIGHT(DK$43,2),SUM($CD172:CK172),0)+IF(RIGHT(DK$43,2)&gt;RIGHT($K172,2),CK172,0))</f>
        <v>0</v>
      </c>
      <c r="DL172" s="388">
        <f>+IF($K172="ongoing",CN172,IF(RIGHT($K172,2)=RIGHT(DL$43,2),SUM($CD172:CN172),0)+IF(RIGHT(DL$43,2)&gt;RIGHT($K172,2),CN172,0))</f>
        <v>0</v>
      </c>
      <c r="DM172" s="841"/>
      <c r="DN172" s="386">
        <f t="shared" si="334"/>
        <v>0.5</v>
      </c>
      <c r="DO172" s="387">
        <f t="shared" si="335"/>
        <v>1</v>
      </c>
      <c r="DP172" s="388">
        <f t="shared" si="336"/>
        <v>1</v>
      </c>
      <c r="DQ172" s="386">
        <f t="shared" si="337"/>
        <v>1</v>
      </c>
      <c r="DR172" s="387">
        <f t="shared" si="338"/>
        <v>1</v>
      </c>
      <c r="DS172" s="387">
        <f t="shared" si="339"/>
        <v>1</v>
      </c>
      <c r="DT172" s="387">
        <f t="shared" si="340"/>
        <v>1</v>
      </c>
      <c r="DU172" s="388">
        <f t="shared" si="341"/>
        <v>1</v>
      </c>
      <c r="DW172" s="386">
        <f t="shared" si="342"/>
        <v>0</v>
      </c>
      <c r="DX172" s="387">
        <f t="shared" si="343"/>
        <v>0.5</v>
      </c>
      <c r="DY172" s="388">
        <f t="shared" si="344"/>
        <v>1</v>
      </c>
      <c r="DZ172" s="386">
        <f t="shared" si="345"/>
        <v>1</v>
      </c>
      <c r="EA172" s="387">
        <f t="shared" si="346"/>
        <v>1</v>
      </c>
      <c r="EB172" s="387">
        <f t="shared" si="347"/>
        <v>1</v>
      </c>
      <c r="EC172" s="387">
        <f t="shared" si="348"/>
        <v>1</v>
      </c>
      <c r="ED172" s="388">
        <f t="shared" si="349"/>
        <v>1</v>
      </c>
      <c r="EF172" s="834">
        <f>+IF(DN172=DM172,0,
IF(AND(EF$44&gt;1,DN172=$N172),1-SUM($EE172:EE172),
IF($N172&lt;=1,
IF($N172&gt;0,1/$N172,0),
IF(EF$44=1,0,VDB(1,0,$N172,INT(EF$44-1-1),MIN($N172,INT(EF$44-1-1)+1),$DC172,IF($DD172="No",1,0))/
IF(DM172&gt;=INT($N172),$N172-INT($N172),1)))*
IF(EF$44=1,0,
IF(INT(DN172)=INT(DM172),DN172-DM172,INT(DN172)-DM172))+
IF($N172&lt;=1,
IF($N172&gt;0,1/$N172,0),VDB(1,0,$N172,INT(EF$44-1),MIN($N172,INT(EF$44-1)+1),$DC172,IF($DD172="No",1,0))/
IF(DN172&gt;INT($N172),$N172-INT($N172),1))*
IF(EF$44=1,DN172,
IF(INT(DN172)=INT(DM172),0,DN172-INT(DN172)))))</f>
        <v>0</v>
      </c>
      <c r="EG172" s="835">
        <f>+IF(DO172=DN172,0,
IF(AND(EG$44&gt;1,DO172=$N172),1-SUM($EE172:EF172),
IF($N172&lt;=1,
IF($N172&gt;0,1/$N172,0),
IF(EG$44=1,0,VDB(1,0,$N172,INT(EG$44-1-1),MIN($N172,INT(EG$44-1-1)+1),$DC172,IF($DD172="No",1,0))/
IF(DN172&gt;=INT($N172),$N172-INT($N172),1)))*
IF(EG$44=1,0,
IF(INT(DO172)=INT(DN172),DO172-DN172,INT(DO172)-DN172))+
IF($N172&lt;=1,
IF($N172&gt;0,1/$N172,0),VDB(1,0,$N172,INT(EG$44-1),MIN($N172,INT(EG$44-1)+1),$DC172,IF($DD172="No",1,0))/
IF(DO172&gt;INT($N172),$N172-INT($N172),1))*
IF(EG$44=1,DO172,
IF(INT(DO172)=INT(DN172),0,DO172-INT(DO172)))))</f>
        <v>0</v>
      </c>
      <c r="EH172" s="836">
        <f>+IF(DP172=DO172,0,
IF(AND(EH$44&gt;1,DP172=$N172),1-SUM($EE172:EG172),
IF($N172&lt;=1,
IF($N172&gt;0,1/$N172,0),
IF(EH$44=1,0,VDB(1,0,$N172,INT(EH$44-1-1),MIN($N172,INT(EH$44-1-1)+1),$DC172,IF($DD172="No",1,0))/
IF(DO172&gt;=INT($N172),$N172-INT($N172),1)))*
IF(EH$44=1,0,
IF(INT(DP172)=INT(DO172),DP172-DO172,INT(DP172)-DO172))+
IF($N172&lt;=1,
IF($N172&gt;0,1/$N172,0),VDB(1,0,$N172,INT(EH$44-1),MIN($N172,INT(EH$44-1)+1),$DC172,IF($DD172="No",1,0))/
IF(DP172&gt;INT($N172),$N172-INT($N172),1))*
IF(EH$44=1,DP172,
IF(INT(DP172)=INT(DO172),0,DP172-INT(DP172)))))</f>
        <v>0</v>
      </c>
      <c r="EI172" s="834">
        <f>+IF(DQ172=DP172,0,
IF(AND(EI$44&gt;1,DQ172=$N172),1-SUM($EE172:EH172),
IF($N172&lt;=1,
IF($N172&gt;0,1/$N172,0),
IF(EI$44=1,0,VDB(1,0,$N172,INT(EI$44-1-1),MIN($N172,INT(EI$44-1-1)+1),$DC172,IF($DD172="No",1,0))/
IF(DP172&gt;=INT($N172),$N172-INT($N172),1)))*
IF(EI$44=1,0,
IF(INT(DQ172)=INT(DP172),DQ172-DP172,INT(DQ172)-DP172))+
IF($N172&lt;=1,
IF($N172&gt;0,1/$N172,0),VDB(1,0,$N172,INT(EI$44-1),MIN($N172,INT(EI$44-1)+1),$DC172,IF($DD172="No",1,0))/
IF(DQ172&gt;INT($N172),$N172-INT($N172),1))*
IF(EI$44=1,DQ172,
IF(INT(DQ172)=INT(DP172),0,DQ172-INT(DQ172)))))</f>
        <v>0</v>
      </c>
      <c r="EJ172" s="835">
        <f>+IF(DR172=DQ172,0,
IF(AND(EJ$44&gt;1,DR172=$N172),1-SUM($EE172:EI172),
IF($N172&lt;=1,
IF($N172&gt;0,1/$N172,0),
IF(EJ$44=1,0,VDB(1,0,$N172,INT(EJ$44-1-1),MIN($N172,INT(EJ$44-1-1)+1),$DC172,IF($DD172="No",1,0))/
IF(DQ172&gt;=INT($N172),$N172-INT($N172),1)))*
IF(EJ$44=1,0,
IF(INT(DR172)=INT(DQ172),DR172-DQ172,INT(DR172)-DQ172))+
IF($N172&lt;=1,
IF($N172&gt;0,1/$N172,0),VDB(1,0,$N172,INT(EJ$44-1),MIN($N172,INT(EJ$44-1)+1),$DC172,IF($DD172="No",1,0))/
IF(DR172&gt;INT($N172),$N172-INT($N172),1))*
IF(EJ$44=1,DR172,
IF(INT(DR172)=INT(DQ172),0,DR172-INT(DR172)))))</f>
        <v>0</v>
      </c>
      <c r="EK172" s="835">
        <f>+IF(DS172=DR172,0,
IF(AND(EK$44&gt;1,DS172=$N172),1-SUM($EE172:EJ172),
IF($N172&lt;=1,
IF($N172&gt;0,1/$N172,0),
IF(EK$44=1,0,VDB(1,0,$N172,INT(EK$44-1-1),MIN($N172,INT(EK$44-1-1)+1),$DC172,IF($DD172="No",1,0))/
IF(DR172&gt;=INT($N172),$N172-INT($N172),1)))*
IF(EK$44=1,0,
IF(INT(DS172)=INT(DR172),DS172-DR172,INT(DS172)-DR172))+
IF($N172&lt;=1,
IF($N172&gt;0,1/$N172,0),VDB(1,0,$N172,INT(EK$44-1),MIN($N172,INT(EK$44-1)+1),$DC172,IF($DD172="No",1,0))/
IF(DS172&gt;INT($N172),$N172-INT($N172),1))*
IF(EK$44=1,DS172,
IF(INT(DS172)=INT(DR172),0,DS172-INT(DS172)))))</f>
        <v>0</v>
      </c>
      <c r="EL172" s="835">
        <f>+IF(DT172=DS172,0,
IF(AND(EL$44&gt;1,DT172=$N172),1-SUM($EE172:EK172),
IF($N172&lt;=1,
IF($N172&gt;0,1/$N172,0),
IF(EL$44=1,0,VDB(1,0,$N172,INT(EL$44-1-1),MIN($N172,INT(EL$44-1-1)+1),$DC172,IF($DD172="No",1,0))/
IF(DS172&gt;=INT($N172),$N172-INT($N172),1)))*
IF(EL$44=1,0,
IF(INT(DT172)=INT(DS172),DT172-DS172,INT(DT172)-DS172))+
IF($N172&lt;=1,
IF($N172&gt;0,1/$N172,0),VDB(1,0,$N172,INT(EL$44-1),MIN($N172,INT(EL$44-1)+1),$DC172,IF($DD172="No",1,0))/
IF(DT172&gt;INT($N172),$N172-INT($N172),1))*
IF(EL$44=1,DT172,
IF(INT(DT172)=INT(DS172),0,DT172-INT(DT172)))))</f>
        <v>0</v>
      </c>
      <c r="EM172" s="836">
        <f>+IF(DU172=DT172,0,
IF(AND(EM$44&gt;1,DU172=$N172),1-SUM($EE172:EL172),
IF($N172&lt;=1,
IF($N172&gt;0,1/$N172,0),
IF(EM$44=1,0,VDB(1,0,$N172,INT(EM$44-1-1),MIN($N172,INT(EM$44-1-1)+1),$DC172,IF($DD172="No",1,0))/
IF(DT172&gt;=INT($N172),$N172-INT($N172),1)))*
IF(EM$44=1,0,
IF(INT(DU172)=INT(DT172),DU172-DT172,INT(DU172)-DT172))+
IF($N172&lt;=1,
IF($N172&gt;0,1/$N172,0),VDB(1,0,$N172,INT(EM$44-1),MIN($N172,INT(EM$44-1)+1),$DC172,IF($DD172="No",1,0))/
IF(DU172&gt;INT($N172),$N172-INT($N172),1))*
IF(EM$44=1,DU172,
IF(INT(DU172)=INT(DT172),0,DU172-INT(DU172)))))</f>
        <v>0</v>
      </c>
      <c r="EN172" s="833"/>
      <c r="EO172" s="834">
        <f>+IF(OR(DW172=DV172,EO$44=1),0,
IF(AND(EO$44&gt;1,DW172=$N172),1-SUM($EN172:EN172),
IF($N172&lt;=1,
IF($N172&gt;0,1/$N172,0),
IF(EO$44=2,0,VDB(1,0,$N172,INT(EO$44-2-1),MIN($N172,INT(EO$44-2-1)+1),$DC172,IF($DD172="No",1,0))/
IF(DV172&gt;=INT($N172),$N172-INT($N172),1)))*
IF(EO$44=2,0,
IF(INT(DW172)=INT(DV172),DW172-DV172,INT(DW172)-DV172))+
IF($N172&lt;=1,
IF($N172&gt;0,1/$N172,0),VDB(1,0,$N172,INT(EO$44-2),MIN($N172,INT(EO$44-2)+1),$DC172,IF($DD172="No",1,0))/
IF(DW172&gt;INT($N172),$N172-INT($N172),1))*
IF(EO$44=2,DW172,
IF(INT(DW172)=INT(DV172),0,DW172-INT(DW172)))))</f>
        <v>0</v>
      </c>
      <c r="EP172" s="835">
        <f>+IF(OR(DX172=DW172,EP$44=1),0,
IF(AND(EP$44&gt;1,DX172=$N172),1-SUM($EN172:EO172),
IF($N172&lt;=1,
IF($N172&gt;0,1/$N172,0),
IF(EP$44=2,0,VDB(1,0,$N172,INT(EP$44-2-1),MIN($N172,INT(EP$44-2-1)+1),$DC172,IF($DD172="No",1,0))/
IF(DW172&gt;=INT($N172),$N172-INT($N172),1)))*
IF(EP$44=2,0,
IF(INT(DX172)=INT(DW172),DX172-DW172,INT(DX172)-DW172))+
IF($N172&lt;=1,
IF($N172&gt;0,1/$N172,0),VDB(1,0,$N172,INT(EP$44-2),MIN($N172,INT(EP$44-2)+1),$DC172,IF($DD172="No",1,0))/
IF(DX172&gt;INT($N172),$N172-INT($N172),1))*
IF(EP$44=2,DX172,
IF(INT(DX172)=INT(DW172),0,DX172-INT(DX172)))))</f>
        <v>0</v>
      </c>
      <c r="EQ172" s="836">
        <f>+IF(OR(DY172=DX172,EQ$44=1),0,
IF(AND(EQ$44&gt;1,DY172=$N172),1-SUM($EN172:EP172),
IF($N172&lt;=1,
IF($N172&gt;0,1/$N172,0),
IF(EQ$44=2,0,VDB(1,0,$N172,INT(EQ$44-2-1),MIN($N172,INT(EQ$44-2-1)+1),$DC172,IF($DD172="No",1,0))/
IF(DX172&gt;=INT($N172),$N172-INT($N172),1)))*
IF(EQ$44=2,0,
IF(INT(DY172)=INT(DX172),DY172-DX172,INT(DY172)-DX172))+
IF($N172&lt;=1,
IF($N172&gt;0,1/$N172,0),VDB(1,0,$N172,INT(EQ$44-2),MIN($N172,INT(EQ$44-2)+1),$DC172,IF($DD172="No",1,0))/
IF(DY172&gt;INT($N172),$N172-INT($N172),1))*
IF(EQ$44=2,DY172,
IF(INT(DY172)=INT(DX172),0,DY172-INT(DY172)))))</f>
        <v>0</v>
      </c>
      <c r="ER172" s="834">
        <f>+IF(OR(DZ172=DY172,ER$44=1),0,
IF(AND(ER$44&gt;1,DZ172=$N172),1-SUM($EN172:EQ172),
IF($N172&lt;=1,
IF($N172&gt;0,1/$N172,0),
IF(ER$44=2,0,VDB(1,0,$N172,INT(ER$44-2-1),MIN($N172,INT(ER$44-2-1)+1),$DC172,IF($DD172="No",1,0))/
IF(DY172&gt;=INT($N172),$N172-INT($N172),1)))*
IF(ER$44=2,0,
IF(INT(DZ172)=INT(DY172),DZ172-DY172,INT(DZ172)-DY172))+
IF($N172&lt;=1,
IF($N172&gt;0,1/$N172,0),VDB(1,0,$N172,INT(ER$44-2),MIN($N172,INT(ER$44-2)+1),$DC172,IF($DD172="No",1,0))/
IF(DZ172&gt;INT($N172),$N172-INT($N172),1))*
IF(ER$44=2,DZ172,
IF(INT(DZ172)=INT(DY172),0,DZ172-INT(DZ172)))))</f>
        <v>0</v>
      </c>
      <c r="ES172" s="835">
        <f>+IF(OR(EA172=DZ172,ES$44=1),0,
IF(AND(ES$44&gt;1,EA172=$N172),1-SUM($EN172:ER172),
IF($N172&lt;=1,
IF($N172&gt;0,1/$N172,0),
IF(ES$44=2,0,VDB(1,0,$N172,INT(ES$44-2-1),MIN($N172,INT(ES$44-2-1)+1),$DC172,IF($DD172="No",1,0))/
IF(DZ172&gt;=INT($N172),$N172-INT($N172),1)))*
IF(ES$44=2,0,
IF(INT(EA172)=INT(DZ172),EA172-DZ172,INT(EA172)-DZ172))+
IF($N172&lt;=1,
IF($N172&gt;0,1/$N172,0),VDB(1,0,$N172,INT(ES$44-2),MIN($N172,INT(ES$44-2)+1),$DC172,IF($DD172="No",1,0))/
IF(EA172&gt;INT($N172),$N172-INT($N172),1))*
IF(ES$44=2,EA172,
IF(INT(EA172)=INT(DZ172),0,EA172-INT(EA172)))))</f>
        <v>0</v>
      </c>
      <c r="ET172" s="835">
        <f>+IF(OR(EB172=EA172,ET$44=1),0,
IF(AND(ET$44&gt;1,EB172=$N172),1-SUM($EN172:ES172),
IF($N172&lt;=1,
IF($N172&gt;0,1/$N172,0),
IF(ET$44=2,0,VDB(1,0,$N172,INT(ET$44-2-1),MIN($N172,INT(ET$44-2-1)+1),$DC172,IF($DD172="No",1,0))/
IF(EA172&gt;=INT($N172),$N172-INT($N172),1)))*
IF(ET$44=2,0,
IF(INT(EB172)=INT(EA172),EB172-EA172,INT(EB172)-EA172))+
IF($N172&lt;=1,
IF($N172&gt;0,1/$N172,0),VDB(1,0,$N172,INT(ET$44-2),MIN($N172,INT(ET$44-2)+1),$DC172,IF($DD172="No",1,0))/
IF(EB172&gt;INT($N172),$N172-INT($N172),1))*
IF(ET$44=2,EB172,
IF(INT(EB172)=INT(EA172),0,EB172-INT(EB172)))))</f>
        <v>0</v>
      </c>
      <c r="EU172" s="835">
        <f>+IF(OR(EC172=EB172,EU$44=1),0,
IF(AND(EU$44&gt;1,EC172=$N172),1-SUM($EN172:ET172),
IF($N172&lt;=1,
IF($N172&gt;0,1/$N172,0),
IF(EU$44=2,0,VDB(1,0,$N172,INT(EU$44-2-1),MIN($N172,INT(EU$44-2-1)+1),$DC172,IF($DD172="No",1,0))/
IF(EB172&gt;=INT($N172),$N172-INT($N172),1)))*
IF(EU$44=2,0,
IF(INT(EC172)=INT(EB172),EC172-EB172,INT(EC172)-EB172))+
IF($N172&lt;=1,
IF($N172&gt;0,1/$N172,0),VDB(1,0,$N172,INT(EU$44-2),MIN($N172,INT(EU$44-2)+1),$DC172,IF($DD172="No",1,0))/
IF(EC172&gt;INT($N172),$N172-INT($N172),1))*
IF(EU$44=2,EC172,
IF(INT(EC172)=INT(EB172),0,EC172-INT(EC172)))))</f>
        <v>0</v>
      </c>
      <c r="EV172" s="836">
        <f>+IF(OR(ED172=EC172,EV$44=1),0,
IF(AND(EV$44&gt;1,ED172=$N172),1-SUM($EN172:EU172),
IF($N172&lt;=1,
IF($N172&gt;0,1/$N172,0),
IF(EV$44=2,0,VDB(1,0,$N172,INT(EV$44-2-1),MIN($N172,INT(EV$44-2-1)+1),$DC172,IF($DD172="No",1,0))/
IF(EC172&gt;=INT($N172),$N172-INT($N172),1)))*
IF(EV$44=2,0,
IF(INT(ED172)=INT(EC172),ED172-EC172,INT(ED172)-EC172))+
IF($N172&lt;=1,
IF($N172&gt;0,1/$N172,0),VDB(1,0,$N172,INT(EV$44-2),MIN($N172,INT(EV$44-2)+1),$DC172,IF($DD172="No",1,0))/
IF(ED172&gt;INT($N172),$N172-INT($N172),1))*
IF(EV$44=2,ED172,
IF(INT(ED172)=INT(EC172),0,ED172-INT(ED172)))))</f>
        <v>0</v>
      </c>
      <c r="EW172" s="833"/>
      <c r="EX172" s="834">
        <f t="shared" ca="1" si="350"/>
        <v>0</v>
      </c>
      <c r="EY172" s="835">
        <f t="shared" ca="1" si="350"/>
        <v>0</v>
      </c>
      <c r="EZ172" s="836">
        <f t="shared" ca="1" si="350"/>
        <v>0</v>
      </c>
      <c r="FA172" s="834">
        <f t="shared" ca="1" si="350"/>
        <v>0</v>
      </c>
      <c r="FB172" s="835">
        <f t="shared" ca="1" si="350"/>
        <v>0</v>
      </c>
      <c r="FC172" s="835">
        <f t="shared" ca="1" si="350"/>
        <v>0</v>
      </c>
      <c r="FD172" s="835">
        <f t="shared" ca="1" si="350"/>
        <v>0</v>
      </c>
      <c r="FE172" s="836">
        <f t="shared" ca="1" si="350"/>
        <v>0</v>
      </c>
      <c r="FG172" s="386">
        <f t="shared" ca="1" si="351"/>
        <v>0</v>
      </c>
      <c r="FH172" s="387">
        <f t="shared" ca="1" si="352"/>
        <v>0</v>
      </c>
      <c r="FI172" s="388">
        <f t="shared" ca="1" si="353"/>
        <v>0</v>
      </c>
      <c r="FJ172" s="386">
        <f t="shared" ca="1" si="354"/>
        <v>0</v>
      </c>
      <c r="FK172" s="387">
        <f t="shared" ca="1" si="355"/>
        <v>0</v>
      </c>
      <c r="FL172" s="387">
        <f t="shared" ca="1" si="356"/>
        <v>0</v>
      </c>
      <c r="FM172" s="387">
        <f t="shared" ca="1" si="357"/>
        <v>0</v>
      </c>
      <c r="FN172" s="388">
        <f t="shared" ca="1" si="358"/>
        <v>0</v>
      </c>
      <c r="FR172" s="116"/>
    </row>
    <row r="173" spans="2:174">
      <c r="B173" s="1410">
        <f t="shared" si="302"/>
        <v>127</v>
      </c>
      <c r="C173" s="400" t="s">
        <v>687</v>
      </c>
      <c r="D173" s="410"/>
      <c r="E173" s="402" t="s">
        <v>411</v>
      </c>
      <c r="F173" s="402" t="s">
        <v>514</v>
      </c>
      <c r="G173" s="400" t="s">
        <v>437</v>
      </c>
      <c r="H173" s="2088" t="s">
        <v>483</v>
      </c>
      <c r="I173" s="2089"/>
      <c r="J173" s="411" t="s">
        <v>516</v>
      </c>
      <c r="K173" s="403" t="s">
        <v>544</v>
      </c>
      <c r="L173" s="403">
        <v>10</v>
      </c>
      <c r="M173" s="403" t="s">
        <v>142</v>
      </c>
      <c r="N173" s="403"/>
      <c r="O173" s="347"/>
      <c r="P173" s="347"/>
      <c r="Q173" s="1021">
        <v>8.4902799657771449E-2</v>
      </c>
      <c r="R173" s="1022">
        <v>9.648367450678387E-2</v>
      </c>
      <c r="S173" s="1022">
        <v>5.7626433248685757E-2</v>
      </c>
      <c r="T173" s="1022">
        <v>4.6481544276342046E-2</v>
      </c>
      <c r="U173" s="1023">
        <v>2.9859582728347767E-2</v>
      </c>
      <c r="V173" s="1021">
        <v>0</v>
      </c>
      <c r="W173" s="1022">
        <v>0</v>
      </c>
      <c r="X173" s="1022">
        <v>0</v>
      </c>
      <c r="Y173" s="1022">
        <v>0</v>
      </c>
      <c r="Z173" s="1023">
        <v>0</v>
      </c>
      <c r="AA173" s="1024"/>
      <c r="AB173" s="1021">
        <v>0</v>
      </c>
      <c r="AC173" s="1022">
        <v>0</v>
      </c>
      <c r="AD173" s="1022">
        <v>0</v>
      </c>
      <c r="AE173" s="1022">
        <v>0</v>
      </c>
      <c r="AF173" s="1023">
        <v>0</v>
      </c>
      <c r="AG173" s="1021">
        <v>0</v>
      </c>
      <c r="AH173" s="1022">
        <v>0</v>
      </c>
      <c r="AI173" s="1022">
        <v>0</v>
      </c>
      <c r="AJ173" s="1022">
        <v>0</v>
      </c>
      <c r="AK173" s="1023">
        <v>0</v>
      </c>
      <c r="AL173" s="1024"/>
      <c r="AM173" s="1021">
        <v>0</v>
      </c>
      <c r="AN173" s="1022">
        <v>0</v>
      </c>
      <c r="AO173" s="1022">
        <v>0</v>
      </c>
      <c r="AP173" s="1022">
        <v>0</v>
      </c>
      <c r="AQ173" s="1023">
        <v>0</v>
      </c>
      <c r="AR173" s="1021">
        <v>0</v>
      </c>
      <c r="AS173" s="1022">
        <v>0</v>
      </c>
      <c r="AT173" s="1022">
        <v>0</v>
      </c>
      <c r="AU173" s="1022">
        <v>0</v>
      </c>
      <c r="AV173" s="1023">
        <v>0</v>
      </c>
      <c r="AW173" s="1025"/>
      <c r="AX173" s="1282">
        <f t="shared" si="304"/>
        <v>8.4902799657771449E-2</v>
      </c>
      <c r="AY173" s="387">
        <f t="shared" si="305"/>
        <v>9.648367450678387E-2</v>
      </c>
      <c r="AZ173" s="387">
        <f t="shared" si="306"/>
        <v>5.7626433248685757E-2</v>
      </c>
      <c r="BA173" s="387">
        <f t="shared" si="307"/>
        <v>4.6481544276342046E-2</v>
      </c>
      <c r="BB173" s="1283">
        <f t="shared" si="308"/>
        <v>2.9859582728347767E-2</v>
      </c>
      <c r="BC173" s="386">
        <f t="shared" si="309"/>
        <v>0</v>
      </c>
      <c r="BD173" s="387">
        <f t="shared" si="310"/>
        <v>0</v>
      </c>
      <c r="BE173" s="1277">
        <f t="shared" si="311"/>
        <v>0</v>
      </c>
      <c r="BF173" s="1277">
        <f t="shared" si="312"/>
        <v>0</v>
      </c>
      <c r="BG173" s="388">
        <f t="shared" si="313"/>
        <v>0</v>
      </c>
      <c r="BH173" s="1025"/>
      <c r="BI173" s="1282">
        <f t="shared" ca="1" si="314"/>
        <v>4.2451399828885728E-3</v>
      </c>
      <c r="BJ173" s="387">
        <f t="shared" ca="1" si="315"/>
        <v>1.331446369111634E-2</v>
      </c>
      <c r="BK173" s="387">
        <f t="shared" ca="1" si="316"/>
        <v>2.1019969078889821E-2</v>
      </c>
      <c r="BL173" s="387">
        <f t="shared" ca="1" si="317"/>
        <v>2.6225367955141216E-2</v>
      </c>
      <c r="BM173" s="1283">
        <f t="shared" ca="1" si="318"/>
        <v>3.0042424305375705E-2</v>
      </c>
      <c r="BN173" s="386">
        <f t="shared" ca="1" si="319"/>
        <v>3.1535403441793092E-2</v>
      </c>
      <c r="BO173" s="387">
        <f t="shared" ca="1" si="320"/>
        <v>3.1535403441793092E-2</v>
      </c>
      <c r="BP173" s="1277">
        <f t="shared" ca="1" si="321"/>
        <v>3.1535403441793092E-2</v>
      </c>
      <c r="BQ173" s="1277">
        <f t="shared" ca="1" si="322"/>
        <v>3.1535403441793092E-2</v>
      </c>
      <c r="BR173" s="388">
        <f t="shared" ca="1" si="323"/>
        <v>3.1535403441793092E-2</v>
      </c>
      <c r="BS173" s="1025"/>
      <c r="BT173" s="1282">
        <f>+IF($K173="Ongoing",AX173,IF(RIGHT($K173,2)=RIGHT(BT$43,2),SUM($AX173:AX173),0)+IF(RIGHT(BT$43,2)&gt;RIGHT($K173,2),AX173,0))</f>
        <v>8.4902799657771449E-2</v>
      </c>
      <c r="BU173" s="387">
        <f>+IF($K173="Ongoing",AY173,IF(RIGHT($K173,2)=RIGHT(BU$43,2),SUM($AX173:AY173),0)+IF(RIGHT(BU$43,2)&gt;RIGHT($K173,2),AY173,0))</f>
        <v>9.648367450678387E-2</v>
      </c>
      <c r="BV173" s="387">
        <f>+IF($K173="Ongoing",AZ173,IF(RIGHT($K173,2)=RIGHT(BV$43,2),SUM($AX173:AZ173),0)+IF(RIGHT(BV$43,2)&gt;RIGHT($K173,2),AZ173,0))</f>
        <v>5.7626433248685757E-2</v>
      </c>
      <c r="BW173" s="387">
        <f>+IF($K173="Ongoing",BA173,IF(RIGHT($K173,2)=RIGHT(BW$43,2),SUM($AX173:BA173),0)+IF(RIGHT(BW$43,2)&gt;RIGHT($K173,2),BA173,0))</f>
        <v>4.6481544276342046E-2</v>
      </c>
      <c r="BX173" s="1283">
        <f>+IF($K173="Ongoing",BB173,IF(RIGHT($K173,2)=RIGHT(BX$43,2),SUM($AX173:BB173),0)+IF(RIGHT(BX$43,2)&gt;RIGHT($K173,2),BB173,0))</f>
        <v>2.9859582728347767E-2</v>
      </c>
      <c r="BY173" s="386">
        <f>+IF($K173="Ongoing",BC173,IF(RIGHT($K173,2)=RIGHT(BY$43,2),SUM($AX173:BC173),0)+IF(RIGHT(BY$43,2)&gt;RIGHT($K173,2),BC173,0))</f>
        <v>0</v>
      </c>
      <c r="BZ173" s="387">
        <f>+IF($K173="Ongoing",BD173,IF(RIGHT($K173,2)=RIGHT(BZ$43,2),SUM($AX173:BD173),0)+IF(RIGHT(BZ$43,2)&gt;RIGHT($K173,2),BD173,0))</f>
        <v>0</v>
      </c>
      <c r="CA173" s="1277">
        <f>+IF($K173="Ongoing",BE173,IF(RIGHT($K173,2)=RIGHT(CA$43,2),SUM($AX173:BE173),0)+IF(RIGHT(CA$43,2)&gt;RIGHT($K173,2),BE173,0))</f>
        <v>0</v>
      </c>
      <c r="CB173" s="1277">
        <f>+IF($K173="Ongoing",BF173,IF(RIGHT($K173,2)=RIGHT(CB$43,2),SUM($AX173:BF173),0)+IF(RIGHT(CB$43,2)&gt;RIGHT($K173,2),BF173,0))</f>
        <v>0</v>
      </c>
      <c r="CC173" s="388">
        <f>+IF($K173="Ongoing",BG173,IF(RIGHT($K173,2)=RIGHT(CC$43,2),SUM($AX173:BG173),0)+IF(RIGHT(CC$43,2)&gt;RIGHT($K173,2),BG173,0))</f>
        <v>0</v>
      </c>
      <c r="CD173" s="1025"/>
      <c r="CE173" s="1282">
        <f>+Q173*KeyAssumptionsPriceControl_FO!AF$15</f>
        <v>8.7364980847846815E-2</v>
      </c>
      <c r="CF173" s="387">
        <f>+R173*KeyAssumptionsPriceControl_FO!AG$15</f>
        <v>0.10216087039843753</v>
      </c>
      <c r="CG173" s="387">
        <f>+S173*KeyAssumptionsPriceControl_FO!AH$15</f>
        <v>6.2786729883488338E-2</v>
      </c>
      <c r="CH173" s="387">
        <f>+T173*KeyAssumptionsPriceControl_FO!AI$15</f>
        <v>5.2112516713862675E-2</v>
      </c>
      <c r="CI173" s="1283">
        <f>+U173*KeyAssumptionsPriceControl_FO!AJ$15</f>
        <v>3.4447729976367213E-2</v>
      </c>
      <c r="CJ173" s="386">
        <f>+V173*KeyAssumptionsPriceControl_FO!AK$15</f>
        <v>0</v>
      </c>
      <c r="CK173" s="387">
        <f>+W173*KeyAssumptionsPriceControl_FO!AL$15</f>
        <v>0</v>
      </c>
      <c r="CL173" s="1277">
        <f>+X173*KeyAssumptionsPriceControl_FO!AM$15</f>
        <v>0</v>
      </c>
      <c r="CM173" s="1277">
        <f>+Y173*KeyAssumptionsPriceControl_FO!AN$15</f>
        <v>0</v>
      </c>
      <c r="CN173" s="388">
        <f>+Z173*KeyAssumptionsPriceControl_FO!AO$15</f>
        <v>0</v>
      </c>
      <c r="CO173" s="1025"/>
      <c r="CP173" s="1282">
        <f t="shared" ca="1" si="324"/>
        <v>0</v>
      </c>
      <c r="CQ173" s="387">
        <f t="shared" ca="1" si="325"/>
        <v>0</v>
      </c>
      <c r="CR173" s="387">
        <f t="shared" ca="1" si="326"/>
        <v>0</v>
      </c>
      <c r="CS173" s="387">
        <f t="shared" ca="1" si="327"/>
        <v>0</v>
      </c>
      <c r="CT173" s="1283">
        <f t="shared" ca="1" si="328"/>
        <v>0</v>
      </c>
      <c r="CU173" s="386">
        <f t="shared" ca="1" si="329"/>
        <v>0</v>
      </c>
      <c r="CV173" s="387">
        <f t="shared" ca="1" si="330"/>
        <v>0</v>
      </c>
      <c r="CW173" s="1277">
        <f t="shared" ca="1" si="331"/>
        <v>0</v>
      </c>
      <c r="CX173" s="1277">
        <f t="shared" ca="1" si="332"/>
        <v>0</v>
      </c>
      <c r="CY173" s="388">
        <f t="shared" ca="1" si="333"/>
        <v>0</v>
      </c>
      <c r="CZ173" s="347"/>
      <c r="DA173" s="852"/>
      <c r="DB173" s="347"/>
      <c r="DC173" s="1012" t="s">
        <v>689</v>
      </c>
      <c r="DD173" s="841" t="s">
        <v>518</v>
      </c>
      <c r="DE173" s="386">
        <f>+IF($K173="ongoing",CE173,IF(RIGHT($K173,2)=RIGHT(DE$43,2),SUM($CD173:CE173),0)+IF(RIGHT(DE$43,2)&gt;RIGHT($K173,2),CE173,0))</f>
        <v>8.7364980847846815E-2</v>
      </c>
      <c r="DF173" s="387">
        <f>+IF($K173="ongoing",CF173,IF(RIGHT($K173,2)=RIGHT(DF$43,2),SUM($CD173:CF173),0)+IF(RIGHT(DF$43,2)&gt;RIGHT($K173,2),CF173,0))</f>
        <v>0.10216087039843753</v>
      </c>
      <c r="DG173" s="388">
        <f>+IF($K173="ongoing",CG173,IF(RIGHT($K173,2)=RIGHT(DG$43,2),SUM($CD173:CG173),0)+IF(RIGHT(DG$43,2)&gt;RIGHT($K173,2),CG173,0))</f>
        <v>6.2786729883488338E-2</v>
      </c>
      <c r="DH173" s="386">
        <f>+IF($K173="ongoing",CH173,IF(RIGHT($K173,2)=RIGHT(DH$43,2),SUM($CD173:CH173),0)+IF(RIGHT(DH$43,2)&gt;RIGHT($K173,2),CH173,0))</f>
        <v>5.2112516713862675E-2</v>
      </c>
      <c r="DI173" s="387">
        <f>+IF($K173="ongoing",CI173,IF(RIGHT($K173,2)=RIGHT(DI$43,2),SUM($CD173:CI173),0)+IF(RIGHT(DI$43,2)&gt;RIGHT($K173,2),CI173,0))</f>
        <v>3.4447729976367213E-2</v>
      </c>
      <c r="DJ173" s="387">
        <f>+IF($K173="ongoing",CJ173,IF(RIGHT($K173,2)=RIGHT(DJ$43,2),SUM($CD173:CJ173),0)+IF(RIGHT(DJ$43,2)&gt;RIGHT($K173,2),CJ173,0))</f>
        <v>0</v>
      </c>
      <c r="DK173" s="387">
        <f>+IF($K173="ongoing",CK173,IF(RIGHT($K173,2)=RIGHT(DK$43,2),SUM($CD173:CK173),0)+IF(RIGHT(DK$43,2)&gt;RIGHT($K173,2),CK173,0))</f>
        <v>0</v>
      </c>
      <c r="DL173" s="388">
        <f>+IF($K173="ongoing",CN173,IF(RIGHT($K173,2)=RIGHT(DL$43,2),SUM($CD173:CN173),0)+IF(RIGHT(DL$43,2)&gt;RIGHT($K173,2),CN173,0))</f>
        <v>0</v>
      </c>
      <c r="DM173" s="841"/>
      <c r="DN173" s="386">
        <f t="shared" si="334"/>
        <v>0.5</v>
      </c>
      <c r="DO173" s="387">
        <f t="shared" si="335"/>
        <v>1</v>
      </c>
      <c r="DP173" s="388">
        <f t="shared" si="336"/>
        <v>1</v>
      </c>
      <c r="DQ173" s="386">
        <f t="shared" si="337"/>
        <v>1</v>
      </c>
      <c r="DR173" s="387">
        <f t="shared" si="338"/>
        <v>1</v>
      </c>
      <c r="DS173" s="387">
        <f t="shared" si="339"/>
        <v>1</v>
      </c>
      <c r="DT173" s="387">
        <f t="shared" si="340"/>
        <v>1</v>
      </c>
      <c r="DU173" s="388">
        <f t="shared" si="341"/>
        <v>1</v>
      </c>
      <c r="DW173" s="386">
        <f t="shared" si="342"/>
        <v>0</v>
      </c>
      <c r="DX173" s="387">
        <f t="shared" si="343"/>
        <v>0.5</v>
      </c>
      <c r="DY173" s="388">
        <f t="shared" si="344"/>
        <v>1</v>
      </c>
      <c r="DZ173" s="386">
        <f t="shared" si="345"/>
        <v>1</v>
      </c>
      <c r="EA173" s="387">
        <f t="shared" si="346"/>
        <v>1</v>
      </c>
      <c r="EB173" s="387">
        <f t="shared" si="347"/>
        <v>1</v>
      </c>
      <c r="EC173" s="387">
        <f t="shared" si="348"/>
        <v>1</v>
      </c>
      <c r="ED173" s="388">
        <f t="shared" si="349"/>
        <v>1</v>
      </c>
      <c r="EF173" s="834">
        <f>+IF(DN173=DM173,0,
IF(AND(EF$44&gt;1,DN173=$N173),1-SUM($EE173:EE173),
IF($N173&lt;=1,
IF($N173&gt;0,1/$N173,0),
IF(EF$44=1,0,VDB(1,0,$N173,INT(EF$44-1-1),MIN($N173,INT(EF$44-1-1)+1),$DC173,IF($DD173="No",1,0))/
IF(DM173&gt;=INT($N173),$N173-INT($N173),1)))*
IF(EF$44=1,0,
IF(INT(DN173)=INT(DM173),DN173-DM173,INT(DN173)-DM173))+
IF($N173&lt;=1,
IF($N173&gt;0,1/$N173,0),VDB(1,0,$N173,INT(EF$44-1),MIN($N173,INT(EF$44-1)+1),$DC173,IF($DD173="No",1,0))/
IF(DN173&gt;INT($N173),$N173-INT($N173),1))*
IF(EF$44=1,DN173,
IF(INT(DN173)=INT(DM173),0,DN173-INT(DN173)))))</f>
        <v>0</v>
      </c>
      <c r="EG173" s="835">
        <f>+IF(DO173=DN173,0,
IF(AND(EG$44&gt;1,DO173=$N173),1-SUM($EE173:EF173),
IF($N173&lt;=1,
IF($N173&gt;0,1/$N173,0),
IF(EG$44=1,0,VDB(1,0,$N173,INT(EG$44-1-1),MIN($N173,INT(EG$44-1-1)+1),$DC173,IF($DD173="No",1,0))/
IF(DN173&gt;=INT($N173),$N173-INT($N173),1)))*
IF(EG$44=1,0,
IF(INT(DO173)=INT(DN173),DO173-DN173,INT(DO173)-DN173))+
IF($N173&lt;=1,
IF($N173&gt;0,1/$N173,0),VDB(1,0,$N173,INT(EG$44-1),MIN($N173,INT(EG$44-1)+1),$DC173,IF($DD173="No",1,0))/
IF(DO173&gt;INT($N173),$N173-INT($N173),1))*
IF(EG$44=1,DO173,
IF(INT(DO173)=INT(DN173),0,DO173-INT(DO173)))))</f>
        <v>0</v>
      </c>
      <c r="EH173" s="836">
        <f>+IF(DP173=DO173,0,
IF(AND(EH$44&gt;1,DP173=$N173),1-SUM($EE173:EG173),
IF($N173&lt;=1,
IF($N173&gt;0,1/$N173,0),
IF(EH$44=1,0,VDB(1,0,$N173,INT(EH$44-1-1),MIN($N173,INT(EH$44-1-1)+1),$DC173,IF($DD173="No",1,0))/
IF(DO173&gt;=INT($N173),$N173-INT($N173),1)))*
IF(EH$44=1,0,
IF(INT(DP173)=INT(DO173),DP173-DO173,INT(DP173)-DO173))+
IF($N173&lt;=1,
IF($N173&gt;0,1/$N173,0),VDB(1,0,$N173,INT(EH$44-1),MIN($N173,INT(EH$44-1)+1),$DC173,IF($DD173="No",1,0))/
IF(DP173&gt;INT($N173),$N173-INT($N173),1))*
IF(EH$44=1,DP173,
IF(INT(DP173)=INT(DO173),0,DP173-INT(DP173)))))</f>
        <v>0</v>
      </c>
      <c r="EI173" s="834">
        <f>+IF(DQ173=DP173,0,
IF(AND(EI$44&gt;1,DQ173=$N173),1-SUM($EE173:EH173),
IF($N173&lt;=1,
IF($N173&gt;0,1/$N173,0),
IF(EI$44=1,0,VDB(1,0,$N173,INT(EI$44-1-1),MIN($N173,INT(EI$44-1-1)+1),$DC173,IF($DD173="No",1,0))/
IF(DP173&gt;=INT($N173),$N173-INT($N173),1)))*
IF(EI$44=1,0,
IF(INT(DQ173)=INT(DP173),DQ173-DP173,INT(DQ173)-DP173))+
IF($N173&lt;=1,
IF($N173&gt;0,1/$N173,0),VDB(1,0,$N173,INT(EI$44-1),MIN($N173,INT(EI$44-1)+1),$DC173,IF($DD173="No",1,0))/
IF(DQ173&gt;INT($N173),$N173-INT($N173),1))*
IF(EI$44=1,DQ173,
IF(INT(DQ173)=INT(DP173),0,DQ173-INT(DQ173)))))</f>
        <v>0</v>
      </c>
      <c r="EJ173" s="835">
        <f>+IF(DR173=DQ173,0,
IF(AND(EJ$44&gt;1,DR173=$N173),1-SUM($EE173:EI173),
IF($N173&lt;=1,
IF($N173&gt;0,1/$N173,0),
IF(EJ$44=1,0,VDB(1,0,$N173,INT(EJ$44-1-1),MIN($N173,INT(EJ$44-1-1)+1),$DC173,IF($DD173="No",1,0))/
IF(DQ173&gt;=INT($N173),$N173-INT($N173),1)))*
IF(EJ$44=1,0,
IF(INT(DR173)=INT(DQ173),DR173-DQ173,INT(DR173)-DQ173))+
IF($N173&lt;=1,
IF($N173&gt;0,1/$N173,0),VDB(1,0,$N173,INT(EJ$44-1),MIN($N173,INT(EJ$44-1)+1),$DC173,IF($DD173="No",1,0))/
IF(DR173&gt;INT($N173),$N173-INT($N173),1))*
IF(EJ$44=1,DR173,
IF(INT(DR173)=INT(DQ173),0,DR173-INT(DR173)))))</f>
        <v>0</v>
      </c>
      <c r="EK173" s="835">
        <f>+IF(DS173=DR173,0,
IF(AND(EK$44&gt;1,DS173=$N173),1-SUM($EE173:EJ173),
IF($N173&lt;=1,
IF($N173&gt;0,1/$N173,0),
IF(EK$44=1,0,VDB(1,0,$N173,INT(EK$44-1-1),MIN($N173,INT(EK$44-1-1)+1),$DC173,IF($DD173="No",1,0))/
IF(DR173&gt;=INT($N173),$N173-INT($N173),1)))*
IF(EK$44=1,0,
IF(INT(DS173)=INT(DR173),DS173-DR173,INT(DS173)-DR173))+
IF($N173&lt;=1,
IF($N173&gt;0,1/$N173,0),VDB(1,0,$N173,INT(EK$44-1),MIN($N173,INT(EK$44-1)+1),$DC173,IF($DD173="No",1,0))/
IF(DS173&gt;INT($N173),$N173-INT($N173),1))*
IF(EK$44=1,DS173,
IF(INT(DS173)=INT(DR173),0,DS173-INT(DS173)))))</f>
        <v>0</v>
      </c>
      <c r="EL173" s="835">
        <f>+IF(DT173=DS173,0,
IF(AND(EL$44&gt;1,DT173=$N173),1-SUM($EE173:EK173),
IF($N173&lt;=1,
IF($N173&gt;0,1/$N173,0),
IF(EL$44=1,0,VDB(1,0,$N173,INT(EL$44-1-1),MIN($N173,INT(EL$44-1-1)+1),$DC173,IF($DD173="No",1,0))/
IF(DS173&gt;=INT($N173),$N173-INT($N173),1)))*
IF(EL$44=1,0,
IF(INT(DT173)=INT(DS173),DT173-DS173,INT(DT173)-DS173))+
IF($N173&lt;=1,
IF($N173&gt;0,1/$N173,0),VDB(1,0,$N173,INT(EL$44-1),MIN($N173,INT(EL$44-1)+1),$DC173,IF($DD173="No",1,0))/
IF(DT173&gt;INT($N173),$N173-INT($N173),1))*
IF(EL$44=1,DT173,
IF(INT(DT173)=INT(DS173),0,DT173-INT(DT173)))))</f>
        <v>0</v>
      </c>
      <c r="EM173" s="836">
        <f>+IF(DU173=DT173,0,
IF(AND(EM$44&gt;1,DU173=$N173),1-SUM($EE173:EL173),
IF($N173&lt;=1,
IF($N173&gt;0,1/$N173,0),
IF(EM$44=1,0,VDB(1,0,$N173,INT(EM$44-1-1),MIN($N173,INT(EM$44-1-1)+1),$DC173,IF($DD173="No",1,0))/
IF(DT173&gt;=INT($N173),$N173-INT($N173),1)))*
IF(EM$44=1,0,
IF(INT(DU173)=INT(DT173),DU173-DT173,INT(DU173)-DT173))+
IF($N173&lt;=1,
IF($N173&gt;0,1/$N173,0),VDB(1,0,$N173,INT(EM$44-1),MIN($N173,INT(EM$44-1)+1),$DC173,IF($DD173="No",1,0))/
IF(DU173&gt;INT($N173),$N173-INT($N173),1))*
IF(EM$44=1,DU173,
IF(INT(DU173)=INT(DT173),0,DU173-INT(DU173)))))</f>
        <v>0</v>
      </c>
      <c r="EN173" s="833"/>
      <c r="EO173" s="834">
        <f>+IF(OR(DW173=DV173,EO$44=1),0,
IF(AND(EO$44&gt;1,DW173=$N173),1-SUM($EN173:EN173),
IF($N173&lt;=1,
IF($N173&gt;0,1/$N173,0),
IF(EO$44=2,0,VDB(1,0,$N173,INT(EO$44-2-1),MIN($N173,INT(EO$44-2-1)+1),$DC173,IF($DD173="No",1,0))/
IF(DV173&gt;=INT($N173),$N173-INT($N173),1)))*
IF(EO$44=2,0,
IF(INT(DW173)=INT(DV173),DW173-DV173,INT(DW173)-DV173))+
IF($N173&lt;=1,
IF($N173&gt;0,1/$N173,0),VDB(1,0,$N173,INT(EO$44-2),MIN($N173,INT(EO$44-2)+1),$DC173,IF($DD173="No",1,0))/
IF(DW173&gt;INT($N173),$N173-INT($N173),1))*
IF(EO$44=2,DW173,
IF(INT(DW173)=INT(DV173),0,DW173-INT(DW173)))))</f>
        <v>0</v>
      </c>
      <c r="EP173" s="835">
        <f>+IF(OR(DX173=DW173,EP$44=1),0,
IF(AND(EP$44&gt;1,DX173=$N173),1-SUM($EN173:EO173),
IF($N173&lt;=1,
IF($N173&gt;0,1/$N173,0),
IF(EP$44=2,0,VDB(1,0,$N173,INT(EP$44-2-1),MIN($N173,INT(EP$44-2-1)+1),$DC173,IF($DD173="No",1,0))/
IF(DW173&gt;=INT($N173),$N173-INT($N173),1)))*
IF(EP$44=2,0,
IF(INT(DX173)=INT(DW173),DX173-DW173,INT(DX173)-DW173))+
IF($N173&lt;=1,
IF($N173&gt;0,1/$N173,0),VDB(1,0,$N173,INT(EP$44-2),MIN($N173,INT(EP$44-2)+1),$DC173,IF($DD173="No",1,0))/
IF(DX173&gt;INT($N173),$N173-INT($N173),1))*
IF(EP$44=2,DX173,
IF(INT(DX173)=INT(DW173),0,DX173-INT(DX173)))))</f>
        <v>0</v>
      </c>
      <c r="EQ173" s="836">
        <f>+IF(OR(DY173=DX173,EQ$44=1),0,
IF(AND(EQ$44&gt;1,DY173=$N173),1-SUM($EN173:EP173),
IF($N173&lt;=1,
IF($N173&gt;0,1/$N173,0),
IF(EQ$44=2,0,VDB(1,0,$N173,INT(EQ$44-2-1),MIN($N173,INT(EQ$44-2-1)+1),$DC173,IF($DD173="No",1,0))/
IF(DX173&gt;=INT($N173),$N173-INT($N173),1)))*
IF(EQ$44=2,0,
IF(INT(DY173)=INT(DX173),DY173-DX173,INT(DY173)-DX173))+
IF($N173&lt;=1,
IF($N173&gt;0,1/$N173,0),VDB(1,0,$N173,INT(EQ$44-2),MIN($N173,INT(EQ$44-2)+1),$DC173,IF($DD173="No",1,0))/
IF(DY173&gt;INT($N173),$N173-INT($N173),1))*
IF(EQ$44=2,DY173,
IF(INT(DY173)=INT(DX173),0,DY173-INT(DY173)))))</f>
        <v>0</v>
      </c>
      <c r="ER173" s="834">
        <f>+IF(OR(DZ173=DY173,ER$44=1),0,
IF(AND(ER$44&gt;1,DZ173=$N173),1-SUM($EN173:EQ173),
IF($N173&lt;=1,
IF($N173&gt;0,1/$N173,0),
IF(ER$44=2,0,VDB(1,0,$N173,INT(ER$44-2-1),MIN($N173,INT(ER$44-2-1)+1),$DC173,IF($DD173="No",1,0))/
IF(DY173&gt;=INT($N173),$N173-INT($N173),1)))*
IF(ER$44=2,0,
IF(INT(DZ173)=INT(DY173),DZ173-DY173,INT(DZ173)-DY173))+
IF($N173&lt;=1,
IF($N173&gt;0,1/$N173,0),VDB(1,0,$N173,INT(ER$44-2),MIN($N173,INT(ER$44-2)+1),$DC173,IF($DD173="No",1,0))/
IF(DZ173&gt;INT($N173),$N173-INT($N173),1))*
IF(ER$44=2,DZ173,
IF(INT(DZ173)=INT(DY173),0,DZ173-INT(DZ173)))))</f>
        <v>0</v>
      </c>
      <c r="ES173" s="835">
        <f>+IF(OR(EA173=DZ173,ES$44=1),0,
IF(AND(ES$44&gt;1,EA173=$N173),1-SUM($EN173:ER173),
IF($N173&lt;=1,
IF($N173&gt;0,1/$N173,0),
IF(ES$44=2,0,VDB(1,0,$N173,INT(ES$44-2-1),MIN($N173,INT(ES$44-2-1)+1),$DC173,IF($DD173="No",1,0))/
IF(DZ173&gt;=INT($N173),$N173-INT($N173),1)))*
IF(ES$44=2,0,
IF(INT(EA173)=INT(DZ173),EA173-DZ173,INT(EA173)-DZ173))+
IF($N173&lt;=1,
IF($N173&gt;0,1/$N173,0),VDB(1,0,$N173,INT(ES$44-2),MIN($N173,INT(ES$44-2)+1),$DC173,IF($DD173="No",1,0))/
IF(EA173&gt;INT($N173),$N173-INT($N173),1))*
IF(ES$44=2,EA173,
IF(INT(EA173)=INT(DZ173),0,EA173-INT(EA173)))))</f>
        <v>0</v>
      </c>
      <c r="ET173" s="835">
        <f>+IF(OR(EB173=EA173,ET$44=1),0,
IF(AND(ET$44&gt;1,EB173=$N173),1-SUM($EN173:ES173),
IF($N173&lt;=1,
IF($N173&gt;0,1/$N173,0),
IF(ET$44=2,0,VDB(1,0,$N173,INT(ET$44-2-1),MIN($N173,INT(ET$44-2-1)+1),$DC173,IF($DD173="No",1,0))/
IF(EA173&gt;=INT($N173),$N173-INT($N173),1)))*
IF(ET$44=2,0,
IF(INT(EB173)=INT(EA173),EB173-EA173,INT(EB173)-EA173))+
IF($N173&lt;=1,
IF($N173&gt;0,1/$N173,0),VDB(1,0,$N173,INT(ET$44-2),MIN($N173,INT(ET$44-2)+1),$DC173,IF($DD173="No",1,0))/
IF(EB173&gt;INT($N173),$N173-INT($N173),1))*
IF(ET$44=2,EB173,
IF(INT(EB173)=INT(EA173),0,EB173-INT(EB173)))))</f>
        <v>0</v>
      </c>
      <c r="EU173" s="835">
        <f>+IF(OR(EC173=EB173,EU$44=1),0,
IF(AND(EU$44&gt;1,EC173=$N173),1-SUM($EN173:ET173),
IF($N173&lt;=1,
IF($N173&gt;0,1/$N173,0),
IF(EU$44=2,0,VDB(1,0,$N173,INT(EU$44-2-1),MIN($N173,INT(EU$44-2-1)+1),$DC173,IF($DD173="No",1,0))/
IF(EB173&gt;=INT($N173),$N173-INT($N173),1)))*
IF(EU$44=2,0,
IF(INT(EC173)=INT(EB173),EC173-EB173,INT(EC173)-EB173))+
IF($N173&lt;=1,
IF($N173&gt;0,1/$N173,0),VDB(1,0,$N173,INT(EU$44-2),MIN($N173,INT(EU$44-2)+1),$DC173,IF($DD173="No",1,0))/
IF(EC173&gt;INT($N173),$N173-INT($N173),1))*
IF(EU$44=2,EC173,
IF(INT(EC173)=INT(EB173),0,EC173-INT(EC173)))))</f>
        <v>0</v>
      </c>
      <c r="EV173" s="836">
        <f>+IF(OR(ED173=EC173,EV$44=1),0,
IF(AND(EV$44&gt;1,ED173=$N173),1-SUM($EN173:EU173),
IF($N173&lt;=1,
IF($N173&gt;0,1/$N173,0),
IF(EV$44=2,0,VDB(1,0,$N173,INT(EV$44-2-1),MIN($N173,INT(EV$44-2-1)+1),$DC173,IF($DD173="No",1,0))/
IF(EC173&gt;=INT($N173),$N173-INT($N173),1)))*
IF(EV$44=2,0,
IF(INT(ED173)=INT(EC173),ED173-EC173,INT(ED173)-EC173))+
IF($N173&lt;=1,
IF($N173&gt;0,1/$N173,0),VDB(1,0,$N173,INT(EV$44-2),MIN($N173,INT(EV$44-2)+1),$DC173,IF($DD173="No",1,0))/
IF(ED173&gt;INT($N173),$N173-INT($N173),1))*
IF(EV$44=2,ED173,
IF(INT(ED173)=INT(EC173),0,ED173-INT(ED173)))))</f>
        <v>0</v>
      </c>
      <c r="EW173" s="833"/>
      <c r="EX173" s="834">
        <f t="shared" ca="1" si="350"/>
        <v>0</v>
      </c>
      <c r="EY173" s="835">
        <f t="shared" ca="1" si="350"/>
        <v>0</v>
      </c>
      <c r="EZ173" s="836">
        <f t="shared" ca="1" si="350"/>
        <v>0</v>
      </c>
      <c r="FA173" s="834">
        <f t="shared" ca="1" si="350"/>
        <v>0</v>
      </c>
      <c r="FB173" s="835">
        <f t="shared" ca="1" si="350"/>
        <v>0</v>
      </c>
      <c r="FC173" s="835">
        <f t="shared" ca="1" si="350"/>
        <v>0</v>
      </c>
      <c r="FD173" s="835">
        <f t="shared" ca="1" si="350"/>
        <v>0</v>
      </c>
      <c r="FE173" s="836">
        <f t="shared" ca="1" si="350"/>
        <v>0</v>
      </c>
      <c r="FG173" s="386">
        <f t="shared" ca="1" si="351"/>
        <v>0</v>
      </c>
      <c r="FH173" s="387">
        <f t="shared" ca="1" si="352"/>
        <v>0</v>
      </c>
      <c r="FI173" s="388">
        <f t="shared" ca="1" si="353"/>
        <v>0</v>
      </c>
      <c r="FJ173" s="386">
        <f t="shared" ca="1" si="354"/>
        <v>0</v>
      </c>
      <c r="FK173" s="387">
        <f t="shared" ca="1" si="355"/>
        <v>0</v>
      </c>
      <c r="FL173" s="387">
        <f t="shared" ca="1" si="356"/>
        <v>0</v>
      </c>
      <c r="FM173" s="387">
        <f t="shared" ca="1" si="357"/>
        <v>0</v>
      </c>
      <c r="FN173" s="388">
        <f t="shared" ca="1" si="358"/>
        <v>0</v>
      </c>
      <c r="FR173" s="116"/>
    </row>
    <row r="174" spans="2:174">
      <c r="B174" s="1410">
        <f t="shared" si="302"/>
        <v>128</v>
      </c>
      <c r="C174" s="400" t="s">
        <v>687</v>
      </c>
      <c r="D174" s="410"/>
      <c r="E174" s="402" t="s">
        <v>402</v>
      </c>
      <c r="F174" s="402" t="s">
        <v>514</v>
      </c>
      <c r="G174" s="400" t="s">
        <v>437</v>
      </c>
      <c r="H174" s="2088" t="s">
        <v>483</v>
      </c>
      <c r="I174" s="2089"/>
      <c r="J174" s="411" t="s">
        <v>516</v>
      </c>
      <c r="K174" s="403" t="s">
        <v>544</v>
      </c>
      <c r="L174" s="403">
        <v>10</v>
      </c>
      <c r="M174" s="403" t="s">
        <v>142</v>
      </c>
      <c r="N174" s="403"/>
      <c r="O174" s="347"/>
      <c r="P174" s="347"/>
      <c r="Q174" s="1021">
        <v>6.9620630115210052</v>
      </c>
      <c r="R174" s="1022">
        <v>7.9116993103516196</v>
      </c>
      <c r="S174" s="1022">
        <v>4.7253902229811358</v>
      </c>
      <c r="T174" s="1022">
        <v>3.8115049377535559</v>
      </c>
      <c r="U174" s="1023">
        <v>2.4484975441378518</v>
      </c>
      <c r="V174" s="1021">
        <v>0</v>
      </c>
      <c r="W174" s="1022">
        <v>0</v>
      </c>
      <c r="X174" s="1022">
        <v>0</v>
      </c>
      <c r="Y174" s="1022">
        <v>0</v>
      </c>
      <c r="Z174" s="1023">
        <v>0</v>
      </c>
      <c r="AA174" s="1024"/>
      <c r="AB174" s="1021">
        <v>0</v>
      </c>
      <c r="AC174" s="1022">
        <v>0</v>
      </c>
      <c r="AD174" s="1022">
        <v>0</v>
      </c>
      <c r="AE174" s="1022">
        <v>0</v>
      </c>
      <c r="AF174" s="1023">
        <v>0</v>
      </c>
      <c r="AG174" s="1021">
        <v>0</v>
      </c>
      <c r="AH174" s="1022">
        <v>0</v>
      </c>
      <c r="AI174" s="1022">
        <v>0</v>
      </c>
      <c r="AJ174" s="1022">
        <v>0</v>
      </c>
      <c r="AK174" s="1023">
        <v>0</v>
      </c>
      <c r="AL174" s="1024"/>
      <c r="AM174" s="1021">
        <v>0</v>
      </c>
      <c r="AN174" s="1022">
        <v>0</v>
      </c>
      <c r="AO174" s="1022">
        <v>0</v>
      </c>
      <c r="AP174" s="1022">
        <v>0</v>
      </c>
      <c r="AQ174" s="1023">
        <v>0</v>
      </c>
      <c r="AR174" s="1021">
        <v>0</v>
      </c>
      <c r="AS174" s="1022">
        <v>0</v>
      </c>
      <c r="AT174" s="1022">
        <v>0</v>
      </c>
      <c r="AU174" s="1022">
        <v>0</v>
      </c>
      <c r="AV174" s="1023">
        <v>0</v>
      </c>
      <c r="AW174" s="1025"/>
      <c r="AX174" s="1282">
        <f t="shared" si="304"/>
        <v>6.9620630115210052</v>
      </c>
      <c r="AY174" s="387">
        <f t="shared" si="305"/>
        <v>7.9116993103516196</v>
      </c>
      <c r="AZ174" s="387">
        <f t="shared" si="306"/>
        <v>4.7253902229811358</v>
      </c>
      <c r="BA174" s="387">
        <f t="shared" si="307"/>
        <v>3.8115049377535559</v>
      </c>
      <c r="BB174" s="1283">
        <f t="shared" si="308"/>
        <v>2.4484975441378518</v>
      </c>
      <c r="BC174" s="386">
        <f t="shared" si="309"/>
        <v>0</v>
      </c>
      <c r="BD174" s="387">
        <f t="shared" si="310"/>
        <v>0</v>
      </c>
      <c r="BE174" s="1277">
        <f t="shared" si="311"/>
        <v>0</v>
      </c>
      <c r="BF174" s="1277">
        <f t="shared" si="312"/>
        <v>0</v>
      </c>
      <c r="BG174" s="388">
        <f t="shared" si="313"/>
        <v>0</v>
      </c>
      <c r="BH174" s="1025"/>
      <c r="BI174" s="1282">
        <f t="shared" ca="1" si="314"/>
        <v>0.34810315057605024</v>
      </c>
      <c r="BJ174" s="387">
        <f t="shared" ca="1" si="315"/>
        <v>1.0917912666696814</v>
      </c>
      <c r="BK174" s="387">
        <f t="shared" ca="1" si="316"/>
        <v>1.7236457433363193</v>
      </c>
      <c r="BL174" s="387">
        <f t="shared" ca="1" si="317"/>
        <v>2.1504905013730538</v>
      </c>
      <c r="BM174" s="1283">
        <f t="shared" ca="1" si="318"/>
        <v>2.4634906254676245</v>
      </c>
      <c r="BN174" s="386">
        <f t="shared" ca="1" si="319"/>
        <v>2.5859155026745171</v>
      </c>
      <c r="BO174" s="387">
        <f t="shared" ca="1" si="320"/>
        <v>2.5859155026745171</v>
      </c>
      <c r="BP174" s="1277">
        <f t="shared" ca="1" si="321"/>
        <v>2.5859155026745171</v>
      </c>
      <c r="BQ174" s="1277">
        <f t="shared" ca="1" si="322"/>
        <v>2.5859155026745171</v>
      </c>
      <c r="BR174" s="388">
        <f t="shared" ca="1" si="323"/>
        <v>2.5859155026745171</v>
      </c>
      <c r="BS174" s="1025"/>
      <c r="BT174" s="1282">
        <f>+IF($K174="Ongoing",AX174,IF(RIGHT($K174,2)=RIGHT(BT$43,2),SUM($AX174:AX174),0)+IF(RIGHT(BT$43,2)&gt;RIGHT($K174,2),AX174,0))</f>
        <v>6.9620630115210052</v>
      </c>
      <c r="BU174" s="387">
        <f>+IF($K174="Ongoing",AY174,IF(RIGHT($K174,2)=RIGHT(BU$43,2),SUM($AX174:AY174),0)+IF(RIGHT(BU$43,2)&gt;RIGHT($K174,2),AY174,0))</f>
        <v>7.9116993103516196</v>
      </c>
      <c r="BV174" s="387">
        <f>+IF($K174="Ongoing",AZ174,IF(RIGHT($K174,2)=RIGHT(BV$43,2),SUM($AX174:AZ174),0)+IF(RIGHT(BV$43,2)&gt;RIGHT($K174,2),AZ174,0))</f>
        <v>4.7253902229811358</v>
      </c>
      <c r="BW174" s="387">
        <f>+IF($K174="Ongoing",BA174,IF(RIGHT($K174,2)=RIGHT(BW$43,2),SUM($AX174:BA174),0)+IF(RIGHT(BW$43,2)&gt;RIGHT($K174,2),BA174,0))</f>
        <v>3.8115049377535559</v>
      </c>
      <c r="BX174" s="1283">
        <f>+IF($K174="Ongoing",BB174,IF(RIGHT($K174,2)=RIGHT(BX$43,2),SUM($AX174:BB174),0)+IF(RIGHT(BX$43,2)&gt;RIGHT($K174,2),BB174,0))</f>
        <v>2.4484975441378518</v>
      </c>
      <c r="BY174" s="386">
        <f>+IF($K174="Ongoing",BC174,IF(RIGHT($K174,2)=RIGHT(BY$43,2),SUM($AX174:BC174),0)+IF(RIGHT(BY$43,2)&gt;RIGHT($K174,2),BC174,0))</f>
        <v>0</v>
      </c>
      <c r="BZ174" s="387">
        <f>+IF($K174="Ongoing",BD174,IF(RIGHT($K174,2)=RIGHT(BZ$43,2),SUM($AX174:BD174),0)+IF(RIGHT(BZ$43,2)&gt;RIGHT($K174,2),BD174,0))</f>
        <v>0</v>
      </c>
      <c r="CA174" s="1277">
        <f>+IF($K174="Ongoing",BE174,IF(RIGHT($K174,2)=RIGHT(CA$43,2),SUM($AX174:BE174),0)+IF(RIGHT(CA$43,2)&gt;RIGHT($K174,2),BE174,0))</f>
        <v>0</v>
      </c>
      <c r="CB174" s="1277">
        <f>+IF($K174="Ongoing",BF174,IF(RIGHT($K174,2)=RIGHT(CB$43,2),SUM($AX174:BF174),0)+IF(RIGHT(CB$43,2)&gt;RIGHT($K174,2),BF174,0))</f>
        <v>0</v>
      </c>
      <c r="CC174" s="388">
        <f>+IF($K174="Ongoing",BG174,IF(RIGHT($K174,2)=RIGHT(CC$43,2),SUM($AX174:BG174),0)+IF(RIGHT(CC$43,2)&gt;RIGHT($K174,2),BG174,0))</f>
        <v>0</v>
      </c>
      <c r="CD174" s="1025"/>
      <c r="CE174" s="1282">
        <f>+Q174*KeyAssumptionsPriceControl_FO!AF$15</f>
        <v>7.163962838855114</v>
      </c>
      <c r="CF174" s="387">
        <f>+R174*KeyAssumptionsPriceControl_FO!AG$15</f>
        <v>8.3772316094720178</v>
      </c>
      <c r="CG174" s="387">
        <f>+S174*KeyAssumptionsPriceControl_FO!AH$15</f>
        <v>5.1485365794552234</v>
      </c>
      <c r="CH174" s="387">
        <f>+T174*KeyAssumptionsPriceControl_FO!AI$15</f>
        <v>4.2732468954296037</v>
      </c>
      <c r="CI174" s="1283">
        <f>+U174*KeyAssumptionsPriceControl_FO!AJ$15</f>
        <v>2.8247274255505341</v>
      </c>
      <c r="CJ174" s="386">
        <f>+V174*KeyAssumptionsPriceControl_FO!AK$15</f>
        <v>0</v>
      </c>
      <c r="CK174" s="387">
        <f>+W174*KeyAssumptionsPriceControl_FO!AL$15</f>
        <v>0</v>
      </c>
      <c r="CL174" s="1277">
        <f>+X174*KeyAssumptionsPriceControl_FO!AM$15</f>
        <v>0</v>
      </c>
      <c r="CM174" s="1277">
        <f>+Y174*KeyAssumptionsPriceControl_FO!AN$15</f>
        <v>0</v>
      </c>
      <c r="CN174" s="388">
        <f>+Z174*KeyAssumptionsPriceControl_FO!AO$15</f>
        <v>0</v>
      </c>
      <c r="CO174" s="1025"/>
      <c r="CP174" s="1282">
        <f t="shared" ca="1" si="324"/>
        <v>0</v>
      </c>
      <c r="CQ174" s="387">
        <f t="shared" ca="1" si="325"/>
        <v>0</v>
      </c>
      <c r="CR174" s="387">
        <f t="shared" ca="1" si="326"/>
        <v>0</v>
      </c>
      <c r="CS174" s="387">
        <f t="shared" ca="1" si="327"/>
        <v>0</v>
      </c>
      <c r="CT174" s="1283">
        <f t="shared" ca="1" si="328"/>
        <v>0</v>
      </c>
      <c r="CU174" s="386">
        <f t="shared" ca="1" si="329"/>
        <v>0</v>
      </c>
      <c r="CV174" s="387">
        <f t="shared" ca="1" si="330"/>
        <v>0</v>
      </c>
      <c r="CW174" s="1277">
        <f t="shared" ca="1" si="331"/>
        <v>0</v>
      </c>
      <c r="CX174" s="1277">
        <f t="shared" ca="1" si="332"/>
        <v>0</v>
      </c>
      <c r="CY174" s="388">
        <f t="shared" ca="1" si="333"/>
        <v>0</v>
      </c>
      <c r="CZ174" s="347"/>
      <c r="DA174" s="852"/>
      <c r="DB174" s="347"/>
      <c r="DC174" s="1012" t="s">
        <v>690</v>
      </c>
      <c r="DD174" s="841" t="s">
        <v>518</v>
      </c>
      <c r="DE174" s="386">
        <f>+IF($K174="ongoing",CE174,IF(RIGHT($K174,2)=RIGHT(DE$43,2),SUM($CD174:CE174),0)+IF(RIGHT(DE$43,2)&gt;RIGHT($K174,2),CE174,0))</f>
        <v>7.163962838855114</v>
      </c>
      <c r="DF174" s="387">
        <f>+IF($K174="ongoing",CF174,IF(RIGHT($K174,2)=RIGHT(DF$43,2),SUM($CD174:CF174),0)+IF(RIGHT(DF$43,2)&gt;RIGHT($K174,2),CF174,0))</f>
        <v>8.3772316094720178</v>
      </c>
      <c r="DG174" s="388">
        <f>+IF($K174="ongoing",CG174,IF(RIGHT($K174,2)=RIGHT(DG$43,2),SUM($CD174:CG174),0)+IF(RIGHT(DG$43,2)&gt;RIGHT($K174,2),CG174,0))</f>
        <v>5.1485365794552234</v>
      </c>
      <c r="DH174" s="386">
        <f>+IF($K174="ongoing",CH174,IF(RIGHT($K174,2)=RIGHT(DH$43,2),SUM($CD174:CH174),0)+IF(RIGHT(DH$43,2)&gt;RIGHT($K174,2),CH174,0))</f>
        <v>4.2732468954296037</v>
      </c>
      <c r="DI174" s="387">
        <f>+IF($K174="ongoing",CI174,IF(RIGHT($K174,2)=RIGHT(DI$43,2),SUM($CD174:CI174),0)+IF(RIGHT(DI$43,2)&gt;RIGHT($K174,2),CI174,0))</f>
        <v>2.8247274255505341</v>
      </c>
      <c r="DJ174" s="387">
        <f>+IF($K174="ongoing",CJ174,IF(RIGHT($K174,2)=RIGHT(DJ$43,2),SUM($CD174:CJ174),0)+IF(RIGHT(DJ$43,2)&gt;RIGHT($K174,2),CJ174,0))</f>
        <v>0</v>
      </c>
      <c r="DK174" s="387">
        <f>+IF($K174="ongoing",CK174,IF(RIGHT($K174,2)=RIGHT(DK$43,2),SUM($CD174:CK174),0)+IF(RIGHT(DK$43,2)&gt;RIGHT($K174,2),CK174,0))</f>
        <v>0</v>
      </c>
      <c r="DL174" s="388">
        <f>+IF($K174="ongoing",CN174,IF(RIGHT($K174,2)=RIGHT(DL$43,2),SUM($CD174:CN174),0)+IF(RIGHT(DL$43,2)&gt;RIGHT($K174,2),CN174,0))</f>
        <v>0</v>
      </c>
      <c r="DM174" s="841"/>
      <c r="DN174" s="386">
        <f t="shared" si="334"/>
        <v>0.5</v>
      </c>
      <c r="DO174" s="387">
        <f t="shared" si="335"/>
        <v>1</v>
      </c>
      <c r="DP174" s="388">
        <f t="shared" si="336"/>
        <v>1</v>
      </c>
      <c r="DQ174" s="386">
        <f t="shared" si="337"/>
        <v>1</v>
      </c>
      <c r="DR174" s="387">
        <f t="shared" si="338"/>
        <v>1</v>
      </c>
      <c r="DS174" s="387">
        <f t="shared" si="339"/>
        <v>1</v>
      </c>
      <c r="DT174" s="387">
        <f t="shared" si="340"/>
        <v>1</v>
      </c>
      <c r="DU174" s="388">
        <f t="shared" si="341"/>
        <v>1</v>
      </c>
      <c r="DW174" s="386">
        <f t="shared" si="342"/>
        <v>0</v>
      </c>
      <c r="DX174" s="387">
        <f t="shared" si="343"/>
        <v>0.5</v>
      </c>
      <c r="DY174" s="388">
        <f t="shared" si="344"/>
        <v>1</v>
      </c>
      <c r="DZ174" s="386">
        <f t="shared" si="345"/>
        <v>1</v>
      </c>
      <c r="EA174" s="387">
        <f t="shared" si="346"/>
        <v>1</v>
      </c>
      <c r="EB174" s="387">
        <f t="shared" si="347"/>
        <v>1</v>
      </c>
      <c r="EC174" s="387">
        <f t="shared" si="348"/>
        <v>1</v>
      </c>
      <c r="ED174" s="388">
        <f t="shared" si="349"/>
        <v>1</v>
      </c>
      <c r="EF174" s="834">
        <f>+IF(DN174=DM174,0,
IF(AND(EF$44&gt;1,DN174=$N174),1-SUM($EE174:EE174),
IF($N174&lt;=1,
IF($N174&gt;0,1/$N174,0),
IF(EF$44=1,0,VDB(1,0,$N174,INT(EF$44-1-1),MIN($N174,INT(EF$44-1-1)+1),$DC174,IF($DD174="No",1,0))/
IF(DM174&gt;=INT($N174),$N174-INT($N174),1)))*
IF(EF$44=1,0,
IF(INT(DN174)=INT(DM174),DN174-DM174,INT(DN174)-DM174))+
IF($N174&lt;=1,
IF($N174&gt;0,1/$N174,0),VDB(1,0,$N174,INT(EF$44-1),MIN($N174,INT(EF$44-1)+1),$DC174,IF($DD174="No",1,0))/
IF(DN174&gt;INT($N174),$N174-INT($N174),1))*
IF(EF$44=1,DN174,
IF(INT(DN174)=INT(DM174),0,DN174-INT(DN174)))))</f>
        <v>0</v>
      </c>
      <c r="EG174" s="835">
        <f>+IF(DO174=DN174,0,
IF(AND(EG$44&gt;1,DO174=$N174),1-SUM($EE174:EF174),
IF($N174&lt;=1,
IF($N174&gt;0,1/$N174,0),
IF(EG$44=1,0,VDB(1,0,$N174,INT(EG$44-1-1),MIN($N174,INT(EG$44-1-1)+1),$DC174,IF($DD174="No",1,0))/
IF(DN174&gt;=INT($N174),$N174-INT($N174),1)))*
IF(EG$44=1,0,
IF(INT(DO174)=INT(DN174),DO174-DN174,INT(DO174)-DN174))+
IF($N174&lt;=1,
IF($N174&gt;0,1/$N174,0),VDB(1,0,$N174,INT(EG$44-1),MIN($N174,INT(EG$44-1)+1),$DC174,IF($DD174="No",1,0))/
IF(DO174&gt;INT($N174),$N174-INT($N174),1))*
IF(EG$44=1,DO174,
IF(INT(DO174)=INT(DN174),0,DO174-INT(DO174)))))</f>
        <v>0</v>
      </c>
      <c r="EH174" s="836">
        <f>+IF(DP174=DO174,0,
IF(AND(EH$44&gt;1,DP174=$N174),1-SUM($EE174:EG174),
IF($N174&lt;=1,
IF($N174&gt;0,1/$N174,0),
IF(EH$44=1,0,VDB(1,0,$N174,INT(EH$44-1-1),MIN($N174,INT(EH$44-1-1)+1),$DC174,IF($DD174="No",1,0))/
IF(DO174&gt;=INT($N174),$N174-INT($N174),1)))*
IF(EH$44=1,0,
IF(INT(DP174)=INT(DO174),DP174-DO174,INT(DP174)-DO174))+
IF($N174&lt;=1,
IF($N174&gt;0,1/$N174,0),VDB(1,0,$N174,INT(EH$44-1),MIN($N174,INT(EH$44-1)+1),$DC174,IF($DD174="No",1,0))/
IF(DP174&gt;INT($N174),$N174-INT($N174),1))*
IF(EH$44=1,DP174,
IF(INT(DP174)=INT(DO174),0,DP174-INT(DP174)))))</f>
        <v>0</v>
      </c>
      <c r="EI174" s="834">
        <f>+IF(DQ174=DP174,0,
IF(AND(EI$44&gt;1,DQ174=$N174),1-SUM($EE174:EH174),
IF($N174&lt;=1,
IF($N174&gt;0,1/$N174,0),
IF(EI$44=1,0,VDB(1,0,$N174,INT(EI$44-1-1),MIN($N174,INT(EI$44-1-1)+1),$DC174,IF($DD174="No",1,0))/
IF(DP174&gt;=INT($N174),$N174-INT($N174),1)))*
IF(EI$44=1,0,
IF(INT(DQ174)=INT(DP174),DQ174-DP174,INT(DQ174)-DP174))+
IF($N174&lt;=1,
IF($N174&gt;0,1/$N174,0),VDB(1,0,$N174,INT(EI$44-1),MIN($N174,INT(EI$44-1)+1),$DC174,IF($DD174="No",1,0))/
IF(DQ174&gt;INT($N174),$N174-INT($N174),1))*
IF(EI$44=1,DQ174,
IF(INT(DQ174)=INT(DP174),0,DQ174-INT(DQ174)))))</f>
        <v>0</v>
      </c>
      <c r="EJ174" s="835">
        <f>+IF(DR174=DQ174,0,
IF(AND(EJ$44&gt;1,DR174=$N174),1-SUM($EE174:EI174),
IF($N174&lt;=1,
IF($N174&gt;0,1/$N174,0),
IF(EJ$44=1,0,VDB(1,0,$N174,INT(EJ$44-1-1),MIN($N174,INT(EJ$44-1-1)+1),$DC174,IF($DD174="No",1,0))/
IF(DQ174&gt;=INT($N174),$N174-INT($N174),1)))*
IF(EJ$44=1,0,
IF(INT(DR174)=INT(DQ174),DR174-DQ174,INT(DR174)-DQ174))+
IF($N174&lt;=1,
IF($N174&gt;0,1/$N174,0),VDB(1,0,$N174,INT(EJ$44-1),MIN($N174,INT(EJ$44-1)+1),$DC174,IF($DD174="No",1,0))/
IF(DR174&gt;INT($N174),$N174-INT($N174),1))*
IF(EJ$44=1,DR174,
IF(INT(DR174)=INT(DQ174),0,DR174-INT(DR174)))))</f>
        <v>0</v>
      </c>
      <c r="EK174" s="835">
        <f>+IF(DS174=DR174,0,
IF(AND(EK$44&gt;1,DS174=$N174),1-SUM($EE174:EJ174),
IF($N174&lt;=1,
IF($N174&gt;0,1/$N174,0),
IF(EK$44=1,0,VDB(1,0,$N174,INT(EK$44-1-1),MIN($N174,INT(EK$44-1-1)+1),$DC174,IF($DD174="No",1,0))/
IF(DR174&gt;=INT($N174),$N174-INT($N174),1)))*
IF(EK$44=1,0,
IF(INT(DS174)=INT(DR174),DS174-DR174,INT(DS174)-DR174))+
IF($N174&lt;=1,
IF($N174&gt;0,1/$N174,0),VDB(1,0,$N174,INT(EK$44-1),MIN($N174,INT(EK$44-1)+1),$DC174,IF($DD174="No",1,0))/
IF(DS174&gt;INT($N174),$N174-INT($N174),1))*
IF(EK$44=1,DS174,
IF(INT(DS174)=INT(DR174),0,DS174-INT(DS174)))))</f>
        <v>0</v>
      </c>
      <c r="EL174" s="835">
        <f>+IF(DT174=DS174,0,
IF(AND(EL$44&gt;1,DT174=$N174),1-SUM($EE174:EK174),
IF($N174&lt;=1,
IF($N174&gt;0,1/$N174,0),
IF(EL$44=1,0,VDB(1,0,$N174,INT(EL$44-1-1),MIN($N174,INT(EL$44-1-1)+1),$DC174,IF($DD174="No",1,0))/
IF(DS174&gt;=INT($N174),$N174-INT($N174),1)))*
IF(EL$44=1,0,
IF(INT(DT174)=INT(DS174),DT174-DS174,INT(DT174)-DS174))+
IF($N174&lt;=1,
IF($N174&gt;0,1/$N174,0),VDB(1,0,$N174,INT(EL$44-1),MIN($N174,INT(EL$44-1)+1),$DC174,IF($DD174="No",1,0))/
IF(DT174&gt;INT($N174),$N174-INT($N174),1))*
IF(EL$44=1,DT174,
IF(INT(DT174)=INT(DS174),0,DT174-INT(DT174)))))</f>
        <v>0</v>
      </c>
      <c r="EM174" s="836">
        <f>+IF(DU174=DT174,0,
IF(AND(EM$44&gt;1,DU174=$N174),1-SUM($EE174:EL174),
IF($N174&lt;=1,
IF($N174&gt;0,1/$N174,0),
IF(EM$44=1,0,VDB(1,0,$N174,INT(EM$44-1-1),MIN($N174,INT(EM$44-1-1)+1),$DC174,IF($DD174="No",1,0))/
IF(DT174&gt;=INT($N174),$N174-INT($N174),1)))*
IF(EM$44=1,0,
IF(INT(DU174)=INT(DT174),DU174-DT174,INT(DU174)-DT174))+
IF($N174&lt;=1,
IF($N174&gt;0,1/$N174,0),VDB(1,0,$N174,INT(EM$44-1),MIN($N174,INT(EM$44-1)+1),$DC174,IF($DD174="No",1,0))/
IF(DU174&gt;INT($N174),$N174-INT($N174),1))*
IF(EM$44=1,DU174,
IF(INT(DU174)=INT(DT174),0,DU174-INT(DU174)))))</f>
        <v>0</v>
      </c>
      <c r="EN174" s="833"/>
      <c r="EO174" s="834">
        <f>+IF(OR(DW174=DV174,EO$44=1),0,
IF(AND(EO$44&gt;1,DW174=$N174),1-SUM($EN174:EN174),
IF($N174&lt;=1,
IF($N174&gt;0,1/$N174,0),
IF(EO$44=2,0,VDB(1,0,$N174,INT(EO$44-2-1),MIN($N174,INT(EO$44-2-1)+1),$DC174,IF($DD174="No",1,0))/
IF(DV174&gt;=INT($N174),$N174-INT($N174),1)))*
IF(EO$44=2,0,
IF(INT(DW174)=INT(DV174),DW174-DV174,INT(DW174)-DV174))+
IF($N174&lt;=1,
IF($N174&gt;0,1/$N174,0),VDB(1,0,$N174,INT(EO$44-2),MIN($N174,INT(EO$44-2)+1),$DC174,IF($DD174="No",1,0))/
IF(DW174&gt;INT($N174),$N174-INT($N174),1))*
IF(EO$44=2,DW174,
IF(INT(DW174)=INT(DV174),0,DW174-INT(DW174)))))</f>
        <v>0</v>
      </c>
      <c r="EP174" s="835">
        <f>+IF(OR(DX174=DW174,EP$44=1),0,
IF(AND(EP$44&gt;1,DX174=$N174),1-SUM($EN174:EO174),
IF($N174&lt;=1,
IF($N174&gt;0,1/$N174,0),
IF(EP$44=2,0,VDB(1,0,$N174,INT(EP$44-2-1),MIN($N174,INT(EP$44-2-1)+1),$DC174,IF($DD174="No",1,0))/
IF(DW174&gt;=INT($N174),$N174-INT($N174),1)))*
IF(EP$44=2,0,
IF(INT(DX174)=INT(DW174),DX174-DW174,INT(DX174)-DW174))+
IF($N174&lt;=1,
IF($N174&gt;0,1/$N174,0),VDB(1,0,$N174,INT(EP$44-2),MIN($N174,INT(EP$44-2)+1),$DC174,IF($DD174="No",1,0))/
IF(DX174&gt;INT($N174),$N174-INT($N174),1))*
IF(EP$44=2,DX174,
IF(INT(DX174)=INT(DW174),0,DX174-INT(DX174)))))</f>
        <v>0</v>
      </c>
      <c r="EQ174" s="836">
        <f>+IF(OR(DY174=DX174,EQ$44=1),0,
IF(AND(EQ$44&gt;1,DY174=$N174),1-SUM($EN174:EP174),
IF($N174&lt;=1,
IF($N174&gt;0,1/$N174,0),
IF(EQ$44=2,0,VDB(1,0,$N174,INT(EQ$44-2-1),MIN($N174,INT(EQ$44-2-1)+1),$DC174,IF($DD174="No",1,0))/
IF(DX174&gt;=INT($N174),$N174-INT($N174),1)))*
IF(EQ$44=2,0,
IF(INT(DY174)=INT(DX174),DY174-DX174,INT(DY174)-DX174))+
IF($N174&lt;=1,
IF($N174&gt;0,1/$N174,0),VDB(1,0,$N174,INT(EQ$44-2),MIN($N174,INT(EQ$44-2)+1),$DC174,IF($DD174="No",1,0))/
IF(DY174&gt;INT($N174),$N174-INT($N174),1))*
IF(EQ$44=2,DY174,
IF(INT(DY174)=INT(DX174),0,DY174-INT(DY174)))))</f>
        <v>0</v>
      </c>
      <c r="ER174" s="834">
        <f>+IF(OR(DZ174=DY174,ER$44=1),0,
IF(AND(ER$44&gt;1,DZ174=$N174),1-SUM($EN174:EQ174),
IF($N174&lt;=1,
IF($N174&gt;0,1/$N174,0),
IF(ER$44=2,0,VDB(1,0,$N174,INT(ER$44-2-1),MIN($N174,INT(ER$44-2-1)+1),$DC174,IF($DD174="No",1,0))/
IF(DY174&gt;=INT($N174),$N174-INT($N174),1)))*
IF(ER$44=2,0,
IF(INT(DZ174)=INT(DY174),DZ174-DY174,INT(DZ174)-DY174))+
IF($N174&lt;=1,
IF($N174&gt;0,1/$N174,0),VDB(1,0,$N174,INT(ER$44-2),MIN($N174,INT(ER$44-2)+1),$DC174,IF($DD174="No",1,0))/
IF(DZ174&gt;INT($N174),$N174-INT($N174),1))*
IF(ER$44=2,DZ174,
IF(INT(DZ174)=INT(DY174),0,DZ174-INT(DZ174)))))</f>
        <v>0</v>
      </c>
      <c r="ES174" s="835">
        <f>+IF(OR(EA174=DZ174,ES$44=1),0,
IF(AND(ES$44&gt;1,EA174=$N174),1-SUM($EN174:ER174),
IF($N174&lt;=1,
IF($N174&gt;0,1/$N174,0),
IF(ES$44=2,0,VDB(1,0,$N174,INT(ES$44-2-1),MIN($N174,INT(ES$44-2-1)+1),$DC174,IF($DD174="No",1,0))/
IF(DZ174&gt;=INT($N174),$N174-INT($N174),1)))*
IF(ES$44=2,0,
IF(INT(EA174)=INT(DZ174),EA174-DZ174,INT(EA174)-DZ174))+
IF($N174&lt;=1,
IF($N174&gt;0,1/$N174,0),VDB(1,0,$N174,INT(ES$44-2),MIN($N174,INT(ES$44-2)+1),$DC174,IF($DD174="No",1,0))/
IF(EA174&gt;INT($N174),$N174-INT($N174),1))*
IF(ES$44=2,EA174,
IF(INT(EA174)=INT(DZ174),0,EA174-INT(EA174)))))</f>
        <v>0</v>
      </c>
      <c r="ET174" s="835">
        <f>+IF(OR(EB174=EA174,ET$44=1),0,
IF(AND(ET$44&gt;1,EB174=$N174),1-SUM($EN174:ES174),
IF($N174&lt;=1,
IF($N174&gt;0,1/$N174,0),
IF(ET$44=2,0,VDB(1,0,$N174,INT(ET$44-2-1),MIN($N174,INT(ET$44-2-1)+1),$DC174,IF($DD174="No",1,0))/
IF(EA174&gt;=INT($N174),$N174-INT($N174),1)))*
IF(ET$44=2,0,
IF(INT(EB174)=INT(EA174),EB174-EA174,INT(EB174)-EA174))+
IF($N174&lt;=1,
IF($N174&gt;0,1/$N174,0),VDB(1,0,$N174,INT(ET$44-2),MIN($N174,INT(ET$44-2)+1),$DC174,IF($DD174="No",1,0))/
IF(EB174&gt;INT($N174),$N174-INT($N174),1))*
IF(ET$44=2,EB174,
IF(INT(EB174)=INT(EA174),0,EB174-INT(EB174)))))</f>
        <v>0</v>
      </c>
      <c r="EU174" s="835">
        <f>+IF(OR(EC174=EB174,EU$44=1),0,
IF(AND(EU$44&gt;1,EC174=$N174),1-SUM($EN174:ET174),
IF($N174&lt;=1,
IF($N174&gt;0,1/$N174,0),
IF(EU$44=2,0,VDB(1,0,$N174,INT(EU$44-2-1),MIN($N174,INT(EU$44-2-1)+1),$DC174,IF($DD174="No",1,0))/
IF(EB174&gt;=INT($N174),$N174-INT($N174),1)))*
IF(EU$44=2,0,
IF(INT(EC174)=INT(EB174),EC174-EB174,INT(EC174)-EB174))+
IF($N174&lt;=1,
IF($N174&gt;0,1/$N174,0),VDB(1,0,$N174,INT(EU$44-2),MIN($N174,INT(EU$44-2)+1),$DC174,IF($DD174="No",1,0))/
IF(EC174&gt;INT($N174),$N174-INT($N174),1))*
IF(EU$44=2,EC174,
IF(INT(EC174)=INT(EB174),0,EC174-INT(EC174)))))</f>
        <v>0</v>
      </c>
      <c r="EV174" s="836">
        <f>+IF(OR(ED174=EC174,EV$44=1),0,
IF(AND(EV$44&gt;1,ED174=$N174),1-SUM($EN174:EU174),
IF($N174&lt;=1,
IF($N174&gt;0,1/$N174,0),
IF(EV$44=2,0,VDB(1,0,$N174,INT(EV$44-2-1),MIN($N174,INT(EV$44-2-1)+1),$DC174,IF($DD174="No",1,0))/
IF(EC174&gt;=INT($N174),$N174-INT($N174),1)))*
IF(EV$44=2,0,
IF(INT(ED174)=INT(EC174),ED174-EC174,INT(ED174)-EC174))+
IF($N174&lt;=1,
IF($N174&gt;0,1/$N174,0),VDB(1,0,$N174,INT(EV$44-2),MIN($N174,INT(EV$44-2)+1),$DC174,IF($DD174="No",1,0))/
IF(ED174&gt;INT($N174),$N174-INT($N174),1))*
IF(EV$44=2,ED174,
IF(INT(ED174)=INT(EC174),0,ED174-INT(ED174)))))</f>
        <v>0</v>
      </c>
      <c r="EW174" s="833"/>
      <c r="EX174" s="834">
        <f t="shared" ca="1" si="350"/>
        <v>0</v>
      </c>
      <c r="EY174" s="835">
        <f t="shared" ca="1" si="350"/>
        <v>0</v>
      </c>
      <c r="EZ174" s="836">
        <f t="shared" ca="1" si="350"/>
        <v>0</v>
      </c>
      <c r="FA174" s="834">
        <f t="shared" ca="1" si="350"/>
        <v>0</v>
      </c>
      <c r="FB174" s="835">
        <f t="shared" ca="1" si="350"/>
        <v>0</v>
      </c>
      <c r="FC174" s="835">
        <f t="shared" ca="1" si="350"/>
        <v>0</v>
      </c>
      <c r="FD174" s="835">
        <f t="shared" ca="1" si="350"/>
        <v>0</v>
      </c>
      <c r="FE174" s="836">
        <f t="shared" ca="1" si="350"/>
        <v>0</v>
      </c>
      <c r="FG174" s="386">
        <f t="shared" ca="1" si="351"/>
        <v>0</v>
      </c>
      <c r="FH174" s="387">
        <f t="shared" ca="1" si="352"/>
        <v>0</v>
      </c>
      <c r="FI174" s="388">
        <f t="shared" ca="1" si="353"/>
        <v>0</v>
      </c>
      <c r="FJ174" s="386">
        <f t="shared" ca="1" si="354"/>
        <v>0</v>
      </c>
      <c r="FK174" s="387">
        <f t="shared" ca="1" si="355"/>
        <v>0</v>
      </c>
      <c r="FL174" s="387">
        <f t="shared" ca="1" si="356"/>
        <v>0</v>
      </c>
      <c r="FM174" s="387">
        <f t="shared" ca="1" si="357"/>
        <v>0</v>
      </c>
      <c r="FN174" s="388">
        <f t="shared" ca="1" si="358"/>
        <v>0</v>
      </c>
      <c r="FR174" s="116"/>
    </row>
    <row r="175" spans="2:174">
      <c r="B175" s="1410">
        <f t="shared" si="302"/>
        <v>129</v>
      </c>
      <c r="C175" s="400" t="s">
        <v>687</v>
      </c>
      <c r="D175" s="410"/>
      <c r="E175" s="402" t="s">
        <v>401</v>
      </c>
      <c r="F175" s="402" t="s">
        <v>514</v>
      </c>
      <c r="G175" s="400" t="s">
        <v>437</v>
      </c>
      <c r="H175" s="2088" t="s">
        <v>483</v>
      </c>
      <c r="I175" s="2089"/>
      <c r="J175" s="411" t="s">
        <v>516</v>
      </c>
      <c r="K175" s="403" t="s">
        <v>544</v>
      </c>
      <c r="L175" s="403">
        <v>10</v>
      </c>
      <c r="M175" s="403" t="s">
        <v>142</v>
      </c>
      <c r="N175" s="403"/>
      <c r="O175" s="347"/>
      <c r="P175" s="347"/>
      <c r="Q175" s="1021">
        <v>5.236769229779509</v>
      </c>
      <c r="R175" s="1022">
        <v>5.9510727546066127</v>
      </c>
      <c r="S175" s="1022">
        <v>3.5543743395396707</v>
      </c>
      <c r="T175" s="1022">
        <v>2.8669622415295866</v>
      </c>
      <c r="U175" s="1023">
        <v>1.8417265941306846</v>
      </c>
      <c r="V175" s="1021">
        <v>0</v>
      </c>
      <c r="W175" s="1022">
        <v>0</v>
      </c>
      <c r="X175" s="1022">
        <v>0</v>
      </c>
      <c r="Y175" s="1022">
        <v>0</v>
      </c>
      <c r="Z175" s="1023">
        <v>0</v>
      </c>
      <c r="AA175" s="1024"/>
      <c r="AB175" s="1021">
        <v>0</v>
      </c>
      <c r="AC175" s="1022">
        <v>0</v>
      </c>
      <c r="AD175" s="1022">
        <v>0</v>
      </c>
      <c r="AE175" s="1022">
        <v>0</v>
      </c>
      <c r="AF175" s="1023">
        <v>0</v>
      </c>
      <c r="AG175" s="1021">
        <v>0</v>
      </c>
      <c r="AH175" s="1022">
        <v>0</v>
      </c>
      <c r="AI175" s="1022">
        <v>0</v>
      </c>
      <c r="AJ175" s="1022">
        <v>0</v>
      </c>
      <c r="AK175" s="1023">
        <v>0</v>
      </c>
      <c r="AL175" s="1024"/>
      <c r="AM175" s="1021">
        <v>0</v>
      </c>
      <c r="AN175" s="1022">
        <v>0</v>
      </c>
      <c r="AO175" s="1022">
        <v>0</v>
      </c>
      <c r="AP175" s="1022">
        <v>0</v>
      </c>
      <c r="AQ175" s="1023">
        <v>0</v>
      </c>
      <c r="AR175" s="1021">
        <v>0</v>
      </c>
      <c r="AS175" s="1022">
        <v>0</v>
      </c>
      <c r="AT175" s="1022">
        <v>0</v>
      </c>
      <c r="AU175" s="1022">
        <v>0</v>
      </c>
      <c r="AV175" s="1023">
        <v>0</v>
      </c>
      <c r="AW175" s="1025"/>
      <c r="AX175" s="1282">
        <f t="shared" si="304"/>
        <v>5.236769229779509</v>
      </c>
      <c r="AY175" s="387">
        <f t="shared" si="305"/>
        <v>5.9510727546066127</v>
      </c>
      <c r="AZ175" s="387">
        <f t="shared" si="306"/>
        <v>3.5543743395396707</v>
      </c>
      <c r="BA175" s="387">
        <f t="shared" si="307"/>
        <v>2.8669622415295866</v>
      </c>
      <c r="BB175" s="1283">
        <f t="shared" si="308"/>
        <v>1.8417265941306846</v>
      </c>
      <c r="BC175" s="386">
        <f t="shared" si="309"/>
        <v>0</v>
      </c>
      <c r="BD175" s="387">
        <f t="shared" si="310"/>
        <v>0</v>
      </c>
      <c r="BE175" s="1277">
        <f t="shared" si="311"/>
        <v>0</v>
      </c>
      <c r="BF175" s="1277">
        <f t="shared" si="312"/>
        <v>0</v>
      </c>
      <c r="BG175" s="388">
        <f t="shared" si="313"/>
        <v>0</v>
      </c>
      <c r="BH175" s="1025"/>
      <c r="BI175" s="1282">
        <f t="shared" ca="1" si="314"/>
        <v>0.26183846148897544</v>
      </c>
      <c r="BJ175" s="387">
        <f t="shared" ca="1" si="315"/>
        <v>0.82123056070828149</v>
      </c>
      <c r="BK175" s="387">
        <f t="shared" ca="1" si="316"/>
        <v>1.2965029154155958</v>
      </c>
      <c r="BL175" s="387">
        <f t="shared" ca="1" si="317"/>
        <v>1.6175697444690584</v>
      </c>
      <c r="BM175" s="1283">
        <f t="shared" ca="1" si="318"/>
        <v>1.8530041862520723</v>
      </c>
      <c r="BN175" s="386">
        <f t="shared" ca="1" si="319"/>
        <v>1.9450905159586065</v>
      </c>
      <c r="BO175" s="387">
        <f t="shared" ca="1" si="320"/>
        <v>1.9450905159586065</v>
      </c>
      <c r="BP175" s="1277">
        <f t="shared" ca="1" si="321"/>
        <v>1.9450905159586065</v>
      </c>
      <c r="BQ175" s="1277">
        <f t="shared" ca="1" si="322"/>
        <v>1.9450905159586065</v>
      </c>
      <c r="BR175" s="388">
        <f t="shared" ca="1" si="323"/>
        <v>1.9450905159586065</v>
      </c>
      <c r="BS175" s="1025"/>
      <c r="BT175" s="1282">
        <f>+IF($K175="Ongoing",AX175,IF(RIGHT($K175,2)=RIGHT(BT$43,2),SUM($AX175:AX175),0)+IF(RIGHT(BT$43,2)&gt;RIGHT($K175,2),AX175,0))</f>
        <v>5.236769229779509</v>
      </c>
      <c r="BU175" s="387">
        <f>+IF($K175="Ongoing",AY175,IF(RIGHT($K175,2)=RIGHT(BU$43,2),SUM($AX175:AY175),0)+IF(RIGHT(BU$43,2)&gt;RIGHT($K175,2),AY175,0))</f>
        <v>5.9510727546066127</v>
      </c>
      <c r="BV175" s="387">
        <f>+IF($K175="Ongoing",AZ175,IF(RIGHT($K175,2)=RIGHT(BV$43,2),SUM($AX175:AZ175),0)+IF(RIGHT(BV$43,2)&gt;RIGHT($K175,2),AZ175,0))</f>
        <v>3.5543743395396707</v>
      </c>
      <c r="BW175" s="387">
        <f>+IF($K175="Ongoing",BA175,IF(RIGHT($K175,2)=RIGHT(BW$43,2),SUM($AX175:BA175),0)+IF(RIGHT(BW$43,2)&gt;RIGHT($K175,2),BA175,0))</f>
        <v>2.8669622415295866</v>
      </c>
      <c r="BX175" s="1283">
        <f>+IF($K175="Ongoing",BB175,IF(RIGHT($K175,2)=RIGHT(BX$43,2),SUM($AX175:BB175),0)+IF(RIGHT(BX$43,2)&gt;RIGHT($K175,2),BB175,0))</f>
        <v>1.8417265941306846</v>
      </c>
      <c r="BY175" s="386">
        <f>+IF($K175="Ongoing",BC175,IF(RIGHT($K175,2)=RIGHT(BY$43,2),SUM($AX175:BC175),0)+IF(RIGHT(BY$43,2)&gt;RIGHT($K175,2),BC175,0))</f>
        <v>0</v>
      </c>
      <c r="BZ175" s="387">
        <f>+IF($K175="Ongoing",BD175,IF(RIGHT($K175,2)=RIGHT(BZ$43,2),SUM($AX175:BD175),0)+IF(RIGHT(BZ$43,2)&gt;RIGHT($K175,2),BD175,0))</f>
        <v>0</v>
      </c>
      <c r="CA175" s="1277">
        <f>+IF($K175="Ongoing",BE175,IF(RIGHT($K175,2)=RIGHT(CA$43,2),SUM($AX175:BE175),0)+IF(RIGHT(CA$43,2)&gt;RIGHT($K175,2),BE175,0))</f>
        <v>0</v>
      </c>
      <c r="CB175" s="1277">
        <f>+IF($K175="Ongoing",BF175,IF(RIGHT($K175,2)=RIGHT(CB$43,2),SUM($AX175:BF175),0)+IF(RIGHT(CB$43,2)&gt;RIGHT($K175,2),BF175,0))</f>
        <v>0</v>
      </c>
      <c r="CC175" s="388">
        <f>+IF($K175="Ongoing",BG175,IF(RIGHT($K175,2)=RIGHT(CC$43,2),SUM($AX175:BG175),0)+IF(RIGHT(CC$43,2)&gt;RIGHT($K175,2),BG175,0))</f>
        <v>0</v>
      </c>
      <c r="CD175" s="1025"/>
      <c r="CE175" s="1282">
        <f>+Q175*KeyAssumptionsPriceControl_FO!AF$15</f>
        <v>5.3886355374431139</v>
      </c>
      <c r="CF175" s="387">
        <f>+R175*KeyAssumptionsPriceControl_FO!AG$15</f>
        <v>6.3012398265604199</v>
      </c>
      <c r="CG175" s="387">
        <f>+S175*KeyAssumptionsPriceControl_FO!AH$15</f>
        <v>3.8726592811740472</v>
      </c>
      <c r="CH175" s="387">
        <f>+T175*KeyAssumptionsPriceControl_FO!AI$15</f>
        <v>3.2142782701341321</v>
      </c>
      <c r="CI175" s="1283">
        <f>+U175*KeyAssumptionsPriceControl_FO!AJ$15</f>
        <v>2.1247216005023795</v>
      </c>
      <c r="CJ175" s="386">
        <f>+V175*KeyAssumptionsPriceControl_FO!AK$15</f>
        <v>0</v>
      </c>
      <c r="CK175" s="387">
        <f>+W175*KeyAssumptionsPriceControl_FO!AL$15</f>
        <v>0</v>
      </c>
      <c r="CL175" s="1277">
        <f>+X175*KeyAssumptionsPriceControl_FO!AM$15</f>
        <v>0</v>
      </c>
      <c r="CM175" s="1277">
        <f>+Y175*KeyAssumptionsPriceControl_FO!AN$15</f>
        <v>0</v>
      </c>
      <c r="CN175" s="388">
        <f>+Z175*KeyAssumptionsPriceControl_FO!AO$15</f>
        <v>0</v>
      </c>
      <c r="CO175" s="1025"/>
      <c r="CP175" s="1282">
        <f t="shared" ca="1" si="324"/>
        <v>0</v>
      </c>
      <c r="CQ175" s="387">
        <f t="shared" ca="1" si="325"/>
        <v>0</v>
      </c>
      <c r="CR175" s="387">
        <f t="shared" ca="1" si="326"/>
        <v>0</v>
      </c>
      <c r="CS175" s="387">
        <f t="shared" ca="1" si="327"/>
        <v>0</v>
      </c>
      <c r="CT175" s="1283">
        <f t="shared" ca="1" si="328"/>
        <v>0</v>
      </c>
      <c r="CU175" s="386">
        <f t="shared" ca="1" si="329"/>
        <v>0</v>
      </c>
      <c r="CV175" s="387">
        <f t="shared" ca="1" si="330"/>
        <v>0</v>
      </c>
      <c r="CW175" s="1277">
        <f t="shared" ca="1" si="331"/>
        <v>0</v>
      </c>
      <c r="CX175" s="1277">
        <f t="shared" ca="1" si="332"/>
        <v>0</v>
      </c>
      <c r="CY175" s="388">
        <f t="shared" ca="1" si="333"/>
        <v>0</v>
      </c>
      <c r="CZ175" s="347"/>
      <c r="DA175" s="852"/>
      <c r="DB175" s="347"/>
      <c r="DC175" s="1012" t="s">
        <v>691</v>
      </c>
      <c r="DD175" s="841" t="s">
        <v>518</v>
      </c>
      <c r="DE175" s="386">
        <f>+IF($K175="ongoing",CE175,IF(RIGHT($K175,2)=RIGHT(DE$43,2),SUM($CD175:CE175),0)+IF(RIGHT(DE$43,2)&gt;RIGHT($K175,2),CE175,0))</f>
        <v>5.3886355374431139</v>
      </c>
      <c r="DF175" s="387">
        <f>+IF($K175="ongoing",CF175,IF(RIGHT($K175,2)=RIGHT(DF$43,2),SUM($CD175:CF175),0)+IF(RIGHT(DF$43,2)&gt;RIGHT($K175,2),CF175,0))</f>
        <v>6.3012398265604199</v>
      </c>
      <c r="DG175" s="388">
        <f>+IF($K175="ongoing",CG175,IF(RIGHT($K175,2)=RIGHT(DG$43,2),SUM($CD175:CG175),0)+IF(RIGHT(DG$43,2)&gt;RIGHT($K175,2),CG175,0))</f>
        <v>3.8726592811740472</v>
      </c>
      <c r="DH175" s="386">
        <f>+IF($K175="ongoing",CH175,IF(RIGHT($K175,2)=RIGHT(DH$43,2),SUM($CD175:CH175),0)+IF(RIGHT(DH$43,2)&gt;RIGHT($K175,2),CH175,0))</f>
        <v>3.2142782701341321</v>
      </c>
      <c r="DI175" s="387">
        <f>+IF($K175="ongoing",CI175,IF(RIGHT($K175,2)=RIGHT(DI$43,2),SUM($CD175:CI175),0)+IF(RIGHT(DI$43,2)&gt;RIGHT($K175,2),CI175,0))</f>
        <v>2.1247216005023795</v>
      </c>
      <c r="DJ175" s="387">
        <f>+IF($K175="ongoing",CJ175,IF(RIGHT($K175,2)=RIGHT(DJ$43,2),SUM($CD175:CJ175),0)+IF(RIGHT(DJ$43,2)&gt;RIGHT($K175,2),CJ175,0))</f>
        <v>0</v>
      </c>
      <c r="DK175" s="387">
        <f>+IF($K175="ongoing",CK175,IF(RIGHT($K175,2)=RIGHT(DK$43,2),SUM($CD175:CK175),0)+IF(RIGHT(DK$43,2)&gt;RIGHT($K175,2),CK175,0))</f>
        <v>0</v>
      </c>
      <c r="DL175" s="388">
        <f>+IF($K175="ongoing",CN175,IF(RIGHT($K175,2)=RIGHT(DL$43,2),SUM($CD175:CN175),0)+IF(RIGHT(DL$43,2)&gt;RIGHT($K175,2),CN175,0))</f>
        <v>0</v>
      </c>
      <c r="DM175" s="841"/>
      <c r="DN175" s="386">
        <f t="shared" si="334"/>
        <v>0.5</v>
      </c>
      <c r="DO175" s="387">
        <f t="shared" si="335"/>
        <v>1</v>
      </c>
      <c r="DP175" s="388">
        <f t="shared" si="336"/>
        <v>1</v>
      </c>
      <c r="DQ175" s="386">
        <f t="shared" si="337"/>
        <v>1</v>
      </c>
      <c r="DR175" s="387">
        <f t="shared" si="338"/>
        <v>1</v>
      </c>
      <c r="DS175" s="387">
        <f t="shared" si="339"/>
        <v>1</v>
      </c>
      <c r="DT175" s="387">
        <f t="shared" si="340"/>
        <v>1</v>
      </c>
      <c r="DU175" s="388">
        <f t="shared" si="341"/>
        <v>1</v>
      </c>
      <c r="DW175" s="386">
        <f t="shared" si="342"/>
        <v>0</v>
      </c>
      <c r="DX175" s="387">
        <f t="shared" si="343"/>
        <v>0.5</v>
      </c>
      <c r="DY175" s="388">
        <f t="shared" si="344"/>
        <v>1</v>
      </c>
      <c r="DZ175" s="386">
        <f t="shared" si="345"/>
        <v>1</v>
      </c>
      <c r="EA175" s="387">
        <f t="shared" si="346"/>
        <v>1</v>
      </c>
      <c r="EB175" s="387">
        <f t="shared" si="347"/>
        <v>1</v>
      </c>
      <c r="EC175" s="387">
        <f t="shared" si="348"/>
        <v>1</v>
      </c>
      <c r="ED175" s="388">
        <f t="shared" si="349"/>
        <v>1</v>
      </c>
      <c r="EF175" s="834">
        <f>+IF(DN175=DM175,0,
IF(AND(EF$44&gt;1,DN175=$N175),1-SUM($EE175:EE175),
IF($N175&lt;=1,
IF($N175&gt;0,1/$N175,0),
IF(EF$44=1,0,VDB(1,0,$N175,INT(EF$44-1-1),MIN($N175,INT(EF$44-1-1)+1),$DC175,IF($DD175="No",1,0))/
IF(DM175&gt;=INT($N175),$N175-INT($N175),1)))*
IF(EF$44=1,0,
IF(INT(DN175)=INT(DM175),DN175-DM175,INT(DN175)-DM175))+
IF($N175&lt;=1,
IF($N175&gt;0,1/$N175,0),VDB(1,0,$N175,INT(EF$44-1),MIN($N175,INT(EF$44-1)+1),$DC175,IF($DD175="No",1,0))/
IF(DN175&gt;INT($N175),$N175-INT($N175),1))*
IF(EF$44=1,DN175,
IF(INT(DN175)=INT(DM175),0,DN175-INT(DN175)))))</f>
        <v>0</v>
      </c>
      <c r="EG175" s="835">
        <f>+IF(DO175=DN175,0,
IF(AND(EG$44&gt;1,DO175=$N175),1-SUM($EE175:EF175),
IF($N175&lt;=1,
IF($N175&gt;0,1/$N175,0),
IF(EG$44=1,0,VDB(1,0,$N175,INT(EG$44-1-1),MIN($N175,INT(EG$44-1-1)+1),$DC175,IF($DD175="No",1,0))/
IF(DN175&gt;=INT($N175),$N175-INT($N175),1)))*
IF(EG$44=1,0,
IF(INT(DO175)=INT(DN175),DO175-DN175,INT(DO175)-DN175))+
IF($N175&lt;=1,
IF($N175&gt;0,1/$N175,0),VDB(1,0,$N175,INT(EG$44-1),MIN($N175,INT(EG$44-1)+1),$DC175,IF($DD175="No",1,0))/
IF(DO175&gt;INT($N175),$N175-INT($N175),1))*
IF(EG$44=1,DO175,
IF(INT(DO175)=INT(DN175),0,DO175-INT(DO175)))))</f>
        <v>0</v>
      </c>
      <c r="EH175" s="836">
        <f>+IF(DP175=DO175,0,
IF(AND(EH$44&gt;1,DP175=$N175),1-SUM($EE175:EG175),
IF($N175&lt;=1,
IF($N175&gt;0,1/$N175,0),
IF(EH$44=1,0,VDB(1,0,$N175,INT(EH$44-1-1),MIN($N175,INT(EH$44-1-1)+1),$DC175,IF($DD175="No",1,0))/
IF(DO175&gt;=INT($N175),$N175-INT($N175),1)))*
IF(EH$44=1,0,
IF(INT(DP175)=INT(DO175),DP175-DO175,INT(DP175)-DO175))+
IF($N175&lt;=1,
IF($N175&gt;0,1/$N175,0),VDB(1,0,$N175,INT(EH$44-1),MIN($N175,INT(EH$44-1)+1),$DC175,IF($DD175="No",1,0))/
IF(DP175&gt;INT($N175),$N175-INT($N175),1))*
IF(EH$44=1,DP175,
IF(INT(DP175)=INT(DO175),0,DP175-INT(DP175)))))</f>
        <v>0</v>
      </c>
      <c r="EI175" s="834">
        <f>+IF(DQ175=DP175,0,
IF(AND(EI$44&gt;1,DQ175=$N175),1-SUM($EE175:EH175),
IF($N175&lt;=1,
IF($N175&gt;0,1/$N175,0),
IF(EI$44=1,0,VDB(1,0,$N175,INT(EI$44-1-1),MIN($N175,INT(EI$44-1-1)+1),$DC175,IF($DD175="No",1,0))/
IF(DP175&gt;=INT($N175),$N175-INT($N175),1)))*
IF(EI$44=1,0,
IF(INT(DQ175)=INT(DP175),DQ175-DP175,INT(DQ175)-DP175))+
IF($N175&lt;=1,
IF($N175&gt;0,1/$N175,0),VDB(1,0,$N175,INT(EI$44-1),MIN($N175,INT(EI$44-1)+1),$DC175,IF($DD175="No",1,0))/
IF(DQ175&gt;INT($N175),$N175-INT($N175),1))*
IF(EI$44=1,DQ175,
IF(INT(DQ175)=INT(DP175),0,DQ175-INT(DQ175)))))</f>
        <v>0</v>
      </c>
      <c r="EJ175" s="835">
        <f>+IF(DR175=DQ175,0,
IF(AND(EJ$44&gt;1,DR175=$N175),1-SUM($EE175:EI175),
IF($N175&lt;=1,
IF($N175&gt;0,1/$N175,0),
IF(EJ$44=1,0,VDB(1,0,$N175,INT(EJ$44-1-1),MIN($N175,INT(EJ$44-1-1)+1),$DC175,IF($DD175="No",1,0))/
IF(DQ175&gt;=INT($N175),$N175-INT($N175),1)))*
IF(EJ$44=1,0,
IF(INT(DR175)=INT(DQ175),DR175-DQ175,INT(DR175)-DQ175))+
IF($N175&lt;=1,
IF($N175&gt;0,1/$N175,0),VDB(1,0,$N175,INT(EJ$44-1),MIN($N175,INT(EJ$44-1)+1),$DC175,IF($DD175="No",1,0))/
IF(DR175&gt;INT($N175),$N175-INT($N175),1))*
IF(EJ$44=1,DR175,
IF(INT(DR175)=INT(DQ175),0,DR175-INT(DR175)))))</f>
        <v>0</v>
      </c>
      <c r="EK175" s="835">
        <f>+IF(DS175=DR175,0,
IF(AND(EK$44&gt;1,DS175=$N175),1-SUM($EE175:EJ175),
IF($N175&lt;=1,
IF($N175&gt;0,1/$N175,0),
IF(EK$44=1,0,VDB(1,0,$N175,INT(EK$44-1-1),MIN($N175,INT(EK$44-1-1)+1),$DC175,IF($DD175="No",1,0))/
IF(DR175&gt;=INT($N175),$N175-INT($N175),1)))*
IF(EK$44=1,0,
IF(INT(DS175)=INT(DR175),DS175-DR175,INT(DS175)-DR175))+
IF($N175&lt;=1,
IF($N175&gt;0,1/$N175,0),VDB(1,0,$N175,INT(EK$44-1),MIN($N175,INT(EK$44-1)+1),$DC175,IF($DD175="No",1,0))/
IF(DS175&gt;INT($N175),$N175-INT($N175),1))*
IF(EK$44=1,DS175,
IF(INT(DS175)=INT(DR175),0,DS175-INT(DS175)))))</f>
        <v>0</v>
      </c>
      <c r="EL175" s="835">
        <f>+IF(DT175=DS175,0,
IF(AND(EL$44&gt;1,DT175=$N175),1-SUM($EE175:EK175),
IF($N175&lt;=1,
IF($N175&gt;0,1/$N175,0),
IF(EL$44=1,0,VDB(1,0,$N175,INT(EL$44-1-1),MIN($N175,INT(EL$44-1-1)+1),$DC175,IF($DD175="No",1,0))/
IF(DS175&gt;=INT($N175),$N175-INT($N175),1)))*
IF(EL$44=1,0,
IF(INT(DT175)=INT(DS175),DT175-DS175,INT(DT175)-DS175))+
IF($N175&lt;=1,
IF($N175&gt;0,1/$N175,0),VDB(1,0,$N175,INT(EL$44-1),MIN($N175,INT(EL$44-1)+1),$DC175,IF($DD175="No",1,0))/
IF(DT175&gt;INT($N175),$N175-INT($N175),1))*
IF(EL$44=1,DT175,
IF(INT(DT175)=INT(DS175),0,DT175-INT(DT175)))))</f>
        <v>0</v>
      </c>
      <c r="EM175" s="836">
        <f>+IF(DU175=DT175,0,
IF(AND(EM$44&gt;1,DU175=$N175),1-SUM($EE175:EL175),
IF($N175&lt;=1,
IF($N175&gt;0,1/$N175,0),
IF(EM$44=1,0,VDB(1,0,$N175,INT(EM$44-1-1),MIN($N175,INT(EM$44-1-1)+1),$DC175,IF($DD175="No",1,0))/
IF(DT175&gt;=INT($N175),$N175-INT($N175),1)))*
IF(EM$44=1,0,
IF(INT(DU175)=INT(DT175),DU175-DT175,INT(DU175)-DT175))+
IF($N175&lt;=1,
IF($N175&gt;0,1/$N175,0),VDB(1,0,$N175,INT(EM$44-1),MIN($N175,INT(EM$44-1)+1),$DC175,IF($DD175="No",1,0))/
IF(DU175&gt;INT($N175),$N175-INT($N175),1))*
IF(EM$44=1,DU175,
IF(INT(DU175)=INT(DT175),0,DU175-INT(DU175)))))</f>
        <v>0</v>
      </c>
      <c r="EN175" s="833"/>
      <c r="EO175" s="834">
        <f>+IF(OR(DW175=DV175,EO$44=1),0,
IF(AND(EO$44&gt;1,DW175=$N175),1-SUM($EN175:EN175),
IF($N175&lt;=1,
IF($N175&gt;0,1/$N175,0),
IF(EO$44=2,0,VDB(1,0,$N175,INT(EO$44-2-1),MIN($N175,INT(EO$44-2-1)+1),$DC175,IF($DD175="No",1,0))/
IF(DV175&gt;=INT($N175),$N175-INT($N175),1)))*
IF(EO$44=2,0,
IF(INT(DW175)=INT(DV175),DW175-DV175,INT(DW175)-DV175))+
IF($N175&lt;=1,
IF($N175&gt;0,1/$N175,0),VDB(1,0,$N175,INT(EO$44-2),MIN($N175,INT(EO$44-2)+1),$DC175,IF($DD175="No",1,0))/
IF(DW175&gt;INT($N175),$N175-INT($N175),1))*
IF(EO$44=2,DW175,
IF(INT(DW175)=INT(DV175),0,DW175-INT(DW175)))))</f>
        <v>0</v>
      </c>
      <c r="EP175" s="835">
        <f>+IF(OR(DX175=DW175,EP$44=1),0,
IF(AND(EP$44&gt;1,DX175=$N175),1-SUM($EN175:EO175),
IF($N175&lt;=1,
IF($N175&gt;0,1/$N175,0),
IF(EP$44=2,0,VDB(1,0,$N175,INT(EP$44-2-1),MIN($N175,INT(EP$44-2-1)+1),$DC175,IF($DD175="No",1,0))/
IF(DW175&gt;=INT($N175),$N175-INT($N175),1)))*
IF(EP$44=2,0,
IF(INT(DX175)=INT(DW175),DX175-DW175,INT(DX175)-DW175))+
IF($N175&lt;=1,
IF($N175&gt;0,1/$N175,0),VDB(1,0,$N175,INT(EP$44-2),MIN($N175,INT(EP$44-2)+1),$DC175,IF($DD175="No",1,0))/
IF(DX175&gt;INT($N175),$N175-INT($N175),1))*
IF(EP$44=2,DX175,
IF(INT(DX175)=INT(DW175),0,DX175-INT(DX175)))))</f>
        <v>0</v>
      </c>
      <c r="EQ175" s="836">
        <f>+IF(OR(DY175=DX175,EQ$44=1),0,
IF(AND(EQ$44&gt;1,DY175=$N175),1-SUM($EN175:EP175),
IF($N175&lt;=1,
IF($N175&gt;0,1/$N175,0),
IF(EQ$44=2,0,VDB(1,0,$N175,INT(EQ$44-2-1),MIN($N175,INT(EQ$44-2-1)+1),$DC175,IF($DD175="No",1,0))/
IF(DX175&gt;=INT($N175),$N175-INT($N175),1)))*
IF(EQ$44=2,0,
IF(INT(DY175)=INT(DX175),DY175-DX175,INT(DY175)-DX175))+
IF($N175&lt;=1,
IF($N175&gt;0,1/$N175,0),VDB(1,0,$N175,INT(EQ$44-2),MIN($N175,INT(EQ$44-2)+1),$DC175,IF($DD175="No",1,0))/
IF(DY175&gt;INT($N175),$N175-INT($N175),1))*
IF(EQ$44=2,DY175,
IF(INT(DY175)=INT(DX175),0,DY175-INT(DY175)))))</f>
        <v>0</v>
      </c>
      <c r="ER175" s="834">
        <f>+IF(OR(DZ175=DY175,ER$44=1),0,
IF(AND(ER$44&gt;1,DZ175=$N175),1-SUM($EN175:EQ175),
IF($N175&lt;=1,
IF($N175&gt;0,1/$N175,0),
IF(ER$44=2,0,VDB(1,0,$N175,INT(ER$44-2-1),MIN($N175,INT(ER$44-2-1)+1),$DC175,IF($DD175="No",1,0))/
IF(DY175&gt;=INT($N175),$N175-INT($N175),1)))*
IF(ER$44=2,0,
IF(INT(DZ175)=INT(DY175),DZ175-DY175,INT(DZ175)-DY175))+
IF($N175&lt;=1,
IF($N175&gt;0,1/$N175,0),VDB(1,0,$N175,INT(ER$44-2),MIN($N175,INT(ER$44-2)+1),$DC175,IF($DD175="No",1,0))/
IF(DZ175&gt;INT($N175),$N175-INT($N175),1))*
IF(ER$44=2,DZ175,
IF(INT(DZ175)=INT(DY175),0,DZ175-INT(DZ175)))))</f>
        <v>0</v>
      </c>
      <c r="ES175" s="835">
        <f>+IF(OR(EA175=DZ175,ES$44=1),0,
IF(AND(ES$44&gt;1,EA175=$N175),1-SUM($EN175:ER175),
IF($N175&lt;=1,
IF($N175&gt;0,1/$N175,0),
IF(ES$44=2,0,VDB(1,0,$N175,INT(ES$44-2-1),MIN($N175,INT(ES$44-2-1)+1),$DC175,IF($DD175="No",1,0))/
IF(DZ175&gt;=INT($N175),$N175-INT($N175),1)))*
IF(ES$44=2,0,
IF(INT(EA175)=INT(DZ175),EA175-DZ175,INT(EA175)-DZ175))+
IF($N175&lt;=1,
IF($N175&gt;0,1/$N175,0),VDB(1,0,$N175,INT(ES$44-2),MIN($N175,INT(ES$44-2)+1),$DC175,IF($DD175="No",1,0))/
IF(EA175&gt;INT($N175),$N175-INT($N175),1))*
IF(ES$44=2,EA175,
IF(INT(EA175)=INT(DZ175),0,EA175-INT(EA175)))))</f>
        <v>0</v>
      </c>
      <c r="ET175" s="835">
        <f>+IF(OR(EB175=EA175,ET$44=1),0,
IF(AND(ET$44&gt;1,EB175=$N175),1-SUM($EN175:ES175),
IF($N175&lt;=1,
IF($N175&gt;0,1/$N175,0),
IF(ET$44=2,0,VDB(1,0,$N175,INT(ET$44-2-1),MIN($N175,INT(ET$44-2-1)+1),$DC175,IF($DD175="No",1,0))/
IF(EA175&gt;=INT($N175),$N175-INT($N175),1)))*
IF(ET$44=2,0,
IF(INT(EB175)=INT(EA175),EB175-EA175,INT(EB175)-EA175))+
IF($N175&lt;=1,
IF($N175&gt;0,1/$N175,0),VDB(1,0,$N175,INT(ET$44-2),MIN($N175,INT(ET$44-2)+1),$DC175,IF($DD175="No",1,0))/
IF(EB175&gt;INT($N175),$N175-INT($N175),1))*
IF(ET$44=2,EB175,
IF(INT(EB175)=INT(EA175),0,EB175-INT(EB175)))))</f>
        <v>0</v>
      </c>
      <c r="EU175" s="835">
        <f>+IF(OR(EC175=EB175,EU$44=1),0,
IF(AND(EU$44&gt;1,EC175=$N175),1-SUM($EN175:ET175),
IF($N175&lt;=1,
IF($N175&gt;0,1/$N175,0),
IF(EU$44=2,0,VDB(1,0,$N175,INT(EU$44-2-1),MIN($N175,INT(EU$44-2-1)+1),$DC175,IF($DD175="No",1,0))/
IF(EB175&gt;=INT($N175),$N175-INT($N175),1)))*
IF(EU$44=2,0,
IF(INT(EC175)=INT(EB175),EC175-EB175,INT(EC175)-EB175))+
IF($N175&lt;=1,
IF($N175&gt;0,1/$N175,0),VDB(1,0,$N175,INT(EU$44-2),MIN($N175,INT(EU$44-2)+1),$DC175,IF($DD175="No",1,0))/
IF(EC175&gt;INT($N175),$N175-INT($N175),1))*
IF(EU$44=2,EC175,
IF(INT(EC175)=INT(EB175),0,EC175-INT(EC175)))))</f>
        <v>0</v>
      </c>
      <c r="EV175" s="836">
        <f>+IF(OR(ED175=EC175,EV$44=1),0,
IF(AND(EV$44&gt;1,ED175=$N175),1-SUM($EN175:EU175),
IF($N175&lt;=1,
IF($N175&gt;0,1/$N175,0),
IF(EV$44=2,0,VDB(1,0,$N175,INT(EV$44-2-1),MIN($N175,INT(EV$44-2-1)+1),$DC175,IF($DD175="No",1,0))/
IF(EC175&gt;=INT($N175),$N175-INT($N175),1)))*
IF(EV$44=2,0,
IF(INT(ED175)=INT(EC175),ED175-EC175,INT(ED175)-EC175))+
IF($N175&lt;=1,
IF($N175&gt;0,1/$N175,0),VDB(1,0,$N175,INT(EV$44-2),MIN($N175,INT(EV$44-2)+1),$DC175,IF($DD175="No",1,0))/
IF(ED175&gt;INT($N175),$N175-INT($N175),1))*
IF(EV$44=2,ED175,
IF(INT(ED175)=INT(EC175),0,ED175-INT(ED175)))))</f>
        <v>0</v>
      </c>
      <c r="EW175" s="833"/>
      <c r="EX175" s="834">
        <f t="shared" ca="1" si="350"/>
        <v>0</v>
      </c>
      <c r="EY175" s="835">
        <f t="shared" ca="1" si="350"/>
        <v>0</v>
      </c>
      <c r="EZ175" s="836">
        <f t="shared" ca="1" si="350"/>
        <v>0</v>
      </c>
      <c r="FA175" s="834">
        <f t="shared" ca="1" si="350"/>
        <v>0</v>
      </c>
      <c r="FB175" s="835">
        <f t="shared" ca="1" si="350"/>
        <v>0</v>
      </c>
      <c r="FC175" s="835">
        <f t="shared" ca="1" si="350"/>
        <v>0</v>
      </c>
      <c r="FD175" s="835">
        <f t="shared" ca="1" si="350"/>
        <v>0</v>
      </c>
      <c r="FE175" s="836">
        <f t="shared" ca="1" si="350"/>
        <v>0</v>
      </c>
      <c r="FG175" s="386">
        <f t="shared" ca="1" si="351"/>
        <v>0</v>
      </c>
      <c r="FH175" s="387">
        <f t="shared" ca="1" si="352"/>
        <v>0</v>
      </c>
      <c r="FI175" s="388">
        <f t="shared" ca="1" si="353"/>
        <v>0</v>
      </c>
      <c r="FJ175" s="386">
        <f t="shared" ca="1" si="354"/>
        <v>0</v>
      </c>
      <c r="FK175" s="387">
        <f t="shared" ca="1" si="355"/>
        <v>0</v>
      </c>
      <c r="FL175" s="387">
        <f t="shared" ca="1" si="356"/>
        <v>0</v>
      </c>
      <c r="FM175" s="387">
        <f t="shared" ca="1" si="357"/>
        <v>0</v>
      </c>
      <c r="FN175" s="388">
        <f t="shared" ca="1" si="358"/>
        <v>0</v>
      </c>
      <c r="FR175" s="116"/>
    </row>
    <row r="176" spans="2:174">
      <c r="B176" s="1410">
        <f t="shared" si="302"/>
        <v>130</v>
      </c>
      <c r="C176" s="400" t="s">
        <v>692</v>
      </c>
      <c r="D176" s="410"/>
      <c r="E176" s="402" t="s">
        <v>420</v>
      </c>
      <c r="F176" s="402" t="s">
        <v>514</v>
      </c>
      <c r="G176" s="400" t="s">
        <v>437</v>
      </c>
      <c r="H176" s="2088" t="s">
        <v>483</v>
      </c>
      <c r="I176" s="2089"/>
      <c r="J176" s="411" t="s">
        <v>516</v>
      </c>
      <c r="K176" s="403" t="s">
        <v>544</v>
      </c>
      <c r="L176" s="403">
        <v>10</v>
      </c>
      <c r="M176" s="403" t="s">
        <v>142</v>
      </c>
      <c r="N176" s="403"/>
      <c r="O176" s="347"/>
      <c r="P176" s="347"/>
      <c r="Q176" s="1021">
        <v>0.37756261325434615</v>
      </c>
      <c r="R176" s="1022">
        <v>0.3775626132543462</v>
      </c>
      <c r="S176" s="1022">
        <v>0.3775626132543462</v>
      </c>
      <c r="T176" s="1022">
        <v>0.3775626132543462</v>
      </c>
      <c r="U176" s="1023">
        <v>0.37756261325434615</v>
      </c>
      <c r="V176" s="1021">
        <v>0</v>
      </c>
      <c r="W176" s="1022">
        <v>0</v>
      </c>
      <c r="X176" s="1022">
        <v>0</v>
      </c>
      <c r="Y176" s="1022">
        <v>0</v>
      </c>
      <c r="Z176" s="1023">
        <v>0</v>
      </c>
      <c r="AA176" s="1024"/>
      <c r="AB176" s="1021">
        <v>0</v>
      </c>
      <c r="AC176" s="1022">
        <v>0</v>
      </c>
      <c r="AD176" s="1022">
        <v>0</v>
      </c>
      <c r="AE176" s="1022">
        <v>0</v>
      </c>
      <c r="AF176" s="1023">
        <v>0</v>
      </c>
      <c r="AG176" s="1021">
        <v>0</v>
      </c>
      <c r="AH176" s="1022">
        <v>0</v>
      </c>
      <c r="AI176" s="1022">
        <v>0</v>
      </c>
      <c r="AJ176" s="1022">
        <v>0</v>
      </c>
      <c r="AK176" s="1023">
        <v>0</v>
      </c>
      <c r="AL176" s="1024"/>
      <c r="AM176" s="1021">
        <v>0</v>
      </c>
      <c r="AN176" s="1022">
        <v>0</v>
      </c>
      <c r="AO176" s="1022">
        <v>0</v>
      </c>
      <c r="AP176" s="1022">
        <v>0</v>
      </c>
      <c r="AQ176" s="1023">
        <v>0</v>
      </c>
      <c r="AR176" s="1021">
        <v>0</v>
      </c>
      <c r="AS176" s="1022">
        <v>0</v>
      </c>
      <c r="AT176" s="1022">
        <v>0</v>
      </c>
      <c r="AU176" s="1022">
        <v>0</v>
      </c>
      <c r="AV176" s="1023">
        <v>0</v>
      </c>
      <c r="AW176" s="1025"/>
      <c r="AX176" s="1282">
        <f t="shared" si="304"/>
        <v>0.37756261325434615</v>
      </c>
      <c r="AY176" s="387">
        <f t="shared" si="305"/>
        <v>0.3775626132543462</v>
      </c>
      <c r="AZ176" s="387">
        <f t="shared" si="306"/>
        <v>0.3775626132543462</v>
      </c>
      <c r="BA176" s="387">
        <f t="shared" si="307"/>
        <v>0.3775626132543462</v>
      </c>
      <c r="BB176" s="1283">
        <f t="shared" si="308"/>
        <v>0.37756261325434615</v>
      </c>
      <c r="BC176" s="386">
        <f t="shared" si="309"/>
        <v>0</v>
      </c>
      <c r="BD176" s="387">
        <f t="shared" si="310"/>
        <v>0</v>
      </c>
      <c r="BE176" s="1277">
        <f t="shared" si="311"/>
        <v>0</v>
      </c>
      <c r="BF176" s="1277">
        <f t="shared" si="312"/>
        <v>0</v>
      </c>
      <c r="BG176" s="388">
        <f t="shared" si="313"/>
        <v>0</v>
      </c>
      <c r="BH176" s="1025"/>
      <c r="BI176" s="1282">
        <f t="shared" ca="1" si="314"/>
        <v>1.8878130662717308E-2</v>
      </c>
      <c r="BJ176" s="387">
        <f t="shared" ca="1" si="315"/>
        <v>5.6634391988151928E-2</v>
      </c>
      <c r="BK176" s="387">
        <f t="shared" ca="1" si="316"/>
        <v>9.4390653313586537E-2</v>
      </c>
      <c r="BL176" s="387">
        <f t="shared" ca="1" si="317"/>
        <v>0.13214691463902115</v>
      </c>
      <c r="BM176" s="1283">
        <f t="shared" ca="1" si="318"/>
        <v>0.16990317596445578</v>
      </c>
      <c r="BN176" s="386">
        <f t="shared" ca="1" si="319"/>
        <v>0.18878130662717307</v>
      </c>
      <c r="BO176" s="387">
        <f t="shared" ca="1" si="320"/>
        <v>0.18878130662717307</v>
      </c>
      <c r="BP176" s="1277">
        <f t="shared" ca="1" si="321"/>
        <v>0.18878130662717307</v>
      </c>
      <c r="BQ176" s="1277">
        <f t="shared" ca="1" si="322"/>
        <v>0.18878130662717307</v>
      </c>
      <c r="BR176" s="388">
        <f t="shared" ca="1" si="323"/>
        <v>0.18878130662717307</v>
      </c>
      <c r="BS176" s="1025"/>
      <c r="BT176" s="1282">
        <f>+IF($K176="Ongoing",AX176,IF(RIGHT($K176,2)=RIGHT(BT$43,2),SUM($AX176:AX176),0)+IF(RIGHT(BT$43,2)&gt;RIGHT($K176,2),AX176,0))</f>
        <v>0.37756261325434615</v>
      </c>
      <c r="BU176" s="387">
        <f>+IF($K176="Ongoing",AY176,IF(RIGHT($K176,2)=RIGHT(BU$43,2),SUM($AX176:AY176),0)+IF(RIGHT(BU$43,2)&gt;RIGHT($K176,2),AY176,0))</f>
        <v>0.3775626132543462</v>
      </c>
      <c r="BV176" s="387">
        <f>+IF($K176="Ongoing",AZ176,IF(RIGHT($K176,2)=RIGHT(BV$43,2),SUM($AX176:AZ176),0)+IF(RIGHT(BV$43,2)&gt;RIGHT($K176,2),AZ176,0))</f>
        <v>0.3775626132543462</v>
      </c>
      <c r="BW176" s="387">
        <f>+IF($K176="Ongoing",BA176,IF(RIGHT($K176,2)=RIGHT(BW$43,2),SUM($AX176:BA176),0)+IF(RIGHT(BW$43,2)&gt;RIGHT($K176,2),BA176,0))</f>
        <v>0.3775626132543462</v>
      </c>
      <c r="BX176" s="1283">
        <f>+IF($K176="Ongoing",BB176,IF(RIGHT($K176,2)=RIGHT(BX$43,2),SUM($AX176:BB176),0)+IF(RIGHT(BX$43,2)&gt;RIGHT($K176,2),BB176,0))</f>
        <v>0.37756261325434615</v>
      </c>
      <c r="BY176" s="386">
        <f>+IF($K176="Ongoing",BC176,IF(RIGHT($K176,2)=RIGHT(BY$43,2),SUM($AX176:BC176),0)+IF(RIGHT(BY$43,2)&gt;RIGHT($K176,2),BC176,0))</f>
        <v>0</v>
      </c>
      <c r="BZ176" s="387">
        <f>+IF($K176="Ongoing",BD176,IF(RIGHT($K176,2)=RIGHT(BZ$43,2),SUM($AX176:BD176),0)+IF(RIGHT(BZ$43,2)&gt;RIGHT($K176,2),BD176,0))</f>
        <v>0</v>
      </c>
      <c r="CA176" s="1277">
        <f>+IF($K176="Ongoing",BE176,IF(RIGHT($K176,2)=RIGHT(CA$43,2),SUM($AX176:BE176),0)+IF(RIGHT(CA$43,2)&gt;RIGHT($K176,2),BE176,0))</f>
        <v>0</v>
      </c>
      <c r="CB176" s="1277">
        <f>+IF($K176="Ongoing",BF176,IF(RIGHT($K176,2)=RIGHT(CB$43,2),SUM($AX176:BF176),0)+IF(RIGHT(CB$43,2)&gt;RIGHT($K176,2),BF176,0))</f>
        <v>0</v>
      </c>
      <c r="CC176" s="388">
        <f>+IF($K176="Ongoing",BG176,IF(RIGHT($K176,2)=RIGHT(CC$43,2),SUM($AX176:BG176),0)+IF(RIGHT(CC$43,2)&gt;RIGHT($K176,2),BG176,0))</f>
        <v>0</v>
      </c>
      <c r="CD176" s="1025"/>
      <c r="CE176" s="1282">
        <f>+Q176*KeyAssumptionsPriceControl_FO!AF$15</f>
        <v>0.38851192903872217</v>
      </c>
      <c r="CF176" s="387">
        <f>+R176*KeyAssumptionsPriceControl_FO!AG$15</f>
        <v>0.39977877498084513</v>
      </c>
      <c r="CG176" s="387">
        <f>+S176*KeyAssumptionsPriceControl_FO!AH$15</f>
        <v>0.4113723594552896</v>
      </c>
      <c r="CH176" s="387">
        <f>+T176*KeyAssumptionsPriceControl_FO!AI$15</f>
        <v>0.42330215787949305</v>
      </c>
      <c r="CI176" s="1283">
        <f>+U176*KeyAssumptionsPriceControl_FO!AJ$15</f>
        <v>0.4355779204579982</v>
      </c>
      <c r="CJ176" s="386">
        <f>+V176*KeyAssumptionsPriceControl_FO!AK$15</f>
        <v>0</v>
      </c>
      <c r="CK176" s="387">
        <f>+W176*KeyAssumptionsPriceControl_FO!AL$15</f>
        <v>0</v>
      </c>
      <c r="CL176" s="1277">
        <f>+X176*KeyAssumptionsPriceControl_FO!AM$15</f>
        <v>0</v>
      </c>
      <c r="CM176" s="1277">
        <f>+Y176*KeyAssumptionsPriceControl_FO!AN$15</f>
        <v>0</v>
      </c>
      <c r="CN176" s="388">
        <f>+Z176*KeyAssumptionsPriceControl_FO!AO$15</f>
        <v>0</v>
      </c>
      <c r="CO176" s="1025"/>
      <c r="CP176" s="1282">
        <f t="shared" ca="1" si="324"/>
        <v>0</v>
      </c>
      <c r="CQ176" s="387">
        <f t="shared" ca="1" si="325"/>
        <v>0</v>
      </c>
      <c r="CR176" s="387">
        <f t="shared" ca="1" si="326"/>
        <v>0</v>
      </c>
      <c r="CS176" s="387">
        <f t="shared" ca="1" si="327"/>
        <v>0</v>
      </c>
      <c r="CT176" s="1283">
        <f t="shared" ca="1" si="328"/>
        <v>0</v>
      </c>
      <c r="CU176" s="386">
        <f t="shared" ca="1" si="329"/>
        <v>0</v>
      </c>
      <c r="CV176" s="387">
        <f t="shared" ca="1" si="330"/>
        <v>0</v>
      </c>
      <c r="CW176" s="1277">
        <f t="shared" ca="1" si="331"/>
        <v>0</v>
      </c>
      <c r="CX176" s="1277">
        <f t="shared" ca="1" si="332"/>
        <v>0</v>
      </c>
      <c r="CY176" s="388">
        <f t="shared" ca="1" si="333"/>
        <v>0</v>
      </c>
      <c r="CZ176" s="347"/>
      <c r="DA176" s="852"/>
      <c r="DB176" s="347"/>
      <c r="DC176" s="1012" t="s">
        <v>693</v>
      </c>
      <c r="DD176" s="841" t="s">
        <v>518</v>
      </c>
      <c r="DE176" s="386">
        <f>+IF($K176="ongoing",CE176,IF(RIGHT($K176,2)=RIGHT(DE$43,2),SUM($CD176:CE176),0)+IF(RIGHT(DE$43,2)&gt;RIGHT($K176,2),CE176,0))</f>
        <v>0.38851192903872217</v>
      </c>
      <c r="DF176" s="387">
        <f>+IF($K176="ongoing",CF176,IF(RIGHT($K176,2)=RIGHT(DF$43,2),SUM($CD176:CF176),0)+IF(RIGHT(DF$43,2)&gt;RIGHT($K176,2),CF176,0))</f>
        <v>0.39977877498084513</v>
      </c>
      <c r="DG176" s="388">
        <f>+IF($K176="ongoing",CG176,IF(RIGHT($K176,2)=RIGHT(DG$43,2),SUM($CD176:CG176),0)+IF(RIGHT(DG$43,2)&gt;RIGHT($K176,2),CG176,0))</f>
        <v>0.4113723594552896</v>
      </c>
      <c r="DH176" s="386">
        <f>+IF($K176="ongoing",CH176,IF(RIGHT($K176,2)=RIGHT(DH$43,2),SUM($CD176:CH176),0)+IF(RIGHT(DH$43,2)&gt;RIGHT($K176,2),CH176,0))</f>
        <v>0.42330215787949305</v>
      </c>
      <c r="DI176" s="387">
        <f>+IF($K176="ongoing",CI176,IF(RIGHT($K176,2)=RIGHT(DI$43,2),SUM($CD176:CI176),0)+IF(RIGHT(DI$43,2)&gt;RIGHT($K176,2),CI176,0))</f>
        <v>0.4355779204579982</v>
      </c>
      <c r="DJ176" s="387">
        <f>+IF($K176="ongoing",CJ176,IF(RIGHT($K176,2)=RIGHT(DJ$43,2),SUM($CD176:CJ176),0)+IF(RIGHT(DJ$43,2)&gt;RIGHT($K176,2),CJ176,0))</f>
        <v>0</v>
      </c>
      <c r="DK176" s="387">
        <f>+IF($K176="ongoing",CK176,IF(RIGHT($K176,2)=RIGHT(DK$43,2),SUM($CD176:CK176),0)+IF(RIGHT(DK$43,2)&gt;RIGHT($K176,2),CK176,0))</f>
        <v>0</v>
      </c>
      <c r="DL176" s="388">
        <f>+IF($K176="ongoing",CN176,IF(RIGHT($K176,2)=RIGHT(DL$43,2),SUM($CD176:CN176),0)+IF(RIGHT(DL$43,2)&gt;RIGHT($K176,2),CN176,0))</f>
        <v>0</v>
      </c>
      <c r="DM176" s="841"/>
      <c r="DN176" s="386">
        <f t="shared" si="334"/>
        <v>0.5</v>
      </c>
      <c r="DO176" s="387">
        <f t="shared" si="335"/>
        <v>1</v>
      </c>
      <c r="DP176" s="388">
        <f t="shared" si="336"/>
        <v>1</v>
      </c>
      <c r="DQ176" s="386">
        <f t="shared" si="337"/>
        <v>1</v>
      </c>
      <c r="DR176" s="387">
        <f t="shared" si="338"/>
        <v>1</v>
      </c>
      <c r="DS176" s="387">
        <f t="shared" si="339"/>
        <v>1</v>
      </c>
      <c r="DT176" s="387">
        <f t="shared" si="340"/>
        <v>1</v>
      </c>
      <c r="DU176" s="388">
        <f t="shared" si="341"/>
        <v>1</v>
      </c>
      <c r="DW176" s="386">
        <f t="shared" si="342"/>
        <v>0</v>
      </c>
      <c r="DX176" s="387">
        <f t="shared" si="343"/>
        <v>0.5</v>
      </c>
      <c r="DY176" s="388">
        <f t="shared" si="344"/>
        <v>1</v>
      </c>
      <c r="DZ176" s="386">
        <f t="shared" si="345"/>
        <v>1</v>
      </c>
      <c r="EA176" s="387">
        <f t="shared" si="346"/>
        <v>1</v>
      </c>
      <c r="EB176" s="387">
        <f t="shared" si="347"/>
        <v>1</v>
      </c>
      <c r="EC176" s="387">
        <f t="shared" si="348"/>
        <v>1</v>
      </c>
      <c r="ED176" s="388">
        <f t="shared" si="349"/>
        <v>1</v>
      </c>
      <c r="EF176" s="834">
        <f>+IF(DN176=DM176,0,
IF(AND(EF$44&gt;1,DN176=$N176),1-SUM($EE176:EE176),
IF($N176&lt;=1,
IF($N176&gt;0,1/$N176,0),
IF(EF$44=1,0,VDB(1,0,$N176,INT(EF$44-1-1),MIN($N176,INT(EF$44-1-1)+1),$DC176,IF($DD176="No",1,0))/
IF(DM176&gt;=INT($N176),$N176-INT($N176),1)))*
IF(EF$44=1,0,
IF(INT(DN176)=INT(DM176),DN176-DM176,INT(DN176)-DM176))+
IF($N176&lt;=1,
IF($N176&gt;0,1/$N176,0),VDB(1,0,$N176,INT(EF$44-1),MIN($N176,INT(EF$44-1)+1),$DC176,IF($DD176="No",1,0))/
IF(DN176&gt;INT($N176),$N176-INT($N176),1))*
IF(EF$44=1,DN176,
IF(INT(DN176)=INT(DM176),0,DN176-INT(DN176)))))</f>
        <v>0</v>
      </c>
      <c r="EG176" s="835">
        <f>+IF(DO176=DN176,0,
IF(AND(EG$44&gt;1,DO176=$N176),1-SUM($EE176:EF176),
IF($N176&lt;=1,
IF($N176&gt;0,1/$N176,0),
IF(EG$44=1,0,VDB(1,0,$N176,INT(EG$44-1-1),MIN($N176,INT(EG$44-1-1)+1),$DC176,IF($DD176="No",1,0))/
IF(DN176&gt;=INT($N176),$N176-INT($N176),1)))*
IF(EG$44=1,0,
IF(INT(DO176)=INT(DN176),DO176-DN176,INT(DO176)-DN176))+
IF($N176&lt;=1,
IF($N176&gt;0,1/$N176,0),VDB(1,0,$N176,INT(EG$44-1),MIN($N176,INT(EG$44-1)+1),$DC176,IF($DD176="No",1,0))/
IF(DO176&gt;INT($N176),$N176-INT($N176),1))*
IF(EG$44=1,DO176,
IF(INT(DO176)=INT(DN176),0,DO176-INT(DO176)))))</f>
        <v>0</v>
      </c>
      <c r="EH176" s="836">
        <f>+IF(DP176=DO176,0,
IF(AND(EH$44&gt;1,DP176=$N176),1-SUM($EE176:EG176),
IF($N176&lt;=1,
IF($N176&gt;0,1/$N176,0),
IF(EH$44=1,0,VDB(1,0,$N176,INT(EH$44-1-1),MIN($N176,INT(EH$44-1-1)+1),$DC176,IF($DD176="No",1,0))/
IF(DO176&gt;=INT($N176),$N176-INT($N176),1)))*
IF(EH$44=1,0,
IF(INT(DP176)=INT(DO176),DP176-DO176,INT(DP176)-DO176))+
IF($N176&lt;=1,
IF($N176&gt;0,1/$N176,0),VDB(1,0,$N176,INT(EH$44-1),MIN($N176,INT(EH$44-1)+1),$DC176,IF($DD176="No",1,0))/
IF(DP176&gt;INT($N176),$N176-INT($N176),1))*
IF(EH$44=1,DP176,
IF(INT(DP176)=INT(DO176),0,DP176-INT(DP176)))))</f>
        <v>0</v>
      </c>
      <c r="EI176" s="834">
        <f>+IF(DQ176=DP176,0,
IF(AND(EI$44&gt;1,DQ176=$N176),1-SUM($EE176:EH176),
IF($N176&lt;=1,
IF($N176&gt;0,1/$N176,0),
IF(EI$44=1,0,VDB(1,0,$N176,INT(EI$44-1-1),MIN($N176,INT(EI$44-1-1)+1),$DC176,IF($DD176="No",1,0))/
IF(DP176&gt;=INT($N176),$N176-INT($N176),1)))*
IF(EI$44=1,0,
IF(INT(DQ176)=INT(DP176),DQ176-DP176,INT(DQ176)-DP176))+
IF($N176&lt;=1,
IF($N176&gt;0,1/$N176,0),VDB(1,0,$N176,INT(EI$44-1),MIN($N176,INT(EI$44-1)+1),$DC176,IF($DD176="No",1,0))/
IF(DQ176&gt;INT($N176),$N176-INT($N176),1))*
IF(EI$44=1,DQ176,
IF(INT(DQ176)=INT(DP176),0,DQ176-INT(DQ176)))))</f>
        <v>0</v>
      </c>
      <c r="EJ176" s="835">
        <f>+IF(DR176=DQ176,0,
IF(AND(EJ$44&gt;1,DR176=$N176),1-SUM($EE176:EI176),
IF($N176&lt;=1,
IF($N176&gt;0,1/$N176,0),
IF(EJ$44=1,0,VDB(1,0,$N176,INT(EJ$44-1-1),MIN($N176,INT(EJ$44-1-1)+1),$DC176,IF($DD176="No",1,0))/
IF(DQ176&gt;=INT($N176),$N176-INT($N176),1)))*
IF(EJ$44=1,0,
IF(INT(DR176)=INT(DQ176),DR176-DQ176,INT(DR176)-DQ176))+
IF($N176&lt;=1,
IF($N176&gt;0,1/$N176,0),VDB(1,0,$N176,INT(EJ$44-1),MIN($N176,INT(EJ$44-1)+1),$DC176,IF($DD176="No",1,0))/
IF(DR176&gt;INT($N176),$N176-INT($N176),1))*
IF(EJ$44=1,DR176,
IF(INT(DR176)=INT(DQ176),0,DR176-INT(DR176)))))</f>
        <v>0</v>
      </c>
      <c r="EK176" s="835">
        <f>+IF(DS176=DR176,0,
IF(AND(EK$44&gt;1,DS176=$N176),1-SUM($EE176:EJ176),
IF($N176&lt;=1,
IF($N176&gt;0,1/$N176,0),
IF(EK$44=1,0,VDB(1,0,$N176,INT(EK$44-1-1),MIN($N176,INT(EK$44-1-1)+1),$DC176,IF($DD176="No",1,0))/
IF(DR176&gt;=INT($N176),$N176-INT($N176),1)))*
IF(EK$44=1,0,
IF(INT(DS176)=INT(DR176),DS176-DR176,INT(DS176)-DR176))+
IF($N176&lt;=1,
IF($N176&gt;0,1/$N176,0),VDB(1,0,$N176,INT(EK$44-1),MIN($N176,INT(EK$44-1)+1),$DC176,IF($DD176="No",1,0))/
IF(DS176&gt;INT($N176),$N176-INT($N176),1))*
IF(EK$44=1,DS176,
IF(INT(DS176)=INT(DR176),0,DS176-INT(DS176)))))</f>
        <v>0</v>
      </c>
      <c r="EL176" s="835">
        <f>+IF(DT176=DS176,0,
IF(AND(EL$44&gt;1,DT176=$N176),1-SUM($EE176:EK176),
IF($N176&lt;=1,
IF($N176&gt;0,1/$N176,0),
IF(EL$44=1,0,VDB(1,0,$N176,INT(EL$44-1-1),MIN($N176,INT(EL$44-1-1)+1),$DC176,IF($DD176="No",1,0))/
IF(DS176&gt;=INT($N176),$N176-INT($N176),1)))*
IF(EL$44=1,0,
IF(INT(DT176)=INT(DS176),DT176-DS176,INT(DT176)-DS176))+
IF($N176&lt;=1,
IF($N176&gt;0,1/$N176,0),VDB(1,0,$N176,INT(EL$44-1),MIN($N176,INT(EL$44-1)+1),$DC176,IF($DD176="No",1,0))/
IF(DT176&gt;INT($N176),$N176-INT($N176),1))*
IF(EL$44=1,DT176,
IF(INT(DT176)=INT(DS176),0,DT176-INT(DT176)))))</f>
        <v>0</v>
      </c>
      <c r="EM176" s="836">
        <f>+IF(DU176=DT176,0,
IF(AND(EM$44&gt;1,DU176=$N176),1-SUM($EE176:EL176),
IF($N176&lt;=1,
IF($N176&gt;0,1/$N176,0),
IF(EM$44=1,0,VDB(1,0,$N176,INT(EM$44-1-1),MIN($N176,INT(EM$44-1-1)+1),$DC176,IF($DD176="No",1,0))/
IF(DT176&gt;=INT($N176),$N176-INT($N176),1)))*
IF(EM$44=1,0,
IF(INT(DU176)=INT(DT176),DU176-DT176,INT(DU176)-DT176))+
IF($N176&lt;=1,
IF($N176&gt;0,1/$N176,0),VDB(1,0,$N176,INT(EM$44-1),MIN($N176,INT(EM$44-1)+1),$DC176,IF($DD176="No",1,0))/
IF(DU176&gt;INT($N176),$N176-INT($N176),1))*
IF(EM$44=1,DU176,
IF(INT(DU176)=INT(DT176),0,DU176-INT(DU176)))))</f>
        <v>0</v>
      </c>
      <c r="EN176" s="833"/>
      <c r="EO176" s="834">
        <f>+IF(OR(DW176=DV176,EO$44=1),0,
IF(AND(EO$44&gt;1,DW176=$N176),1-SUM($EN176:EN176),
IF($N176&lt;=1,
IF($N176&gt;0,1/$N176,0),
IF(EO$44=2,0,VDB(1,0,$N176,INT(EO$44-2-1),MIN($N176,INT(EO$44-2-1)+1),$DC176,IF($DD176="No",1,0))/
IF(DV176&gt;=INT($N176),$N176-INT($N176),1)))*
IF(EO$44=2,0,
IF(INT(DW176)=INT(DV176),DW176-DV176,INT(DW176)-DV176))+
IF($N176&lt;=1,
IF($N176&gt;0,1/$N176,0),VDB(1,0,$N176,INT(EO$44-2),MIN($N176,INT(EO$44-2)+1),$DC176,IF($DD176="No",1,0))/
IF(DW176&gt;INT($N176),$N176-INT($N176),1))*
IF(EO$44=2,DW176,
IF(INT(DW176)=INT(DV176),0,DW176-INT(DW176)))))</f>
        <v>0</v>
      </c>
      <c r="EP176" s="835">
        <f>+IF(OR(DX176=DW176,EP$44=1),0,
IF(AND(EP$44&gt;1,DX176=$N176),1-SUM($EN176:EO176),
IF($N176&lt;=1,
IF($N176&gt;0,1/$N176,0),
IF(EP$44=2,0,VDB(1,0,$N176,INT(EP$44-2-1),MIN($N176,INT(EP$44-2-1)+1),$DC176,IF($DD176="No",1,0))/
IF(DW176&gt;=INT($N176),$N176-INT($N176),1)))*
IF(EP$44=2,0,
IF(INT(DX176)=INT(DW176),DX176-DW176,INT(DX176)-DW176))+
IF($N176&lt;=1,
IF($N176&gt;0,1/$N176,0),VDB(1,0,$N176,INT(EP$44-2),MIN($N176,INT(EP$44-2)+1),$DC176,IF($DD176="No",1,0))/
IF(DX176&gt;INT($N176),$N176-INT($N176),1))*
IF(EP$44=2,DX176,
IF(INT(DX176)=INT(DW176),0,DX176-INT(DX176)))))</f>
        <v>0</v>
      </c>
      <c r="EQ176" s="836">
        <f>+IF(OR(DY176=DX176,EQ$44=1),0,
IF(AND(EQ$44&gt;1,DY176=$N176),1-SUM($EN176:EP176),
IF($N176&lt;=1,
IF($N176&gt;0,1/$N176,0),
IF(EQ$44=2,0,VDB(1,0,$N176,INT(EQ$44-2-1),MIN($N176,INT(EQ$44-2-1)+1),$DC176,IF($DD176="No",1,0))/
IF(DX176&gt;=INT($N176),$N176-INT($N176),1)))*
IF(EQ$44=2,0,
IF(INT(DY176)=INT(DX176),DY176-DX176,INT(DY176)-DX176))+
IF($N176&lt;=1,
IF($N176&gt;0,1/$N176,0),VDB(1,0,$N176,INT(EQ$44-2),MIN($N176,INT(EQ$44-2)+1),$DC176,IF($DD176="No",1,0))/
IF(DY176&gt;INT($N176),$N176-INT($N176),1))*
IF(EQ$44=2,DY176,
IF(INT(DY176)=INT(DX176),0,DY176-INT(DY176)))))</f>
        <v>0</v>
      </c>
      <c r="ER176" s="834">
        <f>+IF(OR(DZ176=DY176,ER$44=1),0,
IF(AND(ER$44&gt;1,DZ176=$N176),1-SUM($EN176:EQ176),
IF($N176&lt;=1,
IF($N176&gt;0,1/$N176,0),
IF(ER$44=2,0,VDB(1,0,$N176,INT(ER$44-2-1),MIN($N176,INT(ER$44-2-1)+1),$DC176,IF($DD176="No",1,0))/
IF(DY176&gt;=INT($N176),$N176-INT($N176),1)))*
IF(ER$44=2,0,
IF(INT(DZ176)=INT(DY176),DZ176-DY176,INT(DZ176)-DY176))+
IF($N176&lt;=1,
IF($N176&gt;0,1/$N176,0),VDB(1,0,$N176,INT(ER$44-2),MIN($N176,INT(ER$44-2)+1),$DC176,IF($DD176="No",1,0))/
IF(DZ176&gt;INT($N176),$N176-INT($N176),1))*
IF(ER$44=2,DZ176,
IF(INT(DZ176)=INT(DY176),0,DZ176-INT(DZ176)))))</f>
        <v>0</v>
      </c>
      <c r="ES176" s="835">
        <f>+IF(OR(EA176=DZ176,ES$44=1),0,
IF(AND(ES$44&gt;1,EA176=$N176),1-SUM($EN176:ER176),
IF($N176&lt;=1,
IF($N176&gt;0,1/$N176,0),
IF(ES$44=2,0,VDB(1,0,$N176,INT(ES$44-2-1),MIN($N176,INT(ES$44-2-1)+1),$DC176,IF($DD176="No",1,0))/
IF(DZ176&gt;=INT($N176),$N176-INT($N176),1)))*
IF(ES$44=2,0,
IF(INT(EA176)=INT(DZ176),EA176-DZ176,INT(EA176)-DZ176))+
IF($N176&lt;=1,
IF($N176&gt;0,1/$N176,0),VDB(1,0,$N176,INT(ES$44-2),MIN($N176,INT(ES$44-2)+1),$DC176,IF($DD176="No",1,0))/
IF(EA176&gt;INT($N176),$N176-INT($N176),1))*
IF(ES$44=2,EA176,
IF(INT(EA176)=INT(DZ176),0,EA176-INT(EA176)))))</f>
        <v>0</v>
      </c>
      <c r="ET176" s="835">
        <f>+IF(OR(EB176=EA176,ET$44=1),0,
IF(AND(ET$44&gt;1,EB176=$N176),1-SUM($EN176:ES176),
IF($N176&lt;=1,
IF($N176&gt;0,1/$N176,0),
IF(ET$44=2,0,VDB(1,0,$N176,INT(ET$44-2-1),MIN($N176,INT(ET$44-2-1)+1),$DC176,IF($DD176="No",1,0))/
IF(EA176&gt;=INT($N176),$N176-INT($N176),1)))*
IF(ET$44=2,0,
IF(INT(EB176)=INT(EA176),EB176-EA176,INT(EB176)-EA176))+
IF($N176&lt;=1,
IF($N176&gt;0,1/$N176,0),VDB(1,0,$N176,INT(ET$44-2),MIN($N176,INT(ET$44-2)+1),$DC176,IF($DD176="No",1,0))/
IF(EB176&gt;INT($N176),$N176-INT($N176),1))*
IF(ET$44=2,EB176,
IF(INT(EB176)=INT(EA176),0,EB176-INT(EB176)))))</f>
        <v>0</v>
      </c>
      <c r="EU176" s="835">
        <f>+IF(OR(EC176=EB176,EU$44=1),0,
IF(AND(EU$44&gt;1,EC176=$N176),1-SUM($EN176:ET176),
IF($N176&lt;=1,
IF($N176&gt;0,1/$N176,0),
IF(EU$44=2,0,VDB(1,0,$N176,INT(EU$44-2-1),MIN($N176,INT(EU$44-2-1)+1),$DC176,IF($DD176="No",1,0))/
IF(EB176&gt;=INT($N176),$N176-INT($N176),1)))*
IF(EU$44=2,0,
IF(INT(EC176)=INT(EB176),EC176-EB176,INT(EC176)-EB176))+
IF($N176&lt;=1,
IF($N176&gt;0,1/$N176,0),VDB(1,0,$N176,INT(EU$44-2),MIN($N176,INT(EU$44-2)+1),$DC176,IF($DD176="No",1,0))/
IF(EC176&gt;INT($N176),$N176-INT($N176),1))*
IF(EU$44=2,EC176,
IF(INT(EC176)=INT(EB176),0,EC176-INT(EC176)))))</f>
        <v>0</v>
      </c>
      <c r="EV176" s="836">
        <f>+IF(OR(ED176=EC176,EV$44=1),0,
IF(AND(EV$44&gt;1,ED176=$N176),1-SUM($EN176:EU176),
IF($N176&lt;=1,
IF($N176&gt;0,1/$N176,0),
IF(EV$44=2,0,VDB(1,0,$N176,INT(EV$44-2-1),MIN($N176,INT(EV$44-2-1)+1),$DC176,IF($DD176="No",1,0))/
IF(EC176&gt;=INT($N176),$N176-INT($N176),1)))*
IF(EV$44=2,0,
IF(INT(ED176)=INT(EC176),ED176-EC176,INT(ED176)-EC176))+
IF($N176&lt;=1,
IF($N176&gt;0,1/$N176,0),VDB(1,0,$N176,INT(EV$44-2),MIN($N176,INT(EV$44-2)+1),$DC176,IF($DD176="No",1,0))/
IF(ED176&gt;INT($N176),$N176-INT($N176),1))*
IF(EV$44=2,ED176,
IF(INT(ED176)=INT(EC176),0,ED176-INT(ED176)))))</f>
        <v>0</v>
      </c>
      <c r="EW176" s="833"/>
      <c r="EX176" s="834">
        <f t="shared" ca="1" si="350"/>
        <v>0</v>
      </c>
      <c r="EY176" s="835">
        <f t="shared" ca="1" si="350"/>
        <v>0</v>
      </c>
      <c r="EZ176" s="836">
        <f t="shared" ca="1" si="350"/>
        <v>0</v>
      </c>
      <c r="FA176" s="834">
        <f t="shared" ca="1" si="350"/>
        <v>0</v>
      </c>
      <c r="FB176" s="835">
        <f t="shared" ca="1" si="350"/>
        <v>0</v>
      </c>
      <c r="FC176" s="835">
        <f t="shared" ca="1" si="350"/>
        <v>0</v>
      </c>
      <c r="FD176" s="835">
        <f t="shared" ca="1" si="350"/>
        <v>0</v>
      </c>
      <c r="FE176" s="836">
        <f t="shared" ca="1" si="350"/>
        <v>0</v>
      </c>
      <c r="FG176" s="386">
        <f t="shared" ca="1" si="351"/>
        <v>0</v>
      </c>
      <c r="FH176" s="387">
        <f t="shared" ca="1" si="352"/>
        <v>0</v>
      </c>
      <c r="FI176" s="388">
        <f t="shared" ca="1" si="353"/>
        <v>0</v>
      </c>
      <c r="FJ176" s="386">
        <f t="shared" ca="1" si="354"/>
        <v>0</v>
      </c>
      <c r="FK176" s="387">
        <f t="shared" ca="1" si="355"/>
        <v>0</v>
      </c>
      <c r="FL176" s="387">
        <f t="shared" ca="1" si="356"/>
        <v>0</v>
      </c>
      <c r="FM176" s="387">
        <f t="shared" ca="1" si="357"/>
        <v>0</v>
      </c>
      <c r="FN176" s="388">
        <f t="shared" ca="1" si="358"/>
        <v>0</v>
      </c>
      <c r="FR176" s="116"/>
    </row>
    <row r="177" spans="2:174">
      <c r="B177" s="1410">
        <f t="shared" si="302"/>
        <v>131</v>
      </c>
      <c r="C177" s="400" t="s">
        <v>692</v>
      </c>
      <c r="D177" s="410"/>
      <c r="E177" s="402" t="s">
        <v>411</v>
      </c>
      <c r="F177" s="402" t="s">
        <v>514</v>
      </c>
      <c r="G177" s="400" t="s">
        <v>437</v>
      </c>
      <c r="H177" s="2088" t="s">
        <v>483</v>
      </c>
      <c r="I177" s="2089"/>
      <c r="J177" s="411" t="s">
        <v>516</v>
      </c>
      <c r="K177" s="403" t="s">
        <v>544</v>
      </c>
      <c r="L177" s="403">
        <v>10</v>
      </c>
      <c r="M177" s="403" t="s">
        <v>142</v>
      </c>
      <c r="N177" s="403"/>
      <c r="O177" s="347"/>
      <c r="P177" s="347"/>
      <c r="Q177" s="1021">
        <v>9.7279348731704254E-3</v>
      </c>
      <c r="R177" s="1022">
        <v>9.7279348731704272E-3</v>
      </c>
      <c r="S177" s="1022">
        <v>9.7279348731704272E-3</v>
      </c>
      <c r="T177" s="1022">
        <v>9.7279348731704254E-3</v>
      </c>
      <c r="U177" s="1023">
        <v>9.7279348731704254E-3</v>
      </c>
      <c r="V177" s="1021">
        <v>0</v>
      </c>
      <c r="W177" s="1022">
        <v>0</v>
      </c>
      <c r="X177" s="1022">
        <v>0</v>
      </c>
      <c r="Y177" s="1022">
        <v>0</v>
      </c>
      <c r="Z177" s="1023">
        <v>0</v>
      </c>
      <c r="AA177" s="1024"/>
      <c r="AB177" s="1021">
        <v>0</v>
      </c>
      <c r="AC177" s="1022">
        <v>0</v>
      </c>
      <c r="AD177" s="1022">
        <v>0</v>
      </c>
      <c r="AE177" s="1022">
        <v>0</v>
      </c>
      <c r="AF177" s="1023">
        <v>0</v>
      </c>
      <c r="AG177" s="1021">
        <v>0</v>
      </c>
      <c r="AH177" s="1022">
        <v>0</v>
      </c>
      <c r="AI177" s="1022">
        <v>0</v>
      </c>
      <c r="AJ177" s="1022">
        <v>0</v>
      </c>
      <c r="AK177" s="1023">
        <v>0</v>
      </c>
      <c r="AL177" s="1024"/>
      <c r="AM177" s="1021">
        <v>0</v>
      </c>
      <c r="AN177" s="1022">
        <v>0</v>
      </c>
      <c r="AO177" s="1022">
        <v>0</v>
      </c>
      <c r="AP177" s="1022">
        <v>0</v>
      </c>
      <c r="AQ177" s="1023">
        <v>0</v>
      </c>
      <c r="AR177" s="1021">
        <v>0</v>
      </c>
      <c r="AS177" s="1022">
        <v>0</v>
      </c>
      <c r="AT177" s="1022">
        <v>0</v>
      </c>
      <c r="AU177" s="1022">
        <v>0</v>
      </c>
      <c r="AV177" s="1023">
        <v>0</v>
      </c>
      <c r="AW177" s="1025"/>
      <c r="AX177" s="1282">
        <f t="shared" si="304"/>
        <v>9.7279348731704254E-3</v>
      </c>
      <c r="AY177" s="387">
        <f t="shared" si="305"/>
        <v>9.7279348731704272E-3</v>
      </c>
      <c r="AZ177" s="387">
        <f t="shared" si="306"/>
        <v>9.7279348731704272E-3</v>
      </c>
      <c r="BA177" s="387">
        <f t="shared" si="307"/>
        <v>9.7279348731704254E-3</v>
      </c>
      <c r="BB177" s="1283">
        <f t="shared" si="308"/>
        <v>9.7279348731704254E-3</v>
      </c>
      <c r="BC177" s="386">
        <f t="shared" si="309"/>
        <v>0</v>
      </c>
      <c r="BD177" s="387">
        <f t="shared" si="310"/>
        <v>0</v>
      </c>
      <c r="BE177" s="1277">
        <f t="shared" si="311"/>
        <v>0</v>
      </c>
      <c r="BF177" s="1277">
        <f t="shared" si="312"/>
        <v>0</v>
      </c>
      <c r="BG177" s="388">
        <f t="shared" si="313"/>
        <v>0</v>
      </c>
      <c r="BH177" s="1025"/>
      <c r="BI177" s="1282">
        <f t="shared" ca="1" si="314"/>
        <v>4.8639674365852126E-4</v>
      </c>
      <c r="BJ177" s="387">
        <f t="shared" ca="1" si="315"/>
        <v>1.4591902309755639E-3</v>
      </c>
      <c r="BK177" s="387">
        <f t="shared" ca="1" si="316"/>
        <v>2.4319837182926064E-3</v>
      </c>
      <c r="BL177" s="387">
        <f t="shared" ca="1" si="317"/>
        <v>3.4047772056096486E-3</v>
      </c>
      <c r="BM177" s="1283">
        <f t="shared" ca="1" si="318"/>
        <v>4.3775706929266916E-3</v>
      </c>
      <c r="BN177" s="386">
        <f t="shared" ca="1" si="319"/>
        <v>4.8639674365852127E-3</v>
      </c>
      <c r="BO177" s="387">
        <f t="shared" ca="1" si="320"/>
        <v>4.8639674365852127E-3</v>
      </c>
      <c r="BP177" s="1277">
        <f t="shared" ca="1" si="321"/>
        <v>4.8639674365852127E-3</v>
      </c>
      <c r="BQ177" s="1277">
        <f t="shared" ca="1" si="322"/>
        <v>4.8639674365852127E-3</v>
      </c>
      <c r="BR177" s="388">
        <f t="shared" ca="1" si="323"/>
        <v>4.8639674365852127E-3</v>
      </c>
      <c r="BS177" s="1025"/>
      <c r="BT177" s="1282">
        <f>+IF($K177="Ongoing",AX177,IF(RIGHT($K177,2)=RIGHT(BT$43,2),SUM($AX177:AX177),0)+IF(RIGHT(BT$43,2)&gt;RIGHT($K177,2),AX177,0))</f>
        <v>9.7279348731704254E-3</v>
      </c>
      <c r="BU177" s="387">
        <f>+IF($K177="Ongoing",AY177,IF(RIGHT($K177,2)=RIGHT(BU$43,2),SUM($AX177:AY177),0)+IF(RIGHT(BU$43,2)&gt;RIGHT($K177,2),AY177,0))</f>
        <v>9.7279348731704272E-3</v>
      </c>
      <c r="BV177" s="387">
        <f>+IF($K177="Ongoing",AZ177,IF(RIGHT($K177,2)=RIGHT(BV$43,2),SUM($AX177:AZ177),0)+IF(RIGHT(BV$43,2)&gt;RIGHT($K177,2),AZ177,0))</f>
        <v>9.7279348731704272E-3</v>
      </c>
      <c r="BW177" s="387">
        <f>+IF($K177="Ongoing",BA177,IF(RIGHT($K177,2)=RIGHT(BW$43,2),SUM($AX177:BA177),0)+IF(RIGHT(BW$43,2)&gt;RIGHT($K177,2),BA177,0))</f>
        <v>9.7279348731704254E-3</v>
      </c>
      <c r="BX177" s="1283">
        <f>+IF($K177="Ongoing",BB177,IF(RIGHT($K177,2)=RIGHT(BX$43,2),SUM($AX177:BB177),0)+IF(RIGHT(BX$43,2)&gt;RIGHT($K177,2),BB177,0))</f>
        <v>9.7279348731704254E-3</v>
      </c>
      <c r="BY177" s="386">
        <f>+IF($K177="Ongoing",BC177,IF(RIGHT($K177,2)=RIGHT(BY$43,2),SUM($AX177:BC177),0)+IF(RIGHT(BY$43,2)&gt;RIGHT($K177,2),BC177,0))</f>
        <v>0</v>
      </c>
      <c r="BZ177" s="387">
        <f>+IF($K177="Ongoing",BD177,IF(RIGHT($K177,2)=RIGHT(BZ$43,2),SUM($AX177:BD177),0)+IF(RIGHT(BZ$43,2)&gt;RIGHT($K177,2),BD177,0))</f>
        <v>0</v>
      </c>
      <c r="CA177" s="1277">
        <f>+IF($K177="Ongoing",BE177,IF(RIGHT($K177,2)=RIGHT(CA$43,2),SUM($AX177:BE177),0)+IF(RIGHT(CA$43,2)&gt;RIGHT($K177,2),BE177,0))</f>
        <v>0</v>
      </c>
      <c r="CB177" s="1277">
        <f>+IF($K177="Ongoing",BF177,IF(RIGHT($K177,2)=RIGHT(CB$43,2),SUM($AX177:BF177),0)+IF(RIGHT(CB$43,2)&gt;RIGHT($K177,2),BF177,0))</f>
        <v>0</v>
      </c>
      <c r="CC177" s="388">
        <f>+IF($K177="Ongoing",BG177,IF(RIGHT($K177,2)=RIGHT(CC$43,2),SUM($AX177:BG177),0)+IF(RIGHT(CC$43,2)&gt;RIGHT($K177,2),BG177,0))</f>
        <v>0</v>
      </c>
      <c r="CD177" s="1025"/>
      <c r="CE177" s="1282">
        <f>+Q177*KeyAssumptionsPriceControl_FO!AF$15</f>
        <v>1.0010044984492367E-2</v>
      </c>
      <c r="CF177" s="387">
        <f>+R177*KeyAssumptionsPriceControl_FO!AG$15</f>
        <v>1.0300336289042648E-2</v>
      </c>
      <c r="CG177" s="387">
        <f>+S177*KeyAssumptionsPriceControl_FO!AH$15</f>
        <v>1.0599046041424883E-2</v>
      </c>
      <c r="CH177" s="387">
        <f>+T177*KeyAssumptionsPriceControl_FO!AI$15</f>
        <v>1.0906418376626204E-2</v>
      </c>
      <c r="CI177" s="1283">
        <f>+U177*KeyAssumptionsPriceControl_FO!AJ$15</f>
        <v>1.1222704509548362E-2</v>
      </c>
      <c r="CJ177" s="386">
        <f>+V177*KeyAssumptionsPriceControl_FO!AK$15</f>
        <v>0</v>
      </c>
      <c r="CK177" s="387">
        <f>+W177*KeyAssumptionsPriceControl_FO!AL$15</f>
        <v>0</v>
      </c>
      <c r="CL177" s="1277">
        <f>+X177*KeyAssumptionsPriceControl_FO!AM$15</f>
        <v>0</v>
      </c>
      <c r="CM177" s="1277">
        <f>+Y177*KeyAssumptionsPriceControl_FO!AN$15</f>
        <v>0</v>
      </c>
      <c r="CN177" s="388">
        <f>+Z177*KeyAssumptionsPriceControl_FO!AO$15</f>
        <v>0</v>
      </c>
      <c r="CO177" s="1025"/>
      <c r="CP177" s="1282">
        <f t="shared" ca="1" si="324"/>
        <v>0</v>
      </c>
      <c r="CQ177" s="387">
        <f t="shared" ca="1" si="325"/>
        <v>0</v>
      </c>
      <c r="CR177" s="387">
        <f t="shared" ca="1" si="326"/>
        <v>0</v>
      </c>
      <c r="CS177" s="387">
        <f t="shared" ca="1" si="327"/>
        <v>0</v>
      </c>
      <c r="CT177" s="1283">
        <f t="shared" ca="1" si="328"/>
        <v>0</v>
      </c>
      <c r="CU177" s="386">
        <f t="shared" ca="1" si="329"/>
        <v>0</v>
      </c>
      <c r="CV177" s="387">
        <f t="shared" ca="1" si="330"/>
        <v>0</v>
      </c>
      <c r="CW177" s="1277">
        <f t="shared" ca="1" si="331"/>
        <v>0</v>
      </c>
      <c r="CX177" s="1277">
        <f t="shared" ca="1" si="332"/>
        <v>0</v>
      </c>
      <c r="CY177" s="388">
        <f t="shared" ca="1" si="333"/>
        <v>0</v>
      </c>
      <c r="CZ177" s="347"/>
      <c r="DA177" s="852"/>
      <c r="DB177" s="347"/>
      <c r="DC177" s="1012" t="s">
        <v>694</v>
      </c>
      <c r="DD177" s="841" t="s">
        <v>518</v>
      </c>
      <c r="DE177" s="386">
        <f>+IF($K177="ongoing",CE177,IF(RIGHT($K177,2)=RIGHT(DE$43,2),SUM($CD177:CE177),0)+IF(RIGHT(DE$43,2)&gt;RIGHT($K177,2),CE177,0))</f>
        <v>1.0010044984492367E-2</v>
      </c>
      <c r="DF177" s="387">
        <f>+IF($K177="ongoing",CF177,IF(RIGHT($K177,2)=RIGHT(DF$43,2),SUM($CD177:CF177),0)+IF(RIGHT(DF$43,2)&gt;RIGHT($K177,2),CF177,0))</f>
        <v>1.0300336289042648E-2</v>
      </c>
      <c r="DG177" s="388">
        <f>+IF($K177="ongoing",CG177,IF(RIGHT($K177,2)=RIGHT(DG$43,2),SUM($CD177:CG177),0)+IF(RIGHT(DG$43,2)&gt;RIGHT($K177,2),CG177,0))</f>
        <v>1.0599046041424883E-2</v>
      </c>
      <c r="DH177" s="386">
        <f>+IF($K177="ongoing",CH177,IF(RIGHT($K177,2)=RIGHT(DH$43,2),SUM($CD177:CH177),0)+IF(RIGHT(DH$43,2)&gt;RIGHT($K177,2),CH177,0))</f>
        <v>1.0906418376626204E-2</v>
      </c>
      <c r="DI177" s="387">
        <f>+IF($K177="ongoing",CI177,IF(RIGHT($K177,2)=RIGHT(DI$43,2),SUM($CD177:CI177),0)+IF(RIGHT(DI$43,2)&gt;RIGHT($K177,2),CI177,0))</f>
        <v>1.1222704509548362E-2</v>
      </c>
      <c r="DJ177" s="387">
        <f>+IF($K177="ongoing",CJ177,IF(RIGHT($K177,2)=RIGHT(DJ$43,2),SUM($CD177:CJ177),0)+IF(RIGHT(DJ$43,2)&gt;RIGHT($K177,2),CJ177,0))</f>
        <v>0</v>
      </c>
      <c r="DK177" s="387">
        <f>+IF($K177="ongoing",CK177,IF(RIGHT($K177,2)=RIGHT(DK$43,2),SUM($CD177:CK177),0)+IF(RIGHT(DK$43,2)&gt;RIGHT($K177,2),CK177,0))</f>
        <v>0</v>
      </c>
      <c r="DL177" s="388">
        <f>+IF($K177="ongoing",CN177,IF(RIGHT($K177,2)=RIGHT(DL$43,2),SUM($CD177:CN177),0)+IF(RIGHT(DL$43,2)&gt;RIGHT($K177,2),CN177,0))</f>
        <v>0</v>
      </c>
      <c r="DM177" s="841"/>
      <c r="DN177" s="386">
        <f t="shared" si="334"/>
        <v>0.5</v>
      </c>
      <c r="DO177" s="387">
        <f t="shared" si="335"/>
        <v>1</v>
      </c>
      <c r="DP177" s="388">
        <f t="shared" si="336"/>
        <v>1</v>
      </c>
      <c r="DQ177" s="386">
        <f t="shared" si="337"/>
        <v>1</v>
      </c>
      <c r="DR177" s="387">
        <f t="shared" si="338"/>
        <v>1</v>
      </c>
      <c r="DS177" s="387">
        <f t="shared" si="339"/>
        <v>1</v>
      </c>
      <c r="DT177" s="387">
        <f t="shared" si="340"/>
        <v>1</v>
      </c>
      <c r="DU177" s="388">
        <f t="shared" si="341"/>
        <v>1</v>
      </c>
      <c r="DW177" s="386">
        <f t="shared" si="342"/>
        <v>0</v>
      </c>
      <c r="DX177" s="387">
        <f t="shared" si="343"/>
        <v>0.5</v>
      </c>
      <c r="DY177" s="388">
        <f t="shared" si="344"/>
        <v>1</v>
      </c>
      <c r="DZ177" s="386">
        <f t="shared" si="345"/>
        <v>1</v>
      </c>
      <c r="EA177" s="387">
        <f t="shared" si="346"/>
        <v>1</v>
      </c>
      <c r="EB177" s="387">
        <f t="shared" si="347"/>
        <v>1</v>
      </c>
      <c r="EC177" s="387">
        <f t="shared" si="348"/>
        <v>1</v>
      </c>
      <c r="ED177" s="388">
        <f t="shared" si="349"/>
        <v>1</v>
      </c>
      <c r="EF177" s="834">
        <f>+IF(DN177=DM177,0,
IF(AND(EF$44&gt;1,DN177=$N177),1-SUM($EE177:EE177),
IF($N177&lt;=1,
IF($N177&gt;0,1/$N177,0),
IF(EF$44=1,0,VDB(1,0,$N177,INT(EF$44-1-1),MIN($N177,INT(EF$44-1-1)+1),$DC177,IF($DD177="No",1,0))/
IF(DM177&gt;=INT($N177),$N177-INT($N177),1)))*
IF(EF$44=1,0,
IF(INT(DN177)=INT(DM177),DN177-DM177,INT(DN177)-DM177))+
IF($N177&lt;=1,
IF($N177&gt;0,1/$N177,0),VDB(1,0,$N177,INT(EF$44-1),MIN($N177,INT(EF$44-1)+1),$DC177,IF($DD177="No",1,0))/
IF(DN177&gt;INT($N177),$N177-INT($N177),1))*
IF(EF$44=1,DN177,
IF(INT(DN177)=INT(DM177),0,DN177-INT(DN177)))))</f>
        <v>0</v>
      </c>
      <c r="EG177" s="835">
        <f>+IF(DO177=DN177,0,
IF(AND(EG$44&gt;1,DO177=$N177),1-SUM($EE177:EF177),
IF($N177&lt;=1,
IF($N177&gt;0,1/$N177,0),
IF(EG$44=1,0,VDB(1,0,$N177,INT(EG$44-1-1),MIN($N177,INT(EG$44-1-1)+1),$DC177,IF($DD177="No",1,0))/
IF(DN177&gt;=INT($N177),$N177-INT($N177),1)))*
IF(EG$44=1,0,
IF(INT(DO177)=INT(DN177),DO177-DN177,INT(DO177)-DN177))+
IF($N177&lt;=1,
IF($N177&gt;0,1/$N177,0),VDB(1,0,$N177,INT(EG$44-1),MIN($N177,INT(EG$44-1)+1),$DC177,IF($DD177="No",1,0))/
IF(DO177&gt;INT($N177),$N177-INT($N177),1))*
IF(EG$44=1,DO177,
IF(INT(DO177)=INT(DN177),0,DO177-INT(DO177)))))</f>
        <v>0</v>
      </c>
      <c r="EH177" s="836">
        <f>+IF(DP177=DO177,0,
IF(AND(EH$44&gt;1,DP177=$N177),1-SUM($EE177:EG177),
IF($N177&lt;=1,
IF($N177&gt;0,1/$N177,0),
IF(EH$44=1,0,VDB(1,0,$N177,INT(EH$44-1-1),MIN($N177,INT(EH$44-1-1)+1),$DC177,IF($DD177="No",1,0))/
IF(DO177&gt;=INT($N177),$N177-INT($N177),1)))*
IF(EH$44=1,0,
IF(INT(DP177)=INT(DO177),DP177-DO177,INT(DP177)-DO177))+
IF($N177&lt;=1,
IF($N177&gt;0,1/$N177,0),VDB(1,0,$N177,INT(EH$44-1),MIN($N177,INT(EH$44-1)+1),$DC177,IF($DD177="No",1,0))/
IF(DP177&gt;INT($N177),$N177-INT($N177),1))*
IF(EH$44=1,DP177,
IF(INT(DP177)=INT(DO177),0,DP177-INT(DP177)))))</f>
        <v>0</v>
      </c>
      <c r="EI177" s="834">
        <f>+IF(DQ177=DP177,0,
IF(AND(EI$44&gt;1,DQ177=$N177),1-SUM($EE177:EH177),
IF($N177&lt;=1,
IF($N177&gt;0,1/$N177,0),
IF(EI$44=1,0,VDB(1,0,$N177,INT(EI$44-1-1),MIN($N177,INT(EI$44-1-1)+1),$DC177,IF($DD177="No",1,0))/
IF(DP177&gt;=INT($N177),$N177-INT($N177),1)))*
IF(EI$44=1,0,
IF(INT(DQ177)=INT(DP177),DQ177-DP177,INT(DQ177)-DP177))+
IF($N177&lt;=1,
IF($N177&gt;0,1/$N177,0),VDB(1,0,$N177,INT(EI$44-1),MIN($N177,INT(EI$44-1)+1),$DC177,IF($DD177="No",1,0))/
IF(DQ177&gt;INT($N177),$N177-INT($N177),1))*
IF(EI$44=1,DQ177,
IF(INT(DQ177)=INT(DP177),0,DQ177-INT(DQ177)))))</f>
        <v>0</v>
      </c>
      <c r="EJ177" s="835">
        <f>+IF(DR177=DQ177,0,
IF(AND(EJ$44&gt;1,DR177=$N177),1-SUM($EE177:EI177),
IF($N177&lt;=1,
IF($N177&gt;0,1/$N177,0),
IF(EJ$44=1,0,VDB(1,0,$N177,INT(EJ$44-1-1),MIN($N177,INT(EJ$44-1-1)+1),$DC177,IF($DD177="No",1,0))/
IF(DQ177&gt;=INT($N177),$N177-INT($N177),1)))*
IF(EJ$44=1,0,
IF(INT(DR177)=INT(DQ177),DR177-DQ177,INT(DR177)-DQ177))+
IF($N177&lt;=1,
IF($N177&gt;0,1/$N177,0),VDB(1,0,$N177,INT(EJ$44-1),MIN($N177,INT(EJ$44-1)+1),$DC177,IF($DD177="No",1,0))/
IF(DR177&gt;INT($N177),$N177-INT($N177),1))*
IF(EJ$44=1,DR177,
IF(INT(DR177)=INT(DQ177),0,DR177-INT(DR177)))))</f>
        <v>0</v>
      </c>
      <c r="EK177" s="835">
        <f>+IF(DS177=DR177,0,
IF(AND(EK$44&gt;1,DS177=$N177),1-SUM($EE177:EJ177),
IF($N177&lt;=1,
IF($N177&gt;0,1/$N177,0),
IF(EK$44=1,0,VDB(1,0,$N177,INT(EK$44-1-1),MIN($N177,INT(EK$44-1-1)+1),$DC177,IF($DD177="No",1,0))/
IF(DR177&gt;=INT($N177),$N177-INT($N177),1)))*
IF(EK$44=1,0,
IF(INT(DS177)=INT(DR177),DS177-DR177,INT(DS177)-DR177))+
IF($N177&lt;=1,
IF($N177&gt;0,1/$N177,0),VDB(1,0,$N177,INT(EK$44-1),MIN($N177,INT(EK$44-1)+1),$DC177,IF($DD177="No",1,0))/
IF(DS177&gt;INT($N177),$N177-INT($N177),1))*
IF(EK$44=1,DS177,
IF(INT(DS177)=INT(DR177),0,DS177-INT(DS177)))))</f>
        <v>0</v>
      </c>
      <c r="EL177" s="835">
        <f>+IF(DT177=DS177,0,
IF(AND(EL$44&gt;1,DT177=$N177),1-SUM($EE177:EK177),
IF($N177&lt;=1,
IF($N177&gt;0,1/$N177,0),
IF(EL$44=1,0,VDB(1,0,$N177,INT(EL$44-1-1),MIN($N177,INT(EL$44-1-1)+1),$DC177,IF($DD177="No",1,0))/
IF(DS177&gt;=INT($N177),$N177-INT($N177),1)))*
IF(EL$44=1,0,
IF(INT(DT177)=INT(DS177),DT177-DS177,INT(DT177)-DS177))+
IF($N177&lt;=1,
IF($N177&gt;0,1/$N177,0),VDB(1,0,$N177,INT(EL$44-1),MIN($N177,INT(EL$44-1)+1),$DC177,IF($DD177="No",1,0))/
IF(DT177&gt;INT($N177),$N177-INT($N177),1))*
IF(EL$44=1,DT177,
IF(INT(DT177)=INT(DS177),0,DT177-INT(DT177)))))</f>
        <v>0</v>
      </c>
      <c r="EM177" s="836">
        <f>+IF(DU177=DT177,0,
IF(AND(EM$44&gt;1,DU177=$N177),1-SUM($EE177:EL177),
IF($N177&lt;=1,
IF($N177&gt;0,1/$N177,0),
IF(EM$44=1,0,VDB(1,0,$N177,INT(EM$44-1-1),MIN($N177,INT(EM$44-1-1)+1),$DC177,IF($DD177="No",1,0))/
IF(DT177&gt;=INT($N177),$N177-INT($N177),1)))*
IF(EM$44=1,0,
IF(INT(DU177)=INT(DT177),DU177-DT177,INT(DU177)-DT177))+
IF($N177&lt;=1,
IF($N177&gt;0,1/$N177,0),VDB(1,0,$N177,INT(EM$44-1),MIN($N177,INT(EM$44-1)+1),$DC177,IF($DD177="No",1,0))/
IF(DU177&gt;INT($N177),$N177-INT($N177),1))*
IF(EM$44=1,DU177,
IF(INT(DU177)=INT(DT177),0,DU177-INT(DU177)))))</f>
        <v>0</v>
      </c>
      <c r="EN177" s="833"/>
      <c r="EO177" s="834">
        <f>+IF(OR(DW177=DV177,EO$44=1),0,
IF(AND(EO$44&gt;1,DW177=$N177),1-SUM($EN177:EN177),
IF($N177&lt;=1,
IF($N177&gt;0,1/$N177,0),
IF(EO$44=2,0,VDB(1,0,$N177,INT(EO$44-2-1),MIN($N177,INT(EO$44-2-1)+1),$DC177,IF($DD177="No",1,0))/
IF(DV177&gt;=INT($N177),$N177-INT($N177),1)))*
IF(EO$44=2,0,
IF(INT(DW177)=INT(DV177),DW177-DV177,INT(DW177)-DV177))+
IF($N177&lt;=1,
IF($N177&gt;0,1/$N177,0),VDB(1,0,$N177,INT(EO$44-2),MIN($N177,INT(EO$44-2)+1),$DC177,IF($DD177="No",1,0))/
IF(DW177&gt;INT($N177),$N177-INT($N177),1))*
IF(EO$44=2,DW177,
IF(INT(DW177)=INT(DV177),0,DW177-INT(DW177)))))</f>
        <v>0</v>
      </c>
      <c r="EP177" s="835">
        <f>+IF(OR(DX177=DW177,EP$44=1),0,
IF(AND(EP$44&gt;1,DX177=$N177),1-SUM($EN177:EO177),
IF($N177&lt;=1,
IF($N177&gt;0,1/$N177,0),
IF(EP$44=2,0,VDB(1,0,$N177,INT(EP$44-2-1),MIN($N177,INT(EP$44-2-1)+1),$DC177,IF($DD177="No",1,0))/
IF(DW177&gt;=INT($N177),$N177-INT($N177),1)))*
IF(EP$44=2,0,
IF(INT(DX177)=INT(DW177),DX177-DW177,INT(DX177)-DW177))+
IF($N177&lt;=1,
IF($N177&gt;0,1/$N177,0),VDB(1,0,$N177,INT(EP$44-2),MIN($N177,INT(EP$44-2)+1),$DC177,IF($DD177="No",1,0))/
IF(DX177&gt;INT($N177),$N177-INT($N177),1))*
IF(EP$44=2,DX177,
IF(INT(DX177)=INT(DW177),0,DX177-INT(DX177)))))</f>
        <v>0</v>
      </c>
      <c r="EQ177" s="836">
        <f>+IF(OR(DY177=DX177,EQ$44=1),0,
IF(AND(EQ$44&gt;1,DY177=$N177),1-SUM($EN177:EP177),
IF($N177&lt;=1,
IF($N177&gt;0,1/$N177,0),
IF(EQ$44=2,0,VDB(1,0,$N177,INT(EQ$44-2-1),MIN($N177,INT(EQ$44-2-1)+1),$DC177,IF($DD177="No",1,0))/
IF(DX177&gt;=INT($N177),$N177-INT($N177),1)))*
IF(EQ$44=2,0,
IF(INT(DY177)=INT(DX177),DY177-DX177,INT(DY177)-DX177))+
IF($N177&lt;=1,
IF($N177&gt;0,1/$N177,0),VDB(1,0,$N177,INT(EQ$44-2),MIN($N177,INT(EQ$44-2)+1),$DC177,IF($DD177="No",1,0))/
IF(DY177&gt;INT($N177),$N177-INT($N177),1))*
IF(EQ$44=2,DY177,
IF(INT(DY177)=INT(DX177),0,DY177-INT(DY177)))))</f>
        <v>0</v>
      </c>
      <c r="ER177" s="834">
        <f>+IF(OR(DZ177=DY177,ER$44=1),0,
IF(AND(ER$44&gt;1,DZ177=$N177),1-SUM($EN177:EQ177),
IF($N177&lt;=1,
IF($N177&gt;0,1/$N177,0),
IF(ER$44=2,0,VDB(1,0,$N177,INT(ER$44-2-1),MIN($N177,INT(ER$44-2-1)+1),$DC177,IF($DD177="No",1,0))/
IF(DY177&gt;=INT($N177),$N177-INT($N177),1)))*
IF(ER$44=2,0,
IF(INT(DZ177)=INT(DY177),DZ177-DY177,INT(DZ177)-DY177))+
IF($N177&lt;=1,
IF($N177&gt;0,1/$N177,0),VDB(1,0,$N177,INT(ER$44-2),MIN($N177,INT(ER$44-2)+1),$DC177,IF($DD177="No",1,0))/
IF(DZ177&gt;INT($N177),$N177-INT($N177),1))*
IF(ER$44=2,DZ177,
IF(INT(DZ177)=INT(DY177),0,DZ177-INT(DZ177)))))</f>
        <v>0</v>
      </c>
      <c r="ES177" s="835">
        <f>+IF(OR(EA177=DZ177,ES$44=1),0,
IF(AND(ES$44&gt;1,EA177=$N177),1-SUM($EN177:ER177),
IF($N177&lt;=1,
IF($N177&gt;0,1/$N177,0),
IF(ES$44=2,0,VDB(1,0,$N177,INT(ES$44-2-1),MIN($N177,INT(ES$44-2-1)+1),$DC177,IF($DD177="No",1,0))/
IF(DZ177&gt;=INT($N177),$N177-INT($N177),1)))*
IF(ES$44=2,0,
IF(INT(EA177)=INT(DZ177),EA177-DZ177,INT(EA177)-DZ177))+
IF($N177&lt;=1,
IF($N177&gt;0,1/$N177,0),VDB(1,0,$N177,INT(ES$44-2),MIN($N177,INT(ES$44-2)+1),$DC177,IF($DD177="No",1,0))/
IF(EA177&gt;INT($N177),$N177-INT($N177),1))*
IF(ES$44=2,EA177,
IF(INT(EA177)=INT(DZ177),0,EA177-INT(EA177)))))</f>
        <v>0</v>
      </c>
      <c r="ET177" s="835">
        <f>+IF(OR(EB177=EA177,ET$44=1),0,
IF(AND(ET$44&gt;1,EB177=$N177),1-SUM($EN177:ES177),
IF($N177&lt;=1,
IF($N177&gt;0,1/$N177,0),
IF(ET$44=2,0,VDB(1,0,$N177,INT(ET$44-2-1),MIN($N177,INT(ET$44-2-1)+1),$DC177,IF($DD177="No",1,0))/
IF(EA177&gt;=INT($N177),$N177-INT($N177),1)))*
IF(ET$44=2,0,
IF(INT(EB177)=INT(EA177),EB177-EA177,INT(EB177)-EA177))+
IF($N177&lt;=1,
IF($N177&gt;0,1/$N177,0),VDB(1,0,$N177,INT(ET$44-2),MIN($N177,INT(ET$44-2)+1),$DC177,IF($DD177="No",1,0))/
IF(EB177&gt;INT($N177),$N177-INT($N177),1))*
IF(ET$44=2,EB177,
IF(INT(EB177)=INT(EA177),0,EB177-INT(EB177)))))</f>
        <v>0</v>
      </c>
      <c r="EU177" s="835">
        <f>+IF(OR(EC177=EB177,EU$44=1),0,
IF(AND(EU$44&gt;1,EC177=$N177),1-SUM($EN177:ET177),
IF($N177&lt;=1,
IF($N177&gt;0,1/$N177,0),
IF(EU$44=2,0,VDB(1,0,$N177,INT(EU$44-2-1),MIN($N177,INT(EU$44-2-1)+1),$DC177,IF($DD177="No",1,0))/
IF(EB177&gt;=INT($N177),$N177-INT($N177),1)))*
IF(EU$44=2,0,
IF(INT(EC177)=INT(EB177),EC177-EB177,INT(EC177)-EB177))+
IF($N177&lt;=1,
IF($N177&gt;0,1/$N177,0),VDB(1,0,$N177,INT(EU$44-2),MIN($N177,INT(EU$44-2)+1),$DC177,IF($DD177="No",1,0))/
IF(EC177&gt;INT($N177),$N177-INT($N177),1))*
IF(EU$44=2,EC177,
IF(INT(EC177)=INT(EB177),0,EC177-INT(EC177)))))</f>
        <v>0</v>
      </c>
      <c r="EV177" s="836">
        <f>+IF(OR(ED177=EC177,EV$44=1),0,
IF(AND(EV$44&gt;1,ED177=$N177),1-SUM($EN177:EU177),
IF($N177&lt;=1,
IF($N177&gt;0,1/$N177,0),
IF(EV$44=2,0,VDB(1,0,$N177,INT(EV$44-2-1),MIN($N177,INT(EV$44-2-1)+1),$DC177,IF($DD177="No",1,0))/
IF(EC177&gt;=INT($N177),$N177-INT($N177),1)))*
IF(EV$44=2,0,
IF(INT(ED177)=INT(EC177),ED177-EC177,INT(ED177)-EC177))+
IF($N177&lt;=1,
IF($N177&gt;0,1/$N177,0),VDB(1,0,$N177,INT(EV$44-2),MIN($N177,INT(EV$44-2)+1),$DC177,IF($DD177="No",1,0))/
IF(ED177&gt;INT($N177),$N177-INT($N177),1))*
IF(EV$44=2,ED177,
IF(INT(ED177)=INT(EC177),0,ED177-INT(ED177)))))</f>
        <v>0</v>
      </c>
      <c r="EW177" s="833"/>
      <c r="EX177" s="834">
        <f t="shared" ca="1" si="350"/>
        <v>0</v>
      </c>
      <c r="EY177" s="835">
        <f t="shared" ca="1" si="350"/>
        <v>0</v>
      </c>
      <c r="EZ177" s="836">
        <f t="shared" ca="1" si="350"/>
        <v>0</v>
      </c>
      <c r="FA177" s="834">
        <f t="shared" ca="1" si="350"/>
        <v>0</v>
      </c>
      <c r="FB177" s="835">
        <f t="shared" ca="1" si="350"/>
        <v>0</v>
      </c>
      <c r="FC177" s="835">
        <f t="shared" ca="1" si="350"/>
        <v>0</v>
      </c>
      <c r="FD177" s="835">
        <f t="shared" ca="1" si="350"/>
        <v>0</v>
      </c>
      <c r="FE177" s="836">
        <f t="shared" ca="1" si="350"/>
        <v>0</v>
      </c>
      <c r="FG177" s="386">
        <f t="shared" ca="1" si="351"/>
        <v>0</v>
      </c>
      <c r="FH177" s="387">
        <f t="shared" ca="1" si="352"/>
        <v>0</v>
      </c>
      <c r="FI177" s="388">
        <f t="shared" ca="1" si="353"/>
        <v>0</v>
      </c>
      <c r="FJ177" s="386">
        <f t="shared" ca="1" si="354"/>
        <v>0</v>
      </c>
      <c r="FK177" s="387">
        <f t="shared" ca="1" si="355"/>
        <v>0</v>
      </c>
      <c r="FL177" s="387">
        <f t="shared" ca="1" si="356"/>
        <v>0</v>
      </c>
      <c r="FM177" s="387">
        <f t="shared" ca="1" si="357"/>
        <v>0</v>
      </c>
      <c r="FN177" s="388">
        <f t="shared" ca="1" si="358"/>
        <v>0</v>
      </c>
      <c r="FR177" s="116"/>
    </row>
    <row r="178" spans="2:174">
      <c r="B178" s="1410">
        <f t="shared" si="302"/>
        <v>132</v>
      </c>
      <c r="C178" s="400" t="s">
        <v>692</v>
      </c>
      <c r="D178" s="410"/>
      <c r="E178" s="402" t="s">
        <v>402</v>
      </c>
      <c r="F178" s="402" t="s">
        <v>514</v>
      </c>
      <c r="G178" s="400" t="s">
        <v>437</v>
      </c>
      <c r="H178" s="2088" t="s">
        <v>483</v>
      </c>
      <c r="I178" s="2089"/>
      <c r="J178" s="411" t="s">
        <v>516</v>
      </c>
      <c r="K178" s="403" t="s">
        <v>544</v>
      </c>
      <c r="L178" s="403">
        <v>10</v>
      </c>
      <c r="M178" s="403" t="s">
        <v>142</v>
      </c>
      <c r="N178" s="403"/>
      <c r="O178" s="347"/>
      <c r="P178" s="347"/>
      <c r="Q178" s="1021">
        <v>0.79769449101771583</v>
      </c>
      <c r="R178" s="1022">
        <v>0.79769449101771583</v>
      </c>
      <c r="S178" s="1022">
        <v>0.79769449101771583</v>
      </c>
      <c r="T178" s="1022">
        <v>0.79769449101771583</v>
      </c>
      <c r="U178" s="1023">
        <v>0.79769449101771572</v>
      </c>
      <c r="V178" s="1021">
        <v>0</v>
      </c>
      <c r="W178" s="1022">
        <v>0</v>
      </c>
      <c r="X178" s="1022">
        <v>0</v>
      </c>
      <c r="Y178" s="1022">
        <v>0</v>
      </c>
      <c r="Z178" s="1023">
        <v>0</v>
      </c>
      <c r="AA178" s="1024"/>
      <c r="AB178" s="1021">
        <v>0</v>
      </c>
      <c r="AC178" s="1022">
        <v>0</v>
      </c>
      <c r="AD178" s="1022">
        <v>0</v>
      </c>
      <c r="AE178" s="1022">
        <v>0</v>
      </c>
      <c r="AF178" s="1023">
        <v>0</v>
      </c>
      <c r="AG178" s="1021">
        <v>0</v>
      </c>
      <c r="AH178" s="1022">
        <v>0</v>
      </c>
      <c r="AI178" s="1022">
        <v>0</v>
      </c>
      <c r="AJ178" s="1022">
        <v>0</v>
      </c>
      <c r="AK178" s="1023">
        <v>0</v>
      </c>
      <c r="AL178" s="1024"/>
      <c r="AM178" s="1021">
        <v>0</v>
      </c>
      <c r="AN178" s="1022">
        <v>0</v>
      </c>
      <c r="AO178" s="1022">
        <v>0</v>
      </c>
      <c r="AP178" s="1022">
        <v>0</v>
      </c>
      <c r="AQ178" s="1023">
        <v>0</v>
      </c>
      <c r="AR178" s="1021">
        <v>0</v>
      </c>
      <c r="AS178" s="1022">
        <v>0</v>
      </c>
      <c r="AT178" s="1022">
        <v>0</v>
      </c>
      <c r="AU178" s="1022">
        <v>0</v>
      </c>
      <c r="AV178" s="1023">
        <v>0</v>
      </c>
      <c r="AW178" s="1025"/>
      <c r="AX178" s="1282">
        <f t="shared" si="304"/>
        <v>0.79769449101771583</v>
      </c>
      <c r="AY178" s="387">
        <f t="shared" si="305"/>
        <v>0.79769449101771583</v>
      </c>
      <c r="AZ178" s="387">
        <f t="shared" si="306"/>
        <v>0.79769449101771583</v>
      </c>
      <c r="BA178" s="387">
        <f t="shared" si="307"/>
        <v>0.79769449101771583</v>
      </c>
      <c r="BB178" s="1283">
        <f t="shared" si="308"/>
        <v>0.79769449101771572</v>
      </c>
      <c r="BC178" s="386">
        <f t="shared" si="309"/>
        <v>0</v>
      </c>
      <c r="BD178" s="387">
        <f t="shared" si="310"/>
        <v>0</v>
      </c>
      <c r="BE178" s="1277">
        <f t="shared" si="311"/>
        <v>0</v>
      </c>
      <c r="BF178" s="1277">
        <f t="shared" si="312"/>
        <v>0</v>
      </c>
      <c r="BG178" s="388">
        <f t="shared" si="313"/>
        <v>0</v>
      </c>
      <c r="BH178" s="1025"/>
      <c r="BI178" s="1282">
        <f t="shared" ca="1" si="314"/>
        <v>3.9884724550885792E-2</v>
      </c>
      <c r="BJ178" s="387">
        <f t="shared" ca="1" si="315"/>
        <v>0.11965417365265738</v>
      </c>
      <c r="BK178" s="387">
        <f t="shared" ca="1" si="316"/>
        <v>0.19942362275442896</v>
      </c>
      <c r="BL178" s="387">
        <f t="shared" ca="1" si="317"/>
        <v>0.27919307185620057</v>
      </c>
      <c r="BM178" s="1283">
        <f t="shared" ca="1" si="318"/>
        <v>0.3589625209579721</v>
      </c>
      <c r="BN178" s="386">
        <f t="shared" ca="1" si="319"/>
        <v>0.39884724550885792</v>
      </c>
      <c r="BO178" s="387">
        <f t="shared" ca="1" si="320"/>
        <v>0.39884724550885792</v>
      </c>
      <c r="BP178" s="1277">
        <f t="shared" ca="1" si="321"/>
        <v>0.39884724550885792</v>
      </c>
      <c r="BQ178" s="1277">
        <f t="shared" ca="1" si="322"/>
        <v>0.39884724550885792</v>
      </c>
      <c r="BR178" s="388">
        <f t="shared" ca="1" si="323"/>
        <v>0.39884724550885792</v>
      </c>
      <c r="BS178" s="1025"/>
      <c r="BT178" s="1282">
        <f>+IF($K178="Ongoing",AX178,IF(RIGHT($K178,2)=RIGHT(BT$43,2),SUM($AX178:AX178),0)+IF(RIGHT(BT$43,2)&gt;RIGHT($K178,2),AX178,0))</f>
        <v>0.79769449101771583</v>
      </c>
      <c r="BU178" s="387">
        <f>+IF($K178="Ongoing",AY178,IF(RIGHT($K178,2)=RIGHT(BU$43,2),SUM($AX178:AY178),0)+IF(RIGHT(BU$43,2)&gt;RIGHT($K178,2),AY178,0))</f>
        <v>0.79769449101771583</v>
      </c>
      <c r="BV178" s="387">
        <f>+IF($K178="Ongoing",AZ178,IF(RIGHT($K178,2)=RIGHT(BV$43,2),SUM($AX178:AZ178),0)+IF(RIGHT(BV$43,2)&gt;RIGHT($K178,2),AZ178,0))</f>
        <v>0.79769449101771583</v>
      </c>
      <c r="BW178" s="387">
        <f>+IF($K178="Ongoing",BA178,IF(RIGHT($K178,2)=RIGHT(BW$43,2),SUM($AX178:BA178),0)+IF(RIGHT(BW$43,2)&gt;RIGHT($K178,2),BA178,0))</f>
        <v>0.79769449101771583</v>
      </c>
      <c r="BX178" s="1283">
        <f>+IF($K178="Ongoing",BB178,IF(RIGHT($K178,2)=RIGHT(BX$43,2),SUM($AX178:BB178),0)+IF(RIGHT(BX$43,2)&gt;RIGHT($K178,2),BB178,0))</f>
        <v>0.79769449101771572</v>
      </c>
      <c r="BY178" s="386">
        <f>+IF($K178="Ongoing",BC178,IF(RIGHT($K178,2)=RIGHT(BY$43,2),SUM($AX178:BC178),0)+IF(RIGHT(BY$43,2)&gt;RIGHT($K178,2),BC178,0))</f>
        <v>0</v>
      </c>
      <c r="BZ178" s="387">
        <f>+IF($K178="Ongoing",BD178,IF(RIGHT($K178,2)=RIGHT(BZ$43,2),SUM($AX178:BD178),0)+IF(RIGHT(BZ$43,2)&gt;RIGHT($K178,2),BD178,0))</f>
        <v>0</v>
      </c>
      <c r="CA178" s="1277">
        <f>+IF($K178="Ongoing",BE178,IF(RIGHT($K178,2)=RIGHT(CA$43,2),SUM($AX178:BE178),0)+IF(RIGHT(CA$43,2)&gt;RIGHT($K178,2),BE178,0))</f>
        <v>0</v>
      </c>
      <c r="CB178" s="1277">
        <f>+IF($K178="Ongoing",BF178,IF(RIGHT($K178,2)=RIGHT(CB$43,2),SUM($AX178:BF178),0)+IF(RIGHT(CB$43,2)&gt;RIGHT($K178,2),BF178,0))</f>
        <v>0</v>
      </c>
      <c r="CC178" s="388">
        <f>+IF($K178="Ongoing",BG178,IF(RIGHT($K178,2)=RIGHT(CC$43,2),SUM($AX178:BG178),0)+IF(RIGHT(CC$43,2)&gt;RIGHT($K178,2),BG178,0))</f>
        <v>0</v>
      </c>
      <c r="CD178" s="1025"/>
      <c r="CE178" s="1282">
        <f>+Q178*KeyAssumptionsPriceControl_FO!AF$15</f>
        <v>0.82082763125722957</v>
      </c>
      <c r="CF178" s="387">
        <f>+R178*KeyAssumptionsPriceControl_FO!AG$15</f>
        <v>0.84463163256368923</v>
      </c>
      <c r="CG178" s="387">
        <f>+S178*KeyAssumptionsPriceControl_FO!AH$15</f>
        <v>0.86912594990803604</v>
      </c>
      <c r="CH178" s="387">
        <f>+T178*KeyAssumptionsPriceControl_FO!AI$15</f>
        <v>0.89433060245536911</v>
      </c>
      <c r="CI178" s="1283">
        <f>+U178*KeyAssumptionsPriceControl_FO!AJ$15</f>
        <v>0.92026618992657461</v>
      </c>
      <c r="CJ178" s="386">
        <f>+V178*KeyAssumptionsPriceControl_FO!AK$15</f>
        <v>0</v>
      </c>
      <c r="CK178" s="387">
        <f>+W178*KeyAssumptionsPriceControl_FO!AL$15</f>
        <v>0</v>
      </c>
      <c r="CL178" s="1277">
        <f>+X178*KeyAssumptionsPriceControl_FO!AM$15</f>
        <v>0</v>
      </c>
      <c r="CM178" s="1277">
        <f>+Y178*KeyAssumptionsPriceControl_FO!AN$15</f>
        <v>0</v>
      </c>
      <c r="CN178" s="388">
        <f>+Z178*KeyAssumptionsPriceControl_FO!AO$15</f>
        <v>0</v>
      </c>
      <c r="CO178" s="1025"/>
      <c r="CP178" s="1282">
        <f t="shared" ca="1" si="324"/>
        <v>0</v>
      </c>
      <c r="CQ178" s="387">
        <f t="shared" ca="1" si="325"/>
        <v>0</v>
      </c>
      <c r="CR178" s="387">
        <f t="shared" ca="1" si="326"/>
        <v>0</v>
      </c>
      <c r="CS178" s="387">
        <f t="shared" ca="1" si="327"/>
        <v>0</v>
      </c>
      <c r="CT178" s="1283">
        <f t="shared" ca="1" si="328"/>
        <v>0</v>
      </c>
      <c r="CU178" s="386">
        <f t="shared" ca="1" si="329"/>
        <v>0</v>
      </c>
      <c r="CV178" s="387">
        <f t="shared" ca="1" si="330"/>
        <v>0</v>
      </c>
      <c r="CW178" s="1277">
        <f t="shared" ca="1" si="331"/>
        <v>0</v>
      </c>
      <c r="CX178" s="1277">
        <f t="shared" ca="1" si="332"/>
        <v>0</v>
      </c>
      <c r="CY178" s="388">
        <f t="shared" ca="1" si="333"/>
        <v>0</v>
      </c>
      <c r="CZ178" s="347"/>
      <c r="DA178" s="852"/>
      <c r="DB178" s="347"/>
      <c r="DC178" s="1012" t="s">
        <v>695</v>
      </c>
      <c r="DD178" s="841" t="s">
        <v>518</v>
      </c>
      <c r="DE178" s="386">
        <f>+IF($K178="ongoing",CE178,IF(RIGHT($K178,2)=RIGHT(DE$43,2),SUM($CD178:CE178),0)+IF(RIGHT(DE$43,2)&gt;RIGHT($K178,2),CE178,0))</f>
        <v>0.82082763125722957</v>
      </c>
      <c r="DF178" s="387">
        <f>+IF($K178="ongoing",CF178,IF(RIGHT($K178,2)=RIGHT(DF$43,2),SUM($CD178:CF178),0)+IF(RIGHT(DF$43,2)&gt;RIGHT($K178,2),CF178,0))</f>
        <v>0.84463163256368923</v>
      </c>
      <c r="DG178" s="388">
        <f>+IF($K178="ongoing",CG178,IF(RIGHT($K178,2)=RIGHT(DG$43,2),SUM($CD178:CG178),0)+IF(RIGHT(DG$43,2)&gt;RIGHT($K178,2),CG178,0))</f>
        <v>0.86912594990803604</v>
      </c>
      <c r="DH178" s="386">
        <f>+IF($K178="ongoing",CH178,IF(RIGHT($K178,2)=RIGHT(DH$43,2),SUM($CD178:CH178),0)+IF(RIGHT(DH$43,2)&gt;RIGHT($K178,2),CH178,0))</f>
        <v>0.89433060245536911</v>
      </c>
      <c r="DI178" s="387">
        <f>+IF($K178="ongoing",CI178,IF(RIGHT($K178,2)=RIGHT(DI$43,2),SUM($CD178:CI178),0)+IF(RIGHT(DI$43,2)&gt;RIGHT($K178,2),CI178,0))</f>
        <v>0.92026618992657461</v>
      </c>
      <c r="DJ178" s="387">
        <f>+IF($K178="ongoing",CJ178,IF(RIGHT($K178,2)=RIGHT(DJ$43,2),SUM($CD178:CJ178),0)+IF(RIGHT(DJ$43,2)&gt;RIGHT($K178,2),CJ178,0))</f>
        <v>0</v>
      </c>
      <c r="DK178" s="387">
        <f>+IF($K178="ongoing",CK178,IF(RIGHT($K178,2)=RIGHT(DK$43,2),SUM($CD178:CK178),0)+IF(RIGHT(DK$43,2)&gt;RIGHT($K178,2),CK178,0))</f>
        <v>0</v>
      </c>
      <c r="DL178" s="388">
        <f>+IF($K178="ongoing",CN178,IF(RIGHT($K178,2)=RIGHT(DL$43,2),SUM($CD178:CN178),0)+IF(RIGHT(DL$43,2)&gt;RIGHT($K178,2),CN178,0))</f>
        <v>0</v>
      </c>
      <c r="DM178" s="841"/>
      <c r="DN178" s="386">
        <f t="shared" si="334"/>
        <v>0.5</v>
      </c>
      <c r="DO178" s="387">
        <f t="shared" si="335"/>
        <v>1</v>
      </c>
      <c r="DP178" s="388">
        <f t="shared" si="336"/>
        <v>1</v>
      </c>
      <c r="DQ178" s="386">
        <f t="shared" si="337"/>
        <v>1</v>
      </c>
      <c r="DR178" s="387">
        <f t="shared" si="338"/>
        <v>1</v>
      </c>
      <c r="DS178" s="387">
        <f t="shared" si="339"/>
        <v>1</v>
      </c>
      <c r="DT178" s="387">
        <f t="shared" si="340"/>
        <v>1</v>
      </c>
      <c r="DU178" s="388">
        <f t="shared" si="341"/>
        <v>1</v>
      </c>
      <c r="DW178" s="386">
        <f t="shared" si="342"/>
        <v>0</v>
      </c>
      <c r="DX178" s="387">
        <f t="shared" si="343"/>
        <v>0.5</v>
      </c>
      <c r="DY178" s="388">
        <f t="shared" si="344"/>
        <v>1</v>
      </c>
      <c r="DZ178" s="386">
        <f t="shared" si="345"/>
        <v>1</v>
      </c>
      <c r="EA178" s="387">
        <f t="shared" si="346"/>
        <v>1</v>
      </c>
      <c r="EB178" s="387">
        <f t="shared" si="347"/>
        <v>1</v>
      </c>
      <c r="EC178" s="387">
        <f t="shared" si="348"/>
        <v>1</v>
      </c>
      <c r="ED178" s="388">
        <f t="shared" si="349"/>
        <v>1</v>
      </c>
      <c r="EF178" s="834">
        <f>+IF(DN178=DM178,0,
IF(AND(EF$44&gt;1,DN178=$N178),1-SUM($EE178:EE178),
IF($N178&lt;=1,
IF($N178&gt;0,1/$N178,0),
IF(EF$44=1,0,VDB(1,0,$N178,INT(EF$44-1-1),MIN($N178,INT(EF$44-1-1)+1),$DC178,IF($DD178="No",1,0))/
IF(DM178&gt;=INT($N178),$N178-INT($N178),1)))*
IF(EF$44=1,0,
IF(INT(DN178)=INT(DM178),DN178-DM178,INT(DN178)-DM178))+
IF($N178&lt;=1,
IF($N178&gt;0,1/$N178,0),VDB(1,0,$N178,INT(EF$44-1),MIN($N178,INT(EF$44-1)+1),$DC178,IF($DD178="No",1,0))/
IF(DN178&gt;INT($N178),$N178-INT($N178),1))*
IF(EF$44=1,DN178,
IF(INT(DN178)=INT(DM178),0,DN178-INT(DN178)))))</f>
        <v>0</v>
      </c>
      <c r="EG178" s="835">
        <f>+IF(DO178=DN178,0,
IF(AND(EG$44&gt;1,DO178=$N178),1-SUM($EE178:EF178),
IF($N178&lt;=1,
IF($N178&gt;0,1/$N178,0),
IF(EG$44=1,0,VDB(1,0,$N178,INT(EG$44-1-1),MIN($N178,INT(EG$44-1-1)+1),$DC178,IF($DD178="No",1,0))/
IF(DN178&gt;=INT($N178),$N178-INT($N178),1)))*
IF(EG$44=1,0,
IF(INT(DO178)=INT(DN178),DO178-DN178,INT(DO178)-DN178))+
IF($N178&lt;=1,
IF($N178&gt;0,1/$N178,0),VDB(1,0,$N178,INT(EG$44-1),MIN($N178,INT(EG$44-1)+1),$DC178,IF($DD178="No",1,0))/
IF(DO178&gt;INT($N178),$N178-INT($N178),1))*
IF(EG$44=1,DO178,
IF(INT(DO178)=INT(DN178),0,DO178-INT(DO178)))))</f>
        <v>0</v>
      </c>
      <c r="EH178" s="836">
        <f>+IF(DP178=DO178,0,
IF(AND(EH$44&gt;1,DP178=$N178),1-SUM($EE178:EG178),
IF($N178&lt;=1,
IF($N178&gt;0,1/$N178,0),
IF(EH$44=1,0,VDB(1,0,$N178,INT(EH$44-1-1),MIN($N178,INT(EH$44-1-1)+1),$DC178,IF($DD178="No",1,0))/
IF(DO178&gt;=INT($N178),$N178-INT($N178),1)))*
IF(EH$44=1,0,
IF(INT(DP178)=INT(DO178),DP178-DO178,INT(DP178)-DO178))+
IF($N178&lt;=1,
IF($N178&gt;0,1/$N178,0),VDB(1,0,$N178,INT(EH$44-1),MIN($N178,INT(EH$44-1)+1),$DC178,IF($DD178="No",1,0))/
IF(DP178&gt;INT($N178),$N178-INT($N178),1))*
IF(EH$44=1,DP178,
IF(INT(DP178)=INT(DO178),0,DP178-INT(DP178)))))</f>
        <v>0</v>
      </c>
      <c r="EI178" s="834">
        <f>+IF(DQ178=DP178,0,
IF(AND(EI$44&gt;1,DQ178=$N178),1-SUM($EE178:EH178),
IF($N178&lt;=1,
IF($N178&gt;0,1/$N178,0),
IF(EI$44=1,0,VDB(1,0,$N178,INT(EI$44-1-1),MIN($N178,INT(EI$44-1-1)+1),$DC178,IF($DD178="No",1,0))/
IF(DP178&gt;=INT($N178),$N178-INT($N178),1)))*
IF(EI$44=1,0,
IF(INT(DQ178)=INT(DP178),DQ178-DP178,INT(DQ178)-DP178))+
IF($N178&lt;=1,
IF($N178&gt;0,1/$N178,0),VDB(1,0,$N178,INT(EI$44-1),MIN($N178,INT(EI$44-1)+1),$DC178,IF($DD178="No",1,0))/
IF(DQ178&gt;INT($N178),$N178-INT($N178),1))*
IF(EI$44=1,DQ178,
IF(INT(DQ178)=INT(DP178),0,DQ178-INT(DQ178)))))</f>
        <v>0</v>
      </c>
      <c r="EJ178" s="835">
        <f>+IF(DR178=DQ178,0,
IF(AND(EJ$44&gt;1,DR178=$N178),1-SUM($EE178:EI178),
IF($N178&lt;=1,
IF($N178&gt;0,1/$N178,0),
IF(EJ$44=1,0,VDB(1,0,$N178,INT(EJ$44-1-1),MIN($N178,INT(EJ$44-1-1)+1),$DC178,IF($DD178="No",1,0))/
IF(DQ178&gt;=INT($N178),$N178-INT($N178),1)))*
IF(EJ$44=1,0,
IF(INT(DR178)=INT(DQ178),DR178-DQ178,INT(DR178)-DQ178))+
IF($N178&lt;=1,
IF($N178&gt;0,1/$N178,0),VDB(1,0,$N178,INT(EJ$44-1),MIN($N178,INT(EJ$44-1)+1),$DC178,IF($DD178="No",1,0))/
IF(DR178&gt;INT($N178),$N178-INT($N178),1))*
IF(EJ$44=1,DR178,
IF(INT(DR178)=INT(DQ178),0,DR178-INT(DR178)))))</f>
        <v>0</v>
      </c>
      <c r="EK178" s="835">
        <f>+IF(DS178=DR178,0,
IF(AND(EK$44&gt;1,DS178=$N178),1-SUM($EE178:EJ178),
IF($N178&lt;=1,
IF($N178&gt;0,1/$N178,0),
IF(EK$44=1,0,VDB(1,0,$N178,INT(EK$44-1-1),MIN($N178,INT(EK$44-1-1)+1),$DC178,IF($DD178="No",1,0))/
IF(DR178&gt;=INT($N178),$N178-INT($N178),1)))*
IF(EK$44=1,0,
IF(INT(DS178)=INT(DR178),DS178-DR178,INT(DS178)-DR178))+
IF($N178&lt;=1,
IF($N178&gt;0,1/$N178,0),VDB(1,0,$N178,INT(EK$44-1),MIN($N178,INT(EK$44-1)+1),$DC178,IF($DD178="No",1,0))/
IF(DS178&gt;INT($N178),$N178-INT($N178),1))*
IF(EK$44=1,DS178,
IF(INT(DS178)=INT(DR178),0,DS178-INT(DS178)))))</f>
        <v>0</v>
      </c>
      <c r="EL178" s="835">
        <f>+IF(DT178=DS178,0,
IF(AND(EL$44&gt;1,DT178=$N178),1-SUM($EE178:EK178),
IF($N178&lt;=1,
IF($N178&gt;0,1/$N178,0),
IF(EL$44=1,0,VDB(1,0,$N178,INT(EL$44-1-1),MIN($N178,INT(EL$44-1-1)+1),$DC178,IF($DD178="No",1,0))/
IF(DS178&gt;=INT($N178),$N178-INT($N178),1)))*
IF(EL$44=1,0,
IF(INT(DT178)=INT(DS178),DT178-DS178,INT(DT178)-DS178))+
IF($N178&lt;=1,
IF($N178&gt;0,1/$N178,0),VDB(1,0,$N178,INT(EL$44-1),MIN($N178,INT(EL$44-1)+1),$DC178,IF($DD178="No",1,0))/
IF(DT178&gt;INT($N178),$N178-INT($N178),1))*
IF(EL$44=1,DT178,
IF(INT(DT178)=INT(DS178),0,DT178-INT(DT178)))))</f>
        <v>0</v>
      </c>
      <c r="EM178" s="836">
        <f>+IF(DU178=DT178,0,
IF(AND(EM$44&gt;1,DU178=$N178),1-SUM($EE178:EL178),
IF($N178&lt;=1,
IF($N178&gt;0,1/$N178,0),
IF(EM$44=1,0,VDB(1,0,$N178,INT(EM$44-1-1),MIN($N178,INT(EM$44-1-1)+1),$DC178,IF($DD178="No",1,0))/
IF(DT178&gt;=INT($N178),$N178-INT($N178),1)))*
IF(EM$44=1,0,
IF(INT(DU178)=INT(DT178),DU178-DT178,INT(DU178)-DT178))+
IF($N178&lt;=1,
IF($N178&gt;0,1/$N178,0),VDB(1,0,$N178,INT(EM$44-1),MIN($N178,INT(EM$44-1)+1),$DC178,IF($DD178="No",1,0))/
IF(DU178&gt;INT($N178),$N178-INT($N178),1))*
IF(EM$44=1,DU178,
IF(INT(DU178)=INT(DT178),0,DU178-INT(DU178)))))</f>
        <v>0</v>
      </c>
      <c r="EN178" s="833"/>
      <c r="EO178" s="834">
        <f>+IF(OR(DW178=DV178,EO$44=1),0,
IF(AND(EO$44&gt;1,DW178=$N178),1-SUM($EN178:EN178),
IF($N178&lt;=1,
IF($N178&gt;0,1/$N178,0),
IF(EO$44=2,0,VDB(1,0,$N178,INT(EO$44-2-1),MIN($N178,INT(EO$44-2-1)+1),$DC178,IF($DD178="No",1,0))/
IF(DV178&gt;=INT($N178),$N178-INT($N178),1)))*
IF(EO$44=2,0,
IF(INT(DW178)=INT(DV178),DW178-DV178,INT(DW178)-DV178))+
IF($N178&lt;=1,
IF($N178&gt;0,1/$N178,0),VDB(1,0,$N178,INT(EO$44-2),MIN($N178,INT(EO$44-2)+1),$DC178,IF($DD178="No",1,0))/
IF(DW178&gt;INT($N178),$N178-INT($N178),1))*
IF(EO$44=2,DW178,
IF(INT(DW178)=INT(DV178),0,DW178-INT(DW178)))))</f>
        <v>0</v>
      </c>
      <c r="EP178" s="835">
        <f>+IF(OR(DX178=DW178,EP$44=1),0,
IF(AND(EP$44&gt;1,DX178=$N178),1-SUM($EN178:EO178),
IF($N178&lt;=1,
IF($N178&gt;0,1/$N178,0),
IF(EP$44=2,0,VDB(1,0,$N178,INT(EP$44-2-1),MIN($N178,INT(EP$44-2-1)+1),$DC178,IF($DD178="No",1,0))/
IF(DW178&gt;=INT($N178),$N178-INT($N178),1)))*
IF(EP$44=2,0,
IF(INT(DX178)=INT(DW178),DX178-DW178,INT(DX178)-DW178))+
IF($N178&lt;=1,
IF($N178&gt;0,1/$N178,0),VDB(1,0,$N178,INT(EP$44-2),MIN($N178,INT(EP$44-2)+1),$DC178,IF($DD178="No",1,0))/
IF(DX178&gt;INT($N178),$N178-INT($N178),1))*
IF(EP$44=2,DX178,
IF(INT(DX178)=INT(DW178),0,DX178-INT(DX178)))))</f>
        <v>0</v>
      </c>
      <c r="EQ178" s="836">
        <f>+IF(OR(DY178=DX178,EQ$44=1),0,
IF(AND(EQ$44&gt;1,DY178=$N178),1-SUM($EN178:EP178),
IF($N178&lt;=1,
IF($N178&gt;0,1/$N178,0),
IF(EQ$44=2,0,VDB(1,0,$N178,INT(EQ$44-2-1),MIN($N178,INT(EQ$44-2-1)+1),$DC178,IF($DD178="No",1,0))/
IF(DX178&gt;=INT($N178),$N178-INT($N178),1)))*
IF(EQ$44=2,0,
IF(INT(DY178)=INT(DX178),DY178-DX178,INT(DY178)-DX178))+
IF($N178&lt;=1,
IF($N178&gt;0,1/$N178,0),VDB(1,0,$N178,INT(EQ$44-2),MIN($N178,INT(EQ$44-2)+1),$DC178,IF($DD178="No",1,0))/
IF(DY178&gt;INT($N178),$N178-INT($N178),1))*
IF(EQ$44=2,DY178,
IF(INT(DY178)=INT(DX178),0,DY178-INT(DY178)))))</f>
        <v>0</v>
      </c>
      <c r="ER178" s="834">
        <f>+IF(OR(DZ178=DY178,ER$44=1),0,
IF(AND(ER$44&gt;1,DZ178=$N178),1-SUM($EN178:EQ178),
IF($N178&lt;=1,
IF($N178&gt;0,1/$N178,0),
IF(ER$44=2,0,VDB(1,0,$N178,INT(ER$44-2-1),MIN($N178,INT(ER$44-2-1)+1),$DC178,IF($DD178="No",1,0))/
IF(DY178&gt;=INT($N178),$N178-INT($N178),1)))*
IF(ER$44=2,0,
IF(INT(DZ178)=INT(DY178),DZ178-DY178,INT(DZ178)-DY178))+
IF($N178&lt;=1,
IF($N178&gt;0,1/$N178,0),VDB(1,0,$N178,INT(ER$44-2),MIN($N178,INT(ER$44-2)+1),$DC178,IF($DD178="No",1,0))/
IF(DZ178&gt;INT($N178),$N178-INT($N178),1))*
IF(ER$44=2,DZ178,
IF(INT(DZ178)=INT(DY178),0,DZ178-INT(DZ178)))))</f>
        <v>0</v>
      </c>
      <c r="ES178" s="835">
        <f>+IF(OR(EA178=DZ178,ES$44=1),0,
IF(AND(ES$44&gt;1,EA178=$N178),1-SUM($EN178:ER178),
IF($N178&lt;=1,
IF($N178&gt;0,1/$N178,0),
IF(ES$44=2,0,VDB(1,0,$N178,INT(ES$44-2-1),MIN($N178,INT(ES$44-2-1)+1),$DC178,IF($DD178="No",1,0))/
IF(DZ178&gt;=INT($N178),$N178-INT($N178),1)))*
IF(ES$44=2,0,
IF(INT(EA178)=INT(DZ178),EA178-DZ178,INT(EA178)-DZ178))+
IF($N178&lt;=1,
IF($N178&gt;0,1/$N178,0),VDB(1,0,$N178,INT(ES$44-2),MIN($N178,INT(ES$44-2)+1),$DC178,IF($DD178="No",1,0))/
IF(EA178&gt;INT($N178),$N178-INT($N178),1))*
IF(ES$44=2,EA178,
IF(INT(EA178)=INT(DZ178),0,EA178-INT(EA178)))))</f>
        <v>0</v>
      </c>
      <c r="ET178" s="835">
        <f>+IF(OR(EB178=EA178,ET$44=1),0,
IF(AND(ET$44&gt;1,EB178=$N178),1-SUM($EN178:ES178),
IF($N178&lt;=1,
IF($N178&gt;0,1/$N178,0),
IF(ET$44=2,0,VDB(1,0,$N178,INT(ET$44-2-1),MIN($N178,INT(ET$44-2-1)+1),$DC178,IF($DD178="No",1,0))/
IF(EA178&gt;=INT($N178),$N178-INT($N178),1)))*
IF(ET$44=2,0,
IF(INT(EB178)=INT(EA178),EB178-EA178,INT(EB178)-EA178))+
IF($N178&lt;=1,
IF($N178&gt;0,1/$N178,0),VDB(1,0,$N178,INT(ET$44-2),MIN($N178,INT(ET$44-2)+1),$DC178,IF($DD178="No",1,0))/
IF(EB178&gt;INT($N178),$N178-INT($N178),1))*
IF(ET$44=2,EB178,
IF(INT(EB178)=INT(EA178),0,EB178-INT(EB178)))))</f>
        <v>0</v>
      </c>
      <c r="EU178" s="835">
        <f>+IF(OR(EC178=EB178,EU$44=1),0,
IF(AND(EU$44&gt;1,EC178=$N178),1-SUM($EN178:ET178),
IF($N178&lt;=1,
IF($N178&gt;0,1/$N178,0),
IF(EU$44=2,0,VDB(1,0,$N178,INT(EU$44-2-1),MIN($N178,INT(EU$44-2-1)+1),$DC178,IF($DD178="No",1,0))/
IF(EB178&gt;=INT($N178),$N178-INT($N178),1)))*
IF(EU$44=2,0,
IF(INT(EC178)=INT(EB178),EC178-EB178,INT(EC178)-EB178))+
IF($N178&lt;=1,
IF($N178&gt;0,1/$N178,0),VDB(1,0,$N178,INT(EU$44-2),MIN($N178,INT(EU$44-2)+1),$DC178,IF($DD178="No",1,0))/
IF(EC178&gt;INT($N178),$N178-INT($N178),1))*
IF(EU$44=2,EC178,
IF(INT(EC178)=INT(EB178),0,EC178-INT(EC178)))))</f>
        <v>0</v>
      </c>
      <c r="EV178" s="836">
        <f>+IF(OR(ED178=EC178,EV$44=1),0,
IF(AND(EV$44&gt;1,ED178=$N178),1-SUM($EN178:EU178),
IF($N178&lt;=1,
IF($N178&gt;0,1/$N178,0),
IF(EV$44=2,0,VDB(1,0,$N178,INT(EV$44-2-1),MIN($N178,INT(EV$44-2-1)+1),$DC178,IF($DD178="No",1,0))/
IF(EC178&gt;=INT($N178),$N178-INT($N178),1)))*
IF(EV$44=2,0,
IF(INT(ED178)=INT(EC178),ED178-EC178,INT(ED178)-EC178))+
IF($N178&lt;=1,
IF($N178&gt;0,1/$N178,0),VDB(1,0,$N178,INT(EV$44-2),MIN($N178,INT(EV$44-2)+1),$DC178,IF($DD178="No",1,0))/
IF(ED178&gt;INT($N178),$N178-INT($N178),1))*
IF(EV$44=2,ED178,
IF(INT(ED178)=INT(EC178),0,ED178-INT(ED178)))))</f>
        <v>0</v>
      </c>
      <c r="EW178" s="833"/>
      <c r="EX178" s="834">
        <f t="shared" ca="1" si="350"/>
        <v>0</v>
      </c>
      <c r="EY178" s="835">
        <f t="shared" ca="1" si="350"/>
        <v>0</v>
      </c>
      <c r="EZ178" s="836">
        <f t="shared" ca="1" si="350"/>
        <v>0</v>
      </c>
      <c r="FA178" s="834">
        <f t="shared" ca="1" si="350"/>
        <v>0</v>
      </c>
      <c r="FB178" s="835">
        <f t="shared" ca="1" si="350"/>
        <v>0</v>
      </c>
      <c r="FC178" s="835">
        <f t="shared" ca="1" si="350"/>
        <v>0</v>
      </c>
      <c r="FD178" s="835">
        <f t="shared" ca="1" si="350"/>
        <v>0</v>
      </c>
      <c r="FE178" s="836">
        <f t="shared" ca="1" si="350"/>
        <v>0</v>
      </c>
      <c r="FG178" s="386">
        <f t="shared" ca="1" si="351"/>
        <v>0</v>
      </c>
      <c r="FH178" s="387">
        <f t="shared" ca="1" si="352"/>
        <v>0</v>
      </c>
      <c r="FI178" s="388">
        <f t="shared" ca="1" si="353"/>
        <v>0</v>
      </c>
      <c r="FJ178" s="386">
        <f t="shared" ca="1" si="354"/>
        <v>0</v>
      </c>
      <c r="FK178" s="387">
        <f t="shared" ca="1" si="355"/>
        <v>0</v>
      </c>
      <c r="FL178" s="387">
        <f t="shared" ca="1" si="356"/>
        <v>0</v>
      </c>
      <c r="FM178" s="387">
        <f t="shared" ca="1" si="357"/>
        <v>0</v>
      </c>
      <c r="FN178" s="388">
        <f t="shared" ca="1" si="358"/>
        <v>0</v>
      </c>
      <c r="FR178" s="116"/>
    </row>
    <row r="179" spans="2:174">
      <c r="B179" s="1410">
        <f t="shared" si="302"/>
        <v>133</v>
      </c>
      <c r="C179" s="400" t="s">
        <v>692</v>
      </c>
      <c r="D179" s="410"/>
      <c r="E179" s="402" t="s">
        <v>401</v>
      </c>
      <c r="F179" s="402" t="s">
        <v>514</v>
      </c>
      <c r="G179" s="400" t="s">
        <v>437</v>
      </c>
      <c r="H179" s="2088" t="s">
        <v>483</v>
      </c>
      <c r="I179" s="2089"/>
      <c r="J179" s="411" t="s">
        <v>516</v>
      </c>
      <c r="K179" s="403" t="s">
        <v>544</v>
      </c>
      <c r="L179" s="403">
        <v>10</v>
      </c>
      <c r="M179" s="403" t="s">
        <v>142</v>
      </c>
      <c r="N179" s="403"/>
      <c r="O179" s="347"/>
      <c r="P179" s="347"/>
      <c r="Q179" s="1021">
        <v>0.60001496085476758</v>
      </c>
      <c r="R179" s="1022">
        <v>0.60001496085476758</v>
      </c>
      <c r="S179" s="1022">
        <v>0.60001496085476758</v>
      </c>
      <c r="T179" s="1022">
        <v>0.60001496085476758</v>
      </c>
      <c r="U179" s="1023">
        <v>0.60001496085476758</v>
      </c>
      <c r="V179" s="1021">
        <v>0</v>
      </c>
      <c r="W179" s="1022">
        <v>0</v>
      </c>
      <c r="X179" s="1022">
        <v>0</v>
      </c>
      <c r="Y179" s="1022">
        <v>0</v>
      </c>
      <c r="Z179" s="1023">
        <v>0</v>
      </c>
      <c r="AA179" s="1024"/>
      <c r="AB179" s="1021">
        <v>0</v>
      </c>
      <c r="AC179" s="1022">
        <v>0</v>
      </c>
      <c r="AD179" s="1022">
        <v>0</v>
      </c>
      <c r="AE179" s="1022">
        <v>0</v>
      </c>
      <c r="AF179" s="1023">
        <v>0</v>
      </c>
      <c r="AG179" s="1021">
        <v>0</v>
      </c>
      <c r="AH179" s="1022">
        <v>0</v>
      </c>
      <c r="AI179" s="1022">
        <v>0</v>
      </c>
      <c r="AJ179" s="1022">
        <v>0</v>
      </c>
      <c r="AK179" s="1023">
        <v>0</v>
      </c>
      <c r="AL179" s="1024"/>
      <c r="AM179" s="1021">
        <v>0</v>
      </c>
      <c r="AN179" s="1022">
        <v>0</v>
      </c>
      <c r="AO179" s="1022">
        <v>0</v>
      </c>
      <c r="AP179" s="1022">
        <v>0</v>
      </c>
      <c r="AQ179" s="1023">
        <v>0</v>
      </c>
      <c r="AR179" s="1021">
        <v>0</v>
      </c>
      <c r="AS179" s="1022">
        <v>0</v>
      </c>
      <c r="AT179" s="1022">
        <v>0</v>
      </c>
      <c r="AU179" s="1022">
        <v>0</v>
      </c>
      <c r="AV179" s="1023">
        <v>0</v>
      </c>
      <c r="AW179" s="1025"/>
      <c r="AX179" s="1282">
        <f t="shared" si="304"/>
        <v>0.60001496085476758</v>
      </c>
      <c r="AY179" s="387">
        <f t="shared" si="305"/>
        <v>0.60001496085476758</v>
      </c>
      <c r="AZ179" s="387">
        <f t="shared" si="306"/>
        <v>0.60001496085476758</v>
      </c>
      <c r="BA179" s="387">
        <f t="shared" si="307"/>
        <v>0.60001496085476758</v>
      </c>
      <c r="BB179" s="1283">
        <f t="shared" si="308"/>
        <v>0.60001496085476758</v>
      </c>
      <c r="BC179" s="386">
        <f t="shared" si="309"/>
        <v>0</v>
      </c>
      <c r="BD179" s="387">
        <f t="shared" si="310"/>
        <v>0</v>
      </c>
      <c r="BE179" s="1277">
        <f t="shared" si="311"/>
        <v>0</v>
      </c>
      <c r="BF179" s="1277">
        <f t="shared" si="312"/>
        <v>0</v>
      </c>
      <c r="BG179" s="388">
        <f t="shared" si="313"/>
        <v>0</v>
      </c>
      <c r="BH179" s="1025"/>
      <c r="BI179" s="1282">
        <f t="shared" ca="1" si="314"/>
        <v>3.000074804273838E-2</v>
      </c>
      <c r="BJ179" s="387">
        <f t="shared" ca="1" si="315"/>
        <v>9.0002244128215142E-2</v>
      </c>
      <c r="BK179" s="387">
        <f t="shared" ca="1" si="316"/>
        <v>0.15000374021369189</v>
      </c>
      <c r="BL179" s="387">
        <f t="shared" ca="1" si="317"/>
        <v>0.21000523629916867</v>
      </c>
      <c r="BM179" s="1283">
        <f t="shared" ca="1" si="318"/>
        <v>0.2700067323846454</v>
      </c>
      <c r="BN179" s="386">
        <f t="shared" ca="1" si="319"/>
        <v>0.30000748042738379</v>
      </c>
      <c r="BO179" s="387">
        <f t="shared" ca="1" si="320"/>
        <v>0.30000748042738379</v>
      </c>
      <c r="BP179" s="1277">
        <f t="shared" ca="1" si="321"/>
        <v>0.30000748042738379</v>
      </c>
      <c r="BQ179" s="1277">
        <f t="shared" ca="1" si="322"/>
        <v>0.30000748042738379</v>
      </c>
      <c r="BR179" s="388">
        <f t="shared" ca="1" si="323"/>
        <v>0.30000748042738379</v>
      </c>
      <c r="BS179" s="1025"/>
      <c r="BT179" s="1282">
        <f>+IF($K179="Ongoing",AX179,IF(RIGHT($K179,2)=RIGHT(BT$43,2),SUM($AX179:AX179),0)+IF(RIGHT(BT$43,2)&gt;RIGHT($K179,2),AX179,0))</f>
        <v>0.60001496085476758</v>
      </c>
      <c r="BU179" s="387">
        <f>+IF($K179="Ongoing",AY179,IF(RIGHT($K179,2)=RIGHT(BU$43,2),SUM($AX179:AY179),0)+IF(RIGHT(BU$43,2)&gt;RIGHT($K179,2),AY179,0))</f>
        <v>0.60001496085476758</v>
      </c>
      <c r="BV179" s="387">
        <f>+IF($K179="Ongoing",AZ179,IF(RIGHT($K179,2)=RIGHT(BV$43,2),SUM($AX179:AZ179),0)+IF(RIGHT(BV$43,2)&gt;RIGHT($K179,2),AZ179,0))</f>
        <v>0.60001496085476758</v>
      </c>
      <c r="BW179" s="387">
        <f>+IF($K179="Ongoing",BA179,IF(RIGHT($K179,2)=RIGHT(BW$43,2),SUM($AX179:BA179),0)+IF(RIGHT(BW$43,2)&gt;RIGHT($K179,2),BA179,0))</f>
        <v>0.60001496085476758</v>
      </c>
      <c r="BX179" s="1283">
        <f>+IF($K179="Ongoing",BB179,IF(RIGHT($K179,2)=RIGHT(BX$43,2),SUM($AX179:BB179),0)+IF(RIGHT(BX$43,2)&gt;RIGHT($K179,2),BB179,0))</f>
        <v>0.60001496085476758</v>
      </c>
      <c r="BY179" s="386">
        <f>+IF($K179="Ongoing",BC179,IF(RIGHT($K179,2)=RIGHT(BY$43,2),SUM($AX179:BC179),0)+IF(RIGHT(BY$43,2)&gt;RIGHT($K179,2),BC179,0))</f>
        <v>0</v>
      </c>
      <c r="BZ179" s="387">
        <f>+IF($K179="Ongoing",BD179,IF(RIGHT($K179,2)=RIGHT(BZ$43,2),SUM($AX179:BD179),0)+IF(RIGHT(BZ$43,2)&gt;RIGHT($K179,2),BD179,0))</f>
        <v>0</v>
      </c>
      <c r="CA179" s="1277">
        <f>+IF($K179="Ongoing",BE179,IF(RIGHT($K179,2)=RIGHT(CA$43,2),SUM($AX179:BE179),0)+IF(RIGHT(CA$43,2)&gt;RIGHT($K179,2),BE179,0))</f>
        <v>0</v>
      </c>
      <c r="CB179" s="1277">
        <f>+IF($K179="Ongoing",BF179,IF(RIGHT($K179,2)=RIGHT(CB$43,2),SUM($AX179:BF179),0)+IF(RIGHT(CB$43,2)&gt;RIGHT($K179,2),BF179,0))</f>
        <v>0</v>
      </c>
      <c r="CC179" s="388">
        <f>+IF($K179="Ongoing",BG179,IF(RIGHT($K179,2)=RIGHT(CC$43,2),SUM($AX179:BG179),0)+IF(RIGHT(CC$43,2)&gt;RIGHT($K179,2),BG179,0))</f>
        <v>0</v>
      </c>
      <c r="CD179" s="1025"/>
      <c r="CE179" s="1282">
        <f>+Q179*KeyAssumptionsPriceControl_FO!AF$15</f>
        <v>0.61741539471955575</v>
      </c>
      <c r="CF179" s="387">
        <f>+R179*KeyAssumptionsPriceControl_FO!AG$15</f>
        <v>0.63532044116642294</v>
      </c>
      <c r="CG179" s="387">
        <f>+S179*KeyAssumptionsPriceControl_FO!AH$15</f>
        <v>0.65374473396024912</v>
      </c>
      <c r="CH179" s="387">
        <f>+T179*KeyAssumptionsPriceControl_FO!AI$15</f>
        <v>0.67270333124509629</v>
      </c>
      <c r="CI179" s="1283">
        <f>+U179*KeyAssumptionsPriceControl_FO!AJ$15</f>
        <v>0.69221172785120411</v>
      </c>
      <c r="CJ179" s="386">
        <f>+V179*KeyAssumptionsPriceControl_FO!AK$15</f>
        <v>0</v>
      </c>
      <c r="CK179" s="387">
        <f>+W179*KeyAssumptionsPriceControl_FO!AL$15</f>
        <v>0</v>
      </c>
      <c r="CL179" s="1277">
        <f>+X179*KeyAssumptionsPriceControl_FO!AM$15</f>
        <v>0</v>
      </c>
      <c r="CM179" s="1277">
        <f>+Y179*KeyAssumptionsPriceControl_FO!AN$15</f>
        <v>0</v>
      </c>
      <c r="CN179" s="388">
        <f>+Z179*KeyAssumptionsPriceControl_FO!AO$15</f>
        <v>0</v>
      </c>
      <c r="CO179" s="1025"/>
      <c r="CP179" s="1282">
        <f t="shared" ca="1" si="324"/>
        <v>0</v>
      </c>
      <c r="CQ179" s="387">
        <f t="shared" ca="1" si="325"/>
        <v>0</v>
      </c>
      <c r="CR179" s="387">
        <f t="shared" ca="1" si="326"/>
        <v>0</v>
      </c>
      <c r="CS179" s="387">
        <f t="shared" ca="1" si="327"/>
        <v>0</v>
      </c>
      <c r="CT179" s="1283">
        <f t="shared" ca="1" si="328"/>
        <v>0</v>
      </c>
      <c r="CU179" s="386">
        <f t="shared" ca="1" si="329"/>
        <v>0</v>
      </c>
      <c r="CV179" s="387">
        <f t="shared" ca="1" si="330"/>
        <v>0</v>
      </c>
      <c r="CW179" s="1277">
        <f t="shared" ca="1" si="331"/>
        <v>0</v>
      </c>
      <c r="CX179" s="1277">
        <f t="shared" ca="1" si="332"/>
        <v>0</v>
      </c>
      <c r="CY179" s="388">
        <f t="shared" ca="1" si="333"/>
        <v>0</v>
      </c>
      <c r="CZ179" s="347"/>
      <c r="DA179" s="852"/>
      <c r="DB179" s="347"/>
      <c r="DC179" s="1012" t="s">
        <v>696</v>
      </c>
      <c r="DD179" s="841" t="s">
        <v>518</v>
      </c>
      <c r="DE179" s="386">
        <f>+IF($K179="ongoing",CE179,IF(RIGHT($K179,2)=RIGHT(DE$43,2),SUM($CD179:CE179),0)+IF(RIGHT(DE$43,2)&gt;RIGHT($K179,2),CE179,0))</f>
        <v>0.61741539471955575</v>
      </c>
      <c r="DF179" s="387">
        <f>+IF($K179="ongoing",CF179,IF(RIGHT($K179,2)=RIGHT(DF$43,2),SUM($CD179:CF179),0)+IF(RIGHT(DF$43,2)&gt;RIGHT($K179,2),CF179,0))</f>
        <v>0.63532044116642294</v>
      </c>
      <c r="DG179" s="388">
        <f>+IF($K179="ongoing",CG179,IF(RIGHT($K179,2)=RIGHT(DG$43,2),SUM($CD179:CG179),0)+IF(RIGHT(DG$43,2)&gt;RIGHT($K179,2),CG179,0))</f>
        <v>0.65374473396024912</v>
      </c>
      <c r="DH179" s="386">
        <f>+IF($K179="ongoing",CH179,IF(RIGHT($K179,2)=RIGHT(DH$43,2),SUM($CD179:CH179),0)+IF(RIGHT(DH$43,2)&gt;RIGHT($K179,2),CH179,0))</f>
        <v>0.67270333124509629</v>
      </c>
      <c r="DI179" s="387">
        <f>+IF($K179="ongoing",CI179,IF(RIGHT($K179,2)=RIGHT(DI$43,2),SUM($CD179:CI179),0)+IF(RIGHT(DI$43,2)&gt;RIGHT($K179,2),CI179,0))</f>
        <v>0.69221172785120411</v>
      </c>
      <c r="DJ179" s="387">
        <f>+IF($K179="ongoing",CJ179,IF(RIGHT($K179,2)=RIGHT(DJ$43,2),SUM($CD179:CJ179),0)+IF(RIGHT(DJ$43,2)&gt;RIGHT($K179,2),CJ179,0))</f>
        <v>0</v>
      </c>
      <c r="DK179" s="387">
        <f>+IF($K179="ongoing",CK179,IF(RIGHT($K179,2)=RIGHT(DK$43,2),SUM($CD179:CK179),0)+IF(RIGHT(DK$43,2)&gt;RIGHT($K179,2),CK179,0))</f>
        <v>0</v>
      </c>
      <c r="DL179" s="388">
        <f>+IF($K179="ongoing",CN179,IF(RIGHT($K179,2)=RIGHT(DL$43,2),SUM($CD179:CN179),0)+IF(RIGHT(DL$43,2)&gt;RIGHT($K179,2),CN179,0))</f>
        <v>0</v>
      </c>
      <c r="DM179" s="841"/>
      <c r="DN179" s="386">
        <f t="shared" si="334"/>
        <v>0.5</v>
      </c>
      <c r="DO179" s="387">
        <f t="shared" si="335"/>
        <v>1</v>
      </c>
      <c r="DP179" s="388">
        <f t="shared" si="336"/>
        <v>1</v>
      </c>
      <c r="DQ179" s="386">
        <f t="shared" si="337"/>
        <v>1</v>
      </c>
      <c r="DR179" s="387">
        <f t="shared" si="338"/>
        <v>1</v>
      </c>
      <c r="DS179" s="387">
        <f t="shared" si="339"/>
        <v>1</v>
      </c>
      <c r="DT179" s="387">
        <f t="shared" si="340"/>
        <v>1</v>
      </c>
      <c r="DU179" s="388">
        <f t="shared" si="341"/>
        <v>1</v>
      </c>
      <c r="DW179" s="386">
        <f t="shared" si="342"/>
        <v>0</v>
      </c>
      <c r="DX179" s="387">
        <f t="shared" si="343"/>
        <v>0.5</v>
      </c>
      <c r="DY179" s="388">
        <f t="shared" si="344"/>
        <v>1</v>
      </c>
      <c r="DZ179" s="386">
        <f t="shared" si="345"/>
        <v>1</v>
      </c>
      <c r="EA179" s="387">
        <f t="shared" si="346"/>
        <v>1</v>
      </c>
      <c r="EB179" s="387">
        <f t="shared" si="347"/>
        <v>1</v>
      </c>
      <c r="EC179" s="387">
        <f t="shared" si="348"/>
        <v>1</v>
      </c>
      <c r="ED179" s="388">
        <f t="shared" si="349"/>
        <v>1</v>
      </c>
      <c r="EF179" s="834">
        <f>+IF(DN179=DM179,0,
IF(AND(EF$44&gt;1,DN179=$N179),1-SUM($EE179:EE179),
IF($N179&lt;=1,
IF($N179&gt;0,1/$N179,0),
IF(EF$44=1,0,VDB(1,0,$N179,INT(EF$44-1-1),MIN($N179,INT(EF$44-1-1)+1),$DC179,IF($DD179="No",1,0))/
IF(DM179&gt;=INT($N179),$N179-INT($N179),1)))*
IF(EF$44=1,0,
IF(INT(DN179)=INT(DM179),DN179-DM179,INT(DN179)-DM179))+
IF($N179&lt;=1,
IF($N179&gt;0,1/$N179,0),VDB(1,0,$N179,INT(EF$44-1),MIN($N179,INT(EF$44-1)+1),$DC179,IF($DD179="No",1,0))/
IF(DN179&gt;INT($N179),$N179-INT($N179),1))*
IF(EF$44=1,DN179,
IF(INT(DN179)=INT(DM179),0,DN179-INT(DN179)))))</f>
        <v>0</v>
      </c>
      <c r="EG179" s="835">
        <f>+IF(DO179=DN179,0,
IF(AND(EG$44&gt;1,DO179=$N179),1-SUM($EE179:EF179),
IF($N179&lt;=1,
IF($N179&gt;0,1/$N179,0),
IF(EG$44=1,0,VDB(1,0,$N179,INT(EG$44-1-1),MIN($N179,INT(EG$44-1-1)+1),$DC179,IF($DD179="No",1,0))/
IF(DN179&gt;=INT($N179),$N179-INT($N179),1)))*
IF(EG$44=1,0,
IF(INT(DO179)=INT(DN179),DO179-DN179,INT(DO179)-DN179))+
IF($N179&lt;=1,
IF($N179&gt;0,1/$N179,0),VDB(1,0,$N179,INT(EG$44-1),MIN($N179,INT(EG$44-1)+1),$DC179,IF($DD179="No",1,0))/
IF(DO179&gt;INT($N179),$N179-INT($N179),1))*
IF(EG$44=1,DO179,
IF(INT(DO179)=INT(DN179),0,DO179-INT(DO179)))))</f>
        <v>0</v>
      </c>
      <c r="EH179" s="836">
        <f>+IF(DP179=DO179,0,
IF(AND(EH$44&gt;1,DP179=$N179),1-SUM($EE179:EG179),
IF($N179&lt;=1,
IF($N179&gt;0,1/$N179,0),
IF(EH$44=1,0,VDB(1,0,$N179,INT(EH$44-1-1),MIN($N179,INT(EH$44-1-1)+1),$DC179,IF($DD179="No",1,0))/
IF(DO179&gt;=INT($N179),$N179-INT($N179),1)))*
IF(EH$44=1,0,
IF(INT(DP179)=INT(DO179),DP179-DO179,INT(DP179)-DO179))+
IF($N179&lt;=1,
IF($N179&gt;0,1/$N179,0),VDB(1,0,$N179,INT(EH$44-1),MIN($N179,INT(EH$44-1)+1),$DC179,IF($DD179="No",1,0))/
IF(DP179&gt;INT($N179),$N179-INT($N179),1))*
IF(EH$44=1,DP179,
IF(INT(DP179)=INT(DO179),0,DP179-INT(DP179)))))</f>
        <v>0</v>
      </c>
      <c r="EI179" s="834">
        <f>+IF(DQ179=DP179,0,
IF(AND(EI$44&gt;1,DQ179=$N179),1-SUM($EE179:EH179),
IF($N179&lt;=1,
IF($N179&gt;0,1/$N179,0),
IF(EI$44=1,0,VDB(1,0,$N179,INT(EI$44-1-1),MIN($N179,INT(EI$44-1-1)+1),$DC179,IF($DD179="No",1,0))/
IF(DP179&gt;=INT($N179),$N179-INT($N179),1)))*
IF(EI$44=1,0,
IF(INT(DQ179)=INT(DP179),DQ179-DP179,INT(DQ179)-DP179))+
IF($N179&lt;=1,
IF($N179&gt;0,1/$N179,0),VDB(1,0,$N179,INT(EI$44-1),MIN($N179,INT(EI$44-1)+1),$DC179,IF($DD179="No",1,0))/
IF(DQ179&gt;INT($N179),$N179-INT($N179),1))*
IF(EI$44=1,DQ179,
IF(INT(DQ179)=INT(DP179),0,DQ179-INT(DQ179)))))</f>
        <v>0</v>
      </c>
      <c r="EJ179" s="835">
        <f>+IF(DR179=DQ179,0,
IF(AND(EJ$44&gt;1,DR179=$N179),1-SUM($EE179:EI179),
IF($N179&lt;=1,
IF($N179&gt;0,1/$N179,0),
IF(EJ$44=1,0,VDB(1,0,$N179,INT(EJ$44-1-1),MIN($N179,INT(EJ$44-1-1)+1),$DC179,IF($DD179="No",1,0))/
IF(DQ179&gt;=INT($N179),$N179-INT($N179),1)))*
IF(EJ$44=1,0,
IF(INT(DR179)=INT(DQ179),DR179-DQ179,INT(DR179)-DQ179))+
IF($N179&lt;=1,
IF($N179&gt;0,1/$N179,0),VDB(1,0,$N179,INT(EJ$44-1),MIN($N179,INT(EJ$44-1)+1),$DC179,IF($DD179="No",1,0))/
IF(DR179&gt;INT($N179),$N179-INT($N179),1))*
IF(EJ$44=1,DR179,
IF(INT(DR179)=INT(DQ179),0,DR179-INT(DR179)))))</f>
        <v>0</v>
      </c>
      <c r="EK179" s="835">
        <f>+IF(DS179=DR179,0,
IF(AND(EK$44&gt;1,DS179=$N179),1-SUM($EE179:EJ179),
IF($N179&lt;=1,
IF($N179&gt;0,1/$N179,0),
IF(EK$44=1,0,VDB(1,0,$N179,INT(EK$44-1-1),MIN($N179,INT(EK$44-1-1)+1),$DC179,IF($DD179="No",1,0))/
IF(DR179&gt;=INT($N179),$N179-INT($N179),1)))*
IF(EK$44=1,0,
IF(INT(DS179)=INT(DR179),DS179-DR179,INT(DS179)-DR179))+
IF($N179&lt;=1,
IF($N179&gt;0,1/$N179,0),VDB(1,0,$N179,INT(EK$44-1),MIN($N179,INT(EK$44-1)+1),$DC179,IF($DD179="No",1,0))/
IF(DS179&gt;INT($N179),$N179-INT($N179),1))*
IF(EK$44=1,DS179,
IF(INT(DS179)=INT(DR179),0,DS179-INT(DS179)))))</f>
        <v>0</v>
      </c>
      <c r="EL179" s="835">
        <f>+IF(DT179=DS179,0,
IF(AND(EL$44&gt;1,DT179=$N179),1-SUM($EE179:EK179),
IF($N179&lt;=1,
IF($N179&gt;0,1/$N179,0),
IF(EL$44=1,0,VDB(1,0,$N179,INT(EL$44-1-1),MIN($N179,INT(EL$44-1-1)+1),$DC179,IF($DD179="No",1,0))/
IF(DS179&gt;=INT($N179),$N179-INT($N179),1)))*
IF(EL$44=1,0,
IF(INT(DT179)=INT(DS179),DT179-DS179,INT(DT179)-DS179))+
IF($N179&lt;=1,
IF($N179&gt;0,1/$N179,0),VDB(1,0,$N179,INT(EL$44-1),MIN($N179,INT(EL$44-1)+1),$DC179,IF($DD179="No",1,0))/
IF(DT179&gt;INT($N179),$N179-INT($N179),1))*
IF(EL$44=1,DT179,
IF(INT(DT179)=INT(DS179),0,DT179-INT(DT179)))))</f>
        <v>0</v>
      </c>
      <c r="EM179" s="836">
        <f>+IF(DU179=DT179,0,
IF(AND(EM$44&gt;1,DU179=$N179),1-SUM($EE179:EL179),
IF($N179&lt;=1,
IF($N179&gt;0,1/$N179,0),
IF(EM$44=1,0,VDB(1,0,$N179,INT(EM$44-1-1),MIN($N179,INT(EM$44-1-1)+1),$DC179,IF($DD179="No",1,0))/
IF(DT179&gt;=INT($N179),$N179-INT($N179),1)))*
IF(EM$44=1,0,
IF(INT(DU179)=INT(DT179),DU179-DT179,INT(DU179)-DT179))+
IF($N179&lt;=1,
IF($N179&gt;0,1/$N179,0),VDB(1,0,$N179,INT(EM$44-1),MIN($N179,INT(EM$44-1)+1),$DC179,IF($DD179="No",1,0))/
IF(DU179&gt;INT($N179),$N179-INT($N179),1))*
IF(EM$44=1,DU179,
IF(INT(DU179)=INT(DT179),0,DU179-INT(DU179)))))</f>
        <v>0</v>
      </c>
      <c r="EN179" s="833"/>
      <c r="EO179" s="834">
        <f>+IF(OR(DW179=DV179,EO$44=1),0,
IF(AND(EO$44&gt;1,DW179=$N179),1-SUM($EN179:EN179),
IF($N179&lt;=1,
IF($N179&gt;0,1/$N179,0),
IF(EO$44=2,0,VDB(1,0,$N179,INT(EO$44-2-1),MIN($N179,INT(EO$44-2-1)+1),$DC179,IF($DD179="No",1,0))/
IF(DV179&gt;=INT($N179),$N179-INT($N179),1)))*
IF(EO$44=2,0,
IF(INT(DW179)=INT(DV179),DW179-DV179,INT(DW179)-DV179))+
IF($N179&lt;=1,
IF($N179&gt;0,1/$N179,0),VDB(1,0,$N179,INT(EO$44-2),MIN($N179,INT(EO$44-2)+1),$DC179,IF($DD179="No",1,0))/
IF(DW179&gt;INT($N179),$N179-INT($N179),1))*
IF(EO$44=2,DW179,
IF(INT(DW179)=INT(DV179),0,DW179-INT(DW179)))))</f>
        <v>0</v>
      </c>
      <c r="EP179" s="835">
        <f>+IF(OR(DX179=DW179,EP$44=1),0,
IF(AND(EP$44&gt;1,DX179=$N179),1-SUM($EN179:EO179),
IF($N179&lt;=1,
IF($N179&gt;0,1/$N179,0),
IF(EP$44=2,0,VDB(1,0,$N179,INT(EP$44-2-1),MIN($N179,INT(EP$44-2-1)+1),$DC179,IF($DD179="No",1,0))/
IF(DW179&gt;=INT($N179),$N179-INT($N179),1)))*
IF(EP$44=2,0,
IF(INT(DX179)=INT(DW179),DX179-DW179,INT(DX179)-DW179))+
IF($N179&lt;=1,
IF($N179&gt;0,1/$N179,0),VDB(1,0,$N179,INT(EP$44-2),MIN($N179,INT(EP$44-2)+1),$DC179,IF($DD179="No",1,0))/
IF(DX179&gt;INT($N179),$N179-INT($N179),1))*
IF(EP$44=2,DX179,
IF(INT(DX179)=INT(DW179),0,DX179-INT(DX179)))))</f>
        <v>0</v>
      </c>
      <c r="EQ179" s="836">
        <f>+IF(OR(DY179=DX179,EQ$44=1),0,
IF(AND(EQ$44&gt;1,DY179=$N179),1-SUM($EN179:EP179),
IF($N179&lt;=1,
IF($N179&gt;0,1/$N179,0),
IF(EQ$44=2,0,VDB(1,0,$N179,INT(EQ$44-2-1),MIN($N179,INT(EQ$44-2-1)+1),$DC179,IF($DD179="No",1,0))/
IF(DX179&gt;=INT($N179),$N179-INT($N179),1)))*
IF(EQ$44=2,0,
IF(INT(DY179)=INT(DX179),DY179-DX179,INT(DY179)-DX179))+
IF($N179&lt;=1,
IF($N179&gt;0,1/$N179,0),VDB(1,0,$N179,INT(EQ$44-2),MIN($N179,INT(EQ$44-2)+1),$DC179,IF($DD179="No",1,0))/
IF(DY179&gt;INT($N179),$N179-INT($N179),1))*
IF(EQ$44=2,DY179,
IF(INT(DY179)=INT(DX179),0,DY179-INT(DY179)))))</f>
        <v>0</v>
      </c>
      <c r="ER179" s="834">
        <f>+IF(OR(DZ179=DY179,ER$44=1),0,
IF(AND(ER$44&gt;1,DZ179=$N179),1-SUM($EN179:EQ179),
IF($N179&lt;=1,
IF($N179&gt;0,1/$N179,0),
IF(ER$44=2,0,VDB(1,0,$N179,INT(ER$44-2-1),MIN($N179,INT(ER$44-2-1)+1),$DC179,IF($DD179="No",1,0))/
IF(DY179&gt;=INT($N179),$N179-INT($N179),1)))*
IF(ER$44=2,0,
IF(INT(DZ179)=INT(DY179),DZ179-DY179,INT(DZ179)-DY179))+
IF($N179&lt;=1,
IF($N179&gt;0,1/$N179,0),VDB(1,0,$N179,INT(ER$44-2),MIN($N179,INT(ER$44-2)+1),$DC179,IF($DD179="No",1,0))/
IF(DZ179&gt;INT($N179),$N179-INT($N179),1))*
IF(ER$44=2,DZ179,
IF(INT(DZ179)=INT(DY179),0,DZ179-INT(DZ179)))))</f>
        <v>0</v>
      </c>
      <c r="ES179" s="835">
        <f>+IF(OR(EA179=DZ179,ES$44=1),0,
IF(AND(ES$44&gt;1,EA179=$N179),1-SUM($EN179:ER179),
IF($N179&lt;=1,
IF($N179&gt;0,1/$N179,0),
IF(ES$44=2,0,VDB(1,0,$N179,INT(ES$44-2-1),MIN($N179,INT(ES$44-2-1)+1),$DC179,IF($DD179="No",1,0))/
IF(DZ179&gt;=INT($N179),$N179-INT($N179),1)))*
IF(ES$44=2,0,
IF(INT(EA179)=INT(DZ179),EA179-DZ179,INT(EA179)-DZ179))+
IF($N179&lt;=1,
IF($N179&gt;0,1/$N179,0),VDB(1,0,$N179,INT(ES$44-2),MIN($N179,INT(ES$44-2)+1),$DC179,IF($DD179="No",1,0))/
IF(EA179&gt;INT($N179),$N179-INT($N179),1))*
IF(ES$44=2,EA179,
IF(INT(EA179)=INT(DZ179),0,EA179-INT(EA179)))))</f>
        <v>0</v>
      </c>
      <c r="ET179" s="835">
        <f>+IF(OR(EB179=EA179,ET$44=1),0,
IF(AND(ET$44&gt;1,EB179=$N179),1-SUM($EN179:ES179),
IF($N179&lt;=1,
IF($N179&gt;0,1/$N179,0),
IF(ET$44=2,0,VDB(1,0,$N179,INT(ET$44-2-1),MIN($N179,INT(ET$44-2-1)+1),$DC179,IF($DD179="No",1,0))/
IF(EA179&gt;=INT($N179),$N179-INT($N179),1)))*
IF(ET$44=2,0,
IF(INT(EB179)=INT(EA179),EB179-EA179,INT(EB179)-EA179))+
IF($N179&lt;=1,
IF($N179&gt;0,1/$N179,0),VDB(1,0,$N179,INT(ET$44-2),MIN($N179,INT(ET$44-2)+1),$DC179,IF($DD179="No",1,0))/
IF(EB179&gt;INT($N179),$N179-INT($N179),1))*
IF(ET$44=2,EB179,
IF(INT(EB179)=INT(EA179),0,EB179-INT(EB179)))))</f>
        <v>0</v>
      </c>
      <c r="EU179" s="835">
        <f>+IF(OR(EC179=EB179,EU$44=1),0,
IF(AND(EU$44&gt;1,EC179=$N179),1-SUM($EN179:ET179),
IF($N179&lt;=1,
IF($N179&gt;0,1/$N179,0),
IF(EU$44=2,0,VDB(1,0,$N179,INT(EU$44-2-1),MIN($N179,INT(EU$44-2-1)+1),$DC179,IF($DD179="No",1,0))/
IF(EB179&gt;=INT($N179),$N179-INT($N179),1)))*
IF(EU$44=2,0,
IF(INT(EC179)=INT(EB179),EC179-EB179,INT(EC179)-EB179))+
IF($N179&lt;=1,
IF($N179&gt;0,1/$N179,0),VDB(1,0,$N179,INT(EU$44-2),MIN($N179,INT(EU$44-2)+1),$DC179,IF($DD179="No",1,0))/
IF(EC179&gt;INT($N179),$N179-INT($N179),1))*
IF(EU$44=2,EC179,
IF(INT(EC179)=INT(EB179),0,EC179-INT(EC179)))))</f>
        <v>0</v>
      </c>
      <c r="EV179" s="836">
        <f>+IF(OR(ED179=EC179,EV$44=1),0,
IF(AND(EV$44&gt;1,ED179=$N179),1-SUM($EN179:EU179),
IF($N179&lt;=1,
IF($N179&gt;0,1/$N179,0),
IF(EV$44=2,0,VDB(1,0,$N179,INT(EV$44-2-1),MIN($N179,INT(EV$44-2-1)+1),$DC179,IF($DD179="No",1,0))/
IF(EC179&gt;=INT($N179),$N179-INT($N179),1)))*
IF(EV$44=2,0,
IF(INT(ED179)=INT(EC179),ED179-EC179,INT(ED179)-EC179))+
IF($N179&lt;=1,
IF($N179&gt;0,1/$N179,0),VDB(1,0,$N179,INT(EV$44-2),MIN($N179,INT(EV$44-2)+1),$DC179,IF($DD179="No",1,0))/
IF(ED179&gt;INT($N179),$N179-INT($N179),1))*
IF(EV$44=2,ED179,
IF(INT(ED179)=INT(EC179),0,ED179-INT(ED179)))))</f>
        <v>0</v>
      </c>
      <c r="EW179" s="833"/>
      <c r="EX179" s="834">
        <f t="shared" ca="1" si="350"/>
        <v>0</v>
      </c>
      <c r="EY179" s="835">
        <f t="shared" ca="1" si="350"/>
        <v>0</v>
      </c>
      <c r="EZ179" s="836">
        <f t="shared" ca="1" si="350"/>
        <v>0</v>
      </c>
      <c r="FA179" s="834">
        <f t="shared" ca="1" si="350"/>
        <v>0</v>
      </c>
      <c r="FB179" s="835">
        <f t="shared" ca="1" si="350"/>
        <v>0</v>
      </c>
      <c r="FC179" s="835">
        <f t="shared" ca="1" si="350"/>
        <v>0</v>
      </c>
      <c r="FD179" s="835">
        <f t="shared" ca="1" si="350"/>
        <v>0</v>
      </c>
      <c r="FE179" s="836">
        <f t="shared" ca="1" si="350"/>
        <v>0</v>
      </c>
      <c r="FG179" s="386">
        <f t="shared" ca="1" si="351"/>
        <v>0</v>
      </c>
      <c r="FH179" s="387">
        <f t="shared" ca="1" si="352"/>
        <v>0</v>
      </c>
      <c r="FI179" s="388">
        <f t="shared" ca="1" si="353"/>
        <v>0</v>
      </c>
      <c r="FJ179" s="386">
        <f t="shared" ca="1" si="354"/>
        <v>0</v>
      </c>
      <c r="FK179" s="387">
        <f t="shared" ca="1" si="355"/>
        <v>0</v>
      </c>
      <c r="FL179" s="387">
        <f t="shared" ca="1" si="356"/>
        <v>0</v>
      </c>
      <c r="FM179" s="387">
        <f t="shared" ca="1" si="357"/>
        <v>0</v>
      </c>
      <c r="FN179" s="388">
        <f t="shared" ca="1" si="358"/>
        <v>0</v>
      </c>
      <c r="FR179" s="116"/>
    </row>
    <row r="180" spans="2:174">
      <c r="B180" s="1410">
        <f t="shared" si="302"/>
        <v>134</v>
      </c>
      <c r="C180" s="400" t="s">
        <v>697</v>
      </c>
      <c r="D180" s="410"/>
      <c r="E180" s="402" t="s">
        <v>402</v>
      </c>
      <c r="F180" s="402" t="s">
        <v>514</v>
      </c>
      <c r="G180" s="400" t="s">
        <v>522</v>
      </c>
      <c r="H180" s="2088" t="s">
        <v>483</v>
      </c>
      <c r="I180" s="2089"/>
      <c r="J180" s="411" t="s">
        <v>516</v>
      </c>
      <c r="K180" s="403" t="s">
        <v>544</v>
      </c>
      <c r="L180" s="403">
        <v>7</v>
      </c>
      <c r="M180" s="403" t="s">
        <v>142</v>
      </c>
      <c r="N180" s="403"/>
      <c r="O180" s="347"/>
      <c r="P180" s="347"/>
      <c r="Q180" s="1021">
        <v>0</v>
      </c>
      <c r="R180" s="1022">
        <v>0</v>
      </c>
      <c r="S180" s="1022">
        <v>16.600000000000001</v>
      </c>
      <c r="T180" s="1022">
        <v>16.600000000000001</v>
      </c>
      <c r="U180" s="1023">
        <v>2.0000000000000004</v>
      </c>
      <c r="V180" s="1021">
        <v>0</v>
      </c>
      <c r="W180" s="1022">
        <v>0</v>
      </c>
      <c r="X180" s="1022">
        <v>0</v>
      </c>
      <c r="Y180" s="1022">
        <v>0</v>
      </c>
      <c r="Z180" s="1023">
        <v>0</v>
      </c>
      <c r="AA180" s="1024"/>
      <c r="AB180" s="1021">
        <v>0</v>
      </c>
      <c r="AC180" s="1022">
        <v>0</v>
      </c>
      <c r="AD180" s="1022">
        <v>0</v>
      </c>
      <c r="AE180" s="1022">
        <v>0</v>
      </c>
      <c r="AF180" s="1023">
        <v>0</v>
      </c>
      <c r="AG180" s="1021">
        <v>0</v>
      </c>
      <c r="AH180" s="1022">
        <v>0</v>
      </c>
      <c r="AI180" s="1022">
        <v>0</v>
      </c>
      <c r="AJ180" s="1022">
        <v>0</v>
      </c>
      <c r="AK180" s="1023">
        <v>0</v>
      </c>
      <c r="AL180" s="1024"/>
      <c r="AM180" s="1021">
        <v>0</v>
      </c>
      <c r="AN180" s="1022">
        <v>0</v>
      </c>
      <c r="AO180" s="1022">
        <v>0</v>
      </c>
      <c r="AP180" s="1022">
        <v>0</v>
      </c>
      <c r="AQ180" s="1023">
        <v>0</v>
      </c>
      <c r="AR180" s="1021">
        <v>0</v>
      </c>
      <c r="AS180" s="1022">
        <v>0</v>
      </c>
      <c r="AT180" s="1022">
        <v>0</v>
      </c>
      <c r="AU180" s="1022">
        <v>0</v>
      </c>
      <c r="AV180" s="1023">
        <v>0</v>
      </c>
      <c r="AW180" s="1025"/>
      <c r="AX180" s="1282">
        <f t="shared" si="304"/>
        <v>0</v>
      </c>
      <c r="AY180" s="387">
        <f t="shared" si="305"/>
        <v>0</v>
      </c>
      <c r="AZ180" s="387">
        <f t="shared" si="306"/>
        <v>16.600000000000001</v>
      </c>
      <c r="BA180" s="387">
        <f t="shared" si="307"/>
        <v>16.600000000000001</v>
      </c>
      <c r="BB180" s="1283">
        <f t="shared" si="308"/>
        <v>2.0000000000000004</v>
      </c>
      <c r="BC180" s="386">
        <f t="shared" si="309"/>
        <v>0</v>
      </c>
      <c r="BD180" s="387">
        <f t="shared" si="310"/>
        <v>0</v>
      </c>
      <c r="BE180" s="1277">
        <f t="shared" si="311"/>
        <v>0</v>
      </c>
      <c r="BF180" s="1277">
        <f t="shared" si="312"/>
        <v>0</v>
      </c>
      <c r="BG180" s="388">
        <f t="shared" si="313"/>
        <v>0</v>
      </c>
      <c r="BH180" s="1025"/>
      <c r="BI180" s="1282">
        <f t="shared" ca="1" si="314"/>
        <v>0</v>
      </c>
      <c r="BJ180" s="387">
        <f t="shared" ca="1" si="315"/>
        <v>0</v>
      </c>
      <c r="BK180" s="387">
        <f t="shared" ca="1" si="316"/>
        <v>1.1857142857142857</v>
      </c>
      <c r="BL180" s="387">
        <f t="shared" ca="1" si="317"/>
        <v>3.5571428571428569</v>
      </c>
      <c r="BM180" s="1283">
        <f t="shared" ca="1" si="318"/>
        <v>4.8857142857142861</v>
      </c>
      <c r="BN180" s="386">
        <f t="shared" ca="1" si="319"/>
        <v>5.0285714285714294</v>
      </c>
      <c r="BO180" s="387">
        <f t="shared" ca="1" si="320"/>
        <v>5.0285714285714294</v>
      </c>
      <c r="BP180" s="1277">
        <f t="shared" ca="1" si="321"/>
        <v>5.0285714285714294</v>
      </c>
      <c r="BQ180" s="1277">
        <f t="shared" ca="1" si="322"/>
        <v>5.0285714285714294</v>
      </c>
      <c r="BR180" s="388">
        <f t="shared" ca="1" si="323"/>
        <v>3.8428571428571434</v>
      </c>
      <c r="BS180" s="1025"/>
      <c r="BT180" s="1282">
        <f>+IF($K180="Ongoing",AX180,IF(RIGHT($K180,2)=RIGHT(BT$43,2),SUM($AX180:AX180),0)+IF(RIGHT(BT$43,2)&gt;RIGHT($K180,2),AX180,0))</f>
        <v>0</v>
      </c>
      <c r="BU180" s="387">
        <f>+IF($K180="Ongoing",AY180,IF(RIGHT($K180,2)=RIGHT(BU$43,2),SUM($AX180:AY180),0)+IF(RIGHT(BU$43,2)&gt;RIGHT($K180,2),AY180,0))</f>
        <v>0</v>
      </c>
      <c r="BV180" s="387">
        <f>+IF($K180="Ongoing",AZ180,IF(RIGHT($K180,2)=RIGHT(BV$43,2),SUM($AX180:AZ180),0)+IF(RIGHT(BV$43,2)&gt;RIGHT($K180,2),AZ180,0))</f>
        <v>16.600000000000001</v>
      </c>
      <c r="BW180" s="387">
        <f>+IF($K180="Ongoing",BA180,IF(RIGHT($K180,2)=RIGHT(BW$43,2),SUM($AX180:BA180),0)+IF(RIGHT(BW$43,2)&gt;RIGHT($K180,2),BA180,0))</f>
        <v>16.600000000000001</v>
      </c>
      <c r="BX180" s="1283">
        <f>+IF($K180="Ongoing",BB180,IF(RIGHT($K180,2)=RIGHT(BX$43,2),SUM($AX180:BB180),0)+IF(RIGHT(BX$43,2)&gt;RIGHT($K180,2),BB180,0))</f>
        <v>2.0000000000000004</v>
      </c>
      <c r="BY180" s="386">
        <f>+IF($K180="Ongoing",BC180,IF(RIGHT($K180,2)=RIGHT(BY$43,2),SUM($AX180:BC180),0)+IF(RIGHT(BY$43,2)&gt;RIGHT($K180,2),BC180,0))</f>
        <v>0</v>
      </c>
      <c r="BZ180" s="387">
        <f>+IF($K180="Ongoing",BD180,IF(RIGHT($K180,2)=RIGHT(BZ$43,2),SUM($AX180:BD180),0)+IF(RIGHT(BZ$43,2)&gt;RIGHT($K180,2),BD180,0))</f>
        <v>0</v>
      </c>
      <c r="CA180" s="1277">
        <f>+IF($K180="Ongoing",BE180,IF(RIGHT($K180,2)=RIGHT(CA$43,2),SUM($AX180:BE180),0)+IF(RIGHT(CA$43,2)&gt;RIGHT($K180,2),BE180,0))</f>
        <v>0</v>
      </c>
      <c r="CB180" s="1277">
        <f>+IF($K180="Ongoing",BF180,IF(RIGHT($K180,2)=RIGHT(CB$43,2),SUM($AX180:BF180),0)+IF(RIGHT(CB$43,2)&gt;RIGHT($K180,2),BF180,0))</f>
        <v>0</v>
      </c>
      <c r="CC180" s="388">
        <f>+IF($K180="Ongoing",BG180,IF(RIGHT($K180,2)=RIGHT(CC$43,2),SUM($AX180:BG180),0)+IF(RIGHT(CC$43,2)&gt;RIGHT($K180,2),BG180,0))</f>
        <v>0</v>
      </c>
      <c r="CD180" s="1025"/>
      <c r="CE180" s="1282">
        <f>+Q180*KeyAssumptionsPriceControl_FO!AF$15</f>
        <v>0</v>
      </c>
      <c r="CF180" s="387">
        <f>+R180*KeyAssumptionsPriceControl_FO!AG$15</f>
        <v>0</v>
      </c>
      <c r="CG180" s="387">
        <f>+S180*KeyAssumptionsPriceControl_FO!AH$15</f>
        <v>18.086486657399998</v>
      </c>
      <c r="CH180" s="387">
        <f>+T180*KeyAssumptionsPriceControl_FO!AI$15</f>
        <v>18.610994770464597</v>
      </c>
      <c r="CI180" s="1283">
        <f>+U180*KeyAssumptionsPriceControl_FO!AJ$15</f>
        <v>2.3073148938322978</v>
      </c>
      <c r="CJ180" s="386">
        <f>+V180*KeyAssumptionsPriceControl_FO!AK$15</f>
        <v>0</v>
      </c>
      <c r="CK180" s="387">
        <f>+W180*KeyAssumptionsPriceControl_FO!AL$15</f>
        <v>0</v>
      </c>
      <c r="CL180" s="1277">
        <f>+X180*KeyAssumptionsPriceControl_FO!AM$15</f>
        <v>0</v>
      </c>
      <c r="CM180" s="1277">
        <f>+Y180*KeyAssumptionsPriceControl_FO!AN$15</f>
        <v>0</v>
      </c>
      <c r="CN180" s="388">
        <f>+Z180*KeyAssumptionsPriceControl_FO!AO$15</f>
        <v>0</v>
      </c>
      <c r="CO180" s="1025"/>
      <c r="CP180" s="1282">
        <f t="shared" ca="1" si="324"/>
        <v>0</v>
      </c>
      <c r="CQ180" s="387">
        <f t="shared" ca="1" si="325"/>
        <v>0</v>
      </c>
      <c r="CR180" s="387">
        <f t="shared" ca="1" si="326"/>
        <v>0</v>
      </c>
      <c r="CS180" s="387">
        <f t="shared" ca="1" si="327"/>
        <v>0</v>
      </c>
      <c r="CT180" s="1283">
        <f t="shared" ca="1" si="328"/>
        <v>0</v>
      </c>
      <c r="CU180" s="386">
        <f t="shared" ca="1" si="329"/>
        <v>0</v>
      </c>
      <c r="CV180" s="387">
        <f t="shared" ca="1" si="330"/>
        <v>0</v>
      </c>
      <c r="CW180" s="1277">
        <f t="shared" ca="1" si="331"/>
        <v>0</v>
      </c>
      <c r="CX180" s="1277">
        <f t="shared" ca="1" si="332"/>
        <v>0</v>
      </c>
      <c r="CY180" s="388">
        <f t="shared" ca="1" si="333"/>
        <v>0</v>
      </c>
      <c r="CZ180" s="347"/>
      <c r="DA180" s="852"/>
      <c r="DB180" s="347"/>
      <c r="DC180" s="1012" t="s">
        <v>698</v>
      </c>
      <c r="DD180" s="841" t="s">
        <v>518</v>
      </c>
      <c r="DE180" s="386">
        <f>+IF($K180="ongoing",CE180,IF(RIGHT($K180,2)=RIGHT(DE$43,2),SUM($CD180:CE180),0)+IF(RIGHT(DE$43,2)&gt;RIGHT($K180,2),CE180,0))</f>
        <v>0</v>
      </c>
      <c r="DF180" s="387">
        <f>+IF($K180="ongoing",CF180,IF(RIGHT($K180,2)=RIGHT(DF$43,2),SUM($CD180:CF180),0)+IF(RIGHT(DF$43,2)&gt;RIGHT($K180,2),CF180,0))</f>
        <v>0</v>
      </c>
      <c r="DG180" s="388">
        <f>+IF($K180="ongoing",CG180,IF(RIGHT($K180,2)=RIGHT(DG$43,2),SUM($CD180:CG180),0)+IF(RIGHT(DG$43,2)&gt;RIGHT($K180,2),CG180,0))</f>
        <v>18.086486657399998</v>
      </c>
      <c r="DH180" s="386">
        <f>+IF($K180="ongoing",CH180,IF(RIGHT($K180,2)=RIGHT(DH$43,2),SUM($CD180:CH180),0)+IF(RIGHT(DH$43,2)&gt;RIGHT($K180,2),CH180,0))</f>
        <v>18.610994770464597</v>
      </c>
      <c r="DI180" s="387">
        <f>+IF($K180="ongoing",CI180,IF(RIGHT($K180,2)=RIGHT(DI$43,2),SUM($CD180:CI180),0)+IF(RIGHT(DI$43,2)&gt;RIGHT($K180,2),CI180,0))</f>
        <v>2.3073148938322978</v>
      </c>
      <c r="DJ180" s="387">
        <f>+IF($K180="ongoing",CJ180,IF(RIGHT($K180,2)=RIGHT(DJ$43,2),SUM($CD180:CJ180),0)+IF(RIGHT(DJ$43,2)&gt;RIGHT($K180,2),CJ180,0))</f>
        <v>0</v>
      </c>
      <c r="DK180" s="387">
        <f>+IF($K180="ongoing",CK180,IF(RIGHT($K180,2)=RIGHT(DK$43,2),SUM($CD180:CK180),0)+IF(RIGHT(DK$43,2)&gt;RIGHT($K180,2),CK180,0))</f>
        <v>0</v>
      </c>
      <c r="DL180" s="388">
        <f>+IF($K180="ongoing",CN180,IF(RIGHT($K180,2)=RIGHT(DL$43,2),SUM($CD180:CN180),0)+IF(RIGHT(DL$43,2)&gt;RIGHT($K180,2),CN180,0))</f>
        <v>0</v>
      </c>
      <c r="DM180" s="841"/>
      <c r="DN180" s="386">
        <f t="shared" si="334"/>
        <v>0.5</v>
      </c>
      <c r="DO180" s="387">
        <f t="shared" si="335"/>
        <v>1</v>
      </c>
      <c r="DP180" s="388">
        <f t="shared" si="336"/>
        <v>1</v>
      </c>
      <c r="DQ180" s="386">
        <f t="shared" si="337"/>
        <v>1</v>
      </c>
      <c r="DR180" s="387">
        <f t="shared" si="338"/>
        <v>1</v>
      </c>
      <c r="DS180" s="387">
        <f t="shared" si="339"/>
        <v>1</v>
      </c>
      <c r="DT180" s="387">
        <f t="shared" si="340"/>
        <v>1</v>
      </c>
      <c r="DU180" s="388">
        <f t="shared" si="341"/>
        <v>1</v>
      </c>
      <c r="DW180" s="386">
        <f t="shared" si="342"/>
        <v>0</v>
      </c>
      <c r="DX180" s="387">
        <f t="shared" si="343"/>
        <v>0.5</v>
      </c>
      <c r="DY180" s="388">
        <f t="shared" si="344"/>
        <v>1</v>
      </c>
      <c r="DZ180" s="386">
        <f t="shared" si="345"/>
        <v>1</v>
      </c>
      <c r="EA180" s="387">
        <f t="shared" si="346"/>
        <v>1</v>
      </c>
      <c r="EB180" s="387">
        <f t="shared" si="347"/>
        <v>1</v>
      </c>
      <c r="EC180" s="387">
        <f t="shared" si="348"/>
        <v>1</v>
      </c>
      <c r="ED180" s="388">
        <f t="shared" si="349"/>
        <v>1</v>
      </c>
      <c r="EF180" s="834">
        <f>+IF(DN180=DM180,0,
IF(AND(EF$44&gt;1,DN180=$N180),1-SUM($EE180:EE180),
IF($N180&lt;=1,
IF($N180&gt;0,1/$N180,0),
IF(EF$44=1,0,VDB(1,0,$N180,INT(EF$44-1-1),MIN($N180,INT(EF$44-1-1)+1),$DC180,IF($DD180="No",1,0))/
IF(DM180&gt;=INT($N180),$N180-INT($N180),1)))*
IF(EF$44=1,0,
IF(INT(DN180)=INT(DM180),DN180-DM180,INT(DN180)-DM180))+
IF($N180&lt;=1,
IF($N180&gt;0,1/$N180,0),VDB(1,0,$N180,INT(EF$44-1),MIN($N180,INT(EF$44-1)+1),$DC180,IF($DD180="No",1,0))/
IF(DN180&gt;INT($N180),$N180-INT($N180),1))*
IF(EF$44=1,DN180,
IF(INT(DN180)=INT(DM180),0,DN180-INT(DN180)))))</f>
        <v>0</v>
      </c>
      <c r="EG180" s="835">
        <f>+IF(DO180=DN180,0,
IF(AND(EG$44&gt;1,DO180=$N180),1-SUM($EE180:EF180),
IF($N180&lt;=1,
IF($N180&gt;0,1/$N180,0),
IF(EG$44=1,0,VDB(1,0,$N180,INT(EG$44-1-1),MIN($N180,INT(EG$44-1-1)+1),$DC180,IF($DD180="No",1,0))/
IF(DN180&gt;=INT($N180),$N180-INT($N180),1)))*
IF(EG$44=1,0,
IF(INT(DO180)=INT(DN180),DO180-DN180,INT(DO180)-DN180))+
IF($N180&lt;=1,
IF($N180&gt;0,1/$N180,0),VDB(1,0,$N180,INT(EG$44-1),MIN($N180,INT(EG$44-1)+1),$DC180,IF($DD180="No",1,0))/
IF(DO180&gt;INT($N180),$N180-INT($N180),1))*
IF(EG$44=1,DO180,
IF(INT(DO180)=INT(DN180),0,DO180-INT(DO180)))))</f>
        <v>0</v>
      </c>
      <c r="EH180" s="836">
        <f>+IF(DP180=DO180,0,
IF(AND(EH$44&gt;1,DP180=$N180),1-SUM($EE180:EG180),
IF($N180&lt;=1,
IF($N180&gt;0,1/$N180,0),
IF(EH$44=1,0,VDB(1,0,$N180,INT(EH$44-1-1),MIN($N180,INT(EH$44-1-1)+1),$DC180,IF($DD180="No",1,0))/
IF(DO180&gt;=INT($N180),$N180-INT($N180),1)))*
IF(EH$44=1,0,
IF(INT(DP180)=INT(DO180),DP180-DO180,INT(DP180)-DO180))+
IF($N180&lt;=1,
IF($N180&gt;0,1/$N180,0),VDB(1,0,$N180,INT(EH$44-1),MIN($N180,INT(EH$44-1)+1),$DC180,IF($DD180="No",1,0))/
IF(DP180&gt;INT($N180),$N180-INT($N180),1))*
IF(EH$44=1,DP180,
IF(INT(DP180)=INT(DO180),0,DP180-INT(DP180)))))</f>
        <v>0</v>
      </c>
      <c r="EI180" s="834">
        <f>+IF(DQ180=DP180,0,
IF(AND(EI$44&gt;1,DQ180=$N180),1-SUM($EE180:EH180),
IF($N180&lt;=1,
IF($N180&gt;0,1/$N180,0),
IF(EI$44=1,0,VDB(1,0,$N180,INT(EI$44-1-1),MIN($N180,INT(EI$44-1-1)+1),$DC180,IF($DD180="No",1,0))/
IF(DP180&gt;=INT($N180),$N180-INT($N180),1)))*
IF(EI$44=1,0,
IF(INT(DQ180)=INT(DP180),DQ180-DP180,INT(DQ180)-DP180))+
IF($N180&lt;=1,
IF($N180&gt;0,1/$N180,0),VDB(1,0,$N180,INT(EI$44-1),MIN($N180,INT(EI$44-1)+1),$DC180,IF($DD180="No",1,0))/
IF(DQ180&gt;INT($N180),$N180-INT($N180),1))*
IF(EI$44=1,DQ180,
IF(INT(DQ180)=INT(DP180),0,DQ180-INT(DQ180)))))</f>
        <v>0</v>
      </c>
      <c r="EJ180" s="835">
        <f>+IF(DR180=DQ180,0,
IF(AND(EJ$44&gt;1,DR180=$N180),1-SUM($EE180:EI180),
IF($N180&lt;=1,
IF($N180&gt;0,1/$N180,0),
IF(EJ$44=1,0,VDB(1,0,$N180,INT(EJ$44-1-1),MIN($N180,INT(EJ$44-1-1)+1),$DC180,IF($DD180="No",1,0))/
IF(DQ180&gt;=INT($N180),$N180-INT($N180),1)))*
IF(EJ$44=1,0,
IF(INT(DR180)=INT(DQ180),DR180-DQ180,INT(DR180)-DQ180))+
IF($N180&lt;=1,
IF($N180&gt;0,1/$N180,0),VDB(1,0,$N180,INT(EJ$44-1),MIN($N180,INT(EJ$44-1)+1),$DC180,IF($DD180="No",1,0))/
IF(DR180&gt;INT($N180),$N180-INT($N180),1))*
IF(EJ$44=1,DR180,
IF(INT(DR180)=INT(DQ180),0,DR180-INT(DR180)))))</f>
        <v>0</v>
      </c>
      <c r="EK180" s="835">
        <f>+IF(DS180=DR180,0,
IF(AND(EK$44&gt;1,DS180=$N180),1-SUM($EE180:EJ180),
IF($N180&lt;=1,
IF($N180&gt;0,1/$N180,0),
IF(EK$44=1,0,VDB(1,0,$N180,INT(EK$44-1-1),MIN($N180,INT(EK$44-1-1)+1),$DC180,IF($DD180="No",1,0))/
IF(DR180&gt;=INT($N180),$N180-INT($N180),1)))*
IF(EK$44=1,0,
IF(INT(DS180)=INT(DR180),DS180-DR180,INT(DS180)-DR180))+
IF($N180&lt;=1,
IF($N180&gt;0,1/$N180,0),VDB(1,0,$N180,INT(EK$44-1),MIN($N180,INT(EK$44-1)+1),$DC180,IF($DD180="No",1,0))/
IF(DS180&gt;INT($N180),$N180-INT($N180),1))*
IF(EK$44=1,DS180,
IF(INT(DS180)=INT(DR180),0,DS180-INT(DS180)))))</f>
        <v>0</v>
      </c>
      <c r="EL180" s="835">
        <f>+IF(DT180=DS180,0,
IF(AND(EL$44&gt;1,DT180=$N180),1-SUM($EE180:EK180),
IF($N180&lt;=1,
IF($N180&gt;0,1/$N180,0),
IF(EL$44=1,0,VDB(1,0,$N180,INT(EL$44-1-1),MIN($N180,INT(EL$44-1-1)+1),$DC180,IF($DD180="No",1,0))/
IF(DS180&gt;=INT($N180),$N180-INT($N180),1)))*
IF(EL$44=1,0,
IF(INT(DT180)=INT(DS180),DT180-DS180,INT(DT180)-DS180))+
IF($N180&lt;=1,
IF($N180&gt;0,1/$N180,0),VDB(1,0,$N180,INT(EL$44-1),MIN($N180,INT(EL$44-1)+1),$DC180,IF($DD180="No",1,0))/
IF(DT180&gt;INT($N180),$N180-INT($N180),1))*
IF(EL$44=1,DT180,
IF(INT(DT180)=INT(DS180),0,DT180-INT(DT180)))))</f>
        <v>0</v>
      </c>
      <c r="EM180" s="836">
        <f>+IF(DU180=DT180,0,
IF(AND(EM$44&gt;1,DU180=$N180),1-SUM($EE180:EL180),
IF($N180&lt;=1,
IF($N180&gt;0,1/$N180,0),
IF(EM$44=1,0,VDB(1,0,$N180,INT(EM$44-1-1),MIN($N180,INT(EM$44-1-1)+1),$DC180,IF($DD180="No",1,0))/
IF(DT180&gt;=INT($N180),$N180-INT($N180),1)))*
IF(EM$44=1,0,
IF(INT(DU180)=INT(DT180),DU180-DT180,INT(DU180)-DT180))+
IF($N180&lt;=1,
IF($N180&gt;0,1/$N180,0),VDB(1,0,$N180,INT(EM$44-1),MIN($N180,INT(EM$44-1)+1),$DC180,IF($DD180="No",1,0))/
IF(DU180&gt;INT($N180),$N180-INT($N180),1))*
IF(EM$44=1,DU180,
IF(INT(DU180)=INT(DT180),0,DU180-INT(DU180)))))</f>
        <v>0</v>
      </c>
      <c r="EN180" s="833"/>
      <c r="EO180" s="834">
        <f>+IF(OR(DW180=DV180,EO$44=1),0,
IF(AND(EO$44&gt;1,DW180=$N180),1-SUM($EN180:EN180),
IF($N180&lt;=1,
IF($N180&gt;0,1/$N180,0),
IF(EO$44=2,0,VDB(1,0,$N180,INT(EO$44-2-1),MIN($N180,INT(EO$44-2-1)+1),$DC180,IF($DD180="No",1,0))/
IF(DV180&gt;=INT($N180),$N180-INT($N180),1)))*
IF(EO$44=2,0,
IF(INT(DW180)=INT(DV180),DW180-DV180,INT(DW180)-DV180))+
IF($N180&lt;=1,
IF($N180&gt;0,1/$N180,0),VDB(1,0,$N180,INT(EO$44-2),MIN($N180,INT(EO$44-2)+1),$DC180,IF($DD180="No",1,0))/
IF(DW180&gt;INT($N180),$N180-INT($N180),1))*
IF(EO$44=2,DW180,
IF(INT(DW180)=INT(DV180),0,DW180-INT(DW180)))))</f>
        <v>0</v>
      </c>
      <c r="EP180" s="835">
        <f>+IF(OR(DX180=DW180,EP$44=1),0,
IF(AND(EP$44&gt;1,DX180=$N180),1-SUM($EN180:EO180),
IF($N180&lt;=1,
IF($N180&gt;0,1/$N180,0),
IF(EP$44=2,0,VDB(1,0,$N180,INT(EP$44-2-1),MIN($N180,INT(EP$44-2-1)+1),$DC180,IF($DD180="No",1,0))/
IF(DW180&gt;=INT($N180),$N180-INT($N180),1)))*
IF(EP$44=2,0,
IF(INT(DX180)=INT(DW180),DX180-DW180,INT(DX180)-DW180))+
IF($N180&lt;=1,
IF($N180&gt;0,1/$N180,0),VDB(1,0,$N180,INT(EP$44-2),MIN($N180,INT(EP$44-2)+1),$DC180,IF($DD180="No",1,0))/
IF(DX180&gt;INT($N180),$N180-INT($N180),1))*
IF(EP$44=2,DX180,
IF(INT(DX180)=INT(DW180),0,DX180-INT(DX180)))))</f>
        <v>0</v>
      </c>
      <c r="EQ180" s="836">
        <f>+IF(OR(DY180=DX180,EQ$44=1),0,
IF(AND(EQ$44&gt;1,DY180=$N180),1-SUM($EN180:EP180),
IF($N180&lt;=1,
IF($N180&gt;0,1/$N180,0),
IF(EQ$44=2,0,VDB(1,0,$N180,INT(EQ$44-2-1),MIN($N180,INT(EQ$44-2-1)+1),$DC180,IF($DD180="No",1,0))/
IF(DX180&gt;=INT($N180),$N180-INT($N180),1)))*
IF(EQ$44=2,0,
IF(INT(DY180)=INT(DX180),DY180-DX180,INT(DY180)-DX180))+
IF($N180&lt;=1,
IF($N180&gt;0,1/$N180,0),VDB(1,0,$N180,INT(EQ$44-2),MIN($N180,INT(EQ$44-2)+1),$DC180,IF($DD180="No",1,0))/
IF(DY180&gt;INT($N180),$N180-INT($N180),1))*
IF(EQ$44=2,DY180,
IF(INT(DY180)=INT(DX180),0,DY180-INT(DY180)))))</f>
        <v>0</v>
      </c>
      <c r="ER180" s="834">
        <f>+IF(OR(DZ180=DY180,ER$44=1),0,
IF(AND(ER$44&gt;1,DZ180=$N180),1-SUM($EN180:EQ180),
IF($N180&lt;=1,
IF($N180&gt;0,1/$N180,0),
IF(ER$44=2,0,VDB(1,0,$N180,INT(ER$44-2-1),MIN($N180,INT(ER$44-2-1)+1),$DC180,IF($DD180="No",1,0))/
IF(DY180&gt;=INT($N180),$N180-INT($N180),1)))*
IF(ER$44=2,0,
IF(INT(DZ180)=INT(DY180),DZ180-DY180,INT(DZ180)-DY180))+
IF($N180&lt;=1,
IF($N180&gt;0,1/$N180,0),VDB(1,0,$N180,INT(ER$44-2),MIN($N180,INT(ER$44-2)+1),$DC180,IF($DD180="No",1,0))/
IF(DZ180&gt;INT($N180),$N180-INT($N180),1))*
IF(ER$44=2,DZ180,
IF(INT(DZ180)=INT(DY180),0,DZ180-INT(DZ180)))))</f>
        <v>0</v>
      </c>
      <c r="ES180" s="835">
        <f>+IF(OR(EA180=DZ180,ES$44=1),0,
IF(AND(ES$44&gt;1,EA180=$N180),1-SUM($EN180:ER180),
IF($N180&lt;=1,
IF($N180&gt;0,1/$N180,0),
IF(ES$44=2,0,VDB(1,0,$N180,INT(ES$44-2-1),MIN($N180,INT(ES$44-2-1)+1),$DC180,IF($DD180="No",1,0))/
IF(DZ180&gt;=INT($N180),$N180-INT($N180),1)))*
IF(ES$44=2,0,
IF(INT(EA180)=INT(DZ180),EA180-DZ180,INT(EA180)-DZ180))+
IF($N180&lt;=1,
IF($N180&gt;0,1/$N180,0),VDB(1,0,$N180,INT(ES$44-2),MIN($N180,INT(ES$44-2)+1),$DC180,IF($DD180="No",1,0))/
IF(EA180&gt;INT($N180),$N180-INT($N180),1))*
IF(ES$44=2,EA180,
IF(INT(EA180)=INT(DZ180),0,EA180-INT(EA180)))))</f>
        <v>0</v>
      </c>
      <c r="ET180" s="835">
        <f>+IF(OR(EB180=EA180,ET$44=1),0,
IF(AND(ET$44&gt;1,EB180=$N180),1-SUM($EN180:ES180),
IF($N180&lt;=1,
IF($N180&gt;0,1/$N180,0),
IF(ET$44=2,0,VDB(1,0,$N180,INT(ET$44-2-1),MIN($N180,INT(ET$44-2-1)+1),$DC180,IF($DD180="No",1,0))/
IF(EA180&gt;=INT($N180),$N180-INT($N180),1)))*
IF(ET$44=2,0,
IF(INT(EB180)=INT(EA180),EB180-EA180,INT(EB180)-EA180))+
IF($N180&lt;=1,
IF($N180&gt;0,1/$N180,0),VDB(1,0,$N180,INT(ET$44-2),MIN($N180,INT(ET$44-2)+1),$DC180,IF($DD180="No",1,0))/
IF(EB180&gt;INT($N180),$N180-INT($N180),1))*
IF(ET$44=2,EB180,
IF(INT(EB180)=INT(EA180),0,EB180-INT(EB180)))))</f>
        <v>0</v>
      </c>
      <c r="EU180" s="835">
        <f>+IF(OR(EC180=EB180,EU$44=1),0,
IF(AND(EU$44&gt;1,EC180=$N180),1-SUM($EN180:ET180),
IF($N180&lt;=1,
IF($N180&gt;0,1/$N180,0),
IF(EU$44=2,0,VDB(1,0,$N180,INT(EU$44-2-1),MIN($N180,INT(EU$44-2-1)+1),$DC180,IF($DD180="No",1,0))/
IF(EB180&gt;=INT($N180),$N180-INT($N180),1)))*
IF(EU$44=2,0,
IF(INT(EC180)=INT(EB180),EC180-EB180,INT(EC180)-EB180))+
IF($N180&lt;=1,
IF($N180&gt;0,1/$N180,0),VDB(1,0,$N180,INT(EU$44-2),MIN($N180,INT(EU$44-2)+1),$DC180,IF($DD180="No",1,0))/
IF(EC180&gt;INT($N180),$N180-INT($N180),1))*
IF(EU$44=2,EC180,
IF(INT(EC180)=INT(EB180),0,EC180-INT(EC180)))))</f>
        <v>0</v>
      </c>
      <c r="EV180" s="836">
        <f>+IF(OR(ED180=EC180,EV$44=1),0,
IF(AND(EV$44&gt;1,ED180=$N180),1-SUM($EN180:EU180),
IF($N180&lt;=1,
IF($N180&gt;0,1/$N180,0),
IF(EV$44=2,0,VDB(1,0,$N180,INT(EV$44-2-1),MIN($N180,INT(EV$44-2-1)+1),$DC180,IF($DD180="No",1,0))/
IF(EC180&gt;=INT($N180),$N180-INT($N180),1)))*
IF(EV$44=2,0,
IF(INT(ED180)=INT(EC180),ED180-EC180,INT(ED180)-EC180))+
IF($N180&lt;=1,
IF($N180&gt;0,1/$N180,0),VDB(1,0,$N180,INT(EV$44-2),MIN($N180,INT(EV$44-2)+1),$DC180,IF($DD180="No",1,0))/
IF(ED180&gt;INT($N180),$N180-INT($N180),1))*
IF(EV$44=2,ED180,
IF(INT(ED180)=INT(EC180),0,ED180-INT(ED180)))))</f>
        <v>0</v>
      </c>
      <c r="EW180" s="833"/>
      <c r="EX180" s="834">
        <f t="shared" ca="1" si="350"/>
        <v>0</v>
      </c>
      <c r="EY180" s="835">
        <f t="shared" ca="1" si="350"/>
        <v>0</v>
      </c>
      <c r="EZ180" s="836">
        <f t="shared" ca="1" si="350"/>
        <v>0</v>
      </c>
      <c r="FA180" s="834">
        <f t="shared" ca="1" si="350"/>
        <v>0</v>
      </c>
      <c r="FB180" s="835">
        <f t="shared" ca="1" si="350"/>
        <v>0</v>
      </c>
      <c r="FC180" s="835">
        <f t="shared" ca="1" si="350"/>
        <v>0</v>
      </c>
      <c r="FD180" s="835">
        <f t="shared" ca="1" si="350"/>
        <v>0</v>
      </c>
      <c r="FE180" s="836">
        <f t="shared" ca="1" si="350"/>
        <v>0</v>
      </c>
      <c r="FG180" s="386">
        <f t="shared" ca="1" si="351"/>
        <v>0</v>
      </c>
      <c r="FH180" s="387">
        <f t="shared" ca="1" si="352"/>
        <v>0</v>
      </c>
      <c r="FI180" s="388">
        <f t="shared" ca="1" si="353"/>
        <v>0</v>
      </c>
      <c r="FJ180" s="386">
        <f t="shared" ca="1" si="354"/>
        <v>0</v>
      </c>
      <c r="FK180" s="387">
        <f t="shared" ca="1" si="355"/>
        <v>0</v>
      </c>
      <c r="FL180" s="387">
        <f t="shared" ca="1" si="356"/>
        <v>0</v>
      </c>
      <c r="FM180" s="387">
        <f t="shared" ca="1" si="357"/>
        <v>0</v>
      </c>
      <c r="FN180" s="388">
        <f t="shared" ca="1" si="358"/>
        <v>0</v>
      </c>
      <c r="FR180" s="116"/>
    </row>
    <row r="181" spans="2:174">
      <c r="B181" s="1410">
        <f t="shared" si="302"/>
        <v>135</v>
      </c>
      <c r="C181" s="400" t="s">
        <v>699</v>
      </c>
      <c r="D181" s="410"/>
      <c r="E181" s="402" t="s">
        <v>402</v>
      </c>
      <c r="F181" s="402" t="s">
        <v>514</v>
      </c>
      <c r="G181" s="400" t="s">
        <v>522</v>
      </c>
      <c r="H181" s="2088" t="s">
        <v>483</v>
      </c>
      <c r="I181" s="2089"/>
      <c r="J181" s="411" t="s">
        <v>516</v>
      </c>
      <c r="K181" s="403" t="s">
        <v>544</v>
      </c>
      <c r="L181" s="403">
        <v>35</v>
      </c>
      <c r="M181" s="403" t="s">
        <v>142</v>
      </c>
      <c r="N181" s="403"/>
      <c r="O181" s="347"/>
      <c r="P181" s="347"/>
      <c r="Q181" s="1021">
        <v>4.62</v>
      </c>
      <c r="R181" s="1022">
        <v>4.63</v>
      </c>
      <c r="S181" s="1022">
        <v>4.63</v>
      </c>
      <c r="T181" s="1022">
        <v>4.63</v>
      </c>
      <c r="U181" s="1023">
        <v>4.59</v>
      </c>
      <c r="V181" s="1021">
        <v>2.35</v>
      </c>
      <c r="W181" s="1022">
        <v>0</v>
      </c>
      <c r="X181" s="1022">
        <v>0</v>
      </c>
      <c r="Y181" s="1022">
        <v>0</v>
      </c>
      <c r="Z181" s="1023">
        <v>0</v>
      </c>
      <c r="AA181" s="1024"/>
      <c r="AB181" s="1021">
        <v>0</v>
      </c>
      <c r="AC181" s="1022">
        <v>0</v>
      </c>
      <c r="AD181" s="1022">
        <v>0</v>
      </c>
      <c r="AE181" s="1022">
        <v>0</v>
      </c>
      <c r="AF181" s="1023">
        <v>0</v>
      </c>
      <c r="AG181" s="1021">
        <v>0</v>
      </c>
      <c r="AH181" s="1022">
        <v>0</v>
      </c>
      <c r="AI181" s="1022">
        <v>0</v>
      </c>
      <c r="AJ181" s="1022">
        <v>0</v>
      </c>
      <c r="AK181" s="1023">
        <v>0</v>
      </c>
      <c r="AL181" s="1024"/>
      <c r="AM181" s="1021">
        <v>0</v>
      </c>
      <c r="AN181" s="1022">
        <v>0</v>
      </c>
      <c r="AO181" s="1022">
        <v>0</v>
      </c>
      <c r="AP181" s="1022">
        <v>0</v>
      </c>
      <c r="AQ181" s="1023">
        <v>0</v>
      </c>
      <c r="AR181" s="1021">
        <v>0</v>
      </c>
      <c r="AS181" s="1022">
        <v>0</v>
      </c>
      <c r="AT181" s="1022">
        <v>0</v>
      </c>
      <c r="AU181" s="1022">
        <v>0</v>
      </c>
      <c r="AV181" s="1023">
        <v>0</v>
      </c>
      <c r="AW181" s="1025"/>
      <c r="AX181" s="1282">
        <f t="shared" si="304"/>
        <v>4.62</v>
      </c>
      <c r="AY181" s="387">
        <f t="shared" si="305"/>
        <v>4.63</v>
      </c>
      <c r="AZ181" s="387">
        <f t="shared" si="306"/>
        <v>4.63</v>
      </c>
      <c r="BA181" s="387">
        <f t="shared" si="307"/>
        <v>4.63</v>
      </c>
      <c r="BB181" s="1283">
        <f t="shared" si="308"/>
        <v>4.59</v>
      </c>
      <c r="BC181" s="386">
        <f t="shared" si="309"/>
        <v>2.35</v>
      </c>
      <c r="BD181" s="387">
        <f t="shared" si="310"/>
        <v>0</v>
      </c>
      <c r="BE181" s="1277">
        <f t="shared" si="311"/>
        <v>0</v>
      </c>
      <c r="BF181" s="1277">
        <f t="shared" si="312"/>
        <v>0</v>
      </c>
      <c r="BG181" s="388">
        <f t="shared" si="313"/>
        <v>0</v>
      </c>
      <c r="BH181" s="1025"/>
      <c r="BI181" s="1282">
        <f t="shared" ca="1" si="314"/>
        <v>6.6000000000000003E-2</v>
      </c>
      <c r="BJ181" s="387">
        <f t="shared" ca="1" si="315"/>
        <v>0.19814285714285715</v>
      </c>
      <c r="BK181" s="387">
        <f t="shared" ca="1" si="316"/>
        <v>0.3304285714285714</v>
      </c>
      <c r="BL181" s="387">
        <f t="shared" ca="1" si="317"/>
        <v>0.46271428571428563</v>
      </c>
      <c r="BM181" s="1283">
        <f t="shared" ca="1" si="318"/>
        <v>0.59442857142857142</v>
      </c>
      <c r="BN181" s="386">
        <f t="shared" ca="1" si="319"/>
        <v>0.69357142857142851</v>
      </c>
      <c r="BO181" s="387">
        <f t="shared" ca="1" si="320"/>
        <v>0.72714285714285709</v>
      </c>
      <c r="BP181" s="1277">
        <f t="shared" ca="1" si="321"/>
        <v>0.72714285714285709</v>
      </c>
      <c r="BQ181" s="1277">
        <f t="shared" ca="1" si="322"/>
        <v>0.72714285714285709</v>
      </c>
      <c r="BR181" s="388">
        <f t="shared" ca="1" si="323"/>
        <v>0.72714285714285709</v>
      </c>
      <c r="BS181" s="1025"/>
      <c r="BT181" s="1282">
        <f>+IF($K181="Ongoing",AX181,IF(RIGHT($K181,2)=RIGHT(BT$43,2),SUM($AX181:AX181),0)+IF(RIGHT(BT$43,2)&gt;RIGHT($K181,2),AX181,0))</f>
        <v>4.62</v>
      </c>
      <c r="BU181" s="387">
        <f>+IF($K181="Ongoing",AY181,IF(RIGHT($K181,2)=RIGHT(BU$43,2),SUM($AX181:AY181),0)+IF(RIGHT(BU$43,2)&gt;RIGHT($K181,2),AY181,0))</f>
        <v>4.63</v>
      </c>
      <c r="BV181" s="387">
        <f>+IF($K181="Ongoing",AZ181,IF(RIGHT($K181,2)=RIGHT(BV$43,2),SUM($AX181:AZ181),0)+IF(RIGHT(BV$43,2)&gt;RIGHT($K181,2),AZ181,0))</f>
        <v>4.63</v>
      </c>
      <c r="BW181" s="387">
        <f>+IF($K181="Ongoing",BA181,IF(RIGHT($K181,2)=RIGHT(BW$43,2),SUM($AX181:BA181),0)+IF(RIGHT(BW$43,2)&gt;RIGHT($K181,2),BA181,0))</f>
        <v>4.63</v>
      </c>
      <c r="BX181" s="1283">
        <f>+IF($K181="Ongoing",BB181,IF(RIGHT($K181,2)=RIGHT(BX$43,2),SUM($AX181:BB181),0)+IF(RIGHT(BX$43,2)&gt;RIGHT($K181,2),BB181,0))</f>
        <v>4.59</v>
      </c>
      <c r="BY181" s="386">
        <f>+IF($K181="Ongoing",BC181,IF(RIGHT($K181,2)=RIGHT(BY$43,2),SUM($AX181:BC181),0)+IF(RIGHT(BY$43,2)&gt;RIGHT($K181,2),BC181,0))</f>
        <v>2.35</v>
      </c>
      <c r="BZ181" s="387">
        <f>+IF($K181="Ongoing",BD181,IF(RIGHT($K181,2)=RIGHT(BZ$43,2),SUM($AX181:BD181),0)+IF(RIGHT(BZ$43,2)&gt;RIGHT($K181,2),BD181,0))</f>
        <v>0</v>
      </c>
      <c r="CA181" s="1277">
        <f>+IF($K181="Ongoing",BE181,IF(RIGHT($K181,2)=RIGHT(CA$43,2),SUM($AX181:BE181),0)+IF(RIGHT(CA$43,2)&gt;RIGHT($K181,2),BE181,0))</f>
        <v>0</v>
      </c>
      <c r="CB181" s="1277">
        <f>+IF($K181="Ongoing",BF181,IF(RIGHT($K181,2)=RIGHT(CB$43,2),SUM($AX181:BF181),0)+IF(RIGHT(CB$43,2)&gt;RIGHT($K181,2),BF181,0))</f>
        <v>0</v>
      </c>
      <c r="CC181" s="388">
        <f>+IF($K181="Ongoing",BG181,IF(RIGHT($K181,2)=RIGHT(CC$43,2),SUM($AX181:BG181),0)+IF(RIGHT(CC$43,2)&gt;RIGHT($K181,2),BG181,0))</f>
        <v>0</v>
      </c>
      <c r="CD181" s="1025"/>
      <c r="CE181" s="1282">
        <f>+Q181*KeyAssumptionsPriceControl_FO!AF$15</f>
        <v>4.7539799999999994</v>
      </c>
      <c r="CF181" s="387">
        <f>+R181*KeyAssumptionsPriceControl_FO!AG$15</f>
        <v>4.9024338299999997</v>
      </c>
      <c r="CG181" s="387">
        <f>+S181*KeyAssumptionsPriceControl_FO!AH$15</f>
        <v>5.044604411069999</v>
      </c>
      <c r="CH181" s="387">
        <f>+T181*KeyAssumptionsPriceControl_FO!AI$15</f>
        <v>5.1908979389910286</v>
      </c>
      <c r="CI181" s="1283">
        <f>+U181*KeyAssumptionsPriceControl_FO!AJ$15</f>
        <v>5.2952876813451226</v>
      </c>
      <c r="CJ181" s="386">
        <f>+V181*KeyAssumptionsPriceControl_FO!AK$15</f>
        <v>2.7897167552602848</v>
      </c>
      <c r="CK181" s="387">
        <f>+W181*KeyAssumptionsPriceControl_FO!AL$15</f>
        <v>0</v>
      </c>
      <c r="CL181" s="1277">
        <f>+X181*KeyAssumptionsPriceControl_FO!AM$15</f>
        <v>0</v>
      </c>
      <c r="CM181" s="1277">
        <f>+Y181*KeyAssumptionsPriceControl_FO!AN$15</f>
        <v>0</v>
      </c>
      <c r="CN181" s="388">
        <f>+Z181*KeyAssumptionsPriceControl_FO!AO$15</f>
        <v>0</v>
      </c>
      <c r="CO181" s="1025"/>
      <c r="CP181" s="1282">
        <f t="shared" ca="1" si="324"/>
        <v>0</v>
      </c>
      <c r="CQ181" s="387">
        <f t="shared" ca="1" si="325"/>
        <v>0</v>
      </c>
      <c r="CR181" s="387">
        <f t="shared" ca="1" si="326"/>
        <v>0</v>
      </c>
      <c r="CS181" s="387">
        <f t="shared" ca="1" si="327"/>
        <v>0</v>
      </c>
      <c r="CT181" s="1283">
        <f t="shared" ca="1" si="328"/>
        <v>0</v>
      </c>
      <c r="CU181" s="386">
        <f t="shared" ca="1" si="329"/>
        <v>0</v>
      </c>
      <c r="CV181" s="387">
        <f t="shared" ca="1" si="330"/>
        <v>0</v>
      </c>
      <c r="CW181" s="1277">
        <f t="shared" ca="1" si="331"/>
        <v>0</v>
      </c>
      <c r="CX181" s="1277">
        <f t="shared" ca="1" si="332"/>
        <v>0</v>
      </c>
      <c r="CY181" s="388">
        <f t="shared" ca="1" si="333"/>
        <v>0</v>
      </c>
      <c r="CZ181" s="347"/>
      <c r="DA181" s="852"/>
      <c r="DB181" s="347"/>
      <c r="DC181" s="1012" t="s">
        <v>700</v>
      </c>
      <c r="DD181" s="841" t="s">
        <v>518</v>
      </c>
      <c r="DE181" s="386">
        <f>+IF($K181="ongoing",CE181,IF(RIGHT($K181,2)=RIGHT(DE$43,2),SUM($CD181:CE181),0)+IF(RIGHT(DE$43,2)&gt;RIGHT($K181,2),CE181,0))</f>
        <v>4.7539799999999994</v>
      </c>
      <c r="DF181" s="387">
        <f>+IF($K181="ongoing",CF181,IF(RIGHT($K181,2)=RIGHT(DF$43,2),SUM($CD181:CF181),0)+IF(RIGHT(DF$43,2)&gt;RIGHT($K181,2),CF181,0))</f>
        <v>4.9024338299999997</v>
      </c>
      <c r="DG181" s="388">
        <f>+IF($K181="ongoing",CG181,IF(RIGHT($K181,2)=RIGHT(DG$43,2),SUM($CD181:CG181),0)+IF(RIGHT(DG$43,2)&gt;RIGHT($K181,2),CG181,0))</f>
        <v>5.044604411069999</v>
      </c>
      <c r="DH181" s="386">
        <f>+IF($K181="ongoing",CH181,IF(RIGHT($K181,2)=RIGHT(DH$43,2),SUM($CD181:CH181),0)+IF(RIGHT(DH$43,2)&gt;RIGHT($K181,2),CH181,0))</f>
        <v>5.1908979389910286</v>
      </c>
      <c r="DI181" s="387">
        <f>+IF($K181="ongoing",CI181,IF(RIGHT($K181,2)=RIGHT(DI$43,2),SUM($CD181:CI181),0)+IF(RIGHT(DI$43,2)&gt;RIGHT($K181,2),CI181,0))</f>
        <v>5.2952876813451226</v>
      </c>
      <c r="DJ181" s="387">
        <f>+IF($K181="ongoing",CJ181,IF(RIGHT($K181,2)=RIGHT(DJ$43,2),SUM($CD181:CJ181),0)+IF(RIGHT(DJ$43,2)&gt;RIGHT($K181,2),CJ181,0))</f>
        <v>2.7897167552602848</v>
      </c>
      <c r="DK181" s="387">
        <f>+IF($K181="ongoing",CK181,IF(RIGHT($K181,2)=RIGHT(DK$43,2),SUM($CD181:CK181),0)+IF(RIGHT(DK$43,2)&gt;RIGHT($K181,2),CK181,0))</f>
        <v>0</v>
      </c>
      <c r="DL181" s="388">
        <f>+IF($K181="ongoing",CN181,IF(RIGHT($K181,2)=RIGHT(DL$43,2),SUM($CD181:CN181),0)+IF(RIGHT(DL$43,2)&gt;RIGHT($K181,2),CN181,0))</f>
        <v>0</v>
      </c>
      <c r="DM181" s="841"/>
      <c r="DN181" s="386">
        <f t="shared" si="334"/>
        <v>0.5</v>
      </c>
      <c r="DO181" s="387">
        <f t="shared" si="335"/>
        <v>1</v>
      </c>
      <c r="DP181" s="388">
        <f t="shared" si="336"/>
        <v>1</v>
      </c>
      <c r="DQ181" s="386">
        <f t="shared" si="337"/>
        <v>1</v>
      </c>
      <c r="DR181" s="387">
        <f t="shared" si="338"/>
        <v>1</v>
      </c>
      <c r="DS181" s="387">
        <f t="shared" si="339"/>
        <v>1</v>
      </c>
      <c r="DT181" s="387">
        <f t="shared" si="340"/>
        <v>1</v>
      </c>
      <c r="DU181" s="388">
        <f t="shared" si="341"/>
        <v>1</v>
      </c>
      <c r="DW181" s="386">
        <f t="shared" si="342"/>
        <v>0</v>
      </c>
      <c r="DX181" s="387">
        <f t="shared" si="343"/>
        <v>0.5</v>
      </c>
      <c r="DY181" s="388">
        <f t="shared" si="344"/>
        <v>1</v>
      </c>
      <c r="DZ181" s="386">
        <f t="shared" si="345"/>
        <v>1</v>
      </c>
      <c r="EA181" s="387">
        <f t="shared" si="346"/>
        <v>1</v>
      </c>
      <c r="EB181" s="387">
        <f t="shared" si="347"/>
        <v>1</v>
      </c>
      <c r="EC181" s="387">
        <f t="shared" si="348"/>
        <v>1</v>
      </c>
      <c r="ED181" s="388">
        <f t="shared" si="349"/>
        <v>1</v>
      </c>
      <c r="EF181" s="834">
        <f>+IF(DN181=DM181,0,
IF(AND(EF$44&gt;1,DN181=$N181),1-SUM($EE181:EE181),
IF($N181&lt;=1,
IF($N181&gt;0,1/$N181,0),
IF(EF$44=1,0,VDB(1,0,$N181,INT(EF$44-1-1),MIN($N181,INT(EF$44-1-1)+1),$DC181,IF($DD181="No",1,0))/
IF(DM181&gt;=INT($N181),$N181-INT($N181),1)))*
IF(EF$44=1,0,
IF(INT(DN181)=INT(DM181),DN181-DM181,INT(DN181)-DM181))+
IF($N181&lt;=1,
IF($N181&gt;0,1/$N181,0),VDB(1,0,$N181,INT(EF$44-1),MIN($N181,INT(EF$44-1)+1),$DC181,IF($DD181="No",1,0))/
IF(DN181&gt;INT($N181),$N181-INT($N181),1))*
IF(EF$44=1,DN181,
IF(INT(DN181)=INT(DM181),0,DN181-INT(DN181)))))</f>
        <v>0</v>
      </c>
      <c r="EG181" s="835">
        <f>+IF(DO181=DN181,0,
IF(AND(EG$44&gt;1,DO181=$N181),1-SUM($EE181:EF181),
IF($N181&lt;=1,
IF($N181&gt;0,1/$N181,0),
IF(EG$44=1,0,VDB(1,0,$N181,INT(EG$44-1-1),MIN($N181,INT(EG$44-1-1)+1),$DC181,IF($DD181="No",1,0))/
IF(DN181&gt;=INT($N181),$N181-INT($N181),1)))*
IF(EG$44=1,0,
IF(INT(DO181)=INT(DN181),DO181-DN181,INT(DO181)-DN181))+
IF($N181&lt;=1,
IF($N181&gt;0,1/$N181,0),VDB(1,0,$N181,INT(EG$44-1),MIN($N181,INT(EG$44-1)+1),$DC181,IF($DD181="No",1,0))/
IF(DO181&gt;INT($N181),$N181-INT($N181),1))*
IF(EG$44=1,DO181,
IF(INT(DO181)=INT(DN181),0,DO181-INT(DO181)))))</f>
        <v>0</v>
      </c>
      <c r="EH181" s="836">
        <f>+IF(DP181=DO181,0,
IF(AND(EH$44&gt;1,DP181=$N181),1-SUM($EE181:EG181),
IF($N181&lt;=1,
IF($N181&gt;0,1/$N181,0),
IF(EH$44=1,0,VDB(1,0,$N181,INT(EH$44-1-1),MIN($N181,INT(EH$44-1-1)+1),$DC181,IF($DD181="No",1,0))/
IF(DO181&gt;=INT($N181),$N181-INT($N181),1)))*
IF(EH$44=1,0,
IF(INT(DP181)=INT(DO181),DP181-DO181,INT(DP181)-DO181))+
IF($N181&lt;=1,
IF($N181&gt;0,1/$N181,0),VDB(1,0,$N181,INT(EH$44-1),MIN($N181,INT(EH$44-1)+1),$DC181,IF($DD181="No",1,0))/
IF(DP181&gt;INT($N181),$N181-INT($N181),1))*
IF(EH$44=1,DP181,
IF(INT(DP181)=INT(DO181),0,DP181-INT(DP181)))))</f>
        <v>0</v>
      </c>
      <c r="EI181" s="834">
        <f>+IF(DQ181=DP181,0,
IF(AND(EI$44&gt;1,DQ181=$N181),1-SUM($EE181:EH181),
IF($N181&lt;=1,
IF($N181&gt;0,1/$N181,0),
IF(EI$44=1,0,VDB(1,0,$N181,INT(EI$44-1-1),MIN($N181,INT(EI$44-1-1)+1),$DC181,IF($DD181="No",1,0))/
IF(DP181&gt;=INT($N181),$N181-INT($N181),1)))*
IF(EI$44=1,0,
IF(INT(DQ181)=INT(DP181),DQ181-DP181,INT(DQ181)-DP181))+
IF($N181&lt;=1,
IF($N181&gt;0,1/$N181,0),VDB(1,0,$N181,INT(EI$44-1),MIN($N181,INT(EI$44-1)+1),$DC181,IF($DD181="No",1,0))/
IF(DQ181&gt;INT($N181),$N181-INT($N181),1))*
IF(EI$44=1,DQ181,
IF(INT(DQ181)=INT(DP181),0,DQ181-INT(DQ181)))))</f>
        <v>0</v>
      </c>
      <c r="EJ181" s="835">
        <f>+IF(DR181=DQ181,0,
IF(AND(EJ$44&gt;1,DR181=$N181),1-SUM($EE181:EI181),
IF($N181&lt;=1,
IF($N181&gt;0,1/$N181,0),
IF(EJ$44=1,0,VDB(1,0,$N181,INT(EJ$44-1-1),MIN($N181,INT(EJ$44-1-1)+1),$DC181,IF($DD181="No",1,0))/
IF(DQ181&gt;=INT($N181),$N181-INT($N181),1)))*
IF(EJ$44=1,0,
IF(INT(DR181)=INT(DQ181),DR181-DQ181,INT(DR181)-DQ181))+
IF($N181&lt;=1,
IF($N181&gt;0,1/$N181,0),VDB(1,0,$N181,INT(EJ$44-1),MIN($N181,INT(EJ$44-1)+1),$DC181,IF($DD181="No",1,0))/
IF(DR181&gt;INT($N181),$N181-INT($N181),1))*
IF(EJ$44=1,DR181,
IF(INT(DR181)=INT(DQ181),0,DR181-INT(DR181)))))</f>
        <v>0</v>
      </c>
      <c r="EK181" s="835">
        <f>+IF(DS181=DR181,0,
IF(AND(EK$44&gt;1,DS181=$N181),1-SUM($EE181:EJ181),
IF($N181&lt;=1,
IF($N181&gt;0,1/$N181,0),
IF(EK$44=1,0,VDB(1,0,$N181,INT(EK$44-1-1),MIN($N181,INT(EK$44-1-1)+1),$DC181,IF($DD181="No",1,0))/
IF(DR181&gt;=INT($N181),$N181-INT($N181),1)))*
IF(EK$44=1,0,
IF(INT(DS181)=INT(DR181),DS181-DR181,INT(DS181)-DR181))+
IF($N181&lt;=1,
IF($N181&gt;0,1/$N181,0),VDB(1,0,$N181,INT(EK$44-1),MIN($N181,INT(EK$44-1)+1),$DC181,IF($DD181="No",1,0))/
IF(DS181&gt;INT($N181),$N181-INT($N181),1))*
IF(EK$44=1,DS181,
IF(INT(DS181)=INT(DR181),0,DS181-INT(DS181)))))</f>
        <v>0</v>
      </c>
      <c r="EL181" s="835">
        <f>+IF(DT181=DS181,0,
IF(AND(EL$44&gt;1,DT181=$N181),1-SUM($EE181:EK181),
IF($N181&lt;=1,
IF($N181&gt;0,1/$N181,0),
IF(EL$44=1,0,VDB(1,0,$N181,INT(EL$44-1-1),MIN($N181,INT(EL$44-1-1)+1),$DC181,IF($DD181="No",1,0))/
IF(DS181&gt;=INT($N181),$N181-INT($N181),1)))*
IF(EL$44=1,0,
IF(INT(DT181)=INT(DS181),DT181-DS181,INT(DT181)-DS181))+
IF($N181&lt;=1,
IF($N181&gt;0,1/$N181,0),VDB(1,0,$N181,INT(EL$44-1),MIN($N181,INT(EL$44-1)+1),$DC181,IF($DD181="No",1,0))/
IF(DT181&gt;INT($N181),$N181-INT($N181),1))*
IF(EL$44=1,DT181,
IF(INT(DT181)=INT(DS181),0,DT181-INT(DT181)))))</f>
        <v>0</v>
      </c>
      <c r="EM181" s="836">
        <f>+IF(DU181=DT181,0,
IF(AND(EM$44&gt;1,DU181=$N181),1-SUM($EE181:EL181),
IF($N181&lt;=1,
IF($N181&gt;0,1/$N181,0),
IF(EM$44=1,0,VDB(1,0,$N181,INT(EM$44-1-1),MIN($N181,INT(EM$44-1-1)+1),$DC181,IF($DD181="No",1,0))/
IF(DT181&gt;=INT($N181),$N181-INT($N181),1)))*
IF(EM$44=1,0,
IF(INT(DU181)=INT(DT181),DU181-DT181,INT(DU181)-DT181))+
IF($N181&lt;=1,
IF($N181&gt;0,1/$N181,0),VDB(1,0,$N181,INT(EM$44-1),MIN($N181,INT(EM$44-1)+1),$DC181,IF($DD181="No",1,0))/
IF(DU181&gt;INT($N181),$N181-INT($N181),1))*
IF(EM$44=1,DU181,
IF(INT(DU181)=INT(DT181),0,DU181-INT(DU181)))))</f>
        <v>0</v>
      </c>
      <c r="EN181" s="833"/>
      <c r="EO181" s="834">
        <f>+IF(OR(DW181=DV181,EO$44=1),0,
IF(AND(EO$44&gt;1,DW181=$N181),1-SUM($EN181:EN181),
IF($N181&lt;=1,
IF($N181&gt;0,1/$N181,0),
IF(EO$44=2,0,VDB(1,0,$N181,INT(EO$44-2-1),MIN($N181,INT(EO$44-2-1)+1),$DC181,IF($DD181="No",1,0))/
IF(DV181&gt;=INT($N181),$N181-INT($N181),1)))*
IF(EO$44=2,0,
IF(INT(DW181)=INT(DV181),DW181-DV181,INT(DW181)-DV181))+
IF($N181&lt;=1,
IF($N181&gt;0,1/$N181,0),VDB(1,0,$N181,INT(EO$44-2),MIN($N181,INT(EO$44-2)+1),$DC181,IF($DD181="No",1,0))/
IF(DW181&gt;INT($N181),$N181-INT($N181),1))*
IF(EO$44=2,DW181,
IF(INT(DW181)=INT(DV181),0,DW181-INT(DW181)))))</f>
        <v>0</v>
      </c>
      <c r="EP181" s="835">
        <f>+IF(OR(DX181=DW181,EP$44=1),0,
IF(AND(EP$44&gt;1,DX181=$N181),1-SUM($EN181:EO181),
IF($N181&lt;=1,
IF($N181&gt;0,1/$N181,0),
IF(EP$44=2,0,VDB(1,0,$N181,INT(EP$44-2-1),MIN($N181,INT(EP$44-2-1)+1),$DC181,IF($DD181="No",1,0))/
IF(DW181&gt;=INT($N181),$N181-INT($N181),1)))*
IF(EP$44=2,0,
IF(INT(DX181)=INT(DW181),DX181-DW181,INT(DX181)-DW181))+
IF($N181&lt;=1,
IF($N181&gt;0,1/$N181,0),VDB(1,0,$N181,INT(EP$44-2),MIN($N181,INT(EP$44-2)+1),$DC181,IF($DD181="No",1,0))/
IF(DX181&gt;INT($N181),$N181-INT($N181),1))*
IF(EP$44=2,DX181,
IF(INT(DX181)=INT(DW181),0,DX181-INT(DX181)))))</f>
        <v>0</v>
      </c>
      <c r="EQ181" s="836">
        <f>+IF(OR(DY181=DX181,EQ$44=1),0,
IF(AND(EQ$44&gt;1,DY181=$N181),1-SUM($EN181:EP181),
IF($N181&lt;=1,
IF($N181&gt;0,1/$N181,0),
IF(EQ$44=2,0,VDB(1,0,$N181,INT(EQ$44-2-1),MIN($N181,INT(EQ$44-2-1)+1),$DC181,IF($DD181="No",1,0))/
IF(DX181&gt;=INT($N181),$N181-INT($N181),1)))*
IF(EQ$44=2,0,
IF(INT(DY181)=INT(DX181),DY181-DX181,INT(DY181)-DX181))+
IF($N181&lt;=1,
IF($N181&gt;0,1/$N181,0),VDB(1,0,$N181,INT(EQ$44-2),MIN($N181,INT(EQ$44-2)+1),$DC181,IF($DD181="No",1,0))/
IF(DY181&gt;INT($N181),$N181-INT($N181),1))*
IF(EQ$44=2,DY181,
IF(INT(DY181)=INT(DX181),0,DY181-INT(DY181)))))</f>
        <v>0</v>
      </c>
      <c r="ER181" s="834">
        <f>+IF(OR(DZ181=DY181,ER$44=1),0,
IF(AND(ER$44&gt;1,DZ181=$N181),1-SUM($EN181:EQ181),
IF($N181&lt;=1,
IF($N181&gt;0,1/$N181,0),
IF(ER$44=2,0,VDB(1,0,$N181,INT(ER$44-2-1),MIN($N181,INT(ER$44-2-1)+1),$DC181,IF($DD181="No",1,0))/
IF(DY181&gt;=INT($N181),$N181-INT($N181),1)))*
IF(ER$44=2,0,
IF(INT(DZ181)=INT(DY181),DZ181-DY181,INT(DZ181)-DY181))+
IF($N181&lt;=1,
IF($N181&gt;0,1/$N181,0),VDB(1,0,$N181,INT(ER$44-2),MIN($N181,INT(ER$44-2)+1),$DC181,IF($DD181="No",1,0))/
IF(DZ181&gt;INT($N181),$N181-INT($N181),1))*
IF(ER$44=2,DZ181,
IF(INT(DZ181)=INT(DY181),0,DZ181-INT(DZ181)))))</f>
        <v>0</v>
      </c>
      <c r="ES181" s="835">
        <f>+IF(OR(EA181=DZ181,ES$44=1),0,
IF(AND(ES$44&gt;1,EA181=$N181),1-SUM($EN181:ER181),
IF($N181&lt;=1,
IF($N181&gt;0,1/$N181,0),
IF(ES$44=2,0,VDB(1,0,$N181,INT(ES$44-2-1),MIN($N181,INT(ES$44-2-1)+1),$DC181,IF($DD181="No",1,0))/
IF(DZ181&gt;=INT($N181),$N181-INT($N181),1)))*
IF(ES$44=2,0,
IF(INT(EA181)=INT(DZ181),EA181-DZ181,INT(EA181)-DZ181))+
IF($N181&lt;=1,
IF($N181&gt;0,1/$N181,0),VDB(1,0,$N181,INT(ES$44-2),MIN($N181,INT(ES$44-2)+1),$DC181,IF($DD181="No",1,0))/
IF(EA181&gt;INT($N181),$N181-INT($N181),1))*
IF(ES$44=2,EA181,
IF(INT(EA181)=INT(DZ181),0,EA181-INT(EA181)))))</f>
        <v>0</v>
      </c>
      <c r="ET181" s="835">
        <f>+IF(OR(EB181=EA181,ET$44=1),0,
IF(AND(ET$44&gt;1,EB181=$N181),1-SUM($EN181:ES181),
IF($N181&lt;=1,
IF($N181&gt;0,1/$N181,0),
IF(ET$44=2,0,VDB(1,0,$N181,INT(ET$44-2-1),MIN($N181,INT(ET$44-2-1)+1),$DC181,IF($DD181="No",1,0))/
IF(EA181&gt;=INT($N181),$N181-INT($N181),1)))*
IF(ET$44=2,0,
IF(INT(EB181)=INT(EA181),EB181-EA181,INT(EB181)-EA181))+
IF($N181&lt;=1,
IF($N181&gt;0,1/$N181,0),VDB(1,0,$N181,INT(ET$44-2),MIN($N181,INT(ET$44-2)+1),$DC181,IF($DD181="No",1,0))/
IF(EB181&gt;INT($N181),$N181-INT($N181),1))*
IF(ET$44=2,EB181,
IF(INT(EB181)=INT(EA181),0,EB181-INT(EB181)))))</f>
        <v>0</v>
      </c>
      <c r="EU181" s="835">
        <f>+IF(OR(EC181=EB181,EU$44=1),0,
IF(AND(EU$44&gt;1,EC181=$N181),1-SUM($EN181:ET181),
IF($N181&lt;=1,
IF($N181&gt;0,1/$N181,0),
IF(EU$44=2,0,VDB(1,0,$N181,INT(EU$44-2-1),MIN($N181,INT(EU$44-2-1)+1),$DC181,IF($DD181="No",1,0))/
IF(EB181&gt;=INT($N181),$N181-INT($N181),1)))*
IF(EU$44=2,0,
IF(INT(EC181)=INT(EB181),EC181-EB181,INT(EC181)-EB181))+
IF($N181&lt;=1,
IF($N181&gt;0,1/$N181,0),VDB(1,0,$N181,INT(EU$44-2),MIN($N181,INT(EU$44-2)+1),$DC181,IF($DD181="No",1,0))/
IF(EC181&gt;INT($N181),$N181-INT($N181),1))*
IF(EU$44=2,EC181,
IF(INT(EC181)=INT(EB181),0,EC181-INT(EC181)))))</f>
        <v>0</v>
      </c>
      <c r="EV181" s="836">
        <f>+IF(OR(ED181=EC181,EV$44=1),0,
IF(AND(EV$44&gt;1,ED181=$N181),1-SUM($EN181:EU181),
IF($N181&lt;=1,
IF($N181&gt;0,1/$N181,0),
IF(EV$44=2,0,VDB(1,0,$N181,INT(EV$44-2-1),MIN($N181,INT(EV$44-2-1)+1),$DC181,IF($DD181="No",1,0))/
IF(EC181&gt;=INT($N181),$N181-INT($N181),1)))*
IF(EV$44=2,0,
IF(INT(ED181)=INT(EC181),ED181-EC181,INT(ED181)-EC181))+
IF($N181&lt;=1,
IF($N181&gt;0,1/$N181,0),VDB(1,0,$N181,INT(EV$44-2),MIN($N181,INT(EV$44-2)+1),$DC181,IF($DD181="No",1,0))/
IF(ED181&gt;INT($N181),$N181-INT($N181),1))*
IF(EV$44=2,ED181,
IF(INT(ED181)=INT(EC181),0,ED181-INT(ED181)))))</f>
        <v>0</v>
      </c>
      <c r="EW181" s="833"/>
      <c r="EX181" s="834">
        <f t="shared" ca="1" si="350"/>
        <v>0</v>
      </c>
      <c r="EY181" s="835">
        <f t="shared" ca="1" si="350"/>
        <v>0</v>
      </c>
      <c r="EZ181" s="836">
        <f t="shared" ca="1" si="350"/>
        <v>0</v>
      </c>
      <c r="FA181" s="834">
        <f t="shared" ca="1" si="350"/>
        <v>0</v>
      </c>
      <c r="FB181" s="835">
        <f t="shared" ca="1" si="350"/>
        <v>0</v>
      </c>
      <c r="FC181" s="835">
        <f t="shared" ca="1" si="350"/>
        <v>0</v>
      </c>
      <c r="FD181" s="835">
        <f t="shared" ca="1" si="350"/>
        <v>0</v>
      </c>
      <c r="FE181" s="836">
        <f t="shared" ca="1" si="350"/>
        <v>0</v>
      </c>
      <c r="FG181" s="386">
        <f t="shared" ca="1" si="351"/>
        <v>0</v>
      </c>
      <c r="FH181" s="387">
        <f t="shared" ca="1" si="352"/>
        <v>0</v>
      </c>
      <c r="FI181" s="388">
        <f t="shared" ca="1" si="353"/>
        <v>0</v>
      </c>
      <c r="FJ181" s="386">
        <f t="shared" ca="1" si="354"/>
        <v>0</v>
      </c>
      <c r="FK181" s="387">
        <f t="shared" ca="1" si="355"/>
        <v>0</v>
      </c>
      <c r="FL181" s="387">
        <f t="shared" ca="1" si="356"/>
        <v>0</v>
      </c>
      <c r="FM181" s="387">
        <f t="shared" ca="1" si="357"/>
        <v>0</v>
      </c>
      <c r="FN181" s="388">
        <f t="shared" ca="1" si="358"/>
        <v>0</v>
      </c>
      <c r="FR181" s="116"/>
    </row>
    <row r="182" spans="2:174">
      <c r="B182" s="1410">
        <f t="shared" si="302"/>
        <v>136</v>
      </c>
      <c r="C182" s="400" t="s">
        <v>701</v>
      </c>
      <c r="D182" s="410"/>
      <c r="E182" s="402" t="s">
        <v>420</v>
      </c>
      <c r="F182" s="402" t="s">
        <v>520</v>
      </c>
      <c r="G182" s="400" t="s">
        <v>522</v>
      </c>
      <c r="H182" s="2088" t="s">
        <v>484</v>
      </c>
      <c r="I182" s="2089"/>
      <c r="J182" s="411" t="s">
        <v>516</v>
      </c>
      <c r="K182" s="403" t="s">
        <v>544</v>
      </c>
      <c r="L182" s="403">
        <v>100</v>
      </c>
      <c r="M182" s="403" t="s">
        <v>142</v>
      </c>
      <c r="N182" s="403"/>
      <c r="O182" s="347"/>
      <c r="P182" s="347"/>
      <c r="Q182" s="1021"/>
      <c r="R182" s="1022"/>
      <c r="S182" s="1022"/>
      <c r="T182" s="1022"/>
      <c r="U182" s="1023"/>
      <c r="V182" s="1021"/>
      <c r="W182" s="1022"/>
      <c r="X182" s="1022"/>
      <c r="Y182" s="1022"/>
      <c r="Z182" s="1023"/>
      <c r="AA182" s="1024"/>
      <c r="AB182" s="1021"/>
      <c r="AC182" s="1022"/>
      <c r="AD182" s="1022"/>
      <c r="AE182" s="1022"/>
      <c r="AF182" s="1023"/>
      <c r="AG182" s="1021"/>
      <c r="AH182" s="1022"/>
      <c r="AI182" s="1022"/>
      <c r="AJ182" s="1022"/>
      <c r="AK182" s="1023"/>
      <c r="AL182" s="1024"/>
      <c r="AM182" s="1021">
        <v>254.57317664275104</v>
      </c>
      <c r="AN182" s="1022">
        <v>263.76142756008011</v>
      </c>
      <c r="AO182" s="1022">
        <v>264.88331357027602</v>
      </c>
      <c r="AP182" s="1022">
        <v>263.87697040705672</v>
      </c>
      <c r="AQ182" s="1023">
        <v>259.84407811283131</v>
      </c>
      <c r="AR182" s="1021">
        <v>264.42600876834462</v>
      </c>
      <c r="AS182" s="1022">
        <v>257.27238861397393</v>
      </c>
      <c r="AT182" s="1022">
        <v>248.24195316452571</v>
      </c>
      <c r="AU182" s="1022">
        <v>239.53813607416384</v>
      </c>
      <c r="AV182" s="1023">
        <v>231.14903751950413</v>
      </c>
      <c r="AW182" s="1025"/>
      <c r="AX182" s="1282">
        <f t="shared" si="304"/>
        <v>-254.57317664275104</v>
      </c>
      <c r="AY182" s="387">
        <f t="shared" si="305"/>
        <v>-263.76142756008011</v>
      </c>
      <c r="AZ182" s="387">
        <f t="shared" si="306"/>
        <v>-264.88331357027602</v>
      </c>
      <c r="BA182" s="387">
        <f t="shared" si="307"/>
        <v>-263.87697040705672</v>
      </c>
      <c r="BB182" s="1283">
        <f t="shared" si="308"/>
        <v>-259.84407811283131</v>
      </c>
      <c r="BC182" s="386">
        <f t="shared" si="309"/>
        <v>-264.42600876834462</v>
      </c>
      <c r="BD182" s="387">
        <f t="shared" si="310"/>
        <v>-257.27238861397393</v>
      </c>
      <c r="BE182" s="1277">
        <f t="shared" si="311"/>
        <v>-248.24195316452571</v>
      </c>
      <c r="BF182" s="1277">
        <f t="shared" si="312"/>
        <v>-239.53813607416384</v>
      </c>
      <c r="BG182" s="388">
        <f t="shared" si="313"/>
        <v>-231.14903751950413</v>
      </c>
      <c r="BH182" s="1025"/>
      <c r="BI182" s="1282">
        <f t="shared" ca="1" si="314"/>
        <v>-1.2728658832137552</v>
      </c>
      <c r="BJ182" s="387">
        <f t="shared" ca="1" si="315"/>
        <v>-3.8645389042279108</v>
      </c>
      <c r="BK182" s="387">
        <f t="shared" ca="1" si="316"/>
        <v>-6.5077626098796912</v>
      </c>
      <c r="BL182" s="387">
        <f t="shared" ca="1" si="317"/>
        <v>-9.1515640297663552</v>
      </c>
      <c r="BM182" s="1283">
        <f t="shared" ca="1" si="318"/>
        <v>-11.770169272365795</v>
      </c>
      <c r="BN182" s="386">
        <f t="shared" ca="1" si="319"/>
        <v>-14.391519706771673</v>
      </c>
      <c r="BO182" s="387">
        <f t="shared" ca="1" si="320"/>
        <v>-17.000011693683266</v>
      </c>
      <c r="BP182" s="1277">
        <f t="shared" ca="1" si="321"/>
        <v>-19.527583402575765</v>
      </c>
      <c r="BQ182" s="1277">
        <f t="shared" ca="1" si="322"/>
        <v>-21.966483848769212</v>
      </c>
      <c r="BR182" s="388">
        <f t="shared" ca="1" si="323"/>
        <v>-24.319919716737552</v>
      </c>
      <c r="BS182" s="1025"/>
      <c r="BT182" s="1282">
        <f>+IF($K182="Ongoing",AX182,IF(RIGHT($K182,2)=RIGHT(BT$43,2),SUM($AX182:AX182),0)+IF(RIGHT(BT$43,2)&gt;RIGHT($K182,2),AX182,0))</f>
        <v>-254.57317664275104</v>
      </c>
      <c r="BU182" s="387">
        <f>+IF($K182="Ongoing",AY182,IF(RIGHT($K182,2)=RIGHT(BU$43,2),SUM($AX182:AY182),0)+IF(RIGHT(BU$43,2)&gt;RIGHT($K182,2),AY182,0))</f>
        <v>-263.76142756008011</v>
      </c>
      <c r="BV182" s="387">
        <f>+IF($K182="Ongoing",AZ182,IF(RIGHT($K182,2)=RIGHT(BV$43,2),SUM($AX182:AZ182),0)+IF(RIGHT(BV$43,2)&gt;RIGHT($K182,2),AZ182,0))</f>
        <v>-264.88331357027602</v>
      </c>
      <c r="BW182" s="387">
        <f>+IF($K182="Ongoing",BA182,IF(RIGHT($K182,2)=RIGHT(BW$43,2),SUM($AX182:BA182),0)+IF(RIGHT(BW$43,2)&gt;RIGHT($K182,2),BA182,0))</f>
        <v>-263.87697040705672</v>
      </c>
      <c r="BX182" s="1283">
        <f>+IF($K182="Ongoing",BB182,IF(RIGHT($K182,2)=RIGHT(BX$43,2),SUM($AX182:BB182),0)+IF(RIGHT(BX$43,2)&gt;RIGHT($K182,2),BB182,0))</f>
        <v>-259.84407811283131</v>
      </c>
      <c r="BY182" s="386">
        <f>+IF($K182="Ongoing",BC182,IF(RIGHT($K182,2)=RIGHT(BY$43,2),SUM($AX182:BC182),0)+IF(RIGHT(BY$43,2)&gt;RIGHT($K182,2),BC182,0))</f>
        <v>-264.42600876834462</v>
      </c>
      <c r="BZ182" s="387">
        <f>+IF($K182="Ongoing",BD182,IF(RIGHT($K182,2)=RIGHT(BZ$43,2),SUM($AX182:BD182),0)+IF(RIGHT(BZ$43,2)&gt;RIGHT($K182,2),BD182,0))</f>
        <v>-257.27238861397393</v>
      </c>
      <c r="CA182" s="1277">
        <f>+IF($K182="Ongoing",BE182,IF(RIGHT($K182,2)=RIGHT(CA$43,2),SUM($AX182:BE182),0)+IF(RIGHT(CA$43,2)&gt;RIGHT($K182,2),BE182,0))</f>
        <v>-248.24195316452571</v>
      </c>
      <c r="CB182" s="1277">
        <f>+IF($K182="Ongoing",BF182,IF(RIGHT($K182,2)=RIGHT(CB$43,2),SUM($AX182:BF182),0)+IF(RIGHT(CB$43,2)&gt;RIGHT($K182,2),BF182,0))</f>
        <v>-239.53813607416384</v>
      </c>
      <c r="CC182" s="388">
        <f>+IF($K182="Ongoing",BG182,IF(RIGHT($K182,2)=RIGHT(CC$43,2),SUM($AX182:BG182),0)+IF(RIGHT(CC$43,2)&gt;RIGHT($K182,2),BG182,0))</f>
        <v>-231.14903751950413</v>
      </c>
      <c r="CD182" s="1025"/>
      <c r="CE182" s="1282">
        <f>+Q182*KeyAssumptionsPriceControl_FO!AF$15</f>
        <v>0</v>
      </c>
      <c r="CF182" s="387">
        <f>+R182*KeyAssumptionsPriceControl_FO!AG$15</f>
        <v>0</v>
      </c>
      <c r="CG182" s="387">
        <f>+S182*KeyAssumptionsPriceControl_FO!AH$15</f>
        <v>0</v>
      </c>
      <c r="CH182" s="387">
        <f>+T182*KeyAssumptionsPriceControl_FO!AI$15</f>
        <v>0</v>
      </c>
      <c r="CI182" s="1283">
        <f>+U182*KeyAssumptionsPriceControl_FO!AJ$15</f>
        <v>0</v>
      </c>
      <c r="CJ182" s="386">
        <f>+V182*KeyAssumptionsPriceControl_FO!AK$15</f>
        <v>0</v>
      </c>
      <c r="CK182" s="387">
        <f>+W182*KeyAssumptionsPriceControl_FO!AL$15</f>
        <v>0</v>
      </c>
      <c r="CL182" s="1277">
        <f>+X182*KeyAssumptionsPriceControl_FO!AM$15</f>
        <v>0</v>
      </c>
      <c r="CM182" s="1277">
        <f>+Y182*KeyAssumptionsPriceControl_FO!AN$15</f>
        <v>0</v>
      </c>
      <c r="CN182" s="388">
        <f>+Z182*KeyAssumptionsPriceControl_FO!AO$15</f>
        <v>0</v>
      </c>
      <c r="CO182" s="1025"/>
      <c r="CP182" s="1282">
        <f t="shared" ca="1" si="324"/>
        <v>0</v>
      </c>
      <c r="CQ182" s="387">
        <f t="shared" ca="1" si="325"/>
        <v>0</v>
      </c>
      <c r="CR182" s="387">
        <f t="shared" ca="1" si="326"/>
        <v>0</v>
      </c>
      <c r="CS182" s="387">
        <f t="shared" ca="1" si="327"/>
        <v>0</v>
      </c>
      <c r="CT182" s="1283">
        <f t="shared" ca="1" si="328"/>
        <v>0</v>
      </c>
      <c r="CU182" s="386">
        <f t="shared" ca="1" si="329"/>
        <v>0</v>
      </c>
      <c r="CV182" s="387">
        <f t="shared" ca="1" si="330"/>
        <v>0</v>
      </c>
      <c r="CW182" s="1277">
        <f t="shared" ca="1" si="331"/>
        <v>0</v>
      </c>
      <c r="CX182" s="1277">
        <f t="shared" ca="1" si="332"/>
        <v>0</v>
      </c>
      <c r="CY182" s="388">
        <f t="shared" ca="1" si="333"/>
        <v>0</v>
      </c>
      <c r="CZ182" s="347"/>
      <c r="DA182" s="852"/>
      <c r="DB182" s="347"/>
      <c r="DC182" s="1012" t="s">
        <v>702</v>
      </c>
      <c r="DD182" s="841" t="s">
        <v>518</v>
      </c>
      <c r="DE182" s="386">
        <f>+IF($K182="ongoing",CE182,IF(RIGHT($K182,2)=RIGHT(DE$43,2),SUM($CD182:CE182),0)+IF(RIGHT(DE$43,2)&gt;RIGHT($K182,2),CE182,0))</f>
        <v>0</v>
      </c>
      <c r="DF182" s="387">
        <f>+IF($K182="ongoing",CF182,IF(RIGHT($K182,2)=RIGHT(DF$43,2),SUM($CD182:CF182),0)+IF(RIGHT(DF$43,2)&gt;RIGHT($K182,2),CF182,0))</f>
        <v>0</v>
      </c>
      <c r="DG182" s="388">
        <f>+IF($K182="ongoing",CG182,IF(RIGHT($K182,2)=RIGHT(DG$43,2),SUM($CD182:CG182),0)+IF(RIGHT(DG$43,2)&gt;RIGHT($K182,2),CG182,0))</f>
        <v>0</v>
      </c>
      <c r="DH182" s="386">
        <f>+IF($K182="ongoing",CH182,IF(RIGHT($K182,2)=RIGHT(DH$43,2),SUM($CD182:CH182),0)+IF(RIGHT(DH$43,2)&gt;RIGHT($K182,2),CH182,0))</f>
        <v>0</v>
      </c>
      <c r="DI182" s="387">
        <f>+IF($K182="ongoing",CI182,IF(RIGHT($K182,2)=RIGHT(DI$43,2),SUM($CD182:CI182),0)+IF(RIGHT(DI$43,2)&gt;RIGHT($K182,2),CI182,0))</f>
        <v>0</v>
      </c>
      <c r="DJ182" s="387">
        <f>+IF($K182="ongoing",CJ182,IF(RIGHT($K182,2)=RIGHT(DJ$43,2),SUM($CD182:CJ182),0)+IF(RIGHT(DJ$43,2)&gt;RIGHT($K182,2),CJ182,0))</f>
        <v>0</v>
      </c>
      <c r="DK182" s="387">
        <f>+IF($K182="ongoing",CK182,IF(RIGHT($K182,2)=RIGHT(DK$43,2),SUM($CD182:CK182),0)+IF(RIGHT(DK$43,2)&gt;RIGHT($K182,2),CK182,0))</f>
        <v>0</v>
      </c>
      <c r="DL182" s="388">
        <f>+IF($K182="ongoing",CN182,IF(RIGHT($K182,2)=RIGHT(DL$43,2),SUM($CD182:CN182),0)+IF(RIGHT(DL$43,2)&gt;RIGHT($K182,2),CN182,0))</f>
        <v>0</v>
      </c>
      <c r="DM182" s="841"/>
      <c r="DN182" s="386">
        <f t="shared" si="334"/>
        <v>0.5</v>
      </c>
      <c r="DO182" s="387">
        <f t="shared" si="335"/>
        <v>1</v>
      </c>
      <c r="DP182" s="388">
        <f t="shared" si="336"/>
        <v>1</v>
      </c>
      <c r="DQ182" s="386">
        <f t="shared" si="337"/>
        <v>1</v>
      </c>
      <c r="DR182" s="387">
        <f t="shared" si="338"/>
        <v>1</v>
      </c>
      <c r="DS182" s="387">
        <f t="shared" si="339"/>
        <v>1</v>
      </c>
      <c r="DT182" s="387">
        <f t="shared" si="340"/>
        <v>1</v>
      </c>
      <c r="DU182" s="388">
        <f t="shared" si="341"/>
        <v>1</v>
      </c>
      <c r="DW182" s="386">
        <f t="shared" si="342"/>
        <v>0</v>
      </c>
      <c r="DX182" s="387">
        <f t="shared" si="343"/>
        <v>0.5</v>
      </c>
      <c r="DY182" s="388">
        <f t="shared" si="344"/>
        <v>1</v>
      </c>
      <c r="DZ182" s="386">
        <f t="shared" si="345"/>
        <v>1</v>
      </c>
      <c r="EA182" s="387">
        <f t="shared" si="346"/>
        <v>1</v>
      </c>
      <c r="EB182" s="387">
        <f t="shared" si="347"/>
        <v>1</v>
      </c>
      <c r="EC182" s="387">
        <f t="shared" si="348"/>
        <v>1</v>
      </c>
      <c r="ED182" s="388">
        <f t="shared" si="349"/>
        <v>1</v>
      </c>
      <c r="EF182" s="834">
        <f>+IF(DN182=DM182,0,
IF(AND(EF$44&gt;1,DN182=$N182),1-SUM($EE182:EE182),
IF($N182&lt;=1,
IF($N182&gt;0,1/$N182,0),
IF(EF$44=1,0,VDB(1,0,$N182,INT(EF$44-1-1),MIN($N182,INT(EF$44-1-1)+1),$DC182,IF($DD182="No",1,0))/
IF(DM182&gt;=INT($N182),$N182-INT($N182),1)))*
IF(EF$44=1,0,
IF(INT(DN182)=INT(DM182),DN182-DM182,INT(DN182)-DM182))+
IF($N182&lt;=1,
IF($N182&gt;0,1/$N182,0),VDB(1,0,$N182,INT(EF$44-1),MIN($N182,INT(EF$44-1)+1),$DC182,IF($DD182="No",1,0))/
IF(DN182&gt;INT($N182),$N182-INT($N182),1))*
IF(EF$44=1,DN182,
IF(INT(DN182)=INT(DM182),0,DN182-INT(DN182)))))</f>
        <v>0</v>
      </c>
      <c r="EG182" s="835">
        <f>+IF(DO182=DN182,0,
IF(AND(EG$44&gt;1,DO182=$N182),1-SUM($EE182:EF182),
IF($N182&lt;=1,
IF($N182&gt;0,1/$N182,0),
IF(EG$44=1,0,VDB(1,0,$N182,INT(EG$44-1-1),MIN($N182,INT(EG$44-1-1)+1),$DC182,IF($DD182="No",1,0))/
IF(DN182&gt;=INT($N182),$N182-INT($N182),1)))*
IF(EG$44=1,0,
IF(INT(DO182)=INT(DN182),DO182-DN182,INT(DO182)-DN182))+
IF($N182&lt;=1,
IF($N182&gt;0,1/$N182,0),VDB(1,0,$N182,INT(EG$44-1),MIN($N182,INT(EG$44-1)+1),$DC182,IF($DD182="No",1,0))/
IF(DO182&gt;INT($N182),$N182-INT($N182),1))*
IF(EG$44=1,DO182,
IF(INT(DO182)=INT(DN182),0,DO182-INT(DO182)))))</f>
        <v>0</v>
      </c>
      <c r="EH182" s="836">
        <f>+IF(DP182=DO182,0,
IF(AND(EH$44&gt;1,DP182=$N182),1-SUM($EE182:EG182),
IF($N182&lt;=1,
IF($N182&gt;0,1/$N182,0),
IF(EH$44=1,0,VDB(1,0,$N182,INT(EH$44-1-1),MIN($N182,INT(EH$44-1-1)+1),$DC182,IF($DD182="No",1,0))/
IF(DO182&gt;=INT($N182),$N182-INT($N182),1)))*
IF(EH$44=1,0,
IF(INT(DP182)=INT(DO182),DP182-DO182,INT(DP182)-DO182))+
IF($N182&lt;=1,
IF($N182&gt;0,1/$N182,0),VDB(1,0,$N182,INT(EH$44-1),MIN($N182,INT(EH$44-1)+1),$DC182,IF($DD182="No",1,0))/
IF(DP182&gt;INT($N182),$N182-INT($N182),1))*
IF(EH$44=1,DP182,
IF(INT(DP182)=INT(DO182),0,DP182-INT(DP182)))))</f>
        <v>0</v>
      </c>
      <c r="EI182" s="834">
        <f>+IF(DQ182=DP182,0,
IF(AND(EI$44&gt;1,DQ182=$N182),1-SUM($EE182:EH182),
IF($N182&lt;=1,
IF($N182&gt;0,1/$N182,0),
IF(EI$44=1,0,VDB(1,0,$N182,INT(EI$44-1-1),MIN($N182,INT(EI$44-1-1)+1),$DC182,IF($DD182="No",1,0))/
IF(DP182&gt;=INT($N182),$N182-INT($N182),1)))*
IF(EI$44=1,0,
IF(INT(DQ182)=INT(DP182),DQ182-DP182,INT(DQ182)-DP182))+
IF($N182&lt;=1,
IF($N182&gt;0,1/$N182,0),VDB(1,0,$N182,INT(EI$44-1),MIN($N182,INT(EI$44-1)+1),$DC182,IF($DD182="No",1,0))/
IF(DQ182&gt;INT($N182),$N182-INT($N182),1))*
IF(EI$44=1,DQ182,
IF(INT(DQ182)=INT(DP182),0,DQ182-INT(DQ182)))))</f>
        <v>0</v>
      </c>
      <c r="EJ182" s="835">
        <f>+IF(DR182=DQ182,0,
IF(AND(EJ$44&gt;1,DR182=$N182),1-SUM($EE182:EI182),
IF($N182&lt;=1,
IF($N182&gt;0,1/$N182,0),
IF(EJ$44=1,0,VDB(1,0,$N182,INT(EJ$44-1-1),MIN($N182,INT(EJ$44-1-1)+1),$DC182,IF($DD182="No",1,0))/
IF(DQ182&gt;=INT($N182),$N182-INT($N182),1)))*
IF(EJ$44=1,0,
IF(INT(DR182)=INT(DQ182),DR182-DQ182,INT(DR182)-DQ182))+
IF($N182&lt;=1,
IF($N182&gt;0,1/$N182,0),VDB(1,0,$N182,INT(EJ$44-1),MIN($N182,INT(EJ$44-1)+1),$DC182,IF($DD182="No",1,0))/
IF(DR182&gt;INT($N182),$N182-INT($N182),1))*
IF(EJ$44=1,DR182,
IF(INT(DR182)=INT(DQ182),0,DR182-INT(DR182)))))</f>
        <v>0</v>
      </c>
      <c r="EK182" s="835">
        <f>+IF(DS182=DR182,0,
IF(AND(EK$44&gt;1,DS182=$N182),1-SUM($EE182:EJ182),
IF($N182&lt;=1,
IF($N182&gt;0,1/$N182,0),
IF(EK$44=1,0,VDB(1,0,$N182,INT(EK$44-1-1),MIN($N182,INT(EK$44-1-1)+1),$DC182,IF($DD182="No",1,0))/
IF(DR182&gt;=INT($N182),$N182-INT($N182),1)))*
IF(EK$44=1,0,
IF(INT(DS182)=INT(DR182),DS182-DR182,INT(DS182)-DR182))+
IF($N182&lt;=1,
IF($N182&gt;0,1/$N182,0),VDB(1,0,$N182,INT(EK$44-1),MIN($N182,INT(EK$44-1)+1),$DC182,IF($DD182="No",1,0))/
IF(DS182&gt;INT($N182),$N182-INT($N182),1))*
IF(EK$44=1,DS182,
IF(INT(DS182)=INT(DR182),0,DS182-INT(DS182)))))</f>
        <v>0</v>
      </c>
      <c r="EL182" s="835">
        <f>+IF(DT182=DS182,0,
IF(AND(EL$44&gt;1,DT182=$N182),1-SUM($EE182:EK182),
IF($N182&lt;=1,
IF($N182&gt;0,1/$N182,0),
IF(EL$44=1,0,VDB(1,0,$N182,INT(EL$44-1-1),MIN($N182,INT(EL$44-1-1)+1),$DC182,IF($DD182="No",1,0))/
IF(DS182&gt;=INT($N182),$N182-INT($N182),1)))*
IF(EL$44=1,0,
IF(INT(DT182)=INT(DS182),DT182-DS182,INT(DT182)-DS182))+
IF($N182&lt;=1,
IF($N182&gt;0,1/$N182,0),VDB(1,0,$N182,INT(EL$44-1),MIN($N182,INT(EL$44-1)+1),$DC182,IF($DD182="No",1,0))/
IF(DT182&gt;INT($N182),$N182-INT($N182),1))*
IF(EL$44=1,DT182,
IF(INT(DT182)=INT(DS182),0,DT182-INT(DT182)))))</f>
        <v>0</v>
      </c>
      <c r="EM182" s="836">
        <f>+IF(DU182=DT182,0,
IF(AND(EM$44&gt;1,DU182=$N182),1-SUM($EE182:EL182),
IF($N182&lt;=1,
IF($N182&gt;0,1/$N182,0),
IF(EM$44=1,0,VDB(1,0,$N182,INT(EM$44-1-1),MIN($N182,INT(EM$44-1-1)+1),$DC182,IF($DD182="No",1,0))/
IF(DT182&gt;=INT($N182),$N182-INT($N182),1)))*
IF(EM$44=1,0,
IF(INT(DU182)=INT(DT182),DU182-DT182,INT(DU182)-DT182))+
IF($N182&lt;=1,
IF($N182&gt;0,1/$N182,0),VDB(1,0,$N182,INT(EM$44-1),MIN($N182,INT(EM$44-1)+1),$DC182,IF($DD182="No",1,0))/
IF(DU182&gt;INT($N182),$N182-INT($N182),1))*
IF(EM$44=1,DU182,
IF(INT(DU182)=INT(DT182),0,DU182-INT(DU182)))))</f>
        <v>0</v>
      </c>
      <c r="EN182" s="833"/>
      <c r="EO182" s="834">
        <f>+IF(OR(DW182=DV182,EO$44=1),0,
IF(AND(EO$44&gt;1,DW182=$N182),1-SUM($EN182:EN182),
IF($N182&lt;=1,
IF($N182&gt;0,1/$N182,0),
IF(EO$44=2,0,VDB(1,0,$N182,INT(EO$44-2-1),MIN($N182,INT(EO$44-2-1)+1),$DC182,IF($DD182="No",1,0))/
IF(DV182&gt;=INT($N182),$N182-INT($N182),1)))*
IF(EO$44=2,0,
IF(INT(DW182)=INT(DV182),DW182-DV182,INT(DW182)-DV182))+
IF($N182&lt;=1,
IF($N182&gt;0,1/$N182,0),VDB(1,0,$N182,INT(EO$44-2),MIN($N182,INT(EO$44-2)+1),$DC182,IF($DD182="No",1,0))/
IF(DW182&gt;INT($N182),$N182-INT($N182),1))*
IF(EO$44=2,DW182,
IF(INT(DW182)=INT(DV182),0,DW182-INT(DW182)))))</f>
        <v>0</v>
      </c>
      <c r="EP182" s="835">
        <f>+IF(OR(DX182=DW182,EP$44=1),0,
IF(AND(EP$44&gt;1,DX182=$N182),1-SUM($EN182:EO182),
IF($N182&lt;=1,
IF($N182&gt;0,1/$N182,0),
IF(EP$44=2,0,VDB(1,0,$N182,INT(EP$44-2-1),MIN($N182,INT(EP$44-2-1)+1),$DC182,IF($DD182="No",1,0))/
IF(DW182&gt;=INT($N182),$N182-INT($N182),1)))*
IF(EP$44=2,0,
IF(INT(DX182)=INT(DW182),DX182-DW182,INT(DX182)-DW182))+
IF($N182&lt;=1,
IF($N182&gt;0,1/$N182,0),VDB(1,0,$N182,INT(EP$44-2),MIN($N182,INT(EP$44-2)+1),$DC182,IF($DD182="No",1,0))/
IF(DX182&gt;INT($N182),$N182-INT($N182),1))*
IF(EP$44=2,DX182,
IF(INT(DX182)=INT(DW182),0,DX182-INT(DX182)))))</f>
        <v>0</v>
      </c>
      <c r="EQ182" s="836">
        <f>+IF(OR(DY182=DX182,EQ$44=1),0,
IF(AND(EQ$44&gt;1,DY182=$N182),1-SUM($EN182:EP182),
IF($N182&lt;=1,
IF($N182&gt;0,1/$N182,0),
IF(EQ$44=2,0,VDB(1,0,$N182,INT(EQ$44-2-1),MIN($N182,INT(EQ$44-2-1)+1),$DC182,IF($DD182="No",1,0))/
IF(DX182&gt;=INT($N182),$N182-INT($N182),1)))*
IF(EQ$44=2,0,
IF(INT(DY182)=INT(DX182),DY182-DX182,INT(DY182)-DX182))+
IF($N182&lt;=1,
IF($N182&gt;0,1/$N182,0),VDB(1,0,$N182,INT(EQ$44-2),MIN($N182,INT(EQ$44-2)+1),$DC182,IF($DD182="No",1,0))/
IF(DY182&gt;INT($N182),$N182-INT($N182),1))*
IF(EQ$44=2,DY182,
IF(INT(DY182)=INT(DX182),0,DY182-INT(DY182)))))</f>
        <v>0</v>
      </c>
      <c r="ER182" s="834">
        <f>+IF(OR(DZ182=DY182,ER$44=1),0,
IF(AND(ER$44&gt;1,DZ182=$N182),1-SUM($EN182:EQ182),
IF($N182&lt;=1,
IF($N182&gt;0,1/$N182,0),
IF(ER$44=2,0,VDB(1,0,$N182,INT(ER$44-2-1),MIN($N182,INT(ER$44-2-1)+1),$DC182,IF($DD182="No",1,0))/
IF(DY182&gt;=INT($N182),$N182-INT($N182),1)))*
IF(ER$44=2,0,
IF(INT(DZ182)=INT(DY182),DZ182-DY182,INT(DZ182)-DY182))+
IF($N182&lt;=1,
IF($N182&gt;0,1/$N182,0),VDB(1,0,$N182,INT(ER$44-2),MIN($N182,INT(ER$44-2)+1),$DC182,IF($DD182="No",1,0))/
IF(DZ182&gt;INT($N182),$N182-INT($N182),1))*
IF(ER$44=2,DZ182,
IF(INT(DZ182)=INT(DY182),0,DZ182-INT(DZ182)))))</f>
        <v>0</v>
      </c>
      <c r="ES182" s="835">
        <f>+IF(OR(EA182=DZ182,ES$44=1),0,
IF(AND(ES$44&gt;1,EA182=$N182),1-SUM($EN182:ER182),
IF($N182&lt;=1,
IF($N182&gt;0,1/$N182,0),
IF(ES$44=2,0,VDB(1,0,$N182,INT(ES$44-2-1),MIN($N182,INT(ES$44-2-1)+1),$DC182,IF($DD182="No",1,0))/
IF(DZ182&gt;=INT($N182),$N182-INT($N182),1)))*
IF(ES$44=2,0,
IF(INT(EA182)=INT(DZ182),EA182-DZ182,INT(EA182)-DZ182))+
IF($N182&lt;=1,
IF($N182&gt;0,1/$N182,0),VDB(1,0,$N182,INT(ES$44-2),MIN($N182,INT(ES$44-2)+1),$DC182,IF($DD182="No",1,0))/
IF(EA182&gt;INT($N182),$N182-INT($N182),1))*
IF(ES$44=2,EA182,
IF(INT(EA182)=INT(DZ182),0,EA182-INT(EA182)))))</f>
        <v>0</v>
      </c>
      <c r="ET182" s="835">
        <f>+IF(OR(EB182=EA182,ET$44=1),0,
IF(AND(ET$44&gt;1,EB182=$N182),1-SUM($EN182:ES182),
IF($N182&lt;=1,
IF($N182&gt;0,1/$N182,0),
IF(ET$44=2,0,VDB(1,0,$N182,INT(ET$44-2-1),MIN($N182,INT(ET$44-2-1)+1),$DC182,IF($DD182="No",1,0))/
IF(EA182&gt;=INT($N182),$N182-INT($N182),1)))*
IF(ET$44=2,0,
IF(INT(EB182)=INT(EA182),EB182-EA182,INT(EB182)-EA182))+
IF($N182&lt;=1,
IF($N182&gt;0,1/$N182,0),VDB(1,0,$N182,INT(ET$44-2),MIN($N182,INT(ET$44-2)+1),$DC182,IF($DD182="No",1,0))/
IF(EB182&gt;INT($N182),$N182-INT($N182),1))*
IF(ET$44=2,EB182,
IF(INT(EB182)=INT(EA182),0,EB182-INT(EB182)))))</f>
        <v>0</v>
      </c>
      <c r="EU182" s="835">
        <f>+IF(OR(EC182=EB182,EU$44=1),0,
IF(AND(EU$44&gt;1,EC182=$N182),1-SUM($EN182:ET182),
IF($N182&lt;=1,
IF($N182&gt;0,1/$N182,0),
IF(EU$44=2,0,VDB(1,0,$N182,INT(EU$44-2-1),MIN($N182,INT(EU$44-2-1)+1),$DC182,IF($DD182="No",1,0))/
IF(EB182&gt;=INT($N182),$N182-INT($N182),1)))*
IF(EU$44=2,0,
IF(INT(EC182)=INT(EB182),EC182-EB182,INT(EC182)-EB182))+
IF($N182&lt;=1,
IF($N182&gt;0,1/$N182,0),VDB(1,0,$N182,INT(EU$44-2),MIN($N182,INT(EU$44-2)+1),$DC182,IF($DD182="No",1,0))/
IF(EC182&gt;INT($N182),$N182-INT($N182),1))*
IF(EU$44=2,EC182,
IF(INT(EC182)=INT(EB182),0,EC182-INT(EC182)))))</f>
        <v>0</v>
      </c>
      <c r="EV182" s="836">
        <f>+IF(OR(ED182=EC182,EV$44=1),0,
IF(AND(EV$44&gt;1,ED182=$N182),1-SUM($EN182:EU182),
IF($N182&lt;=1,
IF($N182&gt;0,1/$N182,0),
IF(EV$44=2,0,VDB(1,0,$N182,INT(EV$44-2-1),MIN($N182,INT(EV$44-2-1)+1),$DC182,IF($DD182="No",1,0))/
IF(EC182&gt;=INT($N182),$N182-INT($N182),1)))*
IF(EV$44=2,0,
IF(INT(ED182)=INT(EC182),ED182-EC182,INT(ED182)-EC182))+
IF($N182&lt;=1,
IF($N182&gt;0,1/$N182,0),VDB(1,0,$N182,INT(EV$44-2),MIN($N182,INT(EV$44-2)+1),$DC182,IF($DD182="No",1,0))/
IF(ED182&gt;INT($N182),$N182-INT($N182),1))*
IF(EV$44=2,ED182,
IF(INT(ED182)=INT(EC182),0,ED182-INT(ED182)))))</f>
        <v>0</v>
      </c>
      <c r="EW182" s="833"/>
      <c r="EX182" s="834">
        <f t="shared" ca="1" si="350"/>
        <v>0</v>
      </c>
      <c r="EY182" s="835">
        <f t="shared" ca="1" si="350"/>
        <v>0</v>
      </c>
      <c r="EZ182" s="836">
        <f t="shared" ca="1" si="350"/>
        <v>0</v>
      </c>
      <c r="FA182" s="834">
        <f t="shared" ca="1" si="350"/>
        <v>0</v>
      </c>
      <c r="FB182" s="835">
        <f t="shared" ca="1" si="350"/>
        <v>0</v>
      </c>
      <c r="FC182" s="835">
        <f t="shared" ca="1" si="350"/>
        <v>0</v>
      </c>
      <c r="FD182" s="835">
        <f t="shared" ca="1" si="350"/>
        <v>0</v>
      </c>
      <c r="FE182" s="836">
        <f t="shared" ca="1" si="350"/>
        <v>0</v>
      </c>
      <c r="FG182" s="386">
        <f t="shared" ca="1" si="351"/>
        <v>0</v>
      </c>
      <c r="FH182" s="387">
        <f t="shared" ca="1" si="352"/>
        <v>0</v>
      </c>
      <c r="FI182" s="388">
        <f t="shared" ca="1" si="353"/>
        <v>0</v>
      </c>
      <c r="FJ182" s="386">
        <f t="shared" ca="1" si="354"/>
        <v>0</v>
      </c>
      <c r="FK182" s="387">
        <f t="shared" ca="1" si="355"/>
        <v>0</v>
      </c>
      <c r="FL182" s="387">
        <f t="shared" ca="1" si="356"/>
        <v>0</v>
      </c>
      <c r="FM182" s="387">
        <f t="shared" ca="1" si="357"/>
        <v>0</v>
      </c>
      <c r="FN182" s="388">
        <f t="shared" ca="1" si="358"/>
        <v>0</v>
      </c>
      <c r="FR182" s="116"/>
    </row>
    <row r="183" spans="2:174">
      <c r="B183" s="1410">
        <f t="shared" si="302"/>
        <v>137</v>
      </c>
      <c r="C183" s="400" t="s">
        <v>703</v>
      </c>
      <c r="D183" s="410"/>
      <c r="E183" s="402" t="s">
        <v>420</v>
      </c>
      <c r="F183" s="402" t="s">
        <v>514</v>
      </c>
      <c r="G183" s="400" t="s">
        <v>522</v>
      </c>
      <c r="H183" s="2088" t="s">
        <v>484</v>
      </c>
      <c r="I183" s="2089"/>
      <c r="J183" s="411" t="s">
        <v>516</v>
      </c>
      <c r="K183" s="403" t="s">
        <v>544</v>
      </c>
      <c r="L183" s="2052">
        <v>25</v>
      </c>
      <c r="M183" s="403" t="s">
        <v>142</v>
      </c>
      <c r="N183" s="403"/>
      <c r="O183" s="347"/>
      <c r="P183" s="347"/>
      <c r="Q183" s="1021"/>
      <c r="R183" s="1022"/>
      <c r="S183" s="1022"/>
      <c r="T183" s="1022"/>
      <c r="U183" s="1023"/>
      <c r="V183" s="1021"/>
      <c r="W183" s="1022"/>
      <c r="X183" s="1022"/>
      <c r="Y183" s="1022"/>
      <c r="Z183" s="1023"/>
      <c r="AA183" s="1024"/>
      <c r="AB183" s="1021"/>
      <c r="AC183" s="1022"/>
      <c r="AD183" s="1022"/>
      <c r="AE183" s="1022"/>
      <c r="AF183" s="1023"/>
      <c r="AG183" s="1021"/>
      <c r="AH183" s="1022"/>
      <c r="AI183" s="1022"/>
      <c r="AJ183" s="1022"/>
      <c r="AK183" s="1023"/>
      <c r="AL183" s="1024"/>
      <c r="AM183" s="1021">
        <v>2.1110101005644903</v>
      </c>
      <c r="AN183" s="1022">
        <v>2.0595220493312105</v>
      </c>
      <c r="AO183" s="1022">
        <v>2.0092898042255718</v>
      </c>
      <c r="AP183" s="1022">
        <v>1.960282735829826</v>
      </c>
      <c r="AQ183" s="1023">
        <v>1.9124709617851963</v>
      </c>
      <c r="AR183" s="1021">
        <v>1.8658253285709234</v>
      </c>
      <c r="AS183" s="1022">
        <v>1.8203173937277302</v>
      </c>
      <c r="AT183" s="1022">
        <v>1.7759194085148591</v>
      </c>
      <c r="AU183" s="1022">
        <v>1.7326043009901069</v>
      </c>
      <c r="AV183" s="1023">
        <v>1.690345659502543</v>
      </c>
      <c r="AW183" s="1025"/>
      <c r="AX183" s="1282">
        <f t="shared" si="304"/>
        <v>-2.1110101005644903</v>
      </c>
      <c r="AY183" s="387">
        <f t="shared" si="305"/>
        <v>-2.0595220493312105</v>
      </c>
      <c r="AZ183" s="387">
        <f t="shared" si="306"/>
        <v>-2.0092898042255718</v>
      </c>
      <c r="BA183" s="387">
        <f t="shared" si="307"/>
        <v>-1.960282735829826</v>
      </c>
      <c r="BB183" s="1283">
        <f t="shared" si="308"/>
        <v>-1.9124709617851963</v>
      </c>
      <c r="BC183" s="386">
        <f t="shared" si="309"/>
        <v>-1.8658253285709234</v>
      </c>
      <c r="BD183" s="387">
        <f t="shared" si="310"/>
        <v>-1.8203173937277302</v>
      </c>
      <c r="BE183" s="1277">
        <f t="shared" si="311"/>
        <v>-1.7759194085148591</v>
      </c>
      <c r="BF183" s="1277">
        <f t="shared" si="312"/>
        <v>-1.7326043009901069</v>
      </c>
      <c r="BG183" s="388">
        <f t="shared" si="313"/>
        <v>-1.690345659502543</v>
      </c>
      <c r="BH183" s="1025"/>
      <c r="BI183" s="1282">
        <f t="shared" ca="1" si="314"/>
        <v>-4.2220202011289808E-2</v>
      </c>
      <c r="BJ183" s="387">
        <f t="shared" ca="1" si="315"/>
        <v>-0.12563084500920382</v>
      </c>
      <c r="BK183" s="387">
        <f t="shared" ca="1" si="316"/>
        <v>-0.20700708208033947</v>
      </c>
      <c r="BL183" s="387">
        <f t="shared" ca="1" si="317"/>
        <v>-0.28639853288144745</v>
      </c>
      <c r="BM183" s="1283">
        <f t="shared" ca="1" si="318"/>
        <v>-0.3638536068337479</v>
      </c>
      <c r="BN183" s="386">
        <f t="shared" ca="1" si="319"/>
        <v>-0.4394195326408703</v>
      </c>
      <c r="BO183" s="387">
        <f t="shared" ca="1" si="320"/>
        <v>-0.51314238708684334</v>
      </c>
      <c r="BP183" s="1277">
        <f t="shared" ca="1" si="321"/>
        <v>-0.58506712313169518</v>
      </c>
      <c r="BQ183" s="1277">
        <f t="shared" ca="1" si="322"/>
        <v>-0.65523759732179454</v>
      </c>
      <c r="BR183" s="388">
        <f t="shared" ca="1" si="323"/>
        <v>-0.72369659653164753</v>
      </c>
      <c r="BS183" s="1025"/>
      <c r="BT183" s="1282">
        <f>+IF($K183="Ongoing",AX183,IF(RIGHT($K183,2)=RIGHT(BT$43,2),SUM($AX183:AX183),0)+IF(RIGHT(BT$43,2)&gt;RIGHT($K183,2),AX183,0))</f>
        <v>-2.1110101005644903</v>
      </c>
      <c r="BU183" s="387">
        <f>+IF($K183="Ongoing",AY183,IF(RIGHT($K183,2)=RIGHT(BU$43,2),SUM($AX183:AY183),0)+IF(RIGHT(BU$43,2)&gt;RIGHT($K183,2),AY183,0))</f>
        <v>-2.0595220493312105</v>
      </c>
      <c r="BV183" s="387">
        <f>+IF($K183="Ongoing",AZ183,IF(RIGHT($K183,2)=RIGHT(BV$43,2),SUM($AX183:AZ183),0)+IF(RIGHT(BV$43,2)&gt;RIGHT($K183,2),AZ183,0))</f>
        <v>-2.0092898042255718</v>
      </c>
      <c r="BW183" s="387">
        <f>+IF($K183="Ongoing",BA183,IF(RIGHT($K183,2)=RIGHT(BW$43,2),SUM($AX183:BA183),0)+IF(RIGHT(BW$43,2)&gt;RIGHT($K183,2),BA183,0))</f>
        <v>-1.960282735829826</v>
      </c>
      <c r="BX183" s="1283">
        <f>+IF($K183="Ongoing",BB183,IF(RIGHT($K183,2)=RIGHT(BX$43,2),SUM($AX183:BB183),0)+IF(RIGHT(BX$43,2)&gt;RIGHT($K183,2),BB183,0))</f>
        <v>-1.9124709617851963</v>
      </c>
      <c r="BY183" s="386">
        <f>+IF($K183="Ongoing",BC183,IF(RIGHT($K183,2)=RIGHT(BY$43,2),SUM($AX183:BC183),0)+IF(RIGHT(BY$43,2)&gt;RIGHT($K183,2),BC183,0))</f>
        <v>-1.8658253285709234</v>
      </c>
      <c r="BZ183" s="387">
        <f>+IF($K183="Ongoing",BD183,IF(RIGHT($K183,2)=RIGHT(BZ$43,2),SUM($AX183:BD183),0)+IF(RIGHT(BZ$43,2)&gt;RIGHT($K183,2),BD183,0))</f>
        <v>-1.8203173937277302</v>
      </c>
      <c r="CA183" s="1277">
        <f>+IF($K183="Ongoing",BE183,IF(RIGHT($K183,2)=RIGHT(CA$43,2),SUM($AX183:BE183),0)+IF(RIGHT(CA$43,2)&gt;RIGHT($K183,2),BE183,0))</f>
        <v>-1.7759194085148591</v>
      </c>
      <c r="CB183" s="1277">
        <f>+IF($K183="Ongoing",BF183,IF(RIGHT($K183,2)=RIGHT(CB$43,2),SUM($AX183:BF183),0)+IF(RIGHT(CB$43,2)&gt;RIGHT($K183,2),BF183,0))</f>
        <v>-1.7326043009901069</v>
      </c>
      <c r="CC183" s="388">
        <f>+IF($K183="Ongoing",BG183,IF(RIGHT($K183,2)=RIGHT(CC$43,2),SUM($AX183:BG183),0)+IF(RIGHT(CC$43,2)&gt;RIGHT($K183,2),BG183,0))</f>
        <v>-1.690345659502543</v>
      </c>
      <c r="CD183" s="1025"/>
      <c r="CE183" s="1282">
        <f>+Q183*KeyAssumptionsPriceControl_FO!AF$15</f>
        <v>0</v>
      </c>
      <c r="CF183" s="387">
        <f>+R183*KeyAssumptionsPriceControl_FO!AG$15</f>
        <v>0</v>
      </c>
      <c r="CG183" s="387">
        <f>+S183*KeyAssumptionsPriceControl_FO!AH$15</f>
        <v>0</v>
      </c>
      <c r="CH183" s="387">
        <f>+T183*KeyAssumptionsPriceControl_FO!AI$15</f>
        <v>0</v>
      </c>
      <c r="CI183" s="1283">
        <f>+U183*KeyAssumptionsPriceControl_FO!AJ$15</f>
        <v>0</v>
      </c>
      <c r="CJ183" s="386">
        <f>+V183*KeyAssumptionsPriceControl_FO!AK$15</f>
        <v>0</v>
      </c>
      <c r="CK183" s="387">
        <f>+W183*KeyAssumptionsPriceControl_FO!AL$15</f>
        <v>0</v>
      </c>
      <c r="CL183" s="1277">
        <f>+X183*KeyAssumptionsPriceControl_FO!AM$15</f>
        <v>0</v>
      </c>
      <c r="CM183" s="1277">
        <f>+Y183*KeyAssumptionsPriceControl_FO!AN$15</f>
        <v>0</v>
      </c>
      <c r="CN183" s="388">
        <f>+Z183*KeyAssumptionsPriceControl_FO!AO$15</f>
        <v>0</v>
      </c>
      <c r="CO183" s="1025"/>
      <c r="CP183" s="1282">
        <f t="shared" ca="1" si="324"/>
        <v>0</v>
      </c>
      <c r="CQ183" s="387">
        <f t="shared" ca="1" si="325"/>
        <v>0</v>
      </c>
      <c r="CR183" s="387">
        <f t="shared" ca="1" si="326"/>
        <v>0</v>
      </c>
      <c r="CS183" s="387">
        <f t="shared" ca="1" si="327"/>
        <v>0</v>
      </c>
      <c r="CT183" s="1283">
        <f t="shared" ca="1" si="328"/>
        <v>0</v>
      </c>
      <c r="CU183" s="386">
        <f t="shared" ca="1" si="329"/>
        <v>0</v>
      </c>
      <c r="CV183" s="387">
        <f t="shared" ca="1" si="330"/>
        <v>0</v>
      </c>
      <c r="CW183" s="1277">
        <f t="shared" ca="1" si="331"/>
        <v>0</v>
      </c>
      <c r="CX183" s="1277">
        <f t="shared" ca="1" si="332"/>
        <v>0</v>
      </c>
      <c r="CY183" s="388">
        <f t="shared" ca="1" si="333"/>
        <v>0</v>
      </c>
      <c r="CZ183" s="347"/>
      <c r="DA183" s="852"/>
      <c r="DB183" s="347"/>
      <c r="DC183" s="1012" t="s">
        <v>704</v>
      </c>
      <c r="DD183" s="841" t="s">
        <v>518</v>
      </c>
      <c r="DE183" s="386">
        <f>+IF($K183="ongoing",CE183,IF(RIGHT($K183,2)=RIGHT(DE$43,2),SUM($CD183:CE183),0)+IF(RIGHT(DE$43,2)&gt;RIGHT($K183,2),CE183,0))</f>
        <v>0</v>
      </c>
      <c r="DF183" s="387">
        <f>+IF($K183="ongoing",CF183,IF(RIGHT($K183,2)=RIGHT(DF$43,2),SUM($CD183:CF183),0)+IF(RIGHT(DF$43,2)&gt;RIGHT($K183,2),CF183,0))</f>
        <v>0</v>
      </c>
      <c r="DG183" s="388">
        <f>+IF($K183="ongoing",CG183,IF(RIGHT($K183,2)=RIGHT(DG$43,2),SUM($CD183:CG183),0)+IF(RIGHT(DG$43,2)&gt;RIGHT($K183,2),CG183,0))</f>
        <v>0</v>
      </c>
      <c r="DH183" s="386">
        <f>+IF($K183="ongoing",CH183,IF(RIGHT($K183,2)=RIGHT(DH$43,2),SUM($CD183:CH183),0)+IF(RIGHT(DH$43,2)&gt;RIGHT($K183,2),CH183,0))</f>
        <v>0</v>
      </c>
      <c r="DI183" s="387">
        <f>+IF($K183="ongoing",CI183,IF(RIGHT($K183,2)=RIGHT(DI$43,2),SUM($CD183:CI183),0)+IF(RIGHT(DI$43,2)&gt;RIGHT($K183,2),CI183,0))</f>
        <v>0</v>
      </c>
      <c r="DJ183" s="387">
        <f>+IF($K183="ongoing",CJ183,IF(RIGHT($K183,2)=RIGHT(DJ$43,2),SUM($CD183:CJ183),0)+IF(RIGHT(DJ$43,2)&gt;RIGHT($K183,2),CJ183,0))</f>
        <v>0</v>
      </c>
      <c r="DK183" s="387">
        <f>+IF($K183="ongoing",CK183,IF(RIGHT($K183,2)=RIGHT(DK$43,2),SUM($CD183:CK183),0)+IF(RIGHT(DK$43,2)&gt;RIGHT($K183,2),CK183,0))</f>
        <v>0</v>
      </c>
      <c r="DL183" s="388">
        <f>+IF($K183="ongoing",CN183,IF(RIGHT($K183,2)=RIGHT(DL$43,2),SUM($CD183:CN183),0)+IF(RIGHT(DL$43,2)&gt;RIGHT($K183,2),CN183,0))</f>
        <v>0</v>
      </c>
      <c r="DM183" s="841"/>
      <c r="DN183" s="386">
        <f t="shared" si="334"/>
        <v>0.5</v>
      </c>
      <c r="DO183" s="387">
        <f t="shared" si="335"/>
        <v>1</v>
      </c>
      <c r="DP183" s="388">
        <f t="shared" si="336"/>
        <v>1</v>
      </c>
      <c r="DQ183" s="386">
        <f t="shared" si="337"/>
        <v>1</v>
      </c>
      <c r="DR183" s="387">
        <f t="shared" si="338"/>
        <v>1</v>
      </c>
      <c r="DS183" s="387">
        <f t="shared" si="339"/>
        <v>1</v>
      </c>
      <c r="DT183" s="387">
        <f t="shared" si="340"/>
        <v>1</v>
      </c>
      <c r="DU183" s="388">
        <f t="shared" si="341"/>
        <v>1</v>
      </c>
      <c r="DW183" s="386">
        <f t="shared" si="342"/>
        <v>0</v>
      </c>
      <c r="DX183" s="387">
        <f t="shared" si="343"/>
        <v>0.5</v>
      </c>
      <c r="DY183" s="388">
        <f t="shared" si="344"/>
        <v>1</v>
      </c>
      <c r="DZ183" s="386">
        <f t="shared" si="345"/>
        <v>1</v>
      </c>
      <c r="EA183" s="387">
        <f t="shared" si="346"/>
        <v>1</v>
      </c>
      <c r="EB183" s="387">
        <f t="shared" si="347"/>
        <v>1</v>
      </c>
      <c r="EC183" s="387">
        <f t="shared" si="348"/>
        <v>1</v>
      </c>
      <c r="ED183" s="388">
        <f t="shared" si="349"/>
        <v>1</v>
      </c>
      <c r="EF183" s="834">
        <f>+IF(DN183=DM183,0,
IF(AND(EF$44&gt;1,DN183=$N183),1-SUM($EE183:EE183),
IF($N183&lt;=1,
IF($N183&gt;0,1/$N183,0),
IF(EF$44=1,0,VDB(1,0,$N183,INT(EF$44-1-1),MIN($N183,INT(EF$44-1-1)+1),$DC183,IF($DD183="No",1,0))/
IF(DM183&gt;=INT($N183),$N183-INT($N183),1)))*
IF(EF$44=1,0,
IF(INT(DN183)=INT(DM183),DN183-DM183,INT(DN183)-DM183))+
IF($N183&lt;=1,
IF($N183&gt;0,1/$N183,0),VDB(1,0,$N183,INT(EF$44-1),MIN($N183,INT(EF$44-1)+1),$DC183,IF($DD183="No",1,0))/
IF(DN183&gt;INT($N183),$N183-INT($N183),1))*
IF(EF$44=1,DN183,
IF(INT(DN183)=INT(DM183),0,DN183-INT(DN183)))))</f>
        <v>0</v>
      </c>
      <c r="EG183" s="835">
        <f>+IF(DO183=DN183,0,
IF(AND(EG$44&gt;1,DO183=$N183),1-SUM($EE183:EF183),
IF($N183&lt;=1,
IF($N183&gt;0,1/$N183,0),
IF(EG$44=1,0,VDB(1,0,$N183,INT(EG$44-1-1),MIN($N183,INT(EG$44-1-1)+1),$DC183,IF($DD183="No",1,0))/
IF(DN183&gt;=INT($N183),$N183-INT($N183),1)))*
IF(EG$44=1,0,
IF(INT(DO183)=INT(DN183),DO183-DN183,INT(DO183)-DN183))+
IF($N183&lt;=1,
IF($N183&gt;0,1/$N183,0),VDB(1,0,$N183,INT(EG$44-1),MIN($N183,INT(EG$44-1)+1),$DC183,IF($DD183="No",1,0))/
IF(DO183&gt;INT($N183),$N183-INT($N183),1))*
IF(EG$44=1,DO183,
IF(INT(DO183)=INT(DN183),0,DO183-INT(DO183)))))</f>
        <v>0</v>
      </c>
      <c r="EH183" s="836">
        <f>+IF(DP183=DO183,0,
IF(AND(EH$44&gt;1,DP183=$N183),1-SUM($EE183:EG183),
IF($N183&lt;=1,
IF($N183&gt;0,1/$N183,0),
IF(EH$44=1,0,VDB(1,0,$N183,INT(EH$44-1-1),MIN($N183,INT(EH$44-1-1)+1),$DC183,IF($DD183="No",1,0))/
IF(DO183&gt;=INT($N183),$N183-INT($N183),1)))*
IF(EH$44=1,0,
IF(INT(DP183)=INT(DO183),DP183-DO183,INT(DP183)-DO183))+
IF($N183&lt;=1,
IF($N183&gt;0,1/$N183,0),VDB(1,0,$N183,INT(EH$44-1),MIN($N183,INT(EH$44-1)+1),$DC183,IF($DD183="No",1,0))/
IF(DP183&gt;INT($N183),$N183-INT($N183),1))*
IF(EH$44=1,DP183,
IF(INT(DP183)=INT(DO183),0,DP183-INT(DP183)))))</f>
        <v>0</v>
      </c>
      <c r="EI183" s="834">
        <f>+IF(DQ183=DP183,0,
IF(AND(EI$44&gt;1,DQ183=$N183),1-SUM($EE183:EH183),
IF($N183&lt;=1,
IF($N183&gt;0,1/$N183,0),
IF(EI$44=1,0,VDB(1,0,$N183,INT(EI$44-1-1),MIN($N183,INT(EI$44-1-1)+1),$DC183,IF($DD183="No",1,0))/
IF(DP183&gt;=INT($N183),$N183-INT($N183),1)))*
IF(EI$44=1,0,
IF(INT(DQ183)=INT(DP183),DQ183-DP183,INT(DQ183)-DP183))+
IF($N183&lt;=1,
IF($N183&gt;0,1/$N183,0),VDB(1,0,$N183,INT(EI$44-1),MIN($N183,INT(EI$44-1)+1),$DC183,IF($DD183="No",1,0))/
IF(DQ183&gt;INT($N183),$N183-INT($N183),1))*
IF(EI$44=1,DQ183,
IF(INT(DQ183)=INT(DP183),0,DQ183-INT(DQ183)))))</f>
        <v>0</v>
      </c>
      <c r="EJ183" s="835">
        <f>+IF(DR183=DQ183,0,
IF(AND(EJ$44&gt;1,DR183=$N183),1-SUM($EE183:EI183),
IF($N183&lt;=1,
IF($N183&gt;0,1/$N183,0),
IF(EJ$44=1,0,VDB(1,0,$N183,INT(EJ$44-1-1),MIN($N183,INT(EJ$44-1-1)+1),$DC183,IF($DD183="No",1,0))/
IF(DQ183&gt;=INT($N183),$N183-INT($N183),1)))*
IF(EJ$44=1,0,
IF(INT(DR183)=INT(DQ183),DR183-DQ183,INT(DR183)-DQ183))+
IF($N183&lt;=1,
IF($N183&gt;0,1/$N183,0),VDB(1,0,$N183,INT(EJ$44-1),MIN($N183,INT(EJ$44-1)+1),$DC183,IF($DD183="No",1,0))/
IF(DR183&gt;INT($N183),$N183-INT($N183),1))*
IF(EJ$44=1,DR183,
IF(INT(DR183)=INT(DQ183),0,DR183-INT(DR183)))))</f>
        <v>0</v>
      </c>
      <c r="EK183" s="835">
        <f>+IF(DS183=DR183,0,
IF(AND(EK$44&gt;1,DS183=$N183),1-SUM($EE183:EJ183),
IF($N183&lt;=1,
IF($N183&gt;0,1/$N183,0),
IF(EK$44=1,0,VDB(1,0,$N183,INT(EK$44-1-1),MIN($N183,INT(EK$44-1-1)+1),$DC183,IF($DD183="No",1,0))/
IF(DR183&gt;=INT($N183),$N183-INT($N183),1)))*
IF(EK$44=1,0,
IF(INT(DS183)=INT(DR183),DS183-DR183,INT(DS183)-DR183))+
IF($N183&lt;=1,
IF($N183&gt;0,1/$N183,0),VDB(1,0,$N183,INT(EK$44-1),MIN($N183,INT(EK$44-1)+1),$DC183,IF($DD183="No",1,0))/
IF(DS183&gt;INT($N183),$N183-INT($N183),1))*
IF(EK$44=1,DS183,
IF(INT(DS183)=INT(DR183),0,DS183-INT(DS183)))))</f>
        <v>0</v>
      </c>
      <c r="EL183" s="835">
        <f>+IF(DT183=DS183,0,
IF(AND(EL$44&gt;1,DT183=$N183),1-SUM($EE183:EK183),
IF($N183&lt;=1,
IF($N183&gt;0,1/$N183,0),
IF(EL$44=1,0,VDB(1,0,$N183,INT(EL$44-1-1),MIN($N183,INT(EL$44-1-1)+1),$DC183,IF($DD183="No",1,0))/
IF(DS183&gt;=INT($N183),$N183-INT($N183),1)))*
IF(EL$44=1,0,
IF(INT(DT183)=INT(DS183),DT183-DS183,INT(DT183)-DS183))+
IF($N183&lt;=1,
IF($N183&gt;0,1/$N183,0),VDB(1,0,$N183,INT(EL$44-1),MIN($N183,INT(EL$44-1)+1),$DC183,IF($DD183="No",1,0))/
IF(DT183&gt;INT($N183),$N183-INT($N183),1))*
IF(EL$44=1,DT183,
IF(INT(DT183)=INT(DS183),0,DT183-INT(DT183)))))</f>
        <v>0</v>
      </c>
      <c r="EM183" s="836">
        <f>+IF(DU183=DT183,0,
IF(AND(EM$44&gt;1,DU183=$N183),1-SUM($EE183:EL183),
IF($N183&lt;=1,
IF($N183&gt;0,1/$N183,0),
IF(EM$44=1,0,VDB(1,0,$N183,INT(EM$44-1-1),MIN($N183,INT(EM$44-1-1)+1),$DC183,IF($DD183="No",1,0))/
IF(DT183&gt;=INT($N183),$N183-INT($N183),1)))*
IF(EM$44=1,0,
IF(INT(DU183)=INT(DT183),DU183-DT183,INT(DU183)-DT183))+
IF($N183&lt;=1,
IF($N183&gt;0,1/$N183,0),VDB(1,0,$N183,INT(EM$44-1),MIN($N183,INT(EM$44-1)+1),$DC183,IF($DD183="No",1,0))/
IF(DU183&gt;INT($N183),$N183-INT($N183),1))*
IF(EM$44=1,DU183,
IF(INT(DU183)=INT(DT183),0,DU183-INT(DU183)))))</f>
        <v>0</v>
      </c>
      <c r="EN183" s="833"/>
      <c r="EO183" s="834">
        <f>+IF(OR(DW183=DV183,EO$44=1),0,
IF(AND(EO$44&gt;1,DW183=$N183),1-SUM($EN183:EN183),
IF($N183&lt;=1,
IF($N183&gt;0,1/$N183,0),
IF(EO$44=2,0,VDB(1,0,$N183,INT(EO$44-2-1),MIN($N183,INT(EO$44-2-1)+1),$DC183,IF($DD183="No",1,0))/
IF(DV183&gt;=INT($N183),$N183-INT($N183),1)))*
IF(EO$44=2,0,
IF(INT(DW183)=INT(DV183),DW183-DV183,INT(DW183)-DV183))+
IF($N183&lt;=1,
IF($N183&gt;0,1/$N183,0),VDB(1,0,$N183,INT(EO$44-2),MIN($N183,INT(EO$44-2)+1),$DC183,IF($DD183="No",1,0))/
IF(DW183&gt;INT($N183),$N183-INT($N183),1))*
IF(EO$44=2,DW183,
IF(INT(DW183)=INT(DV183),0,DW183-INT(DW183)))))</f>
        <v>0</v>
      </c>
      <c r="EP183" s="835">
        <f>+IF(OR(DX183=DW183,EP$44=1),0,
IF(AND(EP$44&gt;1,DX183=$N183),1-SUM($EN183:EO183),
IF($N183&lt;=1,
IF($N183&gt;0,1/$N183,0),
IF(EP$44=2,0,VDB(1,0,$N183,INT(EP$44-2-1),MIN($N183,INT(EP$44-2-1)+1),$DC183,IF($DD183="No",1,0))/
IF(DW183&gt;=INT($N183),$N183-INT($N183),1)))*
IF(EP$44=2,0,
IF(INT(DX183)=INT(DW183),DX183-DW183,INT(DX183)-DW183))+
IF($N183&lt;=1,
IF($N183&gt;0,1/$N183,0),VDB(1,0,$N183,INT(EP$44-2),MIN($N183,INT(EP$44-2)+1),$DC183,IF($DD183="No",1,0))/
IF(DX183&gt;INT($N183),$N183-INT($N183),1))*
IF(EP$44=2,DX183,
IF(INT(DX183)=INT(DW183),0,DX183-INT(DX183)))))</f>
        <v>0</v>
      </c>
      <c r="EQ183" s="836">
        <f>+IF(OR(DY183=DX183,EQ$44=1),0,
IF(AND(EQ$44&gt;1,DY183=$N183),1-SUM($EN183:EP183),
IF($N183&lt;=1,
IF($N183&gt;0,1/$N183,0),
IF(EQ$44=2,0,VDB(1,0,$N183,INT(EQ$44-2-1),MIN($N183,INT(EQ$44-2-1)+1),$DC183,IF($DD183="No",1,0))/
IF(DX183&gt;=INT($N183),$N183-INT($N183),1)))*
IF(EQ$44=2,0,
IF(INT(DY183)=INT(DX183),DY183-DX183,INT(DY183)-DX183))+
IF($N183&lt;=1,
IF($N183&gt;0,1/$N183,0),VDB(1,0,$N183,INT(EQ$44-2),MIN($N183,INT(EQ$44-2)+1),$DC183,IF($DD183="No",1,0))/
IF(DY183&gt;INT($N183),$N183-INT($N183),1))*
IF(EQ$44=2,DY183,
IF(INT(DY183)=INT(DX183),0,DY183-INT(DY183)))))</f>
        <v>0</v>
      </c>
      <c r="ER183" s="834">
        <f>+IF(OR(DZ183=DY183,ER$44=1),0,
IF(AND(ER$44&gt;1,DZ183=$N183),1-SUM($EN183:EQ183),
IF($N183&lt;=1,
IF($N183&gt;0,1/$N183,0),
IF(ER$44=2,0,VDB(1,0,$N183,INT(ER$44-2-1),MIN($N183,INT(ER$44-2-1)+1),$DC183,IF($DD183="No",1,0))/
IF(DY183&gt;=INT($N183),$N183-INT($N183),1)))*
IF(ER$44=2,0,
IF(INT(DZ183)=INT(DY183),DZ183-DY183,INT(DZ183)-DY183))+
IF($N183&lt;=1,
IF($N183&gt;0,1/$N183,0),VDB(1,0,$N183,INT(ER$44-2),MIN($N183,INT(ER$44-2)+1),$DC183,IF($DD183="No",1,0))/
IF(DZ183&gt;INT($N183),$N183-INT($N183),1))*
IF(ER$44=2,DZ183,
IF(INT(DZ183)=INT(DY183),0,DZ183-INT(DZ183)))))</f>
        <v>0</v>
      </c>
      <c r="ES183" s="835">
        <f>+IF(OR(EA183=DZ183,ES$44=1),0,
IF(AND(ES$44&gt;1,EA183=$N183),1-SUM($EN183:ER183),
IF($N183&lt;=1,
IF($N183&gt;0,1/$N183,0),
IF(ES$44=2,0,VDB(1,0,$N183,INT(ES$44-2-1),MIN($N183,INT(ES$44-2-1)+1),$DC183,IF($DD183="No",1,0))/
IF(DZ183&gt;=INT($N183),$N183-INT($N183),1)))*
IF(ES$44=2,0,
IF(INT(EA183)=INT(DZ183),EA183-DZ183,INT(EA183)-DZ183))+
IF($N183&lt;=1,
IF($N183&gt;0,1/$N183,0),VDB(1,0,$N183,INT(ES$44-2),MIN($N183,INT(ES$44-2)+1),$DC183,IF($DD183="No",1,0))/
IF(EA183&gt;INT($N183),$N183-INT($N183),1))*
IF(ES$44=2,EA183,
IF(INT(EA183)=INT(DZ183),0,EA183-INT(EA183)))))</f>
        <v>0</v>
      </c>
      <c r="ET183" s="835">
        <f>+IF(OR(EB183=EA183,ET$44=1),0,
IF(AND(ET$44&gt;1,EB183=$N183),1-SUM($EN183:ES183),
IF($N183&lt;=1,
IF($N183&gt;0,1/$N183,0),
IF(ET$44=2,0,VDB(1,0,$N183,INT(ET$44-2-1),MIN($N183,INT(ET$44-2-1)+1),$DC183,IF($DD183="No",1,0))/
IF(EA183&gt;=INT($N183),$N183-INT($N183),1)))*
IF(ET$44=2,0,
IF(INT(EB183)=INT(EA183),EB183-EA183,INT(EB183)-EA183))+
IF($N183&lt;=1,
IF($N183&gt;0,1/$N183,0),VDB(1,0,$N183,INT(ET$44-2),MIN($N183,INT(ET$44-2)+1),$DC183,IF($DD183="No",1,0))/
IF(EB183&gt;INT($N183),$N183-INT($N183),1))*
IF(ET$44=2,EB183,
IF(INT(EB183)=INT(EA183),0,EB183-INT(EB183)))))</f>
        <v>0</v>
      </c>
      <c r="EU183" s="835">
        <f>+IF(OR(EC183=EB183,EU$44=1),0,
IF(AND(EU$44&gt;1,EC183=$N183),1-SUM($EN183:ET183),
IF($N183&lt;=1,
IF($N183&gt;0,1/$N183,0),
IF(EU$44=2,0,VDB(1,0,$N183,INT(EU$44-2-1),MIN($N183,INT(EU$44-2-1)+1),$DC183,IF($DD183="No",1,0))/
IF(EB183&gt;=INT($N183),$N183-INT($N183),1)))*
IF(EU$44=2,0,
IF(INT(EC183)=INT(EB183),EC183-EB183,INT(EC183)-EB183))+
IF($N183&lt;=1,
IF($N183&gt;0,1/$N183,0),VDB(1,0,$N183,INT(EU$44-2),MIN($N183,INT(EU$44-2)+1),$DC183,IF($DD183="No",1,0))/
IF(EC183&gt;INT($N183),$N183-INT($N183),1))*
IF(EU$44=2,EC183,
IF(INT(EC183)=INT(EB183),0,EC183-INT(EC183)))))</f>
        <v>0</v>
      </c>
      <c r="EV183" s="836">
        <f>+IF(OR(ED183=EC183,EV$44=1),0,
IF(AND(EV$44&gt;1,ED183=$N183),1-SUM($EN183:EU183),
IF($N183&lt;=1,
IF($N183&gt;0,1/$N183,0),
IF(EV$44=2,0,VDB(1,0,$N183,INT(EV$44-2-1),MIN($N183,INT(EV$44-2-1)+1),$DC183,IF($DD183="No",1,0))/
IF(EC183&gt;=INT($N183),$N183-INT($N183),1)))*
IF(EV$44=2,0,
IF(INT(ED183)=INT(EC183),ED183-EC183,INT(ED183)-EC183))+
IF($N183&lt;=1,
IF($N183&gt;0,1/$N183,0),VDB(1,0,$N183,INT(EV$44-2),MIN($N183,INT(EV$44-2)+1),$DC183,IF($DD183="No",1,0))/
IF(ED183&gt;INT($N183),$N183-INT($N183),1))*
IF(EV$44=2,ED183,
IF(INT(ED183)=INT(EC183),0,ED183-INT(ED183)))))</f>
        <v>0</v>
      </c>
      <c r="EW183" s="833"/>
      <c r="EX183" s="834">
        <f t="shared" ca="1" si="350"/>
        <v>0</v>
      </c>
      <c r="EY183" s="835">
        <f t="shared" ca="1" si="350"/>
        <v>0</v>
      </c>
      <c r="EZ183" s="836">
        <f t="shared" ca="1" si="350"/>
        <v>0</v>
      </c>
      <c r="FA183" s="834">
        <f t="shared" ca="1" si="350"/>
        <v>0</v>
      </c>
      <c r="FB183" s="835">
        <f t="shared" ca="1" si="350"/>
        <v>0</v>
      </c>
      <c r="FC183" s="835">
        <f t="shared" ca="1" si="350"/>
        <v>0</v>
      </c>
      <c r="FD183" s="835">
        <f t="shared" ca="1" si="350"/>
        <v>0</v>
      </c>
      <c r="FE183" s="836">
        <f t="shared" ca="1" si="350"/>
        <v>0</v>
      </c>
      <c r="FG183" s="386">
        <f t="shared" ca="1" si="351"/>
        <v>0</v>
      </c>
      <c r="FH183" s="387">
        <f t="shared" ca="1" si="352"/>
        <v>0</v>
      </c>
      <c r="FI183" s="388">
        <f t="shared" ca="1" si="353"/>
        <v>0</v>
      </c>
      <c r="FJ183" s="386">
        <f t="shared" ca="1" si="354"/>
        <v>0</v>
      </c>
      <c r="FK183" s="387">
        <f t="shared" ca="1" si="355"/>
        <v>0</v>
      </c>
      <c r="FL183" s="387">
        <f t="shared" ca="1" si="356"/>
        <v>0</v>
      </c>
      <c r="FM183" s="387">
        <f t="shared" ca="1" si="357"/>
        <v>0</v>
      </c>
      <c r="FN183" s="388">
        <f t="shared" ca="1" si="358"/>
        <v>0</v>
      </c>
      <c r="FR183" s="116"/>
    </row>
    <row r="184" spans="2:174">
      <c r="B184" s="1410">
        <f t="shared" si="302"/>
        <v>138</v>
      </c>
      <c r="C184" s="400"/>
      <c r="D184" s="410"/>
      <c r="E184" s="402"/>
      <c r="F184" s="402"/>
      <c r="G184" s="400"/>
      <c r="H184" s="2088"/>
      <c r="I184" s="2089"/>
      <c r="J184" s="411"/>
      <c r="K184" s="403"/>
      <c r="L184" s="403"/>
      <c r="M184" s="403"/>
      <c r="N184" s="403"/>
      <c r="O184" s="347"/>
      <c r="P184" s="347"/>
      <c r="Q184" s="1021"/>
      <c r="R184" s="1022"/>
      <c r="S184" s="1022"/>
      <c r="T184" s="1022"/>
      <c r="U184" s="1023"/>
      <c r="V184" s="1021"/>
      <c r="W184" s="1022"/>
      <c r="X184" s="1022"/>
      <c r="Y184" s="1022"/>
      <c r="Z184" s="1023"/>
      <c r="AA184" s="1024"/>
      <c r="AB184" s="1021"/>
      <c r="AC184" s="1022"/>
      <c r="AD184" s="1022"/>
      <c r="AE184" s="1022"/>
      <c r="AF184" s="1023"/>
      <c r="AG184" s="1021"/>
      <c r="AH184" s="1022"/>
      <c r="AI184" s="1022"/>
      <c r="AJ184" s="1022"/>
      <c r="AK184" s="1023"/>
      <c r="AL184" s="1024"/>
      <c r="AM184" s="1021"/>
      <c r="AN184" s="1022"/>
      <c r="AO184" s="1022"/>
      <c r="AP184" s="1022"/>
      <c r="AQ184" s="1023"/>
      <c r="AR184" s="1021"/>
      <c r="AS184" s="1022"/>
      <c r="AT184" s="1022"/>
      <c r="AU184" s="1022"/>
      <c r="AV184" s="1023"/>
      <c r="AW184" s="1025"/>
      <c r="AX184" s="1282">
        <f t="shared" si="304"/>
        <v>0</v>
      </c>
      <c r="AY184" s="387">
        <f t="shared" si="305"/>
        <v>0</v>
      </c>
      <c r="AZ184" s="387">
        <f t="shared" si="306"/>
        <v>0</v>
      </c>
      <c r="BA184" s="387">
        <f t="shared" si="307"/>
        <v>0</v>
      </c>
      <c r="BB184" s="1283">
        <f t="shared" si="308"/>
        <v>0</v>
      </c>
      <c r="BC184" s="386">
        <f t="shared" si="309"/>
        <v>0</v>
      </c>
      <c r="BD184" s="387">
        <f t="shared" si="310"/>
        <v>0</v>
      </c>
      <c r="BE184" s="1277">
        <f t="shared" si="311"/>
        <v>0</v>
      </c>
      <c r="BF184" s="1277">
        <f t="shared" si="312"/>
        <v>0</v>
      </c>
      <c r="BG184" s="388">
        <f t="shared" si="313"/>
        <v>0</v>
      </c>
      <c r="BH184" s="1025"/>
      <c r="BI184" s="1282">
        <f t="shared" ca="1" si="314"/>
        <v>0</v>
      </c>
      <c r="BJ184" s="387">
        <f t="shared" ca="1" si="315"/>
        <v>0</v>
      </c>
      <c r="BK184" s="387">
        <f t="shared" ca="1" si="316"/>
        <v>0</v>
      </c>
      <c r="BL184" s="387">
        <f t="shared" ca="1" si="317"/>
        <v>0</v>
      </c>
      <c r="BM184" s="1283">
        <f t="shared" ca="1" si="318"/>
        <v>0</v>
      </c>
      <c r="BN184" s="386">
        <f t="shared" ca="1" si="319"/>
        <v>0</v>
      </c>
      <c r="BO184" s="387">
        <f t="shared" ca="1" si="320"/>
        <v>0</v>
      </c>
      <c r="BP184" s="1277">
        <f t="shared" ca="1" si="321"/>
        <v>0</v>
      </c>
      <c r="BQ184" s="1277">
        <f t="shared" ca="1" si="322"/>
        <v>0</v>
      </c>
      <c r="BR184" s="388">
        <f t="shared" ca="1" si="323"/>
        <v>0</v>
      </c>
      <c r="BS184" s="1025"/>
      <c r="BT184" s="1282">
        <f>+IF($K184="Ongoing",AX184,IF(RIGHT($K184,2)=RIGHT(BT$43,2),SUM($AX184:AX184),0)+IF(RIGHT(BT$43,2)&gt;RIGHT($K184,2),AX184,0))</f>
        <v>0</v>
      </c>
      <c r="BU184" s="387">
        <f>+IF($K184="Ongoing",AY184,IF(RIGHT($K184,2)=RIGHT(BU$43,2),SUM($AX184:AY184),0)+IF(RIGHT(BU$43,2)&gt;RIGHT($K184,2),AY184,0))</f>
        <v>0</v>
      </c>
      <c r="BV184" s="387">
        <f>+IF($K184="Ongoing",AZ184,IF(RIGHT($K184,2)=RIGHT(BV$43,2),SUM($AX184:AZ184),0)+IF(RIGHT(BV$43,2)&gt;RIGHT($K184,2),AZ184,0))</f>
        <v>0</v>
      </c>
      <c r="BW184" s="387">
        <f>+IF($K184="Ongoing",BA184,IF(RIGHT($K184,2)=RIGHT(BW$43,2),SUM($AX184:BA184),0)+IF(RIGHT(BW$43,2)&gt;RIGHT($K184,2),BA184,0))</f>
        <v>0</v>
      </c>
      <c r="BX184" s="1283">
        <f>+IF($K184="Ongoing",BB184,IF(RIGHT($K184,2)=RIGHT(BX$43,2),SUM($AX184:BB184),0)+IF(RIGHT(BX$43,2)&gt;RIGHT($K184,2),BB184,0))</f>
        <v>0</v>
      </c>
      <c r="BY184" s="386">
        <f>+IF($K184="Ongoing",BC184,IF(RIGHT($K184,2)=RIGHT(BY$43,2),SUM($AX184:BC184),0)+IF(RIGHT(BY$43,2)&gt;RIGHT($K184,2),BC184,0))</f>
        <v>0</v>
      </c>
      <c r="BZ184" s="387">
        <f>+IF($K184="Ongoing",BD184,IF(RIGHT($K184,2)=RIGHT(BZ$43,2),SUM($AX184:BD184),0)+IF(RIGHT(BZ$43,2)&gt;RIGHT($K184,2),BD184,0))</f>
        <v>0</v>
      </c>
      <c r="CA184" s="1277">
        <f>+IF($K184="Ongoing",BE184,IF(RIGHT($K184,2)=RIGHT(CA$43,2),SUM($AX184:BE184),0)+IF(RIGHT(CA$43,2)&gt;RIGHT($K184,2),BE184,0))</f>
        <v>0</v>
      </c>
      <c r="CB184" s="1277">
        <f>+IF($K184="Ongoing",BF184,IF(RIGHT($K184,2)=RIGHT(CB$43,2),SUM($AX184:BF184),0)+IF(RIGHT(CB$43,2)&gt;RIGHT($K184,2),BF184,0))</f>
        <v>0</v>
      </c>
      <c r="CC184" s="388">
        <f>+IF($K184="Ongoing",BG184,IF(RIGHT($K184,2)=RIGHT(CC$43,2),SUM($AX184:BG184),0)+IF(RIGHT(CC$43,2)&gt;RIGHT($K184,2),BG184,0))</f>
        <v>0</v>
      </c>
      <c r="CD184" s="1025"/>
      <c r="CE184" s="1282">
        <f>+Q184*KeyAssumptionsPriceControl_FO!AF$15</f>
        <v>0</v>
      </c>
      <c r="CF184" s="387">
        <f>+R184*KeyAssumptionsPriceControl_FO!AG$15</f>
        <v>0</v>
      </c>
      <c r="CG184" s="387">
        <f>+S184*KeyAssumptionsPriceControl_FO!AH$15</f>
        <v>0</v>
      </c>
      <c r="CH184" s="387">
        <f>+T184*KeyAssumptionsPriceControl_FO!AI$15</f>
        <v>0</v>
      </c>
      <c r="CI184" s="1283">
        <f>+U184*KeyAssumptionsPriceControl_FO!AJ$15</f>
        <v>0</v>
      </c>
      <c r="CJ184" s="386">
        <f>+V184*KeyAssumptionsPriceControl_FO!AK$15</f>
        <v>0</v>
      </c>
      <c r="CK184" s="387">
        <f>+W184*KeyAssumptionsPriceControl_FO!AL$15</f>
        <v>0</v>
      </c>
      <c r="CL184" s="1277">
        <f>+X184*KeyAssumptionsPriceControl_FO!AM$15</f>
        <v>0</v>
      </c>
      <c r="CM184" s="1277">
        <f>+Y184*KeyAssumptionsPriceControl_FO!AN$15</f>
        <v>0</v>
      </c>
      <c r="CN184" s="388">
        <f>+Z184*KeyAssumptionsPriceControl_FO!AO$15</f>
        <v>0</v>
      </c>
      <c r="CO184" s="1025"/>
      <c r="CP184" s="1282">
        <f t="shared" ca="1" si="324"/>
        <v>0</v>
      </c>
      <c r="CQ184" s="387">
        <f t="shared" ca="1" si="325"/>
        <v>0</v>
      </c>
      <c r="CR184" s="387">
        <f t="shared" ca="1" si="326"/>
        <v>0</v>
      </c>
      <c r="CS184" s="387">
        <f t="shared" ca="1" si="327"/>
        <v>0</v>
      </c>
      <c r="CT184" s="1283">
        <f t="shared" ca="1" si="328"/>
        <v>0</v>
      </c>
      <c r="CU184" s="386">
        <f t="shared" ca="1" si="329"/>
        <v>0</v>
      </c>
      <c r="CV184" s="387">
        <f t="shared" ca="1" si="330"/>
        <v>0</v>
      </c>
      <c r="CW184" s="1277">
        <f t="shared" ca="1" si="331"/>
        <v>0</v>
      </c>
      <c r="CX184" s="1277">
        <f t="shared" ca="1" si="332"/>
        <v>0</v>
      </c>
      <c r="CY184" s="388">
        <f t="shared" ca="1" si="333"/>
        <v>0</v>
      </c>
      <c r="CZ184" s="347"/>
      <c r="DA184" s="852"/>
      <c r="DB184" s="347"/>
      <c r="DC184" s="1012" t="s">
        <v>705</v>
      </c>
      <c r="DD184" s="841" t="s">
        <v>518</v>
      </c>
      <c r="DE184" s="386">
        <f>+IF($K184="ongoing",CE184,IF(RIGHT($K184,2)=RIGHT(DE$43,2),SUM($CD184:CE184),0)+IF(RIGHT(DE$43,2)&gt;RIGHT($K184,2),CE184,0))</f>
        <v>0</v>
      </c>
      <c r="DF184" s="387">
        <f>+IF($K184="ongoing",CF184,IF(RIGHT($K184,2)=RIGHT(DF$43,2),SUM($CD184:CF184),0)+IF(RIGHT(DF$43,2)&gt;RIGHT($K184,2),CF184,0))</f>
        <v>0</v>
      </c>
      <c r="DG184" s="388">
        <f>+IF($K184="ongoing",CG184,IF(RIGHT($K184,2)=RIGHT(DG$43,2),SUM($CD184:CG184),0)+IF(RIGHT(DG$43,2)&gt;RIGHT($K184,2),CG184,0))</f>
        <v>0</v>
      </c>
      <c r="DH184" s="386">
        <f>+IF($K184="ongoing",CH184,IF(RIGHT($K184,2)=RIGHT(DH$43,2),SUM($CD184:CH184),0)+IF(RIGHT(DH$43,2)&gt;RIGHT($K184,2),CH184,0))</f>
        <v>0</v>
      </c>
      <c r="DI184" s="387">
        <f>+IF($K184="ongoing",CI184,IF(RIGHT($K184,2)=RIGHT(DI$43,2),SUM($CD184:CI184),0)+IF(RIGHT(DI$43,2)&gt;RIGHT($K184,2),CI184,0))</f>
        <v>0</v>
      </c>
      <c r="DJ184" s="387">
        <f>+IF($K184="ongoing",CJ184,IF(RIGHT($K184,2)=RIGHT(DJ$43,2),SUM($CD184:CJ184),0)+IF(RIGHT(DJ$43,2)&gt;RIGHT($K184,2),CJ184,0))</f>
        <v>0</v>
      </c>
      <c r="DK184" s="387">
        <f>+IF($K184="ongoing",CK184,IF(RIGHT($K184,2)=RIGHT(DK$43,2),SUM($CD184:CK184),0)+IF(RIGHT(DK$43,2)&gt;RIGHT($K184,2),CK184,0))</f>
        <v>0</v>
      </c>
      <c r="DL184" s="388">
        <f>+IF($K184="ongoing",CN184,IF(RIGHT($K184,2)=RIGHT(DL$43,2),SUM($CD184:CN184),0)+IF(RIGHT(DL$43,2)&gt;RIGHT($K184,2),CN184,0))</f>
        <v>0</v>
      </c>
      <c r="DM184" s="841"/>
      <c r="DN184" s="386">
        <f t="shared" si="334"/>
        <v>0.5</v>
      </c>
      <c r="DO184" s="387">
        <f t="shared" si="335"/>
        <v>1</v>
      </c>
      <c r="DP184" s="388">
        <f t="shared" si="336"/>
        <v>1</v>
      </c>
      <c r="DQ184" s="386">
        <f t="shared" si="337"/>
        <v>1</v>
      </c>
      <c r="DR184" s="387">
        <f t="shared" si="338"/>
        <v>1</v>
      </c>
      <c r="DS184" s="387">
        <f t="shared" si="339"/>
        <v>1</v>
      </c>
      <c r="DT184" s="387">
        <f t="shared" si="340"/>
        <v>1</v>
      </c>
      <c r="DU184" s="388">
        <f t="shared" si="341"/>
        <v>1</v>
      </c>
      <c r="DW184" s="386">
        <f t="shared" si="342"/>
        <v>0</v>
      </c>
      <c r="DX184" s="387">
        <f t="shared" si="343"/>
        <v>0.5</v>
      </c>
      <c r="DY184" s="388">
        <f t="shared" si="344"/>
        <v>1</v>
      </c>
      <c r="DZ184" s="386">
        <f t="shared" si="345"/>
        <v>1</v>
      </c>
      <c r="EA184" s="387">
        <f t="shared" si="346"/>
        <v>1</v>
      </c>
      <c r="EB184" s="387">
        <f t="shared" si="347"/>
        <v>1</v>
      </c>
      <c r="EC184" s="387">
        <f t="shared" si="348"/>
        <v>1</v>
      </c>
      <c r="ED184" s="388">
        <f t="shared" si="349"/>
        <v>1</v>
      </c>
      <c r="EF184" s="834">
        <f>+IF(DN184=DM184,0,
IF(AND(EF$44&gt;1,DN184=$N184),1-SUM($EE184:EE184),
IF($N184&lt;=1,
IF($N184&gt;0,1/$N184,0),
IF(EF$44=1,0,VDB(1,0,$N184,INT(EF$44-1-1),MIN($N184,INT(EF$44-1-1)+1),$DC184,IF($DD184="No",1,0))/
IF(DM184&gt;=INT($N184),$N184-INT($N184),1)))*
IF(EF$44=1,0,
IF(INT(DN184)=INT(DM184),DN184-DM184,INT(DN184)-DM184))+
IF($N184&lt;=1,
IF($N184&gt;0,1/$N184,0),VDB(1,0,$N184,INT(EF$44-1),MIN($N184,INT(EF$44-1)+1),$DC184,IF($DD184="No",1,0))/
IF(DN184&gt;INT($N184),$N184-INT($N184),1))*
IF(EF$44=1,DN184,
IF(INT(DN184)=INT(DM184),0,DN184-INT(DN184)))))</f>
        <v>0</v>
      </c>
      <c r="EG184" s="835">
        <f>+IF(DO184=DN184,0,
IF(AND(EG$44&gt;1,DO184=$N184),1-SUM($EE184:EF184),
IF($N184&lt;=1,
IF($N184&gt;0,1/$N184,0),
IF(EG$44=1,0,VDB(1,0,$N184,INT(EG$44-1-1),MIN($N184,INT(EG$44-1-1)+1),$DC184,IF($DD184="No",1,0))/
IF(DN184&gt;=INT($N184),$N184-INT($N184),1)))*
IF(EG$44=1,0,
IF(INT(DO184)=INT(DN184),DO184-DN184,INT(DO184)-DN184))+
IF($N184&lt;=1,
IF($N184&gt;0,1/$N184,0),VDB(1,0,$N184,INT(EG$44-1),MIN($N184,INT(EG$44-1)+1),$DC184,IF($DD184="No",1,0))/
IF(DO184&gt;INT($N184),$N184-INT($N184),1))*
IF(EG$44=1,DO184,
IF(INT(DO184)=INT(DN184),0,DO184-INT(DO184)))))</f>
        <v>0</v>
      </c>
      <c r="EH184" s="836">
        <f>+IF(DP184=DO184,0,
IF(AND(EH$44&gt;1,DP184=$N184),1-SUM($EE184:EG184),
IF($N184&lt;=1,
IF($N184&gt;0,1/$N184,0),
IF(EH$44=1,0,VDB(1,0,$N184,INT(EH$44-1-1),MIN($N184,INT(EH$44-1-1)+1),$DC184,IF($DD184="No",1,0))/
IF(DO184&gt;=INT($N184),$N184-INT($N184),1)))*
IF(EH$44=1,0,
IF(INT(DP184)=INT(DO184),DP184-DO184,INT(DP184)-DO184))+
IF($N184&lt;=1,
IF($N184&gt;0,1/$N184,0),VDB(1,0,$N184,INT(EH$44-1),MIN($N184,INT(EH$44-1)+1),$DC184,IF($DD184="No",1,0))/
IF(DP184&gt;INT($N184),$N184-INT($N184),1))*
IF(EH$44=1,DP184,
IF(INT(DP184)=INT(DO184),0,DP184-INT(DP184)))))</f>
        <v>0</v>
      </c>
      <c r="EI184" s="834">
        <f>+IF(DQ184=DP184,0,
IF(AND(EI$44&gt;1,DQ184=$N184),1-SUM($EE184:EH184),
IF($N184&lt;=1,
IF($N184&gt;0,1/$N184,0),
IF(EI$44=1,0,VDB(1,0,$N184,INT(EI$44-1-1),MIN($N184,INT(EI$44-1-1)+1),$DC184,IF($DD184="No",1,0))/
IF(DP184&gt;=INT($N184),$N184-INT($N184),1)))*
IF(EI$44=1,0,
IF(INT(DQ184)=INT(DP184),DQ184-DP184,INT(DQ184)-DP184))+
IF($N184&lt;=1,
IF($N184&gt;0,1/$N184,0),VDB(1,0,$N184,INT(EI$44-1),MIN($N184,INT(EI$44-1)+1),$DC184,IF($DD184="No",1,0))/
IF(DQ184&gt;INT($N184),$N184-INT($N184),1))*
IF(EI$44=1,DQ184,
IF(INT(DQ184)=INT(DP184),0,DQ184-INT(DQ184)))))</f>
        <v>0</v>
      </c>
      <c r="EJ184" s="835">
        <f>+IF(DR184=DQ184,0,
IF(AND(EJ$44&gt;1,DR184=$N184),1-SUM($EE184:EI184),
IF($N184&lt;=1,
IF($N184&gt;0,1/$N184,0),
IF(EJ$44=1,0,VDB(1,0,$N184,INT(EJ$44-1-1),MIN($N184,INT(EJ$44-1-1)+1),$DC184,IF($DD184="No",1,0))/
IF(DQ184&gt;=INT($N184),$N184-INT($N184),1)))*
IF(EJ$44=1,0,
IF(INT(DR184)=INT(DQ184),DR184-DQ184,INT(DR184)-DQ184))+
IF($N184&lt;=1,
IF($N184&gt;0,1/$N184,0),VDB(1,0,$N184,INT(EJ$44-1),MIN($N184,INT(EJ$44-1)+1),$DC184,IF($DD184="No",1,0))/
IF(DR184&gt;INT($N184),$N184-INT($N184),1))*
IF(EJ$44=1,DR184,
IF(INT(DR184)=INT(DQ184),0,DR184-INT(DR184)))))</f>
        <v>0</v>
      </c>
      <c r="EK184" s="835">
        <f>+IF(DS184=DR184,0,
IF(AND(EK$44&gt;1,DS184=$N184),1-SUM($EE184:EJ184),
IF($N184&lt;=1,
IF($N184&gt;0,1/$N184,0),
IF(EK$44=1,0,VDB(1,0,$N184,INT(EK$44-1-1),MIN($N184,INT(EK$44-1-1)+1),$DC184,IF($DD184="No",1,0))/
IF(DR184&gt;=INT($N184),$N184-INT($N184),1)))*
IF(EK$44=1,0,
IF(INT(DS184)=INT(DR184),DS184-DR184,INT(DS184)-DR184))+
IF($N184&lt;=1,
IF($N184&gt;0,1/$N184,0),VDB(1,0,$N184,INT(EK$44-1),MIN($N184,INT(EK$44-1)+1),$DC184,IF($DD184="No",1,0))/
IF(DS184&gt;INT($N184),$N184-INT($N184),1))*
IF(EK$44=1,DS184,
IF(INT(DS184)=INT(DR184),0,DS184-INT(DS184)))))</f>
        <v>0</v>
      </c>
      <c r="EL184" s="835">
        <f>+IF(DT184=DS184,0,
IF(AND(EL$44&gt;1,DT184=$N184),1-SUM($EE184:EK184),
IF($N184&lt;=1,
IF($N184&gt;0,1/$N184,0),
IF(EL$44=1,0,VDB(1,0,$N184,INT(EL$44-1-1),MIN($N184,INT(EL$44-1-1)+1),$DC184,IF($DD184="No",1,0))/
IF(DS184&gt;=INT($N184),$N184-INT($N184),1)))*
IF(EL$44=1,0,
IF(INT(DT184)=INT(DS184),DT184-DS184,INT(DT184)-DS184))+
IF($N184&lt;=1,
IF($N184&gt;0,1/$N184,0),VDB(1,0,$N184,INT(EL$44-1),MIN($N184,INT(EL$44-1)+1),$DC184,IF($DD184="No",1,0))/
IF(DT184&gt;INT($N184),$N184-INT($N184),1))*
IF(EL$44=1,DT184,
IF(INT(DT184)=INT(DS184),0,DT184-INT(DT184)))))</f>
        <v>0</v>
      </c>
      <c r="EM184" s="836">
        <f>+IF(DU184=DT184,0,
IF(AND(EM$44&gt;1,DU184=$N184),1-SUM($EE184:EL184),
IF($N184&lt;=1,
IF($N184&gt;0,1/$N184,0),
IF(EM$44=1,0,VDB(1,0,$N184,INT(EM$44-1-1),MIN($N184,INT(EM$44-1-1)+1),$DC184,IF($DD184="No",1,0))/
IF(DT184&gt;=INT($N184),$N184-INT($N184),1)))*
IF(EM$44=1,0,
IF(INT(DU184)=INT(DT184),DU184-DT184,INT(DU184)-DT184))+
IF($N184&lt;=1,
IF($N184&gt;0,1/$N184,0),VDB(1,0,$N184,INT(EM$44-1),MIN($N184,INT(EM$44-1)+1),$DC184,IF($DD184="No",1,0))/
IF(DU184&gt;INT($N184),$N184-INT($N184),1))*
IF(EM$44=1,DU184,
IF(INT(DU184)=INT(DT184),0,DU184-INT(DU184)))))</f>
        <v>0</v>
      </c>
      <c r="EN184" s="833"/>
      <c r="EO184" s="834">
        <f>+IF(OR(DW184=DV184,EO$44=1),0,
IF(AND(EO$44&gt;1,DW184=$N184),1-SUM($EN184:EN184),
IF($N184&lt;=1,
IF($N184&gt;0,1/$N184,0),
IF(EO$44=2,0,VDB(1,0,$N184,INT(EO$44-2-1),MIN($N184,INT(EO$44-2-1)+1),$DC184,IF($DD184="No",1,0))/
IF(DV184&gt;=INT($N184),$N184-INT($N184),1)))*
IF(EO$44=2,0,
IF(INT(DW184)=INT(DV184),DW184-DV184,INT(DW184)-DV184))+
IF($N184&lt;=1,
IF($N184&gt;0,1/$N184,0),VDB(1,0,$N184,INT(EO$44-2),MIN($N184,INT(EO$44-2)+1),$DC184,IF($DD184="No",1,0))/
IF(DW184&gt;INT($N184),$N184-INT($N184),1))*
IF(EO$44=2,DW184,
IF(INT(DW184)=INT(DV184),0,DW184-INT(DW184)))))</f>
        <v>0</v>
      </c>
      <c r="EP184" s="835">
        <f>+IF(OR(DX184=DW184,EP$44=1),0,
IF(AND(EP$44&gt;1,DX184=$N184),1-SUM($EN184:EO184),
IF($N184&lt;=1,
IF($N184&gt;0,1/$N184,0),
IF(EP$44=2,0,VDB(1,0,$N184,INT(EP$44-2-1),MIN($N184,INT(EP$44-2-1)+1),$DC184,IF($DD184="No",1,0))/
IF(DW184&gt;=INT($N184),$N184-INT($N184),1)))*
IF(EP$44=2,0,
IF(INT(DX184)=INT(DW184),DX184-DW184,INT(DX184)-DW184))+
IF($N184&lt;=1,
IF($N184&gt;0,1/$N184,0),VDB(1,0,$N184,INT(EP$44-2),MIN($N184,INT(EP$44-2)+1),$DC184,IF($DD184="No",1,0))/
IF(DX184&gt;INT($N184),$N184-INT($N184),1))*
IF(EP$44=2,DX184,
IF(INT(DX184)=INT(DW184),0,DX184-INT(DX184)))))</f>
        <v>0</v>
      </c>
      <c r="EQ184" s="836">
        <f>+IF(OR(DY184=DX184,EQ$44=1),0,
IF(AND(EQ$44&gt;1,DY184=$N184),1-SUM($EN184:EP184),
IF($N184&lt;=1,
IF($N184&gt;0,1/$N184,0),
IF(EQ$44=2,0,VDB(1,0,$N184,INT(EQ$44-2-1),MIN($N184,INT(EQ$44-2-1)+1),$DC184,IF($DD184="No",1,0))/
IF(DX184&gt;=INT($N184),$N184-INT($N184),1)))*
IF(EQ$44=2,0,
IF(INT(DY184)=INT(DX184),DY184-DX184,INT(DY184)-DX184))+
IF($N184&lt;=1,
IF($N184&gt;0,1/$N184,0),VDB(1,0,$N184,INT(EQ$44-2),MIN($N184,INT(EQ$44-2)+1),$DC184,IF($DD184="No",1,0))/
IF(DY184&gt;INT($N184),$N184-INT($N184),1))*
IF(EQ$44=2,DY184,
IF(INT(DY184)=INT(DX184),0,DY184-INT(DY184)))))</f>
        <v>0</v>
      </c>
      <c r="ER184" s="834">
        <f>+IF(OR(DZ184=DY184,ER$44=1),0,
IF(AND(ER$44&gt;1,DZ184=$N184),1-SUM($EN184:EQ184),
IF($N184&lt;=1,
IF($N184&gt;0,1/$N184,0),
IF(ER$44=2,0,VDB(1,0,$N184,INT(ER$44-2-1),MIN($N184,INT(ER$44-2-1)+1),$DC184,IF($DD184="No",1,0))/
IF(DY184&gt;=INT($N184),$N184-INT($N184),1)))*
IF(ER$44=2,0,
IF(INT(DZ184)=INT(DY184),DZ184-DY184,INT(DZ184)-DY184))+
IF($N184&lt;=1,
IF($N184&gt;0,1/$N184,0),VDB(1,0,$N184,INT(ER$44-2),MIN($N184,INT(ER$44-2)+1),$DC184,IF($DD184="No",1,0))/
IF(DZ184&gt;INT($N184),$N184-INT($N184),1))*
IF(ER$44=2,DZ184,
IF(INT(DZ184)=INT(DY184),0,DZ184-INT(DZ184)))))</f>
        <v>0</v>
      </c>
      <c r="ES184" s="835">
        <f>+IF(OR(EA184=DZ184,ES$44=1),0,
IF(AND(ES$44&gt;1,EA184=$N184),1-SUM($EN184:ER184),
IF($N184&lt;=1,
IF($N184&gt;0,1/$N184,0),
IF(ES$44=2,0,VDB(1,0,$N184,INT(ES$44-2-1),MIN($N184,INT(ES$44-2-1)+1),$DC184,IF($DD184="No",1,0))/
IF(DZ184&gt;=INT($N184),$N184-INT($N184),1)))*
IF(ES$44=2,0,
IF(INT(EA184)=INT(DZ184),EA184-DZ184,INT(EA184)-DZ184))+
IF($N184&lt;=1,
IF($N184&gt;0,1/$N184,0),VDB(1,0,$N184,INT(ES$44-2),MIN($N184,INT(ES$44-2)+1),$DC184,IF($DD184="No",1,0))/
IF(EA184&gt;INT($N184),$N184-INT($N184),1))*
IF(ES$44=2,EA184,
IF(INT(EA184)=INT(DZ184),0,EA184-INT(EA184)))))</f>
        <v>0</v>
      </c>
      <c r="ET184" s="835">
        <f>+IF(OR(EB184=EA184,ET$44=1),0,
IF(AND(ET$44&gt;1,EB184=$N184),1-SUM($EN184:ES184),
IF($N184&lt;=1,
IF($N184&gt;0,1/$N184,0),
IF(ET$44=2,0,VDB(1,0,$N184,INT(ET$44-2-1),MIN($N184,INT(ET$44-2-1)+1),$DC184,IF($DD184="No",1,0))/
IF(EA184&gt;=INT($N184),$N184-INT($N184),1)))*
IF(ET$44=2,0,
IF(INT(EB184)=INT(EA184),EB184-EA184,INT(EB184)-EA184))+
IF($N184&lt;=1,
IF($N184&gt;0,1/$N184,0),VDB(1,0,$N184,INT(ET$44-2),MIN($N184,INT(ET$44-2)+1),$DC184,IF($DD184="No",1,0))/
IF(EB184&gt;INT($N184),$N184-INT($N184),1))*
IF(ET$44=2,EB184,
IF(INT(EB184)=INT(EA184),0,EB184-INT(EB184)))))</f>
        <v>0</v>
      </c>
      <c r="EU184" s="835">
        <f>+IF(OR(EC184=EB184,EU$44=1),0,
IF(AND(EU$44&gt;1,EC184=$N184),1-SUM($EN184:ET184),
IF($N184&lt;=1,
IF($N184&gt;0,1/$N184,0),
IF(EU$44=2,0,VDB(1,0,$N184,INT(EU$44-2-1),MIN($N184,INT(EU$44-2-1)+1),$DC184,IF($DD184="No",1,0))/
IF(EB184&gt;=INT($N184),$N184-INT($N184),1)))*
IF(EU$44=2,0,
IF(INT(EC184)=INT(EB184),EC184-EB184,INT(EC184)-EB184))+
IF($N184&lt;=1,
IF($N184&gt;0,1/$N184,0),VDB(1,0,$N184,INT(EU$44-2),MIN($N184,INT(EU$44-2)+1),$DC184,IF($DD184="No",1,0))/
IF(EC184&gt;INT($N184),$N184-INT($N184),1))*
IF(EU$44=2,EC184,
IF(INT(EC184)=INT(EB184),0,EC184-INT(EC184)))))</f>
        <v>0</v>
      </c>
      <c r="EV184" s="836">
        <f>+IF(OR(ED184=EC184,EV$44=1),0,
IF(AND(EV$44&gt;1,ED184=$N184),1-SUM($EN184:EU184),
IF($N184&lt;=1,
IF($N184&gt;0,1/$N184,0),
IF(EV$44=2,0,VDB(1,0,$N184,INT(EV$44-2-1),MIN($N184,INT(EV$44-2-1)+1),$DC184,IF($DD184="No",1,0))/
IF(EC184&gt;=INT($N184),$N184-INT($N184),1)))*
IF(EV$44=2,0,
IF(INT(ED184)=INT(EC184),ED184-EC184,INT(ED184)-EC184))+
IF($N184&lt;=1,
IF($N184&gt;0,1/$N184,0),VDB(1,0,$N184,INT(EV$44-2),MIN($N184,INT(EV$44-2)+1),$DC184,IF($DD184="No",1,0))/
IF(ED184&gt;INT($N184),$N184-INT($N184),1))*
IF(EV$44=2,ED184,
IF(INT(ED184)=INT(EC184),0,ED184-INT(ED184)))))</f>
        <v>0</v>
      </c>
      <c r="EW184" s="833"/>
      <c r="EX184" s="834">
        <f t="shared" ca="1" si="350"/>
        <v>0</v>
      </c>
      <c r="EY184" s="835">
        <f t="shared" ca="1" si="350"/>
        <v>0</v>
      </c>
      <c r="EZ184" s="836">
        <f t="shared" ca="1" si="350"/>
        <v>0</v>
      </c>
      <c r="FA184" s="834">
        <f t="shared" ca="1" si="350"/>
        <v>0</v>
      </c>
      <c r="FB184" s="835">
        <f t="shared" ca="1" si="350"/>
        <v>0</v>
      </c>
      <c r="FC184" s="835">
        <f t="shared" ca="1" si="350"/>
        <v>0</v>
      </c>
      <c r="FD184" s="835">
        <f t="shared" ca="1" si="350"/>
        <v>0</v>
      </c>
      <c r="FE184" s="836">
        <f t="shared" ca="1" si="350"/>
        <v>0</v>
      </c>
      <c r="FG184" s="386">
        <f t="shared" ca="1" si="351"/>
        <v>0</v>
      </c>
      <c r="FH184" s="387">
        <f t="shared" ca="1" si="352"/>
        <v>0</v>
      </c>
      <c r="FI184" s="388">
        <f t="shared" ca="1" si="353"/>
        <v>0</v>
      </c>
      <c r="FJ184" s="386">
        <f t="shared" ca="1" si="354"/>
        <v>0</v>
      </c>
      <c r="FK184" s="387">
        <f t="shared" ca="1" si="355"/>
        <v>0</v>
      </c>
      <c r="FL184" s="387">
        <f t="shared" ca="1" si="356"/>
        <v>0</v>
      </c>
      <c r="FM184" s="387">
        <f t="shared" ca="1" si="357"/>
        <v>0</v>
      </c>
      <c r="FN184" s="388">
        <f t="shared" ca="1" si="358"/>
        <v>0</v>
      </c>
      <c r="FR184" s="116"/>
    </row>
    <row r="185" spans="2:174">
      <c r="B185" s="1410">
        <f t="shared" si="302"/>
        <v>139</v>
      </c>
      <c r="C185" s="400"/>
      <c r="D185" s="410"/>
      <c r="E185" s="402"/>
      <c r="F185" s="402"/>
      <c r="G185" s="400"/>
      <c r="H185" s="2088"/>
      <c r="I185" s="2089"/>
      <c r="J185" s="411"/>
      <c r="K185" s="403"/>
      <c r="L185" s="403"/>
      <c r="M185" s="403"/>
      <c r="N185" s="403"/>
      <c r="O185" s="347"/>
      <c r="P185" s="347"/>
      <c r="Q185" s="1021"/>
      <c r="R185" s="1022"/>
      <c r="S185" s="1022"/>
      <c r="T185" s="1022"/>
      <c r="U185" s="1023"/>
      <c r="V185" s="1021"/>
      <c r="W185" s="1022"/>
      <c r="X185" s="1022"/>
      <c r="Y185" s="1022"/>
      <c r="Z185" s="1023"/>
      <c r="AA185" s="1024"/>
      <c r="AB185" s="1021"/>
      <c r="AC185" s="1022"/>
      <c r="AD185" s="1022"/>
      <c r="AE185" s="1022"/>
      <c r="AF185" s="1023"/>
      <c r="AG185" s="1021"/>
      <c r="AH185" s="1022"/>
      <c r="AI185" s="1022"/>
      <c r="AJ185" s="1022"/>
      <c r="AK185" s="1023"/>
      <c r="AL185" s="1024"/>
      <c r="AM185" s="1021"/>
      <c r="AN185" s="1022"/>
      <c r="AO185" s="1022"/>
      <c r="AP185" s="1022"/>
      <c r="AQ185" s="1023"/>
      <c r="AR185" s="1021"/>
      <c r="AS185" s="1022"/>
      <c r="AT185" s="1022"/>
      <c r="AU185" s="1022"/>
      <c r="AV185" s="1023"/>
      <c r="AW185" s="1025"/>
      <c r="AX185" s="1282">
        <f t="shared" si="304"/>
        <v>0</v>
      </c>
      <c r="AY185" s="387">
        <f t="shared" si="305"/>
        <v>0</v>
      </c>
      <c r="AZ185" s="387">
        <f t="shared" si="306"/>
        <v>0</v>
      </c>
      <c r="BA185" s="387">
        <f t="shared" si="307"/>
        <v>0</v>
      </c>
      <c r="BB185" s="1283">
        <f t="shared" si="308"/>
        <v>0</v>
      </c>
      <c r="BC185" s="386">
        <f t="shared" si="309"/>
        <v>0</v>
      </c>
      <c r="BD185" s="387">
        <f t="shared" si="310"/>
        <v>0</v>
      </c>
      <c r="BE185" s="1277">
        <f t="shared" si="311"/>
        <v>0</v>
      </c>
      <c r="BF185" s="1277">
        <f t="shared" si="312"/>
        <v>0</v>
      </c>
      <c r="BG185" s="388">
        <f t="shared" si="313"/>
        <v>0</v>
      </c>
      <c r="BH185" s="1025"/>
      <c r="BI185" s="1282">
        <f t="shared" ca="1" si="314"/>
        <v>0</v>
      </c>
      <c r="BJ185" s="387">
        <f t="shared" ca="1" si="315"/>
        <v>0</v>
      </c>
      <c r="BK185" s="387">
        <f t="shared" ca="1" si="316"/>
        <v>0</v>
      </c>
      <c r="BL185" s="387">
        <f t="shared" ca="1" si="317"/>
        <v>0</v>
      </c>
      <c r="BM185" s="1283">
        <f t="shared" ca="1" si="318"/>
        <v>0</v>
      </c>
      <c r="BN185" s="386">
        <f t="shared" ca="1" si="319"/>
        <v>0</v>
      </c>
      <c r="BO185" s="387">
        <f t="shared" ca="1" si="320"/>
        <v>0</v>
      </c>
      <c r="BP185" s="1277">
        <f t="shared" ca="1" si="321"/>
        <v>0</v>
      </c>
      <c r="BQ185" s="1277">
        <f t="shared" ca="1" si="322"/>
        <v>0</v>
      </c>
      <c r="BR185" s="388">
        <f t="shared" ca="1" si="323"/>
        <v>0</v>
      </c>
      <c r="BS185" s="1025"/>
      <c r="BT185" s="1282">
        <f>+IF($K185="Ongoing",AX185,IF(RIGHT($K185,2)=RIGHT(BT$43,2),SUM($AX185:AX185),0)+IF(RIGHT(BT$43,2)&gt;RIGHT($K185,2),AX185,0))</f>
        <v>0</v>
      </c>
      <c r="BU185" s="387">
        <f>+IF($K185="Ongoing",AY185,IF(RIGHT($K185,2)=RIGHT(BU$43,2),SUM($AX185:AY185),0)+IF(RIGHT(BU$43,2)&gt;RIGHT($K185,2),AY185,0))</f>
        <v>0</v>
      </c>
      <c r="BV185" s="387">
        <f>+IF($K185="Ongoing",AZ185,IF(RIGHT($K185,2)=RIGHT(BV$43,2),SUM($AX185:AZ185),0)+IF(RIGHT(BV$43,2)&gt;RIGHT($K185,2),AZ185,0))</f>
        <v>0</v>
      </c>
      <c r="BW185" s="387">
        <f>+IF($K185="Ongoing",BA185,IF(RIGHT($K185,2)=RIGHT(BW$43,2),SUM($AX185:BA185),0)+IF(RIGHT(BW$43,2)&gt;RIGHT($K185,2),BA185,0))</f>
        <v>0</v>
      </c>
      <c r="BX185" s="1283">
        <f>+IF($K185="Ongoing",BB185,IF(RIGHT($K185,2)=RIGHT(BX$43,2),SUM($AX185:BB185),0)+IF(RIGHT(BX$43,2)&gt;RIGHT($K185,2),BB185,0))</f>
        <v>0</v>
      </c>
      <c r="BY185" s="386">
        <f>+IF($K185="Ongoing",BC185,IF(RIGHT($K185,2)=RIGHT(BY$43,2),SUM($AX185:BC185),0)+IF(RIGHT(BY$43,2)&gt;RIGHT($K185,2),BC185,0))</f>
        <v>0</v>
      </c>
      <c r="BZ185" s="387">
        <f>+IF($K185="Ongoing",BD185,IF(RIGHT($K185,2)=RIGHT(BZ$43,2),SUM($AX185:BD185),0)+IF(RIGHT(BZ$43,2)&gt;RIGHT($K185,2),BD185,0))</f>
        <v>0</v>
      </c>
      <c r="CA185" s="1277">
        <f>+IF($K185="Ongoing",BE185,IF(RIGHT($K185,2)=RIGHT(CA$43,2),SUM($AX185:BE185),0)+IF(RIGHT(CA$43,2)&gt;RIGHT($K185,2),BE185,0))</f>
        <v>0</v>
      </c>
      <c r="CB185" s="1277">
        <f>+IF($K185="Ongoing",BF185,IF(RIGHT($K185,2)=RIGHT(CB$43,2),SUM($AX185:BF185),0)+IF(RIGHT(CB$43,2)&gt;RIGHT($K185,2),BF185,0))</f>
        <v>0</v>
      </c>
      <c r="CC185" s="388">
        <f>+IF($K185="Ongoing",BG185,IF(RIGHT($K185,2)=RIGHT(CC$43,2),SUM($AX185:BG185),0)+IF(RIGHT(CC$43,2)&gt;RIGHT($K185,2),BG185,0))</f>
        <v>0</v>
      </c>
      <c r="CD185" s="1025"/>
      <c r="CE185" s="1282">
        <f>+Q185*KeyAssumptionsPriceControl_FO!AF$15</f>
        <v>0</v>
      </c>
      <c r="CF185" s="387">
        <f>+R185*KeyAssumptionsPriceControl_FO!AG$15</f>
        <v>0</v>
      </c>
      <c r="CG185" s="387">
        <f>+S185*KeyAssumptionsPriceControl_FO!AH$15</f>
        <v>0</v>
      </c>
      <c r="CH185" s="387">
        <f>+T185*KeyAssumptionsPriceControl_FO!AI$15</f>
        <v>0</v>
      </c>
      <c r="CI185" s="1283">
        <f>+U185*KeyAssumptionsPriceControl_FO!AJ$15</f>
        <v>0</v>
      </c>
      <c r="CJ185" s="386">
        <f>+V185*KeyAssumptionsPriceControl_FO!AK$15</f>
        <v>0</v>
      </c>
      <c r="CK185" s="387">
        <f>+W185*KeyAssumptionsPriceControl_FO!AL$15</f>
        <v>0</v>
      </c>
      <c r="CL185" s="1277">
        <f>+X185*KeyAssumptionsPriceControl_FO!AM$15</f>
        <v>0</v>
      </c>
      <c r="CM185" s="1277">
        <f>+Y185*KeyAssumptionsPriceControl_FO!AN$15</f>
        <v>0</v>
      </c>
      <c r="CN185" s="388">
        <f>+Z185*KeyAssumptionsPriceControl_FO!AO$15</f>
        <v>0</v>
      </c>
      <c r="CO185" s="1025"/>
      <c r="CP185" s="1282">
        <f t="shared" ca="1" si="324"/>
        <v>0</v>
      </c>
      <c r="CQ185" s="387">
        <f t="shared" ca="1" si="325"/>
        <v>0</v>
      </c>
      <c r="CR185" s="387">
        <f t="shared" ca="1" si="326"/>
        <v>0</v>
      </c>
      <c r="CS185" s="387">
        <f t="shared" ca="1" si="327"/>
        <v>0</v>
      </c>
      <c r="CT185" s="1283">
        <f t="shared" ca="1" si="328"/>
        <v>0</v>
      </c>
      <c r="CU185" s="386">
        <f t="shared" ca="1" si="329"/>
        <v>0</v>
      </c>
      <c r="CV185" s="387">
        <f t="shared" ca="1" si="330"/>
        <v>0</v>
      </c>
      <c r="CW185" s="1277">
        <f t="shared" ca="1" si="331"/>
        <v>0</v>
      </c>
      <c r="CX185" s="1277">
        <f t="shared" ca="1" si="332"/>
        <v>0</v>
      </c>
      <c r="CY185" s="388">
        <f t="shared" ca="1" si="333"/>
        <v>0</v>
      </c>
      <c r="CZ185" s="347"/>
      <c r="DA185" s="852"/>
      <c r="DB185" s="347"/>
      <c r="DC185" s="1012" t="s">
        <v>706</v>
      </c>
      <c r="DD185" s="841" t="s">
        <v>518</v>
      </c>
      <c r="DE185" s="386">
        <f>+IF($K185="ongoing",CE185,IF(RIGHT($K185,2)=RIGHT(DE$43,2),SUM($CD185:CE185),0)+IF(RIGHT(DE$43,2)&gt;RIGHT($K185,2),CE185,0))</f>
        <v>0</v>
      </c>
      <c r="DF185" s="387">
        <f>+IF($K185="ongoing",CF185,IF(RIGHT($K185,2)=RIGHT(DF$43,2),SUM($CD185:CF185),0)+IF(RIGHT(DF$43,2)&gt;RIGHT($K185,2),CF185,0))</f>
        <v>0</v>
      </c>
      <c r="DG185" s="388">
        <f>+IF($K185="ongoing",CG185,IF(RIGHT($K185,2)=RIGHT(DG$43,2),SUM($CD185:CG185),0)+IF(RIGHT(DG$43,2)&gt;RIGHT($K185,2),CG185,0))</f>
        <v>0</v>
      </c>
      <c r="DH185" s="386">
        <f>+IF($K185="ongoing",CH185,IF(RIGHT($K185,2)=RIGHT(DH$43,2),SUM($CD185:CH185),0)+IF(RIGHT(DH$43,2)&gt;RIGHT($K185,2),CH185,0))</f>
        <v>0</v>
      </c>
      <c r="DI185" s="387">
        <f>+IF($K185="ongoing",CI185,IF(RIGHT($K185,2)=RIGHT(DI$43,2),SUM($CD185:CI185),0)+IF(RIGHT(DI$43,2)&gt;RIGHT($K185,2),CI185,0))</f>
        <v>0</v>
      </c>
      <c r="DJ185" s="387">
        <f>+IF($K185="ongoing",CJ185,IF(RIGHT($K185,2)=RIGHT(DJ$43,2),SUM($CD185:CJ185),0)+IF(RIGHT(DJ$43,2)&gt;RIGHT($K185,2),CJ185,0))</f>
        <v>0</v>
      </c>
      <c r="DK185" s="387">
        <f>+IF($K185="ongoing",CK185,IF(RIGHT($K185,2)=RIGHT(DK$43,2),SUM($CD185:CK185),0)+IF(RIGHT(DK$43,2)&gt;RIGHT($K185,2),CK185,0))</f>
        <v>0</v>
      </c>
      <c r="DL185" s="388">
        <f>+IF($K185="ongoing",CN185,IF(RIGHT($K185,2)=RIGHT(DL$43,2),SUM($CD185:CN185),0)+IF(RIGHT(DL$43,2)&gt;RIGHT($K185,2),CN185,0))</f>
        <v>0</v>
      </c>
      <c r="DM185" s="841"/>
      <c r="DN185" s="386">
        <f t="shared" si="334"/>
        <v>0.5</v>
      </c>
      <c r="DO185" s="387">
        <f t="shared" si="335"/>
        <v>1</v>
      </c>
      <c r="DP185" s="388">
        <f t="shared" si="336"/>
        <v>1</v>
      </c>
      <c r="DQ185" s="386">
        <f t="shared" si="337"/>
        <v>1</v>
      </c>
      <c r="DR185" s="387">
        <f t="shared" si="338"/>
        <v>1</v>
      </c>
      <c r="DS185" s="387">
        <f t="shared" si="339"/>
        <v>1</v>
      </c>
      <c r="DT185" s="387">
        <f t="shared" si="340"/>
        <v>1</v>
      </c>
      <c r="DU185" s="388">
        <f t="shared" si="341"/>
        <v>1</v>
      </c>
      <c r="DW185" s="386">
        <f t="shared" si="342"/>
        <v>0</v>
      </c>
      <c r="DX185" s="387">
        <f t="shared" si="343"/>
        <v>0.5</v>
      </c>
      <c r="DY185" s="388">
        <f t="shared" si="344"/>
        <v>1</v>
      </c>
      <c r="DZ185" s="386">
        <f t="shared" si="345"/>
        <v>1</v>
      </c>
      <c r="EA185" s="387">
        <f t="shared" si="346"/>
        <v>1</v>
      </c>
      <c r="EB185" s="387">
        <f t="shared" si="347"/>
        <v>1</v>
      </c>
      <c r="EC185" s="387">
        <f t="shared" si="348"/>
        <v>1</v>
      </c>
      <c r="ED185" s="388">
        <f t="shared" si="349"/>
        <v>1</v>
      </c>
      <c r="EF185" s="834">
        <f>+IF(DN185=DM185,0,
IF(AND(EF$44&gt;1,DN185=$N185),1-SUM($EE185:EE185),
IF($N185&lt;=1,
IF($N185&gt;0,1/$N185,0),
IF(EF$44=1,0,VDB(1,0,$N185,INT(EF$44-1-1),MIN($N185,INT(EF$44-1-1)+1),$DC185,IF($DD185="No",1,0))/
IF(DM185&gt;=INT($N185),$N185-INT($N185),1)))*
IF(EF$44=1,0,
IF(INT(DN185)=INT(DM185),DN185-DM185,INT(DN185)-DM185))+
IF($N185&lt;=1,
IF($N185&gt;0,1/$N185,0),VDB(1,0,$N185,INT(EF$44-1),MIN($N185,INT(EF$44-1)+1),$DC185,IF($DD185="No",1,0))/
IF(DN185&gt;INT($N185),$N185-INT($N185),1))*
IF(EF$44=1,DN185,
IF(INT(DN185)=INT(DM185),0,DN185-INT(DN185)))))</f>
        <v>0</v>
      </c>
      <c r="EG185" s="835">
        <f>+IF(DO185=DN185,0,
IF(AND(EG$44&gt;1,DO185=$N185),1-SUM($EE185:EF185),
IF($N185&lt;=1,
IF($N185&gt;0,1/$N185,0),
IF(EG$44=1,0,VDB(1,0,$N185,INT(EG$44-1-1),MIN($N185,INT(EG$44-1-1)+1),$DC185,IF($DD185="No",1,0))/
IF(DN185&gt;=INT($N185),$N185-INT($N185),1)))*
IF(EG$44=1,0,
IF(INT(DO185)=INT(DN185),DO185-DN185,INT(DO185)-DN185))+
IF($N185&lt;=1,
IF($N185&gt;0,1/$N185,0),VDB(1,0,$N185,INT(EG$44-1),MIN($N185,INT(EG$44-1)+1),$DC185,IF($DD185="No",1,0))/
IF(DO185&gt;INT($N185),$N185-INT($N185),1))*
IF(EG$44=1,DO185,
IF(INT(DO185)=INT(DN185),0,DO185-INT(DO185)))))</f>
        <v>0</v>
      </c>
      <c r="EH185" s="836">
        <f>+IF(DP185=DO185,0,
IF(AND(EH$44&gt;1,DP185=$N185),1-SUM($EE185:EG185),
IF($N185&lt;=1,
IF($N185&gt;0,1/$N185,0),
IF(EH$44=1,0,VDB(1,0,$N185,INT(EH$44-1-1),MIN($N185,INT(EH$44-1-1)+1),$DC185,IF($DD185="No",1,0))/
IF(DO185&gt;=INT($N185),$N185-INT($N185),1)))*
IF(EH$44=1,0,
IF(INT(DP185)=INT(DO185),DP185-DO185,INT(DP185)-DO185))+
IF($N185&lt;=1,
IF($N185&gt;0,1/$N185,0),VDB(1,0,$N185,INT(EH$44-1),MIN($N185,INT(EH$44-1)+1),$DC185,IF($DD185="No",1,0))/
IF(DP185&gt;INT($N185),$N185-INT($N185),1))*
IF(EH$44=1,DP185,
IF(INT(DP185)=INT(DO185),0,DP185-INT(DP185)))))</f>
        <v>0</v>
      </c>
      <c r="EI185" s="834">
        <f>+IF(DQ185=DP185,0,
IF(AND(EI$44&gt;1,DQ185=$N185),1-SUM($EE185:EH185),
IF($N185&lt;=1,
IF($N185&gt;0,1/$N185,0),
IF(EI$44=1,0,VDB(1,0,$N185,INT(EI$44-1-1),MIN($N185,INT(EI$44-1-1)+1),$DC185,IF($DD185="No",1,0))/
IF(DP185&gt;=INT($N185),$N185-INT($N185),1)))*
IF(EI$44=1,0,
IF(INT(DQ185)=INT(DP185),DQ185-DP185,INT(DQ185)-DP185))+
IF($N185&lt;=1,
IF($N185&gt;0,1/$N185,0),VDB(1,0,$N185,INT(EI$44-1),MIN($N185,INT(EI$44-1)+1),$DC185,IF($DD185="No",1,0))/
IF(DQ185&gt;INT($N185),$N185-INT($N185),1))*
IF(EI$44=1,DQ185,
IF(INT(DQ185)=INT(DP185),0,DQ185-INT(DQ185)))))</f>
        <v>0</v>
      </c>
      <c r="EJ185" s="835">
        <f>+IF(DR185=DQ185,0,
IF(AND(EJ$44&gt;1,DR185=$N185),1-SUM($EE185:EI185),
IF($N185&lt;=1,
IF($N185&gt;0,1/$N185,0),
IF(EJ$44=1,0,VDB(1,0,$N185,INT(EJ$44-1-1),MIN($N185,INT(EJ$44-1-1)+1),$DC185,IF($DD185="No",1,0))/
IF(DQ185&gt;=INT($N185),$N185-INT($N185),1)))*
IF(EJ$44=1,0,
IF(INT(DR185)=INT(DQ185),DR185-DQ185,INT(DR185)-DQ185))+
IF($N185&lt;=1,
IF($N185&gt;0,1/$N185,0),VDB(1,0,$N185,INT(EJ$44-1),MIN($N185,INT(EJ$44-1)+1),$DC185,IF($DD185="No",1,0))/
IF(DR185&gt;INT($N185),$N185-INT($N185),1))*
IF(EJ$44=1,DR185,
IF(INT(DR185)=INT(DQ185),0,DR185-INT(DR185)))))</f>
        <v>0</v>
      </c>
      <c r="EK185" s="835">
        <f>+IF(DS185=DR185,0,
IF(AND(EK$44&gt;1,DS185=$N185),1-SUM($EE185:EJ185),
IF($N185&lt;=1,
IF($N185&gt;0,1/$N185,0),
IF(EK$44=1,0,VDB(1,0,$N185,INT(EK$44-1-1),MIN($N185,INT(EK$44-1-1)+1),$DC185,IF($DD185="No",1,0))/
IF(DR185&gt;=INT($N185),$N185-INT($N185),1)))*
IF(EK$44=1,0,
IF(INT(DS185)=INT(DR185),DS185-DR185,INT(DS185)-DR185))+
IF($N185&lt;=1,
IF($N185&gt;0,1/$N185,0),VDB(1,0,$N185,INT(EK$44-1),MIN($N185,INT(EK$44-1)+1),$DC185,IF($DD185="No",1,0))/
IF(DS185&gt;INT($N185),$N185-INT($N185),1))*
IF(EK$44=1,DS185,
IF(INT(DS185)=INT(DR185),0,DS185-INT(DS185)))))</f>
        <v>0</v>
      </c>
      <c r="EL185" s="835">
        <f>+IF(DT185=DS185,0,
IF(AND(EL$44&gt;1,DT185=$N185),1-SUM($EE185:EK185),
IF($N185&lt;=1,
IF($N185&gt;0,1/$N185,0),
IF(EL$44=1,0,VDB(1,0,$N185,INT(EL$44-1-1),MIN($N185,INT(EL$44-1-1)+1),$DC185,IF($DD185="No",1,0))/
IF(DS185&gt;=INT($N185),$N185-INT($N185),1)))*
IF(EL$44=1,0,
IF(INT(DT185)=INT(DS185),DT185-DS185,INT(DT185)-DS185))+
IF($N185&lt;=1,
IF($N185&gt;0,1/$N185,0),VDB(1,0,$N185,INT(EL$44-1),MIN($N185,INT(EL$44-1)+1),$DC185,IF($DD185="No",1,0))/
IF(DT185&gt;INT($N185),$N185-INT($N185),1))*
IF(EL$44=1,DT185,
IF(INT(DT185)=INT(DS185),0,DT185-INT(DT185)))))</f>
        <v>0</v>
      </c>
      <c r="EM185" s="836">
        <f>+IF(DU185=DT185,0,
IF(AND(EM$44&gt;1,DU185=$N185),1-SUM($EE185:EL185),
IF($N185&lt;=1,
IF($N185&gt;0,1/$N185,0),
IF(EM$44=1,0,VDB(1,0,$N185,INT(EM$44-1-1),MIN($N185,INT(EM$44-1-1)+1),$DC185,IF($DD185="No",1,0))/
IF(DT185&gt;=INT($N185),$N185-INT($N185),1)))*
IF(EM$44=1,0,
IF(INT(DU185)=INT(DT185),DU185-DT185,INT(DU185)-DT185))+
IF($N185&lt;=1,
IF($N185&gt;0,1/$N185,0),VDB(1,0,$N185,INT(EM$44-1),MIN($N185,INT(EM$44-1)+1),$DC185,IF($DD185="No",1,0))/
IF(DU185&gt;INT($N185),$N185-INT($N185),1))*
IF(EM$44=1,DU185,
IF(INT(DU185)=INT(DT185),0,DU185-INT(DU185)))))</f>
        <v>0</v>
      </c>
      <c r="EN185" s="833"/>
      <c r="EO185" s="834">
        <f>+IF(OR(DW185=DV185,EO$44=1),0,
IF(AND(EO$44&gt;1,DW185=$N185),1-SUM($EN185:EN185),
IF($N185&lt;=1,
IF($N185&gt;0,1/$N185,0),
IF(EO$44=2,0,VDB(1,0,$N185,INT(EO$44-2-1),MIN($N185,INT(EO$44-2-1)+1),$DC185,IF($DD185="No",1,0))/
IF(DV185&gt;=INT($N185),$N185-INT($N185),1)))*
IF(EO$44=2,0,
IF(INT(DW185)=INT(DV185),DW185-DV185,INT(DW185)-DV185))+
IF($N185&lt;=1,
IF($N185&gt;0,1/$N185,0),VDB(1,0,$N185,INT(EO$44-2),MIN($N185,INT(EO$44-2)+1),$DC185,IF($DD185="No",1,0))/
IF(DW185&gt;INT($N185),$N185-INT($N185),1))*
IF(EO$44=2,DW185,
IF(INT(DW185)=INT(DV185),0,DW185-INT(DW185)))))</f>
        <v>0</v>
      </c>
      <c r="EP185" s="835">
        <f>+IF(OR(DX185=DW185,EP$44=1),0,
IF(AND(EP$44&gt;1,DX185=$N185),1-SUM($EN185:EO185),
IF($N185&lt;=1,
IF($N185&gt;0,1/$N185,0),
IF(EP$44=2,0,VDB(1,0,$N185,INT(EP$44-2-1),MIN($N185,INT(EP$44-2-1)+1),$DC185,IF($DD185="No",1,0))/
IF(DW185&gt;=INT($N185),$N185-INT($N185),1)))*
IF(EP$44=2,0,
IF(INT(DX185)=INT(DW185),DX185-DW185,INT(DX185)-DW185))+
IF($N185&lt;=1,
IF($N185&gt;0,1/$N185,0),VDB(1,0,$N185,INT(EP$44-2),MIN($N185,INT(EP$44-2)+1),$DC185,IF($DD185="No",1,0))/
IF(DX185&gt;INT($N185),$N185-INT($N185),1))*
IF(EP$44=2,DX185,
IF(INT(DX185)=INT(DW185),0,DX185-INT(DX185)))))</f>
        <v>0</v>
      </c>
      <c r="EQ185" s="836">
        <f>+IF(OR(DY185=DX185,EQ$44=1),0,
IF(AND(EQ$44&gt;1,DY185=$N185),1-SUM($EN185:EP185),
IF($N185&lt;=1,
IF($N185&gt;0,1/$N185,0),
IF(EQ$44=2,0,VDB(1,0,$N185,INT(EQ$44-2-1),MIN($N185,INT(EQ$44-2-1)+1),$DC185,IF($DD185="No",1,0))/
IF(DX185&gt;=INT($N185),$N185-INT($N185),1)))*
IF(EQ$44=2,0,
IF(INT(DY185)=INT(DX185),DY185-DX185,INT(DY185)-DX185))+
IF($N185&lt;=1,
IF($N185&gt;0,1/$N185,0),VDB(1,0,$N185,INT(EQ$44-2),MIN($N185,INT(EQ$44-2)+1),$DC185,IF($DD185="No",1,0))/
IF(DY185&gt;INT($N185),$N185-INT($N185),1))*
IF(EQ$44=2,DY185,
IF(INT(DY185)=INT(DX185),0,DY185-INT(DY185)))))</f>
        <v>0</v>
      </c>
      <c r="ER185" s="834">
        <f>+IF(OR(DZ185=DY185,ER$44=1),0,
IF(AND(ER$44&gt;1,DZ185=$N185),1-SUM($EN185:EQ185),
IF($N185&lt;=1,
IF($N185&gt;0,1/$N185,0),
IF(ER$44=2,0,VDB(1,0,$N185,INT(ER$44-2-1),MIN($N185,INT(ER$44-2-1)+1),$DC185,IF($DD185="No",1,0))/
IF(DY185&gt;=INT($N185),$N185-INT($N185),1)))*
IF(ER$44=2,0,
IF(INT(DZ185)=INT(DY185),DZ185-DY185,INT(DZ185)-DY185))+
IF($N185&lt;=1,
IF($N185&gt;0,1/$N185,0),VDB(1,0,$N185,INT(ER$44-2),MIN($N185,INT(ER$44-2)+1),$DC185,IF($DD185="No",1,0))/
IF(DZ185&gt;INT($N185),$N185-INT($N185),1))*
IF(ER$44=2,DZ185,
IF(INT(DZ185)=INT(DY185),0,DZ185-INT(DZ185)))))</f>
        <v>0</v>
      </c>
      <c r="ES185" s="835">
        <f>+IF(OR(EA185=DZ185,ES$44=1),0,
IF(AND(ES$44&gt;1,EA185=$N185),1-SUM($EN185:ER185),
IF($N185&lt;=1,
IF($N185&gt;0,1/$N185,0),
IF(ES$44=2,0,VDB(1,0,$N185,INT(ES$44-2-1),MIN($N185,INT(ES$44-2-1)+1),$DC185,IF($DD185="No",1,0))/
IF(DZ185&gt;=INT($N185),$N185-INT($N185),1)))*
IF(ES$44=2,0,
IF(INT(EA185)=INT(DZ185),EA185-DZ185,INT(EA185)-DZ185))+
IF($N185&lt;=1,
IF($N185&gt;0,1/$N185,0),VDB(1,0,$N185,INT(ES$44-2),MIN($N185,INT(ES$44-2)+1),$DC185,IF($DD185="No",1,0))/
IF(EA185&gt;INT($N185),$N185-INT($N185),1))*
IF(ES$44=2,EA185,
IF(INT(EA185)=INT(DZ185),0,EA185-INT(EA185)))))</f>
        <v>0</v>
      </c>
      <c r="ET185" s="835">
        <f>+IF(OR(EB185=EA185,ET$44=1),0,
IF(AND(ET$44&gt;1,EB185=$N185),1-SUM($EN185:ES185),
IF($N185&lt;=1,
IF($N185&gt;0,1/$N185,0),
IF(ET$44=2,0,VDB(1,0,$N185,INT(ET$44-2-1),MIN($N185,INT(ET$44-2-1)+1),$DC185,IF($DD185="No",1,0))/
IF(EA185&gt;=INT($N185),$N185-INT($N185),1)))*
IF(ET$44=2,0,
IF(INT(EB185)=INT(EA185),EB185-EA185,INT(EB185)-EA185))+
IF($N185&lt;=1,
IF($N185&gt;0,1/$N185,0),VDB(1,0,$N185,INT(ET$44-2),MIN($N185,INT(ET$44-2)+1),$DC185,IF($DD185="No",1,0))/
IF(EB185&gt;INT($N185),$N185-INT($N185),1))*
IF(ET$44=2,EB185,
IF(INT(EB185)=INT(EA185),0,EB185-INT(EB185)))))</f>
        <v>0</v>
      </c>
      <c r="EU185" s="835">
        <f>+IF(OR(EC185=EB185,EU$44=1),0,
IF(AND(EU$44&gt;1,EC185=$N185),1-SUM($EN185:ET185),
IF($N185&lt;=1,
IF($N185&gt;0,1/$N185,0),
IF(EU$44=2,0,VDB(1,0,$N185,INT(EU$44-2-1),MIN($N185,INT(EU$44-2-1)+1),$DC185,IF($DD185="No",1,0))/
IF(EB185&gt;=INT($N185),$N185-INT($N185),1)))*
IF(EU$44=2,0,
IF(INT(EC185)=INT(EB185),EC185-EB185,INT(EC185)-EB185))+
IF($N185&lt;=1,
IF($N185&gt;0,1/$N185,0),VDB(1,0,$N185,INT(EU$44-2),MIN($N185,INT(EU$44-2)+1),$DC185,IF($DD185="No",1,0))/
IF(EC185&gt;INT($N185),$N185-INT($N185),1))*
IF(EU$44=2,EC185,
IF(INT(EC185)=INT(EB185),0,EC185-INT(EC185)))))</f>
        <v>0</v>
      </c>
      <c r="EV185" s="836">
        <f>+IF(OR(ED185=EC185,EV$44=1),0,
IF(AND(EV$44&gt;1,ED185=$N185),1-SUM($EN185:EU185),
IF($N185&lt;=1,
IF($N185&gt;0,1/$N185,0),
IF(EV$44=2,0,VDB(1,0,$N185,INT(EV$44-2-1),MIN($N185,INT(EV$44-2-1)+1),$DC185,IF($DD185="No",1,0))/
IF(EC185&gt;=INT($N185),$N185-INT($N185),1)))*
IF(EV$44=2,0,
IF(INT(ED185)=INT(EC185),ED185-EC185,INT(ED185)-EC185))+
IF($N185&lt;=1,
IF($N185&gt;0,1/$N185,0),VDB(1,0,$N185,INT(EV$44-2),MIN($N185,INT(EV$44-2)+1),$DC185,IF($DD185="No",1,0))/
IF(ED185&gt;INT($N185),$N185-INT($N185),1))*
IF(EV$44=2,ED185,
IF(INT(ED185)=INT(EC185),0,ED185-INT(ED185)))))</f>
        <v>0</v>
      </c>
      <c r="EW185" s="833"/>
      <c r="EX185" s="834">
        <f t="shared" ca="1" si="350"/>
        <v>0</v>
      </c>
      <c r="EY185" s="835">
        <f t="shared" ca="1" si="350"/>
        <v>0</v>
      </c>
      <c r="EZ185" s="836">
        <f t="shared" ca="1" si="350"/>
        <v>0</v>
      </c>
      <c r="FA185" s="834">
        <f t="shared" ca="1" si="350"/>
        <v>0</v>
      </c>
      <c r="FB185" s="835">
        <f t="shared" ca="1" si="350"/>
        <v>0</v>
      </c>
      <c r="FC185" s="835">
        <f t="shared" ca="1" si="350"/>
        <v>0</v>
      </c>
      <c r="FD185" s="835">
        <f t="shared" ca="1" si="350"/>
        <v>0</v>
      </c>
      <c r="FE185" s="836">
        <f t="shared" ca="1" si="350"/>
        <v>0</v>
      </c>
      <c r="FG185" s="386">
        <f t="shared" ca="1" si="351"/>
        <v>0</v>
      </c>
      <c r="FH185" s="387">
        <f t="shared" ca="1" si="352"/>
        <v>0</v>
      </c>
      <c r="FI185" s="388">
        <f t="shared" ca="1" si="353"/>
        <v>0</v>
      </c>
      <c r="FJ185" s="386">
        <f t="shared" ca="1" si="354"/>
        <v>0</v>
      </c>
      <c r="FK185" s="387">
        <f t="shared" ca="1" si="355"/>
        <v>0</v>
      </c>
      <c r="FL185" s="387">
        <f t="shared" ca="1" si="356"/>
        <v>0</v>
      </c>
      <c r="FM185" s="387">
        <f t="shared" ca="1" si="357"/>
        <v>0</v>
      </c>
      <c r="FN185" s="388">
        <f t="shared" ca="1" si="358"/>
        <v>0</v>
      </c>
      <c r="FR185" s="116"/>
    </row>
    <row r="186" spans="2:174">
      <c r="B186" s="1410">
        <f t="shared" si="302"/>
        <v>140</v>
      </c>
      <c r="C186" s="400"/>
      <c r="D186" s="410"/>
      <c r="E186" s="402"/>
      <c r="F186" s="402"/>
      <c r="G186" s="400"/>
      <c r="H186" s="2088"/>
      <c r="I186" s="2089"/>
      <c r="J186" s="411"/>
      <c r="K186" s="403"/>
      <c r="L186" s="403"/>
      <c r="M186" s="403"/>
      <c r="N186" s="403"/>
      <c r="O186" s="347"/>
      <c r="P186" s="347"/>
      <c r="Q186" s="1021"/>
      <c r="R186" s="1022"/>
      <c r="S186" s="1022"/>
      <c r="T186" s="1022"/>
      <c r="U186" s="1023"/>
      <c r="V186" s="1021"/>
      <c r="W186" s="1022"/>
      <c r="X186" s="1022"/>
      <c r="Y186" s="1022"/>
      <c r="Z186" s="1023"/>
      <c r="AA186" s="1024"/>
      <c r="AB186" s="1021"/>
      <c r="AC186" s="1022"/>
      <c r="AD186" s="1022"/>
      <c r="AE186" s="1022"/>
      <c r="AF186" s="1023"/>
      <c r="AG186" s="1021"/>
      <c r="AH186" s="1022"/>
      <c r="AI186" s="1022"/>
      <c r="AJ186" s="1022"/>
      <c r="AK186" s="1023"/>
      <c r="AL186" s="1024"/>
      <c r="AM186" s="1021"/>
      <c r="AN186" s="1022"/>
      <c r="AO186" s="1022"/>
      <c r="AP186" s="1022"/>
      <c r="AQ186" s="1023"/>
      <c r="AR186" s="1021"/>
      <c r="AS186" s="1022"/>
      <c r="AT186" s="1022"/>
      <c r="AU186" s="1022"/>
      <c r="AV186" s="1023"/>
      <c r="AW186" s="1025"/>
      <c r="AX186" s="1282">
        <f t="shared" si="304"/>
        <v>0</v>
      </c>
      <c r="AY186" s="387">
        <f t="shared" si="305"/>
        <v>0</v>
      </c>
      <c r="AZ186" s="387">
        <f t="shared" si="306"/>
        <v>0</v>
      </c>
      <c r="BA186" s="387">
        <f t="shared" si="307"/>
        <v>0</v>
      </c>
      <c r="BB186" s="1283">
        <f t="shared" si="308"/>
        <v>0</v>
      </c>
      <c r="BC186" s="386">
        <f t="shared" si="309"/>
        <v>0</v>
      </c>
      <c r="BD186" s="387">
        <f t="shared" si="310"/>
        <v>0</v>
      </c>
      <c r="BE186" s="1277">
        <f t="shared" si="311"/>
        <v>0</v>
      </c>
      <c r="BF186" s="1277">
        <f t="shared" si="312"/>
        <v>0</v>
      </c>
      <c r="BG186" s="388">
        <f t="shared" si="313"/>
        <v>0</v>
      </c>
      <c r="BH186" s="1025"/>
      <c r="BI186" s="1282">
        <f t="shared" ca="1" si="314"/>
        <v>0</v>
      </c>
      <c r="BJ186" s="387">
        <f t="shared" ca="1" si="315"/>
        <v>0</v>
      </c>
      <c r="BK186" s="387">
        <f t="shared" ca="1" si="316"/>
        <v>0</v>
      </c>
      <c r="BL186" s="387">
        <f t="shared" ca="1" si="317"/>
        <v>0</v>
      </c>
      <c r="BM186" s="1283">
        <f t="shared" ca="1" si="318"/>
        <v>0</v>
      </c>
      <c r="BN186" s="386">
        <f t="shared" ca="1" si="319"/>
        <v>0</v>
      </c>
      <c r="BO186" s="387">
        <f t="shared" ca="1" si="320"/>
        <v>0</v>
      </c>
      <c r="BP186" s="1277">
        <f t="shared" ca="1" si="321"/>
        <v>0</v>
      </c>
      <c r="BQ186" s="1277">
        <f t="shared" ca="1" si="322"/>
        <v>0</v>
      </c>
      <c r="BR186" s="388">
        <f t="shared" ca="1" si="323"/>
        <v>0</v>
      </c>
      <c r="BS186" s="1025"/>
      <c r="BT186" s="1282">
        <f>+IF($K186="Ongoing",AX186,IF(RIGHT($K186,2)=RIGHT(BT$43,2),SUM($AX186:AX186),0)+IF(RIGHT(BT$43,2)&gt;RIGHT($K186,2),AX186,0))</f>
        <v>0</v>
      </c>
      <c r="BU186" s="387">
        <f>+IF($K186="Ongoing",AY186,IF(RIGHT($K186,2)=RIGHT(BU$43,2),SUM($AX186:AY186),0)+IF(RIGHT(BU$43,2)&gt;RIGHT($K186,2),AY186,0))</f>
        <v>0</v>
      </c>
      <c r="BV186" s="387">
        <f>+IF($K186="Ongoing",AZ186,IF(RIGHT($K186,2)=RIGHT(BV$43,2),SUM($AX186:AZ186),0)+IF(RIGHT(BV$43,2)&gt;RIGHT($K186,2),AZ186,0))</f>
        <v>0</v>
      </c>
      <c r="BW186" s="387">
        <f>+IF($K186="Ongoing",BA186,IF(RIGHT($K186,2)=RIGHT(BW$43,2),SUM($AX186:BA186),0)+IF(RIGHT(BW$43,2)&gt;RIGHT($K186,2),BA186,0))</f>
        <v>0</v>
      </c>
      <c r="BX186" s="1283">
        <f>+IF($K186="Ongoing",BB186,IF(RIGHT($K186,2)=RIGHT(BX$43,2),SUM($AX186:BB186),0)+IF(RIGHT(BX$43,2)&gt;RIGHT($K186,2),BB186,0))</f>
        <v>0</v>
      </c>
      <c r="BY186" s="386">
        <f>+IF($K186="Ongoing",BC186,IF(RIGHT($K186,2)=RIGHT(BY$43,2),SUM($AX186:BC186),0)+IF(RIGHT(BY$43,2)&gt;RIGHT($K186,2),BC186,0))</f>
        <v>0</v>
      </c>
      <c r="BZ186" s="387">
        <f>+IF($K186="Ongoing",BD186,IF(RIGHT($K186,2)=RIGHT(BZ$43,2),SUM($AX186:BD186),0)+IF(RIGHT(BZ$43,2)&gt;RIGHT($K186,2),BD186,0))</f>
        <v>0</v>
      </c>
      <c r="CA186" s="1277">
        <f>+IF($K186="Ongoing",BE186,IF(RIGHT($K186,2)=RIGHT(CA$43,2),SUM($AX186:BE186),0)+IF(RIGHT(CA$43,2)&gt;RIGHT($K186,2),BE186,0))</f>
        <v>0</v>
      </c>
      <c r="CB186" s="1277">
        <f>+IF($K186="Ongoing",BF186,IF(RIGHT($K186,2)=RIGHT(CB$43,2),SUM($AX186:BF186),0)+IF(RIGHT(CB$43,2)&gt;RIGHT($K186,2),BF186,0))</f>
        <v>0</v>
      </c>
      <c r="CC186" s="388">
        <f>+IF($K186="Ongoing",BG186,IF(RIGHT($K186,2)=RIGHT(CC$43,2),SUM($AX186:BG186),0)+IF(RIGHT(CC$43,2)&gt;RIGHT($K186,2),BG186,0))</f>
        <v>0</v>
      </c>
      <c r="CD186" s="1025"/>
      <c r="CE186" s="1282">
        <f>+Q186*KeyAssumptionsPriceControl_FO!AF$15</f>
        <v>0</v>
      </c>
      <c r="CF186" s="387">
        <f>+R186*KeyAssumptionsPriceControl_FO!AG$15</f>
        <v>0</v>
      </c>
      <c r="CG186" s="387">
        <f>+S186*KeyAssumptionsPriceControl_FO!AH$15</f>
        <v>0</v>
      </c>
      <c r="CH186" s="387">
        <f>+T186*KeyAssumptionsPriceControl_FO!AI$15</f>
        <v>0</v>
      </c>
      <c r="CI186" s="1283">
        <f>+U186*KeyAssumptionsPriceControl_FO!AJ$15</f>
        <v>0</v>
      </c>
      <c r="CJ186" s="386">
        <f>+V186*KeyAssumptionsPriceControl_FO!AK$15</f>
        <v>0</v>
      </c>
      <c r="CK186" s="387">
        <f>+W186*KeyAssumptionsPriceControl_FO!AL$15</f>
        <v>0</v>
      </c>
      <c r="CL186" s="1277">
        <f>+X186*KeyAssumptionsPriceControl_FO!AM$15</f>
        <v>0</v>
      </c>
      <c r="CM186" s="1277">
        <f>+Y186*KeyAssumptionsPriceControl_FO!AN$15</f>
        <v>0</v>
      </c>
      <c r="CN186" s="388">
        <f>+Z186*KeyAssumptionsPriceControl_FO!AO$15</f>
        <v>0</v>
      </c>
      <c r="CO186" s="1025"/>
      <c r="CP186" s="1282">
        <f t="shared" ca="1" si="324"/>
        <v>0</v>
      </c>
      <c r="CQ186" s="387">
        <f t="shared" ca="1" si="325"/>
        <v>0</v>
      </c>
      <c r="CR186" s="387">
        <f t="shared" ca="1" si="326"/>
        <v>0</v>
      </c>
      <c r="CS186" s="387">
        <f t="shared" ca="1" si="327"/>
        <v>0</v>
      </c>
      <c r="CT186" s="1283">
        <f t="shared" ca="1" si="328"/>
        <v>0</v>
      </c>
      <c r="CU186" s="386">
        <f t="shared" ca="1" si="329"/>
        <v>0</v>
      </c>
      <c r="CV186" s="387">
        <f t="shared" ca="1" si="330"/>
        <v>0</v>
      </c>
      <c r="CW186" s="1277">
        <f t="shared" ca="1" si="331"/>
        <v>0</v>
      </c>
      <c r="CX186" s="1277">
        <f t="shared" ca="1" si="332"/>
        <v>0</v>
      </c>
      <c r="CY186" s="388">
        <f t="shared" ca="1" si="333"/>
        <v>0</v>
      </c>
      <c r="CZ186" s="347"/>
      <c r="DA186" s="852"/>
      <c r="DB186" s="347"/>
      <c r="DC186" s="1012" t="s">
        <v>707</v>
      </c>
      <c r="DD186" s="841" t="s">
        <v>518</v>
      </c>
      <c r="DE186" s="386">
        <f>+IF($K186="ongoing",CE186,IF(RIGHT($K186,2)=RIGHT(DE$43,2),SUM($CD186:CE186),0)+IF(RIGHT(DE$43,2)&gt;RIGHT($K186,2),CE186,0))</f>
        <v>0</v>
      </c>
      <c r="DF186" s="387">
        <f>+IF($K186="ongoing",CF186,IF(RIGHT($K186,2)=RIGHT(DF$43,2),SUM($CD186:CF186),0)+IF(RIGHT(DF$43,2)&gt;RIGHT($K186,2),CF186,0))</f>
        <v>0</v>
      </c>
      <c r="DG186" s="388">
        <f>+IF($K186="ongoing",CG186,IF(RIGHT($K186,2)=RIGHT(DG$43,2),SUM($CD186:CG186),0)+IF(RIGHT(DG$43,2)&gt;RIGHT($K186,2),CG186,0))</f>
        <v>0</v>
      </c>
      <c r="DH186" s="386">
        <f>+IF($K186="ongoing",CH186,IF(RIGHT($K186,2)=RIGHT(DH$43,2),SUM($CD186:CH186),0)+IF(RIGHT(DH$43,2)&gt;RIGHT($K186,2),CH186,0))</f>
        <v>0</v>
      </c>
      <c r="DI186" s="387">
        <f>+IF($K186="ongoing",CI186,IF(RIGHT($K186,2)=RIGHT(DI$43,2),SUM($CD186:CI186),0)+IF(RIGHT(DI$43,2)&gt;RIGHT($K186,2),CI186,0))</f>
        <v>0</v>
      </c>
      <c r="DJ186" s="387">
        <f>+IF($K186="ongoing",CJ186,IF(RIGHT($K186,2)=RIGHT(DJ$43,2),SUM($CD186:CJ186),0)+IF(RIGHT(DJ$43,2)&gt;RIGHT($K186,2),CJ186,0))</f>
        <v>0</v>
      </c>
      <c r="DK186" s="387">
        <f>+IF($K186="ongoing",CK186,IF(RIGHT($K186,2)=RIGHT(DK$43,2),SUM($CD186:CK186),0)+IF(RIGHT(DK$43,2)&gt;RIGHT($K186,2),CK186,0))</f>
        <v>0</v>
      </c>
      <c r="DL186" s="388">
        <f>+IF($K186="ongoing",CN186,IF(RIGHT($K186,2)=RIGHT(DL$43,2),SUM($CD186:CN186),0)+IF(RIGHT(DL$43,2)&gt;RIGHT($K186,2),CN186,0))</f>
        <v>0</v>
      </c>
      <c r="DM186" s="841"/>
      <c r="DN186" s="386">
        <f t="shared" si="334"/>
        <v>0.5</v>
      </c>
      <c r="DO186" s="387">
        <f t="shared" si="335"/>
        <v>1</v>
      </c>
      <c r="DP186" s="388">
        <f t="shared" si="336"/>
        <v>1</v>
      </c>
      <c r="DQ186" s="386">
        <f t="shared" si="337"/>
        <v>1</v>
      </c>
      <c r="DR186" s="387">
        <f t="shared" si="338"/>
        <v>1</v>
      </c>
      <c r="DS186" s="387">
        <f t="shared" si="339"/>
        <v>1</v>
      </c>
      <c r="DT186" s="387">
        <f t="shared" si="340"/>
        <v>1</v>
      </c>
      <c r="DU186" s="388">
        <f t="shared" si="341"/>
        <v>1</v>
      </c>
      <c r="DW186" s="386">
        <f t="shared" si="342"/>
        <v>0</v>
      </c>
      <c r="DX186" s="387">
        <f t="shared" si="343"/>
        <v>0.5</v>
      </c>
      <c r="DY186" s="388">
        <f t="shared" si="344"/>
        <v>1</v>
      </c>
      <c r="DZ186" s="386">
        <f t="shared" si="345"/>
        <v>1</v>
      </c>
      <c r="EA186" s="387">
        <f t="shared" si="346"/>
        <v>1</v>
      </c>
      <c r="EB186" s="387">
        <f t="shared" si="347"/>
        <v>1</v>
      </c>
      <c r="EC186" s="387">
        <f t="shared" si="348"/>
        <v>1</v>
      </c>
      <c r="ED186" s="388">
        <f t="shared" si="349"/>
        <v>1</v>
      </c>
      <c r="EF186" s="834">
        <f>+IF(DN186=DM186,0,
IF(AND(EF$44&gt;1,DN186=$N186),1-SUM($EE186:EE186),
IF($N186&lt;=1,
IF($N186&gt;0,1/$N186,0),
IF(EF$44=1,0,VDB(1,0,$N186,INT(EF$44-1-1),MIN($N186,INT(EF$44-1-1)+1),$DC186,IF($DD186="No",1,0))/
IF(DM186&gt;=INT($N186),$N186-INT($N186),1)))*
IF(EF$44=1,0,
IF(INT(DN186)=INT(DM186),DN186-DM186,INT(DN186)-DM186))+
IF($N186&lt;=1,
IF($N186&gt;0,1/$N186,0),VDB(1,0,$N186,INT(EF$44-1),MIN($N186,INT(EF$44-1)+1),$DC186,IF($DD186="No",1,0))/
IF(DN186&gt;INT($N186),$N186-INT($N186),1))*
IF(EF$44=1,DN186,
IF(INT(DN186)=INT(DM186),0,DN186-INT(DN186)))))</f>
        <v>0</v>
      </c>
      <c r="EG186" s="835">
        <f>+IF(DO186=DN186,0,
IF(AND(EG$44&gt;1,DO186=$N186),1-SUM($EE186:EF186),
IF($N186&lt;=1,
IF($N186&gt;0,1/$N186,0),
IF(EG$44=1,0,VDB(1,0,$N186,INT(EG$44-1-1),MIN($N186,INT(EG$44-1-1)+1),$DC186,IF($DD186="No",1,0))/
IF(DN186&gt;=INT($N186),$N186-INT($N186),1)))*
IF(EG$44=1,0,
IF(INT(DO186)=INT(DN186),DO186-DN186,INT(DO186)-DN186))+
IF($N186&lt;=1,
IF($N186&gt;0,1/$N186,0),VDB(1,0,$N186,INT(EG$44-1),MIN($N186,INT(EG$44-1)+1),$DC186,IF($DD186="No",1,0))/
IF(DO186&gt;INT($N186),$N186-INT($N186),1))*
IF(EG$44=1,DO186,
IF(INT(DO186)=INT(DN186),0,DO186-INT(DO186)))))</f>
        <v>0</v>
      </c>
      <c r="EH186" s="836">
        <f>+IF(DP186=DO186,0,
IF(AND(EH$44&gt;1,DP186=$N186),1-SUM($EE186:EG186),
IF($N186&lt;=1,
IF($N186&gt;0,1/$N186,0),
IF(EH$44=1,0,VDB(1,0,$N186,INT(EH$44-1-1),MIN($N186,INT(EH$44-1-1)+1),$DC186,IF($DD186="No",1,0))/
IF(DO186&gt;=INT($N186),$N186-INT($N186),1)))*
IF(EH$44=1,0,
IF(INT(DP186)=INT(DO186),DP186-DO186,INT(DP186)-DO186))+
IF($N186&lt;=1,
IF($N186&gt;0,1/$N186,0),VDB(1,0,$N186,INT(EH$44-1),MIN($N186,INT(EH$44-1)+1),$DC186,IF($DD186="No",1,0))/
IF(DP186&gt;INT($N186),$N186-INT($N186),1))*
IF(EH$44=1,DP186,
IF(INT(DP186)=INT(DO186),0,DP186-INT(DP186)))))</f>
        <v>0</v>
      </c>
      <c r="EI186" s="834">
        <f>+IF(DQ186=DP186,0,
IF(AND(EI$44&gt;1,DQ186=$N186),1-SUM($EE186:EH186),
IF($N186&lt;=1,
IF($N186&gt;0,1/$N186,0),
IF(EI$44=1,0,VDB(1,0,$N186,INT(EI$44-1-1),MIN($N186,INT(EI$44-1-1)+1),$DC186,IF($DD186="No",1,0))/
IF(DP186&gt;=INT($N186),$N186-INT($N186),1)))*
IF(EI$44=1,0,
IF(INT(DQ186)=INT(DP186),DQ186-DP186,INT(DQ186)-DP186))+
IF($N186&lt;=1,
IF($N186&gt;0,1/$N186,0),VDB(1,0,$N186,INT(EI$44-1),MIN($N186,INT(EI$44-1)+1),$DC186,IF($DD186="No",1,0))/
IF(DQ186&gt;INT($N186),$N186-INT($N186),1))*
IF(EI$44=1,DQ186,
IF(INT(DQ186)=INT(DP186),0,DQ186-INT(DQ186)))))</f>
        <v>0</v>
      </c>
      <c r="EJ186" s="835">
        <f>+IF(DR186=DQ186,0,
IF(AND(EJ$44&gt;1,DR186=$N186),1-SUM($EE186:EI186),
IF($N186&lt;=1,
IF($N186&gt;0,1/$N186,0),
IF(EJ$44=1,0,VDB(1,0,$N186,INT(EJ$44-1-1),MIN($N186,INT(EJ$44-1-1)+1),$DC186,IF($DD186="No",1,0))/
IF(DQ186&gt;=INT($N186),$N186-INT($N186),1)))*
IF(EJ$44=1,0,
IF(INT(DR186)=INT(DQ186),DR186-DQ186,INT(DR186)-DQ186))+
IF($N186&lt;=1,
IF($N186&gt;0,1/$N186,0),VDB(1,0,$N186,INT(EJ$44-1),MIN($N186,INT(EJ$44-1)+1),$DC186,IF($DD186="No",1,0))/
IF(DR186&gt;INT($N186),$N186-INT($N186),1))*
IF(EJ$44=1,DR186,
IF(INT(DR186)=INT(DQ186),0,DR186-INT(DR186)))))</f>
        <v>0</v>
      </c>
      <c r="EK186" s="835">
        <f>+IF(DS186=DR186,0,
IF(AND(EK$44&gt;1,DS186=$N186),1-SUM($EE186:EJ186),
IF($N186&lt;=1,
IF($N186&gt;0,1/$N186,0),
IF(EK$44=1,0,VDB(1,0,$N186,INT(EK$44-1-1),MIN($N186,INT(EK$44-1-1)+1),$DC186,IF($DD186="No",1,0))/
IF(DR186&gt;=INT($N186),$N186-INT($N186),1)))*
IF(EK$44=1,0,
IF(INT(DS186)=INT(DR186),DS186-DR186,INT(DS186)-DR186))+
IF($N186&lt;=1,
IF($N186&gt;0,1/$N186,0),VDB(1,0,$N186,INT(EK$44-1),MIN($N186,INT(EK$44-1)+1),$DC186,IF($DD186="No",1,0))/
IF(DS186&gt;INT($N186),$N186-INT($N186),1))*
IF(EK$44=1,DS186,
IF(INT(DS186)=INT(DR186),0,DS186-INT(DS186)))))</f>
        <v>0</v>
      </c>
      <c r="EL186" s="835">
        <f>+IF(DT186=DS186,0,
IF(AND(EL$44&gt;1,DT186=$N186),1-SUM($EE186:EK186),
IF($N186&lt;=1,
IF($N186&gt;0,1/$N186,0),
IF(EL$44=1,0,VDB(1,0,$N186,INT(EL$44-1-1),MIN($N186,INT(EL$44-1-1)+1),$DC186,IF($DD186="No",1,0))/
IF(DS186&gt;=INT($N186),$N186-INT($N186),1)))*
IF(EL$44=1,0,
IF(INT(DT186)=INT(DS186),DT186-DS186,INT(DT186)-DS186))+
IF($N186&lt;=1,
IF($N186&gt;0,1/$N186,0),VDB(1,0,$N186,INT(EL$44-1),MIN($N186,INT(EL$44-1)+1),$DC186,IF($DD186="No",1,0))/
IF(DT186&gt;INT($N186),$N186-INT($N186),1))*
IF(EL$44=1,DT186,
IF(INT(DT186)=INT(DS186),0,DT186-INT(DT186)))))</f>
        <v>0</v>
      </c>
      <c r="EM186" s="836">
        <f>+IF(DU186=DT186,0,
IF(AND(EM$44&gt;1,DU186=$N186),1-SUM($EE186:EL186),
IF($N186&lt;=1,
IF($N186&gt;0,1/$N186,0),
IF(EM$44=1,0,VDB(1,0,$N186,INT(EM$44-1-1),MIN($N186,INT(EM$44-1-1)+1),$DC186,IF($DD186="No",1,0))/
IF(DT186&gt;=INT($N186),$N186-INT($N186),1)))*
IF(EM$44=1,0,
IF(INT(DU186)=INT(DT186),DU186-DT186,INT(DU186)-DT186))+
IF($N186&lt;=1,
IF($N186&gt;0,1/$N186,0),VDB(1,0,$N186,INT(EM$44-1),MIN($N186,INT(EM$44-1)+1),$DC186,IF($DD186="No",1,0))/
IF(DU186&gt;INT($N186),$N186-INT($N186),1))*
IF(EM$44=1,DU186,
IF(INT(DU186)=INT(DT186),0,DU186-INT(DU186)))))</f>
        <v>0</v>
      </c>
      <c r="EN186" s="833"/>
      <c r="EO186" s="834">
        <f>+IF(OR(DW186=DV186,EO$44=1),0,
IF(AND(EO$44&gt;1,DW186=$N186),1-SUM($EN186:EN186),
IF($N186&lt;=1,
IF($N186&gt;0,1/$N186,0),
IF(EO$44=2,0,VDB(1,0,$N186,INT(EO$44-2-1),MIN($N186,INT(EO$44-2-1)+1),$DC186,IF($DD186="No",1,0))/
IF(DV186&gt;=INT($N186),$N186-INT($N186),1)))*
IF(EO$44=2,0,
IF(INT(DW186)=INT(DV186),DW186-DV186,INT(DW186)-DV186))+
IF($N186&lt;=1,
IF($N186&gt;0,1/$N186,0),VDB(1,0,$N186,INT(EO$44-2),MIN($N186,INT(EO$44-2)+1),$DC186,IF($DD186="No",1,0))/
IF(DW186&gt;INT($N186),$N186-INT($N186),1))*
IF(EO$44=2,DW186,
IF(INT(DW186)=INT(DV186),0,DW186-INT(DW186)))))</f>
        <v>0</v>
      </c>
      <c r="EP186" s="835">
        <f>+IF(OR(DX186=DW186,EP$44=1),0,
IF(AND(EP$44&gt;1,DX186=$N186),1-SUM($EN186:EO186),
IF($N186&lt;=1,
IF($N186&gt;0,1/$N186,0),
IF(EP$44=2,0,VDB(1,0,$N186,INT(EP$44-2-1),MIN($N186,INT(EP$44-2-1)+1),$DC186,IF($DD186="No",1,0))/
IF(DW186&gt;=INT($N186),$N186-INT($N186),1)))*
IF(EP$44=2,0,
IF(INT(DX186)=INT(DW186),DX186-DW186,INT(DX186)-DW186))+
IF($N186&lt;=1,
IF($N186&gt;0,1/$N186,0),VDB(1,0,$N186,INT(EP$44-2),MIN($N186,INT(EP$44-2)+1),$DC186,IF($DD186="No",1,0))/
IF(DX186&gt;INT($N186),$N186-INT($N186),1))*
IF(EP$44=2,DX186,
IF(INT(DX186)=INT(DW186),0,DX186-INT(DX186)))))</f>
        <v>0</v>
      </c>
      <c r="EQ186" s="836">
        <f>+IF(OR(DY186=DX186,EQ$44=1),0,
IF(AND(EQ$44&gt;1,DY186=$N186),1-SUM($EN186:EP186),
IF($N186&lt;=1,
IF($N186&gt;0,1/$N186,0),
IF(EQ$44=2,0,VDB(1,0,$N186,INT(EQ$44-2-1),MIN($N186,INT(EQ$44-2-1)+1),$DC186,IF($DD186="No",1,0))/
IF(DX186&gt;=INT($N186),$N186-INT($N186),1)))*
IF(EQ$44=2,0,
IF(INT(DY186)=INT(DX186),DY186-DX186,INT(DY186)-DX186))+
IF($N186&lt;=1,
IF($N186&gt;0,1/$N186,0),VDB(1,0,$N186,INT(EQ$44-2),MIN($N186,INT(EQ$44-2)+1),$DC186,IF($DD186="No",1,0))/
IF(DY186&gt;INT($N186),$N186-INT($N186),1))*
IF(EQ$44=2,DY186,
IF(INT(DY186)=INT(DX186),0,DY186-INT(DY186)))))</f>
        <v>0</v>
      </c>
      <c r="ER186" s="834">
        <f>+IF(OR(DZ186=DY186,ER$44=1),0,
IF(AND(ER$44&gt;1,DZ186=$N186),1-SUM($EN186:EQ186),
IF($N186&lt;=1,
IF($N186&gt;0,1/$N186,0),
IF(ER$44=2,0,VDB(1,0,$N186,INT(ER$44-2-1),MIN($N186,INT(ER$44-2-1)+1),$DC186,IF($DD186="No",1,0))/
IF(DY186&gt;=INT($N186),$N186-INT($N186),1)))*
IF(ER$44=2,0,
IF(INT(DZ186)=INT(DY186),DZ186-DY186,INT(DZ186)-DY186))+
IF($N186&lt;=1,
IF($N186&gt;0,1/$N186,0),VDB(1,0,$N186,INT(ER$44-2),MIN($N186,INT(ER$44-2)+1),$DC186,IF($DD186="No",1,0))/
IF(DZ186&gt;INT($N186),$N186-INT($N186),1))*
IF(ER$44=2,DZ186,
IF(INT(DZ186)=INT(DY186),0,DZ186-INT(DZ186)))))</f>
        <v>0</v>
      </c>
      <c r="ES186" s="835">
        <f>+IF(OR(EA186=DZ186,ES$44=1),0,
IF(AND(ES$44&gt;1,EA186=$N186),1-SUM($EN186:ER186),
IF($N186&lt;=1,
IF($N186&gt;0,1/$N186,0),
IF(ES$44=2,0,VDB(1,0,$N186,INT(ES$44-2-1),MIN($N186,INT(ES$44-2-1)+1),$DC186,IF($DD186="No",1,0))/
IF(DZ186&gt;=INT($N186),$N186-INT($N186),1)))*
IF(ES$44=2,0,
IF(INT(EA186)=INT(DZ186),EA186-DZ186,INT(EA186)-DZ186))+
IF($N186&lt;=1,
IF($N186&gt;0,1/$N186,0),VDB(1,0,$N186,INT(ES$44-2),MIN($N186,INT(ES$44-2)+1),$DC186,IF($DD186="No",1,0))/
IF(EA186&gt;INT($N186),$N186-INT($N186),1))*
IF(ES$44=2,EA186,
IF(INT(EA186)=INT(DZ186),0,EA186-INT(EA186)))))</f>
        <v>0</v>
      </c>
      <c r="ET186" s="835">
        <f>+IF(OR(EB186=EA186,ET$44=1),0,
IF(AND(ET$44&gt;1,EB186=$N186),1-SUM($EN186:ES186),
IF($N186&lt;=1,
IF($N186&gt;0,1/$N186,0),
IF(ET$44=2,0,VDB(1,0,$N186,INT(ET$44-2-1),MIN($N186,INT(ET$44-2-1)+1),$DC186,IF($DD186="No",1,0))/
IF(EA186&gt;=INT($N186),$N186-INT($N186),1)))*
IF(ET$44=2,0,
IF(INT(EB186)=INT(EA186),EB186-EA186,INT(EB186)-EA186))+
IF($N186&lt;=1,
IF($N186&gt;0,1/$N186,0),VDB(1,0,$N186,INT(ET$44-2),MIN($N186,INT(ET$44-2)+1),$DC186,IF($DD186="No",1,0))/
IF(EB186&gt;INT($N186),$N186-INT($N186),1))*
IF(ET$44=2,EB186,
IF(INT(EB186)=INT(EA186),0,EB186-INT(EB186)))))</f>
        <v>0</v>
      </c>
      <c r="EU186" s="835">
        <f>+IF(OR(EC186=EB186,EU$44=1),0,
IF(AND(EU$44&gt;1,EC186=$N186),1-SUM($EN186:ET186),
IF($N186&lt;=1,
IF($N186&gt;0,1/$N186,0),
IF(EU$44=2,0,VDB(1,0,$N186,INT(EU$44-2-1),MIN($N186,INT(EU$44-2-1)+1),$DC186,IF($DD186="No",1,0))/
IF(EB186&gt;=INT($N186),$N186-INT($N186),1)))*
IF(EU$44=2,0,
IF(INT(EC186)=INT(EB186),EC186-EB186,INT(EC186)-EB186))+
IF($N186&lt;=1,
IF($N186&gt;0,1/$N186,0),VDB(1,0,$N186,INT(EU$44-2),MIN($N186,INT(EU$44-2)+1),$DC186,IF($DD186="No",1,0))/
IF(EC186&gt;INT($N186),$N186-INT($N186),1))*
IF(EU$44=2,EC186,
IF(INT(EC186)=INT(EB186),0,EC186-INT(EC186)))))</f>
        <v>0</v>
      </c>
      <c r="EV186" s="836">
        <f>+IF(OR(ED186=EC186,EV$44=1),0,
IF(AND(EV$44&gt;1,ED186=$N186),1-SUM($EN186:EU186),
IF($N186&lt;=1,
IF($N186&gt;0,1/$N186,0),
IF(EV$44=2,0,VDB(1,0,$N186,INT(EV$44-2-1),MIN($N186,INT(EV$44-2-1)+1),$DC186,IF($DD186="No",1,0))/
IF(EC186&gt;=INT($N186),$N186-INT($N186),1)))*
IF(EV$44=2,0,
IF(INT(ED186)=INT(EC186),ED186-EC186,INT(ED186)-EC186))+
IF($N186&lt;=1,
IF($N186&gt;0,1/$N186,0),VDB(1,0,$N186,INT(EV$44-2),MIN($N186,INT(EV$44-2)+1),$DC186,IF($DD186="No",1,0))/
IF(ED186&gt;INT($N186),$N186-INT($N186),1))*
IF(EV$44=2,ED186,
IF(INT(ED186)=INT(EC186),0,ED186-INT(ED186)))))</f>
        <v>0</v>
      </c>
      <c r="EW186" s="833"/>
      <c r="EX186" s="834">
        <f t="shared" ca="1" si="350"/>
        <v>0</v>
      </c>
      <c r="EY186" s="835">
        <f t="shared" ca="1" si="350"/>
        <v>0</v>
      </c>
      <c r="EZ186" s="836">
        <f t="shared" ca="1" si="350"/>
        <v>0</v>
      </c>
      <c r="FA186" s="834">
        <f t="shared" ca="1" si="350"/>
        <v>0</v>
      </c>
      <c r="FB186" s="835">
        <f t="shared" ca="1" si="350"/>
        <v>0</v>
      </c>
      <c r="FC186" s="835">
        <f t="shared" ca="1" si="350"/>
        <v>0</v>
      </c>
      <c r="FD186" s="835">
        <f t="shared" ca="1" si="350"/>
        <v>0</v>
      </c>
      <c r="FE186" s="836">
        <f t="shared" ca="1" si="350"/>
        <v>0</v>
      </c>
      <c r="FG186" s="386">
        <f t="shared" ca="1" si="351"/>
        <v>0</v>
      </c>
      <c r="FH186" s="387">
        <f t="shared" ca="1" si="352"/>
        <v>0</v>
      </c>
      <c r="FI186" s="388">
        <f t="shared" ca="1" si="353"/>
        <v>0</v>
      </c>
      <c r="FJ186" s="386">
        <f t="shared" ca="1" si="354"/>
        <v>0</v>
      </c>
      <c r="FK186" s="387">
        <f t="shared" ca="1" si="355"/>
        <v>0</v>
      </c>
      <c r="FL186" s="387">
        <f t="shared" ca="1" si="356"/>
        <v>0</v>
      </c>
      <c r="FM186" s="387">
        <f t="shared" ca="1" si="357"/>
        <v>0</v>
      </c>
      <c r="FN186" s="388">
        <f t="shared" ca="1" si="358"/>
        <v>0</v>
      </c>
      <c r="FR186" s="116"/>
    </row>
    <row r="187" spans="2:174">
      <c r="B187" s="1410">
        <f t="shared" si="302"/>
        <v>141</v>
      </c>
      <c r="C187" s="400"/>
      <c r="D187" s="410"/>
      <c r="E187" s="402"/>
      <c r="F187" s="402"/>
      <c r="G187" s="400"/>
      <c r="H187" s="2088"/>
      <c r="I187" s="2089"/>
      <c r="J187" s="411"/>
      <c r="K187" s="403"/>
      <c r="L187" s="403"/>
      <c r="M187" s="403"/>
      <c r="N187" s="403"/>
      <c r="O187" s="347"/>
      <c r="P187" s="347"/>
      <c r="Q187" s="1021"/>
      <c r="R187" s="1022"/>
      <c r="S187" s="1022"/>
      <c r="T187" s="1022"/>
      <c r="U187" s="1023"/>
      <c r="V187" s="1021"/>
      <c r="W187" s="1022"/>
      <c r="X187" s="1022"/>
      <c r="Y187" s="1022"/>
      <c r="Z187" s="1023"/>
      <c r="AA187" s="1024"/>
      <c r="AB187" s="1021"/>
      <c r="AC187" s="1022"/>
      <c r="AD187" s="1022"/>
      <c r="AE187" s="1022"/>
      <c r="AF187" s="1023"/>
      <c r="AG187" s="1021"/>
      <c r="AH187" s="1022"/>
      <c r="AI187" s="1022"/>
      <c r="AJ187" s="1022"/>
      <c r="AK187" s="1023"/>
      <c r="AL187" s="1024"/>
      <c r="AM187" s="1021"/>
      <c r="AN187" s="1022"/>
      <c r="AO187" s="1022"/>
      <c r="AP187" s="1022"/>
      <c r="AQ187" s="1023"/>
      <c r="AR187" s="1021"/>
      <c r="AS187" s="1022"/>
      <c r="AT187" s="1022"/>
      <c r="AU187" s="1022"/>
      <c r="AV187" s="1023"/>
      <c r="AW187" s="1025"/>
      <c r="AX187" s="1282">
        <f t="shared" si="304"/>
        <v>0</v>
      </c>
      <c r="AY187" s="387">
        <f t="shared" si="305"/>
        <v>0</v>
      </c>
      <c r="AZ187" s="387">
        <f t="shared" si="306"/>
        <v>0</v>
      </c>
      <c r="BA187" s="387">
        <f t="shared" si="307"/>
        <v>0</v>
      </c>
      <c r="BB187" s="1283">
        <f t="shared" si="308"/>
        <v>0</v>
      </c>
      <c r="BC187" s="386">
        <f t="shared" si="309"/>
        <v>0</v>
      </c>
      <c r="BD187" s="387">
        <f t="shared" si="310"/>
        <v>0</v>
      </c>
      <c r="BE187" s="1277">
        <f t="shared" si="311"/>
        <v>0</v>
      </c>
      <c r="BF187" s="1277">
        <f t="shared" si="312"/>
        <v>0</v>
      </c>
      <c r="BG187" s="388">
        <f t="shared" si="313"/>
        <v>0</v>
      </c>
      <c r="BH187" s="1025"/>
      <c r="BI187" s="1282">
        <f t="shared" ca="1" si="314"/>
        <v>0</v>
      </c>
      <c r="BJ187" s="387">
        <f t="shared" ca="1" si="315"/>
        <v>0</v>
      </c>
      <c r="BK187" s="387">
        <f t="shared" ca="1" si="316"/>
        <v>0</v>
      </c>
      <c r="BL187" s="387">
        <f t="shared" ca="1" si="317"/>
        <v>0</v>
      </c>
      <c r="BM187" s="1283">
        <f t="shared" ca="1" si="318"/>
        <v>0</v>
      </c>
      <c r="BN187" s="386">
        <f t="shared" ca="1" si="319"/>
        <v>0</v>
      </c>
      <c r="BO187" s="387">
        <f t="shared" ca="1" si="320"/>
        <v>0</v>
      </c>
      <c r="BP187" s="1277">
        <f t="shared" ca="1" si="321"/>
        <v>0</v>
      </c>
      <c r="BQ187" s="1277">
        <f t="shared" ca="1" si="322"/>
        <v>0</v>
      </c>
      <c r="BR187" s="388">
        <f t="shared" ca="1" si="323"/>
        <v>0</v>
      </c>
      <c r="BS187" s="1025"/>
      <c r="BT187" s="1282">
        <f>+IF($K187="Ongoing",AX187,IF(RIGHT($K187,2)=RIGHT(BT$43,2),SUM($AX187:AX187),0)+IF(RIGHT(BT$43,2)&gt;RIGHT($K187,2),AX187,0))</f>
        <v>0</v>
      </c>
      <c r="BU187" s="387">
        <f>+IF($K187="Ongoing",AY187,IF(RIGHT($K187,2)=RIGHT(BU$43,2),SUM($AX187:AY187),0)+IF(RIGHT(BU$43,2)&gt;RIGHT($K187,2),AY187,0))</f>
        <v>0</v>
      </c>
      <c r="BV187" s="387">
        <f>+IF($K187="Ongoing",AZ187,IF(RIGHT($K187,2)=RIGHT(BV$43,2),SUM($AX187:AZ187),0)+IF(RIGHT(BV$43,2)&gt;RIGHT($K187,2),AZ187,0))</f>
        <v>0</v>
      </c>
      <c r="BW187" s="387">
        <f>+IF($K187="Ongoing",BA187,IF(RIGHT($K187,2)=RIGHT(BW$43,2),SUM($AX187:BA187),0)+IF(RIGHT(BW$43,2)&gt;RIGHT($K187,2),BA187,0))</f>
        <v>0</v>
      </c>
      <c r="BX187" s="1283">
        <f>+IF($K187="Ongoing",BB187,IF(RIGHT($K187,2)=RIGHT(BX$43,2),SUM($AX187:BB187),0)+IF(RIGHT(BX$43,2)&gt;RIGHT($K187,2),BB187,0))</f>
        <v>0</v>
      </c>
      <c r="BY187" s="386">
        <f>+IF($K187="Ongoing",BC187,IF(RIGHT($K187,2)=RIGHT(BY$43,2),SUM($AX187:BC187),0)+IF(RIGHT(BY$43,2)&gt;RIGHT($K187,2),BC187,0))</f>
        <v>0</v>
      </c>
      <c r="BZ187" s="387">
        <f>+IF($K187="Ongoing",BD187,IF(RIGHT($K187,2)=RIGHT(BZ$43,2),SUM($AX187:BD187),0)+IF(RIGHT(BZ$43,2)&gt;RIGHT($K187,2),BD187,0))</f>
        <v>0</v>
      </c>
      <c r="CA187" s="1277">
        <f>+IF($K187="Ongoing",BE187,IF(RIGHT($K187,2)=RIGHT(CA$43,2),SUM($AX187:BE187),0)+IF(RIGHT(CA$43,2)&gt;RIGHT($K187,2),BE187,0))</f>
        <v>0</v>
      </c>
      <c r="CB187" s="1277">
        <f>+IF($K187="Ongoing",BF187,IF(RIGHT($K187,2)=RIGHT(CB$43,2),SUM($AX187:BF187),0)+IF(RIGHT(CB$43,2)&gt;RIGHT($K187,2),BF187,0))</f>
        <v>0</v>
      </c>
      <c r="CC187" s="388">
        <f>+IF($K187="Ongoing",BG187,IF(RIGHT($K187,2)=RIGHT(CC$43,2),SUM($AX187:BG187),0)+IF(RIGHT(CC$43,2)&gt;RIGHT($K187,2),BG187,0))</f>
        <v>0</v>
      </c>
      <c r="CD187" s="1025"/>
      <c r="CE187" s="1282">
        <f>+Q187*KeyAssumptionsPriceControl_FO!AF$15</f>
        <v>0</v>
      </c>
      <c r="CF187" s="387">
        <f>+R187*KeyAssumptionsPriceControl_FO!AG$15</f>
        <v>0</v>
      </c>
      <c r="CG187" s="387">
        <f>+S187*KeyAssumptionsPriceControl_FO!AH$15</f>
        <v>0</v>
      </c>
      <c r="CH187" s="387">
        <f>+T187*KeyAssumptionsPriceControl_FO!AI$15</f>
        <v>0</v>
      </c>
      <c r="CI187" s="1283">
        <f>+U187*KeyAssumptionsPriceControl_FO!AJ$15</f>
        <v>0</v>
      </c>
      <c r="CJ187" s="386">
        <f>+V187*KeyAssumptionsPriceControl_FO!AK$15</f>
        <v>0</v>
      </c>
      <c r="CK187" s="387">
        <f>+W187*KeyAssumptionsPriceControl_FO!AL$15</f>
        <v>0</v>
      </c>
      <c r="CL187" s="1277">
        <f>+X187*KeyAssumptionsPriceControl_FO!AM$15</f>
        <v>0</v>
      </c>
      <c r="CM187" s="1277">
        <f>+Y187*KeyAssumptionsPriceControl_FO!AN$15</f>
        <v>0</v>
      </c>
      <c r="CN187" s="388">
        <f>+Z187*KeyAssumptionsPriceControl_FO!AO$15</f>
        <v>0</v>
      </c>
      <c r="CO187" s="1025"/>
      <c r="CP187" s="1282">
        <f t="shared" ca="1" si="324"/>
        <v>0</v>
      </c>
      <c r="CQ187" s="387">
        <f t="shared" ca="1" si="325"/>
        <v>0</v>
      </c>
      <c r="CR187" s="387">
        <f t="shared" ca="1" si="326"/>
        <v>0</v>
      </c>
      <c r="CS187" s="387">
        <f t="shared" ca="1" si="327"/>
        <v>0</v>
      </c>
      <c r="CT187" s="1283">
        <f t="shared" ca="1" si="328"/>
        <v>0</v>
      </c>
      <c r="CU187" s="386">
        <f t="shared" ca="1" si="329"/>
        <v>0</v>
      </c>
      <c r="CV187" s="387">
        <f t="shared" ca="1" si="330"/>
        <v>0</v>
      </c>
      <c r="CW187" s="1277">
        <f t="shared" ca="1" si="331"/>
        <v>0</v>
      </c>
      <c r="CX187" s="1277">
        <f t="shared" ca="1" si="332"/>
        <v>0</v>
      </c>
      <c r="CY187" s="388">
        <f t="shared" ca="1" si="333"/>
        <v>0</v>
      </c>
      <c r="CZ187" s="347"/>
      <c r="DA187" s="852"/>
      <c r="DB187" s="347"/>
      <c r="DC187" s="1012" t="s">
        <v>708</v>
      </c>
      <c r="DD187" s="841" t="s">
        <v>518</v>
      </c>
      <c r="DE187" s="386">
        <f>+IF($K187="ongoing",CE187,IF(RIGHT($K187,2)=RIGHT(DE$43,2),SUM($CD187:CE187),0)+IF(RIGHT(DE$43,2)&gt;RIGHT($K187,2),CE187,0))</f>
        <v>0</v>
      </c>
      <c r="DF187" s="387">
        <f>+IF($K187="ongoing",CF187,IF(RIGHT($K187,2)=RIGHT(DF$43,2),SUM($CD187:CF187),0)+IF(RIGHT(DF$43,2)&gt;RIGHT($K187,2),CF187,0))</f>
        <v>0</v>
      </c>
      <c r="DG187" s="388">
        <f>+IF($K187="ongoing",CG187,IF(RIGHT($K187,2)=RIGHT(DG$43,2),SUM($CD187:CG187),0)+IF(RIGHT(DG$43,2)&gt;RIGHT($K187,2),CG187,0))</f>
        <v>0</v>
      </c>
      <c r="DH187" s="386">
        <f>+IF($K187="ongoing",CH187,IF(RIGHT($K187,2)=RIGHT(DH$43,2),SUM($CD187:CH187),0)+IF(RIGHT(DH$43,2)&gt;RIGHT($K187,2),CH187,0))</f>
        <v>0</v>
      </c>
      <c r="DI187" s="387">
        <f>+IF($K187="ongoing",CI187,IF(RIGHT($K187,2)=RIGHT(DI$43,2),SUM($CD187:CI187),0)+IF(RIGHT(DI$43,2)&gt;RIGHT($K187,2),CI187,0))</f>
        <v>0</v>
      </c>
      <c r="DJ187" s="387">
        <f>+IF($K187="ongoing",CJ187,IF(RIGHT($K187,2)=RIGHT(DJ$43,2),SUM($CD187:CJ187),0)+IF(RIGHT(DJ$43,2)&gt;RIGHT($K187,2),CJ187,0))</f>
        <v>0</v>
      </c>
      <c r="DK187" s="387">
        <f>+IF($K187="ongoing",CK187,IF(RIGHT($K187,2)=RIGHT(DK$43,2),SUM($CD187:CK187),0)+IF(RIGHT(DK$43,2)&gt;RIGHT($K187,2),CK187,0))</f>
        <v>0</v>
      </c>
      <c r="DL187" s="388">
        <f>+IF($K187="ongoing",CN187,IF(RIGHT($K187,2)=RIGHT(DL$43,2),SUM($CD187:CN187),0)+IF(RIGHT(DL$43,2)&gt;RIGHT($K187,2),CN187,0))</f>
        <v>0</v>
      </c>
      <c r="DM187" s="841"/>
      <c r="DN187" s="386">
        <f t="shared" si="334"/>
        <v>0.5</v>
      </c>
      <c r="DO187" s="387">
        <f t="shared" si="335"/>
        <v>1</v>
      </c>
      <c r="DP187" s="388">
        <f t="shared" si="336"/>
        <v>1</v>
      </c>
      <c r="DQ187" s="386">
        <f t="shared" si="337"/>
        <v>1</v>
      </c>
      <c r="DR187" s="387">
        <f t="shared" si="338"/>
        <v>1</v>
      </c>
      <c r="DS187" s="387">
        <f t="shared" si="339"/>
        <v>1</v>
      </c>
      <c r="DT187" s="387">
        <f t="shared" si="340"/>
        <v>1</v>
      </c>
      <c r="DU187" s="388">
        <f t="shared" si="341"/>
        <v>1</v>
      </c>
      <c r="DW187" s="386">
        <f t="shared" si="342"/>
        <v>0</v>
      </c>
      <c r="DX187" s="387">
        <f t="shared" si="343"/>
        <v>0.5</v>
      </c>
      <c r="DY187" s="388">
        <f t="shared" si="344"/>
        <v>1</v>
      </c>
      <c r="DZ187" s="386">
        <f t="shared" si="345"/>
        <v>1</v>
      </c>
      <c r="EA187" s="387">
        <f t="shared" si="346"/>
        <v>1</v>
      </c>
      <c r="EB187" s="387">
        <f t="shared" si="347"/>
        <v>1</v>
      </c>
      <c r="EC187" s="387">
        <f t="shared" si="348"/>
        <v>1</v>
      </c>
      <c r="ED187" s="388">
        <f t="shared" si="349"/>
        <v>1</v>
      </c>
      <c r="EF187" s="834">
        <f>+IF(DN187=DM187,0,
IF(AND(EF$44&gt;1,DN187=$N187),1-SUM($EE187:EE187),
IF($N187&lt;=1,
IF($N187&gt;0,1/$N187,0),
IF(EF$44=1,0,VDB(1,0,$N187,INT(EF$44-1-1),MIN($N187,INT(EF$44-1-1)+1),$DC187,IF($DD187="No",1,0))/
IF(DM187&gt;=INT($N187),$N187-INT($N187),1)))*
IF(EF$44=1,0,
IF(INT(DN187)=INT(DM187),DN187-DM187,INT(DN187)-DM187))+
IF($N187&lt;=1,
IF($N187&gt;0,1/$N187,0),VDB(1,0,$N187,INT(EF$44-1),MIN($N187,INT(EF$44-1)+1),$DC187,IF($DD187="No",1,0))/
IF(DN187&gt;INT($N187),$N187-INT($N187),1))*
IF(EF$44=1,DN187,
IF(INT(DN187)=INT(DM187),0,DN187-INT(DN187)))))</f>
        <v>0</v>
      </c>
      <c r="EG187" s="835">
        <f>+IF(DO187=DN187,0,
IF(AND(EG$44&gt;1,DO187=$N187),1-SUM($EE187:EF187),
IF($N187&lt;=1,
IF($N187&gt;0,1/$N187,0),
IF(EG$44=1,0,VDB(1,0,$N187,INT(EG$44-1-1),MIN($N187,INT(EG$44-1-1)+1),$DC187,IF($DD187="No",1,0))/
IF(DN187&gt;=INT($N187),$N187-INT($N187),1)))*
IF(EG$44=1,0,
IF(INT(DO187)=INT(DN187),DO187-DN187,INT(DO187)-DN187))+
IF($N187&lt;=1,
IF($N187&gt;0,1/$N187,0),VDB(1,0,$N187,INT(EG$44-1),MIN($N187,INT(EG$44-1)+1),$DC187,IF($DD187="No",1,0))/
IF(DO187&gt;INT($N187),$N187-INT($N187),1))*
IF(EG$44=1,DO187,
IF(INT(DO187)=INT(DN187),0,DO187-INT(DO187)))))</f>
        <v>0</v>
      </c>
      <c r="EH187" s="836">
        <f>+IF(DP187=DO187,0,
IF(AND(EH$44&gt;1,DP187=$N187),1-SUM($EE187:EG187),
IF($N187&lt;=1,
IF($N187&gt;0,1/$N187,0),
IF(EH$44=1,0,VDB(1,0,$N187,INT(EH$44-1-1),MIN($N187,INT(EH$44-1-1)+1),$DC187,IF($DD187="No",1,0))/
IF(DO187&gt;=INT($N187),$N187-INT($N187),1)))*
IF(EH$44=1,0,
IF(INT(DP187)=INT(DO187),DP187-DO187,INT(DP187)-DO187))+
IF($N187&lt;=1,
IF($N187&gt;0,1/$N187,0),VDB(1,0,$N187,INT(EH$44-1),MIN($N187,INT(EH$44-1)+1),$DC187,IF($DD187="No",1,0))/
IF(DP187&gt;INT($N187),$N187-INT($N187),1))*
IF(EH$44=1,DP187,
IF(INT(DP187)=INT(DO187),0,DP187-INT(DP187)))))</f>
        <v>0</v>
      </c>
      <c r="EI187" s="834">
        <f>+IF(DQ187=DP187,0,
IF(AND(EI$44&gt;1,DQ187=$N187),1-SUM($EE187:EH187),
IF($N187&lt;=1,
IF($N187&gt;0,1/$N187,0),
IF(EI$44=1,0,VDB(1,0,$N187,INT(EI$44-1-1),MIN($N187,INT(EI$44-1-1)+1),$DC187,IF($DD187="No",1,0))/
IF(DP187&gt;=INT($N187),$N187-INT($N187),1)))*
IF(EI$44=1,0,
IF(INT(DQ187)=INT(DP187),DQ187-DP187,INT(DQ187)-DP187))+
IF($N187&lt;=1,
IF($N187&gt;0,1/$N187,0),VDB(1,0,$N187,INT(EI$44-1),MIN($N187,INT(EI$44-1)+1),$DC187,IF($DD187="No",1,0))/
IF(DQ187&gt;INT($N187),$N187-INT($N187),1))*
IF(EI$44=1,DQ187,
IF(INT(DQ187)=INT(DP187),0,DQ187-INT(DQ187)))))</f>
        <v>0</v>
      </c>
      <c r="EJ187" s="835">
        <f>+IF(DR187=DQ187,0,
IF(AND(EJ$44&gt;1,DR187=$N187),1-SUM($EE187:EI187),
IF($N187&lt;=1,
IF($N187&gt;0,1/$N187,0),
IF(EJ$44=1,0,VDB(1,0,$N187,INT(EJ$44-1-1),MIN($N187,INT(EJ$44-1-1)+1),$DC187,IF($DD187="No",1,0))/
IF(DQ187&gt;=INT($N187),$N187-INT($N187),1)))*
IF(EJ$44=1,0,
IF(INT(DR187)=INT(DQ187),DR187-DQ187,INT(DR187)-DQ187))+
IF($N187&lt;=1,
IF($N187&gt;0,1/$N187,0),VDB(1,0,$N187,INT(EJ$44-1),MIN($N187,INT(EJ$44-1)+1),$DC187,IF($DD187="No",1,0))/
IF(DR187&gt;INT($N187),$N187-INT($N187),1))*
IF(EJ$44=1,DR187,
IF(INT(DR187)=INT(DQ187),0,DR187-INT(DR187)))))</f>
        <v>0</v>
      </c>
      <c r="EK187" s="835">
        <f>+IF(DS187=DR187,0,
IF(AND(EK$44&gt;1,DS187=$N187),1-SUM($EE187:EJ187),
IF($N187&lt;=1,
IF($N187&gt;0,1/$N187,0),
IF(EK$44=1,0,VDB(1,0,$N187,INT(EK$44-1-1),MIN($N187,INT(EK$44-1-1)+1),$DC187,IF($DD187="No",1,0))/
IF(DR187&gt;=INT($N187),$N187-INT($N187),1)))*
IF(EK$44=1,0,
IF(INT(DS187)=INT(DR187),DS187-DR187,INT(DS187)-DR187))+
IF($N187&lt;=1,
IF($N187&gt;0,1/$N187,0),VDB(1,0,$N187,INT(EK$44-1),MIN($N187,INT(EK$44-1)+1),$DC187,IF($DD187="No",1,0))/
IF(DS187&gt;INT($N187),$N187-INT($N187),1))*
IF(EK$44=1,DS187,
IF(INT(DS187)=INT(DR187),0,DS187-INT(DS187)))))</f>
        <v>0</v>
      </c>
      <c r="EL187" s="835">
        <f>+IF(DT187=DS187,0,
IF(AND(EL$44&gt;1,DT187=$N187),1-SUM($EE187:EK187),
IF($N187&lt;=1,
IF($N187&gt;0,1/$N187,0),
IF(EL$44=1,0,VDB(1,0,$N187,INT(EL$44-1-1),MIN($N187,INT(EL$44-1-1)+1),$DC187,IF($DD187="No",1,0))/
IF(DS187&gt;=INT($N187),$N187-INT($N187),1)))*
IF(EL$44=1,0,
IF(INT(DT187)=INT(DS187),DT187-DS187,INT(DT187)-DS187))+
IF($N187&lt;=1,
IF($N187&gt;0,1/$N187,0),VDB(1,0,$N187,INT(EL$44-1),MIN($N187,INT(EL$44-1)+1),$DC187,IF($DD187="No",1,0))/
IF(DT187&gt;INT($N187),$N187-INT($N187),1))*
IF(EL$44=1,DT187,
IF(INT(DT187)=INT(DS187),0,DT187-INT(DT187)))))</f>
        <v>0</v>
      </c>
      <c r="EM187" s="836">
        <f>+IF(DU187=DT187,0,
IF(AND(EM$44&gt;1,DU187=$N187),1-SUM($EE187:EL187),
IF($N187&lt;=1,
IF($N187&gt;0,1/$N187,0),
IF(EM$44=1,0,VDB(1,0,$N187,INT(EM$44-1-1),MIN($N187,INT(EM$44-1-1)+1),$DC187,IF($DD187="No",1,0))/
IF(DT187&gt;=INT($N187),$N187-INT($N187),1)))*
IF(EM$44=1,0,
IF(INT(DU187)=INT(DT187),DU187-DT187,INT(DU187)-DT187))+
IF($N187&lt;=1,
IF($N187&gt;0,1/$N187,0),VDB(1,0,$N187,INT(EM$44-1),MIN($N187,INT(EM$44-1)+1),$DC187,IF($DD187="No",1,0))/
IF(DU187&gt;INT($N187),$N187-INT($N187),1))*
IF(EM$44=1,DU187,
IF(INT(DU187)=INT(DT187),0,DU187-INT(DU187)))))</f>
        <v>0</v>
      </c>
      <c r="EN187" s="833"/>
      <c r="EO187" s="834">
        <f>+IF(OR(DW187=DV187,EO$44=1),0,
IF(AND(EO$44&gt;1,DW187=$N187),1-SUM($EN187:EN187),
IF($N187&lt;=1,
IF($N187&gt;0,1/$N187,0),
IF(EO$44=2,0,VDB(1,0,$N187,INT(EO$44-2-1),MIN($N187,INT(EO$44-2-1)+1),$DC187,IF($DD187="No",1,0))/
IF(DV187&gt;=INT($N187),$N187-INT($N187),1)))*
IF(EO$44=2,0,
IF(INT(DW187)=INT(DV187),DW187-DV187,INT(DW187)-DV187))+
IF($N187&lt;=1,
IF($N187&gt;0,1/$N187,0),VDB(1,0,$N187,INT(EO$44-2),MIN($N187,INT(EO$44-2)+1),$DC187,IF($DD187="No",1,0))/
IF(DW187&gt;INT($N187),$N187-INT($N187),1))*
IF(EO$44=2,DW187,
IF(INT(DW187)=INT(DV187),0,DW187-INT(DW187)))))</f>
        <v>0</v>
      </c>
      <c r="EP187" s="835">
        <f>+IF(OR(DX187=DW187,EP$44=1),0,
IF(AND(EP$44&gt;1,DX187=$N187),1-SUM($EN187:EO187),
IF($N187&lt;=1,
IF($N187&gt;0,1/$N187,0),
IF(EP$44=2,0,VDB(1,0,$N187,INT(EP$44-2-1),MIN($N187,INT(EP$44-2-1)+1),$DC187,IF($DD187="No",1,0))/
IF(DW187&gt;=INT($N187),$N187-INT($N187),1)))*
IF(EP$44=2,0,
IF(INT(DX187)=INT(DW187),DX187-DW187,INT(DX187)-DW187))+
IF($N187&lt;=1,
IF($N187&gt;0,1/$N187,0),VDB(1,0,$N187,INT(EP$44-2),MIN($N187,INT(EP$44-2)+1),$DC187,IF($DD187="No",1,0))/
IF(DX187&gt;INT($N187),$N187-INT($N187),1))*
IF(EP$44=2,DX187,
IF(INT(DX187)=INT(DW187),0,DX187-INT(DX187)))))</f>
        <v>0</v>
      </c>
      <c r="EQ187" s="836">
        <f>+IF(OR(DY187=DX187,EQ$44=1),0,
IF(AND(EQ$44&gt;1,DY187=$N187),1-SUM($EN187:EP187),
IF($N187&lt;=1,
IF($N187&gt;0,1/$N187,0),
IF(EQ$44=2,0,VDB(1,0,$N187,INT(EQ$44-2-1),MIN($N187,INT(EQ$44-2-1)+1),$DC187,IF($DD187="No",1,0))/
IF(DX187&gt;=INT($N187),$N187-INT($N187),1)))*
IF(EQ$44=2,0,
IF(INT(DY187)=INT(DX187),DY187-DX187,INT(DY187)-DX187))+
IF($N187&lt;=1,
IF($N187&gt;0,1/$N187,0),VDB(1,0,$N187,INT(EQ$44-2),MIN($N187,INT(EQ$44-2)+1),$DC187,IF($DD187="No",1,0))/
IF(DY187&gt;INT($N187),$N187-INT($N187),1))*
IF(EQ$44=2,DY187,
IF(INT(DY187)=INT(DX187),0,DY187-INT(DY187)))))</f>
        <v>0</v>
      </c>
      <c r="ER187" s="834">
        <f>+IF(OR(DZ187=DY187,ER$44=1),0,
IF(AND(ER$44&gt;1,DZ187=$N187),1-SUM($EN187:EQ187),
IF($N187&lt;=1,
IF($N187&gt;0,1/$N187,0),
IF(ER$44=2,0,VDB(1,0,$N187,INT(ER$44-2-1),MIN($N187,INT(ER$44-2-1)+1),$DC187,IF($DD187="No",1,0))/
IF(DY187&gt;=INT($N187),$N187-INT($N187),1)))*
IF(ER$44=2,0,
IF(INT(DZ187)=INT(DY187),DZ187-DY187,INT(DZ187)-DY187))+
IF($N187&lt;=1,
IF($N187&gt;0,1/$N187,0),VDB(1,0,$N187,INT(ER$44-2),MIN($N187,INT(ER$44-2)+1),$DC187,IF($DD187="No",1,0))/
IF(DZ187&gt;INT($N187),$N187-INT($N187),1))*
IF(ER$44=2,DZ187,
IF(INT(DZ187)=INT(DY187),0,DZ187-INT(DZ187)))))</f>
        <v>0</v>
      </c>
      <c r="ES187" s="835">
        <f>+IF(OR(EA187=DZ187,ES$44=1),0,
IF(AND(ES$44&gt;1,EA187=$N187),1-SUM($EN187:ER187),
IF($N187&lt;=1,
IF($N187&gt;0,1/$N187,0),
IF(ES$44=2,0,VDB(1,0,$N187,INT(ES$44-2-1),MIN($N187,INT(ES$44-2-1)+1),$DC187,IF($DD187="No",1,0))/
IF(DZ187&gt;=INT($N187),$N187-INT($N187),1)))*
IF(ES$44=2,0,
IF(INT(EA187)=INT(DZ187),EA187-DZ187,INT(EA187)-DZ187))+
IF($N187&lt;=1,
IF($N187&gt;0,1/$N187,0),VDB(1,0,$N187,INT(ES$44-2),MIN($N187,INT(ES$44-2)+1),$DC187,IF($DD187="No",1,0))/
IF(EA187&gt;INT($N187),$N187-INT($N187),1))*
IF(ES$44=2,EA187,
IF(INT(EA187)=INT(DZ187),0,EA187-INT(EA187)))))</f>
        <v>0</v>
      </c>
      <c r="ET187" s="835">
        <f>+IF(OR(EB187=EA187,ET$44=1),0,
IF(AND(ET$44&gt;1,EB187=$N187),1-SUM($EN187:ES187),
IF($N187&lt;=1,
IF($N187&gt;0,1/$N187,0),
IF(ET$44=2,0,VDB(1,0,$N187,INT(ET$44-2-1),MIN($N187,INT(ET$44-2-1)+1),$DC187,IF($DD187="No",1,0))/
IF(EA187&gt;=INT($N187),$N187-INT($N187),1)))*
IF(ET$44=2,0,
IF(INT(EB187)=INT(EA187),EB187-EA187,INT(EB187)-EA187))+
IF($N187&lt;=1,
IF($N187&gt;0,1/$N187,0),VDB(1,0,$N187,INT(ET$44-2),MIN($N187,INT(ET$44-2)+1),$DC187,IF($DD187="No",1,0))/
IF(EB187&gt;INT($N187),$N187-INT($N187),1))*
IF(ET$44=2,EB187,
IF(INT(EB187)=INT(EA187),0,EB187-INT(EB187)))))</f>
        <v>0</v>
      </c>
      <c r="EU187" s="835">
        <f>+IF(OR(EC187=EB187,EU$44=1),0,
IF(AND(EU$44&gt;1,EC187=$N187),1-SUM($EN187:ET187),
IF($N187&lt;=1,
IF($N187&gt;0,1/$N187,0),
IF(EU$44=2,0,VDB(1,0,$N187,INT(EU$44-2-1),MIN($N187,INT(EU$44-2-1)+1),$DC187,IF($DD187="No",1,0))/
IF(EB187&gt;=INT($N187),$N187-INT($N187),1)))*
IF(EU$44=2,0,
IF(INT(EC187)=INT(EB187),EC187-EB187,INT(EC187)-EB187))+
IF($N187&lt;=1,
IF($N187&gt;0,1/$N187,0),VDB(1,0,$N187,INT(EU$44-2),MIN($N187,INT(EU$44-2)+1),$DC187,IF($DD187="No",1,0))/
IF(EC187&gt;INT($N187),$N187-INT($N187),1))*
IF(EU$44=2,EC187,
IF(INT(EC187)=INT(EB187),0,EC187-INT(EC187)))))</f>
        <v>0</v>
      </c>
      <c r="EV187" s="836">
        <f>+IF(OR(ED187=EC187,EV$44=1),0,
IF(AND(EV$44&gt;1,ED187=$N187),1-SUM($EN187:EU187),
IF($N187&lt;=1,
IF($N187&gt;0,1/$N187,0),
IF(EV$44=2,0,VDB(1,0,$N187,INT(EV$44-2-1),MIN($N187,INT(EV$44-2-1)+1),$DC187,IF($DD187="No",1,0))/
IF(EC187&gt;=INT($N187),$N187-INT($N187),1)))*
IF(EV$44=2,0,
IF(INT(ED187)=INT(EC187),ED187-EC187,INT(ED187)-EC187))+
IF($N187&lt;=1,
IF($N187&gt;0,1/$N187,0),VDB(1,0,$N187,INT(EV$44-2),MIN($N187,INT(EV$44-2)+1),$DC187,IF($DD187="No",1,0))/
IF(ED187&gt;INT($N187),$N187-INT($N187),1))*
IF(EV$44=2,ED187,
IF(INT(ED187)=INT(EC187),0,ED187-INT(ED187)))))</f>
        <v>0</v>
      </c>
      <c r="EW187" s="833"/>
      <c r="EX187" s="834">
        <f t="shared" ca="1" si="350"/>
        <v>0</v>
      </c>
      <c r="EY187" s="835">
        <f t="shared" ca="1" si="350"/>
        <v>0</v>
      </c>
      <c r="EZ187" s="836">
        <f t="shared" ca="1" si="350"/>
        <v>0</v>
      </c>
      <c r="FA187" s="834">
        <f t="shared" ca="1" si="350"/>
        <v>0</v>
      </c>
      <c r="FB187" s="835">
        <f t="shared" ca="1" si="350"/>
        <v>0</v>
      </c>
      <c r="FC187" s="835">
        <f t="shared" ca="1" si="350"/>
        <v>0</v>
      </c>
      <c r="FD187" s="835">
        <f t="shared" ca="1" si="350"/>
        <v>0</v>
      </c>
      <c r="FE187" s="836">
        <f t="shared" ca="1" si="350"/>
        <v>0</v>
      </c>
      <c r="FG187" s="386">
        <f t="shared" ca="1" si="351"/>
        <v>0</v>
      </c>
      <c r="FH187" s="387">
        <f t="shared" ca="1" si="352"/>
        <v>0</v>
      </c>
      <c r="FI187" s="388">
        <f t="shared" ca="1" si="353"/>
        <v>0</v>
      </c>
      <c r="FJ187" s="386">
        <f t="shared" ca="1" si="354"/>
        <v>0</v>
      </c>
      <c r="FK187" s="387">
        <f t="shared" ca="1" si="355"/>
        <v>0</v>
      </c>
      <c r="FL187" s="387">
        <f t="shared" ca="1" si="356"/>
        <v>0</v>
      </c>
      <c r="FM187" s="387">
        <f t="shared" ca="1" si="357"/>
        <v>0</v>
      </c>
      <c r="FN187" s="388">
        <f t="shared" ca="1" si="358"/>
        <v>0</v>
      </c>
      <c r="FR187" s="116"/>
    </row>
    <row r="188" spans="2:174">
      <c r="B188" s="1410">
        <f t="shared" si="302"/>
        <v>142</v>
      </c>
      <c r="C188" s="400"/>
      <c r="D188" s="410"/>
      <c r="E188" s="402"/>
      <c r="F188" s="402"/>
      <c r="G188" s="400"/>
      <c r="H188" s="2088"/>
      <c r="I188" s="2089"/>
      <c r="J188" s="411"/>
      <c r="K188" s="403"/>
      <c r="L188" s="403"/>
      <c r="M188" s="403"/>
      <c r="N188" s="403"/>
      <c r="O188" s="347"/>
      <c r="P188" s="347"/>
      <c r="Q188" s="1021"/>
      <c r="R188" s="1022"/>
      <c r="S188" s="1022"/>
      <c r="T188" s="1022"/>
      <c r="U188" s="1023"/>
      <c r="V188" s="1021"/>
      <c r="W188" s="1022"/>
      <c r="X188" s="1022"/>
      <c r="Y188" s="1022"/>
      <c r="Z188" s="1023"/>
      <c r="AA188" s="1024"/>
      <c r="AB188" s="1021"/>
      <c r="AC188" s="1022"/>
      <c r="AD188" s="1022"/>
      <c r="AE188" s="1022"/>
      <c r="AF188" s="1023"/>
      <c r="AG188" s="1021"/>
      <c r="AH188" s="1022"/>
      <c r="AI188" s="1022"/>
      <c r="AJ188" s="1022"/>
      <c r="AK188" s="1023"/>
      <c r="AL188" s="1024"/>
      <c r="AM188" s="1021"/>
      <c r="AN188" s="1022"/>
      <c r="AO188" s="1022"/>
      <c r="AP188" s="1022"/>
      <c r="AQ188" s="1023"/>
      <c r="AR188" s="1021"/>
      <c r="AS188" s="1022"/>
      <c r="AT188" s="1022"/>
      <c r="AU188" s="1022"/>
      <c r="AV188" s="1023"/>
      <c r="AW188" s="1025"/>
      <c r="AX188" s="1282">
        <f t="shared" si="304"/>
        <v>0</v>
      </c>
      <c r="AY188" s="387">
        <f t="shared" si="305"/>
        <v>0</v>
      </c>
      <c r="AZ188" s="387">
        <f t="shared" si="306"/>
        <v>0</v>
      </c>
      <c r="BA188" s="387">
        <f t="shared" si="307"/>
        <v>0</v>
      </c>
      <c r="BB188" s="1283">
        <f t="shared" si="308"/>
        <v>0</v>
      </c>
      <c r="BC188" s="386">
        <f t="shared" si="309"/>
        <v>0</v>
      </c>
      <c r="BD188" s="387">
        <f t="shared" si="310"/>
        <v>0</v>
      </c>
      <c r="BE188" s="1277">
        <f t="shared" si="311"/>
        <v>0</v>
      </c>
      <c r="BF188" s="1277">
        <f t="shared" si="312"/>
        <v>0</v>
      </c>
      <c r="BG188" s="388">
        <f t="shared" si="313"/>
        <v>0</v>
      </c>
      <c r="BH188" s="1025"/>
      <c r="BI188" s="1282">
        <f t="shared" ca="1" si="314"/>
        <v>0</v>
      </c>
      <c r="BJ188" s="387">
        <f t="shared" ca="1" si="315"/>
        <v>0</v>
      </c>
      <c r="BK188" s="387">
        <f t="shared" ca="1" si="316"/>
        <v>0</v>
      </c>
      <c r="BL188" s="387">
        <f t="shared" ca="1" si="317"/>
        <v>0</v>
      </c>
      <c r="BM188" s="1283">
        <f t="shared" ca="1" si="318"/>
        <v>0</v>
      </c>
      <c r="BN188" s="386">
        <f t="shared" ca="1" si="319"/>
        <v>0</v>
      </c>
      <c r="BO188" s="387">
        <f t="shared" ca="1" si="320"/>
        <v>0</v>
      </c>
      <c r="BP188" s="1277">
        <f t="shared" ca="1" si="321"/>
        <v>0</v>
      </c>
      <c r="BQ188" s="1277">
        <f t="shared" ca="1" si="322"/>
        <v>0</v>
      </c>
      <c r="BR188" s="388">
        <f t="shared" ca="1" si="323"/>
        <v>0</v>
      </c>
      <c r="BS188" s="1025"/>
      <c r="BT188" s="1282">
        <f>+IF($K188="Ongoing",AX188,IF(RIGHT($K188,2)=RIGHT(BT$43,2),SUM($AX188:AX188),0)+IF(RIGHT(BT$43,2)&gt;RIGHT($K188,2),AX188,0))</f>
        <v>0</v>
      </c>
      <c r="BU188" s="387">
        <f>+IF($K188="Ongoing",AY188,IF(RIGHT($K188,2)=RIGHT(BU$43,2),SUM($AX188:AY188),0)+IF(RIGHT(BU$43,2)&gt;RIGHT($K188,2),AY188,0))</f>
        <v>0</v>
      </c>
      <c r="BV188" s="387">
        <f>+IF($K188="Ongoing",AZ188,IF(RIGHT($K188,2)=RIGHT(BV$43,2),SUM($AX188:AZ188),0)+IF(RIGHT(BV$43,2)&gt;RIGHT($K188,2),AZ188,0))</f>
        <v>0</v>
      </c>
      <c r="BW188" s="387">
        <f>+IF($K188="Ongoing",BA188,IF(RIGHT($K188,2)=RIGHT(BW$43,2),SUM($AX188:BA188),0)+IF(RIGHT(BW$43,2)&gt;RIGHT($K188,2),BA188,0))</f>
        <v>0</v>
      </c>
      <c r="BX188" s="1283">
        <f>+IF($K188="Ongoing",BB188,IF(RIGHT($K188,2)=RIGHT(BX$43,2),SUM($AX188:BB188),0)+IF(RIGHT(BX$43,2)&gt;RIGHT($K188,2),BB188,0))</f>
        <v>0</v>
      </c>
      <c r="BY188" s="386">
        <f>+IF($K188="Ongoing",BC188,IF(RIGHT($K188,2)=RIGHT(BY$43,2),SUM($AX188:BC188),0)+IF(RIGHT(BY$43,2)&gt;RIGHT($K188,2),BC188,0))</f>
        <v>0</v>
      </c>
      <c r="BZ188" s="387">
        <f>+IF($K188="Ongoing",BD188,IF(RIGHT($K188,2)=RIGHT(BZ$43,2),SUM($AX188:BD188),0)+IF(RIGHT(BZ$43,2)&gt;RIGHT($K188,2),BD188,0))</f>
        <v>0</v>
      </c>
      <c r="CA188" s="1277">
        <f>+IF($K188="Ongoing",BE188,IF(RIGHT($K188,2)=RIGHT(CA$43,2),SUM($AX188:BE188),0)+IF(RIGHT(CA$43,2)&gt;RIGHT($K188,2),BE188,0))</f>
        <v>0</v>
      </c>
      <c r="CB188" s="1277">
        <f>+IF($K188="Ongoing",BF188,IF(RIGHT($K188,2)=RIGHT(CB$43,2),SUM($AX188:BF188),0)+IF(RIGHT(CB$43,2)&gt;RIGHT($K188,2),BF188,0))</f>
        <v>0</v>
      </c>
      <c r="CC188" s="388">
        <f>+IF($K188="Ongoing",BG188,IF(RIGHT($K188,2)=RIGHT(CC$43,2),SUM($AX188:BG188),0)+IF(RIGHT(CC$43,2)&gt;RIGHT($K188,2),BG188,0))</f>
        <v>0</v>
      </c>
      <c r="CD188" s="1025"/>
      <c r="CE188" s="1282">
        <f>+Q188*KeyAssumptionsPriceControl_FO!AF$15</f>
        <v>0</v>
      </c>
      <c r="CF188" s="387">
        <f>+R188*KeyAssumptionsPriceControl_FO!AG$15</f>
        <v>0</v>
      </c>
      <c r="CG188" s="387">
        <f>+S188*KeyAssumptionsPriceControl_FO!AH$15</f>
        <v>0</v>
      </c>
      <c r="CH188" s="387">
        <f>+T188*KeyAssumptionsPriceControl_FO!AI$15</f>
        <v>0</v>
      </c>
      <c r="CI188" s="1283">
        <f>+U188*KeyAssumptionsPriceControl_FO!AJ$15</f>
        <v>0</v>
      </c>
      <c r="CJ188" s="386">
        <f>+V188*KeyAssumptionsPriceControl_FO!AK$15</f>
        <v>0</v>
      </c>
      <c r="CK188" s="387">
        <f>+W188*KeyAssumptionsPriceControl_FO!AL$15</f>
        <v>0</v>
      </c>
      <c r="CL188" s="1277">
        <f>+X188*KeyAssumptionsPriceControl_FO!AM$15</f>
        <v>0</v>
      </c>
      <c r="CM188" s="1277">
        <f>+Y188*KeyAssumptionsPriceControl_FO!AN$15</f>
        <v>0</v>
      </c>
      <c r="CN188" s="388">
        <f>+Z188*KeyAssumptionsPriceControl_FO!AO$15</f>
        <v>0</v>
      </c>
      <c r="CO188" s="1025"/>
      <c r="CP188" s="1282">
        <f t="shared" ca="1" si="324"/>
        <v>0</v>
      </c>
      <c r="CQ188" s="387">
        <f t="shared" ca="1" si="325"/>
        <v>0</v>
      </c>
      <c r="CR188" s="387">
        <f t="shared" ca="1" si="326"/>
        <v>0</v>
      </c>
      <c r="CS188" s="387">
        <f t="shared" ca="1" si="327"/>
        <v>0</v>
      </c>
      <c r="CT188" s="1283">
        <f t="shared" ca="1" si="328"/>
        <v>0</v>
      </c>
      <c r="CU188" s="386">
        <f t="shared" ca="1" si="329"/>
        <v>0</v>
      </c>
      <c r="CV188" s="387">
        <f t="shared" ca="1" si="330"/>
        <v>0</v>
      </c>
      <c r="CW188" s="1277">
        <f t="shared" ca="1" si="331"/>
        <v>0</v>
      </c>
      <c r="CX188" s="1277">
        <f t="shared" ca="1" si="332"/>
        <v>0</v>
      </c>
      <c r="CY188" s="388">
        <f t="shared" ca="1" si="333"/>
        <v>0</v>
      </c>
      <c r="CZ188" s="347"/>
      <c r="DA188" s="852"/>
      <c r="DB188" s="347"/>
      <c r="DC188" s="1012" t="s">
        <v>709</v>
      </c>
      <c r="DD188" s="841" t="s">
        <v>518</v>
      </c>
      <c r="DE188" s="386">
        <f>+IF($K188="ongoing",CE188,IF(RIGHT($K188,2)=RIGHT(DE$43,2),SUM($CD188:CE188),0)+IF(RIGHT(DE$43,2)&gt;RIGHT($K188,2),CE188,0))</f>
        <v>0</v>
      </c>
      <c r="DF188" s="387">
        <f>+IF($K188="ongoing",CF188,IF(RIGHT($K188,2)=RIGHT(DF$43,2),SUM($CD188:CF188),0)+IF(RIGHT(DF$43,2)&gt;RIGHT($K188,2),CF188,0))</f>
        <v>0</v>
      </c>
      <c r="DG188" s="388">
        <f>+IF($K188="ongoing",CG188,IF(RIGHT($K188,2)=RIGHT(DG$43,2),SUM($CD188:CG188),0)+IF(RIGHT(DG$43,2)&gt;RIGHT($K188,2),CG188,0))</f>
        <v>0</v>
      </c>
      <c r="DH188" s="386">
        <f>+IF($K188="ongoing",CH188,IF(RIGHT($K188,2)=RIGHT(DH$43,2),SUM($CD188:CH188),0)+IF(RIGHT(DH$43,2)&gt;RIGHT($K188,2),CH188,0))</f>
        <v>0</v>
      </c>
      <c r="DI188" s="387">
        <f>+IF($K188="ongoing",CI188,IF(RIGHT($K188,2)=RIGHT(DI$43,2),SUM($CD188:CI188),0)+IF(RIGHT(DI$43,2)&gt;RIGHT($K188,2),CI188,0))</f>
        <v>0</v>
      </c>
      <c r="DJ188" s="387">
        <f>+IF($K188="ongoing",CJ188,IF(RIGHT($K188,2)=RIGHT(DJ$43,2),SUM($CD188:CJ188),0)+IF(RIGHT(DJ$43,2)&gt;RIGHT($K188,2),CJ188,0))</f>
        <v>0</v>
      </c>
      <c r="DK188" s="387">
        <f>+IF($K188="ongoing",CK188,IF(RIGHT($K188,2)=RIGHT(DK$43,2),SUM($CD188:CK188),0)+IF(RIGHT(DK$43,2)&gt;RIGHT($K188,2),CK188,0))</f>
        <v>0</v>
      </c>
      <c r="DL188" s="388">
        <f>+IF($K188="ongoing",CN188,IF(RIGHT($K188,2)=RIGHT(DL$43,2),SUM($CD188:CN188),0)+IF(RIGHT(DL$43,2)&gt;RIGHT($K188,2),CN188,0))</f>
        <v>0</v>
      </c>
      <c r="DM188" s="841"/>
      <c r="DN188" s="386">
        <f t="shared" si="334"/>
        <v>0.5</v>
      </c>
      <c r="DO188" s="387">
        <f t="shared" si="335"/>
        <v>1</v>
      </c>
      <c r="DP188" s="388">
        <f t="shared" si="336"/>
        <v>1</v>
      </c>
      <c r="DQ188" s="386">
        <f t="shared" si="337"/>
        <v>1</v>
      </c>
      <c r="DR188" s="387">
        <f t="shared" si="338"/>
        <v>1</v>
      </c>
      <c r="DS188" s="387">
        <f t="shared" si="339"/>
        <v>1</v>
      </c>
      <c r="DT188" s="387">
        <f t="shared" si="340"/>
        <v>1</v>
      </c>
      <c r="DU188" s="388">
        <f t="shared" si="341"/>
        <v>1</v>
      </c>
      <c r="DW188" s="386">
        <f t="shared" si="342"/>
        <v>0</v>
      </c>
      <c r="DX188" s="387">
        <f t="shared" si="343"/>
        <v>0.5</v>
      </c>
      <c r="DY188" s="388">
        <f t="shared" si="344"/>
        <v>1</v>
      </c>
      <c r="DZ188" s="386">
        <f t="shared" si="345"/>
        <v>1</v>
      </c>
      <c r="EA188" s="387">
        <f t="shared" si="346"/>
        <v>1</v>
      </c>
      <c r="EB188" s="387">
        <f t="shared" si="347"/>
        <v>1</v>
      </c>
      <c r="EC188" s="387">
        <f t="shared" si="348"/>
        <v>1</v>
      </c>
      <c r="ED188" s="388">
        <f t="shared" si="349"/>
        <v>1</v>
      </c>
      <c r="EF188" s="834">
        <f>+IF(DN188=DM188,0,
IF(AND(EF$44&gt;1,DN188=$N188),1-SUM($EE188:EE188),
IF($N188&lt;=1,
IF($N188&gt;0,1/$N188,0),
IF(EF$44=1,0,VDB(1,0,$N188,INT(EF$44-1-1),MIN($N188,INT(EF$44-1-1)+1),$DC188,IF($DD188="No",1,0))/
IF(DM188&gt;=INT($N188),$N188-INT($N188),1)))*
IF(EF$44=1,0,
IF(INT(DN188)=INT(DM188),DN188-DM188,INT(DN188)-DM188))+
IF($N188&lt;=1,
IF($N188&gt;0,1/$N188,0),VDB(1,0,$N188,INT(EF$44-1),MIN($N188,INT(EF$44-1)+1),$DC188,IF($DD188="No",1,0))/
IF(DN188&gt;INT($N188),$N188-INT($N188),1))*
IF(EF$44=1,DN188,
IF(INT(DN188)=INT(DM188),0,DN188-INT(DN188)))))</f>
        <v>0</v>
      </c>
      <c r="EG188" s="835">
        <f>+IF(DO188=DN188,0,
IF(AND(EG$44&gt;1,DO188=$N188),1-SUM($EE188:EF188),
IF($N188&lt;=1,
IF($N188&gt;0,1/$N188,0),
IF(EG$44=1,0,VDB(1,0,$N188,INT(EG$44-1-1),MIN($N188,INT(EG$44-1-1)+1),$DC188,IF($DD188="No",1,0))/
IF(DN188&gt;=INT($N188),$N188-INT($N188),1)))*
IF(EG$44=1,0,
IF(INT(DO188)=INT(DN188),DO188-DN188,INT(DO188)-DN188))+
IF($N188&lt;=1,
IF($N188&gt;0,1/$N188,0),VDB(1,0,$N188,INT(EG$44-1),MIN($N188,INT(EG$44-1)+1),$DC188,IF($DD188="No",1,0))/
IF(DO188&gt;INT($N188),$N188-INT($N188),1))*
IF(EG$44=1,DO188,
IF(INT(DO188)=INT(DN188),0,DO188-INT(DO188)))))</f>
        <v>0</v>
      </c>
      <c r="EH188" s="836">
        <f>+IF(DP188=DO188,0,
IF(AND(EH$44&gt;1,DP188=$N188),1-SUM($EE188:EG188),
IF($N188&lt;=1,
IF($N188&gt;0,1/$N188,0),
IF(EH$44=1,0,VDB(1,0,$N188,INT(EH$44-1-1),MIN($N188,INT(EH$44-1-1)+1),$DC188,IF($DD188="No",1,0))/
IF(DO188&gt;=INT($N188),$N188-INT($N188),1)))*
IF(EH$44=1,0,
IF(INT(DP188)=INT(DO188),DP188-DO188,INT(DP188)-DO188))+
IF($N188&lt;=1,
IF($N188&gt;0,1/$N188,0),VDB(1,0,$N188,INT(EH$44-1),MIN($N188,INT(EH$44-1)+1),$DC188,IF($DD188="No",1,0))/
IF(DP188&gt;INT($N188),$N188-INT($N188),1))*
IF(EH$44=1,DP188,
IF(INT(DP188)=INT(DO188),0,DP188-INT(DP188)))))</f>
        <v>0</v>
      </c>
      <c r="EI188" s="834">
        <f>+IF(DQ188=DP188,0,
IF(AND(EI$44&gt;1,DQ188=$N188),1-SUM($EE188:EH188),
IF($N188&lt;=1,
IF($N188&gt;0,1/$N188,0),
IF(EI$44=1,0,VDB(1,0,$N188,INT(EI$44-1-1),MIN($N188,INT(EI$44-1-1)+1),$DC188,IF($DD188="No",1,0))/
IF(DP188&gt;=INT($N188),$N188-INT($N188),1)))*
IF(EI$44=1,0,
IF(INT(DQ188)=INT(DP188),DQ188-DP188,INT(DQ188)-DP188))+
IF($N188&lt;=1,
IF($N188&gt;0,1/$N188,0),VDB(1,0,$N188,INT(EI$44-1),MIN($N188,INT(EI$44-1)+1),$DC188,IF($DD188="No",1,0))/
IF(DQ188&gt;INT($N188),$N188-INT($N188),1))*
IF(EI$44=1,DQ188,
IF(INT(DQ188)=INT(DP188),0,DQ188-INT(DQ188)))))</f>
        <v>0</v>
      </c>
      <c r="EJ188" s="835">
        <f>+IF(DR188=DQ188,0,
IF(AND(EJ$44&gt;1,DR188=$N188),1-SUM($EE188:EI188),
IF($N188&lt;=1,
IF($N188&gt;0,1/$N188,0),
IF(EJ$44=1,0,VDB(1,0,$N188,INT(EJ$44-1-1),MIN($N188,INT(EJ$44-1-1)+1),$DC188,IF($DD188="No",1,0))/
IF(DQ188&gt;=INT($N188),$N188-INT($N188),1)))*
IF(EJ$44=1,0,
IF(INT(DR188)=INT(DQ188),DR188-DQ188,INT(DR188)-DQ188))+
IF($N188&lt;=1,
IF($N188&gt;0,1/$N188,0),VDB(1,0,$N188,INT(EJ$44-1),MIN($N188,INT(EJ$44-1)+1),$DC188,IF($DD188="No",1,0))/
IF(DR188&gt;INT($N188),$N188-INT($N188),1))*
IF(EJ$44=1,DR188,
IF(INT(DR188)=INT(DQ188),0,DR188-INT(DR188)))))</f>
        <v>0</v>
      </c>
      <c r="EK188" s="835">
        <f>+IF(DS188=DR188,0,
IF(AND(EK$44&gt;1,DS188=$N188),1-SUM($EE188:EJ188),
IF($N188&lt;=1,
IF($N188&gt;0,1/$N188,0),
IF(EK$44=1,0,VDB(1,0,$N188,INT(EK$44-1-1),MIN($N188,INT(EK$44-1-1)+1),$DC188,IF($DD188="No",1,0))/
IF(DR188&gt;=INT($N188),$N188-INT($N188),1)))*
IF(EK$44=1,0,
IF(INT(DS188)=INT(DR188),DS188-DR188,INT(DS188)-DR188))+
IF($N188&lt;=1,
IF($N188&gt;0,1/$N188,0),VDB(1,0,$N188,INT(EK$44-1),MIN($N188,INT(EK$44-1)+1),$DC188,IF($DD188="No",1,0))/
IF(DS188&gt;INT($N188),$N188-INT($N188),1))*
IF(EK$44=1,DS188,
IF(INT(DS188)=INT(DR188),0,DS188-INT(DS188)))))</f>
        <v>0</v>
      </c>
      <c r="EL188" s="835">
        <f>+IF(DT188=DS188,0,
IF(AND(EL$44&gt;1,DT188=$N188),1-SUM($EE188:EK188),
IF($N188&lt;=1,
IF($N188&gt;0,1/$N188,0),
IF(EL$44=1,0,VDB(1,0,$N188,INT(EL$44-1-1),MIN($N188,INT(EL$44-1-1)+1),$DC188,IF($DD188="No",1,0))/
IF(DS188&gt;=INT($N188),$N188-INT($N188),1)))*
IF(EL$44=1,0,
IF(INT(DT188)=INT(DS188),DT188-DS188,INT(DT188)-DS188))+
IF($N188&lt;=1,
IF($N188&gt;0,1/$N188,0),VDB(1,0,$N188,INT(EL$44-1),MIN($N188,INT(EL$44-1)+1),$DC188,IF($DD188="No",1,0))/
IF(DT188&gt;INT($N188),$N188-INT($N188),1))*
IF(EL$44=1,DT188,
IF(INT(DT188)=INT(DS188),0,DT188-INT(DT188)))))</f>
        <v>0</v>
      </c>
      <c r="EM188" s="836">
        <f>+IF(DU188=DT188,0,
IF(AND(EM$44&gt;1,DU188=$N188),1-SUM($EE188:EL188),
IF($N188&lt;=1,
IF($N188&gt;0,1/$N188,0),
IF(EM$44=1,0,VDB(1,0,$N188,INT(EM$44-1-1),MIN($N188,INT(EM$44-1-1)+1),$DC188,IF($DD188="No",1,0))/
IF(DT188&gt;=INT($N188),$N188-INT($N188),1)))*
IF(EM$44=1,0,
IF(INT(DU188)=INT(DT188),DU188-DT188,INT(DU188)-DT188))+
IF($N188&lt;=1,
IF($N188&gt;0,1/$N188,0),VDB(1,0,$N188,INT(EM$44-1),MIN($N188,INT(EM$44-1)+1),$DC188,IF($DD188="No",1,0))/
IF(DU188&gt;INT($N188),$N188-INT($N188),1))*
IF(EM$44=1,DU188,
IF(INT(DU188)=INT(DT188),0,DU188-INT(DU188)))))</f>
        <v>0</v>
      </c>
      <c r="EN188" s="833"/>
      <c r="EO188" s="834">
        <f>+IF(OR(DW188=DV188,EO$44=1),0,
IF(AND(EO$44&gt;1,DW188=$N188),1-SUM($EN188:EN188),
IF($N188&lt;=1,
IF($N188&gt;0,1/$N188,0),
IF(EO$44=2,0,VDB(1,0,$N188,INT(EO$44-2-1),MIN($N188,INT(EO$44-2-1)+1),$DC188,IF($DD188="No",1,0))/
IF(DV188&gt;=INT($N188),$N188-INT($N188),1)))*
IF(EO$44=2,0,
IF(INT(DW188)=INT(DV188),DW188-DV188,INT(DW188)-DV188))+
IF($N188&lt;=1,
IF($N188&gt;0,1/$N188,0),VDB(1,0,$N188,INT(EO$44-2),MIN($N188,INT(EO$44-2)+1),$DC188,IF($DD188="No",1,0))/
IF(DW188&gt;INT($N188),$N188-INT($N188),1))*
IF(EO$44=2,DW188,
IF(INT(DW188)=INT(DV188),0,DW188-INT(DW188)))))</f>
        <v>0</v>
      </c>
      <c r="EP188" s="835">
        <f>+IF(OR(DX188=DW188,EP$44=1),0,
IF(AND(EP$44&gt;1,DX188=$N188),1-SUM($EN188:EO188),
IF($N188&lt;=1,
IF($N188&gt;0,1/$N188,0),
IF(EP$44=2,0,VDB(1,0,$N188,INT(EP$44-2-1),MIN($N188,INT(EP$44-2-1)+1),$DC188,IF($DD188="No",1,0))/
IF(DW188&gt;=INT($N188),$N188-INT($N188),1)))*
IF(EP$44=2,0,
IF(INT(DX188)=INT(DW188),DX188-DW188,INT(DX188)-DW188))+
IF($N188&lt;=1,
IF($N188&gt;0,1/$N188,0),VDB(1,0,$N188,INT(EP$44-2),MIN($N188,INT(EP$44-2)+1),$DC188,IF($DD188="No",1,0))/
IF(DX188&gt;INT($N188),$N188-INT($N188),1))*
IF(EP$44=2,DX188,
IF(INT(DX188)=INT(DW188),0,DX188-INT(DX188)))))</f>
        <v>0</v>
      </c>
      <c r="EQ188" s="836">
        <f>+IF(OR(DY188=DX188,EQ$44=1),0,
IF(AND(EQ$44&gt;1,DY188=$N188),1-SUM($EN188:EP188),
IF($N188&lt;=1,
IF($N188&gt;0,1/$N188,0),
IF(EQ$44=2,0,VDB(1,0,$N188,INT(EQ$44-2-1),MIN($N188,INT(EQ$44-2-1)+1),$DC188,IF($DD188="No",1,0))/
IF(DX188&gt;=INT($N188),$N188-INT($N188),1)))*
IF(EQ$44=2,0,
IF(INT(DY188)=INT(DX188),DY188-DX188,INT(DY188)-DX188))+
IF($N188&lt;=1,
IF($N188&gt;0,1/$N188,0),VDB(1,0,$N188,INT(EQ$44-2),MIN($N188,INT(EQ$44-2)+1),$DC188,IF($DD188="No",1,0))/
IF(DY188&gt;INT($N188),$N188-INT($N188),1))*
IF(EQ$44=2,DY188,
IF(INT(DY188)=INT(DX188),0,DY188-INT(DY188)))))</f>
        <v>0</v>
      </c>
      <c r="ER188" s="834">
        <f>+IF(OR(DZ188=DY188,ER$44=1),0,
IF(AND(ER$44&gt;1,DZ188=$N188),1-SUM($EN188:EQ188),
IF($N188&lt;=1,
IF($N188&gt;0,1/$N188,0),
IF(ER$44=2,0,VDB(1,0,$N188,INT(ER$44-2-1),MIN($N188,INT(ER$44-2-1)+1),$DC188,IF($DD188="No",1,0))/
IF(DY188&gt;=INT($N188),$N188-INT($N188),1)))*
IF(ER$44=2,0,
IF(INT(DZ188)=INT(DY188),DZ188-DY188,INT(DZ188)-DY188))+
IF($N188&lt;=1,
IF($N188&gt;0,1/$N188,0),VDB(1,0,$N188,INT(ER$44-2),MIN($N188,INT(ER$44-2)+1),$DC188,IF($DD188="No",1,0))/
IF(DZ188&gt;INT($N188),$N188-INT($N188),1))*
IF(ER$44=2,DZ188,
IF(INT(DZ188)=INT(DY188),0,DZ188-INT(DZ188)))))</f>
        <v>0</v>
      </c>
      <c r="ES188" s="835">
        <f>+IF(OR(EA188=DZ188,ES$44=1),0,
IF(AND(ES$44&gt;1,EA188=$N188),1-SUM($EN188:ER188),
IF($N188&lt;=1,
IF($N188&gt;0,1/$N188,0),
IF(ES$44=2,0,VDB(1,0,$N188,INT(ES$44-2-1),MIN($N188,INT(ES$44-2-1)+1),$DC188,IF($DD188="No",1,0))/
IF(DZ188&gt;=INT($N188),$N188-INT($N188),1)))*
IF(ES$44=2,0,
IF(INT(EA188)=INT(DZ188),EA188-DZ188,INT(EA188)-DZ188))+
IF($N188&lt;=1,
IF($N188&gt;0,1/$N188,0),VDB(1,0,$N188,INT(ES$44-2),MIN($N188,INT(ES$44-2)+1),$DC188,IF($DD188="No",1,0))/
IF(EA188&gt;INT($N188),$N188-INT($N188),1))*
IF(ES$44=2,EA188,
IF(INT(EA188)=INT(DZ188),0,EA188-INT(EA188)))))</f>
        <v>0</v>
      </c>
      <c r="ET188" s="835">
        <f>+IF(OR(EB188=EA188,ET$44=1),0,
IF(AND(ET$44&gt;1,EB188=$N188),1-SUM($EN188:ES188),
IF($N188&lt;=1,
IF($N188&gt;0,1/$N188,0),
IF(ET$44=2,0,VDB(1,0,$N188,INT(ET$44-2-1),MIN($N188,INT(ET$44-2-1)+1),$DC188,IF($DD188="No",1,0))/
IF(EA188&gt;=INT($N188),$N188-INT($N188),1)))*
IF(ET$44=2,0,
IF(INT(EB188)=INT(EA188),EB188-EA188,INT(EB188)-EA188))+
IF($N188&lt;=1,
IF($N188&gt;0,1/$N188,0),VDB(1,0,$N188,INT(ET$44-2),MIN($N188,INT(ET$44-2)+1),$DC188,IF($DD188="No",1,0))/
IF(EB188&gt;INT($N188),$N188-INT($N188),1))*
IF(ET$44=2,EB188,
IF(INT(EB188)=INT(EA188),0,EB188-INT(EB188)))))</f>
        <v>0</v>
      </c>
      <c r="EU188" s="835">
        <f>+IF(OR(EC188=EB188,EU$44=1),0,
IF(AND(EU$44&gt;1,EC188=$N188),1-SUM($EN188:ET188),
IF($N188&lt;=1,
IF($N188&gt;0,1/$N188,0),
IF(EU$44=2,0,VDB(1,0,$N188,INT(EU$44-2-1),MIN($N188,INT(EU$44-2-1)+1),$DC188,IF($DD188="No",1,0))/
IF(EB188&gt;=INT($N188),$N188-INT($N188),1)))*
IF(EU$44=2,0,
IF(INT(EC188)=INT(EB188),EC188-EB188,INT(EC188)-EB188))+
IF($N188&lt;=1,
IF($N188&gt;0,1/$N188,0),VDB(1,0,$N188,INT(EU$44-2),MIN($N188,INT(EU$44-2)+1),$DC188,IF($DD188="No",1,0))/
IF(EC188&gt;INT($N188),$N188-INT($N188),1))*
IF(EU$44=2,EC188,
IF(INT(EC188)=INT(EB188),0,EC188-INT(EC188)))))</f>
        <v>0</v>
      </c>
      <c r="EV188" s="836">
        <f>+IF(OR(ED188=EC188,EV$44=1),0,
IF(AND(EV$44&gt;1,ED188=$N188),1-SUM($EN188:EU188),
IF($N188&lt;=1,
IF($N188&gt;0,1/$N188,0),
IF(EV$44=2,0,VDB(1,0,$N188,INT(EV$44-2-1),MIN($N188,INT(EV$44-2-1)+1),$DC188,IF($DD188="No",1,0))/
IF(EC188&gt;=INT($N188),$N188-INT($N188),1)))*
IF(EV$44=2,0,
IF(INT(ED188)=INT(EC188),ED188-EC188,INT(ED188)-EC188))+
IF($N188&lt;=1,
IF($N188&gt;0,1/$N188,0),VDB(1,0,$N188,INT(EV$44-2),MIN($N188,INT(EV$44-2)+1),$DC188,IF($DD188="No",1,0))/
IF(ED188&gt;INT($N188),$N188-INT($N188),1))*
IF(EV$44=2,ED188,
IF(INT(ED188)=INT(EC188),0,ED188-INT(ED188)))))</f>
        <v>0</v>
      </c>
      <c r="EW188" s="833"/>
      <c r="EX188" s="834">
        <f t="shared" ca="1" si="350"/>
        <v>0</v>
      </c>
      <c r="EY188" s="835">
        <f t="shared" ca="1" si="350"/>
        <v>0</v>
      </c>
      <c r="EZ188" s="836">
        <f t="shared" ca="1" si="350"/>
        <v>0</v>
      </c>
      <c r="FA188" s="834">
        <f t="shared" ca="1" si="350"/>
        <v>0</v>
      </c>
      <c r="FB188" s="835">
        <f t="shared" ca="1" si="350"/>
        <v>0</v>
      </c>
      <c r="FC188" s="835">
        <f t="shared" ca="1" si="350"/>
        <v>0</v>
      </c>
      <c r="FD188" s="835">
        <f t="shared" ca="1" si="350"/>
        <v>0</v>
      </c>
      <c r="FE188" s="836">
        <f t="shared" ca="1" si="350"/>
        <v>0</v>
      </c>
      <c r="FG188" s="386">
        <f t="shared" ca="1" si="351"/>
        <v>0</v>
      </c>
      <c r="FH188" s="387">
        <f t="shared" ca="1" si="352"/>
        <v>0</v>
      </c>
      <c r="FI188" s="388">
        <f t="shared" ca="1" si="353"/>
        <v>0</v>
      </c>
      <c r="FJ188" s="386">
        <f t="shared" ca="1" si="354"/>
        <v>0</v>
      </c>
      <c r="FK188" s="387">
        <f t="shared" ca="1" si="355"/>
        <v>0</v>
      </c>
      <c r="FL188" s="387">
        <f t="shared" ca="1" si="356"/>
        <v>0</v>
      </c>
      <c r="FM188" s="387">
        <f t="shared" ca="1" si="357"/>
        <v>0</v>
      </c>
      <c r="FN188" s="388">
        <f t="shared" ca="1" si="358"/>
        <v>0</v>
      </c>
      <c r="FR188" s="116"/>
    </row>
    <row r="189" spans="2:174">
      <c r="B189" s="1410">
        <f t="shared" si="302"/>
        <v>143</v>
      </c>
      <c r="C189" s="400"/>
      <c r="D189" s="410"/>
      <c r="E189" s="402"/>
      <c r="F189" s="402"/>
      <c r="G189" s="400"/>
      <c r="H189" s="2088"/>
      <c r="I189" s="2089"/>
      <c r="J189" s="411"/>
      <c r="K189" s="403"/>
      <c r="L189" s="403"/>
      <c r="M189" s="403"/>
      <c r="N189" s="403"/>
      <c r="O189" s="347"/>
      <c r="P189" s="347"/>
      <c r="Q189" s="1021"/>
      <c r="R189" s="1022"/>
      <c r="S189" s="1022"/>
      <c r="T189" s="1022"/>
      <c r="U189" s="1023"/>
      <c r="V189" s="1021"/>
      <c r="W189" s="1022"/>
      <c r="X189" s="1022"/>
      <c r="Y189" s="1022"/>
      <c r="Z189" s="1023"/>
      <c r="AA189" s="1024"/>
      <c r="AB189" s="1021"/>
      <c r="AC189" s="1022"/>
      <c r="AD189" s="1022"/>
      <c r="AE189" s="1022"/>
      <c r="AF189" s="1023"/>
      <c r="AG189" s="1021"/>
      <c r="AH189" s="1022"/>
      <c r="AI189" s="1022"/>
      <c r="AJ189" s="1022"/>
      <c r="AK189" s="1023"/>
      <c r="AL189" s="1024"/>
      <c r="AM189" s="1021"/>
      <c r="AN189" s="1022"/>
      <c r="AO189" s="1022"/>
      <c r="AP189" s="1022"/>
      <c r="AQ189" s="1023"/>
      <c r="AR189" s="1021"/>
      <c r="AS189" s="1022"/>
      <c r="AT189" s="1022"/>
      <c r="AU189" s="1022"/>
      <c r="AV189" s="1023"/>
      <c r="AW189" s="1025"/>
      <c r="AX189" s="1282">
        <f t="shared" si="304"/>
        <v>0</v>
      </c>
      <c r="AY189" s="387">
        <f t="shared" si="305"/>
        <v>0</v>
      </c>
      <c r="AZ189" s="387">
        <f t="shared" si="306"/>
        <v>0</v>
      </c>
      <c r="BA189" s="387">
        <f t="shared" si="307"/>
        <v>0</v>
      </c>
      <c r="BB189" s="1283">
        <f t="shared" si="308"/>
        <v>0</v>
      </c>
      <c r="BC189" s="386">
        <f t="shared" si="309"/>
        <v>0</v>
      </c>
      <c r="BD189" s="387">
        <f t="shared" si="310"/>
        <v>0</v>
      </c>
      <c r="BE189" s="1277">
        <f t="shared" si="311"/>
        <v>0</v>
      </c>
      <c r="BF189" s="1277">
        <f t="shared" si="312"/>
        <v>0</v>
      </c>
      <c r="BG189" s="388">
        <f t="shared" si="313"/>
        <v>0</v>
      </c>
      <c r="BH189" s="1025"/>
      <c r="BI189" s="1282">
        <f t="shared" ca="1" si="314"/>
        <v>0</v>
      </c>
      <c r="BJ189" s="387">
        <f t="shared" ca="1" si="315"/>
        <v>0</v>
      </c>
      <c r="BK189" s="387">
        <f t="shared" ca="1" si="316"/>
        <v>0</v>
      </c>
      <c r="BL189" s="387">
        <f t="shared" ca="1" si="317"/>
        <v>0</v>
      </c>
      <c r="BM189" s="1283">
        <f t="shared" ca="1" si="318"/>
        <v>0</v>
      </c>
      <c r="BN189" s="386">
        <f t="shared" ca="1" si="319"/>
        <v>0</v>
      </c>
      <c r="BO189" s="387">
        <f t="shared" ca="1" si="320"/>
        <v>0</v>
      </c>
      <c r="BP189" s="1277">
        <f t="shared" ca="1" si="321"/>
        <v>0</v>
      </c>
      <c r="BQ189" s="1277">
        <f t="shared" ca="1" si="322"/>
        <v>0</v>
      </c>
      <c r="BR189" s="388">
        <f t="shared" ca="1" si="323"/>
        <v>0</v>
      </c>
      <c r="BS189" s="1025"/>
      <c r="BT189" s="1282">
        <f>+IF($K189="Ongoing",AX189,IF(RIGHT($K189,2)=RIGHT(BT$43,2),SUM($AX189:AX189),0)+IF(RIGHT(BT$43,2)&gt;RIGHT($K189,2),AX189,0))</f>
        <v>0</v>
      </c>
      <c r="BU189" s="387">
        <f>+IF($K189="Ongoing",AY189,IF(RIGHT($K189,2)=RIGHT(BU$43,2),SUM($AX189:AY189),0)+IF(RIGHT(BU$43,2)&gt;RIGHT($K189,2),AY189,0))</f>
        <v>0</v>
      </c>
      <c r="BV189" s="387">
        <f>+IF($K189="Ongoing",AZ189,IF(RIGHT($K189,2)=RIGHT(BV$43,2),SUM($AX189:AZ189),0)+IF(RIGHT(BV$43,2)&gt;RIGHT($K189,2),AZ189,0))</f>
        <v>0</v>
      </c>
      <c r="BW189" s="387">
        <f>+IF($K189="Ongoing",BA189,IF(RIGHT($K189,2)=RIGHT(BW$43,2),SUM($AX189:BA189),0)+IF(RIGHT(BW$43,2)&gt;RIGHT($K189,2),BA189,0))</f>
        <v>0</v>
      </c>
      <c r="BX189" s="1283">
        <f>+IF($K189="Ongoing",BB189,IF(RIGHT($K189,2)=RIGHT(BX$43,2),SUM($AX189:BB189),0)+IF(RIGHT(BX$43,2)&gt;RIGHT($K189,2),BB189,0))</f>
        <v>0</v>
      </c>
      <c r="BY189" s="386">
        <f>+IF($K189="Ongoing",BC189,IF(RIGHT($K189,2)=RIGHT(BY$43,2),SUM($AX189:BC189),0)+IF(RIGHT(BY$43,2)&gt;RIGHT($K189,2),BC189,0))</f>
        <v>0</v>
      </c>
      <c r="BZ189" s="387">
        <f>+IF($K189="Ongoing",BD189,IF(RIGHT($K189,2)=RIGHT(BZ$43,2),SUM($AX189:BD189),0)+IF(RIGHT(BZ$43,2)&gt;RIGHT($K189,2),BD189,0))</f>
        <v>0</v>
      </c>
      <c r="CA189" s="1277">
        <f>+IF($K189="Ongoing",BE189,IF(RIGHT($K189,2)=RIGHT(CA$43,2),SUM($AX189:BE189),0)+IF(RIGHT(CA$43,2)&gt;RIGHT($K189,2),BE189,0))</f>
        <v>0</v>
      </c>
      <c r="CB189" s="1277">
        <f>+IF($K189="Ongoing",BF189,IF(RIGHT($K189,2)=RIGHT(CB$43,2),SUM($AX189:BF189),0)+IF(RIGHT(CB$43,2)&gt;RIGHT($K189,2),BF189,0))</f>
        <v>0</v>
      </c>
      <c r="CC189" s="388">
        <f>+IF($K189="Ongoing",BG189,IF(RIGHT($K189,2)=RIGHT(CC$43,2),SUM($AX189:BG189),0)+IF(RIGHT(CC$43,2)&gt;RIGHT($K189,2),BG189,0))</f>
        <v>0</v>
      </c>
      <c r="CD189" s="1025"/>
      <c r="CE189" s="1282">
        <f>+Q189*KeyAssumptionsPriceControl_FO!AF$15</f>
        <v>0</v>
      </c>
      <c r="CF189" s="387">
        <f>+R189*KeyAssumptionsPriceControl_FO!AG$15</f>
        <v>0</v>
      </c>
      <c r="CG189" s="387">
        <f>+S189*KeyAssumptionsPriceControl_FO!AH$15</f>
        <v>0</v>
      </c>
      <c r="CH189" s="387">
        <f>+T189*KeyAssumptionsPriceControl_FO!AI$15</f>
        <v>0</v>
      </c>
      <c r="CI189" s="1283">
        <f>+U189*KeyAssumptionsPriceControl_FO!AJ$15</f>
        <v>0</v>
      </c>
      <c r="CJ189" s="386">
        <f>+V189*KeyAssumptionsPriceControl_FO!AK$15</f>
        <v>0</v>
      </c>
      <c r="CK189" s="387">
        <f>+W189*KeyAssumptionsPriceControl_FO!AL$15</f>
        <v>0</v>
      </c>
      <c r="CL189" s="1277">
        <f>+X189*KeyAssumptionsPriceControl_FO!AM$15</f>
        <v>0</v>
      </c>
      <c r="CM189" s="1277">
        <f>+Y189*KeyAssumptionsPriceControl_FO!AN$15</f>
        <v>0</v>
      </c>
      <c r="CN189" s="388">
        <f>+Z189*KeyAssumptionsPriceControl_FO!AO$15</f>
        <v>0</v>
      </c>
      <c r="CO189" s="1025"/>
      <c r="CP189" s="1282">
        <f t="shared" ca="1" si="324"/>
        <v>0</v>
      </c>
      <c r="CQ189" s="387">
        <f t="shared" ca="1" si="325"/>
        <v>0</v>
      </c>
      <c r="CR189" s="387">
        <f t="shared" ca="1" si="326"/>
        <v>0</v>
      </c>
      <c r="CS189" s="387">
        <f t="shared" ca="1" si="327"/>
        <v>0</v>
      </c>
      <c r="CT189" s="1283">
        <f t="shared" ca="1" si="328"/>
        <v>0</v>
      </c>
      <c r="CU189" s="386">
        <f t="shared" ca="1" si="329"/>
        <v>0</v>
      </c>
      <c r="CV189" s="387">
        <f t="shared" ca="1" si="330"/>
        <v>0</v>
      </c>
      <c r="CW189" s="1277">
        <f t="shared" ca="1" si="331"/>
        <v>0</v>
      </c>
      <c r="CX189" s="1277">
        <f t="shared" ca="1" si="332"/>
        <v>0</v>
      </c>
      <c r="CY189" s="388">
        <f t="shared" ca="1" si="333"/>
        <v>0</v>
      </c>
      <c r="CZ189" s="347"/>
      <c r="DA189" s="852"/>
      <c r="DB189" s="347"/>
      <c r="DC189" s="1012" t="s">
        <v>710</v>
      </c>
      <c r="DD189" s="841" t="s">
        <v>518</v>
      </c>
      <c r="DE189" s="386">
        <f>+IF($K189="ongoing",CE189,IF(RIGHT($K189,2)=RIGHT(DE$43,2),SUM($CD189:CE189),0)+IF(RIGHT(DE$43,2)&gt;RIGHT($K189,2),CE189,0))</f>
        <v>0</v>
      </c>
      <c r="DF189" s="387">
        <f>+IF($K189="ongoing",CF189,IF(RIGHT($K189,2)=RIGHT(DF$43,2),SUM($CD189:CF189),0)+IF(RIGHT(DF$43,2)&gt;RIGHT($K189,2),CF189,0))</f>
        <v>0</v>
      </c>
      <c r="DG189" s="388">
        <f>+IF($K189="ongoing",CG189,IF(RIGHT($K189,2)=RIGHT(DG$43,2),SUM($CD189:CG189),0)+IF(RIGHT(DG$43,2)&gt;RIGHT($K189,2),CG189,0))</f>
        <v>0</v>
      </c>
      <c r="DH189" s="386">
        <f>+IF($K189="ongoing",CH189,IF(RIGHT($K189,2)=RIGHT(DH$43,2),SUM($CD189:CH189),0)+IF(RIGHT(DH$43,2)&gt;RIGHT($K189,2),CH189,0))</f>
        <v>0</v>
      </c>
      <c r="DI189" s="387">
        <f>+IF($K189="ongoing",CI189,IF(RIGHT($K189,2)=RIGHT(DI$43,2),SUM($CD189:CI189),0)+IF(RIGHT(DI$43,2)&gt;RIGHT($K189,2),CI189,0))</f>
        <v>0</v>
      </c>
      <c r="DJ189" s="387">
        <f>+IF($K189="ongoing",CJ189,IF(RIGHT($K189,2)=RIGHT(DJ$43,2),SUM($CD189:CJ189),0)+IF(RIGHT(DJ$43,2)&gt;RIGHT($K189,2),CJ189,0))</f>
        <v>0</v>
      </c>
      <c r="DK189" s="387">
        <f>+IF($K189="ongoing",CK189,IF(RIGHT($K189,2)=RIGHT(DK$43,2),SUM($CD189:CK189),0)+IF(RIGHT(DK$43,2)&gt;RIGHT($K189,2),CK189,0))</f>
        <v>0</v>
      </c>
      <c r="DL189" s="388">
        <f>+IF($K189="ongoing",CN189,IF(RIGHT($K189,2)=RIGHT(DL$43,2),SUM($CD189:CN189),0)+IF(RIGHT(DL$43,2)&gt;RIGHT($K189,2),CN189,0))</f>
        <v>0</v>
      </c>
      <c r="DM189" s="841"/>
      <c r="DN189" s="386">
        <f t="shared" si="334"/>
        <v>0.5</v>
      </c>
      <c r="DO189" s="387">
        <f t="shared" si="335"/>
        <v>1</v>
      </c>
      <c r="DP189" s="388">
        <f t="shared" si="336"/>
        <v>1</v>
      </c>
      <c r="DQ189" s="386">
        <f t="shared" si="337"/>
        <v>1</v>
      </c>
      <c r="DR189" s="387">
        <f t="shared" si="338"/>
        <v>1</v>
      </c>
      <c r="DS189" s="387">
        <f t="shared" si="339"/>
        <v>1</v>
      </c>
      <c r="DT189" s="387">
        <f t="shared" si="340"/>
        <v>1</v>
      </c>
      <c r="DU189" s="388">
        <f t="shared" si="341"/>
        <v>1</v>
      </c>
      <c r="DW189" s="386">
        <f t="shared" si="342"/>
        <v>0</v>
      </c>
      <c r="DX189" s="387">
        <f t="shared" si="343"/>
        <v>0.5</v>
      </c>
      <c r="DY189" s="388">
        <f t="shared" si="344"/>
        <v>1</v>
      </c>
      <c r="DZ189" s="386">
        <f t="shared" si="345"/>
        <v>1</v>
      </c>
      <c r="EA189" s="387">
        <f t="shared" si="346"/>
        <v>1</v>
      </c>
      <c r="EB189" s="387">
        <f t="shared" si="347"/>
        <v>1</v>
      </c>
      <c r="EC189" s="387">
        <f t="shared" si="348"/>
        <v>1</v>
      </c>
      <c r="ED189" s="388">
        <f t="shared" si="349"/>
        <v>1</v>
      </c>
      <c r="EF189" s="834">
        <f>+IF(DN189=DM189,0,
IF(AND(EF$44&gt;1,DN189=$N189),1-SUM($EE189:EE189),
IF($N189&lt;=1,
IF($N189&gt;0,1/$N189,0),
IF(EF$44=1,0,VDB(1,0,$N189,INT(EF$44-1-1),MIN($N189,INT(EF$44-1-1)+1),$DC189,IF($DD189="No",1,0))/
IF(DM189&gt;=INT($N189),$N189-INT($N189),1)))*
IF(EF$44=1,0,
IF(INT(DN189)=INT(DM189),DN189-DM189,INT(DN189)-DM189))+
IF($N189&lt;=1,
IF($N189&gt;0,1/$N189,0),VDB(1,0,$N189,INT(EF$44-1),MIN($N189,INT(EF$44-1)+1),$DC189,IF($DD189="No",1,0))/
IF(DN189&gt;INT($N189),$N189-INT($N189),1))*
IF(EF$44=1,DN189,
IF(INT(DN189)=INT(DM189),0,DN189-INT(DN189)))))</f>
        <v>0</v>
      </c>
      <c r="EG189" s="835">
        <f>+IF(DO189=DN189,0,
IF(AND(EG$44&gt;1,DO189=$N189),1-SUM($EE189:EF189),
IF($N189&lt;=1,
IF($N189&gt;0,1/$N189,0),
IF(EG$44=1,0,VDB(1,0,$N189,INT(EG$44-1-1),MIN($N189,INT(EG$44-1-1)+1),$DC189,IF($DD189="No",1,0))/
IF(DN189&gt;=INT($N189),$N189-INT($N189),1)))*
IF(EG$44=1,0,
IF(INT(DO189)=INT(DN189),DO189-DN189,INT(DO189)-DN189))+
IF($N189&lt;=1,
IF($N189&gt;0,1/$N189,0),VDB(1,0,$N189,INT(EG$44-1),MIN($N189,INT(EG$44-1)+1),$DC189,IF($DD189="No",1,0))/
IF(DO189&gt;INT($N189),$N189-INT($N189),1))*
IF(EG$44=1,DO189,
IF(INT(DO189)=INT(DN189),0,DO189-INT(DO189)))))</f>
        <v>0</v>
      </c>
      <c r="EH189" s="836">
        <f>+IF(DP189=DO189,0,
IF(AND(EH$44&gt;1,DP189=$N189),1-SUM($EE189:EG189),
IF($N189&lt;=1,
IF($N189&gt;0,1/$N189,0),
IF(EH$44=1,0,VDB(1,0,$N189,INT(EH$44-1-1),MIN($N189,INT(EH$44-1-1)+1),$DC189,IF($DD189="No",1,0))/
IF(DO189&gt;=INT($N189),$N189-INT($N189),1)))*
IF(EH$44=1,0,
IF(INT(DP189)=INT(DO189),DP189-DO189,INT(DP189)-DO189))+
IF($N189&lt;=1,
IF($N189&gt;0,1/$N189,0),VDB(1,0,$N189,INT(EH$44-1),MIN($N189,INT(EH$44-1)+1),$DC189,IF($DD189="No",1,0))/
IF(DP189&gt;INT($N189),$N189-INT($N189),1))*
IF(EH$44=1,DP189,
IF(INT(DP189)=INT(DO189),0,DP189-INT(DP189)))))</f>
        <v>0</v>
      </c>
      <c r="EI189" s="834">
        <f>+IF(DQ189=DP189,0,
IF(AND(EI$44&gt;1,DQ189=$N189),1-SUM($EE189:EH189),
IF($N189&lt;=1,
IF($N189&gt;0,1/$N189,0),
IF(EI$44=1,0,VDB(1,0,$N189,INT(EI$44-1-1),MIN($N189,INT(EI$44-1-1)+1),$DC189,IF($DD189="No",1,0))/
IF(DP189&gt;=INT($N189),$N189-INT($N189),1)))*
IF(EI$44=1,0,
IF(INT(DQ189)=INT(DP189),DQ189-DP189,INT(DQ189)-DP189))+
IF($N189&lt;=1,
IF($N189&gt;0,1/$N189,0),VDB(1,0,$N189,INT(EI$44-1),MIN($N189,INT(EI$44-1)+1),$DC189,IF($DD189="No",1,0))/
IF(DQ189&gt;INT($N189),$N189-INT($N189),1))*
IF(EI$44=1,DQ189,
IF(INT(DQ189)=INT(DP189),0,DQ189-INT(DQ189)))))</f>
        <v>0</v>
      </c>
      <c r="EJ189" s="835">
        <f>+IF(DR189=DQ189,0,
IF(AND(EJ$44&gt;1,DR189=$N189),1-SUM($EE189:EI189),
IF($N189&lt;=1,
IF($N189&gt;0,1/$N189,0),
IF(EJ$44=1,0,VDB(1,0,$N189,INT(EJ$44-1-1),MIN($N189,INT(EJ$44-1-1)+1),$DC189,IF($DD189="No",1,0))/
IF(DQ189&gt;=INT($N189),$N189-INT($N189),1)))*
IF(EJ$44=1,0,
IF(INT(DR189)=INT(DQ189),DR189-DQ189,INT(DR189)-DQ189))+
IF($N189&lt;=1,
IF($N189&gt;0,1/$N189,0),VDB(1,0,$N189,INT(EJ$44-1),MIN($N189,INT(EJ$44-1)+1),$DC189,IF($DD189="No",1,0))/
IF(DR189&gt;INT($N189),$N189-INT($N189),1))*
IF(EJ$44=1,DR189,
IF(INT(DR189)=INT(DQ189),0,DR189-INT(DR189)))))</f>
        <v>0</v>
      </c>
      <c r="EK189" s="835">
        <f>+IF(DS189=DR189,0,
IF(AND(EK$44&gt;1,DS189=$N189),1-SUM($EE189:EJ189),
IF($N189&lt;=1,
IF($N189&gt;0,1/$N189,0),
IF(EK$44=1,0,VDB(1,0,$N189,INT(EK$44-1-1),MIN($N189,INT(EK$44-1-1)+1),$DC189,IF($DD189="No",1,0))/
IF(DR189&gt;=INT($N189),$N189-INT($N189),1)))*
IF(EK$44=1,0,
IF(INT(DS189)=INT(DR189),DS189-DR189,INT(DS189)-DR189))+
IF($N189&lt;=1,
IF($N189&gt;0,1/$N189,0),VDB(1,0,$N189,INT(EK$44-1),MIN($N189,INT(EK$44-1)+1),$DC189,IF($DD189="No",1,0))/
IF(DS189&gt;INT($N189),$N189-INT($N189),1))*
IF(EK$44=1,DS189,
IF(INT(DS189)=INT(DR189),0,DS189-INT(DS189)))))</f>
        <v>0</v>
      </c>
      <c r="EL189" s="835">
        <f>+IF(DT189=DS189,0,
IF(AND(EL$44&gt;1,DT189=$N189),1-SUM($EE189:EK189),
IF($N189&lt;=1,
IF($N189&gt;0,1/$N189,0),
IF(EL$44=1,0,VDB(1,0,$N189,INT(EL$44-1-1),MIN($N189,INT(EL$44-1-1)+1),$DC189,IF($DD189="No",1,0))/
IF(DS189&gt;=INT($N189),$N189-INT($N189),1)))*
IF(EL$44=1,0,
IF(INT(DT189)=INT(DS189),DT189-DS189,INT(DT189)-DS189))+
IF($N189&lt;=1,
IF($N189&gt;0,1/$N189,0),VDB(1,0,$N189,INT(EL$44-1),MIN($N189,INT(EL$44-1)+1),$DC189,IF($DD189="No",1,0))/
IF(DT189&gt;INT($N189),$N189-INT($N189),1))*
IF(EL$44=1,DT189,
IF(INT(DT189)=INT(DS189),0,DT189-INT(DT189)))))</f>
        <v>0</v>
      </c>
      <c r="EM189" s="836">
        <f>+IF(DU189=DT189,0,
IF(AND(EM$44&gt;1,DU189=$N189),1-SUM($EE189:EL189),
IF($N189&lt;=1,
IF($N189&gt;0,1/$N189,0),
IF(EM$44=1,0,VDB(1,0,$N189,INT(EM$44-1-1),MIN($N189,INT(EM$44-1-1)+1),$DC189,IF($DD189="No",1,0))/
IF(DT189&gt;=INT($N189),$N189-INT($N189),1)))*
IF(EM$44=1,0,
IF(INT(DU189)=INT(DT189),DU189-DT189,INT(DU189)-DT189))+
IF($N189&lt;=1,
IF($N189&gt;0,1/$N189,0),VDB(1,0,$N189,INT(EM$44-1),MIN($N189,INT(EM$44-1)+1),$DC189,IF($DD189="No",1,0))/
IF(DU189&gt;INT($N189),$N189-INT($N189),1))*
IF(EM$44=1,DU189,
IF(INT(DU189)=INT(DT189),0,DU189-INT(DU189)))))</f>
        <v>0</v>
      </c>
      <c r="EN189" s="833"/>
      <c r="EO189" s="834">
        <f>+IF(OR(DW189=DV189,EO$44=1),0,
IF(AND(EO$44&gt;1,DW189=$N189),1-SUM($EN189:EN189),
IF($N189&lt;=1,
IF($N189&gt;0,1/$N189,0),
IF(EO$44=2,0,VDB(1,0,$N189,INT(EO$44-2-1),MIN($N189,INT(EO$44-2-1)+1),$DC189,IF($DD189="No",1,0))/
IF(DV189&gt;=INT($N189),$N189-INT($N189),1)))*
IF(EO$44=2,0,
IF(INT(DW189)=INT(DV189),DW189-DV189,INT(DW189)-DV189))+
IF($N189&lt;=1,
IF($N189&gt;0,1/$N189,0),VDB(1,0,$N189,INT(EO$44-2),MIN($N189,INT(EO$44-2)+1),$DC189,IF($DD189="No",1,0))/
IF(DW189&gt;INT($N189),$N189-INT($N189),1))*
IF(EO$44=2,DW189,
IF(INT(DW189)=INT(DV189),0,DW189-INT(DW189)))))</f>
        <v>0</v>
      </c>
      <c r="EP189" s="835">
        <f>+IF(OR(DX189=DW189,EP$44=1),0,
IF(AND(EP$44&gt;1,DX189=$N189),1-SUM($EN189:EO189),
IF($N189&lt;=1,
IF($N189&gt;0,1/$N189,0),
IF(EP$44=2,0,VDB(1,0,$N189,INT(EP$44-2-1),MIN($N189,INT(EP$44-2-1)+1),$DC189,IF($DD189="No",1,0))/
IF(DW189&gt;=INT($N189),$N189-INT($N189),1)))*
IF(EP$44=2,0,
IF(INT(DX189)=INT(DW189),DX189-DW189,INT(DX189)-DW189))+
IF($N189&lt;=1,
IF($N189&gt;0,1/$N189,0),VDB(1,0,$N189,INT(EP$44-2),MIN($N189,INT(EP$44-2)+1),$DC189,IF($DD189="No",1,0))/
IF(DX189&gt;INT($N189),$N189-INT($N189),1))*
IF(EP$44=2,DX189,
IF(INT(DX189)=INT(DW189),0,DX189-INT(DX189)))))</f>
        <v>0</v>
      </c>
      <c r="EQ189" s="836">
        <f>+IF(OR(DY189=DX189,EQ$44=1),0,
IF(AND(EQ$44&gt;1,DY189=$N189),1-SUM($EN189:EP189),
IF($N189&lt;=1,
IF($N189&gt;0,1/$N189,0),
IF(EQ$44=2,0,VDB(1,0,$N189,INT(EQ$44-2-1),MIN($N189,INT(EQ$44-2-1)+1),$DC189,IF($DD189="No",1,0))/
IF(DX189&gt;=INT($N189),$N189-INT($N189),1)))*
IF(EQ$44=2,0,
IF(INT(DY189)=INT(DX189),DY189-DX189,INT(DY189)-DX189))+
IF($N189&lt;=1,
IF($N189&gt;0,1/$N189,0),VDB(1,0,$N189,INT(EQ$44-2),MIN($N189,INT(EQ$44-2)+1),$DC189,IF($DD189="No",1,0))/
IF(DY189&gt;INT($N189),$N189-INT($N189),1))*
IF(EQ$44=2,DY189,
IF(INT(DY189)=INT(DX189),0,DY189-INT(DY189)))))</f>
        <v>0</v>
      </c>
      <c r="ER189" s="834">
        <f>+IF(OR(DZ189=DY189,ER$44=1),0,
IF(AND(ER$44&gt;1,DZ189=$N189),1-SUM($EN189:EQ189),
IF($N189&lt;=1,
IF($N189&gt;0,1/$N189,0),
IF(ER$44=2,0,VDB(1,0,$N189,INT(ER$44-2-1),MIN($N189,INT(ER$44-2-1)+1),$DC189,IF($DD189="No",1,0))/
IF(DY189&gt;=INT($N189),$N189-INT($N189),1)))*
IF(ER$44=2,0,
IF(INT(DZ189)=INT(DY189),DZ189-DY189,INT(DZ189)-DY189))+
IF($N189&lt;=1,
IF($N189&gt;0,1/$N189,0),VDB(1,0,$N189,INT(ER$44-2),MIN($N189,INT(ER$44-2)+1),$DC189,IF($DD189="No",1,0))/
IF(DZ189&gt;INT($N189),$N189-INT($N189),1))*
IF(ER$44=2,DZ189,
IF(INT(DZ189)=INT(DY189),0,DZ189-INT(DZ189)))))</f>
        <v>0</v>
      </c>
      <c r="ES189" s="835">
        <f>+IF(OR(EA189=DZ189,ES$44=1),0,
IF(AND(ES$44&gt;1,EA189=$N189),1-SUM($EN189:ER189),
IF($N189&lt;=1,
IF($N189&gt;0,1/$N189,0),
IF(ES$44=2,0,VDB(1,0,$N189,INT(ES$44-2-1),MIN($N189,INT(ES$44-2-1)+1),$DC189,IF($DD189="No",1,0))/
IF(DZ189&gt;=INT($N189),$N189-INT($N189),1)))*
IF(ES$44=2,0,
IF(INT(EA189)=INT(DZ189),EA189-DZ189,INT(EA189)-DZ189))+
IF($N189&lt;=1,
IF($N189&gt;0,1/$N189,0),VDB(1,0,$N189,INT(ES$44-2),MIN($N189,INT(ES$44-2)+1),$DC189,IF($DD189="No",1,0))/
IF(EA189&gt;INT($N189),$N189-INT($N189),1))*
IF(ES$44=2,EA189,
IF(INT(EA189)=INT(DZ189),0,EA189-INT(EA189)))))</f>
        <v>0</v>
      </c>
      <c r="ET189" s="835">
        <f>+IF(OR(EB189=EA189,ET$44=1),0,
IF(AND(ET$44&gt;1,EB189=$N189),1-SUM($EN189:ES189),
IF($N189&lt;=1,
IF($N189&gt;0,1/$N189,0),
IF(ET$44=2,0,VDB(1,0,$N189,INT(ET$44-2-1),MIN($N189,INT(ET$44-2-1)+1),$DC189,IF($DD189="No",1,0))/
IF(EA189&gt;=INT($N189),$N189-INT($N189),1)))*
IF(ET$44=2,0,
IF(INT(EB189)=INT(EA189),EB189-EA189,INT(EB189)-EA189))+
IF($N189&lt;=1,
IF($N189&gt;0,1/$N189,0),VDB(1,0,$N189,INT(ET$44-2),MIN($N189,INT(ET$44-2)+1),$DC189,IF($DD189="No",1,0))/
IF(EB189&gt;INT($N189),$N189-INT($N189),1))*
IF(ET$44=2,EB189,
IF(INT(EB189)=INT(EA189),0,EB189-INT(EB189)))))</f>
        <v>0</v>
      </c>
      <c r="EU189" s="835">
        <f>+IF(OR(EC189=EB189,EU$44=1),0,
IF(AND(EU$44&gt;1,EC189=$N189),1-SUM($EN189:ET189),
IF($N189&lt;=1,
IF($N189&gt;0,1/$N189,0),
IF(EU$44=2,0,VDB(1,0,$N189,INT(EU$44-2-1),MIN($N189,INT(EU$44-2-1)+1),$DC189,IF($DD189="No",1,0))/
IF(EB189&gt;=INT($N189),$N189-INT($N189),1)))*
IF(EU$44=2,0,
IF(INT(EC189)=INT(EB189),EC189-EB189,INT(EC189)-EB189))+
IF($N189&lt;=1,
IF($N189&gt;0,1/$N189,0),VDB(1,0,$N189,INT(EU$44-2),MIN($N189,INT(EU$44-2)+1),$DC189,IF($DD189="No",1,0))/
IF(EC189&gt;INT($N189),$N189-INT($N189),1))*
IF(EU$44=2,EC189,
IF(INT(EC189)=INT(EB189),0,EC189-INT(EC189)))))</f>
        <v>0</v>
      </c>
      <c r="EV189" s="836">
        <f>+IF(OR(ED189=EC189,EV$44=1),0,
IF(AND(EV$44&gt;1,ED189=$N189),1-SUM($EN189:EU189),
IF($N189&lt;=1,
IF($N189&gt;0,1/$N189,0),
IF(EV$44=2,0,VDB(1,0,$N189,INT(EV$44-2-1),MIN($N189,INT(EV$44-2-1)+1),$DC189,IF($DD189="No",1,0))/
IF(EC189&gt;=INT($N189),$N189-INT($N189),1)))*
IF(EV$44=2,0,
IF(INT(ED189)=INT(EC189),ED189-EC189,INT(ED189)-EC189))+
IF($N189&lt;=1,
IF($N189&gt;0,1/$N189,0),VDB(1,0,$N189,INT(EV$44-2),MIN($N189,INT(EV$44-2)+1),$DC189,IF($DD189="No",1,0))/
IF(ED189&gt;INT($N189),$N189-INT($N189),1))*
IF(EV$44=2,ED189,
IF(INT(ED189)=INT(EC189),0,ED189-INT(ED189)))))</f>
        <v>0</v>
      </c>
      <c r="EW189" s="833"/>
      <c r="EX189" s="834">
        <f t="shared" ca="1" si="350"/>
        <v>0</v>
      </c>
      <c r="EY189" s="835">
        <f t="shared" ca="1" si="350"/>
        <v>0</v>
      </c>
      <c r="EZ189" s="836">
        <f t="shared" ca="1" si="350"/>
        <v>0</v>
      </c>
      <c r="FA189" s="834">
        <f t="shared" ca="1" si="350"/>
        <v>0</v>
      </c>
      <c r="FB189" s="835">
        <f t="shared" ca="1" si="350"/>
        <v>0</v>
      </c>
      <c r="FC189" s="835">
        <f t="shared" ca="1" si="350"/>
        <v>0</v>
      </c>
      <c r="FD189" s="835">
        <f t="shared" ca="1" si="350"/>
        <v>0</v>
      </c>
      <c r="FE189" s="836">
        <f t="shared" ca="1" si="350"/>
        <v>0</v>
      </c>
      <c r="FG189" s="386">
        <f t="shared" ca="1" si="351"/>
        <v>0</v>
      </c>
      <c r="FH189" s="387">
        <f t="shared" ca="1" si="352"/>
        <v>0</v>
      </c>
      <c r="FI189" s="388">
        <f t="shared" ca="1" si="353"/>
        <v>0</v>
      </c>
      <c r="FJ189" s="386">
        <f t="shared" ca="1" si="354"/>
        <v>0</v>
      </c>
      <c r="FK189" s="387">
        <f t="shared" ca="1" si="355"/>
        <v>0</v>
      </c>
      <c r="FL189" s="387">
        <f t="shared" ca="1" si="356"/>
        <v>0</v>
      </c>
      <c r="FM189" s="387">
        <f t="shared" ca="1" si="357"/>
        <v>0</v>
      </c>
      <c r="FN189" s="388">
        <f t="shared" ca="1" si="358"/>
        <v>0</v>
      </c>
      <c r="FR189" s="116"/>
    </row>
    <row r="190" spans="2:174">
      <c r="B190" s="1410">
        <f t="shared" si="302"/>
        <v>144</v>
      </c>
      <c r="C190" s="400"/>
      <c r="D190" s="410"/>
      <c r="E190" s="402"/>
      <c r="F190" s="402"/>
      <c r="G190" s="400"/>
      <c r="H190" s="2088"/>
      <c r="I190" s="2089"/>
      <c r="J190" s="411"/>
      <c r="K190" s="403"/>
      <c r="L190" s="403"/>
      <c r="M190" s="403"/>
      <c r="N190" s="403"/>
      <c r="O190" s="347"/>
      <c r="P190" s="347"/>
      <c r="Q190" s="1021"/>
      <c r="R190" s="1022"/>
      <c r="S190" s="1022"/>
      <c r="T190" s="1022"/>
      <c r="U190" s="1023"/>
      <c r="V190" s="1021"/>
      <c r="W190" s="1022"/>
      <c r="X190" s="1022"/>
      <c r="Y190" s="1022"/>
      <c r="Z190" s="1023"/>
      <c r="AA190" s="1024"/>
      <c r="AB190" s="1021"/>
      <c r="AC190" s="1022"/>
      <c r="AD190" s="1022"/>
      <c r="AE190" s="1022"/>
      <c r="AF190" s="1023"/>
      <c r="AG190" s="1021"/>
      <c r="AH190" s="1022"/>
      <c r="AI190" s="1022"/>
      <c r="AJ190" s="1022"/>
      <c r="AK190" s="1023"/>
      <c r="AL190" s="1024"/>
      <c r="AM190" s="1021"/>
      <c r="AN190" s="1022"/>
      <c r="AO190" s="1022"/>
      <c r="AP190" s="1022"/>
      <c r="AQ190" s="1023"/>
      <c r="AR190" s="1021"/>
      <c r="AS190" s="1022"/>
      <c r="AT190" s="1022"/>
      <c r="AU190" s="1022"/>
      <c r="AV190" s="1023"/>
      <c r="AW190" s="1025"/>
      <c r="AX190" s="1282">
        <f t="shared" si="304"/>
        <v>0</v>
      </c>
      <c r="AY190" s="387">
        <f t="shared" si="305"/>
        <v>0</v>
      </c>
      <c r="AZ190" s="387">
        <f t="shared" si="306"/>
        <v>0</v>
      </c>
      <c r="BA190" s="387">
        <f t="shared" si="307"/>
        <v>0</v>
      </c>
      <c r="BB190" s="1283">
        <f t="shared" si="308"/>
        <v>0</v>
      </c>
      <c r="BC190" s="386">
        <f t="shared" si="309"/>
        <v>0</v>
      </c>
      <c r="BD190" s="387">
        <f t="shared" si="310"/>
        <v>0</v>
      </c>
      <c r="BE190" s="1277">
        <f t="shared" si="311"/>
        <v>0</v>
      </c>
      <c r="BF190" s="1277">
        <f t="shared" si="312"/>
        <v>0</v>
      </c>
      <c r="BG190" s="388">
        <f t="shared" si="313"/>
        <v>0</v>
      </c>
      <c r="BH190" s="1025"/>
      <c r="BI190" s="1282">
        <f t="shared" ca="1" si="314"/>
        <v>0</v>
      </c>
      <c r="BJ190" s="387">
        <f t="shared" ca="1" si="315"/>
        <v>0</v>
      </c>
      <c r="BK190" s="387">
        <f t="shared" ca="1" si="316"/>
        <v>0</v>
      </c>
      <c r="BL190" s="387">
        <f t="shared" ca="1" si="317"/>
        <v>0</v>
      </c>
      <c r="BM190" s="1283">
        <f t="shared" ca="1" si="318"/>
        <v>0</v>
      </c>
      <c r="BN190" s="386">
        <f t="shared" ca="1" si="319"/>
        <v>0</v>
      </c>
      <c r="BO190" s="387">
        <f t="shared" ca="1" si="320"/>
        <v>0</v>
      </c>
      <c r="BP190" s="1277">
        <f t="shared" ca="1" si="321"/>
        <v>0</v>
      </c>
      <c r="BQ190" s="1277">
        <f t="shared" ca="1" si="322"/>
        <v>0</v>
      </c>
      <c r="BR190" s="388">
        <f t="shared" ca="1" si="323"/>
        <v>0</v>
      </c>
      <c r="BS190" s="1025"/>
      <c r="BT190" s="1282">
        <f>+IF($K190="Ongoing",AX190,IF(RIGHT($K190,2)=RIGHT(BT$43,2),SUM($AX190:AX190),0)+IF(RIGHT(BT$43,2)&gt;RIGHT($K190,2),AX190,0))</f>
        <v>0</v>
      </c>
      <c r="BU190" s="387">
        <f>+IF($K190="Ongoing",AY190,IF(RIGHT($K190,2)=RIGHT(BU$43,2),SUM($AX190:AY190),0)+IF(RIGHT(BU$43,2)&gt;RIGHT($K190,2),AY190,0))</f>
        <v>0</v>
      </c>
      <c r="BV190" s="387">
        <f>+IF($K190="Ongoing",AZ190,IF(RIGHT($K190,2)=RIGHT(BV$43,2),SUM($AX190:AZ190),0)+IF(RIGHT(BV$43,2)&gt;RIGHT($K190,2),AZ190,0))</f>
        <v>0</v>
      </c>
      <c r="BW190" s="387">
        <f>+IF($K190="Ongoing",BA190,IF(RIGHT($K190,2)=RIGHT(BW$43,2),SUM($AX190:BA190),0)+IF(RIGHT(BW$43,2)&gt;RIGHT($K190,2),BA190,0))</f>
        <v>0</v>
      </c>
      <c r="BX190" s="1283">
        <f>+IF($K190="Ongoing",BB190,IF(RIGHT($K190,2)=RIGHT(BX$43,2),SUM($AX190:BB190),0)+IF(RIGHT(BX$43,2)&gt;RIGHT($K190,2),BB190,0))</f>
        <v>0</v>
      </c>
      <c r="BY190" s="386">
        <f>+IF($K190="Ongoing",BC190,IF(RIGHT($K190,2)=RIGHT(BY$43,2),SUM($AX190:BC190),0)+IF(RIGHT(BY$43,2)&gt;RIGHT($K190,2),BC190,0))</f>
        <v>0</v>
      </c>
      <c r="BZ190" s="387">
        <f>+IF($K190="Ongoing",BD190,IF(RIGHT($K190,2)=RIGHT(BZ$43,2),SUM($AX190:BD190),0)+IF(RIGHT(BZ$43,2)&gt;RIGHT($K190,2),BD190,0))</f>
        <v>0</v>
      </c>
      <c r="CA190" s="1277">
        <f>+IF($K190="Ongoing",BE190,IF(RIGHT($K190,2)=RIGHT(CA$43,2),SUM($AX190:BE190),0)+IF(RIGHT(CA$43,2)&gt;RIGHT($K190,2),BE190,0))</f>
        <v>0</v>
      </c>
      <c r="CB190" s="1277">
        <f>+IF($K190="Ongoing",BF190,IF(RIGHT($K190,2)=RIGHT(CB$43,2),SUM($AX190:BF190),0)+IF(RIGHT(CB$43,2)&gt;RIGHT($K190,2),BF190,0))</f>
        <v>0</v>
      </c>
      <c r="CC190" s="388">
        <f>+IF($K190="Ongoing",BG190,IF(RIGHT($K190,2)=RIGHT(CC$43,2),SUM($AX190:BG190),0)+IF(RIGHT(CC$43,2)&gt;RIGHT($K190,2),BG190,0))</f>
        <v>0</v>
      </c>
      <c r="CD190" s="1025"/>
      <c r="CE190" s="1282">
        <f>+Q190*KeyAssumptionsPriceControl_FO!AF$15</f>
        <v>0</v>
      </c>
      <c r="CF190" s="387">
        <f>+R190*KeyAssumptionsPriceControl_FO!AG$15</f>
        <v>0</v>
      </c>
      <c r="CG190" s="387">
        <f>+S190*KeyAssumptionsPriceControl_FO!AH$15</f>
        <v>0</v>
      </c>
      <c r="CH190" s="387">
        <f>+T190*KeyAssumptionsPriceControl_FO!AI$15</f>
        <v>0</v>
      </c>
      <c r="CI190" s="1283">
        <f>+U190*KeyAssumptionsPriceControl_FO!AJ$15</f>
        <v>0</v>
      </c>
      <c r="CJ190" s="386">
        <f>+V190*KeyAssumptionsPriceControl_FO!AK$15</f>
        <v>0</v>
      </c>
      <c r="CK190" s="387">
        <f>+W190*KeyAssumptionsPriceControl_FO!AL$15</f>
        <v>0</v>
      </c>
      <c r="CL190" s="1277">
        <f>+X190*KeyAssumptionsPriceControl_FO!AM$15</f>
        <v>0</v>
      </c>
      <c r="CM190" s="1277">
        <f>+Y190*KeyAssumptionsPriceControl_FO!AN$15</f>
        <v>0</v>
      </c>
      <c r="CN190" s="388">
        <f>+Z190*KeyAssumptionsPriceControl_FO!AO$15</f>
        <v>0</v>
      </c>
      <c r="CO190" s="1025"/>
      <c r="CP190" s="1282">
        <f t="shared" ca="1" si="324"/>
        <v>0</v>
      </c>
      <c r="CQ190" s="387">
        <f t="shared" ca="1" si="325"/>
        <v>0</v>
      </c>
      <c r="CR190" s="387">
        <f t="shared" ca="1" si="326"/>
        <v>0</v>
      </c>
      <c r="CS190" s="387">
        <f t="shared" ca="1" si="327"/>
        <v>0</v>
      </c>
      <c r="CT190" s="1283">
        <f t="shared" ca="1" si="328"/>
        <v>0</v>
      </c>
      <c r="CU190" s="386">
        <f t="shared" ca="1" si="329"/>
        <v>0</v>
      </c>
      <c r="CV190" s="387">
        <f t="shared" ca="1" si="330"/>
        <v>0</v>
      </c>
      <c r="CW190" s="1277">
        <f t="shared" ca="1" si="331"/>
        <v>0</v>
      </c>
      <c r="CX190" s="1277">
        <f t="shared" ca="1" si="332"/>
        <v>0</v>
      </c>
      <c r="CY190" s="388">
        <f t="shared" ca="1" si="333"/>
        <v>0</v>
      </c>
      <c r="CZ190" s="347"/>
      <c r="DA190" s="852"/>
      <c r="DB190" s="347"/>
      <c r="DC190" s="1012" t="s">
        <v>711</v>
      </c>
      <c r="DD190" s="841" t="s">
        <v>518</v>
      </c>
      <c r="DE190" s="386">
        <f>+IF($K190="ongoing",CE190,IF(RIGHT($K190,2)=RIGHT(DE$43,2),SUM($CD190:CE190),0)+IF(RIGHT(DE$43,2)&gt;RIGHT($K190,2),CE190,0))</f>
        <v>0</v>
      </c>
      <c r="DF190" s="387">
        <f>+IF($K190="ongoing",CF190,IF(RIGHT($K190,2)=RIGHT(DF$43,2),SUM($CD190:CF190),0)+IF(RIGHT(DF$43,2)&gt;RIGHT($K190,2),CF190,0))</f>
        <v>0</v>
      </c>
      <c r="DG190" s="388">
        <f>+IF($K190="ongoing",CG190,IF(RIGHT($K190,2)=RIGHT(DG$43,2),SUM($CD190:CG190),0)+IF(RIGHT(DG$43,2)&gt;RIGHT($K190,2),CG190,0))</f>
        <v>0</v>
      </c>
      <c r="DH190" s="386">
        <f>+IF($K190="ongoing",CH190,IF(RIGHT($K190,2)=RIGHT(DH$43,2),SUM($CD190:CH190),0)+IF(RIGHT(DH$43,2)&gt;RIGHT($K190,2),CH190,0))</f>
        <v>0</v>
      </c>
      <c r="DI190" s="387">
        <f>+IF($K190="ongoing",CI190,IF(RIGHT($K190,2)=RIGHT(DI$43,2),SUM($CD190:CI190),0)+IF(RIGHT(DI$43,2)&gt;RIGHT($K190,2),CI190,0))</f>
        <v>0</v>
      </c>
      <c r="DJ190" s="387">
        <f>+IF($K190="ongoing",CJ190,IF(RIGHT($K190,2)=RIGHT(DJ$43,2),SUM($CD190:CJ190),0)+IF(RIGHT(DJ$43,2)&gt;RIGHT($K190,2),CJ190,0))</f>
        <v>0</v>
      </c>
      <c r="DK190" s="387">
        <f>+IF($K190="ongoing",CK190,IF(RIGHT($K190,2)=RIGHT(DK$43,2),SUM($CD190:CK190),0)+IF(RIGHT(DK$43,2)&gt;RIGHT($K190,2),CK190,0))</f>
        <v>0</v>
      </c>
      <c r="DL190" s="388">
        <f>+IF($K190="ongoing",CN190,IF(RIGHT($K190,2)=RIGHT(DL$43,2),SUM($CD190:CN190),0)+IF(RIGHT(DL$43,2)&gt;RIGHT($K190,2),CN190,0))</f>
        <v>0</v>
      </c>
      <c r="DM190" s="841"/>
      <c r="DN190" s="386">
        <f t="shared" si="334"/>
        <v>0.5</v>
      </c>
      <c r="DO190" s="387">
        <f t="shared" si="335"/>
        <v>1</v>
      </c>
      <c r="DP190" s="388">
        <f t="shared" si="336"/>
        <v>1</v>
      </c>
      <c r="DQ190" s="386">
        <f t="shared" si="337"/>
        <v>1</v>
      </c>
      <c r="DR190" s="387">
        <f t="shared" si="338"/>
        <v>1</v>
      </c>
      <c r="DS190" s="387">
        <f t="shared" si="339"/>
        <v>1</v>
      </c>
      <c r="DT190" s="387">
        <f t="shared" si="340"/>
        <v>1</v>
      </c>
      <c r="DU190" s="388">
        <f t="shared" si="341"/>
        <v>1</v>
      </c>
      <c r="DW190" s="386">
        <f t="shared" si="342"/>
        <v>0</v>
      </c>
      <c r="DX190" s="387">
        <f t="shared" si="343"/>
        <v>0.5</v>
      </c>
      <c r="DY190" s="388">
        <f t="shared" si="344"/>
        <v>1</v>
      </c>
      <c r="DZ190" s="386">
        <f t="shared" si="345"/>
        <v>1</v>
      </c>
      <c r="EA190" s="387">
        <f t="shared" si="346"/>
        <v>1</v>
      </c>
      <c r="EB190" s="387">
        <f t="shared" si="347"/>
        <v>1</v>
      </c>
      <c r="EC190" s="387">
        <f t="shared" si="348"/>
        <v>1</v>
      </c>
      <c r="ED190" s="388">
        <f t="shared" si="349"/>
        <v>1</v>
      </c>
      <c r="EF190" s="834">
        <f>+IF(DN190=DM190,0,
IF(AND(EF$44&gt;1,DN190=$N190),1-SUM($EE190:EE190),
IF($N190&lt;=1,
IF($N190&gt;0,1/$N190,0),
IF(EF$44=1,0,VDB(1,0,$N190,INT(EF$44-1-1),MIN($N190,INT(EF$44-1-1)+1),$DC190,IF($DD190="No",1,0))/
IF(DM190&gt;=INT($N190),$N190-INT($N190),1)))*
IF(EF$44=1,0,
IF(INT(DN190)=INT(DM190),DN190-DM190,INT(DN190)-DM190))+
IF($N190&lt;=1,
IF($N190&gt;0,1/$N190,0),VDB(1,0,$N190,INT(EF$44-1),MIN($N190,INT(EF$44-1)+1),$DC190,IF($DD190="No",1,0))/
IF(DN190&gt;INT($N190),$N190-INT($N190),1))*
IF(EF$44=1,DN190,
IF(INT(DN190)=INT(DM190),0,DN190-INT(DN190)))))</f>
        <v>0</v>
      </c>
      <c r="EG190" s="835">
        <f>+IF(DO190=DN190,0,
IF(AND(EG$44&gt;1,DO190=$N190),1-SUM($EE190:EF190),
IF($N190&lt;=1,
IF($N190&gt;0,1/$N190,0),
IF(EG$44=1,0,VDB(1,0,$N190,INT(EG$44-1-1),MIN($N190,INT(EG$44-1-1)+1),$DC190,IF($DD190="No",1,0))/
IF(DN190&gt;=INT($N190),$N190-INT($N190),1)))*
IF(EG$44=1,0,
IF(INT(DO190)=INT(DN190),DO190-DN190,INT(DO190)-DN190))+
IF($N190&lt;=1,
IF($N190&gt;0,1/$N190,0),VDB(1,0,$N190,INT(EG$44-1),MIN($N190,INT(EG$44-1)+1),$DC190,IF($DD190="No",1,0))/
IF(DO190&gt;INT($N190),$N190-INT($N190),1))*
IF(EG$44=1,DO190,
IF(INT(DO190)=INT(DN190),0,DO190-INT(DO190)))))</f>
        <v>0</v>
      </c>
      <c r="EH190" s="836">
        <f>+IF(DP190=DO190,0,
IF(AND(EH$44&gt;1,DP190=$N190),1-SUM($EE190:EG190),
IF($N190&lt;=1,
IF($N190&gt;0,1/$N190,0),
IF(EH$44=1,0,VDB(1,0,$N190,INT(EH$44-1-1),MIN($N190,INT(EH$44-1-1)+1),$DC190,IF($DD190="No",1,0))/
IF(DO190&gt;=INT($N190),$N190-INT($N190),1)))*
IF(EH$44=1,0,
IF(INT(DP190)=INT(DO190),DP190-DO190,INT(DP190)-DO190))+
IF($N190&lt;=1,
IF($N190&gt;0,1/$N190,0),VDB(1,0,$N190,INT(EH$44-1),MIN($N190,INT(EH$44-1)+1),$DC190,IF($DD190="No",1,0))/
IF(DP190&gt;INT($N190),$N190-INT($N190),1))*
IF(EH$44=1,DP190,
IF(INT(DP190)=INT(DO190),0,DP190-INT(DP190)))))</f>
        <v>0</v>
      </c>
      <c r="EI190" s="834">
        <f>+IF(DQ190=DP190,0,
IF(AND(EI$44&gt;1,DQ190=$N190),1-SUM($EE190:EH190),
IF($N190&lt;=1,
IF($N190&gt;0,1/$N190,0),
IF(EI$44=1,0,VDB(1,0,$N190,INT(EI$44-1-1),MIN($N190,INT(EI$44-1-1)+1),$DC190,IF($DD190="No",1,0))/
IF(DP190&gt;=INT($N190),$N190-INT($N190),1)))*
IF(EI$44=1,0,
IF(INT(DQ190)=INT(DP190),DQ190-DP190,INT(DQ190)-DP190))+
IF($N190&lt;=1,
IF($N190&gt;0,1/$N190,0),VDB(1,0,$N190,INT(EI$44-1),MIN($N190,INT(EI$44-1)+1),$DC190,IF($DD190="No",1,0))/
IF(DQ190&gt;INT($N190),$N190-INT($N190),1))*
IF(EI$44=1,DQ190,
IF(INT(DQ190)=INT(DP190),0,DQ190-INT(DQ190)))))</f>
        <v>0</v>
      </c>
      <c r="EJ190" s="835">
        <f>+IF(DR190=DQ190,0,
IF(AND(EJ$44&gt;1,DR190=$N190),1-SUM($EE190:EI190),
IF($N190&lt;=1,
IF($N190&gt;0,1/$N190,0),
IF(EJ$44=1,0,VDB(1,0,$N190,INT(EJ$44-1-1),MIN($N190,INT(EJ$44-1-1)+1),$DC190,IF($DD190="No",1,0))/
IF(DQ190&gt;=INT($N190),$N190-INT($N190),1)))*
IF(EJ$44=1,0,
IF(INT(DR190)=INT(DQ190),DR190-DQ190,INT(DR190)-DQ190))+
IF($N190&lt;=1,
IF($N190&gt;0,1/$N190,0),VDB(1,0,$N190,INT(EJ$44-1),MIN($N190,INT(EJ$44-1)+1),$DC190,IF($DD190="No",1,0))/
IF(DR190&gt;INT($N190),$N190-INT($N190),1))*
IF(EJ$44=1,DR190,
IF(INT(DR190)=INT(DQ190),0,DR190-INT(DR190)))))</f>
        <v>0</v>
      </c>
      <c r="EK190" s="835">
        <f>+IF(DS190=DR190,0,
IF(AND(EK$44&gt;1,DS190=$N190),1-SUM($EE190:EJ190),
IF($N190&lt;=1,
IF($N190&gt;0,1/$N190,0),
IF(EK$44=1,0,VDB(1,0,$N190,INT(EK$44-1-1),MIN($N190,INT(EK$44-1-1)+1),$DC190,IF($DD190="No",1,0))/
IF(DR190&gt;=INT($N190),$N190-INT($N190),1)))*
IF(EK$44=1,0,
IF(INT(DS190)=INT(DR190),DS190-DR190,INT(DS190)-DR190))+
IF($N190&lt;=1,
IF($N190&gt;0,1/$N190,0),VDB(1,0,$N190,INT(EK$44-1),MIN($N190,INT(EK$44-1)+1),$DC190,IF($DD190="No",1,0))/
IF(DS190&gt;INT($N190),$N190-INT($N190),1))*
IF(EK$44=1,DS190,
IF(INT(DS190)=INT(DR190),0,DS190-INT(DS190)))))</f>
        <v>0</v>
      </c>
      <c r="EL190" s="835">
        <f>+IF(DT190=DS190,0,
IF(AND(EL$44&gt;1,DT190=$N190),1-SUM($EE190:EK190),
IF($N190&lt;=1,
IF($N190&gt;0,1/$N190,0),
IF(EL$44=1,0,VDB(1,0,$N190,INT(EL$44-1-1),MIN($N190,INT(EL$44-1-1)+1),$DC190,IF($DD190="No",1,0))/
IF(DS190&gt;=INT($N190),$N190-INT($N190),1)))*
IF(EL$44=1,0,
IF(INT(DT190)=INT(DS190),DT190-DS190,INT(DT190)-DS190))+
IF($N190&lt;=1,
IF($N190&gt;0,1/$N190,0),VDB(1,0,$N190,INT(EL$44-1),MIN($N190,INT(EL$44-1)+1),$DC190,IF($DD190="No",1,0))/
IF(DT190&gt;INT($N190),$N190-INT($N190),1))*
IF(EL$44=1,DT190,
IF(INT(DT190)=INT(DS190),0,DT190-INT(DT190)))))</f>
        <v>0</v>
      </c>
      <c r="EM190" s="836">
        <f>+IF(DU190=DT190,0,
IF(AND(EM$44&gt;1,DU190=$N190),1-SUM($EE190:EL190),
IF($N190&lt;=1,
IF($N190&gt;0,1/$N190,0),
IF(EM$44=1,0,VDB(1,0,$N190,INT(EM$44-1-1),MIN($N190,INT(EM$44-1-1)+1),$DC190,IF($DD190="No",1,0))/
IF(DT190&gt;=INT($N190),$N190-INT($N190),1)))*
IF(EM$44=1,0,
IF(INT(DU190)=INT(DT190),DU190-DT190,INT(DU190)-DT190))+
IF($N190&lt;=1,
IF($N190&gt;0,1/$N190,0),VDB(1,0,$N190,INT(EM$44-1),MIN($N190,INT(EM$44-1)+1),$DC190,IF($DD190="No",1,0))/
IF(DU190&gt;INT($N190),$N190-INT($N190),1))*
IF(EM$44=1,DU190,
IF(INT(DU190)=INT(DT190),0,DU190-INT(DU190)))))</f>
        <v>0</v>
      </c>
      <c r="EN190" s="833"/>
      <c r="EO190" s="834">
        <f>+IF(OR(DW190=DV190,EO$44=1),0,
IF(AND(EO$44&gt;1,DW190=$N190),1-SUM($EN190:EN190),
IF($N190&lt;=1,
IF($N190&gt;0,1/$N190,0),
IF(EO$44=2,0,VDB(1,0,$N190,INT(EO$44-2-1),MIN($N190,INT(EO$44-2-1)+1),$DC190,IF($DD190="No",1,0))/
IF(DV190&gt;=INT($N190),$N190-INT($N190),1)))*
IF(EO$44=2,0,
IF(INT(DW190)=INT(DV190),DW190-DV190,INT(DW190)-DV190))+
IF($N190&lt;=1,
IF($N190&gt;0,1/$N190,0),VDB(1,0,$N190,INT(EO$44-2),MIN($N190,INT(EO$44-2)+1),$DC190,IF($DD190="No",1,0))/
IF(DW190&gt;INT($N190),$N190-INT($N190),1))*
IF(EO$44=2,DW190,
IF(INT(DW190)=INT(DV190),0,DW190-INT(DW190)))))</f>
        <v>0</v>
      </c>
      <c r="EP190" s="835">
        <f>+IF(OR(DX190=DW190,EP$44=1),0,
IF(AND(EP$44&gt;1,DX190=$N190),1-SUM($EN190:EO190),
IF($N190&lt;=1,
IF($N190&gt;0,1/$N190,0),
IF(EP$44=2,0,VDB(1,0,$N190,INT(EP$44-2-1),MIN($N190,INT(EP$44-2-1)+1),$DC190,IF($DD190="No",1,0))/
IF(DW190&gt;=INT($N190),$N190-INT($N190),1)))*
IF(EP$44=2,0,
IF(INT(DX190)=INT(DW190),DX190-DW190,INT(DX190)-DW190))+
IF($N190&lt;=1,
IF($N190&gt;0,1/$N190,0),VDB(1,0,$N190,INT(EP$44-2),MIN($N190,INT(EP$44-2)+1),$DC190,IF($DD190="No",1,0))/
IF(DX190&gt;INT($N190),$N190-INT($N190),1))*
IF(EP$44=2,DX190,
IF(INT(DX190)=INT(DW190),0,DX190-INT(DX190)))))</f>
        <v>0</v>
      </c>
      <c r="EQ190" s="836">
        <f>+IF(OR(DY190=DX190,EQ$44=1),0,
IF(AND(EQ$44&gt;1,DY190=$N190),1-SUM($EN190:EP190),
IF($N190&lt;=1,
IF($N190&gt;0,1/$N190,0),
IF(EQ$44=2,0,VDB(1,0,$N190,INT(EQ$44-2-1),MIN($N190,INT(EQ$44-2-1)+1),$DC190,IF($DD190="No",1,0))/
IF(DX190&gt;=INT($N190),$N190-INT($N190),1)))*
IF(EQ$44=2,0,
IF(INT(DY190)=INT(DX190),DY190-DX190,INT(DY190)-DX190))+
IF($N190&lt;=1,
IF($N190&gt;0,1/$N190,0),VDB(1,0,$N190,INT(EQ$44-2),MIN($N190,INT(EQ$44-2)+1),$DC190,IF($DD190="No",1,0))/
IF(DY190&gt;INT($N190),$N190-INT($N190),1))*
IF(EQ$44=2,DY190,
IF(INT(DY190)=INT(DX190),0,DY190-INT(DY190)))))</f>
        <v>0</v>
      </c>
      <c r="ER190" s="834">
        <f>+IF(OR(DZ190=DY190,ER$44=1),0,
IF(AND(ER$44&gt;1,DZ190=$N190),1-SUM($EN190:EQ190),
IF($N190&lt;=1,
IF($N190&gt;0,1/$N190,0),
IF(ER$44=2,0,VDB(1,0,$N190,INT(ER$44-2-1),MIN($N190,INT(ER$44-2-1)+1),$DC190,IF($DD190="No",1,0))/
IF(DY190&gt;=INT($N190),$N190-INT($N190),1)))*
IF(ER$44=2,0,
IF(INT(DZ190)=INT(DY190),DZ190-DY190,INT(DZ190)-DY190))+
IF($N190&lt;=1,
IF($N190&gt;0,1/$N190,0),VDB(1,0,$N190,INT(ER$44-2),MIN($N190,INT(ER$44-2)+1),$DC190,IF($DD190="No",1,0))/
IF(DZ190&gt;INT($N190),$N190-INT($N190),1))*
IF(ER$44=2,DZ190,
IF(INT(DZ190)=INT(DY190),0,DZ190-INT(DZ190)))))</f>
        <v>0</v>
      </c>
      <c r="ES190" s="835">
        <f>+IF(OR(EA190=DZ190,ES$44=1),0,
IF(AND(ES$44&gt;1,EA190=$N190),1-SUM($EN190:ER190),
IF($N190&lt;=1,
IF($N190&gt;0,1/$N190,0),
IF(ES$44=2,0,VDB(1,0,$N190,INT(ES$44-2-1),MIN($N190,INT(ES$44-2-1)+1),$DC190,IF($DD190="No",1,0))/
IF(DZ190&gt;=INT($N190),$N190-INT($N190),1)))*
IF(ES$44=2,0,
IF(INT(EA190)=INT(DZ190),EA190-DZ190,INT(EA190)-DZ190))+
IF($N190&lt;=1,
IF($N190&gt;0,1/$N190,0),VDB(1,0,$N190,INT(ES$44-2),MIN($N190,INT(ES$44-2)+1),$DC190,IF($DD190="No",1,0))/
IF(EA190&gt;INT($N190),$N190-INT($N190),1))*
IF(ES$44=2,EA190,
IF(INT(EA190)=INT(DZ190),0,EA190-INT(EA190)))))</f>
        <v>0</v>
      </c>
      <c r="ET190" s="835">
        <f>+IF(OR(EB190=EA190,ET$44=1),0,
IF(AND(ET$44&gt;1,EB190=$N190),1-SUM($EN190:ES190),
IF($N190&lt;=1,
IF($N190&gt;0,1/$N190,0),
IF(ET$44=2,0,VDB(1,0,$N190,INT(ET$44-2-1),MIN($N190,INT(ET$44-2-1)+1),$DC190,IF($DD190="No",1,0))/
IF(EA190&gt;=INT($N190),$N190-INT($N190),1)))*
IF(ET$44=2,0,
IF(INT(EB190)=INT(EA190),EB190-EA190,INT(EB190)-EA190))+
IF($N190&lt;=1,
IF($N190&gt;0,1/$N190,0),VDB(1,0,$N190,INT(ET$44-2),MIN($N190,INT(ET$44-2)+1),$DC190,IF($DD190="No",1,0))/
IF(EB190&gt;INT($N190),$N190-INT($N190),1))*
IF(ET$44=2,EB190,
IF(INT(EB190)=INT(EA190),0,EB190-INT(EB190)))))</f>
        <v>0</v>
      </c>
      <c r="EU190" s="835">
        <f>+IF(OR(EC190=EB190,EU$44=1),0,
IF(AND(EU$44&gt;1,EC190=$N190),1-SUM($EN190:ET190),
IF($N190&lt;=1,
IF($N190&gt;0,1/$N190,0),
IF(EU$44=2,0,VDB(1,0,$N190,INT(EU$44-2-1),MIN($N190,INT(EU$44-2-1)+1),$DC190,IF($DD190="No",1,0))/
IF(EB190&gt;=INT($N190),$N190-INT($N190),1)))*
IF(EU$44=2,0,
IF(INT(EC190)=INT(EB190),EC190-EB190,INT(EC190)-EB190))+
IF($N190&lt;=1,
IF($N190&gt;0,1/$N190,0),VDB(1,0,$N190,INT(EU$44-2),MIN($N190,INT(EU$44-2)+1),$DC190,IF($DD190="No",1,0))/
IF(EC190&gt;INT($N190),$N190-INT($N190),1))*
IF(EU$44=2,EC190,
IF(INT(EC190)=INT(EB190),0,EC190-INT(EC190)))))</f>
        <v>0</v>
      </c>
      <c r="EV190" s="836">
        <f>+IF(OR(ED190=EC190,EV$44=1),0,
IF(AND(EV$44&gt;1,ED190=$N190),1-SUM($EN190:EU190),
IF($N190&lt;=1,
IF($N190&gt;0,1/$N190,0),
IF(EV$44=2,0,VDB(1,0,$N190,INT(EV$44-2-1),MIN($N190,INT(EV$44-2-1)+1),$DC190,IF($DD190="No",1,0))/
IF(EC190&gt;=INT($N190),$N190-INT($N190),1)))*
IF(EV$44=2,0,
IF(INT(ED190)=INT(EC190),ED190-EC190,INT(ED190)-EC190))+
IF($N190&lt;=1,
IF($N190&gt;0,1/$N190,0),VDB(1,0,$N190,INT(EV$44-2),MIN($N190,INT(EV$44-2)+1),$DC190,IF($DD190="No",1,0))/
IF(ED190&gt;INT($N190),$N190-INT($N190),1))*
IF(EV$44=2,ED190,
IF(INT(ED190)=INT(EC190),0,ED190-INT(ED190)))))</f>
        <v>0</v>
      </c>
      <c r="EW190" s="833"/>
      <c r="EX190" s="834">
        <f t="shared" ca="1" si="350"/>
        <v>0</v>
      </c>
      <c r="EY190" s="835">
        <f t="shared" ca="1" si="350"/>
        <v>0</v>
      </c>
      <c r="EZ190" s="836">
        <f t="shared" ca="1" si="350"/>
        <v>0</v>
      </c>
      <c r="FA190" s="834">
        <f t="shared" ca="1" si="350"/>
        <v>0</v>
      </c>
      <c r="FB190" s="835">
        <f t="shared" ca="1" si="350"/>
        <v>0</v>
      </c>
      <c r="FC190" s="835">
        <f t="shared" ca="1" si="350"/>
        <v>0</v>
      </c>
      <c r="FD190" s="835">
        <f t="shared" ca="1" si="350"/>
        <v>0</v>
      </c>
      <c r="FE190" s="836">
        <f t="shared" ca="1" si="350"/>
        <v>0</v>
      </c>
      <c r="FG190" s="386">
        <f t="shared" ca="1" si="351"/>
        <v>0</v>
      </c>
      <c r="FH190" s="387">
        <f t="shared" ca="1" si="352"/>
        <v>0</v>
      </c>
      <c r="FI190" s="388">
        <f t="shared" ca="1" si="353"/>
        <v>0</v>
      </c>
      <c r="FJ190" s="386">
        <f t="shared" ca="1" si="354"/>
        <v>0</v>
      </c>
      <c r="FK190" s="387">
        <f t="shared" ca="1" si="355"/>
        <v>0</v>
      </c>
      <c r="FL190" s="387">
        <f t="shared" ca="1" si="356"/>
        <v>0</v>
      </c>
      <c r="FM190" s="387">
        <f t="shared" ca="1" si="357"/>
        <v>0</v>
      </c>
      <c r="FN190" s="388">
        <f t="shared" ca="1" si="358"/>
        <v>0</v>
      </c>
      <c r="FR190" s="116"/>
    </row>
    <row r="191" spans="2:174">
      <c r="B191" s="1410">
        <f t="shared" si="302"/>
        <v>145</v>
      </c>
      <c r="C191" s="400"/>
      <c r="D191" s="410"/>
      <c r="E191" s="402"/>
      <c r="F191" s="402"/>
      <c r="G191" s="400"/>
      <c r="H191" s="2088"/>
      <c r="I191" s="2089"/>
      <c r="J191" s="411"/>
      <c r="K191" s="403"/>
      <c r="L191" s="403"/>
      <c r="M191" s="403"/>
      <c r="N191" s="403"/>
      <c r="O191" s="347"/>
      <c r="P191" s="347"/>
      <c r="Q191" s="1021"/>
      <c r="R191" s="1022"/>
      <c r="S191" s="1022"/>
      <c r="T191" s="1022"/>
      <c r="U191" s="1023"/>
      <c r="V191" s="1021"/>
      <c r="W191" s="1022"/>
      <c r="X191" s="1022"/>
      <c r="Y191" s="1022"/>
      <c r="Z191" s="1023"/>
      <c r="AA191" s="1024"/>
      <c r="AB191" s="1021"/>
      <c r="AC191" s="1022"/>
      <c r="AD191" s="1022"/>
      <c r="AE191" s="1022"/>
      <c r="AF191" s="1023"/>
      <c r="AG191" s="1021"/>
      <c r="AH191" s="1022"/>
      <c r="AI191" s="1022"/>
      <c r="AJ191" s="1022"/>
      <c r="AK191" s="1023"/>
      <c r="AL191" s="1024"/>
      <c r="AM191" s="1021"/>
      <c r="AN191" s="1022"/>
      <c r="AO191" s="1022"/>
      <c r="AP191" s="1022"/>
      <c r="AQ191" s="1023"/>
      <c r="AR191" s="1021"/>
      <c r="AS191" s="1022"/>
      <c r="AT191" s="1022"/>
      <c r="AU191" s="1022"/>
      <c r="AV191" s="1023"/>
      <c r="AW191" s="1025"/>
      <c r="AX191" s="1282">
        <f t="shared" si="304"/>
        <v>0</v>
      </c>
      <c r="AY191" s="387">
        <f t="shared" si="305"/>
        <v>0</v>
      </c>
      <c r="AZ191" s="387">
        <f t="shared" si="306"/>
        <v>0</v>
      </c>
      <c r="BA191" s="387">
        <f t="shared" si="307"/>
        <v>0</v>
      </c>
      <c r="BB191" s="1283">
        <f t="shared" si="308"/>
        <v>0</v>
      </c>
      <c r="BC191" s="386">
        <f t="shared" si="309"/>
        <v>0</v>
      </c>
      <c r="BD191" s="387">
        <f t="shared" si="310"/>
        <v>0</v>
      </c>
      <c r="BE191" s="1277">
        <f t="shared" si="311"/>
        <v>0</v>
      </c>
      <c r="BF191" s="1277">
        <f t="shared" si="312"/>
        <v>0</v>
      </c>
      <c r="BG191" s="388">
        <f t="shared" si="313"/>
        <v>0</v>
      </c>
      <c r="BH191" s="1025"/>
      <c r="BI191" s="1282">
        <f t="shared" ca="1" si="314"/>
        <v>0</v>
      </c>
      <c r="BJ191" s="387">
        <f t="shared" ca="1" si="315"/>
        <v>0</v>
      </c>
      <c r="BK191" s="387">
        <f t="shared" ca="1" si="316"/>
        <v>0</v>
      </c>
      <c r="BL191" s="387">
        <f t="shared" ca="1" si="317"/>
        <v>0</v>
      </c>
      <c r="BM191" s="1283">
        <f t="shared" ca="1" si="318"/>
        <v>0</v>
      </c>
      <c r="BN191" s="386">
        <f t="shared" ca="1" si="319"/>
        <v>0</v>
      </c>
      <c r="BO191" s="387">
        <f t="shared" ca="1" si="320"/>
        <v>0</v>
      </c>
      <c r="BP191" s="1277">
        <f t="shared" ca="1" si="321"/>
        <v>0</v>
      </c>
      <c r="BQ191" s="1277">
        <f t="shared" ca="1" si="322"/>
        <v>0</v>
      </c>
      <c r="BR191" s="388">
        <f t="shared" ca="1" si="323"/>
        <v>0</v>
      </c>
      <c r="BS191" s="1025"/>
      <c r="BT191" s="1282">
        <f>+IF($K191="Ongoing",AX191,IF(RIGHT($K191,2)=RIGHT(BT$43,2),SUM($AX191:AX191),0)+IF(RIGHT(BT$43,2)&gt;RIGHT($K191,2),AX191,0))</f>
        <v>0</v>
      </c>
      <c r="BU191" s="387">
        <f>+IF($K191="Ongoing",AY191,IF(RIGHT($K191,2)=RIGHT(BU$43,2),SUM($AX191:AY191),0)+IF(RIGHT(BU$43,2)&gt;RIGHT($K191,2),AY191,0))</f>
        <v>0</v>
      </c>
      <c r="BV191" s="387">
        <f>+IF($K191="Ongoing",AZ191,IF(RIGHT($K191,2)=RIGHT(BV$43,2),SUM($AX191:AZ191),0)+IF(RIGHT(BV$43,2)&gt;RIGHT($K191,2),AZ191,0))</f>
        <v>0</v>
      </c>
      <c r="BW191" s="387">
        <f>+IF($K191="Ongoing",BA191,IF(RIGHT($K191,2)=RIGHT(BW$43,2),SUM($AX191:BA191),0)+IF(RIGHT(BW$43,2)&gt;RIGHT($K191,2),BA191,0))</f>
        <v>0</v>
      </c>
      <c r="BX191" s="1283">
        <f>+IF($K191="Ongoing",BB191,IF(RIGHT($K191,2)=RIGHT(BX$43,2),SUM($AX191:BB191),0)+IF(RIGHT(BX$43,2)&gt;RIGHT($K191,2),BB191,0))</f>
        <v>0</v>
      </c>
      <c r="BY191" s="386">
        <f>+IF($K191="Ongoing",BC191,IF(RIGHT($K191,2)=RIGHT(BY$43,2),SUM($AX191:BC191),0)+IF(RIGHT(BY$43,2)&gt;RIGHT($K191,2),BC191,0))</f>
        <v>0</v>
      </c>
      <c r="BZ191" s="387">
        <f>+IF($K191="Ongoing",BD191,IF(RIGHT($K191,2)=RIGHT(BZ$43,2),SUM($AX191:BD191),0)+IF(RIGHT(BZ$43,2)&gt;RIGHT($K191,2),BD191,0))</f>
        <v>0</v>
      </c>
      <c r="CA191" s="1277">
        <f>+IF($K191="Ongoing",BE191,IF(RIGHT($K191,2)=RIGHT(CA$43,2),SUM($AX191:BE191),0)+IF(RIGHT(CA$43,2)&gt;RIGHT($K191,2),BE191,0))</f>
        <v>0</v>
      </c>
      <c r="CB191" s="1277">
        <f>+IF($K191="Ongoing",BF191,IF(RIGHT($K191,2)=RIGHT(CB$43,2),SUM($AX191:BF191),0)+IF(RIGHT(CB$43,2)&gt;RIGHT($K191,2),BF191,0))</f>
        <v>0</v>
      </c>
      <c r="CC191" s="388">
        <f>+IF($K191="Ongoing",BG191,IF(RIGHT($K191,2)=RIGHT(CC$43,2),SUM($AX191:BG191),0)+IF(RIGHT(CC$43,2)&gt;RIGHT($K191,2),BG191,0))</f>
        <v>0</v>
      </c>
      <c r="CD191" s="1025"/>
      <c r="CE191" s="1282">
        <f>+Q191*KeyAssumptionsPriceControl_FO!AF$15</f>
        <v>0</v>
      </c>
      <c r="CF191" s="387">
        <f>+R191*KeyAssumptionsPriceControl_FO!AG$15</f>
        <v>0</v>
      </c>
      <c r="CG191" s="387">
        <f>+S191*KeyAssumptionsPriceControl_FO!AH$15</f>
        <v>0</v>
      </c>
      <c r="CH191" s="387">
        <f>+T191*KeyAssumptionsPriceControl_FO!AI$15</f>
        <v>0</v>
      </c>
      <c r="CI191" s="1283">
        <f>+U191*KeyAssumptionsPriceControl_FO!AJ$15</f>
        <v>0</v>
      </c>
      <c r="CJ191" s="386">
        <f>+V191*KeyAssumptionsPriceControl_FO!AK$15</f>
        <v>0</v>
      </c>
      <c r="CK191" s="387">
        <f>+W191*KeyAssumptionsPriceControl_FO!AL$15</f>
        <v>0</v>
      </c>
      <c r="CL191" s="1277">
        <f>+X191*KeyAssumptionsPriceControl_FO!AM$15</f>
        <v>0</v>
      </c>
      <c r="CM191" s="1277">
        <f>+Y191*KeyAssumptionsPriceControl_FO!AN$15</f>
        <v>0</v>
      </c>
      <c r="CN191" s="388">
        <f>+Z191*KeyAssumptionsPriceControl_FO!AO$15</f>
        <v>0</v>
      </c>
      <c r="CO191" s="1025"/>
      <c r="CP191" s="1282">
        <f t="shared" ca="1" si="324"/>
        <v>0</v>
      </c>
      <c r="CQ191" s="387">
        <f t="shared" ca="1" si="325"/>
        <v>0</v>
      </c>
      <c r="CR191" s="387">
        <f t="shared" ca="1" si="326"/>
        <v>0</v>
      </c>
      <c r="CS191" s="387">
        <f t="shared" ca="1" si="327"/>
        <v>0</v>
      </c>
      <c r="CT191" s="1283">
        <f t="shared" ca="1" si="328"/>
        <v>0</v>
      </c>
      <c r="CU191" s="386">
        <f t="shared" ca="1" si="329"/>
        <v>0</v>
      </c>
      <c r="CV191" s="387">
        <f t="shared" ca="1" si="330"/>
        <v>0</v>
      </c>
      <c r="CW191" s="1277">
        <f t="shared" ca="1" si="331"/>
        <v>0</v>
      </c>
      <c r="CX191" s="1277">
        <f t="shared" ca="1" si="332"/>
        <v>0</v>
      </c>
      <c r="CY191" s="388">
        <f t="shared" ca="1" si="333"/>
        <v>0</v>
      </c>
      <c r="CZ191" s="347"/>
      <c r="DA191" s="852"/>
      <c r="DB191" s="347"/>
      <c r="DC191" s="1012" t="s">
        <v>712</v>
      </c>
      <c r="DD191" s="841" t="s">
        <v>518</v>
      </c>
      <c r="DE191" s="386">
        <f>+IF($K191="ongoing",CE191,IF(RIGHT($K191,2)=RIGHT(DE$43,2),SUM($CD191:CE191),0)+IF(RIGHT(DE$43,2)&gt;RIGHT($K191,2),CE191,0))</f>
        <v>0</v>
      </c>
      <c r="DF191" s="387">
        <f>+IF($K191="ongoing",CF191,IF(RIGHT($K191,2)=RIGHT(DF$43,2),SUM($CD191:CF191),0)+IF(RIGHT(DF$43,2)&gt;RIGHT($K191,2),CF191,0))</f>
        <v>0</v>
      </c>
      <c r="DG191" s="388">
        <f>+IF($K191="ongoing",CG191,IF(RIGHT($K191,2)=RIGHT(DG$43,2),SUM($CD191:CG191),0)+IF(RIGHT(DG$43,2)&gt;RIGHT($K191,2),CG191,0))</f>
        <v>0</v>
      </c>
      <c r="DH191" s="386">
        <f>+IF($K191="ongoing",CH191,IF(RIGHT($K191,2)=RIGHT(DH$43,2),SUM($CD191:CH191),0)+IF(RIGHT(DH$43,2)&gt;RIGHT($K191,2),CH191,0))</f>
        <v>0</v>
      </c>
      <c r="DI191" s="387">
        <f>+IF($K191="ongoing",CI191,IF(RIGHT($K191,2)=RIGHT(DI$43,2),SUM($CD191:CI191),0)+IF(RIGHT(DI$43,2)&gt;RIGHT($K191,2),CI191,0))</f>
        <v>0</v>
      </c>
      <c r="DJ191" s="387">
        <f>+IF($K191="ongoing",CJ191,IF(RIGHT($K191,2)=RIGHT(DJ$43,2),SUM($CD191:CJ191),0)+IF(RIGHT(DJ$43,2)&gt;RIGHT($K191,2),CJ191,0))</f>
        <v>0</v>
      </c>
      <c r="DK191" s="387">
        <f>+IF($K191="ongoing",CK191,IF(RIGHT($K191,2)=RIGHT(DK$43,2),SUM($CD191:CK191),0)+IF(RIGHT(DK$43,2)&gt;RIGHT($K191,2),CK191,0))</f>
        <v>0</v>
      </c>
      <c r="DL191" s="388">
        <f>+IF($K191="ongoing",CN191,IF(RIGHT($K191,2)=RIGHT(DL$43,2),SUM($CD191:CN191),0)+IF(RIGHT(DL$43,2)&gt;RIGHT($K191,2),CN191,0))</f>
        <v>0</v>
      </c>
      <c r="DM191" s="841"/>
      <c r="DN191" s="386">
        <f t="shared" si="334"/>
        <v>0.5</v>
      </c>
      <c r="DO191" s="387">
        <f t="shared" si="335"/>
        <v>1</v>
      </c>
      <c r="DP191" s="388">
        <f t="shared" si="336"/>
        <v>1</v>
      </c>
      <c r="DQ191" s="386">
        <f t="shared" si="337"/>
        <v>1</v>
      </c>
      <c r="DR191" s="387">
        <f t="shared" si="338"/>
        <v>1</v>
      </c>
      <c r="DS191" s="387">
        <f t="shared" si="339"/>
        <v>1</v>
      </c>
      <c r="DT191" s="387">
        <f t="shared" si="340"/>
        <v>1</v>
      </c>
      <c r="DU191" s="388">
        <f t="shared" si="341"/>
        <v>1</v>
      </c>
      <c r="DW191" s="386">
        <f t="shared" si="342"/>
        <v>0</v>
      </c>
      <c r="DX191" s="387">
        <f t="shared" si="343"/>
        <v>0.5</v>
      </c>
      <c r="DY191" s="388">
        <f t="shared" si="344"/>
        <v>1</v>
      </c>
      <c r="DZ191" s="386">
        <f t="shared" si="345"/>
        <v>1</v>
      </c>
      <c r="EA191" s="387">
        <f t="shared" si="346"/>
        <v>1</v>
      </c>
      <c r="EB191" s="387">
        <f t="shared" si="347"/>
        <v>1</v>
      </c>
      <c r="EC191" s="387">
        <f t="shared" si="348"/>
        <v>1</v>
      </c>
      <c r="ED191" s="388">
        <f t="shared" si="349"/>
        <v>1</v>
      </c>
      <c r="EF191" s="834">
        <f>+IF(DN191=DM191,0,
IF(AND(EF$44&gt;1,DN191=$N191),1-SUM($EE191:EE191),
IF($N191&lt;=1,
IF($N191&gt;0,1/$N191,0),
IF(EF$44=1,0,VDB(1,0,$N191,INT(EF$44-1-1),MIN($N191,INT(EF$44-1-1)+1),$DC191,IF($DD191="No",1,0))/
IF(DM191&gt;=INT($N191),$N191-INT($N191),1)))*
IF(EF$44=1,0,
IF(INT(DN191)=INT(DM191),DN191-DM191,INT(DN191)-DM191))+
IF($N191&lt;=1,
IF($N191&gt;0,1/$N191,0),VDB(1,0,$N191,INT(EF$44-1),MIN($N191,INT(EF$44-1)+1),$DC191,IF($DD191="No",1,0))/
IF(DN191&gt;INT($N191),$N191-INT($N191),1))*
IF(EF$44=1,DN191,
IF(INT(DN191)=INT(DM191),0,DN191-INT(DN191)))))</f>
        <v>0</v>
      </c>
      <c r="EG191" s="835">
        <f>+IF(DO191=DN191,0,
IF(AND(EG$44&gt;1,DO191=$N191),1-SUM($EE191:EF191),
IF($N191&lt;=1,
IF($N191&gt;0,1/$N191,0),
IF(EG$44=1,0,VDB(1,0,$N191,INT(EG$44-1-1),MIN($N191,INT(EG$44-1-1)+1),$DC191,IF($DD191="No",1,0))/
IF(DN191&gt;=INT($N191),$N191-INT($N191),1)))*
IF(EG$44=1,0,
IF(INT(DO191)=INT(DN191),DO191-DN191,INT(DO191)-DN191))+
IF($N191&lt;=1,
IF($N191&gt;0,1/$N191,0),VDB(1,0,$N191,INT(EG$44-1),MIN($N191,INT(EG$44-1)+1),$DC191,IF($DD191="No",1,0))/
IF(DO191&gt;INT($N191),$N191-INT($N191),1))*
IF(EG$44=1,DO191,
IF(INT(DO191)=INT(DN191),0,DO191-INT(DO191)))))</f>
        <v>0</v>
      </c>
      <c r="EH191" s="836">
        <f>+IF(DP191=DO191,0,
IF(AND(EH$44&gt;1,DP191=$N191),1-SUM($EE191:EG191),
IF($N191&lt;=1,
IF($N191&gt;0,1/$N191,0),
IF(EH$44=1,0,VDB(1,0,$N191,INT(EH$44-1-1),MIN($N191,INT(EH$44-1-1)+1),$DC191,IF($DD191="No",1,0))/
IF(DO191&gt;=INT($N191),$N191-INT($N191),1)))*
IF(EH$44=1,0,
IF(INT(DP191)=INT(DO191),DP191-DO191,INT(DP191)-DO191))+
IF($N191&lt;=1,
IF($N191&gt;0,1/$N191,0),VDB(1,0,$N191,INT(EH$44-1),MIN($N191,INT(EH$44-1)+1),$DC191,IF($DD191="No",1,0))/
IF(DP191&gt;INT($N191),$N191-INT($N191),1))*
IF(EH$44=1,DP191,
IF(INT(DP191)=INT(DO191),0,DP191-INT(DP191)))))</f>
        <v>0</v>
      </c>
      <c r="EI191" s="834">
        <f>+IF(DQ191=DP191,0,
IF(AND(EI$44&gt;1,DQ191=$N191),1-SUM($EE191:EH191),
IF($N191&lt;=1,
IF($N191&gt;0,1/$N191,0),
IF(EI$44=1,0,VDB(1,0,$N191,INT(EI$44-1-1),MIN($N191,INT(EI$44-1-1)+1),$DC191,IF($DD191="No",1,0))/
IF(DP191&gt;=INT($N191),$N191-INT($N191),1)))*
IF(EI$44=1,0,
IF(INT(DQ191)=INT(DP191),DQ191-DP191,INT(DQ191)-DP191))+
IF($N191&lt;=1,
IF($N191&gt;0,1/$N191,0),VDB(1,0,$N191,INT(EI$44-1),MIN($N191,INT(EI$44-1)+1),$DC191,IF($DD191="No",1,0))/
IF(DQ191&gt;INT($N191),$N191-INT($N191),1))*
IF(EI$44=1,DQ191,
IF(INT(DQ191)=INT(DP191),0,DQ191-INT(DQ191)))))</f>
        <v>0</v>
      </c>
      <c r="EJ191" s="835">
        <f>+IF(DR191=DQ191,0,
IF(AND(EJ$44&gt;1,DR191=$N191),1-SUM($EE191:EI191),
IF($N191&lt;=1,
IF($N191&gt;0,1/$N191,0),
IF(EJ$44=1,0,VDB(1,0,$N191,INT(EJ$44-1-1),MIN($N191,INT(EJ$44-1-1)+1),$DC191,IF($DD191="No",1,0))/
IF(DQ191&gt;=INT($N191),$N191-INT($N191),1)))*
IF(EJ$44=1,0,
IF(INT(DR191)=INT(DQ191),DR191-DQ191,INT(DR191)-DQ191))+
IF($N191&lt;=1,
IF($N191&gt;0,1/$N191,0),VDB(1,0,$N191,INT(EJ$44-1),MIN($N191,INT(EJ$44-1)+1),$DC191,IF($DD191="No",1,0))/
IF(DR191&gt;INT($N191),$N191-INT($N191),1))*
IF(EJ$44=1,DR191,
IF(INT(DR191)=INT(DQ191),0,DR191-INT(DR191)))))</f>
        <v>0</v>
      </c>
      <c r="EK191" s="835">
        <f>+IF(DS191=DR191,0,
IF(AND(EK$44&gt;1,DS191=$N191),1-SUM($EE191:EJ191),
IF($N191&lt;=1,
IF($N191&gt;0,1/$N191,0),
IF(EK$44=1,0,VDB(1,0,$N191,INT(EK$44-1-1),MIN($N191,INT(EK$44-1-1)+1),$DC191,IF($DD191="No",1,0))/
IF(DR191&gt;=INT($N191),$N191-INT($N191),1)))*
IF(EK$44=1,0,
IF(INT(DS191)=INT(DR191),DS191-DR191,INT(DS191)-DR191))+
IF($N191&lt;=1,
IF($N191&gt;0,1/$N191,0),VDB(1,0,$N191,INT(EK$44-1),MIN($N191,INT(EK$44-1)+1),$DC191,IF($DD191="No",1,0))/
IF(DS191&gt;INT($N191),$N191-INT($N191),1))*
IF(EK$44=1,DS191,
IF(INT(DS191)=INT(DR191),0,DS191-INT(DS191)))))</f>
        <v>0</v>
      </c>
      <c r="EL191" s="835">
        <f>+IF(DT191=DS191,0,
IF(AND(EL$44&gt;1,DT191=$N191),1-SUM($EE191:EK191),
IF($N191&lt;=1,
IF($N191&gt;0,1/$N191,0),
IF(EL$44=1,0,VDB(1,0,$N191,INT(EL$44-1-1),MIN($N191,INT(EL$44-1-1)+1),$DC191,IF($DD191="No",1,0))/
IF(DS191&gt;=INT($N191),$N191-INT($N191),1)))*
IF(EL$44=1,0,
IF(INT(DT191)=INT(DS191),DT191-DS191,INT(DT191)-DS191))+
IF($N191&lt;=1,
IF($N191&gt;0,1/$N191,0),VDB(1,0,$N191,INT(EL$44-1),MIN($N191,INT(EL$44-1)+1),$DC191,IF($DD191="No",1,0))/
IF(DT191&gt;INT($N191),$N191-INT($N191),1))*
IF(EL$44=1,DT191,
IF(INT(DT191)=INT(DS191),0,DT191-INT(DT191)))))</f>
        <v>0</v>
      </c>
      <c r="EM191" s="836">
        <f>+IF(DU191=DT191,0,
IF(AND(EM$44&gt;1,DU191=$N191),1-SUM($EE191:EL191),
IF($N191&lt;=1,
IF($N191&gt;0,1/$N191,0),
IF(EM$44=1,0,VDB(1,0,$N191,INT(EM$44-1-1),MIN($N191,INT(EM$44-1-1)+1),$DC191,IF($DD191="No",1,0))/
IF(DT191&gt;=INT($N191),$N191-INT($N191),1)))*
IF(EM$44=1,0,
IF(INT(DU191)=INT(DT191),DU191-DT191,INT(DU191)-DT191))+
IF($N191&lt;=1,
IF($N191&gt;0,1/$N191,0),VDB(1,0,$N191,INT(EM$44-1),MIN($N191,INT(EM$44-1)+1),$DC191,IF($DD191="No",1,0))/
IF(DU191&gt;INT($N191),$N191-INT($N191),1))*
IF(EM$44=1,DU191,
IF(INT(DU191)=INT(DT191),0,DU191-INT(DU191)))))</f>
        <v>0</v>
      </c>
      <c r="EN191" s="833"/>
      <c r="EO191" s="834">
        <f>+IF(OR(DW191=DV191,EO$44=1),0,
IF(AND(EO$44&gt;1,DW191=$N191),1-SUM($EN191:EN191),
IF($N191&lt;=1,
IF($N191&gt;0,1/$N191,0),
IF(EO$44=2,0,VDB(1,0,$N191,INT(EO$44-2-1),MIN($N191,INT(EO$44-2-1)+1),$DC191,IF($DD191="No",1,0))/
IF(DV191&gt;=INT($N191),$N191-INT($N191),1)))*
IF(EO$44=2,0,
IF(INT(DW191)=INT(DV191),DW191-DV191,INT(DW191)-DV191))+
IF($N191&lt;=1,
IF($N191&gt;0,1/$N191,0),VDB(1,0,$N191,INT(EO$44-2),MIN($N191,INT(EO$44-2)+1),$DC191,IF($DD191="No",1,0))/
IF(DW191&gt;INT($N191),$N191-INT($N191),1))*
IF(EO$44=2,DW191,
IF(INT(DW191)=INT(DV191),0,DW191-INT(DW191)))))</f>
        <v>0</v>
      </c>
      <c r="EP191" s="835">
        <f>+IF(OR(DX191=DW191,EP$44=1),0,
IF(AND(EP$44&gt;1,DX191=$N191),1-SUM($EN191:EO191),
IF($N191&lt;=1,
IF($N191&gt;0,1/$N191,0),
IF(EP$44=2,0,VDB(1,0,$N191,INT(EP$44-2-1),MIN($N191,INT(EP$44-2-1)+1),$DC191,IF($DD191="No",1,0))/
IF(DW191&gt;=INT($N191),$N191-INT($N191),1)))*
IF(EP$44=2,0,
IF(INT(DX191)=INT(DW191),DX191-DW191,INT(DX191)-DW191))+
IF($N191&lt;=1,
IF($N191&gt;0,1/$N191,0),VDB(1,0,$N191,INT(EP$44-2),MIN($N191,INT(EP$44-2)+1),$DC191,IF($DD191="No",1,0))/
IF(DX191&gt;INT($N191),$N191-INT($N191),1))*
IF(EP$44=2,DX191,
IF(INT(DX191)=INT(DW191),0,DX191-INT(DX191)))))</f>
        <v>0</v>
      </c>
      <c r="EQ191" s="836">
        <f>+IF(OR(DY191=DX191,EQ$44=1),0,
IF(AND(EQ$44&gt;1,DY191=$N191),1-SUM($EN191:EP191),
IF($N191&lt;=1,
IF($N191&gt;0,1/$N191,0),
IF(EQ$44=2,0,VDB(1,0,$N191,INT(EQ$44-2-1),MIN($N191,INT(EQ$44-2-1)+1),$DC191,IF($DD191="No",1,0))/
IF(DX191&gt;=INT($N191),$N191-INT($N191),1)))*
IF(EQ$44=2,0,
IF(INT(DY191)=INT(DX191),DY191-DX191,INT(DY191)-DX191))+
IF($N191&lt;=1,
IF($N191&gt;0,1/$N191,0),VDB(1,0,$N191,INT(EQ$44-2),MIN($N191,INT(EQ$44-2)+1),$DC191,IF($DD191="No",1,0))/
IF(DY191&gt;INT($N191),$N191-INT($N191),1))*
IF(EQ$44=2,DY191,
IF(INT(DY191)=INT(DX191),0,DY191-INT(DY191)))))</f>
        <v>0</v>
      </c>
      <c r="ER191" s="834">
        <f>+IF(OR(DZ191=DY191,ER$44=1),0,
IF(AND(ER$44&gt;1,DZ191=$N191),1-SUM($EN191:EQ191),
IF($N191&lt;=1,
IF($N191&gt;0,1/$N191,0),
IF(ER$44=2,0,VDB(1,0,$N191,INT(ER$44-2-1),MIN($N191,INT(ER$44-2-1)+1),$DC191,IF($DD191="No",1,0))/
IF(DY191&gt;=INT($N191),$N191-INT($N191),1)))*
IF(ER$44=2,0,
IF(INT(DZ191)=INT(DY191),DZ191-DY191,INT(DZ191)-DY191))+
IF($N191&lt;=1,
IF($N191&gt;0,1/$N191,0),VDB(1,0,$N191,INT(ER$44-2),MIN($N191,INT(ER$44-2)+1),$DC191,IF($DD191="No",1,0))/
IF(DZ191&gt;INT($N191),$N191-INT($N191),1))*
IF(ER$44=2,DZ191,
IF(INT(DZ191)=INT(DY191),0,DZ191-INT(DZ191)))))</f>
        <v>0</v>
      </c>
      <c r="ES191" s="835">
        <f>+IF(OR(EA191=DZ191,ES$44=1),0,
IF(AND(ES$44&gt;1,EA191=$N191),1-SUM($EN191:ER191),
IF($N191&lt;=1,
IF($N191&gt;0,1/$N191,0),
IF(ES$44=2,0,VDB(1,0,$N191,INT(ES$44-2-1),MIN($N191,INT(ES$44-2-1)+1),$DC191,IF($DD191="No",1,0))/
IF(DZ191&gt;=INT($N191),$N191-INT($N191),1)))*
IF(ES$44=2,0,
IF(INT(EA191)=INT(DZ191),EA191-DZ191,INT(EA191)-DZ191))+
IF($N191&lt;=1,
IF($N191&gt;0,1/$N191,0),VDB(1,0,$N191,INT(ES$44-2),MIN($N191,INT(ES$44-2)+1),$DC191,IF($DD191="No",1,0))/
IF(EA191&gt;INT($N191),$N191-INT($N191),1))*
IF(ES$44=2,EA191,
IF(INT(EA191)=INT(DZ191),0,EA191-INT(EA191)))))</f>
        <v>0</v>
      </c>
      <c r="ET191" s="835">
        <f>+IF(OR(EB191=EA191,ET$44=1),0,
IF(AND(ET$44&gt;1,EB191=$N191),1-SUM($EN191:ES191),
IF($N191&lt;=1,
IF($N191&gt;0,1/$N191,0),
IF(ET$44=2,0,VDB(1,0,$N191,INT(ET$44-2-1),MIN($N191,INT(ET$44-2-1)+1),$DC191,IF($DD191="No",1,0))/
IF(EA191&gt;=INT($N191),$N191-INT($N191),1)))*
IF(ET$44=2,0,
IF(INT(EB191)=INT(EA191),EB191-EA191,INT(EB191)-EA191))+
IF($N191&lt;=1,
IF($N191&gt;0,1/$N191,0),VDB(1,0,$N191,INT(ET$44-2),MIN($N191,INT(ET$44-2)+1),$DC191,IF($DD191="No",1,0))/
IF(EB191&gt;INT($N191),$N191-INT($N191),1))*
IF(ET$44=2,EB191,
IF(INT(EB191)=INT(EA191),0,EB191-INT(EB191)))))</f>
        <v>0</v>
      </c>
      <c r="EU191" s="835">
        <f>+IF(OR(EC191=EB191,EU$44=1),0,
IF(AND(EU$44&gt;1,EC191=$N191),1-SUM($EN191:ET191),
IF($N191&lt;=1,
IF($N191&gt;0,1/$N191,0),
IF(EU$44=2,0,VDB(1,0,$N191,INT(EU$44-2-1),MIN($N191,INT(EU$44-2-1)+1),$DC191,IF($DD191="No",1,0))/
IF(EB191&gt;=INT($N191),$N191-INT($N191),1)))*
IF(EU$44=2,0,
IF(INT(EC191)=INT(EB191),EC191-EB191,INT(EC191)-EB191))+
IF($N191&lt;=1,
IF($N191&gt;0,1/$N191,0),VDB(1,0,$N191,INT(EU$44-2),MIN($N191,INT(EU$44-2)+1),$DC191,IF($DD191="No",1,0))/
IF(EC191&gt;INT($N191),$N191-INT($N191),1))*
IF(EU$44=2,EC191,
IF(INT(EC191)=INT(EB191),0,EC191-INT(EC191)))))</f>
        <v>0</v>
      </c>
      <c r="EV191" s="836">
        <f>+IF(OR(ED191=EC191,EV$44=1),0,
IF(AND(EV$44&gt;1,ED191=$N191),1-SUM($EN191:EU191),
IF($N191&lt;=1,
IF($N191&gt;0,1/$N191,0),
IF(EV$44=2,0,VDB(1,0,$N191,INT(EV$44-2-1),MIN($N191,INT(EV$44-2-1)+1),$DC191,IF($DD191="No",1,0))/
IF(EC191&gt;=INT($N191),$N191-INT($N191),1)))*
IF(EV$44=2,0,
IF(INT(ED191)=INT(EC191),ED191-EC191,INT(ED191)-EC191))+
IF($N191&lt;=1,
IF($N191&gt;0,1/$N191,0),VDB(1,0,$N191,INT(EV$44-2),MIN($N191,INT(EV$44-2)+1),$DC191,IF($DD191="No",1,0))/
IF(ED191&gt;INT($N191),$N191-INT($N191),1))*
IF(EV$44=2,ED191,
IF(INT(ED191)=INT(EC191),0,ED191-INT(ED191)))))</f>
        <v>0</v>
      </c>
      <c r="EW191" s="833"/>
      <c r="EX191" s="834">
        <f t="shared" ca="1" si="350"/>
        <v>0</v>
      </c>
      <c r="EY191" s="835">
        <f t="shared" ca="1" si="350"/>
        <v>0</v>
      </c>
      <c r="EZ191" s="836">
        <f t="shared" ca="1" si="350"/>
        <v>0</v>
      </c>
      <c r="FA191" s="834">
        <f t="shared" ca="1" si="350"/>
        <v>0</v>
      </c>
      <c r="FB191" s="835">
        <f t="shared" ca="1" si="350"/>
        <v>0</v>
      </c>
      <c r="FC191" s="835">
        <f t="shared" ca="1" si="350"/>
        <v>0</v>
      </c>
      <c r="FD191" s="835">
        <f t="shared" ca="1" si="350"/>
        <v>0</v>
      </c>
      <c r="FE191" s="836">
        <f t="shared" ca="1" si="350"/>
        <v>0</v>
      </c>
      <c r="FG191" s="386">
        <f t="shared" ca="1" si="351"/>
        <v>0</v>
      </c>
      <c r="FH191" s="387">
        <f t="shared" ca="1" si="352"/>
        <v>0</v>
      </c>
      <c r="FI191" s="388">
        <f t="shared" ca="1" si="353"/>
        <v>0</v>
      </c>
      <c r="FJ191" s="386">
        <f t="shared" ca="1" si="354"/>
        <v>0</v>
      </c>
      <c r="FK191" s="387">
        <f t="shared" ca="1" si="355"/>
        <v>0</v>
      </c>
      <c r="FL191" s="387">
        <f t="shared" ca="1" si="356"/>
        <v>0</v>
      </c>
      <c r="FM191" s="387">
        <f t="shared" ca="1" si="357"/>
        <v>0</v>
      </c>
      <c r="FN191" s="388">
        <f t="shared" ca="1" si="358"/>
        <v>0</v>
      </c>
      <c r="FR191" s="116"/>
    </row>
    <row r="192" spans="2:174">
      <c r="B192" s="1410">
        <f t="shared" ref="B192:B255" si="359">B191+1</f>
        <v>146</v>
      </c>
      <c r="C192" s="400"/>
      <c r="D192" s="410"/>
      <c r="E192" s="402"/>
      <c r="F192" s="402"/>
      <c r="G192" s="400"/>
      <c r="H192" s="2088"/>
      <c r="I192" s="2089"/>
      <c r="J192" s="411"/>
      <c r="K192" s="403"/>
      <c r="L192" s="403"/>
      <c r="M192" s="403"/>
      <c r="N192" s="403"/>
      <c r="O192" s="347"/>
      <c r="P192" s="347"/>
      <c r="Q192" s="1021"/>
      <c r="R192" s="1022"/>
      <c r="S192" s="1022"/>
      <c r="T192" s="1022"/>
      <c r="U192" s="1023"/>
      <c r="V192" s="1021"/>
      <c r="W192" s="1022"/>
      <c r="X192" s="1022"/>
      <c r="Y192" s="1022"/>
      <c r="Z192" s="1023"/>
      <c r="AA192" s="1024"/>
      <c r="AB192" s="1021"/>
      <c r="AC192" s="1022"/>
      <c r="AD192" s="1022"/>
      <c r="AE192" s="1022"/>
      <c r="AF192" s="1023"/>
      <c r="AG192" s="1021"/>
      <c r="AH192" s="1022"/>
      <c r="AI192" s="1022"/>
      <c r="AJ192" s="1022"/>
      <c r="AK192" s="1023"/>
      <c r="AL192" s="1024"/>
      <c r="AM192" s="1021"/>
      <c r="AN192" s="1022"/>
      <c r="AO192" s="1022"/>
      <c r="AP192" s="1022"/>
      <c r="AQ192" s="1023"/>
      <c r="AR192" s="1021"/>
      <c r="AS192" s="1022"/>
      <c r="AT192" s="1022"/>
      <c r="AU192" s="1022"/>
      <c r="AV192" s="1023"/>
      <c r="AW192" s="1025"/>
      <c r="AX192" s="1282">
        <f t="shared" si="304"/>
        <v>0</v>
      </c>
      <c r="AY192" s="387">
        <f t="shared" si="305"/>
        <v>0</v>
      </c>
      <c r="AZ192" s="387">
        <f t="shared" si="306"/>
        <v>0</v>
      </c>
      <c r="BA192" s="387">
        <f t="shared" si="307"/>
        <v>0</v>
      </c>
      <c r="BB192" s="1283">
        <f t="shared" si="308"/>
        <v>0</v>
      </c>
      <c r="BC192" s="386">
        <f t="shared" si="309"/>
        <v>0</v>
      </c>
      <c r="BD192" s="387">
        <f t="shared" si="310"/>
        <v>0</v>
      </c>
      <c r="BE192" s="1277">
        <f t="shared" si="311"/>
        <v>0</v>
      </c>
      <c r="BF192" s="1277">
        <f t="shared" si="312"/>
        <v>0</v>
      </c>
      <c r="BG192" s="388">
        <f t="shared" si="313"/>
        <v>0</v>
      </c>
      <c r="BH192" s="1025"/>
      <c r="BI192" s="1282">
        <f t="shared" ca="1" si="314"/>
        <v>0</v>
      </c>
      <c r="BJ192" s="387">
        <f t="shared" ca="1" si="315"/>
        <v>0</v>
      </c>
      <c r="BK192" s="387">
        <f t="shared" ca="1" si="316"/>
        <v>0</v>
      </c>
      <c r="BL192" s="387">
        <f t="shared" ca="1" si="317"/>
        <v>0</v>
      </c>
      <c r="BM192" s="1283">
        <f t="shared" ca="1" si="318"/>
        <v>0</v>
      </c>
      <c r="BN192" s="386">
        <f t="shared" ca="1" si="319"/>
        <v>0</v>
      </c>
      <c r="BO192" s="387">
        <f t="shared" ca="1" si="320"/>
        <v>0</v>
      </c>
      <c r="BP192" s="1277">
        <f t="shared" ca="1" si="321"/>
        <v>0</v>
      </c>
      <c r="BQ192" s="1277">
        <f t="shared" ca="1" si="322"/>
        <v>0</v>
      </c>
      <c r="BR192" s="388">
        <f t="shared" ca="1" si="323"/>
        <v>0</v>
      </c>
      <c r="BS192" s="1025"/>
      <c r="BT192" s="1282">
        <f>+IF($K192="Ongoing",AX192,IF(RIGHT($K192,2)=RIGHT(BT$43,2),SUM($AX192:AX192),0)+IF(RIGHT(BT$43,2)&gt;RIGHT($K192,2),AX192,0))</f>
        <v>0</v>
      </c>
      <c r="BU192" s="387">
        <f>+IF($K192="Ongoing",AY192,IF(RIGHT($K192,2)=RIGHT(BU$43,2),SUM($AX192:AY192),0)+IF(RIGHT(BU$43,2)&gt;RIGHT($K192,2),AY192,0))</f>
        <v>0</v>
      </c>
      <c r="BV192" s="387">
        <f>+IF($K192="Ongoing",AZ192,IF(RIGHT($K192,2)=RIGHT(BV$43,2),SUM($AX192:AZ192),0)+IF(RIGHT(BV$43,2)&gt;RIGHT($K192,2),AZ192,0))</f>
        <v>0</v>
      </c>
      <c r="BW192" s="387">
        <f>+IF($K192="Ongoing",BA192,IF(RIGHT($K192,2)=RIGHT(BW$43,2),SUM($AX192:BA192),0)+IF(RIGHT(BW$43,2)&gt;RIGHT($K192,2),BA192,0))</f>
        <v>0</v>
      </c>
      <c r="BX192" s="1283">
        <f>+IF($K192="Ongoing",BB192,IF(RIGHT($K192,2)=RIGHT(BX$43,2),SUM($AX192:BB192),0)+IF(RIGHT(BX$43,2)&gt;RIGHT($K192,2),BB192,0))</f>
        <v>0</v>
      </c>
      <c r="BY192" s="386">
        <f>+IF($K192="Ongoing",BC192,IF(RIGHT($K192,2)=RIGHT(BY$43,2),SUM($AX192:BC192),0)+IF(RIGHT(BY$43,2)&gt;RIGHT($K192,2),BC192,0))</f>
        <v>0</v>
      </c>
      <c r="BZ192" s="387">
        <f>+IF($K192="Ongoing",BD192,IF(RIGHT($K192,2)=RIGHT(BZ$43,2),SUM($AX192:BD192),0)+IF(RIGHT(BZ$43,2)&gt;RIGHT($K192,2),BD192,0))</f>
        <v>0</v>
      </c>
      <c r="CA192" s="1277">
        <f>+IF($K192="Ongoing",BE192,IF(RIGHT($K192,2)=RIGHT(CA$43,2),SUM($AX192:BE192),0)+IF(RIGHT(CA$43,2)&gt;RIGHT($K192,2),BE192,0))</f>
        <v>0</v>
      </c>
      <c r="CB192" s="1277">
        <f>+IF($K192="Ongoing",BF192,IF(RIGHT($K192,2)=RIGHT(CB$43,2),SUM($AX192:BF192),0)+IF(RIGHT(CB$43,2)&gt;RIGHT($K192,2),BF192,0))</f>
        <v>0</v>
      </c>
      <c r="CC192" s="388">
        <f>+IF($K192="Ongoing",BG192,IF(RIGHT($K192,2)=RIGHT(CC$43,2),SUM($AX192:BG192),0)+IF(RIGHT(CC$43,2)&gt;RIGHT($K192,2),BG192,0))</f>
        <v>0</v>
      </c>
      <c r="CD192" s="1025"/>
      <c r="CE192" s="1282">
        <f>+Q192*KeyAssumptionsPriceControl_FO!AF$15</f>
        <v>0</v>
      </c>
      <c r="CF192" s="387">
        <f>+R192*KeyAssumptionsPriceControl_FO!AG$15</f>
        <v>0</v>
      </c>
      <c r="CG192" s="387">
        <f>+S192*KeyAssumptionsPriceControl_FO!AH$15</f>
        <v>0</v>
      </c>
      <c r="CH192" s="387">
        <f>+T192*KeyAssumptionsPriceControl_FO!AI$15</f>
        <v>0</v>
      </c>
      <c r="CI192" s="1283">
        <f>+U192*KeyAssumptionsPriceControl_FO!AJ$15</f>
        <v>0</v>
      </c>
      <c r="CJ192" s="386">
        <f>+V192*KeyAssumptionsPriceControl_FO!AK$15</f>
        <v>0</v>
      </c>
      <c r="CK192" s="387">
        <f>+W192*KeyAssumptionsPriceControl_FO!AL$15</f>
        <v>0</v>
      </c>
      <c r="CL192" s="1277">
        <f>+X192*KeyAssumptionsPriceControl_FO!AM$15</f>
        <v>0</v>
      </c>
      <c r="CM192" s="1277">
        <f>+Y192*KeyAssumptionsPriceControl_FO!AN$15</f>
        <v>0</v>
      </c>
      <c r="CN192" s="388">
        <f>+Z192*KeyAssumptionsPriceControl_FO!AO$15</f>
        <v>0</v>
      </c>
      <c r="CO192" s="1025"/>
      <c r="CP192" s="1282">
        <f t="shared" ca="1" si="324"/>
        <v>0</v>
      </c>
      <c r="CQ192" s="387">
        <f t="shared" ca="1" si="325"/>
        <v>0</v>
      </c>
      <c r="CR192" s="387">
        <f t="shared" ca="1" si="326"/>
        <v>0</v>
      </c>
      <c r="CS192" s="387">
        <f t="shared" ca="1" si="327"/>
        <v>0</v>
      </c>
      <c r="CT192" s="1283">
        <f t="shared" ca="1" si="328"/>
        <v>0</v>
      </c>
      <c r="CU192" s="386">
        <f t="shared" ca="1" si="329"/>
        <v>0</v>
      </c>
      <c r="CV192" s="387">
        <f t="shared" ca="1" si="330"/>
        <v>0</v>
      </c>
      <c r="CW192" s="1277">
        <f t="shared" ca="1" si="331"/>
        <v>0</v>
      </c>
      <c r="CX192" s="1277">
        <f t="shared" ca="1" si="332"/>
        <v>0</v>
      </c>
      <c r="CY192" s="388">
        <f t="shared" ca="1" si="333"/>
        <v>0</v>
      </c>
      <c r="CZ192" s="347"/>
      <c r="DA192" s="852"/>
      <c r="DB192" s="347"/>
      <c r="DC192" s="1012" t="s">
        <v>713</v>
      </c>
      <c r="DD192" s="841" t="s">
        <v>518</v>
      </c>
      <c r="DE192" s="386">
        <f>+IF($K192="ongoing",CE192,IF(RIGHT($K192,2)=RIGHT(DE$43,2),SUM($CD192:CE192),0)+IF(RIGHT(DE$43,2)&gt;RIGHT($K192,2),CE192,0))</f>
        <v>0</v>
      </c>
      <c r="DF192" s="387">
        <f>+IF($K192="ongoing",CF192,IF(RIGHT($K192,2)=RIGHT(DF$43,2),SUM($CD192:CF192),0)+IF(RIGHT(DF$43,2)&gt;RIGHT($K192,2),CF192,0))</f>
        <v>0</v>
      </c>
      <c r="DG192" s="388">
        <f>+IF($K192="ongoing",CG192,IF(RIGHT($K192,2)=RIGHT(DG$43,2),SUM($CD192:CG192),0)+IF(RIGHT(DG$43,2)&gt;RIGHT($K192,2),CG192,0))</f>
        <v>0</v>
      </c>
      <c r="DH192" s="386">
        <f>+IF($K192="ongoing",CH192,IF(RIGHT($K192,2)=RIGHT(DH$43,2),SUM($CD192:CH192),0)+IF(RIGHT(DH$43,2)&gt;RIGHT($K192,2),CH192,0))</f>
        <v>0</v>
      </c>
      <c r="DI192" s="387">
        <f>+IF($K192="ongoing",CI192,IF(RIGHT($K192,2)=RIGHT(DI$43,2),SUM($CD192:CI192),0)+IF(RIGHT(DI$43,2)&gt;RIGHT($K192,2),CI192,0))</f>
        <v>0</v>
      </c>
      <c r="DJ192" s="387">
        <f>+IF($K192="ongoing",CJ192,IF(RIGHT($K192,2)=RIGHT(DJ$43,2),SUM($CD192:CJ192),0)+IF(RIGHT(DJ$43,2)&gt;RIGHT($K192,2),CJ192,0))</f>
        <v>0</v>
      </c>
      <c r="DK192" s="387">
        <f>+IF($K192="ongoing",CK192,IF(RIGHT($K192,2)=RIGHT(DK$43,2),SUM($CD192:CK192),0)+IF(RIGHT(DK$43,2)&gt;RIGHT($K192,2),CK192,0))</f>
        <v>0</v>
      </c>
      <c r="DL192" s="388">
        <f>+IF($K192="ongoing",CN192,IF(RIGHT($K192,2)=RIGHT(DL$43,2),SUM($CD192:CN192),0)+IF(RIGHT(DL$43,2)&gt;RIGHT($K192,2),CN192,0))</f>
        <v>0</v>
      </c>
      <c r="DM192" s="841"/>
      <c r="DN192" s="386">
        <f t="shared" si="334"/>
        <v>0.5</v>
      </c>
      <c r="DO192" s="387">
        <f t="shared" si="335"/>
        <v>1</v>
      </c>
      <c r="DP192" s="388">
        <f t="shared" si="336"/>
        <v>1</v>
      </c>
      <c r="DQ192" s="386">
        <f t="shared" si="337"/>
        <v>1</v>
      </c>
      <c r="DR192" s="387">
        <f t="shared" si="338"/>
        <v>1</v>
      </c>
      <c r="DS192" s="387">
        <f t="shared" si="339"/>
        <v>1</v>
      </c>
      <c r="DT192" s="387">
        <f t="shared" si="340"/>
        <v>1</v>
      </c>
      <c r="DU192" s="388">
        <f t="shared" si="341"/>
        <v>1</v>
      </c>
      <c r="DW192" s="386">
        <f t="shared" si="342"/>
        <v>0</v>
      </c>
      <c r="DX192" s="387">
        <f t="shared" si="343"/>
        <v>0.5</v>
      </c>
      <c r="DY192" s="388">
        <f t="shared" si="344"/>
        <v>1</v>
      </c>
      <c r="DZ192" s="386">
        <f t="shared" si="345"/>
        <v>1</v>
      </c>
      <c r="EA192" s="387">
        <f t="shared" si="346"/>
        <v>1</v>
      </c>
      <c r="EB192" s="387">
        <f t="shared" si="347"/>
        <v>1</v>
      </c>
      <c r="EC192" s="387">
        <f t="shared" si="348"/>
        <v>1</v>
      </c>
      <c r="ED192" s="388">
        <f t="shared" si="349"/>
        <v>1</v>
      </c>
      <c r="EF192" s="834">
        <f>+IF(DN192=DM192,0,
IF(AND(EF$44&gt;1,DN192=$N192),1-SUM($EE192:EE192),
IF($N192&lt;=1,
IF($N192&gt;0,1/$N192,0),
IF(EF$44=1,0,VDB(1,0,$N192,INT(EF$44-1-1),MIN($N192,INT(EF$44-1-1)+1),$DC192,IF($DD192="No",1,0))/
IF(DM192&gt;=INT($N192),$N192-INT($N192),1)))*
IF(EF$44=1,0,
IF(INT(DN192)=INT(DM192),DN192-DM192,INT(DN192)-DM192))+
IF($N192&lt;=1,
IF($N192&gt;0,1/$N192,0),VDB(1,0,$N192,INT(EF$44-1),MIN($N192,INT(EF$44-1)+1),$DC192,IF($DD192="No",1,0))/
IF(DN192&gt;INT($N192),$N192-INT($N192),1))*
IF(EF$44=1,DN192,
IF(INT(DN192)=INT(DM192),0,DN192-INT(DN192)))))</f>
        <v>0</v>
      </c>
      <c r="EG192" s="835">
        <f>+IF(DO192=DN192,0,
IF(AND(EG$44&gt;1,DO192=$N192),1-SUM($EE192:EF192),
IF($N192&lt;=1,
IF($N192&gt;0,1/$N192,0),
IF(EG$44=1,0,VDB(1,0,$N192,INT(EG$44-1-1),MIN($N192,INT(EG$44-1-1)+1),$DC192,IF($DD192="No",1,0))/
IF(DN192&gt;=INT($N192),$N192-INT($N192),1)))*
IF(EG$44=1,0,
IF(INT(DO192)=INT(DN192),DO192-DN192,INT(DO192)-DN192))+
IF($N192&lt;=1,
IF($N192&gt;0,1/$N192,0),VDB(1,0,$N192,INT(EG$44-1),MIN($N192,INT(EG$44-1)+1),$DC192,IF($DD192="No",1,0))/
IF(DO192&gt;INT($N192),$N192-INT($N192),1))*
IF(EG$44=1,DO192,
IF(INT(DO192)=INT(DN192),0,DO192-INT(DO192)))))</f>
        <v>0</v>
      </c>
      <c r="EH192" s="836">
        <f>+IF(DP192=DO192,0,
IF(AND(EH$44&gt;1,DP192=$N192),1-SUM($EE192:EG192),
IF($N192&lt;=1,
IF($N192&gt;0,1/$N192,0),
IF(EH$44=1,0,VDB(1,0,$N192,INT(EH$44-1-1),MIN($N192,INT(EH$44-1-1)+1),$DC192,IF($DD192="No",1,0))/
IF(DO192&gt;=INT($N192),$N192-INT($N192),1)))*
IF(EH$44=1,0,
IF(INT(DP192)=INT(DO192),DP192-DO192,INT(DP192)-DO192))+
IF($N192&lt;=1,
IF($N192&gt;0,1/$N192,0),VDB(1,0,$N192,INT(EH$44-1),MIN($N192,INT(EH$44-1)+1),$DC192,IF($DD192="No",1,0))/
IF(DP192&gt;INT($N192),$N192-INT($N192),1))*
IF(EH$44=1,DP192,
IF(INT(DP192)=INT(DO192),0,DP192-INT(DP192)))))</f>
        <v>0</v>
      </c>
      <c r="EI192" s="834">
        <f>+IF(DQ192=DP192,0,
IF(AND(EI$44&gt;1,DQ192=$N192),1-SUM($EE192:EH192),
IF($N192&lt;=1,
IF($N192&gt;0,1/$N192,0),
IF(EI$44=1,0,VDB(1,0,$N192,INT(EI$44-1-1),MIN($N192,INT(EI$44-1-1)+1),$DC192,IF($DD192="No",1,0))/
IF(DP192&gt;=INT($N192),$N192-INT($N192),1)))*
IF(EI$44=1,0,
IF(INT(DQ192)=INT(DP192),DQ192-DP192,INT(DQ192)-DP192))+
IF($N192&lt;=1,
IF($N192&gt;0,1/$N192,0),VDB(1,0,$N192,INT(EI$44-1),MIN($N192,INT(EI$44-1)+1),$DC192,IF($DD192="No",1,0))/
IF(DQ192&gt;INT($N192),$N192-INT($N192),1))*
IF(EI$44=1,DQ192,
IF(INT(DQ192)=INT(DP192),0,DQ192-INT(DQ192)))))</f>
        <v>0</v>
      </c>
      <c r="EJ192" s="835">
        <f>+IF(DR192=DQ192,0,
IF(AND(EJ$44&gt;1,DR192=$N192),1-SUM($EE192:EI192),
IF($N192&lt;=1,
IF($N192&gt;0,1/$N192,0),
IF(EJ$44=1,0,VDB(1,0,$N192,INT(EJ$44-1-1),MIN($N192,INT(EJ$44-1-1)+1),$DC192,IF($DD192="No",1,0))/
IF(DQ192&gt;=INT($N192),$N192-INT($N192),1)))*
IF(EJ$44=1,0,
IF(INT(DR192)=INT(DQ192),DR192-DQ192,INT(DR192)-DQ192))+
IF($N192&lt;=1,
IF($N192&gt;0,1/$N192,0),VDB(1,0,$N192,INT(EJ$44-1),MIN($N192,INT(EJ$44-1)+1),$DC192,IF($DD192="No",1,0))/
IF(DR192&gt;INT($N192),$N192-INT($N192),1))*
IF(EJ$44=1,DR192,
IF(INT(DR192)=INT(DQ192),0,DR192-INT(DR192)))))</f>
        <v>0</v>
      </c>
      <c r="EK192" s="835">
        <f>+IF(DS192=DR192,0,
IF(AND(EK$44&gt;1,DS192=$N192),1-SUM($EE192:EJ192),
IF($N192&lt;=1,
IF($N192&gt;0,1/$N192,0),
IF(EK$44=1,0,VDB(1,0,$N192,INT(EK$44-1-1),MIN($N192,INT(EK$44-1-1)+1),$DC192,IF($DD192="No",1,0))/
IF(DR192&gt;=INT($N192),$N192-INT($N192),1)))*
IF(EK$44=1,0,
IF(INT(DS192)=INT(DR192),DS192-DR192,INT(DS192)-DR192))+
IF($N192&lt;=1,
IF($N192&gt;0,1/$N192,0),VDB(1,0,$N192,INT(EK$44-1),MIN($N192,INT(EK$44-1)+1),$DC192,IF($DD192="No",1,0))/
IF(DS192&gt;INT($N192),$N192-INT($N192),1))*
IF(EK$44=1,DS192,
IF(INT(DS192)=INT(DR192),0,DS192-INT(DS192)))))</f>
        <v>0</v>
      </c>
      <c r="EL192" s="835">
        <f>+IF(DT192=DS192,0,
IF(AND(EL$44&gt;1,DT192=$N192),1-SUM($EE192:EK192),
IF($N192&lt;=1,
IF($N192&gt;0,1/$N192,0),
IF(EL$44=1,0,VDB(1,0,$N192,INT(EL$44-1-1),MIN($N192,INT(EL$44-1-1)+1),$DC192,IF($DD192="No",1,0))/
IF(DS192&gt;=INT($N192),$N192-INT($N192),1)))*
IF(EL$44=1,0,
IF(INT(DT192)=INT(DS192),DT192-DS192,INT(DT192)-DS192))+
IF($N192&lt;=1,
IF($N192&gt;0,1/$N192,0),VDB(1,0,$N192,INT(EL$44-1),MIN($N192,INT(EL$44-1)+1),$DC192,IF($DD192="No",1,0))/
IF(DT192&gt;INT($N192),$N192-INT($N192),1))*
IF(EL$44=1,DT192,
IF(INT(DT192)=INT(DS192),0,DT192-INT(DT192)))))</f>
        <v>0</v>
      </c>
      <c r="EM192" s="836">
        <f>+IF(DU192=DT192,0,
IF(AND(EM$44&gt;1,DU192=$N192),1-SUM($EE192:EL192),
IF($N192&lt;=1,
IF($N192&gt;0,1/$N192,0),
IF(EM$44=1,0,VDB(1,0,$N192,INT(EM$44-1-1),MIN($N192,INT(EM$44-1-1)+1),$DC192,IF($DD192="No",1,0))/
IF(DT192&gt;=INT($N192),$N192-INT($N192),1)))*
IF(EM$44=1,0,
IF(INT(DU192)=INT(DT192),DU192-DT192,INT(DU192)-DT192))+
IF($N192&lt;=1,
IF($N192&gt;0,1/$N192,0),VDB(1,0,$N192,INT(EM$44-1),MIN($N192,INT(EM$44-1)+1),$DC192,IF($DD192="No",1,0))/
IF(DU192&gt;INT($N192),$N192-INT($N192),1))*
IF(EM$44=1,DU192,
IF(INT(DU192)=INT(DT192),0,DU192-INT(DU192)))))</f>
        <v>0</v>
      </c>
      <c r="EN192" s="833"/>
      <c r="EO192" s="834">
        <f>+IF(OR(DW192=DV192,EO$44=1),0,
IF(AND(EO$44&gt;1,DW192=$N192),1-SUM($EN192:EN192),
IF($N192&lt;=1,
IF($N192&gt;0,1/$N192,0),
IF(EO$44=2,0,VDB(1,0,$N192,INT(EO$44-2-1),MIN($N192,INT(EO$44-2-1)+1),$DC192,IF($DD192="No",1,0))/
IF(DV192&gt;=INT($N192),$N192-INT($N192),1)))*
IF(EO$44=2,0,
IF(INT(DW192)=INT(DV192),DW192-DV192,INT(DW192)-DV192))+
IF($N192&lt;=1,
IF($N192&gt;0,1/$N192,0),VDB(1,0,$N192,INT(EO$44-2),MIN($N192,INT(EO$44-2)+1),$DC192,IF($DD192="No",1,0))/
IF(DW192&gt;INT($N192),$N192-INT($N192),1))*
IF(EO$44=2,DW192,
IF(INT(DW192)=INT(DV192),0,DW192-INT(DW192)))))</f>
        <v>0</v>
      </c>
      <c r="EP192" s="835">
        <f>+IF(OR(DX192=DW192,EP$44=1),0,
IF(AND(EP$44&gt;1,DX192=$N192),1-SUM($EN192:EO192),
IF($N192&lt;=1,
IF($N192&gt;0,1/$N192,0),
IF(EP$44=2,0,VDB(1,0,$N192,INT(EP$44-2-1),MIN($N192,INT(EP$44-2-1)+1),$DC192,IF($DD192="No",1,0))/
IF(DW192&gt;=INT($N192),$N192-INT($N192),1)))*
IF(EP$44=2,0,
IF(INT(DX192)=INT(DW192),DX192-DW192,INT(DX192)-DW192))+
IF($N192&lt;=1,
IF($N192&gt;0,1/$N192,0),VDB(1,0,$N192,INT(EP$44-2),MIN($N192,INT(EP$44-2)+1),$DC192,IF($DD192="No",1,0))/
IF(DX192&gt;INT($N192),$N192-INT($N192),1))*
IF(EP$44=2,DX192,
IF(INT(DX192)=INT(DW192),0,DX192-INT(DX192)))))</f>
        <v>0</v>
      </c>
      <c r="EQ192" s="836">
        <f>+IF(OR(DY192=DX192,EQ$44=1),0,
IF(AND(EQ$44&gt;1,DY192=$N192),1-SUM($EN192:EP192),
IF($N192&lt;=1,
IF($N192&gt;0,1/$N192,0),
IF(EQ$44=2,0,VDB(1,0,$N192,INT(EQ$44-2-1),MIN($N192,INT(EQ$44-2-1)+1),$DC192,IF($DD192="No",1,0))/
IF(DX192&gt;=INT($N192),$N192-INT($N192),1)))*
IF(EQ$44=2,0,
IF(INT(DY192)=INT(DX192),DY192-DX192,INT(DY192)-DX192))+
IF($N192&lt;=1,
IF($N192&gt;0,1/$N192,0),VDB(1,0,$N192,INT(EQ$44-2),MIN($N192,INT(EQ$44-2)+1),$DC192,IF($DD192="No",1,0))/
IF(DY192&gt;INT($N192),$N192-INT($N192),1))*
IF(EQ$44=2,DY192,
IF(INT(DY192)=INT(DX192),0,DY192-INT(DY192)))))</f>
        <v>0</v>
      </c>
      <c r="ER192" s="834">
        <f>+IF(OR(DZ192=DY192,ER$44=1),0,
IF(AND(ER$44&gt;1,DZ192=$N192),1-SUM($EN192:EQ192),
IF($N192&lt;=1,
IF($N192&gt;0,1/$N192,0),
IF(ER$44=2,0,VDB(1,0,$N192,INT(ER$44-2-1),MIN($N192,INT(ER$44-2-1)+1),$DC192,IF($DD192="No",1,0))/
IF(DY192&gt;=INT($N192),$N192-INT($N192),1)))*
IF(ER$44=2,0,
IF(INT(DZ192)=INT(DY192),DZ192-DY192,INT(DZ192)-DY192))+
IF($N192&lt;=1,
IF($N192&gt;0,1/$N192,0),VDB(1,0,$N192,INT(ER$44-2),MIN($N192,INT(ER$44-2)+1),$DC192,IF($DD192="No",1,0))/
IF(DZ192&gt;INT($N192),$N192-INT($N192),1))*
IF(ER$44=2,DZ192,
IF(INT(DZ192)=INT(DY192),0,DZ192-INT(DZ192)))))</f>
        <v>0</v>
      </c>
      <c r="ES192" s="835">
        <f>+IF(OR(EA192=DZ192,ES$44=1),0,
IF(AND(ES$44&gt;1,EA192=$N192),1-SUM($EN192:ER192),
IF($N192&lt;=1,
IF($N192&gt;0,1/$N192,0),
IF(ES$44=2,0,VDB(1,0,$N192,INT(ES$44-2-1),MIN($N192,INT(ES$44-2-1)+1),$DC192,IF($DD192="No",1,0))/
IF(DZ192&gt;=INT($N192),$N192-INT($N192),1)))*
IF(ES$44=2,0,
IF(INT(EA192)=INT(DZ192),EA192-DZ192,INT(EA192)-DZ192))+
IF($N192&lt;=1,
IF($N192&gt;0,1/$N192,0),VDB(1,0,$N192,INT(ES$44-2),MIN($N192,INT(ES$44-2)+1),$DC192,IF($DD192="No",1,0))/
IF(EA192&gt;INT($N192),$N192-INT($N192),1))*
IF(ES$44=2,EA192,
IF(INT(EA192)=INT(DZ192),0,EA192-INT(EA192)))))</f>
        <v>0</v>
      </c>
      <c r="ET192" s="835">
        <f>+IF(OR(EB192=EA192,ET$44=1),0,
IF(AND(ET$44&gt;1,EB192=$N192),1-SUM($EN192:ES192),
IF($N192&lt;=1,
IF($N192&gt;0,1/$N192,0),
IF(ET$44=2,0,VDB(1,0,$N192,INT(ET$44-2-1),MIN($N192,INT(ET$44-2-1)+1),$DC192,IF($DD192="No",1,0))/
IF(EA192&gt;=INT($N192),$N192-INT($N192),1)))*
IF(ET$44=2,0,
IF(INT(EB192)=INT(EA192),EB192-EA192,INT(EB192)-EA192))+
IF($N192&lt;=1,
IF($N192&gt;0,1/$N192,0),VDB(1,0,$N192,INT(ET$44-2),MIN($N192,INT(ET$44-2)+1),$DC192,IF($DD192="No",1,0))/
IF(EB192&gt;INT($N192),$N192-INT($N192),1))*
IF(ET$44=2,EB192,
IF(INT(EB192)=INT(EA192),0,EB192-INT(EB192)))))</f>
        <v>0</v>
      </c>
      <c r="EU192" s="835">
        <f>+IF(OR(EC192=EB192,EU$44=1),0,
IF(AND(EU$44&gt;1,EC192=$N192),1-SUM($EN192:ET192),
IF($N192&lt;=1,
IF($N192&gt;0,1/$N192,0),
IF(EU$44=2,0,VDB(1,0,$N192,INT(EU$44-2-1),MIN($N192,INT(EU$44-2-1)+1),$DC192,IF($DD192="No",1,0))/
IF(EB192&gt;=INT($N192),$N192-INT($N192),1)))*
IF(EU$44=2,0,
IF(INT(EC192)=INT(EB192),EC192-EB192,INT(EC192)-EB192))+
IF($N192&lt;=1,
IF($N192&gt;0,1/$N192,0),VDB(1,0,$N192,INT(EU$44-2),MIN($N192,INT(EU$44-2)+1),$DC192,IF($DD192="No",1,0))/
IF(EC192&gt;INT($N192),$N192-INT($N192),1))*
IF(EU$44=2,EC192,
IF(INT(EC192)=INT(EB192),0,EC192-INT(EC192)))))</f>
        <v>0</v>
      </c>
      <c r="EV192" s="836">
        <f>+IF(OR(ED192=EC192,EV$44=1),0,
IF(AND(EV$44&gt;1,ED192=$N192),1-SUM($EN192:EU192),
IF($N192&lt;=1,
IF($N192&gt;0,1/$N192,0),
IF(EV$44=2,0,VDB(1,0,$N192,INT(EV$44-2-1),MIN($N192,INT(EV$44-2-1)+1),$DC192,IF($DD192="No",1,0))/
IF(EC192&gt;=INT($N192),$N192-INT($N192),1)))*
IF(EV$44=2,0,
IF(INT(ED192)=INT(EC192),ED192-EC192,INT(ED192)-EC192))+
IF($N192&lt;=1,
IF($N192&gt;0,1/$N192,0),VDB(1,0,$N192,INT(EV$44-2),MIN($N192,INT(EV$44-2)+1),$DC192,IF($DD192="No",1,0))/
IF(ED192&gt;INT($N192),$N192-INT($N192),1))*
IF(EV$44=2,ED192,
IF(INT(ED192)=INT(EC192),0,ED192-INT(ED192)))))</f>
        <v>0</v>
      </c>
      <c r="EW192" s="833"/>
      <c r="EX192" s="834">
        <f t="shared" ca="1" si="350"/>
        <v>0</v>
      </c>
      <c r="EY192" s="835">
        <f t="shared" ca="1" si="350"/>
        <v>0</v>
      </c>
      <c r="EZ192" s="836">
        <f t="shared" ca="1" si="350"/>
        <v>0</v>
      </c>
      <c r="FA192" s="834">
        <f t="shared" ca="1" si="350"/>
        <v>0</v>
      </c>
      <c r="FB192" s="835">
        <f t="shared" ca="1" si="350"/>
        <v>0</v>
      </c>
      <c r="FC192" s="835">
        <f t="shared" ca="1" si="350"/>
        <v>0</v>
      </c>
      <c r="FD192" s="835">
        <f t="shared" ca="1" si="350"/>
        <v>0</v>
      </c>
      <c r="FE192" s="836">
        <f t="shared" ca="1" si="350"/>
        <v>0</v>
      </c>
      <c r="FG192" s="386">
        <f t="shared" ca="1" si="351"/>
        <v>0</v>
      </c>
      <c r="FH192" s="387">
        <f t="shared" ca="1" si="352"/>
        <v>0</v>
      </c>
      <c r="FI192" s="388">
        <f t="shared" ca="1" si="353"/>
        <v>0</v>
      </c>
      <c r="FJ192" s="386">
        <f t="shared" ca="1" si="354"/>
        <v>0</v>
      </c>
      <c r="FK192" s="387">
        <f t="shared" ca="1" si="355"/>
        <v>0</v>
      </c>
      <c r="FL192" s="387">
        <f t="shared" ca="1" si="356"/>
        <v>0</v>
      </c>
      <c r="FM192" s="387">
        <f t="shared" ca="1" si="357"/>
        <v>0</v>
      </c>
      <c r="FN192" s="388">
        <f t="shared" ca="1" si="358"/>
        <v>0</v>
      </c>
      <c r="FR192" s="116"/>
    </row>
    <row r="193" spans="2:174">
      <c r="B193" s="1410">
        <f t="shared" si="359"/>
        <v>147</v>
      </c>
      <c r="C193" s="400"/>
      <c r="D193" s="410"/>
      <c r="E193" s="402"/>
      <c r="F193" s="402"/>
      <c r="G193" s="400"/>
      <c r="H193" s="2088"/>
      <c r="I193" s="2089"/>
      <c r="J193" s="411"/>
      <c r="K193" s="403"/>
      <c r="L193" s="403"/>
      <c r="M193" s="403"/>
      <c r="N193" s="403"/>
      <c r="O193" s="347"/>
      <c r="P193" s="347"/>
      <c r="Q193" s="1021"/>
      <c r="R193" s="1022"/>
      <c r="S193" s="1022"/>
      <c r="T193" s="1022"/>
      <c r="U193" s="1023"/>
      <c r="V193" s="1021"/>
      <c r="W193" s="1022"/>
      <c r="X193" s="1022"/>
      <c r="Y193" s="1022"/>
      <c r="Z193" s="1023"/>
      <c r="AA193" s="1024"/>
      <c r="AB193" s="1021"/>
      <c r="AC193" s="1022"/>
      <c r="AD193" s="1022"/>
      <c r="AE193" s="1022"/>
      <c r="AF193" s="1023"/>
      <c r="AG193" s="1021"/>
      <c r="AH193" s="1022"/>
      <c r="AI193" s="1022"/>
      <c r="AJ193" s="1022"/>
      <c r="AK193" s="1023"/>
      <c r="AL193" s="1024"/>
      <c r="AM193" s="1021"/>
      <c r="AN193" s="1022"/>
      <c r="AO193" s="1022"/>
      <c r="AP193" s="1022"/>
      <c r="AQ193" s="1023"/>
      <c r="AR193" s="1021"/>
      <c r="AS193" s="1022"/>
      <c r="AT193" s="1022"/>
      <c r="AU193" s="1022"/>
      <c r="AV193" s="1023"/>
      <c r="AW193" s="1025"/>
      <c r="AX193" s="1282">
        <f t="shared" si="304"/>
        <v>0</v>
      </c>
      <c r="AY193" s="387">
        <f t="shared" si="305"/>
        <v>0</v>
      </c>
      <c r="AZ193" s="387">
        <f t="shared" si="306"/>
        <v>0</v>
      </c>
      <c r="BA193" s="387">
        <f t="shared" si="307"/>
        <v>0</v>
      </c>
      <c r="BB193" s="1283">
        <f t="shared" si="308"/>
        <v>0</v>
      </c>
      <c r="BC193" s="386">
        <f t="shared" si="309"/>
        <v>0</v>
      </c>
      <c r="BD193" s="387">
        <f t="shared" si="310"/>
        <v>0</v>
      </c>
      <c r="BE193" s="1277">
        <f t="shared" si="311"/>
        <v>0</v>
      </c>
      <c r="BF193" s="1277">
        <f t="shared" si="312"/>
        <v>0</v>
      </c>
      <c r="BG193" s="388">
        <f t="shared" si="313"/>
        <v>0</v>
      </c>
      <c r="BH193" s="1025"/>
      <c r="BI193" s="1282">
        <f t="shared" ca="1" si="314"/>
        <v>0</v>
      </c>
      <c r="BJ193" s="387">
        <f t="shared" ca="1" si="315"/>
        <v>0</v>
      </c>
      <c r="BK193" s="387">
        <f t="shared" ca="1" si="316"/>
        <v>0</v>
      </c>
      <c r="BL193" s="387">
        <f t="shared" ca="1" si="317"/>
        <v>0</v>
      </c>
      <c r="BM193" s="1283">
        <f t="shared" ca="1" si="318"/>
        <v>0</v>
      </c>
      <c r="BN193" s="386">
        <f t="shared" ca="1" si="319"/>
        <v>0</v>
      </c>
      <c r="BO193" s="387">
        <f t="shared" ca="1" si="320"/>
        <v>0</v>
      </c>
      <c r="BP193" s="1277">
        <f t="shared" ca="1" si="321"/>
        <v>0</v>
      </c>
      <c r="BQ193" s="1277">
        <f t="shared" ca="1" si="322"/>
        <v>0</v>
      </c>
      <c r="BR193" s="388">
        <f t="shared" ca="1" si="323"/>
        <v>0</v>
      </c>
      <c r="BS193" s="1025"/>
      <c r="BT193" s="1282">
        <f>+IF($K193="Ongoing",AX193,IF(RIGHT($K193,2)=RIGHT(BT$43,2),SUM($AX193:AX193),0)+IF(RIGHT(BT$43,2)&gt;RIGHT($K193,2),AX193,0))</f>
        <v>0</v>
      </c>
      <c r="BU193" s="387">
        <f>+IF($K193="Ongoing",AY193,IF(RIGHT($K193,2)=RIGHT(BU$43,2),SUM($AX193:AY193),0)+IF(RIGHT(BU$43,2)&gt;RIGHT($K193,2),AY193,0))</f>
        <v>0</v>
      </c>
      <c r="BV193" s="387">
        <f>+IF($K193="Ongoing",AZ193,IF(RIGHT($K193,2)=RIGHT(BV$43,2),SUM($AX193:AZ193),0)+IF(RIGHT(BV$43,2)&gt;RIGHT($K193,2),AZ193,0))</f>
        <v>0</v>
      </c>
      <c r="BW193" s="387">
        <f>+IF($K193="Ongoing",BA193,IF(RIGHT($K193,2)=RIGHT(BW$43,2),SUM($AX193:BA193),0)+IF(RIGHT(BW$43,2)&gt;RIGHT($K193,2),BA193,0))</f>
        <v>0</v>
      </c>
      <c r="BX193" s="1283">
        <f>+IF($K193="Ongoing",BB193,IF(RIGHT($K193,2)=RIGHT(BX$43,2),SUM($AX193:BB193),0)+IF(RIGHT(BX$43,2)&gt;RIGHT($K193,2),BB193,0))</f>
        <v>0</v>
      </c>
      <c r="BY193" s="386">
        <f>+IF($K193="Ongoing",BC193,IF(RIGHT($K193,2)=RIGHT(BY$43,2),SUM($AX193:BC193),0)+IF(RIGHT(BY$43,2)&gt;RIGHT($K193,2),BC193,0))</f>
        <v>0</v>
      </c>
      <c r="BZ193" s="387">
        <f>+IF($K193="Ongoing",BD193,IF(RIGHT($K193,2)=RIGHT(BZ$43,2),SUM($AX193:BD193),0)+IF(RIGHT(BZ$43,2)&gt;RIGHT($K193,2),BD193,0))</f>
        <v>0</v>
      </c>
      <c r="CA193" s="1277">
        <f>+IF($K193="Ongoing",BE193,IF(RIGHT($K193,2)=RIGHT(CA$43,2),SUM($AX193:BE193),0)+IF(RIGHT(CA$43,2)&gt;RIGHT($K193,2),BE193,0))</f>
        <v>0</v>
      </c>
      <c r="CB193" s="1277">
        <f>+IF($K193="Ongoing",BF193,IF(RIGHT($K193,2)=RIGHT(CB$43,2),SUM($AX193:BF193),0)+IF(RIGHT(CB$43,2)&gt;RIGHT($K193,2),BF193,0))</f>
        <v>0</v>
      </c>
      <c r="CC193" s="388">
        <f>+IF($K193="Ongoing",BG193,IF(RIGHT($K193,2)=RIGHT(CC$43,2),SUM($AX193:BG193),0)+IF(RIGHT(CC$43,2)&gt;RIGHT($K193,2),BG193,0))</f>
        <v>0</v>
      </c>
      <c r="CD193" s="1025"/>
      <c r="CE193" s="1282">
        <f>+Q193*KeyAssumptionsPriceControl_FO!AF$15</f>
        <v>0</v>
      </c>
      <c r="CF193" s="387">
        <f>+R193*KeyAssumptionsPriceControl_FO!AG$15</f>
        <v>0</v>
      </c>
      <c r="CG193" s="387">
        <f>+S193*KeyAssumptionsPriceControl_FO!AH$15</f>
        <v>0</v>
      </c>
      <c r="CH193" s="387">
        <f>+T193*KeyAssumptionsPriceControl_FO!AI$15</f>
        <v>0</v>
      </c>
      <c r="CI193" s="1283">
        <f>+U193*KeyAssumptionsPriceControl_FO!AJ$15</f>
        <v>0</v>
      </c>
      <c r="CJ193" s="386">
        <f>+V193*KeyAssumptionsPriceControl_FO!AK$15</f>
        <v>0</v>
      </c>
      <c r="CK193" s="387">
        <f>+W193*KeyAssumptionsPriceControl_FO!AL$15</f>
        <v>0</v>
      </c>
      <c r="CL193" s="1277">
        <f>+X193*KeyAssumptionsPriceControl_FO!AM$15</f>
        <v>0</v>
      </c>
      <c r="CM193" s="1277">
        <f>+Y193*KeyAssumptionsPriceControl_FO!AN$15</f>
        <v>0</v>
      </c>
      <c r="CN193" s="388">
        <f>+Z193*KeyAssumptionsPriceControl_FO!AO$15</f>
        <v>0</v>
      </c>
      <c r="CO193" s="1025"/>
      <c r="CP193" s="1282">
        <f t="shared" ca="1" si="324"/>
        <v>0</v>
      </c>
      <c r="CQ193" s="387">
        <f t="shared" ca="1" si="325"/>
        <v>0</v>
      </c>
      <c r="CR193" s="387">
        <f t="shared" ca="1" si="326"/>
        <v>0</v>
      </c>
      <c r="CS193" s="387">
        <f t="shared" ca="1" si="327"/>
        <v>0</v>
      </c>
      <c r="CT193" s="1283">
        <f t="shared" ca="1" si="328"/>
        <v>0</v>
      </c>
      <c r="CU193" s="386">
        <f t="shared" ca="1" si="329"/>
        <v>0</v>
      </c>
      <c r="CV193" s="387">
        <f t="shared" ca="1" si="330"/>
        <v>0</v>
      </c>
      <c r="CW193" s="1277">
        <f t="shared" ca="1" si="331"/>
        <v>0</v>
      </c>
      <c r="CX193" s="1277">
        <f t="shared" ca="1" si="332"/>
        <v>0</v>
      </c>
      <c r="CY193" s="388">
        <f t="shared" ca="1" si="333"/>
        <v>0</v>
      </c>
      <c r="CZ193" s="347"/>
      <c r="DA193" s="852"/>
      <c r="DB193" s="347"/>
      <c r="DC193" s="1012" t="s">
        <v>714</v>
      </c>
      <c r="DD193" s="841" t="s">
        <v>518</v>
      </c>
      <c r="DE193" s="386">
        <f>+IF($K193="ongoing",CE193,IF(RIGHT($K193,2)=RIGHT(DE$43,2),SUM($CD193:CE193),0)+IF(RIGHT(DE$43,2)&gt;RIGHT($K193,2),CE193,0))</f>
        <v>0</v>
      </c>
      <c r="DF193" s="387">
        <f>+IF($K193="ongoing",CF193,IF(RIGHT($K193,2)=RIGHT(DF$43,2),SUM($CD193:CF193),0)+IF(RIGHT(DF$43,2)&gt;RIGHT($K193,2),CF193,0))</f>
        <v>0</v>
      </c>
      <c r="DG193" s="388">
        <f>+IF($K193="ongoing",CG193,IF(RIGHT($K193,2)=RIGHT(DG$43,2),SUM($CD193:CG193),0)+IF(RIGHT(DG$43,2)&gt;RIGHT($K193,2),CG193,0))</f>
        <v>0</v>
      </c>
      <c r="DH193" s="386">
        <f>+IF($K193="ongoing",CH193,IF(RIGHT($K193,2)=RIGHT(DH$43,2),SUM($CD193:CH193),0)+IF(RIGHT(DH$43,2)&gt;RIGHT($K193,2),CH193,0))</f>
        <v>0</v>
      </c>
      <c r="DI193" s="387">
        <f>+IF($K193="ongoing",CI193,IF(RIGHT($K193,2)=RIGHT(DI$43,2),SUM($CD193:CI193),0)+IF(RIGHT(DI$43,2)&gt;RIGHT($K193,2),CI193,0))</f>
        <v>0</v>
      </c>
      <c r="DJ193" s="387">
        <f>+IF($K193="ongoing",CJ193,IF(RIGHT($K193,2)=RIGHT(DJ$43,2),SUM($CD193:CJ193),0)+IF(RIGHT(DJ$43,2)&gt;RIGHT($K193,2),CJ193,0))</f>
        <v>0</v>
      </c>
      <c r="DK193" s="387">
        <f>+IF($K193="ongoing",CK193,IF(RIGHT($K193,2)=RIGHT(DK$43,2),SUM($CD193:CK193),0)+IF(RIGHT(DK$43,2)&gt;RIGHT($K193,2),CK193,0))</f>
        <v>0</v>
      </c>
      <c r="DL193" s="388">
        <f>+IF($K193="ongoing",CN193,IF(RIGHT($K193,2)=RIGHT(DL$43,2),SUM($CD193:CN193),0)+IF(RIGHT(DL$43,2)&gt;RIGHT($K193,2),CN193,0))</f>
        <v>0</v>
      </c>
      <c r="DM193" s="841"/>
      <c r="DN193" s="386">
        <f t="shared" si="334"/>
        <v>0.5</v>
      </c>
      <c r="DO193" s="387">
        <f t="shared" si="335"/>
        <v>1</v>
      </c>
      <c r="DP193" s="388">
        <f t="shared" si="336"/>
        <v>1</v>
      </c>
      <c r="DQ193" s="386">
        <f t="shared" si="337"/>
        <v>1</v>
      </c>
      <c r="DR193" s="387">
        <f t="shared" si="338"/>
        <v>1</v>
      </c>
      <c r="DS193" s="387">
        <f t="shared" si="339"/>
        <v>1</v>
      </c>
      <c r="DT193" s="387">
        <f t="shared" si="340"/>
        <v>1</v>
      </c>
      <c r="DU193" s="388">
        <f t="shared" si="341"/>
        <v>1</v>
      </c>
      <c r="DW193" s="386">
        <f t="shared" si="342"/>
        <v>0</v>
      </c>
      <c r="DX193" s="387">
        <f t="shared" si="343"/>
        <v>0.5</v>
      </c>
      <c r="DY193" s="388">
        <f t="shared" si="344"/>
        <v>1</v>
      </c>
      <c r="DZ193" s="386">
        <f t="shared" si="345"/>
        <v>1</v>
      </c>
      <c r="EA193" s="387">
        <f t="shared" si="346"/>
        <v>1</v>
      </c>
      <c r="EB193" s="387">
        <f t="shared" si="347"/>
        <v>1</v>
      </c>
      <c r="EC193" s="387">
        <f t="shared" si="348"/>
        <v>1</v>
      </c>
      <c r="ED193" s="388">
        <f t="shared" si="349"/>
        <v>1</v>
      </c>
      <c r="EF193" s="834">
        <f>+IF(DN193=DM193,0,
IF(AND(EF$44&gt;1,DN193=$N193),1-SUM($EE193:EE193),
IF($N193&lt;=1,
IF($N193&gt;0,1/$N193,0),
IF(EF$44=1,0,VDB(1,0,$N193,INT(EF$44-1-1),MIN($N193,INT(EF$44-1-1)+1),$DC193,IF($DD193="No",1,0))/
IF(DM193&gt;=INT($N193),$N193-INT($N193),1)))*
IF(EF$44=1,0,
IF(INT(DN193)=INT(DM193),DN193-DM193,INT(DN193)-DM193))+
IF($N193&lt;=1,
IF($N193&gt;0,1/$N193,0),VDB(1,0,$N193,INT(EF$44-1),MIN($N193,INT(EF$44-1)+1),$DC193,IF($DD193="No",1,0))/
IF(DN193&gt;INT($N193),$N193-INT($N193),1))*
IF(EF$44=1,DN193,
IF(INT(DN193)=INT(DM193),0,DN193-INT(DN193)))))</f>
        <v>0</v>
      </c>
      <c r="EG193" s="835">
        <f>+IF(DO193=DN193,0,
IF(AND(EG$44&gt;1,DO193=$N193),1-SUM($EE193:EF193),
IF($N193&lt;=1,
IF($N193&gt;0,1/$N193,0),
IF(EG$44=1,0,VDB(1,0,$N193,INT(EG$44-1-1),MIN($N193,INT(EG$44-1-1)+1),$DC193,IF($DD193="No",1,0))/
IF(DN193&gt;=INT($N193),$N193-INT($N193),1)))*
IF(EG$44=1,0,
IF(INT(DO193)=INT(DN193),DO193-DN193,INT(DO193)-DN193))+
IF($N193&lt;=1,
IF($N193&gt;0,1/$N193,0),VDB(1,0,$N193,INT(EG$44-1),MIN($N193,INT(EG$44-1)+1),$DC193,IF($DD193="No",1,0))/
IF(DO193&gt;INT($N193),$N193-INT($N193),1))*
IF(EG$44=1,DO193,
IF(INT(DO193)=INT(DN193),0,DO193-INT(DO193)))))</f>
        <v>0</v>
      </c>
      <c r="EH193" s="836">
        <f>+IF(DP193=DO193,0,
IF(AND(EH$44&gt;1,DP193=$N193),1-SUM($EE193:EG193),
IF($N193&lt;=1,
IF($N193&gt;0,1/$N193,0),
IF(EH$44=1,0,VDB(1,0,$N193,INT(EH$44-1-1),MIN($N193,INT(EH$44-1-1)+1),$DC193,IF($DD193="No",1,0))/
IF(DO193&gt;=INT($N193),$N193-INT($N193),1)))*
IF(EH$44=1,0,
IF(INT(DP193)=INT(DO193),DP193-DO193,INT(DP193)-DO193))+
IF($N193&lt;=1,
IF($N193&gt;0,1/$N193,0),VDB(1,0,$N193,INT(EH$44-1),MIN($N193,INT(EH$44-1)+1),$DC193,IF($DD193="No",1,0))/
IF(DP193&gt;INT($N193),$N193-INT($N193),1))*
IF(EH$44=1,DP193,
IF(INT(DP193)=INT(DO193),0,DP193-INT(DP193)))))</f>
        <v>0</v>
      </c>
      <c r="EI193" s="834">
        <f>+IF(DQ193=DP193,0,
IF(AND(EI$44&gt;1,DQ193=$N193),1-SUM($EE193:EH193),
IF($N193&lt;=1,
IF($N193&gt;0,1/$N193,0),
IF(EI$44=1,0,VDB(1,0,$N193,INT(EI$44-1-1),MIN($N193,INT(EI$44-1-1)+1),$DC193,IF($DD193="No",1,0))/
IF(DP193&gt;=INT($N193),$N193-INT($N193),1)))*
IF(EI$44=1,0,
IF(INT(DQ193)=INT(DP193),DQ193-DP193,INT(DQ193)-DP193))+
IF($N193&lt;=1,
IF($N193&gt;0,1/$N193,0),VDB(1,0,$N193,INT(EI$44-1),MIN($N193,INT(EI$44-1)+1),$DC193,IF($DD193="No",1,0))/
IF(DQ193&gt;INT($N193),$N193-INT($N193),1))*
IF(EI$44=1,DQ193,
IF(INT(DQ193)=INT(DP193),0,DQ193-INT(DQ193)))))</f>
        <v>0</v>
      </c>
      <c r="EJ193" s="835">
        <f>+IF(DR193=DQ193,0,
IF(AND(EJ$44&gt;1,DR193=$N193),1-SUM($EE193:EI193),
IF($N193&lt;=1,
IF($N193&gt;0,1/$N193,0),
IF(EJ$44=1,0,VDB(1,0,$N193,INT(EJ$44-1-1),MIN($N193,INT(EJ$44-1-1)+1),$DC193,IF($DD193="No",1,0))/
IF(DQ193&gt;=INT($N193),$N193-INT($N193),1)))*
IF(EJ$44=1,0,
IF(INT(DR193)=INT(DQ193),DR193-DQ193,INT(DR193)-DQ193))+
IF($N193&lt;=1,
IF($N193&gt;0,1/$N193,0),VDB(1,0,$N193,INT(EJ$44-1),MIN($N193,INT(EJ$44-1)+1),$DC193,IF($DD193="No",1,0))/
IF(DR193&gt;INT($N193),$N193-INT($N193),1))*
IF(EJ$44=1,DR193,
IF(INT(DR193)=INT(DQ193),0,DR193-INT(DR193)))))</f>
        <v>0</v>
      </c>
      <c r="EK193" s="835">
        <f>+IF(DS193=DR193,0,
IF(AND(EK$44&gt;1,DS193=$N193),1-SUM($EE193:EJ193),
IF($N193&lt;=1,
IF($N193&gt;0,1/$N193,0),
IF(EK$44=1,0,VDB(1,0,$N193,INT(EK$44-1-1),MIN($N193,INT(EK$44-1-1)+1),$DC193,IF($DD193="No",1,0))/
IF(DR193&gt;=INT($N193),$N193-INT($N193),1)))*
IF(EK$44=1,0,
IF(INT(DS193)=INT(DR193),DS193-DR193,INT(DS193)-DR193))+
IF($N193&lt;=1,
IF($N193&gt;0,1/$N193,0),VDB(1,0,$N193,INT(EK$44-1),MIN($N193,INT(EK$44-1)+1),$DC193,IF($DD193="No",1,0))/
IF(DS193&gt;INT($N193),$N193-INT($N193),1))*
IF(EK$44=1,DS193,
IF(INT(DS193)=INT(DR193),0,DS193-INT(DS193)))))</f>
        <v>0</v>
      </c>
      <c r="EL193" s="835">
        <f>+IF(DT193=DS193,0,
IF(AND(EL$44&gt;1,DT193=$N193),1-SUM($EE193:EK193),
IF($N193&lt;=1,
IF($N193&gt;0,1/$N193,0),
IF(EL$44=1,0,VDB(1,0,$N193,INT(EL$44-1-1),MIN($N193,INT(EL$44-1-1)+1),$DC193,IF($DD193="No",1,0))/
IF(DS193&gt;=INT($N193),$N193-INT($N193),1)))*
IF(EL$44=1,0,
IF(INT(DT193)=INT(DS193),DT193-DS193,INT(DT193)-DS193))+
IF($N193&lt;=1,
IF($N193&gt;0,1/$N193,0),VDB(1,0,$N193,INT(EL$44-1),MIN($N193,INT(EL$44-1)+1),$DC193,IF($DD193="No",1,0))/
IF(DT193&gt;INT($N193),$N193-INT($N193),1))*
IF(EL$44=1,DT193,
IF(INT(DT193)=INT(DS193),0,DT193-INT(DT193)))))</f>
        <v>0</v>
      </c>
      <c r="EM193" s="836">
        <f>+IF(DU193=DT193,0,
IF(AND(EM$44&gt;1,DU193=$N193),1-SUM($EE193:EL193),
IF($N193&lt;=1,
IF($N193&gt;0,1/$N193,0),
IF(EM$44=1,0,VDB(1,0,$N193,INT(EM$44-1-1),MIN($N193,INT(EM$44-1-1)+1),$DC193,IF($DD193="No",1,0))/
IF(DT193&gt;=INT($N193),$N193-INT($N193),1)))*
IF(EM$44=1,0,
IF(INT(DU193)=INT(DT193),DU193-DT193,INT(DU193)-DT193))+
IF($N193&lt;=1,
IF($N193&gt;0,1/$N193,0),VDB(1,0,$N193,INT(EM$44-1),MIN($N193,INT(EM$44-1)+1),$DC193,IF($DD193="No",1,0))/
IF(DU193&gt;INT($N193),$N193-INT($N193),1))*
IF(EM$44=1,DU193,
IF(INT(DU193)=INT(DT193),0,DU193-INT(DU193)))))</f>
        <v>0</v>
      </c>
      <c r="EN193" s="833"/>
      <c r="EO193" s="834">
        <f>+IF(OR(DW193=DV193,EO$44=1),0,
IF(AND(EO$44&gt;1,DW193=$N193),1-SUM($EN193:EN193),
IF($N193&lt;=1,
IF($N193&gt;0,1/$N193,0),
IF(EO$44=2,0,VDB(1,0,$N193,INT(EO$44-2-1),MIN($N193,INT(EO$44-2-1)+1),$DC193,IF($DD193="No",1,0))/
IF(DV193&gt;=INT($N193),$N193-INT($N193),1)))*
IF(EO$44=2,0,
IF(INT(DW193)=INT(DV193),DW193-DV193,INT(DW193)-DV193))+
IF($N193&lt;=1,
IF($N193&gt;0,1/$N193,0),VDB(1,0,$N193,INT(EO$44-2),MIN($N193,INT(EO$44-2)+1),$DC193,IF($DD193="No",1,0))/
IF(DW193&gt;INT($N193),$N193-INT($N193),1))*
IF(EO$44=2,DW193,
IF(INT(DW193)=INT(DV193),0,DW193-INT(DW193)))))</f>
        <v>0</v>
      </c>
      <c r="EP193" s="835">
        <f>+IF(OR(DX193=DW193,EP$44=1),0,
IF(AND(EP$44&gt;1,DX193=$N193),1-SUM($EN193:EO193),
IF($N193&lt;=1,
IF($N193&gt;0,1/$N193,0),
IF(EP$44=2,0,VDB(1,0,$N193,INT(EP$44-2-1),MIN($N193,INT(EP$44-2-1)+1),$DC193,IF($DD193="No",1,0))/
IF(DW193&gt;=INT($N193),$N193-INT($N193),1)))*
IF(EP$44=2,0,
IF(INT(DX193)=INT(DW193),DX193-DW193,INT(DX193)-DW193))+
IF($N193&lt;=1,
IF($N193&gt;0,1/$N193,0),VDB(1,0,$N193,INT(EP$44-2),MIN($N193,INT(EP$44-2)+1),$DC193,IF($DD193="No",1,0))/
IF(DX193&gt;INT($N193),$N193-INT($N193),1))*
IF(EP$44=2,DX193,
IF(INT(DX193)=INT(DW193),0,DX193-INT(DX193)))))</f>
        <v>0</v>
      </c>
      <c r="EQ193" s="836">
        <f>+IF(OR(DY193=DX193,EQ$44=1),0,
IF(AND(EQ$44&gt;1,DY193=$N193),1-SUM($EN193:EP193),
IF($N193&lt;=1,
IF($N193&gt;0,1/$N193,0),
IF(EQ$44=2,0,VDB(1,0,$N193,INT(EQ$44-2-1),MIN($N193,INT(EQ$44-2-1)+1),$DC193,IF($DD193="No",1,0))/
IF(DX193&gt;=INT($N193),$N193-INT($N193),1)))*
IF(EQ$44=2,0,
IF(INT(DY193)=INT(DX193),DY193-DX193,INT(DY193)-DX193))+
IF($N193&lt;=1,
IF($N193&gt;0,1/$N193,0),VDB(1,0,$N193,INT(EQ$44-2),MIN($N193,INT(EQ$44-2)+1),$DC193,IF($DD193="No",1,0))/
IF(DY193&gt;INT($N193),$N193-INT($N193),1))*
IF(EQ$44=2,DY193,
IF(INT(DY193)=INT(DX193),0,DY193-INT(DY193)))))</f>
        <v>0</v>
      </c>
      <c r="ER193" s="834">
        <f>+IF(OR(DZ193=DY193,ER$44=1),0,
IF(AND(ER$44&gt;1,DZ193=$N193),1-SUM($EN193:EQ193),
IF($N193&lt;=1,
IF($N193&gt;0,1/$N193,0),
IF(ER$44=2,0,VDB(1,0,$N193,INT(ER$44-2-1),MIN($N193,INT(ER$44-2-1)+1),$DC193,IF($DD193="No",1,0))/
IF(DY193&gt;=INT($N193),$N193-INT($N193),1)))*
IF(ER$44=2,0,
IF(INT(DZ193)=INT(DY193),DZ193-DY193,INT(DZ193)-DY193))+
IF($N193&lt;=1,
IF($N193&gt;0,1/$N193,0),VDB(1,0,$N193,INT(ER$44-2),MIN($N193,INT(ER$44-2)+1),$DC193,IF($DD193="No",1,0))/
IF(DZ193&gt;INT($N193),$N193-INT($N193),1))*
IF(ER$44=2,DZ193,
IF(INT(DZ193)=INT(DY193),0,DZ193-INT(DZ193)))))</f>
        <v>0</v>
      </c>
      <c r="ES193" s="835">
        <f>+IF(OR(EA193=DZ193,ES$44=1),0,
IF(AND(ES$44&gt;1,EA193=$N193),1-SUM($EN193:ER193),
IF($N193&lt;=1,
IF($N193&gt;0,1/$N193,0),
IF(ES$44=2,0,VDB(1,0,$N193,INT(ES$44-2-1),MIN($N193,INT(ES$44-2-1)+1),$DC193,IF($DD193="No",1,0))/
IF(DZ193&gt;=INT($N193),$N193-INT($N193),1)))*
IF(ES$44=2,0,
IF(INT(EA193)=INT(DZ193),EA193-DZ193,INT(EA193)-DZ193))+
IF($N193&lt;=1,
IF($N193&gt;0,1/$N193,0),VDB(1,0,$N193,INT(ES$44-2),MIN($N193,INT(ES$44-2)+1),$DC193,IF($DD193="No",1,0))/
IF(EA193&gt;INT($N193),$N193-INT($N193),1))*
IF(ES$44=2,EA193,
IF(INT(EA193)=INT(DZ193),0,EA193-INT(EA193)))))</f>
        <v>0</v>
      </c>
      <c r="ET193" s="835">
        <f>+IF(OR(EB193=EA193,ET$44=1),0,
IF(AND(ET$44&gt;1,EB193=$N193),1-SUM($EN193:ES193),
IF($N193&lt;=1,
IF($N193&gt;0,1/$N193,0),
IF(ET$44=2,0,VDB(1,0,$N193,INT(ET$44-2-1),MIN($N193,INT(ET$44-2-1)+1),$DC193,IF($DD193="No",1,0))/
IF(EA193&gt;=INT($N193),$N193-INT($N193),1)))*
IF(ET$44=2,0,
IF(INT(EB193)=INT(EA193),EB193-EA193,INT(EB193)-EA193))+
IF($N193&lt;=1,
IF($N193&gt;0,1/$N193,0),VDB(1,0,$N193,INT(ET$44-2),MIN($N193,INT(ET$44-2)+1),$DC193,IF($DD193="No",1,0))/
IF(EB193&gt;INT($N193),$N193-INT($N193),1))*
IF(ET$44=2,EB193,
IF(INT(EB193)=INT(EA193),0,EB193-INT(EB193)))))</f>
        <v>0</v>
      </c>
      <c r="EU193" s="835">
        <f>+IF(OR(EC193=EB193,EU$44=1),0,
IF(AND(EU$44&gt;1,EC193=$N193),1-SUM($EN193:ET193),
IF($N193&lt;=1,
IF($N193&gt;0,1/$N193,0),
IF(EU$44=2,0,VDB(1,0,$N193,INT(EU$44-2-1),MIN($N193,INT(EU$44-2-1)+1),$DC193,IF($DD193="No",1,0))/
IF(EB193&gt;=INT($N193),$N193-INT($N193),1)))*
IF(EU$44=2,0,
IF(INT(EC193)=INT(EB193),EC193-EB193,INT(EC193)-EB193))+
IF($N193&lt;=1,
IF($N193&gt;0,1/$N193,0),VDB(1,0,$N193,INT(EU$44-2),MIN($N193,INT(EU$44-2)+1),$DC193,IF($DD193="No",1,0))/
IF(EC193&gt;INT($N193),$N193-INT($N193),1))*
IF(EU$44=2,EC193,
IF(INT(EC193)=INT(EB193),0,EC193-INT(EC193)))))</f>
        <v>0</v>
      </c>
      <c r="EV193" s="836">
        <f>+IF(OR(ED193=EC193,EV$44=1),0,
IF(AND(EV$44&gt;1,ED193=$N193),1-SUM($EN193:EU193),
IF($N193&lt;=1,
IF($N193&gt;0,1/$N193,0),
IF(EV$44=2,0,VDB(1,0,$N193,INT(EV$44-2-1),MIN($N193,INT(EV$44-2-1)+1),$DC193,IF($DD193="No",1,0))/
IF(EC193&gt;=INT($N193),$N193-INT($N193),1)))*
IF(EV$44=2,0,
IF(INT(ED193)=INT(EC193),ED193-EC193,INT(ED193)-EC193))+
IF($N193&lt;=1,
IF($N193&gt;0,1/$N193,0),VDB(1,0,$N193,INT(EV$44-2),MIN($N193,INT(EV$44-2)+1),$DC193,IF($DD193="No",1,0))/
IF(ED193&gt;INT($N193),$N193-INT($N193),1))*
IF(EV$44=2,ED193,
IF(INT(ED193)=INT(EC193),0,ED193-INT(ED193)))))</f>
        <v>0</v>
      </c>
      <c r="EW193" s="833"/>
      <c r="EX193" s="834">
        <f t="shared" ca="1" si="350"/>
        <v>0</v>
      </c>
      <c r="EY193" s="835">
        <f t="shared" ca="1" si="350"/>
        <v>0</v>
      </c>
      <c r="EZ193" s="836">
        <f t="shared" ca="1" si="350"/>
        <v>0</v>
      </c>
      <c r="FA193" s="834">
        <f t="shared" ca="1" si="350"/>
        <v>0</v>
      </c>
      <c r="FB193" s="835">
        <f t="shared" ca="1" si="350"/>
        <v>0</v>
      </c>
      <c r="FC193" s="835">
        <f t="shared" ca="1" si="350"/>
        <v>0</v>
      </c>
      <c r="FD193" s="835">
        <f t="shared" ca="1" si="350"/>
        <v>0</v>
      </c>
      <c r="FE193" s="836">
        <f t="shared" ca="1" si="350"/>
        <v>0</v>
      </c>
      <c r="FG193" s="386">
        <f t="shared" ca="1" si="351"/>
        <v>0</v>
      </c>
      <c r="FH193" s="387">
        <f t="shared" ca="1" si="352"/>
        <v>0</v>
      </c>
      <c r="FI193" s="388">
        <f t="shared" ca="1" si="353"/>
        <v>0</v>
      </c>
      <c r="FJ193" s="386">
        <f t="shared" ca="1" si="354"/>
        <v>0</v>
      </c>
      <c r="FK193" s="387">
        <f t="shared" ca="1" si="355"/>
        <v>0</v>
      </c>
      <c r="FL193" s="387">
        <f t="shared" ca="1" si="356"/>
        <v>0</v>
      </c>
      <c r="FM193" s="387">
        <f t="shared" ca="1" si="357"/>
        <v>0</v>
      </c>
      <c r="FN193" s="388">
        <f t="shared" ca="1" si="358"/>
        <v>0</v>
      </c>
      <c r="FR193" s="116"/>
    </row>
    <row r="194" spans="2:174">
      <c r="B194" s="1410">
        <f t="shared" si="359"/>
        <v>148</v>
      </c>
      <c r="C194" s="400"/>
      <c r="D194" s="410"/>
      <c r="E194" s="402"/>
      <c r="F194" s="402"/>
      <c r="G194" s="400"/>
      <c r="H194" s="2088"/>
      <c r="I194" s="2089"/>
      <c r="J194" s="411"/>
      <c r="K194" s="403"/>
      <c r="L194" s="403"/>
      <c r="M194" s="403"/>
      <c r="N194" s="403"/>
      <c r="O194" s="347"/>
      <c r="P194" s="347"/>
      <c r="Q194" s="1021"/>
      <c r="R194" s="1022"/>
      <c r="S194" s="1022"/>
      <c r="T194" s="1022"/>
      <c r="U194" s="1023"/>
      <c r="V194" s="1021"/>
      <c r="W194" s="1022"/>
      <c r="X194" s="1022"/>
      <c r="Y194" s="1022"/>
      <c r="Z194" s="1023"/>
      <c r="AA194" s="1024"/>
      <c r="AB194" s="1021"/>
      <c r="AC194" s="1022"/>
      <c r="AD194" s="1022"/>
      <c r="AE194" s="1022"/>
      <c r="AF194" s="1023"/>
      <c r="AG194" s="1021"/>
      <c r="AH194" s="1022"/>
      <c r="AI194" s="1022"/>
      <c r="AJ194" s="1022"/>
      <c r="AK194" s="1023"/>
      <c r="AL194" s="1024"/>
      <c r="AM194" s="1021"/>
      <c r="AN194" s="1022"/>
      <c r="AO194" s="1022"/>
      <c r="AP194" s="1022"/>
      <c r="AQ194" s="1023"/>
      <c r="AR194" s="1021"/>
      <c r="AS194" s="1022"/>
      <c r="AT194" s="1022"/>
      <c r="AU194" s="1022"/>
      <c r="AV194" s="1023"/>
      <c r="AW194" s="1025"/>
      <c r="AX194" s="1282">
        <f t="shared" si="304"/>
        <v>0</v>
      </c>
      <c r="AY194" s="387">
        <f t="shared" si="305"/>
        <v>0</v>
      </c>
      <c r="AZ194" s="387">
        <f t="shared" si="306"/>
        <v>0</v>
      </c>
      <c r="BA194" s="387">
        <f t="shared" si="307"/>
        <v>0</v>
      </c>
      <c r="BB194" s="1283">
        <f t="shared" si="308"/>
        <v>0</v>
      </c>
      <c r="BC194" s="386">
        <f t="shared" si="309"/>
        <v>0</v>
      </c>
      <c r="BD194" s="387">
        <f t="shared" si="310"/>
        <v>0</v>
      </c>
      <c r="BE194" s="1277">
        <f t="shared" si="311"/>
        <v>0</v>
      </c>
      <c r="BF194" s="1277">
        <f t="shared" si="312"/>
        <v>0</v>
      </c>
      <c r="BG194" s="388">
        <f t="shared" si="313"/>
        <v>0</v>
      </c>
      <c r="BH194" s="1025"/>
      <c r="BI194" s="1282">
        <f t="shared" ca="1" si="314"/>
        <v>0</v>
      </c>
      <c r="BJ194" s="387">
        <f t="shared" ca="1" si="315"/>
        <v>0</v>
      </c>
      <c r="BK194" s="387">
        <f t="shared" ca="1" si="316"/>
        <v>0</v>
      </c>
      <c r="BL194" s="387">
        <f t="shared" ca="1" si="317"/>
        <v>0</v>
      </c>
      <c r="BM194" s="1283">
        <f t="shared" ca="1" si="318"/>
        <v>0</v>
      </c>
      <c r="BN194" s="386">
        <f t="shared" ca="1" si="319"/>
        <v>0</v>
      </c>
      <c r="BO194" s="387">
        <f t="shared" ca="1" si="320"/>
        <v>0</v>
      </c>
      <c r="BP194" s="1277">
        <f t="shared" ca="1" si="321"/>
        <v>0</v>
      </c>
      <c r="BQ194" s="1277">
        <f t="shared" ca="1" si="322"/>
        <v>0</v>
      </c>
      <c r="BR194" s="388">
        <f t="shared" ca="1" si="323"/>
        <v>0</v>
      </c>
      <c r="BS194" s="1025"/>
      <c r="BT194" s="1282">
        <f>+IF($K194="Ongoing",AX194,IF(RIGHT($K194,2)=RIGHT(BT$43,2),SUM($AX194:AX194),0)+IF(RIGHT(BT$43,2)&gt;RIGHT($K194,2),AX194,0))</f>
        <v>0</v>
      </c>
      <c r="BU194" s="387">
        <f>+IF($K194="Ongoing",AY194,IF(RIGHT($K194,2)=RIGHT(BU$43,2),SUM($AX194:AY194),0)+IF(RIGHT(BU$43,2)&gt;RIGHT($K194,2),AY194,0))</f>
        <v>0</v>
      </c>
      <c r="BV194" s="387">
        <f>+IF($K194="Ongoing",AZ194,IF(RIGHT($K194,2)=RIGHT(BV$43,2),SUM($AX194:AZ194),0)+IF(RIGHT(BV$43,2)&gt;RIGHT($K194,2),AZ194,0))</f>
        <v>0</v>
      </c>
      <c r="BW194" s="387">
        <f>+IF($K194="Ongoing",BA194,IF(RIGHT($K194,2)=RIGHT(BW$43,2),SUM($AX194:BA194),0)+IF(RIGHT(BW$43,2)&gt;RIGHT($K194,2),BA194,0))</f>
        <v>0</v>
      </c>
      <c r="BX194" s="1283">
        <f>+IF($K194="Ongoing",BB194,IF(RIGHT($K194,2)=RIGHT(BX$43,2),SUM($AX194:BB194),0)+IF(RIGHT(BX$43,2)&gt;RIGHT($K194,2),BB194,0))</f>
        <v>0</v>
      </c>
      <c r="BY194" s="386">
        <f>+IF($K194="Ongoing",BC194,IF(RIGHT($K194,2)=RIGHT(BY$43,2),SUM($AX194:BC194),0)+IF(RIGHT(BY$43,2)&gt;RIGHT($K194,2),BC194,0))</f>
        <v>0</v>
      </c>
      <c r="BZ194" s="387">
        <f>+IF($K194="Ongoing",BD194,IF(RIGHT($K194,2)=RIGHT(BZ$43,2),SUM($AX194:BD194),0)+IF(RIGHT(BZ$43,2)&gt;RIGHT($K194,2),BD194,0))</f>
        <v>0</v>
      </c>
      <c r="CA194" s="1277">
        <f>+IF($K194="Ongoing",BE194,IF(RIGHT($K194,2)=RIGHT(CA$43,2),SUM($AX194:BE194),0)+IF(RIGHT(CA$43,2)&gt;RIGHT($K194,2),BE194,0))</f>
        <v>0</v>
      </c>
      <c r="CB194" s="1277">
        <f>+IF($K194="Ongoing",BF194,IF(RIGHT($K194,2)=RIGHT(CB$43,2),SUM($AX194:BF194),0)+IF(RIGHT(CB$43,2)&gt;RIGHT($K194,2),BF194,0))</f>
        <v>0</v>
      </c>
      <c r="CC194" s="388">
        <f>+IF($K194="Ongoing",BG194,IF(RIGHT($K194,2)=RIGHT(CC$43,2),SUM($AX194:BG194),0)+IF(RIGHT(CC$43,2)&gt;RIGHT($K194,2),BG194,0))</f>
        <v>0</v>
      </c>
      <c r="CD194" s="1025"/>
      <c r="CE194" s="1282">
        <f>+Q194*KeyAssumptionsPriceControl_FO!AF$15</f>
        <v>0</v>
      </c>
      <c r="CF194" s="387">
        <f>+R194*KeyAssumptionsPriceControl_FO!AG$15</f>
        <v>0</v>
      </c>
      <c r="CG194" s="387">
        <f>+S194*KeyAssumptionsPriceControl_FO!AH$15</f>
        <v>0</v>
      </c>
      <c r="CH194" s="387">
        <f>+T194*KeyAssumptionsPriceControl_FO!AI$15</f>
        <v>0</v>
      </c>
      <c r="CI194" s="1283">
        <f>+U194*KeyAssumptionsPriceControl_FO!AJ$15</f>
        <v>0</v>
      </c>
      <c r="CJ194" s="386">
        <f>+V194*KeyAssumptionsPriceControl_FO!AK$15</f>
        <v>0</v>
      </c>
      <c r="CK194" s="387">
        <f>+W194*KeyAssumptionsPriceControl_FO!AL$15</f>
        <v>0</v>
      </c>
      <c r="CL194" s="1277">
        <f>+X194*KeyAssumptionsPriceControl_FO!AM$15</f>
        <v>0</v>
      </c>
      <c r="CM194" s="1277">
        <f>+Y194*KeyAssumptionsPriceControl_FO!AN$15</f>
        <v>0</v>
      </c>
      <c r="CN194" s="388">
        <f>+Z194*KeyAssumptionsPriceControl_FO!AO$15</f>
        <v>0</v>
      </c>
      <c r="CO194" s="1025"/>
      <c r="CP194" s="1282">
        <f t="shared" ca="1" si="324"/>
        <v>0</v>
      </c>
      <c r="CQ194" s="387">
        <f t="shared" ca="1" si="325"/>
        <v>0</v>
      </c>
      <c r="CR194" s="387">
        <f t="shared" ca="1" si="326"/>
        <v>0</v>
      </c>
      <c r="CS194" s="387">
        <f t="shared" ca="1" si="327"/>
        <v>0</v>
      </c>
      <c r="CT194" s="1283">
        <f t="shared" ca="1" si="328"/>
        <v>0</v>
      </c>
      <c r="CU194" s="386">
        <f t="shared" ca="1" si="329"/>
        <v>0</v>
      </c>
      <c r="CV194" s="387">
        <f t="shared" ca="1" si="330"/>
        <v>0</v>
      </c>
      <c r="CW194" s="1277">
        <f t="shared" ca="1" si="331"/>
        <v>0</v>
      </c>
      <c r="CX194" s="1277">
        <f t="shared" ca="1" si="332"/>
        <v>0</v>
      </c>
      <c r="CY194" s="388">
        <f t="shared" ca="1" si="333"/>
        <v>0</v>
      </c>
      <c r="CZ194" s="347"/>
      <c r="DA194" s="852"/>
      <c r="DB194" s="347"/>
      <c r="DC194" s="1012" t="s">
        <v>715</v>
      </c>
      <c r="DD194" s="841" t="s">
        <v>518</v>
      </c>
      <c r="DE194" s="386">
        <f>+IF($K194="ongoing",CE194,IF(RIGHT($K194,2)=RIGHT(DE$43,2),SUM($CD194:CE194),0)+IF(RIGHT(DE$43,2)&gt;RIGHT($K194,2),CE194,0))</f>
        <v>0</v>
      </c>
      <c r="DF194" s="387">
        <f>+IF($K194="ongoing",CF194,IF(RIGHT($K194,2)=RIGHT(DF$43,2),SUM($CD194:CF194),0)+IF(RIGHT(DF$43,2)&gt;RIGHT($K194,2),CF194,0))</f>
        <v>0</v>
      </c>
      <c r="DG194" s="388">
        <f>+IF($K194="ongoing",CG194,IF(RIGHT($K194,2)=RIGHT(DG$43,2),SUM($CD194:CG194),0)+IF(RIGHT(DG$43,2)&gt;RIGHT($K194,2),CG194,0))</f>
        <v>0</v>
      </c>
      <c r="DH194" s="386">
        <f>+IF($K194="ongoing",CH194,IF(RIGHT($K194,2)=RIGHT(DH$43,2),SUM($CD194:CH194),0)+IF(RIGHT(DH$43,2)&gt;RIGHT($K194,2),CH194,0))</f>
        <v>0</v>
      </c>
      <c r="DI194" s="387">
        <f>+IF($K194="ongoing",CI194,IF(RIGHT($K194,2)=RIGHT(DI$43,2),SUM($CD194:CI194),0)+IF(RIGHT(DI$43,2)&gt;RIGHT($K194,2),CI194,0))</f>
        <v>0</v>
      </c>
      <c r="DJ194" s="387">
        <f>+IF($K194="ongoing",CJ194,IF(RIGHT($K194,2)=RIGHT(DJ$43,2),SUM($CD194:CJ194),0)+IF(RIGHT(DJ$43,2)&gt;RIGHT($K194,2),CJ194,0))</f>
        <v>0</v>
      </c>
      <c r="DK194" s="387">
        <f>+IF($K194="ongoing",CK194,IF(RIGHT($K194,2)=RIGHT(DK$43,2),SUM($CD194:CK194),0)+IF(RIGHT(DK$43,2)&gt;RIGHT($K194,2),CK194,0))</f>
        <v>0</v>
      </c>
      <c r="DL194" s="388">
        <f>+IF($K194="ongoing",CN194,IF(RIGHT($K194,2)=RIGHT(DL$43,2),SUM($CD194:CN194),0)+IF(RIGHT(DL$43,2)&gt;RIGHT($K194,2),CN194,0))</f>
        <v>0</v>
      </c>
      <c r="DM194" s="841"/>
      <c r="DN194" s="386">
        <f t="shared" si="334"/>
        <v>0.5</v>
      </c>
      <c r="DO194" s="387">
        <f t="shared" si="335"/>
        <v>1</v>
      </c>
      <c r="DP194" s="388">
        <f t="shared" si="336"/>
        <v>1</v>
      </c>
      <c r="DQ194" s="386">
        <f t="shared" si="337"/>
        <v>1</v>
      </c>
      <c r="DR194" s="387">
        <f t="shared" si="338"/>
        <v>1</v>
      </c>
      <c r="DS194" s="387">
        <f t="shared" si="339"/>
        <v>1</v>
      </c>
      <c r="DT194" s="387">
        <f t="shared" si="340"/>
        <v>1</v>
      </c>
      <c r="DU194" s="388">
        <f t="shared" si="341"/>
        <v>1</v>
      </c>
      <c r="DW194" s="386">
        <f t="shared" si="342"/>
        <v>0</v>
      </c>
      <c r="DX194" s="387">
        <f t="shared" si="343"/>
        <v>0.5</v>
      </c>
      <c r="DY194" s="388">
        <f t="shared" si="344"/>
        <v>1</v>
      </c>
      <c r="DZ194" s="386">
        <f t="shared" si="345"/>
        <v>1</v>
      </c>
      <c r="EA194" s="387">
        <f t="shared" si="346"/>
        <v>1</v>
      </c>
      <c r="EB194" s="387">
        <f t="shared" si="347"/>
        <v>1</v>
      </c>
      <c r="EC194" s="387">
        <f t="shared" si="348"/>
        <v>1</v>
      </c>
      <c r="ED194" s="388">
        <f t="shared" si="349"/>
        <v>1</v>
      </c>
      <c r="EF194" s="834">
        <f>+IF(DN194=DM194,0,
IF(AND(EF$44&gt;1,DN194=$N194),1-SUM($EE194:EE194),
IF($N194&lt;=1,
IF($N194&gt;0,1/$N194,0),
IF(EF$44=1,0,VDB(1,0,$N194,INT(EF$44-1-1),MIN($N194,INT(EF$44-1-1)+1),$DC194,IF($DD194="No",1,0))/
IF(DM194&gt;=INT($N194),$N194-INT($N194),1)))*
IF(EF$44=1,0,
IF(INT(DN194)=INT(DM194),DN194-DM194,INT(DN194)-DM194))+
IF($N194&lt;=1,
IF($N194&gt;0,1/$N194,0),VDB(1,0,$N194,INT(EF$44-1),MIN($N194,INT(EF$44-1)+1),$DC194,IF($DD194="No",1,0))/
IF(DN194&gt;INT($N194),$N194-INT($N194),1))*
IF(EF$44=1,DN194,
IF(INT(DN194)=INT(DM194),0,DN194-INT(DN194)))))</f>
        <v>0</v>
      </c>
      <c r="EG194" s="835">
        <f>+IF(DO194=DN194,0,
IF(AND(EG$44&gt;1,DO194=$N194),1-SUM($EE194:EF194),
IF($N194&lt;=1,
IF($N194&gt;0,1/$N194,0),
IF(EG$44=1,0,VDB(1,0,$N194,INT(EG$44-1-1),MIN($N194,INT(EG$44-1-1)+1),$DC194,IF($DD194="No",1,0))/
IF(DN194&gt;=INT($N194),$N194-INT($N194),1)))*
IF(EG$44=1,0,
IF(INT(DO194)=INT(DN194),DO194-DN194,INT(DO194)-DN194))+
IF($N194&lt;=1,
IF($N194&gt;0,1/$N194,0),VDB(1,0,$N194,INT(EG$44-1),MIN($N194,INT(EG$44-1)+1),$DC194,IF($DD194="No",1,0))/
IF(DO194&gt;INT($N194),$N194-INT($N194),1))*
IF(EG$44=1,DO194,
IF(INT(DO194)=INT(DN194),0,DO194-INT(DO194)))))</f>
        <v>0</v>
      </c>
      <c r="EH194" s="836">
        <f>+IF(DP194=DO194,0,
IF(AND(EH$44&gt;1,DP194=$N194),1-SUM($EE194:EG194),
IF($N194&lt;=1,
IF($N194&gt;0,1/$N194,0),
IF(EH$44=1,0,VDB(1,0,$N194,INT(EH$44-1-1),MIN($N194,INT(EH$44-1-1)+1),$DC194,IF($DD194="No",1,0))/
IF(DO194&gt;=INT($N194),$N194-INT($N194),1)))*
IF(EH$44=1,0,
IF(INT(DP194)=INT(DO194),DP194-DO194,INT(DP194)-DO194))+
IF($N194&lt;=1,
IF($N194&gt;0,1/$N194,0),VDB(1,0,$N194,INT(EH$44-1),MIN($N194,INT(EH$44-1)+1),$DC194,IF($DD194="No",1,0))/
IF(DP194&gt;INT($N194),$N194-INT($N194),1))*
IF(EH$44=1,DP194,
IF(INT(DP194)=INT(DO194),0,DP194-INT(DP194)))))</f>
        <v>0</v>
      </c>
      <c r="EI194" s="834">
        <f>+IF(DQ194=DP194,0,
IF(AND(EI$44&gt;1,DQ194=$N194),1-SUM($EE194:EH194),
IF($N194&lt;=1,
IF($N194&gt;0,1/$N194,0),
IF(EI$44=1,0,VDB(1,0,$N194,INT(EI$44-1-1),MIN($N194,INT(EI$44-1-1)+1),$DC194,IF($DD194="No",1,0))/
IF(DP194&gt;=INT($N194),$N194-INT($N194),1)))*
IF(EI$44=1,0,
IF(INT(DQ194)=INT(DP194),DQ194-DP194,INT(DQ194)-DP194))+
IF($N194&lt;=1,
IF($N194&gt;0,1/$N194,0),VDB(1,0,$N194,INT(EI$44-1),MIN($N194,INT(EI$44-1)+1),$DC194,IF($DD194="No",1,0))/
IF(DQ194&gt;INT($N194),$N194-INT($N194),1))*
IF(EI$44=1,DQ194,
IF(INT(DQ194)=INT(DP194),0,DQ194-INT(DQ194)))))</f>
        <v>0</v>
      </c>
      <c r="EJ194" s="835">
        <f>+IF(DR194=DQ194,0,
IF(AND(EJ$44&gt;1,DR194=$N194),1-SUM($EE194:EI194),
IF($N194&lt;=1,
IF($N194&gt;0,1/$N194,0),
IF(EJ$44=1,0,VDB(1,0,$N194,INT(EJ$44-1-1),MIN($N194,INT(EJ$44-1-1)+1),$DC194,IF($DD194="No",1,0))/
IF(DQ194&gt;=INT($N194),$N194-INT($N194),1)))*
IF(EJ$44=1,0,
IF(INT(DR194)=INT(DQ194),DR194-DQ194,INT(DR194)-DQ194))+
IF($N194&lt;=1,
IF($N194&gt;0,1/$N194,0),VDB(1,0,$N194,INT(EJ$44-1),MIN($N194,INT(EJ$44-1)+1),$DC194,IF($DD194="No",1,0))/
IF(DR194&gt;INT($N194),$N194-INT($N194),1))*
IF(EJ$44=1,DR194,
IF(INT(DR194)=INT(DQ194),0,DR194-INT(DR194)))))</f>
        <v>0</v>
      </c>
      <c r="EK194" s="835">
        <f>+IF(DS194=DR194,0,
IF(AND(EK$44&gt;1,DS194=$N194),1-SUM($EE194:EJ194),
IF($N194&lt;=1,
IF($N194&gt;0,1/$N194,0),
IF(EK$44=1,0,VDB(1,0,$N194,INT(EK$44-1-1),MIN($N194,INT(EK$44-1-1)+1),$DC194,IF($DD194="No",1,0))/
IF(DR194&gt;=INT($N194),$N194-INT($N194),1)))*
IF(EK$44=1,0,
IF(INT(DS194)=INT(DR194),DS194-DR194,INT(DS194)-DR194))+
IF($N194&lt;=1,
IF($N194&gt;0,1/$N194,0),VDB(1,0,$N194,INT(EK$44-1),MIN($N194,INT(EK$44-1)+1),$DC194,IF($DD194="No",1,0))/
IF(DS194&gt;INT($N194),$N194-INT($N194),1))*
IF(EK$44=1,DS194,
IF(INT(DS194)=INT(DR194),0,DS194-INT(DS194)))))</f>
        <v>0</v>
      </c>
      <c r="EL194" s="835">
        <f>+IF(DT194=DS194,0,
IF(AND(EL$44&gt;1,DT194=$N194),1-SUM($EE194:EK194),
IF($N194&lt;=1,
IF($N194&gt;0,1/$N194,0),
IF(EL$44=1,0,VDB(1,0,$N194,INT(EL$44-1-1),MIN($N194,INT(EL$44-1-1)+1),$DC194,IF($DD194="No",1,0))/
IF(DS194&gt;=INT($N194),$N194-INT($N194),1)))*
IF(EL$44=1,0,
IF(INT(DT194)=INT(DS194),DT194-DS194,INT(DT194)-DS194))+
IF($N194&lt;=1,
IF($N194&gt;0,1/$N194,0),VDB(1,0,$N194,INT(EL$44-1),MIN($N194,INT(EL$44-1)+1),$DC194,IF($DD194="No",1,0))/
IF(DT194&gt;INT($N194),$N194-INT($N194),1))*
IF(EL$44=1,DT194,
IF(INT(DT194)=INT(DS194),0,DT194-INT(DT194)))))</f>
        <v>0</v>
      </c>
      <c r="EM194" s="836">
        <f>+IF(DU194=DT194,0,
IF(AND(EM$44&gt;1,DU194=$N194),1-SUM($EE194:EL194),
IF($N194&lt;=1,
IF($N194&gt;0,1/$N194,0),
IF(EM$44=1,0,VDB(1,0,$N194,INT(EM$44-1-1),MIN($N194,INT(EM$44-1-1)+1),$DC194,IF($DD194="No",1,0))/
IF(DT194&gt;=INT($N194),$N194-INT($N194),1)))*
IF(EM$44=1,0,
IF(INT(DU194)=INT(DT194),DU194-DT194,INT(DU194)-DT194))+
IF($N194&lt;=1,
IF($N194&gt;0,1/$N194,0),VDB(1,0,$N194,INT(EM$44-1),MIN($N194,INT(EM$44-1)+1),$DC194,IF($DD194="No",1,0))/
IF(DU194&gt;INT($N194),$N194-INT($N194),1))*
IF(EM$44=1,DU194,
IF(INT(DU194)=INT(DT194),0,DU194-INT(DU194)))))</f>
        <v>0</v>
      </c>
      <c r="EN194" s="833"/>
      <c r="EO194" s="834">
        <f>+IF(OR(DW194=DV194,EO$44=1),0,
IF(AND(EO$44&gt;1,DW194=$N194),1-SUM($EN194:EN194),
IF($N194&lt;=1,
IF($N194&gt;0,1/$N194,0),
IF(EO$44=2,0,VDB(1,0,$N194,INT(EO$44-2-1),MIN($N194,INT(EO$44-2-1)+1),$DC194,IF($DD194="No",1,0))/
IF(DV194&gt;=INT($N194),$N194-INT($N194),1)))*
IF(EO$44=2,0,
IF(INT(DW194)=INT(DV194),DW194-DV194,INT(DW194)-DV194))+
IF($N194&lt;=1,
IF($N194&gt;0,1/$N194,0),VDB(1,0,$N194,INT(EO$44-2),MIN($N194,INT(EO$44-2)+1),$DC194,IF($DD194="No",1,0))/
IF(DW194&gt;INT($N194),$N194-INT($N194),1))*
IF(EO$44=2,DW194,
IF(INT(DW194)=INT(DV194),0,DW194-INT(DW194)))))</f>
        <v>0</v>
      </c>
      <c r="EP194" s="835">
        <f>+IF(OR(DX194=DW194,EP$44=1),0,
IF(AND(EP$44&gt;1,DX194=$N194),1-SUM($EN194:EO194),
IF($N194&lt;=1,
IF($N194&gt;0,1/$N194,0),
IF(EP$44=2,0,VDB(1,0,$N194,INT(EP$44-2-1),MIN($N194,INT(EP$44-2-1)+1),$DC194,IF($DD194="No",1,0))/
IF(DW194&gt;=INT($N194),$N194-INT($N194),1)))*
IF(EP$44=2,0,
IF(INT(DX194)=INT(DW194),DX194-DW194,INT(DX194)-DW194))+
IF($N194&lt;=1,
IF($N194&gt;0,1/$N194,0),VDB(1,0,$N194,INT(EP$44-2),MIN($N194,INT(EP$44-2)+1),$DC194,IF($DD194="No",1,0))/
IF(DX194&gt;INT($N194),$N194-INT($N194),1))*
IF(EP$44=2,DX194,
IF(INT(DX194)=INT(DW194),0,DX194-INT(DX194)))))</f>
        <v>0</v>
      </c>
      <c r="EQ194" s="836">
        <f>+IF(OR(DY194=DX194,EQ$44=1),0,
IF(AND(EQ$44&gt;1,DY194=$N194),1-SUM($EN194:EP194),
IF($N194&lt;=1,
IF($N194&gt;0,1/$N194,0),
IF(EQ$44=2,0,VDB(1,0,$N194,INT(EQ$44-2-1),MIN($N194,INT(EQ$44-2-1)+1),$DC194,IF($DD194="No",1,0))/
IF(DX194&gt;=INT($N194),$N194-INT($N194),1)))*
IF(EQ$44=2,0,
IF(INT(DY194)=INT(DX194),DY194-DX194,INT(DY194)-DX194))+
IF($N194&lt;=1,
IF($N194&gt;0,1/$N194,0),VDB(1,0,$N194,INT(EQ$44-2),MIN($N194,INT(EQ$44-2)+1),$DC194,IF($DD194="No",1,0))/
IF(DY194&gt;INT($N194),$N194-INT($N194),1))*
IF(EQ$44=2,DY194,
IF(INT(DY194)=INT(DX194),0,DY194-INT(DY194)))))</f>
        <v>0</v>
      </c>
      <c r="ER194" s="834">
        <f>+IF(OR(DZ194=DY194,ER$44=1),0,
IF(AND(ER$44&gt;1,DZ194=$N194),1-SUM($EN194:EQ194),
IF($N194&lt;=1,
IF($N194&gt;0,1/$N194,0),
IF(ER$44=2,0,VDB(1,0,$N194,INT(ER$44-2-1),MIN($N194,INT(ER$44-2-1)+1),$DC194,IF($DD194="No",1,0))/
IF(DY194&gt;=INT($N194),$N194-INT($N194),1)))*
IF(ER$44=2,0,
IF(INT(DZ194)=INT(DY194),DZ194-DY194,INT(DZ194)-DY194))+
IF($N194&lt;=1,
IF($N194&gt;0,1/$N194,0),VDB(1,0,$N194,INT(ER$44-2),MIN($N194,INT(ER$44-2)+1),$DC194,IF($DD194="No",1,0))/
IF(DZ194&gt;INT($N194),$N194-INT($N194),1))*
IF(ER$44=2,DZ194,
IF(INT(DZ194)=INT(DY194),0,DZ194-INT(DZ194)))))</f>
        <v>0</v>
      </c>
      <c r="ES194" s="835">
        <f>+IF(OR(EA194=DZ194,ES$44=1),0,
IF(AND(ES$44&gt;1,EA194=$N194),1-SUM($EN194:ER194),
IF($N194&lt;=1,
IF($N194&gt;0,1/$N194,0),
IF(ES$44=2,0,VDB(1,0,$N194,INT(ES$44-2-1),MIN($N194,INT(ES$44-2-1)+1),$DC194,IF($DD194="No",1,0))/
IF(DZ194&gt;=INT($N194),$N194-INT($N194),1)))*
IF(ES$44=2,0,
IF(INT(EA194)=INT(DZ194),EA194-DZ194,INT(EA194)-DZ194))+
IF($N194&lt;=1,
IF($N194&gt;0,1/$N194,0),VDB(1,0,$N194,INT(ES$44-2),MIN($N194,INT(ES$44-2)+1),$DC194,IF($DD194="No",1,0))/
IF(EA194&gt;INT($N194),$N194-INT($N194),1))*
IF(ES$44=2,EA194,
IF(INT(EA194)=INT(DZ194),0,EA194-INT(EA194)))))</f>
        <v>0</v>
      </c>
      <c r="ET194" s="835">
        <f>+IF(OR(EB194=EA194,ET$44=1),0,
IF(AND(ET$44&gt;1,EB194=$N194),1-SUM($EN194:ES194),
IF($N194&lt;=1,
IF($N194&gt;0,1/$N194,0),
IF(ET$44=2,0,VDB(1,0,$N194,INT(ET$44-2-1),MIN($N194,INT(ET$44-2-1)+1),$DC194,IF($DD194="No",1,0))/
IF(EA194&gt;=INT($N194),$N194-INT($N194),1)))*
IF(ET$44=2,0,
IF(INT(EB194)=INT(EA194),EB194-EA194,INT(EB194)-EA194))+
IF($N194&lt;=1,
IF($N194&gt;0,1/$N194,0),VDB(1,0,$N194,INT(ET$44-2),MIN($N194,INT(ET$44-2)+1),$DC194,IF($DD194="No",1,0))/
IF(EB194&gt;INT($N194),$N194-INT($N194),1))*
IF(ET$44=2,EB194,
IF(INT(EB194)=INT(EA194),0,EB194-INT(EB194)))))</f>
        <v>0</v>
      </c>
      <c r="EU194" s="835">
        <f>+IF(OR(EC194=EB194,EU$44=1),0,
IF(AND(EU$44&gt;1,EC194=$N194),1-SUM($EN194:ET194),
IF($N194&lt;=1,
IF($N194&gt;0,1/$N194,0),
IF(EU$44=2,0,VDB(1,0,$N194,INT(EU$44-2-1),MIN($N194,INT(EU$44-2-1)+1),$DC194,IF($DD194="No",1,0))/
IF(EB194&gt;=INT($N194),$N194-INT($N194),1)))*
IF(EU$44=2,0,
IF(INT(EC194)=INT(EB194),EC194-EB194,INT(EC194)-EB194))+
IF($N194&lt;=1,
IF($N194&gt;0,1/$N194,0),VDB(1,0,$N194,INT(EU$44-2),MIN($N194,INT(EU$44-2)+1),$DC194,IF($DD194="No",1,0))/
IF(EC194&gt;INT($N194),$N194-INT($N194),1))*
IF(EU$44=2,EC194,
IF(INT(EC194)=INT(EB194),0,EC194-INT(EC194)))))</f>
        <v>0</v>
      </c>
      <c r="EV194" s="836">
        <f>+IF(OR(ED194=EC194,EV$44=1),0,
IF(AND(EV$44&gt;1,ED194=$N194),1-SUM($EN194:EU194),
IF($N194&lt;=1,
IF($N194&gt;0,1/$N194,0),
IF(EV$44=2,0,VDB(1,0,$N194,INT(EV$44-2-1),MIN($N194,INT(EV$44-2-1)+1),$DC194,IF($DD194="No",1,0))/
IF(EC194&gt;=INT($N194),$N194-INT($N194),1)))*
IF(EV$44=2,0,
IF(INT(ED194)=INT(EC194),ED194-EC194,INT(ED194)-EC194))+
IF($N194&lt;=1,
IF($N194&gt;0,1/$N194,0),VDB(1,0,$N194,INT(EV$44-2),MIN($N194,INT(EV$44-2)+1),$DC194,IF($DD194="No",1,0))/
IF(ED194&gt;INT($N194),$N194-INT($N194),1))*
IF(EV$44=2,ED194,
IF(INT(ED194)=INT(EC194),0,ED194-INT(ED194)))))</f>
        <v>0</v>
      </c>
      <c r="EW194" s="833"/>
      <c r="EX194" s="834">
        <f t="shared" ca="1" si="350"/>
        <v>0</v>
      </c>
      <c r="EY194" s="835">
        <f t="shared" ca="1" si="350"/>
        <v>0</v>
      </c>
      <c r="EZ194" s="836">
        <f t="shared" ca="1" si="350"/>
        <v>0</v>
      </c>
      <c r="FA194" s="834">
        <f t="shared" ca="1" si="350"/>
        <v>0</v>
      </c>
      <c r="FB194" s="835">
        <f t="shared" ca="1" si="350"/>
        <v>0</v>
      </c>
      <c r="FC194" s="835">
        <f t="shared" ca="1" si="350"/>
        <v>0</v>
      </c>
      <c r="FD194" s="835">
        <f t="shared" ca="1" si="350"/>
        <v>0</v>
      </c>
      <c r="FE194" s="836">
        <f t="shared" ca="1" si="350"/>
        <v>0</v>
      </c>
      <c r="FG194" s="386">
        <f t="shared" ca="1" si="351"/>
        <v>0</v>
      </c>
      <c r="FH194" s="387">
        <f t="shared" ca="1" si="352"/>
        <v>0</v>
      </c>
      <c r="FI194" s="388">
        <f t="shared" ca="1" si="353"/>
        <v>0</v>
      </c>
      <c r="FJ194" s="386">
        <f t="shared" ca="1" si="354"/>
        <v>0</v>
      </c>
      <c r="FK194" s="387">
        <f t="shared" ca="1" si="355"/>
        <v>0</v>
      </c>
      <c r="FL194" s="387">
        <f t="shared" ca="1" si="356"/>
        <v>0</v>
      </c>
      <c r="FM194" s="387">
        <f t="shared" ca="1" si="357"/>
        <v>0</v>
      </c>
      <c r="FN194" s="388">
        <f t="shared" ca="1" si="358"/>
        <v>0</v>
      </c>
      <c r="FR194" s="116"/>
    </row>
    <row r="195" spans="2:174">
      <c r="B195" s="1410">
        <f t="shared" si="359"/>
        <v>149</v>
      </c>
      <c r="C195" s="400"/>
      <c r="D195" s="410"/>
      <c r="E195" s="402"/>
      <c r="F195" s="402"/>
      <c r="G195" s="400"/>
      <c r="H195" s="2088"/>
      <c r="I195" s="2089"/>
      <c r="J195" s="411"/>
      <c r="K195" s="403"/>
      <c r="L195" s="403"/>
      <c r="M195" s="403"/>
      <c r="N195" s="403"/>
      <c r="O195" s="347"/>
      <c r="P195" s="347"/>
      <c r="Q195" s="1021"/>
      <c r="R195" s="1022"/>
      <c r="S195" s="1022"/>
      <c r="T195" s="1022"/>
      <c r="U195" s="1023"/>
      <c r="V195" s="1021"/>
      <c r="W195" s="1022"/>
      <c r="X195" s="1022"/>
      <c r="Y195" s="1022"/>
      <c r="Z195" s="1023"/>
      <c r="AA195" s="1024"/>
      <c r="AB195" s="1021"/>
      <c r="AC195" s="1022"/>
      <c r="AD195" s="1022"/>
      <c r="AE195" s="1022"/>
      <c r="AF195" s="1023"/>
      <c r="AG195" s="1021"/>
      <c r="AH195" s="1022"/>
      <c r="AI195" s="1022"/>
      <c r="AJ195" s="1022"/>
      <c r="AK195" s="1023"/>
      <c r="AL195" s="1024"/>
      <c r="AM195" s="1021"/>
      <c r="AN195" s="1022"/>
      <c r="AO195" s="1022"/>
      <c r="AP195" s="1022"/>
      <c r="AQ195" s="1023"/>
      <c r="AR195" s="1021"/>
      <c r="AS195" s="1022"/>
      <c r="AT195" s="1022"/>
      <c r="AU195" s="1022"/>
      <c r="AV195" s="1023"/>
      <c r="AW195" s="1025"/>
      <c r="AX195" s="1282">
        <f t="shared" si="304"/>
        <v>0</v>
      </c>
      <c r="AY195" s="387">
        <f t="shared" si="305"/>
        <v>0</v>
      </c>
      <c r="AZ195" s="387">
        <f t="shared" si="306"/>
        <v>0</v>
      </c>
      <c r="BA195" s="387">
        <f t="shared" si="307"/>
        <v>0</v>
      </c>
      <c r="BB195" s="1283">
        <f t="shared" si="308"/>
        <v>0</v>
      </c>
      <c r="BC195" s="386">
        <f t="shared" si="309"/>
        <v>0</v>
      </c>
      <c r="BD195" s="387">
        <f t="shared" si="310"/>
        <v>0</v>
      </c>
      <c r="BE195" s="1277">
        <f t="shared" si="311"/>
        <v>0</v>
      </c>
      <c r="BF195" s="1277">
        <f t="shared" si="312"/>
        <v>0</v>
      </c>
      <c r="BG195" s="388">
        <f t="shared" si="313"/>
        <v>0</v>
      </c>
      <c r="BH195" s="1025"/>
      <c r="BI195" s="1282">
        <f t="shared" ca="1" si="314"/>
        <v>0</v>
      </c>
      <c r="BJ195" s="387">
        <f t="shared" ca="1" si="315"/>
        <v>0</v>
      </c>
      <c r="BK195" s="387">
        <f t="shared" ca="1" si="316"/>
        <v>0</v>
      </c>
      <c r="BL195" s="387">
        <f t="shared" ca="1" si="317"/>
        <v>0</v>
      </c>
      <c r="BM195" s="1283">
        <f t="shared" ca="1" si="318"/>
        <v>0</v>
      </c>
      <c r="BN195" s="386">
        <f t="shared" ca="1" si="319"/>
        <v>0</v>
      </c>
      <c r="BO195" s="387">
        <f t="shared" ca="1" si="320"/>
        <v>0</v>
      </c>
      <c r="BP195" s="1277">
        <f t="shared" ca="1" si="321"/>
        <v>0</v>
      </c>
      <c r="BQ195" s="1277">
        <f t="shared" ca="1" si="322"/>
        <v>0</v>
      </c>
      <c r="BR195" s="388">
        <f t="shared" ca="1" si="323"/>
        <v>0</v>
      </c>
      <c r="BS195" s="1025"/>
      <c r="BT195" s="1282">
        <f>+IF($K195="Ongoing",AX195,IF(RIGHT($K195,2)=RIGHT(BT$43,2),SUM($AX195:AX195),0)+IF(RIGHT(BT$43,2)&gt;RIGHT($K195,2),AX195,0))</f>
        <v>0</v>
      </c>
      <c r="BU195" s="387">
        <f>+IF($K195="Ongoing",AY195,IF(RIGHT($K195,2)=RIGHT(BU$43,2),SUM($AX195:AY195),0)+IF(RIGHT(BU$43,2)&gt;RIGHT($K195,2),AY195,0))</f>
        <v>0</v>
      </c>
      <c r="BV195" s="387">
        <f>+IF($K195="Ongoing",AZ195,IF(RIGHT($K195,2)=RIGHT(BV$43,2),SUM($AX195:AZ195),0)+IF(RIGHT(BV$43,2)&gt;RIGHT($K195,2),AZ195,0))</f>
        <v>0</v>
      </c>
      <c r="BW195" s="387">
        <f>+IF($K195="Ongoing",BA195,IF(RIGHT($K195,2)=RIGHT(BW$43,2),SUM($AX195:BA195),0)+IF(RIGHT(BW$43,2)&gt;RIGHT($K195,2),BA195,0))</f>
        <v>0</v>
      </c>
      <c r="BX195" s="1283">
        <f>+IF($K195="Ongoing",BB195,IF(RIGHT($K195,2)=RIGHT(BX$43,2),SUM($AX195:BB195),0)+IF(RIGHT(BX$43,2)&gt;RIGHT($K195,2),BB195,0))</f>
        <v>0</v>
      </c>
      <c r="BY195" s="386">
        <f>+IF($K195="Ongoing",BC195,IF(RIGHT($K195,2)=RIGHT(BY$43,2),SUM($AX195:BC195),0)+IF(RIGHT(BY$43,2)&gt;RIGHT($K195,2),BC195,0))</f>
        <v>0</v>
      </c>
      <c r="BZ195" s="387">
        <f>+IF($K195="Ongoing",BD195,IF(RIGHT($K195,2)=RIGHT(BZ$43,2),SUM($AX195:BD195),0)+IF(RIGHT(BZ$43,2)&gt;RIGHT($K195,2),BD195,0))</f>
        <v>0</v>
      </c>
      <c r="CA195" s="1277">
        <f>+IF($K195="Ongoing",BE195,IF(RIGHT($K195,2)=RIGHT(CA$43,2),SUM($AX195:BE195),0)+IF(RIGHT(CA$43,2)&gt;RIGHT($K195,2),BE195,0))</f>
        <v>0</v>
      </c>
      <c r="CB195" s="1277">
        <f>+IF($K195="Ongoing",BF195,IF(RIGHT($K195,2)=RIGHT(CB$43,2),SUM($AX195:BF195),0)+IF(RIGHT(CB$43,2)&gt;RIGHT($K195,2),BF195,0))</f>
        <v>0</v>
      </c>
      <c r="CC195" s="388">
        <f>+IF($K195="Ongoing",BG195,IF(RIGHT($K195,2)=RIGHT(CC$43,2),SUM($AX195:BG195),0)+IF(RIGHT(CC$43,2)&gt;RIGHT($K195,2),BG195,0))</f>
        <v>0</v>
      </c>
      <c r="CD195" s="1025"/>
      <c r="CE195" s="1282">
        <f>+Q195*KeyAssumptionsPriceControl_FO!AF$15</f>
        <v>0</v>
      </c>
      <c r="CF195" s="387">
        <f>+R195*KeyAssumptionsPriceControl_FO!AG$15</f>
        <v>0</v>
      </c>
      <c r="CG195" s="387">
        <f>+S195*KeyAssumptionsPriceControl_FO!AH$15</f>
        <v>0</v>
      </c>
      <c r="CH195" s="387">
        <f>+T195*KeyAssumptionsPriceControl_FO!AI$15</f>
        <v>0</v>
      </c>
      <c r="CI195" s="1283">
        <f>+U195*KeyAssumptionsPriceControl_FO!AJ$15</f>
        <v>0</v>
      </c>
      <c r="CJ195" s="386">
        <f>+V195*KeyAssumptionsPriceControl_FO!AK$15</f>
        <v>0</v>
      </c>
      <c r="CK195" s="387">
        <f>+W195*KeyAssumptionsPriceControl_FO!AL$15</f>
        <v>0</v>
      </c>
      <c r="CL195" s="1277">
        <f>+X195*KeyAssumptionsPriceControl_FO!AM$15</f>
        <v>0</v>
      </c>
      <c r="CM195" s="1277">
        <f>+Y195*KeyAssumptionsPriceControl_FO!AN$15</f>
        <v>0</v>
      </c>
      <c r="CN195" s="388">
        <f>+Z195*KeyAssumptionsPriceControl_FO!AO$15</f>
        <v>0</v>
      </c>
      <c r="CO195" s="1025"/>
      <c r="CP195" s="1282">
        <f t="shared" ca="1" si="324"/>
        <v>0</v>
      </c>
      <c r="CQ195" s="387">
        <f t="shared" ca="1" si="325"/>
        <v>0</v>
      </c>
      <c r="CR195" s="387">
        <f t="shared" ca="1" si="326"/>
        <v>0</v>
      </c>
      <c r="CS195" s="387">
        <f t="shared" ca="1" si="327"/>
        <v>0</v>
      </c>
      <c r="CT195" s="1283">
        <f t="shared" ca="1" si="328"/>
        <v>0</v>
      </c>
      <c r="CU195" s="386">
        <f t="shared" ca="1" si="329"/>
        <v>0</v>
      </c>
      <c r="CV195" s="387">
        <f t="shared" ca="1" si="330"/>
        <v>0</v>
      </c>
      <c r="CW195" s="1277">
        <f t="shared" ca="1" si="331"/>
        <v>0</v>
      </c>
      <c r="CX195" s="1277">
        <f t="shared" ca="1" si="332"/>
        <v>0</v>
      </c>
      <c r="CY195" s="388">
        <f t="shared" ca="1" si="333"/>
        <v>0</v>
      </c>
      <c r="CZ195" s="347"/>
      <c r="DA195" s="852"/>
      <c r="DB195" s="347"/>
      <c r="DC195" s="1012" t="s">
        <v>716</v>
      </c>
      <c r="DD195" s="841" t="s">
        <v>518</v>
      </c>
      <c r="DE195" s="386">
        <f>+IF($K195="ongoing",CE195,IF(RIGHT($K195,2)=RIGHT(DE$43,2),SUM($CD195:CE195),0)+IF(RIGHT(DE$43,2)&gt;RIGHT($K195,2),CE195,0))</f>
        <v>0</v>
      </c>
      <c r="DF195" s="387">
        <f>+IF($K195="ongoing",CF195,IF(RIGHT($K195,2)=RIGHT(DF$43,2),SUM($CD195:CF195),0)+IF(RIGHT(DF$43,2)&gt;RIGHT($K195,2),CF195,0))</f>
        <v>0</v>
      </c>
      <c r="DG195" s="388">
        <f>+IF($K195="ongoing",CG195,IF(RIGHT($K195,2)=RIGHT(DG$43,2),SUM($CD195:CG195),0)+IF(RIGHT(DG$43,2)&gt;RIGHT($K195,2),CG195,0))</f>
        <v>0</v>
      </c>
      <c r="DH195" s="386">
        <f>+IF($K195="ongoing",CH195,IF(RIGHT($K195,2)=RIGHT(DH$43,2),SUM($CD195:CH195),0)+IF(RIGHT(DH$43,2)&gt;RIGHT($K195,2),CH195,0))</f>
        <v>0</v>
      </c>
      <c r="DI195" s="387">
        <f>+IF($K195="ongoing",CI195,IF(RIGHT($K195,2)=RIGHT(DI$43,2),SUM($CD195:CI195),0)+IF(RIGHT(DI$43,2)&gt;RIGHT($K195,2),CI195,0))</f>
        <v>0</v>
      </c>
      <c r="DJ195" s="387">
        <f>+IF($K195="ongoing",CJ195,IF(RIGHT($K195,2)=RIGHT(DJ$43,2),SUM($CD195:CJ195),0)+IF(RIGHT(DJ$43,2)&gt;RIGHT($K195,2),CJ195,0))</f>
        <v>0</v>
      </c>
      <c r="DK195" s="387">
        <f>+IF($K195="ongoing",CK195,IF(RIGHT($K195,2)=RIGHT(DK$43,2),SUM($CD195:CK195),0)+IF(RIGHT(DK$43,2)&gt;RIGHT($K195,2),CK195,0))</f>
        <v>0</v>
      </c>
      <c r="DL195" s="388">
        <f>+IF($K195="ongoing",CN195,IF(RIGHT($K195,2)=RIGHT(DL$43,2),SUM($CD195:CN195),0)+IF(RIGHT(DL$43,2)&gt;RIGHT($K195,2),CN195,0))</f>
        <v>0</v>
      </c>
      <c r="DM195" s="841"/>
      <c r="DN195" s="386">
        <f t="shared" si="334"/>
        <v>0.5</v>
      </c>
      <c r="DO195" s="387">
        <f t="shared" si="335"/>
        <v>1</v>
      </c>
      <c r="DP195" s="388">
        <f t="shared" si="336"/>
        <v>1</v>
      </c>
      <c r="DQ195" s="386">
        <f t="shared" si="337"/>
        <v>1</v>
      </c>
      <c r="DR195" s="387">
        <f t="shared" si="338"/>
        <v>1</v>
      </c>
      <c r="DS195" s="387">
        <f t="shared" si="339"/>
        <v>1</v>
      </c>
      <c r="DT195" s="387">
        <f t="shared" si="340"/>
        <v>1</v>
      </c>
      <c r="DU195" s="388">
        <f t="shared" si="341"/>
        <v>1</v>
      </c>
      <c r="DW195" s="386">
        <f t="shared" si="342"/>
        <v>0</v>
      </c>
      <c r="DX195" s="387">
        <f t="shared" si="343"/>
        <v>0.5</v>
      </c>
      <c r="DY195" s="388">
        <f t="shared" si="344"/>
        <v>1</v>
      </c>
      <c r="DZ195" s="386">
        <f t="shared" si="345"/>
        <v>1</v>
      </c>
      <c r="EA195" s="387">
        <f t="shared" si="346"/>
        <v>1</v>
      </c>
      <c r="EB195" s="387">
        <f t="shared" si="347"/>
        <v>1</v>
      </c>
      <c r="EC195" s="387">
        <f t="shared" si="348"/>
        <v>1</v>
      </c>
      <c r="ED195" s="388">
        <f t="shared" si="349"/>
        <v>1</v>
      </c>
      <c r="EF195" s="834">
        <f>+IF(DN195=DM195,0,
IF(AND(EF$44&gt;1,DN195=$N195),1-SUM($EE195:EE195),
IF($N195&lt;=1,
IF($N195&gt;0,1/$N195,0),
IF(EF$44=1,0,VDB(1,0,$N195,INT(EF$44-1-1),MIN($N195,INT(EF$44-1-1)+1),$DC195,IF($DD195="No",1,0))/
IF(DM195&gt;=INT($N195),$N195-INT($N195),1)))*
IF(EF$44=1,0,
IF(INT(DN195)=INT(DM195),DN195-DM195,INT(DN195)-DM195))+
IF($N195&lt;=1,
IF($N195&gt;0,1/$N195,0),VDB(1,0,$N195,INT(EF$44-1),MIN($N195,INT(EF$44-1)+1),$DC195,IF($DD195="No",1,0))/
IF(DN195&gt;INT($N195),$N195-INT($N195),1))*
IF(EF$44=1,DN195,
IF(INT(DN195)=INT(DM195),0,DN195-INT(DN195)))))</f>
        <v>0</v>
      </c>
      <c r="EG195" s="835">
        <f>+IF(DO195=DN195,0,
IF(AND(EG$44&gt;1,DO195=$N195),1-SUM($EE195:EF195),
IF($N195&lt;=1,
IF($N195&gt;0,1/$N195,0),
IF(EG$44=1,0,VDB(1,0,$N195,INT(EG$44-1-1),MIN($N195,INT(EG$44-1-1)+1),$DC195,IF($DD195="No",1,0))/
IF(DN195&gt;=INT($N195),$N195-INT($N195),1)))*
IF(EG$44=1,0,
IF(INT(DO195)=INT(DN195),DO195-DN195,INT(DO195)-DN195))+
IF($N195&lt;=1,
IF($N195&gt;0,1/$N195,0),VDB(1,0,$N195,INT(EG$44-1),MIN($N195,INT(EG$44-1)+1),$DC195,IF($DD195="No",1,0))/
IF(DO195&gt;INT($N195),$N195-INT($N195),1))*
IF(EG$44=1,DO195,
IF(INT(DO195)=INT(DN195),0,DO195-INT(DO195)))))</f>
        <v>0</v>
      </c>
      <c r="EH195" s="836">
        <f>+IF(DP195=DO195,0,
IF(AND(EH$44&gt;1,DP195=$N195),1-SUM($EE195:EG195),
IF($N195&lt;=1,
IF($N195&gt;0,1/$N195,0),
IF(EH$44=1,0,VDB(1,0,$N195,INT(EH$44-1-1),MIN($N195,INT(EH$44-1-1)+1),$DC195,IF($DD195="No",1,0))/
IF(DO195&gt;=INT($N195),$N195-INT($N195),1)))*
IF(EH$44=1,0,
IF(INT(DP195)=INT(DO195),DP195-DO195,INT(DP195)-DO195))+
IF($N195&lt;=1,
IF($N195&gt;0,1/$N195,0),VDB(1,0,$N195,INT(EH$44-1),MIN($N195,INT(EH$44-1)+1),$DC195,IF($DD195="No",1,0))/
IF(DP195&gt;INT($N195),$N195-INT($N195),1))*
IF(EH$44=1,DP195,
IF(INT(DP195)=INT(DO195),0,DP195-INT(DP195)))))</f>
        <v>0</v>
      </c>
      <c r="EI195" s="834">
        <f>+IF(DQ195=DP195,0,
IF(AND(EI$44&gt;1,DQ195=$N195),1-SUM($EE195:EH195),
IF($N195&lt;=1,
IF($N195&gt;0,1/$N195,0),
IF(EI$44=1,0,VDB(1,0,$N195,INT(EI$44-1-1),MIN($N195,INT(EI$44-1-1)+1),$DC195,IF($DD195="No",1,0))/
IF(DP195&gt;=INT($N195),$N195-INT($N195),1)))*
IF(EI$44=1,0,
IF(INT(DQ195)=INT(DP195),DQ195-DP195,INT(DQ195)-DP195))+
IF($N195&lt;=1,
IF($N195&gt;0,1/$N195,0),VDB(1,0,$N195,INT(EI$44-1),MIN($N195,INT(EI$44-1)+1),$DC195,IF($DD195="No",1,0))/
IF(DQ195&gt;INT($N195),$N195-INT($N195),1))*
IF(EI$44=1,DQ195,
IF(INT(DQ195)=INT(DP195),0,DQ195-INT(DQ195)))))</f>
        <v>0</v>
      </c>
      <c r="EJ195" s="835">
        <f>+IF(DR195=DQ195,0,
IF(AND(EJ$44&gt;1,DR195=$N195),1-SUM($EE195:EI195),
IF($N195&lt;=1,
IF($N195&gt;0,1/$N195,0),
IF(EJ$44=1,0,VDB(1,0,$N195,INT(EJ$44-1-1),MIN($N195,INT(EJ$44-1-1)+1),$DC195,IF($DD195="No",1,0))/
IF(DQ195&gt;=INT($N195),$N195-INT($N195),1)))*
IF(EJ$44=1,0,
IF(INT(DR195)=INT(DQ195),DR195-DQ195,INT(DR195)-DQ195))+
IF($N195&lt;=1,
IF($N195&gt;0,1/$N195,0),VDB(1,0,$N195,INT(EJ$44-1),MIN($N195,INT(EJ$44-1)+1),$DC195,IF($DD195="No",1,0))/
IF(DR195&gt;INT($N195),$N195-INT($N195),1))*
IF(EJ$44=1,DR195,
IF(INT(DR195)=INT(DQ195),0,DR195-INT(DR195)))))</f>
        <v>0</v>
      </c>
      <c r="EK195" s="835">
        <f>+IF(DS195=DR195,0,
IF(AND(EK$44&gt;1,DS195=$N195),1-SUM($EE195:EJ195),
IF($N195&lt;=1,
IF($N195&gt;0,1/$N195,0),
IF(EK$44=1,0,VDB(1,0,$N195,INT(EK$44-1-1),MIN($N195,INT(EK$44-1-1)+1),$DC195,IF($DD195="No",1,0))/
IF(DR195&gt;=INT($N195),$N195-INT($N195),1)))*
IF(EK$44=1,0,
IF(INT(DS195)=INT(DR195),DS195-DR195,INT(DS195)-DR195))+
IF($N195&lt;=1,
IF($N195&gt;0,1/$N195,0),VDB(1,0,$N195,INT(EK$44-1),MIN($N195,INT(EK$44-1)+1),$DC195,IF($DD195="No",1,0))/
IF(DS195&gt;INT($N195),$N195-INT($N195),1))*
IF(EK$44=1,DS195,
IF(INT(DS195)=INT(DR195),0,DS195-INT(DS195)))))</f>
        <v>0</v>
      </c>
      <c r="EL195" s="835">
        <f>+IF(DT195=DS195,0,
IF(AND(EL$44&gt;1,DT195=$N195),1-SUM($EE195:EK195),
IF($N195&lt;=1,
IF($N195&gt;0,1/$N195,0),
IF(EL$44=1,0,VDB(1,0,$N195,INT(EL$44-1-1),MIN($N195,INT(EL$44-1-1)+1),$DC195,IF($DD195="No",1,0))/
IF(DS195&gt;=INT($N195),$N195-INT($N195),1)))*
IF(EL$44=1,0,
IF(INT(DT195)=INT(DS195),DT195-DS195,INT(DT195)-DS195))+
IF($N195&lt;=1,
IF($N195&gt;0,1/$N195,0),VDB(1,0,$N195,INT(EL$44-1),MIN($N195,INT(EL$44-1)+1),$DC195,IF($DD195="No",1,0))/
IF(DT195&gt;INT($N195),$N195-INT($N195),1))*
IF(EL$44=1,DT195,
IF(INT(DT195)=INT(DS195),0,DT195-INT(DT195)))))</f>
        <v>0</v>
      </c>
      <c r="EM195" s="836">
        <f>+IF(DU195=DT195,0,
IF(AND(EM$44&gt;1,DU195=$N195),1-SUM($EE195:EL195),
IF($N195&lt;=1,
IF($N195&gt;0,1/$N195,0),
IF(EM$44=1,0,VDB(1,0,$N195,INT(EM$44-1-1),MIN($N195,INT(EM$44-1-1)+1),$DC195,IF($DD195="No",1,0))/
IF(DT195&gt;=INT($N195),$N195-INT($N195),1)))*
IF(EM$44=1,0,
IF(INT(DU195)=INT(DT195),DU195-DT195,INT(DU195)-DT195))+
IF($N195&lt;=1,
IF($N195&gt;0,1/$N195,0),VDB(1,0,$N195,INT(EM$44-1),MIN($N195,INT(EM$44-1)+1),$DC195,IF($DD195="No",1,0))/
IF(DU195&gt;INT($N195),$N195-INT($N195),1))*
IF(EM$44=1,DU195,
IF(INT(DU195)=INT(DT195),0,DU195-INT(DU195)))))</f>
        <v>0</v>
      </c>
      <c r="EN195" s="833"/>
      <c r="EO195" s="834">
        <f>+IF(OR(DW195=DV195,EO$44=1),0,
IF(AND(EO$44&gt;1,DW195=$N195),1-SUM($EN195:EN195),
IF($N195&lt;=1,
IF($N195&gt;0,1/$N195,0),
IF(EO$44=2,0,VDB(1,0,$N195,INT(EO$44-2-1),MIN($N195,INT(EO$44-2-1)+1),$DC195,IF($DD195="No",1,0))/
IF(DV195&gt;=INT($N195),$N195-INT($N195),1)))*
IF(EO$44=2,0,
IF(INT(DW195)=INT(DV195),DW195-DV195,INT(DW195)-DV195))+
IF($N195&lt;=1,
IF($N195&gt;0,1/$N195,0),VDB(1,0,$N195,INT(EO$44-2),MIN($N195,INT(EO$44-2)+1),$DC195,IF($DD195="No",1,0))/
IF(DW195&gt;INT($N195),$N195-INT($N195),1))*
IF(EO$44=2,DW195,
IF(INT(DW195)=INT(DV195),0,DW195-INT(DW195)))))</f>
        <v>0</v>
      </c>
      <c r="EP195" s="835">
        <f>+IF(OR(DX195=DW195,EP$44=1),0,
IF(AND(EP$44&gt;1,DX195=$N195),1-SUM($EN195:EO195),
IF($N195&lt;=1,
IF($N195&gt;0,1/$N195,0),
IF(EP$44=2,0,VDB(1,0,$N195,INT(EP$44-2-1),MIN($N195,INT(EP$44-2-1)+1),$DC195,IF($DD195="No",1,0))/
IF(DW195&gt;=INT($N195),$N195-INT($N195),1)))*
IF(EP$44=2,0,
IF(INT(DX195)=INT(DW195),DX195-DW195,INT(DX195)-DW195))+
IF($N195&lt;=1,
IF($N195&gt;0,1/$N195,0),VDB(1,0,$N195,INT(EP$44-2),MIN($N195,INT(EP$44-2)+1),$DC195,IF($DD195="No",1,0))/
IF(DX195&gt;INT($N195),$N195-INT($N195),1))*
IF(EP$44=2,DX195,
IF(INT(DX195)=INT(DW195),0,DX195-INT(DX195)))))</f>
        <v>0</v>
      </c>
      <c r="EQ195" s="836">
        <f>+IF(OR(DY195=DX195,EQ$44=1),0,
IF(AND(EQ$44&gt;1,DY195=$N195),1-SUM($EN195:EP195),
IF($N195&lt;=1,
IF($N195&gt;0,1/$N195,0),
IF(EQ$44=2,0,VDB(1,0,$N195,INT(EQ$44-2-1),MIN($N195,INT(EQ$44-2-1)+1),$DC195,IF($DD195="No",1,0))/
IF(DX195&gt;=INT($N195),$N195-INT($N195),1)))*
IF(EQ$44=2,0,
IF(INT(DY195)=INT(DX195),DY195-DX195,INT(DY195)-DX195))+
IF($N195&lt;=1,
IF($N195&gt;0,1/$N195,0),VDB(1,0,$N195,INT(EQ$44-2),MIN($N195,INT(EQ$44-2)+1),$DC195,IF($DD195="No",1,0))/
IF(DY195&gt;INT($N195),$N195-INT($N195),1))*
IF(EQ$44=2,DY195,
IF(INT(DY195)=INT(DX195),0,DY195-INT(DY195)))))</f>
        <v>0</v>
      </c>
      <c r="ER195" s="834">
        <f>+IF(OR(DZ195=DY195,ER$44=1),0,
IF(AND(ER$44&gt;1,DZ195=$N195),1-SUM($EN195:EQ195),
IF($N195&lt;=1,
IF($N195&gt;0,1/$N195,0),
IF(ER$44=2,0,VDB(1,0,$N195,INT(ER$44-2-1),MIN($N195,INT(ER$44-2-1)+1),$DC195,IF($DD195="No",1,0))/
IF(DY195&gt;=INT($N195),$N195-INT($N195),1)))*
IF(ER$44=2,0,
IF(INT(DZ195)=INT(DY195),DZ195-DY195,INT(DZ195)-DY195))+
IF($N195&lt;=1,
IF($N195&gt;0,1/$N195,0),VDB(1,0,$N195,INT(ER$44-2),MIN($N195,INT(ER$44-2)+1),$DC195,IF($DD195="No",1,0))/
IF(DZ195&gt;INT($N195),$N195-INT($N195),1))*
IF(ER$44=2,DZ195,
IF(INT(DZ195)=INT(DY195),0,DZ195-INT(DZ195)))))</f>
        <v>0</v>
      </c>
      <c r="ES195" s="835">
        <f>+IF(OR(EA195=DZ195,ES$44=1),0,
IF(AND(ES$44&gt;1,EA195=$N195),1-SUM($EN195:ER195),
IF($N195&lt;=1,
IF($N195&gt;0,1/$N195,0),
IF(ES$44=2,0,VDB(1,0,$N195,INT(ES$44-2-1),MIN($N195,INT(ES$44-2-1)+1),$DC195,IF($DD195="No",1,0))/
IF(DZ195&gt;=INT($N195),$N195-INT($N195),1)))*
IF(ES$44=2,0,
IF(INT(EA195)=INT(DZ195),EA195-DZ195,INT(EA195)-DZ195))+
IF($N195&lt;=1,
IF($N195&gt;0,1/$N195,0),VDB(1,0,$N195,INT(ES$44-2),MIN($N195,INT(ES$44-2)+1),$DC195,IF($DD195="No",1,0))/
IF(EA195&gt;INT($N195),$N195-INT($N195),1))*
IF(ES$44=2,EA195,
IF(INT(EA195)=INT(DZ195),0,EA195-INT(EA195)))))</f>
        <v>0</v>
      </c>
      <c r="ET195" s="835">
        <f>+IF(OR(EB195=EA195,ET$44=1),0,
IF(AND(ET$44&gt;1,EB195=$N195),1-SUM($EN195:ES195),
IF($N195&lt;=1,
IF($N195&gt;0,1/$N195,0),
IF(ET$44=2,0,VDB(1,0,$N195,INT(ET$44-2-1),MIN($N195,INT(ET$44-2-1)+1),$DC195,IF($DD195="No",1,0))/
IF(EA195&gt;=INT($N195),$N195-INT($N195),1)))*
IF(ET$44=2,0,
IF(INT(EB195)=INT(EA195),EB195-EA195,INT(EB195)-EA195))+
IF($N195&lt;=1,
IF($N195&gt;0,1/$N195,0),VDB(1,0,$N195,INT(ET$44-2),MIN($N195,INT(ET$44-2)+1),$DC195,IF($DD195="No",1,0))/
IF(EB195&gt;INT($N195),$N195-INT($N195),1))*
IF(ET$44=2,EB195,
IF(INT(EB195)=INT(EA195),0,EB195-INT(EB195)))))</f>
        <v>0</v>
      </c>
      <c r="EU195" s="835">
        <f>+IF(OR(EC195=EB195,EU$44=1),0,
IF(AND(EU$44&gt;1,EC195=$N195),1-SUM($EN195:ET195),
IF($N195&lt;=1,
IF($N195&gt;0,1/$N195,0),
IF(EU$44=2,0,VDB(1,0,$N195,INT(EU$44-2-1),MIN($N195,INT(EU$44-2-1)+1),$DC195,IF($DD195="No",1,0))/
IF(EB195&gt;=INT($N195),$N195-INT($N195),1)))*
IF(EU$44=2,0,
IF(INT(EC195)=INT(EB195),EC195-EB195,INT(EC195)-EB195))+
IF($N195&lt;=1,
IF($N195&gt;0,1/$N195,0),VDB(1,0,$N195,INT(EU$44-2),MIN($N195,INT(EU$44-2)+1),$DC195,IF($DD195="No",1,0))/
IF(EC195&gt;INT($N195),$N195-INT($N195),1))*
IF(EU$44=2,EC195,
IF(INT(EC195)=INT(EB195),0,EC195-INT(EC195)))))</f>
        <v>0</v>
      </c>
      <c r="EV195" s="836">
        <f>+IF(OR(ED195=EC195,EV$44=1),0,
IF(AND(EV$44&gt;1,ED195=$N195),1-SUM($EN195:EU195),
IF($N195&lt;=1,
IF($N195&gt;0,1/$N195,0),
IF(EV$44=2,0,VDB(1,0,$N195,INT(EV$44-2-1),MIN($N195,INT(EV$44-2-1)+1),$DC195,IF($DD195="No",1,0))/
IF(EC195&gt;=INT($N195),$N195-INT($N195),1)))*
IF(EV$44=2,0,
IF(INT(ED195)=INT(EC195),ED195-EC195,INT(ED195)-EC195))+
IF($N195&lt;=1,
IF($N195&gt;0,1/$N195,0),VDB(1,0,$N195,INT(EV$44-2),MIN($N195,INT(EV$44-2)+1),$DC195,IF($DD195="No",1,0))/
IF(ED195&gt;INT($N195),$N195-INT($N195),1))*
IF(EV$44=2,ED195,
IF(INT(ED195)=INT(EC195),0,ED195-INT(ED195)))))</f>
        <v>0</v>
      </c>
      <c r="EW195" s="833"/>
      <c r="EX195" s="834">
        <f t="shared" ca="1" si="350"/>
        <v>0</v>
      </c>
      <c r="EY195" s="835">
        <f t="shared" ca="1" si="350"/>
        <v>0</v>
      </c>
      <c r="EZ195" s="836">
        <f t="shared" ca="1" si="350"/>
        <v>0</v>
      </c>
      <c r="FA195" s="834">
        <f t="shared" ca="1" si="350"/>
        <v>0</v>
      </c>
      <c r="FB195" s="835">
        <f t="shared" ca="1" si="350"/>
        <v>0</v>
      </c>
      <c r="FC195" s="835">
        <f t="shared" ca="1" si="350"/>
        <v>0</v>
      </c>
      <c r="FD195" s="835">
        <f t="shared" ca="1" si="350"/>
        <v>0</v>
      </c>
      <c r="FE195" s="836">
        <f t="shared" ca="1" si="350"/>
        <v>0</v>
      </c>
      <c r="FG195" s="386">
        <f t="shared" ca="1" si="351"/>
        <v>0</v>
      </c>
      <c r="FH195" s="387">
        <f t="shared" ca="1" si="352"/>
        <v>0</v>
      </c>
      <c r="FI195" s="388">
        <f t="shared" ca="1" si="353"/>
        <v>0</v>
      </c>
      <c r="FJ195" s="386">
        <f t="shared" ca="1" si="354"/>
        <v>0</v>
      </c>
      <c r="FK195" s="387">
        <f t="shared" ca="1" si="355"/>
        <v>0</v>
      </c>
      <c r="FL195" s="387">
        <f t="shared" ca="1" si="356"/>
        <v>0</v>
      </c>
      <c r="FM195" s="387">
        <f t="shared" ca="1" si="357"/>
        <v>0</v>
      </c>
      <c r="FN195" s="388">
        <f t="shared" ca="1" si="358"/>
        <v>0</v>
      </c>
      <c r="FR195" s="116"/>
    </row>
    <row r="196" spans="2:174">
      <c r="B196" s="1410">
        <f t="shared" si="359"/>
        <v>150</v>
      </c>
      <c r="C196" s="400"/>
      <c r="D196" s="410"/>
      <c r="E196" s="402"/>
      <c r="F196" s="402"/>
      <c r="G196" s="400"/>
      <c r="H196" s="2088"/>
      <c r="I196" s="2089"/>
      <c r="J196" s="411"/>
      <c r="K196" s="403"/>
      <c r="L196" s="403"/>
      <c r="M196" s="403"/>
      <c r="N196" s="403"/>
      <c r="O196" s="347"/>
      <c r="P196" s="347"/>
      <c r="Q196" s="1021"/>
      <c r="R196" s="1022"/>
      <c r="S196" s="1022"/>
      <c r="T196" s="1022"/>
      <c r="U196" s="1023"/>
      <c r="V196" s="1021"/>
      <c r="W196" s="1022"/>
      <c r="X196" s="1022"/>
      <c r="Y196" s="1022"/>
      <c r="Z196" s="1023"/>
      <c r="AA196" s="1024"/>
      <c r="AB196" s="1021"/>
      <c r="AC196" s="1022"/>
      <c r="AD196" s="1022"/>
      <c r="AE196" s="1022"/>
      <c r="AF196" s="1023"/>
      <c r="AG196" s="1021"/>
      <c r="AH196" s="1022"/>
      <c r="AI196" s="1022"/>
      <c r="AJ196" s="1022"/>
      <c r="AK196" s="1023"/>
      <c r="AL196" s="1024"/>
      <c r="AM196" s="1021"/>
      <c r="AN196" s="1022"/>
      <c r="AO196" s="1022"/>
      <c r="AP196" s="1022"/>
      <c r="AQ196" s="1023"/>
      <c r="AR196" s="1021"/>
      <c r="AS196" s="1022"/>
      <c r="AT196" s="1022"/>
      <c r="AU196" s="1022"/>
      <c r="AV196" s="1023"/>
      <c r="AW196" s="1025"/>
      <c r="AX196" s="1282">
        <f t="shared" si="304"/>
        <v>0</v>
      </c>
      <c r="AY196" s="387">
        <f t="shared" si="305"/>
        <v>0</v>
      </c>
      <c r="AZ196" s="387">
        <f t="shared" si="306"/>
        <v>0</v>
      </c>
      <c r="BA196" s="387">
        <f t="shared" si="307"/>
        <v>0</v>
      </c>
      <c r="BB196" s="1283">
        <f t="shared" si="308"/>
        <v>0</v>
      </c>
      <c r="BC196" s="386">
        <f t="shared" si="309"/>
        <v>0</v>
      </c>
      <c r="BD196" s="387">
        <f t="shared" si="310"/>
        <v>0</v>
      </c>
      <c r="BE196" s="1277">
        <f t="shared" si="311"/>
        <v>0</v>
      </c>
      <c r="BF196" s="1277">
        <f t="shared" si="312"/>
        <v>0</v>
      </c>
      <c r="BG196" s="388">
        <f t="shared" si="313"/>
        <v>0</v>
      </c>
      <c r="BH196" s="1025"/>
      <c r="BI196" s="1282">
        <f t="shared" ca="1" si="314"/>
        <v>0</v>
      </c>
      <c r="BJ196" s="387">
        <f t="shared" ca="1" si="315"/>
        <v>0</v>
      </c>
      <c r="BK196" s="387">
        <f t="shared" ca="1" si="316"/>
        <v>0</v>
      </c>
      <c r="BL196" s="387">
        <f t="shared" ca="1" si="317"/>
        <v>0</v>
      </c>
      <c r="BM196" s="1283">
        <f t="shared" ca="1" si="318"/>
        <v>0</v>
      </c>
      <c r="BN196" s="386">
        <f t="shared" ca="1" si="319"/>
        <v>0</v>
      </c>
      <c r="BO196" s="387">
        <f t="shared" ca="1" si="320"/>
        <v>0</v>
      </c>
      <c r="BP196" s="1277">
        <f t="shared" ca="1" si="321"/>
        <v>0</v>
      </c>
      <c r="BQ196" s="1277">
        <f t="shared" ca="1" si="322"/>
        <v>0</v>
      </c>
      <c r="BR196" s="388">
        <f t="shared" ca="1" si="323"/>
        <v>0</v>
      </c>
      <c r="BS196" s="1025"/>
      <c r="BT196" s="1282">
        <f>+IF($K196="Ongoing",AX196,IF(RIGHT($K196,2)=RIGHT(BT$43,2),SUM($AX196:AX196),0)+IF(RIGHT(BT$43,2)&gt;RIGHT($K196,2),AX196,0))</f>
        <v>0</v>
      </c>
      <c r="BU196" s="387">
        <f>+IF($K196="Ongoing",AY196,IF(RIGHT($K196,2)=RIGHT(BU$43,2),SUM($AX196:AY196),0)+IF(RIGHT(BU$43,2)&gt;RIGHT($K196,2),AY196,0))</f>
        <v>0</v>
      </c>
      <c r="BV196" s="387">
        <f>+IF($K196="Ongoing",AZ196,IF(RIGHT($K196,2)=RIGHT(BV$43,2),SUM($AX196:AZ196),0)+IF(RIGHT(BV$43,2)&gt;RIGHT($K196,2),AZ196,0))</f>
        <v>0</v>
      </c>
      <c r="BW196" s="387">
        <f>+IF($K196="Ongoing",BA196,IF(RIGHT($K196,2)=RIGHT(BW$43,2),SUM($AX196:BA196),0)+IF(RIGHT(BW$43,2)&gt;RIGHT($K196,2),BA196,0))</f>
        <v>0</v>
      </c>
      <c r="BX196" s="1283">
        <f>+IF($K196="Ongoing",BB196,IF(RIGHT($K196,2)=RIGHT(BX$43,2),SUM($AX196:BB196),0)+IF(RIGHT(BX$43,2)&gt;RIGHT($K196,2),BB196,0))</f>
        <v>0</v>
      </c>
      <c r="BY196" s="386">
        <f>+IF($K196="Ongoing",BC196,IF(RIGHT($K196,2)=RIGHT(BY$43,2),SUM($AX196:BC196),0)+IF(RIGHT(BY$43,2)&gt;RIGHT($K196,2),BC196,0))</f>
        <v>0</v>
      </c>
      <c r="BZ196" s="387">
        <f>+IF($K196="Ongoing",BD196,IF(RIGHT($K196,2)=RIGHT(BZ$43,2),SUM($AX196:BD196),0)+IF(RIGHT(BZ$43,2)&gt;RIGHT($K196,2),BD196,0))</f>
        <v>0</v>
      </c>
      <c r="CA196" s="1277">
        <f>+IF($K196="Ongoing",BE196,IF(RIGHT($K196,2)=RIGHT(CA$43,2),SUM($AX196:BE196),0)+IF(RIGHT(CA$43,2)&gt;RIGHT($K196,2),BE196,0))</f>
        <v>0</v>
      </c>
      <c r="CB196" s="1277">
        <f>+IF($K196="Ongoing",BF196,IF(RIGHT($K196,2)=RIGHT(CB$43,2),SUM($AX196:BF196),0)+IF(RIGHT(CB$43,2)&gt;RIGHT($K196,2),BF196,0))</f>
        <v>0</v>
      </c>
      <c r="CC196" s="388">
        <f>+IF($K196="Ongoing",BG196,IF(RIGHT($K196,2)=RIGHT(CC$43,2),SUM($AX196:BG196),0)+IF(RIGHT(CC$43,2)&gt;RIGHT($K196,2),BG196,0))</f>
        <v>0</v>
      </c>
      <c r="CD196" s="1025"/>
      <c r="CE196" s="1282">
        <f>+Q196*KeyAssumptionsPriceControl_FO!AF$15</f>
        <v>0</v>
      </c>
      <c r="CF196" s="387">
        <f>+R196*KeyAssumptionsPriceControl_FO!AG$15</f>
        <v>0</v>
      </c>
      <c r="CG196" s="387">
        <f>+S196*KeyAssumptionsPriceControl_FO!AH$15</f>
        <v>0</v>
      </c>
      <c r="CH196" s="387">
        <f>+T196*KeyAssumptionsPriceControl_FO!AI$15</f>
        <v>0</v>
      </c>
      <c r="CI196" s="1283">
        <f>+U196*KeyAssumptionsPriceControl_FO!AJ$15</f>
        <v>0</v>
      </c>
      <c r="CJ196" s="386">
        <f>+V196*KeyAssumptionsPriceControl_FO!AK$15</f>
        <v>0</v>
      </c>
      <c r="CK196" s="387">
        <f>+W196*KeyAssumptionsPriceControl_FO!AL$15</f>
        <v>0</v>
      </c>
      <c r="CL196" s="1277">
        <f>+X196*KeyAssumptionsPriceControl_FO!AM$15</f>
        <v>0</v>
      </c>
      <c r="CM196" s="1277">
        <f>+Y196*KeyAssumptionsPriceControl_FO!AN$15</f>
        <v>0</v>
      </c>
      <c r="CN196" s="388">
        <f>+Z196*KeyAssumptionsPriceControl_FO!AO$15</f>
        <v>0</v>
      </c>
      <c r="CO196" s="1025"/>
      <c r="CP196" s="1282">
        <f t="shared" ca="1" si="324"/>
        <v>0</v>
      </c>
      <c r="CQ196" s="387">
        <f t="shared" ca="1" si="325"/>
        <v>0</v>
      </c>
      <c r="CR196" s="387">
        <f t="shared" ca="1" si="326"/>
        <v>0</v>
      </c>
      <c r="CS196" s="387">
        <f t="shared" ca="1" si="327"/>
        <v>0</v>
      </c>
      <c r="CT196" s="1283">
        <f t="shared" ca="1" si="328"/>
        <v>0</v>
      </c>
      <c r="CU196" s="386">
        <f t="shared" ca="1" si="329"/>
        <v>0</v>
      </c>
      <c r="CV196" s="387">
        <f t="shared" ca="1" si="330"/>
        <v>0</v>
      </c>
      <c r="CW196" s="1277">
        <f t="shared" ca="1" si="331"/>
        <v>0</v>
      </c>
      <c r="CX196" s="1277">
        <f t="shared" ca="1" si="332"/>
        <v>0</v>
      </c>
      <c r="CY196" s="388">
        <f t="shared" ca="1" si="333"/>
        <v>0</v>
      </c>
      <c r="CZ196" s="347"/>
      <c r="DA196" s="852"/>
      <c r="DB196" s="347"/>
      <c r="DC196" s="1012" t="s">
        <v>717</v>
      </c>
      <c r="DD196" s="841" t="s">
        <v>518</v>
      </c>
      <c r="DE196" s="386">
        <f>+IF($K196="ongoing",CE196,IF(RIGHT($K196,2)=RIGHT(DE$43,2),SUM($CD196:CE196),0)+IF(RIGHT(DE$43,2)&gt;RIGHT($K196,2),CE196,0))</f>
        <v>0</v>
      </c>
      <c r="DF196" s="387">
        <f>+IF($K196="ongoing",CF196,IF(RIGHT($K196,2)=RIGHT(DF$43,2),SUM($CD196:CF196),0)+IF(RIGHT(DF$43,2)&gt;RIGHT($K196,2),CF196,0))</f>
        <v>0</v>
      </c>
      <c r="DG196" s="388">
        <f>+IF($K196="ongoing",CG196,IF(RIGHT($K196,2)=RIGHT(DG$43,2),SUM($CD196:CG196),0)+IF(RIGHT(DG$43,2)&gt;RIGHT($K196,2),CG196,0))</f>
        <v>0</v>
      </c>
      <c r="DH196" s="386">
        <f>+IF($K196="ongoing",CH196,IF(RIGHT($K196,2)=RIGHT(DH$43,2),SUM($CD196:CH196),0)+IF(RIGHT(DH$43,2)&gt;RIGHT($K196,2),CH196,0))</f>
        <v>0</v>
      </c>
      <c r="DI196" s="387">
        <f>+IF($K196="ongoing",CI196,IF(RIGHT($K196,2)=RIGHT(DI$43,2),SUM($CD196:CI196),0)+IF(RIGHT(DI$43,2)&gt;RIGHT($K196,2),CI196,0))</f>
        <v>0</v>
      </c>
      <c r="DJ196" s="387">
        <f>+IF($K196="ongoing",CJ196,IF(RIGHT($K196,2)=RIGHT(DJ$43,2),SUM($CD196:CJ196),0)+IF(RIGHT(DJ$43,2)&gt;RIGHT($K196,2),CJ196,0))</f>
        <v>0</v>
      </c>
      <c r="DK196" s="387">
        <f>+IF($K196="ongoing",CK196,IF(RIGHT($K196,2)=RIGHT(DK$43,2),SUM($CD196:CK196),0)+IF(RIGHT(DK$43,2)&gt;RIGHT($K196,2),CK196,0))</f>
        <v>0</v>
      </c>
      <c r="DL196" s="388">
        <f>+IF($K196="ongoing",CN196,IF(RIGHT($K196,2)=RIGHT(DL$43,2),SUM($CD196:CN196),0)+IF(RIGHT(DL$43,2)&gt;RIGHT($K196,2),CN196,0))</f>
        <v>0</v>
      </c>
      <c r="DM196" s="841"/>
      <c r="DN196" s="386">
        <f t="shared" si="334"/>
        <v>0.5</v>
      </c>
      <c r="DO196" s="387">
        <f t="shared" si="335"/>
        <v>1</v>
      </c>
      <c r="DP196" s="388">
        <f t="shared" si="336"/>
        <v>1</v>
      </c>
      <c r="DQ196" s="386">
        <f t="shared" si="337"/>
        <v>1</v>
      </c>
      <c r="DR196" s="387">
        <f t="shared" si="338"/>
        <v>1</v>
      </c>
      <c r="DS196" s="387">
        <f t="shared" si="339"/>
        <v>1</v>
      </c>
      <c r="DT196" s="387">
        <f t="shared" si="340"/>
        <v>1</v>
      </c>
      <c r="DU196" s="388">
        <f t="shared" si="341"/>
        <v>1</v>
      </c>
      <c r="DW196" s="386">
        <f t="shared" si="342"/>
        <v>0</v>
      </c>
      <c r="DX196" s="387">
        <f t="shared" si="343"/>
        <v>0.5</v>
      </c>
      <c r="DY196" s="388">
        <f t="shared" si="344"/>
        <v>1</v>
      </c>
      <c r="DZ196" s="386">
        <f t="shared" si="345"/>
        <v>1</v>
      </c>
      <c r="EA196" s="387">
        <f t="shared" si="346"/>
        <v>1</v>
      </c>
      <c r="EB196" s="387">
        <f t="shared" si="347"/>
        <v>1</v>
      </c>
      <c r="EC196" s="387">
        <f t="shared" si="348"/>
        <v>1</v>
      </c>
      <c r="ED196" s="388">
        <f t="shared" si="349"/>
        <v>1</v>
      </c>
      <c r="EF196" s="834">
        <f>+IF(DN196=DM196,0,
IF(AND(EF$44&gt;1,DN196=$N196),1-SUM($EE196:EE196),
IF($N196&lt;=1,
IF($N196&gt;0,1/$N196,0),
IF(EF$44=1,0,VDB(1,0,$N196,INT(EF$44-1-1),MIN($N196,INT(EF$44-1-1)+1),$DC196,IF($DD196="No",1,0))/
IF(DM196&gt;=INT($N196),$N196-INT($N196),1)))*
IF(EF$44=1,0,
IF(INT(DN196)=INT(DM196),DN196-DM196,INT(DN196)-DM196))+
IF($N196&lt;=1,
IF($N196&gt;0,1/$N196,0),VDB(1,0,$N196,INT(EF$44-1),MIN($N196,INT(EF$44-1)+1),$DC196,IF($DD196="No",1,0))/
IF(DN196&gt;INT($N196),$N196-INT($N196),1))*
IF(EF$44=1,DN196,
IF(INT(DN196)=INT(DM196),0,DN196-INT(DN196)))))</f>
        <v>0</v>
      </c>
      <c r="EG196" s="835">
        <f>+IF(DO196=DN196,0,
IF(AND(EG$44&gt;1,DO196=$N196),1-SUM($EE196:EF196),
IF($N196&lt;=1,
IF($N196&gt;0,1/$N196,0),
IF(EG$44=1,0,VDB(1,0,$N196,INT(EG$44-1-1),MIN($N196,INT(EG$44-1-1)+1),$DC196,IF($DD196="No",1,0))/
IF(DN196&gt;=INT($N196),$N196-INT($N196),1)))*
IF(EG$44=1,0,
IF(INT(DO196)=INT(DN196),DO196-DN196,INT(DO196)-DN196))+
IF($N196&lt;=1,
IF($N196&gt;0,1/$N196,0),VDB(1,0,$N196,INT(EG$44-1),MIN($N196,INT(EG$44-1)+1),$DC196,IF($DD196="No",1,0))/
IF(DO196&gt;INT($N196),$N196-INT($N196),1))*
IF(EG$44=1,DO196,
IF(INT(DO196)=INT(DN196),0,DO196-INT(DO196)))))</f>
        <v>0</v>
      </c>
      <c r="EH196" s="836">
        <f>+IF(DP196=DO196,0,
IF(AND(EH$44&gt;1,DP196=$N196),1-SUM($EE196:EG196),
IF($N196&lt;=1,
IF($N196&gt;0,1/$N196,0),
IF(EH$44=1,0,VDB(1,0,$N196,INT(EH$44-1-1),MIN($N196,INT(EH$44-1-1)+1),$DC196,IF($DD196="No",1,0))/
IF(DO196&gt;=INT($N196),$N196-INT($N196),1)))*
IF(EH$44=1,0,
IF(INT(DP196)=INT(DO196),DP196-DO196,INT(DP196)-DO196))+
IF($N196&lt;=1,
IF($N196&gt;0,1/$N196,0),VDB(1,0,$N196,INT(EH$44-1),MIN($N196,INT(EH$44-1)+1),$DC196,IF($DD196="No",1,0))/
IF(DP196&gt;INT($N196),$N196-INT($N196),1))*
IF(EH$44=1,DP196,
IF(INT(DP196)=INT(DO196),0,DP196-INT(DP196)))))</f>
        <v>0</v>
      </c>
      <c r="EI196" s="834">
        <f>+IF(DQ196=DP196,0,
IF(AND(EI$44&gt;1,DQ196=$N196),1-SUM($EE196:EH196),
IF($N196&lt;=1,
IF($N196&gt;0,1/$N196,0),
IF(EI$44=1,0,VDB(1,0,$N196,INT(EI$44-1-1),MIN($N196,INT(EI$44-1-1)+1),$DC196,IF($DD196="No",1,0))/
IF(DP196&gt;=INT($N196),$N196-INT($N196),1)))*
IF(EI$44=1,0,
IF(INT(DQ196)=INT(DP196),DQ196-DP196,INT(DQ196)-DP196))+
IF($N196&lt;=1,
IF($N196&gt;0,1/$N196,0),VDB(1,0,$N196,INT(EI$44-1),MIN($N196,INT(EI$44-1)+1),$DC196,IF($DD196="No",1,0))/
IF(DQ196&gt;INT($N196),$N196-INT($N196),1))*
IF(EI$44=1,DQ196,
IF(INT(DQ196)=INT(DP196),0,DQ196-INT(DQ196)))))</f>
        <v>0</v>
      </c>
      <c r="EJ196" s="835">
        <f>+IF(DR196=DQ196,0,
IF(AND(EJ$44&gt;1,DR196=$N196),1-SUM($EE196:EI196),
IF($N196&lt;=1,
IF($N196&gt;0,1/$N196,0),
IF(EJ$44=1,0,VDB(1,0,$N196,INT(EJ$44-1-1),MIN($N196,INT(EJ$44-1-1)+1),$DC196,IF($DD196="No",1,0))/
IF(DQ196&gt;=INT($N196),$N196-INT($N196),1)))*
IF(EJ$44=1,0,
IF(INT(DR196)=INT(DQ196),DR196-DQ196,INT(DR196)-DQ196))+
IF($N196&lt;=1,
IF($N196&gt;0,1/$N196,0),VDB(1,0,$N196,INT(EJ$44-1),MIN($N196,INT(EJ$44-1)+1),$DC196,IF($DD196="No",1,0))/
IF(DR196&gt;INT($N196),$N196-INT($N196),1))*
IF(EJ$44=1,DR196,
IF(INT(DR196)=INT(DQ196),0,DR196-INT(DR196)))))</f>
        <v>0</v>
      </c>
      <c r="EK196" s="835">
        <f>+IF(DS196=DR196,0,
IF(AND(EK$44&gt;1,DS196=$N196),1-SUM($EE196:EJ196),
IF($N196&lt;=1,
IF($N196&gt;0,1/$N196,0),
IF(EK$44=1,0,VDB(1,0,$N196,INT(EK$44-1-1),MIN($N196,INT(EK$44-1-1)+1),$DC196,IF($DD196="No",1,0))/
IF(DR196&gt;=INT($N196),$N196-INT($N196),1)))*
IF(EK$44=1,0,
IF(INT(DS196)=INT(DR196),DS196-DR196,INT(DS196)-DR196))+
IF($N196&lt;=1,
IF($N196&gt;0,1/$N196,0),VDB(1,0,$N196,INT(EK$44-1),MIN($N196,INT(EK$44-1)+1),$DC196,IF($DD196="No",1,0))/
IF(DS196&gt;INT($N196),$N196-INT($N196),1))*
IF(EK$44=1,DS196,
IF(INT(DS196)=INT(DR196),0,DS196-INT(DS196)))))</f>
        <v>0</v>
      </c>
      <c r="EL196" s="835">
        <f>+IF(DT196=DS196,0,
IF(AND(EL$44&gt;1,DT196=$N196),1-SUM($EE196:EK196),
IF($N196&lt;=1,
IF($N196&gt;0,1/$N196,0),
IF(EL$44=1,0,VDB(1,0,$N196,INT(EL$44-1-1),MIN($N196,INT(EL$44-1-1)+1),$DC196,IF($DD196="No",1,0))/
IF(DS196&gt;=INT($N196),$N196-INT($N196),1)))*
IF(EL$44=1,0,
IF(INT(DT196)=INT(DS196),DT196-DS196,INT(DT196)-DS196))+
IF($N196&lt;=1,
IF($N196&gt;0,1/$N196,0),VDB(1,0,$N196,INT(EL$44-1),MIN($N196,INT(EL$44-1)+1),$DC196,IF($DD196="No",1,0))/
IF(DT196&gt;INT($N196),$N196-INT($N196),1))*
IF(EL$44=1,DT196,
IF(INT(DT196)=INT(DS196),0,DT196-INT(DT196)))))</f>
        <v>0</v>
      </c>
      <c r="EM196" s="836">
        <f>+IF(DU196=DT196,0,
IF(AND(EM$44&gt;1,DU196=$N196),1-SUM($EE196:EL196),
IF($N196&lt;=1,
IF($N196&gt;0,1/$N196,0),
IF(EM$44=1,0,VDB(1,0,$N196,INT(EM$44-1-1),MIN($N196,INT(EM$44-1-1)+1),$DC196,IF($DD196="No",1,0))/
IF(DT196&gt;=INT($N196),$N196-INT($N196),1)))*
IF(EM$44=1,0,
IF(INT(DU196)=INT(DT196),DU196-DT196,INT(DU196)-DT196))+
IF($N196&lt;=1,
IF($N196&gt;0,1/$N196,0),VDB(1,0,$N196,INT(EM$44-1),MIN($N196,INT(EM$44-1)+1),$DC196,IF($DD196="No",1,0))/
IF(DU196&gt;INT($N196),$N196-INT($N196),1))*
IF(EM$44=1,DU196,
IF(INT(DU196)=INT(DT196),0,DU196-INT(DU196)))))</f>
        <v>0</v>
      </c>
      <c r="EN196" s="833"/>
      <c r="EO196" s="834">
        <f>+IF(OR(DW196=DV196,EO$44=1),0,
IF(AND(EO$44&gt;1,DW196=$N196),1-SUM($EN196:EN196),
IF($N196&lt;=1,
IF($N196&gt;0,1/$N196,0),
IF(EO$44=2,0,VDB(1,0,$N196,INT(EO$44-2-1),MIN($N196,INT(EO$44-2-1)+1),$DC196,IF($DD196="No",1,0))/
IF(DV196&gt;=INT($N196),$N196-INT($N196),1)))*
IF(EO$44=2,0,
IF(INT(DW196)=INT(DV196),DW196-DV196,INT(DW196)-DV196))+
IF($N196&lt;=1,
IF($N196&gt;0,1/$N196,0),VDB(1,0,$N196,INT(EO$44-2),MIN($N196,INT(EO$44-2)+1),$DC196,IF($DD196="No",1,0))/
IF(DW196&gt;INT($N196),$N196-INT($N196),1))*
IF(EO$44=2,DW196,
IF(INT(DW196)=INT(DV196),0,DW196-INT(DW196)))))</f>
        <v>0</v>
      </c>
      <c r="EP196" s="835">
        <f>+IF(OR(DX196=DW196,EP$44=1),0,
IF(AND(EP$44&gt;1,DX196=$N196),1-SUM($EN196:EO196),
IF($N196&lt;=1,
IF($N196&gt;0,1/$N196,0),
IF(EP$44=2,0,VDB(1,0,$N196,INT(EP$44-2-1),MIN($N196,INT(EP$44-2-1)+1),$DC196,IF($DD196="No",1,0))/
IF(DW196&gt;=INT($N196),$N196-INT($N196),1)))*
IF(EP$44=2,0,
IF(INT(DX196)=INT(DW196),DX196-DW196,INT(DX196)-DW196))+
IF($N196&lt;=1,
IF($N196&gt;0,1/$N196,0),VDB(1,0,$N196,INT(EP$44-2),MIN($N196,INT(EP$44-2)+1),$DC196,IF($DD196="No",1,0))/
IF(DX196&gt;INT($N196),$N196-INT($N196),1))*
IF(EP$44=2,DX196,
IF(INT(DX196)=INT(DW196),0,DX196-INT(DX196)))))</f>
        <v>0</v>
      </c>
      <c r="EQ196" s="836">
        <f>+IF(OR(DY196=DX196,EQ$44=1),0,
IF(AND(EQ$44&gt;1,DY196=$N196),1-SUM($EN196:EP196),
IF($N196&lt;=1,
IF($N196&gt;0,1/$N196,0),
IF(EQ$44=2,0,VDB(1,0,$N196,INT(EQ$44-2-1),MIN($N196,INT(EQ$44-2-1)+1),$DC196,IF($DD196="No",1,0))/
IF(DX196&gt;=INT($N196),$N196-INT($N196),1)))*
IF(EQ$44=2,0,
IF(INT(DY196)=INT(DX196),DY196-DX196,INT(DY196)-DX196))+
IF($N196&lt;=1,
IF($N196&gt;0,1/$N196,0),VDB(1,0,$N196,INT(EQ$44-2),MIN($N196,INT(EQ$44-2)+1),$DC196,IF($DD196="No",1,0))/
IF(DY196&gt;INT($N196),$N196-INT($N196),1))*
IF(EQ$44=2,DY196,
IF(INT(DY196)=INT(DX196),0,DY196-INT(DY196)))))</f>
        <v>0</v>
      </c>
      <c r="ER196" s="834">
        <f>+IF(OR(DZ196=DY196,ER$44=1),0,
IF(AND(ER$44&gt;1,DZ196=$N196),1-SUM($EN196:EQ196),
IF($N196&lt;=1,
IF($N196&gt;0,1/$N196,0),
IF(ER$44=2,0,VDB(1,0,$N196,INT(ER$44-2-1),MIN($N196,INT(ER$44-2-1)+1),$DC196,IF($DD196="No",1,0))/
IF(DY196&gt;=INT($N196),$N196-INT($N196),1)))*
IF(ER$44=2,0,
IF(INT(DZ196)=INT(DY196),DZ196-DY196,INT(DZ196)-DY196))+
IF($N196&lt;=1,
IF($N196&gt;0,1/$N196,0),VDB(1,0,$N196,INT(ER$44-2),MIN($N196,INT(ER$44-2)+1),$DC196,IF($DD196="No",1,0))/
IF(DZ196&gt;INT($N196),$N196-INT($N196),1))*
IF(ER$44=2,DZ196,
IF(INT(DZ196)=INT(DY196),0,DZ196-INT(DZ196)))))</f>
        <v>0</v>
      </c>
      <c r="ES196" s="835">
        <f>+IF(OR(EA196=DZ196,ES$44=1),0,
IF(AND(ES$44&gt;1,EA196=$N196),1-SUM($EN196:ER196),
IF($N196&lt;=1,
IF($N196&gt;0,1/$N196,0),
IF(ES$44=2,0,VDB(1,0,$N196,INT(ES$44-2-1),MIN($N196,INT(ES$44-2-1)+1),$DC196,IF($DD196="No",1,0))/
IF(DZ196&gt;=INT($N196),$N196-INT($N196),1)))*
IF(ES$44=2,0,
IF(INT(EA196)=INT(DZ196),EA196-DZ196,INT(EA196)-DZ196))+
IF($N196&lt;=1,
IF($N196&gt;0,1/$N196,0),VDB(1,0,$N196,INT(ES$44-2),MIN($N196,INT(ES$44-2)+1),$DC196,IF($DD196="No",1,0))/
IF(EA196&gt;INT($N196),$N196-INT($N196),1))*
IF(ES$44=2,EA196,
IF(INT(EA196)=INT(DZ196),0,EA196-INT(EA196)))))</f>
        <v>0</v>
      </c>
      <c r="ET196" s="835">
        <f>+IF(OR(EB196=EA196,ET$44=1),0,
IF(AND(ET$44&gt;1,EB196=$N196),1-SUM($EN196:ES196),
IF($N196&lt;=1,
IF($N196&gt;0,1/$N196,0),
IF(ET$44=2,0,VDB(1,0,$N196,INT(ET$44-2-1),MIN($N196,INT(ET$44-2-1)+1),$DC196,IF($DD196="No",1,0))/
IF(EA196&gt;=INT($N196),$N196-INT($N196),1)))*
IF(ET$44=2,0,
IF(INT(EB196)=INT(EA196),EB196-EA196,INT(EB196)-EA196))+
IF($N196&lt;=1,
IF($N196&gt;0,1/$N196,0),VDB(1,0,$N196,INT(ET$44-2),MIN($N196,INT(ET$44-2)+1),$DC196,IF($DD196="No",1,0))/
IF(EB196&gt;INT($N196),$N196-INT($N196),1))*
IF(ET$44=2,EB196,
IF(INT(EB196)=INT(EA196),0,EB196-INT(EB196)))))</f>
        <v>0</v>
      </c>
      <c r="EU196" s="835">
        <f>+IF(OR(EC196=EB196,EU$44=1),0,
IF(AND(EU$44&gt;1,EC196=$N196),1-SUM($EN196:ET196),
IF($N196&lt;=1,
IF($N196&gt;0,1/$N196,0),
IF(EU$44=2,0,VDB(1,0,$N196,INT(EU$44-2-1),MIN($N196,INT(EU$44-2-1)+1),$DC196,IF($DD196="No",1,0))/
IF(EB196&gt;=INT($N196),$N196-INT($N196),1)))*
IF(EU$44=2,0,
IF(INT(EC196)=INT(EB196),EC196-EB196,INT(EC196)-EB196))+
IF($N196&lt;=1,
IF($N196&gt;0,1/$N196,0),VDB(1,0,$N196,INT(EU$44-2),MIN($N196,INT(EU$44-2)+1),$DC196,IF($DD196="No",1,0))/
IF(EC196&gt;INT($N196),$N196-INT($N196),1))*
IF(EU$44=2,EC196,
IF(INT(EC196)=INT(EB196),0,EC196-INT(EC196)))))</f>
        <v>0</v>
      </c>
      <c r="EV196" s="836">
        <f>+IF(OR(ED196=EC196,EV$44=1),0,
IF(AND(EV$44&gt;1,ED196=$N196),1-SUM($EN196:EU196),
IF($N196&lt;=1,
IF($N196&gt;0,1/$N196,0),
IF(EV$44=2,0,VDB(1,0,$N196,INT(EV$44-2-1),MIN($N196,INT(EV$44-2-1)+1),$DC196,IF($DD196="No",1,0))/
IF(EC196&gt;=INT($N196),$N196-INT($N196),1)))*
IF(EV$44=2,0,
IF(INT(ED196)=INT(EC196),ED196-EC196,INT(ED196)-EC196))+
IF($N196&lt;=1,
IF($N196&gt;0,1/$N196,0),VDB(1,0,$N196,INT(EV$44-2),MIN($N196,INT(EV$44-2)+1),$DC196,IF($DD196="No",1,0))/
IF(ED196&gt;INT($N196),$N196-INT($N196),1))*
IF(EV$44=2,ED196,
IF(INT(ED196)=INT(EC196),0,ED196-INT(ED196)))))</f>
        <v>0</v>
      </c>
      <c r="EW196" s="833"/>
      <c r="EX196" s="834">
        <f t="shared" ca="1" si="350"/>
        <v>0</v>
      </c>
      <c r="EY196" s="835">
        <f t="shared" ca="1" si="350"/>
        <v>0</v>
      </c>
      <c r="EZ196" s="836">
        <f t="shared" ca="1" si="350"/>
        <v>0</v>
      </c>
      <c r="FA196" s="834">
        <f t="shared" ca="1" si="350"/>
        <v>0</v>
      </c>
      <c r="FB196" s="835">
        <f t="shared" ca="1" si="350"/>
        <v>0</v>
      </c>
      <c r="FC196" s="835">
        <f t="shared" ref="EX196:FE211" ca="1" si="360">+OFFSET($EO196,0,MAX($EX$44:$HY$44)-FC$44)</f>
        <v>0</v>
      </c>
      <c r="FD196" s="835">
        <f t="shared" ca="1" si="360"/>
        <v>0</v>
      </c>
      <c r="FE196" s="836">
        <f t="shared" ca="1" si="360"/>
        <v>0</v>
      </c>
      <c r="FG196" s="386">
        <f t="shared" ca="1" si="351"/>
        <v>0</v>
      </c>
      <c r="FH196" s="387">
        <f t="shared" ca="1" si="352"/>
        <v>0</v>
      </c>
      <c r="FI196" s="388">
        <f t="shared" ca="1" si="353"/>
        <v>0</v>
      </c>
      <c r="FJ196" s="386">
        <f t="shared" ca="1" si="354"/>
        <v>0</v>
      </c>
      <c r="FK196" s="387">
        <f t="shared" ca="1" si="355"/>
        <v>0</v>
      </c>
      <c r="FL196" s="387">
        <f t="shared" ca="1" si="356"/>
        <v>0</v>
      </c>
      <c r="FM196" s="387">
        <f t="shared" ca="1" si="357"/>
        <v>0</v>
      </c>
      <c r="FN196" s="388">
        <f t="shared" ca="1" si="358"/>
        <v>0</v>
      </c>
      <c r="FR196" s="116"/>
    </row>
    <row r="197" spans="2:174">
      <c r="B197" s="1410">
        <f t="shared" si="359"/>
        <v>151</v>
      </c>
      <c r="C197" s="400"/>
      <c r="D197" s="410"/>
      <c r="E197" s="402"/>
      <c r="F197" s="402"/>
      <c r="G197" s="400"/>
      <c r="H197" s="2088"/>
      <c r="I197" s="2089"/>
      <c r="J197" s="411"/>
      <c r="K197" s="403"/>
      <c r="L197" s="403"/>
      <c r="M197" s="403"/>
      <c r="N197" s="403"/>
      <c r="O197" s="347"/>
      <c r="P197" s="347"/>
      <c r="Q197" s="1021"/>
      <c r="R197" s="1022"/>
      <c r="S197" s="1022"/>
      <c r="T197" s="1022"/>
      <c r="U197" s="1023"/>
      <c r="V197" s="1021"/>
      <c r="W197" s="1022"/>
      <c r="X197" s="1022"/>
      <c r="Y197" s="1022"/>
      <c r="Z197" s="1023"/>
      <c r="AA197" s="1024"/>
      <c r="AB197" s="1021"/>
      <c r="AC197" s="1022"/>
      <c r="AD197" s="1022"/>
      <c r="AE197" s="1022"/>
      <c r="AF197" s="1023"/>
      <c r="AG197" s="1021"/>
      <c r="AH197" s="1022"/>
      <c r="AI197" s="1022"/>
      <c r="AJ197" s="1022"/>
      <c r="AK197" s="1023"/>
      <c r="AL197" s="1024"/>
      <c r="AM197" s="1021"/>
      <c r="AN197" s="1022"/>
      <c r="AO197" s="1022"/>
      <c r="AP197" s="1022"/>
      <c r="AQ197" s="1023"/>
      <c r="AR197" s="1021"/>
      <c r="AS197" s="1022"/>
      <c r="AT197" s="1022"/>
      <c r="AU197" s="1022"/>
      <c r="AV197" s="1023"/>
      <c r="AW197" s="1025"/>
      <c r="AX197" s="1282">
        <f t="shared" si="304"/>
        <v>0</v>
      </c>
      <c r="AY197" s="387">
        <f t="shared" si="305"/>
        <v>0</v>
      </c>
      <c r="AZ197" s="387">
        <f t="shared" si="306"/>
        <v>0</v>
      </c>
      <c r="BA197" s="387">
        <f t="shared" si="307"/>
        <v>0</v>
      </c>
      <c r="BB197" s="1283">
        <f t="shared" si="308"/>
        <v>0</v>
      </c>
      <c r="BC197" s="386">
        <f t="shared" si="309"/>
        <v>0</v>
      </c>
      <c r="BD197" s="387">
        <f t="shared" si="310"/>
        <v>0</v>
      </c>
      <c r="BE197" s="1277">
        <f t="shared" si="311"/>
        <v>0</v>
      </c>
      <c r="BF197" s="1277">
        <f t="shared" si="312"/>
        <v>0</v>
      </c>
      <c r="BG197" s="388">
        <f t="shared" si="313"/>
        <v>0</v>
      </c>
      <c r="BH197" s="1025"/>
      <c r="BI197" s="1282">
        <f t="shared" ca="1" si="314"/>
        <v>0</v>
      </c>
      <c r="BJ197" s="387">
        <f t="shared" ca="1" si="315"/>
        <v>0</v>
      </c>
      <c r="BK197" s="387">
        <f t="shared" ca="1" si="316"/>
        <v>0</v>
      </c>
      <c r="BL197" s="387">
        <f t="shared" ca="1" si="317"/>
        <v>0</v>
      </c>
      <c r="BM197" s="1283">
        <f t="shared" ca="1" si="318"/>
        <v>0</v>
      </c>
      <c r="BN197" s="386">
        <f t="shared" ca="1" si="319"/>
        <v>0</v>
      </c>
      <c r="BO197" s="387">
        <f t="shared" ca="1" si="320"/>
        <v>0</v>
      </c>
      <c r="BP197" s="1277">
        <f t="shared" ca="1" si="321"/>
        <v>0</v>
      </c>
      <c r="BQ197" s="1277">
        <f t="shared" ca="1" si="322"/>
        <v>0</v>
      </c>
      <c r="BR197" s="388">
        <f t="shared" ca="1" si="323"/>
        <v>0</v>
      </c>
      <c r="BS197" s="1025"/>
      <c r="BT197" s="1282">
        <f>+IF($K197="Ongoing",AX197,IF(RIGHT($K197,2)=RIGHT(BT$43,2),SUM($AX197:AX197),0)+IF(RIGHT(BT$43,2)&gt;RIGHT($K197,2),AX197,0))</f>
        <v>0</v>
      </c>
      <c r="BU197" s="387">
        <f>+IF($K197="Ongoing",AY197,IF(RIGHT($K197,2)=RIGHT(BU$43,2),SUM($AX197:AY197),0)+IF(RIGHT(BU$43,2)&gt;RIGHT($K197,2),AY197,0))</f>
        <v>0</v>
      </c>
      <c r="BV197" s="387">
        <f>+IF($K197="Ongoing",AZ197,IF(RIGHT($K197,2)=RIGHT(BV$43,2),SUM($AX197:AZ197),0)+IF(RIGHT(BV$43,2)&gt;RIGHT($K197,2),AZ197,0))</f>
        <v>0</v>
      </c>
      <c r="BW197" s="387">
        <f>+IF($K197="Ongoing",BA197,IF(RIGHT($K197,2)=RIGHT(BW$43,2),SUM($AX197:BA197),0)+IF(RIGHT(BW$43,2)&gt;RIGHT($K197,2),BA197,0))</f>
        <v>0</v>
      </c>
      <c r="BX197" s="1283">
        <f>+IF($K197="Ongoing",BB197,IF(RIGHT($K197,2)=RIGHT(BX$43,2),SUM($AX197:BB197),0)+IF(RIGHT(BX$43,2)&gt;RIGHT($K197,2),BB197,0))</f>
        <v>0</v>
      </c>
      <c r="BY197" s="386">
        <f>+IF($K197="Ongoing",BC197,IF(RIGHT($K197,2)=RIGHT(BY$43,2),SUM($AX197:BC197),0)+IF(RIGHT(BY$43,2)&gt;RIGHT($K197,2),BC197,0))</f>
        <v>0</v>
      </c>
      <c r="BZ197" s="387">
        <f>+IF($K197="Ongoing",BD197,IF(RIGHT($K197,2)=RIGHT(BZ$43,2),SUM($AX197:BD197),0)+IF(RIGHT(BZ$43,2)&gt;RIGHT($K197,2),BD197,0))</f>
        <v>0</v>
      </c>
      <c r="CA197" s="1277">
        <f>+IF($K197="Ongoing",BE197,IF(RIGHT($K197,2)=RIGHT(CA$43,2),SUM($AX197:BE197),0)+IF(RIGHT(CA$43,2)&gt;RIGHT($K197,2),BE197,0))</f>
        <v>0</v>
      </c>
      <c r="CB197" s="1277">
        <f>+IF($K197="Ongoing",BF197,IF(RIGHT($K197,2)=RIGHT(CB$43,2),SUM($AX197:BF197),0)+IF(RIGHT(CB$43,2)&gt;RIGHT($K197,2),BF197,0))</f>
        <v>0</v>
      </c>
      <c r="CC197" s="388">
        <f>+IF($K197="Ongoing",BG197,IF(RIGHT($K197,2)=RIGHT(CC$43,2),SUM($AX197:BG197),0)+IF(RIGHT(CC$43,2)&gt;RIGHT($K197,2),BG197,0))</f>
        <v>0</v>
      </c>
      <c r="CD197" s="1025"/>
      <c r="CE197" s="1282">
        <f>+Q197*KeyAssumptionsPriceControl_FO!AF$15</f>
        <v>0</v>
      </c>
      <c r="CF197" s="387">
        <f>+R197*KeyAssumptionsPriceControl_FO!AG$15</f>
        <v>0</v>
      </c>
      <c r="CG197" s="387">
        <f>+S197*KeyAssumptionsPriceControl_FO!AH$15</f>
        <v>0</v>
      </c>
      <c r="CH197" s="387">
        <f>+T197*KeyAssumptionsPriceControl_FO!AI$15</f>
        <v>0</v>
      </c>
      <c r="CI197" s="1283">
        <f>+U197*KeyAssumptionsPriceControl_FO!AJ$15</f>
        <v>0</v>
      </c>
      <c r="CJ197" s="386">
        <f>+V197*KeyAssumptionsPriceControl_FO!AK$15</f>
        <v>0</v>
      </c>
      <c r="CK197" s="387">
        <f>+W197*KeyAssumptionsPriceControl_FO!AL$15</f>
        <v>0</v>
      </c>
      <c r="CL197" s="1277">
        <f>+X197*KeyAssumptionsPriceControl_FO!AM$15</f>
        <v>0</v>
      </c>
      <c r="CM197" s="1277">
        <f>+Y197*KeyAssumptionsPriceControl_FO!AN$15</f>
        <v>0</v>
      </c>
      <c r="CN197" s="388">
        <f>+Z197*KeyAssumptionsPriceControl_FO!AO$15</f>
        <v>0</v>
      </c>
      <c r="CO197" s="1025"/>
      <c r="CP197" s="1282">
        <f t="shared" ca="1" si="324"/>
        <v>0</v>
      </c>
      <c r="CQ197" s="387">
        <f t="shared" ca="1" si="325"/>
        <v>0</v>
      </c>
      <c r="CR197" s="387">
        <f t="shared" ca="1" si="326"/>
        <v>0</v>
      </c>
      <c r="CS197" s="387">
        <f t="shared" ca="1" si="327"/>
        <v>0</v>
      </c>
      <c r="CT197" s="1283">
        <f t="shared" ca="1" si="328"/>
        <v>0</v>
      </c>
      <c r="CU197" s="386">
        <f t="shared" ca="1" si="329"/>
        <v>0</v>
      </c>
      <c r="CV197" s="387">
        <f t="shared" ca="1" si="330"/>
        <v>0</v>
      </c>
      <c r="CW197" s="1277">
        <f t="shared" ca="1" si="331"/>
        <v>0</v>
      </c>
      <c r="CX197" s="1277">
        <f t="shared" ca="1" si="332"/>
        <v>0</v>
      </c>
      <c r="CY197" s="388">
        <f t="shared" ca="1" si="333"/>
        <v>0</v>
      </c>
      <c r="CZ197" s="347"/>
      <c r="DA197" s="852"/>
      <c r="DB197" s="347"/>
      <c r="DC197" s="1012" t="s">
        <v>718</v>
      </c>
      <c r="DD197" s="841" t="s">
        <v>518</v>
      </c>
      <c r="DE197" s="386">
        <f>+IF($K197="ongoing",CE197,IF(RIGHT($K197,2)=RIGHT(DE$43,2),SUM($CD197:CE197),0)+IF(RIGHT(DE$43,2)&gt;RIGHT($K197,2),CE197,0))</f>
        <v>0</v>
      </c>
      <c r="DF197" s="387">
        <f>+IF($K197="ongoing",CF197,IF(RIGHT($K197,2)=RIGHT(DF$43,2),SUM($CD197:CF197),0)+IF(RIGHT(DF$43,2)&gt;RIGHT($K197,2),CF197,0))</f>
        <v>0</v>
      </c>
      <c r="DG197" s="388">
        <f>+IF($K197="ongoing",CG197,IF(RIGHT($K197,2)=RIGHT(DG$43,2),SUM($CD197:CG197),0)+IF(RIGHT(DG$43,2)&gt;RIGHT($K197,2),CG197,0))</f>
        <v>0</v>
      </c>
      <c r="DH197" s="386">
        <f>+IF($K197="ongoing",CH197,IF(RIGHT($K197,2)=RIGHT(DH$43,2),SUM($CD197:CH197),0)+IF(RIGHT(DH$43,2)&gt;RIGHT($K197,2),CH197,0))</f>
        <v>0</v>
      </c>
      <c r="DI197" s="387">
        <f>+IF($K197="ongoing",CI197,IF(RIGHT($K197,2)=RIGHT(DI$43,2),SUM($CD197:CI197),0)+IF(RIGHT(DI$43,2)&gt;RIGHT($K197,2),CI197,0))</f>
        <v>0</v>
      </c>
      <c r="DJ197" s="387">
        <f>+IF($K197="ongoing",CJ197,IF(RIGHT($K197,2)=RIGHT(DJ$43,2),SUM($CD197:CJ197),0)+IF(RIGHT(DJ$43,2)&gt;RIGHT($K197,2),CJ197,0))</f>
        <v>0</v>
      </c>
      <c r="DK197" s="387">
        <f>+IF($K197="ongoing",CK197,IF(RIGHT($K197,2)=RIGHT(DK$43,2),SUM($CD197:CK197),0)+IF(RIGHT(DK$43,2)&gt;RIGHT($K197,2),CK197,0))</f>
        <v>0</v>
      </c>
      <c r="DL197" s="388">
        <f>+IF($K197="ongoing",CN197,IF(RIGHT($K197,2)=RIGHT(DL$43,2),SUM($CD197:CN197),0)+IF(RIGHT(DL$43,2)&gt;RIGHT($K197,2),CN197,0))</f>
        <v>0</v>
      </c>
      <c r="DM197" s="841"/>
      <c r="DN197" s="386">
        <f t="shared" si="334"/>
        <v>0.5</v>
      </c>
      <c r="DO197" s="387">
        <f t="shared" si="335"/>
        <v>1</v>
      </c>
      <c r="DP197" s="388">
        <f t="shared" si="336"/>
        <v>1</v>
      </c>
      <c r="DQ197" s="386">
        <f t="shared" si="337"/>
        <v>1</v>
      </c>
      <c r="DR197" s="387">
        <f t="shared" si="338"/>
        <v>1</v>
      </c>
      <c r="DS197" s="387">
        <f t="shared" si="339"/>
        <v>1</v>
      </c>
      <c r="DT197" s="387">
        <f t="shared" si="340"/>
        <v>1</v>
      </c>
      <c r="DU197" s="388">
        <f t="shared" si="341"/>
        <v>1</v>
      </c>
      <c r="DW197" s="386">
        <f t="shared" si="342"/>
        <v>0</v>
      </c>
      <c r="DX197" s="387">
        <f t="shared" si="343"/>
        <v>0.5</v>
      </c>
      <c r="DY197" s="388">
        <f t="shared" si="344"/>
        <v>1</v>
      </c>
      <c r="DZ197" s="386">
        <f t="shared" si="345"/>
        <v>1</v>
      </c>
      <c r="EA197" s="387">
        <f t="shared" si="346"/>
        <v>1</v>
      </c>
      <c r="EB197" s="387">
        <f t="shared" si="347"/>
        <v>1</v>
      </c>
      <c r="EC197" s="387">
        <f t="shared" si="348"/>
        <v>1</v>
      </c>
      <c r="ED197" s="388">
        <f t="shared" si="349"/>
        <v>1</v>
      </c>
      <c r="EF197" s="834">
        <f>+IF(DN197=DM197,0,
IF(AND(EF$44&gt;1,DN197=$N197),1-SUM($EE197:EE197),
IF($N197&lt;=1,
IF($N197&gt;0,1/$N197,0),
IF(EF$44=1,0,VDB(1,0,$N197,INT(EF$44-1-1),MIN($N197,INT(EF$44-1-1)+1),$DC197,IF($DD197="No",1,0))/
IF(DM197&gt;=INT($N197),$N197-INT($N197),1)))*
IF(EF$44=1,0,
IF(INT(DN197)=INT(DM197),DN197-DM197,INT(DN197)-DM197))+
IF($N197&lt;=1,
IF($N197&gt;0,1/$N197,0),VDB(1,0,$N197,INT(EF$44-1),MIN($N197,INT(EF$44-1)+1),$DC197,IF($DD197="No",1,0))/
IF(DN197&gt;INT($N197),$N197-INT($N197),1))*
IF(EF$44=1,DN197,
IF(INT(DN197)=INT(DM197),0,DN197-INT(DN197)))))</f>
        <v>0</v>
      </c>
      <c r="EG197" s="835">
        <f>+IF(DO197=DN197,0,
IF(AND(EG$44&gt;1,DO197=$N197),1-SUM($EE197:EF197),
IF($N197&lt;=1,
IF($N197&gt;0,1/$N197,0),
IF(EG$44=1,0,VDB(1,0,$N197,INT(EG$44-1-1),MIN($N197,INT(EG$44-1-1)+1),$DC197,IF($DD197="No",1,0))/
IF(DN197&gt;=INT($N197),$N197-INT($N197),1)))*
IF(EG$44=1,0,
IF(INT(DO197)=INT(DN197),DO197-DN197,INT(DO197)-DN197))+
IF($N197&lt;=1,
IF($N197&gt;0,1/$N197,0),VDB(1,0,$N197,INT(EG$44-1),MIN($N197,INT(EG$44-1)+1),$DC197,IF($DD197="No",1,0))/
IF(DO197&gt;INT($N197),$N197-INT($N197),1))*
IF(EG$44=1,DO197,
IF(INT(DO197)=INT(DN197),0,DO197-INT(DO197)))))</f>
        <v>0</v>
      </c>
      <c r="EH197" s="836">
        <f>+IF(DP197=DO197,0,
IF(AND(EH$44&gt;1,DP197=$N197),1-SUM($EE197:EG197),
IF($N197&lt;=1,
IF($N197&gt;0,1/$N197,0),
IF(EH$44=1,0,VDB(1,0,$N197,INT(EH$44-1-1),MIN($N197,INT(EH$44-1-1)+1),$DC197,IF($DD197="No",1,0))/
IF(DO197&gt;=INT($N197),$N197-INT($N197),1)))*
IF(EH$44=1,0,
IF(INT(DP197)=INT(DO197),DP197-DO197,INT(DP197)-DO197))+
IF($N197&lt;=1,
IF($N197&gt;0,1/$N197,0),VDB(1,0,$N197,INT(EH$44-1),MIN($N197,INT(EH$44-1)+1),$DC197,IF($DD197="No",1,0))/
IF(DP197&gt;INT($N197),$N197-INT($N197),1))*
IF(EH$44=1,DP197,
IF(INT(DP197)=INT(DO197),0,DP197-INT(DP197)))))</f>
        <v>0</v>
      </c>
      <c r="EI197" s="834">
        <f>+IF(DQ197=DP197,0,
IF(AND(EI$44&gt;1,DQ197=$N197),1-SUM($EE197:EH197),
IF($N197&lt;=1,
IF($N197&gt;0,1/$N197,0),
IF(EI$44=1,0,VDB(1,0,$N197,INT(EI$44-1-1),MIN($N197,INT(EI$44-1-1)+1),$DC197,IF($DD197="No",1,0))/
IF(DP197&gt;=INT($N197),$N197-INT($N197),1)))*
IF(EI$44=1,0,
IF(INT(DQ197)=INT(DP197),DQ197-DP197,INT(DQ197)-DP197))+
IF($N197&lt;=1,
IF($N197&gt;0,1/$N197,0),VDB(1,0,$N197,INT(EI$44-1),MIN($N197,INT(EI$44-1)+1),$DC197,IF($DD197="No",1,0))/
IF(DQ197&gt;INT($N197),$N197-INT($N197),1))*
IF(EI$44=1,DQ197,
IF(INT(DQ197)=INT(DP197),0,DQ197-INT(DQ197)))))</f>
        <v>0</v>
      </c>
      <c r="EJ197" s="835">
        <f>+IF(DR197=DQ197,0,
IF(AND(EJ$44&gt;1,DR197=$N197),1-SUM($EE197:EI197),
IF($N197&lt;=1,
IF($N197&gt;0,1/$N197,0),
IF(EJ$44=1,0,VDB(1,0,$N197,INT(EJ$44-1-1),MIN($N197,INT(EJ$44-1-1)+1),$DC197,IF($DD197="No",1,0))/
IF(DQ197&gt;=INT($N197),$N197-INT($N197),1)))*
IF(EJ$44=1,0,
IF(INT(DR197)=INT(DQ197),DR197-DQ197,INT(DR197)-DQ197))+
IF($N197&lt;=1,
IF($N197&gt;0,1/$N197,0),VDB(1,0,$N197,INT(EJ$44-1),MIN($N197,INT(EJ$44-1)+1),$DC197,IF($DD197="No",1,0))/
IF(DR197&gt;INT($N197),$N197-INT($N197),1))*
IF(EJ$44=1,DR197,
IF(INT(DR197)=INT(DQ197),0,DR197-INT(DR197)))))</f>
        <v>0</v>
      </c>
      <c r="EK197" s="835">
        <f>+IF(DS197=DR197,0,
IF(AND(EK$44&gt;1,DS197=$N197),1-SUM($EE197:EJ197),
IF($N197&lt;=1,
IF($N197&gt;0,1/$N197,0),
IF(EK$44=1,0,VDB(1,0,$N197,INT(EK$44-1-1),MIN($N197,INT(EK$44-1-1)+1),$DC197,IF($DD197="No",1,0))/
IF(DR197&gt;=INT($N197),$N197-INT($N197),1)))*
IF(EK$44=1,0,
IF(INT(DS197)=INT(DR197),DS197-DR197,INT(DS197)-DR197))+
IF($N197&lt;=1,
IF($N197&gt;0,1/$N197,0),VDB(1,0,$N197,INT(EK$44-1),MIN($N197,INT(EK$44-1)+1),$DC197,IF($DD197="No",1,0))/
IF(DS197&gt;INT($N197),$N197-INT($N197),1))*
IF(EK$44=1,DS197,
IF(INT(DS197)=INT(DR197),0,DS197-INT(DS197)))))</f>
        <v>0</v>
      </c>
      <c r="EL197" s="835">
        <f>+IF(DT197=DS197,0,
IF(AND(EL$44&gt;1,DT197=$N197),1-SUM($EE197:EK197),
IF($N197&lt;=1,
IF($N197&gt;0,1/$N197,0),
IF(EL$44=1,0,VDB(1,0,$N197,INT(EL$44-1-1),MIN($N197,INT(EL$44-1-1)+1),$DC197,IF($DD197="No",1,0))/
IF(DS197&gt;=INT($N197),$N197-INT($N197),1)))*
IF(EL$44=1,0,
IF(INT(DT197)=INT(DS197),DT197-DS197,INT(DT197)-DS197))+
IF($N197&lt;=1,
IF($N197&gt;0,1/$N197,0),VDB(1,0,$N197,INT(EL$44-1),MIN($N197,INT(EL$44-1)+1),$DC197,IF($DD197="No",1,0))/
IF(DT197&gt;INT($N197),$N197-INT($N197),1))*
IF(EL$44=1,DT197,
IF(INT(DT197)=INT(DS197),0,DT197-INT(DT197)))))</f>
        <v>0</v>
      </c>
      <c r="EM197" s="836">
        <f>+IF(DU197=DT197,0,
IF(AND(EM$44&gt;1,DU197=$N197),1-SUM($EE197:EL197),
IF($N197&lt;=1,
IF($N197&gt;0,1/$N197,0),
IF(EM$44=1,0,VDB(1,0,$N197,INT(EM$44-1-1),MIN($N197,INT(EM$44-1-1)+1),$DC197,IF($DD197="No",1,0))/
IF(DT197&gt;=INT($N197),$N197-INT($N197),1)))*
IF(EM$44=1,0,
IF(INT(DU197)=INT(DT197),DU197-DT197,INT(DU197)-DT197))+
IF($N197&lt;=1,
IF($N197&gt;0,1/$N197,0),VDB(1,0,$N197,INT(EM$44-1),MIN($N197,INT(EM$44-1)+1),$DC197,IF($DD197="No",1,0))/
IF(DU197&gt;INT($N197),$N197-INT($N197),1))*
IF(EM$44=1,DU197,
IF(INT(DU197)=INT(DT197),0,DU197-INT(DU197)))))</f>
        <v>0</v>
      </c>
      <c r="EN197" s="833"/>
      <c r="EO197" s="834">
        <f>+IF(OR(DW197=DV197,EO$44=1),0,
IF(AND(EO$44&gt;1,DW197=$N197),1-SUM($EN197:EN197),
IF($N197&lt;=1,
IF($N197&gt;0,1/$N197,0),
IF(EO$44=2,0,VDB(1,0,$N197,INT(EO$44-2-1),MIN($N197,INT(EO$44-2-1)+1),$DC197,IF($DD197="No",1,0))/
IF(DV197&gt;=INT($N197),$N197-INT($N197),1)))*
IF(EO$44=2,0,
IF(INT(DW197)=INT(DV197),DW197-DV197,INT(DW197)-DV197))+
IF($N197&lt;=1,
IF($N197&gt;0,1/$N197,0),VDB(1,0,$N197,INT(EO$44-2),MIN($N197,INT(EO$44-2)+1),$DC197,IF($DD197="No",1,0))/
IF(DW197&gt;INT($N197),$N197-INT($N197),1))*
IF(EO$44=2,DW197,
IF(INT(DW197)=INT(DV197),0,DW197-INT(DW197)))))</f>
        <v>0</v>
      </c>
      <c r="EP197" s="835">
        <f>+IF(OR(DX197=DW197,EP$44=1),0,
IF(AND(EP$44&gt;1,DX197=$N197),1-SUM($EN197:EO197),
IF($N197&lt;=1,
IF($N197&gt;0,1/$N197,0),
IF(EP$44=2,0,VDB(1,0,$N197,INT(EP$44-2-1),MIN($N197,INT(EP$44-2-1)+1),$DC197,IF($DD197="No",1,0))/
IF(DW197&gt;=INT($N197),$N197-INT($N197),1)))*
IF(EP$44=2,0,
IF(INT(DX197)=INT(DW197),DX197-DW197,INT(DX197)-DW197))+
IF($N197&lt;=1,
IF($N197&gt;0,1/$N197,0),VDB(1,0,$N197,INT(EP$44-2),MIN($N197,INT(EP$44-2)+1),$DC197,IF($DD197="No",1,0))/
IF(DX197&gt;INT($N197),$N197-INT($N197),1))*
IF(EP$44=2,DX197,
IF(INT(DX197)=INT(DW197),0,DX197-INT(DX197)))))</f>
        <v>0</v>
      </c>
      <c r="EQ197" s="836">
        <f>+IF(OR(DY197=DX197,EQ$44=1),0,
IF(AND(EQ$44&gt;1,DY197=$N197),1-SUM($EN197:EP197),
IF($N197&lt;=1,
IF($N197&gt;0,1/$N197,0),
IF(EQ$44=2,0,VDB(1,0,$N197,INT(EQ$44-2-1),MIN($N197,INT(EQ$44-2-1)+1),$DC197,IF($DD197="No",1,0))/
IF(DX197&gt;=INT($N197),$N197-INT($N197),1)))*
IF(EQ$44=2,0,
IF(INT(DY197)=INT(DX197),DY197-DX197,INT(DY197)-DX197))+
IF($N197&lt;=1,
IF($N197&gt;0,1/$N197,0),VDB(1,0,$N197,INT(EQ$44-2),MIN($N197,INT(EQ$44-2)+1),$DC197,IF($DD197="No",1,0))/
IF(DY197&gt;INT($N197),$N197-INT($N197),1))*
IF(EQ$44=2,DY197,
IF(INT(DY197)=INT(DX197),0,DY197-INT(DY197)))))</f>
        <v>0</v>
      </c>
      <c r="ER197" s="834">
        <f>+IF(OR(DZ197=DY197,ER$44=1),0,
IF(AND(ER$44&gt;1,DZ197=$N197),1-SUM($EN197:EQ197),
IF($N197&lt;=1,
IF($N197&gt;0,1/$N197,0),
IF(ER$44=2,0,VDB(1,0,$N197,INT(ER$44-2-1),MIN($N197,INT(ER$44-2-1)+1),$DC197,IF($DD197="No",1,0))/
IF(DY197&gt;=INT($N197),$N197-INT($N197),1)))*
IF(ER$44=2,0,
IF(INT(DZ197)=INT(DY197),DZ197-DY197,INT(DZ197)-DY197))+
IF($N197&lt;=1,
IF($N197&gt;0,1/$N197,0),VDB(1,0,$N197,INT(ER$44-2),MIN($N197,INT(ER$44-2)+1),$DC197,IF($DD197="No",1,0))/
IF(DZ197&gt;INT($N197),$N197-INT($N197),1))*
IF(ER$44=2,DZ197,
IF(INT(DZ197)=INT(DY197),0,DZ197-INT(DZ197)))))</f>
        <v>0</v>
      </c>
      <c r="ES197" s="835">
        <f>+IF(OR(EA197=DZ197,ES$44=1),0,
IF(AND(ES$44&gt;1,EA197=$N197),1-SUM($EN197:ER197),
IF($N197&lt;=1,
IF($N197&gt;0,1/$N197,0),
IF(ES$44=2,0,VDB(1,0,$N197,INT(ES$44-2-1),MIN($N197,INT(ES$44-2-1)+1),$DC197,IF($DD197="No",1,0))/
IF(DZ197&gt;=INT($N197),$N197-INT($N197),1)))*
IF(ES$44=2,0,
IF(INT(EA197)=INT(DZ197),EA197-DZ197,INT(EA197)-DZ197))+
IF($N197&lt;=1,
IF($N197&gt;0,1/$N197,0),VDB(1,0,$N197,INT(ES$44-2),MIN($N197,INT(ES$44-2)+1),$DC197,IF($DD197="No",1,0))/
IF(EA197&gt;INT($N197),$N197-INT($N197),1))*
IF(ES$44=2,EA197,
IF(INT(EA197)=INT(DZ197),0,EA197-INT(EA197)))))</f>
        <v>0</v>
      </c>
      <c r="ET197" s="835">
        <f>+IF(OR(EB197=EA197,ET$44=1),0,
IF(AND(ET$44&gt;1,EB197=$N197),1-SUM($EN197:ES197),
IF($N197&lt;=1,
IF($N197&gt;0,1/$N197,0),
IF(ET$44=2,0,VDB(1,0,$N197,INT(ET$44-2-1),MIN($N197,INT(ET$44-2-1)+1),$DC197,IF($DD197="No",1,0))/
IF(EA197&gt;=INT($N197),$N197-INT($N197),1)))*
IF(ET$44=2,0,
IF(INT(EB197)=INT(EA197),EB197-EA197,INT(EB197)-EA197))+
IF($N197&lt;=1,
IF($N197&gt;0,1/$N197,0),VDB(1,0,$N197,INT(ET$44-2),MIN($N197,INT(ET$44-2)+1),$DC197,IF($DD197="No",1,0))/
IF(EB197&gt;INT($N197),$N197-INT($N197),1))*
IF(ET$44=2,EB197,
IF(INT(EB197)=INT(EA197),0,EB197-INT(EB197)))))</f>
        <v>0</v>
      </c>
      <c r="EU197" s="835">
        <f>+IF(OR(EC197=EB197,EU$44=1),0,
IF(AND(EU$44&gt;1,EC197=$N197),1-SUM($EN197:ET197),
IF($N197&lt;=1,
IF($N197&gt;0,1/$N197,0),
IF(EU$44=2,0,VDB(1,0,$N197,INT(EU$44-2-1),MIN($N197,INT(EU$44-2-1)+1),$DC197,IF($DD197="No",1,0))/
IF(EB197&gt;=INT($N197),$N197-INT($N197),1)))*
IF(EU$44=2,0,
IF(INT(EC197)=INT(EB197),EC197-EB197,INT(EC197)-EB197))+
IF($N197&lt;=1,
IF($N197&gt;0,1/$N197,0),VDB(1,0,$N197,INT(EU$44-2),MIN($N197,INT(EU$44-2)+1),$DC197,IF($DD197="No",1,0))/
IF(EC197&gt;INT($N197),$N197-INT($N197),1))*
IF(EU$44=2,EC197,
IF(INT(EC197)=INT(EB197),0,EC197-INT(EC197)))))</f>
        <v>0</v>
      </c>
      <c r="EV197" s="836">
        <f>+IF(OR(ED197=EC197,EV$44=1),0,
IF(AND(EV$44&gt;1,ED197=$N197),1-SUM($EN197:EU197),
IF($N197&lt;=1,
IF($N197&gt;0,1/$N197,0),
IF(EV$44=2,0,VDB(1,0,$N197,INT(EV$44-2-1),MIN($N197,INT(EV$44-2-1)+1),$DC197,IF($DD197="No",1,0))/
IF(EC197&gt;=INT($N197),$N197-INT($N197),1)))*
IF(EV$44=2,0,
IF(INT(ED197)=INT(EC197),ED197-EC197,INT(ED197)-EC197))+
IF($N197&lt;=1,
IF($N197&gt;0,1/$N197,0),VDB(1,0,$N197,INT(EV$44-2),MIN($N197,INT(EV$44-2)+1),$DC197,IF($DD197="No",1,0))/
IF(ED197&gt;INT($N197),$N197-INT($N197),1))*
IF(EV$44=2,ED197,
IF(INT(ED197)=INT(EC197),0,ED197-INT(ED197)))))</f>
        <v>0</v>
      </c>
      <c r="EW197" s="833"/>
      <c r="EX197" s="834">
        <f t="shared" ca="1" si="360"/>
        <v>0</v>
      </c>
      <c r="EY197" s="835">
        <f t="shared" ca="1" si="360"/>
        <v>0</v>
      </c>
      <c r="EZ197" s="836">
        <f t="shared" ca="1" si="360"/>
        <v>0</v>
      </c>
      <c r="FA197" s="834">
        <f t="shared" ca="1" si="360"/>
        <v>0</v>
      </c>
      <c r="FB197" s="835">
        <f t="shared" ca="1" si="360"/>
        <v>0</v>
      </c>
      <c r="FC197" s="835">
        <f t="shared" ca="1" si="360"/>
        <v>0</v>
      </c>
      <c r="FD197" s="835">
        <f t="shared" ca="1" si="360"/>
        <v>0</v>
      </c>
      <c r="FE197" s="836">
        <f t="shared" ca="1" si="360"/>
        <v>0</v>
      </c>
      <c r="FG197" s="386">
        <f t="shared" ca="1" si="351"/>
        <v>0</v>
      </c>
      <c r="FH197" s="387">
        <f t="shared" ca="1" si="352"/>
        <v>0</v>
      </c>
      <c r="FI197" s="388">
        <f t="shared" ca="1" si="353"/>
        <v>0</v>
      </c>
      <c r="FJ197" s="386">
        <f t="shared" ca="1" si="354"/>
        <v>0</v>
      </c>
      <c r="FK197" s="387">
        <f t="shared" ca="1" si="355"/>
        <v>0</v>
      </c>
      <c r="FL197" s="387">
        <f t="shared" ca="1" si="356"/>
        <v>0</v>
      </c>
      <c r="FM197" s="387">
        <f t="shared" ca="1" si="357"/>
        <v>0</v>
      </c>
      <c r="FN197" s="388">
        <f t="shared" ca="1" si="358"/>
        <v>0</v>
      </c>
      <c r="FR197" s="116"/>
    </row>
    <row r="198" spans="2:174">
      <c r="B198" s="1410">
        <f t="shared" si="359"/>
        <v>152</v>
      </c>
      <c r="C198" s="400"/>
      <c r="D198" s="410"/>
      <c r="E198" s="402"/>
      <c r="F198" s="402"/>
      <c r="G198" s="400"/>
      <c r="H198" s="2088"/>
      <c r="I198" s="2089"/>
      <c r="J198" s="411"/>
      <c r="K198" s="403"/>
      <c r="L198" s="403"/>
      <c r="M198" s="403"/>
      <c r="N198" s="403"/>
      <c r="O198" s="347"/>
      <c r="P198" s="347"/>
      <c r="Q198" s="1021"/>
      <c r="R198" s="1022"/>
      <c r="S198" s="1022"/>
      <c r="T198" s="1022"/>
      <c r="U198" s="1023"/>
      <c r="V198" s="1021"/>
      <c r="W198" s="1022"/>
      <c r="X198" s="1022"/>
      <c r="Y198" s="1022"/>
      <c r="Z198" s="1023"/>
      <c r="AA198" s="1024"/>
      <c r="AB198" s="1021"/>
      <c r="AC198" s="1022"/>
      <c r="AD198" s="1022"/>
      <c r="AE198" s="1022"/>
      <c r="AF198" s="1023"/>
      <c r="AG198" s="1021"/>
      <c r="AH198" s="1022"/>
      <c r="AI198" s="1022"/>
      <c r="AJ198" s="1022"/>
      <c r="AK198" s="1023"/>
      <c r="AL198" s="1024"/>
      <c r="AM198" s="1021"/>
      <c r="AN198" s="1022"/>
      <c r="AO198" s="1022"/>
      <c r="AP198" s="1022"/>
      <c r="AQ198" s="1023"/>
      <c r="AR198" s="1021"/>
      <c r="AS198" s="1022"/>
      <c r="AT198" s="1022"/>
      <c r="AU198" s="1022"/>
      <c r="AV198" s="1023"/>
      <c r="AW198" s="1025"/>
      <c r="AX198" s="1282">
        <f t="shared" si="304"/>
        <v>0</v>
      </c>
      <c r="AY198" s="387">
        <f t="shared" si="305"/>
        <v>0</v>
      </c>
      <c r="AZ198" s="387">
        <f t="shared" si="306"/>
        <v>0</v>
      </c>
      <c r="BA198" s="387">
        <f t="shared" si="307"/>
        <v>0</v>
      </c>
      <c r="BB198" s="1283">
        <f t="shared" si="308"/>
        <v>0</v>
      </c>
      <c r="BC198" s="386">
        <f t="shared" si="309"/>
        <v>0</v>
      </c>
      <c r="BD198" s="387">
        <f t="shared" si="310"/>
        <v>0</v>
      </c>
      <c r="BE198" s="1277">
        <f t="shared" si="311"/>
        <v>0</v>
      </c>
      <c r="BF198" s="1277">
        <f t="shared" si="312"/>
        <v>0</v>
      </c>
      <c r="BG198" s="388">
        <f t="shared" si="313"/>
        <v>0</v>
      </c>
      <c r="BH198" s="1025"/>
      <c r="BI198" s="1282">
        <f t="shared" ca="1" si="314"/>
        <v>0</v>
      </c>
      <c r="BJ198" s="387">
        <f t="shared" ca="1" si="315"/>
        <v>0</v>
      </c>
      <c r="BK198" s="387">
        <f t="shared" ca="1" si="316"/>
        <v>0</v>
      </c>
      <c r="BL198" s="387">
        <f t="shared" ca="1" si="317"/>
        <v>0</v>
      </c>
      <c r="BM198" s="1283">
        <f t="shared" ca="1" si="318"/>
        <v>0</v>
      </c>
      <c r="BN198" s="386">
        <f t="shared" ca="1" si="319"/>
        <v>0</v>
      </c>
      <c r="BO198" s="387">
        <f t="shared" ca="1" si="320"/>
        <v>0</v>
      </c>
      <c r="BP198" s="1277">
        <f t="shared" ca="1" si="321"/>
        <v>0</v>
      </c>
      <c r="BQ198" s="1277">
        <f t="shared" ca="1" si="322"/>
        <v>0</v>
      </c>
      <c r="BR198" s="388">
        <f t="shared" ca="1" si="323"/>
        <v>0</v>
      </c>
      <c r="BS198" s="1025"/>
      <c r="BT198" s="1282">
        <f>+IF($K198="Ongoing",AX198,IF(RIGHT($K198,2)=RIGHT(BT$43,2),SUM($AX198:AX198),0)+IF(RIGHT(BT$43,2)&gt;RIGHT($K198,2),AX198,0))</f>
        <v>0</v>
      </c>
      <c r="BU198" s="387">
        <f>+IF($K198="Ongoing",AY198,IF(RIGHT($K198,2)=RIGHT(BU$43,2),SUM($AX198:AY198),0)+IF(RIGHT(BU$43,2)&gt;RIGHT($K198,2),AY198,0))</f>
        <v>0</v>
      </c>
      <c r="BV198" s="387">
        <f>+IF($K198="Ongoing",AZ198,IF(RIGHT($K198,2)=RIGHT(BV$43,2),SUM($AX198:AZ198),0)+IF(RIGHT(BV$43,2)&gt;RIGHT($K198,2),AZ198,0))</f>
        <v>0</v>
      </c>
      <c r="BW198" s="387">
        <f>+IF($K198="Ongoing",BA198,IF(RIGHT($K198,2)=RIGHT(BW$43,2),SUM($AX198:BA198),0)+IF(RIGHT(BW$43,2)&gt;RIGHT($K198,2),BA198,0))</f>
        <v>0</v>
      </c>
      <c r="BX198" s="1283">
        <f>+IF($K198="Ongoing",BB198,IF(RIGHT($K198,2)=RIGHT(BX$43,2),SUM($AX198:BB198),0)+IF(RIGHT(BX$43,2)&gt;RIGHT($K198,2),BB198,0))</f>
        <v>0</v>
      </c>
      <c r="BY198" s="386">
        <f>+IF($K198="Ongoing",BC198,IF(RIGHT($K198,2)=RIGHT(BY$43,2),SUM($AX198:BC198),0)+IF(RIGHT(BY$43,2)&gt;RIGHT($K198,2),BC198,0))</f>
        <v>0</v>
      </c>
      <c r="BZ198" s="387">
        <f>+IF($K198="Ongoing",BD198,IF(RIGHT($K198,2)=RIGHT(BZ$43,2),SUM($AX198:BD198),0)+IF(RIGHT(BZ$43,2)&gt;RIGHT($K198,2),BD198,0))</f>
        <v>0</v>
      </c>
      <c r="CA198" s="1277">
        <f>+IF($K198="Ongoing",BE198,IF(RIGHT($K198,2)=RIGHT(CA$43,2),SUM($AX198:BE198),0)+IF(RIGHT(CA$43,2)&gt;RIGHT($K198,2),BE198,0))</f>
        <v>0</v>
      </c>
      <c r="CB198" s="1277">
        <f>+IF($K198="Ongoing",BF198,IF(RIGHT($K198,2)=RIGHT(CB$43,2),SUM($AX198:BF198),0)+IF(RIGHT(CB$43,2)&gt;RIGHT($K198,2),BF198,0))</f>
        <v>0</v>
      </c>
      <c r="CC198" s="388">
        <f>+IF($K198="Ongoing",BG198,IF(RIGHT($K198,2)=RIGHT(CC$43,2),SUM($AX198:BG198),0)+IF(RIGHT(CC$43,2)&gt;RIGHT($K198,2),BG198,0))</f>
        <v>0</v>
      </c>
      <c r="CD198" s="1025"/>
      <c r="CE198" s="1282">
        <f>+Q198*KeyAssumptionsPriceControl_FO!AF$15</f>
        <v>0</v>
      </c>
      <c r="CF198" s="387">
        <f>+R198*KeyAssumptionsPriceControl_FO!AG$15</f>
        <v>0</v>
      </c>
      <c r="CG198" s="387">
        <f>+S198*KeyAssumptionsPriceControl_FO!AH$15</f>
        <v>0</v>
      </c>
      <c r="CH198" s="387">
        <f>+T198*KeyAssumptionsPriceControl_FO!AI$15</f>
        <v>0</v>
      </c>
      <c r="CI198" s="1283">
        <f>+U198*KeyAssumptionsPriceControl_FO!AJ$15</f>
        <v>0</v>
      </c>
      <c r="CJ198" s="386">
        <f>+V198*KeyAssumptionsPriceControl_FO!AK$15</f>
        <v>0</v>
      </c>
      <c r="CK198" s="387">
        <f>+W198*KeyAssumptionsPriceControl_FO!AL$15</f>
        <v>0</v>
      </c>
      <c r="CL198" s="1277">
        <f>+X198*KeyAssumptionsPriceControl_FO!AM$15</f>
        <v>0</v>
      </c>
      <c r="CM198" s="1277">
        <f>+Y198*KeyAssumptionsPriceControl_FO!AN$15</f>
        <v>0</v>
      </c>
      <c r="CN198" s="388">
        <f>+Z198*KeyAssumptionsPriceControl_FO!AO$15</f>
        <v>0</v>
      </c>
      <c r="CO198" s="1025"/>
      <c r="CP198" s="1282">
        <f t="shared" ca="1" si="324"/>
        <v>0</v>
      </c>
      <c r="CQ198" s="387">
        <f t="shared" ca="1" si="325"/>
        <v>0</v>
      </c>
      <c r="CR198" s="387">
        <f t="shared" ca="1" si="326"/>
        <v>0</v>
      </c>
      <c r="CS198" s="387">
        <f t="shared" ca="1" si="327"/>
        <v>0</v>
      </c>
      <c r="CT198" s="1283">
        <f t="shared" ca="1" si="328"/>
        <v>0</v>
      </c>
      <c r="CU198" s="386">
        <f t="shared" ca="1" si="329"/>
        <v>0</v>
      </c>
      <c r="CV198" s="387">
        <f t="shared" ca="1" si="330"/>
        <v>0</v>
      </c>
      <c r="CW198" s="1277">
        <f t="shared" ca="1" si="331"/>
        <v>0</v>
      </c>
      <c r="CX198" s="1277">
        <f t="shared" ca="1" si="332"/>
        <v>0</v>
      </c>
      <c r="CY198" s="388">
        <f t="shared" ca="1" si="333"/>
        <v>0</v>
      </c>
      <c r="CZ198" s="347"/>
      <c r="DA198" s="852"/>
      <c r="DB198" s="347"/>
      <c r="DC198" s="1012" t="s">
        <v>719</v>
      </c>
      <c r="DD198" s="841" t="s">
        <v>518</v>
      </c>
      <c r="DE198" s="386">
        <f>+IF($K198="ongoing",CE198,IF(RIGHT($K198,2)=RIGHT(DE$43,2),SUM($CD198:CE198),0)+IF(RIGHT(DE$43,2)&gt;RIGHT($K198,2),CE198,0))</f>
        <v>0</v>
      </c>
      <c r="DF198" s="387">
        <f>+IF($K198="ongoing",CF198,IF(RIGHT($K198,2)=RIGHT(DF$43,2),SUM($CD198:CF198),0)+IF(RIGHT(DF$43,2)&gt;RIGHT($K198,2),CF198,0))</f>
        <v>0</v>
      </c>
      <c r="DG198" s="388">
        <f>+IF($K198="ongoing",CG198,IF(RIGHT($K198,2)=RIGHT(DG$43,2),SUM($CD198:CG198),0)+IF(RIGHT(DG$43,2)&gt;RIGHT($K198,2),CG198,0))</f>
        <v>0</v>
      </c>
      <c r="DH198" s="386">
        <f>+IF($K198="ongoing",CH198,IF(RIGHT($K198,2)=RIGHT(DH$43,2),SUM($CD198:CH198),0)+IF(RIGHT(DH$43,2)&gt;RIGHT($K198,2),CH198,0))</f>
        <v>0</v>
      </c>
      <c r="DI198" s="387">
        <f>+IF($K198="ongoing",CI198,IF(RIGHT($K198,2)=RIGHT(DI$43,2),SUM($CD198:CI198),0)+IF(RIGHT(DI$43,2)&gt;RIGHT($K198,2),CI198,0))</f>
        <v>0</v>
      </c>
      <c r="DJ198" s="387">
        <f>+IF($K198="ongoing",CJ198,IF(RIGHT($K198,2)=RIGHT(DJ$43,2),SUM($CD198:CJ198),0)+IF(RIGHT(DJ$43,2)&gt;RIGHT($K198,2),CJ198,0))</f>
        <v>0</v>
      </c>
      <c r="DK198" s="387">
        <f>+IF($K198="ongoing",CK198,IF(RIGHT($K198,2)=RIGHT(DK$43,2),SUM($CD198:CK198),0)+IF(RIGHT(DK$43,2)&gt;RIGHT($K198,2),CK198,0))</f>
        <v>0</v>
      </c>
      <c r="DL198" s="388">
        <f>+IF($K198="ongoing",CN198,IF(RIGHT($K198,2)=RIGHT(DL$43,2),SUM($CD198:CN198),0)+IF(RIGHT(DL$43,2)&gt;RIGHT($K198,2),CN198,0))</f>
        <v>0</v>
      </c>
      <c r="DM198" s="841"/>
      <c r="DN198" s="386">
        <f t="shared" si="334"/>
        <v>0.5</v>
      </c>
      <c r="DO198" s="387">
        <f t="shared" si="335"/>
        <v>1</v>
      </c>
      <c r="DP198" s="388">
        <f t="shared" si="336"/>
        <v>1</v>
      </c>
      <c r="DQ198" s="386">
        <f t="shared" si="337"/>
        <v>1</v>
      </c>
      <c r="DR198" s="387">
        <f t="shared" si="338"/>
        <v>1</v>
      </c>
      <c r="DS198" s="387">
        <f t="shared" si="339"/>
        <v>1</v>
      </c>
      <c r="DT198" s="387">
        <f t="shared" si="340"/>
        <v>1</v>
      </c>
      <c r="DU198" s="388">
        <f t="shared" si="341"/>
        <v>1</v>
      </c>
      <c r="DW198" s="386">
        <f t="shared" si="342"/>
        <v>0</v>
      </c>
      <c r="DX198" s="387">
        <f t="shared" si="343"/>
        <v>0.5</v>
      </c>
      <c r="DY198" s="388">
        <f t="shared" si="344"/>
        <v>1</v>
      </c>
      <c r="DZ198" s="386">
        <f t="shared" si="345"/>
        <v>1</v>
      </c>
      <c r="EA198" s="387">
        <f t="shared" si="346"/>
        <v>1</v>
      </c>
      <c r="EB198" s="387">
        <f t="shared" si="347"/>
        <v>1</v>
      </c>
      <c r="EC198" s="387">
        <f t="shared" si="348"/>
        <v>1</v>
      </c>
      <c r="ED198" s="388">
        <f t="shared" si="349"/>
        <v>1</v>
      </c>
      <c r="EF198" s="834">
        <f>+IF(DN198=DM198,0,
IF(AND(EF$44&gt;1,DN198=$N198),1-SUM($EE198:EE198),
IF($N198&lt;=1,
IF($N198&gt;0,1/$N198,0),
IF(EF$44=1,0,VDB(1,0,$N198,INT(EF$44-1-1),MIN($N198,INT(EF$44-1-1)+1),$DC198,IF($DD198="No",1,0))/
IF(DM198&gt;=INT($N198),$N198-INT($N198),1)))*
IF(EF$44=1,0,
IF(INT(DN198)=INT(DM198),DN198-DM198,INT(DN198)-DM198))+
IF($N198&lt;=1,
IF($N198&gt;0,1/$N198,0),VDB(1,0,$N198,INT(EF$44-1),MIN($N198,INT(EF$44-1)+1),$DC198,IF($DD198="No",1,0))/
IF(DN198&gt;INT($N198),$N198-INT($N198),1))*
IF(EF$44=1,DN198,
IF(INT(DN198)=INT(DM198),0,DN198-INT(DN198)))))</f>
        <v>0</v>
      </c>
      <c r="EG198" s="835">
        <f>+IF(DO198=DN198,0,
IF(AND(EG$44&gt;1,DO198=$N198),1-SUM($EE198:EF198),
IF($N198&lt;=1,
IF($N198&gt;0,1/$N198,0),
IF(EG$44=1,0,VDB(1,0,$N198,INT(EG$44-1-1),MIN($N198,INT(EG$44-1-1)+1),$DC198,IF($DD198="No",1,0))/
IF(DN198&gt;=INT($N198),$N198-INT($N198),1)))*
IF(EG$44=1,0,
IF(INT(DO198)=INT(DN198),DO198-DN198,INT(DO198)-DN198))+
IF($N198&lt;=1,
IF($N198&gt;0,1/$N198,0),VDB(1,0,$N198,INT(EG$44-1),MIN($N198,INT(EG$44-1)+1),$DC198,IF($DD198="No",1,0))/
IF(DO198&gt;INT($N198),$N198-INT($N198),1))*
IF(EG$44=1,DO198,
IF(INT(DO198)=INT(DN198),0,DO198-INT(DO198)))))</f>
        <v>0</v>
      </c>
      <c r="EH198" s="836">
        <f>+IF(DP198=DO198,0,
IF(AND(EH$44&gt;1,DP198=$N198),1-SUM($EE198:EG198),
IF($N198&lt;=1,
IF($N198&gt;0,1/$N198,0),
IF(EH$44=1,0,VDB(1,0,$N198,INT(EH$44-1-1),MIN($N198,INT(EH$44-1-1)+1),$DC198,IF($DD198="No",1,0))/
IF(DO198&gt;=INT($N198),$N198-INT($N198),1)))*
IF(EH$44=1,0,
IF(INT(DP198)=INT(DO198),DP198-DO198,INT(DP198)-DO198))+
IF($N198&lt;=1,
IF($N198&gt;0,1/$N198,0),VDB(1,0,$N198,INT(EH$44-1),MIN($N198,INT(EH$44-1)+1),$DC198,IF($DD198="No",1,0))/
IF(DP198&gt;INT($N198),$N198-INT($N198),1))*
IF(EH$44=1,DP198,
IF(INT(DP198)=INT(DO198),0,DP198-INT(DP198)))))</f>
        <v>0</v>
      </c>
      <c r="EI198" s="834">
        <f>+IF(DQ198=DP198,0,
IF(AND(EI$44&gt;1,DQ198=$N198),1-SUM($EE198:EH198),
IF($N198&lt;=1,
IF($N198&gt;0,1/$N198,0),
IF(EI$44=1,0,VDB(1,0,$N198,INT(EI$44-1-1),MIN($N198,INT(EI$44-1-1)+1),$DC198,IF($DD198="No",1,0))/
IF(DP198&gt;=INT($N198),$N198-INT($N198),1)))*
IF(EI$44=1,0,
IF(INT(DQ198)=INT(DP198),DQ198-DP198,INT(DQ198)-DP198))+
IF($N198&lt;=1,
IF($N198&gt;0,1/$N198,0),VDB(1,0,$N198,INT(EI$44-1),MIN($N198,INT(EI$44-1)+1),$DC198,IF($DD198="No",1,0))/
IF(DQ198&gt;INT($N198),$N198-INT($N198),1))*
IF(EI$44=1,DQ198,
IF(INT(DQ198)=INT(DP198),0,DQ198-INT(DQ198)))))</f>
        <v>0</v>
      </c>
      <c r="EJ198" s="835">
        <f>+IF(DR198=DQ198,0,
IF(AND(EJ$44&gt;1,DR198=$N198),1-SUM($EE198:EI198),
IF($N198&lt;=1,
IF($N198&gt;0,1/$N198,0),
IF(EJ$44=1,0,VDB(1,0,$N198,INT(EJ$44-1-1),MIN($N198,INT(EJ$44-1-1)+1),$DC198,IF($DD198="No",1,0))/
IF(DQ198&gt;=INT($N198),$N198-INT($N198),1)))*
IF(EJ$44=1,0,
IF(INT(DR198)=INT(DQ198),DR198-DQ198,INT(DR198)-DQ198))+
IF($N198&lt;=1,
IF($N198&gt;0,1/$N198,0),VDB(1,0,$N198,INT(EJ$44-1),MIN($N198,INT(EJ$44-1)+1),$DC198,IF($DD198="No",1,0))/
IF(DR198&gt;INT($N198),$N198-INT($N198),1))*
IF(EJ$44=1,DR198,
IF(INT(DR198)=INT(DQ198),0,DR198-INT(DR198)))))</f>
        <v>0</v>
      </c>
      <c r="EK198" s="835">
        <f>+IF(DS198=DR198,0,
IF(AND(EK$44&gt;1,DS198=$N198),1-SUM($EE198:EJ198),
IF($N198&lt;=1,
IF($N198&gt;0,1/$N198,0),
IF(EK$44=1,0,VDB(1,0,$N198,INT(EK$44-1-1),MIN($N198,INT(EK$44-1-1)+1),$DC198,IF($DD198="No",1,0))/
IF(DR198&gt;=INT($N198),$N198-INT($N198),1)))*
IF(EK$44=1,0,
IF(INT(DS198)=INT(DR198),DS198-DR198,INT(DS198)-DR198))+
IF($N198&lt;=1,
IF($N198&gt;0,1/$N198,0),VDB(1,0,$N198,INT(EK$44-1),MIN($N198,INT(EK$44-1)+1),$DC198,IF($DD198="No",1,0))/
IF(DS198&gt;INT($N198),$N198-INT($N198),1))*
IF(EK$44=1,DS198,
IF(INT(DS198)=INT(DR198),0,DS198-INT(DS198)))))</f>
        <v>0</v>
      </c>
      <c r="EL198" s="835">
        <f>+IF(DT198=DS198,0,
IF(AND(EL$44&gt;1,DT198=$N198),1-SUM($EE198:EK198),
IF($N198&lt;=1,
IF($N198&gt;0,1/$N198,0),
IF(EL$44=1,0,VDB(1,0,$N198,INT(EL$44-1-1),MIN($N198,INT(EL$44-1-1)+1),$DC198,IF($DD198="No",1,0))/
IF(DS198&gt;=INT($N198),$N198-INT($N198),1)))*
IF(EL$44=1,0,
IF(INT(DT198)=INT(DS198),DT198-DS198,INT(DT198)-DS198))+
IF($N198&lt;=1,
IF($N198&gt;0,1/$N198,0),VDB(1,0,$N198,INT(EL$44-1),MIN($N198,INT(EL$44-1)+1),$DC198,IF($DD198="No",1,0))/
IF(DT198&gt;INT($N198),$N198-INT($N198),1))*
IF(EL$44=1,DT198,
IF(INT(DT198)=INT(DS198),0,DT198-INT(DT198)))))</f>
        <v>0</v>
      </c>
      <c r="EM198" s="836">
        <f>+IF(DU198=DT198,0,
IF(AND(EM$44&gt;1,DU198=$N198),1-SUM($EE198:EL198),
IF($N198&lt;=1,
IF($N198&gt;0,1/$N198,0),
IF(EM$44=1,0,VDB(1,0,$N198,INT(EM$44-1-1),MIN($N198,INT(EM$44-1-1)+1),$DC198,IF($DD198="No",1,0))/
IF(DT198&gt;=INT($N198),$N198-INT($N198),1)))*
IF(EM$44=1,0,
IF(INT(DU198)=INT(DT198),DU198-DT198,INT(DU198)-DT198))+
IF($N198&lt;=1,
IF($N198&gt;0,1/$N198,0),VDB(1,0,$N198,INT(EM$44-1),MIN($N198,INT(EM$44-1)+1),$DC198,IF($DD198="No",1,0))/
IF(DU198&gt;INT($N198),$N198-INT($N198),1))*
IF(EM$44=1,DU198,
IF(INT(DU198)=INT(DT198),0,DU198-INT(DU198)))))</f>
        <v>0</v>
      </c>
      <c r="EN198" s="833"/>
      <c r="EO198" s="834">
        <f>+IF(OR(DW198=DV198,EO$44=1),0,
IF(AND(EO$44&gt;1,DW198=$N198),1-SUM($EN198:EN198),
IF($N198&lt;=1,
IF($N198&gt;0,1/$N198,0),
IF(EO$44=2,0,VDB(1,0,$N198,INT(EO$44-2-1),MIN($N198,INT(EO$44-2-1)+1),$DC198,IF($DD198="No",1,0))/
IF(DV198&gt;=INT($N198),$N198-INT($N198),1)))*
IF(EO$44=2,0,
IF(INT(DW198)=INT(DV198),DW198-DV198,INT(DW198)-DV198))+
IF($N198&lt;=1,
IF($N198&gt;0,1/$N198,0),VDB(1,0,$N198,INT(EO$44-2),MIN($N198,INT(EO$44-2)+1),$DC198,IF($DD198="No",1,0))/
IF(DW198&gt;INT($N198),$N198-INT($N198),1))*
IF(EO$44=2,DW198,
IF(INT(DW198)=INT(DV198),0,DW198-INT(DW198)))))</f>
        <v>0</v>
      </c>
      <c r="EP198" s="835">
        <f>+IF(OR(DX198=DW198,EP$44=1),0,
IF(AND(EP$44&gt;1,DX198=$N198),1-SUM($EN198:EO198),
IF($N198&lt;=1,
IF($N198&gt;0,1/$N198,0),
IF(EP$44=2,0,VDB(1,0,$N198,INT(EP$44-2-1),MIN($N198,INT(EP$44-2-1)+1),$DC198,IF($DD198="No",1,0))/
IF(DW198&gt;=INT($N198),$N198-INT($N198),1)))*
IF(EP$44=2,0,
IF(INT(DX198)=INT(DW198),DX198-DW198,INT(DX198)-DW198))+
IF($N198&lt;=1,
IF($N198&gt;0,1/$N198,0),VDB(1,0,$N198,INT(EP$44-2),MIN($N198,INT(EP$44-2)+1),$DC198,IF($DD198="No",1,0))/
IF(DX198&gt;INT($N198),$N198-INT($N198),1))*
IF(EP$44=2,DX198,
IF(INT(DX198)=INT(DW198),0,DX198-INT(DX198)))))</f>
        <v>0</v>
      </c>
      <c r="EQ198" s="836">
        <f>+IF(OR(DY198=DX198,EQ$44=1),0,
IF(AND(EQ$44&gt;1,DY198=$N198),1-SUM($EN198:EP198),
IF($N198&lt;=1,
IF($N198&gt;0,1/$N198,0),
IF(EQ$44=2,0,VDB(1,0,$N198,INT(EQ$44-2-1),MIN($N198,INT(EQ$44-2-1)+1),$DC198,IF($DD198="No",1,0))/
IF(DX198&gt;=INT($N198),$N198-INT($N198),1)))*
IF(EQ$44=2,0,
IF(INT(DY198)=INT(DX198),DY198-DX198,INT(DY198)-DX198))+
IF($N198&lt;=1,
IF($N198&gt;0,1/$N198,0),VDB(1,0,$N198,INT(EQ$44-2),MIN($N198,INT(EQ$44-2)+1),$DC198,IF($DD198="No",1,0))/
IF(DY198&gt;INT($N198),$N198-INT($N198),1))*
IF(EQ$44=2,DY198,
IF(INT(DY198)=INT(DX198),0,DY198-INT(DY198)))))</f>
        <v>0</v>
      </c>
      <c r="ER198" s="834">
        <f>+IF(OR(DZ198=DY198,ER$44=1),0,
IF(AND(ER$44&gt;1,DZ198=$N198),1-SUM($EN198:EQ198),
IF($N198&lt;=1,
IF($N198&gt;0,1/$N198,0),
IF(ER$44=2,0,VDB(1,0,$N198,INT(ER$44-2-1),MIN($N198,INT(ER$44-2-1)+1),$DC198,IF($DD198="No",1,0))/
IF(DY198&gt;=INT($N198),$N198-INT($N198),1)))*
IF(ER$44=2,0,
IF(INT(DZ198)=INT(DY198),DZ198-DY198,INT(DZ198)-DY198))+
IF($N198&lt;=1,
IF($N198&gt;0,1/$N198,0),VDB(1,0,$N198,INT(ER$44-2),MIN($N198,INT(ER$44-2)+1),$DC198,IF($DD198="No",1,0))/
IF(DZ198&gt;INT($N198),$N198-INT($N198),1))*
IF(ER$44=2,DZ198,
IF(INT(DZ198)=INT(DY198),0,DZ198-INT(DZ198)))))</f>
        <v>0</v>
      </c>
      <c r="ES198" s="835">
        <f>+IF(OR(EA198=DZ198,ES$44=1),0,
IF(AND(ES$44&gt;1,EA198=$N198),1-SUM($EN198:ER198),
IF($N198&lt;=1,
IF($N198&gt;0,1/$N198,0),
IF(ES$44=2,0,VDB(1,0,$N198,INT(ES$44-2-1),MIN($N198,INT(ES$44-2-1)+1),$DC198,IF($DD198="No",1,0))/
IF(DZ198&gt;=INT($N198),$N198-INT($N198),1)))*
IF(ES$44=2,0,
IF(INT(EA198)=INT(DZ198),EA198-DZ198,INT(EA198)-DZ198))+
IF($N198&lt;=1,
IF($N198&gt;0,1/$N198,0),VDB(1,0,$N198,INT(ES$44-2),MIN($N198,INT(ES$44-2)+1),$DC198,IF($DD198="No",1,0))/
IF(EA198&gt;INT($N198),$N198-INT($N198),1))*
IF(ES$44=2,EA198,
IF(INT(EA198)=INT(DZ198),0,EA198-INT(EA198)))))</f>
        <v>0</v>
      </c>
      <c r="ET198" s="835">
        <f>+IF(OR(EB198=EA198,ET$44=1),0,
IF(AND(ET$44&gt;1,EB198=$N198),1-SUM($EN198:ES198),
IF($N198&lt;=1,
IF($N198&gt;0,1/$N198,0),
IF(ET$44=2,0,VDB(1,0,$N198,INT(ET$44-2-1),MIN($N198,INT(ET$44-2-1)+1),$DC198,IF($DD198="No",1,0))/
IF(EA198&gt;=INT($N198),$N198-INT($N198),1)))*
IF(ET$44=2,0,
IF(INT(EB198)=INT(EA198),EB198-EA198,INT(EB198)-EA198))+
IF($N198&lt;=1,
IF($N198&gt;0,1/$N198,0),VDB(1,0,$N198,INT(ET$44-2),MIN($N198,INT(ET$44-2)+1),$DC198,IF($DD198="No",1,0))/
IF(EB198&gt;INT($N198),$N198-INT($N198),1))*
IF(ET$44=2,EB198,
IF(INT(EB198)=INT(EA198),0,EB198-INT(EB198)))))</f>
        <v>0</v>
      </c>
      <c r="EU198" s="835">
        <f>+IF(OR(EC198=EB198,EU$44=1),0,
IF(AND(EU$44&gt;1,EC198=$N198),1-SUM($EN198:ET198),
IF($N198&lt;=1,
IF($N198&gt;0,1/$N198,0),
IF(EU$44=2,0,VDB(1,0,$N198,INT(EU$44-2-1),MIN($N198,INT(EU$44-2-1)+1),$DC198,IF($DD198="No",1,0))/
IF(EB198&gt;=INT($N198),$N198-INT($N198),1)))*
IF(EU$44=2,0,
IF(INT(EC198)=INT(EB198),EC198-EB198,INT(EC198)-EB198))+
IF($N198&lt;=1,
IF($N198&gt;0,1/$N198,0),VDB(1,0,$N198,INT(EU$44-2),MIN($N198,INT(EU$44-2)+1),$DC198,IF($DD198="No",1,0))/
IF(EC198&gt;INT($N198),$N198-INT($N198),1))*
IF(EU$44=2,EC198,
IF(INT(EC198)=INT(EB198),0,EC198-INT(EC198)))))</f>
        <v>0</v>
      </c>
      <c r="EV198" s="836">
        <f>+IF(OR(ED198=EC198,EV$44=1),0,
IF(AND(EV$44&gt;1,ED198=$N198),1-SUM($EN198:EU198),
IF($N198&lt;=1,
IF($N198&gt;0,1/$N198,0),
IF(EV$44=2,0,VDB(1,0,$N198,INT(EV$44-2-1),MIN($N198,INT(EV$44-2-1)+1),$DC198,IF($DD198="No",1,0))/
IF(EC198&gt;=INT($N198),$N198-INT($N198),1)))*
IF(EV$44=2,0,
IF(INT(ED198)=INT(EC198),ED198-EC198,INT(ED198)-EC198))+
IF($N198&lt;=1,
IF($N198&gt;0,1/$N198,0),VDB(1,0,$N198,INT(EV$44-2),MIN($N198,INT(EV$44-2)+1),$DC198,IF($DD198="No",1,0))/
IF(ED198&gt;INT($N198),$N198-INT($N198),1))*
IF(EV$44=2,ED198,
IF(INT(ED198)=INT(EC198),0,ED198-INT(ED198)))))</f>
        <v>0</v>
      </c>
      <c r="EW198" s="833"/>
      <c r="EX198" s="834">
        <f t="shared" ca="1" si="360"/>
        <v>0</v>
      </c>
      <c r="EY198" s="835">
        <f t="shared" ca="1" si="360"/>
        <v>0</v>
      </c>
      <c r="EZ198" s="836">
        <f t="shared" ca="1" si="360"/>
        <v>0</v>
      </c>
      <c r="FA198" s="834">
        <f t="shared" ca="1" si="360"/>
        <v>0</v>
      </c>
      <c r="FB198" s="835">
        <f t="shared" ca="1" si="360"/>
        <v>0</v>
      </c>
      <c r="FC198" s="835">
        <f t="shared" ca="1" si="360"/>
        <v>0</v>
      </c>
      <c r="FD198" s="835">
        <f t="shared" ca="1" si="360"/>
        <v>0</v>
      </c>
      <c r="FE198" s="836">
        <f t="shared" ca="1" si="360"/>
        <v>0</v>
      </c>
      <c r="FG198" s="386">
        <f t="shared" ca="1" si="351"/>
        <v>0</v>
      </c>
      <c r="FH198" s="387">
        <f t="shared" ca="1" si="352"/>
        <v>0</v>
      </c>
      <c r="FI198" s="388">
        <f t="shared" ca="1" si="353"/>
        <v>0</v>
      </c>
      <c r="FJ198" s="386">
        <f t="shared" ca="1" si="354"/>
        <v>0</v>
      </c>
      <c r="FK198" s="387">
        <f t="shared" ca="1" si="355"/>
        <v>0</v>
      </c>
      <c r="FL198" s="387">
        <f t="shared" ca="1" si="356"/>
        <v>0</v>
      </c>
      <c r="FM198" s="387">
        <f t="shared" ca="1" si="357"/>
        <v>0</v>
      </c>
      <c r="FN198" s="388">
        <f t="shared" ca="1" si="358"/>
        <v>0</v>
      </c>
      <c r="FR198" s="116"/>
    </row>
    <row r="199" spans="2:174">
      <c r="B199" s="1410">
        <f t="shared" si="359"/>
        <v>153</v>
      </c>
      <c r="C199" s="400"/>
      <c r="D199" s="410"/>
      <c r="E199" s="402"/>
      <c r="F199" s="402"/>
      <c r="G199" s="400"/>
      <c r="H199" s="2088"/>
      <c r="I199" s="2089"/>
      <c r="J199" s="411"/>
      <c r="K199" s="403"/>
      <c r="L199" s="403"/>
      <c r="M199" s="403"/>
      <c r="N199" s="403"/>
      <c r="O199" s="347"/>
      <c r="P199" s="347"/>
      <c r="Q199" s="1021"/>
      <c r="R199" s="1022"/>
      <c r="S199" s="1022"/>
      <c r="T199" s="1022"/>
      <c r="U199" s="1023"/>
      <c r="V199" s="1021"/>
      <c r="W199" s="1022"/>
      <c r="X199" s="1022"/>
      <c r="Y199" s="1022"/>
      <c r="Z199" s="1023"/>
      <c r="AA199" s="1024"/>
      <c r="AB199" s="1021"/>
      <c r="AC199" s="1022"/>
      <c r="AD199" s="1022"/>
      <c r="AE199" s="1022"/>
      <c r="AF199" s="1023"/>
      <c r="AG199" s="1021"/>
      <c r="AH199" s="1022"/>
      <c r="AI199" s="1022"/>
      <c r="AJ199" s="1022"/>
      <c r="AK199" s="1023"/>
      <c r="AL199" s="1024"/>
      <c r="AM199" s="1021"/>
      <c r="AN199" s="1022"/>
      <c r="AO199" s="1022"/>
      <c r="AP199" s="1022"/>
      <c r="AQ199" s="1023"/>
      <c r="AR199" s="1021"/>
      <c r="AS199" s="1022"/>
      <c r="AT199" s="1022"/>
      <c r="AU199" s="1022"/>
      <c r="AV199" s="1023"/>
      <c r="AW199" s="1025"/>
      <c r="AX199" s="1282">
        <f t="shared" si="304"/>
        <v>0</v>
      </c>
      <c r="AY199" s="387">
        <f t="shared" si="305"/>
        <v>0</v>
      </c>
      <c r="AZ199" s="387">
        <f t="shared" si="306"/>
        <v>0</v>
      </c>
      <c r="BA199" s="387">
        <f t="shared" si="307"/>
        <v>0</v>
      </c>
      <c r="BB199" s="1283">
        <f t="shared" si="308"/>
        <v>0</v>
      </c>
      <c r="BC199" s="386">
        <f t="shared" si="309"/>
        <v>0</v>
      </c>
      <c r="BD199" s="387">
        <f t="shared" si="310"/>
        <v>0</v>
      </c>
      <c r="BE199" s="1277">
        <f t="shared" si="311"/>
        <v>0</v>
      </c>
      <c r="BF199" s="1277">
        <f t="shared" si="312"/>
        <v>0</v>
      </c>
      <c r="BG199" s="388">
        <f t="shared" si="313"/>
        <v>0</v>
      </c>
      <c r="BH199" s="1025"/>
      <c r="BI199" s="1282">
        <f t="shared" ca="1" si="314"/>
        <v>0</v>
      </c>
      <c r="BJ199" s="387">
        <f t="shared" ca="1" si="315"/>
        <v>0</v>
      </c>
      <c r="BK199" s="387">
        <f t="shared" ca="1" si="316"/>
        <v>0</v>
      </c>
      <c r="BL199" s="387">
        <f t="shared" ca="1" si="317"/>
        <v>0</v>
      </c>
      <c r="BM199" s="1283">
        <f t="shared" ca="1" si="318"/>
        <v>0</v>
      </c>
      <c r="BN199" s="386">
        <f t="shared" ca="1" si="319"/>
        <v>0</v>
      </c>
      <c r="BO199" s="387">
        <f t="shared" ca="1" si="320"/>
        <v>0</v>
      </c>
      <c r="BP199" s="1277">
        <f t="shared" ca="1" si="321"/>
        <v>0</v>
      </c>
      <c r="BQ199" s="1277">
        <f t="shared" ca="1" si="322"/>
        <v>0</v>
      </c>
      <c r="BR199" s="388">
        <f t="shared" ca="1" si="323"/>
        <v>0</v>
      </c>
      <c r="BS199" s="1025"/>
      <c r="BT199" s="1282">
        <f>+IF($K199="Ongoing",AX199,IF(RIGHT($K199,2)=RIGHT(BT$43,2),SUM($AX199:AX199),0)+IF(RIGHT(BT$43,2)&gt;RIGHT($K199,2),AX199,0))</f>
        <v>0</v>
      </c>
      <c r="BU199" s="387">
        <f>+IF($K199="Ongoing",AY199,IF(RIGHT($K199,2)=RIGHT(BU$43,2),SUM($AX199:AY199),0)+IF(RIGHT(BU$43,2)&gt;RIGHT($K199,2),AY199,0))</f>
        <v>0</v>
      </c>
      <c r="BV199" s="387">
        <f>+IF($K199="Ongoing",AZ199,IF(RIGHT($K199,2)=RIGHT(BV$43,2),SUM($AX199:AZ199),0)+IF(RIGHT(BV$43,2)&gt;RIGHT($K199,2),AZ199,0))</f>
        <v>0</v>
      </c>
      <c r="BW199" s="387">
        <f>+IF($K199="Ongoing",BA199,IF(RIGHT($K199,2)=RIGHT(BW$43,2),SUM($AX199:BA199),0)+IF(RIGHT(BW$43,2)&gt;RIGHT($K199,2),BA199,0))</f>
        <v>0</v>
      </c>
      <c r="BX199" s="1283">
        <f>+IF($K199="Ongoing",BB199,IF(RIGHT($K199,2)=RIGHT(BX$43,2),SUM($AX199:BB199),0)+IF(RIGHT(BX$43,2)&gt;RIGHT($K199,2),BB199,0))</f>
        <v>0</v>
      </c>
      <c r="BY199" s="386">
        <f>+IF($K199="Ongoing",BC199,IF(RIGHT($K199,2)=RIGHT(BY$43,2),SUM($AX199:BC199),0)+IF(RIGHT(BY$43,2)&gt;RIGHT($K199,2),BC199,0))</f>
        <v>0</v>
      </c>
      <c r="BZ199" s="387">
        <f>+IF($K199="Ongoing",BD199,IF(RIGHT($K199,2)=RIGHT(BZ$43,2),SUM($AX199:BD199),0)+IF(RIGHT(BZ$43,2)&gt;RIGHT($K199,2),BD199,0))</f>
        <v>0</v>
      </c>
      <c r="CA199" s="1277">
        <f>+IF($K199="Ongoing",BE199,IF(RIGHT($K199,2)=RIGHT(CA$43,2),SUM($AX199:BE199),0)+IF(RIGHT(CA$43,2)&gt;RIGHT($K199,2),BE199,0))</f>
        <v>0</v>
      </c>
      <c r="CB199" s="1277">
        <f>+IF($K199="Ongoing",BF199,IF(RIGHT($K199,2)=RIGHT(CB$43,2),SUM($AX199:BF199),0)+IF(RIGHT(CB$43,2)&gt;RIGHT($K199,2),BF199,0))</f>
        <v>0</v>
      </c>
      <c r="CC199" s="388">
        <f>+IF($K199="Ongoing",BG199,IF(RIGHT($K199,2)=RIGHT(CC$43,2),SUM($AX199:BG199),0)+IF(RIGHT(CC$43,2)&gt;RIGHT($K199,2),BG199,0))</f>
        <v>0</v>
      </c>
      <c r="CD199" s="1025"/>
      <c r="CE199" s="1282">
        <f>+Q199*KeyAssumptionsPriceControl_FO!AF$15</f>
        <v>0</v>
      </c>
      <c r="CF199" s="387">
        <f>+R199*KeyAssumptionsPriceControl_FO!AG$15</f>
        <v>0</v>
      </c>
      <c r="CG199" s="387">
        <f>+S199*KeyAssumptionsPriceControl_FO!AH$15</f>
        <v>0</v>
      </c>
      <c r="CH199" s="387">
        <f>+T199*KeyAssumptionsPriceControl_FO!AI$15</f>
        <v>0</v>
      </c>
      <c r="CI199" s="1283">
        <f>+U199*KeyAssumptionsPriceControl_FO!AJ$15</f>
        <v>0</v>
      </c>
      <c r="CJ199" s="386">
        <f>+V199*KeyAssumptionsPriceControl_FO!AK$15</f>
        <v>0</v>
      </c>
      <c r="CK199" s="387">
        <f>+W199*KeyAssumptionsPriceControl_FO!AL$15</f>
        <v>0</v>
      </c>
      <c r="CL199" s="1277">
        <f>+X199*KeyAssumptionsPriceControl_FO!AM$15</f>
        <v>0</v>
      </c>
      <c r="CM199" s="1277">
        <f>+Y199*KeyAssumptionsPriceControl_FO!AN$15</f>
        <v>0</v>
      </c>
      <c r="CN199" s="388">
        <f>+Z199*KeyAssumptionsPriceControl_FO!AO$15</f>
        <v>0</v>
      </c>
      <c r="CO199" s="1025"/>
      <c r="CP199" s="1282">
        <f t="shared" ca="1" si="324"/>
        <v>0</v>
      </c>
      <c r="CQ199" s="387">
        <f t="shared" ca="1" si="325"/>
        <v>0</v>
      </c>
      <c r="CR199" s="387">
        <f t="shared" ca="1" si="326"/>
        <v>0</v>
      </c>
      <c r="CS199" s="387">
        <f t="shared" ca="1" si="327"/>
        <v>0</v>
      </c>
      <c r="CT199" s="1283">
        <f t="shared" ca="1" si="328"/>
        <v>0</v>
      </c>
      <c r="CU199" s="386">
        <f t="shared" ca="1" si="329"/>
        <v>0</v>
      </c>
      <c r="CV199" s="387">
        <f t="shared" ca="1" si="330"/>
        <v>0</v>
      </c>
      <c r="CW199" s="1277">
        <f t="shared" ca="1" si="331"/>
        <v>0</v>
      </c>
      <c r="CX199" s="1277">
        <f t="shared" ca="1" si="332"/>
        <v>0</v>
      </c>
      <c r="CY199" s="388">
        <f t="shared" ca="1" si="333"/>
        <v>0</v>
      </c>
      <c r="CZ199" s="347"/>
      <c r="DA199" s="852"/>
      <c r="DB199" s="347"/>
      <c r="DC199" s="1012" t="s">
        <v>720</v>
      </c>
      <c r="DD199" s="841" t="s">
        <v>518</v>
      </c>
      <c r="DE199" s="386">
        <f>+IF($K199="ongoing",CE199,IF(RIGHT($K199,2)=RIGHT(DE$43,2),SUM($CD199:CE199),0)+IF(RIGHT(DE$43,2)&gt;RIGHT($K199,2),CE199,0))</f>
        <v>0</v>
      </c>
      <c r="DF199" s="387">
        <f>+IF($K199="ongoing",CF199,IF(RIGHT($K199,2)=RIGHT(DF$43,2),SUM($CD199:CF199),0)+IF(RIGHT(DF$43,2)&gt;RIGHT($K199,2),CF199,0))</f>
        <v>0</v>
      </c>
      <c r="DG199" s="388">
        <f>+IF($K199="ongoing",CG199,IF(RIGHT($K199,2)=RIGHT(DG$43,2),SUM($CD199:CG199),0)+IF(RIGHT(DG$43,2)&gt;RIGHT($K199,2),CG199,0))</f>
        <v>0</v>
      </c>
      <c r="DH199" s="386">
        <f>+IF($K199="ongoing",CH199,IF(RIGHT($K199,2)=RIGHT(DH$43,2),SUM($CD199:CH199),0)+IF(RIGHT(DH$43,2)&gt;RIGHT($K199,2),CH199,0))</f>
        <v>0</v>
      </c>
      <c r="DI199" s="387">
        <f>+IF($K199="ongoing",CI199,IF(RIGHT($K199,2)=RIGHT(DI$43,2),SUM($CD199:CI199),0)+IF(RIGHT(DI$43,2)&gt;RIGHT($K199,2),CI199,0))</f>
        <v>0</v>
      </c>
      <c r="DJ199" s="387">
        <f>+IF($K199="ongoing",CJ199,IF(RIGHT($K199,2)=RIGHT(DJ$43,2),SUM($CD199:CJ199),0)+IF(RIGHT(DJ$43,2)&gt;RIGHT($K199,2),CJ199,0))</f>
        <v>0</v>
      </c>
      <c r="DK199" s="387">
        <f>+IF($K199="ongoing",CK199,IF(RIGHT($K199,2)=RIGHT(DK$43,2),SUM($CD199:CK199),0)+IF(RIGHT(DK$43,2)&gt;RIGHT($K199,2),CK199,0))</f>
        <v>0</v>
      </c>
      <c r="DL199" s="388">
        <f>+IF($K199="ongoing",CN199,IF(RIGHT($K199,2)=RIGHT(DL$43,2),SUM($CD199:CN199),0)+IF(RIGHT(DL$43,2)&gt;RIGHT($K199,2),CN199,0))</f>
        <v>0</v>
      </c>
      <c r="DM199" s="841"/>
      <c r="DN199" s="386">
        <f t="shared" si="334"/>
        <v>0.5</v>
      </c>
      <c r="DO199" s="387">
        <f t="shared" si="335"/>
        <v>1</v>
      </c>
      <c r="DP199" s="388">
        <f t="shared" si="336"/>
        <v>1</v>
      </c>
      <c r="DQ199" s="386">
        <f t="shared" si="337"/>
        <v>1</v>
      </c>
      <c r="DR199" s="387">
        <f t="shared" si="338"/>
        <v>1</v>
      </c>
      <c r="DS199" s="387">
        <f t="shared" si="339"/>
        <v>1</v>
      </c>
      <c r="DT199" s="387">
        <f t="shared" si="340"/>
        <v>1</v>
      </c>
      <c r="DU199" s="388">
        <f t="shared" si="341"/>
        <v>1</v>
      </c>
      <c r="DW199" s="386">
        <f t="shared" si="342"/>
        <v>0</v>
      </c>
      <c r="DX199" s="387">
        <f t="shared" si="343"/>
        <v>0.5</v>
      </c>
      <c r="DY199" s="388">
        <f t="shared" si="344"/>
        <v>1</v>
      </c>
      <c r="DZ199" s="386">
        <f t="shared" si="345"/>
        <v>1</v>
      </c>
      <c r="EA199" s="387">
        <f t="shared" si="346"/>
        <v>1</v>
      </c>
      <c r="EB199" s="387">
        <f t="shared" si="347"/>
        <v>1</v>
      </c>
      <c r="EC199" s="387">
        <f t="shared" si="348"/>
        <v>1</v>
      </c>
      <c r="ED199" s="388">
        <f t="shared" si="349"/>
        <v>1</v>
      </c>
      <c r="EF199" s="834">
        <f>+IF(DN199=DM199,0,
IF(AND(EF$44&gt;1,DN199=$N199),1-SUM($EE199:EE199),
IF($N199&lt;=1,
IF($N199&gt;0,1/$N199,0),
IF(EF$44=1,0,VDB(1,0,$N199,INT(EF$44-1-1),MIN($N199,INT(EF$44-1-1)+1),$DC199,IF($DD199="No",1,0))/
IF(DM199&gt;=INT($N199),$N199-INT($N199),1)))*
IF(EF$44=1,0,
IF(INT(DN199)=INT(DM199),DN199-DM199,INT(DN199)-DM199))+
IF($N199&lt;=1,
IF($N199&gt;0,1/$N199,0),VDB(1,0,$N199,INT(EF$44-1),MIN($N199,INT(EF$44-1)+1),$DC199,IF($DD199="No",1,0))/
IF(DN199&gt;INT($N199),$N199-INT($N199),1))*
IF(EF$44=1,DN199,
IF(INT(DN199)=INT(DM199),0,DN199-INT(DN199)))))</f>
        <v>0</v>
      </c>
      <c r="EG199" s="835">
        <f>+IF(DO199=DN199,0,
IF(AND(EG$44&gt;1,DO199=$N199),1-SUM($EE199:EF199),
IF($N199&lt;=1,
IF($N199&gt;0,1/$N199,0),
IF(EG$44=1,0,VDB(1,0,$N199,INT(EG$44-1-1),MIN($N199,INT(EG$44-1-1)+1),$DC199,IF($DD199="No",1,0))/
IF(DN199&gt;=INT($N199),$N199-INT($N199),1)))*
IF(EG$44=1,0,
IF(INT(DO199)=INT(DN199),DO199-DN199,INT(DO199)-DN199))+
IF($N199&lt;=1,
IF($N199&gt;0,1/$N199,0),VDB(1,0,$N199,INT(EG$44-1),MIN($N199,INT(EG$44-1)+1),$DC199,IF($DD199="No",1,0))/
IF(DO199&gt;INT($N199),$N199-INT($N199),1))*
IF(EG$44=1,DO199,
IF(INT(DO199)=INT(DN199),0,DO199-INT(DO199)))))</f>
        <v>0</v>
      </c>
      <c r="EH199" s="836">
        <f>+IF(DP199=DO199,0,
IF(AND(EH$44&gt;1,DP199=$N199),1-SUM($EE199:EG199),
IF($N199&lt;=1,
IF($N199&gt;0,1/$N199,0),
IF(EH$44=1,0,VDB(1,0,$N199,INT(EH$44-1-1),MIN($N199,INT(EH$44-1-1)+1),$DC199,IF($DD199="No",1,0))/
IF(DO199&gt;=INT($N199),$N199-INT($N199),1)))*
IF(EH$44=1,0,
IF(INT(DP199)=INT(DO199),DP199-DO199,INT(DP199)-DO199))+
IF($N199&lt;=1,
IF($N199&gt;0,1/$N199,0),VDB(1,0,$N199,INT(EH$44-1),MIN($N199,INT(EH$44-1)+1),$DC199,IF($DD199="No",1,0))/
IF(DP199&gt;INT($N199),$N199-INT($N199),1))*
IF(EH$44=1,DP199,
IF(INT(DP199)=INT(DO199),0,DP199-INT(DP199)))))</f>
        <v>0</v>
      </c>
      <c r="EI199" s="834">
        <f>+IF(DQ199=DP199,0,
IF(AND(EI$44&gt;1,DQ199=$N199),1-SUM($EE199:EH199),
IF($N199&lt;=1,
IF($N199&gt;0,1/$N199,0),
IF(EI$44=1,0,VDB(1,0,$N199,INT(EI$44-1-1),MIN($N199,INT(EI$44-1-1)+1),$DC199,IF($DD199="No",1,0))/
IF(DP199&gt;=INT($N199),$N199-INT($N199),1)))*
IF(EI$44=1,0,
IF(INT(DQ199)=INT(DP199),DQ199-DP199,INT(DQ199)-DP199))+
IF($N199&lt;=1,
IF($N199&gt;0,1/$N199,0),VDB(1,0,$N199,INT(EI$44-1),MIN($N199,INT(EI$44-1)+1),$DC199,IF($DD199="No",1,0))/
IF(DQ199&gt;INT($N199),$N199-INT($N199),1))*
IF(EI$44=1,DQ199,
IF(INT(DQ199)=INT(DP199),0,DQ199-INT(DQ199)))))</f>
        <v>0</v>
      </c>
      <c r="EJ199" s="835">
        <f>+IF(DR199=DQ199,0,
IF(AND(EJ$44&gt;1,DR199=$N199),1-SUM($EE199:EI199),
IF($N199&lt;=1,
IF($N199&gt;0,1/$N199,0),
IF(EJ$44=1,0,VDB(1,0,$N199,INT(EJ$44-1-1),MIN($N199,INT(EJ$44-1-1)+1),$DC199,IF($DD199="No",1,0))/
IF(DQ199&gt;=INT($N199),$N199-INT($N199),1)))*
IF(EJ$44=1,0,
IF(INT(DR199)=INT(DQ199),DR199-DQ199,INT(DR199)-DQ199))+
IF($N199&lt;=1,
IF($N199&gt;0,1/$N199,0),VDB(1,0,$N199,INT(EJ$44-1),MIN($N199,INT(EJ$44-1)+1),$DC199,IF($DD199="No",1,0))/
IF(DR199&gt;INT($N199),$N199-INT($N199),1))*
IF(EJ$44=1,DR199,
IF(INT(DR199)=INT(DQ199),0,DR199-INT(DR199)))))</f>
        <v>0</v>
      </c>
      <c r="EK199" s="835">
        <f>+IF(DS199=DR199,0,
IF(AND(EK$44&gt;1,DS199=$N199),1-SUM($EE199:EJ199),
IF($N199&lt;=1,
IF($N199&gt;0,1/$N199,0),
IF(EK$44=1,0,VDB(1,0,$N199,INT(EK$44-1-1),MIN($N199,INT(EK$44-1-1)+1),$DC199,IF($DD199="No",1,0))/
IF(DR199&gt;=INT($N199),$N199-INT($N199),1)))*
IF(EK$44=1,0,
IF(INT(DS199)=INT(DR199),DS199-DR199,INT(DS199)-DR199))+
IF($N199&lt;=1,
IF($N199&gt;0,1/$N199,0),VDB(1,0,$N199,INT(EK$44-1),MIN($N199,INT(EK$44-1)+1),$DC199,IF($DD199="No",1,0))/
IF(DS199&gt;INT($N199),$N199-INT($N199),1))*
IF(EK$44=1,DS199,
IF(INT(DS199)=INT(DR199),0,DS199-INT(DS199)))))</f>
        <v>0</v>
      </c>
      <c r="EL199" s="835">
        <f>+IF(DT199=DS199,0,
IF(AND(EL$44&gt;1,DT199=$N199),1-SUM($EE199:EK199),
IF($N199&lt;=1,
IF($N199&gt;0,1/$N199,0),
IF(EL$44=1,0,VDB(1,0,$N199,INT(EL$44-1-1),MIN($N199,INT(EL$44-1-1)+1),$DC199,IF($DD199="No",1,0))/
IF(DS199&gt;=INT($N199),$N199-INT($N199),1)))*
IF(EL$44=1,0,
IF(INT(DT199)=INT(DS199),DT199-DS199,INT(DT199)-DS199))+
IF($N199&lt;=1,
IF($N199&gt;0,1/$N199,0),VDB(1,0,$N199,INT(EL$44-1),MIN($N199,INT(EL$44-1)+1),$DC199,IF($DD199="No",1,0))/
IF(DT199&gt;INT($N199),$N199-INT($N199),1))*
IF(EL$44=1,DT199,
IF(INT(DT199)=INT(DS199),0,DT199-INT(DT199)))))</f>
        <v>0</v>
      </c>
      <c r="EM199" s="836">
        <f>+IF(DU199=DT199,0,
IF(AND(EM$44&gt;1,DU199=$N199),1-SUM($EE199:EL199),
IF($N199&lt;=1,
IF($N199&gt;0,1/$N199,0),
IF(EM$44=1,0,VDB(1,0,$N199,INT(EM$44-1-1),MIN($N199,INT(EM$44-1-1)+1),$DC199,IF($DD199="No",1,0))/
IF(DT199&gt;=INT($N199),$N199-INT($N199),1)))*
IF(EM$44=1,0,
IF(INT(DU199)=INT(DT199),DU199-DT199,INT(DU199)-DT199))+
IF($N199&lt;=1,
IF($N199&gt;0,1/$N199,0),VDB(1,0,$N199,INT(EM$44-1),MIN($N199,INT(EM$44-1)+1),$DC199,IF($DD199="No",1,0))/
IF(DU199&gt;INT($N199),$N199-INT($N199),1))*
IF(EM$44=1,DU199,
IF(INT(DU199)=INT(DT199),0,DU199-INT(DU199)))))</f>
        <v>0</v>
      </c>
      <c r="EN199" s="833"/>
      <c r="EO199" s="834">
        <f>+IF(OR(DW199=DV199,EO$44=1),0,
IF(AND(EO$44&gt;1,DW199=$N199),1-SUM($EN199:EN199),
IF($N199&lt;=1,
IF($N199&gt;0,1/$N199,0),
IF(EO$44=2,0,VDB(1,0,$N199,INT(EO$44-2-1),MIN($N199,INT(EO$44-2-1)+1),$DC199,IF($DD199="No",1,0))/
IF(DV199&gt;=INT($N199),$N199-INT($N199),1)))*
IF(EO$44=2,0,
IF(INT(DW199)=INT(DV199),DW199-DV199,INT(DW199)-DV199))+
IF($N199&lt;=1,
IF($N199&gt;0,1/$N199,0),VDB(1,0,$N199,INT(EO$44-2),MIN($N199,INT(EO$44-2)+1),$DC199,IF($DD199="No",1,0))/
IF(DW199&gt;INT($N199),$N199-INT($N199),1))*
IF(EO$44=2,DW199,
IF(INT(DW199)=INT(DV199),0,DW199-INT(DW199)))))</f>
        <v>0</v>
      </c>
      <c r="EP199" s="835">
        <f>+IF(OR(DX199=DW199,EP$44=1),0,
IF(AND(EP$44&gt;1,DX199=$N199),1-SUM($EN199:EO199),
IF($N199&lt;=1,
IF($N199&gt;0,1/$N199,0),
IF(EP$44=2,0,VDB(1,0,$N199,INT(EP$44-2-1),MIN($N199,INT(EP$44-2-1)+1),$DC199,IF($DD199="No",1,0))/
IF(DW199&gt;=INT($N199),$N199-INT($N199),1)))*
IF(EP$44=2,0,
IF(INT(DX199)=INT(DW199),DX199-DW199,INT(DX199)-DW199))+
IF($N199&lt;=1,
IF($N199&gt;0,1/$N199,0),VDB(1,0,$N199,INT(EP$44-2),MIN($N199,INT(EP$44-2)+1),$DC199,IF($DD199="No",1,0))/
IF(DX199&gt;INT($N199),$N199-INT($N199),1))*
IF(EP$44=2,DX199,
IF(INT(DX199)=INT(DW199),0,DX199-INT(DX199)))))</f>
        <v>0</v>
      </c>
      <c r="EQ199" s="836">
        <f>+IF(OR(DY199=DX199,EQ$44=1),0,
IF(AND(EQ$44&gt;1,DY199=$N199),1-SUM($EN199:EP199),
IF($N199&lt;=1,
IF($N199&gt;0,1/$N199,0),
IF(EQ$44=2,0,VDB(1,0,$N199,INT(EQ$44-2-1),MIN($N199,INT(EQ$44-2-1)+1),$DC199,IF($DD199="No",1,0))/
IF(DX199&gt;=INT($N199),$N199-INT($N199),1)))*
IF(EQ$44=2,0,
IF(INT(DY199)=INT(DX199),DY199-DX199,INT(DY199)-DX199))+
IF($N199&lt;=1,
IF($N199&gt;0,1/$N199,0),VDB(1,0,$N199,INT(EQ$44-2),MIN($N199,INT(EQ$44-2)+1),$DC199,IF($DD199="No",1,0))/
IF(DY199&gt;INT($N199),$N199-INT($N199),1))*
IF(EQ$44=2,DY199,
IF(INT(DY199)=INT(DX199),0,DY199-INT(DY199)))))</f>
        <v>0</v>
      </c>
      <c r="ER199" s="834">
        <f>+IF(OR(DZ199=DY199,ER$44=1),0,
IF(AND(ER$44&gt;1,DZ199=$N199),1-SUM($EN199:EQ199),
IF($N199&lt;=1,
IF($N199&gt;0,1/$N199,0),
IF(ER$44=2,0,VDB(1,0,$N199,INT(ER$44-2-1),MIN($N199,INT(ER$44-2-1)+1),$DC199,IF($DD199="No",1,0))/
IF(DY199&gt;=INT($N199),$N199-INT($N199),1)))*
IF(ER$44=2,0,
IF(INT(DZ199)=INT(DY199),DZ199-DY199,INT(DZ199)-DY199))+
IF($N199&lt;=1,
IF($N199&gt;0,1/$N199,0),VDB(1,0,$N199,INT(ER$44-2),MIN($N199,INT(ER$44-2)+1),$DC199,IF($DD199="No",1,0))/
IF(DZ199&gt;INT($N199),$N199-INT($N199),1))*
IF(ER$44=2,DZ199,
IF(INT(DZ199)=INT(DY199),0,DZ199-INT(DZ199)))))</f>
        <v>0</v>
      </c>
      <c r="ES199" s="835">
        <f>+IF(OR(EA199=DZ199,ES$44=1),0,
IF(AND(ES$44&gt;1,EA199=$N199),1-SUM($EN199:ER199),
IF($N199&lt;=1,
IF($N199&gt;0,1/$N199,0),
IF(ES$44=2,0,VDB(1,0,$N199,INT(ES$44-2-1),MIN($N199,INT(ES$44-2-1)+1),$DC199,IF($DD199="No",1,0))/
IF(DZ199&gt;=INT($N199),$N199-INT($N199),1)))*
IF(ES$44=2,0,
IF(INT(EA199)=INT(DZ199),EA199-DZ199,INT(EA199)-DZ199))+
IF($N199&lt;=1,
IF($N199&gt;0,1/$N199,0),VDB(1,0,$N199,INT(ES$44-2),MIN($N199,INT(ES$44-2)+1),$DC199,IF($DD199="No",1,0))/
IF(EA199&gt;INT($N199),$N199-INT($N199),1))*
IF(ES$44=2,EA199,
IF(INT(EA199)=INT(DZ199),0,EA199-INT(EA199)))))</f>
        <v>0</v>
      </c>
      <c r="ET199" s="835">
        <f>+IF(OR(EB199=EA199,ET$44=1),0,
IF(AND(ET$44&gt;1,EB199=$N199),1-SUM($EN199:ES199),
IF($N199&lt;=1,
IF($N199&gt;0,1/$N199,0),
IF(ET$44=2,0,VDB(1,0,$N199,INT(ET$44-2-1),MIN($N199,INT(ET$44-2-1)+1),$DC199,IF($DD199="No",1,0))/
IF(EA199&gt;=INT($N199),$N199-INT($N199),1)))*
IF(ET$44=2,0,
IF(INT(EB199)=INT(EA199),EB199-EA199,INT(EB199)-EA199))+
IF($N199&lt;=1,
IF($N199&gt;0,1/$N199,0),VDB(1,0,$N199,INT(ET$44-2),MIN($N199,INT(ET$44-2)+1),$DC199,IF($DD199="No",1,0))/
IF(EB199&gt;INT($N199),$N199-INT($N199),1))*
IF(ET$44=2,EB199,
IF(INT(EB199)=INT(EA199),0,EB199-INT(EB199)))))</f>
        <v>0</v>
      </c>
      <c r="EU199" s="835">
        <f>+IF(OR(EC199=EB199,EU$44=1),0,
IF(AND(EU$44&gt;1,EC199=$N199),1-SUM($EN199:ET199),
IF($N199&lt;=1,
IF($N199&gt;0,1/$N199,0),
IF(EU$44=2,0,VDB(1,0,$N199,INT(EU$44-2-1),MIN($N199,INT(EU$44-2-1)+1),$DC199,IF($DD199="No",1,0))/
IF(EB199&gt;=INT($N199),$N199-INT($N199),1)))*
IF(EU$44=2,0,
IF(INT(EC199)=INT(EB199),EC199-EB199,INT(EC199)-EB199))+
IF($N199&lt;=1,
IF($N199&gt;0,1/$N199,0),VDB(1,0,$N199,INT(EU$44-2),MIN($N199,INT(EU$44-2)+1),$DC199,IF($DD199="No",1,0))/
IF(EC199&gt;INT($N199),$N199-INT($N199),1))*
IF(EU$44=2,EC199,
IF(INT(EC199)=INT(EB199),0,EC199-INT(EC199)))))</f>
        <v>0</v>
      </c>
      <c r="EV199" s="836">
        <f>+IF(OR(ED199=EC199,EV$44=1),0,
IF(AND(EV$44&gt;1,ED199=$N199),1-SUM($EN199:EU199),
IF($N199&lt;=1,
IF($N199&gt;0,1/$N199,0),
IF(EV$44=2,0,VDB(1,0,$N199,INT(EV$44-2-1),MIN($N199,INT(EV$44-2-1)+1),$DC199,IF($DD199="No",1,0))/
IF(EC199&gt;=INT($N199),$N199-INT($N199),1)))*
IF(EV$44=2,0,
IF(INT(ED199)=INT(EC199),ED199-EC199,INT(ED199)-EC199))+
IF($N199&lt;=1,
IF($N199&gt;0,1/$N199,0),VDB(1,0,$N199,INT(EV$44-2),MIN($N199,INT(EV$44-2)+1),$DC199,IF($DD199="No",1,0))/
IF(ED199&gt;INT($N199),$N199-INT($N199),1))*
IF(EV$44=2,ED199,
IF(INT(ED199)=INT(EC199),0,ED199-INT(ED199)))))</f>
        <v>0</v>
      </c>
      <c r="EW199" s="833"/>
      <c r="EX199" s="834">
        <f t="shared" ca="1" si="360"/>
        <v>0</v>
      </c>
      <c r="EY199" s="835">
        <f t="shared" ca="1" si="360"/>
        <v>0</v>
      </c>
      <c r="EZ199" s="836">
        <f t="shared" ca="1" si="360"/>
        <v>0</v>
      </c>
      <c r="FA199" s="834">
        <f t="shared" ca="1" si="360"/>
        <v>0</v>
      </c>
      <c r="FB199" s="835">
        <f t="shared" ca="1" si="360"/>
        <v>0</v>
      </c>
      <c r="FC199" s="835">
        <f t="shared" ca="1" si="360"/>
        <v>0</v>
      </c>
      <c r="FD199" s="835">
        <f t="shared" ca="1" si="360"/>
        <v>0</v>
      </c>
      <c r="FE199" s="836">
        <f t="shared" ca="1" si="360"/>
        <v>0</v>
      </c>
      <c r="FG199" s="386">
        <f t="shared" ca="1" si="351"/>
        <v>0</v>
      </c>
      <c r="FH199" s="387">
        <f t="shared" ca="1" si="352"/>
        <v>0</v>
      </c>
      <c r="FI199" s="388">
        <f t="shared" ca="1" si="353"/>
        <v>0</v>
      </c>
      <c r="FJ199" s="386">
        <f t="shared" ca="1" si="354"/>
        <v>0</v>
      </c>
      <c r="FK199" s="387">
        <f t="shared" ca="1" si="355"/>
        <v>0</v>
      </c>
      <c r="FL199" s="387">
        <f t="shared" ca="1" si="356"/>
        <v>0</v>
      </c>
      <c r="FM199" s="387">
        <f t="shared" ca="1" si="357"/>
        <v>0</v>
      </c>
      <c r="FN199" s="388">
        <f t="shared" ca="1" si="358"/>
        <v>0</v>
      </c>
      <c r="FR199" s="116"/>
    </row>
    <row r="200" spans="2:174">
      <c r="B200" s="1410">
        <f t="shared" si="359"/>
        <v>154</v>
      </c>
      <c r="C200" s="400"/>
      <c r="D200" s="410"/>
      <c r="E200" s="402"/>
      <c r="F200" s="402"/>
      <c r="G200" s="400"/>
      <c r="H200" s="2088"/>
      <c r="I200" s="2089"/>
      <c r="J200" s="411"/>
      <c r="K200" s="403"/>
      <c r="L200" s="403"/>
      <c r="M200" s="403"/>
      <c r="N200" s="403"/>
      <c r="O200" s="347"/>
      <c r="P200" s="347"/>
      <c r="Q200" s="1021"/>
      <c r="R200" s="1022"/>
      <c r="S200" s="1022"/>
      <c r="T200" s="1022"/>
      <c r="U200" s="1023"/>
      <c r="V200" s="1021"/>
      <c r="W200" s="1022"/>
      <c r="X200" s="1022"/>
      <c r="Y200" s="1022"/>
      <c r="Z200" s="1023"/>
      <c r="AA200" s="1024"/>
      <c r="AB200" s="1021"/>
      <c r="AC200" s="1022"/>
      <c r="AD200" s="1022"/>
      <c r="AE200" s="1022"/>
      <c r="AF200" s="1023"/>
      <c r="AG200" s="1021"/>
      <c r="AH200" s="1022"/>
      <c r="AI200" s="1022"/>
      <c r="AJ200" s="1022"/>
      <c r="AK200" s="1023"/>
      <c r="AL200" s="1024"/>
      <c r="AM200" s="1021"/>
      <c r="AN200" s="1022"/>
      <c r="AO200" s="1022"/>
      <c r="AP200" s="1022"/>
      <c r="AQ200" s="1023"/>
      <c r="AR200" s="1021"/>
      <c r="AS200" s="1022"/>
      <c r="AT200" s="1022"/>
      <c r="AU200" s="1022"/>
      <c r="AV200" s="1023"/>
      <c r="AW200" s="1025"/>
      <c r="AX200" s="1282">
        <f t="shared" si="304"/>
        <v>0</v>
      </c>
      <c r="AY200" s="387">
        <f t="shared" si="305"/>
        <v>0</v>
      </c>
      <c r="AZ200" s="387">
        <f t="shared" si="306"/>
        <v>0</v>
      </c>
      <c r="BA200" s="387">
        <f t="shared" si="307"/>
        <v>0</v>
      </c>
      <c r="BB200" s="1283">
        <f t="shared" si="308"/>
        <v>0</v>
      </c>
      <c r="BC200" s="386">
        <f t="shared" si="309"/>
        <v>0</v>
      </c>
      <c r="BD200" s="387">
        <f t="shared" si="310"/>
        <v>0</v>
      </c>
      <c r="BE200" s="1277">
        <f t="shared" si="311"/>
        <v>0</v>
      </c>
      <c r="BF200" s="1277">
        <f t="shared" si="312"/>
        <v>0</v>
      </c>
      <c r="BG200" s="388">
        <f t="shared" si="313"/>
        <v>0</v>
      </c>
      <c r="BH200" s="1025"/>
      <c r="BI200" s="1282">
        <f t="shared" ca="1" si="314"/>
        <v>0</v>
      </c>
      <c r="BJ200" s="387">
        <f t="shared" ca="1" si="315"/>
        <v>0</v>
      </c>
      <c r="BK200" s="387">
        <f t="shared" ca="1" si="316"/>
        <v>0</v>
      </c>
      <c r="BL200" s="387">
        <f t="shared" ca="1" si="317"/>
        <v>0</v>
      </c>
      <c r="BM200" s="1283">
        <f t="shared" ca="1" si="318"/>
        <v>0</v>
      </c>
      <c r="BN200" s="386">
        <f t="shared" ca="1" si="319"/>
        <v>0</v>
      </c>
      <c r="BO200" s="387">
        <f t="shared" ca="1" si="320"/>
        <v>0</v>
      </c>
      <c r="BP200" s="1277">
        <f t="shared" ca="1" si="321"/>
        <v>0</v>
      </c>
      <c r="BQ200" s="1277">
        <f t="shared" ca="1" si="322"/>
        <v>0</v>
      </c>
      <c r="BR200" s="388">
        <f t="shared" ca="1" si="323"/>
        <v>0</v>
      </c>
      <c r="BS200" s="1025"/>
      <c r="BT200" s="1282">
        <f>+IF($K200="Ongoing",AX200,IF(RIGHT($K200,2)=RIGHT(BT$43,2),SUM($AX200:AX200),0)+IF(RIGHT(BT$43,2)&gt;RIGHT($K200,2),AX200,0))</f>
        <v>0</v>
      </c>
      <c r="BU200" s="387">
        <f>+IF($K200="Ongoing",AY200,IF(RIGHT($K200,2)=RIGHT(BU$43,2),SUM($AX200:AY200),0)+IF(RIGHT(BU$43,2)&gt;RIGHT($K200,2),AY200,0))</f>
        <v>0</v>
      </c>
      <c r="BV200" s="387">
        <f>+IF($K200="Ongoing",AZ200,IF(RIGHT($K200,2)=RIGHT(BV$43,2),SUM($AX200:AZ200),0)+IF(RIGHT(BV$43,2)&gt;RIGHT($K200,2),AZ200,0))</f>
        <v>0</v>
      </c>
      <c r="BW200" s="387">
        <f>+IF($K200="Ongoing",BA200,IF(RIGHT($K200,2)=RIGHT(BW$43,2),SUM($AX200:BA200),0)+IF(RIGHT(BW$43,2)&gt;RIGHT($K200,2),BA200,0))</f>
        <v>0</v>
      </c>
      <c r="BX200" s="1283">
        <f>+IF($K200="Ongoing",BB200,IF(RIGHT($K200,2)=RIGHT(BX$43,2),SUM($AX200:BB200),0)+IF(RIGHT(BX$43,2)&gt;RIGHT($K200,2),BB200,0))</f>
        <v>0</v>
      </c>
      <c r="BY200" s="386">
        <f>+IF($K200="Ongoing",BC200,IF(RIGHT($K200,2)=RIGHT(BY$43,2),SUM($AX200:BC200),0)+IF(RIGHT(BY$43,2)&gt;RIGHT($K200,2),BC200,0))</f>
        <v>0</v>
      </c>
      <c r="BZ200" s="387">
        <f>+IF($K200="Ongoing",BD200,IF(RIGHT($K200,2)=RIGHT(BZ$43,2),SUM($AX200:BD200),0)+IF(RIGHT(BZ$43,2)&gt;RIGHT($K200,2),BD200,0))</f>
        <v>0</v>
      </c>
      <c r="CA200" s="1277">
        <f>+IF($K200="Ongoing",BE200,IF(RIGHT($K200,2)=RIGHT(CA$43,2),SUM($AX200:BE200),0)+IF(RIGHT(CA$43,2)&gt;RIGHT($K200,2),BE200,0))</f>
        <v>0</v>
      </c>
      <c r="CB200" s="1277">
        <f>+IF($K200="Ongoing",BF200,IF(RIGHT($K200,2)=RIGHT(CB$43,2),SUM($AX200:BF200),0)+IF(RIGHT(CB$43,2)&gt;RIGHT($K200,2),BF200,0))</f>
        <v>0</v>
      </c>
      <c r="CC200" s="388">
        <f>+IF($K200="Ongoing",BG200,IF(RIGHT($K200,2)=RIGHT(CC$43,2),SUM($AX200:BG200),0)+IF(RIGHT(CC$43,2)&gt;RIGHT($K200,2),BG200,0))</f>
        <v>0</v>
      </c>
      <c r="CD200" s="1025"/>
      <c r="CE200" s="1282">
        <f>+Q200*KeyAssumptionsPriceControl_FO!AF$15</f>
        <v>0</v>
      </c>
      <c r="CF200" s="387">
        <f>+R200*KeyAssumptionsPriceControl_FO!AG$15</f>
        <v>0</v>
      </c>
      <c r="CG200" s="387">
        <f>+S200*KeyAssumptionsPriceControl_FO!AH$15</f>
        <v>0</v>
      </c>
      <c r="CH200" s="387">
        <f>+T200*KeyAssumptionsPriceControl_FO!AI$15</f>
        <v>0</v>
      </c>
      <c r="CI200" s="1283">
        <f>+U200*KeyAssumptionsPriceControl_FO!AJ$15</f>
        <v>0</v>
      </c>
      <c r="CJ200" s="386">
        <f>+V200*KeyAssumptionsPriceControl_FO!AK$15</f>
        <v>0</v>
      </c>
      <c r="CK200" s="387">
        <f>+W200*KeyAssumptionsPriceControl_FO!AL$15</f>
        <v>0</v>
      </c>
      <c r="CL200" s="1277">
        <f>+X200*KeyAssumptionsPriceControl_FO!AM$15</f>
        <v>0</v>
      </c>
      <c r="CM200" s="1277">
        <f>+Y200*KeyAssumptionsPriceControl_FO!AN$15</f>
        <v>0</v>
      </c>
      <c r="CN200" s="388">
        <f>+Z200*KeyAssumptionsPriceControl_FO!AO$15</f>
        <v>0</v>
      </c>
      <c r="CO200" s="1025"/>
      <c r="CP200" s="1282">
        <f t="shared" ca="1" si="324"/>
        <v>0</v>
      </c>
      <c r="CQ200" s="387">
        <f t="shared" ca="1" si="325"/>
        <v>0</v>
      </c>
      <c r="CR200" s="387">
        <f t="shared" ca="1" si="326"/>
        <v>0</v>
      </c>
      <c r="CS200" s="387">
        <f t="shared" ca="1" si="327"/>
        <v>0</v>
      </c>
      <c r="CT200" s="1283">
        <f t="shared" ca="1" si="328"/>
        <v>0</v>
      </c>
      <c r="CU200" s="386">
        <f t="shared" ca="1" si="329"/>
        <v>0</v>
      </c>
      <c r="CV200" s="387">
        <f t="shared" ca="1" si="330"/>
        <v>0</v>
      </c>
      <c r="CW200" s="1277">
        <f t="shared" ca="1" si="331"/>
        <v>0</v>
      </c>
      <c r="CX200" s="1277">
        <f t="shared" ca="1" si="332"/>
        <v>0</v>
      </c>
      <c r="CY200" s="388">
        <f t="shared" ca="1" si="333"/>
        <v>0</v>
      </c>
      <c r="CZ200" s="347"/>
      <c r="DA200" s="852"/>
      <c r="DB200" s="347"/>
      <c r="DC200" s="1012" t="s">
        <v>721</v>
      </c>
      <c r="DD200" s="841" t="s">
        <v>518</v>
      </c>
      <c r="DE200" s="386">
        <f>+IF($K200="ongoing",CE200,IF(RIGHT($K200,2)=RIGHT(DE$43,2),SUM($CD200:CE200),0)+IF(RIGHT(DE$43,2)&gt;RIGHT($K200,2),CE200,0))</f>
        <v>0</v>
      </c>
      <c r="DF200" s="387">
        <f>+IF($K200="ongoing",CF200,IF(RIGHT($K200,2)=RIGHT(DF$43,2),SUM($CD200:CF200),0)+IF(RIGHT(DF$43,2)&gt;RIGHT($K200,2),CF200,0))</f>
        <v>0</v>
      </c>
      <c r="DG200" s="388">
        <f>+IF($K200="ongoing",CG200,IF(RIGHT($K200,2)=RIGHT(DG$43,2),SUM($CD200:CG200),0)+IF(RIGHT(DG$43,2)&gt;RIGHT($K200,2),CG200,0))</f>
        <v>0</v>
      </c>
      <c r="DH200" s="386">
        <f>+IF($K200="ongoing",CH200,IF(RIGHT($K200,2)=RIGHT(DH$43,2),SUM($CD200:CH200),0)+IF(RIGHT(DH$43,2)&gt;RIGHT($K200,2),CH200,0))</f>
        <v>0</v>
      </c>
      <c r="DI200" s="387">
        <f>+IF($K200="ongoing",CI200,IF(RIGHT($K200,2)=RIGHT(DI$43,2),SUM($CD200:CI200),0)+IF(RIGHT(DI$43,2)&gt;RIGHT($K200,2),CI200,0))</f>
        <v>0</v>
      </c>
      <c r="DJ200" s="387">
        <f>+IF($K200="ongoing",CJ200,IF(RIGHT($K200,2)=RIGHT(DJ$43,2),SUM($CD200:CJ200),0)+IF(RIGHT(DJ$43,2)&gt;RIGHT($K200,2),CJ200,0))</f>
        <v>0</v>
      </c>
      <c r="DK200" s="387">
        <f>+IF($K200="ongoing",CK200,IF(RIGHT($K200,2)=RIGHT(DK$43,2),SUM($CD200:CK200),0)+IF(RIGHT(DK$43,2)&gt;RIGHT($K200,2),CK200,0))</f>
        <v>0</v>
      </c>
      <c r="DL200" s="388">
        <f>+IF($K200="ongoing",CN200,IF(RIGHT($K200,2)=RIGHT(DL$43,2),SUM($CD200:CN200),0)+IF(RIGHT(DL$43,2)&gt;RIGHT($K200,2),CN200,0))</f>
        <v>0</v>
      </c>
      <c r="DM200" s="841"/>
      <c r="DN200" s="386">
        <f t="shared" si="334"/>
        <v>0.5</v>
      </c>
      <c r="DO200" s="387">
        <f t="shared" si="335"/>
        <v>1</v>
      </c>
      <c r="DP200" s="388">
        <f t="shared" si="336"/>
        <v>1</v>
      </c>
      <c r="DQ200" s="386">
        <f t="shared" si="337"/>
        <v>1</v>
      </c>
      <c r="DR200" s="387">
        <f t="shared" si="338"/>
        <v>1</v>
      </c>
      <c r="DS200" s="387">
        <f t="shared" si="339"/>
        <v>1</v>
      </c>
      <c r="DT200" s="387">
        <f t="shared" si="340"/>
        <v>1</v>
      </c>
      <c r="DU200" s="388">
        <f t="shared" si="341"/>
        <v>1</v>
      </c>
      <c r="DW200" s="386">
        <f t="shared" si="342"/>
        <v>0</v>
      </c>
      <c r="DX200" s="387">
        <f t="shared" si="343"/>
        <v>0.5</v>
      </c>
      <c r="DY200" s="388">
        <f t="shared" si="344"/>
        <v>1</v>
      </c>
      <c r="DZ200" s="386">
        <f t="shared" si="345"/>
        <v>1</v>
      </c>
      <c r="EA200" s="387">
        <f t="shared" si="346"/>
        <v>1</v>
      </c>
      <c r="EB200" s="387">
        <f t="shared" si="347"/>
        <v>1</v>
      </c>
      <c r="EC200" s="387">
        <f t="shared" si="348"/>
        <v>1</v>
      </c>
      <c r="ED200" s="388">
        <f t="shared" si="349"/>
        <v>1</v>
      </c>
      <c r="EF200" s="834">
        <f>+IF(DN200=DM200,0,
IF(AND(EF$44&gt;1,DN200=$N200),1-SUM($EE200:EE200),
IF($N200&lt;=1,
IF($N200&gt;0,1/$N200,0),
IF(EF$44=1,0,VDB(1,0,$N200,INT(EF$44-1-1),MIN($N200,INT(EF$44-1-1)+1),$DC200,IF($DD200="No",1,0))/
IF(DM200&gt;=INT($N200),$N200-INT($N200),1)))*
IF(EF$44=1,0,
IF(INT(DN200)=INT(DM200),DN200-DM200,INT(DN200)-DM200))+
IF($N200&lt;=1,
IF($N200&gt;0,1/$N200,0),VDB(1,0,$N200,INT(EF$44-1),MIN($N200,INT(EF$44-1)+1),$DC200,IF($DD200="No",1,0))/
IF(DN200&gt;INT($N200),$N200-INT($N200),1))*
IF(EF$44=1,DN200,
IF(INT(DN200)=INT(DM200),0,DN200-INT(DN200)))))</f>
        <v>0</v>
      </c>
      <c r="EG200" s="835">
        <f>+IF(DO200=DN200,0,
IF(AND(EG$44&gt;1,DO200=$N200),1-SUM($EE200:EF200),
IF($N200&lt;=1,
IF($N200&gt;0,1/$N200,0),
IF(EG$44=1,0,VDB(1,0,$N200,INT(EG$44-1-1),MIN($N200,INT(EG$44-1-1)+1),$DC200,IF($DD200="No",1,0))/
IF(DN200&gt;=INT($N200),$N200-INT($N200),1)))*
IF(EG$44=1,0,
IF(INT(DO200)=INT(DN200),DO200-DN200,INT(DO200)-DN200))+
IF($N200&lt;=1,
IF($N200&gt;0,1/$N200,0),VDB(1,0,$N200,INT(EG$44-1),MIN($N200,INT(EG$44-1)+1),$DC200,IF($DD200="No",1,0))/
IF(DO200&gt;INT($N200),$N200-INT($N200),1))*
IF(EG$44=1,DO200,
IF(INT(DO200)=INT(DN200),0,DO200-INT(DO200)))))</f>
        <v>0</v>
      </c>
      <c r="EH200" s="836">
        <f>+IF(DP200=DO200,0,
IF(AND(EH$44&gt;1,DP200=$N200),1-SUM($EE200:EG200),
IF($N200&lt;=1,
IF($N200&gt;0,1/$N200,0),
IF(EH$44=1,0,VDB(1,0,$N200,INT(EH$44-1-1),MIN($N200,INT(EH$44-1-1)+1),$DC200,IF($DD200="No",1,0))/
IF(DO200&gt;=INT($N200),$N200-INT($N200),1)))*
IF(EH$44=1,0,
IF(INT(DP200)=INT(DO200),DP200-DO200,INT(DP200)-DO200))+
IF($N200&lt;=1,
IF($N200&gt;0,1/$N200,0),VDB(1,0,$N200,INT(EH$44-1),MIN($N200,INT(EH$44-1)+1),$DC200,IF($DD200="No",1,0))/
IF(DP200&gt;INT($N200),$N200-INT($N200),1))*
IF(EH$44=1,DP200,
IF(INT(DP200)=INT(DO200),0,DP200-INT(DP200)))))</f>
        <v>0</v>
      </c>
      <c r="EI200" s="834">
        <f>+IF(DQ200=DP200,0,
IF(AND(EI$44&gt;1,DQ200=$N200),1-SUM($EE200:EH200),
IF($N200&lt;=1,
IF($N200&gt;0,1/$N200,0),
IF(EI$44=1,0,VDB(1,0,$N200,INT(EI$44-1-1),MIN($N200,INT(EI$44-1-1)+1),$DC200,IF($DD200="No",1,0))/
IF(DP200&gt;=INT($N200),$N200-INT($N200),1)))*
IF(EI$44=1,0,
IF(INT(DQ200)=INT(DP200),DQ200-DP200,INT(DQ200)-DP200))+
IF($N200&lt;=1,
IF($N200&gt;0,1/$N200,0),VDB(1,0,$N200,INT(EI$44-1),MIN($N200,INT(EI$44-1)+1),$DC200,IF($DD200="No",1,0))/
IF(DQ200&gt;INT($N200),$N200-INT($N200),1))*
IF(EI$44=1,DQ200,
IF(INT(DQ200)=INT(DP200),0,DQ200-INT(DQ200)))))</f>
        <v>0</v>
      </c>
      <c r="EJ200" s="835">
        <f>+IF(DR200=DQ200,0,
IF(AND(EJ$44&gt;1,DR200=$N200),1-SUM($EE200:EI200),
IF($N200&lt;=1,
IF($N200&gt;0,1/$N200,0),
IF(EJ$44=1,0,VDB(1,0,$N200,INT(EJ$44-1-1),MIN($N200,INT(EJ$44-1-1)+1),$DC200,IF($DD200="No",1,0))/
IF(DQ200&gt;=INT($N200),$N200-INT($N200),1)))*
IF(EJ$44=1,0,
IF(INT(DR200)=INT(DQ200),DR200-DQ200,INT(DR200)-DQ200))+
IF($N200&lt;=1,
IF($N200&gt;0,1/$N200,0),VDB(1,0,$N200,INT(EJ$44-1),MIN($N200,INT(EJ$44-1)+1),$DC200,IF($DD200="No",1,0))/
IF(DR200&gt;INT($N200),$N200-INT($N200),1))*
IF(EJ$44=1,DR200,
IF(INT(DR200)=INT(DQ200),0,DR200-INT(DR200)))))</f>
        <v>0</v>
      </c>
      <c r="EK200" s="835">
        <f>+IF(DS200=DR200,0,
IF(AND(EK$44&gt;1,DS200=$N200),1-SUM($EE200:EJ200),
IF($N200&lt;=1,
IF($N200&gt;0,1/$N200,0),
IF(EK$44=1,0,VDB(1,0,$N200,INT(EK$44-1-1),MIN($N200,INT(EK$44-1-1)+1),$DC200,IF($DD200="No",1,0))/
IF(DR200&gt;=INT($N200),$N200-INT($N200),1)))*
IF(EK$44=1,0,
IF(INT(DS200)=INT(DR200),DS200-DR200,INT(DS200)-DR200))+
IF($N200&lt;=1,
IF($N200&gt;0,1/$N200,0),VDB(1,0,$N200,INT(EK$44-1),MIN($N200,INT(EK$44-1)+1),$DC200,IF($DD200="No",1,0))/
IF(DS200&gt;INT($N200),$N200-INT($N200),1))*
IF(EK$44=1,DS200,
IF(INT(DS200)=INT(DR200),0,DS200-INT(DS200)))))</f>
        <v>0</v>
      </c>
      <c r="EL200" s="835">
        <f>+IF(DT200=DS200,0,
IF(AND(EL$44&gt;1,DT200=$N200),1-SUM($EE200:EK200),
IF($N200&lt;=1,
IF($N200&gt;0,1/$N200,0),
IF(EL$44=1,0,VDB(1,0,$N200,INT(EL$44-1-1),MIN($N200,INT(EL$44-1-1)+1),$DC200,IF($DD200="No",1,0))/
IF(DS200&gt;=INT($N200),$N200-INT($N200),1)))*
IF(EL$44=1,0,
IF(INT(DT200)=INT(DS200),DT200-DS200,INT(DT200)-DS200))+
IF($N200&lt;=1,
IF($N200&gt;0,1/$N200,0),VDB(1,0,$N200,INT(EL$44-1),MIN($N200,INT(EL$44-1)+1),$DC200,IF($DD200="No",1,0))/
IF(DT200&gt;INT($N200),$N200-INT($N200),1))*
IF(EL$44=1,DT200,
IF(INT(DT200)=INT(DS200),0,DT200-INT(DT200)))))</f>
        <v>0</v>
      </c>
      <c r="EM200" s="836">
        <f>+IF(DU200=DT200,0,
IF(AND(EM$44&gt;1,DU200=$N200),1-SUM($EE200:EL200),
IF($N200&lt;=1,
IF($N200&gt;0,1/$N200,0),
IF(EM$44=1,0,VDB(1,0,$N200,INT(EM$44-1-1),MIN($N200,INT(EM$44-1-1)+1),$DC200,IF($DD200="No",1,0))/
IF(DT200&gt;=INT($N200),$N200-INT($N200),1)))*
IF(EM$44=1,0,
IF(INT(DU200)=INT(DT200),DU200-DT200,INT(DU200)-DT200))+
IF($N200&lt;=1,
IF($N200&gt;0,1/$N200,0),VDB(1,0,$N200,INT(EM$44-1),MIN($N200,INT(EM$44-1)+1),$DC200,IF($DD200="No",1,0))/
IF(DU200&gt;INT($N200),$N200-INT($N200),1))*
IF(EM$44=1,DU200,
IF(INT(DU200)=INT(DT200),0,DU200-INT(DU200)))))</f>
        <v>0</v>
      </c>
      <c r="EN200" s="833"/>
      <c r="EO200" s="834">
        <f>+IF(OR(DW200=DV200,EO$44=1),0,
IF(AND(EO$44&gt;1,DW200=$N200),1-SUM($EN200:EN200),
IF($N200&lt;=1,
IF($N200&gt;0,1/$N200,0),
IF(EO$44=2,0,VDB(1,0,$N200,INT(EO$44-2-1),MIN($N200,INT(EO$44-2-1)+1),$DC200,IF($DD200="No",1,0))/
IF(DV200&gt;=INT($N200),$N200-INT($N200),1)))*
IF(EO$44=2,0,
IF(INT(DW200)=INT(DV200),DW200-DV200,INT(DW200)-DV200))+
IF($N200&lt;=1,
IF($N200&gt;0,1/$N200,0),VDB(1,0,$N200,INT(EO$44-2),MIN($N200,INT(EO$44-2)+1),$DC200,IF($DD200="No",1,0))/
IF(DW200&gt;INT($N200),$N200-INT($N200),1))*
IF(EO$44=2,DW200,
IF(INT(DW200)=INT(DV200),0,DW200-INT(DW200)))))</f>
        <v>0</v>
      </c>
      <c r="EP200" s="835">
        <f>+IF(OR(DX200=DW200,EP$44=1),0,
IF(AND(EP$44&gt;1,DX200=$N200),1-SUM($EN200:EO200),
IF($N200&lt;=1,
IF($N200&gt;0,1/$N200,0),
IF(EP$44=2,0,VDB(1,0,$N200,INT(EP$44-2-1),MIN($N200,INT(EP$44-2-1)+1),$DC200,IF($DD200="No",1,0))/
IF(DW200&gt;=INT($N200),$N200-INT($N200),1)))*
IF(EP$44=2,0,
IF(INT(DX200)=INT(DW200),DX200-DW200,INT(DX200)-DW200))+
IF($N200&lt;=1,
IF($N200&gt;0,1/$N200,0),VDB(1,0,$N200,INT(EP$44-2),MIN($N200,INT(EP$44-2)+1),$DC200,IF($DD200="No",1,0))/
IF(DX200&gt;INT($N200),$N200-INT($N200),1))*
IF(EP$44=2,DX200,
IF(INT(DX200)=INT(DW200),0,DX200-INT(DX200)))))</f>
        <v>0</v>
      </c>
      <c r="EQ200" s="836">
        <f>+IF(OR(DY200=DX200,EQ$44=1),0,
IF(AND(EQ$44&gt;1,DY200=$N200),1-SUM($EN200:EP200),
IF($N200&lt;=1,
IF($N200&gt;0,1/$N200,0),
IF(EQ$44=2,0,VDB(1,0,$N200,INT(EQ$44-2-1),MIN($N200,INT(EQ$44-2-1)+1),$DC200,IF($DD200="No",1,0))/
IF(DX200&gt;=INT($N200),$N200-INT($N200),1)))*
IF(EQ$44=2,0,
IF(INT(DY200)=INT(DX200),DY200-DX200,INT(DY200)-DX200))+
IF($N200&lt;=1,
IF($N200&gt;0,1/$N200,0),VDB(1,0,$N200,INT(EQ$44-2),MIN($N200,INT(EQ$44-2)+1),$DC200,IF($DD200="No",1,0))/
IF(DY200&gt;INT($N200),$N200-INT($N200),1))*
IF(EQ$44=2,DY200,
IF(INT(DY200)=INT(DX200),0,DY200-INT(DY200)))))</f>
        <v>0</v>
      </c>
      <c r="ER200" s="834">
        <f>+IF(OR(DZ200=DY200,ER$44=1),0,
IF(AND(ER$44&gt;1,DZ200=$N200),1-SUM($EN200:EQ200),
IF($N200&lt;=1,
IF($N200&gt;0,1/$N200,0),
IF(ER$44=2,0,VDB(1,0,$N200,INT(ER$44-2-1),MIN($N200,INT(ER$44-2-1)+1),$DC200,IF($DD200="No",1,0))/
IF(DY200&gt;=INT($N200),$N200-INT($N200),1)))*
IF(ER$44=2,0,
IF(INT(DZ200)=INT(DY200),DZ200-DY200,INT(DZ200)-DY200))+
IF($N200&lt;=1,
IF($N200&gt;0,1/$N200,0),VDB(1,0,$N200,INT(ER$44-2),MIN($N200,INT(ER$44-2)+1),$DC200,IF($DD200="No",1,0))/
IF(DZ200&gt;INT($N200),$N200-INT($N200),1))*
IF(ER$44=2,DZ200,
IF(INT(DZ200)=INT(DY200),0,DZ200-INT(DZ200)))))</f>
        <v>0</v>
      </c>
      <c r="ES200" s="835">
        <f>+IF(OR(EA200=DZ200,ES$44=1),0,
IF(AND(ES$44&gt;1,EA200=$N200),1-SUM($EN200:ER200),
IF($N200&lt;=1,
IF($N200&gt;0,1/$N200,0),
IF(ES$44=2,0,VDB(1,0,$N200,INT(ES$44-2-1),MIN($N200,INT(ES$44-2-1)+1),$DC200,IF($DD200="No",1,0))/
IF(DZ200&gt;=INT($N200),$N200-INT($N200),1)))*
IF(ES$44=2,0,
IF(INT(EA200)=INT(DZ200),EA200-DZ200,INT(EA200)-DZ200))+
IF($N200&lt;=1,
IF($N200&gt;0,1/$N200,0),VDB(1,0,$N200,INT(ES$44-2),MIN($N200,INT(ES$44-2)+1),$DC200,IF($DD200="No",1,0))/
IF(EA200&gt;INT($N200),$N200-INT($N200),1))*
IF(ES$44=2,EA200,
IF(INT(EA200)=INT(DZ200),0,EA200-INT(EA200)))))</f>
        <v>0</v>
      </c>
      <c r="ET200" s="835">
        <f>+IF(OR(EB200=EA200,ET$44=1),0,
IF(AND(ET$44&gt;1,EB200=$N200),1-SUM($EN200:ES200),
IF($N200&lt;=1,
IF($N200&gt;0,1/$N200,0),
IF(ET$44=2,0,VDB(1,0,$N200,INT(ET$44-2-1),MIN($N200,INT(ET$44-2-1)+1),$DC200,IF($DD200="No",1,0))/
IF(EA200&gt;=INT($N200),$N200-INT($N200),1)))*
IF(ET$44=2,0,
IF(INT(EB200)=INT(EA200),EB200-EA200,INT(EB200)-EA200))+
IF($N200&lt;=1,
IF($N200&gt;0,1/$N200,0),VDB(1,0,$N200,INT(ET$44-2),MIN($N200,INT(ET$44-2)+1),$DC200,IF($DD200="No",1,0))/
IF(EB200&gt;INT($N200),$N200-INT($N200),1))*
IF(ET$44=2,EB200,
IF(INT(EB200)=INT(EA200),0,EB200-INT(EB200)))))</f>
        <v>0</v>
      </c>
      <c r="EU200" s="835">
        <f>+IF(OR(EC200=EB200,EU$44=1),0,
IF(AND(EU$44&gt;1,EC200=$N200),1-SUM($EN200:ET200),
IF($N200&lt;=1,
IF($N200&gt;0,1/$N200,0),
IF(EU$44=2,0,VDB(1,0,$N200,INT(EU$44-2-1),MIN($N200,INT(EU$44-2-1)+1),$DC200,IF($DD200="No",1,0))/
IF(EB200&gt;=INT($N200),$N200-INT($N200),1)))*
IF(EU$44=2,0,
IF(INT(EC200)=INT(EB200),EC200-EB200,INT(EC200)-EB200))+
IF($N200&lt;=1,
IF($N200&gt;0,1/$N200,0),VDB(1,0,$N200,INT(EU$44-2),MIN($N200,INT(EU$44-2)+1),$DC200,IF($DD200="No",1,0))/
IF(EC200&gt;INT($N200),$N200-INT($N200),1))*
IF(EU$44=2,EC200,
IF(INT(EC200)=INT(EB200),0,EC200-INT(EC200)))))</f>
        <v>0</v>
      </c>
      <c r="EV200" s="836">
        <f>+IF(OR(ED200=EC200,EV$44=1),0,
IF(AND(EV$44&gt;1,ED200=$N200),1-SUM($EN200:EU200),
IF($N200&lt;=1,
IF($N200&gt;0,1/$N200,0),
IF(EV$44=2,0,VDB(1,0,$N200,INT(EV$44-2-1),MIN($N200,INT(EV$44-2-1)+1),$DC200,IF($DD200="No",1,0))/
IF(EC200&gt;=INT($N200),$N200-INT($N200),1)))*
IF(EV$44=2,0,
IF(INT(ED200)=INT(EC200),ED200-EC200,INT(ED200)-EC200))+
IF($N200&lt;=1,
IF($N200&gt;0,1/$N200,0),VDB(1,0,$N200,INT(EV$44-2),MIN($N200,INT(EV$44-2)+1),$DC200,IF($DD200="No",1,0))/
IF(ED200&gt;INT($N200),$N200-INT($N200),1))*
IF(EV$44=2,ED200,
IF(INT(ED200)=INT(EC200),0,ED200-INT(ED200)))))</f>
        <v>0</v>
      </c>
      <c r="EW200" s="833"/>
      <c r="EX200" s="834">
        <f t="shared" ca="1" si="360"/>
        <v>0</v>
      </c>
      <c r="EY200" s="835">
        <f t="shared" ca="1" si="360"/>
        <v>0</v>
      </c>
      <c r="EZ200" s="836">
        <f t="shared" ca="1" si="360"/>
        <v>0</v>
      </c>
      <c r="FA200" s="834">
        <f t="shared" ca="1" si="360"/>
        <v>0</v>
      </c>
      <c r="FB200" s="835">
        <f t="shared" ca="1" si="360"/>
        <v>0</v>
      </c>
      <c r="FC200" s="835">
        <f t="shared" ca="1" si="360"/>
        <v>0</v>
      </c>
      <c r="FD200" s="835">
        <f t="shared" ca="1" si="360"/>
        <v>0</v>
      </c>
      <c r="FE200" s="836">
        <f t="shared" ca="1" si="360"/>
        <v>0</v>
      </c>
      <c r="FG200" s="386">
        <f t="shared" ca="1" si="351"/>
        <v>0</v>
      </c>
      <c r="FH200" s="387">
        <f t="shared" ca="1" si="352"/>
        <v>0</v>
      </c>
      <c r="FI200" s="388">
        <f t="shared" ca="1" si="353"/>
        <v>0</v>
      </c>
      <c r="FJ200" s="386">
        <f t="shared" ca="1" si="354"/>
        <v>0</v>
      </c>
      <c r="FK200" s="387">
        <f t="shared" ca="1" si="355"/>
        <v>0</v>
      </c>
      <c r="FL200" s="387">
        <f t="shared" ca="1" si="356"/>
        <v>0</v>
      </c>
      <c r="FM200" s="387">
        <f t="shared" ca="1" si="357"/>
        <v>0</v>
      </c>
      <c r="FN200" s="388">
        <f t="shared" ca="1" si="358"/>
        <v>0</v>
      </c>
      <c r="FR200" s="116"/>
    </row>
    <row r="201" spans="2:174">
      <c r="B201" s="1410">
        <f t="shared" si="359"/>
        <v>155</v>
      </c>
      <c r="C201" s="400"/>
      <c r="D201" s="410"/>
      <c r="E201" s="402"/>
      <c r="F201" s="402"/>
      <c r="G201" s="400"/>
      <c r="H201" s="2088"/>
      <c r="I201" s="2089"/>
      <c r="J201" s="411"/>
      <c r="K201" s="403"/>
      <c r="L201" s="403"/>
      <c r="M201" s="403"/>
      <c r="N201" s="403"/>
      <c r="O201" s="347"/>
      <c r="P201" s="347"/>
      <c r="Q201" s="1021"/>
      <c r="R201" s="1022"/>
      <c r="S201" s="1022"/>
      <c r="T201" s="1022"/>
      <c r="U201" s="1023"/>
      <c r="V201" s="1021"/>
      <c r="W201" s="1022"/>
      <c r="X201" s="1022"/>
      <c r="Y201" s="1022"/>
      <c r="Z201" s="1023"/>
      <c r="AA201" s="1024"/>
      <c r="AB201" s="1021"/>
      <c r="AC201" s="1022"/>
      <c r="AD201" s="1022"/>
      <c r="AE201" s="1022"/>
      <c r="AF201" s="1023"/>
      <c r="AG201" s="1021"/>
      <c r="AH201" s="1022"/>
      <c r="AI201" s="1022"/>
      <c r="AJ201" s="1022"/>
      <c r="AK201" s="1023"/>
      <c r="AL201" s="1024"/>
      <c r="AM201" s="1021"/>
      <c r="AN201" s="1022"/>
      <c r="AO201" s="1022"/>
      <c r="AP201" s="1022"/>
      <c r="AQ201" s="1023"/>
      <c r="AR201" s="1021"/>
      <c r="AS201" s="1022"/>
      <c r="AT201" s="1022"/>
      <c r="AU201" s="1022"/>
      <c r="AV201" s="1023"/>
      <c r="AW201" s="1025"/>
      <c r="AX201" s="1282">
        <f t="shared" si="304"/>
        <v>0</v>
      </c>
      <c r="AY201" s="387">
        <f t="shared" si="305"/>
        <v>0</v>
      </c>
      <c r="AZ201" s="387">
        <f t="shared" si="306"/>
        <v>0</v>
      </c>
      <c r="BA201" s="387">
        <f t="shared" si="307"/>
        <v>0</v>
      </c>
      <c r="BB201" s="1283">
        <f t="shared" si="308"/>
        <v>0</v>
      </c>
      <c r="BC201" s="386">
        <f t="shared" si="309"/>
        <v>0</v>
      </c>
      <c r="BD201" s="387">
        <f t="shared" si="310"/>
        <v>0</v>
      </c>
      <c r="BE201" s="1277">
        <f t="shared" si="311"/>
        <v>0</v>
      </c>
      <c r="BF201" s="1277">
        <f t="shared" si="312"/>
        <v>0</v>
      </c>
      <c r="BG201" s="388">
        <f t="shared" si="313"/>
        <v>0</v>
      </c>
      <c r="BH201" s="1025"/>
      <c r="BI201" s="1282">
        <f t="shared" ca="1" si="314"/>
        <v>0</v>
      </c>
      <c r="BJ201" s="387">
        <f t="shared" ca="1" si="315"/>
        <v>0</v>
      </c>
      <c r="BK201" s="387">
        <f t="shared" ca="1" si="316"/>
        <v>0</v>
      </c>
      <c r="BL201" s="387">
        <f t="shared" ca="1" si="317"/>
        <v>0</v>
      </c>
      <c r="BM201" s="1283">
        <f t="shared" ca="1" si="318"/>
        <v>0</v>
      </c>
      <c r="BN201" s="386">
        <f t="shared" ca="1" si="319"/>
        <v>0</v>
      </c>
      <c r="BO201" s="387">
        <f t="shared" ca="1" si="320"/>
        <v>0</v>
      </c>
      <c r="BP201" s="1277">
        <f t="shared" ca="1" si="321"/>
        <v>0</v>
      </c>
      <c r="BQ201" s="1277">
        <f t="shared" ca="1" si="322"/>
        <v>0</v>
      </c>
      <c r="BR201" s="388">
        <f t="shared" ca="1" si="323"/>
        <v>0</v>
      </c>
      <c r="BS201" s="1025"/>
      <c r="BT201" s="1282">
        <f>+IF($K201="Ongoing",AX201,IF(RIGHT($K201,2)=RIGHT(BT$43,2),SUM($AX201:AX201),0)+IF(RIGHT(BT$43,2)&gt;RIGHT($K201,2),AX201,0))</f>
        <v>0</v>
      </c>
      <c r="BU201" s="387">
        <f>+IF($K201="Ongoing",AY201,IF(RIGHT($K201,2)=RIGHT(BU$43,2),SUM($AX201:AY201),0)+IF(RIGHT(BU$43,2)&gt;RIGHT($K201,2),AY201,0))</f>
        <v>0</v>
      </c>
      <c r="BV201" s="387">
        <f>+IF($K201="Ongoing",AZ201,IF(RIGHT($K201,2)=RIGHT(BV$43,2),SUM($AX201:AZ201),0)+IF(RIGHT(BV$43,2)&gt;RIGHT($K201,2),AZ201,0))</f>
        <v>0</v>
      </c>
      <c r="BW201" s="387">
        <f>+IF($K201="Ongoing",BA201,IF(RIGHT($K201,2)=RIGHT(BW$43,2),SUM($AX201:BA201),0)+IF(RIGHT(BW$43,2)&gt;RIGHT($K201,2),BA201,0))</f>
        <v>0</v>
      </c>
      <c r="BX201" s="1283">
        <f>+IF($K201="Ongoing",BB201,IF(RIGHT($K201,2)=RIGHT(BX$43,2),SUM($AX201:BB201),0)+IF(RIGHT(BX$43,2)&gt;RIGHT($K201,2),BB201,0))</f>
        <v>0</v>
      </c>
      <c r="BY201" s="386">
        <f>+IF($K201="Ongoing",BC201,IF(RIGHT($K201,2)=RIGHT(BY$43,2),SUM($AX201:BC201),0)+IF(RIGHT(BY$43,2)&gt;RIGHT($K201,2),BC201,0))</f>
        <v>0</v>
      </c>
      <c r="BZ201" s="387">
        <f>+IF($K201="Ongoing",BD201,IF(RIGHT($K201,2)=RIGHT(BZ$43,2),SUM($AX201:BD201),0)+IF(RIGHT(BZ$43,2)&gt;RIGHT($K201,2),BD201,0))</f>
        <v>0</v>
      </c>
      <c r="CA201" s="1277">
        <f>+IF($K201="Ongoing",BE201,IF(RIGHT($K201,2)=RIGHT(CA$43,2),SUM($AX201:BE201),0)+IF(RIGHT(CA$43,2)&gt;RIGHT($K201,2),BE201,0))</f>
        <v>0</v>
      </c>
      <c r="CB201" s="1277">
        <f>+IF($K201="Ongoing",BF201,IF(RIGHT($K201,2)=RIGHT(CB$43,2),SUM($AX201:BF201),0)+IF(RIGHT(CB$43,2)&gt;RIGHT($K201,2),BF201,0))</f>
        <v>0</v>
      </c>
      <c r="CC201" s="388">
        <f>+IF($K201="Ongoing",BG201,IF(RIGHT($K201,2)=RIGHT(CC$43,2),SUM($AX201:BG201),0)+IF(RIGHT(CC$43,2)&gt;RIGHT($K201,2),BG201,0))</f>
        <v>0</v>
      </c>
      <c r="CD201" s="1025"/>
      <c r="CE201" s="1282">
        <f>+Q201*KeyAssumptionsPriceControl_FO!AF$15</f>
        <v>0</v>
      </c>
      <c r="CF201" s="387">
        <f>+R201*KeyAssumptionsPriceControl_FO!AG$15</f>
        <v>0</v>
      </c>
      <c r="CG201" s="387">
        <f>+S201*KeyAssumptionsPriceControl_FO!AH$15</f>
        <v>0</v>
      </c>
      <c r="CH201" s="387">
        <f>+T201*KeyAssumptionsPriceControl_FO!AI$15</f>
        <v>0</v>
      </c>
      <c r="CI201" s="1283">
        <f>+U201*KeyAssumptionsPriceControl_FO!AJ$15</f>
        <v>0</v>
      </c>
      <c r="CJ201" s="386">
        <f>+V201*KeyAssumptionsPriceControl_FO!AK$15</f>
        <v>0</v>
      </c>
      <c r="CK201" s="387">
        <f>+W201*KeyAssumptionsPriceControl_FO!AL$15</f>
        <v>0</v>
      </c>
      <c r="CL201" s="1277">
        <f>+X201*KeyAssumptionsPriceControl_FO!AM$15</f>
        <v>0</v>
      </c>
      <c r="CM201" s="1277">
        <f>+Y201*KeyAssumptionsPriceControl_FO!AN$15</f>
        <v>0</v>
      </c>
      <c r="CN201" s="388">
        <f>+Z201*KeyAssumptionsPriceControl_FO!AO$15</f>
        <v>0</v>
      </c>
      <c r="CO201" s="1025"/>
      <c r="CP201" s="1282">
        <f t="shared" ca="1" si="324"/>
        <v>0</v>
      </c>
      <c r="CQ201" s="387">
        <f t="shared" ca="1" si="325"/>
        <v>0</v>
      </c>
      <c r="CR201" s="387">
        <f t="shared" ca="1" si="326"/>
        <v>0</v>
      </c>
      <c r="CS201" s="387">
        <f t="shared" ca="1" si="327"/>
        <v>0</v>
      </c>
      <c r="CT201" s="1283">
        <f t="shared" ca="1" si="328"/>
        <v>0</v>
      </c>
      <c r="CU201" s="386">
        <f t="shared" ca="1" si="329"/>
        <v>0</v>
      </c>
      <c r="CV201" s="387">
        <f t="shared" ca="1" si="330"/>
        <v>0</v>
      </c>
      <c r="CW201" s="1277">
        <f t="shared" ca="1" si="331"/>
        <v>0</v>
      </c>
      <c r="CX201" s="1277">
        <f t="shared" ca="1" si="332"/>
        <v>0</v>
      </c>
      <c r="CY201" s="388">
        <f t="shared" ca="1" si="333"/>
        <v>0</v>
      </c>
      <c r="CZ201" s="347"/>
      <c r="DA201" s="852"/>
      <c r="DB201" s="347"/>
      <c r="DC201" s="1012" t="s">
        <v>722</v>
      </c>
      <c r="DD201" s="841" t="s">
        <v>518</v>
      </c>
      <c r="DE201" s="386">
        <f>+IF($K201="ongoing",CE201,IF(RIGHT($K201,2)=RIGHT(DE$43,2),SUM($CD201:CE201),0)+IF(RIGHT(DE$43,2)&gt;RIGHT($K201,2),CE201,0))</f>
        <v>0</v>
      </c>
      <c r="DF201" s="387">
        <f>+IF($K201="ongoing",CF201,IF(RIGHT($K201,2)=RIGHT(DF$43,2),SUM($CD201:CF201),0)+IF(RIGHT(DF$43,2)&gt;RIGHT($K201,2),CF201,0))</f>
        <v>0</v>
      </c>
      <c r="DG201" s="388">
        <f>+IF($K201="ongoing",CG201,IF(RIGHT($K201,2)=RIGHT(DG$43,2),SUM($CD201:CG201),0)+IF(RIGHT(DG$43,2)&gt;RIGHT($K201,2),CG201,0))</f>
        <v>0</v>
      </c>
      <c r="DH201" s="386">
        <f>+IF($K201="ongoing",CH201,IF(RIGHT($K201,2)=RIGHT(DH$43,2),SUM($CD201:CH201),0)+IF(RIGHT(DH$43,2)&gt;RIGHT($K201,2),CH201,0))</f>
        <v>0</v>
      </c>
      <c r="DI201" s="387">
        <f>+IF($K201="ongoing",CI201,IF(RIGHT($K201,2)=RIGHT(DI$43,2),SUM($CD201:CI201),0)+IF(RIGHT(DI$43,2)&gt;RIGHT($K201,2),CI201,0))</f>
        <v>0</v>
      </c>
      <c r="DJ201" s="387">
        <f>+IF($K201="ongoing",CJ201,IF(RIGHT($K201,2)=RIGHT(DJ$43,2),SUM($CD201:CJ201),0)+IF(RIGHT(DJ$43,2)&gt;RIGHT($K201,2),CJ201,0))</f>
        <v>0</v>
      </c>
      <c r="DK201" s="387">
        <f>+IF($K201="ongoing",CK201,IF(RIGHT($K201,2)=RIGHT(DK$43,2),SUM($CD201:CK201),0)+IF(RIGHT(DK$43,2)&gt;RIGHT($K201,2),CK201,0))</f>
        <v>0</v>
      </c>
      <c r="DL201" s="388">
        <f>+IF($K201="ongoing",CN201,IF(RIGHT($K201,2)=RIGHT(DL$43,2),SUM($CD201:CN201),0)+IF(RIGHT(DL$43,2)&gt;RIGHT($K201,2),CN201,0))</f>
        <v>0</v>
      </c>
      <c r="DM201" s="841"/>
      <c r="DN201" s="386">
        <f t="shared" si="334"/>
        <v>0.5</v>
      </c>
      <c r="DO201" s="387">
        <f t="shared" si="335"/>
        <v>1</v>
      </c>
      <c r="DP201" s="388">
        <f t="shared" si="336"/>
        <v>1</v>
      </c>
      <c r="DQ201" s="386">
        <f t="shared" si="337"/>
        <v>1</v>
      </c>
      <c r="DR201" s="387">
        <f t="shared" si="338"/>
        <v>1</v>
      </c>
      <c r="DS201" s="387">
        <f t="shared" si="339"/>
        <v>1</v>
      </c>
      <c r="DT201" s="387">
        <f t="shared" si="340"/>
        <v>1</v>
      </c>
      <c r="DU201" s="388">
        <f t="shared" si="341"/>
        <v>1</v>
      </c>
      <c r="DW201" s="386">
        <f t="shared" si="342"/>
        <v>0</v>
      </c>
      <c r="DX201" s="387">
        <f t="shared" si="343"/>
        <v>0.5</v>
      </c>
      <c r="DY201" s="388">
        <f t="shared" si="344"/>
        <v>1</v>
      </c>
      <c r="DZ201" s="386">
        <f t="shared" si="345"/>
        <v>1</v>
      </c>
      <c r="EA201" s="387">
        <f t="shared" si="346"/>
        <v>1</v>
      </c>
      <c r="EB201" s="387">
        <f t="shared" si="347"/>
        <v>1</v>
      </c>
      <c r="EC201" s="387">
        <f t="shared" si="348"/>
        <v>1</v>
      </c>
      <c r="ED201" s="388">
        <f t="shared" si="349"/>
        <v>1</v>
      </c>
      <c r="EF201" s="834">
        <f>+IF(DN201=DM201,0,
IF(AND(EF$44&gt;1,DN201=$N201),1-SUM($EE201:EE201),
IF($N201&lt;=1,
IF($N201&gt;0,1/$N201,0),
IF(EF$44=1,0,VDB(1,0,$N201,INT(EF$44-1-1),MIN($N201,INT(EF$44-1-1)+1),$DC201,IF($DD201="No",1,0))/
IF(DM201&gt;=INT($N201),$N201-INT($N201),1)))*
IF(EF$44=1,0,
IF(INT(DN201)=INT(DM201),DN201-DM201,INT(DN201)-DM201))+
IF($N201&lt;=1,
IF($N201&gt;0,1/$N201,0),VDB(1,0,$N201,INT(EF$44-1),MIN($N201,INT(EF$44-1)+1),$DC201,IF($DD201="No",1,0))/
IF(DN201&gt;INT($N201),$N201-INT($N201),1))*
IF(EF$44=1,DN201,
IF(INT(DN201)=INT(DM201),0,DN201-INT(DN201)))))</f>
        <v>0</v>
      </c>
      <c r="EG201" s="835">
        <f>+IF(DO201=DN201,0,
IF(AND(EG$44&gt;1,DO201=$N201),1-SUM($EE201:EF201),
IF($N201&lt;=1,
IF($N201&gt;0,1/$N201,0),
IF(EG$44=1,0,VDB(1,0,$N201,INT(EG$44-1-1),MIN($N201,INT(EG$44-1-1)+1),$DC201,IF($DD201="No",1,0))/
IF(DN201&gt;=INT($N201),$N201-INT($N201),1)))*
IF(EG$44=1,0,
IF(INT(DO201)=INT(DN201),DO201-DN201,INT(DO201)-DN201))+
IF($N201&lt;=1,
IF($N201&gt;0,1/$N201,0),VDB(1,0,$N201,INT(EG$44-1),MIN($N201,INT(EG$44-1)+1),$DC201,IF($DD201="No",1,0))/
IF(DO201&gt;INT($N201),$N201-INT($N201),1))*
IF(EG$44=1,DO201,
IF(INT(DO201)=INT(DN201),0,DO201-INT(DO201)))))</f>
        <v>0</v>
      </c>
      <c r="EH201" s="836">
        <f>+IF(DP201=DO201,0,
IF(AND(EH$44&gt;1,DP201=$N201),1-SUM($EE201:EG201),
IF($N201&lt;=1,
IF($N201&gt;0,1/$N201,0),
IF(EH$44=1,0,VDB(1,0,$N201,INT(EH$44-1-1),MIN($N201,INT(EH$44-1-1)+1),$DC201,IF($DD201="No",1,0))/
IF(DO201&gt;=INT($N201),$N201-INT($N201),1)))*
IF(EH$44=1,0,
IF(INT(DP201)=INT(DO201),DP201-DO201,INT(DP201)-DO201))+
IF($N201&lt;=1,
IF($N201&gt;0,1/$N201,0),VDB(1,0,$N201,INT(EH$44-1),MIN($N201,INT(EH$44-1)+1),$DC201,IF($DD201="No",1,0))/
IF(DP201&gt;INT($N201),$N201-INT($N201),1))*
IF(EH$44=1,DP201,
IF(INT(DP201)=INT(DO201),0,DP201-INT(DP201)))))</f>
        <v>0</v>
      </c>
      <c r="EI201" s="834">
        <f>+IF(DQ201=DP201,0,
IF(AND(EI$44&gt;1,DQ201=$N201),1-SUM($EE201:EH201),
IF($N201&lt;=1,
IF($N201&gt;0,1/$N201,0),
IF(EI$44=1,0,VDB(1,0,$N201,INT(EI$44-1-1),MIN($N201,INT(EI$44-1-1)+1),$DC201,IF($DD201="No",1,0))/
IF(DP201&gt;=INT($N201),$N201-INT($N201),1)))*
IF(EI$44=1,0,
IF(INT(DQ201)=INT(DP201),DQ201-DP201,INT(DQ201)-DP201))+
IF($N201&lt;=1,
IF($N201&gt;0,1/$N201,0),VDB(1,0,$N201,INT(EI$44-1),MIN($N201,INT(EI$44-1)+1),$DC201,IF($DD201="No",1,0))/
IF(DQ201&gt;INT($N201),$N201-INT($N201),1))*
IF(EI$44=1,DQ201,
IF(INT(DQ201)=INT(DP201),0,DQ201-INT(DQ201)))))</f>
        <v>0</v>
      </c>
      <c r="EJ201" s="835">
        <f>+IF(DR201=DQ201,0,
IF(AND(EJ$44&gt;1,DR201=$N201),1-SUM($EE201:EI201),
IF($N201&lt;=1,
IF($N201&gt;0,1/$N201,0),
IF(EJ$44=1,0,VDB(1,0,$N201,INT(EJ$44-1-1),MIN($N201,INT(EJ$44-1-1)+1),$DC201,IF($DD201="No",1,0))/
IF(DQ201&gt;=INT($N201),$N201-INT($N201),1)))*
IF(EJ$44=1,0,
IF(INT(DR201)=INT(DQ201),DR201-DQ201,INT(DR201)-DQ201))+
IF($N201&lt;=1,
IF($N201&gt;0,1/$N201,0),VDB(1,0,$N201,INT(EJ$44-1),MIN($N201,INT(EJ$44-1)+1),$DC201,IF($DD201="No",1,0))/
IF(DR201&gt;INT($N201),$N201-INT($N201),1))*
IF(EJ$44=1,DR201,
IF(INT(DR201)=INT(DQ201),0,DR201-INT(DR201)))))</f>
        <v>0</v>
      </c>
      <c r="EK201" s="835">
        <f>+IF(DS201=DR201,0,
IF(AND(EK$44&gt;1,DS201=$N201),1-SUM($EE201:EJ201),
IF($N201&lt;=1,
IF($N201&gt;0,1/$N201,0),
IF(EK$44=1,0,VDB(1,0,$N201,INT(EK$44-1-1),MIN($N201,INT(EK$44-1-1)+1),$DC201,IF($DD201="No",1,0))/
IF(DR201&gt;=INT($N201),$N201-INT($N201),1)))*
IF(EK$44=1,0,
IF(INT(DS201)=INT(DR201),DS201-DR201,INT(DS201)-DR201))+
IF($N201&lt;=1,
IF($N201&gt;0,1/$N201,0),VDB(1,0,$N201,INT(EK$44-1),MIN($N201,INT(EK$44-1)+1),$DC201,IF($DD201="No",1,0))/
IF(DS201&gt;INT($N201),$N201-INT($N201),1))*
IF(EK$44=1,DS201,
IF(INT(DS201)=INT(DR201),0,DS201-INT(DS201)))))</f>
        <v>0</v>
      </c>
      <c r="EL201" s="835">
        <f>+IF(DT201=DS201,0,
IF(AND(EL$44&gt;1,DT201=$N201),1-SUM($EE201:EK201),
IF($N201&lt;=1,
IF($N201&gt;0,1/$N201,0),
IF(EL$44=1,0,VDB(1,0,$N201,INT(EL$44-1-1),MIN($N201,INT(EL$44-1-1)+1),$DC201,IF($DD201="No",1,0))/
IF(DS201&gt;=INT($N201),$N201-INT($N201),1)))*
IF(EL$44=1,0,
IF(INT(DT201)=INT(DS201),DT201-DS201,INT(DT201)-DS201))+
IF($N201&lt;=1,
IF($N201&gt;0,1/$N201,0),VDB(1,0,$N201,INT(EL$44-1),MIN($N201,INT(EL$44-1)+1),$DC201,IF($DD201="No",1,0))/
IF(DT201&gt;INT($N201),$N201-INT($N201),1))*
IF(EL$44=1,DT201,
IF(INT(DT201)=INT(DS201),0,DT201-INT(DT201)))))</f>
        <v>0</v>
      </c>
      <c r="EM201" s="836">
        <f>+IF(DU201=DT201,0,
IF(AND(EM$44&gt;1,DU201=$N201),1-SUM($EE201:EL201),
IF($N201&lt;=1,
IF($N201&gt;0,1/$N201,0),
IF(EM$44=1,0,VDB(1,0,$N201,INT(EM$44-1-1),MIN($N201,INT(EM$44-1-1)+1),$DC201,IF($DD201="No",1,0))/
IF(DT201&gt;=INT($N201),$N201-INT($N201),1)))*
IF(EM$44=1,0,
IF(INT(DU201)=INT(DT201),DU201-DT201,INT(DU201)-DT201))+
IF($N201&lt;=1,
IF($N201&gt;0,1/$N201,0),VDB(1,0,$N201,INT(EM$44-1),MIN($N201,INT(EM$44-1)+1),$DC201,IF($DD201="No",1,0))/
IF(DU201&gt;INT($N201),$N201-INT($N201),1))*
IF(EM$44=1,DU201,
IF(INT(DU201)=INT(DT201),0,DU201-INT(DU201)))))</f>
        <v>0</v>
      </c>
      <c r="EN201" s="833"/>
      <c r="EO201" s="834">
        <f>+IF(OR(DW201=DV201,EO$44=1),0,
IF(AND(EO$44&gt;1,DW201=$N201),1-SUM($EN201:EN201),
IF($N201&lt;=1,
IF($N201&gt;0,1/$N201,0),
IF(EO$44=2,0,VDB(1,0,$N201,INT(EO$44-2-1),MIN($N201,INT(EO$44-2-1)+1),$DC201,IF($DD201="No",1,0))/
IF(DV201&gt;=INT($N201),$N201-INT($N201),1)))*
IF(EO$44=2,0,
IF(INT(DW201)=INT(DV201),DW201-DV201,INT(DW201)-DV201))+
IF($N201&lt;=1,
IF($N201&gt;0,1/$N201,0),VDB(1,0,$N201,INT(EO$44-2),MIN($N201,INT(EO$44-2)+1),$DC201,IF($DD201="No",1,0))/
IF(DW201&gt;INT($N201),$N201-INT($N201),1))*
IF(EO$44=2,DW201,
IF(INT(DW201)=INT(DV201),0,DW201-INT(DW201)))))</f>
        <v>0</v>
      </c>
      <c r="EP201" s="835">
        <f>+IF(OR(DX201=DW201,EP$44=1),0,
IF(AND(EP$44&gt;1,DX201=$N201),1-SUM($EN201:EO201),
IF($N201&lt;=1,
IF($N201&gt;0,1/$N201,0),
IF(EP$44=2,0,VDB(1,0,$N201,INT(EP$44-2-1),MIN($N201,INT(EP$44-2-1)+1),$DC201,IF($DD201="No",1,0))/
IF(DW201&gt;=INT($N201),$N201-INT($N201),1)))*
IF(EP$44=2,0,
IF(INT(DX201)=INT(DW201),DX201-DW201,INT(DX201)-DW201))+
IF($N201&lt;=1,
IF($N201&gt;0,1/$N201,0),VDB(1,0,$N201,INT(EP$44-2),MIN($N201,INT(EP$44-2)+1),$DC201,IF($DD201="No",1,0))/
IF(DX201&gt;INT($N201),$N201-INT($N201),1))*
IF(EP$44=2,DX201,
IF(INT(DX201)=INT(DW201),0,DX201-INT(DX201)))))</f>
        <v>0</v>
      </c>
      <c r="EQ201" s="836">
        <f>+IF(OR(DY201=DX201,EQ$44=1),0,
IF(AND(EQ$44&gt;1,DY201=$N201),1-SUM($EN201:EP201),
IF($N201&lt;=1,
IF($N201&gt;0,1/$N201,0),
IF(EQ$44=2,0,VDB(1,0,$N201,INT(EQ$44-2-1),MIN($N201,INT(EQ$44-2-1)+1),$DC201,IF($DD201="No",1,0))/
IF(DX201&gt;=INT($N201),$N201-INT($N201),1)))*
IF(EQ$44=2,0,
IF(INT(DY201)=INT(DX201),DY201-DX201,INT(DY201)-DX201))+
IF($N201&lt;=1,
IF($N201&gt;0,1/$N201,0),VDB(1,0,$N201,INT(EQ$44-2),MIN($N201,INT(EQ$44-2)+1),$DC201,IF($DD201="No",1,0))/
IF(DY201&gt;INT($N201),$N201-INT($N201),1))*
IF(EQ$44=2,DY201,
IF(INT(DY201)=INT(DX201),0,DY201-INT(DY201)))))</f>
        <v>0</v>
      </c>
      <c r="ER201" s="834">
        <f>+IF(OR(DZ201=DY201,ER$44=1),0,
IF(AND(ER$44&gt;1,DZ201=$N201),1-SUM($EN201:EQ201),
IF($N201&lt;=1,
IF($N201&gt;0,1/$N201,0),
IF(ER$44=2,0,VDB(1,0,$N201,INT(ER$44-2-1),MIN($N201,INT(ER$44-2-1)+1),$DC201,IF($DD201="No",1,0))/
IF(DY201&gt;=INT($N201),$N201-INT($N201),1)))*
IF(ER$44=2,0,
IF(INT(DZ201)=INT(DY201),DZ201-DY201,INT(DZ201)-DY201))+
IF($N201&lt;=1,
IF($N201&gt;0,1/$N201,0),VDB(1,0,$N201,INT(ER$44-2),MIN($N201,INT(ER$44-2)+1),$DC201,IF($DD201="No",1,0))/
IF(DZ201&gt;INT($N201),$N201-INT($N201),1))*
IF(ER$44=2,DZ201,
IF(INT(DZ201)=INT(DY201),0,DZ201-INT(DZ201)))))</f>
        <v>0</v>
      </c>
      <c r="ES201" s="835">
        <f>+IF(OR(EA201=DZ201,ES$44=1),0,
IF(AND(ES$44&gt;1,EA201=$N201),1-SUM($EN201:ER201),
IF($N201&lt;=1,
IF($N201&gt;0,1/$N201,0),
IF(ES$44=2,0,VDB(1,0,$N201,INT(ES$44-2-1),MIN($N201,INT(ES$44-2-1)+1),$DC201,IF($DD201="No",1,0))/
IF(DZ201&gt;=INT($N201),$N201-INT($N201),1)))*
IF(ES$44=2,0,
IF(INT(EA201)=INT(DZ201),EA201-DZ201,INT(EA201)-DZ201))+
IF($N201&lt;=1,
IF($N201&gt;0,1/$N201,0),VDB(1,0,$N201,INT(ES$44-2),MIN($N201,INT(ES$44-2)+1),$DC201,IF($DD201="No",1,0))/
IF(EA201&gt;INT($N201),$N201-INT($N201),1))*
IF(ES$44=2,EA201,
IF(INT(EA201)=INT(DZ201),0,EA201-INT(EA201)))))</f>
        <v>0</v>
      </c>
      <c r="ET201" s="835">
        <f>+IF(OR(EB201=EA201,ET$44=1),0,
IF(AND(ET$44&gt;1,EB201=$N201),1-SUM($EN201:ES201),
IF($N201&lt;=1,
IF($N201&gt;0,1/$N201,0),
IF(ET$44=2,0,VDB(1,0,$N201,INT(ET$44-2-1),MIN($N201,INT(ET$44-2-1)+1),$DC201,IF($DD201="No",1,0))/
IF(EA201&gt;=INT($N201),$N201-INT($N201),1)))*
IF(ET$44=2,0,
IF(INT(EB201)=INT(EA201),EB201-EA201,INT(EB201)-EA201))+
IF($N201&lt;=1,
IF($N201&gt;0,1/$N201,0),VDB(1,0,$N201,INT(ET$44-2),MIN($N201,INT(ET$44-2)+1),$DC201,IF($DD201="No",1,0))/
IF(EB201&gt;INT($N201),$N201-INT($N201),1))*
IF(ET$44=2,EB201,
IF(INT(EB201)=INT(EA201),0,EB201-INT(EB201)))))</f>
        <v>0</v>
      </c>
      <c r="EU201" s="835">
        <f>+IF(OR(EC201=EB201,EU$44=1),0,
IF(AND(EU$44&gt;1,EC201=$N201),1-SUM($EN201:ET201),
IF($N201&lt;=1,
IF($N201&gt;0,1/$N201,0),
IF(EU$44=2,0,VDB(1,0,$N201,INT(EU$44-2-1),MIN($N201,INT(EU$44-2-1)+1),$DC201,IF($DD201="No",1,0))/
IF(EB201&gt;=INT($N201),$N201-INT($N201),1)))*
IF(EU$44=2,0,
IF(INT(EC201)=INT(EB201),EC201-EB201,INT(EC201)-EB201))+
IF($N201&lt;=1,
IF($N201&gt;0,1/$N201,0),VDB(1,0,$N201,INT(EU$44-2),MIN($N201,INT(EU$44-2)+1),$DC201,IF($DD201="No",1,0))/
IF(EC201&gt;INT($N201),$N201-INT($N201),1))*
IF(EU$44=2,EC201,
IF(INT(EC201)=INT(EB201),0,EC201-INT(EC201)))))</f>
        <v>0</v>
      </c>
      <c r="EV201" s="836">
        <f>+IF(OR(ED201=EC201,EV$44=1),0,
IF(AND(EV$44&gt;1,ED201=$N201),1-SUM($EN201:EU201),
IF($N201&lt;=1,
IF($N201&gt;0,1/$N201,0),
IF(EV$44=2,0,VDB(1,0,$N201,INT(EV$44-2-1),MIN($N201,INT(EV$44-2-1)+1),$DC201,IF($DD201="No",1,0))/
IF(EC201&gt;=INT($N201),$N201-INT($N201),1)))*
IF(EV$44=2,0,
IF(INT(ED201)=INT(EC201),ED201-EC201,INT(ED201)-EC201))+
IF($N201&lt;=1,
IF($N201&gt;0,1/$N201,0),VDB(1,0,$N201,INT(EV$44-2),MIN($N201,INT(EV$44-2)+1),$DC201,IF($DD201="No",1,0))/
IF(ED201&gt;INT($N201),$N201-INT($N201),1))*
IF(EV$44=2,ED201,
IF(INT(ED201)=INT(EC201),0,ED201-INT(ED201)))))</f>
        <v>0</v>
      </c>
      <c r="EW201" s="833"/>
      <c r="EX201" s="834">
        <f t="shared" ca="1" si="360"/>
        <v>0</v>
      </c>
      <c r="EY201" s="835">
        <f t="shared" ca="1" si="360"/>
        <v>0</v>
      </c>
      <c r="EZ201" s="836">
        <f t="shared" ca="1" si="360"/>
        <v>0</v>
      </c>
      <c r="FA201" s="834">
        <f t="shared" ca="1" si="360"/>
        <v>0</v>
      </c>
      <c r="FB201" s="835">
        <f t="shared" ca="1" si="360"/>
        <v>0</v>
      </c>
      <c r="FC201" s="835">
        <f t="shared" ca="1" si="360"/>
        <v>0</v>
      </c>
      <c r="FD201" s="835">
        <f t="shared" ca="1" si="360"/>
        <v>0</v>
      </c>
      <c r="FE201" s="836">
        <f t="shared" ca="1" si="360"/>
        <v>0</v>
      </c>
      <c r="FG201" s="386">
        <f t="shared" ca="1" si="351"/>
        <v>0</v>
      </c>
      <c r="FH201" s="387">
        <f t="shared" ca="1" si="352"/>
        <v>0</v>
      </c>
      <c r="FI201" s="388">
        <f t="shared" ca="1" si="353"/>
        <v>0</v>
      </c>
      <c r="FJ201" s="386">
        <f t="shared" ca="1" si="354"/>
        <v>0</v>
      </c>
      <c r="FK201" s="387">
        <f t="shared" ca="1" si="355"/>
        <v>0</v>
      </c>
      <c r="FL201" s="387">
        <f t="shared" ca="1" si="356"/>
        <v>0</v>
      </c>
      <c r="FM201" s="387">
        <f t="shared" ca="1" si="357"/>
        <v>0</v>
      </c>
      <c r="FN201" s="388">
        <f t="shared" ca="1" si="358"/>
        <v>0</v>
      </c>
      <c r="FR201" s="116"/>
    </row>
    <row r="202" spans="2:174">
      <c r="B202" s="1410">
        <f t="shared" si="359"/>
        <v>156</v>
      </c>
      <c r="C202" s="400"/>
      <c r="D202" s="410"/>
      <c r="E202" s="402"/>
      <c r="F202" s="402"/>
      <c r="G202" s="400"/>
      <c r="H202" s="2088"/>
      <c r="I202" s="2089"/>
      <c r="J202" s="411"/>
      <c r="K202" s="403"/>
      <c r="L202" s="403"/>
      <c r="M202" s="403"/>
      <c r="N202" s="403"/>
      <c r="O202" s="347"/>
      <c r="P202" s="347"/>
      <c r="Q202" s="1021"/>
      <c r="R202" s="1022"/>
      <c r="S202" s="1022"/>
      <c r="T202" s="1022"/>
      <c r="U202" s="1023"/>
      <c r="V202" s="1021"/>
      <c r="W202" s="1022"/>
      <c r="X202" s="1022"/>
      <c r="Y202" s="1022"/>
      <c r="Z202" s="1023"/>
      <c r="AA202" s="1024"/>
      <c r="AB202" s="1021"/>
      <c r="AC202" s="1022"/>
      <c r="AD202" s="1022"/>
      <c r="AE202" s="1022"/>
      <c r="AF202" s="1023"/>
      <c r="AG202" s="1021"/>
      <c r="AH202" s="1022"/>
      <c r="AI202" s="1022"/>
      <c r="AJ202" s="1022"/>
      <c r="AK202" s="1023"/>
      <c r="AL202" s="1024"/>
      <c r="AM202" s="1021"/>
      <c r="AN202" s="1022"/>
      <c r="AO202" s="1022"/>
      <c r="AP202" s="1022"/>
      <c r="AQ202" s="1023"/>
      <c r="AR202" s="1021"/>
      <c r="AS202" s="1022"/>
      <c r="AT202" s="1022"/>
      <c r="AU202" s="1022"/>
      <c r="AV202" s="1023"/>
      <c r="AW202" s="1025"/>
      <c r="AX202" s="1282">
        <f t="shared" si="304"/>
        <v>0</v>
      </c>
      <c r="AY202" s="387">
        <f t="shared" si="305"/>
        <v>0</v>
      </c>
      <c r="AZ202" s="387">
        <f t="shared" si="306"/>
        <v>0</v>
      </c>
      <c r="BA202" s="387">
        <f t="shared" si="307"/>
        <v>0</v>
      </c>
      <c r="BB202" s="1283">
        <f t="shared" si="308"/>
        <v>0</v>
      </c>
      <c r="BC202" s="386">
        <f t="shared" si="309"/>
        <v>0</v>
      </c>
      <c r="BD202" s="387">
        <f t="shared" si="310"/>
        <v>0</v>
      </c>
      <c r="BE202" s="1277">
        <f t="shared" si="311"/>
        <v>0</v>
      </c>
      <c r="BF202" s="1277">
        <f t="shared" si="312"/>
        <v>0</v>
      </c>
      <c r="BG202" s="388">
        <f t="shared" si="313"/>
        <v>0</v>
      </c>
      <c r="BH202" s="1025"/>
      <c r="BI202" s="1282">
        <f t="shared" ca="1" si="314"/>
        <v>0</v>
      </c>
      <c r="BJ202" s="387">
        <f t="shared" ca="1" si="315"/>
        <v>0</v>
      </c>
      <c r="BK202" s="387">
        <f t="shared" ca="1" si="316"/>
        <v>0</v>
      </c>
      <c r="BL202" s="387">
        <f t="shared" ca="1" si="317"/>
        <v>0</v>
      </c>
      <c r="BM202" s="1283">
        <f t="shared" ca="1" si="318"/>
        <v>0</v>
      </c>
      <c r="BN202" s="386">
        <f t="shared" ca="1" si="319"/>
        <v>0</v>
      </c>
      <c r="BO202" s="387">
        <f t="shared" ca="1" si="320"/>
        <v>0</v>
      </c>
      <c r="BP202" s="1277">
        <f t="shared" ca="1" si="321"/>
        <v>0</v>
      </c>
      <c r="BQ202" s="1277">
        <f t="shared" ca="1" si="322"/>
        <v>0</v>
      </c>
      <c r="BR202" s="388">
        <f t="shared" ca="1" si="323"/>
        <v>0</v>
      </c>
      <c r="BS202" s="1025"/>
      <c r="BT202" s="1282">
        <f>+IF($K202="Ongoing",AX202,IF(RIGHT($K202,2)=RIGHT(BT$43,2),SUM($AX202:AX202),0)+IF(RIGHT(BT$43,2)&gt;RIGHT($K202,2),AX202,0))</f>
        <v>0</v>
      </c>
      <c r="BU202" s="387">
        <f>+IF($K202="Ongoing",AY202,IF(RIGHT($K202,2)=RIGHT(BU$43,2),SUM($AX202:AY202),0)+IF(RIGHT(BU$43,2)&gt;RIGHT($K202,2),AY202,0))</f>
        <v>0</v>
      </c>
      <c r="BV202" s="387">
        <f>+IF($K202="Ongoing",AZ202,IF(RIGHT($K202,2)=RIGHT(BV$43,2),SUM($AX202:AZ202),0)+IF(RIGHT(BV$43,2)&gt;RIGHT($K202,2),AZ202,0))</f>
        <v>0</v>
      </c>
      <c r="BW202" s="387">
        <f>+IF($K202="Ongoing",BA202,IF(RIGHT($K202,2)=RIGHT(BW$43,2),SUM($AX202:BA202),0)+IF(RIGHT(BW$43,2)&gt;RIGHT($K202,2),BA202,0))</f>
        <v>0</v>
      </c>
      <c r="BX202" s="1283">
        <f>+IF($K202="Ongoing",BB202,IF(RIGHT($K202,2)=RIGHT(BX$43,2),SUM($AX202:BB202),0)+IF(RIGHT(BX$43,2)&gt;RIGHT($K202,2),BB202,0))</f>
        <v>0</v>
      </c>
      <c r="BY202" s="386">
        <f>+IF($K202="Ongoing",BC202,IF(RIGHT($K202,2)=RIGHT(BY$43,2),SUM($AX202:BC202),0)+IF(RIGHT(BY$43,2)&gt;RIGHT($K202,2),BC202,0))</f>
        <v>0</v>
      </c>
      <c r="BZ202" s="387">
        <f>+IF($K202="Ongoing",BD202,IF(RIGHT($K202,2)=RIGHT(BZ$43,2),SUM($AX202:BD202),0)+IF(RIGHT(BZ$43,2)&gt;RIGHT($K202,2),BD202,0))</f>
        <v>0</v>
      </c>
      <c r="CA202" s="1277">
        <f>+IF($K202="Ongoing",BE202,IF(RIGHT($K202,2)=RIGHT(CA$43,2),SUM($AX202:BE202),0)+IF(RIGHT(CA$43,2)&gt;RIGHT($K202,2),BE202,0))</f>
        <v>0</v>
      </c>
      <c r="CB202" s="1277">
        <f>+IF($K202="Ongoing",BF202,IF(RIGHT($K202,2)=RIGHT(CB$43,2),SUM($AX202:BF202),0)+IF(RIGHT(CB$43,2)&gt;RIGHT($K202,2),BF202,0))</f>
        <v>0</v>
      </c>
      <c r="CC202" s="388">
        <f>+IF($K202="Ongoing",BG202,IF(RIGHT($K202,2)=RIGHT(CC$43,2),SUM($AX202:BG202),0)+IF(RIGHT(CC$43,2)&gt;RIGHT($K202,2),BG202,0))</f>
        <v>0</v>
      </c>
      <c r="CD202" s="1025"/>
      <c r="CE202" s="1282">
        <f>+Q202*KeyAssumptionsPriceControl_FO!AF$15</f>
        <v>0</v>
      </c>
      <c r="CF202" s="387">
        <f>+R202*KeyAssumptionsPriceControl_FO!AG$15</f>
        <v>0</v>
      </c>
      <c r="CG202" s="387">
        <f>+S202*KeyAssumptionsPriceControl_FO!AH$15</f>
        <v>0</v>
      </c>
      <c r="CH202" s="387">
        <f>+T202*KeyAssumptionsPriceControl_FO!AI$15</f>
        <v>0</v>
      </c>
      <c r="CI202" s="1283">
        <f>+U202*KeyAssumptionsPriceControl_FO!AJ$15</f>
        <v>0</v>
      </c>
      <c r="CJ202" s="386">
        <f>+V202*KeyAssumptionsPriceControl_FO!AK$15</f>
        <v>0</v>
      </c>
      <c r="CK202" s="387">
        <f>+W202*KeyAssumptionsPriceControl_FO!AL$15</f>
        <v>0</v>
      </c>
      <c r="CL202" s="1277">
        <f>+X202*KeyAssumptionsPriceControl_FO!AM$15</f>
        <v>0</v>
      </c>
      <c r="CM202" s="1277">
        <f>+Y202*KeyAssumptionsPriceControl_FO!AN$15</f>
        <v>0</v>
      </c>
      <c r="CN202" s="388">
        <f>+Z202*KeyAssumptionsPriceControl_FO!AO$15</f>
        <v>0</v>
      </c>
      <c r="CO202" s="1025"/>
      <c r="CP202" s="1282">
        <f t="shared" ca="1" si="324"/>
        <v>0</v>
      </c>
      <c r="CQ202" s="387">
        <f t="shared" ca="1" si="325"/>
        <v>0</v>
      </c>
      <c r="CR202" s="387">
        <f t="shared" ca="1" si="326"/>
        <v>0</v>
      </c>
      <c r="CS202" s="387">
        <f t="shared" ca="1" si="327"/>
        <v>0</v>
      </c>
      <c r="CT202" s="1283">
        <f t="shared" ca="1" si="328"/>
        <v>0</v>
      </c>
      <c r="CU202" s="386">
        <f t="shared" ca="1" si="329"/>
        <v>0</v>
      </c>
      <c r="CV202" s="387">
        <f t="shared" ca="1" si="330"/>
        <v>0</v>
      </c>
      <c r="CW202" s="1277">
        <f t="shared" ca="1" si="331"/>
        <v>0</v>
      </c>
      <c r="CX202" s="1277">
        <f t="shared" ca="1" si="332"/>
        <v>0</v>
      </c>
      <c r="CY202" s="388">
        <f t="shared" ca="1" si="333"/>
        <v>0</v>
      </c>
      <c r="CZ202" s="347"/>
      <c r="DA202" s="852"/>
      <c r="DB202" s="347"/>
      <c r="DC202" s="1012" t="s">
        <v>723</v>
      </c>
      <c r="DD202" s="841" t="s">
        <v>518</v>
      </c>
      <c r="DE202" s="386">
        <f>+IF($K202="ongoing",CE202,IF(RIGHT($K202,2)=RIGHT(DE$43,2),SUM($CD202:CE202),0)+IF(RIGHT(DE$43,2)&gt;RIGHT($K202,2),CE202,0))</f>
        <v>0</v>
      </c>
      <c r="DF202" s="387">
        <f>+IF($K202="ongoing",CF202,IF(RIGHT($K202,2)=RIGHT(DF$43,2),SUM($CD202:CF202),0)+IF(RIGHT(DF$43,2)&gt;RIGHT($K202,2),CF202,0))</f>
        <v>0</v>
      </c>
      <c r="DG202" s="388">
        <f>+IF($K202="ongoing",CG202,IF(RIGHT($K202,2)=RIGHT(DG$43,2),SUM($CD202:CG202),0)+IF(RIGHT(DG$43,2)&gt;RIGHT($K202,2),CG202,0))</f>
        <v>0</v>
      </c>
      <c r="DH202" s="386">
        <f>+IF($K202="ongoing",CH202,IF(RIGHT($K202,2)=RIGHT(DH$43,2),SUM($CD202:CH202),0)+IF(RIGHT(DH$43,2)&gt;RIGHT($K202,2),CH202,0))</f>
        <v>0</v>
      </c>
      <c r="DI202" s="387">
        <f>+IF($K202="ongoing",CI202,IF(RIGHT($K202,2)=RIGHT(DI$43,2),SUM($CD202:CI202),0)+IF(RIGHT(DI$43,2)&gt;RIGHT($K202,2),CI202,0))</f>
        <v>0</v>
      </c>
      <c r="DJ202" s="387">
        <f>+IF($K202="ongoing",CJ202,IF(RIGHT($K202,2)=RIGHT(DJ$43,2),SUM($CD202:CJ202),0)+IF(RIGHT(DJ$43,2)&gt;RIGHT($K202,2),CJ202,0))</f>
        <v>0</v>
      </c>
      <c r="DK202" s="387">
        <f>+IF($K202="ongoing",CK202,IF(RIGHT($K202,2)=RIGHT(DK$43,2),SUM($CD202:CK202),0)+IF(RIGHT(DK$43,2)&gt;RIGHT($K202,2),CK202,0))</f>
        <v>0</v>
      </c>
      <c r="DL202" s="388">
        <f>+IF($K202="ongoing",CN202,IF(RIGHT($K202,2)=RIGHT(DL$43,2),SUM($CD202:CN202),0)+IF(RIGHT(DL$43,2)&gt;RIGHT($K202,2),CN202,0))</f>
        <v>0</v>
      </c>
      <c r="DM202" s="841"/>
      <c r="DN202" s="386">
        <f t="shared" si="334"/>
        <v>0.5</v>
      </c>
      <c r="DO202" s="387">
        <f t="shared" si="335"/>
        <v>1</v>
      </c>
      <c r="DP202" s="388">
        <f t="shared" si="336"/>
        <v>1</v>
      </c>
      <c r="DQ202" s="386">
        <f t="shared" si="337"/>
        <v>1</v>
      </c>
      <c r="DR202" s="387">
        <f t="shared" si="338"/>
        <v>1</v>
      </c>
      <c r="DS202" s="387">
        <f t="shared" si="339"/>
        <v>1</v>
      </c>
      <c r="DT202" s="387">
        <f t="shared" si="340"/>
        <v>1</v>
      </c>
      <c r="DU202" s="388">
        <f t="shared" si="341"/>
        <v>1</v>
      </c>
      <c r="DW202" s="386">
        <f t="shared" si="342"/>
        <v>0</v>
      </c>
      <c r="DX202" s="387">
        <f t="shared" si="343"/>
        <v>0.5</v>
      </c>
      <c r="DY202" s="388">
        <f t="shared" si="344"/>
        <v>1</v>
      </c>
      <c r="DZ202" s="386">
        <f t="shared" si="345"/>
        <v>1</v>
      </c>
      <c r="EA202" s="387">
        <f t="shared" si="346"/>
        <v>1</v>
      </c>
      <c r="EB202" s="387">
        <f t="shared" si="347"/>
        <v>1</v>
      </c>
      <c r="EC202" s="387">
        <f t="shared" si="348"/>
        <v>1</v>
      </c>
      <c r="ED202" s="388">
        <f t="shared" si="349"/>
        <v>1</v>
      </c>
      <c r="EF202" s="834">
        <f>+IF(DN202=DM202,0,
IF(AND(EF$44&gt;1,DN202=$N202),1-SUM($EE202:EE202),
IF($N202&lt;=1,
IF($N202&gt;0,1/$N202,0),
IF(EF$44=1,0,VDB(1,0,$N202,INT(EF$44-1-1),MIN($N202,INT(EF$44-1-1)+1),$DC202,IF($DD202="No",1,0))/
IF(DM202&gt;=INT($N202),$N202-INT($N202),1)))*
IF(EF$44=1,0,
IF(INT(DN202)=INT(DM202),DN202-DM202,INT(DN202)-DM202))+
IF($N202&lt;=1,
IF($N202&gt;0,1/$N202,0),VDB(1,0,$N202,INT(EF$44-1),MIN($N202,INT(EF$44-1)+1),$DC202,IF($DD202="No",1,0))/
IF(DN202&gt;INT($N202),$N202-INT($N202),1))*
IF(EF$44=1,DN202,
IF(INT(DN202)=INT(DM202),0,DN202-INT(DN202)))))</f>
        <v>0</v>
      </c>
      <c r="EG202" s="835">
        <f>+IF(DO202=DN202,0,
IF(AND(EG$44&gt;1,DO202=$N202),1-SUM($EE202:EF202),
IF($N202&lt;=1,
IF($N202&gt;0,1/$N202,0),
IF(EG$44=1,0,VDB(1,0,$N202,INT(EG$44-1-1),MIN($N202,INT(EG$44-1-1)+1),$DC202,IF($DD202="No",1,0))/
IF(DN202&gt;=INT($N202),$N202-INT($N202),1)))*
IF(EG$44=1,0,
IF(INT(DO202)=INT(DN202),DO202-DN202,INT(DO202)-DN202))+
IF($N202&lt;=1,
IF($N202&gt;0,1/$N202,0),VDB(1,0,$N202,INT(EG$44-1),MIN($N202,INT(EG$44-1)+1),$DC202,IF($DD202="No",1,0))/
IF(DO202&gt;INT($N202),$N202-INT($N202),1))*
IF(EG$44=1,DO202,
IF(INT(DO202)=INT(DN202),0,DO202-INT(DO202)))))</f>
        <v>0</v>
      </c>
      <c r="EH202" s="836">
        <f>+IF(DP202=DO202,0,
IF(AND(EH$44&gt;1,DP202=$N202),1-SUM($EE202:EG202),
IF($N202&lt;=1,
IF($N202&gt;0,1/$N202,0),
IF(EH$44=1,0,VDB(1,0,$N202,INT(EH$44-1-1),MIN($N202,INT(EH$44-1-1)+1),$DC202,IF($DD202="No",1,0))/
IF(DO202&gt;=INT($N202),$N202-INT($N202),1)))*
IF(EH$44=1,0,
IF(INT(DP202)=INT(DO202),DP202-DO202,INT(DP202)-DO202))+
IF($N202&lt;=1,
IF($N202&gt;0,1/$N202,0),VDB(1,0,$N202,INT(EH$44-1),MIN($N202,INT(EH$44-1)+1),$DC202,IF($DD202="No",1,0))/
IF(DP202&gt;INT($N202),$N202-INT($N202),1))*
IF(EH$44=1,DP202,
IF(INT(DP202)=INT(DO202),0,DP202-INT(DP202)))))</f>
        <v>0</v>
      </c>
      <c r="EI202" s="834">
        <f>+IF(DQ202=DP202,0,
IF(AND(EI$44&gt;1,DQ202=$N202),1-SUM($EE202:EH202),
IF($N202&lt;=1,
IF($N202&gt;0,1/$N202,0),
IF(EI$44=1,0,VDB(1,0,$N202,INT(EI$44-1-1),MIN($N202,INT(EI$44-1-1)+1),$DC202,IF($DD202="No",1,0))/
IF(DP202&gt;=INT($N202),$N202-INT($N202),1)))*
IF(EI$44=1,0,
IF(INT(DQ202)=INT(DP202),DQ202-DP202,INT(DQ202)-DP202))+
IF($N202&lt;=1,
IF($N202&gt;0,1/$N202,0),VDB(1,0,$N202,INT(EI$44-1),MIN($N202,INT(EI$44-1)+1),$DC202,IF($DD202="No",1,0))/
IF(DQ202&gt;INT($N202),$N202-INT($N202),1))*
IF(EI$44=1,DQ202,
IF(INT(DQ202)=INT(DP202),0,DQ202-INT(DQ202)))))</f>
        <v>0</v>
      </c>
      <c r="EJ202" s="835">
        <f>+IF(DR202=DQ202,0,
IF(AND(EJ$44&gt;1,DR202=$N202),1-SUM($EE202:EI202),
IF($N202&lt;=1,
IF($N202&gt;0,1/$N202,0),
IF(EJ$44=1,0,VDB(1,0,$N202,INT(EJ$44-1-1),MIN($N202,INT(EJ$44-1-1)+1),$DC202,IF($DD202="No",1,0))/
IF(DQ202&gt;=INT($N202),$N202-INT($N202),1)))*
IF(EJ$44=1,0,
IF(INT(DR202)=INT(DQ202),DR202-DQ202,INT(DR202)-DQ202))+
IF($N202&lt;=1,
IF($N202&gt;0,1/$N202,0),VDB(1,0,$N202,INT(EJ$44-1),MIN($N202,INT(EJ$44-1)+1),$DC202,IF($DD202="No",1,0))/
IF(DR202&gt;INT($N202),$N202-INT($N202),1))*
IF(EJ$44=1,DR202,
IF(INT(DR202)=INT(DQ202),0,DR202-INT(DR202)))))</f>
        <v>0</v>
      </c>
      <c r="EK202" s="835">
        <f>+IF(DS202=DR202,0,
IF(AND(EK$44&gt;1,DS202=$N202),1-SUM($EE202:EJ202),
IF($N202&lt;=1,
IF($N202&gt;0,1/$N202,0),
IF(EK$44=1,0,VDB(1,0,$N202,INT(EK$44-1-1),MIN($N202,INT(EK$44-1-1)+1),$DC202,IF($DD202="No",1,0))/
IF(DR202&gt;=INT($N202),$N202-INT($N202),1)))*
IF(EK$44=1,0,
IF(INT(DS202)=INT(DR202),DS202-DR202,INT(DS202)-DR202))+
IF($N202&lt;=1,
IF($N202&gt;0,1/$N202,0),VDB(1,0,$N202,INT(EK$44-1),MIN($N202,INT(EK$44-1)+1),$DC202,IF($DD202="No",1,0))/
IF(DS202&gt;INT($N202),$N202-INT($N202),1))*
IF(EK$44=1,DS202,
IF(INT(DS202)=INT(DR202),0,DS202-INT(DS202)))))</f>
        <v>0</v>
      </c>
      <c r="EL202" s="835">
        <f>+IF(DT202=DS202,0,
IF(AND(EL$44&gt;1,DT202=$N202),1-SUM($EE202:EK202),
IF($N202&lt;=1,
IF($N202&gt;0,1/$N202,0),
IF(EL$44=1,0,VDB(1,0,$N202,INT(EL$44-1-1),MIN($N202,INT(EL$44-1-1)+1),$DC202,IF($DD202="No",1,0))/
IF(DS202&gt;=INT($N202),$N202-INT($N202),1)))*
IF(EL$44=1,0,
IF(INT(DT202)=INT(DS202),DT202-DS202,INT(DT202)-DS202))+
IF($N202&lt;=1,
IF($N202&gt;0,1/$N202,0),VDB(1,0,$N202,INT(EL$44-1),MIN($N202,INT(EL$44-1)+1),$DC202,IF($DD202="No",1,0))/
IF(DT202&gt;INT($N202),$N202-INT($N202),1))*
IF(EL$44=1,DT202,
IF(INT(DT202)=INT(DS202),0,DT202-INT(DT202)))))</f>
        <v>0</v>
      </c>
      <c r="EM202" s="836">
        <f>+IF(DU202=DT202,0,
IF(AND(EM$44&gt;1,DU202=$N202),1-SUM($EE202:EL202),
IF($N202&lt;=1,
IF($N202&gt;0,1/$N202,0),
IF(EM$44=1,0,VDB(1,0,$N202,INT(EM$44-1-1),MIN($N202,INT(EM$44-1-1)+1),$DC202,IF($DD202="No",1,0))/
IF(DT202&gt;=INT($N202),$N202-INT($N202),1)))*
IF(EM$44=1,0,
IF(INT(DU202)=INT(DT202),DU202-DT202,INT(DU202)-DT202))+
IF($N202&lt;=1,
IF($N202&gt;0,1/$N202,0),VDB(1,0,$N202,INT(EM$44-1),MIN($N202,INT(EM$44-1)+1),$DC202,IF($DD202="No",1,0))/
IF(DU202&gt;INT($N202),$N202-INT($N202),1))*
IF(EM$44=1,DU202,
IF(INT(DU202)=INT(DT202),0,DU202-INT(DU202)))))</f>
        <v>0</v>
      </c>
      <c r="EN202" s="833"/>
      <c r="EO202" s="834">
        <f>+IF(OR(DW202=DV202,EO$44=1),0,
IF(AND(EO$44&gt;1,DW202=$N202),1-SUM($EN202:EN202),
IF($N202&lt;=1,
IF($N202&gt;0,1/$N202,0),
IF(EO$44=2,0,VDB(1,0,$N202,INT(EO$44-2-1),MIN($N202,INT(EO$44-2-1)+1),$DC202,IF($DD202="No",1,0))/
IF(DV202&gt;=INT($N202),$N202-INT($N202),1)))*
IF(EO$44=2,0,
IF(INT(DW202)=INT(DV202),DW202-DV202,INT(DW202)-DV202))+
IF($N202&lt;=1,
IF($N202&gt;0,1/$N202,0),VDB(1,0,$N202,INT(EO$44-2),MIN($N202,INT(EO$44-2)+1),$DC202,IF($DD202="No",1,0))/
IF(DW202&gt;INT($N202),$N202-INT($N202),1))*
IF(EO$44=2,DW202,
IF(INT(DW202)=INT(DV202),0,DW202-INT(DW202)))))</f>
        <v>0</v>
      </c>
      <c r="EP202" s="835">
        <f>+IF(OR(DX202=DW202,EP$44=1),0,
IF(AND(EP$44&gt;1,DX202=$N202),1-SUM($EN202:EO202),
IF($N202&lt;=1,
IF($N202&gt;0,1/$N202,0),
IF(EP$44=2,0,VDB(1,0,$N202,INT(EP$44-2-1),MIN($N202,INT(EP$44-2-1)+1),$DC202,IF($DD202="No",1,0))/
IF(DW202&gt;=INT($N202),$N202-INT($N202),1)))*
IF(EP$44=2,0,
IF(INT(DX202)=INT(DW202),DX202-DW202,INT(DX202)-DW202))+
IF($N202&lt;=1,
IF($N202&gt;0,1/$N202,0),VDB(1,0,$N202,INT(EP$44-2),MIN($N202,INT(EP$44-2)+1),$DC202,IF($DD202="No",1,0))/
IF(DX202&gt;INT($N202),$N202-INT($N202),1))*
IF(EP$44=2,DX202,
IF(INT(DX202)=INT(DW202),0,DX202-INT(DX202)))))</f>
        <v>0</v>
      </c>
      <c r="EQ202" s="836">
        <f>+IF(OR(DY202=DX202,EQ$44=1),0,
IF(AND(EQ$44&gt;1,DY202=$N202),1-SUM($EN202:EP202),
IF($N202&lt;=1,
IF($N202&gt;0,1/$N202,0),
IF(EQ$44=2,0,VDB(1,0,$N202,INT(EQ$44-2-1),MIN($N202,INT(EQ$44-2-1)+1),$DC202,IF($DD202="No",1,0))/
IF(DX202&gt;=INT($N202),$N202-INT($N202),1)))*
IF(EQ$44=2,0,
IF(INT(DY202)=INT(DX202),DY202-DX202,INT(DY202)-DX202))+
IF($N202&lt;=1,
IF($N202&gt;0,1/$N202,0),VDB(1,0,$N202,INT(EQ$44-2),MIN($N202,INT(EQ$44-2)+1),$DC202,IF($DD202="No",1,0))/
IF(DY202&gt;INT($N202),$N202-INT($N202),1))*
IF(EQ$44=2,DY202,
IF(INT(DY202)=INT(DX202),0,DY202-INT(DY202)))))</f>
        <v>0</v>
      </c>
      <c r="ER202" s="834">
        <f>+IF(OR(DZ202=DY202,ER$44=1),0,
IF(AND(ER$44&gt;1,DZ202=$N202),1-SUM($EN202:EQ202),
IF($N202&lt;=1,
IF($N202&gt;0,1/$N202,0),
IF(ER$44=2,0,VDB(1,0,$N202,INT(ER$44-2-1),MIN($N202,INT(ER$44-2-1)+1),$DC202,IF($DD202="No",1,0))/
IF(DY202&gt;=INT($N202),$N202-INT($N202),1)))*
IF(ER$44=2,0,
IF(INT(DZ202)=INT(DY202),DZ202-DY202,INT(DZ202)-DY202))+
IF($N202&lt;=1,
IF($N202&gt;0,1/$N202,0),VDB(1,0,$N202,INT(ER$44-2),MIN($N202,INT(ER$44-2)+1),$DC202,IF($DD202="No",1,0))/
IF(DZ202&gt;INT($N202),$N202-INT($N202),1))*
IF(ER$44=2,DZ202,
IF(INT(DZ202)=INT(DY202),0,DZ202-INT(DZ202)))))</f>
        <v>0</v>
      </c>
      <c r="ES202" s="835">
        <f>+IF(OR(EA202=DZ202,ES$44=1),0,
IF(AND(ES$44&gt;1,EA202=$N202),1-SUM($EN202:ER202),
IF($N202&lt;=1,
IF($N202&gt;0,1/$N202,0),
IF(ES$44=2,0,VDB(1,0,$N202,INT(ES$44-2-1),MIN($N202,INT(ES$44-2-1)+1),$DC202,IF($DD202="No",1,0))/
IF(DZ202&gt;=INT($N202),$N202-INT($N202),1)))*
IF(ES$44=2,0,
IF(INT(EA202)=INT(DZ202),EA202-DZ202,INT(EA202)-DZ202))+
IF($N202&lt;=1,
IF($N202&gt;0,1/$N202,0),VDB(1,0,$N202,INT(ES$44-2),MIN($N202,INT(ES$44-2)+1),$DC202,IF($DD202="No",1,0))/
IF(EA202&gt;INT($N202),$N202-INT($N202),1))*
IF(ES$44=2,EA202,
IF(INT(EA202)=INT(DZ202),0,EA202-INT(EA202)))))</f>
        <v>0</v>
      </c>
      <c r="ET202" s="835">
        <f>+IF(OR(EB202=EA202,ET$44=1),0,
IF(AND(ET$44&gt;1,EB202=$N202),1-SUM($EN202:ES202),
IF($N202&lt;=1,
IF($N202&gt;0,1/$N202,0),
IF(ET$44=2,0,VDB(1,0,$N202,INT(ET$44-2-1),MIN($N202,INT(ET$44-2-1)+1),$DC202,IF($DD202="No",1,0))/
IF(EA202&gt;=INT($N202),$N202-INT($N202),1)))*
IF(ET$44=2,0,
IF(INT(EB202)=INT(EA202),EB202-EA202,INT(EB202)-EA202))+
IF($N202&lt;=1,
IF($N202&gt;0,1/$N202,0),VDB(1,0,$N202,INT(ET$44-2),MIN($N202,INT(ET$44-2)+1),$DC202,IF($DD202="No",1,0))/
IF(EB202&gt;INT($N202),$N202-INT($N202),1))*
IF(ET$44=2,EB202,
IF(INT(EB202)=INT(EA202),0,EB202-INT(EB202)))))</f>
        <v>0</v>
      </c>
      <c r="EU202" s="835">
        <f>+IF(OR(EC202=EB202,EU$44=1),0,
IF(AND(EU$44&gt;1,EC202=$N202),1-SUM($EN202:ET202),
IF($N202&lt;=1,
IF($N202&gt;0,1/$N202,0),
IF(EU$44=2,0,VDB(1,0,$N202,INT(EU$44-2-1),MIN($N202,INT(EU$44-2-1)+1),$DC202,IF($DD202="No",1,0))/
IF(EB202&gt;=INT($N202),$N202-INT($N202),1)))*
IF(EU$44=2,0,
IF(INT(EC202)=INT(EB202),EC202-EB202,INT(EC202)-EB202))+
IF($N202&lt;=1,
IF($N202&gt;0,1/$N202,0),VDB(1,0,$N202,INT(EU$44-2),MIN($N202,INT(EU$44-2)+1),$DC202,IF($DD202="No",1,0))/
IF(EC202&gt;INT($N202),$N202-INT($N202),1))*
IF(EU$44=2,EC202,
IF(INT(EC202)=INT(EB202),0,EC202-INT(EC202)))))</f>
        <v>0</v>
      </c>
      <c r="EV202" s="836">
        <f>+IF(OR(ED202=EC202,EV$44=1),0,
IF(AND(EV$44&gt;1,ED202=$N202),1-SUM($EN202:EU202),
IF($N202&lt;=1,
IF($N202&gt;0,1/$N202,0),
IF(EV$44=2,0,VDB(1,0,$N202,INT(EV$44-2-1),MIN($N202,INT(EV$44-2-1)+1),$DC202,IF($DD202="No",1,0))/
IF(EC202&gt;=INT($N202),$N202-INT($N202),1)))*
IF(EV$44=2,0,
IF(INT(ED202)=INT(EC202),ED202-EC202,INT(ED202)-EC202))+
IF($N202&lt;=1,
IF($N202&gt;0,1/$N202,0),VDB(1,0,$N202,INT(EV$44-2),MIN($N202,INT(EV$44-2)+1),$DC202,IF($DD202="No",1,0))/
IF(ED202&gt;INT($N202),$N202-INT($N202),1))*
IF(EV$44=2,ED202,
IF(INT(ED202)=INT(EC202),0,ED202-INT(ED202)))))</f>
        <v>0</v>
      </c>
      <c r="EW202" s="833"/>
      <c r="EX202" s="834">
        <f t="shared" ca="1" si="360"/>
        <v>0</v>
      </c>
      <c r="EY202" s="835">
        <f t="shared" ca="1" si="360"/>
        <v>0</v>
      </c>
      <c r="EZ202" s="836">
        <f t="shared" ca="1" si="360"/>
        <v>0</v>
      </c>
      <c r="FA202" s="834">
        <f t="shared" ca="1" si="360"/>
        <v>0</v>
      </c>
      <c r="FB202" s="835">
        <f t="shared" ca="1" si="360"/>
        <v>0</v>
      </c>
      <c r="FC202" s="835">
        <f t="shared" ca="1" si="360"/>
        <v>0</v>
      </c>
      <c r="FD202" s="835">
        <f t="shared" ca="1" si="360"/>
        <v>0</v>
      </c>
      <c r="FE202" s="836">
        <f t="shared" ca="1" si="360"/>
        <v>0</v>
      </c>
      <c r="FG202" s="386">
        <f t="shared" ca="1" si="351"/>
        <v>0</v>
      </c>
      <c r="FH202" s="387">
        <f t="shared" ca="1" si="352"/>
        <v>0</v>
      </c>
      <c r="FI202" s="388">
        <f t="shared" ca="1" si="353"/>
        <v>0</v>
      </c>
      <c r="FJ202" s="386">
        <f t="shared" ca="1" si="354"/>
        <v>0</v>
      </c>
      <c r="FK202" s="387">
        <f t="shared" ca="1" si="355"/>
        <v>0</v>
      </c>
      <c r="FL202" s="387">
        <f t="shared" ca="1" si="356"/>
        <v>0</v>
      </c>
      <c r="FM202" s="387">
        <f t="shared" ca="1" si="357"/>
        <v>0</v>
      </c>
      <c r="FN202" s="388">
        <f t="shared" ca="1" si="358"/>
        <v>0</v>
      </c>
      <c r="FR202" s="116"/>
    </row>
    <row r="203" spans="2:174">
      <c r="B203" s="1410">
        <f t="shared" si="359"/>
        <v>157</v>
      </c>
      <c r="C203" s="400"/>
      <c r="D203" s="410"/>
      <c r="E203" s="402"/>
      <c r="F203" s="402"/>
      <c r="G203" s="400"/>
      <c r="H203" s="2088"/>
      <c r="I203" s="2089"/>
      <c r="J203" s="411"/>
      <c r="K203" s="403"/>
      <c r="L203" s="403"/>
      <c r="M203" s="403"/>
      <c r="N203" s="403"/>
      <c r="O203" s="347"/>
      <c r="P203" s="347"/>
      <c r="Q203" s="1021"/>
      <c r="R203" s="1022"/>
      <c r="S203" s="1022"/>
      <c r="T203" s="1022"/>
      <c r="U203" s="1023"/>
      <c r="V203" s="1021"/>
      <c r="W203" s="1022"/>
      <c r="X203" s="1022"/>
      <c r="Y203" s="1022"/>
      <c r="Z203" s="1023"/>
      <c r="AA203" s="1024"/>
      <c r="AB203" s="1021"/>
      <c r="AC203" s="1022"/>
      <c r="AD203" s="1022"/>
      <c r="AE203" s="1022"/>
      <c r="AF203" s="1023"/>
      <c r="AG203" s="1021"/>
      <c r="AH203" s="1022"/>
      <c r="AI203" s="1022"/>
      <c r="AJ203" s="1022"/>
      <c r="AK203" s="1023"/>
      <c r="AL203" s="1024"/>
      <c r="AM203" s="1021"/>
      <c r="AN203" s="1022"/>
      <c r="AO203" s="1022"/>
      <c r="AP203" s="1022"/>
      <c r="AQ203" s="1023"/>
      <c r="AR203" s="1021"/>
      <c r="AS203" s="1022"/>
      <c r="AT203" s="1022"/>
      <c r="AU203" s="1022"/>
      <c r="AV203" s="1023"/>
      <c r="AW203" s="1025"/>
      <c r="AX203" s="1282">
        <f t="shared" si="304"/>
        <v>0</v>
      </c>
      <c r="AY203" s="387">
        <f t="shared" si="305"/>
        <v>0</v>
      </c>
      <c r="AZ203" s="387">
        <f t="shared" si="306"/>
        <v>0</v>
      </c>
      <c r="BA203" s="387">
        <f t="shared" si="307"/>
        <v>0</v>
      </c>
      <c r="BB203" s="1283">
        <f t="shared" si="308"/>
        <v>0</v>
      </c>
      <c r="BC203" s="386">
        <f t="shared" si="309"/>
        <v>0</v>
      </c>
      <c r="BD203" s="387">
        <f t="shared" si="310"/>
        <v>0</v>
      </c>
      <c r="BE203" s="1277">
        <f t="shared" si="311"/>
        <v>0</v>
      </c>
      <c r="BF203" s="1277">
        <f t="shared" si="312"/>
        <v>0</v>
      </c>
      <c r="BG203" s="388">
        <f t="shared" si="313"/>
        <v>0</v>
      </c>
      <c r="BH203" s="1025"/>
      <c r="BI203" s="1282">
        <f t="shared" ca="1" si="314"/>
        <v>0</v>
      </c>
      <c r="BJ203" s="387">
        <f t="shared" ca="1" si="315"/>
        <v>0</v>
      </c>
      <c r="BK203" s="387">
        <f t="shared" ca="1" si="316"/>
        <v>0</v>
      </c>
      <c r="BL203" s="387">
        <f t="shared" ca="1" si="317"/>
        <v>0</v>
      </c>
      <c r="BM203" s="1283">
        <f t="shared" ca="1" si="318"/>
        <v>0</v>
      </c>
      <c r="BN203" s="386">
        <f t="shared" ca="1" si="319"/>
        <v>0</v>
      </c>
      <c r="BO203" s="387">
        <f t="shared" ca="1" si="320"/>
        <v>0</v>
      </c>
      <c r="BP203" s="1277">
        <f t="shared" ca="1" si="321"/>
        <v>0</v>
      </c>
      <c r="BQ203" s="1277">
        <f t="shared" ca="1" si="322"/>
        <v>0</v>
      </c>
      <c r="BR203" s="388">
        <f t="shared" ca="1" si="323"/>
        <v>0</v>
      </c>
      <c r="BS203" s="1025"/>
      <c r="BT203" s="1282">
        <f>+IF($K203="Ongoing",AX203,IF(RIGHT($K203,2)=RIGHT(BT$43,2),SUM($AX203:AX203),0)+IF(RIGHT(BT$43,2)&gt;RIGHT($K203,2),AX203,0))</f>
        <v>0</v>
      </c>
      <c r="BU203" s="387">
        <f>+IF($K203="Ongoing",AY203,IF(RIGHT($K203,2)=RIGHT(BU$43,2),SUM($AX203:AY203),0)+IF(RIGHT(BU$43,2)&gt;RIGHT($K203,2),AY203,0))</f>
        <v>0</v>
      </c>
      <c r="BV203" s="387">
        <f>+IF($K203="Ongoing",AZ203,IF(RIGHT($K203,2)=RIGHT(BV$43,2),SUM($AX203:AZ203),0)+IF(RIGHT(BV$43,2)&gt;RIGHT($K203,2),AZ203,0))</f>
        <v>0</v>
      </c>
      <c r="BW203" s="387">
        <f>+IF($K203="Ongoing",BA203,IF(RIGHT($K203,2)=RIGHT(BW$43,2),SUM($AX203:BA203),0)+IF(RIGHT(BW$43,2)&gt;RIGHT($K203,2),BA203,0))</f>
        <v>0</v>
      </c>
      <c r="BX203" s="1283">
        <f>+IF($K203="Ongoing",BB203,IF(RIGHT($K203,2)=RIGHT(BX$43,2),SUM($AX203:BB203),0)+IF(RIGHT(BX$43,2)&gt;RIGHT($K203,2),BB203,0))</f>
        <v>0</v>
      </c>
      <c r="BY203" s="386">
        <f>+IF($K203="Ongoing",BC203,IF(RIGHT($K203,2)=RIGHT(BY$43,2),SUM($AX203:BC203),0)+IF(RIGHT(BY$43,2)&gt;RIGHT($K203,2),BC203,0))</f>
        <v>0</v>
      </c>
      <c r="BZ203" s="387">
        <f>+IF($K203="Ongoing",BD203,IF(RIGHT($K203,2)=RIGHT(BZ$43,2),SUM($AX203:BD203),0)+IF(RIGHT(BZ$43,2)&gt;RIGHT($K203,2),BD203,0))</f>
        <v>0</v>
      </c>
      <c r="CA203" s="1277">
        <f>+IF($K203="Ongoing",BE203,IF(RIGHT($K203,2)=RIGHT(CA$43,2),SUM($AX203:BE203),0)+IF(RIGHT(CA$43,2)&gt;RIGHT($K203,2),BE203,0))</f>
        <v>0</v>
      </c>
      <c r="CB203" s="1277">
        <f>+IF($K203="Ongoing",BF203,IF(RIGHT($K203,2)=RIGHT(CB$43,2),SUM($AX203:BF203),0)+IF(RIGHT(CB$43,2)&gt;RIGHT($K203,2),BF203,0))</f>
        <v>0</v>
      </c>
      <c r="CC203" s="388">
        <f>+IF($K203="Ongoing",BG203,IF(RIGHT($K203,2)=RIGHT(CC$43,2),SUM($AX203:BG203),0)+IF(RIGHT(CC$43,2)&gt;RIGHT($K203,2),BG203,0))</f>
        <v>0</v>
      </c>
      <c r="CD203" s="1025"/>
      <c r="CE203" s="1282">
        <f>+Q203*KeyAssumptionsPriceControl_FO!AF$15</f>
        <v>0</v>
      </c>
      <c r="CF203" s="387">
        <f>+R203*KeyAssumptionsPriceControl_FO!AG$15</f>
        <v>0</v>
      </c>
      <c r="CG203" s="387">
        <f>+S203*KeyAssumptionsPriceControl_FO!AH$15</f>
        <v>0</v>
      </c>
      <c r="CH203" s="387">
        <f>+T203*KeyAssumptionsPriceControl_FO!AI$15</f>
        <v>0</v>
      </c>
      <c r="CI203" s="1283">
        <f>+U203*KeyAssumptionsPriceControl_FO!AJ$15</f>
        <v>0</v>
      </c>
      <c r="CJ203" s="386">
        <f>+V203*KeyAssumptionsPriceControl_FO!AK$15</f>
        <v>0</v>
      </c>
      <c r="CK203" s="387">
        <f>+W203*KeyAssumptionsPriceControl_FO!AL$15</f>
        <v>0</v>
      </c>
      <c r="CL203" s="1277">
        <f>+X203*KeyAssumptionsPriceControl_FO!AM$15</f>
        <v>0</v>
      </c>
      <c r="CM203" s="1277">
        <f>+Y203*KeyAssumptionsPriceControl_FO!AN$15</f>
        <v>0</v>
      </c>
      <c r="CN203" s="388">
        <f>+Z203*KeyAssumptionsPriceControl_FO!AO$15</f>
        <v>0</v>
      </c>
      <c r="CO203" s="1025"/>
      <c r="CP203" s="1282">
        <f t="shared" ca="1" si="324"/>
        <v>0</v>
      </c>
      <c r="CQ203" s="387">
        <f t="shared" ca="1" si="325"/>
        <v>0</v>
      </c>
      <c r="CR203" s="387">
        <f t="shared" ca="1" si="326"/>
        <v>0</v>
      </c>
      <c r="CS203" s="387">
        <f t="shared" ca="1" si="327"/>
        <v>0</v>
      </c>
      <c r="CT203" s="1283">
        <f t="shared" ca="1" si="328"/>
        <v>0</v>
      </c>
      <c r="CU203" s="386">
        <f t="shared" ca="1" si="329"/>
        <v>0</v>
      </c>
      <c r="CV203" s="387">
        <f t="shared" ca="1" si="330"/>
        <v>0</v>
      </c>
      <c r="CW203" s="1277">
        <f t="shared" ca="1" si="331"/>
        <v>0</v>
      </c>
      <c r="CX203" s="1277">
        <f t="shared" ca="1" si="332"/>
        <v>0</v>
      </c>
      <c r="CY203" s="388">
        <f t="shared" ca="1" si="333"/>
        <v>0</v>
      </c>
      <c r="CZ203" s="347"/>
      <c r="DA203" s="852"/>
      <c r="DB203" s="347"/>
      <c r="DC203" s="1012" t="s">
        <v>724</v>
      </c>
      <c r="DD203" s="841" t="s">
        <v>518</v>
      </c>
      <c r="DE203" s="386">
        <f>+IF($K203="ongoing",CE203,IF(RIGHT($K203,2)=RIGHT(DE$43,2),SUM($CD203:CE203),0)+IF(RIGHT(DE$43,2)&gt;RIGHT($K203,2),CE203,0))</f>
        <v>0</v>
      </c>
      <c r="DF203" s="387">
        <f>+IF($K203="ongoing",CF203,IF(RIGHT($K203,2)=RIGHT(DF$43,2),SUM($CD203:CF203),0)+IF(RIGHT(DF$43,2)&gt;RIGHT($K203,2),CF203,0))</f>
        <v>0</v>
      </c>
      <c r="DG203" s="388">
        <f>+IF($K203="ongoing",CG203,IF(RIGHT($K203,2)=RIGHT(DG$43,2),SUM($CD203:CG203),0)+IF(RIGHT(DG$43,2)&gt;RIGHT($K203,2),CG203,0))</f>
        <v>0</v>
      </c>
      <c r="DH203" s="386">
        <f>+IF($K203="ongoing",CH203,IF(RIGHT($K203,2)=RIGHT(DH$43,2),SUM($CD203:CH203),0)+IF(RIGHT(DH$43,2)&gt;RIGHT($K203,2),CH203,0))</f>
        <v>0</v>
      </c>
      <c r="DI203" s="387">
        <f>+IF($K203="ongoing",CI203,IF(RIGHT($K203,2)=RIGHT(DI$43,2),SUM($CD203:CI203),0)+IF(RIGHT(DI$43,2)&gt;RIGHT($K203,2),CI203,0))</f>
        <v>0</v>
      </c>
      <c r="DJ203" s="387">
        <f>+IF($K203="ongoing",CJ203,IF(RIGHT($K203,2)=RIGHT(DJ$43,2),SUM($CD203:CJ203),0)+IF(RIGHT(DJ$43,2)&gt;RIGHT($K203,2),CJ203,0))</f>
        <v>0</v>
      </c>
      <c r="DK203" s="387">
        <f>+IF($K203="ongoing",CK203,IF(RIGHT($K203,2)=RIGHT(DK$43,2),SUM($CD203:CK203),0)+IF(RIGHT(DK$43,2)&gt;RIGHT($K203,2),CK203,0))</f>
        <v>0</v>
      </c>
      <c r="DL203" s="388">
        <f>+IF($K203="ongoing",CN203,IF(RIGHT($K203,2)=RIGHT(DL$43,2),SUM($CD203:CN203),0)+IF(RIGHT(DL$43,2)&gt;RIGHT($K203,2),CN203,0))</f>
        <v>0</v>
      </c>
      <c r="DM203" s="841"/>
      <c r="DN203" s="386">
        <f t="shared" si="334"/>
        <v>0.5</v>
      </c>
      <c r="DO203" s="387">
        <f t="shared" si="335"/>
        <v>1</v>
      </c>
      <c r="DP203" s="388">
        <f t="shared" si="336"/>
        <v>1</v>
      </c>
      <c r="DQ203" s="386">
        <f t="shared" si="337"/>
        <v>1</v>
      </c>
      <c r="DR203" s="387">
        <f t="shared" si="338"/>
        <v>1</v>
      </c>
      <c r="DS203" s="387">
        <f t="shared" si="339"/>
        <v>1</v>
      </c>
      <c r="DT203" s="387">
        <f t="shared" si="340"/>
        <v>1</v>
      </c>
      <c r="DU203" s="388">
        <f t="shared" si="341"/>
        <v>1</v>
      </c>
      <c r="DW203" s="386">
        <f t="shared" si="342"/>
        <v>0</v>
      </c>
      <c r="DX203" s="387">
        <f t="shared" si="343"/>
        <v>0.5</v>
      </c>
      <c r="DY203" s="388">
        <f t="shared" si="344"/>
        <v>1</v>
      </c>
      <c r="DZ203" s="386">
        <f t="shared" si="345"/>
        <v>1</v>
      </c>
      <c r="EA203" s="387">
        <f t="shared" si="346"/>
        <v>1</v>
      </c>
      <c r="EB203" s="387">
        <f t="shared" si="347"/>
        <v>1</v>
      </c>
      <c r="EC203" s="387">
        <f t="shared" si="348"/>
        <v>1</v>
      </c>
      <c r="ED203" s="388">
        <f t="shared" si="349"/>
        <v>1</v>
      </c>
      <c r="EF203" s="834">
        <f>+IF(DN203=DM203,0,
IF(AND(EF$44&gt;1,DN203=$N203),1-SUM($EE203:EE203),
IF($N203&lt;=1,
IF($N203&gt;0,1/$N203,0),
IF(EF$44=1,0,VDB(1,0,$N203,INT(EF$44-1-1),MIN($N203,INT(EF$44-1-1)+1),$DC203,IF($DD203="No",1,0))/
IF(DM203&gt;=INT($N203),$N203-INT($N203),1)))*
IF(EF$44=1,0,
IF(INT(DN203)=INT(DM203),DN203-DM203,INT(DN203)-DM203))+
IF($N203&lt;=1,
IF($N203&gt;0,1/$N203,0),VDB(1,0,$N203,INT(EF$44-1),MIN($N203,INT(EF$44-1)+1),$DC203,IF($DD203="No",1,0))/
IF(DN203&gt;INT($N203),$N203-INT($N203),1))*
IF(EF$44=1,DN203,
IF(INT(DN203)=INT(DM203),0,DN203-INT(DN203)))))</f>
        <v>0</v>
      </c>
      <c r="EG203" s="835">
        <f>+IF(DO203=DN203,0,
IF(AND(EG$44&gt;1,DO203=$N203),1-SUM($EE203:EF203),
IF($N203&lt;=1,
IF($N203&gt;0,1/$N203,0),
IF(EG$44=1,0,VDB(1,0,$N203,INT(EG$44-1-1),MIN($N203,INT(EG$44-1-1)+1),$DC203,IF($DD203="No",1,0))/
IF(DN203&gt;=INT($N203),$N203-INT($N203),1)))*
IF(EG$44=1,0,
IF(INT(DO203)=INT(DN203),DO203-DN203,INT(DO203)-DN203))+
IF($N203&lt;=1,
IF($N203&gt;0,1/$N203,0),VDB(1,0,$N203,INT(EG$44-1),MIN($N203,INT(EG$44-1)+1),$DC203,IF($DD203="No",1,0))/
IF(DO203&gt;INT($N203),$N203-INT($N203),1))*
IF(EG$44=1,DO203,
IF(INT(DO203)=INT(DN203),0,DO203-INT(DO203)))))</f>
        <v>0</v>
      </c>
      <c r="EH203" s="836">
        <f>+IF(DP203=DO203,0,
IF(AND(EH$44&gt;1,DP203=$N203),1-SUM($EE203:EG203),
IF($N203&lt;=1,
IF($N203&gt;0,1/$N203,0),
IF(EH$44=1,0,VDB(1,0,$N203,INT(EH$44-1-1),MIN($N203,INT(EH$44-1-1)+1),$DC203,IF($DD203="No",1,0))/
IF(DO203&gt;=INT($N203),$N203-INT($N203),1)))*
IF(EH$44=1,0,
IF(INT(DP203)=INT(DO203),DP203-DO203,INT(DP203)-DO203))+
IF($N203&lt;=1,
IF($N203&gt;0,1/$N203,0),VDB(1,0,$N203,INT(EH$44-1),MIN($N203,INT(EH$44-1)+1),$DC203,IF($DD203="No",1,0))/
IF(DP203&gt;INT($N203),$N203-INT($N203),1))*
IF(EH$44=1,DP203,
IF(INT(DP203)=INT(DO203),0,DP203-INT(DP203)))))</f>
        <v>0</v>
      </c>
      <c r="EI203" s="834">
        <f>+IF(DQ203=DP203,0,
IF(AND(EI$44&gt;1,DQ203=$N203),1-SUM($EE203:EH203),
IF($N203&lt;=1,
IF($N203&gt;0,1/$N203,0),
IF(EI$44=1,0,VDB(1,0,$N203,INT(EI$44-1-1),MIN($N203,INT(EI$44-1-1)+1),$DC203,IF($DD203="No",1,0))/
IF(DP203&gt;=INT($N203),$N203-INT($N203),1)))*
IF(EI$44=1,0,
IF(INT(DQ203)=INT(DP203),DQ203-DP203,INT(DQ203)-DP203))+
IF($N203&lt;=1,
IF($N203&gt;0,1/$N203,0),VDB(1,0,$N203,INT(EI$44-1),MIN($N203,INT(EI$44-1)+1),$DC203,IF($DD203="No",1,0))/
IF(DQ203&gt;INT($N203),$N203-INT($N203),1))*
IF(EI$44=1,DQ203,
IF(INT(DQ203)=INT(DP203),0,DQ203-INT(DQ203)))))</f>
        <v>0</v>
      </c>
      <c r="EJ203" s="835">
        <f>+IF(DR203=DQ203,0,
IF(AND(EJ$44&gt;1,DR203=$N203),1-SUM($EE203:EI203),
IF($N203&lt;=1,
IF($N203&gt;0,1/$N203,0),
IF(EJ$44=1,0,VDB(1,0,$N203,INT(EJ$44-1-1),MIN($N203,INT(EJ$44-1-1)+1),$DC203,IF($DD203="No",1,0))/
IF(DQ203&gt;=INT($N203),$N203-INT($N203),1)))*
IF(EJ$44=1,0,
IF(INT(DR203)=INT(DQ203),DR203-DQ203,INT(DR203)-DQ203))+
IF($N203&lt;=1,
IF($N203&gt;0,1/$N203,0),VDB(1,0,$N203,INT(EJ$44-1),MIN($N203,INT(EJ$44-1)+1),$DC203,IF($DD203="No",1,0))/
IF(DR203&gt;INT($N203),$N203-INT($N203),1))*
IF(EJ$44=1,DR203,
IF(INT(DR203)=INT(DQ203),0,DR203-INT(DR203)))))</f>
        <v>0</v>
      </c>
      <c r="EK203" s="835">
        <f>+IF(DS203=DR203,0,
IF(AND(EK$44&gt;1,DS203=$N203),1-SUM($EE203:EJ203),
IF($N203&lt;=1,
IF($N203&gt;0,1/$N203,0),
IF(EK$44=1,0,VDB(1,0,$N203,INT(EK$44-1-1),MIN($N203,INT(EK$44-1-1)+1),$DC203,IF($DD203="No",1,0))/
IF(DR203&gt;=INT($N203),$N203-INT($N203),1)))*
IF(EK$44=1,0,
IF(INT(DS203)=INT(DR203),DS203-DR203,INT(DS203)-DR203))+
IF($N203&lt;=1,
IF($N203&gt;0,1/$N203,0),VDB(1,0,$N203,INT(EK$44-1),MIN($N203,INT(EK$44-1)+1),$DC203,IF($DD203="No",1,0))/
IF(DS203&gt;INT($N203),$N203-INT($N203),1))*
IF(EK$44=1,DS203,
IF(INT(DS203)=INT(DR203),0,DS203-INT(DS203)))))</f>
        <v>0</v>
      </c>
      <c r="EL203" s="835">
        <f>+IF(DT203=DS203,0,
IF(AND(EL$44&gt;1,DT203=$N203),1-SUM($EE203:EK203),
IF($N203&lt;=1,
IF($N203&gt;0,1/$N203,0),
IF(EL$44=1,0,VDB(1,0,$N203,INT(EL$44-1-1),MIN($N203,INT(EL$44-1-1)+1),$DC203,IF($DD203="No",1,0))/
IF(DS203&gt;=INT($N203),$N203-INT($N203),1)))*
IF(EL$44=1,0,
IF(INT(DT203)=INT(DS203),DT203-DS203,INT(DT203)-DS203))+
IF($N203&lt;=1,
IF($N203&gt;0,1/$N203,0),VDB(1,0,$N203,INT(EL$44-1),MIN($N203,INT(EL$44-1)+1),$DC203,IF($DD203="No",1,0))/
IF(DT203&gt;INT($N203),$N203-INT($N203),1))*
IF(EL$44=1,DT203,
IF(INT(DT203)=INT(DS203),0,DT203-INT(DT203)))))</f>
        <v>0</v>
      </c>
      <c r="EM203" s="836">
        <f>+IF(DU203=DT203,0,
IF(AND(EM$44&gt;1,DU203=$N203),1-SUM($EE203:EL203),
IF($N203&lt;=1,
IF($N203&gt;0,1/$N203,0),
IF(EM$44=1,0,VDB(1,0,$N203,INT(EM$44-1-1),MIN($N203,INT(EM$44-1-1)+1),$DC203,IF($DD203="No",1,0))/
IF(DT203&gt;=INT($N203),$N203-INT($N203),1)))*
IF(EM$44=1,0,
IF(INT(DU203)=INT(DT203),DU203-DT203,INT(DU203)-DT203))+
IF($N203&lt;=1,
IF($N203&gt;0,1/$N203,0),VDB(1,0,$N203,INT(EM$44-1),MIN($N203,INT(EM$44-1)+1),$DC203,IF($DD203="No",1,0))/
IF(DU203&gt;INT($N203),$N203-INT($N203),1))*
IF(EM$44=1,DU203,
IF(INT(DU203)=INT(DT203),0,DU203-INT(DU203)))))</f>
        <v>0</v>
      </c>
      <c r="EN203" s="833"/>
      <c r="EO203" s="834">
        <f>+IF(OR(DW203=DV203,EO$44=1),0,
IF(AND(EO$44&gt;1,DW203=$N203),1-SUM($EN203:EN203),
IF($N203&lt;=1,
IF($N203&gt;0,1/$N203,0),
IF(EO$44=2,0,VDB(1,0,$N203,INT(EO$44-2-1),MIN($N203,INT(EO$44-2-1)+1),$DC203,IF($DD203="No",1,0))/
IF(DV203&gt;=INT($N203),$N203-INT($N203),1)))*
IF(EO$44=2,0,
IF(INT(DW203)=INT(DV203),DW203-DV203,INT(DW203)-DV203))+
IF($N203&lt;=1,
IF($N203&gt;0,1/$N203,0),VDB(1,0,$N203,INT(EO$44-2),MIN($N203,INT(EO$44-2)+1),$DC203,IF($DD203="No",1,0))/
IF(DW203&gt;INT($N203),$N203-INT($N203),1))*
IF(EO$44=2,DW203,
IF(INT(DW203)=INT(DV203),0,DW203-INT(DW203)))))</f>
        <v>0</v>
      </c>
      <c r="EP203" s="835">
        <f>+IF(OR(DX203=DW203,EP$44=1),0,
IF(AND(EP$44&gt;1,DX203=$N203),1-SUM($EN203:EO203),
IF($N203&lt;=1,
IF($N203&gt;0,1/$N203,0),
IF(EP$44=2,0,VDB(1,0,$N203,INT(EP$44-2-1),MIN($N203,INT(EP$44-2-1)+1),$DC203,IF($DD203="No",1,0))/
IF(DW203&gt;=INT($N203),$N203-INT($N203),1)))*
IF(EP$44=2,0,
IF(INT(DX203)=INT(DW203),DX203-DW203,INT(DX203)-DW203))+
IF($N203&lt;=1,
IF($N203&gt;0,1/$N203,0),VDB(1,0,$N203,INT(EP$44-2),MIN($N203,INT(EP$44-2)+1),$DC203,IF($DD203="No",1,0))/
IF(DX203&gt;INT($N203),$N203-INT($N203),1))*
IF(EP$44=2,DX203,
IF(INT(DX203)=INT(DW203),0,DX203-INT(DX203)))))</f>
        <v>0</v>
      </c>
      <c r="EQ203" s="836">
        <f>+IF(OR(DY203=DX203,EQ$44=1),0,
IF(AND(EQ$44&gt;1,DY203=$N203),1-SUM($EN203:EP203),
IF($N203&lt;=1,
IF($N203&gt;0,1/$N203,0),
IF(EQ$44=2,0,VDB(1,0,$N203,INT(EQ$44-2-1),MIN($N203,INT(EQ$44-2-1)+1),$DC203,IF($DD203="No",1,0))/
IF(DX203&gt;=INT($N203),$N203-INT($N203),1)))*
IF(EQ$44=2,0,
IF(INT(DY203)=INT(DX203),DY203-DX203,INT(DY203)-DX203))+
IF($N203&lt;=1,
IF($N203&gt;0,1/$N203,0),VDB(1,0,$N203,INT(EQ$44-2),MIN($N203,INT(EQ$44-2)+1),$DC203,IF($DD203="No",1,0))/
IF(DY203&gt;INT($N203),$N203-INT($N203),1))*
IF(EQ$44=2,DY203,
IF(INT(DY203)=INT(DX203),0,DY203-INT(DY203)))))</f>
        <v>0</v>
      </c>
      <c r="ER203" s="834">
        <f>+IF(OR(DZ203=DY203,ER$44=1),0,
IF(AND(ER$44&gt;1,DZ203=$N203),1-SUM($EN203:EQ203),
IF($N203&lt;=1,
IF($N203&gt;0,1/$N203,0),
IF(ER$44=2,0,VDB(1,0,$N203,INT(ER$44-2-1),MIN($N203,INT(ER$44-2-1)+1),$DC203,IF($DD203="No",1,0))/
IF(DY203&gt;=INT($N203),$N203-INT($N203),1)))*
IF(ER$44=2,0,
IF(INT(DZ203)=INT(DY203),DZ203-DY203,INT(DZ203)-DY203))+
IF($N203&lt;=1,
IF($N203&gt;0,1/$N203,0),VDB(1,0,$N203,INT(ER$44-2),MIN($N203,INT(ER$44-2)+1),$DC203,IF($DD203="No",1,0))/
IF(DZ203&gt;INT($N203),$N203-INT($N203),1))*
IF(ER$44=2,DZ203,
IF(INT(DZ203)=INT(DY203),0,DZ203-INT(DZ203)))))</f>
        <v>0</v>
      </c>
      <c r="ES203" s="835">
        <f>+IF(OR(EA203=DZ203,ES$44=1),0,
IF(AND(ES$44&gt;1,EA203=$N203),1-SUM($EN203:ER203),
IF($N203&lt;=1,
IF($N203&gt;0,1/$N203,0),
IF(ES$44=2,0,VDB(1,0,$N203,INT(ES$44-2-1),MIN($N203,INT(ES$44-2-1)+1),$DC203,IF($DD203="No",1,0))/
IF(DZ203&gt;=INT($N203),$N203-INT($N203),1)))*
IF(ES$44=2,0,
IF(INT(EA203)=INT(DZ203),EA203-DZ203,INT(EA203)-DZ203))+
IF($N203&lt;=1,
IF($N203&gt;0,1/$N203,0),VDB(1,0,$N203,INT(ES$44-2),MIN($N203,INT(ES$44-2)+1),$DC203,IF($DD203="No",1,0))/
IF(EA203&gt;INT($N203),$N203-INT($N203),1))*
IF(ES$44=2,EA203,
IF(INT(EA203)=INT(DZ203),0,EA203-INT(EA203)))))</f>
        <v>0</v>
      </c>
      <c r="ET203" s="835">
        <f>+IF(OR(EB203=EA203,ET$44=1),0,
IF(AND(ET$44&gt;1,EB203=$N203),1-SUM($EN203:ES203),
IF($N203&lt;=1,
IF($N203&gt;0,1/$N203,0),
IF(ET$44=2,0,VDB(1,0,$N203,INT(ET$44-2-1),MIN($N203,INT(ET$44-2-1)+1),$DC203,IF($DD203="No",1,0))/
IF(EA203&gt;=INT($N203),$N203-INT($N203),1)))*
IF(ET$44=2,0,
IF(INT(EB203)=INT(EA203),EB203-EA203,INT(EB203)-EA203))+
IF($N203&lt;=1,
IF($N203&gt;0,1/$N203,0),VDB(1,0,$N203,INT(ET$44-2),MIN($N203,INT(ET$44-2)+1),$DC203,IF($DD203="No",1,0))/
IF(EB203&gt;INT($N203),$N203-INT($N203),1))*
IF(ET$44=2,EB203,
IF(INT(EB203)=INT(EA203),0,EB203-INT(EB203)))))</f>
        <v>0</v>
      </c>
      <c r="EU203" s="835">
        <f>+IF(OR(EC203=EB203,EU$44=1),0,
IF(AND(EU$44&gt;1,EC203=$N203),1-SUM($EN203:ET203),
IF($N203&lt;=1,
IF($N203&gt;0,1/$N203,0),
IF(EU$44=2,0,VDB(1,0,$N203,INT(EU$44-2-1),MIN($N203,INT(EU$44-2-1)+1),$DC203,IF($DD203="No",1,0))/
IF(EB203&gt;=INT($N203),$N203-INT($N203),1)))*
IF(EU$44=2,0,
IF(INT(EC203)=INT(EB203),EC203-EB203,INT(EC203)-EB203))+
IF($N203&lt;=1,
IF($N203&gt;0,1/$N203,0),VDB(1,0,$N203,INT(EU$44-2),MIN($N203,INT(EU$44-2)+1),$DC203,IF($DD203="No",1,0))/
IF(EC203&gt;INT($N203),$N203-INT($N203),1))*
IF(EU$44=2,EC203,
IF(INT(EC203)=INT(EB203),0,EC203-INT(EC203)))))</f>
        <v>0</v>
      </c>
      <c r="EV203" s="836">
        <f>+IF(OR(ED203=EC203,EV$44=1),0,
IF(AND(EV$44&gt;1,ED203=$N203),1-SUM($EN203:EU203),
IF($N203&lt;=1,
IF($N203&gt;0,1/$N203,0),
IF(EV$44=2,0,VDB(1,0,$N203,INT(EV$44-2-1),MIN($N203,INT(EV$44-2-1)+1),$DC203,IF($DD203="No",1,0))/
IF(EC203&gt;=INT($N203),$N203-INT($N203),1)))*
IF(EV$44=2,0,
IF(INT(ED203)=INT(EC203),ED203-EC203,INT(ED203)-EC203))+
IF($N203&lt;=1,
IF($N203&gt;0,1/$N203,0),VDB(1,0,$N203,INT(EV$44-2),MIN($N203,INT(EV$44-2)+1),$DC203,IF($DD203="No",1,0))/
IF(ED203&gt;INT($N203),$N203-INT($N203),1))*
IF(EV$44=2,ED203,
IF(INT(ED203)=INT(EC203),0,ED203-INT(ED203)))))</f>
        <v>0</v>
      </c>
      <c r="EW203" s="833"/>
      <c r="EX203" s="834">
        <f t="shared" ca="1" si="360"/>
        <v>0</v>
      </c>
      <c r="EY203" s="835">
        <f t="shared" ca="1" si="360"/>
        <v>0</v>
      </c>
      <c r="EZ203" s="836">
        <f t="shared" ca="1" si="360"/>
        <v>0</v>
      </c>
      <c r="FA203" s="834">
        <f t="shared" ca="1" si="360"/>
        <v>0</v>
      </c>
      <c r="FB203" s="835">
        <f t="shared" ca="1" si="360"/>
        <v>0</v>
      </c>
      <c r="FC203" s="835">
        <f t="shared" ca="1" si="360"/>
        <v>0</v>
      </c>
      <c r="FD203" s="835">
        <f t="shared" ca="1" si="360"/>
        <v>0</v>
      </c>
      <c r="FE203" s="836">
        <f t="shared" ca="1" si="360"/>
        <v>0</v>
      </c>
      <c r="FG203" s="386">
        <f t="shared" ca="1" si="351"/>
        <v>0</v>
      </c>
      <c r="FH203" s="387">
        <f t="shared" ca="1" si="352"/>
        <v>0</v>
      </c>
      <c r="FI203" s="388">
        <f t="shared" ca="1" si="353"/>
        <v>0</v>
      </c>
      <c r="FJ203" s="386">
        <f t="shared" ca="1" si="354"/>
        <v>0</v>
      </c>
      <c r="FK203" s="387">
        <f t="shared" ca="1" si="355"/>
        <v>0</v>
      </c>
      <c r="FL203" s="387">
        <f t="shared" ca="1" si="356"/>
        <v>0</v>
      </c>
      <c r="FM203" s="387">
        <f t="shared" ca="1" si="357"/>
        <v>0</v>
      </c>
      <c r="FN203" s="388">
        <f t="shared" ca="1" si="358"/>
        <v>0</v>
      </c>
      <c r="FR203" s="116"/>
    </row>
    <row r="204" spans="2:174">
      <c r="B204" s="1410">
        <f t="shared" si="359"/>
        <v>158</v>
      </c>
      <c r="C204" s="400"/>
      <c r="D204" s="410"/>
      <c r="E204" s="402"/>
      <c r="F204" s="402"/>
      <c r="G204" s="400"/>
      <c r="H204" s="2088"/>
      <c r="I204" s="2089"/>
      <c r="J204" s="411"/>
      <c r="K204" s="403"/>
      <c r="L204" s="403"/>
      <c r="M204" s="403"/>
      <c r="N204" s="403"/>
      <c r="O204" s="347"/>
      <c r="P204" s="347"/>
      <c r="Q204" s="1021"/>
      <c r="R204" s="1022"/>
      <c r="S204" s="1022"/>
      <c r="T204" s="1022"/>
      <c r="U204" s="1023"/>
      <c r="V204" s="1021"/>
      <c r="W204" s="1022"/>
      <c r="X204" s="1022"/>
      <c r="Y204" s="1022"/>
      <c r="Z204" s="1023"/>
      <c r="AA204" s="1024"/>
      <c r="AB204" s="1021"/>
      <c r="AC204" s="1022"/>
      <c r="AD204" s="1022"/>
      <c r="AE204" s="1022"/>
      <c r="AF204" s="1023"/>
      <c r="AG204" s="1021"/>
      <c r="AH204" s="1022"/>
      <c r="AI204" s="1022"/>
      <c r="AJ204" s="1022"/>
      <c r="AK204" s="1023"/>
      <c r="AL204" s="1024"/>
      <c r="AM204" s="1021"/>
      <c r="AN204" s="1022"/>
      <c r="AO204" s="1022"/>
      <c r="AP204" s="1022"/>
      <c r="AQ204" s="1023"/>
      <c r="AR204" s="1021"/>
      <c r="AS204" s="1022"/>
      <c r="AT204" s="1022"/>
      <c r="AU204" s="1022"/>
      <c r="AV204" s="1023"/>
      <c r="AW204" s="1025"/>
      <c r="AX204" s="1282">
        <f t="shared" si="304"/>
        <v>0</v>
      </c>
      <c r="AY204" s="387">
        <f t="shared" si="305"/>
        <v>0</v>
      </c>
      <c r="AZ204" s="387">
        <f t="shared" si="306"/>
        <v>0</v>
      </c>
      <c r="BA204" s="387">
        <f t="shared" si="307"/>
        <v>0</v>
      </c>
      <c r="BB204" s="1283">
        <f t="shared" si="308"/>
        <v>0</v>
      </c>
      <c r="BC204" s="386">
        <f t="shared" si="309"/>
        <v>0</v>
      </c>
      <c r="BD204" s="387">
        <f t="shared" si="310"/>
        <v>0</v>
      </c>
      <c r="BE204" s="1277">
        <f t="shared" si="311"/>
        <v>0</v>
      </c>
      <c r="BF204" s="1277">
        <f t="shared" si="312"/>
        <v>0</v>
      </c>
      <c r="BG204" s="388">
        <f t="shared" si="313"/>
        <v>0</v>
      </c>
      <c r="BH204" s="1025"/>
      <c r="BI204" s="1282">
        <f t="shared" ca="1" si="314"/>
        <v>0</v>
      </c>
      <c r="BJ204" s="387">
        <f t="shared" ca="1" si="315"/>
        <v>0</v>
      </c>
      <c r="BK204" s="387">
        <f t="shared" ca="1" si="316"/>
        <v>0</v>
      </c>
      <c r="BL204" s="387">
        <f t="shared" ca="1" si="317"/>
        <v>0</v>
      </c>
      <c r="BM204" s="1283">
        <f t="shared" ca="1" si="318"/>
        <v>0</v>
      </c>
      <c r="BN204" s="386">
        <f t="shared" ca="1" si="319"/>
        <v>0</v>
      </c>
      <c r="BO204" s="387">
        <f t="shared" ca="1" si="320"/>
        <v>0</v>
      </c>
      <c r="BP204" s="1277">
        <f t="shared" ca="1" si="321"/>
        <v>0</v>
      </c>
      <c r="BQ204" s="1277">
        <f t="shared" ca="1" si="322"/>
        <v>0</v>
      </c>
      <c r="BR204" s="388">
        <f t="shared" ca="1" si="323"/>
        <v>0</v>
      </c>
      <c r="BS204" s="1025"/>
      <c r="BT204" s="1282">
        <f>+IF($K204="Ongoing",AX204,IF(RIGHT($K204,2)=RIGHT(BT$43,2),SUM($AX204:AX204),0)+IF(RIGHT(BT$43,2)&gt;RIGHT($K204,2),AX204,0))</f>
        <v>0</v>
      </c>
      <c r="BU204" s="387">
        <f>+IF($K204="Ongoing",AY204,IF(RIGHT($K204,2)=RIGHT(BU$43,2),SUM($AX204:AY204),0)+IF(RIGHT(BU$43,2)&gt;RIGHT($K204,2),AY204,0))</f>
        <v>0</v>
      </c>
      <c r="BV204" s="387">
        <f>+IF($K204="Ongoing",AZ204,IF(RIGHT($K204,2)=RIGHT(BV$43,2),SUM($AX204:AZ204),0)+IF(RIGHT(BV$43,2)&gt;RIGHT($K204,2),AZ204,0))</f>
        <v>0</v>
      </c>
      <c r="BW204" s="387">
        <f>+IF($K204="Ongoing",BA204,IF(RIGHT($K204,2)=RIGHT(BW$43,2),SUM($AX204:BA204),0)+IF(RIGHT(BW$43,2)&gt;RIGHT($K204,2),BA204,0))</f>
        <v>0</v>
      </c>
      <c r="BX204" s="1283">
        <f>+IF($K204="Ongoing",BB204,IF(RIGHT($K204,2)=RIGHT(BX$43,2),SUM($AX204:BB204),0)+IF(RIGHT(BX$43,2)&gt;RIGHT($K204,2),BB204,0))</f>
        <v>0</v>
      </c>
      <c r="BY204" s="386">
        <f>+IF($K204="Ongoing",BC204,IF(RIGHT($K204,2)=RIGHT(BY$43,2),SUM($AX204:BC204),0)+IF(RIGHT(BY$43,2)&gt;RIGHT($K204,2),BC204,0))</f>
        <v>0</v>
      </c>
      <c r="BZ204" s="387">
        <f>+IF($K204="Ongoing",BD204,IF(RIGHT($K204,2)=RIGHT(BZ$43,2),SUM($AX204:BD204),0)+IF(RIGHT(BZ$43,2)&gt;RIGHT($K204,2),BD204,0))</f>
        <v>0</v>
      </c>
      <c r="CA204" s="1277">
        <f>+IF($K204="Ongoing",BE204,IF(RIGHT($K204,2)=RIGHT(CA$43,2),SUM($AX204:BE204),0)+IF(RIGHT(CA$43,2)&gt;RIGHT($K204,2),BE204,0))</f>
        <v>0</v>
      </c>
      <c r="CB204" s="1277">
        <f>+IF($K204="Ongoing",BF204,IF(RIGHT($K204,2)=RIGHT(CB$43,2),SUM($AX204:BF204),0)+IF(RIGHT(CB$43,2)&gt;RIGHT($K204,2),BF204,0))</f>
        <v>0</v>
      </c>
      <c r="CC204" s="388">
        <f>+IF($K204="Ongoing",BG204,IF(RIGHT($K204,2)=RIGHT(CC$43,2),SUM($AX204:BG204),0)+IF(RIGHT(CC$43,2)&gt;RIGHT($K204,2),BG204,0))</f>
        <v>0</v>
      </c>
      <c r="CD204" s="1025"/>
      <c r="CE204" s="1282">
        <f>+Q204*KeyAssumptionsPriceControl_FO!AF$15</f>
        <v>0</v>
      </c>
      <c r="CF204" s="387">
        <f>+R204*KeyAssumptionsPriceControl_FO!AG$15</f>
        <v>0</v>
      </c>
      <c r="CG204" s="387">
        <f>+S204*KeyAssumptionsPriceControl_FO!AH$15</f>
        <v>0</v>
      </c>
      <c r="CH204" s="387">
        <f>+T204*KeyAssumptionsPriceControl_FO!AI$15</f>
        <v>0</v>
      </c>
      <c r="CI204" s="1283">
        <f>+U204*KeyAssumptionsPriceControl_FO!AJ$15</f>
        <v>0</v>
      </c>
      <c r="CJ204" s="386">
        <f>+V204*KeyAssumptionsPriceControl_FO!AK$15</f>
        <v>0</v>
      </c>
      <c r="CK204" s="387">
        <f>+W204*KeyAssumptionsPriceControl_FO!AL$15</f>
        <v>0</v>
      </c>
      <c r="CL204" s="1277">
        <f>+X204*KeyAssumptionsPriceControl_FO!AM$15</f>
        <v>0</v>
      </c>
      <c r="CM204" s="1277">
        <f>+Y204*KeyAssumptionsPriceControl_FO!AN$15</f>
        <v>0</v>
      </c>
      <c r="CN204" s="388">
        <f>+Z204*KeyAssumptionsPriceControl_FO!AO$15</f>
        <v>0</v>
      </c>
      <c r="CO204" s="1025"/>
      <c r="CP204" s="1282">
        <f t="shared" ca="1" si="324"/>
        <v>0</v>
      </c>
      <c r="CQ204" s="387">
        <f t="shared" ca="1" si="325"/>
        <v>0</v>
      </c>
      <c r="CR204" s="387">
        <f t="shared" ca="1" si="326"/>
        <v>0</v>
      </c>
      <c r="CS204" s="387">
        <f t="shared" ca="1" si="327"/>
        <v>0</v>
      </c>
      <c r="CT204" s="1283">
        <f t="shared" ca="1" si="328"/>
        <v>0</v>
      </c>
      <c r="CU204" s="386">
        <f t="shared" ca="1" si="329"/>
        <v>0</v>
      </c>
      <c r="CV204" s="387">
        <f t="shared" ca="1" si="330"/>
        <v>0</v>
      </c>
      <c r="CW204" s="1277">
        <f t="shared" ca="1" si="331"/>
        <v>0</v>
      </c>
      <c r="CX204" s="1277">
        <f t="shared" ca="1" si="332"/>
        <v>0</v>
      </c>
      <c r="CY204" s="388">
        <f t="shared" ca="1" si="333"/>
        <v>0</v>
      </c>
      <c r="CZ204" s="347"/>
      <c r="DA204" s="852"/>
      <c r="DB204" s="347"/>
      <c r="DC204" s="1012" t="s">
        <v>725</v>
      </c>
      <c r="DD204" s="841" t="s">
        <v>518</v>
      </c>
      <c r="DE204" s="386">
        <f>+IF($K204="ongoing",CE204,IF(RIGHT($K204,2)=RIGHT(DE$43,2),SUM($CD204:CE204),0)+IF(RIGHT(DE$43,2)&gt;RIGHT($K204,2),CE204,0))</f>
        <v>0</v>
      </c>
      <c r="DF204" s="387">
        <f>+IF($K204="ongoing",CF204,IF(RIGHT($K204,2)=RIGHT(DF$43,2),SUM($CD204:CF204),0)+IF(RIGHT(DF$43,2)&gt;RIGHT($K204,2),CF204,0))</f>
        <v>0</v>
      </c>
      <c r="DG204" s="388">
        <f>+IF($K204="ongoing",CG204,IF(RIGHT($K204,2)=RIGHT(DG$43,2),SUM($CD204:CG204),0)+IF(RIGHT(DG$43,2)&gt;RIGHT($K204,2),CG204,0))</f>
        <v>0</v>
      </c>
      <c r="DH204" s="386">
        <f>+IF($K204="ongoing",CH204,IF(RIGHT($K204,2)=RIGHT(DH$43,2),SUM($CD204:CH204),0)+IF(RIGHT(DH$43,2)&gt;RIGHT($K204,2),CH204,0))</f>
        <v>0</v>
      </c>
      <c r="DI204" s="387">
        <f>+IF($K204="ongoing",CI204,IF(RIGHT($K204,2)=RIGHT(DI$43,2),SUM($CD204:CI204),0)+IF(RIGHT(DI$43,2)&gt;RIGHT($K204,2),CI204,0))</f>
        <v>0</v>
      </c>
      <c r="DJ204" s="387">
        <f>+IF($K204="ongoing",CJ204,IF(RIGHT($K204,2)=RIGHT(DJ$43,2),SUM($CD204:CJ204),0)+IF(RIGHT(DJ$43,2)&gt;RIGHT($K204,2),CJ204,0))</f>
        <v>0</v>
      </c>
      <c r="DK204" s="387">
        <f>+IF($K204="ongoing",CK204,IF(RIGHT($K204,2)=RIGHT(DK$43,2),SUM($CD204:CK204),0)+IF(RIGHT(DK$43,2)&gt;RIGHT($K204,2),CK204,0))</f>
        <v>0</v>
      </c>
      <c r="DL204" s="388">
        <f>+IF($K204="ongoing",CN204,IF(RIGHT($K204,2)=RIGHT(DL$43,2),SUM($CD204:CN204),0)+IF(RIGHT(DL$43,2)&gt;RIGHT($K204,2),CN204,0))</f>
        <v>0</v>
      </c>
      <c r="DM204" s="841"/>
      <c r="DN204" s="386">
        <f t="shared" si="334"/>
        <v>0.5</v>
      </c>
      <c r="DO204" s="387">
        <f t="shared" si="335"/>
        <v>1</v>
      </c>
      <c r="DP204" s="388">
        <f t="shared" si="336"/>
        <v>1</v>
      </c>
      <c r="DQ204" s="386">
        <f t="shared" si="337"/>
        <v>1</v>
      </c>
      <c r="DR204" s="387">
        <f t="shared" si="338"/>
        <v>1</v>
      </c>
      <c r="DS204" s="387">
        <f t="shared" si="339"/>
        <v>1</v>
      </c>
      <c r="DT204" s="387">
        <f t="shared" si="340"/>
        <v>1</v>
      </c>
      <c r="DU204" s="388">
        <f t="shared" si="341"/>
        <v>1</v>
      </c>
      <c r="DW204" s="386">
        <f t="shared" si="342"/>
        <v>0</v>
      </c>
      <c r="DX204" s="387">
        <f t="shared" si="343"/>
        <v>0.5</v>
      </c>
      <c r="DY204" s="388">
        <f t="shared" si="344"/>
        <v>1</v>
      </c>
      <c r="DZ204" s="386">
        <f t="shared" si="345"/>
        <v>1</v>
      </c>
      <c r="EA204" s="387">
        <f t="shared" si="346"/>
        <v>1</v>
      </c>
      <c r="EB204" s="387">
        <f t="shared" si="347"/>
        <v>1</v>
      </c>
      <c r="EC204" s="387">
        <f t="shared" si="348"/>
        <v>1</v>
      </c>
      <c r="ED204" s="388">
        <f t="shared" si="349"/>
        <v>1</v>
      </c>
      <c r="EF204" s="834">
        <f>+IF(DN204=DM204,0,
IF(AND(EF$44&gt;1,DN204=$N204),1-SUM($EE204:EE204),
IF($N204&lt;=1,
IF($N204&gt;0,1/$N204,0),
IF(EF$44=1,0,VDB(1,0,$N204,INT(EF$44-1-1),MIN($N204,INT(EF$44-1-1)+1),$DC204,IF($DD204="No",1,0))/
IF(DM204&gt;=INT($N204),$N204-INT($N204),1)))*
IF(EF$44=1,0,
IF(INT(DN204)=INT(DM204),DN204-DM204,INT(DN204)-DM204))+
IF($N204&lt;=1,
IF($N204&gt;0,1/$N204,0),VDB(1,0,$N204,INT(EF$44-1),MIN($N204,INT(EF$44-1)+1),$DC204,IF($DD204="No",1,0))/
IF(DN204&gt;INT($N204),$N204-INT($N204),1))*
IF(EF$44=1,DN204,
IF(INT(DN204)=INT(DM204),0,DN204-INT(DN204)))))</f>
        <v>0</v>
      </c>
      <c r="EG204" s="835">
        <f>+IF(DO204=DN204,0,
IF(AND(EG$44&gt;1,DO204=$N204),1-SUM($EE204:EF204),
IF($N204&lt;=1,
IF($N204&gt;0,1/$N204,0),
IF(EG$44=1,0,VDB(1,0,$N204,INT(EG$44-1-1),MIN($N204,INT(EG$44-1-1)+1),$DC204,IF($DD204="No",1,0))/
IF(DN204&gt;=INT($N204),$N204-INT($N204),1)))*
IF(EG$44=1,0,
IF(INT(DO204)=INT(DN204),DO204-DN204,INT(DO204)-DN204))+
IF($N204&lt;=1,
IF($N204&gt;0,1/$N204,0),VDB(1,0,$N204,INT(EG$44-1),MIN($N204,INT(EG$44-1)+1),$DC204,IF($DD204="No",1,0))/
IF(DO204&gt;INT($N204),$N204-INT($N204),1))*
IF(EG$44=1,DO204,
IF(INT(DO204)=INT(DN204),0,DO204-INT(DO204)))))</f>
        <v>0</v>
      </c>
      <c r="EH204" s="836">
        <f>+IF(DP204=DO204,0,
IF(AND(EH$44&gt;1,DP204=$N204),1-SUM($EE204:EG204),
IF($N204&lt;=1,
IF($N204&gt;0,1/$N204,0),
IF(EH$44=1,0,VDB(1,0,$N204,INT(EH$44-1-1),MIN($N204,INT(EH$44-1-1)+1),$DC204,IF($DD204="No",1,0))/
IF(DO204&gt;=INT($N204),$N204-INT($N204),1)))*
IF(EH$44=1,0,
IF(INT(DP204)=INT(DO204),DP204-DO204,INT(DP204)-DO204))+
IF($N204&lt;=1,
IF($N204&gt;0,1/$N204,0),VDB(1,0,$N204,INT(EH$44-1),MIN($N204,INT(EH$44-1)+1),$DC204,IF($DD204="No",1,0))/
IF(DP204&gt;INT($N204),$N204-INT($N204),1))*
IF(EH$44=1,DP204,
IF(INT(DP204)=INT(DO204),0,DP204-INT(DP204)))))</f>
        <v>0</v>
      </c>
      <c r="EI204" s="834">
        <f>+IF(DQ204=DP204,0,
IF(AND(EI$44&gt;1,DQ204=$N204),1-SUM($EE204:EH204),
IF($N204&lt;=1,
IF($N204&gt;0,1/$N204,0),
IF(EI$44=1,0,VDB(1,0,$N204,INT(EI$44-1-1),MIN($N204,INT(EI$44-1-1)+1),$DC204,IF($DD204="No",1,0))/
IF(DP204&gt;=INT($N204),$N204-INT($N204),1)))*
IF(EI$44=1,0,
IF(INT(DQ204)=INT(DP204),DQ204-DP204,INT(DQ204)-DP204))+
IF($N204&lt;=1,
IF($N204&gt;0,1/$N204,0),VDB(1,0,$N204,INT(EI$44-1),MIN($N204,INT(EI$44-1)+1),$DC204,IF($DD204="No",1,0))/
IF(DQ204&gt;INT($N204),$N204-INT($N204),1))*
IF(EI$44=1,DQ204,
IF(INT(DQ204)=INT(DP204),0,DQ204-INT(DQ204)))))</f>
        <v>0</v>
      </c>
      <c r="EJ204" s="835">
        <f>+IF(DR204=DQ204,0,
IF(AND(EJ$44&gt;1,DR204=$N204),1-SUM($EE204:EI204),
IF($N204&lt;=1,
IF($N204&gt;0,1/$N204,0),
IF(EJ$44=1,0,VDB(1,0,$N204,INT(EJ$44-1-1),MIN($N204,INT(EJ$44-1-1)+1),$DC204,IF($DD204="No",1,0))/
IF(DQ204&gt;=INT($N204),$N204-INT($N204),1)))*
IF(EJ$44=1,0,
IF(INT(DR204)=INT(DQ204),DR204-DQ204,INT(DR204)-DQ204))+
IF($N204&lt;=1,
IF($N204&gt;0,1/$N204,0),VDB(1,0,$N204,INT(EJ$44-1),MIN($N204,INT(EJ$44-1)+1),$DC204,IF($DD204="No",1,0))/
IF(DR204&gt;INT($N204),$N204-INT($N204),1))*
IF(EJ$44=1,DR204,
IF(INT(DR204)=INT(DQ204),0,DR204-INT(DR204)))))</f>
        <v>0</v>
      </c>
      <c r="EK204" s="835">
        <f>+IF(DS204=DR204,0,
IF(AND(EK$44&gt;1,DS204=$N204),1-SUM($EE204:EJ204),
IF($N204&lt;=1,
IF($N204&gt;0,1/$N204,0),
IF(EK$44=1,0,VDB(1,0,$N204,INT(EK$44-1-1),MIN($N204,INT(EK$44-1-1)+1),$DC204,IF($DD204="No",1,0))/
IF(DR204&gt;=INT($N204),$N204-INT($N204),1)))*
IF(EK$44=1,0,
IF(INT(DS204)=INT(DR204),DS204-DR204,INT(DS204)-DR204))+
IF($N204&lt;=1,
IF($N204&gt;0,1/$N204,0),VDB(1,0,$N204,INT(EK$44-1),MIN($N204,INT(EK$44-1)+1),$DC204,IF($DD204="No",1,0))/
IF(DS204&gt;INT($N204),$N204-INT($N204),1))*
IF(EK$44=1,DS204,
IF(INT(DS204)=INT(DR204),0,DS204-INT(DS204)))))</f>
        <v>0</v>
      </c>
      <c r="EL204" s="835">
        <f>+IF(DT204=DS204,0,
IF(AND(EL$44&gt;1,DT204=$N204),1-SUM($EE204:EK204),
IF($N204&lt;=1,
IF($N204&gt;0,1/$N204,0),
IF(EL$44=1,0,VDB(1,0,$N204,INT(EL$44-1-1),MIN($N204,INT(EL$44-1-1)+1),$DC204,IF($DD204="No",1,0))/
IF(DS204&gt;=INT($N204),$N204-INT($N204),1)))*
IF(EL$44=1,0,
IF(INT(DT204)=INT(DS204),DT204-DS204,INT(DT204)-DS204))+
IF($N204&lt;=1,
IF($N204&gt;0,1/$N204,0),VDB(1,0,$N204,INT(EL$44-1),MIN($N204,INT(EL$44-1)+1),$DC204,IF($DD204="No",1,0))/
IF(DT204&gt;INT($N204),$N204-INT($N204),1))*
IF(EL$44=1,DT204,
IF(INT(DT204)=INT(DS204),0,DT204-INT(DT204)))))</f>
        <v>0</v>
      </c>
      <c r="EM204" s="836">
        <f>+IF(DU204=DT204,0,
IF(AND(EM$44&gt;1,DU204=$N204),1-SUM($EE204:EL204),
IF($N204&lt;=1,
IF($N204&gt;0,1/$N204,0),
IF(EM$44=1,0,VDB(1,0,$N204,INT(EM$44-1-1),MIN($N204,INT(EM$44-1-1)+1),$DC204,IF($DD204="No",1,0))/
IF(DT204&gt;=INT($N204),$N204-INT($N204),1)))*
IF(EM$44=1,0,
IF(INT(DU204)=INT(DT204),DU204-DT204,INT(DU204)-DT204))+
IF($N204&lt;=1,
IF($N204&gt;0,1/$N204,0),VDB(1,0,$N204,INT(EM$44-1),MIN($N204,INT(EM$44-1)+1),$DC204,IF($DD204="No",1,0))/
IF(DU204&gt;INT($N204),$N204-INT($N204),1))*
IF(EM$44=1,DU204,
IF(INT(DU204)=INT(DT204),0,DU204-INT(DU204)))))</f>
        <v>0</v>
      </c>
      <c r="EN204" s="833"/>
      <c r="EO204" s="834">
        <f>+IF(OR(DW204=DV204,EO$44=1),0,
IF(AND(EO$44&gt;1,DW204=$N204),1-SUM($EN204:EN204),
IF($N204&lt;=1,
IF($N204&gt;0,1/$N204,0),
IF(EO$44=2,0,VDB(1,0,$N204,INT(EO$44-2-1),MIN($N204,INT(EO$44-2-1)+1),$DC204,IF($DD204="No",1,0))/
IF(DV204&gt;=INT($N204),$N204-INT($N204),1)))*
IF(EO$44=2,0,
IF(INT(DW204)=INT(DV204),DW204-DV204,INT(DW204)-DV204))+
IF($N204&lt;=1,
IF($N204&gt;0,1/$N204,0),VDB(1,0,$N204,INT(EO$44-2),MIN($N204,INT(EO$44-2)+1),$DC204,IF($DD204="No",1,0))/
IF(DW204&gt;INT($N204),$N204-INT($N204),1))*
IF(EO$44=2,DW204,
IF(INT(DW204)=INT(DV204),0,DW204-INT(DW204)))))</f>
        <v>0</v>
      </c>
      <c r="EP204" s="835">
        <f>+IF(OR(DX204=DW204,EP$44=1),0,
IF(AND(EP$44&gt;1,DX204=$N204),1-SUM($EN204:EO204),
IF($N204&lt;=1,
IF($N204&gt;0,1/$N204,0),
IF(EP$44=2,0,VDB(1,0,$N204,INT(EP$44-2-1),MIN($N204,INT(EP$44-2-1)+1),$DC204,IF($DD204="No",1,0))/
IF(DW204&gt;=INT($N204),$N204-INT($N204),1)))*
IF(EP$44=2,0,
IF(INT(DX204)=INT(DW204),DX204-DW204,INT(DX204)-DW204))+
IF($N204&lt;=1,
IF($N204&gt;0,1/$N204,0),VDB(1,0,$N204,INT(EP$44-2),MIN($N204,INT(EP$44-2)+1),$DC204,IF($DD204="No",1,0))/
IF(DX204&gt;INT($N204),$N204-INT($N204),1))*
IF(EP$44=2,DX204,
IF(INT(DX204)=INT(DW204),0,DX204-INT(DX204)))))</f>
        <v>0</v>
      </c>
      <c r="EQ204" s="836">
        <f>+IF(OR(DY204=DX204,EQ$44=1),0,
IF(AND(EQ$44&gt;1,DY204=$N204),1-SUM($EN204:EP204),
IF($N204&lt;=1,
IF($N204&gt;0,1/$N204,0),
IF(EQ$44=2,0,VDB(1,0,$N204,INT(EQ$44-2-1),MIN($N204,INT(EQ$44-2-1)+1),$DC204,IF($DD204="No",1,0))/
IF(DX204&gt;=INT($N204),$N204-INT($N204),1)))*
IF(EQ$44=2,0,
IF(INT(DY204)=INT(DX204),DY204-DX204,INT(DY204)-DX204))+
IF($N204&lt;=1,
IF($N204&gt;0,1/$N204,0),VDB(1,0,$N204,INT(EQ$44-2),MIN($N204,INT(EQ$44-2)+1),$DC204,IF($DD204="No",1,0))/
IF(DY204&gt;INT($N204),$N204-INT($N204),1))*
IF(EQ$44=2,DY204,
IF(INT(DY204)=INT(DX204),0,DY204-INT(DY204)))))</f>
        <v>0</v>
      </c>
      <c r="ER204" s="834">
        <f>+IF(OR(DZ204=DY204,ER$44=1),0,
IF(AND(ER$44&gt;1,DZ204=$N204),1-SUM($EN204:EQ204),
IF($N204&lt;=1,
IF($N204&gt;0,1/$N204,0),
IF(ER$44=2,0,VDB(1,0,$N204,INT(ER$44-2-1),MIN($N204,INT(ER$44-2-1)+1),$DC204,IF($DD204="No",1,0))/
IF(DY204&gt;=INT($N204),$N204-INT($N204),1)))*
IF(ER$44=2,0,
IF(INT(DZ204)=INT(DY204),DZ204-DY204,INT(DZ204)-DY204))+
IF($N204&lt;=1,
IF($N204&gt;0,1/$N204,0),VDB(1,0,$N204,INT(ER$44-2),MIN($N204,INT(ER$44-2)+1),$DC204,IF($DD204="No",1,0))/
IF(DZ204&gt;INT($N204),$N204-INT($N204),1))*
IF(ER$44=2,DZ204,
IF(INT(DZ204)=INT(DY204),0,DZ204-INT(DZ204)))))</f>
        <v>0</v>
      </c>
      <c r="ES204" s="835">
        <f>+IF(OR(EA204=DZ204,ES$44=1),0,
IF(AND(ES$44&gt;1,EA204=$N204),1-SUM($EN204:ER204),
IF($N204&lt;=1,
IF($N204&gt;0,1/$N204,0),
IF(ES$44=2,0,VDB(1,0,$N204,INT(ES$44-2-1),MIN($N204,INT(ES$44-2-1)+1),$DC204,IF($DD204="No",1,0))/
IF(DZ204&gt;=INT($N204),$N204-INT($N204),1)))*
IF(ES$44=2,0,
IF(INT(EA204)=INT(DZ204),EA204-DZ204,INT(EA204)-DZ204))+
IF($N204&lt;=1,
IF($N204&gt;0,1/$N204,0),VDB(1,0,$N204,INT(ES$44-2),MIN($N204,INT(ES$44-2)+1),$DC204,IF($DD204="No",1,0))/
IF(EA204&gt;INT($N204),$N204-INT($N204),1))*
IF(ES$44=2,EA204,
IF(INT(EA204)=INT(DZ204),0,EA204-INT(EA204)))))</f>
        <v>0</v>
      </c>
      <c r="ET204" s="835">
        <f>+IF(OR(EB204=EA204,ET$44=1),0,
IF(AND(ET$44&gt;1,EB204=$N204),1-SUM($EN204:ES204),
IF($N204&lt;=1,
IF($N204&gt;0,1/$N204,0),
IF(ET$44=2,0,VDB(1,0,$N204,INT(ET$44-2-1),MIN($N204,INT(ET$44-2-1)+1),$DC204,IF($DD204="No",1,0))/
IF(EA204&gt;=INT($N204),$N204-INT($N204),1)))*
IF(ET$44=2,0,
IF(INT(EB204)=INT(EA204),EB204-EA204,INT(EB204)-EA204))+
IF($N204&lt;=1,
IF($N204&gt;0,1/$N204,0),VDB(1,0,$N204,INT(ET$44-2),MIN($N204,INT(ET$44-2)+1),$DC204,IF($DD204="No",1,0))/
IF(EB204&gt;INT($N204),$N204-INT($N204),1))*
IF(ET$44=2,EB204,
IF(INT(EB204)=INT(EA204),0,EB204-INT(EB204)))))</f>
        <v>0</v>
      </c>
      <c r="EU204" s="835">
        <f>+IF(OR(EC204=EB204,EU$44=1),0,
IF(AND(EU$44&gt;1,EC204=$N204),1-SUM($EN204:ET204),
IF($N204&lt;=1,
IF($N204&gt;0,1/$N204,0),
IF(EU$44=2,0,VDB(1,0,$N204,INT(EU$44-2-1),MIN($N204,INT(EU$44-2-1)+1),$DC204,IF($DD204="No",1,0))/
IF(EB204&gt;=INT($N204),$N204-INT($N204),1)))*
IF(EU$44=2,0,
IF(INT(EC204)=INT(EB204),EC204-EB204,INT(EC204)-EB204))+
IF($N204&lt;=1,
IF($N204&gt;0,1/$N204,0),VDB(1,0,$N204,INT(EU$44-2),MIN($N204,INT(EU$44-2)+1),$DC204,IF($DD204="No",1,0))/
IF(EC204&gt;INT($N204),$N204-INT($N204),1))*
IF(EU$44=2,EC204,
IF(INT(EC204)=INT(EB204),0,EC204-INT(EC204)))))</f>
        <v>0</v>
      </c>
      <c r="EV204" s="836">
        <f>+IF(OR(ED204=EC204,EV$44=1),0,
IF(AND(EV$44&gt;1,ED204=$N204),1-SUM($EN204:EU204),
IF($N204&lt;=1,
IF($N204&gt;0,1/$N204,0),
IF(EV$44=2,0,VDB(1,0,$N204,INT(EV$44-2-1),MIN($N204,INT(EV$44-2-1)+1),$DC204,IF($DD204="No",1,0))/
IF(EC204&gt;=INT($N204),$N204-INT($N204),1)))*
IF(EV$44=2,0,
IF(INT(ED204)=INT(EC204),ED204-EC204,INT(ED204)-EC204))+
IF($N204&lt;=1,
IF($N204&gt;0,1/$N204,0),VDB(1,0,$N204,INT(EV$44-2),MIN($N204,INT(EV$44-2)+1),$DC204,IF($DD204="No",1,0))/
IF(ED204&gt;INT($N204),$N204-INT($N204),1))*
IF(EV$44=2,ED204,
IF(INT(ED204)=INT(EC204),0,ED204-INT(ED204)))))</f>
        <v>0</v>
      </c>
      <c r="EW204" s="833"/>
      <c r="EX204" s="834">
        <f t="shared" ca="1" si="360"/>
        <v>0</v>
      </c>
      <c r="EY204" s="835">
        <f t="shared" ca="1" si="360"/>
        <v>0</v>
      </c>
      <c r="EZ204" s="836">
        <f t="shared" ca="1" si="360"/>
        <v>0</v>
      </c>
      <c r="FA204" s="834">
        <f t="shared" ca="1" si="360"/>
        <v>0</v>
      </c>
      <c r="FB204" s="835">
        <f t="shared" ca="1" si="360"/>
        <v>0</v>
      </c>
      <c r="FC204" s="835">
        <f t="shared" ca="1" si="360"/>
        <v>0</v>
      </c>
      <c r="FD204" s="835">
        <f t="shared" ca="1" si="360"/>
        <v>0</v>
      </c>
      <c r="FE204" s="836">
        <f t="shared" ca="1" si="360"/>
        <v>0</v>
      </c>
      <c r="FG204" s="386">
        <f t="shared" ca="1" si="351"/>
        <v>0</v>
      </c>
      <c r="FH204" s="387">
        <f t="shared" ca="1" si="352"/>
        <v>0</v>
      </c>
      <c r="FI204" s="388">
        <f t="shared" ca="1" si="353"/>
        <v>0</v>
      </c>
      <c r="FJ204" s="386">
        <f t="shared" ca="1" si="354"/>
        <v>0</v>
      </c>
      <c r="FK204" s="387">
        <f t="shared" ca="1" si="355"/>
        <v>0</v>
      </c>
      <c r="FL204" s="387">
        <f t="shared" ca="1" si="356"/>
        <v>0</v>
      </c>
      <c r="FM204" s="387">
        <f t="shared" ca="1" si="357"/>
        <v>0</v>
      </c>
      <c r="FN204" s="388">
        <f t="shared" ca="1" si="358"/>
        <v>0</v>
      </c>
      <c r="FR204" s="116"/>
    </row>
    <row r="205" spans="2:174">
      <c r="B205" s="1410">
        <f t="shared" si="359"/>
        <v>159</v>
      </c>
      <c r="C205" s="400"/>
      <c r="D205" s="410"/>
      <c r="E205" s="402"/>
      <c r="F205" s="402"/>
      <c r="G205" s="400"/>
      <c r="H205" s="2088"/>
      <c r="I205" s="2089"/>
      <c r="J205" s="411"/>
      <c r="K205" s="403"/>
      <c r="L205" s="403"/>
      <c r="M205" s="403"/>
      <c r="N205" s="403"/>
      <c r="O205" s="347"/>
      <c r="P205" s="347"/>
      <c r="Q205" s="1021"/>
      <c r="R205" s="1022"/>
      <c r="S205" s="1022"/>
      <c r="T205" s="1022"/>
      <c r="U205" s="1023"/>
      <c r="V205" s="1021"/>
      <c r="W205" s="1022"/>
      <c r="X205" s="1022"/>
      <c r="Y205" s="1022"/>
      <c r="Z205" s="1023"/>
      <c r="AA205" s="1024"/>
      <c r="AB205" s="1021"/>
      <c r="AC205" s="1022"/>
      <c r="AD205" s="1022"/>
      <c r="AE205" s="1022"/>
      <c r="AF205" s="1023"/>
      <c r="AG205" s="1021"/>
      <c r="AH205" s="1022"/>
      <c r="AI205" s="1022"/>
      <c r="AJ205" s="1022"/>
      <c r="AK205" s="1023"/>
      <c r="AL205" s="1024"/>
      <c r="AM205" s="1021"/>
      <c r="AN205" s="1022"/>
      <c r="AO205" s="1022"/>
      <c r="AP205" s="1022"/>
      <c r="AQ205" s="1023"/>
      <c r="AR205" s="1021"/>
      <c r="AS205" s="1022"/>
      <c r="AT205" s="1022"/>
      <c r="AU205" s="1022"/>
      <c r="AV205" s="1023"/>
      <c r="AW205" s="1025"/>
      <c r="AX205" s="1282">
        <f t="shared" si="304"/>
        <v>0</v>
      </c>
      <c r="AY205" s="387">
        <f t="shared" si="305"/>
        <v>0</v>
      </c>
      <c r="AZ205" s="387">
        <f t="shared" si="306"/>
        <v>0</v>
      </c>
      <c r="BA205" s="387">
        <f t="shared" si="307"/>
        <v>0</v>
      </c>
      <c r="BB205" s="1283">
        <f t="shared" si="308"/>
        <v>0</v>
      </c>
      <c r="BC205" s="386">
        <f t="shared" si="309"/>
        <v>0</v>
      </c>
      <c r="BD205" s="387">
        <f t="shared" si="310"/>
        <v>0</v>
      </c>
      <c r="BE205" s="1277">
        <f t="shared" si="311"/>
        <v>0</v>
      </c>
      <c r="BF205" s="1277">
        <f t="shared" si="312"/>
        <v>0</v>
      </c>
      <c r="BG205" s="388">
        <f t="shared" si="313"/>
        <v>0</v>
      </c>
      <c r="BH205" s="1025"/>
      <c r="BI205" s="1282">
        <f t="shared" ca="1" si="314"/>
        <v>0</v>
      </c>
      <c r="BJ205" s="387">
        <f t="shared" ca="1" si="315"/>
        <v>0</v>
      </c>
      <c r="BK205" s="387">
        <f t="shared" ca="1" si="316"/>
        <v>0</v>
      </c>
      <c r="BL205" s="387">
        <f t="shared" ca="1" si="317"/>
        <v>0</v>
      </c>
      <c r="BM205" s="1283">
        <f t="shared" ca="1" si="318"/>
        <v>0</v>
      </c>
      <c r="BN205" s="386">
        <f t="shared" ca="1" si="319"/>
        <v>0</v>
      </c>
      <c r="BO205" s="387">
        <f t="shared" ca="1" si="320"/>
        <v>0</v>
      </c>
      <c r="BP205" s="1277">
        <f t="shared" ca="1" si="321"/>
        <v>0</v>
      </c>
      <c r="BQ205" s="1277">
        <f t="shared" ca="1" si="322"/>
        <v>0</v>
      </c>
      <c r="BR205" s="388">
        <f t="shared" ca="1" si="323"/>
        <v>0</v>
      </c>
      <c r="BS205" s="1025"/>
      <c r="BT205" s="1282">
        <f>+IF($K205="Ongoing",AX205,IF(RIGHT($K205,2)=RIGHT(BT$43,2),SUM($AX205:AX205),0)+IF(RIGHT(BT$43,2)&gt;RIGHT($K205,2),AX205,0))</f>
        <v>0</v>
      </c>
      <c r="BU205" s="387">
        <f>+IF($K205="Ongoing",AY205,IF(RIGHT($K205,2)=RIGHT(BU$43,2),SUM($AX205:AY205),0)+IF(RIGHT(BU$43,2)&gt;RIGHT($K205,2),AY205,0))</f>
        <v>0</v>
      </c>
      <c r="BV205" s="387">
        <f>+IF($K205="Ongoing",AZ205,IF(RIGHT($K205,2)=RIGHT(BV$43,2),SUM($AX205:AZ205),0)+IF(RIGHT(BV$43,2)&gt;RIGHT($K205,2),AZ205,0))</f>
        <v>0</v>
      </c>
      <c r="BW205" s="387">
        <f>+IF($K205="Ongoing",BA205,IF(RIGHT($K205,2)=RIGHT(BW$43,2),SUM($AX205:BA205),0)+IF(RIGHT(BW$43,2)&gt;RIGHT($K205,2),BA205,0))</f>
        <v>0</v>
      </c>
      <c r="BX205" s="1283">
        <f>+IF($K205="Ongoing",BB205,IF(RIGHT($K205,2)=RIGHT(BX$43,2),SUM($AX205:BB205),0)+IF(RIGHT(BX$43,2)&gt;RIGHT($K205,2),BB205,0))</f>
        <v>0</v>
      </c>
      <c r="BY205" s="386">
        <f>+IF($K205="Ongoing",BC205,IF(RIGHT($K205,2)=RIGHT(BY$43,2),SUM($AX205:BC205),0)+IF(RIGHT(BY$43,2)&gt;RIGHT($K205,2),BC205,0))</f>
        <v>0</v>
      </c>
      <c r="BZ205" s="387">
        <f>+IF($K205="Ongoing",BD205,IF(RIGHT($K205,2)=RIGHT(BZ$43,2),SUM($AX205:BD205),0)+IF(RIGHT(BZ$43,2)&gt;RIGHT($K205,2),BD205,0))</f>
        <v>0</v>
      </c>
      <c r="CA205" s="1277">
        <f>+IF($K205="Ongoing",BE205,IF(RIGHT($K205,2)=RIGHT(CA$43,2),SUM($AX205:BE205),0)+IF(RIGHT(CA$43,2)&gt;RIGHT($K205,2),BE205,0))</f>
        <v>0</v>
      </c>
      <c r="CB205" s="1277">
        <f>+IF($K205="Ongoing",BF205,IF(RIGHT($K205,2)=RIGHT(CB$43,2),SUM($AX205:BF205),0)+IF(RIGHT(CB$43,2)&gt;RIGHT($K205,2),BF205,0))</f>
        <v>0</v>
      </c>
      <c r="CC205" s="388">
        <f>+IF($K205="Ongoing",BG205,IF(RIGHT($K205,2)=RIGHT(CC$43,2),SUM($AX205:BG205),0)+IF(RIGHT(CC$43,2)&gt;RIGHT($K205,2),BG205,0))</f>
        <v>0</v>
      </c>
      <c r="CD205" s="1025"/>
      <c r="CE205" s="1282">
        <f>+Q205*KeyAssumptionsPriceControl_FO!AF$15</f>
        <v>0</v>
      </c>
      <c r="CF205" s="387">
        <f>+R205*KeyAssumptionsPriceControl_FO!AG$15</f>
        <v>0</v>
      </c>
      <c r="CG205" s="387">
        <f>+S205*KeyAssumptionsPriceControl_FO!AH$15</f>
        <v>0</v>
      </c>
      <c r="CH205" s="387">
        <f>+T205*KeyAssumptionsPriceControl_FO!AI$15</f>
        <v>0</v>
      </c>
      <c r="CI205" s="1283">
        <f>+U205*KeyAssumptionsPriceControl_FO!AJ$15</f>
        <v>0</v>
      </c>
      <c r="CJ205" s="386">
        <f>+V205*KeyAssumptionsPriceControl_FO!AK$15</f>
        <v>0</v>
      </c>
      <c r="CK205" s="387">
        <f>+W205*KeyAssumptionsPriceControl_FO!AL$15</f>
        <v>0</v>
      </c>
      <c r="CL205" s="1277">
        <f>+X205*KeyAssumptionsPriceControl_FO!AM$15</f>
        <v>0</v>
      </c>
      <c r="CM205" s="1277">
        <f>+Y205*KeyAssumptionsPriceControl_FO!AN$15</f>
        <v>0</v>
      </c>
      <c r="CN205" s="388">
        <f>+Z205*KeyAssumptionsPriceControl_FO!AO$15</f>
        <v>0</v>
      </c>
      <c r="CO205" s="1025"/>
      <c r="CP205" s="1282">
        <f t="shared" ca="1" si="324"/>
        <v>0</v>
      </c>
      <c r="CQ205" s="387">
        <f t="shared" ca="1" si="325"/>
        <v>0</v>
      </c>
      <c r="CR205" s="387">
        <f t="shared" ca="1" si="326"/>
        <v>0</v>
      </c>
      <c r="CS205" s="387">
        <f t="shared" ca="1" si="327"/>
        <v>0</v>
      </c>
      <c r="CT205" s="1283">
        <f t="shared" ca="1" si="328"/>
        <v>0</v>
      </c>
      <c r="CU205" s="386">
        <f t="shared" ca="1" si="329"/>
        <v>0</v>
      </c>
      <c r="CV205" s="387">
        <f t="shared" ca="1" si="330"/>
        <v>0</v>
      </c>
      <c r="CW205" s="1277">
        <f t="shared" ca="1" si="331"/>
        <v>0</v>
      </c>
      <c r="CX205" s="1277">
        <f t="shared" ca="1" si="332"/>
        <v>0</v>
      </c>
      <c r="CY205" s="388">
        <f t="shared" ca="1" si="333"/>
        <v>0</v>
      </c>
      <c r="CZ205" s="347"/>
      <c r="DA205" s="852"/>
      <c r="DB205" s="347"/>
      <c r="DC205" s="1012" t="s">
        <v>726</v>
      </c>
      <c r="DD205" s="841" t="s">
        <v>518</v>
      </c>
      <c r="DE205" s="386">
        <f>+IF($K205="ongoing",CE205,IF(RIGHT($K205,2)=RIGHT(DE$43,2),SUM($CD205:CE205),0)+IF(RIGHT(DE$43,2)&gt;RIGHT($K205,2),CE205,0))</f>
        <v>0</v>
      </c>
      <c r="DF205" s="387">
        <f>+IF($K205="ongoing",CF205,IF(RIGHT($K205,2)=RIGHT(DF$43,2),SUM($CD205:CF205),0)+IF(RIGHT(DF$43,2)&gt;RIGHT($K205,2),CF205,0))</f>
        <v>0</v>
      </c>
      <c r="DG205" s="388">
        <f>+IF($K205="ongoing",CG205,IF(RIGHT($K205,2)=RIGHT(DG$43,2),SUM($CD205:CG205),0)+IF(RIGHT(DG$43,2)&gt;RIGHT($K205,2),CG205,0))</f>
        <v>0</v>
      </c>
      <c r="DH205" s="386">
        <f>+IF($K205="ongoing",CH205,IF(RIGHT($K205,2)=RIGHT(DH$43,2),SUM($CD205:CH205),0)+IF(RIGHT(DH$43,2)&gt;RIGHT($K205,2),CH205,0))</f>
        <v>0</v>
      </c>
      <c r="DI205" s="387">
        <f>+IF($K205="ongoing",CI205,IF(RIGHT($K205,2)=RIGHT(DI$43,2),SUM($CD205:CI205),0)+IF(RIGHT(DI$43,2)&gt;RIGHT($K205,2),CI205,0))</f>
        <v>0</v>
      </c>
      <c r="DJ205" s="387">
        <f>+IF($K205="ongoing",CJ205,IF(RIGHT($K205,2)=RIGHT(DJ$43,2),SUM($CD205:CJ205),0)+IF(RIGHT(DJ$43,2)&gt;RIGHT($K205,2),CJ205,0))</f>
        <v>0</v>
      </c>
      <c r="DK205" s="387">
        <f>+IF($K205="ongoing",CK205,IF(RIGHT($K205,2)=RIGHT(DK$43,2),SUM($CD205:CK205),0)+IF(RIGHT(DK$43,2)&gt;RIGHT($K205,2),CK205,0))</f>
        <v>0</v>
      </c>
      <c r="DL205" s="388">
        <f>+IF($K205="ongoing",CN205,IF(RIGHT($K205,2)=RIGHT(DL$43,2),SUM($CD205:CN205),0)+IF(RIGHT(DL$43,2)&gt;RIGHT($K205,2),CN205,0))</f>
        <v>0</v>
      </c>
      <c r="DM205" s="841"/>
      <c r="DN205" s="386">
        <f t="shared" si="334"/>
        <v>0.5</v>
      </c>
      <c r="DO205" s="387">
        <f t="shared" si="335"/>
        <v>1</v>
      </c>
      <c r="DP205" s="388">
        <f t="shared" si="336"/>
        <v>1</v>
      </c>
      <c r="DQ205" s="386">
        <f t="shared" si="337"/>
        <v>1</v>
      </c>
      <c r="DR205" s="387">
        <f t="shared" si="338"/>
        <v>1</v>
      </c>
      <c r="DS205" s="387">
        <f t="shared" si="339"/>
        <v>1</v>
      </c>
      <c r="DT205" s="387">
        <f t="shared" si="340"/>
        <v>1</v>
      </c>
      <c r="DU205" s="388">
        <f t="shared" si="341"/>
        <v>1</v>
      </c>
      <c r="DW205" s="386">
        <f t="shared" si="342"/>
        <v>0</v>
      </c>
      <c r="DX205" s="387">
        <f t="shared" si="343"/>
        <v>0.5</v>
      </c>
      <c r="DY205" s="388">
        <f t="shared" si="344"/>
        <v>1</v>
      </c>
      <c r="DZ205" s="386">
        <f t="shared" si="345"/>
        <v>1</v>
      </c>
      <c r="EA205" s="387">
        <f t="shared" si="346"/>
        <v>1</v>
      </c>
      <c r="EB205" s="387">
        <f t="shared" si="347"/>
        <v>1</v>
      </c>
      <c r="EC205" s="387">
        <f t="shared" si="348"/>
        <v>1</v>
      </c>
      <c r="ED205" s="388">
        <f t="shared" si="349"/>
        <v>1</v>
      </c>
      <c r="EF205" s="834">
        <f>+IF(DN205=DM205,0,
IF(AND(EF$44&gt;1,DN205=$N205),1-SUM($EE205:EE205),
IF($N205&lt;=1,
IF($N205&gt;0,1/$N205,0),
IF(EF$44=1,0,VDB(1,0,$N205,INT(EF$44-1-1),MIN($N205,INT(EF$44-1-1)+1),$DC205,IF($DD205="No",1,0))/
IF(DM205&gt;=INT($N205),$N205-INT($N205),1)))*
IF(EF$44=1,0,
IF(INT(DN205)=INT(DM205),DN205-DM205,INT(DN205)-DM205))+
IF($N205&lt;=1,
IF($N205&gt;0,1/$N205,0),VDB(1,0,$N205,INT(EF$44-1),MIN($N205,INT(EF$44-1)+1),$DC205,IF($DD205="No",1,0))/
IF(DN205&gt;INT($N205),$N205-INT($N205),1))*
IF(EF$44=1,DN205,
IF(INT(DN205)=INT(DM205),0,DN205-INT(DN205)))))</f>
        <v>0</v>
      </c>
      <c r="EG205" s="835">
        <f>+IF(DO205=DN205,0,
IF(AND(EG$44&gt;1,DO205=$N205),1-SUM($EE205:EF205),
IF($N205&lt;=1,
IF($N205&gt;0,1/$N205,0),
IF(EG$44=1,0,VDB(1,0,$N205,INT(EG$44-1-1),MIN($N205,INT(EG$44-1-1)+1),$DC205,IF($DD205="No",1,0))/
IF(DN205&gt;=INT($N205),$N205-INT($N205),1)))*
IF(EG$44=1,0,
IF(INT(DO205)=INT(DN205),DO205-DN205,INT(DO205)-DN205))+
IF($N205&lt;=1,
IF($N205&gt;0,1/$N205,0),VDB(1,0,$N205,INT(EG$44-1),MIN($N205,INT(EG$44-1)+1),$DC205,IF($DD205="No",1,0))/
IF(DO205&gt;INT($N205),$N205-INT($N205),1))*
IF(EG$44=1,DO205,
IF(INT(DO205)=INT(DN205),0,DO205-INT(DO205)))))</f>
        <v>0</v>
      </c>
      <c r="EH205" s="836">
        <f>+IF(DP205=DO205,0,
IF(AND(EH$44&gt;1,DP205=$N205),1-SUM($EE205:EG205),
IF($N205&lt;=1,
IF($N205&gt;0,1/$N205,0),
IF(EH$44=1,0,VDB(1,0,$N205,INT(EH$44-1-1),MIN($N205,INT(EH$44-1-1)+1),$DC205,IF($DD205="No",1,0))/
IF(DO205&gt;=INT($N205),$N205-INT($N205),1)))*
IF(EH$44=1,0,
IF(INT(DP205)=INT(DO205),DP205-DO205,INT(DP205)-DO205))+
IF($N205&lt;=1,
IF($N205&gt;0,1/$N205,0),VDB(1,0,$N205,INT(EH$44-1),MIN($N205,INT(EH$44-1)+1),$DC205,IF($DD205="No",1,0))/
IF(DP205&gt;INT($N205),$N205-INT($N205),1))*
IF(EH$44=1,DP205,
IF(INT(DP205)=INT(DO205),0,DP205-INT(DP205)))))</f>
        <v>0</v>
      </c>
      <c r="EI205" s="834">
        <f>+IF(DQ205=DP205,0,
IF(AND(EI$44&gt;1,DQ205=$N205),1-SUM($EE205:EH205),
IF($N205&lt;=1,
IF($N205&gt;0,1/$N205,0),
IF(EI$44=1,0,VDB(1,0,$N205,INT(EI$44-1-1),MIN($N205,INT(EI$44-1-1)+1),$DC205,IF($DD205="No",1,0))/
IF(DP205&gt;=INT($N205),$N205-INT($N205),1)))*
IF(EI$44=1,0,
IF(INT(DQ205)=INT(DP205),DQ205-DP205,INT(DQ205)-DP205))+
IF($N205&lt;=1,
IF($N205&gt;0,1/$N205,0),VDB(1,0,$N205,INT(EI$44-1),MIN($N205,INT(EI$44-1)+1),$DC205,IF($DD205="No",1,0))/
IF(DQ205&gt;INT($N205),$N205-INT($N205),1))*
IF(EI$44=1,DQ205,
IF(INT(DQ205)=INT(DP205),0,DQ205-INT(DQ205)))))</f>
        <v>0</v>
      </c>
      <c r="EJ205" s="835">
        <f>+IF(DR205=DQ205,0,
IF(AND(EJ$44&gt;1,DR205=$N205),1-SUM($EE205:EI205),
IF($N205&lt;=1,
IF($N205&gt;0,1/$N205,0),
IF(EJ$44=1,0,VDB(1,0,$N205,INT(EJ$44-1-1),MIN($N205,INT(EJ$44-1-1)+1),$DC205,IF($DD205="No",1,0))/
IF(DQ205&gt;=INT($N205),$N205-INT($N205),1)))*
IF(EJ$44=1,0,
IF(INT(DR205)=INT(DQ205),DR205-DQ205,INT(DR205)-DQ205))+
IF($N205&lt;=1,
IF($N205&gt;0,1/$N205,0),VDB(1,0,$N205,INT(EJ$44-1),MIN($N205,INT(EJ$44-1)+1),$DC205,IF($DD205="No",1,0))/
IF(DR205&gt;INT($N205),$N205-INT($N205),1))*
IF(EJ$44=1,DR205,
IF(INT(DR205)=INT(DQ205),0,DR205-INT(DR205)))))</f>
        <v>0</v>
      </c>
      <c r="EK205" s="835">
        <f>+IF(DS205=DR205,0,
IF(AND(EK$44&gt;1,DS205=$N205),1-SUM($EE205:EJ205),
IF($N205&lt;=1,
IF($N205&gt;0,1/$N205,0),
IF(EK$44=1,0,VDB(1,0,$N205,INT(EK$44-1-1),MIN($N205,INT(EK$44-1-1)+1),$DC205,IF($DD205="No",1,0))/
IF(DR205&gt;=INT($N205),$N205-INT($N205),1)))*
IF(EK$44=1,0,
IF(INT(DS205)=INT(DR205),DS205-DR205,INT(DS205)-DR205))+
IF($N205&lt;=1,
IF($N205&gt;0,1/$N205,0),VDB(1,0,$N205,INT(EK$44-1),MIN($N205,INT(EK$44-1)+1),$DC205,IF($DD205="No",1,0))/
IF(DS205&gt;INT($N205),$N205-INT($N205),1))*
IF(EK$44=1,DS205,
IF(INT(DS205)=INT(DR205),0,DS205-INT(DS205)))))</f>
        <v>0</v>
      </c>
      <c r="EL205" s="835">
        <f>+IF(DT205=DS205,0,
IF(AND(EL$44&gt;1,DT205=$N205),1-SUM($EE205:EK205),
IF($N205&lt;=1,
IF($N205&gt;0,1/$N205,0),
IF(EL$44=1,0,VDB(1,0,$N205,INT(EL$44-1-1),MIN($N205,INT(EL$44-1-1)+1),$DC205,IF($DD205="No",1,0))/
IF(DS205&gt;=INT($N205),$N205-INT($N205),1)))*
IF(EL$44=1,0,
IF(INT(DT205)=INT(DS205),DT205-DS205,INT(DT205)-DS205))+
IF($N205&lt;=1,
IF($N205&gt;0,1/$N205,0),VDB(1,0,$N205,INT(EL$44-1),MIN($N205,INT(EL$44-1)+1),$DC205,IF($DD205="No",1,0))/
IF(DT205&gt;INT($N205),$N205-INT($N205),1))*
IF(EL$44=1,DT205,
IF(INT(DT205)=INT(DS205),0,DT205-INT(DT205)))))</f>
        <v>0</v>
      </c>
      <c r="EM205" s="836">
        <f>+IF(DU205=DT205,0,
IF(AND(EM$44&gt;1,DU205=$N205),1-SUM($EE205:EL205),
IF($N205&lt;=1,
IF($N205&gt;0,1/$N205,0),
IF(EM$44=1,0,VDB(1,0,$N205,INT(EM$44-1-1),MIN($N205,INT(EM$44-1-1)+1),$DC205,IF($DD205="No",1,0))/
IF(DT205&gt;=INT($N205),$N205-INT($N205),1)))*
IF(EM$44=1,0,
IF(INT(DU205)=INT(DT205),DU205-DT205,INT(DU205)-DT205))+
IF($N205&lt;=1,
IF($N205&gt;0,1/$N205,0),VDB(1,0,$N205,INT(EM$44-1),MIN($N205,INT(EM$44-1)+1),$DC205,IF($DD205="No",1,0))/
IF(DU205&gt;INT($N205),$N205-INT($N205),1))*
IF(EM$44=1,DU205,
IF(INT(DU205)=INT(DT205),0,DU205-INT(DU205)))))</f>
        <v>0</v>
      </c>
      <c r="EN205" s="833"/>
      <c r="EO205" s="834">
        <f>+IF(OR(DW205=DV205,EO$44=1),0,
IF(AND(EO$44&gt;1,DW205=$N205),1-SUM($EN205:EN205),
IF($N205&lt;=1,
IF($N205&gt;0,1/$N205,0),
IF(EO$44=2,0,VDB(1,0,$N205,INT(EO$44-2-1),MIN($N205,INT(EO$44-2-1)+1),$DC205,IF($DD205="No",1,0))/
IF(DV205&gt;=INT($N205),$N205-INT($N205),1)))*
IF(EO$44=2,0,
IF(INT(DW205)=INT(DV205),DW205-DV205,INT(DW205)-DV205))+
IF($N205&lt;=1,
IF($N205&gt;0,1/$N205,0),VDB(1,0,$N205,INT(EO$44-2),MIN($N205,INT(EO$44-2)+1),$DC205,IF($DD205="No",1,0))/
IF(DW205&gt;INT($N205),$N205-INT($N205),1))*
IF(EO$44=2,DW205,
IF(INT(DW205)=INT(DV205),0,DW205-INT(DW205)))))</f>
        <v>0</v>
      </c>
      <c r="EP205" s="835">
        <f>+IF(OR(DX205=DW205,EP$44=1),0,
IF(AND(EP$44&gt;1,DX205=$N205),1-SUM($EN205:EO205),
IF($N205&lt;=1,
IF($N205&gt;0,1/$N205,0),
IF(EP$44=2,0,VDB(1,0,$N205,INT(EP$44-2-1),MIN($N205,INT(EP$44-2-1)+1),$DC205,IF($DD205="No",1,0))/
IF(DW205&gt;=INT($N205),$N205-INT($N205),1)))*
IF(EP$44=2,0,
IF(INT(DX205)=INT(DW205),DX205-DW205,INT(DX205)-DW205))+
IF($N205&lt;=1,
IF($N205&gt;0,1/$N205,0),VDB(1,0,$N205,INT(EP$44-2),MIN($N205,INT(EP$44-2)+1),$DC205,IF($DD205="No",1,0))/
IF(DX205&gt;INT($N205),$N205-INT($N205),1))*
IF(EP$44=2,DX205,
IF(INT(DX205)=INT(DW205),0,DX205-INT(DX205)))))</f>
        <v>0</v>
      </c>
      <c r="EQ205" s="836">
        <f>+IF(OR(DY205=DX205,EQ$44=1),0,
IF(AND(EQ$44&gt;1,DY205=$N205),1-SUM($EN205:EP205),
IF($N205&lt;=1,
IF($N205&gt;0,1/$N205,0),
IF(EQ$44=2,0,VDB(1,0,$N205,INT(EQ$44-2-1),MIN($N205,INT(EQ$44-2-1)+1),$DC205,IF($DD205="No",1,0))/
IF(DX205&gt;=INT($N205),$N205-INT($N205),1)))*
IF(EQ$44=2,0,
IF(INT(DY205)=INT(DX205),DY205-DX205,INT(DY205)-DX205))+
IF($N205&lt;=1,
IF($N205&gt;0,1/$N205,0),VDB(1,0,$N205,INT(EQ$44-2),MIN($N205,INT(EQ$44-2)+1),$DC205,IF($DD205="No",1,0))/
IF(DY205&gt;INT($N205),$N205-INT($N205),1))*
IF(EQ$44=2,DY205,
IF(INT(DY205)=INT(DX205),0,DY205-INT(DY205)))))</f>
        <v>0</v>
      </c>
      <c r="ER205" s="834">
        <f>+IF(OR(DZ205=DY205,ER$44=1),0,
IF(AND(ER$44&gt;1,DZ205=$N205),1-SUM($EN205:EQ205),
IF($N205&lt;=1,
IF($N205&gt;0,1/$N205,0),
IF(ER$44=2,0,VDB(1,0,$N205,INT(ER$44-2-1),MIN($N205,INT(ER$44-2-1)+1),$DC205,IF($DD205="No",1,0))/
IF(DY205&gt;=INT($N205),$N205-INT($N205),1)))*
IF(ER$44=2,0,
IF(INT(DZ205)=INT(DY205),DZ205-DY205,INT(DZ205)-DY205))+
IF($N205&lt;=1,
IF($N205&gt;0,1/$N205,0),VDB(1,0,$N205,INT(ER$44-2),MIN($N205,INT(ER$44-2)+1),$DC205,IF($DD205="No",1,0))/
IF(DZ205&gt;INT($N205),$N205-INT($N205),1))*
IF(ER$44=2,DZ205,
IF(INT(DZ205)=INT(DY205),0,DZ205-INT(DZ205)))))</f>
        <v>0</v>
      </c>
      <c r="ES205" s="835">
        <f>+IF(OR(EA205=DZ205,ES$44=1),0,
IF(AND(ES$44&gt;1,EA205=$N205),1-SUM($EN205:ER205),
IF($N205&lt;=1,
IF($N205&gt;0,1/$N205,0),
IF(ES$44=2,0,VDB(1,0,$N205,INT(ES$44-2-1),MIN($N205,INT(ES$44-2-1)+1),$DC205,IF($DD205="No",1,0))/
IF(DZ205&gt;=INT($N205),$N205-INT($N205),1)))*
IF(ES$44=2,0,
IF(INT(EA205)=INT(DZ205),EA205-DZ205,INT(EA205)-DZ205))+
IF($N205&lt;=1,
IF($N205&gt;0,1/$N205,0),VDB(1,0,$N205,INT(ES$44-2),MIN($N205,INT(ES$44-2)+1),$DC205,IF($DD205="No",1,0))/
IF(EA205&gt;INT($N205),$N205-INT($N205),1))*
IF(ES$44=2,EA205,
IF(INT(EA205)=INT(DZ205),0,EA205-INT(EA205)))))</f>
        <v>0</v>
      </c>
      <c r="ET205" s="835">
        <f>+IF(OR(EB205=EA205,ET$44=1),0,
IF(AND(ET$44&gt;1,EB205=$N205),1-SUM($EN205:ES205),
IF($N205&lt;=1,
IF($N205&gt;0,1/$N205,0),
IF(ET$44=2,0,VDB(1,0,$N205,INT(ET$44-2-1),MIN($N205,INT(ET$44-2-1)+1),$DC205,IF($DD205="No",1,0))/
IF(EA205&gt;=INT($N205),$N205-INT($N205),1)))*
IF(ET$44=2,0,
IF(INT(EB205)=INT(EA205),EB205-EA205,INT(EB205)-EA205))+
IF($N205&lt;=1,
IF($N205&gt;0,1/$N205,0),VDB(1,0,$N205,INT(ET$44-2),MIN($N205,INT(ET$44-2)+1),$DC205,IF($DD205="No",1,0))/
IF(EB205&gt;INT($N205),$N205-INT($N205),1))*
IF(ET$44=2,EB205,
IF(INT(EB205)=INT(EA205),0,EB205-INT(EB205)))))</f>
        <v>0</v>
      </c>
      <c r="EU205" s="835">
        <f>+IF(OR(EC205=EB205,EU$44=1),0,
IF(AND(EU$44&gt;1,EC205=$N205),1-SUM($EN205:ET205),
IF($N205&lt;=1,
IF($N205&gt;0,1/$N205,0),
IF(EU$44=2,0,VDB(1,0,$N205,INT(EU$44-2-1),MIN($N205,INT(EU$44-2-1)+1),$DC205,IF($DD205="No",1,0))/
IF(EB205&gt;=INT($N205),$N205-INT($N205),1)))*
IF(EU$44=2,0,
IF(INT(EC205)=INT(EB205),EC205-EB205,INT(EC205)-EB205))+
IF($N205&lt;=1,
IF($N205&gt;0,1/$N205,0),VDB(1,0,$N205,INT(EU$44-2),MIN($N205,INT(EU$44-2)+1),$DC205,IF($DD205="No",1,0))/
IF(EC205&gt;INT($N205),$N205-INT($N205),1))*
IF(EU$44=2,EC205,
IF(INT(EC205)=INT(EB205),0,EC205-INT(EC205)))))</f>
        <v>0</v>
      </c>
      <c r="EV205" s="836">
        <f>+IF(OR(ED205=EC205,EV$44=1),0,
IF(AND(EV$44&gt;1,ED205=$N205),1-SUM($EN205:EU205),
IF($N205&lt;=1,
IF($N205&gt;0,1/$N205,0),
IF(EV$44=2,0,VDB(1,0,$N205,INT(EV$44-2-1),MIN($N205,INT(EV$44-2-1)+1),$DC205,IF($DD205="No",1,0))/
IF(EC205&gt;=INT($N205),$N205-INT($N205),1)))*
IF(EV$44=2,0,
IF(INT(ED205)=INT(EC205),ED205-EC205,INT(ED205)-EC205))+
IF($N205&lt;=1,
IF($N205&gt;0,1/$N205,0),VDB(1,0,$N205,INT(EV$44-2),MIN($N205,INT(EV$44-2)+1),$DC205,IF($DD205="No",1,0))/
IF(ED205&gt;INT($N205),$N205-INT($N205),1))*
IF(EV$44=2,ED205,
IF(INT(ED205)=INT(EC205),0,ED205-INT(ED205)))))</f>
        <v>0</v>
      </c>
      <c r="EW205" s="833"/>
      <c r="EX205" s="834">
        <f t="shared" ca="1" si="360"/>
        <v>0</v>
      </c>
      <c r="EY205" s="835">
        <f t="shared" ca="1" si="360"/>
        <v>0</v>
      </c>
      <c r="EZ205" s="836">
        <f t="shared" ca="1" si="360"/>
        <v>0</v>
      </c>
      <c r="FA205" s="834">
        <f t="shared" ca="1" si="360"/>
        <v>0</v>
      </c>
      <c r="FB205" s="835">
        <f t="shared" ca="1" si="360"/>
        <v>0</v>
      </c>
      <c r="FC205" s="835">
        <f t="shared" ca="1" si="360"/>
        <v>0</v>
      </c>
      <c r="FD205" s="835">
        <f t="shared" ca="1" si="360"/>
        <v>0</v>
      </c>
      <c r="FE205" s="836">
        <f t="shared" ca="1" si="360"/>
        <v>0</v>
      </c>
      <c r="FG205" s="386">
        <f t="shared" ca="1" si="351"/>
        <v>0</v>
      </c>
      <c r="FH205" s="387">
        <f t="shared" ca="1" si="352"/>
        <v>0</v>
      </c>
      <c r="FI205" s="388">
        <f t="shared" ca="1" si="353"/>
        <v>0</v>
      </c>
      <c r="FJ205" s="386">
        <f t="shared" ca="1" si="354"/>
        <v>0</v>
      </c>
      <c r="FK205" s="387">
        <f t="shared" ca="1" si="355"/>
        <v>0</v>
      </c>
      <c r="FL205" s="387">
        <f t="shared" ca="1" si="356"/>
        <v>0</v>
      </c>
      <c r="FM205" s="387">
        <f t="shared" ca="1" si="357"/>
        <v>0</v>
      </c>
      <c r="FN205" s="388">
        <f t="shared" ca="1" si="358"/>
        <v>0</v>
      </c>
      <c r="FR205" s="116"/>
    </row>
    <row r="206" spans="2:174">
      <c r="B206" s="1410">
        <f t="shared" si="359"/>
        <v>160</v>
      </c>
      <c r="C206" s="400"/>
      <c r="D206" s="410"/>
      <c r="E206" s="402"/>
      <c r="F206" s="402"/>
      <c r="G206" s="400"/>
      <c r="H206" s="2088"/>
      <c r="I206" s="2089"/>
      <c r="J206" s="411"/>
      <c r="K206" s="403"/>
      <c r="L206" s="403"/>
      <c r="M206" s="403"/>
      <c r="N206" s="403"/>
      <c r="O206" s="347"/>
      <c r="P206" s="347"/>
      <c r="Q206" s="1021"/>
      <c r="R206" s="1022"/>
      <c r="S206" s="1022"/>
      <c r="T206" s="1022"/>
      <c r="U206" s="1023"/>
      <c r="V206" s="1021"/>
      <c r="W206" s="1022"/>
      <c r="X206" s="1022"/>
      <c r="Y206" s="1022"/>
      <c r="Z206" s="1023"/>
      <c r="AA206" s="1024"/>
      <c r="AB206" s="1021"/>
      <c r="AC206" s="1022"/>
      <c r="AD206" s="1022"/>
      <c r="AE206" s="1022"/>
      <c r="AF206" s="1023"/>
      <c r="AG206" s="1021"/>
      <c r="AH206" s="1022"/>
      <c r="AI206" s="1022"/>
      <c r="AJ206" s="1022"/>
      <c r="AK206" s="1023"/>
      <c r="AL206" s="1024"/>
      <c r="AM206" s="1021"/>
      <c r="AN206" s="1022"/>
      <c r="AO206" s="1022"/>
      <c r="AP206" s="1022"/>
      <c r="AQ206" s="1023"/>
      <c r="AR206" s="1021"/>
      <c r="AS206" s="1022"/>
      <c r="AT206" s="1022"/>
      <c r="AU206" s="1022"/>
      <c r="AV206" s="1023"/>
      <c r="AW206" s="1025"/>
      <c r="AX206" s="1282">
        <f t="shared" si="304"/>
        <v>0</v>
      </c>
      <c r="AY206" s="387">
        <f t="shared" si="305"/>
        <v>0</v>
      </c>
      <c r="AZ206" s="387">
        <f t="shared" si="306"/>
        <v>0</v>
      </c>
      <c r="BA206" s="387">
        <f t="shared" si="307"/>
        <v>0</v>
      </c>
      <c r="BB206" s="1283">
        <f t="shared" si="308"/>
        <v>0</v>
      </c>
      <c r="BC206" s="386">
        <f t="shared" si="309"/>
        <v>0</v>
      </c>
      <c r="BD206" s="387">
        <f t="shared" si="310"/>
        <v>0</v>
      </c>
      <c r="BE206" s="1277">
        <f t="shared" si="311"/>
        <v>0</v>
      </c>
      <c r="BF206" s="1277">
        <f t="shared" si="312"/>
        <v>0</v>
      </c>
      <c r="BG206" s="388">
        <f t="shared" si="313"/>
        <v>0</v>
      </c>
      <c r="BH206" s="1025"/>
      <c r="BI206" s="1282">
        <f t="shared" ca="1" si="314"/>
        <v>0</v>
      </c>
      <c r="BJ206" s="387">
        <f t="shared" ca="1" si="315"/>
        <v>0</v>
      </c>
      <c r="BK206" s="387">
        <f t="shared" ca="1" si="316"/>
        <v>0</v>
      </c>
      <c r="BL206" s="387">
        <f t="shared" ca="1" si="317"/>
        <v>0</v>
      </c>
      <c r="BM206" s="1283">
        <f t="shared" ca="1" si="318"/>
        <v>0</v>
      </c>
      <c r="BN206" s="386">
        <f t="shared" ca="1" si="319"/>
        <v>0</v>
      </c>
      <c r="BO206" s="387">
        <f t="shared" ca="1" si="320"/>
        <v>0</v>
      </c>
      <c r="BP206" s="1277">
        <f t="shared" ca="1" si="321"/>
        <v>0</v>
      </c>
      <c r="BQ206" s="1277">
        <f t="shared" ca="1" si="322"/>
        <v>0</v>
      </c>
      <c r="BR206" s="388">
        <f t="shared" ca="1" si="323"/>
        <v>0</v>
      </c>
      <c r="BS206" s="1025"/>
      <c r="BT206" s="1282">
        <f>+IF($K206="Ongoing",AX206,IF(RIGHT($K206,2)=RIGHT(BT$43,2),SUM($AX206:AX206),0)+IF(RIGHT(BT$43,2)&gt;RIGHT($K206,2),AX206,0))</f>
        <v>0</v>
      </c>
      <c r="BU206" s="387">
        <f>+IF($K206="Ongoing",AY206,IF(RIGHT($K206,2)=RIGHT(BU$43,2),SUM($AX206:AY206),0)+IF(RIGHT(BU$43,2)&gt;RIGHT($K206,2),AY206,0))</f>
        <v>0</v>
      </c>
      <c r="BV206" s="387">
        <f>+IF($K206="Ongoing",AZ206,IF(RIGHT($K206,2)=RIGHT(BV$43,2),SUM($AX206:AZ206),0)+IF(RIGHT(BV$43,2)&gt;RIGHT($K206,2),AZ206,0))</f>
        <v>0</v>
      </c>
      <c r="BW206" s="387">
        <f>+IF($K206="Ongoing",BA206,IF(RIGHT($K206,2)=RIGHT(BW$43,2),SUM($AX206:BA206),0)+IF(RIGHT(BW$43,2)&gt;RIGHT($K206,2),BA206,0))</f>
        <v>0</v>
      </c>
      <c r="BX206" s="1283">
        <f>+IF($K206="Ongoing",BB206,IF(RIGHT($K206,2)=RIGHT(BX$43,2),SUM($AX206:BB206),0)+IF(RIGHT(BX$43,2)&gt;RIGHT($K206,2),BB206,0))</f>
        <v>0</v>
      </c>
      <c r="BY206" s="386">
        <f>+IF($K206="Ongoing",BC206,IF(RIGHT($K206,2)=RIGHT(BY$43,2),SUM($AX206:BC206),0)+IF(RIGHT(BY$43,2)&gt;RIGHT($K206,2),BC206,0))</f>
        <v>0</v>
      </c>
      <c r="BZ206" s="387">
        <f>+IF($K206="Ongoing",BD206,IF(RIGHT($K206,2)=RIGHT(BZ$43,2),SUM($AX206:BD206),0)+IF(RIGHT(BZ$43,2)&gt;RIGHT($K206,2),BD206,0))</f>
        <v>0</v>
      </c>
      <c r="CA206" s="1277">
        <f>+IF($K206="Ongoing",BE206,IF(RIGHT($K206,2)=RIGHT(CA$43,2),SUM($AX206:BE206),0)+IF(RIGHT(CA$43,2)&gt;RIGHT($K206,2),BE206,0))</f>
        <v>0</v>
      </c>
      <c r="CB206" s="1277">
        <f>+IF($K206="Ongoing",BF206,IF(RIGHT($K206,2)=RIGHT(CB$43,2),SUM($AX206:BF206),0)+IF(RIGHT(CB$43,2)&gt;RIGHT($K206,2),BF206,0))</f>
        <v>0</v>
      </c>
      <c r="CC206" s="388">
        <f>+IF($K206="Ongoing",BG206,IF(RIGHT($K206,2)=RIGHT(CC$43,2),SUM($AX206:BG206),0)+IF(RIGHT(CC$43,2)&gt;RIGHT($K206,2),BG206,0))</f>
        <v>0</v>
      </c>
      <c r="CD206" s="1025"/>
      <c r="CE206" s="1282">
        <f>+Q206*KeyAssumptionsPriceControl_FO!AF$15</f>
        <v>0</v>
      </c>
      <c r="CF206" s="387">
        <f>+R206*KeyAssumptionsPriceControl_FO!AG$15</f>
        <v>0</v>
      </c>
      <c r="CG206" s="387">
        <f>+S206*KeyAssumptionsPriceControl_FO!AH$15</f>
        <v>0</v>
      </c>
      <c r="CH206" s="387">
        <f>+T206*KeyAssumptionsPriceControl_FO!AI$15</f>
        <v>0</v>
      </c>
      <c r="CI206" s="1283">
        <f>+U206*KeyAssumptionsPriceControl_FO!AJ$15</f>
        <v>0</v>
      </c>
      <c r="CJ206" s="386">
        <f>+V206*KeyAssumptionsPriceControl_FO!AK$15</f>
        <v>0</v>
      </c>
      <c r="CK206" s="387">
        <f>+W206*KeyAssumptionsPriceControl_FO!AL$15</f>
        <v>0</v>
      </c>
      <c r="CL206" s="1277">
        <f>+X206*KeyAssumptionsPriceControl_FO!AM$15</f>
        <v>0</v>
      </c>
      <c r="CM206" s="1277">
        <f>+Y206*KeyAssumptionsPriceControl_FO!AN$15</f>
        <v>0</v>
      </c>
      <c r="CN206" s="388">
        <f>+Z206*KeyAssumptionsPriceControl_FO!AO$15</f>
        <v>0</v>
      </c>
      <c r="CO206" s="1025"/>
      <c r="CP206" s="1282">
        <f t="shared" ca="1" si="324"/>
        <v>0</v>
      </c>
      <c r="CQ206" s="387">
        <f t="shared" ca="1" si="325"/>
        <v>0</v>
      </c>
      <c r="CR206" s="387">
        <f t="shared" ca="1" si="326"/>
        <v>0</v>
      </c>
      <c r="CS206" s="387">
        <f t="shared" ca="1" si="327"/>
        <v>0</v>
      </c>
      <c r="CT206" s="1283">
        <f t="shared" ca="1" si="328"/>
        <v>0</v>
      </c>
      <c r="CU206" s="386">
        <f t="shared" ca="1" si="329"/>
        <v>0</v>
      </c>
      <c r="CV206" s="387">
        <f t="shared" ca="1" si="330"/>
        <v>0</v>
      </c>
      <c r="CW206" s="1277">
        <f t="shared" ca="1" si="331"/>
        <v>0</v>
      </c>
      <c r="CX206" s="1277">
        <f t="shared" ca="1" si="332"/>
        <v>0</v>
      </c>
      <c r="CY206" s="388">
        <f t="shared" ca="1" si="333"/>
        <v>0</v>
      </c>
      <c r="CZ206" s="347"/>
      <c r="DA206" s="852"/>
      <c r="DB206" s="347"/>
      <c r="DC206" s="1012" t="s">
        <v>727</v>
      </c>
      <c r="DD206" s="841" t="s">
        <v>518</v>
      </c>
      <c r="DE206" s="386">
        <f>+IF($K206="ongoing",CE206,IF(RIGHT($K206,2)=RIGHT(DE$43,2),SUM($CD206:CE206),0)+IF(RIGHT(DE$43,2)&gt;RIGHT($K206,2),CE206,0))</f>
        <v>0</v>
      </c>
      <c r="DF206" s="387">
        <f>+IF($K206="ongoing",CF206,IF(RIGHT($K206,2)=RIGHT(DF$43,2),SUM($CD206:CF206),0)+IF(RIGHT(DF$43,2)&gt;RIGHT($K206,2),CF206,0))</f>
        <v>0</v>
      </c>
      <c r="DG206" s="388">
        <f>+IF($K206="ongoing",CG206,IF(RIGHT($K206,2)=RIGHT(DG$43,2),SUM($CD206:CG206),0)+IF(RIGHT(DG$43,2)&gt;RIGHT($K206,2),CG206,0))</f>
        <v>0</v>
      </c>
      <c r="DH206" s="386">
        <f>+IF($K206="ongoing",CH206,IF(RIGHT($K206,2)=RIGHT(DH$43,2),SUM($CD206:CH206),0)+IF(RIGHT(DH$43,2)&gt;RIGHT($K206,2),CH206,0))</f>
        <v>0</v>
      </c>
      <c r="DI206" s="387">
        <f>+IF($K206="ongoing",CI206,IF(RIGHT($K206,2)=RIGHT(DI$43,2),SUM($CD206:CI206),0)+IF(RIGHT(DI$43,2)&gt;RIGHT($K206,2),CI206,0))</f>
        <v>0</v>
      </c>
      <c r="DJ206" s="387">
        <f>+IF($K206="ongoing",CJ206,IF(RIGHT($K206,2)=RIGHT(DJ$43,2),SUM($CD206:CJ206),0)+IF(RIGHT(DJ$43,2)&gt;RIGHT($K206,2),CJ206,0))</f>
        <v>0</v>
      </c>
      <c r="DK206" s="387">
        <f>+IF($K206="ongoing",CK206,IF(RIGHT($K206,2)=RIGHT(DK$43,2),SUM($CD206:CK206),0)+IF(RIGHT(DK$43,2)&gt;RIGHT($K206,2),CK206,0))</f>
        <v>0</v>
      </c>
      <c r="DL206" s="388">
        <f>+IF($K206="ongoing",CN206,IF(RIGHT($K206,2)=RIGHT(DL$43,2),SUM($CD206:CN206),0)+IF(RIGHT(DL$43,2)&gt;RIGHT($K206,2),CN206,0))</f>
        <v>0</v>
      </c>
      <c r="DM206" s="841"/>
      <c r="DN206" s="386">
        <f t="shared" si="334"/>
        <v>0.5</v>
      </c>
      <c r="DO206" s="387">
        <f t="shared" si="335"/>
        <v>1</v>
      </c>
      <c r="DP206" s="388">
        <f t="shared" si="336"/>
        <v>1</v>
      </c>
      <c r="DQ206" s="386">
        <f t="shared" si="337"/>
        <v>1</v>
      </c>
      <c r="DR206" s="387">
        <f t="shared" si="338"/>
        <v>1</v>
      </c>
      <c r="DS206" s="387">
        <f t="shared" si="339"/>
        <v>1</v>
      </c>
      <c r="DT206" s="387">
        <f t="shared" si="340"/>
        <v>1</v>
      </c>
      <c r="DU206" s="388">
        <f t="shared" si="341"/>
        <v>1</v>
      </c>
      <c r="DW206" s="386">
        <f t="shared" si="342"/>
        <v>0</v>
      </c>
      <c r="DX206" s="387">
        <f t="shared" si="343"/>
        <v>0.5</v>
      </c>
      <c r="DY206" s="388">
        <f t="shared" si="344"/>
        <v>1</v>
      </c>
      <c r="DZ206" s="386">
        <f t="shared" si="345"/>
        <v>1</v>
      </c>
      <c r="EA206" s="387">
        <f t="shared" si="346"/>
        <v>1</v>
      </c>
      <c r="EB206" s="387">
        <f t="shared" si="347"/>
        <v>1</v>
      </c>
      <c r="EC206" s="387">
        <f t="shared" si="348"/>
        <v>1</v>
      </c>
      <c r="ED206" s="388">
        <f t="shared" si="349"/>
        <v>1</v>
      </c>
      <c r="EF206" s="834">
        <f>+IF(DN206=DM206,0,
IF(AND(EF$44&gt;1,DN206=$N206),1-SUM($EE206:EE206),
IF($N206&lt;=1,
IF($N206&gt;0,1/$N206,0),
IF(EF$44=1,0,VDB(1,0,$N206,INT(EF$44-1-1),MIN($N206,INT(EF$44-1-1)+1),$DC206,IF($DD206="No",1,0))/
IF(DM206&gt;=INT($N206),$N206-INT($N206),1)))*
IF(EF$44=1,0,
IF(INT(DN206)=INT(DM206),DN206-DM206,INT(DN206)-DM206))+
IF($N206&lt;=1,
IF($N206&gt;0,1/$N206,0),VDB(1,0,$N206,INT(EF$44-1),MIN($N206,INT(EF$44-1)+1),$DC206,IF($DD206="No",1,0))/
IF(DN206&gt;INT($N206),$N206-INT($N206),1))*
IF(EF$44=1,DN206,
IF(INT(DN206)=INT(DM206),0,DN206-INT(DN206)))))</f>
        <v>0</v>
      </c>
      <c r="EG206" s="835">
        <f>+IF(DO206=DN206,0,
IF(AND(EG$44&gt;1,DO206=$N206),1-SUM($EE206:EF206),
IF($N206&lt;=1,
IF($N206&gt;0,1/$N206,0),
IF(EG$44=1,0,VDB(1,0,$N206,INT(EG$44-1-1),MIN($N206,INT(EG$44-1-1)+1),$DC206,IF($DD206="No",1,0))/
IF(DN206&gt;=INT($N206),$N206-INT($N206),1)))*
IF(EG$44=1,0,
IF(INT(DO206)=INT(DN206),DO206-DN206,INT(DO206)-DN206))+
IF($N206&lt;=1,
IF($N206&gt;0,1/$N206,0),VDB(1,0,$N206,INT(EG$44-1),MIN($N206,INT(EG$44-1)+1),$DC206,IF($DD206="No",1,0))/
IF(DO206&gt;INT($N206),$N206-INT($N206),1))*
IF(EG$44=1,DO206,
IF(INT(DO206)=INT(DN206),0,DO206-INT(DO206)))))</f>
        <v>0</v>
      </c>
      <c r="EH206" s="836">
        <f>+IF(DP206=DO206,0,
IF(AND(EH$44&gt;1,DP206=$N206),1-SUM($EE206:EG206),
IF($N206&lt;=1,
IF($N206&gt;0,1/$N206,0),
IF(EH$44=1,0,VDB(1,0,$N206,INT(EH$44-1-1),MIN($N206,INT(EH$44-1-1)+1),$DC206,IF($DD206="No",1,0))/
IF(DO206&gt;=INT($N206),$N206-INT($N206),1)))*
IF(EH$44=1,0,
IF(INT(DP206)=INT(DO206),DP206-DO206,INT(DP206)-DO206))+
IF($N206&lt;=1,
IF($N206&gt;0,1/$N206,0),VDB(1,0,$N206,INT(EH$44-1),MIN($N206,INT(EH$44-1)+1),$DC206,IF($DD206="No",1,0))/
IF(DP206&gt;INT($N206),$N206-INT($N206),1))*
IF(EH$44=1,DP206,
IF(INT(DP206)=INT(DO206),0,DP206-INT(DP206)))))</f>
        <v>0</v>
      </c>
      <c r="EI206" s="834">
        <f>+IF(DQ206=DP206,0,
IF(AND(EI$44&gt;1,DQ206=$N206),1-SUM($EE206:EH206),
IF($N206&lt;=1,
IF($N206&gt;0,1/$N206,0),
IF(EI$44=1,0,VDB(1,0,$N206,INT(EI$44-1-1),MIN($N206,INT(EI$44-1-1)+1),$DC206,IF($DD206="No",1,0))/
IF(DP206&gt;=INT($N206),$N206-INT($N206),1)))*
IF(EI$44=1,0,
IF(INT(DQ206)=INT(DP206),DQ206-DP206,INT(DQ206)-DP206))+
IF($N206&lt;=1,
IF($N206&gt;0,1/$N206,0),VDB(1,0,$N206,INT(EI$44-1),MIN($N206,INT(EI$44-1)+1),$DC206,IF($DD206="No",1,0))/
IF(DQ206&gt;INT($N206),$N206-INT($N206),1))*
IF(EI$44=1,DQ206,
IF(INT(DQ206)=INT(DP206),0,DQ206-INT(DQ206)))))</f>
        <v>0</v>
      </c>
      <c r="EJ206" s="835">
        <f>+IF(DR206=DQ206,0,
IF(AND(EJ$44&gt;1,DR206=$N206),1-SUM($EE206:EI206),
IF($N206&lt;=1,
IF($N206&gt;0,1/$N206,0),
IF(EJ$44=1,0,VDB(1,0,$N206,INT(EJ$44-1-1),MIN($N206,INT(EJ$44-1-1)+1),$DC206,IF($DD206="No",1,0))/
IF(DQ206&gt;=INT($N206),$N206-INT($N206),1)))*
IF(EJ$44=1,0,
IF(INT(DR206)=INT(DQ206),DR206-DQ206,INT(DR206)-DQ206))+
IF($N206&lt;=1,
IF($N206&gt;0,1/$N206,0),VDB(1,0,$N206,INT(EJ$44-1),MIN($N206,INT(EJ$44-1)+1),$DC206,IF($DD206="No",1,0))/
IF(DR206&gt;INT($N206),$N206-INT($N206),1))*
IF(EJ$44=1,DR206,
IF(INT(DR206)=INT(DQ206),0,DR206-INT(DR206)))))</f>
        <v>0</v>
      </c>
      <c r="EK206" s="835">
        <f>+IF(DS206=DR206,0,
IF(AND(EK$44&gt;1,DS206=$N206),1-SUM($EE206:EJ206),
IF($N206&lt;=1,
IF($N206&gt;0,1/$N206,0),
IF(EK$44=1,0,VDB(1,0,$N206,INT(EK$44-1-1),MIN($N206,INT(EK$44-1-1)+1),$DC206,IF($DD206="No",1,0))/
IF(DR206&gt;=INT($N206),$N206-INT($N206),1)))*
IF(EK$44=1,0,
IF(INT(DS206)=INT(DR206),DS206-DR206,INT(DS206)-DR206))+
IF($N206&lt;=1,
IF($N206&gt;0,1/$N206,0),VDB(1,0,$N206,INT(EK$44-1),MIN($N206,INT(EK$44-1)+1),$DC206,IF($DD206="No",1,0))/
IF(DS206&gt;INT($N206),$N206-INT($N206),1))*
IF(EK$44=1,DS206,
IF(INT(DS206)=INT(DR206),0,DS206-INT(DS206)))))</f>
        <v>0</v>
      </c>
      <c r="EL206" s="835">
        <f>+IF(DT206=DS206,0,
IF(AND(EL$44&gt;1,DT206=$N206),1-SUM($EE206:EK206),
IF($N206&lt;=1,
IF($N206&gt;0,1/$N206,0),
IF(EL$44=1,0,VDB(1,0,$N206,INT(EL$44-1-1),MIN($N206,INT(EL$44-1-1)+1),$DC206,IF($DD206="No",1,0))/
IF(DS206&gt;=INT($N206),$N206-INT($N206),1)))*
IF(EL$44=1,0,
IF(INT(DT206)=INT(DS206),DT206-DS206,INT(DT206)-DS206))+
IF($N206&lt;=1,
IF($N206&gt;0,1/$N206,0),VDB(1,0,$N206,INT(EL$44-1),MIN($N206,INT(EL$44-1)+1),$DC206,IF($DD206="No",1,0))/
IF(DT206&gt;INT($N206),$N206-INT($N206),1))*
IF(EL$44=1,DT206,
IF(INT(DT206)=INT(DS206),0,DT206-INT(DT206)))))</f>
        <v>0</v>
      </c>
      <c r="EM206" s="836">
        <f>+IF(DU206=DT206,0,
IF(AND(EM$44&gt;1,DU206=$N206),1-SUM($EE206:EL206),
IF($N206&lt;=1,
IF($N206&gt;0,1/$N206,0),
IF(EM$44=1,0,VDB(1,0,$N206,INT(EM$44-1-1),MIN($N206,INT(EM$44-1-1)+1),$DC206,IF($DD206="No",1,0))/
IF(DT206&gt;=INT($N206),$N206-INT($N206),1)))*
IF(EM$44=1,0,
IF(INT(DU206)=INT(DT206),DU206-DT206,INT(DU206)-DT206))+
IF($N206&lt;=1,
IF($N206&gt;0,1/$N206,0),VDB(1,0,$N206,INT(EM$44-1),MIN($N206,INT(EM$44-1)+1),$DC206,IF($DD206="No",1,0))/
IF(DU206&gt;INT($N206),$N206-INT($N206),1))*
IF(EM$44=1,DU206,
IF(INT(DU206)=INT(DT206),0,DU206-INT(DU206)))))</f>
        <v>0</v>
      </c>
      <c r="EN206" s="833"/>
      <c r="EO206" s="834">
        <f>+IF(OR(DW206=DV206,EO$44=1),0,
IF(AND(EO$44&gt;1,DW206=$N206),1-SUM($EN206:EN206),
IF($N206&lt;=1,
IF($N206&gt;0,1/$N206,0),
IF(EO$44=2,0,VDB(1,0,$N206,INT(EO$44-2-1),MIN($N206,INT(EO$44-2-1)+1),$DC206,IF($DD206="No",1,0))/
IF(DV206&gt;=INT($N206),$N206-INT($N206),1)))*
IF(EO$44=2,0,
IF(INT(DW206)=INT(DV206),DW206-DV206,INT(DW206)-DV206))+
IF($N206&lt;=1,
IF($N206&gt;0,1/$N206,0),VDB(1,0,$N206,INT(EO$44-2),MIN($N206,INT(EO$44-2)+1),$DC206,IF($DD206="No",1,0))/
IF(DW206&gt;INT($N206),$N206-INT($N206),1))*
IF(EO$44=2,DW206,
IF(INT(DW206)=INT(DV206),0,DW206-INT(DW206)))))</f>
        <v>0</v>
      </c>
      <c r="EP206" s="835">
        <f>+IF(OR(DX206=DW206,EP$44=1),0,
IF(AND(EP$44&gt;1,DX206=$N206),1-SUM($EN206:EO206),
IF($N206&lt;=1,
IF($N206&gt;0,1/$N206,0),
IF(EP$44=2,0,VDB(1,0,$N206,INT(EP$44-2-1),MIN($N206,INT(EP$44-2-1)+1),$DC206,IF($DD206="No",1,0))/
IF(DW206&gt;=INT($N206),$N206-INT($N206),1)))*
IF(EP$44=2,0,
IF(INT(DX206)=INT(DW206),DX206-DW206,INT(DX206)-DW206))+
IF($N206&lt;=1,
IF($N206&gt;0,1/$N206,0),VDB(1,0,$N206,INT(EP$44-2),MIN($N206,INT(EP$44-2)+1),$DC206,IF($DD206="No",1,0))/
IF(DX206&gt;INT($N206),$N206-INT($N206),1))*
IF(EP$44=2,DX206,
IF(INT(DX206)=INT(DW206),0,DX206-INT(DX206)))))</f>
        <v>0</v>
      </c>
      <c r="EQ206" s="836">
        <f>+IF(OR(DY206=DX206,EQ$44=1),0,
IF(AND(EQ$44&gt;1,DY206=$N206),1-SUM($EN206:EP206),
IF($N206&lt;=1,
IF($N206&gt;0,1/$N206,0),
IF(EQ$44=2,0,VDB(1,0,$N206,INT(EQ$44-2-1),MIN($N206,INT(EQ$44-2-1)+1),$DC206,IF($DD206="No",1,0))/
IF(DX206&gt;=INT($N206),$N206-INT($N206),1)))*
IF(EQ$44=2,0,
IF(INT(DY206)=INT(DX206),DY206-DX206,INT(DY206)-DX206))+
IF($N206&lt;=1,
IF($N206&gt;0,1/$N206,0),VDB(1,0,$N206,INT(EQ$44-2),MIN($N206,INT(EQ$44-2)+1),$DC206,IF($DD206="No",1,0))/
IF(DY206&gt;INT($N206),$N206-INT($N206),1))*
IF(EQ$44=2,DY206,
IF(INT(DY206)=INT(DX206),0,DY206-INT(DY206)))))</f>
        <v>0</v>
      </c>
      <c r="ER206" s="834">
        <f>+IF(OR(DZ206=DY206,ER$44=1),0,
IF(AND(ER$44&gt;1,DZ206=$N206),1-SUM($EN206:EQ206),
IF($N206&lt;=1,
IF($N206&gt;0,1/$N206,0),
IF(ER$44=2,0,VDB(1,0,$N206,INT(ER$44-2-1),MIN($N206,INT(ER$44-2-1)+1),$DC206,IF($DD206="No",1,0))/
IF(DY206&gt;=INT($N206),$N206-INT($N206),1)))*
IF(ER$44=2,0,
IF(INT(DZ206)=INT(DY206),DZ206-DY206,INT(DZ206)-DY206))+
IF($N206&lt;=1,
IF($N206&gt;0,1/$N206,0),VDB(1,0,$N206,INT(ER$44-2),MIN($N206,INT(ER$44-2)+1),$DC206,IF($DD206="No",1,0))/
IF(DZ206&gt;INT($N206),$N206-INT($N206),1))*
IF(ER$44=2,DZ206,
IF(INT(DZ206)=INT(DY206),0,DZ206-INT(DZ206)))))</f>
        <v>0</v>
      </c>
      <c r="ES206" s="835">
        <f>+IF(OR(EA206=DZ206,ES$44=1),0,
IF(AND(ES$44&gt;1,EA206=$N206),1-SUM($EN206:ER206),
IF($N206&lt;=1,
IF($N206&gt;0,1/$N206,0),
IF(ES$44=2,0,VDB(1,0,$N206,INT(ES$44-2-1),MIN($N206,INT(ES$44-2-1)+1),$DC206,IF($DD206="No",1,0))/
IF(DZ206&gt;=INT($N206),$N206-INT($N206),1)))*
IF(ES$44=2,0,
IF(INT(EA206)=INT(DZ206),EA206-DZ206,INT(EA206)-DZ206))+
IF($N206&lt;=1,
IF($N206&gt;0,1/$N206,0),VDB(1,0,$N206,INT(ES$44-2),MIN($N206,INT(ES$44-2)+1),$DC206,IF($DD206="No",1,0))/
IF(EA206&gt;INT($N206),$N206-INT($N206),1))*
IF(ES$44=2,EA206,
IF(INT(EA206)=INT(DZ206),0,EA206-INT(EA206)))))</f>
        <v>0</v>
      </c>
      <c r="ET206" s="835">
        <f>+IF(OR(EB206=EA206,ET$44=1),0,
IF(AND(ET$44&gt;1,EB206=$N206),1-SUM($EN206:ES206),
IF($N206&lt;=1,
IF($N206&gt;0,1/$N206,0),
IF(ET$44=2,0,VDB(1,0,$N206,INT(ET$44-2-1),MIN($N206,INT(ET$44-2-1)+1),$DC206,IF($DD206="No",1,0))/
IF(EA206&gt;=INT($N206),$N206-INT($N206),1)))*
IF(ET$44=2,0,
IF(INT(EB206)=INT(EA206),EB206-EA206,INT(EB206)-EA206))+
IF($N206&lt;=1,
IF($N206&gt;0,1/$N206,0),VDB(1,0,$N206,INT(ET$44-2),MIN($N206,INT(ET$44-2)+1),$DC206,IF($DD206="No",1,0))/
IF(EB206&gt;INT($N206),$N206-INT($N206),1))*
IF(ET$44=2,EB206,
IF(INT(EB206)=INT(EA206),0,EB206-INT(EB206)))))</f>
        <v>0</v>
      </c>
      <c r="EU206" s="835">
        <f>+IF(OR(EC206=EB206,EU$44=1),0,
IF(AND(EU$44&gt;1,EC206=$N206),1-SUM($EN206:ET206),
IF($N206&lt;=1,
IF($N206&gt;0,1/$N206,0),
IF(EU$44=2,0,VDB(1,0,$N206,INT(EU$44-2-1),MIN($N206,INT(EU$44-2-1)+1),$DC206,IF($DD206="No",1,0))/
IF(EB206&gt;=INT($N206),$N206-INT($N206),1)))*
IF(EU$44=2,0,
IF(INT(EC206)=INT(EB206),EC206-EB206,INT(EC206)-EB206))+
IF($N206&lt;=1,
IF($N206&gt;0,1/$N206,0),VDB(1,0,$N206,INT(EU$44-2),MIN($N206,INT(EU$44-2)+1),$DC206,IF($DD206="No",1,0))/
IF(EC206&gt;INT($N206),$N206-INT($N206),1))*
IF(EU$44=2,EC206,
IF(INT(EC206)=INT(EB206),0,EC206-INT(EC206)))))</f>
        <v>0</v>
      </c>
      <c r="EV206" s="836">
        <f>+IF(OR(ED206=EC206,EV$44=1),0,
IF(AND(EV$44&gt;1,ED206=$N206),1-SUM($EN206:EU206),
IF($N206&lt;=1,
IF($N206&gt;0,1/$N206,0),
IF(EV$44=2,0,VDB(1,0,$N206,INT(EV$44-2-1),MIN($N206,INT(EV$44-2-1)+1),$DC206,IF($DD206="No",1,0))/
IF(EC206&gt;=INT($N206),$N206-INT($N206),1)))*
IF(EV$44=2,0,
IF(INT(ED206)=INT(EC206),ED206-EC206,INT(ED206)-EC206))+
IF($N206&lt;=1,
IF($N206&gt;0,1/$N206,0),VDB(1,0,$N206,INT(EV$44-2),MIN($N206,INT(EV$44-2)+1),$DC206,IF($DD206="No",1,0))/
IF(ED206&gt;INT($N206),$N206-INT($N206),1))*
IF(EV$44=2,ED206,
IF(INT(ED206)=INT(EC206),0,ED206-INT(ED206)))))</f>
        <v>0</v>
      </c>
      <c r="EW206" s="833"/>
      <c r="EX206" s="834">
        <f t="shared" ca="1" si="360"/>
        <v>0</v>
      </c>
      <c r="EY206" s="835">
        <f t="shared" ca="1" si="360"/>
        <v>0</v>
      </c>
      <c r="EZ206" s="836">
        <f t="shared" ca="1" si="360"/>
        <v>0</v>
      </c>
      <c r="FA206" s="834">
        <f t="shared" ca="1" si="360"/>
        <v>0</v>
      </c>
      <c r="FB206" s="835">
        <f t="shared" ca="1" si="360"/>
        <v>0</v>
      </c>
      <c r="FC206" s="835">
        <f t="shared" ca="1" si="360"/>
        <v>0</v>
      </c>
      <c r="FD206" s="835">
        <f t="shared" ca="1" si="360"/>
        <v>0</v>
      </c>
      <c r="FE206" s="836">
        <f t="shared" ca="1" si="360"/>
        <v>0</v>
      </c>
      <c r="FG206" s="386">
        <f t="shared" ca="1" si="351"/>
        <v>0</v>
      </c>
      <c r="FH206" s="387">
        <f t="shared" ca="1" si="352"/>
        <v>0</v>
      </c>
      <c r="FI206" s="388">
        <f t="shared" ca="1" si="353"/>
        <v>0</v>
      </c>
      <c r="FJ206" s="386">
        <f t="shared" ca="1" si="354"/>
        <v>0</v>
      </c>
      <c r="FK206" s="387">
        <f t="shared" ca="1" si="355"/>
        <v>0</v>
      </c>
      <c r="FL206" s="387">
        <f t="shared" ca="1" si="356"/>
        <v>0</v>
      </c>
      <c r="FM206" s="387">
        <f t="shared" ca="1" si="357"/>
        <v>0</v>
      </c>
      <c r="FN206" s="388">
        <f t="shared" ca="1" si="358"/>
        <v>0</v>
      </c>
      <c r="FR206" s="116"/>
    </row>
    <row r="207" spans="2:174">
      <c r="B207" s="1410">
        <f t="shared" si="359"/>
        <v>161</v>
      </c>
      <c r="C207" s="400"/>
      <c r="D207" s="410"/>
      <c r="E207" s="402"/>
      <c r="F207" s="402"/>
      <c r="G207" s="400"/>
      <c r="H207" s="2088"/>
      <c r="I207" s="2089"/>
      <c r="J207" s="411"/>
      <c r="K207" s="403"/>
      <c r="L207" s="403"/>
      <c r="M207" s="403"/>
      <c r="N207" s="403"/>
      <c r="O207" s="347"/>
      <c r="P207" s="347"/>
      <c r="Q207" s="1021"/>
      <c r="R207" s="1022"/>
      <c r="S207" s="1022"/>
      <c r="T207" s="1022"/>
      <c r="U207" s="1023"/>
      <c r="V207" s="1021"/>
      <c r="W207" s="1022"/>
      <c r="X207" s="1022"/>
      <c r="Y207" s="1022"/>
      <c r="Z207" s="1023"/>
      <c r="AA207" s="1024"/>
      <c r="AB207" s="1021"/>
      <c r="AC207" s="1022"/>
      <c r="AD207" s="1022"/>
      <c r="AE207" s="1022"/>
      <c r="AF207" s="1023"/>
      <c r="AG207" s="1021"/>
      <c r="AH207" s="1022"/>
      <c r="AI207" s="1022"/>
      <c r="AJ207" s="1022"/>
      <c r="AK207" s="1023"/>
      <c r="AL207" s="1024"/>
      <c r="AM207" s="1021"/>
      <c r="AN207" s="1022"/>
      <c r="AO207" s="1022"/>
      <c r="AP207" s="1022"/>
      <c r="AQ207" s="1023"/>
      <c r="AR207" s="1021"/>
      <c r="AS207" s="1022"/>
      <c r="AT207" s="1022"/>
      <c r="AU207" s="1022"/>
      <c r="AV207" s="1023"/>
      <c r="AW207" s="1025"/>
      <c r="AX207" s="1282">
        <f t="shared" si="304"/>
        <v>0</v>
      </c>
      <c r="AY207" s="387">
        <f t="shared" si="305"/>
        <v>0</v>
      </c>
      <c r="AZ207" s="387">
        <f t="shared" si="306"/>
        <v>0</v>
      </c>
      <c r="BA207" s="387">
        <f t="shared" si="307"/>
        <v>0</v>
      </c>
      <c r="BB207" s="1283">
        <f t="shared" si="308"/>
        <v>0</v>
      </c>
      <c r="BC207" s="386">
        <f t="shared" si="309"/>
        <v>0</v>
      </c>
      <c r="BD207" s="387">
        <f t="shared" si="310"/>
        <v>0</v>
      </c>
      <c r="BE207" s="1277">
        <f t="shared" si="311"/>
        <v>0</v>
      </c>
      <c r="BF207" s="1277">
        <f t="shared" si="312"/>
        <v>0</v>
      </c>
      <c r="BG207" s="388">
        <f t="shared" si="313"/>
        <v>0</v>
      </c>
      <c r="BH207" s="1025"/>
      <c r="BI207" s="1282">
        <f t="shared" ca="1" si="314"/>
        <v>0</v>
      </c>
      <c r="BJ207" s="387">
        <f t="shared" ca="1" si="315"/>
        <v>0</v>
      </c>
      <c r="BK207" s="387">
        <f t="shared" ca="1" si="316"/>
        <v>0</v>
      </c>
      <c r="BL207" s="387">
        <f t="shared" ca="1" si="317"/>
        <v>0</v>
      </c>
      <c r="BM207" s="1283">
        <f t="shared" ca="1" si="318"/>
        <v>0</v>
      </c>
      <c r="BN207" s="386">
        <f t="shared" ca="1" si="319"/>
        <v>0</v>
      </c>
      <c r="BO207" s="387">
        <f t="shared" ca="1" si="320"/>
        <v>0</v>
      </c>
      <c r="BP207" s="1277">
        <f t="shared" ca="1" si="321"/>
        <v>0</v>
      </c>
      <c r="BQ207" s="1277">
        <f t="shared" ca="1" si="322"/>
        <v>0</v>
      </c>
      <c r="BR207" s="388">
        <f t="shared" ca="1" si="323"/>
        <v>0</v>
      </c>
      <c r="BS207" s="1025"/>
      <c r="BT207" s="1282">
        <f>+IF($K207="Ongoing",AX207,IF(RIGHT($K207,2)=RIGHT(BT$43,2),SUM($AX207:AX207),0)+IF(RIGHT(BT$43,2)&gt;RIGHT($K207,2),AX207,0))</f>
        <v>0</v>
      </c>
      <c r="BU207" s="387">
        <f>+IF($K207="Ongoing",AY207,IF(RIGHT($K207,2)=RIGHT(BU$43,2),SUM($AX207:AY207),0)+IF(RIGHT(BU$43,2)&gt;RIGHT($K207,2),AY207,0))</f>
        <v>0</v>
      </c>
      <c r="BV207" s="387">
        <f>+IF($K207="Ongoing",AZ207,IF(RIGHT($K207,2)=RIGHT(BV$43,2),SUM($AX207:AZ207),0)+IF(RIGHT(BV$43,2)&gt;RIGHT($K207,2),AZ207,0))</f>
        <v>0</v>
      </c>
      <c r="BW207" s="387">
        <f>+IF($K207="Ongoing",BA207,IF(RIGHT($K207,2)=RIGHT(BW$43,2),SUM($AX207:BA207),0)+IF(RIGHT(BW$43,2)&gt;RIGHT($K207,2),BA207,0))</f>
        <v>0</v>
      </c>
      <c r="BX207" s="1283">
        <f>+IF($K207="Ongoing",BB207,IF(RIGHT($K207,2)=RIGHT(BX$43,2),SUM($AX207:BB207),0)+IF(RIGHT(BX$43,2)&gt;RIGHT($K207,2),BB207,0))</f>
        <v>0</v>
      </c>
      <c r="BY207" s="386">
        <f>+IF($K207="Ongoing",BC207,IF(RIGHT($K207,2)=RIGHT(BY$43,2),SUM($AX207:BC207),0)+IF(RIGHT(BY$43,2)&gt;RIGHT($K207,2),BC207,0))</f>
        <v>0</v>
      </c>
      <c r="BZ207" s="387">
        <f>+IF($K207="Ongoing",BD207,IF(RIGHT($K207,2)=RIGHT(BZ$43,2),SUM($AX207:BD207),0)+IF(RIGHT(BZ$43,2)&gt;RIGHT($K207,2),BD207,0))</f>
        <v>0</v>
      </c>
      <c r="CA207" s="1277">
        <f>+IF($K207="Ongoing",BE207,IF(RIGHT($K207,2)=RIGHT(CA$43,2),SUM($AX207:BE207),0)+IF(RIGHT(CA$43,2)&gt;RIGHT($K207,2),BE207,0))</f>
        <v>0</v>
      </c>
      <c r="CB207" s="1277">
        <f>+IF($K207="Ongoing",BF207,IF(RIGHT($K207,2)=RIGHT(CB$43,2),SUM($AX207:BF207),0)+IF(RIGHT(CB$43,2)&gt;RIGHT($K207,2),BF207,0))</f>
        <v>0</v>
      </c>
      <c r="CC207" s="388">
        <f>+IF($K207="Ongoing",BG207,IF(RIGHT($K207,2)=RIGHT(CC$43,2),SUM($AX207:BG207),0)+IF(RIGHT(CC$43,2)&gt;RIGHT($K207,2),BG207,0))</f>
        <v>0</v>
      </c>
      <c r="CD207" s="1025"/>
      <c r="CE207" s="1282">
        <f>+Q207*KeyAssumptionsPriceControl_FO!AF$15</f>
        <v>0</v>
      </c>
      <c r="CF207" s="387">
        <f>+R207*KeyAssumptionsPriceControl_FO!AG$15</f>
        <v>0</v>
      </c>
      <c r="CG207" s="387">
        <f>+S207*KeyAssumptionsPriceControl_FO!AH$15</f>
        <v>0</v>
      </c>
      <c r="CH207" s="387">
        <f>+T207*KeyAssumptionsPriceControl_FO!AI$15</f>
        <v>0</v>
      </c>
      <c r="CI207" s="1283">
        <f>+U207*KeyAssumptionsPriceControl_FO!AJ$15</f>
        <v>0</v>
      </c>
      <c r="CJ207" s="386">
        <f>+V207*KeyAssumptionsPriceControl_FO!AK$15</f>
        <v>0</v>
      </c>
      <c r="CK207" s="387">
        <f>+W207*KeyAssumptionsPriceControl_FO!AL$15</f>
        <v>0</v>
      </c>
      <c r="CL207" s="1277">
        <f>+X207*KeyAssumptionsPriceControl_FO!AM$15</f>
        <v>0</v>
      </c>
      <c r="CM207" s="1277">
        <f>+Y207*KeyAssumptionsPriceControl_FO!AN$15</f>
        <v>0</v>
      </c>
      <c r="CN207" s="388">
        <f>+Z207*KeyAssumptionsPriceControl_FO!AO$15</f>
        <v>0</v>
      </c>
      <c r="CO207" s="1025"/>
      <c r="CP207" s="1282">
        <f t="shared" ca="1" si="324"/>
        <v>0</v>
      </c>
      <c r="CQ207" s="387">
        <f t="shared" ca="1" si="325"/>
        <v>0</v>
      </c>
      <c r="CR207" s="387">
        <f t="shared" ca="1" si="326"/>
        <v>0</v>
      </c>
      <c r="CS207" s="387">
        <f t="shared" ca="1" si="327"/>
        <v>0</v>
      </c>
      <c r="CT207" s="1283">
        <f t="shared" ca="1" si="328"/>
        <v>0</v>
      </c>
      <c r="CU207" s="386">
        <f t="shared" ca="1" si="329"/>
        <v>0</v>
      </c>
      <c r="CV207" s="387">
        <f t="shared" ca="1" si="330"/>
        <v>0</v>
      </c>
      <c r="CW207" s="1277">
        <f t="shared" ca="1" si="331"/>
        <v>0</v>
      </c>
      <c r="CX207" s="1277">
        <f t="shared" ca="1" si="332"/>
        <v>0</v>
      </c>
      <c r="CY207" s="388">
        <f t="shared" ca="1" si="333"/>
        <v>0</v>
      </c>
      <c r="CZ207" s="347"/>
      <c r="DA207" s="852"/>
      <c r="DB207" s="347"/>
      <c r="DC207" s="1012" t="s">
        <v>728</v>
      </c>
      <c r="DD207" s="841" t="s">
        <v>518</v>
      </c>
      <c r="DE207" s="386">
        <f>+IF($K207="ongoing",CE207,IF(RIGHT($K207,2)=RIGHT(DE$43,2),SUM($CD207:CE207),0)+IF(RIGHT(DE$43,2)&gt;RIGHT($K207,2),CE207,0))</f>
        <v>0</v>
      </c>
      <c r="DF207" s="387">
        <f>+IF($K207="ongoing",CF207,IF(RIGHT($K207,2)=RIGHT(DF$43,2),SUM($CD207:CF207),0)+IF(RIGHT(DF$43,2)&gt;RIGHT($K207,2),CF207,0))</f>
        <v>0</v>
      </c>
      <c r="DG207" s="388">
        <f>+IF($K207="ongoing",CG207,IF(RIGHT($K207,2)=RIGHT(DG$43,2),SUM($CD207:CG207),0)+IF(RIGHT(DG$43,2)&gt;RIGHT($K207,2),CG207,0))</f>
        <v>0</v>
      </c>
      <c r="DH207" s="386">
        <f>+IF($K207="ongoing",CH207,IF(RIGHT($K207,2)=RIGHT(DH$43,2),SUM($CD207:CH207),0)+IF(RIGHT(DH$43,2)&gt;RIGHT($K207,2),CH207,0))</f>
        <v>0</v>
      </c>
      <c r="DI207" s="387">
        <f>+IF($K207="ongoing",CI207,IF(RIGHT($K207,2)=RIGHT(DI$43,2),SUM($CD207:CI207),0)+IF(RIGHT(DI$43,2)&gt;RIGHT($K207,2),CI207,0))</f>
        <v>0</v>
      </c>
      <c r="DJ207" s="387">
        <f>+IF($K207="ongoing",CJ207,IF(RIGHT($K207,2)=RIGHT(DJ$43,2),SUM($CD207:CJ207),0)+IF(RIGHT(DJ$43,2)&gt;RIGHT($K207,2),CJ207,0))</f>
        <v>0</v>
      </c>
      <c r="DK207" s="387">
        <f>+IF($K207="ongoing",CK207,IF(RIGHT($K207,2)=RIGHT(DK$43,2),SUM($CD207:CK207),0)+IF(RIGHT(DK$43,2)&gt;RIGHT($K207,2),CK207,0))</f>
        <v>0</v>
      </c>
      <c r="DL207" s="388">
        <f>+IF($K207="ongoing",CN207,IF(RIGHT($K207,2)=RIGHT(DL$43,2),SUM($CD207:CN207),0)+IF(RIGHT(DL$43,2)&gt;RIGHT($K207,2),CN207,0))</f>
        <v>0</v>
      </c>
      <c r="DM207" s="841"/>
      <c r="DN207" s="386">
        <f t="shared" si="334"/>
        <v>0.5</v>
      </c>
      <c r="DO207" s="387">
        <f t="shared" si="335"/>
        <v>1</v>
      </c>
      <c r="DP207" s="388">
        <f t="shared" si="336"/>
        <v>1</v>
      </c>
      <c r="DQ207" s="386">
        <f t="shared" si="337"/>
        <v>1</v>
      </c>
      <c r="DR207" s="387">
        <f t="shared" si="338"/>
        <v>1</v>
      </c>
      <c r="DS207" s="387">
        <f t="shared" si="339"/>
        <v>1</v>
      </c>
      <c r="DT207" s="387">
        <f t="shared" si="340"/>
        <v>1</v>
      </c>
      <c r="DU207" s="388">
        <f t="shared" si="341"/>
        <v>1</v>
      </c>
      <c r="DW207" s="386">
        <f t="shared" si="342"/>
        <v>0</v>
      </c>
      <c r="DX207" s="387">
        <f t="shared" si="343"/>
        <v>0.5</v>
      </c>
      <c r="DY207" s="388">
        <f t="shared" si="344"/>
        <v>1</v>
      </c>
      <c r="DZ207" s="386">
        <f t="shared" si="345"/>
        <v>1</v>
      </c>
      <c r="EA207" s="387">
        <f t="shared" si="346"/>
        <v>1</v>
      </c>
      <c r="EB207" s="387">
        <f t="shared" si="347"/>
        <v>1</v>
      </c>
      <c r="EC207" s="387">
        <f t="shared" si="348"/>
        <v>1</v>
      </c>
      <c r="ED207" s="388">
        <f t="shared" si="349"/>
        <v>1</v>
      </c>
      <c r="EF207" s="834">
        <f>+IF(DN207=DM207,0,
IF(AND(EF$44&gt;1,DN207=$N207),1-SUM($EE207:EE207),
IF($N207&lt;=1,
IF($N207&gt;0,1/$N207,0),
IF(EF$44=1,0,VDB(1,0,$N207,INT(EF$44-1-1),MIN($N207,INT(EF$44-1-1)+1),$DC207,IF($DD207="No",1,0))/
IF(DM207&gt;=INT($N207),$N207-INT($N207),1)))*
IF(EF$44=1,0,
IF(INT(DN207)=INT(DM207),DN207-DM207,INT(DN207)-DM207))+
IF($N207&lt;=1,
IF($N207&gt;0,1/$N207,0),VDB(1,0,$N207,INT(EF$44-1),MIN($N207,INT(EF$44-1)+1),$DC207,IF($DD207="No",1,0))/
IF(DN207&gt;INT($N207),$N207-INT($N207),1))*
IF(EF$44=1,DN207,
IF(INT(DN207)=INT(DM207),0,DN207-INT(DN207)))))</f>
        <v>0</v>
      </c>
      <c r="EG207" s="835">
        <f>+IF(DO207=DN207,0,
IF(AND(EG$44&gt;1,DO207=$N207),1-SUM($EE207:EF207),
IF($N207&lt;=1,
IF($N207&gt;0,1/$N207,0),
IF(EG$44=1,0,VDB(1,0,$N207,INT(EG$44-1-1),MIN($N207,INT(EG$44-1-1)+1),$DC207,IF($DD207="No",1,0))/
IF(DN207&gt;=INT($N207),$N207-INT($N207),1)))*
IF(EG$44=1,0,
IF(INT(DO207)=INT(DN207),DO207-DN207,INT(DO207)-DN207))+
IF($N207&lt;=1,
IF($N207&gt;0,1/$N207,0),VDB(1,0,$N207,INT(EG$44-1),MIN($N207,INT(EG$44-1)+1),$DC207,IF($DD207="No",1,0))/
IF(DO207&gt;INT($N207),$N207-INT($N207),1))*
IF(EG$44=1,DO207,
IF(INT(DO207)=INT(DN207),0,DO207-INT(DO207)))))</f>
        <v>0</v>
      </c>
      <c r="EH207" s="836">
        <f>+IF(DP207=DO207,0,
IF(AND(EH$44&gt;1,DP207=$N207),1-SUM($EE207:EG207),
IF($N207&lt;=1,
IF($N207&gt;0,1/$N207,0),
IF(EH$44=1,0,VDB(1,0,$N207,INT(EH$44-1-1),MIN($N207,INT(EH$44-1-1)+1),$DC207,IF($DD207="No",1,0))/
IF(DO207&gt;=INT($N207),$N207-INT($N207),1)))*
IF(EH$44=1,0,
IF(INT(DP207)=INT(DO207),DP207-DO207,INT(DP207)-DO207))+
IF($N207&lt;=1,
IF($N207&gt;0,1/$N207,0),VDB(1,0,$N207,INT(EH$44-1),MIN($N207,INT(EH$44-1)+1),$DC207,IF($DD207="No",1,0))/
IF(DP207&gt;INT($N207),$N207-INT($N207),1))*
IF(EH$44=1,DP207,
IF(INT(DP207)=INT(DO207),0,DP207-INT(DP207)))))</f>
        <v>0</v>
      </c>
      <c r="EI207" s="834">
        <f>+IF(DQ207=DP207,0,
IF(AND(EI$44&gt;1,DQ207=$N207),1-SUM($EE207:EH207),
IF($N207&lt;=1,
IF($N207&gt;0,1/$N207,0),
IF(EI$44=1,0,VDB(1,0,$N207,INT(EI$44-1-1),MIN($N207,INT(EI$44-1-1)+1),$DC207,IF($DD207="No",1,0))/
IF(DP207&gt;=INT($N207),$N207-INT($N207),1)))*
IF(EI$44=1,0,
IF(INT(DQ207)=INT(DP207),DQ207-DP207,INT(DQ207)-DP207))+
IF($N207&lt;=1,
IF($N207&gt;0,1/$N207,0),VDB(1,0,$N207,INT(EI$44-1),MIN($N207,INT(EI$44-1)+1),$DC207,IF($DD207="No",1,0))/
IF(DQ207&gt;INT($N207),$N207-INT($N207),1))*
IF(EI$44=1,DQ207,
IF(INT(DQ207)=INT(DP207),0,DQ207-INT(DQ207)))))</f>
        <v>0</v>
      </c>
      <c r="EJ207" s="835">
        <f>+IF(DR207=DQ207,0,
IF(AND(EJ$44&gt;1,DR207=$N207),1-SUM($EE207:EI207),
IF($N207&lt;=1,
IF($N207&gt;0,1/$N207,0),
IF(EJ$44=1,0,VDB(1,0,$N207,INT(EJ$44-1-1),MIN($N207,INT(EJ$44-1-1)+1),$DC207,IF($DD207="No",1,0))/
IF(DQ207&gt;=INT($N207),$N207-INT($N207),1)))*
IF(EJ$44=1,0,
IF(INT(DR207)=INT(DQ207),DR207-DQ207,INT(DR207)-DQ207))+
IF($N207&lt;=1,
IF($N207&gt;0,1/$N207,0),VDB(1,0,$N207,INT(EJ$44-1),MIN($N207,INT(EJ$44-1)+1),$DC207,IF($DD207="No",1,0))/
IF(DR207&gt;INT($N207),$N207-INT($N207),1))*
IF(EJ$44=1,DR207,
IF(INT(DR207)=INT(DQ207),0,DR207-INT(DR207)))))</f>
        <v>0</v>
      </c>
      <c r="EK207" s="835">
        <f>+IF(DS207=DR207,0,
IF(AND(EK$44&gt;1,DS207=$N207),1-SUM($EE207:EJ207),
IF($N207&lt;=1,
IF($N207&gt;0,1/$N207,0),
IF(EK$44=1,0,VDB(1,0,$N207,INT(EK$44-1-1),MIN($N207,INT(EK$44-1-1)+1),$DC207,IF($DD207="No",1,0))/
IF(DR207&gt;=INT($N207),$N207-INT($N207),1)))*
IF(EK$44=1,0,
IF(INT(DS207)=INT(DR207),DS207-DR207,INT(DS207)-DR207))+
IF($N207&lt;=1,
IF($N207&gt;0,1/$N207,0),VDB(1,0,$N207,INT(EK$44-1),MIN($N207,INT(EK$44-1)+1),$DC207,IF($DD207="No",1,0))/
IF(DS207&gt;INT($N207),$N207-INT($N207),1))*
IF(EK$44=1,DS207,
IF(INT(DS207)=INT(DR207),0,DS207-INT(DS207)))))</f>
        <v>0</v>
      </c>
      <c r="EL207" s="835">
        <f>+IF(DT207=DS207,0,
IF(AND(EL$44&gt;1,DT207=$N207),1-SUM($EE207:EK207),
IF($N207&lt;=1,
IF($N207&gt;0,1/$N207,0),
IF(EL$44=1,0,VDB(1,0,$N207,INT(EL$44-1-1),MIN($N207,INT(EL$44-1-1)+1),$DC207,IF($DD207="No",1,0))/
IF(DS207&gt;=INT($N207),$N207-INT($N207),1)))*
IF(EL$44=1,0,
IF(INT(DT207)=INT(DS207),DT207-DS207,INT(DT207)-DS207))+
IF($N207&lt;=1,
IF($N207&gt;0,1/$N207,0),VDB(1,0,$N207,INT(EL$44-1),MIN($N207,INT(EL$44-1)+1),$DC207,IF($DD207="No",1,0))/
IF(DT207&gt;INT($N207),$N207-INT($N207),1))*
IF(EL$44=1,DT207,
IF(INT(DT207)=INT(DS207),0,DT207-INT(DT207)))))</f>
        <v>0</v>
      </c>
      <c r="EM207" s="836">
        <f>+IF(DU207=DT207,0,
IF(AND(EM$44&gt;1,DU207=$N207),1-SUM($EE207:EL207),
IF($N207&lt;=1,
IF($N207&gt;0,1/$N207,0),
IF(EM$44=1,0,VDB(1,0,$N207,INT(EM$44-1-1),MIN($N207,INT(EM$44-1-1)+1),$DC207,IF($DD207="No",1,0))/
IF(DT207&gt;=INT($N207),$N207-INT($N207),1)))*
IF(EM$44=1,0,
IF(INT(DU207)=INT(DT207),DU207-DT207,INT(DU207)-DT207))+
IF($N207&lt;=1,
IF($N207&gt;0,1/$N207,0),VDB(1,0,$N207,INT(EM$44-1),MIN($N207,INT(EM$44-1)+1),$DC207,IF($DD207="No",1,0))/
IF(DU207&gt;INT($N207),$N207-INT($N207),1))*
IF(EM$44=1,DU207,
IF(INT(DU207)=INT(DT207),0,DU207-INT(DU207)))))</f>
        <v>0</v>
      </c>
      <c r="EN207" s="833"/>
      <c r="EO207" s="834">
        <f>+IF(OR(DW207=DV207,EO$44=1),0,
IF(AND(EO$44&gt;1,DW207=$N207),1-SUM($EN207:EN207),
IF($N207&lt;=1,
IF($N207&gt;0,1/$N207,0),
IF(EO$44=2,0,VDB(1,0,$N207,INT(EO$44-2-1),MIN($N207,INT(EO$44-2-1)+1),$DC207,IF($DD207="No",1,0))/
IF(DV207&gt;=INT($N207),$N207-INT($N207),1)))*
IF(EO$44=2,0,
IF(INT(DW207)=INT(DV207),DW207-DV207,INT(DW207)-DV207))+
IF($N207&lt;=1,
IF($N207&gt;0,1/$N207,0),VDB(1,0,$N207,INT(EO$44-2),MIN($N207,INT(EO$44-2)+1),$DC207,IF($DD207="No",1,0))/
IF(DW207&gt;INT($N207),$N207-INT($N207),1))*
IF(EO$44=2,DW207,
IF(INT(DW207)=INT(DV207),0,DW207-INT(DW207)))))</f>
        <v>0</v>
      </c>
      <c r="EP207" s="835">
        <f>+IF(OR(DX207=DW207,EP$44=1),0,
IF(AND(EP$44&gt;1,DX207=$N207),1-SUM($EN207:EO207),
IF($N207&lt;=1,
IF($N207&gt;0,1/$N207,0),
IF(EP$44=2,0,VDB(1,0,$N207,INT(EP$44-2-1),MIN($N207,INT(EP$44-2-1)+1),$DC207,IF($DD207="No",1,0))/
IF(DW207&gt;=INT($N207),$N207-INT($N207),1)))*
IF(EP$44=2,0,
IF(INT(DX207)=INT(DW207),DX207-DW207,INT(DX207)-DW207))+
IF($N207&lt;=1,
IF($N207&gt;0,1/$N207,0),VDB(1,0,$N207,INT(EP$44-2),MIN($N207,INT(EP$44-2)+1),$DC207,IF($DD207="No",1,0))/
IF(DX207&gt;INT($N207),$N207-INT($N207),1))*
IF(EP$44=2,DX207,
IF(INT(DX207)=INT(DW207),0,DX207-INT(DX207)))))</f>
        <v>0</v>
      </c>
      <c r="EQ207" s="836">
        <f>+IF(OR(DY207=DX207,EQ$44=1),0,
IF(AND(EQ$44&gt;1,DY207=$N207),1-SUM($EN207:EP207),
IF($N207&lt;=1,
IF($N207&gt;0,1/$N207,0),
IF(EQ$44=2,0,VDB(1,0,$N207,INT(EQ$44-2-1),MIN($N207,INT(EQ$44-2-1)+1),$DC207,IF($DD207="No",1,0))/
IF(DX207&gt;=INT($N207),$N207-INT($N207),1)))*
IF(EQ$44=2,0,
IF(INT(DY207)=INT(DX207),DY207-DX207,INT(DY207)-DX207))+
IF($N207&lt;=1,
IF($N207&gt;0,1/$N207,0),VDB(1,0,$N207,INT(EQ$44-2),MIN($N207,INT(EQ$44-2)+1),$DC207,IF($DD207="No",1,0))/
IF(DY207&gt;INT($N207),$N207-INT($N207),1))*
IF(EQ$44=2,DY207,
IF(INT(DY207)=INT(DX207),0,DY207-INT(DY207)))))</f>
        <v>0</v>
      </c>
      <c r="ER207" s="834">
        <f>+IF(OR(DZ207=DY207,ER$44=1),0,
IF(AND(ER$44&gt;1,DZ207=$N207),1-SUM($EN207:EQ207),
IF($N207&lt;=1,
IF($N207&gt;0,1/$N207,0),
IF(ER$44=2,0,VDB(1,0,$N207,INT(ER$44-2-1),MIN($N207,INT(ER$44-2-1)+1),$DC207,IF($DD207="No",1,0))/
IF(DY207&gt;=INT($N207),$N207-INT($N207),1)))*
IF(ER$44=2,0,
IF(INT(DZ207)=INT(DY207),DZ207-DY207,INT(DZ207)-DY207))+
IF($N207&lt;=1,
IF($N207&gt;0,1/$N207,0),VDB(1,0,$N207,INT(ER$44-2),MIN($N207,INT(ER$44-2)+1),$DC207,IF($DD207="No",1,0))/
IF(DZ207&gt;INT($N207),$N207-INT($N207),1))*
IF(ER$44=2,DZ207,
IF(INT(DZ207)=INT(DY207),0,DZ207-INT(DZ207)))))</f>
        <v>0</v>
      </c>
      <c r="ES207" s="835">
        <f>+IF(OR(EA207=DZ207,ES$44=1),0,
IF(AND(ES$44&gt;1,EA207=$N207),1-SUM($EN207:ER207),
IF($N207&lt;=1,
IF($N207&gt;0,1/$N207,0),
IF(ES$44=2,0,VDB(1,0,$N207,INT(ES$44-2-1),MIN($N207,INT(ES$44-2-1)+1),$DC207,IF($DD207="No",1,0))/
IF(DZ207&gt;=INT($N207),$N207-INT($N207),1)))*
IF(ES$44=2,0,
IF(INT(EA207)=INT(DZ207),EA207-DZ207,INT(EA207)-DZ207))+
IF($N207&lt;=1,
IF($N207&gt;0,1/$N207,0),VDB(1,0,$N207,INT(ES$44-2),MIN($N207,INT(ES$44-2)+1),$DC207,IF($DD207="No",1,0))/
IF(EA207&gt;INT($N207),$N207-INT($N207),1))*
IF(ES$44=2,EA207,
IF(INT(EA207)=INT(DZ207),0,EA207-INT(EA207)))))</f>
        <v>0</v>
      </c>
      <c r="ET207" s="835">
        <f>+IF(OR(EB207=EA207,ET$44=1),0,
IF(AND(ET$44&gt;1,EB207=$N207),1-SUM($EN207:ES207),
IF($N207&lt;=1,
IF($N207&gt;0,1/$N207,0),
IF(ET$44=2,0,VDB(1,0,$N207,INT(ET$44-2-1),MIN($N207,INT(ET$44-2-1)+1),$DC207,IF($DD207="No",1,0))/
IF(EA207&gt;=INT($N207),$N207-INT($N207),1)))*
IF(ET$44=2,0,
IF(INT(EB207)=INT(EA207),EB207-EA207,INT(EB207)-EA207))+
IF($N207&lt;=1,
IF($N207&gt;0,1/$N207,0),VDB(1,0,$N207,INT(ET$44-2),MIN($N207,INT(ET$44-2)+1),$DC207,IF($DD207="No",1,0))/
IF(EB207&gt;INT($N207),$N207-INT($N207),1))*
IF(ET$44=2,EB207,
IF(INT(EB207)=INT(EA207),0,EB207-INT(EB207)))))</f>
        <v>0</v>
      </c>
      <c r="EU207" s="835">
        <f>+IF(OR(EC207=EB207,EU$44=1),0,
IF(AND(EU$44&gt;1,EC207=$N207),1-SUM($EN207:ET207),
IF($N207&lt;=1,
IF($N207&gt;0,1/$N207,0),
IF(EU$44=2,0,VDB(1,0,$N207,INT(EU$44-2-1),MIN($N207,INT(EU$44-2-1)+1),$DC207,IF($DD207="No",1,0))/
IF(EB207&gt;=INT($N207),$N207-INT($N207),1)))*
IF(EU$44=2,0,
IF(INT(EC207)=INT(EB207),EC207-EB207,INT(EC207)-EB207))+
IF($N207&lt;=1,
IF($N207&gt;0,1/$N207,0),VDB(1,0,$N207,INT(EU$44-2),MIN($N207,INT(EU$44-2)+1),$DC207,IF($DD207="No",1,0))/
IF(EC207&gt;INT($N207),$N207-INT($N207),1))*
IF(EU$44=2,EC207,
IF(INT(EC207)=INT(EB207),0,EC207-INT(EC207)))))</f>
        <v>0</v>
      </c>
      <c r="EV207" s="836">
        <f>+IF(OR(ED207=EC207,EV$44=1),0,
IF(AND(EV$44&gt;1,ED207=$N207),1-SUM($EN207:EU207),
IF($N207&lt;=1,
IF($N207&gt;0,1/$N207,0),
IF(EV$44=2,0,VDB(1,0,$N207,INT(EV$44-2-1),MIN($N207,INT(EV$44-2-1)+1),$DC207,IF($DD207="No",1,0))/
IF(EC207&gt;=INT($N207),$N207-INT($N207),1)))*
IF(EV$44=2,0,
IF(INT(ED207)=INT(EC207),ED207-EC207,INT(ED207)-EC207))+
IF($N207&lt;=1,
IF($N207&gt;0,1/$N207,0),VDB(1,0,$N207,INT(EV$44-2),MIN($N207,INT(EV$44-2)+1),$DC207,IF($DD207="No",1,0))/
IF(ED207&gt;INT($N207),$N207-INT($N207),1))*
IF(EV$44=2,ED207,
IF(INT(ED207)=INT(EC207),0,ED207-INT(ED207)))))</f>
        <v>0</v>
      </c>
      <c r="EW207" s="833"/>
      <c r="EX207" s="834">
        <f t="shared" ca="1" si="360"/>
        <v>0</v>
      </c>
      <c r="EY207" s="835">
        <f t="shared" ca="1" si="360"/>
        <v>0</v>
      </c>
      <c r="EZ207" s="836">
        <f t="shared" ca="1" si="360"/>
        <v>0</v>
      </c>
      <c r="FA207" s="834">
        <f t="shared" ca="1" si="360"/>
        <v>0</v>
      </c>
      <c r="FB207" s="835">
        <f t="shared" ca="1" si="360"/>
        <v>0</v>
      </c>
      <c r="FC207" s="835">
        <f t="shared" ca="1" si="360"/>
        <v>0</v>
      </c>
      <c r="FD207" s="835">
        <f t="shared" ca="1" si="360"/>
        <v>0</v>
      </c>
      <c r="FE207" s="836">
        <f t="shared" ca="1" si="360"/>
        <v>0</v>
      </c>
      <c r="FG207" s="386">
        <f t="shared" ca="1" si="351"/>
        <v>0</v>
      </c>
      <c r="FH207" s="387">
        <f t="shared" ca="1" si="352"/>
        <v>0</v>
      </c>
      <c r="FI207" s="388">
        <f t="shared" ca="1" si="353"/>
        <v>0</v>
      </c>
      <c r="FJ207" s="386">
        <f t="shared" ca="1" si="354"/>
        <v>0</v>
      </c>
      <c r="FK207" s="387">
        <f t="shared" ca="1" si="355"/>
        <v>0</v>
      </c>
      <c r="FL207" s="387">
        <f t="shared" ca="1" si="356"/>
        <v>0</v>
      </c>
      <c r="FM207" s="387">
        <f t="shared" ca="1" si="357"/>
        <v>0</v>
      </c>
      <c r="FN207" s="388">
        <f t="shared" ca="1" si="358"/>
        <v>0</v>
      </c>
      <c r="FR207" s="116"/>
    </row>
    <row r="208" spans="2:174">
      <c r="B208" s="1410">
        <f t="shared" si="359"/>
        <v>162</v>
      </c>
      <c r="C208" s="400"/>
      <c r="D208" s="410"/>
      <c r="E208" s="402"/>
      <c r="F208" s="402"/>
      <c r="G208" s="400"/>
      <c r="H208" s="2088"/>
      <c r="I208" s="2089"/>
      <c r="J208" s="411"/>
      <c r="K208" s="403"/>
      <c r="L208" s="403"/>
      <c r="M208" s="403"/>
      <c r="N208" s="403"/>
      <c r="O208" s="347"/>
      <c r="P208" s="347"/>
      <c r="Q208" s="1021"/>
      <c r="R208" s="1022"/>
      <c r="S208" s="1022"/>
      <c r="T208" s="1022"/>
      <c r="U208" s="1023"/>
      <c r="V208" s="1021"/>
      <c r="W208" s="1022"/>
      <c r="X208" s="1022"/>
      <c r="Y208" s="1022"/>
      <c r="Z208" s="1023"/>
      <c r="AA208" s="1024"/>
      <c r="AB208" s="1021"/>
      <c r="AC208" s="1022"/>
      <c r="AD208" s="1022"/>
      <c r="AE208" s="1022"/>
      <c r="AF208" s="1023"/>
      <c r="AG208" s="1021"/>
      <c r="AH208" s="1022"/>
      <c r="AI208" s="1022"/>
      <c r="AJ208" s="1022"/>
      <c r="AK208" s="1023"/>
      <c r="AL208" s="1024"/>
      <c r="AM208" s="1021"/>
      <c r="AN208" s="1022"/>
      <c r="AO208" s="1022"/>
      <c r="AP208" s="1022"/>
      <c r="AQ208" s="1023"/>
      <c r="AR208" s="1021"/>
      <c r="AS208" s="1022"/>
      <c r="AT208" s="1022"/>
      <c r="AU208" s="1022"/>
      <c r="AV208" s="1023"/>
      <c r="AW208" s="1025"/>
      <c r="AX208" s="1282">
        <f t="shared" si="304"/>
        <v>0</v>
      </c>
      <c r="AY208" s="387">
        <f t="shared" si="305"/>
        <v>0</v>
      </c>
      <c r="AZ208" s="387">
        <f t="shared" si="306"/>
        <v>0</v>
      </c>
      <c r="BA208" s="387">
        <f t="shared" si="307"/>
        <v>0</v>
      </c>
      <c r="BB208" s="1283">
        <f t="shared" si="308"/>
        <v>0</v>
      </c>
      <c r="BC208" s="386">
        <f t="shared" si="309"/>
        <v>0</v>
      </c>
      <c r="BD208" s="387">
        <f t="shared" si="310"/>
        <v>0</v>
      </c>
      <c r="BE208" s="1277">
        <f t="shared" si="311"/>
        <v>0</v>
      </c>
      <c r="BF208" s="1277">
        <f t="shared" si="312"/>
        <v>0</v>
      </c>
      <c r="BG208" s="388">
        <f t="shared" si="313"/>
        <v>0</v>
      </c>
      <c r="BH208" s="1025"/>
      <c r="BI208" s="1282">
        <f t="shared" ca="1" si="314"/>
        <v>0</v>
      </c>
      <c r="BJ208" s="387">
        <f t="shared" ca="1" si="315"/>
        <v>0</v>
      </c>
      <c r="BK208" s="387">
        <f t="shared" ca="1" si="316"/>
        <v>0</v>
      </c>
      <c r="BL208" s="387">
        <f t="shared" ca="1" si="317"/>
        <v>0</v>
      </c>
      <c r="BM208" s="1283">
        <f t="shared" ca="1" si="318"/>
        <v>0</v>
      </c>
      <c r="BN208" s="386">
        <f t="shared" ca="1" si="319"/>
        <v>0</v>
      </c>
      <c r="BO208" s="387">
        <f t="shared" ca="1" si="320"/>
        <v>0</v>
      </c>
      <c r="BP208" s="1277">
        <f t="shared" ca="1" si="321"/>
        <v>0</v>
      </c>
      <c r="BQ208" s="1277">
        <f t="shared" ca="1" si="322"/>
        <v>0</v>
      </c>
      <c r="BR208" s="388">
        <f t="shared" ca="1" si="323"/>
        <v>0</v>
      </c>
      <c r="BS208" s="1025"/>
      <c r="BT208" s="1282">
        <f>+IF($K208="Ongoing",AX208,IF(RIGHT($K208,2)=RIGHT(BT$43,2),SUM($AX208:AX208),0)+IF(RIGHT(BT$43,2)&gt;RIGHT($K208,2),AX208,0))</f>
        <v>0</v>
      </c>
      <c r="BU208" s="387">
        <f>+IF($K208="Ongoing",AY208,IF(RIGHT($K208,2)=RIGHT(BU$43,2),SUM($AX208:AY208),0)+IF(RIGHT(BU$43,2)&gt;RIGHT($K208,2),AY208,0))</f>
        <v>0</v>
      </c>
      <c r="BV208" s="387">
        <f>+IF($K208="Ongoing",AZ208,IF(RIGHT($K208,2)=RIGHT(BV$43,2),SUM($AX208:AZ208),0)+IF(RIGHT(BV$43,2)&gt;RIGHT($K208,2),AZ208,0))</f>
        <v>0</v>
      </c>
      <c r="BW208" s="387">
        <f>+IF($K208="Ongoing",BA208,IF(RIGHT($K208,2)=RIGHT(BW$43,2),SUM($AX208:BA208),0)+IF(RIGHT(BW$43,2)&gt;RIGHT($K208,2),BA208,0))</f>
        <v>0</v>
      </c>
      <c r="BX208" s="1283">
        <f>+IF($K208="Ongoing",BB208,IF(RIGHT($K208,2)=RIGHT(BX$43,2),SUM($AX208:BB208),0)+IF(RIGHT(BX$43,2)&gt;RIGHT($K208,2),BB208,0))</f>
        <v>0</v>
      </c>
      <c r="BY208" s="386">
        <f>+IF($K208="Ongoing",BC208,IF(RIGHT($K208,2)=RIGHT(BY$43,2),SUM($AX208:BC208),0)+IF(RIGHT(BY$43,2)&gt;RIGHT($K208,2),BC208,0))</f>
        <v>0</v>
      </c>
      <c r="BZ208" s="387">
        <f>+IF($K208="Ongoing",BD208,IF(RIGHT($K208,2)=RIGHT(BZ$43,2),SUM($AX208:BD208),0)+IF(RIGHT(BZ$43,2)&gt;RIGHT($K208,2),BD208,0))</f>
        <v>0</v>
      </c>
      <c r="CA208" s="1277">
        <f>+IF($K208="Ongoing",BE208,IF(RIGHT($K208,2)=RIGHT(CA$43,2),SUM($AX208:BE208),0)+IF(RIGHT(CA$43,2)&gt;RIGHT($K208,2),BE208,0))</f>
        <v>0</v>
      </c>
      <c r="CB208" s="1277">
        <f>+IF($K208="Ongoing",BF208,IF(RIGHT($K208,2)=RIGHT(CB$43,2),SUM($AX208:BF208),0)+IF(RIGHT(CB$43,2)&gt;RIGHT($K208,2),BF208,0))</f>
        <v>0</v>
      </c>
      <c r="CC208" s="388">
        <f>+IF($K208="Ongoing",BG208,IF(RIGHT($K208,2)=RIGHT(CC$43,2),SUM($AX208:BG208),0)+IF(RIGHT(CC$43,2)&gt;RIGHT($K208,2),BG208,0))</f>
        <v>0</v>
      </c>
      <c r="CD208" s="1025"/>
      <c r="CE208" s="1282">
        <f>+Q208*KeyAssumptionsPriceControl_FO!AF$15</f>
        <v>0</v>
      </c>
      <c r="CF208" s="387">
        <f>+R208*KeyAssumptionsPriceControl_FO!AG$15</f>
        <v>0</v>
      </c>
      <c r="CG208" s="387">
        <f>+S208*KeyAssumptionsPriceControl_FO!AH$15</f>
        <v>0</v>
      </c>
      <c r="CH208" s="387">
        <f>+T208*KeyAssumptionsPriceControl_FO!AI$15</f>
        <v>0</v>
      </c>
      <c r="CI208" s="1283">
        <f>+U208*KeyAssumptionsPriceControl_FO!AJ$15</f>
        <v>0</v>
      </c>
      <c r="CJ208" s="386">
        <f>+V208*KeyAssumptionsPriceControl_FO!AK$15</f>
        <v>0</v>
      </c>
      <c r="CK208" s="387">
        <f>+W208*KeyAssumptionsPriceControl_FO!AL$15</f>
        <v>0</v>
      </c>
      <c r="CL208" s="1277">
        <f>+X208*KeyAssumptionsPriceControl_FO!AM$15</f>
        <v>0</v>
      </c>
      <c r="CM208" s="1277">
        <f>+Y208*KeyAssumptionsPriceControl_FO!AN$15</f>
        <v>0</v>
      </c>
      <c r="CN208" s="388">
        <f>+Z208*KeyAssumptionsPriceControl_FO!AO$15</f>
        <v>0</v>
      </c>
      <c r="CO208" s="1025"/>
      <c r="CP208" s="1282">
        <f t="shared" ca="1" si="324"/>
        <v>0</v>
      </c>
      <c r="CQ208" s="387">
        <f t="shared" ca="1" si="325"/>
        <v>0</v>
      </c>
      <c r="CR208" s="387">
        <f t="shared" ca="1" si="326"/>
        <v>0</v>
      </c>
      <c r="CS208" s="387">
        <f t="shared" ca="1" si="327"/>
        <v>0</v>
      </c>
      <c r="CT208" s="1283">
        <f t="shared" ca="1" si="328"/>
        <v>0</v>
      </c>
      <c r="CU208" s="386">
        <f t="shared" ca="1" si="329"/>
        <v>0</v>
      </c>
      <c r="CV208" s="387">
        <f t="shared" ca="1" si="330"/>
        <v>0</v>
      </c>
      <c r="CW208" s="1277">
        <f t="shared" ca="1" si="331"/>
        <v>0</v>
      </c>
      <c r="CX208" s="1277">
        <f t="shared" ca="1" si="332"/>
        <v>0</v>
      </c>
      <c r="CY208" s="388">
        <f t="shared" ca="1" si="333"/>
        <v>0</v>
      </c>
      <c r="CZ208" s="347"/>
      <c r="DA208" s="852"/>
      <c r="DB208" s="347"/>
      <c r="DC208" s="1012" t="s">
        <v>729</v>
      </c>
      <c r="DD208" s="841" t="s">
        <v>518</v>
      </c>
      <c r="DE208" s="386">
        <f>+IF($K208="ongoing",CE208,IF(RIGHT($K208,2)=RIGHT(DE$43,2),SUM($CD208:CE208),0)+IF(RIGHT(DE$43,2)&gt;RIGHT($K208,2),CE208,0))</f>
        <v>0</v>
      </c>
      <c r="DF208" s="387">
        <f>+IF($K208="ongoing",CF208,IF(RIGHT($K208,2)=RIGHT(DF$43,2),SUM($CD208:CF208),0)+IF(RIGHT(DF$43,2)&gt;RIGHT($K208,2),CF208,0))</f>
        <v>0</v>
      </c>
      <c r="DG208" s="388">
        <f>+IF($K208="ongoing",CG208,IF(RIGHT($K208,2)=RIGHT(DG$43,2),SUM($CD208:CG208),0)+IF(RIGHT(DG$43,2)&gt;RIGHT($K208,2),CG208,0))</f>
        <v>0</v>
      </c>
      <c r="DH208" s="386">
        <f>+IF($K208="ongoing",CH208,IF(RIGHT($K208,2)=RIGHT(DH$43,2),SUM($CD208:CH208),0)+IF(RIGHT(DH$43,2)&gt;RIGHT($K208,2),CH208,0))</f>
        <v>0</v>
      </c>
      <c r="DI208" s="387">
        <f>+IF($K208="ongoing",CI208,IF(RIGHT($K208,2)=RIGHT(DI$43,2),SUM($CD208:CI208),0)+IF(RIGHT(DI$43,2)&gt;RIGHT($K208,2),CI208,0))</f>
        <v>0</v>
      </c>
      <c r="DJ208" s="387">
        <f>+IF($K208="ongoing",CJ208,IF(RIGHT($K208,2)=RIGHT(DJ$43,2),SUM($CD208:CJ208),0)+IF(RIGHT(DJ$43,2)&gt;RIGHT($K208,2),CJ208,0))</f>
        <v>0</v>
      </c>
      <c r="DK208" s="387">
        <f>+IF($K208="ongoing",CK208,IF(RIGHT($K208,2)=RIGHT(DK$43,2),SUM($CD208:CK208),0)+IF(RIGHT(DK$43,2)&gt;RIGHT($K208,2),CK208,0))</f>
        <v>0</v>
      </c>
      <c r="DL208" s="388">
        <f>+IF($K208="ongoing",CN208,IF(RIGHT($K208,2)=RIGHT(DL$43,2),SUM($CD208:CN208),0)+IF(RIGHT(DL$43,2)&gt;RIGHT($K208,2),CN208,0))</f>
        <v>0</v>
      </c>
      <c r="DM208" s="841"/>
      <c r="DN208" s="386">
        <f t="shared" si="334"/>
        <v>0.5</v>
      </c>
      <c r="DO208" s="387">
        <f t="shared" si="335"/>
        <v>1</v>
      </c>
      <c r="DP208" s="388">
        <f t="shared" si="336"/>
        <v>1</v>
      </c>
      <c r="DQ208" s="386">
        <f t="shared" si="337"/>
        <v>1</v>
      </c>
      <c r="DR208" s="387">
        <f t="shared" si="338"/>
        <v>1</v>
      </c>
      <c r="DS208" s="387">
        <f t="shared" si="339"/>
        <v>1</v>
      </c>
      <c r="DT208" s="387">
        <f t="shared" si="340"/>
        <v>1</v>
      </c>
      <c r="DU208" s="388">
        <f t="shared" si="341"/>
        <v>1</v>
      </c>
      <c r="DW208" s="386">
        <f t="shared" si="342"/>
        <v>0</v>
      </c>
      <c r="DX208" s="387">
        <f t="shared" si="343"/>
        <v>0.5</v>
      </c>
      <c r="DY208" s="388">
        <f t="shared" si="344"/>
        <v>1</v>
      </c>
      <c r="DZ208" s="386">
        <f t="shared" si="345"/>
        <v>1</v>
      </c>
      <c r="EA208" s="387">
        <f t="shared" si="346"/>
        <v>1</v>
      </c>
      <c r="EB208" s="387">
        <f t="shared" si="347"/>
        <v>1</v>
      </c>
      <c r="EC208" s="387">
        <f t="shared" si="348"/>
        <v>1</v>
      </c>
      <c r="ED208" s="388">
        <f t="shared" si="349"/>
        <v>1</v>
      </c>
      <c r="EF208" s="834">
        <f>+IF(DN208=DM208,0,
IF(AND(EF$44&gt;1,DN208=$N208),1-SUM($EE208:EE208),
IF($N208&lt;=1,
IF($N208&gt;0,1/$N208,0),
IF(EF$44=1,0,VDB(1,0,$N208,INT(EF$44-1-1),MIN($N208,INT(EF$44-1-1)+1),$DC208,IF($DD208="No",1,0))/
IF(DM208&gt;=INT($N208),$N208-INT($N208),1)))*
IF(EF$44=1,0,
IF(INT(DN208)=INT(DM208),DN208-DM208,INT(DN208)-DM208))+
IF($N208&lt;=1,
IF($N208&gt;0,1/$N208,0),VDB(1,0,$N208,INT(EF$44-1),MIN($N208,INT(EF$44-1)+1),$DC208,IF($DD208="No",1,0))/
IF(DN208&gt;INT($N208),$N208-INT($N208),1))*
IF(EF$44=1,DN208,
IF(INT(DN208)=INT(DM208),0,DN208-INT(DN208)))))</f>
        <v>0</v>
      </c>
      <c r="EG208" s="835">
        <f>+IF(DO208=DN208,0,
IF(AND(EG$44&gt;1,DO208=$N208),1-SUM($EE208:EF208),
IF($N208&lt;=1,
IF($N208&gt;0,1/$N208,0),
IF(EG$44=1,0,VDB(1,0,$N208,INT(EG$44-1-1),MIN($N208,INT(EG$44-1-1)+1),$DC208,IF($DD208="No",1,0))/
IF(DN208&gt;=INT($N208),$N208-INT($N208),1)))*
IF(EG$44=1,0,
IF(INT(DO208)=INT(DN208),DO208-DN208,INT(DO208)-DN208))+
IF($N208&lt;=1,
IF($N208&gt;0,1/$N208,0),VDB(1,0,$N208,INT(EG$44-1),MIN($N208,INT(EG$44-1)+1),$DC208,IF($DD208="No",1,0))/
IF(DO208&gt;INT($N208),$N208-INT($N208),1))*
IF(EG$44=1,DO208,
IF(INT(DO208)=INT(DN208),0,DO208-INT(DO208)))))</f>
        <v>0</v>
      </c>
      <c r="EH208" s="836">
        <f>+IF(DP208=DO208,0,
IF(AND(EH$44&gt;1,DP208=$N208),1-SUM($EE208:EG208),
IF($N208&lt;=1,
IF($N208&gt;0,1/$N208,0),
IF(EH$44=1,0,VDB(1,0,$N208,INT(EH$44-1-1),MIN($N208,INT(EH$44-1-1)+1),$DC208,IF($DD208="No",1,0))/
IF(DO208&gt;=INT($N208),$N208-INT($N208),1)))*
IF(EH$44=1,0,
IF(INT(DP208)=INT(DO208),DP208-DO208,INT(DP208)-DO208))+
IF($N208&lt;=1,
IF($N208&gt;0,1/$N208,0),VDB(1,0,$N208,INT(EH$44-1),MIN($N208,INT(EH$44-1)+1),$DC208,IF($DD208="No",1,0))/
IF(DP208&gt;INT($N208),$N208-INT($N208),1))*
IF(EH$44=1,DP208,
IF(INT(DP208)=INT(DO208),0,DP208-INT(DP208)))))</f>
        <v>0</v>
      </c>
      <c r="EI208" s="834">
        <f>+IF(DQ208=DP208,0,
IF(AND(EI$44&gt;1,DQ208=$N208),1-SUM($EE208:EH208),
IF($N208&lt;=1,
IF($N208&gt;0,1/$N208,0),
IF(EI$44=1,0,VDB(1,0,$N208,INT(EI$44-1-1),MIN($N208,INT(EI$44-1-1)+1),$DC208,IF($DD208="No",1,0))/
IF(DP208&gt;=INT($N208),$N208-INT($N208),1)))*
IF(EI$44=1,0,
IF(INT(DQ208)=INT(DP208),DQ208-DP208,INT(DQ208)-DP208))+
IF($N208&lt;=1,
IF($N208&gt;0,1/$N208,0),VDB(1,0,$N208,INT(EI$44-1),MIN($N208,INT(EI$44-1)+1),$DC208,IF($DD208="No",1,0))/
IF(DQ208&gt;INT($N208),$N208-INT($N208),1))*
IF(EI$44=1,DQ208,
IF(INT(DQ208)=INT(DP208),0,DQ208-INT(DQ208)))))</f>
        <v>0</v>
      </c>
      <c r="EJ208" s="835">
        <f>+IF(DR208=DQ208,0,
IF(AND(EJ$44&gt;1,DR208=$N208),1-SUM($EE208:EI208),
IF($N208&lt;=1,
IF($N208&gt;0,1/$N208,0),
IF(EJ$44=1,0,VDB(1,0,$N208,INT(EJ$44-1-1),MIN($N208,INT(EJ$44-1-1)+1),$DC208,IF($DD208="No",1,0))/
IF(DQ208&gt;=INT($N208),$N208-INT($N208),1)))*
IF(EJ$44=1,0,
IF(INT(DR208)=INT(DQ208),DR208-DQ208,INT(DR208)-DQ208))+
IF($N208&lt;=1,
IF($N208&gt;0,1/$N208,0),VDB(1,0,$N208,INT(EJ$44-1),MIN($N208,INT(EJ$44-1)+1),$DC208,IF($DD208="No",1,0))/
IF(DR208&gt;INT($N208),$N208-INT($N208),1))*
IF(EJ$44=1,DR208,
IF(INT(DR208)=INT(DQ208),0,DR208-INT(DR208)))))</f>
        <v>0</v>
      </c>
      <c r="EK208" s="835">
        <f>+IF(DS208=DR208,0,
IF(AND(EK$44&gt;1,DS208=$N208),1-SUM($EE208:EJ208),
IF($N208&lt;=1,
IF($N208&gt;0,1/$N208,0),
IF(EK$44=1,0,VDB(1,0,$N208,INT(EK$44-1-1),MIN($N208,INT(EK$44-1-1)+1),$DC208,IF($DD208="No",1,0))/
IF(DR208&gt;=INT($N208),$N208-INT($N208),1)))*
IF(EK$44=1,0,
IF(INT(DS208)=INT(DR208),DS208-DR208,INT(DS208)-DR208))+
IF($N208&lt;=1,
IF($N208&gt;0,1/$N208,0),VDB(1,0,$N208,INT(EK$44-1),MIN($N208,INT(EK$44-1)+1),$DC208,IF($DD208="No",1,0))/
IF(DS208&gt;INT($N208),$N208-INT($N208),1))*
IF(EK$44=1,DS208,
IF(INT(DS208)=INT(DR208),0,DS208-INT(DS208)))))</f>
        <v>0</v>
      </c>
      <c r="EL208" s="835">
        <f>+IF(DT208=DS208,0,
IF(AND(EL$44&gt;1,DT208=$N208),1-SUM($EE208:EK208),
IF($N208&lt;=1,
IF($N208&gt;0,1/$N208,0),
IF(EL$44=1,0,VDB(1,0,$N208,INT(EL$44-1-1),MIN($N208,INT(EL$44-1-1)+1),$DC208,IF($DD208="No",1,0))/
IF(DS208&gt;=INT($N208),$N208-INT($N208),1)))*
IF(EL$44=1,0,
IF(INT(DT208)=INT(DS208),DT208-DS208,INT(DT208)-DS208))+
IF($N208&lt;=1,
IF($N208&gt;0,1/$N208,0),VDB(1,0,$N208,INT(EL$44-1),MIN($N208,INT(EL$44-1)+1),$DC208,IF($DD208="No",1,0))/
IF(DT208&gt;INT($N208),$N208-INT($N208),1))*
IF(EL$44=1,DT208,
IF(INT(DT208)=INT(DS208),0,DT208-INT(DT208)))))</f>
        <v>0</v>
      </c>
      <c r="EM208" s="836">
        <f>+IF(DU208=DT208,0,
IF(AND(EM$44&gt;1,DU208=$N208),1-SUM($EE208:EL208),
IF($N208&lt;=1,
IF($N208&gt;0,1/$N208,0),
IF(EM$44=1,0,VDB(1,0,$N208,INT(EM$44-1-1),MIN($N208,INT(EM$44-1-1)+1),$DC208,IF($DD208="No",1,0))/
IF(DT208&gt;=INT($N208),$N208-INT($N208),1)))*
IF(EM$44=1,0,
IF(INT(DU208)=INT(DT208),DU208-DT208,INT(DU208)-DT208))+
IF($N208&lt;=1,
IF($N208&gt;0,1/$N208,0),VDB(1,0,$N208,INT(EM$44-1),MIN($N208,INT(EM$44-1)+1),$DC208,IF($DD208="No",1,0))/
IF(DU208&gt;INT($N208),$N208-INT($N208),1))*
IF(EM$44=1,DU208,
IF(INT(DU208)=INT(DT208),0,DU208-INT(DU208)))))</f>
        <v>0</v>
      </c>
      <c r="EN208" s="833"/>
      <c r="EO208" s="834">
        <f>+IF(OR(DW208=DV208,EO$44=1),0,
IF(AND(EO$44&gt;1,DW208=$N208),1-SUM($EN208:EN208),
IF($N208&lt;=1,
IF($N208&gt;0,1/$N208,0),
IF(EO$44=2,0,VDB(1,0,$N208,INT(EO$44-2-1),MIN($N208,INT(EO$44-2-1)+1),$DC208,IF($DD208="No",1,0))/
IF(DV208&gt;=INT($N208),$N208-INT($N208),1)))*
IF(EO$44=2,0,
IF(INT(DW208)=INT(DV208),DW208-DV208,INT(DW208)-DV208))+
IF($N208&lt;=1,
IF($N208&gt;0,1/$N208,0),VDB(1,0,$N208,INT(EO$44-2),MIN($N208,INT(EO$44-2)+1),$DC208,IF($DD208="No",1,0))/
IF(DW208&gt;INT($N208),$N208-INT($N208),1))*
IF(EO$44=2,DW208,
IF(INT(DW208)=INT(DV208),0,DW208-INT(DW208)))))</f>
        <v>0</v>
      </c>
      <c r="EP208" s="835">
        <f>+IF(OR(DX208=DW208,EP$44=1),0,
IF(AND(EP$44&gt;1,DX208=$N208),1-SUM($EN208:EO208),
IF($N208&lt;=1,
IF($N208&gt;0,1/$N208,0),
IF(EP$44=2,0,VDB(1,0,$N208,INT(EP$44-2-1),MIN($N208,INT(EP$44-2-1)+1),$DC208,IF($DD208="No",1,0))/
IF(DW208&gt;=INT($N208),$N208-INT($N208),1)))*
IF(EP$44=2,0,
IF(INT(DX208)=INT(DW208),DX208-DW208,INT(DX208)-DW208))+
IF($N208&lt;=1,
IF($N208&gt;0,1/$N208,0),VDB(1,0,$N208,INT(EP$44-2),MIN($N208,INT(EP$44-2)+1),$DC208,IF($DD208="No",1,0))/
IF(DX208&gt;INT($N208),$N208-INT($N208),1))*
IF(EP$44=2,DX208,
IF(INT(DX208)=INT(DW208),0,DX208-INT(DX208)))))</f>
        <v>0</v>
      </c>
      <c r="EQ208" s="836">
        <f>+IF(OR(DY208=DX208,EQ$44=1),0,
IF(AND(EQ$44&gt;1,DY208=$N208),1-SUM($EN208:EP208),
IF($N208&lt;=1,
IF($N208&gt;0,1/$N208,0),
IF(EQ$44=2,0,VDB(1,0,$N208,INT(EQ$44-2-1),MIN($N208,INT(EQ$44-2-1)+1),$DC208,IF($DD208="No",1,0))/
IF(DX208&gt;=INT($N208),$N208-INT($N208),1)))*
IF(EQ$44=2,0,
IF(INT(DY208)=INT(DX208),DY208-DX208,INT(DY208)-DX208))+
IF($N208&lt;=1,
IF($N208&gt;0,1/$N208,0),VDB(1,0,$N208,INT(EQ$44-2),MIN($N208,INT(EQ$44-2)+1),$DC208,IF($DD208="No",1,0))/
IF(DY208&gt;INT($N208),$N208-INT($N208),1))*
IF(EQ$44=2,DY208,
IF(INT(DY208)=INT(DX208),0,DY208-INT(DY208)))))</f>
        <v>0</v>
      </c>
      <c r="ER208" s="834">
        <f>+IF(OR(DZ208=DY208,ER$44=1),0,
IF(AND(ER$44&gt;1,DZ208=$N208),1-SUM($EN208:EQ208),
IF($N208&lt;=1,
IF($N208&gt;0,1/$N208,0),
IF(ER$44=2,0,VDB(1,0,$N208,INT(ER$44-2-1),MIN($N208,INT(ER$44-2-1)+1),$DC208,IF($DD208="No",1,0))/
IF(DY208&gt;=INT($N208),$N208-INT($N208),1)))*
IF(ER$44=2,0,
IF(INT(DZ208)=INT(DY208),DZ208-DY208,INT(DZ208)-DY208))+
IF($N208&lt;=1,
IF($N208&gt;0,1/$N208,0),VDB(1,0,$N208,INT(ER$44-2),MIN($N208,INT(ER$44-2)+1),$DC208,IF($DD208="No",1,0))/
IF(DZ208&gt;INT($N208),$N208-INT($N208),1))*
IF(ER$44=2,DZ208,
IF(INT(DZ208)=INT(DY208),0,DZ208-INT(DZ208)))))</f>
        <v>0</v>
      </c>
      <c r="ES208" s="835">
        <f>+IF(OR(EA208=DZ208,ES$44=1),0,
IF(AND(ES$44&gt;1,EA208=$N208),1-SUM($EN208:ER208),
IF($N208&lt;=1,
IF($N208&gt;0,1/$N208,0),
IF(ES$44=2,0,VDB(1,0,$N208,INT(ES$44-2-1),MIN($N208,INT(ES$44-2-1)+1),$DC208,IF($DD208="No",1,0))/
IF(DZ208&gt;=INT($N208),$N208-INT($N208),1)))*
IF(ES$44=2,0,
IF(INT(EA208)=INT(DZ208),EA208-DZ208,INT(EA208)-DZ208))+
IF($N208&lt;=1,
IF($N208&gt;0,1/$N208,0),VDB(1,0,$N208,INT(ES$44-2),MIN($N208,INT(ES$44-2)+1),$DC208,IF($DD208="No",1,0))/
IF(EA208&gt;INT($N208),$N208-INT($N208),1))*
IF(ES$44=2,EA208,
IF(INT(EA208)=INT(DZ208),0,EA208-INT(EA208)))))</f>
        <v>0</v>
      </c>
      <c r="ET208" s="835">
        <f>+IF(OR(EB208=EA208,ET$44=1),0,
IF(AND(ET$44&gt;1,EB208=$N208),1-SUM($EN208:ES208),
IF($N208&lt;=1,
IF($N208&gt;0,1/$N208,0),
IF(ET$44=2,0,VDB(1,0,$N208,INT(ET$44-2-1),MIN($N208,INT(ET$44-2-1)+1),$DC208,IF($DD208="No",1,0))/
IF(EA208&gt;=INT($N208),$N208-INT($N208),1)))*
IF(ET$44=2,0,
IF(INT(EB208)=INT(EA208),EB208-EA208,INT(EB208)-EA208))+
IF($N208&lt;=1,
IF($N208&gt;0,1/$N208,0),VDB(1,0,$N208,INT(ET$44-2),MIN($N208,INT(ET$44-2)+1),$DC208,IF($DD208="No",1,0))/
IF(EB208&gt;INT($N208),$N208-INT($N208),1))*
IF(ET$44=2,EB208,
IF(INT(EB208)=INT(EA208),0,EB208-INT(EB208)))))</f>
        <v>0</v>
      </c>
      <c r="EU208" s="835">
        <f>+IF(OR(EC208=EB208,EU$44=1),0,
IF(AND(EU$44&gt;1,EC208=$N208),1-SUM($EN208:ET208),
IF($N208&lt;=1,
IF($N208&gt;0,1/$N208,0),
IF(EU$44=2,0,VDB(1,0,$N208,INT(EU$44-2-1),MIN($N208,INT(EU$44-2-1)+1),$DC208,IF($DD208="No",1,0))/
IF(EB208&gt;=INT($N208),$N208-INT($N208),1)))*
IF(EU$44=2,0,
IF(INT(EC208)=INT(EB208),EC208-EB208,INT(EC208)-EB208))+
IF($N208&lt;=1,
IF($N208&gt;0,1/$N208,0),VDB(1,0,$N208,INT(EU$44-2),MIN($N208,INT(EU$44-2)+1),$DC208,IF($DD208="No",1,0))/
IF(EC208&gt;INT($N208),$N208-INT($N208),1))*
IF(EU$44=2,EC208,
IF(INT(EC208)=INT(EB208),0,EC208-INT(EC208)))))</f>
        <v>0</v>
      </c>
      <c r="EV208" s="836">
        <f>+IF(OR(ED208=EC208,EV$44=1),0,
IF(AND(EV$44&gt;1,ED208=$N208),1-SUM($EN208:EU208),
IF($N208&lt;=1,
IF($N208&gt;0,1/$N208,0),
IF(EV$44=2,0,VDB(1,0,$N208,INT(EV$44-2-1),MIN($N208,INT(EV$44-2-1)+1),$DC208,IF($DD208="No",1,0))/
IF(EC208&gt;=INT($N208),$N208-INT($N208),1)))*
IF(EV$44=2,0,
IF(INT(ED208)=INT(EC208),ED208-EC208,INT(ED208)-EC208))+
IF($N208&lt;=1,
IF($N208&gt;0,1/$N208,0),VDB(1,0,$N208,INT(EV$44-2),MIN($N208,INT(EV$44-2)+1),$DC208,IF($DD208="No",1,0))/
IF(ED208&gt;INT($N208),$N208-INT($N208),1))*
IF(EV$44=2,ED208,
IF(INT(ED208)=INT(EC208),0,ED208-INT(ED208)))))</f>
        <v>0</v>
      </c>
      <c r="EW208" s="833"/>
      <c r="EX208" s="834">
        <f t="shared" ca="1" si="360"/>
        <v>0</v>
      </c>
      <c r="EY208" s="835">
        <f t="shared" ca="1" si="360"/>
        <v>0</v>
      </c>
      <c r="EZ208" s="836">
        <f t="shared" ca="1" si="360"/>
        <v>0</v>
      </c>
      <c r="FA208" s="834">
        <f t="shared" ca="1" si="360"/>
        <v>0</v>
      </c>
      <c r="FB208" s="835">
        <f t="shared" ca="1" si="360"/>
        <v>0</v>
      </c>
      <c r="FC208" s="835">
        <f t="shared" ca="1" si="360"/>
        <v>0</v>
      </c>
      <c r="FD208" s="835">
        <f t="shared" ca="1" si="360"/>
        <v>0</v>
      </c>
      <c r="FE208" s="836">
        <f t="shared" ca="1" si="360"/>
        <v>0</v>
      </c>
      <c r="FG208" s="386">
        <f t="shared" ca="1" si="351"/>
        <v>0</v>
      </c>
      <c r="FH208" s="387">
        <f t="shared" ca="1" si="352"/>
        <v>0</v>
      </c>
      <c r="FI208" s="388">
        <f t="shared" ca="1" si="353"/>
        <v>0</v>
      </c>
      <c r="FJ208" s="386">
        <f t="shared" ca="1" si="354"/>
        <v>0</v>
      </c>
      <c r="FK208" s="387">
        <f t="shared" ca="1" si="355"/>
        <v>0</v>
      </c>
      <c r="FL208" s="387">
        <f t="shared" ca="1" si="356"/>
        <v>0</v>
      </c>
      <c r="FM208" s="387">
        <f t="shared" ca="1" si="357"/>
        <v>0</v>
      </c>
      <c r="FN208" s="388">
        <f t="shared" ca="1" si="358"/>
        <v>0</v>
      </c>
      <c r="FR208" s="116"/>
    </row>
    <row r="209" spans="2:174">
      <c r="B209" s="1410">
        <f t="shared" si="359"/>
        <v>163</v>
      </c>
      <c r="C209" s="400"/>
      <c r="D209" s="410"/>
      <c r="E209" s="402"/>
      <c r="F209" s="402"/>
      <c r="G209" s="400"/>
      <c r="H209" s="2088"/>
      <c r="I209" s="2089"/>
      <c r="J209" s="411"/>
      <c r="K209" s="403"/>
      <c r="L209" s="403"/>
      <c r="M209" s="403"/>
      <c r="N209" s="403"/>
      <c r="O209" s="347"/>
      <c r="P209" s="347"/>
      <c r="Q209" s="1021"/>
      <c r="R209" s="1022"/>
      <c r="S209" s="1022"/>
      <c r="T209" s="1022"/>
      <c r="U209" s="1023"/>
      <c r="V209" s="1021"/>
      <c r="W209" s="1022"/>
      <c r="X209" s="1022"/>
      <c r="Y209" s="1022"/>
      <c r="Z209" s="1023"/>
      <c r="AA209" s="1024"/>
      <c r="AB209" s="1021"/>
      <c r="AC209" s="1022"/>
      <c r="AD209" s="1022"/>
      <c r="AE209" s="1022"/>
      <c r="AF209" s="1023"/>
      <c r="AG209" s="1021"/>
      <c r="AH209" s="1022"/>
      <c r="AI209" s="1022"/>
      <c r="AJ209" s="1022"/>
      <c r="AK209" s="1023"/>
      <c r="AL209" s="1024"/>
      <c r="AM209" s="1021"/>
      <c r="AN209" s="1022"/>
      <c r="AO209" s="1022"/>
      <c r="AP209" s="1022"/>
      <c r="AQ209" s="1023"/>
      <c r="AR209" s="1021"/>
      <c r="AS209" s="1022"/>
      <c r="AT209" s="1022"/>
      <c r="AU209" s="1022"/>
      <c r="AV209" s="1023"/>
      <c r="AW209" s="1025"/>
      <c r="AX209" s="1282">
        <f t="shared" si="304"/>
        <v>0</v>
      </c>
      <c r="AY209" s="387">
        <f t="shared" si="305"/>
        <v>0</v>
      </c>
      <c r="AZ209" s="387">
        <f t="shared" si="306"/>
        <v>0</v>
      </c>
      <c r="BA209" s="387">
        <f t="shared" si="307"/>
        <v>0</v>
      </c>
      <c r="BB209" s="1283">
        <f t="shared" si="308"/>
        <v>0</v>
      </c>
      <c r="BC209" s="386">
        <f t="shared" si="309"/>
        <v>0</v>
      </c>
      <c r="BD209" s="387">
        <f t="shared" si="310"/>
        <v>0</v>
      </c>
      <c r="BE209" s="1277">
        <f t="shared" si="311"/>
        <v>0</v>
      </c>
      <c r="BF209" s="1277">
        <f t="shared" si="312"/>
        <v>0</v>
      </c>
      <c r="BG209" s="388">
        <f t="shared" si="313"/>
        <v>0</v>
      </c>
      <c r="BH209" s="1025"/>
      <c r="BI209" s="1282">
        <f t="shared" ca="1" si="314"/>
        <v>0</v>
      </c>
      <c r="BJ209" s="387">
        <f t="shared" ca="1" si="315"/>
        <v>0</v>
      </c>
      <c r="BK209" s="387">
        <f t="shared" ca="1" si="316"/>
        <v>0</v>
      </c>
      <c r="BL209" s="387">
        <f t="shared" ca="1" si="317"/>
        <v>0</v>
      </c>
      <c r="BM209" s="1283">
        <f t="shared" ca="1" si="318"/>
        <v>0</v>
      </c>
      <c r="BN209" s="386">
        <f t="shared" ca="1" si="319"/>
        <v>0</v>
      </c>
      <c r="BO209" s="387">
        <f t="shared" ca="1" si="320"/>
        <v>0</v>
      </c>
      <c r="BP209" s="1277">
        <f t="shared" ca="1" si="321"/>
        <v>0</v>
      </c>
      <c r="BQ209" s="1277">
        <f t="shared" ca="1" si="322"/>
        <v>0</v>
      </c>
      <c r="BR209" s="388">
        <f t="shared" ca="1" si="323"/>
        <v>0</v>
      </c>
      <c r="BS209" s="1025"/>
      <c r="BT209" s="1282">
        <f>+IF($K209="Ongoing",AX209,IF(RIGHT($K209,2)=RIGHT(BT$43,2),SUM($AX209:AX209),0)+IF(RIGHT(BT$43,2)&gt;RIGHT($K209,2),AX209,0))</f>
        <v>0</v>
      </c>
      <c r="BU209" s="387">
        <f>+IF($K209="Ongoing",AY209,IF(RIGHT($K209,2)=RIGHT(BU$43,2),SUM($AX209:AY209),0)+IF(RIGHT(BU$43,2)&gt;RIGHT($K209,2),AY209,0))</f>
        <v>0</v>
      </c>
      <c r="BV209" s="387">
        <f>+IF($K209="Ongoing",AZ209,IF(RIGHT($K209,2)=RIGHT(BV$43,2),SUM($AX209:AZ209),0)+IF(RIGHT(BV$43,2)&gt;RIGHT($K209,2),AZ209,0))</f>
        <v>0</v>
      </c>
      <c r="BW209" s="387">
        <f>+IF($K209="Ongoing",BA209,IF(RIGHT($K209,2)=RIGHT(BW$43,2),SUM($AX209:BA209),0)+IF(RIGHT(BW$43,2)&gt;RIGHT($K209,2),BA209,0))</f>
        <v>0</v>
      </c>
      <c r="BX209" s="1283">
        <f>+IF($K209="Ongoing",BB209,IF(RIGHT($K209,2)=RIGHT(BX$43,2),SUM($AX209:BB209),0)+IF(RIGHT(BX$43,2)&gt;RIGHT($K209,2),BB209,0))</f>
        <v>0</v>
      </c>
      <c r="BY209" s="386">
        <f>+IF($K209="Ongoing",BC209,IF(RIGHT($K209,2)=RIGHT(BY$43,2),SUM($AX209:BC209),0)+IF(RIGHT(BY$43,2)&gt;RIGHT($K209,2),BC209,0))</f>
        <v>0</v>
      </c>
      <c r="BZ209" s="387">
        <f>+IF($K209="Ongoing",BD209,IF(RIGHT($K209,2)=RIGHT(BZ$43,2),SUM($AX209:BD209),0)+IF(RIGHT(BZ$43,2)&gt;RIGHT($K209,2),BD209,0))</f>
        <v>0</v>
      </c>
      <c r="CA209" s="1277">
        <f>+IF($K209="Ongoing",BE209,IF(RIGHT($K209,2)=RIGHT(CA$43,2),SUM($AX209:BE209),0)+IF(RIGHT(CA$43,2)&gt;RIGHT($K209,2),BE209,0))</f>
        <v>0</v>
      </c>
      <c r="CB209" s="1277">
        <f>+IF($K209="Ongoing",BF209,IF(RIGHT($K209,2)=RIGHT(CB$43,2),SUM($AX209:BF209),0)+IF(RIGHT(CB$43,2)&gt;RIGHT($K209,2),BF209,0))</f>
        <v>0</v>
      </c>
      <c r="CC209" s="388">
        <f>+IF($K209="Ongoing",BG209,IF(RIGHT($K209,2)=RIGHT(CC$43,2),SUM($AX209:BG209),0)+IF(RIGHT(CC$43,2)&gt;RIGHT($K209,2),BG209,0))</f>
        <v>0</v>
      </c>
      <c r="CD209" s="1025"/>
      <c r="CE209" s="1282">
        <f>+Q209*KeyAssumptionsPriceControl_FO!AF$15</f>
        <v>0</v>
      </c>
      <c r="CF209" s="387">
        <f>+R209*KeyAssumptionsPriceControl_FO!AG$15</f>
        <v>0</v>
      </c>
      <c r="CG209" s="387">
        <f>+S209*KeyAssumptionsPriceControl_FO!AH$15</f>
        <v>0</v>
      </c>
      <c r="CH209" s="387">
        <f>+T209*KeyAssumptionsPriceControl_FO!AI$15</f>
        <v>0</v>
      </c>
      <c r="CI209" s="1283">
        <f>+U209*KeyAssumptionsPriceControl_FO!AJ$15</f>
        <v>0</v>
      </c>
      <c r="CJ209" s="386">
        <f>+V209*KeyAssumptionsPriceControl_FO!AK$15</f>
        <v>0</v>
      </c>
      <c r="CK209" s="387">
        <f>+W209*KeyAssumptionsPriceControl_FO!AL$15</f>
        <v>0</v>
      </c>
      <c r="CL209" s="1277">
        <f>+X209*KeyAssumptionsPriceControl_FO!AM$15</f>
        <v>0</v>
      </c>
      <c r="CM209" s="1277">
        <f>+Y209*KeyAssumptionsPriceControl_FO!AN$15</f>
        <v>0</v>
      </c>
      <c r="CN209" s="388">
        <f>+Z209*KeyAssumptionsPriceControl_FO!AO$15</f>
        <v>0</v>
      </c>
      <c r="CO209" s="1025"/>
      <c r="CP209" s="1282">
        <f t="shared" ca="1" si="324"/>
        <v>0</v>
      </c>
      <c r="CQ209" s="387">
        <f t="shared" ca="1" si="325"/>
        <v>0</v>
      </c>
      <c r="CR209" s="387">
        <f t="shared" ca="1" si="326"/>
        <v>0</v>
      </c>
      <c r="CS209" s="387">
        <f t="shared" ca="1" si="327"/>
        <v>0</v>
      </c>
      <c r="CT209" s="1283">
        <f t="shared" ca="1" si="328"/>
        <v>0</v>
      </c>
      <c r="CU209" s="386">
        <f t="shared" ca="1" si="329"/>
        <v>0</v>
      </c>
      <c r="CV209" s="387">
        <f t="shared" ca="1" si="330"/>
        <v>0</v>
      </c>
      <c r="CW209" s="1277">
        <f t="shared" ca="1" si="331"/>
        <v>0</v>
      </c>
      <c r="CX209" s="1277">
        <f t="shared" ca="1" si="332"/>
        <v>0</v>
      </c>
      <c r="CY209" s="388">
        <f t="shared" ca="1" si="333"/>
        <v>0</v>
      </c>
      <c r="CZ209" s="347"/>
      <c r="DA209" s="852"/>
      <c r="DB209" s="347"/>
      <c r="DC209" s="1012" t="s">
        <v>730</v>
      </c>
      <c r="DD209" s="841" t="s">
        <v>518</v>
      </c>
      <c r="DE209" s="386">
        <f>+IF($K209="ongoing",CE209,IF(RIGHT($K209,2)=RIGHT(DE$43,2),SUM($CD209:CE209),0)+IF(RIGHT(DE$43,2)&gt;RIGHT($K209,2),CE209,0))</f>
        <v>0</v>
      </c>
      <c r="DF209" s="387">
        <f>+IF($K209="ongoing",CF209,IF(RIGHT($K209,2)=RIGHT(DF$43,2),SUM($CD209:CF209),0)+IF(RIGHT(DF$43,2)&gt;RIGHT($K209,2),CF209,0))</f>
        <v>0</v>
      </c>
      <c r="DG209" s="388">
        <f>+IF($K209="ongoing",CG209,IF(RIGHT($K209,2)=RIGHT(DG$43,2),SUM($CD209:CG209),0)+IF(RIGHT(DG$43,2)&gt;RIGHT($K209,2),CG209,0))</f>
        <v>0</v>
      </c>
      <c r="DH209" s="386">
        <f>+IF($K209="ongoing",CH209,IF(RIGHT($K209,2)=RIGHT(DH$43,2),SUM($CD209:CH209),0)+IF(RIGHT(DH$43,2)&gt;RIGHT($K209,2),CH209,0))</f>
        <v>0</v>
      </c>
      <c r="DI209" s="387">
        <f>+IF($K209="ongoing",CI209,IF(RIGHT($K209,2)=RIGHT(DI$43,2),SUM($CD209:CI209),0)+IF(RIGHT(DI$43,2)&gt;RIGHT($K209,2),CI209,0))</f>
        <v>0</v>
      </c>
      <c r="DJ209" s="387">
        <f>+IF($K209="ongoing",CJ209,IF(RIGHT($K209,2)=RIGHT(DJ$43,2),SUM($CD209:CJ209),0)+IF(RIGHT(DJ$43,2)&gt;RIGHT($K209,2),CJ209,0))</f>
        <v>0</v>
      </c>
      <c r="DK209" s="387">
        <f>+IF($K209="ongoing",CK209,IF(RIGHT($K209,2)=RIGHT(DK$43,2),SUM($CD209:CK209),0)+IF(RIGHT(DK$43,2)&gt;RIGHT($K209,2),CK209,0))</f>
        <v>0</v>
      </c>
      <c r="DL209" s="388">
        <f>+IF($K209="ongoing",CN209,IF(RIGHT($K209,2)=RIGHT(DL$43,2),SUM($CD209:CN209),0)+IF(RIGHT(DL$43,2)&gt;RIGHT($K209,2),CN209,0))</f>
        <v>0</v>
      </c>
      <c r="DM209" s="841"/>
      <c r="DN209" s="386">
        <f t="shared" si="334"/>
        <v>0.5</v>
      </c>
      <c r="DO209" s="387">
        <f t="shared" si="335"/>
        <v>1</v>
      </c>
      <c r="DP209" s="388">
        <f t="shared" si="336"/>
        <v>1</v>
      </c>
      <c r="DQ209" s="386">
        <f t="shared" si="337"/>
        <v>1</v>
      </c>
      <c r="DR209" s="387">
        <f t="shared" si="338"/>
        <v>1</v>
      </c>
      <c r="DS209" s="387">
        <f t="shared" si="339"/>
        <v>1</v>
      </c>
      <c r="DT209" s="387">
        <f t="shared" si="340"/>
        <v>1</v>
      </c>
      <c r="DU209" s="388">
        <f t="shared" si="341"/>
        <v>1</v>
      </c>
      <c r="DW209" s="386">
        <f t="shared" si="342"/>
        <v>0</v>
      </c>
      <c r="DX209" s="387">
        <f t="shared" si="343"/>
        <v>0.5</v>
      </c>
      <c r="DY209" s="388">
        <f t="shared" si="344"/>
        <v>1</v>
      </c>
      <c r="DZ209" s="386">
        <f t="shared" si="345"/>
        <v>1</v>
      </c>
      <c r="EA209" s="387">
        <f t="shared" si="346"/>
        <v>1</v>
      </c>
      <c r="EB209" s="387">
        <f t="shared" si="347"/>
        <v>1</v>
      </c>
      <c r="EC209" s="387">
        <f t="shared" si="348"/>
        <v>1</v>
      </c>
      <c r="ED209" s="388">
        <f t="shared" si="349"/>
        <v>1</v>
      </c>
      <c r="EF209" s="834">
        <f>+IF(DN209=DM209,0,
IF(AND(EF$44&gt;1,DN209=$N209),1-SUM($EE209:EE209),
IF($N209&lt;=1,
IF($N209&gt;0,1/$N209,0),
IF(EF$44=1,0,VDB(1,0,$N209,INT(EF$44-1-1),MIN($N209,INT(EF$44-1-1)+1),$DC209,IF($DD209="No",1,0))/
IF(DM209&gt;=INT($N209),$N209-INT($N209),1)))*
IF(EF$44=1,0,
IF(INT(DN209)=INT(DM209),DN209-DM209,INT(DN209)-DM209))+
IF($N209&lt;=1,
IF($N209&gt;0,1/$N209,0),VDB(1,0,$N209,INT(EF$44-1),MIN($N209,INT(EF$44-1)+1),$DC209,IF($DD209="No",1,0))/
IF(DN209&gt;INT($N209),$N209-INT($N209),1))*
IF(EF$44=1,DN209,
IF(INT(DN209)=INT(DM209),0,DN209-INT(DN209)))))</f>
        <v>0</v>
      </c>
      <c r="EG209" s="835">
        <f>+IF(DO209=DN209,0,
IF(AND(EG$44&gt;1,DO209=$N209),1-SUM($EE209:EF209),
IF($N209&lt;=1,
IF($N209&gt;0,1/$N209,0),
IF(EG$44=1,0,VDB(1,0,$N209,INT(EG$44-1-1),MIN($N209,INT(EG$44-1-1)+1),$DC209,IF($DD209="No",1,0))/
IF(DN209&gt;=INT($N209),$N209-INT($N209),1)))*
IF(EG$44=1,0,
IF(INT(DO209)=INT(DN209),DO209-DN209,INT(DO209)-DN209))+
IF($N209&lt;=1,
IF($N209&gt;0,1/$N209,0),VDB(1,0,$N209,INT(EG$44-1),MIN($N209,INT(EG$44-1)+1),$DC209,IF($DD209="No",1,0))/
IF(DO209&gt;INT($N209),$N209-INT($N209),1))*
IF(EG$44=1,DO209,
IF(INT(DO209)=INT(DN209),0,DO209-INT(DO209)))))</f>
        <v>0</v>
      </c>
      <c r="EH209" s="836">
        <f>+IF(DP209=DO209,0,
IF(AND(EH$44&gt;1,DP209=$N209),1-SUM($EE209:EG209),
IF($N209&lt;=1,
IF($N209&gt;0,1/$N209,0),
IF(EH$44=1,0,VDB(1,0,$N209,INT(EH$44-1-1),MIN($N209,INT(EH$44-1-1)+1),$DC209,IF($DD209="No",1,0))/
IF(DO209&gt;=INT($N209),$N209-INT($N209),1)))*
IF(EH$44=1,0,
IF(INT(DP209)=INT(DO209),DP209-DO209,INT(DP209)-DO209))+
IF($N209&lt;=1,
IF($N209&gt;0,1/$N209,0),VDB(1,0,$N209,INT(EH$44-1),MIN($N209,INT(EH$44-1)+1),$DC209,IF($DD209="No",1,0))/
IF(DP209&gt;INT($N209),$N209-INT($N209),1))*
IF(EH$44=1,DP209,
IF(INT(DP209)=INT(DO209),0,DP209-INT(DP209)))))</f>
        <v>0</v>
      </c>
      <c r="EI209" s="834">
        <f>+IF(DQ209=DP209,0,
IF(AND(EI$44&gt;1,DQ209=$N209),1-SUM($EE209:EH209),
IF($N209&lt;=1,
IF($N209&gt;0,1/$N209,0),
IF(EI$44=1,0,VDB(1,0,$N209,INT(EI$44-1-1),MIN($N209,INT(EI$44-1-1)+1),$DC209,IF($DD209="No",1,0))/
IF(DP209&gt;=INT($N209),$N209-INT($N209),1)))*
IF(EI$44=1,0,
IF(INT(DQ209)=INT(DP209),DQ209-DP209,INT(DQ209)-DP209))+
IF($N209&lt;=1,
IF($N209&gt;0,1/$N209,0),VDB(1,0,$N209,INT(EI$44-1),MIN($N209,INT(EI$44-1)+1),$DC209,IF($DD209="No",1,0))/
IF(DQ209&gt;INT($N209),$N209-INT($N209),1))*
IF(EI$44=1,DQ209,
IF(INT(DQ209)=INT(DP209),0,DQ209-INT(DQ209)))))</f>
        <v>0</v>
      </c>
      <c r="EJ209" s="835">
        <f>+IF(DR209=DQ209,0,
IF(AND(EJ$44&gt;1,DR209=$N209),1-SUM($EE209:EI209),
IF($N209&lt;=1,
IF($N209&gt;0,1/$N209,0),
IF(EJ$44=1,0,VDB(1,0,$N209,INT(EJ$44-1-1),MIN($N209,INT(EJ$44-1-1)+1),$DC209,IF($DD209="No",1,0))/
IF(DQ209&gt;=INT($N209),$N209-INT($N209),1)))*
IF(EJ$44=1,0,
IF(INT(DR209)=INT(DQ209),DR209-DQ209,INT(DR209)-DQ209))+
IF($N209&lt;=1,
IF($N209&gt;0,1/$N209,0),VDB(1,0,$N209,INT(EJ$44-1),MIN($N209,INT(EJ$44-1)+1),$DC209,IF($DD209="No",1,0))/
IF(DR209&gt;INT($N209),$N209-INT($N209),1))*
IF(EJ$44=1,DR209,
IF(INT(DR209)=INT(DQ209),0,DR209-INT(DR209)))))</f>
        <v>0</v>
      </c>
      <c r="EK209" s="835">
        <f>+IF(DS209=DR209,0,
IF(AND(EK$44&gt;1,DS209=$N209),1-SUM($EE209:EJ209),
IF($N209&lt;=1,
IF($N209&gt;0,1/$N209,0),
IF(EK$44=1,0,VDB(1,0,$N209,INT(EK$44-1-1),MIN($N209,INT(EK$44-1-1)+1),$DC209,IF($DD209="No",1,0))/
IF(DR209&gt;=INT($N209),$N209-INT($N209),1)))*
IF(EK$44=1,0,
IF(INT(DS209)=INT(DR209),DS209-DR209,INT(DS209)-DR209))+
IF($N209&lt;=1,
IF($N209&gt;0,1/$N209,0),VDB(1,0,$N209,INT(EK$44-1),MIN($N209,INT(EK$44-1)+1),$DC209,IF($DD209="No",1,0))/
IF(DS209&gt;INT($N209),$N209-INT($N209),1))*
IF(EK$44=1,DS209,
IF(INT(DS209)=INT(DR209),0,DS209-INT(DS209)))))</f>
        <v>0</v>
      </c>
      <c r="EL209" s="835">
        <f>+IF(DT209=DS209,0,
IF(AND(EL$44&gt;1,DT209=$N209),1-SUM($EE209:EK209),
IF($N209&lt;=1,
IF($N209&gt;0,1/$N209,0),
IF(EL$44=1,0,VDB(1,0,$N209,INT(EL$44-1-1),MIN($N209,INT(EL$44-1-1)+1),$DC209,IF($DD209="No",1,0))/
IF(DS209&gt;=INT($N209),$N209-INT($N209),1)))*
IF(EL$44=1,0,
IF(INT(DT209)=INT(DS209),DT209-DS209,INT(DT209)-DS209))+
IF($N209&lt;=1,
IF($N209&gt;0,1/$N209,0),VDB(1,0,$N209,INT(EL$44-1),MIN($N209,INT(EL$44-1)+1),$DC209,IF($DD209="No",1,0))/
IF(DT209&gt;INT($N209),$N209-INT($N209),1))*
IF(EL$44=1,DT209,
IF(INT(DT209)=INT(DS209),0,DT209-INT(DT209)))))</f>
        <v>0</v>
      </c>
      <c r="EM209" s="836">
        <f>+IF(DU209=DT209,0,
IF(AND(EM$44&gt;1,DU209=$N209),1-SUM($EE209:EL209),
IF($N209&lt;=1,
IF($N209&gt;0,1/$N209,0),
IF(EM$44=1,0,VDB(1,0,$N209,INT(EM$44-1-1),MIN($N209,INT(EM$44-1-1)+1),$DC209,IF($DD209="No",1,0))/
IF(DT209&gt;=INT($N209),$N209-INT($N209),1)))*
IF(EM$44=1,0,
IF(INT(DU209)=INT(DT209),DU209-DT209,INT(DU209)-DT209))+
IF($N209&lt;=1,
IF($N209&gt;0,1/$N209,0),VDB(1,0,$N209,INT(EM$44-1),MIN($N209,INT(EM$44-1)+1),$DC209,IF($DD209="No",1,0))/
IF(DU209&gt;INT($N209),$N209-INT($N209),1))*
IF(EM$44=1,DU209,
IF(INT(DU209)=INT(DT209),0,DU209-INT(DU209)))))</f>
        <v>0</v>
      </c>
      <c r="EN209" s="833"/>
      <c r="EO209" s="834">
        <f>+IF(OR(DW209=DV209,EO$44=1),0,
IF(AND(EO$44&gt;1,DW209=$N209),1-SUM($EN209:EN209),
IF($N209&lt;=1,
IF($N209&gt;0,1/$N209,0),
IF(EO$44=2,0,VDB(1,0,$N209,INT(EO$44-2-1),MIN($N209,INT(EO$44-2-1)+1),$DC209,IF($DD209="No",1,0))/
IF(DV209&gt;=INT($N209),$N209-INT($N209),1)))*
IF(EO$44=2,0,
IF(INT(DW209)=INT(DV209),DW209-DV209,INT(DW209)-DV209))+
IF($N209&lt;=1,
IF($N209&gt;0,1/$N209,0),VDB(1,0,$N209,INT(EO$44-2),MIN($N209,INT(EO$44-2)+1),$DC209,IF($DD209="No",1,0))/
IF(DW209&gt;INT($N209),$N209-INT($N209),1))*
IF(EO$44=2,DW209,
IF(INT(DW209)=INT(DV209),0,DW209-INT(DW209)))))</f>
        <v>0</v>
      </c>
      <c r="EP209" s="835">
        <f>+IF(OR(DX209=DW209,EP$44=1),0,
IF(AND(EP$44&gt;1,DX209=$N209),1-SUM($EN209:EO209),
IF($N209&lt;=1,
IF($N209&gt;0,1/$N209,0),
IF(EP$44=2,0,VDB(1,0,$N209,INT(EP$44-2-1),MIN($N209,INT(EP$44-2-1)+1),$DC209,IF($DD209="No",1,0))/
IF(DW209&gt;=INT($N209),$N209-INT($N209),1)))*
IF(EP$44=2,0,
IF(INT(DX209)=INT(DW209),DX209-DW209,INT(DX209)-DW209))+
IF($N209&lt;=1,
IF($N209&gt;0,1/$N209,0),VDB(1,0,$N209,INT(EP$44-2),MIN($N209,INT(EP$44-2)+1),$DC209,IF($DD209="No",1,0))/
IF(DX209&gt;INT($N209),$N209-INT($N209),1))*
IF(EP$44=2,DX209,
IF(INT(DX209)=INT(DW209),0,DX209-INT(DX209)))))</f>
        <v>0</v>
      </c>
      <c r="EQ209" s="836">
        <f>+IF(OR(DY209=DX209,EQ$44=1),0,
IF(AND(EQ$44&gt;1,DY209=$N209),1-SUM($EN209:EP209),
IF($N209&lt;=1,
IF($N209&gt;0,1/$N209,0),
IF(EQ$44=2,0,VDB(1,0,$N209,INT(EQ$44-2-1),MIN($N209,INT(EQ$44-2-1)+1),$DC209,IF($DD209="No",1,0))/
IF(DX209&gt;=INT($N209),$N209-INT($N209),1)))*
IF(EQ$44=2,0,
IF(INT(DY209)=INT(DX209),DY209-DX209,INT(DY209)-DX209))+
IF($N209&lt;=1,
IF($N209&gt;0,1/$N209,0),VDB(1,0,$N209,INT(EQ$44-2),MIN($N209,INT(EQ$44-2)+1),$DC209,IF($DD209="No",1,0))/
IF(DY209&gt;INT($N209),$N209-INT($N209),1))*
IF(EQ$44=2,DY209,
IF(INT(DY209)=INT(DX209),0,DY209-INT(DY209)))))</f>
        <v>0</v>
      </c>
      <c r="ER209" s="834">
        <f>+IF(OR(DZ209=DY209,ER$44=1),0,
IF(AND(ER$44&gt;1,DZ209=$N209),1-SUM($EN209:EQ209),
IF($N209&lt;=1,
IF($N209&gt;0,1/$N209,0),
IF(ER$44=2,0,VDB(1,0,$N209,INT(ER$44-2-1),MIN($N209,INT(ER$44-2-1)+1),$DC209,IF($DD209="No",1,0))/
IF(DY209&gt;=INT($N209),$N209-INT($N209),1)))*
IF(ER$44=2,0,
IF(INT(DZ209)=INT(DY209),DZ209-DY209,INT(DZ209)-DY209))+
IF($N209&lt;=1,
IF($N209&gt;0,1/$N209,0),VDB(1,0,$N209,INT(ER$44-2),MIN($N209,INT(ER$44-2)+1),$DC209,IF($DD209="No",1,0))/
IF(DZ209&gt;INT($N209),$N209-INT($N209),1))*
IF(ER$44=2,DZ209,
IF(INT(DZ209)=INT(DY209),0,DZ209-INT(DZ209)))))</f>
        <v>0</v>
      </c>
      <c r="ES209" s="835">
        <f>+IF(OR(EA209=DZ209,ES$44=1),0,
IF(AND(ES$44&gt;1,EA209=$N209),1-SUM($EN209:ER209),
IF($N209&lt;=1,
IF($N209&gt;0,1/$N209,0),
IF(ES$44=2,0,VDB(1,0,$N209,INT(ES$44-2-1),MIN($N209,INT(ES$44-2-1)+1),$DC209,IF($DD209="No",1,0))/
IF(DZ209&gt;=INT($N209),$N209-INT($N209),1)))*
IF(ES$44=2,0,
IF(INT(EA209)=INT(DZ209),EA209-DZ209,INT(EA209)-DZ209))+
IF($N209&lt;=1,
IF($N209&gt;0,1/$N209,0),VDB(1,0,$N209,INT(ES$44-2),MIN($N209,INT(ES$44-2)+1),$DC209,IF($DD209="No",1,0))/
IF(EA209&gt;INT($N209),$N209-INT($N209),1))*
IF(ES$44=2,EA209,
IF(INT(EA209)=INT(DZ209),0,EA209-INT(EA209)))))</f>
        <v>0</v>
      </c>
      <c r="ET209" s="835">
        <f>+IF(OR(EB209=EA209,ET$44=1),0,
IF(AND(ET$44&gt;1,EB209=$N209),1-SUM($EN209:ES209),
IF($N209&lt;=1,
IF($N209&gt;0,1/$N209,0),
IF(ET$44=2,0,VDB(1,0,$N209,INT(ET$44-2-1),MIN($N209,INT(ET$44-2-1)+1),$DC209,IF($DD209="No",1,0))/
IF(EA209&gt;=INT($N209),$N209-INT($N209),1)))*
IF(ET$44=2,0,
IF(INT(EB209)=INT(EA209),EB209-EA209,INT(EB209)-EA209))+
IF($N209&lt;=1,
IF($N209&gt;0,1/$N209,0),VDB(1,0,$N209,INT(ET$44-2),MIN($N209,INT(ET$44-2)+1),$DC209,IF($DD209="No",1,0))/
IF(EB209&gt;INT($N209),$N209-INT($N209),1))*
IF(ET$44=2,EB209,
IF(INT(EB209)=INT(EA209),0,EB209-INT(EB209)))))</f>
        <v>0</v>
      </c>
      <c r="EU209" s="835">
        <f>+IF(OR(EC209=EB209,EU$44=1),0,
IF(AND(EU$44&gt;1,EC209=$N209),1-SUM($EN209:ET209),
IF($N209&lt;=1,
IF($N209&gt;0,1/$N209,0),
IF(EU$44=2,0,VDB(1,0,$N209,INT(EU$44-2-1),MIN($N209,INT(EU$44-2-1)+1),$DC209,IF($DD209="No",1,0))/
IF(EB209&gt;=INT($N209),$N209-INT($N209),1)))*
IF(EU$44=2,0,
IF(INT(EC209)=INT(EB209),EC209-EB209,INT(EC209)-EB209))+
IF($N209&lt;=1,
IF($N209&gt;0,1/$N209,0),VDB(1,0,$N209,INT(EU$44-2),MIN($N209,INT(EU$44-2)+1),$DC209,IF($DD209="No",1,0))/
IF(EC209&gt;INT($N209),$N209-INT($N209),1))*
IF(EU$44=2,EC209,
IF(INT(EC209)=INT(EB209),0,EC209-INT(EC209)))))</f>
        <v>0</v>
      </c>
      <c r="EV209" s="836">
        <f>+IF(OR(ED209=EC209,EV$44=1),0,
IF(AND(EV$44&gt;1,ED209=$N209),1-SUM($EN209:EU209),
IF($N209&lt;=1,
IF($N209&gt;0,1/$N209,0),
IF(EV$44=2,0,VDB(1,0,$N209,INT(EV$44-2-1),MIN($N209,INT(EV$44-2-1)+1),$DC209,IF($DD209="No",1,0))/
IF(EC209&gt;=INT($N209),$N209-INT($N209),1)))*
IF(EV$44=2,0,
IF(INT(ED209)=INT(EC209),ED209-EC209,INT(ED209)-EC209))+
IF($N209&lt;=1,
IF($N209&gt;0,1/$N209,0),VDB(1,0,$N209,INT(EV$44-2),MIN($N209,INT(EV$44-2)+1),$DC209,IF($DD209="No",1,0))/
IF(ED209&gt;INT($N209),$N209-INT($N209),1))*
IF(EV$44=2,ED209,
IF(INT(ED209)=INT(EC209),0,ED209-INT(ED209)))))</f>
        <v>0</v>
      </c>
      <c r="EW209" s="833"/>
      <c r="EX209" s="834">
        <f t="shared" ca="1" si="360"/>
        <v>0</v>
      </c>
      <c r="EY209" s="835">
        <f t="shared" ca="1" si="360"/>
        <v>0</v>
      </c>
      <c r="EZ209" s="836">
        <f t="shared" ca="1" si="360"/>
        <v>0</v>
      </c>
      <c r="FA209" s="834">
        <f t="shared" ca="1" si="360"/>
        <v>0</v>
      </c>
      <c r="FB209" s="835">
        <f t="shared" ca="1" si="360"/>
        <v>0</v>
      </c>
      <c r="FC209" s="835">
        <f t="shared" ca="1" si="360"/>
        <v>0</v>
      </c>
      <c r="FD209" s="835">
        <f t="shared" ca="1" si="360"/>
        <v>0</v>
      </c>
      <c r="FE209" s="836">
        <f t="shared" ca="1" si="360"/>
        <v>0</v>
      </c>
      <c r="FG209" s="386">
        <f t="shared" ca="1" si="351"/>
        <v>0</v>
      </c>
      <c r="FH209" s="387">
        <f t="shared" ca="1" si="352"/>
        <v>0</v>
      </c>
      <c r="FI209" s="388">
        <f t="shared" ca="1" si="353"/>
        <v>0</v>
      </c>
      <c r="FJ209" s="386">
        <f t="shared" ca="1" si="354"/>
        <v>0</v>
      </c>
      <c r="FK209" s="387">
        <f t="shared" ca="1" si="355"/>
        <v>0</v>
      </c>
      <c r="FL209" s="387">
        <f t="shared" ca="1" si="356"/>
        <v>0</v>
      </c>
      <c r="FM209" s="387">
        <f t="shared" ca="1" si="357"/>
        <v>0</v>
      </c>
      <c r="FN209" s="388">
        <f t="shared" ca="1" si="358"/>
        <v>0</v>
      </c>
      <c r="FR209" s="116"/>
    </row>
    <row r="210" spans="2:174">
      <c r="B210" s="1410">
        <f t="shared" si="359"/>
        <v>164</v>
      </c>
      <c r="C210" s="400"/>
      <c r="D210" s="410"/>
      <c r="E210" s="402"/>
      <c r="F210" s="402"/>
      <c r="G210" s="400"/>
      <c r="H210" s="2088"/>
      <c r="I210" s="2089"/>
      <c r="J210" s="411"/>
      <c r="K210" s="403"/>
      <c r="L210" s="403"/>
      <c r="M210" s="403"/>
      <c r="N210" s="403"/>
      <c r="O210" s="347"/>
      <c r="P210" s="347"/>
      <c r="Q210" s="1021"/>
      <c r="R210" s="1022"/>
      <c r="S210" s="1022"/>
      <c r="T210" s="1022"/>
      <c r="U210" s="1023"/>
      <c r="V210" s="1021"/>
      <c r="W210" s="1022"/>
      <c r="X210" s="1022"/>
      <c r="Y210" s="1022"/>
      <c r="Z210" s="1023"/>
      <c r="AA210" s="1024"/>
      <c r="AB210" s="1021"/>
      <c r="AC210" s="1022"/>
      <c r="AD210" s="1022"/>
      <c r="AE210" s="1022"/>
      <c r="AF210" s="1023"/>
      <c r="AG210" s="1021"/>
      <c r="AH210" s="1022"/>
      <c r="AI210" s="1022"/>
      <c r="AJ210" s="1022"/>
      <c r="AK210" s="1023"/>
      <c r="AL210" s="1024"/>
      <c r="AM210" s="1021"/>
      <c r="AN210" s="1022"/>
      <c r="AO210" s="1022"/>
      <c r="AP210" s="1022"/>
      <c r="AQ210" s="1023"/>
      <c r="AR210" s="1021"/>
      <c r="AS210" s="1022"/>
      <c r="AT210" s="1022"/>
      <c r="AU210" s="1022"/>
      <c r="AV210" s="1023"/>
      <c r="AW210" s="1025"/>
      <c r="AX210" s="1282">
        <f t="shared" si="304"/>
        <v>0</v>
      </c>
      <c r="AY210" s="387">
        <f t="shared" si="305"/>
        <v>0</v>
      </c>
      <c r="AZ210" s="387">
        <f t="shared" si="306"/>
        <v>0</v>
      </c>
      <c r="BA210" s="387">
        <f t="shared" si="307"/>
        <v>0</v>
      </c>
      <c r="BB210" s="1283">
        <f t="shared" si="308"/>
        <v>0</v>
      </c>
      <c r="BC210" s="386">
        <f t="shared" si="309"/>
        <v>0</v>
      </c>
      <c r="BD210" s="387">
        <f t="shared" si="310"/>
        <v>0</v>
      </c>
      <c r="BE210" s="1277">
        <f t="shared" si="311"/>
        <v>0</v>
      </c>
      <c r="BF210" s="1277">
        <f t="shared" si="312"/>
        <v>0</v>
      </c>
      <c r="BG210" s="388">
        <f t="shared" si="313"/>
        <v>0</v>
      </c>
      <c r="BH210" s="1025"/>
      <c r="BI210" s="1282">
        <f t="shared" ca="1" si="314"/>
        <v>0</v>
      </c>
      <c r="BJ210" s="387">
        <f t="shared" ca="1" si="315"/>
        <v>0</v>
      </c>
      <c r="BK210" s="387">
        <f t="shared" ca="1" si="316"/>
        <v>0</v>
      </c>
      <c r="BL210" s="387">
        <f t="shared" ca="1" si="317"/>
        <v>0</v>
      </c>
      <c r="BM210" s="1283">
        <f t="shared" ca="1" si="318"/>
        <v>0</v>
      </c>
      <c r="BN210" s="386">
        <f t="shared" ca="1" si="319"/>
        <v>0</v>
      </c>
      <c r="BO210" s="387">
        <f t="shared" ca="1" si="320"/>
        <v>0</v>
      </c>
      <c r="BP210" s="1277">
        <f t="shared" ca="1" si="321"/>
        <v>0</v>
      </c>
      <c r="BQ210" s="1277">
        <f t="shared" ca="1" si="322"/>
        <v>0</v>
      </c>
      <c r="BR210" s="388">
        <f t="shared" ca="1" si="323"/>
        <v>0</v>
      </c>
      <c r="BS210" s="1025"/>
      <c r="BT210" s="1282">
        <f>+IF($K210="Ongoing",AX210,IF(RIGHT($K210,2)=RIGHT(BT$43,2),SUM($AX210:AX210),0)+IF(RIGHT(BT$43,2)&gt;RIGHT($K210,2),AX210,0))</f>
        <v>0</v>
      </c>
      <c r="BU210" s="387">
        <f>+IF($K210="Ongoing",AY210,IF(RIGHT($K210,2)=RIGHT(BU$43,2),SUM($AX210:AY210),0)+IF(RIGHT(BU$43,2)&gt;RIGHT($K210,2),AY210,0))</f>
        <v>0</v>
      </c>
      <c r="BV210" s="387">
        <f>+IF($K210="Ongoing",AZ210,IF(RIGHT($K210,2)=RIGHT(BV$43,2),SUM($AX210:AZ210),0)+IF(RIGHT(BV$43,2)&gt;RIGHT($K210,2),AZ210,0))</f>
        <v>0</v>
      </c>
      <c r="BW210" s="387">
        <f>+IF($K210="Ongoing",BA210,IF(RIGHT($K210,2)=RIGHT(BW$43,2),SUM($AX210:BA210),0)+IF(RIGHT(BW$43,2)&gt;RIGHT($K210,2),BA210,0))</f>
        <v>0</v>
      </c>
      <c r="BX210" s="1283">
        <f>+IF($K210="Ongoing",BB210,IF(RIGHT($K210,2)=RIGHT(BX$43,2),SUM($AX210:BB210),0)+IF(RIGHT(BX$43,2)&gt;RIGHT($K210,2),BB210,0))</f>
        <v>0</v>
      </c>
      <c r="BY210" s="386">
        <f>+IF($K210="Ongoing",BC210,IF(RIGHT($K210,2)=RIGHT(BY$43,2),SUM($AX210:BC210),0)+IF(RIGHT(BY$43,2)&gt;RIGHT($K210,2),BC210,0))</f>
        <v>0</v>
      </c>
      <c r="BZ210" s="387">
        <f>+IF($K210="Ongoing",BD210,IF(RIGHT($K210,2)=RIGHT(BZ$43,2),SUM($AX210:BD210),0)+IF(RIGHT(BZ$43,2)&gt;RIGHT($K210,2),BD210,0))</f>
        <v>0</v>
      </c>
      <c r="CA210" s="1277">
        <f>+IF($K210="Ongoing",BE210,IF(RIGHT($K210,2)=RIGHT(CA$43,2),SUM($AX210:BE210),0)+IF(RIGHT(CA$43,2)&gt;RIGHT($K210,2),BE210,0))</f>
        <v>0</v>
      </c>
      <c r="CB210" s="1277">
        <f>+IF($K210="Ongoing",BF210,IF(RIGHT($K210,2)=RIGHT(CB$43,2),SUM($AX210:BF210),0)+IF(RIGHT(CB$43,2)&gt;RIGHT($K210,2),BF210,0))</f>
        <v>0</v>
      </c>
      <c r="CC210" s="388">
        <f>+IF($K210="Ongoing",BG210,IF(RIGHT($K210,2)=RIGHT(CC$43,2),SUM($AX210:BG210),0)+IF(RIGHT(CC$43,2)&gt;RIGHT($K210,2),BG210,0))</f>
        <v>0</v>
      </c>
      <c r="CD210" s="1025"/>
      <c r="CE210" s="1282">
        <f>+Q210*KeyAssumptionsPriceControl_FO!AF$15</f>
        <v>0</v>
      </c>
      <c r="CF210" s="387">
        <f>+R210*KeyAssumptionsPriceControl_FO!AG$15</f>
        <v>0</v>
      </c>
      <c r="CG210" s="387">
        <f>+S210*KeyAssumptionsPriceControl_FO!AH$15</f>
        <v>0</v>
      </c>
      <c r="CH210" s="387">
        <f>+T210*KeyAssumptionsPriceControl_FO!AI$15</f>
        <v>0</v>
      </c>
      <c r="CI210" s="1283">
        <f>+U210*KeyAssumptionsPriceControl_FO!AJ$15</f>
        <v>0</v>
      </c>
      <c r="CJ210" s="386">
        <f>+V210*KeyAssumptionsPriceControl_FO!AK$15</f>
        <v>0</v>
      </c>
      <c r="CK210" s="387">
        <f>+W210*KeyAssumptionsPriceControl_FO!AL$15</f>
        <v>0</v>
      </c>
      <c r="CL210" s="1277">
        <f>+X210*KeyAssumptionsPriceControl_FO!AM$15</f>
        <v>0</v>
      </c>
      <c r="CM210" s="1277">
        <f>+Y210*KeyAssumptionsPriceControl_FO!AN$15</f>
        <v>0</v>
      </c>
      <c r="CN210" s="388">
        <f>+Z210*KeyAssumptionsPriceControl_FO!AO$15</f>
        <v>0</v>
      </c>
      <c r="CO210" s="1025"/>
      <c r="CP210" s="1282">
        <f t="shared" ca="1" si="324"/>
        <v>0</v>
      </c>
      <c r="CQ210" s="387">
        <f t="shared" ca="1" si="325"/>
        <v>0</v>
      </c>
      <c r="CR210" s="387">
        <f t="shared" ca="1" si="326"/>
        <v>0</v>
      </c>
      <c r="CS210" s="387">
        <f t="shared" ca="1" si="327"/>
        <v>0</v>
      </c>
      <c r="CT210" s="1283">
        <f t="shared" ca="1" si="328"/>
        <v>0</v>
      </c>
      <c r="CU210" s="386">
        <f t="shared" ca="1" si="329"/>
        <v>0</v>
      </c>
      <c r="CV210" s="387">
        <f t="shared" ca="1" si="330"/>
        <v>0</v>
      </c>
      <c r="CW210" s="1277">
        <f t="shared" ca="1" si="331"/>
        <v>0</v>
      </c>
      <c r="CX210" s="1277">
        <f t="shared" ca="1" si="332"/>
        <v>0</v>
      </c>
      <c r="CY210" s="388">
        <f t="shared" ca="1" si="333"/>
        <v>0</v>
      </c>
      <c r="CZ210" s="347"/>
      <c r="DA210" s="852"/>
      <c r="DB210" s="347"/>
      <c r="DC210" s="1012" t="s">
        <v>731</v>
      </c>
      <c r="DD210" s="841" t="s">
        <v>518</v>
      </c>
      <c r="DE210" s="386">
        <f>+IF($K210="ongoing",CE210,IF(RIGHT($K210,2)=RIGHT(DE$43,2),SUM($CD210:CE210),0)+IF(RIGHT(DE$43,2)&gt;RIGHT($K210,2),CE210,0))</f>
        <v>0</v>
      </c>
      <c r="DF210" s="387">
        <f>+IF($K210="ongoing",CF210,IF(RIGHT($K210,2)=RIGHT(DF$43,2),SUM($CD210:CF210),0)+IF(RIGHT(DF$43,2)&gt;RIGHT($K210,2),CF210,0))</f>
        <v>0</v>
      </c>
      <c r="DG210" s="388">
        <f>+IF($K210="ongoing",CG210,IF(RIGHT($K210,2)=RIGHT(DG$43,2),SUM($CD210:CG210),0)+IF(RIGHT(DG$43,2)&gt;RIGHT($K210,2),CG210,0))</f>
        <v>0</v>
      </c>
      <c r="DH210" s="386">
        <f>+IF($K210="ongoing",CH210,IF(RIGHT($K210,2)=RIGHT(DH$43,2),SUM($CD210:CH210),0)+IF(RIGHT(DH$43,2)&gt;RIGHT($K210,2),CH210,0))</f>
        <v>0</v>
      </c>
      <c r="DI210" s="387">
        <f>+IF($K210="ongoing",CI210,IF(RIGHT($K210,2)=RIGHT(DI$43,2),SUM($CD210:CI210),0)+IF(RIGHT(DI$43,2)&gt;RIGHT($K210,2),CI210,0))</f>
        <v>0</v>
      </c>
      <c r="DJ210" s="387">
        <f>+IF($K210="ongoing",CJ210,IF(RIGHT($K210,2)=RIGHT(DJ$43,2),SUM($CD210:CJ210),0)+IF(RIGHT(DJ$43,2)&gt;RIGHT($K210,2),CJ210,0))</f>
        <v>0</v>
      </c>
      <c r="DK210" s="387">
        <f>+IF($K210="ongoing",CK210,IF(RIGHT($K210,2)=RIGHT(DK$43,2),SUM($CD210:CK210),0)+IF(RIGHT(DK$43,2)&gt;RIGHT($K210,2),CK210,0))</f>
        <v>0</v>
      </c>
      <c r="DL210" s="388">
        <f>+IF($K210="ongoing",CN210,IF(RIGHT($K210,2)=RIGHT(DL$43,2),SUM($CD210:CN210),0)+IF(RIGHT(DL$43,2)&gt;RIGHT($K210,2),CN210,0))</f>
        <v>0</v>
      </c>
      <c r="DM210" s="841"/>
      <c r="DN210" s="386">
        <f t="shared" si="334"/>
        <v>0.5</v>
      </c>
      <c r="DO210" s="387">
        <f t="shared" si="335"/>
        <v>1</v>
      </c>
      <c r="DP210" s="388">
        <f t="shared" si="336"/>
        <v>1</v>
      </c>
      <c r="DQ210" s="386">
        <f t="shared" si="337"/>
        <v>1</v>
      </c>
      <c r="DR210" s="387">
        <f t="shared" si="338"/>
        <v>1</v>
      </c>
      <c r="DS210" s="387">
        <f t="shared" si="339"/>
        <v>1</v>
      </c>
      <c r="DT210" s="387">
        <f t="shared" si="340"/>
        <v>1</v>
      </c>
      <c r="DU210" s="388">
        <f t="shared" si="341"/>
        <v>1</v>
      </c>
      <c r="DW210" s="386">
        <f t="shared" si="342"/>
        <v>0</v>
      </c>
      <c r="DX210" s="387">
        <f t="shared" si="343"/>
        <v>0.5</v>
      </c>
      <c r="DY210" s="388">
        <f t="shared" si="344"/>
        <v>1</v>
      </c>
      <c r="DZ210" s="386">
        <f t="shared" si="345"/>
        <v>1</v>
      </c>
      <c r="EA210" s="387">
        <f t="shared" si="346"/>
        <v>1</v>
      </c>
      <c r="EB210" s="387">
        <f t="shared" si="347"/>
        <v>1</v>
      </c>
      <c r="EC210" s="387">
        <f t="shared" si="348"/>
        <v>1</v>
      </c>
      <c r="ED210" s="388">
        <f t="shared" si="349"/>
        <v>1</v>
      </c>
      <c r="EF210" s="834">
        <f>+IF(DN210=DM210,0,
IF(AND(EF$44&gt;1,DN210=$N210),1-SUM($EE210:EE210),
IF($N210&lt;=1,
IF($N210&gt;0,1/$N210,0),
IF(EF$44=1,0,VDB(1,0,$N210,INT(EF$44-1-1),MIN($N210,INT(EF$44-1-1)+1),$DC210,IF($DD210="No",1,0))/
IF(DM210&gt;=INT($N210),$N210-INT($N210),1)))*
IF(EF$44=1,0,
IF(INT(DN210)=INT(DM210),DN210-DM210,INT(DN210)-DM210))+
IF($N210&lt;=1,
IF($N210&gt;0,1/$N210,0),VDB(1,0,$N210,INT(EF$44-1),MIN($N210,INT(EF$44-1)+1),$DC210,IF($DD210="No",1,0))/
IF(DN210&gt;INT($N210),$N210-INT($N210),1))*
IF(EF$44=1,DN210,
IF(INT(DN210)=INT(DM210),0,DN210-INT(DN210)))))</f>
        <v>0</v>
      </c>
      <c r="EG210" s="835">
        <f>+IF(DO210=DN210,0,
IF(AND(EG$44&gt;1,DO210=$N210),1-SUM($EE210:EF210),
IF($N210&lt;=1,
IF($N210&gt;0,1/$N210,0),
IF(EG$44=1,0,VDB(1,0,$N210,INT(EG$44-1-1),MIN($N210,INT(EG$44-1-1)+1),$DC210,IF($DD210="No",1,0))/
IF(DN210&gt;=INT($N210),$N210-INT($N210),1)))*
IF(EG$44=1,0,
IF(INT(DO210)=INT(DN210),DO210-DN210,INT(DO210)-DN210))+
IF($N210&lt;=1,
IF($N210&gt;0,1/$N210,0),VDB(1,0,$N210,INT(EG$44-1),MIN($N210,INT(EG$44-1)+1),$DC210,IF($DD210="No",1,0))/
IF(DO210&gt;INT($N210),$N210-INT($N210),1))*
IF(EG$44=1,DO210,
IF(INT(DO210)=INT(DN210),0,DO210-INT(DO210)))))</f>
        <v>0</v>
      </c>
      <c r="EH210" s="836">
        <f>+IF(DP210=DO210,0,
IF(AND(EH$44&gt;1,DP210=$N210),1-SUM($EE210:EG210),
IF($N210&lt;=1,
IF($N210&gt;0,1/$N210,0),
IF(EH$44=1,0,VDB(1,0,$N210,INT(EH$44-1-1),MIN($N210,INT(EH$44-1-1)+1),$DC210,IF($DD210="No",1,0))/
IF(DO210&gt;=INT($N210),$N210-INT($N210),1)))*
IF(EH$44=1,0,
IF(INT(DP210)=INT(DO210),DP210-DO210,INT(DP210)-DO210))+
IF($N210&lt;=1,
IF($N210&gt;0,1/$N210,0),VDB(1,0,$N210,INT(EH$44-1),MIN($N210,INT(EH$44-1)+1),$DC210,IF($DD210="No",1,0))/
IF(DP210&gt;INT($N210),$N210-INT($N210),1))*
IF(EH$44=1,DP210,
IF(INT(DP210)=INT(DO210),0,DP210-INT(DP210)))))</f>
        <v>0</v>
      </c>
      <c r="EI210" s="834">
        <f>+IF(DQ210=DP210,0,
IF(AND(EI$44&gt;1,DQ210=$N210),1-SUM($EE210:EH210),
IF($N210&lt;=1,
IF($N210&gt;0,1/$N210,0),
IF(EI$44=1,0,VDB(1,0,$N210,INT(EI$44-1-1),MIN($N210,INT(EI$44-1-1)+1),$DC210,IF($DD210="No",1,0))/
IF(DP210&gt;=INT($N210),$N210-INT($N210),1)))*
IF(EI$44=1,0,
IF(INT(DQ210)=INT(DP210),DQ210-DP210,INT(DQ210)-DP210))+
IF($N210&lt;=1,
IF($N210&gt;0,1/$N210,0),VDB(1,0,$N210,INT(EI$44-1),MIN($N210,INT(EI$44-1)+1),$DC210,IF($DD210="No",1,0))/
IF(DQ210&gt;INT($N210),$N210-INT($N210),1))*
IF(EI$44=1,DQ210,
IF(INT(DQ210)=INT(DP210),0,DQ210-INT(DQ210)))))</f>
        <v>0</v>
      </c>
      <c r="EJ210" s="835">
        <f>+IF(DR210=DQ210,0,
IF(AND(EJ$44&gt;1,DR210=$N210),1-SUM($EE210:EI210),
IF($N210&lt;=1,
IF($N210&gt;0,1/$N210,0),
IF(EJ$44=1,0,VDB(1,0,$N210,INT(EJ$44-1-1),MIN($N210,INT(EJ$44-1-1)+1),$DC210,IF($DD210="No",1,0))/
IF(DQ210&gt;=INT($N210),$N210-INT($N210),1)))*
IF(EJ$44=1,0,
IF(INT(DR210)=INT(DQ210),DR210-DQ210,INT(DR210)-DQ210))+
IF($N210&lt;=1,
IF($N210&gt;0,1/$N210,0),VDB(1,0,$N210,INT(EJ$44-1),MIN($N210,INT(EJ$44-1)+1),$DC210,IF($DD210="No",1,0))/
IF(DR210&gt;INT($N210),$N210-INT($N210),1))*
IF(EJ$44=1,DR210,
IF(INT(DR210)=INT(DQ210),0,DR210-INT(DR210)))))</f>
        <v>0</v>
      </c>
      <c r="EK210" s="835">
        <f>+IF(DS210=DR210,0,
IF(AND(EK$44&gt;1,DS210=$N210),1-SUM($EE210:EJ210),
IF($N210&lt;=1,
IF($N210&gt;0,1/$N210,0),
IF(EK$44=1,0,VDB(1,0,$N210,INT(EK$44-1-1),MIN($N210,INT(EK$44-1-1)+1),$DC210,IF($DD210="No",1,0))/
IF(DR210&gt;=INT($N210),$N210-INT($N210),1)))*
IF(EK$44=1,0,
IF(INT(DS210)=INT(DR210),DS210-DR210,INT(DS210)-DR210))+
IF($N210&lt;=1,
IF($N210&gt;0,1/$N210,0),VDB(1,0,$N210,INT(EK$44-1),MIN($N210,INT(EK$44-1)+1),$DC210,IF($DD210="No",1,0))/
IF(DS210&gt;INT($N210),$N210-INT($N210),1))*
IF(EK$44=1,DS210,
IF(INT(DS210)=INT(DR210),0,DS210-INT(DS210)))))</f>
        <v>0</v>
      </c>
      <c r="EL210" s="835">
        <f>+IF(DT210=DS210,0,
IF(AND(EL$44&gt;1,DT210=$N210),1-SUM($EE210:EK210),
IF($N210&lt;=1,
IF($N210&gt;0,1/$N210,0),
IF(EL$44=1,0,VDB(1,0,$N210,INT(EL$44-1-1),MIN($N210,INT(EL$44-1-1)+1),$DC210,IF($DD210="No",1,0))/
IF(DS210&gt;=INT($N210),$N210-INT($N210),1)))*
IF(EL$44=1,0,
IF(INT(DT210)=INT(DS210),DT210-DS210,INT(DT210)-DS210))+
IF($N210&lt;=1,
IF($N210&gt;0,1/$N210,0),VDB(1,0,$N210,INT(EL$44-1),MIN($N210,INT(EL$44-1)+1),$DC210,IF($DD210="No",1,0))/
IF(DT210&gt;INT($N210),$N210-INT($N210),1))*
IF(EL$44=1,DT210,
IF(INT(DT210)=INT(DS210),0,DT210-INT(DT210)))))</f>
        <v>0</v>
      </c>
      <c r="EM210" s="836">
        <f>+IF(DU210=DT210,0,
IF(AND(EM$44&gt;1,DU210=$N210),1-SUM($EE210:EL210),
IF($N210&lt;=1,
IF($N210&gt;0,1/$N210,0),
IF(EM$44=1,0,VDB(1,0,$N210,INT(EM$44-1-1),MIN($N210,INT(EM$44-1-1)+1),$DC210,IF($DD210="No",1,0))/
IF(DT210&gt;=INT($N210),$N210-INT($N210),1)))*
IF(EM$44=1,0,
IF(INT(DU210)=INT(DT210),DU210-DT210,INT(DU210)-DT210))+
IF($N210&lt;=1,
IF($N210&gt;0,1/$N210,0),VDB(1,0,$N210,INT(EM$44-1),MIN($N210,INT(EM$44-1)+1),$DC210,IF($DD210="No",1,0))/
IF(DU210&gt;INT($N210),$N210-INT($N210),1))*
IF(EM$44=1,DU210,
IF(INT(DU210)=INT(DT210),0,DU210-INT(DU210)))))</f>
        <v>0</v>
      </c>
      <c r="EN210" s="833"/>
      <c r="EO210" s="834">
        <f>+IF(OR(DW210=DV210,EO$44=1),0,
IF(AND(EO$44&gt;1,DW210=$N210),1-SUM($EN210:EN210),
IF($N210&lt;=1,
IF($N210&gt;0,1/$N210,0),
IF(EO$44=2,0,VDB(1,0,$N210,INT(EO$44-2-1),MIN($N210,INT(EO$44-2-1)+1),$DC210,IF($DD210="No",1,0))/
IF(DV210&gt;=INT($N210),$N210-INT($N210),1)))*
IF(EO$44=2,0,
IF(INT(DW210)=INT(DV210),DW210-DV210,INT(DW210)-DV210))+
IF($N210&lt;=1,
IF($N210&gt;0,1/$N210,0),VDB(1,0,$N210,INT(EO$44-2),MIN($N210,INT(EO$44-2)+1),$DC210,IF($DD210="No",1,0))/
IF(DW210&gt;INT($N210),$N210-INT($N210),1))*
IF(EO$44=2,DW210,
IF(INT(DW210)=INT(DV210),0,DW210-INT(DW210)))))</f>
        <v>0</v>
      </c>
      <c r="EP210" s="835">
        <f>+IF(OR(DX210=DW210,EP$44=1),0,
IF(AND(EP$44&gt;1,DX210=$N210),1-SUM($EN210:EO210),
IF($N210&lt;=1,
IF($N210&gt;0,1/$N210,0),
IF(EP$44=2,0,VDB(1,0,$N210,INT(EP$44-2-1),MIN($N210,INT(EP$44-2-1)+1),$DC210,IF($DD210="No",1,0))/
IF(DW210&gt;=INT($N210),$N210-INT($N210),1)))*
IF(EP$44=2,0,
IF(INT(DX210)=INT(DW210),DX210-DW210,INT(DX210)-DW210))+
IF($N210&lt;=1,
IF($N210&gt;0,1/$N210,0),VDB(1,0,$N210,INT(EP$44-2),MIN($N210,INT(EP$44-2)+1),$DC210,IF($DD210="No",1,0))/
IF(DX210&gt;INT($N210),$N210-INT($N210),1))*
IF(EP$44=2,DX210,
IF(INT(DX210)=INT(DW210),0,DX210-INT(DX210)))))</f>
        <v>0</v>
      </c>
      <c r="EQ210" s="836">
        <f>+IF(OR(DY210=DX210,EQ$44=1),0,
IF(AND(EQ$44&gt;1,DY210=$N210),1-SUM($EN210:EP210),
IF($N210&lt;=1,
IF($N210&gt;0,1/$N210,0),
IF(EQ$44=2,0,VDB(1,0,$N210,INT(EQ$44-2-1),MIN($N210,INT(EQ$44-2-1)+1),$DC210,IF($DD210="No",1,0))/
IF(DX210&gt;=INT($N210),$N210-INT($N210),1)))*
IF(EQ$44=2,0,
IF(INT(DY210)=INT(DX210),DY210-DX210,INT(DY210)-DX210))+
IF($N210&lt;=1,
IF($N210&gt;0,1/$N210,0),VDB(1,0,$N210,INT(EQ$44-2),MIN($N210,INT(EQ$44-2)+1),$DC210,IF($DD210="No",1,0))/
IF(DY210&gt;INT($N210),$N210-INT($N210),1))*
IF(EQ$44=2,DY210,
IF(INT(DY210)=INT(DX210),0,DY210-INT(DY210)))))</f>
        <v>0</v>
      </c>
      <c r="ER210" s="834">
        <f>+IF(OR(DZ210=DY210,ER$44=1),0,
IF(AND(ER$44&gt;1,DZ210=$N210),1-SUM($EN210:EQ210),
IF($N210&lt;=1,
IF($N210&gt;0,1/$N210,0),
IF(ER$44=2,0,VDB(1,0,$N210,INT(ER$44-2-1),MIN($N210,INT(ER$44-2-1)+1),$DC210,IF($DD210="No",1,0))/
IF(DY210&gt;=INT($N210),$N210-INT($N210),1)))*
IF(ER$44=2,0,
IF(INT(DZ210)=INT(DY210),DZ210-DY210,INT(DZ210)-DY210))+
IF($N210&lt;=1,
IF($N210&gt;0,1/$N210,0),VDB(1,0,$N210,INT(ER$44-2),MIN($N210,INT(ER$44-2)+1),$DC210,IF($DD210="No",1,0))/
IF(DZ210&gt;INT($N210),$N210-INT($N210),1))*
IF(ER$44=2,DZ210,
IF(INT(DZ210)=INT(DY210),0,DZ210-INT(DZ210)))))</f>
        <v>0</v>
      </c>
      <c r="ES210" s="835">
        <f>+IF(OR(EA210=DZ210,ES$44=1),0,
IF(AND(ES$44&gt;1,EA210=$N210),1-SUM($EN210:ER210),
IF($N210&lt;=1,
IF($N210&gt;0,1/$N210,0),
IF(ES$44=2,0,VDB(1,0,$N210,INT(ES$44-2-1),MIN($N210,INT(ES$44-2-1)+1),$DC210,IF($DD210="No",1,0))/
IF(DZ210&gt;=INT($N210),$N210-INT($N210),1)))*
IF(ES$44=2,0,
IF(INT(EA210)=INT(DZ210),EA210-DZ210,INT(EA210)-DZ210))+
IF($N210&lt;=1,
IF($N210&gt;0,1/$N210,0),VDB(1,0,$N210,INT(ES$44-2),MIN($N210,INT(ES$44-2)+1),$DC210,IF($DD210="No",1,0))/
IF(EA210&gt;INT($N210),$N210-INT($N210),1))*
IF(ES$44=2,EA210,
IF(INT(EA210)=INT(DZ210),0,EA210-INT(EA210)))))</f>
        <v>0</v>
      </c>
      <c r="ET210" s="835">
        <f>+IF(OR(EB210=EA210,ET$44=1),0,
IF(AND(ET$44&gt;1,EB210=$N210),1-SUM($EN210:ES210),
IF($N210&lt;=1,
IF($N210&gt;0,1/$N210,0),
IF(ET$44=2,0,VDB(1,0,$N210,INT(ET$44-2-1),MIN($N210,INT(ET$44-2-1)+1),$DC210,IF($DD210="No",1,0))/
IF(EA210&gt;=INT($N210),$N210-INT($N210),1)))*
IF(ET$44=2,0,
IF(INT(EB210)=INT(EA210),EB210-EA210,INT(EB210)-EA210))+
IF($N210&lt;=1,
IF($N210&gt;0,1/$N210,0),VDB(1,0,$N210,INT(ET$44-2),MIN($N210,INT(ET$44-2)+1),$DC210,IF($DD210="No",1,0))/
IF(EB210&gt;INT($N210),$N210-INT($N210),1))*
IF(ET$44=2,EB210,
IF(INT(EB210)=INT(EA210),0,EB210-INT(EB210)))))</f>
        <v>0</v>
      </c>
      <c r="EU210" s="835">
        <f>+IF(OR(EC210=EB210,EU$44=1),0,
IF(AND(EU$44&gt;1,EC210=$N210),1-SUM($EN210:ET210),
IF($N210&lt;=1,
IF($N210&gt;0,1/$N210,0),
IF(EU$44=2,0,VDB(1,0,$N210,INT(EU$44-2-1),MIN($N210,INT(EU$44-2-1)+1),$DC210,IF($DD210="No",1,0))/
IF(EB210&gt;=INT($N210),$N210-INT($N210),1)))*
IF(EU$44=2,0,
IF(INT(EC210)=INT(EB210),EC210-EB210,INT(EC210)-EB210))+
IF($N210&lt;=1,
IF($N210&gt;0,1/$N210,0),VDB(1,0,$N210,INT(EU$44-2),MIN($N210,INT(EU$44-2)+1),$DC210,IF($DD210="No",1,0))/
IF(EC210&gt;INT($N210),$N210-INT($N210),1))*
IF(EU$44=2,EC210,
IF(INT(EC210)=INT(EB210),0,EC210-INT(EC210)))))</f>
        <v>0</v>
      </c>
      <c r="EV210" s="836">
        <f>+IF(OR(ED210=EC210,EV$44=1),0,
IF(AND(EV$44&gt;1,ED210=$N210),1-SUM($EN210:EU210),
IF($N210&lt;=1,
IF($N210&gt;0,1/$N210,0),
IF(EV$44=2,0,VDB(1,0,$N210,INT(EV$44-2-1),MIN($N210,INT(EV$44-2-1)+1),$DC210,IF($DD210="No",1,0))/
IF(EC210&gt;=INT($N210),$N210-INT($N210),1)))*
IF(EV$44=2,0,
IF(INT(ED210)=INT(EC210),ED210-EC210,INT(ED210)-EC210))+
IF($N210&lt;=1,
IF($N210&gt;0,1/$N210,0),VDB(1,0,$N210,INT(EV$44-2),MIN($N210,INT(EV$44-2)+1),$DC210,IF($DD210="No",1,0))/
IF(ED210&gt;INT($N210),$N210-INT($N210),1))*
IF(EV$44=2,ED210,
IF(INT(ED210)=INT(EC210),0,ED210-INT(ED210)))))</f>
        <v>0</v>
      </c>
      <c r="EW210" s="833"/>
      <c r="EX210" s="834">
        <f t="shared" ca="1" si="360"/>
        <v>0</v>
      </c>
      <c r="EY210" s="835">
        <f t="shared" ca="1" si="360"/>
        <v>0</v>
      </c>
      <c r="EZ210" s="836">
        <f t="shared" ca="1" si="360"/>
        <v>0</v>
      </c>
      <c r="FA210" s="834">
        <f t="shared" ca="1" si="360"/>
        <v>0</v>
      </c>
      <c r="FB210" s="835">
        <f t="shared" ca="1" si="360"/>
        <v>0</v>
      </c>
      <c r="FC210" s="835">
        <f t="shared" ca="1" si="360"/>
        <v>0</v>
      </c>
      <c r="FD210" s="835">
        <f t="shared" ca="1" si="360"/>
        <v>0</v>
      </c>
      <c r="FE210" s="836">
        <f t="shared" ca="1" si="360"/>
        <v>0</v>
      </c>
      <c r="FG210" s="386">
        <f t="shared" ca="1" si="351"/>
        <v>0</v>
      </c>
      <c r="FH210" s="387">
        <f t="shared" ca="1" si="352"/>
        <v>0</v>
      </c>
      <c r="FI210" s="388">
        <f t="shared" ca="1" si="353"/>
        <v>0</v>
      </c>
      <c r="FJ210" s="386">
        <f t="shared" ca="1" si="354"/>
        <v>0</v>
      </c>
      <c r="FK210" s="387">
        <f t="shared" ca="1" si="355"/>
        <v>0</v>
      </c>
      <c r="FL210" s="387">
        <f t="shared" ca="1" si="356"/>
        <v>0</v>
      </c>
      <c r="FM210" s="387">
        <f t="shared" ca="1" si="357"/>
        <v>0</v>
      </c>
      <c r="FN210" s="388">
        <f t="shared" ca="1" si="358"/>
        <v>0</v>
      </c>
      <c r="FR210" s="116"/>
    </row>
    <row r="211" spans="2:174">
      <c r="B211" s="1410">
        <f t="shared" si="359"/>
        <v>165</v>
      </c>
      <c r="C211" s="400"/>
      <c r="D211" s="410"/>
      <c r="E211" s="402"/>
      <c r="F211" s="402"/>
      <c r="G211" s="400"/>
      <c r="H211" s="2088"/>
      <c r="I211" s="2089"/>
      <c r="J211" s="411"/>
      <c r="K211" s="403"/>
      <c r="L211" s="403"/>
      <c r="M211" s="403"/>
      <c r="N211" s="403"/>
      <c r="O211" s="347"/>
      <c r="P211" s="347"/>
      <c r="Q211" s="1021"/>
      <c r="R211" s="1022"/>
      <c r="S211" s="1022"/>
      <c r="T211" s="1022"/>
      <c r="U211" s="1023"/>
      <c r="V211" s="1021"/>
      <c r="W211" s="1022"/>
      <c r="X211" s="1022"/>
      <c r="Y211" s="1022"/>
      <c r="Z211" s="1023"/>
      <c r="AA211" s="1024"/>
      <c r="AB211" s="1021"/>
      <c r="AC211" s="1022"/>
      <c r="AD211" s="1022"/>
      <c r="AE211" s="1022"/>
      <c r="AF211" s="1023"/>
      <c r="AG211" s="1021"/>
      <c r="AH211" s="1022"/>
      <c r="AI211" s="1022"/>
      <c r="AJ211" s="1022"/>
      <c r="AK211" s="1023"/>
      <c r="AL211" s="1024"/>
      <c r="AM211" s="1021"/>
      <c r="AN211" s="1022"/>
      <c r="AO211" s="1022"/>
      <c r="AP211" s="1022"/>
      <c r="AQ211" s="1023"/>
      <c r="AR211" s="1021"/>
      <c r="AS211" s="1022"/>
      <c r="AT211" s="1022"/>
      <c r="AU211" s="1022"/>
      <c r="AV211" s="1023"/>
      <c r="AW211" s="1025"/>
      <c r="AX211" s="1282">
        <f t="shared" si="304"/>
        <v>0</v>
      </c>
      <c r="AY211" s="387">
        <f t="shared" si="305"/>
        <v>0</v>
      </c>
      <c r="AZ211" s="387">
        <f t="shared" si="306"/>
        <v>0</v>
      </c>
      <c r="BA211" s="387">
        <f t="shared" si="307"/>
        <v>0</v>
      </c>
      <c r="BB211" s="1283">
        <f t="shared" si="308"/>
        <v>0</v>
      </c>
      <c r="BC211" s="386">
        <f t="shared" si="309"/>
        <v>0</v>
      </c>
      <c r="BD211" s="387">
        <f t="shared" si="310"/>
        <v>0</v>
      </c>
      <c r="BE211" s="1277">
        <f t="shared" si="311"/>
        <v>0</v>
      </c>
      <c r="BF211" s="1277">
        <f t="shared" si="312"/>
        <v>0</v>
      </c>
      <c r="BG211" s="388">
        <f t="shared" si="313"/>
        <v>0</v>
      </c>
      <c r="BH211" s="1025"/>
      <c r="BI211" s="1282">
        <f t="shared" ca="1" si="314"/>
        <v>0</v>
      </c>
      <c r="BJ211" s="387">
        <f t="shared" ca="1" si="315"/>
        <v>0</v>
      </c>
      <c r="BK211" s="387">
        <f t="shared" ca="1" si="316"/>
        <v>0</v>
      </c>
      <c r="BL211" s="387">
        <f t="shared" ca="1" si="317"/>
        <v>0</v>
      </c>
      <c r="BM211" s="1283">
        <f t="shared" ca="1" si="318"/>
        <v>0</v>
      </c>
      <c r="BN211" s="386">
        <f t="shared" ca="1" si="319"/>
        <v>0</v>
      </c>
      <c r="BO211" s="387">
        <f t="shared" ca="1" si="320"/>
        <v>0</v>
      </c>
      <c r="BP211" s="1277">
        <f t="shared" ca="1" si="321"/>
        <v>0</v>
      </c>
      <c r="BQ211" s="1277">
        <f t="shared" ca="1" si="322"/>
        <v>0</v>
      </c>
      <c r="BR211" s="388">
        <f t="shared" ca="1" si="323"/>
        <v>0</v>
      </c>
      <c r="BS211" s="1025"/>
      <c r="BT211" s="1282">
        <f>+IF($K211="Ongoing",AX211,IF(RIGHT($K211,2)=RIGHT(BT$43,2),SUM($AX211:AX211),0)+IF(RIGHT(BT$43,2)&gt;RIGHT($K211,2),AX211,0))</f>
        <v>0</v>
      </c>
      <c r="BU211" s="387">
        <f>+IF($K211="Ongoing",AY211,IF(RIGHT($K211,2)=RIGHT(BU$43,2),SUM($AX211:AY211),0)+IF(RIGHT(BU$43,2)&gt;RIGHT($K211,2),AY211,0))</f>
        <v>0</v>
      </c>
      <c r="BV211" s="387">
        <f>+IF($K211="Ongoing",AZ211,IF(RIGHT($K211,2)=RIGHT(BV$43,2),SUM($AX211:AZ211),0)+IF(RIGHT(BV$43,2)&gt;RIGHT($K211,2),AZ211,0))</f>
        <v>0</v>
      </c>
      <c r="BW211" s="387">
        <f>+IF($K211="Ongoing",BA211,IF(RIGHT($K211,2)=RIGHT(BW$43,2),SUM($AX211:BA211),0)+IF(RIGHT(BW$43,2)&gt;RIGHT($K211,2),BA211,0))</f>
        <v>0</v>
      </c>
      <c r="BX211" s="1283">
        <f>+IF($K211="Ongoing",BB211,IF(RIGHT($K211,2)=RIGHT(BX$43,2),SUM($AX211:BB211),0)+IF(RIGHT(BX$43,2)&gt;RIGHT($K211,2),BB211,0))</f>
        <v>0</v>
      </c>
      <c r="BY211" s="386">
        <f>+IF($K211="Ongoing",BC211,IF(RIGHT($K211,2)=RIGHT(BY$43,2),SUM($AX211:BC211),0)+IF(RIGHT(BY$43,2)&gt;RIGHT($K211,2),BC211,0))</f>
        <v>0</v>
      </c>
      <c r="BZ211" s="387">
        <f>+IF($K211="Ongoing",BD211,IF(RIGHT($K211,2)=RIGHT(BZ$43,2),SUM($AX211:BD211),0)+IF(RIGHT(BZ$43,2)&gt;RIGHT($K211,2),BD211,0))</f>
        <v>0</v>
      </c>
      <c r="CA211" s="1277">
        <f>+IF($K211="Ongoing",BE211,IF(RIGHT($K211,2)=RIGHT(CA$43,2),SUM($AX211:BE211),0)+IF(RIGHT(CA$43,2)&gt;RIGHT($K211,2),BE211,0))</f>
        <v>0</v>
      </c>
      <c r="CB211" s="1277">
        <f>+IF($K211="Ongoing",BF211,IF(RIGHT($K211,2)=RIGHT(CB$43,2),SUM($AX211:BF211),0)+IF(RIGHT(CB$43,2)&gt;RIGHT($K211,2),BF211,0))</f>
        <v>0</v>
      </c>
      <c r="CC211" s="388">
        <f>+IF($K211="Ongoing",BG211,IF(RIGHT($K211,2)=RIGHT(CC$43,2),SUM($AX211:BG211),0)+IF(RIGHT(CC$43,2)&gt;RIGHT($K211,2),BG211,0))</f>
        <v>0</v>
      </c>
      <c r="CD211" s="1025"/>
      <c r="CE211" s="1282">
        <f>+Q211*KeyAssumptionsPriceControl_FO!AF$15</f>
        <v>0</v>
      </c>
      <c r="CF211" s="387">
        <f>+R211*KeyAssumptionsPriceControl_FO!AG$15</f>
        <v>0</v>
      </c>
      <c r="CG211" s="387">
        <f>+S211*KeyAssumptionsPriceControl_FO!AH$15</f>
        <v>0</v>
      </c>
      <c r="CH211" s="387">
        <f>+T211*KeyAssumptionsPriceControl_FO!AI$15</f>
        <v>0</v>
      </c>
      <c r="CI211" s="1283">
        <f>+U211*KeyAssumptionsPriceControl_FO!AJ$15</f>
        <v>0</v>
      </c>
      <c r="CJ211" s="386">
        <f>+V211*KeyAssumptionsPriceControl_FO!AK$15</f>
        <v>0</v>
      </c>
      <c r="CK211" s="387">
        <f>+W211*KeyAssumptionsPriceControl_FO!AL$15</f>
        <v>0</v>
      </c>
      <c r="CL211" s="1277">
        <f>+X211*KeyAssumptionsPriceControl_FO!AM$15</f>
        <v>0</v>
      </c>
      <c r="CM211" s="1277">
        <f>+Y211*KeyAssumptionsPriceControl_FO!AN$15</f>
        <v>0</v>
      </c>
      <c r="CN211" s="388">
        <f>+Z211*KeyAssumptionsPriceControl_FO!AO$15</f>
        <v>0</v>
      </c>
      <c r="CO211" s="1025"/>
      <c r="CP211" s="1282">
        <f t="shared" ca="1" si="324"/>
        <v>0</v>
      </c>
      <c r="CQ211" s="387">
        <f t="shared" ca="1" si="325"/>
        <v>0</v>
      </c>
      <c r="CR211" s="387">
        <f t="shared" ca="1" si="326"/>
        <v>0</v>
      </c>
      <c r="CS211" s="387">
        <f t="shared" ca="1" si="327"/>
        <v>0</v>
      </c>
      <c r="CT211" s="1283">
        <f t="shared" ca="1" si="328"/>
        <v>0</v>
      </c>
      <c r="CU211" s="386">
        <f t="shared" ca="1" si="329"/>
        <v>0</v>
      </c>
      <c r="CV211" s="387">
        <f t="shared" ca="1" si="330"/>
        <v>0</v>
      </c>
      <c r="CW211" s="1277">
        <f t="shared" ca="1" si="331"/>
        <v>0</v>
      </c>
      <c r="CX211" s="1277">
        <f t="shared" ca="1" si="332"/>
        <v>0</v>
      </c>
      <c r="CY211" s="388">
        <f t="shared" ca="1" si="333"/>
        <v>0</v>
      </c>
      <c r="CZ211" s="347"/>
      <c r="DA211" s="852"/>
      <c r="DB211" s="347"/>
      <c r="DC211" s="1012" t="s">
        <v>732</v>
      </c>
      <c r="DD211" s="841" t="s">
        <v>518</v>
      </c>
      <c r="DE211" s="386">
        <f>+IF($K211="ongoing",CE211,IF(RIGHT($K211,2)=RIGHT(DE$43,2),SUM($CD211:CE211),0)+IF(RIGHT(DE$43,2)&gt;RIGHT($K211,2),CE211,0))</f>
        <v>0</v>
      </c>
      <c r="DF211" s="387">
        <f>+IF($K211="ongoing",CF211,IF(RIGHT($K211,2)=RIGHT(DF$43,2),SUM($CD211:CF211),0)+IF(RIGHT(DF$43,2)&gt;RIGHT($K211,2),CF211,0))</f>
        <v>0</v>
      </c>
      <c r="DG211" s="388">
        <f>+IF($K211="ongoing",CG211,IF(RIGHT($K211,2)=RIGHT(DG$43,2),SUM($CD211:CG211),0)+IF(RIGHT(DG$43,2)&gt;RIGHT($K211,2),CG211,0))</f>
        <v>0</v>
      </c>
      <c r="DH211" s="386">
        <f>+IF($K211="ongoing",CH211,IF(RIGHT($K211,2)=RIGHT(DH$43,2),SUM($CD211:CH211),0)+IF(RIGHT(DH$43,2)&gt;RIGHT($K211,2),CH211,0))</f>
        <v>0</v>
      </c>
      <c r="DI211" s="387">
        <f>+IF($K211="ongoing",CI211,IF(RIGHT($K211,2)=RIGHT(DI$43,2),SUM($CD211:CI211),0)+IF(RIGHT(DI$43,2)&gt;RIGHT($K211,2),CI211,0))</f>
        <v>0</v>
      </c>
      <c r="DJ211" s="387">
        <f>+IF($K211="ongoing",CJ211,IF(RIGHT($K211,2)=RIGHT(DJ$43,2),SUM($CD211:CJ211),0)+IF(RIGHT(DJ$43,2)&gt;RIGHT($K211,2),CJ211,0))</f>
        <v>0</v>
      </c>
      <c r="DK211" s="387">
        <f>+IF($K211="ongoing",CK211,IF(RIGHT($K211,2)=RIGHT(DK$43,2),SUM($CD211:CK211),0)+IF(RIGHT(DK$43,2)&gt;RIGHT($K211,2),CK211,0))</f>
        <v>0</v>
      </c>
      <c r="DL211" s="388">
        <f>+IF($K211="ongoing",CN211,IF(RIGHT($K211,2)=RIGHT(DL$43,2),SUM($CD211:CN211),0)+IF(RIGHT(DL$43,2)&gt;RIGHT($K211,2),CN211,0))</f>
        <v>0</v>
      </c>
      <c r="DM211" s="841"/>
      <c r="DN211" s="386">
        <f t="shared" si="334"/>
        <v>0.5</v>
      </c>
      <c r="DO211" s="387">
        <f t="shared" si="335"/>
        <v>1</v>
      </c>
      <c r="DP211" s="388">
        <f t="shared" si="336"/>
        <v>1</v>
      </c>
      <c r="DQ211" s="386">
        <f t="shared" si="337"/>
        <v>1</v>
      </c>
      <c r="DR211" s="387">
        <f t="shared" si="338"/>
        <v>1</v>
      </c>
      <c r="DS211" s="387">
        <f t="shared" si="339"/>
        <v>1</v>
      </c>
      <c r="DT211" s="387">
        <f t="shared" si="340"/>
        <v>1</v>
      </c>
      <c r="DU211" s="388">
        <f t="shared" si="341"/>
        <v>1</v>
      </c>
      <c r="DW211" s="386">
        <f t="shared" si="342"/>
        <v>0</v>
      </c>
      <c r="DX211" s="387">
        <f t="shared" si="343"/>
        <v>0.5</v>
      </c>
      <c r="DY211" s="388">
        <f t="shared" si="344"/>
        <v>1</v>
      </c>
      <c r="DZ211" s="386">
        <f t="shared" si="345"/>
        <v>1</v>
      </c>
      <c r="EA211" s="387">
        <f t="shared" si="346"/>
        <v>1</v>
      </c>
      <c r="EB211" s="387">
        <f t="shared" si="347"/>
        <v>1</v>
      </c>
      <c r="EC211" s="387">
        <f t="shared" si="348"/>
        <v>1</v>
      </c>
      <c r="ED211" s="388">
        <f t="shared" si="349"/>
        <v>1</v>
      </c>
      <c r="EF211" s="834">
        <f>+IF(DN211=DM211,0,
IF(AND(EF$44&gt;1,DN211=$N211),1-SUM($EE211:EE211),
IF($N211&lt;=1,
IF($N211&gt;0,1/$N211,0),
IF(EF$44=1,0,VDB(1,0,$N211,INT(EF$44-1-1),MIN($N211,INT(EF$44-1-1)+1),$DC211,IF($DD211="No",1,0))/
IF(DM211&gt;=INT($N211),$N211-INT($N211),1)))*
IF(EF$44=1,0,
IF(INT(DN211)=INT(DM211),DN211-DM211,INT(DN211)-DM211))+
IF($N211&lt;=1,
IF($N211&gt;0,1/$N211,0),VDB(1,0,$N211,INT(EF$44-1),MIN($N211,INT(EF$44-1)+1),$DC211,IF($DD211="No",1,0))/
IF(DN211&gt;INT($N211),$N211-INT($N211),1))*
IF(EF$44=1,DN211,
IF(INT(DN211)=INT(DM211),0,DN211-INT(DN211)))))</f>
        <v>0</v>
      </c>
      <c r="EG211" s="835">
        <f>+IF(DO211=DN211,0,
IF(AND(EG$44&gt;1,DO211=$N211),1-SUM($EE211:EF211),
IF($N211&lt;=1,
IF($N211&gt;0,1/$N211,0),
IF(EG$44=1,0,VDB(1,0,$N211,INT(EG$44-1-1),MIN($N211,INT(EG$44-1-1)+1),$DC211,IF($DD211="No",1,0))/
IF(DN211&gt;=INT($N211),$N211-INT($N211),1)))*
IF(EG$44=1,0,
IF(INT(DO211)=INT(DN211),DO211-DN211,INT(DO211)-DN211))+
IF($N211&lt;=1,
IF($N211&gt;0,1/$N211,0),VDB(1,0,$N211,INT(EG$44-1),MIN($N211,INT(EG$44-1)+1),$DC211,IF($DD211="No",1,0))/
IF(DO211&gt;INT($N211),$N211-INT($N211),1))*
IF(EG$44=1,DO211,
IF(INT(DO211)=INT(DN211),0,DO211-INT(DO211)))))</f>
        <v>0</v>
      </c>
      <c r="EH211" s="836">
        <f>+IF(DP211=DO211,0,
IF(AND(EH$44&gt;1,DP211=$N211),1-SUM($EE211:EG211),
IF($N211&lt;=1,
IF($N211&gt;0,1/$N211,0),
IF(EH$44=1,0,VDB(1,0,$N211,INT(EH$44-1-1),MIN($N211,INT(EH$44-1-1)+1),$DC211,IF($DD211="No",1,0))/
IF(DO211&gt;=INT($N211),$N211-INT($N211),1)))*
IF(EH$44=1,0,
IF(INT(DP211)=INT(DO211),DP211-DO211,INT(DP211)-DO211))+
IF($N211&lt;=1,
IF($N211&gt;0,1/$N211,0),VDB(1,0,$N211,INT(EH$44-1),MIN($N211,INT(EH$44-1)+1),$DC211,IF($DD211="No",1,0))/
IF(DP211&gt;INT($N211),$N211-INT($N211),1))*
IF(EH$44=1,DP211,
IF(INT(DP211)=INT(DO211),0,DP211-INT(DP211)))))</f>
        <v>0</v>
      </c>
      <c r="EI211" s="834">
        <f>+IF(DQ211=DP211,0,
IF(AND(EI$44&gt;1,DQ211=$N211),1-SUM($EE211:EH211),
IF($N211&lt;=1,
IF($N211&gt;0,1/$N211,0),
IF(EI$44=1,0,VDB(1,0,$N211,INT(EI$44-1-1),MIN($N211,INT(EI$44-1-1)+1),$DC211,IF($DD211="No",1,0))/
IF(DP211&gt;=INT($N211),$N211-INT($N211),1)))*
IF(EI$44=1,0,
IF(INT(DQ211)=INT(DP211),DQ211-DP211,INT(DQ211)-DP211))+
IF($N211&lt;=1,
IF($N211&gt;0,1/$N211,0),VDB(1,0,$N211,INT(EI$44-1),MIN($N211,INT(EI$44-1)+1),$DC211,IF($DD211="No",1,0))/
IF(DQ211&gt;INT($N211),$N211-INT($N211),1))*
IF(EI$44=1,DQ211,
IF(INT(DQ211)=INT(DP211),0,DQ211-INT(DQ211)))))</f>
        <v>0</v>
      </c>
      <c r="EJ211" s="835">
        <f>+IF(DR211=DQ211,0,
IF(AND(EJ$44&gt;1,DR211=$N211),1-SUM($EE211:EI211),
IF($N211&lt;=1,
IF($N211&gt;0,1/$N211,0),
IF(EJ$44=1,0,VDB(1,0,$N211,INT(EJ$44-1-1),MIN($N211,INT(EJ$44-1-1)+1),$DC211,IF($DD211="No",1,0))/
IF(DQ211&gt;=INT($N211),$N211-INT($N211),1)))*
IF(EJ$44=1,0,
IF(INT(DR211)=INT(DQ211),DR211-DQ211,INT(DR211)-DQ211))+
IF($N211&lt;=1,
IF($N211&gt;0,1/$N211,0),VDB(1,0,$N211,INT(EJ$44-1),MIN($N211,INT(EJ$44-1)+1),$DC211,IF($DD211="No",1,0))/
IF(DR211&gt;INT($N211),$N211-INT($N211),1))*
IF(EJ$44=1,DR211,
IF(INT(DR211)=INT(DQ211),0,DR211-INT(DR211)))))</f>
        <v>0</v>
      </c>
      <c r="EK211" s="835">
        <f>+IF(DS211=DR211,0,
IF(AND(EK$44&gt;1,DS211=$N211),1-SUM($EE211:EJ211),
IF($N211&lt;=1,
IF($N211&gt;0,1/$N211,0),
IF(EK$44=1,0,VDB(1,0,$N211,INT(EK$44-1-1),MIN($N211,INT(EK$44-1-1)+1),$DC211,IF($DD211="No",1,0))/
IF(DR211&gt;=INT($N211),$N211-INT($N211),1)))*
IF(EK$44=1,0,
IF(INT(DS211)=INT(DR211),DS211-DR211,INT(DS211)-DR211))+
IF($N211&lt;=1,
IF($N211&gt;0,1/$N211,0),VDB(1,0,$N211,INT(EK$44-1),MIN($N211,INT(EK$44-1)+1),$DC211,IF($DD211="No",1,0))/
IF(DS211&gt;INT($N211),$N211-INT($N211),1))*
IF(EK$44=1,DS211,
IF(INT(DS211)=INT(DR211),0,DS211-INT(DS211)))))</f>
        <v>0</v>
      </c>
      <c r="EL211" s="835">
        <f>+IF(DT211=DS211,0,
IF(AND(EL$44&gt;1,DT211=$N211),1-SUM($EE211:EK211),
IF($N211&lt;=1,
IF($N211&gt;0,1/$N211,0),
IF(EL$44=1,0,VDB(1,0,$N211,INT(EL$44-1-1),MIN($N211,INT(EL$44-1-1)+1),$DC211,IF($DD211="No",1,0))/
IF(DS211&gt;=INT($N211),$N211-INT($N211),1)))*
IF(EL$44=1,0,
IF(INT(DT211)=INT(DS211),DT211-DS211,INT(DT211)-DS211))+
IF($N211&lt;=1,
IF($N211&gt;0,1/$N211,0),VDB(1,0,$N211,INT(EL$44-1),MIN($N211,INT(EL$44-1)+1),$DC211,IF($DD211="No",1,0))/
IF(DT211&gt;INT($N211),$N211-INT($N211),1))*
IF(EL$44=1,DT211,
IF(INT(DT211)=INT(DS211),0,DT211-INT(DT211)))))</f>
        <v>0</v>
      </c>
      <c r="EM211" s="836">
        <f>+IF(DU211=DT211,0,
IF(AND(EM$44&gt;1,DU211=$N211),1-SUM($EE211:EL211),
IF($N211&lt;=1,
IF($N211&gt;0,1/$N211,0),
IF(EM$44=1,0,VDB(1,0,$N211,INT(EM$44-1-1),MIN($N211,INT(EM$44-1-1)+1),$DC211,IF($DD211="No",1,0))/
IF(DT211&gt;=INT($N211),$N211-INT($N211),1)))*
IF(EM$44=1,0,
IF(INT(DU211)=INT(DT211),DU211-DT211,INT(DU211)-DT211))+
IF($N211&lt;=1,
IF($N211&gt;0,1/$N211,0),VDB(1,0,$N211,INT(EM$44-1),MIN($N211,INT(EM$44-1)+1),$DC211,IF($DD211="No",1,0))/
IF(DU211&gt;INT($N211),$N211-INT($N211),1))*
IF(EM$44=1,DU211,
IF(INT(DU211)=INT(DT211),0,DU211-INT(DU211)))))</f>
        <v>0</v>
      </c>
      <c r="EN211" s="833"/>
      <c r="EO211" s="834">
        <f>+IF(OR(DW211=DV211,EO$44=1),0,
IF(AND(EO$44&gt;1,DW211=$N211),1-SUM($EN211:EN211),
IF($N211&lt;=1,
IF($N211&gt;0,1/$N211,0),
IF(EO$44=2,0,VDB(1,0,$N211,INT(EO$44-2-1),MIN($N211,INT(EO$44-2-1)+1),$DC211,IF($DD211="No",1,0))/
IF(DV211&gt;=INT($N211),$N211-INT($N211),1)))*
IF(EO$44=2,0,
IF(INT(DW211)=INT(DV211),DW211-DV211,INT(DW211)-DV211))+
IF($N211&lt;=1,
IF($N211&gt;0,1/$N211,0),VDB(1,0,$N211,INT(EO$44-2),MIN($N211,INT(EO$44-2)+1),$DC211,IF($DD211="No",1,0))/
IF(DW211&gt;INT($N211),$N211-INT($N211),1))*
IF(EO$44=2,DW211,
IF(INT(DW211)=INT(DV211),0,DW211-INT(DW211)))))</f>
        <v>0</v>
      </c>
      <c r="EP211" s="835">
        <f>+IF(OR(DX211=DW211,EP$44=1),0,
IF(AND(EP$44&gt;1,DX211=$N211),1-SUM($EN211:EO211),
IF($N211&lt;=1,
IF($N211&gt;0,1/$N211,0),
IF(EP$44=2,0,VDB(1,0,$N211,INT(EP$44-2-1),MIN($N211,INT(EP$44-2-1)+1),$DC211,IF($DD211="No",1,0))/
IF(DW211&gt;=INT($N211),$N211-INT($N211),1)))*
IF(EP$44=2,0,
IF(INT(DX211)=INT(DW211),DX211-DW211,INT(DX211)-DW211))+
IF($N211&lt;=1,
IF($N211&gt;0,1/$N211,0),VDB(1,0,$N211,INT(EP$44-2),MIN($N211,INT(EP$44-2)+1),$DC211,IF($DD211="No",1,0))/
IF(DX211&gt;INT($N211),$N211-INT($N211),1))*
IF(EP$44=2,DX211,
IF(INT(DX211)=INT(DW211),0,DX211-INT(DX211)))))</f>
        <v>0</v>
      </c>
      <c r="EQ211" s="836">
        <f>+IF(OR(DY211=DX211,EQ$44=1),0,
IF(AND(EQ$44&gt;1,DY211=$N211),1-SUM($EN211:EP211),
IF($N211&lt;=1,
IF($N211&gt;0,1/$N211,0),
IF(EQ$44=2,0,VDB(1,0,$N211,INT(EQ$44-2-1),MIN($N211,INT(EQ$44-2-1)+1),$DC211,IF($DD211="No",1,0))/
IF(DX211&gt;=INT($N211),$N211-INT($N211),1)))*
IF(EQ$44=2,0,
IF(INT(DY211)=INT(DX211),DY211-DX211,INT(DY211)-DX211))+
IF($N211&lt;=1,
IF($N211&gt;0,1/$N211,0),VDB(1,0,$N211,INT(EQ$44-2),MIN($N211,INT(EQ$44-2)+1),$DC211,IF($DD211="No",1,0))/
IF(DY211&gt;INT($N211),$N211-INT($N211),1))*
IF(EQ$44=2,DY211,
IF(INT(DY211)=INT(DX211),0,DY211-INT(DY211)))))</f>
        <v>0</v>
      </c>
      <c r="ER211" s="834">
        <f>+IF(OR(DZ211=DY211,ER$44=1),0,
IF(AND(ER$44&gt;1,DZ211=$N211),1-SUM($EN211:EQ211),
IF($N211&lt;=1,
IF($N211&gt;0,1/$N211,0),
IF(ER$44=2,0,VDB(1,0,$N211,INT(ER$44-2-1),MIN($N211,INT(ER$44-2-1)+1),$DC211,IF($DD211="No",1,0))/
IF(DY211&gt;=INT($N211),$N211-INT($N211),1)))*
IF(ER$44=2,0,
IF(INT(DZ211)=INT(DY211),DZ211-DY211,INT(DZ211)-DY211))+
IF($N211&lt;=1,
IF($N211&gt;0,1/$N211,0),VDB(1,0,$N211,INT(ER$44-2),MIN($N211,INT(ER$44-2)+1),$DC211,IF($DD211="No",1,0))/
IF(DZ211&gt;INT($N211),$N211-INT($N211),1))*
IF(ER$44=2,DZ211,
IF(INT(DZ211)=INT(DY211),0,DZ211-INT(DZ211)))))</f>
        <v>0</v>
      </c>
      <c r="ES211" s="835">
        <f>+IF(OR(EA211=DZ211,ES$44=1),0,
IF(AND(ES$44&gt;1,EA211=$N211),1-SUM($EN211:ER211),
IF($N211&lt;=1,
IF($N211&gt;0,1/$N211,0),
IF(ES$44=2,0,VDB(1,0,$N211,INT(ES$44-2-1),MIN($N211,INT(ES$44-2-1)+1),$DC211,IF($DD211="No",1,0))/
IF(DZ211&gt;=INT($N211),$N211-INT($N211),1)))*
IF(ES$44=2,0,
IF(INT(EA211)=INT(DZ211),EA211-DZ211,INT(EA211)-DZ211))+
IF($N211&lt;=1,
IF($N211&gt;0,1/$N211,0),VDB(1,0,$N211,INT(ES$44-2),MIN($N211,INT(ES$44-2)+1),$DC211,IF($DD211="No",1,0))/
IF(EA211&gt;INT($N211),$N211-INT($N211),1))*
IF(ES$44=2,EA211,
IF(INT(EA211)=INT(DZ211),0,EA211-INT(EA211)))))</f>
        <v>0</v>
      </c>
      <c r="ET211" s="835">
        <f>+IF(OR(EB211=EA211,ET$44=1),0,
IF(AND(ET$44&gt;1,EB211=$N211),1-SUM($EN211:ES211),
IF($N211&lt;=1,
IF($N211&gt;0,1/$N211,0),
IF(ET$44=2,0,VDB(1,0,$N211,INT(ET$44-2-1),MIN($N211,INT(ET$44-2-1)+1),$DC211,IF($DD211="No",1,0))/
IF(EA211&gt;=INT($N211),$N211-INT($N211),1)))*
IF(ET$44=2,0,
IF(INT(EB211)=INT(EA211),EB211-EA211,INT(EB211)-EA211))+
IF($N211&lt;=1,
IF($N211&gt;0,1/$N211,0),VDB(1,0,$N211,INT(ET$44-2),MIN($N211,INT(ET$44-2)+1),$DC211,IF($DD211="No",1,0))/
IF(EB211&gt;INT($N211),$N211-INT($N211),1))*
IF(ET$44=2,EB211,
IF(INT(EB211)=INT(EA211),0,EB211-INT(EB211)))))</f>
        <v>0</v>
      </c>
      <c r="EU211" s="835">
        <f>+IF(OR(EC211=EB211,EU$44=1),0,
IF(AND(EU$44&gt;1,EC211=$N211),1-SUM($EN211:ET211),
IF($N211&lt;=1,
IF($N211&gt;0,1/$N211,0),
IF(EU$44=2,0,VDB(1,0,$N211,INT(EU$44-2-1),MIN($N211,INT(EU$44-2-1)+1),$DC211,IF($DD211="No",1,0))/
IF(EB211&gt;=INT($N211),$N211-INT($N211),1)))*
IF(EU$44=2,0,
IF(INT(EC211)=INT(EB211),EC211-EB211,INT(EC211)-EB211))+
IF($N211&lt;=1,
IF($N211&gt;0,1/$N211,0),VDB(1,0,$N211,INT(EU$44-2),MIN($N211,INT(EU$44-2)+1),$DC211,IF($DD211="No",1,0))/
IF(EC211&gt;INT($N211),$N211-INT($N211),1))*
IF(EU$44=2,EC211,
IF(INT(EC211)=INT(EB211),0,EC211-INT(EC211)))))</f>
        <v>0</v>
      </c>
      <c r="EV211" s="836">
        <f>+IF(OR(ED211=EC211,EV$44=1),0,
IF(AND(EV$44&gt;1,ED211=$N211),1-SUM($EN211:EU211),
IF($N211&lt;=1,
IF($N211&gt;0,1/$N211,0),
IF(EV$44=2,0,VDB(1,0,$N211,INT(EV$44-2-1),MIN($N211,INT(EV$44-2-1)+1),$DC211,IF($DD211="No",1,0))/
IF(EC211&gt;=INT($N211),$N211-INT($N211),1)))*
IF(EV$44=2,0,
IF(INT(ED211)=INT(EC211),ED211-EC211,INT(ED211)-EC211))+
IF($N211&lt;=1,
IF($N211&gt;0,1/$N211,0),VDB(1,0,$N211,INT(EV$44-2),MIN($N211,INT(EV$44-2)+1),$DC211,IF($DD211="No",1,0))/
IF(ED211&gt;INT($N211),$N211-INT($N211),1))*
IF(EV$44=2,ED211,
IF(INT(ED211)=INT(EC211),0,ED211-INT(ED211)))))</f>
        <v>0</v>
      </c>
      <c r="EW211" s="833"/>
      <c r="EX211" s="834">
        <f t="shared" ca="1" si="360"/>
        <v>0</v>
      </c>
      <c r="EY211" s="835">
        <f t="shared" ca="1" si="360"/>
        <v>0</v>
      </c>
      <c r="EZ211" s="836">
        <f t="shared" ca="1" si="360"/>
        <v>0</v>
      </c>
      <c r="FA211" s="834">
        <f t="shared" ca="1" si="360"/>
        <v>0</v>
      </c>
      <c r="FB211" s="835">
        <f t="shared" ca="1" si="360"/>
        <v>0</v>
      </c>
      <c r="FC211" s="835">
        <f t="shared" ca="1" si="360"/>
        <v>0</v>
      </c>
      <c r="FD211" s="835">
        <f t="shared" ca="1" si="360"/>
        <v>0</v>
      </c>
      <c r="FE211" s="836">
        <f t="shared" ca="1" si="360"/>
        <v>0</v>
      </c>
      <c r="FG211" s="386">
        <f t="shared" ca="1" si="351"/>
        <v>0</v>
      </c>
      <c r="FH211" s="387">
        <f t="shared" ca="1" si="352"/>
        <v>0</v>
      </c>
      <c r="FI211" s="388">
        <f t="shared" ca="1" si="353"/>
        <v>0</v>
      </c>
      <c r="FJ211" s="386">
        <f t="shared" ca="1" si="354"/>
        <v>0</v>
      </c>
      <c r="FK211" s="387">
        <f t="shared" ca="1" si="355"/>
        <v>0</v>
      </c>
      <c r="FL211" s="387">
        <f t="shared" ca="1" si="356"/>
        <v>0</v>
      </c>
      <c r="FM211" s="387">
        <f t="shared" ca="1" si="357"/>
        <v>0</v>
      </c>
      <c r="FN211" s="388">
        <f t="shared" ca="1" si="358"/>
        <v>0</v>
      </c>
      <c r="FR211" s="116"/>
    </row>
    <row r="212" spans="2:174">
      <c r="B212" s="1410">
        <f t="shared" si="359"/>
        <v>166</v>
      </c>
      <c r="C212" s="400"/>
      <c r="D212" s="410"/>
      <c r="E212" s="402"/>
      <c r="F212" s="402"/>
      <c r="G212" s="400"/>
      <c r="H212" s="2088"/>
      <c r="I212" s="2089"/>
      <c r="J212" s="411"/>
      <c r="K212" s="403"/>
      <c r="L212" s="403"/>
      <c r="M212" s="403"/>
      <c r="N212" s="403"/>
      <c r="O212" s="347"/>
      <c r="P212" s="347"/>
      <c r="Q212" s="1021"/>
      <c r="R212" s="1022"/>
      <c r="S212" s="1022"/>
      <c r="T212" s="1022"/>
      <c r="U212" s="1023"/>
      <c r="V212" s="1021"/>
      <c r="W212" s="1022"/>
      <c r="X212" s="1022"/>
      <c r="Y212" s="1022"/>
      <c r="Z212" s="1023"/>
      <c r="AA212" s="1024"/>
      <c r="AB212" s="1021"/>
      <c r="AC212" s="1022"/>
      <c r="AD212" s="1022"/>
      <c r="AE212" s="1022"/>
      <c r="AF212" s="1023"/>
      <c r="AG212" s="1021"/>
      <c r="AH212" s="1022"/>
      <c r="AI212" s="1022"/>
      <c r="AJ212" s="1022"/>
      <c r="AK212" s="1023"/>
      <c r="AL212" s="1024"/>
      <c r="AM212" s="1021"/>
      <c r="AN212" s="1022"/>
      <c r="AO212" s="1022"/>
      <c r="AP212" s="1022"/>
      <c r="AQ212" s="1023"/>
      <c r="AR212" s="1021"/>
      <c r="AS212" s="1022"/>
      <c r="AT212" s="1022"/>
      <c r="AU212" s="1022"/>
      <c r="AV212" s="1023"/>
      <c r="AW212" s="1025"/>
      <c r="AX212" s="1282">
        <f t="shared" si="304"/>
        <v>0</v>
      </c>
      <c r="AY212" s="387">
        <f t="shared" si="305"/>
        <v>0</v>
      </c>
      <c r="AZ212" s="387">
        <f t="shared" si="306"/>
        <v>0</v>
      </c>
      <c r="BA212" s="387">
        <f t="shared" si="307"/>
        <v>0</v>
      </c>
      <c r="BB212" s="1283">
        <f t="shared" si="308"/>
        <v>0</v>
      </c>
      <c r="BC212" s="386">
        <f t="shared" si="309"/>
        <v>0</v>
      </c>
      <c r="BD212" s="387">
        <f t="shared" si="310"/>
        <v>0</v>
      </c>
      <c r="BE212" s="1277">
        <f t="shared" si="311"/>
        <v>0</v>
      </c>
      <c r="BF212" s="1277">
        <f t="shared" si="312"/>
        <v>0</v>
      </c>
      <c r="BG212" s="388">
        <f t="shared" si="313"/>
        <v>0</v>
      </c>
      <c r="BH212" s="1025"/>
      <c r="BI212" s="1282">
        <f t="shared" ca="1" si="314"/>
        <v>0</v>
      </c>
      <c r="BJ212" s="387">
        <f t="shared" ca="1" si="315"/>
        <v>0</v>
      </c>
      <c r="BK212" s="387">
        <f t="shared" ca="1" si="316"/>
        <v>0</v>
      </c>
      <c r="BL212" s="387">
        <f t="shared" ca="1" si="317"/>
        <v>0</v>
      </c>
      <c r="BM212" s="1283">
        <f t="shared" ca="1" si="318"/>
        <v>0</v>
      </c>
      <c r="BN212" s="386">
        <f t="shared" ca="1" si="319"/>
        <v>0</v>
      </c>
      <c r="BO212" s="387">
        <f t="shared" ca="1" si="320"/>
        <v>0</v>
      </c>
      <c r="BP212" s="1277">
        <f t="shared" ca="1" si="321"/>
        <v>0</v>
      </c>
      <c r="BQ212" s="1277">
        <f t="shared" ca="1" si="322"/>
        <v>0</v>
      </c>
      <c r="BR212" s="388">
        <f t="shared" ca="1" si="323"/>
        <v>0</v>
      </c>
      <c r="BS212" s="1025"/>
      <c r="BT212" s="1282">
        <f>+IF($K212="Ongoing",AX212,IF(RIGHT($K212,2)=RIGHT(BT$43,2),SUM($AX212:AX212),0)+IF(RIGHT(BT$43,2)&gt;RIGHT($K212,2),AX212,0))</f>
        <v>0</v>
      </c>
      <c r="BU212" s="387">
        <f>+IF($K212="Ongoing",AY212,IF(RIGHT($K212,2)=RIGHT(BU$43,2),SUM($AX212:AY212),0)+IF(RIGHT(BU$43,2)&gt;RIGHT($K212,2),AY212,0))</f>
        <v>0</v>
      </c>
      <c r="BV212" s="387">
        <f>+IF($K212="Ongoing",AZ212,IF(RIGHT($K212,2)=RIGHT(BV$43,2),SUM($AX212:AZ212),0)+IF(RIGHT(BV$43,2)&gt;RIGHT($K212,2),AZ212,0))</f>
        <v>0</v>
      </c>
      <c r="BW212" s="387">
        <f>+IF($K212="Ongoing",BA212,IF(RIGHT($K212,2)=RIGHT(BW$43,2),SUM($AX212:BA212),0)+IF(RIGHT(BW$43,2)&gt;RIGHT($K212,2),BA212,0))</f>
        <v>0</v>
      </c>
      <c r="BX212" s="1283">
        <f>+IF($K212="Ongoing",BB212,IF(RIGHT($K212,2)=RIGHT(BX$43,2),SUM($AX212:BB212),0)+IF(RIGHT(BX$43,2)&gt;RIGHT($K212,2),BB212,0))</f>
        <v>0</v>
      </c>
      <c r="BY212" s="386">
        <f>+IF($K212="Ongoing",BC212,IF(RIGHT($K212,2)=RIGHT(BY$43,2),SUM($AX212:BC212),0)+IF(RIGHT(BY$43,2)&gt;RIGHT($K212,2),BC212,0))</f>
        <v>0</v>
      </c>
      <c r="BZ212" s="387">
        <f>+IF($K212="Ongoing",BD212,IF(RIGHT($K212,2)=RIGHT(BZ$43,2),SUM($AX212:BD212),0)+IF(RIGHT(BZ$43,2)&gt;RIGHT($K212,2),BD212,0))</f>
        <v>0</v>
      </c>
      <c r="CA212" s="1277">
        <f>+IF($K212="Ongoing",BE212,IF(RIGHT($K212,2)=RIGHT(CA$43,2),SUM($AX212:BE212),0)+IF(RIGHT(CA$43,2)&gt;RIGHT($K212,2),BE212,0))</f>
        <v>0</v>
      </c>
      <c r="CB212" s="1277">
        <f>+IF($K212="Ongoing",BF212,IF(RIGHT($K212,2)=RIGHT(CB$43,2),SUM($AX212:BF212),0)+IF(RIGHT(CB$43,2)&gt;RIGHT($K212,2),BF212,0))</f>
        <v>0</v>
      </c>
      <c r="CC212" s="388">
        <f>+IF($K212="Ongoing",BG212,IF(RIGHT($K212,2)=RIGHT(CC$43,2),SUM($AX212:BG212),0)+IF(RIGHT(CC$43,2)&gt;RIGHT($K212,2),BG212,0))</f>
        <v>0</v>
      </c>
      <c r="CD212" s="1025"/>
      <c r="CE212" s="1282">
        <f>+Q212*KeyAssumptionsPriceControl_FO!AF$15</f>
        <v>0</v>
      </c>
      <c r="CF212" s="387">
        <f>+R212*KeyAssumptionsPriceControl_FO!AG$15</f>
        <v>0</v>
      </c>
      <c r="CG212" s="387">
        <f>+S212*KeyAssumptionsPriceControl_FO!AH$15</f>
        <v>0</v>
      </c>
      <c r="CH212" s="387">
        <f>+T212*KeyAssumptionsPriceControl_FO!AI$15</f>
        <v>0</v>
      </c>
      <c r="CI212" s="1283">
        <f>+U212*KeyAssumptionsPriceControl_FO!AJ$15</f>
        <v>0</v>
      </c>
      <c r="CJ212" s="386">
        <f>+V212*KeyAssumptionsPriceControl_FO!AK$15</f>
        <v>0</v>
      </c>
      <c r="CK212" s="387">
        <f>+W212*KeyAssumptionsPriceControl_FO!AL$15</f>
        <v>0</v>
      </c>
      <c r="CL212" s="1277">
        <f>+X212*KeyAssumptionsPriceControl_FO!AM$15</f>
        <v>0</v>
      </c>
      <c r="CM212" s="1277">
        <f>+Y212*KeyAssumptionsPriceControl_FO!AN$15</f>
        <v>0</v>
      </c>
      <c r="CN212" s="388">
        <f>+Z212*KeyAssumptionsPriceControl_FO!AO$15</f>
        <v>0</v>
      </c>
      <c r="CO212" s="1025"/>
      <c r="CP212" s="1282">
        <f t="shared" ca="1" si="324"/>
        <v>0</v>
      </c>
      <c r="CQ212" s="387">
        <f t="shared" ca="1" si="325"/>
        <v>0</v>
      </c>
      <c r="CR212" s="387">
        <f t="shared" ca="1" si="326"/>
        <v>0</v>
      </c>
      <c r="CS212" s="387">
        <f t="shared" ca="1" si="327"/>
        <v>0</v>
      </c>
      <c r="CT212" s="1283">
        <f t="shared" ca="1" si="328"/>
        <v>0</v>
      </c>
      <c r="CU212" s="386">
        <f t="shared" ca="1" si="329"/>
        <v>0</v>
      </c>
      <c r="CV212" s="387">
        <f t="shared" ca="1" si="330"/>
        <v>0</v>
      </c>
      <c r="CW212" s="1277">
        <f t="shared" ca="1" si="331"/>
        <v>0</v>
      </c>
      <c r="CX212" s="1277">
        <f t="shared" ca="1" si="332"/>
        <v>0</v>
      </c>
      <c r="CY212" s="388">
        <f t="shared" ca="1" si="333"/>
        <v>0</v>
      </c>
      <c r="CZ212" s="347"/>
      <c r="DA212" s="852"/>
      <c r="DB212" s="347"/>
      <c r="DC212" s="1012" t="s">
        <v>733</v>
      </c>
      <c r="DD212" s="841" t="s">
        <v>518</v>
      </c>
      <c r="DE212" s="386">
        <f>+IF($K212="ongoing",CE212,IF(RIGHT($K212,2)=RIGHT(DE$43,2),SUM($CD212:CE212),0)+IF(RIGHT(DE$43,2)&gt;RIGHT($K212,2),CE212,0))</f>
        <v>0</v>
      </c>
      <c r="DF212" s="387">
        <f>+IF($K212="ongoing",CF212,IF(RIGHT($K212,2)=RIGHT(DF$43,2),SUM($CD212:CF212),0)+IF(RIGHT(DF$43,2)&gt;RIGHT($K212,2),CF212,0))</f>
        <v>0</v>
      </c>
      <c r="DG212" s="388">
        <f>+IF($K212="ongoing",CG212,IF(RIGHT($K212,2)=RIGHT(DG$43,2),SUM($CD212:CG212),0)+IF(RIGHT(DG$43,2)&gt;RIGHT($K212,2),CG212,0))</f>
        <v>0</v>
      </c>
      <c r="DH212" s="386">
        <f>+IF($K212="ongoing",CH212,IF(RIGHT($K212,2)=RIGHT(DH$43,2),SUM($CD212:CH212),0)+IF(RIGHT(DH$43,2)&gt;RIGHT($K212,2),CH212,0))</f>
        <v>0</v>
      </c>
      <c r="DI212" s="387">
        <f>+IF($K212="ongoing",CI212,IF(RIGHT($K212,2)=RIGHT(DI$43,2),SUM($CD212:CI212),0)+IF(RIGHT(DI$43,2)&gt;RIGHT($K212,2),CI212,0))</f>
        <v>0</v>
      </c>
      <c r="DJ212" s="387">
        <f>+IF($K212="ongoing",CJ212,IF(RIGHT($K212,2)=RIGHT(DJ$43,2),SUM($CD212:CJ212),0)+IF(RIGHT(DJ$43,2)&gt;RIGHT($K212,2),CJ212,0))</f>
        <v>0</v>
      </c>
      <c r="DK212" s="387">
        <f>+IF($K212="ongoing",CK212,IF(RIGHT($K212,2)=RIGHT(DK$43,2),SUM($CD212:CK212),0)+IF(RIGHT(DK$43,2)&gt;RIGHT($K212,2),CK212,0))</f>
        <v>0</v>
      </c>
      <c r="DL212" s="388">
        <f>+IF($K212="ongoing",CN212,IF(RIGHT($K212,2)=RIGHT(DL$43,2),SUM($CD212:CN212),0)+IF(RIGHT(DL$43,2)&gt;RIGHT($K212,2),CN212,0))</f>
        <v>0</v>
      </c>
      <c r="DM212" s="841"/>
      <c r="DN212" s="386">
        <f t="shared" si="334"/>
        <v>0.5</v>
      </c>
      <c r="DO212" s="387">
        <f t="shared" si="335"/>
        <v>1</v>
      </c>
      <c r="DP212" s="388">
        <f t="shared" si="336"/>
        <v>1</v>
      </c>
      <c r="DQ212" s="386">
        <f t="shared" si="337"/>
        <v>1</v>
      </c>
      <c r="DR212" s="387">
        <f t="shared" si="338"/>
        <v>1</v>
      </c>
      <c r="DS212" s="387">
        <f t="shared" si="339"/>
        <v>1</v>
      </c>
      <c r="DT212" s="387">
        <f t="shared" si="340"/>
        <v>1</v>
      </c>
      <c r="DU212" s="388">
        <f t="shared" si="341"/>
        <v>1</v>
      </c>
      <c r="DW212" s="386">
        <f t="shared" si="342"/>
        <v>0</v>
      </c>
      <c r="DX212" s="387">
        <f t="shared" si="343"/>
        <v>0.5</v>
      </c>
      <c r="DY212" s="388">
        <f t="shared" si="344"/>
        <v>1</v>
      </c>
      <c r="DZ212" s="386">
        <f t="shared" si="345"/>
        <v>1</v>
      </c>
      <c r="EA212" s="387">
        <f t="shared" si="346"/>
        <v>1</v>
      </c>
      <c r="EB212" s="387">
        <f t="shared" si="347"/>
        <v>1</v>
      </c>
      <c r="EC212" s="387">
        <f t="shared" si="348"/>
        <v>1</v>
      </c>
      <c r="ED212" s="388">
        <f t="shared" si="349"/>
        <v>1</v>
      </c>
      <c r="EF212" s="834">
        <f>+IF(DN212=DM212,0,
IF(AND(EF$44&gt;1,DN212=$N212),1-SUM($EE212:EE212),
IF($N212&lt;=1,
IF($N212&gt;0,1/$N212,0),
IF(EF$44=1,0,VDB(1,0,$N212,INT(EF$44-1-1),MIN($N212,INT(EF$44-1-1)+1),$DC212,IF($DD212="No",1,0))/
IF(DM212&gt;=INT($N212),$N212-INT($N212),1)))*
IF(EF$44=1,0,
IF(INT(DN212)=INT(DM212),DN212-DM212,INT(DN212)-DM212))+
IF($N212&lt;=1,
IF($N212&gt;0,1/$N212,0),VDB(1,0,$N212,INT(EF$44-1),MIN($N212,INT(EF$44-1)+1),$DC212,IF($DD212="No",1,0))/
IF(DN212&gt;INT($N212),$N212-INT($N212),1))*
IF(EF$44=1,DN212,
IF(INT(DN212)=INT(DM212),0,DN212-INT(DN212)))))</f>
        <v>0</v>
      </c>
      <c r="EG212" s="835">
        <f>+IF(DO212=DN212,0,
IF(AND(EG$44&gt;1,DO212=$N212),1-SUM($EE212:EF212),
IF($N212&lt;=1,
IF($N212&gt;0,1/$N212,0),
IF(EG$44=1,0,VDB(1,0,$N212,INT(EG$44-1-1),MIN($N212,INT(EG$44-1-1)+1),$DC212,IF($DD212="No",1,0))/
IF(DN212&gt;=INT($N212),$N212-INT($N212),1)))*
IF(EG$44=1,0,
IF(INT(DO212)=INT(DN212),DO212-DN212,INT(DO212)-DN212))+
IF($N212&lt;=1,
IF($N212&gt;0,1/$N212,0),VDB(1,0,$N212,INT(EG$44-1),MIN($N212,INT(EG$44-1)+1),$DC212,IF($DD212="No",1,0))/
IF(DO212&gt;INT($N212),$N212-INT($N212),1))*
IF(EG$44=1,DO212,
IF(INT(DO212)=INT(DN212),0,DO212-INT(DO212)))))</f>
        <v>0</v>
      </c>
      <c r="EH212" s="836">
        <f>+IF(DP212=DO212,0,
IF(AND(EH$44&gt;1,DP212=$N212),1-SUM($EE212:EG212),
IF($N212&lt;=1,
IF($N212&gt;0,1/$N212,0),
IF(EH$44=1,0,VDB(1,0,$N212,INT(EH$44-1-1),MIN($N212,INT(EH$44-1-1)+1),$DC212,IF($DD212="No",1,0))/
IF(DO212&gt;=INT($N212),$N212-INT($N212),1)))*
IF(EH$44=1,0,
IF(INT(DP212)=INT(DO212),DP212-DO212,INT(DP212)-DO212))+
IF($N212&lt;=1,
IF($N212&gt;0,1/$N212,0),VDB(1,0,$N212,INT(EH$44-1),MIN($N212,INT(EH$44-1)+1),$DC212,IF($DD212="No",1,0))/
IF(DP212&gt;INT($N212),$N212-INT($N212),1))*
IF(EH$44=1,DP212,
IF(INT(DP212)=INT(DO212),0,DP212-INT(DP212)))))</f>
        <v>0</v>
      </c>
      <c r="EI212" s="834">
        <f>+IF(DQ212=DP212,0,
IF(AND(EI$44&gt;1,DQ212=$N212),1-SUM($EE212:EH212),
IF($N212&lt;=1,
IF($N212&gt;0,1/$N212,0),
IF(EI$44=1,0,VDB(1,0,$N212,INT(EI$44-1-1),MIN($N212,INT(EI$44-1-1)+1),$DC212,IF($DD212="No",1,0))/
IF(DP212&gt;=INT($N212),$N212-INT($N212),1)))*
IF(EI$44=1,0,
IF(INT(DQ212)=INT(DP212),DQ212-DP212,INT(DQ212)-DP212))+
IF($N212&lt;=1,
IF($N212&gt;0,1/$N212,0),VDB(1,0,$N212,INT(EI$44-1),MIN($N212,INT(EI$44-1)+1),$DC212,IF($DD212="No",1,0))/
IF(DQ212&gt;INT($N212),$N212-INT($N212),1))*
IF(EI$44=1,DQ212,
IF(INT(DQ212)=INT(DP212),0,DQ212-INT(DQ212)))))</f>
        <v>0</v>
      </c>
      <c r="EJ212" s="835">
        <f>+IF(DR212=DQ212,0,
IF(AND(EJ$44&gt;1,DR212=$N212),1-SUM($EE212:EI212),
IF($N212&lt;=1,
IF($N212&gt;0,1/$N212,0),
IF(EJ$44=1,0,VDB(1,0,$N212,INT(EJ$44-1-1),MIN($N212,INT(EJ$44-1-1)+1),$DC212,IF($DD212="No",1,0))/
IF(DQ212&gt;=INT($N212),$N212-INT($N212),1)))*
IF(EJ$44=1,0,
IF(INT(DR212)=INT(DQ212),DR212-DQ212,INT(DR212)-DQ212))+
IF($N212&lt;=1,
IF($N212&gt;0,1/$N212,0),VDB(1,0,$N212,INT(EJ$44-1),MIN($N212,INT(EJ$44-1)+1),$DC212,IF($DD212="No",1,0))/
IF(DR212&gt;INT($N212),$N212-INT($N212),1))*
IF(EJ$44=1,DR212,
IF(INT(DR212)=INT(DQ212),0,DR212-INT(DR212)))))</f>
        <v>0</v>
      </c>
      <c r="EK212" s="835">
        <f>+IF(DS212=DR212,0,
IF(AND(EK$44&gt;1,DS212=$N212),1-SUM($EE212:EJ212),
IF($N212&lt;=1,
IF($N212&gt;0,1/$N212,0),
IF(EK$44=1,0,VDB(1,0,$N212,INT(EK$44-1-1),MIN($N212,INT(EK$44-1-1)+1),$DC212,IF($DD212="No",1,0))/
IF(DR212&gt;=INT($N212),$N212-INT($N212),1)))*
IF(EK$44=1,0,
IF(INT(DS212)=INT(DR212),DS212-DR212,INT(DS212)-DR212))+
IF($N212&lt;=1,
IF($N212&gt;0,1/$N212,0),VDB(1,0,$N212,INT(EK$44-1),MIN($N212,INT(EK$44-1)+1),$DC212,IF($DD212="No",1,0))/
IF(DS212&gt;INT($N212),$N212-INT($N212),1))*
IF(EK$44=1,DS212,
IF(INT(DS212)=INT(DR212),0,DS212-INT(DS212)))))</f>
        <v>0</v>
      </c>
      <c r="EL212" s="835">
        <f>+IF(DT212=DS212,0,
IF(AND(EL$44&gt;1,DT212=$N212),1-SUM($EE212:EK212),
IF($N212&lt;=1,
IF($N212&gt;0,1/$N212,0),
IF(EL$44=1,0,VDB(1,0,$N212,INT(EL$44-1-1),MIN($N212,INT(EL$44-1-1)+1),$DC212,IF($DD212="No",1,0))/
IF(DS212&gt;=INT($N212),$N212-INT($N212),1)))*
IF(EL$44=1,0,
IF(INT(DT212)=INT(DS212),DT212-DS212,INT(DT212)-DS212))+
IF($N212&lt;=1,
IF($N212&gt;0,1/$N212,0),VDB(1,0,$N212,INT(EL$44-1),MIN($N212,INT(EL$44-1)+1),$DC212,IF($DD212="No",1,0))/
IF(DT212&gt;INT($N212),$N212-INT($N212),1))*
IF(EL$44=1,DT212,
IF(INT(DT212)=INT(DS212),0,DT212-INT(DT212)))))</f>
        <v>0</v>
      </c>
      <c r="EM212" s="836">
        <f>+IF(DU212=DT212,0,
IF(AND(EM$44&gt;1,DU212=$N212),1-SUM($EE212:EL212),
IF($N212&lt;=1,
IF($N212&gt;0,1/$N212,0),
IF(EM$44=1,0,VDB(1,0,$N212,INT(EM$44-1-1),MIN($N212,INT(EM$44-1-1)+1),$DC212,IF($DD212="No",1,0))/
IF(DT212&gt;=INT($N212),$N212-INT($N212),1)))*
IF(EM$44=1,0,
IF(INT(DU212)=INT(DT212),DU212-DT212,INT(DU212)-DT212))+
IF($N212&lt;=1,
IF($N212&gt;0,1/$N212,0),VDB(1,0,$N212,INT(EM$44-1),MIN($N212,INT(EM$44-1)+1),$DC212,IF($DD212="No",1,0))/
IF(DU212&gt;INT($N212),$N212-INT($N212),1))*
IF(EM$44=1,DU212,
IF(INT(DU212)=INT(DT212),0,DU212-INT(DU212)))))</f>
        <v>0</v>
      </c>
      <c r="EN212" s="833"/>
      <c r="EO212" s="834">
        <f>+IF(OR(DW212=DV212,EO$44=1),0,
IF(AND(EO$44&gt;1,DW212=$N212),1-SUM($EN212:EN212),
IF($N212&lt;=1,
IF($N212&gt;0,1/$N212,0),
IF(EO$44=2,0,VDB(1,0,$N212,INT(EO$44-2-1),MIN($N212,INT(EO$44-2-1)+1),$DC212,IF($DD212="No",1,0))/
IF(DV212&gt;=INT($N212),$N212-INT($N212),1)))*
IF(EO$44=2,0,
IF(INT(DW212)=INT(DV212),DW212-DV212,INT(DW212)-DV212))+
IF($N212&lt;=1,
IF($N212&gt;0,1/$N212,0),VDB(1,0,$N212,INT(EO$44-2),MIN($N212,INT(EO$44-2)+1),$DC212,IF($DD212="No",1,0))/
IF(DW212&gt;INT($N212),$N212-INT($N212),1))*
IF(EO$44=2,DW212,
IF(INT(DW212)=INT(DV212),0,DW212-INT(DW212)))))</f>
        <v>0</v>
      </c>
      <c r="EP212" s="835">
        <f>+IF(OR(DX212=DW212,EP$44=1),0,
IF(AND(EP$44&gt;1,DX212=$N212),1-SUM($EN212:EO212),
IF($N212&lt;=1,
IF($N212&gt;0,1/$N212,0),
IF(EP$44=2,0,VDB(1,0,$N212,INT(EP$44-2-1),MIN($N212,INT(EP$44-2-1)+1),$DC212,IF($DD212="No",1,0))/
IF(DW212&gt;=INT($N212),$N212-INT($N212),1)))*
IF(EP$44=2,0,
IF(INT(DX212)=INT(DW212),DX212-DW212,INT(DX212)-DW212))+
IF($N212&lt;=1,
IF($N212&gt;0,1/$N212,0),VDB(1,0,$N212,INT(EP$44-2),MIN($N212,INT(EP$44-2)+1),$DC212,IF($DD212="No",1,0))/
IF(DX212&gt;INT($N212),$N212-INT($N212),1))*
IF(EP$44=2,DX212,
IF(INT(DX212)=INT(DW212),0,DX212-INT(DX212)))))</f>
        <v>0</v>
      </c>
      <c r="EQ212" s="836">
        <f>+IF(OR(DY212=DX212,EQ$44=1),0,
IF(AND(EQ$44&gt;1,DY212=$N212),1-SUM($EN212:EP212),
IF($N212&lt;=1,
IF($N212&gt;0,1/$N212,0),
IF(EQ$44=2,0,VDB(1,0,$N212,INT(EQ$44-2-1),MIN($N212,INT(EQ$44-2-1)+1),$DC212,IF($DD212="No",1,0))/
IF(DX212&gt;=INT($N212),$N212-INT($N212),1)))*
IF(EQ$44=2,0,
IF(INT(DY212)=INT(DX212),DY212-DX212,INT(DY212)-DX212))+
IF($N212&lt;=1,
IF($N212&gt;0,1/$N212,0),VDB(1,0,$N212,INT(EQ$44-2),MIN($N212,INT(EQ$44-2)+1),$DC212,IF($DD212="No",1,0))/
IF(DY212&gt;INT($N212),$N212-INT($N212),1))*
IF(EQ$44=2,DY212,
IF(INT(DY212)=INT(DX212),0,DY212-INT(DY212)))))</f>
        <v>0</v>
      </c>
      <c r="ER212" s="834">
        <f>+IF(OR(DZ212=DY212,ER$44=1),0,
IF(AND(ER$44&gt;1,DZ212=$N212),1-SUM($EN212:EQ212),
IF($N212&lt;=1,
IF($N212&gt;0,1/$N212,0),
IF(ER$44=2,0,VDB(1,0,$N212,INT(ER$44-2-1),MIN($N212,INT(ER$44-2-1)+1),$DC212,IF($DD212="No",1,0))/
IF(DY212&gt;=INT($N212),$N212-INT($N212),1)))*
IF(ER$44=2,0,
IF(INT(DZ212)=INT(DY212),DZ212-DY212,INT(DZ212)-DY212))+
IF($N212&lt;=1,
IF($N212&gt;0,1/$N212,0),VDB(1,0,$N212,INT(ER$44-2),MIN($N212,INT(ER$44-2)+1),$DC212,IF($DD212="No",1,0))/
IF(DZ212&gt;INT($N212),$N212-INT($N212),1))*
IF(ER$44=2,DZ212,
IF(INT(DZ212)=INT(DY212),0,DZ212-INT(DZ212)))))</f>
        <v>0</v>
      </c>
      <c r="ES212" s="835">
        <f>+IF(OR(EA212=DZ212,ES$44=1),0,
IF(AND(ES$44&gt;1,EA212=$N212),1-SUM($EN212:ER212),
IF($N212&lt;=1,
IF($N212&gt;0,1/$N212,0),
IF(ES$44=2,0,VDB(1,0,$N212,INT(ES$44-2-1),MIN($N212,INT(ES$44-2-1)+1),$DC212,IF($DD212="No",1,0))/
IF(DZ212&gt;=INT($N212),$N212-INT($N212),1)))*
IF(ES$44=2,0,
IF(INT(EA212)=INT(DZ212),EA212-DZ212,INT(EA212)-DZ212))+
IF($N212&lt;=1,
IF($N212&gt;0,1/$N212,0),VDB(1,0,$N212,INT(ES$44-2),MIN($N212,INT(ES$44-2)+1),$DC212,IF($DD212="No",1,0))/
IF(EA212&gt;INT($N212),$N212-INT($N212),1))*
IF(ES$44=2,EA212,
IF(INT(EA212)=INT(DZ212),0,EA212-INT(EA212)))))</f>
        <v>0</v>
      </c>
      <c r="ET212" s="835">
        <f>+IF(OR(EB212=EA212,ET$44=1),0,
IF(AND(ET$44&gt;1,EB212=$N212),1-SUM($EN212:ES212),
IF($N212&lt;=1,
IF($N212&gt;0,1/$N212,0),
IF(ET$44=2,0,VDB(1,0,$N212,INT(ET$44-2-1),MIN($N212,INT(ET$44-2-1)+1),$DC212,IF($DD212="No",1,0))/
IF(EA212&gt;=INT($N212),$N212-INT($N212),1)))*
IF(ET$44=2,0,
IF(INT(EB212)=INT(EA212),EB212-EA212,INT(EB212)-EA212))+
IF($N212&lt;=1,
IF($N212&gt;0,1/$N212,0),VDB(1,0,$N212,INT(ET$44-2),MIN($N212,INT(ET$44-2)+1),$DC212,IF($DD212="No",1,0))/
IF(EB212&gt;INT($N212),$N212-INT($N212),1))*
IF(ET$44=2,EB212,
IF(INT(EB212)=INT(EA212),0,EB212-INT(EB212)))))</f>
        <v>0</v>
      </c>
      <c r="EU212" s="835">
        <f>+IF(OR(EC212=EB212,EU$44=1),0,
IF(AND(EU$44&gt;1,EC212=$N212),1-SUM($EN212:ET212),
IF($N212&lt;=1,
IF($N212&gt;0,1/$N212,0),
IF(EU$44=2,0,VDB(1,0,$N212,INT(EU$44-2-1),MIN($N212,INT(EU$44-2-1)+1),$DC212,IF($DD212="No",1,0))/
IF(EB212&gt;=INT($N212),$N212-INT($N212),1)))*
IF(EU$44=2,0,
IF(INT(EC212)=INT(EB212),EC212-EB212,INT(EC212)-EB212))+
IF($N212&lt;=1,
IF($N212&gt;0,1/$N212,0),VDB(1,0,$N212,INT(EU$44-2),MIN($N212,INT(EU$44-2)+1),$DC212,IF($DD212="No",1,0))/
IF(EC212&gt;INT($N212),$N212-INT($N212),1))*
IF(EU$44=2,EC212,
IF(INT(EC212)=INT(EB212),0,EC212-INT(EC212)))))</f>
        <v>0</v>
      </c>
      <c r="EV212" s="836">
        <f>+IF(OR(ED212=EC212,EV$44=1),0,
IF(AND(EV$44&gt;1,ED212=$N212),1-SUM($EN212:EU212),
IF($N212&lt;=1,
IF($N212&gt;0,1/$N212,0),
IF(EV$44=2,0,VDB(1,0,$N212,INT(EV$44-2-1),MIN($N212,INT(EV$44-2-1)+1),$DC212,IF($DD212="No",1,0))/
IF(EC212&gt;=INT($N212),$N212-INT($N212),1)))*
IF(EV$44=2,0,
IF(INT(ED212)=INT(EC212),ED212-EC212,INT(ED212)-EC212))+
IF($N212&lt;=1,
IF($N212&gt;0,1/$N212,0),VDB(1,0,$N212,INT(EV$44-2),MIN($N212,INT(EV$44-2)+1),$DC212,IF($DD212="No",1,0))/
IF(ED212&gt;INT($N212),$N212-INT($N212),1))*
IF(EV$44=2,ED212,
IF(INT(ED212)=INT(EC212),0,ED212-INT(ED212)))))</f>
        <v>0</v>
      </c>
      <c r="EW212" s="833"/>
      <c r="EX212" s="834">
        <f t="shared" ref="EX212:FE236" ca="1" si="361">+OFFSET($EO212,0,MAX($EX$44:$HY$44)-EX$44)</f>
        <v>0</v>
      </c>
      <c r="EY212" s="835">
        <f t="shared" ca="1" si="361"/>
        <v>0</v>
      </c>
      <c r="EZ212" s="836">
        <f t="shared" ca="1" si="361"/>
        <v>0</v>
      </c>
      <c r="FA212" s="834">
        <f t="shared" ca="1" si="361"/>
        <v>0</v>
      </c>
      <c r="FB212" s="835">
        <f t="shared" ca="1" si="361"/>
        <v>0</v>
      </c>
      <c r="FC212" s="835">
        <f t="shared" ca="1" si="361"/>
        <v>0</v>
      </c>
      <c r="FD212" s="835">
        <f t="shared" ca="1" si="361"/>
        <v>0</v>
      </c>
      <c r="FE212" s="836">
        <f t="shared" ca="1" si="361"/>
        <v>0</v>
      </c>
      <c r="FG212" s="386">
        <f t="shared" ca="1" si="351"/>
        <v>0</v>
      </c>
      <c r="FH212" s="387">
        <f t="shared" ca="1" si="352"/>
        <v>0</v>
      </c>
      <c r="FI212" s="388">
        <f t="shared" ca="1" si="353"/>
        <v>0</v>
      </c>
      <c r="FJ212" s="386">
        <f t="shared" ca="1" si="354"/>
        <v>0</v>
      </c>
      <c r="FK212" s="387">
        <f t="shared" ca="1" si="355"/>
        <v>0</v>
      </c>
      <c r="FL212" s="387">
        <f t="shared" ca="1" si="356"/>
        <v>0</v>
      </c>
      <c r="FM212" s="387">
        <f t="shared" ca="1" si="357"/>
        <v>0</v>
      </c>
      <c r="FN212" s="388">
        <f t="shared" ca="1" si="358"/>
        <v>0</v>
      </c>
      <c r="FR212" s="116"/>
    </row>
    <row r="213" spans="2:174">
      <c r="B213" s="1410">
        <f t="shared" si="359"/>
        <v>167</v>
      </c>
      <c r="C213" s="400"/>
      <c r="D213" s="410"/>
      <c r="E213" s="402"/>
      <c r="F213" s="402"/>
      <c r="G213" s="400"/>
      <c r="H213" s="2088"/>
      <c r="I213" s="2089"/>
      <c r="J213" s="411"/>
      <c r="K213" s="403"/>
      <c r="L213" s="403"/>
      <c r="M213" s="403"/>
      <c r="N213" s="403"/>
      <c r="O213" s="347"/>
      <c r="P213" s="347"/>
      <c r="Q213" s="1021"/>
      <c r="R213" s="1022"/>
      <c r="S213" s="1022"/>
      <c r="T213" s="1022"/>
      <c r="U213" s="1023"/>
      <c r="V213" s="1021"/>
      <c r="W213" s="1022"/>
      <c r="X213" s="1022"/>
      <c r="Y213" s="1022"/>
      <c r="Z213" s="1023"/>
      <c r="AA213" s="1024"/>
      <c r="AB213" s="1021"/>
      <c r="AC213" s="1022"/>
      <c r="AD213" s="1022"/>
      <c r="AE213" s="1022"/>
      <c r="AF213" s="1023"/>
      <c r="AG213" s="1021"/>
      <c r="AH213" s="1022"/>
      <c r="AI213" s="1022"/>
      <c r="AJ213" s="1022"/>
      <c r="AK213" s="1023"/>
      <c r="AL213" s="1024"/>
      <c r="AM213" s="1021"/>
      <c r="AN213" s="1022"/>
      <c r="AO213" s="1022"/>
      <c r="AP213" s="1022"/>
      <c r="AQ213" s="1023"/>
      <c r="AR213" s="1021"/>
      <c r="AS213" s="1022"/>
      <c r="AT213" s="1022"/>
      <c r="AU213" s="1022"/>
      <c r="AV213" s="1023"/>
      <c r="AW213" s="1025"/>
      <c r="AX213" s="1282">
        <f t="shared" si="304"/>
        <v>0</v>
      </c>
      <c r="AY213" s="387">
        <f t="shared" si="305"/>
        <v>0</v>
      </c>
      <c r="AZ213" s="387">
        <f t="shared" si="306"/>
        <v>0</v>
      </c>
      <c r="BA213" s="387">
        <f t="shared" si="307"/>
        <v>0</v>
      </c>
      <c r="BB213" s="1283">
        <f t="shared" si="308"/>
        <v>0</v>
      </c>
      <c r="BC213" s="386">
        <f t="shared" si="309"/>
        <v>0</v>
      </c>
      <c r="BD213" s="387">
        <f t="shared" si="310"/>
        <v>0</v>
      </c>
      <c r="BE213" s="1277">
        <f t="shared" si="311"/>
        <v>0</v>
      </c>
      <c r="BF213" s="1277">
        <f t="shared" si="312"/>
        <v>0</v>
      </c>
      <c r="BG213" s="388">
        <f t="shared" si="313"/>
        <v>0</v>
      </c>
      <c r="BH213" s="1025"/>
      <c r="BI213" s="1282">
        <f t="shared" ca="1" si="314"/>
        <v>0</v>
      </c>
      <c r="BJ213" s="387">
        <f t="shared" ca="1" si="315"/>
        <v>0</v>
      </c>
      <c r="BK213" s="387">
        <f t="shared" ca="1" si="316"/>
        <v>0</v>
      </c>
      <c r="BL213" s="387">
        <f t="shared" ca="1" si="317"/>
        <v>0</v>
      </c>
      <c r="BM213" s="1283">
        <f t="shared" ca="1" si="318"/>
        <v>0</v>
      </c>
      <c r="BN213" s="386">
        <f t="shared" ca="1" si="319"/>
        <v>0</v>
      </c>
      <c r="BO213" s="387">
        <f t="shared" ca="1" si="320"/>
        <v>0</v>
      </c>
      <c r="BP213" s="1277">
        <f t="shared" ca="1" si="321"/>
        <v>0</v>
      </c>
      <c r="BQ213" s="1277">
        <f t="shared" ca="1" si="322"/>
        <v>0</v>
      </c>
      <c r="BR213" s="388">
        <f t="shared" ca="1" si="323"/>
        <v>0</v>
      </c>
      <c r="BS213" s="1025"/>
      <c r="BT213" s="1282">
        <f>+IF($K213="Ongoing",AX213,IF(RIGHT($K213,2)=RIGHT(BT$43,2),SUM($AX213:AX213),0)+IF(RIGHT(BT$43,2)&gt;RIGHT($K213,2),AX213,0))</f>
        <v>0</v>
      </c>
      <c r="BU213" s="387">
        <f>+IF($K213="Ongoing",AY213,IF(RIGHT($K213,2)=RIGHT(BU$43,2),SUM($AX213:AY213),0)+IF(RIGHT(BU$43,2)&gt;RIGHT($K213,2),AY213,0))</f>
        <v>0</v>
      </c>
      <c r="BV213" s="387">
        <f>+IF($K213="Ongoing",AZ213,IF(RIGHT($K213,2)=RIGHT(BV$43,2),SUM($AX213:AZ213),0)+IF(RIGHT(BV$43,2)&gt;RIGHT($K213,2),AZ213,0))</f>
        <v>0</v>
      </c>
      <c r="BW213" s="387">
        <f>+IF($K213="Ongoing",BA213,IF(RIGHT($K213,2)=RIGHT(BW$43,2),SUM($AX213:BA213),0)+IF(RIGHT(BW$43,2)&gt;RIGHT($K213,2),BA213,0))</f>
        <v>0</v>
      </c>
      <c r="BX213" s="1283">
        <f>+IF($K213="Ongoing",BB213,IF(RIGHT($K213,2)=RIGHT(BX$43,2),SUM($AX213:BB213),0)+IF(RIGHT(BX$43,2)&gt;RIGHT($K213,2),BB213,0))</f>
        <v>0</v>
      </c>
      <c r="BY213" s="386">
        <f>+IF($K213="Ongoing",BC213,IF(RIGHT($K213,2)=RIGHT(BY$43,2),SUM($AX213:BC213),0)+IF(RIGHT(BY$43,2)&gt;RIGHT($K213,2),BC213,0))</f>
        <v>0</v>
      </c>
      <c r="BZ213" s="387">
        <f>+IF($K213="Ongoing",BD213,IF(RIGHT($K213,2)=RIGHT(BZ$43,2),SUM($AX213:BD213),0)+IF(RIGHT(BZ$43,2)&gt;RIGHT($K213,2),BD213,0))</f>
        <v>0</v>
      </c>
      <c r="CA213" s="1277">
        <f>+IF($K213="Ongoing",BE213,IF(RIGHT($K213,2)=RIGHT(CA$43,2),SUM($AX213:BE213),0)+IF(RIGHT(CA$43,2)&gt;RIGHT($K213,2),BE213,0))</f>
        <v>0</v>
      </c>
      <c r="CB213" s="1277">
        <f>+IF($K213="Ongoing",BF213,IF(RIGHT($K213,2)=RIGHT(CB$43,2),SUM($AX213:BF213),0)+IF(RIGHT(CB$43,2)&gt;RIGHT($K213,2),BF213,0))</f>
        <v>0</v>
      </c>
      <c r="CC213" s="388">
        <f>+IF($K213="Ongoing",BG213,IF(RIGHT($K213,2)=RIGHT(CC$43,2),SUM($AX213:BG213),0)+IF(RIGHT(CC$43,2)&gt;RIGHT($K213,2),BG213,0))</f>
        <v>0</v>
      </c>
      <c r="CD213" s="1025"/>
      <c r="CE213" s="1282">
        <f>+Q213*KeyAssumptionsPriceControl_FO!AF$15</f>
        <v>0</v>
      </c>
      <c r="CF213" s="387">
        <f>+R213*KeyAssumptionsPriceControl_FO!AG$15</f>
        <v>0</v>
      </c>
      <c r="CG213" s="387">
        <f>+S213*KeyAssumptionsPriceControl_FO!AH$15</f>
        <v>0</v>
      </c>
      <c r="CH213" s="387">
        <f>+T213*KeyAssumptionsPriceControl_FO!AI$15</f>
        <v>0</v>
      </c>
      <c r="CI213" s="1283">
        <f>+U213*KeyAssumptionsPriceControl_FO!AJ$15</f>
        <v>0</v>
      </c>
      <c r="CJ213" s="386">
        <f>+V213*KeyAssumptionsPriceControl_FO!AK$15</f>
        <v>0</v>
      </c>
      <c r="CK213" s="387">
        <f>+W213*KeyAssumptionsPriceControl_FO!AL$15</f>
        <v>0</v>
      </c>
      <c r="CL213" s="1277">
        <f>+X213*KeyAssumptionsPriceControl_FO!AM$15</f>
        <v>0</v>
      </c>
      <c r="CM213" s="1277">
        <f>+Y213*KeyAssumptionsPriceControl_FO!AN$15</f>
        <v>0</v>
      </c>
      <c r="CN213" s="388">
        <f>+Z213*KeyAssumptionsPriceControl_FO!AO$15</f>
        <v>0</v>
      </c>
      <c r="CO213" s="1025"/>
      <c r="CP213" s="1282">
        <f t="shared" ca="1" si="324"/>
        <v>0</v>
      </c>
      <c r="CQ213" s="387">
        <f t="shared" ca="1" si="325"/>
        <v>0</v>
      </c>
      <c r="CR213" s="387">
        <f t="shared" ca="1" si="326"/>
        <v>0</v>
      </c>
      <c r="CS213" s="387">
        <f t="shared" ca="1" si="327"/>
        <v>0</v>
      </c>
      <c r="CT213" s="1283">
        <f t="shared" ca="1" si="328"/>
        <v>0</v>
      </c>
      <c r="CU213" s="386">
        <f t="shared" ca="1" si="329"/>
        <v>0</v>
      </c>
      <c r="CV213" s="387">
        <f t="shared" ca="1" si="330"/>
        <v>0</v>
      </c>
      <c r="CW213" s="1277">
        <f t="shared" ca="1" si="331"/>
        <v>0</v>
      </c>
      <c r="CX213" s="1277">
        <f t="shared" ca="1" si="332"/>
        <v>0</v>
      </c>
      <c r="CY213" s="388">
        <f t="shared" ca="1" si="333"/>
        <v>0</v>
      </c>
      <c r="CZ213" s="347"/>
      <c r="DA213" s="852"/>
      <c r="DB213" s="347"/>
      <c r="DC213" s="1012" t="s">
        <v>734</v>
      </c>
      <c r="DD213" s="841" t="s">
        <v>518</v>
      </c>
      <c r="DE213" s="386">
        <f>+IF($K213="ongoing",CE213,IF(RIGHT($K213,2)=RIGHT(DE$43,2),SUM($CD213:CE213),0)+IF(RIGHT(DE$43,2)&gt;RIGHT($K213,2),CE213,0))</f>
        <v>0</v>
      </c>
      <c r="DF213" s="387">
        <f>+IF($K213="ongoing",CF213,IF(RIGHT($K213,2)=RIGHT(DF$43,2),SUM($CD213:CF213),0)+IF(RIGHT(DF$43,2)&gt;RIGHT($K213,2),CF213,0))</f>
        <v>0</v>
      </c>
      <c r="DG213" s="388">
        <f>+IF($K213="ongoing",CG213,IF(RIGHT($K213,2)=RIGHT(DG$43,2),SUM($CD213:CG213),0)+IF(RIGHT(DG$43,2)&gt;RIGHT($K213,2),CG213,0))</f>
        <v>0</v>
      </c>
      <c r="DH213" s="386">
        <f>+IF($K213="ongoing",CH213,IF(RIGHT($K213,2)=RIGHT(DH$43,2),SUM($CD213:CH213),0)+IF(RIGHT(DH$43,2)&gt;RIGHT($K213,2),CH213,0))</f>
        <v>0</v>
      </c>
      <c r="DI213" s="387">
        <f>+IF($K213="ongoing",CI213,IF(RIGHT($K213,2)=RIGHT(DI$43,2),SUM($CD213:CI213),0)+IF(RIGHT(DI$43,2)&gt;RIGHT($K213,2),CI213,0))</f>
        <v>0</v>
      </c>
      <c r="DJ213" s="387">
        <f>+IF($K213="ongoing",CJ213,IF(RIGHT($K213,2)=RIGHT(DJ$43,2),SUM($CD213:CJ213),0)+IF(RIGHT(DJ$43,2)&gt;RIGHT($K213,2),CJ213,0))</f>
        <v>0</v>
      </c>
      <c r="DK213" s="387">
        <f>+IF($K213="ongoing",CK213,IF(RIGHT($K213,2)=RIGHT(DK$43,2),SUM($CD213:CK213),0)+IF(RIGHT(DK$43,2)&gt;RIGHT($K213,2),CK213,0))</f>
        <v>0</v>
      </c>
      <c r="DL213" s="388">
        <f>+IF($K213="ongoing",CN213,IF(RIGHT($K213,2)=RIGHT(DL$43,2),SUM($CD213:CN213),0)+IF(RIGHT(DL$43,2)&gt;RIGHT($K213,2),CN213,0))</f>
        <v>0</v>
      </c>
      <c r="DM213" s="841"/>
      <c r="DN213" s="386">
        <f t="shared" si="334"/>
        <v>0.5</v>
      </c>
      <c r="DO213" s="387">
        <f t="shared" si="335"/>
        <v>1</v>
      </c>
      <c r="DP213" s="388">
        <f t="shared" si="336"/>
        <v>1</v>
      </c>
      <c r="DQ213" s="386">
        <f t="shared" si="337"/>
        <v>1</v>
      </c>
      <c r="DR213" s="387">
        <f t="shared" si="338"/>
        <v>1</v>
      </c>
      <c r="DS213" s="387">
        <f t="shared" si="339"/>
        <v>1</v>
      </c>
      <c r="DT213" s="387">
        <f t="shared" si="340"/>
        <v>1</v>
      </c>
      <c r="DU213" s="388">
        <f t="shared" si="341"/>
        <v>1</v>
      </c>
      <c r="DW213" s="386">
        <f t="shared" si="342"/>
        <v>0</v>
      </c>
      <c r="DX213" s="387">
        <f t="shared" si="343"/>
        <v>0.5</v>
      </c>
      <c r="DY213" s="388">
        <f t="shared" si="344"/>
        <v>1</v>
      </c>
      <c r="DZ213" s="386">
        <f t="shared" si="345"/>
        <v>1</v>
      </c>
      <c r="EA213" s="387">
        <f t="shared" si="346"/>
        <v>1</v>
      </c>
      <c r="EB213" s="387">
        <f t="shared" si="347"/>
        <v>1</v>
      </c>
      <c r="EC213" s="387">
        <f t="shared" si="348"/>
        <v>1</v>
      </c>
      <c r="ED213" s="388">
        <f t="shared" si="349"/>
        <v>1</v>
      </c>
      <c r="EF213" s="834">
        <f>+IF(DN213=DM213,0,
IF(AND(EF$44&gt;1,DN213=$N213),1-SUM($EE213:EE213),
IF($N213&lt;=1,
IF($N213&gt;0,1/$N213,0),
IF(EF$44=1,0,VDB(1,0,$N213,INT(EF$44-1-1),MIN($N213,INT(EF$44-1-1)+1),$DC213,IF($DD213="No",1,0))/
IF(DM213&gt;=INT($N213),$N213-INT($N213),1)))*
IF(EF$44=1,0,
IF(INT(DN213)=INT(DM213),DN213-DM213,INT(DN213)-DM213))+
IF($N213&lt;=1,
IF($N213&gt;0,1/$N213,0),VDB(1,0,$N213,INT(EF$44-1),MIN($N213,INT(EF$44-1)+1),$DC213,IF($DD213="No",1,0))/
IF(DN213&gt;INT($N213),$N213-INT($N213),1))*
IF(EF$44=1,DN213,
IF(INT(DN213)=INT(DM213),0,DN213-INT(DN213)))))</f>
        <v>0</v>
      </c>
      <c r="EG213" s="835">
        <f>+IF(DO213=DN213,0,
IF(AND(EG$44&gt;1,DO213=$N213),1-SUM($EE213:EF213),
IF($N213&lt;=1,
IF($N213&gt;0,1/$N213,0),
IF(EG$44=1,0,VDB(1,0,$N213,INT(EG$44-1-1),MIN($N213,INT(EG$44-1-1)+1),$DC213,IF($DD213="No",1,0))/
IF(DN213&gt;=INT($N213),$N213-INT($N213),1)))*
IF(EG$44=1,0,
IF(INT(DO213)=INT(DN213),DO213-DN213,INT(DO213)-DN213))+
IF($N213&lt;=1,
IF($N213&gt;0,1/$N213,0),VDB(1,0,$N213,INT(EG$44-1),MIN($N213,INT(EG$44-1)+1),$DC213,IF($DD213="No",1,0))/
IF(DO213&gt;INT($N213),$N213-INT($N213),1))*
IF(EG$44=1,DO213,
IF(INT(DO213)=INT(DN213),0,DO213-INT(DO213)))))</f>
        <v>0</v>
      </c>
      <c r="EH213" s="836">
        <f>+IF(DP213=DO213,0,
IF(AND(EH$44&gt;1,DP213=$N213),1-SUM($EE213:EG213),
IF($N213&lt;=1,
IF($N213&gt;0,1/$N213,0),
IF(EH$44=1,0,VDB(1,0,$N213,INT(EH$44-1-1),MIN($N213,INT(EH$44-1-1)+1),$DC213,IF($DD213="No",1,0))/
IF(DO213&gt;=INT($N213),$N213-INT($N213),1)))*
IF(EH$44=1,0,
IF(INT(DP213)=INT(DO213),DP213-DO213,INT(DP213)-DO213))+
IF($N213&lt;=1,
IF($N213&gt;0,1/$N213,0),VDB(1,0,$N213,INT(EH$44-1),MIN($N213,INT(EH$44-1)+1),$DC213,IF($DD213="No",1,0))/
IF(DP213&gt;INT($N213),$N213-INT($N213),1))*
IF(EH$44=1,DP213,
IF(INT(DP213)=INT(DO213),0,DP213-INT(DP213)))))</f>
        <v>0</v>
      </c>
      <c r="EI213" s="834">
        <f>+IF(DQ213=DP213,0,
IF(AND(EI$44&gt;1,DQ213=$N213),1-SUM($EE213:EH213),
IF($N213&lt;=1,
IF($N213&gt;0,1/$N213,0),
IF(EI$44=1,0,VDB(1,0,$N213,INT(EI$44-1-1),MIN($N213,INT(EI$44-1-1)+1),$DC213,IF($DD213="No",1,0))/
IF(DP213&gt;=INT($N213),$N213-INT($N213),1)))*
IF(EI$44=1,0,
IF(INT(DQ213)=INT(DP213),DQ213-DP213,INT(DQ213)-DP213))+
IF($N213&lt;=1,
IF($N213&gt;0,1/$N213,0),VDB(1,0,$N213,INT(EI$44-1),MIN($N213,INT(EI$44-1)+1),$DC213,IF($DD213="No",1,0))/
IF(DQ213&gt;INT($N213),$N213-INT($N213),1))*
IF(EI$44=1,DQ213,
IF(INT(DQ213)=INT(DP213),0,DQ213-INT(DQ213)))))</f>
        <v>0</v>
      </c>
      <c r="EJ213" s="835">
        <f>+IF(DR213=DQ213,0,
IF(AND(EJ$44&gt;1,DR213=$N213),1-SUM($EE213:EI213),
IF($N213&lt;=1,
IF($N213&gt;0,1/$N213,0),
IF(EJ$44=1,0,VDB(1,0,$N213,INT(EJ$44-1-1),MIN($N213,INT(EJ$44-1-1)+1),$DC213,IF($DD213="No",1,0))/
IF(DQ213&gt;=INT($N213),$N213-INT($N213),1)))*
IF(EJ$44=1,0,
IF(INT(DR213)=INT(DQ213),DR213-DQ213,INT(DR213)-DQ213))+
IF($N213&lt;=1,
IF($N213&gt;0,1/$N213,0),VDB(1,0,$N213,INT(EJ$44-1),MIN($N213,INT(EJ$44-1)+1),$DC213,IF($DD213="No",1,0))/
IF(DR213&gt;INT($N213),$N213-INT($N213),1))*
IF(EJ$44=1,DR213,
IF(INT(DR213)=INT(DQ213),0,DR213-INT(DR213)))))</f>
        <v>0</v>
      </c>
      <c r="EK213" s="835">
        <f>+IF(DS213=DR213,0,
IF(AND(EK$44&gt;1,DS213=$N213),1-SUM($EE213:EJ213),
IF($N213&lt;=1,
IF($N213&gt;0,1/$N213,0),
IF(EK$44=1,0,VDB(1,0,$N213,INT(EK$44-1-1),MIN($N213,INT(EK$44-1-1)+1),$DC213,IF($DD213="No",1,0))/
IF(DR213&gt;=INT($N213),$N213-INT($N213),1)))*
IF(EK$44=1,0,
IF(INT(DS213)=INT(DR213),DS213-DR213,INT(DS213)-DR213))+
IF($N213&lt;=1,
IF($N213&gt;0,1/$N213,0),VDB(1,0,$N213,INT(EK$44-1),MIN($N213,INT(EK$44-1)+1),$DC213,IF($DD213="No",1,0))/
IF(DS213&gt;INT($N213),$N213-INT($N213),1))*
IF(EK$44=1,DS213,
IF(INT(DS213)=INT(DR213),0,DS213-INT(DS213)))))</f>
        <v>0</v>
      </c>
      <c r="EL213" s="835">
        <f>+IF(DT213=DS213,0,
IF(AND(EL$44&gt;1,DT213=$N213),1-SUM($EE213:EK213),
IF($N213&lt;=1,
IF($N213&gt;0,1/$N213,0),
IF(EL$44=1,0,VDB(1,0,$N213,INT(EL$44-1-1),MIN($N213,INT(EL$44-1-1)+1),$DC213,IF($DD213="No",1,0))/
IF(DS213&gt;=INT($N213),$N213-INT($N213),1)))*
IF(EL$44=1,0,
IF(INT(DT213)=INT(DS213),DT213-DS213,INT(DT213)-DS213))+
IF($N213&lt;=1,
IF($N213&gt;0,1/$N213,0),VDB(1,0,$N213,INT(EL$44-1),MIN($N213,INT(EL$44-1)+1),$DC213,IF($DD213="No",1,0))/
IF(DT213&gt;INT($N213),$N213-INT($N213),1))*
IF(EL$44=1,DT213,
IF(INT(DT213)=INT(DS213),0,DT213-INT(DT213)))))</f>
        <v>0</v>
      </c>
      <c r="EM213" s="836">
        <f>+IF(DU213=DT213,0,
IF(AND(EM$44&gt;1,DU213=$N213),1-SUM($EE213:EL213),
IF($N213&lt;=1,
IF($N213&gt;0,1/$N213,0),
IF(EM$44=1,0,VDB(1,0,$N213,INT(EM$44-1-1),MIN($N213,INT(EM$44-1-1)+1),$DC213,IF($DD213="No",1,0))/
IF(DT213&gt;=INT($N213),$N213-INT($N213),1)))*
IF(EM$44=1,0,
IF(INT(DU213)=INT(DT213),DU213-DT213,INT(DU213)-DT213))+
IF($N213&lt;=1,
IF($N213&gt;0,1/$N213,0),VDB(1,0,$N213,INT(EM$44-1),MIN($N213,INT(EM$44-1)+1),$DC213,IF($DD213="No",1,0))/
IF(DU213&gt;INT($N213),$N213-INT($N213),1))*
IF(EM$44=1,DU213,
IF(INT(DU213)=INT(DT213),0,DU213-INT(DU213)))))</f>
        <v>0</v>
      </c>
      <c r="EN213" s="833"/>
      <c r="EO213" s="834">
        <f>+IF(OR(DW213=DV213,EO$44=1),0,
IF(AND(EO$44&gt;1,DW213=$N213),1-SUM($EN213:EN213),
IF($N213&lt;=1,
IF($N213&gt;0,1/$N213,0),
IF(EO$44=2,0,VDB(1,0,$N213,INT(EO$44-2-1),MIN($N213,INT(EO$44-2-1)+1),$DC213,IF($DD213="No",1,0))/
IF(DV213&gt;=INT($N213),$N213-INT($N213),1)))*
IF(EO$44=2,0,
IF(INT(DW213)=INT(DV213),DW213-DV213,INT(DW213)-DV213))+
IF($N213&lt;=1,
IF($N213&gt;0,1/$N213,0),VDB(1,0,$N213,INT(EO$44-2),MIN($N213,INT(EO$44-2)+1),$DC213,IF($DD213="No",1,0))/
IF(DW213&gt;INT($N213),$N213-INT($N213),1))*
IF(EO$44=2,DW213,
IF(INT(DW213)=INT(DV213),0,DW213-INT(DW213)))))</f>
        <v>0</v>
      </c>
      <c r="EP213" s="835">
        <f>+IF(OR(DX213=DW213,EP$44=1),0,
IF(AND(EP$44&gt;1,DX213=$N213),1-SUM($EN213:EO213),
IF($N213&lt;=1,
IF($N213&gt;0,1/$N213,0),
IF(EP$44=2,0,VDB(1,0,$N213,INT(EP$44-2-1),MIN($N213,INT(EP$44-2-1)+1),$DC213,IF($DD213="No",1,0))/
IF(DW213&gt;=INT($N213),$N213-INT($N213),1)))*
IF(EP$44=2,0,
IF(INT(DX213)=INT(DW213),DX213-DW213,INT(DX213)-DW213))+
IF($N213&lt;=1,
IF($N213&gt;0,1/$N213,0),VDB(1,0,$N213,INT(EP$44-2),MIN($N213,INT(EP$44-2)+1),$DC213,IF($DD213="No",1,0))/
IF(DX213&gt;INT($N213),$N213-INT($N213),1))*
IF(EP$44=2,DX213,
IF(INT(DX213)=INT(DW213),0,DX213-INT(DX213)))))</f>
        <v>0</v>
      </c>
      <c r="EQ213" s="836">
        <f>+IF(OR(DY213=DX213,EQ$44=1),0,
IF(AND(EQ$44&gt;1,DY213=$N213),1-SUM($EN213:EP213),
IF($N213&lt;=1,
IF($N213&gt;0,1/$N213,0),
IF(EQ$44=2,0,VDB(1,0,$N213,INT(EQ$44-2-1),MIN($N213,INT(EQ$44-2-1)+1),$DC213,IF($DD213="No",1,0))/
IF(DX213&gt;=INT($N213),$N213-INT($N213),1)))*
IF(EQ$44=2,0,
IF(INT(DY213)=INT(DX213),DY213-DX213,INT(DY213)-DX213))+
IF($N213&lt;=1,
IF($N213&gt;0,1/$N213,0),VDB(1,0,$N213,INT(EQ$44-2),MIN($N213,INT(EQ$44-2)+1),$DC213,IF($DD213="No",1,0))/
IF(DY213&gt;INT($N213),$N213-INT($N213),1))*
IF(EQ$44=2,DY213,
IF(INT(DY213)=INT(DX213),0,DY213-INT(DY213)))))</f>
        <v>0</v>
      </c>
      <c r="ER213" s="834">
        <f>+IF(OR(DZ213=DY213,ER$44=1),0,
IF(AND(ER$44&gt;1,DZ213=$N213),1-SUM($EN213:EQ213),
IF($N213&lt;=1,
IF($N213&gt;0,1/$N213,0),
IF(ER$44=2,0,VDB(1,0,$N213,INT(ER$44-2-1),MIN($N213,INT(ER$44-2-1)+1),$DC213,IF($DD213="No",1,0))/
IF(DY213&gt;=INT($N213),$N213-INT($N213),1)))*
IF(ER$44=2,0,
IF(INT(DZ213)=INT(DY213),DZ213-DY213,INT(DZ213)-DY213))+
IF($N213&lt;=1,
IF($N213&gt;0,1/$N213,0),VDB(1,0,$N213,INT(ER$44-2),MIN($N213,INT(ER$44-2)+1),$DC213,IF($DD213="No",1,0))/
IF(DZ213&gt;INT($N213),$N213-INT($N213),1))*
IF(ER$44=2,DZ213,
IF(INT(DZ213)=INT(DY213),0,DZ213-INT(DZ213)))))</f>
        <v>0</v>
      </c>
      <c r="ES213" s="835">
        <f>+IF(OR(EA213=DZ213,ES$44=1),0,
IF(AND(ES$44&gt;1,EA213=$N213),1-SUM($EN213:ER213),
IF($N213&lt;=1,
IF($N213&gt;0,1/$N213,0),
IF(ES$44=2,0,VDB(1,0,$N213,INT(ES$44-2-1),MIN($N213,INT(ES$44-2-1)+1),$DC213,IF($DD213="No",1,0))/
IF(DZ213&gt;=INT($N213),$N213-INT($N213),1)))*
IF(ES$44=2,0,
IF(INT(EA213)=INT(DZ213),EA213-DZ213,INT(EA213)-DZ213))+
IF($N213&lt;=1,
IF($N213&gt;0,1/$N213,0),VDB(1,0,$N213,INT(ES$44-2),MIN($N213,INT(ES$44-2)+1),$DC213,IF($DD213="No",1,0))/
IF(EA213&gt;INT($N213),$N213-INT($N213),1))*
IF(ES$44=2,EA213,
IF(INT(EA213)=INT(DZ213),0,EA213-INT(EA213)))))</f>
        <v>0</v>
      </c>
      <c r="ET213" s="835">
        <f>+IF(OR(EB213=EA213,ET$44=1),0,
IF(AND(ET$44&gt;1,EB213=$N213),1-SUM($EN213:ES213),
IF($N213&lt;=1,
IF($N213&gt;0,1/$N213,0),
IF(ET$44=2,0,VDB(1,0,$N213,INT(ET$44-2-1),MIN($N213,INT(ET$44-2-1)+1),$DC213,IF($DD213="No",1,0))/
IF(EA213&gt;=INT($N213),$N213-INT($N213),1)))*
IF(ET$44=2,0,
IF(INT(EB213)=INT(EA213),EB213-EA213,INT(EB213)-EA213))+
IF($N213&lt;=1,
IF($N213&gt;0,1/$N213,0),VDB(1,0,$N213,INT(ET$44-2),MIN($N213,INT(ET$44-2)+1),$DC213,IF($DD213="No",1,0))/
IF(EB213&gt;INT($N213),$N213-INT($N213),1))*
IF(ET$44=2,EB213,
IF(INT(EB213)=INT(EA213),0,EB213-INT(EB213)))))</f>
        <v>0</v>
      </c>
      <c r="EU213" s="835">
        <f>+IF(OR(EC213=EB213,EU$44=1),0,
IF(AND(EU$44&gt;1,EC213=$N213),1-SUM($EN213:ET213),
IF($N213&lt;=1,
IF($N213&gt;0,1/$N213,0),
IF(EU$44=2,0,VDB(1,0,$N213,INT(EU$44-2-1),MIN($N213,INT(EU$44-2-1)+1),$DC213,IF($DD213="No",1,0))/
IF(EB213&gt;=INT($N213),$N213-INT($N213),1)))*
IF(EU$44=2,0,
IF(INT(EC213)=INT(EB213),EC213-EB213,INT(EC213)-EB213))+
IF($N213&lt;=1,
IF($N213&gt;0,1/$N213,0),VDB(1,0,$N213,INT(EU$44-2),MIN($N213,INT(EU$44-2)+1),$DC213,IF($DD213="No",1,0))/
IF(EC213&gt;INT($N213),$N213-INT($N213),1))*
IF(EU$44=2,EC213,
IF(INT(EC213)=INT(EB213),0,EC213-INT(EC213)))))</f>
        <v>0</v>
      </c>
      <c r="EV213" s="836">
        <f>+IF(OR(ED213=EC213,EV$44=1),0,
IF(AND(EV$44&gt;1,ED213=$N213),1-SUM($EN213:EU213),
IF($N213&lt;=1,
IF($N213&gt;0,1/$N213,0),
IF(EV$44=2,0,VDB(1,0,$N213,INT(EV$44-2-1),MIN($N213,INT(EV$44-2-1)+1),$DC213,IF($DD213="No",1,0))/
IF(EC213&gt;=INT($N213),$N213-INT($N213),1)))*
IF(EV$44=2,0,
IF(INT(ED213)=INT(EC213),ED213-EC213,INT(ED213)-EC213))+
IF($N213&lt;=1,
IF($N213&gt;0,1/$N213,0),VDB(1,0,$N213,INT(EV$44-2),MIN($N213,INT(EV$44-2)+1),$DC213,IF($DD213="No",1,0))/
IF(ED213&gt;INT($N213),$N213-INT($N213),1))*
IF(EV$44=2,ED213,
IF(INT(ED213)=INT(EC213),0,ED213-INT(ED213)))))</f>
        <v>0</v>
      </c>
      <c r="EW213" s="833"/>
      <c r="EX213" s="834">
        <f t="shared" ca="1" si="361"/>
        <v>0</v>
      </c>
      <c r="EY213" s="835">
        <f t="shared" ca="1" si="361"/>
        <v>0</v>
      </c>
      <c r="EZ213" s="836">
        <f t="shared" ca="1" si="361"/>
        <v>0</v>
      </c>
      <c r="FA213" s="834">
        <f t="shared" ca="1" si="361"/>
        <v>0</v>
      </c>
      <c r="FB213" s="835">
        <f t="shared" ca="1" si="361"/>
        <v>0</v>
      </c>
      <c r="FC213" s="835">
        <f t="shared" ca="1" si="361"/>
        <v>0</v>
      </c>
      <c r="FD213" s="835">
        <f t="shared" ca="1" si="361"/>
        <v>0</v>
      </c>
      <c r="FE213" s="836">
        <f t="shared" ca="1" si="361"/>
        <v>0</v>
      </c>
      <c r="FG213" s="386">
        <f t="shared" ca="1" si="351"/>
        <v>0</v>
      </c>
      <c r="FH213" s="387">
        <f t="shared" ca="1" si="352"/>
        <v>0</v>
      </c>
      <c r="FI213" s="388">
        <f t="shared" ca="1" si="353"/>
        <v>0</v>
      </c>
      <c r="FJ213" s="386">
        <f t="shared" ca="1" si="354"/>
        <v>0</v>
      </c>
      <c r="FK213" s="387">
        <f t="shared" ca="1" si="355"/>
        <v>0</v>
      </c>
      <c r="FL213" s="387">
        <f t="shared" ca="1" si="356"/>
        <v>0</v>
      </c>
      <c r="FM213" s="387">
        <f t="shared" ca="1" si="357"/>
        <v>0</v>
      </c>
      <c r="FN213" s="388">
        <f t="shared" ca="1" si="358"/>
        <v>0</v>
      </c>
      <c r="FR213" s="116"/>
    </row>
    <row r="214" spans="2:174">
      <c r="B214" s="1410">
        <f t="shared" si="359"/>
        <v>168</v>
      </c>
      <c r="C214" s="400"/>
      <c r="D214" s="410"/>
      <c r="E214" s="402"/>
      <c r="F214" s="402"/>
      <c r="G214" s="400"/>
      <c r="H214" s="2088"/>
      <c r="I214" s="2089"/>
      <c r="J214" s="411"/>
      <c r="K214" s="403"/>
      <c r="L214" s="403"/>
      <c r="M214" s="403"/>
      <c r="N214" s="403"/>
      <c r="O214" s="347"/>
      <c r="P214" s="347"/>
      <c r="Q214" s="1021"/>
      <c r="R214" s="1022"/>
      <c r="S214" s="1022"/>
      <c r="T214" s="1022"/>
      <c r="U214" s="1023"/>
      <c r="V214" s="1021"/>
      <c r="W214" s="1022"/>
      <c r="X214" s="1022"/>
      <c r="Y214" s="1022"/>
      <c r="Z214" s="1023"/>
      <c r="AA214" s="1024"/>
      <c r="AB214" s="1021"/>
      <c r="AC214" s="1022"/>
      <c r="AD214" s="1022"/>
      <c r="AE214" s="1022"/>
      <c r="AF214" s="1023"/>
      <c r="AG214" s="1021"/>
      <c r="AH214" s="1022"/>
      <c r="AI214" s="1022"/>
      <c r="AJ214" s="1022"/>
      <c r="AK214" s="1023"/>
      <c r="AL214" s="1024"/>
      <c r="AM214" s="1021"/>
      <c r="AN214" s="1022"/>
      <c r="AO214" s="1022"/>
      <c r="AP214" s="1022"/>
      <c r="AQ214" s="1023"/>
      <c r="AR214" s="1021"/>
      <c r="AS214" s="1022"/>
      <c r="AT214" s="1022"/>
      <c r="AU214" s="1022"/>
      <c r="AV214" s="1023"/>
      <c r="AW214" s="1025"/>
      <c r="AX214" s="1282">
        <f t="shared" si="304"/>
        <v>0</v>
      </c>
      <c r="AY214" s="387">
        <f t="shared" si="305"/>
        <v>0</v>
      </c>
      <c r="AZ214" s="387">
        <f t="shared" si="306"/>
        <v>0</v>
      </c>
      <c r="BA214" s="387">
        <f t="shared" si="307"/>
        <v>0</v>
      </c>
      <c r="BB214" s="1283">
        <f t="shared" si="308"/>
        <v>0</v>
      </c>
      <c r="BC214" s="386">
        <f t="shared" si="309"/>
        <v>0</v>
      </c>
      <c r="BD214" s="387">
        <f t="shared" si="310"/>
        <v>0</v>
      </c>
      <c r="BE214" s="1277">
        <f t="shared" si="311"/>
        <v>0</v>
      </c>
      <c r="BF214" s="1277">
        <f t="shared" si="312"/>
        <v>0</v>
      </c>
      <c r="BG214" s="388">
        <f t="shared" si="313"/>
        <v>0</v>
      </c>
      <c r="BH214" s="1025"/>
      <c r="BI214" s="1282">
        <f t="shared" ca="1" si="314"/>
        <v>0</v>
      </c>
      <c r="BJ214" s="387">
        <f t="shared" ca="1" si="315"/>
        <v>0</v>
      </c>
      <c r="BK214" s="387">
        <f t="shared" ca="1" si="316"/>
        <v>0</v>
      </c>
      <c r="BL214" s="387">
        <f t="shared" ca="1" si="317"/>
        <v>0</v>
      </c>
      <c r="BM214" s="1283">
        <f t="shared" ca="1" si="318"/>
        <v>0</v>
      </c>
      <c r="BN214" s="386">
        <f t="shared" ca="1" si="319"/>
        <v>0</v>
      </c>
      <c r="BO214" s="387">
        <f t="shared" ca="1" si="320"/>
        <v>0</v>
      </c>
      <c r="BP214" s="1277">
        <f t="shared" ca="1" si="321"/>
        <v>0</v>
      </c>
      <c r="BQ214" s="1277">
        <f t="shared" ca="1" si="322"/>
        <v>0</v>
      </c>
      <c r="BR214" s="388">
        <f t="shared" ca="1" si="323"/>
        <v>0</v>
      </c>
      <c r="BS214" s="1025"/>
      <c r="BT214" s="1282">
        <f>+IF($K214="Ongoing",AX214,IF(RIGHT($K214,2)=RIGHT(BT$43,2),SUM($AX214:AX214),0)+IF(RIGHT(BT$43,2)&gt;RIGHT($K214,2),AX214,0))</f>
        <v>0</v>
      </c>
      <c r="BU214" s="387">
        <f>+IF($K214="Ongoing",AY214,IF(RIGHT($K214,2)=RIGHT(BU$43,2),SUM($AX214:AY214),0)+IF(RIGHT(BU$43,2)&gt;RIGHT($K214,2),AY214,0))</f>
        <v>0</v>
      </c>
      <c r="BV214" s="387">
        <f>+IF($K214="Ongoing",AZ214,IF(RIGHT($K214,2)=RIGHT(BV$43,2),SUM($AX214:AZ214),0)+IF(RIGHT(BV$43,2)&gt;RIGHT($K214,2),AZ214,0))</f>
        <v>0</v>
      </c>
      <c r="BW214" s="387">
        <f>+IF($K214="Ongoing",BA214,IF(RIGHT($K214,2)=RIGHT(BW$43,2),SUM($AX214:BA214),0)+IF(RIGHT(BW$43,2)&gt;RIGHT($K214,2),BA214,0))</f>
        <v>0</v>
      </c>
      <c r="BX214" s="1283">
        <f>+IF($K214="Ongoing",BB214,IF(RIGHT($K214,2)=RIGHT(BX$43,2),SUM($AX214:BB214),0)+IF(RIGHT(BX$43,2)&gt;RIGHT($K214,2),BB214,0))</f>
        <v>0</v>
      </c>
      <c r="BY214" s="386">
        <f>+IF($K214="Ongoing",BC214,IF(RIGHT($K214,2)=RIGHT(BY$43,2),SUM($AX214:BC214),0)+IF(RIGHT(BY$43,2)&gt;RIGHT($K214,2),BC214,0))</f>
        <v>0</v>
      </c>
      <c r="BZ214" s="387">
        <f>+IF($K214="Ongoing",BD214,IF(RIGHT($K214,2)=RIGHT(BZ$43,2),SUM($AX214:BD214),0)+IF(RIGHT(BZ$43,2)&gt;RIGHT($K214,2),BD214,0))</f>
        <v>0</v>
      </c>
      <c r="CA214" s="1277">
        <f>+IF($K214="Ongoing",BE214,IF(RIGHT($K214,2)=RIGHT(CA$43,2),SUM($AX214:BE214),0)+IF(RIGHT(CA$43,2)&gt;RIGHT($K214,2),BE214,0))</f>
        <v>0</v>
      </c>
      <c r="CB214" s="1277">
        <f>+IF($K214="Ongoing",BF214,IF(RIGHT($K214,2)=RIGHT(CB$43,2),SUM($AX214:BF214),0)+IF(RIGHT(CB$43,2)&gt;RIGHT($K214,2),BF214,0))</f>
        <v>0</v>
      </c>
      <c r="CC214" s="388">
        <f>+IF($K214="Ongoing",BG214,IF(RIGHT($K214,2)=RIGHT(CC$43,2),SUM($AX214:BG214),0)+IF(RIGHT(CC$43,2)&gt;RIGHT($K214,2),BG214,0))</f>
        <v>0</v>
      </c>
      <c r="CD214" s="1025"/>
      <c r="CE214" s="1282">
        <f>+Q214*KeyAssumptionsPriceControl_FO!AF$15</f>
        <v>0</v>
      </c>
      <c r="CF214" s="387">
        <f>+R214*KeyAssumptionsPriceControl_FO!AG$15</f>
        <v>0</v>
      </c>
      <c r="CG214" s="387">
        <f>+S214*KeyAssumptionsPriceControl_FO!AH$15</f>
        <v>0</v>
      </c>
      <c r="CH214" s="387">
        <f>+T214*KeyAssumptionsPriceControl_FO!AI$15</f>
        <v>0</v>
      </c>
      <c r="CI214" s="1283">
        <f>+U214*KeyAssumptionsPriceControl_FO!AJ$15</f>
        <v>0</v>
      </c>
      <c r="CJ214" s="386">
        <f>+V214*KeyAssumptionsPriceControl_FO!AK$15</f>
        <v>0</v>
      </c>
      <c r="CK214" s="387">
        <f>+W214*KeyAssumptionsPriceControl_FO!AL$15</f>
        <v>0</v>
      </c>
      <c r="CL214" s="1277">
        <f>+X214*KeyAssumptionsPriceControl_FO!AM$15</f>
        <v>0</v>
      </c>
      <c r="CM214" s="1277">
        <f>+Y214*KeyAssumptionsPriceControl_FO!AN$15</f>
        <v>0</v>
      </c>
      <c r="CN214" s="388">
        <f>+Z214*KeyAssumptionsPriceControl_FO!AO$15</f>
        <v>0</v>
      </c>
      <c r="CO214" s="1025"/>
      <c r="CP214" s="1282">
        <f t="shared" ca="1" si="324"/>
        <v>0</v>
      </c>
      <c r="CQ214" s="387">
        <f t="shared" ca="1" si="325"/>
        <v>0</v>
      </c>
      <c r="CR214" s="387">
        <f t="shared" ca="1" si="326"/>
        <v>0</v>
      </c>
      <c r="CS214" s="387">
        <f t="shared" ca="1" si="327"/>
        <v>0</v>
      </c>
      <c r="CT214" s="1283">
        <f t="shared" ca="1" si="328"/>
        <v>0</v>
      </c>
      <c r="CU214" s="386">
        <f t="shared" ca="1" si="329"/>
        <v>0</v>
      </c>
      <c r="CV214" s="387">
        <f t="shared" ca="1" si="330"/>
        <v>0</v>
      </c>
      <c r="CW214" s="1277">
        <f t="shared" ca="1" si="331"/>
        <v>0</v>
      </c>
      <c r="CX214" s="1277">
        <f t="shared" ca="1" si="332"/>
        <v>0</v>
      </c>
      <c r="CY214" s="388">
        <f t="shared" ca="1" si="333"/>
        <v>0</v>
      </c>
      <c r="CZ214" s="347"/>
      <c r="DA214" s="852"/>
      <c r="DB214" s="347"/>
      <c r="DC214" s="1012" t="s">
        <v>735</v>
      </c>
      <c r="DD214" s="841" t="s">
        <v>518</v>
      </c>
      <c r="DE214" s="386">
        <f>+IF($K214="ongoing",CE214,IF(RIGHT($K214,2)=RIGHT(DE$43,2),SUM($CD214:CE214),0)+IF(RIGHT(DE$43,2)&gt;RIGHT($K214,2),CE214,0))</f>
        <v>0</v>
      </c>
      <c r="DF214" s="387">
        <f>+IF($K214="ongoing",CF214,IF(RIGHT($K214,2)=RIGHT(DF$43,2),SUM($CD214:CF214),0)+IF(RIGHT(DF$43,2)&gt;RIGHT($K214,2),CF214,0))</f>
        <v>0</v>
      </c>
      <c r="DG214" s="388">
        <f>+IF($K214="ongoing",CG214,IF(RIGHT($K214,2)=RIGHT(DG$43,2),SUM($CD214:CG214),0)+IF(RIGHT(DG$43,2)&gt;RIGHT($K214,2),CG214,0))</f>
        <v>0</v>
      </c>
      <c r="DH214" s="386">
        <f>+IF($K214="ongoing",CH214,IF(RIGHT($K214,2)=RIGHT(DH$43,2),SUM($CD214:CH214),0)+IF(RIGHT(DH$43,2)&gt;RIGHT($K214,2),CH214,0))</f>
        <v>0</v>
      </c>
      <c r="DI214" s="387">
        <f>+IF($K214="ongoing",CI214,IF(RIGHT($K214,2)=RIGHT(DI$43,2),SUM($CD214:CI214),0)+IF(RIGHT(DI$43,2)&gt;RIGHT($K214,2),CI214,0))</f>
        <v>0</v>
      </c>
      <c r="DJ214" s="387">
        <f>+IF($K214="ongoing",CJ214,IF(RIGHT($K214,2)=RIGHT(DJ$43,2),SUM($CD214:CJ214),0)+IF(RIGHT(DJ$43,2)&gt;RIGHT($K214,2),CJ214,0))</f>
        <v>0</v>
      </c>
      <c r="DK214" s="387">
        <f>+IF($K214="ongoing",CK214,IF(RIGHT($K214,2)=RIGHT(DK$43,2),SUM($CD214:CK214),0)+IF(RIGHT(DK$43,2)&gt;RIGHT($K214,2),CK214,0))</f>
        <v>0</v>
      </c>
      <c r="DL214" s="388">
        <f>+IF($K214="ongoing",CN214,IF(RIGHT($K214,2)=RIGHT(DL$43,2),SUM($CD214:CN214),0)+IF(RIGHT(DL$43,2)&gt;RIGHT($K214,2),CN214,0))</f>
        <v>0</v>
      </c>
      <c r="DM214" s="841"/>
      <c r="DN214" s="386">
        <f t="shared" si="334"/>
        <v>0.5</v>
      </c>
      <c r="DO214" s="387">
        <f t="shared" si="335"/>
        <v>1</v>
      </c>
      <c r="DP214" s="388">
        <f t="shared" si="336"/>
        <v>1</v>
      </c>
      <c r="DQ214" s="386">
        <f t="shared" si="337"/>
        <v>1</v>
      </c>
      <c r="DR214" s="387">
        <f t="shared" si="338"/>
        <v>1</v>
      </c>
      <c r="DS214" s="387">
        <f t="shared" si="339"/>
        <v>1</v>
      </c>
      <c r="DT214" s="387">
        <f t="shared" si="340"/>
        <v>1</v>
      </c>
      <c r="DU214" s="388">
        <f t="shared" si="341"/>
        <v>1</v>
      </c>
      <c r="DW214" s="386">
        <f t="shared" si="342"/>
        <v>0</v>
      </c>
      <c r="DX214" s="387">
        <f t="shared" si="343"/>
        <v>0.5</v>
      </c>
      <c r="DY214" s="388">
        <f t="shared" si="344"/>
        <v>1</v>
      </c>
      <c r="DZ214" s="386">
        <f t="shared" si="345"/>
        <v>1</v>
      </c>
      <c r="EA214" s="387">
        <f t="shared" si="346"/>
        <v>1</v>
      </c>
      <c r="EB214" s="387">
        <f t="shared" si="347"/>
        <v>1</v>
      </c>
      <c r="EC214" s="387">
        <f t="shared" si="348"/>
        <v>1</v>
      </c>
      <c r="ED214" s="388">
        <f t="shared" si="349"/>
        <v>1</v>
      </c>
      <c r="EF214" s="834">
        <f>+IF(DN214=DM214,0,
IF(AND(EF$44&gt;1,DN214=$N214),1-SUM($EE214:EE214),
IF($N214&lt;=1,
IF($N214&gt;0,1/$N214,0),
IF(EF$44=1,0,VDB(1,0,$N214,INT(EF$44-1-1),MIN($N214,INT(EF$44-1-1)+1),$DC214,IF($DD214="No",1,0))/
IF(DM214&gt;=INT($N214),$N214-INT($N214),1)))*
IF(EF$44=1,0,
IF(INT(DN214)=INT(DM214),DN214-DM214,INT(DN214)-DM214))+
IF($N214&lt;=1,
IF($N214&gt;0,1/$N214,0),VDB(1,0,$N214,INT(EF$44-1),MIN($N214,INT(EF$44-1)+1),$DC214,IF($DD214="No",1,0))/
IF(DN214&gt;INT($N214),$N214-INT($N214),1))*
IF(EF$44=1,DN214,
IF(INT(DN214)=INT(DM214),0,DN214-INT(DN214)))))</f>
        <v>0</v>
      </c>
      <c r="EG214" s="835">
        <f>+IF(DO214=DN214,0,
IF(AND(EG$44&gt;1,DO214=$N214),1-SUM($EE214:EF214),
IF($N214&lt;=1,
IF($N214&gt;0,1/$N214,0),
IF(EG$44=1,0,VDB(1,0,$N214,INT(EG$44-1-1),MIN($N214,INT(EG$44-1-1)+1),$DC214,IF($DD214="No",1,0))/
IF(DN214&gt;=INT($N214),$N214-INT($N214),1)))*
IF(EG$44=1,0,
IF(INT(DO214)=INT(DN214),DO214-DN214,INT(DO214)-DN214))+
IF($N214&lt;=1,
IF($N214&gt;0,1/$N214,0),VDB(1,0,$N214,INT(EG$44-1),MIN($N214,INT(EG$44-1)+1),$DC214,IF($DD214="No",1,0))/
IF(DO214&gt;INT($N214),$N214-INT($N214),1))*
IF(EG$44=1,DO214,
IF(INT(DO214)=INT(DN214),0,DO214-INT(DO214)))))</f>
        <v>0</v>
      </c>
      <c r="EH214" s="836">
        <f>+IF(DP214=DO214,0,
IF(AND(EH$44&gt;1,DP214=$N214),1-SUM($EE214:EG214),
IF($N214&lt;=1,
IF($N214&gt;0,1/$N214,0),
IF(EH$44=1,0,VDB(1,0,$N214,INT(EH$44-1-1),MIN($N214,INT(EH$44-1-1)+1),$DC214,IF($DD214="No",1,0))/
IF(DO214&gt;=INT($N214),$N214-INT($N214),1)))*
IF(EH$44=1,0,
IF(INT(DP214)=INT(DO214),DP214-DO214,INT(DP214)-DO214))+
IF($N214&lt;=1,
IF($N214&gt;0,1/$N214,0),VDB(1,0,$N214,INT(EH$44-1),MIN($N214,INT(EH$44-1)+1),$DC214,IF($DD214="No",1,0))/
IF(DP214&gt;INT($N214),$N214-INT($N214),1))*
IF(EH$44=1,DP214,
IF(INT(DP214)=INT(DO214),0,DP214-INT(DP214)))))</f>
        <v>0</v>
      </c>
      <c r="EI214" s="834">
        <f>+IF(DQ214=DP214,0,
IF(AND(EI$44&gt;1,DQ214=$N214),1-SUM($EE214:EH214),
IF($N214&lt;=1,
IF($N214&gt;0,1/$N214,0),
IF(EI$44=1,0,VDB(1,0,$N214,INT(EI$44-1-1),MIN($N214,INT(EI$44-1-1)+1),$DC214,IF($DD214="No",1,0))/
IF(DP214&gt;=INT($N214),$N214-INT($N214),1)))*
IF(EI$44=1,0,
IF(INT(DQ214)=INT(DP214),DQ214-DP214,INT(DQ214)-DP214))+
IF($N214&lt;=1,
IF($N214&gt;0,1/$N214,0),VDB(1,0,$N214,INT(EI$44-1),MIN($N214,INT(EI$44-1)+1),$DC214,IF($DD214="No",1,0))/
IF(DQ214&gt;INT($N214),$N214-INT($N214),1))*
IF(EI$44=1,DQ214,
IF(INT(DQ214)=INT(DP214),0,DQ214-INT(DQ214)))))</f>
        <v>0</v>
      </c>
      <c r="EJ214" s="835">
        <f>+IF(DR214=DQ214,0,
IF(AND(EJ$44&gt;1,DR214=$N214),1-SUM($EE214:EI214),
IF($N214&lt;=1,
IF($N214&gt;0,1/$N214,0),
IF(EJ$44=1,0,VDB(1,0,$N214,INT(EJ$44-1-1),MIN($N214,INT(EJ$44-1-1)+1),$DC214,IF($DD214="No",1,0))/
IF(DQ214&gt;=INT($N214),$N214-INT($N214),1)))*
IF(EJ$44=1,0,
IF(INT(DR214)=INT(DQ214),DR214-DQ214,INT(DR214)-DQ214))+
IF($N214&lt;=1,
IF($N214&gt;0,1/$N214,0),VDB(1,0,$N214,INT(EJ$44-1),MIN($N214,INT(EJ$44-1)+1),$DC214,IF($DD214="No",1,0))/
IF(DR214&gt;INT($N214),$N214-INT($N214),1))*
IF(EJ$44=1,DR214,
IF(INT(DR214)=INT(DQ214),0,DR214-INT(DR214)))))</f>
        <v>0</v>
      </c>
      <c r="EK214" s="835">
        <f>+IF(DS214=DR214,0,
IF(AND(EK$44&gt;1,DS214=$N214),1-SUM($EE214:EJ214),
IF($N214&lt;=1,
IF($N214&gt;0,1/$N214,0),
IF(EK$44=1,0,VDB(1,0,$N214,INT(EK$44-1-1),MIN($N214,INT(EK$44-1-1)+1),$DC214,IF($DD214="No",1,0))/
IF(DR214&gt;=INT($N214),$N214-INT($N214),1)))*
IF(EK$44=1,0,
IF(INT(DS214)=INT(DR214),DS214-DR214,INT(DS214)-DR214))+
IF($N214&lt;=1,
IF($N214&gt;0,1/$N214,0),VDB(1,0,$N214,INT(EK$44-1),MIN($N214,INT(EK$44-1)+1),$DC214,IF($DD214="No",1,0))/
IF(DS214&gt;INT($N214),$N214-INT($N214),1))*
IF(EK$44=1,DS214,
IF(INT(DS214)=INT(DR214),0,DS214-INT(DS214)))))</f>
        <v>0</v>
      </c>
      <c r="EL214" s="835">
        <f>+IF(DT214=DS214,0,
IF(AND(EL$44&gt;1,DT214=$N214),1-SUM($EE214:EK214),
IF($N214&lt;=1,
IF($N214&gt;0,1/$N214,0),
IF(EL$44=1,0,VDB(1,0,$N214,INT(EL$44-1-1),MIN($N214,INT(EL$44-1-1)+1),$DC214,IF($DD214="No",1,0))/
IF(DS214&gt;=INT($N214),$N214-INT($N214),1)))*
IF(EL$44=1,0,
IF(INT(DT214)=INT(DS214),DT214-DS214,INT(DT214)-DS214))+
IF($N214&lt;=1,
IF($N214&gt;0,1/$N214,0),VDB(1,0,$N214,INT(EL$44-1),MIN($N214,INT(EL$44-1)+1),$DC214,IF($DD214="No",1,0))/
IF(DT214&gt;INT($N214),$N214-INT($N214),1))*
IF(EL$44=1,DT214,
IF(INT(DT214)=INT(DS214),0,DT214-INT(DT214)))))</f>
        <v>0</v>
      </c>
      <c r="EM214" s="836">
        <f>+IF(DU214=DT214,0,
IF(AND(EM$44&gt;1,DU214=$N214),1-SUM($EE214:EL214),
IF($N214&lt;=1,
IF($N214&gt;0,1/$N214,0),
IF(EM$44=1,0,VDB(1,0,$N214,INT(EM$44-1-1),MIN($N214,INT(EM$44-1-1)+1),$DC214,IF($DD214="No",1,0))/
IF(DT214&gt;=INT($N214),$N214-INT($N214),1)))*
IF(EM$44=1,0,
IF(INT(DU214)=INT(DT214),DU214-DT214,INT(DU214)-DT214))+
IF($N214&lt;=1,
IF($N214&gt;0,1/$N214,0),VDB(1,0,$N214,INT(EM$44-1),MIN($N214,INT(EM$44-1)+1),$DC214,IF($DD214="No",1,0))/
IF(DU214&gt;INT($N214),$N214-INT($N214),1))*
IF(EM$44=1,DU214,
IF(INT(DU214)=INT(DT214),0,DU214-INT(DU214)))))</f>
        <v>0</v>
      </c>
      <c r="EN214" s="833"/>
      <c r="EO214" s="834">
        <f>+IF(OR(DW214=DV214,EO$44=1),0,
IF(AND(EO$44&gt;1,DW214=$N214),1-SUM($EN214:EN214),
IF($N214&lt;=1,
IF($N214&gt;0,1/$N214,0),
IF(EO$44=2,0,VDB(1,0,$N214,INT(EO$44-2-1),MIN($N214,INT(EO$44-2-1)+1),$DC214,IF($DD214="No",1,0))/
IF(DV214&gt;=INT($N214),$N214-INT($N214),1)))*
IF(EO$44=2,0,
IF(INT(DW214)=INT(DV214),DW214-DV214,INT(DW214)-DV214))+
IF($N214&lt;=1,
IF($N214&gt;0,1/$N214,0),VDB(1,0,$N214,INT(EO$44-2),MIN($N214,INT(EO$44-2)+1),$DC214,IF($DD214="No",1,0))/
IF(DW214&gt;INT($N214),$N214-INT($N214),1))*
IF(EO$44=2,DW214,
IF(INT(DW214)=INT(DV214),0,DW214-INT(DW214)))))</f>
        <v>0</v>
      </c>
      <c r="EP214" s="835">
        <f>+IF(OR(DX214=DW214,EP$44=1),0,
IF(AND(EP$44&gt;1,DX214=$N214),1-SUM($EN214:EO214),
IF($N214&lt;=1,
IF($N214&gt;0,1/$N214,0),
IF(EP$44=2,0,VDB(1,0,$N214,INT(EP$44-2-1),MIN($N214,INT(EP$44-2-1)+1),$DC214,IF($DD214="No",1,0))/
IF(DW214&gt;=INT($N214),$N214-INT($N214),1)))*
IF(EP$44=2,0,
IF(INT(DX214)=INT(DW214),DX214-DW214,INT(DX214)-DW214))+
IF($N214&lt;=1,
IF($N214&gt;0,1/$N214,0),VDB(1,0,$N214,INT(EP$44-2),MIN($N214,INT(EP$44-2)+1),$DC214,IF($DD214="No",1,0))/
IF(DX214&gt;INT($N214),$N214-INT($N214),1))*
IF(EP$44=2,DX214,
IF(INT(DX214)=INT(DW214),0,DX214-INT(DX214)))))</f>
        <v>0</v>
      </c>
      <c r="EQ214" s="836">
        <f>+IF(OR(DY214=DX214,EQ$44=1),0,
IF(AND(EQ$44&gt;1,DY214=$N214),1-SUM($EN214:EP214),
IF($N214&lt;=1,
IF($N214&gt;0,1/$N214,0),
IF(EQ$44=2,0,VDB(1,0,$N214,INT(EQ$44-2-1),MIN($N214,INT(EQ$44-2-1)+1),$DC214,IF($DD214="No",1,0))/
IF(DX214&gt;=INT($N214),$N214-INT($N214),1)))*
IF(EQ$44=2,0,
IF(INT(DY214)=INT(DX214),DY214-DX214,INT(DY214)-DX214))+
IF($N214&lt;=1,
IF($N214&gt;0,1/$N214,0),VDB(1,0,$N214,INT(EQ$44-2),MIN($N214,INT(EQ$44-2)+1),$DC214,IF($DD214="No",1,0))/
IF(DY214&gt;INT($N214),$N214-INT($N214),1))*
IF(EQ$44=2,DY214,
IF(INT(DY214)=INT(DX214),0,DY214-INT(DY214)))))</f>
        <v>0</v>
      </c>
      <c r="ER214" s="834">
        <f>+IF(OR(DZ214=DY214,ER$44=1),0,
IF(AND(ER$44&gt;1,DZ214=$N214),1-SUM($EN214:EQ214),
IF($N214&lt;=1,
IF($N214&gt;0,1/$N214,0),
IF(ER$44=2,0,VDB(1,0,$N214,INT(ER$44-2-1),MIN($N214,INT(ER$44-2-1)+1),$DC214,IF($DD214="No",1,0))/
IF(DY214&gt;=INT($N214),$N214-INT($N214),1)))*
IF(ER$44=2,0,
IF(INT(DZ214)=INT(DY214),DZ214-DY214,INT(DZ214)-DY214))+
IF($N214&lt;=1,
IF($N214&gt;0,1/$N214,0),VDB(1,0,$N214,INT(ER$44-2),MIN($N214,INT(ER$44-2)+1),$DC214,IF($DD214="No",1,0))/
IF(DZ214&gt;INT($N214),$N214-INT($N214),1))*
IF(ER$44=2,DZ214,
IF(INT(DZ214)=INT(DY214),0,DZ214-INT(DZ214)))))</f>
        <v>0</v>
      </c>
      <c r="ES214" s="835">
        <f>+IF(OR(EA214=DZ214,ES$44=1),0,
IF(AND(ES$44&gt;1,EA214=$N214),1-SUM($EN214:ER214),
IF($N214&lt;=1,
IF($N214&gt;0,1/$N214,0),
IF(ES$44=2,0,VDB(1,0,$N214,INT(ES$44-2-1),MIN($N214,INT(ES$44-2-1)+1),$DC214,IF($DD214="No",1,0))/
IF(DZ214&gt;=INT($N214),$N214-INT($N214),1)))*
IF(ES$44=2,0,
IF(INT(EA214)=INT(DZ214),EA214-DZ214,INT(EA214)-DZ214))+
IF($N214&lt;=1,
IF($N214&gt;0,1/$N214,0),VDB(1,0,$N214,INT(ES$44-2),MIN($N214,INT(ES$44-2)+1),$DC214,IF($DD214="No",1,0))/
IF(EA214&gt;INT($N214),$N214-INT($N214),1))*
IF(ES$44=2,EA214,
IF(INT(EA214)=INT(DZ214),0,EA214-INT(EA214)))))</f>
        <v>0</v>
      </c>
      <c r="ET214" s="835">
        <f>+IF(OR(EB214=EA214,ET$44=1),0,
IF(AND(ET$44&gt;1,EB214=$N214),1-SUM($EN214:ES214),
IF($N214&lt;=1,
IF($N214&gt;0,1/$N214,0),
IF(ET$44=2,0,VDB(1,0,$N214,INT(ET$44-2-1),MIN($N214,INT(ET$44-2-1)+1),$DC214,IF($DD214="No",1,0))/
IF(EA214&gt;=INT($N214),$N214-INT($N214),1)))*
IF(ET$44=2,0,
IF(INT(EB214)=INT(EA214),EB214-EA214,INT(EB214)-EA214))+
IF($N214&lt;=1,
IF($N214&gt;0,1/$N214,0),VDB(1,0,$N214,INT(ET$44-2),MIN($N214,INT(ET$44-2)+1),$DC214,IF($DD214="No",1,0))/
IF(EB214&gt;INT($N214),$N214-INT($N214),1))*
IF(ET$44=2,EB214,
IF(INT(EB214)=INT(EA214),0,EB214-INT(EB214)))))</f>
        <v>0</v>
      </c>
      <c r="EU214" s="835">
        <f>+IF(OR(EC214=EB214,EU$44=1),0,
IF(AND(EU$44&gt;1,EC214=$N214),1-SUM($EN214:ET214),
IF($N214&lt;=1,
IF($N214&gt;0,1/$N214,0),
IF(EU$44=2,0,VDB(1,0,$N214,INT(EU$44-2-1),MIN($N214,INT(EU$44-2-1)+1),$DC214,IF($DD214="No",1,0))/
IF(EB214&gt;=INT($N214),$N214-INT($N214),1)))*
IF(EU$44=2,0,
IF(INT(EC214)=INT(EB214),EC214-EB214,INT(EC214)-EB214))+
IF($N214&lt;=1,
IF($N214&gt;0,1/$N214,0),VDB(1,0,$N214,INT(EU$44-2),MIN($N214,INT(EU$44-2)+1),$DC214,IF($DD214="No",1,0))/
IF(EC214&gt;INT($N214),$N214-INT($N214),1))*
IF(EU$44=2,EC214,
IF(INT(EC214)=INT(EB214),0,EC214-INT(EC214)))))</f>
        <v>0</v>
      </c>
      <c r="EV214" s="836">
        <f>+IF(OR(ED214=EC214,EV$44=1),0,
IF(AND(EV$44&gt;1,ED214=$N214),1-SUM($EN214:EU214),
IF($N214&lt;=1,
IF($N214&gt;0,1/$N214,0),
IF(EV$44=2,0,VDB(1,0,$N214,INT(EV$44-2-1),MIN($N214,INT(EV$44-2-1)+1),$DC214,IF($DD214="No",1,0))/
IF(EC214&gt;=INT($N214),$N214-INT($N214),1)))*
IF(EV$44=2,0,
IF(INT(ED214)=INT(EC214),ED214-EC214,INT(ED214)-EC214))+
IF($N214&lt;=1,
IF($N214&gt;0,1/$N214,0),VDB(1,0,$N214,INT(EV$44-2),MIN($N214,INT(EV$44-2)+1),$DC214,IF($DD214="No",1,0))/
IF(ED214&gt;INT($N214),$N214-INT($N214),1))*
IF(EV$44=2,ED214,
IF(INT(ED214)=INT(EC214),0,ED214-INT(ED214)))))</f>
        <v>0</v>
      </c>
      <c r="EW214" s="833"/>
      <c r="EX214" s="834">
        <f t="shared" ca="1" si="361"/>
        <v>0</v>
      </c>
      <c r="EY214" s="835">
        <f t="shared" ca="1" si="361"/>
        <v>0</v>
      </c>
      <c r="EZ214" s="836">
        <f t="shared" ca="1" si="361"/>
        <v>0</v>
      </c>
      <c r="FA214" s="834">
        <f t="shared" ca="1" si="361"/>
        <v>0</v>
      </c>
      <c r="FB214" s="835">
        <f t="shared" ca="1" si="361"/>
        <v>0</v>
      </c>
      <c r="FC214" s="835">
        <f t="shared" ca="1" si="361"/>
        <v>0</v>
      </c>
      <c r="FD214" s="835">
        <f t="shared" ca="1" si="361"/>
        <v>0</v>
      </c>
      <c r="FE214" s="836">
        <f t="shared" ca="1" si="361"/>
        <v>0</v>
      </c>
      <c r="FG214" s="386">
        <f t="shared" ca="1" si="351"/>
        <v>0</v>
      </c>
      <c r="FH214" s="387">
        <f t="shared" ca="1" si="352"/>
        <v>0</v>
      </c>
      <c r="FI214" s="388">
        <f t="shared" ca="1" si="353"/>
        <v>0</v>
      </c>
      <c r="FJ214" s="386">
        <f t="shared" ca="1" si="354"/>
        <v>0</v>
      </c>
      <c r="FK214" s="387">
        <f t="shared" ca="1" si="355"/>
        <v>0</v>
      </c>
      <c r="FL214" s="387">
        <f t="shared" ca="1" si="356"/>
        <v>0</v>
      </c>
      <c r="FM214" s="387">
        <f t="shared" ca="1" si="357"/>
        <v>0</v>
      </c>
      <c r="FN214" s="388">
        <f t="shared" ca="1" si="358"/>
        <v>0</v>
      </c>
      <c r="FR214" s="116"/>
    </row>
    <row r="215" spans="2:174">
      <c r="B215" s="1410">
        <f t="shared" si="359"/>
        <v>169</v>
      </c>
      <c r="C215" s="400"/>
      <c r="D215" s="410"/>
      <c r="E215" s="402"/>
      <c r="F215" s="402"/>
      <c r="G215" s="400"/>
      <c r="H215" s="2088"/>
      <c r="I215" s="2089"/>
      <c r="J215" s="411"/>
      <c r="K215" s="403"/>
      <c r="L215" s="403"/>
      <c r="M215" s="403"/>
      <c r="N215" s="403"/>
      <c r="O215" s="347"/>
      <c r="P215" s="347"/>
      <c r="Q215" s="1021"/>
      <c r="R215" s="1022"/>
      <c r="S215" s="1022"/>
      <c r="T215" s="1022"/>
      <c r="U215" s="1023"/>
      <c r="V215" s="1021"/>
      <c r="W215" s="1022"/>
      <c r="X215" s="1022"/>
      <c r="Y215" s="1022"/>
      <c r="Z215" s="1023"/>
      <c r="AA215" s="1024"/>
      <c r="AB215" s="1021"/>
      <c r="AC215" s="1022"/>
      <c r="AD215" s="1022"/>
      <c r="AE215" s="1022"/>
      <c r="AF215" s="1023"/>
      <c r="AG215" s="1021"/>
      <c r="AH215" s="1022"/>
      <c r="AI215" s="1022"/>
      <c r="AJ215" s="1022"/>
      <c r="AK215" s="1023"/>
      <c r="AL215" s="1024"/>
      <c r="AM215" s="1021"/>
      <c r="AN215" s="1022"/>
      <c r="AO215" s="1022"/>
      <c r="AP215" s="1022"/>
      <c r="AQ215" s="1023"/>
      <c r="AR215" s="1021"/>
      <c r="AS215" s="1022"/>
      <c r="AT215" s="1022"/>
      <c r="AU215" s="1022"/>
      <c r="AV215" s="1023"/>
      <c r="AW215" s="1025"/>
      <c r="AX215" s="1282">
        <f t="shared" si="304"/>
        <v>0</v>
      </c>
      <c r="AY215" s="387">
        <f t="shared" si="305"/>
        <v>0</v>
      </c>
      <c r="AZ215" s="387">
        <f t="shared" si="306"/>
        <v>0</v>
      </c>
      <c r="BA215" s="387">
        <f t="shared" si="307"/>
        <v>0</v>
      </c>
      <c r="BB215" s="1283">
        <f t="shared" si="308"/>
        <v>0</v>
      </c>
      <c r="BC215" s="386">
        <f t="shared" si="309"/>
        <v>0</v>
      </c>
      <c r="BD215" s="387">
        <f t="shared" si="310"/>
        <v>0</v>
      </c>
      <c r="BE215" s="1277">
        <f t="shared" si="311"/>
        <v>0</v>
      </c>
      <c r="BF215" s="1277">
        <f t="shared" si="312"/>
        <v>0</v>
      </c>
      <c r="BG215" s="388">
        <f t="shared" si="313"/>
        <v>0</v>
      </c>
      <c r="BH215" s="1025"/>
      <c r="BI215" s="1282">
        <f t="shared" ca="1" si="314"/>
        <v>0</v>
      </c>
      <c r="BJ215" s="387">
        <f t="shared" ca="1" si="315"/>
        <v>0</v>
      </c>
      <c r="BK215" s="387">
        <f t="shared" ca="1" si="316"/>
        <v>0</v>
      </c>
      <c r="BL215" s="387">
        <f t="shared" ca="1" si="317"/>
        <v>0</v>
      </c>
      <c r="BM215" s="1283">
        <f t="shared" ca="1" si="318"/>
        <v>0</v>
      </c>
      <c r="BN215" s="386">
        <f t="shared" ca="1" si="319"/>
        <v>0</v>
      </c>
      <c r="BO215" s="387">
        <f t="shared" ca="1" si="320"/>
        <v>0</v>
      </c>
      <c r="BP215" s="1277">
        <f t="shared" ca="1" si="321"/>
        <v>0</v>
      </c>
      <c r="BQ215" s="1277">
        <f t="shared" ca="1" si="322"/>
        <v>0</v>
      </c>
      <c r="BR215" s="388">
        <f t="shared" ca="1" si="323"/>
        <v>0</v>
      </c>
      <c r="BS215" s="1025"/>
      <c r="BT215" s="1282">
        <f>+IF($K215="Ongoing",AX215,IF(RIGHT($K215,2)=RIGHT(BT$43,2),SUM($AX215:AX215),0)+IF(RIGHT(BT$43,2)&gt;RIGHT($K215,2),AX215,0))</f>
        <v>0</v>
      </c>
      <c r="BU215" s="387">
        <f>+IF($K215="Ongoing",AY215,IF(RIGHT($K215,2)=RIGHT(BU$43,2),SUM($AX215:AY215),0)+IF(RIGHT(BU$43,2)&gt;RIGHT($K215,2),AY215,0))</f>
        <v>0</v>
      </c>
      <c r="BV215" s="387">
        <f>+IF($K215="Ongoing",AZ215,IF(RIGHT($K215,2)=RIGHT(BV$43,2),SUM($AX215:AZ215),0)+IF(RIGHT(BV$43,2)&gt;RIGHT($K215,2),AZ215,0))</f>
        <v>0</v>
      </c>
      <c r="BW215" s="387">
        <f>+IF($K215="Ongoing",BA215,IF(RIGHT($K215,2)=RIGHT(BW$43,2),SUM($AX215:BA215),0)+IF(RIGHT(BW$43,2)&gt;RIGHT($K215,2),BA215,0))</f>
        <v>0</v>
      </c>
      <c r="BX215" s="1283">
        <f>+IF($K215="Ongoing",BB215,IF(RIGHT($K215,2)=RIGHT(BX$43,2),SUM($AX215:BB215),0)+IF(RIGHT(BX$43,2)&gt;RIGHT($K215,2),BB215,0))</f>
        <v>0</v>
      </c>
      <c r="BY215" s="386">
        <f>+IF($K215="Ongoing",BC215,IF(RIGHT($K215,2)=RIGHT(BY$43,2),SUM($AX215:BC215),0)+IF(RIGHT(BY$43,2)&gt;RIGHT($K215,2),BC215,0))</f>
        <v>0</v>
      </c>
      <c r="BZ215" s="387">
        <f>+IF($K215="Ongoing",BD215,IF(RIGHT($K215,2)=RIGHT(BZ$43,2),SUM($AX215:BD215),0)+IF(RIGHT(BZ$43,2)&gt;RIGHT($K215,2),BD215,0))</f>
        <v>0</v>
      </c>
      <c r="CA215" s="1277">
        <f>+IF($K215="Ongoing",BE215,IF(RIGHT($K215,2)=RIGHT(CA$43,2),SUM($AX215:BE215),0)+IF(RIGHT(CA$43,2)&gt;RIGHT($K215,2),BE215,0))</f>
        <v>0</v>
      </c>
      <c r="CB215" s="1277">
        <f>+IF($K215="Ongoing",BF215,IF(RIGHT($K215,2)=RIGHT(CB$43,2),SUM($AX215:BF215),0)+IF(RIGHT(CB$43,2)&gt;RIGHT($K215,2),BF215,0))</f>
        <v>0</v>
      </c>
      <c r="CC215" s="388">
        <f>+IF($K215="Ongoing",BG215,IF(RIGHT($K215,2)=RIGHT(CC$43,2),SUM($AX215:BG215),0)+IF(RIGHT(CC$43,2)&gt;RIGHT($K215,2),BG215,0))</f>
        <v>0</v>
      </c>
      <c r="CD215" s="1025"/>
      <c r="CE215" s="1282">
        <f>+Q215*KeyAssumptionsPriceControl_FO!AF$15</f>
        <v>0</v>
      </c>
      <c r="CF215" s="387">
        <f>+R215*KeyAssumptionsPriceControl_FO!AG$15</f>
        <v>0</v>
      </c>
      <c r="CG215" s="387">
        <f>+S215*KeyAssumptionsPriceControl_FO!AH$15</f>
        <v>0</v>
      </c>
      <c r="CH215" s="387">
        <f>+T215*KeyAssumptionsPriceControl_FO!AI$15</f>
        <v>0</v>
      </c>
      <c r="CI215" s="1283">
        <f>+U215*KeyAssumptionsPriceControl_FO!AJ$15</f>
        <v>0</v>
      </c>
      <c r="CJ215" s="386">
        <f>+V215*KeyAssumptionsPriceControl_FO!AK$15</f>
        <v>0</v>
      </c>
      <c r="CK215" s="387">
        <f>+W215*KeyAssumptionsPriceControl_FO!AL$15</f>
        <v>0</v>
      </c>
      <c r="CL215" s="1277">
        <f>+X215*KeyAssumptionsPriceControl_FO!AM$15</f>
        <v>0</v>
      </c>
      <c r="CM215" s="1277">
        <f>+Y215*KeyAssumptionsPriceControl_FO!AN$15</f>
        <v>0</v>
      </c>
      <c r="CN215" s="388">
        <f>+Z215*KeyAssumptionsPriceControl_FO!AO$15</f>
        <v>0</v>
      </c>
      <c r="CO215" s="1025"/>
      <c r="CP215" s="1282">
        <f t="shared" ca="1" si="324"/>
        <v>0</v>
      </c>
      <c r="CQ215" s="387">
        <f t="shared" ca="1" si="325"/>
        <v>0</v>
      </c>
      <c r="CR215" s="387">
        <f t="shared" ca="1" si="326"/>
        <v>0</v>
      </c>
      <c r="CS215" s="387">
        <f t="shared" ca="1" si="327"/>
        <v>0</v>
      </c>
      <c r="CT215" s="1283">
        <f t="shared" ca="1" si="328"/>
        <v>0</v>
      </c>
      <c r="CU215" s="386">
        <f t="shared" ca="1" si="329"/>
        <v>0</v>
      </c>
      <c r="CV215" s="387">
        <f t="shared" ca="1" si="330"/>
        <v>0</v>
      </c>
      <c r="CW215" s="1277">
        <f t="shared" ca="1" si="331"/>
        <v>0</v>
      </c>
      <c r="CX215" s="1277">
        <f t="shared" ca="1" si="332"/>
        <v>0</v>
      </c>
      <c r="CY215" s="388">
        <f t="shared" ca="1" si="333"/>
        <v>0</v>
      </c>
      <c r="CZ215" s="347"/>
      <c r="DA215" s="852"/>
      <c r="DB215" s="347"/>
      <c r="DC215" s="1012" t="s">
        <v>736</v>
      </c>
      <c r="DD215" s="841" t="s">
        <v>518</v>
      </c>
      <c r="DE215" s="386">
        <f>+IF($K215="ongoing",CE215,IF(RIGHT($K215,2)=RIGHT(DE$43,2),SUM($CD215:CE215),0)+IF(RIGHT(DE$43,2)&gt;RIGHT($K215,2),CE215,0))</f>
        <v>0</v>
      </c>
      <c r="DF215" s="387">
        <f>+IF($K215="ongoing",CF215,IF(RIGHT($K215,2)=RIGHT(DF$43,2),SUM($CD215:CF215),0)+IF(RIGHT(DF$43,2)&gt;RIGHT($K215,2),CF215,0))</f>
        <v>0</v>
      </c>
      <c r="DG215" s="388">
        <f>+IF($K215="ongoing",CG215,IF(RIGHT($K215,2)=RIGHT(DG$43,2),SUM($CD215:CG215),0)+IF(RIGHT(DG$43,2)&gt;RIGHT($K215,2),CG215,0))</f>
        <v>0</v>
      </c>
      <c r="DH215" s="386">
        <f>+IF($K215="ongoing",CH215,IF(RIGHT($K215,2)=RIGHT(DH$43,2),SUM($CD215:CH215),0)+IF(RIGHT(DH$43,2)&gt;RIGHT($K215,2),CH215,0))</f>
        <v>0</v>
      </c>
      <c r="DI215" s="387">
        <f>+IF($K215="ongoing",CI215,IF(RIGHT($K215,2)=RIGHT(DI$43,2),SUM($CD215:CI215),0)+IF(RIGHT(DI$43,2)&gt;RIGHT($K215,2),CI215,0))</f>
        <v>0</v>
      </c>
      <c r="DJ215" s="387">
        <f>+IF($K215="ongoing",CJ215,IF(RIGHT($K215,2)=RIGHT(DJ$43,2),SUM($CD215:CJ215),0)+IF(RIGHT(DJ$43,2)&gt;RIGHT($K215,2),CJ215,0))</f>
        <v>0</v>
      </c>
      <c r="DK215" s="387">
        <f>+IF($K215="ongoing",CK215,IF(RIGHT($K215,2)=RIGHT(DK$43,2),SUM($CD215:CK215),0)+IF(RIGHT(DK$43,2)&gt;RIGHT($K215,2),CK215,0))</f>
        <v>0</v>
      </c>
      <c r="DL215" s="388">
        <f>+IF($K215="ongoing",CN215,IF(RIGHT($K215,2)=RIGHT(DL$43,2),SUM($CD215:CN215),0)+IF(RIGHT(DL$43,2)&gt;RIGHT($K215,2),CN215,0))</f>
        <v>0</v>
      </c>
      <c r="DM215" s="841"/>
      <c r="DN215" s="386">
        <f t="shared" si="334"/>
        <v>0.5</v>
      </c>
      <c r="DO215" s="387">
        <f t="shared" si="335"/>
        <v>1</v>
      </c>
      <c r="DP215" s="388">
        <f t="shared" si="336"/>
        <v>1</v>
      </c>
      <c r="DQ215" s="386">
        <f t="shared" si="337"/>
        <v>1</v>
      </c>
      <c r="DR215" s="387">
        <f t="shared" si="338"/>
        <v>1</v>
      </c>
      <c r="DS215" s="387">
        <f t="shared" si="339"/>
        <v>1</v>
      </c>
      <c r="DT215" s="387">
        <f t="shared" si="340"/>
        <v>1</v>
      </c>
      <c r="DU215" s="388">
        <f t="shared" si="341"/>
        <v>1</v>
      </c>
      <c r="DW215" s="386">
        <f t="shared" si="342"/>
        <v>0</v>
      </c>
      <c r="DX215" s="387">
        <f t="shared" si="343"/>
        <v>0.5</v>
      </c>
      <c r="DY215" s="388">
        <f t="shared" si="344"/>
        <v>1</v>
      </c>
      <c r="DZ215" s="386">
        <f t="shared" si="345"/>
        <v>1</v>
      </c>
      <c r="EA215" s="387">
        <f t="shared" si="346"/>
        <v>1</v>
      </c>
      <c r="EB215" s="387">
        <f t="shared" si="347"/>
        <v>1</v>
      </c>
      <c r="EC215" s="387">
        <f t="shared" si="348"/>
        <v>1</v>
      </c>
      <c r="ED215" s="388">
        <f t="shared" si="349"/>
        <v>1</v>
      </c>
      <c r="EF215" s="834">
        <f>+IF(DN215=DM215,0,
IF(AND(EF$44&gt;1,DN215=$N215),1-SUM($EE215:EE215),
IF($N215&lt;=1,
IF($N215&gt;0,1/$N215,0),
IF(EF$44=1,0,VDB(1,0,$N215,INT(EF$44-1-1),MIN($N215,INT(EF$44-1-1)+1),$DC215,IF($DD215="No",1,0))/
IF(DM215&gt;=INT($N215),$N215-INT($N215),1)))*
IF(EF$44=1,0,
IF(INT(DN215)=INT(DM215),DN215-DM215,INT(DN215)-DM215))+
IF($N215&lt;=1,
IF($N215&gt;0,1/$N215,0),VDB(1,0,$N215,INT(EF$44-1),MIN($N215,INT(EF$44-1)+1),$DC215,IF($DD215="No",1,0))/
IF(DN215&gt;INT($N215),$N215-INT($N215),1))*
IF(EF$44=1,DN215,
IF(INT(DN215)=INT(DM215),0,DN215-INT(DN215)))))</f>
        <v>0</v>
      </c>
      <c r="EG215" s="835">
        <f>+IF(DO215=DN215,0,
IF(AND(EG$44&gt;1,DO215=$N215),1-SUM($EE215:EF215),
IF($N215&lt;=1,
IF($N215&gt;0,1/$N215,0),
IF(EG$44=1,0,VDB(1,0,$N215,INT(EG$44-1-1),MIN($N215,INT(EG$44-1-1)+1),$DC215,IF($DD215="No",1,0))/
IF(DN215&gt;=INT($N215),$N215-INT($N215),1)))*
IF(EG$44=1,0,
IF(INT(DO215)=INT(DN215),DO215-DN215,INT(DO215)-DN215))+
IF($N215&lt;=1,
IF($N215&gt;0,1/$N215,0),VDB(1,0,$N215,INT(EG$44-1),MIN($N215,INT(EG$44-1)+1),$DC215,IF($DD215="No",1,0))/
IF(DO215&gt;INT($N215),$N215-INT($N215),1))*
IF(EG$44=1,DO215,
IF(INT(DO215)=INT(DN215),0,DO215-INT(DO215)))))</f>
        <v>0</v>
      </c>
      <c r="EH215" s="836">
        <f>+IF(DP215=DO215,0,
IF(AND(EH$44&gt;1,DP215=$N215),1-SUM($EE215:EG215),
IF($N215&lt;=1,
IF($N215&gt;0,1/$N215,0),
IF(EH$44=1,0,VDB(1,0,$N215,INT(EH$44-1-1),MIN($N215,INT(EH$44-1-1)+1),$DC215,IF($DD215="No",1,0))/
IF(DO215&gt;=INT($N215),$N215-INT($N215),1)))*
IF(EH$44=1,0,
IF(INT(DP215)=INT(DO215),DP215-DO215,INT(DP215)-DO215))+
IF($N215&lt;=1,
IF($N215&gt;0,1/$N215,0),VDB(1,0,$N215,INT(EH$44-1),MIN($N215,INT(EH$44-1)+1),$DC215,IF($DD215="No",1,0))/
IF(DP215&gt;INT($N215),$N215-INT($N215),1))*
IF(EH$44=1,DP215,
IF(INT(DP215)=INT(DO215),0,DP215-INT(DP215)))))</f>
        <v>0</v>
      </c>
      <c r="EI215" s="834">
        <f>+IF(DQ215=DP215,0,
IF(AND(EI$44&gt;1,DQ215=$N215),1-SUM($EE215:EH215),
IF($N215&lt;=1,
IF($N215&gt;0,1/$N215,0),
IF(EI$44=1,0,VDB(1,0,$N215,INT(EI$44-1-1),MIN($N215,INT(EI$44-1-1)+1),$DC215,IF($DD215="No",1,0))/
IF(DP215&gt;=INT($N215),$N215-INT($N215),1)))*
IF(EI$44=1,0,
IF(INT(DQ215)=INT(DP215),DQ215-DP215,INT(DQ215)-DP215))+
IF($N215&lt;=1,
IF($N215&gt;0,1/$N215,0),VDB(1,0,$N215,INT(EI$44-1),MIN($N215,INT(EI$44-1)+1),$DC215,IF($DD215="No",1,0))/
IF(DQ215&gt;INT($N215),$N215-INT($N215),1))*
IF(EI$44=1,DQ215,
IF(INT(DQ215)=INT(DP215),0,DQ215-INT(DQ215)))))</f>
        <v>0</v>
      </c>
      <c r="EJ215" s="835">
        <f>+IF(DR215=DQ215,0,
IF(AND(EJ$44&gt;1,DR215=$N215),1-SUM($EE215:EI215),
IF($N215&lt;=1,
IF($N215&gt;0,1/$N215,0),
IF(EJ$44=1,0,VDB(1,0,$N215,INT(EJ$44-1-1),MIN($N215,INT(EJ$44-1-1)+1),$DC215,IF($DD215="No",1,0))/
IF(DQ215&gt;=INT($N215),$N215-INT($N215),1)))*
IF(EJ$44=1,0,
IF(INT(DR215)=INT(DQ215),DR215-DQ215,INT(DR215)-DQ215))+
IF($N215&lt;=1,
IF($N215&gt;0,1/$N215,0),VDB(1,0,$N215,INT(EJ$44-1),MIN($N215,INT(EJ$44-1)+1),$DC215,IF($DD215="No",1,0))/
IF(DR215&gt;INT($N215),$N215-INT($N215),1))*
IF(EJ$44=1,DR215,
IF(INT(DR215)=INT(DQ215),0,DR215-INT(DR215)))))</f>
        <v>0</v>
      </c>
      <c r="EK215" s="835">
        <f>+IF(DS215=DR215,0,
IF(AND(EK$44&gt;1,DS215=$N215),1-SUM($EE215:EJ215),
IF($N215&lt;=1,
IF($N215&gt;0,1/$N215,0),
IF(EK$44=1,0,VDB(1,0,$N215,INT(EK$44-1-1),MIN($N215,INT(EK$44-1-1)+1),$DC215,IF($DD215="No",1,0))/
IF(DR215&gt;=INT($N215),$N215-INT($N215),1)))*
IF(EK$44=1,0,
IF(INT(DS215)=INT(DR215),DS215-DR215,INT(DS215)-DR215))+
IF($N215&lt;=1,
IF($N215&gt;0,1/$N215,0),VDB(1,0,$N215,INT(EK$44-1),MIN($N215,INT(EK$44-1)+1),$DC215,IF($DD215="No",1,0))/
IF(DS215&gt;INT($N215),$N215-INT($N215),1))*
IF(EK$44=1,DS215,
IF(INT(DS215)=INT(DR215),0,DS215-INT(DS215)))))</f>
        <v>0</v>
      </c>
      <c r="EL215" s="835">
        <f>+IF(DT215=DS215,0,
IF(AND(EL$44&gt;1,DT215=$N215),1-SUM($EE215:EK215),
IF($N215&lt;=1,
IF($N215&gt;0,1/$N215,0),
IF(EL$44=1,0,VDB(1,0,$N215,INT(EL$44-1-1),MIN($N215,INT(EL$44-1-1)+1),$DC215,IF($DD215="No",1,0))/
IF(DS215&gt;=INT($N215),$N215-INT($N215),1)))*
IF(EL$44=1,0,
IF(INT(DT215)=INT(DS215),DT215-DS215,INT(DT215)-DS215))+
IF($N215&lt;=1,
IF($N215&gt;0,1/$N215,0),VDB(1,0,$N215,INT(EL$44-1),MIN($N215,INT(EL$44-1)+1),$DC215,IF($DD215="No",1,0))/
IF(DT215&gt;INT($N215),$N215-INT($N215),1))*
IF(EL$44=1,DT215,
IF(INT(DT215)=INT(DS215),0,DT215-INT(DT215)))))</f>
        <v>0</v>
      </c>
      <c r="EM215" s="836">
        <f>+IF(DU215=DT215,0,
IF(AND(EM$44&gt;1,DU215=$N215),1-SUM($EE215:EL215),
IF($N215&lt;=1,
IF($N215&gt;0,1/$N215,0),
IF(EM$44=1,0,VDB(1,0,$N215,INT(EM$44-1-1),MIN($N215,INT(EM$44-1-1)+1),$DC215,IF($DD215="No",1,0))/
IF(DT215&gt;=INT($N215),$N215-INT($N215),1)))*
IF(EM$44=1,0,
IF(INT(DU215)=INT(DT215),DU215-DT215,INT(DU215)-DT215))+
IF($N215&lt;=1,
IF($N215&gt;0,1/$N215,0),VDB(1,0,$N215,INT(EM$44-1),MIN($N215,INT(EM$44-1)+1),$DC215,IF($DD215="No",1,0))/
IF(DU215&gt;INT($N215),$N215-INT($N215),1))*
IF(EM$44=1,DU215,
IF(INT(DU215)=INT(DT215),0,DU215-INT(DU215)))))</f>
        <v>0</v>
      </c>
      <c r="EN215" s="833"/>
      <c r="EO215" s="834">
        <f>+IF(OR(DW215=DV215,EO$44=1),0,
IF(AND(EO$44&gt;1,DW215=$N215),1-SUM($EN215:EN215),
IF($N215&lt;=1,
IF($N215&gt;0,1/$N215,0),
IF(EO$44=2,0,VDB(1,0,$N215,INT(EO$44-2-1),MIN($N215,INT(EO$44-2-1)+1),$DC215,IF($DD215="No",1,0))/
IF(DV215&gt;=INT($N215),$N215-INT($N215),1)))*
IF(EO$44=2,0,
IF(INT(DW215)=INT(DV215),DW215-DV215,INT(DW215)-DV215))+
IF($N215&lt;=1,
IF($N215&gt;0,1/$N215,0),VDB(1,0,$N215,INT(EO$44-2),MIN($N215,INT(EO$44-2)+1),$DC215,IF($DD215="No",1,0))/
IF(DW215&gt;INT($N215),$N215-INT($N215),1))*
IF(EO$44=2,DW215,
IF(INT(DW215)=INT(DV215),0,DW215-INT(DW215)))))</f>
        <v>0</v>
      </c>
      <c r="EP215" s="835">
        <f>+IF(OR(DX215=DW215,EP$44=1),0,
IF(AND(EP$44&gt;1,DX215=$N215),1-SUM($EN215:EO215),
IF($N215&lt;=1,
IF($N215&gt;0,1/$N215,0),
IF(EP$44=2,0,VDB(1,0,$N215,INT(EP$44-2-1),MIN($N215,INT(EP$44-2-1)+1),$DC215,IF($DD215="No",1,0))/
IF(DW215&gt;=INT($N215),$N215-INT($N215),1)))*
IF(EP$44=2,0,
IF(INT(DX215)=INT(DW215),DX215-DW215,INT(DX215)-DW215))+
IF($N215&lt;=1,
IF($N215&gt;0,1/$N215,0),VDB(1,0,$N215,INT(EP$44-2),MIN($N215,INT(EP$44-2)+1),$DC215,IF($DD215="No",1,0))/
IF(DX215&gt;INT($N215),$N215-INT($N215),1))*
IF(EP$44=2,DX215,
IF(INT(DX215)=INT(DW215),0,DX215-INT(DX215)))))</f>
        <v>0</v>
      </c>
      <c r="EQ215" s="836">
        <f>+IF(OR(DY215=DX215,EQ$44=1),0,
IF(AND(EQ$44&gt;1,DY215=$N215),1-SUM($EN215:EP215),
IF($N215&lt;=1,
IF($N215&gt;0,1/$N215,0),
IF(EQ$44=2,0,VDB(1,0,$N215,INT(EQ$44-2-1),MIN($N215,INT(EQ$44-2-1)+1),$DC215,IF($DD215="No",1,0))/
IF(DX215&gt;=INT($N215),$N215-INT($N215),1)))*
IF(EQ$44=2,0,
IF(INT(DY215)=INT(DX215),DY215-DX215,INT(DY215)-DX215))+
IF($N215&lt;=1,
IF($N215&gt;0,1/$N215,0),VDB(1,0,$N215,INT(EQ$44-2),MIN($N215,INT(EQ$44-2)+1),$DC215,IF($DD215="No",1,0))/
IF(DY215&gt;INT($N215),$N215-INT($N215),1))*
IF(EQ$44=2,DY215,
IF(INT(DY215)=INT(DX215),0,DY215-INT(DY215)))))</f>
        <v>0</v>
      </c>
      <c r="ER215" s="834">
        <f>+IF(OR(DZ215=DY215,ER$44=1),0,
IF(AND(ER$44&gt;1,DZ215=$N215),1-SUM($EN215:EQ215),
IF($N215&lt;=1,
IF($N215&gt;0,1/$N215,0),
IF(ER$44=2,0,VDB(1,0,$N215,INT(ER$44-2-1),MIN($N215,INT(ER$44-2-1)+1),$DC215,IF($DD215="No",1,0))/
IF(DY215&gt;=INT($N215),$N215-INT($N215),1)))*
IF(ER$44=2,0,
IF(INT(DZ215)=INT(DY215),DZ215-DY215,INT(DZ215)-DY215))+
IF($N215&lt;=1,
IF($N215&gt;0,1/$N215,0),VDB(1,0,$N215,INT(ER$44-2),MIN($N215,INT(ER$44-2)+1),$DC215,IF($DD215="No",1,0))/
IF(DZ215&gt;INT($N215),$N215-INT($N215),1))*
IF(ER$44=2,DZ215,
IF(INT(DZ215)=INT(DY215),0,DZ215-INT(DZ215)))))</f>
        <v>0</v>
      </c>
      <c r="ES215" s="835">
        <f>+IF(OR(EA215=DZ215,ES$44=1),0,
IF(AND(ES$44&gt;1,EA215=$N215),1-SUM($EN215:ER215),
IF($N215&lt;=1,
IF($N215&gt;0,1/$N215,0),
IF(ES$44=2,0,VDB(1,0,$N215,INT(ES$44-2-1),MIN($N215,INT(ES$44-2-1)+1),$DC215,IF($DD215="No",1,0))/
IF(DZ215&gt;=INT($N215),$N215-INT($N215),1)))*
IF(ES$44=2,0,
IF(INT(EA215)=INT(DZ215),EA215-DZ215,INT(EA215)-DZ215))+
IF($N215&lt;=1,
IF($N215&gt;0,1/$N215,0),VDB(1,0,$N215,INT(ES$44-2),MIN($N215,INT(ES$44-2)+1),$DC215,IF($DD215="No",1,0))/
IF(EA215&gt;INT($N215),$N215-INT($N215),1))*
IF(ES$44=2,EA215,
IF(INT(EA215)=INT(DZ215),0,EA215-INT(EA215)))))</f>
        <v>0</v>
      </c>
      <c r="ET215" s="835">
        <f>+IF(OR(EB215=EA215,ET$44=1),0,
IF(AND(ET$44&gt;1,EB215=$N215),1-SUM($EN215:ES215),
IF($N215&lt;=1,
IF($N215&gt;0,1/$N215,0),
IF(ET$44=2,0,VDB(1,0,$N215,INT(ET$44-2-1),MIN($N215,INT(ET$44-2-1)+1),$DC215,IF($DD215="No",1,0))/
IF(EA215&gt;=INT($N215),$N215-INT($N215),1)))*
IF(ET$44=2,0,
IF(INT(EB215)=INT(EA215),EB215-EA215,INT(EB215)-EA215))+
IF($N215&lt;=1,
IF($N215&gt;0,1/$N215,0),VDB(1,0,$N215,INT(ET$44-2),MIN($N215,INT(ET$44-2)+1),$DC215,IF($DD215="No",1,0))/
IF(EB215&gt;INT($N215),$N215-INT($N215),1))*
IF(ET$44=2,EB215,
IF(INT(EB215)=INT(EA215),0,EB215-INT(EB215)))))</f>
        <v>0</v>
      </c>
      <c r="EU215" s="835">
        <f>+IF(OR(EC215=EB215,EU$44=1),0,
IF(AND(EU$44&gt;1,EC215=$N215),1-SUM($EN215:ET215),
IF($N215&lt;=1,
IF($N215&gt;0,1/$N215,0),
IF(EU$44=2,0,VDB(1,0,$N215,INT(EU$44-2-1),MIN($N215,INT(EU$44-2-1)+1),$DC215,IF($DD215="No",1,0))/
IF(EB215&gt;=INT($N215),$N215-INT($N215),1)))*
IF(EU$44=2,0,
IF(INT(EC215)=INT(EB215),EC215-EB215,INT(EC215)-EB215))+
IF($N215&lt;=1,
IF($N215&gt;0,1/$N215,0),VDB(1,0,$N215,INT(EU$44-2),MIN($N215,INT(EU$44-2)+1),$DC215,IF($DD215="No",1,0))/
IF(EC215&gt;INT($N215),$N215-INT($N215),1))*
IF(EU$44=2,EC215,
IF(INT(EC215)=INT(EB215),0,EC215-INT(EC215)))))</f>
        <v>0</v>
      </c>
      <c r="EV215" s="836">
        <f>+IF(OR(ED215=EC215,EV$44=1),0,
IF(AND(EV$44&gt;1,ED215=$N215),1-SUM($EN215:EU215),
IF($N215&lt;=1,
IF($N215&gt;0,1/$N215,0),
IF(EV$44=2,0,VDB(1,0,$N215,INT(EV$44-2-1),MIN($N215,INT(EV$44-2-1)+1),$DC215,IF($DD215="No",1,0))/
IF(EC215&gt;=INT($N215),$N215-INT($N215),1)))*
IF(EV$44=2,0,
IF(INT(ED215)=INT(EC215),ED215-EC215,INT(ED215)-EC215))+
IF($N215&lt;=1,
IF($N215&gt;0,1/$N215,0),VDB(1,0,$N215,INT(EV$44-2),MIN($N215,INT(EV$44-2)+1),$DC215,IF($DD215="No",1,0))/
IF(ED215&gt;INT($N215),$N215-INT($N215),1))*
IF(EV$44=2,ED215,
IF(INT(ED215)=INT(EC215),0,ED215-INT(ED215)))))</f>
        <v>0</v>
      </c>
      <c r="EW215" s="833"/>
      <c r="EX215" s="834">
        <f t="shared" ca="1" si="361"/>
        <v>0</v>
      </c>
      <c r="EY215" s="835">
        <f t="shared" ca="1" si="361"/>
        <v>0</v>
      </c>
      <c r="EZ215" s="836">
        <f t="shared" ca="1" si="361"/>
        <v>0</v>
      </c>
      <c r="FA215" s="834">
        <f t="shared" ca="1" si="361"/>
        <v>0</v>
      </c>
      <c r="FB215" s="835">
        <f t="shared" ca="1" si="361"/>
        <v>0</v>
      </c>
      <c r="FC215" s="835">
        <f t="shared" ca="1" si="361"/>
        <v>0</v>
      </c>
      <c r="FD215" s="835">
        <f t="shared" ca="1" si="361"/>
        <v>0</v>
      </c>
      <c r="FE215" s="836">
        <f t="shared" ca="1" si="361"/>
        <v>0</v>
      </c>
      <c r="FG215" s="386">
        <f t="shared" ca="1" si="351"/>
        <v>0</v>
      </c>
      <c r="FH215" s="387">
        <f t="shared" ca="1" si="352"/>
        <v>0</v>
      </c>
      <c r="FI215" s="388">
        <f t="shared" ca="1" si="353"/>
        <v>0</v>
      </c>
      <c r="FJ215" s="386">
        <f t="shared" ca="1" si="354"/>
        <v>0</v>
      </c>
      <c r="FK215" s="387">
        <f t="shared" ca="1" si="355"/>
        <v>0</v>
      </c>
      <c r="FL215" s="387">
        <f t="shared" ca="1" si="356"/>
        <v>0</v>
      </c>
      <c r="FM215" s="387">
        <f t="shared" ca="1" si="357"/>
        <v>0</v>
      </c>
      <c r="FN215" s="388">
        <f t="shared" ca="1" si="358"/>
        <v>0</v>
      </c>
      <c r="FR215" s="116"/>
    </row>
    <row r="216" spans="2:174">
      <c r="B216" s="1410">
        <f t="shared" si="359"/>
        <v>170</v>
      </c>
      <c r="C216" s="400"/>
      <c r="D216" s="410"/>
      <c r="E216" s="402"/>
      <c r="F216" s="402"/>
      <c r="G216" s="400"/>
      <c r="H216" s="2088"/>
      <c r="I216" s="2089"/>
      <c r="J216" s="411"/>
      <c r="K216" s="403"/>
      <c r="L216" s="403"/>
      <c r="M216" s="403"/>
      <c r="N216" s="403"/>
      <c r="O216" s="347"/>
      <c r="P216" s="347"/>
      <c r="Q216" s="1021"/>
      <c r="R216" s="1022"/>
      <c r="S216" s="1022"/>
      <c r="T216" s="1022"/>
      <c r="U216" s="1023"/>
      <c r="V216" s="1021"/>
      <c r="W216" s="1022"/>
      <c r="X216" s="1022"/>
      <c r="Y216" s="1022"/>
      <c r="Z216" s="1023"/>
      <c r="AA216" s="1024"/>
      <c r="AB216" s="1021"/>
      <c r="AC216" s="1022"/>
      <c r="AD216" s="1022"/>
      <c r="AE216" s="1022"/>
      <c r="AF216" s="1023"/>
      <c r="AG216" s="1021"/>
      <c r="AH216" s="1022"/>
      <c r="AI216" s="1022"/>
      <c r="AJ216" s="1022"/>
      <c r="AK216" s="1023"/>
      <c r="AL216" s="1024"/>
      <c r="AM216" s="1021"/>
      <c r="AN216" s="1022"/>
      <c r="AO216" s="1022"/>
      <c r="AP216" s="1022"/>
      <c r="AQ216" s="1023"/>
      <c r="AR216" s="1021"/>
      <c r="AS216" s="1022"/>
      <c r="AT216" s="1022"/>
      <c r="AU216" s="1022"/>
      <c r="AV216" s="1023"/>
      <c r="AW216" s="1025"/>
      <c r="AX216" s="1282">
        <f t="shared" si="304"/>
        <v>0</v>
      </c>
      <c r="AY216" s="387">
        <f t="shared" si="305"/>
        <v>0</v>
      </c>
      <c r="AZ216" s="387">
        <f t="shared" si="306"/>
        <v>0</v>
      </c>
      <c r="BA216" s="387">
        <f t="shared" si="307"/>
        <v>0</v>
      </c>
      <c r="BB216" s="1283">
        <f t="shared" si="308"/>
        <v>0</v>
      </c>
      <c r="BC216" s="386">
        <f t="shared" si="309"/>
        <v>0</v>
      </c>
      <c r="BD216" s="387">
        <f t="shared" si="310"/>
        <v>0</v>
      </c>
      <c r="BE216" s="1277">
        <f t="shared" si="311"/>
        <v>0</v>
      </c>
      <c r="BF216" s="1277">
        <f t="shared" si="312"/>
        <v>0</v>
      </c>
      <c r="BG216" s="388">
        <f t="shared" si="313"/>
        <v>0</v>
      </c>
      <c r="BH216" s="1025"/>
      <c r="BI216" s="1282">
        <f t="shared" ca="1" si="314"/>
        <v>0</v>
      </c>
      <c r="BJ216" s="387">
        <f t="shared" ca="1" si="315"/>
        <v>0</v>
      </c>
      <c r="BK216" s="387">
        <f t="shared" ca="1" si="316"/>
        <v>0</v>
      </c>
      <c r="BL216" s="387">
        <f t="shared" ca="1" si="317"/>
        <v>0</v>
      </c>
      <c r="BM216" s="1283">
        <f t="shared" ca="1" si="318"/>
        <v>0</v>
      </c>
      <c r="BN216" s="386">
        <f t="shared" ca="1" si="319"/>
        <v>0</v>
      </c>
      <c r="BO216" s="387">
        <f t="shared" ca="1" si="320"/>
        <v>0</v>
      </c>
      <c r="BP216" s="1277">
        <f t="shared" ca="1" si="321"/>
        <v>0</v>
      </c>
      <c r="BQ216" s="1277">
        <f t="shared" ca="1" si="322"/>
        <v>0</v>
      </c>
      <c r="BR216" s="388">
        <f t="shared" ca="1" si="323"/>
        <v>0</v>
      </c>
      <c r="BS216" s="1025"/>
      <c r="BT216" s="1282">
        <f>+IF($K216="Ongoing",AX216,IF(RIGHT($K216,2)=RIGHT(BT$43,2),SUM($AX216:AX216),0)+IF(RIGHT(BT$43,2)&gt;RIGHT($K216,2),AX216,0))</f>
        <v>0</v>
      </c>
      <c r="BU216" s="387">
        <f>+IF($K216="Ongoing",AY216,IF(RIGHT($K216,2)=RIGHT(BU$43,2),SUM($AX216:AY216),0)+IF(RIGHT(BU$43,2)&gt;RIGHT($K216,2),AY216,0))</f>
        <v>0</v>
      </c>
      <c r="BV216" s="387">
        <f>+IF($K216="Ongoing",AZ216,IF(RIGHT($K216,2)=RIGHT(BV$43,2),SUM($AX216:AZ216),0)+IF(RIGHT(BV$43,2)&gt;RIGHT($K216,2),AZ216,0))</f>
        <v>0</v>
      </c>
      <c r="BW216" s="387">
        <f>+IF($K216="Ongoing",BA216,IF(RIGHT($K216,2)=RIGHT(BW$43,2),SUM($AX216:BA216),0)+IF(RIGHT(BW$43,2)&gt;RIGHT($K216,2),BA216,0))</f>
        <v>0</v>
      </c>
      <c r="BX216" s="1283">
        <f>+IF($K216="Ongoing",BB216,IF(RIGHT($K216,2)=RIGHT(BX$43,2),SUM($AX216:BB216),0)+IF(RIGHT(BX$43,2)&gt;RIGHT($K216,2),BB216,0))</f>
        <v>0</v>
      </c>
      <c r="BY216" s="386">
        <f>+IF($K216="Ongoing",BC216,IF(RIGHT($K216,2)=RIGHT(BY$43,2),SUM($AX216:BC216),0)+IF(RIGHT(BY$43,2)&gt;RIGHT($K216,2),BC216,0))</f>
        <v>0</v>
      </c>
      <c r="BZ216" s="387">
        <f>+IF($K216="Ongoing",BD216,IF(RIGHT($K216,2)=RIGHT(BZ$43,2),SUM($AX216:BD216),0)+IF(RIGHT(BZ$43,2)&gt;RIGHT($K216,2),BD216,0))</f>
        <v>0</v>
      </c>
      <c r="CA216" s="1277">
        <f>+IF($K216="Ongoing",BE216,IF(RIGHT($K216,2)=RIGHT(CA$43,2),SUM($AX216:BE216),0)+IF(RIGHT(CA$43,2)&gt;RIGHT($K216,2),BE216,0))</f>
        <v>0</v>
      </c>
      <c r="CB216" s="1277">
        <f>+IF($K216="Ongoing",BF216,IF(RIGHT($K216,2)=RIGHT(CB$43,2),SUM($AX216:BF216),0)+IF(RIGHT(CB$43,2)&gt;RIGHT($K216,2),BF216,0))</f>
        <v>0</v>
      </c>
      <c r="CC216" s="388">
        <f>+IF($K216="Ongoing",BG216,IF(RIGHT($K216,2)=RIGHT(CC$43,2),SUM($AX216:BG216),0)+IF(RIGHT(CC$43,2)&gt;RIGHT($K216,2),BG216,0))</f>
        <v>0</v>
      </c>
      <c r="CD216" s="1025"/>
      <c r="CE216" s="1282">
        <f>+Q216*KeyAssumptionsPriceControl_FO!AF$15</f>
        <v>0</v>
      </c>
      <c r="CF216" s="387">
        <f>+R216*KeyAssumptionsPriceControl_FO!AG$15</f>
        <v>0</v>
      </c>
      <c r="CG216" s="387">
        <f>+S216*KeyAssumptionsPriceControl_FO!AH$15</f>
        <v>0</v>
      </c>
      <c r="CH216" s="387">
        <f>+T216*KeyAssumptionsPriceControl_FO!AI$15</f>
        <v>0</v>
      </c>
      <c r="CI216" s="1283">
        <f>+U216*KeyAssumptionsPriceControl_FO!AJ$15</f>
        <v>0</v>
      </c>
      <c r="CJ216" s="386">
        <f>+V216*KeyAssumptionsPriceControl_FO!AK$15</f>
        <v>0</v>
      </c>
      <c r="CK216" s="387">
        <f>+W216*KeyAssumptionsPriceControl_FO!AL$15</f>
        <v>0</v>
      </c>
      <c r="CL216" s="1277">
        <f>+X216*KeyAssumptionsPriceControl_FO!AM$15</f>
        <v>0</v>
      </c>
      <c r="CM216" s="1277">
        <f>+Y216*KeyAssumptionsPriceControl_FO!AN$15</f>
        <v>0</v>
      </c>
      <c r="CN216" s="388">
        <f>+Z216*KeyAssumptionsPriceControl_FO!AO$15</f>
        <v>0</v>
      </c>
      <c r="CO216" s="1025"/>
      <c r="CP216" s="1282">
        <f t="shared" ca="1" si="324"/>
        <v>0</v>
      </c>
      <c r="CQ216" s="387">
        <f t="shared" ca="1" si="325"/>
        <v>0</v>
      </c>
      <c r="CR216" s="387">
        <f t="shared" ca="1" si="326"/>
        <v>0</v>
      </c>
      <c r="CS216" s="387">
        <f t="shared" ca="1" si="327"/>
        <v>0</v>
      </c>
      <c r="CT216" s="1283">
        <f t="shared" ca="1" si="328"/>
        <v>0</v>
      </c>
      <c r="CU216" s="386">
        <f t="shared" ca="1" si="329"/>
        <v>0</v>
      </c>
      <c r="CV216" s="387">
        <f t="shared" ca="1" si="330"/>
        <v>0</v>
      </c>
      <c r="CW216" s="1277">
        <f t="shared" ca="1" si="331"/>
        <v>0</v>
      </c>
      <c r="CX216" s="1277">
        <f t="shared" ca="1" si="332"/>
        <v>0</v>
      </c>
      <c r="CY216" s="388">
        <f t="shared" ca="1" si="333"/>
        <v>0</v>
      </c>
      <c r="CZ216" s="347"/>
      <c r="DA216" s="852"/>
      <c r="DB216" s="347"/>
      <c r="DC216" s="1012" t="s">
        <v>737</v>
      </c>
      <c r="DD216" s="841" t="s">
        <v>518</v>
      </c>
      <c r="DE216" s="386">
        <f>+IF($K216="ongoing",CE216,IF(RIGHT($K216,2)=RIGHT(DE$43,2),SUM($CD216:CE216),0)+IF(RIGHT(DE$43,2)&gt;RIGHT($K216,2),CE216,0))</f>
        <v>0</v>
      </c>
      <c r="DF216" s="387">
        <f>+IF($K216="ongoing",CF216,IF(RIGHT($K216,2)=RIGHT(DF$43,2),SUM($CD216:CF216),0)+IF(RIGHT(DF$43,2)&gt;RIGHT($K216,2),CF216,0))</f>
        <v>0</v>
      </c>
      <c r="DG216" s="388">
        <f>+IF($K216="ongoing",CG216,IF(RIGHT($K216,2)=RIGHT(DG$43,2),SUM($CD216:CG216),0)+IF(RIGHT(DG$43,2)&gt;RIGHT($K216,2),CG216,0))</f>
        <v>0</v>
      </c>
      <c r="DH216" s="386">
        <f>+IF($K216="ongoing",CH216,IF(RIGHT($K216,2)=RIGHT(DH$43,2),SUM($CD216:CH216),0)+IF(RIGHT(DH$43,2)&gt;RIGHT($K216,2),CH216,0))</f>
        <v>0</v>
      </c>
      <c r="DI216" s="387">
        <f>+IF($K216="ongoing",CI216,IF(RIGHT($K216,2)=RIGHT(DI$43,2),SUM($CD216:CI216),0)+IF(RIGHT(DI$43,2)&gt;RIGHT($K216,2),CI216,0))</f>
        <v>0</v>
      </c>
      <c r="DJ216" s="387">
        <f>+IF($K216="ongoing",CJ216,IF(RIGHT($K216,2)=RIGHT(DJ$43,2),SUM($CD216:CJ216),0)+IF(RIGHT(DJ$43,2)&gt;RIGHT($K216,2),CJ216,0))</f>
        <v>0</v>
      </c>
      <c r="DK216" s="387">
        <f>+IF($K216="ongoing",CK216,IF(RIGHT($K216,2)=RIGHT(DK$43,2),SUM($CD216:CK216),0)+IF(RIGHT(DK$43,2)&gt;RIGHT($K216,2),CK216,0))</f>
        <v>0</v>
      </c>
      <c r="DL216" s="388">
        <f>+IF($K216="ongoing",CN216,IF(RIGHT($K216,2)=RIGHT(DL$43,2),SUM($CD216:CN216),0)+IF(RIGHT(DL$43,2)&gt;RIGHT($K216,2),CN216,0))</f>
        <v>0</v>
      </c>
      <c r="DM216" s="841"/>
      <c r="DN216" s="386">
        <f t="shared" si="334"/>
        <v>0.5</v>
      </c>
      <c r="DO216" s="387">
        <f t="shared" si="335"/>
        <v>1</v>
      </c>
      <c r="DP216" s="388">
        <f t="shared" si="336"/>
        <v>1</v>
      </c>
      <c r="DQ216" s="386">
        <f t="shared" si="337"/>
        <v>1</v>
      </c>
      <c r="DR216" s="387">
        <f t="shared" si="338"/>
        <v>1</v>
      </c>
      <c r="DS216" s="387">
        <f t="shared" si="339"/>
        <v>1</v>
      </c>
      <c r="DT216" s="387">
        <f t="shared" si="340"/>
        <v>1</v>
      </c>
      <c r="DU216" s="388">
        <f t="shared" si="341"/>
        <v>1</v>
      </c>
      <c r="DW216" s="386">
        <f t="shared" si="342"/>
        <v>0</v>
      </c>
      <c r="DX216" s="387">
        <f t="shared" si="343"/>
        <v>0.5</v>
      </c>
      <c r="DY216" s="388">
        <f t="shared" si="344"/>
        <v>1</v>
      </c>
      <c r="DZ216" s="386">
        <f t="shared" si="345"/>
        <v>1</v>
      </c>
      <c r="EA216" s="387">
        <f t="shared" si="346"/>
        <v>1</v>
      </c>
      <c r="EB216" s="387">
        <f t="shared" si="347"/>
        <v>1</v>
      </c>
      <c r="EC216" s="387">
        <f t="shared" si="348"/>
        <v>1</v>
      </c>
      <c r="ED216" s="388">
        <f t="shared" si="349"/>
        <v>1</v>
      </c>
      <c r="EF216" s="834">
        <f>+IF(DN216=DM216,0,
IF(AND(EF$44&gt;1,DN216=$N216),1-SUM($EE216:EE216),
IF($N216&lt;=1,
IF($N216&gt;0,1/$N216,0),
IF(EF$44=1,0,VDB(1,0,$N216,INT(EF$44-1-1),MIN($N216,INT(EF$44-1-1)+1),$DC216,IF($DD216="No",1,0))/
IF(DM216&gt;=INT($N216),$N216-INT($N216),1)))*
IF(EF$44=1,0,
IF(INT(DN216)=INT(DM216),DN216-DM216,INT(DN216)-DM216))+
IF($N216&lt;=1,
IF($N216&gt;0,1/$N216,0),VDB(1,0,$N216,INT(EF$44-1),MIN($N216,INT(EF$44-1)+1),$DC216,IF($DD216="No",1,0))/
IF(DN216&gt;INT($N216),$N216-INT($N216),1))*
IF(EF$44=1,DN216,
IF(INT(DN216)=INT(DM216),0,DN216-INT(DN216)))))</f>
        <v>0</v>
      </c>
      <c r="EG216" s="835">
        <f>+IF(DO216=DN216,0,
IF(AND(EG$44&gt;1,DO216=$N216),1-SUM($EE216:EF216),
IF($N216&lt;=1,
IF($N216&gt;0,1/$N216,0),
IF(EG$44=1,0,VDB(1,0,$N216,INT(EG$44-1-1),MIN($N216,INT(EG$44-1-1)+1),$DC216,IF($DD216="No",1,0))/
IF(DN216&gt;=INT($N216),$N216-INT($N216),1)))*
IF(EG$44=1,0,
IF(INT(DO216)=INT(DN216),DO216-DN216,INT(DO216)-DN216))+
IF($N216&lt;=1,
IF($N216&gt;0,1/$N216,0),VDB(1,0,$N216,INT(EG$44-1),MIN($N216,INT(EG$44-1)+1),$DC216,IF($DD216="No",1,0))/
IF(DO216&gt;INT($N216),$N216-INT($N216),1))*
IF(EG$44=1,DO216,
IF(INT(DO216)=INT(DN216),0,DO216-INT(DO216)))))</f>
        <v>0</v>
      </c>
      <c r="EH216" s="836">
        <f>+IF(DP216=DO216,0,
IF(AND(EH$44&gt;1,DP216=$N216),1-SUM($EE216:EG216),
IF($N216&lt;=1,
IF($N216&gt;0,1/$N216,0),
IF(EH$44=1,0,VDB(1,0,$N216,INT(EH$44-1-1),MIN($N216,INT(EH$44-1-1)+1),$DC216,IF($DD216="No",1,0))/
IF(DO216&gt;=INT($N216),$N216-INT($N216),1)))*
IF(EH$44=1,0,
IF(INT(DP216)=INT(DO216),DP216-DO216,INT(DP216)-DO216))+
IF($N216&lt;=1,
IF($N216&gt;0,1/$N216,0),VDB(1,0,$N216,INT(EH$44-1),MIN($N216,INT(EH$44-1)+1),$DC216,IF($DD216="No",1,0))/
IF(DP216&gt;INT($N216),$N216-INT($N216),1))*
IF(EH$44=1,DP216,
IF(INT(DP216)=INT(DO216),0,DP216-INT(DP216)))))</f>
        <v>0</v>
      </c>
      <c r="EI216" s="834">
        <f>+IF(DQ216=DP216,0,
IF(AND(EI$44&gt;1,DQ216=$N216),1-SUM($EE216:EH216),
IF($N216&lt;=1,
IF($N216&gt;0,1/$N216,0),
IF(EI$44=1,0,VDB(1,0,$N216,INT(EI$44-1-1),MIN($N216,INT(EI$44-1-1)+1),$DC216,IF($DD216="No",1,0))/
IF(DP216&gt;=INT($N216),$N216-INT($N216),1)))*
IF(EI$44=1,0,
IF(INT(DQ216)=INT(DP216),DQ216-DP216,INT(DQ216)-DP216))+
IF($N216&lt;=1,
IF($N216&gt;0,1/$N216,0),VDB(1,0,$N216,INT(EI$44-1),MIN($N216,INT(EI$44-1)+1),$DC216,IF($DD216="No",1,0))/
IF(DQ216&gt;INT($N216),$N216-INT($N216),1))*
IF(EI$44=1,DQ216,
IF(INT(DQ216)=INT(DP216),0,DQ216-INT(DQ216)))))</f>
        <v>0</v>
      </c>
      <c r="EJ216" s="835">
        <f>+IF(DR216=DQ216,0,
IF(AND(EJ$44&gt;1,DR216=$N216),1-SUM($EE216:EI216),
IF($N216&lt;=1,
IF($N216&gt;0,1/$N216,0),
IF(EJ$44=1,0,VDB(1,0,$N216,INT(EJ$44-1-1),MIN($N216,INT(EJ$44-1-1)+1),$DC216,IF($DD216="No",1,0))/
IF(DQ216&gt;=INT($N216),$N216-INT($N216),1)))*
IF(EJ$44=1,0,
IF(INT(DR216)=INT(DQ216),DR216-DQ216,INT(DR216)-DQ216))+
IF($N216&lt;=1,
IF($N216&gt;0,1/$N216,0),VDB(1,0,$N216,INT(EJ$44-1),MIN($N216,INT(EJ$44-1)+1),$DC216,IF($DD216="No",1,0))/
IF(DR216&gt;INT($N216),$N216-INT($N216),1))*
IF(EJ$44=1,DR216,
IF(INT(DR216)=INT(DQ216),0,DR216-INT(DR216)))))</f>
        <v>0</v>
      </c>
      <c r="EK216" s="835">
        <f>+IF(DS216=DR216,0,
IF(AND(EK$44&gt;1,DS216=$N216),1-SUM($EE216:EJ216),
IF($N216&lt;=1,
IF($N216&gt;0,1/$N216,0),
IF(EK$44=1,0,VDB(1,0,$N216,INT(EK$44-1-1),MIN($N216,INT(EK$44-1-1)+1),$DC216,IF($DD216="No",1,0))/
IF(DR216&gt;=INT($N216),$N216-INT($N216),1)))*
IF(EK$44=1,0,
IF(INT(DS216)=INT(DR216),DS216-DR216,INT(DS216)-DR216))+
IF($N216&lt;=1,
IF($N216&gt;0,1/$N216,0),VDB(1,0,$N216,INT(EK$44-1),MIN($N216,INT(EK$44-1)+1),$DC216,IF($DD216="No",1,0))/
IF(DS216&gt;INT($N216),$N216-INT($N216),1))*
IF(EK$44=1,DS216,
IF(INT(DS216)=INT(DR216),0,DS216-INT(DS216)))))</f>
        <v>0</v>
      </c>
      <c r="EL216" s="835">
        <f>+IF(DT216=DS216,0,
IF(AND(EL$44&gt;1,DT216=$N216),1-SUM($EE216:EK216),
IF($N216&lt;=1,
IF($N216&gt;0,1/$N216,0),
IF(EL$44=1,0,VDB(1,0,$N216,INT(EL$44-1-1),MIN($N216,INT(EL$44-1-1)+1),$DC216,IF($DD216="No",1,0))/
IF(DS216&gt;=INT($N216),$N216-INT($N216),1)))*
IF(EL$44=1,0,
IF(INT(DT216)=INT(DS216),DT216-DS216,INT(DT216)-DS216))+
IF($N216&lt;=1,
IF($N216&gt;0,1/$N216,0),VDB(1,0,$N216,INT(EL$44-1),MIN($N216,INT(EL$44-1)+1),$DC216,IF($DD216="No",1,0))/
IF(DT216&gt;INT($N216),$N216-INT($N216),1))*
IF(EL$44=1,DT216,
IF(INT(DT216)=INT(DS216),0,DT216-INT(DT216)))))</f>
        <v>0</v>
      </c>
      <c r="EM216" s="836">
        <f>+IF(DU216=DT216,0,
IF(AND(EM$44&gt;1,DU216=$N216),1-SUM($EE216:EL216),
IF($N216&lt;=1,
IF($N216&gt;0,1/$N216,0),
IF(EM$44=1,0,VDB(1,0,$N216,INT(EM$44-1-1),MIN($N216,INT(EM$44-1-1)+1),$DC216,IF($DD216="No",1,0))/
IF(DT216&gt;=INT($N216),$N216-INT($N216),1)))*
IF(EM$44=1,0,
IF(INT(DU216)=INT(DT216),DU216-DT216,INT(DU216)-DT216))+
IF($N216&lt;=1,
IF($N216&gt;0,1/$N216,0),VDB(1,0,$N216,INT(EM$44-1),MIN($N216,INT(EM$44-1)+1),$DC216,IF($DD216="No",1,0))/
IF(DU216&gt;INT($N216),$N216-INT($N216),1))*
IF(EM$44=1,DU216,
IF(INT(DU216)=INT(DT216),0,DU216-INT(DU216)))))</f>
        <v>0</v>
      </c>
      <c r="EN216" s="833"/>
      <c r="EO216" s="834">
        <f>+IF(OR(DW216=DV216,EO$44=1),0,
IF(AND(EO$44&gt;1,DW216=$N216),1-SUM($EN216:EN216),
IF($N216&lt;=1,
IF($N216&gt;0,1/$N216,0),
IF(EO$44=2,0,VDB(1,0,$N216,INT(EO$44-2-1),MIN($N216,INT(EO$44-2-1)+1),$DC216,IF($DD216="No",1,0))/
IF(DV216&gt;=INT($N216),$N216-INT($N216),1)))*
IF(EO$44=2,0,
IF(INT(DW216)=INT(DV216),DW216-DV216,INT(DW216)-DV216))+
IF($N216&lt;=1,
IF($N216&gt;0,1/$N216,0),VDB(1,0,$N216,INT(EO$44-2),MIN($N216,INT(EO$44-2)+1),$DC216,IF($DD216="No",1,0))/
IF(DW216&gt;INT($N216),$N216-INT($N216),1))*
IF(EO$44=2,DW216,
IF(INT(DW216)=INT(DV216),0,DW216-INT(DW216)))))</f>
        <v>0</v>
      </c>
      <c r="EP216" s="835">
        <f>+IF(OR(DX216=DW216,EP$44=1),0,
IF(AND(EP$44&gt;1,DX216=$N216),1-SUM($EN216:EO216),
IF($N216&lt;=1,
IF($N216&gt;0,1/$N216,0),
IF(EP$44=2,0,VDB(1,0,$N216,INT(EP$44-2-1),MIN($N216,INT(EP$44-2-1)+1),$DC216,IF($DD216="No",1,0))/
IF(DW216&gt;=INT($N216),$N216-INT($N216),1)))*
IF(EP$44=2,0,
IF(INT(DX216)=INT(DW216),DX216-DW216,INT(DX216)-DW216))+
IF($N216&lt;=1,
IF($N216&gt;0,1/$N216,0),VDB(1,0,$N216,INT(EP$44-2),MIN($N216,INT(EP$44-2)+1),$DC216,IF($DD216="No",1,0))/
IF(DX216&gt;INT($N216),$N216-INT($N216),1))*
IF(EP$44=2,DX216,
IF(INT(DX216)=INT(DW216),0,DX216-INT(DX216)))))</f>
        <v>0</v>
      </c>
      <c r="EQ216" s="836">
        <f>+IF(OR(DY216=DX216,EQ$44=1),0,
IF(AND(EQ$44&gt;1,DY216=$N216),1-SUM($EN216:EP216),
IF($N216&lt;=1,
IF($N216&gt;0,1/$N216,0),
IF(EQ$44=2,0,VDB(1,0,$N216,INT(EQ$44-2-1),MIN($N216,INT(EQ$44-2-1)+1),$DC216,IF($DD216="No",1,0))/
IF(DX216&gt;=INT($N216),$N216-INT($N216),1)))*
IF(EQ$44=2,0,
IF(INT(DY216)=INT(DX216),DY216-DX216,INT(DY216)-DX216))+
IF($N216&lt;=1,
IF($N216&gt;0,1/$N216,0),VDB(1,0,$N216,INT(EQ$44-2),MIN($N216,INT(EQ$44-2)+1),$DC216,IF($DD216="No",1,0))/
IF(DY216&gt;INT($N216),$N216-INT($N216),1))*
IF(EQ$44=2,DY216,
IF(INT(DY216)=INT(DX216),0,DY216-INT(DY216)))))</f>
        <v>0</v>
      </c>
      <c r="ER216" s="834">
        <f>+IF(OR(DZ216=DY216,ER$44=1),0,
IF(AND(ER$44&gt;1,DZ216=$N216),1-SUM($EN216:EQ216),
IF($N216&lt;=1,
IF($N216&gt;0,1/$N216,0),
IF(ER$44=2,0,VDB(1,0,$N216,INT(ER$44-2-1),MIN($N216,INT(ER$44-2-1)+1),$DC216,IF($DD216="No",1,0))/
IF(DY216&gt;=INT($N216),$N216-INT($N216),1)))*
IF(ER$44=2,0,
IF(INT(DZ216)=INT(DY216),DZ216-DY216,INT(DZ216)-DY216))+
IF($N216&lt;=1,
IF($N216&gt;0,1/$N216,0),VDB(1,0,$N216,INT(ER$44-2),MIN($N216,INT(ER$44-2)+1),$DC216,IF($DD216="No",1,0))/
IF(DZ216&gt;INT($N216),$N216-INT($N216),1))*
IF(ER$44=2,DZ216,
IF(INT(DZ216)=INT(DY216),0,DZ216-INT(DZ216)))))</f>
        <v>0</v>
      </c>
      <c r="ES216" s="835">
        <f>+IF(OR(EA216=DZ216,ES$44=1),0,
IF(AND(ES$44&gt;1,EA216=$N216),1-SUM($EN216:ER216),
IF($N216&lt;=1,
IF($N216&gt;0,1/$N216,0),
IF(ES$44=2,0,VDB(1,0,$N216,INT(ES$44-2-1),MIN($N216,INT(ES$44-2-1)+1),$DC216,IF($DD216="No",1,0))/
IF(DZ216&gt;=INT($N216),$N216-INT($N216),1)))*
IF(ES$44=2,0,
IF(INT(EA216)=INT(DZ216),EA216-DZ216,INT(EA216)-DZ216))+
IF($N216&lt;=1,
IF($N216&gt;0,1/$N216,0),VDB(1,0,$N216,INT(ES$44-2),MIN($N216,INT(ES$44-2)+1),$DC216,IF($DD216="No",1,0))/
IF(EA216&gt;INT($N216),$N216-INT($N216),1))*
IF(ES$44=2,EA216,
IF(INT(EA216)=INT(DZ216),0,EA216-INT(EA216)))))</f>
        <v>0</v>
      </c>
      <c r="ET216" s="835">
        <f>+IF(OR(EB216=EA216,ET$44=1),0,
IF(AND(ET$44&gt;1,EB216=$N216),1-SUM($EN216:ES216),
IF($N216&lt;=1,
IF($N216&gt;0,1/$N216,0),
IF(ET$44=2,0,VDB(1,0,$N216,INT(ET$44-2-1),MIN($N216,INT(ET$44-2-1)+1),$DC216,IF($DD216="No",1,0))/
IF(EA216&gt;=INT($N216),$N216-INT($N216),1)))*
IF(ET$44=2,0,
IF(INT(EB216)=INT(EA216),EB216-EA216,INT(EB216)-EA216))+
IF($N216&lt;=1,
IF($N216&gt;0,1/$N216,0),VDB(1,0,$N216,INT(ET$44-2),MIN($N216,INT(ET$44-2)+1),$DC216,IF($DD216="No",1,0))/
IF(EB216&gt;INT($N216),$N216-INT($N216),1))*
IF(ET$44=2,EB216,
IF(INT(EB216)=INT(EA216),0,EB216-INT(EB216)))))</f>
        <v>0</v>
      </c>
      <c r="EU216" s="835">
        <f>+IF(OR(EC216=EB216,EU$44=1),0,
IF(AND(EU$44&gt;1,EC216=$N216),1-SUM($EN216:ET216),
IF($N216&lt;=1,
IF($N216&gt;0,1/$N216,0),
IF(EU$44=2,0,VDB(1,0,$N216,INT(EU$44-2-1),MIN($N216,INT(EU$44-2-1)+1),$DC216,IF($DD216="No",1,0))/
IF(EB216&gt;=INT($N216),$N216-INT($N216),1)))*
IF(EU$44=2,0,
IF(INT(EC216)=INT(EB216),EC216-EB216,INT(EC216)-EB216))+
IF($N216&lt;=1,
IF($N216&gt;0,1/$N216,0),VDB(1,0,$N216,INT(EU$44-2),MIN($N216,INT(EU$44-2)+1),$DC216,IF($DD216="No",1,0))/
IF(EC216&gt;INT($N216),$N216-INT($N216),1))*
IF(EU$44=2,EC216,
IF(INT(EC216)=INT(EB216),0,EC216-INT(EC216)))))</f>
        <v>0</v>
      </c>
      <c r="EV216" s="836">
        <f>+IF(OR(ED216=EC216,EV$44=1),0,
IF(AND(EV$44&gt;1,ED216=$N216),1-SUM($EN216:EU216),
IF($N216&lt;=1,
IF($N216&gt;0,1/$N216,0),
IF(EV$44=2,0,VDB(1,0,$N216,INT(EV$44-2-1),MIN($N216,INT(EV$44-2-1)+1),$DC216,IF($DD216="No",1,0))/
IF(EC216&gt;=INT($N216),$N216-INT($N216),1)))*
IF(EV$44=2,0,
IF(INT(ED216)=INT(EC216),ED216-EC216,INT(ED216)-EC216))+
IF($N216&lt;=1,
IF($N216&gt;0,1/$N216,0),VDB(1,0,$N216,INT(EV$44-2),MIN($N216,INT(EV$44-2)+1),$DC216,IF($DD216="No",1,0))/
IF(ED216&gt;INT($N216),$N216-INT($N216),1))*
IF(EV$44=2,ED216,
IF(INT(ED216)=INT(EC216),0,ED216-INT(ED216)))))</f>
        <v>0</v>
      </c>
      <c r="EW216" s="833"/>
      <c r="EX216" s="834">
        <f t="shared" ca="1" si="361"/>
        <v>0</v>
      </c>
      <c r="EY216" s="835">
        <f t="shared" ca="1" si="361"/>
        <v>0</v>
      </c>
      <c r="EZ216" s="836">
        <f t="shared" ca="1" si="361"/>
        <v>0</v>
      </c>
      <c r="FA216" s="834">
        <f t="shared" ca="1" si="361"/>
        <v>0</v>
      </c>
      <c r="FB216" s="835">
        <f t="shared" ca="1" si="361"/>
        <v>0</v>
      </c>
      <c r="FC216" s="835">
        <f t="shared" ca="1" si="361"/>
        <v>0</v>
      </c>
      <c r="FD216" s="835">
        <f t="shared" ca="1" si="361"/>
        <v>0</v>
      </c>
      <c r="FE216" s="836">
        <f t="shared" ca="1" si="361"/>
        <v>0</v>
      </c>
      <c r="FG216" s="386">
        <f t="shared" ca="1" si="351"/>
        <v>0</v>
      </c>
      <c r="FH216" s="387">
        <f t="shared" ca="1" si="352"/>
        <v>0</v>
      </c>
      <c r="FI216" s="388">
        <f t="shared" ca="1" si="353"/>
        <v>0</v>
      </c>
      <c r="FJ216" s="386">
        <f t="shared" ca="1" si="354"/>
        <v>0</v>
      </c>
      <c r="FK216" s="387">
        <f t="shared" ca="1" si="355"/>
        <v>0</v>
      </c>
      <c r="FL216" s="387">
        <f t="shared" ca="1" si="356"/>
        <v>0</v>
      </c>
      <c r="FM216" s="387">
        <f t="shared" ca="1" si="357"/>
        <v>0</v>
      </c>
      <c r="FN216" s="388">
        <f t="shared" ca="1" si="358"/>
        <v>0</v>
      </c>
      <c r="FR216" s="116"/>
    </row>
    <row r="217" spans="2:174">
      <c r="B217" s="1410">
        <f t="shared" si="359"/>
        <v>171</v>
      </c>
      <c r="C217" s="400"/>
      <c r="D217" s="410"/>
      <c r="E217" s="402"/>
      <c r="F217" s="402"/>
      <c r="G217" s="400"/>
      <c r="H217" s="2088"/>
      <c r="I217" s="2089"/>
      <c r="J217" s="411"/>
      <c r="K217" s="403"/>
      <c r="L217" s="403"/>
      <c r="M217" s="403"/>
      <c r="N217" s="403"/>
      <c r="O217" s="347"/>
      <c r="P217" s="347"/>
      <c r="Q217" s="1021"/>
      <c r="R217" s="1022"/>
      <c r="S217" s="1022"/>
      <c r="T217" s="1022"/>
      <c r="U217" s="1023"/>
      <c r="V217" s="1021"/>
      <c r="W217" s="1022"/>
      <c r="X217" s="1022"/>
      <c r="Y217" s="1022"/>
      <c r="Z217" s="1023"/>
      <c r="AA217" s="1024"/>
      <c r="AB217" s="1021"/>
      <c r="AC217" s="1022"/>
      <c r="AD217" s="1022"/>
      <c r="AE217" s="1022"/>
      <c r="AF217" s="1023"/>
      <c r="AG217" s="1021"/>
      <c r="AH217" s="1022"/>
      <c r="AI217" s="1022"/>
      <c r="AJ217" s="1022"/>
      <c r="AK217" s="1023"/>
      <c r="AL217" s="1024"/>
      <c r="AM217" s="1021"/>
      <c r="AN217" s="1022"/>
      <c r="AO217" s="1022"/>
      <c r="AP217" s="1022"/>
      <c r="AQ217" s="1023"/>
      <c r="AR217" s="1021"/>
      <c r="AS217" s="1022"/>
      <c r="AT217" s="1022"/>
      <c r="AU217" s="1022"/>
      <c r="AV217" s="1023"/>
      <c r="AW217" s="1025"/>
      <c r="AX217" s="1282">
        <f t="shared" si="304"/>
        <v>0</v>
      </c>
      <c r="AY217" s="387">
        <f t="shared" si="305"/>
        <v>0</v>
      </c>
      <c r="AZ217" s="387">
        <f t="shared" si="306"/>
        <v>0</v>
      </c>
      <c r="BA217" s="387">
        <f t="shared" si="307"/>
        <v>0</v>
      </c>
      <c r="BB217" s="1283">
        <f t="shared" si="308"/>
        <v>0</v>
      </c>
      <c r="BC217" s="386">
        <f t="shared" si="309"/>
        <v>0</v>
      </c>
      <c r="BD217" s="387">
        <f t="shared" si="310"/>
        <v>0</v>
      </c>
      <c r="BE217" s="1277">
        <f t="shared" si="311"/>
        <v>0</v>
      </c>
      <c r="BF217" s="1277">
        <f t="shared" si="312"/>
        <v>0</v>
      </c>
      <c r="BG217" s="388">
        <f t="shared" si="313"/>
        <v>0</v>
      </c>
      <c r="BH217" s="1025"/>
      <c r="BI217" s="1282">
        <f t="shared" ca="1" si="314"/>
        <v>0</v>
      </c>
      <c r="BJ217" s="387">
        <f t="shared" ca="1" si="315"/>
        <v>0</v>
      </c>
      <c r="BK217" s="387">
        <f t="shared" ca="1" si="316"/>
        <v>0</v>
      </c>
      <c r="BL217" s="387">
        <f t="shared" ca="1" si="317"/>
        <v>0</v>
      </c>
      <c r="BM217" s="1283">
        <f t="shared" ca="1" si="318"/>
        <v>0</v>
      </c>
      <c r="BN217" s="386">
        <f t="shared" ca="1" si="319"/>
        <v>0</v>
      </c>
      <c r="BO217" s="387">
        <f t="shared" ca="1" si="320"/>
        <v>0</v>
      </c>
      <c r="BP217" s="1277">
        <f t="shared" ca="1" si="321"/>
        <v>0</v>
      </c>
      <c r="BQ217" s="1277">
        <f t="shared" ca="1" si="322"/>
        <v>0</v>
      </c>
      <c r="BR217" s="388">
        <f t="shared" ca="1" si="323"/>
        <v>0</v>
      </c>
      <c r="BS217" s="1025"/>
      <c r="BT217" s="1282">
        <f>+IF($K217="Ongoing",AX217,IF(RIGHT($K217,2)=RIGHT(BT$43,2),SUM($AX217:AX217),0)+IF(RIGHT(BT$43,2)&gt;RIGHT($K217,2),AX217,0))</f>
        <v>0</v>
      </c>
      <c r="BU217" s="387">
        <f>+IF($K217="Ongoing",AY217,IF(RIGHT($K217,2)=RIGHT(BU$43,2),SUM($AX217:AY217),0)+IF(RIGHT(BU$43,2)&gt;RIGHT($K217,2),AY217,0))</f>
        <v>0</v>
      </c>
      <c r="BV217" s="387">
        <f>+IF($K217="Ongoing",AZ217,IF(RIGHT($K217,2)=RIGHT(BV$43,2),SUM($AX217:AZ217),0)+IF(RIGHT(BV$43,2)&gt;RIGHT($K217,2),AZ217,0))</f>
        <v>0</v>
      </c>
      <c r="BW217" s="387">
        <f>+IF($K217="Ongoing",BA217,IF(RIGHT($K217,2)=RIGHT(BW$43,2),SUM($AX217:BA217),0)+IF(RIGHT(BW$43,2)&gt;RIGHT($K217,2),BA217,0))</f>
        <v>0</v>
      </c>
      <c r="BX217" s="1283">
        <f>+IF($K217="Ongoing",BB217,IF(RIGHT($K217,2)=RIGHT(BX$43,2),SUM($AX217:BB217),0)+IF(RIGHT(BX$43,2)&gt;RIGHT($K217,2),BB217,0))</f>
        <v>0</v>
      </c>
      <c r="BY217" s="386">
        <f>+IF($K217="Ongoing",BC217,IF(RIGHT($K217,2)=RIGHT(BY$43,2),SUM($AX217:BC217),0)+IF(RIGHT(BY$43,2)&gt;RIGHT($K217,2),BC217,0))</f>
        <v>0</v>
      </c>
      <c r="BZ217" s="387">
        <f>+IF($K217="Ongoing",BD217,IF(RIGHT($K217,2)=RIGHT(BZ$43,2),SUM($AX217:BD217),0)+IF(RIGHT(BZ$43,2)&gt;RIGHT($K217,2),BD217,0))</f>
        <v>0</v>
      </c>
      <c r="CA217" s="1277">
        <f>+IF($K217="Ongoing",BE217,IF(RIGHT($K217,2)=RIGHT(CA$43,2),SUM($AX217:BE217),0)+IF(RIGHT(CA$43,2)&gt;RIGHT($K217,2),BE217,0))</f>
        <v>0</v>
      </c>
      <c r="CB217" s="1277">
        <f>+IF($K217="Ongoing",BF217,IF(RIGHT($K217,2)=RIGHT(CB$43,2),SUM($AX217:BF217),0)+IF(RIGHT(CB$43,2)&gt;RIGHT($K217,2),BF217,0))</f>
        <v>0</v>
      </c>
      <c r="CC217" s="388">
        <f>+IF($K217="Ongoing",BG217,IF(RIGHT($K217,2)=RIGHT(CC$43,2),SUM($AX217:BG217),0)+IF(RIGHT(CC$43,2)&gt;RIGHT($K217,2),BG217,0))</f>
        <v>0</v>
      </c>
      <c r="CD217" s="1025"/>
      <c r="CE217" s="1282">
        <f>+Q217*KeyAssumptionsPriceControl_FO!AF$15</f>
        <v>0</v>
      </c>
      <c r="CF217" s="387">
        <f>+R217*KeyAssumptionsPriceControl_FO!AG$15</f>
        <v>0</v>
      </c>
      <c r="CG217" s="387">
        <f>+S217*KeyAssumptionsPriceControl_FO!AH$15</f>
        <v>0</v>
      </c>
      <c r="CH217" s="387">
        <f>+T217*KeyAssumptionsPriceControl_FO!AI$15</f>
        <v>0</v>
      </c>
      <c r="CI217" s="1283">
        <f>+U217*KeyAssumptionsPriceControl_FO!AJ$15</f>
        <v>0</v>
      </c>
      <c r="CJ217" s="386">
        <f>+V217*KeyAssumptionsPriceControl_FO!AK$15</f>
        <v>0</v>
      </c>
      <c r="CK217" s="387">
        <f>+W217*KeyAssumptionsPriceControl_FO!AL$15</f>
        <v>0</v>
      </c>
      <c r="CL217" s="1277">
        <f>+X217*KeyAssumptionsPriceControl_FO!AM$15</f>
        <v>0</v>
      </c>
      <c r="CM217" s="1277">
        <f>+Y217*KeyAssumptionsPriceControl_FO!AN$15</f>
        <v>0</v>
      </c>
      <c r="CN217" s="388">
        <f>+Z217*KeyAssumptionsPriceControl_FO!AO$15</f>
        <v>0</v>
      </c>
      <c r="CO217" s="1025"/>
      <c r="CP217" s="1282">
        <f t="shared" ca="1" si="324"/>
        <v>0</v>
      </c>
      <c r="CQ217" s="387">
        <f t="shared" ca="1" si="325"/>
        <v>0</v>
      </c>
      <c r="CR217" s="387">
        <f t="shared" ca="1" si="326"/>
        <v>0</v>
      </c>
      <c r="CS217" s="387">
        <f t="shared" ca="1" si="327"/>
        <v>0</v>
      </c>
      <c r="CT217" s="1283">
        <f t="shared" ca="1" si="328"/>
        <v>0</v>
      </c>
      <c r="CU217" s="386">
        <f t="shared" ca="1" si="329"/>
        <v>0</v>
      </c>
      <c r="CV217" s="387">
        <f t="shared" ca="1" si="330"/>
        <v>0</v>
      </c>
      <c r="CW217" s="1277">
        <f t="shared" ca="1" si="331"/>
        <v>0</v>
      </c>
      <c r="CX217" s="1277">
        <f t="shared" ca="1" si="332"/>
        <v>0</v>
      </c>
      <c r="CY217" s="388">
        <f t="shared" ca="1" si="333"/>
        <v>0</v>
      </c>
      <c r="CZ217" s="347"/>
      <c r="DA217" s="852"/>
      <c r="DB217" s="347"/>
      <c r="DC217" s="1012" t="s">
        <v>738</v>
      </c>
      <c r="DD217" s="841" t="s">
        <v>518</v>
      </c>
      <c r="DE217" s="386">
        <f>+IF($K217="ongoing",CE217,IF(RIGHT($K217,2)=RIGHT(DE$43,2),SUM($CD217:CE217),0)+IF(RIGHT(DE$43,2)&gt;RIGHT($K217,2),CE217,0))</f>
        <v>0</v>
      </c>
      <c r="DF217" s="387">
        <f>+IF($K217="ongoing",CF217,IF(RIGHT($K217,2)=RIGHT(DF$43,2),SUM($CD217:CF217),0)+IF(RIGHT(DF$43,2)&gt;RIGHT($K217,2),CF217,0))</f>
        <v>0</v>
      </c>
      <c r="DG217" s="388">
        <f>+IF($K217="ongoing",CG217,IF(RIGHT($K217,2)=RIGHT(DG$43,2),SUM($CD217:CG217),0)+IF(RIGHT(DG$43,2)&gt;RIGHT($K217,2),CG217,0))</f>
        <v>0</v>
      </c>
      <c r="DH217" s="386">
        <f>+IF($K217="ongoing",CH217,IF(RIGHT($K217,2)=RIGHT(DH$43,2),SUM($CD217:CH217),0)+IF(RIGHT(DH$43,2)&gt;RIGHT($K217,2),CH217,0))</f>
        <v>0</v>
      </c>
      <c r="DI217" s="387">
        <f>+IF($K217="ongoing",CI217,IF(RIGHT($K217,2)=RIGHT(DI$43,2),SUM($CD217:CI217),0)+IF(RIGHT(DI$43,2)&gt;RIGHT($K217,2),CI217,0))</f>
        <v>0</v>
      </c>
      <c r="DJ217" s="387">
        <f>+IF($K217="ongoing",CJ217,IF(RIGHT($K217,2)=RIGHT(DJ$43,2),SUM($CD217:CJ217),0)+IF(RIGHT(DJ$43,2)&gt;RIGHT($K217,2),CJ217,0))</f>
        <v>0</v>
      </c>
      <c r="DK217" s="387">
        <f>+IF($K217="ongoing",CK217,IF(RIGHT($K217,2)=RIGHT(DK$43,2),SUM($CD217:CK217),0)+IF(RIGHT(DK$43,2)&gt;RIGHT($K217,2),CK217,0))</f>
        <v>0</v>
      </c>
      <c r="DL217" s="388">
        <f>+IF($K217="ongoing",CN217,IF(RIGHT($K217,2)=RIGHT(DL$43,2),SUM($CD217:CN217),0)+IF(RIGHT(DL$43,2)&gt;RIGHT($K217,2),CN217,0))</f>
        <v>0</v>
      </c>
      <c r="DM217" s="841"/>
      <c r="DN217" s="386">
        <f t="shared" si="334"/>
        <v>0.5</v>
      </c>
      <c r="DO217" s="387">
        <f t="shared" si="335"/>
        <v>1</v>
      </c>
      <c r="DP217" s="388">
        <f t="shared" si="336"/>
        <v>1</v>
      </c>
      <c r="DQ217" s="386">
        <f t="shared" si="337"/>
        <v>1</v>
      </c>
      <c r="DR217" s="387">
        <f t="shared" si="338"/>
        <v>1</v>
      </c>
      <c r="DS217" s="387">
        <f t="shared" si="339"/>
        <v>1</v>
      </c>
      <c r="DT217" s="387">
        <f t="shared" si="340"/>
        <v>1</v>
      </c>
      <c r="DU217" s="388">
        <f t="shared" si="341"/>
        <v>1</v>
      </c>
      <c r="DW217" s="386">
        <f t="shared" si="342"/>
        <v>0</v>
      </c>
      <c r="DX217" s="387">
        <f t="shared" si="343"/>
        <v>0.5</v>
      </c>
      <c r="DY217" s="388">
        <f t="shared" si="344"/>
        <v>1</v>
      </c>
      <c r="DZ217" s="386">
        <f t="shared" si="345"/>
        <v>1</v>
      </c>
      <c r="EA217" s="387">
        <f t="shared" si="346"/>
        <v>1</v>
      </c>
      <c r="EB217" s="387">
        <f t="shared" si="347"/>
        <v>1</v>
      </c>
      <c r="EC217" s="387">
        <f t="shared" si="348"/>
        <v>1</v>
      </c>
      <c r="ED217" s="388">
        <f t="shared" si="349"/>
        <v>1</v>
      </c>
      <c r="EF217" s="834">
        <f>+IF(DN217=DM217,0,
IF(AND(EF$44&gt;1,DN217=$N217),1-SUM($EE217:EE217),
IF($N217&lt;=1,
IF($N217&gt;0,1/$N217,0),
IF(EF$44=1,0,VDB(1,0,$N217,INT(EF$44-1-1),MIN($N217,INT(EF$44-1-1)+1),$DC217,IF($DD217="No",1,0))/
IF(DM217&gt;=INT($N217),$N217-INT($N217),1)))*
IF(EF$44=1,0,
IF(INT(DN217)=INT(DM217),DN217-DM217,INT(DN217)-DM217))+
IF($N217&lt;=1,
IF($N217&gt;0,1/$N217,0),VDB(1,0,$N217,INT(EF$44-1),MIN($N217,INT(EF$44-1)+1),$DC217,IF($DD217="No",1,0))/
IF(DN217&gt;INT($N217),$N217-INT($N217),1))*
IF(EF$44=1,DN217,
IF(INT(DN217)=INT(DM217),0,DN217-INT(DN217)))))</f>
        <v>0</v>
      </c>
      <c r="EG217" s="835">
        <f>+IF(DO217=DN217,0,
IF(AND(EG$44&gt;1,DO217=$N217),1-SUM($EE217:EF217),
IF($N217&lt;=1,
IF($N217&gt;0,1/$N217,0),
IF(EG$44=1,0,VDB(1,0,$N217,INT(EG$44-1-1),MIN($N217,INT(EG$44-1-1)+1),$DC217,IF($DD217="No",1,0))/
IF(DN217&gt;=INT($N217),$N217-INT($N217),1)))*
IF(EG$44=1,0,
IF(INT(DO217)=INT(DN217),DO217-DN217,INT(DO217)-DN217))+
IF($N217&lt;=1,
IF($N217&gt;0,1/$N217,0),VDB(1,0,$N217,INT(EG$44-1),MIN($N217,INT(EG$44-1)+1),$DC217,IF($DD217="No",1,0))/
IF(DO217&gt;INT($N217),$N217-INT($N217),1))*
IF(EG$44=1,DO217,
IF(INT(DO217)=INT(DN217),0,DO217-INT(DO217)))))</f>
        <v>0</v>
      </c>
      <c r="EH217" s="836">
        <f>+IF(DP217=DO217,0,
IF(AND(EH$44&gt;1,DP217=$N217),1-SUM($EE217:EG217),
IF($N217&lt;=1,
IF($N217&gt;0,1/$N217,0),
IF(EH$44=1,0,VDB(1,0,$N217,INT(EH$44-1-1),MIN($N217,INT(EH$44-1-1)+1),$DC217,IF($DD217="No",1,0))/
IF(DO217&gt;=INT($N217),$N217-INT($N217),1)))*
IF(EH$44=1,0,
IF(INT(DP217)=INT(DO217),DP217-DO217,INT(DP217)-DO217))+
IF($N217&lt;=1,
IF($N217&gt;0,1/$N217,0),VDB(1,0,$N217,INT(EH$44-1),MIN($N217,INT(EH$44-1)+1),$DC217,IF($DD217="No",1,0))/
IF(DP217&gt;INT($N217),$N217-INT($N217),1))*
IF(EH$44=1,DP217,
IF(INT(DP217)=INT(DO217),0,DP217-INT(DP217)))))</f>
        <v>0</v>
      </c>
      <c r="EI217" s="834">
        <f>+IF(DQ217=DP217,0,
IF(AND(EI$44&gt;1,DQ217=$N217),1-SUM($EE217:EH217),
IF($N217&lt;=1,
IF($N217&gt;0,1/$N217,0),
IF(EI$44=1,0,VDB(1,0,$N217,INT(EI$44-1-1),MIN($N217,INT(EI$44-1-1)+1),$DC217,IF($DD217="No",1,0))/
IF(DP217&gt;=INT($N217),$N217-INT($N217),1)))*
IF(EI$44=1,0,
IF(INT(DQ217)=INT(DP217),DQ217-DP217,INT(DQ217)-DP217))+
IF($N217&lt;=1,
IF($N217&gt;0,1/$N217,0),VDB(1,0,$N217,INT(EI$44-1),MIN($N217,INT(EI$44-1)+1),$DC217,IF($DD217="No",1,0))/
IF(DQ217&gt;INT($N217),$N217-INT($N217),1))*
IF(EI$44=1,DQ217,
IF(INT(DQ217)=INT(DP217),0,DQ217-INT(DQ217)))))</f>
        <v>0</v>
      </c>
      <c r="EJ217" s="835">
        <f>+IF(DR217=DQ217,0,
IF(AND(EJ$44&gt;1,DR217=$N217),1-SUM($EE217:EI217),
IF($N217&lt;=1,
IF($N217&gt;0,1/$N217,0),
IF(EJ$44=1,0,VDB(1,0,$N217,INT(EJ$44-1-1),MIN($N217,INT(EJ$44-1-1)+1),$DC217,IF($DD217="No",1,0))/
IF(DQ217&gt;=INT($N217),$N217-INT($N217),1)))*
IF(EJ$44=1,0,
IF(INT(DR217)=INT(DQ217),DR217-DQ217,INT(DR217)-DQ217))+
IF($N217&lt;=1,
IF($N217&gt;0,1/$N217,0),VDB(1,0,$N217,INT(EJ$44-1),MIN($N217,INT(EJ$44-1)+1),$DC217,IF($DD217="No",1,0))/
IF(DR217&gt;INT($N217),$N217-INT($N217),1))*
IF(EJ$44=1,DR217,
IF(INT(DR217)=INT(DQ217),0,DR217-INT(DR217)))))</f>
        <v>0</v>
      </c>
      <c r="EK217" s="835">
        <f>+IF(DS217=DR217,0,
IF(AND(EK$44&gt;1,DS217=$N217),1-SUM($EE217:EJ217),
IF($N217&lt;=1,
IF($N217&gt;0,1/$N217,0),
IF(EK$44=1,0,VDB(1,0,$N217,INT(EK$44-1-1),MIN($N217,INT(EK$44-1-1)+1),$DC217,IF($DD217="No",1,0))/
IF(DR217&gt;=INT($N217),$N217-INT($N217),1)))*
IF(EK$44=1,0,
IF(INT(DS217)=INT(DR217),DS217-DR217,INT(DS217)-DR217))+
IF($N217&lt;=1,
IF($N217&gt;0,1/$N217,0),VDB(1,0,$N217,INT(EK$44-1),MIN($N217,INT(EK$44-1)+1),$DC217,IF($DD217="No",1,0))/
IF(DS217&gt;INT($N217),$N217-INT($N217),1))*
IF(EK$44=1,DS217,
IF(INT(DS217)=INT(DR217),0,DS217-INT(DS217)))))</f>
        <v>0</v>
      </c>
      <c r="EL217" s="835">
        <f>+IF(DT217=DS217,0,
IF(AND(EL$44&gt;1,DT217=$N217),1-SUM($EE217:EK217),
IF($N217&lt;=1,
IF($N217&gt;0,1/$N217,0),
IF(EL$44=1,0,VDB(1,0,$N217,INT(EL$44-1-1),MIN($N217,INT(EL$44-1-1)+1),$DC217,IF($DD217="No",1,0))/
IF(DS217&gt;=INT($N217),$N217-INT($N217),1)))*
IF(EL$44=1,0,
IF(INT(DT217)=INT(DS217),DT217-DS217,INT(DT217)-DS217))+
IF($N217&lt;=1,
IF($N217&gt;0,1/$N217,0),VDB(1,0,$N217,INT(EL$44-1),MIN($N217,INT(EL$44-1)+1),$DC217,IF($DD217="No",1,0))/
IF(DT217&gt;INT($N217),$N217-INT($N217),1))*
IF(EL$44=1,DT217,
IF(INT(DT217)=INT(DS217),0,DT217-INT(DT217)))))</f>
        <v>0</v>
      </c>
      <c r="EM217" s="836">
        <f>+IF(DU217=DT217,0,
IF(AND(EM$44&gt;1,DU217=$N217),1-SUM($EE217:EL217),
IF($N217&lt;=1,
IF($N217&gt;0,1/$N217,0),
IF(EM$44=1,0,VDB(1,0,$N217,INT(EM$44-1-1),MIN($N217,INT(EM$44-1-1)+1),$DC217,IF($DD217="No",1,0))/
IF(DT217&gt;=INT($N217),$N217-INT($N217),1)))*
IF(EM$44=1,0,
IF(INT(DU217)=INT(DT217),DU217-DT217,INT(DU217)-DT217))+
IF($N217&lt;=1,
IF($N217&gt;0,1/$N217,0),VDB(1,0,$N217,INT(EM$44-1),MIN($N217,INT(EM$44-1)+1),$DC217,IF($DD217="No",1,0))/
IF(DU217&gt;INT($N217),$N217-INT($N217),1))*
IF(EM$44=1,DU217,
IF(INT(DU217)=INT(DT217),0,DU217-INT(DU217)))))</f>
        <v>0</v>
      </c>
      <c r="EN217" s="833"/>
      <c r="EO217" s="834">
        <f>+IF(OR(DW217=DV217,EO$44=1),0,
IF(AND(EO$44&gt;1,DW217=$N217),1-SUM($EN217:EN217),
IF($N217&lt;=1,
IF($N217&gt;0,1/$N217,0),
IF(EO$44=2,0,VDB(1,0,$N217,INT(EO$44-2-1),MIN($N217,INT(EO$44-2-1)+1),$DC217,IF($DD217="No",1,0))/
IF(DV217&gt;=INT($N217),$N217-INT($N217),1)))*
IF(EO$44=2,0,
IF(INT(DW217)=INT(DV217),DW217-DV217,INT(DW217)-DV217))+
IF($N217&lt;=1,
IF($N217&gt;0,1/$N217,0),VDB(1,0,$N217,INT(EO$44-2),MIN($N217,INT(EO$44-2)+1),$DC217,IF($DD217="No",1,0))/
IF(DW217&gt;INT($N217),$N217-INT($N217),1))*
IF(EO$44=2,DW217,
IF(INT(DW217)=INT(DV217),0,DW217-INT(DW217)))))</f>
        <v>0</v>
      </c>
      <c r="EP217" s="835">
        <f>+IF(OR(DX217=DW217,EP$44=1),0,
IF(AND(EP$44&gt;1,DX217=$N217),1-SUM($EN217:EO217),
IF($N217&lt;=1,
IF($N217&gt;0,1/$N217,0),
IF(EP$44=2,0,VDB(1,0,$N217,INT(EP$44-2-1),MIN($N217,INT(EP$44-2-1)+1),$DC217,IF($DD217="No",1,0))/
IF(DW217&gt;=INT($N217),$N217-INT($N217),1)))*
IF(EP$44=2,0,
IF(INT(DX217)=INT(DW217),DX217-DW217,INT(DX217)-DW217))+
IF($N217&lt;=1,
IF($N217&gt;0,1/$N217,0),VDB(1,0,$N217,INT(EP$44-2),MIN($N217,INT(EP$44-2)+1),$DC217,IF($DD217="No",1,0))/
IF(DX217&gt;INT($N217),$N217-INT($N217),1))*
IF(EP$44=2,DX217,
IF(INT(DX217)=INT(DW217),0,DX217-INT(DX217)))))</f>
        <v>0</v>
      </c>
      <c r="EQ217" s="836">
        <f>+IF(OR(DY217=DX217,EQ$44=1),0,
IF(AND(EQ$44&gt;1,DY217=$N217),1-SUM($EN217:EP217),
IF($N217&lt;=1,
IF($N217&gt;0,1/$N217,0),
IF(EQ$44=2,0,VDB(1,0,$N217,INT(EQ$44-2-1),MIN($N217,INT(EQ$44-2-1)+1),$DC217,IF($DD217="No",1,0))/
IF(DX217&gt;=INT($N217),$N217-INT($N217),1)))*
IF(EQ$44=2,0,
IF(INT(DY217)=INT(DX217),DY217-DX217,INT(DY217)-DX217))+
IF($N217&lt;=1,
IF($N217&gt;0,1/$N217,0),VDB(1,0,$N217,INT(EQ$44-2),MIN($N217,INT(EQ$44-2)+1),$DC217,IF($DD217="No",1,0))/
IF(DY217&gt;INT($N217),$N217-INT($N217),1))*
IF(EQ$44=2,DY217,
IF(INT(DY217)=INT(DX217),0,DY217-INT(DY217)))))</f>
        <v>0</v>
      </c>
      <c r="ER217" s="834">
        <f>+IF(OR(DZ217=DY217,ER$44=1),0,
IF(AND(ER$44&gt;1,DZ217=$N217),1-SUM($EN217:EQ217),
IF($N217&lt;=1,
IF($N217&gt;0,1/$N217,0),
IF(ER$44=2,0,VDB(1,0,$N217,INT(ER$44-2-1),MIN($N217,INT(ER$44-2-1)+1),$DC217,IF($DD217="No",1,0))/
IF(DY217&gt;=INT($N217),$N217-INT($N217),1)))*
IF(ER$44=2,0,
IF(INT(DZ217)=INT(DY217),DZ217-DY217,INT(DZ217)-DY217))+
IF($N217&lt;=1,
IF($N217&gt;0,1/$N217,0),VDB(1,0,$N217,INT(ER$44-2),MIN($N217,INT(ER$44-2)+1),$DC217,IF($DD217="No",1,0))/
IF(DZ217&gt;INT($N217),$N217-INT($N217),1))*
IF(ER$44=2,DZ217,
IF(INT(DZ217)=INT(DY217),0,DZ217-INT(DZ217)))))</f>
        <v>0</v>
      </c>
      <c r="ES217" s="835">
        <f>+IF(OR(EA217=DZ217,ES$44=1),0,
IF(AND(ES$44&gt;1,EA217=$N217),1-SUM($EN217:ER217),
IF($N217&lt;=1,
IF($N217&gt;0,1/$N217,0),
IF(ES$44=2,0,VDB(1,0,$N217,INT(ES$44-2-1),MIN($N217,INT(ES$44-2-1)+1),$DC217,IF($DD217="No",1,0))/
IF(DZ217&gt;=INT($N217),$N217-INT($N217),1)))*
IF(ES$44=2,0,
IF(INT(EA217)=INT(DZ217),EA217-DZ217,INT(EA217)-DZ217))+
IF($N217&lt;=1,
IF($N217&gt;0,1/$N217,0),VDB(1,0,$N217,INT(ES$44-2),MIN($N217,INT(ES$44-2)+1),$DC217,IF($DD217="No",1,0))/
IF(EA217&gt;INT($N217),$N217-INT($N217),1))*
IF(ES$44=2,EA217,
IF(INT(EA217)=INT(DZ217),0,EA217-INT(EA217)))))</f>
        <v>0</v>
      </c>
      <c r="ET217" s="835">
        <f>+IF(OR(EB217=EA217,ET$44=1),0,
IF(AND(ET$44&gt;1,EB217=$N217),1-SUM($EN217:ES217),
IF($N217&lt;=1,
IF($N217&gt;0,1/$N217,0),
IF(ET$44=2,0,VDB(1,0,$N217,INT(ET$44-2-1),MIN($N217,INT(ET$44-2-1)+1),$DC217,IF($DD217="No",1,0))/
IF(EA217&gt;=INT($N217),$N217-INT($N217),1)))*
IF(ET$44=2,0,
IF(INT(EB217)=INT(EA217),EB217-EA217,INT(EB217)-EA217))+
IF($N217&lt;=1,
IF($N217&gt;0,1/$N217,0),VDB(1,0,$N217,INT(ET$44-2),MIN($N217,INT(ET$44-2)+1),$DC217,IF($DD217="No",1,0))/
IF(EB217&gt;INT($N217),$N217-INT($N217),1))*
IF(ET$44=2,EB217,
IF(INT(EB217)=INT(EA217),0,EB217-INT(EB217)))))</f>
        <v>0</v>
      </c>
      <c r="EU217" s="835">
        <f>+IF(OR(EC217=EB217,EU$44=1),0,
IF(AND(EU$44&gt;1,EC217=$N217),1-SUM($EN217:ET217),
IF($N217&lt;=1,
IF($N217&gt;0,1/$N217,0),
IF(EU$44=2,0,VDB(1,0,$N217,INT(EU$44-2-1),MIN($N217,INT(EU$44-2-1)+1),$DC217,IF($DD217="No",1,0))/
IF(EB217&gt;=INT($N217),$N217-INT($N217),1)))*
IF(EU$44=2,0,
IF(INT(EC217)=INT(EB217),EC217-EB217,INT(EC217)-EB217))+
IF($N217&lt;=1,
IF($N217&gt;0,1/$N217,0),VDB(1,0,$N217,INT(EU$44-2),MIN($N217,INT(EU$44-2)+1),$DC217,IF($DD217="No",1,0))/
IF(EC217&gt;INT($N217),$N217-INT($N217),1))*
IF(EU$44=2,EC217,
IF(INT(EC217)=INT(EB217),0,EC217-INT(EC217)))))</f>
        <v>0</v>
      </c>
      <c r="EV217" s="836">
        <f>+IF(OR(ED217=EC217,EV$44=1),0,
IF(AND(EV$44&gt;1,ED217=$N217),1-SUM($EN217:EU217),
IF($N217&lt;=1,
IF($N217&gt;0,1/$N217,0),
IF(EV$44=2,0,VDB(1,0,$N217,INT(EV$44-2-1),MIN($N217,INT(EV$44-2-1)+1),$DC217,IF($DD217="No",1,0))/
IF(EC217&gt;=INT($N217),$N217-INT($N217),1)))*
IF(EV$44=2,0,
IF(INT(ED217)=INT(EC217),ED217-EC217,INT(ED217)-EC217))+
IF($N217&lt;=1,
IF($N217&gt;0,1/$N217,0),VDB(1,0,$N217,INT(EV$44-2),MIN($N217,INT(EV$44-2)+1),$DC217,IF($DD217="No",1,0))/
IF(ED217&gt;INT($N217),$N217-INT($N217),1))*
IF(EV$44=2,ED217,
IF(INT(ED217)=INT(EC217),0,ED217-INT(ED217)))))</f>
        <v>0</v>
      </c>
      <c r="EW217" s="833"/>
      <c r="EX217" s="834">
        <f t="shared" ca="1" si="361"/>
        <v>0</v>
      </c>
      <c r="EY217" s="835">
        <f t="shared" ca="1" si="361"/>
        <v>0</v>
      </c>
      <c r="EZ217" s="836">
        <f t="shared" ca="1" si="361"/>
        <v>0</v>
      </c>
      <c r="FA217" s="834">
        <f t="shared" ca="1" si="361"/>
        <v>0</v>
      </c>
      <c r="FB217" s="835">
        <f t="shared" ca="1" si="361"/>
        <v>0</v>
      </c>
      <c r="FC217" s="835">
        <f t="shared" ca="1" si="361"/>
        <v>0</v>
      </c>
      <c r="FD217" s="835">
        <f t="shared" ca="1" si="361"/>
        <v>0</v>
      </c>
      <c r="FE217" s="836">
        <f t="shared" ca="1" si="361"/>
        <v>0</v>
      </c>
      <c r="FG217" s="386">
        <f t="shared" ca="1" si="351"/>
        <v>0</v>
      </c>
      <c r="FH217" s="387">
        <f t="shared" ca="1" si="352"/>
        <v>0</v>
      </c>
      <c r="FI217" s="388">
        <f t="shared" ca="1" si="353"/>
        <v>0</v>
      </c>
      <c r="FJ217" s="386">
        <f t="shared" ca="1" si="354"/>
        <v>0</v>
      </c>
      <c r="FK217" s="387">
        <f t="shared" ca="1" si="355"/>
        <v>0</v>
      </c>
      <c r="FL217" s="387">
        <f t="shared" ca="1" si="356"/>
        <v>0</v>
      </c>
      <c r="FM217" s="387">
        <f t="shared" ca="1" si="357"/>
        <v>0</v>
      </c>
      <c r="FN217" s="388">
        <f t="shared" ca="1" si="358"/>
        <v>0</v>
      </c>
      <c r="FR217" s="116"/>
    </row>
    <row r="218" spans="2:174">
      <c r="B218" s="1410">
        <f t="shared" si="359"/>
        <v>172</v>
      </c>
      <c r="C218" s="400"/>
      <c r="D218" s="410"/>
      <c r="E218" s="402"/>
      <c r="F218" s="402"/>
      <c r="G218" s="400"/>
      <c r="H218" s="2088"/>
      <c r="I218" s="2089"/>
      <c r="J218" s="411"/>
      <c r="K218" s="403"/>
      <c r="L218" s="403"/>
      <c r="M218" s="403"/>
      <c r="N218" s="403"/>
      <c r="O218" s="347"/>
      <c r="P218" s="347"/>
      <c r="Q218" s="1021"/>
      <c r="R218" s="1022"/>
      <c r="S218" s="1022"/>
      <c r="T218" s="1022"/>
      <c r="U218" s="1023"/>
      <c r="V218" s="1021"/>
      <c r="W218" s="1022"/>
      <c r="X218" s="1022"/>
      <c r="Y218" s="1022"/>
      <c r="Z218" s="1023"/>
      <c r="AA218" s="1024"/>
      <c r="AB218" s="1021"/>
      <c r="AC218" s="1022"/>
      <c r="AD218" s="1022"/>
      <c r="AE218" s="1022"/>
      <c r="AF218" s="1023"/>
      <c r="AG218" s="1021"/>
      <c r="AH218" s="1022"/>
      <c r="AI218" s="1022"/>
      <c r="AJ218" s="1022"/>
      <c r="AK218" s="1023"/>
      <c r="AL218" s="1024"/>
      <c r="AM218" s="1021"/>
      <c r="AN218" s="1022"/>
      <c r="AO218" s="1022"/>
      <c r="AP218" s="1022"/>
      <c r="AQ218" s="1023"/>
      <c r="AR218" s="1021"/>
      <c r="AS218" s="1022"/>
      <c r="AT218" s="1022"/>
      <c r="AU218" s="1022"/>
      <c r="AV218" s="1023"/>
      <c r="AW218" s="1025"/>
      <c r="AX218" s="1282">
        <f t="shared" si="304"/>
        <v>0</v>
      </c>
      <c r="AY218" s="387">
        <f t="shared" si="305"/>
        <v>0</v>
      </c>
      <c r="AZ218" s="387">
        <f t="shared" si="306"/>
        <v>0</v>
      </c>
      <c r="BA218" s="387">
        <f t="shared" si="307"/>
        <v>0</v>
      </c>
      <c r="BB218" s="1283">
        <f t="shared" si="308"/>
        <v>0</v>
      </c>
      <c r="BC218" s="386">
        <f t="shared" si="309"/>
        <v>0</v>
      </c>
      <c r="BD218" s="387">
        <f t="shared" si="310"/>
        <v>0</v>
      </c>
      <c r="BE218" s="1277">
        <f t="shared" si="311"/>
        <v>0</v>
      </c>
      <c r="BF218" s="1277">
        <f t="shared" si="312"/>
        <v>0</v>
      </c>
      <c r="BG218" s="388">
        <f t="shared" si="313"/>
        <v>0</v>
      </c>
      <c r="BH218" s="1025"/>
      <c r="BI218" s="1282">
        <f t="shared" ca="1" si="314"/>
        <v>0</v>
      </c>
      <c r="BJ218" s="387">
        <f t="shared" ca="1" si="315"/>
        <v>0</v>
      </c>
      <c r="BK218" s="387">
        <f t="shared" ca="1" si="316"/>
        <v>0</v>
      </c>
      <c r="BL218" s="387">
        <f t="shared" ca="1" si="317"/>
        <v>0</v>
      </c>
      <c r="BM218" s="1283">
        <f t="shared" ca="1" si="318"/>
        <v>0</v>
      </c>
      <c r="BN218" s="386">
        <f t="shared" ca="1" si="319"/>
        <v>0</v>
      </c>
      <c r="BO218" s="387">
        <f t="shared" ca="1" si="320"/>
        <v>0</v>
      </c>
      <c r="BP218" s="1277">
        <f t="shared" ca="1" si="321"/>
        <v>0</v>
      </c>
      <c r="BQ218" s="1277">
        <f t="shared" ca="1" si="322"/>
        <v>0</v>
      </c>
      <c r="BR218" s="388">
        <f t="shared" ca="1" si="323"/>
        <v>0</v>
      </c>
      <c r="BS218" s="1025"/>
      <c r="BT218" s="1282">
        <f>+IF($K218="Ongoing",AX218,IF(RIGHT($K218,2)=RIGHT(BT$43,2),SUM($AX218:AX218),0)+IF(RIGHT(BT$43,2)&gt;RIGHT($K218,2),AX218,0))</f>
        <v>0</v>
      </c>
      <c r="BU218" s="387">
        <f>+IF($K218="Ongoing",AY218,IF(RIGHT($K218,2)=RIGHT(BU$43,2),SUM($AX218:AY218),0)+IF(RIGHT(BU$43,2)&gt;RIGHT($K218,2),AY218,0))</f>
        <v>0</v>
      </c>
      <c r="BV218" s="387">
        <f>+IF($K218="Ongoing",AZ218,IF(RIGHT($K218,2)=RIGHT(BV$43,2),SUM($AX218:AZ218),0)+IF(RIGHT(BV$43,2)&gt;RIGHT($K218,2),AZ218,0))</f>
        <v>0</v>
      </c>
      <c r="BW218" s="387">
        <f>+IF($K218="Ongoing",BA218,IF(RIGHT($K218,2)=RIGHT(BW$43,2),SUM($AX218:BA218),0)+IF(RIGHT(BW$43,2)&gt;RIGHT($K218,2),BA218,0))</f>
        <v>0</v>
      </c>
      <c r="BX218" s="1283">
        <f>+IF($K218="Ongoing",BB218,IF(RIGHT($K218,2)=RIGHT(BX$43,2),SUM($AX218:BB218),0)+IF(RIGHT(BX$43,2)&gt;RIGHT($K218,2),BB218,0))</f>
        <v>0</v>
      </c>
      <c r="BY218" s="386">
        <f>+IF($K218="Ongoing",BC218,IF(RIGHT($K218,2)=RIGHT(BY$43,2),SUM($AX218:BC218),0)+IF(RIGHT(BY$43,2)&gt;RIGHT($K218,2),BC218,0))</f>
        <v>0</v>
      </c>
      <c r="BZ218" s="387">
        <f>+IF($K218="Ongoing",BD218,IF(RIGHT($K218,2)=RIGHT(BZ$43,2),SUM($AX218:BD218),0)+IF(RIGHT(BZ$43,2)&gt;RIGHT($K218,2),BD218,0))</f>
        <v>0</v>
      </c>
      <c r="CA218" s="1277">
        <f>+IF($K218="Ongoing",BE218,IF(RIGHT($K218,2)=RIGHT(CA$43,2),SUM($AX218:BE218),0)+IF(RIGHT(CA$43,2)&gt;RIGHT($K218,2),BE218,0))</f>
        <v>0</v>
      </c>
      <c r="CB218" s="1277">
        <f>+IF($K218="Ongoing",BF218,IF(RIGHT($K218,2)=RIGHT(CB$43,2),SUM($AX218:BF218),0)+IF(RIGHT(CB$43,2)&gt;RIGHT($K218,2),BF218,0))</f>
        <v>0</v>
      </c>
      <c r="CC218" s="388">
        <f>+IF($K218="Ongoing",BG218,IF(RIGHT($K218,2)=RIGHT(CC$43,2),SUM($AX218:BG218),0)+IF(RIGHT(CC$43,2)&gt;RIGHT($K218,2),BG218,0))</f>
        <v>0</v>
      </c>
      <c r="CD218" s="1025"/>
      <c r="CE218" s="1282">
        <f>+Q218*KeyAssumptionsPriceControl_FO!AF$15</f>
        <v>0</v>
      </c>
      <c r="CF218" s="387">
        <f>+R218*KeyAssumptionsPriceControl_FO!AG$15</f>
        <v>0</v>
      </c>
      <c r="CG218" s="387">
        <f>+S218*KeyAssumptionsPriceControl_FO!AH$15</f>
        <v>0</v>
      </c>
      <c r="CH218" s="387">
        <f>+T218*KeyAssumptionsPriceControl_FO!AI$15</f>
        <v>0</v>
      </c>
      <c r="CI218" s="1283">
        <f>+U218*KeyAssumptionsPriceControl_FO!AJ$15</f>
        <v>0</v>
      </c>
      <c r="CJ218" s="386">
        <f>+V218*KeyAssumptionsPriceControl_FO!AK$15</f>
        <v>0</v>
      </c>
      <c r="CK218" s="387">
        <f>+W218*KeyAssumptionsPriceControl_FO!AL$15</f>
        <v>0</v>
      </c>
      <c r="CL218" s="1277">
        <f>+X218*KeyAssumptionsPriceControl_FO!AM$15</f>
        <v>0</v>
      </c>
      <c r="CM218" s="1277">
        <f>+Y218*KeyAssumptionsPriceControl_FO!AN$15</f>
        <v>0</v>
      </c>
      <c r="CN218" s="388">
        <f>+Z218*KeyAssumptionsPriceControl_FO!AO$15</f>
        <v>0</v>
      </c>
      <c r="CO218" s="1025"/>
      <c r="CP218" s="1282">
        <f t="shared" ca="1" si="324"/>
        <v>0</v>
      </c>
      <c r="CQ218" s="387">
        <f t="shared" ca="1" si="325"/>
        <v>0</v>
      </c>
      <c r="CR218" s="387">
        <f t="shared" ca="1" si="326"/>
        <v>0</v>
      </c>
      <c r="CS218" s="387">
        <f t="shared" ca="1" si="327"/>
        <v>0</v>
      </c>
      <c r="CT218" s="1283">
        <f t="shared" ca="1" si="328"/>
        <v>0</v>
      </c>
      <c r="CU218" s="386">
        <f t="shared" ca="1" si="329"/>
        <v>0</v>
      </c>
      <c r="CV218" s="387">
        <f t="shared" ca="1" si="330"/>
        <v>0</v>
      </c>
      <c r="CW218" s="1277">
        <f t="shared" ca="1" si="331"/>
        <v>0</v>
      </c>
      <c r="CX218" s="1277">
        <f t="shared" ca="1" si="332"/>
        <v>0</v>
      </c>
      <c r="CY218" s="388">
        <f t="shared" ca="1" si="333"/>
        <v>0</v>
      </c>
      <c r="CZ218" s="347"/>
      <c r="DA218" s="852"/>
      <c r="DB218" s="347"/>
      <c r="DC218" s="1012" t="s">
        <v>739</v>
      </c>
      <c r="DD218" s="841" t="s">
        <v>518</v>
      </c>
      <c r="DE218" s="386">
        <f>+IF($K218="ongoing",CE218,IF(RIGHT($K218,2)=RIGHT(DE$43,2),SUM($CD218:CE218),0)+IF(RIGHT(DE$43,2)&gt;RIGHT($K218,2),CE218,0))</f>
        <v>0</v>
      </c>
      <c r="DF218" s="387">
        <f>+IF($K218="ongoing",CF218,IF(RIGHT($K218,2)=RIGHT(DF$43,2),SUM($CD218:CF218),0)+IF(RIGHT(DF$43,2)&gt;RIGHT($K218,2),CF218,0))</f>
        <v>0</v>
      </c>
      <c r="DG218" s="388">
        <f>+IF($K218="ongoing",CG218,IF(RIGHT($K218,2)=RIGHT(DG$43,2),SUM($CD218:CG218),0)+IF(RIGHT(DG$43,2)&gt;RIGHT($K218,2),CG218,0))</f>
        <v>0</v>
      </c>
      <c r="DH218" s="386">
        <f>+IF($K218="ongoing",CH218,IF(RIGHT($K218,2)=RIGHT(DH$43,2),SUM($CD218:CH218),0)+IF(RIGHT(DH$43,2)&gt;RIGHT($K218,2),CH218,0))</f>
        <v>0</v>
      </c>
      <c r="DI218" s="387">
        <f>+IF($K218="ongoing",CI218,IF(RIGHT($K218,2)=RIGHT(DI$43,2),SUM($CD218:CI218),0)+IF(RIGHT(DI$43,2)&gt;RIGHT($K218,2),CI218,0))</f>
        <v>0</v>
      </c>
      <c r="DJ218" s="387">
        <f>+IF($K218="ongoing",CJ218,IF(RIGHT($K218,2)=RIGHT(DJ$43,2),SUM($CD218:CJ218),0)+IF(RIGHT(DJ$43,2)&gt;RIGHT($K218,2),CJ218,0))</f>
        <v>0</v>
      </c>
      <c r="DK218" s="387">
        <f>+IF($K218="ongoing",CK218,IF(RIGHT($K218,2)=RIGHT(DK$43,2),SUM($CD218:CK218),0)+IF(RIGHT(DK$43,2)&gt;RIGHT($K218,2),CK218,0))</f>
        <v>0</v>
      </c>
      <c r="DL218" s="388">
        <f>+IF($K218="ongoing",CN218,IF(RIGHT($K218,2)=RIGHT(DL$43,2),SUM($CD218:CN218),0)+IF(RIGHT(DL$43,2)&gt;RIGHT($K218,2),CN218,0))</f>
        <v>0</v>
      </c>
      <c r="DM218" s="841"/>
      <c r="DN218" s="386">
        <f t="shared" si="334"/>
        <v>0.5</v>
      </c>
      <c r="DO218" s="387">
        <f t="shared" si="335"/>
        <v>1</v>
      </c>
      <c r="DP218" s="388">
        <f t="shared" si="336"/>
        <v>1</v>
      </c>
      <c r="DQ218" s="386">
        <f t="shared" si="337"/>
        <v>1</v>
      </c>
      <c r="DR218" s="387">
        <f t="shared" si="338"/>
        <v>1</v>
      </c>
      <c r="DS218" s="387">
        <f t="shared" si="339"/>
        <v>1</v>
      </c>
      <c r="DT218" s="387">
        <f t="shared" si="340"/>
        <v>1</v>
      </c>
      <c r="DU218" s="388">
        <f t="shared" si="341"/>
        <v>1</v>
      </c>
      <c r="DW218" s="386">
        <f t="shared" si="342"/>
        <v>0</v>
      </c>
      <c r="DX218" s="387">
        <f t="shared" si="343"/>
        <v>0.5</v>
      </c>
      <c r="DY218" s="388">
        <f t="shared" si="344"/>
        <v>1</v>
      </c>
      <c r="DZ218" s="386">
        <f t="shared" si="345"/>
        <v>1</v>
      </c>
      <c r="EA218" s="387">
        <f t="shared" si="346"/>
        <v>1</v>
      </c>
      <c r="EB218" s="387">
        <f t="shared" si="347"/>
        <v>1</v>
      </c>
      <c r="EC218" s="387">
        <f t="shared" si="348"/>
        <v>1</v>
      </c>
      <c r="ED218" s="388">
        <f t="shared" si="349"/>
        <v>1</v>
      </c>
      <c r="EF218" s="834">
        <f>+IF(DN218=DM218,0,
IF(AND(EF$44&gt;1,DN218=$N218),1-SUM($EE218:EE218),
IF($N218&lt;=1,
IF($N218&gt;0,1/$N218,0),
IF(EF$44=1,0,VDB(1,0,$N218,INT(EF$44-1-1),MIN($N218,INT(EF$44-1-1)+1),$DC218,IF($DD218="No",1,0))/
IF(DM218&gt;=INT($N218),$N218-INT($N218),1)))*
IF(EF$44=1,0,
IF(INT(DN218)=INT(DM218),DN218-DM218,INT(DN218)-DM218))+
IF($N218&lt;=1,
IF($N218&gt;0,1/$N218,0),VDB(1,0,$N218,INT(EF$44-1),MIN($N218,INT(EF$44-1)+1),$DC218,IF($DD218="No",1,0))/
IF(DN218&gt;INT($N218),$N218-INT($N218),1))*
IF(EF$44=1,DN218,
IF(INT(DN218)=INT(DM218),0,DN218-INT(DN218)))))</f>
        <v>0</v>
      </c>
      <c r="EG218" s="835">
        <f>+IF(DO218=DN218,0,
IF(AND(EG$44&gt;1,DO218=$N218),1-SUM($EE218:EF218),
IF($N218&lt;=1,
IF($N218&gt;0,1/$N218,0),
IF(EG$44=1,0,VDB(1,0,$N218,INT(EG$44-1-1),MIN($N218,INT(EG$44-1-1)+1),$DC218,IF($DD218="No",1,0))/
IF(DN218&gt;=INT($N218),$N218-INT($N218),1)))*
IF(EG$44=1,0,
IF(INT(DO218)=INT(DN218),DO218-DN218,INT(DO218)-DN218))+
IF($N218&lt;=1,
IF($N218&gt;0,1/$N218,0),VDB(1,0,$N218,INT(EG$44-1),MIN($N218,INT(EG$44-1)+1),$DC218,IF($DD218="No",1,0))/
IF(DO218&gt;INT($N218),$N218-INT($N218),1))*
IF(EG$44=1,DO218,
IF(INT(DO218)=INT(DN218),0,DO218-INT(DO218)))))</f>
        <v>0</v>
      </c>
      <c r="EH218" s="836">
        <f>+IF(DP218=DO218,0,
IF(AND(EH$44&gt;1,DP218=$N218),1-SUM($EE218:EG218),
IF($N218&lt;=1,
IF($N218&gt;0,1/$N218,0),
IF(EH$44=1,0,VDB(1,0,$N218,INT(EH$44-1-1),MIN($N218,INT(EH$44-1-1)+1),$DC218,IF($DD218="No",1,0))/
IF(DO218&gt;=INT($N218),$N218-INT($N218),1)))*
IF(EH$44=1,0,
IF(INT(DP218)=INT(DO218),DP218-DO218,INT(DP218)-DO218))+
IF($N218&lt;=1,
IF($N218&gt;0,1/$N218,0),VDB(1,0,$N218,INT(EH$44-1),MIN($N218,INT(EH$44-1)+1),$DC218,IF($DD218="No",1,0))/
IF(DP218&gt;INT($N218),$N218-INT($N218),1))*
IF(EH$44=1,DP218,
IF(INT(DP218)=INT(DO218),0,DP218-INT(DP218)))))</f>
        <v>0</v>
      </c>
      <c r="EI218" s="834">
        <f>+IF(DQ218=DP218,0,
IF(AND(EI$44&gt;1,DQ218=$N218),1-SUM($EE218:EH218),
IF($N218&lt;=1,
IF($N218&gt;0,1/$N218,0),
IF(EI$44=1,0,VDB(1,0,$N218,INT(EI$44-1-1),MIN($N218,INT(EI$44-1-1)+1),$DC218,IF($DD218="No",1,0))/
IF(DP218&gt;=INT($N218),$N218-INT($N218),1)))*
IF(EI$44=1,0,
IF(INT(DQ218)=INT(DP218),DQ218-DP218,INT(DQ218)-DP218))+
IF($N218&lt;=1,
IF($N218&gt;0,1/$N218,0),VDB(1,0,$N218,INT(EI$44-1),MIN($N218,INT(EI$44-1)+1),$DC218,IF($DD218="No",1,0))/
IF(DQ218&gt;INT($N218),$N218-INT($N218),1))*
IF(EI$44=1,DQ218,
IF(INT(DQ218)=INT(DP218),0,DQ218-INT(DQ218)))))</f>
        <v>0</v>
      </c>
      <c r="EJ218" s="835">
        <f>+IF(DR218=DQ218,0,
IF(AND(EJ$44&gt;1,DR218=$N218),1-SUM($EE218:EI218),
IF($N218&lt;=1,
IF($N218&gt;0,1/$N218,0),
IF(EJ$44=1,0,VDB(1,0,$N218,INT(EJ$44-1-1),MIN($N218,INT(EJ$44-1-1)+1),$DC218,IF($DD218="No",1,0))/
IF(DQ218&gt;=INT($N218),$N218-INT($N218),1)))*
IF(EJ$44=1,0,
IF(INT(DR218)=INT(DQ218),DR218-DQ218,INT(DR218)-DQ218))+
IF($N218&lt;=1,
IF($N218&gt;0,1/$N218,0),VDB(1,0,$N218,INT(EJ$44-1),MIN($N218,INT(EJ$44-1)+1),$DC218,IF($DD218="No",1,0))/
IF(DR218&gt;INT($N218),$N218-INT($N218),1))*
IF(EJ$44=1,DR218,
IF(INT(DR218)=INT(DQ218),0,DR218-INT(DR218)))))</f>
        <v>0</v>
      </c>
      <c r="EK218" s="835">
        <f>+IF(DS218=DR218,0,
IF(AND(EK$44&gt;1,DS218=$N218),1-SUM($EE218:EJ218),
IF($N218&lt;=1,
IF($N218&gt;0,1/$N218,0),
IF(EK$44=1,0,VDB(1,0,$N218,INT(EK$44-1-1),MIN($N218,INT(EK$44-1-1)+1),$DC218,IF($DD218="No",1,0))/
IF(DR218&gt;=INT($N218),$N218-INT($N218),1)))*
IF(EK$44=1,0,
IF(INT(DS218)=INT(DR218),DS218-DR218,INT(DS218)-DR218))+
IF($N218&lt;=1,
IF($N218&gt;0,1/$N218,0),VDB(1,0,$N218,INT(EK$44-1),MIN($N218,INT(EK$44-1)+1),$DC218,IF($DD218="No",1,0))/
IF(DS218&gt;INT($N218),$N218-INT($N218),1))*
IF(EK$44=1,DS218,
IF(INT(DS218)=INT(DR218),0,DS218-INT(DS218)))))</f>
        <v>0</v>
      </c>
      <c r="EL218" s="835">
        <f>+IF(DT218=DS218,0,
IF(AND(EL$44&gt;1,DT218=$N218),1-SUM($EE218:EK218),
IF($N218&lt;=1,
IF($N218&gt;0,1/$N218,0),
IF(EL$44=1,0,VDB(1,0,$N218,INT(EL$44-1-1),MIN($N218,INT(EL$44-1-1)+1),$DC218,IF($DD218="No",1,0))/
IF(DS218&gt;=INT($N218),$N218-INT($N218),1)))*
IF(EL$44=1,0,
IF(INT(DT218)=INT(DS218),DT218-DS218,INT(DT218)-DS218))+
IF($N218&lt;=1,
IF($N218&gt;0,1/$N218,0),VDB(1,0,$N218,INT(EL$44-1),MIN($N218,INT(EL$44-1)+1),$DC218,IF($DD218="No",1,0))/
IF(DT218&gt;INT($N218),$N218-INT($N218),1))*
IF(EL$44=1,DT218,
IF(INT(DT218)=INT(DS218),0,DT218-INT(DT218)))))</f>
        <v>0</v>
      </c>
      <c r="EM218" s="836">
        <f>+IF(DU218=DT218,0,
IF(AND(EM$44&gt;1,DU218=$N218),1-SUM($EE218:EL218),
IF($N218&lt;=1,
IF($N218&gt;0,1/$N218,0),
IF(EM$44=1,0,VDB(1,0,$N218,INT(EM$44-1-1),MIN($N218,INT(EM$44-1-1)+1),$DC218,IF($DD218="No",1,0))/
IF(DT218&gt;=INT($N218),$N218-INT($N218),1)))*
IF(EM$44=1,0,
IF(INT(DU218)=INT(DT218),DU218-DT218,INT(DU218)-DT218))+
IF($N218&lt;=1,
IF($N218&gt;0,1/$N218,0),VDB(1,0,$N218,INT(EM$44-1),MIN($N218,INT(EM$44-1)+1),$DC218,IF($DD218="No",1,0))/
IF(DU218&gt;INT($N218),$N218-INT($N218),1))*
IF(EM$44=1,DU218,
IF(INT(DU218)=INT(DT218),0,DU218-INT(DU218)))))</f>
        <v>0</v>
      </c>
      <c r="EN218" s="833"/>
      <c r="EO218" s="834">
        <f>+IF(OR(DW218=DV218,EO$44=1),0,
IF(AND(EO$44&gt;1,DW218=$N218),1-SUM($EN218:EN218),
IF($N218&lt;=1,
IF($N218&gt;0,1/$N218,0),
IF(EO$44=2,0,VDB(1,0,$N218,INT(EO$44-2-1),MIN($N218,INT(EO$44-2-1)+1),$DC218,IF($DD218="No",1,0))/
IF(DV218&gt;=INT($N218),$N218-INT($N218),1)))*
IF(EO$44=2,0,
IF(INT(DW218)=INT(DV218),DW218-DV218,INT(DW218)-DV218))+
IF($N218&lt;=1,
IF($N218&gt;0,1/$N218,0),VDB(1,0,$N218,INT(EO$44-2),MIN($N218,INT(EO$44-2)+1),$DC218,IF($DD218="No",1,0))/
IF(DW218&gt;INT($N218),$N218-INT($N218),1))*
IF(EO$44=2,DW218,
IF(INT(DW218)=INT(DV218),0,DW218-INT(DW218)))))</f>
        <v>0</v>
      </c>
      <c r="EP218" s="835">
        <f>+IF(OR(DX218=DW218,EP$44=1),0,
IF(AND(EP$44&gt;1,DX218=$N218),1-SUM($EN218:EO218),
IF($N218&lt;=1,
IF($N218&gt;0,1/$N218,0),
IF(EP$44=2,0,VDB(1,0,$N218,INT(EP$44-2-1),MIN($N218,INT(EP$44-2-1)+1),$DC218,IF($DD218="No",1,0))/
IF(DW218&gt;=INT($N218),$N218-INT($N218),1)))*
IF(EP$44=2,0,
IF(INT(DX218)=INT(DW218),DX218-DW218,INT(DX218)-DW218))+
IF($N218&lt;=1,
IF($N218&gt;0,1/$N218,0),VDB(1,0,$N218,INT(EP$44-2),MIN($N218,INT(EP$44-2)+1),$DC218,IF($DD218="No",1,0))/
IF(DX218&gt;INT($N218),$N218-INT($N218),1))*
IF(EP$44=2,DX218,
IF(INT(DX218)=INT(DW218),0,DX218-INT(DX218)))))</f>
        <v>0</v>
      </c>
      <c r="EQ218" s="836">
        <f>+IF(OR(DY218=DX218,EQ$44=1),0,
IF(AND(EQ$44&gt;1,DY218=$N218),1-SUM($EN218:EP218),
IF($N218&lt;=1,
IF($N218&gt;0,1/$N218,0),
IF(EQ$44=2,0,VDB(1,0,$N218,INT(EQ$44-2-1),MIN($N218,INT(EQ$44-2-1)+1),$DC218,IF($DD218="No",1,0))/
IF(DX218&gt;=INT($N218),$N218-INT($N218),1)))*
IF(EQ$44=2,0,
IF(INT(DY218)=INT(DX218),DY218-DX218,INT(DY218)-DX218))+
IF($N218&lt;=1,
IF($N218&gt;0,1/$N218,0),VDB(1,0,$N218,INT(EQ$44-2),MIN($N218,INT(EQ$44-2)+1),$DC218,IF($DD218="No",1,0))/
IF(DY218&gt;INT($N218),$N218-INT($N218),1))*
IF(EQ$44=2,DY218,
IF(INT(DY218)=INT(DX218),0,DY218-INT(DY218)))))</f>
        <v>0</v>
      </c>
      <c r="ER218" s="834">
        <f>+IF(OR(DZ218=DY218,ER$44=1),0,
IF(AND(ER$44&gt;1,DZ218=$N218),1-SUM($EN218:EQ218),
IF($N218&lt;=1,
IF($N218&gt;0,1/$N218,0),
IF(ER$44=2,0,VDB(1,0,$N218,INT(ER$44-2-1),MIN($N218,INT(ER$44-2-1)+1),$DC218,IF($DD218="No",1,0))/
IF(DY218&gt;=INT($N218),$N218-INT($N218),1)))*
IF(ER$44=2,0,
IF(INT(DZ218)=INT(DY218),DZ218-DY218,INT(DZ218)-DY218))+
IF($N218&lt;=1,
IF($N218&gt;0,1/$N218,0),VDB(1,0,$N218,INT(ER$44-2),MIN($N218,INT(ER$44-2)+1),$DC218,IF($DD218="No",1,0))/
IF(DZ218&gt;INT($N218),$N218-INT($N218),1))*
IF(ER$44=2,DZ218,
IF(INT(DZ218)=INT(DY218),0,DZ218-INT(DZ218)))))</f>
        <v>0</v>
      </c>
      <c r="ES218" s="835">
        <f>+IF(OR(EA218=DZ218,ES$44=1),0,
IF(AND(ES$44&gt;1,EA218=$N218),1-SUM($EN218:ER218),
IF($N218&lt;=1,
IF($N218&gt;0,1/$N218,0),
IF(ES$44=2,0,VDB(1,0,$N218,INT(ES$44-2-1),MIN($N218,INT(ES$44-2-1)+1),$DC218,IF($DD218="No",1,0))/
IF(DZ218&gt;=INT($N218),$N218-INT($N218),1)))*
IF(ES$44=2,0,
IF(INT(EA218)=INT(DZ218),EA218-DZ218,INT(EA218)-DZ218))+
IF($N218&lt;=1,
IF($N218&gt;0,1/$N218,0),VDB(1,0,$N218,INT(ES$44-2),MIN($N218,INT(ES$44-2)+1),$DC218,IF($DD218="No",1,0))/
IF(EA218&gt;INT($N218),$N218-INT($N218),1))*
IF(ES$44=2,EA218,
IF(INT(EA218)=INT(DZ218),0,EA218-INT(EA218)))))</f>
        <v>0</v>
      </c>
      <c r="ET218" s="835">
        <f>+IF(OR(EB218=EA218,ET$44=1),0,
IF(AND(ET$44&gt;1,EB218=$N218),1-SUM($EN218:ES218),
IF($N218&lt;=1,
IF($N218&gt;0,1/$N218,0),
IF(ET$44=2,0,VDB(1,0,$N218,INT(ET$44-2-1),MIN($N218,INT(ET$44-2-1)+1),$DC218,IF($DD218="No",1,0))/
IF(EA218&gt;=INT($N218),$N218-INT($N218),1)))*
IF(ET$44=2,0,
IF(INT(EB218)=INT(EA218),EB218-EA218,INT(EB218)-EA218))+
IF($N218&lt;=1,
IF($N218&gt;0,1/$N218,0),VDB(1,0,$N218,INT(ET$44-2),MIN($N218,INT(ET$44-2)+1),$DC218,IF($DD218="No",1,0))/
IF(EB218&gt;INT($N218),$N218-INT($N218),1))*
IF(ET$44=2,EB218,
IF(INT(EB218)=INT(EA218),0,EB218-INT(EB218)))))</f>
        <v>0</v>
      </c>
      <c r="EU218" s="835">
        <f>+IF(OR(EC218=EB218,EU$44=1),0,
IF(AND(EU$44&gt;1,EC218=$N218),1-SUM($EN218:ET218),
IF($N218&lt;=1,
IF($N218&gt;0,1/$N218,0),
IF(EU$44=2,0,VDB(1,0,$N218,INT(EU$44-2-1),MIN($N218,INT(EU$44-2-1)+1),$DC218,IF($DD218="No",1,0))/
IF(EB218&gt;=INT($N218),$N218-INT($N218),1)))*
IF(EU$44=2,0,
IF(INT(EC218)=INT(EB218),EC218-EB218,INT(EC218)-EB218))+
IF($N218&lt;=1,
IF($N218&gt;0,1/$N218,0),VDB(1,0,$N218,INT(EU$44-2),MIN($N218,INT(EU$44-2)+1),$DC218,IF($DD218="No",1,0))/
IF(EC218&gt;INT($N218),$N218-INT($N218),1))*
IF(EU$44=2,EC218,
IF(INT(EC218)=INT(EB218),0,EC218-INT(EC218)))))</f>
        <v>0</v>
      </c>
      <c r="EV218" s="836">
        <f>+IF(OR(ED218=EC218,EV$44=1),0,
IF(AND(EV$44&gt;1,ED218=$N218),1-SUM($EN218:EU218),
IF($N218&lt;=1,
IF($N218&gt;0,1/$N218,0),
IF(EV$44=2,0,VDB(1,0,$N218,INT(EV$44-2-1),MIN($N218,INT(EV$44-2-1)+1),$DC218,IF($DD218="No",1,0))/
IF(EC218&gt;=INT($N218),$N218-INT($N218),1)))*
IF(EV$44=2,0,
IF(INT(ED218)=INT(EC218),ED218-EC218,INT(ED218)-EC218))+
IF($N218&lt;=1,
IF($N218&gt;0,1/$N218,0),VDB(1,0,$N218,INT(EV$44-2),MIN($N218,INT(EV$44-2)+1),$DC218,IF($DD218="No",1,0))/
IF(ED218&gt;INT($N218),$N218-INT($N218),1))*
IF(EV$44=2,ED218,
IF(INT(ED218)=INT(EC218),0,ED218-INT(ED218)))))</f>
        <v>0</v>
      </c>
      <c r="EW218" s="833"/>
      <c r="EX218" s="834">
        <f t="shared" ca="1" si="361"/>
        <v>0</v>
      </c>
      <c r="EY218" s="835">
        <f t="shared" ca="1" si="361"/>
        <v>0</v>
      </c>
      <c r="EZ218" s="836">
        <f t="shared" ca="1" si="361"/>
        <v>0</v>
      </c>
      <c r="FA218" s="834">
        <f t="shared" ca="1" si="361"/>
        <v>0</v>
      </c>
      <c r="FB218" s="835">
        <f t="shared" ca="1" si="361"/>
        <v>0</v>
      </c>
      <c r="FC218" s="835">
        <f t="shared" ca="1" si="361"/>
        <v>0</v>
      </c>
      <c r="FD218" s="835">
        <f t="shared" ca="1" si="361"/>
        <v>0</v>
      </c>
      <c r="FE218" s="836">
        <f t="shared" ca="1" si="361"/>
        <v>0</v>
      </c>
      <c r="FG218" s="386">
        <f t="shared" ca="1" si="351"/>
        <v>0</v>
      </c>
      <c r="FH218" s="387">
        <f t="shared" ca="1" si="352"/>
        <v>0</v>
      </c>
      <c r="FI218" s="388">
        <f t="shared" ca="1" si="353"/>
        <v>0</v>
      </c>
      <c r="FJ218" s="386">
        <f t="shared" ca="1" si="354"/>
        <v>0</v>
      </c>
      <c r="FK218" s="387">
        <f t="shared" ca="1" si="355"/>
        <v>0</v>
      </c>
      <c r="FL218" s="387">
        <f t="shared" ca="1" si="356"/>
        <v>0</v>
      </c>
      <c r="FM218" s="387">
        <f t="shared" ca="1" si="357"/>
        <v>0</v>
      </c>
      <c r="FN218" s="388">
        <f t="shared" ca="1" si="358"/>
        <v>0</v>
      </c>
      <c r="FR218" s="116"/>
    </row>
    <row r="219" spans="2:174">
      <c r="B219" s="1410">
        <f t="shared" si="359"/>
        <v>173</v>
      </c>
      <c r="C219" s="400"/>
      <c r="D219" s="410"/>
      <c r="E219" s="402"/>
      <c r="F219" s="402"/>
      <c r="G219" s="400"/>
      <c r="H219" s="2088"/>
      <c r="I219" s="2089"/>
      <c r="J219" s="411"/>
      <c r="K219" s="403"/>
      <c r="L219" s="403"/>
      <c r="M219" s="403"/>
      <c r="N219" s="403"/>
      <c r="O219" s="347"/>
      <c r="P219" s="347"/>
      <c r="Q219" s="1021"/>
      <c r="R219" s="1022"/>
      <c r="S219" s="1022"/>
      <c r="T219" s="1022"/>
      <c r="U219" s="1023"/>
      <c r="V219" s="1021"/>
      <c r="W219" s="1022"/>
      <c r="X219" s="1022"/>
      <c r="Y219" s="1022"/>
      <c r="Z219" s="1023"/>
      <c r="AA219" s="1024"/>
      <c r="AB219" s="1021"/>
      <c r="AC219" s="1022"/>
      <c r="AD219" s="1022"/>
      <c r="AE219" s="1022"/>
      <c r="AF219" s="1023"/>
      <c r="AG219" s="1021"/>
      <c r="AH219" s="1022"/>
      <c r="AI219" s="1022"/>
      <c r="AJ219" s="1022"/>
      <c r="AK219" s="1023"/>
      <c r="AL219" s="1024"/>
      <c r="AM219" s="1021"/>
      <c r="AN219" s="1022"/>
      <c r="AO219" s="1022"/>
      <c r="AP219" s="1022"/>
      <c r="AQ219" s="1023"/>
      <c r="AR219" s="1021"/>
      <c r="AS219" s="1022"/>
      <c r="AT219" s="1022"/>
      <c r="AU219" s="1022"/>
      <c r="AV219" s="1023"/>
      <c r="AW219" s="1025"/>
      <c r="AX219" s="1282">
        <f t="shared" si="304"/>
        <v>0</v>
      </c>
      <c r="AY219" s="387">
        <f t="shared" si="305"/>
        <v>0</v>
      </c>
      <c r="AZ219" s="387">
        <f t="shared" si="306"/>
        <v>0</v>
      </c>
      <c r="BA219" s="387">
        <f t="shared" si="307"/>
        <v>0</v>
      </c>
      <c r="BB219" s="1283">
        <f t="shared" si="308"/>
        <v>0</v>
      </c>
      <c r="BC219" s="386">
        <f t="shared" si="309"/>
        <v>0</v>
      </c>
      <c r="BD219" s="387">
        <f t="shared" si="310"/>
        <v>0</v>
      </c>
      <c r="BE219" s="1277">
        <f t="shared" si="311"/>
        <v>0</v>
      </c>
      <c r="BF219" s="1277">
        <f t="shared" si="312"/>
        <v>0</v>
      </c>
      <c r="BG219" s="388">
        <f t="shared" si="313"/>
        <v>0</v>
      </c>
      <c r="BH219" s="1025"/>
      <c r="BI219" s="1282">
        <f t="shared" ca="1" si="314"/>
        <v>0</v>
      </c>
      <c r="BJ219" s="387">
        <f t="shared" ca="1" si="315"/>
        <v>0</v>
      </c>
      <c r="BK219" s="387">
        <f t="shared" ca="1" si="316"/>
        <v>0</v>
      </c>
      <c r="BL219" s="387">
        <f t="shared" ca="1" si="317"/>
        <v>0</v>
      </c>
      <c r="BM219" s="1283">
        <f t="shared" ca="1" si="318"/>
        <v>0</v>
      </c>
      <c r="BN219" s="386">
        <f t="shared" ca="1" si="319"/>
        <v>0</v>
      </c>
      <c r="BO219" s="387">
        <f t="shared" ca="1" si="320"/>
        <v>0</v>
      </c>
      <c r="BP219" s="1277">
        <f t="shared" ca="1" si="321"/>
        <v>0</v>
      </c>
      <c r="BQ219" s="1277">
        <f t="shared" ca="1" si="322"/>
        <v>0</v>
      </c>
      <c r="BR219" s="388">
        <f t="shared" ca="1" si="323"/>
        <v>0</v>
      </c>
      <c r="BS219" s="1025"/>
      <c r="BT219" s="1282">
        <f>+IF($K219="Ongoing",AX219,IF(RIGHT($K219,2)=RIGHT(BT$43,2),SUM($AX219:AX219),0)+IF(RIGHT(BT$43,2)&gt;RIGHT($K219,2),AX219,0))</f>
        <v>0</v>
      </c>
      <c r="BU219" s="387">
        <f>+IF($K219="Ongoing",AY219,IF(RIGHT($K219,2)=RIGHT(BU$43,2),SUM($AX219:AY219),0)+IF(RIGHT(BU$43,2)&gt;RIGHT($K219,2),AY219,0))</f>
        <v>0</v>
      </c>
      <c r="BV219" s="387">
        <f>+IF($K219="Ongoing",AZ219,IF(RIGHT($K219,2)=RIGHT(BV$43,2),SUM($AX219:AZ219),0)+IF(RIGHT(BV$43,2)&gt;RIGHT($K219,2),AZ219,0))</f>
        <v>0</v>
      </c>
      <c r="BW219" s="387">
        <f>+IF($K219="Ongoing",BA219,IF(RIGHT($K219,2)=RIGHT(BW$43,2),SUM($AX219:BA219),0)+IF(RIGHT(BW$43,2)&gt;RIGHT($K219,2),BA219,0))</f>
        <v>0</v>
      </c>
      <c r="BX219" s="1283">
        <f>+IF($K219="Ongoing",BB219,IF(RIGHT($K219,2)=RIGHT(BX$43,2),SUM($AX219:BB219),0)+IF(RIGHT(BX$43,2)&gt;RIGHT($K219,2),BB219,0))</f>
        <v>0</v>
      </c>
      <c r="BY219" s="386">
        <f>+IF($K219="Ongoing",BC219,IF(RIGHT($K219,2)=RIGHT(BY$43,2),SUM($AX219:BC219),0)+IF(RIGHT(BY$43,2)&gt;RIGHT($K219,2),BC219,0))</f>
        <v>0</v>
      </c>
      <c r="BZ219" s="387">
        <f>+IF($K219="Ongoing",BD219,IF(RIGHT($K219,2)=RIGHT(BZ$43,2),SUM($AX219:BD219),0)+IF(RIGHT(BZ$43,2)&gt;RIGHT($K219,2),BD219,0))</f>
        <v>0</v>
      </c>
      <c r="CA219" s="1277">
        <f>+IF($K219="Ongoing",BE219,IF(RIGHT($K219,2)=RIGHT(CA$43,2),SUM($AX219:BE219),0)+IF(RIGHT(CA$43,2)&gt;RIGHT($K219,2),BE219,0))</f>
        <v>0</v>
      </c>
      <c r="CB219" s="1277">
        <f>+IF($K219="Ongoing",BF219,IF(RIGHT($K219,2)=RIGHT(CB$43,2),SUM($AX219:BF219),0)+IF(RIGHT(CB$43,2)&gt;RIGHT($K219,2),BF219,0))</f>
        <v>0</v>
      </c>
      <c r="CC219" s="388">
        <f>+IF($K219="Ongoing",BG219,IF(RIGHT($K219,2)=RIGHT(CC$43,2),SUM($AX219:BG219),0)+IF(RIGHT(CC$43,2)&gt;RIGHT($K219,2),BG219,0))</f>
        <v>0</v>
      </c>
      <c r="CD219" s="1025"/>
      <c r="CE219" s="1282">
        <f>+Q219*KeyAssumptionsPriceControl_FO!AF$15</f>
        <v>0</v>
      </c>
      <c r="CF219" s="387">
        <f>+R219*KeyAssumptionsPriceControl_FO!AG$15</f>
        <v>0</v>
      </c>
      <c r="CG219" s="387">
        <f>+S219*KeyAssumptionsPriceControl_FO!AH$15</f>
        <v>0</v>
      </c>
      <c r="CH219" s="387">
        <f>+T219*KeyAssumptionsPriceControl_FO!AI$15</f>
        <v>0</v>
      </c>
      <c r="CI219" s="1283">
        <f>+U219*KeyAssumptionsPriceControl_FO!AJ$15</f>
        <v>0</v>
      </c>
      <c r="CJ219" s="386">
        <f>+V219*KeyAssumptionsPriceControl_FO!AK$15</f>
        <v>0</v>
      </c>
      <c r="CK219" s="387">
        <f>+W219*KeyAssumptionsPriceControl_FO!AL$15</f>
        <v>0</v>
      </c>
      <c r="CL219" s="1277">
        <f>+X219*KeyAssumptionsPriceControl_FO!AM$15</f>
        <v>0</v>
      </c>
      <c r="CM219" s="1277">
        <f>+Y219*KeyAssumptionsPriceControl_FO!AN$15</f>
        <v>0</v>
      </c>
      <c r="CN219" s="388">
        <f>+Z219*KeyAssumptionsPriceControl_FO!AO$15</f>
        <v>0</v>
      </c>
      <c r="CO219" s="1025"/>
      <c r="CP219" s="1282">
        <f t="shared" ca="1" si="324"/>
        <v>0</v>
      </c>
      <c r="CQ219" s="387">
        <f t="shared" ca="1" si="325"/>
        <v>0</v>
      </c>
      <c r="CR219" s="387">
        <f t="shared" ca="1" si="326"/>
        <v>0</v>
      </c>
      <c r="CS219" s="387">
        <f t="shared" ca="1" si="327"/>
        <v>0</v>
      </c>
      <c r="CT219" s="1283">
        <f t="shared" ca="1" si="328"/>
        <v>0</v>
      </c>
      <c r="CU219" s="386">
        <f t="shared" ca="1" si="329"/>
        <v>0</v>
      </c>
      <c r="CV219" s="387">
        <f t="shared" ca="1" si="330"/>
        <v>0</v>
      </c>
      <c r="CW219" s="1277">
        <f t="shared" ca="1" si="331"/>
        <v>0</v>
      </c>
      <c r="CX219" s="1277">
        <f t="shared" ca="1" si="332"/>
        <v>0</v>
      </c>
      <c r="CY219" s="388">
        <f t="shared" ca="1" si="333"/>
        <v>0</v>
      </c>
      <c r="CZ219" s="347"/>
      <c r="DA219" s="852"/>
      <c r="DB219" s="347"/>
      <c r="DC219" s="1012" t="s">
        <v>740</v>
      </c>
      <c r="DD219" s="841" t="s">
        <v>518</v>
      </c>
      <c r="DE219" s="386">
        <f>+IF($K219="ongoing",CE219,IF(RIGHT($K219,2)=RIGHT(DE$43,2),SUM($CD219:CE219),0)+IF(RIGHT(DE$43,2)&gt;RIGHT($K219,2),CE219,0))</f>
        <v>0</v>
      </c>
      <c r="DF219" s="387">
        <f>+IF($K219="ongoing",CF219,IF(RIGHT($K219,2)=RIGHT(DF$43,2),SUM($CD219:CF219),0)+IF(RIGHT(DF$43,2)&gt;RIGHT($K219,2),CF219,0))</f>
        <v>0</v>
      </c>
      <c r="DG219" s="388">
        <f>+IF($K219="ongoing",CG219,IF(RIGHT($K219,2)=RIGHT(DG$43,2),SUM($CD219:CG219),0)+IF(RIGHT(DG$43,2)&gt;RIGHT($K219,2),CG219,0))</f>
        <v>0</v>
      </c>
      <c r="DH219" s="386">
        <f>+IF($K219="ongoing",CH219,IF(RIGHT($K219,2)=RIGHT(DH$43,2),SUM($CD219:CH219),0)+IF(RIGHT(DH$43,2)&gt;RIGHT($K219,2),CH219,0))</f>
        <v>0</v>
      </c>
      <c r="DI219" s="387">
        <f>+IF($K219="ongoing",CI219,IF(RIGHT($K219,2)=RIGHT(DI$43,2),SUM($CD219:CI219),0)+IF(RIGHT(DI$43,2)&gt;RIGHT($K219,2),CI219,0))</f>
        <v>0</v>
      </c>
      <c r="DJ219" s="387">
        <f>+IF($K219="ongoing",CJ219,IF(RIGHT($K219,2)=RIGHT(DJ$43,2),SUM($CD219:CJ219),0)+IF(RIGHT(DJ$43,2)&gt;RIGHT($K219,2),CJ219,0))</f>
        <v>0</v>
      </c>
      <c r="DK219" s="387">
        <f>+IF($K219="ongoing",CK219,IF(RIGHT($K219,2)=RIGHT(DK$43,2),SUM($CD219:CK219),0)+IF(RIGHT(DK$43,2)&gt;RIGHT($K219,2),CK219,0))</f>
        <v>0</v>
      </c>
      <c r="DL219" s="388">
        <f>+IF($K219="ongoing",CN219,IF(RIGHT($K219,2)=RIGHT(DL$43,2),SUM($CD219:CN219),0)+IF(RIGHT(DL$43,2)&gt;RIGHT($K219,2),CN219,0))</f>
        <v>0</v>
      </c>
      <c r="DM219" s="841"/>
      <c r="DN219" s="386">
        <f t="shared" si="334"/>
        <v>0.5</v>
      </c>
      <c r="DO219" s="387">
        <f t="shared" si="335"/>
        <v>1</v>
      </c>
      <c r="DP219" s="388">
        <f t="shared" si="336"/>
        <v>1</v>
      </c>
      <c r="DQ219" s="386">
        <f t="shared" si="337"/>
        <v>1</v>
      </c>
      <c r="DR219" s="387">
        <f t="shared" si="338"/>
        <v>1</v>
      </c>
      <c r="DS219" s="387">
        <f t="shared" si="339"/>
        <v>1</v>
      </c>
      <c r="DT219" s="387">
        <f t="shared" si="340"/>
        <v>1</v>
      </c>
      <c r="DU219" s="388">
        <f t="shared" si="341"/>
        <v>1</v>
      </c>
      <c r="DW219" s="386">
        <f t="shared" si="342"/>
        <v>0</v>
      </c>
      <c r="DX219" s="387">
        <f t="shared" si="343"/>
        <v>0.5</v>
      </c>
      <c r="DY219" s="388">
        <f t="shared" si="344"/>
        <v>1</v>
      </c>
      <c r="DZ219" s="386">
        <f t="shared" si="345"/>
        <v>1</v>
      </c>
      <c r="EA219" s="387">
        <f t="shared" si="346"/>
        <v>1</v>
      </c>
      <c r="EB219" s="387">
        <f t="shared" si="347"/>
        <v>1</v>
      </c>
      <c r="EC219" s="387">
        <f t="shared" si="348"/>
        <v>1</v>
      </c>
      <c r="ED219" s="388">
        <f t="shared" si="349"/>
        <v>1</v>
      </c>
      <c r="EF219" s="834">
        <f>+IF(DN219=DM219,0,
IF(AND(EF$44&gt;1,DN219=$N219),1-SUM($EE219:EE219),
IF($N219&lt;=1,
IF($N219&gt;0,1/$N219,0),
IF(EF$44=1,0,VDB(1,0,$N219,INT(EF$44-1-1),MIN($N219,INT(EF$44-1-1)+1),$DC219,IF($DD219="No",1,0))/
IF(DM219&gt;=INT($N219),$N219-INT($N219),1)))*
IF(EF$44=1,0,
IF(INT(DN219)=INT(DM219),DN219-DM219,INT(DN219)-DM219))+
IF($N219&lt;=1,
IF($N219&gt;0,1/$N219,0),VDB(1,0,$N219,INT(EF$44-1),MIN($N219,INT(EF$44-1)+1),$DC219,IF($DD219="No",1,0))/
IF(DN219&gt;INT($N219),$N219-INT($N219),1))*
IF(EF$44=1,DN219,
IF(INT(DN219)=INT(DM219),0,DN219-INT(DN219)))))</f>
        <v>0</v>
      </c>
      <c r="EG219" s="835">
        <f>+IF(DO219=DN219,0,
IF(AND(EG$44&gt;1,DO219=$N219),1-SUM($EE219:EF219),
IF($N219&lt;=1,
IF($N219&gt;0,1/$N219,0),
IF(EG$44=1,0,VDB(1,0,$N219,INT(EG$44-1-1),MIN($N219,INT(EG$44-1-1)+1),$DC219,IF($DD219="No",1,0))/
IF(DN219&gt;=INT($N219),$N219-INT($N219),1)))*
IF(EG$44=1,0,
IF(INT(DO219)=INT(DN219),DO219-DN219,INT(DO219)-DN219))+
IF($N219&lt;=1,
IF($N219&gt;0,1/$N219,0),VDB(1,0,$N219,INT(EG$44-1),MIN($N219,INT(EG$44-1)+1),$DC219,IF($DD219="No",1,0))/
IF(DO219&gt;INT($N219),$N219-INT($N219),1))*
IF(EG$44=1,DO219,
IF(INT(DO219)=INT(DN219),0,DO219-INT(DO219)))))</f>
        <v>0</v>
      </c>
      <c r="EH219" s="836">
        <f>+IF(DP219=DO219,0,
IF(AND(EH$44&gt;1,DP219=$N219),1-SUM($EE219:EG219),
IF($N219&lt;=1,
IF($N219&gt;0,1/$N219,0),
IF(EH$44=1,0,VDB(1,0,$N219,INT(EH$44-1-1),MIN($N219,INT(EH$44-1-1)+1),$DC219,IF($DD219="No",1,0))/
IF(DO219&gt;=INT($N219),$N219-INT($N219),1)))*
IF(EH$44=1,0,
IF(INT(DP219)=INT(DO219),DP219-DO219,INT(DP219)-DO219))+
IF($N219&lt;=1,
IF($N219&gt;0,1/$N219,0),VDB(1,0,$N219,INT(EH$44-1),MIN($N219,INT(EH$44-1)+1),$DC219,IF($DD219="No",1,0))/
IF(DP219&gt;INT($N219),$N219-INT($N219),1))*
IF(EH$44=1,DP219,
IF(INT(DP219)=INT(DO219),0,DP219-INT(DP219)))))</f>
        <v>0</v>
      </c>
      <c r="EI219" s="834">
        <f>+IF(DQ219=DP219,0,
IF(AND(EI$44&gt;1,DQ219=$N219),1-SUM($EE219:EH219),
IF($N219&lt;=1,
IF($N219&gt;0,1/$N219,0),
IF(EI$44=1,0,VDB(1,0,$N219,INT(EI$44-1-1),MIN($N219,INT(EI$44-1-1)+1),$DC219,IF($DD219="No",1,0))/
IF(DP219&gt;=INT($N219),$N219-INT($N219),1)))*
IF(EI$44=1,0,
IF(INT(DQ219)=INT(DP219),DQ219-DP219,INT(DQ219)-DP219))+
IF($N219&lt;=1,
IF($N219&gt;0,1/$N219,0),VDB(1,0,$N219,INT(EI$44-1),MIN($N219,INT(EI$44-1)+1),$DC219,IF($DD219="No",1,0))/
IF(DQ219&gt;INT($N219),$N219-INT($N219),1))*
IF(EI$44=1,DQ219,
IF(INT(DQ219)=INT(DP219),0,DQ219-INT(DQ219)))))</f>
        <v>0</v>
      </c>
      <c r="EJ219" s="835">
        <f>+IF(DR219=DQ219,0,
IF(AND(EJ$44&gt;1,DR219=$N219),1-SUM($EE219:EI219),
IF($N219&lt;=1,
IF($N219&gt;0,1/$N219,0),
IF(EJ$44=1,0,VDB(1,0,$N219,INT(EJ$44-1-1),MIN($N219,INT(EJ$44-1-1)+1),$DC219,IF($DD219="No",1,0))/
IF(DQ219&gt;=INT($N219),$N219-INT($N219),1)))*
IF(EJ$44=1,0,
IF(INT(DR219)=INT(DQ219),DR219-DQ219,INT(DR219)-DQ219))+
IF($N219&lt;=1,
IF($N219&gt;0,1/$N219,0),VDB(1,0,$N219,INT(EJ$44-1),MIN($N219,INT(EJ$44-1)+1),$DC219,IF($DD219="No",1,0))/
IF(DR219&gt;INT($N219),$N219-INT($N219),1))*
IF(EJ$44=1,DR219,
IF(INT(DR219)=INT(DQ219),0,DR219-INT(DR219)))))</f>
        <v>0</v>
      </c>
      <c r="EK219" s="835">
        <f>+IF(DS219=DR219,0,
IF(AND(EK$44&gt;1,DS219=$N219),1-SUM($EE219:EJ219),
IF($N219&lt;=1,
IF($N219&gt;0,1/$N219,0),
IF(EK$44=1,0,VDB(1,0,$N219,INT(EK$44-1-1),MIN($N219,INT(EK$44-1-1)+1),$DC219,IF($DD219="No",1,0))/
IF(DR219&gt;=INT($N219),$N219-INT($N219),1)))*
IF(EK$44=1,0,
IF(INT(DS219)=INT(DR219),DS219-DR219,INT(DS219)-DR219))+
IF($N219&lt;=1,
IF($N219&gt;0,1/$N219,0),VDB(1,0,$N219,INT(EK$44-1),MIN($N219,INT(EK$44-1)+1),$DC219,IF($DD219="No",1,0))/
IF(DS219&gt;INT($N219),$N219-INT($N219),1))*
IF(EK$44=1,DS219,
IF(INT(DS219)=INT(DR219),0,DS219-INT(DS219)))))</f>
        <v>0</v>
      </c>
      <c r="EL219" s="835">
        <f>+IF(DT219=DS219,0,
IF(AND(EL$44&gt;1,DT219=$N219),1-SUM($EE219:EK219),
IF($N219&lt;=1,
IF($N219&gt;0,1/$N219,0),
IF(EL$44=1,0,VDB(1,0,$N219,INT(EL$44-1-1),MIN($N219,INT(EL$44-1-1)+1),$DC219,IF($DD219="No",1,0))/
IF(DS219&gt;=INT($N219),$N219-INT($N219),1)))*
IF(EL$44=1,0,
IF(INT(DT219)=INT(DS219),DT219-DS219,INT(DT219)-DS219))+
IF($N219&lt;=1,
IF($N219&gt;0,1/$N219,0),VDB(1,0,$N219,INT(EL$44-1),MIN($N219,INT(EL$44-1)+1),$DC219,IF($DD219="No",1,0))/
IF(DT219&gt;INT($N219),$N219-INT($N219),1))*
IF(EL$44=1,DT219,
IF(INT(DT219)=INT(DS219),0,DT219-INT(DT219)))))</f>
        <v>0</v>
      </c>
      <c r="EM219" s="836">
        <f>+IF(DU219=DT219,0,
IF(AND(EM$44&gt;1,DU219=$N219),1-SUM($EE219:EL219),
IF($N219&lt;=1,
IF($N219&gt;0,1/$N219,0),
IF(EM$44=1,0,VDB(1,0,$N219,INT(EM$44-1-1),MIN($N219,INT(EM$44-1-1)+1),$DC219,IF($DD219="No",1,0))/
IF(DT219&gt;=INT($N219),$N219-INT($N219),1)))*
IF(EM$44=1,0,
IF(INT(DU219)=INT(DT219),DU219-DT219,INT(DU219)-DT219))+
IF($N219&lt;=1,
IF($N219&gt;0,1/$N219,0),VDB(1,0,$N219,INT(EM$44-1),MIN($N219,INT(EM$44-1)+1),$DC219,IF($DD219="No",1,0))/
IF(DU219&gt;INT($N219),$N219-INT($N219),1))*
IF(EM$44=1,DU219,
IF(INT(DU219)=INT(DT219),0,DU219-INT(DU219)))))</f>
        <v>0</v>
      </c>
      <c r="EN219" s="833"/>
      <c r="EO219" s="834">
        <f>+IF(OR(DW219=DV219,EO$44=1),0,
IF(AND(EO$44&gt;1,DW219=$N219),1-SUM($EN219:EN219),
IF($N219&lt;=1,
IF($N219&gt;0,1/$N219,0),
IF(EO$44=2,0,VDB(1,0,$N219,INT(EO$44-2-1),MIN($N219,INT(EO$44-2-1)+1),$DC219,IF($DD219="No",1,0))/
IF(DV219&gt;=INT($N219),$N219-INT($N219),1)))*
IF(EO$44=2,0,
IF(INT(DW219)=INT(DV219),DW219-DV219,INT(DW219)-DV219))+
IF($N219&lt;=1,
IF($N219&gt;0,1/$N219,0),VDB(1,0,$N219,INT(EO$44-2),MIN($N219,INT(EO$44-2)+1),$DC219,IF($DD219="No",1,0))/
IF(DW219&gt;INT($N219),$N219-INT($N219),1))*
IF(EO$44=2,DW219,
IF(INT(DW219)=INT(DV219),0,DW219-INT(DW219)))))</f>
        <v>0</v>
      </c>
      <c r="EP219" s="835">
        <f>+IF(OR(DX219=DW219,EP$44=1),0,
IF(AND(EP$44&gt;1,DX219=$N219),1-SUM($EN219:EO219),
IF($N219&lt;=1,
IF($N219&gt;0,1/$N219,0),
IF(EP$44=2,0,VDB(1,0,$N219,INT(EP$44-2-1),MIN($N219,INT(EP$44-2-1)+1),$DC219,IF($DD219="No",1,0))/
IF(DW219&gt;=INT($N219),$N219-INT($N219),1)))*
IF(EP$44=2,0,
IF(INT(DX219)=INT(DW219),DX219-DW219,INT(DX219)-DW219))+
IF($N219&lt;=1,
IF($N219&gt;0,1/$N219,0),VDB(1,0,$N219,INT(EP$44-2),MIN($N219,INT(EP$44-2)+1),$DC219,IF($DD219="No",1,0))/
IF(DX219&gt;INT($N219),$N219-INT($N219),1))*
IF(EP$44=2,DX219,
IF(INT(DX219)=INT(DW219),0,DX219-INT(DX219)))))</f>
        <v>0</v>
      </c>
      <c r="EQ219" s="836">
        <f>+IF(OR(DY219=DX219,EQ$44=1),0,
IF(AND(EQ$44&gt;1,DY219=$N219),1-SUM($EN219:EP219),
IF($N219&lt;=1,
IF($N219&gt;0,1/$N219,0),
IF(EQ$44=2,0,VDB(1,0,$N219,INT(EQ$44-2-1),MIN($N219,INT(EQ$44-2-1)+1),$DC219,IF($DD219="No",1,0))/
IF(DX219&gt;=INT($N219),$N219-INT($N219),1)))*
IF(EQ$44=2,0,
IF(INT(DY219)=INT(DX219),DY219-DX219,INT(DY219)-DX219))+
IF($N219&lt;=1,
IF($N219&gt;0,1/$N219,0),VDB(1,0,$N219,INT(EQ$44-2),MIN($N219,INT(EQ$44-2)+1),$DC219,IF($DD219="No",1,0))/
IF(DY219&gt;INT($N219),$N219-INT($N219),1))*
IF(EQ$44=2,DY219,
IF(INT(DY219)=INT(DX219),0,DY219-INT(DY219)))))</f>
        <v>0</v>
      </c>
      <c r="ER219" s="834">
        <f>+IF(OR(DZ219=DY219,ER$44=1),0,
IF(AND(ER$44&gt;1,DZ219=$N219),1-SUM($EN219:EQ219),
IF($N219&lt;=1,
IF($N219&gt;0,1/$N219,0),
IF(ER$44=2,0,VDB(1,0,$N219,INT(ER$44-2-1),MIN($N219,INT(ER$44-2-1)+1),$DC219,IF($DD219="No",1,0))/
IF(DY219&gt;=INT($N219),$N219-INT($N219),1)))*
IF(ER$44=2,0,
IF(INT(DZ219)=INT(DY219),DZ219-DY219,INT(DZ219)-DY219))+
IF($N219&lt;=1,
IF($N219&gt;0,1/$N219,0),VDB(1,0,$N219,INT(ER$44-2),MIN($N219,INT(ER$44-2)+1),$DC219,IF($DD219="No",1,0))/
IF(DZ219&gt;INT($N219),$N219-INT($N219),1))*
IF(ER$44=2,DZ219,
IF(INT(DZ219)=INT(DY219),0,DZ219-INT(DZ219)))))</f>
        <v>0</v>
      </c>
      <c r="ES219" s="835">
        <f>+IF(OR(EA219=DZ219,ES$44=1),0,
IF(AND(ES$44&gt;1,EA219=$N219),1-SUM($EN219:ER219),
IF($N219&lt;=1,
IF($N219&gt;0,1/$N219,0),
IF(ES$44=2,0,VDB(1,0,$N219,INT(ES$44-2-1),MIN($N219,INT(ES$44-2-1)+1),$DC219,IF($DD219="No",1,0))/
IF(DZ219&gt;=INT($N219),$N219-INT($N219),1)))*
IF(ES$44=2,0,
IF(INT(EA219)=INT(DZ219),EA219-DZ219,INT(EA219)-DZ219))+
IF($N219&lt;=1,
IF($N219&gt;0,1/$N219,0),VDB(1,0,$N219,INT(ES$44-2),MIN($N219,INT(ES$44-2)+1),$DC219,IF($DD219="No",1,0))/
IF(EA219&gt;INT($N219),$N219-INT($N219),1))*
IF(ES$44=2,EA219,
IF(INT(EA219)=INT(DZ219),0,EA219-INT(EA219)))))</f>
        <v>0</v>
      </c>
      <c r="ET219" s="835">
        <f>+IF(OR(EB219=EA219,ET$44=1),0,
IF(AND(ET$44&gt;1,EB219=$N219),1-SUM($EN219:ES219),
IF($N219&lt;=1,
IF($N219&gt;0,1/$N219,0),
IF(ET$44=2,0,VDB(1,0,$N219,INT(ET$44-2-1),MIN($N219,INT(ET$44-2-1)+1),$DC219,IF($DD219="No",1,0))/
IF(EA219&gt;=INT($N219),$N219-INT($N219),1)))*
IF(ET$44=2,0,
IF(INT(EB219)=INT(EA219),EB219-EA219,INT(EB219)-EA219))+
IF($N219&lt;=1,
IF($N219&gt;0,1/$N219,0),VDB(1,0,$N219,INT(ET$44-2),MIN($N219,INT(ET$44-2)+1),$DC219,IF($DD219="No",1,0))/
IF(EB219&gt;INT($N219),$N219-INT($N219),1))*
IF(ET$44=2,EB219,
IF(INT(EB219)=INT(EA219),0,EB219-INT(EB219)))))</f>
        <v>0</v>
      </c>
      <c r="EU219" s="835">
        <f>+IF(OR(EC219=EB219,EU$44=1),0,
IF(AND(EU$44&gt;1,EC219=$N219),1-SUM($EN219:ET219),
IF($N219&lt;=1,
IF($N219&gt;0,1/$N219,0),
IF(EU$44=2,0,VDB(1,0,$N219,INT(EU$44-2-1),MIN($N219,INT(EU$44-2-1)+1),$DC219,IF($DD219="No",1,0))/
IF(EB219&gt;=INT($N219),$N219-INT($N219),1)))*
IF(EU$44=2,0,
IF(INT(EC219)=INT(EB219),EC219-EB219,INT(EC219)-EB219))+
IF($N219&lt;=1,
IF($N219&gt;0,1/$N219,0),VDB(1,0,$N219,INT(EU$44-2),MIN($N219,INT(EU$44-2)+1),$DC219,IF($DD219="No",1,0))/
IF(EC219&gt;INT($N219),$N219-INT($N219),1))*
IF(EU$44=2,EC219,
IF(INT(EC219)=INT(EB219),0,EC219-INT(EC219)))))</f>
        <v>0</v>
      </c>
      <c r="EV219" s="836">
        <f>+IF(OR(ED219=EC219,EV$44=1),0,
IF(AND(EV$44&gt;1,ED219=$N219),1-SUM($EN219:EU219),
IF($N219&lt;=1,
IF($N219&gt;0,1/$N219,0),
IF(EV$44=2,0,VDB(1,0,$N219,INT(EV$44-2-1),MIN($N219,INT(EV$44-2-1)+1),$DC219,IF($DD219="No",1,0))/
IF(EC219&gt;=INT($N219),$N219-INT($N219),1)))*
IF(EV$44=2,0,
IF(INT(ED219)=INT(EC219),ED219-EC219,INT(ED219)-EC219))+
IF($N219&lt;=1,
IF($N219&gt;0,1/$N219,0),VDB(1,0,$N219,INT(EV$44-2),MIN($N219,INT(EV$44-2)+1),$DC219,IF($DD219="No",1,0))/
IF(ED219&gt;INT($N219),$N219-INT($N219),1))*
IF(EV$44=2,ED219,
IF(INT(ED219)=INT(EC219),0,ED219-INT(ED219)))))</f>
        <v>0</v>
      </c>
      <c r="EW219" s="833"/>
      <c r="EX219" s="834">
        <f t="shared" ca="1" si="361"/>
        <v>0</v>
      </c>
      <c r="EY219" s="835">
        <f t="shared" ca="1" si="361"/>
        <v>0</v>
      </c>
      <c r="EZ219" s="836">
        <f t="shared" ca="1" si="361"/>
        <v>0</v>
      </c>
      <c r="FA219" s="834">
        <f t="shared" ca="1" si="361"/>
        <v>0</v>
      </c>
      <c r="FB219" s="835">
        <f t="shared" ca="1" si="361"/>
        <v>0</v>
      </c>
      <c r="FC219" s="835">
        <f t="shared" ca="1" si="361"/>
        <v>0</v>
      </c>
      <c r="FD219" s="835">
        <f t="shared" ca="1" si="361"/>
        <v>0</v>
      </c>
      <c r="FE219" s="836">
        <f t="shared" ca="1" si="361"/>
        <v>0</v>
      </c>
      <c r="FG219" s="386">
        <f t="shared" ca="1" si="351"/>
        <v>0</v>
      </c>
      <c r="FH219" s="387">
        <f t="shared" ca="1" si="352"/>
        <v>0</v>
      </c>
      <c r="FI219" s="388">
        <f t="shared" ca="1" si="353"/>
        <v>0</v>
      </c>
      <c r="FJ219" s="386">
        <f t="shared" ca="1" si="354"/>
        <v>0</v>
      </c>
      <c r="FK219" s="387">
        <f t="shared" ca="1" si="355"/>
        <v>0</v>
      </c>
      <c r="FL219" s="387">
        <f t="shared" ca="1" si="356"/>
        <v>0</v>
      </c>
      <c r="FM219" s="387">
        <f t="shared" ca="1" si="357"/>
        <v>0</v>
      </c>
      <c r="FN219" s="388">
        <f t="shared" ca="1" si="358"/>
        <v>0</v>
      </c>
      <c r="FR219" s="116"/>
    </row>
    <row r="220" spans="2:174">
      <c r="B220" s="1410">
        <f t="shared" si="359"/>
        <v>174</v>
      </c>
      <c r="C220" s="400"/>
      <c r="D220" s="410"/>
      <c r="E220" s="402"/>
      <c r="F220" s="402"/>
      <c r="G220" s="400"/>
      <c r="H220" s="2088"/>
      <c r="I220" s="2089"/>
      <c r="J220" s="411"/>
      <c r="K220" s="403"/>
      <c r="L220" s="403"/>
      <c r="M220" s="403"/>
      <c r="N220" s="403"/>
      <c r="O220" s="347"/>
      <c r="P220" s="347"/>
      <c r="Q220" s="1021"/>
      <c r="R220" s="1022"/>
      <c r="S220" s="1022"/>
      <c r="T220" s="1022"/>
      <c r="U220" s="1023"/>
      <c r="V220" s="1021"/>
      <c r="W220" s="1022"/>
      <c r="X220" s="1022"/>
      <c r="Y220" s="1022"/>
      <c r="Z220" s="1023"/>
      <c r="AA220" s="1024"/>
      <c r="AB220" s="1021"/>
      <c r="AC220" s="1022"/>
      <c r="AD220" s="1022"/>
      <c r="AE220" s="1022"/>
      <c r="AF220" s="1023"/>
      <c r="AG220" s="1021"/>
      <c r="AH220" s="1022"/>
      <c r="AI220" s="1022"/>
      <c r="AJ220" s="1022"/>
      <c r="AK220" s="1023"/>
      <c r="AL220" s="1024"/>
      <c r="AM220" s="1021"/>
      <c r="AN220" s="1022"/>
      <c r="AO220" s="1022"/>
      <c r="AP220" s="1022"/>
      <c r="AQ220" s="1023"/>
      <c r="AR220" s="1021"/>
      <c r="AS220" s="1022"/>
      <c r="AT220" s="1022"/>
      <c r="AU220" s="1022"/>
      <c r="AV220" s="1023"/>
      <c r="AW220" s="1025"/>
      <c r="AX220" s="1282">
        <f t="shared" si="304"/>
        <v>0</v>
      </c>
      <c r="AY220" s="387">
        <f t="shared" si="305"/>
        <v>0</v>
      </c>
      <c r="AZ220" s="387">
        <f t="shared" si="306"/>
        <v>0</v>
      </c>
      <c r="BA220" s="387">
        <f t="shared" si="307"/>
        <v>0</v>
      </c>
      <c r="BB220" s="1283">
        <f t="shared" si="308"/>
        <v>0</v>
      </c>
      <c r="BC220" s="386">
        <f t="shared" si="309"/>
        <v>0</v>
      </c>
      <c r="BD220" s="387">
        <f t="shared" si="310"/>
        <v>0</v>
      </c>
      <c r="BE220" s="1277">
        <f t="shared" si="311"/>
        <v>0</v>
      </c>
      <c r="BF220" s="1277">
        <f t="shared" si="312"/>
        <v>0</v>
      </c>
      <c r="BG220" s="388">
        <f t="shared" si="313"/>
        <v>0</v>
      </c>
      <c r="BH220" s="1025"/>
      <c r="BI220" s="1282">
        <f t="shared" ca="1" si="314"/>
        <v>0</v>
      </c>
      <c r="BJ220" s="387">
        <f t="shared" ca="1" si="315"/>
        <v>0</v>
      </c>
      <c r="BK220" s="387">
        <f t="shared" ca="1" si="316"/>
        <v>0</v>
      </c>
      <c r="BL220" s="387">
        <f t="shared" ca="1" si="317"/>
        <v>0</v>
      </c>
      <c r="BM220" s="1283">
        <f t="shared" ca="1" si="318"/>
        <v>0</v>
      </c>
      <c r="BN220" s="386">
        <f t="shared" ca="1" si="319"/>
        <v>0</v>
      </c>
      <c r="BO220" s="387">
        <f t="shared" ca="1" si="320"/>
        <v>0</v>
      </c>
      <c r="BP220" s="1277">
        <f t="shared" ca="1" si="321"/>
        <v>0</v>
      </c>
      <c r="BQ220" s="1277">
        <f t="shared" ca="1" si="322"/>
        <v>0</v>
      </c>
      <c r="BR220" s="388">
        <f t="shared" ca="1" si="323"/>
        <v>0</v>
      </c>
      <c r="BS220" s="1025"/>
      <c r="BT220" s="1282">
        <f>+IF($K220="Ongoing",AX220,IF(RIGHT($K220,2)=RIGHT(BT$43,2),SUM($AX220:AX220),0)+IF(RIGHT(BT$43,2)&gt;RIGHT($K220,2),AX220,0))</f>
        <v>0</v>
      </c>
      <c r="BU220" s="387">
        <f>+IF($K220="Ongoing",AY220,IF(RIGHT($K220,2)=RIGHT(BU$43,2),SUM($AX220:AY220),0)+IF(RIGHT(BU$43,2)&gt;RIGHT($K220,2),AY220,0))</f>
        <v>0</v>
      </c>
      <c r="BV220" s="387">
        <f>+IF($K220="Ongoing",AZ220,IF(RIGHT($K220,2)=RIGHT(BV$43,2),SUM($AX220:AZ220),0)+IF(RIGHT(BV$43,2)&gt;RIGHT($K220,2),AZ220,0))</f>
        <v>0</v>
      </c>
      <c r="BW220" s="387">
        <f>+IF($K220="Ongoing",BA220,IF(RIGHT($K220,2)=RIGHT(BW$43,2),SUM($AX220:BA220),0)+IF(RIGHT(BW$43,2)&gt;RIGHT($K220,2),BA220,0))</f>
        <v>0</v>
      </c>
      <c r="BX220" s="1283">
        <f>+IF($K220="Ongoing",BB220,IF(RIGHT($K220,2)=RIGHT(BX$43,2),SUM($AX220:BB220),0)+IF(RIGHT(BX$43,2)&gt;RIGHT($K220,2),BB220,0))</f>
        <v>0</v>
      </c>
      <c r="BY220" s="386">
        <f>+IF($K220="Ongoing",BC220,IF(RIGHT($K220,2)=RIGHT(BY$43,2),SUM($AX220:BC220),0)+IF(RIGHT(BY$43,2)&gt;RIGHT($K220,2),BC220,0))</f>
        <v>0</v>
      </c>
      <c r="BZ220" s="387">
        <f>+IF($K220="Ongoing",BD220,IF(RIGHT($K220,2)=RIGHT(BZ$43,2),SUM($AX220:BD220),0)+IF(RIGHT(BZ$43,2)&gt;RIGHT($K220,2),BD220,0))</f>
        <v>0</v>
      </c>
      <c r="CA220" s="1277">
        <f>+IF($K220="Ongoing",BE220,IF(RIGHT($K220,2)=RIGHT(CA$43,2),SUM($AX220:BE220),0)+IF(RIGHT(CA$43,2)&gt;RIGHT($K220,2),BE220,0))</f>
        <v>0</v>
      </c>
      <c r="CB220" s="1277">
        <f>+IF($K220="Ongoing",BF220,IF(RIGHT($K220,2)=RIGHT(CB$43,2),SUM($AX220:BF220),0)+IF(RIGHT(CB$43,2)&gt;RIGHT($K220,2),BF220,0))</f>
        <v>0</v>
      </c>
      <c r="CC220" s="388">
        <f>+IF($K220="Ongoing",BG220,IF(RIGHT($K220,2)=RIGHT(CC$43,2),SUM($AX220:BG220),0)+IF(RIGHT(CC$43,2)&gt;RIGHT($K220,2),BG220,0))</f>
        <v>0</v>
      </c>
      <c r="CD220" s="1025"/>
      <c r="CE220" s="1282">
        <f>+Q220*KeyAssumptionsPriceControl_FO!AF$15</f>
        <v>0</v>
      </c>
      <c r="CF220" s="387">
        <f>+R220*KeyAssumptionsPriceControl_FO!AG$15</f>
        <v>0</v>
      </c>
      <c r="CG220" s="387">
        <f>+S220*KeyAssumptionsPriceControl_FO!AH$15</f>
        <v>0</v>
      </c>
      <c r="CH220" s="387">
        <f>+T220*KeyAssumptionsPriceControl_FO!AI$15</f>
        <v>0</v>
      </c>
      <c r="CI220" s="1283">
        <f>+U220*KeyAssumptionsPriceControl_FO!AJ$15</f>
        <v>0</v>
      </c>
      <c r="CJ220" s="386">
        <f>+V220*KeyAssumptionsPriceControl_FO!AK$15</f>
        <v>0</v>
      </c>
      <c r="CK220" s="387">
        <f>+W220*KeyAssumptionsPriceControl_FO!AL$15</f>
        <v>0</v>
      </c>
      <c r="CL220" s="1277">
        <f>+X220*KeyAssumptionsPriceControl_FO!AM$15</f>
        <v>0</v>
      </c>
      <c r="CM220" s="1277">
        <f>+Y220*KeyAssumptionsPriceControl_FO!AN$15</f>
        <v>0</v>
      </c>
      <c r="CN220" s="388">
        <f>+Z220*KeyAssumptionsPriceControl_FO!AO$15</f>
        <v>0</v>
      </c>
      <c r="CO220" s="1025"/>
      <c r="CP220" s="1282">
        <f t="shared" ca="1" si="324"/>
        <v>0</v>
      </c>
      <c r="CQ220" s="387">
        <f t="shared" ca="1" si="325"/>
        <v>0</v>
      </c>
      <c r="CR220" s="387">
        <f t="shared" ca="1" si="326"/>
        <v>0</v>
      </c>
      <c r="CS220" s="387">
        <f t="shared" ca="1" si="327"/>
        <v>0</v>
      </c>
      <c r="CT220" s="1283">
        <f t="shared" ca="1" si="328"/>
        <v>0</v>
      </c>
      <c r="CU220" s="386">
        <f t="shared" ca="1" si="329"/>
        <v>0</v>
      </c>
      <c r="CV220" s="387">
        <f t="shared" ca="1" si="330"/>
        <v>0</v>
      </c>
      <c r="CW220" s="1277">
        <f t="shared" ca="1" si="331"/>
        <v>0</v>
      </c>
      <c r="CX220" s="1277">
        <f t="shared" ca="1" si="332"/>
        <v>0</v>
      </c>
      <c r="CY220" s="388">
        <f t="shared" ca="1" si="333"/>
        <v>0</v>
      </c>
      <c r="CZ220" s="347"/>
      <c r="DA220" s="852"/>
      <c r="DB220" s="347"/>
      <c r="DC220" s="1012" t="s">
        <v>741</v>
      </c>
      <c r="DD220" s="841" t="s">
        <v>518</v>
      </c>
      <c r="DE220" s="386">
        <f>+IF($K220="ongoing",CE220,IF(RIGHT($K220,2)=RIGHT(DE$43,2),SUM($CD220:CE220),0)+IF(RIGHT(DE$43,2)&gt;RIGHT($K220,2),CE220,0))</f>
        <v>0</v>
      </c>
      <c r="DF220" s="387">
        <f>+IF($K220="ongoing",CF220,IF(RIGHT($K220,2)=RIGHT(DF$43,2),SUM($CD220:CF220),0)+IF(RIGHT(DF$43,2)&gt;RIGHT($K220,2),CF220,0))</f>
        <v>0</v>
      </c>
      <c r="DG220" s="388">
        <f>+IF($K220="ongoing",CG220,IF(RIGHT($K220,2)=RIGHT(DG$43,2),SUM($CD220:CG220),0)+IF(RIGHT(DG$43,2)&gt;RIGHT($K220,2),CG220,0))</f>
        <v>0</v>
      </c>
      <c r="DH220" s="386">
        <f>+IF($K220="ongoing",CH220,IF(RIGHT($K220,2)=RIGHT(DH$43,2),SUM($CD220:CH220),0)+IF(RIGHT(DH$43,2)&gt;RIGHT($K220,2),CH220,0))</f>
        <v>0</v>
      </c>
      <c r="DI220" s="387">
        <f>+IF($K220="ongoing",CI220,IF(RIGHT($K220,2)=RIGHT(DI$43,2),SUM($CD220:CI220),0)+IF(RIGHT(DI$43,2)&gt;RIGHT($K220,2),CI220,0))</f>
        <v>0</v>
      </c>
      <c r="DJ220" s="387">
        <f>+IF($K220="ongoing",CJ220,IF(RIGHT($K220,2)=RIGHT(DJ$43,2),SUM($CD220:CJ220),0)+IF(RIGHT(DJ$43,2)&gt;RIGHT($K220,2),CJ220,0))</f>
        <v>0</v>
      </c>
      <c r="DK220" s="387">
        <f>+IF($K220="ongoing",CK220,IF(RIGHT($K220,2)=RIGHT(DK$43,2),SUM($CD220:CK220),0)+IF(RIGHT(DK$43,2)&gt;RIGHT($K220,2),CK220,0))</f>
        <v>0</v>
      </c>
      <c r="DL220" s="388">
        <f>+IF($K220="ongoing",CN220,IF(RIGHT($K220,2)=RIGHT(DL$43,2),SUM($CD220:CN220),0)+IF(RIGHT(DL$43,2)&gt;RIGHT($K220,2),CN220,0))</f>
        <v>0</v>
      </c>
      <c r="DM220" s="841"/>
      <c r="DN220" s="386">
        <f t="shared" si="334"/>
        <v>0.5</v>
      </c>
      <c r="DO220" s="387">
        <f t="shared" si="335"/>
        <v>1</v>
      </c>
      <c r="DP220" s="388">
        <f t="shared" si="336"/>
        <v>1</v>
      </c>
      <c r="DQ220" s="386">
        <f t="shared" si="337"/>
        <v>1</v>
      </c>
      <c r="DR220" s="387">
        <f t="shared" si="338"/>
        <v>1</v>
      </c>
      <c r="DS220" s="387">
        <f t="shared" si="339"/>
        <v>1</v>
      </c>
      <c r="DT220" s="387">
        <f t="shared" si="340"/>
        <v>1</v>
      </c>
      <c r="DU220" s="388">
        <f t="shared" si="341"/>
        <v>1</v>
      </c>
      <c r="DW220" s="386">
        <f t="shared" si="342"/>
        <v>0</v>
      </c>
      <c r="DX220" s="387">
        <f t="shared" si="343"/>
        <v>0.5</v>
      </c>
      <c r="DY220" s="388">
        <f t="shared" si="344"/>
        <v>1</v>
      </c>
      <c r="DZ220" s="386">
        <f t="shared" si="345"/>
        <v>1</v>
      </c>
      <c r="EA220" s="387">
        <f t="shared" si="346"/>
        <v>1</v>
      </c>
      <c r="EB220" s="387">
        <f t="shared" si="347"/>
        <v>1</v>
      </c>
      <c r="EC220" s="387">
        <f t="shared" si="348"/>
        <v>1</v>
      </c>
      <c r="ED220" s="388">
        <f t="shared" si="349"/>
        <v>1</v>
      </c>
      <c r="EF220" s="834">
        <f>+IF(DN220=DM220,0,
IF(AND(EF$44&gt;1,DN220=$N220),1-SUM($EE220:EE220),
IF($N220&lt;=1,
IF($N220&gt;0,1/$N220,0),
IF(EF$44=1,0,VDB(1,0,$N220,INT(EF$44-1-1),MIN($N220,INT(EF$44-1-1)+1),$DC220,IF($DD220="No",1,0))/
IF(DM220&gt;=INT($N220),$N220-INT($N220),1)))*
IF(EF$44=1,0,
IF(INT(DN220)=INT(DM220),DN220-DM220,INT(DN220)-DM220))+
IF($N220&lt;=1,
IF($N220&gt;0,1/$N220,0),VDB(1,0,$N220,INT(EF$44-1),MIN($N220,INT(EF$44-1)+1),$DC220,IF($DD220="No",1,0))/
IF(DN220&gt;INT($N220),$N220-INT($N220),1))*
IF(EF$44=1,DN220,
IF(INT(DN220)=INT(DM220),0,DN220-INT(DN220)))))</f>
        <v>0</v>
      </c>
      <c r="EG220" s="835">
        <f>+IF(DO220=DN220,0,
IF(AND(EG$44&gt;1,DO220=$N220),1-SUM($EE220:EF220),
IF($N220&lt;=1,
IF($N220&gt;0,1/$N220,0),
IF(EG$44=1,0,VDB(1,0,$N220,INT(EG$44-1-1),MIN($N220,INT(EG$44-1-1)+1),$DC220,IF($DD220="No",1,0))/
IF(DN220&gt;=INT($N220),$N220-INT($N220),1)))*
IF(EG$44=1,0,
IF(INT(DO220)=INT(DN220),DO220-DN220,INT(DO220)-DN220))+
IF($N220&lt;=1,
IF($N220&gt;0,1/$N220,0),VDB(1,0,$N220,INT(EG$44-1),MIN($N220,INT(EG$44-1)+1),$DC220,IF($DD220="No",1,0))/
IF(DO220&gt;INT($N220),$N220-INT($N220),1))*
IF(EG$44=1,DO220,
IF(INT(DO220)=INT(DN220),0,DO220-INT(DO220)))))</f>
        <v>0</v>
      </c>
      <c r="EH220" s="836">
        <f>+IF(DP220=DO220,0,
IF(AND(EH$44&gt;1,DP220=$N220),1-SUM($EE220:EG220),
IF($N220&lt;=1,
IF($N220&gt;0,1/$N220,0),
IF(EH$44=1,0,VDB(1,0,$N220,INT(EH$44-1-1),MIN($N220,INT(EH$44-1-1)+1),$DC220,IF($DD220="No",1,0))/
IF(DO220&gt;=INT($N220),$N220-INT($N220),1)))*
IF(EH$44=1,0,
IF(INT(DP220)=INT(DO220),DP220-DO220,INT(DP220)-DO220))+
IF($N220&lt;=1,
IF($N220&gt;0,1/$N220,0),VDB(1,0,$N220,INT(EH$44-1),MIN($N220,INT(EH$44-1)+1),$DC220,IF($DD220="No",1,0))/
IF(DP220&gt;INT($N220),$N220-INT($N220),1))*
IF(EH$44=1,DP220,
IF(INT(DP220)=INT(DO220),0,DP220-INT(DP220)))))</f>
        <v>0</v>
      </c>
      <c r="EI220" s="834">
        <f>+IF(DQ220=DP220,0,
IF(AND(EI$44&gt;1,DQ220=$N220),1-SUM($EE220:EH220),
IF($N220&lt;=1,
IF($N220&gt;0,1/$N220,0),
IF(EI$44=1,0,VDB(1,0,$N220,INT(EI$44-1-1),MIN($N220,INT(EI$44-1-1)+1),$DC220,IF($DD220="No",1,0))/
IF(DP220&gt;=INT($N220),$N220-INT($N220),1)))*
IF(EI$44=1,0,
IF(INT(DQ220)=INT(DP220),DQ220-DP220,INT(DQ220)-DP220))+
IF($N220&lt;=1,
IF($N220&gt;0,1/$N220,0),VDB(1,0,$N220,INT(EI$44-1),MIN($N220,INT(EI$44-1)+1),$DC220,IF($DD220="No",1,0))/
IF(DQ220&gt;INT($N220),$N220-INT($N220),1))*
IF(EI$44=1,DQ220,
IF(INT(DQ220)=INT(DP220),0,DQ220-INT(DQ220)))))</f>
        <v>0</v>
      </c>
      <c r="EJ220" s="835">
        <f>+IF(DR220=DQ220,0,
IF(AND(EJ$44&gt;1,DR220=$N220),1-SUM($EE220:EI220),
IF($N220&lt;=1,
IF($N220&gt;0,1/$N220,0),
IF(EJ$44=1,0,VDB(1,0,$N220,INT(EJ$44-1-1),MIN($N220,INT(EJ$44-1-1)+1),$DC220,IF($DD220="No",1,0))/
IF(DQ220&gt;=INT($N220),$N220-INT($N220),1)))*
IF(EJ$44=1,0,
IF(INT(DR220)=INT(DQ220),DR220-DQ220,INT(DR220)-DQ220))+
IF($N220&lt;=1,
IF($N220&gt;0,1/$N220,0),VDB(1,0,$N220,INT(EJ$44-1),MIN($N220,INT(EJ$44-1)+1),$DC220,IF($DD220="No",1,0))/
IF(DR220&gt;INT($N220),$N220-INT($N220),1))*
IF(EJ$44=1,DR220,
IF(INT(DR220)=INT(DQ220),0,DR220-INT(DR220)))))</f>
        <v>0</v>
      </c>
      <c r="EK220" s="835">
        <f>+IF(DS220=DR220,0,
IF(AND(EK$44&gt;1,DS220=$N220),1-SUM($EE220:EJ220),
IF($N220&lt;=1,
IF($N220&gt;0,1/$N220,0),
IF(EK$44=1,0,VDB(1,0,$N220,INT(EK$44-1-1),MIN($N220,INT(EK$44-1-1)+1),$DC220,IF($DD220="No",1,0))/
IF(DR220&gt;=INT($N220),$N220-INT($N220),1)))*
IF(EK$44=1,0,
IF(INT(DS220)=INT(DR220),DS220-DR220,INT(DS220)-DR220))+
IF($N220&lt;=1,
IF($N220&gt;0,1/$N220,0),VDB(1,0,$N220,INT(EK$44-1),MIN($N220,INT(EK$44-1)+1),$DC220,IF($DD220="No",1,0))/
IF(DS220&gt;INT($N220),$N220-INT($N220),1))*
IF(EK$44=1,DS220,
IF(INT(DS220)=INT(DR220),0,DS220-INT(DS220)))))</f>
        <v>0</v>
      </c>
      <c r="EL220" s="835">
        <f>+IF(DT220=DS220,0,
IF(AND(EL$44&gt;1,DT220=$N220),1-SUM($EE220:EK220),
IF($N220&lt;=1,
IF($N220&gt;0,1/$N220,0),
IF(EL$44=1,0,VDB(1,0,$N220,INT(EL$44-1-1),MIN($N220,INT(EL$44-1-1)+1),$DC220,IF($DD220="No",1,0))/
IF(DS220&gt;=INT($N220),$N220-INT($N220),1)))*
IF(EL$44=1,0,
IF(INT(DT220)=INT(DS220),DT220-DS220,INT(DT220)-DS220))+
IF($N220&lt;=1,
IF($N220&gt;0,1/$N220,0),VDB(1,0,$N220,INT(EL$44-1),MIN($N220,INT(EL$44-1)+1),$DC220,IF($DD220="No",1,0))/
IF(DT220&gt;INT($N220),$N220-INT($N220),1))*
IF(EL$44=1,DT220,
IF(INT(DT220)=INT(DS220),0,DT220-INT(DT220)))))</f>
        <v>0</v>
      </c>
      <c r="EM220" s="836">
        <f>+IF(DU220=DT220,0,
IF(AND(EM$44&gt;1,DU220=$N220),1-SUM($EE220:EL220),
IF($N220&lt;=1,
IF($N220&gt;0,1/$N220,0),
IF(EM$44=1,0,VDB(1,0,$N220,INT(EM$44-1-1),MIN($N220,INT(EM$44-1-1)+1),$DC220,IF($DD220="No",1,0))/
IF(DT220&gt;=INT($N220),$N220-INT($N220),1)))*
IF(EM$44=1,0,
IF(INT(DU220)=INT(DT220),DU220-DT220,INT(DU220)-DT220))+
IF($N220&lt;=1,
IF($N220&gt;0,1/$N220,0),VDB(1,0,$N220,INT(EM$44-1),MIN($N220,INT(EM$44-1)+1),$DC220,IF($DD220="No",1,0))/
IF(DU220&gt;INT($N220),$N220-INT($N220),1))*
IF(EM$44=1,DU220,
IF(INT(DU220)=INT(DT220),0,DU220-INT(DU220)))))</f>
        <v>0</v>
      </c>
      <c r="EN220" s="833"/>
      <c r="EO220" s="834">
        <f>+IF(OR(DW220=DV220,EO$44=1),0,
IF(AND(EO$44&gt;1,DW220=$N220),1-SUM($EN220:EN220),
IF($N220&lt;=1,
IF($N220&gt;0,1/$N220,0),
IF(EO$44=2,0,VDB(1,0,$N220,INT(EO$44-2-1),MIN($N220,INT(EO$44-2-1)+1),$DC220,IF($DD220="No",1,0))/
IF(DV220&gt;=INT($N220),$N220-INT($N220),1)))*
IF(EO$44=2,0,
IF(INT(DW220)=INT(DV220),DW220-DV220,INT(DW220)-DV220))+
IF($N220&lt;=1,
IF($N220&gt;0,1/$N220,0),VDB(1,0,$N220,INT(EO$44-2),MIN($N220,INT(EO$44-2)+1),$DC220,IF($DD220="No",1,0))/
IF(DW220&gt;INT($N220),$N220-INT($N220),1))*
IF(EO$44=2,DW220,
IF(INT(DW220)=INT(DV220),0,DW220-INT(DW220)))))</f>
        <v>0</v>
      </c>
      <c r="EP220" s="835">
        <f>+IF(OR(DX220=DW220,EP$44=1),0,
IF(AND(EP$44&gt;1,DX220=$N220),1-SUM($EN220:EO220),
IF($N220&lt;=1,
IF($N220&gt;0,1/$N220,0),
IF(EP$44=2,0,VDB(1,0,$N220,INT(EP$44-2-1),MIN($N220,INT(EP$44-2-1)+1),$DC220,IF($DD220="No",1,0))/
IF(DW220&gt;=INT($N220),$N220-INT($N220),1)))*
IF(EP$44=2,0,
IF(INT(DX220)=INT(DW220),DX220-DW220,INT(DX220)-DW220))+
IF($N220&lt;=1,
IF($N220&gt;0,1/$N220,0),VDB(1,0,$N220,INT(EP$44-2),MIN($N220,INT(EP$44-2)+1),$DC220,IF($DD220="No",1,0))/
IF(DX220&gt;INT($N220),$N220-INT($N220),1))*
IF(EP$44=2,DX220,
IF(INT(DX220)=INT(DW220),0,DX220-INT(DX220)))))</f>
        <v>0</v>
      </c>
      <c r="EQ220" s="836">
        <f>+IF(OR(DY220=DX220,EQ$44=1),0,
IF(AND(EQ$44&gt;1,DY220=$N220),1-SUM($EN220:EP220),
IF($N220&lt;=1,
IF($N220&gt;0,1/$N220,0),
IF(EQ$44=2,0,VDB(1,0,$N220,INT(EQ$44-2-1),MIN($N220,INT(EQ$44-2-1)+1),$DC220,IF($DD220="No",1,0))/
IF(DX220&gt;=INT($N220),$N220-INT($N220),1)))*
IF(EQ$44=2,0,
IF(INT(DY220)=INT(DX220),DY220-DX220,INT(DY220)-DX220))+
IF($N220&lt;=1,
IF($N220&gt;0,1/$N220,0),VDB(1,0,$N220,INT(EQ$44-2),MIN($N220,INT(EQ$44-2)+1),$DC220,IF($DD220="No",1,0))/
IF(DY220&gt;INT($N220),$N220-INT($N220),1))*
IF(EQ$44=2,DY220,
IF(INT(DY220)=INT(DX220),0,DY220-INT(DY220)))))</f>
        <v>0</v>
      </c>
      <c r="ER220" s="834">
        <f>+IF(OR(DZ220=DY220,ER$44=1),0,
IF(AND(ER$44&gt;1,DZ220=$N220),1-SUM($EN220:EQ220),
IF($N220&lt;=1,
IF($N220&gt;0,1/$N220,0),
IF(ER$44=2,0,VDB(1,0,$N220,INT(ER$44-2-1),MIN($N220,INT(ER$44-2-1)+1),$DC220,IF($DD220="No",1,0))/
IF(DY220&gt;=INT($N220),$N220-INT($N220),1)))*
IF(ER$44=2,0,
IF(INT(DZ220)=INT(DY220),DZ220-DY220,INT(DZ220)-DY220))+
IF($N220&lt;=1,
IF($N220&gt;0,1/$N220,0),VDB(1,0,$N220,INT(ER$44-2),MIN($N220,INT(ER$44-2)+1),$DC220,IF($DD220="No",1,0))/
IF(DZ220&gt;INT($N220),$N220-INT($N220),1))*
IF(ER$44=2,DZ220,
IF(INT(DZ220)=INT(DY220),0,DZ220-INT(DZ220)))))</f>
        <v>0</v>
      </c>
      <c r="ES220" s="835">
        <f>+IF(OR(EA220=DZ220,ES$44=1),0,
IF(AND(ES$44&gt;1,EA220=$N220),1-SUM($EN220:ER220),
IF($N220&lt;=1,
IF($N220&gt;0,1/$N220,0),
IF(ES$44=2,0,VDB(1,0,$N220,INT(ES$44-2-1),MIN($N220,INT(ES$44-2-1)+1),$DC220,IF($DD220="No",1,0))/
IF(DZ220&gt;=INT($N220),$N220-INT($N220),1)))*
IF(ES$44=2,0,
IF(INT(EA220)=INT(DZ220),EA220-DZ220,INT(EA220)-DZ220))+
IF($N220&lt;=1,
IF($N220&gt;0,1/$N220,0),VDB(1,0,$N220,INT(ES$44-2),MIN($N220,INT(ES$44-2)+1),$DC220,IF($DD220="No",1,0))/
IF(EA220&gt;INT($N220),$N220-INT($N220),1))*
IF(ES$44=2,EA220,
IF(INT(EA220)=INT(DZ220),0,EA220-INT(EA220)))))</f>
        <v>0</v>
      </c>
      <c r="ET220" s="835">
        <f>+IF(OR(EB220=EA220,ET$44=1),0,
IF(AND(ET$44&gt;1,EB220=$N220),1-SUM($EN220:ES220),
IF($N220&lt;=1,
IF($N220&gt;0,1/$N220,0),
IF(ET$44=2,0,VDB(1,0,$N220,INT(ET$44-2-1),MIN($N220,INT(ET$44-2-1)+1),$DC220,IF($DD220="No",1,0))/
IF(EA220&gt;=INT($N220),$N220-INT($N220),1)))*
IF(ET$44=2,0,
IF(INT(EB220)=INT(EA220),EB220-EA220,INT(EB220)-EA220))+
IF($N220&lt;=1,
IF($N220&gt;0,1/$N220,0),VDB(1,0,$N220,INT(ET$44-2),MIN($N220,INT(ET$44-2)+1),$DC220,IF($DD220="No",1,0))/
IF(EB220&gt;INT($N220),$N220-INT($N220),1))*
IF(ET$44=2,EB220,
IF(INT(EB220)=INT(EA220),0,EB220-INT(EB220)))))</f>
        <v>0</v>
      </c>
      <c r="EU220" s="835">
        <f>+IF(OR(EC220=EB220,EU$44=1),0,
IF(AND(EU$44&gt;1,EC220=$N220),1-SUM($EN220:ET220),
IF($N220&lt;=1,
IF($N220&gt;0,1/$N220,0),
IF(EU$44=2,0,VDB(1,0,$N220,INT(EU$44-2-1),MIN($N220,INT(EU$44-2-1)+1),$DC220,IF($DD220="No",1,0))/
IF(EB220&gt;=INT($N220),$N220-INT($N220),1)))*
IF(EU$44=2,0,
IF(INT(EC220)=INT(EB220),EC220-EB220,INT(EC220)-EB220))+
IF($N220&lt;=1,
IF($N220&gt;0,1/$N220,0),VDB(1,0,$N220,INT(EU$44-2),MIN($N220,INT(EU$44-2)+1),$DC220,IF($DD220="No",1,0))/
IF(EC220&gt;INT($N220),$N220-INT($N220),1))*
IF(EU$44=2,EC220,
IF(INT(EC220)=INT(EB220),0,EC220-INT(EC220)))))</f>
        <v>0</v>
      </c>
      <c r="EV220" s="836">
        <f>+IF(OR(ED220=EC220,EV$44=1),0,
IF(AND(EV$44&gt;1,ED220=$N220),1-SUM($EN220:EU220),
IF($N220&lt;=1,
IF($N220&gt;0,1/$N220,0),
IF(EV$44=2,0,VDB(1,0,$N220,INT(EV$44-2-1),MIN($N220,INT(EV$44-2-1)+1),$DC220,IF($DD220="No",1,0))/
IF(EC220&gt;=INT($N220),$N220-INT($N220),1)))*
IF(EV$44=2,0,
IF(INT(ED220)=INT(EC220),ED220-EC220,INT(ED220)-EC220))+
IF($N220&lt;=1,
IF($N220&gt;0,1/$N220,0),VDB(1,0,$N220,INT(EV$44-2),MIN($N220,INT(EV$44-2)+1),$DC220,IF($DD220="No",1,0))/
IF(ED220&gt;INT($N220),$N220-INT($N220),1))*
IF(EV$44=2,ED220,
IF(INT(ED220)=INT(EC220),0,ED220-INT(ED220)))))</f>
        <v>0</v>
      </c>
      <c r="EW220" s="833"/>
      <c r="EX220" s="834">
        <f t="shared" ca="1" si="361"/>
        <v>0</v>
      </c>
      <c r="EY220" s="835">
        <f t="shared" ca="1" si="361"/>
        <v>0</v>
      </c>
      <c r="EZ220" s="836">
        <f t="shared" ca="1" si="361"/>
        <v>0</v>
      </c>
      <c r="FA220" s="834">
        <f t="shared" ca="1" si="361"/>
        <v>0</v>
      </c>
      <c r="FB220" s="835">
        <f t="shared" ca="1" si="361"/>
        <v>0</v>
      </c>
      <c r="FC220" s="835">
        <f t="shared" ca="1" si="361"/>
        <v>0</v>
      </c>
      <c r="FD220" s="835">
        <f t="shared" ca="1" si="361"/>
        <v>0</v>
      </c>
      <c r="FE220" s="836">
        <f t="shared" ca="1" si="361"/>
        <v>0</v>
      </c>
      <c r="FG220" s="386">
        <f t="shared" ca="1" si="351"/>
        <v>0</v>
      </c>
      <c r="FH220" s="387">
        <f t="shared" ca="1" si="352"/>
        <v>0</v>
      </c>
      <c r="FI220" s="388">
        <f t="shared" ca="1" si="353"/>
        <v>0</v>
      </c>
      <c r="FJ220" s="386">
        <f t="shared" ca="1" si="354"/>
        <v>0</v>
      </c>
      <c r="FK220" s="387">
        <f t="shared" ca="1" si="355"/>
        <v>0</v>
      </c>
      <c r="FL220" s="387">
        <f t="shared" ca="1" si="356"/>
        <v>0</v>
      </c>
      <c r="FM220" s="387">
        <f t="shared" ca="1" si="357"/>
        <v>0</v>
      </c>
      <c r="FN220" s="388">
        <f t="shared" ca="1" si="358"/>
        <v>0</v>
      </c>
      <c r="FR220" s="116"/>
    </row>
    <row r="221" spans="2:174">
      <c r="B221" s="1410">
        <f t="shared" si="359"/>
        <v>175</v>
      </c>
      <c r="C221" s="400"/>
      <c r="D221" s="410"/>
      <c r="E221" s="402"/>
      <c r="F221" s="402"/>
      <c r="G221" s="400"/>
      <c r="H221" s="2088"/>
      <c r="I221" s="2089"/>
      <c r="J221" s="411"/>
      <c r="K221" s="403"/>
      <c r="L221" s="403"/>
      <c r="M221" s="403"/>
      <c r="N221" s="403"/>
      <c r="O221" s="347"/>
      <c r="P221" s="347"/>
      <c r="Q221" s="1021"/>
      <c r="R221" s="1022"/>
      <c r="S221" s="1022"/>
      <c r="T221" s="1022"/>
      <c r="U221" s="1023"/>
      <c r="V221" s="1021"/>
      <c r="W221" s="1022"/>
      <c r="X221" s="1022"/>
      <c r="Y221" s="1022"/>
      <c r="Z221" s="1023"/>
      <c r="AA221" s="1024"/>
      <c r="AB221" s="1021"/>
      <c r="AC221" s="1022"/>
      <c r="AD221" s="1022"/>
      <c r="AE221" s="1022"/>
      <c r="AF221" s="1023"/>
      <c r="AG221" s="1021"/>
      <c r="AH221" s="1022"/>
      <c r="AI221" s="1022"/>
      <c r="AJ221" s="1022"/>
      <c r="AK221" s="1023"/>
      <c r="AL221" s="1024"/>
      <c r="AM221" s="1021"/>
      <c r="AN221" s="1022"/>
      <c r="AO221" s="1022"/>
      <c r="AP221" s="1022"/>
      <c r="AQ221" s="1023"/>
      <c r="AR221" s="1021"/>
      <c r="AS221" s="1022"/>
      <c r="AT221" s="1022"/>
      <c r="AU221" s="1022"/>
      <c r="AV221" s="1023"/>
      <c r="AW221" s="1025"/>
      <c r="AX221" s="1282">
        <f t="shared" si="304"/>
        <v>0</v>
      </c>
      <c r="AY221" s="387">
        <f t="shared" si="305"/>
        <v>0</v>
      </c>
      <c r="AZ221" s="387">
        <f t="shared" si="306"/>
        <v>0</v>
      </c>
      <c r="BA221" s="387">
        <f t="shared" si="307"/>
        <v>0</v>
      </c>
      <c r="BB221" s="1283">
        <f t="shared" si="308"/>
        <v>0</v>
      </c>
      <c r="BC221" s="386">
        <f t="shared" si="309"/>
        <v>0</v>
      </c>
      <c r="BD221" s="387">
        <f t="shared" si="310"/>
        <v>0</v>
      </c>
      <c r="BE221" s="1277">
        <f t="shared" si="311"/>
        <v>0</v>
      </c>
      <c r="BF221" s="1277">
        <f t="shared" si="312"/>
        <v>0</v>
      </c>
      <c r="BG221" s="388">
        <f t="shared" si="313"/>
        <v>0</v>
      </c>
      <c r="BH221" s="1025"/>
      <c r="BI221" s="1282">
        <f t="shared" ca="1" si="314"/>
        <v>0</v>
      </c>
      <c r="BJ221" s="387">
        <f t="shared" ca="1" si="315"/>
        <v>0</v>
      </c>
      <c r="BK221" s="387">
        <f t="shared" ca="1" si="316"/>
        <v>0</v>
      </c>
      <c r="BL221" s="387">
        <f t="shared" ca="1" si="317"/>
        <v>0</v>
      </c>
      <c r="BM221" s="1283">
        <f t="shared" ca="1" si="318"/>
        <v>0</v>
      </c>
      <c r="BN221" s="386">
        <f t="shared" ca="1" si="319"/>
        <v>0</v>
      </c>
      <c r="BO221" s="387">
        <f t="shared" ca="1" si="320"/>
        <v>0</v>
      </c>
      <c r="BP221" s="1277">
        <f t="shared" ca="1" si="321"/>
        <v>0</v>
      </c>
      <c r="BQ221" s="1277">
        <f t="shared" ca="1" si="322"/>
        <v>0</v>
      </c>
      <c r="BR221" s="388">
        <f t="shared" ca="1" si="323"/>
        <v>0</v>
      </c>
      <c r="BS221" s="1025"/>
      <c r="BT221" s="1282">
        <f>+IF($K221="Ongoing",AX221,IF(RIGHT($K221,2)=RIGHT(BT$43,2),SUM($AX221:AX221),0)+IF(RIGHT(BT$43,2)&gt;RIGHT($K221,2),AX221,0))</f>
        <v>0</v>
      </c>
      <c r="BU221" s="387">
        <f>+IF($K221="Ongoing",AY221,IF(RIGHT($K221,2)=RIGHT(BU$43,2),SUM($AX221:AY221),0)+IF(RIGHT(BU$43,2)&gt;RIGHT($K221,2),AY221,0))</f>
        <v>0</v>
      </c>
      <c r="BV221" s="387">
        <f>+IF($K221="Ongoing",AZ221,IF(RIGHT($K221,2)=RIGHT(BV$43,2),SUM($AX221:AZ221),0)+IF(RIGHT(BV$43,2)&gt;RIGHT($K221,2),AZ221,0))</f>
        <v>0</v>
      </c>
      <c r="BW221" s="387">
        <f>+IF($K221="Ongoing",BA221,IF(RIGHT($K221,2)=RIGHT(BW$43,2),SUM($AX221:BA221),0)+IF(RIGHT(BW$43,2)&gt;RIGHT($K221,2),BA221,0))</f>
        <v>0</v>
      </c>
      <c r="BX221" s="1283">
        <f>+IF($K221="Ongoing",BB221,IF(RIGHT($K221,2)=RIGHT(BX$43,2),SUM($AX221:BB221),0)+IF(RIGHT(BX$43,2)&gt;RIGHT($K221,2),BB221,0))</f>
        <v>0</v>
      </c>
      <c r="BY221" s="386">
        <f>+IF($K221="Ongoing",BC221,IF(RIGHT($K221,2)=RIGHT(BY$43,2),SUM($AX221:BC221),0)+IF(RIGHT(BY$43,2)&gt;RIGHT($K221,2),BC221,0))</f>
        <v>0</v>
      </c>
      <c r="BZ221" s="387">
        <f>+IF($K221="Ongoing",BD221,IF(RIGHT($K221,2)=RIGHT(BZ$43,2),SUM($AX221:BD221),0)+IF(RIGHT(BZ$43,2)&gt;RIGHT($K221,2),BD221,0))</f>
        <v>0</v>
      </c>
      <c r="CA221" s="1277">
        <f>+IF($K221="Ongoing",BE221,IF(RIGHT($K221,2)=RIGHT(CA$43,2),SUM($AX221:BE221),0)+IF(RIGHT(CA$43,2)&gt;RIGHT($K221,2),BE221,0))</f>
        <v>0</v>
      </c>
      <c r="CB221" s="1277">
        <f>+IF($K221="Ongoing",BF221,IF(RIGHT($K221,2)=RIGHT(CB$43,2),SUM($AX221:BF221),0)+IF(RIGHT(CB$43,2)&gt;RIGHT($K221,2),BF221,0))</f>
        <v>0</v>
      </c>
      <c r="CC221" s="388">
        <f>+IF($K221="Ongoing",BG221,IF(RIGHT($K221,2)=RIGHT(CC$43,2),SUM($AX221:BG221),0)+IF(RIGHT(CC$43,2)&gt;RIGHT($K221,2),BG221,0))</f>
        <v>0</v>
      </c>
      <c r="CD221" s="1025"/>
      <c r="CE221" s="1282">
        <f>+Q221*KeyAssumptionsPriceControl_FO!AF$15</f>
        <v>0</v>
      </c>
      <c r="CF221" s="387">
        <f>+R221*KeyAssumptionsPriceControl_FO!AG$15</f>
        <v>0</v>
      </c>
      <c r="CG221" s="387">
        <f>+S221*KeyAssumptionsPriceControl_FO!AH$15</f>
        <v>0</v>
      </c>
      <c r="CH221" s="387">
        <f>+T221*KeyAssumptionsPriceControl_FO!AI$15</f>
        <v>0</v>
      </c>
      <c r="CI221" s="1283">
        <f>+U221*KeyAssumptionsPriceControl_FO!AJ$15</f>
        <v>0</v>
      </c>
      <c r="CJ221" s="386">
        <f>+V221*KeyAssumptionsPriceControl_FO!AK$15</f>
        <v>0</v>
      </c>
      <c r="CK221" s="387">
        <f>+W221*KeyAssumptionsPriceControl_FO!AL$15</f>
        <v>0</v>
      </c>
      <c r="CL221" s="1277">
        <f>+X221*KeyAssumptionsPriceControl_FO!AM$15</f>
        <v>0</v>
      </c>
      <c r="CM221" s="1277">
        <f>+Y221*KeyAssumptionsPriceControl_FO!AN$15</f>
        <v>0</v>
      </c>
      <c r="CN221" s="388">
        <f>+Z221*KeyAssumptionsPriceControl_FO!AO$15</f>
        <v>0</v>
      </c>
      <c r="CO221" s="1025"/>
      <c r="CP221" s="1282">
        <f t="shared" ca="1" si="324"/>
        <v>0</v>
      </c>
      <c r="CQ221" s="387">
        <f t="shared" ca="1" si="325"/>
        <v>0</v>
      </c>
      <c r="CR221" s="387">
        <f t="shared" ca="1" si="326"/>
        <v>0</v>
      </c>
      <c r="CS221" s="387">
        <f t="shared" ca="1" si="327"/>
        <v>0</v>
      </c>
      <c r="CT221" s="1283">
        <f t="shared" ca="1" si="328"/>
        <v>0</v>
      </c>
      <c r="CU221" s="386">
        <f t="shared" ca="1" si="329"/>
        <v>0</v>
      </c>
      <c r="CV221" s="387">
        <f t="shared" ca="1" si="330"/>
        <v>0</v>
      </c>
      <c r="CW221" s="1277">
        <f t="shared" ca="1" si="331"/>
        <v>0</v>
      </c>
      <c r="CX221" s="1277">
        <f t="shared" ca="1" si="332"/>
        <v>0</v>
      </c>
      <c r="CY221" s="388">
        <f t="shared" ca="1" si="333"/>
        <v>0</v>
      </c>
      <c r="CZ221" s="347"/>
      <c r="DA221" s="852"/>
      <c r="DB221" s="347"/>
      <c r="DC221" s="1012" t="s">
        <v>742</v>
      </c>
      <c r="DD221" s="841" t="s">
        <v>518</v>
      </c>
      <c r="DE221" s="386">
        <f>+IF($K221="ongoing",CE221,IF(RIGHT($K221,2)=RIGHT(DE$43,2),SUM($CD221:CE221),0)+IF(RIGHT(DE$43,2)&gt;RIGHT($K221,2),CE221,0))</f>
        <v>0</v>
      </c>
      <c r="DF221" s="387">
        <f>+IF($K221="ongoing",CF221,IF(RIGHT($K221,2)=RIGHT(DF$43,2),SUM($CD221:CF221),0)+IF(RIGHT(DF$43,2)&gt;RIGHT($K221,2),CF221,0))</f>
        <v>0</v>
      </c>
      <c r="DG221" s="388">
        <f>+IF($K221="ongoing",CG221,IF(RIGHT($K221,2)=RIGHT(DG$43,2),SUM($CD221:CG221),0)+IF(RIGHT(DG$43,2)&gt;RIGHT($K221,2),CG221,0))</f>
        <v>0</v>
      </c>
      <c r="DH221" s="386">
        <f>+IF($K221="ongoing",CH221,IF(RIGHT($K221,2)=RIGHT(DH$43,2),SUM($CD221:CH221),0)+IF(RIGHT(DH$43,2)&gt;RIGHT($K221,2),CH221,0))</f>
        <v>0</v>
      </c>
      <c r="DI221" s="387">
        <f>+IF($K221="ongoing",CI221,IF(RIGHT($K221,2)=RIGHT(DI$43,2),SUM($CD221:CI221),0)+IF(RIGHT(DI$43,2)&gt;RIGHT($K221,2),CI221,0))</f>
        <v>0</v>
      </c>
      <c r="DJ221" s="387">
        <f>+IF($K221="ongoing",CJ221,IF(RIGHT($K221,2)=RIGHT(DJ$43,2),SUM($CD221:CJ221),0)+IF(RIGHT(DJ$43,2)&gt;RIGHT($K221,2),CJ221,0))</f>
        <v>0</v>
      </c>
      <c r="DK221" s="387">
        <f>+IF($K221="ongoing",CK221,IF(RIGHT($K221,2)=RIGHT(DK$43,2),SUM($CD221:CK221),0)+IF(RIGHT(DK$43,2)&gt;RIGHT($K221,2),CK221,0))</f>
        <v>0</v>
      </c>
      <c r="DL221" s="388">
        <f>+IF($K221="ongoing",CN221,IF(RIGHT($K221,2)=RIGHT(DL$43,2),SUM($CD221:CN221),0)+IF(RIGHT(DL$43,2)&gt;RIGHT($K221,2),CN221,0))</f>
        <v>0</v>
      </c>
      <c r="DM221" s="841"/>
      <c r="DN221" s="386">
        <f t="shared" si="334"/>
        <v>0.5</v>
      </c>
      <c r="DO221" s="387">
        <f t="shared" si="335"/>
        <v>1</v>
      </c>
      <c r="DP221" s="388">
        <f t="shared" si="336"/>
        <v>1</v>
      </c>
      <c r="DQ221" s="386">
        <f t="shared" si="337"/>
        <v>1</v>
      </c>
      <c r="DR221" s="387">
        <f t="shared" si="338"/>
        <v>1</v>
      </c>
      <c r="DS221" s="387">
        <f t="shared" si="339"/>
        <v>1</v>
      </c>
      <c r="DT221" s="387">
        <f t="shared" si="340"/>
        <v>1</v>
      </c>
      <c r="DU221" s="388">
        <f t="shared" si="341"/>
        <v>1</v>
      </c>
      <c r="DW221" s="386">
        <f t="shared" si="342"/>
        <v>0</v>
      </c>
      <c r="DX221" s="387">
        <f t="shared" si="343"/>
        <v>0.5</v>
      </c>
      <c r="DY221" s="388">
        <f t="shared" si="344"/>
        <v>1</v>
      </c>
      <c r="DZ221" s="386">
        <f t="shared" si="345"/>
        <v>1</v>
      </c>
      <c r="EA221" s="387">
        <f t="shared" si="346"/>
        <v>1</v>
      </c>
      <c r="EB221" s="387">
        <f t="shared" si="347"/>
        <v>1</v>
      </c>
      <c r="EC221" s="387">
        <f t="shared" si="348"/>
        <v>1</v>
      </c>
      <c r="ED221" s="388">
        <f t="shared" si="349"/>
        <v>1</v>
      </c>
      <c r="EF221" s="834">
        <f>+IF(DN221=DM221,0,
IF(AND(EF$44&gt;1,DN221=$N221),1-SUM($EE221:EE221),
IF($N221&lt;=1,
IF($N221&gt;0,1/$N221,0),
IF(EF$44=1,0,VDB(1,0,$N221,INT(EF$44-1-1),MIN($N221,INT(EF$44-1-1)+1),$DC221,IF($DD221="No",1,0))/
IF(DM221&gt;=INT($N221),$N221-INT($N221),1)))*
IF(EF$44=1,0,
IF(INT(DN221)=INT(DM221),DN221-DM221,INT(DN221)-DM221))+
IF($N221&lt;=1,
IF($N221&gt;0,1/$N221,0),VDB(1,0,$N221,INT(EF$44-1),MIN($N221,INT(EF$44-1)+1),$DC221,IF($DD221="No",1,0))/
IF(DN221&gt;INT($N221),$N221-INT($N221),1))*
IF(EF$44=1,DN221,
IF(INT(DN221)=INT(DM221),0,DN221-INT(DN221)))))</f>
        <v>0</v>
      </c>
      <c r="EG221" s="835">
        <f>+IF(DO221=DN221,0,
IF(AND(EG$44&gt;1,DO221=$N221),1-SUM($EE221:EF221),
IF($N221&lt;=1,
IF($N221&gt;0,1/$N221,0),
IF(EG$44=1,0,VDB(1,0,$N221,INT(EG$44-1-1),MIN($N221,INT(EG$44-1-1)+1),$DC221,IF($DD221="No",1,0))/
IF(DN221&gt;=INT($N221),$N221-INT($N221),1)))*
IF(EG$44=1,0,
IF(INT(DO221)=INT(DN221),DO221-DN221,INT(DO221)-DN221))+
IF($N221&lt;=1,
IF($N221&gt;0,1/$N221,0),VDB(1,0,$N221,INT(EG$44-1),MIN($N221,INT(EG$44-1)+1),$DC221,IF($DD221="No",1,0))/
IF(DO221&gt;INT($N221),$N221-INT($N221),1))*
IF(EG$44=1,DO221,
IF(INT(DO221)=INT(DN221),0,DO221-INT(DO221)))))</f>
        <v>0</v>
      </c>
      <c r="EH221" s="836">
        <f>+IF(DP221=DO221,0,
IF(AND(EH$44&gt;1,DP221=$N221),1-SUM($EE221:EG221),
IF($N221&lt;=1,
IF($N221&gt;0,1/$N221,0),
IF(EH$44=1,0,VDB(1,0,$N221,INT(EH$44-1-1),MIN($N221,INT(EH$44-1-1)+1),$DC221,IF($DD221="No",1,0))/
IF(DO221&gt;=INT($N221),$N221-INT($N221),1)))*
IF(EH$44=1,0,
IF(INT(DP221)=INT(DO221),DP221-DO221,INT(DP221)-DO221))+
IF($N221&lt;=1,
IF($N221&gt;0,1/$N221,0),VDB(1,0,$N221,INT(EH$44-1),MIN($N221,INT(EH$44-1)+1),$DC221,IF($DD221="No",1,0))/
IF(DP221&gt;INT($N221),$N221-INT($N221),1))*
IF(EH$44=1,DP221,
IF(INT(DP221)=INT(DO221),0,DP221-INT(DP221)))))</f>
        <v>0</v>
      </c>
      <c r="EI221" s="834">
        <f>+IF(DQ221=DP221,0,
IF(AND(EI$44&gt;1,DQ221=$N221),1-SUM($EE221:EH221),
IF($N221&lt;=1,
IF($N221&gt;0,1/$N221,0),
IF(EI$44=1,0,VDB(1,0,$N221,INT(EI$44-1-1),MIN($N221,INT(EI$44-1-1)+1),$DC221,IF($DD221="No",1,0))/
IF(DP221&gt;=INT($N221),$N221-INT($N221),1)))*
IF(EI$44=1,0,
IF(INT(DQ221)=INT(DP221),DQ221-DP221,INT(DQ221)-DP221))+
IF($N221&lt;=1,
IF($N221&gt;0,1/$N221,0),VDB(1,0,$N221,INT(EI$44-1),MIN($N221,INT(EI$44-1)+1),$DC221,IF($DD221="No",1,0))/
IF(DQ221&gt;INT($N221),$N221-INT($N221),1))*
IF(EI$44=1,DQ221,
IF(INT(DQ221)=INT(DP221),0,DQ221-INT(DQ221)))))</f>
        <v>0</v>
      </c>
      <c r="EJ221" s="835">
        <f>+IF(DR221=DQ221,0,
IF(AND(EJ$44&gt;1,DR221=$N221),1-SUM($EE221:EI221),
IF($N221&lt;=1,
IF($N221&gt;0,1/$N221,0),
IF(EJ$44=1,0,VDB(1,0,$N221,INT(EJ$44-1-1),MIN($N221,INT(EJ$44-1-1)+1),$DC221,IF($DD221="No",1,0))/
IF(DQ221&gt;=INT($N221),$N221-INT($N221),1)))*
IF(EJ$44=1,0,
IF(INT(DR221)=INT(DQ221),DR221-DQ221,INT(DR221)-DQ221))+
IF($N221&lt;=1,
IF($N221&gt;0,1/$N221,0),VDB(1,0,$N221,INT(EJ$44-1),MIN($N221,INT(EJ$44-1)+1),$DC221,IF($DD221="No",1,0))/
IF(DR221&gt;INT($N221),$N221-INT($N221),1))*
IF(EJ$44=1,DR221,
IF(INT(DR221)=INT(DQ221),0,DR221-INT(DR221)))))</f>
        <v>0</v>
      </c>
      <c r="EK221" s="835">
        <f>+IF(DS221=DR221,0,
IF(AND(EK$44&gt;1,DS221=$N221),1-SUM($EE221:EJ221),
IF($N221&lt;=1,
IF($N221&gt;0,1/$N221,0),
IF(EK$44=1,0,VDB(1,0,$N221,INT(EK$44-1-1),MIN($N221,INT(EK$44-1-1)+1),$DC221,IF($DD221="No",1,0))/
IF(DR221&gt;=INT($N221),$N221-INT($N221),1)))*
IF(EK$44=1,0,
IF(INT(DS221)=INT(DR221),DS221-DR221,INT(DS221)-DR221))+
IF($N221&lt;=1,
IF($N221&gt;0,1/$N221,0),VDB(1,0,$N221,INT(EK$44-1),MIN($N221,INT(EK$44-1)+1),$DC221,IF($DD221="No",1,0))/
IF(DS221&gt;INT($N221),$N221-INT($N221),1))*
IF(EK$44=1,DS221,
IF(INT(DS221)=INT(DR221),0,DS221-INT(DS221)))))</f>
        <v>0</v>
      </c>
      <c r="EL221" s="835">
        <f>+IF(DT221=DS221,0,
IF(AND(EL$44&gt;1,DT221=$N221),1-SUM($EE221:EK221),
IF($N221&lt;=1,
IF($N221&gt;0,1/$N221,0),
IF(EL$44=1,0,VDB(1,0,$N221,INT(EL$44-1-1),MIN($N221,INT(EL$44-1-1)+1),$DC221,IF($DD221="No",1,0))/
IF(DS221&gt;=INT($N221),$N221-INT($N221),1)))*
IF(EL$44=1,0,
IF(INT(DT221)=INT(DS221),DT221-DS221,INT(DT221)-DS221))+
IF($N221&lt;=1,
IF($N221&gt;0,1/$N221,0),VDB(1,0,$N221,INT(EL$44-1),MIN($N221,INT(EL$44-1)+1),$DC221,IF($DD221="No",1,0))/
IF(DT221&gt;INT($N221),$N221-INT($N221),1))*
IF(EL$44=1,DT221,
IF(INT(DT221)=INT(DS221),0,DT221-INT(DT221)))))</f>
        <v>0</v>
      </c>
      <c r="EM221" s="836">
        <f>+IF(DU221=DT221,0,
IF(AND(EM$44&gt;1,DU221=$N221),1-SUM($EE221:EL221),
IF($N221&lt;=1,
IF($N221&gt;0,1/$N221,0),
IF(EM$44=1,0,VDB(1,0,$N221,INT(EM$44-1-1),MIN($N221,INT(EM$44-1-1)+1),$DC221,IF($DD221="No",1,0))/
IF(DT221&gt;=INT($N221),$N221-INT($N221),1)))*
IF(EM$44=1,0,
IF(INT(DU221)=INT(DT221),DU221-DT221,INT(DU221)-DT221))+
IF($N221&lt;=1,
IF($N221&gt;0,1/$N221,0),VDB(1,0,$N221,INT(EM$44-1),MIN($N221,INT(EM$44-1)+1),$DC221,IF($DD221="No",1,0))/
IF(DU221&gt;INT($N221),$N221-INT($N221),1))*
IF(EM$44=1,DU221,
IF(INT(DU221)=INT(DT221),0,DU221-INT(DU221)))))</f>
        <v>0</v>
      </c>
      <c r="EN221" s="833"/>
      <c r="EO221" s="834">
        <f>+IF(OR(DW221=DV221,EO$44=1),0,
IF(AND(EO$44&gt;1,DW221=$N221),1-SUM($EN221:EN221),
IF($N221&lt;=1,
IF($N221&gt;0,1/$N221,0),
IF(EO$44=2,0,VDB(1,0,$N221,INT(EO$44-2-1),MIN($N221,INT(EO$44-2-1)+1),$DC221,IF($DD221="No",1,0))/
IF(DV221&gt;=INT($N221),$N221-INT($N221),1)))*
IF(EO$44=2,0,
IF(INT(DW221)=INT(DV221),DW221-DV221,INT(DW221)-DV221))+
IF($N221&lt;=1,
IF($N221&gt;0,1/$N221,0),VDB(1,0,$N221,INT(EO$44-2),MIN($N221,INT(EO$44-2)+1),$DC221,IF($DD221="No",1,0))/
IF(DW221&gt;INT($N221),$N221-INT($N221),1))*
IF(EO$44=2,DW221,
IF(INT(DW221)=INT(DV221),0,DW221-INT(DW221)))))</f>
        <v>0</v>
      </c>
      <c r="EP221" s="835">
        <f>+IF(OR(DX221=DW221,EP$44=1),0,
IF(AND(EP$44&gt;1,DX221=$N221),1-SUM($EN221:EO221),
IF($N221&lt;=1,
IF($N221&gt;0,1/$N221,0),
IF(EP$44=2,0,VDB(1,0,$N221,INT(EP$44-2-1),MIN($N221,INT(EP$44-2-1)+1),$DC221,IF($DD221="No",1,0))/
IF(DW221&gt;=INT($N221),$N221-INT($N221),1)))*
IF(EP$44=2,0,
IF(INT(DX221)=INT(DW221),DX221-DW221,INT(DX221)-DW221))+
IF($N221&lt;=1,
IF($N221&gt;0,1/$N221,0),VDB(1,0,$N221,INT(EP$44-2),MIN($N221,INT(EP$44-2)+1),$DC221,IF($DD221="No",1,0))/
IF(DX221&gt;INT($N221),$N221-INT($N221),1))*
IF(EP$44=2,DX221,
IF(INT(DX221)=INT(DW221),0,DX221-INT(DX221)))))</f>
        <v>0</v>
      </c>
      <c r="EQ221" s="836">
        <f>+IF(OR(DY221=DX221,EQ$44=1),0,
IF(AND(EQ$44&gt;1,DY221=$N221),1-SUM($EN221:EP221),
IF($N221&lt;=1,
IF($N221&gt;0,1/$N221,0),
IF(EQ$44=2,0,VDB(1,0,$N221,INT(EQ$44-2-1),MIN($N221,INT(EQ$44-2-1)+1),$DC221,IF($DD221="No",1,0))/
IF(DX221&gt;=INT($N221),$N221-INT($N221),1)))*
IF(EQ$44=2,0,
IF(INT(DY221)=INT(DX221),DY221-DX221,INT(DY221)-DX221))+
IF($N221&lt;=1,
IF($N221&gt;0,1/$N221,0),VDB(1,0,$N221,INT(EQ$44-2),MIN($N221,INT(EQ$44-2)+1),$DC221,IF($DD221="No",1,0))/
IF(DY221&gt;INT($N221),$N221-INT($N221),1))*
IF(EQ$44=2,DY221,
IF(INT(DY221)=INT(DX221),0,DY221-INT(DY221)))))</f>
        <v>0</v>
      </c>
      <c r="ER221" s="834">
        <f>+IF(OR(DZ221=DY221,ER$44=1),0,
IF(AND(ER$44&gt;1,DZ221=$N221),1-SUM($EN221:EQ221),
IF($N221&lt;=1,
IF($N221&gt;0,1/$N221,0),
IF(ER$44=2,0,VDB(1,0,$N221,INT(ER$44-2-1),MIN($N221,INT(ER$44-2-1)+1),$DC221,IF($DD221="No",1,0))/
IF(DY221&gt;=INT($N221),$N221-INT($N221),1)))*
IF(ER$44=2,0,
IF(INT(DZ221)=INT(DY221),DZ221-DY221,INT(DZ221)-DY221))+
IF($N221&lt;=1,
IF($N221&gt;0,1/$N221,0),VDB(1,0,$N221,INT(ER$44-2),MIN($N221,INT(ER$44-2)+1),$DC221,IF($DD221="No",1,0))/
IF(DZ221&gt;INT($N221),$N221-INT($N221),1))*
IF(ER$44=2,DZ221,
IF(INT(DZ221)=INT(DY221),0,DZ221-INT(DZ221)))))</f>
        <v>0</v>
      </c>
      <c r="ES221" s="835">
        <f>+IF(OR(EA221=DZ221,ES$44=1),0,
IF(AND(ES$44&gt;1,EA221=$N221),1-SUM($EN221:ER221),
IF($N221&lt;=1,
IF($N221&gt;0,1/$N221,0),
IF(ES$44=2,0,VDB(1,0,$N221,INT(ES$44-2-1),MIN($N221,INT(ES$44-2-1)+1),$DC221,IF($DD221="No",1,0))/
IF(DZ221&gt;=INT($N221),$N221-INT($N221),1)))*
IF(ES$44=2,0,
IF(INT(EA221)=INT(DZ221),EA221-DZ221,INT(EA221)-DZ221))+
IF($N221&lt;=1,
IF($N221&gt;0,1/$N221,0),VDB(1,0,$N221,INT(ES$44-2),MIN($N221,INT(ES$44-2)+1),$DC221,IF($DD221="No",1,0))/
IF(EA221&gt;INT($N221),$N221-INT($N221),1))*
IF(ES$44=2,EA221,
IF(INT(EA221)=INT(DZ221),0,EA221-INT(EA221)))))</f>
        <v>0</v>
      </c>
      <c r="ET221" s="835">
        <f>+IF(OR(EB221=EA221,ET$44=1),0,
IF(AND(ET$44&gt;1,EB221=$N221),1-SUM($EN221:ES221),
IF($N221&lt;=1,
IF($N221&gt;0,1/$N221,0),
IF(ET$44=2,0,VDB(1,0,$N221,INT(ET$44-2-1),MIN($N221,INT(ET$44-2-1)+1),$DC221,IF($DD221="No",1,0))/
IF(EA221&gt;=INT($N221),$N221-INT($N221),1)))*
IF(ET$44=2,0,
IF(INT(EB221)=INT(EA221),EB221-EA221,INT(EB221)-EA221))+
IF($N221&lt;=1,
IF($N221&gt;0,1/$N221,0),VDB(1,0,$N221,INT(ET$44-2),MIN($N221,INT(ET$44-2)+1),$DC221,IF($DD221="No",1,0))/
IF(EB221&gt;INT($N221),$N221-INT($N221),1))*
IF(ET$44=2,EB221,
IF(INT(EB221)=INT(EA221),0,EB221-INT(EB221)))))</f>
        <v>0</v>
      </c>
      <c r="EU221" s="835">
        <f>+IF(OR(EC221=EB221,EU$44=1),0,
IF(AND(EU$44&gt;1,EC221=$N221),1-SUM($EN221:ET221),
IF($N221&lt;=1,
IF($N221&gt;0,1/$N221,0),
IF(EU$44=2,0,VDB(1,0,$N221,INT(EU$44-2-1),MIN($N221,INT(EU$44-2-1)+1),$DC221,IF($DD221="No",1,0))/
IF(EB221&gt;=INT($N221),$N221-INT($N221),1)))*
IF(EU$44=2,0,
IF(INT(EC221)=INT(EB221),EC221-EB221,INT(EC221)-EB221))+
IF($N221&lt;=1,
IF($N221&gt;0,1/$N221,0),VDB(1,0,$N221,INT(EU$44-2),MIN($N221,INT(EU$44-2)+1),$DC221,IF($DD221="No",1,0))/
IF(EC221&gt;INT($N221),$N221-INT($N221),1))*
IF(EU$44=2,EC221,
IF(INT(EC221)=INT(EB221),0,EC221-INT(EC221)))))</f>
        <v>0</v>
      </c>
      <c r="EV221" s="836">
        <f>+IF(OR(ED221=EC221,EV$44=1),0,
IF(AND(EV$44&gt;1,ED221=$N221),1-SUM($EN221:EU221),
IF($N221&lt;=1,
IF($N221&gt;0,1/$N221,0),
IF(EV$44=2,0,VDB(1,0,$N221,INT(EV$44-2-1),MIN($N221,INT(EV$44-2-1)+1),$DC221,IF($DD221="No",1,0))/
IF(EC221&gt;=INT($N221),$N221-INT($N221),1)))*
IF(EV$44=2,0,
IF(INT(ED221)=INT(EC221),ED221-EC221,INT(ED221)-EC221))+
IF($N221&lt;=1,
IF($N221&gt;0,1/$N221,0),VDB(1,0,$N221,INT(EV$44-2),MIN($N221,INT(EV$44-2)+1),$DC221,IF($DD221="No",1,0))/
IF(ED221&gt;INT($N221),$N221-INT($N221),1))*
IF(EV$44=2,ED221,
IF(INT(ED221)=INT(EC221),0,ED221-INT(ED221)))))</f>
        <v>0</v>
      </c>
      <c r="EW221" s="833"/>
      <c r="EX221" s="834">
        <f t="shared" ca="1" si="361"/>
        <v>0</v>
      </c>
      <c r="EY221" s="835">
        <f t="shared" ca="1" si="361"/>
        <v>0</v>
      </c>
      <c r="EZ221" s="836">
        <f t="shared" ca="1" si="361"/>
        <v>0</v>
      </c>
      <c r="FA221" s="834">
        <f t="shared" ca="1" si="361"/>
        <v>0</v>
      </c>
      <c r="FB221" s="835">
        <f t="shared" ca="1" si="361"/>
        <v>0</v>
      </c>
      <c r="FC221" s="835">
        <f t="shared" ca="1" si="361"/>
        <v>0</v>
      </c>
      <c r="FD221" s="835">
        <f t="shared" ca="1" si="361"/>
        <v>0</v>
      </c>
      <c r="FE221" s="836">
        <f t="shared" ca="1" si="361"/>
        <v>0</v>
      </c>
      <c r="FG221" s="386">
        <f t="shared" ca="1" si="351"/>
        <v>0</v>
      </c>
      <c r="FH221" s="387">
        <f t="shared" ca="1" si="352"/>
        <v>0</v>
      </c>
      <c r="FI221" s="388">
        <f t="shared" ca="1" si="353"/>
        <v>0</v>
      </c>
      <c r="FJ221" s="386">
        <f t="shared" ca="1" si="354"/>
        <v>0</v>
      </c>
      <c r="FK221" s="387">
        <f t="shared" ca="1" si="355"/>
        <v>0</v>
      </c>
      <c r="FL221" s="387">
        <f t="shared" ca="1" si="356"/>
        <v>0</v>
      </c>
      <c r="FM221" s="387">
        <f t="shared" ca="1" si="357"/>
        <v>0</v>
      </c>
      <c r="FN221" s="388">
        <f t="shared" ca="1" si="358"/>
        <v>0</v>
      </c>
      <c r="FR221" s="116"/>
    </row>
    <row r="222" spans="2:174">
      <c r="B222" s="1410">
        <f t="shared" si="359"/>
        <v>176</v>
      </c>
      <c r="C222" s="400"/>
      <c r="D222" s="410"/>
      <c r="E222" s="402"/>
      <c r="F222" s="402"/>
      <c r="G222" s="400"/>
      <c r="H222" s="2088"/>
      <c r="I222" s="2089"/>
      <c r="J222" s="411"/>
      <c r="K222" s="403"/>
      <c r="L222" s="403"/>
      <c r="M222" s="403"/>
      <c r="N222" s="403"/>
      <c r="O222" s="347"/>
      <c r="P222" s="347"/>
      <c r="Q222" s="1021"/>
      <c r="R222" s="1022"/>
      <c r="S222" s="1022"/>
      <c r="T222" s="1022"/>
      <c r="U222" s="1023"/>
      <c r="V222" s="1021"/>
      <c r="W222" s="1022"/>
      <c r="X222" s="1022"/>
      <c r="Y222" s="1022"/>
      <c r="Z222" s="1023"/>
      <c r="AA222" s="1024"/>
      <c r="AB222" s="1021"/>
      <c r="AC222" s="1022"/>
      <c r="AD222" s="1022"/>
      <c r="AE222" s="1022"/>
      <c r="AF222" s="1023"/>
      <c r="AG222" s="1021"/>
      <c r="AH222" s="1022"/>
      <c r="AI222" s="1022"/>
      <c r="AJ222" s="1022"/>
      <c r="AK222" s="1023"/>
      <c r="AL222" s="1024"/>
      <c r="AM222" s="1021"/>
      <c r="AN222" s="1022"/>
      <c r="AO222" s="1022"/>
      <c r="AP222" s="1022"/>
      <c r="AQ222" s="1023"/>
      <c r="AR222" s="1021"/>
      <c r="AS222" s="1022"/>
      <c r="AT222" s="1022"/>
      <c r="AU222" s="1022"/>
      <c r="AV222" s="1023"/>
      <c r="AW222" s="1025"/>
      <c r="AX222" s="1282">
        <f t="shared" si="304"/>
        <v>0</v>
      </c>
      <c r="AY222" s="387">
        <f t="shared" si="305"/>
        <v>0</v>
      </c>
      <c r="AZ222" s="387">
        <f t="shared" si="306"/>
        <v>0</v>
      </c>
      <c r="BA222" s="387">
        <f t="shared" si="307"/>
        <v>0</v>
      </c>
      <c r="BB222" s="1283">
        <f t="shared" si="308"/>
        <v>0</v>
      </c>
      <c r="BC222" s="386">
        <f t="shared" si="309"/>
        <v>0</v>
      </c>
      <c r="BD222" s="387">
        <f t="shared" si="310"/>
        <v>0</v>
      </c>
      <c r="BE222" s="1277">
        <f t="shared" si="311"/>
        <v>0</v>
      </c>
      <c r="BF222" s="1277">
        <f t="shared" si="312"/>
        <v>0</v>
      </c>
      <c r="BG222" s="388">
        <f t="shared" si="313"/>
        <v>0</v>
      </c>
      <c r="BH222" s="1025"/>
      <c r="BI222" s="1282">
        <f t="shared" ca="1" si="314"/>
        <v>0</v>
      </c>
      <c r="BJ222" s="387">
        <f t="shared" ca="1" si="315"/>
        <v>0</v>
      </c>
      <c r="BK222" s="387">
        <f t="shared" ca="1" si="316"/>
        <v>0</v>
      </c>
      <c r="BL222" s="387">
        <f t="shared" ca="1" si="317"/>
        <v>0</v>
      </c>
      <c r="BM222" s="1283">
        <f t="shared" ca="1" si="318"/>
        <v>0</v>
      </c>
      <c r="BN222" s="386">
        <f t="shared" ca="1" si="319"/>
        <v>0</v>
      </c>
      <c r="BO222" s="387">
        <f t="shared" ca="1" si="320"/>
        <v>0</v>
      </c>
      <c r="BP222" s="1277">
        <f t="shared" ca="1" si="321"/>
        <v>0</v>
      </c>
      <c r="BQ222" s="1277">
        <f t="shared" ca="1" si="322"/>
        <v>0</v>
      </c>
      <c r="BR222" s="388">
        <f t="shared" ca="1" si="323"/>
        <v>0</v>
      </c>
      <c r="BS222" s="1025"/>
      <c r="BT222" s="1282">
        <f>+IF($K222="Ongoing",AX222,IF(RIGHT($K222,2)=RIGHT(BT$43,2),SUM($AX222:AX222),0)+IF(RIGHT(BT$43,2)&gt;RIGHT($K222,2),AX222,0))</f>
        <v>0</v>
      </c>
      <c r="BU222" s="387">
        <f>+IF($K222="Ongoing",AY222,IF(RIGHT($K222,2)=RIGHT(BU$43,2),SUM($AX222:AY222),0)+IF(RIGHT(BU$43,2)&gt;RIGHT($K222,2),AY222,0))</f>
        <v>0</v>
      </c>
      <c r="BV222" s="387">
        <f>+IF($K222="Ongoing",AZ222,IF(RIGHT($K222,2)=RIGHT(BV$43,2),SUM($AX222:AZ222),0)+IF(RIGHT(BV$43,2)&gt;RIGHT($K222,2),AZ222,0))</f>
        <v>0</v>
      </c>
      <c r="BW222" s="387">
        <f>+IF($K222="Ongoing",BA222,IF(RIGHT($K222,2)=RIGHT(BW$43,2),SUM($AX222:BA222),0)+IF(RIGHT(BW$43,2)&gt;RIGHT($K222,2),BA222,0))</f>
        <v>0</v>
      </c>
      <c r="BX222" s="1283">
        <f>+IF($K222="Ongoing",BB222,IF(RIGHT($K222,2)=RIGHT(BX$43,2),SUM($AX222:BB222),0)+IF(RIGHT(BX$43,2)&gt;RIGHT($K222,2),BB222,0))</f>
        <v>0</v>
      </c>
      <c r="BY222" s="386">
        <f>+IF($K222="Ongoing",BC222,IF(RIGHT($K222,2)=RIGHT(BY$43,2),SUM($AX222:BC222),0)+IF(RIGHT(BY$43,2)&gt;RIGHT($K222,2),BC222,0))</f>
        <v>0</v>
      </c>
      <c r="BZ222" s="387">
        <f>+IF($K222="Ongoing",BD222,IF(RIGHT($K222,2)=RIGHT(BZ$43,2),SUM($AX222:BD222),0)+IF(RIGHT(BZ$43,2)&gt;RIGHT($K222,2),BD222,0))</f>
        <v>0</v>
      </c>
      <c r="CA222" s="1277">
        <f>+IF($K222="Ongoing",BE222,IF(RIGHT($K222,2)=RIGHT(CA$43,2),SUM($AX222:BE222),0)+IF(RIGHT(CA$43,2)&gt;RIGHT($K222,2),BE222,0))</f>
        <v>0</v>
      </c>
      <c r="CB222" s="1277">
        <f>+IF($K222="Ongoing",BF222,IF(RIGHT($K222,2)=RIGHT(CB$43,2),SUM($AX222:BF222),0)+IF(RIGHT(CB$43,2)&gt;RIGHT($K222,2),BF222,0))</f>
        <v>0</v>
      </c>
      <c r="CC222" s="388">
        <f>+IF($K222="Ongoing",BG222,IF(RIGHT($K222,2)=RIGHT(CC$43,2),SUM($AX222:BG222),0)+IF(RIGHT(CC$43,2)&gt;RIGHT($K222,2),BG222,0))</f>
        <v>0</v>
      </c>
      <c r="CD222" s="1025"/>
      <c r="CE222" s="1282">
        <f>+Q222*KeyAssumptionsPriceControl_FO!AF$15</f>
        <v>0</v>
      </c>
      <c r="CF222" s="387">
        <f>+R222*KeyAssumptionsPriceControl_FO!AG$15</f>
        <v>0</v>
      </c>
      <c r="CG222" s="387">
        <f>+S222*KeyAssumptionsPriceControl_FO!AH$15</f>
        <v>0</v>
      </c>
      <c r="CH222" s="387">
        <f>+T222*KeyAssumptionsPriceControl_FO!AI$15</f>
        <v>0</v>
      </c>
      <c r="CI222" s="1283">
        <f>+U222*KeyAssumptionsPriceControl_FO!AJ$15</f>
        <v>0</v>
      </c>
      <c r="CJ222" s="386">
        <f>+V222*KeyAssumptionsPriceControl_FO!AK$15</f>
        <v>0</v>
      </c>
      <c r="CK222" s="387">
        <f>+W222*KeyAssumptionsPriceControl_FO!AL$15</f>
        <v>0</v>
      </c>
      <c r="CL222" s="1277">
        <f>+X222*KeyAssumptionsPriceControl_FO!AM$15</f>
        <v>0</v>
      </c>
      <c r="CM222" s="1277">
        <f>+Y222*KeyAssumptionsPriceControl_FO!AN$15</f>
        <v>0</v>
      </c>
      <c r="CN222" s="388">
        <f>+Z222*KeyAssumptionsPriceControl_FO!AO$15</f>
        <v>0</v>
      </c>
      <c r="CO222" s="1025"/>
      <c r="CP222" s="1282">
        <f t="shared" ca="1" si="324"/>
        <v>0</v>
      </c>
      <c r="CQ222" s="387">
        <f t="shared" ca="1" si="325"/>
        <v>0</v>
      </c>
      <c r="CR222" s="387">
        <f t="shared" ca="1" si="326"/>
        <v>0</v>
      </c>
      <c r="CS222" s="387">
        <f t="shared" ca="1" si="327"/>
        <v>0</v>
      </c>
      <c r="CT222" s="1283">
        <f t="shared" ca="1" si="328"/>
        <v>0</v>
      </c>
      <c r="CU222" s="386">
        <f t="shared" ca="1" si="329"/>
        <v>0</v>
      </c>
      <c r="CV222" s="387">
        <f t="shared" ca="1" si="330"/>
        <v>0</v>
      </c>
      <c r="CW222" s="1277">
        <f t="shared" ca="1" si="331"/>
        <v>0</v>
      </c>
      <c r="CX222" s="1277">
        <f t="shared" ca="1" si="332"/>
        <v>0</v>
      </c>
      <c r="CY222" s="388">
        <f t="shared" ca="1" si="333"/>
        <v>0</v>
      </c>
      <c r="CZ222" s="347"/>
      <c r="DA222" s="852"/>
      <c r="DB222" s="347"/>
      <c r="DC222" s="1012" t="s">
        <v>743</v>
      </c>
      <c r="DD222" s="841" t="s">
        <v>518</v>
      </c>
      <c r="DE222" s="386">
        <f>+IF($K222="ongoing",CE222,IF(RIGHT($K222,2)=RIGHT(DE$43,2),SUM($CD222:CE222),0)+IF(RIGHT(DE$43,2)&gt;RIGHT($K222,2),CE222,0))</f>
        <v>0</v>
      </c>
      <c r="DF222" s="387">
        <f>+IF($K222="ongoing",CF222,IF(RIGHT($K222,2)=RIGHT(DF$43,2),SUM($CD222:CF222),0)+IF(RIGHT(DF$43,2)&gt;RIGHT($K222,2),CF222,0))</f>
        <v>0</v>
      </c>
      <c r="DG222" s="388">
        <f>+IF($K222="ongoing",CG222,IF(RIGHT($K222,2)=RIGHT(DG$43,2),SUM($CD222:CG222),0)+IF(RIGHT(DG$43,2)&gt;RIGHT($K222,2),CG222,0))</f>
        <v>0</v>
      </c>
      <c r="DH222" s="386">
        <f>+IF($K222="ongoing",CH222,IF(RIGHT($K222,2)=RIGHT(DH$43,2),SUM($CD222:CH222),0)+IF(RIGHT(DH$43,2)&gt;RIGHT($K222,2),CH222,0))</f>
        <v>0</v>
      </c>
      <c r="DI222" s="387">
        <f>+IF($K222="ongoing",CI222,IF(RIGHT($K222,2)=RIGHT(DI$43,2),SUM($CD222:CI222),0)+IF(RIGHT(DI$43,2)&gt;RIGHT($K222,2),CI222,0))</f>
        <v>0</v>
      </c>
      <c r="DJ222" s="387">
        <f>+IF($K222="ongoing",CJ222,IF(RIGHT($K222,2)=RIGHT(DJ$43,2),SUM($CD222:CJ222),0)+IF(RIGHT(DJ$43,2)&gt;RIGHT($K222,2),CJ222,0))</f>
        <v>0</v>
      </c>
      <c r="DK222" s="387">
        <f>+IF($K222="ongoing",CK222,IF(RIGHT($K222,2)=RIGHT(DK$43,2),SUM($CD222:CK222),0)+IF(RIGHT(DK$43,2)&gt;RIGHT($K222,2),CK222,0))</f>
        <v>0</v>
      </c>
      <c r="DL222" s="388">
        <f>+IF($K222="ongoing",CN222,IF(RIGHT($K222,2)=RIGHT(DL$43,2),SUM($CD222:CN222),0)+IF(RIGHT(DL$43,2)&gt;RIGHT($K222,2),CN222,0))</f>
        <v>0</v>
      </c>
      <c r="DM222" s="841"/>
      <c r="DN222" s="386">
        <f t="shared" si="334"/>
        <v>0.5</v>
      </c>
      <c r="DO222" s="387">
        <f t="shared" si="335"/>
        <v>1</v>
      </c>
      <c r="DP222" s="388">
        <f t="shared" si="336"/>
        <v>1</v>
      </c>
      <c r="DQ222" s="386">
        <f t="shared" si="337"/>
        <v>1</v>
      </c>
      <c r="DR222" s="387">
        <f t="shared" si="338"/>
        <v>1</v>
      </c>
      <c r="DS222" s="387">
        <f t="shared" si="339"/>
        <v>1</v>
      </c>
      <c r="DT222" s="387">
        <f t="shared" si="340"/>
        <v>1</v>
      </c>
      <c r="DU222" s="388">
        <f t="shared" si="341"/>
        <v>1</v>
      </c>
      <c r="DW222" s="386">
        <f t="shared" si="342"/>
        <v>0</v>
      </c>
      <c r="DX222" s="387">
        <f t="shared" si="343"/>
        <v>0.5</v>
      </c>
      <c r="DY222" s="388">
        <f t="shared" si="344"/>
        <v>1</v>
      </c>
      <c r="DZ222" s="386">
        <f t="shared" si="345"/>
        <v>1</v>
      </c>
      <c r="EA222" s="387">
        <f t="shared" si="346"/>
        <v>1</v>
      </c>
      <c r="EB222" s="387">
        <f t="shared" si="347"/>
        <v>1</v>
      </c>
      <c r="EC222" s="387">
        <f t="shared" si="348"/>
        <v>1</v>
      </c>
      <c r="ED222" s="388">
        <f t="shared" si="349"/>
        <v>1</v>
      </c>
      <c r="EF222" s="834">
        <f>+IF(DN222=DM222,0,
IF(AND(EF$44&gt;1,DN222=$N222),1-SUM($EE222:EE222),
IF($N222&lt;=1,
IF($N222&gt;0,1/$N222,0),
IF(EF$44=1,0,VDB(1,0,$N222,INT(EF$44-1-1),MIN($N222,INT(EF$44-1-1)+1),$DC222,IF($DD222="No",1,0))/
IF(DM222&gt;=INT($N222),$N222-INT($N222),1)))*
IF(EF$44=1,0,
IF(INT(DN222)=INT(DM222),DN222-DM222,INT(DN222)-DM222))+
IF($N222&lt;=1,
IF($N222&gt;0,1/$N222,0),VDB(1,0,$N222,INT(EF$44-1),MIN($N222,INT(EF$44-1)+1),$DC222,IF($DD222="No",1,0))/
IF(DN222&gt;INT($N222),$N222-INT($N222),1))*
IF(EF$44=1,DN222,
IF(INT(DN222)=INT(DM222),0,DN222-INT(DN222)))))</f>
        <v>0</v>
      </c>
      <c r="EG222" s="835">
        <f>+IF(DO222=DN222,0,
IF(AND(EG$44&gt;1,DO222=$N222),1-SUM($EE222:EF222),
IF($N222&lt;=1,
IF($N222&gt;0,1/$N222,0),
IF(EG$44=1,0,VDB(1,0,$N222,INT(EG$44-1-1),MIN($N222,INT(EG$44-1-1)+1),$DC222,IF($DD222="No",1,0))/
IF(DN222&gt;=INT($N222),$N222-INT($N222),1)))*
IF(EG$44=1,0,
IF(INT(DO222)=INT(DN222),DO222-DN222,INT(DO222)-DN222))+
IF($N222&lt;=1,
IF($N222&gt;0,1/$N222,0),VDB(1,0,$N222,INT(EG$44-1),MIN($N222,INT(EG$44-1)+1),$DC222,IF($DD222="No",1,0))/
IF(DO222&gt;INT($N222),$N222-INT($N222),1))*
IF(EG$44=1,DO222,
IF(INT(DO222)=INT(DN222),0,DO222-INT(DO222)))))</f>
        <v>0</v>
      </c>
      <c r="EH222" s="836">
        <f>+IF(DP222=DO222,0,
IF(AND(EH$44&gt;1,DP222=$N222),1-SUM($EE222:EG222),
IF($N222&lt;=1,
IF($N222&gt;0,1/$N222,0),
IF(EH$44=1,0,VDB(1,0,$N222,INT(EH$44-1-1),MIN($N222,INT(EH$44-1-1)+1),$DC222,IF($DD222="No",1,0))/
IF(DO222&gt;=INT($N222),$N222-INT($N222),1)))*
IF(EH$44=1,0,
IF(INT(DP222)=INT(DO222),DP222-DO222,INT(DP222)-DO222))+
IF($N222&lt;=1,
IF($N222&gt;0,1/$N222,0),VDB(1,0,$N222,INT(EH$44-1),MIN($N222,INT(EH$44-1)+1),$DC222,IF($DD222="No",1,0))/
IF(DP222&gt;INT($N222),$N222-INT($N222),1))*
IF(EH$44=1,DP222,
IF(INT(DP222)=INT(DO222),0,DP222-INT(DP222)))))</f>
        <v>0</v>
      </c>
      <c r="EI222" s="834">
        <f>+IF(DQ222=DP222,0,
IF(AND(EI$44&gt;1,DQ222=$N222),1-SUM($EE222:EH222),
IF($N222&lt;=1,
IF($N222&gt;0,1/$N222,0),
IF(EI$44=1,0,VDB(1,0,$N222,INT(EI$44-1-1),MIN($N222,INT(EI$44-1-1)+1),$DC222,IF($DD222="No",1,0))/
IF(DP222&gt;=INT($N222),$N222-INT($N222),1)))*
IF(EI$44=1,0,
IF(INT(DQ222)=INT(DP222),DQ222-DP222,INT(DQ222)-DP222))+
IF($N222&lt;=1,
IF($N222&gt;0,1/$N222,0),VDB(1,0,$N222,INT(EI$44-1),MIN($N222,INT(EI$44-1)+1),$DC222,IF($DD222="No",1,0))/
IF(DQ222&gt;INT($N222),$N222-INT($N222),1))*
IF(EI$44=1,DQ222,
IF(INT(DQ222)=INT(DP222),0,DQ222-INT(DQ222)))))</f>
        <v>0</v>
      </c>
      <c r="EJ222" s="835">
        <f>+IF(DR222=DQ222,0,
IF(AND(EJ$44&gt;1,DR222=$N222),1-SUM($EE222:EI222),
IF($N222&lt;=1,
IF($N222&gt;0,1/$N222,0),
IF(EJ$44=1,0,VDB(1,0,$N222,INT(EJ$44-1-1),MIN($N222,INT(EJ$44-1-1)+1),$DC222,IF($DD222="No",1,0))/
IF(DQ222&gt;=INT($N222),$N222-INT($N222),1)))*
IF(EJ$44=1,0,
IF(INT(DR222)=INT(DQ222),DR222-DQ222,INT(DR222)-DQ222))+
IF($N222&lt;=1,
IF($N222&gt;0,1/$N222,0),VDB(1,0,$N222,INT(EJ$44-1),MIN($N222,INT(EJ$44-1)+1),$DC222,IF($DD222="No",1,0))/
IF(DR222&gt;INT($N222),$N222-INT($N222),1))*
IF(EJ$44=1,DR222,
IF(INT(DR222)=INT(DQ222),0,DR222-INT(DR222)))))</f>
        <v>0</v>
      </c>
      <c r="EK222" s="835">
        <f>+IF(DS222=DR222,0,
IF(AND(EK$44&gt;1,DS222=$N222),1-SUM($EE222:EJ222),
IF($N222&lt;=1,
IF($N222&gt;0,1/$N222,0),
IF(EK$44=1,0,VDB(1,0,$N222,INT(EK$44-1-1),MIN($N222,INT(EK$44-1-1)+1),$DC222,IF($DD222="No",1,0))/
IF(DR222&gt;=INT($N222),$N222-INT($N222),1)))*
IF(EK$44=1,0,
IF(INT(DS222)=INT(DR222),DS222-DR222,INT(DS222)-DR222))+
IF($N222&lt;=1,
IF($N222&gt;0,1/$N222,0),VDB(1,0,$N222,INT(EK$44-1),MIN($N222,INT(EK$44-1)+1),$DC222,IF($DD222="No",1,0))/
IF(DS222&gt;INT($N222),$N222-INT($N222),1))*
IF(EK$44=1,DS222,
IF(INT(DS222)=INT(DR222),0,DS222-INT(DS222)))))</f>
        <v>0</v>
      </c>
      <c r="EL222" s="835">
        <f>+IF(DT222=DS222,0,
IF(AND(EL$44&gt;1,DT222=$N222),1-SUM($EE222:EK222),
IF($N222&lt;=1,
IF($N222&gt;0,1/$N222,0),
IF(EL$44=1,0,VDB(1,0,$N222,INT(EL$44-1-1),MIN($N222,INT(EL$44-1-1)+1),$DC222,IF($DD222="No",1,0))/
IF(DS222&gt;=INT($N222),$N222-INT($N222),1)))*
IF(EL$44=1,0,
IF(INT(DT222)=INT(DS222),DT222-DS222,INT(DT222)-DS222))+
IF($N222&lt;=1,
IF($N222&gt;0,1/$N222,0),VDB(1,0,$N222,INT(EL$44-1),MIN($N222,INT(EL$44-1)+1),$DC222,IF($DD222="No",1,0))/
IF(DT222&gt;INT($N222),$N222-INT($N222),1))*
IF(EL$44=1,DT222,
IF(INT(DT222)=INT(DS222),0,DT222-INT(DT222)))))</f>
        <v>0</v>
      </c>
      <c r="EM222" s="836">
        <f>+IF(DU222=DT222,0,
IF(AND(EM$44&gt;1,DU222=$N222),1-SUM($EE222:EL222),
IF($N222&lt;=1,
IF($N222&gt;0,1/$N222,0),
IF(EM$44=1,0,VDB(1,0,$N222,INT(EM$44-1-1),MIN($N222,INT(EM$44-1-1)+1),$DC222,IF($DD222="No",1,0))/
IF(DT222&gt;=INT($N222),$N222-INT($N222),1)))*
IF(EM$44=1,0,
IF(INT(DU222)=INT(DT222),DU222-DT222,INT(DU222)-DT222))+
IF($N222&lt;=1,
IF($N222&gt;0,1/$N222,0),VDB(1,0,$N222,INT(EM$44-1),MIN($N222,INT(EM$44-1)+1),$DC222,IF($DD222="No",1,0))/
IF(DU222&gt;INT($N222),$N222-INT($N222),1))*
IF(EM$44=1,DU222,
IF(INT(DU222)=INT(DT222),0,DU222-INT(DU222)))))</f>
        <v>0</v>
      </c>
      <c r="EN222" s="833"/>
      <c r="EO222" s="834">
        <f>+IF(OR(DW222=DV222,EO$44=1),0,
IF(AND(EO$44&gt;1,DW222=$N222),1-SUM($EN222:EN222),
IF($N222&lt;=1,
IF($N222&gt;0,1/$N222,0),
IF(EO$44=2,0,VDB(1,0,$N222,INT(EO$44-2-1),MIN($N222,INT(EO$44-2-1)+1),$DC222,IF($DD222="No",1,0))/
IF(DV222&gt;=INT($N222),$N222-INT($N222),1)))*
IF(EO$44=2,0,
IF(INT(DW222)=INT(DV222),DW222-DV222,INT(DW222)-DV222))+
IF($N222&lt;=1,
IF($N222&gt;0,1/$N222,0),VDB(1,0,$N222,INT(EO$44-2),MIN($N222,INT(EO$44-2)+1),$DC222,IF($DD222="No",1,0))/
IF(DW222&gt;INT($N222),$N222-INT($N222),1))*
IF(EO$44=2,DW222,
IF(INT(DW222)=INT(DV222),0,DW222-INT(DW222)))))</f>
        <v>0</v>
      </c>
      <c r="EP222" s="835">
        <f>+IF(OR(DX222=DW222,EP$44=1),0,
IF(AND(EP$44&gt;1,DX222=$N222),1-SUM($EN222:EO222),
IF($N222&lt;=1,
IF($N222&gt;0,1/$N222,0),
IF(EP$44=2,0,VDB(1,0,$N222,INT(EP$44-2-1),MIN($N222,INT(EP$44-2-1)+1),$DC222,IF($DD222="No",1,0))/
IF(DW222&gt;=INT($N222),$N222-INT($N222),1)))*
IF(EP$44=2,0,
IF(INT(DX222)=INT(DW222),DX222-DW222,INT(DX222)-DW222))+
IF($N222&lt;=1,
IF($N222&gt;0,1/$N222,0),VDB(1,0,$N222,INT(EP$44-2),MIN($N222,INT(EP$44-2)+1),$DC222,IF($DD222="No",1,0))/
IF(DX222&gt;INT($N222),$N222-INT($N222),1))*
IF(EP$44=2,DX222,
IF(INT(DX222)=INT(DW222),0,DX222-INT(DX222)))))</f>
        <v>0</v>
      </c>
      <c r="EQ222" s="836">
        <f>+IF(OR(DY222=DX222,EQ$44=1),0,
IF(AND(EQ$44&gt;1,DY222=$N222),1-SUM($EN222:EP222),
IF($N222&lt;=1,
IF($N222&gt;0,1/$N222,0),
IF(EQ$44=2,0,VDB(1,0,$N222,INT(EQ$44-2-1),MIN($N222,INT(EQ$44-2-1)+1),$DC222,IF($DD222="No",1,0))/
IF(DX222&gt;=INT($N222),$N222-INT($N222),1)))*
IF(EQ$44=2,0,
IF(INT(DY222)=INT(DX222),DY222-DX222,INT(DY222)-DX222))+
IF($N222&lt;=1,
IF($N222&gt;0,1/$N222,0),VDB(1,0,$N222,INT(EQ$44-2),MIN($N222,INT(EQ$44-2)+1),$DC222,IF($DD222="No",1,0))/
IF(DY222&gt;INT($N222),$N222-INT($N222),1))*
IF(EQ$44=2,DY222,
IF(INT(DY222)=INT(DX222),0,DY222-INT(DY222)))))</f>
        <v>0</v>
      </c>
      <c r="ER222" s="834">
        <f>+IF(OR(DZ222=DY222,ER$44=1),0,
IF(AND(ER$44&gt;1,DZ222=$N222),1-SUM($EN222:EQ222),
IF($N222&lt;=1,
IF($N222&gt;0,1/$N222,0),
IF(ER$44=2,0,VDB(1,0,$N222,INT(ER$44-2-1),MIN($N222,INT(ER$44-2-1)+1),$DC222,IF($DD222="No",1,0))/
IF(DY222&gt;=INT($N222),$N222-INT($N222),1)))*
IF(ER$44=2,0,
IF(INT(DZ222)=INT(DY222),DZ222-DY222,INT(DZ222)-DY222))+
IF($N222&lt;=1,
IF($N222&gt;0,1/$N222,0),VDB(1,0,$N222,INT(ER$44-2),MIN($N222,INT(ER$44-2)+1),$DC222,IF($DD222="No",1,0))/
IF(DZ222&gt;INT($N222),$N222-INT($N222),1))*
IF(ER$44=2,DZ222,
IF(INT(DZ222)=INT(DY222),0,DZ222-INT(DZ222)))))</f>
        <v>0</v>
      </c>
      <c r="ES222" s="835">
        <f>+IF(OR(EA222=DZ222,ES$44=1),0,
IF(AND(ES$44&gt;1,EA222=$N222),1-SUM($EN222:ER222),
IF($N222&lt;=1,
IF($N222&gt;0,1/$N222,0),
IF(ES$44=2,0,VDB(1,0,$N222,INT(ES$44-2-1),MIN($N222,INT(ES$44-2-1)+1),$DC222,IF($DD222="No",1,0))/
IF(DZ222&gt;=INT($N222),$N222-INT($N222),1)))*
IF(ES$44=2,0,
IF(INT(EA222)=INT(DZ222),EA222-DZ222,INT(EA222)-DZ222))+
IF($N222&lt;=1,
IF($N222&gt;0,1/$N222,0),VDB(1,0,$N222,INT(ES$44-2),MIN($N222,INT(ES$44-2)+1),$DC222,IF($DD222="No",1,0))/
IF(EA222&gt;INT($N222),$N222-INT($N222),1))*
IF(ES$44=2,EA222,
IF(INT(EA222)=INT(DZ222),0,EA222-INT(EA222)))))</f>
        <v>0</v>
      </c>
      <c r="ET222" s="835">
        <f>+IF(OR(EB222=EA222,ET$44=1),0,
IF(AND(ET$44&gt;1,EB222=$N222),1-SUM($EN222:ES222),
IF($N222&lt;=1,
IF($N222&gt;0,1/$N222,0),
IF(ET$44=2,0,VDB(1,0,$N222,INT(ET$44-2-1),MIN($N222,INT(ET$44-2-1)+1),$DC222,IF($DD222="No",1,0))/
IF(EA222&gt;=INT($N222),$N222-INT($N222),1)))*
IF(ET$44=2,0,
IF(INT(EB222)=INT(EA222),EB222-EA222,INT(EB222)-EA222))+
IF($N222&lt;=1,
IF($N222&gt;0,1/$N222,0),VDB(1,0,$N222,INT(ET$44-2),MIN($N222,INT(ET$44-2)+1),$DC222,IF($DD222="No",1,0))/
IF(EB222&gt;INT($N222),$N222-INT($N222),1))*
IF(ET$44=2,EB222,
IF(INT(EB222)=INT(EA222),0,EB222-INT(EB222)))))</f>
        <v>0</v>
      </c>
      <c r="EU222" s="835">
        <f>+IF(OR(EC222=EB222,EU$44=1),0,
IF(AND(EU$44&gt;1,EC222=$N222),1-SUM($EN222:ET222),
IF($N222&lt;=1,
IF($N222&gt;0,1/$N222,0),
IF(EU$44=2,0,VDB(1,0,$N222,INT(EU$44-2-1),MIN($N222,INT(EU$44-2-1)+1),$DC222,IF($DD222="No",1,0))/
IF(EB222&gt;=INT($N222),$N222-INT($N222),1)))*
IF(EU$44=2,0,
IF(INT(EC222)=INT(EB222),EC222-EB222,INT(EC222)-EB222))+
IF($N222&lt;=1,
IF($N222&gt;0,1/$N222,0),VDB(1,0,$N222,INT(EU$44-2),MIN($N222,INT(EU$44-2)+1),$DC222,IF($DD222="No",1,0))/
IF(EC222&gt;INT($N222),$N222-INT($N222),1))*
IF(EU$44=2,EC222,
IF(INT(EC222)=INT(EB222),0,EC222-INT(EC222)))))</f>
        <v>0</v>
      </c>
      <c r="EV222" s="836">
        <f>+IF(OR(ED222=EC222,EV$44=1),0,
IF(AND(EV$44&gt;1,ED222=$N222),1-SUM($EN222:EU222),
IF($N222&lt;=1,
IF($N222&gt;0,1/$N222,0),
IF(EV$44=2,0,VDB(1,0,$N222,INT(EV$44-2-1),MIN($N222,INT(EV$44-2-1)+1),$DC222,IF($DD222="No",1,0))/
IF(EC222&gt;=INT($N222),$N222-INT($N222),1)))*
IF(EV$44=2,0,
IF(INT(ED222)=INT(EC222),ED222-EC222,INT(ED222)-EC222))+
IF($N222&lt;=1,
IF($N222&gt;0,1/$N222,0),VDB(1,0,$N222,INT(EV$44-2),MIN($N222,INT(EV$44-2)+1),$DC222,IF($DD222="No",1,0))/
IF(ED222&gt;INT($N222),$N222-INT($N222),1))*
IF(EV$44=2,ED222,
IF(INT(ED222)=INT(EC222),0,ED222-INT(ED222)))))</f>
        <v>0</v>
      </c>
      <c r="EW222" s="833"/>
      <c r="EX222" s="834">
        <f t="shared" ca="1" si="361"/>
        <v>0</v>
      </c>
      <c r="EY222" s="835">
        <f t="shared" ca="1" si="361"/>
        <v>0</v>
      </c>
      <c r="EZ222" s="836">
        <f t="shared" ca="1" si="361"/>
        <v>0</v>
      </c>
      <c r="FA222" s="834">
        <f t="shared" ca="1" si="361"/>
        <v>0</v>
      </c>
      <c r="FB222" s="835">
        <f t="shared" ca="1" si="361"/>
        <v>0</v>
      </c>
      <c r="FC222" s="835">
        <f t="shared" ca="1" si="361"/>
        <v>0</v>
      </c>
      <c r="FD222" s="835">
        <f t="shared" ca="1" si="361"/>
        <v>0</v>
      </c>
      <c r="FE222" s="836">
        <f t="shared" ca="1" si="361"/>
        <v>0</v>
      </c>
      <c r="FG222" s="386">
        <f t="shared" ca="1" si="351"/>
        <v>0</v>
      </c>
      <c r="FH222" s="387">
        <f t="shared" ca="1" si="352"/>
        <v>0</v>
      </c>
      <c r="FI222" s="388">
        <f t="shared" ca="1" si="353"/>
        <v>0</v>
      </c>
      <c r="FJ222" s="386">
        <f t="shared" ca="1" si="354"/>
        <v>0</v>
      </c>
      <c r="FK222" s="387">
        <f t="shared" ca="1" si="355"/>
        <v>0</v>
      </c>
      <c r="FL222" s="387">
        <f t="shared" ca="1" si="356"/>
        <v>0</v>
      </c>
      <c r="FM222" s="387">
        <f t="shared" ca="1" si="357"/>
        <v>0</v>
      </c>
      <c r="FN222" s="388">
        <f t="shared" ca="1" si="358"/>
        <v>0</v>
      </c>
      <c r="FR222" s="116"/>
    </row>
    <row r="223" spans="2:174">
      <c r="B223" s="1410">
        <f t="shared" si="359"/>
        <v>177</v>
      </c>
      <c r="C223" s="400"/>
      <c r="D223" s="410"/>
      <c r="E223" s="402"/>
      <c r="F223" s="402"/>
      <c r="G223" s="400"/>
      <c r="H223" s="2088"/>
      <c r="I223" s="2089"/>
      <c r="J223" s="411"/>
      <c r="K223" s="403"/>
      <c r="L223" s="403"/>
      <c r="M223" s="403"/>
      <c r="N223" s="403"/>
      <c r="O223" s="347"/>
      <c r="P223" s="347"/>
      <c r="Q223" s="1021"/>
      <c r="R223" s="1022"/>
      <c r="S223" s="1022"/>
      <c r="T223" s="1022"/>
      <c r="U223" s="1023"/>
      <c r="V223" s="1021"/>
      <c r="W223" s="1022"/>
      <c r="X223" s="1022"/>
      <c r="Y223" s="1022"/>
      <c r="Z223" s="1023"/>
      <c r="AA223" s="1024"/>
      <c r="AB223" s="1021"/>
      <c r="AC223" s="1022"/>
      <c r="AD223" s="1022"/>
      <c r="AE223" s="1022"/>
      <c r="AF223" s="1023"/>
      <c r="AG223" s="1021"/>
      <c r="AH223" s="1022"/>
      <c r="AI223" s="1022"/>
      <c r="AJ223" s="1022"/>
      <c r="AK223" s="1023"/>
      <c r="AL223" s="1024"/>
      <c r="AM223" s="1021"/>
      <c r="AN223" s="1022"/>
      <c r="AO223" s="1022"/>
      <c r="AP223" s="1022"/>
      <c r="AQ223" s="1023"/>
      <c r="AR223" s="1021"/>
      <c r="AS223" s="1022"/>
      <c r="AT223" s="1022"/>
      <c r="AU223" s="1022"/>
      <c r="AV223" s="1023"/>
      <c r="AW223" s="1025"/>
      <c r="AX223" s="1282">
        <f t="shared" si="304"/>
        <v>0</v>
      </c>
      <c r="AY223" s="387">
        <f t="shared" si="305"/>
        <v>0</v>
      </c>
      <c r="AZ223" s="387">
        <f t="shared" si="306"/>
        <v>0</v>
      </c>
      <c r="BA223" s="387">
        <f t="shared" si="307"/>
        <v>0</v>
      </c>
      <c r="BB223" s="1283">
        <f t="shared" si="308"/>
        <v>0</v>
      </c>
      <c r="BC223" s="386">
        <f t="shared" si="309"/>
        <v>0</v>
      </c>
      <c r="BD223" s="387">
        <f t="shared" si="310"/>
        <v>0</v>
      </c>
      <c r="BE223" s="1277">
        <f t="shared" si="311"/>
        <v>0</v>
      </c>
      <c r="BF223" s="1277">
        <f t="shared" si="312"/>
        <v>0</v>
      </c>
      <c r="BG223" s="388">
        <f t="shared" si="313"/>
        <v>0</v>
      </c>
      <c r="BH223" s="1025"/>
      <c r="BI223" s="1282">
        <f t="shared" ca="1" si="314"/>
        <v>0</v>
      </c>
      <c r="BJ223" s="387">
        <f t="shared" ca="1" si="315"/>
        <v>0</v>
      </c>
      <c r="BK223" s="387">
        <f t="shared" ca="1" si="316"/>
        <v>0</v>
      </c>
      <c r="BL223" s="387">
        <f t="shared" ca="1" si="317"/>
        <v>0</v>
      </c>
      <c r="BM223" s="1283">
        <f t="shared" ca="1" si="318"/>
        <v>0</v>
      </c>
      <c r="BN223" s="386">
        <f t="shared" ca="1" si="319"/>
        <v>0</v>
      </c>
      <c r="BO223" s="387">
        <f t="shared" ca="1" si="320"/>
        <v>0</v>
      </c>
      <c r="BP223" s="1277">
        <f t="shared" ca="1" si="321"/>
        <v>0</v>
      </c>
      <c r="BQ223" s="1277">
        <f t="shared" ca="1" si="322"/>
        <v>0</v>
      </c>
      <c r="BR223" s="388">
        <f t="shared" ca="1" si="323"/>
        <v>0</v>
      </c>
      <c r="BS223" s="1025"/>
      <c r="BT223" s="1282">
        <f>+IF($K223="Ongoing",AX223,IF(RIGHT($K223,2)=RIGHT(BT$43,2),SUM($AX223:AX223),0)+IF(RIGHT(BT$43,2)&gt;RIGHT($K223,2),AX223,0))</f>
        <v>0</v>
      </c>
      <c r="BU223" s="387">
        <f>+IF($K223="Ongoing",AY223,IF(RIGHT($K223,2)=RIGHT(BU$43,2),SUM($AX223:AY223),0)+IF(RIGHT(BU$43,2)&gt;RIGHT($K223,2),AY223,0))</f>
        <v>0</v>
      </c>
      <c r="BV223" s="387">
        <f>+IF($K223="Ongoing",AZ223,IF(RIGHT($K223,2)=RIGHT(BV$43,2),SUM($AX223:AZ223),0)+IF(RIGHT(BV$43,2)&gt;RIGHT($K223,2),AZ223,0))</f>
        <v>0</v>
      </c>
      <c r="BW223" s="387">
        <f>+IF($K223="Ongoing",BA223,IF(RIGHT($K223,2)=RIGHT(BW$43,2),SUM($AX223:BA223),0)+IF(RIGHT(BW$43,2)&gt;RIGHT($K223,2),BA223,0))</f>
        <v>0</v>
      </c>
      <c r="BX223" s="1283">
        <f>+IF($K223="Ongoing",BB223,IF(RIGHT($K223,2)=RIGHT(BX$43,2),SUM($AX223:BB223),0)+IF(RIGHT(BX$43,2)&gt;RIGHT($K223,2),BB223,0))</f>
        <v>0</v>
      </c>
      <c r="BY223" s="386">
        <f>+IF($K223="Ongoing",BC223,IF(RIGHT($K223,2)=RIGHT(BY$43,2),SUM($AX223:BC223),0)+IF(RIGHT(BY$43,2)&gt;RIGHT($K223,2),BC223,0))</f>
        <v>0</v>
      </c>
      <c r="BZ223" s="387">
        <f>+IF($K223="Ongoing",BD223,IF(RIGHT($K223,2)=RIGHT(BZ$43,2),SUM($AX223:BD223),0)+IF(RIGHT(BZ$43,2)&gt;RIGHT($K223,2),BD223,0))</f>
        <v>0</v>
      </c>
      <c r="CA223" s="1277">
        <f>+IF($K223="Ongoing",BE223,IF(RIGHT($K223,2)=RIGHT(CA$43,2),SUM($AX223:BE223),0)+IF(RIGHT(CA$43,2)&gt;RIGHT($K223,2),BE223,0))</f>
        <v>0</v>
      </c>
      <c r="CB223" s="1277">
        <f>+IF($K223="Ongoing",BF223,IF(RIGHT($K223,2)=RIGHT(CB$43,2),SUM($AX223:BF223),0)+IF(RIGHT(CB$43,2)&gt;RIGHT($K223,2),BF223,0))</f>
        <v>0</v>
      </c>
      <c r="CC223" s="388">
        <f>+IF($K223="Ongoing",BG223,IF(RIGHT($K223,2)=RIGHT(CC$43,2),SUM($AX223:BG223),0)+IF(RIGHT(CC$43,2)&gt;RIGHT($K223,2),BG223,0))</f>
        <v>0</v>
      </c>
      <c r="CD223" s="1025"/>
      <c r="CE223" s="1282">
        <f>+Q223*KeyAssumptionsPriceControl_FO!AF$15</f>
        <v>0</v>
      </c>
      <c r="CF223" s="387">
        <f>+R223*KeyAssumptionsPriceControl_FO!AG$15</f>
        <v>0</v>
      </c>
      <c r="CG223" s="387">
        <f>+S223*KeyAssumptionsPriceControl_FO!AH$15</f>
        <v>0</v>
      </c>
      <c r="CH223" s="387">
        <f>+T223*KeyAssumptionsPriceControl_FO!AI$15</f>
        <v>0</v>
      </c>
      <c r="CI223" s="1283">
        <f>+U223*KeyAssumptionsPriceControl_FO!AJ$15</f>
        <v>0</v>
      </c>
      <c r="CJ223" s="386">
        <f>+V223*KeyAssumptionsPriceControl_FO!AK$15</f>
        <v>0</v>
      </c>
      <c r="CK223" s="387">
        <f>+W223*KeyAssumptionsPriceControl_FO!AL$15</f>
        <v>0</v>
      </c>
      <c r="CL223" s="1277">
        <f>+X223*KeyAssumptionsPriceControl_FO!AM$15</f>
        <v>0</v>
      </c>
      <c r="CM223" s="1277">
        <f>+Y223*KeyAssumptionsPriceControl_FO!AN$15</f>
        <v>0</v>
      </c>
      <c r="CN223" s="388">
        <f>+Z223*KeyAssumptionsPriceControl_FO!AO$15</f>
        <v>0</v>
      </c>
      <c r="CO223" s="1025"/>
      <c r="CP223" s="1282">
        <f t="shared" ca="1" si="324"/>
        <v>0</v>
      </c>
      <c r="CQ223" s="387">
        <f t="shared" ca="1" si="325"/>
        <v>0</v>
      </c>
      <c r="CR223" s="387">
        <f t="shared" ca="1" si="326"/>
        <v>0</v>
      </c>
      <c r="CS223" s="387">
        <f t="shared" ca="1" si="327"/>
        <v>0</v>
      </c>
      <c r="CT223" s="1283">
        <f t="shared" ca="1" si="328"/>
        <v>0</v>
      </c>
      <c r="CU223" s="386">
        <f t="shared" ca="1" si="329"/>
        <v>0</v>
      </c>
      <c r="CV223" s="387">
        <f t="shared" ca="1" si="330"/>
        <v>0</v>
      </c>
      <c r="CW223" s="1277">
        <f t="shared" ca="1" si="331"/>
        <v>0</v>
      </c>
      <c r="CX223" s="1277">
        <f t="shared" ca="1" si="332"/>
        <v>0</v>
      </c>
      <c r="CY223" s="388">
        <f t="shared" ca="1" si="333"/>
        <v>0</v>
      </c>
      <c r="CZ223" s="347"/>
      <c r="DA223" s="852"/>
      <c r="DB223" s="347"/>
      <c r="DC223" s="1012" t="s">
        <v>744</v>
      </c>
      <c r="DD223" s="841" t="s">
        <v>518</v>
      </c>
      <c r="DE223" s="386">
        <f>+IF($K223="ongoing",CE223,IF(RIGHT($K223,2)=RIGHT(DE$43,2),SUM($CD223:CE223),0)+IF(RIGHT(DE$43,2)&gt;RIGHT($K223,2),CE223,0))</f>
        <v>0</v>
      </c>
      <c r="DF223" s="387">
        <f>+IF($K223="ongoing",CF223,IF(RIGHT($K223,2)=RIGHT(DF$43,2),SUM($CD223:CF223),0)+IF(RIGHT(DF$43,2)&gt;RIGHT($K223,2),CF223,0))</f>
        <v>0</v>
      </c>
      <c r="DG223" s="388">
        <f>+IF($K223="ongoing",CG223,IF(RIGHT($K223,2)=RIGHT(DG$43,2),SUM($CD223:CG223),0)+IF(RIGHT(DG$43,2)&gt;RIGHT($K223,2),CG223,0))</f>
        <v>0</v>
      </c>
      <c r="DH223" s="386">
        <f>+IF($K223="ongoing",CH223,IF(RIGHT($K223,2)=RIGHT(DH$43,2),SUM($CD223:CH223),0)+IF(RIGHT(DH$43,2)&gt;RIGHT($K223,2),CH223,0))</f>
        <v>0</v>
      </c>
      <c r="DI223" s="387">
        <f>+IF($K223="ongoing",CI223,IF(RIGHT($K223,2)=RIGHT(DI$43,2),SUM($CD223:CI223),0)+IF(RIGHT(DI$43,2)&gt;RIGHT($K223,2),CI223,0))</f>
        <v>0</v>
      </c>
      <c r="DJ223" s="387">
        <f>+IF($K223="ongoing",CJ223,IF(RIGHT($K223,2)=RIGHT(DJ$43,2),SUM($CD223:CJ223),0)+IF(RIGHT(DJ$43,2)&gt;RIGHT($K223,2),CJ223,0))</f>
        <v>0</v>
      </c>
      <c r="DK223" s="387">
        <f>+IF($K223="ongoing",CK223,IF(RIGHT($K223,2)=RIGHT(DK$43,2),SUM($CD223:CK223),0)+IF(RIGHT(DK$43,2)&gt;RIGHT($K223,2),CK223,0))</f>
        <v>0</v>
      </c>
      <c r="DL223" s="388">
        <f>+IF($K223="ongoing",CN223,IF(RIGHT($K223,2)=RIGHT(DL$43,2),SUM($CD223:CN223),0)+IF(RIGHT(DL$43,2)&gt;RIGHT($K223,2),CN223,0))</f>
        <v>0</v>
      </c>
      <c r="DM223" s="841"/>
      <c r="DN223" s="386">
        <f t="shared" si="334"/>
        <v>0.5</v>
      </c>
      <c r="DO223" s="387">
        <f t="shared" si="335"/>
        <v>1</v>
      </c>
      <c r="DP223" s="388">
        <f t="shared" si="336"/>
        <v>1</v>
      </c>
      <c r="DQ223" s="386">
        <f t="shared" si="337"/>
        <v>1</v>
      </c>
      <c r="DR223" s="387">
        <f t="shared" si="338"/>
        <v>1</v>
      </c>
      <c r="DS223" s="387">
        <f t="shared" si="339"/>
        <v>1</v>
      </c>
      <c r="DT223" s="387">
        <f t="shared" si="340"/>
        <v>1</v>
      </c>
      <c r="DU223" s="388">
        <f t="shared" si="341"/>
        <v>1</v>
      </c>
      <c r="DW223" s="386">
        <f t="shared" si="342"/>
        <v>0</v>
      </c>
      <c r="DX223" s="387">
        <f t="shared" si="343"/>
        <v>0.5</v>
      </c>
      <c r="DY223" s="388">
        <f t="shared" si="344"/>
        <v>1</v>
      </c>
      <c r="DZ223" s="386">
        <f t="shared" si="345"/>
        <v>1</v>
      </c>
      <c r="EA223" s="387">
        <f t="shared" si="346"/>
        <v>1</v>
      </c>
      <c r="EB223" s="387">
        <f t="shared" si="347"/>
        <v>1</v>
      </c>
      <c r="EC223" s="387">
        <f t="shared" si="348"/>
        <v>1</v>
      </c>
      <c r="ED223" s="388">
        <f t="shared" si="349"/>
        <v>1</v>
      </c>
      <c r="EF223" s="834">
        <f>+IF(DN223=DM223,0,
IF(AND(EF$44&gt;1,DN223=$N223),1-SUM($EE223:EE223),
IF($N223&lt;=1,
IF($N223&gt;0,1/$N223,0),
IF(EF$44=1,0,VDB(1,0,$N223,INT(EF$44-1-1),MIN($N223,INT(EF$44-1-1)+1),$DC223,IF($DD223="No",1,0))/
IF(DM223&gt;=INT($N223),$N223-INT($N223),1)))*
IF(EF$44=1,0,
IF(INT(DN223)=INT(DM223),DN223-DM223,INT(DN223)-DM223))+
IF($N223&lt;=1,
IF($N223&gt;0,1/$N223,0),VDB(1,0,$N223,INT(EF$44-1),MIN($N223,INT(EF$44-1)+1),$DC223,IF($DD223="No",1,0))/
IF(DN223&gt;INT($N223),$N223-INT($N223),1))*
IF(EF$44=1,DN223,
IF(INT(DN223)=INT(DM223),0,DN223-INT(DN223)))))</f>
        <v>0</v>
      </c>
      <c r="EG223" s="835">
        <f>+IF(DO223=DN223,0,
IF(AND(EG$44&gt;1,DO223=$N223),1-SUM($EE223:EF223),
IF($N223&lt;=1,
IF($N223&gt;0,1/$N223,0),
IF(EG$44=1,0,VDB(1,0,$N223,INT(EG$44-1-1),MIN($N223,INT(EG$44-1-1)+1),$DC223,IF($DD223="No",1,0))/
IF(DN223&gt;=INT($N223),$N223-INT($N223),1)))*
IF(EG$44=1,0,
IF(INT(DO223)=INT(DN223),DO223-DN223,INT(DO223)-DN223))+
IF($N223&lt;=1,
IF($N223&gt;0,1/$N223,0),VDB(1,0,$N223,INT(EG$44-1),MIN($N223,INT(EG$44-1)+1),$DC223,IF($DD223="No",1,0))/
IF(DO223&gt;INT($N223),$N223-INT($N223),1))*
IF(EG$44=1,DO223,
IF(INT(DO223)=INT(DN223),0,DO223-INT(DO223)))))</f>
        <v>0</v>
      </c>
      <c r="EH223" s="836">
        <f>+IF(DP223=DO223,0,
IF(AND(EH$44&gt;1,DP223=$N223),1-SUM($EE223:EG223),
IF($N223&lt;=1,
IF($N223&gt;0,1/$N223,0),
IF(EH$44=1,0,VDB(1,0,$N223,INT(EH$44-1-1),MIN($N223,INT(EH$44-1-1)+1),$DC223,IF($DD223="No",1,0))/
IF(DO223&gt;=INT($N223),$N223-INT($N223),1)))*
IF(EH$44=1,0,
IF(INT(DP223)=INT(DO223),DP223-DO223,INT(DP223)-DO223))+
IF($N223&lt;=1,
IF($N223&gt;0,1/$N223,0),VDB(1,0,$N223,INT(EH$44-1),MIN($N223,INT(EH$44-1)+1),$DC223,IF($DD223="No",1,0))/
IF(DP223&gt;INT($N223),$N223-INT($N223),1))*
IF(EH$44=1,DP223,
IF(INT(DP223)=INT(DO223),0,DP223-INT(DP223)))))</f>
        <v>0</v>
      </c>
      <c r="EI223" s="834">
        <f>+IF(DQ223=DP223,0,
IF(AND(EI$44&gt;1,DQ223=$N223),1-SUM($EE223:EH223),
IF($N223&lt;=1,
IF($N223&gt;0,1/$N223,0),
IF(EI$44=1,0,VDB(1,0,$N223,INT(EI$44-1-1),MIN($N223,INT(EI$44-1-1)+1),$DC223,IF($DD223="No",1,0))/
IF(DP223&gt;=INT($N223),$N223-INT($N223),1)))*
IF(EI$44=1,0,
IF(INT(DQ223)=INT(DP223),DQ223-DP223,INT(DQ223)-DP223))+
IF($N223&lt;=1,
IF($N223&gt;0,1/$N223,0),VDB(1,0,$N223,INT(EI$44-1),MIN($N223,INT(EI$44-1)+1),$DC223,IF($DD223="No",1,0))/
IF(DQ223&gt;INT($N223),$N223-INT($N223),1))*
IF(EI$44=1,DQ223,
IF(INT(DQ223)=INT(DP223),0,DQ223-INT(DQ223)))))</f>
        <v>0</v>
      </c>
      <c r="EJ223" s="835">
        <f>+IF(DR223=DQ223,0,
IF(AND(EJ$44&gt;1,DR223=$N223),1-SUM($EE223:EI223),
IF($N223&lt;=1,
IF($N223&gt;0,1/$N223,0),
IF(EJ$44=1,0,VDB(1,0,$N223,INT(EJ$44-1-1),MIN($N223,INT(EJ$44-1-1)+1),$DC223,IF($DD223="No",1,0))/
IF(DQ223&gt;=INT($N223),$N223-INT($N223),1)))*
IF(EJ$44=1,0,
IF(INT(DR223)=INT(DQ223),DR223-DQ223,INT(DR223)-DQ223))+
IF($N223&lt;=1,
IF($N223&gt;0,1/$N223,0),VDB(1,0,$N223,INT(EJ$44-1),MIN($N223,INT(EJ$44-1)+1),$DC223,IF($DD223="No",1,0))/
IF(DR223&gt;INT($N223),$N223-INT($N223),1))*
IF(EJ$44=1,DR223,
IF(INT(DR223)=INT(DQ223),0,DR223-INT(DR223)))))</f>
        <v>0</v>
      </c>
      <c r="EK223" s="835">
        <f>+IF(DS223=DR223,0,
IF(AND(EK$44&gt;1,DS223=$N223),1-SUM($EE223:EJ223),
IF($N223&lt;=1,
IF($N223&gt;0,1/$N223,0),
IF(EK$44=1,0,VDB(1,0,$N223,INT(EK$44-1-1),MIN($N223,INT(EK$44-1-1)+1),$DC223,IF($DD223="No",1,0))/
IF(DR223&gt;=INT($N223),$N223-INT($N223),1)))*
IF(EK$44=1,0,
IF(INT(DS223)=INT(DR223),DS223-DR223,INT(DS223)-DR223))+
IF($N223&lt;=1,
IF($N223&gt;0,1/$N223,0),VDB(1,0,$N223,INT(EK$44-1),MIN($N223,INT(EK$44-1)+1),$DC223,IF($DD223="No",1,0))/
IF(DS223&gt;INT($N223),$N223-INT($N223),1))*
IF(EK$44=1,DS223,
IF(INT(DS223)=INT(DR223),0,DS223-INT(DS223)))))</f>
        <v>0</v>
      </c>
      <c r="EL223" s="835">
        <f>+IF(DT223=DS223,0,
IF(AND(EL$44&gt;1,DT223=$N223),1-SUM($EE223:EK223),
IF($N223&lt;=1,
IF($N223&gt;0,1/$N223,0),
IF(EL$44=1,0,VDB(1,0,$N223,INT(EL$44-1-1),MIN($N223,INT(EL$44-1-1)+1),$DC223,IF($DD223="No",1,0))/
IF(DS223&gt;=INT($N223),$N223-INT($N223),1)))*
IF(EL$44=1,0,
IF(INT(DT223)=INT(DS223),DT223-DS223,INT(DT223)-DS223))+
IF($N223&lt;=1,
IF($N223&gt;0,1/$N223,0),VDB(1,0,$N223,INT(EL$44-1),MIN($N223,INT(EL$44-1)+1),$DC223,IF($DD223="No",1,0))/
IF(DT223&gt;INT($N223),$N223-INT($N223),1))*
IF(EL$44=1,DT223,
IF(INT(DT223)=INT(DS223),0,DT223-INT(DT223)))))</f>
        <v>0</v>
      </c>
      <c r="EM223" s="836">
        <f>+IF(DU223=DT223,0,
IF(AND(EM$44&gt;1,DU223=$N223),1-SUM($EE223:EL223),
IF($N223&lt;=1,
IF($N223&gt;0,1/$N223,0),
IF(EM$44=1,0,VDB(1,0,$N223,INT(EM$44-1-1),MIN($N223,INT(EM$44-1-1)+1),$DC223,IF($DD223="No",1,0))/
IF(DT223&gt;=INT($N223),$N223-INT($N223),1)))*
IF(EM$44=1,0,
IF(INT(DU223)=INT(DT223),DU223-DT223,INT(DU223)-DT223))+
IF($N223&lt;=1,
IF($N223&gt;0,1/$N223,0),VDB(1,0,$N223,INT(EM$44-1),MIN($N223,INT(EM$44-1)+1),$DC223,IF($DD223="No",1,0))/
IF(DU223&gt;INT($N223),$N223-INT($N223),1))*
IF(EM$44=1,DU223,
IF(INT(DU223)=INT(DT223),0,DU223-INT(DU223)))))</f>
        <v>0</v>
      </c>
      <c r="EN223" s="833"/>
      <c r="EO223" s="834">
        <f>+IF(OR(DW223=DV223,EO$44=1),0,
IF(AND(EO$44&gt;1,DW223=$N223),1-SUM($EN223:EN223),
IF($N223&lt;=1,
IF($N223&gt;0,1/$N223,0),
IF(EO$44=2,0,VDB(1,0,$N223,INT(EO$44-2-1),MIN($N223,INT(EO$44-2-1)+1),$DC223,IF($DD223="No",1,0))/
IF(DV223&gt;=INT($N223),$N223-INT($N223),1)))*
IF(EO$44=2,0,
IF(INT(DW223)=INT(DV223),DW223-DV223,INT(DW223)-DV223))+
IF($N223&lt;=1,
IF($N223&gt;0,1/$N223,0),VDB(1,0,$N223,INT(EO$44-2),MIN($N223,INT(EO$44-2)+1),$DC223,IF($DD223="No",1,0))/
IF(DW223&gt;INT($N223),$N223-INT($N223),1))*
IF(EO$44=2,DW223,
IF(INT(DW223)=INT(DV223),0,DW223-INT(DW223)))))</f>
        <v>0</v>
      </c>
      <c r="EP223" s="835">
        <f>+IF(OR(DX223=DW223,EP$44=1),0,
IF(AND(EP$44&gt;1,DX223=$N223),1-SUM($EN223:EO223),
IF($N223&lt;=1,
IF($N223&gt;0,1/$N223,0),
IF(EP$44=2,0,VDB(1,0,$N223,INT(EP$44-2-1),MIN($N223,INT(EP$44-2-1)+1),$DC223,IF($DD223="No",1,0))/
IF(DW223&gt;=INT($N223),$N223-INT($N223),1)))*
IF(EP$44=2,0,
IF(INT(DX223)=INT(DW223),DX223-DW223,INT(DX223)-DW223))+
IF($N223&lt;=1,
IF($N223&gt;0,1/$N223,0),VDB(1,0,$N223,INT(EP$44-2),MIN($N223,INT(EP$44-2)+1),$DC223,IF($DD223="No",1,0))/
IF(DX223&gt;INT($N223),$N223-INT($N223),1))*
IF(EP$44=2,DX223,
IF(INT(DX223)=INT(DW223),0,DX223-INT(DX223)))))</f>
        <v>0</v>
      </c>
      <c r="EQ223" s="836">
        <f>+IF(OR(DY223=DX223,EQ$44=1),0,
IF(AND(EQ$44&gt;1,DY223=$N223),1-SUM($EN223:EP223),
IF($N223&lt;=1,
IF($N223&gt;0,1/$N223,0),
IF(EQ$44=2,0,VDB(1,0,$N223,INT(EQ$44-2-1),MIN($N223,INT(EQ$44-2-1)+1),$DC223,IF($DD223="No",1,0))/
IF(DX223&gt;=INT($N223),$N223-INT($N223),1)))*
IF(EQ$44=2,0,
IF(INT(DY223)=INT(DX223),DY223-DX223,INT(DY223)-DX223))+
IF($N223&lt;=1,
IF($N223&gt;0,1/$N223,0),VDB(1,0,$N223,INT(EQ$44-2),MIN($N223,INT(EQ$44-2)+1),$DC223,IF($DD223="No",1,0))/
IF(DY223&gt;INT($N223),$N223-INT($N223),1))*
IF(EQ$44=2,DY223,
IF(INT(DY223)=INT(DX223),0,DY223-INT(DY223)))))</f>
        <v>0</v>
      </c>
      <c r="ER223" s="834">
        <f>+IF(OR(DZ223=DY223,ER$44=1),0,
IF(AND(ER$44&gt;1,DZ223=$N223),1-SUM($EN223:EQ223),
IF($N223&lt;=1,
IF($N223&gt;0,1/$N223,0),
IF(ER$44=2,0,VDB(1,0,$N223,INT(ER$44-2-1),MIN($N223,INT(ER$44-2-1)+1),$DC223,IF($DD223="No",1,0))/
IF(DY223&gt;=INT($N223),$N223-INT($N223),1)))*
IF(ER$44=2,0,
IF(INT(DZ223)=INT(DY223),DZ223-DY223,INT(DZ223)-DY223))+
IF($N223&lt;=1,
IF($N223&gt;0,1/$N223,0),VDB(1,0,$N223,INT(ER$44-2),MIN($N223,INT(ER$44-2)+1),$DC223,IF($DD223="No",1,0))/
IF(DZ223&gt;INT($N223),$N223-INT($N223),1))*
IF(ER$44=2,DZ223,
IF(INT(DZ223)=INT(DY223),0,DZ223-INT(DZ223)))))</f>
        <v>0</v>
      </c>
      <c r="ES223" s="835">
        <f>+IF(OR(EA223=DZ223,ES$44=1),0,
IF(AND(ES$44&gt;1,EA223=$N223),1-SUM($EN223:ER223),
IF($N223&lt;=1,
IF($N223&gt;0,1/$N223,0),
IF(ES$44=2,0,VDB(1,0,$N223,INT(ES$44-2-1),MIN($N223,INT(ES$44-2-1)+1),$DC223,IF($DD223="No",1,0))/
IF(DZ223&gt;=INT($N223),$N223-INT($N223),1)))*
IF(ES$44=2,0,
IF(INT(EA223)=INT(DZ223),EA223-DZ223,INT(EA223)-DZ223))+
IF($N223&lt;=1,
IF($N223&gt;0,1/$N223,0),VDB(1,0,$N223,INT(ES$44-2),MIN($N223,INT(ES$44-2)+1),$DC223,IF($DD223="No",1,0))/
IF(EA223&gt;INT($N223),$N223-INT($N223),1))*
IF(ES$44=2,EA223,
IF(INT(EA223)=INT(DZ223),0,EA223-INT(EA223)))))</f>
        <v>0</v>
      </c>
      <c r="ET223" s="835">
        <f>+IF(OR(EB223=EA223,ET$44=1),0,
IF(AND(ET$44&gt;1,EB223=$N223),1-SUM($EN223:ES223),
IF($N223&lt;=1,
IF($N223&gt;0,1/$N223,0),
IF(ET$44=2,0,VDB(1,0,$N223,INT(ET$44-2-1),MIN($N223,INT(ET$44-2-1)+1),$DC223,IF($DD223="No",1,0))/
IF(EA223&gt;=INT($N223),$N223-INT($N223),1)))*
IF(ET$44=2,0,
IF(INT(EB223)=INT(EA223),EB223-EA223,INT(EB223)-EA223))+
IF($N223&lt;=1,
IF($N223&gt;0,1/$N223,0),VDB(1,0,$N223,INT(ET$44-2),MIN($N223,INT(ET$44-2)+1),$DC223,IF($DD223="No",1,0))/
IF(EB223&gt;INT($N223),$N223-INT($N223),1))*
IF(ET$44=2,EB223,
IF(INT(EB223)=INT(EA223),0,EB223-INT(EB223)))))</f>
        <v>0</v>
      </c>
      <c r="EU223" s="835">
        <f>+IF(OR(EC223=EB223,EU$44=1),0,
IF(AND(EU$44&gt;1,EC223=$N223),1-SUM($EN223:ET223),
IF($N223&lt;=1,
IF($N223&gt;0,1/$N223,0),
IF(EU$44=2,0,VDB(1,0,$N223,INT(EU$44-2-1),MIN($N223,INT(EU$44-2-1)+1),$DC223,IF($DD223="No",1,0))/
IF(EB223&gt;=INT($N223),$N223-INT($N223),1)))*
IF(EU$44=2,0,
IF(INT(EC223)=INT(EB223),EC223-EB223,INT(EC223)-EB223))+
IF($N223&lt;=1,
IF($N223&gt;0,1/$N223,0),VDB(1,0,$N223,INT(EU$44-2),MIN($N223,INT(EU$44-2)+1),$DC223,IF($DD223="No",1,0))/
IF(EC223&gt;INT($N223),$N223-INT($N223),1))*
IF(EU$44=2,EC223,
IF(INT(EC223)=INT(EB223),0,EC223-INT(EC223)))))</f>
        <v>0</v>
      </c>
      <c r="EV223" s="836">
        <f>+IF(OR(ED223=EC223,EV$44=1),0,
IF(AND(EV$44&gt;1,ED223=$N223),1-SUM($EN223:EU223),
IF($N223&lt;=1,
IF($N223&gt;0,1/$N223,0),
IF(EV$44=2,0,VDB(1,0,$N223,INT(EV$44-2-1),MIN($N223,INT(EV$44-2-1)+1),$DC223,IF($DD223="No",1,0))/
IF(EC223&gt;=INT($N223),$N223-INT($N223),1)))*
IF(EV$44=2,0,
IF(INT(ED223)=INT(EC223),ED223-EC223,INT(ED223)-EC223))+
IF($N223&lt;=1,
IF($N223&gt;0,1/$N223,0),VDB(1,0,$N223,INT(EV$44-2),MIN($N223,INT(EV$44-2)+1),$DC223,IF($DD223="No",1,0))/
IF(ED223&gt;INT($N223),$N223-INT($N223),1))*
IF(EV$44=2,ED223,
IF(INT(ED223)=INT(EC223),0,ED223-INT(ED223)))))</f>
        <v>0</v>
      </c>
      <c r="EW223" s="833"/>
      <c r="EX223" s="834">
        <f t="shared" ca="1" si="361"/>
        <v>0</v>
      </c>
      <c r="EY223" s="835">
        <f t="shared" ca="1" si="361"/>
        <v>0</v>
      </c>
      <c r="EZ223" s="836">
        <f t="shared" ca="1" si="361"/>
        <v>0</v>
      </c>
      <c r="FA223" s="834">
        <f t="shared" ca="1" si="361"/>
        <v>0</v>
      </c>
      <c r="FB223" s="835">
        <f t="shared" ca="1" si="361"/>
        <v>0</v>
      </c>
      <c r="FC223" s="835">
        <f t="shared" ca="1" si="361"/>
        <v>0</v>
      </c>
      <c r="FD223" s="835">
        <f t="shared" ca="1" si="361"/>
        <v>0</v>
      </c>
      <c r="FE223" s="836">
        <f t="shared" ca="1" si="361"/>
        <v>0</v>
      </c>
      <c r="FG223" s="386">
        <f t="shared" ca="1" si="351"/>
        <v>0</v>
      </c>
      <c r="FH223" s="387">
        <f t="shared" ca="1" si="352"/>
        <v>0</v>
      </c>
      <c r="FI223" s="388">
        <f t="shared" ca="1" si="353"/>
        <v>0</v>
      </c>
      <c r="FJ223" s="386">
        <f t="shared" ca="1" si="354"/>
        <v>0</v>
      </c>
      <c r="FK223" s="387">
        <f t="shared" ca="1" si="355"/>
        <v>0</v>
      </c>
      <c r="FL223" s="387">
        <f t="shared" ca="1" si="356"/>
        <v>0</v>
      </c>
      <c r="FM223" s="387">
        <f t="shared" ca="1" si="357"/>
        <v>0</v>
      </c>
      <c r="FN223" s="388">
        <f t="shared" ca="1" si="358"/>
        <v>0</v>
      </c>
      <c r="FR223" s="116"/>
    </row>
    <row r="224" spans="2:174">
      <c r="B224" s="1410">
        <f t="shared" si="359"/>
        <v>178</v>
      </c>
      <c r="C224" s="400"/>
      <c r="D224" s="410"/>
      <c r="E224" s="402"/>
      <c r="F224" s="402"/>
      <c r="G224" s="400"/>
      <c r="H224" s="2088"/>
      <c r="I224" s="2089"/>
      <c r="J224" s="411"/>
      <c r="K224" s="403"/>
      <c r="L224" s="403"/>
      <c r="M224" s="403"/>
      <c r="N224" s="403"/>
      <c r="O224" s="347"/>
      <c r="P224" s="347"/>
      <c r="Q224" s="1021"/>
      <c r="R224" s="1022"/>
      <c r="S224" s="1022"/>
      <c r="T224" s="1022"/>
      <c r="U224" s="1023"/>
      <c r="V224" s="1021"/>
      <c r="W224" s="1022"/>
      <c r="X224" s="1022"/>
      <c r="Y224" s="1022"/>
      <c r="Z224" s="1023"/>
      <c r="AA224" s="1024"/>
      <c r="AB224" s="1021"/>
      <c r="AC224" s="1022"/>
      <c r="AD224" s="1022"/>
      <c r="AE224" s="1022"/>
      <c r="AF224" s="1023"/>
      <c r="AG224" s="1021"/>
      <c r="AH224" s="1022"/>
      <c r="AI224" s="1022"/>
      <c r="AJ224" s="1022"/>
      <c r="AK224" s="1023"/>
      <c r="AL224" s="1024"/>
      <c r="AM224" s="1021"/>
      <c r="AN224" s="1022"/>
      <c r="AO224" s="1022"/>
      <c r="AP224" s="1022"/>
      <c r="AQ224" s="1023"/>
      <c r="AR224" s="1021"/>
      <c r="AS224" s="1022"/>
      <c r="AT224" s="1022"/>
      <c r="AU224" s="1022"/>
      <c r="AV224" s="1023"/>
      <c r="AW224" s="1025"/>
      <c r="AX224" s="1282">
        <f t="shared" si="304"/>
        <v>0</v>
      </c>
      <c r="AY224" s="387">
        <f t="shared" si="305"/>
        <v>0</v>
      </c>
      <c r="AZ224" s="387">
        <f t="shared" si="306"/>
        <v>0</v>
      </c>
      <c r="BA224" s="387">
        <f t="shared" si="307"/>
        <v>0</v>
      </c>
      <c r="BB224" s="1283">
        <f t="shared" si="308"/>
        <v>0</v>
      </c>
      <c r="BC224" s="386">
        <f t="shared" si="309"/>
        <v>0</v>
      </c>
      <c r="BD224" s="387">
        <f t="shared" si="310"/>
        <v>0</v>
      </c>
      <c r="BE224" s="1277">
        <f t="shared" si="311"/>
        <v>0</v>
      </c>
      <c r="BF224" s="1277">
        <f t="shared" si="312"/>
        <v>0</v>
      </c>
      <c r="BG224" s="388">
        <f t="shared" si="313"/>
        <v>0</v>
      </c>
      <c r="BH224" s="1025"/>
      <c r="BI224" s="1282">
        <f t="shared" ca="1" si="314"/>
        <v>0</v>
      </c>
      <c r="BJ224" s="387">
        <f t="shared" ca="1" si="315"/>
        <v>0</v>
      </c>
      <c r="BK224" s="387">
        <f t="shared" ca="1" si="316"/>
        <v>0</v>
      </c>
      <c r="BL224" s="387">
        <f t="shared" ca="1" si="317"/>
        <v>0</v>
      </c>
      <c r="BM224" s="1283">
        <f t="shared" ca="1" si="318"/>
        <v>0</v>
      </c>
      <c r="BN224" s="386">
        <f t="shared" ca="1" si="319"/>
        <v>0</v>
      </c>
      <c r="BO224" s="387">
        <f t="shared" ca="1" si="320"/>
        <v>0</v>
      </c>
      <c r="BP224" s="1277">
        <f t="shared" ca="1" si="321"/>
        <v>0</v>
      </c>
      <c r="BQ224" s="1277">
        <f t="shared" ca="1" si="322"/>
        <v>0</v>
      </c>
      <c r="BR224" s="388">
        <f t="shared" ca="1" si="323"/>
        <v>0</v>
      </c>
      <c r="BS224" s="1025"/>
      <c r="BT224" s="1282">
        <f>+IF($K224="Ongoing",AX224,IF(RIGHT($K224,2)=RIGHT(BT$43,2),SUM($AX224:AX224),0)+IF(RIGHT(BT$43,2)&gt;RIGHT($K224,2),AX224,0))</f>
        <v>0</v>
      </c>
      <c r="BU224" s="387">
        <f>+IF($K224="Ongoing",AY224,IF(RIGHT($K224,2)=RIGHT(BU$43,2),SUM($AX224:AY224),0)+IF(RIGHT(BU$43,2)&gt;RIGHT($K224,2),AY224,0))</f>
        <v>0</v>
      </c>
      <c r="BV224" s="387">
        <f>+IF($K224="Ongoing",AZ224,IF(RIGHT($K224,2)=RIGHT(BV$43,2),SUM($AX224:AZ224),0)+IF(RIGHT(BV$43,2)&gt;RIGHT($K224,2),AZ224,0))</f>
        <v>0</v>
      </c>
      <c r="BW224" s="387">
        <f>+IF($K224="Ongoing",BA224,IF(RIGHT($K224,2)=RIGHT(BW$43,2),SUM($AX224:BA224),0)+IF(RIGHT(BW$43,2)&gt;RIGHT($K224,2),BA224,0))</f>
        <v>0</v>
      </c>
      <c r="BX224" s="1283">
        <f>+IF($K224="Ongoing",BB224,IF(RIGHT($K224,2)=RIGHT(BX$43,2),SUM($AX224:BB224),0)+IF(RIGHT(BX$43,2)&gt;RIGHT($K224,2),BB224,0))</f>
        <v>0</v>
      </c>
      <c r="BY224" s="386">
        <f>+IF($K224="Ongoing",BC224,IF(RIGHT($K224,2)=RIGHT(BY$43,2),SUM($AX224:BC224),0)+IF(RIGHT(BY$43,2)&gt;RIGHT($K224,2),BC224,0))</f>
        <v>0</v>
      </c>
      <c r="BZ224" s="387">
        <f>+IF($K224="Ongoing",BD224,IF(RIGHT($K224,2)=RIGHT(BZ$43,2),SUM($AX224:BD224),0)+IF(RIGHT(BZ$43,2)&gt;RIGHT($K224,2),BD224,0))</f>
        <v>0</v>
      </c>
      <c r="CA224" s="1277">
        <f>+IF($K224="Ongoing",BE224,IF(RIGHT($K224,2)=RIGHT(CA$43,2),SUM($AX224:BE224),0)+IF(RIGHT(CA$43,2)&gt;RIGHT($K224,2),BE224,0))</f>
        <v>0</v>
      </c>
      <c r="CB224" s="1277">
        <f>+IF($K224="Ongoing",BF224,IF(RIGHT($K224,2)=RIGHT(CB$43,2),SUM($AX224:BF224),0)+IF(RIGHT(CB$43,2)&gt;RIGHT($K224,2),BF224,0))</f>
        <v>0</v>
      </c>
      <c r="CC224" s="388">
        <f>+IF($K224="Ongoing",BG224,IF(RIGHT($K224,2)=RIGHT(CC$43,2),SUM($AX224:BG224),0)+IF(RIGHT(CC$43,2)&gt;RIGHT($K224,2),BG224,0))</f>
        <v>0</v>
      </c>
      <c r="CD224" s="1025"/>
      <c r="CE224" s="1282">
        <f>+Q224*KeyAssumptionsPriceControl_FO!AF$15</f>
        <v>0</v>
      </c>
      <c r="CF224" s="387">
        <f>+R224*KeyAssumptionsPriceControl_FO!AG$15</f>
        <v>0</v>
      </c>
      <c r="CG224" s="387">
        <f>+S224*KeyAssumptionsPriceControl_FO!AH$15</f>
        <v>0</v>
      </c>
      <c r="CH224" s="387">
        <f>+T224*KeyAssumptionsPriceControl_FO!AI$15</f>
        <v>0</v>
      </c>
      <c r="CI224" s="1283">
        <f>+U224*KeyAssumptionsPriceControl_FO!AJ$15</f>
        <v>0</v>
      </c>
      <c r="CJ224" s="386">
        <f>+V224*KeyAssumptionsPriceControl_FO!AK$15</f>
        <v>0</v>
      </c>
      <c r="CK224" s="387">
        <f>+W224*KeyAssumptionsPriceControl_FO!AL$15</f>
        <v>0</v>
      </c>
      <c r="CL224" s="1277">
        <f>+X224*KeyAssumptionsPriceControl_FO!AM$15</f>
        <v>0</v>
      </c>
      <c r="CM224" s="1277">
        <f>+Y224*KeyAssumptionsPriceControl_FO!AN$15</f>
        <v>0</v>
      </c>
      <c r="CN224" s="388">
        <f>+Z224*KeyAssumptionsPriceControl_FO!AO$15</f>
        <v>0</v>
      </c>
      <c r="CO224" s="1025"/>
      <c r="CP224" s="1282">
        <f t="shared" ca="1" si="324"/>
        <v>0</v>
      </c>
      <c r="CQ224" s="387">
        <f t="shared" ca="1" si="325"/>
        <v>0</v>
      </c>
      <c r="CR224" s="387">
        <f t="shared" ca="1" si="326"/>
        <v>0</v>
      </c>
      <c r="CS224" s="387">
        <f t="shared" ca="1" si="327"/>
        <v>0</v>
      </c>
      <c r="CT224" s="1283">
        <f t="shared" ca="1" si="328"/>
        <v>0</v>
      </c>
      <c r="CU224" s="386">
        <f t="shared" ca="1" si="329"/>
        <v>0</v>
      </c>
      <c r="CV224" s="387">
        <f t="shared" ca="1" si="330"/>
        <v>0</v>
      </c>
      <c r="CW224" s="1277">
        <f t="shared" ca="1" si="331"/>
        <v>0</v>
      </c>
      <c r="CX224" s="1277">
        <f t="shared" ca="1" si="332"/>
        <v>0</v>
      </c>
      <c r="CY224" s="388">
        <f t="shared" ca="1" si="333"/>
        <v>0</v>
      </c>
      <c r="CZ224" s="347"/>
      <c r="DA224" s="852"/>
      <c r="DB224" s="347"/>
      <c r="DC224" s="1012" t="s">
        <v>745</v>
      </c>
      <c r="DD224" s="841" t="s">
        <v>518</v>
      </c>
      <c r="DE224" s="386">
        <f>+IF($K224="ongoing",CE224,IF(RIGHT($K224,2)=RIGHT(DE$43,2),SUM($CD224:CE224),0)+IF(RIGHT(DE$43,2)&gt;RIGHT($K224,2),CE224,0))</f>
        <v>0</v>
      </c>
      <c r="DF224" s="387">
        <f>+IF($K224="ongoing",CF224,IF(RIGHT($K224,2)=RIGHT(DF$43,2),SUM($CD224:CF224),0)+IF(RIGHT(DF$43,2)&gt;RIGHT($K224,2),CF224,0))</f>
        <v>0</v>
      </c>
      <c r="DG224" s="388">
        <f>+IF($K224="ongoing",CG224,IF(RIGHT($K224,2)=RIGHT(DG$43,2),SUM($CD224:CG224),0)+IF(RIGHT(DG$43,2)&gt;RIGHT($K224,2),CG224,0))</f>
        <v>0</v>
      </c>
      <c r="DH224" s="386">
        <f>+IF($K224="ongoing",CH224,IF(RIGHT($K224,2)=RIGHT(DH$43,2),SUM($CD224:CH224),0)+IF(RIGHT(DH$43,2)&gt;RIGHT($K224,2),CH224,0))</f>
        <v>0</v>
      </c>
      <c r="DI224" s="387">
        <f>+IF($K224="ongoing",CI224,IF(RIGHT($K224,2)=RIGHT(DI$43,2),SUM($CD224:CI224),0)+IF(RIGHT(DI$43,2)&gt;RIGHT($K224,2),CI224,0))</f>
        <v>0</v>
      </c>
      <c r="DJ224" s="387">
        <f>+IF($K224="ongoing",CJ224,IF(RIGHT($K224,2)=RIGHT(DJ$43,2),SUM($CD224:CJ224),0)+IF(RIGHT(DJ$43,2)&gt;RIGHT($K224,2),CJ224,0))</f>
        <v>0</v>
      </c>
      <c r="DK224" s="387">
        <f>+IF($K224="ongoing",CK224,IF(RIGHT($K224,2)=RIGHT(DK$43,2),SUM($CD224:CK224),0)+IF(RIGHT(DK$43,2)&gt;RIGHT($K224,2),CK224,0))</f>
        <v>0</v>
      </c>
      <c r="DL224" s="388">
        <f>+IF($K224="ongoing",CN224,IF(RIGHT($K224,2)=RIGHT(DL$43,2),SUM($CD224:CN224),0)+IF(RIGHT(DL$43,2)&gt;RIGHT($K224,2),CN224,0))</f>
        <v>0</v>
      </c>
      <c r="DM224" s="841"/>
      <c r="DN224" s="386">
        <f t="shared" si="334"/>
        <v>0.5</v>
      </c>
      <c r="DO224" s="387">
        <f t="shared" si="335"/>
        <v>1</v>
      </c>
      <c r="DP224" s="388">
        <f t="shared" si="336"/>
        <v>1</v>
      </c>
      <c r="DQ224" s="386">
        <f t="shared" si="337"/>
        <v>1</v>
      </c>
      <c r="DR224" s="387">
        <f t="shared" si="338"/>
        <v>1</v>
      </c>
      <c r="DS224" s="387">
        <f t="shared" si="339"/>
        <v>1</v>
      </c>
      <c r="DT224" s="387">
        <f t="shared" si="340"/>
        <v>1</v>
      </c>
      <c r="DU224" s="388">
        <f t="shared" si="341"/>
        <v>1</v>
      </c>
      <c r="DW224" s="386">
        <f t="shared" si="342"/>
        <v>0</v>
      </c>
      <c r="DX224" s="387">
        <f t="shared" si="343"/>
        <v>0.5</v>
      </c>
      <c r="DY224" s="388">
        <f t="shared" si="344"/>
        <v>1</v>
      </c>
      <c r="DZ224" s="386">
        <f t="shared" si="345"/>
        <v>1</v>
      </c>
      <c r="EA224" s="387">
        <f t="shared" si="346"/>
        <v>1</v>
      </c>
      <c r="EB224" s="387">
        <f t="shared" si="347"/>
        <v>1</v>
      </c>
      <c r="EC224" s="387">
        <f t="shared" si="348"/>
        <v>1</v>
      </c>
      <c r="ED224" s="388">
        <f t="shared" si="349"/>
        <v>1</v>
      </c>
      <c r="EF224" s="834">
        <f>+IF(DN224=DM224,0,
IF(AND(EF$44&gt;1,DN224=$N224),1-SUM($EE224:EE224),
IF($N224&lt;=1,
IF($N224&gt;0,1/$N224,0),
IF(EF$44=1,0,VDB(1,0,$N224,INT(EF$44-1-1),MIN($N224,INT(EF$44-1-1)+1),$DC224,IF($DD224="No",1,0))/
IF(DM224&gt;=INT($N224),$N224-INT($N224),1)))*
IF(EF$44=1,0,
IF(INT(DN224)=INT(DM224),DN224-DM224,INT(DN224)-DM224))+
IF($N224&lt;=1,
IF($N224&gt;0,1/$N224,0),VDB(1,0,$N224,INT(EF$44-1),MIN($N224,INT(EF$44-1)+1),$DC224,IF($DD224="No",1,0))/
IF(DN224&gt;INT($N224),$N224-INT($N224),1))*
IF(EF$44=1,DN224,
IF(INT(DN224)=INT(DM224),0,DN224-INT(DN224)))))</f>
        <v>0</v>
      </c>
      <c r="EG224" s="835">
        <f>+IF(DO224=DN224,0,
IF(AND(EG$44&gt;1,DO224=$N224),1-SUM($EE224:EF224),
IF($N224&lt;=1,
IF($N224&gt;0,1/$N224,0),
IF(EG$44=1,0,VDB(1,0,$N224,INT(EG$44-1-1),MIN($N224,INT(EG$44-1-1)+1),$DC224,IF($DD224="No",1,0))/
IF(DN224&gt;=INT($N224),$N224-INT($N224),1)))*
IF(EG$44=1,0,
IF(INT(DO224)=INT(DN224),DO224-DN224,INT(DO224)-DN224))+
IF($N224&lt;=1,
IF($N224&gt;0,1/$N224,0),VDB(1,0,$N224,INT(EG$44-1),MIN($N224,INT(EG$44-1)+1),$DC224,IF($DD224="No",1,0))/
IF(DO224&gt;INT($N224),$N224-INT($N224),1))*
IF(EG$44=1,DO224,
IF(INT(DO224)=INT(DN224),0,DO224-INT(DO224)))))</f>
        <v>0</v>
      </c>
      <c r="EH224" s="836">
        <f>+IF(DP224=DO224,0,
IF(AND(EH$44&gt;1,DP224=$N224),1-SUM($EE224:EG224),
IF($N224&lt;=1,
IF($N224&gt;0,1/$N224,0),
IF(EH$44=1,0,VDB(1,0,$N224,INT(EH$44-1-1),MIN($N224,INT(EH$44-1-1)+1),$DC224,IF($DD224="No",1,0))/
IF(DO224&gt;=INT($N224),$N224-INT($N224),1)))*
IF(EH$44=1,0,
IF(INT(DP224)=INT(DO224),DP224-DO224,INT(DP224)-DO224))+
IF($N224&lt;=1,
IF($N224&gt;0,1/$N224,0),VDB(1,0,$N224,INT(EH$44-1),MIN($N224,INT(EH$44-1)+1),$DC224,IF($DD224="No",1,0))/
IF(DP224&gt;INT($N224),$N224-INT($N224),1))*
IF(EH$44=1,DP224,
IF(INT(DP224)=INT(DO224),0,DP224-INT(DP224)))))</f>
        <v>0</v>
      </c>
      <c r="EI224" s="834">
        <f>+IF(DQ224=DP224,0,
IF(AND(EI$44&gt;1,DQ224=$N224),1-SUM($EE224:EH224),
IF($N224&lt;=1,
IF($N224&gt;0,1/$N224,0),
IF(EI$44=1,0,VDB(1,0,$N224,INT(EI$44-1-1),MIN($N224,INT(EI$44-1-1)+1),$DC224,IF($DD224="No",1,0))/
IF(DP224&gt;=INT($N224),$N224-INT($N224),1)))*
IF(EI$44=1,0,
IF(INT(DQ224)=INT(DP224),DQ224-DP224,INT(DQ224)-DP224))+
IF($N224&lt;=1,
IF($N224&gt;0,1/$N224,0),VDB(1,0,$N224,INT(EI$44-1),MIN($N224,INT(EI$44-1)+1),$DC224,IF($DD224="No",1,0))/
IF(DQ224&gt;INT($N224),$N224-INT($N224),1))*
IF(EI$44=1,DQ224,
IF(INT(DQ224)=INT(DP224),0,DQ224-INT(DQ224)))))</f>
        <v>0</v>
      </c>
      <c r="EJ224" s="835">
        <f>+IF(DR224=DQ224,0,
IF(AND(EJ$44&gt;1,DR224=$N224),1-SUM($EE224:EI224),
IF($N224&lt;=1,
IF($N224&gt;0,1/$N224,0),
IF(EJ$44=1,0,VDB(1,0,$N224,INT(EJ$44-1-1),MIN($N224,INT(EJ$44-1-1)+1),$DC224,IF($DD224="No",1,0))/
IF(DQ224&gt;=INT($N224),$N224-INT($N224),1)))*
IF(EJ$44=1,0,
IF(INT(DR224)=INT(DQ224),DR224-DQ224,INT(DR224)-DQ224))+
IF($N224&lt;=1,
IF($N224&gt;0,1/$N224,0),VDB(1,0,$N224,INT(EJ$44-1),MIN($N224,INT(EJ$44-1)+1),$DC224,IF($DD224="No",1,0))/
IF(DR224&gt;INT($N224),$N224-INT($N224),1))*
IF(EJ$44=1,DR224,
IF(INT(DR224)=INT(DQ224),0,DR224-INT(DR224)))))</f>
        <v>0</v>
      </c>
      <c r="EK224" s="835">
        <f>+IF(DS224=DR224,0,
IF(AND(EK$44&gt;1,DS224=$N224),1-SUM($EE224:EJ224),
IF($N224&lt;=1,
IF($N224&gt;0,1/$N224,0),
IF(EK$44=1,0,VDB(1,0,$N224,INT(EK$44-1-1),MIN($N224,INT(EK$44-1-1)+1),$DC224,IF($DD224="No",1,0))/
IF(DR224&gt;=INT($N224),$N224-INT($N224),1)))*
IF(EK$44=1,0,
IF(INT(DS224)=INT(DR224),DS224-DR224,INT(DS224)-DR224))+
IF($N224&lt;=1,
IF($N224&gt;0,1/$N224,0),VDB(1,0,$N224,INT(EK$44-1),MIN($N224,INT(EK$44-1)+1),$DC224,IF($DD224="No",1,0))/
IF(DS224&gt;INT($N224),$N224-INT($N224),1))*
IF(EK$44=1,DS224,
IF(INT(DS224)=INT(DR224),0,DS224-INT(DS224)))))</f>
        <v>0</v>
      </c>
      <c r="EL224" s="835">
        <f>+IF(DT224=DS224,0,
IF(AND(EL$44&gt;1,DT224=$N224),1-SUM($EE224:EK224),
IF($N224&lt;=1,
IF($N224&gt;0,1/$N224,0),
IF(EL$44=1,0,VDB(1,0,$N224,INT(EL$44-1-1),MIN($N224,INT(EL$44-1-1)+1),$DC224,IF($DD224="No",1,0))/
IF(DS224&gt;=INT($N224),$N224-INT($N224),1)))*
IF(EL$44=1,0,
IF(INT(DT224)=INT(DS224),DT224-DS224,INT(DT224)-DS224))+
IF($N224&lt;=1,
IF($N224&gt;0,1/$N224,0),VDB(1,0,$N224,INT(EL$44-1),MIN($N224,INT(EL$44-1)+1),$DC224,IF($DD224="No",1,0))/
IF(DT224&gt;INT($N224),$N224-INT($N224),1))*
IF(EL$44=1,DT224,
IF(INT(DT224)=INT(DS224),0,DT224-INT(DT224)))))</f>
        <v>0</v>
      </c>
      <c r="EM224" s="836">
        <f>+IF(DU224=DT224,0,
IF(AND(EM$44&gt;1,DU224=$N224),1-SUM($EE224:EL224),
IF($N224&lt;=1,
IF($N224&gt;0,1/$N224,0),
IF(EM$44=1,0,VDB(1,0,$N224,INT(EM$44-1-1),MIN($N224,INT(EM$44-1-1)+1),$DC224,IF($DD224="No",1,0))/
IF(DT224&gt;=INT($N224),$N224-INT($N224),1)))*
IF(EM$44=1,0,
IF(INT(DU224)=INT(DT224),DU224-DT224,INT(DU224)-DT224))+
IF($N224&lt;=1,
IF($N224&gt;0,1/$N224,0),VDB(1,0,$N224,INT(EM$44-1),MIN($N224,INT(EM$44-1)+1),$DC224,IF($DD224="No",1,0))/
IF(DU224&gt;INT($N224),$N224-INT($N224),1))*
IF(EM$44=1,DU224,
IF(INT(DU224)=INT(DT224),0,DU224-INT(DU224)))))</f>
        <v>0</v>
      </c>
      <c r="EN224" s="833"/>
      <c r="EO224" s="834">
        <f>+IF(OR(DW224=DV224,EO$44=1),0,
IF(AND(EO$44&gt;1,DW224=$N224),1-SUM($EN224:EN224),
IF($N224&lt;=1,
IF($N224&gt;0,1/$N224,0),
IF(EO$44=2,0,VDB(1,0,$N224,INT(EO$44-2-1),MIN($N224,INT(EO$44-2-1)+1),$DC224,IF($DD224="No",1,0))/
IF(DV224&gt;=INT($N224),$N224-INT($N224),1)))*
IF(EO$44=2,0,
IF(INT(DW224)=INT(DV224),DW224-DV224,INT(DW224)-DV224))+
IF($N224&lt;=1,
IF($N224&gt;0,1/$N224,0),VDB(1,0,$N224,INT(EO$44-2),MIN($N224,INT(EO$44-2)+1),$DC224,IF($DD224="No",1,0))/
IF(DW224&gt;INT($N224),$N224-INT($N224),1))*
IF(EO$44=2,DW224,
IF(INT(DW224)=INT(DV224),0,DW224-INT(DW224)))))</f>
        <v>0</v>
      </c>
      <c r="EP224" s="835">
        <f>+IF(OR(DX224=DW224,EP$44=1),0,
IF(AND(EP$44&gt;1,DX224=$N224),1-SUM($EN224:EO224),
IF($N224&lt;=1,
IF($N224&gt;0,1/$N224,0),
IF(EP$44=2,0,VDB(1,0,$N224,INT(EP$44-2-1),MIN($N224,INT(EP$44-2-1)+1),$DC224,IF($DD224="No",1,0))/
IF(DW224&gt;=INT($N224),$N224-INT($N224),1)))*
IF(EP$44=2,0,
IF(INT(DX224)=INT(DW224),DX224-DW224,INT(DX224)-DW224))+
IF($N224&lt;=1,
IF($N224&gt;0,1/$N224,0),VDB(1,0,$N224,INT(EP$44-2),MIN($N224,INT(EP$44-2)+1),$DC224,IF($DD224="No",1,0))/
IF(DX224&gt;INT($N224),$N224-INT($N224),1))*
IF(EP$44=2,DX224,
IF(INT(DX224)=INT(DW224),0,DX224-INT(DX224)))))</f>
        <v>0</v>
      </c>
      <c r="EQ224" s="836">
        <f>+IF(OR(DY224=DX224,EQ$44=1),0,
IF(AND(EQ$44&gt;1,DY224=$N224),1-SUM($EN224:EP224),
IF($N224&lt;=1,
IF($N224&gt;0,1/$N224,0),
IF(EQ$44=2,0,VDB(1,0,$N224,INT(EQ$44-2-1),MIN($N224,INT(EQ$44-2-1)+1),$DC224,IF($DD224="No",1,0))/
IF(DX224&gt;=INT($N224),$N224-INT($N224),1)))*
IF(EQ$44=2,0,
IF(INT(DY224)=INT(DX224),DY224-DX224,INT(DY224)-DX224))+
IF($N224&lt;=1,
IF($N224&gt;0,1/$N224,0),VDB(1,0,$N224,INT(EQ$44-2),MIN($N224,INT(EQ$44-2)+1),$DC224,IF($DD224="No",1,0))/
IF(DY224&gt;INT($N224),$N224-INT($N224),1))*
IF(EQ$44=2,DY224,
IF(INT(DY224)=INT(DX224),0,DY224-INT(DY224)))))</f>
        <v>0</v>
      </c>
      <c r="ER224" s="834">
        <f>+IF(OR(DZ224=DY224,ER$44=1),0,
IF(AND(ER$44&gt;1,DZ224=$N224),1-SUM($EN224:EQ224),
IF($N224&lt;=1,
IF($N224&gt;0,1/$N224,0),
IF(ER$44=2,0,VDB(1,0,$N224,INT(ER$44-2-1),MIN($N224,INT(ER$44-2-1)+1),$DC224,IF($DD224="No",1,0))/
IF(DY224&gt;=INT($N224),$N224-INT($N224),1)))*
IF(ER$44=2,0,
IF(INT(DZ224)=INT(DY224),DZ224-DY224,INT(DZ224)-DY224))+
IF($N224&lt;=1,
IF($N224&gt;0,1/$N224,0),VDB(1,0,$N224,INT(ER$44-2),MIN($N224,INT(ER$44-2)+1),$DC224,IF($DD224="No",1,0))/
IF(DZ224&gt;INT($N224),$N224-INT($N224),1))*
IF(ER$44=2,DZ224,
IF(INT(DZ224)=INT(DY224),0,DZ224-INT(DZ224)))))</f>
        <v>0</v>
      </c>
      <c r="ES224" s="835">
        <f>+IF(OR(EA224=DZ224,ES$44=1),0,
IF(AND(ES$44&gt;1,EA224=$N224),1-SUM($EN224:ER224),
IF($N224&lt;=1,
IF($N224&gt;0,1/$N224,0),
IF(ES$44=2,0,VDB(1,0,$N224,INT(ES$44-2-1),MIN($N224,INT(ES$44-2-1)+1),$DC224,IF($DD224="No",1,0))/
IF(DZ224&gt;=INT($N224),$N224-INT($N224),1)))*
IF(ES$44=2,0,
IF(INT(EA224)=INT(DZ224),EA224-DZ224,INT(EA224)-DZ224))+
IF($N224&lt;=1,
IF($N224&gt;0,1/$N224,0),VDB(1,0,$N224,INT(ES$44-2),MIN($N224,INT(ES$44-2)+1),$DC224,IF($DD224="No",1,0))/
IF(EA224&gt;INT($N224),$N224-INT($N224),1))*
IF(ES$44=2,EA224,
IF(INT(EA224)=INT(DZ224),0,EA224-INT(EA224)))))</f>
        <v>0</v>
      </c>
      <c r="ET224" s="835">
        <f>+IF(OR(EB224=EA224,ET$44=1),0,
IF(AND(ET$44&gt;1,EB224=$N224),1-SUM($EN224:ES224),
IF($N224&lt;=1,
IF($N224&gt;0,1/$N224,0),
IF(ET$44=2,0,VDB(1,0,$N224,INT(ET$44-2-1),MIN($N224,INT(ET$44-2-1)+1),$DC224,IF($DD224="No",1,0))/
IF(EA224&gt;=INT($N224),$N224-INT($N224),1)))*
IF(ET$44=2,0,
IF(INT(EB224)=INT(EA224),EB224-EA224,INT(EB224)-EA224))+
IF($N224&lt;=1,
IF($N224&gt;0,1/$N224,0),VDB(1,0,$N224,INT(ET$44-2),MIN($N224,INT(ET$44-2)+1),$DC224,IF($DD224="No",1,0))/
IF(EB224&gt;INT($N224),$N224-INT($N224),1))*
IF(ET$44=2,EB224,
IF(INT(EB224)=INT(EA224),0,EB224-INT(EB224)))))</f>
        <v>0</v>
      </c>
      <c r="EU224" s="835">
        <f>+IF(OR(EC224=EB224,EU$44=1),0,
IF(AND(EU$44&gt;1,EC224=$N224),1-SUM($EN224:ET224),
IF($N224&lt;=1,
IF($N224&gt;0,1/$N224,0),
IF(EU$44=2,0,VDB(1,0,$N224,INT(EU$44-2-1),MIN($N224,INT(EU$44-2-1)+1),$DC224,IF($DD224="No",1,0))/
IF(EB224&gt;=INT($N224),$N224-INT($N224),1)))*
IF(EU$44=2,0,
IF(INT(EC224)=INT(EB224),EC224-EB224,INT(EC224)-EB224))+
IF($N224&lt;=1,
IF($N224&gt;0,1/$N224,0),VDB(1,0,$N224,INT(EU$44-2),MIN($N224,INT(EU$44-2)+1),$DC224,IF($DD224="No",1,0))/
IF(EC224&gt;INT($N224),$N224-INT($N224),1))*
IF(EU$44=2,EC224,
IF(INT(EC224)=INT(EB224),0,EC224-INT(EC224)))))</f>
        <v>0</v>
      </c>
      <c r="EV224" s="836">
        <f>+IF(OR(ED224=EC224,EV$44=1),0,
IF(AND(EV$44&gt;1,ED224=$N224),1-SUM($EN224:EU224),
IF($N224&lt;=1,
IF($N224&gt;0,1/$N224,0),
IF(EV$44=2,0,VDB(1,0,$N224,INT(EV$44-2-1),MIN($N224,INT(EV$44-2-1)+1),$DC224,IF($DD224="No",1,0))/
IF(EC224&gt;=INT($N224),$N224-INT($N224),1)))*
IF(EV$44=2,0,
IF(INT(ED224)=INT(EC224),ED224-EC224,INT(ED224)-EC224))+
IF($N224&lt;=1,
IF($N224&gt;0,1/$N224,0),VDB(1,0,$N224,INT(EV$44-2),MIN($N224,INT(EV$44-2)+1),$DC224,IF($DD224="No",1,0))/
IF(ED224&gt;INT($N224),$N224-INT($N224),1))*
IF(EV$44=2,ED224,
IF(INT(ED224)=INT(EC224),0,ED224-INT(ED224)))))</f>
        <v>0</v>
      </c>
      <c r="EW224" s="833"/>
      <c r="EX224" s="834">
        <f t="shared" ca="1" si="361"/>
        <v>0</v>
      </c>
      <c r="EY224" s="835">
        <f t="shared" ca="1" si="361"/>
        <v>0</v>
      </c>
      <c r="EZ224" s="836">
        <f t="shared" ca="1" si="361"/>
        <v>0</v>
      </c>
      <c r="FA224" s="834">
        <f t="shared" ca="1" si="361"/>
        <v>0</v>
      </c>
      <c r="FB224" s="835">
        <f t="shared" ca="1" si="361"/>
        <v>0</v>
      </c>
      <c r="FC224" s="835">
        <f t="shared" ca="1" si="361"/>
        <v>0</v>
      </c>
      <c r="FD224" s="835">
        <f t="shared" ca="1" si="361"/>
        <v>0</v>
      </c>
      <c r="FE224" s="836">
        <f t="shared" ca="1" si="361"/>
        <v>0</v>
      </c>
      <c r="FG224" s="386">
        <f t="shared" ca="1" si="351"/>
        <v>0</v>
      </c>
      <c r="FH224" s="387">
        <f t="shared" ca="1" si="352"/>
        <v>0</v>
      </c>
      <c r="FI224" s="388">
        <f t="shared" ca="1" si="353"/>
        <v>0</v>
      </c>
      <c r="FJ224" s="386">
        <f t="shared" ca="1" si="354"/>
        <v>0</v>
      </c>
      <c r="FK224" s="387">
        <f t="shared" ca="1" si="355"/>
        <v>0</v>
      </c>
      <c r="FL224" s="387">
        <f t="shared" ca="1" si="356"/>
        <v>0</v>
      </c>
      <c r="FM224" s="387">
        <f t="shared" ca="1" si="357"/>
        <v>0</v>
      </c>
      <c r="FN224" s="388">
        <f t="shared" ca="1" si="358"/>
        <v>0</v>
      </c>
      <c r="FR224" s="116"/>
    </row>
    <row r="225" spans="2:174">
      <c r="B225" s="1410">
        <f t="shared" si="359"/>
        <v>179</v>
      </c>
      <c r="C225" s="400"/>
      <c r="D225" s="410"/>
      <c r="E225" s="402"/>
      <c r="F225" s="402"/>
      <c r="G225" s="400"/>
      <c r="H225" s="2088"/>
      <c r="I225" s="2089"/>
      <c r="J225" s="411"/>
      <c r="K225" s="403"/>
      <c r="L225" s="403"/>
      <c r="M225" s="403"/>
      <c r="N225" s="403"/>
      <c r="O225" s="347"/>
      <c r="P225" s="347"/>
      <c r="Q225" s="1021"/>
      <c r="R225" s="1022"/>
      <c r="S225" s="1022"/>
      <c r="T225" s="1022"/>
      <c r="U225" s="1023"/>
      <c r="V225" s="1021"/>
      <c r="W225" s="1022"/>
      <c r="X225" s="1022"/>
      <c r="Y225" s="1022"/>
      <c r="Z225" s="1023"/>
      <c r="AA225" s="1024"/>
      <c r="AB225" s="1021"/>
      <c r="AC225" s="1022"/>
      <c r="AD225" s="1022"/>
      <c r="AE225" s="1022"/>
      <c r="AF225" s="1023"/>
      <c r="AG225" s="1021"/>
      <c r="AH225" s="1022"/>
      <c r="AI225" s="1022"/>
      <c r="AJ225" s="1022"/>
      <c r="AK225" s="1023"/>
      <c r="AL225" s="1024"/>
      <c r="AM225" s="1021"/>
      <c r="AN225" s="1022"/>
      <c r="AO225" s="1022"/>
      <c r="AP225" s="1022"/>
      <c r="AQ225" s="1023"/>
      <c r="AR225" s="1021"/>
      <c r="AS225" s="1022"/>
      <c r="AT225" s="1022"/>
      <c r="AU225" s="1022"/>
      <c r="AV225" s="1023"/>
      <c r="AW225" s="1025"/>
      <c r="AX225" s="1282">
        <f t="shared" si="304"/>
        <v>0</v>
      </c>
      <c r="AY225" s="387">
        <f t="shared" si="305"/>
        <v>0</v>
      </c>
      <c r="AZ225" s="387">
        <f t="shared" si="306"/>
        <v>0</v>
      </c>
      <c r="BA225" s="387">
        <f t="shared" si="307"/>
        <v>0</v>
      </c>
      <c r="BB225" s="1283">
        <f t="shared" si="308"/>
        <v>0</v>
      </c>
      <c r="BC225" s="386">
        <f t="shared" si="309"/>
        <v>0</v>
      </c>
      <c r="BD225" s="387">
        <f t="shared" si="310"/>
        <v>0</v>
      </c>
      <c r="BE225" s="1277">
        <f t="shared" si="311"/>
        <v>0</v>
      </c>
      <c r="BF225" s="1277">
        <f t="shared" si="312"/>
        <v>0</v>
      </c>
      <c r="BG225" s="388">
        <f t="shared" si="313"/>
        <v>0</v>
      </c>
      <c r="BH225" s="1025"/>
      <c r="BI225" s="1282">
        <f t="shared" ca="1" si="314"/>
        <v>0</v>
      </c>
      <c r="BJ225" s="387">
        <f t="shared" ca="1" si="315"/>
        <v>0</v>
      </c>
      <c r="BK225" s="387">
        <f t="shared" ca="1" si="316"/>
        <v>0</v>
      </c>
      <c r="BL225" s="387">
        <f t="shared" ca="1" si="317"/>
        <v>0</v>
      </c>
      <c r="BM225" s="1283">
        <f t="shared" ca="1" si="318"/>
        <v>0</v>
      </c>
      <c r="BN225" s="386">
        <f t="shared" ca="1" si="319"/>
        <v>0</v>
      </c>
      <c r="BO225" s="387">
        <f t="shared" ca="1" si="320"/>
        <v>0</v>
      </c>
      <c r="BP225" s="1277">
        <f t="shared" ca="1" si="321"/>
        <v>0</v>
      </c>
      <c r="BQ225" s="1277">
        <f t="shared" ca="1" si="322"/>
        <v>0</v>
      </c>
      <c r="BR225" s="388">
        <f t="shared" ca="1" si="323"/>
        <v>0</v>
      </c>
      <c r="BS225" s="1025"/>
      <c r="BT225" s="1282">
        <f>+IF($K225="Ongoing",AX225,IF(RIGHT($K225,2)=RIGHT(BT$43,2),SUM($AX225:AX225),0)+IF(RIGHT(BT$43,2)&gt;RIGHT($K225,2),AX225,0))</f>
        <v>0</v>
      </c>
      <c r="BU225" s="387">
        <f>+IF($K225="Ongoing",AY225,IF(RIGHT($K225,2)=RIGHT(BU$43,2),SUM($AX225:AY225),0)+IF(RIGHT(BU$43,2)&gt;RIGHT($K225,2),AY225,0))</f>
        <v>0</v>
      </c>
      <c r="BV225" s="387">
        <f>+IF($K225="Ongoing",AZ225,IF(RIGHT($K225,2)=RIGHT(BV$43,2),SUM($AX225:AZ225),0)+IF(RIGHT(BV$43,2)&gt;RIGHT($K225,2),AZ225,0))</f>
        <v>0</v>
      </c>
      <c r="BW225" s="387">
        <f>+IF($K225="Ongoing",BA225,IF(RIGHT($K225,2)=RIGHT(BW$43,2),SUM($AX225:BA225),0)+IF(RIGHT(BW$43,2)&gt;RIGHT($K225,2),BA225,0))</f>
        <v>0</v>
      </c>
      <c r="BX225" s="1283">
        <f>+IF($K225="Ongoing",BB225,IF(RIGHT($K225,2)=RIGHT(BX$43,2),SUM($AX225:BB225),0)+IF(RIGHT(BX$43,2)&gt;RIGHT($K225,2),BB225,0))</f>
        <v>0</v>
      </c>
      <c r="BY225" s="386">
        <f>+IF($K225="Ongoing",BC225,IF(RIGHT($K225,2)=RIGHT(BY$43,2),SUM($AX225:BC225),0)+IF(RIGHT(BY$43,2)&gt;RIGHT($K225,2),BC225,0))</f>
        <v>0</v>
      </c>
      <c r="BZ225" s="387">
        <f>+IF($K225="Ongoing",BD225,IF(RIGHT($K225,2)=RIGHT(BZ$43,2),SUM($AX225:BD225),0)+IF(RIGHT(BZ$43,2)&gt;RIGHT($K225,2),BD225,0))</f>
        <v>0</v>
      </c>
      <c r="CA225" s="1277">
        <f>+IF($K225="Ongoing",BE225,IF(RIGHT($K225,2)=RIGHT(CA$43,2),SUM($AX225:BE225),0)+IF(RIGHT(CA$43,2)&gt;RIGHT($K225,2),BE225,0))</f>
        <v>0</v>
      </c>
      <c r="CB225" s="1277">
        <f>+IF($K225="Ongoing",BF225,IF(RIGHT($K225,2)=RIGHT(CB$43,2),SUM($AX225:BF225),0)+IF(RIGHT(CB$43,2)&gt;RIGHT($K225,2),BF225,0))</f>
        <v>0</v>
      </c>
      <c r="CC225" s="388">
        <f>+IF($K225="Ongoing",BG225,IF(RIGHT($K225,2)=RIGHT(CC$43,2),SUM($AX225:BG225),0)+IF(RIGHT(CC$43,2)&gt;RIGHT($K225,2),BG225,0))</f>
        <v>0</v>
      </c>
      <c r="CD225" s="1025"/>
      <c r="CE225" s="1282">
        <f>+Q225*KeyAssumptionsPriceControl_FO!AF$15</f>
        <v>0</v>
      </c>
      <c r="CF225" s="387">
        <f>+R225*KeyAssumptionsPriceControl_FO!AG$15</f>
        <v>0</v>
      </c>
      <c r="CG225" s="387">
        <f>+S225*KeyAssumptionsPriceControl_FO!AH$15</f>
        <v>0</v>
      </c>
      <c r="CH225" s="387">
        <f>+T225*KeyAssumptionsPriceControl_FO!AI$15</f>
        <v>0</v>
      </c>
      <c r="CI225" s="1283">
        <f>+U225*KeyAssumptionsPriceControl_FO!AJ$15</f>
        <v>0</v>
      </c>
      <c r="CJ225" s="386">
        <f>+V225*KeyAssumptionsPriceControl_FO!AK$15</f>
        <v>0</v>
      </c>
      <c r="CK225" s="387">
        <f>+W225*KeyAssumptionsPriceControl_FO!AL$15</f>
        <v>0</v>
      </c>
      <c r="CL225" s="1277">
        <f>+X225*KeyAssumptionsPriceControl_FO!AM$15</f>
        <v>0</v>
      </c>
      <c r="CM225" s="1277">
        <f>+Y225*KeyAssumptionsPriceControl_FO!AN$15</f>
        <v>0</v>
      </c>
      <c r="CN225" s="388">
        <f>+Z225*KeyAssumptionsPriceControl_FO!AO$15</f>
        <v>0</v>
      </c>
      <c r="CO225" s="1025"/>
      <c r="CP225" s="1282">
        <f t="shared" ca="1" si="324"/>
        <v>0</v>
      </c>
      <c r="CQ225" s="387">
        <f t="shared" ca="1" si="325"/>
        <v>0</v>
      </c>
      <c r="CR225" s="387">
        <f t="shared" ca="1" si="326"/>
        <v>0</v>
      </c>
      <c r="CS225" s="387">
        <f t="shared" ca="1" si="327"/>
        <v>0</v>
      </c>
      <c r="CT225" s="1283">
        <f t="shared" ca="1" si="328"/>
        <v>0</v>
      </c>
      <c r="CU225" s="386">
        <f t="shared" ca="1" si="329"/>
        <v>0</v>
      </c>
      <c r="CV225" s="387">
        <f t="shared" ca="1" si="330"/>
        <v>0</v>
      </c>
      <c r="CW225" s="1277">
        <f t="shared" ca="1" si="331"/>
        <v>0</v>
      </c>
      <c r="CX225" s="1277">
        <f t="shared" ca="1" si="332"/>
        <v>0</v>
      </c>
      <c r="CY225" s="388">
        <f t="shared" ca="1" si="333"/>
        <v>0</v>
      </c>
      <c r="CZ225" s="347"/>
      <c r="DA225" s="852"/>
      <c r="DB225" s="347"/>
      <c r="DC225" s="1012" t="s">
        <v>746</v>
      </c>
      <c r="DD225" s="841" t="s">
        <v>518</v>
      </c>
      <c r="DE225" s="386">
        <f>+IF($K225="ongoing",CE225,IF(RIGHT($K225,2)=RIGHT(DE$43,2),SUM($CD225:CE225),0)+IF(RIGHT(DE$43,2)&gt;RIGHT($K225,2),CE225,0))</f>
        <v>0</v>
      </c>
      <c r="DF225" s="387">
        <f>+IF($K225="ongoing",CF225,IF(RIGHT($K225,2)=RIGHT(DF$43,2),SUM($CD225:CF225),0)+IF(RIGHT(DF$43,2)&gt;RIGHT($K225,2),CF225,0))</f>
        <v>0</v>
      </c>
      <c r="DG225" s="388">
        <f>+IF($K225="ongoing",CG225,IF(RIGHT($K225,2)=RIGHT(DG$43,2),SUM($CD225:CG225),0)+IF(RIGHT(DG$43,2)&gt;RIGHT($K225,2),CG225,0))</f>
        <v>0</v>
      </c>
      <c r="DH225" s="386">
        <f>+IF($K225="ongoing",CH225,IF(RIGHT($K225,2)=RIGHT(DH$43,2),SUM($CD225:CH225),0)+IF(RIGHT(DH$43,2)&gt;RIGHT($K225,2),CH225,0))</f>
        <v>0</v>
      </c>
      <c r="DI225" s="387">
        <f>+IF($K225="ongoing",CI225,IF(RIGHT($K225,2)=RIGHT(DI$43,2),SUM($CD225:CI225),0)+IF(RIGHT(DI$43,2)&gt;RIGHT($K225,2),CI225,0))</f>
        <v>0</v>
      </c>
      <c r="DJ225" s="387">
        <f>+IF($K225="ongoing",CJ225,IF(RIGHT($K225,2)=RIGHT(DJ$43,2),SUM($CD225:CJ225),0)+IF(RIGHT(DJ$43,2)&gt;RIGHT($K225,2),CJ225,0))</f>
        <v>0</v>
      </c>
      <c r="DK225" s="387">
        <f>+IF($K225="ongoing",CK225,IF(RIGHT($K225,2)=RIGHT(DK$43,2),SUM($CD225:CK225),0)+IF(RIGHT(DK$43,2)&gt;RIGHT($K225,2),CK225,0))</f>
        <v>0</v>
      </c>
      <c r="DL225" s="388">
        <f>+IF($K225="ongoing",CN225,IF(RIGHT($K225,2)=RIGHT(DL$43,2),SUM($CD225:CN225),0)+IF(RIGHT(DL$43,2)&gt;RIGHT($K225,2),CN225,0))</f>
        <v>0</v>
      </c>
      <c r="DM225" s="841"/>
      <c r="DN225" s="386">
        <f t="shared" si="334"/>
        <v>0.5</v>
      </c>
      <c r="DO225" s="387">
        <f t="shared" si="335"/>
        <v>1</v>
      </c>
      <c r="DP225" s="388">
        <f t="shared" si="336"/>
        <v>1</v>
      </c>
      <c r="DQ225" s="386">
        <f t="shared" si="337"/>
        <v>1</v>
      </c>
      <c r="DR225" s="387">
        <f t="shared" si="338"/>
        <v>1</v>
      </c>
      <c r="DS225" s="387">
        <f t="shared" si="339"/>
        <v>1</v>
      </c>
      <c r="DT225" s="387">
        <f t="shared" si="340"/>
        <v>1</v>
      </c>
      <c r="DU225" s="388">
        <f t="shared" si="341"/>
        <v>1</v>
      </c>
      <c r="DW225" s="386">
        <f t="shared" si="342"/>
        <v>0</v>
      </c>
      <c r="DX225" s="387">
        <f t="shared" si="343"/>
        <v>0.5</v>
      </c>
      <c r="DY225" s="388">
        <f t="shared" si="344"/>
        <v>1</v>
      </c>
      <c r="DZ225" s="386">
        <f t="shared" si="345"/>
        <v>1</v>
      </c>
      <c r="EA225" s="387">
        <f t="shared" si="346"/>
        <v>1</v>
      </c>
      <c r="EB225" s="387">
        <f t="shared" si="347"/>
        <v>1</v>
      </c>
      <c r="EC225" s="387">
        <f t="shared" si="348"/>
        <v>1</v>
      </c>
      <c r="ED225" s="388">
        <f t="shared" si="349"/>
        <v>1</v>
      </c>
      <c r="EF225" s="834">
        <f>+IF(DN225=DM225,0,
IF(AND(EF$44&gt;1,DN225=$N225),1-SUM($EE225:EE225),
IF($N225&lt;=1,
IF($N225&gt;0,1/$N225,0),
IF(EF$44=1,0,VDB(1,0,$N225,INT(EF$44-1-1),MIN($N225,INT(EF$44-1-1)+1),$DC225,IF($DD225="No",1,0))/
IF(DM225&gt;=INT($N225),$N225-INT($N225),1)))*
IF(EF$44=1,0,
IF(INT(DN225)=INT(DM225),DN225-DM225,INT(DN225)-DM225))+
IF($N225&lt;=1,
IF($N225&gt;0,1/$N225,0),VDB(1,0,$N225,INT(EF$44-1),MIN($N225,INT(EF$44-1)+1),$DC225,IF($DD225="No",1,0))/
IF(DN225&gt;INT($N225),$N225-INT($N225),1))*
IF(EF$44=1,DN225,
IF(INT(DN225)=INT(DM225),0,DN225-INT(DN225)))))</f>
        <v>0</v>
      </c>
      <c r="EG225" s="835">
        <f>+IF(DO225=DN225,0,
IF(AND(EG$44&gt;1,DO225=$N225),1-SUM($EE225:EF225),
IF($N225&lt;=1,
IF($N225&gt;0,1/$N225,0),
IF(EG$44=1,0,VDB(1,0,$N225,INT(EG$44-1-1),MIN($N225,INT(EG$44-1-1)+1),$DC225,IF($DD225="No",1,0))/
IF(DN225&gt;=INT($N225),$N225-INT($N225),1)))*
IF(EG$44=1,0,
IF(INT(DO225)=INT(DN225),DO225-DN225,INT(DO225)-DN225))+
IF($N225&lt;=1,
IF($N225&gt;0,1/$N225,0),VDB(1,0,$N225,INT(EG$44-1),MIN($N225,INT(EG$44-1)+1),$DC225,IF($DD225="No",1,0))/
IF(DO225&gt;INT($N225),$N225-INT($N225),1))*
IF(EG$44=1,DO225,
IF(INT(DO225)=INT(DN225),0,DO225-INT(DO225)))))</f>
        <v>0</v>
      </c>
      <c r="EH225" s="836">
        <f>+IF(DP225=DO225,0,
IF(AND(EH$44&gt;1,DP225=$N225),1-SUM($EE225:EG225),
IF($N225&lt;=1,
IF($N225&gt;0,1/$N225,0),
IF(EH$44=1,0,VDB(1,0,$N225,INT(EH$44-1-1),MIN($N225,INT(EH$44-1-1)+1),$DC225,IF($DD225="No",1,0))/
IF(DO225&gt;=INT($N225),$N225-INT($N225),1)))*
IF(EH$44=1,0,
IF(INT(DP225)=INT(DO225),DP225-DO225,INT(DP225)-DO225))+
IF($N225&lt;=1,
IF($N225&gt;0,1/$N225,0),VDB(1,0,$N225,INT(EH$44-1),MIN($N225,INT(EH$44-1)+1),$DC225,IF($DD225="No",1,0))/
IF(DP225&gt;INT($N225),$N225-INT($N225),1))*
IF(EH$44=1,DP225,
IF(INT(DP225)=INT(DO225),0,DP225-INT(DP225)))))</f>
        <v>0</v>
      </c>
      <c r="EI225" s="834">
        <f>+IF(DQ225=DP225,0,
IF(AND(EI$44&gt;1,DQ225=$N225),1-SUM($EE225:EH225),
IF($N225&lt;=1,
IF($N225&gt;0,1/$N225,0),
IF(EI$44=1,0,VDB(1,0,$N225,INT(EI$44-1-1),MIN($N225,INT(EI$44-1-1)+1),$DC225,IF($DD225="No",1,0))/
IF(DP225&gt;=INT($N225),$N225-INT($N225),1)))*
IF(EI$44=1,0,
IF(INT(DQ225)=INT(DP225),DQ225-DP225,INT(DQ225)-DP225))+
IF($N225&lt;=1,
IF($N225&gt;0,1/$N225,0),VDB(1,0,$N225,INT(EI$44-1),MIN($N225,INT(EI$44-1)+1),$DC225,IF($DD225="No",1,0))/
IF(DQ225&gt;INT($N225),$N225-INT($N225),1))*
IF(EI$44=1,DQ225,
IF(INT(DQ225)=INT(DP225),0,DQ225-INT(DQ225)))))</f>
        <v>0</v>
      </c>
      <c r="EJ225" s="835">
        <f>+IF(DR225=DQ225,0,
IF(AND(EJ$44&gt;1,DR225=$N225),1-SUM($EE225:EI225),
IF($N225&lt;=1,
IF($N225&gt;0,1/$N225,0),
IF(EJ$44=1,0,VDB(1,0,$N225,INT(EJ$44-1-1),MIN($N225,INT(EJ$44-1-1)+1),$DC225,IF($DD225="No",1,0))/
IF(DQ225&gt;=INT($N225),$N225-INT($N225),1)))*
IF(EJ$44=1,0,
IF(INT(DR225)=INT(DQ225),DR225-DQ225,INT(DR225)-DQ225))+
IF($N225&lt;=1,
IF($N225&gt;0,1/$N225,0),VDB(1,0,$N225,INT(EJ$44-1),MIN($N225,INT(EJ$44-1)+1),$DC225,IF($DD225="No",1,0))/
IF(DR225&gt;INT($N225),$N225-INT($N225),1))*
IF(EJ$44=1,DR225,
IF(INT(DR225)=INT(DQ225),0,DR225-INT(DR225)))))</f>
        <v>0</v>
      </c>
      <c r="EK225" s="835">
        <f>+IF(DS225=DR225,0,
IF(AND(EK$44&gt;1,DS225=$N225),1-SUM($EE225:EJ225),
IF($N225&lt;=1,
IF($N225&gt;0,1/$N225,0),
IF(EK$44=1,0,VDB(1,0,$N225,INT(EK$44-1-1),MIN($N225,INT(EK$44-1-1)+1),$DC225,IF($DD225="No",1,0))/
IF(DR225&gt;=INT($N225),$N225-INT($N225),1)))*
IF(EK$44=1,0,
IF(INT(DS225)=INT(DR225),DS225-DR225,INT(DS225)-DR225))+
IF($N225&lt;=1,
IF($N225&gt;0,1/$N225,0),VDB(1,0,$N225,INT(EK$44-1),MIN($N225,INT(EK$44-1)+1),$DC225,IF($DD225="No",1,0))/
IF(DS225&gt;INT($N225),$N225-INT($N225),1))*
IF(EK$44=1,DS225,
IF(INT(DS225)=INT(DR225),0,DS225-INT(DS225)))))</f>
        <v>0</v>
      </c>
      <c r="EL225" s="835">
        <f>+IF(DT225=DS225,0,
IF(AND(EL$44&gt;1,DT225=$N225),1-SUM($EE225:EK225),
IF($N225&lt;=1,
IF($N225&gt;0,1/$N225,0),
IF(EL$44=1,0,VDB(1,0,$N225,INT(EL$44-1-1),MIN($N225,INT(EL$44-1-1)+1),$DC225,IF($DD225="No",1,0))/
IF(DS225&gt;=INT($N225),$N225-INT($N225),1)))*
IF(EL$44=1,0,
IF(INT(DT225)=INT(DS225),DT225-DS225,INT(DT225)-DS225))+
IF($N225&lt;=1,
IF($N225&gt;0,1/$N225,0),VDB(1,0,$N225,INT(EL$44-1),MIN($N225,INT(EL$44-1)+1),$DC225,IF($DD225="No",1,0))/
IF(DT225&gt;INT($N225),$N225-INT($N225),1))*
IF(EL$44=1,DT225,
IF(INT(DT225)=INT(DS225),0,DT225-INT(DT225)))))</f>
        <v>0</v>
      </c>
      <c r="EM225" s="836">
        <f>+IF(DU225=DT225,0,
IF(AND(EM$44&gt;1,DU225=$N225),1-SUM($EE225:EL225),
IF($N225&lt;=1,
IF($N225&gt;0,1/$N225,0),
IF(EM$44=1,0,VDB(1,0,$N225,INT(EM$44-1-1),MIN($N225,INT(EM$44-1-1)+1),$DC225,IF($DD225="No",1,0))/
IF(DT225&gt;=INT($N225),$N225-INT($N225),1)))*
IF(EM$44=1,0,
IF(INT(DU225)=INT(DT225),DU225-DT225,INT(DU225)-DT225))+
IF($N225&lt;=1,
IF($N225&gt;0,1/$N225,0),VDB(1,0,$N225,INT(EM$44-1),MIN($N225,INT(EM$44-1)+1),$DC225,IF($DD225="No",1,0))/
IF(DU225&gt;INT($N225),$N225-INT($N225),1))*
IF(EM$44=1,DU225,
IF(INT(DU225)=INT(DT225),0,DU225-INT(DU225)))))</f>
        <v>0</v>
      </c>
      <c r="EN225" s="833"/>
      <c r="EO225" s="834">
        <f>+IF(OR(DW225=DV225,EO$44=1),0,
IF(AND(EO$44&gt;1,DW225=$N225),1-SUM($EN225:EN225),
IF($N225&lt;=1,
IF($N225&gt;0,1/$N225,0),
IF(EO$44=2,0,VDB(1,0,$N225,INT(EO$44-2-1),MIN($N225,INT(EO$44-2-1)+1),$DC225,IF($DD225="No",1,0))/
IF(DV225&gt;=INT($N225),$N225-INT($N225),1)))*
IF(EO$44=2,0,
IF(INT(DW225)=INT(DV225),DW225-DV225,INT(DW225)-DV225))+
IF($N225&lt;=1,
IF($N225&gt;0,1/$N225,0),VDB(1,0,$N225,INT(EO$44-2),MIN($N225,INT(EO$44-2)+1),$DC225,IF($DD225="No",1,0))/
IF(DW225&gt;INT($N225),$N225-INT($N225),1))*
IF(EO$44=2,DW225,
IF(INT(DW225)=INT(DV225),0,DW225-INT(DW225)))))</f>
        <v>0</v>
      </c>
      <c r="EP225" s="835">
        <f>+IF(OR(DX225=DW225,EP$44=1),0,
IF(AND(EP$44&gt;1,DX225=$N225),1-SUM($EN225:EO225),
IF($N225&lt;=1,
IF($N225&gt;0,1/$N225,0),
IF(EP$44=2,0,VDB(1,0,$N225,INT(EP$44-2-1),MIN($N225,INT(EP$44-2-1)+1),$DC225,IF($DD225="No",1,0))/
IF(DW225&gt;=INT($N225),$N225-INT($N225),1)))*
IF(EP$44=2,0,
IF(INT(DX225)=INT(DW225),DX225-DW225,INT(DX225)-DW225))+
IF($N225&lt;=1,
IF($N225&gt;0,1/$N225,0),VDB(1,0,$N225,INT(EP$44-2),MIN($N225,INT(EP$44-2)+1),$DC225,IF($DD225="No",1,0))/
IF(DX225&gt;INT($N225),$N225-INT($N225),1))*
IF(EP$44=2,DX225,
IF(INT(DX225)=INT(DW225),0,DX225-INT(DX225)))))</f>
        <v>0</v>
      </c>
      <c r="EQ225" s="836">
        <f>+IF(OR(DY225=DX225,EQ$44=1),0,
IF(AND(EQ$44&gt;1,DY225=$N225),1-SUM($EN225:EP225),
IF($N225&lt;=1,
IF($N225&gt;0,1/$N225,0),
IF(EQ$44=2,0,VDB(1,0,$N225,INT(EQ$44-2-1),MIN($N225,INT(EQ$44-2-1)+1),$DC225,IF($DD225="No",1,0))/
IF(DX225&gt;=INT($N225),$N225-INT($N225),1)))*
IF(EQ$44=2,0,
IF(INT(DY225)=INT(DX225),DY225-DX225,INT(DY225)-DX225))+
IF($N225&lt;=1,
IF($N225&gt;0,1/$N225,0),VDB(1,0,$N225,INT(EQ$44-2),MIN($N225,INT(EQ$44-2)+1),$DC225,IF($DD225="No",1,0))/
IF(DY225&gt;INT($N225),$N225-INT($N225),1))*
IF(EQ$44=2,DY225,
IF(INT(DY225)=INT(DX225),0,DY225-INT(DY225)))))</f>
        <v>0</v>
      </c>
      <c r="ER225" s="834">
        <f>+IF(OR(DZ225=DY225,ER$44=1),0,
IF(AND(ER$44&gt;1,DZ225=$N225),1-SUM($EN225:EQ225),
IF($N225&lt;=1,
IF($N225&gt;0,1/$N225,0),
IF(ER$44=2,0,VDB(1,0,$N225,INT(ER$44-2-1),MIN($N225,INT(ER$44-2-1)+1),$DC225,IF($DD225="No",1,0))/
IF(DY225&gt;=INT($N225),$N225-INT($N225),1)))*
IF(ER$44=2,0,
IF(INT(DZ225)=INT(DY225),DZ225-DY225,INT(DZ225)-DY225))+
IF($N225&lt;=1,
IF($N225&gt;0,1/$N225,0),VDB(1,0,$N225,INT(ER$44-2),MIN($N225,INT(ER$44-2)+1),$DC225,IF($DD225="No",1,0))/
IF(DZ225&gt;INT($N225),$N225-INT($N225),1))*
IF(ER$44=2,DZ225,
IF(INT(DZ225)=INT(DY225),0,DZ225-INT(DZ225)))))</f>
        <v>0</v>
      </c>
      <c r="ES225" s="835">
        <f>+IF(OR(EA225=DZ225,ES$44=1),0,
IF(AND(ES$44&gt;1,EA225=$N225),1-SUM($EN225:ER225),
IF($N225&lt;=1,
IF($N225&gt;0,1/$N225,0),
IF(ES$44=2,0,VDB(1,0,$N225,INT(ES$44-2-1),MIN($N225,INT(ES$44-2-1)+1),$DC225,IF($DD225="No",1,0))/
IF(DZ225&gt;=INT($N225),$N225-INT($N225),1)))*
IF(ES$44=2,0,
IF(INT(EA225)=INT(DZ225),EA225-DZ225,INT(EA225)-DZ225))+
IF($N225&lt;=1,
IF($N225&gt;0,1/$N225,0),VDB(1,0,$N225,INT(ES$44-2),MIN($N225,INT(ES$44-2)+1),$DC225,IF($DD225="No",1,0))/
IF(EA225&gt;INT($N225),$N225-INT($N225),1))*
IF(ES$44=2,EA225,
IF(INT(EA225)=INT(DZ225),0,EA225-INT(EA225)))))</f>
        <v>0</v>
      </c>
      <c r="ET225" s="835">
        <f>+IF(OR(EB225=EA225,ET$44=1),0,
IF(AND(ET$44&gt;1,EB225=$N225),1-SUM($EN225:ES225),
IF($N225&lt;=1,
IF($N225&gt;0,1/$N225,0),
IF(ET$44=2,0,VDB(1,0,$N225,INT(ET$44-2-1),MIN($N225,INT(ET$44-2-1)+1),$DC225,IF($DD225="No",1,0))/
IF(EA225&gt;=INT($N225),$N225-INT($N225),1)))*
IF(ET$44=2,0,
IF(INT(EB225)=INT(EA225),EB225-EA225,INT(EB225)-EA225))+
IF($N225&lt;=1,
IF($N225&gt;0,1/$N225,0),VDB(1,0,$N225,INT(ET$44-2),MIN($N225,INT(ET$44-2)+1),$DC225,IF($DD225="No",1,0))/
IF(EB225&gt;INT($N225),$N225-INT($N225),1))*
IF(ET$44=2,EB225,
IF(INT(EB225)=INT(EA225),0,EB225-INT(EB225)))))</f>
        <v>0</v>
      </c>
      <c r="EU225" s="835">
        <f>+IF(OR(EC225=EB225,EU$44=1),0,
IF(AND(EU$44&gt;1,EC225=$N225),1-SUM($EN225:ET225),
IF($N225&lt;=1,
IF($N225&gt;0,1/$N225,0),
IF(EU$44=2,0,VDB(1,0,$N225,INT(EU$44-2-1),MIN($N225,INT(EU$44-2-1)+1),$DC225,IF($DD225="No",1,0))/
IF(EB225&gt;=INT($N225),$N225-INT($N225),1)))*
IF(EU$44=2,0,
IF(INT(EC225)=INT(EB225),EC225-EB225,INT(EC225)-EB225))+
IF($N225&lt;=1,
IF($N225&gt;0,1/$N225,0),VDB(1,0,$N225,INT(EU$44-2),MIN($N225,INT(EU$44-2)+1),$DC225,IF($DD225="No",1,0))/
IF(EC225&gt;INT($N225),$N225-INT($N225),1))*
IF(EU$44=2,EC225,
IF(INT(EC225)=INT(EB225),0,EC225-INT(EC225)))))</f>
        <v>0</v>
      </c>
      <c r="EV225" s="836">
        <f>+IF(OR(ED225=EC225,EV$44=1),0,
IF(AND(EV$44&gt;1,ED225=$N225),1-SUM($EN225:EU225),
IF($N225&lt;=1,
IF($N225&gt;0,1/$N225,0),
IF(EV$44=2,0,VDB(1,0,$N225,INT(EV$44-2-1),MIN($N225,INT(EV$44-2-1)+1),$DC225,IF($DD225="No",1,0))/
IF(EC225&gt;=INT($N225),$N225-INT($N225),1)))*
IF(EV$44=2,0,
IF(INT(ED225)=INT(EC225),ED225-EC225,INT(ED225)-EC225))+
IF($N225&lt;=1,
IF($N225&gt;0,1/$N225,0),VDB(1,0,$N225,INT(EV$44-2),MIN($N225,INT(EV$44-2)+1),$DC225,IF($DD225="No",1,0))/
IF(ED225&gt;INT($N225),$N225-INT($N225),1))*
IF(EV$44=2,ED225,
IF(INT(ED225)=INT(EC225),0,ED225-INT(ED225)))))</f>
        <v>0</v>
      </c>
      <c r="EW225" s="833"/>
      <c r="EX225" s="834">
        <f t="shared" ca="1" si="361"/>
        <v>0</v>
      </c>
      <c r="EY225" s="835">
        <f t="shared" ca="1" si="361"/>
        <v>0</v>
      </c>
      <c r="EZ225" s="836">
        <f t="shared" ca="1" si="361"/>
        <v>0</v>
      </c>
      <c r="FA225" s="834">
        <f t="shared" ca="1" si="361"/>
        <v>0</v>
      </c>
      <c r="FB225" s="835">
        <f t="shared" ca="1" si="361"/>
        <v>0</v>
      </c>
      <c r="FC225" s="835">
        <f t="shared" ca="1" si="361"/>
        <v>0</v>
      </c>
      <c r="FD225" s="835">
        <f t="shared" ca="1" si="361"/>
        <v>0</v>
      </c>
      <c r="FE225" s="836">
        <f t="shared" ca="1" si="361"/>
        <v>0</v>
      </c>
      <c r="FG225" s="386">
        <f t="shared" ca="1" si="351"/>
        <v>0</v>
      </c>
      <c r="FH225" s="387">
        <f t="shared" ca="1" si="352"/>
        <v>0</v>
      </c>
      <c r="FI225" s="388">
        <f t="shared" ca="1" si="353"/>
        <v>0</v>
      </c>
      <c r="FJ225" s="386">
        <f t="shared" ca="1" si="354"/>
        <v>0</v>
      </c>
      <c r="FK225" s="387">
        <f t="shared" ca="1" si="355"/>
        <v>0</v>
      </c>
      <c r="FL225" s="387">
        <f t="shared" ca="1" si="356"/>
        <v>0</v>
      </c>
      <c r="FM225" s="387">
        <f t="shared" ca="1" si="357"/>
        <v>0</v>
      </c>
      <c r="FN225" s="388">
        <f t="shared" ca="1" si="358"/>
        <v>0</v>
      </c>
      <c r="FR225" s="116"/>
    </row>
    <row r="226" spans="2:174">
      <c r="B226" s="1410">
        <f t="shared" si="359"/>
        <v>180</v>
      </c>
      <c r="C226" s="400"/>
      <c r="D226" s="410"/>
      <c r="E226" s="402"/>
      <c r="F226" s="402"/>
      <c r="G226" s="400"/>
      <c r="H226" s="2088"/>
      <c r="I226" s="2089"/>
      <c r="J226" s="411"/>
      <c r="K226" s="403"/>
      <c r="L226" s="403"/>
      <c r="M226" s="403"/>
      <c r="N226" s="403"/>
      <c r="O226" s="347"/>
      <c r="P226" s="347"/>
      <c r="Q226" s="1021"/>
      <c r="R226" s="1022"/>
      <c r="S226" s="1022"/>
      <c r="T226" s="1022"/>
      <c r="U226" s="1023"/>
      <c r="V226" s="1021"/>
      <c r="W226" s="1022"/>
      <c r="X226" s="1022"/>
      <c r="Y226" s="1022"/>
      <c r="Z226" s="1023"/>
      <c r="AA226" s="1024"/>
      <c r="AB226" s="1021"/>
      <c r="AC226" s="1022"/>
      <c r="AD226" s="1022"/>
      <c r="AE226" s="1022"/>
      <c r="AF226" s="1023"/>
      <c r="AG226" s="1021"/>
      <c r="AH226" s="1022"/>
      <c r="AI226" s="1022"/>
      <c r="AJ226" s="1022"/>
      <c r="AK226" s="1023"/>
      <c r="AL226" s="1024"/>
      <c r="AM226" s="1021"/>
      <c r="AN226" s="1022"/>
      <c r="AO226" s="1022"/>
      <c r="AP226" s="1022"/>
      <c r="AQ226" s="1023"/>
      <c r="AR226" s="1021"/>
      <c r="AS226" s="1022"/>
      <c r="AT226" s="1022"/>
      <c r="AU226" s="1022"/>
      <c r="AV226" s="1023"/>
      <c r="AW226" s="1025"/>
      <c r="AX226" s="1282">
        <f t="shared" si="304"/>
        <v>0</v>
      </c>
      <c r="AY226" s="387">
        <f t="shared" si="305"/>
        <v>0</v>
      </c>
      <c r="AZ226" s="387">
        <f t="shared" si="306"/>
        <v>0</v>
      </c>
      <c r="BA226" s="387">
        <f t="shared" si="307"/>
        <v>0</v>
      </c>
      <c r="BB226" s="1283">
        <f t="shared" si="308"/>
        <v>0</v>
      </c>
      <c r="BC226" s="386">
        <f t="shared" si="309"/>
        <v>0</v>
      </c>
      <c r="BD226" s="387">
        <f t="shared" si="310"/>
        <v>0</v>
      </c>
      <c r="BE226" s="1277">
        <f t="shared" si="311"/>
        <v>0</v>
      </c>
      <c r="BF226" s="1277">
        <f t="shared" si="312"/>
        <v>0</v>
      </c>
      <c r="BG226" s="388">
        <f t="shared" si="313"/>
        <v>0</v>
      </c>
      <c r="BH226" s="1025"/>
      <c r="BI226" s="1282">
        <f t="shared" ca="1" si="314"/>
        <v>0</v>
      </c>
      <c r="BJ226" s="387">
        <f t="shared" ca="1" si="315"/>
        <v>0</v>
      </c>
      <c r="BK226" s="387">
        <f t="shared" ca="1" si="316"/>
        <v>0</v>
      </c>
      <c r="BL226" s="387">
        <f t="shared" ca="1" si="317"/>
        <v>0</v>
      </c>
      <c r="BM226" s="1283">
        <f t="shared" ca="1" si="318"/>
        <v>0</v>
      </c>
      <c r="BN226" s="386">
        <f t="shared" ca="1" si="319"/>
        <v>0</v>
      </c>
      <c r="BO226" s="387">
        <f t="shared" ca="1" si="320"/>
        <v>0</v>
      </c>
      <c r="BP226" s="1277">
        <f t="shared" ca="1" si="321"/>
        <v>0</v>
      </c>
      <c r="BQ226" s="1277">
        <f t="shared" ca="1" si="322"/>
        <v>0</v>
      </c>
      <c r="BR226" s="388">
        <f t="shared" ca="1" si="323"/>
        <v>0</v>
      </c>
      <c r="BS226" s="1025"/>
      <c r="BT226" s="1282">
        <f>+IF($K226="Ongoing",AX226,IF(RIGHT($K226,2)=RIGHT(BT$43,2),SUM($AX226:AX226),0)+IF(RIGHT(BT$43,2)&gt;RIGHT($K226,2),AX226,0))</f>
        <v>0</v>
      </c>
      <c r="BU226" s="387">
        <f>+IF($K226="Ongoing",AY226,IF(RIGHT($K226,2)=RIGHT(BU$43,2),SUM($AX226:AY226),0)+IF(RIGHT(BU$43,2)&gt;RIGHT($K226,2),AY226,0))</f>
        <v>0</v>
      </c>
      <c r="BV226" s="387">
        <f>+IF($K226="Ongoing",AZ226,IF(RIGHT($K226,2)=RIGHT(BV$43,2),SUM($AX226:AZ226),0)+IF(RIGHT(BV$43,2)&gt;RIGHT($K226,2),AZ226,0))</f>
        <v>0</v>
      </c>
      <c r="BW226" s="387">
        <f>+IF($K226="Ongoing",BA226,IF(RIGHT($K226,2)=RIGHT(BW$43,2),SUM($AX226:BA226),0)+IF(RIGHT(BW$43,2)&gt;RIGHT($K226,2),BA226,0))</f>
        <v>0</v>
      </c>
      <c r="BX226" s="1283">
        <f>+IF($K226="Ongoing",BB226,IF(RIGHT($K226,2)=RIGHT(BX$43,2),SUM($AX226:BB226),0)+IF(RIGHT(BX$43,2)&gt;RIGHT($K226,2),BB226,0))</f>
        <v>0</v>
      </c>
      <c r="BY226" s="386">
        <f>+IF($K226="Ongoing",BC226,IF(RIGHT($K226,2)=RIGHT(BY$43,2),SUM($AX226:BC226),0)+IF(RIGHT(BY$43,2)&gt;RIGHT($K226,2),BC226,0))</f>
        <v>0</v>
      </c>
      <c r="BZ226" s="387">
        <f>+IF($K226="Ongoing",BD226,IF(RIGHT($K226,2)=RIGHT(BZ$43,2),SUM($AX226:BD226),0)+IF(RIGHT(BZ$43,2)&gt;RIGHT($K226,2),BD226,0))</f>
        <v>0</v>
      </c>
      <c r="CA226" s="1277">
        <f>+IF($K226="Ongoing",BE226,IF(RIGHT($K226,2)=RIGHT(CA$43,2),SUM($AX226:BE226),0)+IF(RIGHT(CA$43,2)&gt;RIGHT($K226,2),BE226,0))</f>
        <v>0</v>
      </c>
      <c r="CB226" s="1277">
        <f>+IF($K226="Ongoing",BF226,IF(RIGHT($K226,2)=RIGHT(CB$43,2),SUM($AX226:BF226),0)+IF(RIGHT(CB$43,2)&gt;RIGHT($K226,2),BF226,0))</f>
        <v>0</v>
      </c>
      <c r="CC226" s="388">
        <f>+IF($K226="Ongoing",BG226,IF(RIGHT($K226,2)=RIGHT(CC$43,2),SUM($AX226:BG226),0)+IF(RIGHT(CC$43,2)&gt;RIGHT($K226,2),BG226,0))</f>
        <v>0</v>
      </c>
      <c r="CD226" s="1025"/>
      <c r="CE226" s="1282">
        <f>+Q226*KeyAssumptionsPriceControl_FO!AF$15</f>
        <v>0</v>
      </c>
      <c r="CF226" s="387">
        <f>+R226*KeyAssumptionsPriceControl_FO!AG$15</f>
        <v>0</v>
      </c>
      <c r="CG226" s="387">
        <f>+S226*KeyAssumptionsPriceControl_FO!AH$15</f>
        <v>0</v>
      </c>
      <c r="CH226" s="387">
        <f>+T226*KeyAssumptionsPriceControl_FO!AI$15</f>
        <v>0</v>
      </c>
      <c r="CI226" s="1283">
        <f>+U226*KeyAssumptionsPriceControl_FO!AJ$15</f>
        <v>0</v>
      </c>
      <c r="CJ226" s="386">
        <f>+V226*KeyAssumptionsPriceControl_FO!AK$15</f>
        <v>0</v>
      </c>
      <c r="CK226" s="387">
        <f>+W226*KeyAssumptionsPriceControl_FO!AL$15</f>
        <v>0</v>
      </c>
      <c r="CL226" s="1277">
        <f>+X226*KeyAssumptionsPriceControl_FO!AM$15</f>
        <v>0</v>
      </c>
      <c r="CM226" s="1277">
        <f>+Y226*KeyAssumptionsPriceControl_FO!AN$15</f>
        <v>0</v>
      </c>
      <c r="CN226" s="388">
        <f>+Z226*KeyAssumptionsPriceControl_FO!AO$15</f>
        <v>0</v>
      </c>
      <c r="CO226" s="1025"/>
      <c r="CP226" s="1282">
        <f t="shared" ca="1" si="324"/>
        <v>0</v>
      </c>
      <c r="CQ226" s="387">
        <f t="shared" ca="1" si="325"/>
        <v>0</v>
      </c>
      <c r="CR226" s="387">
        <f t="shared" ca="1" si="326"/>
        <v>0</v>
      </c>
      <c r="CS226" s="387">
        <f t="shared" ca="1" si="327"/>
        <v>0</v>
      </c>
      <c r="CT226" s="1283">
        <f t="shared" ca="1" si="328"/>
        <v>0</v>
      </c>
      <c r="CU226" s="386">
        <f t="shared" ca="1" si="329"/>
        <v>0</v>
      </c>
      <c r="CV226" s="387">
        <f t="shared" ca="1" si="330"/>
        <v>0</v>
      </c>
      <c r="CW226" s="1277">
        <f t="shared" ca="1" si="331"/>
        <v>0</v>
      </c>
      <c r="CX226" s="1277">
        <f t="shared" ca="1" si="332"/>
        <v>0</v>
      </c>
      <c r="CY226" s="388">
        <f t="shared" ca="1" si="333"/>
        <v>0</v>
      </c>
      <c r="CZ226" s="347"/>
      <c r="DA226" s="852"/>
      <c r="DB226" s="347"/>
      <c r="DC226" s="1012" t="s">
        <v>747</v>
      </c>
      <c r="DD226" s="841" t="s">
        <v>518</v>
      </c>
      <c r="DE226" s="386">
        <f>+IF($K226="ongoing",CE226,IF(RIGHT($K226,2)=RIGHT(DE$43,2),SUM($CD226:CE226),0)+IF(RIGHT(DE$43,2)&gt;RIGHT($K226,2),CE226,0))</f>
        <v>0</v>
      </c>
      <c r="DF226" s="387">
        <f>+IF($K226="ongoing",CF226,IF(RIGHT($K226,2)=RIGHT(DF$43,2),SUM($CD226:CF226),0)+IF(RIGHT(DF$43,2)&gt;RIGHT($K226,2),CF226,0))</f>
        <v>0</v>
      </c>
      <c r="DG226" s="388">
        <f>+IF($K226="ongoing",CG226,IF(RIGHT($K226,2)=RIGHT(DG$43,2),SUM($CD226:CG226),0)+IF(RIGHT(DG$43,2)&gt;RIGHT($K226,2),CG226,0))</f>
        <v>0</v>
      </c>
      <c r="DH226" s="386">
        <f>+IF($K226="ongoing",CH226,IF(RIGHT($K226,2)=RIGHT(DH$43,2),SUM($CD226:CH226),0)+IF(RIGHT(DH$43,2)&gt;RIGHT($K226,2),CH226,0))</f>
        <v>0</v>
      </c>
      <c r="DI226" s="387">
        <f>+IF($K226="ongoing",CI226,IF(RIGHT($K226,2)=RIGHT(DI$43,2),SUM($CD226:CI226),0)+IF(RIGHT(DI$43,2)&gt;RIGHT($K226,2),CI226,0))</f>
        <v>0</v>
      </c>
      <c r="DJ226" s="387">
        <f>+IF($K226="ongoing",CJ226,IF(RIGHT($K226,2)=RIGHT(DJ$43,2),SUM($CD226:CJ226),0)+IF(RIGHT(DJ$43,2)&gt;RIGHT($K226,2),CJ226,0))</f>
        <v>0</v>
      </c>
      <c r="DK226" s="387">
        <f>+IF($K226="ongoing",CK226,IF(RIGHT($K226,2)=RIGHT(DK$43,2),SUM($CD226:CK226),0)+IF(RIGHT(DK$43,2)&gt;RIGHT($K226,2),CK226,0))</f>
        <v>0</v>
      </c>
      <c r="DL226" s="388">
        <f>+IF($K226="ongoing",CN226,IF(RIGHT($K226,2)=RIGHT(DL$43,2),SUM($CD226:CN226),0)+IF(RIGHT(DL$43,2)&gt;RIGHT($K226,2),CN226,0))</f>
        <v>0</v>
      </c>
      <c r="DM226" s="841"/>
      <c r="DN226" s="386">
        <f t="shared" si="334"/>
        <v>0.5</v>
      </c>
      <c r="DO226" s="387">
        <f t="shared" si="335"/>
        <v>1</v>
      </c>
      <c r="DP226" s="388">
        <f t="shared" si="336"/>
        <v>1</v>
      </c>
      <c r="DQ226" s="386">
        <f t="shared" si="337"/>
        <v>1</v>
      </c>
      <c r="DR226" s="387">
        <f t="shared" si="338"/>
        <v>1</v>
      </c>
      <c r="DS226" s="387">
        <f t="shared" si="339"/>
        <v>1</v>
      </c>
      <c r="DT226" s="387">
        <f t="shared" si="340"/>
        <v>1</v>
      </c>
      <c r="DU226" s="388">
        <f t="shared" si="341"/>
        <v>1</v>
      </c>
      <c r="DW226" s="386">
        <f t="shared" si="342"/>
        <v>0</v>
      </c>
      <c r="DX226" s="387">
        <f t="shared" si="343"/>
        <v>0.5</v>
      </c>
      <c r="DY226" s="388">
        <f t="shared" si="344"/>
        <v>1</v>
      </c>
      <c r="DZ226" s="386">
        <f t="shared" si="345"/>
        <v>1</v>
      </c>
      <c r="EA226" s="387">
        <f t="shared" si="346"/>
        <v>1</v>
      </c>
      <c r="EB226" s="387">
        <f t="shared" si="347"/>
        <v>1</v>
      </c>
      <c r="EC226" s="387">
        <f t="shared" si="348"/>
        <v>1</v>
      </c>
      <c r="ED226" s="388">
        <f t="shared" si="349"/>
        <v>1</v>
      </c>
      <c r="EF226" s="834">
        <f>+IF(DN226=DM226,0,
IF(AND(EF$44&gt;1,DN226=$N226),1-SUM($EE226:EE226),
IF($N226&lt;=1,
IF($N226&gt;0,1/$N226,0),
IF(EF$44=1,0,VDB(1,0,$N226,INT(EF$44-1-1),MIN($N226,INT(EF$44-1-1)+1),$DC226,IF($DD226="No",1,0))/
IF(DM226&gt;=INT($N226),$N226-INT($N226),1)))*
IF(EF$44=1,0,
IF(INT(DN226)=INT(DM226),DN226-DM226,INT(DN226)-DM226))+
IF($N226&lt;=1,
IF($N226&gt;0,1/$N226,0),VDB(1,0,$N226,INT(EF$44-1),MIN($N226,INT(EF$44-1)+1),$DC226,IF($DD226="No",1,0))/
IF(DN226&gt;INT($N226),$N226-INT($N226),1))*
IF(EF$44=1,DN226,
IF(INT(DN226)=INT(DM226),0,DN226-INT(DN226)))))</f>
        <v>0</v>
      </c>
      <c r="EG226" s="835">
        <f>+IF(DO226=DN226,0,
IF(AND(EG$44&gt;1,DO226=$N226),1-SUM($EE226:EF226),
IF($N226&lt;=1,
IF($N226&gt;0,1/$N226,0),
IF(EG$44=1,0,VDB(1,0,$N226,INT(EG$44-1-1),MIN($N226,INT(EG$44-1-1)+1),$DC226,IF($DD226="No",1,0))/
IF(DN226&gt;=INT($N226),$N226-INT($N226),1)))*
IF(EG$44=1,0,
IF(INT(DO226)=INT(DN226),DO226-DN226,INT(DO226)-DN226))+
IF($N226&lt;=1,
IF($N226&gt;0,1/$N226,0),VDB(1,0,$N226,INT(EG$44-1),MIN($N226,INT(EG$44-1)+1),$DC226,IF($DD226="No",1,0))/
IF(DO226&gt;INT($N226),$N226-INT($N226),1))*
IF(EG$44=1,DO226,
IF(INT(DO226)=INT(DN226),0,DO226-INT(DO226)))))</f>
        <v>0</v>
      </c>
      <c r="EH226" s="836">
        <f>+IF(DP226=DO226,0,
IF(AND(EH$44&gt;1,DP226=$N226),1-SUM($EE226:EG226),
IF($N226&lt;=1,
IF($N226&gt;0,1/$N226,0),
IF(EH$44=1,0,VDB(1,0,$N226,INT(EH$44-1-1),MIN($N226,INT(EH$44-1-1)+1),$DC226,IF($DD226="No",1,0))/
IF(DO226&gt;=INT($N226),$N226-INT($N226),1)))*
IF(EH$44=1,0,
IF(INT(DP226)=INT(DO226),DP226-DO226,INT(DP226)-DO226))+
IF($N226&lt;=1,
IF($N226&gt;0,1/$N226,0),VDB(1,0,$N226,INT(EH$44-1),MIN($N226,INT(EH$44-1)+1),$DC226,IF($DD226="No",1,0))/
IF(DP226&gt;INT($N226),$N226-INT($N226),1))*
IF(EH$44=1,DP226,
IF(INT(DP226)=INT(DO226),0,DP226-INT(DP226)))))</f>
        <v>0</v>
      </c>
      <c r="EI226" s="834">
        <f>+IF(DQ226=DP226,0,
IF(AND(EI$44&gt;1,DQ226=$N226),1-SUM($EE226:EH226),
IF($N226&lt;=1,
IF($N226&gt;0,1/$N226,0),
IF(EI$44=1,0,VDB(1,0,$N226,INT(EI$44-1-1),MIN($N226,INT(EI$44-1-1)+1),$DC226,IF($DD226="No",1,0))/
IF(DP226&gt;=INT($N226),$N226-INT($N226),1)))*
IF(EI$44=1,0,
IF(INT(DQ226)=INT(DP226),DQ226-DP226,INT(DQ226)-DP226))+
IF($N226&lt;=1,
IF($N226&gt;0,1/$N226,0),VDB(1,0,$N226,INT(EI$44-1),MIN($N226,INT(EI$44-1)+1),$DC226,IF($DD226="No",1,0))/
IF(DQ226&gt;INT($N226),$N226-INT($N226),1))*
IF(EI$44=1,DQ226,
IF(INT(DQ226)=INT(DP226),0,DQ226-INT(DQ226)))))</f>
        <v>0</v>
      </c>
      <c r="EJ226" s="835">
        <f>+IF(DR226=DQ226,0,
IF(AND(EJ$44&gt;1,DR226=$N226),1-SUM($EE226:EI226),
IF($N226&lt;=1,
IF($N226&gt;0,1/$N226,0),
IF(EJ$44=1,0,VDB(1,0,$N226,INT(EJ$44-1-1),MIN($N226,INT(EJ$44-1-1)+1),$DC226,IF($DD226="No",1,0))/
IF(DQ226&gt;=INT($N226),$N226-INT($N226),1)))*
IF(EJ$44=1,0,
IF(INT(DR226)=INT(DQ226),DR226-DQ226,INT(DR226)-DQ226))+
IF($N226&lt;=1,
IF($N226&gt;0,1/$N226,0),VDB(1,0,$N226,INT(EJ$44-1),MIN($N226,INT(EJ$44-1)+1),$DC226,IF($DD226="No",1,0))/
IF(DR226&gt;INT($N226),$N226-INT($N226),1))*
IF(EJ$44=1,DR226,
IF(INT(DR226)=INT(DQ226),0,DR226-INT(DR226)))))</f>
        <v>0</v>
      </c>
      <c r="EK226" s="835">
        <f>+IF(DS226=DR226,0,
IF(AND(EK$44&gt;1,DS226=$N226),1-SUM($EE226:EJ226),
IF($N226&lt;=1,
IF($N226&gt;0,1/$N226,0),
IF(EK$44=1,0,VDB(1,0,$N226,INT(EK$44-1-1),MIN($N226,INT(EK$44-1-1)+1),$DC226,IF($DD226="No",1,0))/
IF(DR226&gt;=INT($N226),$N226-INT($N226),1)))*
IF(EK$44=1,0,
IF(INT(DS226)=INT(DR226),DS226-DR226,INT(DS226)-DR226))+
IF($N226&lt;=1,
IF($N226&gt;0,1/$N226,0),VDB(1,0,$N226,INT(EK$44-1),MIN($N226,INT(EK$44-1)+1),$DC226,IF($DD226="No",1,0))/
IF(DS226&gt;INT($N226),$N226-INT($N226),1))*
IF(EK$44=1,DS226,
IF(INT(DS226)=INT(DR226),0,DS226-INT(DS226)))))</f>
        <v>0</v>
      </c>
      <c r="EL226" s="835">
        <f>+IF(DT226=DS226,0,
IF(AND(EL$44&gt;1,DT226=$N226),1-SUM($EE226:EK226),
IF($N226&lt;=1,
IF($N226&gt;0,1/$N226,0),
IF(EL$44=1,0,VDB(1,0,$N226,INT(EL$44-1-1),MIN($N226,INT(EL$44-1-1)+1),$DC226,IF($DD226="No",1,0))/
IF(DS226&gt;=INT($N226),$N226-INT($N226),1)))*
IF(EL$44=1,0,
IF(INT(DT226)=INT(DS226),DT226-DS226,INT(DT226)-DS226))+
IF($N226&lt;=1,
IF($N226&gt;0,1/$N226,0),VDB(1,0,$N226,INT(EL$44-1),MIN($N226,INT(EL$44-1)+1),$DC226,IF($DD226="No",1,0))/
IF(DT226&gt;INT($N226),$N226-INT($N226),1))*
IF(EL$44=1,DT226,
IF(INT(DT226)=INT(DS226),0,DT226-INT(DT226)))))</f>
        <v>0</v>
      </c>
      <c r="EM226" s="836">
        <f>+IF(DU226=DT226,0,
IF(AND(EM$44&gt;1,DU226=$N226),1-SUM($EE226:EL226),
IF($N226&lt;=1,
IF($N226&gt;0,1/$N226,0),
IF(EM$44=1,0,VDB(1,0,$N226,INT(EM$44-1-1),MIN($N226,INT(EM$44-1-1)+1),$DC226,IF($DD226="No",1,0))/
IF(DT226&gt;=INT($N226),$N226-INT($N226),1)))*
IF(EM$44=1,0,
IF(INT(DU226)=INT(DT226),DU226-DT226,INT(DU226)-DT226))+
IF($N226&lt;=1,
IF($N226&gt;0,1/$N226,0),VDB(1,0,$N226,INT(EM$44-1),MIN($N226,INT(EM$44-1)+1),$DC226,IF($DD226="No",1,0))/
IF(DU226&gt;INT($N226),$N226-INT($N226),1))*
IF(EM$44=1,DU226,
IF(INT(DU226)=INT(DT226),0,DU226-INT(DU226)))))</f>
        <v>0</v>
      </c>
      <c r="EN226" s="833"/>
      <c r="EO226" s="834">
        <f>+IF(OR(DW226=DV226,EO$44=1),0,
IF(AND(EO$44&gt;1,DW226=$N226),1-SUM($EN226:EN226),
IF($N226&lt;=1,
IF($N226&gt;0,1/$N226,0),
IF(EO$44=2,0,VDB(1,0,$N226,INT(EO$44-2-1),MIN($N226,INT(EO$44-2-1)+1),$DC226,IF($DD226="No",1,0))/
IF(DV226&gt;=INT($N226),$N226-INT($N226),1)))*
IF(EO$44=2,0,
IF(INT(DW226)=INT(DV226),DW226-DV226,INT(DW226)-DV226))+
IF($N226&lt;=1,
IF($N226&gt;0,1/$N226,0),VDB(1,0,$N226,INT(EO$44-2),MIN($N226,INT(EO$44-2)+1),$DC226,IF($DD226="No",1,0))/
IF(DW226&gt;INT($N226),$N226-INT($N226),1))*
IF(EO$44=2,DW226,
IF(INT(DW226)=INT(DV226),0,DW226-INT(DW226)))))</f>
        <v>0</v>
      </c>
      <c r="EP226" s="835">
        <f>+IF(OR(DX226=DW226,EP$44=1),0,
IF(AND(EP$44&gt;1,DX226=$N226),1-SUM($EN226:EO226),
IF($N226&lt;=1,
IF($N226&gt;0,1/$N226,0),
IF(EP$44=2,0,VDB(1,0,$N226,INT(EP$44-2-1),MIN($N226,INT(EP$44-2-1)+1),$DC226,IF($DD226="No",1,0))/
IF(DW226&gt;=INT($N226),$N226-INT($N226),1)))*
IF(EP$44=2,0,
IF(INT(DX226)=INT(DW226),DX226-DW226,INT(DX226)-DW226))+
IF($N226&lt;=1,
IF($N226&gt;0,1/$N226,0),VDB(1,0,$N226,INT(EP$44-2),MIN($N226,INT(EP$44-2)+1),$DC226,IF($DD226="No",1,0))/
IF(DX226&gt;INT($N226),$N226-INT($N226),1))*
IF(EP$44=2,DX226,
IF(INT(DX226)=INT(DW226),0,DX226-INT(DX226)))))</f>
        <v>0</v>
      </c>
      <c r="EQ226" s="836">
        <f>+IF(OR(DY226=DX226,EQ$44=1),0,
IF(AND(EQ$44&gt;1,DY226=$N226),1-SUM($EN226:EP226),
IF($N226&lt;=1,
IF($N226&gt;0,1/$N226,0),
IF(EQ$44=2,0,VDB(1,0,$N226,INT(EQ$44-2-1),MIN($N226,INT(EQ$44-2-1)+1),$DC226,IF($DD226="No",1,0))/
IF(DX226&gt;=INT($N226),$N226-INT($N226),1)))*
IF(EQ$44=2,0,
IF(INT(DY226)=INT(DX226),DY226-DX226,INT(DY226)-DX226))+
IF($N226&lt;=1,
IF($N226&gt;0,1/$N226,0),VDB(1,0,$N226,INT(EQ$44-2),MIN($N226,INT(EQ$44-2)+1),$DC226,IF($DD226="No",1,0))/
IF(DY226&gt;INT($N226),$N226-INT($N226),1))*
IF(EQ$44=2,DY226,
IF(INT(DY226)=INT(DX226),0,DY226-INT(DY226)))))</f>
        <v>0</v>
      </c>
      <c r="ER226" s="834">
        <f>+IF(OR(DZ226=DY226,ER$44=1),0,
IF(AND(ER$44&gt;1,DZ226=$N226),1-SUM($EN226:EQ226),
IF($N226&lt;=1,
IF($N226&gt;0,1/$N226,0),
IF(ER$44=2,0,VDB(1,0,$N226,INT(ER$44-2-1),MIN($N226,INT(ER$44-2-1)+1),$DC226,IF($DD226="No",1,0))/
IF(DY226&gt;=INT($N226),$N226-INT($N226),1)))*
IF(ER$44=2,0,
IF(INT(DZ226)=INT(DY226),DZ226-DY226,INT(DZ226)-DY226))+
IF($N226&lt;=1,
IF($N226&gt;0,1/$N226,0),VDB(1,0,$N226,INT(ER$44-2),MIN($N226,INT(ER$44-2)+1),$DC226,IF($DD226="No",1,0))/
IF(DZ226&gt;INT($N226),$N226-INT($N226),1))*
IF(ER$44=2,DZ226,
IF(INT(DZ226)=INT(DY226),0,DZ226-INT(DZ226)))))</f>
        <v>0</v>
      </c>
      <c r="ES226" s="835">
        <f>+IF(OR(EA226=DZ226,ES$44=1),0,
IF(AND(ES$44&gt;1,EA226=$N226),1-SUM($EN226:ER226),
IF($N226&lt;=1,
IF($N226&gt;0,1/$N226,0),
IF(ES$44=2,0,VDB(1,0,$N226,INT(ES$44-2-1),MIN($N226,INT(ES$44-2-1)+1),$DC226,IF($DD226="No",1,0))/
IF(DZ226&gt;=INT($N226),$N226-INT($N226),1)))*
IF(ES$44=2,0,
IF(INT(EA226)=INT(DZ226),EA226-DZ226,INT(EA226)-DZ226))+
IF($N226&lt;=1,
IF($N226&gt;0,1/$N226,0),VDB(1,0,$N226,INT(ES$44-2),MIN($N226,INT(ES$44-2)+1),$DC226,IF($DD226="No",1,0))/
IF(EA226&gt;INT($N226),$N226-INT($N226),1))*
IF(ES$44=2,EA226,
IF(INT(EA226)=INT(DZ226),0,EA226-INT(EA226)))))</f>
        <v>0</v>
      </c>
      <c r="ET226" s="835">
        <f>+IF(OR(EB226=EA226,ET$44=1),0,
IF(AND(ET$44&gt;1,EB226=$N226),1-SUM($EN226:ES226),
IF($N226&lt;=1,
IF($N226&gt;0,1/$N226,0),
IF(ET$44=2,0,VDB(1,0,$N226,INT(ET$44-2-1),MIN($N226,INT(ET$44-2-1)+1),$DC226,IF($DD226="No",1,0))/
IF(EA226&gt;=INT($N226),$N226-INT($N226),1)))*
IF(ET$44=2,0,
IF(INT(EB226)=INT(EA226),EB226-EA226,INT(EB226)-EA226))+
IF($N226&lt;=1,
IF($N226&gt;0,1/$N226,0),VDB(1,0,$N226,INT(ET$44-2),MIN($N226,INT(ET$44-2)+1),$DC226,IF($DD226="No",1,0))/
IF(EB226&gt;INT($N226),$N226-INT($N226),1))*
IF(ET$44=2,EB226,
IF(INT(EB226)=INT(EA226),0,EB226-INT(EB226)))))</f>
        <v>0</v>
      </c>
      <c r="EU226" s="835">
        <f>+IF(OR(EC226=EB226,EU$44=1),0,
IF(AND(EU$44&gt;1,EC226=$N226),1-SUM($EN226:ET226),
IF($N226&lt;=1,
IF($N226&gt;0,1/$N226,0),
IF(EU$44=2,0,VDB(1,0,$N226,INT(EU$44-2-1),MIN($N226,INT(EU$44-2-1)+1),$DC226,IF($DD226="No",1,0))/
IF(EB226&gt;=INT($N226),$N226-INT($N226),1)))*
IF(EU$44=2,0,
IF(INT(EC226)=INT(EB226),EC226-EB226,INT(EC226)-EB226))+
IF($N226&lt;=1,
IF($N226&gt;0,1/$N226,0),VDB(1,0,$N226,INT(EU$44-2),MIN($N226,INT(EU$44-2)+1),$DC226,IF($DD226="No",1,0))/
IF(EC226&gt;INT($N226),$N226-INT($N226),1))*
IF(EU$44=2,EC226,
IF(INT(EC226)=INT(EB226),0,EC226-INT(EC226)))))</f>
        <v>0</v>
      </c>
      <c r="EV226" s="836">
        <f>+IF(OR(ED226=EC226,EV$44=1),0,
IF(AND(EV$44&gt;1,ED226=$N226),1-SUM($EN226:EU226),
IF($N226&lt;=1,
IF($N226&gt;0,1/$N226,0),
IF(EV$44=2,0,VDB(1,0,$N226,INT(EV$44-2-1),MIN($N226,INT(EV$44-2-1)+1),$DC226,IF($DD226="No",1,0))/
IF(EC226&gt;=INT($N226),$N226-INT($N226),1)))*
IF(EV$44=2,0,
IF(INT(ED226)=INT(EC226),ED226-EC226,INT(ED226)-EC226))+
IF($N226&lt;=1,
IF($N226&gt;0,1/$N226,0),VDB(1,0,$N226,INT(EV$44-2),MIN($N226,INT(EV$44-2)+1),$DC226,IF($DD226="No",1,0))/
IF(ED226&gt;INT($N226),$N226-INT($N226),1))*
IF(EV$44=2,ED226,
IF(INT(ED226)=INT(EC226),0,ED226-INT(ED226)))))</f>
        <v>0</v>
      </c>
      <c r="EW226" s="833"/>
      <c r="EX226" s="834">
        <f t="shared" ca="1" si="361"/>
        <v>0</v>
      </c>
      <c r="EY226" s="835">
        <f t="shared" ca="1" si="361"/>
        <v>0</v>
      </c>
      <c r="EZ226" s="836">
        <f t="shared" ca="1" si="361"/>
        <v>0</v>
      </c>
      <c r="FA226" s="834">
        <f t="shared" ca="1" si="361"/>
        <v>0</v>
      </c>
      <c r="FB226" s="835">
        <f t="shared" ca="1" si="361"/>
        <v>0</v>
      </c>
      <c r="FC226" s="835">
        <f t="shared" ca="1" si="361"/>
        <v>0</v>
      </c>
      <c r="FD226" s="835">
        <f t="shared" ca="1" si="361"/>
        <v>0</v>
      </c>
      <c r="FE226" s="836">
        <f t="shared" ca="1" si="361"/>
        <v>0</v>
      </c>
      <c r="FG226" s="386">
        <f t="shared" ca="1" si="351"/>
        <v>0</v>
      </c>
      <c r="FH226" s="387">
        <f t="shared" ca="1" si="352"/>
        <v>0</v>
      </c>
      <c r="FI226" s="388">
        <f t="shared" ca="1" si="353"/>
        <v>0</v>
      </c>
      <c r="FJ226" s="386">
        <f t="shared" ca="1" si="354"/>
        <v>0</v>
      </c>
      <c r="FK226" s="387">
        <f t="shared" ca="1" si="355"/>
        <v>0</v>
      </c>
      <c r="FL226" s="387">
        <f t="shared" ca="1" si="356"/>
        <v>0</v>
      </c>
      <c r="FM226" s="387">
        <f t="shared" ca="1" si="357"/>
        <v>0</v>
      </c>
      <c r="FN226" s="388">
        <f t="shared" ca="1" si="358"/>
        <v>0</v>
      </c>
      <c r="FR226" s="116"/>
    </row>
    <row r="227" spans="2:174">
      <c r="B227" s="1410">
        <f t="shared" si="359"/>
        <v>181</v>
      </c>
      <c r="C227" s="400"/>
      <c r="D227" s="410"/>
      <c r="E227" s="402"/>
      <c r="F227" s="402"/>
      <c r="G227" s="400"/>
      <c r="H227" s="2088"/>
      <c r="I227" s="2089"/>
      <c r="J227" s="411"/>
      <c r="K227" s="403"/>
      <c r="L227" s="403"/>
      <c r="M227" s="403"/>
      <c r="N227" s="403"/>
      <c r="O227" s="347"/>
      <c r="P227" s="347"/>
      <c r="Q227" s="1021"/>
      <c r="R227" s="1022"/>
      <c r="S227" s="1022"/>
      <c r="T227" s="1022"/>
      <c r="U227" s="1023"/>
      <c r="V227" s="1021"/>
      <c r="W227" s="1022"/>
      <c r="X227" s="1022"/>
      <c r="Y227" s="1022"/>
      <c r="Z227" s="1023"/>
      <c r="AA227" s="1024"/>
      <c r="AB227" s="1021"/>
      <c r="AC227" s="1022"/>
      <c r="AD227" s="1022"/>
      <c r="AE227" s="1022"/>
      <c r="AF227" s="1023"/>
      <c r="AG227" s="1021"/>
      <c r="AH227" s="1022"/>
      <c r="AI227" s="1022"/>
      <c r="AJ227" s="1022"/>
      <c r="AK227" s="1023"/>
      <c r="AL227" s="1024"/>
      <c r="AM227" s="1021"/>
      <c r="AN227" s="1022"/>
      <c r="AO227" s="1022"/>
      <c r="AP227" s="1022"/>
      <c r="AQ227" s="1023"/>
      <c r="AR227" s="1021"/>
      <c r="AS227" s="1022"/>
      <c r="AT227" s="1022"/>
      <c r="AU227" s="1022"/>
      <c r="AV227" s="1023"/>
      <c r="AW227" s="1025"/>
      <c r="AX227" s="1282">
        <f t="shared" si="304"/>
        <v>0</v>
      </c>
      <c r="AY227" s="387">
        <f t="shared" si="305"/>
        <v>0</v>
      </c>
      <c r="AZ227" s="387">
        <f t="shared" si="306"/>
        <v>0</v>
      </c>
      <c r="BA227" s="387">
        <f t="shared" si="307"/>
        <v>0</v>
      </c>
      <c r="BB227" s="1283">
        <f t="shared" si="308"/>
        <v>0</v>
      </c>
      <c r="BC227" s="386">
        <f t="shared" si="309"/>
        <v>0</v>
      </c>
      <c r="BD227" s="387">
        <f t="shared" si="310"/>
        <v>0</v>
      </c>
      <c r="BE227" s="1277">
        <f t="shared" si="311"/>
        <v>0</v>
      </c>
      <c r="BF227" s="1277">
        <f t="shared" si="312"/>
        <v>0</v>
      </c>
      <c r="BG227" s="388">
        <f t="shared" si="313"/>
        <v>0</v>
      </c>
      <c r="BH227" s="1025"/>
      <c r="BI227" s="1282">
        <f t="shared" ca="1" si="314"/>
        <v>0</v>
      </c>
      <c r="BJ227" s="387">
        <f t="shared" ca="1" si="315"/>
        <v>0</v>
      </c>
      <c r="BK227" s="387">
        <f t="shared" ca="1" si="316"/>
        <v>0</v>
      </c>
      <c r="BL227" s="387">
        <f t="shared" ca="1" si="317"/>
        <v>0</v>
      </c>
      <c r="BM227" s="1283">
        <f t="shared" ca="1" si="318"/>
        <v>0</v>
      </c>
      <c r="BN227" s="386">
        <f t="shared" ca="1" si="319"/>
        <v>0</v>
      </c>
      <c r="BO227" s="387">
        <f t="shared" ca="1" si="320"/>
        <v>0</v>
      </c>
      <c r="BP227" s="1277">
        <f t="shared" ca="1" si="321"/>
        <v>0</v>
      </c>
      <c r="BQ227" s="1277">
        <f t="shared" ca="1" si="322"/>
        <v>0</v>
      </c>
      <c r="BR227" s="388">
        <f t="shared" ca="1" si="323"/>
        <v>0</v>
      </c>
      <c r="BS227" s="1025"/>
      <c r="BT227" s="1282">
        <f>+IF($K227="Ongoing",AX227,IF(RIGHT($K227,2)=RIGHT(BT$43,2),SUM($AX227:AX227),0)+IF(RIGHT(BT$43,2)&gt;RIGHT($K227,2),AX227,0))</f>
        <v>0</v>
      </c>
      <c r="BU227" s="387">
        <f>+IF($K227="Ongoing",AY227,IF(RIGHT($K227,2)=RIGHT(BU$43,2),SUM($AX227:AY227),0)+IF(RIGHT(BU$43,2)&gt;RIGHT($K227,2),AY227,0))</f>
        <v>0</v>
      </c>
      <c r="BV227" s="387">
        <f>+IF($K227="Ongoing",AZ227,IF(RIGHT($K227,2)=RIGHT(BV$43,2),SUM($AX227:AZ227),0)+IF(RIGHT(BV$43,2)&gt;RIGHT($K227,2),AZ227,0))</f>
        <v>0</v>
      </c>
      <c r="BW227" s="387">
        <f>+IF($K227="Ongoing",BA227,IF(RIGHT($K227,2)=RIGHT(BW$43,2),SUM($AX227:BA227),0)+IF(RIGHT(BW$43,2)&gt;RIGHT($K227,2),BA227,0))</f>
        <v>0</v>
      </c>
      <c r="BX227" s="1283">
        <f>+IF($K227="Ongoing",BB227,IF(RIGHT($K227,2)=RIGHT(BX$43,2),SUM($AX227:BB227),0)+IF(RIGHT(BX$43,2)&gt;RIGHT($K227,2),BB227,0))</f>
        <v>0</v>
      </c>
      <c r="BY227" s="386">
        <f>+IF($K227="Ongoing",BC227,IF(RIGHT($K227,2)=RIGHT(BY$43,2),SUM($AX227:BC227),0)+IF(RIGHT(BY$43,2)&gt;RIGHT($K227,2),BC227,0))</f>
        <v>0</v>
      </c>
      <c r="BZ227" s="387">
        <f>+IF($K227="Ongoing",BD227,IF(RIGHT($K227,2)=RIGHT(BZ$43,2),SUM($AX227:BD227),0)+IF(RIGHT(BZ$43,2)&gt;RIGHT($K227,2),BD227,0))</f>
        <v>0</v>
      </c>
      <c r="CA227" s="1277">
        <f>+IF($K227="Ongoing",BE227,IF(RIGHT($K227,2)=RIGHT(CA$43,2),SUM($AX227:BE227),0)+IF(RIGHT(CA$43,2)&gt;RIGHT($K227,2),BE227,0))</f>
        <v>0</v>
      </c>
      <c r="CB227" s="1277">
        <f>+IF($K227="Ongoing",BF227,IF(RIGHT($K227,2)=RIGHT(CB$43,2),SUM($AX227:BF227),0)+IF(RIGHT(CB$43,2)&gt;RIGHT($K227,2),BF227,0))</f>
        <v>0</v>
      </c>
      <c r="CC227" s="388">
        <f>+IF($K227="Ongoing",BG227,IF(RIGHT($K227,2)=RIGHT(CC$43,2),SUM($AX227:BG227),0)+IF(RIGHT(CC$43,2)&gt;RIGHT($K227,2),BG227,0))</f>
        <v>0</v>
      </c>
      <c r="CD227" s="1025"/>
      <c r="CE227" s="1282">
        <f>+Q227*KeyAssumptionsPriceControl_FO!AF$15</f>
        <v>0</v>
      </c>
      <c r="CF227" s="387">
        <f>+R227*KeyAssumptionsPriceControl_FO!AG$15</f>
        <v>0</v>
      </c>
      <c r="CG227" s="387">
        <f>+S227*KeyAssumptionsPriceControl_FO!AH$15</f>
        <v>0</v>
      </c>
      <c r="CH227" s="387">
        <f>+T227*KeyAssumptionsPriceControl_FO!AI$15</f>
        <v>0</v>
      </c>
      <c r="CI227" s="1283">
        <f>+U227*KeyAssumptionsPriceControl_FO!AJ$15</f>
        <v>0</v>
      </c>
      <c r="CJ227" s="386">
        <f>+V227*KeyAssumptionsPriceControl_FO!AK$15</f>
        <v>0</v>
      </c>
      <c r="CK227" s="387">
        <f>+W227*KeyAssumptionsPriceControl_FO!AL$15</f>
        <v>0</v>
      </c>
      <c r="CL227" s="1277">
        <f>+X227*KeyAssumptionsPriceControl_FO!AM$15</f>
        <v>0</v>
      </c>
      <c r="CM227" s="1277">
        <f>+Y227*KeyAssumptionsPriceControl_FO!AN$15</f>
        <v>0</v>
      </c>
      <c r="CN227" s="388">
        <f>+Z227*KeyAssumptionsPriceControl_FO!AO$15</f>
        <v>0</v>
      </c>
      <c r="CO227" s="1025"/>
      <c r="CP227" s="1282">
        <f t="shared" ca="1" si="324"/>
        <v>0</v>
      </c>
      <c r="CQ227" s="387">
        <f t="shared" ca="1" si="325"/>
        <v>0</v>
      </c>
      <c r="CR227" s="387">
        <f t="shared" ca="1" si="326"/>
        <v>0</v>
      </c>
      <c r="CS227" s="387">
        <f t="shared" ca="1" si="327"/>
        <v>0</v>
      </c>
      <c r="CT227" s="1283">
        <f t="shared" ca="1" si="328"/>
        <v>0</v>
      </c>
      <c r="CU227" s="386">
        <f t="shared" ca="1" si="329"/>
        <v>0</v>
      </c>
      <c r="CV227" s="387">
        <f t="shared" ca="1" si="330"/>
        <v>0</v>
      </c>
      <c r="CW227" s="1277">
        <f t="shared" ca="1" si="331"/>
        <v>0</v>
      </c>
      <c r="CX227" s="1277">
        <f t="shared" ca="1" si="332"/>
        <v>0</v>
      </c>
      <c r="CY227" s="388">
        <f t="shared" ca="1" si="333"/>
        <v>0</v>
      </c>
      <c r="CZ227" s="347"/>
      <c r="DA227" s="852"/>
      <c r="DB227" s="347"/>
      <c r="DC227" s="1012" t="s">
        <v>748</v>
      </c>
      <c r="DD227" s="841" t="s">
        <v>518</v>
      </c>
      <c r="DE227" s="386">
        <f>+IF($K227="ongoing",CE227,IF(RIGHT($K227,2)=RIGHT(DE$43,2),SUM($CD227:CE227),0)+IF(RIGHT(DE$43,2)&gt;RIGHT($K227,2),CE227,0))</f>
        <v>0</v>
      </c>
      <c r="DF227" s="387">
        <f>+IF($K227="ongoing",CF227,IF(RIGHT($K227,2)=RIGHT(DF$43,2),SUM($CD227:CF227),0)+IF(RIGHT(DF$43,2)&gt;RIGHT($K227,2),CF227,0))</f>
        <v>0</v>
      </c>
      <c r="DG227" s="388">
        <f>+IF($K227="ongoing",CG227,IF(RIGHT($K227,2)=RIGHT(DG$43,2),SUM($CD227:CG227),0)+IF(RIGHT(DG$43,2)&gt;RIGHT($K227,2),CG227,0))</f>
        <v>0</v>
      </c>
      <c r="DH227" s="386">
        <f>+IF($K227="ongoing",CH227,IF(RIGHT($K227,2)=RIGHT(DH$43,2),SUM($CD227:CH227),0)+IF(RIGHT(DH$43,2)&gt;RIGHT($K227,2),CH227,0))</f>
        <v>0</v>
      </c>
      <c r="DI227" s="387">
        <f>+IF($K227="ongoing",CI227,IF(RIGHT($K227,2)=RIGHT(DI$43,2),SUM($CD227:CI227),0)+IF(RIGHT(DI$43,2)&gt;RIGHT($K227,2),CI227,0))</f>
        <v>0</v>
      </c>
      <c r="DJ227" s="387">
        <f>+IF($K227="ongoing",CJ227,IF(RIGHT($K227,2)=RIGHT(DJ$43,2),SUM($CD227:CJ227),0)+IF(RIGHT(DJ$43,2)&gt;RIGHT($K227,2),CJ227,0))</f>
        <v>0</v>
      </c>
      <c r="DK227" s="387">
        <f>+IF($K227="ongoing",CK227,IF(RIGHT($K227,2)=RIGHT(DK$43,2),SUM($CD227:CK227),0)+IF(RIGHT(DK$43,2)&gt;RIGHT($K227,2),CK227,0))</f>
        <v>0</v>
      </c>
      <c r="DL227" s="388">
        <f>+IF($K227="ongoing",CN227,IF(RIGHT($K227,2)=RIGHT(DL$43,2),SUM($CD227:CN227),0)+IF(RIGHT(DL$43,2)&gt;RIGHT($K227,2),CN227,0))</f>
        <v>0</v>
      </c>
      <c r="DM227" s="841"/>
      <c r="DN227" s="386">
        <f t="shared" si="334"/>
        <v>0.5</v>
      </c>
      <c r="DO227" s="387">
        <f t="shared" si="335"/>
        <v>1</v>
      </c>
      <c r="DP227" s="388">
        <f t="shared" si="336"/>
        <v>1</v>
      </c>
      <c r="DQ227" s="386">
        <f t="shared" si="337"/>
        <v>1</v>
      </c>
      <c r="DR227" s="387">
        <f t="shared" si="338"/>
        <v>1</v>
      </c>
      <c r="DS227" s="387">
        <f t="shared" si="339"/>
        <v>1</v>
      </c>
      <c r="DT227" s="387">
        <f t="shared" si="340"/>
        <v>1</v>
      </c>
      <c r="DU227" s="388">
        <f t="shared" si="341"/>
        <v>1</v>
      </c>
      <c r="DW227" s="386">
        <f t="shared" si="342"/>
        <v>0</v>
      </c>
      <c r="DX227" s="387">
        <f t="shared" si="343"/>
        <v>0.5</v>
      </c>
      <c r="DY227" s="388">
        <f t="shared" si="344"/>
        <v>1</v>
      </c>
      <c r="DZ227" s="386">
        <f t="shared" si="345"/>
        <v>1</v>
      </c>
      <c r="EA227" s="387">
        <f t="shared" si="346"/>
        <v>1</v>
      </c>
      <c r="EB227" s="387">
        <f t="shared" si="347"/>
        <v>1</v>
      </c>
      <c r="EC227" s="387">
        <f t="shared" si="348"/>
        <v>1</v>
      </c>
      <c r="ED227" s="388">
        <f t="shared" si="349"/>
        <v>1</v>
      </c>
      <c r="EF227" s="834">
        <f>+IF(DN227=DM227,0,
IF(AND(EF$44&gt;1,DN227=$N227),1-SUM($EE227:EE227),
IF($N227&lt;=1,
IF($N227&gt;0,1/$N227,0),
IF(EF$44=1,0,VDB(1,0,$N227,INT(EF$44-1-1),MIN($N227,INT(EF$44-1-1)+1),$DC227,IF($DD227="No",1,0))/
IF(DM227&gt;=INT($N227),$N227-INT($N227),1)))*
IF(EF$44=1,0,
IF(INT(DN227)=INT(DM227),DN227-DM227,INT(DN227)-DM227))+
IF($N227&lt;=1,
IF($N227&gt;0,1/$N227,0),VDB(1,0,$N227,INT(EF$44-1),MIN($N227,INT(EF$44-1)+1),$DC227,IF($DD227="No",1,0))/
IF(DN227&gt;INT($N227),$N227-INT($N227),1))*
IF(EF$44=1,DN227,
IF(INT(DN227)=INT(DM227),0,DN227-INT(DN227)))))</f>
        <v>0</v>
      </c>
      <c r="EG227" s="835">
        <f>+IF(DO227=DN227,0,
IF(AND(EG$44&gt;1,DO227=$N227),1-SUM($EE227:EF227),
IF($N227&lt;=1,
IF($N227&gt;0,1/$N227,0),
IF(EG$44=1,0,VDB(1,0,$N227,INT(EG$44-1-1),MIN($N227,INT(EG$44-1-1)+1),$DC227,IF($DD227="No",1,0))/
IF(DN227&gt;=INT($N227),$N227-INT($N227),1)))*
IF(EG$44=1,0,
IF(INT(DO227)=INT(DN227),DO227-DN227,INT(DO227)-DN227))+
IF($N227&lt;=1,
IF($N227&gt;0,1/$N227,0),VDB(1,0,$N227,INT(EG$44-1),MIN($N227,INT(EG$44-1)+1),$DC227,IF($DD227="No",1,0))/
IF(DO227&gt;INT($N227),$N227-INT($N227),1))*
IF(EG$44=1,DO227,
IF(INT(DO227)=INT(DN227),0,DO227-INT(DO227)))))</f>
        <v>0</v>
      </c>
      <c r="EH227" s="836">
        <f>+IF(DP227=DO227,0,
IF(AND(EH$44&gt;1,DP227=$N227),1-SUM($EE227:EG227),
IF($N227&lt;=1,
IF($N227&gt;0,1/$N227,0),
IF(EH$44=1,0,VDB(1,0,$N227,INT(EH$44-1-1),MIN($N227,INT(EH$44-1-1)+1),$DC227,IF($DD227="No",1,0))/
IF(DO227&gt;=INT($N227),$N227-INT($N227),1)))*
IF(EH$44=1,0,
IF(INT(DP227)=INT(DO227),DP227-DO227,INT(DP227)-DO227))+
IF($N227&lt;=1,
IF($N227&gt;0,1/$N227,0),VDB(1,0,$N227,INT(EH$44-1),MIN($N227,INT(EH$44-1)+1),$DC227,IF($DD227="No",1,0))/
IF(DP227&gt;INT($N227),$N227-INT($N227),1))*
IF(EH$44=1,DP227,
IF(INT(DP227)=INT(DO227),0,DP227-INT(DP227)))))</f>
        <v>0</v>
      </c>
      <c r="EI227" s="834">
        <f>+IF(DQ227=DP227,0,
IF(AND(EI$44&gt;1,DQ227=$N227),1-SUM($EE227:EH227),
IF($N227&lt;=1,
IF($N227&gt;0,1/$N227,0),
IF(EI$44=1,0,VDB(1,0,$N227,INT(EI$44-1-1),MIN($N227,INT(EI$44-1-1)+1),$DC227,IF($DD227="No",1,0))/
IF(DP227&gt;=INT($N227),$N227-INT($N227),1)))*
IF(EI$44=1,0,
IF(INT(DQ227)=INT(DP227),DQ227-DP227,INT(DQ227)-DP227))+
IF($N227&lt;=1,
IF($N227&gt;0,1/$N227,0),VDB(1,0,$N227,INT(EI$44-1),MIN($N227,INT(EI$44-1)+1),$DC227,IF($DD227="No",1,0))/
IF(DQ227&gt;INT($N227),$N227-INT($N227),1))*
IF(EI$44=1,DQ227,
IF(INT(DQ227)=INT(DP227),0,DQ227-INT(DQ227)))))</f>
        <v>0</v>
      </c>
      <c r="EJ227" s="835">
        <f>+IF(DR227=DQ227,0,
IF(AND(EJ$44&gt;1,DR227=$N227),1-SUM($EE227:EI227),
IF($N227&lt;=1,
IF($N227&gt;0,1/$N227,0),
IF(EJ$44=1,0,VDB(1,0,$N227,INT(EJ$44-1-1),MIN($N227,INT(EJ$44-1-1)+1),$DC227,IF($DD227="No",1,0))/
IF(DQ227&gt;=INT($N227),$N227-INT($N227),1)))*
IF(EJ$44=1,0,
IF(INT(DR227)=INT(DQ227),DR227-DQ227,INT(DR227)-DQ227))+
IF($N227&lt;=1,
IF($N227&gt;0,1/$N227,0),VDB(1,0,$N227,INT(EJ$44-1),MIN($N227,INT(EJ$44-1)+1),$DC227,IF($DD227="No",1,0))/
IF(DR227&gt;INT($N227),$N227-INT($N227),1))*
IF(EJ$44=1,DR227,
IF(INT(DR227)=INT(DQ227),0,DR227-INT(DR227)))))</f>
        <v>0</v>
      </c>
      <c r="EK227" s="835">
        <f>+IF(DS227=DR227,0,
IF(AND(EK$44&gt;1,DS227=$N227),1-SUM($EE227:EJ227),
IF($N227&lt;=1,
IF($N227&gt;0,1/$N227,0),
IF(EK$44=1,0,VDB(1,0,$N227,INT(EK$44-1-1),MIN($N227,INT(EK$44-1-1)+1),$DC227,IF($DD227="No",1,0))/
IF(DR227&gt;=INT($N227),$N227-INT($N227),1)))*
IF(EK$44=1,0,
IF(INT(DS227)=INT(DR227),DS227-DR227,INT(DS227)-DR227))+
IF($N227&lt;=1,
IF($N227&gt;0,1/$N227,0),VDB(1,0,$N227,INT(EK$44-1),MIN($N227,INT(EK$44-1)+1),$DC227,IF($DD227="No",1,0))/
IF(DS227&gt;INT($N227),$N227-INT($N227),1))*
IF(EK$44=1,DS227,
IF(INT(DS227)=INT(DR227),0,DS227-INT(DS227)))))</f>
        <v>0</v>
      </c>
      <c r="EL227" s="835">
        <f>+IF(DT227=DS227,0,
IF(AND(EL$44&gt;1,DT227=$N227),1-SUM($EE227:EK227),
IF($N227&lt;=1,
IF($N227&gt;0,1/$N227,0),
IF(EL$44=1,0,VDB(1,0,$N227,INT(EL$44-1-1),MIN($N227,INT(EL$44-1-1)+1),$DC227,IF($DD227="No",1,0))/
IF(DS227&gt;=INT($N227),$N227-INT($N227),1)))*
IF(EL$44=1,0,
IF(INT(DT227)=INT(DS227),DT227-DS227,INT(DT227)-DS227))+
IF($N227&lt;=1,
IF($N227&gt;0,1/$N227,0),VDB(1,0,$N227,INT(EL$44-1),MIN($N227,INT(EL$44-1)+1),$DC227,IF($DD227="No",1,0))/
IF(DT227&gt;INT($N227),$N227-INT($N227),1))*
IF(EL$44=1,DT227,
IF(INT(DT227)=INT(DS227),0,DT227-INT(DT227)))))</f>
        <v>0</v>
      </c>
      <c r="EM227" s="836">
        <f>+IF(DU227=DT227,0,
IF(AND(EM$44&gt;1,DU227=$N227),1-SUM($EE227:EL227),
IF($N227&lt;=1,
IF($N227&gt;0,1/$N227,0),
IF(EM$44=1,0,VDB(1,0,$N227,INT(EM$44-1-1),MIN($N227,INT(EM$44-1-1)+1),$DC227,IF($DD227="No",1,0))/
IF(DT227&gt;=INT($N227),$N227-INT($N227),1)))*
IF(EM$44=1,0,
IF(INT(DU227)=INT(DT227),DU227-DT227,INT(DU227)-DT227))+
IF($N227&lt;=1,
IF($N227&gt;0,1/$N227,0),VDB(1,0,$N227,INT(EM$44-1),MIN($N227,INT(EM$44-1)+1),$DC227,IF($DD227="No",1,0))/
IF(DU227&gt;INT($N227),$N227-INT($N227),1))*
IF(EM$44=1,DU227,
IF(INT(DU227)=INT(DT227),0,DU227-INT(DU227)))))</f>
        <v>0</v>
      </c>
      <c r="EN227" s="833"/>
      <c r="EO227" s="834">
        <f>+IF(OR(DW227=DV227,EO$44=1),0,
IF(AND(EO$44&gt;1,DW227=$N227),1-SUM($EN227:EN227),
IF($N227&lt;=1,
IF($N227&gt;0,1/$N227,0),
IF(EO$44=2,0,VDB(1,0,$N227,INT(EO$44-2-1),MIN($N227,INT(EO$44-2-1)+1),$DC227,IF($DD227="No",1,0))/
IF(DV227&gt;=INT($N227),$N227-INT($N227),1)))*
IF(EO$44=2,0,
IF(INT(DW227)=INT(DV227),DW227-DV227,INT(DW227)-DV227))+
IF($N227&lt;=1,
IF($N227&gt;0,1/$N227,0),VDB(1,0,$N227,INT(EO$44-2),MIN($N227,INT(EO$44-2)+1),$DC227,IF($DD227="No",1,0))/
IF(DW227&gt;INT($N227),$N227-INT($N227),1))*
IF(EO$44=2,DW227,
IF(INT(DW227)=INT(DV227),0,DW227-INT(DW227)))))</f>
        <v>0</v>
      </c>
      <c r="EP227" s="835">
        <f>+IF(OR(DX227=DW227,EP$44=1),0,
IF(AND(EP$44&gt;1,DX227=$N227),1-SUM($EN227:EO227),
IF($N227&lt;=1,
IF($N227&gt;0,1/$N227,0),
IF(EP$44=2,0,VDB(1,0,$N227,INT(EP$44-2-1),MIN($N227,INT(EP$44-2-1)+1),$DC227,IF($DD227="No",1,0))/
IF(DW227&gt;=INT($N227),$N227-INT($N227),1)))*
IF(EP$44=2,0,
IF(INT(DX227)=INT(DW227),DX227-DW227,INT(DX227)-DW227))+
IF($N227&lt;=1,
IF($N227&gt;0,1/$N227,0),VDB(1,0,$N227,INT(EP$44-2),MIN($N227,INT(EP$44-2)+1),$DC227,IF($DD227="No",1,0))/
IF(DX227&gt;INT($N227),$N227-INT($N227),1))*
IF(EP$44=2,DX227,
IF(INT(DX227)=INT(DW227),0,DX227-INT(DX227)))))</f>
        <v>0</v>
      </c>
      <c r="EQ227" s="836">
        <f>+IF(OR(DY227=DX227,EQ$44=1),0,
IF(AND(EQ$44&gt;1,DY227=$N227),1-SUM($EN227:EP227),
IF($N227&lt;=1,
IF($N227&gt;0,1/$N227,0),
IF(EQ$44=2,0,VDB(1,0,$N227,INT(EQ$44-2-1),MIN($N227,INT(EQ$44-2-1)+1),$DC227,IF($DD227="No",1,0))/
IF(DX227&gt;=INT($N227),$N227-INT($N227),1)))*
IF(EQ$44=2,0,
IF(INT(DY227)=INT(DX227),DY227-DX227,INT(DY227)-DX227))+
IF($N227&lt;=1,
IF($N227&gt;0,1/$N227,0),VDB(1,0,$N227,INT(EQ$44-2),MIN($N227,INT(EQ$44-2)+1),$DC227,IF($DD227="No",1,0))/
IF(DY227&gt;INT($N227),$N227-INT($N227),1))*
IF(EQ$44=2,DY227,
IF(INT(DY227)=INT(DX227),0,DY227-INT(DY227)))))</f>
        <v>0</v>
      </c>
      <c r="ER227" s="834">
        <f>+IF(OR(DZ227=DY227,ER$44=1),0,
IF(AND(ER$44&gt;1,DZ227=$N227),1-SUM($EN227:EQ227),
IF($N227&lt;=1,
IF($N227&gt;0,1/$N227,0),
IF(ER$44=2,0,VDB(1,0,$N227,INT(ER$44-2-1),MIN($N227,INT(ER$44-2-1)+1),$DC227,IF($DD227="No",1,0))/
IF(DY227&gt;=INT($N227),$N227-INT($N227),1)))*
IF(ER$44=2,0,
IF(INT(DZ227)=INT(DY227),DZ227-DY227,INT(DZ227)-DY227))+
IF($N227&lt;=1,
IF($N227&gt;0,1/$N227,0),VDB(1,0,$N227,INT(ER$44-2),MIN($N227,INT(ER$44-2)+1),$DC227,IF($DD227="No",1,0))/
IF(DZ227&gt;INT($N227),$N227-INT($N227),1))*
IF(ER$44=2,DZ227,
IF(INT(DZ227)=INT(DY227),0,DZ227-INT(DZ227)))))</f>
        <v>0</v>
      </c>
      <c r="ES227" s="835">
        <f>+IF(OR(EA227=DZ227,ES$44=1),0,
IF(AND(ES$44&gt;1,EA227=$N227),1-SUM($EN227:ER227),
IF($N227&lt;=1,
IF($N227&gt;0,1/$N227,0),
IF(ES$44=2,0,VDB(1,0,$N227,INT(ES$44-2-1),MIN($N227,INT(ES$44-2-1)+1),$DC227,IF($DD227="No",1,0))/
IF(DZ227&gt;=INT($N227),$N227-INT($N227),1)))*
IF(ES$44=2,0,
IF(INT(EA227)=INT(DZ227),EA227-DZ227,INT(EA227)-DZ227))+
IF($N227&lt;=1,
IF($N227&gt;0,1/$N227,0),VDB(1,0,$N227,INT(ES$44-2),MIN($N227,INT(ES$44-2)+1),$DC227,IF($DD227="No",1,0))/
IF(EA227&gt;INT($N227),$N227-INT($N227),1))*
IF(ES$44=2,EA227,
IF(INT(EA227)=INT(DZ227),0,EA227-INT(EA227)))))</f>
        <v>0</v>
      </c>
      <c r="ET227" s="835">
        <f>+IF(OR(EB227=EA227,ET$44=1),0,
IF(AND(ET$44&gt;1,EB227=$N227),1-SUM($EN227:ES227),
IF($N227&lt;=1,
IF($N227&gt;0,1/$N227,0),
IF(ET$44=2,0,VDB(1,0,$N227,INT(ET$44-2-1),MIN($N227,INT(ET$44-2-1)+1),$DC227,IF($DD227="No",1,0))/
IF(EA227&gt;=INT($N227),$N227-INT($N227),1)))*
IF(ET$44=2,0,
IF(INT(EB227)=INT(EA227),EB227-EA227,INT(EB227)-EA227))+
IF($N227&lt;=1,
IF($N227&gt;0,1/$N227,0),VDB(1,0,$N227,INT(ET$44-2),MIN($N227,INT(ET$44-2)+1),$DC227,IF($DD227="No",1,0))/
IF(EB227&gt;INT($N227),$N227-INT($N227),1))*
IF(ET$44=2,EB227,
IF(INT(EB227)=INT(EA227),0,EB227-INT(EB227)))))</f>
        <v>0</v>
      </c>
      <c r="EU227" s="835">
        <f>+IF(OR(EC227=EB227,EU$44=1),0,
IF(AND(EU$44&gt;1,EC227=$N227),1-SUM($EN227:ET227),
IF($N227&lt;=1,
IF($N227&gt;0,1/$N227,0),
IF(EU$44=2,0,VDB(1,0,$N227,INT(EU$44-2-1),MIN($N227,INT(EU$44-2-1)+1),$DC227,IF($DD227="No",1,0))/
IF(EB227&gt;=INT($N227),$N227-INT($N227),1)))*
IF(EU$44=2,0,
IF(INT(EC227)=INT(EB227),EC227-EB227,INT(EC227)-EB227))+
IF($N227&lt;=1,
IF($N227&gt;0,1/$N227,0),VDB(1,0,$N227,INT(EU$44-2),MIN($N227,INT(EU$44-2)+1),$DC227,IF($DD227="No",1,0))/
IF(EC227&gt;INT($N227),$N227-INT($N227),1))*
IF(EU$44=2,EC227,
IF(INT(EC227)=INT(EB227),0,EC227-INT(EC227)))))</f>
        <v>0</v>
      </c>
      <c r="EV227" s="836">
        <f>+IF(OR(ED227=EC227,EV$44=1),0,
IF(AND(EV$44&gt;1,ED227=$N227),1-SUM($EN227:EU227),
IF($N227&lt;=1,
IF($N227&gt;0,1/$N227,0),
IF(EV$44=2,0,VDB(1,0,$N227,INT(EV$44-2-1),MIN($N227,INT(EV$44-2-1)+1),$DC227,IF($DD227="No",1,0))/
IF(EC227&gt;=INT($N227),$N227-INT($N227),1)))*
IF(EV$44=2,0,
IF(INT(ED227)=INT(EC227),ED227-EC227,INT(ED227)-EC227))+
IF($N227&lt;=1,
IF($N227&gt;0,1/$N227,0),VDB(1,0,$N227,INT(EV$44-2),MIN($N227,INT(EV$44-2)+1),$DC227,IF($DD227="No",1,0))/
IF(ED227&gt;INT($N227),$N227-INT($N227),1))*
IF(EV$44=2,ED227,
IF(INT(ED227)=INT(EC227),0,ED227-INT(ED227)))))</f>
        <v>0</v>
      </c>
      <c r="EW227" s="833"/>
      <c r="EX227" s="834">
        <f t="shared" ca="1" si="361"/>
        <v>0</v>
      </c>
      <c r="EY227" s="835">
        <f t="shared" ca="1" si="361"/>
        <v>0</v>
      </c>
      <c r="EZ227" s="836">
        <f t="shared" ca="1" si="361"/>
        <v>0</v>
      </c>
      <c r="FA227" s="834">
        <f t="shared" ca="1" si="361"/>
        <v>0</v>
      </c>
      <c r="FB227" s="835">
        <f t="shared" ca="1" si="361"/>
        <v>0</v>
      </c>
      <c r="FC227" s="835">
        <f t="shared" ca="1" si="361"/>
        <v>0</v>
      </c>
      <c r="FD227" s="835">
        <f t="shared" ca="1" si="361"/>
        <v>0</v>
      </c>
      <c r="FE227" s="836">
        <f t="shared" ca="1" si="361"/>
        <v>0</v>
      </c>
      <c r="FG227" s="386">
        <f t="shared" ca="1" si="351"/>
        <v>0</v>
      </c>
      <c r="FH227" s="387">
        <f t="shared" ca="1" si="352"/>
        <v>0</v>
      </c>
      <c r="FI227" s="388">
        <f t="shared" ca="1" si="353"/>
        <v>0</v>
      </c>
      <c r="FJ227" s="386">
        <f t="shared" ca="1" si="354"/>
        <v>0</v>
      </c>
      <c r="FK227" s="387">
        <f t="shared" ca="1" si="355"/>
        <v>0</v>
      </c>
      <c r="FL227" s="387">
        <f t="shared" ca="1" si="356"/>
        <v>0</v>
      </c>
      <c r="FM227" s="387">
        <f t="shared" ca="1" si="357"/>
        <v>0</v>
      </c>
      <c r="FN227" s="388">
        <f t="shared" ca="1" si="358"/>
        <v>0</v>
      </c>
      <c r="FR227" s="116"/>
    </row>
    <row r="228" spans="2:174">
      <c r="B228" s="1410">
        <f t="shared" si="359"/>
        <v>182</v>
      </c>
      <c r="C228" s="400"/>
      <c r="D228" s="410"/>
      <c r="E228" s="402"/>
      <c r="F228" s="402"/>
      <c r="G228" s="400"/>
      <c r="H228" s="2088"/>
      <c r="I228" s="2089"/>
      <c r="J228" s="411"/>
      <c r="K228" s="403"/>
      <c r="L228" s="403"/>
      <c r="M228" s="403"/>
      <c r="N228" s="403"/>
      <c r="O228" s="347"/>
      <c r="P228" s="347"/>
      <c r="Q228" s="1021"/>
      <c r="R228" s="1022"/>
      <c r="S228" s="1022"/>
      <c r="T228" s="1022"/>
      <c r="U228" s="1023"/>
      <c r="V228" s="1021"/>
      <c r="W228" s="1022"/>
      <c r="X228" s="1022"/>
      <c r="Y228" s="1022"/>
      <c r="Z228" s="1023"/>
      <c r="AA228" s="1024"/>
      <c r="AB228" s="1021"/>
      <c r="AC228" s="1022"/>
      <c r="AD228" s="1022"/>
      <c r="AE228" s="1022"/>
      <c r="AF228" s="1023"/>
      <c r="AG228" s="1021"/>
      <c r="AH228" s="1022"/>
      <c r="AI228" s="1022"/>
      <c r="AJ228" s="1022"/>
      <c r="AK228" s="1023"/>
      <c r="AL228" s="1024"/>
      <c r="AM228" s="1021"/>
      <c r="AN228" s="1022"/>
      <c r="AO228" s="1022"/>
      <c r="AP228" s="1022"/>
      <c r="AQ228" s="1023"/>
      <c r="AR228" s="1021"/>
      <c r="AS228" s="1022"/>
      <c r="AT228" s="1022"/>
      <c r="AU228" s="1022"/>
      <c r="AV228" s="1023"/>
      <c r="AW228" s="1025"/>
      <c r="AX228" s="1282">
        <f t="shared" ref="AX228:AX236" si="362">+Q228-AB228-AM228</f>
        <v>0</v>
      </c>
      <c r="AY228" s="387">
        <f t="shared" ref="AY228:AY236" si="363">+R228-AC228-AN228</f>
        <v>0</v>
      </c>
      <c r="AZ228" s="387">
        <f t="shared" ref="AZ228:AZ236" si="364">+S228-AD228-AO228</f>
        <v>0</v>
      </c>
      <c r="BA228" s="387">
        <f t="shared" ref="BA228:BA236" si="365">+T228-AE228-AP228</f>
        <v>0</v>
      </c>
      <c r="BB228" s="1283">
        <f t="shared" ref="BB228:BB236" si="366">+U228-AF228-AQ228</f>
        <v>0</v>
      </c>
      <c r="BC228" s="386">
        <f t="shared" ref="BC228:BC236" si="367">+V228-AG228-AR228</f>
        <v>0</v>
      </c>
      <c r="BD228" s="387">
        <f t="shared" ref="BD228:BD236" si="368">+W228-AH228-AS228</f>
        <v>0</v>
      </c>
      <c r="BE228" s="1277">
        <f t="shared" ref="BE228:BE236" si="369">+X228-AI228-AT228</f>
        <v>0</v>
      </c>
      <c r="BF228" s="1277">
        <f t="shared" ref="BF228:BF236" si="370">+Y228-AJ228-AU228</f>
        <v>0</v>
      </c>
      <c r="BG228" s="388">
        <f t="shared" ref="BG228:BG236" si="371">+Z228-AK228-AV228</f>
        <v>0</v>
      </c>
      <c r="BH228" s="1025"/>
      <c r="BI228" s="1282">
        <f t="shared" ref="BI228:BI236" ca="1" si="372">IF($L228=0,0,
IF($L228&lt;=0.5,BT228,
IF($J228="straight line",
IF((LEFT(BI$43,4)*1)-INT($L228)&lt;LEFT($BI$43,4)*1,0,((OFFSET(BT228,0,-INT($L228+0.5),1,1))/$L228)*(IF($L228-INT($L228)&gt;0.5,$L228-0.5-INT($L228),IF($L228-INT($L228)&lt;=0.5,$L228-0.5-INT($L228)+1,0))))
+BT228/$L228*0.5,
IF($J228="Declining Balance",-$BI$42,0))))</f>
        <v>0</v>
      </c>
      <c r="BJ228" s="387">
        <f t="shared" ref="BJ228:BJ236" ca="1" si="373">IF($L228=0,0,
IF($L228&lt;=0.5,BU228,
IF(AND($J228="straight line",$L228&lt;1.51),(BT228-((BT228/$L228)*0.5))+BU228/$L228*0.5,
IF($J228="straight line",
IF((LEFT(BJ$43,4)*1)-INT($L228)&lt;LEFT($BI$43,4)*1,0,((OFFSET(BU228,0,-INT($L228+0.5),1,1))/$L228)*(IF($L228-INT($L228)&gt;0.5,$L228-0.5-INT($L228),IF($L228-INT($L228)&lt;=0.5,$L228-0.5-INT($L228)+1,0))))
+BU228/$L228*0.5
+SUM(OFFSET(BU228,0,MAX(-INT($L228+(0.5-(10^-12))),-BJ$44)+1,1,MIN(INT($L228+(0.5-(10^-12))),BJ$44)-1))*1/$L228,
IF($J228="Declining Balance",-$BI$42,0)))))</f>
        <v>0</v>
      </c>
      <c r="BK228" s="387">
        <f t="shared" ref="BK228:BK236" ca="1" si="374">IF($L228=0,0,
IF($L228&lt;=0.5,BV228,
IF(AND($J228="straight line",$L228&lt;1.51),(BU228-((BU228/$L228)*0.5))+BV228/$L228*0.5,
IF($J228="straight line",
IF((LEFT(BK$43,4)*1)-INT($L228)&lt;LEFT($BI$43,4)*1,0,((OFFSET(BV228,0,-INT($L228+0.5),1,1))/$L228)*(IF($L228-INT($L228)&gt;0.5,$L228-0.5-INT($L228),IF($L228-INT($L228)&lt;=0.5,$L228-0.5-INT($L228)+1,0))))
+BV228/$L228*0.5
+SUM(OFFSET(BV228,0,MAX(-INT($L228+(0.5-(10^-12))),-BK$44)+1,1,MIN(INT($L228+(0.5-(10^-12))),BK$44)-1))*1/$L228,
IF($J228="Declining Balance",-$BI$42,0)))))</f>
        <v>0</v>
      </c>
      <c r="BL228" s="387">
        <f t="shared" ref="BL228:BL236" ca="1" si="375">IF($L228=0,0,
IF($L228&lt;=0.5,BW228,
IF(AND($J228="straight line",$L228&lt;1.51),(BV228-((BV228/$L228)*0.5))+BW228/$L228*0.5,
IF($J228="straight line",
IF((LEFT(BL$43,4)*1)-INT($L228)&lt;LEFT($BI$43,4)*1,0,((OFFSET(BW228,0,-INT($L228+0.5),1,1))/$L228)*(IF($L228-INT($L228)&gt;0.5,$L228-0.5-INT($L228),IF($L228-INT($L228)&lt;=0.5,$L228-0.5-INT($L228)+1,0))))
+BW228/$L228*0.5
+SUM(OFFSET(BW228,0,MAX(-INT($L228+(0.5-(10^-12))),-BL$44)+1,1,MIN(INT($L228+(0.5-(10^-12))),BL$44)-1))*1/$L228,
IF($J228="Declining Balance",-$BI$42,0)))))</f>
        <v>0</v>
      </c>
      <c r="BM228" s="1283">
        <f t="shared" ref="BM228:BM236" ca="1" si="376">IF($L228=0,0,
IF($L228&lt;=0.5,BX228,
IF(AND($J228="straight line",$L228&lt;1.51),(BW228-((BW228/$L228)*0.5))+BX228/$L228*0.5,
IF($J228="straight line",
IF((LEFT(BM$43,4)*1)-INT($L228)&lt;LEFT($BI$43,4)*1,0,((OFFSET(BX228,0,-INT($L228+0.5),1,1))/$L228)*(IF($L228-INT($L228)&gt;0.5,$L228-0.5-INT($L228),IF($L228-INT($L228)&lt;=0.5,$L228-0.5-INT($L228)+1,0))))
+BX228/$L228*0.5
+SUM(OFFSET(BX228,0,MAX(-INT($L228+(0.5-(10^-12))),-BM$44)+1,1,MIN(INT($L228+(0.5-(10^-12))),BM$44)-1))*1/$L228,
IF($J228="Declining Balance",-$BI$42,0)))))</f>
        <v>0</v>
      </c>
      <c r="BN228" s="386">
        <f t="shared" ref="BN228:BN236" ca="1" si="377">IF($L228=0,0,
IF($L228&lt;=0.5,BY228,
IF(AND($J228="straight line",$L228&lt;1.51),(BX228-((BX228/$L228)*0.5))+BY228/$L228*0.5,
IF($J228="straight line",
IF((LEFT(BN$43,4)*1)-INT($L228)&lt;LEFT($BI$43,4)*1,0,((OFFSET(BY228,0,-INT($L228+0.5),1,1))/$L228)*(IF($L228-INT($L228)&gt;0.5,$L228-0.5-INT($L228),IF($L228-INT($L228)&lt;=0.5,$L228-0.5-INT($L228)+1,0))))
+BY228/$L228*0.5
+SUM(OFFSET(BY228,0,MAX(-INT($L228+(0.5-(10^-12))),-BN$44)+1,1,MIN(INT($L228+(0.5-(10^-12))),BN$44)-1))*1/$L228,
IF($J228="Declining Balance",-$BI$42,0)))))</f>
        <v>0</v>
      </c>
      <c r="BO228" s="387">
        <f t="shared" ref="BO228:BO236" ca="1" si="378">IF($L228=0,0,
IF($L228&lt;=0.5,BZ228,
IF(AND($J228="straight line",$L228&lt;1.51),(BY228-((BY228/$L228)*0.5))+BZ228/$L228*0.5,
IF($J228="straight line",
IF((LEFT(BO$43,4)*1)-INT($L228)&lt;LEFT($BI$43,4)*1,0,((OFFSET(BZ228,0,-INT($L228+0.5),1,1))/$L228)*(IF($L228-INT($L228)&gt;0.5,$L228-0.5-INT($L228),IF($L228-INT($L228)&lt;=0.5,$L228-0.5-INT($L228)+1,0))))
+BZ228/$L228*0.5
+SUM(OFFSET(BZ228,0,MAX(-INT($L228+(0.5-(10^-12))),-BO$44)+1,1,MIN(INT($L228+(0.5-(10^-12))),BO$44)-1))*1/$L228,
IF($J228="Declining Balance",-$BI$42,0)))))</f>
        <v>0</v>
      </c>
      <c r="BP228" s="1277">
        <f t="shared" ref="BP228:BP236" ca="1" si="379">IF($L228=0,0,
IF($L228&lt;=0.5,CA228,
IF(AND($J228="straight line",$L228&lt;1.51),(BZ228-((BZ228/$L228)*0.5))+CA228/$L228*0.5,
IF($J228="straight line",
IF((LEFT(BP$43,4)*1)-INT($L228)&lt;LEFT($BI$43,4)*1,0,((OFFSET(CA228,0,-INT($L228+0.5),1,1))/$L228)*(IF($L228-INT($L228)&gt;0.5,$L228-0.5-INT($L228),IF($L228-INT($L228)&lt;=0.5,$L228-0.5-INT($L228)+1,0))))
+CA228/$L228*0.5
+SUM(OFFSET(CA228,0,MAX(-INT($L228+(0.5-(10^-12))),-BP$44)+1,1,MIN(INT($L228+(0.5-(10^-12))),BP$44)-1))*1/$L228,
IF($J228="Declining Balance",-$BI$42,0)))))</f>
        <v>0</v>
      </c>
      <c r="BQ228" s="1277">
        <f t="shared" ref="BQ228:BQ236" ca="1" si="380">IF($L228=0,0,
IF($L228&lt;=0.5,CB228,
IF(AND($J228="straight line",$L228&lt;1.51),(CA228-((CA228/$L228)*0.5))+CB228/$L228*0.5,
IF($J228="straight line",
IF((LEFT(BQ$43,4)*1)-INT($L228)&lt;LEFT($BI$43,4)*1,0,((OFFSET(CB228,0,-INT($L228+0.5),1,1))/$L228)*(IF($L228-INT($L228)&gt;0.5,$L228-0.5-INT($L228),IF($L228-INT($L228)&lt;=0.5,$L228-0.5-INT($L228)+1,0))))
+CB228/$L228*0.5
+SUM(OFFSET(CB228,0,MAX(-INT($L228+(0.5-(10^-12))),-BQ$44)+1,1,MIN(INT($L228+(0.5-(10^-12))),BQ$44)-1))*1/$L228,
IF($J228="Declining Balance",-$BI$42,0)))))</f>
        <v>0</v>
      </c>
      <c r="BR228" s="388">
        <f t="shared" ref="BR228:BR236" ca="1" si="381">IF($L228=0,0,
IF($L228&lt;=0.5,CC228,
IF(AND($J228="straight line",$L228&lt;1.51),(CB228-((CB228/$L228)*0.5))+CC228/$L228*0.5,
IF($J228="straight line",
IF((LEFT(BR$43,4)*1)-INT($L228)&lt;LEFT($BI$43,4)*1,0,((OFFSET(CC228,0,-INT($L228+0.5),1,1))/$L228)*(IF($L228-INT($L228)&gt;0.5,$L228-0.5-INT($L228),IF($L228-INT($L228)&lt;=0.5,$L228-0.5-INT($L228)+1,0))))
+CC228/$L228*0.5
+SUM(OFFSET(CC228,0,MAX(-INT($L228+(0.5-(10^-12))),-BR$44)+1,1,MIN(INT($L228+(0.5-(10^-12))),BR$44)-1))*1/$L228,
IF($J228="Declining Balance",-$BI$42,0)))))</f>
        <v>0</v>
      </c>
      <c r="BS228" s="1025"/>
      <c r="BT228" s="1282">
        <f>+IF($K228="Ongoing",AX228,IF(RIGHT($K228,2)=RIGHT(BT$43,2),SUM($AX228:AX228),0)+IF(RIGHT(BT$43,2)&gt;RIGHT($K228,2),AX228,0))</f>
        <v>0</v>
      </c>
      <c r="BU228" s="387">
        <f>+IF($K228="Ongoing",AY228,IF(RIGHT($K228,2)=RIGHT(BU$43,2),SUM($AX228:AY228),0)+IF(RIGHT(BU$43,2)&gt;RIGHT($K228,2),AY228,0))</f>
        <v>0</v>
      </c>
      <c r="BV228" s="387">
        <f>+IF($K228="Ongoing",AZ228,IF(RIGHT($K228,2)=RIGHT(BV$43,2),SUM($AX228:AZ228),0)+IF(RIGHT(BV$43,2)&gt;RIGHT($K228,2),AZ228,0))</f>
        <v>0</v>
      </c>
      <c r="BW228" s="387">
        <f>+IF($K228="Ongoing",BA228,IF(RIGHT($K228,2)=RIGHT(BW$43,2),SUM($AX228:BA228),0)+IF(RIGHT(BW$43,2)&gt;RIGHT($K228,2),BA228,0))</f>
        <v>0</v>
      </c>
      <c r="BX228" s="1283">
        <f>+IF($K228="Ongoing",BB228,IF(RIGHT($K228,2)=RIGHT(BX$43,2),SUM($AX228:BB228),0)+IF(RIGHT(BX$43,2)&gt;RIGHT($K228,2),BB228,0))</f>
        <v>0</v>
      </c>
      <c r="BY228" s="386">
        <f>+IF($K228="Ongoing",BC228,IF(RIGHT($K228,2)=RIGHT(BY$43,2),SUM($AX228:BC228),0)+IF(RIGHT(BY$43,2)&gt;RIGHT($K228,2),BC228,0))</f>
        <v>0</v>
      </c>
      <c r="BZ228" s="387">
        <f>+IF($K228="Ongoing",BD228,IF(RIGHT($K228,2)=RIGHT(BZ$43,2),SUM($AX228:BD228),0)+IF(RIGHT(BZ$43,2)&gt;RIGHT($K228,2),BD228,0))</f>
        <v>0</v>
      </c>
      <c r="CA228" s="1277">
        <f>+IF($K228="Ongoing",BE228,IF(RIGHT($K228,2)=RIGHT(CA$43,2),SUM($AX228:BE228),0)+IF(RIGHT(CA$43,2)&gt;RIGHT($K228,2),BE228,0))</f>
        <v>0</v>
      </c>
      <c r="CB228" s="1277">
        <f>+IF($K228="Ongoing",BF228,IF(RIGHT($K228,2)=RIGHT(CB$43,2),SUM($AX228:BF228),0)+IF(RIGHT(CB$43,2)&gt;RIGHT($K228,2),BF228,0))</f>
        <v>0</v>
      </c>
      <c r="CC228" s="388">
        <f>+IF($K228="Ongoing",BG228,IF(RIGHT($K228,2)=RIGHT(CC$43,2),SUM($AX228:BG228),0)+IF(RIGHT(CC$43,2)&gt;RIGHT($K228,2),BG228,0))</f>
        <v>0</v>
      </c>
      <c r="CD228" s="1025"/>
      <c r="CE228" s="1282">
        <f>+Q228*KeyAssumptionsPriceControl_FO!AF$15</f>
        <v>0</v>
      </c>
      <c r="CF228" s="387">
        <f>+R228*KeyAssumptionsPriceControl_FO!AG$15</f>
        <v>0</v>
      </c>
      <c r="CG228" s="387">
        <f>+S228*KeyAssumptionsPriceControl_FO!AH$15</f>
        <v>0</v>
      </c>
      <c r="CH228" s="387">
        <f>+T228*KeyAssumptionsPriceControl_FO!AI$15</f>
        <v>0</v>
      </c>
      <c r="CI228" s="1283">
        <f>+U228*KeyAssumptionsPriceControl_FO!AJ$15</f>
        <v>0</v>
      </c>
      <c r="CJ228" s="386">
        <f>+V228*KeyAssumptionsPriceControl_FO!AK$15</f>
        <v>0</v>
      </c>
      <c r="CK228" s="387">
        <f>+W228*KeyAssumptionsPriceControl_FO!AL$15</f>
        <v>0</v>
      </c>
      <c r="CL228" s="1277">
        <f>+X228*KeyAssumptionsPriceControl_FO!AM$15</f>
        <v>0</v>
      </c>
      <c r="CM228" s="1277">
        <f>+Y228*KeyAssumptionsPriceControl_FO!AN$15</f>
        <v>0</v>
      </c>
      <c r="CN228" s="388">
        <f>+Z228*KeyAssumptionsPriceControl_FO!AO$15</f>
        <v>0</v>
      </c>
      <c r="CO228" s="1025"/>
      <c r="CP228" s="1282">
        <f t="shared" ref="CP228:CP236" ca="1" si="382">IF($M228="straight line",IF($N228=0,0,
IF($N228&lt;=0.5,CE228,
IF($J228="straight line",
IF((LEFT(CP$43,4)*1)-INT($N228)&lt;LEFT($CP$43,4)*1,0,((OFFSET(CE228,0,-INT($N228+0.5),1,1))/$N228)*(IF($N228-INT($N228)&gt;0.5,$N228-0.5-INT($N228),IF($N228-INT($N228)&lt;=0.5,$N228-0.5-INT($N228)+1,0))))
+CE228/$N228*0.5,
IF($J228="Declining Balance",-$CP$42,0)))),IFERROR(FG228,0))</f>
        <v>0</v>
      </c>
      <c r="CQ228" s="387">
        <f t="shared" ref="CQ228:CQ236" ca="1" si="383">IF($M228="straight line",IF($N228=0,0,
IF($N228&lt;=0.5,CF228,
IF($J228="straight line",
IF((LEFT(CQ$43,4)*1)-INT($N228)&lt;LEFT($CP$43,4)*1,0,((OFFSET(CF228,0,-INT($N228+0.5),1,1))/$N228)*(IF($N228-INT($N228)&gt;0.5,$N228-0.5-INT($N228),IF($N228-INT($N228)&lt;=0.5,$N228-0.5-INT($N228)+1,0))))
+CF228/$N228*0.5,
IF($J228="Declining Balance",-$CP$42,0)))),IFERROR(FH228,0))</f>
        <v>0</v>
      </c>
      <c r="CR228" s="387">
        <f t="shared" ref="CR228:CR236" ca="1" si="384">IF($M228="straight line",IF($N228=0,0,
IF($N228&lt;=0.5,CG228,
IF($J228="straight line",
IF((LEFT(CR$43,4)*1)-INT($N228)&lt;LEFT($CP$43,4)*1,0,((OFFSET(CG228,0,-INT($N228+0.5),1,1))/$N228)*(IF($N228-INT($N228)&gt;0.5,$N228-0.5-INT($N228),IF($N228-INT($N228)&lt;=0.5,$N228-0.5-INT($N228)+1,0))))
+CG228/$N228*0.5,
IF($J228="Declining Balance",-$CP$42,0)))),IFERROR(FI228,0))</f>
        <v>0</v>
      </c>
      <c r="CS228" s="387">
        <f t="shared" ref="CS228:CS236" ca="1" si="385">IF($M228="straight line",IF($N228=0,0,
IF($N228&lt;=0.5,CH228,
IF($J228="straight line",
IF((LEFT(CS$43,4)*1)-INT($N228)&lt;LEFT($CP$43,4)*1,0,((OFFSET(CH228,0,-INT($N228+0.5),1,1))/$N228)*(IF($N228-INT($N228)&gt;0.5,$N228-0.5-INT($N228),IF($N228-INT($N228)&lt;=0.5,$N228-0.5-INT($N228)+1,0))))
+CH228/$N228*0.5,
IF($J228="Declining Balance",-$CP$42,0)))),IFERROR(FJ228,0))</f>
        <v>0</v>
      </c>
      <c r="CT228" s="1283">
        <f t="shared" ref="CT228:CT236" ca="1" si="386">IF($M228="straight line",IF($N228=0,0,
IF($N228&lt;=0.5,CI228,
IF($J228="straight line",
IF((LEFT(CT$43,4)*1)-INT($N228)&lt;LEFT($CP$43,4)*1,0,((OFFSET(CI228,0,-INT($N228+0.5),1,1))/$N228)*(IF($N228-INT($N228)&gt;0.5,$N228-0.5-INT($N228),IF($N228-INT($N228)&lt;=0.5,$N228-0.5-INT($N228)+1,0))))
+CI228/$N228*0.5,
IF($J228="Declining Balance",-$CP$42,0)))),IFERROR(FK228,0))</f>
        <v>0</v>
      </c>
      <c r="CU228" s="386">
        <f t="shared" ref="CU228:CU236" ca="1" si="387">IF($M228="straight line",IF($N228=0,0,
IF($N228&lt;=0.5,CJ228,
IF($J228="straight line",
IF((LEFT(CU$43,4)*1)-INT($N228)&lt;LEFT($CP$43,4)*1,0,((OFFSET(CJ228,0,-INT($N228+0.5),1,1))/$N228)*(IF($N228-INT($N228)&gt;0.5,$N228-0.5-INT($N228),IF($N228-INT($N228)&lt;=0.5,$N228-0.5-INT($N228)+1,0))))
+CJ228/$N228*0.5,
IF($J228="Declining Balance",-$CP$42,0)))),IFERROR(FL228,0))</f>
        <v>0</v>
      </c>
      <c r="CV228" s="387">
        <f t="shared" ref="CV228:CV236" ca="1" si="388">IF($M228="straight line",IF($N228=0,0,
IF($N228&lt;=0.5,CK228,
IF($J228="straight line",
IF((LEFT(CV$43,4)*1)-INT($N228)&lt;LEFT($CP$43,4)*1,0,((OFFSET(CK228,0,-INT($N228+0.5),1,1))/$N228)*(IF($N228-INT($N228)&gt;0.5,$N228-0.5-INT($N228),IF($N228-INT($N228)&lt;=0.5,$N228-0.5-INT($N228)+1,0))))
+CK228/$N228*0.5,
IF($J228="Declining Balance",-$CP$42,0)))),IFERROR(FM228,0))</f>
        <v>0</v>
      </c>
      <c r="CW228" s="1277">
        <f t="shared" ref="CW228:CW236" ca="1" si="389">IF($M228="straight line",IF($N228=0,0,
IF($N228&lt;=0.5,CL228,
IF($J228="straight line",
IF((LEFT(CW$43,4)*1)-INT($N228)&lt;LEFT($CP$43,4)*1,0,((OFFSET(CL228,0,-INT($N228+0.5),1,1))/$N228)*(IF($N228-INT($N228)&gt;0.5,$N228-0.5-INT($N228),IF($N228-INT($N228)&lt;=0.5,$N228-0.5-INT($N228)+1,0))))
+CL228/$N228*0.5,
IF($J228="Declining Balance",-$CP$42,0)))),IFERROR(FN228,0))</f>
        <v>0</v>
      </c>
      <c r="CX228" s="1277">
        <f t="shared" ref="CX228:CX236" ca="1" si="390">IF($M228="straight line",IF($N228=0,0,
IF($N228&lt;=0.5,CM228,
IF($J228="straight line",
IF((LEFT(CX$43,4)*1)-INT($N228)&lt;LEFT($CP$43,4)*1,0,((OFFSET(CM228,0,-INT($N228+0.5),1,1))/$N228)*(IF($N228-INT($N228)&gt;0.5,$N228-0.5-INT($N228),IF($N228-INT($N228)&lt;=0.5,$N228-0.5-INT($N228)+1,0))))
+CM228/$N228*0.5,
IF($J228="Declining Balance",-$CP$42,0)))),IFERROR(FO228,0))</f>
        <v>0</v>
      </c>
      <c r="CY228" s="388">
        <f t="shared" ref="CY228:CY236" ca="1" si="391">IF($M228="straight line",IF($N228=0,0,
IF($N228&lt;=0.5,CN228,
IF($J228="straight line",
IF((LEFT(CY$43,4)*1)-INT($N228)&lt;LEFT($CP$43,4)*1,0,((OFFSET(CN228,0,-INT($N228+0.5),1,1))/$N228)*(IF($N228-INT($N228)&gt;0.5,$N228-0.5-INT($N228),IF($N228-INT($N228)&lt;=0.5,$N228-0.5-INT($N228)+1,0))))
+CN228/$N228*0.5,
IF($J228="Declining Balance",-$CP$42,0)))),IFERROR(FP228,0))</f>
        <v>0</v>
      </c>
      <c r="CZ228" s="347"/>
      <c r="DA228" s="852"/>
      <c r="DB228" s="347"/>
      <c r="DC228" s="1012" t="s">
        <v>749</v>
      </c>
      <c r="DD228" s="841" t="s">
        <v>518</v>
      </c>
      <c r="DE228" s="386">
        <f>+IF($K228="ongoing",CE228,IF(RIGHT($K228,2)=RIGHT(DE$43,2),SUM($CD228:CE228),0)+IF(RIGHT(DE$43,2)&gt;RIGHT($K228,2),CE228,0))</f>
        <v>0</v>
      </c>
      <c r="DF228" s="387">
        <f>+IF($K228="ongoing",CF228,IF(RIGHT($K228,2)=RIGHT(DF$43,2),SUM($CD228:CF228),0)+IF(RIGHT(DF$43,2)&gt;RIGHT($K228,2),CF228,0))</f>
        <v>0</v>
      </c>
      <c r="DG228" s="388">
        <f>+IF($K228="ongoing",CG228,IF(RIGHT($K228,2)=RIGHT(DG$43,2),SUM($CD228:CG228),0)+IF(RIGHT(DG$43,2)&gt;RIGHT($K228,2),CG228,0))</f>
        <v>0</v>
      </c>
      <c r="DH228" s="386">
        <f>+IF($K228="ongoing",CH228,IF(RIGHT($K228,2)=RIGHT(DH$43,2),SUM($CD228:CH228),0)+IF(RIGHT(DH$43,2)&gt;RIGHT($K228,2),CH228,0))</f>
        <v>0</v>
      </c>
      <c r="DI228" s="387">
        <f>+IF($K228="ongoing",CI228,IF(RIGHT($K228,2)=RIGHT(DI$43,2),SUM($CD228:CI228),0)+IF(RIGHT(DI$43,2)&gt;RIGHT($K228,2),CI228,0))</f>
        <v>0</v>
      </c>
      <c r="DJ228" s="387">
        <f>+IF($K228="ongoing",CJ228,IF(RIGHT($K228,2)=RIGHT(DJ$43,2),SUM($CD228:CJ228),0)+IF(RIGHT(DJ$43,2)&gt;RIGHT($K228,2),CJ228,0))</f>
        <v>0</v>
      </c>
      <c r="DK228" s="387">
        <f>+IF($K228="ongoing",CK228,IF(RIGHT($K228,2)=RIGHT(DK$43,2),SUM($CD228:CK228),0)+IF(RIGHT(DK$43,2)&gt;RIGHT($K228,2),CK228,0))</f>
        <v>0</v>
      </c>
      <c r="DL228" s="388">
        <f>+IF($K228="ongoing",CN228,IF(RIGHT($K228,2)=RIGHT(DL$43,2),SUM($CD228:CN228),0)+IF(RIGHT(DL$43,2)&gt;RIGHT($K228,2),CN228,0))</f>
        <v>0</v>
      </c>
      <c r="DM228" s="841"/>
      <c r="DN228" s="386">
        <f t="shared" ref="DN228:DN236" si="392">+MIN(IF($N228&lt;=$DC228,MIN($N228,1),$N228),IF(DN$44=1,0.5,DM228+1))</f>
        <v>0.5</v>
      </c>
      <c r="DO228" s="387">
        <f t="shared" ref="DO228:DO236" si="393">+MIN(IF($N228&lt;=$DC228,MIN($N228,1),$N228),IF(DO$44=1,0.5,DN228+1))</f>
        <v>1</v>
      </c>
      <c r="DP228" s="388">
        <f t="shared" ref="DP228:DP236" si="394">+MIN(IF($N228&lt;=$DC228,MIN($N228,1),$N228),IF(DP$44=1,0.5,DO228+1))</f>
        <v>1</v>
      </c>
      <c r="DQ228" s="386">
        <f t="shared" ref="DQ228:DQ236" si="395">+MIN(IF($N228&lt;=$DC228,MIN($N228,1),$N228),IF(DQ$44=1,0.5,DP228+1))</f>
        <v>1</v>
      </c>
      <c r="DR228" s="387">
        <f t="shared" ref="DR228:DR236" si="396">+MIN(IF($N228&lt;=$DC228,MIN($N228,1),$N228),IF(DR$44=1,0.5,DQ228+1))</f>
        <v>1</v>
      </c>
      <c r="DS228" s="387">
        <f t="shared" ref="DS228:DS236" si="397">+MIN(IF($N228&lt;=$DC228,MIN($N228,1),$N228),IF(DS$44=1,0.5,DR228+1))</f>
        <v>1</v>
      </c>
      <c r="DT228" s="387">
        <f t="shared" ref="DT228:DT236" si="398">+MIN(IF($N228&lt;=$DC228,MIN($N228,1),$N228),IF(DT$44=1,0.5,DS228+1))</f>
        <v>1</v>
      </c>
      <c r="DU228" s="388">
        <f t="shared" ref="DU228:DU236" si="399">+MIN(IF($N228&lt;=$DC228,MIN($N228,1),$N228),IF(DU$44=1,0.5,DT228+1))</f>
        <v>1</v>
      </c>
      <c r="DW228" s="386">
        <f t="shared" ref="DW228:DW236" si="400">+IF(DW$44=1,0,MIN(IF($N228&lt;=$DC228,MIN($N228,1),$N228),IF(DW$44=2,0.5,DV228+1)))</f>
        <v>0</v>
      </c>
      <c r="DX228" s="387">
        <f t="shared" ref="DX228:DX236" si="401">+IF(DX$44=1,0,MIN(IF($N228&lt;=$DC228,MIN($N228,1),$N228),IF(DX$44=2,0.5,DW228+1)))</f>
        <v>0.5</v>
      </c>
      <c r="DY228" s="388">
        <f t="shared" ref="DY228:DY236" si="402">+IF(DY$44=1,0,MIN(IF($N228&lt;=$DC228,MIN($N228,1),$N228),IF(DY$44=2,0.5,DX228+1)))</f>
        <v>1</v>
      </c>
      <c r="DZ228" s="386">
        <f t="shared" ref="DZ228:DZ236" si="403">+IF(DZ$44=1,0,MIN(IF($N228&lt;=$DC228,MIN($N228,1),$N228),IF(DZ$44=2,0.5,DY228+1)))</f>
        <v>1</v>
      </c>
      <c r="EA228" s="387">
        <f t="shared" ref="EA228:EA236" si="404">+IF(EA$44=1,0,MIN(IF($N228&lt;=$DC228,MIN($N228,1),$N228),IF(EA$44=2,0.5,DZ228+1)))</f>
        <v>1</v>
      </c>
      <c r="EB228" s="387">
        <f t="shared" ref="EB228:EB236" si="405">+IF(EB$44=1,0,MIN(IF($N228&lt;=$DC228,MIN($N228,1),$N228),IF(EB$44=2,0.5,EA228+1)))</f>
        <v>1</v>
      </c>
      <c r="EC228" s="387">
        <f t="shared" ref="EC228:EC236" si="406">+IF(EC$44=1,0,MIN(IF($N228&lt;=$DC228,MIN($N228,1),$N228),IF(EC$44=2,0.5,EB228+1)))</f>
        <v>1</v>
      </c>
      <c r="ED228" s="388">
        <f t="shared" ref="ED228:ED236" si="407">+IF(ED$44=1,0,MIN(IF($N228&lt;=$DC228,MIN($N228,1),$N228),IF(ED$44=2,0.5,EC228+1)))</f>
        <v>1</v>
      </c>
      <c r="EF228" s="834">
        <f>+IF(DN228=DM228,0,
IF(AND(EF$44&gt;1,DN228=$N228),1-SUM($EE228:EE228),
IF($N228&lt;=1,
IF($N228&gt;0,1/$N228,0),
IF(EF$44=1,0,VDB(1,0,$N228,INT(EF$44-1-1),MIN($N228,INT(EF$44-1-1)+1),$DC228,IF($DD228="No",1,0))/
IF(DM228&gt;=INT($N228),$N228-INT($N228),1)))*
IF(EF$44=1,0,
IF(INT(DN228)=INT(DM228),DN228-DM228,INT(DN228)-DM228))+
IF($N228&lt;=1,
IF($N228&gt;0,1/$N228,0),VDB(1,0,$N228,INT(EF$44-1),MIN($N228,INT(EF$44-1)+1),$DC228,IF($DD228="No",1,0))/
IF(DN228&gt;INT($N228),$N228-INT($N228),1))*
IF(EF$44=1,DN228,
IF(INT(DN228)=INT(DM228),0,DN228-INT(DN228)))))</f>
        <v>0</v>
      </c>
      <c r="EG228" s="835">
        <f>+IF(DO228=DN228,0,
IF(AND(EG$44&gt;1,DO228=$N228),1-SUM($EE228:EF228),
IF($N228&lt;=1,
IF($N228&gt;0,1/$N228,0),
IF(EG$44=1,0,VDB(1,0,$N228,INT(EG$44-1-1),MIN($N228,INT(EG$44-1-1)+1),$DC228,IF($DD228="No",1,0))/
IF(DN228&gt;=INT($N228),$N228-INT($N228),1)))*
IF(EG$44=1,0,
IF(INT(DO228)=INT(DN228),DO228-DN228,INT(DO228)-DN228))+
IF($N228&lt;=1,
IF($N228&gt;0,1/$N228,0),VDB(1,0,$N228,INT(EG$44-1),MIN($N228,INT(EG$44-1)+1),$DC228,IF($DD228="No",1,0))/
IF(DO228&gt;INT($N228),$N228-INT($N228),1))*
IF(EG$44=1,DO228,
IF(INT(DO228)=INT(DN228),0,DO228-INT(DO228)))))</f>
        <v>0</v>
      </c>
      <c r="EH228" s="836">
        <f>+IF(DP228=DO228,0,
IF(AND(EH$44&gt;1,DP228=$N228),1-SUM($EE228:EG228),
IF($N228&lt;=1,
IF($N228&gt;0,1/$N228,0),
IF(EH$44=1,0,VDB(1,0,$N228,INT(EH$44-1-1),MIN($N228,INT(EH$44-1-1)+1),$DC228,IF($DD228="No",1,0))/
IF(DO228&gt;=INT($N228),$N228-INT($N228),1)))*
IF(EH$44=1,0,
IF(INT(DP228)=INT(DO228),DP228-DO228,INT(DP228)-DO228))+
IF($N228&lt;=1,
IF($N228&gt;0,1/$N228,0),VDB(1,0,$N228,INT(EH$44-1),MIN($N228,INT(EH$44-1)+1),$DC228,IF($DD228="No",1,0))/
IF(DP228&gt;INT($N228),$N228-INT($N228),1))*
IF(EH$44=1,DP228,
IF(INT(DP228)=INT(DO228),0,DP228-INT(DP228)))))</f>
        <v>0</v>
      </c>
      <c r="EI228" s="834">
        <f>+IF(DQ228=DP228,0,
IF(AND(EI$44&gt;1,DQ228=$N228),1-SUM($EE228:EH228),
IF($N228&lt;=1,
IF($N228&gt;0,1/$N228,0),
IF(EI$44=1,0,VDB(1,0,$N228,INT(EI$44-1-1),MIN($N228,INT(EI$44-1-1)+1),$DC228,IF($DD228="No",1,0))/
IF(DP228&gt;=INT($N228),$N228-INT($N228),1)))*
IF(EI$44=1,0,
IF(INT(DQ228)=INT(DP228),DQ228-DP228,INT(DQ228)-DP228))+
IF($N228&lt;=1,
IF($N228&gt;0,1/$N228,0),VDB(1,0,$N228,INT(EI$44-1),MIN($N228,INT(EI$44-1)+1),$DC228,IF($DD228="No",1,0))/
IF(DQ228&gt;INT($N228),$N228-INT($N228),1))*
IF(EI$44=1,DQ228,
IF(INT(DQ228)=INT(DP228),0,DQ228-INT(DQ228)))))</f>
        <v>0</v>
      </c>
      <c r="EJ228" s="835">
        <f>+IF(DR228=DQ228,0,
IF(AND(EJ$44&gt;1,DR228=$N228),1-SUM($EE228:EI228),
IF($N228&lt;=1,
IF($N228&gt;0,1/$N228,0),
IF(EJ$44=1,0,VDB(1,0,$N228,INT(EJ$44-1-1),MIN($N228,INT(EJ$44-1-1)+1),$DC228,IF($DD228="No",1,0))/
IF(DQ228&gt;=INT($N228),$N228-INT($N228),1)))*
IF(EJ$44=1,0,
IF(INT(DR228)=INT(DQ228),DR228-DQ228,INT(DR228)-DQ228))+
IF($N228&lt;=1,
IF($N228&gt;0,1/$N228,0),VDB(1,0,$N228,INT(EJ$44-1),MIN($N228,INT(EJ$44-1)+1),$DC228,IF($DD228="No",1,0))/
IF(DR228&gt;INT($N228),$N228-INT($N228),1))*
IF(EJ$44=1,DR228,
IF(INT(DR228)=INT(DQ228),0,DR228-INT(DR228)))))</f>
        <v>0</v>
      </c>
      <c r="EK228" s="835">
        <f>+IF(DS228=DR228,0,
IF(AND(EK$44&gt;1,DS228=$N228),1-SUM($EE228:EJ228),
IF($N228&lt;=1,
IF($N228&gt;0,1/$N228,0),
IF(EK$44=1,0,VDB(1,0,$N228,INT(EK$44-1-1),MIN($N228,INT(EK$44-1-1)+1),$DC228,IF($DD228="No",1,0))/
IF(DR228&gt;=INT($N228),$N228-INT($N228),1)))*
IF(EK$44=1,0,
IF(INT(DS228)=INT(DR228),DS228-DR228,INT(DS228)-DR228))+
IF($N228&lt;=1,
IF($N228&gt;0,1/$N228,0),VDB(1,0,$N228,INT(EK$44-1),MIN($N228,INT(EK$44-1)+1),$DC228,IF($DD228="No",1,0))/
IF(DS228&gt;INT($N228),$N228-INT($N228),1))*
IF(EK$44=1,DS228,
IF(INT(DS228)=INT(DR228),0,DS228-INT(DS228)))))</f>
        <v>0</v>
      </c>
      <c r="EL228" s="835">
        <f>+IF(DT228=DS228,0,
IF(AND(EL$44&gt;1,DT228=$N228),1-SUM($EE228:EK228),
IF($N228&lt;=1,
IF($N228&gt;0,1/$N228,0),
IF(EL$44=1,0,VDB(1,0,$N228,INT(EL$44-1-1),MIN($N228,INT(EL$44-1-1)+1),$DC228,IF($DD228="No",1,0))/
IF(DS228&gt;=INT($N228),$N228-INT($N228),1)))*
IF(EL$44=1,0,
IF(INT(DT228)=INT(DS228),DT228-DS228,INT(DT228)-DS228))+
IF($N228&lt;=1,
IF($N228&gt;0,1/$N228,0),VDB(1,0,$N228,INT(EL$44-1),MIN($N228,INT(EL$44-1)+1),$DC228,IF($DD228="No",1,0))/
IF(DT228&gt;INT($N228),$N228-INT($N228),1))*
IF(EL$44=1,DT228,
IF(INT(DT228)=INT(DS228),0,DT228-INT(DT228)))))</f>
        <v>0</v>
      </c>
      <c r="EM228" s="836">
        <f>+IF(DU228=DT228,0,
IF(AND(EM$44&gt;1,DU228=$N228),1-SUM($EE228:EL228),
IF($N228&lt;=1,
IF($N228&gt;0,1/$N228,0),
IF(EM$44=1,0,VDB(1,0,$N228,INT(EM$44-1-1),MIN($N228,INT(EM$44-1-1)+1),$DC228,IF($DD228="No",1,0))/
IF(DT228&gt;=INT($N228),$N228-INT($N228),1)))*
IF(EM$44=1,0,
IF(INT(DU228)=INT(DT228),DU228-DT228,INT(DU228)-DT228))+
IF($N228&lt;=1,
IF($N228&gt;0,1/$N228,0),VDB(1,0,$N228,INT(EM$44-1),MIN($N228,INT(EM$44-1)+1),$DC228,IF($DD228="No",1,0))/
IF(DU228&gt;INT($N228),$N228-INT($N228),1))*
IF(EM$44=1,DU228,
IF(INT(DU228)=INT(DT228),0,DU228-INT(DU228)))))</f>
        <v>0</v>
      </c>
      <c r="EN228" s="833"/>
      <c r="EO228" s="834">
        <f>+IF(OR(DW228=DV228,EO$44=1),0,
IF(AND(EO$44&gt;1,DW228=$N228),1-SUM($EN228:EN228),
IF($N228&lt;=1,
IF($N228&gt;0,1/$N228,0),
IF(EO$44=2,0,VDB(1,0,$N228,INT(EO$44-2-1),MIN($N228,INT(EO$44-2-1)+1),$DC228,IF($DD228="No",1,0))/
IF(DV228&gt;=INT($N228),$N228-INT($N228),1)))*
IF(EO$44=2,0,
IF(INT(DW228)=INT(DV228),DW228-DV228,INT(DW228)-DV228))+
IF($N228&lt;=1,
IF($N228&gt;0,1/$N228,0),VDB(1,0,$N228,INT(EO$44-2),MIN($N228,INT(EO$44-2)+1),$DC228,IF($DD228="No",1,0))/
IF(DW228&gt;INT($N228),$N228-INT($N228),1))*
IF(EO$44=2,DW228,
IF(INT(DW228)=INT(DV228),0,DW228-INT(DW228)))))</f>
        <v>0</v>
      </c>
      <c r="EP228" s="835">
        <f>+IF(OR(DX228=DW228,EP$44=1),0,
IF(AND(EP$44&gt;1,DX228=$N228),1-SUM($EN228:EO228),
IF($N228&lt;=1,
IF($N228&gt;0,1/$N228,0),
IF(EP$44=2,0,VDB(1,0,$N228,INT(EP$44-2-1),MIN($N228,INT(EP$44-2-1)+1),$DC228,IF($DD228="No",1,0))/
IF(DW228&gt;=INT($N228),$N228-INT($N228),1)))*
IF(EP$44=2,0,
IF(INT(DX228)=INT(DW228),DX228-DW228,INT(DX228)-DW228))+
IF($N228&lt;=1,
IF($N228&gt;0,1/$N228,0),VDB(1,0,$N228,INT(EP$44-2),MIN($N228,INT(EP$44-2)+1),$DC228,IF($DD228="No",1,0))/
IF(DX228&gt;INT($N228),$N228-INT($N228),1))*
IF(EP$44=2,DX228,
IF(INT(DX228)=INT(DW228),0,DX228-INT(DX228)))))</f>
        <v>0</v>
      </c>
      <c r="EQ228" s="836">
        <f>+IF(OR(DY228=DX228,EQ$44=1),0,
IF(AND(EQ$44&gt;1,DY228=$N228),1-SUM($EN228:EP228),
IF($N228&lt;=1,
IF($N228&gt;0,1/$N228,0),
IF(EQ$44=2,0,VDB(1,0,$N228,INT(EQ$44-2-1),MIN($N228,INT(EQ$44-2-1)+1),$DC228,IF($DD228="No",1,0))/
IF(DX228&gt;=INT($N228),$N228-INT($N228),1)))*
IF(EQ$44=2,0,
IF(INT(DY228)=INT(DX228),DY228-DX228,INT(DY228)-DX228))+
IF($N228&lt;=1,
IF($N228&gt;0,1/$N228,0),VDB(1,0,$N228,INT(EQ$44-2),MIN($N228,INT(EQ$44-2)+1),$DC228,IF($DD228="No",1,0))/
IF(DY228&gt;INT($N228),$N228-INT($N228),1))*
IF(EQ$44=2,DY228,
IF(INT(DY228)=INT(DX228),0,DY228-INT(DY228)))))</f>
        <v>0</v>
      </c>
      <c r="ER228" s="834">
        <f>+IF(OR(DZ228=DY228,ER$44=1),0,
IF(AND(ER$44&gt;1,DZ228=$N228),1-SUM($EN228:EQ228),
IF($N228&lt;=1,
IF($N228&gt;0,1/$N228,0),
IF(ER$44=2,0,VDB(1,0,$N228,INT(ER$44-2-1),MIN($N228,INT(ER$44-2-1)+1),$DC228,IF($DD228="No",1,0))/
IF(DY228&gt;=INT($N228),$N228-INT($N228),1)))*
IF(ER$44=2,0,
IF(INT(DZ228)=INT(DY228),DZ228-DY228,INT(DZ228)-DY228))+
IF($N228&lt;=1,
IF($N228&gt;0,1/$N228,0),VDB(1,0,$N228,INT(ER$44-2),MIN($N228,INT(ER$44-2)+1),$DC228,IF($DD228="No",1,0))/
IF(DZ228&gt;INT($N228),$N228-INT($N228),1))*
IF(ER$44=2,DZ228,
IF(INT(DZ228)=INT(DY228),0,DZ228-INT(DZ228)))))</f>
        <v>0</v>
      </c>
      <c r="ES228" s="835">
        <f>+IF(OR(EA228=DZ228,ES$44=1),0,
IF(AND(ES$44&gt;1,EA228=$N228),1-SUM($EN228:ER228),
IF($N228&lt;=1,
IF($N228&gt;0,1/$N228,0),
IF(ES$44=2,0,VDB(1,0,$N228,INT(ES$44-2-1),MIN($N228,INT(ES$44-2-1)+1),$DC228,IF($DD228="No",1,0))/
IF(DZ228&gt;=INT($N228),$N228-INT($N228),1)))*
IF(ES$44=2,0,
IF(INT(EA228)=INT(DZ228),EA228-DZ228,INT(EA228)-DZ228))+
IF($N228&lt;=1,
IF($N228&gt;0,1/$N228,0),VDB(1,0,$N228,INT(ES$44-2),MIN($N228,INT(ES$44-2)+1),$DC228,IF($DD228="No",1,0))/
IF(EA228&gt;INT($N228),$N228-INT($N228),1))*
IF(ES$44=2,EA228,
IF(INT(EA228)=INT(DZ228),0,EA228-INT(EA228)))))</f>
        <v>0</v>
      </c>
      <c r="ET228" s="835">
        <f>+IF(OR(EB228=EA228,ET$44=1),0,
IF(AND(ET$44&gt;1,EB228=$N228),1-SUM($EN228:ES228),
IF($N228&lt;=1,
IF($N228&gt;0,1/$N228,0),
IF(ET$44=2,0,VDB(1,0,$N228,INT(ET$44-2-1),MIN($N228,INT(ET$44-2-1)+1),$DC228,IF($DD228="No",1,0))/
IF(EA228&gt;=INT($N228),$N228-INT($N228),1)))*
IF(ET$44=2,0,
IF(INT(EB228)=INT(EA228),EB228-EA228,INT(EB228)-EA228))+
IF($N228&lt;=1,
IF($N228&gt;0,1/$N228,0),VDB(1,0,$N228,INT(ET$44-2),MIN($N228,INT(ET$44-2)+1),$DC228,IF($DD228="No",1,0))/
IF(EB228&gt;INT($N228),$N228-INT($N228),1))*
IF(ET$44=2,EB228,
IF(INT(EB228)=INT(EA228),0,EB228-INT(EB228)))))</f>
        <v>0</v>
      </c>
      <c r="EU228" s="835">
        <f>+IF(OR(EC228=EB228,EU$44=1),0,
IF(AND(EU$44&gt;1,EC228=$N228),1-SUM($EN228:ET228),
IF($N228&lt;=1,
IF($N228&gt;0,1/$N228,0),
IF(EU$44=2,0,VDB(1,0,$N228,INT(EU$44-2-1),MIN($N228,INT(EU$44-2-1)+1),$DC228,IF($DD228="No",1,0))/
IF(EB228&gt;=INT($N228),$N228-INT($N228),1)))*
IF(EU$44=2,0,
IF(INT(EC228)=INT(EB228),EC228-EB228,INT(EC228)-EB228))+
IF($N228&lt;=1,
IF($N228&gt;0,1/$N228,0),VDB(1,0,$N228,INT(EU$44-2),MIN($N228,INT(EU$44-2)+1),$DC228,IF($DD228="No",1,0))/
IF(EC228&gt;INT($N228),$N228-INT($N228),1))*
IF(EU$44=2,EC228,
IF(INT(EC228)=INT(EB228),0,EC228-INT(EC228)))))</f>
        <v>0</v>
      </c>
      <c r="EV228" s="836">
        <f>+IF(OR(ED228=EC228,EV$44=1),0,
IF(AND(EV$44&gt;1,ED228=$N228),1-SUM($EN228:EU228),
IF($N228&lt;=1,
IF($N228&gt;0,1/$N228,0),
IF(EV$44=2,0,VDB(1,0,$N228,INT(EV$44-2-1),MIN($N228,INT(EV$44-2-1)+1),$DC228,IF($DD228="No",1,0))/
IF(EC228&gt;=INT($N228),$N228-INT($N228),1)))*
IF(EV$44=2,0,
IF(INT(ED228)=INT(EC228),ED228-EC228,INT(ED228)-EC228))+
IF($N228&lt;=1,
IF($N228&gt;0,1/$N228,0),VDB(1,0,$N228,INT(EV$44-2),MIN($N228,INT(EV$44-2)+1),$DC228,IF($DD228="No",1,0))/
IF(ED228&gt;INT($N228),$N228-INT($N228),1))*
IF(EV$44=2,ED228,
IF(INT(ED228)=INT(EC228),0,ED228-INT(ED228)))))</f>
        <v>0</v>
      </c>
      <c r="EW228" s="833"/>
      <c r="EX228" s="834">
        <f t="shared" ca="1" si="361"/>
        <v>0</v>
      </c>
      <c r="EY228" s="835">
        <f t="shared" ca="1" si="361"/>
        <v>0</v>
      </c>
      <c r="EZ228" s="836">
        <f t="shared" ca="1" si="361"/>
        <v>0</v>
      </c>
      <c r="FA228" s="834">
        <f t="shared" ca="1" si="361"/>
        <v>0</v>
      </c>
      <c r="FB228" s="835">
        <f t="shared" ca="1" si="361"/>
        <v>0</v>
      </c>
      <c r="FC228" s="835">
        <f t="shared" ca="1" si="361"/>
        <v>0</v>
      </c>
      <c r="FD228" s="835">
        <f t="shared" ca="1" si="361"/>
        <v>0</v>
      </c>
      <c r="FE228" s="836">
        <f t="shared" ca="1" si="361"/>
        <v>0</v>
      </c>
      <c r="FG228" s="386">
        <f t="shared" ref="FG228:FG236" ca="1" si="408">-(-$DE228*(-ISBLANK($DE228)+1)*EF228-
IF(FG$44&gt;1,SUMPRODUCT(OFFSET($DF228,0,0,1,FG$44-1)*(-ISBLANK(OFFSET($DF228,0,0,1,FG$44-1))+1),OFFSET($EX228,0,MAX($FG$44:$HY$44)-FG$44,1,FG$44-1)),0))</f>
        <v>0</v>
      </c>
      <c r="FH228" s="387">
        <f t="shared" ref="FH228:FH236" ca="1" si="409">-(-$DE228*(-ISBLANK($DE228)+1)*EG228-
IF(FH$44&gt;1,SUMPRODUCT(OFFSET($DF228,0,0,1,FH$44-1)*(-ISBLANK(OFFSET($DF228,0,0,1,FH$44-1))+1),OFFSET($EX228,0,MAX($FG$44:$HY$44)-FH$44,1,FH$44-1)),0))</f>
        <v>0</v>
      </c>
      <c r="FI228" s="388">
        <f t="shared" ref="FI228:FI236" ca="1" si="410">-(-$DE228*(-ISBLANK($DE228)+1)*EH228-
IF(FI$44&gt;1,SUMPRODUCT(OFFSET($DF228,0,0,1,FI$44-1)*(-ISBLANK(OFFSET($DF228,0,0,1,FI$44-1))+1),OFFSET($EX228,0,MAX($FG$44:$HY$44)-FI$44,1,FI$44-1)),0))</f>
        <v>0</v>
      </c>
      <c r="FJ228" s="386">
        <f t="shared" ref="FJ228:FJ236" ca="1" si="411">-(-$DE228*(-ISBLANK($DE228)+1)*EI228-
IF(FJ$44&gt;1,SUMPRODUCT(OFFSET($DF228,0,0,1,FJ$44-1)*(-ISBLANK(OFFSET($DF228,0,0,1,FJ$44-1))+1),OFFSET($EX228,0,MAX($FG$44:$HY$44)-FJ$44,1,FJ$44-1)),0))</f>
        <v>0</v>
      </c>
      <c r="FK228" s="387">
        <f t="shared" ref="FK228:FK236" ca="1" si="412">-(-$DE228*(-ISBLANK($DE228)+1)*EJ228-
IF(FK$44&gt;1,SUMPRODUCT(OFFSET($DF228,0,0,1,FK$44-1)*(-ISBLANK(OFFSET($DF228,0,0,1,FK$44-1))+1),OFFSET($EX228,0,MAX($FG$44:$HY$44)-FK$44,1,FK$44-1)),0))</f>
        <v>0</v>
      </c>
      <c r="FL228" s="387">
        <f t="shared" ref="FL228:FL236" ca="1" si="413">-(-$DE228*(-ISBLANK($DE228)+1)*EK228-
IF(FL$44&gt;1,SUMPRODUCT(OFFSET($DF228,0,0,1,FL$44-1)*(-ISBLANK(OFFSET($DF228,0,0,1,FL$44-1))+1),OFFSET($EX228,0,MAX($FG$44:$HY$44)-FL$44,1,FL$44-1)),0))</f>
        <v>0</v>
      </c>
      <c r="FM228" s="387">
        <f t="shared" ref="FM228:FM236" ca="1" si="414">-(-$DE228*(-ISBLANK($DE228)+1)*EL228-
IF(FM$44&gt;1,SUMPRODUCT(OFFSET($DF228,0,0,1,FM$44-1)*(-ISBLANK(OFFSET($DF228,0,0,1,FM$44-1))+1),OFFSET($EX228,0,MAX($FG$44:$HY$44)-FM$44,1,FM$44-1)),0))</f>
        <v>0</v>
      </c>
      <c r="FN228" s="388">
        <f t="shared" ref="FN228:FN236" ca="1" si="415">-(-$DE228*(-ISBLANK($DE228)+1)*EM228-
IF(FN$44&gt;1,SUMPRODUCT(OFFSET($DF228,0,0,1,FN$44-1)*(-ISBLANK(OFFSET($DF228,0,0,1,FN$44-1))+1),OFFSET($EX228,0,MAX($FG$44:$HY$44)-FN$44,1,FN$44-1)),0))</f>
        <v>0</v>
      </c>
      <c r="FR228" s="116"/>
    </row>
    <row r="229" spans="2:174">
      <c r="B229" s="1410">
        <f t="shared" si="359"/>
        <v>183</v>
      </c>
      <c r="C229" s="400"/>
      <c r="D229" s="410"/>
      <c r="E229" s="402"/>
      <c r="F229" s="402"/>
      <c r="G229" s="400"/>
      <c r="H229" s="2088"/>
      <c r="I229" s="2089"/>
      <c r="J229" s="411"/>
      <c r="K229" s="403"/>
      <c r="L229" s="403"/>
      <c r="M229" s="403"/>
      <c r="N229" s="403"/>
      <c r="O229" s="347"/>
      <c r="P229" s="347"/>
      <c r="Q229" s="1021"/>
      <c r="R229" s="1022"/>
      <c r="S229" s="1022"/>
      <c r="T229" s="1022"/>
      <c r="U229" s="1023"/>
      <c r="V229" s="1021"/>
      <c r="W229" s="1022"/>
      <c r="X229" s="1022"/>
      <c r="Y229" s="1022"/>
      <c r="Z229" s="1023"/>
      <c r="AA229" s="1024"/>
      <c r="AB229" s="1021"/>
      <c r="AC229" s="1022"/>
      <c r="AD229" s="1022"/>
      <c r="AE229" s="1022"/>
      <c r="AF229" s="1023"/>
      <c r="AG229" s="1021"/>
      <c r="AH229" s="1022"/>
      <c r="AI229" s="1022"/>
      <c r="AJ229" s="1022"/>
      <c r="AK229" s="1023"/>
      <c r="AL229" s="1024"/>
      <c r="AM229" s="1021"/>
      <c r="AN229" s="1022"/>
      <c r="AO229" s="1022"/>
      <c r="AP229" s="1022"/>
      <c r="AQ229" s="1023"/>
      <c r="AR229" s="1021"/>
      <c r="AS229" s="1022"/>
      <c r="AT229" s="1022"/>
      <c r="AU229" s="1022"/>
      <c r="AV229" s="1023"/>
      <c r="AW229" s="1025"/>
      <c r="AX229" s="1282">
        <f t="shared" si="362"/>
        <v>0</v>
      </c>
      <c r="AY229" s="387">
        <f t="shared" si="363"/>
        <v>0</v>
      </c>
      <c r="AZ229" s="387">
        <f t="shared" si="364"/>
        <v>0</v>
      </c>
      <c r="BA229" s="387">
        <f t="shared" si="365"/>
        <v>0</v>
      </c>
      <c r="BB229" s="1283">
        <f t="shared" si="366"/>
        <v>0</v>
      </c>
      <c r="BC229" s="386">
        <f t="shared" si="367"/>
        <v>0</v>
      </c>
      <c r="BD229" s="387">
        <f t="shared" si="368"/>
        <v>0</v>
      </c>
      <c r="BE229" s="1277">
        <f t="shared" si="369"/>
        <v>0</v>
      </c>
      <c r="BF229" s="1277">
        <f t="shared" si="370"/>
        <v>0</v>
      </c>
      <c r="BG229" s="388">
        <f t="shared" si="371"/>
        <v>0</v>
      </c>
      <c r="BH229" s="1025"/>
      <c r="BI229" s="1282">
        <f t="shared" ca="1" si="372"/>
        <v>0</v>
      </c>
      <c r="BJ229" s="387">
        <f t="shared" ca="1" si="373"/>
        <v>0</v>
      </c>
      <c r="BK229" s="387">
        <f t="shared" ca="1" si="374"/>
        <v>0</v>
      </c>
      <c r="BL229" s="387">
        <f t="shared" ca="1" si="375"/>
        <v>0</v>
      </c>
      <c r="BM229" s="1283">
        <f t="shared" ca="1" si="376"/>
        <v>0</v>
      </c>
      <c r="BN229" s="386">
        <f t="shared" ca="1" si="377"/>
        <v>0</v>
      </c>
      <c r="BO229" s="387">
        <f t="shared" ca="1" si="378"/>
        <v>0</v>
      </c>
      <c r="BP229" s="1277">
        <f t="shared" ca="1" si="379"/>
        <v>0</v>
      </c>
      <c r="BQ229" s="1277">
        <f t="shared" ca="1" si="380"/>
        <v>0</v>
      </c>
      <c r="BR229" s="388">
        <f t="shared" ca="1" si="381"/>
        <v>0</v>
      </c>
      <c r="BS229" s="1025"/>
      <c r="BT229" s="1282">
        <f>+IF($K229="Ongoing",AX229,IF(RIGHT($K229,2)=RIGHT(BT$43,2),SUM($AX229:AX229),0)+IF(RIGHT(BT$43,2)&gt;RIGHT($K229,2),AX229,0))</f>
        <v>0</v>
      </c>
      <c r="BU229" s="387">
        <f>+IF($K229="Ongoing",AY229,IF(RIGHT($K229,2)=RIGHT(BU$43,2),SUM($AX229:AY229),0)+IF(RIGHT(BU$43,2)&gt;RIGHT($K229,2),AY229,0))</f>
        <v>0</v>
      </c>
      <c r="BV229" s="387">
        <f>+IF($K229="Ongoing",AZ229,IF(RIGHT($K229,2)=RIGHT(BV$43,2),SUM($AX229:AZ229),0)+IF(RIGHT(BV$43,2)&gt;RIGHT($K229,2),AZ229,0))</f>
        <v>0</v>
      </c>
      <c r="BW229" s="387">
        <f>+IF($K229="Ongoing",BA229,IF(RIGHT($K229,2)=RIGHT(BW$43,2),SUM($AX229:BA229),0)+IF(RIGHT(BW$43,2)&gt;RIGHT($K229,2),BA229,0))</f>
        <v>0</v>
      </c>
      <c r="BX229" s="1283">
        <f>+IF($K229="Ongoing",BB229,IF(RIGHT($K229,2)=RIGHT(BX$43,2),SUM($AX229:BB229),0)+IF(RIGHT(BX$43,2)&gt;RIGHT($K229,2),BB229,0))</f>
        <v>0</v>
      </c>
      <c r="BY229" s="386">
        <f>+IF($K229="Ongoing",BC229,IF(RIGHT($K229,2)=RIGHT(BY$43,2),SUM($AX229:BC229),0)+IF(RIGHT(BY$43,2)&gt;RIGHT($K229,2),BC229,0))</f>
        <v>0</v>
      </c>
      <c r="BZ229" s="387">
        <f>+IF($K229="Ongoing",BD229,IF(RIGHT($K229,2)=RIGHT(BZ$43,2),SUM($AX229:BD229),0)+IF(RIGHT(BZ$43,2)&gt;RIGHT($K229,2),BD229,0))</f>
        <v>0</v>
      </c>
      <c r="CA229" s="1277">
        <f>+IF($K229="Ongoing",BE229,IF(RIGHT($K229,2)=RIGHT(CA$43,2),SUM($AX229:BE229),0)+IF(RIGHT(CA$43,2)&gt;RIGHT($K229,2),BE229,0))</f>
        <v>0</v>
      </c>
      <c r="CB229" s="1277">
        <f>+IF($K229="Ongoing",BF229,IF(RIGHT($K229,2)=RIGHT(CB$43,2),SUM($AX229:BF229),0)+IF(RIGHT(CB$43,2)&gt;RIGHT($K229,2),BF229,0))</f>
        <v>0</v>
      </c>
      <c r="CC229" s="388">
        <f>+IF($K229="Ongoing",BG229,IF(RIGHT($K229,2)=RIGHT(CC$43,2),SUM($AX229:BG229),0)+IF(RIGHT(CC$43,2)&gt;RIGHT($K229,2),BG229,0))</f>
        <v>0</v>
      </c>
      <c r="CD229" s="1025"/>
      <c r="CE229" s="1282">
        <f>+Q229*KeyAssumptionsPriceControl_FO!AF$15</f>
        <v>0</v>
      </c>
      <c r="CF229" s="387">
        <f>+R229*KeyAssumptionsPriceControl_FO!AG$15</f>
        <v>0</v>
      </c>
      <c r="CG229" s="387">
        <f>+S229*KeyAssumptionsPriceControl_FO!AH$15</f>
        <v>0</v>
      </c>
      <c r="CH229" s="387">
        <f>+T229*KeyAssumptionsPriceControl_FO!AI$15</f>
        <v>0</v>
      </c>
      <c r="CI229" s="1283">
        <f>+U229*KeyAssumptionsPriceControl_FO!AJ$15</f>
        <v>0</v>
      </c>
      <c r="CJ229" s="386">
        <f>+V229*KeyAssumptionsPriceControl_FO!AK$15</f>
        <v>0</v>
      </c>
      <c r="CK229" s="387">
        <f>+W229*KeyAssumptionsPriceControl_FO!AL$15</f>
        <v>0</v>
      </c>
      <c r="CL229" s="1277">
        <f>+X229*KeyAssumptionsPriceControl_FO!AM$15</f>
        <v>0</v>
      </c>
      <c r="CM229" s="1277">
        <f>+Y229*KeyAssumptionsPriceControl_FO!AN$15</f>
        <v>0</v>
      </c>
      <c r="CN229" s="388">
        <f>+Z229*KeyAssumptionsPriceControl_FO!AO$15</f>
        <v>0</v>
      </c>
      <c r="CO229" s="1025"/>
      <c r="CP229" s="1282">
        <f t="shared" ca="1" si="382"/>
        <v>0</v>
      </c>
      <c r="CQ229" s="387">
        <f t="shared" ca="1" si="383"/>
        <v>0</v>
      </c>
      <c r="CR229" s="387">
        <f t="shared" ca="1" si="384"/>
        <v>0</v>
      </c>
      <c r="CS229" s="387">
        <f t="shared" ca="1" si="385"/>
        <v>0</v>
      </c>
      <c r="CT229" s="1283">
        <f t="shared" ca="1" si="386"/>
        <v>0</v>
      </c>
      <c r="CU229" s="386">
        <f t="shared" ca="1" si="387"/>
        <v>0</v>
      </c>
      <c r="CV229" s="387">
        <f t="shared" ca="1" si="388"/>
        <v>0</v>
      </c>
      <c r="CW229" s="1277">
        <f t="shared" ca="1" si="389"/>
        <v>0</v>
      </c>
      <c r="CX229" s="1277">
        <f t="shared" ca="1" si="390"/>
        <v>0</v>
      </c>
      <c r="CY229" s="388">
        <f t="shared" ca="1" si="391"/>
        <v>0</v>
      </c>
      <c r="CZ229" s="347"/>
      <c r="DA229" s="852"/>
      <c r="DB229" s="347"/>
      <c r="DC229" s="1012" t="s">
        <v>750</v>
      </c>
      <c r="DD229" s="841" t="s">
        <v>518</v>
      </c>
      <c r="DE229" s="386">
        <f>+IF($K229="ongoing",CE229,IF(RIGHT($K229,2)=RIGHT(DE$43,2),SUM($CD229:CE229),0)+IF(RIGHT(DE$43,2)&gt;RIGHT($K229,2),CE229,0))</f>
        <v>0</v>
      </c>
      <c r="DF229" s="387">
        <f>+IF($K229="ongoing",CF229,IF(RIGHT($K229,2)=RIGHT(DF$43,2),SUM($CD229:CF229),0)+IF(RIGHT(DF$43,2)&gt;RIGHT($K229,2),CF229,0))</f>
        <v>0</v>
      </c>
      <c r="DG229" s="388">
        <f>+IF($K229="ongoing",CG229,IF(RIGHT($K229,2)=RIGHT(DG$43,2),SUM($CD229:CG229),0)+IF(RIGHT(DG$43,2)&gt;RIGHT($K229,2),CG229,0))</f>
        <v>0</v>
      </c>
      <c r="DH229" s="386">
        <f>+IF($K229="ongoing",CH229,IF(RIGHT($K229,2)=RIGHT(DH$43,2),SUM($CD229:CH229),0)+IF(RIGHT(DH$43,2)&gt;RIGHT($K229,2),CH229,0))</f>
        <v>0</v>
      </c>
      <c r="DI229" s="387">
        <f>+IF($K229="ongoing",CI229,IF(RIGHT($K229,2)=RIGHT(DI$43,2),SUM($CD229:CI229),0)+IF(RIGHT(DI$43,2)&gt;RIGHT($K229,2),CI229,0))</f>
        <v>0</v>
      </c>
      <c r="DJ229" s="387">
        <f>+IF($K229="ongoing",CJ229,IF(RIGHT($K229,2)=RIGHT(DJ$43,2),SUM($CD229:CJ229),0)+IF(RIGHT(DJ$43,2)&gt;RIGHT($K229,2),CJ229,0))</f>
        <v>0</v>
      </c>
      <c r="DK229" s="387">
        <f>+IF($K229="ongoing",CK229,IF(RIGHT($K229,2)=RIGHT(DK$43,2),SUM($CD229:CK229),0)+IF(RIGHT(DK$43,2)&gt;RIGHT($K229,2),CK229,0))</f>
        <v>0</v>
      </c>
      <c r="DL229" s="388">
        <f>+IF($K229="ongoing",CN229,IF(RIGHT($K229,2)=RIGHT(DL$43,2),SUM($CD229:CN229),0)+IF(RIGHT(DL$43,2)&gt;RIGHT($K229,2),CN229,0))</f>
        <v>0</v>
      </c>
      <c r="DM229" s="841"/>
      <c r="DN229" s="386">
        <f t="shared" si="392"/>
        <v>0.5</v>
      </c>
      <c r="DO229" s="387">
        <f t="shared" si="393"/>
        <v>1</v>
      </c>
      <c r="DP229" s="388">
        <f t="shared" si="394"/>
        <v>1</v>
      </c>
      <c r="DQ229" s="386">
        <f t="shared" si="395"/>
        <v>1</v>
      </c>
      <c r="DR229" s="387">
        <f t="shared" si="396"/>
        <v>1</v>
      </c>
      <c r="DS229" s="387">
        <f t="shared" si="397"/>
        <v>1</v>
      </c>
      <c r="DT229" s="387">
        <f t="shared" si="398"/>
        <v>1</v>
      </c>
      <c r="DU229" s="388">
        <f t="shared" si="399"/>
        <v>1</v>
      </c>
      <c r="DW229" s="386">
        <f t="shared" si="400"/>
        <v>0</v>
      </c>
      <c r="DX229" s="387">
        <f t="shared" si="401"/>
        <v>0.5</v>
      </c>
      <c r="DY229" s="388">
        <f t="shared" si="402"/>
        <v>1</v>
      </c>
      <c r="DZ229" s="386">
        <f t="shared" si="403"/>
        <v>1</v>
      </c>
      <c r="EA229" s="387">
        <f t="shared" si="404"/>
        <v>1</v>
      </c>
      <c r="EB229" s="387">
        <f t="shared" si="405"/>
        <v>1</v>
      </c>
      <c r="EC229" s="387">
        <f t="shared" si="406"/>
        <v>1</v>
      </c>
      <c r="ED229" s="388">
        <f t="shared" si="407"/>
        <v>1</v>
      </c>
      <c r="EF229" s="834">
        <f>+IF(DN229=DM229,0,
IF(AND(EF$44&gt;1,DN229=$N229),1-SUM($EE229:EE229),
IF($N229&lt;=1,
IF($N229&gt;0,1/$N229,0),
IF(EF$44=1,0,VDB(1,0,$N229,INT(EF$44-1-1),MIN($N229,INT(EF$44-1-1)+1),$DC229,IF($DD229="No",1,0))/
IF(DM229&gt;=INT($N229),$N229-INT($N229),1)))*
IF(EF$44=1,0,
IF(INT(DN229)=INT(DM229),DN229-DM229,INT(DN229)-DM229))+
IF($N229&lt;=1,
IF($N229&gt;0,1/$N229,0),VDB(1,0,$N229,INT(EF$44-1),MIN($N229,INT(EF$44-1)+1),$DC229,IF($DD229="No",1,0))/
IF(DN229&gt;INT($N229),$N229-INT($N229),1))*
IF(EF$44=1,DN229,
IF(INT(DN229)=INT(DM229),0,DN229-INT(DN229)))))</f>
        <v>0</v>
      </c>
      <c r="EG229" s="835">
        <f>+IF(DO229=DN229,0,
IF(AND(EG$44&gt;1,DO229=$N229),1-SUM($EE229:EF229),
IF($N229&lt;=1,
IF($N229&gt;0,1/$N229,0),
IF(EG$44=1,0,VDB(1,0,$N229,INT(EG$44-1-1),MIN($N229,INT(EG$44-1-1)+1),$DC229,IF($DD229="No",1,0))/
IF(DN229&gt;=INT($N229),$N229-INT($N229),1)))*
IF(EG$44=1,0,
IF(INT(DO229)=INT(DN229),DO229-DN229,INT(DO229)-DN229))+
IF($N229&lt;=1,
IF($N229&gt;0,1/$N229,0),VDB(1,0,$N229,INT(EG$44-1),MIN($N229,INT(EG$44-1)+1),$DC229,IF($DD229="No",1,0))/
IF(DO229&gt;INT($N229),$N229-INT($N229),1))*
IF(EG$44=1,DO229,
IF(INT(DO229)=INT(DN229),0,DO229-INT(DO229)))))</f>
        <v>0</v>
      </c>
      <c r="EH229" s="836">
        <f>+IF(DP229=DO229,0,
IF(AND(EH$44&gt;1,DP229=$N229),1-SUM($EE229:EG229),
IF($N229&lt;=1,
IF($N229&gt;0,1/$N229,0),
IF(EH$44=1,0,VDB(1,0,$N229,INT(EH$44-1-1),MIN($N229,INT(EH$44-1-1)+1),$DC229,IF($DD229="No",1,0))/
IF(DO229&gt;=INT($N229),$N229-INT($N229),1)))*
IF(EH$44=1,0,
IF(INT(DP229)=INT(DO229),DP229-DO229,INT(DP229)-DO229))+
IF($N229&lt;=1,
IF($N229&gt;0,1/$N229,0),VDB(1,0,$N229,INT(EH$44-1),MIN($N229,INT(EH$44-1)+1),$DC229,IF($DD229="No",1,0))/
IF(DP229&gt;INT($N229),$N229-INT($N229),1))*
IF(EH$44=1,DP229,
IF(INT(DP229)=INT(DO229),0,DP229-INT(DP229)))))</f>
        <v>0</v>
      </c>
      <c r="EI229" s="834">
        <f>+IF(DQ229=DP229,0,
IF(AND(EI$44&gt;1,DQ229=$N229),1-SUM($EE229:EH229),
IF($N229&lt;=1,
IF($N229&gt;0,1/$N229,0),
IF(EI$44=1,0,VDB(1,0,$N229,INT(EI$44-1-1),MIN($N229,INT(EI$44-1-1)+1),$DC229,IF($DD229="No",1,0))/
IF(DP229&gt;=INT($N229),$N229-INT($N229),1)))*
IF(EI$44=1,0,
IF(INT(DQ229)=INT(DP229),DQ229-DP229,INT(DQ229)-DP229))+
IF($N229&lt;=1,
IF($N229&gt;0,1/$N229,0),VDB(1,0,$N229,INT(EI$44-1),MIN($N229,INT(EI$44-1)+1),$DC229,IF($DD229="No",1,0))/
IF(DQ229&gt;INT($N229),$N229-INT($N229),1))*
IF(EI$44=1,DQ229,
IF(INT(DQ229)=INT(DP229),0,DQ229-INT(DQ229)))))</f>
        <v>0</v>
      </c>
      <c r="EJ229" s="835">
        <f>+IF(DR229=DQ229,0,
IF(AND(EJ$44&gt;1,DR229=$N229),1-SUM($EE229:EI229),
IF($N229&lt;=1,
IF($N229&gt;0,1/$N229,0),
IF(EJ$44=1,0,VDB(1,0,$N229,INT(EJ$44-1-1),MIN($N229,INT(EJ$44-1-1)+1),$DC229,IF($DD229="No",1,0))/
IF(DQ229&gt;=INT($N229),$N229-INT($N229),1)))*
IF(EJ$44=1,0,
IF(INT(DR229)=INT(DQ229),DR229-DQ229,INT(DR229)-DQ229))+
IF($N229&lt;=1,
IF($N229&gt;0,1/$N229,0),VDB(1,0,$N229,INT(EJ$44-1),MIN($N229,INT(EJ$44-1)+1),$DC229,IF($DD229="No",1,0))/
IF(DR229&gt;INT($N229),$N229-INT($N229),1))*
IF(EJ$44=1,DR229,
IF(INT(DR229)=INT(DQ229),0,DR229-INT(DR229)))))</f>
        <v>0</v>
      </c>
      <c r="EK229" s="835">
        <f>+IF(DS229=DR229,0,
IF(AND(EK$44&gt;1,DS229=$N229),1-SUM($EE229:EJ229),
IF($N229&lt;=1,
IF($N229&gt;0,1/$N229,0),
IF(EK$44=1,0,VDB(1,0,$N229,INT(EK$44-1-1),MIN($N229,INT(EK$44-1-1)+1),$DC229,IF($DD229="No",1,0))/
IF(DR229&gt;=INT($N229),$N229-INT($N229),1)))*
IF(EK$44=1,0,
IF(INT(DS229)=INT(DR229),DS229-DR229,INT(DS229)-DR229))+
IF($N229&lt;=1,
IF($N229&gt;0,1/$N229,0),VDB(1,0,$N229,INT(EK$44-1),MIN($N229,INT(EK$44-1)+1),$DC229,IF($DD229="No",1,0))/
IF(DS229&gt;INT($N229),$N229-INT($N229),1))*
IF(EK$44=1,DS229,
IF(INT(DS229)=INT(DR229),0,DS229-INT(DS229)))))</f>
        <v>0</v>
      </c>
      <c r="EL229" s="835">
        <f>+IF(DT229=DS229,0,
IF(AND(EL$44&gt;1,DT229=$N229),1-SUM($EE229:EK229),
IF($N229&lt;=1,
IF($N229&gt;0,1/$N229,0),
IF(EL$44=1,0,VDB(1,0,$N229,INT(EL$44-1-1),MIN($N229,INT(EL$44-1-1)+1),$DC229,IF($DD229="No",1,0))/
IF(DS229&gt;=INT($N229),$N229-INT($N229),1)))*
IF(EL$44=1,0,
IF(INT(DT229)=INT(DS229),DT229-DS229,INT(DT229)-DS229))+
IF($N229&lt;=1,
IF($N229&gt;0,1/$N229,0),VDB(1,0,$N229,INT(EL$44-1),MIN($N229,INT(EL$44-1)+1),$DC229,IF($DD229="No",1,0))/
IF(DT229&gt;INT($N229),$N229-INT($N229),1))*
IF(EL$44=1,DT229,
IF(INT(DT229)=INT(DS229),0,DT229-INT(DT229)))))</f>
        <v>0</v>
      </c>
      <c r="EM229" s="836">
        <f>+IF(DU229=DT229,0,
IF(AND(EM$44&gt;1,DU229=$N229),1-SUM($EE229:EL229),
IF($N229&lt;=1,
IF($N229&gt;0,1/$N229,0),
IF(EM$44=1,0,VDB(1,0,$N229,INT(EM$44-1-1),MIN($N229,INT(EM$44-1-1)+1),$DC229,IF($DD229="No",1,0))/
IF(DT229&gt;=INT($N229),$N229-INT($N229),1)))*
IF(EM$44=1,0,
IF(INT(DU229)=INT(DT229),DU229-DT229,INT(DU229)-DT229))+
IF($N229&lt;=1,
IF($N229&gt;0,1/$N229,0),VDB(1,0,$N229,INT(EM$44-1),MIN($N229,INT(EM$44-1)+1),$DC229,IF($DD229="No",1,0))/
IF(DU229&gt;INT($N229),$N229-INT($N229),1))*
IF(EM$44=1,DU229,
IF(INT(DU229)=INT(DT229),0,DU229-INT(DU229)))))</f>
        <v>0</v>
      </c>
      <c r="EN229" s="833"/>
      <c r="EO229" s="834">
        <f>+IF(OR(DW229=DV229,EO$44=1),0,
IF(AND(EO$44&gt;1,DW229=$N229),1-SUM($EN229:EN229),
IF($N229&lt;=1,
IF($N229&gt;0,1/$N229,0),
IF(EO$44=2,0,VDB(1,0,$N229,INT(EO$44-2-1),MIN($N229,INT(EO$44-2-1)+1),$DC229,IF($DD229="No",1,0))/
IF(DV229&gt;=INT($N229),$N229-INT($N229),1)))*
IF(EO$44=2,0,
IF(INT(DW229)=INT(DV229),DW229-DV229,INT(DW229)-DV229))+
IF($N229&lt;=1,
IF($N229&gt;0,1/$N229,0),VDB(1,0,$N229,INT(EO$44-2),MIN($N229,INT(EO$44-2)+1),$DC229,IF($DD229="No",1,0))/
IF(DW229&gt;INT($N229),$N229-INT($N229),1))*
IF(EO$44=2,DW229,
IF(INT(DW229)=INT(DV229),0,DW229-INT(DW229)))))</f>
        <v>0</v>
      </c>
      <c r="EP229" s="835">
        <f>+IF(OR(DX229=DW229,EP$44=1),0,
IF(AND(EP$44&gt;1,DX229=$N229),1-SUM($EN229:EO229),
IF($N229&lt;=1,
IF($N229&gt;0,1/$N229,0),
IF(EP$44=2,0,VDB(1,0,$N229,INT(EP$44-2-1),MIN($N229,INT(EP$44-2-1)+1),$DC229,IF($DD229="No",1,0))/
IF(DW229&gt;=INT($N229),$N229-INT($N229),1)))*
IF(EP$44=2,0,
IF(INT(DX229)=INT(DW229),DX229-DW229,INT(DX229)-DW229))+
IF($N229&lt;=1,
IF($N229&gt;0,1/$N229,0),VDB(1,0,$N229,INT(EP$44-2),MIN($N229,INT(EP$44-2)+1),$DC229,IF($DD229="No",1,0))/
IF(DX229&gt;INT($N229),$N229-INT($N229),1))*
IF(EP$44=2,DX229,
IF(INT(DX229)=INT(DW229),0,DX229-INT(DX229)))))</f>
        <v>0</v>
      </c>
      <c r="EQ229" s="836">
        <f>+IF(OR(DY229=DX229,EQ$44=1),0,
IF(AND(EQ$44&gt;1,DY229=$N229),1-SUM($EN229:EP229),
IF($N229&lt;=1,
IF($N229&gt;0,1/$N229,0),
IF(EQ$44=2,0,VDB(1,0,$N229,INT(EQ$44-2-1),MIN($N229,INT(EQ$44-2-1)+1),$DC229,IF($DD229="No",1,0))/
IF(DX229&gt;=INT($N229),$N229-INT($N229),1)))*
IF(EQ$44=2,0,
IF(INT(DY229)=INT(DX229),DY229-DX229,INT(DY229)-DX229))+
IF($N229&lt;=1,
IF($N229&gt;0,1/$N229,0),VDB(1,0,$N229,INT(EQ$44-2),MIN($N229,INT(EQ$44-2)+1),$DC229,IF($DD229="No",1,0))/
IF(DY229&gt;INT($N229),$N229-INT($N229),1))*
IF(EQ$44=2,DY229,
IF(INT(DY229)=INT(DX229),0,DY229-INT(DY229)))))</f>
        <v>0</v>
      </c>
      <c r="ER229" s="834">
        <f>+IF(OR(DZ229=DY229,ER$44=1),0,
IF(AND(ER$44&gt;1,DZ229=$N229),1-SUM($EN229:EQ229),
IF($N229&lt;=1,
IF($N229&gt;0,1/$N229,0),
IF(ER$44=2,0,VDB(1,0,$N229,INT(ER$44-2-1),MIN($N229,INT(ER$44-2-1)+1),$DC229,IF($DD229="No",1,0))/
IF(DY229&gt;=INT($N229),$N229-INT($N229),1)))*
IF(ER$44=2,0,
IF(INT(DZ229)=INT(DY229),DZ229-DY229,INT(DZ229)-DY229))+
IF($N229&lt;=1,
IF($N229&gt;0,1/$N229,0),VDB(1,0,$N229,INT(ER$44-2),MIN($N229,INT(ER$44-2)+1),$DC229,IF($DD229="No",1,0))/
IF(DZ229&gt;INT($N229),$N229-INT($N229),1))*
IF(ER$44=2,DZ229,
IF(INT(DZ229)=INT(DY229),0,DZ229-INT(DZ229)))))</f>
        <v>0</v>
      </c>
      <c r="ES229" s="835">
        <f>+IF(OR(EA229=DZ229,ES$44=1),0,
IF(AND(ES$44&gt;1,EA229=$N229),1-SUM($EN229:ER229),
IF($N229&lt;=1,
IF($N229&gt;0,1/$N229,0),
IF(ES$44=2,0,VDB(1,0,$N229,INT(ES$44-2-1),MIN($N229,INT(ES$44-2-1)+1),$DC229,IF($DD229="No",1,0))/
IF(DZ229&gt;=INT($N229),$N229-INT($N229),1)))*
IF(ES$44=2,0,
IF(INT(EA229)=INT(DZ229),EA229-DZ229,INT(EA229)-DZ229))+
IF($N229&lt;=1,
IF($N229&gt;0,1/$N229,0),VDB(1,0,$N229,INT(ES$44-2),MIN($N229,INT(ES$44-2)+1),$DC229,IF($DD229="No",1,0))/
IF(EA229&gt;INT($N229),$N229-INT($N229),1))*
IF(ES$44=2,EA229,
IF(INT(EA229)=INT(DZ229),0,EA229-INT(EA229)))))</f>
        <v>0</v>
      </c>
      <c r="ET229" s="835">
        <f>+IF(OR(EB229=EA229,ET$44=1),0,
IF(AND(ET$44&gt;1,EB229=$N229),1-SUM($EN229:ES229),
IF($N229&lt;=1,
IF($N229&gt;0,1/$N229,0),
IF(ET$44=2,0,VDB(1,0,$N229,INT(ET$44-2-1),MIN($N229,INT(ET$44-2-1)+1),$DC229,IF($DD229="No",1,0))/
IF(EA229&gt;=INT($N229),$N229-INT($N229),1)))*
IF(ET$44=2,0,
IF(INT(EB229)=INT(EA229),EB229-EA229,INT(EB229)-EA229))+
IF($N229&lt;=1,
IF($N229&gt;0,1/$N229,0),VDB(1,0,$N229,INT(ET$44-2),MIN($N229,INT(ET$44-2)+1),$DC229,IF($DD229="No",1,0))/
IF(EB229&gt;INT($N229),$N229-INT($N229),1))*
IF(ET$44=2,EB229,
IF(INT(EB229)=INT(EA229),0,EB229-INT(EB229)))))</f>
        <v>0</v>
      </c>
      <c r="EU229" s="835">
        <f>+IF(OR(EC229=EB229,EU$44=1),0,
IF(AND(EU$44&gt;1,EC229=$N229),1-SUM($EN229:ET229),
IF($N229&lt;=1,
IF($N229&gt;0,1/$N229,0),
IF(EU$44=2,0,VDB(1,0,$N229,INT(EU$44-2-1),MIN($N229,INT(EU$44-2-1)+1),$DC229,IF($DD229="No",1,0))/
IF(EB229&gt;=INT($N229),$N229-INT($N229),1)))*
IF(EU$44=2,0,
IF(INT(EC229)=INT(EB229),EC229-EB229,INT(EC229)-EB229))+
IF($N229&lt;=1,
IF($N229&gt;0,1/$N229,0),VDB(1,0,$N229,INT(EU$44-2),MIN($N229,INT(EU$44-2)+1),$DC229,IF($DD229="No",1,0))/
IF(EC229&gt;INT($N229),$N229-INT($N229),1))*
IF(EU$44=2,EC229,
IF(INT(EC229)=INT(EB229),0,EC229-INT(EC229)))))</f>
        <v>0</v>
      </c>
      <c r="EV229" s="836">
        <f>+IF(OR(ED229=EC229,EV$44=1),0,
IF(AND(EV$44&gt;1,ED229=$N229),1-SUM($EN229:EU229),
IF($N229&lt;=1,
IF($N229&gt;0,1/$N229,0),
IF(EV$44=2,0,VDB(1,0,$N229,INT(EV$44-2-1),MIN($N229,INT(EV$44-2-1)+1),$DC229,IF($DD229="No",1,0))/
IF(EC229&gt;=INT($N229),$N229-INT($N229),1)))*
IF(EV$44=2,0,
IF(INT(ED229)=INT(EC229),ED229-EC229,INT(ED229)-EC229))+
IF($N229&lt;=1,
IF($N229&gt;0,1/$N229,0),VDB(1,0,$N229,INT(EV$44-2),MIN($N229,INT(EV$44-2)+1),$DC229,IF($DD229="No",1,0))/
IF(ED229&gt;INT($N229),$N229-INT($N229),1))*
IF(EV$44=2,ED229,
IF(INT(ED229)=INT(EC229),0,ED229-INT(ED229)))))</f>
        <v>0</v>
      </c>
      <c r="EW229" s="833"/>
      <c r="EX229" s="834">
        <f t="shared" ca="1" si="361"/>
        <v>0</v>
      </c>
      <c r="EY229" s="835">
        <f t="shared" ca="1" si="361"/>
        <v>0</v>
      </c>
      <c r="EZ229" s="836">
        <f t="shared" ca="1" si="361"/>
        <v>0</v>
      </c>
      <c r="FA229" s="834">
        <f t="shared" ca="1" si="361"/>
        <v>0</v>
      </c>
      <c r="FB229" s="835">
        <f t="shared" ca="1" si="361"/>
        <v>0</v>
      </c>
      <c r="FC229" s="835">
        <f t="shared" ca="1" si="361"/>
        <v>0</v>
      </c>
      <c r="FD229" s="835">
        <f t="shared" ca="1" si="361"/>
        <v>0</v>
      </c>
      <c r="FE229" s="836">
        <f t="shared" ca="1" si="361"/>
        <v>0</v>
      </c>
      <c r="FG229" s="386">
        <f t="shared" ca="1" si="408"/>
        <v>0</v>
      </c>
      <c r="FH229" s="387">
        <f t="shared" ca="1" si="409"/>
        <v>0</v>
      </c>
      <c r="FI229" s="388">
        <f t="shared" ca="1" si="410"/>
        <v>0</v>
      </c>
      <c r="FJ229" s="386">
        <f t="shared" ca="1" si="411"/>
        <v>0</v>
      </c>
      <c r="FK229" s="387">
        <f t="shared" ca="1" si="412"/>
        <v>0</v>
      </c>
      <c r="FL229" s="387">
        <f t="shared" ca="1" si="413"/>
        <v>0</v>
      </c>
      <c r="FM229" s="387">
        <f t="shared" ca="1" si="414"/>
        <v>0</v>
      </c>
      <c r="FN229" s="388">
        <f t="shared" ca="1" si="415"/>
        <v>0</v>
      </c>
      <c r="FR229" s="116"/>
    </row>
    <row r="230" spans="2:174">
      <c r="B230" s="1410">
        <f t="shared" si="359"/>
        <v>184</v>
      </c>
      <c r="C230" s="400"/>
      <c r="D230" s="410"/>
      <c r="E230" s="402"/>
      <c r="F230" s="402"/>
      <c r="G230" s="400"/>
      <c r="H230" s="2088"/>
      <c r="I230" s="2089"/>
      <c r="J230" s="411"/>
      <c r="K230" s="403"/>
      <c r="L230" s="403"/>
      <c r="M230" s="403"/>
      <c r="N230" s="403"/>
      <c r="O230" s="347"/>
      <c r="P230" s="347"/>
      <c r="Q230" s="1021"/>
      <c r="R230" s="1022"/>
      <c r="S230" s="1022"/>
      <c r="T230" s="1022"/>
      <c r="U230" s="1023"/>
      <c r="V230" s="1021"/>
      <c r="W230" s="1022"/>
      <c r="X230" s="1022"/>
      <c r="Y230" s="1022"/>
      <c r="Z230" s="1023"/>
      <c r="AA230" s="1024"/>
      <c r="AB230" s="1021"/>
      <c r="AC230" s="1022"/>
      <c r="AD230" s="1022"/>
      <c r="AE230" s="1022"/>
      <c r="AF230" s="1023"/>
      <c r="AG230" s="1021"/>
      <c r="AH230" s="1022"/>
      <c r="AI230" s="1022"/>
      <c r="AJ230" s="1022"/>
      <c r="AK230" s="1023"/>
      <c r="AL230" s="1024"/>
      <c r="AM230" s="1021"/>
      <c r="AN230" s="1022"/>
      <c r="AO230" s="1022"/>
      <c r="AP230" s="1022"/>
      <c r="AQ230" s="1023"/>
      <c r="AR230" s="1021"/>
      <c r="AS230" s="1022"/>
      <c r="AT230" s="1022"/>
      <c r="AU230" s="1022"/>
      <c r="AV230" s="1023"/>
      <c r="AW230" s="1025"/>
      <c r="AX230" s="1282">
        <f t="shared" si="362"/>
        <v>0</v>
      </c>
      <c r="AY230" s="387">
        <f t="shared" si="363"/>
        <v>0</v>
      </c>
      <c r="AZ230" s="387">
        <f t="shared" si="364"/>
        <v>0</v>
      </c>
      <c r="BA230" s="387">
        <f t="shared" si="365"/>
        <v>0</v>
      </c>
      <c r="BB230" s="1283">
        <f t="shared" si="366"/>
        <v>0</v>
      </c>
      <c r="BC230" s="386">
        <f t="shared" si="367"/>
        <v>0</v>
      </c>
      <c r="BD230" s="387">
        <f t="shared" si="368"/>
        <v>0</v>
      </c>
      <c r="BE230" s="1277">
        <f t="shared" si="369"/>
        <v>0</v>
      </c>
      <c r="BF230" s="1277">
        <f t="shared" si="370"/>
        <v>0</v>
      </c>
      <c r="BG230" s="388">
        <f t="shared" si="371"/>
        <v>0</v>
      </c>
      <c r="BH230" s="1025"/>
      <c r="BI230" s="1282">
        <f t="shared" ca="1" si="372"/>
        <v>0</v>
      </c>
      <c r="BJ230" s="387">
        <f t="shared" ca="1" si="373"/>
        <v>0</v>
      </c>
      <c r="BK230" s="387">
        <f t="shared" ca="1" si="374"/>
        <v>0</v>
      </c>
      <c r="BL230" s="387">
        <f t="shared" ca="1" si="375"/>
        <v>0</v>
      </c>
      <c r="BM230" s="1283">
        <f t="shared" ca="1" si="376"/>
        <v>0</v>
      </c>
      <c r="BN230" s="386">
        <f t="shared" ca="1" si="377"/>
        <v>0</v>
      </c>
      <c r="BO230" s="387">
        <f t="shared" ca="1" si="378"/>
        <v>0</v>
      </c>
      <c r="BP230" s="1277">
        <f t="shared" ca="1" si="379"/>
        <v>0</v>
      </c>
      <c r="BQ230" s="1277">
        <f t="shared" ca="1" si="380"/>
        <v>0</v>
      </c>
      <c r="BR230" s="388">
        <f t="shared" ca="1" si="381"/>
        <v>0</v>
      </c>
      <c r="BS230" s="1025"/>
      <c r="BT230" s="1282">
        <f>+IF($K230="Ongoing",AX230,IF(RIGHT($K230,2)=RIGHT(BT$43,2),SUM($AX230:AX230),0)+IF(RIGHT(BT$43,2)&gt;RIGHT($K230,2),AX230,0))</f>
        <v>0</v>
      </c>
      <c r="BU230" s="387">
        <f>+IF($K230="Ongoing",AY230,IF(RIGHT($K230,2)=RIGHT(BU$43,2),SUM($AX230:AY230),0)+IF(RIGHT(BU$43,2)&gt;RIGHT($K230,2),AY230,0))</f>
        <v>0</v>
      </c>
      <c r="BV230" s="387">
        <f>+IF($K230="Ongoing",AZ230,IF(RIGHT($K230,2)=RIGHT(BV$43,2),SUM($AX230:AZ230),0)+IF(RIGHT(BV$43,2)&gt;RIGHT($K230,2),AZ230,0))</f>
        <v>0</v>
      </c>
      <c r="BW230" s="387">
        <f>+IF($K230="Ongoing",BA230,IF(RIGHT($K230,2)=RIGHT(BW$43,2),SUM($AX230:BA230),0)+IF(RIGHT(BW$43,2)&gt;RIGHT($K230,2),BA230,0))</f>
        <v>0</v>
      </c>
      <c r="BX230" s="1283">
        <f>+IF($K230="Ongoing",BB230,IF(RIGHT($K230,2)=RIGHT(BX$43,2),SUM($AX230:BB230),0)+IF(RIGHT(BX$43,2)&gt;RIGHT($K230,2),BB230,0))</f>
        <v>0</v>
      </c>
      <c r="BY230" s="386">
        <f>+IF($K230="Ongoing",BC230,IF(RIGHT($K230,2)=RIGHT(BY$43,2),SUM($AX230:BC230),0)+IF(RIGHT(BY$43,2)&gt;RIGHT($K230,2),BC230,0))</f>
        <v>0</v>
      </c>
      <c r="BZ230" s="387">
        <f>+IF($K230="Ongoing",BD230,IF(RIGHT($K230,2)=RIGHT(BZ$43,2),SUM($AX230:BD230),0)+IF(RIGHT(BZ$43,2)&gt;RIGHT($K230,2),BD230,0))</f>
        <v>0</v>
      </c>
      <c r="CA230" s="1277">
        <f>+IF($K230="Ongoing",BE230,IF(RIGHT($K230,2)=RIGHT(CA$43,2),SUM($AX230:BE230),0)+IF(RIGHT(CA$43,2)&gt;RIGHT($K230,2),BE230,0))</f>
        <v>0</v>
      </c>
      <c r="CB230" s="1277">
        <f>+IF($K230="Ongoing",BF230,IF(RIGHT($K230,2)=RIGHT(CB$43,2),SUM($AX230:BF230),0)+IF(RIGHT(CB$43,2)&gt;RIGHT($K230,2),BF230,0))</f>
        <v>0</v>
      </c>
      <c r="CC230" s="388">
        <f>+IF($K230="Ongoing",BG230,IF(RIGHT($K230,2)=RIGHT(CC$43,2),SUM($AX230:BG230),0)+IF(RIGHT(CC$43,2)&gt;RIGHT($K230,2),BG230,0))</f>
        <v>0</v>
      </c>
      <c r="CD230" s="1025"/>
      <c r="CE230" s="1282">
        <f>+Q230*KeyAssumptionsPriceControl_FO!AF$15</f>
        <v>0</v>
      </c>
      <c r="CF230" s="387">
        <f>+R230*KeyAssumptionsPriceControl_FO!AG$15</f>
        <v>0</v>
      </c>
      <c r="CG230" s="387">
        <f>+S230*KeyAssumptionsPriceControl_FO!AH$15</f>
        <v>0</v>
      </c>
      <c r="CH230" s="387">
        <f>+T230*KeyAssumptionsPriceControl_FO!AI$15</f>
        <v>0</v>
      </c>
      <c r="CI230" s="1283">
        <f>+U230*KeyAssumptionsPriceControl_FO!AJ$15</f>
        <v>0</v>
      </c>
      <c r="CJ230" s="386">
        <f>+V230*KeyAssumptionsPriceControl_FO!AK$15</f>
        <v>0</v>
      </c>
      <c r="CK230" s="387">
        <f>+W230*KeyAssumptionsPriceControl_FO!AL$15</f>
        <v>0</v>
      </c>
      <c r="CL230" s="1277">
        <f>+X230*KeyAssumptionsPriceControl_FO!AM$15</f>
        <v>0</v>
      </c>
      <c r="CM230" s="1277">
        <f>+Y230*KeyAssumptionsPriceControl_FO!AN$15</f>
        <v>0</v>
      </c>
      <c r="CN230" s="388">
        <f>+Z230*KeyAssumptionsPriceControl_FO!AO$15</f>
        <v>0</v>
      </c>
      <c r="CO230" s="1025"/>
      <c r="CP230" s="1282">
        <f t="shared" ca="1" si="382"/>
        <v>0</v>
      </c>
      <c r="CQ230" s="387">
        <f t="shared" ca="1" si="383"/>
        <v>0</v>
      </c>
      <c r="CR230" s="387">
        <f t="shared" ca="1" si="384"/>
        <v>0</v>
      </c>
      <c r="CS230" s="387">
        <f t="shared" ca="1" si="385"/>
        <v>0</v>
      </c>
      <c r="CT230" s="1283">
        <f t="shared" ca="1" si="386"/>
        <v>0</v>
      </c>
      <c r="CU230" s="386">
        <f t="shared" ca="1" si="387"/>
        <v>0</v>
      </c>
      <c r="CV230" s="387">
        <f t="shared" ca="1" si="388"/>
        <v>0</v>
      </c>
      <c r="CW230" s="1277">
        <f t="shared" ca="1" si="389"/>
        <v>0</v>
      </c>
      <c r="CX230" s="1277">
        <f t="shared" ca="1" si="390"/>
        <v>0</v>
      </c>
      <c r="CY230" s="388">
        <f t="shared" ca="1" si="391"/>
        <v>0</v>
      </c>
      <c r="CZ230" s="347"/>
      <c r="DA230" s="852"/>
      <c r="DB230" s="347"/>
      <c r="DC230" s="1012" t="s">
        <v>751</v>
      </c>
      <c r="DD230" s="841" t="s">
        <v>518</v>
      </c>
      <c r="DE230" s="386">
        <f>+IF($K230="ongoing",CE230,IF(RIGHT($K230,2)=RIGHT(DE$43,2),SUM($CD230:CE230),0)+IF(RIGHT(DE$43,2)&gt;RIGHT($K230,2),CE230,0))</f>
        <v>0</v>
      </c>
      <c r="DF230" s="387">
        <f>+IF($K230="ongoing",CF230,IF(RIGHT($K230,2)=RIGHT(DF$43,2),SUM($CD230:CF230),0)+IF(RIGHT(DF$43,2)&gt;RIGHT($K230,2),CF230,0))</f>
        <v>0</v>
      </c>
      <c r="DG230" s="388">
        <f>+IF($K230="ongoing",CG230,IF(RIGHT($K230,2)=RIGHT(DG$43,2),SUM($CD230:CG230),0)+IF(RIGHT(DG$43,2)&gt;RIGHT($K230,2),CG230,0))</f>
        <v>0</v>
      </c>
      <c r="DH230" s="386">
        <f>+IF($K230="ongoing",CH230,IF(RIGHT($K230,2)=RIGHT(DH$43,2),SUM($CD230:CH230),0)+IF(RIGHT(DH$43,2)&gt;RIGHT($K230,2),CH230,0))</f>
        <v>0</v>
      </c>
      <c r="DI230" s="387">
        <f>+IF($K230="ongoing",CI230,IF(RIGHT($K230,2)=RIGHT(DI$43,2),SUM($CD230:CI230),0)+IF(RIGHT(DI$43,2)&gt;RIGHT($K230,2),CI230,0))</f>
        <v>0</v>
      </c>
      <c r="DJ230" s="387">
        <f>+IF($K230="ongoing",CJ230,IF(RIGHT($K230,2)=RIGHT(DJ$43,2),SUM($CD230:CJ230),0)+IF(RIGHT(DJ$43,2)&gt;RIGHT($K230,2),CJ230,0))</f>
        <v>0</v>
      </c>
      <c r="DK230" s="387">
        <f>+IF($K230="ongoing",CK230,IF(RIGHT($K230,2)=RIGHT(DK$43,2),SUM($CD230:CK230),0)+IF(RIGHT(DK$43,2)&gt;RIGHT($K230,2),CK230,0))</f>
        <v>0</v>
      </c>
      <c r="DL230" s="388">
        <f>+IF($K230="ongoing",CN230,IF(RIGHT($K230,2)=RIGHT(DL$43,2),SUM($CD230:CN230),0)+IF(RIGHT(DL$43,2)&gt;RIGHT($K230,2),CN230,0))</f>
        <v>0</v>
      </c>
      <c r="DM230" s="841"/>
      <c r="DN230" s="386">
        <f t="shared" si="392"/>
        <v>0.5</v>
      </c>
      <c r="DO230" s="387">
        <f t="shared" si="393"/>
        <v>1</v>
      </c>
      <c r="DP230" s="388">
        <f t="shared" si="394"/>
        <v>1</v>
      </c>
      <c r="DQ230" s="386">
        <f t="shared" si="395"/>
        <v>1</v>
      </c>
      <c r="DR230" s="387">
        <f t="shared" si="396"/>
        <v>1</v>
      </c>
      <c r="DS230" s="387">
        <f t="shared" si="397"/>
        <v>1</v>
      </c>
      <c r="DT230" s="387">
        <f t="shared" si="398"/>
        <v>1</v>
      </c>
      <c r="DU230" s="388">
        <f t="shared" si="399"/>
        <v>1</v>
      </c>
      <c r="DW230" s="386">
        <f t="shared" si="400"/>
        <v>0</v>
      </c>
      <c r="DX230" s="387">
        <f t="shared" si="401"/>
        <v>0.5</v>
      </c>
      <c r="DY230" s="388">
        <f t="shared" si="402"/>
        <v>1</v>
      </c>
      <c r="DZ230" s="386">
        <f t="shared" si="403"/>
        <v>1</v>
      </c>
      <c r="EA230" s="387">
        <f t="shared" si="404"/>
        <v>1</v>
      </c>
      <c r="EB230" s="387">
        <f t="shared" si="405"/>
        <v>1</v>
      </c>
      <c r="EC230" s="387">
        <f t="shared" si="406"/>
        <v>1</v>
      </c>
      <c r="ED230" s="388">
        <f t="shared" si="407"/>
        <v>1</v>
      </c>
      <c r="EF230" s="834">
        <f>+IF(DN230=DM230,0,
IF(AND(EF$44&gt;1,DN230=$N230),1-SUM($EE230:EE230),
IF($N230&lt;=1,
IF($N230&gt;0,1/$N230,0),
IF(EF$44=1,0,VDB(1,0,$N230,INT(EF$44-1-1),MIN($N230,INT(EF$44-1-1)+1),$DC230,IF($DD230="No",1,0))/
IF(DM230&gt;=INT($N230),$N230-INT($N230),1)))*
IF(EF$44=1,0,
IF(INT(DN230)=INT(DM230),DN230-DM230,INT(DN230)-DM230))+
IF($N230&lt;=1,
IF($N230&gt;0,1/$N230,0),VDB(1,0,$N230,INT(EF$44-1),MIN($N230,INT(EF$44-1)+1),$DC230,IF($DD230="No",1,0))/
IF(DN230&gt;INT($N230),$N230-INT($N230),1))*
IF(EF$44=1,DN230,
IF(INT(DN230)=INT(DM230),0,DN230-INT(DN230)))))</f>
        <v>0</v>
      </c>
      <c r="EG230" s="835">
        <f>+IF(DO230=DN230,0,
IF(AND(EG$44&gt;1,DO230=$N230),1-SUM($EE230:EF230),
IF($N230&lt;=1,
IF($N230&gt;0,1/$N230,0),
IF(EG$44=1,0,VDB(1,0,$N230,INT(EG$44-1-1),MIN($N230,INT(EG$44-1-1)+1),$DC230,IF($DD230="No",1,0))/
IF(DN230&gt;=INT($N230),$N230-INT($N230),1)))*
IF(EG$44=1,0,
IF(INT(DO230)=INT(DN230),DO230-DN230,INT(DO230)-DN230))+
IF($N230&lt;=1,
IF($N230&gt;0,1/$N230,0),VDB(1,0,$N230,INT(EG$44-1),MIN($N230,INT(EG$44-1)+1),$DC230,IF($DD230="No",1,0))/
IF(DO230&gt;INT($N230),$N230-INT($N230),1))*
IF(EG$44=1,DO230,
IF(INT(DO230)=INT(DN230),0,DO230-INT(DO230)))))</f>
        <v>0</v>
      </c>
      <c r="EH230" s="836">
        <f>+IF(DP230=DO230,0,
IF(AND(EH$44&gt;1,DP230=$N230),1-SUM($EE230:EG230),
IF($N230&lt;=1,
IF($N230&gt;0,1/$N230,0),
IF(EH$44=1,0,VDB(1,0,$N230,INT(EH$44-1-1),MIN($N230,INT(EH$44-1-1)+1),$DC230,IF($DD230="No",1,0))/
IF(DO230&gt;=INT($N230),$N230-INT($N230),1)))*
IF(EH$44=1,0,
IF(INT(DP230)=INT(DO230),DP230-DO230,INT(DP230)-DO230))+
IF($N230&lt;=1,
IF($N230&gt;0,1/$N230,0),VDB(1,0,$N230,INT(EH$44-1),MIN($N230,INT(EH$44-1)+1),$DC230,IF($DD230="No",1,0))/
IF(DP230&gt;INT($N230),$N230-INT($N230),1))*
IF(EH$44=1,DP230,
IF(INT(DP230)=INT(DO230),0,DP230-INT(DP230)))))</f>
        <v>0</v>
      </c>
      <c r="EI230" s="834">
        <f>+IF(DQ230=DP230,0,
IF(AND(EI$44&gt;1,DQ230=$N230),1-SUM($EE230:EH230),
IF($N230&lt;=1,
IF($N230&gt;0,1/$N230,0),
IF(EI$44=1,0,VDB(1,0,$N230,INT(EI$44-1-1),MIN($N230,INT(EI$44-1-1)+1),$DC230,IF($DD230="No",1,0))/
IF(DP230&gt;=INT($N230),$N230-INT($N230),1)))*
IF(EI$44=1,0,
IF(INT(DQ230)=INT(DP230),DQ230-DP230,INT(DQ230)-DP230))+
IF($N230&lt;=1,
IF($N230&gt;0,1/$N230,0),VDB(1,0,$N230,INT(EI$44-1),MIN($N230,INT(EI$44-1)+1),$DC230,IF($DD230="No",1,0))/
IF(DQ230&gt;INT($N230),$N230-INT($N230),1))*
IF(EI$44=1,DQ230,
IF(INT(DQ230)=INT(DP230),0,DQ230-INT(DQ230)))))</f>
        <v>0</v>
      </c>
      <c r="EJ230" s="835">
        <f>+IF(DR230=DQ230,0,
IF(AND(EJ$44&gt;1,DR230=$N230),1-SUM($EE230:EI230),
IF($N230&lt;=1,
IF($N230&gt;0,1/$N230,0),
IF(EJ$44=1,0,VDB(1,0,$N230,INT(EJ$44-1-1),MIN($N230,INT(EJ$44-1-1)+1),$DC230,IF($DD230="No",1,0))/
IF(DQ230&gt;=INT($N230),$N230-INT($N230),1)))*
IF(EJ$44=1,0,
IF(INT(DR230)=INT(DQ230),DR230-DQ230,INT(DR230)-DQ230))+
IF($N230&lt;=1,
IF($N230&gt;0,1/$N230,0),VDB(1,0,$N230,INT(EJ$44-1),MIN($N230,INT(EJ$44-1)+1),$DC230,IF($DD230="No",1,0))/
IF(DR230&gt;INT($N230),$N230-INT($N230),1))*
IF(EJ$44=1,DR230,
IF(INT(DR230)=INT(DQ230),0,DR230-INT(DR230)))))</f>
        <v>0</v>
      </c>
      <c r="EK230" s="835">
        <f>+IF(DS230=DR230,0,
IF(AND(EK$44&gt;1,DS230=$N230),1-SUM($EE230:EJ230),
IF($N230&lt;=1,
IF($N230&gt;0,1/$N230,0),
IF(EK$44=1,0,VDB(1,0,$N230,INT(EK$44-1-1),MIN($N230,INT(EK$44-1-1)+1),$DC230,IF($DD230="No",1,0))/
IF(DR230&gt;=INT($N230),$N230-INT($N230),1)))*
IF(EK$44=1,0,
IF(INT(DS230)=INT(DR230),DS230-DR230,INT(DS230)-DR230))+
IF($N230&lt;=1,
IF($N230&gt;0,1/$N230,0),VDB(1,0,$N230,INT(EK$44-1),MIN($N230,INT(EK$44-1)+1),$DC230,IF($DD230="No",1,0))/
IF(DS230&gt;INT($N230),$N230-INT($N230),1))*
IF(EK$44=1,DS230,
IF(INT(DS230)=INT(DR230),0,DS230-INT(DS230)))))</f>
        <v>0</v>
      </c>
      <c r="EL230" s="835">
        <f>+IF(DT230=DS230,0,
IF(AND(EL$44&gt;1,DT230=$N230),1-SUM($EE230:EK230),
IF($N230&lt;=1,
IF($N230&gt;0,1/$N230,0),
IF(EL$44=1,0,VDB(1,0,$N230,INT(EL$44-1-1),MIN($N230,INT(EL$44-1-1)+1),$DC230,IF($DD230="No",1,0))/
IF(DS230&gt;=INT($N230),$N230-INT($N230),1)))*
IF(EL$44=1,0,
IF(INT(DT230)=INT(DS230),DT230-DS230,INT(DT230)-DS230))+
IF($N230&lt;=1,
IF($N230&gt;0,1/$N230,0),VDB(1,0,$N230,INT(EL$44-1),MIN($N230,INT(EL$44-1)+1),$DC230,IF($DD230="No",1,0))/
IF(DT230&gt;INT($N230),$N230-INT($N230),1))*
IF(EL$44=1,DT230,
IF(INT(DT230)=INT(DS230),0,DT230-INT(DT230)))))</f>
        <v>0</v>
      </c>
      <c r="EM230" s="836">
        <f>+IF(DU230=DT230,0,
IF(AND(EM$44&gt;1,DU230=$N230),1-SUM($EE230:EL230),
IF($N230&lt;=1,
IF($N230&gt;0,1/$N230,0),
IF(EM$44=1,0,VDB(1,0,$N230,INT(EM$44-1-1),MIN($N230,INT(EM$44-1-1)+1),$DC230,IF($DD230="No",1,0))/
IF(DT230&gt;=INT($N230),$N230-INT($N230),1)))*
IF(EM$44=1,0,
IF(INT(DU230)=INT(DT230),DU230-DT230,INT(DU230)-DT230))+
IF($N230&lt;=1,
IF($N230&gt;0,1/$N230,0),VDB(1,0,$N230,INT(EM$44-1),MIN($N230,INT(EM$44-1)+1),$DC230,IF($DD230="No",1,0))/
IF(DU230&gt;INT($N230),$N230-INT($N230),1))*
IF(EM$44=1,DU230,
IF(INT(DU230)=INT(DT230),0,DU230-INT(DU230)))))</f>
        <v>0</v>
      </c>
      <c r="EN230" s="833"/>
      <c r="EO230" s="834">
        <f>+IF(OR(DW230=DV230,EO$44=1),0,
IF(AND(EO$44&gt;1,DW230=$N230),1-SUM($EN230:EN230),
IF($N230&lt;=1,
IF($N230&gt;0,1/$N230,0),
IF(EO$44=2,0,VDB(1,0,$N230,INT(EO$44-2-1),MIN($N230,INT(EO$44-2-1)+1),$DC230,IF($DD230="No",1,0))/
IF(DV230&gt;=INT($N230),$N230-INT($N230),1)))*
IF(EO$44=2,0,
IF(INT(DW230)=INT(DV230),DW230-DV230,INT(DW230)-DV230))+
IF($N230&lt;=1,
IF($N230&gt;0,1/$N230,0),VDB(1,0,$N230,INT(EO$44-2),MIN($N230,INT(EO$44-2)+1),$DC230,IF($DD230="No",1,0))/
IF(DW230&gt;INT($N230),$N230-INT($N230),1))*
IF(EO$44=2,DW230,
IF(INT(DW230)=INT(DV230),0,DW230-INT(DW230)))))</f>
        <v>0</v>
      </c>
      <c r="EP230" s="835">
        <f>+IF(OR(DX230=DW230,EP$44=1),0,
IF(AND(EP$44&gt;1,DX230=$N230),1-SUM($EN230:EO230),
IF($N230&lt;=1,
IF($N230&gt;0,1/$N230,0),
IF(EP$44=2,0,VDB(1,0,$N230,INT(EP$44-2-1),MIN($N230,INT(EP$44-2-1)+1),$DC230,IF($DD230="No",1,0))/
IF(DW230&gt;=INT($N230),$N230-INT($N230),1)))*
IF(EP$44=2,0,
IF(INT(DX230)=INT(DW230),DX230-DW230,INT(DX230)-DW230))+
IF($N230&lt;=1,
IF($N230&gt;0,1/$N230,0),VDB(1,0,$N230,INT(EP$44-2),MIN($N230,INT(EP$44-2)+1),$DC230,IF($DD230="No",1,0))/
IF(DX230&gt;INT($N230),$N230-INT($N230),1))*
IF(EP$44=2,DX230,
IF(INT(DX230)=INT(DW230),0,DX230-INT(DX230)))))</f>
        <v>0</v>
      </c>
      <c r="EQ230" s="836">
        <f>+IF(OR(DY230=DX230,EQ$44=1),0,
IF(AND(EQ$44&gt;1,DY230=$N230),1-SUM($EN230:EP230),
IF($N230&lt;=1,
IF($N230&gt;0,1/$N230,0),
IF(EQ$44=2,0,VDB(1,0,$N230,INT(EQ$44-2-1),MIN($N230,INT(EQ$44-2-1)+1),$DC230,IF($DD230="No",1,0))/
IF(DX230&gt;=INT($N230),$N230-INT($N230),1)))*
IF(EQ$44=2,0,
IF(INT(DY230)=INT(DX230),DY230-DX230,INT(DY230)-DX230))+
IF($N230&lt;=1,
IF($N230&gt;0,1/$N230,0),VDB(1,0,$N230,INT(EQ$44-2),MIN($N230,INT(EQ$44-2)+1),$DC230,IF($DD230="No",1,0))/
IF(DY230&gt;INT($N230),$N230-INT($N230),1))*
IF(EQ$44=2,DY230,
IF(INT(DY230)=INT(DX230),0,DY230-INT(DY230)))))</f>
        <v>0</v>
      </c>
      <c r="ER230" s="834">
        <f>+IF(OR(DZ230=DY230,ER$44=1),0,
IF(AND(ER$44&gt;1,DZ230=$N230),1-SUM($EN230:EQ230),
IF($N230&lt;=1,
IF($N230&gt;0,1/$N230,0),
IF(ER$44=2,0,VDB(1,0,$N230,INT(ER$44-2-1),MIN($N230,INT(ER$44-2-1)+1),$DC230,IF($DD230="No",1,0))/
IF(DY230&gt;=INT($N230),$N230-INT($N230),1)))*
IF(ER$44=2,0,
IF(INT(DZ230)=INT(DY230),DZ230-DY230,INT(DZ230)-DY230))+
IF($N230&lt;=1,
IF($N230&gt;0,1/$N230,0),VDB(1,0,$N230,INT(ER$44-2),MIN($N230,INT(ER$44-2)+1),$DC230,IF($DD230="No",1,0))/
IF(DZ230&gt;INT($N230),$N230-INT($N230),1))*
IF(ER$44=2,DZ230,
IF(INT(DZ230)=INT(DY230),0,DZ230-INT(DZ230)))))</f>
        <v>0</v>
      </c>
      <c r="ES230" s="835">
        <f>+IF(OR(EA230=DZ230,ES$44=1),0,
IF(AND(ES$44&gt;1,EA230=$N230),1-SUM($EN230:ER230),
IF($N230&lt;=1,
IF($N230&gt;0,1/$N230,0),
IF(ES$44=2,0,VDB(1,0,$N230,INT(ES$44-2-1),MIN($N230,INT(ES$44-2-1)+1),$DC230,IF($DD230="No",1,0))/
IF(DZ230&gt;=INT($N230),$N230-INT($N230),1)))*
IF(ES$44=2,0,
IF(INT(EA230)=INT(DZ230),EA230-DZ230,INT(EA230)-DZ230))+
IF($N230&lt;=1,
IF($N230&gt;0,1/$N230,0),VDB(1,0,$N230,INT(ES$44-2),MIN($N230,INT(ES$44-2)+1),$DC230,IF($DD230="No",1,0))/
IF(EA230&gt;INT($N230),$N230-INT($N230),1))*
IF(ES$44=2,EA230,
IF(INT(EA230)=INT(DZ230),0,EA230-INT(EA230)))))</f>
        <v>0</v>
      </c>
      <c r="ET230" s="835">
        <f>+IF(OR(EB230=EA230,ET$44=1),0,
IF(AND(ET$44&gt;1,EB230=$N230),1-SUM($EN230:ES230),
IF($N230&lt;=1,
IF($N230&gt;0,1/$N230,0),
IF(ET$44=2,0,VDB(1,0,$N230,INT(ET$44-2-1),MIN($N230,INT(ET$44-2-1)+1),$DC230,IF($DD230="No",1,0))/
IF(EA230&gt;=INT($N230),$N230-INT($N230),1)))*
IF(ET$44=2,0,
IF(INT(EB230)=INT(EA230),EB230-EA230,INT(EB230)-EA230))+
IF($N230&lt;=1,
IF($N230&gt;0,1/$N230,0),VDB(1,0,$N230,INT(ET$44-2),MIN($N230,INT(ET$44-2)+1),$DC230,IF($DD230="No",1,0))/
IF(EB230&gt;INT($N230),$N230-INT($N230),1))*
IF(ET$44=2,EB230,
IF(INT(EB230)=INT(EA230),0,EB230-INT(EB230)))))</f>
        <v>0</v>
      </c>
      <c r="EU230" s="835">
        <f>+IF(OR(EC230=EB230,EU$44=1),0,
IF(AND(EU$44&gt;1,EC230=$N230),1-SUM($EN230:ET230),
IF($N230&lt;=1,
IF($N230&gt;0,1/$N230,0),
IF(EU$44=2,0,VDB(1,0,$N230,INT(EU$44-2-1),MIN($N230,INT(EU$44-2-1)+1),$DC230,IF($DD230="No",1,0))/
IF(EB230&gt;=INT($N230),$N230-INT($N230),1)))*
IF(EU$44=2,0,
IF(INT(EC230)=INT(EB230),EC230-EB230,INT(EC230)-EB230))+
IF($N230&lt;=1,
IF($N230&gt;0,1/$N230,0),VDB(1,0,$N230,INT(EU$44-2),MIN($N230,INT(EU$44-2)+1),$DC230,IF($DD230="No",1,0))/
IF(EC230&gt;INT($N230),$N230-INT($N230),1))*
IF(EU$44=2,EC230,
IF(INT(EC230)=INT(EB230),0,EC230-INT(EC230)))))</f>
        <v>0</v>
      </c>
      <c r="EV230" s="836">
        <f>+IF(OR(ED230=EC230,EV$44=1),0,
IF(AND(EV$44&gt;1,ED230=$N230),1-SUM($EN230:EU230),
IF($N230&lt;=1,
IF($N230&gt;0,1/$N230,0),
IF(EV$44=2,0,VDB(1,0,$N230,INT(EV$44-2-1),MIN($N230,INT(EV$44-2-1)+1),$DC230,IF($DD230="No",1,0))/
IF(EC230&gt;=INT($N230),$N230-INT($N230),1)))*
IF(EV$44=2,0,
IF(INT(ED230)=INT(EC230),ED230-EC230,INT(ED230)-EC230))+
IF($N230&lt;=1,
IF($N230&gt;0,1/$N230,0),VDB(1,0,$N230,INT(EV$44-2),MIN($N230,INT(EV$44-2)+1),$DC230,IF($DD230="No",1,0))/
IF(ED230&gt;INT($N230),$N230-INT($N230),1))*
IF(EV$44=2,ED230,
IF(INT(ED230)=INT(EC230),0,ED230-INT(ED230)))))</f>
        <v>0</v>
      </c>
      <c r="EW230" s="833"/>
      <c r="EX230" s="834">
        <f t="shared" ca="1" si="361"/>
        <v>0</v>
      </c>
      <c r="EY230" s="835">
        <f t="shared" ca="1" si="361"/>
        <v>0</v>
      </c>
      <c r="EZ230" s="836">
        <f t="shared" ca="1" si="361"/>
        <v>0</v>
      </c>
      <c r="FA230" s="834">
        <f t="shared" ca="1" si="361"/>
        <v>0</v>
      </c>
      <c r="FB230" s="835">
        <f t="shared" ca="1" si="361"/>
        <v>0</v>
      </c>
      <c r="FC230" s="835">
        <f t="shared" ca="1" si="361"/>
        <v>0</v>
      </c>
      <c r="FD230" s="835">
        <f t="shared" ca="1" si="361"/>
        <v>0</v>
      </c>
      <c r="FE230" s="836">
        <f t="shared" ca="1" si="361"/>
        <v>0</v>
      </c>
      <c r="FG230" s="386">
        <f t="shared" ca="1" si="408"/>
        <v>0</v>
      </c>
      <c r="FH230" s="387">
        <f t="shared" ca="1" si="409"/>
        <v>0</v>
      </c>
      <c r="FI230" s="388">
        <f t="shared" ca="1" si="410"/>
        <v>0</v>
      </c>
      <c r="FJ230" s="386">
        <f t="shared" ca="1" si="411"/>
        <v>0</v>
      </c>
      <c r="FK230" s="387">
        <f t="shared" ca="1" si="412"/>
        <v>0</v>
      </c>
      <c r="FL230" s="387">
        <f t="shared" ca="1" si="413"/>
        <v>0</v>
      </c>
      <c r="FM230" s="387">
        <f t="shared" ca="1" si="414"/>
        <v>0</v>
      </c>
      <c r="FN230" s="388">
        <f t="shared" ca="1" si="415"/>
        <v>0</v>
      </c>
      <c r="FR230" s="116"/>
    </row>
    <row r="231" spans="2:174">
      <c r="B231" s="1410">
        <f t="shared" si="359"/>
        <v>185</v>
      </c>
      <c r="C231" s="400"/>
      <c r="D231" s="410"/>
      <c r="E231" s="402"/>
      <c r="F231" s="402"/>
      <c r="G231" s="400"/>
      <c r="H231" s="2088"/>
      <c r="I231" s="2089"/>
      <c r="J231" s="411"/>
      <c r="K231" s="403"/>
      <c r="L231" s="403"/>
      <c r="M231" s="403"/>
      <c r="N231" s="403"/>
      <c r="O231" s="347"/>
      <c r="P231" s="347"/>
      <c r="Q231" s="1021"/>
      <c r="R231" s="1022"/>
      <c r="S231" s="1022"/>
      <c r="T231" s="1022"/>
      <c r="U231" s="1023"/>
      <c r="V231" s="1021"/>
      <c r="W231" s="1022"/>
      <c r="X231" s="1022"/>
      <c r="Y231" s="1022"/>
      <c r="Z231" s="1023"/>
      <c r="AA231" s="1024"/>
      <c r="AB231" s="1021"/>
      <c r="AC231" s="1022"/>
      <c r="AD231" s="1022"/>
      <c r="AE231" s="1022"/>
      <c r="AF231" s="1023"/>
      <c r="AG231" s="1021"/>
      <c r="AH231" s="1022"/>
      <c r="AI231" s="1022"/>
      <c r="AJ231" s="1022"/>
      <c r="AK231" s="1023"/>
      <c r="AL231" s="1024"/>
      <c r="AM231" s="1021"/>
      <c r="AN231" s="1022"/>
      <c r="AO231" s="1022"/>
      <c r="AP231" s="1022"/>
      <c r="AQ231" s="1023"/>
      <c r="AR231" s="1021"/>
      <c r="AS231" s="1022"/>
      <c r="AT231" s="1022"/>
      <c r="AU231" s="1022"/>
      <c r="AV231" s="1023"/>
      <c r="AW231" s="1025"/>
      <c r="AX231" s="1282">
        <f t="shared" si="362"/>
        <v>0</v>
      </c>
      <c r="AY231" s="387">
        <f t="shared" si="363"/>
        <v>0</v>
      </c>
      <c r="AZ231" s="387">
        <f t="shared" si="364"/>
        <v>0</v>
      </c>
      <c r="BA231" s="387">
        <f t="shared" si="365"/>
        <v>0</v>
      </c>
      <c r="BB231" s="1283">
        <f t="shared" si="366"/>
        <v>0</v>
      </c>
      <c r="BC231" s="386">
        <f t="shared" si="367"/>
        <v>0</v>
      </c>
      <c r="BD231" s="387">
        <f t="shared" si="368"/>
        <v>0</v>
      </c>
      <c r="BE231" s="1277">
        <f t="shared" si="369"/>
        <v>0</v>
      </c>
      <c r="BF231" s="1277">
        <f t="shared" si="370"/>
        <v>0</v>
      </c>
      <c r="BG231" s="388">
        <f t="shared" si="371"/>
        <v>0</v>
      </c>
      <c r="BH231" s="1025"/>
      <c r="BI231" s="1282">
        <f t="shared" ca="1" si="372"/>
        <v>0</v>
      </c>
      <c r="BJ231" s="387">
        <f t="shared" ca="1" si="373"/>
        <v>0</v>
      </c>
      <c r="BK231" s="387">
        <f t="shared" ca="1" si="374"/>
        <v>0</v>
      </c>
      <c r="BL231" s="387">
        <f t="shared" ca="1" si="375"/>
        <v>0</v>
      </c>
      <c r="BM231" s="1283">
        <f t="shared" ca="1" si="376"/>
        <v>0</v>
      </c>
      <c r="BN231" s="386">
        <f t="shared" ca="1" si="377"/>
        <v>0</v>
      </c>
      <c r="BO231" s="387">
        <f t="shared" ca="1" si="378"/>
        <v>0</v>
      </c>
      <c r="BP231" s="1277">
        <f t="shared" ca="1" si="379"/>
        <v>0</v>
      </c>
      <c r="BQ231" s="1277">
        <f t="shared" ca="1" si="380"/>
        <v>0</v>
      </c>
      <c r="BR231" s="388">
        <f t="shared" ca="1" si="381"/>
        <v>0</v>
      </c>
      <c r="BS231" s="1025"/>
      <c r="BT231" s="1282">
        <f>+IF($K231="Ongoing",AX231,IF(RIGHT($K231,2)=RIGHT(BT$43,2),SUM($AX231:AX231),0)+IF(RIGHT(BT$43,2)&gt;RIGHT($K231,2),AX231,0))</f>
        <v>0</v>
      </c>
      <c r="BU231" s="387">
        <f>+IF($K231="Ongoing",AY231,IF(RIGHT($K231,2)=RIGHT(BU$43,2),SUM($AX231:AY231),0)+IF(RIGHT(BU$43,2)&gt;RIGHT($K231,2),AY231,0))</f>
        <v>0</v>
      </c>
      <c r="BV231" s="387">
        <f>+IF($K231="Ongoing",AZ231,IF(RIGHT($K231,2)=RIGHT(BV$43,2),SUM($AX231:AZ231),0)+IF(RIGHT(BV$43,2)&gt;RIGHT($K231,2),AZ231,0))</f>
        <v>0</v>
      </c>
      <c r="BW231" s="387">
        <f>+IF($K231="Ongoing",BA231,IF(RIGHT($K231,2)=RIGHT(BW$43,2),SUM($AX231:BA231),0)+IF(RIGHT(BW$43,2)&gt;RIGHT($K231,2),BA231,0))</f>
        <v>0</v>
      </c>
      <c r="BX231" s="1283">
        <f>+IF($K231="Ongoing",BB231,IF(RIGHT($K231,2)=RIGHT(BX$43,2),SUM($AX231:BB231),0)+IF(RIGHT(BX$43,2)&gt;RIGHT($K231,2),BB231,0))</f>
        <v>0</v>
      </c>
      <c r="BY231" s="386">
        <f>+IF($K231="Ongoing",BC231,IF(RIGHT($K231,2)=RIGHT(BY$43,2),SUM($AX231:BC231),0)+IF(RIGHT(BY$43,2)&gt;RIGHT($K231,2),BC231,0))</f>
        <v>0</v>
      </c>
      <c r="BZ231" s="387">
        <f>+IF($K231="Ongoing",BD231,IF(RIGHT($K231,2)=RIGHT(BZ$43,2),SUM($AX231:BD231),0)+IF(RIGHT(BZ$43,2)&gt;RIGHT($K231,2),BD231,0))</f>
        <v>0</v>
      </c>
      <c r="CA231" s="1277">
        <f>+IF($K231="Ongoing",BE231,IF(RIGHT($K231,2)=RIGHT(CA$43,2),SUM($AX231:BE231),0)+IF(RIGHT(CA$43,2)&gt;RIGHT($K231,2),BE231,0))</f>
        <v>0</v>
      </c>
      <c r="CB231" s="1277">
        <f>+IF($K231="Ongoing",BF231,IF(RIGHT($K231,2)=RIGHT(CB$43,2),SUM($AX231:BF231),0)+IF(RIGHT(CB$43,2)&gt;RIGHT($K231,2),BF231,0))</f>
        <v>0</v>
      </c>
      <c r="CC231" s="388">
        <f>+IF($K231="Ongoing",BG231,IF(RIGHT($K231,2)=RIGHT(CC$43,2),SUM($AX231:BG231),0)+IF(RIGHT(CC$43,2)&gt;RIGHT($K231,2),BG231,0))</f>
        <v>0</v>
      </c>
      <c r="CD231" s="1025"/>
      <c r="CE231" s="1282">
        <f>+Q231*KeyAssumptionsPriceControl_FO!AF$15</f>
        <v>0</v>
      </c>
      <c r="CF231" s="387">
        <f>+R231*KeyAssumptionsPriceControl_FO!AG$15</f>
        <v>0</v>
      </c>
      <c r="CG231" s="387">
        <f>+S231*KeyAssumptionsPriceControl_FO!AH$15</f>
        <v>0</v>
      </c>
      <c r="CH231" s="387">
        <f>+T231*KeyAssumptionsPriceControl_FO!AI$15</f>
        <v>0</v>
      </c>
      <c r="CI231" s="1283">
        <f>+U231*KeyAssumptionsPriceControl_FO!AJ$15</f>
        <v>0</v>
      </c>
      <c r="CJ231" s="386">
        <f>+V231*KeyAssumptionsPriceControl_FO!AK$15</f>
        <v>0</v>
      </c>
      <c r="CK231" s="387">
        <f>+W231*KeyAssumptionsPriceControl_FO!AL$15</f>
        <v>0</v>
      </c>
      <c r="CL231" s="1277">
        <f>+X231*KeyAssumptionsPriceControl_FO!AM$15</f>
        <v>0</v>
      </c>
      <c r="CM231" s="1277">
        <f>+Y231*KeyAssumptionsPriceControl_FO!AN$15</f>
        <v>0</v>
      </c>
      <c r="CN231" s="388">
        <f>+Z231*KeyAssumptionsPriceControl_FO!AO$15</f>
        <v>0</v>
      </c>
      <c r="CO231" s="1025"/>
      <c r="CP231" s="1282">
        <f t="shared" ca="1" si="382"/>
        <v>0</v>
      </c>
      <c r="CQ231" s="387">
        <f t="shared" ca="1" si="383"/>
        <v>0</v>
      </c>
      <c r="CR231" s="387">
        <f t="shared" ca="1" si="384"/>
        <v>0</v>
      </c>
      <c r="CS231" s="387">
        <f t="shared" ca="1" si="385"/>
        <v>0</v>
      </c>
      <c r="CT231" s="1283">
        <f t="shared" ca="1" si="386"/>
        <v>0</v>
      </c>
      <c r="CU231" s="386">
        <f t="shared" ca="1" si="387"/>
        <v>0</v>
      </c>
      <c r="CV231" s="387">
        <f t="shared" ca="1" si="388"/>
        <v>0</v>
      </c>
      <c r="CW231" s="1277">
        <f t="shared" ca="1" si="389"/>
        <v>0</v>
      </c>
      <c r="CX231" s="1277">
        <f t="shared" ca="1" si="390"/>
        <v>0</v>
      </c>
      <c r="CY231" s="388">
        <f t="shared" ca="1" si="391"/>
        <v>0</v>
      </c>
      <c r="CZ231" s="347"/>
      <c r="DA231" s="852"/>
      <c r="DB231" s="347"/>
      <c r="DC231" s="1012" t="s">
        <v>752</v>
      </c>
      <c r="DD231" s="841" t="s">
        <v>518</v>
      </c>
      <c r="DE231" s="386">
        <f>+IF($K231="ongoing",CE231,IF(RIGHT($K231,2)=RIGHT(DE$43,2),SUM($CD231:CE231),0)+IF(RIGHT(DE$43,2)&gt;RIGHT($K231,2),CE231,0))</f>
        <v>0</v>
      </c>
      <c r="DF231" s="387">
        <f>+IF($K231="ongoing",CF231,IF(RIGHT($K231,2)=RIGHT(DF$43,2),SUM($CD231:CF231),0)+IF(RIGHT(DF$43,2)&gt;RIGHT($K231,2),CF231,0))</f>
        <v>0</v>
      </c>
      <c r="DG231" s="388">
        <f>+IF($K231="ongoing",CG231,IF(RIGHT($K231,2)=RIGHT(DG$43,2),SUM($CD231:CG231),0)+IF(RIGHT(DG$43,2)&gt;RIGHT($K231,2),CG231,0))</f>
        <v>0</v>
      </c>
      <c r="DH231" s="386">
        <f>+IF($K231="ongoing",CH231,IF(RIGHT($K231,2)=RIGHT(DH$43,2),SUM($CD231:CH231),0)+IF(RIGHT(DH$43,2)&gt;RIGHT($K231,2),CH231,0))</f>
        <v>0</v>
      </c>
      <c r="DI231" s="387">
        <f>+IF($K231="ongoing",CI231,IF(RIGHT($K231,2)=RIGHT(DI$43,2),SUM($CD231:CI231),0)+IF(RIGHT(DI$43,2)&gt;RIGHT($K231,2),CI231,0))</f>
        <v>0</v>
      </c>
      <c r="DJ231" s="387">
        <f>+IF($K231="ongoing",CJ231,IF(RIGHT($K231,2)=RIGHT(DJ$43,2),SUM($CD231:CJ231),0)+IF(RIGHT(DJ$43,2)&gt;RIGHT($K231,2),CJ231,0))</f>
        <v>0</v>
      </c>
      <c r="DK231" s="387">
        <f>+IF($K231="ongoing",CK231,IF(RIGHT($K231,2)=RIGHT(DK$43,2),SUM($CD231:CK231),0)+IF(RIGHT(DK$43,2)&gt;RIGHT($K231,2),CK231,0))</f>
        <v>0</v>
      </c>
      <c r="DL231" s="388">
        <f>+IF($K231="ongoing",CN231,IF(RIGHT($K231,2)=RIGHT(DL$43,2),SUM($CD231:CN231),0)+IF(RIGHT(DL$43,2)&gt;RIGHT($K231,2),CN231,0))</f>
        <v>0</v>
      </c>
      <c r="DM231" s="841"/>
      <c r="DN231" s="386">
        <f t="shared" si="392"/>
        <v>0.5</v>
      </c>
      <c r="DO231" s="387">
        <f t="shared" si="393"/>
        <v>1</v>
      </c>
      <c r="DP231" s="388">
        <f t="shared" si="394"/>
        <v>1</v>
      </c>
      <c r="DQ231" s="386">
        <f t="shared" si="395"/>
        <v>1</v>
      </c>
      <c r="DR231" s="387">
        <f t="shared" si="396"/>
        <v>1</v>
      </c>
      <c r="DS231" s="387">
        <f t="shared" si="397"/>
        <v>1</v>
      </c>
      <c r="DT231" s="387">
        <f t="shared" si="398"/>
        <v>1</v>
      </c>
      <c r="DU231" s="388">
        <f t="shared" si="399"/>
        <v>1</v>
      </c>
      <c r="DW231" s="386">
        <f t="shared" si="400"/>
        <v>0</v>
      </c>
      <c r="DX231" s="387">
        <f t="shared" si="401"/>
        <v>0.5</v>
      </c>
      <c r="DY231" s="388">
        <f t="shared" si="402"/>
        <v>1</v>
      </c>
      <c r="DZ231" s="386">
        <f t="shared" si="403"/>
        <v>1</v>
      </c>
      <c r="EA231" s="387">
        <f t="shared" si="404"/>
        <v>1</v>
      </c>
      <c r="EB231" s="387">
        <f t="shared" si="405"/>
        <v>1</v>
      </c>
      <c r="EC231" s="387">
        <f t="shared" si="406"/>
        <v>1</v>
      </c>
      <c r="ED231" s="388">
        <f t="shared" si="407"/>
        <v>1</v>
      </c>
      <c r="EF231" s="834">
        <f>+IF(DN231=DM231,0,
IF(AND(EF$44&gt;1,DN231=$N231),1-SUM($EE231:EE231),
IF($N231&lt;=1,
IF($N231&gt;0,1/$N231,0),
IF(EF$44=1,0,VDB(1,0,$N231,INT(EF$44-1-1),MIN($N231,INT(EF$44-1-1)+1),$DC231,IF($DD231="No",1,0))/
IF(DM231&gt;=INT($N231),$N231-INT($N231),1)))*
IF(EF$44=1,0,
IF(INT(DN231)=INT(DM231),DN231-DM231,INT(DN231)-DM231))+
IF($N231&lt;=1,
IF($N231&gt;0,1/$N231,0),VDB(1,0,$N231,INT(EF$44-1),MIN($N231,INT(EF$44-1)+1),$DC231,IF($DD231="No",1,0))/
IF(DN231&gt;INT($N231),$N231-INT($N231),1))*
IF(EF$44=1,DN231,
IF(INT(DN231)=INT(DM231),0,DN231-INT(DN231)))))</f>
        <v>0</v>
      </c>
      <c r="EG231" s="835">
        <f>+IF(DO231=DN231,0,
IF(AND(EG$44&gt;1,DO231=$N231),1-SUM($EE231:EF231),
IF($N231&lt;=1,
IF($N231&gt;0,1/$N231,0),
IF(EG$44=1,0,VDB(1,0,$N231,INT(EG$44-1-1),MIN($N231,INT(EG$44-1-1)+1),$DC231,IF($DD231="No",1,0))/
IF(DN231&gt;=INT($N231),$N231-INT($N231),1)))*
IF(EG$44=1,0,
IF(INT(DO231)=INT(DN231),DO231-DN231,INT(DO231)-DN231))+
IF($N231&lt;=1,
IF($N231&gt;0,1/$N231,0),VDB(1,0,$N231,INT(EG$44-1),MIN($N231,INT(EG$44-1)+1),$DC231,IF($DD231="No",1,0))/
IF(DO231&gt;INT($N231),$N231-INT($N231),1))*
IF(EG$44=1,DO231,
IF(INT(DO231)=INT(DN231),0,DO231-INT(DO231)))))</f>
        <v>0</v>
      </c>
      <c r="EH231" s="836">
        <f>+IF(DP231=DO231,0,
IF(AND(EH$44&gt;1,DP231=$N231),1-SUM($EE231:EG231),
IF($N231&lt;=1,
IF($N231&gt;0,1/$N231,0),
IF(EH$44=1,0,VDB(1,0,$N231,INT(EH$44-1-1),MIN($N231,INT(EH$44-1-1)+1),$DC231,IF($DD231="No",1,0))/
IF(DO231&gt;=INT($N231),$N231-INT($N231),1)))*
IF(EH$44=1,0,
IF(INT(DP231)=INT(DO231),DP231-DO231,INT(DP231)-DO231))+
IF($N231&lt;=1,
IF($N231&gt;0,1/$N231,0),VDB(1,0,$N231,INT(EH$44-1),MIN($N231,INT(EH$44-1)+1),$DC231,IF($DD231="No",1,0))/
IF(DP231&gt;INT($N231),$N231-INT($N231),1))*
IF(EH$44=1,DP231,
IF(INT(DP231)=INT(DO231),0,DP231-INT(DP231)))))</f>
        <v>0</v>
      </c>
      <c r="EI231" s="834">
        <f>+IF(DQ231=DP231,0,
IF(AND(EI$44&gt;1,DQ231=$N231),1-SUM($EE231:EH231),
IF($N231&lt;=1,
IF($N231&gt;0,1/$N231,0),
IF(EI$44=1,0,VDB(1,0,$N231,INT(EI$44-1-1),MIN($N231,INT(EI$44-1-1)+1),$DC231,IF($DD231="No",1,0))/
IF(DP231&gt;=INT($N231),$N231-INT($N231),1)))*
IF(EI$44=1,0,
IF(INT(DQ231)=INT(DP231),DQ231-DP231,INT(DQ231)-DP231))+
IF($N231&lt;=1,
IF($N231&gt;0,1/$N231,0),VDB(1,0,$N231,INT(EI$44-1),MIN($N231,INT(EI$44-1)+1),$DC231,IF($DD231="No",1,0))/
IF(DQ231&gt;INT($N231),$N231-INT($N231),1))*
IF(EI$44=1,DQ231,
IF(INT(DQ231)=INT(DP231),0,DQ231-INT(DQ231)))))</f>
        <v>0</v>
      </c>
      <c r="EJ231" s="835">
        <f>+IF(DR231=DQ231,0,
IF(AND(EJ$44&gt;1,DR231=$N231),1-SUM($EE231:EI231),
IF($N231&lt;=1,
IF($N231&gt;0,1/$N231,0),
IF(EJ$44=1,0,VDB(1,0,$N231,INT(EJ$44-1-1),MIN($N231,INT(EJ$44-1-1)+1),$DC231,IF($DD231="No",1,0))/
IF(DQ231&gt;=INT($N231),$N231-INT($N231),1)))*
IF(EJ$44=1,0,
IF(INT(DR231)=INT(DQ231),DR231-DQ231,INT(DR231)-DQ231))+
IF($N231&lt;=1,
IF($N231&gt;0,1/$N231,0),VDB(1,0,$N231,INT(EJ$44-1),MIN($N231,INT(EJ$44-1)+1),$DC231,IF($DD231="No",1,0))/
IF(DR231&gt;INT($N231),$N231-INT($N231),1))*
IF(EJ$44=1,DR231,
IF(INT(DR231)=INT(DQ231),0,DR231-INT(DR231)))))</f>
        <v>0</v>
      </c>
      <c r="EK231" s="835">
        <f>+IF(DS231=DR231,0,
IF(AND(EK$44&gt;1,DS231=$N231),1-SUM($EE231:EJ231),
IF($N231&lt;=1,
IF($N231&gt;0,1/$N231,0),
IF(EK$44=1,0,VDB(1,0,$N231,INT(EK$44-1-1),MIN($N231,INT(EK$44-1-1)+1),$DC231,IF($DD231="No",1,0))/
IF(DR231&gt;=INT($N231),$N231-INT($N231),1)))*
IF(EK$44=1,0,
IF(INT(DS231)=INT(DR231),DS231-DR231,INT(DS231)-DR231))+
IF($N231&lt;=1,
IF($N231&gt;0,1/$N231,0),VDB(1,0,$N231,INT(EK$44-1),MIN($N231,INT(EK$44-1)+1),$DC231,IF($DD231="No",1,0))/
IF(DS231&gt;INT($N231),$N231-INT($N231),1))*
IF(EK$44=1,DS231,
IF(INT(DS231)=INT(DR231),0,DS231-INT(DS231)))))</f>
        <v>0</v>
      </c>
      <c r="EL231" s="835">
        <f>+IF(DT231=DS231,0,
IF(AND(EL$44&gt;1,DT231=$N231),1-SUM($EE231:EK231),
IF($N231&lt;=1,
IF($N231&gt;0,1/$N231,0),
IF(EL$44=1,0,VDB(1,0,$N231,INT(EL$44-1-1),MIN($N231,INT(EL$44-1-1)+1),$DC231,IF($DD231="No",1,0))/
IF(DS231&gt;=INT($N231),$N231-INT($N231),1)))*
IF(EL$44=1,0,
IF(INT(DT231)=INT(DS231),DT231-DS231,INT(DT231)-DS231))+
IF($N231&lt;=1,
IF($N231&gt;0,1/$N231,0),VDB(1,0,$N231,INT(EL$44-1),MIN($N231,INT(EL$44-1)+1),$DC231,IF($DD231="No",1,0))/
IF(DT231&gt;INT($N231),$N231-INT($N231),1))*
IF(EL$44=1,DT231,
IF(INT(DT231)=INT(DS231),0,DT231-INT(DT231)))))</f>
        <v>0</v>
      </c>
      <c r="EM231" s="836">
        <f>+IF(DU231=DT231,0,
IF(AND(EM$44&gt;1,DU231=$N231),1-SUM($EE231:EL231),
IF($N231&lt;=1,
IF($N231&gt;0,1/$N231,0),
IF(EM$44=1,0,VDB(1,0,$N231,INT(EM$44-1-1),MIN($N231,INT(EM$44-1-1)+1),$DC231,IF($DD231="No",1,0))/
IF(DT231&gt;=INT($N231),$N231-INT($N231),1)))*
IF(EM$44=1,0,
IF(INT(DU231)=INT(DT231),DU231-DT231,INT(DU231)-DT231))+
IF($N231&lt;=1,
IF($N231&gt;0,1/$N231,0),VDB(1,0,$N231,INT(EM$44-1),MIN($N231,INT(EM$44-1)+1),$DC231,IF($DD231="No",1,0))/
IF(DU231&gt;INT($N231),$N231-INT($N231),1))*
IF(EM$44=1,DU231,
IF(INT(DU231)=INT(DT231),0,DU231-INT(DU231)))))</f>
        <v>0</v>
      </c>
      <c r="EN231" s="833"/>
      <c r="EO231" s="834">
        <f>+IF(OR(DW231=DV231,EO$44=1),0,
IF(AND(EO$44&gt;1,DW231=$N231),1-SUM($EN231:EN231),
IF($N231&lt;=1,
IF($N231&gt;0,1/$N231,0),
IF(EO$44=2,0,VDB(1,0,$N231,INT(EO$44-2-1),MIN($N231,INT(EO$44-2-1)+1),$DC231,IF($DD231="No",1,0))/
IF(DV231&gt;=INT($N231),$N231-INT($N231),1)))*
IF(EO$44=2,0,
IF(INT(DW231)=INT(DV231),DW231-DV231,INT(DW231)-DV231))+
IF($N231&lt;=1,
IF($N231&gt;0,1/$N231,0),VDB(1,0,$N231,INT(EO$44-2),MIN($N231,INT(EO$44-2)+1),$DC231,IF($DD231="No",1,0))/
IF(DW231&gt;INT($N231),$N231-INT($N231),1))*
IF(EO$44=2,DW231,
IF(INT(DW231)=INT(DV231),0,DW231-INT(DW231)))))</f>
        <v>0</v>
      </c>
      <c r="EP231" s="835">
        <f>+IF(OR(DX231=DW231,EP$44=1),0,
IF(AND(EP$44&gt;1,DX231=$N231),1-SUM($EN231:EO231),
IF($N231&lt;=1,
IF($N231&gt;0,1/$N231,0),
IF(EP$44=2,0,VDB(1,0,$N231,INT(EP$44-2-1),MIN($N231,INT(EP$44-2-1)+1),$DC231,IF($DD231="No",1,0))/
IF(DW231&gt;=INT($N231),$N231-INT($N231),1)))*
IF(EP$44=2,0,
IF(INT(DX231)=INT(DW231),DX231-DW231,INT(DX231)-DW231))+
IF($N231&lt;=1,
IF($N231&gt;0,1/$N231,0),VDB(1,0,$N231,INT(EP$44-2),MIN($N231,INT(EP$44-2)+1),$DC231,IF($DD231="No",1,0))/
IF(DX231&gt;INT($N231),$N231-INT($N231),1))*
IF(EP$44=2,DX231,
IF(INT(DX231)=INT(DW231),0,DX231-INT(DX231)))))</f>
        <v>0</v>
      </c>
      <c r="EQ231" s="836">
        <f>+IF(OR(DY231=DX231,EQ$44=1),0,
IF(AND(EQ$44&gt;1,DY231=$N231),1-SUM($EN231:EP231),
IF($N231&lt;=1,
IF($N231&gt;0,1/$N231,0),
IF(EQ$44=2,0,VDB(1,0,$N231,INT(EQ$44-2-1),MIN($N231,INT(EQ$44-2-1)+1),$DC231,IF($DD231="No",1,0))/
IF(DX231&gt;=INT($N231),$N231-INT($N231),1)))*
IF(EQ$44=2,0,
IF(INT(DY231)=INT(DX231),DY231-DX231,INT(DY231)-DX231))+
IF($N231&lt;=1,
IF($N231&gt;0,1/$N231,0),VDB(1,0,$N231,INT(EQ$44-2),MIN($N231,INT(EQ$44-2)+1),$DC231,IF($DD231="No",1,0))/
IF(DY231&gt;INT($N231),$N231-INT($N231),1))*
IF(EQ$44=2,DY231,
IF(INT(DY231)=INT(DX231),0,DY231-INT(DY231)))))</f>
        <v>0</v>
      </c>
      <c r="ER231" s="834">
        <f>+IF(OR(DZ231=DY231,ER$44=1),0,
IF(AND(ER$44&gt;1,DZ231=$N231),1-SUM($EN231:EQ231),
IF($N231&lt;=1,
IF($N231&gt;0,1/$N231,0),
IF(ER$44=2,0,VDB(1,0,$N231,INT(ER$44-2-1),MIN($N231,INT(ER$44-2-1)+1),$DC231,IF($DD231="No",1,0))/
IF(DY231&gt;=INT($N231),$N231-INT($N231),1)))*
IF(ER$44=2,0,
IF(INT(DZ231)=INT(DY231),DZ231-DY231,INT(DZ231)-DY231))+
IF($N231&lt;=1,
IF($N231&gt;0,1/$N231,0),VDB(1,0,$N231,INT(ER$44-2),MIN($N231,INT(ER$44-2)+1),$DC231,IF($DD231="No",1,0))/
IF(DZ231&gt;INT($N231),$N231-INT($N231),1))*
IF(ER$44=2,DZ231,
IF(INT(DZ231)=INT(DY231),0,DZ231-INT(DZ231)))))</f>
        <v>0</v>
      </c>
      <c r="ES231" s="835">
        <f>+IF(OR(EA231=DZ231,ES$44=1),0,
IF(AND(ES$44&gt;1,EA231=$N231),1-SUM($EN231:ER231),
IF($N231&lt;=1,
IF($N231&gt;0,1/$N231,0),
IF(ES$44=2,0,VDB(1,0,$N231,INT(ES$44-2-1),MIN($N231,INT(ES$44-2-1)+1),$DC231,IF($DD231="No",1,0))/
IF(DZ231&gt;=INT($N231),$N231-INT($N231),1)))*
IF(ES$44=2,0,
IF(INT(EA231)=INT(DZ231),EA231-DZ231,INT(EA231)-DZ231))+
IF($N231&lt;=1,
IF($N231&gt;0,1/$N231,0),VDB(1,0,$N231,INT(ES$44-2),MIN($N231,INT(ES$44-2)+1),$DC231,IF($DD231="No",1,0))/
IF(EA231&gt;INT($N231),$N231-INT($N231),1))*
IF(ES$44=2,EA231,
IF(INT(EA231)=INT(DZ231),0,EA231-INT(EA231)))))</f>
        <v>0</v>
      </c>
      <c r="ET231" s="835">
        <f>+IF(OR(EB231=EA231,ET$44=1),0,
IF(AND(ET$44&gt;1,EB231=$N231),1-SUM($EN231:ES231),
IF($N231&lt;=1,
IF($N231&gt;0,1/$N231,0),
IF(ET$44=2,0,VDB(1,0,$N231,INT(ET$44-2-1),MIN($N231,INT(ET$44-2-1)+1),$DC231,IF($DD231="No",1,0))/
IF(EA231&gt;=INT($N231),$N231-INT($N231),1)))*
IF(ET$44=2,0,
IF(INT(EB231)=INT(EA231),EB231-EA231,INT(EB231)-EA231))+
IF($N231&lt;=1,
IF($N231&gt;0,1/$N231,0),VDB(1,0,$N231,INT(ET$44-2),MIN($N231,INT(ET$44-2)+1),$DC231,IF($DD231="No",1,0))/
IF(EB231&gt;INT($N231),$N231-INT($N231),1))*
IF(ET$44=2,EB231,
IF(INT(EB231)=INT(EA231),0,EB231-INT(EB231)))))</f>
        <v>0</v>
      </c>
      <c r="EU231" s="835">
        <f>+IF(OR(EC231=EB231,EU$44=1),0,
IF(AND(EU$44&gt;1,EC231=$N231),1-SUM($EN231:ET231),
IF($N231&lt;=1,
IF($N231&gt;0,1/$N231,0),
IF(EU$44=2,0,VDB(1,0,$N231,INT(EU$44-2-1),MIN($N231,INT(EU$44-2-1)+1),$DC231,IF($DD231="No",1,0))/
IF(EB231&gt;=INT($N231),$N231-INT($N231),1)))*
IF(EU$44=2,0,
IF(INT(EC231)=INT(EB231),EC231-EB231,INT(EC231)-EB231))+
IF($N231&lt;=1,
IF($N231&gt;0,1/$N231,0),VDB(1,0,$N231,INT(EU$44-2),MIN($N231,INT(EU$44-2)+1),$DC231,IF($DD231="No",1,0))/
IF(EC231&gt;INT($N231),$N231-INT($N231),1))*
IF(EU$44=2,EC231,
IF(INT(EC231)=INT(EB231),0,EC231-INT(EC231)))))</f>
        <v>0</v>
      </c>
      <c r="EV231" s="836">
        <f>+IF(OR(ED231=EC231,EV$44=1),0,
IF(AND(EV$44&gt;1,ED231=$N231),1-SUM($EN231:EU231),
IF($N231&lt;=1,
IF($N231&gt;0,1/$N231,0),
IF(EV$44=2,0,VDB(1,0,$N231,INT(EV$44-2-1),MIN($N231,INT(EV$44-2-1)+1),$DC231,IF($DD231="No",1,0))/
IF(EC231&gt;=INT($N231),$N231-INT($N231),1)))*
IF(EV$44=2,0,
IF(INT(ED231)=INT(EC231),ED231-EC231,INT(ED231)-EC231))+
IF($N231&lt;=1,
IF($N231&gt;0,1/$N231,0),VDB(1,0,$N231,INT(EV$44-2),MIN($N231,INT(EV$44-2)+1),$DC231,IF($DD231="No",1,0))/
IF(ED231&gt;INT($N231),$N231-INT($N231),1))*
IF(EV$44=2,ED231,
IF(INT(ED231)=INT(EC231),0,ED231-INT(ED231)))))</f>
        <v>0</v>
      </c>
      <c r="EW231" s="833"/>
      <c r="EX231" s="834">
        <f t="shared" ca="1" si="361"/>
        <v>0</v>
      </c>
      <c r="EY231" s="835">
        <f t="shared" ca="1" si="361"/>
        <v>0</v>
      </c>
      <c r="EZ231" s="836">
        <f t="shared" ca="1" si="361"/>
        <v>0</v>
      </c>
      <c r="FA231" s="834">
        <f t="shared" ca="1" si="361"/>
        <v>0</v>
      </c>
      <c r="FB231" s="835">
        <f t="shared" ca="1" si="361"/>
        <v>0</v>
      </c>
      <c r="FC231" s="835">
        <f t="shared" ca="1" si="361"/>
        <v>0</v>
      </c>
      <c r="FD231" s="835">
        <f t="shared" ca="1" si="361"/>
        <v>0</v>
      </c>
      <c r="FE231" s="836">
        <f t="shared" ca="1" si="361"/>
        <v>0</v>
      </c>
      <c r="FG231" s="386">
        <f t="shared" ca="1" si="408"/>
        <v>0</v>
      </c>
      <c r="FH231" s="387">
        <f t="shared" ca="1" si="409"/>
        <v>0</v>
      </c>
      <c r="FI231" s="388">
        <f t="shared" ca="1" si="410"/>
        <v>0</v>
      </c>
      <c r="FJ231" s="386">
        <f t="shared" ca="1" si="411"/>
        <v>0</v>
      </c>
      <c r="FK231" s="387">
        <f t="shared" ca="1" si="412"/>
        <v>0</v>
      </c>
      <c r="FL231" s="387">
        <f t="shared" ca="1" si="413"/>
        <v>0</v>
      </c>
      <c r="FM231" s="387">
        <f t="shared" ca="1" si="414"/>
        <v>0</v>
      </c>
      <c r="FN231" s="388">
        <f t="shared" ca="1" si="415"/>
        <v>0</v>
      </c>
      <c r="FR231" s="116"/>
    </row>
    <row r="232" spans="2:174">
      <c r="B232" s="1410">
        <f t="shared" si="359"/>
        <v>186</v>
      </c>
      <c r="C232" s="400"/>
      <c r="D232" s="410"/>
      <c r="E232" s="402"/>
      <c r="F232" s="402"/>
      <c r="G232" s="400"/>
      <c r="H232" s="2088"/>
      <c r="I232" s="2089"/>
      <c r="J232" s="411"/>
      <c r="K232" s="403"/>
      <c r="L232" s="403"/>
      <c r="M232" s="403"/>
      <c r="N232" s="403"/>
      <c r="O232" s="347"/>
      <c r="P232" s="347"/>
      <c r="Q232" s="1021"/>
      <c r="R232" s="1022"/>
      <c r="S232" s="1022"/>
      <c r="T232" s="1022"/>
      <c r="U232" s="1023"/>
      <c r="V232" s="1021"/>
      <c r="W232" s="1022"/>
      <c r="X232" s="1022"/>
      <c r="Y232" s="1022"/>
      <c r="Z232" s="1023"/>
      <c r="AA232" s="1024"/>
      <c r="AB232" s="1021"/>
      <c r="AC232" s="1022"/>
      <c r="AD232" s="1022"/>
      <c r="AE232" s="1022"/>
      <c r="AF232" s="1023"/>
      <c r="AG232" s="1021"/>
      <c r="AH232" s="1022"/>
      <c r="AI232" s="1022"/>
      <c r="AJ232" s="1022"/>
      <c r="AK232" s="1023"/>
      <c r="AL232" s="1024"/>
      <c r="AM232" s="1021"/>
      <c r="AN232" s="1022"/>
      <c r="AO232" s="1022"/>
      <c r="AP232" s="1022"/>
      <c r="AQ232" s="1023"/>
      <c r="AR232" s="1021"/>
      <c r="AS232" s="1022"/>
      <c r="AT232" s="1022"/>
      <c r="AU232" s="1022"/>
      <c r="AV232" s="1023"/>
      <c r="AW232" s="1025"/>
      <c r="AX232" s="1282">
        <f t="shared" si="362"/>
        <v>0</v>
      </c>
      <c r="AY232" s="387">
        <f t="shared" si="363"/>
        <v>0</v>
      </c>
      <c r="AZ232" s="387">
        <f t="shared" si="364"/>
        <v>0</v>
      </c>
      <c r="BA232" s="387">
        <f t="shared" si="365"/>
        <v>0</v>
      </c>
      <c r="BB232" s="1283">
        <f t="shared" si="366"/>
        <v>0</v>
      </c>
      <c r="BC232" s="386">
        <f t="shared" si="367"/>
        <v>0</v>
      </c>
      <c r="BD232" s="387">
        <f t="shared" si="368"/>
        <v>0</v>
      </c>
      <c r="BE232" s="1277">
        <f t="shared" si="369"/>
        <v>0</v>
      </c>
      <c r="BF232" s="1277">
        <f t="shared" si="370"/>
        <v>0</v>
      </c>
      <c r="BG232" s="388">
        <f t="shared" si="371"/>
        <v>0</v>
      </c>
      <c r="BH232" s="1025"/>
      <c r="BI232" s="1282">
        <f t="shared" ca="1" si="372"/>
        <v>0</v>
      </c>
      <c r="BJ232" s="387">
        <f t="shared" ca="1" si="373"/>
        <v>0</v>
      </c>
      <c r="BK232" s="387">
        <f t="shared" ca="1" si="374"/>
        <v>0</v>
      </c>
      <c r="BL232" s="387">
        <f t="shared" ca="1" si="375"/>
        <v>0</v>
      </c>
      <c r="BM232" s="1283">
        <f t="shared" ca="1" si="376"/>
        <v>0</v>
      </c>
      <c r="BN232" s="386">
        <f t="shared" ca="1" si="377"/>
        <v>0</v>
      </c>
      <c r="BO232" s="387">
        <f t="shared" ca="1" si="378"/>
        <v>0</v>
      </c>
      <c r="BP232" s="1277">
        <f t="shared" ca="1" si="379"/>
        <v>0</v>
      </c>
      <c r="BQ232" s="1277">
        <f t="shared" ca="1" si="380"/>
        <v>0</v>
      </c>
      <c r="BR232" s="388">
        <f t="shared" ca="1" si="381"/>
        <v>0</v>
      </c>
      <c r="BS232" s="1025"/>
      <c r="BT232" s="1282">
        <f>+IF($K232="Ongoing",AX232,IF(RIGHT($K232,2)=RIGHT(BT$43,2),SUM($AX232:AX232),0)+IF(RIGHT(BT$43,2)&gt;RIGHT($K232,2),AX232,0))</f>
        <v>0</v>
      </c>
      <c r="BU232" s="387">
        <f>+IF($K232="Ongoing",AY232,IF(RIGHT($K232,2)=RIGHT(BU$43,2),SUM($AX232:AY232),0)+IF(RIGHT(BU$43,2)&gt;RIGHT($K232,2),AY232,0))</f>
        <v>0</v>
      </c>
      <c r="BV232" s="387">
        <f>+IF($K232="Ongoing",AZ232,IF(RIGHT($K232,2)=RIGHT(BV$43,2),SUM($AX232:AZ232),0)+IF(RIGHT(BV$43,2)&gt;RIGHT($K232,2),AZ232,0))</f>
        <v>0</v>
      </c>
      <c r="BW232" s="387">
        <f>+IF($K232="Ongoing",BA232,IF(RIGHT($K232,2)=RIGHT(BW$43,2),SUM($AX232:BA232),0)+IF(RIGHT(BW$43,2)&gt;RIGHT($K232,2),BA232,0))</f>
        <v>0</v>
      </c>
      <c r="BX232" s="1283">
        <f>+IF($K232="Ongoing",BB232,IF(RIGHT($K232,2)=RIGHT(BX$43,2),SUM($AX232:BB232),0)+IF(RIGHT(BX$43,2)&gt;RIGHT($K232,2),BB232,0))</f>
        <v>0</v>
      </c>
      <c r="BY232" s="386">
        <f>+IF($K232="Ongoing",BC232,IF(RIGHT($K232,2)=RIGHT(BY$43,2),SUM($AX232:BC232),0)+IF(RIGHT(BY$43,2)&gt;RIGHT($K232,2),BC232,0))</f>
        <v>0</v>
      </c>
      <c r="BZ232" s="387">
        <f>+IF($K232="Ongoing",BD232,IF(RIGHT($K232,2)=RIGHT(BZ$43,2),SUM($AX232:BD232),0)+IF(RIGHT(BZ$43,2)&gt;RIGHT($K232,2),BD232,0))</f>
        <v>0</v>
      </c>
      <c r="CA232" s="1277">
        <f>+IF($K232="Ongoing",BE232,IF(RIGHT($K232,2)=RIGHT(CA$43,2),SUM($AX232:BE232),0)+IF(RIGHT(CA$43,2)&gt;RIGHT($K232,2),BE232,0))</f>
        <v>0</v>
      </c>
      <c r="CB232" s="1277">
        <f>+IF($K232="Ongoing",BF232,IF(RIGHT($K232,2)=RIGHT(CB$43,2),SUM($AX232:BF232),0)+IF(RIGHT(CB$43,2)&gt;RIGHT($K232,2),BF232,0))</f>
        <v>0</v>
      </c>
      <c r="CC232" s="388">
        <f>+IF($K232="Ongoing",BG232,IF(RIGHT($K232,2)=RIGHT(CC$43,2),SUM($AX232:BG232),0)+IF(RIGHT(CC$43,2)&gt;RIGHT($K232,2),BG232,0))</f>
        <v>0</v>
      </c>
      <c r="CD232" s="1025"/>
      <c r="CE232" s="1282">
        <f>+Q232*KeyAssumptionsPriceControl_FO!AF$15</f>
        <v>0</v>
      </c>
      <c r="CF232" s="387">
        <f>+R232*KeyAssumptionsPriceControl_FO!AG$15</f>
        <v>0</v>
      </c>
      <c r="CG232" s="387">
        <f>+S232*KeyAssumptionsPriceControl_FO!AH$15</f>
        <v>0</v>
      </c>
      <c r="CH232" s="387">
        <f>+T232*KeyAssumptionsPriceControl_FO!AI$15</f>
        <v>0</v>
      </c>
      <c r="CI232" s="1283">
        <f>+U232*KeyAssumptionsPriceControl_FO!AJ$15</f>
        <v>0</v>
      </c>
      <c r="CJ232" s="386">
        <f>+V232*KeyAssumptionsPriceControl_FO!AK$15</f>
        <v>0</v>
      </c>
      <c r="CK232" s="387">
        <f>+W232*KeyAssumptionsPriceControl_FO!AL$15</f>
        <v>0</v>
      </c>
      <c r="CL232" s="1277">
        <f>+X232*KeyAssumptionsPriceControl_FO!AM$15</f>
        <v>0</v>
      </c>
      <c r="CM232" s="1277">
        <f>+Y232*KeyAssumptionsPriceControl_FO!AN$15</f>
        <v>0</v>
      </c>
      <c r="CN232" s="388">
        <f>+Z232*KeyAssumptionsPriceControl_FO!AO$15</f>
        <v>0</v>
      </c>
      <c r="CO232" s="1025"/>
      <c r="CP232" s="1282">
        <f t="shared" ca="1" si="382"/>
        <v>0</v>
      </c>
      <c r="CQ232" s="387">
        <f t="shared" ca="1" si="383"/>
        <v>0</v>
      </c>
      <c r="CR232" s="387">
        <f t="shared" ca="1" si="384"/>
        <v>0</v>
      </c>
      <c r="CS232" s="387">
        <f t="shared" ca="1" si="385"/>
        <v>0</v>
      </c>
      <c r="CT232" s="1283">
        <f t="shared" ca="1" si="386"/>
        <v>0</v>
      </c>
      <c r="CU232" s="386">
        <f t="shared" ca="1" si="387"/>
        <v>0</v>
      </c>
      <c r="CV232" s="387">
        <f t="shared" ca="1" si="388"/>
        <v>0</v>
      </c>
      <c r="CW232" s="1277">
        <f t="shared" ca="1" si="389"/>
        <v>0</v>
      </c>
      <c r="CX232" s="1277">
        <f t="shared" ca="1" si="390"/>
        <v>0</v>
      </c>
      <c r="CY232" s="388">
        <f t="shared" ca="1" si="391"/>
        <v>0</v>
      </c>
      <c r="CZ232" s="347"/>
      <c r="DA232" s="852"/>
      <c r="DB232" s="347"/>
      <c r="DC232" s="1012" t="s">
        <v>753</v>
      </c>
      <c r="DD232" s="841" t="s">
        <v>518</v>
      </c>
      <c r="DE232" s="386">
        <f>+IF($K232="ongoing",CE232,IF(RIGHT($K232,2)=RIGHT(DE$43,2),SUM($CD232:CE232),0)+IF(RIGHT(DE$43,2)&gt;RIGHT($K232,2),CE232,0))</f>
        <v>0</v>
      </c>
      <c r="DF232" s="387">
        <f>+IF($K232="ongoing",CF232,IF(RIGHT($K232,2)=RIGHT(DF$43,2),SUM($CD232:CF232),0)+IF(RIGHT(DF$43,2)&gt;RIGHT($K232,2),CF232,0))</f>
        <v>0</v>
      </c>
      <c r="DG232" s="388">
        <f>+IF($K232="ongoing",CG232,IF(RIGHT($K232,2)=RIGHT(DG$43,2),SUM($CD232:CG232),0)+IF(RIGHT(DG$43,2)&gt;RIGHT($K232,2),CG232,0))</f>
        <v>0</v>
      </c>
      <c r="DH232" s="386">
        <f>+IF($K232="ongoing",CH232,IF(RIGHT($K232,2)=RIGHT(DH$43,2),SUM($CD232:CH232),0)+IF(RIGHT(DH$43,2)&gt;RIGHT($K232,2),CH232,0))</f>
        <v>0</v>
      </c>
      <c r="DI232" s="387">
        <f>+IF($K232="ongoing",CI232,IF(RIGHT($K232,2)=RIGHT(DI$43,2),SUM($CD232:CI232),0)+IF(RIGHT(DI$43,2)&gt;RIGHT($K232,2),CI232,0))</f>
        <v>0</v>
      </c>
      <c r="DJ232" s="387">
        <f>+IF($K232="ongoing",CJ232,IF(RIGHT($K232,2)=RIGHT(DJ$43,2),SUM($CD232:CJ232),0)+IF(RIGHT(DJ$43,2)&gt;RIGHT($K232,2),CJ232,0))</f>
        <v>0</v>
      </c>
      <c r="DK232" s="387">
        <f>+IF($K232="ongoing",CK232,IF(RIGHT($K232,2)=RIGHT(DK$43,2),SUM($CD232:CK232),0)+IF(RIGHT(DK$43,2)&gt;RIGHT($K232,2),CK232,0))</f>
        <v>0</v>
      </c>
      <c r="DL232" s="388">
        <f>+IF($K232="ongoing",CN232,IF(RIGHT($K232,2)=RIGHT(DL$43,2),SUM($CD232:CN232),0)+IF(RIGHT(DL$43,2)&gt;RIGHT($K232,2),CN232,0))</f>
        <v>0</v>
      </c>
      <c r="DM232" s="841"/>
      <c r="DN232" s="386">
        <f t="shared" si="392"/>
        <v>0.5</v>
      </c>
      <c r="DO232" s="387">
        <f t="shared" si="393"/>
        <v>1</v>
      </c>
      <c r="DP232" s="388">
        <f t="shared" si="394"/>
        <v>1</v>
      </c>
      <c r="DQ232" s="386">
        <f t="shared" si="395"/>
        <v>1</v>
      </c>
      <c r="DR232" s="387">
        <f t="shared" si="396"/>
        <v>1</v>
      </c>
      <c r="DS232" s="387">
        <f t="shared" si="397"/>
        <v>1</v>
      </c>
      <c r="DT232" s="387">
        <f t="shared" si="398"/>
        <v>1</v>
      </c>
      <c r="DU232" s="388">
        <f t="shared" si="399"/>
        <v>1</v>
      </c>
      <c r="DW232" s="386">
        <f t="shared" si="400"/>
        <v>0</v>
      </c>
      <c r="DX232" s="387">
        <f t="shared" si="401"/>
        <v>0.5</v>
      </c>
      <c r="DY232" s="388">
        <f t="shared" si="402"/>
        <v>1</v>
      </c>
      <c r="DZ232" s="386">
        <f t="shared" si="403"/>
        <v>1</v>
      </c>
      <c r="EA232" s="387">
        <f t="shared" si="404"/>
        <v>1</v>
      </c>
      <c r="EB232" s="387">
        <f t="shared" si="405"/>
        <v>1</v>
      </c>
      <c r="EC232" s="387">
        <f t="shared" si="406"/>
        <v>1</v>
      </c>
      <c r="ED232" s="388">
        <f t="shared" si="407"/>
        <v>1</v>
      </c>
      <c r="EF232" s="834">
        <f>+IF(DN232=DM232,0,
IF(AND(EF$44&gt;1,DN232=$N232),1-SUM($EE232:EE232),
IF($N232&lt;=1,
IF($N232&gt;0,1/$N232,0),
IF(EF$44=1,0,VDB(1,0,$N232,INT(EF$44-1-1),MIN($N232,INT(EF$44-1-1)+1),$DC232,IF($DD232="No",1,0))/
IF(DM232&gt;=INT($N232),$N232-INT($N232),1)))*
IF(EF$44=1,0,
IF(INT(DN232)=INT(DM232),DN232-DM232,INT(DN232)-DM232))+
IF($N232&lt;=1,
IF($N232&gt;0,1/$N232,0),VDB(1,0,$N232,INT(EF$44-1),MIN($N232,INT(EF$44-1)+1),$DC232,IF($DD232="No",1,0))/
IF(DN232&gt;INT($N232),$N232-INT($N232),1))*
IF(EF$44=1,DN232,
IF(INT(DN232)=INT(DM232),0,DN232-INT(DN232)))))</f>
        <v>0</v>
      </c>
      <c r="EG232" s="835">
        <f>+IF(DO232=DN232,0,
IF(AND(EG$44&gt;1,DO232=$N232),1-SUM($EE232:EF232),
IF($N232&lt;=1,
IF($N232&gt;0,1/$N232,0),
IF(EG$44=1,0,VDB(1,0,$N232,INT(EG$44-1-1),MIN($N232,INT(EG$44-1-1)+1),$DC232,IF($DD232="No",1,0))/
IF(DN232&gt;=INT($N232),$N232-INT($N232),1)))*
IF(EG$44=1,0,
IF(INT(DO232)=INT(DN232),DO232-DN232,INT(DO232)-DN232))+
IF($N232&lt;=1,
IF($N232&gt;0,1/$N232,0),VDB(1,0,$N232,INT(EG$44-1),MIN($N232,INT(EG$44-1)+1),$DC232,IF($DD232="No",1,0))/
IF(DO232&gt;INT($N232),$N232-INT($N232),1))*
IF(EG$44=1,DO232,
IF(INT(DO232)=INT(DN232),0,DO232-INT(DO232)))))</f>
        <v>0</v>
      </c>
      <c r="EH232" s="836">
        <f>+IF(DP232=DO232,0,
IF(AND(EH$44&gt;1,DP232=$N232),1-SUM($EE232:EG232),
IF($N232&lt;=1,
IF($N232&gt;0,1/$N232,0),
IF(EH$44=1,0,VDB(1,0,$N232,INT(EH$44-1-1),MIN($N232,INT(EH$44-1-1)+1),$DC232,IF($DD232="No",1,0))/
IF(DO232&gt;=INT($N232),$N232-INT($N232),1)))*
IF(EH$44=1,0,
IF(INT(DP232)=INT(DO232),DP232-DO232,INT(DP232)-DO232))+
IF($N232&lt;=1,
IF($N232&gt;0,1/$N232,0),VDB(1,0,$N232,INT(EH$44-1),MIN($N232,INT(EH$44-1)+1),$DC232,IF($DD232="No",1,0))/
IF(DP232&gt;INT($N232),$N232-INT($N232),1))*
IF(EH$44=1,DP232,
IF(INT(DP232)=INT(DO232),0,DP232-INT(DP232)))))</f>
        <v>0</v>
      </c>
      <c r="EI232" s="834">
        <f>+IF(DQ232=DP232,0,
IF(AND(EI$44&gt;1,DQ232=$N232),1-SUM($EE232:EH232),
IF($N232&lt;=1,
IF($N232&gt;0,1/$N232,0),
IF(EI$44=1,0,VDB(1,0,$N232,INT(EI$44-1-1),MIN($N232,INT(EI$44-1-1)+1),$DC232,IF($DD232="No",1,0))/
IF(DP232&gt;=INT($N232),$N232-INT($N232),1)))*
IF(EI$44=1,0,
IF(INT(DQ232)=INT(DP232),DQ232-DP232,INT(DQ232)-DP232))+
IF($N232&lt;=1,
IF($N232&gt;0,1/$N232,0),VDB(1,0,$N232,INT(EI$44-1),MIN($N232,INT(EI$44-1)+1),$DC232,IF($DD232="No",1,0))/
IF(DQ232&gt;INT($N232),$N232-INT($N232),1))*
IF(EI$44=1,DQ232,
IF(INT(DQ232)=INT(DP232),0,DQ232-INT(DQ232)))))</f>
        <v>0</v>
      </c>
      <c r="EJ232" s="835">
        <f>+IF(DR232=DQ232,0,
IF(AND(EJ$44&gt;1,DR232=$N232),1-SUM($EE232:EI232),
IF($N232&lt;=1,
IF($N232&gt;0,1/$N232,0),
IF(EJ$44=1,0,VDB(1,0,$N232,INT(EJ$44-1-1),MIN($N232,INT(EJ$44-1-1)+1),$DC232,IF($DD232="No",1,0))/
IF(DQ232&gt;=INT($N232),$N232-INT($N232),1)))*
IF(EJ$44=1,0,
IF(INT(DR232)=INT(DQ232),DR232-DQ232,INT(DR232)-DQ232))+
IF($N232&lt;=1,
IF($N232&gt;0,1/$N232,0),VDB(1,0,$N232,INT(EJ$44-1),MIN($N232,INT(EJ$44-1)+1),$DC232,IF($DD232="No",1,0))/
IF(DR232&gt;INT($N232),$N232-INT($N232),1))*
IF(EJ$44=1,DR232,
IF(INT(DR232)=INT(DQ232),0,DR232-INT(DR232)))))</f>
        <v>0</v>
      </c>
      <c r="EK232" s="835">
        <f>+IF(DS232=DR232,0,
IF(AND(EK$44&gt;1,DS232=$N232),1-SUM($EE232:EJ232),
IF($N232&lt;=1,
IF($N232&gt;0,1/$N232,0),
IF(EK$44=1,0,VDB(1,0,$N232,INT(EK$44-1-1),MIN($N232,INT(EK$44-1-1)+1),$DC232,IF($DD232="No",1,0))/
IF(DR232&gt;=INT($N232),$N232-INT($N232),1)))*
IF(EK$44=1,0,
IF(INT(DS232)=INT(DR232),DS232-DR232,INT(DS232)-DR232))+
IF($N232&lt;=1,
IF($N232&gt;0,1/$N232,0),VDB(1,0,$N232,INT(EK$44-1),MIN($N232,INT(EK$44-1)+1),$DC232,IF($DD232="No",1,0))/
IF(DS232&gt;INT($N232),$N232-INT($N232),1))*
IF(EK$44=1,DS232,
IF(INT(DS232)=INT(DR232),0,DS232-INT(DS232)))))</f>
        <v>0</v>
      </c>
      <c r="EL232" s="835">
        <f>+IF(DT232=DS232,0,
IF(AND(EL$44&gt;1,DT232=$N232),1-SUM($EE232:EK232),
IF($N232&lt;=1,
IF($N232&gt;0,1/$N232,0),
IF(EL$44=1,0,VDB(1,0,$N232,INT(EL$44-1-1),MIN($N232,INT(EL$44-1-1)+1),$DC232,IF($DD232="No",1,0))/
IF(DS232&gt;=INT($N232),$N232-INT($N232),1)))*
IF(EL$44=1,0,
IF(INT(DT232)=INT(DS232),DT232-DS232,INT(DT232)-DS232))+
IF($N232&lt;=1,
IF($N232&gt;0,1/$N232,0),VDB(1,0,$N232,INT(EL$44-1),MIN($N232,INT(EL$44-1)+1),$DC232,IF($DD232="No",1,0))/
IF(DT232&gt;INT($N232),$N232-INT($N232),1))*
IF(EL$44=1,DT232,
IF(INT(DT232)=INT(DS232),0,DT232-INT(DT232)))))</f>
        <v>0</v>
      </c>
      <c r="EM232" s="836">
        <f>+IF(DU232=DT232,0,
IF(AND(EM$44&gt;1,DU232=$N232),1-SUM($EE232:EL232),
IF($N232&lt;=1,
IF($N232&gt;0,1/$N232,0),
IF(EM$44=1,0,VDB(1,0,$N232,INT(EM$44-1-1),MIN($N232,INT(EM$44-1-1)+1),$DC232,IF($DD232="No",1,0))/
IF(DT232&gt;=INT($N232),$N232-INT($N232),1)))*
IF(EM$44=1,0,
IF(INT(DU232)=INT(DT232),DU232-DT232,INT(DU232)-DT232))+
IF($N232&lt;=1,
IF($N232&gt;0,1/$N232,0),VDB(1,0,$N232,INT(EM$44-1),MIN($N232,INT(EM$44-1)+1),$DC232,IF($DD232="No",1,0))/
IF(DU232&gt;INT($N232),$N232-INT($N232),1))*
IF(EM$44=1,DU232,
IF(INT(DU232)=INT(DT232),0,DU232-INT(DU232)))))</f>
        <v>0</v>
      </c>
      <c r="EN232" s="833"/>
      <c r="EO232" s="834">
        <f>+IF(OR(DW232=DV232,EO$44=1),0,
IF(AND(EO$44&gt;1,DW232=$N232),1-SUM($EN232:EN232),
IF($N232&lt;=1,
IF($N232&gt;0,1/$N232,0),
IF(EO$44=2,0,VDB(1,0,$N232,INT(EO$44-2-1),MIN($N232,INT(EO$44-2-1)+1),$DC232,IF($DD232="No",1,0))/
IF(DV232&gt;=INT($N232),$N232-INT($N232),1)))*
IF(EO$44=2,0,
IF(INT(DW232)=INT(DV232),DW232-DV232,INT(DW232)-DV232))+
IF($N232&lt;=1,
IF($N232&gt;0,1/$N232,0),VDB(1,0,$N232,INT(EO$44-2),MIN($N232,INT(EO$44-2)+1),$DC232,IF($DD232="No",1,0))/
IF(DW232&gt;INT($N232),$N232-INT($N232),1))*
IF(EO$44=2,DW232,
IF(INT(DW232)=INT(DV232),0,DW232-INT(DW232)))))</f>
        <v>0</v>
      </c>
      <c r="EP232" s="835">
        <f>+IF(OR(DX232=DW232,EP$44=1),0,
IF(AND(EP$44&gt;1,DX232=$N232),1-SUM($EN232:EO232),
IF($N232&lt;=1,
IF($N232&gt;0,1/$N232,0),
IF(EP$44=2,0,VDB(1,0,$N232,INT(EP$44-2-1),MIN($N232,INT(EP$44-2-1)+1),$DC232,IF($DD232="No",1,0))/
IF(DW232&gt;=INT($N232),$N232-INT($N232),1)))*
IF(EP$44=2,0,
IF(INT(DX232)=INT(DW232),DX232-DW232,INT(DX232)-DW232))+
IF($N232&lt;=1,
IF($N232&gt;0,1/$N232,0),VDB(1,0,$N232,INT(EP$44-2),MIN($N232,INT(EP$44-2)+1),$DC232,IF($DD232="No",1,0))/
IF(DX232&gt;INT($N232),$N232-INT($N232),1))*
IF(EP$44=2,DX232,
IF(INT(DX232)=INT(DW232),0,DX232-INT(DX232)))))</f>
        <v>0</v>
      </c>
      <c r="EQ232" s="836">
        <f>+IF(OR(DY232=DX232,EQ$44=1),0,
IF(AND(EQ$44&gt;1,DY232=$N232),1-SUM($EN232:EP232),
IF($N232&lt;=1,
IF($N232&gt;0,1/$N232,0),
IF(EQ$44=2,0,VDB(1,0,$N232,INT(EQ$44-2-1),MIN($N232,INT(EQ$44-2-1)+1),$DC232,IF($DD232="No",1,0))/
IF(DX232&gt;=INT($N232),$N232-INT($N232),1)))*
IF(EQ$44=2,0,
IF(INT(DY232)=INT(DX232),DY232-DX232,INT(DY232)-DX232))+
IF($N232&lt;=1,
IF($N232&gt;0,1/$N232,0),VDB(1,0,$N232,INT(EQ$44-2),MIN($N232,INT(EQ$44-2)+1),$DC232,IF($DD232="No",1,0))/
IF(DY232&gt;INT($N232),$N232-INT($N232),1))*
IF(EQ$44=2,DY232,
IF(INT(DY232)=INT(DX232),0,DY232-INT(DY232)))))</f>
        <v>0</v>
      </c>
      <c r="ER232" s="834">
        <f>+IF(OR(DZ232=DY232,ER$44=1),0,
IF(AND(ER$44&gt;1,DZ232=$N232),1-SUM($EN232:EQ232),
IF($N232&lt;=1,
IF($N232&gt;0,1/$N232,0),
IF(ER$44=2,0,VDB(1,0,$N232,INT(ER$44-2-1),MIN($N232,INT(ER$44-2-1)+1),$DC232,IF($DD232="No",1,0))/
IF(DY232&gt;=INT($N232),$N232-INT($N232),1)))*
IF(ER$44=2,0,
IF(INT(DZ232)=INT(DY232),DZ232-DY232,INT(DZ232)-DY232))+
IF($N232&lt;=1,
IF($N232&gt;0,1/$N232,0),VDB(1,0,$N232,INT(ER$44-2),MIN($N232,INT(ER$44-2)+1),$DC232,IF($DD232="No",1,0))/
IF(DZ232&gt;INT($N232),$N232-INT($N232),1))*
IF(ER$44=2,DZ232,
IF(INT(DZ232)=INT(DY232),0,DZ232-INT(DZ232)))))</f>
        <v>0</v>
      </c>
      <c r="ES232" s="835">
        <f>+IF(OR(EA232=DZ232,ES$44=1),0,
IF(AND(ES$44&gt;1,EA232=$N232),1-SUM($EN232:ER232),
IF($N232&lt;=1,
IF($N232&gt;0,1/$N232,0),
IF(ES$44=2,0,VDB(1,0,$N232,INT(ES$44-2-1),MIN($N232,INT(ES$44-2-1)+1),$DC232,IF($DD232="No",1,0))/
IF(DZ232&gt;=INT($N232),$N232-INT($N232),1)))*
IF(ES$44=2,0,
IF(INT(EA232)=INT(DZ232),EA232-DZ232,INT(EA232)-DZ232))+
IF($N232&lt;=1,
IF($N232&gt;0,1/$N232,0),VDB(1,0,$N232,INT(ES$44-2),MIN($N232,INT(ES$44-2)+1),$DC232,IF($DD232="No",1,0))/
IF(EA232&gt;INT($N232),$N232-INT($N232),1))*
IF(ES$44=2,EA232,
IF(INT(EA232)=INT(DZ232),0,EA232-INT(EA232)))))</f>
        <v>0</v>
      </c>
      <c r="ET232" s="835">
        <f>+IF(OR(EB232=EA232,ET$44=1),0,
IF(AND(ET$44&gt;1,EB232=$N232),1-SUM($EN232:ES232),
IF($N232&lt;=1,
IF($N232&gt;0,1/$N232,0),
IF(ET$44=2,0,VDB(1,0,$N232,INT(ET$44-2-1),MIN($N232,INT(ET$44-2-1)+1),$DC232,IF($DD232="No",1,0))/
IF(EA232&gt;=INT($N232),$N232-INT($N232),1)))*
IF(ET$44=2,0,
IF(INT(EB232)=INT(EA232),EB232-EA232,INT(EB232)-EA232))+
IF($N232&lt;=1,
IF($N232&gt;0,1/$N232,0),VDB(1,0,$N232,INT(ET$44-2),MIN($N232,INT(ET$44-2)+1),$DC232,IF($DD232="No",1,0))/
IF(EB232&gt;INT($N232),$N232-INT($N232),1))*
IF(ET$44=2,EB232,
IF(INT(EB232)=INT(EA232),0,EB232-INT(EB232)))))</f>
        <v>0</v>
      </c>
      <c r="EU232" s="835">
        <f>+IF(OR(EC232=EB232,EU$44=1),0,
IF(AND(EU$44&gt;1,EC232=$N232),1-SUM($EN232:ET232),
IF($N232&lt;=1,
IF($N232&gt;0,1/$N232,0),
IF(EU$44=2,0,VDB(1,0,$N232,INT(EU$44-2-1),MIN($N232,INT(EU$44-2-1)+1),$DC232,IF($DD232="No",1,0))/
IF(EB232&gt;=INT($N232),$N232-INT($N232),1)))*
IF(EU$44=2,0,
IF(INT(EC232)=INT(EB232),EC232-EB232,INT(EC232)-EB232))+
IF($N232&lt;=1,
IF($N232&gt;0,1/$N232,0),VDB(1,0,$N232,INT(EU$44-2),MIN($N232,INT(EU$44-2)+1),$DC232,IF($DD232="No",1,0))/
IF(EC232&gt;INT($N232),$N232-INT($N232),1))*
IF(EU$44=2,EC232,
IF(INT(EC232)=INT(EB232),0,EC232-INT(EC232)))))</f>
        <v>0</v>
      </c>
      <c r="EV232" s="836">
        <f>+IF(OR(ED232=EC232,EV$44=1),0,
IF(AND(EV$44&gt;1,ED232=$N232),1-SUM($EN232:EU232),
IF($N232&lt;=1,
IF($N232&gt;0,1/$N232,0),
IF(EV$44=2,0,VDB(1,0,$N232,INT(EV$44-2-1),MIN($N232,INT(EV$44-2-1)+1),$DC232,IF($DD232="No",1,0))/
IF(EC232&gt;=INT($N232),$N232-INT($N232),1)))*
IF(EV$44=2,0,
IF(INT(ED232)=INT(EC232),ED232-EC232,INT(ED232)-EC232))+
IF($N232&lt;=1,
IF($N232&gt;0,1/$N232,0),VDB(1,0,$N232,INT(EV$44-2),MIN($N232,INT(EV$44-2)+1),$DC232,IF($DD232="No",1,0))/
IF(ED232&gt;INT($N232),$N232-INT($N232),1))*
IF(EV$44=2,ED232,
IF(INT(ED232)=INT(EC232),0,ED232-INT(ED232)))))</f>
        <v>0</v>
      </c>
      <c r="EW232" s="833"/>
      <c r="EX232" s="834">
        <f t="shared" ca="1" si="361"/>
        <v>0</v>
      </c>
      <c r="EY232" s="835">
        <f t="shared" ca="1" si="361"/>
        <v>0</v>
      </c>
      <c r="EZ232" s="836">
        <f t="shared" ca="1" si="361"/>
        <v>0</v>
      </c>
      <c r="FA232" s="834">
        <f t="shared" ca="1" si="361"/>
        <v>0</v>
      </c>
      <c r="FB232" s="835">
        <f t="shared" ca="1" si="361"/>
        <v>0</v>
      </c>
      <c r="FC232" s="835">
        <f t="shared" ca="1" si="361"/>
        <v>0</v>
      </c>
      <c r="FD232" s="835">
        <f t="shared" ca="1" si="361"/>
        <v>0</v>
      </c>
      <c r="FE232" s="836">
        <f t="shared" ca="1" si="361"/>
        <v>0</v>
      </c>
      <c r="FG232" s="386">
        <f t="shared" ca="1" si="408"/>
        <v>0</v>
      </c>
      <c r="FH232" s="387">
        <f t="shared" ca="1" si="409"/>
        <v>0</v>
      </c>
      <c r="FI232" s="388">
        <f t="shared" ca="1" si="410"/>
        <v>0</v>
      </c>
      <c r="FJ232" s="386">
        <f t="shared" ca="1" si="411"/>
        <v>0</v>
      </c>
      <c r="FK232" s="387">
        <f t="shared" ca="1" si="412"/>
        <v>0</v>
      </c>
      <c r="FL232" s="387">
        <f t="shared" ca="1" si="413"/>
        <v>0</v>
      </c>
      <c r="FM232" s="387">
        <f t="shared" ca="1" si="414"/>
        <v>0</v>
      </c>
      <c r="FN232" s="388">
        <f t="shared" ca="1" si="415"/>
        <v>0</v>
      </c>
      <c r="FR232" s="116"/>
    </row>
    <row r="233" spans="2:174">
      <c r="B233" s="1410">
        <f t="shared" si="359"/>
        <v>187</v>
      </c>
      <c r="C233" s="400"/>
      <c r="D233" s="410"/>
      <c r="E233" s="402"/>
      <c r="F233" s="402"/>
      <c r="G233" s="400"/>
      <c r="H233" s="2088"/>
      <c r="I233" s="2089"/>
      <c r="J233" s="411"/>
      <c r="K233" s="403"/>
      <c r="L233" s="403"/>
      <c r="M233" s="403"/>
      <c r="N233" s="403"/>
      <c r="O233" s="347"/>
      <c r="P233" s="347"/>
      <c r="Q233" s="1021"/>
      <c r="R233" s="1022"/>
      <c r="S233" s="1022"/>
      <c r="T233" s="1022"/>
      <c r="U233" s="1023"/>
      <c r="V233" s="1021"/>
      <c r="W233" s="1022"/>
      <c r="X233" s="1022"/>
      <c r="Y233" s="1022"/>
      <c r="Z233" s="1023"/>
      <c r="AA233" s="1024"/>
      <c r="AB233" s="1021"/>
      <c r="AC233" s="1022"/>
      <c r="AD233" s="1022"/>
      <c r="AE233" s="1022"/>
      <c r="AF233" s="1023"/>
      <c r="AG233" s="1021"/>
      <c r="AH233" s="1022"/>
      <c r="AI233" s="1022"/>
      <c r="AJ233" s="1022"/>
      <c r="AK233" s="1023"/>
      <c r="AL233" s="1024"/>
      <c r="AM233" s="1021"/>
      <c r="AN233" s="1022"/>
      <c r="AO233" s="1022"/>
      <c r="AP233" s="1022"/>
      <c r="AQ233" s="1023"/>
      <c r="AR233" s="1021"/>
      <c r="AS233" s="1022"/>
      <c r="AT233" s="1022"/>
      <c r="AU233" s="1022"/>
      <c r="AV233" s="1023"/>
      <c r="AW233" s="1025"/>
      <c r="AX233" s="1282">
        <f t="shared" si="362"/>
        <v>0</v>
      </c>
      <c r="AY233" s="387">
        <f t="shared" si="363"/>
        <v>0</v>
      </c>
      <c r="AZ233" s="387">
        <f t="shared" si="364"/>
        <v>0</v>
      </c>
      <c r="BA233" s="387">
        <f t="shared" si="365"/>
        <v>0</v>
      </c>
      <c r="BB233" s="1283">
        <f t="shared" si="366"/>
        <v>0</v>
      </c>
      <c r="BC233" s="386">
        <f t="shared" si="367"/>
        <v>0</v>
      </c>
      <c r="BD233" s="387">
        <f t="shared" si="368"/>
        <v>0</v>
      </c>
      <c r="BE233" s="1277">
        <f t="shared" si="369"/>
        <v>0</v>
      </c>
      <c r="BF233" s="1277">
        <f t="shared" si="370"/>
        <v>0</v>
      </c>
      <c r="BG233" s="388">
        <f t="shared" si="371"/>
        <v>0</v>
      </c>
      <c r="BH233" s="1025"/>
      <c r="BI233" s="1282">
        <f t="shared" ca="1" si="372"/>
        <v>0</v>
      </c>
      <c r="BJ233" s="387">
        <f t="shared" ca="1" si="373"/>
        <v>0</v>
      </c>
      <c r="BK233" s="387">
        <f t="shared" ca="1" si="374"/>
        <v>0</v>
      </c>
      <c r="BL233" s="387">
        <f t="shared" ca="1" si="375"/>
        <v>0</v>
      </c>
      <c r="BM233" s="1283">
        <f t="shared" ca="1" si="376"/>
        <v>0</v>
      </c>
      <c r="BN233" s="386">
        <f t="shared" ca="1" si="377"/>
        <v>0</v>
      </c>
      <c r="BO233" s="387">
        <f t="shared" ca="1" si="378"/>
        <v>0</v>
      </c>
      <c r="BP233" s="1277">
        <f t="shared" ca="1" si="379"/>
        <v>0</v>
      </c>
      <c r="BQ233" s="1277">
        <f t="shared" ca="1" si="380"/>
        <v>0</v>
      </c>
      <c r="BR233" s="388">
        <f t="shared" ca="1" si="381"/>
        <v>0</v>
      </c>
      <c r="BS233" s="1025"/>
      <c r="BT233" s="1282">
        <f>+IF($K233="Ongoing",AX233,IF(RIGHT($K233,2)=RIGHT(BT$43,2),SUM($AX233:AX233),0)+IF(RIGHT(BT$43,2)&gt;RIGHT($K233,2),AX233,0))</f>
        <v>0</v>
      </c>
      <c r="BU233" s="387">
        <f>+IF($K233="Ongoing",AY233,IF(RIGHT($K233,2)=RIGHT(BU$43,2),SUM($AX233:AY233),0)+IF(RIGHT(BU$43,2)&gt;RIGHT($K233,2),AY233,0))</f>
        <v>0</v>
      </c>
      <c r="BV233" s="387">
        <f>+IF($K233="Ongoing",AZ233,IF(RIGHT($K233,2)=RIGHT(BV$43,2),SUM($AX233:AZ233),0)+IF(RIGHT(BV$43,2)&gt;RIGHT($K233,2),AZ233,0))</f>
        <v>0</v>
      </c>
      <c r="BW233" s="387">
        <f>+IF($K233="Ongoing",BA233,IF(RIGHT($K233,2)=RIGHT(BW$43,2),SUM($AX233:BA233),0)+IF(RIGHT(BW$43,2)&gt;RIGHT($K233,2),BA233,0))</f>
        <v>0</v>
      </c>
      <c r="BX233" s="1283">
        <f>+IF($K233="Ongoing",BB233,IF(RIGHT($K233,2)=RIGHT(BX$43,2),SUM($AX233:BB233),0)+IF(RIGHT(BX$43,2)&gt;RIGHT($K233,2),BB233,0))</f>
        <v>0</v>
      </c>
      <c r="BY233" s="386">
        <f>+IF($K233="Ongoing",BC233,IF(RIGHT($K233,2)=RIGHT(BY$43,2),SUM($AX233:BC233),0)+IF(RIGHT(BY$43,2)&gt;RIGHT($K233,2),BC233,0))</f>
        <v>0</v>
      </c>
      <c r="BZ233" s="387">
        <f>+IF($K233="Ongoing",BD233,IF(RIGHT($K233,2)=RIGHT(BZ$43,2),SUM($AX233:BD233),0)+IF(RIGHT(BZ$43,2)&gt;RIGHT($K233,2),BD233,0))</f>
        <v>0</v>
      </c>
      <c r="CA233" s="1277">
        <f>+IF($K233="Ongoing",BE233,IF(RIGHT($K233,2)=RIGHT(CA$43,2),SUM($AX233:BE233),0)+IF(RIGHT(CA$43,2)&gt;RIGHT($K233,2),BE233,0))</f>
        <v>0</v>
      </c>
      <c r="CB233" s="1277">
        <f>+IF($K233="Ongoing",BF233,IF(RIGHT($K233,2)=RIGHT(CB$43,2),SUM($AX233:BF233),0)+IF(RIGHT(CB$43,2)&gt;RIGHT($K233,2),BF233,0))</f>
        <v>0</v>
      </c>
      <c r="CC233" s="388">
        <f>+IF($K233="Ongoing",BG233,IF(RIGHT($K233,2)=RIGHT(CC$43,2),SUM($AX233:BG233),0)+IF(RIGHT(CC$43,2)&gt;RIGHT($K233,2),BG233,0))</f>
        <v>0</v>
      </c>
      <c r="CD233" s="1025"/>
      <c r="CE233" s="1282">
        <f>+Q233*KeyAssumptionsPriceControl_FO!AF$15</f>
        <v>0</v>
      </c>
      <c r="CF233" s="387">
        <f>+R233*KeyAssumptionsPriceControl_FO!AG$15</f>
        <v>0</v>
      </c>
      <c r="CG233" s="387">
        <f>+S233*KeyAssumptionsPriceControl_FO!AH$15</f>
        <v>0</v>
      </c>
      <c r="CH233" s="387">
        <f>+T233*KeyAssumptionsPriceControl_FO!AI$15</f>
        <v>0</v>
      </c>
      <c r="CI233" s="1283">
        <f>+U233*KeyAssumptionsPriceControl_FO!AJ$15</f>
        <v>0</v>
      </c>
      <c r="CJ233" s="386">
        <f>+V233*KeyAssumptionsPriceControl_FO!AK$15</f>
        <v>0</v>
      </c>
      <c r="CK233" s="387">
        <f>+W233*KeyAssumptionsPriceControl_FO!AL$15</f>
        <v>0</v>
      </c>
      <c r="CL233" s="1277">
        <f>+X233*KeyAssumptionsPriceControl_FO!AM$15</f>
        <v>0</v>
      </c>
      <c r="CM233" s="1277">
        <f>+Y233*KeyAssumptionsPriceControl_FO!AN$15</f>
        <v>0</v>
      </c>
      <c r="CN233" s="388">
        <f>+Z233*KeyAssumptionsPriceControl_FO!AO$15</f>
        <v>0</v>
      </c>
      <c r="CO233" s="1025"/>
      <c r="CP233" s="1282">
        <f t="shared" ca="1" si="382"/>
        <v>0</v>
      </c>
      <c r="CQ233" s="387">
        <f t="shared" ca="1" si="383"/>
        <v>0</v>
      </c>
      <c r="CR233" s="387">
        <f t="shared" ca="1" si="384"/>
        <v>0</v>
      </c>
      <c r="CS233" s="387">
        <f t="shared" ca="1" si="385"/>
        <v>0</v>
      </c>
      <c r="CT233" s="1283">
        <f t="shared" ca="1" si="386"/>
        <v>0</v>
      </c>
      <c r="CU233" s="386">
        <f t="shared" ca="1" si="387"/>
        <v>0</v>
      </c>
      <c r="CV233" s="387">
        <f t="shared" ca="1" si="388"/>
        <v>0</v>
      </c>
      <c r="CW233" s="1277">
        <f t="shared" ca="1" si="389"/>
        <v>0</v>
      </c>
      <c r="CX233" s="1277">
        <f t="shared" ca="1" si="390"/>
        <v>0</v>
      </c>
      <c r="CY233" s="388">
        <f t="shared" ca="1" si="391"/>
        <v>0</v>
      </c>
      <c r="CZ233" s="347"/>
      <c r="DA233" s="852"/>
      <c r="DB233" s="347"/>
      <c r="DC233" s="1012" t="s">
        <v>754</v>
      </c>
      <c r="DD233" s="841" t="s">
        <v>518</v>
      </c>
      <c r="DE233" s="386">
        <f>+IF($K233="ongoing",CE233,IF(RIGHT($K233,2)=RIGHT(DE$43,2),SUM($CD233:CE233),0)+IF(RIGHT(DE$43,2)&gt;RIGHT($K233,2),CE233,0))</f>
        <v>0</v>
      </c>
      <c r="DF233" s="387">
        <f>+IF($K233="ongoing",CF233,IF(RIGHT($K233,2)=RIGHT(DF$43,2),SUM($CD233:CF233),0)+IF(RIGHT(DF$43,2)&gt;RIGHT($K233,2),CF233,0))</f>
        <v>0</v>
      </c>
      <c r="DG233" s="388">
        <f>+IF($K233="ongoing",CG233,IF(RIGHT($K233,2)=RIGHT(DG$43,2),SUM($CD233:CG233),0)+IF(RIGHT(DG$43,2)&gt;RIGHT($K233,2),CG233,0))</f>
        <v>0</v>
      </c>
      <c r="DH233" s="386">
        <f>+IF($K233="ongoing",CH233,IF(RIGHT($K233,2)=RIGHT(DH$43,2),SUM($CD233:CH233),0)+IF(RIGHT(DH$43,2)&gt;RIGHT($K233,2),CH233,0))</f>
        <v>0</v>
      </c>
      <c r="DI233" s="387">
        <f>+IF($K233="ongoing",CI233,IF(RIGHT($K233,2)=RIGHT(DI$43,2),SUM($CD233:CI233),0)+IF(RIGHT(DI$43,2)&gt;RIGHT($K233,2),CI233,0))</f>
        <v>0</v>
      </c>
      <c r="DJ233" s="387">
        <f>+IF($K233="ongoing",CJ233,IF(RIGHT($K233,2)=RIGHT(DJ$43,2),SUM($CD233:CJ233),0)+IF(RIGHT(DJ$43,2)&gt;RIGHT($K233,2),CJ233,0))</f>
        <v>0</v>
      </c>
      <c r="DK233" s="387">
        <f>+IF($K233="ongoing",CK233,IF(RIGHT($K233,2)=RIGHT(DK$43,2),SUM($CD233:CK233),0)+IF(RIGHT(DK$43,2)&gt;RIGHT($K233,2),CK233,0))</f>
        <v>0</v>
      </c>
      <c r="DL233" s="388">
        <f>+IF($K233="ongoing",CN233,IF(RIGHT($K233,2)=RIGHT(DL$43,2),SUM($CD233:CN233),0)+IF(RIGHT(DL$43,2)&gt;RIGHT($K233,2),CN233,0))</f>
        <v>0</v>
      </c>
      <c r="DM233" s="841"/>
      <c r="DN233" s="386">
        <f t="shared" si="392"/>
        <v>0.5</v>
      </c>
      <c r="DO233" s="387">
        <f t="shared" si="393"/>
        <v>1</v>
      </c>
      <c r="DP233" s="388">
        <f t="shared" si="394"/>
        <v>1</v>
      </c>
      <c r="DQ233" s="386">
        <f t="shared" si="395"/>
        <v>1</v>
      </c>
      <c r="DR233" s="387">
        <f t="shared" si="396"/>
        <v>1</v>
      </c>
      <c r="DS233" s="387">
        <f t="shared" si="397"/>
        <v>1</v>
      </c>
      <c r="DT233" s="387">
        <f t="shared" si="398"/>
        <v>1</v>
      </c>
      <c r="DU233" s="388">
        <f t="shared" si="399"/>
        <v>1</v>
      </c>
      <c r="DW233" s="386">
        <f t="shared" si="400"/>
        <v>0</v>
      </c>
      <c r="DX233" s="387">
        <f t="shared" si="401"/>
        <v>0.5</v>
      </c>
      <c r="DY233" s="388">
        <f t="shared" si="402"/>
        <v>1</v>
      </c>
      <c r="DZ233" s="386">
        <f t="shared" si="403"/>
        <v>1</v>
      </c>
      <c r="EA233" s="387">
        <f t="shared" si="404"/>
        <v>1</v>
      </c>
      <c r="EB233" s="387">
        <f t="shared" si="405"/>
        <v>1</v>
      </c>
      <c r="EC233" s="387">
        <f t="shared" si="406"/>
        <v>1</v>
      </c>
      <c r="ED233" s="388">
        <f t="shared" si="407"/>
        <v>1</v>
      </c>
      <c r="EF233" s="834">
        <f>+IF(DN233=DM233,0,
IF(AND(EF$44&gt;1,DN233=$N233),1-SUM($EE233:EE233),
IF($N233&lt;=1,
IF($N233&gt;0,1/$N233,0),
IF(EF$44=1,0,VDB(1,0,$N233,INT(EF$44-1-1),MIN($N233,INT(EF$44-1-1)+1),$DC233,IF($DD233="No",1,0))/
IF(DM233&gt;=INT($N233),$N233-INT($N233),1)))*
IF(EF$44=1,0,
IF(INT(DN233)=INT(DM233),DN233-DM233,INT(DN233)-DM233))+
IF($N233&lt;=1,
IF($N233&gt;0,1/$N233,0),VDB(1,0,$N233,INT(EF$44-1),MIN($N233,INT(EF$44-1)+1),$DC233,IF($DD233="No",1,0))/
IF(DN233&gt;INT($N233),$N233-INT($N233),1))*
IF(EF$44=1,DN233,
IF(INT(DN233)=INT(DM233),0,DN233-INT(DN233)))))</f>
        <v>0</v>
      </c>
      <c r="EG233" s="835">
        <f>+IF(DO233=DN233,0,
IF(AND(EG$44&gt;1,DO233=$N233),1-SUM($EE233:EF233),
IF($N233&lt;=1,
IF($N233&gt;0,1/$N233,0),
IF(EG$44=1,0,VDB(1,0,$N233,INT(EG$44-1-1),MIN($N233,INT(EG$44-1-1)+1),$DC233,IF($DD233="No",1,0))/
IF(DN233&gt;=INT($N233),$N233-INT($N233),1)))*
IF(EG$44=1,0,
IF(INT(DO233)=INT(DN233),DO233-DN233,INT(DO233)-DN233))+
IF($N233&lt;=1,
IF($N233&gt;0,1/$N233,0),VDB(1,0,$N233,INT(EG$44-1),MIN($N233,INT(EG$44-1)+1),$DC233,IF($DD233="No",1,0))/
IF(DO233&gt;INT($N233),$N233-INT($N233),1))*
IF(EG$44=1,DO233,
IF(INT(DO233)=INT(DN233),0,DO233-INT(DO233)))))</f>
        <v>0</v>
      </c>
      <c r="EH233" s="836">
        <f>+IF(DP233=DO233,0,
IF(AND(EH$44&gt;1,DP233=$N233),1-SUM($EE233:EG233),
IF($N233&lt;=1,
IF($N233&gt;0,1/$N233,0),
IF(EH$44=1,0,VDB(1,0,$N233,INT(EH$44-1-1),MIN($N233,INT(EH$44-1-1)+1),$DC233,IF($DD233="No",1,0))/
IF(DO233&gt;=INT($N233),$N233-INT($N233),1)))*
IF(EH$44=1,0,
IF(INT(DP233)=INT(DO233),DP233-DO233,INT(DP233)-DO233))+
IF($N233&lt;=1,
IF($N233&gt;0,1/$N233,0),VDB(1,0,$N233,INT(EH$44-1),MIN($N233,INT(EH$44-1)+1),$DC233,IF($DD233="No",1,0))/
IF(DP233&gt;INT($N233),$N233-INT($N233),1))*
IF(EH$44=1,DP233,
IF(INT(DP233)=INT(DO233),0,DP233-INT(DP233)))))</f>
        <v>0</v>
      </c>
      <c r="EI233" s="834">
        <f>+IF(DQ233=DP233,0,
IF(AND(EI$44&gt;1,DQ233=$N233),1-SUM($EE233:EH233),
IF($N233&lt;=1,
IF($N233&gt;0,1/$N233,0),
IF(EI$44=1,0,VDB(1,0,$N233,INT(EI$44-1-1),MIN($N233,INT(EI$44-1-1)+1),$DC233,IF($DD233="No",1,0))/
IF(DP233&gt;=INT($N233),$N233-INT($N233),1)))*
IF(EI$44=1,0,
IF(INT(DQ233)=INT(DP233),DQ233-DP233,INT(DQ233)-DP233))+
IF($N233&lt;=1,
IF($N233&gt;0,1/$N233,0),VDB(1,0,$N233,INT(EI$44-1),MIN($N233,INT(EI$44-1)+1),$DC233,IF($DD233="No",1,0))/
IF(DQ233&gt;INT($N233),$N233-INT($N233),1))*
IF(EI$44=1,DQ233,
IF(INT(DQ233)=INT(DP233),0,DQ233-INT(DQ233)))))</f>
        <v>0</v>
      </c>
      <c r="EJ233" s="835">
        <f>+IF(DR233=DQ233,0,
IF(AND(EJ$44&gt;1,DR233=$N233),1-SUM($EE233:EI233),
IF($N233&lt;=1,
IF($N233&gt;0,1/$N233,0),
IF(EJ$44=1,0,VDB(1,0,$N233,INT(EJ$44-1-1),MIN($N233,INT(EJ$44-1-1)+1),$DC233,IF($DD233="No",1,0))/
IF(DQ233&gt;=INT($N233),$N233-INT($N233),1)))*
IF(EJ$44=1,0,
IF(INT(DR233)=INT(DQ233),DR233-DQ233,INT(DR233)-DQ233))+
IF($N233&lt;=1,
IF($N233&gt;0,1/$N233,0),VDB(1,0,$N233,INT(EJ$44-1),MIN($N233,INT(EJ$44-1)+1),$DC233,IF($DD233="No",1,0))/
IF(DR233&gt;INT($N233),$N233-INT($N233),1))*
IF(EJ$44=1,DR233,
IF(INT(DR233)=INT(DQ233),0,DR233-INT(DR233)))))</f>
        <v>0</v>
      </c>
      <c r="EK233" s="835">
        <f>+IF(DS233=DR233,0,
IF(AND(EK$44&gt;1,DS233=$N233),1-SUM($EE233:EJ233),
IF($N233&lt;=1,
IF($N233&gt;0,1/$N233,0),
IF(EK$44=1,0,VDB(1,0,$N233,INT(EK$44-1-1),MIN($N233,INT(EK$44-1-1)+1),$DC233,IF($DD233="No",1,0))/
IF(DR233&gt;=INT($N233),$N233-INT($N233),1)))*
IF(EK$44=1,0,
IF(INT(DS233)=INT(DR233),DS233-DR233,INT(DS233)-DR233))+
IF($N233&lt;=1,
IF($N233&gt;0,1/$N233,0),VDB(1,0,$N233,INT(EK$44-1),MIN($N233,INT(EK$44-1)+1),$DC233,IF($DD233="No",1,0))/
IF(DS233&gt;INT($N233),$N233-INT($N233),1))*
IF(EK$44=1,DS233,
IF(INT(DS233)=INT(DR233),0,DS233-INT(DS233)))))</f>
        <v>0</v>
      </c>
      <c r="EL233" s="835">
        <f>+IF(DT233=DS233,0,
IF(AND(EL$44&gt;1,DT233=$N233),1-SUM($EE233:EK233),
IF($N233&lt;=1,
IF($N233&gt;0,1/$N233,0),
IF(EL$44=1,0,VDB(1,0,$N233,INT(EL$44-1-1),MIN($N233,INT(EL$44-1-1)+1),$DC233,IF($DD233="No",1,0))/
IF(DS233&gt;=INT($N233),$N233-INT($N233),1)))*
IF(EL$44=1,0,
IF(INT(DT233)=INT(DS233),DT233-DS233,INT(DT233)-DS233))+
IF($N233&lt;=1,
IF($N233&gt;0,1/$N233,0),VDB(1,0,$N233,INT(EL$44-1),MIN($N233,INT(EL$44-1)+1),$DC233,IF($DD233="No",1,0))/
IF(DT233&gt;INT($N233),$N233-INT($N233),1))*
IF(EL$44=1,DT233,
IF(INT(DT233)=INT(DS233),0,DT233-INT(DT233)))))</f>
        <v>0</v>
      </c>
      <c r="EM233" s="836">
        <f>+IF(DU233=DT233,0,
IF(AND(EM$44&gt;1,DU233=$N233),1-SUM($EE233:EL233),
IF($N233&lt;=1,
IF($N233&gt;0,1/$N233,0),
IF(EM$44=1,0,VDB(1,0,$N233,INT(EM$44-1-1),MIN($N233,INT(EM$44-1-1)+1),$DC233,IF($DD233="No",1,0))/
IF(DT233&gt;=INT($N233),$N233-INT($N233),1)))*
IF(EM$44=1,0,
IF(INT(DU233)=INT(DT233),DU233-DT233,INT(DU233)-DT233))+
IF($N233&lt;=1,
IF($N233&gt;0,1/$N233,0),VDB(1,0,$N233,INT(EM$44-1),MIN($N233,INT(EM$44-1)+1),$DC233,IF($DD233="No",1,0))/
IF(DU233&gt;INT($N233),$N233-INT($N233),1))*
IF(EM$44=1,DU233,
IF(INT(DU233)=INT(DT233),0,DU233-INT(DU233)))))</f>
        <v>0</v>
      </c>
      <c r="EN233" s="833"/>
      <c r="EO233" s="834">
        <f>+IF(OR(DW233=DV233,EO$44=1),0,
IF(AND(EO$44&gt;1,DW233=$N233),1-SUM($EN233:EN233),
IF($N233&lt;=1,
IF($N233&gt;0,1/$N233,0),
IF(EO$44=2,0,VDB(1,0,$N233,INT(EO$44-2-1),MIN($N233,INT(EO$44-2-1)+1),$DC233,IF($DD233="No",1,0))/
IF(DV233&gt;=INT($N233),$N233-INT($N233),1)))*
IF(EO$44=2,0,
IF(INT(DW233)=INT(DV233),DW233-DV233,INT(DW233)-DV233))+
IF($N233&lt;=1,
IF($N233&gt;0,1/$N233,0),VDB(1,0,$N233,INT(EO$44-2),MIN($N233,INT(EO$44-2)+1),$DC233,IF($DD233="No",1,0))/
IF(DW233&gt;INT($N233),$N233-INT($N233),1))*
IF(EO$44=2,DW233,
IF(INT(DW233)=INT(DV233),0,DW233-INT(DW233)))))</f>
        <v>0</v>
      </c>
      <c r="EP233" s="835">
        <f>+IF(OR(DX233=DW233,EP$44=1),0,
IF(AND(EP$44&gt;1,DX233=$N233),1-SUM($EN233:EO233),
IF($N233&lt;=1,
IF($N233&gt;0,1/$N233,0),
IF(EP$44=2,0,VDB(1,0,$N233,INT(EP$44-2-1),MIN($N233,INT(EP$44-2-1)+1),$DC233,IF($DD233="No",1,0))/
IF(DW233&gt;=INT($N233),$N233-INT($N233),1)))*
IF(EP$44=2,0,
IF(INT(DX233)=INT(DW233),DX233-DW233,INT(DX233)-DW233))+
IF($N233&lt;=1,
IF($N233&gt;0,1/$N233,0),VDB(1,0,$N233,INT(EP$44-2),MIN($N233,INT(EP$44-2)+1),$DC233,IF($DD233="No",1,0))/
IF(DX233&gt;INT($N233),$N233-INT($N233),1))*
IF(EP$44=2,DX233,
IF(INT(DX233)=INT(DW233),0,DX233-INT(DX233)))))</f>
        <v>0</v>
      </c>
      <c r="EQ233" s="836">
        <f>+IF(OR(DY233=DX233,EQ$44=1),0,
IF(AND(EQ$44&gt;1,DY233=$N233),1-SUM($EN233:EP233),
IF($N233&lt;=1,
IF($N233&gt;0,1/$N233,0),
IF(EQ$44=2,0,VDB(1,0,$N233,INT(EQ$44-2-1),MIN($N233,INT(EQ$44-2-1)+1),$DC233,IF($DD233="No",1,0))/
IF(DX233&gt;=INT($N233),$N233-INT($N233),1)))*
IF(EQ$44=2,0,
IF(INT(DY233)=INT(DX233),DY233-DX233,INT(DY233)-DX233))+
IF($N233&lt;=1,
IF($N233&gt;0,1/$N233,0),VDB(1,0,$N233,INT(EQ$44-2),MIN($N233,INT(EQ$44-2)+1),$DC233,IF($DD233="No",1,0))/
IF(DY233&gt;INT($N233),$N233-INT($N233),1))*
IF(EQ$44=2,DY233,
IF(INT(DY233)=INT(DX233),0,DY233-INT(DY233)))))</f>
        <v>0</v>
      </c>
      <c r="ER233" s="834">
        <f>+IF(OR(DZ233=DY233,ER$44=1),0,
IF(AND(ER$44&gt;1,DZ233=$N233),1-SUM($EN233:EQ233),
IF($N233&lt;=1,
IF($N233&gt;0,1/$N233,0),
IF(ER$44=2,0,VDB(1,0,$N233,INT(ER$44-2-1),MIN($N233,INT(ER$44-2-1)+1),$DC233,IF($DD233="No",1,0))/
IF(DY233&gt;=INT($N233),$N233-INT($N233),1)))*
IF(ER$44=2,0,
IF(INT(DZ233)=INT(DY233),DZ233-DY233,INT(DZ233)-DY233))+
IF($N233&lt;=1,
IF($N233&gt;0,1/$N233,0),VDB(1,0,$N233,INT(ER$44-2),MIN($N233,INT(ER$44-2)+1),$DC233,IF($DD233="No",1,0))/
IF(DZ233&gt;INT($N233),$N233-INT($N233),1))*
IF(ER$44=2,DZ233,
IF(INT(DZ233)=INT(DY233),0,DZ233-INT(DZ233)))))</f>
        <v>0</v>
      </c>
      <c r="ES233" s="835">
        <f>+IF(OR(EA233=DZ233,ES$44=1),0,
IF(AND(ES$44&gt;1,EA233=$N233),1-SUM($EN233:ER233),
IF($N233&lt;=1,
IF($N233&gt;0,1/$N233,0),
IF(ES$44=2,0,VDB(1,0,$N233,INT(ES$44-2-1),MIN($N233,INT(ES$44-2-1)+1),$DC233,IF($DD233="No",1,0))/
IF(DZ233&gt;=INT($N233),$N233-INT($N233),1)))*
IF(ES$44=2,0,
IF(INT(EA233)=INT(DZ233),EA233-DZ233,INT(EA233)-DZ233))+
IF($N233&lt;=1,
IF($N233&gt;0,1/$N233,0),VDB(1,0,$N233,INT(ES$44-2),MIN($N233,INT(ES$44-2)+1),$DC233,IF($DD233="No",1,0))/
IF(EA233&gt;INT($N233),$N233-INT($N233),1))*
IF(ES$44=2,EA233,
IF(INT(EA233)=INT(DZ233),0,EA233-INT(EA233)))))</f>
        <v>0</v>
      </c>
      <c r="ET233" s="835">
        <f>+IF(OR(EB233=EA233,ET$44=1),0,
IF(AND(ET$44&gt;1,EB233=$N233),1-SUM($EN233:ES233),
IF($N233&lt;=1,
IF($N233&gt;0,1/$N233,0),
IF(ET$44=2,0,VDB(1,0,$N233,INT(ET$44-2-1),MIN($N233,INT(ET$44-2-1)+1),$DC233,IF($DD233="No",1,0))/
IF(EA233&gt;=INT($N233),$N233-INT($N233),1)))*
IF(ET$44=2,0,
IF(INT(EB233)=INT(EA233),EB233-EA233,INT(EB233)-EA233))+
IF($N233&lt;=1,
IF($N233&gt;0,1/$N233,0),VDB(1,0,$N233,INT(ET$44-2),MIN($N233,INT(ET$44-2)+1),$DC233,IF($DD233="No",1,0))/
IF(EB233&gt;INT($N233),$N233-INT($N233),1))*
IF(ET$44=2,EB233,
IF(INT(EB233)=INT(EA233),0,EB233-INT(EB233)))))</f>
        <v>0</v>
      </c>
      <c r="EU233" s="835">
        <f>+IF(OR(EC233=EB233,EU$44=1),0,
IF(AND(EU$44&gt;1,EC233=$N233),1-SUM($EN233:ET233),
IF($N233&lt;=1,
IF($N233&gt;0,1/$N233,0),
IF(EU$44=2,0,VDB(1,0,$N233,INT(EU$44-2-1),MIN($N233,INT(EU$44-2-1)+1),$DC233,IF($DD233="No",1,0))/
IF(EB233&gt;=INT($N233),$N233-INT($N233),1)))*
IF(EU$44=2,0,
IF(INT(EC233)=INT(EB233),EC233-EB233,INT(EC233)-EB233))+
IF($N233&lt;=1,
IF($N233&gt;0,1/$N233,0),VDB(1,0,$N233,INT(EU$44-2),MIN($N233,INT(EU$44-2)+1),$DC233,IF($DD233="No",1,0))/
IF(EC233&gt;INT($N233),$N233-INT($N233),1))*
IF(EU$44=2,EC233,
IF(INT(EC233)=INT(EB233),0,EC233-INT(EC233)))))</f>
        <v>0</v>
      </c>
      <c r="EV233" s="836">
        <f>+IF(OR(ED233=EC233,EV$44=1),0,
IF(AND(EV$44&gt;1,ED233=$N233),1-SUM($EN233:EU233),
IF($N233&lt;=1,
IF($N233&gt;0,1/$N233,0),
IF(EV$44=2,0,VDB(1,0,$N233,INT(EV$44-2-1),MIN($N233,INT(EV$44-2-1)+1),$DC233,IF($DD233="No",1,0))/
IF(EC233&gt;=INT($N233),$N233-INT($N233),1)))*
IF(EV$44=2,0,
IF(INT(ED233)=INT(EC233),ED233-EC233,INT(ED233)-EC233))+
IF($N233&lt;=1,
IF($N233&gt;0,1/$N233,0),VDB(1,0,$N233,INT(EV$44-2),MIN($N233,INT(EV$44-2)+1),$DC233,IF($DD233="No",1,0))/
IF(ED233&gt;INT($N233),$N233-INT($N233),1))*
IF(EV$44=2,ED233,
IF(INT(ED233)=INT(EC233),0,ED233-INT(ED233)))))</f>
        <v>0</v>
      </c>
      <c r="EW233" s="833"/>
      <c r="EX233" s="834">
        <f t="shared" ca="1" si="361"/>
        <v>0</v>
      </c>
      <c r="EY233" s="835">
        <f t="shared" ca="1" si="361"/>
        <v>0</v>
      </c>
      <c r="EZ233" s="836">
        <f t="shared" ca="1" si="361"/>
        <v>0</v>
      </c>
      <c r="FA233" s="834">
        <f t="shared" ca="1" si="361"/>
        <v>0</v>
      </c>
      <c r="FB233" s="835">
        <f t="shared" ca="1" si="361"/>
        <v>0</v>
      </c>
      <c r="FC233" s="835">
        <f t="shared" ca="1" si="361"/>
        <v>0</v>
      </c>
      <c r="FD233" s="835">
        <f t="shared" ca="1" si="361"/>
        <v>0</v>
      </c>
      <c r="FE233" s="836">
        <f t="shared" ca="1" si="361"/>
        <v>0</v>
      </c>
      <c r="FG233" s="386">
        <f t="shared" ca="1" si="408"/>
        <v>0</v>
      </c>
      <c r="FH233" s="387">
        <f t="shared" ca="1" si="409"/>
        <v>0</v>
      </c>
      <c r="FI233" s="388">
        <f t="shared" ca="1" si="410"/>
        <v>0</v>
      </c>
      <c r="FJ233" s="386">
        <f t="shared" ca="1" si="411"/>
        <v>0</v>
      </c>
      <c r="FK233" s="387">
        <f t="shared" ca="1" si="412"/>
        <v>0</v>
      </c>
      <c r="FL233" s="387">
        <f t="shared" ca="1" si="413"/>
        <v>0</v>
      </c>
      <c r="FM233" s="387">
        <f t="shared" ca="1" si="414"/>
        <v>0</v>
      </c>
      <c r="FN233" s="388">
        <f t="shared" ca="1" si="415"/>
        <v>0</v>
      </c>
      <c r="FR233" s="116"/>
    </row>
    <row r="234" spans="2:174">
      <c r="B234" s="1410">
        <f t="shared" si="359"/>
        <v>188</v>
      </c>
      <c r="C234" s="400"/>
      <c r="D234" s="410"/>
      <c r="E234" s="402"/>
      <c r="F234" s="402"/>
      <c r="G234" s="400"/>
      <c r="H234" s="2088"/>
      <c r="I234" s="2089"/>
      <c r="J234" s="411"/>
      <c r="K234" s="403"/>
      <c r="L234" s="403"/>
      <c r="M234" s="403"/>
      <c r="N234" s="403"/>
      <c r="O234" s="347"/>
      <c r="P234" s="347"/>
      <c r="Q234" s="1021"/>
      <c r="R234" s="1022"/>
      <c r="S234" s="1022"/>
      <c r="T234" s="1022"/>
      <c r="U234" s="1023"/>
      <c r="V234" s="1021"/>
      <c r="W234" s="1022"/>
      <c r="X234" s="1022"/>
      <c r="Y234" s="1022"/>
      <c r="Z234" s="1023"/>
      <c r="AA234" s="1024"/>
      <c r="AB234" s="1021"/>
      <c r="AC234" s="1022"/>
      <c r="AD234" s="1022"/>
      <c r="AE234" s="1022"/>
      <c r="AF234" s="1023"/>
      <c r="AG234" s="1021"/>
      <c r="AH234" s="1022"/>
      <c r="AI234" s="1022"/>
      <c r="AJ234" s="1022"/>
      <c r="AK234" s="1023"/>
      <c r="AL234" s="1024"/>
      <c r="AM234" s="1021"/>
      <c r="AN234" s="1022"/>
      <c r="AO234" s="1022"/>
      <c r="AP234" s="1022"/>
      <c r="AQ234" s="1023"/>
      <c r="AR234" s="1021"/>
      <c r="AS234" s="1022"/>
      <c r="AT234" s="1022"/>
      <c r="AU234" s="1022"/>
      <c r="AV234" s="1023"/>
      <c r="AW234" s="1025"/>
      <c r="AX234" s="1282">
        <f t="shared" si="362"/>
        <v>0</v>
      </c>
      <c r="AY234" s="387">
        <f t="shared" si="363"/>
        <v>0</v>
      </c>
      <c r="AZ234" s="387">
        <f t="shared" si="364"/>
        <v>0</v>
      </c>
      <c r="BA234" s="387">
        <f t="shared" si="365"/>
        <v>0</v>
      </c>
      <c r="BB234" s="1283">
        <f t="shared" si="366"/>
        <v>0</v>
      </c>
      <c r="BC234" s="386">
        <f t="shared" si="367"/>
        <v>0</v>
      </c>
      <c r="BD234" s="387">
        <f t="shared" si="368"/>
        <v>0</v>
      </c>
      <c r="BE234" s="1277">
        <f t="shared" si="369"/>
        <v>0</v>
      </c>
      <c r="BF234" s="1277">
        <f t="shared" si="370"/>
        <v>0</v>
      </c>
      <c r="BG234" s="388">
        <f t="shared" si="371"/>
        <v>0</v>
      </c>
      <c r="BH234" s="1025"/>
      <c r="BI234" s="1282">
        <f t="shared" ca="1" si="372"/>
        <v>0</v>
      </c>
      <c r="BJ234" s="387">
        <f t="shared" ca="1" si="373"/>
        <v>0</v>
      </c>
      <c r="BK234" s="387">
        <f t="shared" ca="1" si="374"/>
        <v>0</v>
      </c>
      <c r="BL234" s="387">
        <f t="shared" ca="1" si="375"/>
        <v>0</v>
      </c>
      <c r="BM234" s="1283">
        <f t="shared" ca="1" si="376"/>
        <v>0</v>
      </c>
      <c r="BN234" s="386">
        <f t="shared" ca="1" si="377"/>
        <v>0</v>
      </c>
      <c r="BO234" s="387">
        <f t="shared" ca="1" si="378"/>
        <v>0</v>
      </c>
      <c r="BP234" s="1277">
        <f t="shared" ca="1" si="379"/>
        <v>0</v>
      </c>
      <c r="BQ234" s="1277">
        <f t="shared" ca="1" si="380"/>
        <v>0</v>
      </c>
      <c r="BR234" s="388">
        <f t="shared" ca="1" si="381"/>
        <v>0</v>
      </c>
      <c r="BS234" s="1025"/>
      <c r="BT234" s="1282">
        <f>+IF($K234="Ongoing",AX234,IF(RIGHT($K234,2)=RIGHT(BT$43,2),SUM($AX234:AX234),0)+IF(RIGHT(BT$43,2)&gt;RIGHT($K234,2),AX234,0))</f>
        <v>0</v>
      </c>
      <c r="BU234" s="387">
        <f>+IF($K234="Ongoing",AY234,IF(RIGHT($K234,2)=RIGHT(BU$43,2),SUM($AX234:AY234),0)+IF(RIGHT(BU$43,2)&gt;RIGHT($K234,2),AY234,0))</f>
        <v>0</v>
      </c>
      <c r="BV234" s="387">
        <f>+IF($K234="Ongoing",AZ234,IF(RIGHT($K234,2)=RIGHT(BV$43,2),SUM($AX234:AZ234),0)+IF(RIGHT(BV$43,2)&gt;RIGHT($K234,2),AZ234,0))</f>
        <v>0</v>
      </c>
      <c r="BW234" s="387">
        <f>+IF($K234="Ongoing",BA234,IF(RIGHT($K234,2)=RIGHT(BW$43,2),SUM($AX234:BA234),0)+IF(RIGHT(BW$43,2)&gt;RIGHT($K234,2),BA234,0))</f>
        <v>0</v>
      </c>
      <c r="BX234" s="1283">
        <f>+IF($K234="Ongoing",BB234,IF(RIGHT($K234,2)=RIGHT(BX$43,2),SUM($AX234:BB234),0)+IF(RIGHT(BX$43,2)&gt;RIGHT($K234,2),BB234,0))</f>
        <v>0</v>
      </c>
      <c r="BY234" s="386">
        <f>+IF($K234="Ongoing",BC234,IF(RIGHT($K234,2)=RIGHT(BY$43,2),SUM($AX234:BC234),0)+IF(RIGHT(BY$43,2)&gt;RIGHT($K234,2),BC234,0))</f>
        <v>0</v>
      </c>
      <c r="BZ234" s="387">
        <f>+IF($K234="Ongoing",BD234,IF(RIGHT($K234,2)=RIGHT(BZ$43,2),SUM($AX234:BD234),0)+IF(RIGHT(BZ$43,2)&gt;RIGHT($K234,2),BD234,0))</f>
        <v>0</v>
      </c>
      <c r="CA234" s="1277">
        <f>+IF($K234="Ongoing",BE234,IF(RIGHT($K234,2)=RIGHT(CA$43,2),SUM($AX234:BE234),0)+IF(RIGHT(CA$43,2)&gt;RIGHT($K234,2),BE234,0))</f>
        <v>0</v>
      </c>
      <c r="CB234" s="1277">
        <f>+IF($K234="Ongoing",BF234,IF(RIGHT($K234,2)=RIGHT(CB$43,2),SUM($AX234:BF234),0)+IF(RIGHT(CB$43,2)&gt;RIGHT($K234,2),BF234,0))</f>
        <v>0</v>
      </c>
      <c r="CC234" s="388">
        <f>+IF($K234="Ongoing",BG234,IF(RIGHT($K234,2)=RIGHT(CC$43,2),SUM($AX234:BG234),0)+IF(RIGHT(CC$43,2)&gt;RIGHT($K234,2),BG234,0))</f>
        <v>0</v>
      </c>
      <c r="CD234" s="1025"/>
      <c r="CE234" s="1282">
        <f>+Q234*KeyAssumptionsPriceControl_FO!AF$15</f>
        <v>0</v>
      </c>
      <c r="CF234" s="387">
        <f>+R234*KeyAssumptionsPriceControl_FO!AG$15</f>
        <v>0</v>
      </c>
      <c r="CG234" s="387">
        <f>+S234*KeyAssumptionsPriceControl_FO!AH$15</f>
        <v>0</v>
      </c>
      <c r="CH234" s="387">
        <f>+T234*KeyAssumptionsPriceControl_FO!AI$15</f>
        <v>0</v>
      </c>
      <c r="CI234" s="1283">
        <f>+U234*KeyAssumptionsPriceControl_FO!AJ$15</f>
        <v>0</v>
      </c>
      <c r="CJ234" s="386">
        <f>+V234*KeyAssumptionsPriceControl_FO!AK$15</f>
        <v>0</v>
      </c>
      <c r="CK234" s="387">
        <f>+W234*KeyAssumptionsPriceControl_FO!AL$15</f>
        <v>0</v>
      </c>
      <c r="CL234" s="1277">
        <f>+X234*KeyAssumptionsPriceControl_FO!AM$15</f>
        <v>0</v>
      </c>
      <c r="CM234" s="1277">
        <f>+Y234*KeyAssumptionsPriceControl_FO!AN$15</f>
        <v>0</v>
      </c>
      <c r="CN234" s="388">
        <f>+Z234*KeyAssumptionsPriceControl_FO!AO$15</f>
        <v>0</v>
      </c>
      <c r="CO234" s="1025"/>
      <c r="CP234" s="1282">
        <f t="shared" ca="1" si="382"/>
        <v>0</v>
      </c>
      <c r="CQ234" s="387">
        <f t="shared" ca="1" si="383"/>
        <v>0</v>
      </c>
      <c r="CR234" s="387">
        <f t="shared" ca="1" si="384"/>
        <v>0</v>
      </c>
      <c r="CS234" s="387">
        <f t="shared" ca="1" si="385"/>
        <v>0</v>
      </c>
      <c r="CT234" s="1283">
        <f t="shared" ca="1" si="386"/>
        <v>0</v>
      </c>
      <c r="CU234" s="386">
        <f t="shared" ca="1" si="387"/>
        <v>0</v>
      </c>
      <c r="CV234" s="387">
        <f t="shared" ca="1" si="388"/>
        <v>0</v>
      </c>
      <c r="CW234" s="1277">
        <f t="shared" ca="1" si="389"/>
        <v>0</v>
      </c>
      <c r="CX234" s="1277">
        <f t="shared" ca="1" si="390"/>
        <v>0</v>
      </c>
      <c r="CY234" s="388">
        <f t="shared" ca="1" si="391"/>
        <v>0</v>
      </c>
      <c r="CZ234" s="347"/>
      <c r="DA234" s="852"/>
      <c r="DB234" s="347"/>
      <c r="DC234" s="1012" t="s">
        <v>755</v>
      </c>
      <c r="DD234" s="841" t="s">
        <v>518</v>
      </c>
      <c r="DE234" s="386">
        <f>+IF($K234="ongoing",CE234,IF(RIGHT($K234,2)=RIGHT(DE$43,2),SUM($CD234:CE234),0)+IF(RIGHT(DE$43,2)&gt;RIGHT($K234,2),CE234,0))</f>
        <v>0</v>
      </c>
      <c r="DF234" s="387">
        <f>+IF($K234="ongoing",CF234,IF(RIGHT($K234,2)=RIGHT(DF$43,2),SUM($CD234:CF234),0)+IF(RIGHT(DF$43,2)&gt;RIGHT($K234,2),CF234,0))</f>
        <v>0</v>
      </c>
      <c r="DG234" s="388">
        <f>+IF($K234="ongoing",CG234,IF(RIGHT($K234,2)=RIGHT(DG$43,2),SUM($CD234:CG234),0)+IF(RIGHT(DG$43,2)&gt;RIGHT($K234,2),CG234,0))</f>
        <v>0</v>
      </c>
      <c r="DH234" s="386">
        <f>+IF($K234="ongoing",CH234,IF(RIGHT($K234,2)=RIGHT(DH$43,2),SUM($CD234:CH234),0)+IF(RIGHT(DH$43,2)&gt;RIGHT($K234,2),CH234,0))</f>
        <v>0</v>
      </c>
      <c r="DI234" s="387">
        <f>+IF($K234="ongoing",CI234,IF(RIGHT($K234,2)=RIGHT(DI$43,2),SUM($CD234:CI234),0)+IF(RIGHT(DI$43,2)&gt;RIGHT($K234,2),CI234,0))</f>
        <v>0</v>
      </c>
      <c r="DJ234" s="387">
        <f>+IF($K234="ongoing",CJ234,IF(RIGHT($K234,2)=RIGHT(DJ$43,2),SUM($CD234:CJ234),0)+IF(RIGHT(DJ$43,2)&gt;RIGHT($K234,2),CJ234,0))</f>
        <v>0</v>
      </c>
      <c r="DK234" s="387">
        <f>+IF($K234="ongoing",CK234,IF(RIGHT($K234,2)=RIGHT(DK$43,2),SUM($CD234:CK234),0)+IF(RIGHT(DK$43,2)&gt;RIGHT($K234,2),CK234,0))</f>
        <v>0</v>
      </c>
      <c r="DL234" s="388">
        <f>+IF($K234="ongoing",CN234,IF(RIGHT($K234,2)=RIGHT(DL$43,2),SUM($CD234:CN234),0)+IF(RIGHT(DL$43,2)&gt;RIGHT($K234,2),CN234,0))</f>
        <v>0</v>
      </c>
      <c r="DM234" s="841"/>
      <c r="DN234" s="386">
        <f t="shared" si="392"/>
        <v>0.5</v>
      </c>
      <c r="DO234" s="387">
        <f t="shared" si="393"/>
        <v>1</v>
      </c>
      <c r="DP234" s="388">
        <f t="shared" si="394"/>
        <v>1</v>
      </c>
      <c r="DQ234" s="386">
        <f t="shared" si="395"/>
        <v>1</v>
      </c>
      <c r="DR234" s="387">
        <f t="shared" si="396"/>
        <v>1</v>
      </c>
      <c r="DS234" s="387">
        <f t="shared" si="397"/>
        <v>1</v>
      </c>
      <c r="DT234" s="387">
        <f t="shared" si="398"/>
        <v>1</v>
      </c>
      <c r="DU234" s="388">
        <f t="shared" si="399"/>
        <v>1</v>
      </c>
      <c r="DW234" s="386">
        <f t="shared" si="400"/>
        <v>0</v>
      </c>
      <c r="DX234" s="387">
        <f t="shared" si="401"/>
        <v>0.5</v>
      </c>
      <c r="DY234" s="388">
        <f t="shared" si="402"/>
        <v>1</v>
      </c>
      <c r="DZ234" s="386">
        <f t="shared" si="403"/>
        <v>1</v>
      </c>
      <c r="EA234" s="387">
        <f t="shared" si="404"/>
        <v>1</v>
      </c>
      <c r="EB234" s="387">
        <f t="shared" si="405"/>
        <v>1</v>
      </c>
      <c r="EC234" s="387">
        <f t="shared" si="406"/>
        <v>1</v>
      </c>
      <c r="ED234" s="388">
        <f t="shared" si="407"/>
        <v>1</v>
      </c>
      <c r="EF234" s="834">
        <f>+IF(DN234=DM234,0,
IF(AND(EF$44&gt;1,DN234=$N234),1-SUM($EE234:EE234),
IF($N234&lt;=1,
IF($N234&gt;0,1/$N234,0),
IF(EF$44=1,0,VDB(1,0,$N234,INT(EF$44-1-1),MIN($N234,INT(EF$44-1-1)+1),$DC234,IF($DD234="No",1,0))/
IF(DM234&gt;=INT($N234),$N234-INT($N234),1)))*
IF(EF$44=1,0,
IF(INT(DN234)=INT(DM234),DN234-DM234,INT(DN234)-DM234))+
IF($N234&lt;=1,
IF($N234&gt;0,1/$N234,0),VDB(1,0,$N234,INT(EF$44-1),MIN($N234,INT(EF$44-1)+1),$DC234,IF($DD234="No",1,0))/
IF(DN234&gt;INT($N234),$N234-INT($N234),1))*
IF(EF$44=1,DN234,
IF(INT(DN234)=INT(DM234),0,DN234-INT(DN234)))))</f>
        <v>0</v>
      </c>
      <c r="EG234" s="835">
        <f>+IF(DO234=DN234,0,
IF(AND(EG$44&gt;1,DO234=$N234),1-SUM($EE234:EF234),
IF($N234&lt;=1,
IF($N234&gt;0,1/$N234,0),
IF(EG$44=1,0,VDB(1,0,$N234,INT(EG$44-1-1),MIN($N234,INT(EG$44-1-1)+1),$DC234,IF($DD234="No",1,0))/
IF(DN234&gt;=INT($N234),$N234-INT($N234),1)))*
IF(EG$44=1,0,
IF(INT(DO234)=INT(DN234),DO234-DN234,INT(DO234)-DN234))+
IF($N234&lt;=1,
IF($N234&gt;0,1/$N234,0),VDB(1,0,$N234,INT(EG$44-1),MIN($N234,INT(EG$44-1)+1),$DC234,IF($DD234="No",1,0))/
IF(DO234&gt;INT($N234),$N234-INT($N234),1))*
IF(EG$44=1,DO234,
IF(INT(DO234)=INT(DN234),0,DO234-INT(DO234)))))</f>
        <v>0</v>
      </c>
      <c r="EH234" s="836">
        <f>+IF(DP234=DO234,0,
IF(AND(EH$44&gt;1,DP234=$N234),1-SUM($EE234:EG234),
IF($N234&lt;=1,
IF($N234&gt;0,1/$N234,0),
IF(EH$44=1,0,VDB(1,0,$N234,INT(EH$44-1-1),MIN($N234,INT(EH$44-1-1)+1),$DC234,IF($DD234="No",1,0))/
IF(DO234&gt;=INT($N234),$N234-INT($N234),1)))*
IF(EH$44=1,0,
IF(INT(DP234)=INT(DO234),DP234-DO234,INT(DP234)-DO234))+
IF($N234&lt;=1,
IF($N234&gt;0,1/$N234,0),VDB(1,0,$N234,INT(EH$44-1),MIN($N234,INT(EH$44-1)+1),$DC234,IF($DD234="No",1,0))/
IF(DP234&gt;INT($N234),$N234-INT($N234),1))*
IF(EH$44=1,DP234,
IF(INT(DP234)=INT(DO234),0,DP234-INT(DP234)))))</f>
        <v>0</v>
      </c>
      <c r="EI234" s="834">
        <f>+IF(DQ234=DP234,0,
IF(AND(EI$44&gt;1,DQ234=$N234),1-SUM($EE234:EH234),
IF($N234&lt;=1,
IF($N234&gt;0,1/$N234,0),
IF(EI$44=1,0,VDB(1,0,$N234,INT(EI$44-1-1),MIN($N234,INT(EI$44-1-1)+1),$DC234,IF($DD234="No",1,0))/
IF(DP234&gt;=INT($N234),$N234-INT($N234),1)))*
IF(EI$44=1,0,
IF(INT(DQ234)=INT(DP234),DQ234-DP234,INT(DQ234)-DP234))+
IF($N234&lt;=1,
IF($N234&gt;0,1/$N234,0),VDB(1,0,$N234,INT(EI$44-1),MIN($N234,INT(EI$44-1)+1),$DC234,IF($DD234="No",1,0))/
IF(DQ234&gt;INT($N234),$N234-INT($N234),1))*
IF(EI$44=1,DQ234,
IF(INT(DQ234)=INT(DP234),0,DQ234-INT(DQ234)))))</f>
        <v>0</v>
      </c>
      <c r="EJ234" s="835">
        <f>+IF(DR234=DQ234,0,
IF(AND(EJ$44&gt;1,DR234=$N234),1-SUM($EE234:EI234),
IF($N234&lt;=1,
IF($N234&gt;0,1/$N234,0),
IF(EJ$44=1,0,VDB(1,0,$N234,INT(EJ$44-1-1),MIN($N234,INT(EJ$44-1-1)+1),$DC234,IF($DD234="No",1,0))/
IF(DQ234&gt;=INT($N234),$N234-INT($N234),1)))*
IF(EJ$44=1,0,
IF(INT(DR234)=INT(DQ234),DR234-DQ234,INT(DR234)-DQ234))+
IF($N234&lt;=1,
IF($N234&gt;0,1/$N234,0),VDB(1,0,$N234,INT(EJ$44-1),MIN($N234,INT(EJ$44-1)+1),$DC234,IF($DD234="No",1,0))/
IF(DR234&gt;INT($N234),$N234-INT($N234),1))*
IF(EJ$44=1,DR234,
IF(INT(DR234)=INT(DQ234),0,DR234-INT(DR234)))))</f>
        <v>0</v>
      </c>
      <c r="EK234" s="835">
        <f>+IF(DS234=DR234,0,
IF(AND(EK$44&gt;1,DS234=$N234),1-SUM($EE234:EJ234),
IF($N234&lt;=1,
IF($N234&gt;0,1/$N234,0),
IF(EK$44=1,0,VDB(1,0,$N234,INT(EK$44-1-1),MIN($N234,INT(EK$44-1-1)+1),$DC234,IF($DD234="No",1,0))/
IF(DR234&gt;=INT($N234),$N234-INT($N234),1)))*
IF(EK$44=1,0,
IF(INT(DS234)=INT(DR234),DS234-DR234,INT(DS234)-DR234))+
IF($N234&lt;=1,
IF($N234&gt;0,1/$N234,0),VDB(1,0,$N234,INT(EK$44-1),MIN($N234,INT(EK$44-1)+1),$DC234,IF($DD234="No",1,0))/
IF(DS234&gt;INT($N234),$N234-INT($N234),1))*
IF(EK$44=1,DS234,
IF(INT(DS234)=INT(DR234),0,DS234-INT(DS234)))))</f>
        <v>0</v>
      </c>
      <c r="EL234" s="835">
        <f>+IF(DT234=DS234,0,
IF(AND(EL$44&gt;1,DT234=$N234),1-SUM($EE234:EK234),
IF($N234&lt;=1,
IF($N234&gt;0,1/$N234,0),
IF(EL$44=1,0,VDB(1,0,$N234,INT(EL$44-1-1),MIN($N234,INT(EL$44-1-1)+1),$DC234,IF($DD234="No",1,0))/
IF(DS234&gt;=INT($N234),$N234-INT($N234),1)))*
IF(EL$44=1,0,
IF(INT(DT234)=INT(DS234),DT234-DS234,INT(DT234)-DS234))+
IF($N234&lt;=1,
IF($N234&gt;0,1/$N234,0),VDB(1,0,$N234,INT(EL$44-1),MIN($N234,INT(EL$44-1)+1),$DC234,IF($DD234="No",1,0))/
IF(DT234&gt;INT($N234),$N234-INT($N234),1))*
IF(EL$44=1,DT234,
IF(INT(DT234)=INT(DS234),0,DT234-INT(DT234)))))</f>
        <v>0</v>
      </c>
      <c r="EM234" s="836">
        <f>+IF(DU234=DT234,0,
IF(AND(EM$44&gt;1,DU234=$N234),1-SUM($EE234:EL234),
IF($N234&lt;=1,
IF($N234&gt;0,1/$N234,0),
IF(EM$44=1,0,VDB(1,0,$N234,INT(EM$44-1-1),MIN($N234,INT(EM$44-1-1)+1),$DC234,IF($DD234="No",1,0))/
IF(DT234&gt;=INT($N234),$N234-INT($N234),1)))*
IF(EM$44=1,0,
IF(INT(DU234)=INT(DT234),DU234-DT234,INT(DU234)-DT234))+
IF($N234&lt;=1,
IF($N234&gt;0,1/$N234,0),VDB(1,0,$N234,INT(EM$44-1),MIN($N234,INT(EM$44-1)+1),$DC234,IF($DD234="No",1,0))/
IF(DU234&gt;INT($N234),$N234-INT($N234),1))*
IF(EM$44=1,DU234,
IF(INT(DU234)=INT(DT234),0,DU234-INT(DU234)))))</f>
        <v>0</v>
      </c>
      <c r="EN234" s="833"/>
      <c r="EO234" s="834">
        <f>+IF(OR(DW234=DV234,EO$44=1),0,
IF(AND(EO$44&gt;1,DW234=$N234),1-SUM($EN234:EN234),
IF($N234&lt;=1,
IF($N234&gt;0,1/$N234,0),
IF(EO$44=2,0,VDB(1,0,$N234,INT(EO$44-2-1),MIN($N234,INT(EO$44-2-1)+1),$DC234,IF($DD234="No",1,0))/
IF(DV234&gt;=INT($N234),$N234-INT($N234),1)))*
IF(EO$44=2,0,
IF(INT(DW234)=INT(DV234),DW234-DV234,INT(DW234)-DV234))+
IF($N234&lt;=1,
IF($N234&gt;0,1/$N234,0),VDB(1,0,$N234,INT(EO$44-2),MIN($N234,INT(EO$44-2)+1),$DC234,IF($DD234="No",1,0))/
IF(DW234&gt;INT($N234),$N234-INT($N234),1))*
IF(EO$44=2,DW234,
IF(INT(DW234)=INT(DV234),0,DW234-INT(DW234)))))</f>
        <v>0</v>
      </c>
      <c r="EP234" s="835">
        <f>+IF(OR(DX234=DW234,EP$44=1),0,
IF(AND(EP$44&gt;1,DX234=$N234),1-SUM($EN234:EO234),
IF($N234&lt;=1,
IF($N234&gt;0,1/$N234,0),
IF(EP$44=2,0,VDB(1,0,$N234,INT(EP$44-2-1),MIN($N234,INT(EP$44-2-1)+1),$DC234,IF($DD234="No",1,0))/
IF(DW234&gt;=INT($N234),$N234-INT($N234),1)))*
IF(EP$44=2,0,
IF(INT(DX234)=INT(DW234),DX234-DW234,INT(DX234)-DW234))+
IF($N234&lt;=1,
IF($N234&gt;0,1/$N234,0),VDB(1,0,$N234,INT(EP$44-2),MIN($N234,INT(EP$44-2)+1),$DC234,IF($DD234="No",1,0))/
IF(DX234&gt;INT($N234),$N234-INT($N234),1))*
IF(EP$44=2,DX234,
IF(INT(DX234)=INT(DW234),0,DX234-INT(DX234)))))</f>
        <v>0</v>
      </c>
      <c r="EQ234" s="836">
        <f>+IF(OR(DY234=DX234,EQ$44=1),0,
IF(AND(EQ$44&gt;1,DY234=$N234),1-SUM($EN234:EP234),
IF($N234&lt;=1,
IF($N234&gt;0,1/$N234,0),
IF(EQ$44=2,0,VDB(1,0,$N234,INT(EQ$44-2-1),MIN($N234,INT(EQ$44-2-1)+1),$DC234,IF($DD234="No",1,0))/
IF(DX234&gt;=INT($N234),$N234-INT($N234),1)))*
IF(EQ$44=2,0,
IF(INT(DY234)=INT(DX234),DY234-DX234,INT(DY234)-DX234))+
IF($N234&lt;=1,
IF($N234&gt;0,1/$N234,0),VDB(1,0,$N234,INT(EQ$44-2),MIN($N234,INT(EQ$44-2)+1),$DC234,IF($DD234="No",1,0))/
IF(DY234&gt;INT($N234),$N234-INT($N234),1))*
IF(EQ$44=2,DY234,
IF(INT(DY234)=INT(DX234),0,DY234-INT(DY234)))))</f>
        <v>0</v>
      </c>
      <c r="ER234" s="834">
        <f>+IF(OR(DZ234=DY234,ER$44=1),0,
IF(AND(ER$44&gt;1,DZ234=$N234),1-SUM($EN234:EQ234),
IF($N234&lt;=1,
IF($N234&gt;0,1/$N234,0),
IF(ER$44=2,0,VDB(1,0,$N234,INT(ER$44-2-1),MIN($N234,INT(ER$44-2-1)+1),$DC234,IF($DD234="No",1,0))/
IF(DY234&gt;=INT($N234),$N234-INT($N234),1)))*
IF(ER$44=2,0,
IF(INT(DZ234)=INT(DY234),DZ234-DY234,INT(DZ234)-DY234))+
IF($N234&lt;=1,
IF($N234&gt;0,1/$N234,0),VDB(1,0,$N234,INT(ER$44-2),MIN($N234,INT(ER$44-2)+1),$DC234,IF($DD234="No",1,0))/
IF(DZ234&gt;INT($N234),$N234-INT($N234),1))*
IF(ER$44=2,DZ234,
IF(INT(DZ234)=INT(DY234),0,DZ234-INT(DZ234)))))</f>
        <v>0</v>
      </c>
      <c r="ES234" s="835">
        <f>+IF(OR(EA234=DZ234,ES$44=1),0,
IF(AND(ES$44&gt;1,EA234=$N234),1-SUM($EN234:ER234),
IF($N234&lt;=1,
IF($N234&gt;0,1/$N234,0),
IF(ES$44=2,0,VDB(1,0,$N234,INT(ES$44-2-1),MIN($N234,INT(ES$44-2-1)+1),$DC234,IF($DD234="No",1,0))/
IF(DZ234&gt;=INT($N234),$N234-INT($N234),1)))*
IF(ES$44=2,0,
IF(INT(EA234)=INT(DZ234),EA234-DZ234,INT(EA234)-DZ234))+
IF($N234&lt;=1,
IF($N234&gt;0,1/$N234,0),VDB(1,0,$N234,INT(ES$44-2),MIN($N234,INT(ES$44-2)+1),$DC234,IF($DD234="No",1,0))/
IF(EA234&gt;INT($N234),$N234-INT($N234),1))*
IF(ES$44=2,EA234,
IF(INT(EA234)=INT(DZ234),0,EA234-INT(EA234)))))</f>
        <v>0</v>
      </c>
      <c r="ET234" s="835">
        <f>+IF(OR(EB234=EA234,ET$44=1),0,
IF(AND(ET$44&gt;1,EB234=$N234),1-SUM($EN234:ES234),
IF($N234&lt;=1,
IF($N234&gt;0,1/$N234,0),
IF(ET$44=2,0,VDB(1,0,$N234,INT(ET$44-2-1),MIN($N234,INT(ET$44-2-1)+1),$DC234,IF($DD234="No",1,0))/
IF(EA234&gt;=INT($N234),$N234-INT($N234),1)))*
IF(ET$44=2,0,
IF(INT(EB234)=INT(EA234),EB234-EA234,INT(EB234)-EA234))+
IF($N234&lt;=1,
IF($N234&gt;0,1/$N234,0),VDB(1,0,$N234,INT(ET$44-2),MIN($N234,INT(ET$44-2)+1),$DC234,IF($DD234="No",1,0))/
IF(EB234&gt;INT($N234),$N234-INT($N234),1))*
IF(ET$44=2,EB234,
IF(INT(EB234)=INT(EA234),0,EB234-INT(EB234)))))</f>
        <v>0</v>
      </c>
      <c r="EU234" s="835">
        <f>+IF(OR(EC234=EB234,EU$44=1),0,
IF(AND(EU$44&gt;1,EC234=$N234),1-SUM($EN234:ET234),
IF($N234&lt;=1,
IF($N234&gt;0,1/$N234,0),
IF(EU$44=2,0,VDB(1,0,$N234,INT(EU$44-2-1),MIN($N234,INT(EU$44-2-1)+1),$DC234,IF($DD234="No",1,0))/
IF(EB234&gt;=INT($N234),$N234-INT($N234),1)))*
IF(EU$44=2,0,
IF(INT(EC234)=INT(EB234),EC234-EB234,INT(EC234)-EB234))+
IF($N234&lt;=1,
IF($N234&gt;0,1/$N234,0),VDB(1,0,$N234,INT(EU$44-2),MIN($N234,INT(EU$44-2)+1),$DC234,IF($DD234="No",1,0))/
IF(EC234&gt;INT($N234),$N234-INT($N234),1))*
IF(EU$44=2,EC234,
IF(INT(EC234)=INT(EB234),0,EC234-INT(EC234)))))</f>
        <v>0</v>
      </c>
      <c r="EV234" s="836">
        <f>+IF(OR(ED234=EC234,EV$44=1),0,
IF(AND(EV$44&gt;1,ED234=$N234),1-SUM($EN234:EU234),
IF($N234&lt;=1,
IF($N234&gt;0,1/$N234,0),
IF(EV$44=2,0,VDB(1,0,$N234,INT(EV$44-2-1),MIN($N234,INT(EV$44-2-1)+1),$DC234,IF($DD234="No",1,0))/
IF(EC234&gt;=INT($N234),$N234-INT($N234),1)))*
IF(EV$44=2,0,
IF(INT(ED234)=INT(EC234),ED234-EC234,INT(ED234)-EC234))+
IF($N234&lt;=1,
IF($N234&gt;0,1/$N234,0),VDB(1,0,$N234,INT(EV$44-2),MIN($N234,INT(EV$44-2)+1),$DC234,IF($DD234="No",1,0))/
IF(ED234&gt;INT($N234),$N234-INT($N234),1))*
IF(EV$44=2,ED234,
IF(INT(ED234)=INT(EC234),0,ED234-INT(ED234)))))</f>
        <v>0</v>
      </c>
      <c r="EW234" s="833"/>
      <c r="EX234" s="834">
        <f t="shared" ca="1" si="361"/>
        <v>0</v>
      </c>
      <c r="EY234" s="835">
        <f t="shared" ca="1" si="361"/>
        <v>0</v>
      </c>
      <c r="EZ234" s="836">
        <f t="shared" ca="1" si="361"/>
        <v>0</v>
      </c>
      <c r="FA234" s="834">
        <f t="shared" ca="1" si="361"/>
        <v>0</v>
      </c>
      <c r="FB234" s="835">
        <f t="shared" ca="1" si="361"/>
        <v>0</v>
      </c>
      <c r="FC234" s="835">
        <f t="shared" ca="1" si="361"/>
        <v>0</v>
      </c>
      <c r="FD234" s="835">
        <f t="shared" ca="1" si="361"/>
        <v>0</v>
      </c>
      <c r="FE234" s="836">
        <f t="shared" ca="1" si="361"/>
        <v>0</v>
      </c>
      <c r="FG234" s="386">
        <f t="shared" ca="1" si="408"/>
        <v>0</v>
      </c>
      <c r="FH234" s="387">
        <f t="shared" ca="1" si="409"/>
        <v>0</v>
      </c>
      <c r="FI234" s="388">
        <f t="shared" ca="1" si="410"/>
        <v>0</v>
      </c>
      <c r="FJ234" s="386">
        <f t="shared" ca="1" si="411"/>
        <v>0</v>
      </c>
      <c r="FK234" s="387">
        <f t="shared" ca="1" si="412"/>
        <v>0</v>
      </c>
      <c r="FL234" s="387">
        <f t="shared" ca="1" si="413"/>
        <v>0</v>
      </c>
      <c r="FM234" s="387">
        <f t="shared" ca="1" si="414"/>
        <v>0</v>
      </c>
      <c r="FN234" s="388">
        <f t="shared" ca="1" si="415"/>
        <v>0</v>
      </c>
      <c r="FR234" s="116"/>
    </row>
    <row r="235" spans="2:174">
      <c r="B235" s="1410">
        <f t="shared" si="359"/>
        <v>189</v>
      </c>
      <c r="C235" s="400"/>
      <c r="D235" s="410"/>
      <c r="E235" s="402"/>
      <c r="F235" s="402"/>
      <c r="G235" s="400"/>
      <c r="H235" s="2088"/>
      <c r="I235" s="2089"/>
      <c r="J235" s="411"/>
      <c r="K235" s="403"/>
      <c r="L235" s="403"/>
      <c r="M235" s="403"/>
      <c r="N235" s="403"/>
      <c r="O235" s="347"/>
      <c r="P235" s="347"/>
      <c r="Q235" s="1021"/>
      <c r="R235" s="1022"/>
      <c r="S235" s="1022"/>
      <c r="T235" s="1022"/>
      <c r="U235" s="1023"/>
      <c r="V235" s="1021"/>
      <c r="W235" s="1022"/>
      <c r="X235" s="1022"/>
      <c r="Y235" s="1022"/>
      <c r="Z235" s="1023"/>
      <c r="AA235" s="1024"/>
      <c r="AB235" s="1021"/>
      <c r="AC235" s="1022"/>
      <c r="AD235" s="1022"/>
      <c r="AE235" s="1022"/>
      <c r="AF235" s="1023"/>
      <c r="AG235" s="1021"/>
      <c r="AH235" s="1022"/>
      <c r="AI235" s="1022"/>
      <c r="AJ235" s="1022"/>
      <c r="AK235" s="1023"/>
      <c r="AL235" s="1024"/>
      <c r="AM235" s="1021"/>
      <c r="AN235" s="1022"/>
      <c r="AO235" s="1022"/>
      <c r="AP235" s="1022"/>
      <c r="AQ235" s="1023"/>
      <c r="AR235" s="1021"/>
      <c r="AS235" s="1022"/>
      <c r="AT235" s="1022"/>
      <c r="AU235" s="1022"/>
      <c r="AV235" s="1023"/>
      <c r="AW235" s="1025"/>
      <c r="AX235" s="1282">
        <f t="shared" si="362"/>
        <v>0</v>
      </c>
      <c r="AY235" s="387">
        <f t="shared" si="363"/>
        <v>0</v>
      </c>
      <c r="AZ235" s="387">
        <f t="shared" si="364"/>
        <v>0</v>
      </c>
      <c r="BA235" s="387">
        <f t="shared" si="365"/>
        <v>0</v>
      </c>
      <c r="BB235" s="1283">
        <f t="shared" si="366"/>
        <v>0</v>
      </c>
      <c r="BC235" s="386">
        <f t="shared" si="367"/>
        <v>0</v>
      </c>
      <c r="BD235" s="387">
        <f t="shared" si="368"/>
        <v>0</v>
      </c>
      <c r="BE235" s="1277">
        <f t="shared" si="369"/>
        <v>0</v>
      </c>
      <c r="BF235" s="1277">
        <f t="shared" si="370"/>
        <v>0</v>
      </c>
      <c r="BG235" s="388">
        <f t="shared" si="371"/>
        <v>0</v>
      </c>
      <c r="BH235" s="1025"/>
      <c r="BI235" s="1282">
        <f t="shared" ca="1" si="372"/>
        <v>0</v>
      </c>
      <c r="BJ235" s="387">
        <f t="shared" ca="1" si="373"/>
        <v>0</v>
      </c>
      <c r="BK235" s="387">
        <f t="shared" ca="1" si="374"/>
        <v>0</v>
      </c>
      <c r="BL235" s="387">
        <f t="shared" ca="1" si="375"/>
        <v>0</v>
      </c>
      <c r="BM235" s="1283">
        <f t="shared" ca="1" si="376"/>
        <v>0</v>
      </c>
      <c r="BN235" s="386">
        <f t="shared" ca="1" si="377"/>
        <v>0</v>
      </c>
      <c r="BO235" s="387">
        <f t="shared" ca="1" si="378"/>
        <v>0</v>
      </c>
      <c r="BP235" s="1277">
        <f t="shared" ca="1" si="379"/>
        <v>0</v>
      </c>
      <c r="BQ235" s="1277">
        <f t="shared" ca="1" si="380"/>
        <v>0</v>
      </c>
      <c r="BR235" s="388">
        <f t="shared" ca="1" si="381"/>
        <v>0</v>
      </c>
      <c r="BS235" s="1025"/>
      <c r="BT235" s="1282">
        <f>+IF($K235="Ongoing",AX235,IF(RIGHT($K235,2)=RIGHT(BT$43,2),SUM($AX235:AX235),0)+IF(RIGHT(BT$43,2)&gt;RIGHT($K235,2),AX235,0))</f>
        <v>0</v>
      </c>
      <c r="BU235" s="387">
        <f>+IF($K235="Ongoing",AY235,IF(RIGHT($K235,2)=RIGHT(BU$43,2),SUM($AX235:AY235),0)+IF(RIGHT(BU$43,2)&gt;RIGHT($K235,2),AY235,0))</f>
        <v>0</v>
      </c>
      <c r="BV235" s="387">
        <f>+IF($K235="Ongoing",AZ235,IF(RIGHT($K235,2)=RIGHT(BV$43,2),SUM($AX235:AZ235),0)+IF(RIGHT(BV$43,2)&gt;RIGHT($K235,2),AZ235,0))</f>
        <v>0</v>
      </c>
      <c r="BW235" s="387">
        <f>+IF($K235="Ongoing",BA235,IF(RIGHT($K235,2)=RIGHT(BW$43,2),SUM($AX235:BA235),0)+IF(RIGHT(BW$43,2)&gt;RIGHT($K235,2),BA235,0))</f>
        <v>0</v>
      </c>
      <c r="BX235" s="1283">
        <f>+IF($K235="Ongoing",BB235,IF(RIGHT($K235,2)=RIGHT(BX$43,2),SUM($AX235:BB235),0)+IF(RIGHT(BX$43,2)&gt;RIGHT($K235,2),BB235,0))</f>
        <v>0</v>
      </c>
      <c r="BY235" s="386">
        <f>+IF($K235="Ongoing",BC235,IF(RIGHT($K235,2)=RIGHT(BY$43,2),SUM($AX235:BC235),0)+IF(RIGHT(BY$43,2)&gt;RIGHT($K235,2),BC235,0))</f>
        <v>0</v>
      </c>
      <c r="BZ235" s="387">
        <f>+IF($K235="Ongoing",BD235,IF(RIGHT($K235,2)=RIGHT(BZ$43,2),SUM($AX235:BD235),0)+IF(RIGHT(BZ$43,2)&gt;RIGHT($K235,2),BD235,0))</f>
        <v>0</v>
      </c>
      <c r="CA235" s="1277">
        <f>+IF($K235="Ongoing",BE235,IF(RIGHT($K235,2)=RIGHT(CA$43,2),SUM($AX235:BE235),0)+IF(RIGHT(CA$43,2)&gt;RIGHT($K235,2),BE235,0))</f>
        <v>0</v>
      </c>
      <c r="CB235" s="1277">
        <f>+IF($K235="Ongoing",BF235,IF(RIGHT($K235,2)=RIGHT(CB$43,2),SUM($AX235:BF235),0)+IF(RIGHT(CB$43,2)&gt;RIGHT($K235,2),BF235,0))</f>
        <v>0</v>
      </c>
      <c r="CC235" s="388">
        <f>+IF($K235="Ongoing",BG235,IF(RIGHT($K235,2)=RIGHT(CC$43,2),SUM($AX235:BG235),0)+IF(RIGHT(CC$43,2)&gt;RIGHT($K235,2),BG235,0))</f>
        <v>0</v>
      </c>
      <c r="CD235" s="1025"/>
      <c r="CE235" s="1282">
        <f>+Q235*KeyAssumptionsPriceControl_FO!AF$15</f>
        <v>0</v>
      </c>
      <c r="CF235" s="387">
        <f>+R235*KeyAssumptionsPriceControl_FO!AG$15</f>
        <v>0</v>
      </c>
      <c r="CG235" s="387">
        <f>+S235*KeyAssumptionsPriceControl_FO!AH$15</f>
        <v>0</v>
      </c>
      <c r="CH235" s="387">
        <f>+T235*KeyAssumptionsPriceControl_FO!AI$15</f>
        <v>0</v>
      </c>
      <c r="CI235" s="1283">
        <f>+U235*KeyAssumptionsPriceControl_FO!AJ$15</f>
        <v>0</v>
      </c>
      <c r="CJ235" s="386">
        <f>+V235*KeyAssumptionsPriceControl_FO!AK$15</f>
        <v>0</v>
      </c>
      <c r="CK235" s="387">
        <f>+W235*KeyAssumptionsPriceControl_FO!AL$15</f>
        <v>0</v>
      </c>
      <c r="CL235" s="1277">
        <f>+X235*KeyAssumptionsPriceControl_FO!AM$15</f>
        <v>0</v>
      </c>
      <c r="CM235" s="1277">
        <f>+Y235*KeyAssumptionsPriceControl_FO!AN$15</f>
        <v>0</v>
      </c>
      <c r="CN235" s="388">
        <f>+Z235*KeyAssumptionsPriceControl_FO!AO$15</f>
        <v>0</v>
      </c>
      <c r="CO235" s="1025"/>
      <c r="CP235" s="1282">
        <f t="shared" ca="1" si="382"/>
        <v>0</v>
      </c>
      <c r="CQ235" s="387">
        <f t="shared" ca="1" si="383"/>
        <v>0</v>
      </c>
      <c r="CR235" s="387">
        <f t="shared" ca="1" si="384"/>
        <v>0</v>
      </c>
      <c r="CS235" s="387">
        <f t="shared" ca="1" si="385"/>
        <v>0</v>
      </c>
      <c r="CT235" s="1283">
        <f t="shared" ca="1" si="386"/>
        <v>0</v>
      </c>
      <c r="CU235" s="386">
        <f t="shared" ca="1" si="387"/>
        <v>0</v>
      </c>
      <c r="CV235" s="387">
        <f t="shared" ca="1" si="388"/>
        <v>0</v>
      </c>
      <c r="CW235" s="1277">
        <f t="shared" ca="1" si="389"/>
        <v>0</v>
      </c>
      <c r="CX235" s="1277">
        <f t="shared" ca="1" si="390"/>
        <v>0</v>
      </c>
      <c r="CY235" s="388">
        <f t="shared" ca="1" si="391"/>
        <v>0</v>
      </c>
      <c r="CZ235" s="347"/>
      <c r="DA235" s="852"/>
      <c r="DB235" s="347"/>
      <c r="DC235" s="1012" t="s">
        <v>756</v>
      </c>
      <c r="DD235" s="841" t="s">
        <v>518</v>
      </c>
      <c r="DE235" s="386">
        <f>+IF($K235="ongoing",CE235,IF(RIGHT($K235,2)=RIGHT(DE$43,2),SUM($CD235:CE235),0)+IF(RIGHT(DE$43,2)&gt;RIGHT($K235,2),CE235,0))</f>
        <v>0</v>
      </c>
      <c r="DF235" s="387">
        <f>+IF($K235="ongoing",CF235,IF(RIGHT($K235,2)=RIGHT(DF$43,2),SUM($CD235:CF235),0)+IF(RIGHT(DF$43,2)&gt;RIGHT($K235,2),CF235,0))</f>
        <v>0</v>
      </c>
      <c r="DG235" s="388">
        <f>+IF($K235="ongoing",CG235,IF(RIGHT($K235,2)=RIGHT(DG$43,2),SUM($CD235:CG235),0)+IF(RIGHT(DG$43,2)&gt;RIGHT($K235,2),CG235,0))</f>
        <v>0</v>
      </c>
      <c r="DH235" s="386">
        <f>+IF($K235="ongoing",CH235,IF(RIGHT($K235,2)=RIGHT(DH$43,2),SUM($CD235:CH235),0)+IF(RIGHT(DH$43,2)&gt;RIGHT($K235,2),CH235,0))</f>
        <v>0</v>
      </c>
      <c r="DI235" s="387">
        <f>+IF($K235="ongoing",CI235,IF(RIGHT($K235,2)=RIGHT(DI$43,2),SUM($CD235:CI235),0)+IF(RIGHT(DI$43,2)&gt;RIGHT($K235,2),CI235,0))</f>
        <v>0</v>
      </c>
      <c r="DJ235" s="387">
        <f>+IF($K235="ongoing",CJ235,IF(RIGHT($K235,2)=RIGHT(DJ$43,2),SUM($CD235:CJ235),0)+IF(RIGHT(DJ$43,2)&gt;RIGHT($K235,2),CJ235,0))</f>
        <v>0</v>
      </c>
      <c r="DK235" s="387">
        <f>+IF($K235="ongoing",CK235,IF(RIGHT($K235,2)=RIGHT(DK$43,2),SUM($CD235:CK235),0)+IF(RIGHT(DK$43,2)&gt;RIGHT($K235,2),CK235,0))</f>
        <v>0</v>
      </c>
      <c r="DL235" s="388">
        <f>+IF($K235="ongoing",CN235,IF(RIGHT($K235,2)=RIGHT(DL$43,2),SUM($CD235:CN235),0)+IF(RIGHT(DL$43,2)&gt;RIGHT($K235,2),CN235,0))</f>
        <v>0</v>
      </c>
      <c r="DM235" s="841"/>
      <c r="DN235" s="386">
        <f t="shared" si="392"/>
        <v>0.5</v>
      </c>
      <c r="DO235" s="387">
        <f t="shared" si="393"/>
        <v>1</v>
      </c>
      <c r="DP235" s="388">
        <f t="shared" si="394"/>
        <v>1</v>
      </c>
      <c r="DQ235" s="386">
        <f t="shared" si="395"/>
        <v>1</v>
      </c>
      <c r="DR235" s="387">
        <f t="shared" si="396"/>
        <v>1</v>
      </c>
      <c r="DS235" s="387">
        <f t="shared" si="397"/>
        <v>1</v>
      </c>
      <c r="DT235" s="387">
        <f t="shared" si="398"/>
        <v>1</v>
      </c>
      <c r="DU235" s="388">
        <f t="shared" si="399"/>
        <v>1</v>
      </c>
      <c r="DW235" s="386">
        <f t="shared" si="400"/>
        <v>0</v>
      </c>
      <c r="DX235" s="387">
        <f t="shared" si="401"/>
        <v>0.5</v>
      </c>
      <c r="DY235" s="388">
        <f t="shared" si="402"/>
        <v>1</v>
      </c>
      <c r="DZ235" s="386">
        <f t="shared" si="403"/>
        <v>1</v>
      </c>
      <c r="EA235" s="387">
        <f t="shared" si="404"/>
        <v>1</v>
      </c>
      <c r="EB235" s="387">
        <f t="shared" si="405"/>
        <v>1</v>
      </c>
      <c r="EC235" s="387">
        <f t="shared" si="406"/>
        <v>1</v>
      </c>
      <c r="ED235" s="388">
        <f t="shared" si="407"/>
        <v>1</v>
      </c>
      <c r="EF235" s="834">
        <f>+IF(DN235=DM235,0,
IF(AND(EF$44&gt;1,DN235=$N235),1-SUM($EE235:EE235),
IF($N235&lt;=1,
IF($N235&gt;0,1/$N235,0),
IF(EF$44=1,0,VDB(1,0,$N235,INT(EF$44-1-1),MIN($N235,INT(EF$44-1-1)+1),$DC235,IF($DD235="No",1,0))/
IF(DM235&gt;=INT($N235),$N235-INT($N235),1)))*
IF(EF$44=1,0,
IF(INT(DN235)=INT(DM235),DN235-DM235,INT(DN235)-DM235))+
IF($N235&lt;=1,
IF($N235&gt;0,1/$N235,0),VDB(1,0,$N235,INT(EF$44-1),MIN($N235,INT(EF$44-1)+1),$DC235,IF($DD235="No",1,0))/
IF(DN235&gt;INT($N235),$N235-INT($N235),1))*
IF(EF$44=1,DN235,
IF(INT(DN235)=INT(DM235),0,DN235-INT(DN235)))))</f>
        <v>0</v>
      </c>
      <c r="EG235" s="835">
        <f>+IF(DO235=DN235,0,
IF(AND(EG$44&gt;1,DO235=$N235),1-SUM($EE235:EF235),
IF($N235&lt;=1,
IF($N235&gt;0,1/$N235,0),
IF(EG$44=1,0,VDB(1,0,$N235,INT(EG$44-1-1),MIN($N235,INT(EG$44-1-1)+1),$DC235,IF($DD235="No",1,0))/
IF(DN235&gt;=INT($N235),$N235-INT($N235),1)))*
IF(EG$44=1,0,
IF(INT(DO235)=INT(DN235),DO235-DN235,INT(DO235)-DN235))+
IF($N235&lt;=1,
IF($N235&gt;0,1/$N235,0),VDB(1,0,$N235,INT(EG$44-1),MIN($N235,INT(EG$44-1)+1),$DC235,IF($DD235="No",1,0))/
IF(DO235&gt;INT($N235),$N235-INT($N235),1))*
IF(EG$44=1,DO235,
IF(INT(DO235)=INT(DN235),0,DO235-INT(DO235)))))</f>
        <v>0</v>
      </c>
      <c r="EH235" s="836">
        <f>+IF(DP235=DO235,0,
IF(AND(EH$44&gt;1,DP235=$N235),1-SUM($EE235:EG235),
IF($N235&lt;=1,
IF($N235&gt;0,1/$N235,0),
IF(EH$44=1,0,VDB(1,0,$N235,INT(EH$44-1-1),MIN($N235,INT(EH$44-1-1)+1),$DC235,IF($DD235="No",1,0))/
IF(DO235&gt;=INT($N235),$N235-INT($N235),1)))*
IF(EH$44=1,0,
IF(INT(DP235)=INT(DO235),DP235-DO235,INT(DP235)-DO235))+
IF($N235&lt;=1,
IF($N235&gt;0,1/$N235,0),VDB(1,0,$N235,INT(EH$44-1),MIN($N235,INT(EH$44-1)+1),$DC235,IF($DD235="No",1,0))/
IF(DP235&gt;INT($N235),$N235-INT($N235),1))*
IF(EH$44=1,DP235,
IF(INT(DP235)=INT(DO235),0,DP235-INT(DP235)))))</f>
        <v>0</v>
      </c>
      <c r="EI235" s="834">
        <f>+IF(DQ235=DP235,0,
IF(AND(EI$44&gt;1,DQ235=$N235),1-SUM($EE235:EH235),
IF($N235&lt;=1,
IF($N235&gt;0,1/$N235,0),
IF(EI$44=1,0,VDB(1,0,$N235,INT(EI$44-1-1),MIN($N235,INT(EI$44-1-1)+1),$DC235,IF($DD235="No",1,0))/
IF(DP235&gt;=INT($N235),$N235-INT($N235),1)))*
IF(EI$44=1,0,
IF(INT(DQ235)=INT(DP235),DQ235-DP235,INT(DQ235)-DP235))+
IF($N235&lt;=1,
IF($N235&gt;0,1/$N235,0),VDB(1,0,$N235,INT(EI$44-1),MIN($N235,INT(EI$44-1)+1),$DC235,IF($DD235="No",1,0))/
IF(DQ235&gt;INT($N235),$N235-INT($N235),1))*
IF(EI$44=1,DQ235,
IF(INT(DQ235)=INT(DP235),0,DQ235-INT(DQ235)))))</f>
        <v>0</v>
      </c>
      <c r="EJ235" s="835">
        <f>+IF(DR235=DQ235,0,
IF(AND(EJ$44&gt;1,DR235=$N235),1-SUM($EE235:EI235),
IF($N235&lt;=1,
IF($N235&gt;0,1/$N235,0),
IF(EJ$44=1,0,VDB(1,0,$N235,INT(EJ$44-1-1),MIN($N235,INT(EJ$44-1-1)+1),$DC235,IF($DD235="No",1,0))/
IF(DQ235&gt;=INT($N235),$N235-INT($N235),1)))*
IF(EJ$44=1,0,
IF(INT(DR235)=INT(DQ235),DR235-DQ235,INT(DR235)-DQ235))+
IF($N235&lt;=1,
IF($N235&gt;0,1/$N235,0),VDB(1,0,$N235,INT(EJ$44-1),MIN($N235,INT(EJ$44-1)+1),$DC235,IF($DD235="No",1,0))/
IF(DR235&gt;INT($N235),$N235-INT($N235),1))*
IF(EJ$44=1,DR235,
IF(INT(DR235)=INT(DQ235),0,DR235-INT(DR235)))))</f>
        <v>0</v>
      </c>
      <c r="EK235" s="835">
        <f>+IF(DS235=DR235,0,
IF(AND(EK$44&gt;1,DS235=$N235),1-SUM($EE235:EJ235),
IF($N235&lt;=1,
IF($N235&gt;0,1/$N235,0),
IF(EK$44=1,0,VDB(1,0,$N235,INT(EK$44-1-1),MIN($N235,INT(EK$44-1-1)+1),$DC235,IF($DD235="No",1,0))/
IF(DR235&gt;=INT($N235),$N235-INT($N235),1)))*
IF(EK$44=1,0,
IF(INT(DS235)=INT(DR235),DS235-DR235,INT(DS235)-DR235))+
IF($N235&lt;=1,
IF($N235&gt;0,1/$N235,0),VDB(1,0,$N235,INT(EK$44-1),MIN($N235,INT(EK$44-1)+1),$DC235,IF($DD235="No",1,0))/
IF(DS235&gt;INT($N235),$N235-INT($N235),1))*
IF(EK$44=1,DS235,
IF(INT(DS235)=INT(DR235),0,DS235-INT(DS235)))))</f>
        <v>0</v>
      </c>
      <c r="EL235" s="835">
        <f>+IF(DT235=DS235,0,
IF(AND(EL$44&gt;1,DT235=$N235),1-SUM($EE235:EK235),
IF($N235&lt;=1,
IF($N235&gt;0,1/$N235,0),
IF(EL$44=1,0,VDB(1,0,$N235,INT(EL$44-1-1),MIN($N235,INT(EL$44-1-1)+1),$DC235,IF($DD235="No",1,0))/
IF(DS235&gt;=INT($N235),$N235-INT($N235),1)))*
IF(EL$44=1,0,
IF(INT(DT235)=INT(DS235),DT235-DS235,INT(DT235)-DS235))+
IF($N235&lt;=1,
IF($N235&gt;0,1/$N235,0),VDB(1,0,$N235,INT(EL$44-1),MIN($N235,INT(EL$44-1)+1),$DC235,IF($DD235="No",1,0))/
IF(DT235&gt;INT($N235),$N235-INT($N235),1))*
IF(EL$44=1,DT235,
IF(INT(DT235)=INT(DS235),0,DT235-INT(DT235)))))</f>
        <v>0</v>
      </c>
      <c r="EM235" s="836">
        <f>+IF(DU235=DT235,0,
IF(AND(EM$44&gt;1,DU235=$N235),1-SUM($EE235:EL235),
IF($N235&lt;=1,
IF($N235&gt;0,1/$N235,0),
IF(EM$44=1,0,VDB(1,0,$N235,INT(EM$44-1-1),MIN($N235,INT(EM$44-1-1)+1),$DC235,IF($DD235="No",1,0))/
IF(DT235&gt;=INT($N235),$N235-INT($N235),1)))*
IF(EM$44=1,0,
IF(INT(DU235)=INT(DT235),DU235-DT235,INT(DU235)-DT235))+
IF($N235&lt;=1,
IF($N235&gt;0,1/$N235,0),VDB(1,0,$N235,INT(EM$44-1),MIN($N235,INT(EM$44-1)+1),$DC235,IF($DD235="No",1,0))/
IF(DU235&gt;INT($N235),$N235-INT($N235),1))*
IF(EM$44=1,DU235,
IF(INT(DU235)=INT(DT235),0,DU235-INT(DU235)))))</f>
        <v>0</v>
      </c>
      <c r="EN235" s="833"/>
      <c r="EO235" s="834">
        <f>+IF(OR(DW235=DV235,EO$44=1),0,
IF(AND(EO$44&gt;1,DW235=$N235),1-SUM($EN235:EN235),
IF($N235&lt;=1,
IF($N235&gt;0,1/$N235,0),
IF(EO$44=2,0,VDB(1,0,$N235,INT(EO$44-2-1),MIN($N235,INT(EO$44-2-1)+1),$DC235,IF($DD235="No",1,0))/
IF(DV235&gt;=INT($N235),$N235-INT($N235),1)))*
IF(EO$44=2,0,
IF(INT(DW235)=INT(DV235),DW235-DV235,INT(DW235)-DV235))+
IF($N235&lt;=1,
IF($N235&gt;0,1/$N235,0),VDB(1,0,$N235,INT(EO$44-2),MIN($N235,INT(EO$44-2)+1),$DC235,IF($DD235="No",1,0))/
IF(DW235&gt;INT($N235),$N235-INT($N235),1))*
IF(EO$44=2,DW235,
IF(INT(DW235)=INT(DV235),0,DW235-INT(DW235)))))</f>
        <v>0</v>
      </c>
      <c r="EP235" s="835">
        <f>+IF(OR(DX235=DW235,EP$44=1),0,
IF(AND(EP$44&gt;1,DX235=$N235),1-SUM($EN235:EO235),
IF($N235&lt;=1,
IF($N235&gt;0,1/$N235,0),
IF(EP$44=2,0,VDB(1,0,$N235,INT(EP$44-2-1),MIN($N235,INT(EP$44-2-1)+1),$DC235,IF($DD235="No",1,0))/
IF(DW235&gt;=INT($N235),$N235-INT($N235),1)))*
IF(EP$44=2,0,
IF(INT(DX235)=INT(DW235),DX235-DW235,INT(DX235)-DW235))+
IF($N235&lt;=1,
IF($N235&gt;0,1/$N235,0),VDB(1,0,$N235,INT(EP$44-2),MIN($N235,INT(EP$44-2)+1),$DC235,IF($DD235="No",1,0))/
IF(DX235&gt;INT($N235),$N235-INT($N235),1))*
IF(EP$44=2,DX235,
IF(INT(DX235)=INT(DW235),0,DX235-INT(DX235)))))</f>
        <v>0</v>
      </c>
      <c r="EQ235" s="836">
        <f>+IF(OR(DY235=DX235,EQ$44=1),0,
IF(AND(EQ$44&gt;1,DY235=$N235),1-SUM($EN235:EP235),
IF($N235&lt;=1,
IF($N235&gt;0,1/$N235,0),
IF(EQ$44=2,0,VDB(1,0,$N235,INT(EQ$44-2-1),MIN($N235,INT(EQ$44-2-1)+1),$DC235,IF($DD235="No",1,0))/
IF(DX235&gt;=INT($N235),$N235-INT($N235),1)))*
IF(EQ$44=2,0,
IF(INT(DY235)=INT(DX235),DY235-DX235,INT(DY235)-DX235))+
IF($N235&lt;=1,
IF($N235&gt;0,1/$N235,0),VDB(1,0,$N235,INT(EQ$44-2),MIN($N235,INT(EQ$44-2)+1),$DC235,IF($DD235="No",1,0))/
IF(DY235&gt;INT($N235),$N235-INT($N235),1))*
IF(EQ$44=2,DY235,
IF(INT(DY235)=INT(DX235),0,DY235-INT(DY235)))))</f>
        <v>0</v>
      </c>
      <c r="ER235" s="834">
        <f>+IF(OR(DZ235=DY235,ER$44=1),0,
IF(AND(ER$44&gt;1,DZ235=$N235),1-SUM($EN235:EQ235),
IF($N235&lt;=1,
IF($N235&gt;0,1/$N235,0),
IF(ER$44=2,0,VDB(1,0,$N235,INT(ER$44-2-1),MIN($N235,INT(ER$44-2-1)+1),$DC235,IF($DD235="No",1,0))/
IF(DY235&gt;=INT($N235),$N235-INT($N235),1)))*
IF(ER$44=2,0,
IF(INT(DZ235)=INT(DY235),DZ235-DY235,INT(DZ235)-DY235))+
IF($N235&lt;=1,
IF($N235&gt;0,1/$N235,0),VDB(1,0,$N235,INT(ER$44-2),MIN($N235,INT(ER$44-2)+1),$DC235,IF($DD235="No",1,0))/
IF(DZ235&gt;INT($N235),$N235-INT($N235),1))*
IF(ER$44=2,DZ235,
IF(INT(DZ235)=INT(DY235),0,DZ235-INT(DZ235)))))</f>
        <v>0</v>
      </c>
      <c r="ES235" s="835">
        <f>+IF(OR(EA235=DZ235,ES$44=1),0,
IF(AND(ES$44&gt;1,EA235=$N235),1-SUM($EN235:ER235),
IF($N235&lt;=1,
IF($N235&gt;0,1/$N235,0),
IF(ES$44=2,0,VDB(1,0,$N235,INT(ES$44-2-1),MIN($N235,INT(ES$44-2-1)+1),$DC235,IF($DD235="No",1,0))/
IF(DZ235&gt;=INT($N235),$N235-INT($N235),1)))*
IF(ES$44=2,0,
IF(INT(EA235)=INT(DZ235),EA235-DZ235,INT(EA235)-DZ235))+
IF($N235&lt;=1,
IF($N235&gt;0,1/$N235,0),VDB(1,0,$N235,INT(ES$44-2),MIN($N235,INT(ES$44-2)+1),$DC235,IF($DD235="No",1,0))/
IF(EA235&gt;INT($N235),$N235-INT($N235),1))*
IF(ES$44=2,EA235,
IF(INT(EA235)=INT(DZ235),0,EA235-INT(EA235)))))</f>
        <v>0</v>
      </c>
      <c r="ET235" s="835">
        <f>+IF(OR(EB235=EA235,ET$44=1),0,
IF(AND(ET$44&gt;1,EB235=$N235),1-SUM($EN235:ES235),
IF($N235&lt;=1,
IF($N235&gt;0,1/$N235,0),
IF(ET$44=2,0,VDB(1,0,$N235,INT(ET$44-2-1),MIN($N235,INT(ET$44-2-1)+1),$DC235,IF($DD235="No",1,0))/
IF(EA235&gt;=INT($N235),$N235-INT($N235),1)))*
IF(ET$44=2,0,
IF(INT(EB235)=INT(EA235),EB235-EA235,INT(EB235)-EA235))+
IF($N235&lt;=1,
IF($N235&gt;0,1/$N235,0),VDB(1,0,$N235,INT(ET$44-2),MIN($N235,INT(ET$44-2)+1),$DC235,IF($DD235="No",1,0))/
IF(EB235&gt;INT($N235),$N235-INT($N235),1))*
IF(ET$44=2,EB235,
IF(INT(EB235)=INT(EA235),0,EB235-INT(EB235)))))</f>
        <v>0</v>
      </c>
      <c r="EU235" s="835">
        <f>+IF(OR(EC235=EB235,EU$44=1),0,
IF(AND(EU$44&gt;1,EC235=$N235),1-SUM($EN235:ET235),
IF($N235&lt;=1,
IF($N235&gt;0,1/$N235,0),
IF(EU$44=2,0,VDB(1,0,$N235,INT(EU$44-2-1),MIN($N235,INT(EU$44-2-1)+1),$DC235,IF($DD235="No",1,0))/
IF(EB235&gt;=INT($N235),$N235-INT($N235),1)))*
IF(EU$44=2,0,
IF(INT(EC235)=INT(EB235),EC235-EB235,INT(EC235)-EB235))+
IF($N235&lt;=1,
IF($N235&gt;0,1/$N235,0),VDB(1,0,$N235,INT(EU$44-2),MIN($N235,INT(EU$44-2)+1),$DC235,IF($DD235="No",1,0))/
IF(EC235&gt;INT($N235),$N235-INT($N235),1))*
IF(EU$44=2,EC235,
IF(INT(EC235)=INT(EB235),0,EC235-INT(EC235)))))</f>
        <v>0</v>
      </c>
      <c r="EV235" s="836">
        <f>+IF(OR(ED235=EC235,EV$44=1),0,
IF(AND(EV$44&gt;1,ED235=$N235),1-SUM($EN235:EU235),
IF($N235&lt;=1,
IF($N235&gt;0,1/$N235,0),
IF(EV$44=2,0,VDB(1,0,$N235,INT(EV$44-2-1),MIN($N235,INT(EV$44-2-1)+1),$DC235,IF($DD235="No",1,0))/
IF(EC235&gt;=INT($N235),$N235-INT($N235),1)))*
IF(EV$44=2,0,
IF(INT(ED235)=INT(EC235),ED235-EC235,INT(ED235)-EC235))+
IF($N235&lt;=1,
IF($N235&gt;0,1/$N235,0),VDB(1,0,$N235,INT(EV$44-2),MIN($N235,INT(EV$44-2)+1),$DC235,IF($DD235="No",1,0))/
IF(ED235&gt;INT($N235),$N235-INT($N235),1))*
IF(EV$44=2,ED235,
IF(INT(ED235)=INT(EC235),0,ED235-INT(ED235)))))</f>
        <v>0</v>
      </c>
      <c r="EW235" s="833"/>
      <c r="EX235" s="834">
        <f t="shared" ca="1" si="361"/>
        <v>0</v>
      </c>
      <c r="EY235" s="835">
        <f t="shared" ca="1" si="361"/>
        <v>0</v>
      </c>
      <c r="EZ235" s="836">
        <f t="shared" ca="1" si="361"/>
        <v>0</v>
      </c>
      <c r="FA235" s="834">
        <f t="shared" ca="1" si="361"/>
        <v>0</v>
      </c>
      <c r="FB235" s="835">
        <f t="shared" ca="1" si="361"/>
        <v>0</v>
      </c>
      <c r="FC235" s="835">
        <f t="shared" ca="1" si="361"/>
        <v>0</v>
      </c>
      <c r="FD235" s="835">
        <f t="shared" ca="1" si="361"/>
        <v>0</v>
      </c>
      <c r="FE235" s="836">
        <f t="shared" ca="1" si="361"/>
        <v>0</v>
      </c>
      <c r="FG235" s="386">
        <f t="shared" ca="1" si="408"/>
        <v>0</v>
      </c>
      <c r="FH235" s="387">
        <f t="shared" ca="1" si="409"/>
        <v>0</v>
      </c>
      <c r="FI235" s="388">
        <f t="shared" ca="1" si="410"/>
        <v>0</v>
      </c>
      <c r="FJ235" s="386">
        <f t="shared" ca="1" si="411"/>
        <v>0</v>
      </c>
      <c r="FK235" s="387">
        <f t="shared" ca="1" si="412"/>
        <v>0</v>
      </c>
      <c r="FL235" s="387">
        <f t="shared" ca="1" si="413"/>
        <v>0</v>
      </c>
      <c r="FM235" s="387">
        <f t="shared" ca="1" si="414"/>
        <v>0</v>
      </c>
      <c r="FN235" s="388">
        <f t="shared" ca="1" si="415"/>
        <v>0</v>
      </c>
      <c r="FR235" s="116"/>
    </row>
    <row r="236" spans="2:174">
      <c r="B236" s="1410">
        <f t="shared" si="359"/>
        <v>190</v>
      </c>
      <c r="C236" s="400"/>
      <c r="D236" s="410"/>
      <c r="E236" s="402"/>
      <c r="F236" s="402"/>
      <c r="G236" s="400"/>
      <c r="H236" s="2088"/>
      <c r="I236" s="2089"/>
      <c r="J236" s="411"/>
      <c r="K236" s="403"/>
      <c r="L236" s="403"/>
      <c r="M236" s="403"/>
      <c r="N236" s="403"/>
      <c r="O236" s="347"/>
      <c r="P236" s="347"/>
      <c r="Q236" s="1021"/>
      <c r="R236" s="1022"/>
      <c r="S236" s="1022"/>
      <c r="T236" s="1022"/>
      <c r="U236" s="1023"/>
      <c r="V236" s="1021"/>
      <c r="W236" s="1022"/>
      <c r="X236" s="1022"/>
      <c r="Y236" s="1022"/>
      <c r="Z236" s="1023"/>
      <c r="AA236" s="1024"/>
      <c r="AB236" s="1021"/>
      <c r="AC236" s="1022"/>
      <c r="AD236" s="1022"/>
      <c r="AE236" s="1022"/>
      <c r="AF236" s="1023"/>
      <c r="AG236" s="1021"/>
      <c r="AH236" s="1022"/>
      <c r="AI236" s="1022"/>
      <c r="AJ236" s="1022"/>
      <c r="AK236" s="1023"/>
      <c r="AL236" s="1024"/>
      <c r="AM236" s="1021"/>
      <c r="AN236" s="1022"/>
      <c r="AO236" s="1022"/>
      <c r="AP236" s="1022"/>
      <c r="AQ236" s="1023"/>
      <c r="AR236" s="1021"/>
      <c r="AS236" s="1022"/>
      <c r="AT236" s="1022"/>
      <c r="AU236" s="1022"/>
      <c r="AV236" s="1023"/>
      <c r="AW236" s="1025"/>
      <c r="AX236" s="1282">
        <f t="shared" si="362"/>
        <v>0</v>
      </c>
      <c r="AY236" s="387">
        <f t="shared" si="363"/>
        <v>0</v>
      </c>
      <c r="AZ236" s="387">
        <f t="shared" si="364"/>
        <v>0</v>
      </c>
      <c r="BA236" s="387">
        <f t="shared" si="365"/>
        <v>0</v>
      </c>
      <c r="BB236" s="1283">
        <f t="shared" si="366"/>
        <v>0</v>
      </c>
      <c r="BC236" s="386">
        <f t="shared" si="367"/>
        <v>0</v>
      </c>
      <c r="BD236" s="387">
        <f t="shared" si="368"/>
        <v>0</v>
      </c>
      <c r="BE236" s="1277">
        <f t="shared" si="369"/>
        <v>0</v>
      </c>
      <c r="BF236" s="1277">
        <f t="shared" si="370"/>
        <v>0</v>
      </c>
      <c r="BG236" s="388">
        <f t="shared" si="371"/>
        <v>0</v>
      </c>
      <c r="BH236" s="1025"/>
      <c r="BI236" s="1282">
        <f t="shared" ca="1" si="372"/>
        <v>0</v>
      </c>
      <c r="BJ236" s="387">
        <f t="shared" ca="1" si="373"/>
        <v>0</v>
      </c>
      <c r="BK236" s="387">
        <f t="shared" ca="1" si="374"/>
        <v>0</v>
      </c>
      <c r="BL236" s="387">
        <f t="shared" ca="1" si="375"/>
        <v>0</v>
      </c>
      <c r="BM236" s="1283">
        <f t="shared" ca="1" si="376"/>
        <v>0</v>
      </c>
      <c r="BN236" s="386">
        <f t="shared" ca="1" si="377"/>
        <v>0</v>
      </c>
      <c r="BO236" s="387">
        <f t="shared" ca="1" si="378"/>
        <v>0</v>
      </c>
      <c r="BP236" s="1277">
        <f t="shared" ca="1" si="379"/>
        <v>0</v>
      </c>
      <c r="BQ236" s="1277">
        <f t="shared" ca="1" si="380"/>
        <v>0</v>
      </c>
      <c r="BR236" s="388">
        <f t="shared" ca="1" si="381"/>
        <v>0</v>
      </c>
      <c r="BS236" s="1025"/>
      <c r="BT236" s="1282">
        <f>+IF($K236="Ongoing",AX236,IF(RIGHT($K236,2)=RIGHT(BT$43,2),SUM($AX236:AX236),0)+IF(RIGHT(BT$43,2)&gt;RIGHT($K236,2),AX236,0))</f>
        <v>0</v>
      </c>
      <c r="BU236" s="387">
        <f>+IF($K236="Ongoing",AY236,IF(RIGHT($K236,2)=RIGHT(BU$43,2),SUM($AX236:AY236),0)+IF(RIGHT(BU$43,2)&gt;RIGHT($K236,2),AY236,0))</f>
        <v>0</v>
      </c>
      <c r="BV236" s="387">
        <f>+IF($K236="Ongoing",AZ236,IF(RIGHT($K236,2)=RIGHT(BV$43,2),SUM($AX236:AZ236),0)+IF(RIGHT(BV$43,2)&gt;RIGHT($K236,2),AZ236,0))</f>
        <v>0</v>
      </c>
      <c r="BW236" s="387">
        <f>+IF($K236="Ongoing",BA236,IF(RIGHT($K236,2)=RIGHT(BW$43,2),SUM($AX236:BA236),0)+IF(RIGHT(BW$43,2)&gt;RIGHT($K236,2),BA236,0))</f>
        <v>0</v>
      </c>
      <c r="BX236" s="1283">
        <f>+IF($K236="Ongoing",BB236,IF(RIGHT($K236,2)=RIGHT(BX$43,2),SUM($AX236:BB236),0)+IF(RIGHT(BX$43,2)&gt;RIGHT($K236,2),BB236,0))</f>
        <v>0</v>
      </c>
      <c r="BY236" s="386">
        <f>+IF($K236="Ongoing",BC236,IF(RIGHT($K236,2)=RIGHT(BY$43,2),SUM($AX236:BC236),0)+IF(RIGHT(BY$43,2)&gt;RIGHT($K236,2),BC236,0))</f>
        <v>0</v>
      </c>
      <c r="BZ236" s="387">
        <f>+IF($K236="Ongoing",BD236,IF(RIGHT($K236,2)=RIGHT(BZ$43,2),SUM($AX236:BD236),0)+IF(RIGHT(BZ$43,2)&gt;RIGHT($K236,2),BD236,0))</f>
        <v>0</v>
      </c>
      <c r="CA236" s="1277">
        <f>+IF($K236="Ongoing",BE236,IF(RIGHT($K236,2)=RIGHT(CA$43,2),SUM($AX236:BE236),0)+IF(RIGHT(CA$43,2)&gt;RIGHT($K236,2),BE236,0))</f>
        <v>0</v>
      </c>
      <c r="CB236" s="1277">
        <f>+IF($K236="Ongoing",BF236,IF(RIGHT($K236,2)=RIGHT(CB$43,2),SUM($AX236:BF236),0)+IF(RIGHT(CB$43,2)&gt;RIGHT($K236,2),BF236,0))</f>
        <v>0</v>
      </c>
      <c r="CC236" s="388">
        <f>+IF($K236="Ongoing",BG236,IF(RIGHT($K236,2)=RIGHT(CC$43,2),SUM($AX236:BG236),0)+IF(RIGHT(CC$43,2)&gt;RIGHT($K236,2),BG236,0))</f>
        <v>0</v>
      </c>
      <c r="CD236" s="1025"/>
      <c r="CE236" s="1282">
        <f>+Q236*KeyAssumptionsPriceControl_FO!AF$15</f>
        <v>0</v>
      </c>
      <c r="CF236" s="387">
        <f>+R236*KeyAssumptionsPriceControl_FO!AG$15</f>
        <v>0</v>
      </c>
      <c r="CG236" s="387">
        <f>+S236*KeyAssumptionsPriceControl_FO!AH$15</f>
        <v>0</v>
      </c>
      <c r="CH236" s="387">
        <f>+T236*KeyAssumptionsPriceControl_FO!AI$15</f>
        <v>0</v>
      </c>
      <c r="CI236" s="1283">
        <f>+U236*KeyAssumptionsPriceControl_FO!AJ$15</f>
        <v>0</v>
      </c>
      <c r="CJ236" s="386">
        <f>+V236*KeyAssumptionsPriceControl_FO!AK$15</f>
        <v>0</v>
      </c>
      <c r="CK236" s="387">
        <f>+W236*KeyAssumptionsPriceControl_FO!AL$15</f>
        <v>0</v>
      </c>
      <c r="CL236" s="1277">
        <f>+X236*KeyAssumptionsPriceControl_FO!AM$15</f>
        <v>0</v>
      </c>
      <c r="CM236" s="1277">
        <f>+Y236*KeyAssumptionsPriceControl_FO!AN$15</f>
        <v>0</v>
      </c>
      <c r="CN236" s="388">
        <f>+Z236*KeyAssumptionsPriceControl_FO!AO$15</f>
        <v>0</v>
      </c>
      <c r="CO236" s="1025"/>
      <c r="CP236" s="1282">
        <f t="shared" ca="1" si="382"/>
        <v>0</v>
      </c>
      <c r="CQ236" s="387">
        <f t="shared" ca="1" si="383"/>
        <v>0</v>
      </c>
      <c r="CR236" s="387">
        <f t="shared" ca="1" si="384"/>
        <v>0</v>
      </c>
      <c r="CS236" s="387">
        <f t="shared" ca="1" si="385"/>
        <v>0</v>
      </c>
      <c r="CT236" s="1283">
        <f t="shared" ca="1" si="386"/>
        <v>0</v>
      </c>
      <c r="CU236" s="386">
        <f t="shared" ca="1" si="387"/>
        <v>0</v>
      </c>
      <c r="CV236" s="387">
        <f t="shared" ca="1" si="388"/>
        <v>0</v>
      </c>
      <c r="CW236" s="1277">
        <f t="shared" ca="1" si="389"/>
        <v>0</v>
      </c>
      <c r="CX236" s="1277">
        <f t="shared" ca="1" si="390"/>
        <v>0</v>
      </c>
      <c r="CY236" s="388">
        <f t="shared" ca="1" si="391"/>
        <v>0</v>
      </c>
      <c r="CZ236" s="347"/>
      <c r="DA236" s="852"/>
      <c r="DB236" s="347"/>
      <c r="DC236" s="1012" t="s">
        <v>757</v>
      </c>
      <c r="DD236" s="841" t="s">
        <v>518</v>
      </c>
      <c r="DE236" s="386">
        <f>+IF($K236="ongoing",CE236,IF(RIGHT($K236,2)=RIGHT(DE$43,2),SUM($CD236:CE236),0)+IF(RIGHT(DE$43,2)&gt;RIGHT($K236,2),CE236,0))</f>
        <v>0</v>
      </c>
      <c r="DF236" s="387">
        <f>+IF($K236="ongoing",CF236,IF(RIGHT($K236,2)=RIGHT(DF$43,2),SUM($CD236:CF236),0)+IF(RIGHT(DF$43,2)&gt;RIGHT($K236,2),CF236,0))</f>
        <v>0</v>
      </c>
      <c r="DG236" s="388">
        <f>+IF($K236="ongoing",CG236,IF(RIGHT($K236,2)=RIGHT(DG$43,2),SUM($CD236:CG236),0)+IF(RIGHT(DG$43,2)&gt;RIGHT($K236,2),CG236,0))</f>
        <v>0</v>
      </c>
      <c r="DH236" s="386">
        <f>+IF($K236="ongoing",CH236,IF(RIGHT($K236,2)=RIGHT(DH$43,2),SUM($CD236:CH236),0)+IF(RIGHT(DH$43,2)&gt;RIGHT($K236,2),CH236,0))</f>
        <v>0</v>
      </c>
      <c r="DI236" s="387">
        <f>+IF($K236="ongoing",CI236,IF(RIGHT($K236,2)=RIGHT(DI$43,2),SUM($CD236:CI236),0)+IF(RIGHT(DI$43,2)&gt;RIGHT($K236,2),CI236,0))</f>
        <v>0</v>
      </c>
      <c r="DJ236" s="387">
        <f>+IF($K236="ongoing",CJ236,IF(RIGHT($K236,2)=RIGHT(DJ$43,2),SUM($CD236:CJ236),0)+IF(RIGHT(DJ$43,2)&gt;RIGHT($K236,2),CJ236,0))</f>
        <v>0</v>
      </c>
      <c r="DK236" s="387">
        <f>+IF($K236="ongoing",CK236,IF(RIGHT($K236,2)=RIGHT(DK$43,2),SUM($CD236:CK236),0)+IF(RIGHT(DK$43,2)&gt;RIGHT($K236,2),CK236,0))</f>
        <v>0</v>
      </c>
      <c r="DL236" s="388">
        <f>+IF($K236="ongoing",CN236,IF(RIGHT($K236,2)=RIGHT(DL$43,2),SUM($CD236:CN236),0)+IF(RIGHT(DL$43,2)&gt;RIGHT($K236,2),CN236,0))</f>
        <v>0</v>
      </c>
      <c r="DM236" s="841"/>
      <c r="DN236" s="386">
        <f t="shared" si="392"/>
        <v>0.5</v>
      </c>
      <c r="DO236" s="387">
        <f t="shared" si="393"/>
        <v>1</v>
      </c>
      <c r="DP236" s="388">
        <f t="shared" si="394"/>
        <v>1</v>
      </c>
      <c r="DQ236" s="386">
        <f t="shared" si="395"/>
        <v>1</v>
      </c>
      <c r="DR236" s="387">
        <f t="shared" si="396"/>
        <v>1</v>
      </c>
      <c r="DS236" s="387">
        <f t="shared" si="397"/>
        <v>1</v>
      </c>
      <c r="DT236" s="387">
        <f t="shared" si="398"/>
        <v>1</v>
      </c>
      <c r="DU236" s="388">
        <f t="shared" si="399"/>
        <v>1</v>
      </c>
      <c r="DW236" s="386">
        <f t="shared" si="400"/>
        <v>0</v>
      </c>
      <c r="DX236" s="387">
        <f t="shared" si="401"/>
        <v>0.5</v>
      </c>
      <c r="DY236" s="388">
        <f t="shared" si="402"/>
        <v>1</v>
      </c>
      <c r="DZ236" s="386">
        <f t="shared" si="403"/>
        <v>1</v>
      </c>
      <c r="EA236" s="387">
        <f t="shared" si="404"/>
        <v>1</v>
      </c>
      <c r="EB236" s="387">
        <f t="shared" si="405"/>
        <v>1</v>
      </c>
      <c r="EC236" s="387">
        <f t="shared" si="406"/>
        <v>1</v>
      </c>
      <c r="ED236" s="388">
        <f t="shared" si="407"/>
        <v>1</v>
      </c>
      <c r="EF236" s="834">
        <f>+IF(DN236=DM236,0,
IF(AND(EF$44&gt;1,DN236=$N236),1-SUM($EE236:EE236),
IF($N236&lt;=1,
IF($N236&gt;0,1/$N236,0),
IF(EF$44=1,0,VDB(1,0,$N236,INT(EF$44-1-1),MIN($N236,INT(EF$44-1-1)+1),$DC236,IF($DD236="No",1,0))/
IF(DM236&gt;=INT($N236),$N236-INT($N236),1)))*
IF(EF$44=1,0,
IF(INT(DN236)=INT(DM236),DN236-DM236,INT(DN236)-DM236))+
IF($N236&lt;=1,
IF($N236&gt;0,1/$N236,0),VDB(1,0,$N236,INT(EF$44-1),MIN($N236,INT(EF$44-1)+1),$DC236,IF($DD236="No",1,0))/
IF(DN236&gt;INT($N236),$N236-INT($N236),1))*
IF(EF$44=1,DN236,
IF(INT(DN236)=INT(DM236),0,DN236-INT(DN236)))))</f>
        <v>0</v>
      </c>
      <c r="EG236" s="835">
        <f>+IF(DO236=DN236,0,
IF(AND(EG$44&gt;1,DO236=$N236),1-SUM($EE236:EF236),
IF($N236&lt;=1,
IF($N236&gt;0,1/$N236,0),
IF(EG$44=1,0,VDB(1,0,$N236,INT(EG$44-1-1),MIN($N236,INT(EG$44-1-1)+1),$DC236,IF($DD236="No",1,0))/
IF(DN236&gt;=INT($N236),$N236-INT($N236),1)))*
IF(EG$44=1,0,
IF(INT(DO236)=INT(DN236),DO236-DN236,INT(DO236)-DN236))+
IF($N236&lt;=1,
IF($N236&gt;0,1/$N236,0),VDB(1,0,$N236,INT(EG$44-1),MIN($N236,INT(EG$44-1)+1),$DC236,IF($DD236="No",1,0))/
IF(DO236&gt;INT($N236),$N236-INT($N236),1))*
IF(EG$44=1,DO236,
IF(INT(DO236)=INT(DN236),0,DO236-INT(DO236)))))</f>
        <v>0</v>
      </c>
      <c r="EH236" s="836">
        <f>+IF(DP236=DO236,0,
IF(AND(EH$44&gt;1,DP236=$N236),1-SUM($EE236:EG236),
IF($N236&lt;=1,
IF($N236&gt;0,1/$N236,0),
IF(EH$44=1,0,VDB(1,0,$N236,INT(EH$44-1-1),MIN($N236,INT(EH$44-1-1)+1),$DC236,IF($DD236="No",1,0))/
IF(DO236&gt;=INT($N236),$N236-INT($N236),1)))*
IF(EH$44=1,0,
IF(INT(DP236)=INT(DO236),DP236-DO236,INT(DP236)-DO236))+
IF($N236&lt;=1,
IF($N236&gt;0,1/$N236,0),VDB(1,0,$N236,INT(EH$44-1),MIN($N236,INT(EH$44-1)+1),$DC236,IF($DD236="No",1,0))/
IF(DP236&gt;INT($N236),$N236-INT($N236),1))*
IF(EH$44=1,DP236,
IF(INT(DP236)=INT(DO236),0,DP236-INT(DP236)))))</f>
        <v>0</v>
      </c>
      <c r="EI236" s="834">
        <f>+IF(DQ236=DP236,0,
IF(AND(EI$44&gt;1,DQ236=$N236),1-SUM($EE236:EH236),
IF($N236&lt;=1,
IF($N236&gt;0,1/$N236,0),
IF(EI$44=1,0,VDB(1,0,$N236,INT(EI$44-1-1),MIN($N236,INT(EI$44-1-1)+1),$DC236,IF($DD236="No",1,0))/
IF(DP236&gt;=INT($N236),$N236-INT($N236),1)))*
IF(EI$44=1,0,
IF(INT(DQ236)=INT(DP236),DQ236-DP236,INT(DQ236)-DP236))+
IF($N236&lt;=1,
IF($N236&gt;0,1/$N236,0),VDB(1,0,$N236,INT(EI$44-1),MIN($N236,INT(EI$44-1)+1),$DC236,IF($DD236="No",1,0))/
IF(DQ236&gt;INT($N236),$N236-INT($N236),1))*
IF(EI$44=1,DQ236,
IF(INT(DQ236)=INT(DP236),0,DQ236-INT(DQ236)))))</f>
        <v>0</v>
      </c>
      <c r="EJ236" s="835">
        <f>+IF(DR236=DQ236,0,
IF(AND(EJ$44&gt;1,DR236=$N236),1-SUM($EE236:EI236),
IF($N236&lt;=1,
IF($N236&gt;0,1/$N236,0),
IF(EJ$44=1,0,VDB(1,0,$N236,INT(EJ$44-1-1),MIN($N236,INT(EJ$44-1-1)+1),$DC236,IF($DD236="No",1,0))/
IF(DQ236&gt;=INT($N236),$N236-INT($N236),1)))*
IF(EJ$44=1,0,
IF(INT(DR236)=INT(DQ236),DR236-DQ236,INT(DR236)-DQ236))+
IF($N236&lt;=1,
IF($N236&gt;0,1/$N236,0),VDB(1,0,$N236,INT(EJ$44-1),MIN($N236,INT(EJ$44-1)+1),$DC236,IF($DD236="No",1,0))/
IF(DR236&gt;INT($N236),$N236-INT($N236),1))*
IF(EJ$44=1,DR236,
IF(INT(DR236)=INT(DQ236),0,DR236-INT(DR236)))))</f>
        <v>0</v>
      </c>
      <c r="EK236" s="835">
        <f>+IF(DS236=DR236,0,
IF(AND(EK$44&gt;1,DS236=$N236),1-SUM($EE236:EJ236),
IF($N236&lt;=1,
IF($N236&gt;0,1/$N236,0),
IF(EK$44=1,0,VDB(1,0,$N236,INT(EK$44-1-1),MIN($N236,INT(EK$44-1-1)+1),$DC236,IF($DD236="No",1,0))/
IF(DR236&gt;=INT($N236),$N236-INT($N236),1)))*
IF(EK$44=1,0,
IF(INT(DS236)=INT(DR236),DS236-DR236,INT(DS236)-DR236))+
IF($N236&lt;=1,
IF($N236&gt;0,1/$N236,0),VDB(1,0,$N236,INT(EK$44-1),MIN($N236,INT(EK$44-1)+1),$DC236,IF($DD236="No",1,0))/
IF(DS236&gt;INT($N236),$N236-INT($N236),1))*
IF(EK$44=1,DS236,
IF(INT(DS236)=INT(DR236),0,DS236-INT(DS236)))))</f>
        <v>0</v>
      </c>
      <c r="EL236" s="835">
        <f>+IF(DT236=DS236,0,
IF(AND(EL$44&gt;1,DT236=$N236),1-SUM($EE236:EK236),
IF($N236&lt;=1,
IF($N236&gt;0,1/$N236,0),
IF(EL$44=1,0,VDB(1,0,$N236,INT(EL$44-1-1),MIN($N236,INT(EL$44-1-1)+1),$DC236,IF($DD236="No",1,0))/
IF(DS236&gt;=INT($N236),$N236-INT($N236),1)))*
IF(EL$44=1,0,
IF(INT(DT236)=INT(DS236),DT236-DS236,INT(DT236)-DS236))+
IF($N236&lt;=1,
IF($N236&gt;0,1/$N236,0),VDB(1,0,$N236,INT(EL$44-1),MIN($N236,INT(EL$44-1)+1),$DC236,IF($DD236="No",1,0))/
IF(DT236&gt;INT($N236),$N236-INT($N236),1))*
IF(EL$44=1,DT236,
IF(INT(DT236)=INT(DS236),0,DT236-INT(DT236)))))</f>
        <v>0</v>
      </c>
      <c r="EM236" s="836">
        <f>+IF(DU236=DT236,0,
IF(AND(EM$44&gt;1,DU236=$N236),1-SUM($EE236:EL236),
IF($N236&lt;=1,
IF($N236&gt;0,1/$N236,0),
IF(EM$44=1,0,VDB(1,0,$N236,INT(EM$44-1-1),MIN($N236,INT(EM$44-1-1)+1),$DC236,IF($DD236="No",1,0))/
IF(DT236&gt;=INT($N236),$N236-INT($N236),1)))*
IF(EM$44=1,0,
IF(INT(DU236)=INT(DT236),DU236-DT236,INT(DU236)-DT236))+
IF($N236&lt;=1,
IF($N236&gt;0,1/$N236,0),VDB(1,0,$N236,INT(EM$44-1),MIN($N236,INT(EM$44-1)+1),$DC236,IF($DD236="No",1,0))/
IF(DU236&gt;INT($N236),$N236-INT($N236),1))*
IF(EM$44=1,DU236,
IF(INT(DU236)=INT(DT236),0,DU236-INT(DU236)))))</f>
        <v>0</v>
      </c>
      <c r="EN236" s="833"/>
      <c r="EO236" s="834">
        <f>+IF(OR(DW236=DV236,EO$44=1),0,
IF(AND(EO$44&gt;1,DW236=$N236),1-SUM($EN236:EN236),
IF($N236&lt;=1,
IF($N236&gt;0,1/$N236,0),
IF(EO$44=2,0,VDB(1,0,$N236,INT(EO$44-2-1),MIN($N236,INT(EO$44-2-1)+1),$DC236,IF($DD236="No",1,0))/
IF(DV236&gt;=INT($N236),$N236-INT($N236),1)))*
IF(EO$44=2,0,
IF(INT(DW236)=INT(DV236),DW236-DV236,INT(DW236)-DV236))+
IF($N236&lt;=1,
IF($N236&gt;0,1/$N236,0),VDB(1,0,$N236,INT(EO$44-2),MIN($N236,INT(EO$44-2)+1),$DC236,IF($DD236="No",1,0))/
IF(DW236&gt;INT($N236),$N236-INT($N236),1))*
IF(EO$44=2,DW236,
IF(INT(DW236)=INT(DV236),0,DW236-INT(DW236)))))</f>
        <v>0</v>
      </c>
      <c r="EP236" s="835">
        <f>+IF(OR(DX236=DW236,EP$44=1),0,
IF(AND(EP$44&gt;1,DX236=$N236),1-SUM($EN236:EO236),
IF($N236&lt;=1,
IF($N236&gt;0,1/$N236,0),
IF(EP$44=2,0,VDB(1,0,$N236,INT(EP$44-2-1),MIN($N236,INT(EP$44-2-1)+1),$DC236,IF($DD236="No",1,0))/
IF(DW236&gt;=INT($N236),$N236-INT($N236),1)))*
IF(EP$44=2,0,
IF(INT(DX236)=INT(DW236),DX236-DW236,INT(DX236)-DW236))+
IF($N236&lt;=1,
IF($N236&gt;0,1/$N236,0),VDB(1,0,$N236,INT(EP$44-2),MIN($N236,INT(EP$44-2)+1),$DC236,IF($DD236="No",1,0))/
IF(DX236&gt;INT($N236),$N236-INT($N236),1))*
IF(EP$44=2,DX236,
IF(INT(DX236)=INT(DW236),0,DX236-INT(DX236)))))</f>
        <v>0</v>
      </c>
      <c r="EQ236" s="836">
        <f>+IF(OR(DY236=DX236,EQ$44=1),0,
IF(AND(EQ$44&gt;1,DY236=$N236),1-SUM($EN236:EP236),
IF($N236&lt;=1,
IF($N236&gt;0,1/$N236,0),
IF(EQ$44=2,0,VDB(1,0,$N236,INT(EQ$44-2-1),MIN($N236,INT(EQ$44-2-1)+1),$DC236,IF($DD236="No",1,0))/
IF(DX236&gt;=INT($N236),$N236-INT($N236),1)))*
IF(EQ$44=2,0,
IF(INT(DY236)=INT(DX236),DY236-DX236,INT(DY236)-DX236))+
IF($N236&lt;=1,
IF($N236&gt;0,1/$N236,0),VDB(1,0,$N236,INT(EQ$44-2),MIN($N236,INT(EQ$44-2)+1),$DC236,IF($DD236="No",1,0))/
IF(DY236&gt;INT($N236),$N236-INT($N236),1))*
IF(EQ$44=2,DY236,
IF(INT(DY236)=INT(DX236),0,DY236-INT(DY236)))))</f>
        <v>0</v>
      </c>
      <c r="ER236" s="834">
        <f>+IF(OR(DZ236=DY236,ER$44=1),0,
IF(AND(ER$44&gt;1,DZ236=$N236),1-SUM($EN236:EQ236),
IF($N236&lt;=1,
IF($N236&gt;0,1/$N236,0),
IF(ER$44=2,0,VDB(1,0,$N236,INT(ER$44-2-1),MIN($N236,INT(ER$44-2-1)+1),$DC236,IF($DD236="No",1,0))/
IF(DY236&gt;=INT($N236),$N236-INT($N236),1)))*
IF(ER$44=2,0,
IF(INT(DZ236)=INT(DY236),DZ236-DY236,INT(DZ236)-DY236))+
IF($N236&lt;=1,
IF($N236&gt;0,1/$N236,0),VDB(1,0,$N236,INT(ER$44-2),MIN($N236,INT(ER$44-2)+1),$DC236,IF($DD236="No",1,0))/
IF(DZ236&gt;INT($N236),$N236-INT($N236),1))*
IF(ER$44=2,DZ236,
IF(INT(DZ236)=INT(DY236),0,DZ236-INT(DZ236)))))</f>
        <v>0</v>
      </c>
      <c r="ES236" s="835">
        <f>+IF(OR(EA236=DZ236,ES$44=1),0,
IF(AND(ES$44&gt;1,EA236=$N236),1-SUM($EN236:ER236),
IF($N236&lt;=1,
IF($N236&gt;0,1/$N236,0),
IF(ES$44=2,0,VDB(1,0,$N236,INT(ES$44-2-1),MIN($N236,INT(ES$44-2-1)+1),$DC236,IF($DD236="No",1,0))/
IF(DZ236&gt;=INT($N236),$N236-INT($N236),1)))*
IF(ES$44=2,0,
IF(INT(EA236)=INT(DZ236),EA236-DZ236,INT(EA236)-DZ236))+
IF($N236&lt;=1,
IF($N236&gt;0,1/$N236,0),VDB(1,0,$N236,INT(ES$44-2),MIN($N236,INT(ES$44-2)+1),$DC236,IF($DD236="No",1,0))/
IF(EA236&gt;INT($N236),$N236-INT($N236),1))*
IF(ES$44=2,EA236,
IF(INT(EA236)=INT(DZ236),0,EA236-INT(EA236)))))</f>
        <v>0</v>
      </c>
      <c r="ET236" s="835">
        <f>+IF(OR(EB236=EA236,ET$44=1),0,
IF(AND(ET$44&gt;1,EB236=$N236),1-SUM($EN236:ES236),
IF($N236&lt;=1,
IF($N236&gt;0,1/$N236,0),
IF(ET$44=2,0,VDB(1,0,$N236,INT(ET$44-2-1),MIN($N236,INT(ET$44-2-1)+1),$DC236,IF($DD236="No",1,0))/
IF(EA236&gt;=INT($N236),$N236-INT($N236),1)))*
IF(ET$44=2,0,
IF(INT(EB236)=INT(EA236),EB236-EA236,INT(EB236)-EA236))+
IF($N236&lt;=1,
IF($N236&gt;0,1/$N236,0),VDB(1,0,$N236,INT(ET$44-2),MIN($N236,INT(ET$44-2)+1),$DC236,IF($DD236="No",1,0))/
IF(EB236&gt;INT($N236),$N236-INT($N236),1))*
IF(ET$44=2,EB236,
IF(INT(EB236)=INT(EA236),0,EB236-INT(EB236)))))</f>
        <v>0</v>
      </c>
      <c r="EU236" s="835">
        <f>+IF(OR(EC236=EB236,EU$44=1),0,
IF(AND(EU$44&gt;1,EC236=$N236),1-SUM($EN236:ET236),
IF($N236&lt;=1,
IF($N236&gt;0,1/$N236,0),
IF(EU$44=2,0,VDB(1,0,$N236,INT(EU$44-2-1),MIN($N236,INT(EU$44-2-1)+1),$DC236,IF($DD236="No",1,0))/
IF(EB236&gt;=INT($N236),$N236-INT($N236),1)))*
IF(EU$44=2,0,
IF(INT(EC236)=INT(EB236),EC236-EB236,INT(EC236)-EB236))+
IF($N236&lt;=1,
IF($N236&gt;0,1/$N236,0),VDB(1,0,$N236,INT(EU$44-2),MIN($N236,INT(EU$44-2)+1),$DC236,IF($DD236="No",1,0))/
IF(EC236&gt;INT($N236),$N236-INT($N236),1))*
IF(EU$44=2,EC236,
IF(INT(EC236)=INT(EB236),0,EC236-INT(EC236)))))</f>
        <v>0</v>
      </c>
      <c r="EV236" s="836">
        <f>+IF(OR(ED236=EC236,EV$44=1),0,
IF(AND(EV$44&gt;1,ED236=$N236),1-SUM($EN236:EU236),
IF($N236&lt;=1,
IF($N236&gt;0,1/$N236,0),
IF(EV$44=2,0,VDB(1,0,$N236,INT(EV$44-2-1),MIN($N236,INT(EV$44-2-1)+1),$DC236,IF($DD236="No",1,0))/
IF(EC236&gt;=INT($N236),$N236-INT($N236),1)))*
IF(EV$44=2,0,
IF(INT(ED236)=INT(EC236),ED236-EC236,INT(ED236)-EC236))+
IF($N236&lt;=1,
IF($N236&gt;0,1/$N236,0),VDB(1,0,$N236,INT(EV$44-2),MIN($N236,INT(EV$44-2)+1),$DC236,IF($DD236="No",1,0))/
IF(ED236&gt;INT($N236),$N236-INT($N236),1))*
IF(EV$44=2,ED236,
IF(INT(ED236)=INT(EC236),0,ED236-INT(ED236)))))</f>
        <v>0</v>
      </c>
      <c r="EW236" s="833"/>
      <c r="EX236" s="834">
        <f t="shared" ca="1" si="361"/>
        <v>0</v>
      </c>
      <c r="EY236" s="835">
        <f t="shared" ca="1" si="361"/>
        <v>0</v>
      </c>
      <c r="EZ236" s="836">
        <f t="shared" ca="1" si="361"/>
        <v>0</v>
      </c>
      <c r="FA236" s="834">
        <f t="shared" ca="1" si="361"/>
        <v>0</v>
      </c>
      <c r="FB236" s="835">
        <f t="shared" ca="1" si="361"/>
        <v>0</v>
      </c>
      <c r="FC236" s="835">
        <f t="shared" ca="1" si="361"/>
        <v>0</v>
      </c>
      <c r="FD236" s="835">
        <f t="shared" ca="1" si="361"/>
        <v>0</v>
      </c>
      <c r="FE236" s="836">
        <f t="shared" ca="1" si="361"/>
        <v>0</v>
      </c>
      <c r="FG236" s="386">
        <f t="shared" ca="1" si="408"/>
        <v>0</v>
      </c>
      <c r="FH236" s="387">
        <f t="shared" ca="1" si="409"/>
        <v>0</v>
      </c>
      <c r="FI236" s="388">
        <f t="shared" ca="1" si="410"/>
        <v>0</v>
      </c>
      <c r="FJ236" s="386">
        <f t="shared" ca="1" si="411"/>
        <v>0</v>
      </c>
      <c r="FK236" s="387">
        <f t="shared" ca="1" si="412"/>
        <v>0</v>
      </c>
      <c r="FL236" s="387">
        <f t="shared" ca="1" si="413"/>
        <v>0</v>
      </c>
      <c r="FM236" s="387">
        <f t="shared" ca="1" si="414"/>
        <v>0</v>
      </c>
      <c r="FN236" s="388">
        <f t="shared" ca="1" si="415"/>
        <v>0</v>
      </c>
      <c r="FR236" s="116"/>
    </row>
    <row r="237" spans="2:174">
      <c r="B237" s="1410">
        <f t="shared" si="359"/>
        <v>191</v>
      </c>
      <c r="C237" s="400"/>
      <c r="D237" s="410"/>
      <c r="E237" s="402"/>
      <c r="F237" s="402"/>
      <c r="G237" s="400"/>
      <c r="H237" s="2088"/>
      <c r="I237" s="2089"/>
      <c r="J237" s="411"/>
      <c r="K237" s="403"/>
      <c r="L237" s="403"/>
      <c r="M237" s="403"/>
      <c r="N237" s="403"/>
      <c r="O237" s="347"/>
      <c r="P237" s="347"/>
      <c r="Q237" s="1021"/>
      <c r="R237" s="1022"/>
      <c r="S237" s="1022"/>
      <c r="T237" s="1022"/>
      <c r="U237" s="1023"/>
      <c r="V237" s="1021"/>
      <c r="W237" s="1022"/>
      <c r="X237" s="1022"/>
      <c r="Y237" s="1022"/>
      <c r="Z237" s="1023"/>
      <c r="AA237" s="1024"/>
      <c r="AB237" s="1021"/>
      <c r="AC237" s="1022"/>
      <c r="AD237" s="1022"/>
      <c r="AE237" s="1022"/>
      <c r="AF237" s="1023"/>
      <c r="AG237" s="1021"/>
      <c r="AH237" s="1022"/>
      <c r="AI237" s="1022"/>
      <c r="AJ237" s="1022"/>
      <c r="AK237" s="1023"/>
      <c r="AL237" s="1024"/>
      <c r="AM237" s="1021"/>
      <c r="AN237" s="1022"/>
      <c r="AO237" s="1022"/>
      <c r="AP237" s="1022"/>
      <c r="AQ237" s="1023"/>
      <c r="AR237" s="1021"/>
      <c r="AS237" s="1022"/>
      <c r="AT237" s="1022"/>
      <c r="AU237" s="1022"/>
      <c r="AV237" s="1023"/>
      <c r="AW237" s="1025"/>
      <c r="AX237" s="1282">
        <f t="shared" ref="AX237:AX248" si="416">+Q237-AB237-AM237</f>
        <v>0</v>
      </c>
      <c r="AY237" s="387">
        <f t="shared" ref="AY237:AY248" si="417">+R237-AC237-AN237</f>
        <v>0</v>
      </c>
      <c r="AZ237" s="387">
        <f t="shared" ref="AZ237:AZ248" si="418">+S237-AD237-AO237</f>
        <v>0</v>
      </c>
      <c r="BA237" s="387">
        <f t="shared" ref="BA237:BA248" si="419">+T237-AE237-AP237</f>
        <v>0</v>
      </c>
      <c r="BB237" s="1283">
        <f t="shared" ref="BB237:BB248" si="420">+U237-AF237-AQ237</f>
        <v>0</v>
      </c>
      <c r="BC237" s="386">
        <f t="shared" ref="BC237:BC248" si="421">+V237-AG237-AR237</f>
        <v>0</v>
      </c>
      <c r="BD237" s="387">
        <f t="shared" ref="BD237:BD248" si="422">+W237-AH237-AS237</f>
        <v>0</v>
      </c>
      <c r="BE237" s="1277">
        <f t="shared" ref="BE237:BE248" si="423">+X237-AI237-AT237</f>
        <v>0</v>
      </c>
      <c r="BF237" s="1277">
        <f t="shared" ref="BF237:BF248" si="424">+Y237-AJ237-AU237</f>
        <v>0</v>
      </c>
      <c r="BG237" s="388">
        <f t="shared" ref="BG237:BG248" si="425">+Z237-AK237-AV237</f>
        <v>0</v>
      </c>
      <c r="BH237" s="1025"/>
      <c r="BI237" s="1282">
        <f t="shared" ref="BI237:BI248" ca="1" si="426">IF($L237=0,0,
IF($L237&lt;=0.5,BT237,
IF($J237="straight line",
IF((LEFT(BI$43,4)*1)-INT($L237)&lt;LEFT($BI$43,4)*1,0,((OFFSET(BT237,0,-INT($L237+0.5),1,1))/$L237)*(IF($L237-INT($L237)&gt;0.5,$L237-0.5-INT($L237),IF($L237-INT($L237)&lt;=0.5,$L237-0.5-INT($L237)+1,0))))
+BT237/$L237*0.5,
IF($J237="Declining Balance",-$BI$42,0))))</f>
        <v>0</v>
      </c>
      <c r="BJ237" s="387">
        <f t="shared" ref="BJ237:BJ248" ca="1" si="427">IF($L237=0,0,
IF($L237&lt;=0.5,BU237,
IF(AND($J237="straight line",$L237&lt;1.51),(BT237-((BT237/$L237)*0.5))+BU237/$L237*0.5,
IF($J237="straight line",
IF((LEFT(BJ$43,4)*1)-INT($L237)&lt;LEFT($BI$43,4)*1,0,((OFFSET(BU237,0,-INT($L237+0.5),1,1))/$L237)*(IF($L237-INT($L237)&gt;0.5,$L237-0.5-INT($L237),IF($L237-INT($L237)&lt;=0.5,$L237-0.5-INT($L237)+1,0))))
+BU237/$L237*0.5
+SUM(OFFSET(BU237,0,MAX(-INT($L237+(0.5-(10^-12))),-BJ$44)+1,1,MIN(INT($L237+(0.5-(10^-12))),BJ$44)-1))*1/$L237,
IF($J237="Declining Balance",-$BI$42,0)))))</f>
        <v>0</v>
      </c>
      <c r="BK237" s="387">
        <f t="shared" ref="BK237:BK248" ca="1" si="428">IF($L237=0,0,
IF($L237&lt;=0.5,BV237,
IF(AND($J237="straight line",$L237&lt;1.51),(BU237-((BU237/$L237)*0.5))+BV237/$L237*0.5,
IF($J237="straight line",
IF((LEFT(BK$43,4)*1)-INT($L237)&lt;LEFT($BI$43,4)*1,0,((OFFSET(BV237,0,-INT($L237+0.5),1,1))/$L237)*(IF($L237-INT($L237)&gt;0.5,$L237-0.5-INT($L237),IF($L237-INT($L237)&lt;=0.5,$L237-0.5-INT($L237)+1,0))))
+BV237/$L237*0.5
+SUM(OFFSET(BV237,0,MAX(-INT($L237+(0.5-(10^-12))),-BK$44)+1,1,MIN(INT($L237+(0.5-(10^-12))),BK$44)-1))*1/$L237,
IF($J237="Declining Balance",-$BI$42,0)))))</f>
        <v>0</v>
      </c>
      <c r="BL237" s="387">
        <f t="shared" ref="BL237:BL248" ca="1" si="429">IF($L237=0,0,
IF($L237&lt;=0.5,BW237,
IF(AND($J237="straight line",$L237&lt;1.51),(BV237-((BV237/$L237)*0.5))+BW237/$L237*0.5,
IF($J237="straight line",
IF((LEFT(BL$43,4)*1)-INT($L237)&lt;LEFT($BI$43,4)*1,0,((OFFSET(BW237,0,-INT($L237+0.5),1,1))/$L237)*(IF($L237-INT($L237)&gt;0.5,$L237-0.5-INT($L237),IF($L237-INT($L237)&lt;=0.5,$L237-0.5-INT($L237)+1,0))))
+BW237/$L237*0.5
+SUM(OFFSET(BW237,0,MAX(-INT($L237+(0.5-(10^-12))),-BL$44)+1,1,MIN(INT($L237+(0.5-(10^-12))),BL$44)-1))*1/$L237,
IF($J237="Declining Balance",-$BI$42,0)))))</f>
        <v>0</v>
      </c>
      <c r="BM237" s="1283">
        <f t="shared" ref="BM237:BM248" ca="1" si="430">IF($L237=0,0,
IF($L237&lt;=0.5,BX237,
IF(AND($J237="straight line",$L237&lt;1.51),(BW237-((BW237/$L237)*0.5))+BX237/$L237*0.5,
IF($J237="straight line",
IF((LEFT(BM$43,4)*1)-INT($L237)&lt;LEFT($BI$43,4)*1,0,((OFFSET(BX237,0,-INT($L237+0.5),1,1))/$L237)*(IF($L237-INT($L237)&gt;0.5,$L237-0.5-INT($L237),IF($L237-INT($L237)&lt;=0.5,$L237-0.5-INT($L237)+1,0))))
+BX237/$L237*0.5
+SUM(OFFSET(BX237,0,MAX(-INT($L237+(0.5-(10^-12))),-BM$44)+1,1,MIN(INT($L237+(0.5-(10^-12))),BM$44)-1))*1/$L237,
IF($J237="Declining Balance",-$BI$42,0)))))</f>
        <v>0</v>
      </c>
      <c r="BN237" s="386">
        <f t="shared" ref="BN237:BN248" ca="1" si="431">IF($L237=0,0,
IF($L237&lt;=0.5,BY237,
IF(AND($J237="straight line",$L237&lt;1.51),(BX237-((BX237/$L237)*0.5))+BY237/$L237*0.5,
IF($J237="straight line",
IF((LEFT(BN$43,4)*1)-INT($L237)&lt;LEFT($BI$43,4)*1,0,((OFFSET(BY237,0,-INT($L237+0.5),1,1))/$L237)*(IF($L237-INT($L237)&gt;0.5,$L237-0.5-INT($L237),IF($L237-INT($L237)&lt;=0.5,$L237-0.5-INT($L237)+1,0))))
+BY237/$L237*0.5
+SUM(OFFSET(BY237,0,MAX(-INT($L237+(0.5-(10^-12))),-BN$44)+1,1,MIN(INT($L237+(0.5-(10^-12))),BN$44)-1))*1/$L237,
IF($J237="Declining Balance",-$BI$42,0)))))</f>
        <v>0</v>
      </c>
      <c r="BO237" s="387">
        <f t="shared" ref="BO237:BO248" ca="1" si="432">IF($L237=0,0,
IF($L237&lt;=0.5,BZ237,
IF(AND($J237="straight line",$L237&lt;1.51),(BY237-((BY237/$L237)*0.5))+BZ237/$L237*0.5,
IF($J237="straight line",
IF((LEFT(BO$43,4)*1)-INT($L237)&lt;LEFT($BI$43,4)*1,0,((OFFSET(BZ237,0,-INT($L237+0.5),1,1))/$L237)*(IF($L237-INT($L237)&gt;0.5,$L237-0.5-INT($L237),IF($L237-INT($L237)&lt;=0.5,$L237-0.5-INT($L237)+1,0))))
+BZ237/$L237*0.5
+SUM(OFFSET(BZ237,0,MAX(-INT($L237+(0.5-(10^-12))),-BO$44)+1,1,MIN(INT($L237+(0.5-(10^-12))),BO$44)-1))*1/$L237,
IF($J237="Declining Balance",-$BI$42,0)))))</f>
        <v>0</v>
      </c>
      <c r="BP237" s="1277">
        <f t="shared" ref="BP237:BP248" ca="1" si="433">IF($L237=0,0,
IF($L237&lt;=0.5,CA237,
IF(AND($J237="straight line",$L237&lt;1.51),(BZ237-((BZ237/$L237)*0.5))+CA237/$L237*0.5,
IF($J237="straight line",
IF((LEFT(BP$43,4)*1)-INT($L237)&lt;LEFT($BI$43,4)*1,0,((OFFSET(CA237,0,-INT($L237+0.5),1,1))/$L237)*(IF($L237-INT($L237)&gt;0.5,$L237-0.5-INT($L237),IF($L237-INT($L237)&lt;=0.5,$L237-0.5-INT($L237)+1,0))))
+CA237/$L237*0.5
+SUM(OFFSET(CA237,0,MAX(-INT($L237+(0.5-(10^-12))),-BP$44)+1,1,MIN(INT($L237+(0.5-(10^-12))),BP$44)-1))*1/$L237,
IF($J237="Declining Balance",-$BI$42,0)))))</f>
        <v>0</v>
      </c>
      <c r="BQ237" s="1277">
        <f t="shared" ref="BQ237:BQ248" ca="1" si="434">IF($L237=0,0,
IF($L237&lt;=0.5,CB237,
IF(AND($J237="straight line",$L237&lt;1.51),(CA237-((CA237/$L237)*0.5))+CB237/$L237*0.5,
IF($J237="straight line",
IF((LEFT(BQ$43,4)*1)-INT($L237)&lt;LEFT($BI$43,4)*1,0,((OFFSET(CB237,0,-INT($L237+0.5),1,1))/$L237)*(IF($L237-INT($L237)&gt;0.5,$L237-0.5-INT($L237),IF($L237-INT($L237)&lt;=0.5,$L237-0.5-INT($L237)+1,0))))
+CB237/$L237*0.5
+SUM(OFFSET(CB237,0,MAX(-INT($L237+(0.5-(10^-12))),-BQ$44)+1,1,MIN(INT($L237+(0.5-(10^-12))),BQ$44)-1))*1/$L237,
IF($J237="Declining Balance",-$BI$42,0)))))</f>
        <v>0</v>
      </c>
      <c r="BR237" s="388">
        <f t="shared" ref="BR237:BR248" ca="1" si="435">IF($L237=0,0,
IF($L237&lt;=0.5,CC237,
IF(AND($J237="straight line",$L237&lt;1.51),(CB237-((CB237/$L237)*0.5))+CC237/$L237*0.5,
IF($J237="straight line",
IF((LEFT(BR$43,4)*1)-INT($L237)&lt;LEFT($BI$43,4)*1,0,((OFFSET(CC237,0,-INT($L237+0.5),1,1))/$L237)*(IF($L237-INT($L237)&gt;0.5,$L237-0.5-INT($L237),IF($L237-INT($L237)&lt;=0.5,$L237-0.5-INT($L237)+1,0))))
+CC237/$L237*0.5
+SUM(OFFSET(CC237,0,MAX(-INT($L237+(0.5-(10^-12))),-BR$44)+1,1,MIN(INT($L237+(0.5-(10^-12))),BR$44)-1))*1/$L237,
IF($J237="Declining Balance",-$BI$42,0)))))</f>
        <v>0</v>
      </c>
      <c r="BS237" s="1025"/>
      <c r="BT237" s="1282">
        <f>+IF($K237="Ongoing",AX237,IF(RIGHT($K237,2)=RIGHT(BT$43,2),SUM($AX237:AX237),0)+IF(RIGHT(BT$43,2)&gt;RIGHT($K237,2),AX237,0))</f>
        <v>0</v>
      </c>
      <c r="BU237" s="387">
        <f>+IF($K237="Ongoing",AY237,IF(RIGHT($K237,2)=RIGHT(BU$43,2),SUM($AX237:AY237),0)+IF(RIGHT(BU$43,2)&gt;RIGHT($K237,2),AY237,0))</f>
        <v>0</v>
      </c>
      <c r="BV237" s="387">
        <f>+IF($K237="Ongoing",AZ237,IF(RIGHT($K237,2)=RIGHT(BV$43,2),SUM($AX237:AZ237),0)+IF(RIGHT(BV$43,2)&gt;RIGHT($K237,2),AZ237,0))</f>
        <v>0</v>
      </c>
      <c r="BW237" s="387">
        <f>+IF($K237="Ongoing",BA237,IF(RIGHT($K237,2)=RIGHT(BW$43,2),SUM($AX237:BA237),0)+IF(RIGHT(BW$43,2)&gt;RIGHT($K237,2),BA237,0))</f>
        <v>0</v>
      </c>
      <c r="BX237" s="1283">
        <f>+IF($K237="Ongoing",BB237,IF(RIGHT($K237,2)=RIGHT(BX$43,2),SUM($AX237:BB237),0)+IF(RIGHT(BX$43,2)&gt;RIGHT($K237,2),BB237,0))</f>
        <v>0</v>
      </c>
      <c r="BY237" s="386">
        <f>+IF($K237="Ongoing",BC237,IF(RIGHT($K237,2)=RIGHT(BY$43,2),SUM($AX237:BC237),0)+IF(RIGHT(BY$43,2)&gt;RIGHT($K237,2),BC237,0))</f>
        <v>0</v>
      </c>
      <c r="BZ237" s="387">
        <f>+IF($K237="Ongoing",BD237,IF(RIGHT($K237,2)=RIGHT(BZ$43,2),SUM($AX237:BD237),0)+IF(RIGHT(BZ$43,2)&gt;RIGHT($K237,2),BD237,0))</f>
        <v>0</v>
      </c>
      <c r="CA237" s="1277">
        <f>+IF($K237="Ongoing",BE237,IF(RIGHT($K237,2)=RIGHT(CA$43,2),SUM($AX237:BE237),0)+IF(RIGHT(CA$43,2)&gt;RIGHT($K237,2),BE237,0))</f>
        <v>0</v>
      </c>
      <c r="CB237" s="1277">
        <f>+IF($K237="Ongoing",BF237,IF(RIGHT($K237,2)=RIGHT(CB$43,2),SUM($AX237:BF237),0)+IF(RIGHT(CB$43,2)&gt;RIGHT($K237,2),BF237,0))</f>
        <v>0</v>
      </c>
      <c r="CC237" s="388">
        <f>+IF($K237="Ongoing",BG237,IF(RIGHT($K237,2)=RIGHT(CC$43,2),SUM($AX237:BG237),0)+IF(RIGHT(CC$43,2)&gt;RIGHT($K237,2),BG237,0))</f>
        <v>0</v>
      </c>
      <c r="CD237" s="1025"/>
      <c r="CE237" s="1282">
        <f>+Q237*KeyAssumptionsPriceControl_FO!AF$15</f>
        <v>0</v>
      </c>
      <c r="CF237" s="387">
        <f>+R237*KeyAssumptionsPriceControl_FO!AG$15</f>
        <v>0</v>
      </c>
      <c r="CG237" s="387">
        <f>+S237*KeyAssumptionsPriceControl_FO!AH$15</f>
        <v>0</v>
      </c>
      <c r="CH237" s="387">
        <f>+T237*KeyAssumptionsPriceControl_FO!AI$15</f>
        <v>0</v>
      </c>
      <c r="CI237" s="1283">
        <f>+U237*KeyAssumptionsPriceControl_FO!AJ$15</f>
        <v>0</v>
      </c>
      <c r="CJ237" s="386">
        <f>+V237*KeyAssumptionsPriceControl_FO!AK$15</f>
        <v>0</v>
      </c>
      <c r="CK237" s="387">
        <f>+W237*KeyAssumptionsPriceControl_FO!AL$15</f>
        <v>0</v>
      </c>
      <c r="CL237" s="1277">
        <f>+X237*KeyAssumptionsPriceControl_FO!AM$15</f>
        <v>0</v>
      </c>
      <c r="CM237" s="1277">
        <f>+Y237*KeyAssumptionsPriceControl_FO!AN$15</f>
        <v>0</v>
      </c>
      <c r="CN237" s="388">
        <f>+Z237*KeyAssumptionsPriceControl_FO!AO$15</f>
        <v>0</v>
      </c>
      <c r="CO237" s="1025"/>
      <c r="CP237" s="1282">
        <f t="shared" ref="CP237:CP248" ca="1" si="436">IF($M237="straight line",IF($N237=0,0,
IF($N237&lt;=0.5,CE237,
IF($J237="straight line",
IF((LEFT(CP$43,4)*1)-INT($N237)&lt;LEFT($CP$43,4)*1,0,((OFFSET(CE237,0,-INT($N237+0.5),1,1))/$N237)*(IF($N237-INT($N237)&gt;0.5,$N237-0.5-INT($N237),IF($N237-INT($N237)&lt;=0.5,$N237-0.5-INT($N237)+1,0))))
+CE237/$N237*0.5,
IF($J237="Declining Balance",-$CP$42,0)))),IFERROR(FG237,0))</f>
        <v>0</v>
      </c>
      <c r="CQ237" s="387">
        <f t="shared" ref="CQ237:CQ248" ca="1" si="437">IF($M237="straight line",IF($N237=0,0,
IF($N237&lt;=0.5,CF237,
IF($J237="straight line",
IF((LEFT(CQ$43,4)*1)-INT($N237)&lt;LEFT($CP$43,4)*1,0,((OFFSET(CF237,0,-INT($N237+0.5),1,1))/$N237)*(IF($N237-INT($N237)&gt;0.5,$N237-0.5-INT($N237),IF($N237-INT($N237)&lt;=0.5,$N237-0.5-INT($N237)+1,0))))
+CF237/$N237*0.5,
IF($J237="Declining Balance",-$CP$42,0)))),IFERROR(FH237,0))</f>
        <v>0</v>
      </c>
      <c r="CR237" s="387">
        <f t="shared" ref="CR237:CR248" ca="1" si="438">IF($M237="straight line",IF($N237=0,0,
IF($N237&lt;=0.5,CG237,
IF($J237="straight line",
IF((LEFT(CR$43,4)*1)-INT($N237)&lt;LEFT($CP$43,4)*1,0,((OFFSET(CG237,0,-INT($N237+0.5),1,1))/$N237)*(IF($N237-INT($N237)&gt;0.5,$N237-0.5-INT($N237),IF($N237-INT($N237)&lt;=0.5,$N237-0.5-INT($N237)+1,0))))
+CG237/$N237*0.5,
IF($J237="Declining Balance",-$CP$42,0)))),IFERROR(FI237,0))</f>
        <v>0</v>
      </c>
      <c r="CS237" s="387">
        <f t="shared" ref="CS237:CS248" ca="1" si="439">IF($M237="straight line",IF($N237=0,0,
IF($N237&lt;=0.5,CH237,
IF($J237="straight line",
IF((LEFT(CS$43,4)*1)-INT($N237)&lt;LEFT($CP$43,4)*1,0,((OFFSET(CH237,0,-INT($N237+0.5),1,1))/$N237)*(IF($N237-INT($N237)&gt;0.5,$N237-0.5-INT($N237),IF($N237-INT($N237)&lt;=0.5,$N237-0.5-INT($N237)+1,0))))
+CH237/$N237*0.5,
IF($J237="Declining Balance",-$CP$42,0)))),IFERROR(FJ237,0))</f>
        <v>0</v>
      </c>
      <c r="CT237" s="1283">
        <f t="shared" ref="CT237:CT248" ca="1" si="440">IF($M237="straight line",IF($N237=0,0,
IF($N237&lt;=0.5,CI237,
IF($J237="straight line",
IF((LEFT(CT$43,4)*1)-INT($N237)&lt;LEFT($CP$43,4)*1,0,((OFFSET(CI237,0,-INT($N237+0.5),1,1))/$N237)*(IF($N237-INT($N237)&gt;0.5,$N237-0.5-INT($N237),IF($N237-INT($N237)&lt;=0.5,$N237-0.5-INT($N237)+1,0))))
+CI237/$N237*0.5,
IF($J237="Declining Balance",-$CP$42,0)))),IFERROR(FK237,0))</f>
        <v>0</v>
      </c>
      <c r="CU237" s="386">
        <f t="shared" ref="CU237:CU248" ca="1" si="441">IF($M237="straight line",IF($N237=0,0,
IF($N237&lt;=0.5,CJ237,
IF($J237="straight line",
IF((LEFT(CU$43,4)*1)-INT($N237)&lt;LEFT($CP$43,4)*1,0,((OFFSET(CJ237,0,-INT($N237+0.5),1,1))/$N237)*(IF($N237-INT($N237)&gt;0.5,$N237-0.5-INT($N237),IF($N237-INT($N237)&lt;=0.5,$N237-0.5-INT($N237)+1,0))))
+CJ237/$N237*0.5,
IF($J237="Declining Balance",-$CP$42,0)))),IFERROR(FL237,0))</f>
        <v>0</v>
      </c>
      <c r="CV237" s="387">
        <f t="shared" ref="CV237:CV248" ca="1" si="442">IF($M237="straight line",IF($N237=0,0,
IF($N237&lt;=0.5,CK237,
IF($J237="straight line",
IF((LEFT(CV$43,4)*1)-INT($N237)&lt;LEFT($CP$43,4)*1,0,((OFFSET(CK237,0,-INT($N237+0.5),1,1))/$N237)*(IF($N237-INT($N237)&gt;0.5,$N237-0.5-INT($N237),IF($N237-INT($N237)&lt;=0.5,$N237-0.5-INT($N237)+1,0))))
+CK237/$N237*0.5,
IF($J237="Declining Balance",-$CP$42,0)))),IFERROR(FM237,0))</f>
        <v>0</v>
      </c>
      <c r="CW237" s="1277">
        <f t="shared" ref="CW237:CW248" ca="1" si="443">IF($M237="straight line",IF($N237=0,0,
IF($N237&lt;=0.5,CL237,
IF($J237="straight line",
IF((LEFT(CW$43,4)*1)-INT($N237)&lt;LEFT($CP$43,4)*1,0,((OFFSET(CL237,0,-INT($N237+0.5),1,1))/$N237)*(IF($N237-INT($N237)&gt;0.5,$N237-0.5-INT($N237),IF($N237-INT($N237)&lt;=0.5,$N237-0.5-INT($N237)+1,0))))
+CL237/$N237*0.5,
IF($J237="Declining Balance",-$CP$42,0)))),IFERROR(FN237,0))</f>
        <v>0</v>
      </c>
      <c r="CX237" s="1277">
        <f t="shared" ref="CX237:CX248" ca="1" si="444">IF($M237="straight line",IF($N237=0,0,
IF($N237&lt;=0.5,CM237,
IF($J237="straight line",
IF((LEFT(CX$43,4)*1)-INT($N237)&lt;LEFT($CP$43,4)*1,0,((OFFSET(CM237,0,-INT($N237+0.5),1,1))/$N237)*(IF($N237-INT($N237)&gt;0.5,$N237-0.5-INT($N237),IF($N237-INT($N237)&lt;=0.5,$N237-0.5-INT($N237)+1,0))))
+CM237/$N237*0.5,
IF($J237="Declining Balance",-$CP$42,0)))),IFERROR(FO237,0))</f>
        <v>0</v>
      </c>
      <c r="CY237" s="388">
        <f t="shared" ref="CY237:CY248" ca="1" si="445">IF($M237="straight line",IF($N237=0,0,
IF($N237&lt;=0.5,CN237,
IF($J237="straight line",
IF((LEFT(CY$43,4)*1)-INT($N237)&lt;LEFT($CP$43,4)*1,0,((OFFSET(CN237,0,-INT($N237+0.5),1,1))/$N237)*(IF($N237-INT($N237)&gt;0.5,$N237-0.5-INT($N237),IF($N237-INT($N237)&lt;=0.5,$N237-0.5-INT($N237)+1,0))))
+CN237/$N237*0.5,
IF($J237="Declining Balance",-$CP$42,0)))),IFERROR(FP237,0))</f>
        <v>0</v>
      </c>
      <c r="CZ237" s="347"/>
      <c r="DA237" s="852"/>
      <c r="DB237" s="347"/>
      <c r="DC237" s="1012" t="s">
        <v>517</v>
      </c>
      <c r="DD237" s="841" t="s">
        <v>518</v>
      </c>
      <c r="DE237" s="386">
        <f>+IF($K237="ongoing",CE237,IF(RIGHT($K237,2)=RIGHT(DE$43,2),SUM($CD237:CE237),0)+IF(RIGHT(DE$43,2)&gt;RIGHT($K237,2),CE237,0))</f>
        <v>0</v>
      </c>
      <c r="DF237" s="387">
        <f>+IF($K237="ongoing",CF237,IF(RIGHT($K237,2)=RIGHT(DF$43,2),SUM($CD237:CF237),0)+IF(RIGHT(DF$43,2)&gt;RIGHT($K237,2),CF237,0))</f>
        <v>0</v>
      </c>
      <c r="DG237" s="388">
        <f>+IF($K237="ongoing",CG237,IF(RIGHT($K237,2)=RIGHT(DG$43,2),SUM($CD237:CG237),0)+IF(RIGHT(DG$43,2)&gt;RIGHT($K237,2),CG237,0))</f>
        <v>0</v>
      </c>
      <c r="DH237" s="386">
        <f>+IF($K237="ongoing",CH237,IF(RIGHT($K237,2)=RIGHT(DH$43,2),SUM($CD237:CH237),0)+IF(RIGHT(DH$43,2)&gt;RIGHT($K237,2),CH237,0))</f>
        <v>0</v>
      </c>
      <c r="DI237" s="387">
        <f>+IF($K237="ongoing",CI237,IF(RIGHT($K237,2)=RIGHT(DI$43,2),SUM($CD237:CI237),0)+IF(RIGHT(DI$43,2)&gt;RIGHT($K237,2),CI237,0))</f>
        <v>0</v>
      </c>
      <c r="DJ237" s="387">
        <f>+IF($K237="ongoing",CJ237,IF(RIGHT($K237,2)=RIGHT(DJ$43,2),SUM($CD237:CJ237),0)+IF(RIGHT(DJ$43,2)&gt;RIGHT($K237,2),CJ237,0))</f>
        <v>0</v>
      </c>
      <c r="DK237" s="387">
        <f>+IF($K237="ongoing",CK237,IF(RIGHT($K237,2)=RIGHT(DK$43,2),SUM($CD237:CK237),0)+IF(RIGHT(DK$43,2)&gt;RIGHT($K237,2),CK237,0))</f>
        <v>0</v>
      </c>
      <c r="DL237" s="388">
        <f>+IF($K237="ongoing",CN237,IF(RIGHT($K237,2)=RIGHT(DL$43,2),SUM($CD237:CN237),0)+IF(RIGHT(DL$43,2)&gt;RIGHT($K237,2),CN237,0))</f>
        <v>0</v>
      </c>
      <c r="DM237" s="841"/>
      <c r="DN237" s="386">
        <f t="shared" ref="DN237:DU248" si="446">+MIN(IF($N237&lt;=$DC237,MIN($N237,1),$N237),IF(DN$44=1,0.5,DM237+1))</f>
        <v>0.5</v>
      </c>
      <c r="DO237" s="387">
        <f t="shared" si="446"/>
        <v>1</v>
      </c>
      <c r="DP237" s="388">
        <f t="shared" si="446"/>
        <v>1</v>
      </c>
      <c r="DQ237" s="386">
        <f t="shared" si="446"/>
        <v>1</v>
      </c>
      <c r="DR237" s="387">
        <f t="shared" si="446"/>
        <v>1</v>
      </c>
      <c r="DS237" s="387">
        <f t="shared" si="446"/>
        <v>1</v>
      </c>
      <c r="DT237" s="387">
        <f t="shared" si="446"/>
        <v>1</v>
      </c>
      <c r="DU237" s="388">
        <f t="shared" si="446"/>
        <v>1</v>
      </c>
      <c r="DW237" s="386">
        <f t="shared" ref="DW237:ED248" si="447">+IF(DW$44=1,0,MIN(IF($N237&lt;=$DC237,MIN($N237,1),$N237),IF(DW$44=2,0.5,DV237+1)))</f>
        <v>0</v>
      </c>
      <c r="DX237" s="387">
        <f t="shared" si="447"/>
        <v>0.5</v>
      </c>
      <c r="DY237" s="388">
        <f t="shared" si="447"/>
        <v>1</v>
      </c>
      <c r="DZ237" s="386">
        <f t="shared" si="447"/>
        <v>1</v>
      </c>
      <c r="EA237" s="387">
        <f t="shared" si="447"/>
        <v>1</v>
      </c>
      <c r="EB237" s="387">
        <f t="shared" si="447"/>
        <v>1</v>
      </c>
      <c r="EC237" s="387">
        <f t="shared" si="447"/>
        <v>1</v>
      </c>
      <c r="ED237" s="388">
        <f t="shared" si="447"/>
        <v>1</v>
      </c>
      <c r="EF237" s="834">
        <f>+IF(DN237=DM237,0,
IF(AND(EF$44&gt;1,DN237=$N237),1-SUM($EE237:EE237),
IF($N237&lt;=1,
IF($N237&gt;0,1/$N237,0),
IF(EF$44=1,0,VDB(1,0,$N237,INT(EF$44-1-1),MIN($N237,INT(EF$44-1-1)+1),$DC237,IF($DD237="No",1,0))/
IF(DM237&gt;=INT($N237),$N237-INT($N237),1)))*
IF(EF$44=1,0,
IF(INT(DN237)=INT(DM237),DN237-DM237,INT(DN237)-DM237))+
IF($N237&lt;=1,
IF($N237&gt;0,1/$N237,0),VDB(1,0,$N237,INT(EF$44-1),MIN($N237,INT(EF$44-1)+1),$DC237,IF($DD237="No",1,0))/
IF(DN237&gt;INT($N237),$N237-INT($N237),1))*
IF(EF$44=1,DN237,
IF(INT(DN237)=INT(DM237),0,DN237-INT(DN237)))))</f>
        <v>0</v>
      </c>
      <c r="EG237" s="835">
        <f>+IF(DO237=DN237,0,
IF(AND(EG$44&gt;1,DO237=$N237),1-SUM($EE237:EF237),
IF($N237&lt;=1,
IF($N237&gt;0,1/$N237,0),
IF(EG$44=1,0,VDB(1,0,$N237,INT(EG$44-1-1),MIN($N237,INT(EG$44-1-1)+1),$DC237,IF($DD237="No",1,0))/
IF(DN237&gt;=INT($N237),$N237-INT($N237),1)))*
IF(EG$44=1,0,
IF(INT(DO237)=INT(DN237),DO237-DN237,INT(DO237)-DN237))+
IF($N237&lt;=1,
IF($N237&gt;0,1/$N237,0),VDB(1,0,$N237,INT(EG$44-1),MIN($N237,INT(EG$44-1)+1),$DC237,IF($DD237="No",1,0))/
IF(DO237&gt;INT($N237),$N237-INT($N237),1))*
IF(EG$44=1,DO237,
IF(INT(DO237)=INT(DN237),0,DO237-INT(DO237)))))</f>
        <v>0</v>
      </c>
      <c r="EH237" s="836">
        <f>+IF(DP237=DO237,0,
IF(AND(EH$44&gt;1,DP237=$N237),1-SUM($EE237:EG237),
IF($N237&lt;=1,
IF($N237&gt;0,1/$N237,0),
IF(EH$44=1,0,VDB(1,0,$N237,INT(EH$44-1-1),MIN($N237,INT(EH$44-1-1)+1),$DC237,IF($DD237="No",1,0))/
IF(DO237&gt;=INT($N237),$N237-INT($N237),1)))*
IF(EH$44=1,0,
IF(INT(DP237)=INT(DO237),DP237-DO237,INT(DP237)-DO237))+
IF($N237&lt;=1,
IF($N237&gt;0,1/$N237,0),VDB(1,0,$N237,INT(EH$44-1),MIN($N237,INT(EH$44-1)+1),$DC237,IF($DD237="No",1,0))/
IF(DP237&gt;INT($N237),$N237-INT($N237),1))*
IF(EH$44=1,DP237,
IF(INT(DP237)=INT(DO237),0,DP237-INT(DP237)))))</f>
        <v>0</v>
      </c>
      <c r="EI237" s="834">
        <f>+IF(DQ237=DP237,0,
IF(AND(EI$44&gt;1,DQ237=$N237),1-SUM($EE237:EH237),
IF($N237&lt;=1,
IF($N237&gt;0,1/$N237,0),
IF(EI$44=1,0,VDB(1,0,$N237,INT(EI$44-1-1),MIN($N237,INT(EI$44-1-1)+1),$DC237,IF($DD237="No",1,0))/
IF(DP237&gt;=INT($N237),$N237-INT($N237),1)))*
IF(EI$44=1,0,
IF(INT(DQ237)=INT(DP237),DQ237-DP237,INT(DQ237)-DP237))+
IF($N237&lt;=1,
IF($N237&gt;0,1/$N237,0),VDB(1,0,$N237,INT(EI$44-1),MIN($N237,INT(EI$44-1)+1),$DC237,IF($DD237="No",1,0))/
IF(DQ237&gt;INT($N237),$N237-INT($N237),1))*
IF(EI$44=1,DQ237,
IF(INT(DQ237)=INT(DP237),0,DQ237-INT(DQ237)))))</f>
        <v>0</v>
      </c>
      <c r="EJ237" s="835">
        <f>+IF(DR237=DQ237,0,
IF(AND(EJ$44&gt;1,DR237=$N237),1-SUM($EE237:EI237),
IF($N237&lt;=1,
IF($N237&gt;0,1/$N237,0),
IF(EJ$44=1,0,VDB(1,0,$N237,INT(EJ$44-1-1),MIN($N237,INT(EJ$44-1-1)+1),$DC237,IF($DD237="No",1,0))/
IF(DQ237&gt;=INT($N237),$N237-INT($N237),1)))*
IF(EJ$44=1,0,
IF(INT(DR237)=INT(DQ237),DR237-DQ237,INT(DR237)-DQ237))+
IF($N237&lt;=1,
IF($N237&gt;0,1/$N237,0),VDB(1,0,$N237,INT(EJ$44-1),MIN($N237,INT(EJ$44-1)+1),$DC237,IF($DD237="No",1,0))/
IF(DR237&gt;INT($N237),$N237-INT($N237),1))*
IF(EJ$44=1,DR237,
IF(INT(DR237)=INT(DQ237),0,DR237-INT(DR237)))))</f>
        <v>0</v>
      </c>
      <c r="EK237" s="835">
        <f>+IF(DS237=DR237,0,
IF(AND(EK$44&gt;1,DS237=$N237),1-SUM($EE237:EJ237),
IF($N237&lt;=1,
IF($N237&gt;0,1/$N237,0),
IF(EK$44=1,0,VDB(1,0,$N237,INT(EK$44-1-1),MIN($N237,INT(EK$44-1-1)+1),$DC237,IF($DD237="No",1,0))/
IF(DR237&gt;=INT($N237),$N237-INT($N237),1)))*
IF(EK$44=1,0,
IF(INT(DS237)=INT(DR237),DS237-DR237,INT(DS237)-DR237))+
IF($N237&lt;=1,
IF($N237&gt;0,1/$N237,0),VDB(1,0,$N237,INT(EK$44-1),MIN($N237,INT(EK$44-1)+1),$DC237,IF($DD237="No",1,0))/
IF(DS237&gt;INT($N237),$N237-INT($N237),1))*
IF(EK$44=1,DS237,
IF(INT(DS237)=INT(DR237),0,DS237-INT(DS237)))))</f>
        <v>0</v>
      </c>
      <c r="EL237" s="835">
        <f>+IF(DT237=DS237,0,
IF(AND(EL$44&gt;1,DT237=$N237),1-SUM($EE237:EK237),
IF($N237&lt;=1,
IF($N237&gt;0,1/$N237,0),
IF(EL$44=1,0,VDB(1,0,$N237,INT(EL$44-1-1),MIN($N237,INT(EL$44-1-1)+1),$DC237,IF($DD237="No",1,0))/
IF(DS237&gt;=INT($N237),$N237-INT($N237),1)))*
IF(EL$44=1,0,
IF(INT(DT237)=INT(DS237),DT237-DS237,INT(DT237)-DS237))+
IF($N237&lt;=1,
IF($N237&gt;0,1/$N237,0),VDB(1,0,$N237,INT(EL$44-1),MIN($N237,INT(EL$44-1)+1),$DC237,IF($DD237="No",1,0))/
IF(DT237&gt;INT($N237),$N237-INT($N237),1))*
IF(EL$44=1,DT237,
IF(INT(DT237)=INT(DS237),0,DT237-INT(DT237)))))</f>
        <v>0</v>
      </c>
      <c r="EM237" s="836">
        <f>+IF(DU237=DT237,0,
IF(AND(EM$44&gt;1,DU237=$N237),1-SUM($EE237:EL237),
IF($N237&lt;=1,
IF($N237&gt;0,1/$N237,0),
IF(EM$44=1,0,VDB(1,0,$N237,INT(EM$44-1-1),MIN($N237,INT(EM$44-1-1)+1),$DC237,IF($DD237="No",1,0))/
IF(DT237&gt;=INT($N237),$N237-INT($N237),1)))*
IF(EM$44=1,0,
IF(INT(DU237)=INT(DT237),DU237-DT237,INT(DU237)-DT237))+
IF($N237&lt;=1,
IF($N237&gt;0,1/$N237,0),VDB(1,0,$N237,INT(EM$44-1),MIN($N237,INT(EM$44-1)+1),$DC237,IF($DD237="No",1,0))/
IF(DU237&gt;INT($N237),$N237-INT($N237),1))*
IF(EM$44=1,DU237,
IF(INT(DU237)=INT(DT237),0,DU237-INT(DU237)))))</f>
        <v>0</v>
      </c>
      <c r="EN237" s="833"/>
      <c r="EO237" s="834">
        <f>+IF(OR(DW237=DV237,EO$44=1),0,
IF(AND(EO$44&gt;1,DW237=$N237),1-SUM($EN237:EN237),
IF($N237&lt;=1,
IF($N237&gt;0,1/$N237,0),
IF(EO$44=2,0,VDB(1,0,$N237,INT(EO$44-2-1),MIN($N237,INT(EO$44-2-1)+1),$DC237,IF($DD237="No",1,0))/
IF(DV237&gt;=INT($N237),$N237-INT($N237),1)))*
IF(EO$44=2,0,
IF(INT(DW237)=INT(DV237),DW237-DV237,INT(DW237)-DV237))+
IF($N237&lt;=1,
IF($N237&gt;0,1/$N237,0),VDB(1,0,$N237,INT(EO$44-2),MIN($N237,INT(EO$44-2)+1),$DC237,IF($DD237="No",1,0))/
IF(DW237&gt;INT($N237),$N237-INT($N237),1))*
IF(EO$44=2,DW237,
IF(INT(DW237)=INT(DV237),0,DW237-INT(DW237)))))</f>
        <v>0</v>
      </c>
      <c r="EP237" s="835">
        <f>+IF(OR(DX237=DW237,EP$44=1),0,
IF(AND(EP$44&gt;1,DX237=$N237),1-SUM($EN237:EO237),
IF($N237&lt;=1,
IF($N237&gt;0,1/$N237,0),
IF(EP$44=2,0,VDB(1,0,$N237,INT(EP$44-2-1),MIN($N237,INT(EP$44-2-1)+1),$DC237,IF($DD237="No",1,0))/
IF(DW237&gt;=INT($N237),$N237-INT($N237),1)))*
IF(EP$44=2,0,
IF(INT(DX237)=INT(DW237),DX237-DW237,INT(DX237)-DW237))+
IF($N237&lt;=1,
IF($N237&gt;0,1/$N237,0),VDB(1,0,$N237,INT(EP$44-2),MIN($N237,INT(EP$44-2)+1),$DC237,IF($DD237="No",1,0))/
IF(DX237&gt;INT($N237),$N237-INT($N237),1))*
IF(EP$44=2,DX237,
IF(INT(DX237)=INT(DW237),0,DX237-INT(DX237)))))</f>
        <v>0</v>
      </c>
      <c r="EQ237" s="836">
        <f>+IF(OR(DY237=DX237,EQ$44=1),0,
IF(AND(EQ$44&gt;1,DY237=$N237),1-SUM($EN237:EP237),
IF($N237&lt;=1,
IF($N237&gt;0,1/$N237,0),
IF(EQ$44=2,0,VDB(1,0,$N237,INT(EQ$44-2-1),MIN($N237,INT(EQ$44-2-1)+1),$DC237,IF($DD237="No",1,0))/
IF(DX237&gt;=INT($N237),$N237-INT($N237),1)))*
IF(EQ$44=2,0,
IF(INT(DY237)=INT(DX237),DY237-DX237,INT(DY237)-DX237))+
IF($N237&lt;=1,
IF($N237&gt;0,1/$N237,0),VDB(1,0,$N237,INT(EQ$44-2),MIN($N237,INT(EQ$44-2)+1),$DC237,IF($DD237="No",1,0))/
IF(DY237&gt;INT($N237),$N237-INT($N237),1))*
IF(EQ$44=2,DY237,
IF(INT(DY237)=INT(DX237),0,DY237-INT(DY237)))))</f>
        <v>0</v>
      </c>
      <c r="ER237" s="834">
        <f>+IF(OR(DZ237=DY237,ER$44=1),0,
IF(AND(ER$44&gt;1,DZ237=$N237),1-SUM($EN237:EQ237),
IF($N237&lt;=1,
IF($N237&gt;0,1/$N237,0),
IF(ER$44=2,0,VDB(1,0,$N237,INT(ER$44-2-1),MIN($N237,INT(ER$44-2-1)+1),$DC237,IF($DD237="No",1,0))/
IF(DY237&gt;=INT($N237),$N237-INT($N237),1)))*
IF(ER$44=2,0,
IF(INT(DZ237)=INT(DY237),DZ237-DY237,INT(DZ237)-DY237))+
IF($N237&lt;=1,
IF($N237&gt;0,1/$N237,0),VDB(1,0,$N237,INT(ER$44-2),MIN($N237,INT(ER$44-2)+1),$DC237,IF($DD237="No",1,0))/
IF(DZ237&gt;INT($N237),$N237-INT($N237),1))*
IF(ER$44=2,DZ237,
IF(INT(DZ237)=INT(DY237),0,DZ237-INT(DZ237)))))</f>
        <v>0</v>
      </c>
      <c r="ES237" s="835">
        <f>+IF(OR(EA237=DZ237,ES$44=1),0,
IF(AND(ES$44&gt;1,EA237=$N237),1-SUM($EN237:ER237),
IF($N237&lt;=1,
IF($N237&gt;0,1/$N237,0),
IF(ES$44=2,0,VDB(1,0,$N237,INT(ES$44-2-1),MIN($N237,INT(ES$44-2-1)+1),$DC237,IF($DD237="No",1,0))/
IF(DZ237&gt;=INT($N237),$N237-INT($N237),1)))*
IF(ES$44=2,0,
IF(INT(EA237)=INT(DZ237),EA237-DZ237,INT(EA237)-DZ237))+
IF($N237&lt;=1,
IF($N237&gt;0,1/$N237,0),VDB(1,0,$N237,INT(ES$44-2),MIN($N237,INT(ES$44-2)+1),$DC237,IF($DD237="No",1,0))/
IF(EA237&gt;INT($N237),$N237-INT($N237),1))*
IF(ES$44=2,EA237,
IF(INT(EA237)=INT(DZ237),0,EA237-INT(EA237)))))</f>
        <v>0</v>
      </c>
      <c r="ET237" s="835">
        <f>+IF(OR(EB237=EA237,ET$44=1),0,
IF(AND(ET$44&gt;1,EB237=$N237),1-SUM($EN237:ES237),
IF($N237&lt;=1,
IF($N237&gt;0,1/$N237,0),
IF(ET$44=2,0,VDB(1,0,$N237,INT(ET$44-2-1),MIN($N237,INT(ET$44-2-1)+1),$DC237,IF($DD237="No",1,0))/
IF(EA237&gt;=INT($N237),$N237-INT($N237),1)))*
IF(ET$44=2,0,
IF(INT(EB237)=INT(EA237),EB237-EA237,INT(EB237)-EA237))+
IF($N237&lt;=1,
IF($N237&gt;0,1/$N237,0),VDB(1,0,$N237,INT(ET$44-2),MIN($N237,INT(ET$44-2)+1),$DC237,IF($DD237="No",1,0))/
IF(EB237&gt;INT($N237),$N237-INT($N237),1))*
IF(ET$44=2,EB237,
IF(INT(EB237)=INT(EA237),0,EB237-INT(EB237)))))</f>
        <v>0</v>
      </c>
      <c r="EU237" s="835">
        <f>+IF(OR(EC237=EB237,EU$44=1),0,
IF(AND(EU$44&gt;1,EC237=$N237),1-SUM($EN237:ET237),
IF($N237&lt;=1,
IF($N237&gt;0,1/$N237,0),
IF(EU$44=2,0,VDB(1,0,$N237,INT(EU$44-2-1),MIN($N237,INT(EU$44-2-1)+1),$DC237,IF($DD237="No",1,0))/
IF(EB237&gt;=INT($N237),$N237-INT($N237),1)))*
IF(EU$44=2,0,
IF(INT(EC237)=INT(EB237),EC237-EB237,INT(EC237)-EB237))+
IF($N237&lt;=1,
IF($N237&gt;0,1/$N237,0),VDB(1,0,$N237,INT(EU$44-2),MIN($N237,INT(EU$44-2)+1),$DC237,IF($DD237="No",1,0))/
IF(EC237&gt;INT($N237),$N237-INT($N237),1))*
IF(EU$44=2,EC237,
IF(INT(EC237)=INT(EB237),0,EC237-INT(EC237)))))</f>
        <v>0</v>
      </c>
      <c r="EV237" s="836">
        <f>+IF(OR(ED237=EC237,EV$44=1),0,
IF(AND(EV$44&gt;1,ED237=$N237),1-SUM($EN237:EU237),
IF($N237&lt;=1,
IF($N237&gt;0,1/$N237,0),
IF(EV$44=2,0,VDB(1,0,$N237,INT(EV$44-2-1),MIN($N237,INT(EV$44-2-1)+1),$DC237,IF($DD237="No",1,0))/
IF(EC237&gt;=INT($N237),$N237-INT($N237),1)))*
IF(EV$44=2,0,
IF(INT(ED237)=INT(EC237),ED237-EC237,INT(ED237)-EC237))+
IF($N237&lt;=1,
IF($N237&gt;0,1/$N237,0),VDB(1,0,$N237,INT(EV$44-2),MIN($N237,INT(EV$44-2)+1),$DC237,IF($DD237="No",1,0))/
IF(ED237&gt;INT($N237),$N237-INT($N237),1))*
IF(EV$44=2,ED237,
IF(INT(ED237)=INT(EC237),0,ED237-INT(ED237)))))</f>
        <v>0</v>
      </c>
      <c r="EW237" s="833"/>
      <c r="EX237" s="834">
        <f t="shared" ref="EX237:FE248" ca="1" si="448">+OFFSET($EO237,0,MAX($EX$44:$HY$44)-EX$44)</f>
        <v>0</v>
      </c>
      <c r="EY237" s="835">
        <f t="shared" ca="1" si="448"/>
        <v>0</v>
      </c>
      <c r="EZ237" s="836">
        <f t="shared" ca="1" si="448"/>
        <v>0</v>
      </c>
      <c r="FA237" s="834">
        <f t="shared" ca="1" si="448"/>
        <v>0</v>
      </c>
      <c r="FB237" s="835">
        <f t="shared" ca="1" si="448"/>
        <v>0</v>
      </c>
      <c r="FC237" s="835">
        <f t="shared" ca="1" si="448"/>
        <v>0</v>
      </c>
      <c r="FD237" s="835">
        <f t="shared" ca="1" si="448"/>
        <v>0</v>
      </c>
      <c r="FE237" s="836">
        <f t="shared" ca="1" si="448"/>
        <v>0</v>
      </c>
      <c r="FG237" s="386">
        <f t="shared" ref="FG237:FG248" ca="1" si="449">-(-$DE237*(-ISBLANK($DE237)+1)*EF237-
IF(FG$44&gt;1,SUMPRODUCT(OFFSET($DF237,0,0,1,FG$44-1)*(-ISBLANK(OFFSET($DF237,0,0,1,FG$44-1))+1),OFFSET($EX237,0,MAX($FG$44:$HY$44)-FG$44,1,FG$44-1)),0))</f>
        <v>0</v>
      </c>
      <c r="FH237" s="387">
        <f t="shared" ref="FH237:FH248" ca="1" si="450">-(-$DE237*(-ISBLANK($DE237)+1)*EG237-
IF(FH$44&gt;1,SUMPRODUCT(OFFSET($DF237,0,0,1,FH$44-1)*(-ISBLANK(OFFSET($DF237,0,0,1,FH$44-1))+1),OFFSET($EX237,0,MAX($FG$44:$HY$44)-FH$44,1,FH$44-1)),0))</f>
        <v>0</v>
      </c>
      <c r="FI237" s="388">
        <f t="shared" ref="FI237:FI248" ca="1" si="451">-(-$DE237*(-ISBLANK($DE237)+1)*EH237-
IF(FI$44&gt;1,SUMPRODUCT(OFFSET($DF237,0,0,1,FI$44-1)*(-ISBLANK(OFFSET($DF237,0,0,1,FI$44-1))+1),OFFSET($EX237,0,MAX($FG$44:$HY$44)-FI$44,1,FI$44-1)),0))</f>
        <v>0</v>
      </c>
      <c r="FJ237" s="386">
        <f t="shared" ref="FJ237:FJ248" ca="1" si="452">-(-$DE237*(-ISBLANK($DE237)+1)*EI237-
IF(FJ$44&gt;1,SUMPRODUCT(OFFSET($DF237,0,0,1,FJ$44-1)*(-ISBLANK(OFFSET($DF237,0,0,1,FJ$44-1))+1),OFFSET($EX237,0,MAX($FG$44:$HY$44)-FJ$44,1,FJ$44-1)),0))</f>
        <v>0</v>
      </c>
      <c r="FK237" s="387">
        <f t="shared" ref="FK237:FK248" ca="1" si="453">-(-$DE237*(-ISBLANK($DE237)+1)*EJ237-
IF(FK$44&gt;1,SUMPRODUCT(OFFSET($DF237,0,0,1,FK$44-1)*(-ISBLANK(OFFSET($DF237,0,0,1,FK$44-1))+1),OFFSET($EX237,0,MAX($FG$44:$HY$44)-FK$44,1,FK$44-1)),0))</f>
        <v>0</v>
      </c>
      <c r="FL237" s="387">
        <f t="shared" ref="FL237:FL248" ca="1" si="454">-(-$DE237*(-ISBLANK($DE237)+1)*EK237-
IF(FL$44&gt;1,SUMPRODUCT(OFFSET($DF237,0,0,1,FL$44-1)*(-ISBLANK(OFFSET($DF237,0,0,1,FL$44-1))+1),OFFSET($EX237,0,MAX($FG$44:$HY$44)-FL$44,1,FL$44-1)),0))</f>
        <v>0</v>
      </c>
      <c r="FM237" s="387">
        <f t="shared" ref="FM237:FM248" ca="1" si="455">-(-$DE237*(-ISBLANK($DE237)+1)*EL237-
IF(FM$44&gt;1,SUMPRODUCT(OFFSET($DF237,0,0,1,FM$44-1)*(-ISBLANK(OFFSET($DF237,0,0,1,FM$44-1))+1),OFFSET($EX237,0,MAX($FG$44:$HY$44)-FM$44,1,FM$44-1)),0))</f>
        <v>0</v>
      </c>
      <c r="FN237" s="388">
        <f t="shared" ref="FN237:FN248" ca="1" si="456">-(-$DE237*(-ISBLANK($DE237)+1)*EM237-
IF(FN$44&gt;1,SUMPRODUCT(OFFSET($DF237,0,0,1,FN$44-1)*(-ISBLANK(OFFSET($DF237,0,0,1,FN$44-1))+1),OFFSET($EX237,0,MAX($FG$44:$HY$44)-FN$44,1,FN$44-1)),0))</f>
        <v>0</v>
      </c>
      <c r="FR237" s="116"/>
    </row>
    <row r="238" spans="2:174">
      <c r="B238" s="1410">
        <f t="shared" si="359"/>
        <v>192</v>
      </c>
      <c r="C238" s="400"/>
      <c r="D238" s="410"/>
      <c r="E238" s="402"/>
      <c r="F238" s="402"/>
      <c r="G238" s="400"/>
      <c r="H238" s="2088"/>
      <c r="I238" s="2089"/>
      <c r="J238" s="411"/>
      <c r="K238" s="403"/>
      <c r="L238" s="403"/>
      <c r="M238" s="403"/>
      <c r="N238" s="403"/>
      <c r="O238" s="347"/>
      <c r="P238" s="347"/>
      <c r="Q238" s="1021"/>
      <c r="R238" s="1022"/>
      <c r="S238" s="1022"/>
      <c r="T238" s="1022"/>
      <c r="U238" s="1023"/>
      <c r="V238" s="1021"/>
      <c r="W238" s="1022"/>
      <c r="X238" s="1022"/>
      <c r="Y238" s="1022"/>
      <c r="Z238" s="1023"/>
      <c r="AA238" s="1024"/>
      <c r="AB238" s="1021"/>
      <c r="AC238" s="1022"/>
      <c r="AD238" s="1022"/>
      <c r="AE238" s="1022"/>
      <c r="AF238" s="1023"/>
      <c r="AG238" s="1021"/>
      <c r="AH238" s="1022"/>
      <c r="AI238" s="1022"/>
      <c r="AJ238" s="1022"/>
      <c r="AK238" s="1023"/>
      <c r="AL238" s="1024"/>
      <c r="AM238" s="1021"/>
      <c r="AN238" s="1022"/>
      <c r="AO238" s="1022"/>
      <c r="AP238" s="1022"/>
      <c r="AQ238" s="1023"/>
      <c r="AR238" s="1021"/>
      <c r="AS238" s="1022"/>
      <c r="AT238" s="1022"/>
      <c r="AU238" s="1022"/>
      <c r="AV238" s="1023"/>
      <c r="AW238" s="1025"/>
      <c r="AX238" s="1282">
        <f t="shared" si="416"/>
        <v>0</v>
      </c>
      <c r="AY238" s="387">
        <f t="shared" si="417"/>
        <v>0</v>
      </c>
      <c r="AZ238" s="387">
        <f t="shared" si="418"/>
        <v>0</v>
      </c>
      <c r="BA238" s="387">
        <f t="shared" si="419"/>
        <v>0</v>
      </c>
      <c r="BB238" s="1283">
        <f t="shared" si="420"/>
        <v>0</v>
      </c>
      <c r="BC238" s="386">
        <f t="shared" si="421"/>
        <v>0</v>
      </c>
      <c r="BD238" s="387">
        <f t="shared" si="422"/>
        <v>0</v>
      </c>
      <c r="BE238" s="1277">
        <f t="shared" si="423"/>
        <v>0</v>
      </c>
      <c r="BF238" s="1277">
        <f t="shared" si="424"/>
        <v>0</v>
      </c>
      <c r="BG238" s="388">
        <f t="shared" si="425"/>
        <v>0</v>
      </c>
      <c r="BH238" s="1025"/>
      <c r="BI238" s="1282">
        <f t="shared" ca="1" si="426"/>
        <v>0</v>
      </c>
      <c r="BJ238" s="387">
        <f t="shared" ca="1" si="427"/>
        <v>0</v>
      </c>
      <c r="BK238" s="387">
        <f t="shared" ca="1" si="428"/>
        <v>0</v>
      </c>
      <c r="BL238" s="387">
        <f t="shared" ca="1" si="429"/>
        <v>0</v>
      </c>
      <c r="BM238" s="1283">
        <f t="shared" ca="1" si="430"/>
        <v>0</v>
      </c>
      <c r="BN238" s="386">
        <f t="shared" ca="1" si="431"/>
        <v>0</v>
      </c>
      <c r="BO238" s="387">
        <f t="shared" ca="1" si="432"/>
        <v>0</v>
      </c>
      <c r="BP238" s="1277">
        <f t="shared" ca="1" si="433"/>
        <v>0</v>
      </c>
      <c r="BQ238" s="1277">
        <f t="shared" ca="1" si="434"/>
        <v>0</v>
      </c>
      <c r="BR238" s="388">
        <f t="shared" ca="1" si="435"/>
        <v>0</v>
      </c>
      <c r="BS238" s="1025"/>
      <c r="BT238" s="1282">
        <f>+IF($K238="Ongoing",AX238,IF(RIGHT($K238,2)=RIGHT(BT$43,2),SUM($AX238:AX238),0)+IF(RIGHT(BT$43,2)&gt;RIGHT($K238,2),AX238,0))</f>
        <v>0</v>
      </c>
      <c r="BU238" s="387">
        <f>+IF($K238="Ongoing",AY238,IF(RIGHT($K238,2)=RIGHT(BU$43,2),SUM($AX238:AY238),0)+IF(RIGHT(BU$43,2)&gt;RIGHT($K238,2),AY238,0))</f>
        <v>0</v>
      </c>
      <c r="BV238" s="387">
        <f>+IF($K238="Ongoing",AZ238,IF(RIGHT($K238,2)=RIGHT(BV$43,2),SUM($AX238:AZ238),0)+IF(RIGHT(BV$43,2)&gt;RIGHT($K238,2),AZ238,0))</f>
        <v>0</v>
      </c>
      <c r="BW238" s="387">
        <f>+IF($K238="Ongoing",BA238,IF(RIGHT($K238,2)=RIGHT(BW$43,2),SUM($AX238:BA238),0)+IF(RIGHT(BW$43,2)&gt;RIGHT($K238,2),BA238,0))</f>
        <v>0</v>
      </c>
      <c r="BX238" s="1283">
        <f>+IF($K238="Ongoing",BB238,IF(RIGHT($K238,2)=RIGHT(BX$43,2),SUM($AX238:BB238),0)+IF(RIGHT(BX$43,2)&gt;RIGHT($K238,2),BB238,0))</f>
        <v>0</v>
      </c>
      <c r="BY238" s="386">
        <f>+IF($K238="Ongoing",BC238,IF(RIGHT($K238,2)=RIGHT(BY$43,2),SUM($AX238:BC238),0)+IF(RIGHT(BY$43,2)&gt;RIGHT($K238,2),BC238,0))</f>
        <v>0</v>
      </c>
      <c r="BZ238" s="387">
        <f>+IF($K238="Ongoing",BD238,IF(RIGHT($K238,2)=RIGHT(BZ$43,2),SUM($AX238:BD238),0)+IF(RIGHT(BZ$43,2)&gt;RIGHT($K238,2),BD238,0))</f>
        <v>0</v>
      </c>
      <c r="CA238" s="1277">
        <f>+IF($K238="Ongoing",BE238,IF(RIGHT($K238,2)=RIGHT(CA$43,2),SUM($AX238:BE238),0)+IF(RIGHT(CA$43,2)&gt;RIGHT($K238,2),BE238,0))</f>
        <v>0</v>
      </c>
      <c r="CB238" s="1277">
        <f>+IF($K238="Ongoing",BF238,IF(RIGHT($K238,2)=RIGHT(CB$43,2),SUM($AX238:BF238),0)+IF(RIGHT(CB$43,2)&gt;RIGHT($K238,2),BF238,0))</f>
        <v>0</v>
      </c>
      <c r="CC238" s="388">
        <f>+IF($K238="Ongoing",BG238,IF(RIGHT($K238,2)=RIGHT(CC$43,2),SUM($AX238:BG238),0)+IF(RIGHT(CC$43,2)&gt;RIGHT($K238,2),BG238,0))</f>
        <v>0</v>
      </c>
      <c r="CD238" s="1025"/>
      <c r="CE238" s="1282">
        <f>+Q238*KeyAssumptionsPriceControl_FO!AF$15</f>
        <v>0</v>
      </c>
      <c r="CF238" s="387">
        <f>+R238*KeyAssumptionsPriceControl_FO!AG$15</f>
        <v>0</v>
      </c>
      <c r="CG238" s="387">
        <f>+S238*KeyAssumptionsPriceControl_FO!AH$15</f>
        <v>0</v>
      </c>
      <c r="CH238" s="387">
        <f>+T238*KeyAssumptionsPriceControl_FO!AI$15</f>
        <v>0</v>
      </c>
      <c r="CI238" s="1283">
        <f>+U238*KeyAssumptionsPriceControl_FO!AJ$15</f>
        <v>0</v>
      </c>
      <c r="CJ238" s="386">
        <f>+V238*KeyAssumptionsPriceControl_FO!AK$15</f>
        <v>0</v>
      </c>
      <c r="CK238" s="387">
        <f>+W238*KeyAssumptionsPriceControl_FO!AL$15</f>
        <v>0</v>
      </c>
      <c r="CL238" s="1277">
        <f>+X238*KeyAssumptionsPriceControl_FO!AM$15</f>
        <v>0</v>
      </c>
      <c r="CM238" s="1277">
        <f>+Y238*KeyAssumptionsPriceControl_FO!AN$15</f>
        <v>0</v>
      </c>
      <c r="CN238" s="388">
        <f>+Z238*KeyAssumptionsPriceControl_FO!AO$15</f>
        <v>0</v>
      </c>
      <c r="CO238" s="1025"/>
      <c r="CP238" s="1282">
        <f t="shared" ca="1" si="436"/>
        <v>0</v>
      </c>
      <c r="CQ238" s="387">
        <f t="shared" ca="1" si="437"/>
        <v>0</v>
      </c>
      <c r="CR238" s="387">
        <f t="shared" ca="1" si="438"/>
        <v>0</v>
      </c>
      <c r="CS238" s="387">
        <f t="shared" ca="1" si="439"/>
        <v>0</v>
      </c>
      <c r="CT238" s="1283">
        <f t="shared" ca="1" si="440"/>
        <v>0</v>
      </c>
      <c r="CU238" s="386">
        <f t="shared" ca="1" si="441"/>
        <v>0</v>
      </c>
      <c r="CV238" s="387">
        <f t="shared" ca="1" si="442"/>
        <v>0</v>
      </c>
      <c r="CW238" s="1277">
        <f t="shared" ca="1" si="443"/>
        <v>0</v>
      </c>
      <c r="CX238" s="1277">
        <f t="shared" ca="1" si="444"/>
        <v>0</v>
      </c>
      <c r="CY238" s="388">
        <f t="shared" ca="1" si="445"/>
        <v>0</v>
      </c>
      <c r="CZ238" s="347"/>
      <c r="DA238" s="852"/>
      <c r="DB238" s="347"/>
      <c r="DC238" s="1012" t="s">
        <v>517</v>
      </c>
      <c r="DD238" s="841" t="s">
        <v>518</v>
      </c>
      <c r="DE238" s="386">
        <f>+IF($K238="ongoing",CE238,IF(RIGHT($K238,2)=RIGHT(DE$43,2),SUM($CD238:CE238),0)+IF(RIGHT(DE$43,2)&gt;RIGHT($K238,2),CE238,0))</f>
        <v>0</v>
      </c>
      <c r="DF238" s="387">
        <f>+IF($K238="ongoing",CF238,IF(RIGHT($K238,2)=RIGHT(DF$43,2),SUM($CD238:CF238),0)+IF(RIGHT(DF$43,2)&gt;RIGHT($K238,2),CF238,0))</f>
        <v>0</v>
      </c>
      <c r="DG238" s="388">
        <f>+IF($K238="ongoing",CG238,IF(RIGHT($K238,2)=RIGHT(DG$43,2),SUM($CD238:CG238),0)+IF(RIGHT(DG$43,2)&gt;RIGHT($K238,2),CG238,0))</f>
        <v>0</v>
      </c>
      <c r="DH238" s="386">
        <f>+IF($K238="ongoing",CH238,IF(RIGHT($K238,2)=RIGHT(DH$43,2),SUM($CD238:CH238),0)+IF(RIGHT(DH$43,2)&gt;RIGHT($K238,2),CH238,0))</f>
        <v>0</v>
      </c>
      <c r="DI238" s="387">
        <f>+IF($K238="ongoing",CI238,IF(RIGHT($K238,2)=RIGHT(DI$43,2),SUM($CD238:CI238),0)+IF(RIGHT(DI$43,2)&gt;RIGHT($K238,2),CI238,0))</f>
        <v>0</v>
      </c>
      <c r="DJ238" s="387">
        <f>+IF($K238="ongoing",CJ238,IF(RIGHT($K238,2)=RIGHT(DJ$43,2),SUM($CD238:CJ238),0)+IF(RIGHT(DJ$43,2)&gt;RIGHT($K238,2),CJ238,0))</f>
        <v>0</v>
      </c>
      <c r="DK238" s="387">
        <f>+IF($K238="ongoing",CK238,IF(RIGHT($K238,2)=RIGHT(DK$43,2),SUM($CD238:CK238),0)+IF(RIGHT(DK$43,2)&gt;RIGHT($K238,2),CK238,0))</f>
        <v>0</v>
      </c>
      <c r="DL238" s="388">
        <f>+IF($K238="ongoing",CN238,IF(RIGHT($K238,2)=RIGHT(DL$43,2),SUM($CD238:CN238),0)+IF(RIGHT(DL$43,2)&gt;RIGHT($K238,2),CN238,0))</f>
        <v>0</v>
      </c>
      <c r="DM238" s="841"/>
      <c r="DN238" s="386">
        <f t="shared" si="446"/>
        <v>0.5</v>
      </c>
      <c r="DO238" s="387">
        <f t="shared" si="446"/>
        <v>1</v>
      </c>
      <c r="DP238" s="388">
        <f t="shared" si="446"/>
        <v>1</v>
      </c>
      <c r="DQ238" s="386">
        <f t="shared" si="446"/>
        <v>1</v>
      </c>
      <c r="DR238" s="387">
        <f t="shared" si="446"/>
        <v>1</v>
      </c>
      <c r="DS238" s="387">
        <f t="shared" si="446"/>
        <v>1</v>
      </c>
      <c r="DT238" s="387">
        <f t="shared" si="446"/>
        <v>1</v>
      </c>
      <c r="DU238" s="388">
        <f t="shared" si="446"/>
        <v>1</v>
      </c>
      <c r="DW238" s="386">
        <f t="shared" si="447"/>
        <v>0</v>
      </c>
      <c r="DX238" s="387">
        <f t="shared" si="447"/>
        <v>0.5</v>
      </c>
      <c r="DY238" s="388">
        <f t="shared" si="447"/>
        <v>1</v>
      </c>
      <c r="DZ238" s="386">
        <f t="shared" si="447"/>
        <v>1</v>
      </c>
      <c r="EA238" s="387">
        <f t="shared" si="447"/>
        <v>1</v>
      </c>
      <c r="EB238" s="387">
        <f t="shared" si="447"/>
        <v>1</v>
      </c>
      <c r="EC238" s="387">
        <f t="shared" si="447"/>
        <v>1</v>
      </c>
      <c r="ED238" s="388">
        <f t="shared" si="447"/>
        <v>1</v>
      </c>
      <c r="EF238" s="834">
        <f>+IF(DN238=DM238,0,
IF(AND(EF$44&gt;1,DN238=$N238),1-SUM($EE238:EE238),
IF($N238&lt;=1,
IF($N238&gt;0,1/$N238,0),
IF(EF$44=1,0,VDB(1,0,$N238,INT(EF$44-1-1),MIN($N238,INT(EF$44-1-1)+1),$DC238,IF($DD238="No",1,0))/
IF(DM238&gt;=INT($N238),$N238-INT($N238),1)))*
IF(EF$44=1,0,
IF(INT(DN238)=INT(DM238),DN238-DM238,INT(DN238)-DM238))+
IF($N238&lt;=1,
IF($N238&gt;0,1/$N238,0),VDB(1,0,$N238,INT(EF$44-1),MIN($N238,INT(EF$44-1)+1),$DC238,IF($DD238="No",1,0))/
IF(DN238&gt;INT($N238),$N238-INT($N238),1))*
IF(EF$44=1,DN238,
IF(INT(DN238)=INT(DM238),0,DN238-INT(DN238)))))</f>
        <v>0</v>
      </c>
      <c r="EG238" s="835">
        <f>+IF(DO238=DN238,0,
IF(AND(EG$44&gt;1,DO238=$N238),1-SUM($EE238:EF238),
IF($N238&lt;=1,
IF($N238&gt;0,1/$N238,0),
IF(EG$44=1,0,VDB(1,0,$N238,INT(EG$44-1-1),MIN($N238,INT(EG$44-1-1)+1),$DC238,IF($DD238="No",1,0))/
IF(DN238&gt;=INT($N238),$N238-INT($N238),1)))*
IF(EG$44=1,0,
IF(INT(DO238)=INT(DN238),DO238-DN238,INT(DO238)-DN238))+
IF($N238&lt;=1,
IF($N238&gt;0,1/$N238,0),VDB(1,0,$N238,INT(EG$44-1),MIN($N238,INT(EG$44-1)+1),$DC238,IF($DD238="No",1,0))/
IF(DO238&gt;INT($N238),$N238-INT($N238),1))*
IF(EG$44=1,DO238,
IF(INT(DO238)=INT(DN238),0,DO238-INT(DO238)))))</f>
        <v>0</v>
      </c>
      <c r="EH238" s="836">
        <f>+IF(DP238=DO238,0,
IF(AND(EH$44&gt;1,DP238=$N238),1-SUM($EE238:EG238),
IF($N238&lt;=1,
IF($N238&gt;0,1/$N238,0),
IF(EH$44=1,0,VDB(1,0,$N238,INT(EH$44-1-1),MIN($N238,INT(EH$44-1-1)+1),$DC238,IF($DD238="No",1,0))/
IF(DO238&gt;=INT($N238),$N238-INT($N238),1)))*
IF(EH$44=1,0,
IF(INT(DP238)=INT(DO238),DP238-DO238,INT(DP238)-DO238))+
IF($N238&lt;=1,
IF($N238&gt;0,1/$N238,0),VDB(1,0,$N238,INT(EH$44-1),MIN($N238,INT(EH$44-1)+1),$DC238,IF($DD238="No",1,0))/
IF(DP238&gt;INT($N238),$N238-INT($N238),1))*
IF(EH$44=1,DP238,
IF(INT(DP238)=INT(DO238),0,DP238-INT(DP238)))))</f>
        <v>0</v>
      </c>
      <c r="EI238" s="834">
        <f>+IF(DQ238=DP238,0,
IF(AND(EI$44&gt;1,DQ238=$N238),1-SUM($EE238:EH238),
IF($N238&lt;=1,
IF($N238&gt;0,1/$N238,0),
IF(EI$44=1,0,VDB(1,0,$N238,INT(EI$44-1-1),MIN($N238,INT(EI$44-1-1)+1),$DC238,IF($DD238="No",1,0))/
IF(DP238&gt;=INT($N238),$N238-INT($N238),1)))*
IF(EI$44=1,0,
IF(INT(DQ238)=INT(DP238),DQ238-DP238,INT(DQ238)-DP238))+
IF($N238&lt;=1,
IF($N238&gt;0,1/$N238,0),VDB(1,0,$N238,INT(EI$44-1),MIN($N238,INT(EI$44-1)+1),$DC238,IF($DD238="No",1,0))/
IF(DQ238&gt;INT($N238),$N238-INT($N238),1))*
IF(EI$44=1,DQ238,
IF(INT(DQ238)=INT(DP238),0,DQ238-INT(DQ238)))))</f>
        <v>0</v>
      </c>
      <c r="EJ238" s="835">
        <f>+IF(DR238=DQ238,0,
IF(AND(EJ$44&gt;1,DR238=$N238),1-SUM($EE238:EI238),
IF($N238&lt;=1,
IF($N238&gt;0,1/$N238,0),
IF(EJ$44=1,0,VDB(1,0,$N238,INT(EJ$44-1-1),MIN($N238,INT(EJ$44-1-1)+1),$DC238,IF($DD238="No",1,0))/
IF(DQ238&gt;=INT($N238),$N238-INT($N238),1)))*
IF(EJ$44=1,0,
IF(INT(DR238)=INT(DQ238),DR238-DQ238,INT(DR238)-DQ238))+
IF($N238&lt;=1,
IF($N238&gt;0,1/$N238,0),VDB(1,0,$N238,INT(EJ$44-1),MIN($N238,INT(EJ$44-1)+1),$DC238,IF($DD238="No",1,0))/
IF(DR238&gt;INT($N238),$N238-INT($N238),1))*
IF(EJ$44=1,DR238,
IF(INT(DR238)=INT(DQ238),0,DR238-INT(DR238)))))</f>
        <v>0</v>
      </c>
      <c r="EK238" s="835">
        <f>+IF(DS238=DR238,0,
IF(AND(EK$44&gt;1,DS238=$N238),1-SUM($EE238:EJ238),
IF($N238&lt;=1,
IF($N238&gt;0,1/$N238,0),
IF(EK$44=1,0,VDB(1,0,$N238,INT(EK$44-1-1),MIN($N238,INT(EK$44-1-1)+1),$DC238,IF($DD238="No",1,0))/
IF(DR238&gt;=INT($N238),$N238-INT($N238),1)))*
IF(EK$44=1,0,
IF(INT(DS238)=INT(DR238),DS238-DR238,INT(DS238)-DR238))+
IF($N238&lt;=1,
IF($N238&gt;0,1/$N238,0),VDB(1,0,$N238,INT(EK$44-1),MIN($N238,INT(EK$44-1)+1),$DC238,IF($DD238="No",1,0))/
IF(DS238&gt;INT($N238),$N238-INT($N238),1))*
IF(EK$44=1,DS238,
IF(INT(DS238)=INT(DR238),0,DS238-INT(DS238)))))</f>
        <v>0</v>
      </c>
      <c r="EL238" s="835">
        <f>+IF(DT238=DS238,0,
IF(AND(EL$44&gt;1,DT238=$N238),1-SUM($EE238:EK238),
IF($N238&lt;=1,
IF($N238&gt;0,1/$N238,0),
IF(EL$44=1,0,VDB(1,0,$N238,INT(EL$44-1-1),MIN($N238,INT(EL$44-1-1)+1),$DC238,IF($DD238="No",1,0))/
IF(DS238&gt;=INT($N238),$N238-INT($N238),1)))*
IF(EL$44=1,0,
IF(INT(DT238)=INT(DS238),DT238-DS238,INT(DT238)-DS238))+
IF($N238&lt;=1,
IF($N238&gt;0,1/$N238,0),VDB(1,0,$N238,INT(EL$44-1),MIN($N238,INT(EL$44-1)+1),$DC238,IF($DD238="No",1,0))/
IF(DT238&gt;INT($N238),$N238-INT($N238),1))*
IF(EL$44=1,DT238,
IF(INT(DT238)=INT(DS238),0,DT238-INT(DT238)))))</f>
        <v>0</v>
      </c>
      <c r="EM238" s="836">
        <f>+IF(DU238=DT238,0,
IF(AND(EM$44&gt;1,DU238=$N238),1-SUM($EE238:EL238),
IF($N238&lt;=1,
IF($N238&gt;0,1/$N238,0),
IF(EM$44=1,0,VDB(1,0,$N238,INT(EM$44-1-1),MIN($N238,INT(EM$44-1-1)+1),$DC238,IF($DD238="No",1,0))/
IF(DT238&gt;=INT($N238),$N238-INT($N238),1)))*
IF(EM$44=1,0,
IF(INT(DU238)=INT(DT238),DU238-DT238,INT(DU238)-DT238))+
IF($N238&lt;=1,
IF($N238&gt;0,1/$N238,0),VDB(1,0,$N238,INT(EM$44-1),MIN($N238,INT(EM$44-1)+1),$DC238,IF($DD238="No",1,0))/
IF(DU238&gt;INT($N238),$N238-INT($N238),1))*
IF(EM$44=1,DU238,
IF(INT(DU238)=INT(DT238),0,DU238-INT(DU238)))))</f>
        <v>0</v>
      </c>
      <c r="EN238" s="833"/>
      <c r="EO238" s="834">
        <f>+IF(OR(DW238=DV238,EO$44=1),0,
IF(AND(EO$44&gt;1,DW238=$N238),1-SUM($EN238:EN238),
IF($N238&lt;=1,
IF($N238&gt;0,1/$N238,0),
IF(EO$44=2,0,VDB(1,0,$N238,INT(EO$44-2-1),MIN($N238,INT(EO$44-2-1)+1),$DC238,IF($DD238="No",1,0))/
IF(DV238&gt;=INT($N238),$N238-INT($N238),1)))*
IF(EO$44=2,0,
IF(INT(DW238)=INT(DV238),DW238-DV238,INT(DW238)-DV238))+
IF($N238&lt;=1,
IF($N238&gt;0,1/$N238,0),VDB(1,0,$N238,INT(EO$44-2),MIN($N238,INT(EO$44-2)+1),$DC238,IF($DD238="No",1,0))/
IF(DW238&gt;INT($N238),$N238-INT($N238),1))*
IF(EO$44=2,DW238,
IF(INT(DW238)=INT(DV238),0,DW238-INT(DW238)))))</f>
        <v>0</v>
      </c>
      <c r="EP238" s="835">
        <f>+IF(OR(DX238=DW238,EP$44=1),0,
IF(AND(EP$44&gt;1,DX238=$N238),1-SUM($EN238:EO238),
IF($N238&lt;=1,
IF($N238&gt;0,1/$N238,0),
IF(EP$44=2,0,VDB(1,0,$N238,INT(EP$44-2-1),MIN($N238,INT(EP$44-2-1)+1),$DC238,IF($DD238="No",1,0))/
IF(DW238&gt;=INT($N238),$N238-INT($N238),1)))*
IF(EP$44=2,0,
IF(INT(DX238)=INT(DW238),DX238-DW238,INT(DX238)-DW238))+
IF($N238&lt;=1,
IF($N238&gt;0,1/$N238,0),VDB(1,0,$N238,INT(EP$44-2),MIN($N238,INT(EP$44-2)+1),$DC238,IF($DD238="No",1,0))/
IF(DX238&gt;INT($N238),$N238-INT($N238),1))*
IF(EP$44=2,DX238,
IF(INT(DX238)=INT(DW238),0,DX238-INT(DX238)))))</f>
        <v>0</v>
      </c>
      <c r="EQ238" s="836">
        <f>+IF(OR(DY238=DX238,EQ$44=1),0,
IF(AND(EQ$44&gt;1,DY238=$N238),1-SUM($EN238:EP238),
IF($N238&lt;=1,
IF($N238&gt;0,1/$N238,0),
IF(EQ$44=2,0,VDB(1,0,$N238,INT(EQ$44-2-1),MIN($N238,INT(EQ$44-2-1)+1),$DC238,IF($DD238="No",1,0))/
IF(DX238&gt;=INT($N238),$N238-INT($N238),1)))*
IF(EQ$44=2,0,
IF(INT(DY238)=INT(DX238),DY238-DX238,INT(DY238)-DX238))+
IF($N238&lt;=1,
IF($N238&gt;0,1/$N238,0),VDB(1,0,$N238,INT(EQ$44-2),MIN($N238,INT(EQ$44-2)+1),$DC238,IF($DD238="No",1,0))/
IF(DY238&gt;INT($N238),$N238-INT($N238),1))*
IF(EQ$44=2,DY238,
IF(INT(DY238)=INT(DX238),0,DY238-INT(DY238)))))</f>
        <v>0</v>
      </c>
      <c r="ER238" s="834">
        <f>+IF(OR(DZ238=DY238,ER$44=1),0,
IF(AND(ER$44&gt;1,DZ238=$N238),1-SUM($EN238:EQ238),
IF($N238&lt;=1,
IF($N238&gt;0,1/$N238,0),
IF(ER$44=2,0,VDB(1,0,$N238,INT(ER$44-2-1),MIN($N238,INT(ER$44-2-1)+1),$DC238,IF($DD238="No",1,0))/
IF(DY238&gt;=INT($N238),$N238-INT($N238),1)))*
IF(ER$44=2,0,
IF(INT(DZ238)=INT(DY238),DZ238-DY238,INT(DZ238)-DY238))+
IF($N238&lt;=1,
IF($N238&gt;0,1/$N238,0),VDB(1,0,$N238,INT(ER$44-2),MIN($N238,INT(ER$44-2)+1),$DC238,IF($DD238="No",1,0))/
IF(DZ238&gt;INT($N238),$N238-INT($N238),1))*
IF(ER$44=2,DZ238,
IF(INT(DZ238)=INT(DY238),0,DZ238-INT(DZ238)))))</f>
        <v>0</v>
      </c>
      <c r="ES238" s="835">
        <f>+IF(OR(EA238=DZ238,ES$44=1),0,
IF(AND(ES$44&gt;1,EA238=$N238),1-SUM($EN238:ER238),
IF($N238&lt;=1,
IF($N238&gt;0,1/$N238,0),
IF(ES$44=2,0,VDB(1,0,$N238,INT(ES$44-2-1),MIN($N238,INT(ES$44-2-1)+1),$DC238,IF($DD238="No",1,0))/
IF(DZ238&gt;=INT($N238),$N238-INT($N238),1)))*
IF(ES$44=2,0,
IF(INT(EA238)=INT(DZ238),EA238-DZ238,INT(EA238)-DZ238))+
IF($N238&lt;=1,
IF($N238&gt;0,1/$N238,0),VDB(1,0,$N238,INT(ES$44-2),MIN($N238,INT(ES$44-2)+1),$DC238,IF($DD238="No",1,0))/
IF(EA238&gt;INT($N238),$N238-INT($N238),1))*
IF(ES$44=2,EA238,
IF(INT(EA238)=INT(DZ238),0,EA238-INT(EA238)))))</f>
        <v>0</v>
      </c>
      <c r="ET238" s="835">
        <f>+IF(OR(EB238=EA238,ET$44=1),0,
IF(AND(ET$44&gt;1,EB238=$N238),1-SUM($EN238:ES238),
IF($N238&lt;=1,
IF($N238&gt;0,1/$N238,0),
IF(ET$44=2,0,VDB(1,0,$N238,INT(ET$44-2-1),MIN($N238,INT(ET$44-2-1)+1),$DC238,IF($DD238="No",1,0))/
IF(EA238&gt;=INT($N238),$N238-INT($N238),1)))*
IF(ET$44=2,0,
IF(INT(EB238)=INT(EA238),EB238-EA238,INT(EB238)-EA238))+
IF($N238&lt;=1,
IF($N238&gt;0,1/$N238,0),VDB(1,0,$N238,INT(ET$44-2),MIN($N238,INT(ET$44-2)+1),$DC238,IF($DD238="No",1,0))/
IF(EB238&gt;INT($N238),$N238-INT($N238),1))*
IF(ET$44=2,EB238,
IF(INT(EB238)=INT(EA238),0,EB238-INT(EB238)))))</f>
        <v>0</v>
      </c>
      <c r="EU238" s="835">
        <f>+IF(OR(EC238=EB238,EU$44=1),0,
IF(AND(EU$44&gt;1,EC238=$N238),1-SUM($EN238:ET238),
IF($N238&lt;=1,
IF($N238&gt;0,1/$N238,0),
IF(EU$44=2,0,VDB(1,0,$N238,INT(EU$44-2-1),MIN($N238,INT(EU$44-2-1)+1),$DC238,IF($DD238="No",1,0))/
IF(EB238&gt;=INT($N238),$N238-INT($N238),1)))*
IF(EU$44=2,0,
IF(INT(EC238)=INT(EB238),EC238-EB238,INT(EC238)-EB238))+
IF($N238&lt;=1,
IF($N238&gt;0,1/$N238,0),VDB(1,0,$N238,INT(EU$44-2),MIN($N238,INT(EU$44-2)+1),$DC238,IF($DD238="No",1,0))/
IF(EC238&gt;INT($N238),$N238-INT($N238),1))*
IF(EU$44=2,EC238,
IF(INT(EC238)=INT(EB238),0,EC238-INT(EC238)))))</f>
        <v>0</v>
      </c>
      <c r="EV238" s="836">
        <f>+IF(OR(ED238=EC238,EV$44=1),0,
IF(AND(EV$44&gt;1,ED238=$N238),1-SUM($EN238:EU238),
IF($N238&lt;=1,
IF($N238&gt;0,1/$N238,0),
IF(EV$44=2,0,VDB(1,0,$N238,INT(EV$44-2-1),MIN($N238,INT(EV$44-2-1)+1),$DC238,IF($DD238="No",1,0))/
IF(EC238&gt;=INT($N238),$N238-INT($N238),1)))*
IF(EV$44=2,0,
IF(INT(ED238)=INT(EC238),ED238-EC238,INT(ED238)-EC238))+
IF($N238&lt;=1,
IF($N238&gt;0,1/$N238,0),VDB(1,0,$N238,INT(EV$44-2),MIN($N238,INT(EV$44-2)+1),$DC238,IF($DD238="No",1,0))/
IF(ED238&gt;INT($N238),$N238-INT($N238),1))*
IF(EV$44=2,ED238,
IF(INT(ED238)=INT(EC238),0,ED238-INT(ED238)))))</f>
        <v>0</v>
      </c>
      <c r="EW238" s="833"/>
      <c r="EX238" s="834">
        <f t="shared" ca="1" si="448"/>
        <v>0</v>
      </c>
      <c r="EY238" s="835">
        <f t="shared" ca="1" si="448"/>
        <v>0</v>
      </c>
      <c r="EZ238" s="836">
        <f t="shared" ca="1" si="448"/>
        <v>0</v>
      </c>
      <c r="FA238" s="834">
        <f t="shared" ca="1" si="448"/>
        <v>0</v>
      </c>
      <c r="FB238" s="835">
        <f t="shared" ca="1" si="448"/>
        <v>0</v>
      </c>
      <c r="FC238" s="835">
        <f t="shared" ca="1" si="448"/>
        <v>0</v>
      </c>
      <c r="FD238" s="835">
        <f t="shared" ca="1" si="448"/>
        <v>0</v>
      </c>
      <c r="FE238" s="836">
        <f t="shared" ca="1" si="448"/>
        <v>0</v>
      </c>
      <c r="FG238" s="386">
        <f t="shared" ca="1" si="449"/>
        <v>0</v>
      </c>
      <c r="FH238" s="387">
        <f t="shared" ca="1" si="450"/>
        <v>0</v>
      </c>
      <c r="FI238" s="388">
        <f t="shared" ca="1" si="451"/>
        <v>0</v>
      </c>
      <c r="FJ238" s="386">
        <f t="shared" ca="1" si="452"/>
        <v>0</v>
      </c>
      <c r="FK238" s="387">
        <f t="shared" ca="1" si="453"/>
        <v>0</v>
      </c>
      <c r="FL238" s="387">
        <f t="shared" ca="1" si="454"/>
        <v>0</v>
      </c>
      <c r="FM238" s="387">
        <f t="shared" ca="1" si="455"/>
        <v>0</v>
      </c>
      <c r="FN238" s="388">
        <f t="shared" ca="1" si="456"/>
        <v>0</v>
      </c>
      <c r="FR238" s="116"/>
    </row>
    <row r="239" spans="2:174">
      <c r="B239" s="1410">
        <f t="shared" si="359"/>
        <v>193</v>
      </c>
      <c r="C239" s="400"/>
      <c r="D239" s="410"/>
      <c r="E239" s="402"/>
      <c r="F239" s="402"/>
      <c r="G239" s="400"/>
      <c r="H239" s="2088"/>
      <c r="I239" s="2089"/>
      <c r="J239" s="411"/>
      <c r="K239" s="403"/>
      <c r="L239" s="403"/>
      <c r="M239" s="403"/>
      <c r="N239" s="403"/>
      <c r="O239" s="347"/>
      <c r="P239" s="347"/>
      <c r="Q239" s="1021"/>
      <c r="R239" s="1022"/>
      <c r="S239" s="1022"/>
      <c r="T239" s="1022"/>
      <c r="U239" s="1023"/>
      <c r="V239" s="1021"/>
      <c r="W239" s="1022"/>
      <c r="X239" s="1022"/>
      <c r="Y239" s="1022"/>
      <c r="Z239" s="1023"/>
      <c r="AA239" s="1024"/>
      <c r="AB239" s="1021"/>
      <c r="AC239" s="1022"/>
      <c r="AD239" s="1022"/>
      <c r="AE239" s="1022"/>
      <c r="AF239" s="1023"/>
      <c r="AG239" s="1021"/>
      <c r="AH239" s="1022"/>
      <c r="AI239" s="1022"/>
      <c r="AJ239" s="1022"/>
      <c r="AK239" s="1023"/>
      <c r="AL239" s="1024"/>
      <c r="AM239" s="1021"/>
      <c r="AN239" s="1022"/>
      <c r="AO239" s="1022"/>
      <c r="AP239" s="1022"/>
      <c r="AQ239" s="1023"/>
      <c r="AR239" s="1021"/>
      <c r="AS239" s="1022"/>
      <c r="AT239" s="1022"/>
      <c r="AU239" s="1022"/>
      <c r="AV239" s="1023"/>
      <c r="AW239" s="1025"/>
      <c r="AX239" s="1282">
        <f t="shared" si="416"/>
        <v>0</v>
      </c>
      <c r="AY239" s="387">
        <f t="shared" si="417"/>
        <v>0</v>
      </c>
      <c r="AZ239" s="387">
        <f t="shared" si="418"/>
        <v>0</v>
      </c>
      <c r="BA239" s="387">
        <f t="shared" si="419"/>
        <v>0</v>
      </c>
      <c r="BB239" s="1283">
        <f t="shared" si="420"/>
        <v>0</v>
      </c>
      <c r="BC239" s="386">
        <f t="shared" si="421"/>
        <v>0</v>
      </c>
      <c r="BD239" s="387">
        <f t="shared" si="422"/>
        <v>0</v>
      </c>
      <c r="BE239" s="1277">
        <f t="shared" si="423"/>
        <v>0</v>
      </c>
      <c r="BF239" s="1277">
        <f t="shared" si="424"/>
        <v>0</v>
      </c>
      <c r="BG239" s="388">
        <f t="shared" si="425"/>
        <v>0</v>
      </c>
      <c r="BH239" s="1025"/>
      <c r="BI239" s="1282">
        <f t="shared" ca="1" si="426"/>
        <v>0</v>
      </c>
      <c r="BJ239" s="387">
        <f t="shared" ca="1" si="427"/>
        <v>0</v>
      </c>
      <c r="BK239" s="387">
        <f t="shared" ca="1" si="428"/>
        <v>0</v>
      </c>
      <c r="BL239" s="387">
        <f t="shared" ca="1" si="429"/>
        <v>0</v>
      </c>
      <c r="BM239" s="1283">
        <f t="shared" ca="1" si="430"/>
        <v>0</v>
      </c>
      <c r="BN239" s="386">
        <f t="shared" ca="1" si="431"/>
        <v>0</v>
      </c>
      <c r="BO239" s="387">
        <f t="shared" ca="1" si="432"/>
        <v>0</v>
      </c>
      <c r="BP239" s="1277">
        <f t="shared" ca="1" si="433"/>
        <v>0</v>
      </c>
      <c r="BQ239" s="1277">
        <f t="shared" ca="1" si="434"/>
        <v>0</v>
      </c>
      <c r="BR239" s="388">
        <f t="shared" ca="1" si="435"/>
        <v>0</v>
      </c>
      <c r="BS239" s="1025"/>
      <c r="BT239" s="1282">
        <f>+IF($K239="Ongoing",AX239,IF(RIGHT($K239,2)=RIGHT(BT$43,2),SUM($AX239:AX239),0)+IF(RIGHT(BT$43,2)&gt;RIGHT($K239,2),AX239,0))</f>
        <v>0</v>
      </c>
      <c r="BU239" s="387">
        <f>+IF($K239="Ongoing",AY239,IF(RIGHT($K239,2)=RIGHT(BU$43,2),SUM($AX239:AY239),0)+IF(RIGHT(BU$43,2)&gt;RIGHT($K239,2),AY239,0))</f>
        <v>0</v>
      </c>
      <c r="BV239" s="387">
        <f>+IF($K239="Ongoing",AZ239,IF(RIGHT($K239,2)=RIGHT(BV$43,2),SUM($AX239:AZ239),0)+IF(RIGHT(BV$43,2)&gt;RIGHT($K239,2),AZ239,0))</f>
        <v>0</v>
      </c>
      <c r="BW239" s="387">
        <f>+IF($K239="Ongoing",BA239,IF(RIGHT($K239,2)=RIGHT(BW$43,2),SUM($AX239:BA239),0)+IF(RIGHT(BW$43,2)&gt;RIGHT($K239,2),BA239,0))</f>
        <v>0</v>
      </c>
      <c r="BX239" s="1283">
        <f>+IF($K239="Ongoing",BB239,IF(RIGHT($K239,2)=RIGHT(BX$43,2),SUM($AX239:BB239),0)+IF(RIGHT(BX$43,2)&gt;RIGHT($K239,2),BB239,0))</f>
        <v>0</v>
      </c>
      <c r="BY239" s="386">
        <f>+IF($K239="Ongoing",BC239,IF(RIGHT($K239,2)=RIGHT(BY$43,2),SUM($AX239:BC239),0)+IF(RIGHT(BY$43,2)&gt;RIGHT($K239,2),BC239,0))</f>
        <v>0</v>
      </c>
      <c r="BZ239" s="387">
        <f>+IF($K239="Ongoing",BD239,IF(RIGHT($K239,2)=RIGHT(BZ$43,2),SUM($AX239:BD239),0)+IF(RIGHT(BZ$43,2)&gt;RIGHT($K239,2),BD239,0))</f>
        <v>0</v>
      </c>
      <c r="CA239" s="1277">
        <f>+IF($K239="Ongoing",BE239,IF(RIGHT($K239,2)=RIGHT(CA$43,2),SUM($AX239:BE239),0)+IF(RIGHT(CA$43,2)&gt;RIGHT($K239,2),BE239,0))</f>
        <v>0</v>
      </c>
      <c r="CB239" s="1277">
        <f>+IF($K239="Ongoing",BF239,IF(RIGHT($K239,2)=RIGHT(CB$43,2),SUM($AX239:BF239),0)+IF(RIGHT(CB$43,2)&gt;RIGHT($K239,2),BF239,0))</f>
        <v>0</v>
      </c>
      <c r="CC239" s="388">
        <f>+IF($K239="Ongoing",BG239,IF(RIGHT($K239,2)=RIGHT(CC$43,2),SUM($AX239:BG239),0)+IF(RIGHT(CC$43,2)&gt;RIGHT($K239,2),BG239,0))</f>
        <v>0</v>
      </c>
      <c r="CD239" s="1025"/>
      <c r="CE239" s="1282">
        <f>+Q239*KeyAssumptionsPriceControl_FO!AF$15</f>
        <v>0</v>
      </c>
      <c r="CF239" s="387">
        <f>+R239*KeyAssumptionsPriceControl_FO!AG$15</f>
        <v>0</v>
      </c>
      <c r="CG239" s="387">
        <f>+S239*KeyAssumptionsPriceControl_FO!AH$15</f>
        <v>0</v>
      </c>
      <c r="CH239" s="387">
        <f>+T239*KeyAssumptionsPriceControl_FO!AI$15</f>
        <v>0</v>
      </c>
      <c r="CI239" s="1283">
        <f>+U239*KeyAssumptionsPriceControl_FO!AJ$15</f>
        <v>0</v>
      </c>
      <c r="CJ239" s="386">
        <f>+V239*KeyAssumptionsPriceControl_FO!AK$15</f>
        <v>0</v>
      </c>
      <c r="CK239" s="387">
        <f>+W239*KeyAssumptionsPriceControl_FO!AL$15</f>
        <v>0</v>
      </c>
      <c r="CL239" s="1277">
        <f>+X239*KeyAssumptionsPriceControl_FO!AM$15</f>
        <v>0</v>
      </c>
      <c r="CM239" s="1277">
        <f>+Y239*KeyAssumptionsPriceControl_FO!AN$15</f>
        <v>0</v>
      </c>
      <c r="CN239" s="388">
        <f>+Z239*KeyAssumptionsPriceControl_FO!AO$15</f>
        <v>0</v>
      </c>
      <c r="CO239" s="1025"/>
      <c r="CP239" s="1282">
        <f t="shared" ca="1" si="436"/>
        <v>0</v>
      </c>
      <c r="CQ239" s="387">
        <f t="shared" ca="1" si="437"/>
        <v>0</v>
      </c>
      <c r="CR239" s="387">
        <f t="shared" ca="1" si="438"/>
        <v>0</v>
      </c>
      <c r="CS239" s="387">
        <f t="shared" ca="1" si="439"/>
        <v>0</v>
      </c>
      <c r="CT239" s="1283">
        <f t="shared" ca="1" si="440"/>
        <v>0</v>
      </c>
      <c r="CU239" s="386">
        <f t="shared" ca="1" si="441"/>
        <v>0</v>
      </c>
      <c r="CV239" s="387">
        <f t="shared" ca="1" si="442"/>
        <v>0</v>
      </c>
      <c r="CW239" s="1277">
        <f t="shared" ca="1" si="443"/>
        <v>0</v>
      </c>
      <c r="CX239" s="1277">
        <f t="shared" ca="1" si="444"/>
        <v>0</v>
      </c>
      <c r="CY239" s="388">
        <f t="shared" ca="1" si="445"/>
        <v>0</v>
      </c>
      <c r="CZ239" s="347"/>
      <c r="DA239" s="852"/>
      <c r="DB239" s="347"/>
      <c r="DC239" s="1012" t="s">
        <v>517</v>
      </c>
      <c r="DD239" s="841" t="s">
        <v>518</v>
      </c>
      <c r="DE239" s="386">
        <f>+IF($K239="ongoing",CE239,IF(RIGHT($K239,2)=RIGHT(DE$43,2),SUM($CD239:CE239),0)+IF(RIGHT(DE$43,2)&gt;RIGHT($K239,2),CE239,0))</f>
        <v>0</v>
      </c>
      <c r="DF239" s="387">
        <f>+IF($K239="ongoing",CF239,IF(RIGHT($K239,2)=RIGHT(DF$43,2),SUM($CD239:CF239),0)+IF(RIGHT(DF$43,2)&gt;RIGHT($K239,2),CF239,0))</f>
        <v>0</v>
      </c>
      <c r="DG239" s="388">
        <f>+IF($K239="ongoing",CG239,IF(RIGHT($K239,2)=RIGHT(DG$43,2),SUM($CD239:CG239),0)+IF(RIGHT(DG$43,2)&gt;RIGHT($K239,2),CG239,0))</f>
        <v>0</v>
      </c>
      <c r="DH239" s="386">
        <f>+IF($K239="ongoing",CH239,IF(RIGHT($K239,2)=RIGHT(DH$43,2),SUM($CD239:CH239),0)+IF(RIGHT(DH$43,2)&gt;RIGHT($K239,2),CH239,0))</f>
        <v>0</v>
      </c>
      <c r="DI239" s="387">
        <f>+IF($K239="ongoing",CI239,IF(RIGHT($K239,2)=RIGHT(DI$43,2),SUM($CD239:CI239),0)+IF(RIGHT(DI$43,2)&gt;RIGHT($K239,2),CI239,0))</f>
        <v>0</v>
      </c>
      <c r="DJ239" s="387">
        <f>+IF($K239="ongoing",CJ239,IF(RIGHT($K239,2)=RIGHT(DJ$43,2),SUM($CD239:CJ239),0)+IF(RIGHT(DJ$43,2)&gt;RIGHT($K239,2),CJ239,0))</f>
        <v>0</v>
      </c>
      <c r="DK239" s="387">
        <f>+IF($K239="ongoing",CK239,IF(RIGHT($K239,2)=RIGHT(DK$43,2),SUM($CD239:CK239),0)+IF(RIGHT(DK$43,2)&gt;RIGHT($K239,2),CK239,0))</f>
        <v>0</v>
      </c>
      <c r="DL239" s="388">
        <f>+IF($K239="ongoing",CN239,IF(RIGHT($K239,2)=RIGHT(DL$43,2),SUM($CD239:CN239),0)+IF(RIGHT(DL$43,2)&gt;RIGHT($K239,2),CN239,0))</f>
        <v>0</v>
      </c>
      <c r="DM239" s="841"/>
      <c r="DN239" s="386">
        <f t="shared" si="446"/>
        <v>0.5</v>
      </c>
      <c r="DO239" s="387">
        <f t="shared" si="446"/>
        <v>1</v>
      </c>
      <c r="DP239" s="388">
        <f t="shared" si="446"/>
        <v>1</v>
      </c>
      <c r="DQ239" s="386">
        <f t="shared" si="446"/>
        <v>1</v>
      </c>
      <c r="DR239" s="387">
        <f t="shared" si="446"/>
        <v>1</v>
      </c>
      <c r="DS239" s="387">
        <f t="shared" si="446"/>
        <v>1</v>
      </c>
      <c r="DT239" s="387">
        <f t="shared" si="446"/>
        <v>1</v>
      </c>
      <c r="DU239" s="388">
        <f t="shared" si="446"/>
        <v>1</v>
      </c>
      <c r="DW239" s="386">
        <f t="shared" si="447"/>
        <v>0</v>
      </c>
      <c r="DX239" s="387">
        <f t="shared" si="447"/>
        <v>0.5</v>
      </c>
      <c r="DY239" s="388">
        <f t="shared" si="447"/>
        <v>1</v>
      </c>
      <c r="DZ239" s="386">
        <f t="shared" si="447"/>
        <v>1</v>
      </c>
      <c r="EA239" s="387">
        <f t="shared" si="447"/>
        <v>1</v>
      </c>
      <c r="EB239" s="387">
        <f t="shared" si="447"/>
        <v>1</v>
      </c>
      <c r="EC239" s="387">
        <f t="shared" si="447"/>
        <v>1</v>
      </c>
      <c r="ED239" s="388">
        <f t="shared" si="447"/>
        <v>1</v>
      </c>
      <c r="EF239" s="834">
        <f>+IF(DN239=DM239,0,
IF(AND(EF$44&gt;1,DN239=$N239),1-SUM($EE239:EE239),
IF($N239&lt;=1,
IF($N239&gt;0,1/$N239,0),
IF(EF$44=1,0,VDB(1,0,$N239,INT(EF$44-1-1),MIN($N239,INT(EF$44-1-1)+1),$DC239,IF($DD239="No",1,0))/
IF(DM239&gt;=INT($N239),$N239-INT($N239),1)))*
IF(EF$44=1,0,
IF(INT(DN239)=INT(DM239),DN239-DM239,INT(DN239)-DM239))+
IF($N239&lt;=1,
IF($N239&gt;0,1/$N239,0),VDB(1,0,$N239,INT(EF$44-1),MIN($N239,INT(EF$44-1)+1),$DC239,IF($DD239="No",1,0))/
IF(DN239&gt;INT($N239),$N239-INT($N239),1))*
IF(EF$44=1,DN239,
IF(INT(DN239)=INT(DM239),0,DN239-INT(DN239)))))</f>
        <v>0</v>
      </c>
      <c r="EG239" s="835">
        <f>+IF(DO239=DN239,0,
IF(AND(EG$44&gt;1,DO239=$N239),1-SUM($EE239:EF239),
IF($N239&lt;=1,
IF($N239&gt;0,1/$N239,0),
IF(EG$44=1,0,VDB(1,0,$N239,INT(EG$44-1-1),MIN($N239,INT(EG$44-1-1)+1),$DC239,IF($DD239="No",1,0))/
IF(DN239&gt;=INT($N239),$N239-INT($N239),1)))*
IF(EG$44=1,0,
IF(INT(DO239)=INT(DN239),DO239-DN239,INT(DO239)-DN239))+
IF($N239&lt;=1,
IF($N239&gt;0,1/$N239,0),VDB(1,0,$N239,INT(EG$44-1),MIN($N239,INT(EG$44-1)+1),$DC239,IF($DD239="No",1,0))/
IF(DO239&gt;INT($N239),$N239-INT($N239),1))*
IF(EG$44=1,DO239,
IF(INT(DO239)=INT(DN239),0,DO239-INT(DO239)))))</f>
        <v>0</v>
      </c>
      <c r="EH239" s="836">
        <f>+IF(DP239=DO239,0,
IF(AND(EH$44&gt;1,DP239=$N239),1-SUM($EE239:EG239),
IF($N239&lt;=1,
IF($N239&gt;0,1/$N239,0),
IF(EH$44=1,0,VDB(1,0,$N239,INT(EH$44-1-1),MIN($N239,INT(EH$44-1-1)+1),$DC239,IF($DD239="No",1,0))/
IF(DO239&gt;=INT($N239),$N239-INT($N239),1)))*
IF(EH$44=1,0,
IF(INT(DP239)=INT(DO239),DP239-DO239,INT(DP239)-DO239))+
IF($N239&lt;=1,
IF($N239&gt;0,1/$N239,0),VDB(1,0,$N239,INT(EH$44-1),MIN($N239,INT(EH$44-1)+1),$DC239,IF($DD239="No",1,0))/
IF(DP239&gt;INT($N239),$N239-INT($N239),1))*
IF(EH$44=1,DP239,
IF(INT(DP239)=INT(DO239),0,DP239-INT(DP239)))))</f>
        <v>0</v>
      </c>
      <c r="EI239" s="834">
        <f>+IF(DQ239=DP239,0,
IF(AND(EI$44&gt;1,DQ239=$N239),1-SUM($EE239:EH239),
IF($N239&lt;=1,
IF($N239&gt;0,1/$N239,0),
IF(EI$44=1,0,VDB(1,0,$N239,INT(EI$44-1-1),MIN($N239,INT(EI$44-1-1)+1),$DC239,IF($DD239="No",1,0))/
IF(DP239&gt;=INT($N239),$N239-INT($N239),1)))*
IF(EI$44=1,0,
IF(INT(DQ239)=INT(DP239),DQ239-DP239,INT(DQ239)-DP239))+
IF($N239&lt;=1,
IF($N239&gt;0,1/$N239,0),VDB(1,0,$N239,INT(EI$44-1),MIN($N239,INT(EI$44-1)+1),$DC239,IF($DD239="No",1,0))/
IF(DQ239&gt;INT($N239),$N239-INT($N239),1))*
IF(EI$44=1,DQ239,
IF(INT(DQ239)=INT(DP239),0,DQ239-INT(DQ239)))))</f>
        <v>0</v>
      </c>
      <c r="EJ239" s="835">
        <f>+IF(DR239=DQ239,0,
IF(AND(EJ$44&gt;1,DR239=$N239),1-SUM($EE239:EI239),
IF($N239&lt;=1,
IF($N239&gt;0,1/$N239,0),
IF(EJ$44=1,0,VDB(1,0,$N239,INT(EJ$44-1-1),MIN($N239,INT(EJ$44-1-1)+1),$DC239,IF($DD239="No",1,0))/
IF(DQ239&gt;=INT($N239),$N239-INT($N239),1)))*
IF(EJ$44=1,0,
IF(INT(DR239)=INT(DQ239),DR239-DQ239,INT(DR239)-DQ239))+
IF($N239&lt;=1,
IF($N239&gt;0,1/$N239,0),VDB(1,0,$N239,INT(EJ$44-1),MIN($N239,INT(EJ$44-1)+1),$DC239,IF($DD239="No",1,0))/
IF(DR239&gt;INT($N239),$N239-INT($N239),1))*
IF(EJ$44=1,DR239,
IF(INT(DR239)=INT(DQ239),0,DR239-INT(DR239)))))</f>
        <v>0</v>
      </c>
      <c r="EK239" s="835">
        <f>+IF(DS239=DR239,0,
IF(AND(EK$44&gt;1,DS239=$N239),1-SUM($EE239:EJ239),
IF($N239&lt;=1,
IF($N239&gt;0,1/$N239,0),
IF(EK$44=1,0,VDB(1,0,$N239,INT(EK$44-1-1),MIN($N239,INT(EK$44-1-1)+1),$DC239,IF($DD239="No",1,0))/
IF(DR239&gt;=INT($N239),$N239-INT($N239),1)))*
IF(EK$44=1,0,
IF(INT(DS239)=INT(DR239),DS239-DR239,INT(DS239)-DR239))+
IF($N239&lt;=1,
IF($N239&gt;0,1/$N239,0),VDB(1,0,$N239,INT(EK$44-1),MIN($N239,INT(EK$44-1)+1),$DC239,IF($DD239="No",1,0))/
IF(DS239&gt;INT($N239),$N239-INT($N239),1))*
IF(EK$44=1,DS239,
IF(INT(DS239)=INT(DR239),0,DS239-INT(DS239)))))</f>
        <v>0</v>
      </c>
      <c r="EL239" s="835">
        <f>+IF(DT239=DS239,0,
IF(AND(EL$44&gt;1,DT239=$N239),1-SUM($EE239:EK239),
IF($N239&lt;=1,
IF($N239&gt;0,1/$N239,0),
IF(EL$44=1,0,VDB(1,0,$N239,INT(EL$44-1-1),MIN($N239,INT(EL$44-1-1)+1),$DC239,IF($DD239="No",1,0))/
IF(DS239&gt;=INT($N239),$N239-INT($N239),1)))*
IF(EL$44=1,0,
IF(INT(DT239)=INT(DS239),DT239-DS239,INT(DT239)-DS239))+
IF($N239&lt;=1,
IF($N239&gt;0,1/$N239,0),VDB(1,0,$N239,INT(EL$44-1),MIN($N239,INT(EL$44-1)+1),$DC239,IF($DD239="No",1,0))/
IF(DT239&gt;INT($N239),$N239-INT($N239),1))*
IF(EL$44=1,DT239,
IF(INT(DT239)=INT(DS239),0,DT239-INT(DT239)))))</f>
        <v>0</v>
      </c>
      <c r="EM239" s="836">
        <f>+IF(DU239=DT239,0,
IF(AND(EM$44&gt;1,DU239=$N239),1-SUM($EE239:EL239),
IF($N239&lt;=1,
IF($N239&gt;0,1/$N239,0),
IF(EM$44=1,0,VDB(1,0,$N239,INT(EM$44-1-1),MIN($N239,INT(EM$44-1-1)+1),$DC239,IF($DD239="No",1,0))/
IF(DT239&gt;=INT($N239),$N239-INT($N239),1)))*
IF(EM$44=1,0,
IF(INT(DU239)=INT(DT239),DU239-DT239,INT(DU239)-DT239))+
IF($N239&lt;=1,
IF($N239&gt;0,1/$N239,0),VDB(1,0,$N239,INT(EM$44-1),MIN($N239,INT(EM$44-1)+1),$DC239,IF($DD239="No",1,0))/
IF(DU239&gt;INT($N239),$N239-INT($N239),1))*
IF(EM$44=1,DU239,
IF(INT(DU239)=INT(DT239),0,DU239-INT(DU239)))))</f>
        <v>0</v>
      </c>
      <c r="EN239" s="833"/>
      <c r="EO239" s="834">
        <f>+IF(OR(DW239=DV239,EO$44=1),0,
IF(AND(EO$44&gt;1,DW239=$N239),1-SUM($EN239:EN239),
IF($N239&lt;=1,
IF($N239&gt;0,1/$N239,0),
IF(EO$44=2,0,VDB(1,0,$N239,INT(EO$44-2-1),MIN($N239,INT(EO$44-2-1)+1),$DC239,IF($DD239="No",1,0))/
IF(DV239&gt;=INT($N239),$N239-INT($N239),1)))*
IF(EO$44=2,0,
IF(INT(DW239)=INT(DV239),DW239-DV239,INT(DW239)-DV239))+
IF($N239&lt;=1,
IF($N239&gt;0,1/$N239,0),VDB(1,0,$N239,INT(EO$44-2),MIN($N239,INT(EO$44-2)+1),$DC239,IF($DD239="No",1,0))/
IF(DW239&gt;INT($N239),$N239-INT($N239),1))*
IF(EO$44=2,DW239,
IF(INT(DW239)=INT(DV239),0,DW239-INT(DW239)))))</f>
        <v>0</v>
      </c>
      <c r="EP239" s="835">
        <f>+IF(OR(DX239=DW239,EP$44=1),0,
IF(AND(EP$44&gt;1,DX239=$N239),1-SUM($EN239:EO239),
IF($N239&lt;=1,
IF($N239&gt;0,1/$N239,0),
IF(EP$44=2,0,VDB(1,0,$N239,INT(EP$44-2-1),MIN($N239,INT(EP$44-2-1)+1),$DC239,IF($DD239="No",1,0))/
IF(DW239&gt;=INT($N239),$N239-INT($N239),1)))*
IF(EP$44=2,0,
IF(INT(DX239)=INT(DW239),DX239-DW239,INT(DX239)-DW239))+
IF($N239&lt;=1,
IF($N239&gt;0,1/$N239,0),VDB(1,0,$N239,INT(EP$44-2),MIN($N239,INT(EP$44-2)+1),$DC239,IF($DD239="No",1,0))/
IF(DX239&gt;INT($N239),$N239-INT($N239),1))*
IF(EP$44=2,DX239,
IF(INT(DX239)=INT(DW239),0,DX239-INT(DX239)))))</f>
        <v>0</v>
      </c>
      <c r="EQ239" s="836">
        <f>+IF(OR(DY239=DX239,EQ$44=1),0,
IF(AND(EQ$44&gt;1,DY239=$N239),1-SUM($EN239:EP239),
IF($N239&lt;=1,
IF($N239&gt;0,1/$N239,0),
IF(EQ$44=2,0,VDB(1,0,$N239,INT(EQ$44-2-1),MIN($N239,INT(EQ$44-2-1)+1),$DC239,IF($DD239="No",1,0))/
IF(DX239&gt;=INT($N239),$N239-INT($N239),1)))*
IF(EQ$44=2,0,
IF(INT(DY239)=INT(DX239),DY239-DX239,INT(DY239)-DX239))+
IF($N239&lt;=1,
IF($N239&gt;0,1/$N239,0),VDB(1,0,$N239,INT(EQ$44-2),MIN($N239,INT(EQ$44-2)+1),$DC239,IF($DD239="No",1,0))/
IF(DY239&gt;INT($N239),$N239-INT($N239),1))*
IF(EQ$44=2,DY239,
IF(INT(DY239)=INT(DX239),0,DY239-INT(DY239)))))</f>
        <v>0</v>
      </c>
      <c r="ER239" s="834">
        <f>+IF(OR(DZ239=DY239,ER$44=1),0,
IF(AND(ER$44&gt;1,DZ239=$N239),1-SUM($EN239:EQ239),
IF($N239&lt;=1,
IF($N239&gt;0,1/$N239,0),
IF(ER$44=2,0,VDB(1,0,$N239,INT(ER$44-2-1),MIN($N239,INT(ER$44-2-1)+1),$DC239,IF($DD239="No",1,0))/
IF(DY239&gt;=INT($N239),$N239-INT($N239),1)))*
IF(ER$44=2,0,
IF(INT(DZ239)=INT(DY239),DZ239-DY239,INT(DZ239)-DY239))+
IF($N239&lt;=1,
IF($N239&gt;0,1/$N239,0),VDB(1,0,$N239,INT(ER$44-2),MIN($N239,INT(ER$44-2)+1),$DC239,IF($DD239="No",1,0))/
IF(DZ239&gt;INT($N239),$N239-INT($N239),1))*
IF(ER$44=2,DZ239,
IF(INT(DZ239)=INT(DY239),0,DZ239-INT(DZ239)))))</f>
        <v>0</v>
      </c>
      <c r="ES239" s="835">
        <f>+IF(OR(EA239=DZ239,ES$44=1),0,
IF(AND(ES$44&gt;1,EA239=$N239),1-SUM($EN239:ER239),
IF($N239&lt;=1,
IF($N239&gt;0,1/$N239,0),
IF(ES$44=2,0,VDB(1,0,$N239,INT(ES$44-2-1),MIN($N239,INT(ES$44-2-1)+1),$DC239,IF($DD239="No",1,0))/
IF(DZ239&gt;=INT($N239),$N239-INT($N239),1)))*
IF(ES$44=2,0,
IF(INT(EA239)=INT(DZ239),EA239-DZ239,INT(EA239)-DZ239))+
IF($N239&lt;=1,
IF($N239&gt;0,1/$N239,0),VDB(1,0,$N239,INT(ES$44-2),MIN($N239,INT(ES$44-2)+1),$DC239,IF($DD239="No",1,0))/
IF(EA239&gt;INT($N239),$N239-INT($N239),1))*
IF(ES$44=2,EA239,
IF(INT(EA239)=INT(DZ239),0,EA239-INT(EA239)))))</f>
        <v>0</v>
      </c>
      <c r="ET239" s="835">
        <f>+IF(OR(EB239=EA239,ET$44=1),0,
IF(AND(ET$44&gt;1,EB239=$N239),1-SUM($EN239:ES239),
IF($N239&lt;=1,
IF($N239&gt;0,1/$N239,0),
IF(ET$44=2,0,VDB(1,0,$N239,INT(ET$44-2-1),MIN($N239,INT(ET$44-2-1)+1),$DC239,IF($DD239="No",1,0))/
IF(EA239&gt;=INT($N239),$N239-INT($N239),1)))*
IF(ET$44=2,0,
IF(INT(EB239)=INT(EA239),EB239-EA239,INT(EB239)-EA239))+
IF($N239&lt;=1,
IF($N239&gt;0,1/$N239,0),VDB(1,0,$N239,INT(ET$44-2),MIN($N239,INT(ET$44-2)+1),$DC239,IF($DD239="No",1,0))/
IF(EB239&gt;INT($N239),$N239-INT($N239),1))*
IF(ET$44=2,EB239,
IF(INT(EB239)=INT(EA239),0,EB239-INT(EB239)))))</f>
        <v>0</v>
      </c>
      <c r="EU239" s="835">
        <f>+IF(OR(EC239=EB239,EU$44=1),0,
IF(AND(EU$44&gt;1,EC239=$N239),1-SUM($EN239:ET239),
IF($N239&lt;=1,
IF($N239&gt;0,1/$N239,0),
IF(EU$44=2,0,VDB(1,0,$N239,INT(EU$44-2-1),MIN($N239,INT(EU$44-2-1)+1),$DC239,IF($DD239="No",1,0))/
IF(EB239&gt;=INT($N239),$N239-INT($N239),1)))*
IF(EU$44=2,0,
IF(INT(EC239)=INT(EB239),EC239-EB239,INT(EC239)-EB239))+
IF($N239&lt;=1,
IF($N239&gt;0,1/$N239,0),VDB(1,0,$N239,INT(EU$44-2),MIN($N239,INT(EU$44-2)+1),$DC239,IF($DD239="No",1,0))/
IF(EC239&gt;INT($N239),$N239-INT($N239),1))*
IF(EU$44=2,EC239,
IF(INT(EC239)=INT(EB239),0,EC239-INT(EC239)))))</f>
        <v>0</v>
      </c>
      <c r="EV239" s="836">
        <f>+IF(OR(ED239=EC239,EV$44=1),0,
IF(AND(EV$44&gt;1,ED239=$N239),1-SUM($EN239:EU239),
IF($N239&lt;=1,
IF($N239&gt;0,1/$N239,0),
IF(EV$44=2,0,VDB(1,0,$N239,INT(EV$44-2-1),MIN($N239,INT(EV$44-2-1)+1),$DC239,IF($DD239="No",1,0))/
IF(EC239&gt;=INT($N239),$N239-INT($N239),1)))*
IF(EV$44=2,0,
IF(INT(ED239)=INT(EC239),ED239-EC239,INT(ED239)-EC239))+
IF($N239&lt;=1,
IF($N239&gt;0,1/$N239,0),VDB(1,0,$N239,INT(EV$44-2),MIN($N239,INT(EV$44-2)+1),$DC239,IF($DD239="No",1,0))/
IF(ED239&gt;INT($N239),$N239-INT($N239),1))*
IF(EV$44=2,ED239,
IF(INT(ED239)=INT(EC239),0,ED239-INT(ED239)))))</f>
        <v>0</v>
      </c>
      <c r="EW239" s="833"/>
      <c r="EX239" s="834">
        <f t="shared" ca="1" si="448"/>
        <v>0</v>
      </c>
      <c r="EY239" s="835">
        <f t="shared" ca="1" si="448"/>
        <v>0</v>
      </c>
      <c r="EZ239" s="836">
        <f t="shared" ca="1" si="448"/>
        <v>0</v>
      </c>
      <c r="FA239" s="834">
        <f t="shared" ca="1" si="448"/>
        <v>0</v>
      </c>
      <c r="FB239" s="835">
        <f t="shared" ca="1" si="448"/>
        <v>0</v>
      </c>
      <c r="FC239" s="835">
        <f t="shared" ca="1" si="448"/>
        <v>0</v>
      </c>
      <c r="FD239" s="835">
        <f t="shared" ca="1" si="448"/>
        <v>0</v>
      </c>
      <c r="FE239" s="836">
        <f t="shared" ca="1" si="448"/>
        <v>0</v>
      </c>
      <c r="FG239" s="386">
        <f t="shared" ca="1" si="449"/>
        <v>0</v>
      </c>
      <c r="FH239" s="387">
        <f t="shared" ca="1" si="450"/>
        <v>0</v>
      </c>
      <c r="FI239" s="388">
        <f t="shared" ca="1" si="451"/>
        <v>0</v>
      </c>
      <c r="FJ239" s="386">
        <f t="shared" ca="1" si="452"/>
        <v>0</v>
      </c>
      <c r="FK239" s="387">
        <f t="shared" ca="1" si="453"/>
        <v>0</v>
      </c>
      <c r="FL239" s="387">
        <f t="shared" ca="1" si="454"/>
        <v>0</v>
      </c>
      <c r="FM239" s="387">
        <f t="shared" ca="1" si="455"/>
        <v>0</v>
      </c>
      <c r="FN239" s="388">
        <f t="shared" ca="1" si="456"/>
        <v>0</v>
      </c>
      <c r="FR239" s="116"/>
    </row>
    <row r="240" spans="2:174">
      <c r="B240" s="1410">
        <f t="shared" si="359"/>
        <v>194</v>
      </c>
      <c r="C240" s="400"/>
      <c r="D240" s="410"/>
      <c r="E240" s="402"/>
      <c r="F240" s="402"/>
      <c r="G240" s="400"/>
      <c r="H240" s="2088"/>
      <c r="I240" s="2089"/>
      <c r="J240" s="411"/>
      <c r="K240" s="403"/>
      <c r="L240" s="403"/>
      <c r="M240" s="403"/>
      <c r="N240" s="403"/>
      <c r="O240" s="347"/>
      <c r="P240" s="347"/>
      <c r="Q240" s="1021"/>
      <c r="R240" s="1022"/>
      <c r="S240" s="1022"/>
      <c r="T240" s="1022"/>
      <c r="U240" s="1023"/>
      <c r="V240" s="1021"/>
      <c r="W240" s="1022"/>
      <c r="X240" s="1022"/>
      <c r="Y240" s="1022"/>
      <c r="Z240" s="1023"/>
      <c r="AA240" s="1024"/>
      <c r="AB240" s="1021"/>
      <c r="AC240" s="1022"/>
      <c r="AD240" s="1022"/>
      <c r="AE240" s="1022"/>
      <c r="AF240" s="1023"/>
      <c r="AG240" s="1021"/>
      <c r="AH240" s="1022"/>
      <c r="AI240" s="1022"/>
      <c r="AJ240" s="1022"/>
      <c r="AK240" s="1023"/>
      <c r="AL240" s="1024"/>
      <c r="AM240" s="1021"/>
      <c r="AN240" s="1022"/>
      <c r="AO240" s="1022"/>
      <c r="AP240" s="1022"/>
      <c r="AQ240" s="1023"/>
      <c r="AR240" s="1021"/>
      <c r="AS240" s="1022"/>
      <c r="AT240" s="1022"/>
      <c r="AU240" s="1022"/>
      <c r="AV240" s="1023"/>
      <c r="AW240" s="1025"/>
      <c r="AX240" s="1282">
        <f t="shared" si="416"/>
        <v>0</v>
      </c>
      <c r="AY240" s="387">
        <f t="shared" si="417"/>
        <v>0</v>
      </c>
      <c r="AZ240" s="387">
        <f t="shared" si="418"/>
        <v>0</v>
      </c>
      <c r="BA240" s="387">
        <f t="shared" si="419"/>
        <v>0</v>
      </c>
      <c r="BB240" s="1283">
        <f t="shared" si="420"/>
        <v>0</v>
      </c>
      <c r="BC240" s="386">
        <f t="shared" si="421"/>
        <v>0</v>
      </c>
      <c r="BD240" s="387">
        <f t="shared" si="422"/>
        <v>0</v>
      </c>
      <c r="BE240" s="1277">
        <f t="shared" si="423"/>
        <v>0</v>
      </c>
      <c r="BF240" s="1277">
        <f t="shared" si="424"/>
        <v>0</v>
      </c>
      <c r="BG240" s="388">
        <f t="shared" si="425"/>
        <v>0</v>
      </c>
      <c r="BH240" s="1025"/>
      <c r="BI240" s="1282">
        <f t="shared" ca="1" si="426"/>
        <v>0</v>
      </c>
      <c r="BJ240" s="387">
        <f t="shared" ca="1" si="427"/>
        <v>0</v>
      </c>
      <c r="BK240" s="387">
        <f t="shared" ca="1" si="428"/>
        <v>0</v>
      </c>
      <c r="BL240" s="387">
        <f t="shared" ca="1" si="429"/>
        <v>0</v>
      </c>
      <c r="BM240" s="1283">
        <f t="shared" ca="1" si="430"/>
        <v>0</v>
      </c>
      <c r="BN240" s="386">
        <f t="shared" ca="1" si="431"/>
        <v>0</v>
      </c>
      <c r="BO240" s="387">
        <f t="shared" ca="1" si="432"/>
        <v>0</v>
      </c>
      <c r="BP240" s="1277">
        <f t="shared" ca="1" si="433"/>
        <v>0</v>
      </c>
      <c r="BQ240" s="1277">
        <f t="shared" ca="1" si="434"/>
        <v>0</v>
      </c>
      <c r="BR240" s="388">
        <f t="shared" ca="1" si="435"/>
        <v>0</v>
      </c>
      <c r="BS240" s="1025"/>
      <c r="BT240" s="1282">
        <f>+IF($K240="Ongoing",AX240,IF(RIGHT($K240,2)=RIGHT(BT$43,2),SUM($AX240:AX240),0)+IF(RIGHT(BT$43,2)&gt;RIGHT($K240,2),AX240,0))</f>
        <v>0</v>
      </c>
      <c r="BU240" s="387">
        <f>+IF($K240="Ongoing",AY240,IF(RIGHT($K240,2)=RIGHT(BU$43,2),SUM($AX240:AY240),0)+IF(RIGHT(BU$43,2)&gt;RIGHT($K240,2),AY240,0))</f>
        <v>0</v>
      </c>
      <c r="BV240" s="387">
        <f>+IF($K240="Ongoing",AZ240,IF(RIGHT($K240,2)=RIGHT(BV$43,2),SUM($AX240:AZ240),0)+IF(RIGHT(BV$43,2)&gt;RIGHT($K240,2),AZ240,0))</f>
        <v>0</v>
      </c>
      <c r="BW240" s="387">
        <f>+IF($K240="Ongoing",BA240,IF(RIGHT($K240,2)=RIGHT(BW$43,2),SUM($AX240:BA240),0)+IF(RIGHT(BW$43,2)&gt;RIGHT($K240,2),BA240,0))</f>
        <v>0</v>
      </c>
      <c r="BX240" s="1283">
        <f>+IF($K240="Ongoing",BB240,IF(RIGHT($K240,2)=RIGHT(BX$43,2),SUM($AX240:BB240),0)+IF(RIGHT(BX$43,2)&gt;RIGHT($K240,2),BB240,0))</f>
        <v>0</v>
      </c>
      <c r="BY240" s="386">
        <f>+IF($K240="Ongoing",BC240,IF(RIGHT($K240,2)=RIGHT(BY$43,2),SUM($AX240:BC240),0)+IF(RIGHT(BY$43,2)&gt;RIGHT($K240,2),BC240,0))</f>
        <v>0</v>
      </c>
      <c r="BZ240" s="387">
        <f>+IF($K240="Ongoing",BD240,IF(RIGHT($K240,2)=RIGHT(BZ$43,2),SUM($AX240:BD240),0)+IF(RIGHT(BZ$43,2)&gt;RIGHT($K240,2),BD240,0))</f>
        <v>0</v>
      </c>
      <c r="CA240" s="1277">
        <f>+IF($K240="Ongoing",BE240,IF(RIGHT($K240,2)=RIGHT(CA$43,2),SUM($AX240:BE240),0)+IF(RIGHT(CA$43,2)&gt;RIGHT($K240,2),BE240,0))</f>
        <v>0</v>
      </c>
      <c r="CB240" s="1277">
        <f>+IF($K240="Ongoing",BF240,IF(RIGHT($K240,2)=RIGHT(CB$43,2),SUM($AX240:BF240),0)+IF(RIGHT(CB$43,2)&gt;RIGHT($K240,2),BF240,0))</f>
        <v>0</v>
      </c>
      <c r="CC240" s="388">
        <f>+IF($K240="Ongoing",BG240,IF(RIGHT($K240,2)=RIGHT(CC$43,2),SUM($AX240:BG240),0)+IF(RIGHT(CC$43,2)&gt;RIGHT($K240,2),BG240,0))</f>
        <v>0</v>
      </c>
      <c r="CD240" s="1025"/>
      <c r="CE240" s="1282">
        <f>+Q240*KeyAssumptionsPriceControl_FO!AF$15</f>
        <v>0</v>
      </c>
      <c r="CF240" s="387">
        <f>+R240*KeyAssumptionsPriceControl_FO!AG$15</f>
        <v>0</v>
      </c>
      <c r="CG240" s="387">
        <f>+S240*KeyAssumptionsPriceControl_FO!AH$15</f>
        <v>0</v>
      </c>
      <c r="CH240" s="387">
        <f>+T240*KeyAssumptionsPriceControl_FO!AI$15</f>
        <v>0</v>
      </c>
      <c r="CI240" s="1283">
        <f>+U240*KeyAssumptionsPriceControl_FO!AJ$15</f>
        <v>0</v>
      </c>
      <c r="CJ240" s="386">
        <f>+V240*KeyAssumptionsPriceControl_FO!AK$15</f>
        <v>0</v>
      </c>
      <c r="CK240" s="387">
        <f>+W240*KeyAssumptionsPriceControl_FO!AL$15</f>
        <v>0</v>
      </c>
      <c r="CL240" s="1277">
        <f>+X240*KeyAssumptionsPriceControl_FO!AM$15</f>
        <v>0</v>
      </c>
      <c r="CM240" s="1277">
        <f>+Y240*KeyAssumptionsPriceControl_FO!AN$15</f>
        <v>0</v>
      </c>
      <c r="CN240" s="388">
        <f>+Z240*KeyAssumptionsPriceControl_FO!AO$15</f>
        <v>0</v>
      </c>
      <c r="CO240" s="1025"/>
      <c r="CP240" s="1282">
        <f t="shared" ca="1" si="436"/>
        <v>0</v>
      </c>
      <c r="CQ240" s="387">
        <f t="shared" ca="1" si="437"/>
        <v>0</v>
      </c>
      <c r="CR240" s="387">
        <f t="shared" ca="1" si="438"/>
        <v>0</v>
      </c>
      <c r="CS240" s="387">
        <f t="shared" ca="1" si="439"/>
        <v>0</v>
      </c>
      <c r="CT240" s="1283">
        <f t="shared" ca="1" si="440"/>
        <v>0</v>
      </c>
      <c r="CU240" s="386">
        <f t="shared" ca="1" si="441"/>
        <v>0</v>
      </c>
      <c r="CV240" s="387">
        <f t="shared" ca="1" si="442"/>
        <v>0</v>
      </c>
      <c r="CW240" s="1277">
        <f t="shared" ca="1" si="443"/>
        <v>0</v>
      </c>
      <c r="CX240" s="1277">
        <f t="shared" ca="1" si="444"/>
        <v>0</v>
      </c>
      <c r="CY240" s="388">
        <f t="shared" ca="1" si="445"/>
        <v>0</v>
      </c>
      <c r="CZ240" s="347"/>
      <c r="DA240" s="852"/>
      <c r="DB240" s="347"/>
      <c r="DC240" s="1012" t="s">
        <v>517</v>
      </c>
      <c r="DD240" s="841" t="s">
        <v>518</v>
      </c>
      <c r="DE240" s="386">
        <f>+IF($K240="ongoing",CE240,IF(RIGHT($K240,2)=RIGHT(DE$43,2),SUM($CD240:CE240),0)+IF(RIGHT(DE$43,2)&gt;RIGHT($K240,2),CE240,0))</f>
        <v>0</v>
      </c>
      <c r="DF240" s="387">
        <f>+IF($K240="ongoing",CF240,IF(RIGHT($K240,2)=RIGHT(DF$43,2),SUM($CD240:CF240),0)+IF(RIGHT(DF$43,2)&gt;RIGHT($K240,2),CF240,0))</f>
        <v>0</v>
      </c>
      <c r="DG240" s="388">
        <f>+IF($K240="ongoing",CG240,IF(RIGHT($K240,2)=RIGHT(DG$43,2),SUM($CD240:CG240),0)+IF(RIGHT(DG$43,2)&gt;RIGHT($K240,2),CG240,0))</f>
        <v>0</v>
      </c>
      <c r="DH240" s="386">
        <f>+IF($K240="ongoing",CH240,IF(RIGHT($K240,2)=RIGHT(DH$43,2),SUM($CD240:CH240),0)+IF(RIGHT(DH$43,2)&gt;RIGHT($K240,2),CH240,0))</f>
        <v>0</v>
      </c>
      <c r="DI240" s="387">
        <f>+IF($K240="ongoing",CI240,IF(RIGHT($K240,2)=RIGHT(DI$43,2),SUM($CD240:CI240),0)+IF(RIGHT(DI$43,2)&gt;RIGHT($K240,2),CI240,0))</f>
        <v>0</v>
      </c>
      <c r="DJ240" s="387">
        <f>+IF($K240="ongoing",CJ240,IF(RIGHT($K240,2)=RIGHT(DJ$43,2),SUM($CD240:CJ240),0)+IF(RIGHT(DJ$43,2)&gt;RIGHT($K240,2),CJ240,0))</f>
        <v>0</v>
      </c>
      <c r="DK240" s="387">
        <f>+IF($K240="ongoing",CK240,IF(RIGHT($K240,2)=RIGHT(DK$43,2),SUM($CD240:CK240),0)+IF(RIGHT(DK$43,2)&gt;RIGHT($K240,2),CK240,0))</f>
        <v>0</v>
      </c>
      <c r="DL240" s="388">
        <f>+IF($K240="ongoing",CN240,IF(RIGHT($K240,2)=RIGHT(DL$43,2),SUM($CD240:CN240),0)+IF(RIGHT(DL$43,2)&gt;RIGHT($K240,2),CN240,0))</f>
        <v>0</v>
      </c>
      <c r="DM240" s="841"/>
      <c r="DN240" s="386">
        <f t="shared" si="446"/>
        <v>0.5</v>
      </c>
      <c r="DO240" s="387">
        <f t="shared" si="446"/>
        <v>1</v>
      </c>
      <c r="DP240" s="388">
        <f t="shared" si="446"/>
        <v>1</v>
      </c>
      <c r="DQ240" s="386">
        <f t="shared" si="446"/>
        <v>1</v>
      </c>
      <c r="DR240" s="387">
        <f t="shared" si="446"/>
        <v>1</v>
      </c>
      <c r="DS240" s="387">
        <f t="shared" si="446"/>
        <v>1</v>
      </c>
      <c r="DT240" s="387">
        <f t="shared" si="446"/>
        <v>1</v>
      </c>
      <c r="DU240" s="388">
        <f t="shared" si="446"/>
        <v>1</v>
      </c>
      <c r="DW240" s="386">
        <f t="shared" si="447"/>
        <v>0</v>
      </c>
      <c r="DX240" s="387">
        <f t="shared" si="447"/>
        <v>0.5</v>
      </c>
      <c r="DY240" s="388">
        <f t="shared" si="447"/>
        <v>1</v>
      </c>
      <c r="DZ240" s="386">
        <f t="shared" si="447"/>
        <v>1</v>
      </c>
      <c r="EA240" s="387">
        <f t="shared" si="447"/>
        <v>1</v>
      </c>
      <c r="EB240" s="387">
        <f t="shared" si="447"/>
        <v>1</v>
      </c>
      <c r="EC240" s="387">
        <f t="shared" si="447"/>
        <v>1</v>
      </c>
      <c r="ED240" s="388">
        <f t="shared" si="447"/>
        <v>1</v>
      </c>
      <c r="EF240" s="834">
        <f>+IF(DN240=DM240,0,
IF(AND(EF$44&gt;1,DN240=$N240),1-SUM($EE240:EE240),
IF($N240&lt;=1,
IF($N240&gt;0,1/$N240,0),
IF(EF$44=1,0,VDB(1,0,$N240,INT(EF$44-1-1),MIN($N240,INT(EF$44-1-1)+1),$DC240,IF($DD240="No",1,0))/
IF(DM240&gt;=INT($N240),$N240-INT($N240),1)))*
IF(EF$44=1,0,
IF(INT(DN240)=INT(DM240),DN240-DM240,INT(DN240)-DM240))+
IF($N240&lt;=1,
IF($N240&gt;0,1/$N240,0),VDB(1,0,$N240,INT(EF$44-1),MIN($N240,INT(EF$44-1)+1),$DC240,IF($DD240="No",1,0))/
IF(DN240&gt;INT($N240),$N240-INT($N240),1))*
IF(EF$44=1,DN240,
IF(INT(DN240)=INT(DM240),0,DN240-INT(DN240)))))</f>
        <v>0</v>
      </c>
      <c r="EG240" s="835">
        <f>+IF(DO240=DN240,0,
IF(AND(EG$44&gt;1,DO240=$N240),1-SUM($EE240:EF240),
IF($N240&lt;=1,
IF($N240&gt;0,1/$N240,0),
IF(EG$44=1,0,VDB(1,0,$N240,INT(EG$44-1-1),MIN($N240,INT(EG$44-1-1)+1),$DC240,IF($DD240="No",1,0))/
IF(DN240&gt;=INT($N240),$N240-INT($N240),1)))*
IF(EG$44=1,0,
IF(INT(DO240)=INT(DN240),DO240-DN240,INT(DO240)-DN240))+
IF($N240&lt;=1,
IF($N240&gt;0,1/$N240,0),VDB(1,0,$N240,INT(EG$44-1),MIN($N240,INT(EG$44-1)+1),$DC240,IF($DD240="No",1,0))/
IF(DO240&gt;INT($N240),$N240-INT($N240),1))*
IF(EG$44=1,DO240,
IF(INT(DO240)=INT(DN240),0,DO240-INT(DO240)))))</f>
        <v>0</v>
      </c>
      <c r="EH240" s="836">
        <f>+IF(DP240=DO240,0,
IF(AND(EH$44&gt;1,DP240=$N240),1-SUM($EE240:EG240),
IF($N240&lt;=1,
IF($N240&gt;0,1/$N240,0),
IF(EH$44=1,0,VDB(1,0,$N240,INT(EH$44-1-1),MIN($N240,INT(EH$44-1-1)+1),$DC240,IF($DD240="No",1,0))/
IF(DO240&gt;=INT($N240),$N240-INT($N240),1)))*
IF(EH$44=1,0,
IF(INT(DP240)=INT(DO240),DP240-DO240,INT(DP240)-DO240))+
IF($N240&lt;=1,
IF($N240&gt;0,1/$N240,0),VDB(1,0,$N240,INT(EH$44-1),MIN($N240,INT(EH$44-1)+1),$DC240,IF($DD240="No",1,0))/
IF(DP240&gt;INT($N240),$N240-INT($N240),1))*
IF(EH$44=1,DP240,
IF(INT(DP240)=INT(DO240),0,DP240-INT(DP240)))))</f>
        <v>0</v>
      </c>
      <c r="EI240" s="834">
        <f>+IF(DQ240=DP240,0,
IF(AND(EI$44&gt;1,DQ240=$N240),1-SUM($EE240:EH240),
IF($N240&lt;=1,
IF($N240&gt;0,1/$N240,0),
IF(EI$44=1,0,VDB(1,0,$N240,INT(EI$44-1-1),MIN($N240,INT(EI$44-1-1)+1),$DC240,IF($DD240="No",1,0))/
IF(DP240&gt;=INT($N240),$N240-INT($N240),1)))*
IF(EI$44=1,0,
IF(INT(DQ240)=INT(DP240),DQ240-DP240,INT(DQ240)-DP240))+
IF($N240&lt;=1,
IF($N240&gt;0,1/$N240,0),VDB(1,0,$N240,INT(EI$44-1),MIN($N240,INT(EI$44-1)+1),$DC240,IF($DD240="No",1,0))/
IF(DQ240&gt;INT($N240),$N240-INT($N240),1))*
IF(EI$44=1,DQ240,
IF(INT(DQ240)=INT(DP240),0,DQ240-INT(DQ240)))))</f>
        <v>0</v>
      </c>
      <c r="EJ240" s="835">
        <f>+IF(DR240=DQ240,0,
IF(AND(EJ$44&gt;1,DR240=$N240),1-SUM($EE240:EI240),
IF($N240&lt;=1,
IF($N240&gt;0,1/$N240,0),
IF(EJ$44=1,0,VDB(1,0,$N240,INT(EJ$44-1-1),MIN($N240,INT(EJ$44-1-1)+1),$DC240,IF($DD240="No",1,0))/
IF(DQ240&gt;=INT($N240),$N240-INT($N240),1)))*
IF(EJ$44=1,0,
IF(INT(DR240)=INT(DQ240),DR240-DQ240,INT(DR240)-DQ240))+
IF($N240&lt;=1,
IF($N240&gt;0,1/$N240,0),VDB(1,0,$N240,INT(EJ$44-1),MIN($N240,INT(EJ$44-1)+1),$DC240,IF($DD240="No",1,0))/
IF(DR240&gt;INT($N240),$N240-INT($N240),1))*
IF(EJ$44=1,DR240,
IF(INT(DR240)=INT(DQ240),0,DR240-INT(DR240)))))</f>
        <v>0</v>
      </c>
      <c r="EK240" s="835">
        <f>+IF(DS240=DR240,0,
IF(AND(EK$44&gt;1,DS240=$N240),1-SUM($EE240:EJ240),
IF($N240&lt;=1,
IF($N240&gt;0,1/$N240,0),
IF(EK$44=1,0,VDB(1,0,$N240,INT(EK$44-1-1),MIN($N240,INT(EK$44-1-1)+1),$DC240,IF($DD240="No",1,0))/
IF(DR240&gt;=INT($N240),$N240-INT($N240),1)))*
IF(EK$44=1,0,
IF(INT(DS240)=INT(DR240),DS240-DR240,INT(DS240)-DR240))+
IF($N240&lt;=1,
IF($N240&gt;0,1/$N240,0),VDB(1,0,$N240,INT(EK$44-1),MIN($N240,INT(EK$44-1)+1),$DC240,IF($DD240="No",1,0))/
IF(DS240&gt;INT($N240),$N240-INT($N240),1))*
IF(EK$44=1,DS240,
IF(INT(DS240)=INT(DR240),0,DS240-INT(DS240)))))</f>
        <v>0</v>
      </c>
      <c r="EL240" s="835">
        <f>+IF(DT240=DS240,0,
IF(AND(EL$44&gt;1,DT240=$N240),1-SUM($EE240:EK240),
IF($N240&lt;=1,
IF($N240&gt;0,1/$N240,0),
IF(EL$44=1,0,VDB(1,0,$N240,INT(EL$44-1-1),MIN($N240,INT(EL$44-1-1)+1),$DC240,IF($DD240="No",1,0))/
IF(DS240&gt;=INT($N240),$N240-INT($N240),1)))*
IF(EL$44=1,0,
IF(INT(DT240)=INT(DS240),DT240-DS240,INT(DT240)-DS240))+
IF($N240&lt;=1,
IF($N240&gt;0,1/$N240,0),VDB(1,0,$N240,INT(EL$44-1),MIN($N240,INT(EL$44-1)+1),$DC240,IF($DD240="No",1,0))/
IF(DT240&gt;INT($N240),$N240-INT($N240),1))*
IF(EL$44=1,DT240,
IF(INT(DT240)=INT(DS240),0,DT240-INT(DT240)))))</f>
        <v>0</v>
      </c>
      <c r="EM240" s="836">
        <f>+IF(DU240=DT240,0,
IF(AND(EM$44&gt;1,DU240=$N240),1-SUM($EE240:EL240),
IF($N240&lt;=1,
IF($N240&gt;0,1/$N240,0),
IF(EM$44=1,0,VDB(1,0,$N240,INT(EM$44-1-1),MIN($N240,INT(EM$44-1-1)+1),$DC240,IF($DD240="No",1,0))/
IF(DT240&gt;=INT($N240),$N240-INT($N240),1)))*
IF(EM$44=1,0,
IF(INT(DU240)=INT(DT240),DU240-DT240,INT(DU240)-DT240))+
IF($N240&lt;=1,
IF($N240&gt;0,1/$N240,0),VDB(1,0,$N240,INT(EM$44-1),MIN($N240,INT(EM$44-1)+1),$DC240,IF($DD240="No",1,0))/
IF(DU240&gt;INT($N240),$N240-INT($N240),1))*
IF(EM$44=1,DU240,
IF(INT(DU240)=INT(DT240),0,DU240-INT(DU240)))))</f>
        <v>0</v>
      </c>
      <c r="EN240" s="833"/>
      <c r="EO240" s="834">
        <f>+IF(OR(DW240=DV240,EO$44=1),0,
IF(AND(EO$44&gt;1,DW240=$N240),1-SUM($EN240:EN240),
IF($N240&lt;=1,
IF($N240&gt;0,1/$N240,0),
IF(EO$44=2,0,VDB(1,0,$N240,INT(EO$44-2-1),MIN($N240,INT(EO$44-2-1)+1),$DC240,IF($DD240="No",1,0))/
IF(DV240&gt;=INT($N240),$N240-INT($N240),1)))*
IF(EO$44=2,0,
IF(INT(DW240)=INT(DV240),DW240-DV240,INT(DW240)-DV240))+
IF($N240&lt;=1,
IF($N240&gt;0,1/$N240,0),VDB(1,0,$N240,INT(EO$44-2),MIN($N240,INT(EO$44-2)+1),$DC240,IF($DD240="No",1,0))/
IF(DW240&gt;INT($N240),$N240-INT($N240),1))*
IF(EO$44=2,DW240,
IF(INT(DW240)=INT(DV240),0,DW240-INT(DW240)))))</f>
        <v>0</v>
      </c>
      <c r="EP240" s="835">
        <f>+IF(OR(DX240=DW240,EP$44=1),0,
IF(AND(EP$44&gt;1,DX240=$N240),1-SUM($EN240:EO240),
IF($N240&lt;=1,
IF($N240&gt;0,1/$N240,0),
IF(EP$44=2,0,VDB(1,0,$N240,INT(EP$44-2-1),MIN($N240,INT(EP$44-2-1)+1),$DC240,IF($DD240="No",1,0))/
IF(DW240&gt;=INT($N240),$N240-INT($N240),1)))*
IF(EP$44=2,0,
IF(INT(DX240)=INT(DW240),DX240-DW240,INT(DX240)-DW240))+
IF($N240&lt;=1,
IF($N240&gt;0,1/$N240,0),VDB(1,0,$N240,INT(EP$44-2),MIN($N240,INT(EP$44-2)+1),$DC240,IF($DD240="No",1,0))/
IF(DX240&gt;INT($N240),$N240-INT($N240),1))*
IF(EP$44=2,DX240,
IF(INT(DX240)=INT(DW240),0,DX240-INT(DX240)))))</f>
        <v>0</v>
      </c>
      <c r="EQ240" s="836">
        <f>+IF(OR(DY240=DX240,EQ$44=1),0,
IF(AND(EQ$44&gt;1,DY240=$N240),1-SUM($EN240:EP240),
IF($N240&lt;=1,
IF($N240&gt;0,1/$N240,0),
IF(EQ$44=2,0,VDB(1,0,$N240,INT(EQ$44-2-1),MIN($N240,INT(EQ$44-2-1)+1),$DC240,IF($DD240="No",1,0))/
IF(DX240&gt;=INT($N240),$N240-INT($N240),1)))*
IF(EQ$44=2,0,
IF(INT(DY240)=INT(DX240),DY240-DX240,INT(DY240)-DX240))+
IF($N240&lt;=1,
IF($N240&gt;0,1/$N240,0),VDB(1,0,$N240,INT(EQ$44-2),MIN($N240,INT(EQ$44-2)+1),$DC240,IF($DD240="No",1,0))/
IF(DY240&gt;INT($N240),$N240-INT($N240),1))*
IF(EQ$44=2,DY240,
IF(INT(DY240)=INT(DX240),0,DY240-INT(DY240)))))</f>
        <v>0</v>
      </c>
      <c r="ER240" s="834">
        <f>+IF(OR(DZ240=DY240,ER$44=1),0,
IF(AND(ER$44&gt;1,DZ240=$N240),1-SUM($EN240:EQ240),
IF($N240&lt;=1,
IF($N240&gt;0,1/$N240,0),
IF(ER$44=2,0,VDB(1,0,$N240,INT(ER$44-2-1),MIN($N240,INT(ER$44-2-1)+1),$DC240,IF($DD240="No",1,0))/
IF(DY240&gt;=INT($N240),$N240-INT($N240),1)))*
IF(ER$44=2,0,
IF(INT(DZ240)=INT(DY240),DZ240-DY240,INT(DZ240)-DY240))+
IF($N240&lt;=1,
IF($N240&gt;0,1/$N240,0),VDB(1,0,$N240,INT(ER$44-2),MIN($N240,INT(ER$44-2)+1),$DC240,IF($DD240="No",1,0))/
IF(DZ240&gt;INT($N240),$N240-INT($N240),1))*
IF(ER$44=2,DZ240,
IF(INT(DZ240)=INT(DY240),0,DZ240-INT(DZ240)))))</f>
        <v>0</v>
      </c>
      <c r="ES240" s="835">
        <f>+IF(OR(EA240=DZ240,ES$44=1),0,
IF(AND(ES$44&gt;1,EA240=$N240),1-SUM($EN240:ER240),
IF($N240&lt;=1,
IF($N240&gt;0,1/$N240,0),
IF(ES$44=2,0,VDB(1,0,$N240,INT(ES$44-2-1),MIN($N240,INT(ES$44-2-1)+1),$DC240,IF($DD240="No",1,0))/
IF(DZ240&gt;=INT($N240),$N240-INT($N240),1)))*
IF(ES$44=2,0,
IF(INT(EA240)=INT(DZ240),EA240-DZ240,INT(EA240)-DZ240))+
IF($N240&lt;=1,
IF($N240&gt;0,1/$N240,0),VDB(1,0,$N240,INT(ES$44-2),MIN($N240,INT(ES$44-2)+1),$DC240,IF($DD240="No",1,0))/
IF(EA240&gt;INT($N240),$N240-INT($N240),1))*
IF(ES$44=2,EA240,
IF(INT(EA240)=INT(DZ240),0,EA240-INT(EA240)))))</f>
        <v>0</v>
      </c>
      <c r="ET240" s="835">
        <f>+IF(OR(EB240=EA240,ET$44=1),0,
IF(AND(ET$44&gt;1,EB240=$N240),1-SUM($EN240:ES240),
IF($N240&lt;=1,
IF($N240&gt;0,1/$N240,0),
IF(ET$44=2,0,VDB(1,0,$N240,INT(ET$44-2-1),MIN($N240,INT(ET$44-2-1)+1),$DC240,IF($DD240="No",1,0))/
IF(EA240&gt;=INT($N240),$N240-INT($N240),1)))*
IF(ET$44=2,0,
IF(INT(EB240)=INT(EA240),EB240-EA240,INT(EB240)-EA240))+
IF($N240&lt;=1,
IF($N240&gt;0,1/$N240,0),VDB(1,0,$N240,INT(ET$44-2),MIN($N240,INT(ET$44-2)+1),$DC240,IF($DD240="No",1,0))/
IF(EB240&gt;INT($N240),$N240-INT($N240),1))*
IF(ET$44=2,EB240,
IF(INT(EB240)=INT(EA240),0,EB240-INT(EB240)))))</f>
        <v>0</v>
      </c>
      <c r="EU240" s="835">
        <f>+IF(OR(EC240=EB240,EU$44=1),0,
IF(AND(EU$44&gt;1,EC240=$N240),1-SUM($EN240:ET240),
IF($N240&lt;=1,
IF($N240&gt;0,1/$N240,0),
IF(EU$44=2,0,VDB(1,0,$N240,INT(EU$44-2-1),MIN($N240,INT(EU$44-2-1)+1),$DC240,IF($DD240="No",1,0))/
IF(EB240&gt;=INT($N240),$N240-INT($N240),1)))*
IF(EU$44=2,0,
IF(INT(EC240)=INT(EB240),EC240-EB240,INT(EC240)-EB240))+
IF($N240&lt;=1,
IF($N240&gt;0,1/$N240,0),VDB(1,0,$N240,INT(EU$44-2),MIN($N240,INT(EU$44-2)+1),$DC240,IF($DD240="No",1,0))/
IF(EC240&gt;INT($N240),$N240-INT($N240),1))*
IF(EU$44=2,EC240,
IF(INT(EC240)=INT(EB240),0,EC240-INT(EC240)))))</f>
        <v>0</v>
      </c>
      <c r="EV240" s="836">
        <f>+IF(OR(ED240=EC240,EV$44=1),0,
IF(AND(EV$44&gt;1,ED240=$N240),1-SUM($EN240:EU240),
IF($N240&lt;=1,
IF($N240&gt;0,1/$N240,0),
IF(EV$44=2,0,VDB(1,0,$N240,INT(EV$44-2-1),MIN($N240,INT(EV$44-2-1)+1),$DC240,IF($DD240="No",1,0))/
IF(EC240&gt;=INT($N240),$N240-INT($N240),1)))*
IF(EV$44=2,0,
IF(INT(ED240)=INT(EC240),ED240-EC240,INT(ED240)-EC240))+
IF($N240&lt;=1,
IF($N240&gt;0,1/$N240,0),VDB(1,0,$N240,INT(EV$44-2),MIN($N240,INT(EV$44-2)+1),$DC240,IF($DD240="No",1,0))/
IF(ED240&gt;INT($N240),$N240-INT($N240),1))*
IF(EV$44=2,ED240,
IF(INT(ED240)=INT(EC240),0,ED240-INT(ED240)))))</f>
        <v>0</v>
      </c>
      <c r="EW240" s="833"/>
      <c r="EX240" s="834">
        <f t="shared" ca="1" si="448"/>
        <v>0</v>
      </c>
      <c r="EY240" s="835">
        <f t="shared" ca="1" si="448"/>
        <v>0</v>
      </c>
      <c r="EZ240" s="836">
        <f t="shared" ca="1" si="448"/>
        <v>0</v>
      </c>
      <c r="FA240" s="834">
        <f t="shared" ca="1" si="448"/>
        <v>0</v>
      </c>
      <c r="FB240" s="835">
        <f t="shared" ca="1" si="448"/>
        <v>0</v>
      </c>
      <c r="FC240" s="835">
        <f t="shared" ca="1" si="448"/>
        <v>0</v>
      </c>
      <c r="FD240" s="835">
        <f t="shared" ca="1" si="448"/>
        <v>0</v>
      </c>
      <c r="FE240" s="836">
        <f t="shared" ca="1" si="448"/>
        <v>0</v>
      </c>
      <c r="FG240" s="386">
        <f t="shared" ca="1" si="449"/>
        <v>0</v>
      </c>
      <c r="FH240" s="387">
        <f t="shared" ca="1" si="450"/>
        <v>0</v>
      </c>
      <c r="FI240" s="388">
        <f t="shared" ca="1" si="451"/>
        <v>0</v>
      </c>
      <c r="FJ240" s="386">
        <f t="shared" ca="1" si="452"/>
        <v>0</v>
      </c>
      <c r="FK240" s="387">
        <f t="shared" ca="1" si="453"/>
        <v>0</v>
      </c>
      <c r="FL240" s="387">
        <f t="shared" ca="1" si="454"/>
        <v>0</v>
      </c>
      <c r="FM240" s="387">
        <f t="shared" ca="1" si="455"/>
        <v>0</v>
      </c>
      <c r="FN240" s="388">
        <f t="shared" ca="1" si="456"/>
        <v>0</v>
      </c>
      <c r="FR240" s="116"/>
    </row>
    <row r="241" spans="2:174">
      <c r="B241" s="1410">
        <f t="shared" si="359"/>
        <v>195</v>
      </c>
      <c r="C241" s="400"/>
      <c r="D241" s="410"/>
      <c r="E241" s="402"/>
      <c r="F241" s="402"/>
      <c r="G241" s="400"/>
      <c r="H241" s="2088"/>
      <c r="I241" s="2089"/>
      <c r="J241" s="411"/>
      <c r="K241" s="403"/>
      <c r="L241" s="403"/>
      <c r="M241" s="403"/>
      <c r="N241" s="403"/>
      <c r="O241" s="347"/>
      <c r="P241" s="347"/>
      <c r="Q241" s="1021"/>
      <c r="R241" s="1022"/>
      <c r="S241" s="1022"/>
      <c r="T241" s="1022"/>
      <c r="U241" s="1023"/>
      <c r="V241" s="1021"/>
      <c r="W241" s="1022"/>
      <c r="X241" s="1022"/>
      <c r="Y241" s="1022"/>
      <c r="Z241" s="1023"/>
      <c r="AA241" s="1024"/>
      <c r="AB241" s="1021"/>
      <c r="AC241" s="1022"/>
      <c r="AD241" s="1022"/>
      <c r="AE241" s="1022"/>
      <c r="AF241" s="1023"/>
      <c r="AG241" s="1021"/>
      <c r="AH241" s="1022"/>
      <c r="AI241" s="1022"/>
      <c r="AJ241" s="1022"/>
      <c r="AK241" s="1023"/>
      <c r="AL241" s="1024"/>
      <c r="AM241" s="1021"/>
      <c r="AN241" s="1022"/>
      <c r="AO241" s="1022"/>
      <c r="AP241" s="1022"/>
      <c r="AQ241" s="1023"/>
      <c r="AR241" s="1021"/>
      <c r="AS241" s="1022"/>
      <c r="AT241" s="1022"/>
      <c r="AU241" s="1022"/>
      <c r="AV241" s="1023"/>
      <c r="AW241" s="1025"/>
      <c r="AX241" s="1282">
        <f t="shared" si="416"/>
        <v>0</v>
      </c>
      <c r="AY241" s="387">
        <f t="shared" si="417"/>
        <v>0</v>
      </c>
      <c r="AZ241" s="387">
        <f t="shared" si="418"/>
        <v>0</v>
      </c>
      <c r="BA241" s="387">
        <f t="shared" si="419"/>
        <v>0</v>
      </c>
      <c r="BB241" s="1283">
        <f t="shared" si="420"/>
        <v>0</v>
      </c>
      <c r="BC241" s="386">
        <f t="shared" si="421"/>
        <v>0</v>
      </c>
      <c r="BD241" s="387">
        <f t="shared" si="422"/>
        <v>0</v>
      </c>
      <c r="BE241" s="1277">
        <f t="shared" si="423"/>
        <v>0</v>
      </c>
      <c r="BF241" s="1277">
        <f t="shared" si="424"/>
        <v>0</v>
      </c>
      <c r="BG241" s="388">
        <f t="shared" si="425"/>
        <v>0</v>
      </c>
      <c r="BH241" s="1025"/>
      <c r="BI241" s="1282">
        <f t="shared" ca="1" si="426"/>
        <v>0</v>
      </c>
      <c r="BJ241" s="387">
        <f t="shared" ca="1" si="427"/>
        <v>0</v>
      </c>
      <c r="BK241" s="387">
        <f t="shared" ca="1" si="428"/>
        <v>0</v>
      </c>
      <c r="BL241" s="387">
        <f t="shared" ca="1" si="429"/>
        <v>0</v>
      </c>
      <c r="BM241" s="1283">
        <f t="shared" ca="1" si="430"/>
        <v>0</v>
      </c>
      <c r="BN241" s="386">
        <f t="shared" ca="1" si="431"/>
        <v>0</v>
      </c>
      <c r="BO241" s="387">
        <f t="shared" ca="1" si="432"/>
        <v>0</v>
      </c>
      <c r="BP241" s="1277">
        <f t="shared" ca="1" si="433"/>
        <v>0</v>
      </c>
      <c r="BQ241" s="1277">
        <f t="shared" ca="1" si="434"/>
        <v>0</v>
      </c>
      <c r="BR241" s="388">
        <f t="shared" ca="1" si="435"/>
        <v>0</v>
      </c>
      <c r="BS241" s="1025"/>
      <c r="BT241" s="1282">
        <f>+IF($K241="Ongoing",AX241,IF(RIGHT($K241,2)=RIGHT(BT$43,2),SUM($AX241:AX241),0)+IF(RIGHT(BT$43,2)&gt;RIGHT($K241,2),AX241,0))</f>
        <v>0</v>
      </c>
      <c r="BU241" s="387">
        <f>+IF($K241="Ongoing",AY241,IF(RIGHT($K241,2)=RIGHT(BU$43,2),SUM($AX241:AY241),0)+IF(RIGHT(BU$43,2)&gt;RIGHT($K241,2),AY241,0))</f>
        <v>0</v>
      </c>
      <c r="BV241" s="387">
        <f>+IF($K241="Ongoing",AZ241,IF(RIGHT($K241,2)=RIGHT(BV$43,2),SUM($AX241:AZ241),0)+IF(RIGHT(BV$43,2)&gt;RIGHT($K241,2),AZ241,0))</f>
        <v>0</v>
      </c>
      <c r="BW241" s="387">
        <f>+IF($K241="Ongoing",BA241,IF(RIGHT($K241,2)=RIGHT(BW$43,2),SUM($AX241:BA241),0)+IF(RIGHT(BW$43,2)&gt;RIGHT($K241,2),BA241,0))</f>
        <v>0</v>
      </c>
      <c r="BX241" s="1283">
        <f>+IF($K241="Ongoing",BB241,IF(RIGHT($K241,2)=RIGHT(BX$43,2),SUM($AX241:BB241),0)+IF(RIGHT(BX$43,2)&gt;RIGHT($K241,2),BB241,0))</f>
        <v>0</v>
      </c>
      <c r="BY241" s="386">
        <f>+IF($K241="Ongoing",BC241,IF(RIGHT($K241,2)=RIGHT(BY$43,2),SUM($AX241:BC241),0)+IF(RIGHT(BY$43,2)&gt;RIGHT($K241,2),BC241,0))</f>
        <v>0</v>
      </c>
      <c r="BZ241" s="387">
        <f>+IF($K241="Ongoing",BD241,IF(RIGHT($K241,2)=RIGHT(BZ$43,2),SUM($AX241:BD241),0)+IF(RIGHT(BZ$43,2)&gt;RIGHT($K241,2),BD241,0))</f>
        <v>0</v>
      </c>
      <c r="CA241" s="1277">
        <f>+IF($K241="Ongoing",BE241,IF(RIGHT($K241,2)=RIGHT(CA$43,2),SUM($AX241:BE241),0)+IF(RIGHT(CA$43,2)&gt;RIGHT($K241,2),BE241,0))</f>
        <v>0</v>
      </c>
      <c r="CB241" s="1277">
        <f>+IF($K241="Ongoing",BF241,IF(RIGHT($K241,2)=RIGHT(CB$43,2),SUM($AX241:BF241),0)+IF(RIGHT(CB$43,2)&gt;RIGHT($K241,2),BF241,0))</f>
        <v>0</v>
      </c>
      <c r="CC241" s="388">
        <f>+IF($K241="Ongoing",BG241,IF(RIGHT($K241,2)=RIGHT(CC$43,2),SUM($AX241:BG241),0)+IF(RIGHT(CC$43,2)&gt;RIGHT($K241,2),BG241,0))</f>
        <v>0</v>
      </c>
      <c r="CD241" s="1025"/>
      <c r="CE241" s="1282">
        <f>+Q241*KeyAssumptionsPriceControl_FO!AF$15</f>
        <v>0</v>
      </c>
      <c r="CF241" s="387">
        <f>+R241*KeyAssumptionsPriceControl_FO!AG$15</f>
        <v>0</v>
      </c>
      <c r="CG241" s="387">
        <f>+S241*KeyAssumptionsPriceControl_FO!AH$15</f>
        <v>0</v>
      </c>
      <c r="CH241" s="387">
        <f>+T241*KeyAssumptionsPriceControl_FO!AI$15</f>
        <v>0</v>
      </c>
      <c r="CI241" s="1283">
        <f>+U241*KeyAssumptionsPriceControl_FO!AJ$15</f>
        <v>0</v>
      </c>
      <c r="CJ241" s="386">
        <f>+V241*KeyAssumptionsPriceControl_FO!AK$15</f>
        <v>0</v>
      </c>
      <c r="CK241" s="387">
        <f>+W241*KeyAssumptionsPriceControl_FO!AL$15</f>
        <v>0</v>
      </c>
      <c r="CL241" s="1277">
        <f>+X241*KeyAssumptionsPriceControl_FO!AM$15</f>
        <v>0</v>
      </c>
      <c r="CM241" s="1277">
        <f>+Y241*KeyAssumptionsPriceControl_FO!AN$15</f>
        <v>0</v>
      </c>
      <c r="CN241" s="388">
        <f>+Z241*KeyAssumptionsPriceControl_FO!AO$15</f>
        <v>0</v>
      </c>
      <c r="CO241" s="1025"/>
      <c r="CP241" s="1282">
        <f t="shared" ca="1" si="436"/>
        <v>0</v>
      </c>
      <c r="CQ241" s="387">
        <f t="shared" ca="1" si="437"/>
        <v>0</v>
      </c>
      <c r="CR241" s="387">
        <f t="shared" ca="1" si="438"/>
        <v>0</v>
      </c>
      <c r="CS241" s="387">
        <f t="shared" ca="1" si="439"/>
        <v>0</v>
      </c>
      <c r="CT241" s="1283">
        <f t="shared" ca="1" si="440"/>
        <v>0</v>
      </c>
      <c r="CU241" s="386">
        <f t="shared" ca="1" si="441"/>
        <v>0</v>
      </c>
      <c r="CV241" s="387">
        <f t="shared" ca="1" si="442"/>
        <v>0</v>
      </c>
      <c r="CW241" s="1277">
        <f t="shared" ca="1" si="443"/>
        <v>0</v>
      </c>
      <c r="CX241" s="1277">
        <f t="shared" ca="1" si="444"/>
        <v>0</v>
      </c>
      <c r="CY241" s="388">
        <f t="shared" ca="1" si="445"/>
        <v>0</v>
      </c>
      <c r="CZ241" s="347"/>
      <c r="DA241" s="852"/>
      <c r="DB241" s="347"/>
      <c r="DC241" s="1012" t="s">
        <v>517</v>
      </c>
      <c r="DD241" s="841" t="s">
        <v>518</v>
      </c>
      <c r="DE241" s="386">
        <f>+IF($K241="ongoing",CE241,IF(RIGHT($K241,2)=RIGHT(DE$43,2),SUM($CD241:CE241),0)+IF(RIGHT(DE$43,2)&gt;RIGHT($K241,2),CE241,0))</f>
        <v>0</v>
      </c>
      <c r="DF241" s="387">
        <f>+IF($K241="ongoing",CF241,IF(RIGHT($K241,2)=RIGHT(DF$43,2),SUM($CD241:CF241),0)+IF(RIGHT(DF$43,2)&gt;RIGHT($K241,2),CF241,0))</f>
        <v>0</v>
      </c>
      <c r="DG241" s="388">
        <f>+IF($K241="ongoing",CG241,IF(RIGHT($K241,2)=RIGHT(DG$43,2),SUM($CD241:CG241),0)+IF(RIGHT(DG$43,2)&gt;RIGHT($K241,2),CG241,0))</f>
        <v>0</v>
      </c>
      <c r="DH241" s="386">
        <f>+IF($K241="ongoing",CH241,IF(RIGHT($K241,2)=RIGHT(DH$43,2),SUM($CD241:CH241),0)+IF(RIGHT(DH$43,2)&gt;RIGHT($K241,2),CH241,0))</f>
        <v>0</v>
      </c>
      <c r="DI241" s="387">
        <f>+IF($K241="ongoing",CI241,IF(RIGHT($K241,2)=RIGHT(DI$43,2),SUM($CD241:CI241),0)+IF(RIGHT(DI$43,2)&gt;RIGHT($K241,2),CI241,0))</f>
        <v>0</v>
      </c>
      <c r="DJ241" s="387">
        <f>+IF($K241="ongoing",CJ241,IF(RIGHT($K241,2)=RIGHT(DJ$43,2),SUM($CD241:CJ241),0)+IF(RIGHT(DJ$43,2)&gt;RIGHT($K241,2),CJ241,0))</f>
        <v>0</v>
      </c>
      <c r="DK241" s="387">
        <f>+IF($K241="ongoing",CK241,IF(RIGHT($K241,2)=RIGHT(DK$43,2),SUM($CD241:CK241),0)+IF(RIGHT(DK$43,2)&gt;RIGHT($K241,2),CK241,0))</f>
        <v>0</v>
      </c>
      <c r="DL241" s="388">
        <f>+IF($K241="ongoing",CN241,IF(RIGHT($K241,2)=RIGHT(DL$43,2),SUM($CD241:CN241),0)+IF(RIGHT(DL$43,2)&gt;RIGHT($K241,2),CN241,0))</f>
        <v>0</v>
      </c>
      <c r="DM241" s="841"/>
      <c r="DN241" s="386">
        <f t="shared" si="446"/>
        <v>0.5</v>
      </c>
      <c r="DO241" s="387">
        <f t="shared" si="446"/>
        <v>1</v>
      </c>
      <c r="DP241" s="388">
        <f t="shared" si="446"/>
        <v>1</v>
      </c>
      <c r="DQ241" s="386">
        <f t="shared" si="446"/>
        <v>1</v>
      </c>
      <c r="DR241" s="387">
        <f t="shared" si="446"/>
        <v>1</v>
      </c>
      <c r="DS241" s="387">
        <f t="shared" si="446"/>
        <v>1</v>
      </c>
      <c r="DT241" s="387">
        <f t="shared" si="446"/>
        <v>1</v>
      </c>
      <c r="DU241" s="388">
        <f t="shared" si="446"/>
        <v>1</v>
      </c>
      <c r="DW241" s="386">
        <f t="shared" si="447"/>
        <v>0</v>
      </c>
      <c r="DX241" s="387">
        <f t="shared" si="447"/>
        <v>0.5</v>
      </c>
      <c r="DY241" s="388">
        <f t="shared" si="447"/>
        <v>1</v>
      </c>
      <c r="DZ241" s="386">
        <f t="shared" si="447"/>
        <v>1</v>
      </c>
      <c r="EA241" s="387">
        <f t="shared" si="447"/>
        <v>1</v>
      </c>
      <c r="EB241" s="387">
        <f t="shared" si="447"/>
        <v>1</v>
      </c>
      <c r="EC241" s="387">
        <f t="shared" si="447"/>
        <v>1</v>
      </c>
      <c r="ED241" s="388">
        <f t="shared" si="447"/>
        <v>1</v>
      </c>
      <c r="EF241" s="834">
        <f>+IF(DN241=DM241,0,
IF(AND(EF$44&gt;1,DN241=$N241),1-SUM($EE241:EE241),
IF($N241&lt;=1,
IF($N241&gt;0,1/$N241,0),
IF(EF$44=1,0,VDB(1,0,$N241,INT(EF$44-1-1),MIN($N241,INT(EF$44-1-1)+1),$DC241,IF($DD241="No",1,0))/
IF(DM241&gt;=INT($N241),$N241-INT($N241),1)))*
IF(EF$44=1,0,
IF(INT(DN241)=INT(DM241),DN241-DM241,INT(DN241)-DM241))+
IF($N241&lt;=1,
IF($N241&gt;0,1/$N241,0),VDB(1,0,$N241,INT(EF$44-1),MIN($N241,INT(EF$44-1)+1),$DC241,IF($DD241="No",1,0))/
IF(DN241&gt;INT($N241),$N241-INT($N241),1))*
IF(EF$44=1,DN241,
IF(INT(DN241)=INT(DM241),0,DN241-INT(DN241)))))</f>
        <v>0</v>
      </c>
      <c r="EG241" s="835">
        <f>+IF(DO241=DN241,0,
IF(AND(EG$44&gt;1,DO241=$N241),1-SUM($EE241:EF241),
IF($N241&lt;=1,
IF($N241&gt;0,1/$N241,0),
IF(EG$44=1,0,VDB(1,0,$N241,INT(EG$44-1-1),MIN($N241,INT(EG$44-1-1)+1),$DC241,IF($DD241="No",1,0))/
IF(DN241&gt;=INT($N241),$N241-INT($N241),1)))*
IF(EG$44=1,0,
IF(INT(DO241)=INT(DN241),DO241-DN241,INT(DO241)-DN241))+
IF($N241&lt;=1,
IF($N241&gt;0,1/$N241,0),VDB(1,0,$N241,INT(EG$44-1),MIN($N241,INT(EG$44-1)+1),$DC241,IF($DD241="No",1,0))/
IF(DO241&gt;INT($N241),$N241-INT($N241),1))*
IF(EG$44=1,DO241,
IF(INT(DO241)=INT(DN241),0,DO241-INT(DO241)))))</f>
        <v>0</v>
      </c>
      <c r="EH241" s="836">
        <f>+IF(DP241=DO241,0,
IF(AND(EH$44&gt;1,DP241=$N241),1-SUM($EE241:EG241),
IF($N241&lt;=1,
IF($N241&gt;0,1/$N241,0),
IF(EH$44=1,0,VDB(1,0,$N241,INT(EH$44-1-1),MIN($N241,INT(EH$44-1-1)+1),$DC241,IF($DD241="No",1,0))/
IF(DO241&gt;=INT($N241),$N241-INT($N241),1)))*
IF(EH$44=1,0,
IF(INT(DP241)=INT(DO241),DP241-DO241,INT(DP241)-DO241))+
IF($N241&lt;=1,
IF($N241&gt;0,1/$N241,0),VDB(1,0,$N241,INT(EH$44-1),MIN($N241,INT(EH$44-1)+1),$DC241,IF($DD241="No",1,0))/
IF(DP241&gt;INT($N241),$N241-INT($N241),1))*
IF(EH$44=1,DP241,
IF(INT(DP241)=INT(DO241),0,DP241-INT(DP241)))))</f>
        <v>0</v>
      </c>
      <c r="EI241" s="834">
        <f>+IF(DQ241=DP241,0,
IF(AND(EI$44&gt;1,DQ241=$N241),1-SUM($EE241:EH241),
IF($N241&lt;=1,
IF($N241&gt;0,1/$N241,0),
IF(EI$44=1,0,VDB(1,0,$N241,INT(EI$44-1-1),MIN($N241,INT(EI$44-1-1)+1),$DC241,IF($DD241="No",1,0))/
IF(DP241&gt;=INT($N241),$N241-INT($N241),1)))*
IF(EI$44=1,0,
IF(INT(DQ241)=INT(DP241),DQ241-DP241,INT(DQ241)-DP241))+
IF($N241&lt;=1,
IF($N241&gt;0,1/$N241,0),VDB(1,0,$N241,INT(EI$44-1),MIN($N241,INT(EI$44-1)+1),$DC241,IF($DD241="No",1,0))/
IF(DQ241&gt;INT($N241),$N241-INT($N241),1))*
IF(EI$44=1,DQ241,
IF(INT(DQ241)=INT(DP241),0,DQ241-INT(DQ241)))))</f>
        <v>0</v>
      </c>
      <c r="EJ241" s="835">
        <f>+IF(DR241=DQ241,0,
IF(AND(EJ$44&gt;1,DR241=$N241),1-SUM($EE241:EI241),
IF($N241&lt;=1,
IF($N241&gt;0,1/$N241,0),
IF(EJ$44=1,0,VDB(1,0,$N241,INT(EJ$44-1-1),MIN($N241,INT(EJ$44-1-1)+1),$DC241,IF($DD241="No",1,0))/
IF(DQ241&gt;=INT($N241),$N241-INT($N241),1)))*
IF(EJ$44=1,0,
IF(INT(DR241)=INT(DQ241),DR241-DQ241,INT(DR241)-DQ241))+
IF($N241&lt;=1,
IF($N241&gt;0,1/$N241,0),VDB(1,0,$N241,INT(EJ$44-1),MIN($N241,INT(EJ$44-1)+1),$DC241,IF($DD241="No",1,0))/
IF(DR241&gt;INT($N241),$N241-INT($N241),1))*
IF(EJ$44=1,DR241,
IF(INT(DR241)=INT(DQ241),0,DR241-INT(DR241)))))</f>
        <v>0</v>
      </c>
      <c r="EK241" s="835">
        <f>+IF(DS241=DR241,0,
IF(AND(EK$44&gt;1,DS241=$N241),1-SUM($EE241:EJ241),
IF($N241&lt;=1,
IF($N241&gt;0,1/$N241,0),
IF(EK$44=1,0,VDB(1,0,$N241,INT(EK$44-1-1),MIN($N241,INT(EK$44-1-1)+1),$DC241,IF($DD241="No",1,0))/
IF(DR241&gt;=INT($N241),$N241-INT($N241),1)))*
IF(EK$44=1,0,
IF(INT(DS241)=INT(DR241),DS241-DR241,INT(DS241)-DR241))+
IF($N241&lt;=1,
IF($N241&gt;0,1/$N241,0),VDB(1,0,$N241,INT(EK$44-1),MIN($N241,INT(EK$44-1)+1),$DC241,IF($DD241="No",1,0))/
IF(DS241&gt;INT($N241),$N241-INT($N241),1))*
IF(EK$44=1,DS241,
IF(INT(DS241)=INT(DR241),0,DS241-INT(DS241)))))</f>
        <v>0</v>
      </c>
      <c r="EL241" s="835">
        <f>+IF(DT241=DS241,0,
IF(AND(EL$44&gt;1,DT241=$N241),1-SUM($EE241:EK241),
IF($N241&lt;=1,
IF($N241&gt;0,1/$N241,0),
IF(EL$44=1,0,VDB(1,0,$N241,INT(EL$44-1-1),MIN($N241,INT(EL$44-1-1)+1),$DC241,IF($DD241="No",1,0))/
IF(DS241&gt;=INT($N241),$N241-INT($N241),1)))*
IF(EL$44=1,0,
IF(INT(DT241)=INT(DS241),DT241-DS241,INT(DT241)-DS241))+
IF($N241&lt;=1,
IF($N241&gt;0,1/$N241,0),VDB(1,0,$N241,INT(EL$44-1),MIN($N241,INT(EL$44-1)+1),$DC241,IF($DD241="No",1,0))/
IF(DT241&gt;INT($N241),$N241-INT($N241),1))*
IF(EL$44=1,DT241,
IF(INT(DT241)=INT(DS241),0,DT241-INT(DT241)))))</f>
        <v>0</v>
      </c>
      <c r="EM241" s="836">
        <f>+IF(DU241=DT241,0,
IF(AND(EM$44&gt;1,DU241=$N241),1-SUM($EE241:EL241),
IF($N241&lt;=1,
IF($N241&gt;0,1/$N241,0),
IF(EM$44=1,0,VDB(1,0,$N241,INT(EM$44-1-1),MIN($N241,INT(EM$44-1-1)+1),$DC241,IF($DD241="No",1,0))/
IF(DT241&gt;=INT($N241),$N241-INT($N241),1)))*
IF(EM$44=1,0,
IF(INT(DU241)=INT(DT241),DU241-DT241,INT(DU241)-DT241))+
IF($N241&lt;=1,
IF($N241&gt;0,1/$N241,0),VDB(1,0,$N241,INT(EM$44-1),MIN($N241,INT(EM$44-1)+1),$DC241,IF($DD241="No",1,0))/
IF(DU241&gt;INT($N241),$N241-INT($N241),1))*
IF(EM$44=1,DU241,
IF(INT(DU241)=INT(DT241),0,DU241-INT(DU241)))))</f>
        <v>0</v>
      </c>
      <c r="EN241" s="833"/>
      <c r="EO241" s="834">
        <f>+IF(OR(DW241=DV241,EO$44=1),0,
IF(AND(EO$44&gt;1,DW241=$N241),1-SUM($EN241:EN241),
IF($N241&lt;=1,
IF($N241&gt;0,1/$N241,0),
IF(EO$44=2,0,VDB(1,0,$N241,INT(EO$44-2-1),MIN($N241,INT(EO$44-2-1)+1),$DC241,IF($DD241="No",1,0))/
IF(DV241&gt;=INT($N241),$N241-INT($N241),1)))*
IF(EO$44=2,0,
IF(INT(DW241)=INT(DV241),DW241-DV241,INT(DW241)-DV241))+
IF($N241&lt;=1,
IF($N241&gt;0,1/$N241,0),VDB(1,0,$N241,INT(EO$44-2),MIN($N241,INT(EO$44-2)+1),$DC241,IF($DD241="No",1,0))/
IF(DW241&gt;INT($N241),$N241-INT($N241),1))*
IF(EO$44=2,DW241,
IF(INT(DW241)=INT(DV241),0,DW241-INT(DW241)))))</f>
        <v>0</v>
      </c>
      <c r="EP241" s="835">
        <f>+IF(OR(DX241=DW241,EP$44=1),0,
IF(AND(EP$44&gt;1,DX241=$N241),1-SUM($EN241:EO241),
IF($N241&lt;=1,
IF($N241&gt;0,1/$N241,0),
IF(EP$44=2,0,VDB(1,0,$N241,INT(EP$44-2-1),MIN($N241,INT(EP$44-2-1)+1),$DC241,IF($DD241="No",1,0))/
IF(DW241&gt;=INT($N241),$N241-INT($N241),1)))*
IF(EP$44=2,0,
IF(INT(DX241)=INT(DW241),DX241-DW241,INT(DX241)-DW241))+
IF($N241&lt;=1,
IF($N241&gt;0,1/$N241,0),VDB(1,0,$N241,INT(EP$44-2),MIN($N241,INT(EP$44-2)+1),$DC241,IF($DD241="No",1,0))/
IF(DX241&gt;INT($N241),$N241-INT($N241),1))*
IF(EP$44=2,DX241,
IF(INT(DX241)=INT(DW241),0,DX241-INT(DX241)))))</f>
        <v>0</v>
      </c>
      <c r="EQ241" s="836">
        <f>+IF(OR(DY241=DX241,EQ$44=1),0,
IF(AND(EQ$44&gt;1,DY241=$N241),1-SUM($EN241:EP241),
IF($N241&lt;=1,
IF($N241&gt;0,1/$N241,0),
IF(EQ$44=2,0,VDB(1,0,$N241,INT(EQ$44-2-1),MIN($N241,INT(EQ$44-2-1)+1),$DC241,IF($DD241="No",1,0))/
IF(DX241&gt;=INT($N241),$N241-INT($N241),1)))*
IF(EQ$44=2,0,
IF(INT(DY241)=INT(DX241),DY241-DX241,INT(DY241)-DX241))+
IF($N241&lt;=1,
IF($N241&gt;0,1/$N241,0),VDB(1,0,$N241,INT(EQ$44-2),MIN($N241,INT(EQ$44-2)+1),$DC241,IF($DD241="No",1,0))/
IF(DY241&gt;INT($N241),$N241-INT($N241),1))*
IF(EQ$44=2,DY241,
IF(INT(DY241)=INT(DX241),0,DY241-INT(DY241)))))</f>
        <v>0</v>
      </c>
      <c r="ER241" s="834">
        <f>+IF(OR(DZ241=DY241,ER$44=1),0,
IF(AND(ER$44&gt;1,DZ241=$N241),1-SUM($EN241:EQ241),
IF($N241&lt;=1,
IF($N241&gt;0,1/$N241,0),
IF(ER$44=2,0,VDB(1,0,$N241,INT(ER$44-2-1),MIN($N241,INT(ER$44-2-1)+1),$DC241,IF($DD241="No",1,0))/
IF(DY241&gt;=INT($N241),$N241-INT($N241),1)))*
IF(ER$44=2,0,
IF(INT(DZ241)=INT(DY241),DZ241-DY241,INT(DZ241)-DY241))+
IF($N241&lt;=1,
IF($N241&gt;0,1/$N241,0),VDB(1,0,$N241,INT(ER$44-2),MIN($N241,INT(ER$44-2)+1),$DC241,IF($DD241="No",1,0))/
IF(DZ241&gt;INT($N241),$N241-INT($N241),1))*
IF(ER$44=2,DZ241,
IF(INT(DZ241)=INT(DY241),0,DZ241-INT(DZ241)))))</f>
        <v>0</v>
      </c>
      <c r="ES241" s="835">
        <f>+IF(OR(EA241=DZ241,ES$44=1),0,
IF(AND(ES$44&gt;1,EA241=$N241),1-SUM($EN241:ER241),
IF($N241&lt;=1,
IF($N241&gt;0,1/$N241,0),
IF(ES$44=2,0,VDB(1,0,$N241,INT(ES$44-2-1),MIN($N241,INT(ES$44-2-1)+1),$DC241,IF($DD241="No",1,0))/
IF(DZ241&gt;=INT($N241),$N241-INT($N241),1)))*
IF(ES$44=2,0,
IF(INT(EA241)=INT(DZ241),EA241-DZ241,INT(EA241)-DZ241))+
IF($N241&lt;=1,
IF($N241&gt;0,1/$N241,0),VDB(1,0,$N241,INT(ES$44-2),MIN($N241,INT(ES$44-2)+1),$DC241,IF($DD241="No",1,0))/
IF(EA241&gt;INT($N241),$N241-INT($N241),1))*
IF(ES$44=2,EA241,
IF(INT(EA241)=INT(DZ241),0,EA241-INT(EA241)))))</f>
        <v>0</v>
      </c>
      <c r="ET241" s="835">
        <f>+IF(OR(EB241=EA241,ET$44=1),0,
IF(AND(ET$44&gt;1,EB241=$N241),1-SUM($EN241:ES241),
IF($N241&lt;=1,
IF($N241&gt;0,1/$N241,0),
IF(ET$44=2,0,VDB(1,0,$N241,INT(ET$44-2-1),MIN($N241,INT(ET$44-2-1)+1),$DC241,IF($DD241="No",1,0))/
IF(EA241&gt;=INT($N241),$N241-INT($N241),1)))*
IF(ET$44=2,0,
IF(INT(EB241)=INT(EA241),EB241-EA241,INT(EB241)-EA241))+
IF($N241&lt;=1,
IF($N241&gt;0,1/$N241,0),VDB(1,0,$N241,INT(ET$44-2),MIN($N241,INT(ET$44-2)+1),$DC241,IF($DD241="No",1,0))/
IF(EB241&gt;INT($N241),$N241-INT($N241),1))*
IF(ET$44=2,EB241,
IF(INT(EB241)=INT(EA241),0,EB241-INT(EB241)))))</f>
        <v>0</v>
      </c>
      <c r="EU241" s="835">
        <f>+IF(OR(EC241=EB241,EU$44=1),0,
IF(AND(EU$44&gt;1,EC241=$N241),1-SUM($EN241:ET241),
IF($N241&lt;=1,
IF($N241&gt;0,1/$N241,0),
IF(EU$44=2,0,VDB(1,0,$N241,INT(EU$44-2-1),MIN($N241,INT(EU$44-2-1)+1),$DC241,IF($DD241="No",1,0))/
IF(EB241&gt;=INT($N241),$N241-INT($N241),1)))*
IF(EU$44=2,0,
IF(INT(EC241)=INT(EB241),EC241-EB241,INT(EC241)-EB241))+
IF($N241&lt;=1,
IF($N241&gt;0,1/$N241,0),VDB(1,0,$N241,INT(EU$44-2),MIN($N241,INT(EU$44-2)+1),$DC241,IF($DD241="No",1,0))/
IF(EC241&gt;INT($N241),$N241-INT($N241),1))*
IF(EU$44=2,EC241,
IF(INT(EC241)=INT(EB241),0,EC241-INT(EC241)))))</f>
        <v>0</v>
      </c>
      <c r="EV241" s="836">
        <f>+IF(OR(ED241=EC241,EV$44=1),0,
IF(AND(EV$44&gt;1,ED241=$N241),1-SUM($EN241:EU241),
IF($N241&lt;=1,
IF($N241&gt;0,1/$N241,0),
IF(EV$44=2,0,VDB(1,0,$N241,INT(EV$44-2-1),MIN($N241,INT(EV$44-2-1)+1),$DC241,IF($DD241="No",1,0))/
IF(EC241&gt;=INT($N241),$N241-INT($N241),1)))*
IF(EV$44=2,0,
IF(INT(ED241)=INT(EC241),ED241-EC241,INT(ED241)-EC241))+
IF($N241&lt;=1,
IF($N241&gt;0,1/$N241,0),VDB(1,0,$N241,INT(EV$44-2),MIN($N241,INT(EV$44-2)+1),$DC241,IF($DD241="No",1,0))/
IF(ED241&gt;INT($N241),$N241-INT($N241),1))*
IF(EV$44=2,ED241,
IF(INT(ED241)=INT(EC241),0,ED241-INT(ED241)))))</f>
        <v>0</v>
      </c>
      <c r="EW241" s="833"/>
      <c r="EX241" s="834">
        <f t="shared" ca="1" si="448"/>
        <v>0</v>
      </c>
      <c r="EY241" s="835">
        <f t="shared" ca="1" si="448"/>
        <v>0</v>
      </c>
      <c r="EZ241" s="836">
        <f t="shared" ca="1" si="448"/>
        <v>0</v>
      </c>
      <c r="FA241" s="834">
        <f t="shared" ca="1" si="448"/>
        <v>0</v>
      </c>
      <c r="FB241" s="835">
        <f t="shared" ca="1" si="448"/>
        <v>0</v>
      </c>
      <c r="FC241" s="835">
        <f t="shared" ca="1" si="448"/>
        <v>0</v>
      </c>
      <c r="FD241" s="835">
        <f t="shared" ca="1" si="448"/>
        <v>0</v>
      </c>
      <c r="FE241" s="836">
        <f t="shared" ca="1" si="448"/>
        <v>0</v>
      </c>
      <c r="FG241" s="386">
        <f t="shared" ca="1" si="449"/>
        <v>0</v>
      </c>
      <c r="FH241" s="387">
        <f t="shared" ca="1" si="450"/>
        <v>0</v>
      </c>
      <c r="FI241" s="388">
        <f t="shared" ca="1" si="451"/>
        <v>0</v>
      </c>
      <c r="FJ241" s="386">
        <f t="shared" ca="1" si="452"/>
        <v>0</v>
      </c>
      <c r="FK241" s="387">
        <f t="shared" ca="1" si="453"/>
        <v>0</v>
      </c>
      <c r="FL241" s="387">
        <f t="shared" ca="1" si="454"/>
        <v>0</v>
      </c>
      <c r="FM241" s="387">
        <f t="shared" ca="1" si="455"/>
        <v>0</v>
      </c>
      <c r="FN241" s="388">
        <f t="shared" ca="1" si="456"/>
        <v>0</v>
      </c>
      <c r="FR241" s="116"/>
    </row>
    <row r="242" spans="2:174">
      <c r="B242" s="1410">
        <f t="shared" si="359"/>
        <v>196</v>
      </c>
      <c r="C242" s="400"/>
      <c r="D242" s="410"/>
      <c r="E242" s="402"/>
      <c r="F242" s="402"/>
      <c r="G242" s="400"/>
      <c r="H242" s="2088"/>
      <c r="I242" s="2089"/>
      <c r="J242" s="411"/>
      <c r="K242" s="403"/>
      <c r="L242" s="403"/>
      <c r="M242" s="403"/>
      <c r="N242" s="403"/>
      <c r="O242" s="347"/>
      <c r="P242" s="347"/>
      <c r="Q242" s="1021"/>
      <c r="R242" s="1022"/>
      <c r="S242" s="1022"/>
      <c r="T242" s="1022"/>
      <c r="U242" s="1023"/>
      <c r="V242" s="1021"/>
      <c r="W242" s="1022"/>
      <c r="X242" s="1022"/>
      <c r="Y242" s="1022"/>
      <c r="Z242" s="1023"/>
      <c r="AA242" s="1024"/>
      <c r="AB242" s="1021"/>
      <c r="AC242" s="1022"/>
      <c r="AD242" s="1022"/>
      <c r="AE242" s="1022"/>
      <c r="AF242" s="1023"/>
      <c r="AG242" s="1021"/>
      <c r="AH242" s="1022"/>
      <c r="AI242" s="1022"/>
      <c r="AJ242" s="1022"/>
      <c r="AK242" s="1023"/>
      <c r="AL242" s="1024"/>
      <c r="AM242" s="1021"/>
      <c r="AN242" s="1022"/>
      <c r="AO242" s="1022"/>
      <c r="AP242" s="1022"/>
      <c r="AQ242" s="1023"/>
      <c r="AR242" s="1021"/>
      <c r="AS242" s="1022"/>
      <c r="AT242" s="1022"/>
      <c r="AU242" s="1022"/>
      <c r="AV242" s="1023"/>
      <c r="AW242" s="1025"/>
      <c r="AX242" s="1282">
        <f t="shared" si="416"/>
        <v>0</v>
      </c>
      <c r="AY242" s="387">
        <f t="shared" si="417"/>
        <v>0</v>
      </c>
      <c r="AZ242" s="387">
        <f t="shared" si="418"/>
        <v>0</v>
      </c>
      <c r="BA242" s="387">
        <f t="shared" si="419"/>
        <v>0</v>
      </c>
      <c r="BB242" s="1283">
        <f t="shared" si="420"/>
        <v>0</v>
      </c>
      <c r="BC242" s="386">
        <f t="shared" si="421"/>
        <v>0</v>
      </c>
      <c r="BD242" s="387">
        <f t="shared" si="422"/>
        <v>0</v>
      </c>
      <c r="BE242" s="1277">
        <f t="shared" si="423"/>
        <v>0</v>
      </c>
      <c r="BF242" s="1277">
        <f t="shared" si="424"/>
        <v>0</v>
      </c>
      <c r="BG242" s="388">
        <f t="shared" si="425"/>
        <v>0</v>
      </c>
      <c r="BH242" s="1025"/>
      <c r="BI242" s="1282">
        <f t="shared" ca="1" si="426"/>
        <v>0</v>
      </c>
      <c r="BJ242" s="387">
        <f t="shared" ca="1" si="427"/>
        <v>0</v>
      </c>
      <c r="BK242" s="387">
        <f t="shared" ca="1" si="428"/>
        <v>0</v>
      </c>
      <c r="BL242" s="387">
        <f t="shared" ca="1" si="429"/>
        <v>0</v>
      </c>
      <c r="BM242" s="1283">
        <f t="shared" ca="1" si="430"/>
        <v>0</v>
      </c>
      <c r="BN242" s="386">
        <f t="shared" ca="1" si="431"/>
        <v>0</v>
      </c>
      <c r="BO242" s="387">
        <f t="shared" ca="1" si="432"/>
        <v>0</v>
      </c>
      <c r="BP242" s="1277">
        <f t="shared" ca="1" si="433"/>
        <v>0</v>
      </c>
      <c r="BQ242" s="1277">
        <f t="shared" ca="1" si="434"/>
        <v>0</v>
      </c>
      <c r="BR242" s="388">
        <f t="shared" ca="1" si="435"/>
        <v>0</v>
      </c>
      <c r="BS242" s="1025"/>
      <c r="BT242" s="1282">
        <f>+IF($K242="Ongoing",AX242,IF(RIGHT($K242,2)=RIGHT(BT$43,2),SUM($AX242:AX242),0)+IF(RIGHT(BT$43,2)&gt;RIGHT($K242,2),AX242,0))</f>
        <v>0</v>
      </c>
      <c r="BU242" s="387">
        <f>+IF($K242="Ongoing",AY242,IF(RIGHT($K242,2)=RIGHT(BU$43,2),SUM($AX242:AY242),0)+IF(RIGHT(BU$43,2)&gt;RIGHT($K242,2),AY242,0))</f>
        <v>0</v>
      </c>
      <c r="BV242" s="387">
        <f>+IF($K242="Ongoing",AZ242,IF(RIGHT($K242,2)=RIGHT(BV$43,2),SUM($AX242:AZ242),0)+IF(RIGHT(BV$43,2)&gt;RIGHT($K242,2),AZ242,0))</f>
        <v>0</v>
      </c>
      <c r="BW242" s="387">
        <f>+IF($K242="Ongoing",BA242,IF(RIGHT($K242,2)=RIGHT(BW$43,2),SUM($AX242:BA242),0)+IF(RIGHT(BW$43,2)&gt;RIGHT($K242,2),BA242,0))</f>
        <v>0</v>
      </c>
      <c r="BX242" s="1283">
        <f>+IF($K242="Ongoing",BB242,IF(RIGHT($K242,2)=RIGHT(BX$43,2),SUM($AX242:BB242),0)+IF(RIGHT(BX$43,2)&gt;RIGHT($K242,2),BB242,0))</f>
        <v>0</v>
      </c>
      <c r="BY242" s="386">
        <f>+IF($K242="Ongoing",BC242,IF(RIGHT($K242,2)=RIGHT(BY$43,2),SUM($AX242:BC242),0)+IF(RIGHT(BY$43,2)&gt;RIGHT($K242,2),BC242,0))</f>
        <v>0</v>
      </c>
      <c r="BZ242" s="387">
        <f>+IF($K242="Ongoing",BD242,IF(RIGHT($K242,2)=RIGHT(BZ$43,2),SUM($AX242:BD242),0)+IF(RIGHT(BZ$43,2)&gt;RIGHT($K242,2),BD242,0))</f>
        <v>0</v>
      </c>
      <c r="CA242" s="1277">
        <f>+IF($K242="Ongoing",BE242,IF(RIGHT($K242,2)=RIGHT(CA$43,2),SUM($AX242:BE242),0)+IF(RIGHT(CA$43,2)&gt;RIGHT($K242,2),BE242,0))</f>
        <v>0</v>
      </c>
      <c r="CB242" s="1277">
        <f>+IF($K242="Ongoing",BF242,IF(RIGHT($K242,2)=RIGHT(CB$43,2),SUM($AX242:BF242),0)+IF(RIGHT(CB$43,2)&gt;RIGHT($K242,2),BF242,0))</f>
        <v>0</v>
      </c>
      <c r="CC242" s="388">
        <f>+IF($K242="Ongoing",BG242,IF(RIGHT($K242,2)=RIGHT(CC$43,2),SUM($AX242:BG242),0)+IF(RIGHT(CC$43,2)&gt;RIGHT($K242,2),BG242,0))</f>
        <v>0</v>
      </c>
      <c r="CD242" s="1025"/>
      <c r="CE242" s="1282">
        <f>+Q242*KeyAssumptionsPriceControl_FO!AF$15</f>
        <v>0</v>
      </c>
      <c r="CF242" s="387">
        <f>+R242*KeyAssumptionsPriceControl_FO!AG$15</f>
        <v>0</v>
      </c>
      <c r="CG242" s="387">
        <f>+S242*KeyAssumptionsPriceControl_FO!AH$15</f>
        <v>0</v>
      </c>
      <c r="CH242" s="387">
        <f>+T242*KeyAssumptionsPriceControl_FO!AI$15</f>
        <v>0</v>
      </c>
      <c r="CI242" s="1283">
        <f>+U242*KeyAssumptionsPriceControl_FO!AJ$15</f>
        <v>0</v>
      </c>
      <c r="CJ242" s="386">
        <f>+V242*KeyAssumptionsPriceControl_FO!AK$15</f>
        <v>0</v>
      </c>
      <c r="CK242" s="387">
        <f>+W242*KeyAssumptionsPriceControl_FO!AL$15</f>
        <v>0</v>
      </c>
      <c r="CL242" s="1277">
        <f>+X242*KeyAssumptionsPriceControl_FO!AM$15</f>
        <v>0</v>
      </c>
      <c r="CM242" s="1277">
        <f>+Y242*KeyAssumptionsPriceControl_FO!AN$15</f>
        <v>0</v>
      </c>
      <c r="CN242" s="388">
        <f>+Z242*KeyAssumptionsPriceControl_FO!AO$15</f>
        <v>0</v>
      </c>
      <c r="CO242" s="1025"/>
      <c r="CP242" s="1282">
        <f t="shared" ca="1" si="436"/>
        <v>0</v>
      </c>
      <c r="CQ242" s="387">
        <f t="shared" ca="1" si="437"/>
        <v>0</v>
      </c>
      <c r="CR242" s="387">
        <f t="shared" ca="1" si="438"/>
        <v>0</v>
      </c>
      <c r="CS242" s="387">
        <f t="shared" ca="1" si="439"/>
        <v>0</v>
      </c>
      <c r="CT242" s="1283">
        <f t="shared" ca="1" si="440"/>
        <v>0</v>
      </c>
      <c r="CU242" s="386">
        <f t="shared" ca="1" si="441"/>
        <v>0</v>
      </c>
      <c r="CV242" s="387">
        <f t="shared" ca="1" si="442"/>
        <v>0</v>
      </c>
      <c r="CW242" s="1277">
        <f t="shared" ca="1" si="443"/>
        <v>0</v>
      </c>
      <c r="CX242" s="1277">
        <f t="shared" ca="1" si="444"/>
        <v>0</v>
      </c>
      <c r="CY242" s="388">
        <f t="shared" ca="1" si="445"/>
        <v>0</v>
      </c>
      <c r="CZ242" s="347"/>
      <c r="DA242" s="852"/>
      <c r="DB242" s="347"/>
      <c r="DC242" s="1012" t="s">
        <v>517</v>
      </c>
      <c r="DD242" s="841" t="s">
        <v>518</v>
      </c>
      <c r="DE242" s="386">
        <f>+IF($K242="ongoing",CE242,IF(RIGHT($K242,2)=RIGHT(DE$43,2),SUM($CD242:CE242),0)+IF(RIGHT(DE$43,2)&gt;RIGHT($K242,2),CE242,0))</f>
        <v>0</v>
      </c>
      <c r="DF242" s="387">
        <f>+IF($K242="ongoing",CF242,IF(RIGHT($K242,2)=RIGHT(DF$43,2),SUM($CD242:CF242),0)+IF(RIGHT(DF$43,2)&gt;RIGHT($K242,2),CF242,0))</f>
        <v>0</v>
      </c>
      <c r="DG242" s="388">
        <f>+IF($K242="ongoing",CG242,IF(RIGHT($K242,2)=RIGHT(DG$43,2),SUM($CD242:CG242),0)+IF(RIGHT(DG$43,2)&gt;RIGHT($K242,2),CG242,0))</f>
        <v>0</v>
      </c>
      <c r="DH242" s="386">
        <f>+IF($K242="ongoing",CH242,IF(RIGHT($K242,2)=RIGHT(DH$43,2),SUM($CD242:CH242),0)+IF(RIGHT(DH$43,2)&gt;RIGHT($K242,2),CH242,0))</f>
        <v>0</v>
      </c>
      <c r="DI242" s="387">
        <f>+IF($K242="ongoing",CI242,IF(RIGHT($K242,2)=RIGHT(DI$43,2),SUM($CD242:CI242),0)+IF(RIGHT(DI$43,2)&gt;RIGHT($K242,2),CI242,0))</f>
        <v>0</v>
      </c>
      <c r="DJ242" s="387">
        <f>+IF($K242="ongoing",CJ242,IF(RIGHT($K242,2)=RIGHT(DJ$43,2),SUM($CD242:CJ242),0)+IF(RIGHT(DJ$43,2)&gt;RIGHT($K242,2),CJ242,0))</f>
        <v>0</v>
      </c>
      <c r="DK242" s="387">
        <f>+IF($K242="ongoing",CK242,IF(RIGHT($K242,2)=RIGHT(DK$43,2),SUM($CD242:CK242),0)+IF(RIGHT(DK$43,2)&gt;RIGHT($K242,2),CK242,0))</f>
        <v>0</v>
      </c>
      <c r="DL242" s="388">
        <f>+IF($K242="ongoing",CN242,IF(RIGHT($K242,2)=RIGHT(DL$43,2),SUM($CD242:CN242),0)+IF(RIGHT(DL$43,2)&gt;RIGHT($K242,2),CN242,0))</f>
        <v>0</v>
      </c>
      <c r="DM242" s="841"/>
      <c r="DN242" s="386">
        <f t="shared" si="446"/>
        <v>0.5</v>
      </c>
      <c r="DO242" s="387">
        <f t="shared" si="446"/>
        <v>1</v>
      </c>
      <c r="DP242" s="388">
        <f t="shared" si="446"/>
        <v>1</v>
      </c>
      <c r="DQ242" s="386">
        <f t="shared" si="446"/>
        <v>1</v>
      </c>
      <c r="DR242" s="387">
        <f t="shared" si="446"/>
        <v>1</v>
      </c>
      <c r="DS242" s="387">
        <f t="shared" si="446"/>
        <v>1</v>
      </c>
      <c r="DT242" s="387">
        <f t="shared" si="446"/>
        <v>1</v>
      </c>
      <c r="DU242" s="388">
        <f t="shared" si="446"/>
        <v>1</v>
      </c>
      <c r="DW242" s="386">
        <f t="shared" si="447"/>
        <v>0</v>
      </c>
      <c r="DX242" s="387">
        <f t="shared" si="447"/>
        <v>0.5</v>
      </c>
      <c r="DY242" s="388">
        <f t="shared" si="447"/>
        <v>1</v>
      </c>
      <c r="DZ242" s="386">
        <f t="shared" si="447"/>
        <v>1</v>
      </c>
      <c r="EA242" s="387">
        <f t="shared" si="447"/>
        <v>1</v>
      </c>
      <c r="EB242" s="387">
        <f t="shared" si="447"/>
        <v>1</v>
      </c>
      <c r="EC242" s="387">
        <f t="shared" si="447"/>
        <v>1</v>
      </c>
      <c r="ED242" s="388">
        <f t="shared" si="447"/>
        <v>1</v>
      </c>
      <c r="EF242" s="834">
        <f>+IF(DN242=DM242,0,
IF(AND(EF$44&gt;1,DN242=$N242),1-SUM($EE242:EE242),
IF($N242&lt;=1,
IF($N242&gt;0,1/$N242,0),
IF(EF$44=1,0,VDB(1,0,$N242,INT(EF$44-1-1),MIN($N242,INT(EF$44-1-1)+1),$DC242,IF($DD242="No",1,0))/
IF(DM242&gt;=INT($N242),$N242-INT($N242),1)))*
IF(EF$44=1,0,
IF(INT(DN242)=INT(DM242),DN242-DM242,INT(DN242)-DM242))+
IF($N242&lt;=1,
IF($N242&gt;0,1/$N242,0),VDB(1,0,$N242,INT(EF$44-1),MIN($N242,INT(EF$44-1)+1),$DC242,IF($DD242="No",1,0))/
IF(DN242&gt;INT($N242),$N242-INT($N242),1))*
IF(EF$44=1,DN242,
IF(INT(DN242)=INT(DM242),0,DN242-INT(DN242)))))</f>
        <v>0</v>
      </c>
      <c r="EG242" s="835">
        <f>+IF(DO242=DN242,0,
IF(AND(EG$44&gt;1,DO242=$N242),1-SUM($EE242:EF242),
IF($N242&lt;=1,
IF($N242&gt;0,1/$N242,0),
IF(EG$44=1,0,VDB(1,0,$N242,INT(EG$44-1-1),MIN($N242,INT(EG$44-1-1)+1),$DC242,IF($DD242="No",1,0))/
IF(DN242&gt;=INT($N242),$N242-INT($N242),1)))*
IF(EG$44=1,0,
IF(INT(DO242)=INT(DN242),DO242-DN242,INT(DO242)-DN242))+
IF($N242&lt;=1,
IF($N242&gt;0,1/$N242,0),VDB(1,0,$N242,INT(EG$44-1),MIN($N242,INT(EG$44-1)+1),$DC242,IF($DD242="No",1,0))/
IF(DO242&gt;INT($N242),$N242-INT($N242),1))*
IF(EG$44=1,DO242,
IF(INT(DO242)=INT(DN242),0,DO242-INT(DO242)))))</f>
        <v>0</v>
      </c>
      <c r="EH242" s="836">
        <f>+IF(DP242=DO242,0,
IF(AND(EH$44&gt;1,DP242=$N242),1-SUM($EE242:EG242),
IF($N242&lt;=1,
IF($N242&gt;0,1/$N242,0),
IF(EH$44=1,0,VDB(1,0,$N242,INT(EH$44-1-1),MIN($N242,INT(EH$44-1-1)+1),$DC242,IF($DD242="No",1,0))/
IF(DO242&gt;=INT($N242),$N242-INT($N242),1)))*
IF(EH$44=1,0,
IF(INT(DP242)=INT(DO242),DP242-DO242,INT(DP242)-DO242))+
IF($N242&lt;=1,
IF($N242&gt;0,1/$N242,0),VDB(1,0,$N242,INT(EH$44-1),MIN($N242,INT(EH$44-1)+1),$DC242,IF($DD242="No",1,0))/
IF(DP242&gt;INT($N242),$N242-INT($N242),1))*
IF(EH$44=1,DP242,
IF(INT(DP242)=INT(DO242),0,DP242-INT(DP242)))))</f>
        <v>0</v>
      </c>
      <c r="EI242" s="834">
        <f>+IF(DQ242=DP242,0,
IF(AND(EI$44&gt;1,DQ242=$N242),1-SUM($EE242:EH242),
IF($N242&lt;=1,
IF($N242&gt;0,1/$N242,0),
IF(EI$44=1,0,VDB(1,0,$N242,INT(EI$44-1-1),MIN($N242,INT(EI$44-1-1)+1),$DC242,IF($DD242="No",1,0))/
IF(DP242&gt;=INT($N242),$N242-INT($N242),1)))*
IF(EI$44=1,0,
IF(INT(DQ242)=INT(DP242),DQ242-DP242,INT(DQ242)-DP242))+
IF($N242&lt;=1,
IF($N242&gt;0,1/$N242,0),VDB(1,0,$N242,INT(EI$44-1),MIN($N242,INT(EI$44-1)+1),$DC242,IF($DD242="No",1,0))/
IF(DQ242&gt;INT($N242),$N242-INT($N242),1))*
IF(EI$44=1,DQ242,
IF(INT(DQ242)=INT(DP242),0,DQ242-INT(DQ242)))))</f>
        <v>0</v>
      </c>
      <c r="EJ242" s="835">
        <f>+IF(DR242=DQ242,0,
IF(AND(EJ$44&gt;1,DR242=$N242),1-SUM($EE242:EI242),
IF($N242&lt;=1,
IF($N242&gt;0,1/$N242,0),
IF(EJ$44=1,0,VDB(1,0,$N242,INT(EJ$44-1-1),MIN($N242,INT(EJ$44-1-1)+1),$DC242,IF($DD242="No",1,0))/
IF(DQ242&gt;=INT($N242),$N242-INT($N242),1)))*
IF(EJ$44=1,0,
IF(INT(DR242)=INT(DQ242),DR242-DQ242,INT(DR242)-DQ242))+
IF($N242&lt;=1,
IF($N242&gt;0,1/$N242,0),VDB(1,0,$N242,INT(EJ$44-1),MIN($N242,INT(EJ$44-1)+1),$DC242,IF($DD242="No",1,0))/
IF(DR242&gt;INT($N242),$N242-INT($N242),1))*
IF(EJ$44=1,DR242,
IF(INT(DR242)=INT(DQ242),0,DR242-INT(DR242)))))</f>
        <v>0</v>
      </c>
      <c r="EK242" s="835">
        <f>+IF(DS242=DR242,0,
IF(AND(EK$44&gt;1,DS242=$N242),1-SUM($EE242:EJ242),
IF($N242&lt;=1,
IF($N242&gt;0,1/$N242,0),
IF(EK$44=1,0,VDB(1,0,$N242,INT(EK$44-1-1),MIN($N242,INT(EK$44-1-1)+1),$DC242,IF($DD242="No",1,0))/
IF(DR242&gt;=INT($N242),$N242-INT($N242),1)))*
IF(EK$44=1,0,
IF(INT(DS242)=INT(DR242),DS242-DR242,INT(DS242)-DR242))+
IF($N242&lt;=1,
IF($N242&gt;0,1/$N242,0),VDB(1,0,$N242,INT(EK$44-1),MIN($N242,INT(EK$44-1)+1),$DC242,IF($DD242="No",1,0))/
IF(DS242&gt;INT($N242),$N242-INT($N242),1))*
IF(EK$44=1,DS242,
IF(INT(DS242)=INT(DR242),0,DS242-INT(DS242)))))</f>
        <v>0</v>
      </c>
      <c r="EL242" s="835">
        <f>+IF(DT242=DS242,0,
IF(AND(EL$44&gt;1,DT242=$N242),1-SUM($EE242:EK242),
IF($N242&lt;=1,
IF($N242&gt;0,1/$N242,0),
IF(EL$44=1,0,VDB(1,0,$N242,INT(EL$44-1-1),MIN($N242,INT(EL$44-1-1)+1),$DC242,IF($DD242="No",1,0))/
IF(DS242&gt;=INT($N242),$N242-INT($N242),1)))*
IF(EL$44=1,0,
IF(INT(DT242)=INT(DS242),DT242-DS242,INT(DT242)-DS242))+
IF($N242&lt;=1,
IF($N242&gt;0,1/$N242,0),VDB(1,0,$N242,INT(EL$44-1),MIN($N242,INT(EL$44-1)+1),$DC242,IF($DD242="No",1,0))/
IF(DT242&gt;INT($N242),$N242-INT($N242),1))*
IF(EL$44=1,DT242,
IF(INT(DT242)=INT(DS242),0,DT242-INT(DT242)))))</f>
        <v>0</v>
      </c>
      <c r="EM242" s="836">
        <f>+IF(DU242=DT242,0,
IF(AND(EM$44&gt;1,DU242=$N242),1-SUM($EE242:EL242),
IF($N242&lt;=1,
IF($N242&gt;0,1/$N242,0),
IF(EM$44=1,0,VDB(1,0,$N242,INT(EM$44-1-1),MIN($N242,INT(EM$44-1-1)+1),$DC242,IF($DD242="No",1,0))/
IF(DT242&gt;=INT($N242),$N242-INT($N242),1)))*
IF(EM$44=1,0,
IF(INT(DU242)=INT(DT242),DU242-DT242,INT(DU242)-DT242))+
IF($N242&lt;=1,
IF($N242&gt;0,1/$N242,0),VDB(1,0,$N242,INT(EM$44-1),MIN($N242,INT(EM$44-1)+1),$DC242,IF($DD242="No",1,0))/
IF(DU242&gt;INT($N242),$N242-INT($N242),1))*
IF(EM$44=1,DU242,
IF(INT(DU242)=INT(DT242),0,DU242-INT(DU242)))))</f>
        <v>0</v>
      </c>
      <c r="EN242" s="833"/>
      <c r="EO242" s="834">
        <f>+IF(OR(DW242=DV242,EO$44=1),0,
IF(AND(EO$44&gt;1,DW242=$N242),1-SUM($EN242:EN242),
IF($N242&lt;=1,
IF($N242&gt;0,1/$N242,0),
IF(EO$44=2,0,VDB(1,0,$N242,INT(EO$44-2-1),MIN($N242,INT(EO$44-2-1)+1),$DC242,IF($DD242="No",1,0))/
IF(DV242&gt;=INT($N242),$N242-INT($N242),1)))*
IF(EO$44=2,0,
IF(INT(DW242)=INT(DV242),DW242-DV242,INT(DW242)-DV242))+
IF($N242&lt;=1,
IF($N242&gt;0,1/$N242,0),VDB(1,0,$N242,INT(EO$44-2),MIN($N242,INT(EO$44-2)+1),$DC242,IF($DD242="No",1,0))/
IF(DW242&gt;INT($N242),$N242-INT($N242),1))*
IF(EO$44=2,DW242,
IF(INT(DW242)=INT(DV242),0,DW242-INT(DW242)))))</f>
        <v>0</v>
      </c>
      <c r="EP242" s="835">
        <f>+IF(OR(DX242=DW242,EP$44=1),0,
IF(AND(EP$44&gt;1,DX242=$N242),1-SUM($EN242:EO242),
IF($N242&lt;=1,
IF($N242&gt;0,1/$N242,0),
IF(EP$44=2,0,VDB(1,0,$N242,INT(EP$44-2-1),MIN($N242,INT(EP$44-2-1)+1),$DC242,IF($DD242="No",1,0))/
IF(DW242&gt;=INT($N242),$N242-INT($N242),1)))*
IF(EP$44=2,0,
IF(INT(DX242)=INT(DW242),DX242-DW242,INT(DX242)-DW242))+
IF($N242&lt;=1,
IF($N242&gt;0,1/$N242,0),VDB(1,0,$N242,INT(EP$44-2),MIN($N242,INT(EP$44-2)+1),$DC242,IF($DD242="No",1,0))/
IF(DX242&gt;INT($N242),$N242-INT($N242),1))*
IF(EP$44=2,DX242,
IF(INT(DX242)=INT(DW242),0,DX242-INT(DX242)))))</f>
        <v>0</v>
      </c>
      <c r="EQ242" s="836">
        <f>+IF(OR(DY242=DX242,EQ$44=1),0,
IF(AND(EQ$44&gt;1,DY242=$N242),1-SUM($EN242:EP242),
IF($N242&lt;=1,
IF($N242&gt;0,1/$N242,0),
IF(EQ$44=2,0,VDB(1,0,$N242,INT(EQ$44-2-1),MIN($N242,INT(EQ$44-2-1)+1),$DC242,IF($DD242="No",1,0))/
IF(DX242&gt;=INT($N242),$N242-INT($N242),1)))*
IF(EQ$44=2,0,
IF(INT(DY242)=INT(DX242),DY242-DX242,INT(DY242)-DX242))+
IF($N242&lt;=1,
IF($N242&gt;0,1/$N242,0),VDB(1,0,$N242,INT(EQ$44-2),MIN($N242,INT(EQ$44-2)+1),$DC242,IF($DD242="No",1,0))/
IF(DY242&gt;INT($N242),$N242-INT($N242),1))*
IF(EQ$44=2,DY242,
IF(INT(DY242)=INT(DX242),0,DY242-INT(DY242)))))</f>
        <v>0</v>
      </c>
      <c r="ER242" s="834">
        <f>+IF(OR(DZ242=DY242,ER$44=1),0,
IF(AND(ER$44&gt;1,DZ242=$N242),1-SUM($EN242:EQ242),
IF($N242&lt;=1,
IF($N242&gt;0,1/$N242,0),
IF(ER$44=2,0,VDB(1,0,$N242,INT(ER$44-2-1),MIN($N242,INT(ER$44-2-1)+1),$DC242,IF($DD242="No",1,0))/
IF(DY242&gt;=INT($N242),$N242-INT($N242),1)))*
IF(ER$44=2,0,
IF(INT(DZ242)=INT(DY242),DZ242-DY242,INT(DZ242)-DY242))+
IF($N242&lt;=1,
IF($N242&gt;0,1/$N242,0),VDB(1,0,$N242,INT(ER$44-2),MIN($N242,INT(ER$44-2)+1),$DC242,IF($DD242="No",1,0))/
IF(DZ242&gt;INT($N242),$N242-INT($N242),1))*
IF(ER$44=2,DZ242,
IF(INT(DZ242)=INT(DY242),0,DZ242-INT(DZ242)))))</f>
        <v>0</v>
      </c>
      <c r="ES242" s="835">
        <f>+IF(OR(EA242=DZ242,ES$44=1),0,
IF(AND(ES$44&gt;1,EA242=$N242),1-SUM($EN242:ER242),
IF($N242&lt;=1,
IF($N242&gt;0,1/$N242,0),
IF(ES$44=2,0,VDB(1,0,$N242,INT(ES$44-2-1),MIN($N242,INT(ES$44-2-1)+1),$DC242,IF($DD242="No",1,0))/
IF(DZ242&gt;=INT($N242),$N242-INT($N242),1)))*
IF(ES$44=2,0,
IF(INT(EA242)=INT(DZ242),EA242-DZ242,INT(EA242)-DZ242))+
IF($N242&lt;=1,
IF($N242&gt;0,1/$N242,0),VDB(1,0,$N242,INT(ES$44-2),MIN($N242,INT(ES$44-2)+1),$DC242,IF($DD242="No",1,0))/
IF(EA242&gt;INT($N242),$N242-INT($N242),1))*
IF(ES$44=2,EA242,
IF(INT(EA242)=INT(DZ242),0,EA242-INT(EA242)))))</f>
        <v>0</v>
      </c>
      <c r="ET242" s="835">
        <f>+IF(OR(EB242=EA242,ET$44=1),0,
IF(AND(ET$44&gt;1,EB242=$N242),1-SUM($EN242:ES242),
IF($N242&lt;=1,
IF($N242&gt;0,1/$N242,0),
IF(ET$44=2,0,VDB(1,0,$N242,INT(ET$44-2-1),MIN($N242,INT(ET$44-2-1)+1),$DC242,IF($DD242="No",1,0))/
IF(EA242&gt;=INT($N242),$N242-INT($N242),1)))*
IF(ET$44=2,0,
IF(INT(EB242)=INT(EA242),EB242-EA242,INT(EB242)-EA242))+
IF($N242&lt;=1,
IF($N242&gt;0,1/$N242,0),VDB(1,0,$N242,INT(ET$44-2),MIN($N242,INT(ET$44-2)+1),$DC242,IF($DD242="No",1,0))/
IF(EB242&gt;INT($N242),$N242-INT($N242),1))*
IF(ET$44=2,EB242,
IF(INT(EB242)=INT(EA242),0,EB242-INT(EB242)))))</f>
        <v>0</v>
      </c>
      <c r="EU242" s="835">
        <f>+IF(OR(EC242=EB242,EU$44=1),0,
IF(AND(EU$44&gt;1,EC242=$N242),1-SUM($EN242:ET242),
IF($N242&lt;=1,
IF($N242&gt;0,1/$N242,0),
IF(EU$44=2,0,VDB(1,0,$N242,INT(EU$44-2-1),MIN($N242,INT(EU$44-2-1)+1),$DC242,IF($DD242="No",1,0))/
IF(EB242&gt;=INT($N242),$N242-INT($N242),1)))*
IF(EU$44=2,0,
IF(INT(EC242)=INT(EB242),EC242-EB242,INT(EC242)-EB242))+
IF($N242&lt;=1,
IF($N242&gt;0,1/$N242,0),VDB(1,0,$N242,INT(EU$44-2),MIN($N242,INT(EU$44-2)+1),$DC242,IF($DD242="No",1,0))/
IF(EC242&gt;INT($N242),$N242-INT($N242),1))*
IF(EU$44=2,EC242,
IF(INT(EC242)=INT(EB242),0,EC242-INT(EC242)))))</f>
        <v>0</v>
      </c>
      <c r="EV242" s="836">
        <f>+IF(OR(ED242=EC242,EV$44=1),0,
IF(AND(EV$44&gt;1,ED242=$N242),1-SUM($EN242:EU242),
IF($N242&lt;=1,
IF($N242&gt;0,1/$N242,0),
IF(EV$44=2,0,VDB(1,0,$N242,INT(EV$44-2-1),MIN($N242,INT(EV$44-2-1)+1),$DC242,IF($DD242="No",1,0))/
IF(EC242&gt;=INT($N242),$N242-INT($N242),1)))*
IF(EV$44=2,0,
IF(INT(ED242)=INT(EC242),ED242-EC242,INT(ED242)-EC242))+
IF($N242&lt;=1,
IF($N242&gt;0,1/$N242,0),VDB(1,0,$N242,INT(EV$44-2),MIN($N242,INT(EV$44-2)+1),$DC242,IF($DD242="No",1,0))/
IF(ED242&gt;INT($N242),$N242-INT($N242),1))*
IF(EV$44=2,ED242,
IF(INT(ED242)=INT(EC242),0,ED242-INT(ED242)))))</f>
        <v>0</v>
      </c>
      <c r="EW242" s="833"/>
      <c r="EX242" s="834">
        <f t="shared" ca="1" si="448"/>
        <v>0</v>
      </c>
      <c r="EY242" s="835">
        <f t="shared" ca="1" si="448"/>
        <v>0</v>
      </c>
      <c r="EZ242" s="836">
        <f t="shared" ca="1" si="448"/>
        <v>0</v>
      </c>
      <c r="FA242" s="834">
        <f t="shared" ca="1" si="448"/>
        <v>0</v>
      </c>
      <c r="FB242" s="835">
        <f t="shared" ca="1" si="448"/>
        <v>0</v>
      </c>
      <c r="FC242" s="835">
        <f t="shared" ca="1" si="448"/>
        <v>0</v>
      </c>
      <c r="FD242" s="835">
        <f t="shared" ca="1" si="448"/>
        <v>0</v>
      </c>
      <c r="FE242" s="836">
        <f t="shared" ca="1" si="448"/>
        <v>0</v>
      </c>
      <c r="FG242" s="386">
        <f t="shared" ca="1" si="449"/>
        <v>0</v>
      </c>
      <c r="FH242" s="387">
        <f t="shared" ca="1" si="450"/>
        <v>0</v>
      </c>
      <c r="FI242" s="388">
        <f t="shared" ca="1" si="451"/>
        <v>0</v>
      </c>
      <c r="FJ242" s="386">
        <f t="shared" ca="1" si="452"/>
        <v>0</v>
      </c>
      <c r="FK242" s="387">
        <f t="shared" ca="1" si="453"/>
        <v>0</v>
      </c>
      <c r="FL242" s="387">
        <f t="shared" ca="1" si="454"/>
        <v>0</v>
      </c>
      <c r="FM242" s="387">
        <f t="shared" ca="1" si="455"/>
        <v>0</v>
      </c>
      <c r="FN242" s="388">
        <f t="shared" ca="1" si="456"/>
        <v>0</v>
      </c>
      <c r="FR242" s="116"/>
    </row>
    <row r="243" spans="2:174">
      <c r="B243" s="1410">
        <f t="shared" si="359"/>
        <v>197</v>
      </c>
      <c r="C243" s="400"/>
      <c r="D243" s="410"/>
      <c r="E243" s="402"/>
      <c r="F243" s="402"/>
      <c r="G243" s="400"/>
      <c r="H243" s="2088"/>
      <c r="I243" s="2089"/>
      <c r="J243" s="411"/>
      <c r="K243" s="403"/>
      <c r="L243" s="403"/>
      <c r="M243" s="403"/>
      <c r="N243" s="403"/>
      <c r="O243" s="347"/>
      <c r="P243" s="347"/>
      <c r="Q243" s="1021"/>
      <c r="R243" s="1022"/>
      <c r="S243" s="1022"/>
      <c r="T243" s="1022"/>
      <c r="U243" s="1023"/>
      <c r="V243" s="1021"/>
      <c r="W243" s="1022"/>
      <c r="X243" s="1022"/>
      <c r="Y243" s="1022"/>
      <c r="Z243" s="1023"/>
      <c r="AA243" s="1024"/>
      <c r="AB243" s="1021"/>
      <c r="AC243" s="1022"/>
      <c r="AD243" s="1022"/>
      <c r="AE243" s="1022"/>
      <c r="AF243" s="1023"/>
      <c r="AG243" s="1021"/>
      <c r="AH243" s="1022"/>
      <c r="AI243" s="1022"/>
      <c r="AJ243" s="1022"/>
      <c r="AK243" s="1023"/>
      <c r="AL243" s="1024"/>
      <c r="AM243" s="1021"/>
      <c r="AN243" s="1022"/>
      <c r="AO243" s="1022"/>
      <c r="AP243" s="1022"/>
      <c r="AQ243" s="1023"/>
      <c r="AR243" s="1021"/>
      <c r="AS243" s="1022"/>
      <c r="AT243" s="1022"/>
      <c r="AU243" s="1022"/>
      <c r="AV243" s="1023"/>
      <c r="AW243" s="1025"/>
      <c r="AX243" s="1282">
        <f t="shared" si="416"/>
        <v>0</v>
      </c>
      <c r="AY243" s="387">
        <f t="shared" si="417"/>
        <v>0</v>
      </c>
      <c r="AZ243" s="387">
        <f t="shared" si="418"/>
        <v>0</v>
      </c>
      <c r="BA243" s="387">
        <f t="shared" si="419"/>
        <v>0</v>
      </c>
      <c r="BB243" s="1283">
        <f t="shared" si="420"/>
        <v>0</v>
      </c>
      <c r="BC243" s="386">
        <f t="shared" si="421"/>
        <v>0</v>
      </c>
      <c r="BD243" s="387">
        <f t="shared" si="422"/>
        <v>0</v>
      </c>
      <c r="BE243" s="1277">
        <f t="shared" si="423"/>
        <v>0</v>
      </c>
      <c r="BF243" s="1277">
        <f t="shared" si="424"/>
        <v>0</v>
      </c>
      <c r="BG243" s="388">
        <f t="shared" si="425"/>
        <v>0</v>
      </c>
      <c r="BH243" s="1025"/>
      <c r="BI243" s="1282">
        <f t="shared" ca="1" si="426"/>
        <v>0</v>
      </c>
      <c r="BJ243" s="387">
        <f t="shared" ca="1" si="427"/>
        <v>0</v>
      </c>
      <c r="BK243" s="387">
        <f t="shared" ca="1" si="428"/>
        <v>0</v>
      </c>
      <c r="BL243" s="387">
        <f t="shared" ca="1" si="429"/>
        <v>0</v>
      </c>
      <c r="BM243" s="1283">
        <f t="shared" ca="1" si="430"/>
        <v>0</v>
      </c>
      <c r="BN243" s="386">
        <f t="shared" ca="1" si="431"/>
        <v>0</v>
      </c>
      <c r="BO243" s="387">
        <f t="shared" ca="1" si="432"/>
        <v>0</v>
      </c>
      <c r="BP243" s="1277">
        <f t="shared" ca="1" si="433"/>
        <v>0</v>
      </c>
      <c r="BQ243" s="1277">
        <f t="shared" ca="1" si="434"/>
        <v>0</v>
      </c>
      <c r="BR243" s="388">
        <f t="shared" ca="1" si="435"/>
        <v>0</v>
      </c>
      <c r="BS243" s="1025"/>
      <c r="BT243" s="1282">
        <f>+IF($K243="Ongoing",AX243,IF(RIGHT($K243,2)=RIGHT(BT$43,2),SUM($AX243:AX243),0)+IF(RIGHT(BT$43,2)&gt;RIGHT($K243,2),AX243,0))</f>
        <v>0</v>
      </c>
      <c r="BU243" s="387">
        <f>+IF($K243="Ongoing",AY243,IF(RIGHT($K243,2)=RIGHT(BU$43,2),SUM($AX243:AY243),0)+IF(RIGHT(BU$43,2)&gt;RIGHT($K243,2),AY243,0))</f>
        <v>0</v>
      </c>
      <c r="BV243" s="387">
        <f>+IF($K243="Ongoing",AZ243,IF(RIGHT($K243,2)=RIGHT(BV$43,2),SUM($AX243:AZ243),0)+IF(RIGHT(BV$43,2)&gt;RIGHT($K243,2),AZ243,0))</f>
        <v>0</v>
      </c>
      <c r="BW243" s="387">
        <f>+IF($K243="Ongoing",BA243,IF(RIGHT($K243,2)=RIGHT(BW$43,2),SUM($AX243:BA243),0)+IF(RIGHT(BW$43,2)&gt;RIGHT($K243,2),BA243,0))</f>
        <v>0</v>
      </c>
      <c r="BX243" s="1283">
        <f>+IF($K243="Ongoing",BB243,IF(RIGHT($K243,2)=RIGHT(BX$43,2),SUM($AX243:BB243),0)+IF(RIGHT(BX$43,2)&gt;RIGHT($K243,2),BB243,0))</f>
        <v>0</v>
      </c>
      <c r="BY243" s="386">
        <f>+IF($K243="Ongoing",BC243,IF(RIGHT($K243,2)=RIGHT(BY$43,2),SUM($AX243:BC243),0)+IF(RIGHT(BY$43,2)&gt;RIGHT($K243,2),BC243,0))</f>
        <v>0</v>
      </c>
      <c r="BZ243" s="387">
        <f>+IF($K243="Ongoing",BD243,IF(RIGHT($K243,2)=RIGHT(BZ$43,2),SUM($AX243:BD243),0)+IF(RIGHT(BZ$43,2)&gt;RIGHT($K243,2),BD243,0))</f>
        <v>0</v>
      </c>
      <c r="CA243" s="1277">
        <f>+IF($K243="Ongoing",BE243,IF(RIGHT($K243,2)=RIGHT(CA$43,2),SUM($AX243:BE243),0)+IF(RIGHT(CA$43,2)&gt;RIGHT($K243,2),BE243,0))</f>
        <v>0</v>
      </c>
      <c r="CB243" s="1277">
        <f>+IF($K243="Ongoing",BF243,IF(RIGHT($K243,2)=RIGHT(CB$43,2),SUM($AX243:BF243),0)+IF(RIGHT(CB$43,2)&gt;RIGHT($K243,2),BF243,0))</f>
        <v>0</v>
      </c>
      <c r="CC243" s="388">
        <f>+IF($K243="Ongoing",BG243,IF(RIGHT($K243,2)=RIGHT(CC$43,2),SUM($AX243:BG243),0)+IF(RIGHT(CC$43,2)&gt;RIGHT($K243,2),BG243,0))</f>
        <v>0</v>
      </c>
      <c r="CD243" s="1025"/>
      <c r="CE243" s="1282">
        <f>+Q243*KeyAssumptionsPriceControl_FO!AF$15</f>
        <v>0</v>
      </c>
      <c r="CF243" s="387">
        <f>+R243*KeyAssumptionsPriceControl_FO!AG$15</f>
        <v>0</v>
      </c>
      <c r="CG243" s="387">
        <f>+S243*KeyAssumptionsPriceControl_FO!AH$15</f>
        <v>0</v>
      </c>
      <c r="CH243" s="387">
        <f>+T243*KeyAssumptionsPriceControl_FO!AI$15</f>
        <v>0</v>
      </c>
      <c r="CI243" s="1283">
        <f>+U243*KeyAssumptionsPriceControl_FO!AJ$15</f>
        <v>0</v>
      </c>
      <c r="CJ243" s="386">
        <f>+V243*KeyAssumptionsPriceControl_FO!AK$15</f>
        <v>0</v>
      </c>
      <c r="CK243" s="387">
        <f>+W243*KeyAssumptionsPriceControl_FO!AL$15</f>
        <v>0</v>
      </c>
      <c r="CL243" s="1277">
        <f>+X243*KeyAssumptionsPriceControl_FO!AM$15</f>
        <v>0</v>
      </c>
      <c r="CM243" s="1277">
        <f>+Y243*KeyAssumptionsPriceControl_FO!AN$15</f>
        <v>0</v>
      </c>
      <c r="CN243" s="388">
        <f>+Z243*KeyAssumptionsPriceControl_FO!AO$15</f>
        <v>0</v>
      </c>
      <c r="CO243" s="1025"/>
      <c r="CP243" s="1282">
        <f t="shared" ca="1" si="436"/>
        <v>0</v>
      </c>
      <c r="CQ243" s="387">
        <f t="shared" ca="1" si="437"/>
        <v>0</v>
      </c>
      <c r="CR243" s="387">
        <f t="shared" ca="1" si="438"/>
        <v>0</v>
      </c>
      <c r="CS243" s="387">
        <f t="shared" ca="1" si="439"/>
        <v>0</v>
      </c>
      <c r="CT243" s="1283">
        <f t="shared" ca="1" si="440"/>
        <v>0</v>
      </c>
      <c r="CU243" s="386">
        <f t="shared" ca="1" si="441"/>
        <v>0</v>
      </c>
      <c r="CV243" s="387">
        <f t="shared" ca="1" si="442"/>
        <v>0</v>
      </c>
      <c r="CW243" s="1277">
        <f t="shared" ca="1" si="443"/>
        <v>0</v>
      </c>
      <c r="CX243" s="1277">
        <f t="shared" ca="1" si="444"/>
        <v>0</v>
      </c>
      <c r="CY243" s="388">
        <f t="shared" ca="1" si="445"/>
        <v>0</v>
      </c>
      <c r="CZ243" s="347"/>
      <c r="DA243" s="852"/>
      <c r="DB243" s="347"/>
      <c r="DC243" s="1012" t="s">
        <v>517</v>
      </c>
      <c r="DD243" s="841" t="s">
        <v>518</v>
      </c>
      <c r="DE243" s="386">
        <f>+IF($K243="ongoing",CE243,IF(RIGHT($K243,2)=RIGHT(DE$43,2),SUM($CD243:CE243),0)+IF(RIGHT(DE$43,2)&gt;RIGHT($K243,2),CE243,0))</f>
        <v>0</v>
      </c>
      <c r="DF243" s="387">
        <f>+IF($K243="ongoing",CF243,IF(RIGHT($K243,2)=RIGHT(DF$43,2),SUM($CD243:CF243),0)+IF(RIGHT(DF$43,2)&gt;RIGHT($K243,2),CF243,0))</f>
        <v>0</v>
      </c>
      <c r="DG243" s="388">
        <f>+IF($K243="ongoing",CG243,IF(RIGHT($K243,2)=RIGHT(DG$43,2),SUM($CD243:CG243),0)+IF(RIGHT(DG$43,2)&gt;RIGHT($K243,2),CG243,0))</f>
        <v>0</v>
      </c>
      <c r="DH243" s="386">
        <f>+IF($K243="ongoing",CH243,IF(RIGHT($K243,2)=RIGHT(DH$43,2),SUM($CD243:CH243),0)+IF(RIGHT(DH$43,2)&gt;RIGHT($K243,2),CH243,0))</f>
        <v>0</v>
      </c>
      <c r="DI243" s="387">
        <f>+IF($K243="ongoing",CI243,IF(RIGHT($K243,2)=RIGHT(DI$43,2),SUM($CD243:CI243),0)+IF(RIGHT(DI$43,2)&gt;RIGHT($K243,2),CI243,0))</f>
        <v>0</v>
      </c>
      <c r="DJ243" s="387">
        <f>+IF($K243="ongoing",CJ243,IF(RIGHT($K243,2)=RIGHT(DJ$43,2),SUM($CD243:CJ243),0)+IF(RIGHT(DJ$43,2)&gt;RIGHT($K243,2),CJ243,0))</f>
        <v>0</v>
      </c>
      <c r="DK243" s="387">
        <f>+IF($K243="ongoing",CK243,IF(RIGHT($K243,2)=RIGHT(DK$43,2),SUM($CD243:CK243),0)+IF(RIGHT(DK$43,2)&gt;RIGHT($K243,2),CK243,0))</f>
        <v>0</v>
      </c>
      <c r="DL243" s="388">
        <f>+IF($K243="ongoing",CN243,IF(RIGHT($K243,2)=RIGHT(DL$43,2),SUM($CD243:CN243),0)+IF(RIGHT(DL$43,2)&gt;RIGHT($K243,2),CN243,0))</f>
        <v>0</v>
      </c>
      <c r="DM243" s="841"/>
      <c r="DN243" s="386">
        <f t="shared" si="446"/>
        <v>0.5</v>
      </c>
      <c r="DO243" s="387">
        <f t="shared" si="446"/>
        <v>1</v>
      </c>
      <c r="DP243" s="388">
        <f t="shared" si="446"/>
        <v>1</v>
      </c>
      <c r="DQ243" s="386">
        <f t="shared" si="446"/>
        <v>1</v>
      </c>
      <c r="DR243" s="387">
        <f t="shared" si="446"/>
        <v>1</v>
      </c>
      <c r="DS243" s="387">
        <f t="shared" si="446"/>
        <v>1</v>
      </c>
      <c r="DT243" s="387">
        <f t="shared" si="446"/>
        <v>1</v>
      </c>
      <c r="DU243" s="388">
        <f t="shared" si="446"/>
        <v>1</v>
      </c>
      <c r="DW243" s="386">
        <f t="shared" si="447"/>
        <v>0</v>
      </c>
      <c r="DX243" s="387">
        <f t="shared" si="447"/>
        <v>0.5</v>
      </c>
      <c r="DY243" s="388">
        <f t="shared" si="447"/>
        <v>1</v>
      </c>
      <c r="DZ243" s="386">
        <f t="shared" si="447"/>
        <v>1</v>
      </c>
      <c r="EA243" s="387">
        <f t="shared" si="447"/>
        <v>1</v>
      </c>
      <c r="EB243" s="387">
        <f t="shared" si="447"/>
        <v>1</v>
      </c>
      <c r="EC243" s="387">
        <f t="shared" si="447"/>
        <v>1</v>
      </c>
      <c r="ED243" s="388">
        <f t="shared" si="447"/>
        <v>1</v>
      </c>
      <c r="EF243" s="834">
        <f>+IF(DN243=DM243,0,
IF(AND(EF$44&gt;1,DN243=$N243),1-SUM($EE243:EE243),
IF($N243&lt;=1,
IF($N243&gt;0,1/$N243,0),
IF(EF$44=1,0,VDB(1,0,$N243,INT(EF$44-1-1),MIN($N243,INT(EF$44-1-1)+1),$DC243,IF($DD243="No",1,0))/
IF(DM243&gt;=INT($N243),$N243-INT($N243),1)))*
IF(EF$44=1,0,
IF(INT(DN243)=INT(DM243),DN243-DM243,INT(DN243)-DM243))+
IF($N243&lt;=1,
IF($N243&gt;0,1/$N243,0),VDB(1,0,$N243,INT(EF$44-1),MIN($N243,INT(EF$44-1)+1),$DC243,IF($DD243="No",1,0))/
IF(DN243&gt;INT($N243),$N243-INT($N243),1))*
IF(EF$44=1,DN243,
IF(INT(DN243)=INT(DM243),0,DN243-INT(DN243)))))</f>
        <v>0</v>
      </c>
      <c r="EG243" s="835">
        <f>+IF(DO243=DN243,0,
IF(AND(EG$44&gt;1,DO243=$N243),1-SUM($EE243:EF243),
IF($N243&lt;=1,
IF($N243&gt;0,1/$N243,0),
IF(EG$44=1,0,VDB(1,0,$N243,INT(EG$44-1-1),MIN($N243,INT(EG$44-1-1)+1),$DC243,IF($DD243="No",1,0))/
IF(DN243&gt;=INT($N243),$N243-INT($N243),1)))*
IF(EG$44=1,0,
IF(INT(DO243)=INT(DN243),DO243-DN243,INT(DO243)-DN243))+
IF($N243&lt;=1,
IF($N243&gt;0,1/$N243,0),VDB(1,0,$N243,INT(EG$44-1),MIN($N243,INT(EG$44-1)+1),$DC243,IF($DD243="No",1,0))/
IF(DO243&gt;INT($N243),$N243-INT($N243),1))*
IF(EG$44=1,DO243,
IF(INT(DO243)=INT(DN243),0,DO243-INT(DO243)))))</f>
        <v>0</v>
      </c>
      <c r="EH243" s="836">
        <f>+IF(DP243=DO243,0,
IF(AND(EH$44&gt;1,DP243=$N243),1-SUM($EE243:EG243),
IF($N243&lt;=1,
IF($N243&gt;0,1/$N243,0),
IF(EH$44=1,0,VDB(1,0,$N243,INT(EH$44-1-1),MIN($N243,INT(EH$44-1-1)+1),$DC243,IF($DD243="No",1,0))/
IF(DO243&gt;=INT($N243),$N243-INT($N243),1)))*
IF(EH$44=1,0,
IF(INT(DP243)=INT(DO243),DP243-DO243,INT(DP243)-DO243))+
IF($N243&lt;=1,
IF($N243&gt;0,1/$N243,0),VDB(1,0,$N243,INT(EH$44-1),MIN($N243,INT(EH$44-1)+1),$DC243,IF($DD243="No",1,0))/
IF(DP243&gt;INT($N243),$N243-INT($N243),1))*
IF(EH$44=1,DP243,
IF(INT(DP243)=INT(DO243),0,DP243-INT(DP243)))))</f>
        <v>0</v>
      </c>
      <c r="EI243" s="834">
        <f>+IF(DQ243=DP243,0,
IF(AND(EI$44&gt;1,DQ243=$N243),1-SUM($EE243:EH243),
IF($N243&lt;=1,
IF($N243&gt;0,1/$N243,0),
IF(EI$44=1,0,VDB(1,0,$N243,INT(EI$44-1-1),MIN($N243,INT(EI$44-1-1)+1),$DC243,IF($DD243="No",1,0))/
IF(DP243&gt;=INT($N243),$N243-INT($N243),1)))*
IF(EI$44=1,0,
IF(INT(DQ243)=INT(DP243),DQ243-DP243,INT(DQ243)-DP243))+
IF($N243&lt;=1,
IF($N243&gt;0,1/$N243,0),VDB(1,0,$N243,INT(EI$44-1),MIN($N243,INT(EI$44-1)+1),$DC243,IF($DD243="No",1,0))/
IF(DQ243&gt;INT($N243),$N243-INT($N243),1))*
IF(EI$44=1,DQ243,
IF(INT(DQ243)=INT(DP243),0,DQ243-INT(DQ243)))))</f>
        <v>0</v>
      </c>
      <c r="EJ243" s="835">
        <f>+IF(DR243=DQ243,0,
IF(AND(EJ$44&gt;1,DR243=$N243),1-SUM($EE243:EI243),
IF($N243&lt;=1,
IF($N243&gt;0,1/$N243,0),
IF(EJ$44=1,0,VDB(1,0,$N243,INT(EJ$44-1-1),MIN($N243,INT(EJ$44-1-1)+1),$DC243,IF($DD243="No",1,0))/
IF(DQ243&gt;=INT($N243),$N243-INT($N243),1)))*
IF(EJ$44=1,0,
IF(INT(DR243)=INT(DQ243),DR243-DQ243,INT(DR243)-DQ243))+
IF($N243&lt;=1,
IF($N243&gt;0,1/$N243,0),VDB(1,0,$N243,INT(EJ$44-1),MIN($N243,INT(EJ$44-1)+1),$DC243,IF($DD243="No",1,0))/
IF(DR243&gt;INT($N243),$N243-INT($N243),1))*
IF(EJ$44=1,DR243,
IF(INT(DR243)=INT(DQ243),0,DR243-INT(DR243)))))</f>
        <v>0</v>
      </c>
      <c r="EK243" s="835">
        <f>+IF(DS243=DR243,0,
IF(AND(EK$44&gt;1,DS243=$N243),1-SUM($EE243:EJ243),
IF($N243&lt;=1,
IF($N243&gt;0,1/$N243,0),
IF(EK$44=1,0,VDB(1,0,$N243,INT(EK$44-1-1),MIN($N243,INT(EK$44-1-1)+1),$DC243,IF($DD243="No",1,0))/
IF(DR243&gt;=INT($N243),$N243-INT($N243),1)))*
IF(EK$44=1,0,
IF(INT(DS243)=INT(DR243),DS243-DR243,INT(DS243)-DR243))+
IF($N243&lt;=1,
IF($N243&gt;0,1/$N243,0),VDB(1,0,$N243,INT(EK$44-1),MIN($N243,INT(EK$44-1)+1),$DC243,IF($DD243="No",1,0))/
IF(DS243&gt;INT($N243),$N243-INT($N243),1))*
IF(EK$44=1,DS243,
IF(INT(DS243)=INT(DR243),0,DS243-INT(DS243)))))</f>
        <v>0</v>
      </c>
      <c r="EL243" s="835">
        <f>+IF(DT243=DS243,0,
IF(AND(EL$44&gt;1,DT243=$N243),1-SUM($EE243:EK243),
IF($N243&lt;=1,
IF($N243&gt;0,1/$N243,0),
IF(EL$44=1,0,VDB(1,0,$N243,INT(EL$44-1-1),MIN($N243,INT(EL$44-1-1)+1),$DC243,IF($DD243="No",1,0))/
IF(DS243&gt;=INT($N243),$N243-INT($N243),1)))*
IF(EL$44=1,0,
IF(INT(DT243)=INT(DS243),DT243-DS243,INT(DT243)-DS243))+
IF($N243&lt;=1,
IF($N243&gt;0,1/$N243,0),VDB(1,0,$N243,INT(EL$44-1),MIN($N243,INT(EL$44-1)+1),$DC243,IF($DD243="No",1,0))/
IF(DT243&gt;INT($N243),$N243-INT($N243),1))*
IF(EL$44=1,DT243,
IF(INT(DT243)=INT(DS243),0,DT243-INT(DT243)))))</f>
        <v>0</v>
      </c>
      <c r="EM243" s="836">
        <f>+IF(DU243=DT243,0,
IF(AND(EM$44&gt;1,DU243=$N243),1-SUM($EE243:EL243),
IF($N243&lt;=1,
IF($N243&gt;0,1/$N243,0),
IF(EM$44=1,0,VDB(1,0,$N243,INT(EM$44-1-1),MIN($N243,INT(EM$44-1-1)+1),$DC243,IF($DD243="No",1,0))/
IF(DT243&gt;=INT($N243),$N243-INT($N243),1)))*
IF(EM$44=1,0,
IF(INT(DU243)=INT(DT243),DU243-DT243,INT(DU243)-DT243))+
IF($N243&lt;=1,
IF($N243&gt;0,1/$N243,0),VDB(1,0,$N243,INT(EM$44-1),MIN($N243,INT(EM$44-1)+1),$DC243,IF($DD243="No",1,0))/
IF(DU243&gt;INT($N243),$N243-INT($N243),1))*
IF(EM$44=1,DU243,
IF(INT(DU243)=INT(DT243),0,DU243-INT(DU243)))))</f>
        <v>0</v>
      </c>
      <c r="EN243" s="833"/>
      <c r="EO243" s="834">
        <f>+IF(OR(DW243=DV243,EO$44=1),0,
IF(AND(EO$44&gt;1,DW243=$N243),1-SUM($EN243:EN243),
IF($N243&lt;=1,
IF($N243&gt;0,1/$N243,0),
IF(EO$44=2,0,VDB(1,0,$N243,INT(EO$44-2-1),MIN($N243,INT(EO$44-2-1)+1),$DC243,IF($DD243="No",1,0))/
IF(DV243&gt;=INT($N243),$N243-INT($N243),1)))*
IF(EO$44=2,0,
IF(INT(DW243)=INT(DV243),DW243-DV243,INT(DW243)-DV243))+
IF($N243&lt;=1,
IF($N243&gt;0,1/$N243,0),VDB(1,0,$N243,INT(EO$44-2),MIN($N243,INT(EO$44-2)+1),$DC243,IF($DD243="No",1,0))/
IF(DW243&gt;INT($N243),$N243-INT($N243),1))*
IF(EO$44=2,DW243,
IF(INT(DW243)=INT(DV243),0,DW243-INT(DW243)))))</f>
        <v>0</v>
      </c>
      <c r="EP243" s="835">
        <f>+IF(OR(DX243=DW243,EP$44=1),0,
IF(AND(EP$44&gt;1,DX243=$N243),1-SUM($EN243:EO243),
IF($N243&lt;=1,
IF($N243&gt;0,1/$N243,0),
IF(EP$44=2,0,VDB(1,0,$N243,INT(EP$44-2-1),MIN($N243,INT(EP$44-2-1)+1),$DC243,IF($DD243="No",1,0))/
IF(DW243&gt;=INT($N243),$N243-INT($N243),1)))*
IF(EP$44=2,0,
IF(INT(DX243)=INT(DW243),DX243-DW243,INT(DX243)-DW243))+
IF($N243&lt;=1,
IF($N243&gt;0,1/$N243,0),VDB(1,0,$N243,INT(EP$44-2),MIN($N243,INT(EP$44-2)+1),$DC243,IF($DD243="No",1,0))/
IF(DX243&gt;INT($N243),$N243-INT($N243),1))*
IF(EP$44=2,DX243,
IF(INT(DX243)=INT(DW243),0,DX243-INT(DX243)))))</f>
        <v>0</v>
      </c>
      <c r="EQ243" s="836">
        <f>+IF(OR(DY243=DX243,EQ$44=1),0,
IF(AND(EQ$44&gt;1,DY243=$N243),1-SUM($EN243:EP243),
IF($N243&lt;=1,
IF($N243&gt;0,1/$N243,0),
IF(EQ$44=2,0,VDB(1,0,$N243,INT(EQ$44-2-1),MIN($N243,INT(EQ$44-2-1)+1),$DC243,IF($DD243="No",1,0))/
IF(DX243&gt;=INT($N243),$N243-INT($N243),1)))*
IF(EQ$44=2,0,
IF(INT(DY243)=INT(DX243),DY243-DX243,INT(DY243)-DX243))+
IF($N243&lt;=1,
IF($N243&gt;0,1/$N243,0),VDB(1,0,$N243,INT(EQ$44-2),MIN($N243,INT(EQ$44-2)+1),$DC243,IF($DD243="No",1,0))/
IF(DY243&gt;INT($N243),$N243-INT($N243),1))*
IF(EQ$44=2,DY243,
IF(INT(DY243)=INT(DX243),0,DY243-INT(DY243)))))</f>
        <v>0</v>
      </c>
      <c r="ER243" s="834">
        <f>+IF(OR(DZ243=DY243,ER$44=1),0,
IF(AND(ER$44&gt;1,DZ243=$N243),1-SUM($EN243:EQ243),
IF($N243&lt;=1,
IF($N243&gt;0,1/$N243,0),
IF(ER$44=2,0,VDB(1,0,$N243,INT(ER$44-2-1),MIN($N243,INT(ER$44-2-1)+1),$DC243,IF($DD243="No",1,0))/
IF(DY243&gt;=INT($N243),$N243-INT($N243),1)))*
IF(ER$44=2,0,
IF(INT(DZ243)=INT(DY243),DZ243-DY243,INT(DZ243)-DY243))+
IF($N243&lt;=1,
IF($N243&gt;0,1/$N243,0),VDB(1,0,$N243,INT(ER$44-2),MIN($N243,INT(ER$44-2)+1),$DC243,IF($DD243="No",1,0))/
IF(DZ243&gt;INT($N243),$N243-INT($N243),1))*
IF(ER$44=2,DZ243,
IF(INT(DZ243)=INT(DY243),0,DZ243-INT(DZ243)))))</f>
        <v>0</v>
      </c>
      <c r="ES243" s="835">
        <f>+IF(OR(EA243=DZ243,ES$44=1),0,
IF(AND(ES$44&gt;1,EA243=$N243),1-SUM($EN243:ER243),
IF($N243&lt;=1,
IF($N243&gt;0,1/$N243,0),
IF(ES$44=2,0,VDB(1,0,$N243,INT(ES$44-2-1),MIN($N243,INT(ES$44-2-1)+1),$DC243,IF($DD243="No",1,0))/
IF(DZ243&gt;=INT($N243),$N243-INT($N243),1)))*
IF(ES$44=2,0,
IF(INT(EA243)=INT(DZ243),EA243-DZ243,INT(EA243)-DZ243))+
IF($N243&lt;=1,
IF($N243&gt;0,1/$N243,0),VDB(1,0,$N243,INT(ES$44-2),MIN($N243,INT(ES$44-2)+1),$DC243,IF($DD243="No",1,0))/
IF(EA243&gt;INT($N243),$N243-INT($N243),1))*
IF(ES$44=2,EA243,
IF(INT(EA243)=INT(DZ243),0,EA243-INT(EA243)))))</f>
        <v>0</v>
      </c>
      <c r="ET243" s="835">
        <f>+IF(OR(EB243=EA243,ET$44=1),0,
IF(AND(ET$44&gt;1,EB243=$N243),1-SUM($EN243:ES243),
IF($N243&lt;=1,
IF($N243&gt;0,1/$N243,0),
IF(ET$44=2,0,VDB(1,0,$N243,INT(ET$44-2-1),MIN($N243,INT(ET$44-2-1)+1),$DC243,IF($DD243="No",1,0))/
IF(EA243&gt;=INT($N243),$N243-INT($N243),1)))*
IF(ET$44=2,0,
IF(INT(EB243)=INT(EA243),EB243-EA243,INT(EB243)-EA243))+
IF($N243&lt;=1,
IF($N243&gt;0,1/$N243,0),VDB(1,0,$N243,INT(ET$44-2),MIN($N243,INT(ET$44-2)+1),$DC243,IF($DD243="No",1,0))/
IF(EB243&gt;INT($N243),$N243-INT($N243),1))*
IF(ET$44=2,EB243,
IF(INT(EB243)=INT(EA243),0,EB243-INT(EB243)))))</f>
        <v>0</v>
      </c>
      <c r="EU243" s="835">
        <f>+IF(OR(EC243=EB243,EU$44=1),0,
IF(AND(EU$44&gt;1,EC243=$N243),1-SUM($EN243:ET243),
IF($N243&lt;=1,
IF($N243&gt;0,1/$N243,0),
IF(EU$44=2,0,VDB(1,0,$N243,INT(EU$44-2-1),MIN($N243,INT(EU$44-2-1)+1),$DC243,IF($DD243="No",1,0))/
IF(EB243&gt;=INT($N243),$N243-INT($N243),1)))*
IF(EU$44=2,0,
IF(INT(EC243)=INT(EB243),EC243-EB243,INT(EC243)-EB243))+
IF($N243&lt;=1,
IF($N243&gt;0,1/$N243,0),VDB(1,0,$N243,INT(EU$44-2),MIN($N243,INT(EU$44-2)+1),$DC243,IF($DD243="No",1,0))/
IF(EC243&gt;INT($N243),$N243-INT($N243),1))*
IF(EU$44=2,EC243,
IF(INT(EC243)=INT(EB243),0,EC243-INT(EC243)))))</f>
        <v>0</v>
      </c>
      <c r="EV243" s="836">
        <f>+IF(OR(ED243=EC243,EV$44=1),0,
IF(AND(EV$44&gt;1,ED243=$N243),1-SUM($EN243:EU243),
IF($N243&lt;=1,
IF($N243&gt;0,1/$N243,0),
IF(EV$44=2,0,VDB(1,0,$N243,INT(EV$44-2-1),MIN($N243,INT(EV$44-2-1)+1),$DC243,IF($DD243="No",1,0))/
IF(EC243&gt;=INT($N243),$N243-INT($N243),1)))*
IF(EV$44=2,0,
IF(INT(ED243)=INT(EC243),ED243-EC243,INT(ED243)-EC243))+
IF($N243&lt;=1,
IF($N243&gt;0,1/$N243,0),VDB(1,0,$N243,INT(EV$44-2),MIN($N243,INT(EV$44-2)+1),$DC243,IF($DD243="No",1,0))/
IF(ED243&gt;INT($N243),$N243-INT($N243),1))*
IF(EV$44=2,ED243,
IF(INT(ED243)=INT(EC243),0,ED243-INT(ED243)))))</f>
        <v>0</v>
      </c>
      <c r="EW243" s="833"/>
      <c r="EX243" s="834">
        <f t="shared" ca="1" si="448"/>
        <v>0</v>
      </c>
      <c r="EY243" s="835">
        <f t="shared" ca="1" si="448"/>
        <v>0</v>
      </c>
      <c r="EZ243" s="836">
        <f t="shared" ca="1" si="448"/>
        <v>0</v>
      </c>
      <c r="FA243" s="834">
        <f t="shared" ca="1" si="448"/>
        <v>0</v>
      </c>
      <c r="FB243" s="835">
        <f t="shared" ca="1" si="448"/>
        <v>0</v>
      </c>
      <c r="FC243" s="835">
        <f t="shared" ca="1" si="448"/>
        <v>0</v>
      </c>
      <c r="FD243" s="835">
        <f t="shared" ca="1" si="448"/>
        <v>0</v>
      </c>
      <c r="FE243" s="836">
        <f t="shared" ca="1" si="448"/>
        <v>0</v>
      </c>
      <c r="FG243" s="386">
        <f t="shared" ca="1" si="449"/>
        <v>0</v>
      </c>
      <c r="FH243" s="387">
        <f t="shared" ca="1" si="450"/>
        <v>0</v>
      </c>
      <c r="FI243" s="388">
        <f t="shared" ca="1" si="451"/>
        <v>0</v>
      </c>
      <c r="FJ243" s="386">
        <f t="shared" ca="1" si="452"/>
        <v>0</v>
      </c>
      <c r="FK243" s="387">
        <f t="shared" ca="1" si="453"/>
        <v>0</v>
      </c>
      <c r="FL243" s="387">
        <f t="shared" ca="1" si="454"/>
        <v>0</v>
      </c>
      <c r="FM243" s="387">
        <f t="shared" ca="1" si="455"/>
        <v>0</v>
      </c>
      <c r="FN243" s="388">
        <f t="shared" ca="1" si="456"/>
        <v>0</v>
      </c>
      <c r="FR243" s="116"/>
    </row>
    <row r="244" spans="2:174">
      <c r="B244" s="1410">
        <f t="shared" si="359"/>
        <v>198</v>
      </c>
      <c r="C244" s="400"/>
      <c r="D244" s="410"/>
      <c r="E244" s="402"/>
      <c r="F244" s="402"/>
      <c r="G244" s="400"/>
      <c r="H244" s="2088"/>
      <c r="I244" s="2089"/>
      <c r="J244" s="411"/>
      <c r="K244" s="403"/>
      <c r="L244" s="403"/>
      <c r="M244" s="403"/>
      <c r="N244" s="403"/>
      <c r="O244" s="347"/>
      <c r="P244" s="347"/>
      <c r="Q244" s="1021"/>
      <c r="R244" s="1022"/>
      <c r="S244" s="1022"/>
      <c r="T244" s="1022"/>
      <c r="U244" s="1023"/>
      <c r="V244" s="1021"/>
      <c r="W244" s="1022"/>
      <c r="X244" s="1022"/>
      <c r="Y244" s="1022"/>
      <c r="Z244" s="1023"/>
      <c r="AA244" s="1024"/>
      <c r="AB244" s="1021"/>
      <c r="AC244" s="1022"/>
      <c r="AD244" s="1022"/>
      <c r="AE244" s="1022"/>
      <c r="AF244" s="1023"/>
      <c r="AG244" s="1021"/>
      <c r="AH244" s="1022"/>
      <c r="AI244" s="1022"/>
      <c r="AJ244" s="1022"/>
      <c r="AK244" s="1023"/>
      <c r="AL244" s="1024"/>
      <c r="AM244" s="1021"/>
      <c r="AN244" s="1022"/>
      <c r="AO244" s="1022"/>
      <c r="AP244" s="1022"/>
      <c r="AQ244" s="1023"/>
      <c r="AR244" s="1021"/>
      <c r="AS244" s="1022"/>
      <c r="AT244" s="1022"/>
      <c r="AU244" s="1022"/>
      <c r="AV244" s="1023"/>
      <c r="AW244" s="1025"/>
      <c r="AX244" s="1282">
        <f t="shared" si="416"/>
        <v>0</v>
      </c>
      <c r="AY244" s="387">
        <f t="shared" si="417"/>
        <v>0</v>
      </c>
      <c r="AZ244" s="387">
        <f t="shared" si="418"/>
        <v>0</v>
      </c>
      <c r="BA244" s="387">
        <f t="shared" si="419"/>
        <v>0</v>
      </c>
      <c r="BB244" s="1283">
        <f t="shared" si="420"/>
        <v>0</v>
      </c>
      <c r="BC244" s="386">
        <f t="shared" si="421"/>
        <v>0</v>
      </c>
      <c r="BD244" s="387">
        <f t="shared" si="422"/>
        <v>0</v>
      </c>
      <c r="BE244" s="1277">
        <f t="shared" si="423"/>
        <v>0</v>
      </c>
      <c r="BF244" s="1277">
        <f t="shared" si="424"/>
        <v>0</v>
      </c>
      <c r="BG244" s="388">
        <f t="shared" si="425"/>
        <v>0</v>
      </c>
      <c r="BH244" s="1025"/>
      <c r="BI244" s="1282">
        <f t="shared" ca="1" si="426"/>
        <v>0</v>
      </c>
      <c r="BJ244" s="387">
        <f t="shared" ca="1" si="427"/>
        <v>0</v>
      </c>
      <c r="BK244" s="387">
        <f t="shared" ca="1" si="428"/>
        <v>0</v>
      </c>
      <c r="BL244" s="387">
        <f t="shared" ca="1" si="429"/>
        <v>0</v>
      </c>
      <c r="BM244" s="1283">
        <f t="shared" ca="1" si="430"/>
        <v>0</v>
      </c>
      <c r="BN244" s="386">
        <f t="shared" ca="1" si="431"/>
        <v>0</v>
      </c>
      <c r="BO244" s="387">
        <f t="shared" ca="1" si="432"/>
        <v>0</v>
      </c>
      <c r="BP244" s="1277">
        <f t="shared" ca="1" si="433"/>
        <v>0</v>
      </c>
      <c r="BQ244" s="1277">
        <f t="shared" ca="1" si="434"/>
        <v>0</v>
      </c>
      <c r="BR244" s="388">
        <f t="shared" ca="1" si="435"/>
        <v>0</v>
      </c>
      <c r="BS244" s="1025"/>
      <c r="BT244" s="1282">
        <f>+IF($K244="Ongoing",AX244,IF(RIGHT($K244,2)=RIGHT(BT$43,2),SUM($AX244:AX244),0)+IF(RIGHT(BT$43,2)&gt;RIGHT($K244,2),AX244,0))</f>
        <v>0</v>
      </c>
      <c r="BU244" s="387">
        <f>+IF($K244="Ongoing",AY244,IF(RIGHT($K244,2)=RIGHT(BU$43,2),SUM($AX244:AY244),0)+IF(RIGHT(BU$43,2)&gt;RIGHT($K244,2),AY244,0))</f>
        <v>0</v>
      </c>
      <c r="BV244" s="387">
        <f>+IF($K244="Ongoing",AZ244,IF(RIGHT($K244,2)=RIGHT(BV$43,2),SUM($AX244:AZ244),0)+IF(RIGHT(BV$43,2)&gt;RIGHT($K244,2),AZ244,0))</f>
        <v>0</v>
      </c>
      <c r="BW244" s="387">
        <f>+IF($K244="Ongoing",BA244,IF(RIGHT($K244,2)=RIGHT(BW$43,2),SUM($AX244:BA244),0)+IF(RIGHT(BW$43,2)&gt;RIGHT($K244,2),BA244,0))</f>
        <v>0</v>
      </c>
      <c r="BX244" s="1283">
        <f>+IF($K244="Ongoing",BB244,IF(RIGHT($K244,2)=RIGHT(BX$43,2),SUM($AX244:BB244),0)+IF(RIGHT(BX$43,2)&gt;RIGHT($K244,2),BB244,0))</f>
        <v>0</v>
      </c>
      <c r="BY244" s="386">
        <f>+IF($K244="Ongoing",BC244,IF(RIGHT($K244,2)=RIGHT(BY$43,2),SUM($AX244:BC244),0)+IF(RIGHT(BY$43,2)&gt;RIGHT($K244,2),BC244,0))</f>
        <v>0</v>
      </c>
      <c r="BZ244" s="387">
        <f>+IF($K244="Ongoing",BD244,IF(RIGHT($K244,2)=RIGHT(BZ$43,2),SUM($AX244:BD244),0)+IF(RIGHT(BZ$43,2)&gt;RIGHT($K244,2),BD244,0))</f>
        <v>0</v>
      </c>
      <c r="CA244" s="1277">
        <f>+IF($K244="Ongoing",BE244,IF(RIGHT($K244,2)=RIGHT(CA$43,2),SUM($AX244:BE244),0)+IF(RIGHT(CA$43,2)&gt;RIGHT($K244,2),BE244,0))</f>
        <v>0</v>
      </c>
      <c r="CB244" s="1277">
        <f>+IF($K244="Ongoing",BF244,IF(RIGHT($K244,2)=RIGHT(CB$43,2),SUM($AX244:BF244),0)+IF(RIGHT(CB$43,2)&gt;RIGHT($K244,2),BF244,0))</f>
        <v>0</v>
      </c>
      <c r="CC244" s="388">
        <f>+IF($K244="Ongoing",BG244,IF(RIGHT($K244,2)=RIGHT(CC$43,2),SUM($AX244:BG244),0)+IF(RIGHT(CC$43,2)&gt;RIGHT($K244,2),BG244,0))</f>
        <v>0</v>
      </c>
      <c r="CD244" s="1025"/>
      <c r="CE244" s="1282">
        <f>+Q244*KeyAssumptionsPriceControl_FO!AF$15</f>
        <v>0</v>
      </c>
      <c r="CF244" s="387">
        <f>+R244*KeyAssumptionsPriceControl_FO!AG$15</f>
        <v>0</v>
      </c>
      <c r="CG244" s="387">
        <f>+S244*KeyAssumptionsPriceControl_FO!AH$15</f>
        <v>0</v>
      </c>
      <c r="CH244" s="387">
        <f>+T244*KeyAssumptionsPriceControl_FO!AI$15</f>
        <v>0</v>
      </c>
      <c r="CI244" s="1283">
        <f>+U244*KeyAssumptionsPriceControl_FO!AJ$15</f>
        <v>0</v>
      </c>
      <c r="CJ244" s="386">
        <f>+V244*KeyAssumptionsPriceControl_FO!AK$15</f>
        <v>0</v>
      </c>
      <c r="CK244" s="387">
        <f>+W244*KeyAssumptionsPriceControl_FO!AL$15</f>
        <v>0</v>
      </c>
      <c r="CL244" s="1277">
        <f>+X244*KeyAssumptionsPriceControl_FO!AM$15</f>
        <v>0</v>
      </c>
      <c r="CM244" s="1277">
        <f>+Y244*KeyAssumptionsPriceControl_FO!AN$15</f>
        <v>0</v>
      </c>
      <c r="CN244" s="388">
        <f>+Z244*KeyAssumptionsPriceControl_FO!AO$15</f>
        <v>0</v>
      </c>
      <c r="CO244" s="1025"/>
      <c r="CP244" s="1282">
        <f t="shared" ca="1" si="436"/>
        <v>0</v>
      </c>
      <c r="CQ244" s="387">
        <f t="shared" ca="1" si="437"/>
        <v>0</v>
      </c>
      <c r="CR244" s="387">
        <f t="shared" ca="1" si="438"/>
        <v>0</v>
      </c>
      <c r="CS244" s="387">
        <f t="shared" ca="1" si="439"/>
        <v>0</v>
      </c>
      <c r="CT244" s="1283">
        <f t="shared" ca="1" si="440"/>
        <v>0</v>
      </c>
      <c r="CU244" s="386">
        <f t="shared" ca="1" si="441"/>
        <v>0</v>
      </c>
      <c r="CV244" s="387">
        <f t="shared" ca="1" si="442"/>
        <v>0</v>
      </c>
      <c r="CW244" s="1277">
        <f t="shared" ca="1" si="443"/>
        <v>0</v>
      </c>
      <c r="CX244" s="1277">
        <f t="shared" ca="1" si="444"/>
        <v>0</v>
      </c>
      <c r="CY244" s="388">
        <f t="shared" ca="1" si="445"/>
        <v>0</v>
      </c>
      <c r="CZ244" s="347"/>
      <c r="DA244" s="852"/>
      <c r="DB244" s="347"/>
      <c r="DC244" s="1012" t="s">
        <v>517</v>
      </c>
      <c r="DD244" s="841" t="s">
        <v>518</v>
      </c>
      <c r="DE244" s="386">
        <f>+IF($K244="ongoing",CE244,IF(RIGHT($K244,2)=RIGHT(DE$43,2),SUM($CD244:CE244),0)+IF(RIGHT(DE$43,2)&gt;RIGHT($K244,2),CE244,0))</f>
        <v>0</v>
      </c>
      <c r="DF244" s="387">
        <f>+IF($K244="ongoing",CF244,IF(RIGHT($K244,2)=RIGHT(DF$43,2),SUM($CD244:CF244),0)+IF(RIGHT(DF$43,2)&gt;RIGHT($K244,2),CF244,0))</f>
        <v>0</v>
      </c>
      <c r="DG244" s="388">
        <f>+IF($K244="ongoing",CG244,IF(RIGHT($K244,2)=RIGHT(DG$43,2),SUM($CD244:CG244),0)+IF(RIGHT(DG$43,2)&gt;RIGHT($K244,2),CG244,0))</f>
        <v>0</v>
      </c>
      <c r="DH244" s="386">
        <f>+IF($K244="ongoing",CH244,IF(RIGHT($K244,2)=RIGHT(DH$43,2),SUM($CD244:CH244),0)+IF(RIGHT(DH$43,2)&gt;RIGHT($K244,2),CH244,0))</f>
        <v>0</v>
      </c>
      <c r="DI244" s="387">
        <f>+IF($K244="ongoing",CI244,IF(RIGHT($K244,2)=RIGHT(DI$43,2),SUM($CD244:CI244),0)+IF(RIGHT(DI$43,2)&gt;RIGHT($K244,2),CI244,0))</f>
        <v>0</v>
      </c>
      <c r="DJ244" s="387">
        <f>+IF($K244="ongoing",CJ244,IF(RIGHT($K244,2)=RIGHT(DJ$43,2),SUM($CD244:CJ244),0)+IF(RIGHT(DJ$43,2)&gt;RIGHT($K244,2),CJ244,0))</f>
        <v>0</v>
      </c>
      <c r="DK244" s="387">
        <f>+IF($K244="ongoing",CK244,IF(RIGHT($K244,2)=RIGHT(DK$43,2),SUM($CD244:CK244),0)+IF(RIGHT(DK$43,2)&gt;RIGHT($K244,2),CK244,0))</f>
        <v>0</v>
      </c>
      <c r="DL244" s="388">
        <f>+IF($K244="ongoing",CN244,IF(RIGHT($K244,2)=RIGHT(DL$43,2),SUM($CD244:CN244),0)+IF(RIGHT(DL$43,2)&gt;RIGHT($K244,2),CN244,0))</f>
        <v>0</v>
      </c>
      <c r="DM244" s="841"/>
      <c r="DN244" s="386">
        <f t="shared" si="446"/>
        <v>0.5</v>
      </c>
      <c r="DO244" s="387">
        <f t="shared" si="446"/>
        <v>1</v>
      </c>
      <c r="DP244" s="388">
        <f t="shared" si="446"/>
        <v>1</v>
      </c>
      <c r="DQ244" s="386">
        <f t="shared" si="446"/>
        <v>1</v>
      </c>
      <c r="DR244" s="387">
        <f t="shared" si="446"/>
        <v>1</v>
      </c>
      <c r="DS244" s="387">
        <f t="shared" si="446"/>
        <v>1</v>
      </c>
      <c r="DT244" s="387">
        <f t="shared" si="446"/>
        <v>1</v>
      </c>
      <c r="DU244" s="388">
        <f t="shared" si="446"/>
        <v>1</v>
      </c>
      <c r="DW244" s="386">
        <f t="shared" si="447"/>
        <v>0</v>
      </c>
      <c r="DX244" s="387">
        <f t="shared" si="447"/>
        <v>0.5</v>
      </c>
      <c r="DY244" s="388">
        <f t="shared" si="447"/>
        <v>1</v>
      </c>
      <c r="DZ244" s="386">
        <f t="shared" si="447"/>
        <v>1</v>
      </c>
      <c r="EA244" s="387">
        <f t="shared" si="447"/>
        <v>1</v>
      </c>
      <c r="EB244" s="387">
        <f t="shared" si="447"/>
        <v>1</v>
      </c>
      <c r="EC244" s="387">
        <f t="shared" si="447"/>
        <v>1</v>
      </c>
      <c r="ED244" s="388">
        <f t="shared" si="447"/>
        <v>1</v>
      </c>
      <c r="EF244" s="834">
        <f>+IF(DN244=DM244,0,
IF(AND(EF$44&gt;1,DN244=$N244),1-SUM($EE244:EE244),
IF($N244&lt;=1,
IF($N244&gt;0,1/$N244,0),
IF(EF$44=1,0,VDB(1,0,$N244,INT(EF$44-1-1),MIN($N244,INT(EF$44-1-1)+1),$DC244,IF($DD244="No",1,0))/
IF(DM244&gt;=INT($N244),$N244-INT($N244),1)))*
IF(EF$44=1,0,
IF(INT(DN244)=INT(DM244),DN244-DM244,INT(DN244)-DM244))+
IF($N244&lt;=1,
IF($N244&gt;0,1/$N244,0),VDB(1,0,$N244,INT(EF$44-1),MIN($N244,INT(EF$44-1)+1),$DC244,IF($DD244="No",1,0))/
IF(DN244&gt;INT($N244),$N244-INT($N244),1))*
IF(EF$44=1,DN244,
IF(INT(DN244)=INT(DM244),0,DN244-INT(DN244)))))</f>
        <v>0</v>
      </c>
      <c r="EG244" s="835">
        <f>+IF(DO244=DN244,0,
IF(AND(EG$44&gt;1,DO244=$N244),1-SUM($EE244:EF244),
IF($N244&lt;=1,
IF($N244&gt;0,1/$N244,0),
IF(EG$44=1,0,VDB(1,0,$N244,INT(EG$44-1-1),MIN($N244,INT(EG$44-1-1)+1),$DC244,IF($DD244="No",1,0))/
IF(DN244&gt;=INT($N244),$N244-INT($N244),1)))*
IF(EG$44=1,0,
IF(INT(DO244)=INT(DN244),DO244-DN244,INT(DO244)-DN244))+
IF($N244&lt;=1,
IF($N244&gt;0,1/$N244,0),VDB(1,0,$N244,INT(EG$44-1),MIN($N244,INT(EG$44-1)+1),$DC244,IF($DD244="No",1,0))/
IF(DO244&gt;INT($N244),$N244-INT($N244),1))*
IF(EG$44=1,DO244,
IF(INT(DO244)=INT(DN244),0,DO244-INT(DO244)))))</f>
        <v>0</v>
      </c>
      <c r="EH244" s="836">
        <f>+IF(DP244=DO244,0,
IF(AND(EH$44&gt;1,DP244=$N244),1-SUM($EE244:EG244),
IF($N244&lt;=1,
IF($N244&gt;0,1/$N244,0),
IF(EH$44=1,0,VDB(1,0,$N244,INT(EH$44-1-1),MIN($N244,INT(EH$44-1-1)+1),$DC244,IF($DD244="No",1,0))/
IF(DO244&gt;=INT($N244),$N244-INT($N244),1)))*
IF(EH$44=1,0,
IF(INT(DP244)=INT(DO244),DP244-DO244,INT(DP244)-DO244))+
IF($N244&lt;=1,
IF($N244&gt;0,1/$N244,0),VDB(1,0,$N244,INT(EH$44-1),MIN($N244,INT(EH$44-1)+1),$DC244,IF($DD244="No",1,0))/
IF(DP244&gt;INT($N244),$N244-INT($N244),1))*
IF(EH$44=1,DP244,
IF(INT(DP244)=INT(DO244),0,DP244-INT(DP244)))))</f>
        <v>0</v>
      </c>
      <c r="EI244" s="834">
        <f>+IF(DQ244=DP244,0,
IF(AND(EI$44&gt;1,DQ244=$N244),1-SUM($EE244:EH244),
IF($N244&lt;=1,
IF($N244&gt;0,1/$N244,0),
IF(EI$44=1,0,VDB(1,0,$N244,INT(EI$44-1-1),MIN($N244,INT(EI$44-1-1)+1),$DC244,IF($DD244="No",1,0))/
IF(DP244&gt;=INT($N244),$N244-INT($N244),1)))*
IF(EI$44=1,0,
IF(INT(DQ244)=INT(DP244),DQ244-DP244,INT(DQ244)-DP244))+
IF($N244&lt;=1,
IF($N244&gt;0,1/$N244,0),VDB(1,0,$N244,INT(EI$44-1),MIN($N244,INT(EI$44-1)+1),$DC244,IF($DD244="No",1,0))/
IF(DQ244&gt;INT($N244),$N244-INT($N244),1))*
IF(EI$44=1,DQ244,
IF(INT(DQ244)=INT(DP244),0,DQ244-INT(DQ244)))))</f>
        <v>0</v>
      </c>
      <c r="EJ244" s="835">
        <f>+IF(DR244=DQ244,0,
IF(AND(EJ$44&gt;1,DR244=$N244),1-SUM($EE244:EI244),
IF($N244&lt;=1,
IF($N244&gt;0,1/$N244,0),
IF(EJ$44=1,0,VDB(1,0,$N244,INT(EJ$44-1-1),MIN($N244,INT(EJ$44-1-1)+1),$DC244,IF($DD244="No",1,0))/
IF(DQ244&gt;=INT($N244),$N244-INT($N244),1)))*
IF(EJ$44=1,0,
IF(INT(DR244)=INT(DQ244),DR244-DQ244,INT(DR244)-DQ244))+
IF($N244&lt;=1,
IF($N244&gt;0,1/$N244,0),VDB(1,0,$N244,INT(EJ$44-1),MIN($N244,INT(EJ$44-1)+1),$DC244,IF($DD244="No",1,0))/
IF(DR244&gt;INT($N244),$N244-INT($N244),1))*
IF(EJ$44=1,DR244,
IF(INT(DR244)=INT(DQ244),0,DR244-INT(DR244)))))</f>
        <v>0</v>
      </c>
      <c r="EK244" s="835">
        <f>+IF(DS244=DR244,0,
IF(AND(EK$44&gt;1,DS244=$N244),1-SUM($EE244:EJ244),
IF($N244&lt;=1,
IF($N244&gt;0,1/$N244,0),
IF(EK$44=1,0,VDB(1,0,$N244,INT(EK$44-1-1),MIN($N244,INT(EK$44-1-1)+1),$DC244,IF($DD244="No",1,0))/
IF(DR244&gt;=INT($N244),$N244-INT($N244),1)))*
IF(EK$44=1,0,
IF(INT(DS244)=INT(DR244),DS244-DR244,INT(DS244)-DR244))+
IF($N244&lt;=1,
IF($N244&gt;0,1/$N244,0),VDB(1,0,$N244,INT(EK$44-1),MIN($N244,INT(EK$44-1)+1),$DC244,IF($DD244="No",1,0))/
IF(DS244&gt;INT($N244),$N244-INT($N244),1))*
IF(EK$44=1,DS244,
IF(INT(DS244)=INT(DR244),0,DS244-INT(DS244)))))</f>
        <v>0</v>
      </c>
      <c r="EL244" s="835">
        <f>+IF(DT244=DS244,0,
IF(AND(EL$44&gt;1,DT244=$N244),1-SUM($EE244:EK244),
IF($N244&lt;=1,
IF($N244&gt;0,1/$N244,0),
IF(EL$44=1,0,VDB(1,0,$N244,INT(EL$44-1-1),MIN($N244,INT(EL$44-1-1)+1),$DC244,IF($DD244="No",1,0))/
IF(DS244&gt;=INT($N244),$N244-INT($N244),1)))*
IF(EL$44=1,0,
IF(INT(DT244)=INT(DS244),DT244-DS244,INT(DT244)-DS244))+
IF($N244&lt;=1,
IF($N244&gt;0,1/$N244,0),VDB(1,0,$N244,INT(EL$44-1),MIN($N244,INT(EL$44-1)+1),$DC244,IF($DD244="No",1,0))/
IF(DT244&gt;INT($N244),$N244-INT($N244),1))*
IF(EL$44=1,DT244,
IF(INT(DT244)=INT(DS244),0,DT244-INT(DT244)))))</f>
        <v>0</v>
      </c>
      <c r="EM244" s="836">
        <f>+IF(DU244=DT244,0,
IF(AND(EM$44&gt;1,DU244=$N244),1-SUM($EE244:EL244),
IF($N244&lt;=1,
IF($N244&gt;0,1/$N244,0),
IF(EM$44=1,0,VDB(1,0,$N244,INT(EM$44-1-1),MIN($N244,INT(EM$44-1-1)+1),$DC244,IF($DD244="No",1,0))/
IF(DT244&gt;=INT($N244),$N244-INT($N244),1)))*
IF(EM$44=1,0,
IF(INT(DU244)=INT(DT244),DU244-DT244,INT(DU244)-DT244))+
IF($N244&lt;=1,
IF($N244&gt;0,1/$N244,0),VDB(1,0,$N244,INT(EM$44-1),MIN($N244,INT(EM$44-1)+1),$DC244,IF($DD244="No",1,0))/
IF(DU244&gt;INT($N244),$N244-INT($N244),1))*
IF(EM$44=1,DU244,
IF(INT(DU244)=INT(DT244),0,DU244-INT(DU244)))))</f>
        <v>0</v>
      </c>
      <c r="EN244" s="833"/>
      <c r="EO244" s="834">
        <f>+IF(OR(DW244=DV244,EO$44=1),0,
IF(AND(EO$44&gt;1,DW244=$N244),1-SUM($EN244:EN244),
IF($N244&lt;=1,
IF($N244&gt;0,1/$N244,0),
IF(EO$44=2,0,VDB(1,0,$N244,INT(EO$44-2-1),MIN($N244,INT(EO$44-2-1)+1),$DC244,IF($DD244="No",1,0))/
IF(DV244&gt;=INT($N244),$N244-INT($N244),1)))*
IF(EO$44=2,0,
IF(INT(DW244)=INT(DV244),DW244-DV244,INT(DW244)-DV244))+
IF($N244&lt;=1,
IF($N244&gt;0,1/$N244,0),VDB(1,0,$N244,INT(EO$44-2),MIN($N244,INT(EO$44-2)+1),$DC244,IF($DD244="No",1,0))/
IF(DW244&gt;INT($N244),$N244-INT($N244),1))*
IF(EO$44=2,DW244,
IF(INT(DW244)=INT(DV244),0,DW244-INT(DW244)))))</f>
        <v>0</v>
      </c>
      <c r="EP244" s="835">
        <f>+IF(OR(DX244=DW244,EP$44=1),0,
IF(AND(EP$44&gt;1,DX244=$N244),1-SUM($EN244:EO244),
IF($N244&lt;=1,
IF($N244&gt;0,1/$N244,0),
IF(EP$44=2,0,VDB(1,0,$N244,INT(EP$44-2-1),MIN($N244,INT(EP$44-2-1)+1),$DC244,IF($DD244="No",1,0))/
IF(DW244&gt;=INT($N244),$N244-INT($N244),1)))*
IF(EP$44=2,0,
IF(INT(DX244)=INT(DW244),DX244-DW244,INT(DX244)-DW244))+
IF($N244&lt;=1,
IF($N244&gt;0,1/$N244,0),VDB(1,0,$N244,INT(EP$44-2),MIN($N244,INT(EP$44-2)+1),$DC244,IF($DD244="No",1,0))/
IF(DX244&gt;INT($N244),$N244-INT($N244),1))*
IF(EP$44=2,DX244,
IF(INT(DX244)=INT(DW244),0,DX244-INT(DX244)))))</f>
        <v>0</v>
      </c>
      <c r="EQ244" s="836">
        <f>+IF(OR(DY244=DX244,EQ$44=1),0,
IF(AND(EQ$44&gt;1,DY244=$N244),1-SUM($EN244:EP244),
IF($N244&lt;=1,
IF($N244&gt;0,1/$N244,0),
IF(EQ$44=2,0,VDB(1,0,$N244,INT(EQ$44-2-1),MIN($N244,INT(EQ$44-2-1)+1),$DC244,IF($DD244="No",1,0))/
IF(DX244&gt;=INT($N244),$N244-INT($N244),1)))*
IF(EQ$44=2,0,
IF(INT(DY244)=INT(DX244),DY244-DX244,INT(DY244)-DX244))+
IF($N244&lt;=1,
IF($N244&gt;0,1/$N244,0),VDB(1,0,$N244,INT(EQ$44-2),MIN($N244,INT(EQ$44-2)+1),$DC244,IF($DD244="No",1,0))/
IF(DY244&gt;INT($N244),$N244-INT($N244),1))*
IF(EQ$44=2,DY244,
IF(INT(DY244)=INT(DX244),0,DY244-INT(DY244)))))</f>
        <v>0</v>
      </c>
      <c r="ER244" s="834">
        <f>+IF(OR(DZ244=DY244,ER$44=1),0,
IF(AND(ER$44&gt;1,DZ244=$N244),1-SUM($EN244:EQ244),
IF($N244&lt;=1,
IF($N244&gt;0,1/$N244,0),
IF(ER$44=2,0,VDB(1,0,$N244,INT(ER$44-2-1),MIN($N244,INT(ER$44-2-1)+1),$DC244,IF($DD244="No",1,0))/
IF(DY244&gt;=INT($N244),$N244-INT($N244),1)))*
IF(ER$44=2,0,
IF(INT(DZ244)=INT(DY244),DZ244-DY244,INT(DZ244)-DY244))+
IF($N244&lt;=1,
IF($N244&gt;0,1/$N244,0),VDB(1,0,$N244,INT(ER$44-2),MIN($N244,INT(ER$44-2)+1),$DC244,IF($DD244="No",1,0))/
IF(DZ244&gt;INT($N244),$N244-INT($N244),1))*
IF(ER$44=2,DZ244,
IF(INT(DZ244)=INT(DY244),0,DZ244-INT(DZ244)))))</f>
        <v>0</v>
      </c>
      <c r="ES244" s="835">
        <f>+IF(OR(EA244=DZ244,ES$44=1),0,
IF(AND(ES$44&gt;1,EA244=$N244),1-SUM($EN244:ER244),
IF($N244&lt;=1,
IF($N244&gt;0,1/$N244,0),
IF(ES$44=2,0,VDB(1,0,$N244,INT(ES$44-2-1),MIN($N244,INT(ES$44-2-1)+1),$DC244,IF($DD244="No",1,0))/
IF(DZ244&gt;=INT($N244),$N244-INT($N244),1)))*
IF(ES$44=2,0,
IF(INT(EA244)=INT(DZ244),EA244-DZ244,INT(EA244)-DZ244))+
IF($N244&lt;=1,
IF($N244&gt;0,1/$N244,0),VDB(1,0,$N244,INT(ES$44-2),MIN($N244,INT(ES$44-2)+1),$DC244,IF($DD244="No",1,0))/
IF(EA244&gt;INT($N244),$N244-INT($N244),1))*
IF(ES$44=2,EA244,
IF(INT(EA244)=INT(DZ244),0,EA244-INT(EA244)))))</f>
        <v>0</v>
      </c>
      <c r="ET244" s="835">
        <f>+IF(OR(EB244=EA244,ET$44=1),0,
IF(AND(ET$44&gt;1,EB244=$N244),1-SUM($EN244:ES244),
IF($N244&lt;=1,
IF($N244&gt;0,1/$N244,0),
IF(ET$44=2,0,VDB(1,0,$N244,INT(ET$44-2-1),MIN($N244,INT(ET$44-2-1)+1),$DC244,IF($DD244="No",1,0))/
IF(EA244&gt;=INT($N244),$N244-INT($N244),1)))*
IF(ET$44=2,0,
IF(INT(EB244)=INT(EA244),EB244-EA244,INT(EB244)-EA244))+
IF($N244&lt;=1,
IF($N244&gt;0,1/$N244,0),VDB(1,0,$N244,INT(ET$44-2),MIN($N244,INT(ET$44-2)+1),$DC244,IF($DD244="No",1,0))/
IF(EB244&gt;INT($N244),$N244-INT($N244),1))*
IF(ET$44=2,EB244,
IF(INT(EB244)=INT(EA244),0,EB244-INT(EB244)))))</f>
        <v>0</v>
      </c>
      <c r="EU244" s="835">
        <f>+IF(OR(EC244=EB244,EU$44=1),0,
IF(AND(EU$44&gt;1,EC244=$N244),1-SUM($EN244:ET244),
IF($N244&lt;=1,
IF($N244&gt;0,1/$N244,0),
IF(EU$44=2,0,VDB(1,0,$N244,INT(EU$44-2-1),MIN($N244,INT(EU$44-2-1)+1),$DC244,IF($DD244="No",1,0))/
IF(EB244&gt;=INT($N244),$N244-INT($N244),1)))*
IF(EU$44=2,0,
IF(INT(EC244)=INT(EB244),EC244-EB244,INT(EC244)-EB244))+
IF($N244&lt;=1,
IF($N244&gt;0,1/$N244,0),VDB(1,0,$N244,INT(EU$44-2),MIN($N244,INT(EU$44-2)+1),$DC244,IF($DD244="No",1,0))/
IF(EC244&gt;INT($N244),$N244-INT($N244),1))*
IF(EU$44=2,EC244,
IF(INT(EC244)=INT(EB244),0,EC244-INT(EC244)))))</f>
        <v>0</v>
      </c>
      <c r="EV244" s="836">
        <f>+IF(OR(ED244=EC244,EV$44=1),0,
IF(AND(EV$44&gt;1,ED244=$N244),1-SUM($EN244:EU244),
IF($N244&lt;=1,
IF($N244&gt;0,1/$N244,0),
IF(EV$44=2,0,VDB(1,0,$N244,INT(EV$44-2-1),MIN($N244,INT(EV$44-2-1)+1),$DC244,IF($DD244="No",1,0))/
IF(EC244&gt;=INT($N244),$N244-INT($N244),1)))*
IF(EV$44=2,0,
IF(INT(ED244)=INT(EC244),ED244-EC244,INT(ED244)-EC244))+
IF($N244&lt;=1,
IF($N244&gt;0,1/$N244,0),VDB(1,0,$N244,INT(EV$44-2),MIN($N244,INT(EV$44-2)+1),$DC244,IF($DD244="No",1,0))/
IF(ED244&gt;INT($N244),$N244-INT($N244),1))*
IF(EV$44=2,ED244,
IF(INT(ED244)=INT(EC244),0,ED244-INT(ED244)))))</f>
        <v>0</v>
      </c>
      <c r="EW244" s="833"/>
      <c r="EX244" s="834">
        <f t="shared" ca="1" si="448"/>
        <v>0</v>
      </c>
      <c r="EY244" s="835">
        <f t="shared" ca="1" si="448"/>
        <v>0</v>
      </c>
      <c r="EZ244" s="836">
        <f t="shared" ca="1" si="448"/>
        <v>0</v>
      </c>
      <c r="FA244" s="834">
        <f t="shared" ca="1" si="448"/>
        <v>0</v>
      </c>
      <c r="FB244" s="835">
        <f t="shared" ca="1" si="448"/>
        <v>0</v>
      </c>
      <c r="FC244" s="835">
        <f t="shared" ca="1" si="448"/>
        <v>0</v>
      </c>
      <c r="FD244" s="835">
        <f t="shared" ca="1" si="448"/>
        <v>0</v>
      </c>
      <c r="FE244" s="836">
        <f t="shared" ca="1" si="448"/>
        <v>0</v>
      </c>
      <c r="FG244" s="386">
        <f t="shared" ca="1" si="449"/>
        <v>0</v>
      </c>
      <c r="FH244" s="387">
        <f t="shared" ca="1" si="450"/>
        <v>0</v>
      </c>
      <c r="FI244" s="388">
        <f t="shared" ca="1" si="451"/>
        <v>0</v>
      </c>
      <c r="FJ244" s="386">
        <f t="shared" ca="1" si="452"/>
        <v>0</v>
      </c>
      <c r="FK244" s="387">
        <f t="shared" ca="1" si="453"/>
        <v>0</v>
      </c>
      <c r="FL244" s="387">
        <f t="shared" ca="1" si="454"/>
        <v>0</v>
      </c>
      <c r="FM244" s="387">
        <f t="shared" ca="1" si="455"/>
        <v>0</v>
      </c>
      <c r="FN244" s="388">
        <f t="shared" ca="1" si="456"/>
        <v>0</v>
      </c>
      <c r="FR244" s="116"/>
    </row>
    <row r="245" spans="2:174">
      <c r="B245" s="1410">
        <f t="shared" si="359"/>
        <v>199</v>
      </c>
      <c r="C245" s="400"/>
      <c r="D245" s="410"/>
      <c r="E245" s="402"/>
      <c r="F245" s="402"/>
      <c r="G245" s="400"/>
      <c r="H245" s="2088"/>
      <c r="I245" s="2089"/>
      <c r="J245" s="411"/>
      <c r="K245" s="403"/>
      <c r="L245" s="403"/>
      <c r="M245" s="403"/>
      <c r="N245" s="403"/>
      <c r="O245" s="347"/>
      <c r="P245" s="347"/>
      <c r="Q245" s="1021"/>
      <c r="R245" s="1022"/>
      <c r="S245" s="1022"/>
      <c r="T245" s="1022"/>
      <c r="U245" s="1023"/>
      <c r="V245" s="1021"/>
      <c r="W245" s="1022"/>
      <c r="X245" s="1022"/>
      <c r="Y245" s="1022"/>
      <c r="Z245" s="1023"/>
      <c r="AA245" s="1024"/>
      <c r="AB245" s="1021"/>
      <c r="AC245" s="1022"/>
      <c r="AD245" s="1022"/>
      <c r="AE245" s="1022"/>
      <c r="AF245" s="1023"/>
      <c r="AG245" s="1021"/>
      <c r="AH245" s="1022"/>
      <c r="AI245" s="1022"/>
      <c r="AJ245" s="1022"/>
      <c r="AK245" s="1023"/>
      <c r="AL245" s="1024"/>
      <c r="AM245" s="1021"/>
      <c r="AN245" s="1022"/>
      <c r="AO245" s="1022"/>
      <c r="AP245" s="1022"/>
      <c r="AQ245" s="1023"/>
      <c r="AR245" s="1021"/>
      <c r="AS245" s="1022"/>
      <c r="AT245" s="1022"/>
      <c r="AU245" s="1022"/>
      <c r="AV245" s="1023"/>
      <c r="AW245" s="1025"/>
      <c r="AX245" s="1282">
        <f t="shared" si="416"/>
        <v>0</v>
      </c>
      <c r="AY245" s="387">
        <f t="shared" si="417"/>
        <v>0</v>
      </c>
      <c r="AZ245" s="387">
        <f t="shared" si="418"/>
        <v>0</v>
      </c>
      <c r="BA245" s="387">
        <f t="shared" si="419"/>
        <v>0</v>
      </c>
      <c r="BB245" s="1283">
        <f t="shared" si="420"/>
        <v>0</v>
      </c>
      <c r="BC245" s="386">
        <f t="shared" si="421"/>
        <v>0</v>
      </c>
      <c r="BD245" s="387">
        <f t="shared" si="422"/>
        <v>0</v>
      </c>
      <c r="BE245" s="1277">
        <f t="shared" si="423"/>
        <v>0</v>
      </c>
      <c r="BF245" s="1277">
        <f t="shared" si="424"/>
        <v>0</v>
      </c>
      <c r="BG245" s="388">
        <f t="shared" si="425"/>
        <v>0</v>
      </c>
      <c r="BH245" s="1025"/>
      <c r="BI245" s="1282">
        <f t="shared" ca="1" si="426"/>
        <v>0</v>
      </c>
      <c r="BJ245" s="387">
        <f t="shared" ca="1" si="427"/>
        <v>0</v>
      </c>
      <c r="BK245" s="387">
        <f t="shared" ca="1" si="428"/>
        <v>0</v>
      </c>
      <c r="BL245" s="387">
        <f t="shared" ca="1" si="429"/>
        <v>0</v>
      </c>
      <c r="BM245" s="1283">
        <f t="shared" ca="1" si="430"/>
        <v>0</v>
      </c>
      <c r="BN245" s="386">
        <f t="shared" ca="1" si="431"/>
        <v>0</v>
      </c>
      <c r="BO245" s="387">
        <f t="shared" ca="1" si="432"/>
        <v>0</v>
      </c>
      <c r="BP245" s="1277">
        <f t="shared" ca="1" si="433"/>
        <v>0</v>
      </c>
      <c r="BQ245" s="1277">
        <f t="shared" ca="1" si="434"/>
        <v>0</v>
      </c>
      <c r="BR245" s="388">
        <f t="shared" ca="1" si="435"/>
        <v>0</v>
      </c>
      <c r="BS245" s="1025"/>
      <c r="BT245" s="1282">
        <f>+IF($K245="Ongoing",AX245,IF(RIGHT($K245,2)=RIGHT(BT$43,2),SUM($AX245:AX245),0)+IF(RIGHT(BT$43,2)&gt;RIGHT($K245,2),AX245,0))</f>
        <v>0</v>
      </c>
      <c r="BU245" s="387">
        <f>+IF($K245="Ongoing",AY245,IF(RIGHT($K245,2)=RIGHT(BU$43,2),SUM($AX245:AY245),0)+IF(RIGHT(BU$43,2)&gt;RIGHT($K245,2),AY245,0))</f>
        <v>0</v>
      </c>
      <c r="BV245" s="387">
        <f>+IF($K245="Ongoing",AZ245,IF(RIGHT($K245,2)=RIGHT(BV$43,2),SUM($AX245:AZ245),0)+IF(RIGHT(BV$43,2)&gt;RIGHT($K245,2),AZ245,0))</f>
        <v>0</v>
      </c>
      <c r="BW245" s="387">
        <f>+IF($K245="Ongoing",BA245,IF(RIGHT($K245,2)=RIGHT(BW$43,2),SUM($AX245:BA245),0)+IF(RIGHT(BW$43,2)&gt;RIGHT($K245,2),BA245,0))</f>
        <v>0</v>
      </c>
      <c r="BX245" s="1283">
        <f>+IF($K245="Ongoing",BB245,IF(RIGHT($K245,2)=RIGHT(BX$43,2),SUM($AX245:BB245),0)+IF(RIGHT(BX$43,2)&gt;RIGHT($K245,2),BB245,0))</f>
        <v>0</v>
      </c>
      <c r="BY245" s="386">
        <f>+IF($K245="Ongoing",BC245,IF(RIGHT($K245,2)=RIGHT(BY$43,2),SUM($AX245:BC245),0)+IF(RIGHT(BY$43,2)&gt;RIGHT($K245,2),BC245,0))</f>
        <v>0</v>
      </c>
      <c r="BZ245" s="387">
        <f>+IF($K245="Ongoing",BD245,IF(RIGHT($K245,2)=RIGHT(BZ$43,2),SUM($AX245:BD245),0)+IF(RIGHT(BZ$43,2)&gt;RIGHT($K245,2),BD245,0))</f>
        <v>0</v>
      </c>
      <c r="CA245" s="1277">
        <f>+IF($K245="Ongoing",BE245,IF(RIGHT($K245,2)=RIGHT(CA$43,2),SUM($AX245:BE245),0)+IF(RIGHT(CA$43,2)&gt;RIGHT($K245,2),BE245,0))</f>
        <v>0</v>
      </c>
      <c r="CB245" s="1277">
        <f>+IF($K245="Ongoing",BF245,IF(RIGHT($K245,2)=RIGHT(CB$43,2),SUM($AX245:BF245),0)+IF(RIGHT(CB$43,2)&gt;RIGHT($K245,2),BF245,0))</f>
        <v>0</v>
      </c>
      <c r="CC245" s="388">
        <f>+IF($K245="Ongoing",BG245,IF(RIGHT($K245,2)=RIGHT(CC$43,2),SUM($AX245:BG245),0)+IF(RIGHT(CC$43,2)&gt;RIGHT($K245,2),BG245,0))</f>
        <v>0</v>
      </c>
      <c r="CD245" s="1025"/>
      <c r="CE245" s="1282">
        <f>+Q245*KeyAssumptionsPriceControl_FO!AF$15</f>
        <v>0</v>
      </c>
      <c r="CF245" s="387">
        <f>+R245*KeyAssumptionsPriceControl_FO!AG$15</f>
        <v>0</v>
      </c>
      <c r="CG245" s="387">
        <f>+S245*KeyAssumptionsPriceControl_FO!AH$15</f>
        <v>0</v>
      </c>
      <c r="CH245" s="387">
        <f>+T245*KeyAssumptionsPriceControl_FO!AI$15</f>
        <v>0</v>
      </c>
      <c r="CI245" s="1283">
        <f>+U245*KeyAssumptionsPriceControl_FO!AJ$15</f>
        <v>0</v>
      </c>
      <c r="CJ245" s="386">
        <f>+V245*KeyAssumptionsPriceControl_FO!AK$15</f>
        <v>0</v>
      </c>
      <c r="CK245" s="387">
        <f>+W245*KeyAssumptionsPriceControl_FO!AL$15</f>
        <v>0</v>
      </c>
      <c r="CL245" s="1277">
        <f>+X245*KeyAssumptionsPriceControl_FO!AM$15</f>
        <v>0</v>
      </c>
      <c r="CM245" s="1277">
        <f>+Y245*KeyAssumptionsPriceControl_FO!AN$15</f>
        <v>0</v>
      </c>
      <c r="CN245" s="388">
        <f>+Z245*KeyAssumptionsPriceControl_FO!AO$15</f>
        <v>0</v>
      </c>
      <c r="CO245" s="1025"/>
      <c r="CP245" s="1282">
        <f t="shared" ca="1" si="436"/>
        <v>0</v>
      </c>
      <c r="CQ245" s="387">
        <f t="shared" ca="1" si="437"/>
        <v>0</v>
      </c>
      <c r="CR245" s="387">
        <f t="shared" ca="1" si="438"/>
        <v>0</v>
      </c>
      <c r="CS245" s="387">
        <f t="shared" ca="1" si="439"/>
        <v>0</v>
      </c>
      <c r="CT245" s="1283">
        <f t="shared" ca="1" si="440"/>
        <v>0</v>
      </c>
      <c r="CU245" s="386">
        <f t="shared" ca="1" si="441"/>
        <v>0</v>
      </c>
      <c r="CV245" s="387">
        <f t="shared" ca="1" si="442"/>
        <v>0</v>
      </c>
      <c r="CW245" s="1277">
        <f t="shared" ca="1" si="443"/>
        <v>0</v>
      </c>
      <c r="CX245" s="1277">
        <f t="shared" ca="1" si="444"/>
        <v>0</v>
      </c>
      <c r="CY245" s="388">
        <f t="shared" ca="1" si="445"/>
        <v>0</v>
      </c>
      <c r="CZ245" s="347"/>
      <c r="DA245" s="852"/>
      <c r="DB245" s="347"/>
      <c r="DC245" s="1012" t="s">
        <v>517</v>
      </c>
      <c r="DD245" s="841" t="s">
        <v>518</v>
      </c>
      <c r="DE245" s="386">
        <f>+IF($K245="ongoing",CE245,IF(RIGHT($K245,2)=RIGHT(DE$43,2),SUM($CD245:CE245),0)+IF(RIGHT(DE$43,2)&gt;RIGHT($K245,2),CE245,0))</f>
        <v>0</v>
      </c>
      <c r="DF245" s="387">
        <f>+IF($K245="ongoing",CF245,IF(RIGHT($K245,2)=RIGHT(DF$43,2),SUM($CD245:CF245),0)+IF(RIGHT(DF$43,2)&gt;RIGHT($K245,2),CF245,0))</f>
        <v>0</v>
      </c>
      <c r="DG245" s="388">
        <f>+IF($K245="ongoing",CG245,IF(RIGHT($K245,2)=RIGHT(DG$43,2),SUM($CD245:CG245),0)+IF(RIGHT(DG$43,2)&gt;RIGHT($K245,2),CG245,0))</f>
        <v>0</v>
      </c>
      <c r="DH245" s="386">
        <f>+IF($K245="ongoing",CH245,IF(RIGHT($K245,2)=RIGHT(DH$43,2),SUM($CD245:CH245),0)+IF(RIGHT(DH$43,2)&gt;RIGHT($K245,2),CH245,0))</f>
        <v>0</v>
      </c>
      <c r="DI245" s="387">
        <f>+IF($K245="ongoing",CI245,IF(RIGHT($K245,2)=RIGHT(DI$43,2),SUM($CD245:CI245),0)+IF(RIGHT(DI$43,2)&gt;RIGHT($K245,2),CI245,0))</f>
        <v>0</v>
      </c>
      <c r="DJ245" s="387">
        <f>+IF($K245="ongoing",CJ245,IF(RIGHT($K245,2)=RIGHT(DJ$43,2),SUM($CD245:CJ245),0)+IF(RIGHT(DJ$43,2)&gt;RIGHT($K245,2),CJ245,0))</f>
        <v>0</v>
      </c>
      <c r="DK245" s="387">
        <f>+IF($K245="ongoing",CK245,IF(RIGHT($K245,2)=RIGHT(DK$43,2),SUM($CD245:CK245),0)+IF(RIGHT(DK$43,2)&gt;RIGHT($K245,2),CK245,0))</f>
        <v>0</v>
      </c>
      <c r="DL245" s="388">
        <f>+IF($K245="ongoing",CN245,IF(RIGHT($K245,2)=RIGHT(DL$43,2),SUM($CD245:CN245),0)+IF(RIGHT(DL$43,2)&gt;RIGHT($K245,2),CN245,0))</f>
        <v>0</v>
      </c>
      <c r="DM245" s="841"/>
      <c r="DN245" s="386">
        <f t="shared" si="446"/>
        <v>0.5</v>
      </c>
      <c r="DO245" s="387">
        <f t="shared" si="446"/>
        <v>1</v>
      </c>
      <c r="DP245" s="388">
        <f t="shared" si="446"/>
        <v>1</v>
      </c>
      <c r="DQ245" s="386">
        <f t="shared" si="446"/>
        <v>1</v>
      </c>
      <c r="DR245" s="387">
        <f t="shared" si="446"/>
        <v>1</v>
      </c>
      <c r="DS245" s="387">
        <f t="shared" si="446"/>
        <v>1</v>
      </c>
      <c r="DT245" s="387">
        <f t="shared" si="446"/>
        <v>1</v>
      </c>
      <c r="DU245" s="388">
        <f t="shared" si="446"/>
        <v>1</v>
      </c>
      <c r="DW245" s="386">
        <f t="shared" si="447"/>
        <v>0</v>
      </c>
      <c r="DX245" s="387">
        <f t="shared" si="447"/>
        <v>0.5</v>
      </c>
      <c r="DY245" s="388">
        <f t="shared" si="447"/>
        <v>1</v>
      </c>
      <c r="DZ245" s="386">
        <f t="shared" si="447"/>
        <v>1</v>
      </c>
      <c r="EA245" s="387">
        <f t="shared" si="447"/>
        <v>1</v>
      </c>
      <c r="EB245" s="387">
        <f t="shared" si="447"/>
        <v>1</v>
      </c>
      <c r="EC245" s="387">
        <f t="shared" si="447"/>
        <v>1</v>
      </c>
      <c r="ED245" s="388">
        <f t="shared" si="447"/>
        <v>1</v>
      </c>
      <c r="EF245" s="834">
        <f>+IF(DN245=DM245,0,
IF(AND(EF$44&gt;1,DN245=$N245),1-SUM($EE245:EE245),
IF($N245&lt;=1,
IF($N245&gt;0,1/$N245,0),
IF(EF$44=1,0,VDB(1,0,$N245,INT(EF$44-1-1),MIN($N245,INT(EF$44-1-1)+1),$DC245,IF($DD245="No",1,0))/
IF(DM245&gt;=INT($N245),$N245-INT($N245),1)))*
IF(EF$44=1,0,
IF(INT(DN245)=INT(DM245),DN245-DM245,INT(DN245)-DM245))+
IF($N245&lt;=1,
IF($N245&gt;0,1/$N245,0),VDB(1,0,$N245,INT(EF$44-1),MIN($N245,INT(EF$44-1)+1),$DC245,IF($DD245="No",1,0))/
IF(DN245&gt;INT($N245),$N245-INT($N245),1))*
IF(EF$44=1,DN245,
IF(INT(DN245)=INT(DM245),0,DN245-INT(DN245)))))</f>
        <v>0</v>
      </c>
      <c r="EG245" s="835">
        <f>+IF(DO245=DN245,0,
IF(AND(EG$44&gt;1,DO245=$N245),1-SUM($EE245:EF245),
IF($N245&lt;=1,
IF($N245&gt;0,1/$N245,0),
IF(EG$44=1,0,VDB(1,0,$N245,INT(EG$44-1-1),MIN($N245,INT(EG$44-1-1)+1),$DC245,IF($DD245="No",1,0))/
IF(DN245&gt;=INT($N245),$N245-INT($N245),1)))*
IF(EG$44=1,0,
IF(INT(DO245)=INT(DN245),DO245-DN245,INT(DO245)-DN245))+
IF($N245&lt;=1,
IF($N245&gt;0,1/$N245,0),VDB(1,0,$N245,INT(EG$44-1),MIN($N245,INT(EG$44-1)+1),$DC245,IF($DD245="No",1,0))/
IF(DO245&gt;INT($N245),$N245-INT($N245),1))*
IF(EG$44=1,DO245,
IF(INT(DO245)=INT(DN245),0,DO245-INT(DO245)))))</f>
        <v>0</v>
      </c>
      <c r="EH245" s="836">
        <f>+IF(DP245=DO245,0,
IF(AND(EH$44&gt;1,DP245=$N245),1-SUM($EE245:EG245),
IF($N245&lt;=1,
IF($N245&gt;0,1/$N245,0),
IF(EH$44=1,0,VDB(1,0,$N245,INT(EH$44-1-1),MIN($N245,INT(EH$44-1-1)+1),$DC245,IF($DD245="No",1,0))/
IF(DO245&gt;=INT($N245),$N245-INT($N245),1)))*
IF(EH$44=1,0,
IF(INT(DP245)=INT(DO245),DP245-DO245,INT(DP245)-DO245))+
IF($N245&lt;=1,
IF($N245&gt;0,1/$N245,0),VDB(1,0,$N245,INT(EH$44-1),MIN($N245,INT(EH$44-1)+1),$DC245,IF($DD245="No",1,0))/
IF(DP245&gt;INT($N245),$N245-INT($N245),1))*
IF(EH$44=1,DP245,
IF(INT(DP245)=INT(DO245),0,DP245-INT(DP245)))))</f>
        <v>0</v>
      </c>
      <c r="EI245" s="834">
        <f>+IF(DQ245=DP245,0,
IF(AND(EI$44&gt;1,DQ245=$N245),1-SUM($EE245:EH245),
IF($N245&lt;=1,
IF($N245&gt;0,1/$N245,0),
IF(EI$44=1,0,VDB(1,0,$N245,INT(EI$44-1-1),MIN($N245,INT(EI$44-1-1)+1),$DC245,IF($DD245="No",1,0))/
IF(DP245&gt;=INT($N245),$N245-INT($N245),1)))*
IF(EI$44=1,0,
IF(INT(DQ245)=INT(DP245),DQ245-DP245,INT(DQ245)-DP245))+
IF($N245&lt;=1,
IF($N245&gt;0,1/$N245,0),VDB(1,0,$N245,INT(EI$44-1),MIN($N245,INT(EI$44-1)+1),$DC245,IF($DD245="No",1,0))/
IF(DQ245&gt;INT($N245),$N245-INT($N245),1))*
IF(EI$44=1,DQ245,
IF(INT(DQ245)=INT(DP245),0,DQ245-INT(DQ245)))))</f>
        <v>0</v>
      </c>
      <c r="EJ245" s="835">
        <f>+IF(DR245=DQ245,0,
IF(AND(EJ$44&gt;1,DR245=$N245),1-SUM($EE245:EI245),
IF($N245&lt;=1,
IF($N245&gt;0,1/$N245,0),
IF(EJ$44=1,0,VDB(1,0,$N245,INT(EJ$44-1-1),MIN($N245,INT(EJ$44-1-1)+1),$DC245,IF($DD245="No",1,0))/
IF(DQ245&gt;=INT($N245),$N245-INT($N245),1)))*
IF(EJ$44=1,0,
IF(INT(DR245)=INT(DQ245),DR245-DQ245,INT(DR245)-DQ245))+
IF($N245&lt;=1,
IF($N245&gt;0,1/$N245,0),VDB(1,0,$N245,INT(EJ$44-1),MIN($N245,INT(EJ$44-1)+1),$DC245,IF($DD245="No",1,0))/
IF(DR245&gt;INT($N245),$N245-INT($N245),1))*
IF(EJ$44=1,DR245,
IF(INT(DR245)=INT(DQ245),0,DR245-INT(DR245)))))</f>
        <v>0</v>
      </c>
      <c r="EK245" s="835">
        <f>+IF(DS245=DR245,0,
IF(AND(EK$44&gt;1,DS245=$N245),1-SUM($EE245:EJ245),
IF($N245&lt;=1,
IF($N245&gt;0,1/$N245,0),
IF(EK$44=1,0,VDB(1,0,$N245,INT(EK$44-1-1),MIN($N245,INT(EK$44-1-1)+1),$DC245,IF($DD245="No",1,0))/
IF(DR245&gt;=INT($N245),$N245-INT($N245),1)))*
IF(EK$44=1,0,
IF(INT(DS245)=INT(DR245),DS245-DR245,INT(DS245)-DR245))+
IF($N245&lt;=1,
IF($N245&gt;0,1/$N245,0),VDB(1,0,$N245,INT(EK$44-1),MIN($N245,INT(EK$44-1)+1),$DC245,IF($DD245="No",1,0))/
IF(DS245&gt;INT($N245),$N245-INT($N245),1))*
IF(EK$44=1,DS245,
IF(INT(DS245)=INT(DR245),0,DS245-INT(DS245)))))</f>
        <v>0</v>
      </c>
      <c r="EL245" s="835">
        <f>+IF(DT245=DS245,0,
IF(AND(EL$44&gt;1,DT245=$N245),1-SUM($EE245:EK245),
IF($N245&lt;=1,
IF($N245&gt;0,1/$N245,0),
IF(EL$44=1,0,VDB(1,0,$N245,INT(EL$44-1-1),MIN($N245,INT(EL$44-1-1)+1),$DC245,IF($DD245="No",1,0))/
IF(DS245&gt;=INT($N245),$N245-INT($N245),1)))*
IF(EL$44=1,0,
IF(INT(DT245)=INT(DS245),DT245-DS245,INT(DT245)-DS245))+
IF($N245&lt;=1,
IF($N245&gt;0,1/$N245,0),VDB(1,0,$N245,INT(EL$44-1),MIN($N245,INT(EL$44-1)+1),$DC245,IF($DD245="No",1,0))/
IF(DT245&gt;INT($N245),$N245-INT($N245),1))*
IF(EL$44=1,DT245,
IF(INT(DT245)=INT(DS245),0,DT245-INT(DT245)))))</f>
        <v>0</v>
      </c>
      <c r="EM245" s="836">
        <f>+IF(DU245=DT245,0,
IF(AND(EM$44&gt;1,DU245=$N245),1-SUM($EE245:EL245),
IF($N245&lt;=1,
IF($N245&gt;0,1/$N245,0),
IF(EM$44=1,0,VDB(1,0,$N245,INT(EM$44-1-1),MIN($N245,INT(EM$44-1-1)+1),$DC245,IF($DD245="No",1,0))/
IF(DT245&gt;=INT($N245),$N245-INT($N245),1)))*
IF(EM$44=1,0,
IF(INT(DU245)=INT(DT245),DU245-DT245,INT(DU245)-DT245))+
IF($N245&lt;=1,
IF($N245&gt;0,1/$N245,0),VDB(1,0,$N245,INT(EM$44-1),MIN($N245,INT(EM$44-1)+1),$DC245,IF($DD245="No",1,0))/
IF(DU245&gt;INT($N245),$N245-INT($N245),1))*
IF(EM$44=1,DU245,
IF(INT(DU245)=INT(DT245),0,DU245-INT(DU245)))))</f>
        <v>0</v>
      </c>
      <c r="EN245" s="833"/>
      <c r="EO245" s="834">
        <f>+IF(OR(DW245=DV245,EO$44=1),0,
IF(AND(EO$44&gt;1,DW245=$N245),1-SUM($EN245:EN245),
IF($N245&lt;=1,
IF($N245&gt;0,1/$N245,0),
IF(EO$44=2,0,VDB(1,0,$N245,INT(EO$44-2-1),MIN($N245,INT(EO$44-2-1)+1),$DC245,IF($DD245="No",1,0))/
IF(DV245&gt;=INT($N245),$N245-INT($N245),1)))*
IF(EO$44=2,0,
IF(INT(DW245)=INT(DV245),DW245-DV245,INT(DW245)-DV245))+
IF($N245&lt;=1,
IF($N245&gt;0,1/$N245,0),VDB(1,0,$N245,INT(EO$44-2),MIN($N245,INT(EO$44-2)+1),$DC245,IF($DD245="No",1,0))/
IF(DW245&gt;INT($N245),$N245-INT($N245),1))*
IF(EO$44=2,DW245,
IF(INT(DW245)=INT(DV245),0,DW245-INT(DW245)))))</f>
        <v>0</v>
      </c>
      <c r="EP245" s="835">
        <f>+IF(OR(DX245=DW245,EP$44=1),0,
IF(AND(EP$44&gt;1,DX245=$N245),1-SUM($EN245:EO245),
IF($N245&lt;=1,
IF($N245&gt;0,1/$N245,0),
IF(EP$44=2,0,VDB(1,0,$N245,INT(EP$44-2-1),MIN($N245,INT(EP$44-2-1)+1),$DC245,IF($DD245="No",1,0))/
IF(DW245&gt;=INT($N245),$N245-INT($N245),1)))*
IF(EP$44=2,0,
IF(INT(DX245)=INT(DW245),DX245-DW245,INT(DX245)-DW245))+
IF($N245&lt;=1,
IF($N245&gt;0,1/$N245,0),VDB(1,0,$N245,INT(EP$44-2),MIN($N245,INT(EP$44-2)+1),$DC245,IF($DD245="No",1,0))/
IF(DX245&gt;INT($N245),$N245-INT($N245),1))*
IF(EP$44=2,DX245,
IF(INT(DX245)=INT(DW245),0,DX245-INT(DX245)))))</f>
        <v>0</v>
      </c>
      <c r="EQ245" s="836">
        <f>+IF(OR(DY245=DX245,EQ$44=1),0,
IF(AND(EQ$44&gt;1,DY245=$N245),1-SUM($EN245:EP245),
IF($N245&lt;=1,
IF($N245&gt;0,1/$N245,0),
IF(EQ$44=2,0,VDB(1,0,$N245,INT(EQ$44-2-1),MIN($N245,INT(EQ$44-2-1)+1),$DC245,IF($DD245="No",1,0))/
IF(DX245&gt;=INT($N245),$N245-INT($N245),1)))*
IF(EQ$44=2,0,
IF(INT(DY245)=INT(DX245),DY245-DX245,INT(DY245)-DX245))+
IF($N245&lt;=1,
IF($N245&gt;0,1/$N245,0),VDB(1,0,$N245,INT(EQ$44-2),MIN($N245,INT(EQ$44-2)+1),$DC245,IF($DD245="No",1,0))/
IF(DY245&gt;INT($N245),$N245-INT($N245),1))*
IF(EQ$44=2,DY245,
IF(INT(DY245)=INT(DX245),0,DY245-INT(DY245)))))</f>
        <v>0</v>
      </c>
      <c r="ER245" s="834">
        <f>+IF(OR(DZ245=DY245,ER$44=1),0,
IF(AND(ER$44&gt;1,DZ245=$N245),1-SUM($EN245:EQ245),
IF($N245&lt;=1,
IF($N245&gt;0,1/$N245,0),
IF(ER$44=2,0,VDB(1,0,$N245,INT(ER$44-2-1),MIN($N245,INT(ER$44-2-1)+1),$DC245,IF($DD245="No",1,0))/
IF(DY245&gt;=INT($N245),$N245-INT($N245),1)))*
IF(ER$44=2,0,
IF(INT(DZ245)=INT(DY245),DZ245-DY245,INT(DZ245)-DY245))+
IF($N245&lt;=1,
IF($N245&gt;0,1/$N245,0),VDB(1,0,$N245,INT(ER$44-2),MIN($N245,INT(ER$44-2)+1),$DC245,IF($DD245="No",1,0))/
IF(DZ245&gt;INT($N245),$N245-INT($N245),1))*
IF(ER$44=2,DZ245,
IF(INT(DZ245)=INT(DY245),0,DZ245-INT(DZ245)))))</f>
        <v>0</v>
      </c>
      <c r="ES245" s="835">
        <f>+IF(OR(EA245=DZ245,ES$44=1),0,
IF(AND(ES$44&gt;1,EA245=$N245),1-SUM($EN245:ER245),
IF($N245&lt;=1,
IF($N245&gt;0,1/$N245,0),
IF(ES$44=2,0,VDB(1,0,$N245,INT(ES$44-2-1),MIN($N245,INT(ES$44-2-1)+1),$DC245,IF($DD245="No",1,0))/
IF(DZ245&gt;=INT($N245),$N245-INT($N245),1)))*
IF(ES$44=2,0,
IF(INT(EA245)=INT(DZ245),EA245-DZ245,INT(EA245)-DZ245))+
IF($N245&lt;=1,
IF($N245&gt;0,1/$N245,0),VDB(1,0,$N245,INT(ES$44-2),MIN($N245,INT(ES$44-2)+1),$DC245,IF($DD245="No",1,0))/
IF(EA245&gt;INT($N245),$N245-INT($N245),1))*
IF(ES$44=2,EA245,
IF(INT(EA245)=INT(DZ245),0,EA245-INT(EA245)))))</f>
        <v>0</v>
      </c>
      <c r="ET245" s="835">
        <f>+IF(OR(EB245=EA245,ET$44=1),0,
IF(AND(ET$44&gt;1,EB245=$N245),1-SUM($EN245:ES245),
IF($N245&lt;=1,
IF($N245&gt;0,1/$N245,0),
IF(ET$44=2,0,VDB(1,0,$N245,INT(ET$44-2-1),MIN($N245,INT(ET$44-2-1)+1),$DC245,IF($DD245="No",1,0))/
IF(EA245&gt;=INT($N245),$N245-INT($N245),1)))*
IF(ET$44=2,0,
IF(INT(EB245)=INT(EA245),EB245-EA245,INT(EB245)-EA245))+
IF($N245&lt;=1,
IF($N245&gt;0,1/$N245,0),VDB(1,0,$N245,INT(ET$44-2),MIN($N245,INT(ET$44-2)+1),$DC245,IF($DD245="No",1,0))/
IF(EB245&gt;INT($N245),$N245-INT($N245),1))*
IF(ET$44=2,EB245,
IF(INT(EB245)=INT(EA245),0,EB245-INT(EB245)))))</f>
        <v>0</v>
      </c>
      <c r="EU245" s="835">
        <f>+IF(OR(EC245=EB245,EU$44=1),0,
IF(AND(EU$44&gt;1,EC245=$N245),1-SUM($EN245:ET245),
IF($N245&lt;=1,
IF($N245&gt;0,1/$N245,0),
IF(EU$44=2,0,VDB(1,0,$N245,INT(EU$44-2-1),MIN($N245,INT(EU$44-2-1)+1),$DC245,IF($DD245="No",1,0))/
IF(EB245&gt;=INT($N245),$N245-INT($N245),1)))*
IF(EU$44=2,0,
IF(INT(EC245)=INT(EB245),EC245-EB245,INT(EC245)-EB245))+
IF($N245&lt;=1,
IF($N245&gt;0,1/$N245,0),VDB(1,0,$N245,INT(EU$44-2),MIN($N245,INT(EU$44-2)+1),$DC245,IF($DD245="No",1,0))/
IF(EC245&gt;INT($N245),$N245-INT($N245),1))*
IF(EU$44=2,EC245,
IF(INT(EC245)=INT(EB245),0,EC245-INT(EC245)))))</f>
        <v>0</v>
      </c>
      <c r="EV245" s="836">
        <f>+IF(OR(ED245=EC245,EV$44=1),0,
IF(AND(EV$44&gt;1,ED245=$N245),1-SUM($EN245:EU245),
IF($N245&lt;=1,
IF($N245&gt;0,1/$N245,0),
IF(EV$44=2,0,VDB(1,0,$N245,INT(EV$44-2-1),MIN($N245,INT(EV$44-2-1)+1),$DC245,IF($DD245="No",1,0))/
IF(EC245&gt;=INT($N245),$N245-INT($N245),1)))*
IF(EV$44=2,0,
IF(INT(ED245)=INT(EC245),ED245-EC245,INT(ED245)-EC245))+
IF($N245&lt;=1,
IF($N245&gt;0,1/$N245,0),VDB(1,0,$N245,INT(EV$44-2),MIN($N245,INT(EV$44-2)+1),$DC245,IF($DD245="No",1,0))/
IF(ED245&gt;INT($N245),$N245-INT($N245),1))*
IF(EV$44=2,ED245,
IF(INT(ED245)=INT(EC245),0,ED245-INT(ED245)))))</f>
        <v>0</v>
      </c>
      <c r="EW245" s="833"/>
      <c r="EX245" s="834">
        <f t="shared" ca="1" si="448"/>
        <v>0</v>
      </c>
      <c r="EY245" s="835">
        <f t="shared" ca="1" si="448"/>
        <v>0</v>
      </c>
      <c r="EZ245" s="836">
        <f t="shared" ca="1" si="448"/>
        <v>0</v>
      </c>
      <c r="FA245" s="834">
        <f t="shared" ca="1" si="448"/>
        <v>0</v>
      </c>
      <c r="FB245" s="835">
        <f t="shared" ca="1" si="448"/>
        <v>0</v>
      </c>
      <c r="FC245" s="835">
        <f t="shared" ca="1" si="448"/>
        <v>0</v>
      </c>
      <c r="FD245" s="835">
        <f t="shared" ca="1" si="448"/>
        <v>0</v>
      </c>
      <c r="FE245" s="836">
        <f t="shared" ca="1" si="448"/>
        <v>0</v>
      </c>
      <c r="FG245" s="386">
        <f t="shared" ca="1" si="449"/>
        <v>0</v>
      </c>
      <c r="FH245" s="387">
        <f t="shared" ca="1" si="450"/>
        <v>0</v>
      </c>
      <c r="FI245" s="388">
        <f t="shared" ca="1" si="451"/>
        <v>0</v>
      </c>
      <c r="FJ245" s="386">
        <f t="shared" ca="1" si="452"/>
        <v>0</v>
      </c>
      <c r="FK245" s="387">
        <f t="shared" ca="1" si="453"/>
        <v>0</v>
      </c>
      <c r="FL245" s="387">
        <f t="shared" ca="1" si="454"/>
        <v>0</v>
      </c>
      <c r="FM245" s="387">
        <f t="shared" ca="1" si="455"/>
        <v>0</v>
      </c>
      <c r="FN245" s="388">
        <f t="shared" ca="1" si="456"/>
        <v>0</v>
      </c>
      <c r="FR245" s="116"/>
    </row>
    <row r="246" spans="2:174">
      <c r="B246" s="1410">
        <f t="shared" si="359"/>
        <v>200</v>
      </c>
      <c r="C246" s="400"/>
      <c r="D246" s="410"/>
      <c r="E246" s="402"/>
      <c r="F246" s="402"/>
      <c r="G246" s="400"/>
      <c r="H246" s="2088"/>
      <c r="I246" s="2089"/>
      <c r="J246" s="411"/>
      <c r="K246" s="403"/>
      <c r="L246" s="403"/>
      <c r="M246" s="403"/>
      <c r="N246" s="403"/>
      <c r="O246" s="347"/>
      <c r="P246" s="347"/>
      <c r="Q246" s="1021"/>
      <c r="R246" s="1022"/>
      <c r="S246" s="1022"/>
      <c r="T246" s="1022"/>
      <c r="U246" s="1023"/>
      <c r="V246" s="1021"/>
      <c r="W246" s="1022"/>
      <c r="X246" s="1022"/>
      <c r="Y246" s="1022"/>
      <c r="Z246" s="1023"/>
      <c r="AA246" s="1024"/>
      <c r="AB246" s="1021"/>
      <c r="AC246" s="1022"/>
      <c r="AD246" s="1022"/>
      <c r="AE246" s="1022"/>
      <c r="AF246" s="1023"/>
      <c r="AG246" s="1021"/>
      <c r="AH246" s="1022"/>
      <c r="AI246" s="1022"/>
      <c r="AJ246" s="1022"/>
      <c r="AK246" s="1023"/>
      <c r="AL246" s="1024"/>
      <c r="AM246" s="1021"/>
      <c r="AN246" s="1022"/>
      <c r="AO246" s="1022"/>
      <c r="AP246" s="1022"/>
      <c r="AQ246" s="1023"/>
      <c r="AR246" s="1021"/>
      <c r="AS246" s="1022"/>
      <c r="AT246" s="1022"/>
      <c r="AU246" s="1022"/>
      <c r="AV246" s="1023"/>
      <c r="AW246" s="1025"/>
      <c r="AX246" s="1282">
        <f t="shared" si="416"/>
        <v>0</v>
      </c>
      <c r="AY246" s="387">
        <f t="shared" si="417"/>
        <v>0</v>
      </c>
      <c r="AZ246" s="387">
        <f t="shared" si="418"/>
        <v>0</v>
      </c>
      <c r="BA246" s="387">
        <f t="shared" si="419"/>
        <v>0</v>
      </c>
      <c r="BB246" s="1283">
        <f t="shared" si="420"/>
        <v>0</v>
      </c>
      <c r="BC246" s="386">
        <f t="shared" si="421"/>
        <v>0</v>
      </c>
      <c r="BD246" s="387">
        <f t="shared" si="422"/>
        <v>0</v>
      </c>
      <c r="BE246" s="1277">
        <f t="shared" si="423"/>
        <v>0</v>
      </c>
      <c r="BF246" s="1277">
        <f t="shared" si="424"/>
        <v>0</v>
      </c>
      <c r="BG246" s="388">
        <f t="shared" si="425"/>
        <v>0</v>
      </c>
      <c r="BH246" s="1025"/>
      <c r="BI246" s="1282">
        <f t="shared" ca="1" si="426"/>
        <v>0</v>
      </c>
      <c r="BJ246" s="387">
        <f t="shared" ca="1" si="427"/>
        <v>0</v>
      </c>
      <c r="BK246" s="387">
        <f t="shared" ca="1" si="428"/>
        <v>0</v>
      </c>
      <c r="BL246" s="387">
        <f t="shared" ca="1" si="429"/>
        <v>0</v>
      </c>
      <c r="BM246" s="1283">
        <f t="shared" ca="1" si="430"/>
        <v>0</v>
      </c>
      <c r="BN246" s="386">
        <f t="shared" ca="1" si="431"/>
        <v>0</v>
      </c>
      <c r="BO246" s="387">
        <f t="shared" ca="1" si="432"/>
        <v>0</v>
      </c>
      <c r="BP246" s="1277">
        <f t="shared" ca="1" si="433"/>
        <v>0</v>
      </c>
      <c r="BQ246" s="1277">
        <f t="shared" ca="1" si="434"/>
        <v>0</v>
      </c>
      <c r="BR246" s="388">
        <f t="shared" ca="1" si="435"/>
        <v>0</v>
      </c>
      <c r="BS246" s="1025"/>
      <c r="BT246" s="1282">
        <f>+IF($K246="Ongoing",AX246,IF(RIGHT($K246,2)=RIGHT(BT$43,2),SUM($AX246:AX246),0)+IF(RIGHT(BT$43,2)&gt;RIGHT($K246,2),AX246,0))</f>
        <v>0</v>
      </c>
      <c r="BU246" s="387">
        <f>+IF($K246="Ongoing",AY246,IF(RIGHT($K246,2)=RIGHT(BU$43,2),SUM($AX246:AY246),0)+IF(RIGHT(BU$43,2)&gt;RIGHT($K246,2),AY246,0))</f>
        <v>0</v>
      </c>
      <c r="BV246" s="387">
        <f>+IF($K246="Ongoing",AZ246,IF(RIGHT($K246,2)=RIGHT(BV$43,2),SUM($AX246:AZ246),0)+IF(RIGHT(BV$43,2)&gt;RIGHT($K246,2),AZ246,0))</f>
        <v>0</v>
      </c>
      <c r="BW246" s="387">
        <f>+IF($K246="Ongoing",BA246,IF(RIGHT($K246,2)=RIGHT(BW$43,2),SUM($AX246:BA246),0)+IF(RIGHT(BW$43,2)&gt;RIGHT($K246,2),BA246,0))</f>
        <v>0</v>
      </c>
      <c r="BX246" s="1283">
        <f>+IF($K246="Ongoing",BB246,IF(RIGHT($K246,2)=RIGHT(BX$43,2),SUM($AX246:BB246),0)+IF(RIGHT(BX$43,2)&gt;RIGHT($K246,2),BB246,0))</f>
        <v>0</v>
      </c>
      <c r="BY246" s="386">
        <f>+IF($K246="Ongoing",BC246,IF(RIGHT($K246,2)=RIGHT(BY$43,2),SUM($AX246:BC246),0)+IF(RIGHT(BY$43,2)&gt;RIGHT($K246,2),BC246,0))</f>
        <v>0</v>
      </c>
      <c r="BZ246" s="387">
        <f>+IF($K246="Ongoing",BD246,IF(RIGHT($K246,2)=RIGHT(BZ$43,2),SUM($AX246:BD246),0)+IF(RIGHT(BZ$43,2)&gt;RIGHT($K246,2),BD246,0))</f>
        <v>0</v>
      </c>
      <c r="CA246" s="1277">
        <f>+IF($K246="Ongoing",BE246,IF(RIGHT($K246,2)=RIGHT(CA$43,2),SUM($AX246:BE246),0)+IF(RIGHT(CA$43,2)&gt;RIGHT($K246,2),BE246,0))</f>
        <v>0</v>
      </c>
      <c r="CB246" s="1277">
        <f>+IF($K246="Ongoing",BF246,IF(RIGHT($K246,2)=RIGHT(CB$43,2),SUM($AX246:BF246),0)+IF(RIGHT(CB$43,2)&gt;RIGHT($K246,2),BF246,0))</f>
        <v>0</v>
      </c>
      <c r="CC246" s="388">
        <f>+IF($K246="Ongoing",BG246,IF(RIGHT($K246,2)=RIGHT(CC$43,2),SUM($AX246:BG246),0)+IF(RIGHT(CC$43,2)&gt;RIGHT($K246,2),BG246,0))</f>
        <v>0</v>
      </c>
      <c r="CD246" s="1025"/>
      <c r="CE246" s="1282">
        <f>+Q246*KeyAssumptionsPriceControl_FO!AF$15</f>
        <v>0</v>
      </c>
      <c r="CF246" s="387">
        <f>+R246*KeyAssumptionsPriceControl_FO!AG$15</f>
        <v>0</v>
      </c>
      <c r="CG246" s="387">
        <f>+S246*KeyAssumptionsPriceControl_FO!AH$15</f>
        <v>0</v>
      </c>
      <c r="CH246" s="387">
        <f>+T246*KeyAssumptionsPriceControl_FO!AI$15</f>
        <v>0</v>
      </c>
      <c r="CI246" s="1283">
        <f>+U246*KeyAssumptionsPriceControl_FO!AJ$15</f>
        <v>0</v>
      </c>
      <c r="CJ246" s="386">
        <f>+V246*KeyAssumptionsPriceControl_FO!AK$15</f>
        <v>0</v>
      </c>
      <c r="CK246" s="387">
        <f>+W246*KeyAssumptionsPriceControl_FO!AL$15</f>
        <v>0</v>
      </c>
      <c r="CL246" s="1277">
        <f>+X246*KeyAssumptionsPriceControl_FO!AM$15</f>
        <v>0</v>
      </c>
      <c r="CM246" s="1277">
        <f>+Y246*KeyAssumptionsPriceControl_FO!AN$15</f>
        <v>0</v>
      </c>
      <c r="CN246" s="388">
        <f>+Z246*KeyAssumptionsPriceControl_FO!AO$15</f>
        <v>0</v>
      </c>
      <c r="CO246" s="1025"/>
      <c r="CP246" s="1282">
        <f t="shared" ca="1" si="436"/>
        <v>0</v>
      </c>
      <c r="CQ246" s="387">
        <f t="shared" ca="1" si="437"/>
        <v>0</v>
      </c>
      <c r="CR246" s="387">
        <f t="shared" ca="1" si="438"/>
        <v>0</v>
      </c>
      <c r="CS246" s="387">
        <f t="shared" ca="1" si="439"/>
        <v>0</v>
      </c>
      <c r="CT246" s="1283">
        <f t="shared" ca="1" si="440"/>
        <v>0</v>
      </c>
      <c r="CU246" s="386">
        <f t="shared" ca="1" si="441"/>
        <v>0</v>
      </c>
      <c r="CV246" s="387">
        <f t="shared" ca="1" si="442"/>
        <v>0</v>
      </c>
      <c r="CW246" s="1277">
        <f t="shared" ca="1" si="443"/>
        <v>0</v>
      </c>
      <c r="CX246" s="1277">
        <f t="shared" ca="1" si="444"/>
        <v>0</v>
      </c>
      <c r="CY246" s="388">
        <f t="shared" ca="1" si="445"/>
        <v>0</v>
      </c>
      <c r="CZ246" s="347"/>
      <c r="DA246" s="852"/>
      <c r="DB246" s="347"/>
      <c r="DC246" s="1012" t="s">
        <v>517</v>
      </c>
      <c r="DD246" s="841" t="s">
        <v>518</v>
      </c>
      <c r="DE246" s="386">
        <f>+IF($K246="ongoing",CE246,IF(RIGHT($K246,2)=RIGHT(DE$43,2),SUM($CD246:CE246),0)+IF(RIGHT(DE$43,2)&gt;RIGHT($K246,2),CE246,0))</f>
        <v>0</v>
      </c>
      <c r="DF246" s="387">
        <f>+IF($K246="ongoing",CF246,IF(RIGHT($K246,2)=RIGHT(DF$43,2),SUM($CD246:CF246),0)+IF(RIGHT(DF$43,2)&gt;RIGHT($K246,2),CF246,0))</f>
        <v>0</v>
      </c>
      <c r="DG246" s="388">
        <f>+IF($K246="ongoing",CG246,IF(RIGHT($K246,2)=RIGHT(DG$43,2),SUM($CD246:CG246),0)+IF(RIGHT(DG$43,2)&gt;RIGHT($K246,2),CG246,0))</f>
        <v>0</v>
      </c>
      <c r="DH246" s="386">
        <f>+IF($K246="ongoing",CH246,IF(RIGHT($K246,2)=RIGHT(DH$43,2),SUM($CD246:CH246),0)+IF(RIGHT(DH$43,2)&gt;RIGHT($K246,2),CH246,0))</f>
        <v>0</v>
      </c>
      <c r="DI246" s="387">
        <f>+IF($K246="ongoing",CI246,IF(RIGHT($K246,2)=RIGHT(DI$43,2),SUM($CD246:CI246),0)+IF(RIGHT(DI$43,2)&gt;RIGHT($K246,2),CI246,0))</f>
        <v>0</v>
      </c>
      <c r="DJ246" s="387">
        <f>+IF($K246="ongoing",CJ246,IF(RIGHT($K246,2)=RIGHT(DJ$43,2),SUM($CD246:CJ246),0)+IF(RIGHT(DJ$43,2)&gt;RIGHT($K246,2),CJ246,0))</f>
        <v>0</v>
      </c>
      <c r="DK246" s="387">
        <f>+IF($K246="ongoing",CK246,IF(RIGHT($K246,2)=RIGHT(DK$43,2),SUM($CD246:CK246),0)+IF(RIGHT(DK$43,2)&gt;RIGHT($K246,2),CK246,0))</f>
        <v>0</v>
      </c>
      <c r="DL246" s="388">
        <f>+IF($K246="ongoing",CN246,IF(RIGHT($K246,2)=RIGHT(DL$43,2),SUM($CD246:CN246),0)+IF(RIGHT(DL$43,2)&gt;RIGHT($K246,2),CN246,0))</f>
        <v>0</v>
      </c>
      <c r="DM246" s="841"/>
      <c r="DN246" s="386">
        <f t="shared" si="446"/>
        <v>0.5</v>
      </c>
      <c r="DO246" s="387">
        <f t="shared" si="446"/>
        <v>1</v>
      </c>
      <c r="DP246" s="388">
        <f t="shared" si="446"/>
        <v>1</v>
      </c>
      <c r="DQ246" s="386">
        <f t="shared" si="446"/>
        <v>1</v>
      </c>
      <c r="DR246" s="387">
        <f t="shared" si="446"/>
        <v>1</v>
      </c>
      <c r="DS246" s="387">
        <f t="shared" si="446"/>
        <v>1</v>
      </c>
      <c r="DT246" s="387">
        <f t="shared" si="446"/>
        <v>1</v>
      </c>
      <c r="DU246" s="388">
        <f t="shared" si="446"/>
        <v>1</v>
      </c>
      <c r="DW246" s="386">
        <f t="shared" si="447"/>
        <v>0</v>
      </c>
      <c r="DX246" s="387">
        <f t="shared" si="447"/>
        <v>0.5</v>
      </c>
      <c r="DY246" s="388">
        <f t="shared" si="447"/>
        <v>1</v>
      </c>
      <c r="DZ246" s="386">
        <f t="shared" si="447"/>
        <v>1</v>
      </c>
      <c r="EA246" s="387">
        <f t="shared" si="447"/>
        <v>1</v>
      </c>
      <c r="EB246" s="387">
        <f t="shared" si="447"/>
        <v>1</v>
      </c>
      <c r="EC246" s="387">
        <f t="shared" si="447"/>
        <v>1</v>
      </c>
      <c r="ED246" s="388">
        <f t="shared" si="447"/>
        <v>1</v>
      </c>
      <c r="EF246" s="834">
        <f>+IF(DN246=DM246,0,
IF(AND(EF$44&gt;1,DN246=$N246),1-SUM($EE246:EE246),
IF($N246&lt;=1,
IF($N246&gt;0,1/$N246,0),
IF(EF$44=1,0,VDB(1,0,$N246,INT(EF$44-1-1),MIN($N246,INT(EF$44-1-1)+1),$DC246,IF($DD246="No",1,0))/
IF(DM246&gt;=INT($N246),$N246-INT($N246),1)))*
IF(EF$44=1,0,
IF(INT(DN246)=INT(DM246),DN246-DM246,INT(DN246)-DM246))+
IF($N246&lt;=1,
IF($N246&gt;0,1/$N246,0),VDB(1,0,$N246,INT(EF$44-1),MIN($N246,INT(EF$44-1)+1),$DC246,IF($DD246="No",1,0))/
IF(DN246&gt;INT($N246),$N246-INT($N246),1))*
IF(EF$44=1,DN246,
IF(INT(DN246)=INT(DM246),0,DN246-INT(DN246)))))</f>
        <v>0</v>
      </c>
      <c r="EG246" s="835">
        <f>+IF(DO246=DN246,0,
IF(AND(EG$44&gt;1,DO246=$N246),1-SUM($EE246:EF246),
IF($N246&lt;=1,
IF($N246&gt;0,1/$N246,0),
IF(EG$44=1,0,VDB(1,0,$N246,INT(EG$44-1-1),MIN($N246,INT(EG$44-1-1)+1),$DC246,IF($DD246="No",1,0))/
IF(DN246&gt;=INT($N246),$N246-INT($N246),1)))*
IF(EG$44=1,0,
IF(INT(DO246)=INT(DN246),DO246-DN246,INT(DO246)-DN246))+
IF($N246&lt;=1,
IF($N246&gt;0,1/$N246,0),VDB(1,0,$N246,INT(EG$44-1),MIN($N246,INT(EG$44-1)+1),$DC246,IF($DD246="No",1,0))/
IF(DO246&gt;INT($N246),$N246-INT($N246),1))*
IF(EG$44=1,DO246,
IF(INT(DO246)=INT(DN246),0,DO246-INT(DO246)))))</f>
        <v>0</v>
      </c>
      <c r="EH246" s="836">
        <f>+IF(DP246=DO246,0,
IF(AND(EH$44&gt;1,DP246=$N246),1-SUM($EE246:EG246),
IF($N246&lt;=1,
IF($N246&gt;0,1/$N246,0),
IF(EH$44=1,0,VDB(1,0,$N246,INT(EH$44-1-1),MIN($N246,INT(EH$44-1-1)+1),$DC246,IF($DD246="No",1,0))/
IF(DO246&gt;=INT($N246),$N246-INT($N246),1)))*
IF(EH$44=1,0,
IF(INT(DP246)=INT(DO246),DP246-DO246,INT(DP246)-DO246))+
IF($N246&lt;=1,
IF($N246&gt;0,1/$N246,0),VDB(1,0,$N246,INT(EH$44-1),MIN($N246,INT(EH$44-1)+1),$DC246,IF($DD246="No",1,0))/
IF(DP246&gt;INT($N246),$N246-INT($N246),1))*
IF(EH$44=1,DP246,
IF(INT(DP246)=INT(DO246),0,DP246-INT(DP246)))))</f>
        <v>0</v>
      </c>
      <c r="EI246" s="834">
        <f>+IF(DQ246=DP246,0,
IF(AND(EI$44&gt;1,DQ246=$N246),1-SUM($EE246:EH246),
IF($N246&lt;=1,
IF($N246&gt;0,1/$N246,0),
IF(EI$44=1,0,VDB(1,0,$N246,INT(EI$44-1-1),MIN($N246,INT(EI$44-1-1)+1),$DC246,IF($DD246="No",1,0))/
IF(DP246&gt;=INT($N246),$N246-INT($N246),1)))*
IF(EI$44=1,0,
IF(INT(DQ246)=INT(DP246),DQ246-DP246,INT(DQ246)-DP246))+
IF($N246&lt;=1,
IF($N246&gt;0,1/$N246,0),VDB(1,0,$N246,INT(EI$44-1),MIN($N246,INT(EI$44-1)+1),$DC246,IF($DD246="No",1,0))/
IF(DQ246&gt;INT($N246),$N246-INT($N246),1))*
IF(EI$44=1,DQ246,
IF(INT(DQ246)=INT(DP246),0,DQ246-INT(DQ246)))))</f>
        <v>0</v>
      </c>
      <c r="EJ246" s="835">
        <f>+IF(DR246=DQ246,0,
IF(AND(EJ$44&gt;1,DR246=$N246),1-SUM($EE246:EI246),
IF($N246&lt;=1,
IF($N246&gt;0,1/$N246,0),
IF(EJ$44=1,0,VDB(1,0,$N246,INT(EJ$44-1-1),MIN($N246,INT(EJ$44-1-1)+1),$DC246,IF($DD246="No",1,0))/
IF(DQ246&gt;=INT($N246),$N246-INT($N246),1)))*
IF(EJ$44=1,0,
IF(INT(DR246)=INT(DQ246),DR246-DQ246,INT(DR246)-DQ246))+
IF($N246&lt;=1,
IF($N246&gt;0,1/$N246,0),VDB(1,0,$N246,INT(EJ$44-1),MIN($N246,INT(EJ$44-1)+1),$DC246,IF($DD246="No",1,0))/
IF(DR246&gt;INT($N246),$N246-INT($N246),1))*
IF(EJ$44=1,DR246,
IF(INT(DR246)=INT(DQ246),0,DR246-INT(DR246)))))</f>
        <v>0</v>
      </c>
      <c r="EK246" s="835">
        <f>+IF(DS246=DR246,0,
IF(AND(EK$44&gt;1,DS246=$N246),1-SUM($EE246:EJ246),
IF($N246&lt;=1,
IF($N246&gt;0,1/$N246,0),
IF(EK$44=1,0,VDB(1,0,$N246,INT(EK$44-1-1),MIN($N246,INT(EK$44-1-1)+1),$DC246,IF($DD246="No",1,0))/
IF(DR246&gt;=INT($N246),$N246-INT($N246),1)))*
IF(EK$44=1,0,
IF(INT(DS246)=INT(DR246),DS246-DR246,INT(DS246)-DR246))+
IF($N246&lt;=1,
IF($N246&gt;0,1/$N246,0),VDB(1,0,$N246,INT(EK$44-1),MIN($N246,INT(EK$44-1)+1),$DC246,IF($DD246="No",1,0))/
IF(DS246&gt;INT($N246),$N246-INT($N246),1))*
IF(EK$44=1,DS246,
IF(INT(DS246)=INT(DR246),0,DS246-INT(DS246)))))</f>
        <v>0</v>
      </c>
      <c r="EL246" s="835">
        <f>+IF(DT246=DS246,0,
IF(AND(EL$44&gt;1,DT246=$N246),1-SUM($EE246:EK246),
IF($N246&lt;=1,
IF($N246&gt;0,1/$N246,0),
IF(EL$44=1,0,VDB(1,0,$N246,INT(EL$44-1-1),MIN($N246,INT(EL$44-1-1)+1),$DC246,IF($DD246="No",1,0))/
IF(DS246&gt;=INT($N246),$N246-INT($N246),1)))*
IF(EL$44=1,0,
IF(INT(DT246)=INT(DS246),DT246-DS246,INT(DT246)-DS246))+
IF($N246&lt;=1,
IF($N246&gt;0,1/$N246,0),VDB(1,0,$N246,INT(EL$44-1),MIN($N246,INT(EL$44-1)+1),$DC246,IF($DD246="No",1,0))/
IF(DT246&gt;INT($N246),$N246-INT($N246),1))*
IF(EL$44=1,DT246,
IF(INT(DT246)=INT(DS246),0,DT246-INT(DT246)))))</f>
        <v>0</v>
      </c>
      <c r="EM246" s="836">
        <f>+IF(DU246=DT246,0,
IF(AND(EM$44&gt;1,DU246=$N246),1-SUM($EE246:EL246),
IF($N246&lt;=1,
IF($N246&gt;0,1/$N246,0),
IF(EM$44=1,0,VDB(1,0,$N246,INT(EM$44-1-1),MIN($N246,INT(EM$44-1-1)+1),$DC246,IF($DD246="No",1,0))/
IF(DT246&gt;=INT($N246),$N246-INT($N246),1)))*
IF(EM$44=1,0,
IF(INT(DU246)=INT(DT246),DU246-DT246,INT(DU246)-DT246))+
IF($N246&lt;=1,
IF($N246&gt;0,1/$N246,0),VDB(1,0,$N246,INT(EM$44-1),MIN($N246,INT(EM$44-1)+1),$DC246,IF($DD246="No",1,0))/
IF(DU246&gt;INT($N246),$N246-INT($N246),1))*
IF(EM$44=1,DU246,
IF(INT(DU246)=INT(DT246),0,DU246-INT(DU246)))))</f>
        <v>0</v>
      </c>
      <c r="EN246" s="833"/>
      <c r="EO246" s="834">
        <f>+IF(OR(DW246=DV246,EO$44=1),0,
IF(AND(EO$44&gt;1,DW246=$N246),1-SUM($EN246:EN246),
IF($N246&lt;=1,
IF($N246&gt;0,1/$N246,0),
IF(EO$44=2,0,VDB(1,0,$N246,INT(EO$44-2-1),MIN($N246,INT(EO$44-2-1)+1),$DC246,IF($DD246="No",1,0))/
IF(DV246&gt;=INT($N246),$N246-INT($N246),1)))*
IF(EO$44=2,0,
IF(INT(DW246)=INT(DV246),DW246-DV246,INT(DW246)-DV246))+
IF($N246&lt;=1,
IF($N246&gt;0,1/$N246,0),VDB(1,0,$N246,INT(EO$44-2),MIN($N246,INT(EO$44-2)+1),$DC246,IF($DD246="No",1,0))/
IF(DW246&gt;INT($N246),$N246-INT($N246),1))*
IF(EO$44=2,DW246,
IF(INT(DW246)=INT(DV246),0,DW246-INT(DW246)))))</f>
        <v>0</v>
      </c>
      <c r="EP246" s="835">
        <f>+IF(OR(DX246=DW246,EP$44=1),0,
IF(AND(EP$44&gt;1,DX246=$N246),1-SUM($EN246:EO246),
IF($N246&lt;=1,
IF($N246&gt;0,1/$N246,0),
IF(EP$44=2,0,VDB(1,0,$N246,INT(EP$44-2-1),MIN($N246,INT(EP$44-2-1)+1),$DC246,IF($DD246="No",1,0))/
IF(DW246&gt;=INT($N246),$N246-INT($N246),1)))*
IF(EP$44=2,0,
IF(INT(DX246)=INT(DW246),DX246-DW246,INT(DX246)-DW246))+
IF($N246&lt;=1,
IF($N246&gt;0,1/$N246,0),VDB(1,0,$N246,INT(EP$44-2),MIN($N246,INT(EP$44-2)+1),$DC246,IF($DD246="No",1,0))/
IF(DX246&gt;INT($N246),$N246-INT($N246),1))*
IF(EP$44=2,DX246,
IF(INT(DX246)=INT(DW246),0,DX246-INT(DX246)))))</f>
        <v>0</v>
      </c>
      <c r="EQ246" s="836">
        <f>+IF(OR(DY246=DX246,EQ$44=1),0,
IF(AND(EQ$44&gt;1,DY246=$N246),1-SUM($EN246:EP246),
IF($N246&lt;=1,
IF($N246&gt;0,1/$N246,0),
IF(EQ$44=2,0,VDB(1,0,$N246,INT(EQ$44-2-1),MIN($N246,INT(EQ$44-2-1)+1),$DC246,IF($DD246="No",1,0))/
IF(DX246&gt;=INT($N246),$N246-INT($N246),1)))*
IF(EQ$44=2,0,
IF(INT(DY246)=INT(DX246),DY246-DX246,INT(DY246)-DX246))+
IF($N246&lt;=1,
IF($N246&gt;0,1/$N246,0),VDB(1,0,$N246,INT(EQ$44-2),MIN($N246,INT(EQ$44-2)+1),$DC246,IF($DD246="No",1,0))/
IF(DY246&gt;INT($N246),$N246-INT($N246),1))*
IF(EQ$44=2,DY246,
IF(INT(DY246)=INT(DX246),0,DY246-INT(DY246)))))</f>
        <v>0</v>
      </c>
      <c r="ER246" s="834">
        <f>+IF(OR(DZ246=DY246,ER$44=1),0,
IF(AND(ER$44&gt;1,DZ246=$N246),1-SUM($EN246:EQ246),
IF($N246&lt;=1,
IF($N246&gt;0,1/$N246,0),
IF(ER$44=2,0,VDB(1,0,$N246,INT(ER$44-2-1),MIN($N246,INT(ER$44-2-1)+1),$DC246,IF($DD246="No",1,0))/
IF(DY246&gt;=INT($N246),$N246-INT($N246),1)))*
IF(ER$44=2,0,
IF(INT(DZ246)=INT(DY246),DZ246-DY246,INT(DZ246)-DY246))+
IF($N246&lt;=1,
IF($N246&gt;0,1/$N246,0),VDB(1,0,$N246,INT(ER$44-2),MIN($N246,INT(ER$44-2)+1),$DC246,IF($DD246="No",1,0))/
IF(DZ246&gt;INT($N246),$N246-INT($N246),1))*
IF(ER$44=2,DZ246,
IF(INT(DZ246)=INT(DY246),0,DZ246-INT(DZ246)))))</f>
        <v>0</v>
      </c>
      <c r="ES246" s="835">
        <f>+IF(OR(EA246=DZ246,ES$44=1),0,
IF(AND(ES$44&gt;1,EA246=$N246),1-SUM($EN246:ER246),
IF($N246&lt;=1,
IF($N246&gt;0,1/$N246,0),
IF(ES$44=2,0,VDB(1,0,$N246,INT(ES$44-2-1),MIN($N246,INT(ES$44-2-1)+1),$DC246,IF($DD246="No",1,0))/
IF(DZ246&gt;=INT($N246),$N246-INT($N246),1)))*
IF(ES$44=2,0,
IF(INT(EA246)=INT(DZ246),EA246-DZ246,INT(EA246)-DZ246))+
IF($N246&lt;=1,
IF($N246&gt;0,1/$N246,0),VDB(1,0,$N246,INT(ES$44-2),MIN($N246,INT(ES$44-2)+1),$DC246,IF($DD246="No",1,0))/
IF(EA246&gt;INT($N246),$N246-INT($N246),1))*
IF(ES$44=2,EA246,
IF(INT(EA246)=INT(DZ246),0,EA246-INT(EA246)))))</f>
        <v>0</v>
      </c>
      <c r="ET246" s="835">
        <f>+IF(OR(EB246=EA246,ET$44=1),0,
IF(AND(ET$44&gt;1,EB246=$N246),1-SUM($EN246:ES246),
IF($N246&lt;=1,
IF($N246&gt;0,1/$N246,0),
IF(ET$44=2,0,VDB(1,0,$N246,INT(ET$44-2-1),MIN($N246,INT(ET$44-2-1)+1),$DC246,IF($DD246="No",1,0))/
IF(EA246&gt;=INT($N246),$N246-INT($N246),1)))*
IF(ET$44=2,0,
IF(INT(EB246)=INT(EA246),EB246-EA246,INT(EB246)-EA246))+
IF($N246&lt;=1,
IF($N246&gt;0,1/$N246,0),VDB(1,0,$N246,INT(ET$44-2),MIN($N246,INT(ET$44-2)+1),$DC246,IF($DD246="No",1,0))/
IF(EB246&gt;INT($N246),$N246-INT($N246),1))*
IF(ET$44=2,EB246,
IF(INT(EB246)=INT(EA246),0,EB246-INT(EB246)))))</f>
        <v>0</v>
      </c>
      <c r="EU246" s="835">
        <f>+IF(OR(EC246=EB246,EU$44=1),0,
IF(AND(EU$44&gt;1,EC246=$N246),1-SUM($EN246:ET246),
IF($N246&lt;=1,
IF($N246&gt;0,1/$N246,0),
IF(EU$44=2,0,VDB(1,0,$N246,INT(EU$44-2-1),MIN($N246,INT(EU$44-2-1)+1),$DC246,IF($DD246="No",1,0))/
IF(EB246&gt;=INT($N246),$N246-INT($N246),1)))*
IF(EU$44=2,0,
IF(INT(EC246)=INT(EB246),EC246-EB246,INT(EC246)-EB246))+
IF($N246&lt;=1,
IF($N246&gt;0,1/$N246,0),VDB(1,0,$N246,INT(EU$44-2),MIN($N246,INT(EU$44-2)+1),$DC246,IF($DD246="No",1,0))/
IF(EC246&gt;INT($N246),$N246-INT($N246),1))*
IF(EU$44=2,EC246,
IF(INT(EC246)=INT(EB246),0,EC246-INT(EC246)))))</f>
        <v>0</v>
      </c>
      <c r="EV246" s="836">
        <f>+IF(OR(ED246=EC246,EV$44=1),0,
IF(AND(EV$44&gt;1,ED246=$N246),1-SUM($EN246:EU246),
IF($N246&lt;=1,
IF($N246&gt;0,1/$N246,0),
IF(EV$44=2,0,VDB(1,0,$N246,INT(EV$44-2-1),MIN($N246,INT(EV$44-2-1)+1),$DC246,IF($DD246="No",1,0))/
IF(EC246&gt;=INT($N246),$N246-INT($N246),1)))*
IF(EV$44=2,0,
IF(INT(ED246)=INT(EC246),ED246-EC246,INT(ED246)-EC246))+
IF($N246&lt;=1,
IF($N246&gt;0,1/$N246,0),VDB(1,0,$N246,INT(EV$44-2),MIN($N246,INT(EV$44-2)+1),$DC246,IF($DD246="No",1,0))/
IF(ED246&gt;INT($N246),$N246-INT($N246),1))*
IF(EV$44=2,ED246,
IF(INT(ED246)=INT(EC246),0,ED246-INT(ED246)))))</f>
        <v>0</v>
      </c>
      <c r="EW246" s="833"/>
      <c r="EX246" s="834">
        <f t="shared" ca="1" si="448"/>
        <v>0</v>
      </c>
      <c r="EY246" s="835">
        <f t="shared" ca="1" si="448"/>
        <v>0</v>
      </c>
      <c r="EZ246" s="836">
        <f t="shared" ca="1" si="448"/>
        <v>0</v>
      </c>
      <c r="FA246" s="834">
        <f t="shared" ca="1" si="448"/>
        <v>0</v>
      </c>
      <c r="FB246" s="835">
        <f t="shared" ca="1" si="448"/>
        <v>0</v>
      </c>
      <c r="FC246" s="835">
        <f t="shared" ca="1" si="448"/>
        <v>0</v>
      </c>
      <c r="FD246" s="835">
        <f t="shared" ca="1" si="448"/>
        <v>0</v>
      </c>
      <c r="FE246" s="836">
        <f t="shared" ca="1" si="448"/>
        <v>0</v>
      </c>
      <c r="FG246" s="386">
        <f t="shared" ca="1" si="449"/>
        <v>0</v>
      </c>
      <c r="FH246" s="387">
        <f t="shared" ca="1" si="450"/>
        <v>0</v>
      </c>
      <c r="FI246" s="388">
        <f t="shared" ca="1" si="451"/>
        <v>0</v>
      </c>
      <c r="FJ246" s="386">
        <f t="shared" ca="1" si="452"/>
        <v>0</v>
      </c>
      <c r="FK246" s="387">
        <f t="shared" ca="1" si="453"/>
        <v>0</v>
      </c>
      <c r="FL246" s="387">
        <f t="shared" ca="1" si="454"/>
        <v>0</v>
      </c>
      <c r="FM246" s="387">
        <f t="shared" ca="1" si="455"/>
        <v>0</v>
      </c>
      <c r="FN246" s="388">
        <f t="shared" ca="1" si="456"/>
        <v>0</v>
      </c>
      <c r="FR246" s="116"/>
    </row>
    <row r="247" spans="2:174">
      <c r="B247" s="1410">
        <f t="shared" si="359"/>
        <v>201</v>
      </c>
      <c r="C247" s="400"/>
      <c r="D247" s="410"/>
      <c r="E247" s="402"/>
      <c r="F247" s="402"/>
      <c r="G247" s="400"/>
      <c r="H247" s="2088"/>
      <c r="I247" s="2089"/>
      <c r="J247" s="411"/>
      <c r="K247" s="403"/>
      <c r="L247" s="403"/>
      <c r="M247" s="403"/>
      <c r="N247" s="403"/>
      <c r="O247" s="347"/>
      <c r="P247" s="347"/>
      <c r="Q247" s="1021"/>
      <c r="R247" s="1022"/>
      <c r="S247" s="1022"/>
      <c r="T247" s="1022"/>
      <c r="U247" s="1023"/>
      <c r="V247" s="1021"/>
      <c r="W247" s="1022"/>
      <c r="X247" s="1022"/>
      <c r="Y247" s="1022"/>
      <c r="Z247" s="1023"/>
      <c r="AA247" s="1024"/>
      <c r="AB247" s="1021"/>
      <c r="AC247" s="1022"/>
      <c r="AD247" s="1022"/>
      <c r="AE247" s="1022"/>
      <c r="AF247" s="1023"/>
      <c r="AG247" s="1021"/>
      <c r="AH247" s="1022"/>
      <c r="AI247" s="1022"/>
      <c r="AJ247" s="1022"/>
      <c r="AK247" s="1023"/>
      <c r="AL247" s="1024"/>
      <c r="AM247" s="1021"/>
      <c r="AN247" s="1022"/>
      <c r="AO247" s="1022"/>
      <c r="AP247" s="1022"/>
      <c r="AQ247" s="1023"/>
      <c r="AR247" s="1021"/>
      <c r="AS247" s="1022"/>
      <c r="AT247" s="1022"/>
      <c r="AU247" s="1022"/>
      <c r="AV247" s="1023"/>
      <c r="AW247" s="1025"/>
      <c r="AX247" s="1282">
        <f t="shared" si="416"/>
        <v>0</v>
      </c>
      <c r="AY247" s="387">
        <f t="shared" si="417"/>
        <v>0</v>
      </c>
      <c r="AZ247" s="387">
        <f t="shared" si="418"/>
        <v>0</v>
      </c>
      <c r="BA247" s="387">
        <f t="shared" si="419"/>
        <v>0</v>
      </c>
      <c r="BB247" s="1283">
        <f t="shared" si="420"/>
        <v>0</v>
      </c>
      <c r="BC247" s="386">
        <f t="shared" si="421"/>
        <v>0</v>
      </c>
      <c r="BD247" s="387">
        <f t="shared" si="422"/>
        <v>0</v>
      </c>
      <c r="BE247" s="1277">
        <f t="shared" si="423"/>
        <v>0</v>
      </c>
      <c r="BF247" s="1277">
        <f t="shared" si="424"/>
        <v>0</v>
      </c>
      <c r="BG247" s="388">
        <f t="shared" si="425"/>
        <v>0</v>
      </c>
      <c r="BH247" s="1025"/>
      <c r="BI247" s="1282">
        <f t="shared" ca="1" si="426"/>
        <v>0</v>
      </c>
      <c r="BJ247" s="387">
        <f t="shared" ca="1" si="427"/>
        <v>0</v>
      </c>
      <c r="BK247" s="387">
        <f t="shared" ca="1" si="428"/>
        <v>0</v>
      </c>
      <c r="BL247" s="387">
        <f t="shared" ca="1" si="429"/>
        <v>0</v>
      </c>
      <c r="BM247" s="1283">
        <f t="shared" ca="1" si="430"/>
        <v>0</v>
      </c>
      <c r="BN247" s="386">
        <f t="shared" ca="1" si="431"/>
        <v>0</v>
      </c>
      <c r="BO247" s="387">
        <f t="shared" ca="1" si="432"/>
        <v>0</v>
      </c>
      <c r="BP247" s="1277">
        <f t="shared" ca="1" si="433"/>
        <v>0</v>
      </c>
      <c r="BQ247" s="1277">
        <f t="shared" ca="1" si="434"/>
        <v>0</v>
      </c>
      <c r="BR247" s="388">
        <f t="shared" ca="1" si="435"/>
        <v>0</v>
      </c>
      <c r="BS247" s="1025"/>
      <c r="BT247" s="1282">
        <f>+IF($K247="Ongoing",AX247,IF(RIGHT($K247,2)=RIGHT(BT$43,2),SUM($AX247:AX247),0)+IF(RIGHT(BT$43,2)&gt;RIGHT($K247,2),AX247,0))</f>
        <v>0</v>
      </c>
      <c r="BU247" s="387">
        <f>+IF($K247="Ongoing",AY247,IF(RIGHT($K247,2)=RIGHT(BU$43,2),SUM($AX247:AY247),0)+IF(RIGHT(BU$43,2)&gt;RIGHT($K247,2),AY247,0))</f>
        <v>0</v>
      </c>
      <c r="BV247" s="387">
        <f>+IF($K247="Ongoing",AZ247,IF(RIGHT($K247,2)=RIGHT(BV$43,2),SUM($AX247:AZ247),0)+IF(RIGHT(BV$43,2)&gt;RIGHT($K247,2),AZ247,0))</f>
        <v>0</v>
      </c>
      <c r="BW247" s="387">
        <f>+IF($K247="Ongoing",BA247,IF(RIGHT($K247,2)=RIGHT(BW$43,2),SUM($AX247:BA247),0)+IF(RIGHT(BW$43,2)&gt;RIGHT($K247,2),BA247,0))</f>
        <v>0</v>
      </c>
      <c r="BX247" s="1283">
        <f>+IF($K247="Ongoing",BB247,IF(RIGHT($K247,2)=RIGHT(BX$43,2),SUM($AX247:BB247),0)+IF(RIGHT(BX$43,2)&gt;RIGHT($K247,2),BB247,0))</f>
        <v>0</v>
      </c>
      <c r="BY247" s="386">
        <f>+IF($K247="Ongoing",BC247,IF(RIGHT($K247,2)=RIGHT(BY$43,2),SUM($AX247:BC247),0)+IF(RIGHT(BY$43,2)&gt;RIGHT($K247,2),BC247,0))</f>
        <v>0</v>
      </c>
      <c r="BZ247" s="387">
        <f>+IF($K247="Ongoing",BD247,IF(RIGHT($K247,2)=RIGHT(BZ$43,2),SUM($AX247:BD247),0)+IF(RIGHT(BZ$43,2)&gt;RIGHT($K247,2),BD247,0))</f>
        <v>0</v>
      </c>
      <c r="CA247" s="1277">
        <f>+IF($K247="Ongoing",BE247,IF(RIGHT($K247,2)=RIGHT(CA$43,2),SUM($AX247:BE247),0)+IF(RIGHT(CA$43,2)&gt;RIGHT($K247,2),BE247,0))</f>
        <v>0</v>
      </c>
      <c r="CB247" s="1277">
        <f>+IF($K247="Ongoing",BF247,IF(RIGHT($K247,2)=RIGHT(CB$43,2),SUM($AX247:BF247),0)+IF(RIGHT(CB$43,2)&gt;RIGHT($K247,2),BF247,0))</f>
        <v>0</v>
      </c>
      <c r="CC247" s="388">
        <f>+IF($K247="Ongoing",BG247,IF(RIGHT($K247,2)=RIGHT(CC$43,2),SUM($AX247:BG247),0)+IF(RIGHT(CC$43,2)&gt;RIGHT($K247,2),BG247,0))</f>
        <v>0</v>
      </c>
      <c r="CD247" s="1025"/>
      <c r="CE247" s="1282">
        <f>+Q247*KeyAssumptionsPriceControl_FO!AF$15</f>
        <v>0</v>
      </c>
      <c r="CF247" s="387">
        <f>+R247*KeyAssumptionsPriceControl_FO!AG$15</f>
        <v>0</v>
      </c>
      <c r="CG247" s="387">
        <f>+S247*KeyAssumptionsPriceControl_FO!AH$15</f>
        <v>0</v>
      </c>
      <c r="CH247" s="387">
        <f>+T247*KeyAssumptionsPriceControl_FO!AI$15</f>
        <v>0</v>
      </c>
      <c r="CI247" s="1283">
        <f>+U247*KeyAssumptionsPriceControl_FO!AJ$15</f>
        <v>0</v>
      </c>
      <c r="CJ247" s="386">
        <f>+V247*KeyAssumptionsPriceControl_FO!AK$15</f>
        <v>0</v>
      </c>
      <c r="CK247" s="387">
        <f>+W247*KeyAssumptionsPriceControl_FO!AL$15</f>
        <v>0</v>
      </c>
      <c r="CL247" s="1277">
        <f>+X247*KeyAssumptionsPriceControl_FO!AM$15</f>
        <v>0</v>
      </c>
      <c r="CM247" s="1277">
        <f>+Y247*KeyAssumptionsPriceControl_FO!AN$15</f>
        <v>0</v>
      </c>
      <c r="CN247" s="388">
        <f>+Z247*KeyAssumptionsPriceControl_FO!AO$15</f>
        <v>0</v>
      </c>
      <c r="CO247" s="1025"/>
      <c r="CP247" s="1282">
        <f t="shared" ca="1" si="436"/>
        <v>0</v>
      </c>
      <c r="CQ247" s="387">
        <f t="shared" ca="1" si="437"/>
        <v>0</v>
      </c>
      <c r="CR247" s="387">
        <f t="shared" ca="1" si="438"/>
        <v>0</v>
      </c>
      <c r="CS247" s="387">
        <f t="shared" ca="1" si="439"/>
        <v>0</v>
      </c>
      <c r="CT247" s="1283">
        <f t="shared" ca="1" si="440"/>
        <v>0</v>
      </c>
      <c r="CU247" s="386">
        <f t="shared" ca="1" si="441"/>
        <v>0</v>
      </c>
      <c r="CV247" s="387">
        <f t="shared" ca="1" si="442"/>
        <v>0</v>
      </c>
      <c r="CW247" s="1277">
        <f t="shared" ca="1" si="443"/>
        <v>0</v>
      </c>
      <c r="CX247" s="1277">
        <f t="shared" ca="1" si="444"/>
        <v>0</v>
      </c>
      <c r="CY247" s="388">
        <f t="shared" ca="1" si="445"/>
        <v>0</v>
      </c>
      <c r="CZ247" s="347"/>
      <c r="DA247" s="852"/>
      <c r="DB247" s="347"/>
      <c r="DC247" s="1012" t="s">
        <v>517</v>
      </c>
      <c r="DD247" s="841" t="s">
        <v>518</v>
      </c>
      <c r="DE247" s="386">
        <f>+IF($K247="ongoing",CE247,IF(RIGHT($K247,2)=RIGHT(DE$43,2),SUM($CD247:CE247),0)+IF(RIGHT(DE$43,2)&gt;RIGHT($K247,2),CE247,0))</f>
        <v>0</v>
      </c>
      <c r="DF247" s="387">
        <f>+IF($K247="ongoing",CF247,IF(RIGHT($K247,2)=RIGHT(DF$43,2),SUM($CD247:CF247),0)+IF(RIGHT(DF$43,2)&gt;RIGHT($K247,2),CF247,0))</f>
        <v>0</v>
      </c>
      <c r="DG247" s="388">
        <f>+IF($K247="ongoing",CG247,IF(RIGHT($K247,2)=RIGHT(DG$43,2),SUM($CD247:CG247),0)+IF(RIGHT(DG$43,2)&gt;RIGHT($K247,2),CG247,0))</f>
        <v>0</v>
      </c>
      <c r="DH247" s="386">
        <f>+IF($K247="ongoing",CH247,IF(RIGHT($K247,2)=RIGHT(DH$43,2),SUM($CD247:CH247),0)+IF(RIGHT(DH$43,2)&gt;RIGHT($K247,2),CH247,0))</f>
        <v>0</v>
      </c>
      <c r="DI247" s="387">
        <f>+IF($K247="ongoing",CI247,IF(RIGHT($K247,2)=RIGHT(DI$43,2),SUM($CD247:CI247),0)+IF(RIGHT(DI$43,2)&gt;RIGHT($K247,2),CI247,0))</f>
        <v>0</v>
      </c>
      <c r="DJ247" s="387">
        <f>+IF($K247="ongoing",CJ247,IF(RIGHT($K247,2)=RIGHT(DJ$43,2),SUM($CD247:CJ247),0)+IF(RIGHT(DJ$43,2)&gt;RIGHT($K247,2),CJ247,0))</f>
        <v>0</v>
      </c>
      <c r="DK247" s="387">
        <f>+IF($K247="ongoing",CK247,IF(RIGHT($K247,2)=RIGHT(DK$43,2),SUM($CD247:CK247),0)+IF(RIGHT(DK$43,2)&gt;RIGHT($K247,2),CK247,0))</f>
        <v>0</v>
      </c>
      <c r="DL247" s="388">
        <f>+IF($K247="ongoing",CN247,IF(RIGHT($K247,2)=RIGHT(DL$43,2),SUM($CD247:CN247),0)+IF(RIGHT(DL$43,2)&gt;RIGHT($K247,2),CN247,0))</f>
        <v>0</v>
      </c>
      <c r="DM247" s="841"/>
      <c r="DN247" s="386">
        <f t="shared" si="446"/>
        <v>0.5</v>
      </c>
      <c r="DO247" s="387">
        <f t="shared" si="446"/>
        <v>1</v>
      </c>
      <c r="DP247" s="388">
        <f t="shared" si="446"/>
        <v>1</v>
      </c>
      <c r="DQ247" s="386">
        <f t="shared" si="446"/>
        <v>1</v>
      </c>
      <c r="DR247" s="387">
        <f t="shared" si="446"/>
        <v>1</v>
      </c>
      <c r="DS247" s="387">
        <f t="shared" si="446"/>
        <v>1</v>
      </c>
      <c r="DT247" s="387">
        <f t="shared" si="446"/>
        <v>1</v>
      </c>
      <c r="DU247" s="388">
        <f t="shared" si="446"/>
        <v>1</v>
      </c>
      <c r="DW247" s="386">
        <f t="shared" si="447"/>
        <v>0</v>
      </c>
      <c r="DX247" s="387">
        <f t="shared" si="447"/>
        <v>0.5</v>
      </c>
      <c r="DY247" s="388">
        <f t="shared" si="447"/>
        <v>1</v>
      </c>
      <c r="DZ247" s="386">
        <f t="shared" si="447"/>
        <v>1</v>
      </c>
      <c r="EA247" s="387">
        <f t="shared" si="447"/>
        <v>1</v>
      </c>
      <c r="EB247" s="387">
        <f t="shared" si="447"/>
        <v>1</v>
      </c>
      <c r="EC247" s="387">
        <f t="shared" si="447"/>
        <v>1</v>
      </c>
      <c r="ED247" s="388">
        <f t="shared" si="447"/>
        <v>1</v>
      </c>
      <c r="EF247" s="834">
        <f>+IF(DN247=DM247,0,
IF(AND(EF$44&gt;1,DN247=$N247),1-SUM($EE247:EE247),
IF($N247&lt;=1,
IF($N247&gt;0,1/$N247,0),
IF(EF$44=1,0,VDB(1,0,$N247,INT(EF$44-1-1),MIN($N247,INT(EF$44-1-1)+1),$DC247,IF($DD247="No",1,0))/
IF(DM247&gt;=INT($N247),$N247-INT($N247),1)))*
IF(EF$44=1,0,
IF(INT(DN247)=INT(DM247),DN247-DM247,INT(DN247)-DM247))+
IF($N247&lt;=1,
IF($N247&gt;0,1/$N247,0),VDB(1,0,$N247,INT(EF$44-1),MIN($N247,INT(EF$44-1)+1),$DC247,IF($DD247="No",1,0))/
IF(DN247&gt;INT($N247),$N247-INT($N247),1))*
IF(EF$44=1,DN247,
IF(INT(DN247)=INT(DM247),0,DN247-INT(DN247)))))</f>
        <v>0</v>
      </c>
      <c r="EG247" s="835">
        <f>+IF(DO247=DN247,0,
IF(AND(EG$44&gt;1,DO247=$N247),1-SUM($EE247:EF247),
IF($N247&lt;=1,
IF($N247&gt;0,1/$N247,0),
IF(EG$44=1,0,VDB(1,0,$N247,INT(EG$44-1-1),MIN($N247,INT(EG$44-1-1)+1),$DC247,IF($DD247="No",1,0))/
IF(DN247&gt;=INT($N247),$N247-INT($N247),1)))*
IF(EG$44=1,0,
IF(INT(DO247)=INT(DN247),DO247-DN247,INT(DO247)-DN247))+
IF($N247&lt;=1,
IF($N247&gt;0,1/$N247,0),VDB(1,0,$N247,INT(EG$44-1),MIN($N247,INT(EG$44-1)+1),$DC247,IF($DD247="No",1,0))/
IF(DO247&gt;INT($N247),$N247-INT($N247),1))*
IF(EG$44=1,DO247,
IF(INT(DO247)=INT(DN247),0,DO247-INT(DO247)))))</f>
        <v>0</v>
      </c>
      <c r="EH247" s="836">
        <f>+IF(DP247=DO247,0,
IF(AND(EH$44&gt;1,DP247=$N247),1-SUM($EE247:EG247),
IF($N247&lt;=1,
IF($N247&gt;0,1/$N247,0),
IF(EH$44=1,0,VDB(1,0,$N247,INT(EH$44-1-1),MIN($N247,INT(EH$44-1-1)+1),$DC247,IF($DD247="No",1,0))/
IF(DO247&gt;=INT($N247),$N247-INT($N247),1)))*
IF(EH$44=1,0,
IF(INT(DP247)=INT(DO247),DP247-DO247,INT(DP247)-DO247))+
IF($N247&lt;=1,
IF($N247&gt;0,1/$N247,0),VDB(1,0,$N247,INT(EH$44-1),MIN($N247,INT(EH$44-1)+1),$DC247,IF($DD247="No",1,0))/
IF(DP247&gt;INT($N247),$N247-INT($N247),1))*
IF(EH$44=1,DP247,
IF(INT(DP247)=INT(DO247),0,DP247-INT(DP247)))))</f>
        <v>0</v>
      </c>
      <c r="EI247" s="834">
        <f>+IF(DQ247=DP247,0,
IF(AND(EI$44&gt;1,DQ247=$N247),1-SUM($EE247:EH247),
IF($N247&lt;=1,
IF($N247&gt;0,1/$N247,0),
IF(EI$44=1,0,VDB(1,0,$N247,INT(EI$44-1-1),MIN($N247,INT(EI$44-1-1)+1),$DC247,IF($DD247="No",1,0))/
IF(DP247&gt;=INT($N247),$N247-INT($N247),1)))*
IF(EI$44=1,0,
IF(INT(DQ247)=INT(DP247),DQ247-DP247,INT(DQ247)-DP247))+
IF($N247&lt;=1,
IF($N247&gt;0,1/$N247,0),VDB(1,0,$N247,INT(EI$44-1),MIN($N247,INT(EI$44-1)+1),$DC247,IF($DD247="No",1,0))/
IF(DQ247&gt;INT($N247),$N247-INT($N247),1))*
IF(EI$44=1,DQ247,
IF(INT(DQ247)=INT(DP247),0,DQ247-INT(DQ247)))))</f>
        <v>0</v>
      </c>
      <c r="EJ247" s="835">
        <f>+IF(DR247=DQ247,0,
IF(AND(EJ$44&gt;1,DR247=$N247),1-SUM($EE247:EI247),
IF($N247&lt;=1,
IF($N247&gt;0,1/$N247,0),
IF(EJ$44=1,0,VDB(1,0,$N247,INT(EJ$44-1-1),MIN($N247,INT(EJ$44-1-1)+1),$DC247,IF($DD247="No",1,0))/
IF(DQ247&gt;=INT($N247),$N247-INT($N247),1)))*
IF(EJ$44=1,0,
IF(INT(DR247)=INT(DQ247),DR247-DQ247,INT(DR247)-DQ247))+
IF($N247&lt;=1,
IF($N247&gt;0,1/$N247,0),VDB(1,0,$N247,INT(EJ$44-1),MIN($N247,INT(EJ$44-1)+1),$DC247,IF($DD247="No",1,0))/
IF(DR247&gt;INT($N247),$N247-INT($N247),1))*
IF(EJ$44=1,DR247,
IF(INT(DR247)=INT(DQ247),0,DR247-INT(DR247)))))</f>
        <v>0</v>
      </c>
      <c r="EK247" s="835">
        <f>+IF(DS247=DR247,0,
IF(AND(EK$44&gt;1,DS247=$N247),1-SUM($EE247:EJ247),
IF($N247&lt;=1,
IF($N247&gt;0,1/$N247,0),
IF(EK$44=1,0,VDB(1,0,$N247,INT(EK$44-1-1),MIN($N247,INT(EK$44-1-1)+1),$DC247,IF($DD247="No",1,0))/
IF(DR247&gt;=INT($N247),$N247-INT($N247),1)))*
IF(EK$44=1,0,
IF(INT(DS247)=INT(DR247),DS247-DR247,INT(DS247)-DR247))+
IF($N247&lt;=1,
IF($N247&gt;0,1/$N247,0),VDB(1,0,$N247,INT(EK$44-1),MIN($N247,INT(EK$44-1)+1),$DC247,IF($DD247="No",1,0))/
IF(DS247&gt;INT($N247),$N247-INT($N247),1))*
IF(EK$44=1,DS247,
IF(INT(DS247)=INT(DR247),0,DS247-INT(DS247)))))</f>
        <v>0</v>
      </c>
      <c r="EL247" s="835">
        <f>+IF(DT247=DS247,0,
IF(AND(EL$44&gt;1,DT247=$N247),1-SUM($EE247:EK247),
IF($N247&lt;=1,
IF($N247&gt;0,1/$N247,0),
IF(EL$44=1,0,VDB(1,0,$N247,INT(EL$44-1-1),MIN($N247,INT(EL$44-1-1)+1),$DC247,IF($DD247="No",1,0))/
IF(DS247&gt;=INT($N247),$N247-INT($N247),1)))*
IF(EL$44=1,0,
IF(INT(DT247)=INT(DS247),DT247-DS247,INT(DT247)-DS247))+
IF($N247&lt;=1,
IF($N247&gt;0,1/$N247,0),VDB(1,0,$N247,INT(EL$44-1),MIN($N247,INT(EL$44-1)+1),$DC247,IF($DD247="No",1,0))/
IF(DT247&gt;INT($N247),$N247-INT($N247),1))*
IF(EL$44=1,DT247,
IF(INT(DT247)=INT(DS247),0,DT247-INT(DT247)))))</f>
        <v>0</v>
      </c>
      <c r="EM247" s="836">
        <f>+IF(DU247=DT247,0,
IF(AND(EM$44&gt;1,DU247=$N247),1-SUM($EE247:EL247),
IF($N247&lt;=1,
IF($N247&gt;0,1/$N247,0),
IF(EM$44=1,0,VDB(1,0,$N247,INT(EM$44-1-1),MIN($N247,INT(EM$44-1-1)+1),$DC247,IF($DD247="No",1,0))/
IF(DT247&gt;=INT($N247),$N247-INT($N247),1)))*
IF(EM$44=1,0,
IF(INT(DU247)=INT(DT247),DU247-DT247,INT(DU247)-DT247))+
IF($N247&lt;=1,
IF($N247&gt;0,1/$N247,0),VDB(1,0,$N247,INT(EM$44-1),MIN($N247,INT(EM$44-1)+1),$DC247,IF($DD247="No",1,0))/
IF(DU247&gt;INT($N247),$N247-INT($N247),1))*
IF(EM$44=1,DU247,
IF(INT(DU247)=INT(DT247),0,DU247-INT(DU247)))))</f>
        <v>0</v>
      </c>
      <c r="EN247" s="833"/>
      <c r="EO247" s="834">
        <f>+IF(OR(DW247=DV247,EO$44=1),0,
IF(AND(EO$44&gt;1,DW247=$N247),1-SUM($EN247:EN247),
IF($N247&lt;=1,
IF($N247&gt;0,1/$N247,0),
IF(EO$44=2,0,VDB(1,0,$N247,INT(EO$44-2-1),MIN($N247,INT(EO$44-2-1)+1),$DC247,IF($DD247="No",1,0))/
IF(DV247&gt;=INT($N247),$N247-INT($N247),1)))*
IF(EO$44=2,0,
IF(INT(DW247)=INT(DV247),DW247-DV247,INT(DW247)-DV247))+
IF($N247&lt;=1,
IF($N247&gt;0,1/$N247,0),VDB(1,0,$N247,INT(EO$44-2),MIN($N247,INT(EO$44-2)+1),$DC247,IF($DD247="No",1,0))/
IF(DW247&gt;INT($N247),$N247-INT($N247),1))*
IF(EO$44=2,DW247,
IF(INT(DW247)=INT(DV247),0,DW247-INT(DW247)))))</f>
        <v>0</v>
      </c>
      <c r="EP247" s="835">
        <f>+IF(OR(DX247=DW247,EP$44=1),0,
IF(AND(EP$44&gt;1,DX247=$N247),1-SUM($EN247:EO247),
IF($N247&lt;=1,
IF($N247&gt;0,1/$N247,0),
IF(EP$44=2,0,VDB(1,0,$N247,INT(EP$44-2-1),MIN($N247,INT(EP$44-2-1)+1),$DC247,IF($DD247="No",1,0))/
IF(DW247&gt;=INT($N247),$N247-INT($N247),1)))*
IF(EP$44=2,0,
IF(INT(DX247)=INT(DW247),DX247-DW247,INT(DX247)-DW247))+
IF($N247&lt;=1,
IF($N247&gt;0,1/$N247,0),VDB(1,0,$N247,INT(EP$44-2),MIN($N247,INT(EP$44-2)+1),$DC247,IF($DD247="No",1,0))/
IF(DX247&gt;INT($N247),$N247-INT($N247),1))*
IF(EP$44=2,DX247,
IF(INT(DX247)=INT(DW247),0,DX247-INT(DX247)))))</f>
        <v>0</v>
      </c>
      <c r="EQ247" s="836">
        <f>+IF(OR(DY247=DX247,EQ$44=1),0,
IF(AND(EQ$44&gt;1,DY247=$N247),1-SUM($EN247:EP247),
IF($N247&lt;=1,
IF($N247&gt;0,1/$N247,0),
IF(EQ$44=2,0,VDB(1,0,$N247,INT(EQ$44-2-1),MIN($N247,INT(EQ$44-2-1)+1),$DC247,IF($DD247="No",1,0))/
IF(DX247&gt;=INT($N247),$N247-INT($N247),1)))*
IF(EQ$44=2,0,
IF(INT(DY247)=INT(DX247),DY247-DX247,INT(DY247)-DX247))+
IF($N247&lt;=1,
IF($N247&gt;0,1/$N247,0),VDB(1,0,$N247,INT(EQ$44-2),MIN($N247,INT(EQ$44-2)+1),$DC247,IF($DD247="No",1,0))/
IF(DY247&gt;INT($N247),$N247-INT($N247),1))*
IF(EQ$44=2,DY247,
IF(INT(DY247)=INT(DX247),0,DY247-INT(DY247)))))</f>
        <v>0</v>
      </c>
      <c r="ER247" s="834">
        <f>+IF(OR(DZ247=DY247,ER$44=1),0,
IF(AND(ER$44&gt;1,DZ247=$N247),1-SUM($EN247:EQ247),
IF($N247&lt;=1,
IF($N247&gt;0,1/$N247,0),
IF(ER$44=2,0,VDB(1,0,$N247,INT(ER$44-2-1),MIN($N247,INT(ER$44-2-1)+1),$DC247,IF($DD247="No",1,0))/
IF(DY247&gt;=INT($N247),$N247-INT($N247),1)))*
IF(ER$44=2,0,
IF(INT(DZ247)=INT(DY247),DZ247-DY247,INT(DZ247)-DY247))+
IF($N247&lt;=1,
IF($N247&gt;0,1/$N247,0),VDB(1,0,$N247,INT(ER$44-2),MIN($N247,INT(ER$44-2)+1),$DC247,IF($DD247="No",1,0))/
IF(DZ247&gt;INT($N247),$N247-INT($N247),1))*
IF(ER$44=2,DZ247,
IF(INT(DZ247)=INT(DY247),0,DZ247-INT(DZ247)))))</f>
        <v>0</v>
      </c>
      <c r="ES247" s="835">
        <f>+IF(OR(EA247=DZ247,ES$44=1),0,
IF(AND(ES$44&gt;1,EA247=$N247),1-SUM($EN247:ER247),
IF($N247&lt;=1,
IF($N247&gt;0,1/$N247,0),
IF(ES$44=2,0,VDB(1,0,$N247,INT(ES$44-2-1),MIN($N247,INT(ES$44-2-1)+1),$DC247,IF($DD247="No",1,0))/
IF(DZ247&gt;=INT($N247),$N247-INT($N247),1)))*
IF(ES$44=2,0,
IF(INT(EA247)=INT(DZ247),EA247-DZ247,INT(EA247)-DZ247))+
IF($N247&lt;=1,
IF($N247&gt;0,1/$N247,0),VDB(1,0,$N247,INT(ES$44-2),MIN($N247,INT(ES$44-2)+1),$DC247,IF($DD247="No",1,0))/
IF(EA247&gt;INT($N247),$N247-INT($N247),1))*
IF(ES$44=2,EA247,
IF(INT(EA247)=INT(DZ247),0,EA247-INT(EA247)))))</f>
        <v>0</v>
      </c>
      <c r="ET247" s="835">
        <f>+IF(OR(EB247=EA247,ET$44=1),0,
IF(AND(ET$44&gt;1,EB247=$N247),1-SUM($EN247:ES247),
IF($N247&lt;=1,
IF($N247&gt;0,1/$N247,0),
IF(ET$44=2,0,VDB(1,0,$N247,INT(ET$44-2-1),MIN($N247,INT(ET$44-2-1)+1),$DC247,IF($DD247="No",1,0))/
IF(EA247&gt;=INT($N247),$N247-INT($N247),1)))*
IF(ET$44=2,0,
IF(INT(EB247)=INT(EA247),EB247-EA247,INT(EB247)-EA247))+
IF($N247&lt;=1,
IF($N247&gt;0,1/$N247,0),VDB(1,0,$N247,INT(ET$44-2),MIN($N247,INT(ET$44-2)+1),$DC247,IF($DD247="No",1,0))/
IF(EB247&gt;INT($N247),$N247-INT($N247),1))*
IF(ET$44=2,EB247,
IF(INT(EB247)=INT(EA247),0,EB247-INT(EB247)))))</f>
        <v>0</v>
      </c>
      <c r="EU247" s="835">
        <f>+IF(OR(EC247=EB247,EU$44=1),0,
IF(AND(EU$44&gt;1,EC247=$N247),1-SUM($EN247:ET247),
IF($N247&lt;=1,
IF($N247&gt;0,1/$N247,0),
IF(EU$44=2,0,VDB(1,0,$N247,INT(EU$44-2-1),MIN($N247,INT(EU$44-2-1)+1),$DC247,IF($DD247="No",1,0))/
IF(EB247&gt;=INT($N247),$N247-INT($N247),1)))*
IF(EU$44=2,0,
IF(INT(EC247)=INT(EB247),EC247-EB247,INT(EC247)-EB247))+
IF($N247&lt;=1,
IF($N247&gt;0,1/$N247,0),VDB(1,0,$N247,INT(EU$44-2),MIN($N247,INT(EU$44-2)+1),$DC247,IF($DD247="No",1,0))/
IF(EC247&gt;INT($N247),$N247-INT($N247),1))*
IF(EU$44=2,EC247,
IF(INT(EC247)=INT(EB247),0,EC247-INT(EC247)))))</f>
        <v>0</v>
      </c>
      <c r="EV247" s="836">
        <f>+IF(OR(ED247=EC247,EV$44=1),0,
IF(AND(EV$44&gt;1,ED247=$N247),1-SUM($EN247:EU247),
IF($N247&lt;=1,
IF($N247&gt;0,1/$N247,0),
IF(EV$44=2,0,VDB(1,0,$N247,INT(EV$44-2-1),MIN($N247,INT(EV$44-2-1)+1),$DC247,IF($DD247="No",1,0))/
IF(EC247&gt;=INT($N247),$N247-INT($N247),1)))*
IF(EV$44=2,0,
IF(INT(ED247)=INT(EC247),ED247-EC247,INT(ED247)-EC247))+
IF($N247&lt;=1,
IF($N247&gt;0,1/$N247,0),VDB(1,0,$N247,INT(EV$44-2),MIN($N247,INT(EV$44-2)+1),$DC247,IF($DD247="No",1,0))/
IF(ED247&gt;INT($N247),$N247-INT($N247),1))*
IF(EV$44=2,ED247,
IF(INT(ED247)=INT(EC247),0,ED247-INT(ED247)))))</f>
        <v>0</v>
      </c>
      <c r="EW247" s="833"/>
      <c r="EX247" s="834">
        <f t="shared" ca="1" si="448"/>
        <v>0</v>
      </c>
      <c r="EY247" s="835">
        <f t="shared" ca="1" si="448"/>
        <v>0</v>
      </c>
      <c r="EZ247" s="836">
        <f t="shared" ca="1" si="448"/>
        <v>0</v>
      </c>
      <c r="FA247" s="834">
        <f t="shared" ca="1" si="448"/>
        <v>0</v>
      </c>
      <c r="FB247" s="835">
        <f t="shared" ca="1" si="448"/>
        <v>0</v>
      </c>
      <c r="FC247" s="835">
        <f t="shared" ca="1" si="448"/>
        <v>0</v>
      </c>
      <c r="FD247" s="835">
        <f t="shared" ca="1" si="448"/>
        <v>0</v>
      </c>
      <c r="FE247" s="836">
        <f t="shared" ca="1" si="448"/>
        <v>0</v>
      </c>
      <c r="FG247" s="386">
        <f t="shared" ca="1" si="449"/>
        <v>0</v>
      </c>
      <c r="FH247" s="387">
        <f t="shared" ca="1" si="450"/>
        <v>0</v>
      </c>
      <c r="FI247" s="388">
        <f t="shared" ca="1" si="451"/>
        <v>0</v>
      </c>
      <c r="FJ247" s="386">
        <f t="shared" ca="1" si="452"/>
        <v>0</v>
      </c>
      <c r="FK247" s="387">
        <f t="shared" ca="1" si="453"/>
        <v>0</v>
      </c>
      <c r="FL247" s="387">
        <f t="shared" ca="1" si="454"/>
        <v>0</v>
      </c>
      <c r="FM247" s="387">
        <f t="shared" ca="1" si="455"/>
        <v>0</v>
      </c>
      <c r="FN247" s="388">
        <f t="shared" ca="1" si="456"/>
        <v>0</v>
      </c>
      <c r="FR247" s="116"/>
    </row>
    <row r="248" spans="2:174">
      <c r="B248" s="1410">
        <f t="shared" si="359"/>
        <v>202</v>
      </c>
      <c r="C248" s="400"/>
      <c r="D248" s="410"/>
      <c r="E248" s="402"/>
      <c r="F248" s="402"/>
      <c r="G248" s="400"/>
      <c r="H248" s="2088"/>
      <c r="I248" s="2089"/>
      <c r="J248" s="411"/>
      <c r="K248" s="403"/>
      <c r="L248" s="403"/>
      <c r="M248" s="403"/>
      <c r="N248" s="403"/>
      <c r="O248" s="347"/>
      <c r="P248" s="347"/>
      <c r="Q248" s="1021"/>
      <c r="R248" s="1022"/>
      <c r="S248" s="1022"/>
      <c r="T248" s="1022"/>
      <c r="U248" s="1023"/>
      <c r="V248" s="1021"/>
      <c r="W248" s="1022"/>
      <c r="X248" s="1022"/>
      <c r="Y248" s="1022"/>
      <c r="Z248" s="1023"/>
      <c r="AA248" s="1024"/>
      <c r="AB248" s="1021"/>
      <c r="AC248" s="1022"/>
      <c r="AD248" s="1022"/>
      <c r="AE248" s="1022"/>
      <c r="AF248" s="1023"/>
      <c r="AG248" s="1021"/>
      <c r="AH248" s="1022"/>
      <c r="AI248" s="1022"/>
      <c r="AJ248" s="1022"/>
      <c r="AK248" s="1023"/>
      <c r="AL248" s="1024"/>
      <c r="AM248" s="1021"/>
      <c r="AN248" s="1022"/>
      <c r="AO248" s="1022"/>
      <c r="AP248" s="1022"/>
      <c r="AQ248" s="1023"/>
      <c r="AR248" s="1021"/>
      <c r="AS248" s="1022"/>
      <c r="AT248" s="1022"/>
      <c r="AU248" s="1022"/>
      <c r="AV248" s="1023"/>
      <c r="AW248" s="1025"/>
      <c r="AX248" s="1282">
        <f t="shared" si="416"/>
        <v>0</v>
      </c>
      <c r="AY248" s="387">
        <f t="shared" si="417"/>
        <v>0</v>
      </c>
      <c r="AZ248" s="387">
        <f t="shared" si="418"/>
        <v>0</v>
      </c>
      <c r="BA248" s="387">
        <f t="shared" si="419"/>
        <v>0</v>
      </c>
      <c r="BB248" s="1283">
        <f t="shared" si="420"/>
        <v>0</v>
      </c>
      <c r="BC248" s="386">
        <f t="shared" si="421"/>
        <v>0</v>
      </c>
      <c r="BD248" s="387">
        <f t="shared" si="422"/>
        <v>0</v>
      </c>
      <c r="BE248" s="1277">
        <f t="shared" si="423"/>
        <v>0</v>
      </c>
      <c r="BF248" s="1277">
        <f t="shared" si="424"/>
        <v>0</v>
      </c>
      <c r="BG248" s="388">
        <f t="shared" si="425"/>
        <v>0</v>
      </c>
      <c r="BH248" s="1025"/>
      <c r="BI248" s="1282">
        <f t="shared" ca="1" si="426"/>
        <v>0</v>
      </c>
      <c r="BJ248" s="387">
        <f t="shared" ca="1" si="427"/>
        <v>0</v>
      </c>
      <c r="BK248" s="387">
        <f t="shared" ca="1" si="428"/>
        <v>0</v>
      </c>
      <c r="BL248" s="387">
        <f t="shared" ca="1" si="429"/>
        <v>0</v>
      </c>
      <c r="BM248" s="1283">
        <f t="shared" ca="1" si="430"/>
        <v>0</v>
      </c>
      <c r="BN248" s="386">
        <f t="shared" ca="1" si="431"/>
        <v>0</v>
      </c>
      <c r="BO248" s="387">
        <f t="shared" ca="1" si="432"/>
        <v>0</v>
      </c>
      <c r="BP248" s="1277">
        <f t="shared" ca="1" si="433"/>
        <v>0</v>
      </c>
      <c r="BQ248" s="1277">
        <f t="shared" ca="1" si="434"/>
        <v>0</v>
      </c>
      <c r="BR248" s="388">
        <f t="shared" ca="1" si="435"/>
        <v>0</v>
      </c>
      <c r="BS248" s="1025"/>
      <c r="BT248" s="1282">
        <f>+IF($K248="Ongoing",AX248,IF(RIGHT($K248,2)=RIGHT(BT$43,2),SUM($AX248:AX248),0)+IF(RIGHT(BT$43,2)&gt;RIGHT($K248,2),AX248,0))</f>
        <v>0</v>
      </c>
      <c r="BU248" s="387">
        <f>+IF($K248="Ongoing",AY248,IF(RIGHT($K248,2)=RIGHT(BU$43,2),SUM($AX248:AY248),0)+IF(RIGHT(BU$43,2)&gt;RIGHT($K248,2),AY248,0))</f>
        <v>0</v>
      </c>
      <c r="BV248" s="387">
        <f>+IF($K248="Ongoing",AZ248,IF(RIGHT($K248,2)=RIGHT(BV$43,2),SUM($AX248:AZ248),0)+IF(RIGHT(BV$43,2)&gt;RIGHT($K248,2),AZ248,0))</f>
        <v>0</v>
      </c>
      <c r="BW248" s="387">
        <f>+IF($K248="Ongoing",BA248,IF(RIGHT($K248,2)=RIGHT(BW$43,2),SUM($AX248:BA248),0)+IF(RIGHT(BW$43,2)&gt;RIGHT($K248,2),BA248,0))</f>
        <v>0</v>
      </c>
      <c r="BX248" s="1283">
        <f>+IF($K248="Ongoing",BB248,IF(RIGHT($K248,2)=RIGHT(BX$43,2),SUM($AX248:BB248),0)+IF(RIGHT(BX$43,2)&gt;RIGHT($K248,2),BB248,0))</f>
        <v>0</v>
      </c>
      <c r="BY248" s="386">
        <f>+IF($K248="Ongoing",BC248,IF(RIGHT($K248,2)=RIGHT(BY$43,2),SUM($AX248:BC248),0)+IF(RIGHT(BY$43,2)&gt;RIGHT($K248,2),BC248,0))</f>
        <v>0</v>
      </c>
      <c r="BZ248" s="387">
        <f>+IF($K248="Ongoing",BD248,IF(RIGHT($K248,2)=RIGHT(BZ$43,2),SUM($AX248:BD248),0)+IF(RIGHT(BZ$43,2)&gt;RIGHT($K248,2),BD248,0))</f>
        <v>0</v>
      </c>
      <c r="CA248" s="1277">
        <f>+IF($K248="Ongoing",BE248,IF(RIGHT($K248,2)=RIGHT(CA$43,2),SUM($AX248:BE248),0)+IF(RIGHT(CA$43,2)&gt;RIGHT($K248,2),BE248,0))</f>
        <v>0</v>
      </c>
      <c r="CB248" s="1277">
        <f>+IF($K248="Ongoing",BF248,IF(RIGHT($K248,2)=RIGHT(CB$43,2),SUM($AX248:BF248),0)+IF(RIGHT(CB$43,2)&gt;RIGHT($K248,2),BF248,0))</f>
        <v>0</v>
      </c>
      <c r="CC248" s="388">
        <f>+IF($K248="Ongoing",BG248,IF(RIGHT($K248,2)=RIGHT(CC$43,2),SUM($AX248:BG248),0)+IF(RIGHT(CC$43,2)&gt;RIGHT($K248,2),BG248,0))</f>
        <v>0</v>
      </c>
      <c r="CD248" s="1025"/>
      <c r="CE248" s="1282">
        <f>+Q248*KeyAssumptionsPriceControl_FO!AF$15</f>
        <v>0</v>
      </c>
      <c r="CF248" s="387">
        <f>+R248*KeyAssumptionsPriceControl_FO!AG$15</f>
        <v>0</v>
      </c>
      <c r="CG248" s="387">
        <f>+S248*KeyAssumptionsPriceControl_FO!AH$15</f>
        <v>0</v>
      </c>
      <c r="CH248" s="387">
        <f>+T248*KeyAssumptionsPriceControl_FO!AI$15</f>
        <v>0</v>
      </c>
      <c r="CI248" s="1283">
        <f>+U248*KeyAssumptionsPriceControl_FO!AJ$15</f>
        <v>0</v>
      </c>
      <c r="CJ248" s="386">
        <f>+V248*KeyAssumptionsPriceControl_FO!AK$15</f>
        <v>0</v>
      </c>
      <c r="CK248" s="387">
        <f>+W248*KeyAssumptionsPriceControl_FO!AL$15</f>
        <v>0</v>
      </c>
      <c r="CL248" s="1277">
        <f>+X248*KeyAssumptionsPriceControl_FO!AM$15</f>
        <v>0</v>
      </c>
      <c r="CM248" s="1277">
        <f>+Y248*KeyAssumptionsPriceControl_FO!AN$15</f>
        <v>0</v>
      </c>
      <c r="CN248" s="388">
        <f>+Z248*KeyAssumptionsPriceControl_FO!AO$15</f>
        <v>0</v>
      </c>
      <c r="CO248" s="1025"/>
      <c r="CP248" s="1282">
        <f t="shared" ca="1" si="436"/>
        <v>0</v>
      </c>
      <c r="CQ248" s="387">
        <f t="shared" ca="1" si="437"/>
        <v>0</v>
      </c>
      <c r="CR248" s="387">
        <f t="shared" ca="1" si="438"/>
        <v>0</v>
      </c>
      <c r="CS248" s="387">
        <f t="shared" ca="1" si="439"/>
        <v>0</v>
      </c>
      <c r="CT248" s="1283">
        <f t="shared" ca="1" si="440"/>
        <v>0</v>
      </c>
      <c r="CU248" s="386">
        <f t="shared" ca="1" si="441"/>
        <v>0</v>
      </c>
      <c r="CV248" s="387">
        <f t="shared" ca="1" si="442"/>
        <v>0</v>
      </c>
      <c r="CW248" s="1277">
        <f t="shared" ca="1" si="443"/>
        <v>0</v>
      </c>
      <c r="CX248" s="1277">
        <f t="shared" ca="1" si="444"/>
        <v>0</v>
      </c>
      <c r="CY248" s="388">
        <f t="shared" ca="1" si="445"/>
        <v>0</v>
      </c>
      <c r="CZ248" s="347"/>
      <c r="DA248" s="852"/>
      <c r="DB248" s="347"/>
      <c r="DC248" s="1012" t="s">
        <v>517</v>
      </c>
      <c r="DD248" s="841" t="s">
        <v>518</v>
      </c>
      <c r="DE248" s="386">
        <f>+IF($K248="ongoing",CE248,IF(RIGHT($K248,2)=RIGHT(DE$43,2),SUM($CD248:CE248),0)+IF(RIGHT(DE$43,2)&gt;RIGHT($K248,2),CE248,0))</f>
        <v>0</v>
      </c>
      <c r="DF248" s="387">
        <f>+IF($K248="ongoing",CF248,IF(RIGHT($K248,2)=RIGHT(DF$43,2),SUM($CD248:CF248),0)+IF(RIGHT(DF$43,2)&gt;RIGHT($K248,2),CF248,0))</f>
        <v>0</v>
      </c>
      <c r="DG248" s="388">
        <f>+IF($K248="ongoing",CG248,IF(RIGHT($K248,2)=RIGHT(DG$43,2),SUM($CD248:CG248),0)+IF(RIGHT(DG$43,2)&gt;RIGHT($K248,2),CG248,0))</f>
        <v>0</v>
      </c>
      <c r="DH248" s="386">
        <f>+IF($K248="ongoing",CH248,IF(RIGHT($K248,2)=RIGHT(DH$43,2),SUM($CD248:CH248),0)+IF(RIGHT(DH$43,2)&gt;RIGHT($K248,2),CH248,0))</f>
        <v>0</v>
      </c>
      <c r="DI248" s="387">
        <f>+IF($K248="ongoing",CI248,IF(RIGHT($K248,2)=RIGHT(DI$43,2),SUM($CD248:CI248),0)+IF(RIGHT(DI$43,2)&gt;RIGHT($K248,2),CI248,0))</f>
        <v>0</v>
      </c>
      <c r="DJ248" s="387">
        <f>+IF($K248="ongoing",CJ248,IF(RIGHT($K248,2)=RIGHT(DJ$43,2),SUM($CD248:CJ248),0)+IF(RIGHT(DJ$43,2)&gt;RIGHT($K248,2),CJ248,0))</f>
        <v>0</v>
      </c>
      <c r="DK248" s="387">
        <f>+IF($K248="ongoing",CK248,IF(RIGHT($K248,2)=RIGHT(DK$43,2),SUM($CD248:CK248),0)+IF(RIGHT(DK$43,2)&gt;RIGHT($K248,2),CK248,0))</f>
        <v>0</v>
      </c>
      <c r="DL248" s="388">
        <f>+IF($K248="ongoing",CN248,IF(RIGHT($K248,2)=RIGHT(DL$43,2),SUM($CD248:CN248),0)+IF(RIGHT(DL$43,2)&gt;RIGHT($K248,2),CN248,0))</f>
        <v>0</v>
      </c>
      <c r="DM248" s="841"/>
      <c r="DN248" s="386">
        <f t="shared" si="446"/>
        <v>0.5</v>
      </c>
      <c r="DO248" s="387">
        <f t="shared" si="446"/>
        <v>1</v>
      </c>
      <c r="DP248" s="388">
        <f t="shared" si="446"/>
        <v>1</v>
      </c>
      <c r="DQ248" s="386">
        <f t="shared" si="446"/>
        <v>1</v>
      </c>
      <c r="DR248" s="387">
        <f t="shared" si="446"/>
        <v>1</v>
      </c>
      <c r="DS248" s="387">
        <f t="shared" si="446"/>
        <v>1</v>
      </c>
      <c r="DT248" s="387">
        <f t="shared" si="446"/>
        <v>1</v>
      </c>
      <c r="DU248" s="388">
        <f t="shared" si="446"/>
        <v>1</v>
      </c>
      <c r="DW248" s="386">
        <f t="shared" si="447"/>
        <v>0</v>
      </c>
      <c r="DX248" s="387">
        <f t="shared" si="447"/>
        <v>0.5</v>
      </c>
      <c r="DY248" s="388">
        <f t="shared" si="447"/>
        <v>1</v>
      </c>
      <c r="DZ248" s="386">
        <f t="shared" si="447"/>
        <v>1</v>
      </c>
      <c r="EA248" s="387">
        <f t="shared" si="447"/>
        <v>1</v>
      </c>
      <c r="EB248" s="387">
        <f t="shared" si="447"/>
        <v>1</v>
      </c>
      <c r="EC248" s="387">
        <f t="shared" si="447"/>
        <v>1</v>
      </c>
      <c r="ED248" s="388">
        <f t="shared" si="447"/>
        <v>1</v>
      </c>
      <c r="EF248" s="834">
        <f>+IF(DN248=DM248,0,
IF(AND(EF$44&gt;1,DN248=$N248),1-SUM($EE248:EE248),
IF($N248&lt;=1,
IF($N248&gt;0,1/$N248,0),
IF(EF$44=1,0,VDB(1,0,$N248,INT(EF$44-1-1),MIN($N248,INT(EF$44-1-1)+1),$DC248,IF($DD248="No",1,0))/
IF(DM248&gt;=INT($N248),$N248-INT($N248),1)))*
IF(EF$44=1,0,
IF(INT(DN248)=INT(DM248),DN248-DM248,INT(DN248)-DM248))+
IF($N248&lt;=1,
IF($N248&gt;0,1/$N248,0),VDB(1,0,$N248,INT(EF$44-1),MIN($N248,INT(EF$44-1)+1),$DC248,IF($DD248="No",1,0))/
IF(DN248&gt;INT($N248),$N248-INT($N248),1))*
IF(EF$44=1,DN248,
IF(INT(DN248)=INT(DM248),0,DN248-INT(DN248)))))</f>
        <v>0</v>
      </c>
      <c r="EG248" s="835">
        <f>+IF(DO248=DN248,0,
IF(AND(EG$44&gt;1,DO248=$N248),1-SUM($EE248:EF248),
IF($N248&lt;=1,
IF($N248&gt;0,1/$N248,0),
IF(EG$44=1,0,VDB(1,0,$N248,INT(EG$44-1-1),MIN($N248,INT(EG$44-1-1)+1),$DC248,IF($DD248="No",1,0))/
IF(DN248&gt;=INT($N248),$N248-INT($N248),1)))*
IF(EG$44=1,0,
IF(INT(DO248)=INT(DN248),DO248-DN248,INT(DO248)-DN248))+
IF($N248&lt;=1,
IF($N248&gt;0,1/$N248,0),VDB(1,0,$N248,INT(EG$44-1),MIN($N248,INT(EG$44-1)+1),$DC248,IF($DD248="No",1,0))/
IF(DO248&gt;INT($N248),$N248-INT($N248),1))*
IF(EG$44=1,DO248,
IF(INT(DO248)=INT(DN248),0,DO248-INT(DO248)))))</f>
        <v>0</v>
      </c>
      <c r="EH248" s="836">
        <f>+IF(DP248=DO248,0,
IF(AND(EH$44&gt;1,DP248=$N248),1-SUM($EE248:EG248),
IF($N248&lt;=1,
IF($N248&gt;0,1/$N248,0),
IF(EH$44=1,0,VDB(1,0,$N248,INT(EH$44-1-1),MIN($N248,INT(EH$44-1-1)+1),$DC248,IF($DD248="No",1,0))/
IF(DO248&gt;=INT($N248),$N248-INT($N248),1)))*
IF(EH$44=1,0,
IF(INT(DP248)=INT(DO248),DP248-DO248,INT(DP248)-DO248))+
IF($N248&lt;=1,
IF($N248&gt;0,1/$N248,0),VDB(1,0,$N248,INT(EH$44-1),MIN($N248,INT(EH$44-1)+1),$DC248,IF($DD248="No",1,0))/
IF(DP248&gt;INT($N248),$N248-INT($N248),1))*
IF(EH$44=1,DP248,
IF(INT(DP248)=INT(DO248),0,DP248-INT(DP248)))))</f>
        <v>0</v>
      </c>
      <c r="EI248" s="834">
        <f>+IF(DQ248=DP248,0,
IF(AND(EI$44&gt;1,DQ248=$N248),1-SUM($EE248:EH248),
IF($N248&lt;=1,
IF($N248&gt;0,1/$N248,0),
IF(EI$44=1,0,VDB(1,0,$N248,INT(EI$44-1-1),MIN($N248,INT(EI$44-1-1)+1),$DC248,IF($DD248="No",1,0))/
IF(DP248&gt;=INT($N248),$N248-INT($N248),1)))*
IF(EI$44=1,0,
IF(INT(DQ248)=INT(DP248),DQ248-DP248,INT(DQ248)-DP248))+
IF($N248&lt;=1,
IF($N248&gt;0,1/$N248,0),VDB(1,0,$N248,INT(EI$44-1),MIN($N248,INT(EI$44-1)+1),$DC248,IF($DD248="No",1,0))/
IF(DQ248&gt;INT($N248),$N248-INT($N248),1))*
IF(EI$44=1,DQ248,
IF(INT(DQ248)=INT(DP248),0,DQ248-INT(DQ248)))))</f>
        <v>0</v>
      </c>
      <c r="EJ248" s="835">
        <f>+IF(DR248=DQ248,0,
IF(AND(EJ$44&gt;1,DR248=$N248),1-SUM($EE248:EI248),
IF($N248&lt;=1,
IF($N248&gt;0,1/$N248,0),
IF(EJ$44=1,0,VDB(1,0,$N248,INT(EJ$44-1-1),MIN($N248,INT(EJ$44-1-1)+1),$DC248,IF($DD248="No",1,0))/
IF(DQ248&gt;=INT($N248),$N248-INT($N248),1)))*
IF(EJ$44=1,0,
IF(INT(DR248)=INT(DQ248),DR248-DQ248,INT(DR248)-DQ248))+
IF($N248&lt;=1,
IF($N248&gt;0,1/$N248,0),VDB(1,0,$N248,INT(EJ$44-1),MIN($N248,INT(EJ$44-1)+1),$DC248,IF($DD248="No",1,0))/
IF(DR248&gt;INT($N248),$N248-INT($N248),1))*
IF(EJ$44=1,DR248,
IF(INT(DR248)=INT(DQ248),0,DR248-INT(DR248)))))</f>
        <v>0</v>
      </c>
      <c r="EK248" s="835">
        <f>+IF(DS248=DR248,0,
IF(AND(EK$44&gt;1,DS248=$N248),1-SUM($EE248:EJ248),
IF($N248&lt;=1,
IF($N248&gt;0,1/$N248,0),
IF(EK$44=1,0,VDB(1,0,$N248,INT(EK$44-1-1),MIN($N248,INT(EK$44-1-1)+1),$DC248,IF($DD248="No",1,0))/
IF(DR248&gt;=INT($N248),$N248-INT($N248),1)))*
IF(EK$44=1,0,
IF(INT(DS248)=INT(DR248),DS248-DR248,INT(DS248)-DR248))+
IF($N248&lt;=1,
IF($N248&gt;0,1/$N248,0),VDB(1,0,$N248,INT(EK$44-1),MIN($N248,INT(EK$44-1)+1),$DC248,IF($DD248="No",1,0))/
IF(DS248&gt;INT($N248),$N248-INT($N248),1))*
IF(EK$44=1,DS248,
IF(INT(DS248)=INT(DR248),0,DS248-INT(DS248)))))</f>
        <v>0</v>
      </c>
      <c r="EL248" s="835">
        <f>+IF(DT248=DS248,0,
IF(AND(EL$44&gt;1,DT248=$N248),1-SUM($EE248:EK248),
IF($N248&lt;=1,
IF($N248&gt;0,1/$N248,0),
IF(EL$44=1,0,VDB(1,0,$N248,INT(EL$44-1-1),MIN($N248,INT(EL$44-1-1)+1),$DC248,IF($DD248="No",1,0))/
IF(DS248&gt;=INT($N248),$N248-INT($N248),1)))*
IF(EL$44=1,0,
IF(INT(DT248)=INT(DS248),DT248-DS248,INT(DT248)-DS248))+
IF($N248&lt;=1,
IF($N248&gt;0,1/$N248,0),VDB(1,0,$N248,INT(EL$44-1),MIN($N248,INT(EL$44-1)+1),$DC248,IF($DD248="No",1,0))/
IF(DT248&gt;INT($N248),$N248-INT($N248),1))*
IF(EL$44=1,DT248,
IF(INT(DT248)=INT(DS248),0,DT248-INT(DT248)))))</f>
        <v>0</v>
      </c>
      <c r="EM248" s="836">
        <f>+IF(DU248=DT248,0,
IF(AND(EM$44&gt;1,DU248=$N248),1-SUM($EE248:EL248),
IF($N248&lt;=1,
IF($N248&gt;0,1/$N248,0),
IF(EM$44=1,0,VDB(1,0,$N248,INT(EM$44-1-1),MIN($N248,INT(EM$44-1-1)+1),$DC248,IF($DD248="No",1,0))/
IF(DT248&gt;=INT($N248),$N248-INT($N248),1)))*
IF(EM$44=1,0,
IF(INT(DU248)=INT(DT248),DU248-DT248,INT(DU248)-DT248))+
IF($N248&lt;=1,
IF($N248&gt;0,1/$N248,0),VDB(1,0,$N248,INT(EM$44-1),MIN($N248,INT(EM$44-1)+1),$DC248,IF($DD248="No",1,0))/
IF(DU248&gt;INT($N248),$N248-INT($N248),1))*
IF(EM$44=1,DU248,
IF(INT(DU248)=INT(DT248),0,DU248-INT(DU248)))))</f>
        <v>0</v>
      </c>
      <c r="EN248" s="833"/>
      <c r="EO248" s="834">
        <f>+IF(OR(DW248=DV248,EO$44=1),0,
IF(AND(EO$44&gt;1,DW248=$N248),1-SUM($EN248:EN248),
IF($N248&lt;=1,
IF($N248&gt;0,1/$N248,0),
IF(EO$44=2,0,VDB(1,0,$N248,INT(EO$44-2-1),MIN($N248,INT(EO$44-2-1)+1),$DC248,IF($DD248="No",1,0))/
IF(DV248&gt;=INT($N248),$N248-INT($N248),1)))*
IF(EO$44=2,0,
IF(INT(DW248)=INT(DV248),DW248-DV248,INT(DW248)-DV248))+
IF($N248&lt;=1,
IF($N248&gt;0,1/$N248,0),VDB(1,0,$N248,INT(EO$44-2),MIN($N248,INT(EO$44-2)+1),$DC248,IF($DD248="No",1,0))/
IF(DW248&gt;INT($N248),$N248-INT($N248),1))*
IF(EO$44=2,DW248,
IF(INT(DW248)=INT(DV248),0,DW248-INT(DW248)))))</f>
        <v>0</v>
      </c>
      <c r="EP248" s="835">
        <f>+IF(OR(DX248=DW248,EP$44=1),0,
IF(AND(EP$44&gt;1,DX248=$N248),1-SUM($EN248:EO248),
IF($N248&lt;=1,
IF($N248&gt;0,1/$N248,0),
IF(EP$44=2,0,VDB(1,0,$N248,INT(EP$44-2-1),MIN($N248,INT(EP$44-2-1)+1),$DC248,IF($DD248="No",1,0))/
IF(DW248&gt;=INT($N248),$N248-INT($N248),1)))*
IF(EP$44=2,0,
IF(INT(DX248)=INT(DW248),DX248-DW248,INT(DX248)-DW248))+
IF($N248&lt;=1,
IF($N248&gt;0,1/$N248,0),VDB(1,0,$N248,INT(EP$44-2),MIN($N248,INT(EP$44-2)+1),$DC248,IF($DD248="No",1,0))/
IF(DX248&gt;INT($N248),$N248-INT($N248),1))*
IF(EP$44=2,DX248,
IF(INT(DX248)=INT(DW248),0,DX248-INT(DX248)))))</f>
        <v>0</v>
      </c>
      <c r="EQ248" s="836">
        <f>+IF(OR(DY248=DX248,EQ$44=1),0,
IF(AND(EQ$44&gt;1,DY248=$N248),1-SUM($EN248:EP248),
IF($N248&lt;=1,
IF($N248&gt;0,1/$N248,0),
IF(EQ$44=2,0,VDB(1,0,$N248,INT(EQ$44-2-1),MIN($N248,INT(EQ$44-2-1)+1),$DC248,IF($DD248="No",1,0))/
IF(DX248&gt;=INT($N248),$N248-INT($N248),1)))*
IF(EQ$44=2,0,
IF(INT(DY248)=INT(DX248),DY248-DX248,INT(DY248)-DX248))+
IF($N248&lt;=1,
IF($N248&gt;0,1/$N248,0),VDB(1,0,$N248,INT(EQ$44-2),MIN($N248,INT(EQ$44-2)+1),$DC248,IF($DD248="No",1,0))/
IF(DY248&gt;INT($N248),$N248-INT($N248),1))*
IF(EQ$44=2,DY248,
IF(INT(DY248)=INT(DX248),0,DY248-INT(DY248)))))</f>
        <v>0</v>
      </c>
      <c r="ER248" s="834">
        <f>+IF(OR(DZ248=DY248,ER$44=1),0,
IF(AND(ER$44&gt;1,DZ248=$N248),1-SUM($EN248:EQ248),
IF($N248&lt;=1,
IF($N248&gt;0,1/$N248,0),
IF(ER$44=2,0,VDB(1,0,$N248,INT(ER$44-2-1),MIN($N248,INT(ER$44-2-1)+1),$DC248,IF($DD248="No",1,0))/
IF(DY248&gt;=INT($N248),$N248-INT($N248),1)))*
IF(ER$44=2,0,
IF(INT(DZ248)=INT(DY248),DZ248-DY248,INT(DZ248)-DY248))+
IF($N248&lt;=1,
IF($N248&gt;0,1/$N248,0),VDB(1,0,$N248,INT(ER$44-2),MIN($N248,INT(ER$44-2)+1),$DC248,IF($DD248="No",1,0))/
IF(DZ248&gt;INT($N248),$N248-INT($N248),1))*
IF(ER$44=2,DZ248,
IF(INT(DZ248)=INT(DY248),0,DZ248-INT(DZ248)))))</f>
        <v>0</v>
      </c>
      <c r="ES248" s="835">
        <f>+IF(OR(EA248=DZ248,ES$44=1),0,
IF(AND(ES$44&gt;1,EA248=$N248),1-SUM($EN248:ER248),
IF($N248&lt;=1,
IF($N248&gt;0,1/$N248,0),
IF(ES$44=2,0,VDB(1,0,$N248,INT(ES$44-2-1),MIN($N248,INT(ES$44-2-1)+1),$DC248,IF($DD248="No",1,0))/
IF(DZ248&gt;=INT($N248),$N248-INT($N248),1)))*
IF(ES$44=2,0,
IF(INT(EA248)=INT(DZ248),EA248-DZ248,INT(EA248)-DZ248))+
IF($N248&lt;=1,
IF($N248&gt;0,1/$N248,0),VDB(1,0,$N248,INT(ES$44-2),MIN($N248,INT(ES$44-2)+1),$DC248,IF($DD248="No",1,0))/
IF(EA248&gt;INT($N248),$N248-INT($N248),1))*
IF(ES$44=2,EA248,
IF(INT(EA248)=INT(DZ248),0,EA248-INT(EA248)))))</f>
        <v>0</v>
      </c>
      <c r="ET248" s="835">
        <f>+IF(OR(EB248=EA248,ET$44=1),0,
IF(AND(ET$44&gt;1,EB248=$N248),1-SUM($EN248:ES248),
IF($N248&lt;=1,
IF($N248&gt;0,1/$N248,0),
IF(ET$44=2,0,VDB(1,0,$N248,INT(ET$44-2-1),MIN($N248,INT(ET$44-2-1)+1),$DC248,IF($DD248="No",1,0))/
IF(EA248&gt;=INT($N248),$N248-INT($N248),1)))*
IF(ET$44=2,0,
IF(INT(EB248)=INT(EA248),EB248-EA248,INT(EB248)-EA248))+
IF($N248&lt;=1,
IF($N248&gt;0,1/$N248,0),VDB(1,0,$N248,INT(ET$44-2),MIN($N248,INT(ET$44-2)+1),$DC248,IF($DD248="No",1,0))/
IF(EB248&gt;INT($N248),$N248-INT($N248),1))*
IF(ET$44=2,EB248,
IF(INT(EB248)=INT(EA248),0,EB248-INT(EB248)))))</f>
        <v>0</v>
      </c>
      <c r="EU248" s="835">
        <f>+IF(OR(EC248=EB248,EU$44=1),0,
IF(AND(EU$44&gt;1,EC248=$N248),1-SUM($EN248:ET248),
IF($N248&lt;=1,
IF($N248&gt;0,1/$N248,0),
IF(EU$44=2,0,VDB(1,0,$N248,INT(EU$44-2-1),MIN($N248,INT(EU$44-2-1)+1),$DC248,IF($DD248="No",1,0))/
IF(EB248&gt;=INT($N248),$N248-INT($N248),1)))*
IF(EU$44=2,0,
IF(INT(EC248)=INT(EB248),EC248-EB248,INT(EC248)-EB248))+
IF($N248&lt;=1,
IF($N248&gt;0,1/$N248,0),VDB(1,0,$N248,INT(EU$44-2),MIN($N248,INT(EU$44-2)+1),$DC248,IF($DD248="No",1,0))/
IF(EC248&gt;INT($N248),$N248-INT($N248),1))*
IF(EU$44=2,EC248,
IF(INT(EC248)=INT(EB248),0,EC248-INT(EC248)))))</f>
        <v>0</v>
      </c>
      <c r="EV248" s="836">
        <f>+IF(OR(ED248=EC248,EV$44=1),0,
IF(AND(EV$44&gt;1,ED248=$N248),1-SUM($EN248:EU248),
IF($N248&lt;=1,
IF($N248&gt;0,1/$N248,0),
IF(EV$44=2,0,VDB(1,0,$N248,INT(EV$44-2-1),MIN($N248,INT(EV$44-2-1)+1),$DC248,IF($DD248="No",1,0))/
IF(EC248&gt;=INT($N248),$N248-INT($N248),1)))*
IF(EV$44=2,0,
IF(INT(ED248)=INT(EC248),ED248-EC248,INT(ED248)-EC248))+
IF($N248&lt;=1,
IF($N248&gt;0,1/$N248,0),VDB(1,0,$N248,INT(EV$44-2),MIN($N248,INT(EV$44-2)+1),$DC248,IF($DD248="No",1,0))/
IF(ED248&gt;INT($N248),$N248-INT($N248),1))*
IF(EV$44=2,ED248,
IF(INT(ED248)=INT(EC248),0,ED248-INT(ED248)))))</f>
        <v>0</v>
      </c>
      <c r="EW248" s="833"/>
      <c r="EX248" s="834">
        <f t="shared" ca="1" si="448"/>
        <v>0</v>
      </c>
      <c r="EY248" s="835">
        <f t="shared" ca="1" si="448"/>
        <v>0</v>
      </c>
      <c r="EZ248" s="836">
        <f t="shared" ca="1" si="448"/>
        <v>0</v>
      </c>
      <c r="FA248" s="834">
        <f t="shared" ca="1" si="448"/>
        <v>0</v>
      </c>
      <c r="FB248" s="835">
        <f t="shared" ca="1" si="448"/>
        <v>0</v>
      </c>
      <c r="FC248" s="835">
        <f t="shared" ca="1" si="448"/>
        <v>0</v>
      </c>
      <c r="FD248" s="835">
        <f t="shared" ca="1" si="448"/>
        <v>0</v>
      </c>
      <c r="FE248" s="836">
        <f t="shared" ca="1" si="448"/>
        <v>0</v>
      </c>
      <c r="FG248" s="386">
        <f t="shared" ca="1" si="449"/>
        <v>0</v>
      </c>
      <c r="FH248" s="387">
        <f t="shared" ca="1" si="450"/>
        <v>0</v>
      </c>
      <c r="FI248" s="388">
        <f t="shared" ca="1" si="451"/>
        <v>0</v>
      </c>
      <c r="FJ248" s="386">
        <f t="shared" ca="1" si="452"/>
        <v>0</v>
      </c>
      <c r="FK248" s="387">
        <f t="shared" ca="1" si="453"/>
        <v>0</v>
      </c>
      <c r="FL248" s="387">
        <f t="shared" ca="1" si="454"/>
        <v>0</v>
      </c>
      <c r="FM248" s="387">
        <f t="shared" ca="1" si="455"/>
        <v>0</v>
      </c>
      <c r="FN248" s="388">
        <f t="shared" ca="1" si="456"/>
        <v>0</v>
      </c>
      <c r="FR248" s="116"/>
    </row>
    <row r="249" spans="2:174">
      <c r="B249" s="1410">
        <f t="shared" si="359"/>
        <v>203</v>
      </c>
      <c r="C249" s="400"/>
      <c r="D249" s="410"/>
      <c r="E249" s="402"/>
      <c r="F249" s="402"/>
      <c r="G249" s="400"/>
      <c r="H249" s="2088"/>
      <c r="I249" s="2089"/>
      <c r="J249" s="411"/>
      <c r="K249" s="403"/>
      <c r="L249" s="403"/>
      <c r="M249" s="403"/>
      <c r="N249" s="403"/>
      <c r="O249" s="347"/>
      <c r="P249" s="347"/>
      <c r="Q249" s="1021"/>
      <c r="R249" s="1022"/>
      <c r="S249" s="1022"/>
      <c r="T249" s="1022"/>
      <c r="U249" s="1023"/>
      <c r="V249" s="1021"/>
      <c r="W249" s="1022"/>
      <c r="X249" s="1022"/>
      <c r="Y249" s="1022"/>
      <c r="Z249" s="1023"/>
      <c r="AA249" s="1024"/>
      <c r="AB249" s="1021"/>
      <c r="AC249" s="1022"/>
      <c r="AD249" s="1022"/>
      <c r="AE249" s="1022"/>
      <c r="AF249" s="1023"/>
      <c r="AG249" s="1021"/>
      <c r="AH249" s="1022"/>
      <c r="AI249" s="1022"/>
      <c r="AJ249" s="1022"/>
      <c r="AK249" s="1023"/>
      <c r="AL249" s="1024"/>
      <c r="AM249" s="1021"/>
      <c r="AN249" s="1022"/>
      <c r="AO249" s="1022"/>
      <c r="AP249" s="1022"/>
      <c r="AQ249" s="1023"/>
      <c r="AR249" s="1021"/>
      <c r="AS249" s="1022"/>
      <c r="AT249" s="1022"/>
      <c r="AU249" s="1022"/>
      <c r="AV249" s="1023"/>
      <c r="AW249" s="1025"/>
      <c r="AX249" s="1282">
        <f t="shared" ref="AX249:AX308" si="457">+Q249-AB249-AM249</f>
        <v>0</v>
      </c>
      <c r="AY249" s="387">
        <f t="shared" ref="AY249:AY308" si="458">+R249-AC249-AN249</f>
        <v>0</v>
      </c>
      <c r="AZ249" s="387">
        <f t="shared" ref="AZ249:AZ308" si="459">+S249-AD249-AO249</f>
        <v>0</v>
      </c>
      <c r="BA249" s="387">
        <f t="shared" ref="BA249:BA308" si="460">+T249-AE249-AP249</f>
        <v>0</v>
      </c>
      <c r="BB249" s="1283">
        <f t="shared" ref="BB249:BB308" si="461">+U249-AF249-AQ249</f>
        <v>0</v>
      </c>
      <c r="BC249" s="386">
        <f t="shared" ref="BC249:BC308" si="462">+V249-AG249-AR249</f>
        <v>0</v>
      </c>
      <c r="BD249" s="387">
        <f t="shared" ref="BD249:BD308" si="463">+W249-AH249-AS249</f>
        <v>0</v>
      </c>
      <c r="BE249" s="1277">
        <f t="shared" ref="BE249:BE308" si="464">+X249-AI249-AT249</f>
        <v>0</v>
      </c>
      <c r="BF249" s="1277">
        <f t="shared" ref="BF249:BF308" si="465">+Y249-AJ249-AU249</f>
        <v>0</v>
      </c>
      <c r="BG249" s="388">
        <f t="shared" ref="BG249:BG308" si="466">+Z249-AK249-AV249</f>
        <v>0</v>
      </c>
      <c r="BH249" s="1025"/>
      <c r="BI249" s="1282">
        <f t="shared" ref="BI249:BI308" ca="1" si="467">IF($L249=0,0,
IF($L249&lt;=0.5,BT249,
IF($J249="straight line",
IF((LEFT(BI$43,4)*1)-INT($L249)&lt;LEFT($BI$43,4)*1,0,((OFFSET(BT249,0,-INT($L249+0.5),1,1))/$L249)*(IF($L249-INT($L249)&gt;0.5,$L249-0.5-INT($L249),IF($L249-INT($L249)&lt;=0.5,$L249-0.5-INT($L249)+1,0))))
+BT249/$L249*0.5,
IF($J249="Declining Balance",-$BI$42,0))))</f>
        <v>0</v>
      </c>
      <c r="BJ249" s="387">
        <f t="shared" ref="BJ249:BJ308" ca="1" si="468">IF($L249=0,0,
IF($L249&lt;=0.5,BU249,
IF(AND($J249="straight line",$L249&lt;1.51),(BT249-((BT249/$L249)*0.5))+BU249/$L249*0.5,
IF($J249="straight line",
IF((LEFT(BJ$43,4)*1)-INT($L249)&lt;LEFT($BI$43,4)*1,0,((OFFSET(BU249,0,-INT($L249+0.5),1,1))/$L249)*(IF($L249-INT($L249)&gt;0.5,$L249-0.5-INT($L249),IF($L249-INT($L249)&lt;=0.5,$L249-0.5-INT($L249)+1,0))))
+BU249/$L249*0.5
+SUM(OFFSET(BU249,0,MAX(-INT($L249+(0.5-(10^-12))),-BJ$44)+1,1,MIN(INT($L249+(0.5-(10^-12))),BJ$44)-1))*1/$L249,
IF($J249="Declining Balance",-$BI$42,0)))))</f>
        <v>0</v>
      </c>
      <c r="BK249" s="387">
        <f t="shared" ref="BK249:BK308" ca="1" si="469">IF($L249=0,0,
IF($L249&lt;=0.5,BV249,
IF(AND($J249="straight line",$L249&lt;1.51),(BU249-((BU249/$L249)*0.5))+BV249/$L249*0.5,
IF($J249="straight line",
IF((LEFT(BK$43,4)*1)-INT($L249)&lt;LEFT($BI$43,4)*1,0,((OFFSET(BV249,0,-INT($L249+0.5),1,1))/$L249)*(IF($L249-INT($L249)&gt;0.5,$L249-0.5-INT($L249),IF($L249-INT($L249)&lt;=0.5,$L249-0.5-INT($L249)+1,0))))
+BV249/$L249*0.5
+SUM(OFFSET(BV249,0,MAX(-INT($L249+(0.5-(10^-12))),-BK$44)+1,1,MIN(INT($L249+(0.5-(10^-12))),BK$44)-1))*1/$L249,
IF($J249="Declining Balance",-$BI$42,0)))))</f>
        <v>0</v>
      </c>
      <c r="BL249" s="387">
        <f t="shared" ref="BL249:BL308" ca="1" si="470">IF($L249=0,0,
IF($L249&lt;=0.5,BW249,
IF(AND($J249="straight line",$L249&lt;1.51),(BV249-((BV249/$L249)*0.5))+BW249/$L249*0.5,
IF($J249="straight line",
IF((LEFT(BL$43,4)*1)-INT($L249)&lt;LEFT($BI$43,4)*1,0,((OFFSET(BW249,0,-INT($L249+0.5),1,1))/$L249)*(IF($L249-INT($L249)&gt;0.5,$L249-0.5-INT($L249),IF($L249-INT($L249)&lt;=0.5,$L249-0.5-INT($L249)+1,0))))
+BW249/$L249*0.5
+SUM(OFFSET(BW249,0,MAX(-INT($L249+(0.5-(10^-12))),-BL$44)+1,1,MIN(INT($L249+(0.5-(10^-12))),BL$44)-1))*1/$L249,
IF($J249="Declining Balance",-$BI$42,0)))))</f>
        <v>0</v>
      </c>
      <c r="BM249" s="1283">
        <f t="shared" ref="BM249:BM308" ca="1" si="471">IF($L249=0,0,
IF($L249&lt;=0.5,BX249,
IF(AND($J249="straight line",$L249&lt;1.51),(BW249-((BW249/$L249)*0.5))+BX249/$L249*0.5,
IF($J249="straight line",
IF((LEFT(BM$43,4)*1)-INT($L249)&lt;LEFT($BI$43,4)*1,0,((OFFSET(BX249,0,-INT($L249+0.5),1,1))/$L249)*(IF($L249-INT($L249)&gt;0.5,$L249-0.5-INT($L249),IF($L249-INT($L249)&lt;=0.5,$L249-0.5-INT($L249)+1,0))))
+BX249/$L249*0.5
+SUM(OFFSET(BX249,0,MAX(-INT($L249+(0.5-(10^-12))),-BM$44)+1,1,MIN(INT($L249+(0.5-(10^-12))),BM$44)-1))*1/$L249,
IF($J249="Declining Balance",-$BI$42,0)))))</f>
        <v>0</v>
      </c>
      <c r="BN249" s="386">
        <f t="shared" ref="BN249:BN308" ca="1" si="472">IF($L249=0,0,
IF($L249&lt;=0.5,BY249,
IF(AND($J249="straight line",$L249&lt;1.51),(BX249-((BX249/$L249)*0.5))+BY249/$L249*0.5,
IF($J249="straight line",
IF((LEFT(BN$43,4)*1)-INT($L249)&lt;LEFT($BI$43,4)*1,0,((OFFSET(BY249,0,-INT($L249+0.5),1,1))/$L249)*(IF($L249-INT($L249)&gt;0.5,$L249-0.5-INT($L249),IF($L249-INT($L249)&lt;=0.5,$L249-0.5-INT($L249)+1,0))))
+BY249/$L249*0.5
+SUM(OFFSET(BY249,0,MAX(-INT($L249+(0.5-(10^-12))),-BN$44)+1,1,MIN(INT($L249+(0.5-(10^-12))),BN$44)-1))*1/$L249,
IF($J249="Declining Balance",-$BI$42,0)))))</f>
        <v>0</v>
      </c>
      <c r="BO249" s="387">
        <f t="shared" ref="BO249:BO308" ca="1" si="473">IF($L249=0,0,
IF($L249&lt;=0.5,BZ249,
IF(AND($J249="straight line",$L249&lt;1.51),(BY249-((BY249/$L249)*0.5))+BZ249/$L249*0.5,
IF($J249="straight line",
IF((LEFT(BO$43,4)*1)-INT($L249)&lt;LEFT($BI$43,4)*1,0,((OFFSET(BZ249,0,-INT($L249+0.5),1,1))/$L249)*(IF($L249-INT($L249)&gt;0.5,$L249-0.5-INT($L249),IF($L249-INT($L249)&lt;=0.5,$L249-0.5-INT($L249)+1,0))))
+BZ249/$L249*0.5
+SUM(OFFSET(BZ249,0,MAX(-INT($L249+(0.5-(10^-12))),-BO$44)+1,1,MIN(INT($L249+(0.5-(10^-12))),BO$44)-1))*1/$L249,
IF($J249="Declining Balance",-$BI$42,0)))))</f>
        <v>0</v>
      </c>
      <c r="BP249" s="1277">
        <f t="shared" ref="BP249:BP308" ca="1" si="474">IF($L249=0,0,
IF($L249&lt;=0.5,CA249,
IF(AND($J249="straight line",$L249&lt;1.51),(BZ249-((BZ249/$L249)*0.5))+CA249/$L249*0.5,
IF($J249="straight line",
IF((LEFT(BP$43,4)*1)-INT($L249)&lt;LEFT($BI$43,4)*1,0,((OFFSET(CA249,0,-INT($L249+0.5),1,1))/$L249)*(IF($L249-INT($L249)&gt;0.5,$L249-0.5-INT($L249),IF($L249-INT($L249)&lt;=0.5,$L249-0.5-INT($L249)+1,0))))
+CA249/$L249*0.5
+SUM(OFFSET(CA249,0,MAX(-INT($L249+(0.5-(10^-12))),-BP$44)+1,1,MIN(INT($L249+(0.5-(10^-12))),BP$44)-1))*1/$L249,
IF($J249="Declining Balance",-$BI$42,0)))))</f>
        <v>0</v>
      </c>
      <c r="BQ249" s="1277">
        <f t="shared" ref="BQ249:BQ308" ca="1" si="475">IF($L249=0,0,
IF($L249&lt;=0.5,CB249,
IF(AND($J249="straight line",$L249&lt;1.51),(CA249-((CA249/$L249)*0.5))+CB249/$L249*0.5,
IF($J249="straight line",
IF((LEFT(BQ$43,4)*1)-INT($L249)&lt;LEFT($BI$43,4)*1,0,((OFFSET(CB249,0,-INT($L249+0.5),1,1))/$L249)*(IF($L249-INT($L249)&gt;0.5,$L249-0.5-INT($L249),IF($L249-INT($L249)&lt;=0.5,$L249-0.5-INT($L249)+1,0))))
+CB249/$L249*0.5
+SUM(OFFSET(CB249,0,MAX(-INT($L249+(0.5-(10^-12))),-BQ$44)+1,1,MIN(INT($L249+(0.5-(10^-12))),BQ$44)-1))*1/$L249,
IF($J249="Declining Balance",-$BI$42,0)))))</f>
        <v>0</v>
      </c>
      <c r="BR249" s="388">
        <f t="shared" ref="BR249:BR308" ca="1" si="476">IF($L249=0,0,
IF($L249&lt;=0.5,CC249,
IF(AND($J249="straight line",$L249&lt;1.51),(CB249-((CB249/$L249)*0.5))+CC249/$L249*0.5,
IF($J249="straight line",
IF((LEFT(BR$43,4)*1)-INT($L249)&lt;LEFT($BI$43,4)*1,0,((OFFSET(CC249,0,-INT($L249+0.5),1,1))/$L249)*(IF($L249-INT($L249)&gt;0.5,$L249-0.5-INT($L249),IF($L249-INT($L249)&lt;=0.5,$L249-0.5-INT($L249)+1,0))))
+CC249/$L249*0.5
+SUM(OFFSET(CC249,0,MAX(-INT($L249+(0.5-(10^-12))),-BR$44)+1,1,MIN(INT($L249+(0.5-(10^-12))),BR$44)-1))*1/$L249,
IF($J249="Declining Balance",-$BI$42,0)))))</f>
        <v>0</v>
      </c>
      <c r="BS249" s="1025"/>
      <c r="BT249" s="1282">
        <f>+IF($K249="Ongoing",AX249,IF(RIGHT($K249,2)=RIGHT(BT$43,2),SUM($AX249:AX249),0)+IF(RIGHT(BT$43,2)&gt;RIGHT($K249,2),AX249,0))</f>
        <v>0</v>
      </c>
      <c r="BU249" s="387">
        <f>+IF($K249="Ongoing",AY249,IF(RIGHT($K249,2)=RIGHT(BU$43,2),SUM($AX249:AY249),0)+IF(RIGHT(BU$43,2)&gt;RIGHT($K249,2),AY249,0))</f>
        <v>0</v>
      </c>
      <c r="BV249" s="387">
        <f>+IF($K249="Ongoing",AZ249,IF(RIGHT($K249,2)=RIGHT(BV$43,2),SUM($AX249:AZ249),0)+IF(RIGHT(BV$43,2)&gt;RIGHT($K249,2),AZ249,0))</f>
        <v>0</v>
      </c>
      <c r="BW249" s="387">
        <f>+IF($K249="Ongoing",BA249,IF(RIGHT($K249,2)=RIGHT(BW$43,2),SUM($AX249:BA249),0)+IF(RIGHT(BW$43,2)&gt;RIGHT($K249,2),BA249,0))</f>
        <v>0</v>
      </c>
      <c r="BX249" s="1283">
        <f>+IF($K249="Ongoing",BB249,IF(RIGHT($K249,2)=RIGHT(BX$43,2),SUM($AX249:BB249),0)+IF(RIGHT(BX$43,2)&gt;RIGHT($K249,2),BB249,0))</f>
        <v>0</v>
      </c>
      <c r="BY249" s="386">
        <f>+IF($K249="Ongoing",BC249,IF(RIGHT($K249,2)=RIGHT(BY$43,2),SUM($AX249:BC249),0)+IF(RIGHT(BY$43,2)&gt;RIGHT($K249,2),BC249,0))</f>
        <v>0</v>
      </c>
      <c r="BZ249" s="387">
        <f>+IF($K249="Ongoing",BD249,IF(RIGHT($K249,2)=RIGHT(BZ$43,2),SUM($AX249:BD249),0)+IF(RIGHT(BZ$43,2)&gt;RIGHT($K249,2),BD249,0))</f>
        <v>0</v>
      </c>
      <c r="CA249" s="1277">
        <f>+IF($K249="Ongoing",BE249,IF(RIGHT($K249,2)=RIGHT(CA$43,2),SUM($AX249:BE249),0)+IF(RIGHT(CA$43,2)&gt;RIGHT($K249,2),BE249,0))</f>
        <v>0</v>
      </c>
      <c r="CB249" s="1277">
        <f>+IF($K249="Ongoing",BF249,IF(RIGHT($K249,2)=RIGHT(CB$43,2),SUM($AX249:BF249),0)+IF(RIGHT(CB$43,2)&gt;RIGHT($K249,2),BF249,0))</f>
        <v>0</v>
      </c>
      <c r="CC249" s="388">
        <f>+IF($K249="Ongoing",BG249,IF(RIGHT($K249,2)=RIGHT(CC$43,2),SUM($AX249:BG249),0)+IF(RIGHT(CC$43,2)&gt;RIGHT($K249,2),BG249,0))</f>
        <v>0</v>
      </c>
      <c r="CD249" s="1025"/>
      <c r="CE249" s="1282">
        <f>+Q249*KeyAssumptionsPriceControl_FO!AF$15</f>
        <v>0</v>
      </c>
      <c r="CF249" s="387">
        <f>+R249*KeyAssumptionsPriceControl_FO!AG$15</f>
        <v>0</v>
      </c>
      <c r="CG249" s="387">
        <f>+S249*KeyAssumptionsPriceControl_FO!AH$15</f>
        <v>0</v>
      </c>
      <c r="CH249" s="387">
        <f>+T249*KeyAssumptionsPriceControl_FO!AI$15</f>
        <v>0</v>
      </c>
      <c r="CI249" s="1283">
        <f>+U249*KeyAssumptionsPriceControl_FO!AJ$15</f>
        <v>0</v>
      </c>
      <c r="CJ249" s="386">
        <f>+V249*KeyAssumptionsPriceControl_FO!AK$15</f>
        <v>0</v>
      </c>
      <c r="CK249" s="387">
        <f>+W249*KeyAssumptionsPriceControl_FO!AL$15</f>
        <v>0</v>
      </c>
      <c r="CL249" s="1277">
        <f>+X249*KeyAssumptionsPriceControl_FO!AM$15</f>
        <v>0</v>
      </c>
      <c r="CM249" s="1277">
        <f>+Y249*KeyAssumptionsPriceControl_FO!AN$15</f>
        <v>0</v>
      </c>
      <c r="CN249" s="388">
        <f>+Z249*KeyAssumptionsPriceControl_FO!AO$15</f>
        <v>0</v>
      </c>
      <c r="CO249" s="1025"/>
      <c r="CP249" s="1282">
        <f t="shared" ref="CP249:CP308" ca="1" si="477">IF($M249="straight line",IF($N249=0,0,
IF($N249&lt;=0.5,CE249,
IF($J249="straight line",
IF((LEFT(CP$43,4)*1)-INT($N249)&lt;LEFT($CP$43,4)*1,0,((OFFSET(CE249,0,-INT($N249+0.5),1,1))/$N249)*(IF($N249-INT($N249)&gt;0.5,$N249-0.5-INT($N249),IF($N249-INT($N249)&lt;=0.5,$N249-0.5-INT($N249)+1,0))))
+CE249/$N249*0.5,
IF($J249="Declining Balance",-$CP$42,0)))),IFERROR(FG249,0))</f>
        <v>0</v>
      </c>
      <c r="CQ249" s="387">
        <f t="shared" ref="CQ249:CQ308" ca="1" si="478">IF($M249="straight line",IF($N249=0,0,
IF($N249&lt;=0.5,CF249,
IF($J249="straight line",
IF((LEFT(CQ$43,4)*1)-INT($N249)&lt;LEFT($CP$43,4)*1,0,((OFFSET(CF249,0,-INT($N249+0.5),1,1))/$N249)*(IF($N249-INT($N249)&gt;0.5,$N249-0.5-INT($N249),IF($N249-INT($N249)&lt;=0.5,$N249-0.5-INT($N249)+1,0))))
+CF249/$N249*0.5,
IF($J249="Declining Balance",-$CP$42,0)))),IFERROR(FH249,0))</f>
        <v>0</v>
      </c>
      <c r="CR249" s="387">
        <f t="shared" ref="CR249:CR308" ca="1" si="479">IF($M249="straight line",IF($N249=0,0,
IF($N249&lt;=0.5,CG249,
IF($J249="straight line",
IF((LEFT(CR$43,4)*1)-INT($N249)&lt;LEFT($CP$43,4)*1,0,((OFFSET(CG249,0,-INT($N249+0.5),1,1))/$N249)*(IF($N249-INT($N249)&gt;0.5,$N249-0.5-INT($N249),IF($N249-INT($N249)&lt;=0.5,$N249-0.5-INT($N249)+1,0))))
+CG249/$N249*0.5,
IF($J249="Declining Balance",-$CP$42,0)))),IFERROR(FI249,0))</f>
        <v>0</v>
      </c>
      <c r="CS249" s="387">
        <f t="shared" ref="CS249:CS308" ca="1" si="480">IF($M249="straight line",IF($N249=0,0,
IF($N249&lt;=0.5,CH249,
IF($J249="straight line",
IF((LEFT(CS$43,4)*1)-INT($N249)&lt;LEFT($CP$43,4)*1,0,((OFFSET(CH249,0,-INT($N249+0.5),1,1))/$N249)*(IF($N249-INT($N249)&gt;0.5,$N249-0.5-INT($N249),IF($N249-INT($N249)&lt;=0.5,$N249-0.5-INT($N249)+1,0))))
+CH249/$N249*0.5,
IF($J249="Declining Balance",-$CP$42,0)))),IFERROR(FJ249,0))</f>
        <v>0</v>
      </c>
      <c r="CT249" s="1283">
        <f t="shared" ref="CT249:CT308" ca="1" si="481">IF($M249="straight line",IF($N249=0,0,
IF($N249&lt;=0.5,CI249,
IF($J249="straight line",
IF((LEFT(CT$43,4)*1)-INT($N249)&lt;LEFT($CP$43,4)*1,0,((OFFSET(CI249,0,-INT($N249+0.5),1,1))/$N249)*(IF($N249-INT($N249)&gt;0.5,$N249-0.5-INT($N249),IF($N249-INT($N249)&lt;=0.5,$N249-0.5-INT($N249)+1,0))))
+CI249/$N249*0.5,
IF($J249="Declining Balance",-$CP$42,0)))),IFERROR(FK249,0))</f>
        <v>0</v>
      </c>
      <c r="CU249" s="386">
        <f t="shared" ref="CU249:CU308" ca="1" si="482">IF($M249="straight line",IF($N249=0,0,
IF($N249&lt;=0.5,CJ249,
IF($J249="straight line",
IF((LEFT(CU$43,4)*1)-INT($N249)&lt;LEFT($CP$43,4)*1,0,((OFFSET(CJ249,0,-INT($N249+0.5),1,1))/$N249)*(IF($N249-INT($N249)&gt;0.5,$N249-0.5-INT($N249),IF($N249-INT($N249)&lt;=0.5,$N249-0.5-INT($N249)+1,0))))
+CJ249/$N249*0.5,
IF($J249="Declining Balance",-$CP$42,0)))),IFERROR(FL249,0))</f>
        <v>0</v>
      </c>
      <c r="CV249" s="387">
        <f t="shared" ref="CV249:CV308" ca="1" si="483">IF($M249="straight line",IF($N249=0,0,
IF($N249&lt;=0.5,CK249,
IF($J249="straight line",
IF((LEFT(CV$43,4)*1)-INT($N249)&lt;LEFT($CP$43,4)*1,0,((OFFSET(CK249,0,-INT($N249+0.5),1,1))/$N249)*(IF($N249-INT($N249)&gt;0.5,$N249-0.5-INT($N249),IF($N249-INT($N249)&lt;=0.5,$N249-0.5-INT($N249)+1,0))))
+CK249/$N249*0.5,
IF($J249="Declining Balance",-$CP$42,0)))),IFERROR(FM249,0))</f>
        <v>0</v>
      </c>
      <c r="CW249" s="1277">
        <f t="shared" ref="CW249:CW308" ca="1" si="484">IF($M249="straight line",IF($N249=0,0,
IF($N249&lt;=0.5,CL249,
IF($J249="straight line",
IF((LEFT(CW$43,4)*1)-INT($N249)&lt;LEFT($CP$43,4)*1,0,((OFFSET(CL249,0,-INT($N249+0.5),1,1))/$N249)*(IF($N249-INT($N249)&gt;0.5,$N249-0.5-INT($N249),IF($N249-INT($N249)&lt;=0.5,$N249-0.5-INT($N249)+1,0))))
+CL249/$N249*0.5,
IF($J249="Declining Balance",-$CP$42,0)))),IFERROR(FN249,0))</f>
        <v>0</v>
      </c>
      <c r="CX249" s="1277">
        <f t="shared" ref="CX249:CX308" ca="1" si="485">IF($M249="straight line",IF($N249=0,0,
IF($N249&lt;=0.5,CM249,
IF($J249="straight line",
IF((LEFT(CX$43,4)*1)-INT($N249)&lt;LEFT($CP$43,4)*1,0,((OFFSET(CM249,0,-INT($N249+0.5),1,1))/$N249)*(IF($N249-INT($N249)&gt;0.5,$N249-0.5-INT($N249),IF($N249-INT($N249)&lt;=0.5,$N249-0.5-INT($N249)+1,0))))
+CM249/$N249*0.5,
IF($J249="Declining Balance",-$CP$42,0)))),IFERROR(FO249,0))</f>
        <v>0</v>
      </c>
      <c r="CY249" s="388">
        <f t="shared" ref="CY249:CY308" ca="1" si="486">IF($M249="straight line",IF($N249=0,0,
IF($N249&lt;=0.5,CN249,
IF($J249="straight line",
IF((LEFT(CY$43,4)*1)-INT($N249)&lt;LEFT($CP$43,4)*1,0,((OFFSET(CN249,0,-INT($N249+0.5),1,1))/$N249)*(IF($N249-INT($N249)&gt;0.5,$N249-0.5-INT($N249),IF($N249-INT($N249)&lt;=0.5,$N249-0.5-INT($N249)+1,0))))
+CN249/$N249*0.5,
IF($J249="Declining Balance",-$CP$42,0)))),IFERROR(FP249,0))</f>
        <v>0</v>
      </c>
      <c r="CZ249" s="347"/>
      <c r="DA249" s="852"/>
      <c r="DB249" s="347"/>
      <c r="DC249" s="1012" t="s">
        <v>532</v>
      </c>
      <c r="DD249" s="841" t="s">
        <v>518</v>
      </c>
      <c r="DE249" s="386">
        <f>+IF($K249="ongoing",CE249,IF(RIGHT($K249,2)=RIGHT(DE$43,2),SUM($CD249:CE249),0)+IF(RIGHT(DE$43,2)&gt;RIGHT($K249,2),CE249,0))</f>
        <v>0</v>
      </c>
      <c r="DF249" s="387">
        <f>+IF($K249="ongoing",CF249,IF(RIGHT($K249,2)=RIGHT(DF$43,2),SUM($CD249:CF249),0)+IF(RIGHT(DF$43,2)&gt;RIGHT($K249,2),CF249,0))</f>
        <v>0</v>
      </c>
      <c r="DG249" s="388">
        <f>+IF($K249="ongoing",CG249,IF(RIGHT($K249,2)=RIGHT(DG$43,2),SUM($CD249:CG249),0)+IF(RIGHT(DG$43,2)&gt;RIGHT($K249,2),CG249,0))</f>
        <v>0</v>
      </c>
      <c r="DH249" s="386">
        <f>+IF($K249="ongoing",CH249,IF(RIGHT($K249,2)=RIGHT(DH$43,2),SUM($CD249:CH249),0)+IF(RIGHT(DH$43,2)&gt;RIGHT($K249,2),CH249,0))</f>
        <v>0</v>
      </c>
      <c r="DI249" s="387">
        <f>+IF($K249="ongoing",CI249,IF(RIGHT($K249,2)=RIGHT(DI$43,2),SUM($CD249:CI249),0)+IF(RIGHT(DI$43,2)&gt;RIGHT($K249,2),CI249,0))</f>
        <v>0</v>
      </c>
      <c r="DJ249" s="387">
        <f>+IF($K249="ongoing",CJ249,IF(RIGHT($K249,2)=RIGHT(DJ$43,2),SUM($CD249:CJ249),0)+IF(RIGHT(DJ$43,2)&gt;RIGHT($K249,2),CJ249,0))</f>
        <v>0</v>
      </c>
      <c r="DK249" s="387">
        <f>+IF($K249="ongoing",CK249,IF(RIGHT($K249,2)=RIGHT(DK$43,2),SUM($CD249:CK249),0)+IF(RIGHT(DK$43,2)&gt;RIGHT($K249,2),CK249,0))</f>
        <v>0</v>
      </c>
      <c r="DL249" s="388">
        <f>+IF($K249="ongoing",CN249,IF(RIGHT($K249,2)=RIGHT(DL$43,2),SUM($CD249:CN249),0)+IF(RIGHT(DL$43,2)&gt;RIGHT($K249,2),CN249,0))</f>
        <v>0</v>
      </c>
      <c r="DM249" s="841"/>
      <c r="DN249" s="386">
        <f t="shared" ref="DN249:DN308" si="487">+MIN(IF($N249&lt;=$DC249,MIN($N249,1),$N249),IF(DN$44=1,0.5,DM249+1))</f>
        <v>0.5</v>
      </c>
      <c r="DO249" s="387">
        <f t="shared" ref="DO249:DO308" si="488">+MIN(IF($N249&lt;=$DC249,MIN($N249,1),$N249),IF(DO$44=1,0.5,DN249+1))</f>
        <v>1</v>
      </c>
      <c r="DP249" s="388">
        <f t="shared" ref="DP249:DP308" si="489">+MIN(IF($N249&lt;=$DC249,MIN($N249,1),$N249),IF(DP$44=1,0.5,DO249+1))</f>
        <v>1</v>
      </c>
      <c r="DQ249" s="386">
        <f t="shared" ref="DQ249:DQ308" si="490">+MIN(IF($N249&lt;=$DC249,MIN($N249,1),$N249),IF(DQ$44=1,0.5,DP249+1))</f>
        <v>1</v>
      </c>
      <c r="DR249" s="387">
        <f t="shared" ref="DR249:DR308" si="491">+MIN(IF($N249&lt;=$DC249,MIN($N249,1),$N249),IF(DR$44=1,0.5,DQ249+1))</f>
        <v>1</v>
      </c>
      <c r="DS249" s="387">
        <f t="shared" ref="DS249:DS308" si="492">+MIN(IF($N249&lt;=$DC249,MIN($N249,1),$N249),IF(DS$44=1,0.5,DR249+1))</f>
        <v>1</v>
      </c>
      <c r="DT249" s="387">
        <f t="shared" ref="DT249:DT308" si="493">+MIN(IF($N249&lt;=$DC249,MIN($N249,1),$N249),IF(DT$44=1,0.5,DS249+1))</f>
        <v>1</v>
      </c>
      <c r="DU249" s="388">
        <f t="shared" ref="DU249:DU308" si="494">+MIN(IF($N249&lt;=$DC249,MIN($N249,1),$N249),IF(DU$44=1,0.5,DT249+1))</f>
        <v>1</v>
      </c>
      <c r="DW249" s="386">
        <f t="shared" ref="DW249:DW308" si="495">+IF(DW$44=1,0,MIN(IF($N249&lt;=$DC249,MIN($N249,1),$N249),IF(DW$44=2,0.5,DV249+1)))</f>
        <v>0</v>
      </c>
      <c r="DX249" s="387">
        <f t="shared" ref="DX249:DX308" si="496">+IF(DX$44=1,0,MIN(IF($N249&lt;=$DC249,MIN($N249,1),$N249),IF(DX$44=2,0.5,DW249+1)))</f>
        <v>0.5</v>
      </c>
      <c r="DY249" s="388">
        <f t="shared" ref="DY249:DY308" si="497">+IF(DY$44=1,0,MIN(IF($N249&lt;=$DC249,MIN($N249,1),$N249),IF(DY$44=2,0.5,DX249+1)))</f>
        <v>1</v>
      </c>
      <c r="DZ249" s="386">
        <f t="shared" ref="DZ249:DZ308" si="498">+IF(DZ$44=1,0,MIN(IF($N249&lt;=$DC249,MIN($N249,1),$N249),IF(DZ$44=2,0.5,DY249+1)))</f>
        <v>1</v>
      </c>
      <c r="EA249" s="387">
        <f t="shared" ref="EA249:EA308" si="499">+IF(EA$44=1,0,MIN(IF($N249&lt;=$DC249,MIN($N249,1),$N249),IF(EA$44=2,0.5,DZ249+1)))</f>
        <v>1</v>
      </c>
      <c r="EB249" s="387">
        <f t="shared" ref="EB249:EB308" si="500">+IF(EB$44=1,0,MIN(IF($N249&lt;=$DC249,MIN($N249,1),$N249),IF(EB$44=2,0.5,EA249+1)))</f>
        <v>1</v>
      </c>
      <c r="EC249" s="387">
        <f t="shared" ref="EC249:EC308" si="501">+IF(EC$44=1,0,MIN(IF($N249&lt;=$DC249,MIN($N249,1),$N249),IF(EC$44=2,0.5,EB249+1)))</f>
        <v>1</v>
      </c>
      <c r="ED249" s="388">
        <f t="shared" ref="ED249:ED308" si="502">+IF(ED$44=1,0,MIN(IF($N249&lt;=$DC249,MIN($N249,1),$N249),IF(ED$44=2,0.5,EC249+1)))</f>
        <v>1</v>
      </c>
      <c r="EF249" s="834">
        <f>+IF(DN249=DM249,0,
IF(AND(EF$44&gt;1,DN249=$N249),1-SUM($EE249:EE249),
IF($N249&lt;=1,
IF($N249&gt;0,1/$N249,0),
IF(EF$44=1,0,VDB(1,0,$N249,INT(EF$44-1-1),MIN($N249,INT(EF$44-1-1)+1),$DC249,IF($DD249="No",1,0))/
IF(DM249&gt;=INT($N249),$N249-INT($N249),1)))*
IF(EF$44=1,0,
IF(INT(DN249)=INT(DM249),DN249-DM249,INT(DN249)-DM249))+
IF($N249&lt;=1,
IF($N249&gt;0,1/$N249,0),VDB(1,0,$N249,INT(EF$44-1),MIN($N249,INT(EF$44-1)+1),$DC249,IF($DD249="No",1,0))/
IF(DN249&gt;INT($N249),$N249-INT($N249),1))*
IF(EF$44=1,DN249,
IF(INT(DN249)=INT(DM249),0,DN249-INT(DN249)))))</f>
        <v>0</v>
      </c>
      <c r="EG249" s="835">
        <f>+IF(DO249=DN249,0,
IF(AND(EG$44&gt;1,DO249=$N249),1-SUM($EE249:EF249),
IF($N249&lt;=1,
IF($N249&gt;0,1/$N249,0),
IF(EG$44=1,0,VDB(1,0,$N249,INT(EG$44-1-1),MIN($N249,INT(EG$44-1-1)+1),$DC249,IF($DD249="No",1,0))/
IF(DN249&gt;=INT($N249),$N249-INT($N249),1)))*
IF(EG$44=1,0,
IF(INT(DO249)=INT(DN249),DO249-DN249,INT(DO249)-DN249))+
IF($N249&lt;=1,
IF($N249&gt;0,1/$N249,0),VDB(1,0,$N249,INT(EG$44-1),MIN($N249,INT(EG$44-1)+1),$DC249,IF($DD249="No",1,0))/
IF(DO249&gt;INT($N249),$N249-INT($N249),1))*
IF(EG$44=1,DO249,
IF(INT(DO249)=INT(DN249),0,DO249-INT(DO249)))))</f>
        <v>0</v>
      </c>
      <c r="EH249" s="836">
        <f>+IF(DP249=DO249,0,
IF(AND(EH$44&gt;1,DP249=$N249),1-SUM($EE249:EG249),
IF($N249&lt;=1,
IF($N249&gt;0,1/$N249,0),
IF(EH$44=1,0,VDB(1,0,$N249,INT(EH$44-1-1),MIN($N249,INT(EH$44-1-1)+1),$DC249,IF($DD249="No",1,0))/
IF(DO249&gt;=INT($N249),$N249-INT($N249),1)))*
IF(EH$44=1,0,
IF(INT(DP249)=INT(DO249),DP249-DO249,INT(DP249)-DO249))+
IF($N249&lt;=1,
IF($N249&gt;0,1/$N249,0),VDB(1,0,$N249,INT(EH$44-1),MIN($N249,INT(EH$44-1)+1),$DC249,IF($DD249="No",1,0))/
IF(DP249&gt;INT($N249),$N249-INT($N249),1))*
IF(EH$44=1,DP249,
IF(INT(DP249)=INT(DO249),0,DP249-INT(DP249)))))</f>
        <v>0</v>
      </c>
      <c r="EI249" s="834">
        <f>+IF(DQ249=DP249,0,
IF(AND(EI$44&gt;1,DQ249=$N249),1-SUM($EE249:EH249),
IF($N249&lt;=1,
IF($N249&gt;0,1/$N249,0),
IF(EI$44=1,0,VDB(1,0,$N249,INT(EI$44-1-1),MIN($N249,INT(EI$44-1-1)+1),$DC249,IF($DD249="No",1,0))/
IF(DP249&gt;=INT($N249),$N249-INT($N249),1)))*
IF(EI$44=1,0,
IF(INT(DQ249)=INT(DP249),DQ249-DP249,INT(DQ249)-DP249))+
IF($N249&lt;=1,
IF($N249&gt;0,1/$N249,0),VDB(1,0,$N249,INT(EI$44-1),MIN($N249,INT(EI$44-1)+1),$DC249,IF($DD249="No",1,0))/
IF(DQ249&gt;INT($N249),$N249-INT($N249),1))*
IF(EI$44=1,DQ249,
IF(INT(DQ249)=INT(DP249),0,DQ249-INT(DQ249)))))</f>
        <v>0</v>
      </c>
      <c r="EJ249" s="835">
        <f>+IF(DR249=DQ249,0,
IF(AND(EJ$44&gt;1,DR249=$N249),1-SUM($EE249:EI249),
IF($N249&lt;=1,
IF($N249&gt;0,1/$N249,0),
IF(EJ$44=1,0,VDB(1,0,$N249,INT(EJ$44-1-1),MIN($N249,INT(EJ$44-1-1)+1),$DC249,IF($DD249="No",1,0))/
IF(DQ249&gt;=INT($N249),$N249-INT($N249),1)))*
IF(EJ$44=1,0,
IF(INT(DR249)=INT(DQ249),DR249-DQ249,INT(DR249)-DQ249))+
IF($N249&lt;=1,
IF($N249&gt;0,1/$N249,0),VDB(1,0,$N249,INT(EJ$44-1),MIN($N249,INT(EJ$44-1)+1),$DC249,IF($DD249="No",1,0))/
IF(DR249&gt;INT($N249),$N249-INT($N249),1))*
IF(EJ$44=1,DR249,
IF(INT(DR249)=INT(DQ249),0,DR249-INT(DR249)))))</f>
        <v>0</v>
      </c>
      <c r="EK249" s="835">
        <f>+IF(DS249=DR249,0,
IF(AND(EK$44&gt;1,DS249=$N249),1-SUM($EE249:EJ249),
IF($N249&lt;=1,
IF($N249&gt;0,1/$N249,0),
IF(EK$44=1,0,VDB(1,0,$N249,INT(EK$44-1-1),MIN($N249,INT(EK$44-1-1)+1),$DC249,IF($DD249="No",1,0))/
IF(DR249&gt;=INT($N249),$N249-INT($N249),1)))*
IF(EK$44=1,0,
IF(INT(DS249)=INT(DR249),DS249-DR249,INT(DS249)-DR249))+
IF($N249&lt;=1,
IF($N249&gt;0,1/$N249,0),VDB(1,0,$N249,INT(EK$44-1),MIN($N249,INT(EK$44-1)+1),$DC249,IF($DD249="No",1,0))/
IF(DS249&gt;INT($N249),$N249-INT($N249),1))*
IF(EK$44=1,DS249,
IF(INT(DS249)=INT(DR249),0,DS249-INT(DS249)))))</f>
        <v>0</v>
      </c>
      <c r="EL249" s="835">
        <f>+IF(DT249=DS249,0,
IF(AND(EL$44&gt;1,DT249=$N249),1-SUM($EE249:EK249),
IF($N249&lt;=1,
IF($N249&gt;0,1/$N249,0),
IF(EL$44=1,0,VDB(1,0,$N249,INT(EL$44-1-1),MIN($N249,INT(EL$44-1-1)+1),$DC249,IF($DD249="No",1,0))/
IF(DS249&gt;=INT($N249),$N249-INT($N249),1)))*
IF(EL$44=1,0,
IF(INT(DT249)=INT(DS249),DT249-DS249,INT(DT249)-DS249))+
IF($N249&lt;=1,
IF($N249&gt;0,1/$N249,0),VDB(1,0,$N249,INT(EL$44-1),MIN($N249,INT(EL$44-1)+1),$DC249,IF($DD249="No",1,0))/
IF(DT249&gt;INT($N249),$N249-INT($N249),1))*
IF(EL$44=1,DT249,
IF(INT(DT249)=INT(DS249),0,DT249-INT(DT249)))))</f>
        <v>0</v>
      </c>
      <c r="EM249" s="836">
        <f>+IF(DU249=DT249,0,
IF(AND(EM$44&gt;1,DU249=$N249),1-SUM($EE249:EL249),
IF($N249&lt;=1,
IF($N249&gt;0,1/$N249,0),
IF(EM$44=1,0,VDB(1,0,$N249,INT(EM$44-1-1),MIN($N249,INT(EM$44-1-1)+1),$DC249,IF($DD249="No",1,0))/
IF(DT249&gt;=INT($N249),$N249-INT($N249),1)))*
IF(EM$44=1,0,
IF(INT(DU249)=INT(DT249),DU249-DT249,INT(DU249)-DT249))+
IF($N249&lt;=1,
IF($N249&gt;0,1/$N249,0),VDB(1,0,$N249,INT(EM$44-1),MIN($N249,INT(EM$44-1)+1),$DC249,IF($DD249="No",1,0))/
IF(DU249&gt;INT($N249),$N249-INT($N249),1))*
IF(EM$44=1,DU249,
IF(INT(DU249)=INT(DT249),0,DU249-INT(DU249)))))</f>
        <v>0</v>
      </c>
      <c r="EN249" s="833"/>
      <c r="EO249" s="834">
        <f>+IF(OR(DW249=DV249,EO$44=1),0,
IF(AND(EO$44&gt;1,DW249=$N249),1-SUM($EN249:EN249),
IF($N249&lt;=1,
IF($N249&gt;0,1/$N249,0),
IF(EO$44=2,0,VDB(1,0,$N249,INT(EO$44-2-1),MIN($N249,INT(EO$44-2-1)+1),$DC249,IF($DD249="No",1,0))/
IF(DV249&gt;=INT($N249),$N249-INT($N249),1)))*
IF(EO$44=2,0,
IF(INT(DW249)=INT(DV249),DW249-DV249,INT(DW249)-DV249))+
IF($N249&lt;=1,
IF($N249&gt;0,1/$N249,0),VDB(1,0,$N249,INT(EO$44-2),MIN($N249,INT(EO$44-2)+1),$DC249,IF($DD249="No",1,0))/
IF(DW249&gt;INT($N249),$N249-INT($N249),1))*
IF(EO$44=2,DW249,
IF(INT(DW249)=INT(DV249),0,DW249-INT(DW249)))))</f>
        <v>0</v>
      </c>
      <c r="EP249" s="835">
        <f>+IF(OR(DX249=DW249,EP$44=1),0,
IF(AND(EP$44&gt;1,DX249=$N249),1-SUM($EN249:EO249),
IF($N249&lt;=1,
IF($N249&gt;0,1/$N249,0),
IF(EP$44=2,0,VDB(1,0,$N249,INT(EP$44-2-1),MIN($N249,INT(EP$44-2-1)+1),$DC249,IF($DD249="No",1,0))/
IF(DW249&gt;=INT($N249),$N249-INT($N249),1)))*
IF(EP$44=2,0,
IF(INT(DX249)=INT(DW249),DX249-DW249,INT(DX249)-DW249))+
IF($N249&lt;=1,
IF($N249&gt;0,1/$N249,0),VDB(1,0,$N249,INT(EP$44-2),MIN($N249,INT(EP$44-2)+1),$DC249,IF($DD249="No",1,0))/
IF(DX249&gt;INT($N249),$N249-INT($N249),1))*
IF(EP$44=2,DX249,
IF(INT(DX249)=INT(DW249),0,DX249-INT(DX249)))))</f>
        <v>0</v>
      </c>
      <c r="EQ249" s="836">
        <f>+IF(OR(DY249=DX249,EQ$44=1),0,
IF(AND(EQ$44&gt;1,DY249=$N249),1-SUM($EN249:EP249),
IF($N249&lt;=1,
IF($N249&gt;0,1/$N249,0),
IF(EQ$44=2,0,VDB(1,0,$N249,INT(EQ$44-2-1),MIN($N249,INT(EQ$44-2-1)+1),$DC249,IF($DD249="No",1,0))/
IF(DX249&gt;=INT($N249),$N249-INT($N249),1)))*
IF(EQ$44=2,0,
IF(INT(DY249)=INT(DX249),DY249-DX249,INT(DY249)-DX249))+
IF($N249&lt;=1,
IF($N249&gt;0,1/$N249,0),VDB(1,0,$N249,INT(EQ$44-2),MIN($N249,INT(EQ$44-2)+1),$DC249,IF($DD249="No",1,0))/
IF(DY249&gt;INT($N249),$N249-INT($N249),1))*
IF(EQ$44=2,DY249,
IF(INT(DY249)=INT(DX249),0,DY249-INT(DY249)))))</f>
        <v>0</v>
      </c>
      <c r="ER249" s="834">
        <f>+IF(OR(DZ249=DY249,ER$44=1),0,
IF(AND(ER$44&gt;1,DZ249=$N249),1-SUM($EN249:EQ249),
IF($N249&lt;=1,
IF($N249&gt;0,1/$N249,0),
IF(ER$44=2,0,VDB(1,0,$N249,INT(ER$44-2-1),MIN($N249,INT(ER$44-2-1)+1),$DC249,IF($DD249="No",1,0))/
IF(DY249&gt;=INT($N249),$N249-INT($N249),1)))*
IF(ER$44=2,0,
IF(INT(DZ249)=INT(DY249),DZ249-DY249,INT(DZ249)-DY249))+
IF($N249&lt;=1,
IF($N249&gt;0,1/$N249,0),VDB(1,0,$N249,INT(ER$44-2),MIN($N249,INT(ER$44-2)+1),$DC249,IF($DD249="No",1,0))/
IF(DZ249&gt;INT($N249),$N249-INT($N249),1))*
IF(ER$44=2,DZ249,
IF(INT(DZ249)=INT(DY249),0,DZ249-INT(DZ249)))))</f>
        <v>0</v>
      </c>
      <c r="ES249" s="835">
        <f>+IF(OR(EA249=DZ249,ES$44=1),0,
IF(AND(ES$44&gt;1,EA249=$N249),1-SUM($EN249:ER249),
IF($N249&lt;=1,
IF($N249&gt;0,1/$N249,0),
IF(ES$44=2,0,VDB(1,0,$N249,INT(ES$44-2-1),MIN($N249,INT(ES$44-2-1)+1),$DC249,IF($DD249="No",1,0))/
IF(DZ249&gt;=INT($N249),$N249-INT($N249),1)))*
IF(ES$44=2,0,
IF(INT(EA249)=INT(DZ249),EA249-DZ249,INT(EA249)-DZ249))+
IF($N249&lt;=1,
IF($N249&gt;0,1/$N249,0),VDB(1,0,$N249,INT(ES$44-2),MIN($N249,INT(ES$44-2)+1),$DC249,IF($DD249="No",1,0))/
IF(EA249&gt;INT($N249),$N249-INT($N249),1))*
IF(ES$44=2,EA249,
IF(INT(EA249)=INT(DZ249),0,EA249-INT(EA249)))))</f>
        <v>0</v>
      </c>
      <c r="ET249" s="835">
        <f>+IF(OR(EB249=EA249,ET$44=1),0,
IF(AND(ET$44&gt;1,EB249=$N249),1-SUM($EN249:ES249),
IF($N249&lt;=1,
IF($N249&gt;0,1/$N249,0),
IF(ET$44=2,0,VDB(1,0,$N249,INT(ET$44-2-1),MIN($N249,INT(ET$44-2-1)+1),$DC249,IF($DD249="No",1,0))/
IF(EA249&gt;=INT($N249),$N249-INT($N249),1)))*
IF(ET$44=2,0,
IF(INT(EB249)=INT(EA249),EB249-EA249,INT(EB249)-EA249))+
IF($N249&lt;=1,
IF($N249&gt;0,1/$N249,0),VDB(1,0,$N249,INT(ET$44-2),MIN($N249,INT(ET$44-2)+1),$DC249,IF($DD249="No",1,0))/
IF(EB249&gt;INT($N249),$N249-INT($N249),1))*
IF(ET$44=2,EB249,
IF(INT(EB249)=INT(EA249),0,EB249-INT(EB249)))))</f>
        <v>0</v>
      </c>
      <c r="EU249" s="835">
        <f>+IF(OR(EC249=EB249,EU$44=1),0,
IF(AND(EU$44&gt;1,EC249=$N249),1-SUM($EN249:ET249),
IF($N249&lt;=1,
IF($N249&gt;0,1/$N249,0),
IF(EU$44=2,0,VDB(1,0,$N249,INT(EU$44-2-1),MIN($N249,INT(EU$44-2-1)+1),$DC249,IF($DD249="No",1,0))/
IF(EB249&gt;=INT($N249),$N249-INT($N249),1)))*
IF(EU$44=2,0,
IF(INT(EC249)=INT(EB249),EC249-EB249,INT(EC249)-EB249))+
IF($N249&lt;=1,
IF($N249&gt;0,1/$N249,0),VDB(1,0,$N249,INT(EU$44-2),MIN($N249,INT(EU$44-2)+1),$DC249,IF($DD249="No",1,0))/
IF(EC249&gt;INT($N249),$N249-INT($N249),1))*
IF(EU$44=2,EC249,
IF(INT(EC249)=INT(EB249),0,EC249-INT(EC249)))))</f>
        <v>0</v>
      </c>
      <c r="EV249" s="836">
        <f>+IF(OR(ED249=EC249,EV$44=1),0,
IF(AND(EV$44&gt;1,ED249=$N249),1-SUM($EN249:EU249),
IF($N249&lt;=1,
IF($N249&gt;0,1/$N249,0),
IF(EV$44=2,0,VDB(1,0,$N249,INT(EV$44-2-1),MIN($N249,INT(EV$44-2-1)+1),$DC249,IF($DD249="No",1,0))/
IF(EC249&gt;=INT($N249),$N249-INT($N249),1)))*
IF(EV$44=2,0,
IF(INT(ED249)=INT(EC249),ED249-EC249,INT(ED249)-EC249))+
IF($N249&lt;=1,
IF($N249&gt;0,1/$N249,0),VDB(1,0,$N249,INT(EV$44-2),MIN($N249,INT(EV$44-2)+1),$DC249,IF($DD249="No",1,0))/
IF(ED249&gt;INT($N249),$N249-INT($N249),1))*
IF(EV$44=2,ED249,
IF(INT(ED249)=INT(EC249),0,ED249-INT(ED249)))))</f>
        <v>0</v>
      </c>
      <c r="EW249" s="833"/>
      <c r="EX249" s="834">
        <f t="shared" ref="EX249:FE280" ca="1" si="503">+OFFSET($EO249,0,MAX($EX$44:$HY$44)-EX$44)</f>
        <v>0</v>
      </c>
      <c r="EY249" s="835">
        <f t="shared" ca="1" si="503"/>
        <v>0</v>
      </c>
      <c r="EZ249" s="836">
        <f t="shared" ca="1" si="503"/>
        <v>0</v>
      </c>
      <c r="FA249" s="834">
        <f t="shared" ca="1" si="503"/>
        <v>0</v>
      </c>
      <c r="FB249" s="835">
        <f t="shared" ca="1" si="503"/>
        <v>0</v>
      </c>
      <c r="FC249" s="835">
        <f t="shared" ca="1" si="503"/>
        <v>0</v>
      </c>
      <c r="FD249" s="835">
        <f t="shared" ca="1" si="503"/>
        <v>0</v>
      </c>
      <c r="FE249" s="836">
        <f t="shared" ca="1" si="503"/>
        <v>0</v>
      </c>
      <c r="FG249" s="386">
        <f t="shared" ref="FG249:FG308" ca="1" si="504">-(-$DE249*(-ISBLANK($DE249)+1)*EF249-
IF(FG$44&gt;1,SUMPRODUCT(OFFSET($DF249,0,0,1,FG$44-1)*(-ISBLANK(OFFSET($DF249,0,0,1,FG$44-1))+1),OFFSET($EX249,0,MAX($FG$44:$HY$44)-FG$44,1,FG$44-1)),0))</f>
        <v>0</v>
      </c>
      <c r="FH249" s="387">
        <f t="shared" ref="FH249:FH308" ca="1" si="505">-(-$DE249*(-ISBLANK($DE249)+1)*EG249-
IF(FH$44&gt;1,SUMPRODUCT(OFFSET($DF249,0,0,1,FH$44-1)*(-ISBLANK(OFFSET($DF249,0,0,1,FH$44-1))+1),OFFSET($EX249,0,MAX($FG$44:$HY$44)-FH$44,1,FH$44-1)),0))</f>
        <v>0</v>
      </c>
      <c r="FI249" s="388">
        <f t="shared" ref="FI249:FI308" ca="1" si="506">-(-$DE249*(-ISBLANK($DE249)+1)*EH249-
IF(FI$44&gt;1,SUMPRODUCT(OFFSET($DF249,0,0,1,FI$44-1)*(-ISBLANK(OFFSET($DF249,0,0,1,FI$44-1))+1),OFFSET($EX249,0,MAX($FG$44:$HY$44)-FI$44,1,FI$44-1)),0))</f>
        <v>0</v>
      </c>
      <c r="FJ249" s="386">
        <f t="shared" ref="FJ249:FJ308" ca="1" si="507">-(-$DE249*(-ISBLANK($DE249)+1)*EI249-
IF(FJ$44&gt;1,SUMPRODUCT(OFFSET($DF249,0,0,1,FJ$44-1)*(-ISBLANK(OFFSET($DF249,0,0,1,FJ$44-1))+1),OFFSET($EX249,0,MAX($FG$44:$HY$44)-FJ$44,1,FJ$44-1)),0))</f>
        <v>0</v>
      </c>
      <c r="FK249" s="387">
        <f t="shared" ref="FK249:FK308" ca="1" si="508">-(-$DE249*(-ISBLANK($DE249)+1)*EJ249-
IF(FK$44&gt;1,SUMPRODUCT(OFFSET($DF249,0,0,1,FK$44-1)*(-ISBLANK(OFFSET($DF249,0,0,1,FK$44-1))+1),OFFSET($EX249,0,MAX($FG$44:$HY$44)-FK$44,1,FK$44-1)),0))</f>
        <v>0</v>
      </c>
      <c r="FL249" s="387">
        <f t="shared" ref="FL249:FL308" ca="1" si="509">-(-$DE249*(-ISBLANK($DE249)+1)*EK249-
IF(FL$44&gt;1,SUMPRODUCT(OFFSET($DF249,0,0,1,FL$44-1)*(-ISBLANK(OFFSET($DF249,0,0,1,FL$44-1))+1),OFFSET($EX249,0,MAX($FG$44:$HY$44)-FL$44,1,FL$44-1)),0))</f>
        <v>0</v>
      </c>
      <c r="FM249" s="387">
        <f t="shared" ref="FM249:FM308" ca="1" si="510">-(-$DE249*(-ISBLANK($DE249)+1)*EL249-
IF(FM$44&gt;1,SUMPRODUCT(OFFSET($DF249,0,0,1,FM$44-1)*(-ISBLANK(OFFSET($DF249,0,0,1,FM$44-1))+1),OFFSET($EX249,0,MAX($FG$44:$HY$44)-FM$44,1,FM$44-1)),0))</f>
        <v>0</v>
      </c>
      <c r="FN249" s="388">
        <f t="shared" ref="FN249:FN308" ca="1" si="511">-(-$DE249*(-ISBLANK($DE249)+1)*EM249-
IF(FN$44&gt;1,SUMPRODUCT(OFFSET($DF249,0,0,1,FN$44-1)*(-ISBLANK(OFFSET($DF249,0,0,1,FN$44-1))+1),OFFSET($EX249,0,MAX($FG$44:$HY$44)-FN$44,1,FN$44-1)),0))</f>
        <v>0</v>
      </c>
      <c r="FR249" s="116"/>
    </row>
    <row r="250" spans="2:174">
      <c r="B250" s="1410">
        <f t="shared" si="359"/>
        <v>204</v>
      </c>
      <c r="C250" s="400"/>
      <c r="D250" s="410"/>
      <c r="E250" s="402"/>
      <c r="F250" s="402"/>
      <c r="G250" s="400"/>
      <c r="H250" s="2088"/>
      <c r="I250" s="2089"/>
      <c r="J250" s="411"/>
      <c r="K250" s="403"/>
      <c r="L250" s="403"/>
      <c r="M250" s="403"/>
      <c r="N250" s="403"/>
      <c r="O250" s="347"/>
      <c r="P250" s="347"/>
      <c r="Q250" s="1021"/>
      <c r="R250" s="1022"/>
      <c r="S250" s="1022"/>
      <c r="T250" s="1022"/>
      <c r="U250" s="1023"/>
      <c r="V250" s="1021"/>
      <c r="W250" s="1022"/>
      <c r="X250" s="1022"/>
      <c r="Y250" s="1022"/>
      <c r="Z250" s="1023"/>
      <c r="AA250" s="1024"/>
      <c r="AB250" s="1021"/>
      <c r="AC250" s="1022"/>
      <c r="AD250" s="1022"/>
      <c r="AE250" s="1022"/>
      <c r="AF250" s="1023"/>
      <c r="AG250" s="1021"/>
      <c r="AH250" s="1022"/>
      <c r="AI250" s="1022"/>
      <c r="AJ250" s="1022"/>
      <c r="AK250" s="1023"/>
      <c r="AL250" s="1024"/>
      <c r="AM250" s="1021"/>
      <c r="AN250" s="1022"/>
      <c r="AO250" s="1022"/>
      <c r="AP250" s="1022"/>
      <c r="AQ250" s="1023"/>
      <c r="AR250" s="1021"/>
      <c r="AS250" s="1022"/>
      <c r="AT250" s="1022"/>
      <c r="AU250" s="1022"/>
      <c r="AV250" s="1023"/>
      <c r="AW250" s="1025"/>
      <c r="AX250" s="1282">
        <f t="shared" si="457"/>
        <v>0</v>
      </c>
      <c r="AY250" s="387">
        <f t="shared" si="458"/>
        <v>0</v>
      </c>
      <c r="AZ250" s="387">
        <f t="shared" si="459"/>
        <v>0</v>
      </c>
      <c r="BA250" s="387">
        <f t="shared" si="460"/>
        <v>0</v>
      </c>
      <c r="BB250" s="1283">
        <f t="shared" si="461"/>
        <v>0</v>
      </c>
      <c r="BC250" s="386">
        <f t="shared" si="462"/>
        <v>0</v>
      </c>
      <c r="BD250" s="387">
        <f t="shared" si="463"/>
        <v>0</v>
      </c>
      <c r="BE250" s="1277">
        <f t="shared" si="464"/>
        <v>0</v>
      </c>
      <c r="BF250" s="1277">
        <f t="shared" si="465"/>
        <v>0</v>
      </c>
      <c r="BG250" s="388">
        <f t="shared" si="466"/>
        <v>0</v>
      </c>
      <c r="BH250" s="1025"/>
      <c r="BI250" s="1282">
        <f t="shared" ca="1" si="467"/>
        <v>0</v>
      </c>
      <c r="BJ250" s="387">
        <f t="shared" ca="1" si="468"/>
        <v>0</v>
      </c>
      <c r="BK250" s="387">
        <f t="shared" ca="1" si="469"/>
        <v>0</v>
      </c>
      <c r="BL250" s="387">
        <f t="shared" ca="1" si="470"/>
        <v>0</v>
      </c>
      <c r="BM250" s="1283">
        <f t="shared" ca="1" si="471"/>
        <v>0</v>
      </c>
      <c r="BN250" s="386">
        <f t="shared" ca="1" si="472"/>
        <v>0</v>
      </c>
      <c r="BO250" s="387">
        <f t="shared" ca="1" si="473"/>
        <v>0</v>
      </c>
      <c r="BP250" s="1277">
        <f t="shared" ca="1" si="474"/>
        <v>0</v>
      </c>
      <c r="BQ250" s="1277">
        <f t="shared" ca="1" si="475"/>
        <v>0</v>
      </c>
      <c r="BR250" s="388">
        <f t="shared" ca="1" si="476"/>
        <v>0</v>
      </c>
      <c r="BS250" s="1025"/>
      <c r="BT250" s="1282">
        <f>+IF($K250="Ongoing",AX250,IF(RIGHT($K250,2)=RIGHT(BT$43,2),SUM($AX250:AX250),0)+IF(RIGHT(BT$43,2)&gt;RIGHT($K250,2),AX250,0))</f>
        <v>0</v>
      </c>
      <c r="BU250" s="387">
        <f>+IF($K250="Ongoing",AY250,IF(RIGHT($K250,2)=RIGHT(BU$43,2),SUM($AX250:AY250),0)+IF(RIGHT(BU$43,2)&gt;RIGHT($K250,2),AY250,0))</f>
        <v>0</v>
      </c>
      <c r="BV250" s="387">
        <f>+IF($K250="Ongoing",AZ250,IF(RIGHT($K250,2)=RIGHT(BV$43,2),SUM($AX250:AZ250),0)+IF(RIGHT(BV$43,2)&gt;RIGHT($K250,2),AZ250,0))</f>
        <v>0</v>
      </c>
      <c r="BW250" s="387">
        <f>+IF($K250="Ongoing",BA250,IF(RIGHT($K250,2)=RIGHT(BW$43,2),SUM($AX250:BA250),0)+IF(RIGHT(BW$43,2)&gt;RIGHT($K250,2),BA250,0))</f>
        <v>0</v>
      </c>
      <c r="BX250" s="1283">
        <f>+IF($K250="Ongoing",BB250,IF(RIGHT($K250,2)=RIGHT(BX$43,2),SUM($AX250:BB250),0)+IF(RIGHT(BX$43,2)&gt;RIGHT($K250,2),BB250,0))</f>
        <v>0</v>
      </c>
      <c r="BY250" s="386">
        <f>+IF($K250="Ongoing",BC250,IF(RIGHT($K250,2)=RIGHT(BY$43,2),SUM($AX250:BC250),0)+IF(RIGHT(BY$43,2)&gt;RIGHT($K250,2),BC250,0))</f>
        <v>0</v>
      </c>
      <c r="BZ250" s="387">
        <f>+IF($K250="Ongoing",BD250,IF(RIGHT($K250,2)=RIGHT(BZ$43,2),SUM($AX250:BD250),0)+IF(RIGHT(BZ$43,2)&gt;RIGHT($K250,2),BD250,0))</f>
        <v>0</v>
      </c>
      <c r="CA250" s="1277">
        <f>+IF($K250="Ongoing",BE250,IF(RIGHT($K250,2)=RIGHT(CA$43,2),SUM($AX250:BE250),0)+IF(RIGHT(CA$43,2)&gt;RIGHT($K250,2),BE250,0))</f>
        <v>0</v>
      </c>
      <c r="CB250" s="1277">
        <f>+IF($K250="Ongoing",BF250,IF(RIGHT($K250,2)=RIGHT(CB$43,2),SUM($AX250:BF250),0)+IF(RIGHT(CB$43,2)&gt;RIGHT($K250,2),BF250,0))</f>
        <v>0</v>
      </c>
      <c r="CC250" s="388">
        <f>+IF($K250="Ongoing",BG250,IF(RIGHT($K250,2)=RIGHT(CC$43,2),SUM($AX250:BG250),0)+IF(RIGHT(CC$43,2)&gt;RIGHT($K250,2),BG250,0))</f>
        <v>0</v>
      </c>
      <c r="CD250" s="1025"/>
      <c r="CE250" s="1282">
        <f>+Q250*KeyAssumptionsPriceControl_FO!AF$15</f>
        <v>0</v>
      </c>
      <c r="CF250" s="387">
        <f>+R250*KeyAssumptionsPriceControl_FO!AG$15</f>
        <v>0</v>
      </c>
      <c r="CG250" s="387">
        <f>+S250*KeyAssumptionsPriceControl_FO!AH$15</f>
        <v>0</v>
      </c>
      <c r="CH250" s="387">
        <f>+T250*KeyAssumptionsPriceControl_FO!AI$15</f>
        <v>0</v>
      </c>
      <c r="CI250" s="1283">
        <f>+U250*KeyAssumptionsPriceControl_FO!AJ$15</f>
        <v>0</v>
      </c>
      <c r="CJ250" s="386">
        <f>+V250*KeyAssumptionsPriceControl_FO!AK$15</f>
        <v>0</v>
      </c>
      <c r="CK250" s="387">
        <f>+W250*KeyAssumptionsPriceControl_FO!AL$15</f>
        <v>0</v>
      </c>
      <c r="CL250" s="1277">
        <f>+X250*KeyAssumptionsPriceControl_FO!AM$15</f>
        <v>0</v>
      </c>
      <c r="CM250" s="1277">
        <f>+Y250*KeyAssumptionsPriceControl_FO!AN$15</f>
        <v>0</v>
      </c>
      <c r="CN250" s="388">
        <f>+Z250*KeyAssumptionsPriceControl_FO!AO$15</f>
        <v>0</v>
      </c>
      <c r="CO250" s="1025"/>
      <c r="CP250" s="1282">
        <f t="shared" ca="1" si="477"/>
        <v>0</v>
      </c>
      <c r="CQ250" s="387">
        <f t="shared" ca="1" si="478"/>
        <v>0</v>
      </c>
      <c r="CR250" s="387">
        <f t="shared" ca="1" si="479"/>
        <v>0</v>
      </c>
      <c r="CS250" s="387">
        <f t="shared" ca="1" si="480"/>
        <v>0</v>
      </c>
      <c r="CT250" s="1283">
        <f t="shared" ca="1" si="481"/>
        <v>0</v>
      </c>
      <c r="CU250" s="386">
        <f t="shared" ca="1" si="482"/>
        <v>0</v>
      </c>
      <c r="CV250" s="387">
        <f t="shared" ca="1" si="483"/>
        <v>0</v>
      </c>
      <c r="CW250" s="1277">
        <f t="shared" ca="1" si="484"/>
        <v>0</v>
      </c>
      <c r="CX250" s="1277">
        <f t="shared" ca="1" si="485"/>
        <v>0</v>
      </c>
      <c r="CY250" s="388">
        <f t="shared" ca="1" si="486"/>
        <v>0</v>
      </c>
      <c r="CZ250" s="347"/>
      <c r="DA250" s="852"/>
      <c r="DB250" s="347"/>
      <c r="DC250" s="1012" t="s">
        <v>534</v>
      </c>
      <c r="DD250" s="841" t="s">
        <v>518</v>
      </c>
      <c r="DE250" s="386">
        <f>+IF($K250="ongoing",CE250,IF(RIGHT($K250,2)=RIGHT(DE$43,2),SUM($CD250:CE250),0)+IF(RIGHT(DE$43,2)&gt;RIGHT($K250,2),CE250,0))</f>
        <v>0</v>
      </c>
      <c r="DF250" s="387">
        <f>+IF($K250="ongoing",CF250,IF(RIGHT($K250,2)=RIGHT(DF$43,2),SUM($CD250:CF250),0)+IF(RIGHT(DF$43,2)&gt;RIGHT($K250,2),CF250,0))</f>
        <v>0</v>
      </c>
      <c r="DG250" s="388">
        <f>+IF($K250="ongoing",CG250,IF(RIGHT($K250,2)=RIGHT(DG$43,2),SUM($CD250:CG250),0)+IF(RIGHT(DG$43,2)&gt;RIGHT($K250,2),CG250,0))</f>
        <v>0</v>
      </c>
      <c r="DH250" s="386">
        <f>+IF($K250="ongoing",CH250,IF(RIGHT($K250,2)=RIGHT(DH$43,2),SUM($CD250:CH250),0)+IF(RIGHT(DH$43,2)&gt;RIGHT($K250,2),CH250,0))</f>
        <v>0</v>
      </c>
      <c r="DI250" s="387">
        <f>+IF($K250="ongoing",CI250,IF(RIGHT($K250,2)=RIGHT(DI$43,2),SUM($CD250:CI250),0)+IF(RIGHT(DI$43,2)&gt;RIGHT($K250,2),CI250,0))</f>
        <v>0</v>
      </c>
      <c r="DJ250" s="387">
        <f>+IF($K250="ongoing",CJ250,IF(RIGHT($K250,2)=RIGHT(DJ$43,2),SUM($CD250:CJ250),0)+IF(RIGHT(DJ$43,2)&gt;RIGHT($K250,2),CJ250,0))</f>
        <v>0</v>
      </c>
      <c r="DK250" s="387">
        <f>+IF($K250="ongoing",CK250,IF(RIGHT($K250,2)=RIGHT(DK$43,2),SUM($CD250:CK250),0)+IF(RIGHT(DK$43,2)&gt;RIGHT($K250,2),CK250,0))</f>
        <v>0</v>
      </c>
      <c r="DL250" s="388">
        <f>+IF($K250="ongoing",CN250,IF(RIGHT($K250,2)=RIGHT(DL$43,2),SUM($CD250:CN250),0)+IF(RIGHT(DL$43,2)&gt;RIGHT($K250,2),CN250,0))</f>
        <v>0</v>
      </c>
      <c r="DM250" s="841"/>
      <c r="DN250" s="386">
        <f t="shared" si="487"/>
        <v>0.5</v>
      </c>
      <c r="DO250" s="387">
        <f t="shared" si="488"/>
        <v>1</v>
      </c>
      <c r="DP250" s="388">
        <f t="shared" si="489"/>
        <v>1</v>
      </c>
      <c r="DQ250" s="386">
        <f t="shared" si="490"/>
        <v>1</v>
      </c>
      <c r="DR250" s="387">
        <f t="shared" si="491"/>
        <v>1</v>
      </c>
      <c r="DS250" s="387">
        <f t="shared" si="492"/>
        <v>1</v>
      </c>
      <c r="DT250" s="387">
        <f t="shared" si="493"/>
        <v>1</v>
      </c>
      <c r="DU250" s="388">
        <f t="shared" si="494"/>
        <v>1</v>
      </c>
      <c r="DW250" s="386">
        <f t="shared" si="495"/>
        <v>0</v>
      </c>
      <c r="DX250" s="387">
        <f t="shared" si="496"/>
        <v>0.5</v>
      </c>
      <c r="DY250" s="388">
        <f t="shared" si="497"/>
        <v>1</v>
      </c>
      <c r="DZ250" s="386">
        <f t="shared" si="498"/>
        <v>1</v>
      </c>
      <c r="EA250" s="387">
        <f t="shared" si="499"/>
        <v>1</v>
      </c>
      <c r="EB250" s="387">
        <f t="shared" si="500"/>
        <v>1</v>
      </c>
      <c r="EC250" s="387">
        <f t="shared" si="501"/>
        <v>1</v>
      </c>
      <c r="ED250" s="388">
        <f t="shared" si="502"/>
        <v>1</v>
      </c>
      <c r="EF250" s="834">
        <f>+IF(DN250=DM250,0,
IF(AND(EF$44&gt;1,DN250=$N250),1-SUM($EE250:EE250),
IF($N250&lt;=1,
IF($N250&gt;0,1/$N250,0),
IF(EF$44=1,0,VDB(1,0,$N250,INT(EF$44-1-1),MIN($N250,INT(EF$44-1-1)+1),$DC250,IF($DD250="No",1,0))/
IF(DM250&gt;=INT($N250),$N250-INT($N250),1)))*
IF(EF$44=1,0,
IF(INT(DN250)=INT(DM250),DN250-DM250,INT(DN250)-DM250))+
IF($N250&lt;=1,
IF($N250&gt;0,1/$N250,0),VDB(1,0,$N250,INT(EF$44-1),MIN($N250,INT(EF$44-1)+1),$DC250,IF($DD250="No",1,0))/
IF(DN250&gt;INT($N250),$N250-INT($N250),1))*
IF(EF$44=1,DN250,
IF(INT(DN250)=INT(DM250),0,DN250-INT(DN250)))))</f>
        <v>0</v>
      </c>
      <c r="EG250" s="835">
        <f>+IF(DO250=DN250,0,
IF(AND(EG$44&gt;1,DO250=$N250),1-SUM($EE250:EF250),
IF($N250&lt;=1,
IF($N250&gt;0,1/$N250,0),
IF(EG$44=1,0,VDB(1,0,$N250,INT(EG$44-1-1),MIN($N250,INT(EG$44-1-1)+1),$DC250,IF($DD250="No",1,0))/
IF(DN250&gt;=INT($N250),$N250-INT($N250),1)))*
IF(EG$44=1,0,
IF(INT(DO250)=INT(DN250),DO250-DN250,INT(DO250)-DN250))+
IF($N250&lt;=1,
IF($N250&gt;0,1/$N250,0),VDB(1,0,$N250,INT(EG$44-1),MIN($N250,INT(EG$44-1)+1),$DC250,IF($DD250="No",1,0))/
IF(DO250&gt;INT($N250),$N250-INT($N250),1))*
IF(EG$44=1,DO250,
IF(INT(DO250)=INT(DN250),0,DO250-INT(DO250)))))</f>
        <v>0</v>
      </c>
      <c r="EH250" s="836">
        <f>+IF(DP250=DO250,0,
IF(AND(EH$44&gt;1,DP250=$N250),1-SUM($EE250:EG250),
IF($N250&lt;=1,
IF($N250&gt;0,1/$N250,0),
IF(EH$44=1,0,VDB(1,0,$N250,INT(EH$44-1-1),MIN($N250,INT(EH$44-1-1)+1),$DC250,IF($DD250="No",1,0))/
IF(DO250&gt;=INT($N250),$N250-INT($N250),1)))*
IF(EH$44=1,0,
IF(INT(DP250)=INT(DO250),DP250-DO250,INT(DP250)-DO250))+
IF($N250&lt;=1,
IF($N250&gt;0,1/$N250,0),VDB(1,0,$N250,INT(EH$44-1),MIN($N250,INT(EH$44-1)+1),$DC250,IF($DD250="No",1,0))/
IF(DP250&gt;INT($N250),$N250-INT($N250),1))*
IF(EH$44=1,DP250,
IF(INT(DP250)=INT(DO250),0,DP250-INT(DP250)))))</f>
        <v>0</v>
      </c>
      <c r="EI250" s="834">
        <f>+IF(DQ250=DP250,0,
IF(AND(EI$44&gt;1,DQ250=$N250),1-SUM($EE250:EH250),
IF($N250&lt;=1,
IF($N250&gt;0,1/$N250,0),
IF(EI$44=1,0,VDB(1,0,$N250,INT(EI$44-1-1),MIN($N250,INT(EI$44-1-1)+1),$DC250,IF($DD250="No",1,0))/
IF(DP250&gt;=INT($N250),$N250-INT($N250),1)))*
IF(EI$44=1,0,
IF(INT(DQ250)=INT(DP250),DQ250-DP250,INT(DQ250)-DP250))+
IF($N250&lt;=1,
IF($N250&gt;0,1/$N250,0),VDB(1,0,$N250,INT(EI$44-1),MIN($N250,INT(EI$44-1)+1),$DC250,IF($DD250="No",1,0))/
IF(DQ250&gt;INT($N250),$N250-INT($N250),1))*
IF(EI$44=1,DQ250,
IF(INT(DQ250)=INT(DP250),0,DQ250-INT(DQ250)))))</f>
        <v>0</v>
      </c>
      <c r="EJ250" s="835">
        <f>+IF(DR250=DQ250,0,
IF(AND(EJ$44&gt;1,DR250=$N250),1-SUM($EE250:EI250),
IF($N250&lt;=1,
IF($N250&gt;0,1/$N250,0),
IF(EJ$44=1,0,VDB(1,0,$N250,INT(EJ$44-1-1),MIN($N250,INT(EJ$44-1-1)+1),$DC250,IF($DD250="No",1,0))/
IF(DQ250&gt;=INT($N250),$N250-INT($N250),1)))*
IF(EJ$44=1,0,
IF(INT(DR250)=INT(DQ250),DR250-DQ250,INT(DR250)-DQ250))+
IF($N250&lt;=1,
IF($N250&gt;0,1/$N250,0),VDB(1,0,$N250,INT(EJ$44-1),MIN($N250,INT(EJ$44-1)+1),$DC250,IF($DD250="No",1,0))/
IF(DR250&gt;INT($N250),$N250-INT($N250),1))*
IF(EJ$44=1,DR250,
IF(INT(DR250)=INT(DQ250),0,DR250-INT(DR250)))))</f>
        <v>0</v>
      </c>
      <c r="EK250" s="835">
        <f>+IF(DS250=DR250,0,
IF(AND(EK$44&gt;1,DS250=$N250),1-SUM($EE250:EJ250),
IF($N250&lt;=1,
IF($N250&gt;0,1/$N250,0),
IF(EK$44=1,0,VDB(1,0,$N250,INT(EK$44-1-1),MIN($N250,INT(EK$44-1-1)+1),$DC250,IF($DD250="No",1,0))/
IF(DR250&gt;=INT($N250),$N250-INT($N250),1)))*
IF(EK$44=1,0,
IF(INT(DS250)=INT(DR250),DS250-DR250,INT(DS250)-DR250))+
IF($N250&lt;=1,
IF($N250&gt;0,1/$N250,0),VDB(1,0,$N250,INT(EK$44-1),MIN($N250,INT(EK$44-1)+1),$DC250,IF($DD250="No",1,0))/
IF(DS250&gt;INT($N250),$N250-INT($N250),1))*
IF(EK$44=1,DS250,
IF(INT(DS250)=INT(DR250),0,DS250-INT(DS250)))))</f>
        <v>0</v>
      </c>
      <c r="EL250" s="835">
        <f>+IF(DT250=DS250,0,
IF(AND(EL$44&gt;1,DT250=$N250),1-SUM($EE250:EK250),
IF($N250&lt;=1,
IF($N250&gt;0,1/$N250,0),
IF(EL$44=1,0,VDB(1,0,$N250,INT(EL$44-1-1),MIN($N250,INT(EL$44-1-1)+1),$DC250,IF($DD250="No",1,0))/
IF(DS250&gt;=INT($N250),$N250-INT($N250),1)))*
IF(EL$44=1,0,
IF(INT(DT250)=INT(DS250),DT250-DS250,INT(DT250)-DS250))+
IF($N250&lt;=1,
IF($N250&gt;0,1/$N250,0),VDB(1,0,$N250,INT(EL$44-1),MIN($N250,INT(EL$44-1)+1),$DC250,IF($DD250="No",1,0))/
IF(DT250&gt;INT($N250),$N250-INT($N250),1))*
IF(EL$44=1,DT250,
IF(INT(DT250)=INT(DS250),0,DT250-INT(DT250)))))</f>
        <v>0</v>
      </c>
      <c r="EM250" s="836">
        <f>+IF(DU250=DT250,0,
IF(AND(EM$44&gt;1,DU250=$N250),1-SUM($EE250:EL250),
IF($N250&lt;=1,
IF($N250&gt;0,1/$N250,0),
IF(EM$44=1,0,VDB(1,0,$N250,INT(EM$44-1-1),MIN($N250,INT(EM$44-1-1)+1),$DC250,IF($DD250="No",1,0))/
IF(DT250&gt;=INT($N250),$N250-INT($N250),1)))*
IF(EM$44=1,0,
IF(INT(DU250)=INT(DT250),DU250-DT250,INT(DU250)-DT250))+
IF($N250&lt;=1,
IF($N250&gt;0,1/$N250,0),VDB(1,0,$N250,INT(EM$44-1),MIN($N250,INT(EM$44-1)+1),$DC250,IF($DD250="No",1,0))/
IF(DU250&gt;INT($N250),$N250-INT($N250),1))*
IF(EM$44=1,DU250,
IF(INT(DU250)=INT(DT250),0,DU250-INT(DU250)))))</f>
        <v>0</v>
      </c>
      <c r="EN250" s="833"/>
      <c r="EO250" s="834">
        <f>+IF(OR(DW250=DV250,EO$44=1),0,
IF(AND(EO$44&gt;1,DW250=$N250),1-SUM($EN250:EN250),
IF($N250&lt;=1,
IF($N250&gt;0,1/$N250,0),
IF(EO$44=2,0,VDB(1,0,$N250,INT(EO$44-2-1),MIN($N250,INT(EO$44-2-1)+1),$DC250,IF($DD250="No",1,0))/
IF(DV250&gt;=INT($N250),$N250-INT($N250),1)))*
IF(EO$44=2,0,
IF(INT(DW250)=INT(DV250),DW250-DV250,INT(DW250)-DV250))+
IF($N250&lt;=1,
IF($N250&gt;0,1/$N250,0),VDB(1,0,$N250,INT(EO$44-2),MIN($N250,INT(EO$44-2)+1),$DC250,IF($DD250="No",1,0))/
IF(DW250&gt;INT($N250),$N250-INT($N250),1))*
IF(EO$44=2,DW250,
IF(INT(DW250)=INT(DV250),0,DW250-INT(DW250)))))</f>
        <v>0</v>
      </c>
      <c r="EP250" s="835">
        <f>+IF(OR(DX250=DW250,EP$44=1),0,
IF(AND(EP$44&gt;1,DX250=$N250),1-SUM($EN250:EO250),
IF($N250&lt;=1,
IF($N250&gt;0,1/$N250,0),
IF(EP$44=2,0,VDB(1,0,$N250,INT(EP$44-2-1),MIN($N250,INT(EP$44-2-1)+1),$DC250,IF($DD250="No",1,0))/
IF(DW250&gt;=INT($N250),$N250-INT($N250),1)))*
IF(EP$44=2,0,
IF(INT(DX250)=INT(DW250),DX250-DW250,INT(DX250)-DW250))+
IF($N250&lt;=1,
IF($N250&gt;0,1/$N250,0),VDB(1,0,$N250,INT(EP$44-2),MIN($N250,INT(EP$44-2)+1),$DC250,IF($DD250="No",1,0))/
IF(DX250&gt;INT($N250),$N250-INT($N250),1))*
IF(EP$44=2,DX250,
IF(INT(DX250)=INT(DW250),0,DX250-INT(DX250)))))</f>
        <v>0</v>
      </c>
      <c r="EQ250" s="836">
        <f>+IF(OR(DY250=DX250,EQ$44=1),0,
IF(AND(EQ$44&gt;1,DY250=$N250),1-SUM($EN250:EP250),
IF($N250&lt;=1,
IF($N250&gt;0,1/$N250,0),
IF(EQ$44=2,0,VDB(1,0,$N250,INT(EQ$44-2-1),MIN($N250,INT(EQ$44-2-1)+1),$DC250,IF($DD250="No",1,0))/
IF(DX250&gt;=INT($N250),$N250-INT($N250),1)))*
IF(EQ$44=2,0,
IF(INT(DY250)=INT(DX250),DY250-DX250,INT(DY250)-DX250))+
IF($N250&lt;=1,
IF($N250&gt;0,1/$N250,0),VDB(1,0,$N250,INT(EQ$44-2),MIN($N250,INT(EQ$44-2)+1),$DC250,IF($DD250="No",1,0))/
IF(DY250&gt;INT($N250),$N250-INT($N250),1))*
IF(EQ$44=2,DY250,
IF(INT(DY250)=INT(DX250),0,DY250-INT(DY250)))))</f>
        <v>0</v>
      </c>
      <c r="ER250" s="834">
        <f>+IF(OR(DZ250=DY250,ER$44=1),0,
IF(AND(ER$44&gt;1,DZ250=$N250),1-SUM($EN250:EQ250),
IF($N250&lt;=1,
IF($N250&gt;0,1/$N250,0),
IF(ER$44=2,0,VDB(1,0,$N250,INT(ER$44-2-1),MIN($N250,INT(ER$44-2-1)+1),$DC250,IF($DD250="No",1,0))/
IF(DY250&gt;=INT($N250),$N250-INT($N250),1)))*
IF(ER$44=2,0,
IF(INT(DZ250)=INT(DY250),DZ250-DY250,INT(DZ250)-DY250))+
IF($N250&lt;=1,
IF($N250&gt;0,1/$N250,0),VDB(1,0,$N250,INT(ER$44-2),MIN($N250,INT(ER$44-2)+1),$DC250,IF($DD250="No",1,0))/
IF(DZ250&gt;INT($N250),$N250-INT($N250),1))*
IF(ER$44=2,DZ250,
IF(INT(DZ250)=INT(DY250),0,DZ250-INT(DZ250)))))</f>
        <v>0</v>
      </c>
      <c r="ES250" s="835">
        <f>+IF(OR(EA250=DZ250,ES$44=1),0,
IF(AND(ES$44&gt;1,EA250=$N250),1-SUM($EN250:ER250),
IF($N250&lt;=1,
IF($N250&gt;0,1/$N250,0),
IF(ES$44=2,0,VDB(1,0,$N250,INT(ES$44-2-1),MIN($N250,INT(ES$44-2-1)+1),$DC250,IF($DD250="No",1,0))/
IF(DZ250&gt;=INT($N250),$N250-INT($N250),1)))*
IF(ES$44=2,0,
IF(INT(EA250)=INT(DZ250),EA250-DZ250,INT(EA250)-DZ250))+
IF($N250&lt;=1,
IF($N250&gt;0,1/$N250,0),VDB(1,0,$N250,INT(ES$44-2),MIN($N250,INT(ES$44-2)+1),$DC250,IF($DD250="No",1,0))/
IF(EA250&gt;INT($N250),$N250-INT($N250),1))*
IF(ES$44=2,EA250,
IF(INT(EA250)=INT(DZ250),0,EA250-INT(EA250)))))</f>
        <v>0</v>
      </c>
      <c r="ET250" s="835">
        <f>+IF(OR(EB250=EA250,ET$44=1),0,
IF(AND(ET$44&gt;1,EB250=$N250),1-SUM($EN250:ES250),
IF($N250&lt;=1,
IF($N250&gt;0,1/$N250,0),
IF(ET$44=2,0,VDB(1,0,$N250,INT(ET$44-2-1),MIN($N250,INT(ET$44-2-1)+1),$DC250,IF($DD250="No",1,0))/
IF(EA250&gt;=INT($N250),$N250-INT($N250),1)))*
IF(ET$44=2,0,
IF(INT(EB250)=INT(EA250),EB250-EA250,INT(EB250)-EA250))+
IF($N250&lt;=1,
IF($N250&gt;0,1/$N250,0),VDB(1,0,$N250,INT(ET$44-2),MIN($N250,INT(ET$44-2)+1),$DC250,IF($DD250="No",1,0))/
IF(EB250&gt;INT($N250),$N250-INT($N250),1))*
IF(ET$44=2,EB250,
IF(INT(EB250)=INT(EA250),0,EB250-INT(EB250)))))</f>
        <v>0</v>
      </c>
      <c r="EU250" s="835">
        <f>+IF(OR(EC250=EB250,EU$44=1),0,
IF(AND(EU$44&gt;1,EC250=$N250),1-SUM($EN250:ET250),
IF($N250&lt;=1,
IF($N250&gt;0,1/$N250,0),
IF(EU$44=2,0,VDB(1,0,$N250,INT(EU$44-2-1),MIN($N250,INT(EU$44-2-1)+1),$DC250,IF($DD250="No",1,0))/
IF(EB250&gt;=INT($N250),$N250-INT($N250),1)))*
IF(EU$44=2,0,
IF(INT(EC250)=INT(EB250),EC250-EB250,INT(EC250)-EB250))+
IF($N250&lt;=1,
IF($N250&gt;0,1/$N250,0),VDB(1,0,$N250,INT(EU$44-2),MIN($N250,INT(EU$44-2)+1),$DC250,IF($DD250="No",1,0))/
IF(EC250&gt;INT($N250),$N250-INT($N250),1))*
IF(EU$44=2,EC250,
IF(INT(EC250)=INT(EB250),0,EC250-INT(EC250)))))</f>
        <v>0</v>
      </c>
      <c r="EV250" s="836">
        <f>+IF(OR(ED250=EC250,EV$44=1),0,
IF(AND(EV$44&gt;1,ED250=$N250),1-SUM($EN250:EU250),
IF($N250&lt;=1,
IF($N250&gt;0,1/$N250,0),
IF(EV$44=2,0,VDB(1,0,$N250,INT(EV$44-2-1),MIN($N250,INT(EV$44-2-1)+1),$DC250,IF($DD250="No",1,0))/
IF(EC250&gt;=INT($N250),$N250-INT($N250),1)))*
IF(EV$44=2,0,
IF(INT(ED250)=INT(EC250),ED250-EC250,INT(ED250)-EC250))+
IF($N250&lt;=1,
IF($N250&gt;0,1/$N250,0),VDB(1,0,$N250,INT(EV$44-2),MIN($N250,INT(EV$44-2)+1),$DC250,IF($DD250="No",1,0))/
IF(ED250&gt;INT($N250),$N250-INT($N250),1))*
IF(EV$44=2,ED250,
IF(INT(ED250)=INT(EC250),0,ED250-INT(ED250)))))</f>
        <v>0</v>
      </c>
      <c r="EW250" s="833"/>
      <c r="EX250" s="834">
        <f t="shared" ca="1" si="503"/>
        <v>0</v>
      </c>
      <c r="EY250" s="835">
        <f t="shared" ca="1" si="503"/>
        <v>0</v>
      </c>
      <c r="EZ250" s="836">
        <f t="shared" ca="1" si="503"/>
        <v>0</v>
      </c>
      <c r="FA250" s="834">
        <f t="shared" ca="1" si="503"/>
        <v>0</v>
      </c>
      <c r="FB250" s="835">
        <f t="shared" ca="1" si="503"/>
        <v>0</v>
      </c>
      <c r="FC250" s="835">
        <f t="shared" ca="1" si="503"/>
        <v>0</v>
      </c>
      <c r="FD250" s="835">
        <f t="shared" ca="1" si="503"/>
        <v>0</v>
      </c>
      <c r="FE250" s="836">
        <f t="shared" ca="1" si="503"/>
        <v>0</v>
      </c>
      <c r="FG250" s="386">
        <f t="shared" ca="1" si="504"/>
        <v>0</v>
      </c>
      <c r="FH250" s="387">
        <f t="shared" ca="1" si="505"/>
        <v>0</v>
      </c>
      <c r="FI250" s="388">
        <f t="shared" ca="1" si="506"/>
        <v>0</v>
      </c>
      <c r="FJ250" s="386">
        <f t="shared" ca="1" si="507"/>
        <v>0</v>
      </c>
      <c r="FK250" s="387">
        <f t="shared" ca="1" si="508"/>
        <v>0</v>
      </c>
      <c r="FL250" s="387">
        <f t="shared" ca="1" si="509"/>
        <v>0</v>
      </c>
      <c r="FM250" s="387">
        <f t="shared" ca="1" si="510"/>
        <v>0</v>
      </c>
      <c r="FN250" s="388">
        <f t="shared" ca="1" si="511"/>
        <v>0</v>
      </c>
      <c r="FR250" s="116"/>
    </row>
    <row r="251" spans="2:174">
      <c r="B251" s="1410">
        <f t="shared" si="359"/>
        <v>205</v>
      </c>
      <c r="C251" s="400"/>
      <c r="D251" s="410"/>
      <c r="E251" s="402"/>
      <c r="F251" s="402"/>
      <c r="G251" s="400"/>
      <c r="H251" s="2088"/>
      <c r="I251" s="2089"/>
      <c r="J251" s="411"/>
      <c r="K251" s="403"/>
      <c r="L251" s="403"/>
      <c r="M251" s="403"/>
      <c r="N251" s="403"/>
      <c r="O251" s="347"/>
      <c r="P251" s="347"/>
      <c r="Q251" s="1021"/>
      <c r="R251" s="1022"/>
      <c r="S251" s="1022"/>
      <c r="T251" s="1022"/>
      <c r="U251" s="1023"/>
      <c r="V251" s="1021"/>
      <c r="W251" s="1022"/>
      <c r="X251" s="1022"/>
      <c r="Y251" s="1022"/>
      <c r="Z251" s="1023"/>
      <c r="AA251" s="1024"/>
      <c r="AB251" s="1021"/>
      <c r="AC251" s="1022"/>
      <c r="AD251" s="1022"/>
      <c r="AE251" s="1022"/>
      <c r="AF251" s="1023"/>
      <c r="AG251" s="1021"/>
      <c r="AH251" s="1022"/>
      <c r="AI251" s="1022"/>
      <c r="AJ251" s="1022"/>
      <c r="AK251" s="1023"/>
      <c r="AL251" s="1024"/>
      <c r="AM251" s="1021"/>
      <c r="AN251" s="1022"/>
      <c r="AO251" s="1022"/>
      <c r="AP251" s="1022"/>
      <c r="AQ251" s="1023"/>
      <c r="AR251" s="1021"/>
      <c r="AS251" s="1022"/>
      <c r="AT251" s="1022"/>
      <c r="AU251" s="1022"/>
      <c r="AV251" s="1023"/>
      <c r="AW251" s="1025"/>
      <c r="AX251" s="1282">
        <f t="shared" si="457"/>
        <v>0</v>
      </c>
      <c r="AY251" s="387">
        <f t="shared" si="458"/>
        <v>0</v>
      </c>
      <c r="AZ251" s="387">
        <f t="shared" si="459"/>
        <v>0</v>
      </c>
      <c r="BA251" s="387">
        <f t="shared" si="460"/>
        <v>0</v>
      </c>
      <c r="BB251" s="1283">
        <f t="shared" si="461"/>
        <v>0</v>
      </c>
      <c r="BC251" s="386">
        <f t="shared" si="462"/>
        <v>0</v>
      </c>
      <c r="BD251" s="387">
        <f t="shared" si="463"/>
        <v>0</v>
      </c>
      <c r="BE251" s="1277">
        <f t="shared" si="464"/>
        <v>0</v>
      </c>
      <c r="BF251" s="1277">
        <f t="shared" si="465"/>
        <v>0</v>
      </c>
      <c r="BG251" s="388">
        <f t="shared" si="466"/>
        <v>0</v>
      </c>
      <c r="BH251" s="1025"/>
      <c r="BI251" s="1282">
        <f t="shared" ca="1" si="467"/>
        <v>0</v>
      </c>
      <c r="BJ251" s="387">
        <f t="shared" ca="1" si="468"/>
        <v>0</v>
      </c>
      <c r="BK251" s="387">
        <f t="shared" ca="1" si="469"/>
        <v>0</v>
      </c>
      <c r="BL251" s="387">
        <f t="shared" ca="1" si="470"/>
        <v>0</v>
      </c>
      <c r="BM251" s="1283">
        <f t="shared" ca="1" si="471"/>
        <v>0</v>
      </c>
      <c r="BN251" s="386">
        <f t="shared" ca="1" si="472"/>
        <v>0</v>
      </c>
      <c r="BO251" s="387">
        <f t="shared" ca="1" si="473"/>
        <v>0</v>
      </c>
      <c r="BP251" s="1277">
        <f t="shared" ca="1" si="474"/>
        <v>0</v>
      </c>
      <c r="BQ251" s="1277">
        <f t="shared" ca="1" si="475"/>
        <v>0</v>
      </c>
      <c r="BR251" s="388">
        <f t="shared" ca="1" si="476"/>
        <v>0</v>
      </c>
      <c r="BS251" s="1025"/>
      <c r="BT251" s="1282">
        <f>+IF($K251="Ongoing",AX251,IF(RIGHT($K251,2)=RIGHT(BT$43,2),SUM($AX251:AX251),0)+IF(RIGHT(BT$43,2)&gt;RIGHT($K251,2),AX251,0))</f>
        <v>0</v>
      </c>
      <c r="BU251" s="387">
        <f>+IF($K251="Ongoing",AY251,IF(RIGHT($K251,2)=RIGHT(BU$43,2),SUM($AX251:AY251),0)+IF(RIGHT(BU$43,2)&gt;RIGHT($K251,2),AY251,0))</f>
        <v>0</v>
      </c>
      <c r="BV251" s="387">
        <f>+IF($K251="Ongoing",AZ251,IF(RIGHT($K251,2)=RIGHT(BV$43,2),SUM($AX251:AZ251),0)+IF(RIGHT(BV$43,2)&gt;RIGHT($K251,2),AZ251,0))</f>
        <v>0</v>
      </c>
      <c r="BW251" s="387">
        <f>+IF($K251="Ongoing",BA251,IF(RIGHT($K251,2)=RIGHT(BW$43,2),SUM($AX251:BA251),0)+IF(RIGHT(BW$43,2)&gt;RIGHT($K251,2),BA251,0))</f>
        <v>0</v>
      </c>
      <c r="BX251" s="1283">
        <f>+IF($K251="Ongoing",BB251,IF(RIGHT($K251,2)=RIGHT(BX$43,2),SUM($AX251:BB251),0)+IF(RIGHT(BX$43,2)&gt;RIGHT($K251,2),BB251,0))</f>
        <v>0</v>
      </c>
      <c r="BY251" s="386">
        <f>+IF($K251="Ongoing",BC251,IF(RIGHT($K251,2)=RIGHT(BY$43,2),SUM($AX251:BC251),0)+IF(RIGHT(BY$43,2)&gt;RIGHT($K251,2),BC251,0))</f>
        <v>0</v>
      </c>
      <c r="BZ251" s="387">
        <f>+IF($K251="Ongoing",BD251,IF(RIGHT($K251,2)=RIGHT(BZ$43,2),SUM($AX251:BD251),0)+IF(RIGHT(BZ$43,2)&gt;RIGHT($K251,2),BD251,0))</f>
        <v>0</v>
      </c>
      <c r="CA251" s="1277">
        <f>+IF($K251="Ongoing",BE251,IF(RIGHT($K251,2)=RIGHT(CA$43,2),SUM($AX251:BE251),0)+IF(RIGHT(CA$43,2)&gt;RIGHT($K251,2),BE251,0))</f>
        <v>0</v>
      </c>
      <c r="CB251" s="1277">
        <f>+IF($K251="Ongoing",BF251,IF(RIGHT($K251,2)=RIGHT(CB$43,2),SUM($AX251:BF251),0)+IF(RIGHT(CB$43,2)&gt;RIGHT($K251,2),BF251,0))</f>
        <v>0</v>
      </c>
      <c r="CC251" s="388">
        <f>+IF($K251="Ongoing",BG251,IF(RIGHT($K251,2)=RIGHT(CC$43,2),SUM($AX251:BG251),0)+IF(RIGHT(CC$43,2)&gt;RIGHT($K251,2),BG251,0))</f>
        <v>0</v>
      </c>
      <c r="CD251" s="1025"/>
      <c r="CE251" s="1282">
        <f>+Q251*KeyAssumptionsPriceControl_FO!AF$15</f>
        <v>0</v>
      </c>
      <c r="CF251" s="387">
        <f>+R251*KeyAssumptionsPriceControl_FO!AG$15</f>
        <v>0</v>
      </c>
      <c r="CG251" s="387">
        <f>+S251*KeyAssumptionsPriceControl_FO!AH$15</f>
        <v>0</v>
      </c>
      <c r="CH251" s="387">
        <f>+T251*KeyAssumptionsPriceControl_FO!AI$15</f>
        <v>0</v>
      </c>
      <c r="CI251" s="1283">
        <f>+U251*KeyAssumptionsPriceControl_FO!AJ$15</f>
        <v>0</v>
      </c>
      <c r="CJ251" s="386">
        <f>+V251*KeyAssumptionsPriceControl_FO!AK$15</f>
        <v>0</v>
      </c>
      <c r="CK251" s="387">
        <f>+W251*KeyAssumptionsPriceControl_FO!AL$15</f>
        <v>0</v>
      </c>
      <c r="CL251" s="1277">
        <f>+X251*KeyAssumptionsPriceControl_FO!AM$15</f>
        <v>0</v>
      </c>
      <c r="CM251" s="1277">
        <f>+Y251*KeyAssumptionsPriceControl_FO!AN$15</f>
        <v>0</v>
      </c>
      <c r="CN251" s="388">
        <f>+Z251*KeyAssumptionsPriceControl_FO!AO$15</f>
        <v>0</v>
      </c>
      <c r="CO251" s="1025"/>
      <c r="CP251" s="1282">
        <f t="shared" ca="1" si="477"/>
        <v>0</v>
      </c>
      <c r="CQ251" s="387">
        <f t="shared" ca="1" si="478"/>
        <v>0</v>
      </c>
      <c r="CR251" s="387">
        <f t="shared" ca="1" si="479"/>
        <v>0</v>
      </c>
      <c r="CS251" s="387">
        <f t="shared" ca="1" si="480"/>
        <v>0</v>
      </c>
      <c r="CT251" s="1283">
        <f t="shared" ca="1" si="481"/>
        <v>0</v>
      </c>
      <c r="CU251" s="386">
        <f t="shared" ca="1" si="482"/>
        <v>0</v>
      </c>
      <c r="CV251" s="387">
        <f t="shared" ca="1" si="483"/>
        <v>0</v>
      </c>
      <c r="CW251" s="1277">
        <f t="shared" ca="1" si="484"/>
        <v>0</v>
      </c>
      <c r="CX251" s="1277">
        <f t="shared" ca="1" si="485"/>
        <v>0</v>
      </c>
      <c r="CY251" s="388">
        <f t="shared" ca="1" si="486"/>
        <v>0</v>
      </c>
      <c r="CZ251" s="347"/>
      <c r="DA251" s="852"/>
      <c r="DB251" s="347"/>
      <c r="DC251" s="1012" t="s">
        <v>536</v>
      </c>
      <c r="DD251" s="841" t="s">
        <v>518</v>
      </c>
      <c r="DE251" s="386">
        <f>+IF($K251="ongoing",CE251,IF(RIGHT($K251,2)=RIGHT(DE$43,2),SUM($CD251:CE251),0)+IF(RIGHT(DE$43,2)&gt;RIGHT($K251,2),CE251,0))</f>
        <v>0</v>
      </c>
      <c r="DF251" s="387">
        <f>+IF($K251="ongoing",CF251,IF(RIGHT($K251,2)=RIGHT(DF$43,2),SUM($CD251:CF251),0)+IF(RIGHT(DF$43,2)&gt;RIGHT($K251,2),CF251,0))</f>
        <v>0</v>
      </c>
      <c r="DG251" s="388">
        <f>+IF($K251="ongoing",CG251,IF(RIGHT($K251,2)=RIGHT(DG$43,2),SUM($CD251:CG251),0)+IF(RIGHT(DG$43,2)&gt;RIGHT($K251,2),CG251,0))</f>
        <v>0</v>
      </c>
      <c r="DH251" s="386">
        <f>+IF($K251="ongoing",CH251,IF(RIGHT($K251,2)=RIGHT(DH$43,2),SUM($CD251:CH251),0)+IF(RIGHT(DH$43,2)&gt;RIGHT($K251,2),CH251,0))</f>
        <v>0</v>
      </c>
      <c r="DI251" s="387">
        <f>+IF($K251="ongoing",CI251,IF(RIGHT($K251,2)=RIGHT(DI$43,2),SUM($CD251:CI251),0)+IF(RIGHT(DI$43,2)&gt;RIGHT($K251,2),CI251,0))</f>
        <v>0</v>
      </c>
      <c r="DJ251" s="387">
        <f>+IF($K251="ongoing",CJ251,IF(RIGHT($K251,2)=RIGHT(DJ$43,2),SUM($CD251:CJ251),0)+IF(RIGHT(DJ$43,2)&gt;RIGHT($K251,2),CJ251,0))</f>
        <v>0</v>
      </c>
      <c r="DK251" s="387">
        <f>+IF($K251="ongoing",CK251,IF(RIGHT($K251,2)=RIGHT(DK$43,2),SUM($CD251:CK251),0)+IF(RIGHT(DK$43,2)&gt;RIGHT($K251,2),CK251,0))</f>
        <v>0</v>
      </c>
      <c r="DL251" s="388">
        <f>+IF($K251="ongoing",CN251,IF(RIGHT($K251,2)=RIGHT(DL$43,2),SUM($CD251:CN251),0)+IF(RIGHT(DL$43,2)&gt;RIGHT($K251,2),CN251,0))</f>
        <v>0</v>
      </c>
      <c r="DM251" s="841"/>
      <c r="DN251" s="386">
        <f t="shared" si="487"/>
        <v>0.5</v>
      </c>
      <c r="DO251" s="387">
        <f t="shared" si="488"/>
        <v>1</v>
      </c>
      <c r="DP251" s="388">
        <f t="shared" si="489"/>
        <v>1</v>
      </c>
      <c r="DQ251" s="386">
        <f t="shared" si="490"/>
        <v>1</v>
      </c>
      <c r="DR251" s="387">
        <f t="shared" si="491"/>
        <v>1</v>
      </c>
      <c r="DS251" s="387">
        <f t="shared" si="492"/>
        <v>1</v>
      </c>
      <c r="DT251" s="387">
        <f t="shared" si="493"/>
        <v>1</v>
      </c>
      <c r="DU251" s="388">
        <f t="shared" si="494"/>
        <v>1</v>
      </c>
      <c r="DW251" s="386">
        <f t="shared" si="495"/>
        <v>0</v>
      </c>
      <c r="DX251" s="387">
        <f t="shared" si="496"/>
        <v>0.5</v>
      </c>
      <c r="DY251" s="388">
        <f t="shared" si="497"/>
        <v>1</v>
      </c>
      <c r="DZ251" s="386">
        <f t="shared" si="498"/>
        <v>1</v>
      </c>
      <c r="EA251" s="387">
        <f t="shared" si="499"/>
        <v>1</v>
      </c>
      <c r="EB251" s="387">
        <f t="shared" si="500"/>
        <v>1</v>
      </c>
      <c r="EC251" s="387">
        <f t="shared" si="501"/>
        <v>1</v>
      </c>
      <c r="ED251" s="388">
        <f t="shared" si="502"/>
        <v>1</v>
      </c>
      <c r="EF251" s="834">
        <f>+IF(DN251=DM251,0,
IF(AND(EF$44&gt;1,DN251=$N251),1-SUM($EE251:EE251),
IF($N251&lt;=1,
IF($N251&gt;0,1/$N251,0),
IF(EF$44=1,0,VDB(1,0,$N251,INT(EF$44-1-1),MIN($N251,INT(EF$44-1-1)+1),$DC251,IF($DD251="No",1,0))/
IF(DM251&gt;=INT($N251),$N251-INT($N251),1)))*
IF(EF$44=1,0,
IF(INT(DN251)=INT(DM251),DN251-DM251,INT(DN251)-DM251))+
IF($N251&lt;=1,
IF($N251&gt;0,1/$N251,0),VDB(1,0,$N251,INT(EF$44-1),MIN($N251,INT(EF$44-1)+1),$DC251,IF($DD251="No",1,0))/
IF(DN251&gt;INT($N251),$N251-INT($N251),1))*
IF(EF$44=1,DN251,
IF(INT(DN251)=INT(DM251),0,DN251-INT(DN251)))))</f>
        <v>0</v>
      </c>
      <c r="EG251" s="835">
        <f>+IF(DO251=DN251,0,
IF(AND(EG$44&gt;1,DO251=$N251),1-SUM($EE251:EF251),
IF($N251&lt;=1,
IF($N251&gt;0,1/$N251,0),
IF(EG$44=1,0,VDB(1,0,$N251,INT(EG$44-1-1),MIN($N251,INT(EG$44-1-1)+1),$DC251,IF($DD251="No",1,0))/
IF(DN251&gt;=INT($N251),$N251-INT($N251),1)))*
IF(EG$44=1,0,
IF(INT(DO251)=INT(DN251),DO251-DN251,INT(DO251)-DN251))+
IF($N251&lt;=1,
IF($N251&gt;0,1/$N251,0),VDB(1,0,$N251,INT(EG$44-1),MIN($N251,INT(EG$44-1)+1),$DC251,IF($DD251="No",1,0))/
IF(DO251&gt;INT($N251),$N251-INT($N251),1))*
IF(EG$44=1,DO251,
IF(INT(DO251)=INT(DN251),0,DO251-INT(DO251)))))</f>
        <v>0</v>
      </c>
      <c r="EH251" s="836">
        <f>+IF(DP251=DO251,0,
IF(AND(EH$44&gt;1,DP251=$N251),1-SUM($EE251:EG251),
IF($N251&lt;=1,
IF($N251&gt;0,1/$N251,0),
IF(EH$44=1,0,VDB(1,0,$N251,INT(EH$44-1-1),MIN($N251,INT(EH$44-1-1)+1),$DC251,IF($DD251="No",1,0))/
IF(DO251&gt;=INT($N251),$N251-INT($N251),1)))*
IF(EH$44=1,0,
IF(INT(DP251)=INT(DO251),DP251-DO251,INT(DP251)-DO251))+
IF($N251&lt;=1,
IF($N251&gt;0,1/$N251,0),VDB(1,0,$N251,INT(EH$44-1),MIN($N251,INT(EH$44-1)+1),$DC251,IF($DD251="No",1,0))/
IF(DP251&gt;INT($N251),$N251-INT($N251),1))*
IF(EH$44=1,DP251,
IF(INT(DP251)=INT(DO251),0,DP251-INT(DP251)))))</f>
        <v>0</v>
      </c>
      <c r="EI251" s="834">
        <f>+IF(DQ251=DP251,0,
IF(AND(EI$44&gt;1,DQ251=$N251),1-SUM($EE251:EH251),
IF($N251&lt;=1,
IF($N251&gt;0,1/$N251,0),
IF(EI$44=1,0,VDB(1,0,$N251,INT(EI$44-1-1),MIN($N251,INT(EI$44-1-1)+1),$DC251,IF($DD251="No",1,0))/
IF(DP251&gt;=INT($N251),$N251-INT($N251),1)))*
IF(EI$44=1,0,
IF(INT(DQ251)=INT(DP251),DQ251-DP251,INT(DQ251)-DP251))+
IF($N251&lt;=1,
IF($N251&gt;0,1/$N251,0),VDB(1,0,$N251,INT(EI$44-1),MIN($N251,INT(EI$44-1)+1),$DC251,IF($DD251="No",1,0))/
IF(DQ251&gt;INT($N251),$N251-INT($N251),1))*
IF(EI$44=1,DQ251,
IF(INT(DQ251)=INT(DP251),0,DQ251-INT(DQ251)))))</f>
        <v>0</v>
      </c>
      <c r="EJ251" s="835">
        <f>+IF(DR251=DQ251,0,
IF(AND(EJ$44&gt;1,DR251=$N251),1-SUM($EE251:EI251),
IF($N251&lt;=1,
IF($N251&gt;0,1/$N251,0),
IF(EJ$44=1,0,VDB(1,0,$N251,INT(EJ$44-1-1),MIN($N251,INT(EJ$44-1-1)+1),$DC251,IF($DD251="No",1,0))/
IF(DQ251&gt;=INT($N251),$N251-INT($N251),1)))*
IF(EJ$44=1,0,
IF(INT(DR251)=INT(DQ251),DR251-DQ251,INT(DR251)-DQ251))+
IF($N251&lt;=1,
IF($N251&gt;0,1/$N251,0),VDB(1,0,$N251,INT(EJ$44-1),MIN($N251,INT(EJ$44-1)+1),$DC251,IF($DD251="No",1,0))/
IF(DR251&gt;INT($N251),$N251-INT($N251),1))*
IF(EJ$44=1,DR251,
IF(INT(DR251)=INT(DQ251),0,DR251-INT(DR251)))))</f>
        <v>0</v>
      </c>
      <c r="EK251" s="835">
        <f>+IF(DS251=DR251,0,
IF(AND(EK$44&gt;1,DS251=$N251),1-SUM($EE251:EJ251),
IF($N251&lt;=1,
IF($N251&gt;0,1/$N251,0),
IF(EK$44=1,0,VDB(1,0,$N251,INT(EK$44-1-1),MIN($N251,INT(EK$44-1-1)+1),$DC251,IF($DD251="No",1,0))/
IF(DR251&gt;=INT($N251),$N251-INT($N251),1)))*
IF(EK$44=1,0,
IF(INT(DS251)=INT(DR251),DS251-DR251,INT(DS251)-DR251))+
IF($N251&lt;=1,
IF($N251&gt;0,1/$N251,0),VDB(1,0,$N251,INT(EK$44-1),MIN($N251,INT(EK$44-1)+1),$DC251,IF($DD251="No",1,0))/
IF(DS251&gt;INT($N251),$N251-INT($N251),1))*
IF(EK$44=1,DS251,
IF(INT(DS251)=INT(DR251),0,DS251-INT(DS251)))))</f>
        <v>0</v>
      </c>
      <c r="EL251" s="835">
        <f>+IF(DT251=DS251,0,
IF(AND(EL$44&gt;1,DT251=$N251),1-SUM($EE251:EK251),
IF($N251&lt;=1,
IF($N251&gt;0,1/$N251,0),
IF(EL$44=1,0,VDB(1,0,$N251,INT(EL$44-1-1),MIN($N251,INT(EL$44-1-1)+1),$DC251,IF($DD251="No",1,0))/
IF(DS251&gt;=INT($N251),$N251-INT($N251),1)))*
IF(EL$44=1,0,
IF(INT(DT251)=INT(DS251),DT251-DS251,INT(DT251)-DS251))+
IF($N251&lt;=1,
IF($N251&gt;0,1/$N251,0),VDB(1,0,$N251,INT(EL$44-1),MIN($N251,INT(EL$44-1)+1),$DC251,IF($DD251="No",1,0))/
IF(DT251&gt;INT($N251),$N251-INT($N251),1))*
IF(EL$44=1,DT251,
IF(INT(DT251)=INT(DS251),0,DT251-INT(DT251)))))</f>
        <v>0</v>
      </c>
      <c r="EM251" s="836">
        <f>+IF(DU251=DT251,0,
IF(AND(EM$44&gt;1,DU251=$N251),1-SUM($EE251:EL251),
IF($N251&lt;=1,
IF($N251&gt;0,1/$N251,0),
IF(EM$44=1,0,VDB(1,0,$N251,INT(EM$44-1-1),MIN($N251,INT(EM$44-1-1)+1),$DC251,IF($DD251="No",1,0))/
IF(DT251&gt;=INT($N251),$N251-INT($N251),1)))*
IF(EM$44=1,0,
IF(INT(DU251)=INT(DT251),DU251-DT251,INT(DU251)-DT251))+
IF($N251&lt;=1,
IF($N251&gt;0,1/$N251,0),VDB(1,0,$N251,INT(EM$44-1),MIN($N251,INT(EM$44-1)+1),$DC251,IF($DD251="No",1,0))/
IF(DU251&gt;INT($N251),$N251-INT($N251),1))*
IF(EM$44=1,DU251,
IF(INT(DU251)=INT(DT251),0,DU251-INT(DU251)))))</f>
        <v>0</v>
      </c>
      <c r="EN251" s="833"/>
      <c r="EO251" s="834">
        <f>+IF(OR(DW251=DV251,EO$44=1),0,
IF(AND(EO$44&gt;1,DW251=$N251),1-SUM($EN251:EN251),
IF($N251&lt;=1,
IF($N251&gt;0,1/$N251,0),
IF(EO$44=2,0,VDB(1,0,$N251,INT(EO$44-2-1),MIN($N251,INT(EO$44-2-1)+1),$DC251,IF($DD251="No",1,0))/
IF(DV251&gt;=INT($N251),$N251-INT($N251),1)))*
IF(EO$44=2,0,
IF(INT(DW251)=INT(DV251),DW251-DV251,INT(DW251)-DV251))+
IF($N251&lt;=1,
IF($N251&gt;0,1/$N251,0),VDB(1,0,$N251,INT(EO$44-2),MIN($N251,INT(EO$44-2)+1),$DC251,IF($DD251="No",1,0))/
IF(DW251&gt;INT($N251),$N251-INT($N251),1))*
IF(EO$44=2,DW251,
IF(INT(DW251)=INT(DV251),0,DW251-INT(DW251)))))</f>
        <v>0</v>
      </c>
      <c r="EP251" s="835">
        <f>+IF(OR(DX251=DW251,EP$44=1),0,
IF(AND(EP$44&gt;1,DX251=$N251),1-SUM($EN251:EO251),
IF($N251&lt;=1,
IF($N251&gt;0,1/$N251,0),
IF(EP$44=2,0,VDB(1,0,$N251,INT(EP$44-2-1),MIN($N251,INT(EP$44-2-1)+1),$DC251,IF($DD251="No",1,0))/
IF(DW251&gt;=INT($N251),$N251-INT($N251),1)))*
IF(EP$44=2,0,
IF(INT(DX251)=INT(DW251),DX251-DW251,INT(DX251)-DW251))+
IF($N251&lt;=1,
IF($N251&gt;0,1/$N251,0),VDB(1,0,$N251,INT(EP$44-2),MIN($N251,INT(EP$44-2)+1),$DC251,IF($DD251="No",1,0))/
IF(DX251&gt;INT($N251),$N251-INT($N251),1))*
IF(EP$44=2,DX251,
IF(INT(DX251)=INT(DW251),0,DX251-INT(DX251)))))</f>
        <v>0</v>
      </c>
      <c r="EQ251" s="836">
        <f>+IF(OR(DY251=DX251,EQ$44=1),0,
IF(AND(EQ$44&gt;1,DY251=$N251),1-SUM($EN251:EP251),
IF($N251&lt;=1,
IF($N251&gt;0,1/$N251,0),
IF(EQ$44=2,0,VDB(1,0,$N251,INT(EQ$44-2-1),MIN($N251,INT(EQ$44-2-1)+1),$DC251,IF($DD251="No",1,0))/
IF(DX251&gt;=INT($N251),$N251-INT($N251),1)))*
IF(EQ$44=2,0,
IF(INT(DY251)=INT(DX251),DY251-DX251,INT(DY251)-DX251))+
IF($N251&lt;=1,
IF($N251&gt;0,1/$N251,0),VDB(1,0,$N251,INT(EQ$44-2),MIN($N251,INT(EQ$44-2)+1),$DC251,IF($DD251="No",1,0))/
IF(DY251&gt;INT($N251),$N251-INT($N251),1))*
IF(EQ$44=2,DY251,
IF(INT(DY251)=INT(DX251),0,DY251-INT(DY251)))))</f>
        <v>0</v>
      </c>
      <c r="ER251" s="834">
        <f>+IF(OR(DZ251=DY251,ER$44=1),0,
IF(AND(ER$44&gt;1,DZ251=$N251),1-SUM($EN251:EQ251),
IF($N251&lt;=1,
IF($N251&gt;0,1/$N251,0),
IF(ER$44=2,0,VDB(1,0,$N251,INT(ER$44-2-1),MIN($N251,INT(ER$44-2-1)+1),$DC251,IF($DD251="No",1,0))/
IF(DY251&gt;=INT($N251),$N251-INT($N251),1)))*
IF(ER$44=2,0,
IF(INT(DZ251)=INT(DY251),DZ251-DY251,INT(DZ251)-DY251))+
IF($N251&lt;=1,
IF($N251&gt;0,1/$N251,0),VDB(1,0,$N251,INT(ER$44-2),MIN($N251,INT(ER$44-2)+1),$DC251,IF($DD251="No",1,0))/
IF(DZ251&gt;INT($N251),$N251-INT($N251),1))*
IF(ER$44=2,DZ251,
IF(INT(DZ251)=INT(DY251),0,DZ251-INT(DZ251)))))</f>
        <v>0</v>
      </c>
      <c r="ES251" s="835">
        <f>+IF(OR(EA251=DZ251,ES$44=1),0,
IF(AND(ES$44&gt;1,EA251=$N251),1-SUM($EN251:ER251),
IF($N251&lt;=1,
IF($N251&gt;0,1/$N251,0),
IF(ES$44=2,0,VDB(1,0,$N251,INT(ES$44-2-1),MIN($N251,INT(ES$44-2-1)+1),$DC251,IF($DD251="No",1,0))/
IF(DZ251&gt;=INT($N251),$N251-INT($N251),1)))*
IF(ES$44=2,0,
IF(INT(EA251)=INT(DZ251),EA251-DZ251,INT(EA251)-DZ251))+
IF($N251&lt;=1,
IF($N251&gt;0,1/$N251,0),VDB(1,0,$N251,INT(ES$44-2),MIN($N251,INT(ES$44-2)+1),$DC251,IF($DD251="No",1,0))/
IF(EA251&gt;INT($N251),$N251-INT($N251),1))*
IF(ES$44=2,EA251,
IF(INT(EA251)=INT(DZ251),0,EA251-INT(EA251)))))</f>
        <v>0</v>
      </c>
      <c r="ET251" s="835">
        <f>+IF(OR(EB251=EA251,ET$44=1),0,
IF(AND(ET$44&gt;1,EB251=$N251),1-SUM($EN251:ES251),
IF($N251&lt;=1,
IF($N251&gt;0,1/$N251,0),
IF(ET$44=2,0,VDB(1,0,$N251,INT(ET$44-2-1),MIN($N251,INT(ET$44-2-1)+1),$DC251,IF($DD251="No",1,0))/
IF(EA251&gt;=INT($N251),$N251-INT($N251),1)))*
IF(ET$44=2,0,
IF(INT(EB251)=INT(EA251),EB251-EA251,INT(EB251)-EA251))+
IF($N251&lt;=1,
IF($N251&gt;0,1/$N251,0),VDB(1,0,$N251,INT(ET$44-2),MIN($N251,INT(ET$44-2)+1),$DC251,IF($DD251="No",1,0))/
IF(EB251&gt;INT($N251),$N251-INT($N251),1))*
IF(ET$44=2,EB251,
IF(INT(EB251)=INT(EA251),0,EB251-INT(EB251)))))</f>
        <v>0</v>
      </c>
      <c r="EU251" s="835">
        <f>+IF(OR(EC251=EB251,EU$44=1),0,
IF(AND(EU$44&gt;1,EC251=$N251),1-SUM($EN251:ET251),
IF($N251&lt;=1,
IF($N251&gt;0,1/$N251,0),
IF(EU$44=2,0,VDB(1,0,$N251,INT(EU$44-2-1),MIN($N251,INT(EU$44-2-1)+1),$DC251,IF($DD251="No",1,0))/
IF(EB251&gt;=INT($N251),$N251-INT($N251),1)))*
IF(EU$44=2,0,
IF(INT(EC251)=INT(EB251),EC251-EB251,INT(EC251)-EB251))+
IF($N251&lt;=1,
IF($N251&gt;0,1/$N251,0),VDB(1,0,$N251,INT(EU$44-2),MIN($N251,INT(EU$44-2)+1),$DC251,IF($DD251="No",1,0))/
IF(EC251&gt;INT($N251),$N251-INT($N251),1))*
IF(EU$44=2,EC251,
IF(INT(EC251)=INT(EB251),0,EC251-INT(EC251)))))</f>
        <v>0</v>
      </c>
      <c r="EV251" s="836">
        <f>+IF(OR(ED251=EC251,EV$44=1),0,
IF(AND(EV$44&gt;1,ED251=$N251),1-SUM($EN251:EU251),
IF($N251&lt;=1,
IF($N251&gt;0,1/$N251,0),
IF(EV$44=2,0,VDB(1,0,$N251,INT(EV$44-2-1),MIN($N251,INT(EV$44-2-1)+1),$DC251,IF($DD251="No",1,0))/
IF(EC251&gt;=INT($N251),$N251-INT($N251),1)))*
IF(EV$44=2,0,
IF(INT(ED251)=INT(EC251),ED251-EC251,INT(ED251)-EC251))+
IF($N251&lt;=1,
IF($N251&gt;0,1/$N251,0),VDB(1,0,$N251,INT(EV$44-2),MIN($N251,INT(EV$44-2)+1),$DC251,IF($DD251="No",1,0))/
IF(ED251&gt;INT($N251),$N251-INT($N251),1))*
IF(EV$44=2,ED251,
IF(INT(ED251)=INT(EC251),0,ED251-INT(ED251)))))</f>
        <v>0</v>
      </c>
      <c r="EW251" s="833"/>
      <c r="EX251" s="834">
        <f t="shared" ca="1" si="503"/>
        <v>0</v>
      </c>
      <c r="EY251" s="835">
        <f t="shared" ca="1" si="503"/>
        <v>0</v>
      </c>
      <c r="EZ251" s="836">
        <f t="shared" ca="1" si="503"/>
        <v>0</v>
      </c>
      <c r="FA251" s="834">
        <f t="shared" ca="1" si="503"/>
        <v>0</v>
      </c>
      <c r="FB251" s="835">
        <f t="shared" ca="1" si="503"/>
        <v>0</v>
      </c>
      <c r="FC251" s="835">
        <f t="shared" ca="1" si="503"/>
        <v>0</v>
      </c>
      <c r="FD251" s="835">
        <f t="shared" ca="1" si="503"/>
        <v>0</v>
      </c>
      <c r="FE251" s="836">
        <f t="shared" ca="1" si="503"/>
        <v>0</v>
      </c>
      <c r="FG251" s="386">
        <f t="shared" ca="1" si="504"/>
        <v>0</v>
      </c>
      <c r="FH251" s="387">
        <f t="shared" ca="1" si="505"/>
        <v>0</v>
      </c>
      <c r="FI251" s="388">
        <f t="shared" ca="1" si="506"/>
        <v>0</v>
      </c>
      <c r="FJ251" s="386">
        <f t="shared" ca="1" si="507"/>
        <v>0</v>
      </c>
      <c r="FK251" s="387">
        <f t="shared" ca="1" si="508"/>
        <v>0</v>
      </c>
      <c r="FL251" s="387">
        <f t="shared" ca="1" si="509"/>
        <v>0</v>
      </c>
      <c r="FM251" s="387">
        <f t="shared" ca="1" si="510"/>
        <v>0</v>
      </c>
      <c r="FN251" s="388">
        <f t="shared" ca="1" si="511"/>
        <v>0</v>
      </c>
      <c r="FR251" s="116"/>
    </row>
    <row r="252" spans="2:174">
      <c r="B252" s="1410">
        <f t="shared" si="359"/>
        <v>206</v>
      </c>
      <c r="C252" s="400"/>
      <c r="D252" s="410"/>
      <c r="E252" s="402"/>
      <c r="F252" s="402"/>
      <c r="G252" s="400"/>
      <c r="H252" s="2088"/>
      <c r="I252" s="2089"/>
      <c r="J252" s="411"/>
      <c r="K252" s="403"/>
      <c r="L252" s="403"/>
      <c r="M252" s="403"/>
      <c r="N252" s="403"/>
      <c r="O252" s="347"/>
      <c r="P252" s="347"/>
      <c r="Q252" s="1021"/>
      <c r="R252" s="1022"/>
      <c r="S252" s="1022"/>
      <c r="T252" s="1022"/>
      <c r="U252" s="1023"/>
      <c r="V252" s="1021"/>
      <c r="W252" s="1022"/>
      <c r="X252" s="1022"/>
      <c r="Y252" s="1022"/>
      <c r="Z252" s="1023"/>
      <c r="AA252" s="1024"/>
      <c r="AB252" s="1021"/>
      <c r="AC252" s="1022"/>
      <c r="AD252" s="1022"/>
      <c r="AE252" s="1022"/>
      <c r="AF252" s="1023"/>
      <c r="AG252" s="1021"/>
      <c r="AH252" s="1022"/>
      <c r="AI252" s="1022"/>
      <c r="AJ252" s="1022"/>
      <c r="AK252" s="1023"/>
      <c r="AL252" s="1024"/>
      <c r="AM252" s="1021"/>
      <c r="AN252" s="1022"/>
      <c r="AO252" s="1022"/>
      <c r="AP252" s="1022"/>
      <c r="AQ252" s="1023"/>
      <c r="AR252" s="1021"/>
      <c r="AS252" s="1022"/>
      <c r="AT252" s="1022"/>
      <c r="AU252" s="1022"/>
      <c r="AV252" s="1023"/>
      <c r="AW252" s="1025"/>
      <c r="AX252" s="1282">
        <f t="shared" si="457"/>
        <v>0</v>
      </c>
      <c r="AY252" s="387">
        <f t="shared" si="458"/>
        <v>0</v>
      </c>
      <c r="AZ252" s="387">
        <f t="shared" si="459"/>
        <v>0</v>
      </c>
      <c r="BA252" s="387">
        <f t="shared" si="460"/>
        <v>0</v>
      </c>
      <c r="BB252" s="1283">
        <f t="shared" si="461"/>
        <v>0</v>
      </c>
      <c r="BC252" s="386">
        <f t="shared" si="462"/>
        <v>0</v>
      </c>
      <c r="BD252" s="387">
        <f t="shared" si="463"/>
        <v>0</v>
      </c>
      <c r="BE252" s="1277">
        <f t="shared" si="464"/>
        <v>0</v>
      </c>
      <c r="BF252" s="1277">
        <f t="shared" si="465"/>
        <v>0</v>
      </c>
      <c r="BG252" s="388">
        <f t="shared" si="466"/>
        <v>0</v>
      </c>
      <c r="BH252" s="1025"/>
      <c r="BI252" s="1282">
        <f t="shared" ca="1" si="467"/>
        <v>0</v>
      </c>
      <c r="BJ252" s="387">
        <f t="shared" ca="1" si="468"/>
        <v>0</v>
      </c>
      <c r="BK252" s="387">
        <f t="shared" ca="1" si="469"/>
        <v>0</v>
      </c>
      <c r="BL252" s="387">
        <f t="shared" ca="1" si="470"/>
        <v>0</v>
      </c>
      <c r="BM252" s="1283">
        <f t="shared" ca="1" si="471"/>
        <v>0</v>
      </c>
      <c r="BN252" s="386">
        <f t="shared" ca="1" si="472"/>
        <v>0</v>
      </c>
      <c r="BO252" s="387">
        <f t="shared" ca="1" si="473"/>
        <v>0</v>
      </c>
      <c r="BP252" s="1277">
        <f t="shared" ca="1" si="474"/>
        <v>0</v>
      </c>
      <c r="BQ252" s="1277">
        <f t="shared" ca="1" si="475"/>
        <v>0</v>
      </c>
      <c r="BR252" s="388">
        <f t="shared" ca="1" si="476"/>
        <v>0</v>
      </c>
      <c r="BS252" s="1025"/>
      <c r="BT252" s="1282">
        <f>+IF($K252="Ongoing",AX252,IF(RIGHT($K252,2)=RIGHT(BT$43,2),SUM($AX252:AX252),0)+IF(RIGHT(BT$43,2)&gt;RIGHT($K252,2),AX252,0))</f>
        <v>0</v>
      </c>
      <c r="BU252" s="387">
        <f>+IF($K252="Ongoing",AY252,IF(RIGHT($K252,2)=RIGHT(BU$43,2),SUM($AX252:AY252),0)+IF(RIGHT(BU$43,2)&gt;RIGHT($K252,2),AY252,0))</f>
        <v>0</v>
      </c>
      <c r="BV252" s="387">
        <f>+IF($K252="Ongoing",AZ252,IF(RIGHT($K252,2)=RIGHT(BV$43,2),SUM($AX252:AZ252),0)+IF(RIGHT(BV$43,2)&gt;RIGHT($K252,2),AZ252,0))</f>
        <v>0</v>
      </c>
      <c r="BW252" s="387">
        <f>+IF($K252="Ongoing",BA252,IF(RIGHT($K252,2)=RIGHT(BW$43,2),SUM($AX252:BA252),0)+IF(RIGHT(BW$43,2)&gt;RIGHT($K252,2),BA252,0))</f>
        <v>0</v>
      </c>
      <c r="BX252" s="1283">
        <f>+IF($K252="Ongoing",BB252,IF(RIGHT($K252,2)=RIGHT(BX$43,2),SUM($AX252:BB252),0)+IF(RIGHT(BX$43,2)&gt;RIGHT($K252,2),BB252,0))</f>
        <v>0</v>
      </c>
      <c r="BY252" s="386">
        <f>+IF($K252="Ongoing",BC252,IF(RIGHT($K252,2)=RIGHT(BY$43,2),SUM($AX252:BC252),0)+IF(RIGHT(BY$43,2)&gt;RIGHT($K252,2),BC252,0))</f>
        <v>0</v>
      </c>
      <c r="BZ252" s="387">
        <f>+IF($K252="Ongoing",BD252,IF(RIGHT($K252,2)=RIGHT(BZ$43,2),SUM($AX252:BD252),0)+IF(RIGHT(BZ$43,2)&gt;RIGHT($K252,2),BD252,0))</f>
        <v>0</v>
      </c>
      <c r="CA252" s="1277">
        <f>+IF($K252="Ongoing",BE252,IF(RIGHT($K252,2)=RIGHT(CA$43,2),SUM($AX252:BE252),0)+IF(RIGHT(CA$43,2)&gt;RIGHT($K252,2),BE252,0))</f>
        <v>0</v>
      </c>
      <c r="CB252" s="1277">
        <f>+IF($K252="Ongoing",BF252,IF(RIGHT($K252,2)=RIGHT(CB$43,2),SUM($AX252:BF252),0)+IF(RIGHT(CB$43,2)&gt;RIGHT($K252,2),BF252,0))</f>
        <v>0</v>
      </c>
      <c r="CC252" s="388">
        <f>+IF($K252="Ongoing",BG252,IF(RIGHT($K252,2)=RIGHT(CC$43,2),SUM($AX252:BG252),0)+IF(RIGHT(CC$43,2)&gt;RIGHT($K252,2),BG252,0))</f>
        <v>0</v>
      </c>
      <c r="CD252" s="1025"/>
      <c r="CE252" s="1282">
        <f>+Q252*KeyAssumptionsPriceControl_FO!AF$15</f>
        <v>0</v>
      </c>
      <c r="CF252" s="387">
        <f>+R252*KeyAssumptionsPriceControl_FO!AG$15</f>
        <v>0</v>
      </c>
      <c r="CG252" s="387">
        <f>+S252*KeyAssumptionsPriceControl_FO!AH$15</f>
        <v>0</v>
      </c>
      <c r="CH252" s="387">
        <f>+T252*KeyAssumptionsPriceControl_FO!AI$15</f>
        <v>0</v>
      </c>
      <c r="CI252" s="1283">
        <f>+U252*KeyAssumptionsPriceControl_FO!AJ$15</f>
        <v>0</v>
      </c>
      <c r="CJ252" s="386">
        <f>+V252*KeyAssumptionsPriceControl_FO!AK$15</f>
        <v>0</v>
      </c>
      <c r="CK252" s="387">
        <f>+W252*KeyAssumptionsPriceControl_FO!AL$15</f>
        <v>0</v>
      </c>
      <c r="CL252" s="1277">
        <f>+X252*KeyAssumptionsPriceControl_FO!AM$15</f>
        <v>0</v>
      </c>
      <c r="CM252" s="1277">
        <f>+Y252*KeyAssumptionsPriceControl_FO!AN$15</f>
        <v>0</v>
      </c>
      <c r="CN252" s="388">
        <f>+Z252*KeyAssumptionsPriceControl_FO!AO$15</f>
        <v>0</v>
      </c>
      <c r="CO252" s="1025"/>
      <c r="CP252" s="1282">
        <f t="shared" ca="1" si="477"/>
        <v>0</v>
      </c>
      <c r="CQ252" s="387">
        <f t="shared" ca="1" si="478"/>
        <v>0</v>
      </c>
      <c r="CR252" s="387">
        <f t="shared" ca="1" si="479"/>
        <v>0</v>
      </c>
      <c r="CS252" s="387">
        <f t="shared" ca="1" si="480"/>
        <v>0</v>
      </c>
      <c r="CT252" s="1283">
        <f t="shared" ca="1" si="481"/>
        <v>0</v>
      </c>
      <c r="CU252" s="386">
        <f t="shared" ca="1" si="482"/>
        <v>0</v>
      </c>
      <c r="CV252" s="387">
        <f t="shared" ca="1" si="483"/>
        <v>0</v>
      </c>
      <c r="CW252" s="1277">
        <f t="shared" ca="1" si="484"/>
        <v>0</v>
      </c>
      <c r="CX252" s="1277">
        <f t="shared" ca="1" si="485"/>
        <v>0</v>
      </c>
      <c r="CY252" s="388">
        <f t="shared" ca="1" si="486"/>
        <v>0</v>
      </c>
      <c r="CZ252" s="347"/>
      <c r="DA252" s="852"/>
      <c r="DB252" s="347"/>
      <c r="DC252" s="1012" t="s">
        <v>538</v>
      </c>
      <c r="DD252" s="841" t="s">
        <v>518</v>
      </c>
      <c r="DE252" s="386">
        <f>+IF($K252="ongoing",CE252,IF(RIGHT($K252,2)=RIGHT(DE$43,2),SUM($CD252:CE252),0)+IF(RIGHT(DE$43,2)&gt;RIGHT($K252,2),CE252,0))</f>
        <v>0</v>
      </c>
      <c r="DF252" s="387">
        <f>+IF($K252="ongoing",CF252,IF(RIGHT($K252,2)=RIGHT(DF$43,2),SUM($CD252:CF252),0)+IF(RIGHT(DF$43,2)&gt;RIGHT($K252,2),CF252,0))</f>
        <v>0</v>
      </c>
      <c r="DG252" s="388">
        <f>+IF($K252="ongoing",CG252,IF(RIGHT($K252,2)=RIGHT(DG$43,2),SUM($CD252:CG252),0)+IF(RIGHT(DG$43,2)&gt;RIGHT($K252,2),CG252,0))</f>
        <v>0</v>
      </c>
      <c r="DH252" s="386">
        <f>+IF($K252="ongoing",CH252,IF(RIGHT($K252,2)=RIGHT(DH$43,2),SUM($CD252:CH252),0)+IF(RIGHT(DH$43,2)&gt;RIGHT($K252,2),CH252,0))</f>
        <v>0</v>
      </c>
      <c r="DI252" s="387">
        <f>+IF($K252="ongoing",CI252,IF(RIGHT($K252,2)=RIGHT(DI$43,2),SUM($CD252:CI252),0)+IF(RIGHT(DI$43,2)&gt;RIGHT($K252,2),CI252,0))</f>
        <v>0</v>
      </c>
      <c r="DJ252" s="387">
        <f>+IF($K252="ongoing",CJ252,IF(RIGHT($K252,2)=RIGHT(DJ$43,2),SUM($CD252:CJ252),0)+IF(RIGHT(DJ$43,2)&gt;RIGHT($K252,2),CJ252,0))</f>
        <v>0</v>
      </c>
      <c r="DK252" s="387">
        <f>+IF($K252="ongoing",CK252,IF(RIGHT($K252,2)=RIGHT(DK$43,2),SUM($CD252:CK252),0)+IF(RIGHT(DK$43,2)&gt;RIGHT($K252,2),CK252,0))</f>
        <v>0</v>
      </c>
      <c r="DL252" s="388">
        <f>+IF($K252="ongoing",CN252,IF(RIGHT($K252,2)=RIGHT(DL$43,2),SUM($CD252:CN252),0)+IF(RIGHT(DL$43,2)&gt;RIGHT($K252,2),CN252,0))</f>
        <v>0</v>
      </c>
      <c r="DM252" s="841"/>
      <c r="DN252" s="386">
        <f t="shared" si="487"/>
        <v>0.5</v>
      </c>
      <c r="DO252" s="387">
        <f t="shared" si="488"/>
        <v>1</v>
      </c>
      <c r="DP252" s="388">
        <f t="shared" si="489"/>
        <v>1</v>
      </c>
      <c r="DQ252" s="386">
        <f t="shared" si="490"/>
        <v>1</v>
      </c>
      <c r="DR252" s="387">
        <f t="shared" si="491"/>
        <v>1</v>
      </c>
      <c r="DS252" s="387">
        <f t="shared" si="492"/>
        <v>1</v>
      </c>
      <c r="DT252" s="387">
        <f t="shared" si="493"/>
        <v>1</v>
      </c>
      <c r="DU252" s="388">
        <f t="shared" si="494"/>
        <v>1</v>
      </c>
      <c r="DW252" s="386">
        <f t="shared" si="495"/>
        <v>0</v>
      </c>
      <c r="DX252" s="387">
        <f t="shared" si="496"/>
        <v>0.5</v>
      </c>
      <c r="DY252" s="388">
        <f t="shared" si="497"/>
        <v>1</v>
      </c>
      <c r="DZ252" s="386">
        <f t="shared" si="498"/>
        <v>1</v>
      </c>
      <c r="EA252" s="387">
        <f t="shared" si="499"/>
        <v>1</v>
      </c>
      <c r="EB252" s="387">
        <f t="shared" si="500"/>
        <v>1</v>
      </c>
      <c r="EC252" s="387">
        <f t="shared" si="501"/>
        <v>1</v>
      </c>
      <c r="ED252" s="388">
        <f t="shared" si="502"/>
        <v>1</v>
      </c>
      <c r="EF252" s="834">
        <f>+IF(DN252=DM252,0,
IF(AND(EF$44&gt;1,DN252=$N252),1-SUM($EE252:EE252),
IF($N252&lt;=1,
IF($N252&gt;0,1/$N252,0),
IF(EF$44=1,0,VDB(1,0,$N252,INT(EF$44-1-1),MIN($N252,INT(EF$44-1-1)+1),$DC252,IF($DD252="No",1,0))/
IF(DM252&gt;=INT($N252),$N252-INT($N252),1)))*
IF(EF$44=1,0,
IF(INT(DN252)=INT(DM252),DN252-DM252,INT(DN252)-DM252))+
IF($N252&lt;=1,
IF($N252&gt;0,1/$N252,0),VDB(1,0,$N252,INT(EF$44-1),MIN($N252,INT(EF$44-1)+1),$DC252,IF($DD252="No",1,0))/
IF(DN252&gt;INT($N252),$N252-INT($N252),1))*
IF(EF$44=1,DN252,
IF(INT(DN252)=INT(DM252),0,DN252-INT(DN252)))))</f>
        <v>0</v>
      </c>
      <c r="EG252" s="835">
        <f>+IF(DO252=DN252,0,
IF(AND(EG$44&gt;1,DO252=$N252),1-SUM($EE252:EF252),
IF($N252&lt;=1,
IF($N252&gt;0,1/$N252,0),
IF(EG$44=1,0,VDB(1,0,$N252,INT(EG$44-1-1),MIN($N252,INT(EG$44-1-1)+1),$DC252,IF($DD252="No",1,0))/
IF(DN252&gt;=INT($N252),$N252-INT($N252),1)))*
IF(EG$44=1,0,
IF(INT(DO252)=INT(DN252),DO252-DN252,INT(DO252)-DN252))+
IF($N252&lt;=1,
IF($N252&gt;0,1/$N252,0),VDB(1,0,$N252,INT(EG$44-1),MIN($N252,INT(EG$44-1)+1),$DC252,IF($DD252="No",1,0))/
IF(DO252&gt;INT($N252),$N252-INT($N252),1))*
IF(EG$44=1,DO252,
IF(INT(DO252)=INT(DN252),0,DO252-INT(DO252)))))</f>
        <v>0</v>
      </c>
      <c r="EH252" s="836">
        <f>+IF(DP252=DO252,0,
IF(AND(EH$44&gt;1,DP252=$N252),1-SUM($EE252:EG252),
IF($N252&lt;=1,
IF($N252&gt;0,1/$N252,0),
IF(EH$44=1,0,VDB(1,0,$N252,INT(EH$44-1-1),MIN($N252,INT(EH$44-1-1)+1),$DC252,IF($DD252="No",1,0))/
IF(DO252&gt;=INT($N252),$N252-INT($N252),1)))*
IF(EH$44=1,0,
IF(INT(DP252)=INT(DO252),DP252-DO252,INT(DP252)-DO252))+
IF($N252&lt;=1,
IF($N252&gt;0,1/$N252,0),VDB(1,0,$N252,INT(EH$44-1),MIN($N252,INT(EH$44-1)+1),$DC252,IF($DD252="No",1,0))/
IF(DP252&gt;INT($N252),$N252-INT($N252),1))*
IF(EH$44=1,DP252,
IF(INT(DP252)=INT(DO252),0,DP252-INT(DP252)))))</f>
        <v>0</v>
      </c>
      <c r="EI252" s="834">
        <f>+IF(DQ252=DP252,0,
IF(AND(EI$44&gt;1,DQ252=$N252),1-SUM($EE252:EH252),
IF($N252&lt;=1,
IF($N252&gt;0,1/$N252,0),
IF(EI$44=1,0,VDB(1,0,$N252,INT(EI$44-1-1),MIN($N252,INT(EI$44-1-1)+1),$DC252,IF($DD252="No",1,0))/
IF(DP252&gt;=INT($N252),$N252-INT($N252),1)))*
IF(EI$44=1,0,
IF(INT(DQ252)=INT(DP252),DQ252-DP252,INT(DQ252)-DP252))+
IF($N252&lt;=1,
IF($N252&gt;0,1/$N252,0),VDB(1,0,$N252,INT(EI$44-1),MIN($N252,INT(EI$44-1)+1),$DC252,IF($DD252="No",1,0))/
IF(DQ252&gt;INT($N252),$N252-INT($N252),1))*
IF(EI$44=1,DQ252,
IF(INT(DQ252)=INT(DP252),0,DQ252-INT(DQ252)))))</f>
        <v>0</v>
      </c>
      <c r="EJ252" s="835">
        <f>+IF(DR252=DQ252,0,
IF(AND(EJ$44&gt;1,DR252=$N252),1-SUM($EE252:EI252),
IF($N252&lt;=1,
IF($N252&gt;0,1/$N252,0),
IF(EJ$44=1,0,VDB(1,0,$N252,INT(EJ$44-1-1),MIN($N252,INT(EJ$44-1-1)+1),$DC252,IF($DD252="No",1,0))/
IF(DQ252&gt;=INT($N252),$N252-INT($N252),1)))*
IF(EJ$44=1,0,
IF(INT(DR252)=INT(DQ252),DR252-DQ252,INT(DR252)-DQ252))+
IF($N252&lt;=1,
IF($N252&gt;0,1/$N252,0),VDB(1,0,$N252,INT(EJ$44-1),MIN($N252,INT(EJ$44-1)+1),$DC252,IF($DD252="No",1,0))/
IF(DR252&gt;INT($N252),$N252-INT($N252),1))*
IF(EJ$44=1,DR252,
IF(INT(DR252)=INT(DQ252),0,DR252-INT(DR252)))))</f>
        <v>0</v>
      </c>
      <c r="EK252" s="835">
        <f>+IF(DS252=DR252,0,
IF(AND(EK$44&gt;1,DS252=$N252),1-SUM($EE252:EJ252),
IF($N252&lt;=1,
IF($N252&gt;0,1/$N252,0),
IF(EK$44=1,0,VDB(1,0,$N252,INT(EK$44-1-1),MIN($N252,INT(EK$44-1-1)+1),$DC252,IF($DD252="No",1,0))/
IF(DR252&gt;=INT($N252),$N252-INT($N252),1)))*
IF(EK$44=1,0,
IF(INT(DS252)=INT(DR252),DS252-DR252,INT(DS252)-DR252))+
IF($N252&lt;=1,
IF($N252&gt;0,1/$N252,0),VDB(1,0,$N252,INT(EK$44-1),MIN($N252,INT(EK$44-1)+1),$DC252,IF($DD252="No",1,0))/
IF(DS252&gt;INT($N252),$N252-INT($N252),1))*
IF(EK$44=1,DS252,
IF(INT(DS252)=INT(DR252),0,DS252-INT(DS252)))))</f>
        <v>0</v>
      </c>
      <c r="EL252" s="835">
        <f>+IF(DT252=DS252,0,
IF(AND(EL$44&gt;1,DT252=$N252),1-SUM($EE252:EK252),
IF($N252&lt;=1,
IF($N252&gt;0,1/$N252,0),
IF(EL$44=1,0,VDB(1,0,$N252,INT(EL$44-1-1),MIN($N252,INT(EL$44-1-1)+1),$DC252,IF($DD252="No",1,0))/
IF(DS252&gt;=INT($N252),$N252-INT($N252),1)))*
IF(EL$44=1,0,
IF(INT(DT252)=INT(DS252),DT252-DS252,INT(DT252)-DS252))+
IF($N252&lt;=1,
IF($N252&gt;0,1/$N252,0),VDB(1,0,$N252,INT(EL$44-1),MIN($N252,INT(EL$44-1)+1),$DC252,IF($DD252="No",1,0))/
IF(DT252&gt;INT($N252),$N252-INT($N252),1))*
IF(EL$44=1,DT252,
IF(INT(DT252)=INT(DS252),0,DT252-INT(DT252)))))</f>
        <v>0</v>
      </c>
      <c r="EM252" s="836">
        <f>+IF(DU252=DT252,0,
IF(AND(EM$44&gt;1,DU252=$N252),1-SUM($EE252:EL252),
IF($N252&lt;=1,
IF($N252&gt;0,1/$N252,0),
IF(EM$44=1,0,VDB(1,0,$N252,INT(EM$44-1-1),MIN($N252,INT(EM$44-1-1)+1),$DC252,IF($DD252="No",1,0))/
IF(DT252&gt;=INT($N252),$N252-INT($N252),1)))*
IF(EM$44=1,0,
IF(INT(DU252)=INT(DT252),DU252-DT252,INT(DU252)-DT252))+
IF($N252&lt;=1,
IF($N252&gt;0,1/$N252,0),VDB(1,0,$N252,INT(EM$44-1),MIN($N252,INT(EM$44-1)+1),$DC252,IF($DD252="No",1,0))/
IF(DU252&gt;INT($N252),$N252-INT($N252),1))*
IF(EM$44=1,DU252,
IF(INT(DU252)=INT(DT252),0,DU252-INT(DU252)))))</f>
        <v>0</v>
      </c>
      <c r="EN252" s="833"/>
      <c r="EO252" s="834">
        <f>+IF(OR(DW252=DV252,EO$44=1),0,
IF(AND(EO$44&gt;1,DW252=$N252),1-SUM($EN252:EN252),
IF($N252&lt;=1,
IF($N252&gt;0,1/$N252,0),
IF(EO$44=2,0,VDB(1,0,$N252,INT(EO$44-2-1),MIN($N252,INT(EO$44-2-1)+1),$DC252,IF($DD252="No",1,0))/
IF(DV252&gt;=INT($N252),$N252-INT($N252),1)))*
IF(EO$44=2,0,
IF(INT(DW252)=INT(DV252),DW252-DV252,INT(DW252)-DV252))+
IF($N252&lt;=1,
IF($N252&gt;0,1/$N252,0),VDB(1,0,$N252,INT(EO$44-2),MIN($N252,INT(EO$44-2)+1),$DC252,IF($DD252="No",1,0))/
IF(DW252&gt;INT($N252),$N252-INT($N252),1))*
IF(EO$44=2,DW252,
IF(INT(DW252)=INT(DV252),0,DW252-INT(DW252)))))</f>
        <v>0</v>
      </c>
      <c r="EP252" s="835">
        <f>+IF(OR(DX252=DW252,EP$44=1),0,
IF(AND(EP$44&gt;1,DX252=$N252),1-SUM($EN252:EO252),
IF($N252&lt;=1,
IF($N252&gt;0,1/$N252,0),
IF(EP$44=2,0,VDB(1,0,$N252,INT(EP$44-2-1),MIN($N252,INT(EP$44-2-1)+1),$DC252,IF($DD252="No",1,0))/
IF(DW252&gt;=INT($N252),$N252-INT($N252),1)))*
IF(EP$44=2,0,
IF(INT(DX252)=INT(DW252),DX252-DW252,INT(DX252)-DW252))+
IF($N252&lt;=1,
IF($N252&gt;0,1/$N252,0),VDB(1,0,$N252,INT(EP$44-2),MIN($N252,INT(EP$44-2)+1),$DC252,IF($DD252="No",1,0))/
IF(DX252&gt;INT($N252),$N252-INT($N252),1))*
IF(EP$44=2,DX252,
IF(INT(DX252)=INT(DW252),0,DX252-INT(DX252)))))</f>
        <v>0</v>
      </c>
      <c r="EQ252" s="836">
        <f>+IF(OR(DY252=DX252,EQ$44=1),0,
IF(AND(EQ$44&gt;1,DY252=$N252),1-SUM($EN252:EP252),
IF($N252&lt;=1,
IF($N252&gt;0,1/$N252,0),
IF(EQ$44=2,0,VDB(1,0,$N252,INT(EQ$44-2-1),MIN($N252,INT(EQ$44-2-1)+1),$DC252,IF($DD252="No",1,0))/
IF(DX252&gt;=INT($N252),$N252-INT($N252),1)))*
IF(EQ$44=2,0,
IF(INT(DY252)=INT(DX252),DY252-DX252,INT(DY252)-DX252))+
IF($N252&lt;=1,
IF($N252&gt;0,1/$N252,0),VDB(1,0,$N252,INT(EQ$44-2),MIN($N252,INT(EQ$44-2)+1),$DC252,IF($DD252="No",1,0))/
IF(DY252&gt;INT($N252),$N252-INT($N252),1))*
IF(EQ$44=2,DY252,
IF(INT(DY252)=INT(DX252),0,DY252-INT(DY252)))))</f>
        <v>0</v>
      </c>
      <c r="ER252" s="834">
        <f>+IF(OR(DZ252=DY252,ER$44=1),0,
IF(AND(ER$44&gt;1,DZ252=$N252),1-SUM($EN252:EQ252),
IF($N252&lt;=1,
IF($N252&gt;0,1/$N252,0),
IF(ER$44=2,0,VDB(1,0,$N252,INT(ER$44-2-1),MIN($N252,INT(ER$44-2-1)+1),$DC252,IF($DD252="No",1,0))/
IF(DY252&gt;=INT($N252),$N252-INT($N252),1)))*
IF(ER$44=2,0,
IF(INT(DZ252)=INT(DY252),DZ252-DY252,INT(DZ252)-DY252))+
IF($N252&lt;=1,
IF($N252&gt;0,1/$N252,0),VDB(1,0,$N252,INT(ER$44-2),MIN($N252,INT(ER$44-2)+1),$DC252,IF($DD252="No",1,0))/
IF(DZ252&gt;INT($N252),$N252-INT($N252),1))*
IF(ER$44=2,DZ252,
IF(INT(DZ252)=INT(DY252),0,DZ252-INT(DZ252)))))</f>
        <v>0</v>
      </c>
      <c r="ES252" s="835">
        <f>+IF(OR(EA252=DZ252,ES$44=1),0,
IF(AND(ES$44&gt;1,EA252=$N252),1-SUM($EN252:ER252),
IF($N252&lt;=1,
IF($N252&gt;0,1/$N252,0),
IF(ES$44=2,0,VDB(1,0,$N252,INT(ES$44-2-1),MIN($N252,INT(ES$44-2-1)+1),$DC252,IF($DD252="No",1,0))/
IF(DZ252&gt;=INT($N252),$N252-INT($N252),1)))*
IF(ES$44=2,0,
IF(INT(EA252)=INT(DZ252),EA252-DZ252,INT(EA252)-DZ252))+
IF($N252&lt;=1,
IF($N252&gt;0,1/$N252,0),VDB(1,0,$N252,INT(ES$44-2),MIN($N252,INT(ES$44-2)+1),$DC252,IF($DD252="No",1,0))/
IF(EA252&gt;INT($N252),$N252-INT($N252),1))*
IF(ES$44=2,EA252,
IF(INT(EA252)=INT(DZ252),0,EA252-INT(EA252)))))</f>
        <v>0</v>
      </c>
      <c r="ET252" s="835">
        <f>+IF(OR(EB252=EA252,ET$44=1),0,
IF(AND(ET$44&gt;1,EB252=$N252),1-SUM($EN252:ES252),
IF($N252&lt;=1,
IF($N252&gt;0,1/$N252,0),
IF(ET$44=2,0,VDB(1,0,$N252,INT(ET$44-2-1),MIN($N252,INT(ET$44-2-1)+1),$DC252,IF($DD252="No",1,0))/
IF(EA252&gt;=INT($N252),$N252-INT($N252),1)))*
IF(ET$44=2,0,
IF(INT(EB252)=INT(EA252),EB252-EA252,INT(EB252)-EA252))+
IF($N252&lt;=1,
IF($N252&gt;0,1/$N252,0),VDB(1,0,$N252,INT(ET$44-2),MIN($N252,INT(ET$44-2)+1),$DC252,IF($DD252="No",1,0))/
IF(EB252&gt;INT($N252),$N252-INT($N252),1))*
IF(ET$44=2,EB252,
IF(INT(EB252)=INT(EA252),0,EB252-INT(EB252)))))</f>
        <v>0</v>
      </c>
      <c r="EU252" s="835">
        <f>+IF(OR(EC252=EB252,EU$44=1),0,
IF(AND(EU$44&gt;1,EC252=$N252),1-SUM($EN252:ET252),
IF($N252&lt;=1,
IF($N252&gt;0,1/$N252,0),
IF(EU$44=2,0,VDB(1,0,$N252,INT(EU$44-2-1),MIN($N252,INT(EU$44-2-1)+1),$DC252,IF($DD252="No",1,0))/
IF(EB252&gt;=INT($N252),$N252-INT($N252),1)))*
IF(EU$44=2,0,
IF(INT(EC252)=INT(EB252),EC252-EB252,INT(EC252)-EB252))+
IF($N252&lt;=1,
IF($N252&gt;0,1/$N252,0),VDB(1,0,$N252,INT(EU$44-2),MIN($N252,INT(EU$44-2)+1),$DC252,IF($DD252="No",1,0))/
IF(EC252&gt;INT($N252),$N252-INT($N252),1))*
IF(EU$44=2,EC252,
IF(INT(EC252)=INT(EB252),0,EC252-INT(EC252)))))</f>
        <v>0</v>
      </c>
      <c r="EV252" s="836">
        <f>+IF(OR(ED252=EC252,EV$44=1),0,
IF(AND(EV$44&gt;1,ED252=$N252),1-SUM($EN252:EU252),
IF($N252&lt;=1,
IF($N252&gt;0,1/$N252,0),
IF(EV$44=2,0,VDB(1,0,$N252,INT(EV$44-2-1),MIN($N252,INT(EV$44-2-1)+1),$DC252,IF($DD252="No",1,0))/
IF(EC252&gt;=INT($N252),$N252-INT($N252),1)))*
IF(EV$44=2,0,
IF(INT(ED252)=INT(EC252),ED252-EC252,INT(ED252)-EC252))+
IF($N252&lt;=1,
IF($N252&gt;0,1/$N252,0),VDB(1,0,$N252,INT(EV$44-2),MIN($N252,INT(EV$44-2)+1),$DC252,IF($DD252="No",1,0))/
IF(ED252&gt;INT($N252),$N252-INT($N252),1))*
IF(EV$44=2,ED252,
IF(INT(ED252)=INT(EC252),0,ED252-INT(ED252)))))</f>
        <v>0</v>
      </c>
      <c r="EW252" s="833"/>
      <c r="EX252" s="834">
        <f t="shared" ca="1" si="503"/>
        <v>0</v>
      </c>
      <c r="EY252" s="835">
        <f t="shared" ca="1" si="503"/>
        <v>0</v>
      </c>
      <c r="EZ252" s="836">
        <f t="shared" ca="1" si="503"/>
        <v>0</v>
      </c>
      <c r="FA252" s="834">
        <f t="shared" ca="1" si="503"/>
        <v>0</v>
      </c>
      <c r="FB252" s="835">
        <f t="shared" ca="1" si="503"/>
        <v>0</v>
      </c>
      <c r="FC252" s="835">
        <f t="shared" ca="1" si="503"/>
        <v>0</v>
      </c>
      <c r="FD252" s="835">
        <f t="shared" ca="1" si="503"/>
        <v>0</v>
      </c>
      <c r="FE252" s="836">
        <f t="shared" ca="1" si="503"/>
        <v>0</v>
      </c>
      <c r="FG252" s="386">
        <f t="shared" ca="1" si="504"/>
        <v>0</v>
      </c>
      <c r="FH252" s="387">
        <f t="shared" ca="1" si="505"/>
        <v>0</v>
      </c>
      <c r="FI252" s="388">
        <f t="shared" ca="1" si="506"/>
        <v>0</v>
      </c>
      <c r="FJ252" s="386">
        <f t="shared" ca="1" si="507"/>
        <v>0</v>
      </c>
      <c r="FK252" s="387">
        <f t="shared" ca="1" si="508"/>
        <v>0</v>
      </c>
      <c r="FL252" s="387">
        <f t="shared" ca="1" si="509"/>
        <v>0</v>
      </c>
      <c r="FM252" s="387">
        <f t="shared" ca="1" si="510"/>
        <v>0</v>
      </c>
      <c r="FN252" s="388">
        <f t="shared" ca="1" si="511"/>
        <v>0</v>
      </c>
      <c r="FR252" s="116"/>
    </row>
    <row r="253" spans="2:174">
      <c r="B253" s="1410">
        <f t="shared" si="359"/>
        <v>207</v>
      </c>
      <c r="C253" s="400"/>
      <c r="D253" s="410"/>
      <c r="E253" s="402"/>
      <c r="F253" s="402"/>
      <c r="G253" s="400"/>
      <c r="H253" s="2088"/>
      <c r="I253" s="2089"/>
      <c r="J253" s="411"/>
      <c r="K253" s="403"/>
      <c r="L253" s="403"/>
      <c r="M253" s="403"/>
      <c r="N253" s="403"/>
      <c r="O253" s="347"/>
      <c r="P253" s="347"/>
      <c r="Q253" s="1021"/>
      <c r="R253" s="1022"/>
      <c r="S253" s="1022"/>
      <c r="T253" s="1022"/>
      <c r="U253" s="1023"/>
      <c r="V253" s="1021"/>
      <c r="W253" s="1022"/>
      <c r="X253" s="1022"/>
      <c r="Y253" s="1022"/>
      <c r="Z253" s="1023"/>
      <c r="AA253" s="1024"/>
      <c r="AB253" s="1021"/>
      <c r="AC253" s="1022"/>
      <c r="AD253" s="1022"/>
      <c r="AE253" s="1022"/>
      <c r="AF253" s="1023"/>
      <c r="AG253" s="1021"/>
      <c r="AH253" s="1022"/>
      <c r="AI253" s="1022"/>
      <c r="AJ253" s="1022"/>
      <c r="AK253" s="1023"/>
      <c r="AL253" s="1024"/>
      <c r="AM253" s="1021"/>
      <c r="AN253" s="1022"/>
      <c r="AO253" s="1022"/>
      <c r="AP253" s="1022"/>
      <c r="AQ253" s="1023"/>
      <c r="AR253" s="1021"/>
      <c r="AS253" s="1022"/>
      <c r="AT253" s="1022"/>
      <c r="AU253" s="1022"/>
      <c r="AV253" s="1023"/>
      <c r="AW253" s="1025"/>
      <c r="AX253" s="1282">
        <f t="shared" si="457"/>
        <v>0</v>
      </c>
      <c r="AY253" s="387">
        <f t="shared" si="458"/>
        <v>0</v>
      </c>
      <c r="AZ253" s="387">
        <f t="shared" si="459"/>
        <v>0</v>
      </c>
      <c r="BA253" s="387">
        <f t="shared" si="460"/>
        <v>0</v>
      </c>
      <c r="BB253" s="1283">
        <f t="shared" si="461"/>
        <v>0</v>
      </c>
      <c r="BC253" s="386">
        <f t="shared" si="462"/>
        <v>0</v>
      </c>
      <c r="BD253" s="387">
        <f t="shared" si="463"/>
        <v>0</v>
      </c>
      <c r="BE253" s="1277">
        <f t="shared" si="464"/>
        <v>0</v>
      </c>
      <c r="BF253" s="1277">
        <f t="shared" si="465"/>
        <v>0</v>
      </c>
      <c r="BG253" s="388">
        <f t="shared" si="466"/>
        <v>0</v>
      </c>
      <c r="BH253" s="1025"/>
      <c r="BI253" s="1282">
        <f t="shared" ca="1" si="467"/>
        <v>0</v>
      </c>
      <c r="BJ253" s="387">
        <f t="shared" ca="1" si="468"/>
        <v>0</v>
      </c>
      <c r="BK253" s="387">
        <f t="shared" ca="1" si="469"/>
        <v>0</v>
      </c>
      <c r="BL253" s="387">
        <f t="shared" ca="1" si="470"/>
        <v>0</v>
      </c>
      <c r="BM253" s="1283">
        <f t="shared" ca="1" si="471"/>
        <v>0</v>
      </c>
      <c r="BN253" s="386">
        <f t="shared" ca="1" si="472"/>
        <v>0</v>
      </c>
      <c r="BO253" s="387">
        <f t="shared" ca="1" si="473"/>
        <v>0</v>
      </c>
      <c r="BP253" s="1277">
        <f t="shared" ca="1" si="474"/>
        <v>0</v>
      </c>
      <c r="BQ253" s="1277">
        <f t="shared" ca="1" si="475"/>
        <v>0</v>
      </c>
      <c r="BR253" s="388">
        <f t="shared" ca="1" si="476"/>
        <v>0</v>
      </c>
      <c r="BS253" s="1025"/>
      <c r="BT253" s="1282">
        <f>+IF($K253="Ongoing",AX253,IF(RIGHT($K253,2)=RIGHT(BT$43,2),SUM($AX253:AX253),0)+IF(RIGHT(BT$43,2)&gt;RIGHT($K253,2),AX253,0))</f>
        <v>0</v>
      </c>
      <c r="BU253" s="387">
        <f>+IF($K253="Ongoing",AY253,IF(RIGHT($K253,2)=RIGHT(BU$43,2),SUM($AX253:AY253),0)+IF(RIGHT(BU$43,2)&gt;RIGHT($K253,2),AY253,0))</f>
        <v>0</v>
      </c>
      <c r="BV253" s="387">
        <f>+IF($K253="Ongoing",AZ253,IF(RIGHT($K253,2)=RIGHT(BV$43,2),SUM($AX253:AZ253),0)+IF(RIGHT(BV$43,2)&gt;RIGHT($K253,2),AZ253,0))</f>
        <v>0</v>
      </c>
      <c r="BW253" s="387">
        <f>+IF($K253="Ongoing",BA253,IF(RIGHT($K253,2)=RIGHT(BW$43,2),SUM($AX253:BA253),0)+IF(RIGHT(BW$43,2)&gt;RIGHT($K253,2),BA253,0))</f>
        <v>0</v>
      </c>
      <c r="BX253" s="1283">
        <f>+IF($K253="Ongoing",BB253,IF(RIGHT($K253,2)=RIGHT(BX$43,2),SUM($AX253:BB253),0)+IF(RIGHT(BX$43,2)&gt;RIGHT($K253,2),BB253,0))</f>
        <v>0</v>
      </c>
      <c r="BY253" s="386">
        <f>+IF($K253="Ongoing",BC253,IF(RIGHT($K253,2)=RIGHT(BY$43,2),SUM($AX253:BC253),0)+IF(RIGHT(BY$43,2)&gt;RIGHT($K253,2),BC253,0))</f>
        <v>0</v>
      </c>
      <c r="BZ253" s="387">
        <f>+IF($K253="Ongoing",BD253,IF(RIGHT($K253,2)=RIGHT(BZ$43,2),SUM($AX253:BD253),0)+IF(RIGHT(BZ$43,2)&gt;RIGHT($K253,2),BD253,0))</f>
        <v>0</v>
      </c>
      <c r="CA253" s="1277">
        <f>+IF($K253="Ongoing",BE253,IF(RIGHT($K253,2)=RIGHT(CA$43,2),SUM($AX253:BE253),0)+IF(RIGHT(CA$43,2)&gt;RIGHT($K253,2),BE253,0))</f>
        <v>0</v>
      </c>
      <c r="CB253" s="1277">
        <f>+IF($K253="Ongoing",BF253,IF(RIGHT($K253,2)=RIGHT(CB$43,2),SUM($AX253:BF253),0)+IF(RIGHT(CB$43,2)&gt;RIGHT($K253,2),BF253,0))</f>
        <v>0</v>
      </c>
      <c r="CC253" s="388">
        <f>+IF($K253="Ongoing",BG253,IF(RIGHT($K253,2)=RIGHT(CC$43,2),SUM($AX253:BG253),0)+IF(RIGHT(CC$43,2)&gt;RIGHT($K253,2),BG253,0))</f>
        <v>0</v>
      </c>
      <c r="CD253" s="1025"/>
      <c r="CE253" s="1282">
        <f>+Q253*KeyAssumptionsPriceControl_FO!AF$15</f>
        <v>0</v>
      </c>
      <c r="CF253" s="387">
        <f>+R253*KeyAssumptionsPriceControl_FO!AG$15</f>
        <v>0</v>
      </c>
      <c r="CG253" s="387">
        <f>+S253*KeyAssumptionsPriceControl_FO!AH$15</f>
        <v>0</v>
      </c>
      <c r="CH253" s="387">
        <f>+T253*KeyAssumptionsPriceControl_FO!AI$15</f>
        <v>0</v>
      </c>
      <c r="CI253" s="1283">
        <f>+U253*KeyAssumptionsPriceControl_FO!AJ$15</f>
        <v>0</v>
      </c>
      <c r="CJ253" s="386">
        <f>+V253*KeyAssumptionsPriceControl_FO!AK$15</f>
        <v>0</v>
      </c>
      <c r="CK253" s="387">
        <f>+W253*KeyAssumptionsPriceControl_FO!AL$15</f>
        <v>0</v>
      </c>
      <c r="CL253" s="1277">
        <f>+X253*KeyAssumptionsPriceControl_FO!AM$15</f>
        <v>0</v>
      </c>
      <c r="CM253" s="1277">
        <f>+Y253*KeyAssumptionsPriceControl_FO!AN$15</f>
        <v>0</v>
      </c>
      <c r="CN253" s="388">
        <f>+Z253*KeyAssumptionsPriceControl_FO!AO$15</f>
        <v>0</v>
      </c>
      <c r="CO253" s="1025"/>
      <c r="CP253" s="1282">
        <f t="shared" ca="1" si="477"/>
        <v>0</v>
      </c>
      <c r="CQ253" s="387">
        <f t="shared" ca="1" si="478"/>
        <v>0</v>
      </c>
      <c r="CR253" s="387">
        <f t="shared" ca="1" si="479"/>
        <v>0</v>
      </c>
      <c r="CS253" s="387">
        <f t="shared" ca="1" si="480"/>
        <v>0</v>
      </c>
      <c r="CT253" s="1283">
        <f t="shared" ca="1" si="481"/>
        <v>0</v>
      </c>
      <c r="CU253" s="386">
        <f t="shared" ca="1" si="482"/>
        <v>0</v>
      </c>
      <c r="CV253" s="387">
        <f t="shared" ca="1" si="483"/>
        <v>0</v>
      </c>
      <c r="CW253" s="1277">
        <f t="shared" ca="1" si="484"/>
        <v>0</v>
      </c>
      <c r="CX253" s="1277">
        <f t="shared" ca="1" si="485"/>
        <v>0</v>
      </c>
      <c r="CY253" s="388">
        <f t="shared" ca="1" si="486"/>
        <v>0</v>
      </c>
      <c r="CZ253" s="347"/>
      <c r="DA253" s="852"/>
      <c r="DB253" s="347"/>
      <c r="DC253" s="1012" t="s">
        <v>540</v>
      </c>
      <c r="DD253" s="841" t="s">
        <v>518</v>
      </c>
      <c r="DE253" s="386">
        <f>+IF($K253="ongoing",CE253,IF(RIGHT($K253,2)=RIGHT(DE$43,2),SUM($CD253:CE253),0)+IF(RIGHT(DE$43,2)&gt;RIGHT($K253,2),CE253,0))</f>
        <v>0</v>
      </c>
      <c r="DF253" s="387">
        <f>+IF($K253="ongoing",CF253,IF(RIGHT($K253,2)=RIGHT(DF$43,2),SUM($CD253:CF253),0)+IF(RIGHT(DF$43,2)&gt;RIGHT($K253,2),CF253,0))</f>
        <v>0</v>
      </c>
      <c r="DG253" s="388">
        <f>+IF($K253="ongoing",CG253,IF(RIGHT($K253,2)=RIGHT(DG$43,2),SUM($CD253:CG253),0)+IF(RIGHT(DG$43,2)&gt;RIGHT($K253,2),CG253,0))</f>
        <v>0</v>
      </c>
      <c r="DH253" s="386">
        <f>+IF($K253="ongoing",CH253,IF(RIGHT($K253,2)=RIGHT(DH$43,2),SUM($CD253:CH253),0)+IF(RIGHT(DH$43,2)&gt;RIGHT($K253,2),CH253,0))</f>
        <v>0</v>
      </c>
      <c r="DI253" s="387">
        <f>+IF($K253="ongoing",CI253,IF(RIGHT($K253,2)=RIGHT(DI$43,2),SUM($CD253:CI253),0)+IF(RIGHT(DI$43,2)&gt;RIGHT($K253,2),CI253,0))</f>
        <v>0</v>
      </c>
      <c r="DJ253" s="387">
        <f>+IF($K253="ongoing",CJ253,IF(RIGHT($K253,2)=RIGHT(DJ$43,2),SUM($CD253:CJ253),0)+IF(RIGHT(DJ$43,2)&gt;RIGHT($K253,2),CJ253,0))</f>
        <v>0</v>
      </c>
      <c r="DK253" s="387">
        <f>+IF($K253="ongoing",CK253,IF(RIGHT($K253,2)=RIGHT(DK$43,2),SUM($CD253:CK253),0)+IF(RIGHT(DK$43,2)&gt;RIGHT($K253,2),CK253,0))</f>
        <v>0</v>
      </c>
      <c r="DL253" s="388">
        <f>+IF($K253="ongoing",CN253,IF(RIGHT($K253,2)=RIGHT(DL$43,2),SUM($CD253:CN253),0)+IF(RIGHT(DL$43,2)&gt;RIGHT($K253,2),CN253,0))</f>
        <v>0</v>
      </c>
      <c r="DM253" s="841"/>
      <c r="DN253" s="386">
        <f t="shared" si="487"/>
        <v>0.5</v>
      </c>
      <c r="DO253" s="387">
        <f t="shared" si="488"/>
        <v>1</v>
      </c>
      <c r="DP253" s="388">
        <f t="shared" si="489"/>
        <v>1</v>
      </c>
      <c r="DQ253" s="386">
        <f t="shared" si="490"/>
        <v>1</v>
      </c>
      <c r="DR253" s="387">
        <f t="shared" si="491"/>
        <v>1</v>
      </c>
      <c r="DS253" s="387">
        <f t="shared" si="492"/>
        <v>1</v>
      </c>
      <c r="DT253" s="387">
        <f t="shared" si="493"/>
        <v>1</v>
      </c>
      <c r="DU253" s="388">
        <f t="shared" si="494"/>
        <v>1</v>
      </c>
      <c r="DW253" s="386">
        <f t="shared" si="495"/>
        <v>0</v>
      </c>
      <c r="DX253" s="387">
        <f t="shared" si="496"/>
        <v>0.5</v>
      </c>
      <c r="DY253" s="388">
        <f t="shared" si="497"/>
        <v>1</v>
      </c>
      <c r="DZ253" s="386">
        <f t="shared" si="498"/>
        <v>1</v>
      </c>
      <c r="EA253" s="387">
        <f t="shared" si="499"/>
        <v>1</v>
      </c>
      <c r="EB253" s="387">
        <f t="shared" si="500"/>
        <v>1</v>
      </c>
      <c r="EC253" s="387">
        <f t="shared" si="501"/>
        <v>1</v>
      </c>
      <c r="ED253" s="388">
        <f t="shared" si="502"/>
        <v>1</v>
      </c>
      <c r="EF253" s="834">
        <f>+IF(DN253=DM253,0,
IF(AND(EF$44&gt;1,DN253=$N253),1-SUM($EE253:EE253),
IF($N253&lt;=1,
IF($N253&gt;0,1/$N253,0),
IF(EF$44=1,0,VDB(1,0,$N253,INT(EF$44-1-1),MIN($N253,INT(EF$44-1-1)+1),$DC253,IF($DD253="No",1,0))/
IF(DM253&gt;=INT($N253),$N253-INT($N253),1)))*
IF(EF$44=1,0,
IF(INT(DN253)=INT(DM253),DN253-DM253,INT(DN253)-DM253))+
IF($N253&lt;=1,
IF($N253&gt;0,1/$N253,0),VDB(1,0,$N253,INT(EF$44-1),MIN($N253,INT(EF$44-1)+1),$DC253,IF($DD253="No",1,0))/
IF(DN253&gt;INT($N253),$N253-INT($N253),1))*
IF(EF$44=1,DN253,
IF(INT(DN253)=INT(DM253),0,DN253-INT(DN253)))))</f>
        <v>0</v>
      </c>
      <c r="EG253" s="835">
        <f>+IF(DO253=DN253,0,
IF(AND(EG$44&gt;1,DO253=$N253),1-SUM($EE253:EF253),
IF($N253&lt;=1,
IF($N253&gt;0,1/$N253,0),
IF(EG$44=1,0,VDB(1,0,$N253,INT(EG$44-1-1),MIN($N253,INT(EG$44-1-1)+1),$DC253,IF($DD253="No",1,0))/
IF(DN253&gt;=INT($N253),$N253-INT($N253),1)))*
IF(EG$44=1,0,
IF(INT(DO253)=INT(DN253),DO253-DN253,INT(DO253)-DN253))+
IF($N253&lt;=1,
IF($N253&gt;0,1/$N253,0),VDB(1,0,$N253,INT(EG$44-1),MIN($N253,INT(EG$44-1)+1),$DC253,IF($DD253="No",1,0))/
IF(DO253&gt;INT($N253),$N253-INT($N253),1))*
IF(EG$44=1,DO253,
IF(INT(DO253)=INT(DN253),0,DO253-INT(DO253)))))</f>
        <v>0</v>
      </c>
      <c r="EH253" s="836">
        <f>+IF(DP253=DO253,0,
IF(AND(EH$44&gt;1,DP253=$N253),1-SUM($EE253:EG253),
IF($N253&lt;=1,
IF($N253&gt;0,1/$N253,0),
IF(EH$44=1,0,VDB(1,0,$N253,INT(EH$44-1-1),MIN($N253,INT(EH$44-1-1)+1),$DC253,IF($DD253="No",1,0))/
IF(DO253&gt;=INT($N253),$N253-INT($N253),1)))*
IF(EH$44=1,0,
IF(INT(DP253)=INT(DO253),DP253-DO253,INT(DP253)-DO253))+
IF($N253&lt;=1,
IF($N253&gt;0,1/$N253,0),VDB(1,0,$N253,INT(EH$44-1),MIN($N253,INT(EH$44-1)+1),$DC253,IF($DD253="No",1,0))/
IF(DP253&gt;INT($N253),$N253-INT($N253),1))*
IF(EH$44=1,DP253,
IF(INT(DP253)=INT(DO253),0,DP253-INT(DP253)))))</f>
        <v>0</v>
      </c>
      <c r="EI253" s="834">
        <f>+IF(DQ253=DP253,0,
IF(AND(EI$44&gt;1,DQ253=$N253),1-SUM($EE253:EH253),
IF($N253&lt;=1,
IF($N253&gt;0,1/$N253,0),
IF(EI$44=1,0,VDB(1,0,$N253,INT(EI$44-1-1),MIN($N253,INT(EI$44-1-1)+1),$DC253,IF($DD253="No",1,0))/
IF(DP253&gt;=INT($N253),$N253-INT($N253),1)))*
IF(EI$44=1,0,
IF(INT(DQ253)=INT(DP253),DQ253-DP253,INT(DQ253)-DP253))+
IF($N253&lt;=1,
IF($N253&gt;0,1/$N253,0),VDB(1,0,$N253,INT(EI$44-1),MIN($N253,INT(EI$44-1)+1),$DC253,IF($DD253="No",1,0))/
IF(DQ253&gt;INT($N253),$N253-INT($N253),1))*
IF(EI$44=1,DQ253,
IF(INT(DQ253)=INT(DP253),0,DQ253-INT(DQ253)))))</f>
        <v>0</v>
      </c>
      <c r="EJ253" s="835">
        <f>+IF(DR253=DQ253,0,
IF(AND(EJ$44&gt;1,DR253=$N253),1-SUM($EE253:EI253),
IF($N253&lt;=1,
IF($N253&gt;0,1/$N253,0),
IF(EJ$44=1,0,VDB(1,0,$N253,INT(EJ$44-1-1),MIN($N253,INT(EJ$44-1-1)+1),$DC253,IF($DD253="No",1,0))/
IF(DQ253&gt;=INT($N253),$N253-INT($N253),1)))*
IF(EJ$44=1,0,
IF(INT(DR253)=INT(DQ253),DR253-DQ253,INT(DR253)-DQ253))+
IF($N253&lt;=1,
IF($N253&gt;0,1/$N253,0),VDB(1,0,$N253,INT(EJ$44-1),MIN($N253,INT(EJ$44-1)+1),$DC253,IF($DD253="No",1,0))/
IF(DR253&gt;INT($N253),$N253-INT($N253),1))*
IF(EJ$44=1,DR253,
IF(INT(DR253)=INT(DQ253),0,DR253-INT(DR253)))))</f>
        <v>0</v>
      </c>
      <c r="EK253" s="835">
        <f>+IF(DS253=DR253,0,
IF(AND(EK$44&gt;1,DS253=$N253),1-SUM($EE253:EJ253),
IF($N253&lt;=1,
IF($N253&gt;0,1/$N253,0),
IF(EK$44=1,0,VDB(1,0,$N253,INT(EK$44-1-1),MIN($N253,INT(EK$44-1-1)+1),$DC253,IF($DD253="No",1,0))/
IF(DR253&gt;=INT($N253),$N253-INT($N253),1)))*
IF(EK$44=1,0,
IF(INT(DS253)=INT(DR253),DS253-DR253,INT(DS253)-DR253))+
IF($N253&lt;=1,
IF($N253&gt;0,1/$N253,0),VDB(1,0,$N253,INT(EK$44-1),MIN($N253,INT(EK$44-1)+1),$DC253,IF($DD253="No",1,0))/
IF(DS253&gt;INT($N253),$N253-INT($N253),1))*
IF(EK$44=1,DS253,
IF(INT(DS253)=INT(DR253),0,DS253-INT(DS253)))))</f>
        <v>0</v>
      </c>
      <c r="EL253" s="835">
        <f>+IF(DT253=DS253,0,
IF(AND(EL$44&gt;1,DT253=$N253),1-SUM($EE253:EK253),
IF($N253&lt;=1,
IF($N253&gt;0,1/$N253,0),
IF(EL$44=1,0,VDB(1,0,$N253,INT(EL$44-1-1),MIN($N253,INT(EL$44-1-1)+1),$DC253,IF($DD253="No",1,0))/
IF(DS253&gt;=INT($N253),$N253-INT($N253),1)))*
IF(EL$44=1,0,
IF(INT(DT253)=INT(DS253),DT253-DS253,INT(DT253)-DS253))+
IF($N253&lt;=1,
IF($N253&gt;0,1/$N253,0),VDB(1,0,$N253,INT(EL$44-1),MIN($N253,INT(EL$44-1)+1),$DC253,IF($DD253="No",1,0))/
IF(DT253&gt;INT($N253),$N253-INT($N253),1))*
IF(EL$44=1,DT253,
IF(INT(DT253)=INT(DS253),0,DT253-INT(DT253)))))</f>
        <v>0</v>
      </c>
      <c r="EM253" s="836">
        <f>+IF(DU253=DT253,0,
IF(AND(EM$44&gt;1,DU253=$N253),1-SUM($EE253:EL253),
IF($N253&lt;=1,
IF($N253&gt;0,1/$N253,0),
IF(EM$44=1,0,VDB(1,0,$N253,INT(EM$44-1-1),MIN($N253,INT(EM$44-1-1)+1),$DC253,IF($DD253="No",1,0))/
IF(DT253&gt;=INT($N253),$N253-INT($N253),1)))*
IF(EM$44=1,0,
IF(INT(DU253)=INT(DT253),DU253-DT253,INT(DU253)-DT253))+
IF($N253&lt;=1,
IF($N253&gt;0,1/$N253,0),VDB(1,0,$N253,INT(EM$44-1),MIN($N253,INT(EM$44-1)+1),$DC253,IF($DD253="No",1,0))/
IF(DU253&gt;INT($N253),$N253-INT($N253),1))*
IF(EM$44=1,DU253,
IF(INT(DU253)=INT(DT253),0,DU253-INT(DU253)))))</f>
        <v>0</v>
      </c>
      <c r="EN253" s="833"/>
      <c r="EO253" s="834">
        <f>+IF(OR(DW253=DV253,EO$44=1),0,
IF(AND(EO$44&gt;1,DW253=$N253),1-SUM($EN253:EN253),
IF($N253&lt;=1,
IF($N253&gt;0,1/$N253,0),
IF(EO$44=2,0,VDB(1,0,$N253,INT(EO$44-2-1),MIN($N253,INT(EO$44-2-1)+1),$DC253,IF($DD253="No",1,0))/
IF(DV253&gt;=INT($N253),$N253-INT($N253),1)))*
IF(EO$44=2,0,
IF(INT(DW253)=INT(DV253),DW253-DV253,INT(DW253)-DV253))+
IF($N253&lt;=1,
IF($N253&gt;0,1/$N253,0),VDB(1,0,$N253,INT(EO$44-2),MIN($N253,INT(EO$44-2)+1),$DC253,IF($DD253="No",1,0))/
IF(DW253&gt;INT($N253),$N253-INT($N253),1))*
IF(EO$44=2,DW253,
IF(INT(DW253)=INT(DV253),0,DW253-INT(DW253)))))</f>
        <v>0</v>
      </c>
      <c r="EP253" s="835">
        <f>+IF(OR(DX253=DW253,EP$44=1),0,
IF(AND(EP$44&gt;1,DX253=$N253),1-SUM($EN253:EO253),
IF($N253&lt;=1,
IF($N253&gt;0,1/$N253,0),
IF(EP$44=2,0,VDB(1,0,$N253,INT(EP$44-2-1),MIN($N253,INT(EP$44-2-1)+1),$DC253,IF($DD253="No",1,0))/
IF(DW253&gt;=INT($N253),$N253-INT($N253),1)))*
IF(EP$44=2,0,
IF(INT(DX253)=INT(DW253),DX253-DW253,INT(DX253)-DW253))+
IF($N253&lt;=1,
IF($N253&gt;0,1/$N253,0),VDB(1,0,$N253,INT(EP$44-2),MIN($N253,INT(EP$44-2)+1),$DC253,IF($DD253="No",1,0))/
IF(DX253&gt;INT($N253),$N253-INT($N253),1))*
IF(EP$44=2,DX253,
IF(INT(DX253)=INT(DW253),0,DX253-INT(DX253)))))</f>
        <v>0</v>
      </c>
      <c r="EQ253" s="836">
        <f>+IF(OR(DY253=DX253,EQ$44=1),0,
IF(AND(EQ$44&gt;1,DY253=$N253),1-SUM($EN253:EP253),
IF($N253&lt;=1,
IF($N253&gt;0,1/$N253,0),
IF(EQ$44=2,0,VDB(1,0,$N253,INT(EQ$44-2-1),MIN($N253,INT(EQ$44-2-1)+1),$DC253,IF($DD253="No",1,0))/
IF(DX253&gt;=INT($N253),$N253-INT($N253),1)))*
IF(EQ$44=2,0,
IF(INT(DY253)=INT(DX253),DY253-DX253,INT(DY253)-DX253))+
IF($N253&lt;=1,
IF($N253&gt;0,1/$N253,0),VDB(1,0,$N253,INT(EQ$44-2),MIN($N253,INT(EQ$44-2)+1),$DC253,IF($DD253="No",1,0))/
IF(DY253&gt;INT($N253),$N253-INT($N253),1))*
IF(EQ$44=2,DY253,
IF(INT(DY253)=INT(DX253),0,DY253-INT(DY253)))))</f>
        <v>0</v>
      </c>
      <c r="ER253" s="834">
        <f>+IF(OR(DZ253=DY253,ER$44=1),0,
IF(AND(ER$44&gt;1,DZ253=$N253),1-SUM($EN253:EQ253),
IF($N253&lt;=1,
IF($N253&gt;0,1/$N253,0),
IF(ER$44=2,0,VDB(1,0,$N253,INT(ER$44-2-1),MIN($N253,INT(ER$44-2-1)+1),$DC253,IF($DD253="No",1,0))/
IF(DY253&gt;=INT($N253),$N253-INT($N253),1)))*
IF(ER$44=2,0,
IF(INT(DZ253)=INT(DY253),DZ253-DY253,INT(DZ253)-DY253))+
IF($N253&lt;=1,
IF($N253&gt;0,1/$N253,0),VDB(1,0,$N253,INT(ER$44-2),MIN($N253,INT(ER$44-2)+1),$DC253,IF($DD253="No",1,0))/
IF(DZ253&gt;INT($N253),$N253-INT($N253),1))*
IF(ER$44=2,DZ253,
IF(INT(DZ253)=INT(DY253),0,DZ253-INT(DZ253)))))</f>
        <v>0</v>
      </c>
      <c r="ES253" s="835">
        <f>+IF(OR(EA253=DZ253,ES$44=1),0,
IF(AND(ES$44&gt;1,EA253=$N253),1-SUM($EN253:ER253),
IF($N253&lt;=1,
IF($N253&gt;0,1/$N253,0),
IF(ES$44=2,0,VDB(1,0,$N253,INT(ES$44-2-1),MIN($N253,INT(ES$44-2-1)+1),$DC253,IF($DD253="No",1,0))/
IF(DZ253&gt;=INT($N253),$N253-INT($N253),1)))*
IF(ES$44=2,0,
IF(INT(EA253)=INT(DZ253),EA253-DZ253,INT(EA253)-DZ253))+
IF($N253&lt;=1,
IF($N253&gt;0,1/$N253,0),VDB(1,0,$N253,INT(ES$44-2),MIN($N253,INT(ES$44-2)+1),$DC253,IF($DD253="No",1,0))/
IF(EA253&gt;INT($N253),$N253-INT($N253),1))*
IF(ES$44=2,EA253,
IF(INT(EA253)=INT(DZ253),0,EA253-INT(EA253)))))</f>
        <v>0</v>
      </c>
      <c r="ET253" s="835">
        <f>+IF(OR(EB253=EA253,ET$44=1),0,
IF(AND(ET$44&gt;1,EB253=$N253),1-SUM($EN253:ES253),
IF($N253&lt;=1,
IF($N253&gt;0,1/$N253,0),
IF(ET$44=2,0,VDB(1,0,$N253,INT(ET$44-2-1),MIN($N253,INT(ET$44-2-1)+1),$DC253,IF($DD253="No",1,0))/
IF(EA253&gt;=INT($N253),$N253-INT($N253),1)))*
IF(ET$44=2,0,
IF(INT(EB253)=INT(EA253),EB253-EA253,INT(EB253)-EA253))+
IF($N253&lt;=1,
IF($N253&gt;0,1/$N253,0),VDB(1,0,$N253,INT(ET$44-2),MIN($N253,INT(ET$44-2)+1),$DC253,IF($DD253="No",1,0))/
IF(EB253&gt;INT($N253),$N253-INT($N253),1))*
IF(ET$44=2,EB253,
IF(INT(EB253)=INT(EA253),0,EB253-INT(EB253)))))</f>
        <v>0</v>
      </c>
      <c r="EU253" s="835">
        <f>+IF(OR(EC253=EB253,EU$44=1),0,
IF(AND(EU$44&gt;1,EC253=$N253),1-SUM($EN253:ET253),
IF($N253&lt;=1,
IF($N253&gt;0,1/$N253,0),
IF(EU$44=2,0,VDB(1,0,$N253,INT(EU$44-2-1),MIN($N253,INT(EU$44-2-1)+1),$DC253,IF($DD253="No",1,0))/
IF(EB253&gt;=INT($N253),$N253-INT($N253),1)))*
IF(EU$44=2,0,
IF(INT(EC253)=INT(EB253),EC253-EB253,INT(EC253)-EB253))+
IF($N253&lt;=1,
IF($N253&gt;0,1/$N253,0),VDB(1,0,$N253,INT(EU$44-2),MIN($N253,INT(EU$44-2)+1),$DC253,IF($DD253="No",1,0))/
IF(EC253&gt;INT($N253),$N253-INT($N253),1))*
IF(EU$44=2,EC253,
IF(INT(EC253)=INT(EB253),0,EC253-INT(EC253)))))</f>
        <v>0</v>
      </c>
      <c r="EV253" s="836">
        <f>+IF(OR(ED253=EC253,EV$44=1),0,
IF(AND(EV$44&gt;1,ED253=$N253),1-SUM($EN253:EU253),
IF($N253&lt;=1,
IF($N253&gt;0,1/$N253,0),
IF(EV$44=2,0,VDB(1,0,$N253,INT(EV$44-2-1),MIN($N253,INT(EV$44-2-1)+1),$DC253,IF($DD253="No",1,0))/
IF(EC253&gt;=INT($N253),$N253-INT($N253),1)))*
IF(EV$44=2,0,
IF(INT(ED253)=INT(EC253),ED253-EC253,INT(ED253)-EC253))+
IF($N253&lt;=1,
IF($N253&gt;0,1/$N253,0),VDB(1,0,$N253,INT(EV$44-2),MIN($N253,INT(EV$44-2)+1),$DC253,IF($DD253="No",1,0))/
IF(ED253&gt;INT($N253),$N253-INT($N253),1))*
IF(EV$44=2,ED253,
IF(INT(ED253)=INT(EC253),0,ED253-INT(ED253)))))</f>
        <v>0</v>
      </c>
      <c r="EW253" s="833"/>
      <c r="EX253" s="834">
        <f t="shared" ca="1" si="503"/>
        <v>0</v>
      </c>
      <c r="EY253" s="835">
        <f t="shared" ca="1" si="503"/>
        <v>0</v>
      </c>
      <c r="EZ253" s="836">
        <f t="shared" ca="1" si="503"/>
        <v>0</v>
      </c>
      <c r="FA253" s="834">
        <f t="shared" ca="1" si="503"/>
        <v>0</v>
      </c>
      <c r="FB253" s="835">
        <f t="shared" ca="1" si="503"/>
        <v>0</v>
      </c>
      <c r="FC253" s="835">
        <f t="shared" ca="1" si="503"/>
        <v>0</v>
      </c>
      <c r="FD253" s="835">
        <f t="shared" ca="1" si="503"/>
        <v>0</v>
      </c>
      <c r="FE253" s="836">
        <f t="shared" ca="1" si="503"/>
        <v>0</v>
      </c>
      <c r="FG253" s="386">
        <f t="shared" ca="1" si="504"/>
        <v>0</v>
      </c>
      <c r="FH253" s="387">
        <f t="shared" ca="1" si="505"/>
        <v>0</v>
      </c>
      <c r="FI253" s="388">
        <f t="shared" ca="1" si="506"/>
        <v>0</v>
      </c>
      <c r="FJ253" s="386">
        <f t="shared" ca="1" si="507"/>
        <v>0</v>
      </c>
      <c r="FK253" s="387">
        <f t="shared" ca="1" si="508"/>
        <v>0</v>
      </c>
      <c r="FL253" s="387">
        <f t="shared" ca="1" si="509"/>
        <v>0</v>
      </c>
      <c r="FM253" s="387">
        <f t="shared" ca="1" si="510"/>
        <v>0</v>
      </c>
      <c r="FN253" s="388">
        <f t="shared" ca="1" si="511"/>
        <v>0</v>
      </c>
      <c r="FR253" s="116"/>
    </row>
    <row r="254" spans="2:174">
      <c r="B254" s="1410">
        <f t="shared" si="359"/>
        <v>208</v>
      </c>
      <c r="C254" s="400"/>
      <c r="D254" s="410"/>
      <c r="E254" s="402"/>
      <c r="F254" s="402"/>
      <c r="G254" s="400"/>
      <c r="H254" s="2088"/>
      <c r="I254" s="2089"/>
      <c r="J254" s="411"/>
      <c r="K254" s="403"/>
      <c r="L254" s="403"/>
      <c r="M254" s="403"/>
      <c r="N254" s="403"/>
      <c r="O254" s="347"/>
      <c r="P254" s="347"/>
      <c r="Q254" s="1021"/>
      <c r="R254" s="1022"/>
      <c r="S254" s="1022"/>
      <c r="T254" s="1022"/>
      <c r="U254" s="1023"/>
      <c r="V254" s="1021"/>
      <c r="W254" s="1022"/>
      <c r="X254" s="1022"/>
      <c r="Y254" s="1022"/>
      <c r="Z254" s="1023"/>
      <c r="AA254" s="1024"/>
      <c r="AB254" s="1021"/>
      <c r="AC254" s="1022"/>
      <c r="AD254" s="1022"/>
      <c r="AE254" s="1022"/>
      <c r="AF254" s="1023"/>
      <c r="AG254" s="1021"/>
      <c r="AH254" s="1022"/>
      <c r="AI254" s="1022"/>
      <c r="AJ254" s="1022"/>
      <c r="AK254" s="1023"/>
      <c r="AL254" s="1024"/>
      <c r="AM254" s="1021"/>
      <c r="AN254" s="1022"/>
      <c r="AO254" s="1022"/>
      <c r="AP254" s="1022"/>
      <c r="AQ254" s="1023"/>
      <c r="AR254" s="1021"/>
      <c r="AS254" s="1022"/>
      <c r="AT254" s="1022"/>
      <c r="AU254" s="1022"/>
      <c r="AV254" s="1023"/>
      <c r="AW254" s="1025"/>
      <c r="AX254" s="1282">
        <f t="shared" si="457"/>
        <v>0</v>
      </c>
      <c r="AY254" s="387">
        <f t="shared" si="458"/>
        <v>0</v>
      </c>
      <c r="AZ254" s="387">
        <f t="shared" si="459"/>
        <v>0</v>
      </c>
      <c r="BA254" s="387">
        <f t="shared" si="460"/>
        <v>0</v>
      </c>
      <c r="BB254" s="1283">
        <f t="shared" si="461"/>
        <v>0</v>
      </c>
      <c r="BC254" s="386">
        <f t="shared" si="462"/>
        <v>0</v>
      </c>
      <c r="BD254" s="387">
        <f t="shared" si="463"/>
        <v>0</v>
      </c>
      <c r="BE254" s="1277">
        <f t="shared" si="464"/>
        <v>0</v>
      </c>
      <c r="BF254" s="1277">
        <f t="shared" si="465"/>
        <v>0</v>
      </c>
      <c r="BG254" s="388">
        <f t="shared" si="466"/>
        <v>0</v>
      </c>
      <c r="BH254" s="1025"/>
      <c r="BI254" s="1282">
        <f t="shared" ca="1" si="467"/>
        <v>0</v>
      </c>
      <c r="BJ254" s="387">
        <f t="shared" ca="1" si="468"/>
        <v>0</v>
      </c>
      <c r="BK254" s="387">
        <f t="shared" ca="1" si="469"/>
        <v>0</v>
      </c>
      <c r="BL254" s="387">
        <f t="shared" ca="1" si="470"/>
        <v>0</v>
      </c>
      <c r="BM254" s="1283">
        <f t="shared" ca="1" si="471"/>
        <v>0</v>
      </c>
      <c r="BN254" s="386">
        <f t="shared" ca="1" si="472"/>
        <v>0</v>
      </c>
      <c r="BO254" s="387">
        <f t="shared" ca="1" si="473"/>
        <v>0</v>
      </c>
      <c r="BP254" s="1277">
        <f t="shared" ca="1" si="474"/>
        <v>0</v>
      </c>
      <c r="BQ254" s="1277">
        <f t="shared" ca="1" si="475"/>
        <v>0</v>
      </c>
      <c r="BR254" s="388">
        <f t="shared" ca="1" si="476"/>
        <v>0</v>
      </c>
      <c r="BS254" s="1025"/>
      <c r="BT254" s="1282">
        <f>+IF($K254="Ongoing",AX254,IF(RIGHT($K254,2)=RIGHT(BT$43,2),SUM($AX254:AX254),0)+IF(RIGHT(BT$43,2)&gt;RIGHT($K254,2),AX254,0))</f>
        <v>0</v>
      </c>
      <c r="BU254" s="387">
        <f>+IF($K254="Ongoing",AY254,IF(RIGHT($K254,2)=RIGHT(BU$43,2),SUM($AX254:AY254),0)+IF(RIGHT(BU$43,2)&gt;RIGHT($K254,2),AY254,0))</f>
        <v>0</v>
      </c>
      <c r="BV254" s="387">
        <f>+IF($K254="Ongoing",AZ254,IF(RIGHT($K254,2)=RIGHT(BV$43,2),SUM($AX254:AZ254),0)+IF(RIGHT(BV$43,2)&gt;RIGHT($K254,2),AZ254,0))</f>
        <v>0</v>
      </c>
      <c r="BW254" s="387">
        <f>+IF($K254="Ongoing",BA254,IF(RIGHT($K254,2)=RIGHT(BW$43,2),SUM($AX254:BA254),0)+IF(RIGHT(BW$43,2)&gt;RIGHT($K254,2),BA254,0))</f>
        <v>0</v>
      </c>
      <c r="BX254" s="1283">
        <f>+IF($K254="Ongoing",BB254,IF(RIGHT($K254,2)=RIGHT(BX$43,2),SUM($AX254:BB254),0)+IF(RIGHT(BX$43,2)&gt;RIGHT($K254,2),BB254,0))</f>
        <v>0</v>
      </c>
      <c r="BY254" s="386">
        <f>+IF($K254="Ongoing",BC254,IF(RIGHT($K254,2)=RIGHT(BY$43,2),SUM($AX254:BC254),0)+IF(RIGHT(BY$43,2)&gt;RIGHT($K254,2),BC254,0))</f>
        <v>0</v>
      </c>
      <c r="BZ254" s="387">
        <f>+IF($K254="Ongoing",BD254,IF(RIGHT($K254,2)=RIGHT(BZ$43,2),SUM($AX254:BD254),0)+IF(RIGHT(BZ$43,2)&gt;RIGHT($K254,2),BD254,0))</f>
        <v>0</v>
      </c>
      <c r="CA254" s="1277">
        <f>+IF($K254="Ongoing",BE254,IF(RIGHT($K254,2)=RIGHT(CA$43,2),SUM($AX254:BE254),0)+IF(RIGHT(CA$43,2)&gt;RIGHT($K254,2),BE254,0))</f>
        <v>0</v>
      </c>
      <c r="CB254" s="1277">
        <f>+IF($K254="Ongoing",BF254,IF(RIGHT($K254,2)=RIGHT(CB$43,2),SUM($AX254:BF254),0)+IF(RIGHT(CB$43,2)&gt;RIGHT($K254,2),BF254,0))</f>
        <v>0</v>
      </c>
      <c r="CC254" s="388">
        <f>+IF($K254="Ongoing",BG254,IF(RIGHT($K254,2)=RIGHT(CC$43,2),SUM($AX254:BG254),0)+IF(RIGHT(CC$43,2)&gt;RIGHT($K254,2),BG254,0))</f>
        <v>0</v>
      </c>
      <c r="CD254" s="1025"/>
      <c r="CE254" s="1282">
        <f>+Q254*KeyAssumptionsPriceControl_FO!AF$15</f>
        <v>0</v>
      </c>
      <c r="CF254" s="387">
        <f>+R254*KeyAssumptionsPriceControl_FO!AG$15</f>
        <v>0</v>
      </c>
      <c r="CG254" s="387">
        <f>+S254*KeyAssumptionsPriceControl_FO!AH$15</f>
        <v>0</v>
      </c>
      <c r="CH254" s="387">
        <f>+T254*KeyAssumptionsPriceControl_FO!AI$15</f>
        <v>0</v>
      </c>
      <c r="CI254" s="1283">
        <f>+U254*KeyAssumptionsPriceControl_FO!AJ$15</f>
        <v>0</v>
      </c>
      <c r="CJ254" s="386">
        <f>+V254*KeyAssumptionsPriceControl_FO!AK$15</f>
        <v>0</v>
      </c>
      <c r="CK254" s="387">
        <f>+W254*KeyAssumptionsPriceControl_FO!AL$15</f>
        <v>0</v>
      </c>
      <c r="CL254" s="1277">
        <f>+X254*KeyAssumptionsPriceControl_FO!AM$15</f>
        <v>0</v>
      </c>
      <c r="CM254" s="1277">
        <f>+Y254*KeyAssumptionsPriceControl_FO!AN$15</f>
        <v>0</v>
      </c>
      <c r="CN254" s="388">
        <f>+Z254*KeyAssumptionsPriceControl_FO!AO$15</f>
        <v>0</v>
      </c>
      <c r="CO254" s="1025"/>
      <c r="CP254" s="1282">
        <f t="shared" ca="1" si="477"/>
        <v>0</v>
      </c>
      <c r="CQ254" s="387">
        <f t="shared" ca="1" si="478"/>
        <v>0</v>
      </c>
      <c r="CR254" s="387">
        <f t="shared" ca="1" si="479"/>
        <v>0</v>
      </c>
      <c r="CS254" s="387">
        <f t="shared" ca="1" si="480"/>
        <v>0</v>
      </c>
      <c r="CT254" s="1283">
        <f t="shared" ca="1" si="481"/>
        <v>0</v>
      </c>
      <c r="CU254" s="386">
        <f t="shared" ca="1" si="482"/>
        <v>0</v>
      </c>
      <c r="CV254" s="387">
        <f t="shared" ca="1" si="483"/>
        <v>0</v>
      </c>
      <c r="CW254" s="1277">
        <f t="shared" ca="1" si="484"/>
        <v>0</v>
      </c>
      <c r="CX254" s="1277">
        <f t="shared" ca="1" si="485"/>
        <v>0</v>
      </c>
      <c r="CY254" s="388">
        <f t="shared" ca="1" si="486"/>
        <v>0</v>
      </c>
      <c r="CZ254" s="347"/>
      <c r="DA254" s="852"/>
      <c r="DB254" s="347"/>
      <c r="DC254" s="1012" t="s">
        <v>542</v>
      </c>
      <c r="DD254" s="841" t="s">
        <v>518</v>
      </c>
      <c r="DE254" s="386">
        <f>+IF($K254="ongoing",CE254,IF(RIGHT($K254,2)=RIGHT(DE$43,2),SUM($CD254:CE254),0)+IF(RIGHT(DE$43,2)&gt;RIGHT($K254,2),CE254,0))</f>
        <v>0</v>
      </c>
      <c r="DF254" s="387">
        <f>+IF($K254="ongoing",CF254,IF(RIGHT($K254,2)=RIGHT(DF$43,2),SUM($CD254:CF254),0)+IF(RIGHT(DF$43,2)&gt;RIGHT($K254,2),CF254,0))</f>
        <v>0</v>
      </c>
      <c r="DG254" s="388">
        <f>+IF($K254="ongoing",CG254,IF(RIGHT($K254,2)=RIGHT(DG$43,2),SUM($CD254:CG254),0)+IF(RIGHT(DG$43,2)&gt;RIGHT($K254,2),CG254,0))</f>
        <v>0</v>
      </c>
      <c r="DH254" s="386">
        <f>+IF($K254="ongoing",CH254,IF(RIGHT($K254,2)=RIGHT(DH$43,2),SUM($CD254:CH254),0)+IF(RIGHT(DH$43,2)&gt;RIGHT($K254,2),CH254,0))</f>
        <v>0</v>
      </c>
      <c r="DI254" s="387">
        <f>+IF($K254="ongoing",CI254,IF(RIGHT($K254,2)=RIGHT(DI$43,2),SUM($CD254:CI254),0)+IF(RIGHT(DI$43,2)&gt;RIGHT($K254,2),CI254,0))</f>
        <v>0</v>
      </c>
      <c r="DJ254" s="387">
        <f>+IF($K254="ongoing",CJ254,IF(RIGHT($K254,2)=RIGHT(DJ$43,2),SUM($CD254:CJ254),0)+IF(RIGHT(DJ$43,2)&gt;RIGHT($K254,2),CJ254,0))</f>
        <v>0</v>
      </c>
      <c r="DK254" s="387">
        <f>+IF($K254="ongoing",CK254,IF(RIGHT($K254,2)=RIGHT(DK$43,2),SUM($CD254:CK254),0)+IF(RIGHT(DK$43,2)&gt;RIGHT($K254,2),CK254,0))</f>
        <v>0</v>
      </c>
      <c r="DL254" s="388">
        <f>+IF($K254="ongoing",CN254,IF(RIGHT($K254,2)=RIGHT(DL$43,2),SUM($CD254:CN254),0)+IF(RIGHT(DL$43,2)&gt;RIGHT($K254,2),CN254,0))</f>
        <v>0</v>
      </c>
      <c r="DM254" s="841"/>
      <c r="DN254" s="386">
        <f t="shared" si="487"/>
        <v>0.5</v>
      </c>
      <c r="DO254" s="387">
        <f t="shared" si="488"/>
        <v>1</v>
      </c>
      <c r="DP254" s="388">
        <f t="shared" si="489"/>
        <v>1</v>
      </c>
      <c r="DQ254" s="386">
        <f t="shared" si="490"/>
        <v>1</v>
      </c>
      <c r="DR254" s="387">
        <f t="shared" si="491"/>
        <v>1</v>
      </c>
      <c r="DS254" s="387">
        <f t="shared" si="492"/>
        <v>1</v>
      </c>
      <c r="DT254" s="387">
        <f t="shared" si="493"/>
        <v>1</v>
      </c>
      <c r="DU254" s="388">
        <f t="shared" si="494"/>
        <v>1</v>
      </c>
      <c r="DW254" s="386">
        <f t="shared" si="495"/>
        <v>0</v>
      </c>
      <c r="DX254" s="387">
        <f t="shared" si="496"/>
        <v>0.5</v>
      </c>
      <c r="DY254" s="388">
        <f t="shared" si="497"/>
        <v>1</v>
      </c>
      <c r="DZ254" s="386">
        <f t="shared" si="498"/>
        <v>1</v>
      </c>
      <c r="EA254" s="387">
        <f t="shared" si="499"/>
        <v>1</v>
      </c>
      <c r="EB254" s="387">
        <f t="shared" si="500"/>
        <v>1</v>
      </c>
      <c r="EC254" s="387">
        <f t="shared" si="501"/>
        <v>1</v>
      </c>
      <c r="ED254" s="388">
        <f t="shared" si="502"/>
        <v>1</v>
      </c>
      <c r="EF254" s="834">
        <f>+IF(DN254=DM254,0,
IF(AND(EF$44&gt;1,DN254=$N254),1-SUM($EE254:EE254),
IF($N254&lt;=1,
IF($N254&gt;0,1/$N254,0),
IF(EF$44=1,0,VDB(1,0,$N254,INT(EF$44-1-1),MIN($N254,INT(EF$44-1-1)+1),$DC254,IF($DD254="No",1,0))/
IF(DM254&gt;=INT($N254),$N254-INT($N254),1)))*
IF(EF$44=1,0,
IF(INT(DN254)=INT(DM254),DN254-DM254,INT(DN254)-DM254))+
IF($N254&lt;=1,
IF($N254&gt;0,1/$N254,0),VDB(1,0,$N254,INT(EF$44-1),MIN($N254,INT(EF$44-1)+1),$DC254,IF($DD254="No",1,0))/
IF(DN254&gt;INT($N254),$N254-INT($N254),1))*
IF(EF$44=1,DN254,
IF(INT(DN254)=INT(DM254),0,DN254-INT(DN254)))))</f>
        <v>0</v>
      </c>
      <c r="EG254" s="835">
        <f>+IF(DO254=DN254,0,
IF(AND(EG$44&gt;1,DO254=$N254),1-SUM($EE254:EF254),
IF($N254&lt;=1,
IF($N254&gt;0,1/$N254,0),
IF(EG$44=1,0,VDB(1,0,$N254,INT(EG$44-1-1),MIN($N254,INT(EG$44-1-1)+1),$DC254,IF($DD254="No",1,0))/
IF(DN254&gt;=INT($N254),$N254-INT($N254),1)))*
IF(EG$44=1,0,
IF(INT(DO254)=INT(DN254),DO254-DN254,INT(DO254)-DN254))+
IF($N254&lt;=1,
IF($N254&gt;0,1/$N254,0),VDB(1,0,$N254,INT(EG$44-1),MIN($N254,INT(EG$44-1)+1),$DC254,IF($DD254="No",1,0))/
IF(DO254&gt;INT($N254),$N254-INT($N254),1))*
IF(EG$44=1,DO254,
IF(INT(DO254)=INT(DN254),0,DO254-INT(DO254)))))</f>
        <v>0</v>
      </c>
      <c r="EH254" s="836">
        <f>+IF(DP254=DO254,0,
IF(AND(EH$44&gt;1,DP254=$N254),1-SUM($EE254:EG254),
IF($N254&lt;=1,
IF($N254&gt;0,1/$N254,0),
IF(EH$44=1,0,VDB(1,0,$N254,INT(EH$44-1-1),MIN($N254,INT(EH$44-1-1)+1),$DC254,IF($DD254="No",1,0))/
IF(DO254&gt;=INT($N254),$N254-INT($N254),1)))*
IF(EH$44=1,0,
IF(INT(DP254)=INT(DO254),DP254-DO254,INT(DP254)-DO254))+
IF($N254&lt;=1,
IF($N254&gt;0,1/$N254,0),VDB(1,0,$N254,INT(EH$44-1),MIN($N254,INT(EH$44-1)+1),$DC254,IF($DD254="No",1,0))/
IF(DP254&gt;INT($N254),$N254-INT($N254),1))*
IF(EH$44=1,DP254,
IF(INT(DP254)=INT(DO254),0,DP254-INT(DP254)))))</f>
        <v>0</v>
      </c>
      <c r="EI254" s="834">
        <f>+IF(DQ254=DP254,0,
IF(AND(EI$44&gt;1,DQ254=$N254),1-SUM($EE254:EH254),
IF($N254&lt;=1,
IF($N254&gt;0,1/$N254,0),
IF(EI$44=1,0,VDB(1,0,$N254,INT(EI$44-1-1),MIN($N254,INT(EI$44-1-1)+1),$DC254,IF($DD254="No",1,0))/
IF(DP254&gt;=INT($N254),$N254-INT($N254),1)))*
IF(EI$44=1,0,
IF(INT(DQ254)=INT(DP254),DQ254-DP254,INT(DQ254)-DP254))+
IF($N254&lt;=1,
IF($N254&gt;0,1/$N254,0),VDB(1,0,$N254,INT(EI$44-1),MIN($N254,INT(EI$44-1)+1),$DC254,IF($DD254="No",1,0))/
IF(DQ254&gt;INT($N254),$N254-INT($N254),1))*
IF(EI$44=1,DQ254,
IF(INT(DQ254)=INT(DP254),0,DQ254-INT(DQ254)))))</f>
        <v>0</v>
      </c>
      <c r="EJ254" s="835">
        <f>+IF(DR254=DQ254,0,
IF(AND(EJ$44&gt;1,DR254=$N254),1-SUM($EE254:EI254),
IF($N254&lt;=1,
IF($N254&gt;0,1/$N254,0),
IF(EJ$44=1,0,VDB(1,0,$N254,INT(EJ$44-1-1),MIN($N254,INT(EJ$44-1-1)+1),$DC254,IF($DD254="No",1,0))/
IF(DQ254&gt;=INT($N254),$N254-INT($N254),1)))*
IF(EJ$44=1,0,
IF(INT(DR254)=INT(DQ254),DR254-DQ254,INT(DR254)-DQ254))+
IF($N254&lt;=1,
IF($N254&gt;0,1/$N254,0),VDB(1,0,$N254,INT(EJ$44-1),MIN($N254,INT(EJ$44-1)+1),$DC254,IF($DD254="No",1,0))/
IF(DR254&gt;INT($N254),$N254-INT($N254),1))*
IF(EJ$44=1,DR254,
IF(INT(DR254)=INT(DQ254),0,DR254-INT(DR254)))))</f>
        <v>0</v>
      </c>
      <c r="EK254" s="835">
        <f>+IF(DS254=DR254,0,
IF(AND(EK$44&gt;1,DS254=$N254),1-SUM($EE254:EJ254),
IF($N254&lt;=1,
IF($N254&gt;0,1/$N254,0),
IF(EK$44=1,0,VDB(1,0,$N254,INT(EK$44-1-1),MIN($N254,INT(EK$44-1-1)+1),$DC254,IF($DD254="No",1,0))/
IF(DR254&gt;=INT($N254),$N254-INT($N254),1)))*
IF(EK$44=1,0,
IF(INT(DS254)=INT(DR254),DS254-DR254,INT(DS254)-DR254))+
IF($N254&lt;=1,
IF($N254&gt;0,1/$N254,0),VDB(1,0,$N254,INT(EK$44-1),MIN($N254,INT(EK$44-1)+1),$DC254,IF($DD254="No",1,0))/
IF(DS254&gt;INT($N254),$N254-INT($N254),1))*
IF(EK$44=1,DS254,
IF(INT(DS254)=INT(DR254),0,DS254-INT(DS254)))))</f>
        <v>0</v>
      </c>
      <c r="EL254" s="835">
        <f>+IF(DT254=DS254,0,
IF(AND(EL$44&gt;1,DT254=$N254),1-SUM($EE254:EK254),
IF($N254&lt;=1,
IF($N254&gt;0,1/$N254,0),
IF(EL$44=1,0,VDB(1,0,$N254,INT(EL$44-1-1),MIN($N254,INT(EL$44-1-1)+1),$DC254,IF($DD254="No",1,0))/
IF(DS254&gt;=INT($N254),$N254-INT($N254),1)))*
IF(EL$44=1,0,
IF(INT(DT254)=INT(DS254),DT254-DS254,INT(DT254)-DS254))+
IF($N254&lt;=1,
IF($N254&gt;0,1/$N254,0),VDB(1,0,$N254,INT(EL$44-1),MIN($N254,INT(EL$44-1)+1),$DC254,IF($DD254="No",1,0))/
IF(DT254&gt;INT($N254),$N254-INT($N254),1))*
IF(EL$44=1,DT254,
IF(INT(DT254)=INT(DS254),0,DT254-INT(DT254)))))</f>
        <v>0</v>
      </c>
      <c r="EM254" s="836">
        <f>+IF(DU254=DT254,0,
IF(AND(EM$44&gt;1,DU254=$N254),1-SUM($EE254:EL254),
IF($N254&lt;=1,
IF($N254&gt;0,1/$N254,0),
IF(EM$44=1,0,VDB(1,0,$N254,INT(EM$44-1-1),MIN($N254,INT(EM$44-1-1)+1),$DC254,IF($DD254="No",1,0))/
IF(DT254&gt;=INT($N254),$N254-INT($N254),1)))*
IF(EM$44=1,0,
IF(INT(DU254)=INT(DT254),DU254-DT254,INT(DU254)-DT254))+
IF($N254&lt;=1,
IF($N254&gt;0,1/$N254,0),VDB(1,0,$N254,INT(EM$44-1),MIN($N254,INT(EM$44-1)+1),$DC254,IF($DD254="No",1,0))/
IF(DU254&gt;INT($N254),$N254-INT($N254),1))*
IF(EM$44=1,DU254,
IF(INT(DU254)=INT(DT254),0,DU254-INT(DU254)))))</f>
        <v>0</v>
      </c>
      <c r="EN254" s="833"/>
      <c r="EO254" s="834">
        <f>+IF(OR(DW254=DV254,EO$44=1),0,
IF(AND(EO$44&gt;1,DW254=$N254),1-SUM($EN254:EN254),
IF($N254&lt;=1,
IF($N254&gt;0,1/$N254,0),
IF(EO$44=2,0,VDB(1,0,$N254,INT(EO$44-2-1),MIN($N254,INT(EO$44-2-1)+1),$DC254,IF($DD254="No",1,0))/
IF(DV254&gt;=INT($N254),$N254-INT($N254),1)))*
IF(EO$44=2,0,
IF(INT(DW254)=INT(DV254),DW254-DV254,INT(DW254)-DV254))+
IF($N254&lt;=1,
IF($N254&gt;0,1/$N254,0),VDB(1,0,$N254,INT(EO$44-2),MIN($N254,INT(EO$44-2)+1),$DC254,IF($DD254="No",1,0))/
IF(DW254&gt;INT($N254),$N254-INT($N254),1))*
IF(EO$44=2,DW254,
IF(INT(DW254)=INT(DV254),0,DW254-INT(DW254)))))</f>
        <v>0</v>
      </c>
      <c r="EP254" s="835">
        <f>+IF(OR(DX254=DW254,EP$44=1),0,
IF(AND(EP$44&gt;1,DX254=$N254),1-SUM($EN254:EO254),
IF($N254&lt;=1,
IF($N254&gt;0,1/$N254,0),
IF(EP$44=2,0,VDB(1,0,$N254,INT(EP$44-2-1),MIN($N254,INT(EP$44-2-1)+1),$DC254,IF($DD254="No",1,0))/
IF(DW254&gt;=INT($N254),$N254-INT($N254),1)))*
IF(EP$44=2,0,
IF(INT(DX254)=INT(DW254),DX254-DW254,INT(DX254)-DW254))+
IF($N254&lt;=1,
IF($N254&gt;0,1/$N254,0),VDB(1,0,$N254,INT(EP$44-2),MIN($N254,INT(EP$44-2)+1),$DC254,IF($DD254="No",1,0))/
IF(DX254&gt;INT($N254),$N254-INT($N254),1))*
IF(EP$44=2,DX254,
IF(INT(DX254)=INT(DW254),0,DX254-INT(DX254)))))</f>
        <v>0</v>
      </c>
      <c r="EQ254" s="836">
        <f>+IF(OR(DY254=DX254,EQ$44=1),0,
IF(AND(EQ$44&gt;1,DY254=$N254),1-SUM($EN254:EP254),
IF($N254&lt;=1,
IF($N254&gt;0,1/$N254,0),
IF(EQ$44=2,0,VDB(1,0,$N254,INT(EQ$44-2-1),MIN($N254,INT(EQ$44-2-1)+1),$DC254,IF($DD254="No",1,0))/
IF(DX254&gt;=INT($N254),$N254-INT($N254),1)))*
IF(EQ$44=2,0,
IF(INT(DY254)=INT(DX254),DY254-DX254,INT(DY254)-DX254))+
IF($N254&lt;=1,
IF($N254&gt;0,1/$N254,0),VDB(1,0,$N254,INT(EQ$44-2),MIN($N254,INT(EQ$44-2)+1),$DC254,IF($DD254="No",1,0))/
IF(DY254&gt;INT($N254),$N254-INT($N254),1))*
IF(EQ$44=2,DY254,
IF(INT(DY254)=INT(DX254),0,DY254-INT(DY254)))))</f>
        <v>0</v>
      </c>
      <c r="ER254" s="834">
        <f>+IF(OR(DZ254=DY254,ER$44=1),0,
IF(AND(ER$44&gt;1,DZ254=$N254),1-SUM($EN254:EQ254),
IF($N254&lt;=1,
IF($N254&gt;0,1/$N254,0),
IF(ER$44=2,0,VDB(1,0,$N254,INT(ER$44-2-1),MIN($N254,INT(ER$44-2-1)+1),$DC254,IF($DD254="No",1,0))/
IF(DY254&gt;=INT($N254),$N254-INT($N254),1)))*
IF(ER$44=2,0,
IF(INT(DZ254)=INT(DY254),DZ254-DY254,INT(DZ254)-DY254))+
IF($N254&lt;=1,
IF($N254&gt;0,1/$N254,0),VDB(1,0,$N254,INT(ER$44-2),MIN($N254,INT(ER$44-2)+1),$DC254,IF($DD254="No",1,0))/
IF(DZ254&gt;INT($N254),$N254-INT($N254),1))*
IF(ER$44=2,DZ254,
IF(INT(DZ254)=INT(DY254),0,DZ254-INT(DZ254)))))</f>
        <v>0</v>
      </c>
      <c r="ES254" s="835">
        <f>+IF(OR(EA254=DZ254,ES$44=1),0,
IF(AND(ES$44&gt;1,EA254=$N254),1-SUM($EN254:ER254),
IF($N254&lt;=1,
IF($N254&gt;0,1/$N254,0),
IF(ES$44=2,0,VDB(1,0,$N254,INT(ES$44-2-1),MIN($N254,INT(ES$44-2-1)+1),$DC254,IF($DD254="No",1,0))/
IF(DZ254&gt;=INT($N254),$N254-INT($N254),1)))*
IF(ES$44=2,0,
IF(INT(EA254)=INT(DZ254),EA254-DZ254,INT(EA254)-DZ254))+
IF($N254&lt;=1,
IF($N254&gt;0,1/$N254,0),VDB(1,0,$N254,INT(ES$44-2),MIN($N254,INT(ES$44-2)+1),$DC254,IF($DD254="No",1,0))/
IF(EA254&gt;INT($N254),$N254-INT($N254),1))*
IF(ES$44=2,EA254,
IF(INT(EA254)=INT(DZ254),0,EA254-INT(EA254)))))</f>
        <v>0</v>
      </c>
      <c r="ET254" s="835">
        <f>+IF(OR(EB254=EA254,ET$44=1),0,
IF(AND(ET$44&gt;1,EB254=$N254),1-SUM($EN254:ES254),
IF($N254&lt;=1,
IF($N254&gt;0,1/$N254,0),
IF(ET$44=2,0,VDB(1,0,$N254,INT(ET$44-2-1),MIN($N254,INT(ET$44-2-1)+1),$DC254,IF($DD254="No",1,0))/
IF(EA254&gt;=INT($N254),$N254-INT($N254),1)))*
IF(ET$44=2,0,
IF(INT(EB254)=INT(EA254),EB254-EA254,INT(EB254)-EA254))+
IF($N254&lt;=1,
IF($N254&gt;0,1/$N254,0),VDB(1,0,$N254,INT(ET$44-2),MIN($N254,INT(ET$44-2)+1),$DC254,IF($DD254="No",1,0))/
IF(EB254&gt;INT($N254),$N254-INT($N254),1))*
IF(ET$44=2,EB254,
IF(INT(EB254)=INT(EA254),0,EB254-INT(EB254)))))</f>
        <v>0</v>
      </c>
      <c r="EU254" s="835">
        <f>+IF(OR(EC254=EB254,EU$44=1),0,
IF(AND(EU$44&gt;1,EC254=$N254),1-SUM($EN254:ET254),
IF($N254&lt;=1,
IF($N254&gt;0,1/$N254,0),
IF(EU$44=2,0,VDB(1,0,$N254,INT(EU$44-2-1),MIN($N254,INT(EU$44-2-1)+1),$DC254,IF($DD254="No",1,0))/
IF(EB254&gt;=INT($N254),$N254-INT($N254),1)))*
IF(EU$44=2,0,
IF(INT(EC254)=INT(EB254),EC254-EB254,INT(EC254)-EB254))+
IF($N254&lt;=1,
IF($N254&gt;0,1/$N254,0),VDB(1,0,$N254,INT(EU$44-2),MIN($N254,INT(EU$44-2)+1),$DC254,IF($DD254="No",1,0))/
IF(EC254&gt;INT($N254),$N254-INT($N254),1))*
IF(EU$44=2,EC254,
IF(INT(EC254)=INT(EB254),0,EC254-INT(EC254)))))</f>
        <v>0</v>
      </c>
      <c r="EV254" s="836">
        <f>+IF(OR(ED254=EC254,EV$44=1),0,
IF(AND(EV$44&gt;1,ED254=$N254),1-SUM($EN254:EU254),
IF($N254&lt;=1,
IF($N254&gt;0,1/$N254,0),
IF(EV$44=2,0,VDB(1,0,$N254,INT(EV$44-2-1),MIN($N254,INT(EV$44-2-1)+1),$DC254,IF($DD254="No",1,0))/
IF(EC254&gt;=INT($N254),$N254-INT($N254),1)))*
IF(EV$44=2,0,
IF(INT(ED254)=INT(EC254),ED254-EC254,INT(ED254)-EC254))+
IF($N254&lt;=1,
IF($N254&gt;0,1/$N254,0),VDB(1,0,$N254,INT(EV$44-2),MIN($N254,INT(EV$44-2)+1),$DC254,IF($DD254="No",1,0))/
IF(ED254&gt;INT($N254),$N254-INT($N254),1))*
IF(EV$44=2,ED254,
IF(INT(ED254)=INT(EC254),0,ED254-INT(ED254)))))</f>
        <v>0</v>
      </c>
      <c r="EW254" s="833"/>
      <c r="EX254" s="834">
        <f t="shared" ca="1" si="503"/>
        <v>0</v>
      </c>
      <c r="EY254" s="835">
        <f t="shared" ca="1" si="503"/>
        <v>0</v>
      </c>
      <c r="EZ254" s="836">
        <f t="shared" ca="1" si="503"/>
        <v>0</v>
      </c>
      <c r="FA254" s="834">
        <f t="shared" ca="1" si="503"/>
        <v>0</v>
      </c>
      <c r="FB254" s="835">
        <f t="shared" ca="1" si="503"/>
        <v>0</v>
      </c>
      <c r="FC254" s="835">
        <f t="shared" ca="1" si="503"/>
        <v>0</v>
      </c>
      <c r="FD254" s="835">
        <f t="shared" ca="1" si="503"/>
        <v>0</v>
      </c>
      <c r="FE254" s="836">
        <f t="shared" ca="1" si="503"/>
        <v>0</v>
      </c>
      <c r="FG254" s="386">
        <f t="shared" ca="1" si="504"/>
        <v>0</v>
      </c>
      <c r="FH254" s="387">
        <f t="shared" ca="1" si="505"/>
        <v>0</v>
      </c>
      <c r="FI254" s="388">
        <f t="shared" ca="1" si="506"/>
        <v>0</v>
      </c>
      <c r="FJ254" s="386">
        <f t="shared" ca="1" si="507"/>
        <v>0</v>
      </c>
      <c r="FK254" s="387">
        <f t="shared" ca="1" si="508"/>
        <v>0</v>
      </c>
      <c r="FL254" s="387">
        <f t="shared" ca="1" si="509"/>
        <v>0</v>
      </c>
      <c r="FM254" s="387">
        <f t="shared" ca="1" si="510"/>
        <v>0</v>
      </c>
      <c r="FN254" s="388">
        <f t="shared" ca="1" si="511"/>
        <v>0</v>
      </c>
      <c r="FR254" s="116"/>
    </row>
    <row r="255" spans="2:174">
      <c r="B255" s="1410">
        <f t="shared" si="359"/>
        <v>209</v>
      </c>
      <c r="C255" s="400"/>
      <c r="D255" s="410"/>
      <c r="E255" s="402"/>
      <c r="F255" s="402"/>
      <c r="G255" s="400"/>
      <c r="H255" s="2088"/>
      <c r="I255" s="2089"/>
      <c r="J255" s="411"/>
      <c r="K255" s="403"/>
      <c r="L255" s="403"/>
      <c r="M255" s="403"/>
      <c r="N255" s="403"/>
      <c r="O255" s="347"/>
      <c r="P255" s="347"/>
      <c r="Q255" s="1021"/>
      <c r="R255" s="1022"/>
      <c r="S255" s="1022"/>
      <c r="T255" s="1022"/>
      <c r="U255" s="1023"/>
      <c r="V255" s="1021"/>
      <c r="W255" s="1022"/>
      <c r="X255" s="1022"/>
      <c r="Y255" s="1022"/>
      <c r="Z255" s="1023"/>
      <c r="AA255" s="1024"/>
      <c r="AB255" s="1021"/>
      <c r="AC255" s="1022"/>
      <c r="AD255" s="1022"/>
      <c r="AE255" s="1022"/>
      <c r="AF255" s="1023"/>
      <c r="AG255" s="1021"/>
      <c r="AH255" s="1022"/>
      <c r="AI255" s="1022"/>
      <c r="AJ255" s="1022"/>
      <c r="AK255" s="1023"/>
      <c r="AL255" s="1024"/>
      <c r="AM255" s="1021"/>
      <c r="AN255" s="1022"/>
      <c r="AO255" s="1022"/>
      <c r="AP255" s="1022"/>
      <c r="AQ255" s="1023"/>
      <c r="AR255" s="1021"/>
      <c r="AS255" s="1022"/>
      <c r="AT255" s="1022"/>
      <c r="AU255" s="1022"/>
      <c r="AV255" s="1023"/>
      <c r="AW255" s="1025"/>
      <c r="AX255" s="1282">
        <f t="shared" si="457"/>
        <v>0</v>
      </c>
      <c r="AY255" s="387">
        <f t="shared" si="458"/>
        <v>0</v>
      </c>
      <c r="AZ255" s="387">
        <f t="shared" si="459"/>
        <v>0</v>
      </c>
      <c r="BA255" s="387">
        <f t="shared" si="460"/>
        <v>0</v>
      </c>
      <c r="BB255" s="1283">
        <f t="shared" si="461"/>
        <v>0</v>
      </c>
      <c r="BC255" s="386">
        <f t="shared" si="462"/>
        <v>0</v>
      </c>
      <c r="BD255" s="387">
        <f t="shared" si="463"/>
        <v>0</v>
      </c>
      <c r="BE255" s="1277">
        <f t="shared" si="464"/>
        <v>0</v>
      </c>
      <c r="BF255" s="1277">
        <f t="shared" si="465"/>
        <v>0</v>
      </c>
      <c r="BG255" s="388">
        <f t="shared" si="466"/>
        <v>0</v>
      </c>
      <c r="BH255" s="1025"/>
      <c r="BI255" s="1282">
        <f t="shared" ca="1" si="467"/>
        <v>0</v>
      </c>
      <c r="BJ255" s="387">
        <f t="shared" ca="1" si="468"/>
        <v>0</v>
      </c>
      <c r="BK255" s="387">
        <f t="shared" ca="1" si="469"/>
        <v>0</v>
      </c>
      <c r="BL255" s="387">
        <f t="shared" ca="1" si="470"/>
        <v>0</v>
      </c>
      <c r="BM255" s="1283">
        <f t="shared" ca="1" si="471"/>
        <v>0</v>
      </c>
      <c r="BN255" s="386">
        <f t="shared" ca="1" si="472"/>
        <v>0</v>
      </c>
      <c r="BO255" s="387">
        <f t="shared" ca="1" si="473"/>
        <v>0</v>
      </c>
      <c r="BP255" s="1277">
        <f t="shared" ca="1" si="474"/>
        <v>0</v>
      </c>
      <c r="BQ255" s="1277">
        <f t="shared" ca="1" si="475"/>
        <v>0</v>
      </c>
      <c r="BR255" s="388">
        <f t="shared" ca="1" si="476"/>
        <v>0</v>
      </c>
      <c r="BS255" s="1025"/>
      <c r="BT255" s="1282">
        <f>+IF($K255="Ongoing",AX255,IF(RIGHT($K255,2)=RIGHT(BT$43,2),SUM($AX255:AX255),0)+IF(RIGHT(BT$43,2)&gt;RIGHT($K255,2),AX255,0))</f>
        <v>0</v>
      </c>
      <c r="BU255" s="387">
        <f>+IF($K255="Ongoing",AY255,IF(RIGHT($K255,2)=RIGHT(BU$43,2),SUM($AX255:AY255),0)+IF(RIGHT(BU$43,2)&gt;RIGHT($K255,2),AY255,0))</f>
        <v>0</v>
      </c>
      <c r="BV255" s="387">
        <f>+IF($K255="Ongoing",AZ255,IF(RIGHT($K255,2)=RIGHT(BV$43,2),SUM($AX255:AZ255),0)+IF(RIGHT(BV$43,2)&gt;RIGHT($K255,2),AZ255,0))</f>
        <v>0</v>
      </c>
      <c r="BW255" s="387">
        <f>+IF($K255="Ongoing",BA255,IF(RIGHT($K255,2)=RIGHT(BW$43,2),SUM($AX255:BA255),0)+IF(RIGHT(BW$43,2)&gt;RIGHT($K255,2),BA255,0))</f>
        <v>0</v>
      </c>
      <c r="BX255" s="1283">
        <f>+IF($K255="Ongoing",BB255,IF(RIGHT($K255,2)=RIGHT(BX$43,2),SUM($AX255:BB255),0)+IF(RIGHT(BX$43,2)&gt;RIGHT($K255,2),BB255,0))</f>
        <v>0</v>
      </c>
      <c r="BY255" s="386">
        <f>+IF($K255="Ongoing",BC255,IF(RIGHT($K255,2)=RIGHT(BY$43,2),SUM($AX255:BC255),0)+IF(RIGHT(BY$43,2)&gt;RIGHT($K255,2),BC255,0))</f>
        <v>0</v>
      </c>
      <c r="BZ255" s="387">
        <f>+IF($K255="Ongoing",BD255,IF(RIGHT($K255,2)=RIGHT(BZ$43,2),SUM($AX255:BD255),0)+IF(RIGHT(BZ$43,2)&gt;RIGHT($K255,2),BD255,0))</f>
        <v>0</v>
      </c>
      <c r="CA255" s="1277">
        <f>+IF($K255="Ongoing",BE255,IF(RIGHT($K255,2)=RIGHT(CA$43,2),SUM($AX255:BE255),0)+IF(RIGHT(CA$43,2)&gt;RIGHT($K255,2),BE255,0))</f>
        <v>0</v>
      </c>
      <c r="CB255" s="1277">
        <f>+IF($K255="Ongoing",BF255,IF(RIGHT($K255,2)=RIGHT(CB$43,2),SUM($AX255:BF255),0)+IF(RIGHT(CB$43,2)&gt;RIGHT($K255,2),BF255,0))</f>
        <v>0</v>
      </c>
      <c r="CC255" s="388">
        <f>+IF($K255="Ongoing",BG255,IF(RIGHT($K255,2)=RIGHT(CC$43,2),SUM($AX255:BG255),0)+IF(RIGHT(CC$43,2)&gt;RIGHT($K255,2),BG255,0))</f>
        <v>0</v>
      </c>
      <c r="CD255" s="1025"/>
      <c r="CE255" s="1282">
        <f>+Q255*KeyAssumptionsPriceControl_FO!AF$15</f>
        <v>0</v>
      </c>
      <c r="CF255" s="387">
        <f>+R255*KeyAssumptionsPriceControl_FO!AG$15</f>
        <v>0</v>
      </c>
      <c r="CG255" s="387">
        <f>+S255*KeyAssumptionsPriceControl_FO!AH$15</f>
        <v>0</v>
      </c>
      <c r="CH255" s="387">
        <f>+T255*KeyAssumptionsPriceControl_FO!AI$15</f>
        <v>0</v>
      </c>
      <c r="CI255" s="1283">
        <f>+U255*KeyAssumptionsPriceControl_FO!AJ$15</f>
        <v>0</v>
      </c>
      <c r="CJ255" s="386">
        <f>+V255*KeyAssumptionsPriceControl_FO!AK$15</f>
        <v>0</v>
      </c>
      <c r="CK255" s="387">
        <f>+W255*KeyAssumptionsPriceControl_FO!AL$15</f>
        <v>0</v>
      </c>
      <c r="CL255" s="1277">
        <f>+X255*KeyAssumptionsPriceControl_FO!AM$15</f>
        <v>0</v>
      </c>
      <c r="CM255" s="1277">
        <f>+Y255*KeyAssumptionsPriceControl_FO!AN$15</f>
        <v>0</v>
      </c>
      <c r="CN255" s="388">
        <f>+Z255*KeyAssumptionsPriceControl_FO!AO$15</f>
        <v>0</v>
      </c>
      <c r="CO255" s="1025"/>
      <c r="CP255" s="1282">
        <f t="shared" ca="1" si="477"/>
        <v>0</v>
      </c>
      <c r="CQ255" s="387">
        <f t="shared" ca="1" si="478"/>
        <v>0</v>
      </c>
      <c r="CR255" s="387">
        <f t="shared" ca="1" si="479"/>
        <v>0</v>
      </c>
      <c r="CS255" s="387">
        <f t="shared" ca="1" si="480"/>
        <v>0</v>
      </c>
      <c r="CT255" s="1283">
        <f t="shared" ca="1" si="481"/>
        <v>0</v>
      </c>
      <c r="CU255" s="386">
        <f t="shared" ca="1" si="482"/>
        <v>0</v>
      </c>
      <c r="CV255" s="387">
        <f t="shared" ca="1" si="483"/>
        <v>0</v>
      </c>
      <c r="CW255" s="1277">
        <f t="shared" ca="1" si="484"/>
        <v>0</v>
      </c>
      <c r="CX255" s="1277">
        <f t="shared" ca="1" si="485"/>
        <v>0</v>
      </c>
      <c r="CY255" s="388">
        <f t="shared" ca="1" si="486"/>
        <v>0</v>
      </c>
      <c r="CZ255" s="347"/>
      <c r="DA255" s="852"/>
      <c r="DB255" s="347"/>
      <c r="DC255" s="1012" t="s">
        <v>548</v>
      </c>
      <c r="DD255" s="841" t="s">
        <v>518</v>
      </c>
      <c r="DE255" s="386">
        <f>+IF($K255="ongoing",CE255,IF(RIGHT($K255,2)=RIGHT(DE$43,2),SUM($CD255:CE255),0)+IF(RIGHT(DE$43,2)&gt;RIGHT($K255,2),CE255,0))</f>
        <v>0</v>
      </c>
      <c r="DF255" s="387">
        <f>+IF($K255="ongoing",CF255,IF(RIGHT($K255,2)=RIGHT(DF$43,2),SUM($CD255:CF255),0)+IF(RIGHT(DF$43,2)&gt;RIGHT($K255,2),CF255,0))</f>
        <v>0</v>
      </c>
      <c r="DG255" s="388">
        <f>+IF($K255="ongoing",CG255,IF(RIGHT($K255,2)=RIGHT(DG$43,2),SUM($CD255:CG255),0)+IF(RIGHT(DG$43,2)&gt;RIGHT($K255,2),CG255,0))</f>
        <v>0</v>
      </c>
      <c r="DH255" s="386">
        <f>+IF($K255="ongoing",CH255,IF(RIGHT($K255,2)=RIGHT(DH$43,2),SUM($CD255:CH255),0)+IF(RIGHT(DH$43,2)&gt;RIGHT($K255,2),CH255,0))</f>
        <v>0</v>
      </c>
      <c r="DI255" s="387">
        <f>+IF($K255="ongoing",CI255,IF(RIGHT($K255,2)=RIGHT(DI$43,2),SUM($CD255:CI255),0)+IF(RIGHT(DI$43,2)&gt;RIGHT($K255,2),CI255,0))</f>
        <v>0</v>
      </c>
      <c r="DJ255" s="387">
        <f>+IF($K255="ongoing",CJ255,IF(RIGHT($K255,2)=RIGHT(DJ$43,2),SUM($CD255:CJ255),0)+IF(RIGHT(DJ$43,2)&gt;RIGHT($K255,2),CJ255,0))</f>
        <v>0</v>
      </c>
      <c r="DK255" s="387">
        <f>+IF($K255="ongoing",CK255,IF(RIGHT($K255,2)=RIGHT(DK$43,2),SUM($CD255:CK255),0)+IF(RIGHT(DK$43,2)&gt;RIGHT($K255,2),CK255,0))</f>
        <v>0</v>
      </c>
      <c r="DL255" s="388">
        <f>+IF($K255="ongoing",CN255,IF(RIGHT($K255,2)=RIGHT(DL$43,2),SUM($CD255:CN255),0)+IF(RIGHT(DL$43,2)&gt;RIGHT($K255,2),CN255,0))</f>
        <v>0</v>
      </c>
      <c r="DM255" s="841"/>
      <c r="DN255" s="386">
        <f t="shared" si="487"/>
        <v>0.5</v>
      </c>
      <c r="DO255" s="387">
        <f t="shared" si="488"/>
        <v>1</v>
      </c>
      <c r="DP255" s="388">
        <f t="shared" si="489"/>
        <v>1</v>
      </c>
      <c r="DQ255" s="386">
        <f t="shared" si="490"/>
        <v>1</v>
      </c>
      <c r="DR255" s="387">
        <f t="shared" si="491"/>
        <v>1</v>
      </c>
      <c r="DS255" s="387">
        <f t="shared" si="492"/>
        <v>1</v>
      </c>
      <c r="DT255" s="387">
        <f t="shared" si="493"/>
        <v>1</v>
      </c>
      <c r="DU255" s="388">
        <f t="shared" si="494"/>
        <v>1</v>
      </c>
      <c r="DW255" s="386">
        <f t="shared" si="495"/>
        <v>0</v>
      </c>
      <c r="DX255" s="387">
        <f t="shared" si="496"/>
        <v>0.5</v>
      </c>
      <c r="DY255" s="388">
        <f t="shared" si="497"/>
        <v>1</v>
      </c>
      <c r="DZ255" s="386">
        <f t="shared" si="498"/>
        <v>1</v>
      </c>
      <c r="EA255" s="387">
        <f t="shared" si="499"/>
        <v>1</v>
      </c>
      <c r="EB255" s="387">
        <f t="shared" si="500"/>
        <v>1</v>
      </c>
      <c r="EC255" s="387">
        <f t="shared" si="501"/>
        <v>1</v>
      </c>
      <c r="ED255" s="388">
        <f t="shared" si="502"/>
        <v>1</v>
      </c>
      <c r="EF255" s="834">
        <f>+IF(DN255=DM255,0,
IF(AND(EF$44&gt;1,DN255=$N255),1-SUM($EE255:EE255),
IF($N255&lt;=1,
IF($N255&gt;0,1/$N255,0),
IF(EF$44=1,0,VDB(1,0,$N255,INT(EF$44-1-1),MIN($N255,INT(EF$44-1-1)+1),$DC255,IF($DD255="No",1,0))/
IF(DM255&gt;=INT($N255),$N255-INT($N255),1)))*
IF(EF$44=1,0,
IF(INT(DN255)=INT(DM255),DN255-DM255,INT(DN255)-DM255))+
IF($N255&lt;=1,
IF($N255&gt;0,1/$N255,0),VDB(1,0,$N255,INT(EF$44-1),MIN($N255,INT(EF$44-1)+1),$DC255,IF($DD255="No",1,0))/
IF(DN255&gt;INT($N255),$N255-INT($N255),1))*
IF(EF$44=1,DN255,
IF(INT(DN255)=INT(DM255),0,DN255-INT(DN255)))))</f>
        <v>0</v>
      </c>
      <c r="EG255" s="835">
        <f>+IF(DO255=DN255,0,
IF(AND(EG$44&gt;1,DO255=$N255),1-SUM($EE255:EF255),
IF($N255&lt;=1,
IF($N255&gt;0,1/$N255,0),
IF(EG$44=1,0,VDB(1,0,$N255,INT(EG$44-1-1),MIN($N255,INT(EG$44-1-1)+1),$DC255,IF($DD255="No",1,0))/
IF(DN255&gt;=INT($N255),$N255-INT($N255),1)))*
IF(EG$44=1,0,
IF(INT(DO255)=INT(DN255),DO255-DN255,INT(DO255)-DN255))+
IF($N255&lt;=1,
IF($N255&gt;0,1/$N255,0),VDB(1,0,$N255,INT(EG$44-1),MIN($N255,INT(EG$44-1)+1),$DC255,IF($DD255="No",1,0))/
IF(DO255&gt;INT($N255),$N255-INT($N255),1))*
IF(EG$44=1,DO255,
IF(INT(DO255)=INT(DN255),0,DO255-INT(DO255)))))</f>
        <v>0</v>
      </c>
      <c r="EH255" s="836">
        <f>+IF(DP255=DO255,0,
IF(AND(EH$44&gt;1,DP255=$N255),1-SUM($EE255:EG255),
IF($N255&lt;=1,
IF($N255&gt;0,1/$N255,0),
IF(EH$44=1,0,VDB(1,0,$N255,INT(EH$44-1-1),MIN($N255,INT(EH$44-1-1)+1),$DC255,IF($DD255="No",1,0))/
IF(DO255&gt;=INT($N255),$N255-INT($N255),1)))*
IF(EH$44=1,0,
IF(INT(DP255)=INT(DO255),DP255-DO255,INT(DP255)-DO255))+
IF($N255&lt;=1,
IF($N255&gt;0,1/$N255,0),VDB(1,0,$N255,INT(EH$44-1),MIN($N255,INT(EH$44-1)+1),$DC255,IF($DD255="No",1,0))/
IF(DP255&gt;INT($N255),$N255-INT($N255),1))*
IF(EH$44=1,DP255,
IF(INT(DP255)=INT(DO255),0,DP255-INT(DP255)))))</f>
        <v>0</v>
      </c>
      <c r="EI255" s="834">
        <f>+IF(DQ255=DP255,0,
IF(AND(EI$44&gt;1,DQ255=$N255),1-SUM($EE255:EH255),
IF($N255&lt;=1,
IF($N255&gt;0,1/$N255,0),
IF(EI$44=1,0,VDB(1,0,$N255,INT(EI$44-1-1),MIN($N255,INT(EI$44-1-1)+1),$DC255,IF($DD255="No",1,0))/
IF(DP255&gt;=INT($N255),$N255-INT($N255),1)))*
IF(EI$44=1,0,
IF(INT(DQ255)=INT(DP255),DQ255-DP255,INT(DQ255)-DP255))+
IF($N255&lt;=1,
IF($N255&gt;0,1/$N255,0),VDB(1,0,$N255,INT(EI$44-1),MIN($N255,INT(EI$44-1)+1),$DC255,IF($DD255="No",1,0))/
IF(DQ255&gt;INT($N255),$N255-INT($N255),1))*
IF(EI$44=1,DQ255,
IF(INT(DQ255)=INT(DP255),0,DQ255-INT(DQ255)))))</f>
        <v>0</v>
      </c>
      <c r="EJ255" s="835">
        <f>+IF(DR255=DQ255,0,
IF(AND(EJ$44&gt;1,DR255=$N255),1-SUM($EE255:EI255),
IF($N255&lt;=1,
IF($N255&gt;0,1/$N255,0),
IF(EJ$44=1,0,VDB(1,0,$N255,INT(EJ$44-1-1),MIN($N255,INT(EJ$44-1-1)+1),$DC255,IF($DD255="No",1,0))/
IF(DQ255&gt;=INT($N255),$N255-INT($N255),1)))*
IF(EJ$44=1,0,
IF(INT(DR255)=INT(DQ255),DR255-DQ255,INT(DR255)-DQ255))+
IF($N255&lt;=1,
IF($N255&gt;0,1/$N255,0),VDB(1,0,$N255,INT(EJ$44-1),MIN($N255,INT(EJ$44-1)+1),$DC255,IF($DD255="No",1,0))/
IF(DR255&gt;INT($N255),$N255-INT($N255),1))*
IF(EJ$44=1,DR255,
IF(INT(DR255)=INT(DQ255),0,DR255-INT(DR255)))))</f>
        <v>0</v>
      </c>
      <c r="EK255" s="835">
        <f>+IF(DS255=DR255,0,
IF(AND(EK$44&gt;1,DS255=$N255),1-SUM($EE255:EJ255),
IF($N255&lt;=1,
IF($N255&gt;0,1/$N255,0),
IF(EK$44=1,0,VDB(1,0,$N255,INT(EK$44-1-1),MIN($N255,INT(EK$44-1-1)+1),$DC255,IF($DD255="No",1,0))/
IF(DR255&gt;=INT($N255),$N255-INT($N255),1)))*
IF(EK$44=1,0,
IF(INT(DS255)=INT(DR255),DS255-DR255,INT(DS255)-DR255))+
IF($N255&lt;=1,
IF($N255&gt;0,1/$N255,0),VDB(1,0,$N255,INT(EK$44-1),MIN($N255,INT(EK$44-1)+1),$DC255,IF($DD255="No",1,0))/
IF(DS255&gt;INT($N255),$N255-INT($N255),1))*
IF(EK$44=1,DS255,
IF(INT(DS255)=INT(DR255),0,DS255-INT(DS255)))))</f>
        <v>0</v>
      </c>
      <c r="EL255" s="835">
        <f>+IF(DT255=DS255,0,
IF(AND(EL$44&gt;1,DT255=$N255),1-SUM($EE255:EK255),
IF($N255&lt;=1,
IF($N255&gt;0,1/$N255,0),
IF(EL$44=1,0,VDB(1,0,$N255,INT(EL$44-1-1),MIN($N255,INT(EL$44-1-1)+1),$DC255,IF($DD255="No",1,0))/
IF(DS255&gt;=INT($N255),$N255-INT($N255),1)))*
IF(EL$44=1,0,
IF(INT(DT255)=INT(DS255),DT255-DS255,INT(DT255)-DS255))+
IF($N255&lt;=1,
IF($N255&gt;0,1/$N255,0),VDB(1,0,$N255,INT(EL$44-1),MIN($N255,INT(EL$44-1)+1),$DC255,IF($DD255="No",1,0))/
IF(DT255&gt;INT($N255),$N255-INT($N255),1))*
IF(EL$44=1,DT255,
IF(INT(DT255)=INT(DS255),0,DT255-INT(DT255)))))</f>
        <v>0</v>
      </c>
      <c r="EM255" s="836">
        <f>+IF(DU255=DT255,0,
IF(AND(EM$44&gt;1,DU255=$N255),1-SUM($EE255:EL255),
IF($N255&lt;=1,
IF($N255&gt;0,1/$N255,0),
IF(EM$44=1,0,VDB(1,0,$N255,INT(EM$44-1-1),MIN($N255,INT(EM$44-1-1)+1),$DC255,IF($DD255="No",1,0))/
IF(DT255&gt;=INT($N255),$N255-INT($N255),1)))*
IF(EM$44=1,0,
IF(INT(DU255)=INT(DT255),DU255-DT255,INT(DU255)-DT255))+
IF($N255&lt;=1,
IF($N255&gt;0,1/$N255,0),VDB(1,0,$N255,INT(EM$44-1),MIN($N255,INT(EM$44-1)+1),$DC255,IF($DD255="No",1,0))/
IF(DU255&gt;INT($N255),$N255-INT($N255),1))*
IF(EM$44=1,DU255,
IF(INT(DU255)=INT(DT255),0,DU255-INT(DU255)))))</f>
        <v>0</v>
      </c>
      <c r="EN255" s="833"/>
      <c r="EO255" s="834">
        <f>+IF(OR(DW255=DV255,EO$44=1),0,
IF(AND(EO$44&gt;1,DW255=$N255),1-SUM($EN255:EN255),
IF($N255&lt;=1,
IF($N255&gt;0,1/$N255,0),
IF(EO$44=2,0,VDB(1,0,$N255,INT(EO$44-2-1),MIN($N255,INT(EO$44-2-1)+1),$DC255,IF($DD255="No",1,0))/
IF(DV255&gt;=INT($N255),$N255-INT($N255),1)))*
IF(EO$44=2,0,
IF(INT(DW255)=INT(DV255),DW255-DV255,INT(DW255)-DV255))+
IF($N255&lt;=1,
IF($N255&gt;0,1/$N255,0),VDB(1,0,$N255,INT(EO$44-2),MIN($N255,INT(EO$44-2)+1),$DC255,IF($DD255="No",1,0))/
IF(DW255&gt;INT($N255),$N255-INT($N255),1))*
IF(EO$44=2,DW255,
IF(INT(DW255)=INT(DV255),0,DW255-INT(DW255)))))</f>
        <v>0</v>
      </c>
      <c r="EP255" s="835">
        <f>+IF(OR(DX255=DW255,EP$44=1),0,
IF(AND(EP$44&gt;1,DX255=$N255),1-SUM($EN255:EO255),
IF($N255&lt;=1,
IF($N255&gt;0,1/$N255,0),
IF(EP$44=2,0,VDB(1,0,$N255,INT(EP$44-2-1),MIN($N255,INT(EP$44-2-1)+1),$DC255,IF($DD255="No",1,0))/
IF(DW255&gt;=INT($N255),$N255-INT($N255),1)))*
IF(EP$44=2,0,
IF(INT(DX255)=INT(DW255),DX255-DW255,INT(DX255)-DW255))+
IF($N255&lt;=1,
IF($N255&gt;0,1/$N255,0),VDB(1,0,$N255,INT(EP$44-2),MIN($N255,INT(EP$44-2)+1),$DC255,IF($DD255="No",1,0))/
IF(DX255&gt;INT($N255),$N255-INT($N255),1))*
IF(EP$44=2,DX255,
IF(INT(DX255)=INT(DW255),0,DX255-INT(DX255)))))</f>
        <v>0</v>
      </c>
      <c r="EQ255" s="836">
        <f>+IF(OR(DY255=DX255,EQ$44=1),0,
IF(AND(EQ$44&gt;1,DY255=$N255),1-SUM($EN255:EP255),
IF($N255&lt;=1,
IF($N255&gt;0,1/$N255,0),
IF(EQ$44=2,0,VDB(1,0,$N255,INT(EQ$44-2-1),MIN($N255,INT(EQ$44-2-1)+1),$DC255,IF($DD255="No",1,0))/
IF(DX255&gt;=INT($N255),$N255-INT($N255),1)))*
IF(EQ$44=2,0,
IF(INT(DY255)=INT(DX255),DY255-DX255,INT(DY255)-DX255))+
IF($N255&lt;=1,
IF($N255&gt;0,1/$N255,0),VDB(1,0,$N255,INT(EQ$44-2),MIN($N255,INT(EQ$44-2)+1),$DC255,IF($DD255="No",1,0))/
IF(DY255&gt;INT($N255),$N255-INT($N255),1))*
IF(EQ$44=2,DY255,
IF(INT(DY255)=INT(DX255),0,DY255-INT(DY255)))))</f>
        <v>0</v>
      </c>
      <c r="ER255" s="834">
        <f>+IF(OR(DZ255=DY255,ER$44=1),0,
IF(AND(ER$44&gt;1,DZ255=$N255),1-SUM($EN255:EQ255),
IF($N255&lt;=1,
IF($N255&gt;0,1/$N255,0),
IF(ER$44=2,0,VDB(1,0,$N255,INT(ER$44-2-1),MIN($N255,INT(ER$44-2-1)+1),$DC255,IF($DD255="No",1,0))/
IF(DY255&gt;=INT($N255),$N255-INT($N255),1)))*
IF(ER$44=2,0,
IF(INT(DZ255)=INT(DY255),DZ255-DY255,INT(DZ255)-DY255))+
IF($N255&lt;=1,
IF($N255&gt;0,1/$N255,0),VDB(1,0,$N255,INT(ER$44-2),MIN($N255,INT(ER$44-2)+1),$DC255,IF($DD255="No",1,0))/
IF(DZ255&gt;INT($N255),$N255-INT($N255),1))*
IF(ER$44=2,DZ255,
IF(INT(DZ255)=INT(DY255),0,DZ255-INT(DZ255)))))</f>
        <v>0</v>
      </c>
      <c r="ES255" s="835">
        <f>+IF(OR(EA255=DZ255,ES$44=1),0,
IF(AND(ES$44&gt;1,EA255=$N255),1-SUM($EN255:ER255),
IF($N255&lt;=1,
IF($N255&gt;0,1/$N255,0),
IF(ES$44=2,0,VDB(1,0,$N255,INT(ES$44-2-1),MIN($N255,INT(ES$44-2-1)+1),$DC255,IF($DD255="No",1,0))/
IF(DZ255&gt;=INT($N255),$N255-INT($N255),1)))*
IF(ES$44=2,0,
IF(INT(EA255)=INT(DZ255),EA255-DZ255,INT(EA255)-DZ255))+
IF($N255&lt;=1,
IF($N255&gt;0,1/$N255,0),VDB(1,0,$N255,INT(ES$44-2),MIN($N255,INT(ES$44-2)+1),$DC255,IF($DD255="No",1,0))/
IF(EA255&gt;INT($N255),$N255-INT($N255),1))*
IF(ES$44=2,EA255,
IF(INT(EA255)=INT(DZ255),0,EA255-INT(EA255)))))</f>
        <v>0</v>
      </c>
      <c r="ET255" s="835">
        <f>+IF(OR(EB255=EA255,ET$44=1),0,
IF(AND(ET$44&gt;1,EB255=$N255),1-SUM($EN255:ES255),
IF($N255&lt;=1,
IF($N255&gt;0,1/$N255,0),
IF(ET$44=2,0,VDB(1,0,$N255,INT(ET$44-2-1),MIN($N255,INT(ET$44-2-1)+1),$DC255,IF($DD255="No",1,0))/
IF(EA255&gt;=INT($N255),$N255-INT($N255),1)))*
IF(ET$44=2,0,
IF(INT(EB255)=INT(EA255),EB255-EA255,INT(EB255)-EA255))+
IF($N255&lt;=1,
IF($N255&gt;0,1/$N255,0),VDB(1,0,$N255,INT(ET$44-2),MIN($N255,INT(ET$44-2)+1),$DC255,IF($DD255="No",1,0))/
IF(EB255&gt;INT($N255),$N255-INT($N255),1))*
IF(ET$44=2,EB255,
IF(INT(EB255)=INT(EA255),0,EB255-INT(EB255)))))</f>
        <v>0</v>
      </c>
      <c r="EU255" s="835">
        <f>+IF(OR(EC255=EB255,EU$44=1),0,
IF(AND(EU$44&gt;1,EC255=$N255),1-SUM($EN255:ET255),
IF($N255&lt;=1,
IF($N255&gt;0,1/$N255,0),
IF(EU$44=2,0,VDB(1,0,$N255,INT(EU$44-2-1),MIN($N255,INT(EU$44-2-1)+1),$DC255,IF($DD255="No",1,0))/
IF(EB255&gt;=INT($N255),$N255-INT($N255),1)))*
IF(EU$44=2,0,
IF(INT(EC255)=INT(EB255),EC255-EB255,INT(EC255)-EB255))+
IF($N255&lt;=1,
IF($N255&gt;0,1/$N255,0),VDB(1,0,$N255,INT(EU$44-2),MIN($N255,INT(EU$44-2)+1),$DC255,IF($DD255="No",1,0))/
IF(EC255&gt;INT($N255),$N255-INT($N255),1))*
IF(EU$44=2,EC255,
IF(INT(EC255)=INT(EB255),0,EC255-INT(EC255)))))</f>
        <v>0</v>
      </c>
      <c r="EV255" s="836">
        <f>+IF(OR(ED255=EC255,EV$44=1),0,
IF(AND(EV$44&gt;1,ED255=$N255),1-SUM($EN255:EU255),
IF($N255&lt;=1,
IF($N255&gt;0,1/$N255,0),
IF(EV$44=2,0,VDB(1,0,$N255,INT(EV$44-2-1),MIN($N255,INT(EV$44-2-1)+1),$DC255,IF($DD255="No",1,0))/
IF(EC255&gt;=INT($N255),$N255-INT($N255),1)))*
IF(EV$44=2,0,
IF(INT(ED255)=INT(EC255),ED255-EC255,INT(ED255)-EC255))+
IF($N255&lt;=1,
IF($N255&gt;0,1/$N255,0),VDB(1,0,$N255,INT(EV$44-2),MIN($N255,INT(EV$44-2)+1),$DC255,IF($DD255="No",1,0))/
IF(ED255&gt;INT($N255),$N255-INT($N255),1))*
IF(EV$44=2,ED255,
IF(INT(ED255)=INT(EC255),0,ED255-INT(ED255)))))</f>
        <v>0</v>
      </c>
      <c r="EW255" s="833"/>
      <c r="EX255" s="834">
        <f t="shared" ca="1" si="503"/>
        <v>0</v>
      </c>
      <c r="EY255" s="835">
        <f t="shared" ca="1" si="503"/>
        <v>0</v>
      </c>
      <c r="EZ255" s="836">
        <f t="shared" ca="1" si="503"/>
        <v>0</v>
      </c>
      <c r="FA255" s="834">
        <f t="shared" ca="1" si="503"/>
        <v>0</v>
      </c>
      <c r="FB255" s="835">
        <f t="shared" ca="1" si="503"/>
        <v>0</v>
      </c>
      <c r="FC255" s="835">
        <f t="shared" ca="1" si="503"/>
        <v>0</v>
      </c>
      <c r="FD255" s="835">
        <f t="shared" ca="1" si="503"/>
        <v>0</v>
      </c>
      <c r="FE255" s="836">
        <f t="shared" ca="1" si="503"/>
        <v>0</v>
      </c>
      <c r="FG255" s="386">
        <f t="shared" ca="1" si="504"/>
        <v>0</v>
      </c>
      <c r="FH255" s="387">
        <f t="shared" ca="1" si="505"/>
        <v>0</v>
      </c>
      <c r="FI255" s="388">
        <f t="shared" ca="1" si="506"/>
        <v>0</v>
      </c>
      <c r="FJ255" s="386">
        <f t="shared" ca="1" si="507"/>
        <v>0</v>
      </c>
      <c r="FK255" s="387">
        <f t="shared" ca="1" si="508"/>
        <v>0</v>
      </c>
      <c r="FL255" s="387">
        <f t="shared" ca="1" si="509"/>
        <v>0</v>
      </c>
      <c r="FM255" s="387">
        <f t="shared" ca="1" si="510"/>
        <v>0</v>
      </c>
      <c r="FN255" s="388">
        <f t="shared" ca="1" si="511"/>
        <v>0</v>
      </c>
      <c r="FR255" s="116"/>
    </row>
    <row r="256" spans="2:174">
      <c r="B256" s="1410">
        <f t="shared" ref="B256:B319" si="512">B255+1</f>
        <v>210</v>
      </c>
      <c r="C256" s="400"/>
      <c r="D256" s="410"/>
      <c r="E256" s="402"/>
      <c r="F256" s="402"/>
      <c r="G256" s="400"/>
      <c r="H256" s="2088"/>
      <c r="I256" s="2089"/>
      <c r="J256" s="411"/>
      <c r="K256" s="403"/>
      <c r="L256" s="403"/>
      <c r="M256" s="403"/>
      <c r="N256" s="403"/>
      <c r="O256" s="347"/>
      <c r="P256" s="347"/>
      <c r="Q256" s="1021"/>
      <c r="R256" s="1022"/>
      <c r="S256" s="1022"/>
      <c r="T256" s="1022"/>
      <c r="U256" s="1023"/>
      <c r="V256" s="1021"/>
      <c r="W256" s="1022"/>
      <c r="X256" s="1022"/>
      <c r="Y256" s="1022"/>
      <c r="Z256" s="1023"/>
      <c r="AA256" s="1024"/>
      <c r="AB256" s="1021"/>
      <c r="AC256" s="1022"/>
      <c r="AD256" s="1022"/>
      <c r="AE256" s="1022"/>
      <c r="AF256" s="1023"/>
      <c r="AG256" s="1021"/>
      <c r="AH256" s="1022"/>
      <c r="AI256" s="1022"/>
      <c r="AJ256" s="1022"/>
      <c r="AK256" s="1023"/>
      <c r="AL256" s="1024"/>
      <c r="AM256" s="1021"/>
      <c r="AN256" s="1022"/>
      <c r="AO256" s="1022"/>
      <c r="AP256" s="1022"/>
      <c r="AQ256" s="1023"/>
      <c r="AR256" s="1021"/>
      <c r="AS256" s="1022"/>
      <c r="AT256" s="1022"/>
      <c r="AU256" s="1022"/>
      <c r="AV256" s="1023"/>
      <c r="AW256" s="1025"/>
      <c r="AX256" s="1282">
        <f t="shared" si="457"/>
        <v>0</v>
      </c>
      <c r="AY256" s="387">
        <f t="shared" si="458"/>
        <v>0</v>
      </c>
      <c r="AZ256" s="387">
        <f t="shared" si="459"/>
        <v>0</v>
      </c>
      <c r="BA256" s="387">
        <f t="shared" si="460"/>
        <v>0</v>
      </c>
      <c r="BB256" s="1283">
        <f t="shared" si="461"/>
        <v>0</v>
      </c>
      <c r="BC256" s="386">
        <f t="shared" si="462"/>
        <v>0</v>
      </c>
      <c r="BD256" s="387">
        <f t="shared" si="463"/>
        <v>0</v>
      </c>
      <c r="BE256" s="1277">
        <f t="shared" si="464"/>
        <v>0</v>
      </c>
      <c r="BF256" s="1277">
        <f t="shared" si="465"/>
        <v>0</v>
      </c>
      <c r="BG256" s="388">
        <f t="shared" si="466"/>
        <v>0</v>
      </c>
      <c r="BH256" s="1025"/>
      <c r="BI256" s="1282">
        <f t="shared" ca="1" si="467"/>
        <v>0</v>
      </c>
      <c r="BJ256" s="387">
        <f t="shared" ca="1" si="468"/>
        <v>0</v>
      </c>
      <c r="BK256" s="387">
        <f t="shared" ca="1" si="469"/>
        <v>0</v>
      </c>
      <c r="BL256" s="387">
        <f t="shared" ca="1" si="470"/>
        <v>0</v>
      </c>
      <c r="BM256" s="1283">
        <f t="shared" ca="1" si="471"/>
        <v>0</v>
      </c>
      <c r="BN256" s="386">
        <f t="shared" ca="1" si="472"/>
        <v>0</v>
      </c>
      <c r="BO256" s="387">
        <f t="shared" ca="1" si="473"/>
        <v>0</v>
      </c>
      <c r="BP256" s="1277">
        <f t="shared" ca="1" si="474"/>
        <v>0</v>
      </c>
      <c r="BQ256" s="1277">
        <f t="shared" ca="1" si="475"/>
        <v>0</v>
      </c>
      <c r="BR256" s="388">
        <f t="shared" ca="1" si="476"/>
        <v>0</v>
      </c>
      <c r="BS256" s="1025"/>
      <c r="BT256" s="1282">
        <f>+IF($K256="Ongoing",AX256,IF(RIGHT($K256,2)=RIGHT(BT$43,2),SUM($AX256:AX256),0)+IF(RIGHT(BT$43,2)&gt;RIGHT($K256,2),AX256,0))</f>
        <v>0</v>
      </c>
      <c r="BU256" s="387">
        <f>+IF($K256="Ongoing",AY256,IF(RIGHT($K256,2)=RIGHT(BU$43,2),SUM($AX256:AY256),0)+IF(RIGHT(BU$43,2)&gt;RIGHT($K256,2),AY256,0))</f>
        <v>0</v>
      </c>
      <c r="BV256" s="387">
        <f>+IF($K256="Ongoing",AZ256,IF(RIGHT($K256,2)=RIGHT(BV$43,2),SUM($AX256:AZ256),0)+IF(RIGHT(BV$43,2)&gt;RIGHT($K256,2),AZ256,0))</f>
        <v>0</v>
      </c>
      <c r="BW256" s="387">
        <f>+IF($K256="Ongoing",BA256,IF(RIGHT($K256,2)=RIGHT(BW$43,2),SUM($AX256:BA256),0)+IF(RIGHT(BW$43,2)&gt;RIGHT($K256,2),BA256,0))</f>
        <v>0</v>
      </c>
      <c r="BX256" s="1283">
        <f>+IF($K256="Ongoing",BB256,IF(RIGHT($K256,2)=RIGHT(BX$43,2),SUM($AX256:BB256),0)+IF(RIGHT(BX$43,2)&gt;RIGHT($K256,2),BB256,0))</f>
        <v>0</v>
      </c>
      <c r="BY256" s="386">
        <f>+IF($K256="Ongoing",BC256,IF(RIGHT($K256,2)=RIGHT(BY$43,2),SUM($AX256:BC256),0)+IF(RIGHT(BY$43,2)&gt;RIGHT($K256,2),BC256,0))</f>
        <v>0</v>
      </c>
      <c r="BZ256" s="387">
        <f>+IF($K256="Ongoing",BD256,IF(RIGHT($K256,2)=RIGHT(BZ$43,2),SUM($AX256:BD256),0)+IF(RIGHT(BZ$43,2)&gt;RIGHT($K256,2),BD256,0))</f>
        <v>0</v>
      </c>
      <c r="CA256" s="1277">
        <f>+IF($K256="Ongoing",BE256,IF(RIGHT($K256,2)=RIGHT(CA$43,2),SUM($AX256:BE256),0)+IF(RIGHT(CA$43,2)&gt;RIGHT($K256,2),BE256,0))</f>
        <v>0</v>
      </c>
      <c r="CB256" s="1277">
        <f>+IF($K256="Ongoing",BF256,IF(RIGHT($K256,2)=RIGHT(CB$43,2),SUM($AX256:BF256),0)+IF(RIGHT(CB$43,2)&gt;RIGHT($K256,2),BF256,0))</f>
        <v>0</v>
      </c>
      <c r="CC256" s="388">
        <f>+IF($K256="Ongoing",BG256,IF(RIGHT($K256,2)=RIGHT(CC$43,2),SUM($AX256:BG256),0)+IF(RIGHT(CC$43,2)&gt;RIGHT($K256,2),BG256,0))</f>
        <v>0</v>
      </c>
      <c r="CD256" s="1025"/>
      <c r="CE256" s="1282">
        <f>+Q256*KeyAssumptionsPriceControl_FO!AF$15</f>
        <v>0</v>
      </c>
      <c r="CF256" s="387">
        <f>+R256*KeyAssumptionsPriceControl_FO!AG$15</f>
        <v>0</v>
      </c>
      <c r="CG256" s="387">
        <f>+S256*KeyAssumptionsPriceControl_FO!AH$15</f>
        <v>0</v>
      </c>
      <c r="CH256" s="387">
        <f>+T256*KeyAssumptionsPriceControl_FO!AI$15</f>
        <v>0</v>
      </c>
      <c r="CI256" s="1283">
        <f>+U256*KeyAssumptionsPriceControl_FO!AJ$15</f>
        <v>0</v>
      </c>
      <c r="CJ256" s="386">
        <f>+V256*KeyAssumptionsPriceControl_FO!AK$15</f>
        <v>0</v>
      </c>
      <c r="CK256" s="387">
        <f>+W256*KeyAssumptionsPriceControl_FO!AL$15</f>
        <v>0</v>
      </c>
      <c r="CL256" s="1277">
        <f>+X256*KeyAssumptionsPriceControl_FO!AM$15</f>
        <v>0</v>
      </c>
      <c r="CM256" s="1277">
        <f>+Y256*KeyAssumptionsPriceControl_FO!AN$15</f>
        <v>0</v>
      </c>
      <c r="CN256" s="388">
        <f>+Z256*KeyAssumptionsPriceControl_FO!AO$15</f>
        <v>0</v>
      </c>
      <c r="CO256" s="1025"/>
      <c r="CP256" s="1282">
        <f t="shared" ca="1" si="477"/>
        <v>0</v>
      </c>
      <c r="CQ256" s="387">
        <f t="shared" ca="1" si="478"/>
        <v>0</v>
      </c>
      <c r="CR256" s="387">
        <f t="shared" ca="1" si="479"/>
        <v>0</v>
      </c>
      <c r="CS256" s="387">
        <f t="shared" ca="1" si="480"/>
        <v>0</v>
      </c>
      <c r="CT256" s="1283">
        <f t="shared" ca="1" si="481"/>
        <v>0</v>
      </c>
      <c r="CU256" s="386">
        <f t="shared" ca="1" si="482"/>
        <v>0</v>
      </c>
      <c r="CV256" s="387">
        <f t="shared" ca="1" si="483"/>
        <v>0</v>
      </c>
      <c r="CW256" s="1277">
        <f t="shared" ca="1" si="484"/>
        <v>0</v>
      </c>
      <c r="CX256" s="1277">
        <f t="shared" ca="1" si="485"/>
        <v>0</v>
      </c>
      <c r="CY256" s="388">
        <f t="shared" ca="1" si="486"/>
        <v>0</v>
      </c>
      <c r="CZ256" s="347"/>
      <c r="DA256" s="852"/>
      <c r="DB256" s="347"/>
      <c r="DC256" s="1012" t="s">
        <v>549</v>
      </c>
      <c r="DD256" s="841" t="s">
        <v>518</v>
      </c>
      <c r="DE256" s="386">
        <f>+IF($K256="ongoing",CE256,IF(RIGHT($K256,2)=RIGHT(DE$43,2),SUM($CD256:CE256),0)+IF(RIGHT(DE$43,2)&gt;RIGHT($K256,2),CE256,0))</f>
        <v>0</v>
      </c>
      <c r="DF256" s="387">
        <f>+IF($K256="ongoing",CF256,IF(RIGHT($K256,2)=RIGHT(DF$43,2),SUM($CD256:CF256),0)+IF(RIGHT(DF$43,2)&gt;RIGHT($K256,2),CF256,0))</f>
        <v>0</v>
      </c>
      <c r="DG256" s="388">
        <f>+IF($K256="ongoing",CG256,IF(RIGHT($K256,2)=RIGHT(DG$43,2),SUM($CD256:CG256),0)+IF(RIGHT(DG$43,2)&gt;RIGHT($K256,2),CG256,0))</f>
        <v>0</v>
      </c>
      <c r="DH256" s="386">
        <f>+IF($K256="ongoing",CH256,IF(RIGHT($K256,2)=RIGHT(DH$43,2),SUM($CD256:CH256),0)+IF(RIGHT(DH$43,2)&gt;RIGHT($K256,2),CH256,0))</f>
        <v>0</v>
      </c>
      <c r="DI256" s="387">
        <f>+IF($K256="ongoing",CI256,IF(RIGHT($K256,2)=RIGHT(DI$43,2),SUM($CD256:CI256),0)+IF(RIGHT(DI$43,2)&gt;RIGHT($K256,2),CI256,0))</f>
        <v>0</v>
      </c>
      <c r="DJ256" s="387">
        <f>+IF($K256="ongoing",CJ256,IF(RIGHT($K256,2)=RIGHT(DJ$43,2),SUM($CD256:CJ256),0)+IF(RIGHT(DJ$43,2)&gt;RIGHT($K256,2),CJ256,0))</f>
        <v>0</v>
      </c>
      <c r="DK256" s="387">
        <f>+IF($K256="ongoing",CK256,IF(RIGHT($K256,2)=RIGHT(DK$43,2),SUM($CD256:CK256),0)+IF(RIGHT(DK$43,2)&gt;RIGHT($K256,2),CK256,0))</f>
        <v>0</v>
      </c>
      <c r="DL256" s="388">
        <f>+IF($K256="ongoing",CN256,IF(RIGHT($K256,2)=RIGHT(DL$43,2),SUM($CD256:CN256),0)+IF(RIGHT(DL$43,2)&gt;RIGHT($K256,2),CN256,0))</f>
        <v>0</v>
      </c>
      <c r="DM256" s="841"/>
      <c r="DN256" s="386">
        <f t="shared" si="487"/>
        <v>0.5</v>
      </c>
      <c r="DO256" s="387">
        <f t="shared" si="488"/>
        <v>1</v>
      </c>
      <c r="DP256" s="388">
        <f t="shared" si="489"/>
        <v>1</v>
      </c>
      <c r="DQ256" s="386">
        <f t="shared" si="490"/>
        <v>1</v>
      </c>
      <c r="DR256" s="387">
        <f t="shared" si="491"/>
        <v>1</v>
      </c>
      <c r="DS256" s="387">
        <f t="shared" si="492"/>
        <v>1</v>
      </c>
      <c r="DT256" s="387">
        <f t="shared" si="493"/>
        <v>1</v>
      </c>
      <c r="DU256" s="388">
        <f t="shared" si="494"/>
        <v>1</v>
      </c>
      <c r="DW256" s="386">
        <f t="shared" si="495"/>
        <v>0</v>
      </c>
      <c r="DX256" s="387">
        <f t="shared" si="496"/>
        <v>0.5</v>
      </c>
      <c r="DY256" s="388">
        <f t="shared" si="497"/>
        <v>1</v>
      </c>
      <c r="DZ256" s="386">
        <f t="shared" si="498"/>
        <v>1</v>
      </c>
      <c r="EA256" s="387">
        <f t="shared" si="499"/>
        <v>1</v>
      </c>
      <c r="EB256" s="387">
        <f t="shared" si="500"/>
        <v>1</v>
      </c>
      <c r="EC256" s="387">
        <f t="shared" si="501"/>
        <v>1</v>
      </c>
      <c r="ED256" s="388">
        <f t="shared" si="502"/>
        <v>1</v>
      </c>
      <c r="EF256" s="834">
        <f>+IF(DN256=DM256,0,
IF(AND(EF$44&gt;1,DN256=$N256),1-SUM($EE256:EE256),
IF($N256&lt;=1,
IF($N256&gt;0,1/$N256,0),
IF(EF$44=1,0,VDB(1,0,$N256,INT(EF$44-1-1),MIN($N256,INT(EF$44-1-1)+1),$DC256,IF($DD256="No",1,0))/
IF(DM256&gt;=INT($N256),$N256-INT($N256),1)))*
IF(EF$44=1,0,
IF(INT(DN256)=INT(DM256),DN256-DM256,INT(DN256)-DM256))+
IF($N256&lt;=1,
IF($N256&gt;0,1/$N256,0),VDB(1,0,$N256,INT(EF$44-1),MIN($N256,INT(EF$44-1)+1),$DC256,IF($DD256="No",1,0))/
IF(DN256&gt;INT($N256),$N256-INT($N256),1))*
IF(EF$44=1,DN256,
IF(INT(DN256)=INT(DM256),0,DN256-INT(DN256)))))</f>
        <v>0</v>
      </c>
      <c r="EG256" s="835">
        <f>+IF(DO256=DN256,0,
IF(AND(EG$44&gt;1,DO256=$N256),1-SUM($EE256:EF256),
IF($N256&lt;=1,
IF($N256&gt;0,1/$N256,0),
IF(EG$44=1,0,VDB(1,0,$N256,INT(EG$44-1-1),MIN($N256,INT(EG$44-1-1)+1),$DC256,IF($DD256="No",1,0))/
IF(DN256&gt;=INT($N256),$N256-INT($N256),1)))*
IF(EG$44=1,0,
IF(INT(DO256)=INT(DN256),DO256-DN256,INT(DO256)-DN256))+
IF($N256&lt;=1,
IF($N256&gt;0,1/$N256,0),VDB(1,0,$N256,INT(EG$44-1),MIN($N256,INT(EG$44-1)+1),$DC256,IF($DD256="No",1,0))/
IF(DO256&gt;INT($N256),$N256-INT($N256),1))*
IF(EG$44=1,DO256,
IF(INT(DO256)=INT(DN256),0,DO256-INT(DO256)))))</f>
        <v>0</v>
      </c>
      <c r="EH256" s="836">
        <f>+IF(DP256=DO256,0,
IF(AND(EH$44&gt;1,DP256=$N256),1-SUM($EE256:EG256),
IF($N256&lt;=1,
IF($N256&gt;0,1/$N256,0),
IF(EH$44=1,0,VDB(1,0,$N256,INT(EH$44-1-1),MIN($N256,INT(EH$44-1-1)+1),$DC256,IF($DD256="No",1,0))/
IF(DO256&gt;=INT($N256),$N256-INT($N256),1)))*
IF(EH$44=1,0,
IF(INT(DP256)=INT(DO256),DP256-DO256,INT(DP256)-DO256))+
IF($N256&lt;=1,
IF($N256&gt;0,1/$N256,0),VDB(1,0,$N256,INT(EH$44-1),MIN($N256,INT(EH$44-1)+1),$DC256,IF($DD256="No",1,0))/
IF(DP256&gt;INT($N256),$N256-INT($N256),1))*
IF(EH$44=1,DP256,
IF(INT(DP256)=INT(DO256),0,DP256-INT(DP256)))))</f>
        <v>0</v>
      </c>
      <c r="EI256" s="834">
        <f>+IF(DQ256=DP256,0,
IF(AND(EI$44&gt;1,DQ256=$N256),1-SUM($EE256:EH256),
IF($N256&lt;=1,
IF($N256&gt;0,1/$N256,0),
IF(EI$44=1,0,VDB(1,0,$N256,INT(EI$44-1-1),MIN($N256,INT(EI$44-1-1)+1),$DC256,IF($DD256="No",1,0))/
IF(DP256&gt;=INT($N256),$N256-INT($N256),1)))*
IF(EI$44=1,0,
IF(INT(DQ256)=INT(DP256),DQ256-DP256,INT(DQ256)-DP256))+
IF($N256&lt;=1,
IF($N256&gt;0,1/$N256,0),VDB(1,0,$N256,INT(EI$44-1),MIN($N256,INT(EI$44-1)+1),$DC256,IF($DD256="No",1,0))/
IF(DQ256&gt;INT($N256),$N256-INT($N256),1))*
IF(EI$44=1,DQ256,
IF(INT(DQ256)=INT(DP256),0,DQ256-INT(DQ256)))))</f>
        <v>0</v>
      </c>
      <c r="EJ256" s="835">
        <f>+IF(DR256=DQ256,0,
IF(AND(EJ$44&gt;1,DR256=$N256),1-SUM($EE256:EI256),
IF($N256&lt;=1,
IF($N256&gt;0,1/$N256,0),
IF(EJ$44=1,0,VDB(1,0,$N256,INT(EJ$44-1-1),MIN($N256,INT(EJ$44-1-1)+1),$DC256,IF($DD256="No",1,0))/
IF(DQ256&gt;=INT($N256),$N256-INT($N256),1)))*
IF(EJ$44=1,0,
IF(INT(DR256)=INT(DQ256),DR256-DQ256,INT(DR256)-DQ256))+
IF($N256&lt;=1,
IF($N256&gt;0,1/$N256,0),VDB(1,0,$N256,INT(EJ$44-1),MIN($N256,INT(EJ$44-1)+1),$DC256,IF($DD256="No",1,0))/
IF(DR256&gt;INT($N256),$N256-INT($N256),1))*
IF(EJ$44=1,DR256,
IF(INT(DR256)=INT(DQ256),0,DR256-INT(DR256)))))</f>
        <v>0</v>
      </c>
      <c r="EK256" s="835">
        <f>+IF(DS256=DR256,0,
IF(AND(EK$44&gt;1,DS256=$N256),1-SUM($EE256:EJ256),
IF($N256&lt;=1,
IF($N256&gt;0,1/$N256,0),
IF(EK$44=1,0,VDB(1,0,$N256,INT(EK$44-1-1),MIN($N256,INT(EK$44-1-1)+1),$DC256,IF($DD256="No",1,0))/
IF(DR256&gt;=INT($N256),$N256-INT($N256),1)))*
IF(EK$44=1,0,
IF(INT(DS256)=INT(DR256),DS256-DR256,INT(DS256)-DR256))+
IF($N256&lt;=1,
IF($N256&gt;0,1/$N256,0),VDB(1,0,$N256,INT(EK$44-1),MIN($N256,INT(EK$44-1)+1),$DC256,IF($DD256="No",1,0))/
IF(DS256&gt;INT($N256),$N256-INT($N256),1))*
IF(EK$44=1,DS256,
IF(INT(DS256)=INT(DR256),0,DS256-INT(DS256)))))</f>
        <v>0</v>
      </c>
      <c r="EL256" s="835">
        <f>+IF(DT256=DS256,0,
IF(AND(EL$44&gt;1,DT256=$N256),1-SUM($EE256:EK256),
IF($N256&lt;=1,
IF($N256&gt;0,1/$N256,0),
IF(EL$44=1,0,VDB(1,0,$N256,INT(EL$44-1-1),MIN($N256,INT(EL$44-1-1)+1),$DC256,IF($DD256="No",1,0))/
IF(DS256&gt;=INT($N256),$N256-INT($N256),1)))*
IF(EL$44=1,0,
IF(INT(DT256)=INT(DS256),DT256-DS256,INT(DT256)-DS256))+
IF($N256&lt;=1,
IF($N256&gt;0,1/$N256,0),VDB(1,0,$N256,INT(EL$44-1),MIN($N256,INT(EL$44-1)+1),$DC256,IF($DD256="No",1,0))/
IF(DT256&gt;INT($N256),$N256-INT($N256),1))*
IF(EL$44=1,DT256,
IF(INT(DT256)=INT(DS256),0,DT256-INT(DT256)))))</f>
        <v>0</v>
      </c>
      <c r="EM256" s="836">
        <f>+IF(DU256=DT256,0,
IF(AND(EM$44&gt;1,DU256=$N256),1-SUM($EE256:EL256),
IF($N256&lt;=1,
IF($N256&gt;0,1/$N256,0),
IF(EM$44=1,0,VDB(1,0,$N256,INT(EM$44-1-1),MIN($N256,INT(EM$44-1-1)+1),$DC256,IF($DD256="No",1,0))/
IF(DT256&gt;=INT($N256),$N256-INT($N256),1)))*
IF(EM$44=1,0,
IF(INT(DU256)=INT(DT256),DU256-DT256,INT(DU256)-DT256))+
IF($N256&lt;=1,
IF($N256&gt;0,1/$N256,0),VDB(1,0,$N256,INT(EM$44-1),MIN($N256,INT(EM$44-1)+1),$DC256,IF($DD256="No",1,0))/
IF(DU256&gt;INT($N256),$N256-INT($N256),1))*
IF(EM$44=1,DU256,
IF(INT(DU256)=INT(DT256),0,DU256-INT(DU256)))))</f>
        <v>0</v>
      </c>
      <c r="EN256" s="833"/>
      <c r="EO256" s="834">
        <f>+IF(OR(DW256=DV256,EO$44=1),0,
IF(AND(EO$44&gt;1,DW256=$N256),1-SUM($EN256:EN256),
IF($N256&lt;=1,
IF($N256&gt;0,1/$N256,0),
IF(EO$44=2,0,VDB(1,0,$N256,INT(EO$44-2-1),MIN($N256,INT(EO$44-2-1)+1),$DC256,IF($DD256="No",1,0))/
IF(DV256&gt;=INT($N256),$N256-INT($N256),1)))*
IF(EO$44=2,0,
IF(INT(DW256)=INT(DV256),DW256-DV256,INT(DW256)-DV256))+
IF($N256&lt;=1,
IF($N256&gt;0,1/$N256,0),VDB(1,0,$N256,INT(EO$44-2),MIN($N256,INT(EO$44-2)+1),$DC256,IF($DD256="No",1,0))/
IF(DW256&gt;INT($N256),$N256-INT($N256),1))*
IF(EO$44=2,DW256,
IF(INT(DW256)=INT(DV256),0,DW256-INT(DW256)))))</f>
        <v>0</v>
      </c>
      <c r="EP256" s="835">
        <f>+IF(OR(DX256=DW256,EP$44=1),0,
IF(AND(EP$44&gt;1,DX256=$N256),1-SUM($EN256:EO256),
IF($N256&lt;=1,
IF($N256&gt;0,1/$N256,0),
IF(EP$44=2,0,VDB(1,0,$N256,INT(EP$44-2-1),MIN($N256,INT(EP$44-2-1)+1),$DC256,IF($DD256="No",1,0))/
IF(DW256&gt;=INT($N256),$N256-INT($N256),1)))*
IF(EP$44=2,0,
IF(INT(DX256)=INT(DW256),DX256-DW256,INT(DX256)-DW256))+
IF($N256&lt;=1,
IF($N256&gt;0,1/$N256,0),VDB(1,0,$N256,INT(EP$44-2),MIN($N256,INT(EP$44-2)+1),$DC256,IF($DD256="No",1,0))/
IF(DX256&gt;INT($N256),$N256-INT($N256),1))*
IF(EP$44=2,DX256,
IF(INT(DX256)=INT(DW256),0,DX256-INT(DX256)))))</f>
        <v>0</v>
      </c>
      <c r="EQ256" s="836">
        <f>+IF(OR(DY256=DX256,EQ$44=1),0,
IF(AND(EQ$44&gt;1,DY256=$N256),1-SUM($EN256:EP256),
IF($N256&lt;=1,
IF($N256&gt;0,1/$N256,0),
IF(EQ$44=2,0,VDB(1,0,$N256,INT(EQ$44-2-1),MIN($N256,INT(EQ$44-2-1)+1),$DC256,IF($DD256="No",1,0))/
IF(DX256&gt;=INT($N256),$N256-INT($N256),1)))*
IF(EQ$44=2,0,
IF(INT(DY256)=INT(DX256),DY256-DX256,INT(DY256)-DX256))+
IF($N256&lt;=1,
IF($N256&gt;0,1/$N256,0),VDB(1,0,$N256,INT(EQ$44-2),MIN($N256,INT(EQ$44-2)+1),$DC256,IF($DD256="No",1,0))/
IF(DY256&gt;INT($N256),$N256-INT($N256),1))*
IF(EQ$44=2,DY256,
IF(INT(DY256)=INT(DX256),0,DY256-INT(DY256)))))</f>
        <v>0</v>
      </c>
      <c r="ER256" s="834">
        <f>+IF(OR(DZ256=DY256,ER$44=1),0,
IF(AND(ER$44&gt;1,DZ256=$N256),1-SUM($EN256:EQ256),
IF($N256&lt;=1,
IF($N256&gt;0,1/$N256,0),
IF(ER$44=2,0,VDB(1,0,$N256,INT(ER$44-2-1),MIN($N256,INT(ER$44-2-1)+1),$DC256,IF($DD256="No",1,0))/
IF(DY256&gt;=INT($N256),$N256-INT($N256),1)))*
IF(ER$44=2,0,
IF(INT(DZ256)=INT(DY256),DZ256-DY256,INT(DZ256)-DY256))+
IF($N256&lt;=1,
IF($N256&gt;0,1/$N256,0),VDB(1,0,$N256,INT(ER$44-2),MIN($N256,INT(ER$44-2)+1),$DC256,IF($DD256="No",1,0))/
IF(DZ256&gt;INT($N256),$N256-INT($N256),1))*
IF(ER$44=2,DZ256,
IF(INT(DZ256)=INT(DY256),0,DZ256-INT(DZ256)))))</f>
        <v>0</v>
      </c>
      <c r="ES256" s="835">
        <f>+IF(OR(EA256=DZ256,ES$44=1),0,
IF(AND(ES$44&gt;1,EA256=$N256),1-SUM($EN256:ER256),
IF($N256&lt;=1,
IF($N256&gt;0,1/$N256,0),
IF(ES$44=2,0,VDB(1,0,$N256,INT(ES$44-2-1),MIN($N256,INT(ES$44-2-1)+1),$DC256,IF($DD256="No",1,0))/
IF(DZ256&gt;=INT($N256),$N256-INT($N256),1)))*
IF(ES$44=2,0,
IF(INT(EA256)=INT(DZ256),EA256-DZ256,INT(EA256)-DZ256))+
IF($N256&lt;=1,
IF($N256&gt;0,1/$N256,0),VDB(1,0,$N256,INT(ES$44-2),MIN($N256,INT(ES$44-2)+1),$DC256,IF($DD256="No",1,0))/
IF(EA256&gt;INT($N256),$N256-INT($N256),1))*
IF(ES$44=2,EA256,
IF(INT(EA256)=INT(DZ256),0,EA256-INT(EA256)))))</f>
        <v>0</v>
      </c>
      <c r="ET256" s="835">
        <f>+IF(OR(EB256=EA256,ET$44=1),0,
IF(AND(ET$44&gt;1,EB256=$N256),1-SUM($EN256:ES256),
IF($N256&lt;=1,
IF($N256&gt;0,1/$N256,0),
IF(ET$44=2,0,VDB(1,0,$N256,INT(ET$44-2-1),MIN($N256,INT(ET$44-2-1)+1),$DC256,IF($DD256="No",1,0))/
IF(EA256&gt;=INT($N256),$N256-INT($N256),1)))*
IF(ET$44=2,0,
IF(INT(EB256)=INT(EA256),EB256-EA256,INT(EB256)-EA256))+
IF($N256&lt;=1,
IF($N256&gt;0,1/$N256,0),VDB(1,0,$N256,INT(ET$44-2),MIN($N256,INT(ET$44-2)+1),$DC256,IF($DD256="No",1,0))/
IF(EB256&gt;INT($N256),$N256-INT($N256),1))*
IF(ET$44=2,EB256,
IF(INT(EB256)=INT(EA256),0,EB256-INT(EB256)))))</f>
        <v>0</v>
      </c>
      <c r="EU256" s="835">
        <f>+IF(OR(EC256=EB256,EU$44=1),0,
IF(AND(EU$44&gt;1,EC256=$N256),1-SUM($EN256:ET256),
IF($N256&lt;=1,
IF($N256&gt;0,1/$N256,0),
IF(EU$44=2,0,VDB(1,0,$N256,INT(EU$44-2-1),MIN($N256,INT(EU$44-2-1)+1),$DC256,IF($DD256="No",1,0))/
IF(EB256&gt;=INT($N256),$N256-INT($N256),1)))*
IF(EU$44=2,0,
IF(INT(EC256)=INT(EB256),EC256-EB256,INT(EC256)-EB256))+
IF($N256&lt;=1,
IF($N256&gt;0,1/$N256,0),VDB(1,0,$N256,INT(EU$44-2),MIN($N256,INT(EU$44-2)+1),$DC256,IF($DD256="No",1,0))/
IF(EC256&gt;INT($N256),$N256-INT($N256),1))*
IF(EU$44=2,EC256,
IF(INT(EC256)=INT(EB256),0,EC256-INT(EC256)))))</f>
        <v>0</v>
      </c>
      <c r="EV256" s="836">
        <f>+IF(OR(ED256=EC256,EV$44=1),0,
IF(AND(EV$44&gt;1,ED256=$N256),1-SUM($EN256:EU256),
IF($N256&lt;=1,
IF($N256&gt;0,1/$N256,0),
IF(EV$44=2,0,VDB(1,0,$N256,INT(EV$44-2-1),MIN($N256,INT(EV$44-2-1)+1),$DC256,IF($DD256="No",1,0))/
IF(EC256&gt;=INT($N256),$N256-INT($N256),1)))*
IF(EV$44=2,0,
IF(INT(ED256)=INT(EC256),ED256-EC256,INT(ED256)-EC256))+
IF($N256&lt;=1,
IF($N256&gt;0,1/$N256,0),VDB(1,0,$N256,INT(EV$44-2),MIN($N256,INT(EV$44-2)+1),$DC256,IF($DD256="No",1,0))/
IF(ED256&gt;INT($N256),$N256-INT($N256),1))*
IF(EV$44=2,ED256,
IF(INT(ED256)=INT(EC256),0,ED256-INT(ED256)))))</f>
        <v>0</v>
      </c>
      <c r="EW256" s="833"/>
      <c r="EX256" s="834">
        <f t="shared" ca="1" si="503"/>
        <v>0</v>
      </c>
      <c r="EY256" s="835">
        <f t="shared" ca="1" si="503"/>
        <v>0</v>
      </c>
      <c r="EZ256" s="836">
        <f t="shared" ca="1" si="503"/>
        <v>0</v>
      </c>
      <c r="FA256" s="834">
        <f t="shared" ca="1" si="503"/>
        <v>0</v>
      </c>
      <c r="FB256" s="835">
        <f t="shared" ca="1" si="503"/>
        <v>0</v>
      </c>
      <c r="FC256" s="835">
        <f t="shared" ca="1" si="503"/>
        <v>0</v>
      </c>
      <c r="FD256" s="835">
        <f t="shared" ca="1" si="503"/>
        <v>0</v>
      </c>
      <c r="FE256" s="836">
        <f t="shared" ca="1" si="503"/>
        <v>0</v>
      </c>
      <c r="FG256" s="386">
        <f t="shared" ca="1" si="504"/>
        <v>0</v>
      </c>
      <c r="FH256" s="387">
        <f t="shared" ca="1" si="505"/>
        <v>0</v>
      </c>
      <c r="FI256" s="388">
        <f t="shared" ca="1" si="506"/>
        <v>0</v>
      </c>
      <c r="FJ256" s="386">
        <f t="shared" ca="1" si="507"/>
        <v>0</v>
      </c>
      <c r="FK256" s="387">
        <f t="shared" ca="1" si="508"/>
        <v>0</v>
      </c>
      <c r="FL256" s="387">
        <f t="shared" ca="1" si="509"/>
        <v>0</v>
      </c>
      <c r="FM256" s="387">
        <f t="shared" ca="1" si="510"/>
        <v>0</v>
      </c>
      <c r="FN256" s="388">
        <f t="shared" ca="1" si="511"/>
        <v>0</v>
      </c>
      <c r="FR256" s="116"/>
    </row>
    <row r="257" spans="2:174">
      <c r="B257" s="1410">
        <f t="shared" si="512"/>
        <v>211</v>
      </c>
      <c r="C257" s="400"/>
      <c r="D257" s="410"/>
      <c r="E257" s="402"/>
      <c r="F257" s="402"/>
      <c r="G257" s="400"/>
      <c r="H257" s="2088"/>
      <c r="I257" s="2089"/>
      <c r="J257" s="411"/>
      <c r="K257" s="403"/>
      <c r="L257" s="403"/>
      <c r="M257" s="403"/>
      <c r="N257" s="403"/>
      <c r="O257" s="347"/>
      <c r="P257" s="347"/>
      <c r="Q257" s="1021"/>
      <c r="R257" s="1022"/>
      <c r="S257" s="1022"/>
      <c r="T257" s="1022"/>
      <c r="U257" s="1023"/>
      <c r="V257" s="1021"/>
      <c r="W257" s="1022"/>
      <c r="X257" s="1022"/>
      <c r="Y257" s="1022"/>
      <c r="Z257" s="1023"/>
      <c r="AA257" s="1024"/>
      <c r="AB257" s="1021"/>
      <c r="AC257" s="1022"/>
      <c r="AD257" s="1022"/>
      <c r="AE257" s="1022"/>
      <c r="AF257" s="1023"/>
      <c r="AG257" s="1021"/>
      <c r="AH257" s="1022"/>
      <c r="AI257" s="1022"/>
      <c r="AJ257" s="1022"/>
      <c r="AK257" s="1023"/>
      <c r="AL257" s="1024"/>
      <c r="AM257" s="1021"/>
      <c r="AN257" s="1022"/>
      <c r="AO257" s="1022"/>
      <c r="AP257" s="1022"/>
      <c r="AQ257" s="1023"/>
      <c r="AR257" s="1021"/>
      <c r="AS257" s="1022"/>
      <c r="AT257" s="1022"/>
      <c r="AU257" s="1022"/>
      <c r="AV257" s="1023"/>
      <c r="AW257" s="1025"/>
      <c r="AX257" s="1282">
        <f t="shared" si="457"/>
        <v>0</v>
      </c>
      <c r="AY257" s="387">
        <f t="shared" si="458"/>
        <v>0</v>
      </c>
      <c r="AZ257" s="387">
        <f t="shared" si="459"/>
        <v>0</v>
      </c>
      <c r="BA257" s="387">
        <f t="shared" si="460"/>
        <v>0</v>
      </c>
      <c r="BB257" s="1283">
        <f t="shared" si="461"/>
        <v>0</v>
      </c>
      <c r="BC257" s="386">
        <f t="shared" si="462"/>
        <v>0</v>
      </c>
      <c r="BD257" s="387">
        <f t="shared" si="463"/>
        <v>0</v>
      </c>
      <c r="BE257" s="1277">
        <f t="shared" si="464"/>
        <v>0</v>
      </c>
      <c r="BF257" s="1277">
        <f t="shared" si="465"/>
        <v>0</v>
      </c>
      <c r="BG257" s="388">
        <f t="shared" si="466"/>
        <v>0</v>
      </c>
      <c r="BH257" s="1025"/>
      <c r="BI257" s="1282">
        <f t="shared" ca="1" si="467"/>
        <v>0</v>
      </c>
      <c r="BJ257" s="387">
        <f t="shared" ca="1" si="468"/>
        <v>0</v>
      </c>
      <c r="BK257" s="387">
        <f t="shared" ca="1" si="469"/>
        <v>0</v>
      </c>
      <c r="BL257" s="387">
        <f t="shared" ca="1" si="470"/>
        <v>0</v>
      </c>
      <c r="BM257" s="1283">
        <f t="shared" ca="1" si="471"/>
        <v>0</v>
      </c>
      <c r="BN257" s="386">
        <f t="shared" ca="1" si="472"/>
        <v>0</v>
      </c>
      <c r="BO257" s="387">
        <f t="shared" ca="1" si="473"/>
        <v>0</v>
      </c>
      <c r="BP257" s="1277">
        <f t="shared" ca="1" si="474"/>
        <v>0</v>
      </c>
      <c r="BQ257" s="1277">
        <f t="shared" ca="1" si="475"/>
        <v>0</v>
      </c>
      <c r="BR257" s="388">
        <f t="shared" ca="1" si="476"/>
        <v>0</v>
      </c>
      <c r="BS257" s="1025"/>
      <c r="BT257" s="1282">
        <f>+IF($K257="Ongoing",AX257,IF(RIGHT($K257,2)=RIGHT(BT$43,2),SUM($AX257:AX257),0)+IF(RIGHT(BT$43,2)&gt;RIGHT($K257,2),AX257,0))</f>
        <v>0</v>
      </c>
      <c r="BU257" s="387">
        <f>+IF($K257="Ongoing",AY257,IF(RIGHT($K257,2)=RIGHT(BU$43,2),SUM($AX257:AY257),0)+IF(RIGHT(BU$43,2)&gt;RIGHT($K257,2),AY257,0))</f>
        <v>0</v>
      </c>
      <c r="BV257" s="387">
        <f>+IF($K257="Ongoing",AZ257,IF(RIGHT($K257,2)=RIGHT(BV$43,2),SUM($AX257:AZ257),0)+IF(RIGHT(BV$43,2)&gt;RIGHT($K257,2),AZ257,0))</f>
        <v>0</v>
      </c>
      <c r="BW257" s="387">
        <f>+IF($K257="Ongoing",BA257,IF(RIGHT($K257,2)=RIGHT(BW$43,2),SUM($AX257:BA257),0)+IF(RIGHT(BW$43,2)&gt;RIGHT($K257,2),BA257,0))</f>
        <v>0</v>
      </c>
      <c r="BX257" s="1283">
        <f>+IF($K257="Ongoing",BB257,IF(RIGHT($K257,2)=RIGHT(BX$43,2),SUM($AX257:BB257),0)+IF(RIGHT(BX$43,2)&gt;RIGHT($K257,2),BB257,0))</f>
        <v>0</v>
      </c>
      <c r="BY257" s="386">
        <f>+IF($K257="Ongoing",BC257,IF(RIGHT($K257,2)=RIGHT(BY$43,2),SUM($AX257:BC257),0)+IF(RIGHT(BY$43,2)&gt;RIGHT($K257,2),BC257,0))</f>
        <v>0</v>
      </c>
      <c r="BZ257" s="387">
        <f>+IF($K257="Ongoing",BD257,IF(RIGHT($K257,2)=RIGHT(BZ$43,2),SUM($AX257:BD257),0)+IF(RIGHT(BZ$43,2)&gt;RIGHT($K257,2),BD257,0))</f>
        <v>0</v>
      </c>
      <c r="CA257" s="1277">
        <f>+IF($K257="Ongoing",BE257,IF(RIGHT($K257,2)=RIGHT(CA$43,2),SUM($AX257:BE257),0)+IF(RIGHT(CA$43,2)&gt;RIGHT($K257,2),BE257,0))</f>
        <v>0</v>
      </c>
      <c r="CB257" s="1277">
        <f>+IF($K257="Ongoing",BF257,IF(RIGHT($K257,2)=RIGHT(CB$43,2),SUM($AX257:BF257),0)+IF(RIGHT(CB$43,2)&gt;RIGHT($K257,2),BF257,0))</f>
        <v>0</v>
      </c>
      <c r="CC257" s="388">
        <f>+IF($K257="Ongoing",BG257,IF(RIGHT($K257,2)=RIGHT(CC$43,2),SUM($AX257:BG257),0)+IF(RIGHT(CC$43,2)&gt;RIGHT($K257,2),BG257,0))</f>
        <v>0</v>
      </c>
      <c r="CD257" s="1025"/>
      <c r="CE257" s="1282">
        <f>+Q257*KeyAssumptionsPriceControl_FO!AF$15</f>
        <v>0</v>
      </c>
      <c r="CF257" s="387">
        <f>+R257*KeyAssumptionsPriceControl_FO!AG$15</f>
        <v>0</v>
      </c>
      <c r="CG257" s="387">
        <f>+S257*KeyAssumptionsPriceControl_FO!AH$15</f>
        <v>0</v>
      </c>
      <c r="CH257" s="387">
        <f>+T257*KeyAssumptionsPriceControl_FO!AI$15</f>
        <v>0</v>
      </c>
      <c r="CI257" s="1283">
        <f>+U257*KeyAssumptionsPriceControl_FO!AJ$15</f>
        <v>0</v>
      </c>
      <c r="CJ257" s="386">
        <f>+V257*KeyAssumptionsPriceControl_FO!AK$15</f>
        <v>0</v>
      </c>
      <c r="CK257" s="387">
        <f>+W257*KeyAssumptionsPriceControl_FO!AL$15</f>
        <v>0</v>
      </c>
      <c r="CL257" s="1277">
        <f>+X257*KeyAssumptionsPriceControl_FO!AM$15</f>
        <v>0</v>
      </c>
      <c r="CM257" s="1277">
        <f>+Y257*KeyAssumptionsPriceControl_FO!AN$15</f>
        <v>0</v>
      </c>
      <c r="CN257" s="388">
        <f>+Z257*KeyAssumptionsPriceControl_FO!AO$15</f>
        <v>0</v>
      </c>
      <c r="CO257" s="1025"/>
      <c r="CP257" s="1282">
        <f t="shared" ca="1" si="477"/>
        <v>0</v>
      </c>
      <c r="CQ257" s="387">
        <f t="shared" ca="1" si="478"/>
        <v>0</v>
      </c>
      <c r="CR257" s="387">
        <f t="shared" ca="1" si="479"/>
        <v>0</v>
      </c>
      <c r="CS257" s="387">
        <f t="shared" ca="1" si="480"/>
        <v>0</v>
      </c>
      <c r="CT257" s="1283">
        <f t="shared" ca="1" si="481"/>
        <v>0</v>
      </c>
      <c r="CU257" s="386">
        <f t="shared" ca="1" si="482"/>
        <v>0</v>
      </c>
      <c r="CV257" s="387">
        <f t="shared" ca="1" si="483"/>
        <v>0</v>
      </c>
      <c r="CW257" s="1277">
        <f t="shared" ca="1" si="484"/>
        <v>0</v>
      </c>
      <c r="CX257" s="1277">
        <f t="shared" ca="1" si="485"/>
        <v>0</v>
      </c>
      <c r="CY257" s="388">
        <f t="shared" ca="1" si="486"/>
        <v>0</v>
      </c>
      <c r="CZ257" s="347"/>
      <c r="DA257" s="852"/>
      <c r="DB257" s="347"/>
      <c r="DC257" s="1012" t="s">
        <v>551</v>
      </c>
      <c r="DD257" s="841" t="s">
        <v>518</v>
      </c>
      <c r="DE257" s="386">
        <f>+IF($K257="ongoing",CE257,IF(RIGHT($K257,2)=RIGHT(DE$43,2),SUM($CD257:CE257),0)+IF(RIGHT(DE$43,2)&gt;RIGHT($K257,2),CE257,0))</f>
        <v>0</v>
      </c>
      <c r="DF257" s="387">
        <f>+IF($K257="ongoing",CF257,IF(RIGHT($K257,2)=RIGHT(DF$43,2),SUM($CD257:CF257),0)+IF(RIGHT(DF$43,2)&gt;RIGHT($K257,2),CF257,0))</f>
        <v>0</v>
      </c>
      <c r="DG257" s="388">
        <f>+IF($K257="ongoing",CG257,IF(RIGHT($K257,2)=RIGHT(DG$43,2),SUM($CD257:CG257),0)+IF(RIGHT(DG$43,2)&gt;RIGHT($K257,2),CG257,0))</f>
        <v>0</v>
      </c>
      <c r="DH257" s="386">
        <f>+IF($K257="ongoing",CH257,IF(RIGHT($K257,2)=RIGHT(DH$43,2),SUM($CD257:CH257),0)+IF(RIGHT(DH$43,2)&gt;RIGHT($K257,2),CH257,0))</f>
        <v>0</v>
      </c>
      <c r="DI257" s="387">
        <f>+IF($K257="ongoing",CI257,IF(RIGHT($K257,2)=RIGHT(DI$43,2),SUM($CD257:CI257),0)+IF(RIGHT(DI$43,2)&gt;RIGHT($K257,2),CI257,0))</f>
        <v>0</v>
      </c>
      <c r="DJ257" s="387">
        <f>+IF($K257="ongoing",CJ257,IF(RIGHT($K257,2)=RIGHT(DJ$43,2),SUM($CD257:CJ257),0)+IF(RIGHT(DJ$43,2)&gt;RIGHT($K257,2),CJ257,0))</f>
        <v>0</v>
      </c>
      <c r="DK257" s="387">
        <f>+IF($K257="ongoing",CK257,IF(RIGHT($K257,2)=RIGHT(DK$43,2),SUM($CD257:CK257),0)+IF(RIGHT(DK$43,2)&gt;RIGHT($K257,2),CK257,0))</f>
        <v>0</v>
      </c>
      <c r="DL257" s="388">
        <f>+IF($K257="ongoing",CN257,IF(RIGHT($K257,2)=RIGHT(DL$43,2),SUM($CD257:CN257),0)+IF(RIGHT(DL$43,2)&gt;RIGHT($K257,2),CN257,0))</f>
        <v>0</v>
      </c>
      <c r="DM257" s="841"/>
      <c r="DN257" s="386">
        <f t="shared" si="487"/>
        <v>0.5</v>
      </c>
      <c r="DO257" s="387">
        <f t="shared" si="488"/>
        <v>1</v>
      </c>
      <c r="DP257" s="388">
        <f t="shared" si="489"/>
        <v>1</v>
      </c>
      <c r="DQ257" s="386">
        <f t="shared" si="490"/>
        <v>1</v>
      </c>
      <c r="DR257" s="387">
        <f t="shared" si="491"/>
        <v>1</v>
      </c>
      <c r="DS257" s="387">
        <f t="shared" si="492"/>
        <v>1</v>
      </c>
      <c r="DT257" s="387">
        <f t="shared" si="493"/>
        <v>1</v>
      </c>
      <c r="DU257" s="388">
        <f t="shared" si="494"/>
        <v>1</v>
      </c>
      <c r="DW257" s="386">
        <f t="shared" si="495"/>
        <v>0</v>
      </c>
      <c r="DX257" s="387">
        <f t="shared" si="496"/>
        <v>0.5</v>
      </c>
      <c r="DY257" s="388">
        <f t="shared" si="497"/>
        <v>1</v>
      </c>
      <c r="DZ257" s="386">
        <f t="shared" si="498"/>
        <v>1</v>
      </c>
      <c r="EA257" s="387">
        <f t="shared" si="499"/>
        <v>1</v>
      </c>
      <c r="EB257" s="387">
        <f t="shared" si="500"/>
        <v>1</v>
      </c>
      <c r="EC257" s="387">
        <f t="shared" si="501"/>
        <v>1</v>
      </c>
      <c r="ED257" s="388">
        <f t="shared" si="502"/>
        <v>1</v>
      </c>
      <c r="EF257" s="834">
        <f>+IF(DN257=DM257,0,
IF(AND(EF$44&gt;1,DN257=$N257),1-SUM($EE257:EE257),
IF($N257&lt;=1,
IF($N257&gt;0,1/$N257,0),
IF(EF$44=1,0,VDB(1,0,$N257,INT(EF$44-1-1),MIN($N257,INT(EF$44-1-1)+1),$DC257,IF($DD257="No",1,0))/
IF(DM257&gt;=INT($N257),$N257-INT($N257),1)))*
IF(EF$44=1,0,
IF(INT(DN257)=INT(DM257),DN257-DM257,INT(DN257)-DM257))+
IF($N257&lt;=1,
IF($N257&gt;0,1/$N257,0),VDB(1,0,$N257,INT(EF$44-1),MIN($N257,INT(EF$44-1)+1),$DC257,IF($DD257="No",1,0))/
IF(DN257&gt;INT($N257),$N257-INT($N257),1))*
IF(EF$44=1,DN257,
IF(INT(DN257)=INT(DM257),0,DN257-INT(DN257)))))</f>
        <v>0</v>
      </c>
      <c r="EG257" s="835">
        <f>+IF(DO257=DN257,0,
IF(AND(EG$44&gt;1,DO257=$N257),1-SUM($EE257:EF257),
IF($N257&lt;=1,
IF($N257&gt;0,1/$N257,0),
IF(EG$44=1,0,VDB(1,0,$N257,INT(EG$44-1-1),MIN($N257,INT(EG$44-1-1)+1),$DC257,IF($DD257="No",1,0))/
IF(DN257&gt;=INT($N257),$N257-INT($N257),1)))*
IF(EG$44=1,0,
IF(INT(DO257)=INT(DN257),DO257-DN257,INT(DO257)-DN257))+
IF($N257&lt;=1,
IF($N257&gt;0,1/$N257,0),VDB(1,0,$N257,INT(EG$44-1),MIN($N257,INT(EG$44-1)+1),$DC257,IF($DD257="No",1,0))/
IF(DO257&gt;INT($N257),$N257-INT($N257),1))*
IF(EG$44=1,DO257,
IF(INT(DO257)=INT(DN257),0,DO257-INT(DO257)))))</f>
        <v>0</v>
      </c>
      <c r="EH257" s="836">
        <f>+IF(DP257=DO257,0,
IF(AND(EH$44&gt;1,DP257=$N257),1-SUM($EE257:EG257),
IF($N257&lt;=1,
IF($N257&gt;0,1/$N257,0),
IF(EH$44=1,0,VDB(1,0,$N257,INT(EH$44-1-1),MIN($N257,INT(EH$44-1-1)+1),$DC257,IF($DD257="No",1,0))/
IF(DO257&gt;=INT($N257),$N257-INT($N257),1)))*
IF(EH$44=1,0,
IF(INT(DP257)=INT(DO257),DP257-DO257,INT(DP257)-DO257))+
IF($N257&lt;=1,
IF($N257&gt;0,1/$N257,0),VDB(1,0,$N257,INT(EH$44-1),MIN($N257,INT(EH$44-1)+1),$DC257,IF($DD257="No",1,0))/
IF(DP257&gt;INT($N257),$N257-INT($N257),1))*
IF(EH$44=1,DP257,
IF(INT(DP257)=INT(DO257),0,DP257-INT(DP257)))))</f>
        <v>0</v>
      </c>
      <c r="EI257" s="834">
        <f>+IF(DQ257=DP257,0,
IF(AND(EI$44&gt;1,DQ257=$N257),1-SUM($EE257:EH257),
IF($N257&lt;=1,
IF($N257&gt;0,1/$N257,0),
IF(EI$44=1,0,VDB(1,0,$N257,INT(EI$44-1-1),MIN($N257,INT(EI$44-1-1)+1),$DC257,IF($DD257="No",1,0))/
IF(DP257&gt;=INT($N257),$N257-INT($N257),1)))*
IF(EI$44=1,0,
IF(INT(DQ257)=INT(DP257),DQ257-DP257,INT(DQ257)-DP257))+
IF($N257&lt;=1,
IF($N257&gt;0,1/$N257,0),VDB(1,0,$N257,INT(EI$44-1),MIN($N257,INT(EI$44-1)+1),$DC257,IF($DD257="No",1,0))/
IF(DQ257&gt;INT($N257),$N257-INT($N257),1))*
IF(EI$44=1,DQ257,
IF(INT(DQ257)=INT(DP257),0,DQ257-INT(DQ257)))))</f>
        <v>0</v>
      </c>
      <c r="EJ257" s="835">
        <f>+IF(DR257=DQ257,0,
IF(AND(EJ$44&gt;1,DR257=$N257),1-SUM($EE257:EI257),
IF($N257&lt;=1,
IF($N257&gt;0,1/$N257,0),
IF(EJ$44=1,0,VDB(1,0,$N257,INT(EJ$44-1-1),MIN($N257,INT(EJ$44-1-1)+1),$DC257,IF($DD257="No",1,0))/
IF(DQ257&gt;=INT($N257),$N257-INT($N257),1)))*
IF(EJ$44=1,0,
IF(INT(DR257)=INT(DQ257),DR257-DQ257,INT(DR257)-DQ257))+
IF($N257&lt;=1,
IF($N257&gt;0,1/$N257,0),VDB(1,0,$N257,INT(EJ$44-1),MIN($N257,INT(EJ$44-1)+1),$DC257,IF($DD257="No",1,0))/
IF(DR257&gt;INT($N257),$N257-INT($N257),1))*
IF(EJ$44=1,DR257,
IF(INT(DR257)=INT(DQ257),0,DR257-INT(DR257)))))</f>
        <v>0</v>
      </c>
      <c r="EK257" s="835">
        <f>+IF(DS257=DR257,0,
IF(AND(EK$44&gt;1,DS257=$N257),1-SUM($EE257:EJ257),
IF($N257&lt;=1,
IF($N257&gt;0,1/$N257,0),
IF(EK$44=1,0,VDB(1,0,$N257,INT(EK$44-1-1),MIN($N257,INT(EK$44-1-1)+1),$DC257,IF($DD257="No",1,0))/
IF(DR257&gt;=INT($N257),$N257-INT($N257),1)))*
IF(EK$44=1,0,
IF(INT(DS257)=INT(DR257),DS257-DR257,INT(DS257)-DR257))+
IF($N257&lt;=1,
IF($N257&gt;0,1/$N257,0),VDB(1,0,$N257,INT(EK$44-1),MIN($N257,INT(EK$44-1)+1),$DC257,IF($DD257="No",1,0))/
IF(DS257&gt;INT($N257),$N257-INT($N257),1))*
IF(EK$44=1,DS257,
IF(INT(DS257)=INT(DR257),0,DS257-INT(DS257)))))</f>
        <v>0</v>
      </c>
      <c r="EL257" s="835">
        <f>+IF(DT257=DS257,0,
IF(AND(EL$44&gt;1,DT257=$N257),1-SUM($EE257:EK257),
IF($N257&lt;=1,
IF($N257&gt;0,1/$N257,0),
IF(EL$44=1,0,VDB(1,0,$N257,INT(EL$44-1-1),MIN($N257,INT(EL$44-1-1)+1),$DC257,IF($DD257="No",1,0))/
IF(DS257&gt;=INT($N257),$N257-INT($N257),1)))*
IF(EL$44=1,0,
IF(INT(DT257)=INT(DS257),DT257-DS257,INT(DT257)-DS257))+
IF($N257&lt;=1,
IF($N257&gt;0,1/$N257,0),VDB(1,0,$N257,INT(EL$44-1),MIN($N257,INT(EL$44-1)+1),$DC257,IF($DD257="No",1,0))/
IF(DT257&gt;INT($N257),$N257-INT($N257),1))*
IF(EL$44=1,DT257,
IF(INT(DT257)=INT(DS257),0,DT257-INT(DT257)))))</f>
        <v>0</v>
      </c>
      <c r="EM257" s="836">
        <f>+IF(DU257=DT257,0,
IF(AND(EM$44&gt;1,DU257=$N257),1-SUM($EE257:EL257),
IF($N257&lt;=1,
IF($N257&gt;0,1/$N257,0),
IF(EM$44=1,0,VDB(1,0,$N257,INT(EM$44-1-1),MIN($N257,INT(EM$44-1-1)+1),$DC257,IF($DD257="No",1,0))/
IF(DT257&gt;=INT($N257),$N257-INT($N257),1)))*
IF(EM$44=1,0,
IF(INT(DU257)=INT(DT257),DU257-DT257,INT(DU257)-DT257))+
IF($N257&lt;=1,
IF($N257&gt;0,1/$N257,0),VDB(1,0,$N257,INT(EM$44-1),MIN($N257,INT(EM$44-1)+1),$DC257,IF($DD257="No",1,0))/
IF(DU257&gt;INT($N257),$N257-INT($N257),1))*
IF(EM$44=1,DU257,
IF(INT(DU257)=INT(DT257),0,DU257-INT(DU257)))))</f>
        <v>0</v>
      </c>
      <c r="EN257" s="833"/>
      <c r="EO257" s="834">
        <f>+IF(OR(DW257=DV257,EO$44=1),0,
IF(AND(EO$44&gt;1,DW257=$N257),1-SUM($EN257:EN257),
IF($N257&lt;=1,
IF($N257&gt;0,1/$N257,0),
IF(EO$44=2,0,VDB(1,0,$N257,INT(EO$44-2-1),MIN($N257,INT(EO$44-2-1)+1),$DC257,IF($DD257="No",1,0))/
IF(DV257&gt;=INT($N257),$N257-INT($N257),1)))*
IF(EO$44=2,0,
IF(INT(DW257)=INT(DV257),DW257-DV257,INT(DW257)-DV257))+
IF($N257&lt;=1,
IF($N257&gt;0,1/$N257,0),VDB(1,0,$N257,INT(EO$44-2),MIN($N257,INT(EO$44-2)+1),$DC257,IF($DD257="No",1,0))/
IF(DW257&gt;INT($N257),$N257-INT($N257),1))*
IF(EO$44=2,DW257,
IF(INT(DW257)=INT(DV257),0,DW257-INT(DW257)))))</f>
        <v>0</v>
      </c>
      <c r="EP257" s="835">
        <f>+IF(OR(DX257=DW257,EP$44=1),0,
IF(AND(EP$44&gt;1,DX257=$N257),1-SUM($EN257:EO257),
IF($N257&lt;=1,
IF($N257&gt;0,1/$N257,0),
IF(EP$44=2,0,VDB(1,0,$N257,INT(EP$44-2-1),MIN($N257,INT(EP$44-2-1)+1),$DC257,IF($DD257="No",1,0))/
IF(DW257&gt;=INT($N257),$N257-INT($N257),1)))*
IF(EP$44=2,0,
IF(INT(DX257)=INT(DW257),DX257-DW257,INT(DX257)-DW257))+
IF($N257&lt;=1,
IF($N257&gt;0,1/$N257,0),VDB(1,0,$N257,INT(EP$44-2),MIN($N257,INT(EP$44-2)+1),$DC257,IF($DD257="No",1,0))/
IF(DX257&gt;INT($N257),$N257-INT($N257),1))*
IF(EP$44=2,DX257,
IF(INT(DX257)=INT(DW257),0,DX257-INT(DX257)))))</f>
        <v>0</v>
      </c>
      <c r="EQ257" s="836">
        <f>+IF(OR(DY257=DX257,EQ$44=1),0,
IF(AND(EQ$44&gt;1,DY257=$N257),1-SUM($EN257:EP257),
IF($N257&lt;=1,
IF($N257&gt;0,1/$N257,0),
IF(EQ$44=2,0,VDB(1,0,$N257,INT(EQ$44-2-1),MIN($N257,INT(EQ$44-2-1)+1),$DC257,IF($DD257="No",1,0))/
IF(DX257&gt;=INT($N257),$N257-INT($N257),1)))*
IF(EQ$44=2,0,
IF(INT(DY257)=INT(DX257),DY257-DX257,INT(DY257)-DX257))+
IF($N257&lt;=1,
IF($N257&gt;0,1/$N257,0),VDB(1,0,$N257,INT(EQ$44-2),MIN($N257,INT(EQ$44-2)+1),$DC257,IF($DD257="No",1,0))/
IF(DY257&gt;INT($N257),$N257-INT($N257),1))*
IF(EQ$44=2,DY257,
IF(INT(DY257)=INT(DX257),0,DY257-INT(DY257)))))</f>
        <v>0</v>
      </c>
      <c r="ER257" s="834">
        <f>+IF(OR(DZ257=DY257,ER$44=1),0,
IF(AND(ER$44&gt;1,DZ257=$N257),1-SUM($EN257:EQ257),
IF($N257&lt;=1,
IF($N257&gt;0,1/$N257,0),
IF(ER$44=2,0,VDB(1,0,$N257,INT(ER$44-2-1),MIN($N257,INT(ER$44-2-1)+1),$DC257,IF($DD257="No",1,0))/
IF(DY257&gt;=INT($N257),$N257-INT($N257),1)))*
IF(ER$44=2,0,
IF(INT(DZ257)=INT(DY257),DZ257-DY257,INT(DZ257)-DY257))+
IF($N257&lt;=1,
IF($N257&gt;0,1/$N257,0),VDB(1,0,$N257,INT(ER$44-2),MIN($N257,INT(ER$44-2)+1),$DC257,IF($DD257="No",1,0))/
IF(DZ257&gt;INT($N257),$N257-INT($N257),1))*
IF(ER$44=2,DZ257,
IF(INT(DZ257)=INT(DY257),0,DZ257-INT(DZ257)))))</f>
        <v>0</v>
      </c>
      <c r="ES257" s="835">
        <f>+IF(OR(EA257=DZ257,ES$44=1),0,
IF(AND(ES$44&gt;1,EA257=$N257),1-SUM($EN257:ER257),
IF($N257&lt;=1,
IF($N257&gt;0,1/$N257,0),
IF(ES$44=2,0,VDB(1,0,$N257,INT(ES$44-2-1),MIN($N257,INT(ES$44-2-1)+1),$DC257,IF($DD257="No",1,0))/
IF(DZ257&gt;=INT($N257),$N257-INT($N257),1)))*
IF(ES$44=2,0,
IF(INT(EA257)=INT(DZ257),EA257-DZ257,INT(EA257)-DZ257))+
IF($N257&lt;=1,
IF($N257&gt;0,1/$N257,0),VDB(1,0,$N257,INT(ES$44-2),MIN($N257,INT(ES$44-2)+1),$DC257,IF($DD257="No",1,0))/
IF(EA257&gt;INT($N257),$N257-INT($N257),1))*
IF(ES$44=2,EA257,
IF(INT(EA257)=INT(DZ257),0,EA257-INT(EA257)))))</f>
        <v>0</v>
      </c>
      <c r="ET257" s="835">
        <f>+IF(OR(EB257=EA257,ET$44=1),0,
IF(AND(ET$44&gt;1,EB257=$N257),1-SUM($EN257:ES257),
IF($N257&lt;=1,
IF($N257&gt;0,1/$N257,0),
IF(ET$44=2,0,VDB(1,0,$N257,INT(ET$44-2-1),MIN($N257,INT(ET$44-2-1)+1),$DC257,IF($DD257="No",1,0))/
IF(EA257&gt;=INT($N257),$N257-INT($N257),1)))*
IF(ET$44=2,0,
IF(INT(EB257)=INT(EA257),EB257-EA257,INT(EB257)-EA257))+
IF($N257&lt;=1,
IF($N257&gt;0,1/$N257,0),VDB(1,0,$N257,INT(ET$44-2),MIN($N257,INT(ET$44-2)+1),$DC257,IF($DD257="No",1,0))/
IF(EB257&gt;INT($N257),$N257-INT($N257),1))*
IF(ET$44=2,EB257,
IF(INT(EB257)=INT(EA257),0,EB257-INT(EB257)))))</f>
        <v>0</v>
      </c>
      <c r="EU257" s="835">
        <f>+IF(OR(EC257=EB257,EU$44=1),0,
IF(AND(EU$44&gt;1,EC257=$N257),1-SUM($EN257:ET257),
IF($N257&lt;=1,
IF($N257&gt;0,1/$N257,0),
IF(EU$44=2,0,VDB(1,0,$N257,INT(EU$44-2-1),MIN($N257,INT(EU$44-2-1)+1),$DC257,IF($DD257="No",1,0))/
IF(EB257&gt;=INT($N257),$N257-INT($N257),1)))*
IF(EU$44=2,0,
IF(INT(EC257)=INT(EB257),EC257-EB257,INT(EC257)-EB257))+
IF($N257&lt;=1,
IF($N257&gt;0,1/$N257,0),VDB(1,0,$N257,INT(EU$44-2),MIN($N257,INT(EU$44-2)+1),$DC257,IF($DD257="No",1,0))/
IF(EC257&gt;INT($N257),$N257-INT($N257),1))*
IF(EU$44=2,EC257,
IF(INT(EC257)=INT(EB257),0,EC257-INT(EC257)))))</f>
        <v>0</v>
      </c>
      <c r="EV257" s="836">
        <f>+IF(OR(ED257=EC257,EV$44=1),0,
IF(AND(EV$44&gt;1,ED257=$N257),1-SUM($EN257:EU257),
IF($N257&lt;=1,
IF($N257&gt;0,1/$N257,0),
IF(EV$44=2,0,VDB(1,0,$N257,INT(EV$44-2-1),MIN($N257,INT(EV$44-2-1)+1),$DC257,IF($DD257="No",1,0))/
IF(EC257&gt;=INT($N257),$N257-INT($N257),1)))*
IF(EV$44=2,0,
IF(INT(ED257)=INT(EC257),ED257-EC257,INT(ED257)-EC257))+
IF($N257&lt;=1,
IF($N257&gt;0,1/$N257,0),VDB(1,0,$N257,INT(EV$44-2),MIN($N257,INT(EV$44-2)+1),$DC257,IF($DD257="No",1,0))/
IF(ED257&gt;INT($N257),$N257-INT($N257),1))*
IF(EV$44=2,ED257,
IF(INT(ED257)=INT(EC257),0,ED257-INT(ED257)))))</f>
        <v>0</v>
      </c>
      <c r="EW257" s="833"/>
      <c r="EX257" s="834">
        <f t="shared" ca="1" si="503"/>
        <v>0</v>
      </c>
      <c r="EY257" s="835">
        <f t="shared" ca="1" si="503"/>
        <v>0</v>
      </c>
      <c r="EZ257" s="836">
        <f t="shared" ca="1" si="503"/>
        <v>0</v>
      </c>
      <c r="FA257" s="834">
        <f t="shared" ca="1" si="503"/>
        <v>0</v>
      </c>
      <c r="FB257" s="835">
        <f t="shared" ca="1" si="503"/>
        <v>0</v>
      </c>
      <c r="FC257" s="835">
        <f t="shared" ca="1" si="503"/>
        <v>0</v>
      </c>
      <c r="FD257" s="835">
        <f t="shared" ca="1" si="503"/>
        <v>0</v>
      </c>
      <c r="FE257" s="836">
        <f t="shared" ca="1" si="503"/>
        <v>0</v>
      </c>
      <c r="FG257" s="386">
        <f t="shared" ca="1" si="504"/>
        <v>0</v>
      </c>
      <c r="FH257" s="387">
        <f t="shared" ca="1" si="505"/>
        <v>0</v>
      </c>
      <c r="FI257" s="388">
        <f t="shared" ca="1" si="506"/>
        <v>0</v>
      </c>
      <c r="FJ257" s="386">
        <f t="shared" ca="1" si="507"/>
        <v>0</v>
      </c>
      <c r="FK257" s="387">
        <f t="shared" ca="1" si="508"/>
        <v>0</v>
      </c>
      <c r="FL257" s="387">
        <f t="shared" ca="1" si="509"/>
        <v>0</v>
      </c>
      <c r="FM257" s="387">
        <f t="shared" ca="1" si="510"/>
        <v>0</v>
      </c>
      <c r="FN257" s="388">
        <f t="shared" ca="1" si="511"/>
        <v>0</v>
      </c>
      <c r="FR257" s="116"/>
    </row>
    <row r="258" spans="2:174">
      <c r="B258" s="1410">
        <f t="shared" si="512"/>
        <v>212</v>
      </c>
      <c r="C258" s="400"/>
      <c r="D258" s="410"/>
      <c r="E258" s="402"/>
      <c r="F258" s="402"/>
      <c r="G258" s="400"/>
      <c r="H258" s="2088"/>
      <c r="I258" s="2089"/>
      <c r="J258" s="411"/>
      <c r="K258" s="403"/>
      <c r="L258" s="403"/>
      <c r="M258" s="403"/>
      <c r="N258" s="403"/>
      <c r="O258" s="347"/>
      <c r="P258" s="347"/>
      <c r="Q258" s="1021"/>
      <c r="R258" s="1022"/>
      <c r="S258" s="1022"/>
      <c r="T258" s="1022"/>
      <c r="U258" s="1023"/>
      <c r="V258" s="1021"/>
      <c r="W258" s="1022"/>
      <c r="X258" s="1022"/>
      <c r="Y258" s="1022"/>
      <c r="Z258" s="1023"/>
      <c r="AA258" s="1024"/>
      <c r="AB258" s="1021"/>
      <c r="AC258" s="1022"/>
      <c r="AD258" s="1022"/>
      <c r="AE258" s="1022"/>
      <c r="AF258" s="1023"/>
      <c r="AG258" s="1021"/>
      <c r="AH258" s="1022"/>
      <c r="AI258" s="1022"/>
      <c r="AJ258" s="1022"/>
      <c r="AK258" s="1023"/>
      <c r="AL258" s="1024"/>
      <c r="AM258" s="1021"/>
      <c r="AN258" s="1022"/>
      <c r="AO258" s="1022"/>
      <c r="AP258" s="1022"/>
      <c r="AQ258" s="1023"/>
      <c r="AR258" s="1021"/>
      <c r="AS258" s="1022"/>
      <c r="AT258" s="1022"/>
      <c r="AU258" s="1022"/>
      <c r="AV258" s="1023"/>
      <c r="AW258" s="1025"/>
      <c r="AX258" s="1282">
        <f t="shared" si="457"/>
        <v>0</v>
      </c>
      <c r="AY258" s="387">
        <f t="shared" si="458"/>
        <v>0</v>
      </c>
      <c r="AZ258" s="387">
        <f t="shared" si="459"/>
        <v>0</v>
      </c>
      <c r="BA258" s="387">
        <f t="shared" si="460"/>
        <v>0</v>
      </c>
      <c r="BB258" s="1283">
        <f t="shared" si="461"/>
        <v>0</v>
      </c>
      <c r="BC258" s="386">
        <f t="shared" si="462"/>
        <v>0</v>
      </c>
      <c r="BD258" s="387">
        <f t="shared" si="463"/>
        <v>0</v>
      </c>
      <c r="BE258" s="1277">
        <f t="shared" si="464"/>
        <v>0</v>
      </c>
      <c r="BF258" s="1277">
        <f t="shared" si="465"/>
        <v>0</v>
      </c>
      <c r="BG258" s="388">
        <f t="shared" si="466"/>
        <v>0</v>
      </c>
      <c r="BH258" s="1025"/>
      <c r="BI258" s="1282">
        <f t="shared" ca="1" si="467"/>
        <v>0</v>
      </c>
      <c r="BJ258" s="387">
        <f t="shared" ca="1" si="468"/>
        <v>0</v>
      </c>
      <c r="BK258" s="387">
        <f t="shared" ca="1" si="469"/>
        <v>0</v>
      </c>
      <c r="BL258" s="387">
        <f t="shared" ca="1" si="470"/>
        <v>0</v>
      </c>
      <c r="BM258" s="1283">
        <f t="shared" ca="1" si="471"/>
        <v>0</v>
      </c>
      <c r="BN258" s="386">
        <f t="shared" ca="1" si="472"/>
        <v>0</v>
      </c>
      <c r="BO258" s="387">
        <f t="shared" ca="1" si="473"/>
        <v>0</v>
      </c>
      <c r="BP258" s="1277">
        <f t="shared" ca="1" si="474"/>
        <v>0</v>
      </c>
      <c r="BQ258" s="1277">
        <f t="shared" ca="1" si="475"/>
        <v>0</v>
      </c>
      <c r="BR258" s="388">
        <f t="shared" ca="1" si="476"/>
        <v>0</v>
      </c>
      <c r="BS258" s="1025"/>
      <c r="BT258" s="1282">
        <f>+IF($K258="Ongoing",AX258,IF(RIGHT($K258,2)=RIGHT(BT$43,2),SUM($AX258:AX258),0)+IF(RIGHT(BT$43,2)&gt;RIGHT($K258,2),AX258,0))</f>
        <v>0</v>
      </c>
      <c r="BU258" s="387">
        <f>+IF($K258="Ongoing",AY258,IF(RIGHT($K258,2)=RIGHT(BU$43,2),SUM($AX258:AY258),0)+IF(RIGHT(BU$43,2)&gt;RIGHT($K258,2),AY258,0))</f>
        <v>0</v>
      </c>
      <c r="BV258" s="387">
        <f>+IF($K258="Ongoing",AZ258,IF(RIGHT($K258,2)=RIGHT(BV$43,2),SUM($AX258:AZ258),0)+IF(RIGHT(BV$43,2)&gt;RIGHT($K258,2),AZ258,0))</f>
        <v>0</v>
      </c>
      <c r="BW258" s="387">
        <f>+IF($K258="Ongoing",BA258,IF(RIGHT($K258,2)=RIGHT(BW$43,2),SUM($AX258:BA258),0)+IF(RIGHT(BW$43,2)&gt;RIGHT($K258,2),BA258,0))</f>
        <v>0</v>
      </c>
      <c r="BX258" s="1283">
        <f>+IF($K258="Ongoing",BB258,IF(RIGHT($K258,2)=RIGHT(BX$43,2),SUM($AX258:BB258),0)+IF(RIGHT(BX$43,2)&gt;RIGHT($K258,2),BB258,0))</f>
        <v>0</v>
      </c>
      <c r="BY258" s="386">
        <f>+IF($K258="Ongoing",BC258,IF(RIGHT($K258,2)=RIGHT(BY$43,2),SUM($AX258:BC258),0)+IF(RIGHT(BY$43,2)&gt;RIGHT($K258,2),BC258,0))</f>
        <v>0</v>
      </c>
      <c r="BZ258" s="387">
        <f>+IF($K258="Ongoing",BD258,IF(RIGHT($K258,2)=RIGHT(BZ$43,2),SUM($AX258:BD258),0)+IF(RIGHT(BZ$43,2)&gt;RIGHT($K258,2),BD258,0))</f>
        <v>0</v>
      </c>
      <c r="CA258" s="1277">
        <f>+IF($K258="Ongoing",BE258,IF(RIGHT($K258,2)=RIGHT(CA$43,2),SUM($AX258:BE258),0)+IF(RIGHT(CA$43,2)&gt;RIGHT($K258,2),BE258,0))</f>
        <v>0</v>
      </c>
      <c r="CB258" s="1277">
        <f>+IF($K258="Ongoing",BF258,IF(RIGHT($K258,2)=RIGHT(CB$43,2),SUM($AX258:BF258),0)+IF(RIGHT(CB$43,2)&gt;RIGHT($K258,2),BF258,0))</f>
        <v>0</v>
      </c>
      <c r="CC258" s="388">
        <f>+IF($K258="Ongoing",BG258,IF(RIGHT($K258,2)=RIGHT(CC$43,2),SUM($AX258:BG258),0)+IF(RIGHT(CC$43,2)&gt;RIGHT($K258,2),BG258,0))</f>
        <v>0</v>
      </c>
      <c r="CD258" s="1025"/>
      <c r="CE258" s="1282">
        <f>+Q258*KeyAssumptionsPriceControl_FO!AF$15</f>
        <v>0</v>
      </c>
      <c r="CF258" s="387">
        <f>+R258*KeyAssumptionsPriceControl_FO!AG$15</f>
        <v>0</v>
      </c>
      <c r="CG258" s="387">
        <f>+S258*KeyAssumptionsPriceControl_FO!AH$15</f>
        <v>0</v>
      </c>
      <c r="CH258" s="387">
        <f>+T258*KeyAssumptionsPriceControl_FO!AI$15</f>
        <v>0</v>
      </c>
      <c r="CI258" s="1283">
        <f>+U258*KeyAssumptionsPriceControl_FO!AJ$15</f>
        <v>0</v>
      </c>
      <c r="CJ258" s="386">
        <f>+V258*KeyAssumptionsPriceControl_FO!AK$15</f>
        <v>0</v>
      </c>
      <c r="CK258" s="387">
        <f>+W258*KeyAssumptionsPriceControl_FO!AL$15</f>
        <v>0</v>
      </c>
      <c r="CL258" s="1277">
        <f>+X258*KeyAssumptionsPriceControl_FO!AM$15</f>
        <v>0</v>
      </c>
      <c r="CM258" s="1277">
        <f>+Y258*KeyAssumptionsPriceControl_FO!AN$15</f>
        <v>0</v>
      </c>
      <c r="CN258" s="388">
        <f>+Z258*KeyAssumptionsPriceControl_FO!AO$15</f>
        <v>0</v>
      </c>
      <c r="CO258" s="1025"/>
      <c r="CP258" s="1282">
        <f t="shared" ca="1" si="477"/>
        <v>0</v>
      </c>
      <c r="CQ258" s="387">
        <f t="shared" ca="1" si="478"/>
        <v>0</v>
      </c>
      <c r="CR258" s="387">
        <f t="shared" ca="1" si="479"/>
        <v>0</v>
      </c>
      <c r="CS258" s="387">
        <f t="shared" ca="1" si="480"/>
        <v>0</v>
      </c>
      <c r="CT258" s="1283">
        <f t="shared" ca="1" si="481"/>
        <v>0</v>
      </c>
      <c r="CU258" s="386">
        <f t="shared" ca="1" si="482"/>
        <v>0</v>
      </c>
      <c r="CV258" s="387">
        <f t="shared" ca="1" si="483"/>
        <v>0</v>
      </c>
      <c r="CW258" s="1277">
        <f t="shared" ca="1" si="484"/>
        <v>0</v>
      </c>
      <c r="CX258" s="1277">
        <f t="shared" ca="1" si="485"/>
        <v>0</v>
      </c>
      <c r="CY258" s="388">
        <f t="shared" ca="1" si="486"/>
        <v>0</v>
      </c>
      <c r="CZ258" s="347"/>
      <c r="DA258" s="852"/>
      <c r="DB258" s="347"/>
      <c r="DC258" s="1012" t="s">
        <v>552</v>
      </c>
      <c r="DD258" s="841" t="s">
        <v>518</v>
      </c>
      <c r="DE258" s="386">
        <f>+IF($K258="ongoing",CE258,IF(RIGHT($K258,2)=RIGHT(DE$43,2),SUM($CD258:CE258),0)+IF(RIGHT(DE$43,2)&gt;RIGHT($K258,2),CE258,0))</f>
        <v>0</v>
      </c>
      <c r="DF258" s="387">
        <f>+IF($K258="ongoing",CF258,IF(RIGHT($K258,2)=RIGHT(DF$43,2),SUM($CD258:CF258),0)+IF(RIGHT(DF$43,2)&gt;RIGHT($K258,2),CF258,0))</f>
        <v>0</v>
      </c>
      <c r="DG258" s="388">
        <f>+IF($K258="ongoing",CG258,IF(RIGHT($K258,2)=RIGHT(DG$43,2),SUM($CD258:CG258),0)+IF(RIGHT(DG$43,2)&gt;RIGHT($K258,2),CG258,0))</f>
        <v>0</v>
      </c>
      <c r="DH258" s="386">
        <f>+IF($K258="ongoing",CH258,IF(RIGHT($K258,2)=RIGHT(DH$43,2),SUM($CD258:CH258),0)+IF(RIGHT(DH$43,2)&gt;RIGHT($K258,2),CH258,0))</f>
        <v>0</v>
      </c>
      <c r="DI258" s="387">
        <f>+IF($K258="ongoing",CI258,IF(RIGHT($K258,2)=RIGHT(DI$43,2),SUM($CD258:CI258),0)+IF(RIGHT(DI$43,2)&gt;RIGHT($K258,2),CI258,0))</f>
        <v>0</v>
      </c>
      <c r="DJ258" s="387">
        <f>+IF($K258="ongoing",CJ258,IF(RIGHT($K258,2)=RIGHT(DJ$43,2),SUM($CD258:CJ258),0)+IF(RIGHT(DJ$43,2)&gt;RIGHT($K258,2),CJ258,0))</f>
        <v>0</v>
      </c>
      <c r="DK258" s="387">
        <f>+IF($K258="ongoing",CK258,IF(RIGHT($K258,2)=RIGHT(DK$43,2),SUM($CD258:CK258),0)+IF(RIGHT(DK$43,2)&gt;RIGHT($K258,2),CK258,0))</f>
        <v>0</v>
      </c>
      <c r="DL258" s="388">
        <f>+IF($K258="ongoing",CN258,IF(RIGHT($K258,2)=RIGHT(DL$43,2),SUM($CD258:CN258),0)+IF(RIGHT(DL$43,2)&gt;RIGHT($K258,2),CN258,0))</f>
        <v>0</v>
      </c>
      <c r="DM258" s="841"/>
      <c r="DN258" s="386">
        <f t="shared" si="487"/>
        <v>0.5</v>
      </c>
      <c r="DO258" s="387">
        <f t="shared" si="488"/>
        <v>1</v>
      </c>
      <c r="DP258" s="388">
        <f t="shared" si="489"/>
        <v>1</v>
      </c>
      <c r="DQ258" s="386">
        <f t="shared" si="490"/>
        <v>1</v>
      </c>
      <c r="DR258" s="387">
        <f t="shared" si="491"/>
        <v>1</v>
      </c>
      <c r="DS258" s="387">
        <f t="shared" si="492"/>
        <v>1</v>
      </c>
      <c r="DT258" s="387">
        <f t="shared" si="493"/>
        <v>1</v>
      </c>
      <c r="DU258" s="388">
        <f t="shared" si="494"/>
        <v>1</v>
      </c>
      <c r="DW258" s="386">
        <f t="shared" si="495"/>
        <v>0</v>
      </c>
      <c r="DX258" s="387">
        <f t="shared" si="496"/>
        <v>0.5</v>
      </c>
      <c r="DY258" s="388">
        <f t="shared" si="497"/>
        <v>1</v>
      </c>
      <c r="DZ258" s="386">
        <f t="shared" si="498"/>
        <v>1</v>
      </c>
      <c r="EA258" s="387">
        <f t="shared" si="499"/>
        <v>1</v>
      </c>
      <c r="EB258" s="387">
        <f t="shared" si="500"/>
        <v>1</v>
      </c>
      <c r="EC258" s="387">
        <f t="shared" si="501"/>
        <v>1</v>
      </c>
      <c r="ED258" s="388">
        <f t="shared" si="502"/>
        <v>1</v>
      </c>
      <c r="EF258" s="834">
        <f>+IF(DN258=DM258,0,
IF(AND(EF$44&gt;1,DN258=$N258),1-SUM($EE258:EE258),
IF($N258&lt;=1,
IF($N258&gt;0,1/$N258,0),
IF(EF$44=1,0,VDB(1,0,$N258,INT(EF$44-1-1),MIN($N258,INT(EF$44-1-1)+1),$DC258,IF($DD258="No",1,0))/
IF(DM258&gt;=INT($N258),$N258-INT($N258),1)))*
IF(EF$44=1,0,
IF(INT(DN258)=INT(DM258),DN258-DM258,INT(DN258)-DM258))+
IF($N258&lt;=1,
IF($N258&gt;0,1/$N258,0),VDB(1,0,$N258,INT(EF$44-1),MIN($N258,INT(EF$44-1)+1),$DC258,IF($DD258="No",1,0))/
IF(DN258&gt;INT($N258),$N258-INT($N258),1))*
IF(EF$44=1,DN258,
IF(INT(DN258)=INT(DM258),0,DN258-INT(DN258)))))</f>
        <v>0</v>
      </c>
      <c r="EG258" s="835">
        <f>+IF(DO258=DN258,0,
IF(AND(EG$44&gt;1,DO258=$N258),1-SUM($EE258:EF258),
IF($N258&lt;=1,
IF($N258&gt;0,1/$N258,0),
IF(EG$44=1,0,VDB(1,0,$N258,INT(EG$44-1-1),MIN($N258,INT(EG$44-1-1)+1),$DC258,IF($DD258="No",1,0))/
IF(DN258&gt;=INT($N258),$N258-INT($N258),1)))*
IF(EG$44=1,0,
IF(INT(DO258)=INT(DN258),DO258-DN258,INT(DO258)-DN258))+
IF($N258&lt;=1,
IF($N258&gt;0,1/$N258,0),VDB(1,0,$N258,INT(EG$44-1),MIN($N258,INT(EG$44-1)+1),$DC258,IF($DD258="No",1,0))/
IF(DO258&gt;INT($N258),$N258-INT($N258),1))*
IF(EG$44=1,DO258,
IF(INT(DO258)=INT(DN258),0,DO258-INT(DO258)))))</f>
        <v>0</v>
      </c>
      <c r="EH258" s="836">
        <f>+IF(DP258=DO258,0,
IF(AND(EH$44&gt;1,DP258=$N258),1-SUM($EE258:EG258),
IF($N258&lt;=1,
IF($N258&gt;0,1/$N258,0),
IF(EH$44=1,0,VDB(1,0,$N258,INT(EH$44-1-1),MIN($N258,INT(EH$44-1-1)+1),$DC258,IF($DD258="No",1,0))/
IF(DO258&gt;=INT($N258),$N258-INT($N258),1)))*
IF(EH$44=1,0,
IF(INT(DP258)=INT(DO258),DP258-DO258,INT(DP258)-DO258))+
IF($N258&lt;=1,
IF($N258&gt;0,1/$N258,0),VDB(1,0,$N258,INT(EH$44-1),MIN($N258,INT(EH$44-1)+1),$DC258,IF($DD258="No",1,0))/
IF(DP258&gt;INT($N258),$N258-INT($N258),1))*
IF(EH$44=1,DP258,
IF(INT(DP258)=INT(DO258),0,DP258-INT(DP258)))))</f>
        <v>0</v>
      </c>
      <c r="EI258" s="834">
        <f>+IF(DQ258=DP258,0,
IF(AND(EI$44&gt;1,DQ258=$N258),1-SUM($EE258:EH258),
IF($N258&lt;=1,
IF($N258&gt;0,1/$N258,0),
IF(EI$44=1,0,VDB(1,0,$N258,INT(EI$44-1-1),MIN($N258,INT(EI$44-1-1)+1),$DC258,IF($DD258="No",1,0))/
IF(DP258&gt;=INT($N258),$N258-INT($N258),1)))*
IF(EI$44=1,0,
IF(INT(DQ258)=INT(DP258),DQ258-DP258,INT(DQ258)-DP258))+
IF($N258&lt;=1,
IF($N258&gt;0,1/$N258,0),VDB(1,0,$N258,INT(EI$44-1),MIN($N258,INT(EI$44-1)+1),$DC258,IF($DD258="No",1,0))/
IF(DQ258&gt;INT($N258),$N258-INT($N258),1))*
IF(EI$44=1,DQ258,
IF(INT(DQ258)=INT(DP258),0,DQ258-INT(DQ258)))))</f>
        <v>0</v>
      </c>
      <c r="EJ258" s="835">
        <f>+IF(DR258=DQ258,0,
IF(AND(EJ$44&gt;1,DR258=$N258),1-SUM($EE258:EI258),
IF($N258&lt;=1,
IF($N258&gt;0,1/$N258,0),
IF(EJ$44=1,0,VDB(1,0,$N258,INT(EJ$44-1-1),MIN($N258,INT(EJ$44-1-1)+1),$DC258,IF($DD258="No",1,0))/
IF(DQ258&gt;=INT($N258),$N258-INT($N258),1)))*
IF(EJ$44=1,0,
IF(INT(DR258)=INT(DQ258),DR258-DQ258,INT(DR258)-DQ258))+
IF($N258&lt;=1,
IF($N258&gt;0,1/$N258,0),VDB(1,0,$N258,INT(EJ$44-1),MIN($N258,INT(EJ$44-1)+1),$DC258,IF($DD258="No",1,0))/
IF(DR258&gt;INT($N258),$N258-INT($N258),1))*
IF(EJ$44=1,DR258,
IF(INT(DR258)=INT(DQ258),0,DR258-INT(DR258)))))</f>
        <v>0</v>
      </c>
      <c r="EK258" s="835">
        <f>+IF(DS258=DR258,0,
IF(AND(EK$44&gt;1,DS258=$N258),1-SUM($EE258:EJ258),
IF($N258&lt;=1,
IF($N258&gt;0,1/$N258,0),
IF(EK$44=1,0,VDB(1,0,$N258,INT(EK$44-1-1),MIN($N258,INT(EK$44-1-1)+1),$DC258,IF($DD258="No",1,0))/
IF(DR258&gt;=INT($N258),$N258-INT($N258),1)))*
IF(EK$44=1,0,
IF(INT(DS258)=INT(DR258),DS258-DR258,INT(DS258)-DR258))+
IF($N258&lt;=1,
IF($N258&gt;0,1/$N258,0),VDB(1,0,$N258,INT(EK$44-1),MIN($N258,INT(EK$44-1)+1),$DC258,IF($DD258="No",1,0))/
IF(DS258&gt;INT($N258),$N258-INT($N258),1))*
IF(EK$44=1,DS258,
IF(INT(DS258)=INT(DR258),0,DS258-INT(DS258)))))</f>
        <v>0</v>
      </c>
      <c r="EL258" s="835">
        <f>+IF(DT258=DS258,0,
IF(AND(EL$44&gt;1,DT258=$N258),1-SUM($EE258:EK258),
IF($N258&lt;=1,
IF($N258&gt;0,1/$N258,0),
IF(EL$44=1,0,VDB(1,0,$N258,INT(EL$44-1-1),MIN($N258,INT(EL$44-1-1)+1),$DC258,IF($DD258="No",1,0))/
IF(DS258&gt;=INT($N258),$N258-INT($N258),1)))*
IF(EL$44=1,0,
IF(INT(DT258)=INT(DS258),DT258-DS258,INT(DT258)-DS258))+
IF($N258&lt;=1,
IF($N258&gt;0,1/$N258,0),VDB(1,0,$N258,INT(EL$44-1),MIN($N258,INT(EL$44-1)+1),$DC258,IF($DD258="No",1,0))/
IF(DT258&gt;INT($N258),$N258-INT($N258),1))*
IF(EL$44=1,DT258,
IF(INT(DT258)=INT(DS258),0,DT258-INT(DT258)))))</f>
        <v>0</v>
      </c>
      <c r="EM258" s="836">
        <f>+IF(DU258=DT258,0,
IF(AND(EM$44&gt;1,DU258=$N258),1-SUM($EE258:EL258),
IF($N258&lt;=1,
IF($N258&gt;0,1/$N258,0),
IF(EM$44=1,0,VDB(1,0,$N258,INT(EM$44-1-1),MIN($N258,INT(EM$44-1-1)+1),$DC258,IF($DD258="No",1,0))/
IF(DT258&gt;=INT($N258),$N258-INT($N258),1)))*
IF(EM$44=1,0,
IF(INT(DU258)=INT(DT258),DU258-DT258,INT(DU258)-DT258))+
IF($N258&lt;=1,
IF($N258&gt;0,1/$N258,0),VDB(1,0,$N258,INT(EM$44-1),MIN($N258,INT(EM$44-1)+1),$DC258,IF($DD258="No",1,0))/
IF(DU258&gt;INT($N258),$N258-INT($N258),1))*
IF(EM$44=1,DU258,
IF(INT(DU258)=INT(DT258),0,DU258-INT(DU258)))))</f>
        <v>0</v>
      </c>
      <c r="EN258" s="833"/>
      <c r="EO258" s="834">
        <f>+IF(OR(DW258=DV258,EO$44=1),0,
IF(AND(EO$44&gt;1,DW258=$N258),1-SUM($EN258:EN258),
IF($N258&lt;=1,
IF($N258&gt;0,1/$N258,0),
IF(EO$44=2,0,VDB(1,0,$N258,INT(EO$44-2-1),MIN($N258,INT(EO$44-2-1)+1),$DC258,IF($DD258="No",1,0))/
IF(DV258&gt;=INT($N258),$N258-INT($N258),1)))*
IF(EO$44=2,0,
IF(INT(DW258)=INT(DV258),DW258-DV258,INT(DW258)-DV258))+
IF($N258&lt;=1,
IF($N258&gt;0,1/$N258,0),VDB(1,0,$N258,INT(EO$44-2),MIN($N258,INT(EO$44-2)+1),$DC258,IF($DD258="No",1,0))/
IF(DW258&gt;INT($N258),$N258-INT($N258),1))*
IF(EO$44=2,DW258,
IF(INT(DW258)=INT(DV258),0,DW258-INT(DW258)))))</f>
        <v>0</v>
      </c>
      <c r="EP258" s="835">
        <f>+IF(OR(DX258=DW258,EP$44=1),0,
IF(AND(EP$44&gt;1,DX258=$N258),1-SUM($EN258:EO258),
IF($N258&lt;=1,
IF($N258&gt;0,1/$N258,0),
IF(EP$44=2,0,VDB(1,0,$N258,INT(EP$44-2-1),MIN($N258,INT(EP$44-2-1)+1),$DC258,IF($DD258="No",1,0))/
IF(DW258&gt;=INT($N258),$N258-INT($N258),1)))*
IF(EP$44=2,0,
IF(INT(DX258)=INT(DW258),DX258-DW258,INT(DX258)-DW258))+
IF($N258&lt;=1,
IF($N258&gt;0,1/$N258,0),VDB(1,0,$N258,INT(EP$44-2),MIN($N258,INT(EP$44-2)+1),$DC258,IF($DD258="No",1,0))/
IF(DX258&gt;INT($N258),$N258-INT($N258),1))*
IF(EP$44=2,DX258,
IF(INT(DX258)=INT(DW258),0,DX258-INT(DX258)))))</f>
        <v>0</v>
      </c>
      <c r="EQ258" s="836">
        <f>+IF(OR(DY258=DX258,EQ$44=1),0,
IF(AND(EQ$44&gt;1,DY258=$N258),1-SUM($EN258:EP258),
IF($N258&lt;=1,
IF($N258&gt;0,1/$N258,0),
IF(EQ$44=2,0,VDB(1,0,$N258,INT(EQ$44-2-1),MIN($N258,INT(EQ$44-2-1)+1),$DC258,IF($DD258="No",1,0))/
IF(DX258&gt;=INT($N258),$N258-INT($N258),1)))*
IF(EQ$44=2,0,
IF(INT(DY258)=INT(DX258),DY258-DX258,INT(DY258)-DX258))+
IF($N258&lt;=1,
IF($N258&gt;0,1/$N258,0),VDB(1,0,$N258,INT(EQ$44-2),MIN($N258,INT(EQ$44-2)+1),$DC258,IF($DD258="No",1,0))/
IF(DY258&gt;INT($N258),$N258-INT($N258),1))*
IF(EQ$44=2,DY258,
IF(INT(DY258)=INT(DX258),0,DY258-INT(DY258)))))</f>
        <v>0</v>
      </c>
      <c r="ER258" s="834">
        <f>+IF(OR(DZ258=DY258,ER$44=1),0,
IF(AND(ER$44&gt;1,DZ258=$N258),1-SUM($EN258:EQ258),
IF($N258&lt;=1,
IF($N258&gt;0,1/$N258,0),
IF(ER$44=2,0,VDB(1,0,$N258,INT(ER$44-2-1),MIN($N258,INT(ER$44-2-1)+1),$DC258,IF($DD258="No",1,0))/
IF(DY258&gt;=INT($N258),$N258-INT($N258),1)))*
IF(ER$44=2,0,
IF(INT(DZ258)=INT(DY258),DZ258-DY258,INT(DZ258)-DY258))+
IF($N258&lt;=1,
IF($N258&gt;0,1/$N258,0),VDB(1,0,$N258,INT(ER$44-2),MIN($N258,INT(ER$44-2)+1),$DC258,IF($DD258="No",1,0))/
IF(DZ258&gt;INT($N258),$N258-INT($N258),1))*
IF(ER$44=2,DZ258,
IF(INT(DZ258)=INT(DY258),0,DZ258-INT(DZ258)))))</f>
        <v>0</v>
      </c>
      <c r="ES258" s="835">
        <f>+IF(OR(EA258=DZ258,ES$44=1),0,
IF(AND(ES$44&gt;1,EA258=$N258),1-SUM($EN258:ER258),
IF($N258&lt;=1,
IF($N258&gt;0,1/$N258,0),
IF(ES$44=2,0,VDB(1,0,$N258,INT(ES$44-2-1),MIN($N258,INT(ES$44-2-1)+1),$DC258,IF($DD258="No",1,0))/
IF(DZ258&gt;=INT($N258),$N258-INT($N258),1)))*
IF(ES$44=2,0,
IF(INT(EA258)=INT(DZ258),EA258-DZ258,INT(EA258)-DZ258))+
IF($N258&lt;=1,
IF($N258&gt;0,1/$N258,0),VDB(1,0,$N258,INT(ES$44-2),MIN($N258,INT(ES$44-2)+1),$DC258,IF($DD258="No",1,0))/
IF(EA258&gt;INT($N258),$N258-INT($N258),1))*
IF(ES$44=2,EA258,
IF(INT(EA258)=INT(DZ258),0,EA258-INT(EA258)))))</f>
        <v>0</v>
      </c>
      <c r="ET258" s="835">
        <f>+IF(OR(EB258=EA258,ET$44=1),0,
IF(AND(ET$44&gt;1,EB258=$N258),1-SUM($EN258:ES258),
IF($N258&lt;=1,
IF($N258&gt;0,1/$N258,0),
IF(ET$44=2,0,VDB(1,0,$N258,INT(ET$44-2-1),MIN($N258,INT(ET$44-2-1)+1),$DC258,IF($DD258="No",1,0))/
IF(EA258&gt;=INT($N258),$N258-INT($N258),1)))*
IF(ET$44=2,0,
IF(INT(EB258)=INT(EA258),EB258-EA258,INT(EB258)-EA258))+
IF($N258&lt;=1,
IF($N258&gt;0,1/$N258,0),VDB(1,0,$N258,INT(ET$44-2),MIN($N258,INT(ET$44-2)+1),$DC258,IF($DD258="No",1,0))/
IF(EB258&gt;INT($N258),$N258-INT($N258),1))*
IF(ET$44=2,EB258,
IF(INT(EB258)=INT(EA258),0,EB258-INT(EB258)))))</f>
        <v>0</v>
      </c>
      <c r="EU258" s="835">
        <f>+IF(OR(EC258=EB258,EU$44=1),0,
IF(AND(EU$44&gt;1,EC258=$N258),1-SUM($EN258:ET258),
IF($N258&lt;=1,
IF($N258&gt;0,1/$N258,0),
IF(EU$44=2,0,VDB(1,0,$N258,INT(EU$44-2-1),MIN($N258,INT(EU$44-2-1)+1),$DC258,IF($DD258="No",1,0))/
IF(EB258&gt;=INT($N258),$N258-INT($N258),1)))*
IF(EU$44=2,0,
IF(INT(EC258)=INT(EB258),EC258-EB258,INT(EC258)-EB258))+
IF($N258&lt;=1,
IF($N258&gt;0,1/$N258,0),VDB(1,0,$N258,INT(EU$44-2),MIN($N258,INT(EU$44-2)+1),$DC258,IF($DD258="No",1,0))/
IF(EC258&gt;INT($N258),$N258-INT($N258),1))*
IF(EU$44=2,EC258,
IF(INT(EC258)=INT(EB258),0,EC258-INT(EC258)))))</f>
        <v>0</v>
      </c>
      <c r="EV258" s="836">
        <f>+IF(OR(ED258=EC258,EV$44=1),0,
IF(AND(EV$44&gt;1,ED258=$N258),1-SUM($EN258:EU258),
IF($N258&lt;=1,
IF($N258&gt;0,1/$N258,0),
IF(EV$44=2,0,VDB(1,0,$N258,INT(EV$44-2-1),MIN($N258,INT(EV$44-2-1)+1),$DC258,IF($DD258="No",1,0))/
IF(EC258&gt;=INT($N258),$N258-INT($N258),1)))*
IF(EV$44=2,0,
IF(INT(ED258)=INT(EC258),ED258-EC258,INT(ED258)-EC258))+
IF($N258&lt;=1,
IF($N258&gt;0,1/$N258,0),VDB(1,0,$N258,INT(EV$44-2),MIN($N258,INT(EV$44-2)+1),$DC258,IF($DD258="No",1,0))/
IF(ED258&gt;INT($N258),$N258-INT($N258),1))*
IF(EV$44=2,ED258,
IF(INT(ED258)=INT(EC258),0,ED258-INT(ED258)))))</f>
        <v>0</v>
      </c>
      <c r="EW258" s="833"/>
      <c r="EX258" s="834">
        <f t="shared" ca="1" si="503"/>
        <v>0</v>
      </c>
      <c r="EY258" s="835">
        <f t="shared" ca="1" si="503"/>
        <v>0</v>
      </c>
      <c r="EZ258" s="836">
        <f t="shared" ca="1" si="503"/>
        <v>0</v>
      </c>
      <c r="FA258" s="834">
        <f t="shared" ca="1" si="503"/>
        <v>0</v>
      </c>
      <c r="FB258" s="835">
        <f t="shared" ca="1" si="503"/>
        <v>0</v>
      </c>
      <c r="FC258" s="835">
        <f t="shared" ca="1" si="503"/>
        <v>0</v>
      </c>
      <c r="FD258" s="835">
        <f t="shared" ca="1" si="503"/>
        <v>0</v>
      </c>
      <c r="FE258" s="836">
        <f t="shared" ca="1" si="503"/>
        <v>0</v>
      </c>
      <c r="FG258" s="386">
        <f t="shared" ca="1" si="504"/>
        <v>0</v>
      </c>
      <c r="FH258" s="387">
        <f t="shared" ca="1" si="505"/>
        <v>0</v>
      </c>
      <c r="FI258" s="388">
        <f t="shared" ca="1" si="506"/>
        <v>0</v>
      </c>
      <c r="FJ258" s="386">
        <f t="shared" ca="1" si="507"/>
        <v>0</v>
      </c>
      <c r="FK258" s="387">
        <f t="shared" ca="1" si="508"/>
        <v>0</v>
      </c>
      <c r="FL258" s="387">
        <f t="shared" ca="1" si="509"/>
        <v>0</v>
      </c>
      <c r="FM258" s="387">
        <f t="shared" ca="1" si="510"/>
        <v>0</v>
      </c>
      <c r="FN258" s="388">
        <f t="shared" ca="1" si="511"/>
        <v>0</v>
      </c>
      <c r="FR258" s="116"/>
    </row>
    <row r="259" spans="2:174">
      <c r="B259" s="1410">
        <f t="shared" si="512"/>
        <v>213</v>
      </c>
      <c r="C259" s="400"/>
      <c r="D259" s="410"/>
      <c r="E259" s="402"/>
      <c r="F259" s="402"/>
      <c r="G259" s="400"/>
      <c r="H259" s="2088"/>
      <c r="I259" s="2089"/>
      <c r="J259" s="411"/>
      <c r="K259" s="403"/>
      <c r="L259" s="403"/>
      <c r="M259" s="403"/>
      <c r="N259" s="403"/>
      <c r="O259" s="347"/>
      <c r="P259" s="347"/>
      <c r="Q259" s="1021"/>
      <c r="R259" s="1022"/>
      <c r="S259" s="1022"/>
      <c r="T259" s="1022"/>
      <c r="U259" s="1023"/>
      <c r="V259" s="1021"/>
      <c r="W259" s="1022"/>
      <c r="X259" s="1022"/>
      <c r="Y259" s="1022"/>
      <c r="Z259" s="1023"/>
      <c r="AA259" s="1024"/>
      <c r="AB259" s="1021"/>
      <c r="AC259" s="1022"/>
      <c r="AD259" s="1022"/>
      <c r="AE259" s="1022"/>
      <c r="AF259" s="1023"/>
      <c r="AG259" s="1021"/>
      <c r="AH259" s="1022"/>
      <c r="AI259" s="1022"/>
      <c r="AJ259" s="1022"/>
      <c r="AK259" s="1023"/>
      <c r="AL259" s="1024"/>
      <c r="AM259" s="1021"/>
      <c r="AN259" s="1022"/>
      <c r="AO259" s="1022"/>
      <c r="AP259" s="1022"/>
      <c r="AQ259" s="1023"/>
      <c r="AR259" s="1021"/>
      <c r="AS259" s="1022"/>
      <c r="AT259" s="1022"/>
      <c r="AU259" s="1022"/>
      <c r="AV259" s="1023"/>
      <c r="AW259" s="1025"/>
      <c r="AX259" s="1282">
        <f t="shared" si="457"/>
        <v>0</v>
      </c>
      <c r="AY259" s="387">
        <f t="shared" si="458"/>
        <v>0</v>
      </c>
      <c r="AZ259" s="387">
        <f t="shared" si="459"/>
        <v>0</v>
      </c>
      <c r="BA259" s="387">
        <f t="shared" si="460"/>
        <v>0</v>
      </c>
      <c r="BB259" s="1283">
        <f t="shared" si="461"/>
        <v>0</v>
      </c>
      <c r="BC259" s="386">
        <f t="shared" si="462"/>
        <v>0</v>
      </c>
      <c r="BD259" s="387">
        <f t="shared" si="463"/>
        <v>0</v>
      </c>
      <c r="BE259" s="1277">
        <f t="shared" si="464"/>
        <v>0</v>
      </c>
      <c r="BF259" s="1277">
        <f t="shared" si="465"/>
        <v>0</v>
      </c>
      <c r="BG259" s="388">
        <f t="shared" si="466"/>
        <v>0</v>
      </c>
      <c r="BH259" s="1025"/>
      <c r="BI259" s="1282">
        <f t="shared" ca="1" si="467"/>
        <v>0</v>
      </c>
      <c r="BJ259" s="387">
        <f t="shared" ca="1" si="468"/>
        <v>0</v>
      </c>
      <c r="BK259" s="387">
        <f t="shared" ca="1" si="469"/>
        <v>0</v>
      </c>
      <c r="BL259" s="387">
        <f t="shared" ca="1" si="470"/>
        <v>0</v>
      </c>
      <c r="BM259" s="1283">
        <f t="shared" ca="1" si="471"/>
        <v>0</v>
      </c>
      <c r="BN259" s="386">
        <f t="shared" ca="1" si="472"/>
        <v>0</v>
      </c>
      <c r="BO259" s="387">
        <f t="shared" ca="1" si="473"/>
        <v>0</v>
      </c>
      <c r="BP259" s="1277">
        <f t="shared" ca="1" si="474"/>
        <v>0</v>
      </c>
      <c r="BQ259" s="1277">
        <f t="shared" ca="1" si="475"/>
        <v>0</v>
      </c>
      <c r="BR259" s="388">
        <f t="shared" ca="1" si="476"/>
        <v>0</v>
      </c>
      <c r="BS259" s="1025"/>
      <c r="BT259" s="1282">
        <f>+IF($K259="Ongoing",AX259,IF(RIGHT($K259,2)=RIGHT(BT$43,2),SUM($AX259:AX259),0)+IF(RIGHT(BT$43,2)&gt;RIGHT($K259,2),AX259,0))</f>
        <v>0</v>
      </c>
      <c r="BU259" s="387">
        <f>+IF($K259="Ongoing",AY259,IF(RIGHT($K259,2)=RIGHT(BU$43,2),SUM($AX259:AY259),0)+IF(RIGHT(BU$43,2)&gt;RIGHT($K259,2),AY259,0))</f>
        <v>0</v>
      </c>
      <c r="BV259" s="387">
        <f>+IF($K259="Ongoing",AZ259,IF(RIGHT($K259,2)=RIGHT(BV$43,2),SUM($AX259:AZ259),0)+IF(RIGHT(BV$43,2)&gt;RIGHT($K259,2),AZ259,0))</f>
        <v>0</v>
      </c>
      <c r="BW259" s="387">
        <f>+IF($K259="Ongoing",BA259,IF(RIGHT($K259,2)=RIGHT(BW$43,2),SUM($AX259:BA259),0)+IF(RIGHT(BW$43,2)&gt;RIGHT($K259,2),BA259,0))</f>
        <v>0</v>
      </c>
      <c r="BX259" s="1283">
        <f>+IF($K259="Ongoing",BB259,IF(RIGHT($K259,2)=RIGHT(BX$43,2),SUM($AX259:BB259),0)+IF(RIGHT(BX$43,2)&gt;RIGHT($K259,2),BB259,0))</f>
        <v>0</v>
      </c>
      <c r="BY259" s="386">
        <f>+IF($K259="Ongoing",BC259,IF(RIGHT($K259,2)=RIGHT(BY$43,2),SUM($AX259:BC259),0)+IF(RIGHT(BY$43,2)&gt;RIGHT($K259,2),BC259,0))</f>
        <v>0</v>
      </c>
      <c r="BZ259" s="387">
        <f>+IF($K259="Ongoing",BD259,IF(RIGHT($K259,2)=RIGHT(BZ$43,2),SUM($AX259:BD259),0)+IF(RIGHT(BZ$43,2)&gt;RIGHT($K259,2),BD259,0))</f>
        <v>0</v>
      </c>
      <c r="CA259" s="1277">
        <f>+IF($K259="Ongoing",BE259,IF(RIGHT($K259,2)=RIGHT(CA$43,2),SUM($AX259:BE259),0)+IF(RIGHT(CA$43,2)&gt;RIGHT($K259,2),BE259,0))</f>
        <v>0</v>
      </c>
      <c r="CB259" s="1277">
        <f>+IF($K259="Ongoing",BF259,IF(RIGHT($K259,2)=RIGHT(CB$43,2),SUM($AX259:BF259),0)+IF(RIGHT(CB$43,2)&gt;RIGHT($K259,2),BF259,0))</f>
        <v>0</v>
      </c>
      <c r="CC259" s="388">
        <f>+IF($K259="Ongoing",BG259,IF(RIGHT($K259,2)=RIGHT(CC$43,2),SUM($AX259:BG259),0)+IF(RIGHT(CC$43,2)&gt;RIGHT($K259,2),BG259,0))</f>
        <v>0</v>
      </c>
      <c r="CD259" s="1025"/>
      <c r="CE259" s="1282">
        <f>+Q259*KeyAssumptionsPriceControl_FO!AF$15</f>
        <v>0</v>
      </c>
      <c r="CF259" s="387">
        <f>+R259*KeyAssumptionsPriceControl_FO!AG$15</f>
        <v>0</v>
      </c>
      <c r="CG259" s="387">
        <f>+S259*KeyAssumptionsPriceControl_FO!AH$15</f>
        <v>0</v>
      </c>
      <c r="CH259" s="387">
        <f>+T259*KeyAssumptionsPriceControl_FO!AI$15</f>
        <v>0</v>
      </c>
      <c r="CI259" s="1283">
        <f>+U259*KeyAssumptionsPriceControl_FO!AJ$15</f>
        <v>0</v>
      </c>
      <c r="CJ259" s="386">
        <f>+V259*KeyAssumptionsPriceControl_FO!AK$15</f>
        <v>0</v>
      </c>
      <c r="CK259" s="387">
        <f>+W259*KeyAssumptionsPriceControl_FO!AL$15</f>
        <v>0</v>
      </c>
      <c r="CL259" s="1277">
        <f>+X259*KeyAssumptionsPriceControl_FO!AM$15</f>
        <v>0</v>
      </c>
      <c r="CM259" s="1277">
        <f>+Y259*KeyAssumptionsPriceControl_FO!AN$15</f>
        <v>0</v>
      </c>
      <c r="CN259" s="388">
        <f>+Z259*KeyAssumptionsPriceControl_FO!AO$15</f>
        <v>0</v>
      </c>
      <c r="CO259" s="1025"/>
      <c r="CP259" s="1282">
        <f t="shared" ca="1" si="477"/>
        <v>0</v>
      </c>
      <c r="CQ259" s="387">
        <f t="shared" ca="1" si="478"/>
        <v>0</v>
      </c>
      <c r="CR259" s="387">
        <f t="shared" ca="1" si="479"/>
        <v>0</v>
      </c>
      <c r="CS259" s="387">
        <f t="shared" ca="1" si="480"/>
        <v>0</v>
      </c>
      <c r="CT259" s="1283">
        <f t="shared" ca="1" si="481"/>
        <v>0</v>
      </c>
      <c r="CU259" s="386">
        <f t="shared" ca="1" si="482"/>
        <v>0</v>
      </c>
      <c r="CV259" s="387">
        <f t="shared" ca="1" si="483"/>
        <v>0</v>
      </c>
      <c r="CW259" s="1277">
        <f t="shared" ca="1" si="484"/>
        <v>0</v>
      </c>
      <c r="CX259" s="1277">
        <f t="shared" ca="1" si="485"/>
        <v>0</v>
      </c>
      <c r="CY259" s="388">
        <f t="shared" ca="1" si="486"/>
        <v>0</v>
      </c>
      <c r="CZ259" s="347"/>
      <c r="DA259" s="852"/>
      <c r="DB259" s="347"/>
      <c r="DC259" s="1012" t="s">
        <v>553</v>
      </c>
      <c r="DD259" s="841" t="s">
        <v>518</v>
      </c>
      <c r="DE259" s="386">
        <f>+IF($K259="ongoing",CE259,IF(RIGHT($K259,2)=RIGHT(DE$43,2),SUM($CD259:CE259),0)+IF(RIGHT(DE$43,2)&gt;RIGHT($K259,2),CE259,0))</f>
        <v>0</v>
      </c>
      <c r="DF259" s="387">
        <f>+IF($K259="ongoing",CF259,IF(RIGHT($K259,2)=RIGHT(DF$43,2),SUM($CD259:CF259),0)+IF(RIGHT(DF$43,2)&gt;RIGHT($K259,2),CF259,0))</f>
        <v>0</v>
      </c>
      <c r="DG259" s="388">
        <f>+IF($K259="ongoing",CG259,IF(RIGHT($K259,2)=RIGHT(DG$43,2),SUM($CD259:CG259),0)+IF(RIGHT(DG$43,2)&gt;RIGHT($K259,2),CG259,0))</f>
        <v>0</v>
      </c>
      <c r="DH259" s="386">
        <f>+IF($K259="ongoing",CH259,IF(RIGHT($K259,2)=RIGHT(DH$43,2),SUM($CD259:CH259),0)+IF(RIGHT(DH$43,2)&gt;RIGHT($K259,2),CH259,0))</f>
        <v>0</v>
      </c>
      <c r="DI259" s="387">
        <f>+IF($K259="ongoing",CI259,IF(RIGHT($K259,2)=RIGHT(DI$43,2),SUM($CD259:CI259),0)+IF(RIGHT(DI$43,2)&gt;RIGHT($K259,2),CI259,0))</f>
        <v>0</v>
      </c>
      <c r="DJ259" s="387">
        <f>+IF($K259="ongoing",CJ259,IF(RIGHT($K259,2)=RIGHT(DJ$43,2),SUM($CD259:CJ259),0)+IF(RIGHT(DJ$43,2)&gt;RIGHT($K259,2),CJ259,0))</f>
        <v>0</v>
      </c>
      <c r="DK259" s="387">
        <f>+IF($K259="ongoing",CK259,IF(RIGHT($K259,2)=RIGHT(DK$43,2),SUM($CD259:CK259),0)+IF(RIGHT(DK$43,2)&gt;RIGHT($K259,2),CK259,0))</f>
        <v>0</v>
      </c>
      <c r="DL259" s="388">
        <f>+IF($K259="ongoing",CN259,IF(RIGHT($K259,2)=RIGHT(DL$43,2),SUM($CD259:CN259),0)+IF(RIGHT(DL$43,2)&gt;RIGHT($K259,2),CN259,0))</f>
        <v>0</v>
      </c>
      <c r="DM259" s="841"/>
      <c r="DN259" s="386">
        <f t="shared" si="487"/>
        <v>0.5</v>
      </c>
      <c r="DO259" s="387">
        <f t="shared" si="488"/>
        <v>1</v>
      </c>
      <c r="DP259" s="388">
        <f t="shared" si="489"/>
        <v>1</v>
      </c>
      <c r="DQ259" s="386">
        <f t="shared" si="490"/>
        <v>1</v>
      </c>
      <c r="DR259" s="387">
        <f t="shared" si="491"/>
        <v>1</v>
      </c>
      <c r="DS259" s="387">
        <f t="shared" si="492"/>
        <v>1</v>
      </c>
      <c r="DT259" s="387">
        <f t="shared" si="493"/>
        <v>1</v>
      </c>
      <c r="DU259" s="388">
        <f t="shared" si="494"/>
        <v>1</v>
      </c>
      <c r="DW259" s="386">
        <f t="shared" si="495"/>
        <v>0</v>
      </c>
      <c r="DX259" s="387">
        <f t="shared" si="496"/>
        <v>0.5</v>
      </c>
      <c r="DY259" s="388">
        <f t="shared" si="497"/>
        <v>1</v>
      </c>
      <c r="DZ259" s="386">
        <f t="shared" si="498"/>
        <v>1</v>
      </c>
      <c r="EA259" s="387">
        <f t="shared" si="499"/>
        <v>1</v>
      </c>
      <c r="EB259" s="387">
        <f t="shared" si="500"/>
        <v>1</v>
      </c>
      <c r="EC259" s="387">
        <f t="shared" si="501"/>
        <v>1</v>
      </c>
      <c r="ED259" s="388">
        <f t="shared" si="502"/>
        <v>1</v>
      </c>
      <c r="EF259" s="834">
        <f>+IF(DN259=DM259,0,
IF(AND(EF$44&gt;1,DN259=$N259),1-SUM($EE259:EE259),
IF($N259&lt;=1,
IF($N259&gt;0,1/$N259,0),
IF(EF$44=1,0,VDB(1,0,$N259,INT(EF$44-1-1),MIN($N259,INT(EF$44-1-1)+1),$DC259,IF($DD259="No",1,0))/
IF(DM259&gt;=INT($N259),$N259-INT($N259),1)))*
IF(EF$44=1,0,
IF(INT(DN259)=INT(DM259),DN259-DM259,INT(DN259)-DM259))+
IF($N259&lt;=1,
IF($N259&gt;0,1/$N259,0),VDB(1,0,$N259,INT(EF$44-1),MIN($N259,INT(EF$44-1)+1),$DC259,IF($DD259="No",1,0))/
IF(DN259&gt;INT($N259),$N259-INT($N259),1))*
IF(EF$44=1,DN259,
IF(INT(DN259)=INT(DM259),0,DN259-INT(DN259)))))</f>
        <v>0</v>
      </c>
      <c r="EG259" s="835">
        <f>+IF(DO259=DN259,0,
IF(AND(EG$44&gt;1,DO259=$N259),1-SUM($EE259:EF259),
IF($N259&lt;=1,
IF($N259&gt;0,1/$N259,0),
IF(EG$44=1,0,VDB(1,0,$N259,INT(EG$44-1-1),MIN($N259,INT(EG$44-1-1)+1),$DC259,IF($DD259="No",1,0))/
IF(DN259&gt;=INT($N259),$N259-INT($N259),1)))*
IF(EG$44=1,0,
IF(INT(DO259)=INT(DN259),DO259-DN259,INT(DO259)-DN259))+
IF($N259&lt;=1,
IF($N259&gt;0,1/$N259,0),VDB(1,0,$N259,INT(EG$44-1),MIN($N259,INT(EG$44-1)+1),$DC259,IF($DD259="No",1,0))/
IF(DO259&gt;INT($N259),$N259-INT($N259),1))*
IF(EG$44=1,DO259,
IF(INT(DO259)=INT(DN259),0,DO259-INT(DO259)))))</f>
        <v>0</v>
      </c>
      <c r="EH259" s="836">
        <f>+IF(DP259=DO259,0,
IF(AND(EH$44&gt;1,DP259=$N259),1-SUM($EE259:EG259),
IF($N259&lt;=1,
IF($N259&gt;0,1/$N259,0),
IF(EH$44=1,0,VDB(1,0,$N259,INT(EH$44-1-1),MIN($N259,INT(EH$44-1-1)+1),$DC259,IF($DD259="No",1,0))/
IF(DO259&gt;=INT($N259),$N259-INT($N259),1)))*
IF(EH$44=1,0,
IF(INT(DP259)=INT(DO259),DP259-DO259,INT(DP259)-DO259))+
IF($N259&lt;=1,
IF($N259&gt;0,1/$N259,0),VDB(1,0,$N259,INT(EH$44-1),MIN($N259,INT(EH$44-1)+1),$DC259,IF($DD259="No",1,0))/
IF(DP259&gt;INT($N259),$N259-INT($N259),1))*
IF(EH$44=1,DP259,
IF(INT(DP259)=INT(DO259),0,DP259-INT(DP259)))))</f>
        <v>0</v>
      </c>
      <c r="EI259" s="834">
        <f>+IF(DQ259=DP259,0,
IF(AND(EI$44&gt;1,DQ259=$N259),1-SUM($EE259:EH259),
IF($N259&lt;=1,
IF($N259&gt;0,1/$N259,0),
IF(EI$44=1,0,VDB(1,0,$N259,INT(EI$44-1-1),MIN($N259,INT(EI$44-1-1)+1),$DC259,IF($DD259="No",1,0))/
IF(DP259&gt;=INT($N259),$N259-INT($N259),1)))*
IF(EI$44=1,0,
IF(INT(DQ259)=INT(DP259),DQ259-DP259,INT(DQ259)-DP259))+
IF($N259&lt;=1,
IF($N259&gt;0,1/$N259,0),VDB(1,0,$N259,INT(EI$44-1),MIN($N259,INT(EI$44-1)+1),$DC259,IF($DD259="No",1,0))/
IF(DQ259&gt;INT($N259),$N259-INT($N259),1))*
IF(EI$44=1,DQ259,
IF(INT(DQ259)=INT(DP259),0,DQ259-INT(DQ259)))))</f>
        <v>0</v>
      </c>
      <c r="EJ259" s="835">
        <f>+IF(DR259=DQ259,0,
IF(AND(EJ$44&gt;1,DR259=$N259),1-SUM($EE259:EI259),
IF($N259&lt;=1,
IF($N259&gt;0,1/$N259,0),
IF(EJ$44=1,0,VDB(1,0,$N259,INT(EJ$44-1-1),MIN($N259,INT(EJ$44-1-1)+1),$DC259,IF($DD259="No",1,0))/
IF(DQ259&gt;=INT($N259),$N259-INT($N259),1)))*
IF(EJ$44=1,0,
IF(INT(DR259)=INT(DQ259),DR259-DQ259,INT(DR259)-DQ259))+
IF($N259&lt;=1,
IF($N259&gt;0,1/$N259,0),VDB(1,0,$N259,INT(EJ$44-1),MIN($N259,INT(EJ$44-1)+1),$DC259,IF($DD259="No",1,0))/
IF(DR259&gt;INT($N259),$N259-INT($N259),1))*
IF(EJ$44=1,DR259,
IF(INT(DR259)=INT(DQ259),0,DR259-INT(DR259)))))</f>
        <v>0</v>
      </c>
      <c r="EK259" s="835">
        <f>+IF(DS259=DR259,0,
IF(AND(EK$44&gt;1,DS259=$N259),1-SUM($EE259:EJ259),
IF($N259&lt;=1,
IF($N259&gt;0,1/$N259,0),
IF(EK$44=1,0,VDB(1,0,$N259,INT(EK$44-1-1),MIN($N259,INT(EK$44-1-1)+1),$DC259,IF($DD259="No",1,0))/
IF(DR259&gt;=INT($N259),$N259-INT($N259),1)))*
IF(EK$44=1,0,
IF(INT(DS259)=INT(DR259),DS259-DR259,INT(DS259)-DR259))+
IF($N259&lt;=1,
IF($N259&gt;0,1/$N259,0),VDB(1,0,$N259,INT(EK$44-1),MIN($N259,INT(EK$44-1)+1),$DC259,IF($DD259="No",1,0))/
IF(DS259&gt;INT($N259),$N259-INT($N259),1))*
IF(EK$44=1,DS259,
IF(INT(DS259)=INT(DR259),0,DS259-INT(DS259)))))</f>
        <v>0</v>
      </c>
      <c r="EL259" s="835">
        <f>+IF(DT259=DS259,0,
IF(AND(EL$44&gt;1,DT259=$N259),1-SUM($EE259:EK259),
IF($N259&lt;=1,
IF($N259&gt;0,1/$N259,0),
IF(EL$44=1,0,VDB(1,0,$N259,INT(EL$44-1-1),MIN($N259,INT(EL$44-1-1)+1),$DC259,IF($DD259="No",1,0))/
IF(DS259&gt;=INT($N259),$N259-INT($N259),1)))*
IF(EL$44=1,0,
IF(INT(DT259)=INT(DS259),DT259-DS259,INT(DT259)-DS259))+
IF($N259&lt;=1,
IF($N259&gt;0,1/$N259,0),VDB(1,0,$N259,INT(EL$44-1),MIN($N259,INT(EL$44-1)+1),$DC259,IF($DD259="No",1,0))/
IF(DT259&gt;INT($N259),$N259-INT($N259),1))*
IF(EL$44=1,DT259,
IF(INT(DT259)=INT(DS259),0,DT259-INT(DT259)))))</f>
        <v>0</v>
      </c>
      <c r="EM259" s="836">
        <f>+IF(DU259=DT259,0,
IF(AND(EM$44&gt;1,DU259=$N259),1-SUM($EE259:EL259),
IF($N259&lt;=1,
IF($N259&gt;0,1/$N259,0),
IF(EM$44=1,0,VDB(1,0,$N259,INT(EM$44-1-1),MIN($N259,INT(EM$44-1-1)+1),$DC259,IF($DD259="No",1,0))/
IF(DT259&gt;=INT($N259),$N259-INT($N259),1)))*
IF(EM$44=1,0,
IF(INT(DU259)=INT(DT259),DU259-DT259,INT(DU259)-DT259))+
IF($N259&lt;=1,
IF($N259&gt;0,1/$N259,0),VDB(1,0,$N259,INT(EM$44-1),MIN($N259,INT(EM$44-1)+1),$DC259,IF($DD259="No",1,0))/
IF(DU259&gt;INT($N259),$N259-INT($N259),1))*
IF(EM$44=1,DU259,
IF(INT(DU259)=INT(DT259),0,DU259-INT(DU259)))))</f>
        <v>0</v>
      </c>
      <c r="EN259" s="833"/>
      <c r="EO259" s="834">
        <f>+IF(OR(DW259=DV259,EO$44=1),0,
IF(AND(EO$44&gt;1,DW259=$N259),1-SUM($EN259:EN259),
IF($N259&lt;=1,
IF($N259&gt;0,1/$N259,0),
IF(EO$44=2,0,VDB(1,0,$N259,INT(EO$44-2-1),MIN($N259,INT(EO$44-2-1)+1),$DC259,IF($DD259="No",1,0))/
IF(DV259&gt;=INT($N259),$N259-INT($N259),1)))*
IF(EO$44=2,0,
IF(INT(DW259)=INT(DV259),DW259-DV259,INT(DW259)-DV259))+
IF($N259&lt;=1,
IF($N259&gt;0,1/$N259,0),VDB(1,0,$N259,INT(EO$44-2),MIN($N259,INT(EO$44-2)+1),$DC259,IF($DD259="No",1,0))/
IF(DW259&gt;INT($N259),$N259-INT($N259),1))*
IF(EO$44=2,DW259,
IF(INT(DW259)=INT(DV259),0,DW259-INT(DW259)))))</f>
        <v>0</v>
      </c>
      <c r="EP259" s="835">
        <f>+IF(OR(DX259=DW259,EP$44=1),0,
IF(AND(EP$44&gt;1,DX259=$N259),1-SUM($EN259:EO259),
IF($N259&lt;=1,
IF($N259&gt;0,1/$N259,0),
IF(EP$44=2,0,VDB(1,0,$N259,INT(EP$44-2-1),MIN($N259,INT(EP$44-2-1)+1),$DC259,IF($DD259="No",1,0))/
IF(DW259&gt;=INT($N259),$N259-INT($N259),1)))*
IF(EP$44=2,0,
IF(INT(DX259)=INT(DW259),DX259-DW259,INT(DX259)-DW259))+
IF($N259&lt;=1,
IF($N259&gt;0,1/$N259,0),VDB(1,0,$N259,INT(EP$44-2),MIN($N259,INT(EP$44-2)+1),$DC259,IF($DD259="No",1,0))/
IF(DX259&gt;INT($N259),$N259-INT($N259),1))*
IF(EP$44=2,DX259,
IF(INT(DX259)=INT(DW259),0,DX259-INT(DX259)))))</f>
        <v>0</v>
      </c>
      <c r="EQ259" s="836">
        <f>+IF(OR(DY259=DX259,EQ$44=1),0,
IF(AND(EQ$44&gt;1,DY259=$N259),1-SUM($EN259:EP259),
IF($N259&lt;=1,
IF($N259&gt;0,1/$N259,0),
IF(EQ$44=2,0,VDB(1,0,$N259,INT(EQ$44-2-1),MIN($N259,INT(EQ$44-2-1)+1),$DC259,IF($DD259="No",1,0))/
IF(DX259&gt;=INT($N259),$N259-INT($N259),1)))*
IF(EQ$44=2,0,
IF(INT(DY259)=INT(DX259),DY259-DX259,INT(DY259)-DX259))+
IF($N259&lt;=1,
IF($N259&gt;0,1/$N259,0),VDB(1,0,$N259,INT(EQ$44-2),MIN($N259,INT(EQ$44-2)+1),$DC259,IF($DD259="No",1,0))/
IF(DY259&gt;INT($N259),$N259-INT($N259),1))*
IF(EQ$44=2,DY259,
IF(INT(DY259)=INT(DX259),0,DY259-INT(DY259)))))</f>
        <v>0</v>
      </c>
      <c r="ER259" s="834">
        <f>+IF(OR(DZ259=DY259,ER$44=1),0,
IF(AND(ER$44&gt;1,DZ259=$N259),1-SUM($EN259:EQ259),
IF($N259&lt;=1,
IF($N259&gt;0,1/$N259,0),
IF(ER$44=2,0,VDB(1,0,$N259,INT(ER$44-2-1),MIN($N259,INT(ER$44-2-1)+1),$DC259,IF($DD259="No",1,0))/
IF(DY259&gt;=INT($N259),$N259-INT($N259),1)))*
IF(ER$44=2,0,
IF(INT(DZ259)=INT(DY259),DZ259-DY259,INT(DZ259)-DY259))+
IF($N259&lt;=1,
IF($N259&gt;0,1/$N259,0),VDB(1,0,$N259,INT(ER$44-2),MIN($N259,INT(ER$44-2)+1),$DC259,IF($DD259="No",1,0))/
IF(DZ259&gt;INT($N259),$N259-INT($N259),1))*
IF(ER$44=2,DZ259,
IF(INT(DZ259)=INT(DY259),0,DZ259-INT(DZ259)))))</f>
        <v>0</v>
      </c>
      <c r="ES259" s="835">
        <f>+IF(OR(EA259=DZ259,ES$44=1),0,
IF(AND(ES$44&gt;1,EA259=$N259),1-SUM($EN259:ER259),
IF($N259&lt;=1,
IF($N259&gt;0,1/$N259,0),
IF(ES$44=2,0,VDB(1,0,$N259,INT(ES$44-2-1),MIN($N259,INT(ES$44-2-1)+1),$DC259,IF($DD259="No",1,0))/
IF(DZ259&gt;=INT($N259),$N259-INT($N259),1)))*
IF(ES$44=2,0,
IF(INT(EA259)=INT(DZ259),EA259-DZ259,INT(EA259)-DZ259))+
IF($N259&lt;=1,
IF($N259&gt;0,1/$N259,0),VDB(1,0,$N259,INT(ES$44-2),MIN($N259,INT(ES$44-2)+1),$DC259,IF($DD259="No",1,0))/
IF(EA259&gt;INT($N259),$N259-INT($N259),1))*
IF(ES$44=2,EA259,
IF(INT(EA259)=INT(DZ259),0,EA259-INT(EA259)))))</f>
        <v>0</v>
      </c>
      <c r="ET259" s="835">
        <f>+IF(OR(EB259=EA259,ET$44=1),0,
IF(AND(ET$44&gt;1,EB259=$N259),1-SUM($EN259:ES259),
IF($N259&lt;=1,
IF($N259&gt;0,1/$N259,0),
IF(ET$44=2,0,VDB(1,0,$N259,INT(ET$44-2-1),MIN($N259,INT(ET$44-2-1)+1),$DC259,IF($DD259="No",1,0))/
IF(EA259&gt;=INT($N259),$N259-INT($N259),1)))*
IF(ET$44=2,0,
IF(INT(EB259)=INT(EA259),EB259-EA259,INT(EB259)-EA259))+
IF($N259&lt;=1,
IF($N259&gt;0,1/$N259,0),VDB(1,0,$N259,INT(ET$44-2),MIN($N259,INT(ET$44-2)+1),$DC259,IF($DD259="No",1,0))/
IF(EB259&gt;INT($N259),$N259-INT($N259),1))*
IF(ET$44=2,EB259,
IF(INT(EB259)=INT(EA259),0,EB259-INT(EB259)))))</f>
        <v>0</v>
      </c>
      <c r="EU259" s="835">
        <f>+IF(OR(EC259=EB259,EU$44=1),0,
IF(AND(EU$44&gt;1,EC259=$N259),1-SUM($EN259:ET259),
IF($N259&lt;=1,
IF($N259&gt;0,1/$N259,0),
IF(EU$44=2,0,VDB(1,0,$N259,INT(EU$44-2-1),MIN($N259,INT(EU$44-2-1)+1),$DC259,IF($DD259="No",1,0))/
IF(EB259&gt;=INT($N259),$N259-INT($N259),1)))*
IF(EU$44=2,0,
IF(INT(EC259)=INT(EB259),EC259-EB259,INT(EC259)-EB259))+
IF($N259&lt;=1,
IF($N259&gt;0,1/$N259,0),VDB(1,0,$N259,INT(EU$44-2),MIN($N259,INT(EU$44-2)+1),$DC259,IF($DD259="No",1,0))/
IF(EC259&gt;INT($N259),$N259-INT($N259),1))*
IF(EU$44=2,EC259,
IF(INT(EC259)=INT(EB259),0,EC259-INT(EC259)))))</f>
        <v>0</v>
      </c>
      <c r="EV259" s="836">
        <f>+IF(OR(ED259=EC259,EV$44=1),0,
IF(AND(EV$44&gt;1,ED259=$N259),1-SUM($EN259:EU259),
IF($N259&lt;=1,
IF($N259&gt;0,1/$N259,0),
IF(EV$44=2,0,VDB(1,0,$N259,INT(EV$44-2-1),MIN($N259,INT(EV$44-2-1)+1),$DC259,IF($DD259="No",1,0))/
IF(EC259&gt;=INT($N259),$N259-INT($N259),1)))*
IF(EV$44=2,0,
IF(INT(ED259)=INT(EC259),ED259-EC259,INT(ED259)-EC259))+
IF($N259&lt;=1,
IF($N259&gt;0,1/$N259,0),VDB(1,0,$N259,INT(EV$44-2),MIN($N259,INT(EV$44-2)+1),$DC259,IF($DD259="No",1,0))/
IF(ED259&gt;INT($N259),$N259-INT($N259),1))*
IF(EV$44=2,ED259,
IF(INT(ED259)=INT(EC259),0,ED259-INT(ED259)))))</f>
        <v>0</v>
      </c>
      <c r="EW259" s="833"/>
      <c r="EX259" s="834">
        <f t="shared" ca="1" si="503"/>
        <v>0</v>
      </c>
      <c r="EY259" s="835">
        <f t="shared" ca="1" si="503"/>
        <v>0</v>
      </c>
      <c r="EZ259" s="836">
        <f t="shared" ca="1" si="503"/>
        <v>0</v>
      </c>
      <c r="FA259" s="834">
        <f t="shared" ca="1" si="503"/>
        <v>0</v>
      </c>
      <c r="FB259" s="835">
        <f t="shared" ca="1" si="503"/>
        <v>0</v>
      </c>
      <c r="FC259" s="835">
        <f t="shared" ca="1" si="503"/>
        <v>0</v>
      </c>
      <c r="FD259" s="835">
        <f t="shared" ca="1" si="503"/>
        <v>0</v>
      </c>
      <c r="FE259" s="836">
        <f t="shared" ca="1" si="503"/>
        <v>0</v>
      </c>
      <c r="FG259" s="386">
        <f t="shared" ca="1" si="504"/>
        <v>0</v>
      </c>
      <c r="FH259" s="387">
        <f t="shared" ca="1" si="505"/>
        <v>0</v>
      </c>
      <c r="FI259" s="388">
        <f t="shared" ca="1" si="506"/>
        <v>0</v>
      </c>
      <c r="FJ259" s="386">
        <f t="shared" ca="1" si="507"/>
        <v>0</v>
      </c>
      <c r="FK259" s="387">
        <f t="shared" ca="1" si="508"/>
        <v>0</v>
      </c>
      <c r="FL259" s="387">
        <f t="shared" ca="1" si="509"/>
        <v>0</v>
      </c>
      <c r="FM259" s="387">
        <f t="shared" ca="1" si="510"/>
        <v>0</v>
      </c>
      <c r="FN259" s="388">
        <f t="shared" ca="1" si="511"/>
        <v>0</v>
      </c>
      <c r="FR259" s="116"/>
    </row>
    <row r="260" spans="2:174">
      <c r="B260" s="1410">
        <f t="shared" si="512"/>
        <v>214</v>
      </c>
      <c r="C260" s="400"/>
      <c r="D260" s="410"/>
      <c r="E260" s="402"/>
      <c r="F260" s="402"/>
      <c r="G260" s="400"/>
      <c r="H260" s="2088"/>
      <c r="I260" s="2089"/>
      <c r="J260" s="411"/>
      <c r="K260" s="403"/>
      <c r="L260" s="403"/>
      <c r="M260" s="403"/>
      <c r="N260" s="403"/>
      <c r="O260" s="347"/>
      <c r="P260" s="347"/>
      <c r="Q260" s="1021"/>
      <c r="R260" s="1022"/>
      <c r="S260" s="1022"/>
      <c r="T260" s="1022"/>
      <c r="U260" s="1023"/>
      <c r="V260" s="1021"/>
      <c r="W260" s="1022"/>
      <c r="X260" s="1022"/>
      <c r="Y260" s="1022"/>
      <c r="Z260" s="1023"/>
      <c r="AA260" s="1024"/>
      <c r="AB260" s="1021"/>
      <c r="AC260" s="1022"/>
      <c r="AD260" s="1022"/>
      <c r="AE260" s="1022"/>
      <c r="AF260" s="1023"/>
      <c r="AG260" s="1021"/>
      <c r="AH260" s="1022"/>
      <c r="AI260" s="1022"/>
      <c r="AJ260" s="1022"/>
      <c r="AK260" s="1023"/>
      <c r="AL260" s="1024"/>
      <c r="AM260" s="1021"/>
      <c r="AN260" s="1022"/>
      <c r="AO260" s="1022"/>
      <c r="AP260" s="1022"/>
      <c r="AQ260" s="1023"/>
      <c r="AR260" s="1021"/>
      <c r="AS260" s="1022"/>
      <c r="AT260" s="1022"/>
      <c r="AU260" s="1022"/>
      <c r="AV260" s="1023"/>
      <c r="AW260" s="1025"/>
      <c r="AX260" s="1282">
        <f t="shared" si="457"/>
        <v>0</v>
      </c>
      <c r="AY260" s="387">
        <f t="shared" si="458"/>
        <v>0</v>
      </c>
      <c r="AZ260" s="387">
        <f t="shared" si="459"/>
        <v>0</v>
      </c>
      <c r="BA260" s="387">
        <f t="shared" si="460"/>
        <v>0</v>
      </c>
      <c r="BB260" s="1283">
        <f t="shared" si="461"/>
        <v>0</v>
      </c>
      <c r="BC260" s="386">
        <f t="shared" si="462"/>
        <v>0</v>
      </c>
      <c r="BD260" s="387">
        <f t="shared" si="463"/>
        <v>0</v>
      </c>
      <c r="BE260" s="1277">
        <f t="shared" si="464"/>
        <v>0</v>
      </c>
      <c r="BF260" s="1277">
        <f t="shared" si="465"/>
        <v>0</v>
      </c>
      <c r="BG260" s="388">
        <f t="shared" si="466"/>
        <v>0</v>
      </c>
      <c r="BH260" s="1025"/>
      <c r="BI260" s="1282">
        <f t="shared" ca="1" si="467"/>
        <v>0</v>
      </c>
      <c r="BJ260" s="387">
        <f t="shared" ca="1" si="468"/>
        <v>0</v>
      </c>
      <c r="BK260" s="387">
        <f t="shared" ca="1" si="469"/>
        <v>0</v>
      </c>
      <c r="BL260" s="387">
        <f t="shared" ca="1" si="470"/>
        <v>0</v>
      </c>
      <c r="BM260" s="1283">
        <f t="shared" ca="1" si="471"/>
        <v>0</v>
      </c>
      <c r="BN260" s="386">
        <f t="shared" ca="1" si="472"/>
        <v>0</v>
      </c>
      <c r="BO260" s="387">
        <f t="shared" ca="1" si="473"/>
        <v>0</v>
      </c>
      <c r="BP260" s="1277">
        <f t="shared" ca="1" si="474"/>
        <v>0</v>
      </c>
      <c r="BQ260" s="1277">
        <f t="shared" ca="1" si="475"/>
        <v>0</v>
      </c>
      <c r="BR260" s="388">
        <f t="shared" ca="1" si="476"/>
        <v>0</v>
      </c>
      <c r="BS260" s="1025"/>
      <c r="BT260" s="1282">
        <f>+IF($K260="Ongoing",AX260,IF(RIGHT($K260,2)=RIGHT(BT$43,2),SUM($AX260:AX260),0)+IF(RIGHT(BT$43,2)&gt;RIGHT($K260,2),AX260,0))</f>
        <v>0</v>
      </c>
      <c r="BU260" s="387">
        <f>+IF($K260="Ongoing",AY260,IF(RIGHT($K260,2)=RIGHT(BU$43,2),SUM($AX260:AY260),0)+IF(RIGHT(BU$43,2)&gt;RIGHT($K260,2),AY260,0))</f>
        <v>0</v>
      </c>
      <c r="BV260" s="387">
        <f>+IF($K260="Ongoing",AZ260,IF(RIGHT($K260,2)=RIGHT(BV$43,2),SUM($AX260:AZ260),0)+IF(RIGHT(BV$43,2)&gt;RIGHT($K260,2),AZ260,0))</f>
        <v>0</v>
      </c>
      <c r="BW260" s="387">
        <f>+IF($K260="Ongoing",BA260,IF(RIGHT($K260,2)=RIGHT(BW$43,2),SUM($AX260:BA260),0)+IF(RIGHT(BW$43,2)&gt;RIGHT($K260,2),BA260,0))</f>
        <v>0</v>
      </c>
      <c r="BX260" s="1283">
        <f>+IF($K260="Ongoing",BB260,IF(RIGHT($K260,2)=RIGHT(BX$43,2),SUM($AX260:BB260),0)+IF(RIGHT(BX$43,2)&gt;RIGHT($K260,2),BB260,0))</f>
        <v>0</v>
      </c>
      <c r="BY260" s="386">
        <f>+IF($K260="Ongoing",BC260,IF(RIGHT($K260,2)=RIGHT(BY$43,2),SUM($AX260:BC260),0)+IF(RIGHT(BY$43,2)&gt;RIGHT($K260,2),BC260,0))</f>
        <v>0</v>
      </c>
      <c r="BZ260" s="387">
        <f>+IF($K260="Ongoing",BD260,IF(RIGHT($K260,2)=RIGHT(BZ$43,2),SUM($AX260:BD260),0)+IF(RIGHT(BZ$43,2)&gt;RIGHT($K260,2),BD260,0))</f>
        <v>0</v>
      </c>
      <c r="CA260" s="1277">
        <f>+IF($K260="Ongoing",BE260,IF(RIGHT($K260,2)=RIGHT(CA$43,2),SUM($AX260:BE260),0)+IF(RIGHT(CA$43,2)&gt;RIGHT($K260,2),BE260,0))</f>
        <v>0</v>
      </c>
      <c r="CB260" s="1277">
        <f>+IF($K260="Ongoing",BF260,IF(RIGHT($K260,2)=RIGHT(CB$43,2),SUM($AX260:BF260),0)+IF(RIGHT(CB$43,2)&gt;RIGHT($K260,2),BF260,0))</f>
        <v>0</v>
      </c>
      <c r="CC260" s="388">
        <f>+IF($K260="Ongoing",BG260,IF(RIGHT($K260,2)=RIGHT(CC$43,2),SUM($AX260:BG260),0)+IF(RIGHT(CC$43,2)&gt;RIGHT($K260,2),BG260,0))</f>
        <v>0</v>
      </c>
      <c r="CD260" s="1025"/>
      <c r="CE260" s="1282">
        <f>+Q260*KeyAssumptionsPriceControl_FO!AF$15</f>
        <v>0</v>
      </c>
      <c r="CF260" s="387">
        <f>+R260*KeyAssumptionsPriceControl_FO!AG$15</f>
        <v>0</v>
      </c>
      <c r="CG260" s="387">
        <f>+S260*KeyAssumptionsPriceControl_FO!AH$15</f>
        <v>0</v>
      </c>
      <c r="CH260" s="387">
        <f>+T260*KeyAssumptionsPriceControl_FO!AI$15</f>
        <v>0</v>
      </c>
      <c r="CI260" s="1283">
        <f>+U260*KeyAssumptionsPriceControl_FO!AJ$15</f>
        <v>0</v>
      </c>
      <c r="CJ260" s="386">
        <f>+V260*KeyAssumptionsPriceControl_FO!AK$15</f>
        <v>0</v>
      </c>
      <c r="CK260" s="387">
        <f>+W260*KeyAssumptionsPriceControl_FO!AL$15</f>
        <v>0</v>
      </c>
      <c r="CL260" s="1277">
        <f>+X260*KeyAssumptionsPriceControl_FO!AM$15</f>
        <v>0</v>
      </c>
      <c r="CM260" s="1277">
        <f>+Y260*KeyAssumptionsPriceControl_FO!AN$15</f>
        <v>0</v>
      </c>
      <c r="CN260" s="388">
        <f>+Z260*KeyAssumptionsPriceControl_FO!AO$15</f>
        <v>0</v>
      </c>
      <c r="CO260" s="1025"/>
      <c r="CP260" s="1282">
        <f t="shared" ca="1" si="477"/>
        <v>0</v>
      </c>
      <c r="CQ260" s="387">
        <f t="shared" ca="1" si="478"/>
        <v>0</v>
      </c>
      <c r="CR260" s="387">
        <f t="shared" ca="1" si="479"/>
        <v>0</v>
      </c>
      <c r="CS260" s="387">
        <f t="shared" ca="1" si="480"/>
        <v>0</v>
      </c>
      <c r="CT260" s="1283">
        <f t="shared" ca="1" si="481"/>
        <v>0</v>
      </c>
      <c r="CU260" s="386">
        <f t="shared" ca="1" si="482"/>
        <v>0</v>
      </c>
      <c r="CV260" s="387">
        <f t="shared" ca="1" si="483"/>
        <v>0</v>
      </c>
      <c r="CW260" s="1277">
        <f t="shared" ca="1" si="484"/>
        <v>0</v>
      </c>
      <c r="CX260" s="1277">
        <f t="shared" ca="1" si="485"/>
        <v>0</v>
      </c>
      <c r="CY260" s="388">
        <f t="shared" ca="1" si="486"/>
        <v>0</v>
      </c>
      <c r="CZ260" s="347"/>
      <c r="DA260" s="852"/>
      <c r="DB260" s="347"/>
      <c r="DC260" s="1012" t="s">
        <v>555</v>
      </c>
      <c r="DD260" s="841" t="s">
        <v>518</v>
      </c>
      <c r="DE260" s="386">
        <f>+IF($K260="ongoing",CE260,IF(RIGHT($K260,2)=RIGHT(DE$43,2),SUM($CD260:CE260),0)+IF(RIGHT(DE$43,2)&gt;RIGHT($K260,2),CE260,0))</f>
        <v>0</v>
      </c>
      <c r="DF260" s="387">
        <f>+IF($K260="ongoing",CF260,IF(RIGHT($K260,2)=RIGHT(DF$43,2),SUM($CD260:CF260),0)+IF(RIGHT(DF$43,2)&gt;RIGHT($K260,2),CF260,0))</f>
        <v>0</v>
      </c>
      <c r="DG260" s="388">
        <f>+IF($K260="ongoing",CG260,IF(RIGHT($K260,2)=RIGHT(DG$43,2),SUM($CD260:CG260),0)+IF(RIGHT(DG$43,2)&gt;RIGHT($K260,2),CG260,0))</f>
        <v>0</v>
      </c>
      <c r="DH260" s="386">
        <f>+IF($K260="ongoing",CH260,IF(RIGHT($K260,2)=RIGHT(DH$43,2),SUM($CD260:CH260),0)+IF(RIGHT(DH$43,2)&gt;RIGHT($K260,2),CH260,0))</f>
        <v>0</v>
      </c>
      <c r="DI260" s="387">
        <f>+IF($K260="ongoing",CI260,IF(RIGHT($K260,2)=RIGHT(DI$43,2),SUM($CD260:CI260),0)+IF(RIGHT(DI$43,2)&gt;RIGHT($K260,2),CI260,0))</f>
        <v>0</v>
      </c>
      <c r="DJ260" s="387">
        <f>+IF($K260="ongoing",CJ260,IF(RIGHT($K260,2)=RIGHT(DJ$43,2),SUM($CD260:CJ260),0)+IF(RIGHT(DJ$43,2)&gt;RIGHT($K260,2),CJ260,0))</f>
        <v>0</v>
      </c>
      <c r="DK260" s="387">
        <f>+IF($K260="ongoing",CK260,IF(RIGHT($K260,2)=RIGHT(DK$43,2),SUM($CD260:CK260),0)+IF(RIGHT(DK$43,2)&gt;RIGHT($K260,2),CK260,0))</f>
        <v>0</v>
      </c>
      <c r="DL260" s="388">
        <f>+IF($K260="ongoing",CN260,IF(RIGHT($K260,2)=RIGHT(DL$43,2),SUM($CD260:CN260),0)+IF(RIGHT(DL$43,2)&gt;RIGHT($K260,2),CN260,0))</f>
        <v>0</v>
      </c>
      <c r="DM260" s="841"/>
      <c r="DN260" s="386">
        <f t="shared" si="487"/>
        <v>0.5</v>
      </c>
      <c r="DO260" s="387">
        <f t="shared" si="488"/>
        <v>1</v>
      </c>
      <c r="DP260" s="388">
        <f t="shared" si="489"/>
        <v>1</v>
      </c>
      <c r="DQ260" s="386">
        <f t="shared" si="490"/>
        <v>1</v>
      </c>
      <c r="DR260" s="387">
        <f t="shared" si="491"/>
        <v>1</v>
      </c>
      <c r="DS260" s="387">
        <f t="shared" si="492"/>
        <v>1</v>
      </c>
      <c r="DT260" s="387">
        <f t="shared" si="493"/>
        <v>1</v>
      </c>
      <c r="DU260" s="388">
        <f t="shared" si="494"/>
        <v>1</v>
      </c>
      <c r="DW260" s="386">
        <f t="shared" si="495"/>
        <v>0</v>
      </c>
      <c r="DX260" s="387">
        <f t="shared" si="496"/>
        <v>0.5</v>
      </c>
      <c r="DY260" s="388">
        <f t="shared" si="497"/>
        <v>1</v>
      </c>
      <c r="DZ260" s="386">
        <f t="shared" si="498"/>
        <v>1</v>
      </c>
      <c r="EA260" s="387">
        <f t="shared" si="499"/>
        <v>1</v>
      </c>
      <c r="EB260" s="387">
        <f t="shared" si="500"/>
        <v>1</v>
      </c>
      <c r="EC260" s="387">
        <f t="shared" si="501"/>
        <v>1</v>
      </c>
      <c r="ED260" s="388">
        <f t="shared" si="502"/>
        <v>1</v>
      </c>
      <c r="EF260" s="834">
        <f>+IF(DN260=DM260,0,
IF(AND(EF$44&gt;1,DN260=$N260),1-SUM($EE260:EE260),
IF($N260&lt;=1,
IF($N260&gt;0,1/$N260,0),
IF(EF$44=1,0,VDB(1,0,$N260,INT(EF$44-1-1),MIN($N260,INT(EF$44-1-1)+1),$DC260,IF($DD260="No",1,0))/
IF(DM260&gt;=INT($N260),$N260-INT($N260),1)))*
IF(EF$44=1,0,
IF(INT(DN260)=INT(DM260),DN260-DM260,INT(DN260)-DM260))+
IF($N260&lt;=1,
IF($N260&gt;0,1/$N260,0),VDB(1,0,$N260,INT(EF$44-1),MIN($N260,INT(EF$44-1)+1),$DC260,IF($DD260="No",1,0))/
IF(DN260&gt;INT($N260),$N260-INT($N260),1))*
IF(EF$44=1,DN260,
IF(INT(DN260)=INT(DM260),0,DN260-INT(DN260)))))</f>
        <v>0</v>
      </c>
      <c r="EG260" s="835">
        <f>+IF(DO260=DN260,0,
IF(AND(EG$44&gt;1,DO260=$N260),1-SUM($EE260:EF260),
IF($N260&lt;=1,
IF($N260&gt;0,1/$N260,0),
IF(EG$44=1,0,VDB(1,0,$N260,INT(EG$44-1-1),MIN($N260,INT(EG$44-1-1)+1),$DC260,IF($DD260="No",1,0))/
IF(DN260&gt;=INT($N260),$N260-INT($N260),1)))*
IF(EG$44=1,0,
IF(INT(DO260)=INT(DN260),DO260-DN260,INT(DO260)-DN260))+
IF($N260&lt;=1,
IF($N260&gt;0,1/$N260,0),VDB(1,0,$N260,INT(EG$44-1),MIN($N260,INT(EG$44-1)+1),$DC260,IF($DD260="No",1,0))/
IF(DO260&gt;INT($N260),$N260-INT($N260),1))*
IF(EG$44=1,DO260,
IF(INT(DO260)=INT(DN260),0,DO260-INT(DO260)))))</f>
        <v>0</v>
      </c>
      <c r="EH260" s="836">
        <f>+IF(DP260=DO260,0,
IF(AND(EH$44&gt;1,DP260=$N260),1-SUM($EE260:EG260),
IF($N260&lt;=1,
IF($N260&gt;0,1/$N260,0),
IF(EH$44=1,0,VDB(1,0,$N260,INT(EH$44-1-1),MIN($N260,INT(EH$44-1-1)+1),$DC260,IF($DD260="No",1,0))/
IF(DO260&gt;=INT($N260),$N260-INT($N260),1)))*
IF(EH$44=1,0,
IF(INT(DP260)=INT(DO260),DP260-DO260,INT(DP260)-DO260))+
IF($N260&lt;=1,
IF($N260&gt;0,1/$N260,0),VDB(1,0,$N260,INT(EH$44-1),MIN($N260,INT(EH$44-1)+1),$DC260,IF($DD260="No",1,0))/
IF(DP260&gt;INT($N260),$N260-INT($N260),1))*
IF(EH$44=1,DP260,
IF(INT(DP260)=INT(DO260),0,DP260-INT(DP260)))))</f>
        <v>0</v>
      </c>
      <c r="EI260" s="834">
        <f>+IF(DQ260=DP260,0,
IF(AND(EI$44&gt;1,DQ260=$N260),1-SUM($EE260:EH260),
IF($N260&lt;=1,
IF($N260&gt;0,1/$N260,0),
IF(EI$44=1,0,VDB(1,0,$N260,INT(EI$44-1-1),MIN($N260,INT(EI$44-1-1)+1),$DC260,IF($DD260="No",1,0))/
IF(DP260&gt;=INT($N260),$N260-INT($N260),1)))*
IF(EI$44=1,0,
IF(INT(DQ260)=INT(DP260),DQ260-DP260,INT(DQ260)-DP260))+
IF($N260&lt;=1,
IF($N260&gt;0,1/$N260,0),VDB(1,0,$N260,INT(EI$44-1),MIN($N260,INT(EI$44-1)+1),$DC260,IF($DD260="No",1,0))/
IF(DQ260&gt;INT($N260),$N260-INT($N260),1))*
IF(EI$44=1,DQ260,
IF(INT(DQ260)=INT(DP260),0,DQ260-INT(DQ260)))))</f>
        <v>0</v>
      </c>
      <c r="EJ260" s="835">
        <f>+IF(DR260=DQ260,0,
IF(AND(EJ$44&gt;1,DR260=$N260),1-SUM($EE260:EI260),
IF($N260&lt;=1,
IF($N260&gt;0,1/$N260,0),
IF(EJ$44=1,0,VDB(1,0,$N260,INT(EJ$44-1-1),MIN($N260,INT(EJ$44-1-1)+1),$DC260,IF($DD260="No",1,0))/
IF(DQ260&gt;=INT($N260),$N260-INT($N260),1)))*
IF(EJ$44=1,0,
IF(INT(DR260)=INT(DQ260),DR260-DQ260,INT(DR260)-DQ260))+
IF($N260&lt;=1,
IF($N260&gt;0,1/$N260,0),VDB(1,0,$N260,INT(EJ$44-1),MIN($N260,INT(EJ$44-1)+1),$DC260,IF($DD260="No",1,0))/
IF(DR260&gt;INT($N260),$N260-INT($N260),1))*
IF(EJ$44=1,DR260,
IF(INT(DR260)=INT(DQ260),0,DR260-INT(DR260)))))</f>
        <v>0</v>
      </c>
      <c r="EK260" s="835">
        <f>+IF(DS260=DR260,0,
IF(AND(EK$44&gt;1,DS260=$N260),1-SUM($EE260:EJ260),
IF($N260&lt;=1,
IF($N260&gt;0,1/$N260,0),
IF(EK$44=1,0,VDB(1,0,$N260,INT(EK$44-1-1),MIN($N260,INT(EK$44-1-1)+1),$DC260,IF($DD260="No",1,0))/
IF(DR260&gt;=INT($N260),$N260-INT($N260),1)))*
IF(EK$44=1,0,
IF(INT(DS260)=INT(DR260),DS260-DR260,INT(DS260)-DR260))+
IF($N260&lt;=1,
IF($N260&gt;0,1/$N260,0),VDB(1,0,$N260,INT(EK$44-1),MIN($N260,INT(EK$44-1)+1),$DC260,IF($DD260="No",1,0))/
IF(DS260&gt;INT($N260),$N260-INT($N260),1))*
IF(EK$44=1,DS260,
IF(INT(DS260)=INT(DR260),0,DS260-INT(DS260)))))</f>
        <v>0</v>
      </c>
      <c r="EL260" s="835">
        <f>+IF(DT260=DS260,0,
IF(AND(EL$44&gt;1,DT260=$N260),1-SUM($EE260:EK260),
IF($N260&lt;=1,
IF($N260&gt;0,1/$N260,0),
IF(EL$44=1,0,VDB(1,0,$N260,INT(EL$44-1-1),MIN($N260,INT(EL$44-1-1)+1),$DC260,IF($DD260="No",1,0))/
IF(DS260&gt;=INT($N260),$N260-INT($N260),1)))*
IF(EL$44=1,0,
IF(INT(DT260)=INT(DS260),DT260-DS260,INT(DT260)-DS260))+
IF($N260&lt;=1,
IF($N260&gt;0,1/$N260,0),VDB(1,0,$N260,INT(EL$44-1),MIN($N260,INT(EL$44-1)+1),$DC260,IF($DD260="No",1,0))/
IF(DT260&gt;INT($N260),$N260-INT($N260),1))*
IF(EL$44=1,DT260,
IF(INT(DT260)=INT(DS260),0,DT260-INT(DT260)))))</f>
        <v>0</v>
      </c>
      <c r="EM260" s="836">
        <f>+IF(DU260=DT260,0,
IF(AND(EM$44&gt;1,DU260=$N260),1-SUM($EE260:EL260),
IF($N260&lt;=1,
IF($N260&gt;0,1/$N260,0),
IF(EM$44=1,0,VDB(1,0,$N260,INT(EM$44-1-1),MIN($N260,INT(EM$44-1-1)+1),$DC260,IF($DD260="No",1,0))/
IF(DT260&gt;=INT($N260),$N260-INT($N260),1)))*
IF(EM$44=1,0,
IF(INT(DU260)=INT(DT260),DU260-DT260,INT(DU260)-DT260))+
IF($N260&lt;=1,
IF($N260&gt;0,1/$N260,0),VDB(1,0,$N260,INT(EM$44-1),MIN($N260,INT(EM$44-1)+1),$DC260,IF($DD260="No",1,0))/
IF(DU260&gt;INT($N260),$N260-INT($N260),1))*
IF(EM$44=1,DU260,
IF(INT(DU260)=INT(DT260),0,DU260-INT(DU260)))))</f>
        <v>0</v>
      </c>
      <c r="EN260" s="833"/>
      <c r="EO260" s="834">
        <f>+IF(OR(DW260=DV260,EO$44=1),0,
IF(AND(EO$44&gt;1,DW260=$N260),1-SUM($EN260:EN260),
IF($N260&lt;=1,
IF($N260&gt;0,1/$N260,0),
IF(EO$44=2,0,VDB(1,0,$N260,INT(EO$44-2-1),MIN($N260,INT(EO$44-2-1)+1),$DC260,IF($DD260="No",1,0))/
IF(DV260&gt;=INT($N260),$N260-INT($N260),1)))*
IF(EO$44=2,0,
IF(INT(DW260)=INT(DV260),DW260-DV260,INT(DW260)-DV260))+
IF($N260&lt;=1,
IF($N260&gt;0,1/$N260,0),VDB(1,0,$N260,INT(EO$44-2),MIN($N260,INT(EO$44-2)+1),$DC260,IF($DD260="No",1,0))/
IF(DW260&gt;INT($N260),$N260-INT($N260),1))*
IF(EO$44=2,DW260,
IF(INT(DW260)=INT(DV260),0,DW260-INT(DW260)))))</f>
        <v>0</v>
      </c>
      <c r="EP260" s="835">
        <f>+IF(OR(DX260=DW260,EP$44=1),0,
IF(AND(EP$44&gt;1,DX260=$N260),1-SUM($EN260:EO260),
IF($N260&lt;=1,
IF($N260&gt;0,1/$N260,0),
IF(EP$44=2,0,VDB(1,0,$N260,INT(EP$44-2-1),MIN($N260,INT(EP$44-2-1)+1),$DC260,IF($DD260="No",1,0))/
IF(DW260&gt;=INT($N260),$N260-INT($N260),1)))*
IF(EP$44=2,0,
IF(INT(DX260)=INT(DW260),DX260-DW260,INT(DX260)-DW260))+
IF($N260&lt;=1,
IF($N260&gt;0,1/$N260,0),VDB(1,0,$N260,INT(EP$44-2),MIN($N260,INT(EP$44-2)+1),$DC260,IF($DD260="No",1,0))/
IF(DX260&gt;INT($N260),$N260-INT($N260),1))*
IF(EP$44=2,DX260,
IF(INT(DX260)=INT(DW260),0,DX260-INT(DX260)))))</f>
        <v>0</v>
      </c>
      <c r="EQ260" s="836">
        <f>+IF(OR(DY260=DX260,EQ$44=1),0,
IF(AND(EQ$44&gt;1,DY260=$N260),1-SUM($EN260:EP260),
IF($N260&lt;=1,
IF($N260&gt;0,1/$N260,0),
IF(EQ$44=2,0,VDB(1,0,$N260,INT(EQ$44-2-1),MIN($N260,INT(EQ$44-2-1)+1),$DC260,IF($DD260="No",1,0))/
IF(DX260&gt;=INT($N260),$N260-INT($N260),1)))*
IF(EQ$44=2,0,
IF(INT(DY260)=INT(DX260),DY260-DX260,INT(DY260)-DX260))+
IF($N260&lt;=1,
IF($N260&gt;0,1/$N260,0),VDB(1,0,$N260,INT(EQ$44-2),MIN($N260,INT(EQ$44-2)+1),$DC260,IF($DD260="No",1,0))/
IF(DY260&gt;INT($N260),$N260-INT($N260),1))*
IF(EQ$44=2,DY260,
IF(INT(DY260)=INT(DX260),0,DY260-INT(DY260)))))</f>
        <v>0</v>
      </c>
      <c r="ER260" s="834">
        <f>+IF(OR(DZ260=DY260,ER$44=1),0,
IF(AND(ER$44&gt;1,DZ260=$N260),1-SUM($EN260:EQ260),
IF($N260&lt;=1,
IF($N260&gt;0,1/$N260,0),
IF(ER$44=2,0,VDB(1,0,$N260,INT(ER$44-2-1),MIN($N260,INT(ER$44-2-1)+1),$DC260,IF($DD260="No",1,0))/
IF(DY260&gt;=INT($N260),$N260-INT($N260),1)))*
IF(ER$44=2,0,
IF(INT(DZ260)=INT(DY260),DZ260-DY260,INT(DZ260)-DY260))+
IF($N260&lt;=1,
IF($N260&gt;0,1/$N260,0),VDB(1,0,$N260,INT(ER$44-2),MIN($N260,INT(ER$44-2)+1),$DC260,IF($DD260="No",1,0))/
IF(DZ260&gt;INT($N260),$N260-INT($N260),1))*
IF(ER$44=2,DZ260,
IF(INT(DZ260)=INT(DY260),0,DZ260-INT(DZ260)))))</f>
        <v>0</v>
      </c>
      <c r="ES260" s="835">
        <f>+IF(OR(EA260=DZ260,ES$44=1),0,
IF(AND(ES$44&gt;1,EA260=$N260),1-SUM($EN260:ER260),
IF($N260&lt;=1,
IF($N260&gt;0,1/$N260,0),
IF(ES$44=2,0,VDB(1,0,$N260,INT(ES$44-2-1),MIN($N260,INT(ES$44-2-1)+1),$DC260,IF($DD260="No",1,0))/
IF(DZ260&gt;=INT($N260),$N260-INT($N260),1)))*
IF(ES$44=2,0,
IF(INT(EA260)=INT(DZ260),EA260-DZ260,INT(EA260)-DZ260))+
IF($N260&lt;=1,
IF($N260&gt;0,1/$N260,0),VDB(1,0,$N260,INT(ES$44-2),MIN($N260,INT(ES$44-2)+1),$DC260,IF($DD260="No",1,0))/
IF(EA260&gt;INT($N260),$N260-INT($N260),1))*
IF(ES$44=2,EA260,
IF(INT(EA260)=INT(DZ260),0,EA260-INT(EA260)))))</f>
        <v>0</v>
      </c>
      <c r="ET260" s="835">
        <f>+IF(OR(EB260=EA260,ET$44=1),0,
IF(AND(ET$44&gt;1,EB260=$N260),1-SUM($EN260:ES260),
IF($N260&lt;=1,
IF($N260&gt;0,1/$N260,0),
IF(ET$44=2,0,VDB(1,0,$N260,INT(ET$44-2-1),MIN($N260,INT(ET$44-2-1)+1),$DC260,IF($DD260="No",1,0))/
IF(EA260&gt;=INT($N260),$N260-INT($N260),1)))*
IF(ET$44=2,0,
IF(INT(EB260)=INT(EA260),EB260-EA260,INT(EB260)-EA260))+
IF($N260&lt;=1,
IF($N260&gt;0,1/$N260,0),VDB(1,0,$N260,INT(ET$44-2),MIN($N260,INT(ET$44-2)+1),$DC260,IF($DD260="No",1,0))/
IF(EB260&gt;INT($N260),$N260-INT($N260),1))*
IF(ET$44=2,EB260,
IF(INT(EB260)=INT(EA260),0,EB260-INT(EB260)))))</f>
        <v>0</v>
      </c>
      <c r="EU260" s="835">
        <f>+IF(OR(EC260=EB260,EU$44=1),0,
IF(AND(EU$44&gt;1,EC260=$N260),1-SUM($EN260:ET260),
IF($N260&lt;=1,
IF($N260&gt;0,1/$N260,0),
IF(EU$44=2,0,VDB(1,0,$N260,INT(EU$44-2-1),MIN($N260,INT(EU$44-2-1)+1),$DC260,IF($DD260="No",1,0))/
IF(EB260&gt;=INT($N260),$N260-INT($N260),1)))*
IF(EU$44=2,0,
IF(INT(EC260)=INT(EB260),EC260-EB260,INT(EC260)-EB260))+
IF($N260&lt;=1,
IF($N260&gt;0,1/$N260,0),VDB(1,0,$N260,INT(EU$44-2),MIN($N260,INT(EU$44-2)+1),$DC260,IF($DD260="No",1,0))/
IF(EC260&gt;INT($N260),$N260-INT($N260),1))*
IF(EU$44=2,EC260,
IF(INT(EC260)=INT(EB260),0,EC260-INT(EC260)))))</f>
        <v>0</v>
      </c>
      <c r="EV260" s="836">
        <f>+IF(OR(ED260=EC260,EV$44=1),0,
IF(AND(EV$44&gt;1,ED260=$N260),1-SUM($EN260:EU260),
IF($N260&lt;=1,
IF($N260&gt;0,1/$N260,0),
IF(EV$44=2,0,VDB(1,0,$N260,INT(EV$44-2-1),MIN($N260,INT(EV$44-2-1)+1),$DC260,IF($DD260="No",1,0))/
IF(EC260&gt;=INT($N260),$N260-INT($N260),1)))*
IF(EV$44=2,0,
IF(INT(ED260)=INT(EC260),ED260-EC260,INT(ED260)-EC260))+
IF($N260&lt;=1,
IF($N260&gt;0,1/$N260,0),VDB(1,0,$N260,INT(EV$44-2),MIN($N260,INT(EV$44-2)+1),$DC260,IF($DD260="No",1,0))/
IF(ED260&gt;INT($N260),$N260-INT($N260),1))*
IF(EV$44=2,ED260,
IF(INT(ED260)=INT(EC260),0,ED260-INT(ED260)))))</f>
        <v>0</v>
      </c>
      <c r="EW260" s="833"/>
      <c r="EX260" s="834">
        <f t="shared" ca="1" si="503"/>
        <v>0</v>
      </c>
      <c r="EY260" s="835">
        <f t="shared" ca="1" si="503"/>
        <v>0</v>
      </c>
      <c r="EZ260" s="836">
        <f t="shared" ca="1" si="503"/>
        <v>0</v>
      </c>
      <c r="FA260" s="834">
        <f t="shared" ca="1" si="503"/>
        <v>0</v>
      </c>
      <c r="FB260" s="835">
        <f t="shared" ca="1" si="503"/>
        <v>0</v>
      </c>
      <c r="FC260" s="835">
        <f t="shared" ca="1" si="503"/>
        <v>0</v>
      </c>
      <c r="FD260" s="835">
        <f t="shared" ca="1" si="503"/>
        <v>0</v>
      </c>
      <c r="FE260" s="836">
        <f t="shared" ca="1" si="503"/>
        <v>0</v>
      </c>
      <c r="FG260" s="386">
        <f t="shared" ca="1" si="504"/>
        <v>0</v>
      </c>
      <c r="FH260" s="387">
        <f t="shared" ca="1" si="505"/>
        <v>0</v>
      </c>
      <c r="FI260" s="388">
        <f t="shared" ca="1" si="506"/>
        <v>0</v>
      </c>
      <c r="FJ260" s="386">
        <f t="shared" ca="1" si="507"/>
        <v>0</v>
      </c>
      <c r="FK260" s="387">
        <f t="shared" ca="1" si="508"/>
        <v>0</v>
      </c>
      <c r="FL260" s="387">
        <f t="shared" ca="1" si="509"/>
        <v>0</v>
      </c>
      <c r="FM260" s="387">
        <f t="shared" ca="1" si="510"/>
        <v>0</v>
      </c>
      <c r="FN260" s="388">
        <f t="shared" ca="1" si="511"/>
        <v>0</v>
      </c>
      <c r="FR260" s="116"/>
    </row>
    <row r="261" spans="2:174">
      <c r="B261" s="1410">
        <f t="shared" si="512"/>
        <v>215</v>
      </c>
      <c r="C261" s="400"/>
      <c r="D261" s="410"/>
      <c r="E261" s="402"/>
      <c r="F261" s="402"/>
      <c r="G261" s="400"/>
      <c r="H261" s="2088"/>
      <c r="I261" s="2089"/>
      <c r="J261" s="411"/>
      <c r="K261" s="403"/>
      <c r="L261" s="403"/>
      <c r="M261" s="403"/>
      <c r="N261" s="403"/>
      <c r="O261" s="347"/>
      <c r="P261" s="347"/>
      <c r="Q261" s="1021"/>
      <c r="R261" s="1022"/>
      <c r="S261" s="1022"/>
      <c r="T261" s="1022"/>
      <c r="U261" s="1023"/>
      <c r="V261" s="1021"/>
      <c r="W261" s="1022"/>
      <c r="X261" s="1022"/>
      <c r="Y261" s="1022"/>
      <c r="Z261" s="1023"/>
      <c r="AA261" s="1024"/>
      <c r="AB261" s="1021"/>
      <c r="AC261" s="1022"/>
      <c r="AD261" s="1022"/>
      <c r="AE261" s="1022"/>
      <c r="AF261" s="1023"/>
      <c r="AG261" s="1021"/>
      <c r="AH261" s="1022"/>
      <c r="AI261" s="1022"/>
      <c r="AJ261" s="1022"/>
      <c r="AK261" s="1023"/>
      <c r="AL261" s="1024"/>
      <c r="AM261" s="1021"/>
      <c r="AN261" s="1022"/>
      <c r="AO261" s="1022"/>
      <c r="AP261" s="1022"/>
      <c r="AQ261" s="1023"/>
      <c r="AR261" s="1021"/>
      <c r="AS261" s="1022"/>
      <c r="AT261" s="1022"/>
      <c r="AU261" s="1022"/>
      <c r="AV261" s="1023"/>
      <c r="AW261" s="1025"/>
      <c r="AX261" s="1282">
        <f t="shared" si="457"/>
        <v>0</v>
      </c>
      <c r="AY261" s="387">
        <f t="shared" si="458"/>
        <v>0</v>
      </c>
      <c r="AZ261" s="387">
        <f t="shared" si="459"/>
        <v>0</v>
      </c>
      <c r="BA261" s="387">
        <f t="shared" si="460"/>
        <v>0</v>
      </c>
      <c r="BB261" s="1283">
        <f t="shared" si="461"/>
        <v>0</v>
      </c>
      <c r="BC261" s="386">
        <f t="shared" si="462"/>
        <v>0</v>
      </c>
      <c r="BD261" s="387">
        <f t="shared" si="463"/>
        <v>0</v>
      </c>
      <c r="BE261" s="1277">
        <f t="shared" si="464"/>
        <v>0</v>
      </c>
      <c r="BF261" s="1277">
        <f t="shared" si="465"/>
        <v>0</v>
      </c>
      <c r="BG261" s="388">
        <f t="shared" si="466"/>
        <v>0</v>
      </c>
      <c r="BH261" s="1025"/>
      <c r="BI261" s="1282">
        <f t="shared" ca="1" si="467"/>
        <v>0</v>
      </c>
      <c r="BJ261" s="387">
        <f t="shared" ca="1" si="468"/>
        <v>0</v>
      </c>
      <c r="BK261" s="387">
        <f t="shared" ca="1" si="469"/>
        <v>0</v>
      </c>
      <c r="BL261" s="387">
        <f t="shared" ca="1" si="470"/>
        <v>0</v>
      </c>
      <c r="BM261" s="1283">
        <f t="shared" ca="1" si="471"/>
        <v>0</v>
      </c>
      <c r="BN261" s="386">
        <f t="shared" ca="1" si="472"/>
        <v>0</v>
      </c>
      <c r="BO261" s="387">
        <f t="shared" ca="1" si="473"/>
        <v>0</v>
      </c>
      <c r="BP261" s="1277">
        <f t="shared" ca="1" si="474"/>
        <v>0</v>
      </c>
      <c r="BQ261" s="1277">
        <f t="shared" ca="1" si="475"/>
        <v>0</v>
      </c>
      <c r="BR261" s="388">
        <f t="shared" ca="1" si="476"/>
        <v>0</v>
      </c>
      <c r="BS261" s="1025"/>
      <c r="BT261" s="1282">
        <f>+IF($K261="Ongoing",AX261,IF(RIGHT($K261,2)=RIGHT(BT$43,2),SUM($AX261:AX261),0)+IF(RIGHT(BT$43,2)&gt;RIGHT($K261,2),AX261,0))</f>
        <v>0</v>
      </c>
      <c r="BU261" s="387">
        <f>+IF($K261="Ongoing",AY261,IF(RIGHT($K261,2)=RIGHT(BU$43,2),SUM($AX261:AY261),0)+IF(RIGHT(BU$43,2)&gt;RIGHT($K261,2),AY261,0))</f>
        <v>0</v>
      </c>
      <c r="BV261" s="387">
        <f>+IF($K261="Ongoing",AZ261,IF(RIGHT($K261,2)=RIGHT(BV$43,2),SUM($AX261:AZ261),0)+IF(RIGHT(BV$43,2)&gt;RIGHT($K261,2),AZ261,0))</f>
        <v>0</v>
      </c>
      <c r="BW261" s="387">
        <f>+IF($K261="Ongoing",BA261,IF(RIGHT($K261,2)=RIGHT(BW$43,2),SUM($AX261:BA261),0)+IF(RIGHT(BW$43,2)&gt;RIGHT($K261,2),BA261,0))</f>
        <v>0</v>
      </c>
      <c r="BX261" s="1283">
        <f>+IF($K261="Ongoing",BB261,IF(RIGHT($K261,2)=RIGHT(BX$43,2),SUM($AX261:BB261),0)+IF(RIGHT(BX$43,2)&gt;RIGHT($K261,2),BB261,0))</f>
        <v>0</v>
      </c>
      <c r="BY261" s="386">
        <f>+IF($K261="Ongoing",BC261,IF(RIGHT($K261,2)=RIGHT(BY$43,2),SUM($AX261:BC261),0)+IF(RIGHT(BY$43,2)&gt;RIGHT($K261,2),BC261,0))</f>
        <v>0</v>
      </c>
      <c r="BZ261" s="387">
        <f>+IF($K261="Ongoing",BD261,IF(RIGHT($K261,2)=RIGHT(BZ$43,2),SUM($AX261:BD261),0)+IF(RIGHT(BZ$43,2)&gt;RIGHT($K261,2),BD261,0))</f>
        <v>0</v>
      </c>
      <c r="CA261" s="1277">
        <f>+IF($K261="Ongoing",BE261,IF(RIGHT($K261,2)=RIGHT(CA$43,2),SUM($AX261:BE261),0)+IF(RIGHT(CA$43,2)&gt;RIGHT($K261,2),BE261,0))</f>
        <v>0</v>
      </c>
      <c r="CB261" s="1277">
        <f>+IF($K261="Ongoing",BF261,IF(RIGHT($K261,2)=RIGHT(CB$43,2),SUM($AX261:BF261),0)+IF(RIGHT(CB$43,2)&gt;RIGHT($K261,2),BF261,0))</f>
        <v>0</v>
      </c>
      <c r="CC261" s="388">
        <f>+IF($K261="Ongoing",BG261,IF(RIGHT($K261,2)=RIGHT(CC$43,2),SUM($AX261:BG261),0)+IF(RIGHT(CC$43,2)&gt;RIGHT($K261,2),BG261,0))</f>
        <v>0</v>
      </c>
      <c r="CD261" s="1025"/>
      <c r="CE261" s="1282">
        <f>+Q261*KeyAssumptionsPriceControl_FO!AF$15</f>
        <v>0</v>
      </c>
      <c r="CF261" s="387">
        <f>+R261*KeyAssumptionsPriceControl_FO!AG$15</f>
        <v>0</v>
      </c>
      <c r="CG261" s="387">
        <f>+S261*KeyAssumptionsPriceControl_FO!AH$15</f>
        <v>0</v>
      </c>
      <c r="CH261" s="387">
        <f>+T261*KeyAssumptionsPriceControl_FO!AI$15</f>
        <v>0</v>
      </c>
      <c r="CI261" s="1283">
        <f>+U261*KeyAssumptionsPriceControl_FO!AJ$15</f>
        <v>0</v>
      </c>
      <c r="CJ261" s="386">
        <f>+V261*KeyAssumptionsPriceControl_FO!AK$15</f>
        <v>0</v>
      </c>
      <c r="CK261" s="387">
        <f>+W261*KeyAssumptionsPriceControl_FO!AL$15</f>
        <v>0</v>
      </c>
      <c r="CL261" s="1277">
        <f>+X261*KeyAssumptionsPriceControl_FO!AM$15</f>
        <v>0</v>
      </c>
      <c r="CM261" s="1277">
        <f>+Y261*KeyAssumptionsPriceControl_FO!AN$15</f>
        <v>0</v>
      </c>
      <c r="CN261" s="388">
        <f>+Z261*KeyAssumptionsPriceControl_FO!AO$15</f>
        <v>0</v>
      </c>
      <c r="CO261" s="1025"/>
      <c r="CP261" s="1282">
        <f t="shared" ca="1" si="477"/>
        <v>0</v>
      </c>
      <c r="CQ261" s="387">
        <f t="shared" ca="1" si="478"/>
        <v>0</v>
      </c>
      <c r="CR261" s="387">
        <f t="shared" ca="1" si="479"/>
        <v>0</v>
      </c>
      <c r="CS261" s="387">
        <f t="shared" ca="1" si="480"/>
        <v>0</v>
      </c>
      <c r="CT261" s="1283">
        <f t="shared" ca="1" si="481"/>
        <v>0</v>
      </c>
      <c r="CU261" s="386">
        <f t="shared" ca="1" si="482"/>
        <v>0</v>
      </c>
      <c r="CV261" s="387">
        <f t="shared" ca="1" si="483"/>
        <v>0</v>
      </c>
      <c r="CW261" s="1277">
        <f t="shared" ca="1" si="484"/>
        <v>0</v>
      </c>
      <c r="CX261" s="1277">
        <f t="shared" ca="1" si="485"/>
        <v>0</v>
      </c>
      <c r="CY261" s="388">
        <f t="shared" ca="1" si="486"/>
        <v>0</v>
      </c>
      <c r="CZ261" s="347"/>
      <c r="DA261" s="852"/>
      <c r="DB261" s="347"/>
      <c r="DC261" s="1012" t="s">
        <v>556</v>
      </c>
      <c r="DD261" s="841" t="s">
        <v>518</v>
      </c>
      <c r="DE261" s="386">
        <f>+IF($K261="ongoing",CE261,IF(RIGHT($K261,2)=RIGHT(DE$43,2),SUM($CD261:CE261),0)+IF(RIGHT(DE$43,2)&gt;RIGHT($K261,2),CE261,0))</f>
        <v>0</v>
      </c>
      <c r="DF261" s="387">
        <f>+IF($K261="ongoing",CF261,IF(RIGHT($K261,2)=RIGHT(DF$43,2),SUM($CD261:CF261),0)+IF(RIGHT(DF$43,2)&gt;RIGHT($K261,2),CF261,0))</f>
        <v>0</v>
      </c>
      <c r="DG261" s="388">
        <f>+IF($K261="ongoing",CG261,IF(RIGHT($K261,2)=RIGHT(DG$43,2),SUM($CD261:CG261),0)+IF(RIGHT(DG$43,2)&gt;RIGHT($K261,2),CG261,0))</f>
        <v>0</v>
      </c>
      <c r="DH261" s="386">
        <f>+IF($K261="ongoing",CH261,IF(RIGHT($K261,2)=RIGHT(DH$43,2),SUM($CD261:CH261),0)+IF(RIGHT(DH$43,2)&gt;RIGHT($K261,2),CH261,0))</f>
        <v>0</v>
      </c>
      <c r="DI261" s="387">
        <f>+IF($K261="ongoing",CI261,IF(RIGHT($K261,2)=RIGHT(DI$43,2),SUM($CD261:CI261),0)+IF(RIGHT(DI$43,2)&gt;RIGHT($K261,2),CI261,0))</f>
        <v>0</v>
      </c>
      <c r="DJ261" s="387">
        <f>+IF($K261="ongoing",CJ261,IF(RIGHT($K261,2)=RIGHT(DJ$43,2),SUM($CD261:CJ261),0)+IF(RIGHT(DJ$43,2)&gt;RIGHT($K261,2),CJ261,0))</f>
        <v>0</v>
      </c>
      <c r="DK261" s="387">
        <f>+IF($K261="ongoing",CK261,IF(RIGHT($K261,2)=RIGHT(DK$43,2),SUM($CD261:CK261),0)+IF(RIGHT(DK$43,2)&gt;RIGHT($K261,2),CK261,0))</f>
        <v>0</v>
      </c>
      <c r="DL261" s="388">
        <f>+IF($K261="ongoing",CN261,IF(RIGHT($K261,2)=RIGHT(DL$43,2),SUM($CD261:CN261),0)+IF(RIGHT(DL$43,2)&gt;RIGHT($K261,2),CN261,0))</f>
        <v>0</v>
      </c>
      <c r="DM261" s="841"/>
      <c r="DN261" s="386">
        <f t="shared" si="487"/>
        <v>0.5</v>
      </c>
      <c r="DO261" s="387">
        <f t="shared" si="488"/>
        <v>1</v>
      </c>
      <c r="DP261" s="388">
        <f t="shared" si="489"/>
        <v>1</v>
      </c>
      <c r="DQ261" s="386">
        <f t="shared" si="490"/>
        <v>1</v>
      </c>
      <c r="DR261" s="387">
        <f t="shared" si="491"/>
        <v>1</v>
      </c>
      <c r="DS261" s="387">
        <f t="shared" si="492"/>
        <v>1</v>
      </c>
      <c r="DT261" s="387">
        <f t="shared" si="493"/>
        <v>1</v>
      </c>
      <c r="DU261" s="388">
        <f t="shared" si="494"/>
        <v>1</v>
      </c>
      <c r="DW261" s="386">
        <f t="shared" si="495"/>
        <v>0</v>
      </c>
      <c r="DX261" s="387">
        <f t="shared" si="496"/>
        <v>0.5</v>
      </c>
      <c r="DY261" s="388">
        <f t="shared" si="497"/>
        <v>1</v>
      </c>
      <c r="DZ261" s="386">
        <f t="shared" si="498"/>
        <v>1</v>
      </c>
      <c r="EA261" s="387">
        <f t="shared" si="499"/>
        <v>1</v>
      </c>
      <c r="EB261" s="387">
        <f t="shared" si="500"/>
        <v>1</v>
      </c>
      <c r="EC261" s="387">
        <f t="shared" si="501"/>
        <v>1</v>
      </c>
      <c r="ED261" s="388">
        <f t="shared" si="502"/>
        <v>1</v>
      </c>
      <c r="EF261" s="834">
        <f>+IF(DN261=DM261,0,
IF(AND(EF$44&gt;1,DN261=$N261),1-SUM($EE261:EE261),
IF($N261&lt;=1,
IF($N261&gt;0,1/$N261,0),
IF(EF$44=1,0,VDB(1,0,$N261,INT(EF$44-1-1),MIN($N261,INT(EF$44-1-1)+1),$DC261,IF($DD261="No",1,0))/
IF(DM261&gt;=INT($N261),$N261-INT($N261),1)))*
IF(EF$44=1,0,
IF(INT(DN261)=INT(DM261),DN261-DM261,INT(DN261)-DM261))+
IF($N261&lt;=1,
IF($N261&gt;0,1/$N261,0),VDB(1,0,$N261,INT(EF$44-1),MIN($N261,INT(EF$44-1)+1),$DC261,IF($DD261="No",1,0))/
IF(DN261&gt;INT($N261),$N261-INT($N261),1))*
IF(EF$44=1,DN261,
IF(INT(DN261)=INT(DM261),0,DN261-INT(DN261)))))</f>
        <v>0</v>
      </c>
      <c r="EG261" s="835">
        <f>+IF(DO261=DN261,0,
IF(AND(EG$44&gt;1,DO261=$N261),1-SUM($EE261:EF261),
IF($N261&lt;=1,
IF($N261&gt;0,1/$N261,0),
IF(EG$44=1,0,VDB(1,0,$N261,INT(EG$44-1-1),MIN($N261,INT(EG$44-1-1)+1),$DC261,IF($DD261="No",1,0))/
IF(DN261&gt;=INT($N261),$N261-INT($N261),1)))*
IF(EG$44=1,0,
IF(INT(DO261)=INT(DN261),DO261-DN261,INT(DO261)-DN261))+
IF($N261&lt;=1,
IF($N261&gt;0,1/$N261,0),VDB(1,0,$N261,INT(EG$44-1),MIN($N261,INT(EG$44-1)+1),$DC261,IF($DD261="No",1,0))/
IF(DO261&gt;INT($N261),$N261-INT($N261),1))*
IF(EG$44=1,DO261,
IF(INT(DO261)=INT(DN261),0,DO261-INT(DO261)))))</f>
        <v>0</v>
      </c>
      <c r="EH261" s="836">
        <f>+IF(DP261=DO261,0,
IF(AND(EH$44&gt;1,DP261=$N261),1-SUM($EE261:EG261),
IF($N261&lt;=1,
IF($N261&gt;0,1/$N261,0),
IF(EH$44=1,0,VDB(1,0,$N261,INT(EH$44-1-1),MIN($N261,INT(EH$44-1-1)+1),$DC261,IF($DD261="No",1,0))/
IF(DO261&gt;=INT($N261),$N261-INT($N261),1)))*
IF(EH$44=1,0,
IF(INT(DP261)=INT(DO261),DP261-DO261,INT(DP261)-DO261))+
IF($N261&lt;=1,
IF($N261&gt;0,1/$N261,0),VDB(1,0,$N261,INT(EH$44-1),MIN($N261,INT(EH$44-1)+1),$DC261,IF($DD261="No",1,0))/
IF(DP261&gt;INT($N261),$N261-INT($N261),1))*
IF(EH$44=1,DP261,
IF(INT(DP261)=INT(DO261),0,DP261-INT(DP261)))))</f>
        <v>0</v>
      </c>
      <c r="EI261" s="834">
        <f>+IF(DQ261=DP261,0,
IF(AND(EI$44&gt;1,DQ261=$N261),1-SUM($EE261:EH261),
IF($N261&lt;=1,
IF($N261&gt;0,1/$N261,0),
IF(EI$44=1,0,VDB(1,0,$N261,INT(EI$44-1-1),MIN($N261,INT(EI$44-1-1)+1),$DC261,IF($DD261="No",1,0))/
IF(DP261&gt;=INT($N261),$N261-INT($N261),1)))*
IF(EI$44=1,0,
IF(INT(DQ261)=INT(DP261),DQ261-DP261,INT(DQ261)-DP261))+
IF($N261&lt;=1,
IF($N261&gt;0,1/$N261,0),VDB(1,0,$N261,INT(EI$44-1),MIN($N261,INT(EI$44-1)+1),$DC261,IF($DD261="No",1,0))/
IF(DQ261&gt;INT($N261),$N261-INT($N261),1))*
IF(EI$44=1,DQ261,
IF(INT(DQ261)=INT(DP261),0,DQ261-INT(DQ261)))))</f>
        <v>0</v>
      </c>
      <c r="EJ261" s="835">
        <f>+IF(DR261=DQ261,0,
IF(AND(EJ$44&gt;1,DR261=$N261),1-SUM($EE261:EI261),
IF($N261&lt;=1,
IF($N261&gt;0,1/$N261,0),
IF(EJ$44=1,0,VDB(1,0,$N261,INT(EJ$44-1-1),MIN($N261,INT(EJ$44-1-1)+1),$DC261,IF($DD261="No",1,0))/
IF(DQ261&gt;=INT($N261),$N261-INT($N261),1)))*
IF(EJ$44=1,0,
IF(INT(DR261)=INT(DQ261),DR261-DQ261,INT(DR261)-DQ261))+
IF($N261&lt;=1,
IF($N261&gt;0,1/$N261,0),VDB(1,0,$N261,INT(EJ$44-1),MIN($N261,INT(EJ$44-1)+1),$DC261,IF($DD261="No",1,0))/
IF(DR261&gt;INT($N261),$N261-INT($N261),1))*
IF(EJ$44=1,DR261,
IF(INT(DR261)=INT(DQ261),0,DR261-INT(DR261)))))</f>
        <v>0</v>
      </c>
      <c r="EK261" s="835">
        <f>+IF(DS261=DR261,0,
IF(AND(EK$44&gt;1,DS261=$N261),1-SUM($EE261:EJ261),
IF($N261&lt;=1,
IF($N261&gt;0,1/$N261,0),
IF(EK$44=1,0,VDB(1,0,$N261,INT(EK$44-1-1),MIN($N261,INT(EK$44-1-1)+1),$DC261,IF($DD261="No",1,0))/
IF(DR261&gt;=INT($N261),$N261-INT($N261),1)))*
IF(EK$44=1,0,
IF(INT(DS261)=INT(DR261),DS261-DR261,INT(DS261)-DR261))+
IF($N261&lt;=1,
IF($N261&gt;0,1/$N261,0),VDB(1,0,$N261,INT(EK$44-1),MIN($N261,INT(EK$44-1)+1),$DC261,IF($DD261="No",1,0))/
IF(DS261&gt;INT($N261),$N261-INT($N261),1))*
IF(EK$44=1,DS261,
IF(INT(DS261)=INT(DR261),0,DS261-INT(DS261)))))</f>
        <v>0</v>
      </c>
      <c r="EL261" s="835">
        <f>+IF(DT261=DS261,0,
IF(AND(EL$44&gt;1,DT261=$N261),1-SUM($EE261:EK261),
IF($N261&lt;=1,
IF($N261&gt;0,1/$N261,0),
IF(EL$44=1,0,VDB(1,0,$N261,INT(EL$44-1-1),MIN($N261,INT(EL$44-1-1)+1),$DC261,IF($DD261="No",1,0))/
IF(DS261&gt;=INT($N261),$N261-INT($N261),1)))*
IF(EL$44=1,0,
IF(INT(DT261)=INT(DS261),DT261-DS261,INT(DT261)-DS261))+
IF($N261&lt;=1,
IF($N261&gt;0,1/$N261,0),VDB(1,0,$N261,INT(EL$44-1),MIN($N261,INT(EL$44-1)+1),$DC261,IF($DD261="No",1,0))/
IF(DT261&gt;INT($N261),$N261-INT($N261),1))*
IF(EL$44=1,DT261,
IF(INT(DT261)=INT(DS261),0,DT261-INT(DT261)))))</f>
        <v>0</v>
      </c>
      <c r="EM261" s="836">
        <f>+IF(DU261=DT261,0,
IF(AND(EM$44&gt;1,DU261=$N261),1-SUM($EE261:EL261),
IF($N261&lt;=1,
IF($N261&gt;0,1/$N261,0),
IF(EM$44=1,0,VDB(1,0,$N261,INT(EM$44-1-1),MIN($N261,INT(EM$44-1-1)+1),$DC261,IF($DD261="No",1,0))/
IF(DT261&gt;=INT($N261),$N261-INT($N261),1)))*
IF(EM$44=1,0,
IF(INT(DU261)=INT(DT261),DU261-DT261,INT(DU261)-DT261))+
IF($N261&lt;=1,
IF($N261&gt;0,1/$N261,0),VDB(1,0,$N261,INT(EM$44-1),MIN($N261,INT(EM$44-1)+1),$DC261,IF($DD261="No",1,0))/
IF(DU261&gt;INT($N261),$N261-INT($N261),1))*
IF(EM$44=1,DU261,
IF(INT(DU261)=INT(DT261),0,DU261-INT(DU261)))))</f>
        <v>0</v>
      </c>
      <c r="EN261" s="833"/>
      <c r="EO261" s="834">
        <f>+IF(OR(DW261=DV261,EO$44=1),0,
IF(AND(EO$44&gt;1,DW261=$N261),1-SUM($EN261:EN261),
IF($N261&lt;=1,
IF($N261&gt;0,1/$N261,0),
IF(EO$44=2,0,VDB(1,0,$N261,INT(EO$44-2-1),MIN($N261,INT(EO$44-2-1)+1),$DC261,IF($DD261="No",1,0))/
IF(DV261&gt;=INT($N261),$N261-INT($N261),1)))*
IF(EO$44=2,0,
IF(INT(DW261)=INT(DV261),DW261-DV261,INT(DW261)-DV261))+
IF($N261&lt;=1,
IF($N261&gt;0,1/$N261,0),VDB(1,0,$N261,INT(EO$44-2),MIN($N261,INT(EO$44-2)+1),$DC261,IF($DD261="No",1,0))/
IF(DW261&gt;INT($N261),$N261-INT($N261),1))*
IF(EO$44=2,DW261,
IF(INT(DW261)=INT(DV261),0,DW261-INT(DW261)))))</f>
        <v>0</v>
      </c>
      <c r="EP261" s="835">
        <f>+IF(OR(DX261=DW261,EP$44=1),0,
IF(AND(EP$44&gt;1,DX261=$N261),1-SUM($EN261:EO261),
IF($N261&lt;=1,
IF($N261&gt;0,1/$N261,0),
IF(EP$44=2,0,VDB(1,0,$N261,INT(EP$44-2-1),MIN($N261,INT(EP$44-2-1)+1),$DC261,IF($DD261="No",1,0))/
IF(DW261&gt;=INT($N261),$N261-INT($N261),1)))*
IF(EP$44=2,0,
IF(INT(DX261)=INT(DW261),DX261-DW261,INT(DX261)-DW261))+
IF($N261&lt;=1,
IF($N261&gt;0,1/$N261,0),VDB(1,0,$N261,INT(EP$44-2),MIN($N261,INT(EP$44-2)+1),$DC261,IF($DD261="No",1,0))/
IF(DX261&gt;INT($N261),$N261-INT($N261),1))*
IF(EP$44=2,DX261,
IF(INT(DX261)=INT(DW261),0,DX261-INT(DX261)))))</f>
        <v>0</v>
      </c>
      <c r="EQ261" s="836">
        <f>+IF(OR(DY261=DX261,EQ$44=1),0,
IF(AND(EQ$44&gt;1,DY261=$N261),1-SUM($EN261:EP261),
IF($N261&lt;=1,
IF($N261&gt;0,1/$N261,0),
IF(EQ$44=2,0,VDB(1,0,$N261,INT(EQ$44-2-1),MIN($N261,INT(EQ$44-2-1)+1),$DC261,IF($DD261="No",1,0))/
IF(DX261&gt;=INT($N261),$N261-INT($N261),1)))*
IF(EQ$44=2,0,
IF(INT(DY261)=INT(DX261),DY261-DX261,INT(DY261)-DX261))+
IF($N261&lt;=1,
IF($N261&gt;0,1/$N261,0),VDB(1,0,$N261,INT(EQ$44-2),MIN($N261,INT(EQ$44-2)+1),$DC261,IF($DD261="No",1,0))/
IF(DY261&gt;INT($N261),$N261-INT($N261),1))*
IF(EQ$44=2,DY261,
IF(INT(DY261)=INT(DX261),0,DY261-INT(DY261)))))</f>
        <v>0</v>
      </c>
      <c r="ER261" s="834">
        <f>+IF(OR(DZ261=DY261,ER$44=1),0,
IF(AND(ER$44&gt;1,DZ261=$N261),1-SUM($EN261:EQ261),
IF($N261&lt;=1,
IF($N261&gt;0,1/$N261,0),
IF(ER$44=2,0,VDB(1,0,$N261,INT(ER$44-2-1),MIN($N261,INT(ER$44-2-1)+1),$DC261,IF($DD261="No",1,0))/
IF(DY261&gt;=INT($N261),$N261-INT($N261),1)))*
IF(ER$44=2,0,
IF(INT(DZ261)=INT(DY261),DZ261-DY261,INT(DZ261)-DY261))+
IF($N261&lt;=1,
IF($N261&gt;0,1/$N261,0),VDB(1,0,$N261,INT(ER$44-2),MIN($N261,INT(ER$44-2)+1),$DC261,IF($DD261="No",1,0))/
IF(DZ261&gt;INT($N261),$N261-INT($N261),1))*
IF(ER$44=2,DZ261,
IF(INT(DZ261)=INT(DY261),0,DZ261-INT(DZ261)))))</f>
        <v>0</v>
      </c>
      <c r="ES261" s="835">
        <f>+IF(OR(EA261=DZ261,ES$44=1),0,
IF(AND(ES$44&gt;1,EA261=$N261),1-SUM($EN261:ER261),
IF($N261&lt;=1,
IF($N261&gt;0,1/$N261,0),
IF(ES$44=2,0,VDB(1,0,$N261,INT(ES$44-2-1),MIN($N261,INT(ES$44-2-1)+1),$DC261,IF($DD261="No",1,0))/
IF(DZ261&gt;=INT($N261),$N261-INT($N261),1)))*
IF(ES$44=2,0,
IF(INT(EA261)=INT(DZ261),EA261-DZ261,INT(EA261)-DZ261))+
IF($N261&lt;=1,
IF($N261&gt;0,1/$N261,0),VDB(1,0,$N261,INT(ES$44-2),MIN($N261,INT(ES$44-2)+1),$DC261,IF($DD261="No",1,0))/
IF(EA261&gt;INT($N261),$N261-INT($N261),1))*
IF(ES$44=2,EA261,
IF(INT(EA261)=INT(DZ261),0,EA261-INT(EA261)))))</f>
        <v>0</v>
      </c>
      <c r="ET261" s="835">
        <f>+IF(OR(EB261=EA261,ET$44=1),0,
IF(AND(ET$44&gt;1,EB261=$N261),1-SUM($EN261:ES261),
IF($N261&lt;=1,
IF($N261&gt;0,1/$N261,0),
IF(ET$44=2,0,VDB(1,0,$N261,INT(ET$44-2-1),MIN($N261,INT(ET$44-2-1)+1),$DC261,IF($DD261="No",1,0))/
IF(EA261&gt;=INT($N261),$N261-INT($N261),1)))*
IF(ET$44=2,0,
IF(INT(EB261)=INT(EA261),EB261-EA261,INT(EB261)-EA261))+
IF($N261&lt;=1,
IF($N261&gt;0,1/$N261,0),VDB(1,0,$N261,INT(ET$44-2),MIN($N261,INT(ET$44-2)+1),$DC261,IF($DD261="No",1,0))/
IF(EB261&gt;INT($N261),$N261-INT($N261),1))*
IF(ET$44=2,EB261,
IF(INT(EB261)=INT(EA261),0,EB261-INT(EB261)))))</f>
        <v>0</v>
      </c>
      <c r="EU261" s="835">
        <f>+IF(OR(EC261=EB261,EU$44=1),0,
IF(AND(EU$44&gt;1,EC261=$N261),1-SUM($EN261:ET261),
IF($N261&lt;=1,
IF($N261&gt;0,1/$N261,0),
IF(EU$44=2,0,VDB(1,0,$N261,INT(EU$44-2-1),MIN($N261,INT(EU$44-2-1)+1),$DC261,IF($DD261="No",1,0))/
IF(EB261&gt;=INT($N261),$N261-INT($N261),1)))*
IF(EU$44=2,0,
IF(INT(EC261)=INT(EB261),EC261-EB261,INT(EC261)-EB261))+
IF($N261&lt;=1,
IF($N261&gt;0,1/$N261,0),VDB(1,0,$N261,INT(EU$44-2),MIN($N261,INT(EU$44-2)+1),$DC261,IF($DD261="No",1,0))/
IF(EC261&gt;INT($N261),$N261-INT($N261),1))*
IF(EU$44=2,EC261,
IF(INT(EC261)=INT(EB261),0,EC261-INT(EC261)))))</f>
        <v>0</v>
      </c>
      <c r="EV261" s="836">
        <f>+IF(OR(ED261=EC261,EV$44=1),0,
IF(AND(EV$44&gt;1,ED261=$N261),1-SUM($EN261:EU261),
IF($N261&lt;=1,
IF($N261&gt;0,1/$N261,0),
IF(EV$44=2,0,VDB(1,0,$N261,INT(EV$44-2-1),MIN($N261,INT(EV$44-2-1)+1),$DC261,IF($DD261="No",1,0))/
IF(EC261&gt;=INT($N261),$N261-INT($N261),1)))*
IF(EV$44=2,0,
IF(INT(ED261)=INT(EC261),ED261-EC261,INT(ED261)-EC261))+
IF($N261&lt;=1,
IF($N261&gt;0,1/$N261,0),VDB(1,0,$N261,INT(EV$44-2),MIN($N261,INT(EV$44-2)+1),$DC261,IF($DD261="No",1,0))/
IF(ED261&gt;INT($N261),$N261-INT($N261),1))*
IF(EV$44=2,ED261,
IF(INT(ED261)=INT(EC261),0,ED261-INT(ED261)))))</f>
        <v>0</v>
      </c>
      <c r="EW261" s="833"/>
      <c r="EX261" s="834">
        <f t="shared" ca="1" si="503"/>
        <v>0</v>
      </c>
      <c r="EY261" s="835">
        <f t="shared" ca="1" si="503"/>
        <v>0</v>
      </c>
      <c r="EZ261" s="836">
        <f t="shared" ca="1" si="503"/>
        <v>0</v>
      </c>
      <c r="FA261" s="834">
        <f t="shared" ca="1" si="503"/>
        <v>0</v>
      </c>
      <c r="FB261" s="835">
        <f t="shared" ca="1" si="503"/>
        <v>0</v>
      </c>
      <c r="FC261" s="835">
        <f t="shared" ca="1" si="503"/>
        <v>0</v>
      </c>
      <c r="FD261" s="835">
        <f t="shared" ca="1" si="503"/>
        <v>0</v>
      </c>
      <c r="FE261" s="836">
        <f t="shared" ca="1" si="503"/>
        <v>0</v>
      </c>
      <c r="FG261" s="386">
        <f t="shared" ca="1" si="504"/>
        <v>0</v>
      </c>
      <c r="FH261" s="387">
        <f t="shared" ca="1" si="505"/>
        <v>0</v>
      </c>
      <c r="FI261" s="388">
        <f t="shared" ca="1" si="506"/>
        <v>0</v>
      </c>
      <c r="FJ261" s="386">
        <f t="shared" ca="1" si="507"/>
        <v>0</v>
      </c>
      <c r="FK261" s="387">
        <f t="shared" ca="1" si="508"/>
        <v>0</v>
      </c>
      <c r="FL261" s="387">
        <f t="shared" ca="1" si="509"/>
        <v>0</v>
      </c>
      <c r="FM261" s="387">
        <f t="shared" ca="1" si="510"/>
        <v>0</v>
      </c>
      <c r="FN261" s="388">
        <f t="shared" ca="1" si="511"/>
        <v>0</v>
      </c>
      <c r="FR261" s="116"/>
    </row>
    <row r="262" spans="2:174">
      <c r="B262" s="1410">
        <f t="shared" si="512"/>
        <v>216</v>
      </c>
      <c r="C262" s="400"/>
      <c r="D262" s="410"/>
      <c r="E262" s="402"/>
      <c r="F262" s="402"/>
      <c r="G262" s="400"/>
      <c r="H262" s="2088"/>
      <c r="I262" s="2089"/>
      <c r="J262" s="411"/>
      <c r="K262" s="403"/>
      <c r="L262" s="403"/>
      <c r="M262" s="403"/>
      <c r="N262" s="403"/>
      <c r="O262" s="347"/>
      <c r="P262" s="347"/>
      <c r="Q262" s="1021"/>
      <c r="R262" s="1022"/>
      <c r="S262" s="1022"/>
      <c r="T262" s="1022"/>
      <c r="U262" s="1023"/>
      <c r="V262" s="1021"/>
      <c r="W262" s="1022"/>
      <c r="X262" s="1022"/>
      <c r="Y262" s="1022"/>
      <c r="Z262" s="1023"/>
      <c r="AA262" s="1024"/>
      <c r="AB262" s="1021"/>
      <c r="AC262" s="1022"/>
      <c r="AD262" s="1022"/>
      <c r="AE262" s="1022"/>
      <c r="AF262" s="1023"/>
      <c r="AG262" s="1021"/>
      <c r="AH262" s="1022"/>
      <c r="AI262" s="1022"/>
      <c r="AJ262" s="1022"/>
      <c r="AK262" s="1023"/>
      <c r="AL262" s="1024"/>
      <c r="AM262" s="1021"/>
      <c r="AN262" s="1022"/>
      <c r="AO262" s="1022"/>
      <c r="AP262" s="1022"/>
      <c r="AQ262" s="1023"/>
      <c r="AR262" s="1021"/>
      <c r="AS262" s="1022"/>
      <c r="AT262" s="1022"/>
      <c r="AU262" s="1022"/>
      <c r="AV262" s="1023"/>
      <c r="AW262" s="1025"/>
      <c r="AX262" s="1282">
        <f t="shared" si="457"/>
        <v>0</v>
      </c>
      <c r="AY262" s="387">
        <f t="shared" si="458"/>
        <v>0</v>
      </c>
      <c r="AZ262" s="387">
        <f t="shared" si="459"/>
        <v>0</v>
      </c>
      <c r="BA262" s="387">
        <f t="shared" si="460"/>
        <v>0</v>
      </c>
      <c r="BB262" s="1283">
        <f t="shared" si="461"/>
        <v>0</v>
      </c>
      <c r="BC262" s="386">
        <f t="shared" si="462"/>
        <v>0</v>
      </c>
      <c r="BD262" s="387">
        <f t="shared" si="463"/>
        <v>0</v>
      </c>
      <c r="BE262" s="1277">
        <f t="shared" si="464"/>
        <v>0</v>
      </c>
      <c r="BF262" s="1277">
        <f t="shared" si="465"/>
        <v>0</v>
      </c>
      <c r="BG262" s="388">
        <f t="shared" si="466"/>
        <v>0</v>
      </c>
      <c r="BH262" s="1025"/>
      <c r="BI262" s="1282">
        <f t="shared" ca="1" si="467"/>
        <v>0</v>
      </c>
      <c r="BJ262" s="387">
        <f t="shared" ca="1" si="468"/>
        <v>0</v>
      </c>
      <c r="BK262" s="387">
        <f t="shared" ca="1" si="469"/>
        <v>0</v>
      </c>
      <c r="BL262" s="387">
        <f t="shared" ca="1" si="470"/>
        <v>0</v>
      </c>
      <c r="BM262" s="1283">
        <f t="shared" ca="1" si="471"/>
        <v>0</v>
      </c>
      <c r="BN262" s="386">
        <f t="shared" ca="1" si="472"/>
        <v>0</v>
      </c>
      <c r="BO262" s="387">
        <f t="shared" ca="1" si="473"/>
        <v>0</v>
      </c>
      <c r="BP262" s="1277">
        <f t="shared" ca="1" si="474"/>
        <v>0</v>
      </c>
      <c r="BQ262" s="1277">
        <f t="shared" ca="1" si="475"/>
        <v>0</v>
      </c>
      <c r="BR262" s="388">
        <f t="shared" ca="1" si="476"/>
        <v>0</v>
      </c>
      <c r="BS262" s="1025"/>
      <c r="BT262" s="1282">
        <f>+IF($K262="Ongoing",AX262,IF(RIGHT($K262,2)=RIGHT(BT$43,2),SUM($AX262:AX262),0)+IF(RIGHT(BT$43,2)&gt;RIGHT($K262,2),AX262,0))</f>
        <v>0</v>
      </c>
      <c r="BU262" s="387">
        <f>+IF($K262="Ongoing",AY262,IF(RIGHT($K262,2)=RIGHT(BU$43,2),SUM($AX262:AY262),0)+IF(RIGHT(BU$43,2)&gt;RIGHT($K262,2),AY262,0))</f>
        <v>0</v>
      </c>
      <c r="BV262" s="387">
        <f>+IF($K262="Ongoing",AZ262,IF(RIGHT($K262,2)=RIGHT(BV$43,2),SUM($AX262:AZ262),0)+IF(RIGHT(BV$43,2)&gt;RIGHT($K262,2),AZ262,0))</f>
        <v>0</v>
      </c>
      <c r="BW262" s="387">
        <f>+IF($K262="Ongoing",BA262,IF(RIGHT($K262,2)=RIGHT(BW$43,2),SUM($AX262:BA262),0)+IF(RIGHT(BW$43,2)&gt;RIGHT($K262,2),BA262,0))</f>
        <v>0</v>
      </c>
      <c r="BX262" s="1283">
        <f>+IF($K262="Ongoing",BB262,IF(RIGHT($K262,2)=RIGHT(BX$43,2),SUM($AX262:BB262),0)+IF(RIGHT(BX$43,2)&gt;RIGHT($K262,2),BB262,0))</f>
        <v>0</v>
      </c>
      <c r="BY262" s="386">
        <f>+IF($K262="Ongoing",BC262,IF(RIGHT($K262,2)=RIGHT(BY$43,2),SUM($AX262:BC262),0)+IF(RIGHT(BY$43,2)&gt;RIGHT($K262,2),BC262,0))</f>
        <v>0</v>
      </c>
      <c r="BZ262" s="387">
        <f>+IF($K262="Ongoing",BD262,IF(RIGHT($K262,2)=RIGHT(BZ$43,2),SUM($AX262:BD262),0)+IF(RIGHT(BZ$43,2)&gt;RIGHT($K262,2),BD262,0))</f>
        <v>0</v>
      </c>
      <c r="CA262" s="1277">
        <f>+IF($K262="Ongoing",BE262,IF(RIGHT($K262,2)=RIGHT(CA$43,2),SUM($AX262:BE262),0)+IF(RIGHT(CA$43,2)&gt;RIGHT($K262,2),BE262,0))</f>
        <v>0</v>
      </c>
      <c r="CB262" s="1277">
        <f>+IF($K262="Ongoing",BF262,IF(RIGHT($K262,2)=RIGHT(CB$43,2),SUM($AX262:BF262),0)+IF(RIGHT(CB$43,2)&gt;RIGHT($K262,2),BF262,0))</f>
        <v>0</v>
      </c>
      <c r="CC262" s="388">
        <f>+IF($K262="Ongoing",BG262,IF(RIGHT($K262,2)=RIGHT(CC$43,2),SUM($AX262:BG262),0)+IF(RIGHT(CC$43,2)&gt;RIGHT($K262,2),BG262,0))</f>
        <v>0</v>
      </c>
      <c r="CD262" s="1025"/>
      <c r="CE262" s="1282">
        <f>+Q262*KeyAssumptionsPriceControl_FO!AF$15</f>
        <v>0</v>
      </c>
      <c r="CF262" s="387">
        <f>+R262*KeyAssumptionsPriceControl_FO!AG$15</f>
        <v>0</v>
      </c>
      <c r="CG262" s="387">
        <f>+S262*KeyAssumptionsPriceControl_FO!AH$15</f>
        <v>0</v>
      </c>
      <c r="CH262" s="387">
        <f>+T262*KeyAssumptionsPriceControl_FO!AI$15</f>
        <v>0</v>
      </c>
      <c r="CI262" s="1283">
        <f>+U262*KeyAssumptionsPriceControl_FO!AJ$15</f>
        <v>0</v>
      </c>
      <c r="CJ262" s="386">
        <f>+V262*KeyAssumptionsPriceControl_FO!AK$15</f>
        <v>0</v>
      </c>
      <c r="CK262" s="387">
        <f>+W262*KeyAssumptionsPriceControl_FO!AL$15</f>
        <v>0</v>
      </c>
      <c r="CL262" s="1277">
        <f>+X262*KeyAssumptionsPriceControl_FO!AM$15</f>
        <v>0</v>
      </c>
      <c r="CM262" s="1277">
        <f>+Y262*KeyAssumptionsPriceControl_FO!AN$15</f>
        <v>0</v>
      </c>
      <c r="CN262" s="388">
        <f>+Z262*KeyAssumptionsPriceControl_FO!AO$15</f>
        <v>0</v>
      </c>
      <c r="CO262" s="1025"/>
      <c r="CP262" s="1282">
        <f t="shared" ca="1" si="477"/>
        <v>0</v>
      </c>
      <c r="CQ262" s="387">
        <f t="shared" ca="1" si="478"/>
        <v>0</v>
      </c>
      <c r="CR262" s="387">
        <f t="shared" ca="1" si="479"/>
        <v>0</v>
      </c>
      <c r="CS262" s="387">
        <f t="shared" ca="1" si="480"/>
        <v>0</v>
      </c>
      <c r="CT262" s="1283">
        <f t="shared" ca="1" si="481"/>
        <v>0</v>
      </c>
      <c r="CU262" s="386">
        <f t="shared" ca="1" si="482"/>
        <v>0</v>
      </c>
      <c r="CV262" s="387">
        <f t="shared" ca="1" si="483"/>
        <v>0</v>
      </c>
      <c r="CW262" s="1277">
        <f t="shared" ca="1" si="484"/>
        <v>0</v>
      </c>
      <c r="CX262" s="1277">
        <f t="shared" ca="1" si="485"/>
        <v>0</v>
      </c>
      <c r="CY262" s="388">
        <f t="shared" ca="1" si="486"/>
        <v>0</v>
      </c>
      <c r="CZ262" s="347"/>
      <c r="DA262" s="852"/>
      <c r="DB262" s="347"/>
      <c r="DC262" s="1012" t="s">
        <v>558</v>
      </c>
      <c r="DD262" s="841" t="s">
        <v>518</v>
      </c>
      <c r="DE262" s="386">
        <f>+IF($K262="ongoing",CE262,IF(RIGHT($K262,2)=RIGHT(DE$43,2),SUM($CD262:CE262),0)+IF(RIGHT(DE$43,2)&gt;RIGHT($K262,2),CE262,0))</f>
        <v>0</v>
      </c>
      <c r="DF262" s="387">
        <f>+IF($K262="ongoing",CF262,IF(RIGHT($K262,2)=RIGHT(DF$43,2),SUM($CD262:CF262),0)+IF(RIGHT(DF$43,2)&gt;RIGHT($K262,2),CF262,0))</f>
        <v>0</v>
      </c>
      <c r="DG262" s="388">
        <f>+IF($K262="ongoing",CG262,IF(RIGHT($K262,2)=RIGHT(DG$43,2),SUM($CD262:CG262),0)+IF(RIGHT(DG$43,2)&gt;RIGHT($K262,2),CG262,0))</f>
        <v>0</v>
      </c>
      <c r="DH262" s="386">
        <f>+IF($K262="ongoing",CH262,IF(RIGHT($K262,2)=RIGHT(DH$43,2),SUM($CD262:CH262),0)+IF(RIGHT(DH$43,2)&gt;RIGHT($K262,2),CH262,0))</f>
        <v>0</v>
      </c>
      <c r="DI262" s="387">
        <f>+IF($K262="ongoing",CI262,IF(RIGHT($K262,2)=RIGHT(DI$43,2),SUM($CD262:CI262),0)+IF(RIGHT(DI$43,2)&gt;RIGHT($K262,2),CI262,0))</f>
        <v>0</v>
      </c>
      <c r="DJ262" s="387">
        <f>+IF($K262="ongoing",CJ262,IF(RIGHT($K262,2)=RIGHT(DJ$43,2),SUM($CD262:CJ262),0)+IF(RIGHT(DJ$43,2)&gt;RIGHT($K262,2),CJ262,0))</f>
        <v>0</v>
      </c>
      <c r="DK262" s="387">
        <f>+IF($K262="ongoing",CK262,IF(RIGHT($K262,2)=RIGHT(DK$43,2),SUM($CD262:CK262),0)+IF(RIGHT(DK$43,2)&gt;RIGHT($K262,2),CK262,0))</f>
        <v>0</v>
      </c>
      <c r="DL262" s="388">
        <f>+IF($K262="ongoing",CN262,IF(RIGHT($K262,2)=RIGHT(DL$43,2),SUM($CD262:CN262),0)+IF(RIGHT(DL$43,2)&gt;RIGHT($K262,2),CN262,0))</f>
        <v>0</v>
      </c>
      <c r="DM262" s="841"/>
      <c r="DN262" s="386">
        <f t="shared" si="487"/>
        <v>0.5</v>
      </c>
      <c r="DO262" s="387">
        <f t="shared" si="488"/>
        <v>1</v>
      </c>
      <c r="DP262" s="388">
        <f t="shared" si="489"/>
        <v>1</v>
      </c>
      <c r="DQ262" s="386">
        <f t="shared" si="490"/>
        <v>1</v>
      </c>
      <c r="DR262" s="387">
        <f t="shared" si="491"/>
        <v>1</v>
      </c>
      <c r="DS262" s="387">
        <f t="shared" si="492"/>
        <v>1</v>
      </c>
      <c r="DT262" s="387">
        <f t="shared" si="493"/>
        <v>1</v>
      </c>
      <c r="DU262" s="388">
        <f t="shared" si="494"/>
        <v>1</v>
      </c>
      <c r="DW262" s="386">
        <f t="shared" si="495"/>
        <v>0</v>
      </c>
      <c r="DX262" s="387">
        <f t="shared" si="496"/>
        <v>0.5</v>
      </c>
      <c r="DY262" s="388">
        <f t="shared" si="497"/>
        <v>1</v>
      </c>
      <c r="DZ262" s="386">
        <f t="shared" si="498"/>
        <v>1</v>
      </c>
      <c r="EA262" s="387">
        <f t="shared" si="499"/>
        <v>1</v>
      </c>
      <c r="EB262" s="387">
        <f t="shared" si="500"/>
        <v>1</v>
      </c>
      <c r="EC262" s="387">
        <f t="shared" si="501"/>
        <v>1</v>
      </c>
      <c r="ED262" s="388">
        <f t="shared" si="502"/>
        <v>1</v>
      </c>
      <c r="EF262" s="834">
        <f>+IF(DN262=DM262,0,
IF(AND(EF$44&gt;1,DN262=$N262),1-SUM($EE262:EE262),
IF($N262&lt;=1,
IF($N262&gt;0,1/$N262,0),
IF(EF$44=1,0,VDB(1,0,$N262,INT(EF$44-1-1),MIN($N262,INT(EF$44-1-1)+1),$DC262,IF($DD262="No",1,0))/
IF(DM262&gt;=INT($N262),$N262-INT($N262),1)))*
IF(EF$44=1,0,
IF(INT(DN262)=INT(DM262),DN262-DM262,INT(DN262)-DM262))+
IF($N262&lt;=1,
IF($N262&gt;0,1/$N262,0),VDB(1,0,$N262,INT(EF$44-1),MIN($N262,INT(EF$44-1)+1),$DC262,IF($DD262="No",1,0))/
IF(DN262&gt;INT($N262),$N262-INT($N262),1))*
IF(EF$44=1,DN262,
IF(INT(DN262)=INT(DM262),0,DN262-INT(DN262)))))</f>
        <v>0</v>
      </c>
      <c r="EG262" s="835">
        <f>+IF(DO262=DN262,0,
IF(AND(EG$44&gt;1,DO262=$N262),1-SUM($EE262:EF262),
IF($N262&lt;=1,
IF($N262&gt;0,1/$N262,0),
IF(EG$44=1,0,VDB(1,0,$N262,INT(EG$44-1-1),MIN($N262,INT(EG$44-1-1)+1),$DC262,IF($DD262="No",1,0))/
IF(DN262&gt;=INT($N262),$N262-INT($N262),1)))*
IF(EG$44=1,0,
IF(INT(DO262)=INT(DN262),DO262-DN262,INT(DO262)-DN262))+
IF($N262&lt;=1,
IF($N262&gt;0,1/$N262,0),VDB(1,0,$N262,INT(EG$44-1),MIN($N262,INT(EG$44-1)+1),$DC262,IF($DD262="No",1,0))/
IF(DO262&gt;INT($N262),$N262-INT($N262),1))*
IF(EG$44=1,DO262,
IF(INT(DO262)=INT(DN262),0,DO262-INT(DO262)))))</f>
        <v>0</v>
      </c>
      <c r="EH262" s="836">
        <f>+IF(DP262=DO262,0,
IF(AND(EH$44&gt;1,DP262=$N262),1-SUM($EE262:EG262),
IF($N262&lt;=1,
IF($N262&gt;0,1/$N262,0),
IF(EH$44=1,0,VDB(1,0,$N262,INT(EH$44-1-1),MIN($N262,INT(EH$44-1-1)+1),$DC262,IF($DD262="No",1,0))/
IF(DO262&gt;=INT($N262),$N262-INT($N262),1)))*
IF(EH$44=1,0,
IF(INT(DP262)=INT(DO262),DP262-DO262,INT(DP262)-DO262))+
IF($N262&lt;=1,
IF($N262&gt;0,1/$N262,0),VDB(1,0,$N262,INT(EH$44-1),MIN($N262,INT(EH$44-1)+1),$DC262,IF($DD262="No",1,0))/
IF(DP262&gt;INT($N262),$N262-INT($N262),1))*
IF(EH$44=1,DP262,
IF(INT(DP262)=INT(DO262),0,DP262-INT(DP262)))))</f>
        <v>0</v>
      </c>
      <c r="EI262" s="834">
        <f>+IF(DQ262=DP262,0,
IF(AND(EI$44&gt;1,DQ262=$N262),1-SUM($EE262:EH262),
IF($N262&lt;=1,
IF($N262&gt;0,1/$N262,0),
IF(EI$44=1,0,VDB(1,0,$N262,INT(EI$44-1-1),MIN($N262,INT(EI$44-1-1)+1),$DC262,IF($DD262="No",1,0))/
IF(DP262&gt;=INT($N262),$N262-INT($N262),1)))*
IF(EI$44=1,0,
IF(INT(DQ262)=INT(DP262),DQ262-DP262,INT(DQ262)-DP262))+
IF($N262&lt;=1,
IF($N262&gt;0,1/$N262,0),VDB(1,0,$N262,INT(EI$44-1),MIN($N262,INT(EI$44-1)+1),$DC262,IF($DD262="No",1,0))/
IF(DQ262&gt;INT($N262),$N262-INT($N262),1))*
IF(EI$44=1,DQ262,
IF(INT(DQ262)=INT(DP262),0,DQ262-INT(DQ262)))))</f>
        <v>0</v>
      </c>
      <c r="EJ262" s="835">
        <f>+IF(DR262=DQ262,0,
IF(AND(EJ$44&gt;1,DR262=$N262),1-SUM($EE262:EI262),
IF($N262&lt;=1,
IF($N262&gt;0,1/$N262,0),
IF(EJ$44=1,0,VDB(1,0,$N262,INT(EJ$44-1-1),MIN($N262,INT(EJ$44-1-1)+1),$DC262,IF($DD262="No",1,0))/
IF(DQ262&gt;=INT($N262),$N262-INT($N262),1)))*
IF(EJ$44=1,0,
IF(INT(DR262)=INT(DQ262),DR262-DQ262,INT(DR262)-DQ262))+
IF($N262&lt;=1,
IF($N262&gt;0,1/$N262,0),VDB(1,0,$N262,INT(EJ$44-1),MIN($N262,INT(EJ$44-1)+1),$DC262,IF($DD262="No",1,0))/
IF(DR262&gt;INT($N262),$N262-INT($N262),1))*
IF(EJ$44=1,DR262,
IF(INT(DR262)=INT(DQ262),0,DR262-INT(DR262)))))</f>
        <v>0</v>
      </c>
      <c r="EK262" s="835">
        <f>+IF(DS262=DR262,0,
IF(AND(EK$44&gt;1,DS262=$N262),1-SUM($EE262:EJ262),
IF($N262&lt;=1,
IF($N262&gt;0,1/$N262,0),
IF(EK$44=1,0,VDB(1,0,$N262,INT(EK$44-1-1),MIN($N262,INT(EK$44-1-1)+1),$DC262,IF($DD262="No",1,0))/
IF(DR262&gt;=INT($N262),$N262-INT($N262),1)))*
IF(EK$44=1,0,
IF(INT(DS262)=INT(DR262),DS262-DR262,INT(DS262)-DR262))+
IF($N262&lt;=1,
IF($N262&gt;0,1/$N262,0),VDB(1,0,$N262,INT(EK$44-1),MIN($N262,INT(EK$44-1)+1),$DC262,IF($DD262="No",1,0))/
IF(DS262&gt;INT($N262),$N262-INT($N262),1))*
IF(EK$44=1,DS262,
IF(INT(DS262)=INT(DR262),0,DS262-INT(DS262)))))</f>
        <v>0</v>
      </c>
      <c r="EL262" s="835">
        <f>+IF(DT262=DS262,0,
IF(AND(EL$44&gt;1,DT262=$N262),1-SUM($EE262:EK262),
IF($N262&lt;=1,
IF($N262&gt;0,1/$N262,0),
IF(EL$44=1,0,VDB(1,0,$N262,INT(EL$44-1-1),MIN($N262,INT(EL$44-1-1)+1),$DC262,IF($DD262="No",1,0))/
IF(DS262&gt;=INT($N262),$N262-INT($N262),1)))*
IF(EL$44=1,0,
IF(INT(DT262)=INT(DS262),DT262-DS262,INT(DT262)-DS262))+
IF($N262&lt;=1,
IF($N262&gt;0,1/$N262,0),VDB(1,0,$N262,INT(EL$44-1),MIN($N262,INT(EL$44-1)+1),$DC262,IF($DD262="No",1,0))/
IF(DT262&gt;INT($N262),$N262-INT($N262),1))*
IF(EL$44=1,DT262,
IF(INT(DT262)=INT(DS262),0,DT262-INT(DT262)))))</f>
        <v>0</v>
      </c>
      <c r="EM262" s="836">
        <f>+IF(DU262=DT262,0,
IF(AND(EM$44&gt;1,DU262=$N262),1-SUM($EE262:EL262),
IF($N262&lt;=1,
IF($N262&gt;0,1/$N262,0),
IF(EM$44=1,0,VDB(1,0,$N262,INT(EM$44-1-1),MIN($N262,INT(EM$44-1-1)+1),$DC262,IF($DD262="No",1,0))/
IF(DT262&gt;=INT($N262),$N262-INT($N262),1)))*
IF(EM$44=1,0,
IF(INT(DU262)=INT(DT262),DU262-DT262,INT(DU262)-DT262))+
IF($N262&lt;=1,
IF($N262&gt;0,1/$N262,0),VDB(1,0,$N262,INT(EM$44-1),MIN($N262,INT(EM$44-1)+1),$DC262,IF($DD262="No",1,0))/
IF(DU262&gt;INT($N262),$N262-INT($N262),1))*
IF(EM$44=1,DU262,
IF(INT(DU262)=INT(DT262),0,DU262-INT(DU262)))))</f>
        <v>0</v>
      </c>
      <c r="EN262" s="833"/>
      <c r="EO262" s="834">
        <f>+IF(OR(DW262=DV262,EO$44=1),0,
IF(AND(EO$44&gt;1,DW262=$N262),1-SUM($EN262:EN262),
IF($N262&lt;=1,
IF($N262&gt;0,1/$N262,0),
IF(EO$44=2,0,VDB(1,0,$N262,INT(EO$44-2-1),MIN($N262,INT(EO$44-2-1)+1),$DC262,IF($DD262="No",1,0))/
IF(DV262&gt;=INT($N262),$N262-INT($N262),1)))*
IF(EO$44=2,0,
IF(INT(DW262)=INT(DV262),DW262-DV262,INT(DW262)-DV262))+
IF($N262&lt;=1,
IF($N262&gt;0,1/$N262,0),VDB(1,0,$N262,INT(EO$44-2),MIN($N262,INT(EO$44-2)+1),$DC262,IF($DD262="No",1,0))/
IF(DW262&gt;INT($N262),$N262-INT($N262),1))*
IF(EO$44=2,DW262,
IF(INT(DW262)=INT(DV262),0,DW262-INT(DW262)))))</f>
        <v>0</v>
      </c>
      <c r="EP262" s="835">
        <f>+IF(OR(DX262=DW262,EP$44=1),0,
IF(AND(EP$44&gt;1,DX262=$N262),1-SUM($EN262:EO262),
IF($N262&lt;=1,
IF($N262&gt;0,1/$N262,0),
IF(EP$44=2,0,VDB(1,0,$N262,INT(EP$44-2-1),MIN($N262,INT(EP$44-2-1)+1),$DC262,IF($DD262="No",1,0))/
IF(DW262&gt;=INT($N262),$N262-INT($N262),1)))*
IF(EP$44=2,0,
IF(INT(DX262)=INT(DW262),DX262-DW262,INT(DX262)-DW262))+
IF($N262&lt;=1,
IF($N262&gt;0,1/$N262,0),VDB(1,0,$N262,INT(EP$44-2),MIN($N262,INT(EP$44-2)+1),$DC262,IF($DD262="No",1,0))/
IF(DX262&gt;INT($N262),$N262-INT($N262),1))*
IF(EP$44=2,DX262,
IF(INT(DX262)=INT(DW262),0,DX262-INT(DX262)))))</f>
        <v>0</v>
      </c>
      <c r="EQ262" s="836">
        <f>+IF(OR(DY262=DX262,EQ$44=1),0,
IF(AND(EQ$44&gt;1,DY262=$N262),1-SUM($EN262:EP262),
IF($N262&lt;=1,
IF($N262&gt;0,1/$N262,0),
IF(EQ$44=2,0,VDB(1,0,$N262,INT(EQ$44-2-1),MIN($N262,INT(EQ$44-2-1)+1),$DC262,IF($DD262="No",1,0))/
IF(DX262&gt;=INT($N262),$N262-INT($N262),1)))*
IF(EQ$44=2,0,
IF(INT(DY262)=INT(DX262),DY262-DX262,INT(DY262)-DX262))+
IF($N262&lt;=1,
IF($N262&gt;0,1/$N262,0),VDB(1,0,$N262,INT(EQ$44-2),MIN($N262,INT(EQ$44-2)+1),$DC262,IF($DD262="No",1,0))/
IF(DY262&gt;INT($N262),$N262-INT($N262),1))*
IF(EQ$44=2,DY262,
IF(INT(DY262)=INT(DX262),0,DY262-INT(DY262)))))</f>
        <v>0</v>
      </c>
      <c r="ER262" s="834">
        <f>+IF(OR(DZ262=DY262,ER$44=1),0,
IF(AND(ER$44&gt;1,DZ262=$N262),1-SUM($EN262:EQ262),
IF($N262&lt;=1,
IF($N262&gt;0,1/$N262,0),
IF(ER$44=2,0,VDB(1,0,$N262,INT(ER$44-2-1),MIN($N262,INT(ER$44-2-1)+1),$DC262,IF($DD262="No",1,0))/
IF(DY262&gt;=INT($N262),$N262-INT($N262),1)))*
IF(ER$44=2,0,
IF(INT(DZ262)=INT(DY262),DZ262-DY262,INT(DZ262)-DY262))+
IF($N262&lt;=1,
IF($N262&gt;0,1/$N262,0),VDB(1,0,$N262,INT(ER$44-2),MIN($N262,INT(ER$44-2)+1),$DC262,IF($DD262="No",1,0))/
IF(DZ262&gt;INT($N262),$N262-INT($N262),1))*
IF(ER$44=2,DZ262,
IF(INT(DZ262)=INT(DY262),0,DZ262-INT(DZ262)))))</f>
        <v>0</v>
      </c>
      <c r="ES262" s="835">
        <f>+IF(OR(EA262=DZ262,ES$44=1),0,
IF(AND(ES$44&gt;1,EA262=$N262),1-SUM($EN262:ER262),
IF($N262&lt;=1,
IF($N262&gt;0,1/$N262,0),
IF(ES$44=2,0,VDB(1,0,$N262,INT(ES$44-2-1),MIN($N262,INT(ES$44-2-1)+1),$DC262,IF($DD262="No",1,0))/
IF(DZ262&gt;=INT($N262),$N262-INT($N262),1)))*
IF(ES$44=2,0,
IF(INT(EA262)=INT(DZ262),EA262-DZ262,INT(EA262)-DZ262))+
IF($N262&lt;=1,
IF($N262&gt;0,1/$N262,0),VDB(1,0,$N262,INT(ES$44-2),MIN($N262,INT(ES$44-2)+1),$DC262,IF($DD262="No",1,0))/
IF(EA262&gt;INT($N262),$N262-INT($N262),1))*
IF(ES$44=2,EA262,
IF(INT(EA262)=INT(DZ262),0,EA262-INT(EA262)))))</f>
        <v>0</v>
      </c>
      <c r="ET262" s="835">
        <f>+IF(OR(EB262=EA262,ET$44=1),0,
IF(AND(ET$44&gt;1,EB262=$N262),1-SUM($EN262:ES262),
IF($N262&lt;=1,
IF($N262&gt;0,1/$N262,0),
IF(ET$44=2,0,VDB(1,0,$N262,INT(ET$44-2-1),MIN($N262,INT(ET$44-2-1)+1),$DC262,IF($DD262="No",1,0))/
IF(EA262&gt;=INT($N262),$N262-INT($N262),1)))*
IF(ET$44=2,0,
IF(INT(EB262)=INT(EA262),EB262-EA262,INT(EB262)-EA262))+
IF($N262&lt;=1,
IF($N262&gt;0,1/$N262,0),VDB(1,0,$N262,INT(ET$44-2),MIN($N262,INT(ET$44-2)+1),$DC262,IF($DD262="No",1,0))/
IF(EB262&gt;INT($N262),$N262-INT($N262),1))*
IF(ET$44=2,EB262,
IF(INT(EB262)=INT(EA262),0,EB262-INT(EB262)))))</f>
        <v>0</v>
      </c>
      <c r="EU262" s="835">
        <f>+IF(OR(EC262=EB262,EU$44=1),0,
IF(AND(EU$44&gt;1,EC262=$N262),1-SUM($EN262:ET262),
IF($N262&lt;=1,
IF($N262&gt;0,1/$N262,0),
IF(EU$44=2,0,VDB(1,0,$N262,INT(EU$44-2-1),MIN($N262,INT(EU$44-2-1)+1),$DC262,IF($DD262="No",1,0))/
IF(EB262&gt;=INT($N262),$N262-INT($N262),1)))*
IF(EU$44=2,0,
IF(INT(EC262)=INT(EB262),EC262-EB262,INT(EC262)-EB262))+
IF($N262&lt;=1,
IF($N262&gt;0,1/$N262,0),VDB(1,0,$N262,INT(EU$44-2),MIN($N262,INT(EU$44-2)+1),$DC262,IF($DD262="No",1,0))/
IF(EC262&gt;INT($N262),$N262-INT($N262),1))*
IF(EU$44=2,EC262,
IF(INT(EC262)=INT(EB262),0,EC262-INT(EC262)))))</f>
        <v>0</v>
      </c>
      <c r="EV262" s="836">
        <f>+IF(OR(ED262=EC262,EV$44=1),0,
IF(AND(EV$44&gt;1,ED262=$N262),1-SUM($EN262:EU262),
IF($N262&lt;=1,
IF($N262&gt;0,1/$N262,0),
IF(EV$44=2,0,VDB(1,0,$N262,INT(EV$44-2-1),MIN($N262,INT(EV$44-2-1)+1),$DC262,IF($DD262="No",1,0))/
IF(EC262&gt;=INT($N262),$N262-INT($N262),1)))*
IF(EV$44=2,0,
IF(INT(ED262)=INT(EC262),ED262-EC262,INT(ED262)-EC262))+
IF($N262&lt;=1,
IF($N262&gt;0,1/$N262,0),VDB(1,0,$N262,INT(EV$44-2),MIN($N262,INT(EV$44-2)+1),$DC262,IF($DD262="No",1,0))/
IF(ED262&gt;INT($N262),$N262-INT($N262),1))*
IF(EV$44=2,ED262,
IF(INT(ED262)=INT(EC262),0,ED262-INT(ED262)))))</f>
        <v>0</v>
      </c>
      <c r="EW262" s="833"/>
      <c r="EX262" s="834">
        <f t="shared" ca="1" si="503"/>
        <v>0</v>
      </c>
      <c r="EY262" s="835">
        <f t="shared" ca="1" si="503"/>
        <v>0</v>
      </c>
      <c r="EZ262" s="836">
        <f t="shared" ca="1" si="503"/>
        <v>0</v>
      </c>
      <c r="FA262" s="834">
        <f t="shared" ca="1" si="503"/>
        <v>0</v>
      </c>
      <c r="FB262" s="835">
        <f t="shared" ca="1" si="503"/>
        <v>0</v>
      </c>
      <c r="FC262" s="835">
        <f t="shared" ca="1" si="503"/>
        <v>0</v>
      </c>
      <c r="FD262" s="835">
        <f t="shared" ca="1" si="503"/>
        <v>0</v>
      </c>
      <c r="FE262" s="836">
        <f t="shared" ca="1" si="503"/>
        <v>0</v>
      </c>
      <c r="FG262" s="386">
        <f t="shared" ca="1" si="504"/>
        <v>0</v>
      </c>
      <c r="FH262" s="387">
        <f t="shared" ca="1" si="505"/>
        <v>0</v>
      </c>
      <c r="FI262" s="388">
        <f t="shared" ca="1" si="506"/>
        <v>0</v>
      </c>
      <c r="FJ262" s="386">
        <f t="shared" ca="1" si="507"/>
        <v>0</v>
      </c>
      <c r="FK262" s="387">
        <f t="shared" ca="1" si="508"/>
        <v>0</v>
      </c>
      <c r="FL262" s="387">
        <f t="shared" ca="1" si="509"/>
        <v>0</v>
      </c>
      <c r="FM262" s="387">
        <f t="shared" ca="1" si="510"/>
        <v>0</v>
      </c>
      <c r="FN262" s="388">
        <f t="shared" ca="1" si="511"/>
        <v>0</v>
      </c>
      <c r="FR262" s="116"/>
    </row>
    <row r="263" spans="2:174">
      <c r="B263" s="1410">
        <f t="shared" si="512"/>
        <v>217</v>
      </c>
      <c r="C263" s="400"/>
      <c r="D263" s="410"/>
      <c r="E263" s="402"/>
      <c r="F263" s="402"/>
      <c r="G263" s="400"/>
      <c r="H263" s="2088"/>
      <c r="I263" s="2089"/>
      <c r="J263" s="411"/>
      <c r="K263" s="403"/>
      <c r="L263" s="403"/>
      <c r="M263" s="403"/>
      <c r="N263" s="403"/>
      <c r="O263" s="347"/>
      <c r="P263" s="347"/>
      <c r="Q263" s="1021"/>
      <c r="R263" s="1022"/>
      <c r="S263" s="1022"/>
      <c r="T263" s="1022"/>
      <c r="U263" s="1023"/>
      <c r="V263" s="1021"/>
      <c r="W263" s="1022"/>
      <c r="X263" s="1022"/>
      <c r="Y263" s="1022"/>
      <c r="Z263" s="1023"/>
      <c r="AA263" s="1024"/>
      <c r="AB263" s="1021"/>
      <c r="AC263" s="1022"/>
      <c r="AD263" s="1022"/>
      <c r="AE263" s="1022"/>
      <c r="AF263" s="1023"/>
      <c r="AG263" s="1021"/>
      <c r="AH263" s="1022"/>
      <c r="AI263" s="1022"/>
      <c r="AJ263" s="1022"/>
      <c r="AK263" s="1023"/>
      <c r="AL263" s="1024"/>
      <c r="AM263" s="1021"/>
      <c r="AN263" s="1022"/>
      <c r="AO263" s="1022"/>
      <c r="AP263" s="1022"/>
      <c r="AQ263" s="1023"/>
      <c r="AR263" s="1021"/>
      <c r="AS263" s="1022"/>
      <c r="AT263" s="1022"/>
      <c r="AU263" s="1022"/>
      <c r="AV263" s="1023"/>
      <c r="AW263" s="1025"/>
      <c r="AX263" s="1282">
        <f t="shared" si="457"/>
        <v>0</v>
      </c>
      <c r="AY263" s="387">
        <f t="shared" si="458"/>
        <v>0</v>
      </c>
      <c r="AZ263" s="387">
        <f t="shared" si="459"/>
        <v>0</v>
      </c>
      <c r="BA263" s="387">
        <f t="shared" si="460"/>
        <v>0</v>
      </c>
      <c r="BB263" s="1283">
        <f t="shared" si="461"/>
        <v>0</v>
      </c>
      <c r="BC263" s="386">
        <f t="shared" si="462"/>
        <v>0</v>
      </c>
      <c r="BD263" s="387">
        <f t="shared" si="463"/>
        <v>0</v>
      </c>
      <c r="BE263" s="1277">
        <f t="shared" si="464"/>
        <v>0</v>
      </c>
      <c r="BF263" s="1277">
        <f t="shared" si="465"/>
        <v>0</v>
      </c>
      <c r="BG263" s="388">
        <f t="shared" si="466"/>
        <v>0</v>
      </c>
      <c r="BH263" s="1025"/>
      <c r="BI263" s="1282">
        <f t="shared" ca="1" si="467"/>
        <v>0</v>
      </c>
      <c r="BJ263" s="387">
        <f t="shared" ca="1" si="468"/>
        <v>0</v>
      </c>
      <c r="BK263" s="387">
        <f t="shared" ca="1" si="469"/>
        <v>0</v>
      </c>
      <c r="BL263" s="387">
        <f t="shared" ca="1" si="470"/>
        <v>0</v>
      </c>
      <c r="BM263" s="1283">
        <f t="shared" ca="1" si="471"/>
        <v>0</v>
      </c>
      <c r="BN263" s="386">
        <f t="shared" ca="1" si="472"/>
        <v>0</v>
      </c>
      <c r="BO263" s="387">
        <f t="shared" ca="1" si="473"/>
        <v>0</v>
      </c>
      <c r="BP263" s="1277">
        <f t="shared" ca="1" si="474"/>
        <v>0</v>
      </c>
      <c r="BQ263" s="1277">
        <f t="shared" ca="1" si="475"/>
        <v>0</v>
      </c>
      <c r="BR263" s="388">
        <f t="shared" ca="1" si="476"/>
        <v>0</v>
      </c>
      <c r="BS263" s="1025"/>
      <c r="BT263" s="1282">
        <f>+IF($K263="Ongoing",AX263,IF(RIGHT($K263,2)=RIGHT(BT$43,2),SUM($AX263:AX263),0)+IF(RIGHT(BT$43,2)&gt;RIGHT($K263,2),AX263,0))</f>
        <v>0</v>
      </c>
      <c r="BU263" s="387">
        <f>+IF($K263="Ongoing",AY263,IF(RIGHT($K263,2)=RIGHT(BU$43,2),SUM($AX263:AY263),0)+IF(RIGHT(BU$43,2)&gt;RIGHT($K263,2),AY263,0))</f>
        <v>0</v>
      </c>
      <c r="BV263" s="387">
        <f>+IF($K263="Ongoing",AZ263,IF(RIGHT($K263,2)=RIGHT(BV$43,2),SUM($AX263:AZ263),0)+IF(RIGHT(BV$43,2)&gt;RIGHT($K263,2),AZ263,0))</f>
        <v>0</v>
      </c>
      <c r="BW263" s="387">
        <f>+IF($K263="Ongoing",BA263,IF(RIGHT($K263,2)=RIGHT(BW$43,2),SUM($AX263:BA263),0)+IF(RIGHT(BW$43,2)&gt;RIGHT($K263,2),BA263,0))</f>
        <v>0</v>
      </c>
      <c r="BX263" s="1283">
        <f>+IF($K263="Ongoing",BB263,IF(RIGHT($K263,2)=RIGHT(BX$43,2),SUM($AX263:BB263),0)+IF(RIGHT(BX$43,2)&gt;RIGHT($K263,2),BB263,0))</f>
        <v>0</v>
      </c>
      <c r="BY263" s="386">
        <f>+IF($K263="Ongoing",BC263,IF(RIGHT($K263,2)=RIGHT(BY$43,2),SUM($AX263:BC263),0)+IF(RIGHT(BY$43,2)&gt;RIGHT($K263,2),BC263,0))</f>
        <v>0</v>
      </c>
      <c r="BZ263" s="387">
        <f>+IF($K263="Ongoing",BD263,IF(RIGHT($K263,2)=RIGHT(BZ$43,2),SUM($AX263:BD263),0)+IF(RIGHT(BZ$43,2)&gt;RIGHT($K263,2),BD263,0))</f>
        <v>0</v>
      </c>
      <c r="CA263" s="1277">
        <f>+IF($K263="Ongoing",BE263,IF(RIGHT($K263,2)=RIGHT(CA$43,2),SUM($AX263:BE263),0)+IF(RIGHT(CA$43,2)&gt;RIGHT($K263,2),BE263,0))</f>
        <v>0</v>
      </c>
      <c r="CB263" s="1277">
        <f>+IF($K263="Ongoing",BF263,IF(RIGHT($K263,2)=RIGHT(CB$43,2),SUM($AX263:BF263),0)+IF(RIGHT(CB$43,2)&gt;RIGHT($K263,2),BF263,0))</f>
        <v>0</v>
      </c>
      <c r="CC263" s="388">
        <f>+IF($K263="Ongoing",BG263,IF(RIGHT($K263,2)=RIGHT(CC$43,2),SUM($AX263:BG263),0)+IF(RIGHT(CC$43,2)&gt;RIGHT($K263,2),BG263,0))</f>
        <v>0</v>
      </c>
      <c r="CD263" s="1025"/>
      <c r="CE263" s="1282">
        <f>+Q263*KeyAssumptionsPriceControl_FO!AF$15</f>
        <v>0</v>
      </c>
      <c r="CF263" s="387">
        <f>+R263*KeyAssumptionsPriceControl_FO!AG$15</f>
        <v>0</v>
      </c>
      <c r="CG263" s="387">
        <f>+S263*KeyAssumptionsPriceControl_FO!AH$15</f>
        <v>0</v>
      </c>
      <c r="CH263" s="387">
        <f>+T263*KeyAssumptionsPriceControl_FO!AI$15</f>
        <v>0</v>
      </c>
      <c r="CI263" s="1283">
        <f>+U263*KeyAssumptionsPriceControl_FO!AJ$15</f>
        <v>0</v>
      </c>
      <c r="CJ263" s="386">
        <f>+V263*KeyAssumptionsPriceControl_FO!AK$15</f>
        <v>0</v>
      </c>
      <c r="CK263" s="387">
        <f>+W263*KeyAssumptionsPriceControl_FO!AL$15</f>
        <v>0</v>
      </c>
      <c r="CL263" s="1277">
        <f>+X263*KeyAssumptionsPriceControl_FO!AM$15</f>
        <v>0</v>
      </c>
      <c r="CM263" s="1277">
        <f>+Y263*KeyAssumptionsPriceControl_FO!AN$15</f>
        <v>0</v>
      </c>
      <c r="CN263" s="388">
        <f>+Z263*KeyAssumptionsPriceControl_FO!AO$15</f>
        <v>0</v>
      </c>
      <c r="CO263" s="1025"/>
      <c r="CP263" s="1282">
        <f t="shared" ca="1" si="477"/>
        <v>0</v>
      </c>
      <c r="CQ263" s="387">
        <f t="shared" ca="1" si="478"/>
        <v>0</v>
      </c>
      <c r="CR263" s="387">
        <f t="shared" ca="1" si="479"/>
        <v>0</v>
      </c>
      <c r="CS263" s="387">
        <f t="shared" ca="1" si="480"/>
        <v>0</v>
      </c>
      <c r="CT263" s="1283">
        <f t="shared" ca="1" si="481"/>
        <v>0</v>
      </c>
      <c r="CU263" s="386">
        <f t="shared" ca="1" si="482"/>
        <v>0</v>
      </c>
      <c r="CV263" s="387">
        <f t="shared" ca="1" si="483"/>
        <v>0</v>
      </c>
      <c r="CW263" s="1277">
        <f t="shared" ca="1" si="484"/>
        <v>0</v>
      </c>
      <c r="CX263" s="1277">
        <f t="shared" ca="1" si="485"/>
        <v>0</v>
      </c>
      <c r="CY263" s="388">
        <f t="shared" ca="1" si="486"/>
        <v>0</v>
      </c>
      <c r="CZ263" s="347"/>
      <c r="DA263" s="852"/>
      <c r="DB263" s="347"/>
      <c r="DC263" s="1012" t="s">
        <v>559</v>
      </c>
      <c r="DD263" s="841" t="s">
        <v>518</v>
      </c>
      <c r="DE263" s="386">
        <f>+IF($K263="ongoing",CE263,IF(RIGHT($K263,2)=RIGHT(DE$43,2),SUM($CD263:CE263),0)+IF(RIGHT(DE$43,2)&gt;RIGHT($K263,2),CE263,0))</f>
        <v>0</v>
      </c>
      <c r="DF263" s="387">
        <f>+IF($K263="ongoing",CF263,IF(RIGHT($K263,2)=RIGHT(DF$43,2),SUM($CD263:CF263),0)+IF(RIGHT(DF$43,2)&gt;RIGHT($K263,2),CF263,0))</f>
        <v>0</v>
      </c>
      <c r="DG263" s="388">
        <f>+IF($K263="ongoing",CG263,IF(RIGHT($K263,2)=RIGHT(DG$43,2),SUM($CD263:CG263),0)+IF(RIGHT(DG$43,2)&gt;RIGHT($K263,2),CG263,0))</f>
        <v>0</v>
      </c>
      <c r="DH263" s="386">
        <f>+IF($K263="ongoing",CH263,IF(RIGHT($K263,2)=RIGHT(DH$43,2),SUM($CD263:CH263),0)+IF(RIGHT(DH$43,2)&gt;RIGHT($K263,2),CH263,0))</f>
        <v>0</v>
      </c>
      <c r="DI263" s="387">
        <f>+IF($K263="ongoing",CI263,IF(RIGHT($K263,2)=RIGHT(DI$43,2),SUM($CD263:CI263),0)+IF(RIGHT(DI$43,2)&gt;RIGHT($K263,2),CI263,0))</f>
        <v>0</v>
      </c>
      <c r="DJ263" s="387">
        <f>+IF($K263="ongoing",CJ263,IF(RIGHT($K263,2)=RIGHT(DJ$43,2),SUM($CD263:CJ263),0)+IF(RIGHT(DJ$43,2)&gt;RIGHT($K263,2),CJ263,0))</f>
        <v>0</v>
      </c>
      <c r="DK263" s="387">
        <f>+IF($K263="ongoing",CK263,IF(RIGHT($K263,2)=RIGHT(DK$43,2),SUM($CD263:CK263),0)+IF(RIGHT(DK$43,2)&gt;RIGHT($K263,2),CK263,0))</f>
        <v>0</v>
      </c>
      <c r="DL263" s="388">
        <f>+IF($K263="ongoing",CN263,IF(RIGHT($K263,2)=RIGHT(DL$43,2),SUM($CD263:CN263),0)+IF(RIGHT(DL$43,2)&gt;RIGHT($K263,2),CN263,0))</f>
        <v>0</v>
      </c>
      <c r="DM263" s="841"/>
      <c r="DN263" s="386">
        <f t="shared" si="487"/>
        <v>0.5</v>
      </c>
      <c r="DO263" s="387">
        <f t="shared" si="488"/>
        <v>1</v>
      </c>
      <c r="DP263" s="388">
        <f t="shared" si="489"/>
        <v>1</v>
      </c>
      <c r="DQ263" s="386">
        <f t="shared" si="490"/>
        <v>1</v>
      </c>
      <c r="DR263" s="387">
        <f t="shared" si="491"/>
        <v>1</v>
      </c>
      <c r="DS263" s="387">
        <f t="shared" si="492"/>
        <v>1</v>
      </c>
      <c r="DT263" s="387">
        <f t="shared" si="493"/>
        <v>1</v>
      </c>
      <c r="DU263" s="388">
        <f t="shared" si="494"/>
        <v>1</v>
      </c>
      <c r="DW263" s="386">
        <f t="shared" si="495"/>
        <v>0</v>
      </c>
      <c r="DX263" s="387">
        <f t="shared" si="496"/>
        <v>0.5</v>
      </c>
      <c r="DY263" s="388">
        <f t="shared" si="497"/>
        <v>1</v>
      </c>
      <c r="DZ263" s="386">
        <f t="shared" si="498"/>
        <v>1</v>
      </c>
      <c r="EA263" s="387">
        <f t="shared" si="499"/>
        <v>1</v>
      </c>
      <c r="EB263" s="387">
        <f t="shared" si="500"/>
        <v>1</v>
      </c>
      <c r="EC263" s="387">
        <f t="shared" si="501"/>
        <v>1</v>
      </c>
      <c r="ED263" s="388">
        <f t="shared" si="502"/>
        <v>1</v>
      </c>
      <c r="EF263" s="834">
        <f>+IF(DN263=DM263,0,
IF(AND(EF$44&gt;1,DN263=$N263),1-SUM($EE263:EE263),
IF($N263&lt;=1,
IF($N263&gt;0,1/$N263,0),
IF(EF$44=1,0,VDB(1,0,$N263,INT(EF$44-1-1),MIN($N263,INT(EF$44-1-1)+1),$DC263,IF($DD263="No",1,0))/
IF(DM263&gt;=INT($N263),$N263-INT($N263),1)))*
IF(EF$44=1,0,
IF(INT(DN263)=INT(DM263),DN263-DM263,INT(DN263)-DM263))+
IF($N263&lt;=1,
IF($N263&gt;0,1/$N263,0),VDB(1,0,$N263,INT(EF$44-1),MIN($N263,INT(EF$44-1)+1),$DC263,IF($DD263="No",1,0))/
IF(DN263&gt;INT($N263),$N263-INT($N263),1))*
IF(EF$44=1,DN263,
IF(INT(DN263)=INT(DM263),0,DN263-INT(DN263)))))</f>
        <v>0</v>
      </c>
      <c r="EG263" s="835">
        <f>+IF(DO263=DN263,0,
IF(AND(EG$44&gt;1,DO263=$N263),1-SUM($EE263:EF263),
IF($N263&lt;=1,
IF($N263&gt;0,1/$N263,0),
IF(EG$44=1,0,VDB(1,0,$N263,INT(EG$44-1-1),MIN($N263,INT(EG$44-1-1)+1),$DC263,IF($DD263="No",1,0))/
IF(DN263&gt;=INT($N263),$N263-INT($N263),1)))*
IF(EG$44=1,0,
IF(INT(DO263)=INT(DN263),DO263-DN263,INT(DO263)-DN263))+
IF($N263&lt;=1,
IF($N263&gt;0,1/$N263,0),VDB(1,0,$N263,INT(EG$44-1),MIN($N263,INT(EG$44-1)+1),$DC263,IF($DD263="No",1,0))/
IF(DO263&gt;INT($N263),$N263-INT($N263),1))*
IF(EG$44=1,DO263,
IF(INT(DO263)=INT(DN263),0,DO263-INT(DO263)))))</f>
        <v>0</v>
      </c>
      <c r="EH263" s="836">
        <f>+IF(DP263=DO263,0,
IF(AND(EH$44&gt;1,DP263=$N263),1-SUM($EE263:EG263),
IF($N263&lt;=1,
IF($N263&gt;0,1/$N263,0),
IF(EH$44=1,0,VDB(1,0,$N263,INT(EH$44-1-1),MIN($N263,INT(EH$44-1-1)+1),$DC263,IF($DD263="No",1,0))/
IF(DO263&gt;=INT($N263),$N263-INT($N263),1)))*
IF(EH$44=1,0,
IF(INT(DP263)=INT(DO263),DP263-DO263,INT(DP263)-DO263))+
IF($N263&lt;=1,
IF($N263&gt;0,1/$N263,0),VDB(1,0,$N263,INT(EH$44-1),MIN($N263,INT(EH$44-1)+1),$DC263,IF($DD263="No",1,0))/
IF(DP263&gt;INT($N263),$N263-INT($N263),1))*
IF(EH$44=1,DP263,
IF(INT(DP263)=INT(DO263),0,DP263-INT(DP263)))))</f>
        <v>0</v>
      </c>
      <c r="EI263" s="834">
        <f>+IF(DQ263=DP263,0,
IF(AND(EI$44&gt;1,DQ263=$N263),1-SUM($EE263:EH263),
IF($N263&lt;=1,
IF($N263&gt;0,1/$N263,0),
IF(EI$44=1,0,VDB(1,0,$N263,INT(EI$44-1-1),MIN($N263,INT(EI$44-1-1)+1),$DC263,IF($DD263="No",1,0))/
IF(DP263&gt;=INT($N263),$N263-INT($N263),1)))*
IF(EI$44=1,0,
IF(INT(DQ263)=INT(DP263),DQ263-DP263,INT(DQ263)-DP263))+
IF($N263&lt;=1,
IF($N263&gt;0,1/$N263,0),VDB(1,0,$N263,INT(EI$44-1),MIN($N263,INT(EI$44-1)+1),$DC263,IF($DD263="No",1,0))/
IF(DQ263&gt;INT($N263),$N263-INT($N263),1))*
IF(EI$44=1,DQ263,
IF(INT(DQ263)=INT(DP263),0,DQ263-INT(DQ263)))))</f>
        <v>0</v>
      </c>
      <c r="EJ263" s="835">
        <f>+IF(DR263=DQ263,0,
IF(AND(EJ$44&gt;1,DR263=$N263),1-SUM($EE263:EI263),
IF($N263&lt;=1,
IF($N263&gt;0,1/$N263,0),
IF(EJ$44=1,0,VDB(1,0,$N263,INT(EJ$44-1-1),MIN($N263,INT(EJ$44-1-1)+1),$DC263,IF($DD263="No",1,0))/
IF(DQ263&gt;=INT($N263),$N263-INT($N263),1)))*
IF(EJ$44=1,0,
IF(INT(DR263)=INT(DQ263),DR263-DQ263,INT(DR263)-DQ263))+
IF($N263&lt;=1,
IF($N263&gt;0,1/$N263,0),VDB(1,0,$N263,INT(EJ$44-1),MIN($N263,INT(EJ$44-1)+1),$DC263,IF($DD263="No",1,0))/
IF(DR263&gt;INT($N263),$N263-INT($N263),1))*
IF(EJ$44=1,DR263,
IF(INT(DR263)=INT(DQ263),0,DR263-INT(DR263)))))</f>
        <v>0</v>
      </c>
      <c r="EK263" s="835">
        <f>+IF(DS263=DR263,0,
IF(AND(EK$44&gt;1,DS263=$N263),1-SUM($EE263:EJ263),
IF($N263&lt;=1,
IF($N263&gt;0,1/$N263,0),
IF(EK$44=1,0,VDB(1,0,$N263,INT(EK$44-1-1),MIN($N263,INT(EK$44-1-1)+1),$DC263,IF($DD263="No",1,0))/
IF(DR263&gt;=INT($N263),$N263-INT($N263),1)))*
IF(EK$44=1,0,
IF(INT(DS263)=INT(DR263),DS263-DR263,INT(DS263)-DR263))+
IF($N263&lt;=1,
IF($N263&gt;0,1/$N263,0),VDB(1,0,$N263,INT(EK$44-1),MIN($N263,INT(EK$44-1)+1),$DC263,IF($DD263="No",1,0))/
IF(DS263&gt;INT($N263),$N263-INT($N263),1))*
IF(EK$44=1,DS263,
IF(INT(DS263)=INT(DR263),0,DS263-INT(DS263)))))</f>
        <v>0</v>
      </c>
      <c r="EL263" s="835">
        <f>+IF(DT263=DS263,0,
IF(AND(EL$44&gt;1,DT263=$N263),1-SUM($EE263:EK263),
IF($N263&lt;=1,
IF($N263&gt;0,1/$N263,0),
IF(EL$44=1,0,VDB(1,0,$N263,INT(EL$44-1-1),MIN($N263,INT(EL$44-1-1)+1),$DC263,IF($DD263="No",1,0))/
IF(DS263&gt;=INT($N263),$N263-INT($N263),1)))*
IF(EL$44=1,0,
IF(INT(DT263)=INT(DS263),DT263-DS263,INT(DT263)-DS263))+
IF($N263&lt;=1,
IF($N263&gt;0,1/$N263,0),VDB(1,0,$N263,INT(EL$44-1),MIN($N263,INT(EL$44-1)+1),$DC263,IF($DD263="No",1,0))/
IF(DT263&gt;INT($N263),$N263-INT($N263),1))*
IF(EL$44=1,DT263,
IF(INT(DT263)=INT(DS263),0,DT263-INT(DT263)))))</f>
        <v>0</v>
      </c>
      <c r="EM263" s="836">
        <f>+IF(DU263=DT263,0,
IF(AND(EM$44&gt;1,DU263=$N263),1-SUM($EE263:EL263),
IF($N263&lt;=1,
IF($N263&gt;0,1/$N263,0),
IF(EM$44=1,0,VDB(1,0,$N263,INT(EM$44-1-1),MIN($N263,INT(EM$44-1-1)+1),$DC263,IF($DD263="No",1,0))/
IF(DT263&gt;=INT($N263),$N263-INT($N263),1)))*
IF(EM$44=1,0,
IF(INT(DU263)=INT(DT263),DU263-DT263,INT(DU263)-DT263))+
IF($N263&lt;=1,
IF($N263&gt;0,1/$N263,0),VDB(1,0,$N263,INT(EM$44-1),MIN($N263,INT(EM$44-1)+1),$DC263,IF($DD263="No",1,0))/
IF(DU263&gt;INT($N263),$N263-INT($N263),1))*
IF(EM$44=1,DU263,
IF(INT(DU263)=INT(DT263),0,DU263-INT(DU263)))))</f>
        <v>0</v>
      </c>
      <c r="EN263" s="833"/>
      <c r="EO263" s="834">
        <f>+IF(OR(DW263=DV263,EO$44=1),0,
IF(AND(EO$44&gt;1,DW263=$N263),1-SUM($EN263:EN263),
IF($N263&lt;=1,
IF($N263&gt;0,1/$N263,0),
IF(EO$44=2,0,VDB(1,0,$N263,INT(EO$44-2-1),MIN($N263,INT(EO$44-2-1)+1),$DC263,IF($DD263="No",1,0))/
IF(DV263&gt;=INT($N263),$N263-INT($N263),1)))*
IF(EO$44=2,0,
IF(INT(DW263)=INT(DV263),DW263-DV263,INT(DW263)-DV263))+
IF($N263&lt;=1,
IF($N263&gt;0,1/$N263,0),VDB(1,0,$N263,INT(EO$44-2),MIN($N263,INT(EO$44-2)+1),$DC263,IF($DD263="No",1,0))/
IF(DW263&gt;INT($N263),$N263-INT($N263),1))*
IF(EO$44=2,DW263,
IF(INT(DW263)=INT(DV263),0,DW263-INT(DW263)))))</f>
        <v>0</v>
      </c>
      <c r="EP263" s="835">
        <f>+IF(OR(DX263=DW263,EP$44=1),0,
IF(AND(EP$44&gt;1,DX263=$N263),1-SUM($EN263:EO263),
IF($N263&lt;=1,
IF($N263&gt;0,1/$N263,0),
IF(EP$44=2,0,VDB(1,0,$N263,INT(EP$44-2-1),MIN($N263,INT(EP$44-2-1)+1),$DC263,IF($DD263="No",1,0))/
IF(DW263&gt;=INT($N263),$N263-INT($N263),1)))*
IF(EP$44=2,0,
IF(INT(DX263)=INT(DW263),DX263-DW263,INT(DX263)-DW263))+
IF($N263&lt;=1,
IF($N263&gt;0,1/$N263,0),VDB(1,0,$N263,INT(EP$44-2),MIN($N263,INT(EP$44-2)+1),$DC263,IF($DD263="No",1,0))/
IF(DX263&gt;INT($N263),$N263-INT($N263),1))*
IF(EP$44=2,DX263,
IF(INT(DX263)=INT(DW263),0,DX263-INT(DX263)))))</f>
        <v>0</v>
      </c>
      <c r="EQ263" s="836">
        <f>+IF(OR(DY263=DX263,EQ$44=1),0,
IF(AND(EQ$44&gt;1,DY263=$N263),1-SUM($EN263:EP263),
IF($N263&lt;=1,
IF($N263&gt;0,1/$N263,0),
IF(EQ$44=2,0,VDB(1,0,$N263,INT(EQ$44-2-1),MIN($N263,INT(EQ$44-2-1)+1),$DC263,IF($DD263="No",1,0))/
IF(DX263&gt;=INT($N263),$N263-INT($N263),1)))*
IF(EQ$44=2,0,
IF(INT(DY263)=INT(DX263),DY263-DX263,INT(DY263)-DX263))+
IF($N263&lt;=1,
IF($N263&gt;0,1/$N263,0),VDB(1,0,$N263,INT(EQ$44-2),MIN($N263,INT(EQ$44-2)+1),$DC263,IF($DD263="No",1,0))/
IF(DY263&gt;INT($N263),$N263-INT($N263),1))*
IF(EQ$44=2,DY263,
IF(INT(DY263)=INT(DX263),0,DY263-INT(DY263)))))</f>
        <v>0</v>
      </c>
      <c r="ER263" s="834">
        <f>+IF(OR(DZ263=DY263,ER$44=1),0,
IF(AND(ER$44&gt;1,DZ263=$N263),1-SUM($EN263:EQ263),
IF($N263&lt;=1,
IF($N263&gt;0,1/$N263,0),
IF(ER$44=2,0,VDB(1,0,$N263,INT(ER$44-2-1),MIN($N263,INT(ER$44-2-1)+1),$DC263,IF($DD263="No",1,0))/
IF(DY263&gt;=INT($N263),$N263-INT($N263),1)))*
IF(ER$44=2,0,
IF(INT(DZ263)=INT(DY263),DZ263-DY263,INT(DZ263)-DY263))+
IF($N263&lt;=1,
IF($N263&gt;0,1/$N263,0),VDB(1,0,$N263,INT(ER$44-2),MIN($N263,INT(ER$44-2)+1),$DC263,IF($DD263="No",1,0))/
IF(DZ263&gt;INT($N263),$N263-INT($N263),1))*
IF(ER$44=2,DZ263,
IF(INT(DZ263)=INT(DY263),0,DZ263-INT(DZ263)))))</f>
        <v>0</v>
      </c>
      <c r="ES263" s="835">
        <f>+IF(OR(EA263=DZ263,ES$44=1),0,
IF(AND(ES$44&gt;1,EA263=$N263),1-SUM($EN263:ER263),
IF($N263&lt;=1,
IF($N263&gt;0,1/$N263,0),
IF(ES$44=2,0,VDB(1,0,$N263,INT(ES$44-2-1),MIN($N263,INT(ES$44-2-1)+1),$DC263,IF($DD263="No",1,0))/
IF(DZ263&gt;=INT($N263),$N263-INT($N263),1)))*
IF(ES$44=2,0,
IF(INT(EA263)=INT(DZ263),EA263-DZ263,INT(EA263)-DZ263))+
IF($N263&lt;=1,
IF($N263&gt;0,1/$N263,0),VDB(1,0,$N263,INT(ES$44-2),MIN($N263,INT(ES$44-2)+1),$DC263,IF($DD263="No",1,0))/
IF(EA263&gt;INT($N263),$N263-INT($N263),1))*
IF(ES$44=2,EA263,
IF(INT(EA263)=INT(DZ263),0,EA263-INT(EA263)))))</f>
        <v>0</v>
      </c>
      <c r="ET263" s="835">
        <f>+IF(OR(EB263=EA263,ET$44=1),0,
IF(AND(ET$44&gt;1,EB263=$N263),1-SUM($EN263:ES263),
IF($N263&lt;=1,
IF($N263&gt;0,1/$N263,0),
IF(ET$44=2,0,VDB(1,0,$N263,INT(ET$44-2-1),MIN($N263,INT(ET$44-2-1)+1),$DC263,IF($DD263="No",1,0))/
IF(EA263&gt;=INT($N263),$N263-INT($N263),1)))*
IF(ET$44=2,0,
IF(INT(EB263)=INT(EA263),EB263-EA263,INT(EB263)-EA263))+
IF($N263&lt;=1,
IF($N263&gt;0,1/$N263,0),VDB(1,0,$N263,INT(ET$44-2),MIN($N263,INT(ET$44-2)+1),$DC263,IF($DD263="No",1,0))/
IF(EB263&gt;INT($N263),$N263-INT($N263),1))*
IF(ET$44=2,EB263,
IF(INT(EB263)=INT(EA263),0,EB263-INT(EB263)))))</f>
        <v>0</v>
      </c>
      <c r="EU263" s="835">
        <f>+IF(OR(EC263=EB263,EU$44=1),0,
IF(AND(EU$44&gt;1,EC263=$N263),1-SUM($EN263:ET263),
IF($N263&lt;=1,
IF($N263&gt;0,1/$N263,0),
IF(EU$44=2,0,VDB(1,0,$N263,INT(EU$44-2-1),MIN($N263,INT(EU$44-2-1)+1),$DC263,IF($DD263="No",1,0))/
IF(EB263&gt;=INT($N263),$N263-INT($N263),1)))*
IF(EU$44=2,0,
IF(INT(EC263)=INT(EB263),EC263-EB263,INT(EC263)-EB263))+
IF($N263&lt;=1,
IF($N263&gt;0,1/$N263,0),VDB(1,0,$N263,INT(EU$44-2),MIN($N263,INT(EU$44-2)+1),$DC263,IF($DD263="No",1,0))/
IF(EC263&gt;INT($N263),$N263-INT($N263),1))*
IF(EU$44=2,EC263,
IF(INT(EC263)=INT(EB263),0,EC263-INT(EC263)))))</f>
        <v>0</v>
      </c>
      <c r="EV263" s="836">
        <f>+IF(OR(ED263=EC263,EV$44=1),0,
IF(AND(EV$44&gt;1,ED263=$N263),1-SUM($EN263:EU263),
IF($N263&lt;=1,
IF($N263&gt;0,1/$N263,0),
IF(EV$44=2,0,VDB(1,0,$N263,INT(EV$44-2-1),MIN($N263,INT(EV$44-2-1)+1),$DC263,IF($DD263="No",1,0))/
IF(EC263&gt;=INT($N263),$N263-INT($N263),1)))*
IF(EV$44=2,0,
IF(INT(ED263)=INT(EC263),ED263-EC263,INT(ED263)-EC263))+
IF($N263&lt;=1,
IF($N263&gt;0,1/$N263,0),VDB(1,0,$N263,INT(EV$44-2),MIN($N263,INT(EV$44-2)+1),$DC263,IF($DD263="No",1,0))/
IF(ED263&gt;INT($N263),$N263-INT($N263),1))*
IF(EV$44=2,ED263,
IF(INT(ED263)=INT(EC263),0,ED263-INT(ED263)))))</f>
        <v>0</v>
      </c>
      <c r="EW263" s="833"/>
      <c r="EX263" s="834">
        <f t="shared" ca="1" si="503"/>
        <v>0</v>
      </c>
      <c r="EY263" s="835">
        <f t="shared" ca="1" si="503"/>
        <v>0</v>
      </c>
      <c r="EZ263" s="836">
        <f t="shared" ca="1" si="503"/>
        <v>0</v>
      </c>
      <c r="FA263" s="834">
        <f t="shared" ca="1" si="503"/>
        <v>0</v>
      </c>
      <c r="FB263" s="835">
        <f t="shared" ca="1" si="503"/>
        <v>0</v>
      </c>
      <c r="FC263" s="835">
        <f t="shared" ca="1" si="503"/>
        <v>0</v>
      </c>
      <c r="FD263" s="835">
        <f t="shared" ca="1" si="503"/>
        <v>0</v>
      </c>
      <c r="FE263" s="836">
        <f t="shared" ca="1" si="503"/>
        <v>0</v>
      </c>
      <c r="FG263" s="386">
        <f t="shared" ca="1" si="504"/>
        <v>0</v>
      </c>
      <c r="FH263" s="387">
        <f t="shared" ca="1" si="505"/>
        <v>0</v>
      </c>
      <c r="FI263" s="388">
        <f t="shared" ca="1" si="506"/>
        <v>0</v>
      </c>
      <c r="FJ263" s="386">
        <f t="shared" ca="1" si="507"/>
        <v>0</v>
      </c>
      <c r="FK263" s="387">
        <f t="shared" ca="1" si="508"/>
        <v>0</v>
      </c>
      <c r="FL263" s="387">
        <f t="shared" ca="1" si="509"/>
        <v>0</v>
      </c>
      <c r="FM263" s="387">
        <f t="shared" ca="1" si="510"/>
        <v>0</v>
      </c>
      <c r="FN263" s="388">
        <f t="shared" ca="1" si="511"/>
        <v>0</v>
      </c>
      <c r="FR263" s="116"/>
    </row>
    <row r="264" spans="2:174">
      <c r="B264" s="1410">
        <f t="shared" si="512"/>
        <v>218</v>
      </c>
      <c r="C264" s="400"/>
      <c r="D264" s="410"/>
      <c r="E264" s="402"/>
      <c r="F264" s="402"/>
      <c r="G264" s="400"/>
      <c r="H264" s="2088"/>
      <c r="I264" s="2089"/>
      <c r="J264" s="411"/>
      <c r="K264" s="403"/>
      <c r="L264" s="403"/>
      <c r="M264" s="403"/>
      <c r="N264" s="403"/>
      <c r="O264" s="347"/>
      <c r="P264" s="347"/>
      <c r="Q264" s="1021"/>
      <c r="R264" s="1022"/>
      <c r="S264" s="1022"/>
      <c r="T264" s="1022"/>
      <c r="U264" s="1023"/>
      <c r="V264" s="1021"/>
      <c r="W264" s="1022"/>
      <c r="X264" s="1022"/>
      <c r="Y264" s="1022"/>
      <c r="Z264" s="1023"/>
      <c r="AA264" s="1024"/>
      <c r="AB264" s="1021"/>
      <c r="AC264" s="1022"/>
      <c r="AD264" s="1022"/>
      <c r="AE264" s="1022"/>
      <c r="AF264" s="1023"/>
      <c r="AG264" s="1021"/>
      <c r="AH264" s="1022"/>
      <c r="AI264" s="1022"/>
      <c r="AJ264" s="1022"/>
      <c r="AK264" s="1023"/>
      <c r="AL264" s="1024"/>
      <c r="AM264" s="1021"/>
      <c r="AN264" s="1022"/>
      <c r="AO264" s="1022"/>
      <c r="AP264" s="1022"/>
      <c r="AQ264" s="1023"/>
      <c r="AR264" s="1021"/>
      <c r="AS264" s="1022"/>
      <c r="AT264" s="1022"/>
      <c r="AU264" s="1022"/>
      <c r="AV264" s="1023"/>
      <c r="AW264" s="1025"/>
      <c r="AX264" s="1282">
        <f t="shared" si="457"/>
        <v>0</v>
      </c>
      <c r="AY264" s="387">
        <f t="shared" si="458"/>
        <v>0</v>
      </c>
      <c r="AZ264" s="387">
        <f t="shared" si="459"/>
        <v>0</v>
      </c>
      <c r="BA264" s="387">
        <f t="shared" si="460"/>
        <v>0</v>
      </c>
      <c r="BB264" s="1283">
        <f t="shared" si="461"/>
        <v>0</v>
      </c>
      <c r="BC264" s="386">
        <f t="shared" si="462"/>
        <v>0</v>
      </c>
      <c r="BD264" s="387">
        <f t="shared" si="463"/>
        <v>0</v>
      </c>
      <c r="BE264" s="1277">
        <f t="shared" si="464"/>
        <v>0</v>
      </c>
      <c r="BF264" s="1277">
        <f t="shared" si="465"/>
        <v>0</v>
      </c>
      <c r="BG264" s="388">
        <f t="shared" si="466"/>
        <v>0</v>
      </c>
      <c r="BH264" s="1025"/>
      <c r="BI264" s="1282">
        <f t="shared" ca="1" si="467"/>
        <v>0</v>
      </c>
      <c r="BJ264" s="387">
        <f t="shared" ca="1" si="468"/>
        <v>0</v>
      </c>
      <c r="BK264" s="387">
        <f t="shared" ca="1" si="469"/>
        <v>0</v>
      </c>
      <c r="BL264" s="387">
        <f t="shared" ca="1" si="470"/>
        <v>0</v>
      </c>
      <c r="BM264" s="1283">
        <f t="shared" ca="1" si="471"/>
        <v>0</v>
      </c>
      <c r="BN264" s="386">
        <f t="shared" ca="1" si="472"/>
        <v>0</v>
      </c>
      <c r="BO264" s="387">
        <f t="shared" ca="1" si="473"/>
        <v>0</v>
      </c>
      <c r="BP264" s="1277">
        <f t="shared" ca="1" si="474"/>
        <v>0</v>
      </c>
      <c r="BQ264" s="1277">
        <f t="shared" ca="1" si="475"/>
        <v>0</v>
      </c>
      <c r="BR264" s="388">
        <f t="shared" ca="1" si="476"/>
        <v>0</v>
      </c>
      <c r="BS264" s="1025"/>
      <c r="BT264" s="1282">
        <f>+IF($K264="Ongoing",AX264,IF(RIGHT($K264,2)=RIGHT(BT$43,2),SUM($AX264:AX264),0)+IF(RIGHT(BT$43,2)&gt;RIGHT($K264,2),AX264,0))</f>
        <v>0</v>
      </c>
      <c r="BU264" s="387">
        <f>+IF($K264="Ongoing",AY264,IF(RIGHT($K264,2)=RIGHT(BU$43,2),SUM($AX264:AY264),0)+IF(RIGHT(BU$43,2)&gt;RIGHT($K264,2),AY264,0))</f>
        <v>0</v>
      </c>
      <c r="BV264" s="387">
        <f>+IF($K264="Ongoing",AZ264,IF(RIGHT($K264,2)=RIGHT(BV$43,2),SUM($AX264:AZ264),0)+IF(RIGHT(BV$43,2)&gt;RIGHT($K264,2),AZ264,0))</f>
        <v>0</v>
      </c>
      <c r="BW264" s="387">
        <f>+IF($K264="Ongoing",BA264,IF(RIGHT($K264,2)=RIGHT(BW$43,2),SUM($AX264:BA264),0)+IF(RIGHT(BW$43,2)&gt;RIGHT($K264,2),BA264,0))</f>
        <v>0</v>
      </c>
      <c r="BX264" s="1283">
        <f>+IF($K264="Ongoing",BB264,IF(RIGHT($K264,2)=RIGHT(BX$43,2),SUM($AX264:BB264),0)+IF(RIGHT(BX$43,2)&gt;RIGHT($K264,2),BB264,0))</f>
        <v>0</v>
      </c>
      <c r="BY264" s="386">
        <f>+IF($K264="Ongoing",BC264,IF(RIGHT($K264,2)=RIGHT(BY$43,2),SUM($AX264:BC264),0)+IF(RIGHT(BY$43,2)&gt;RIGHT($K264,2),BC264,0))</f>
        <v>0</v>
      </c>
      <c r="BZ264" s="387">
        <f>+IF($K264="Ongoing",BD264,IF(RIGHT($K264,2)=RIGHT(BZ$43,2),SUM($AX264:BD264),0)+IF(RIGHT(BZ$43,2)&gt;RIGHT($K264,2),BD264,0))</f>
        <v>0</v>
      </c>
      <c r="CA264" s="1277">
        <f>+IF($K264="Ongoing",BE264,IF(RIGHT($K264,2)=RIGHT(CA$43,2),SUM($AX264:BE264),0)+IF(RIGHT(CA$43,2)&gt;RIGHT($K264,2),BE264,0))</f>
        <v>0</v>
      </c>
      <c r="CB264" s="1277">
        <f>+IF($K264="Ongoing",BF264,IF(RIGHT($K264,2)=RIGHT(CB$43,2),SUM($AX264:BF264),0)+IF(RIGHT(CB$43,2)&gt;RIGHT($K264,2),BF264,0))</f>
        <v>0</v>
      </c>
      <c r="CC264" s="388">
        <f>+IF($K264="Ongoing",BG264,IF(RIGHT($K264,2)=RIGHT(CC$43,2),SUM($AX264:BG264),0)+IF(RIGHT(CC$43,2)&gt;RIGHT($K264,2),BG264,0))</f>
        <v>0</v>
      </c>
      <c r="CD264" s="1025"/>
      <c r="CE264" s="1282">
        <f>+Q264*KeyAssumptionsPriceControl_FO!AF$15</f>
        <v>0</v>
      </c>
      <c r="CF264" s="387">
        <f>+R264*KeyAssumptionsPriceControl_FO!AG$15</f>
        <v>0</v>
      </c>
      <c r="CG264" s="387">
        <f>+S264*KeyAssumptionsPriceControl_FO!AH$15</f>
        <v>0</v>
      </c>
      <c r="CH264" s="387">
        <f>+T264*KeyAssumptionsPriceControl_FO!AI$15</f>
        <v>0</v>
      </c>
      <c r="CI264" s="1283">
        <f>+U264*KeyAssumptionsPriceControl_FO!AJ$15</f>
        <v>0</v>
      </c>
      <c r="CJ264" s="386">
        <f>+V264*KeyAssumptionsPriceControl_FO!AK$15</f>
        <v>0</v>
      </c>
      <c r="CK264" s="387">
        <f>+W264*KeyAssumptionsPriceControl_FO!AL$15</f>
        <v>0</v>
      </c>
      <c r="CL264" s="1277">
        <f>+X264*KeyAssumptionsPriceControl_FO!AM$15</f>
        <v>0</v>
      </c>
      <c r="CM264" s="1277">
        <f>+Y264*KeyAssumptionsPriceControl_FO!AN$15</f>
        <v>0</v>
      </c>
      <c r="CN264" s="388">
        <f>+Z264*KeyAssumptionsPriceControl_FO!AO$15</f>
        <v>0</v>
      </c>
      <c r="CO264" s="1025"/>
      <c r="CP264" s="1282">
        <f t="shared" ca="1" si="477"/>
        <v>0</v>
      </c>
      <c r="CQ264" s="387">
        <f t="shared" ca="1" si="478"/>
        <v>0</v>
      </c>
      <c r="CR264" s="387">
        <f t="shared" ca="1" si="479"/>
        <v>0</v>
      </c>
      <c r="CS264" s="387">
        <f t="shared" ca="1" si="480"/>
        <v>0</v>
      </c>
      <c r="CT264" s="1283">
        <f t="shared" ca="1" si="481"/>
        <v>0</v>
      </c>
      <c r="CU264" s="386">
        <f t="shared" ca="1" si="482"/>
        <v>0</v>
      </c>
      <c r="CV264" s="387">
        <f t="shared" ca="1" si="483"/>
        <v>0</v>
      </c>
      <c r="CW264" s="1277">
        <f t="shared" ca="1" si="484"/>
        <v>0</v>
      </c>
      <c r="CX264" s="1277">
        <f t="shared" ca="1" si="485"/>
        <v>0</v>
      </c>
      <c r="CY264" s="388">
        <f t="shared" ca="1" si="486"/>
        <v>0</v>
      </c>
      <c r="CZ264" s="347"/>
      <c r="DA264" s="852"/>
      <c r="DB264" s="347"/>
      <c r="DC264" s="1012" t="s">
        <v>560</v>
      </c>
      <c r="DD264" s="841" t="s">
        <v>518</v>
      </c>
      <c r="DE264" s="386">
        <f>+IF($K264="ongoing",CE264,IF(RIGHT($K264,2)=RIGHT(DE$43,2),SUM($CD264:CE264),0)+IF(RIGHT(DE$43,2)&gt;RIGHT($K264,2),CE264,0))</f>
        <v>0</v>
      </c>
      <c r="DF264" s="387">
        <f>+IF($K264="ongoing",CF264,IF(RIGHT($K264,2)=RIGHT(DF$43,2),SUM($CD264:CF264),0)+IF(RIGHT(DF$43,2)&gt;RIGHT($K264,2),CF264,0))</f>
        <v>0</v>
      </c>
      <c r="DG264" s="388">
        <f>+IF($K264="ongoing",CG264,IF(RIGHT($K264,2)=RIGHT(DG$43,2),SUM($CD264:CG264),0)+IF(RIGHT(DG$43,2)&gt;RIGHT($K264,2),CG264,0))</f>
        <v>0</v>
      </c>
      <c r="DH264" s="386">
        <f>+IF($K264="ongoing",CH264,IF(RIGHT($K264,2)=RIGHT(DH$43,2),SUM($CD264:CH264),0)+IF(RIGHT(DH$43,2)&gt;RIGHT($K264,2),CH264,0))</f>
        <v>0</v>
      </c>
      <c r="DI264" s="387">
        <f>+IF($K264="ongoing",CI264,IF(RIGHT($K264,2)=RIGHT(DI$43,2),SUM($CD264:CI264),0)+IF(RIGHT(DI$43,2)&gt;RIGHT($K264,2),CI264,0))</f>
        <v>0</v>
      </c>
      <c r="DJ264" s="387">
        <f>+IF($K264="ongoing",CJ264,IF(RIGHT($K264,2)=RIGHT(DJ$43,2),SUM($CD264:CJ264),0)+IF(RIGHT(DJ$43,2)&gt;RIGHT($K264,2),CJ264,0))</f>
        <v>0</v>
      </c>
      <c r="DK264" s="387">
        <f>+IF($K264="ongoing",CK264,IF(RIGHT($K264,2)=RIGHT(DK$43,2),SUM($CD264:CK264),0)+IF(RIGHT(DK$43,2)&gt;RIGHT($K264,2),CK264,0))</f>
        <v>0</v>
      </c>
      <c r="DL264" s="388">
        <f>+IF($K264="ongoing",CN264,IF(RIGHT($K264,2)=RIGHT(DL$43,2),SUM($CD264:CN264),0)+IF(RIGHT(DL$43,2)&gt;RIGHT($K264,2),CN264,0))</f>
        <v>0</v>
      </c>
      <c r="DM264" s="841"/>
      <c r="DN264" s="386">
        <f t="shared" si="487"/>
        <v>0.5</v>
      </c>
      <c r="DO264" s="387">
        <f t="shared" si="488"/>
        <v>1</v>
      </c>
      <c r="DP264" s="388">
        <f t="shared" si="489"/>
        <v>1</v>
      </c>
      <c r="DQ264" s="386">
        <f t="shared" si="490"/>
        <v>1</v>
      </c>
      <c r="DR264" s="387">
        <f t="shared" si="491"/>
        <v>1</v>
      </c>
      <c r="DS264" s="387">
        <f t="shared" si="492"/>
        <v>1</v>
      </c>
      <c r="DT264" s="387">
        <f t="shared" si="493"/>
        <v>1</v>
      </c>
      <c r="DU264" s="388">
        <f t="shared" si="494"/>
        <v>1</v>
      </c>
      <c r="DW264" s="386">
        <f t="shared" si="495"/>
        <v>0</v>
      </c>
      <c r="DX264" s="387">
        <f t="shared" si="496"/>
        <v>0.5</v>
      </c>
      <c r="DY264" s="388">
        <f t="shared" si="497"/>
        <v>1</v>
      </c>
      <c r="DZ264" s="386">
        <f t="shared" si="498"/>
        <v>1</v>
      </c>
      <c r="EA264" s="387">
        <f t="shared" si="499"/>
        <v>1</v>
      </c>
      <c r="EB264" s="387">
        <f t="shared" si="500"/>
        <v>1</v>
      </c>
      <c r="EC264" s="387">
        <f t="shared" si="501"/>
        <v>1</v>
      </c>
      <c r="ED264" s="388">
        <f t="shared" si="502"/>
        <v>1</v>
      </c>
      <c r="EF264" s="834">
        <f>+IF(DN264=DM264,0,
IF(AND(EF$44&gt;1,DN264=$N264),1-SUM($EE264:EE264),
IF($N264&lt;=1,
IF($N264&gt;0,1/$N264,0),
IF(EF$44=1,0,VDB(1,0,$N264,INT(EF$44-1-1),MIN($N264,INT(EF$44-1-1)+1),$DC264,IF($DD264="No",1,0))/
IF(DM264&gt;=INT($N264),$N264-INT($N264),1)))*
IF(EF$44=1,0,
IF(INT(DN264)=INT(DM264),DN264-DM264,INT(DN264)-DM264))+
IF($N264&lt;=1,
IF($N264&gt;0,1/$N264,0),VDB(1,0,$N264,INT(EF$44-1),MIN($N264,INT(EF$44-1)+1),$DC264,IF($DD264="No",1,0))/
IF(DN264&gt;INT($N264),$N264-INT($N264),1))*
IF(EF$44=1,DN264,
IF(INT(DN264)=INT(DM264),0,DN264-INT(DN264)))))</f>
        <v>0</v>
      </c>
      <c r="EG264" s="835">
        <f>+IF(DO264=DN264,0,
IF(AND(EG$44&gt;1,DO264=$N264),1-SUM($EE264:EF264),
IF($N264&lt;=1,
IF($N264&gt;0,1/$N264,0),
IF(EG$44=1,0,VDB(1,0,$N264,INT(EG$44-1-1),MIN($N264,INT(EG$44-1-1)+1),$DC264,IF($DD264="No",1,0))/
IF(DN264&gt;=INT($N264),$N264-INT($N264),1)))*
IF(EG$44=1,0,
IF(INT(DO264)=INT(DN264),DO264-DN264,INT(DO264)-DN264))+
IF($N264&lt;=1,
IF($N264&gt;0,1/$N264,0),VDB(1,0,$N264,INT(EG$44-1),MIN($N264,INT(EG$44-1)+1),$DC264,IF($DD264="No",1,0))/
IF(DO264&gt;INT($N264),$N264-INT($N264),1))*
IF(EG$44=1,DO264,
IF(INT(DO264)=INT(DN264),0,DO264-INT(DO264)))))</f>
        <v>0</v>
      </c>
      <c r="EH264" s="836">
        <f>+IF(DP264=DO264,0,
IF(AND(EH$44&gt;1,DP264=$N264),1-SUM($EE264:EG264),
IF($N264&lt;=1,
IF($N264&gt;0,1/$N264,0),
IF(EH$44=1,0,VDB(1,0,$N264,INT(EH$44-1-1),MIN($N264,INT(EH$44-1-1)+1),$DC264,IF($DD264="No",1,0))/
IF(DO264&gt;=INT($N264),$N264-INT($N264),1)))*
IF(EH$44=1,0,
IF(INT(DP264)=INT(DO264),DP264-DO264,INT(DP264)-DO264))+
IF($N264&lt;=1,
IF($N264&gt;0,1/$N264,0),VDB(1,0,$N264,INT(EH$44-1),MIN($N264,INT(EH$44-1)+1),$DC264,IF($DD264="No",1,0))/
IF(DP264&gt;INT($N264),$N264-INT($N264),1))*
IF(EH$44=1,DP264,
IF(INT(DP264)=INT(DO264),0,DP264-INT(DP264)))))</f>
        <v>0</v>
      </c>
      <c r="EI264" s="834">
        <f>+IF(DQ264=DP264,0,
IF(AND(EI$44&gt;1,DQ264=$N264),1-SUM($EE264:EH264),
IF($N264&lt;=1,
IF($N264&gt;0,1/$N264,0),
IF(EI$44=1,0,VDB(1,0,$N264,INT(EI$44-1-1),MIN($N264,INT(EI$44-1-1)+1),$DC264,IF($DD264="No",1,0))/
IF(DP264&gt;=INT($N264),$N264-INT($N264),1)))*
IF(EI$44=1,0,
IF(INT(DQ264)=INT(DP264),DQ264-DP264,INT(DQ264)-DP264))+
IF($N264&lt;=1,
IF($N264&gt;0,1/$N264,0),VDB(1,0,$N264,INT(EI$44-1),MIN($N264,INT(EI$44-1)+1),$DC264,IF($DD264="No",1,0))/
IF(DQ264&gt;INT($N264),$N264-INT($N264),1))*
IF(EI$44=1,DQ264,
IF(INT(DQ264)=INT(DP264),0,DQ264-INT(DQ264)))))</f>
        <v>0</v>
      </c>
      <c r="EJ264" s="835">
        <f>+IF(DR264=DQ264,0,
IF(AND(EJ$44&gt;1,DR264=$N264),1-SUM($EE264:EI264),
IF($N264&lt;=1,
IF($N264&gt;0,1/$N264,0),
IF(EJ$44=1,0,VDB(1,0,$N264,INT(EJ$44-1-1),MIN($N264,INT(EJ$44-1-1)+1),$DC264,IF($DD264="No",1,0))/
IF(DQ264&gt;=INT($N264),$N264-INT($N264),1)))*
IF(EJ$44=1,0,
IF(INT(DR264)=INT(DQ264),DR264-DQ264,INT(DR264)-DQ264))+
IF($N264&lt;=1,
IF($N264&gt;0,1/$N264,0),VDB(1,0,$N264,INT(EJ$44-1),MIN($N264,INT(EJ$44-1)+1),$DC264,IF($DD264="No",1,0))/
IF(DR264&gt;INT($N264),$N264-INT($N264),1))*
IF(EJ$44=1,DR264,
IF(INT(DR264)=INT(DQ264),0,DR264-INT(DR264)))))</f>
        <v>0</v>
      </c>
      <c r="EK264" s="835">
        <f>+IF(DS264=DR264,0,
IF(AND(EK$44&gt;1,DS264=$N264),1-SUM($EE264:EJ264),
IF($N264&lt;=1,
IF($N264&gt;0,1/$N264,0),
IF(EK$44=1,0,VDB(1,0,$N264,INT(EK$44-1-1),MIN($N264,INT(EK$44-1-1)+1),$DC264,IF($DD264="No",1,0))/
IF(DR264&gt;=INT($N264),$N264-INT($N264),1)))*
IF(EK$44=1,0,
IF(INT(DS264)=INT(DR264),DS264-DR264,INT(DS264)-DR264))+
IF($N264&lt;=1,
IF($N264&gt;0,1/$N264,0),VDB(1,0,$N264,INT(EK$44-1),MIN($N264,INT(EK$44-1)+1),$DC264,IF($DD264="No",1,0))/
IF(DS264&gt;INT($N264),$N264-INT($N264),1))*
IF(EK$44=1,DS264,
IF(INT(DS264)=INT(DR264),0,DS264-INT(DS264)))))</f>
        <v>0</v>
      </c>
      <c r="EL264" s="835">
        <f>+IF(DT264=DS264,0,
IF(AND(EL$44&gt;1,DT264=$N264),1-SUM($EE264:EK264),
IF($N264&lt;=1,
IF($N264&gt;0,1/$N264,0),
IF(EL$44=1,0,VDB(1,0,$N264,INT(EL$44-1-1),MIN($N264,INT(EL$44-1-1)+1),$DC264,IF($DD264="No",1,0))/
IF(DS264&gt;=INT($N264),$N264-INT($N264),1)))*
IF(EL$44=1,0,
IF(INT(DT264)=INT(DS264),DT264-DS264,INT(DT264)-DS264))+
IF($N264&lt;=1,
IF($N264&gt;0,1/$N264,0),VDB(1,0,$N264,INT(EL$44-1),MIN($N264,INT(EL$44-1)+1),$DC264,IF($DD264="No",1,0))/
IF(DT264&gt;INT($N264),$N264-INT($N264),1))*
IF(EL$44=1,DT264,
IF(INT(DT264)=INT(DS264),0,DT264-INT(DT264)))))</f>
        <v>0</v>
      </c>
      <c r="EM264" s="836">
        <f>+IF(DU264=DT264,0,
IF(AND(EM$44&gt;1,DU264=$N264),1-SUM($EE264:EL264),
IF($N264&lt;=1,
IF($N264&gt;0,1/$N264,0),
IF(EM$44=1,0,VDB(1,0,$N264,INT(EM$44-1-1),MIN($N264,INT(EM$44-1-1)+1),$DC264,IF($DD264="No",1,0))/
IF(DT264&gt;=INT($N264),$N264-INT($N264),1)))*
IF(EM$44=1,0,
IF(INT(DU264)=INT(DT264),DU264-DT264,INT(DU264)-DT264))+
IF($N264&lt;=1,
IF($N264&gt;0,1/$N264,0),VDB(1,0,$N264,INT(EM$44-1),MIN($N264,INT(EM$44-1)+1),$DC264,IF($DD264="No",1,0))/
IF(DU264&gt;INT($N264),$N264-INT($N264),1))*
IF(EM$44=1,DU264,
IF(INT(DU264)=INT(DT264),0,DU264-INT(DU264)))))</f>
        <v>0</v>
      </c>
      <c r="EN264" s="833"/>
      <c r="EO264" s="834">
        <f>+IF(OR(DW264=DV264,EO$44=1),0,
IF(AND(EO$44&gt;1,DW264=$N264),1-SUM($EN264:EN264),
IF($N264&lt;=1,
IF($N264&gt;0,1/$N264,0),
IF(EO$44=2,0,VDB(1,0,$N264,INT(EO$44-2-1),MIN($N264,INT(EO$44-2-1)+1),$DC264,IF($DD264="No",1,0))/
IF(DV264&gt;=INT($N264),$N264-INT($N264),1)))*
IF(EO$44=2,0,
IF(INT(DW264)=INT(DV264),DW264-DV264,INT(DW264)-DV264))+
IF($N264&lt;=1,
IF($N264&gt;0,1/$N264,0),VDB(1,0,$N264,INT(EO$44-2),MIN($N264,INT(EO$44-2)+1),$DC264,IF($DD264="No",1,0))/
IF(DW264&gt;INT($N264),$N264-INT($N264),1))*
IF(EO$44=2,DW264,
IF(INT(DW264)=INT(DV264),0,DW264-INT(DW264)))))</f>
        <v>0</v>
      </c>
      <c r="EP264" s="835">
        <f>+IF(OR(DX264=DW264,EP$44=1),0,
IF(AND(EP$44&gt;1,DX264=$N264),1-SUM($EN264:EO264),
IF($N264&lt;=1,
IF($N264&gt;0,1/$N264,0),
IF(EP$44=2,0,VDB(1,0,$N264,INT(EP$44-2-1),MIN($N264,INT(EP$44-2-1)+1),$DC264,IF($DD264="No",1,0))/
IF(DW264&gt;=INT($N264),$N264-INT($N264),1)))*
IF(EP$44=2,0,
IF(INT(DX264)=INT(DW264),DX264-DW264,INT(DX264)-DW264))+
IF($N264&lt;=1,
IF($N264&gt;0,1/$N264,0),VDB(1,0,$N264,INT(EP$44-2),MIN($N264,INT(EP$44-2)+1),$DC264,IF($DD264="No",1,0))/
IF(DX264&gt;INT($N264),$N264-INT($N264),1))*
IF(EP$44=2,DX264,
IF(INT(DX264)=INT(DW264),0,DX264-INT(DX264)))))</f>
        <v>0</v>
      </c>
      <c r="EQ264" s="836">
        <f>+IF(OR(DY264=DX264,EQ$44=1),0,
IF(AND(EQ$44&gt;1,DY264=$N264),1-SUM($EN264:EP264),
IF($N264&lt;=1,
IF($N264&gt;0,1/$N264,0),
IF(EQ$44=2,0,VDB(1,0,$N264,INT(EQ$44-2-1),MIN($N264,INT(EQ$44-2-1)+1),$DC264,IF($DD264="No",1,0))/
IF(DX264&gt;=INT($N264),$N264-INT($N264),1)))*
IF(EQ$44=2,0,
IF(INT(DY264)=INT(DX264),DY264-DX264,INT(DY264)-DX264))+
IF($N264&lt;=1,
IF($N264&gt;0,1/$N264,0),VDB(1,0,$N264,INT(EQ$44-2),MIN($N264,INT(EQ$44-2)+1),$DC264,IF($DD264="No",1,0))/
IF(DY264&gt;INT($N264),$N264-INT($N264),1))*
IF(EQ$44=2,DY264,
IF(INT(DY264)=INT(DX264),0,DY264-INT(DY264)))))</f>
        <v>0</v>
      </c>
      <c r="ER264" s="834">
        <f>+IF(OR(DZ264=DY264,ER$44=1),0,
IF(AND(ER$44&gt;1,DZ264=$N264),1-SUM($EN264:EQ264),
IF($N264&lt;=1,
IF($N264&gt;0,1/$N264,0),
IF(ER$44=2,0,VDB(1,0,$N264,INT(ER$44-2-1),MIN($N264,INT(ER$44-2-1)+1),$DC264,IF($DD264="No",1,0))/
IF(DY264&gt;=INT($N264),$N264-INT($N264),1)))*
IF(ER$44=2,0,
IF(INT(DZ264)=INT(DY264),DZ264-DY264,INT(DZ264)-DY264))+
IF($N264&lt;=1,
IF($N264&gt;0,1/$N264,0),VDB(1,0,$N264,INT(ER$44-2),MIN($N264,INT(ER$44-2)+1),$DC264,IF($DD264="No",1,0))/
IF(DZ264&gt;INT($N264),$N264-INT($N264),1))*
IF(ER$44=2,DZ264,
IF(INT(DZ264)=INT(DY264),0,DZ264-INT(DZ264)))))</f>
        <v>0</v>
      </c>
      <c r="ES264" s="835">
        <f>+IF(OR(EA264=DZ264,ES$44=1),0,
IF(AND(ES$44&gt;1,EA264=$N264),1-SUM($EN264:ER264),
IF($N264&lt;=1,
IF($N264&gt;0,1/$N264,0),
IF(ES$44=2,0,VDB(1,0,$N264,INT(ES$44-2-1),MIN($N264,INT(ES$44-2-1)+1),$DC264,IF($DD264="No",1,0))/
IF(DZ264&gt;=INT($N264),$N264-INT($N264),1)))*
IF(ES$44=2,0,
IF(INT(EA264)=INT(DZ264),EA264-DZ264,INT(EA264)-DZ264))+
IF($N264&lt;=1,
IF($N264&gt;0,1/$N264,0),VDB(1,0,$N264,INT(ES$44-2),MIN($N264,INT(ES$44-2)+1),$DC264,IF($DD264="No",1,0))/
IF(EA264&gt;INT($N264),$N264-INT($N264),1))*
IF(ES$44=2,EA264,
IF(INT(EA264)=INT(DZ264),0,EA264-INT(EA264)))))</f>
        <v>0</v>
      </c>
      <c r="ET264" s="835">
        <f>+IF(OR(EB264=EA264,ET$44=1),0,
IF(AND(ET$44&gt;1,EB264=$N264),1-SUM($EN264:ES264),
IF($N264&lt;=1,
IF($N264&gt;0,1/$N264,0),
IF(ET$44=2,0,VDB(1,0,$N264,INT(ET$44-2-1),MIN($N264,INT(ET$44-2-1)+1),$DC264,IF($DD264="No",1,0))/
IF(EA264&gt;=INT($N264),$N264-INT($N264),1)))*
IF(ET$44=2,0,
IF(INT(EB264)=INT(EA264),EB264-EA264,INT(EB264)-EA264))+
IF($N264&lt;=1,
IF($N264&gt;0,1/$N264,0),VDB(1,0,$N264,INT(ET$44-2),MIN($N264,INT(ET$44-2)+1),$DC264,IF($DD264="No",1,0))/
IF(EB264&gt;INT($N264),$N264-INT($N264),1))*
IF(ET$44=2,EB264,
IF(INT(EB264)=INT(EA264),0,EB264-INT(EB264)))))</f>
        <v>0</v>
      </c>
      <c r="EU264" s="835">
        <f>+IF(OR(EC264=EB264,EU$44=1),0,
IF(AND(EU$44&gt;1,EC264=$N264),1-SUM($EN264:ET264),
IF($N264&lt;=1,
IF($N264&gt;0,1/$N264,0),
IF(EU$44=2,0,VDB(1,0,$N264,INT(EU$44-2-1),MIN($N264,INT(EU$44-2-1)+1),$DC264,IF($DD264="No",1,0))/
IF(EB264&gt;=INT($N264),$N264-INT($N264),1)))*
IF(EU$44=2,0,
IF(INT(EC264)=INT(EB264),EC264-EB264,INT(EC264)-EB264))+
IF($N264&lt;=1,
IF($N264&gt;0,1/$N264,0),VDB(1,0,$N264,INT(EU$44-2),MIN($N264,INT(EU$44-2)+1),$DC264,IF($DD264="No",1,0))/
IF(EC264&gt;INT($N264),$N264-INT($N264),1))*
IF(EU$44=2,EC264,
IF(INT(EC264)=INT(EB264),0,EC264-INT(EC264)))))</f>
        <v>0</v>
      </c>
      <c r="EV264" s="836">
        <f>+IF(OR(ED264=EC264,EV$44=1),0,
IF(AND(EV$44&gt;1,ED264=$N264),1-SUM($EN264:EU264),
IF($N264&lt;=1,
IF($N264&gt;0,1/$N264,0),
IF(EV$44=2,0,VDB(1,0,$N264,INT(EV$44-2-1),MIN($N264,INT(EV$44-2-1)+1),$DC264,IF($DD264="No",1,0))/
IF(EC264&gt;=INT($N264),$N264-INT($N264),1)))*
IF(EV$44=2,0,
IF(INT(ED264)=INT(EC264),ED264-EC264,INT(ED264)-EC264))+
IF($N264&lt;=1,
IF($N264&gt;0,1/$N264,0),VDB(1,0,$N264,INT(EV$44-2),MIN($N264,INT(EV$44-2)+1),$DC264,IF($DD264="No",1,0))/
IF(ED264&gt;INT($N264),$N264-INT($N264),1))*
IF(EV$44=2,ED264,
IF(INT(ED264)=INT(EC264),0,ED264-INT(ED264)))))</f>
        <v>0</v>
      </c>
      <c r="EW264" s="833"/>
      <c r="EX264" s="834">
        <f t="shared" ca="1" si="503"/>
        <v>0</v>
      </c>
      <c r="EY264" s="835">
        <f t="shared" ca="1" si="503"/>
        <v>0</v>
      </c>
      <c r="EZ264" s="836">
        <f t="shared" ca="1" si="503"/>
        <v>0</v>
      </c>
      <c r="FA264" s="834">
        <f t="shared" ca="1" si="503"/>
        <v>0</v>
      </c>
      <c r="FB264" s="835">
        <f t="shared" ca="1" si="503"/>
        <v>0</v>
      </c>
      <c r="FC264" s="835">
        <f t="shared" ca="1" si="503"/>
        <v>0</v>
      </c>
      <c r="FD264" s="835">
        <f t="shared" ca="1" si="503"/>
        <v>0</v>
      </c>
      <c r="FE264" s="836">
        <f t="shared" ca="1" si="503"/>
        <v>0</v>
      </c>
      <c r="FG264" s="386">
        <f t="shared" ca="1" si="504"/>
        <v>0</v>
      </c>
      <c r="FH264" s="387">
        <f t="shared" ca="1" si="505"/>
        <v>0</v>
      </c>
      <c r="FI264" s="388">
        <f t="shared" ca="1" si="506"/>
        <v>0</v>
      </c>
      <c r="FJ264" s="386">
        <f t="shared" ca="1" si="507"/>
        <v>0</v>
      </c>
      <c r="FK264" s="387">
        <f t="shared" ca="1" si="508"/>
        <v>0</v>
      </c>
      <c r="FL264" s="387">
        <f t="shared" ca="1" si="509"/>
        <v>0</v>
      </c>
      <c r="FM264" s="387">
        <f t="shared" ca="1" si="510"/>
        <v>0</v>
      </c>
      <c r="FN264" s="388">
        <f t="shared" ca="1" si="511"/>
        <v>0</v>
      </c>
      <c r="FR264" s="116"/>
    </row>
    <row r="265" spans="2:174">
      <c r="B265" s="1410">
        <f t="shared" si="512"/>
        <v>219</v>
      </c>
      <c r="C265" s="400"/>
      <c r="D265" s="410"/>
      <c r="E265" s="402"/>
      <c r="F265" s="402"/>
      <c r="G265" s="400"/>
      <c r="H265" s="2088"/>
      <c r="I265" s="2089"/>
      <c r="J265" s="411"/>
      <c r="K265" s="403"/>
      <c r="L265" s="403"/>
      <c r="M265" s="403"/>
      <c r="N265" s="403"/>
      <c r="O265" s="347"/>
      <c r="P265" s="347"/>
      <c r="Q265" s="1021"/>
      <c r="R265" s="1022"/>
      <c r="S265" s="1022"/>
      <c r="T265" s="1022"/>
      <c r="U265" s="1023"/>
      <c r="V265" s="1021"/>
      <c r="W265" s="1022"/>
      <c r="X265" s="1022"/>
      <c r="Y265" s="1022"/>
      <c r="Z265" s="1023"/>
      <c r="AA265" s="1024"/>
      <c r="AB265" s="1021"/>
      <c r="AC265" s="1022"/>
      <c r="AD265" s="1022"/>
      <c r="AE265" s="1022"/>
      <c r="AF265" s="1023"/>
      <c r="AG265" s="1021"/>
      <c r="AH265" s="1022"/>
      <c r="AI265" s="1022"/>
      <c r="AJ265" s="1022"/>
      <c r="AK265" s="1023"/>
      <c r="AL265" s="1024"/>
      <c r="AM265" s="1021"/>
      <c r="AN265" s="1022"/>
      <c r="AO265" s="1022"/>
      <c r="AP265" s="1022"/>
      <c r="AQ265" s="1023"/>
      <c r="AR265" s="1021"/>
      <c r="AS265" s="1022"/>
      <c r="AT265" s="1022"/>
      <c r="AU265" s="1022"/>
      <c r="AV265" s="1023"/>
      <c r="AW265" s="1025"/>
      <c r="AX265" s="1282">
        <f t="shared" si="457"/>
        <v>0</v>
      </c>
      <c r="AY265" s="387">
        <f t="shared" si="458"/>
        <v>0</v>
      </c>
      <c r="AZ265" s="387">
        <f t="shared" si="459"/>
        <v>0</v>
      </c>
      <c r="BA265" s="387">
        <f t="shared" si="460"/>
        <v>0</v>
      </c>
      <c r="BB265" s="1283">
        <f t="shared" si="461"/>
        <v>0</v>
      </c>
      <c r="BC265" s="386">
        <f t="shared" si="462"/>
        <v>0</v>
      </c>
      <c r="BD265" s="387">
        <f t="shared" si="463"/>
        <v>0</v>
      </c>
      <c r="BE265" s="1277">
        <f t="shared" si="464"/>
        <v>0</v>
      </c>
      <c r="BF265" s="1277">
        <f t="shared" si="465"/>
        <v>0</v>
      </c>
      <c r="BG265" s="388">
        <f t="shared" si="466"/>
        <v>0</v>
      </c>
      <c r="BH265" s="1025"/>
      <c r="BI265" s="1282">
        <f t="shared" ca="1" si="467"/>
        <v>0</v>
      </c>
      <c r="BJ265" s="387">
        <f t="shared" ca="1" si="468"/>
        <v>0</v>
      </c>
      <c r="BK265" s="387">
        <f t="shared" ca="1" si="469"/>
        <v>0</v>
      </c>
      <c r="BL265" s="387">
        <f t="shared" ca="1" si="470"/>
        <v>0</v>
      </c>
      <c r="BM265" s="1283">
        <f t="shared" ca="1" si="471"/>
        <v>0</v>
      </c>
      <c r="BN265" s="386">
        <f t="shared" ca="1" si="472"/>
        <v>0</v>
      </c>
      <c r="BO265" s="387">
        <f t="shared" ca="1" si="473"/>
        <v>0</v>
      </c>
      <c r="BP265" s="1277">
        <f t="shared" ca="1" si="474"/>
        <v>0</v>
      </c>
      <c r="BQ265" s="1277">
        <f t="shared" ca="1" si="475"/>
        <v>0</v>
      </c>
      <c r="BR265" s="388">
        <f t="shared" ca="1" si="476"/>
        <v>0</v>
      </c>
      <c r="BS265" s="1025"/>
      <c r="BT265" s="1282">
        <f>+IF($K265="Ongoing",AX265,IF(RIGHT($K265,2)=RIGHT(BT$43,2),SUM($AX265:AX265),0)+IF(RIGHT(BT$43,2)&gt;RIGHT($K265,2),AX265,0))</f>
        <v>0</v>
      </c>
      <c r="BU265" s="387">
        <f>+IF($K265="Ongoing",AY265,IF(RIGHT($K265,2)=RIGHT(BU$43,2),SUM($AX265:AY265),0)+IF(RIGHT(BU$43,2)&gt;RIGHT($K265,2),AY265,0))</f>
        <v>0</v>
      </c>
      <c r="BV265" s="387">
        <f>+IF($K265="Ongoing",AZ265,IF(RIGHT($K265,2)=RIGHT(BV$43,2),SUM($AX265:AZ265),0)+IF(RIGHT(BV$43,2)&gt;RIGHT($K265,2),AZ265,0))</f>
        <v>0</v>
      </c>
      <c r="BW265" s="387">
        <f>+IF($K265="Ongoing",BA265,IF(RIGHT($K265,2)=RIGHT(BW$43,2),SUM($AX265:BA265),0)+IF(RIGHT(BW$43,2)&gt;RIGHT($K265,2),BA265,0))</f>
        <v>0</v>
      </c>
      <c r="BX265" s="1283">
        <f>+IF($K265="Ongoing",BB265,IF(RIGHT($K265,2)=RIGHT(BX$43,2),SUM($AX265:BB265),0)+IF(RIGHT(BX$43,2)&gt;RIGHT($K265,2),BB265,0))</f>
        <v>0</v>
      </c>
      <c r="BY265" s="386">
        <f>+IF($K265="Ongoing",BC265,IF(RIGHT($K265,2)=RIGHT(BY$43,2),SUM($AX265:BC265),0)+IF(RIGHT(BY$43,2)&gt;RIGHT($K265,2),BC265,0))</f>
        <v>0</v>
      </c>
      <c r="BZ265" s="387">
        <f>+IF($K265="Ongoing",BD265,IF(RIGHT($K265,2)=RIGHT(BZ$43,2),SUM($AX265:BD265),0)+IF(RIGHT(BZ$43,2)&gt;RIGHT($K265,2),BD265,0))</f>
        <v>0</v>
      </c>
      <c r="CA265" s="1277">
        <f>+IF($K265="Ongoing",BE265,IF(RIGHT($K265,2)=RIGHT(CA$43,2),SUM($AX265:BE265),0)+IF(RIGHT(CA$43,2)&gt;RIGHT($K265,2),BE265,0))</f>
        <v>0</v>
      </c>
      <c r="CB265" s="1277">
        <f>+IF($K265="Ongoing",BF265,IF(RIGHT($K265,2)=RIGHT(CB$43,2),SUM($AX265:BF265),0)+IF(RIGHT(CB$43,2)&gt;RIGHT($K265,2),BF265,0))</f>
        <v>0</v>
      </c>
      <c r="CC265" s="388">
        <f>+IF($K265="Ongoing",BG265,IF(RIGHT($K265,2)=RIGHT(CC$43,2),SUM($AX265:BG265),0)+IF(RIGHT(CC$43,2)&gt;RIGHT($K265,2),BG265,0))</f>
        <v>0</v>
      </c>
      <c r="CD265" s="1025"/>
      <c r="CE265" s="1282">
        <f>+Q265*KeyAssumptionsPriceControl_FO!AF$15</f>
        <v>0</v>
      </c>
      <c r="CF265" s="387">
        <f>+R265*KeyAssumptionsPriceControl_FO!AG$15</f>
        <v>0</v>
      </c>
      <c r="CG265" s="387">
        <f>+S265*KeyAssumptionsPriceControl_FO!AH$15</f>
        <v>0</v>
      </c>
      <c r="CH265" s="387">
        <f>+T265*KeyAssumptionsPriceControl_FO!AI$15</f>
        <v>0</v>
      </c>
      <c r="CI265" s="1283">
        <f>+U265*KeyAssumptionsPriceControl_FO!AJ$15</f>
        <v>0</v>
      </c>
      <c r="CJ265" s="386">
        <f>+V265*KeyAssumptionsPriceControl_FO!AK$15</f>
        <v>0</v>
      </c>
      <c r="CK265" s="387">
        <f>+W265*KeyAssumptionsPriceControl_FO!AL$15</f>
        <v>0</v>
      </c>
      <c r="CL265" s="1277">
        <f>+X265*KeyAssumptionsPriceControl_FO!AM$15</f>
        <v>0</v>
      </c>
      <c r="CM265" s="1277">
        <f>+Y265*KeyAssumptionsPriceControl_FO!AN$15</f>
        <v>0</v>
      </c>
      <c r="CN265" s="388">
        <f>+Z265*KeyAssumptionsPriceControl_FO!AO$15</f>
        <v>0</v>
      </c>
      <c r="CO265" s="1025"/>
      <c r="CP265" s="1282">
        <f t="shared" ca="1" si="477"/>
        <v>0</v>
      </c>
      <c r="CQ265" s="387">
        <f t="shared" ca="1" si="478"/>
        <v>0</v>
      </c>
      <c r="CR265" s="387">
        <f t="shared" ca="1" si="479"/>
        <v>0</v>
      </c>
      <c r="CS265" s="387">
        <f t="shared" ca="1" si="480"/>
        <v>0</v>
      </c>
      <c r="CT265" s="1283">
        <f t="shared" ca="1" si="481"/>
        <v>0</v>
      </c>
      <c r="CU265" s="386">
        <f t="shared" ca="1" si="482"/>
        <v>0</v>
      </c>
      <c r="CV265" s="387">
        <f t="shared" ca="1" si="483"/>
        <v>0</v>
      </c>
      <c r="CW265" s="1277">
        <f t="shared" ca="1" si="484"/>
        <v>0</v>
      </c>
      <c r="CX265" s="1277">
        <f t="shared" ca="1" si="485"/>
        <v>0</v>
      </c>
      <c r="CY265" s="388">
        <f t="shared" ca="1" si="486"/>
        <v>0</v>
      </c>
      <c r="CZ265" s="347"/>
      <c r="DA265" s="852"/>
      <c r="DB265" s="347"/>
      <c r="DC265" s="1012" t="s">
        <v>562</v>
      </c>
      <c r="DD265" s="841" t="s">
        <v>518</v>
      </c>
      <c r="DE265" s="386">
        <f>+IF($K265="ongoing",CE265,IF(RIGHT($K265,2)=RIGHT(DE$43,2),SUM($CD265:CE265),0)+IF(RIGHT(DE$43,2)&gt;RIGHT($K265,2),CE265,0))</f>
        <v>0</v>
      </c>
      <c r="DF265" s="387">
        <f>+IF($K265="ongoing",CF265,IF(RIGHT($K265,2)=RIGHT(DF$43,2),SUM($CD265:CF265),0)+IF(RIGHT(DF$43,2)&gt;RIGHT($K265,2),CF265,0))</f>
        <v>0</v>
      </c>
      <c r="DG265" s="388">
        <f>+IF($K265="ongoing",CG265,IF(RIGHT($K265,2)=RIGHT(DG$43,2),SUM($CD265:CG265),0)+IF(RIGHT(DG$43,2)&gt;RIGHT($K265,2),CG265,0))</f>
        <v>0</v>
      </c>
      <c r="DH265" s="386">
        <f>+IF($K265="ongoing",CH265,IF(RIGHT($K265,2)=RIGHT(DH$43,2),SUM($CD265:CH265),0)+IF(RIGHT(DH$43,2)&gt;RIGHT($K265,2),CH265,0))</f>
        <v>0</v>
      </c>
      <c r="DI265" s="387">
        <f>+IF($K265="ongoing",CI265,IF(RIGHT($K265,2)=RIGHT(DI$43,2),SUM($CD265:CI265),0)+IF(RIGHT(DI$43,2)&gt;RIGHT($K265,2),CI265,0))</f>
        <v>0</v>
      </c>
      <c r="DJ265" s="387">
        <f>+IF($K265="ongoing",CJ265,IF(RIGHT($K265,2)=RIGHT(DJ$43,2),SUM($CD265:CJ265),0)+IF(RIGHT(DJ$43,2)&gt;RIGHT($K265,2),CJ265,0))</f>
        <v>0</v>
      </c>
      <c r="DK265" s="387">
        <f>+IF($K265="ongoing",CK265,IF(RIGHT($K265,2)=RIGHT(DK$43,2),SUM($CD265:CK265),0)+IF(RIGHT(DK$43,2)&gt;RIGHT($K265,2),CK265,0))</f>
        <v>0</v>
      </c>
      <c r="DL265" s="388">
        <f>+IF($K265="ongoing",CN265,IF(RIGHT($K265,2)=RIGHT(DL$43,2),SUM($CD265:CN265),0)+IF(RIGHT(DL$43,2)&gt;RIGHT($K265,2),CN265,0))</f>
        <v>0</v>
      </c>
      <c r="DM265" s="841"/>
      <c r="DN265" s="386">
        <f t="shared" si="487"/>
        <v>0.5</v>
      </c>
      <c r="DO265" s="387">
        <f t="shared" si="488"/>
        <v>1</v>
      </c>
      <c r="DP265" s="388">
        <f t="shared" si="489"/>
        <v>1</v>
      </c>
      <c r="DQ265" s="386">
        <f t="shared" si="490"/>
        <v>1</v>
      </c>
      <c r="DR265" s="387">
        <f t="shared" si="491"/>
        <v>1</v>
      </c>
      <c r="DS265" s="387">
        <f t="shared" si="492"/>
        <v>1</v>
      </c>
      <c r="DT265" s="387">
        <f t="shared" si="493"/>
        <v>1</v>
      </c>
      <c r="DU265" s="388">
        <f t="shared" si="494"/>
        <v>1</v>
      </c>
      <c r="DW265" s="386">
        <f t="shared" si="495"/>
        <v>0</v>
      </c>
      <c r="DX265" s="387">
        <f t="shared" si="496"/>
        <v>0.5</v>
      </c>
      <c r="DY265" s="388">
        <f t="shared" si="497"/>
        <v>1</v>
      </c>
      <c r="DZ265" s="386">
        <f t="shared" si="498"/>
        <v>1</v>
      </c>
      <c r="EA265" s="387">
        <f t="shared" si="499"/>
        <v>1</v>
      </c>
      <c r="EB265" s="387">
        <f t="shared" si="500"/>
        <v>1</v>
      </c>
      <c r="EC265" s="387">
        <f t="shared" si="501"/>
        <v>1</v>
      </c>
      <c r="ED265" s="388">
        <f t="shared" si="502"/>
        <v>1</v>
      </c>
      <c r="EF265" s="834">
        <f>+IF(DN265=DM265,0,
IF(AND(EF$44&gt;1,DN265=$N265),1-SUM($EE265:EE265),
IF($N265&lt;=1,
IF($N265&gt;0,1/$N265,0),
IF(EF$44=1,0,VDB(1,0,$N265,INT(EF$44-1-1),MIN($N265,INT(EF$44-1-1)+1),$DC265,IF($DD265="No",1,0))/
IF(DM265&gt;=INT($N265),$N265-INT($N265),1)))*
IF(EF$44=1,0,
IF(INT(DN265)=INT(DM265),DN265-DM265,INT(DN265)-DM265))+
IF($N265&lt;=1,
IF($N265&gt;0,1/$N265,0),VDB(1,0,$N265,INT(EF$44-1),MIN($N265,INT(EF$44-1)+1),$DC265,IF($DD265="No",1,0))/
IF(DN265&gt;INT($N265),$N265-INT($N265),1))*
IF(EF$44=1,DN265,
IF(INT(DN265)=INT(DM265),0,DN265-INT(DN265)))))</f>
        <v>0</v>
      </c>
      <c r="EG265" s="835">
        <f>+IF(DO265=DN265,0,
IF(AND(EG$44&gt;1,DO265=$N265),1-SUM($EE265:EF265),
IF($N265&lt;=1,
IF($N265&gt;0,1/$N265,0),
IF(EG$44=1,0,VDB(1,0,$N265,INT(EG$44-1-1),MIN($N265,INT(EG$44-1-1)+1),$DC265,IF($DD265="No",1,0))/
IF(DN265&gt;=INT($N265),$N265-INT($N265),1)))*
IF(EG$44=1,0,
IF(INT(DO265)=INT(DN265),DO265-DN265,INT(DO265)-DN265))+
IF($N265&lt;=1,
IF($N265&gt;0,1/$N265,0),VDB(1,0,$N265,INT(EG$44-1),MIN($N265,INT(EG$44-1)+1),$DC265,IF($DD265="No",1,0))/
IF(DO265&gt;INT($N265),$N265-INT($N265),1))*
IF(EG$44=1,DO265,
IF(INT(DO265)=INT(DN265),0,DO265-INT(DO265)))))</f>
        <v>0</v>
      </c>
      <c r="EH265" s="836">
        <f>+IF(DP265=DO265,0,
IF(AND(EH$44&gt;1,DP265=$N265),1-SUM($EE265:EG265),
IF($N265&lt;=1,
IF($N265&gt;0,1/$N265,0),
IF(EH$44=1,0,VDB(1,0,$N265,INT(EH$44-1-1),MIN($N265,INT(EH$44-1-1)+1),$DC265,IF($DD265="No",1,0))/
IF(DO265&gt;=INT($N265),$N265-INT($N265),1)))*
IF(EH$44=1,0,
IF(INT(DP265)=INT(DO265),DP265-DO265,INT(DP265)-DO265))+
IF($N265&lt;=1,
IF($N265&gt;0,1/$N265,0),VDB(1,0,$N265,INT(EH$44-1),MIN($N265,INT(EH$44-1)+1),$DC265,IF($DD265="No",1,0))/
IF(DP265&gt;INT($N265),$N265-INT($N265),1))*
IF(EH$44=1,DP265,
IF(INT(DP265)=INT(DO265),0,DP265-INT(DP265)))))</f>
        <v>0</v>
      </c>
      <c r="EI265" s="834">
        <f>+IF(DQ265=DP265,0,
IF(AND(EI$44&gt;1,DQ265=$N265),1-SUM($EE265:EH265),
IF($N265&lt;=1,
IF($N265&gt;0,1/$N265,0),
IF(EI$44=1,0,VDB(1,0,$N265,INT(EI$44-1-1),MIN($N265,INT(EI$44-1-1)+1),$DC265,IF($DD265="No",1,0))/
IF(DP265&gt;=INT($N265),$N265-INT($N265),1)))*
IF(EI$44=1,0,
IF(INT(DQ265)=INT(DP265),DQ265-DP265,INT(DQ265)-DP265))+
IF($N265&lt;=1,
IF($N265&gt;0,1/$N265,0),VDB(1,0,$N265,INT(EI$44-1),MIN($N265,INT(EI$44-1)+1),$DC265,IF($DD265="No",1,0))/
IF(DQ265&gt;INT($N265),$N265-INT($N265),1))*
IF(EI$44=1,DQ265,
IF(INT(DQ265)=INT(DP265),0,DQ265-INT(DQ265)))))</f>
        <v>0</v>
      </c>
      <c r="EJ265" s="835">
        <f>+IF(DR265=DQ265,0,
IF(AND(EJ$44&gt;1,DR265=$N265),1-SUM($EE265:EI265),
IF($N265&lt;=1,
IF($N265&gt;0,1/$N265,0),
IF(EJ$44=1,0,VDB(1,0,$N265,INT(EJ$44-1-1),MIN($N265,INT(EJ$44-1-1)+1),$DC265,IF($DD265="No",1,0))/
IF(DQ265&gt;=INT($N265),$N265-INT($N265),1)))*
IF(EJ$44=1,0,
IF(INT(DR265)=INT(DQ265),DR265-DQ265,INT(DR265)-DQ265))+
IF($N265&lt;=1,
IF($N265&gt;0,1/$N265,0),VDB(1,0,$N265,INT(EJ$44-1),MIN($N265,INT(EJ$44-1)+1),$DC265,IF($DD265="No",1,0))/
IF(DR265&gt;INT($N265),$N265-INT($N265),1))*
IF(EJ$44=1,DR265,
IF(INT(DR265)=INT(DQ265),0,DR265-INT(DR265)))))</f>
        <v>0</v>
      </c>
      <c r="EK265" s="835">
        <f>+IF(DS265=DR265,0,
IF(AND(EK$44&gt;1,DS265=$N265),1-SUM($EE265:EJ265),
IF($N265&lt;=1,
IF($N265&gt;0,1/$N265,0),
IF(EK$44=1,0,VDB(1,0,$N265,INT(EK$44-1-1),MIN($N265,INT(EK$44-1-1)+1),$DC265,IF($DD265="No",1,0))/
IF(DR265&gt;=INT($N265),$N265-INT($N265),1)))*
IF(EK$44=1,0,
IF(INT(DS265)=INT(DR265),DS265-DR265,INT(DS265)-DR265))+
IF($N265&lt;=1,
IF($N265&gt;0,1/$N265,0),VDB(1,0,$N265,INT(EK$44-1),MIN($N265,INT(EK$44-1)+1),$DC265,IF($DD265="No",1,0))/
IF(DS265&gt;INT($N265),$N265-INT($N265),1))*
IF(EK$44=1,DS265,
IF(INT(DS265)=INT(DR265),0,DS265-INT(DS265)))))</f>
        <v>0</v>
      </c>
      <c r="EL265" s="835">
        <f>+IF(DT265=DS265,0,
IF(AND(EL$44&gt;1,DT265=$N265),1-SUM($EE265:EK265),
IF($N265&lt;=1,
IF($N265&gt;0,1/$N265,0),
IF(EL$44=1,0,VDB(1,0,$N265,INT(EL$44-1-1),MIN($N265,INT(EL$44-1-1)+1),$DC265,IF($DD265="No",1,0))/
IF(DS265&gt;=INT($N265),$N265-INT($N265),1)))*
IF(EL$44=1,0,
IF(INT(DT265)=INT(DS265),DT265-DS265,INT(DT265)-DS265))+
IF($N265&lt;=1,
IF($N265&gt;0,1/$N265,0),VDB(1,0,$N265,INT(EL$44-1),MIN($N265,INT(EL$44-1)+1),$DC265,IF($DD265="No",1,0))/
IF(DT265&gt;INT($N265),$N265-INT($N265),1))*
IF(EL$44=1,DT265,
IF(INT(DT265)=INT(DS265),0,DT265-INT(DT265)))))</f>
        <v>0</v>
      </c>
      <c r="EM265" s="836">
        <f>+IF(DU265=DT265,0,
IF(AND(EM$44&gt;1,DU265=$N265),1-SUM($EE265:EL265),
IF($N265&lt;=1,
IF($N265&gt;0,1/$N265,0),
IF(EM$44=1,0,VDB(1,0,$N265,INT(EM$44-1-1),MIN($N265,INT(EM$44-1-1)+1),$DC265,IF($DD265="No",1,0))/
IF(DT265&gt;=INT($N265),$N265-INT($N265),1)))*
IF(EM$44=1,0,
IF(INT(DU265)=INT(DT265),DU265-DT265,INT(DU265)-DT265))+
IF($N265&lt;=1,
IF($N265&gt;0,1/$N265,0),VDB(1,0,$N265,INT(EM$44-1),MIN($N265,INT(EM$44-1)+1),$DC265,IF($DD265="No",1,0))/
IF(DU265&gt;INT($N265),$N265-INT($N265),1))*
IF(EM$44=1,DU265,
IF(INT(DU265)=INT(DT265),0,DU265-INT(DU265)))))</f>
        <v>0</v>
      </c>
      <c r="EN265" s="833"/>
      <c r="EO265" s="834">
        <f>+IF(OR(DW265=DV265,EO$44=1),0,
IF(AND(EO$44&gt;1,DW265=$N265),1-SUM($EN265:EN265),
IF($N265&lt;=1,
IF($N265&gt;0,1/$N265,0),
IF(EO$44=2,0,VDB(1,0,$N265,INT(EO$44-2-1),MIN($N265,INT(EO$44-2-1)+1),$DC265,IF($DD265="No",1,0))/
IF(DV265&gt;=INT($N265),$N265-INT($N265),1)))*
IF(EO$44=2,0,
IF(INT(DW265)=INT(DV265),DW265-DV265,INT(DW265)-DV265))+
IF($N265&lt;=1,
IF($N265&gt;0,1/$N265,0),VDB(1,0,$N265,INT(EO$44-2),MIN($N265,INT(EO$44-2)+1),$DC265,IF($DD265="No",1,0))/
IF(DW265&gt;INT($N265),$N265-INT($N265),1))*
IF(EO$44=2,DW265,
IF(INT(DW265)=INT(DV265),0,DW265-INT(DW265)))))</f>
        <v>0</v>
      </c>
      <c r="EP265" s="835">
        <f>+IF(OR(DX265=DW265,EP$44=1),0,
IF(AND(EP$44&gt;1,DX265=$N265),1-SUM($EN265:EO265),
IF($N265&lt;=1,
IF($N265&gt;0,1/$N265,0),
IF(EP$44=2,0,VDB(1,0,$N265,INT(EP$44-2-1),MIN($N265,INT(EP$44-2-1)+1),$DC265,IF($DD265="No",1,0))/
IF(DW265&gt;=INT($N265),$N265-INT($N265),1)))*
IF(EP$44=2,0,
IF(INT(DX265)=INT(DW265),DX265-DW265,INT(DX265)-DW265))+
IF($N265&lt;=1,
IF($N265&gt;0,1/$N265,0),VDB(1,0,$N265,INT(EP$44-2),MIN($N265,INT(EP$44-2)+1),$DC265,IF($DD265="No",1,0))/
IF(DX265&gt;INT($N265),$N265-INT($N265),1))*
IF(EP$44=2,DX265,
IF(INT(DX265)=INT(DW265),0,DX265-INT(DX265)))))</f>
        <v>0</v>
      </c>
      <c r="EQ265" s="836">
        <f>+IF(OR(DY265=DX265,EQ$44=1),0,
IF(AND(EQ$44&gt;1,DY265=$N265),1-SUM($EN265:EP265),
IF($N265&lt;=1,
IF($N265&gt;0,1/$N265,0),
IF(EQ$44=2,0,VDB(1,0,$N265,INT(EQ$44-2-1),MIN($N265,INT(EQ$44-2-1)+1),$DC265,IF($DD265="No",1,0))/
IF(DX265&gt;=INT($N265),$N265-INT($N265),1)))*
IF(EQ$44=2,0,
IF(INT(DY265)=INT(DX265),DY265-DX265,INT(DY265)-DX265))+
IF($N265&lt;=1,
IF($N265&gt;0,1/$N265,0),VDB(1,0,$N265,INT(EQ$44-2),MIN($N265,INT(EQ$44-2)+1),$DC265,IF($DD265="No",1,0))/
IF(DY265&gt;INT($N265),$N265-INT($N265),1))*
IF(EQ$44=2,DY265,
IF(INT(DY265)=INT(DX265),0,DY265-INT(DY265)))))</f>
        <v>0</v>
      </c>
      <c r="ER265" s="834">
        <f>+IF(OR(DZ265=DY265,ER$44=1),0,
IF(AND(ER$44&gt;1,DZ265=$N265),1-SUM($EN265:EQ265),
IF($N265&lt;=1,
IF($N265&gt;0,1/$N265,0),
IF(ER$44=2,0,VDB(1,0,$N265,INT(ER$44-2-1),MIN($N265,INT(ER$44-2-1)+1),$DC265,IF($DD265="No",1,0))/
IF(DY265&gt;=INT($N265),$N265-INT($N265),1)))*
IF(ER$44=2,0,
IF(INT(DZ265)=INT(DY265),DZ265-DY265,INT(DZ265)-DY265))+
IF($N265&lt;=1,
IF($N265&gt;0,1/$N265,0),VDB(1,0,$N265,INT(ER$44-2),MIN($N265,INT(ER$44-2)+1),$DC265,IF($DD265="No",1,0))/
IF(DZ265&gt;INT($N265),$N265-INT($N265),1))*
IF(ER$44=2,DZ265,
IF(INT(DZ265)=INT(DY265),0,DZ265-INT(DZ265)))))</f>
        <v>0</v>
      </c>
      <c r="ES265" s="835">
        <f>+IF(OR(EA265=DZ265,ES$44=1),0,
IF(AND(ES$44&gt;1,EA265=$N265),1-SUM($EN265:ER265),
IF($N265&lt;=1,
IF($N265&gt;0,1/$N265,0),
IF(ES$44=2,0,VDB(1,0,$N265,INT(ES$44-2-1),MIN($N265,INT(ES$44-2-1)+1),$DC265,IF($DD265="No",1,0))/
IF(DZ265&gt;=INT($N265),$N265-INT($N265),1)))*
IF(ES$44=2,0,
IF(INT(EA265)=INT(DZ265),EA265-DZ265,INT(EA265)-DZ265))+
IF($N265&lt;=1,
IF($N265&gt;0,1/$N265,0),VDB(1,0,$N265,INT(ES$44-2),MIN($N265,INT(ES$44-2)+1),$DC265,IF($DD265="No",1,0))/
IF(EA265&gt;INT($N265),$N265-INT($N265),1))*
IF(ES$44=2,EA265,
IF(INT(EA265)=INT(DZ265),0,EA265-INT(EA265)))))</f>
        <v>0</v>
      </c>
      <c r="ET265" s="835">
        <f>+IF(OR(EB265=EA265,ET$44=1),0,
IF(AND(ET$44&gt;1,EB265=$N265),1-SUM($EN265:ES265),
IF($N265&lt;=1,
IF($N265&gt;0,1/$N265,0),
IF(ET$44=2,0,VDB(1,0,$N265,INT(ET$44-2-1),MIN($N265,INT(ET$44-2-1)+1),$DC265,IF($DD265="No",1,0))/
IF(EA265&gt;=INT($N265),$N265-INT($N265),1)))*
IF(ET$44=2,0,
IF(INT(EB265)=INT(EA265),EB265-EA265,INT(EB265)-EA265))+
IF($N265&lt;=1,
IF($N265&gt;0,1/$N265,0),VDB(1,0,$N265,INT(ET$44-2),MIN($N265,INT(ET$44-2)+1),$DC265,IF($DD265="No",1,0))/
IF(EB265&gt;INT($N265),$N265-INT($N265),1))*
IF(ET$44=2,EB265,
IF(INT(EB265)=INT(EA265),0,EB265-INT(EB265)))))</f>
        <v>0</v>
      </c>
      <c r="EU265" s="835">
        <f>+IF(OR(EC265=EB265,EU$44=1),0,
IF(AND(EU$44&gt;1,EC265=$N265),1-SUM($EN265:ET265),
IF($N265&lt;=1,
IF($N265&gt;0,1/$N265,0),
IF(EU$44=2,0,VDB(1,0,$N265,INT(EU$44-2-1),MIN($N265,INT(EU$44-2-1)+1),$DC265,IF($DD265="No",1,0))/
IF(EB265&gt;=INT($N265),$N265-INT($N265),1)))*
IF(EU$44=2,0,
IF(INT(EC265)=INT(EB265),EC265-EB265,INT(EC265)-EB265))+
IF($N265&lt;=1,
IF($N265&gt;0,1/$N265,0),VDB(1,0,$N265,INT(EU$44-2),MIN($N265,INT(EU$44-2)+1),$DC265,IF($DD265="No",1,0))/
IF(EC265&gt;INT($N265),$N265-INT($N265),1))*
IF(EU$44=2,EC265,
IF(INT(EC265)=INT(EB265),0,EC265-INT(EC265)))))</f>
        <v>0</v>
      </c>
      <c r="EV265" s="836">
        <f>+IF(OR(ED265=EC265,EV$44=1),0,
IF(AND(EV$44&gt;1,ED265=$N265),1-SUM($EN265:EU265),
IF($N265&lt;=1,
IF($N265&gt;0,1/$N265,0),
IF(EV$44=2,0,VDB(1,0,$N265,INT(EV$44-2-1),MIN($N265,INT(EV$44-2-1)+1),$DC265,IF($DD265="No",1,0))/
IF(EC265&gt;=INT($N265),$N265-INT($N265),1)))*
IF(EV$44=2,0,
IF(INT(ED265)=INT(EC265),ED265-EC265,INT(ED265)-EC265))+
IF($N265&lt;=1,
IF($N265&gt;0,1/$N265,0),VDB(1,0,$N265,INT(EV$44-2),MIN($N265,INT(EV$44-2)+1),$DC265,IF($DD265="No",1,0))/
IF(ED265&gt;INT($N265),$N265-INT($N265),1))*
IF(EV$44=2,ED265,
IF(INT(ED265)=INT(EC265),0,ED265-INT(ED265)))))</f>
        <v>0</v>
      </c>
      <c r="EW265" s="833"/>
      <c r="EX265" s="834">
        <f t="shared" ca="1" si="503"/>
        <v>0</v>
      </c>
      <c r="EY265" s="835">
        <f t="shared" ca="1" si="503"/>
        <v>0</v>
      </c>
      <c r="EZ265" s="836">
        <f t="shared" ca="1" si="503"/>
        <v>0</v>
      </c>
      <c r="FA265" s="834">
        <f t="shared" ca="1" si="503"/>
        <v>0</v>
      </c>
      <c r="FB265" s="835">
        <f t="shared" ca="1" si="503"/>
        <v>0</v>
      </c>
      <c r="FC265" s="835">
        <f t="shared" ca="1" si="503"/>
        <v>0</v>
      </c>
      <c r="FD265" s="835">
        <f t="shared" ca="1" si="503"/>
        <v>0</v>
      </c>
      <c r="FE265" s="836">
        <f t="shared" ca="1" si="503"/>
        <v>0</v>
      </c>
      <c r="FG265" s="386">
        <f t="shared" ca="1" si="504"/>
        <v>0</v>
      </c>
      <c r="FH265" s="387">
        <f t="shared" ca="1" si="505"/>
        <v>0</v>
      </c>
      <c r="FI265" s="388">
        <f t="shared" ca="1" si="506"/>
        <v>0</v>
      </c>
      <c r="FJ265" s="386">
        <f t="shared" ca="1" si="507"/>
        <v>0</v>
      </c>
      <c r="FK265" s="387">
        <f t="shared" ca="1" si="508"/>
        <v>0</v>
      </c>
      <c r="FL265" s="387">
        <f t="shared" ca="1" si="509"/>
        <v>0</v>
      </c>
      <c r="FM265" s="387">
        <f t="shared" ca="1" si="510"/>
        <v>0</v>
      </c>
      <c r="FN265" s="388">
        <f t="shared" ca="1" si="511"/>
        <v>0</v>
      </c>
      <c r="FR265" s="116"/>
    </row>
    <row r="266" spans="2:174">
      <c r="B266" s="1410">
        <f t="shared" si="512"/>
        <v>220</v>
      </c>
      <c r="C266" s="400"/>
      <c r="D266" s="410"/>
      <c r="E266" s="402"/>
      <c r="F266" s="402"/>
      <c r="G266" s="400"/>
      <c r="H266" s="2088"/>
      <c r="I266" s="2089"/>
      <c r="J266" s="411"/>
      <c r="K266" s="403"/>
      <c r="L266" s="403"/>
      <c r="M266" s="403"/>
      <c r="N266" s="403"/>
      <c r="O266" s="347"/>
      <c r="P266" s="347"/>
      <c r="Q266" s="1021"/>
      <c r="R266" s="1022"/>
      <c r="S266" s="1022"/>
      <c r="T266" s="1022"/>
      <c r="U266" s="1023"/>
      <c r="V266" s="1021"/>
      <c r="W266" s="1022"/>
      <c r="X266" s="1022"/>
      <c r="Y266" s="1022"/>
      <c r="Z266" s="1023"/>
      <c r="AA266" s="1024"/>
      <c r="AB266" s="1021"/>
      <c r="AC266" s="1022"/>
      <c r="AD266" s="1022"/>
      <c r="AE266" s="1022"/>
      <c r="AF266" s="1023"/>
      <c r="AG266" s="1021"/>
      <c r="AH266" s="1022"/>
      <c r="AI266" s="1022"/>
      <c r="AJ266" s="1022"/>
      <c r="AK266" s="1023"/>
      <c r="AL266" s="1024"/>
      <c r="AM266" s="1021"/>
      <c r="AN266" s="1022"/>
      <c r="AO266" s="1022"/>
      <c r="AP266" s="1022"/>
      <c r="AQ266" s="1023"/>
      <c r="AR266" s="1021"/>
      <c r="AS266" s="1022"/>
      <c r="AT266" s="1022"/>
      <c r="AU266" s="1022"/>
      <c r="AV266" s="1023"/>
      <c r="AW266" s="1025"/>
      <c r="AX266" s="1282">
        <f t="shared" si="457"/>
        <v>0</v>
      </c>
      <c r="AY266" s="387">
        <f t="shared" si="458"/>
        <v>0</v>
      </c>
      <c r="AZ266" s="387">
        <f t="shared" si="459"/>
        <v>0</v>
      </c>
      <c r="BA266" s="387">
        <f t="shared" si="460"/>
        <v>0</v>
      </c>
      <c r="BB266" s="1283">
        <f t="shared" si="461"/>
        <v>0</v>
      </c>
      <c r="BC266" s="386">
        <f t="shared" si="462"/>
        <v>0</v>
      </c>
      <c r="BD266" s="387">
        <f t="shared" si="463"/>
        <v>0</v>
      </c>
      <c r="BE266" s="1277">
        <f t="shared" si="464"/>
        <v>0</v>
      </c>
      <c r="BF266" s="1277">
        <f t="shared" si="465"/>
        <v>0</v>
      </c>
      <c r="BG266" s="388">
        <f t="shared" si="466"/>
        <v>0</v>
      </c>
      <c r="BH266" s="1025"/>
      <c r="BI266" s="1282">
        <f t="shared" ca="1" si="467"/>
        <v>0</v>
      </c>
      <c r="BJ266" s="387">
        <f t="shared" ca="1" si="468"/>
        <v>0</v>
      </c>
      <c r="BK266" s="387">
        <f t="shared" ca="1" si="469"/>
        <v>0</v>
      </c>
      <c r="BL266" s="387">
        <f t="shared" ca="1" si="470"/>
        <v>0</v>
      </c>
      <c r="BM266" s="1283">
        <f t="shared" ca="1" si="471"/>
        <v>0</v>
      </c>
      <c r="BN266" s="386">
        <f t="shared" ca="1" si="472"/>
        <v>0</v>
      </c>
      <c r="BO266" s="387">
        <f t="shared" ca="1" si="473"/>
        <v>0</v>
      </c>
      <c r="BP266" s="1277">
        <f t="shared" ca="1" si="474"/>
        <v>0</v>
      </c>
      <c r="BQ266" s="1277">
        <f t="shared" ca="1" si="475"/>
        <v>0</v>
      </c>
      <c r="BR266" s="388">
        <f t="shared" ca="1" si="476"/>
        <v>0</v>
      </c>
      <c r="BS266" s="1025"/>
      <c r="BT266" s="1282">
        <f>+IF($K266="Ongoing",AX266,IF(RIGHT($K266,2)=RIGHT(BT$43,2),SUM($AX266:AX266),0)+IF(RIGHT(BT$43,2)&gt;RIGHT($K266,2),AX266,0))</f>
        <v>0</v>
      </c>
      <c r="BU266" s="387">
        <f>+IF($K266="Ongoing",AY266,IF(RIGHT($K266,2)=RIGHT(BU$43,2),SUM($AX266:AY266),0)+IF(RIGHT(BU$43,2)&gt;RIGHT($K266,2),AY266,0))</f>
        <v>0</v>
      </c>
      <c r="BV266" s="387">
        <f>+IF($K266="Ongoing",AZ266,IF(RIGHT($K266,2)=RIGHT(BV$43,2),SUM($AX266:AZ266),0)+IF(RIGHT(BV$43,2)&gt;RIGHT($K266,2),AZ266,0))</f>
        <v>0</v>
      </c>
      <c r="BW266" s="387">
        <f>+IF($K266="Ongoing",BA266,IF(RIGHT($K266,2)=RIGHT(BW$43,2),SUM($AX266:BA266),0)+IF(RIGHT(BW$43,2)&gt;RIGHT($K266,2),BA266,0))</f>
        <v>0</v>
      </c>
      <c r="BX266" s="1283">
        <f>+IF($K266="Ongoing",BB266,IF(RIGHT($K266,2)=RIGHT(BX$43,2),SUM($AX266:BB266),0)+IF(RIGHT(BX$43,2)&gt;RIGHT($K266,2),BB266,0))</f>
        <v>0</v>
      </c>
      <c r="BY266" s="386">
        <f>+IF($K266="Ongoing",BC266,IF(RIGHT($K266,2)=RIGHT(BY$43,2),SUM($AX266:BC266),0)+IF(RIGHT(BY$43,2)&gt;RIGHT($K266,2),BC266,0))</f>
        <v>0</v>
      </c>
      <c r="BZ266" s="387">
        <f>+IF($K266="Ongoing",BD266,IF(RIGHT($K266,2)=RIGHT(BZ$43,2),SUM($AX266:BD266),0)+IF(RIGHT(BZ$43,2)&gt;RIGHT($K266,2),BD266,0))</f>
        <v>0</v>
      </c>
      <c r="CA266" s="1277">
        <f>+IF($K266="Ongoing",BE266,IF(RIGHT($K266,2)=RIGHT(CA$43,2),SUM($AX266:BE266),0)+IF(RIGHT(CA$43,2)&gt;RIGHT($K266,2),BE266,0))</f>
        <v>0</v>
      </c>
      <c r="CB266" s="1277">
        <f>+IF($K266="Ongoing",BF266,IF(RIGHT($K266,2)=RIGHT(CB$43,2),SUM($AX266:BF266),0)+IF(RIGHT(CB$43,2)&gt;RIGHT($K266,2),BF266,0))</f>
        <v>0</v>
      </c>
      <c r="CC266" s="388">
        <f>+IF($K266="Ongoing",BG266,IF(RIGHT($K266,2)=RIGHT(CC$43,2),SUM($AX266:BG266),0)+IF(RIGHT(CC$43,2)&gt;RIGHT($K266,2),BG266,0))</f>
        <v>0</v>
      </c>
      <c r="CD266" s="1025"/>
      <c r="CE266" s="1282">
        <f>+Q266*KeyAssumptionsPriceControl_FO!AF$15</f>
        <v>0</v>
      </c>
      <c r="CF266" s="387">
        <f>+R266*KeyAssumptionsPriceControl_FO!AG$15</f>
        <v>0</v>
      </c>
      <c r="CG266" s="387">
        <f>+S266*KeyAssumptionsPriceControl_FO!AH$15</f>
        <v>0</v>
      </c>
      <c r="CH266" s="387">
        <f>+T266*KeyAssumptionsPriceControl_FO!AI$15</f>
        <v>0</v>
      </c>
      <c r="CI266" s="1283">
        <f>+U266*KeyAssumptionsPriceControl_FO!AJ$15</f>
        <v>0</v>
      </c>
      <c r="CJ266" s="386">
        <f>+V266*KeyAssumptionsPriceControl_FO!AK$15</f>
        <v>0</v>
      </c>
      <c r="CK266" s="387">
        <f>+W266*KeyAssumptionsPriceControl_FO!AL$15</f>
        <v>0</v>
      </c>
      <c r="CL266" s="1277">
        <f>+X266*KeyAssumptionsPriceControl_FO!AM$15</f>
        <v>0</v>
      </c>
      <c r="CM266" s="1277">
        <f>+Y266*KeyAssumptionsPriceControl_FO!AN$15</f>
        <v>0</v>
      </c>
      <c r="CN266" s="388">
        <f>+Z266*KeyAssumptionsPriceControl_FO!AO$15</f>
        <v>0</v>
      </c>
      <c r="CO266" s="1025"/>
      <c r="CP266" s="1282">
        <f t="shared" ca="1" si="477"/>
        <v>0</v>
      </c>
      <c r="CQ266" s="387">
        <f t="shared" ca="1" si="478"/>
        <v>0</v>
      </c>
      <c r="CR266" s="387">
        <f t="shared" ca="1" si="479"/>
        <v>0</v>
      </c>
      <c r="CS266" s="387">
        <f t="shared" ca="1" si="480"/>
        <v>0</v>
      </c>
      <c r="CT266" s="1283">
        <f t="shared" ca="1" si="481"/>
        <v>0</v>
      </c>
      <c r="CU266" s="386">
        <f t="shared" ca="1" si="482"/>
        <v>0</v>
      </c>
      <c r="CV266" s="387">
        <f t="shared" ca="1" si="483"/>
        <v>0</v>
      </c>
      <c r="CW266" s="1277">
        <f t="shared" ca="1" si="484"/>
        <v>0</v>
      </c>
      <c r="CX266" s="1277">
        <f t="shared" ca="1" si="485"/>
        <v>0</v>
      </c>
      <c r="CY266" s="388">
        <f t="shared" ca="1" si="486"/>
        <v>0</v>
      </c>
      <c r="CZ266" s="347"/>
      <c r="DA266" s="852"/>
      <c r="DB266" s="347"/>
      <c r="DC266" s="1012" t="s">
        <v>563</v>
      </c>
      <c r="DD266" s="841" t="s">
        <v>518</v>
      </c>
      <c r="DE266" s="386">
        <f>+IF($K266="ongoing",CE266,IF(RIGHT($K266,2)=RIGHT(DE$43,2),SUM($CD266:CE266),0)+IF(RIGHT(DE$43,2)&gt;RIGHT($K266,2),CE266,0))</f>
        <v>0</v>
      </c>
      <c r="DF266" s="387">
        <f>+IF($K266="ongoing",CF266,IF(RIGHT($K266,2)=RIGHT(DF$43,2),SUM($CD266:CF266),0)+IF(RIGHT(DF$43,2)&gt;RIGHT($K266,2),CF266,0))</f>
        <v>0</v>
      </c>
      <c r="DG266" s="388">
        <f>+IF($K266="ongoing",CG266,IF(RIGHT($K266,2)=RIGHT(DG$43,2),SUM($CD266:CG266),0)+IF(RIGHT(DG$43,2)&gt;RIGHT($K266,2),CG266,0))</f>
        <v>0</v>
      </c>
      <c r="DH266" s="386">
        <f>+IF($K266="ongoing",CH266,IF(RIGHT($K266,2)=RIGHT(DH$43,2),SUM($CD266:CH266),0)+IF(RIGHT(DH$43,2)&gt;RIGHT($K266,2),CH266,0))</f>
        <v>0</v>
      </c>
      <c r="DI266" s="387">
        <f>+IF($K266="ongoing",CI266,IF(RIGHT($K266,2)=RIGHT(DI$43,2),SUM($CD266:CI266),0)+IF(RIGHT(DI$43,2)&gt;RIGHT($K266,2),CI266,0))</f>
        <v>0</v>
      </c>
      <c r="DJ266" s="387">
        <f>+IF($K266="ongoing",CJ266,IF(RIGHT($K266,2)=RIGHT(DJ$43,2),SUM($CD266:CJ266),0)+IF(RIGHT(DJ$43,2)&gt;RIGHT($K266,2),CJ266,0))</f>
        <v>0</v>
      </c>
      <c r="DK266" s="387">
        <f>+IF($K266="ongoing",CK266,IF(RIGHT($K266,2)=RIGHT(DK$43,2),SUM($CD266:CK266),0)+IF(RIGHT(DK$43,2)&gt;RIGHT($K266,2),CK266,0))</f>
        <v>0</v>
      </c>
      <c r="DL266" s="388">
        <f>+IF($K266="ongoing",CN266,IF(RIGHT($K266,2)=RIGHT(DL$43,2),SUM($CD266:CN266),0)+IF(RIGHT(DL$43,2)&gt;RIGHT($K266,2),CN266,0))</f>
        <v>0</v>
      </c>
      <c r="DM266" s="841"/>
      <c r="DN266" s="386">
        <f t="shared" si="487"/>
        <v>0.5</v>
      </c>
      <c r="DO266" s="387">
        <f t="shared" si="488"/>
        <v>1</v>
      </c>
      <c r="DP266" s="388">
        <f t="shared" si="489"/>
        <v>1</v>
      </c>
      <c r="DQ266" s="386">
        <f t="shared" si="490"/>
        <v>1</v>
      </c>
      <c r="DR266" s="387">
        <f t="shared" si="491"/>
        <v>1</v>
      </c>
      <c r="DS266" s="387">
        <f t="shared" si="492"/>
        <v>1</v>
      </c>
      <c r="DT266" s="387">
        <f t="shared" si="493"/>
        <v>1</v>
      </c>
      <c r="DU266" s="388">
        <f t="shared" si="494"/>
        <v>1</v>
      </c>
      <c r="DW266" s="386">
        <f t="shared" si="495"/>
        <v>0</v>
      </c>
      <c r="DX266" s="387">
        <f t="shared" si="496"/>
        <v>0.5</v>
      </c>
      <c r="DY266" s="388">
        <f t="shared" si="497"/>
        <v>1</v>
      </c>
      <c r="DZ266" s="386">
        <f t="shared" si="498"/>
        <v>1</v>
      </c>
      <c r="EA266" s="387">
        <f t="shared" si="499"/>
        <v>1</v>
      </c>
      <c r="EB266" s="387">
        <f t="shared" si="500"/>
        <v>1</v>
      </c>
      <c r="EC266" s="387">
        <f t="shared" si="501"/>
        <v>1</v>
      </c>
      <c r="ED266" s="388">
        <f t="shared" si="502"/>
        <v>1</v>
      </c>
      <c r="EF266" s="834">
        <f>+IF(DN266=DM266,0,
IF(AND(EF$44&gt;1,DN266=$N266),1-SUM($EE266:EE266),
IF($N266&lt;=1,
IF($N266&gt;0,1/$N266,0),
IF(EF$44=1,0,VDB(1,0,$N266,INT(EF$44-1-1),MIN($N266,INT(EF$44-1-1)+1),$DC266,IF($DD266="No",1,0))/
IF(DM266&gt;=INT($N266),$N266-INT($N266),1)))*
IF(EF$44=1,0,
IF(INT(DN266)=INT(DM266),DN266-DM266,INT(DN266)-DM266))+
IF($N266&lt;=1,
IF($N266&gt;0,1/$N266,0),VDB(1,0,$N266,INT(EF$44-1),MIN($N266,INT(EF$44-1)+1),$DC266,IF($DD266="No",1,0))/
IF(DN266&gt;INT($N266),$N266-INT($N266),1))*
IF(EF$44=1,DN266,
IF(INT(DN266)=INT(DM266),0,DN266-INT(DN266)))))</f>
        <v>0</v>
      </c>
      <c r="EG266" s="835">
        <f>+IF(DO266=DN266,0,
IF(AND(EG$44&gt;1,DO266=$N266),1-SUM($EE266:EF266),
IF($N266&lt;=1,
IF($N266&gt;0,1/$N266,0),
IF(EG$44=1,0,VDB(1,0,$N266,INT(EG$44-1-1),MIN($N266,INT(EG$44-1-1)+1),$DC266,IF($DD266="No",1,0))/
IF(DN266&gt;=INT($N266),$N266-INT($N266),1)))*
IF(EG$44=1,0,
IF(INT(DO266)=INT(DN266),DO266-DN266,INT(DO266)-DN266))+
IF($N266&lt;=1,
IF($N266&gt;0,1/$N266,0),VDB(1,0,$N266,INT(EG$44-1),MIN($N266,INT(EG$44-1)+1),$DC266,IF($DD266="No",1,0))/
IF(DO266&gt;INT($N266),$N266-INT($N266),1))*
IF(EG$44=1,DO266,
IF(INT(DO266)=INT(DN266),0,DO266-INT(DO266)))))</f>
        <v>0</v>
      </c>
      <c r="EH266" s="836">
        <f>+IF(DP266=DO266,0,
IF(AND(EH$44&gt;1,DP266=$N266),1-SUM($EE266:EG266),
IF($N266&lt;=1,
IF($N266&gt;0,1/$N266,0),
IF(EH$44=1,0,VDB(1,0,$N266,INT(EH$44-1-1),MIN($N266,INT(EH$44-1-1)+1),$DC266,IF($DD266="No",1,0))/
IF(DO266&gt;=INT($N266),$N266-INT($N266),1)))*
IF(EH$44=1,0,
IF(INT(DP266)=INT(DO266),DP266-DO266,INT(DP266)-DO266))+
IF($N266&lt;=1,
IF($N266&gt;0,1/$N266,0),VDB(1,0,$N266,INT(EH$44-1),MIN($N266,INT(EH$44-1)+1),$DC266,IF($DD266="No",1,0))/
IF(DP266&gt;INT($N266),$N266-INT($N266),1))*
IF(EH$44=1,DP266,
IF(INT(DP266)=INT(DO266),0,DP266-INT(DP266)))))</f>
        <v>0</v>
      </c>
      <c r="EI266" s="834">
        <f>+IF(DQ266=DP266,0,
IF(AND(EI$44&gt;1,DQ266=$N266),1-SUM($EE266:EH266),
IF($N266&lt;=1,
IF($N266&gt;0,1/$N266,0),
IF(EI$44=1,0,VDB(1,0,$N266,INT(EI$44-1-1),MIN($N266,INT(EI$44-1-1)+1),$DC266,IF($DD266="No",1,0))/
IF(DP266&gt;=INT($N266),$N266-INT($N266),1)))*
IF(EI$44=1,0,
IF(INT(DQ266)=INT(DP266),DQ266-DP266,INT(DQ266)-DP266))+
IF($N266&lt;=1,
IF($N266&gt;0,1/$N266,0),VDB(1,0,$N266,INT(EI$44-1),MIN($N266,INT(EI$44-1)+1),$DC266,IF($DD266="No",1,0))/
IF(DQ266&gt;INT($N266),$N266-INT($N266),1))*
IF(EI$44=1,DQ266,
IF(INT(DQ266)=INT(DP266),0,DQ266-INT(DQ266)))))</f>
        <v>0</v>
      </c>
      <c r="EJ266" s="835">
        <f>+IF(DR266=DQ266,0,
IF(AND(EJ$44&gt;1,DR266=$N266),1-SUM($EE266:EI266),
IF($N266&lt;=1,
IF($N266&gt;0,1/$N266,0),
IF(EJ$44=1,0,VDB(1,0,$N266,INT(EJ$44-1-1),MIN($N266,INT(EJ$44-1-1)+1),$DC266,IF($DD266="No",1,0))/
IF(DQ266&gt;=INT($N266),$N266-INT($N266),1)))*
IF(EJ$44=1,0,
IF(INT(DR266)=INT(DQ266),DR266-DQ266,INT(DR266)-DQ266))+
IF($N266&lt;=1,
IF($N266&gt;0,1/$N266,0),VDB(1,0,$N266,INT(EJ$44-1),MIN($N266,INT(EJ$44-1)+1),$DC266,IF($DD266="No",1,0))/
IF(DR266&gt;INT($N266),$N266-INT($N266),1))*
IF(EJ$44=1,DR266,
IF(INT(DR266)=INT(DQ266),0,DR266-INT(DR266)))))</f>
        <v>0</v>
      </c>
      <c r="EK266" s="835">
        <f>+IF(DS266=DR266,0,
IF(AND(EK$44&gt;1,DS266=$N266),1-SUM($EE266:EJ266),
IF($N266&lt;=1,
IF($N266&gt;0,1/$N266,0),
IF(EK$44=1,0,VDB(1,0,$N266,INT(EK$44-1-1),MIN($N266,INT(EK$44-1-1)+1),$DC266,IF($DD266="No",1,0))/
IF(DR266&gt;=INT($N266),$N266-INT($N266),1)))*
IF(EK$44=1,0,
IF(INT(DS266)=INT(DR266),DS266-DR266,INT(DS266)-DR266))+
IF($N266&lt;=1,
IF($N266&gt;0,1/$N266,0),VDB(1,0,$N266,INT(EK$44-1),MIN($N266,INT(EK$44-1)+1),$DC266,IF($DD266="No",1,0))/
IF(DS266&gt;INT($N266),$N266-INT($N266),1))*
IF(EK$44=1,DS266,
IF(INT(DS266)=INT(DR266),0,DS266-INT(DS266)))))</f>
        <v>0</v>
      </c>
      <c r="EL266" s="835">
        <f>+IF(DT266=DS266,0,
IF(AND(EL$44&gt;1,DT266=$N266),1-SUM($EE266:EK266),
IF($N266&lt;=1,
IF($N266&gt;0,1/$N266,0),
IF(EL$44=1,0,VDB(1,0,$N266,INT(EL$44-1-1),MIN($N266,INT(EL$44-1-1)+1),$DC266,IF($DD266="No",1,0))/
IF(DS266&gt;=INT($N266),$N266-INT($N266),1)))*
IF(EL$44=1,0,
IF(INT(DT266)=INT(DS266),DT266-DS266,INT(DT266)-DS266))+
IF($N266&lt;=1,
IF($N266&gt;0,1/$N266,0),VDB(1,0,$N266,INT(EL$44-1),MIN($N266,INT(EL$44-1)+1),$DC266,IF($DD266="No",1,0))/
IF(DT266&gt;INT($N266),$N266-INT($N266),1))*
IF(EL$44=1,DT266,
IF(INT(DT266)=INT(DS266),0,DT266-INT(DT266)))))</f>
        <v>0</v>
      </c>
      <c r="EM266" s="836">
        <f>+IF(DU266=DT266,0,
IF(AND(EM$44&gt;1,DU266=$N266),1-SUM($EE266:EL266),
IF($N266&lt;=1,
IF($N266&gt;0,1/$N266,0),
IF(EM$44=1,0,VDB(1,0,$N266,INT(EM$44-1-1),MIN($N266,INT(EM$44-1-1)+1),$DC266,IF($DD266="No",1,0))/
IF(DT266&gt;=INT($N266),$N266-INT($N266),1)))*
IF(EM$44=1,0,
IF(INT(DU266)=INT(DT266),DU266-DT266,INT(DU266)-DT266))+
IF($N266&lt;=1,
IF($N266&gt;0,1/$N266,0),VDB(1,0,$N266,INT(EM$44-1),MIN($N266,INT(EM$44-1)+1),$DC266,IF($DD266="No",1,0))/
IF(DU266&gt;INT($N266),$N266-INT($N266),1))*
IF(EM$44=1,DU266,
IF(INT(DU266)=INT(DT266),0,DU266-INT(DU266)))))</f>
        <v>0</v>
      </c>
      <c r="EN266" s="833"/>
      <c r="EO266" s="834">
        <f>+IF(OR(DW266=DV266,EO$44=1),0,
IF(AND(EO$44&gt;1,DW266=$N266),1-SUM($EN266:EN266),
IF($N266&lt;=1,
IF($N266&gt;0,1/$N266,0),
IF(EO$44=2,0,VDB(1,0,$N266,INT(EO$44-2-1),MIN($N266,INT(EO$44-2-1)+1),$DC266,IF($DD266="No",1,0))/
IF(DV266&gt;=INT($N266),$N266-INT($N266),1)))*
IF(EO$44=2,0,
IF(INT(DW266)=INT(DV266),DW266-DV266,INT(DW266)-DV266))+
IF($N266&lt;=1,
IF($N266&gt;0,1/$N266,0),VDB(1,0,$N266,INT(EO$44-2),MIN($N266,INT(EO$44-2)+1),$DC266,IF($DD266="No",1,0))/
IF(DW266&gt;INT($N266),$N266-INT($N266),1))*
IF(EO$44=2,DW266,
IF(INT(DW266)=INT(DV266),0,DW266-INT(DW266)))))</f>
        <v>0</v>
      </c>
      <c r="EP266" s="835">
        <f>+IF(OR(DX266=DW266,EP$44=1),0,
IF(AND(EP$44&gt;1,DX266=$N266),1-SUM($EN266:EO266),
IF($N266&lt;=1,
IF($N266&gt;0,1/$N266,0),
IF(EP$44=2,0,VDB(1,0,$N266,INT(EP$44-2-1),MIN($N266,INT(EP$44-2-1)+1),$DC266,IF($DD266="No",1,0))/
IF(DW266&gt;=INT($N266),$N266-INT($N266),1)))*
IF(EP$44=2,0,
IF(INT(DX266)=INT(DW266),DX266-DW266,INT(DX266)-DW266))+
IF($N266&lt;=1,
IF($N266&gt;0,1/$N266,0),VDB(1,0,$N266,INT(EP$44-2),MIN($N266,INT(EP$44-2)+1),$DC266,IF($DD266="No",1,0))/
IF(DX266&gt;INT($N266),$N266-INT($N266),1))*
IF(EP$44=2,DX266,
IF(INT(DX266)=INT(DW266),0,DX266-INT(DX266)))))</f>
        <v>0</v>
      </c>
      <c r="EQ266" s="836">
        <f>+IF(OR(DY266=DX266,EQ$44=1),0,
IF(AND(EQ$44&gt;1,DY266=$N266),1-SUM($EN266:EP266),
IF($N266&lt;=1,
IF($N266&gt;0,1/$N266,0),
IF(EQ$44=2,0,VDB(1,0,$N266,INT(EQ$44-2-1),MIN($N266,INT(EQ$44-2-1)+1),$DC266,IF($DD266="No",1,0))/
IF(DX266&gt;=INT($N266),$N266-INT($N266),1)))*
IF(EQ$44=2,0,
IF(INT(DY266)=INT(DX266),DY266-DX266,INT(DY266)-DX266))+
IF($N266&lt;=1,
IF($N266&gt;0,1/$N266,0),VDB(1,0,$N266,INT(EQ$44-2),MIN($N266,INT(EQ$44-2)+1),$DC266,IF($DD266="No",1,0))/
IF(DY266&gt;INT($N266),$N266-INT($N266),1))*
IF(EQ$44=2,DY266,
IF(INT(DY266)=INT(DX266),0,DY266-INT(DY266)))))</f>
        <v>0</v>
      </c>
      <c r="ER266" s="834">
        <f>+IF(OR(DZ266=DY266,ER$44=1),0,
IF(AND(ER$44&gt;1,DZ266=$N266),1-SUM($EN266:EQ266),
IF($N266&lt;=1,
IF($N266&gt;0,1/$N266,0),
IF(ER$44=2,0,VDB(1,0,$N266,INT(ER$44-2-1),MIN($N266,INT(ER$44-2-1)+1),$DC266,IF($DD266="No",1,0))/
IF(DY266&gt;=INT($N266),$N266-INT($N266),1)))*
IF(ER$44=2,0,
IF(INT(DZ266)=INT(DY266),DZ266-DY266,INT(DZ266)-DY266))+
IF($N266&lt;=1,
IF($N266&gt;0,1/$N266,0),VDB(1,0,$N266,INT(ER$44-2),MIN($N266,INT(ER$44-2)+1),$DC266,IF($DD266="No",1,0))/
IF(DZ266&gt;INT($N266),$N266-INT($N266),1))*
IF(ER$44=2,DZ266,
IF(INT(DZ266)=INT(DY266),0,DZ266-INT(DZ266)))))</f>
        <v>0</v>
      </c>
      <c r="ES266" s="835">
        <f>+IF(OR(EA266=DZ266,ES$44=1),0,
IF(AND(ES$44&gt;1,EA266=$N266),1-SUM($EN266:ER266),
IF($N266&lt;=1,
IF($N266&gt;0,1/$N266,0),
IF(ES$44=2,0,VDB(1,0,$N266,INT(ES$44-2-1),MIN($N266,INT(ES$44-2-1)+1),$DC266,IF($DD266="No",1,0))/
IF(DZ266&gt;=INT($N266),$N266-INT($N266),1)))*
IF(ES$44=2,0,
IF(INT(EA266)=INT(DZ266),EA266-DZ266,INT(EA266)-DZ266))+
IF($N266&lt;=1,
IF($N266&gt;0,1/$N266,0),VDB(1,0,$N266,INT(ES$44-2),MIN($N266,INT(ES$44-2)+1),$DC266,IF($DD266="No",1,0))/
IF(EA266&gt;INT($N266),$N266-INT($N266),1))*
IF(ES$44=2,EA266,
IF(INT(EA266)=INT(DZ266),0,EA266-INT(EA266)))))</f>
        <v>0</v>
      </c>
      <c r="ET266" s="835">
        <f>+IF(OR(EB266=EA266,ET$44=1),0,
IF(AND(ET$44&gt;1,EB266=$N266),1-SUM($EN266:ES266),
IF($N266&lt;=1,
IF($N266&gt;0,1/$N266,0),
IF(ET$44=2,0,VDB(1,0,$N266,INT(ET$44-2-1),MIN($N266,INT(ET$44-2-1)+1),$DC266,IF($DD266="No",1,0))/
IF(EA266&gt;=INT($N266),$N266-INT($N266),1)))*
IF(ET$44=2,0,
IF(INT(EB266)=INT(EA266),EB266-EA266,INT(EB266)-EA266))+
IF($N266&lt;=1,
IF($N266&gt;0,1/$N266,0),VDB(1,0,$N266,INT(ET$44-2),MIN($N266,INT(ET$44-2)+1),$DC266,IF($DD266="No",1,0))/
IF(EB266&gt;INT($N266),$N266-INT($N266),1))*
IF(ET$44=2,EB266,
IF(INT(EB266)=INT(EA266),0,EB266-INT(EB266)))))</f>
        <v>0</v>
      </c>
      <c r="EU266" s="835">
        <f>+IF(OR(EC266=EB266,EU$44=1),0,
IF(AND(EU$44&gt;1,EC266=$N266),1-SUM($EN266:ET266),
IF($N266&lt;=1,
IF($N266&gt;0,1/$N266,0),
IF(EU$44=2,0,VDB(1,0,$N266,INT(EU$44-2-1),MIN($N266,INT(EU$44-2-1)+1),$DC266,IF($DD266="No",1,0))/
IF(EB266&gt;=INT($N266),$N266-INT($N266),1)))*
IF(EU$44=2,0,
IF(INT(EC266)=INT(EB266),EC266-EB266,INT(EC266)-EB266))+
IF($N266&lt;=1,
IF($N266&gt;0,1/$N266,0),VDB(1,0,$N266,INT(EU$44-2),MIN($N266,INT(EU$44-2)+1),$DC266,IF($DD266="No",1,0))/
IF(EC266&gt;INT($N266),$N266-INT($N266),1))*
IF(EU$44=2,EC266,
IF(INT(EC266)=INT(EB266),0,EC266-INT(EC266)))))</f>
        <v>0</v>
      </c>
      <c r="EV266" s="836">
        <f>+IF(OR(ED266=EC266,EV$44=1),0,
IF(AND(EV$44&gt;1,ED266=$N266),1-SUM($EN266:EU266),
IF($N266&lt;=1,
IF($N266&gt;0,1/$N266,0),
IF(EV$44=2,0,VDB(1,0,$N266,INT(EV$44-2-1),MIN($N266,INT(EV$44-2-1)+1),$DC266,IF($DD266="No",1,0))/
IF(EC266&gt;=INT($N266),$N266-INT($N266),1)))*
IF(EV$44=2,0,
IF(INT(ED266)=INT(EC266),ED266-EC266,INT(ED266)-EC266))+
IF($N266&lt;=1,
IF($N266&gt;0,1/$N266,0),VDB(1,0,$N266,INT(EV$44-2),MIN($N266,INT(EV$44-2)+1),$DC266,IF($DD266="No",1,0))/
IF(ED266&gt;INT($N266),$N266-INT($N266),1))*
IF(EV$44=2,ED266,
IF(INT(ED266)=INT(EC266),0,ED266-INT(ED266)))))</f>
        <v>0</v>
      </c>
      <c r="EW266" s="833"/>
      <c r="EX266" s="834">
        <f t="shared" ca="1" si="503"/>
        <v>0</v>
      </c>
      <c r="EY266" s="835">
        <f t="shared" ca="1" si="503"/>
        <v>0</v>
      </c>
      <c r="EZ266" s="836">
        <f t="shared" ca="1" si="503"/>
        <v>0</v>
      </c>
      <c r="FA266" s="834">
        <f t="shared" ca="1" si="503"/>
        <v>0</v>
      </c>
      <c r="FB266" s="835">
        <f t="shared" ca="1" si="503"/>
        <v>0</v>
      </c>
      <c r="FC266" s="835">
        <f t="shared" ca="1" si="503"/>
        <v>0</v>
      </c>
      <c r="FD266" s="835">
        <f t="shared" ca="1" si="503"/>
        <v>0</v>
      </c>
      <c r="FE266" s="836">
        <f t="shared" ca="1" si="503"/>
        <v>0</v>
      </c>
      <c r="FG266" s="386">
        <f t="shared" ca="1" si="504"/>
        <v>0</v>
      </c>
      <c r="FH266" s="387">
        <f t="shared" ca="1" si="505"/>
        <v>0</v>
      </c>
      <c r="FI266" s="388">
        <f t="shared" ca="1" si="506"/>
        <v>0</v>
      </c>
      <c r="FJ266" s="386">
        <f t="shared" ca="1" si="507"/>
        <v>0</v>
      </c>
      <c r="FK266" s="387">
        <f t="shared" ca="1" si="508"/>
        <v>0</v>
      </c>
      <c r="FL266" s="387">
        <f t="shared" ca="1" si="509"/>
        <v>0</v>
      </c>
      <c r="FM266" s="387">
        <f t="shared" ca="1" si="510"/>
        <v>0</v>
      </c>
      <c r="FN266" s="388">
        <f t="shared" ca="1" si="511"/>
        <v>0</v>
      </c>
      <c r="FR266" s="116"/>
    </row>
    <row r="267" spans="2:174">
      <c r="B267" s="1410">
        <f t="shared" si="512"/>
        <v>221</v>
      </c>
      <c r="C267" s="400"/>
      <c r="D267" s="410"/>
      <c r="E267" s="402"/>
      <c r="F267" s="402"/>
      <c r="G267" s="400"/>
      <c r="H267" s="2088"/>
      <c r="I267" s="2089"/>
      <c r="J267" s="411"/>
      <c r="K267" s="403"/>
      <c r="L267" s="403"/>
      <c r="M267" s="403"/>
      <c r="N267" s="403"/>
      <c r="O267" s="347"/>
      <c r="P267" s="347"/>
      <c r="Q267" s="1021"/>
      <c r="R267" s="1022"/>
      <c r="S267" s="1022"/>
      <c r="T267" s="1022"/>
      <c r="U267" s="1023"/>
      <c r="V267" s="1021"/>
      <c r="W267" s="1022"/>
      <c r="X267" s="1022"/>
      <c r="Y267" s="1022"/>
      <c r="Z267" s="1023"/>
      <c r="AA267" s="1024"/>
      <c r="AB267" s="1021"/>
      <c r="AC267" s="1022"/>
      <c r="AD267" s="1022"/>
      <c r="AE267" s="1022"/>
      <c r="AF267" s="1023"/>
      <c r="AG267" s="1021"/>
      <c r="AH267" s="1022"/>
      <c r="AI267" s="1022"/>
      <c r="AJ267" s="1022"/>
      <c r="AK267" s="1023"/>
      <c r="AL267" s="1024"/>
      <c r="AM267" s="1021"/>
      <c r="AN267" s="1022"/>
      <c r="AO267" s="1022"/>
      <c r="AP267" s="1022"/>
      <c r="AQ267" s="1023"/>
      <c r="AR267" s="1021"/>
      <c r="AS267" s="1022"/>
      <c r="AT267" s="1022"/>
      <c r="AU267" s="1022"/>
      <c r="AV267" s="1023"/>
      <c r="AW267" s="1025"/>
      <c r="AX267" s="1282">
        <f t="shared" si="457"/>
        <v>0</v>
      </c>
      <c r="AY267" s="387">
        <f t="shared" si="458"/>
        <v>0</v>
      </c>
      <c r="AZ267" s="387">
        <f t="shared" si="459"/>
        <v>0</v>
      </c>
      <c r="BA267" s="387">
        <f t="shared" si="460"/>
        <v>0</v>
      </c>
      <c r="BB267" s="1283">
        <f t="shared" si="461"/>
        <v>0</v>
      </c>
      <c r="BC267" s="386">
        <f t="shared" si="462"/>
        <v>0</v>
      </c>
      <c r="BD267" s="387">
        <f t="shared" si="463"/>
        <v>0</v>
      </c>
      <c r="BE267" s="1277">
        <f t="shared" si="464"/>
        <v>0</v>
      </c>
      <c r="BF267" s="1277">
        <f t="shared" si="465"/>
        <v>0</v>
      </c>
      <c r="BG267" s="388">
        <f t="shared" si="466"/>
        <v>0</v>
      </c>
      <c r="BH267" s="1025"/>
      <c r="BI267" s="1282">
        <f t="shared" ca="1" si="467"/>
        <v>0</v>
      </c>
      <c r="BJ267" s="387">
        <f t="shared" ca="1" si="468"/>
        <v>0</v>
      </c>
      <c r="BK267" s="387">
        <f t="shared" ca="1" si="469"/>
        <v>0</v>
      </c>
      <c r="BL267" s="387">
        <f t="shared" ca="1" si="470"/>
        <v>0</v>
      </c>
      <c r="BM267" s="1283">
        <f t="shared" ca="1" si="471"/>
        <v>0</v>
      </c>
      <c r="BN267" s="386">
        <f t="shared" ca="1" si="472"/>
        <v>0</v>
      </c>
      <c r="BO267" s="387">
        <f t="shared" ca="1" si="473"/>
        <v>0</v>
      </c>
      <c r="BP267" s="1277">
        <f t="shared" ca="1" si="474"/>
        <v>0</v>
      </c>
      <c r="BQ267" s="1277">
        <f t="shared" ca="1" si="475"/>
        <v>0</v>
      </c>
      <c r="BR267" s="388">
        <f t="shared" ca="1" si="476"/>
        <v>0</v>
      </c>
      <c r="BS267" s="1025"/>
      <c r="BT267" s="1282">
        <f>+IF($K267="Ongoing",AX267,IF(RIGHT($K267,2)=RIGHT(BT$43,2),SUM($AX267:AX267),0)+IF(RIGHT(BT$43,2)&gt;RIGHT($K267,2),AX267,0))</f>
        <v>0</v>
      </c>
      <c r="BU267" s="387">
        <f>+IF($K267="Ongoing",AY267,IF(RIGHT($K267,2)=RIGHT(BU$43,2),SUM($AX267:AY267),0)+IF(RIGHT(BU$43,2)&gt;RIGHT($K267,2),AY267,0))</f>
        <v>0</v>
      </c>
      <c r="BV267" s="387">
        <f>+IF($K267="Ongoing",AZ267,IF(RIGHT($K267,2)=RIGHT(BV$43,2),SUM($AX267:AZ267),0)+IF(RIGHT(BV$43,2)&gt;RIGHT($K267,2),AZ267,0))</f>
        <v>0</v>
      </c>
      <c r="BW267" s="387">
        <f>+IF($K267="Ongoing",BA267,IF(RIGHT($K267,2)=RIGHT(BW$43,2),SUM($AX267:BA267),0)+IF(RIGHT(BW$43,2)&gt;RIGHT($K267,2),BA267,0))</f>
        <v>0</v>
      </c>
      <c r="BX267" s="1283">
        <f>+IF($K267="Ongoing",BB267,IF(RIGHT($K267,2)=RIGHT(BX$43,2),SUM($AX267:BB267),0)+IF(RIGHT(BX$43,2)&gt;RIGHT($K267,2),BB267,0))</f>
        <v>0</v>
      </c>
      <c r="BY267" s="386">
        <f>+IF($K267="Ongoing",BC267,IF(RIGHT($K267,2)=RIGHT(BY$43,2),SUM($AX267:BC267),0)+IF(RIGHT(BY$43,2)&gt;RIGHT($K267,2),BC267,0))</f>
        <v>0</v>
      </c>
      <c r="BZ267" s="387">
        <f>+IF($K267="Ongoing",BD267,IF(RIGHT($K267,2)=RIGHT(BZ$43,2),SUM($AX267:BD267),0)+IF(RIGHT(BZ$43,2)&gt;RIGHT($K267,2),BD267,0))</f>
        <v>0</v>
      </c>
      <c r="CA267" s="1277">
        <f>+IF($K267="Ongoing",BE267,IF(RIGHT($K267,2)=RIGHT(CA$43,2),SUM($AX267:BE267),0)+IF(RIGHT(CA$43,2)&gt;RIGHT($K267,2),BE267,0))</f>
        <v>0</v>
      </c>
      <c r="CB267" s="1277">
        <f>+IF($K267="Ongoing",BF267,IF(RIGHT($K267,2)=RIGHT(CB$43,2),SUM($AX267:BF267),0)+IF(RIGHT(CB$43,2)&gt;RIGHT($K267,2),BF267,0))</f>
        <v>0</v>
      </c>
      <c r="CC267" s="388">
        <f>+IF($K267="Ongoing",BG267,IF(RIGHT($K267,2)=RIGHT(CC$43,2),SUM($AX267:BG267),0)+IF(RIGHT(CC$43,2)&gt;RIGHT($K267,2),BG267,0))</f>
        <v>0</v>
      </c>
      <c r="CD267" s="1025"/>
      <c r="CE267" s="1282">
        <f>+Q267*KeyAssumptionsPriceControl_FO!AF$15</f>
        <v>0</v>
      </c>
      <c r="CF267" s="387">
        <f>+R267*KeyAssumptionsPriceControl_FO!AG$15</f>
        <v>0</v>
      </c>
      <c r="CG267" s="387">
        <f>+S267*KeyAssumptionsPriceControl_FO!AH$15</f>
        <v>0</v>
      </c>
      <c r="CH267" s="387">
        <f>+T267*KeyAssumptionsPriceControl_FO!AI$15</f>
        <v>0</v>
      </c>
      <c r="CI267" s="1283">
        <f>+U267*KeyAssumptionsPriceControl_FO!AJ$15</f>
        <v>0</v>
      </c>
      <c r="CJ267" s="386">
        <f>+V267*KeyAssumptionsPriceControl_FO!AK$15</f>
        <v>0</v>
      </c>
      <c r="CK267" s="387">
        <f>+W267*KeyAssumptionsPriceControl_FO!AL$15</f>
        <v>0</v>
      </c>
      <c r="CL267" s="1277">
        <f>+X267*KeyAssumptionsPriceControl_FO!AM$15</f>
        <v>0</v>
      </c>
      <c r="CM267" s="1277">
        <f>+Y267*KeyAssumptionsPriceControl_FO!AN$15</f>
        <v>0</v>
      </c>
      <c r="CN267" s="388">
        <f>+Z267*KeyAssumptionsPriceControl_FO!AO$15</f>
        <v>0</v>
      </c>
      <c r="CO267" s="1025"/>
      <c r="CP267" s="1282">
        <f t="shared" ca="1" si="477"/>
        <v>0</v>
      </c>
      <c r="CQ267" s="387">
        <f t="shared" ca="1" si="478"/>
        <v>0</v>
      </c>
      <c r="CR267" s="387">
        <f t="shared" ca="1" si="479"/>
        <v>0</v>
      </c>
      <c r="CS267" s="387">
        <f t="shared" ca="1" si="480"/>
        <v>0</v>
      </c>
      <c r="CT267" s="1283">
        <f t="shared" ca="1" si="481"/>
        <v>0</v>
      </c>
      <c r="CU267" s="386">
        <f t="shared" ca="1" si="482"/>
        <v>0</v>
      </c>
      <c r="CV267" s="387">
        <f t="shared" ca="1" si="483"/>
        <v>0</v>
      </c>
      <c r="CW267" s="1277">
        <f t="shared" ca="1" si="484"/>
        <v>0</v>
      </c>
      <c r="CX267" s="1277">
        <f t="shared" ca="1" si="485"/>
        <v>0</v>
      </c>
      <c r="CY267" s="388">
        <f t="shared" ca="1" si="486"/>
        <v>0</v>
      </c>
      <c r="CZ267" s="347"/>
      <c r="DA267" s="852"/>
      <c r="DB267" s="347"/>
      <c r="DC267" s="1012" t="s">
        <v>565</v>
      </c>
      <c r="DD267" s="841" t="s">
        <v>518</v>
      </c>
      <c r="DE267" s="386">
        <f>+IF($K267="ongoing",CE267,IF(RIGHT($K267,2)=RIGHT(DE$43,2),SUM($CD267:CE267),0)+IF(RIGHT(DE$43,2)&gt;RIGHT($K267,2),CE267,0))</f>
        <v>0</v>
      </c>
      <c r="DF267" s="387">
        <f>+IF($K267="ongoing",CF267,IF(RIGHT($K267,2)=RIGHT(DF$43,2),SUM($CD267:CF267),0)+IF(RIGHT(DF$43,2)&gt;RIGHT($K267,2),CF267,0))</f>
        <v>0</v>
      </c>
      <c r="DG267" s="388">
        <f>+IF($K267="ongoing",CG267,IF(RIGHT($K267,2)=RIGHT(DG$43,2),SUM($CD267:CG267),0)+IF(RIGHT(DG$43,2)&gt;RIGHT($K267,2),CG267,0))</f>
        <v>0</v>
      </c>
      <c r="DH267" s="386">
        <f>+IF($K267="ongoing",CH267,IF(RIGHT($K267,2)=RIGHT(DH$43,2),SUM($CD267:CH267),0)+IF(RIGHT(DH$43,2)&gt;RIGHT($K267,2),CH267,0))</f>
        <v>0</v>
      </c>
      <c r="DI267" s="387">
        <f>+IF($K267="ongoing",CI267,IF(RIGHT($K267,2)=RIGHT(DI$43,2),SUM($CD267:CI267),0)+IF(RIGHT(DI$43,2)&gt;RIGHT($K267,2),CI267,0))</f>
        <v>0</v>
      </c>
      <c r="DJ267" s="387">
        <f>+IF($K267="ongoing",CJ267,IF(RIGHT($K267,2)=RIGHT(DJ$43,2),SUM($CD267:CJ267),0)+IF(RIGHT(DJ$43,2)&gt;RIGHT($K267,2),CJ267,0))</f>
        <v>0</v>
      </c>
      <c r="DK267" s="387">
        <f>+IF($K267="ongoing",CK267,IF(RIGHT($K267,2)=RIGHT(DK$43,2),SUM($CD267:CK267),0)+IF(RIGHT(DK$43,2)&gt;RIGHT($K267,2),CK267,0))</f>
        <v>0</v>
      </c>
      <c r="DL267" s="388">
        <f>+IF($K267="ongoing",CN267,IF(RIGHT($K267,2)=RIGHT(DL$43,2),SUM($CD267:CN267),0)+IF(RIGHT(DL$43,2)&gt;RIGHT($K267,2),CN267,0))</f>
        <v>0</v>
      </c>
      <c r="DM267" s="841"/>
      <c r="DN267" s="386">
        <f t="shared" si="487"/>
        <v>0.5</v>
      </c>
      <c r="DO267" s="387">
        <f t="shared" si="488"/>
        <v>1</v>
      </c>
      <c r="DP267" s="388">
        <f t="shared" si="489"/>
        <v>1</v>
      </c>
      <c r="DQ267" s="386">
        <f t="shared" si="490"/>
        <v>1</v>
      </c>
      <c r="DR267" s="387">
        <f t="shared" si="491"/>
        <v>1</v>
      </c>
      <c r="DS267" s="387">
        <f t="shared" si="492"/>
        <v>1</v>
      </c>
      <c r="DT267" s="387">
        <f t="shared" si="493"/>
        <v>1</v>
      </c>
      <c r="DU267" s="388">
        <f t="shared" si="494"/>
        <v>1</v>
      </c>
      <c r="DW267" s="386">
        <f t="shared" si="495"/>
        <v>0</v>
      </c>
      <c r="DX267" s="387">
        <f t="shared" si="496"/>
        <v>0.5</v>
      </c>
      <c r="DY267" s="388">
        <f t="shared" si="497"/>
        <v>1</v>
      </c>
      <c r="DZ267" s="386">
        <f t="shared" si="498"/>
        <v>1</v>
      </c>
      <c r="EA267" s="387">
        <f t="shared" si="499"/>
        <v>1</v>
      </c>
      <c r="EB267" s="387">
        <f t="shared" si="500"/>
        <v>1</v>
      </c>
      <c r="EC267" s="387">
        <f t="shared" si="501"/>
        <v>1</v>
      </c>
      <c r="ED267" s="388">
        <f t="shared" si="502"/>
        <v>1</v>
      </c>
      <c r="EF267" s="834">
        <f>+IF(DN267=DM267,0,
IF(AND(EF$44&gt;1,DN267=$N267),1-SUM($EE267:EE267),
IF($N267&lt;=1,
IF($N267&gt;0,1/$N267,0),
IF(EF$44=1,0,VDB(1,0,$N267,INT(EF$44-1-1),MIN($N267,INT(EF$44-1-1)+1),$DC267,IF($DD267="No",1,0))/
IF(DM267&gt;=INT($N267),$N267-INT($N267),1)))*
IF(EF$44=1,0,
IF(INT(DN267)=INT(DM267),DN267-DM267,INT(DN267)-DM267))+
IF($N267&lt;=1,
IF($N267&gt;0,1/$N267,0),VDB(1,0,$N267,INT(EF$44-1),MIN($N267,INT(EF$44-1)+1),$DC267,IF($DD267="No",1,0))/
IF(DN267&gt;INT($N267),$N267-INT($N267),1))*
IF(EF$44=1,DN267,
IF(INT(DN267)=INT(DM267),0,DN267-INT(DN267)))))</f>
        <v>0</v>
      </c>
      <c r="EG267" s="835">
        <f>+IF(DO267=DN267,0,
IF(AND(EG$44&gt;1,DO267=$N267),1-SUM($EE267:EF267),
IF($N267&lt;=1,
IF($N267&gt;0,1/$N267,0),
IF(EG$44=1,0,VDB(1,0,$N267,INT(EG$44-1-1),MIN($N267,INT(EG$44-1-1)+1),$DC267,IF($DD267="No",1,0))/
IF(DN267&gt;=INT($N267),$N267-INT($N267),1)))*
IF(EG$44=1,0,
IF(INT(DO267)=INT(DN267),DO267-DN267,INT(DO267)-DN267))+
IF($N267&lt;=1,
IF($N267&gt;0,1/$N267,0),VDB(1,0,$N267,INT(EG$44-1),MIN($N267,INT(EG$44-1)+1),$DC267,IF($DD267="No",1,0))/
IF(DO267&gt;INT($N267),$N267-INT($N267),1))*
IF(EG$44=1,DO267,
IF(INT(DO267)=INT(DN267),0,DO267-INT(DO267)))))</f>
        <v>0</v>
      </c>
      <c r="EH267" s="836">
        <f>+IF(DP267=DO267,0,
IF(AND(EH$44&gt;1,DP267=$N267),1-SUM($EE267:EG267),
IF($N267&lt;=1,
IF($N267&gt;0,1/$N267,0),
IF(EH$44=1,0,VDB(1,0,$N267,INT(EH$44-1-1),MIN($N267,INT(EH$44-1-1)+1),$DC267,IF($DD267="No",1,0))/
IF(DO267&gt;=INT($N267),$N267-INT($N267),1)))*
IF(EH$44=1,0,
IF(INT(DP267)=INT(DO267),DP267-DO267,INT(DP267)-DO267))+
IF($N267&lt;=1,
IF($N267&gt;0,1/$N267,0),VDB(1,0,$N267,INT(EH$44-1),MIN($N267,INT(EH$44-1)+1),$DC267,IF($DD267="No",1,0))/
IF(DP267&gt;INT($N267),$N267-INT($N267),1))*
IF(EH$44=1,DP267,
IF(INT(DP267)=INT(DO267),0,DP267-INT(DP267)))))</f>
        <v>0</v>
      </c>
      <c r="EI267" s="834">
        <f>+IF(DQ267=DP267,0,
IF(AND(EI$44&gt;1,DQ267=$N267),1-SUM($EE267:EH267),
IF($N267&lt;=1,
IF($N267&gt;0,1/$N267,0),
IF(EI$44=1,0,VDB(1,0,$N267,INT(EI$44-1-1),MIN($N267,INT(EI$44-1-1)+1),$DC267,IF($DD267="No",1,0))/
IF(DP267&gt;=INT($N267),$N267-INT($N267),1)))*
IF(EI$44=1,0,
IF(INT(DQ267)=INT(DP267),DQ267-DP267,INT(DQ267)-DP267))+
IF($N267&lt;=1,
IF($N267&gt;0,1/$N267,0),VDB(1,0,$N267,INT(EI$44-1),MIN($N267,INT(EI$44-1)+1),$DC267,IF($DD267="No",1,0))/
IF(DQ267&gt;INT($N267),$N267-INT($N267),1))*
IF(EI$44=1,DQ267,
IF(INT(DQ267)=INT(DP267),0,DQ267-INT(DQ267)))))</f>
        <v>0</v>
      </c>
      <c r="EJ267" s="835">
        <f>+IF(DR267=DQ267,0,
IF(AND(EJ$44&gt;1,DR267=$N267),1-SUM($EE267:EI267),
IF($N267&lt;=1,
IF($N267&gt;0,1/$N267,0),
IF(EJ$44=1,0,VDB(1,0,$N267,INT(EJ$44-1-1),MIN($N267,INT(EJ$44-1-1)+1),$DC267,IF($DD267="No",1,0))/
IF(DQ267&gt;=INT($N267),$N267-INT($N267),1)))*
IF(EJ$44=1,0,
IF(INT(DR267)=INT(DQ267),DR267-DQ267,INT(DR267)-DQ267))+
IF($N267&lt;=1,
IF($N267&gt;0,1/$N267,0),VDB(1,0,$N267,INT(EJ$44-1),MIN($N267,INT(EJ$44-1)+1),$DC267,IF($DD267="No",1,0))/
IF(DR267&gt;INT($N267),$N267-INT($N267),1))*
IF(EJ$44=1,DR267,
IF(INT(DR267)=INT(DQ267),0,DR267-INT(DR267)))))</f>
        <v>0</v>
      </c>
      <c r="EK267" s="835">
        <f>+IF(DS267=DR267,0,
IF(AND(EK$44&gt;1,DS267=$N267),1-SUM($EE267:EJ267),
IF($N267&lt;=1,
IF($N267&gt;0,1/$N267,0),
IF(EK$44=1,0,VDB(1,0,$N267,INT(EK$44-1-1),MIN($N267,INT(EK$44-1-1)+1),$DC267,IF($DD267="No",1,0))/
IF(DR267&gt;=INT($N267),$N267-INT($N267),1)))*
IF(EK$44=1,0,
IF(INT(DS267)=INT(DR267),DS267-DR267,INT(DS267)-DR267))+
IF($N267&lt;=1,
IF($N267&gt;0,1/$N267,0),VDB(1,0,$N267,INT(EK$44-1),MIN($N267,INT(EK$44-1)+1),$DC267,IF($DD267="No",1,0))/
IF(DS267&gt;INT($N267),$N267-INT($N267),1))*
IF(EK$44=1,DS267,
IF(INT(DS267)=INT(DR267),0,DS267-INT(DS267)))))</f>
        <v>0</v>
      </c>
      <c r="EL267" s="835">
        <f>+IF(DT267=DS267,0,
IF(AND(EL$44&gt;1,DT267=$N267),1-SUM($EE267:EK267),
IF($N267&lt;=1,
IF($N267&gt;0,1/$N267,0),
IF(EL$44=1,0,VDB(1,0,$N267,INT(EL$44-1-1),MIN($N267,INT(EL$44-1-1)+1),$DC267,IF($DD267="No",1,0))/
IF(DS267&gt;=INT($N267),$N267-INT($N267),1)))*
IF(EL$44=1,0,
IF(INT(DT267)=INT(DS267),DT267-DS267,INT(DT267)-DS267))+
IF($N267&lt;=1,
IF($N267&gt;0,1/$N267,0),VDB(1,0,$N267,INT(EL$44-1),MIN($N267,INT(EL$44-1)+1),$DC267,IF($DD267="No",1,0))/
IF(DT267&gt;INT($N267),$N267-INT($N267),1))*
IF(EL$44=1,DT267,
IF(INT(DT267)=INT(DS267),0,DT267-INT(DT267)))))</f>
        <v>0</v>
      </c>
      <c r="EM267" s="836">
        <f>+IF(DU267=DT267,0,
IF(AND(EM$44&gt;1,DU267=$N267),1-SUM($EE267:EL267),
IF($N267&lt;=1,
IF($N267&gt;0,1/$N267,0),
IF(EM$44=1,0,VDB(1,0,$N267,INT(EM$44-1-1),MIN($N267,INT(EM$44-1-1)+1),$DC267,IF($DD267="No",1,0))/
IF(DT267&gt;=INT($N267),$N267-INT($N267),1)))*
IF(EM$44=1,0,
IF(INT(DU267)=INT(DT267),DU267-DT267,INT(DU267)-DT267))+
IF($N267&lt;=1,
IF($N267&gt;0,1/$N267,0),VDB(1,0,$N267,INT(EM$44-1),MIN($N267,INT(EM$44-1)+1),$DC267,IF($DD267="No",1,0))/
IF(DU267&gt;INT($N267),$N267-INT($N267),1))*
IF(EM$44=1,DU267,
IF(INT(DU267)=INT(DT267),0,DU267-INT(DU267)))))</f>
        <v>0</v>
      </c>
      <c r="EN267" s="833"/>
      <c r="EO267" s="834">
        <f>+IF(OR(DW267=DV267,EO$44=1),0,
IF(AND(EO$44&gt;1,DW267=$N267),1-SUM($EN267:EN267),
IF($N267&lt;=1,
IF($N267&gt;0,1/$N267,0),
IF(EO$44=2,0,VDB(1,0,$N267,INT(EO$44-2-1),MIN($N267,INT(EO$44-2-1)+1),$DC267,IF($DD267="No",1,0))/
IF(DV267&gt;=INT($N267),$N267-INT($N267),1)))*
IF(EO$44=2,0,
IF(INT(DW267)=INT(DV267),DW267-DV267,INT(DW267)-DV267))+
IF($N267&lt;=1,
IF($N267&gt;0,1/$N267,0),VDB(1,0,$N267,INT(EO$44-2),MIN($N267,INT(EO$44-2)+1),$DC267,IF($DD267="No",1,0))/
IF(DW267&gt;INT($N267),$N267-INT($N267),1))*
IF(EO$44=2,DW267,
IF(INT(DW267)=INT(DV267),0,DW267-INT(DW267)))))</f>
        <v>0</v>
      </c>
      <c r="EP267" s="835">
        <f>+IF(OR(DX267=DW267,EP$44=1),0,
IF(AND(EP$44&gt;1,DX267=$N267),1-SUM($EN267:EO267),
IF($N267&lt;=1,
IF($N267&gt;0,1/$N267,0),
IF(EP$44=2,0,VDB(1,0,$N267,INT(EP$44-2-1),MIN($N267,INT(EP$44-2-1)+1),$DC267,IF($DD267="No",1,0))/
IF(DW267&gt;=INT($N267),$N267-INT($N267),1)))*
IF(EP$44=2,0,
IF(INT(DX267)=INT(DW267),DX267-DW267,INT(DX267)-DW267))+
IF($N267&lt;=1,
IF($N267&gt;0,1/$N267,0),VDB(1,0,$N267,INT(EP$44-2),MIN($N267,INT(EP$44-2)+1),$DC267,IF($DD267="No",1,0))/
IF(DX267&gt;INT($N267),$N267-INT($N267),1))*
IF(EP$44=2,DX267,
IF(INT(DX267)=INT(DW267),0,DX267-INT(DX267)))))</f>
        <v>0</v>
      </c>
      <c r="EQ267" s="836">
        <f>+IF(OR(DY267=DX267,EQ$44=1),0,
IF(AND(EQ$44&gt;1,DY267=$N267),1-SUM($EN267:EP267),
IF($N267&lt;=1,
IF($N267&gt;0,1/$N267,0),
IF(EQ$44=2,0,VDB(1,0,$N267,INT(EQ$44-2-1),MIN($N267,INT(EQ$44-2-1)+1),$DC267,IF($DD267="No",1,0))/
IF(DX267&gt;=INT($N267),$N267-INT($N267),1)))*
IF(EQ$44=2,0,
IF(INT(DY267)=INT(DX267),DY267-DX267,INT(DY267)-DX267))+
IF($N267&lt;=1,
IF($N267&gt;0,1/$N267,0),VDB(1,0,$N267,INT(EQ$44-2),MIN($N267,INT(EQ$44-2)+1),$DC267,IF($DD267="No",1,0))/
IF(DY267&gt;INT($N267),$N267-INT($N267),1))*
IF(EQ$44=2,DY267,
IF(INT(DY267)=INT(DX267),0,DY267-INT(DY267)))))</f>
        <v>0</v>
      </c>
      <c r="ER267" s="834">
        <f>+IF(OR(DZ267=DY267,ER$44=1),0,
IF(AND(ER$44&gt;1,DZ267=$N267),1-SUM($EN267:EQ267),
IF($N267&lt;=1,
IF($N267&gt;0,1/$N267,0),
IF(ER$44=2,0,VDB(1,0,$N267,INT(ER$44-2-1),MIN($N267,INT(ER$44-2-1)+1),$DC267,IF($DD267="No",1,0))/
IF(DY267&gt;=INT($N267),$N267-INT($N267),1)))*
IF(ER$44=2,0,
IF(INT(DZ267)=INT(DY267),DZ267-DY267,INT(DZ267)-DY267))+
IF($N267&lt;=1,
IF($N267&gt;0,1/$N267,0),VDB(1,0,$N267,INT(ER$44-2),MIN($N267,INT(ER$44-2)+1),$DC267,IF($DD267="No",1,0))/
IF(DZ267&gt;INT($N267),$N267-INT($N267),1))*
IF(ER$44=2,DZ267,
IF(INT(DZ267)=INT(DY267),0,DZ267-INT(DZ267)))))</f>
        <v>0</v>
      </c>
      <c r="ES267" s="835">
        <f>+IF(OR(EA267=DZ267,ES$44=1),0,
IF(AND(ES$44&gt;1,EA267=$N267),1-SUM($EN267:ER267),
IF($N267&lt;=1,
IF($N267&gt;0,1/$N267,0),
IF(ES$44=2,0,VDB(1,0,$N267,INT(ES$44-2-1),MIN($N267,INT(ES$44-2-1)+1),$DC267,IF($DD267="No",1,0))/
IF(DZ267&gt;=INT($N267),$N267-INT($N267),1)))*
IF(ES$44=2,0,
IF(INT(EA267)=INT(DZ267),EA267-DZ267,INT(EA267)-DZ267))+
IF($N267&lt;=1,
IF($N267&gt;0,1/$N267,0),VDB(1,0,$N267,INT(ES$44-2),MIN($N267,INT(ES$44-2)+1),$DC267,IF($DD267="No",1,0))/
IF(EA267&gt;INT($N267),$N267-INT($N267),1))*
IF(ES$44=2,EA267,
IF(INT(EA267)=INT(DZ267),0,EA267-INT(EA267)))))</f>
        <v>0</v>
      </c>
      <c r="ET267" s="835">
        <f>+IF(OR(EB267=EA267,ET$44=1),0,
IF(AND(ET$44&gt;1,EB267=$N267),1-SUM($EN267:ES267),
IF($N267&lt;=1,
IF($N267&gt;0,1/$N267,0),
IF(ET$44=2,0,VDB(1,0,$N267,INT(ET$44-2-1),MIN($N267,INT(ET$44-2-1)+1),$DC267,IF($DD267="No",1,0))/
IF(EA267&gt;=INT($N267),$N267-INT($N267),1)))*
IF(ET$44=2,0,
IF(INT(EB267)=INT(EA267),EB267-EA267,INT(EB267)-EA267))+
IF($N267&lt;=1,
IF($N267&gt;0,1/$N267,0),VDB(1,0,$N267,INT(ET$44-2),MIN($N267,INT(ET$44-2)+1),$DC267,IF($DD267="No",1,0))/
IF(EB267&gt;INT($N267),$N267-INT($N267),1))*
IF(ET$44=2,EB267,
IF(INT(EB267)=INT(EA267),0,EB267-INT(EB267)))))</f>
        <v>0</v>
      </c>
      <c r="EU267" s="835">
        <f>+IF(OR(EC267=EB267,EU$44=1),0,
IF(AND(EU$44&gt;1,EC267=$N267),1-SUM($EN267:ET267),
IF($N267&lt;=1,
IF($N267&gt;0,1/$N267,0),
IF(EU$44=2,0,VDB(1,0,$N267,INT(EU$44-2-1),MIN($N267,INT(EU$44-2-1)+1),$DC267,IF($DD267="No",1,0))/
IF(EB267&gt;=INT($N267),$N267-INT($N267),1)))*
IF(EU$44=2,0,
IF(INT(EC267)=INT(EB267),EC267-EB267,INT(EC267)-EB267))+
IF($N267&lt;=1,
IF($N267&gt;0,1/$N267,0),VDB(1,0,$N267,INT(EU$44-2),MIN($N267,INT(EU$44-2)+1),$DC267,IF($DD267="No",1,0))/
IF(EC267&gt;INT($N267),$N267-INT($N267),1))*
IF(EU$44=2,EC267,
IF(INT(EC267)=INT(EB267),0,EC267-INT(EC267)))))</f>
        <v>0</v>
      </c>
      <c r="EV267" s="836">
        <f>+IF(OR(ED267=EC267,EV$44=1),0,
IF(AND(EV$44&gt;1,ED267=$N267),1-SUM($EN267:EU267),
IF($N267&lt;=1,
IF($N267&gt;0,1/$N267,0),
IF(EV$44=2,0,VDB(1,0,$N267,INT(EV$44-2-1),MIN($N267,INT(EV$44-2-1)+1),$DC267,IF($DD267="No",1,0))/
IF(EC267&gt;=INT($N267),$N267-INT($N267),1)))*
IF(EV$44=2,0,
IF(INT(ED267)=INT(EC267),ED267-EC267,INT(ED267)-EC267))+
IF($N267&lt;=1,
IF($N267&gt;0,1/$N267,0),VDB(1,0,$N267,INT(EV$44-2),MIN($N267,INT(EV$44-2)+1),$DC267,IF($DD267="No",1,0))/
IF(ED267&gt;INT($N267),$N267-INT($N267),1))*
IF(EV$44=2,ED267,
IF(INT(ED267)=INT(EC267),0,ED267-INT(ED267)))))</f>
        <v>0</v>
      </c>
      <c r="EW267" s="833"/>
      <c r="EX267" s="834">
        <f t="shared" ca="1" si="503"/>
        <v>0</v>
      </c>
      <c r="EY267" s="835">
        <f t="shared" ca="1" si="503"/>
        <v>0</v>
      </c>
      <c r="EZ267" s="836">
        <f t="shared" ca="1" si="503"/>
        <v>0</v>
      </c>
      <c r="FA267" s="834">
        <f t="shared" ca="1" si="503"/>
        <v>0</v>
      </c>
      <c r="FB267" s="835">
        <f t="shared" ca="1" si="503"/>
        <v>0</v>
      </c>
      <c r="FC267" s="835">
        <f t="shared" ca="1" si="503"/>
        <v>0</v>
      </c>
      <c r="FD267" s="835">
        <f t="shared" ca="1" si="503"/>
        <v>0</v>
      </c>
      <c r="FE267" s="836">
        <f t="shared" ca="1" si="503"/>
        <v>0</v>
      </c>
      <c r="FG267" s="386">
        <f t="shared" ca="1" si="504"/>
        <v>0</v>
      </c>
      <c r="FH267" s="387">
        <f t="shared" ca="1" si="505"/>
        <v>0</v>
      </c>
      <c r="FI267" s="388">
        <f t="shared" ca="1" si="506"/>
        <v>0</v>
      </c>
      <c r="FJ267" s="386">
        <f t="shared" ca="1" si="507"/>
        <v>0</v>
      </c>
      <c r="FK267" s="387">
        <f t="shared" ca="1" si="508"/>
        <v>0</v>
      </c>
      <c r="FL267" s="387">
        <f t="shared" ca="1" si="509"/>
        <v>0</v>
      </c>
      <c r="FM267" s="387">
        <f t="shared" ca="1" si="510"/>
        <v>0</v>
      </c>
      <c r="FN267" s="388">
        <f t="shared" ca="1" si="511"/>
        <v>0</v>
      </c>
      <c r="FR267" s="116"/>
    </row>
    <row r="268" spans="2:174">
      <c r="B268" s="1410">
        <f t="shared" si="512"/>
        <v>222</v>
      </c>
      <c r="C268" s="400"/>
      <c r="D268" s="410"/>
      <c r="E268" s="402"/>
      <c r="F268" s="402"/>
      <c r="G268" s="400"/>
      <c r="H268" s="2088"/>
      <c r="I268" s="2089"/>
      <c r="J268" s="411"/>
      <c r="K268" s="403"/>
      <c r="L268" s="403"/>
      <c r="M268" s="403"/>
      <c r="N268" s="403"/>
      <c r="O268" s="347"/>
      <c r="P268" s="347"/>
      <c r="Q268" s="1021"/>
      <c r="R268" s="1022"/>
      <c r="S268" s="1022"/>
      <c r="T268" s="1022"/>
      <c r="U268" s="1023"/>
      <c r="V268" s="1021"/>
      <c r="W268" s="1022"/>
      <c r="X268" s="1022"/>
      <c r="Y268" s="1022"/>
      <c r="Z268" s="1023"/>
      <c r="AA268" s="1024"/>
      <c r="AB268" s="1021"/>
      <c r="AC268" s="1022"/>
      <c r="AD268" s="1022"/>
      <c r="AE268" s="1022"/>
      <c r="AF268" s="1023"/>
      <c r="AG268" s="1021"/>
      <c r="AH268" s="1022"/>
      <c r="AI268" s="1022"/>
      <c r="AJ268" s="1022"/>
      <c r="AK268" s="1023"/>
      <c r="AL268" s="1024"/>
      <c r="AM268" s="1021"/>
      <c r="AN268" s="1022"/>
      <c r="AO268" s="1022"/>
      <c r="AP268" s="1022"/>
      <c r="AQ268" s="1023"/>
      <c r="AR268" s="1021"/>
      <c r="AS268" s="1022"/>
      <c r="AT268" s="1022"/>
      <c r="AU268" s="1022"/>
      <c r="AV268" s="1023"/>
      <c r="AW268" s="1025"/>
      <c r="AX268" s="1282">
        <f t="shared" si="457"/>
        <v>0</v>
      </c>
      <c r="AY268" s="387">
        <f t="shared" si="458"/>
        <v>0</v>
      </c>
      <c r="AZ268" s="387">
        <f t="shared" si="459"/>
        <v>0</v>
      </c>
      <c r="BA268" s="387">
        <f t="shared" si="460"/>
        <v>0</v>
      </c>
      <c r="BB268" s="1283">
        <f t="shared" si="461"/>
        <v>0</v>
      </c>
      <c r="BC268" s="386">
        <f t="shared" si="462"/>
        <v>0</v>
      </c>
      <c r="BD268" s="387">
        <f t="shared" si="463"/>
        <v>0</v>
      </c>
      <c r="BE268" s="1277">
        <f t="shared" si="464"/>
        <v>0</v>
      </c>
      <c r="BF268" s="1277">
        <f t="shared" si="465"/>
        <v>0</v>
      </c>
      <c r="BG268" s="388">
        <f t="shared" si="466"/>
        <v>0</v>
      </c>
      <c r="BH268" s="1025"/>
      <c r="BI268" s="1282">
        <f t="shared" ca="1" si="467"/>
        <v>0</v>
      </c>
      <c r="BJ268" s="387">
        <f t="shared" ca="1" si="468"/>
        <v>0</v>
      </c>
      <c r="BK268" s="387">
        <f t="shared" ca="1" si="469"/>
        <v>0</v>
      </c>
      <c r="BL268" s="387">
        <f t="shared" ca="1" si="470"/>
        <v>0</v>
      </c>
      <c r="BM268" s="1283">
        <f t="shared" ca="1" si="471"/>
        <v>0</v>
      </c>
      <c r="BN268" s="386">
        <f t="shared" ca="1" si="472"/>
        <v>0</v>
      </c>
      <c r="BO268" s="387">
        <f t="shared" ca="1" si="473"/>
        <v>0</v>
      </c>
      <c r="BP268" s="1277">
        <f t="shared" ca="1" si="474"/>
        <v>0</v>
      </c>
      <c r="BQ268" s="1277">
        <f t="shared" ca="1" si="475"/>
        <v>0</v>
      </c>
      <c r="BR268" s="388">
        <f t="shared" ca="1" si="476"/>
        <v>0</v>
      </c>
      <c r="BS268" s="1025"/>
      <c r="BT268" s="1282">
        <f>+IF($K268="Ongoing",AX268,IF(RIGHT($K268,2)=RIGHT(BT$43,2),SUM($AX268:AX268),0)+IF(RIGHT(BT$43,2)&gt;RIGHT($K268,2),AX268,0))</f>
        <v>0</v>
      </c>
      <c r="BU268" s="387">
        <f>+IF($K268="Ongoing",AY268,IF(RIGHT($K268,2)=RIGHT(BU$43,2),SUM($AX268:AY268),0)+IF(RIGHT(BU$43,2)&gt;RIGHT($K268,2),AY268,0))</f>
        <v>0</v>
      </c>
      <c r="BV268" s="387">
        <f>+IF($K268="Ongoing",AZ268,IF(RIGHT($K268,2)=RIGHT(BV$43,2),SUM($AX268:AZ268),0)+IF(RIGHT(BV$43,2)&gt;RIGHT($K268,2),AZ268,0))</f>
        <v>0</v>
      </c>
      <c r="BW268" s="387">
        <f>+IF($K268="Ongoing",BA268,IF(RIGHT($K268,2)=RIGHT(BW$43,2),SUM($AX268:BA268),0)+IF(RIGHT(BW$43,2)&gt;RIGHT($K268,2),BA268,0))</f>
        <v>0</v>
      </c>
      <c r="BX268" s="1283">
        <f>+IF($K268="Ongoing",BB268,IF(RIGHT($K268,2)=RIGHT(BX$43,2),SUM($AX268:BB268),0)+IF(RIGHT(BX$43,2)&gt;RIGHT($K268,2),BB268,0))</f>
        <v>0</v>
      </c>
      <c r="BY268" s="386">
        <f>+IF($K268="Ongoing",BC268,IF(RIGHT($K268,2)=RIGHT(BY$43,2),SUM($AX268:BC268),0)+IF(RIGHT(BY$43,2)&gt;RIGHT($K268,2),BC268,0))</f>
        <v>0</v>
      </c>
      <c r="BZ268" s="387">
        <f>+IF($K268="Ongoing",BD268,IF(RIGHT($K268,2)=RIGHT(BZ$43,2),SUM($AX268:BD268),0)+IF(RIGHT(BZ$43,2)&gt;RIGHT($K268,2),BD268,0))</f>
        <v>0</v>
      </c>
      <c r="CA268" s="1277">
        <f>+IF($K268="Ongoing",BE268,IF(RIGHT($K268,2)=RIGHT(CA$43,2),SUM($AX268:BE268),0)+IF(RIGHT(CA$43,2)&gt;RIGHT($K268,2),BE268,0))</f>
        <v>0</v>
      </c>
      <c r="CB268" s="1277">
        <f>+IF($K268="Ongoing",BF268,IF(RIGHT($K268,2)=RIGHT(CB$43,2),SUM($AX268:BF268),0)+IF(RIGHT(CB$43,2)&gt;RIGHT($K268,2),BF268,0))</f>
        <v>0</v>
      </c>
      <c r="CC268" s="388">
        <f>+IF($K268="Ongoing",BG268,IF(RIGHT($K268,2)=RIGHT(CC$43,2),SUM($AX268:BG268),0)+IF(RIGHT(CC$43,2)&gt;RIGHT($K268,2),BG268,0))</f>
        <v>0</v>
      </c>
      <c r="CD268" s="1025"/>
      <c r="CE268" s="1282">
        <f>+Q268*KeyAssumptionsPriceControl_FO!AF$15</f>
        <v>0</v>
      </c>
      <c r="CF268" s="387">
        <f>+R268*KeyAssumptionsPriceControl_FO!AG$15</f>
        <v>0</v>
      </c>
      <c r="CG268" s="387">
        <f>+S268*KeyAssumptionsPriceControl_FO!AH$15</f>
        <v>0</v>
      </c>
      <c r="CH268" s="387">
        <f>+T268*KeyAssumptionsPriceControl_FO!AI$15</f>
        <v>0</v>
      </c>
      <c r="CI268" s="1283">
        <f>+U268*KeyAssumptionsPriceControl_FO!AJ$15</f>
        <v>0</v>
      </c>
      <c r="CJ268" s="386">
        <f>+V268*KeyAssumptionsPriceControl_FO!AK$15</f>
        <v>0</v>
      </c>
      <c r="CK268" s="387">
        <f>+W268*KeyAssumptionsPriceControl_FO!AL$15</f>
        <v>0</v>
      </c>
      <c r="CL268" s="1277">
        <f>+X268*KeyAssumptionsPriceControl_FO!AM$15</f>
        <v>0</v>
      </c>
      <c r="CM268" s="1277">
        <f>+Y268*KeyAssumptionsPriceControl_FO!AN$15</f>
        <v>0</v>
      </c>
      <c r="CN268" s="388">
        <f>+Z268*KeyAssumptionsPriceControl_FO!AO$15</f>
        <v>0</v>
      </c>
      <c r="CO268" s="1025"/>
      <c r="CP268" s="1282">
        <f t="shared" ca="1" si="477"/>
        <v>0</v>
      </c>
      <c r="CQ268" s="387">
        <f t="shared" ca="1" si="478"/>
        <v>0</v>
      </c>
      <c r="CR268" s="387">
        <f t="shared" ca="1" si="479"/>
        <v>0</v>
      </c>
      <c r="CS268" s="387">
        <f t="shared" ca="1" si="480"/>
        <v>0</v>
      </c>
      <c r="CT268" s="1283">
        <f t="shared" ca="1" si="481"/>
        <v>0</v>
      </c>
      <c r="CU268" s="386">
        <f t="shared" ca="1" si="482"/>
        <v>0</v>
      </c>
      <c r="CV268" s="387">
        <f t="shared" ca="1" si="483"/>
        <v>0</v>
      </c>
      <c r="CW268" s="1277">
        <f t="shared" ca="1" si="484"/>
        <v>0</v>
      </c>
      <c r="CX268" s="1277">
        <f t="shared" ca="1" si="485"/>
        <v>0</v>
      </c>
      <c r="CY268" s="388">
        <f t="shared" ca="1" si="486"/>
        <v>0</v>
      </c>
      <c r="CZ268" s="347"/>
      <c r="DA268" s="852"/>
      <c r="DB268" s="347"/>
      <c r="DC268" s="1012" t="s">
        <v>566</v>
      </c>
      <c r="DD268" s="841" t="s">
        <v>518</v>
      </c>
      <c r="DE268" s="386">
        <f>+IF($K268="ongoing",CE268,IF(RIGHT($K268,2)=RIGHT(DE$43,2),SUM($CD268:CE268),0)+IF(RIGHT(DE$43,2)&gt;RIGHT($K268,2),CE268,0))</f>
        <v>0</v>
      </c>
      <c r="DF268" s="387">
        <f>+IF($K268="ongoing",CF268,IF(RIGHT($K268,2)=RIGHT(DF$43,2),SUM($CD268:CF268),0)+IF(RIGHT(DF$43,2)&gt;RIGHT($K268,2),CF268,0))</f>
        <v>0</v>
      </c>
      <c r="DG268" s="388">
        <f>+IF($K268="ongoing",CG268,IF(RIGHT($K268,2)=RIGHT(DG$43,2),SUM($CD268:CG268),0)+IF(RIGHT(DG$43,2)&gt;RIGHT($K268,2),CG268,0))</f>
        <v>0</v>
      </c>
      <c r="DH268" s="386">
        <f>+IF($K268="ongoing",CH268,IF(RIGHT($K268,2)=RIGHT(DH$43,2),SUM($CD268:CH268),0)+IF(RIGHT(DH$43,2)&gt;RIGHT($K268,2),CH268,0))</f>
        <v>0</v>
      </c>
      <c r="DI268" s="387">
        <f>+IF($K268="ongoing",CI268,IF(RIGHT($K268,2)=RIGHT(DI$43,2),SUM($CD268:CI268),0)+IF(RIGHT(DI$43,2)&gt;RIGHT($K268,2),CI268,0))</f>
        <v>0</v>
      </c>
      <c r="DJ268" s="387">
        <f>+IF($K268="ongoing",CJ268,IF(RIGHT($K268,2)=RIGHT(DJ$43,2),SUM($CD268:CJ268),0)+IF(RIGHT(DJ$43,2)&gt;RIGHT($K268,2),CJ268,0))</f>
        <v>0</v>
      </c>
      <c r="DK268" s="387">
        <f>+IF($K268="ongoing",CK268,IF(RIGHT($K268,2)=RIGHT(DK$43,2),SUM($CD268:CK268),0)+IF(RIGHT(DK$43,2)&gt;RIGHT($K268,2),CK268,0))</f>
        <v>0</v>
      </c>
      <c r="DL268" s="388">
        <f>+IF($K268="ongoing",CN268,IF(RIGHT($K268,2)=RIGHT(DL$43,2),SUM($CD268:CN268),0)+IF(RIGHT(DL$43,2)&gt;RIGHT($K268,2),CN268,0))</f>
        <v>0</v>
      </c>
      <c r="DM268" s="841"/>
      <c r="DN268" s="386">
        <f t="shared" si="487"/>
        <v>0.5</v>
      </c>
      <c r="DO268" s="387">
        <f t="shared" si="488"/>
        <v>1</v>
      </c>
      <c r="DP268" s="388">
        <f t="shared" si="489"/>
        <v>1</v>
      </c>
      <c r="DQ268" s="386">
        <f t="shared" si="490"/>
        <v>1</v>
      </c>
      <c r="DR268" s="387">
        <f t="shared" si="491"/>
        <v>1</v>
      </c>
      <c r="DS268" s="387">
        <f t="shared" si="492"/>
        <v>1</v>
      </c>
      <c r="DT268" s="387">
        <f t="shared" si="493"/>
        <v>1</v>
      </c>
      <c r="DU268" s="388">
        <f t="shared" si="494"/>
        <v>1</v>
      </c>
      <c r="DW268" s="386">
        <f t="shared" si="495"/>
        <v>0</v>
      </c>
      <c r="DX268" s="387">
        <f t="shared" si="496"/>
        <v>0.5</v>
      </c>
      <c r="DY268" s="388">
        <f t="shared" si="497"/>
        <v>1</v>
      </c>
      <c r="DZ268" s="386">
        <f t="shared" si="498"/>
        <v>1</v>
      </c>
      <c r="EA268" s="387">
        <f t="shared" si="499"/>
        <v>1</v>
      </c>
      <c r="EB268" s="387">
        <f t="shared" si="500"/>
        <v>1</v>
      </c>
      <c r="EC268" s="387">
        <f t="shared" si="501"/>
        <v>1</v>
      </c>
      <c r="ED268" s="388">
        <f t="shared" si="502"/>
        <v>1</v>
      </c>
      <c r="EF268" s="834">
        <f>+IF(DN268=DM268,0,
IF(AND(EF$44&gt;1,DN268=$N268),1-SUM($EE268:EE268),
IF($N268&lt;=1,
IF($N268&gt;0,1/$N268,0),
IF(EF$44=1,0,VDB(1,0,$N268,INT(EF$44-1-1),MIN($N268,INT(EF$44-1-1)+1),$DC268,IF($DD268="No",1,0))/
IF(DM268&gt;=INT($N268),$N268-INT($N268),1)))*
IF(EF$44=1,0,
IF(INT(DN268)=INT(DM268),DN268-DM268,INT(DN268)-DM268))+
IF($N268&lt;=1,
IF($N268&gt;0,1/$N268,0),VDB(1,0,$N268,INT(EF$44-1),MIN($N268,INT(EF$44-1)+1),$DC268,IF($DD268="No",1,0))/
IF(DN268&gt;INT($N268),$N268-INT($N268),1))*
IF(EF$44=1,DN268,
IF(INT(DN268)=INT(DM268),0,DN268-INT(DN268)))))</f>
        <v>0</v>
      </c>
      <c r="EG268" s="835">
        <f>+IF(DO268=DN268,0,
IF(AND(EG$44&gt;1,DO268=$N268),1-SUM($EE268:EF268),
IF($N268&lt;=1,
IF($N268&gt;0,1/$N268,0),
IF(EG$44=1,0,VDB(1,0,$N268,INT(EG$44-1-1),MIN($N268,INT(EG$44-1-1)+1),$DC268,IF($DD268="No",1,0))/
IF(DN268&gt;=INT($N268),$N268-INT($N268),1)))*
IF(EG$44=1,0,
IF(INT(DO268)=INT(DN268),DO268-DN268,INT(DO268)-DN268))+
IF($N268&lt;=1,
IF($N268&gt;0,1/$N268,0),VDB(1,0,$N268,INT(EG$44-1),MIN($N268,INT(EG$44-1)+1),$DC268,IF($DD268="No",1,0))/
IF(DO268&gt;INT($N268),$N268-INT($N268),1))*
IF(EG$44=1,DO268,
IF(INT(DO268)=INT(DN268),0,DO268-INT(DO268)))))</f>
        <v>0</v>
      </c>
      <c r="EH268" s="836">
        <f>+IF(DP268=DO268,0,
IF(AND(EH$44&gt;1,DP268=$N268),1-SUM($EE268:EG268),
IF($N268&lt;=1,
IF($N268&gt;0,1/$N268,0),
IF(EH$44=1,0,VDB(1,0,$N268,INT(EH$44-1-1),MIN($N268,INT(EH$44-1-1)+1),$DC268,IF($DD268="No",1,0))/
IF(DO268&gt;=INT($N268),$N268-INT($N268),1)))*
IF(EH$44=1,0,
IF(INT(DP268)=INT(DO268),DP268-DO268,INT(DP268)-DO268))+
IF($N268&lt;=1,
IF($N268&gt;0,1/$N268,0),VDB(1,0,$N268,INT(EH$44-1),MIN($N268,INT(EH$44-1)+1),$DC268,IF($DD268="No",1,0))/
IF(DP268&gt;INT($N268),$N268-INT($N268),1))*
IF(EH$44=1,DP268,
IF(INT(DP268)=INT(DO268),0,DP268-INT(DP268)))))</f>
        <v>0</v>
      </c>
      <c r="EI268" s="834">
        <f>+IF(DQ268=DP268,0,
IF(AND(EI$44&gt;1,DQ268=$N268),1-SUM($EE268:EH268),
IF($N268&lt;=1,
IF($N268&gt;0,1/$N268,0),
IF(EI$44=1,0,VDB(1,0,$N268,INT(EI$44-1-1),MIN($N268,INT(EI$44-1-1)+1),$DC268,IF($DD268="No",1,0))/
IF(DP268&gt;=INT($N268),$N268-INT($N268),1)))*
IF(EI$44=1,0,
IF(INT(DQ268)=INT(DP268),DQ268-DP268,INT(DQ268)-DP268))+
IF($N268&lt;=1,
IF($N268&gt;0,1/$N268,0),VDB(1,0,$N268,INT(EI$44-1),MIN($N268,INT(EI$44-1)+1),$DC268,IF($DD268="No",1,0))/
IF(DQ268&gt;INT($N268),$N268-INT($N268),1))*
IF(EI$44=1,DQ268,
IF(INT(DQ268)=INT(DP268),0,DQ268-INT(DQ268)))))</f>
        <v>0</v>
      </c>
      <c r="EJ268" s="835">
        <f>+IF(DR268=DQ268,0,
IF(AND(EJ$44&gt;1,DR268=$N268),1-SUM($EE268:EI268),
IF($N268&lt;=1,
IF($N268&gt;0,1/$N268,0),
IF(EJ$44=1,0,VDB(1,0,$N268,INT(EJ$44-1-1),MIN($N268,INT(EJ$44-1-1)+1),$DC268,IF($DD268="No",1,0))/
IF(DQ268&gt;=INT($N268),$N268-INT($N268),1)))*
IF(EJ$44=1,0,
IF(INT(DR268)=INT(DQ268),DR268-DQ268,INT(DR268)-DQ268))+
IF($N268&lt;=1,
IF($N268&gt;0,1/$N268,0),VDB(1,0,$N268,INT(EJ$44-1),MIN($N268,INT(EJ$44-1)+1),$DC268,IF($DD268="No",1,0))/
IF(DR268&gt;INT($N268),$N268-INT($N268),1))*
IF(EJ$44=1,DR268,
IF(INT(DR268)=INT(DQ268),0,DR268-INT(DR268)))))</f>
        <v>0</v>
      </c>
      <c r="EK268" s="835">
        <f>+IF(DS268=DR268,0,
IF(AND(EK$44&gt;1,DS268=$N268),1-SUM($EE268:EJ268),
IF($N268&lt;=1,
IF($N268&gt;0,1/$N268,0),
IF(EK$44=1,0,VDB(1,0,$N268,INT(EK$44-1-1),MIN($N268,INT(EK$44-1-1)+1),$DC268,IF($DD268="No",1,0))/
IF(DR268&gt;=INT($N268),$N268-INT($N268),1)))*
IF(EK$44=1,0,
IF(INT(DS268)=INT(DR268),DS268-DR268,INT(DS268)-DR268))+
IF($N268&lt;=1,
IF($N268&gt;0,1/$N268,0),VDB(1,0,$N268,INT(EK$44-1),MIN($N268,INT(EK$44-1)+1),$DC268,IF($DD268="No",1,0))/
IF(DS268&gt;INT($N268),$N268-INT($N268),1))*
IF(EK$44=1,DS268,
IF(INT(DS268)=INT(DR268),0,DS268-INT(DS268)))))</f>
        <v>0</v>
      </c>
      <c r="EL268" s="835">
        <f>+IF(DT268=DS268,0,
IF(AND(EL$44&gt;1,DT268=$N268),1-SUM($EE268:EK268),
IF($N268&lt;=1,
IF($N268&gt;0,1/$N268,0),
IF(EL$44=1,0,VDB(1,0,$N268,INT(EL$44-1-1),MIN($N268,INT(EL$44-1-1)+1),$DC268,IF($DD268="No",1,0))/
IF(DS268&gt;=INT($N268),$N268-INT($N268),1)))*
IF(EL$44=1,0,
IF(INT(DT268)=INT(DS268),DT268-DS268,INT(DT268)-DS268))+
IF($N268&lt;=1,
IF($N268&gt;0,1/$N268,0),VDB(1,0,$N268,INT(EL$44-1),MIN($N268,INT(EL$44-1)+1),$DC268,IF($DD268="No",1,0))/
IF(DT268&gt;INT($N268),$N268-INT($N268),1))*
IF(EL$44=1,DT268,
IF(INT(DT268)=INT(DS268),0,DT268-INT(DT268)))))</f>
        <v>0</v>
      </c>
      <c r="EM268" s="836">
        <f>+IF(DU268=DT268,0,
IF(AND(EM$44&gt;1,DU268=$N268),1-SUM($EE268:EL268),
IF($N268&lt;=1,
IF($N268&gt;0,1/$N268,0),
IF(EM$44=1,0,VDB(1,0,$N268,INT(EM$44-1-1),MIN($N268,INT(EM$44-1-1)+1),$DC268,IF($DD268="No",1,0))/
IF(DT268&gt;=INT($N268),$N268-INT($N268),1)))*
IF(EM$44=1,0,
IF(INT(DU268)=INT(DT268),DU268-DT268,INT(DU268)-DT268))+
IF($N268&lt;=1,
IF($N268&gt;0,1/$N268,0),VDB(1,0,$N268,INT(EM$44-1),MIN($N268,INT(EM$44-1)+1),$DC268,IF($DD268="No",1,0))/
IF(DU268&gt;INT($N268),$N268-INT($N268),1))*
IF(EM$44=1,DU268,
IF(INT(DU268)=INT(DT268),0,DU268-INT(DU268)))))</f>
        <v>0</v>
      </c>
      <c r="EN268" s="833"/>
      <c r="EO268" s="834">
        <f>+IF(OR(DW268=DV268,EO$44=1),0,
IF(AND(EO$44&gt;1,DW268=$N268),1-SUM($EN268:EN268),
IF($N268&lt;=1,
IF($N268&gt;0,1/$N268,0),
IF(EO$44=2,0,VDB(1,0,$N268,INT(EO$44-2-1),MIN($N268,INT(EO$44-2-1)+1),$DC268,IF($DD268="No",1,0))/
IF(DV268&gt;=INT($N268),$N268-INT($N268),1)))*
IF(EO$44=2,0,
IF(INT(DW268)=INT(DV268),DW268-DV268,INT(DW268)-DV268))+
IF($N268&lt;=1,
IF($N268&gt;0,1/$N268,0),VDB(1,0,$N268,INT(EO$44-2),MIN($N268,INT(EO$44-2)+1),$DC268,IF($DD268="No",1,0))/
IF(DW268&gt;INT($N268),$N268-INT($N268),1))*
IF(EO$44=2,DW268,
IF(INT(DW268)=INT(DV268),0,DW268-INT(DW268)))))</f>
        <v>0</v>
      </c>
      <c r="EP268" s="835">
        <f>+IF(OR(DX268=DW268,EP$44=1),0,
IF(AND(EP$44&gt;1,DX268=$N268),1-SUM($EN268:EO268),
IF($N268&lt;=1,
IF($N268&gt;0,1/$N268,0),
IF(EP$44=2,0,VDB(1,0,$N268,INT(EP$44-2-1),MIN($N268,INT(EP$44-2-1)+1),$DC268,IF($DD268="No",1,0))/
IF(DW268&gt;=INT($N268),$N268-INT($N268),1)))*
IF(EP$44=2,0,
IF(INT(DX268)=INT(DW268),DX268-DW268,INT(DX268)-DW268))+
IF($N268&lt;=1,
IF($N268&gt;0,1/$N268,0),VDB(1,0,$N268,INT(EP$44-2),MIN($N268,INT(EP$44-2)+1),$DC268,IF($DD268="No",1,0))/
IF(DX268&gt;INT($N268),$N268-INT($N268),1))*
IF(EP$44=2,DX268,
IF(INT(DX268)=INT(DW268),0,DX268-INT(DX268)))))</f>
        <v>0</v>
      </c>
      <c r="EQ268" s="836">
        <f>+IF(OR(DY268=DX268,EQ$44=1),0,
IF(AND(EQ$44&gt;1,DY268=$N268),1-SUM($EN268:EP268),
IF($N268&lt;=1,
IF($N268&gt;0,1/$N268,0),
IF(EQ$44=2,0,VDB(1,0,$N268,INT(EQ$44-2-1),MIN($N268,INT(EQ$44-2-1)+1),$DC268,IF($DD268="No",1,0))/
IF(DX268&gt;=INT($N268),$N268-INT($N268),1)))*
IF(EQ$44=2,0,
IF(INT(DY268)=INT(DX268),DY268-DX268,INT(DY268)-DX268))+
IF($N268&lt;=1,
IF($N268&gt;0,1/$N268,0),VDB(1,0,$N268,INT(EQ$44-2),MIN($N268,INT(EQ$44-2)+1),$DC268,IF($DD268="No",1,0))/
IF(DY268&gt;INT($N268),$N268-INT($N268),1))*
IF(EQ$44=2,DY268,
IF(INT(DY268)=INT(DX268),0,DY268-INT(DY268)))))</f>
        <v>0</v>
      </c>
      <c r="ER268" s="834">
        <f>+IF(OR(DZ268=DY268,ER$44=1),0,
IF(AND(ER$44&gt;1,DZ268=$N268),1-SUM($EN268:EQ268),
IF($N268&lt;=1,
IF($N268&gt;0,1/$N268,0),
IF(ER$44=2,0,VDB(1,0,$N268,INT(ER$44-2-1),MIN($N268,INT(ER$44-2-1)+1),$DC268,IF($DD268="No",1,0))/
IF(DY268&gt;=INT($N268),$N268-INT($N268),1)))*
IF(ER$44=2,0,
IF(INT(DZ268)=INT(DY268),DZ268-DY268,INT(DZ268)-DY268))+
IF($N268&lt;=1,
IF($N268&gt;0,1/$N268,0),VDB(1,0,$N268,INT(ER$44-2),MIN($N268,INT(ER$44-2)+1),$DC268,IF($DD268="No",1,0))/
IF(DZ268&gt;INT($N268),$N268-INT($N268),1))*
IF(ER$44=2,DZ268,
IF(INT(DZ268)=INT(DY268),0,DZ268-INT(DZ268)))))</f>
        <v>0</v>
      </c>
      <c r="ES268" s="835">
        <f>+IF(OR(EA268=DZ268,ES$44=1),0,
IF(AND(ES$44&gt;1,EA268=$N268),1-SUM($EN268:ER268),
IF($N268&lt;=1,
IF($N268&gt;0,1/$N268,0),
IF(ES$44=2,0,VDB(1,0,$N268,INT(ES$44-2-1),MIN($N268,INT(ES$44-2-1)+1),$DC268,IF($DD268="No",1,0))/
IF(DZ268&gt;=INT($N268),$N268-INT($N268),1)))*
IF(ES$44=2,0,
IF(INT(EA268)=INT(DZ268),EA268-DZ268,INT(EA268)-DZ268))+
IF($N268&lt;=1,
IF($N268&gt;0,1/$N268,0),VDB(1,0,$N268,INT(ES$44-2),MIN($N268,INT(ES$44-2)+1),$DC268,IF($DD268="No",1,0))/
IF(EA268&gt;INT($N268),$N268-INT($N268),1))*
IF(ES$44=2,EA268,
IF(INT(EA268)=INT(DZ268),0,EA268-INT(EA268)))))</f>
        <v>0</v>
      </c>
      <c r="ET268" s="835">
        <f>+IF(OR(EB268=EA268,ET$44=1),0,
IF(AND(ET$44&gt;1,EB268=$N268),1-SUM($EN268:ES268),
IF($N268&lt;=1,
IF($N268&gt;0,1/$N268,0),
IF(ET$44=2,0,VDB(1,0,$N268,INT(ET$44-2-1),MIN($N268,INT(ET$44-2-1)+1),$DC268,IF($DD268="No",1,0))/
IF(EA268&gt;=INT($N268),$N268-INT($N268),1)))*
IF(ET$44=2,0,
IF(INT(EB268)=INT(EA268),EB268-EA268,INT(EB268)-EA268))+
IF($N268&lt;=1,
IF($N268&gt;0,1/$N268,0),VDB(1,0,$N268,INT(ET$44-2),MIN($N268,INT(ET$44-2)+1),$DC268,IF($DD268="No",1,0))/
IF(EB268&gt;INT($N268),$N268-INT($N268),1))*
IF(ET$44=2,EB268,
IF(INT(EB268)=INT(EA268),0,EB268-INT(EB268)))))</f>
        <v>0</v>
      </c>
      <c r="EU268" s="835">
        <f>+IF(OR(EC268=EB268,EU$44=1),0,
IF(AND(EU$44&gt;1,EC268=$N268),1-SUM($EN268:ET268),
IF($N268&lt;=1,
IF($N268&gt;0,1/$N268,0),
IF(EU$44=2,0,VDB(1,0,$N268,INT(EU$44-2-1),MIN($N268,INT(EU$44-2-1)+1),$DC268,IF($DD268="No",1,0))/
IF(EB268&gt;=INT($N268),$N268-INT($N268),1)))*
IF(EU$44=2,0,
IF(INT(EC268)=INT(EB268),EC268-EB268,INT(EC268)-EB268))+
IF($N268&lt;=1,
IF($N268&gt;0,1/$N268,0),VDB(1,0,$N268,INT(EU$44-2),MIN($N268,INT(EU$44-2)+1),$DC268,IF($DD268="No",1,0))/
IF(EC268&gt;INT($N268),$N268-INT($N268),1))*
IF(EU$44=2,EC268,
IF(INT(EC268)=INT(EB268),0,EC268-INT(EC268)))))</f>
        <v>0</v>
      </c>
      <c r="EV268" s="836">
        <f>+IF(OR(ED268=EC268,EV$44=1),0,
IF(AND(EV$44&gt;1,ED268=$N268),1-SUM($EN268:EU268),
IF($N268&lt;=1,
IF($N268&gt;0,1/$N268,0),
IF(EV$44=2,0,VDB(1,0,$N268,INT(EV$44-2-1),MIN($N268,INT(EV$44-2-1)+1),$DC268,IF($DD268="No",1,0))/
IF(EC268&gt;=INT($N268),$N268-INT($N268),1)))*
IF(EV$44=2,0,
IF(INT(ED268)=INT(EC268),ED268-EC268,INT(ED268)-EC268))+
IF($N268&lt;=1,
IF($N268&gt;0,1/$N268,0),VDB(1,0,$N268,INT(EV$44-2),MIN($N268,INT(EV$44-2)+1),$DC268,IF($DD268="No",1,0))/
IF(ED268&gt;INT($N268),$N268-INT($N268),1))*
IF(EV$44=2,ED268,
IF(INT(ED268)=INT(EC268),0,ED268-INT(ED268)))))</f>
        <v>0</v>
      </c>
      <c r="EW268" s="833"/>
      <c r="EX268" s="834">
        <f t="shared" ca="1" si="503"/>
        <v>0</v>
      </c>
      <c r="EY268" s="835">
        <f t="shared" ca="1" si="503"/>
        <v>0</v>
      </c>
      <c r="EZ268" s="836">
        <f t="shared" ca="1" si="503"/>
        <v>0</v>
      </c>
      <c r="FA268" s="834">
        <f t="shared" ca="1" si="503"/>
        <v>0</v>
      </c>
      <c r="FB268" s="835">
        <f t="shared" ca="1" si="503"/>
        <v>0</v>
      </c>
      <c r="FC268" s="835">
        <f t="shared" ca="1" si="503"/>
        <v>0</v>
      </c>
      <c r="FD268" s="835">
        <f t="shared" ca="1" si="503"/>
        <v>0</v>
      </c>
      <c r="FE268" s="836">
        <f t="shared" ca="1" si="503"/>
        <v>0</v>
      </c>
      <c r="FG268" s="386">
        <f t="shared" ca="1" si="504"/>
        <v>0</v>
      </c>
      <c r="FH268" s="387">
        <f t="shared" ca="1" si="505"/>
        <v>0</v>
      </c>
      <c r="FI268" s="388">
        <f t="shared" ca="1" si="506"/>
        <v>0</v>
      </c>
      <c r="FJ268" s="386">
        <f t="shared" ca="1" si="507"/>
        <v>0</v>
      </c>
      <c r="FK268" s="387">
        <f t="shared" ca="1" si="508"/>
        <v>0</v>
      </c>
      <c r="FL268" s="387">
        <f t="shared" ca="1" si="509"/>
        <v>0</v>
      </c>
      <c r="FM268" s="387">
        <f t="shared" ca="1" si="510"/>
        <v>0</v>
      </c>
      <c r="FN268" s="388">
        <f t="shared" ca="1" si="511"/>
        <v>0</v>
      </c>
      <c r="FR268" s="116"/>
    </row>
    <row r="269" spans="2:174">
      <c r="B269" s="1410">
        <f t="shared" si="512"/>
        <v>223</v>
      </c>
      <c r="C269" s="400"/>
      <c r="D269" s="410"/>
      <c r="E269" s="402"/>
      <c r="F269" s="402"/>
      <c r="G269" s="400"/>
      <c r="H269" s="2088"/>
      <c r="I269" s="2089"/>
      <c r="J269" s="411"/>
      <c r="K269" s="403"/>
      <c r="L269" s="403"/>
      <c r="M269" s="403"/>
      <c r="N269" s="403"/>
      <c r="O269" s="347"/>
      <c r="P269" s="347"/>
      <c r="Q269" s="1021"/>
      <c r="R269" s="1022"/>
      <c r="S269" s="1022"/>
      <c r="T269" s="1022"/>
      <c r="U269" s="1023"/>
      <c r="V269" s="1021"/>
      <c r="W269" s="1022"/>
      <c r="X269" s="1022"/>
      <c r="Y269" s="1022"/>
      <c r="Z269" s="1023"/>
      <c r="AA269" s="1024"/>
      <c r="AB269" s="1021"/>
      <c r="AC269" s="1022"/>
      <c r="AD269" s="1022"/>
      <c r="AE269" s="1022"/>
      <c r="AF269" s="1023"/>
      <c r="AG269" s="1021"/>
      <c r="AH269" s="1022"/>
      <c r="AI269" s="1022"/>
      <c r="AJ269" s="1022"/>
      <c r="AK269" s="1023"/>
      <c r="AL269" s="1024"/>
      <c r="AM269" s="1021"/>
      <c r="AN269" s="1022"/>
      <c r="AO269" s="1022"/>
      <c r="AP269" s="1022"/>
      <c r="AQ269" s="1023"/>
      <c r="AR269" s="1021"/>
      <c r="AS269" s="1022"/>
      <c r="AT269" s="1022"/>
      <c r="AU269" s="1022"/>
      <c r="AV269" s="1023"/>
      <c r="AW269" s="1025"/>
      <c r="AX269" s="1282">
        <f t="shared" si="457"/>
        <v>0</v>
      </c>
      <c r="AY269" s="387">
        <f t="shared" si="458"/>
        <v>0</v>
      </c>
      <c r="AZ269" s="387">
        <f t="shared" si="459"/>
        <v>0</v>
      </c>
      <c r="BA269" s="387">
        <f t="shared" si="460"/>
        <v>0</v>
      </c>
      <c r="BB269" s="1283">
        <f t="shared" si="461"/>
        <v>0</v>
      </c>
      <c r="BC269" s="386">
        <f t="shared" si="462"/>
        <v>0</v>
      </c>
      <c r="BD269" s="387">
        <f t="shared" si="463"/>
        <v>0</v>
      </c>
      <c r="BE269" s="1277">
        <f t="shared" si="464"/>
        <v>0</v>
      </c>
      <c r="BF269" s="1277">
        <f t="shared" si="465"/>
        <v>0</v>
      </c>
      <c r="BG269" s="388">
        <f t="shared" si="466"/>
        <v>0</v>
      </c>
      <c r="BH269" s="1025"/>
      <c r="BI269" s="1282">
        <f t="shared" ca="1" si="467"/>
        <v>0</v>
      </c>
      <c r="BJ269" s="387">
        <f t="shared" ca="1" si="468"/>
        <v>0</v>
      </c>
      <c r="BK269" s="387">
        <f t="shared" ca="1" si="469"/>
        <v>0</v>
      </c>
      <c r="BL269" s="387">
        <f t="shared" ca="1" si="470"/>
        <v>0</v>
      </c>
      <c r="BM269" s="1283">
        <f t="shared" ca="1" si="471"/>
        <v>0</v>
      </c>
      <c r="BN269" s="386">
        <f t="shared" ca="1" si="472"/>
        <v>0</v>
      </c>
      <c r="BO269" s="387">
        <f t="shared" ca="1" si="473"/>
        <v>0</v>
      </c>
      <c r="BP269" s="1277">
        <f t="shared" ca="1" si="474"/>
        <v>0</v>
      </c>
      <c r="BQ269" s="1277">
        <f t="shared" ca="1" si="475"/>
        <v>0</v>
      </c>
      <c r="BR269" s="388">
        <f t="shared" ca="1" si="476"/>
        <v>0</v>
      </c>
      <c r="BS269" s="1025"/>
      <c r="BT269" s="1282">
        <f>+IF($K269="Ongoing",AX269,IF(RIGHT($K269,2)=RIGHT(BT$43,2),SUM($AX269:AX269),0)+IF(RIGHT(BT$43,2)&gt;RIGHT($K269,2),AX269,0))</f>
        <v>0</v>
      </c>
      <c r="BU269" s="387">
        <f>+IF($K269="Ongoing",AY269,IF(RIGHT($K269,2)=RIGHT(BU$43,2),SUM($AX269:AY269),0)+IF(RIGHT(BU$43,2)&gt;RIGHT($K269,2),AY269,0))</f>
        <v>0</v>
      </c>
      <c r="BV269" s="387">
        <f>+IF($K269="Ongoing",AZ269,IF(RIGHT($K269,2)=RIGHT(BV$43,2),SUM($AX269:AZ269),0)+IF(RIGHT(BV$43,2)&gt;RIGHT($K269,2),AZ269,0))</f>
        <v>0</v>
      </c>
      <c r="BW269" s="387">
        <f>+IF($K269="Ongoing",BA269,IF(RIGHT($K269,2)=RIGHT(BW$43,2),SUM($AX269:BA269),0)+IF(RIGHT(BW$43,2)&gt;RIGHT($K269,2),BA269,0))</f>
        <v>0</v>
      </c>
      <c r="BX269" s="1283">
        <f>+IF($K269="Ongoing",BB269,IF(RIGHT($K269,2)=RIGHT(BX$43,2),SUM($AX269:BB269),0)+IF(RIGHT(BX$43,2)&gt;RIGHT($K269,2),BB269,0))</f>
        <v>0</v>
      </c>
      <c r="BY269" s="386">
        <f>+IF($K269="Ongoing",BC269,IF(RIGHT($K269,2)=RIGHT(BY$43,2),SUM($AX269:BC269),0)+IF(RIGHT(BY$43,2)&gt;RIGHT($K269,2),BC269,0))</f>
        <v>0</v>
      </c>
      <c r="BZ269" s="387">
        <f>+IF($K269="Ongoing",BD269,IF(RIGHT($K269,2)=RIGHT(BZ$43,2),SUM($AX269:BD269),0)+IF(RIGHT(BZ$43,2)&gt;RIGHT($K269,2),BD269,0))</f>
        <v>0</v>
      </c>
      <c r="CA269" s="1277">
        <f>+IF($K269="Ongoing",BE269,IF(RIGHT($K269,2)=RIGHT(CA$43,2),SUM($AX269:BE269),0)+IF(RIGHT(CA$43,2)&gt;RIGHT($K269,2),BE269,0))</f>
        <v>0</v>
      </c>
      <c r="CB269" s="1277">
        <f>+IF($K269="Ongoing",BF269,IF(RIGHT($K269,2)=RIGHT(CB$43,2),SUM($AX269:BF269),0)+IF(RIGHT(CB$43,2)&gt;RIGHT($K269,2),BF269,0))</f>
        <v>0</v>
      </c>
      <c r="CC269" s="388">
        <f>+IF($K269="Ongoing",BG269,IF(RIGHT($K269,2)=RIGHT(CC$43,2),SUM($AX269:BG269),0)+IF(RIGHT(CC$43,2)&gt;RIGHT($K269,2),BG269,0))</f>
        <v>0</v>
      </c>
      <c r="CD269" s="1025"/>
      <c r="CE269" s="1282">
        <f>+Q269*KeyAssumptionsPriceControl_FO!AF$15</f>
        <v>0</v>
      </c>
      <c r="CF269" s="387">
        <f>+R269*KeyAssumptionsPriceControl_FO!AG$15</f>
        <v>0</v>
      </c>
      <c r="CG269" s="387">
        <f>+S269*KeyAssumptionsPriceControl_FO!AH$15</f>
        <v>0</v>
      </c>
      <c r="CH269" s="387">
        <f>+T269*KeyAssumptionsPriceControl_FO!AI$15</f>
        <v>0</v>
      </c>
      <c r="CI269" s="1283">
        <f>+U269*KeyAssumptionsPriceControl_FO!AJ$15</f>
        <v>0</v>
      </c>
      <c r="CJ269" s="386">
        <f>+V269*KeyAssumptionsPriceControl_FO!AK$15</f>
        <v>0</v>
      </c>
      <c r="CK269" s="387">
        <f>+W269*KeyAssumptionsPriceControl_FO!AL$15</f>
        <v>0</v>
      </c>
      <c r="CL269" s="1277">
        <f>+X269*KeyAssumptionsPriceControl_FO!AM$15</f>
        <v>0</v>
      </c>
      <c r="CM269" s="1277">
        <f>+Y269*KeyAssumptionsPriceControl_FO!AN$15</f>
        <v>0</v>
      </c>
      <c r="CN269" s="388">
        <f>+Z269*KeyAssumptionsPriceControl_FO!AO$15</f>
        <v>0</v>
      </c>
      <c r="CO269" s="1025"/>
      <c r="CP269" s="1282">
        <f t="shared" ca="1" si="477"/>
        <v>0</v>
      </c>
      <c r="CQ269" s="387">
        <f t="shared" ca="1" si="478"/>
        <v>0</v>
      </c>
      <c r="CR269" s="387">
        <f t="shared" ca="1" si="479"/>
        <v>0</v>
      </c>
      <c r="CS269" s="387">
        <f t="shared" ca="1" si="480"/>
        <v>0</v>
      </c>
      <c r="CT269" s="1283">
        <f t="shared" ca="1" si="481"/>
        <v>0</v>
      </c>
      <c r="CU269" s="386">
        <f t="shared" ca="1" si="482"/>
        <v>0</v>
      </c>
      <c r="CV269" s="387">
        <f t="shared" ca="1" si="483"/>
        <v>0</v>
      </c>
      <c r="CW269" s="1277">
        <f t="shared" ca="1" si="484"/>
        <v>0</v>
      </c>
      <c r="CX269" s="1277">
        <f t="shared" ca="1" si="485"/>
        <v>0</v>
      </c>
      <c r="CY269" s="388">
        <f t="shared" ca="1" si="486"/>
        <v>0</v>
      </c>
      <c r="CZ269" s="347"/>
      <c r="DA269" s="852"/>
      <c r="DB269" s="347"/>
      <c r="DC269" s="1012" t="s">
        <v>568</v>
      </c>
      <c r="DD269" s="841" t="s">
        <v>518</v>
      </c>
      <c r="DE269" s="386">
        <f>+IF($K269="ongoing",CE269,IF(RIGHT($K269,2)=RIGHT(DE$43,2),SUM($CD269:CE269),0)+IF(RIGHT(DE$43,2)&gt;RIGHT($K269,2),CE269,0))</f>
        <v>0</v>
      </c>
      <c r="DF269" s="387">
        <f>+IF($K269="ongoing",CF269,IF(RIGHT($K269,2)=RIGHT(DF$43,2),SUM($CD269:CF269),0)+IF(RIGHT(DF$43,2)&gt;RIGHT($K269,2),CF269,0))</f>
        <v>0</v>
      </c>
      <c r="DG269" s="388">
        <f>+IF($K269="ongoing",CG269,IF(RIGHT($K269,2)=RIGHT(DG$43,2),SUM($CD269:CG269),0)+IF(RIGHT(DG$43,2)&gt;RIGHT($K269,2),CG269,0))</f>
        <v>0</v>
      </c>
      <c r="DH269" s="386">
        <f>+IF($K269="ongoing",CH269,IF(RIGHT($K269,2)=RIGHT(DH$43,2),SUM($CD269:CH269),0)+IF(RIGHT(DH$43,2)&gt;RIGHT($K269,2),CH269,0))</f>
        <v>0</v>
      </c>
      <c r="DI269" s="387">
        <f>+IF($K269="ongoing",CI269,IF(RIGHT($K269,2)=RIGHT(DI$43,2),SUM($CD269:CI269),0)+IF(RIGHT(DI$43,2)&gt;RIGHT($K269,2),CI269,0))</f>
        <v>0</v>
      </c>
      <c r="DJ269" s="387">
        <f>+IF($K269="ongoing",CJ269,IF(RIGHT($K269,2)=RIGHT(DJ$43,2),SUM($CD269:CJ269),0)+IF(RIGHT(DJ$43,2)&gt;RIGHT($K269,2),CJ269,0))</f>
        <v>0</v>
      </c>
      <c r="DK269" s="387">
        <f>+IF($K269="ongoing",CK269,IF(RIGHT($K269,2)=RIGHT(DK$43,2),SUM($CD269:CK269),0)+IF(RIGHT(DK$43,2)&gt;RIGHT($K269,2),CK269,0))</f>
        <v>0</v>
      </c>
      <c r="DL269" s="388">
        <f>+IF($K269="ongoing",CN269,IF(RIGHT($K269,2)=RIGHT(DL$43,2),SUM($CD269:CN269),0)+IF(RIGHT(DL$43,2)&gt;RIGHT($K269,2),CN269,0))</f>
        <v>0</v>
      </c>
      <c r="DM269" s="841"/>
      <c r="DN269" s="386">
        <f t="shared" si="487"/>
        <v>0.5</v>
      </c>
      <c r="DO269" s="387">
        <f t="shared" si="488"/>
        <v>1</v>
      </c>
      <c r="DP269" s="388">
        <f t="shared" si="489"/>
        <v>1</v>
      </c>
      <c r="DQ269" s="386">
        <f t="shared" si="490"/>
        <v>1</v>
      </c>
      <c r="DR269" s="387">
        <f t="shared" si="491"/>
        <v>1</v>
      </c>
      <c r="DS269" s="387">
        <f t="shared" si="492"/>
        <v>1</v>
      </c>
      <c r="DT269" s="387">
        <f t="shared" si="493"/>
        <v>1</v>
      </c>
      <c r="DU269" s="388">
        <f t="shared" si="494"/>
        <v>1</v>
      </c>
      <c r="DW269" s="386">
        <f t="shared" si="495"/>
        <v>0</v>
      </c>
      <c r="DX269" s="387">
        <f t="shared" si="496"/>
        <v>0.5</v>
      </c>
      <c r="DY269" s="388">
        <f t="shared" si="497"/>
        <v>1</v>
      </c>
      <c r="DZ269" s="386">
        <f t="shared" si="498"/>
        <v>1</v>
      </c>
      <c r="EA269" s="387">
        <f t="shared" si="499"/>
        <v>1</v>
      </c>
      <c r="EB269" s="387">
        <f t="shared" si="500"/>
        <v>1</v>
      </c>
      <c r="EC269" s="387">
        <f t="shared" si="501"/>
        <v>1</v>
      </c>
      <c r="ED269" s="388">
        <f t="shared" si="502"/>
        <v>1</v>
      </c>
      <c r="EF269" s="834">
        <f>+IF(DN269=DM269,0,
IF(AND(EF$44&gt;1,DN269=$N269),1-SUM($EE269:EE269),
IF($N269&lt;=1,
IF($N269&gt;0,1/$N269,0),
IF(EF$44=1,0,VDB(1,0,$N269,INT(EF$44-1-1),MIN($N269,INT(EF$44-1-1)+1),$DC269,IF($DD269="No",1,0))/
IF(DM269&gt;=INT($N269),$N269-INT($N269),1)))*
IF(EF$44=1,0,
IF(INT(DN269)=INT(DM269),DN269-DM269,INT(DN269)-DM269))+
IF($N269&lt;=1,
IF($N269&gt;0,1/$N269,0),VDB(1,0,$N269,INT(EF$44-1),MIN($N269,INT(EF$44-1)+1),$DC269,IF($DD269="No",1,0))/
IF(DN269&gt;INT($N269),$N269-INT($N269),1))*
IF(EF$44=1,DN269,
IF(INT(DN269)=INT(DM269),0,DN269-INT(DN269)))))</f>
        <v>0</v>
      </c>
      <c r="EG269" s="835">
        <f>+IF(DO269=DN269,0,
IF(AND(EG$44&gt;1,DO269=$N269),1-SUM($EE269:EF269),
IF($N269&lt;=1,
IF($N269&gt;0,1/$N269,0),
IF(EG$44=1,0,VDB(1,0,$N269,INT(EG$44-1-1),MIN($N269,INT(EG$44-1-1)+1),$DC269,IF($DD269="No",1,0))/
IF(DN269&gt;=INT($N269),$N269-INT($N269),1)))*
IF(EG$44=1,0,
IF(INT(DO269)=INT(DN269),DO269-DN269,INT(DO269)-DN269))+
IF($N269&lt;=1,
IF($N269&gt;0,1/$N269,0),VDB(1,0,$N269,INT(EG$44-1),MIN($N269,INT(EG$44-1)+1),$DC269,IF($DD269="No",1,0))/
IF(DO269&gt;INT($N269),$N269-INT($N269),1))*
IF(EG$44=1,DO269,
IF(INT(DO269)=INT(DN269),0,DO269-INT(DO269)))))</f>
        <v>0</v>
      </c>
      <c r="EH269" s="836">
        <f>+IF(DP269=DO269,0,
IF(AND(EH$44&gt;1,DP269=$N269),1-SUM($EE269:EG269),
IF($N269&lt;=1,
IF($N269&gt;0,1/$N269,0),
IF(EH$44=1,0,VDB(1,0,$N269,INT(EH$44-1-1),MIN($N269,INT(EH$44-1-1)+1),$DC269,IF($DD269="No",1,0))/
IF(DO269&gt;=INT($N269),$N269-INT($N269),1)))*
IF(EH$44=1,0,
IF(INT(DP269)=INT(DO269),DP269-DO269,INT(DP269)-DO269))+
IF($N269&lt;=1,
IF($N269&gt;0,1/$N269,0),VDB(1,0,$N269,INT(EH$44-1),MIN($N269,INT(EH$44-1)+1),$DC269,IF($DD269="No",1,0))/
IF(DP269&gt;INT($N269),$N269-INT($N269),1))*
IF(EH$44=1,DP269,
IF(INT(DP269)=INT(DO269),0,DP269-INT(DP269)))))</f>
        <v>0</v>
      </c>
      <c r="EI269" s="834">
        <f>+IF(DQ269=DP269,0,
IF(AND(EI$44&gt;1,DQ269=$N269),1-SUM($EE269:EH269),
IF($N269&lt;=1,
IF($N269&gt;0,1/$N269,0),
IF(EI$44=1,0,VDB(1,0,$N269,INT(EI$44-1-1),MIN($N269,INT(EI$44-1-1)+1),$DC269,IF($DD269="No",1,0))/
IF(DP269&gt;=INT($N269),$N269-INT($N269),1)))*
IF(EI$44=1,0,
IF(INT(DQ269)=INT(DP269),DQ269-DP269,INT(DQ269)-DP269))+
IF($N269&lt;=1,
IF($N269&gt;0,1/$N269,0),VDB(1,0,$N269,INT(EI$44-1),MIN($N269,INT(EI$44-1)+1),$DC269,IF($DD269="No",1,0))/
IF(DQ269&gt;INT($N269),$N269-INT($N269),1))*
IF(EI$44=1,DQ269,
IF(INT(DQ269)=INT(DP269),0,DQ269-INT(DQ269)))))</f>
        <v>0</v>
      </c>
      <c r="EJ269" s="835">
        <f>+IF(DR269=DQ269,0,
IF(AND(EJ$44&gt;1,DR269=$N269),1-SUM($EE269:EI269),
IF($N269&lt;=1,
IF($N269&gt;0,1/$N269,0),
IF(EJ$44=1,0,VDB(1,0,$N269,INT(EJ$44-1-1),MIN($N269,INT(EJ$44-1-1)+1),$DC269,IF($DD269="No",1,0))/
IF(DQ269&gt;=INT($N269),$N269-INT($N269),1)))*
IF(EJ$44=1,0,
IF(INT(DR269)=INT(DQ269),DR269-DQ269,INT(DR269)-DQ269))+
IF($N269&lt;=1,
IF($N269&gt;0,1/$N269,0),VDB(1,0,$N269,INT(EJ$44-1),MIN($N269,INT(EJ$44-1)+1),$DC269,IF($DD269="No",1,0))/
IF(DR269&gt;INT($N269),$N269-INT($N269),1))*
IF(EJ$44=1,DR269,
IF(INT(DR269)=INT(DQ269),0,DR269-INT(DR269)))))</f>
        <v>0</v>
      </c>
      <c r="EK269" s="835">
        <f>+IF(DS269=DR269,0,
IF(AND(EK$44&gt;1,DS269=$N269),1-SUM($EE269:EJ269),
IF($N269&lt;=1,
IF($N269&gt;0,1/$N269,0),
IF(EK$44=1,0,VDB(1,0,$N269,INT(EK$44-1-1),MIN($N269,INT(EK$44-1-1)+1),$DC269,IF($DD269="No",1,0))/
IF(DR269&gt;=INT($N269),$N269-INT($N269),1)))*
IF(EK$44=1,0,
IF(INT(DS269)=INT(DR269),DS269-DR269,INT(DS269)-DR269))+
IF($N269&lt;=1,
IF($N269&gt;0,1/$N269,0),VDB(1,0,$N269,INT(EK$44-1),MIN($N269,INT(EK$44-1)+1),$DC269,IF($DD269="No",1,0))/
IF(DS269&gt;INT($N269),$N269-INT($N269),1))*
IF(EK$44=1,DS269,
IF(INT(DS269)=INT(DR269),0,DS269-INT(DS269)))))</f>
        <v>0</v>
      </c>
      <c r="EL269" s="835">
        <f>+IF(DT269=DS269,0,
IF(AND(EL$44&gt;1,DT269=$N269),1-SUM($EE269:EK269),
IF($N269&lt;=1,
IF($N269&gt;0,1/$N269,0),
IF(EL$44=1,0,VDB(1,0,$N269,INT(EL$44-1-1),MIN($N269,INT(EL$44-1-1)+1),$DC269,IF($DD269="No",1,0))/
IF(DS269&gt;=INT($N269),$N269-INT($N269),1)))*
IF(EL$44=1,0,
IF(INT(DT269)=INT(DS269),DT269-DS269,INT(DT269)-DS269))+
IF($N269&lt;=1,
IF($N269&gt;0,1/$N269,0),VDB(1,0,$N269,INT(EL$44-1),MIN($N269,INT(EL$44-1)+1),$DC269,IF($DD269="No",1,0))/
IF(DT269&gt;INT($N269),$N269-INT($N269),1))*
IF(EL$44=1,DT269,
IF(INT(DT269)=INT(DS269),0,DT269-INT(DT269)))))</f>
        <v>0</v>
      </c>
      <c r="EM269" s="836">
        <f>+IF(DU269=DT269,0,
IF(AND(EM$44&gt;1,DU269=$N269),1-SUM($EE269:EL269),
IF($N269&lt;=1,
IF($N269&gt;0,1/$N269,0),
IF(EM$44=1,0,VDB(1,0,$N269,INT(EM$44-1-1),MIN($N269,INT(EM$44-1-1)+1),$DC269,IF($DD269="No",1,0))/
IF(DT269&gt;=INT($N269),$N269-INT($N269),1)))*
IF(EM$44=1,0,
IF(INT(DU269)=INT(DT269),DU269-DT269,INT(DU269)-DT269))+
IF($N269&lt;=1,
IF($N269&gt;0,1/$N269,0),VDB(1,0,$N269,INT(EM$44-1),MIN($N269,INT(EM$44-1)+1),$DC269,IF($DD269="No",1,0))/
IF(DU269&gt;INT($N269),$N269-INT($N269),1))*
IF(EM$44=1,DU269,
IF(INT(DU269)=INT(DT269),0,DU269-INT(DU269)))))</f>
        <v>0</v>
      </c>
      <c r="EN269" s="833"/>
      <c r="EO269" s="834">
        <f>+IF(OR(DW269=DV269,EO$44=1),0,
IF(AND(EO$44&gt;1,DW269=$N269),1-SUM($EN269:EN269),
IF($N269&lt;=1,
IF($N269&gt;0,1/$N269,0),
IF(EO$44=2,0,VDB(1,0,$N269,INT(EO$44-2-1),MIN($N269,INT(EO$44-2-1)+1),$DC269,IF($DD269="No",1,0))/
IF(DV269&gt;=INT($N269),$N269-INT($N269),1)))*
IF(EO$44=2,0,
IF(INT(DW269)=INT(DV269),DW269-DV269,INT(DW269)-DV269))+
IF($N269&lt;=1,
IF($N269&gt;0,1/$N269,0),VDB(1,0,$N269,INT(EO$44-2),MIN($N269,INT(EO$44-2)+1),$DC269,IF($DD269="No",1,0))/
IF(DW269&gt;INT($N269),$N269-INT($N269),1))*
IF(EO$44=2,DW269,
IF(INT(DW269)=INT(DV269),0,DW269-INT(DW269)))))</f>
        <v>0</v>
      </c>
      <c r="EP269" s="835">
        <f>+IF(OR(DX269=DW269,EP$44=1),0,
IF(AND(EP$44&gt;1,DX269=$N269),1-SUM($EN269:EO269),
IF($N269&lt;=1,
IF($N269&gt;0,1/$N269,0),
IF(EP$44=2,0,VDB(1,0,$N269,INT(EP$44-2-1),MIN($N269,INT(EP$44-2-1)+1),$DC269,IF($DD269="No",1,0))/
IF(DW269&gt;=INT($N269),$N269-INT($N269),1)))*
IF(EP$44=2,0,
IF(INT(DX269)=INT(DW269),DX269-DW269,INT(DX269)-DW269))+
IF($N269&lt;=1,
IF($N269&gt;0,1/$N269,0),VDB(1,0,$N269,INT(EP$44-2),MIN($N269,INT(EP$44-2)+1),$DC269,IF($DD269="No",1,0))/
IF(DX269&gt;INT($N269),$N269-INT($N269),1))*
IF(EP$44=2,DX269,
IF(INT(DX269)=INT(DW269),0,DX269-INT(DX269)))))</f>
        <v>0</v>
      </c>
      <c r="EQ269" s="836">
        <f>+IF(OR(DY269=DX269,EQ$44=1),0,
IF(AND(EQ$44&gt;1,DY269=$N269),1-SUM($EN269:EP269),
IF($N269&lt;=1,
IF($N269&gt;0,1/$N269,0),
IF(EQ$44=2,0,VDB(1,0,$N269,INT(EQ$44-2-1),MIN($N269,INT(EQ$44-2-1)+1),$DC269,IF($DD269="No",1,0))/
IF(DX269&gt;=INT($N269),$N269-INT($N269),1)))*
IF(EQ$44=2,0,
IF(INT(DY269)=INT(DX269),DY269-DX269,INT(DY269)-DX269))+
IF($N269&lt;=1,
IF($N269&gt;0,1/$N269,0),VDB(1,0,$N269,INT(EQ$44-2),MIN($N269,INT(EQ$44-2)+1),$DC269,IF($DD269="No",1,0))/
IF(DY269&gt;INT($N269),$N269-INT($N269),1))*
IF(EQ$44=2,DY269,
IF(INT(DY269)=INT(DX269),0,DY269-INT(DY269)))))</f>
        <v>0</v>
      </c>
      <c r="ER269" s="834">
        <f>+IF(OR(DZ269=DY269,ER$44=1),0,
IF(AND(ER$44&gt;1,DZ269=$N269),1-SUM($EN269:EQ269),
IF($N269&lt;=1,
IF($N269&gt;0,1/$N269,0),
IF(ER$44=2,0,VDB(1,0,$N269,INT(ER$44-2-1),MIN($N269,INT(ER$44-2-1)+1),$DC269,IF($DD269="No",1,0))/
IF(DY269&gt;=INT($N269),$N269-INT($N269),1)))*
IF(ER$44=2,0,
IF(INT(DZ269)=INT(DY269),DZ269-DY269,INT(DZ269)-DY269))+
IF($N269&lt;=1,
IF($N269&gt;0,1/$N269,0),VDB(1,0,$N269,INT(ER$44-2),MIN($N269,INT(ER$44-2)+1),$DC269,IF($DD269="No",1,0))/
IF(DZ269&gt;INT($N269),$N269-INT($N269),1))*
IF(ER$44=2,DZ269,
IF(INT(DZ269)=INT(DY269),0,DZ269-INT(DZ269)))))</f>
        <v>0</v>
      </c>
      <c r="ES269" s="835">
        <f>+IF(OR(EA269=DZ269,ES$44=1),0,
IF(AND(ES$44&gt;1,EA269=$N269),1-SUM($EN269:ER269),
IF($N269&lt;=1,
IF($N269&gt;0,1/$N269,0),
IF(ES$44=2,0,VDB(1,0,$N269,INT(ES$44-2-1),MIN($N269,INT(ES$44-2-1)+1),$DC269,IF($DD269="No",1,0))/
IF(DZ269&gt;=INT($N269),$N269-INT($N269),1)))*
IF(ES$44=2,0,
IF(INT(EA269)=INT(DZ269),EA269-DZ269,INT(EA269)-DZ269))+
IF($N269&lt;=1,
IF($N269&gt;0,1/$N269,0),VDB(1,0,$N269,INT(ES$44-2),MIN($N269,INT(ES$44-2)+1),$DC269,IF($DD269="No",1,0))/
IF(EA269&gt;INT($N269),$N269-INT($N269),1))*
IF(ES$44=2,EA269,
IF(INT(EA269)=INT(DZ269),0,EA269-INT(EA269)))))</f>
        <v>0</v>
      </c>
      <c r="ET269" s="835">
        <f>+IF(OR(EB269=EA269,ET$44=1),0,
IF(AND(ET$44&gt;1,EB269=$N269),1-SUM($EN269:ES269),
IF($N269&lt;=1,
IF($N269&gt;0,1/$N269,0),
IF(ET$44=2,0,VDB(1,0,$N269,INT(ET$44-2-1),MIN($N269,INT(ET$44-2-1)+1),$DC269,IF($DD269="No",1,0))/
IF(EA269&gt;=INT($N269),$N269-INT($N269),1)))*
IF(ET$44=2,0,
IF(INT(EB269)=INT(EA269),EB269-EA269,INT(EB269)-EA269))+
IF($N269&lt;=1,
IF($N269&gt;0,1/$N269,0),VDB(1,0,$N269,INT(ET$44-2),MIN($N269,INT(ET$44-2)+1),$DC269,IF($DD269="No",1,0))/
IF(EB269&gt;INT($N269),$N269-INT($N269),1))*
IF(ET$44=2,EB269,
IF(INT(EB269)=INT(EA269),0,EB269-INT(EB269)))))</f>
        <v>0</v>
      </c>
      <c r="EU269" s="835">
        <f>+IF(OR(EC269=EB269,EU$44=1),0,
IF(AND(EU$44&gt;1,EC269=$N269),1-SUM($EN269:ET269),
IF($N269&lt;=1,
IF($N269&gt;0,1/$N269,0),
IF(EU$44=2,0,VDB(1,0,$N269,INT(EU$44-2-1),MIN($N269,INT(EU$44-2-1)+1),$DC269,IF($DD269="No",1,0))/
IF(EB269&gt;=INT($N269),$N269-INT($N269),1)))*
IF(EU$44=2,0,
IF(INT(EC269)=INT(EB269),EC269-EB269,INT(EC269)-EB269))+
IF($N269&lt;=1,
IF($N269&gt;0,1/$N269,0),VDB(1,0,$N269,INT(EU$44-2),MIN($N269,INT(EU$44-2)+1),$DC269,IF($DD269="No",1,0))/
IF(EC269&gt;INT($N269),$N269-INT($N269),1))*
IF(EU$44=2,EC269,
IF(INT(EC269)=INT(EB269),0,EC269-INT(EC269)))))</f>
        <v>0</v>
      </c>
      <c r="EV269" s="836">
        <f>+IF(OR(ED269=EC269,EV$44=1),0,
IF(AND(EV$44&gt;1,ED269=$N269),1-SUM($EN269:EU269),
IF($N269&lt;=1,
IF($N269&gt;0,1/$N269,0),
IF(EV$44=2,0,VDB(1,0,$N269,INT(EV$44-2-1),MIN($N269,INT(EV$44-2-1)+1),$DC269,IF($DD269="No",1,0))/
IF(EC269&gt;=INT($N269),$N269-INT($N269),1)))*
IF(EV$44=2,0,
IF(INT(ED269)=INT(EC269),ED269-EC269,INT(ED269)-EC269))+
IF($N269&lt;=1,
IF($N269&gt;0,1/$N269,0),VDB(1,0,$N269,INT(EV$44-2),MIN($N269,INT(EV$44-2)+1),$DC269,IF($DD269="No",1,0))/
IF(ED269&gt;INT($N269),$N269-INT($N269),1))*
IF(EV$44=2,ED269,
IF(INT(ED269)=INT(EC269),0,ED269-INT(ED269)))))</f>
        <v>0</v>
      </c>
      <c r="EW269" s="833"/>
      <c r="EX269" s="834">
        <f t="shared" ca="1" si="503"/>
        <v>0</v>
      </c>
      <c r="EY269" s="835">
        <f t="shared" ca="1" si="503"/>
        <v>0</v>
      </c>
      <c r="EZ269" s="836">
        <f t="shared" ca="1" si="503"/>
        <v>0</v>
      </c>
      <c r="FA269" s="834">
        <f t="shared" ca="1" si="503"/>
        <v>0</v>
      </c>
      <c r="FB269" s="835">
        <f t="shared" ca="1" si="503"/>
        <v>0</v>
      </c>
      <c r="FC269" s="835">
        <f t="shared" ca="1" si="503"/>
        <v>0</v>
      </c>
      <c r="FD269" s="835">
        <f t="shared" ca="1" si="503"/>
        <v>0</v>
      </c>
      <c r="FE269" s="836">
        <f t="shared" ca="1" si="503"/>
        <v>0</v>
      </c>
      <c r="FG269" s="386">
        <f t="shared" ca="1" si="504"/>
        <v>0</v>
      </c>
      <c r="FH269" s="387">
        <f t="shared" ca="1" si="505"/>
        <v>0</v>
      </c>
      <c r="FI269" s="388">
        <f t="shared" ca="1" si="506"/>
        <v>0</v>
      </c>
      <c r="FJ269" s="386">
        <f t="shared" ca="1" si="507"/>
        <v>0</v>
      </c>
      <c r="FK269" s="387">
        <f t="shared" ca="1" si="508"/>
        <v>0</v>
      </c>
      <c r="FL269" s="387">
        <f t="shared" ca="1" si="509"/>
        <v>0</v>
      </c>
      <c r="FM269" s="387">
        <f t="shared" ca="1" si="510"/>
        <v>0</v>
      </c>
      <c r="FN269" s="388">
        <f t="shared" ca="1" si="511"/>
        <v>0</v>
      </c>
      <c r="FR269" s="116"/>
    </row>
    <row r="270" spans="2:174">
      <c r="B270" s="1410">
        <f t="shared" si="512"/>
        <v>224</v>
      </c>
      <c r="C270" s="400"/>
      <c r="D270" s="410"/>
      <c r="E270" s="402"/>
      <c r="F270" s="402"/>
      <c r="G270" s="400"/>
      <c r="H270" s="2088"/>
      <c r="I270" s="2089"/>
      <c r="J270" s="411"/>
      <c r="K270" s="403"/>
      <c r="L270" s="403"/>
      <c r="M270" s="403"/>
      <c r="N270" s="403"/>
      <c r="O270" s="347"/>
      <c r="P270" s="347"/>
      <c r="Q270" s="1021"/>
      <c r="R270" s="1022"/>
      <c r="S270" s="1022"/>
      <c r="T270" s="1022"/>
      <c r="U270" s="1023"/>
      <c r="V270" s="1021"/>
      <c r="W270" s="1022"/>
      <c r="X270" s="1022"/>
      <c r="Y270" s="1022"/>
      <c r="Z270" s="1023"/>
      <c r="AA270" s="1024"/>
      <c r="AB270" s="1021"/>
      <c r="AC270" s="1022"/>
      <c r="AD270" s="1022"/>
      <c r="AE270" s="1022"/>
      <c r="AF270" s="1023"/>
      <c r="AG270" s="1021"/>
      <c r="AH270" s="1022"/>
      <c r="AI270" s="1022"/>
      <c r="AJ270" s="1022"/>
      <c r="AK270" s="1023"/>
      <c r="AL270" s="1024"/>
      <c r="AM270" s="1021"/>
      <c r="AN270" s="1022"/>
      <c r="AO270" s="1022"/>
      <c r="AP270" s="1022"/>
      <c r="AQ270" s="1023"/>
      <c r="AR270" s="1021"/>
      <c r="AS270" s="1022"/>
      <c r="AT270" s="1022"/>
      <c r="AU270" s="1022"/>
      <c r="AV270" s="1023"/>
      <c r="AW270" s="1025"/>
      <c r="AX270" s="1282">
        <f t="shared" si="457"/>
        <v>0</v>
      </c>
      <c r="AY270" s="387">
        <f t="shared" si="458"/>
        <v>0</v>
      </c>
      <c r="AZ270" s="387">
        <f t="shared" si="459"/>
        <v>0</v>
      </c>
      <c r="BA270" s="387">
        <f t="shared" si="460"/>
        <v>0</v>
      </c>
      <c r="BB270" s="1283">
        <f t="shared" si="461"/>
        <v>0</v>
      </c>
      <c r="BC270" s="386">
        <f t="shared" si="462"/>
        <v>0</v>
      </c>
      <c r="BD270" s="387">
        <f t="shared" si="463"/>
        <v>0</v>
      </c>
      <c r="BE270" s="1277">
        <f t="shared" si="464"/>
        <v>0</v>
      </c>
      <c r="BF270" s="1277">
        <f t="shared" si="465"/>
        <v>0</v>
      </c>
      <c r="BG270" s="388">
        <f t="shared" si="466"/>
        <v>0</v>
      </c>
      <c r="BH270" s="1025"/>
      <c r="BI270" s="1282">
        <f t="shared" ca="1" si="467"/>
        <v>0</v>
      </c>
      <c r="BJ270" s="387">
        <f t="shared" ca="1" si="468"/>
        <v>0</v>
      </c>
      <c r="BK270" s="387">
        <f t="shared" ca="1" si="469"/>
        <v>0</v>
      </c>
      <c r="BL270" s="387">
        <f t="shared" ca="1" si="470"/>
        <v>0</v>
      </c>
      <c r="BM270" s="1283">
        <f t="shared" ca="1" si="471"/>
        <v>0</v>
      </c>
      <c r="BN270" s="386">
        <f t="shared" ca="1" si="472"/>
        <v>0</v>
      </c>
      <c r="BO270" s="387">
        <f t="shared" ca="1" si="473"/>
        <v>0</v>
      </c>
      <c r="BP270" s="1277">
        <f t="shared" ca="1" si="474"/>
        <v>0</v>
      </c>
      <c r="BQ270" s="1277">
        <f t="shared" ca="1" si="475"/>
        <v>0</v>
      </c>
      <c r="BR270" s="388">
        <f t="shared" ca="1" si="476"/>
        <v>0</v>
      </c>
      <c r="BS270" s="1025"/>
      <c r="BT270" s="1282">
        <f>+IF($K270="Ongoing",AX270,IF(RIGHT($K270,2)=RIGHT(BT$43,2),SUM($AX270:AX270),0)+IF(RIGHT(BT$43,2)&gt;RIGHT($K270,2),AX270,0))</f>
        <v>0</v>
      </c>
      <c r="BU270" s="387">
        <f>+IF($K270="Ongoing",AY270,IF(RIGHT($K270,2)=RIGHT(BU$43,2),SUM($AX270:AY270),0)+IF(RIGHT(BU$43,2)&gt;RIGHT($K270,2),AY270,0))</f>
        <v>0</v>
      </c>
      <c r="BV270" s="387">
        <f>+IF($K270="Ongoing",AZ270,IF(RIGHT($K270,2)=RIGHT(BV$43,2),SUM($AX270:AZ270),0)+IF(RIGHT(BV$43,2)&gt;RIGHT($K270,2),AZ270,0))</f>
        <v>0</v>
      </c>
      <c r="BW270" s="387">
        <f>+IF($K270="Ongoing",BA270,IF(RIGHT($K270,2)=RIGHT(BW$43,2),SUM($AX270:BA270),0)+IF(RIGHT(BW$43,2)&gt;RIGHT($K270,2),BA270,0))</f>
        <v>0</v>
      </c>
      <c r="BX270" s="1283">
        <f>+IF($K270="Ongoing",BB270,IF(RIGHT($K270,2)=RIGHT(BX$43,2),SUM($AX270:BB270),0)+IF(RIGHT(BX$43,2)&gt;RIGHT($K270,2),BB270,0))</f>
        <v>0</v>
      </c>
      <c r="BY270" s="386">
        <f>+IF($K270="Ongoing",BC270,IF(RIGHT($K270,2)=RIGHT(BY$43,2),SUM($AX270:BC270),0)+IF(RIGHT(BY$43,2)&gt;RIGHT($K270,2),BC270,0))</f>
        <v>0</v>
      </c>
      <c r="BZ270" s="387">
        <f>+IF($K270="Ongoing",BD270,IF(RIGHT($K270,2)=RIGHT(BZ$43,2),SUM($AX270:BD270),0)+IF(RIGHT(BZ$43,2)&gt;RIGHT($K270,2),BD270,0))</f>
        <v>0</v>
      </c>
      <c r="CA270" s="1277">
        <f>+IF($K270="Ongoing",BE270,IF(RIGHT($K270,2)=RIGHT(CA$43,2),SUM($AX270:BE270),0)+IF(RIGHT(CA$43,2)&gt;RIGHT($K270,2),BE270,0))</f>
        <v>0</v>
      </c>
      <c r="CB270" s="1277">
        <f>+IF($K270="Ongoing",BF270,IF(RIGHT($K270,2)=RIGHT(CB$43,2),SUM($AX270:BF270),0)+IF(RIGHT(CB$43,2)&gt;RIGHT($K270,2),BF270,0))</f>
        <v>0</v>
      </c>
      <c r="CC270" s="388">
        <f>+IF($K270="Ongoing",BG270,IF(RIGHT($K270,2)=RIGHT(CC$43,2),SUM($AX270:BG270),0)+IF(RIGHT(CC$43,2)&gt;RIGHT($K270,2),BG270,0))</f>
        <v>0</v>
      </c>
      <c r="CD270" s="1025"/>
      <c r="CE270" s="1282">
        <f>+Q270*KeyAssumptionsPriceControl_FO!AF$15</f>
        <v>0</v>
      </c>
      <c r="CF270" s="387">
        <f>+R270*KeyAssumptionsPriceControl_FO!AG$15</f>
        <v>0</v>
      </c>
      <c r="CG270" s="387">
        <f>+S270*KeyAssumptionsPriceControl_FO!AH$15</f>
        <v>0</v>
      </c>
      <c r="CH270" s="387">
        <f>+T270*KeyAssumptionsPriceControl_FO!AI$15</f>
        <v>0</v>
      </c>
      <c r="CI270" s="1283">
        <f>+U270*KeyAssumptionsPriceControl_FO!AJ$15</f>
        <v>0</v>
      </c>
      <c r="CJ270" s="386">
        <f>+V270*KeyAssumptionsPriceControl_FO!AK$15</f>
        <v>0</v>
      </c>
      <c r="CK270" s="387">
        <f>+W270*KeyAssumptionsPriceControl_FO!AL$15</f>
        <v>0</v>
      </c>
      <c r="CL270" s="1277">
        <f>+X270*KeyAssumptionsPriceControl_FO!AM$15</f>
        <v>0</v>
      </c>
      <c r="CM270" s="1277">
        <f>+Y270*KeyAssumptionsPriceControl_FO!AN$15</f>
        <v>0</v>
      </c>
      <c r="CN270" s="388">
        <f>+Z270*KeyAssumptionsPriceControl_FO!AO$15</f>
        <v>0</v>
      </c>
      <c r="CO270" s="1025"/>
      <c r="CP270" s="1282">
        <f t="shared" ca="1" si="477"/>
        <v>0</v>
      </c>
      <c r="CQ270" s="387">
        <f t="shared" ca="1" si="478"/>
        <v>0</v>
      </c>
      <c r="CR270" s="387">
        <f t="shared" ca="1" si="479"/>
        <v>0</v>
      </c>
      <c r="CS270" s="387">
        <f t="shared" ca="1" si="480"/>
        <v>0</v>
      </c>
      <c r="CT270" s="1283">
        <f t="shared" ca="1" si="481"/>
        <v>0</v>
      </c>
      <c r="CU270" s="386">
        <f t="shared" ca="1" si="482"/>
        <v>0</v>
      </c>
      <c r="CV270" s="387">
        <f t="shared" ca="1" si="483"/>
        <v>0</v>
      </c>
      <c r="CW270" s="1277">
        <f t="shared" ca="1" si="484"/>
        <v>0</v>
      </c>
      <c r="CX270" s="1277">
        <f t="shared" ca="1" si="485"/>
        <v>0</v>
      </c>
      <c r="CY270" s="388">
        <f t="shared" ca="1" si="486"/>
        <v>0</v>
      </c>
      <c r="CZ270" s="347"/>
      <c r="DA270" s="852"/>
      <c r="DB270" s="347"/>
      <c r="DC270" s="1012" t="s">
        <v>570</v>
      </c>
      <c r="DD270" s="841" t="s">
        <v>518</v>
      </c>
      <c r="DE270" s="386">
        <f>+IF($K270="ongoing",CE270,IF(RIGHT($K270,2)=RIGHT(DE$43,2),SUM($CD270:CE270),0)+IF(RIGHT(DE$43,2)&gt;RIGHT($K270,2),CE270,0))</f>
        <v>0</v>
      </c>
      <c r="DF270" s="387">
        <f>+IF($K270="ongoing",CF270,IF(RIGHT($K270,2)=RIGHT(DF$43,2),SUM($CD270:CF270),0)+IF(RIGHT(DF$43,2)&gt;RIGHT($K270,2),CF270,0))</f>
        <v>0</v>
      </c>
      <c r="DG270" s="388">
        <f>+IF($K270="ongoing",CG270,IF(RIGHT($K270,2)=RIGHT(DG$43,2),SUM($CD270:CG270),0)+IF(RIGHT(DG$43,2)&gt;RIGHT($K270,2),CG270,0))</f>
        <v>0</v>
      </c>
      <c r="DH270" s="386">
        <f>+IF($K270="ongoing",CH270,IF(RIGHT($K270,2)=RIGHT(DH$43,2),SUM($CD270:CH270),0)+IF(RIGHT(DH$43,2)&gt;RIGHT($K270,2),CH270,0))</f>
        <v>0</v>
      </c>
      <c r="DI270" s="387">
        <f>+IF($K270="ongoing",CI270,IF(RIGHT($K270,2)=RIGHT(DI$43,2),SUM($CD270:CI270),0)+IF(RIGHT(DI$43,2)&gt;RIGHT($K270,2),CI270,0))</f>
        <v>0</v>
      </c>
      <c r="DJ270" s="387">
        <f>+IF($K270="ongoing",CJ270,IF(RIGHT($K270,2)=RIGHT(DJ$43,2),SUM($CD270:CJ270),0)+IF(RIGHT(DJ$43,2)&gt;RIGHT($K270,2),CJ270,0))</f>
        <v>0</v>
      </c>
      <c r="DK270" s="387">
        <f>+IF($K270="ongoing",CK270,IF(RIGHT($K270,2)=RIGHT(DK$43,2),SUM($CD270:CK270),0)+IF(RIGHT(DK$43,2)&gt;RIGHT($K270,2),CK270,0))</f>
        <v>0</v>
      </c>
      <c r="DL270" s="388">
        <f>+IF($K270="ongoing",CN270,IF(RIGHT($K270,2)=RIGHT(DL$43,2),SUM($CD270:CN270),0)+IF(RIGHT(DL$43,2)&gt;RIGHT($K270,2),CN270,0))</f>
        <v>0</v>
      </c>
      <c r="DM270" s="841"/>
      <c r="DN270" s="386">
        <f t="shared" si="487"/>
        <v>0.5</v>
      </c>
      <c r="DO270" s="387">
        <f t="shared" si="488"/>
        <v>1</v>
      </c>
      <c r="DP270" s="388">
        <f t="shared" si="489"/>
        <v>1</v>
      </c>
      <c r="DQ270" s="386">
        <f t="shared" si="490"/>
        <v>1</v>
      </c>
      <c r="DR270" s="387">
        <f t="shared" si="491"/>
        <v>1</v>
      </c>
      <c r="DS270" s="387">
        <f t="shared" si="492"/>
        <v>1</v>
      </c>
      <c r="DT270" s="387">
        <f t="shared" si="493"/>
        <v>1</v>
      </c>
      <c r="DU270" s="388">
        <f t="shared" si="494"/>
        <v>1</v>
      </c>
      <c r="DW270" s="386">
        <f t="shared" si="495"/>
        <v>0</v>
      </c>
      <c r="DX270" s="387">
        <f t="shared" si="496"/>
        <v>0.5</v>
      </c>
      <c r="DY270" s="388">
        <f t="shared" si="497"/>
        <v>1</v>
      </c>
      <c r="DZ270" s="386">
        <f t="shared" si="498"/>
        <v>1</v>
      </c>
      <c r="EA270" s="387">
        <f t="shared" si="499"/>
        <v>1</v>
      </c>
      <c r="EB270" s="387">
        <f t="shared" si="500"/>
        <v>1</v>
      </c>
      <c r="EC270" s="387">
        <f t="shared" si="501"/>
        <v>1</v>
      </c>
      <c r="ED270" s="388">
        <f t="shared" si="502"/>
        <v>1</v>
      </c>
      <c r="EF270" s="834">
        <f>+IF(DN270=DM270,0,
IF(AND(EF$44&gt;1,DN270=$N270),1-SUM($EE270:EE270),
IF($N270&lt;=1,
IF($N270&gt;0,1/$N270,0),
IF(EF$44=1,0,VDB(1,0,$N270,INT(EF$44-1-1),MIN($N270,INT(EF$44-1-1)+1),$DC270,IF($DD270="No",1,0))/
IF(DM270&gt;=INT($N270),$N270-INT($N270),1)))*
IF(EF$44=1,0,
IF(INT(DN270)=INT(DM270),DN270-DM270,INT(DN270)-DM270))+
IF($N270&lt;=1,
IF($N270&gt;0,1/$N270,0),VDB(1,0,$N270,INT(EF$44-1),MIN($N270,INT(EF$44-1)+1),$DC270,IF($DD270="No",1,0))/
IF(DN270&gt;INT($N270),$N270-INT($N270),1))*
IF(EF$44=1,DN270,
IF(INT(DN270)=INT(DM270),0,DN270-INT(DN270)))))</f>
        <v>0</v>
      </c>
      <c r="EG270" s="835">
        <f>+IF(DO270=DN270,0,
IF(AND(EG$44&gt;1,DO270=$N270),1-SUM($EE270:EF270),
IF($N270&lt;=1,
IF($N270&gt;0,1/$N270,0),
IF(EG$44=1,0,VDB(1,0,$N270,INT(EG$44-1-1),MIN($N270,INT(EG$44-1-1)+1),$DC270,IF($DD270="No",1,0))/
IF(DN270&gt;=INT($N270),$N270-INT($N270),1)))*
IF(EG$44=1,0,
IF(INT(DO270)=INT(DN270),DO270-DN270,INT(DO270)-DN270))+
IF($N270&lt;=1,
IF($N270&gt;0,1/$N270,0),VDB(1,0,$N270,INT(EG$44-1),MIN($N270,INT(EG$44-1)+1),$DC270,IF($DD270="No",1,0))/
IF(DO270&gt;INT($N270),$N270-INT($N270),1))*
IF(EG$44=1,DO270,
IF(INT(DO270)=INT(DN270),0,DO270-INT(DO270)))))</f>
        <v>0</v>
      </c>
      <c r="EH270" s="836">
        <f>+IF(DP270=DO270,0,
IF(AND(EH$44&gt;1,DP270=$N270),1-SUM($EE270:EG270),
IF($N270&lt;=1,
IF($N270&gt;0,1/$N270,0),
IF(EH$44=1,0,VDB(1,0,$N270,INT(EH$44-1-1),MIN($N270,INT(EH$44-1-1)+1),$DC270,IF($DD270="No",1,0))/
IF(DO270&gt;=INT($N270),$N270-INT($N270),1)))*
IF(EH$44=1,0,
IF(INT(DP270)=INT(DO270),DP270-DO270,INT(DP270)-DO270))+
IF($N270&lt;=1,
IF($N270&gt;0,1/$N270,0),VDB(1,0,$N270,INT(EH$44-1),MIN($N270,INT(EH$44-1)+1),$DC270,IF($DD270="No",1,0))/
IF(DP270&gt;INT($N270),$N270-INT($N270),1))*
IF(EH$44=1,DP270,
IF(INT(DP270)=INT(DO270),0,DP270-INT(DP270)))))</f>
        <v>0</v>
      </c>
      <c r="EI270" s="834">
        <f>+IF(DQ270=DP270,0,
IF(AND(EI$44&gt;1,DQ270=$N270),1-SUM($EE270:EH270),
IF($N270&lt;=1,
IF($N270&gt;0,1/$N270,0),
IF(EI$44=1,0,VDB(1,0,$N270,INT(EI$44-1-1),MIN($N270,INT(EI$44-1-1)+1),$DC270,IF($DD270="No",1,0))/
IF(DP270&gt;=INT($N270),$N270-INT($N270),1)))*
IF(EI$44=1,0,
IF(INT(DQ270)=INT(DP270),DQ270-DP270,INT(DQ270)-DP270))+
IF($N270&lt;=1,
IF($N270&gt;0,1/$N270,0),VDB(1,0,$N270,INT(EI$44-1),MIN($N270,INT(EI$44-1)+1),$DC270,IF($DD270="No",1,0))/
IF(DQ270&gt;INT($N270),$N270-INT($N270),1))*
IF(EI$44=1,DQ270,
IF(INT(DQ270)=INT(DP270),0,DQ270-INT(DQ270)))))</f>
        <v>0</v>
      </c>
      <c r="EJ270" s="835">
        <f>+IF(DR270=DQ270,0,
IF(AND(EJ$44&gt;1,DR270=$N270),1-SUM($EE270:EI270),
IF($N270&lt;=1,
IF($N270&gt;0,1/$N270,0),
IF(EJ$44=1,0,VDB(1,0,$N270,INT(EJ$44-1-1),MIN($N270,INT(EJ$44-1-1)+1),$DC270,IF($DD270="No",1,0))/
IF(DQ270&gt;=INT($N270),$N270-INT($N270),1)))*
IF(EJ$44=1,0,
IF(INT(DR270)=INT(DQ270),DR270-DQ270,INT(DR270)-DQ270))+
IF($N270&lt;=1,
IF($N270&gt;0,1/$N270,0),VDB(1,0,$N270,INT(EJ$44-1),MIN($N270,INT(EJ$44-1)+1),$DC270,IF($DD270="No",1,0))/
IF(DR270&gt;INT($N270),$N270-INT($N270),1))*
IF(EJ$44=1,DR270,
IF(INT(DR270)=INT(DQ270),0,DR270-INT(DR270)))))</f>
        <v>0</v>
      </c>
      <c r="EK270" s="835">
        <f>+IF(DS270=DR270,0,
IF(AND(EK$44&gt;1,DS270=$N270),1-SUM($EE270:EJ270),
IF($N270&lt;=1,
IF($N270&gt;0,1/$N270,0),
IF(EK$44=1,0,VDB(1,0,$N270,INT(EK$44-1-1),MIN($N270,INT(EK$44-1-1)+1),$DC270,IF($DD270="No",1,0))/
IF(DR270&gt;=INT($N270),$N270-INT($N270),1)))*
IF(EK$44=1,0,
IF(INT(DS270)=INT(DR270),DS270-DR270,INT(DS270)-DR270))+
IF($N270&lt;=1,
IF($N270&gt;0,1/$N270,0),VDB(1,0,$N270,INT(EK$44-1),MIN($N270,INT(EK$44-1)+1),$DC270,IF($DD270="No",1,0))/
IF(DS270&gt;INT($N270),$N270-INT($N270),1))*
IF(EK$44=1,DS270,
IF(INT(DS270)=INT(DR270),0,DS270-INT(DS270)))))</f>
        <v>0</v>
      </c>
      <c r="EL270" s="835">
        <f>+IF(DT270=DS270,0,
IF(AND(EL$44&gt;1,DT270=$N270),1-SUM($EE270:EK270),
IF($N270&lt;=1,
IF($N270&gt;0,1/$N270,0),
IF(EL$44=1,0,VDB(1,0,$N270,INT(EL$44-1-1),MIN($N270,INT(EL$44-1-1)+1),$DC270,IF($DD270="No",1,0))/
IF(DS270&gt;=INT($N270),$N270-INT($N270),1)))*
IF(EL$44=1,0,
IF(INT(DT270)=INT(DS270),DT270-DS270,INT(DT270)-DS270))+
IF($N270&lt;=1,
IF($N270&gt;0,1/$N270,0),VDB(1,0,$N270,INT(EL$44-1),MIN($N270,INT(EL$44-1)+1),$DC270,IF($DD270="No",1,0))/
IF(DT270&gt;INT($N270),$N270-INT($N270),1))*
IF(EL$44=1,DT270,
IF(INT(DT270)=INT(DS270),0,DT270-INT(DT270)))))</f>
        <v>0</v>
      </c>
      <c r="EM270" s="836">
        <f>+IF(DU270=DT270,0,
IF(AND(EM$44&gt;1,DU270=$N270),1-SUM($EE270:EL270),
IF($N270&lt;=1,
IF($N270&gt;0,1/$N270,0),
IF(EM$44=1,0,VDB(1,0,$N270,INT(EM$44-1-1),MIN($N270,INT(EM$44-1-1)+1),$DC270,IF($DD270="No",1,0))/
IF(DT270&gt;=INT($N270),$N270-INT($N270),1)))*
IF(EM$44=1,0,
IF(INT(DU270)=INT(DT270),DU270-DT270,INT(DU270)-DT270))+
IF($N270&lt;=1,
IF($N270&gt;0,1/$N270,0),VDB(1,0,$N270,INT(EM$44-1),MIN($N270,INT(EM$44-1)+1),$DC270,IF($DD270="No",1,0))/
IF(DU270&gt;INT($N270),$N270-INT($N270),1))*
IF(EM$44=1,DU270,
IF(INT(DU270)=INT(DT270),0,DU270-INT(DU270)))))</f>
        <v>0</v>
      </c>
      <c r="EN270" s="833"/>
      <c r="EO270" s="834">
        <f>+IF(OR(DW270=DV270,EO$44=1),0,
IF(AND(EO$44&gt;1,DW270=$N270),1-SUM($EN270:EN270),
IF($N270&lt;=1,
IF($N270&gt;0,1/$N270,0),
IF(EO$44=2,0,VDB(1,0,$N270,INT(EO$44-2-1),MIN($N270,INT(EO$44-2-1)+1),$DC270,IF($DD270="No",1,0))/
IF(DV270&gt;=INT($N270),$N270-INT($N270),1)))*
IF(EO$44=2,0,
IF(INT(DW270)=INT(DV270),DW270-DV270,INT(DW270)-DV270))+
IF($N270&lt;=1,
IF($N270&gt;0,1/$N270,0),VDB(1,0,$N270,INT(EO$44-2),MIN($N270,INT(EO$44-2)+1),$DC270,IF($DD270="No",1,0))/
IF(DW270&gt;INT($N270),$N270-INT($N270),1))*
IF(EO$44=2,DW270,
IF(INT(DW270)=INT(DV270),0,DW270-INT(DW270)))))</f>
        <v>0</v>
      </c>
      <c r="EP270" s="835">
        <f>+IF(OR(DX270=DW270,EP$44=1),0,
IF(AND(EP$44&gt;1,DX270=$N270),1-SUM($EN270:EO270),
IF($N270&lt;=1,
IF($N270&gt;0,1/$N270,0),
IF(EP$44=2,0,VDB(1,0,$N270,INT(EP$44-2-1),MIN($N270,INT(EP$44-2-1)+1),$DC270,IF($DD270="No",1,0))/
IF(DW270&gt;=INT($N270),$N270-INT($N270),1)))*
IF(EP$44=2,0,
IF(INT(DX270)=INT(DW270),DX270-DW270,INT(DX270)-DW270))+
IF($N270&lt;=1,
IF($N270&gt;0,1/$N270,0),VDB(1,0,$N270,INT(EP$44-2),MIN($N270,INT(EP$44-2)+1),$DC270,IF($DD270="No",1,0))/
IF(DX270&gt;INT($N270),$N270-INT($N270),1))*
IF(EP$44=2,DX270,
IF(INT(DX270)=INT(DW270),0,DX270-INT(DX270)))))</f>
        <v>0</v>
      </c>
      <c r="EQ270" s="836">
        <f>+IF(OR(DY270=DX270,EQ$44=1),0,
IF(AND(EQ$44&gt;1,DY270=$N270),1-SUM($EN270:EP270),
IF($N270&lt;=1,
IF($N270&gt;0,1/$N270,0),
IF(EQ$44=2,0,VDB(1,0,$N270,INT(EQ$44-2-1),MIN($N270,INT(EQ$44-2-1)+1),$DC270,IF($DD270="No",1,0))/
IF(DX270&gt;=INT($N270),$N270-INT($N270),1)))*
IF(EQ$44=2,0,
IF(INT(DY270)=INT(DX270),DY270-DX270,INT(DY270)-DX270))+
IF($N270&lt;=1,
IF($N270&gt;0,1/$N270,0),VDB(1,0,$N270,INT(EQ$44-2),MIN($N270,INT(EQ$44-2)+1),$DC270,IF($DD270="No",1,0))/
IF(DY270&gt;INT($N270),$N270-INT($N270),1))*
IF(EQ$44=2,DY270,
IF(INT(DY270)=INT(DX270),0,DY270-INT(DY270)))))</f>
        <v>0</v>
      </c>
      <c r="ER270" s="834">
        <f>+IF(OR(DZ270=DY270,ER$44=1),0,
IF(AND(ER$44&gt;1,DZ270=$N270),1-SUM($EN270:EQ270),
IF($N270&lt;=1,
IF($N270&gt;0,1/$N270,0),
IF(ER$44=2,0,VDB(1,0,$N270,INT(ER$44-2-1),MIN($N270,INT(ER$44-2-1)+1),$DC270,IF($DD270="No",1,0))/
IF(DY270&gt;=INT($N270),$N270-INT($N270),1)))*
IF(ER$44=2,0,
IF(INT(DZ270)=INT(DY270),DZ270-DY270,INT(DZ270)-DY270))+
IF($N270&lt;=1,
IF($N270&gt;0,1/$N270,0),VDB(1,0,$N270,INT(ER$44-2),MIN($N270,INT(ER$44-2)+1),$DC270,IF($DD270="No",1,0))/
IF(DZ270&gt;INT($N270),$N270-INT($N270),1))*
IF(ER$44=2,DZ270,
IF(INT(DZ270)=INT(DY270),0,DZ270-INT(DZ270)))))</f>
        <v>0</v>
      </c>
      <c r="ES270" s="835">
        <f>+IF(OR(EA270=DZ270,ES$44=1),0,
IF(AND(ES$44&gt;1,EA270=$N270),1-SUM($EN270:ER270),
IF($N270&lt;=1,
IF($N270&gt;0,1/$N270,0),
IF(ES$44=2,0,VDB(1,0,$N270,INT(ES$44-2-1),MIN($N270,INT(ES$44-2-1)+1),$DC270,IF($DD270="No",1,0))/
IF(DZ270&gt;=INT($N270),$N270-INT($N270),1)))*
IF(ES$44=2,0,
IF(INT(EA270)=INT(DZ270),EA270-DZ270,INT(EA270)-DZ270))+
IF($N270&lt;=1,
IF($N270&gt;0,1/$N270,0),VDB(1,0,$N270,INT(ES$44-2),MIN($N270,INT(ES$44-2)+1),$DC270,IF($DD270="No",1,0))/
IF(EA270&gt;INT($N270),$N270-INT($N270),1))*
IF(ES$44=2,EA270,
IF(INT(EA270)=INT(DZ270),0,EA270-INT(EA270)))))</f>
        <v>0</v>
      </c>
      <c r="ET270" s="835">
        <f>+IF(OR(EB270=EA270,ET$44=1),0,
IF(AND(ET$44&gt;1,EB270=$N270),1-SUM($EN270:ES270),
IF($N270&lt;=1,
IF($N270&gt;0,1/$N270,0),
IF(ET$44=2,0,VDB(1,0,$N270,INT(ET$44-2-1),MIN($N270,INT(ET$44-2-1)+1),$DC270,IF($DD270="No",1,0))/
IF(EA270&gt;=INT($N270),$N270-INT($N270),1)))*
IF(ET$44=2,0,
IF(INT(EB270)=INT(EA270),EB270-EA270,INT(EB270)-EA270))+
IF($N270&lt;=1,
IF($N270&gt;0,1/$N270,0),VDB(1,0,$N270,INT(ET$44-2),MIN($N270,INT(ET$44-2)+1),$DC270,IF($DD270="No",1,0))/
IF(EB270&gt;INT($N270),$N270-INT($N270),1))*
IF(ET$44=2,EB270,
IF(INT(EB270)=INT(EA270),0,EB270-INT(EB270)))))</f>
        <v>0</v>
      </c>
      <c r="EU270" s="835">
        <f>+IF(OR(EC270=EB270,EU$44=1),0,
IF(AND(EU$44&gt;1,EC270=$N270),1-SUM($EN270:ET270),
IF($N270&lt;=1,
IF($N270&gt;0,1/$N270,0),
IF(EU$44=2,0,VDB(1,0,$N270,INT(EU$44-2-1),MIN($N270,INT(EU$44-2-1)+1),$DC270,IF($DD270="No",1,0))/
IF(EB270&gt;=INT($N270),$N270-INT($N270),1)))*
IF(EU$44=2,0,
IF(INT(EC270)=INT(EB270),EC270-EB270,INT(EC270)-EB270))+
IF($N270&lt;=1,
IF($N270&gt;0,1/$N270,0),VDB(1,0,$N270,INT(EU$44-2),MIN($N270,INT(EU$44-2)+1),$DC270,IF($DD270="No",1,0))/
IF(EC270&gt;INT($N270),$N270-INT($N270),1))*
IF(EU$44=2,EC270,
IF(INT(EC270)=INT(EB270),0,EC270-INT(EC270)))))</f>
        <v>0</v>
      </c>
      <c r="EV270" s="836">
        <f>+IF(OR(ED270=EC270,EV$44=1),0,
IF(AND(EV$44&gt;1,ED270=$N270),1-SUM($EN270:EU270),
IF($N270&lt;=1,
IF($N270&gt;0,1/$N270,0),
IF(EV$44=2,0,VDB(1,0,$N270,INT(EV$44-2-1),MIN($N270,INT(EV$44-2-1)+1),$DC270,IF($DD270="No",1,0))/
IF(EC270&gt;=INT($N270),$N270-INT($N270),1)))*
IF(EV$44=2,0,
IF(INT(ED270)=INT(EC270),ED270-EC270,INT(ED270)-EC270))+
IF($N270&lt;=1,
IF($N270&gt;0,1/$N270,0),VDB(1,0,$N270,INT(EV$44-2),MIN($N270,INT(EV$44-2)+1),$DC270,IF($DD270="No",1,0))/
IF(ED270&gt;INT($N270),$N270-INT($N270),1))*
IF(EV$44=2,ED270,
IF(INT(ED270)=INT(EC270),0,ED270-INT(ED270)))))</f>
        <v>0</v>
      </c>
      <c r="EW270" s="833"/>
      <c r="EX270" s="834">
        <f t="shared" ca="1" si="503"/>
        <v>0</v>
      </c>
      <c r="EY270" s="835">
        <f t="shared" ca="1" si="503"/>
        <v>0</v>
      </c>
      <c r="EZ270" s="836">
        <f t="shared" ca="1" si="503"/>
        <v>0</v>
      </c>
      <c r="FA270" s="834">
        <f t="shared" ca="1" si="503"/>
        <v>0</v>
      </c>
      <c r="FB270" s="835">
        <f t="shared" ca="1" si="503"/>
        <v>0</v>
      </c>
      <c r="FC270" s="835">
        <f t="shared" ca="1" si="503"/>
        <v>0</v>
      </c>
      <c r="FD270" s="835">
        <f t="shared" ca="1" si="503"/>
        <v>0</v>
      </c>
      <c r="FE270" s="836">
        <f t="shared" ca="1" si="503"/>
        <v>0</v>
      </c>
      <c r="FG270" s="386">
        <f t="shared" ca="1" si="504"/>
        <v>0</v>
      </c>
      <c r="FH270" s="387">
        <f t="shared" ca="1" si="505"/>
        <v>0</v>
      </c>
      <c r="FI270" s="388">
        <f t="shared" ca="1" si="506"/>
        <v>0</v>
      </c>
      <c r="FJ270" s="386">
        <f t="shared" ca="1" si="507"/>
        <v>0</v>
      </c>
      <c r="FK270" s="387">
        <f t="shared" ca="1" si="508"/>
        <v>0</v>
      </c>
      <c r="FL270" s="387">
        <f t="shared" ca="1" si="509"/>
        <v>0</v>
      </c>
      <c r="FM270" s="387">
        <f t="shared" ca="1" si="510"/>
        <v>0</v>
      </c>
      <c r="FN270" s="388">
        <f t="shared" ca="1" si="511"/>
        <v>0</v>
      </c>
      <c r="FR270" s="116"/>
    </row>
    <row r="271" spans="2:174">
      <c r="B271" s="1410">
        <f t="shared" si="512"/>
        <v>225</v>
      </c>
      <c r="C271" s="400"/>
      <c r="D271" s="410"/>
      <c r="E271" s="402"/>
      <c r="F271" s="402"/>
      <c r="G271" s="400"/>
      <c r="H271" s="2088"/>
      <c r="I271" s="2089"/>
      <c r="J271" s="411"/>
      <c r="K271" s="403"/>
      <c r="L271" s="403"/>
      <c r="M271" s="403"/>
      <c r="N271" s="403"/>
      <c r="O271" s="347"/>
      <c r="P271" s="347"/>
      <c r="Q271" s="1021"/>
      <c r="R271" s="1022"/>
      <c r="S271" s="1022"/>
      <c r="T271" s="1022"/>
      <c r="U271" s="1023"/>
      <c r="V271" s="1021"/>
      <c r="W271" s="1022"/>
      <c r="X271" s="1022"/>
      <c r="Y271" s="1022"/>
      <c r="Z271" s="1023"/>
      <c r="AA271" s="1024"/>
      <c r="AB271" s="1021"/>
      <c r="AC271" s="1022"/>
      <c r="AD271" s="1022"/>
      <c r="AE271" s="1022"/>
      <c r="AF271" s="1023"/>
      <c r="AG271" s="1021"/>
      <c r="AH271" s="1022"/>
      <c r="AI271" s="1022"/>
      <c r="AJ271" s="1022"/>
      <c r="AK271" s="1023"/>
      <c r="AL271" s="1024"/>
      <c r="AM271" s="1021"/>
      <c r="AN271" s="1022"/>
      <c r="AO271" s="1022"/>
      <c r="AP271" s="1022"/>
      <c r="AQ271" s="1023"/>
      <c r="AR271" s="1021"/>
      <c r="AS271" s="1022"/>
      <c r="AT271" s="1022"/>
      <c r="AU271" s="1022"/>
      <c r="AV271" s="1023"/>
      <c r="AW271" s="1025"/>
      <c r="AX271" s="1282">
        <f t="shared" si="457"/>
        <v>0</v>
      </c>
      <c r="AY271" s="387">
        <f t="shared" si="458"/>
        <v>0</v>
      </c>
      <c r="AZ271" s="387">
        <f t="shared" si="459"/>
        <v>0</v>
      </c>
      <c r="BA271" s="387">
        <f t="shared" si="460"/>
        <v>0</v>
      </c>
      <c r="BB271" s="1283">
        <f t="shared" si="461"/>
        <v>0</v>
      </c>
      <c r="BC271" s="386">
        <f t="shared" si="462"/>
        <v>0</v>
      </c>
      <c r="BD271" s="387">
        <f t="shared" si="463"/>
        <v>0</v>
      </c>
      <c r="BE271" s="1277">
        <f t="shared" si="464"/>
        <v>0</v>
      </c>
      <c r="BF271" s="1277">
        <f t="shared" si="465"/>
        <v>0</v>
      </c>
      <c r="BG271" s="388">
        <f t="shared" si="466"/>
        <v>0</v>
      </c>
      <c r="BH271" s="1025"/>
      <c r="BI271" s="1282">
        <f t="shared" ca="1" si="467"/>
        <v>0</v>
      </c>
      <c r="BJ271" s="387">
        <f t="shared" ca="1" si="468"/>
        <v>0</v>
      </c>
      <c r="BK271" s="387">
        <f t="shared" ca="1" si="469"/>
        <v>0</v>
      </c>
      <c r="BL271" s="387">
        <f t="shared" ca="1" si="470"/>
        <v>0</v>
      </c>
      <c r="BM271" s="1283">
        <f t="shared" ca="1" si="471"/>
        <v>0</v>
      </c>
      <c r="BN271" s="386">
        <f t="shared" ca="1" si="472"/>
        <v>0</v>
      </c>
      <c r="BO271" s="387">
        <f t="shared" ca="1" si="473"/>
        <v>0</v>
      </c>
      <c r="BP271" s="1277">
        <f t="shared" ca="1" si="474"/>
        <v>0</v>
      </c>
      <c r="BQ271" s="1277">
        <f t="shared" ca="1" si="475"/>
        <v>0</v>
      </c>
      <c r="BR271" s="388">
        <f t="shared" ca="1" si="476"/>
        <v>0</v>
      </c>
      <c r="BS271" s="1025"/>
      <c r="BT271" s="1282">
        <f>+IF($K271="Ongoing",AX271,IF(RIGHT($K271,2)=RIGHT(BT$43,2),SUM($AX271:AX271),0)+IF(RIGHT(BT$43,2)&gt;RIGHT($K271,2),AX271,0))</f>
        <v>0</v>
      </c>
      <c r="BU271" s="387">
        <f>+IF($K271="Ongoing",AY271,IF(RIGHT($K271,2)=RIGHT(BU$43,2),SUM($AX271:AY271),0)+IF(RIGHT(BU$43,2)&gt;RIGHT($K271,2),AY271,0))</f>
        <v>0</v>
      </c>
      <c r="BV271" s="387">
        <f>+IF($K271="Ongoing",AZ271,IF(RIGHT($K271,2)=RIGHT(BV$43,2),SUM($AX271:AZ271),0)+IF(RIGHT(BV$43,2)&gt;RIGHT($K271,2),AZ271,0))</f>
        <v>0</v>
      </c>
      <c r="BW271" s="387">
        <f>+IF($K271="Ongoing",BA271,IF(RIGHT($K271,2)=RIGHT(BW$43,2),SUM($AX271:BA271),0)+IF(RIGHT(BW$43,2)&gt;RIGHT($K271,2),BA271,0))</f>
        <v>0</v>
      </c>
      <c r="BX271" s="1283">
        <f>+IF($K271="Ongoing",BB271,IF(RIGHT($K271,2)=RIGHT(BX$43,2),SUM($AX271:BB271),0)+IF(RIGHT(BX$43,2)&gt;RIGHT($K271,2),BB271,0))</f>
        <v>0</v>
      </c>
      <c r="BY271" s="386">
        <f>+IF($K271="Ongoing",BC271,IF(RIGHT($K271,2)=RIGHT(BY$43,2),SUM($AX271:BC271),0)+IF(RIGHT(BY$43,2)&gt;RIGHT($K271,2),BC271,0))</f>
        <v>0</v>
      </c>
      <c r="BZ271" s="387">
        <f>+IF($K271="Ongoing",BD271,IF(RIGHT($K271,2)=RIGHT(BZ$43,2),SUM($AX271:BD271),0)+IF(RIGHT(BZ$43,2)&gt;RIGHT($K271,2),BD271,0))</f>
        <v>0</v>
      </c>
      <c r="CA271" s="1277">
        <f>+IF($K271="Ongoing",BE271,IF(RIGHT($K271,2)=RIGHT(CA$43,2),SUM($AX271:BE271),0)+IF(RIGHT(CA$43,2)&gt;RIGHT($K271,2),BE271,0))</f>
        <v>0</v>
      </c>
      <c r="CB271" s="1277">
        <f>+IF($K271="Ongoing",BF271,IF(RIGHT($K271,2)=RIGHT(CB$43,2),SUM($AX271:BF271),0)+IF(RIGHT(CB$43,2)&gt;RIGHT($K271,2),BF271,0))</f>
        <v>0</v>
      </c>
      <c r="CC271" s="388">
        <f>+IF($K271="Ongoing",BG271,IF(RIGHT($K271,2)=RIGHT(CC$43,2),SUM($AX271:BG271),0)+IF(RIGHT(CC$43,2)&gt;RIGHT($K271,2),BG271,0))</f>
        <v>0</v>
      </c>
      <c r="CD271" s="1025"/>
      <c r="CE271" s="1282">
        <f>+Q271*KeyAssumptionsPriceControl_FO!AF$15</f>
        <v>0</v>
      </c>
      <c r="CF271" s="387">
        <f>+R271*KeyAssumptionsPriceControl_FO!AG$15</f>
        <v>0</v>
      </c>
      <c r="CG271" s="387">
        <f>+S271*KeyAssumptionsPriceControl_FO!AH$15</f>
        <v>0</v>
      </c>
      <c r="CH271" s="387">
        <f>+T271*KeyAssumptionsPriceControl_FO!AI$15</f>
        <v>0</v>
      </c>
      <c r="CI271" s="1283">
        <f>+U271*KeyAssumptionsPriceControl_FO!AJ$15</f>
        <v>0</v>
      </c>
      <c r="CJ271" s="386">
        <f>+V271*KeyAssumptionsPriceControl_FO!AK$15</f>
        <v>0</v>
      </c>
      <c r="CK271" s="387">
        <f>+W271*KeyAssumptionsPriceControl_FO!AL$15</f>
        <v>0</v>
      </c>
      <c r="CL271" s="1277">
        <f>+X271*KeyAssumptionsPriceControl_FO!AM$15</f>
        <v>0</v>
      </c>
      <c r="CM271" s="1277">
        <f>+Y271*KeyAssumptionsPriceControl_FO!AN$15</f>
        <v>0</v>
      </c>
      <c r="CN271" s="388">
        <f>+Z271*KeyAssumptionsPriceControl_FO!AO$15</f>
        <v>0</v>
      </c>
      <c r="CO271" s="1025"/>
      <c r="CP271" s="1282">
        <f t="shared" ca="1" si="477"/>
        <v>0</v>
      </c>
      <c r="CQ271" s="387">
        <f t="shared" ca="1" si="478"/>
        <v>0</v>
      </c>
      <c r="CR271" s="387">
        <f t="shared" ca="1" si="479"/>
        <v>0</v>
      </c>
      <c r="CS271" s="387">
        <f t="shared" ca="1" si="480"/>
        <v>0</v>
      </c>
      <c r="CT271" s="1283">
        <f t="shared" ca="1" si="481"/>
        <v>0</v>
      </c>
      <c r="CU271" s="386">
        <f t="shared" ca="1" si="482"/>
        <v>0</v>
      </c>
      <c r="CV271" s="387">
        <f t="shared" ca="1" si="483"/>
        <v>0</v>
      </c>
      <c r="CW271" s="1277">
        <f t="shared" ca="1" si="484"/>
        <v>0</v>
      </c>
      <c r="CX271" s="1277">
        <f t="shared" ca="1" si="485"/>
        <v>0</v>
      </c>
      <c r="CY271" s="388">
        <f t="shared" ca="1" si="486"/>
        <v>0</v>
      </c>
      <c r="CZ271" s="347"/>
      <c r="DA271" s="852"/>
      <c r="DB271" s="347"/>
      <c r="DC271" s="1012" t="s">
        <v>571</v>
      </c>
      <c r="DD271" s="841" t="s">
        <v>518</v>
      </c>
      <c r="DE271" s="386">
        <f>+IF($K271="ongoing",CE271,IF(RIGHT($K271,2)=RIGHT(DE$43,2),SUM($CD271:CE271),0)+IF(RIGHT(DE$43,2)&gt;RIGHT($K271,2),CE271,0))</f>
        <v>0</v>
      </c>
      <c r="DF271" s="387">
        <f>+IF($K271="ongoing",CF271,IF(RIGHT($K271,2)=RIGHT(DF$43,2),SUM($CD271:CF271),0)+IF(RIGHT(DF$43,2)&gt;RIGHT($K271,2),CF271,0))</f>
        <v>0</v>
      </c>
      <c r="DG271" s="388">
        <f>+IF($K271="ongoing",CG271,IF(RIGHT($K271,2)=RIGHT(DG$43,2),SUM($CD271:CG271),0)+IF(RIGHT(DG$43,2)&gt;RIGHT($K271,2),CG271,0))</f>
        <v>0</v>
      </c>
      <c r="DH271" s="386">
        <f>+IF($K271="ongoing",CH271,IF(RIGHT($K271,2)=RIGHT(DH$43,2),SUM($CD271:CH271),0)+IF(RIGHT(DH$43,2)&gt;RIGHT($K271,2),CH271,0))</f>
        <v>0</v>
      </c>
      <c r="DI271" s="387">
        <f>+IF($K271="ongoing",CI271,IF(RIGHT($K271,2)=RIGHT(DI$43,2),SUM($CD271:CI271),0)+IF(RIGHT(DI$43,2)&gt;RIGHT($K271,2),CI271,0))</f>
        <v>0</v>
      </c>
      <c r="DJ271" s="387">
        <f>+IF($K271="ongoing",CJ271,IF(RIGHT($K271,2)=RIGHT(DJ$43,2),SUM($CD271:CJ271),0)+IF(RIGHT(DJ$43,2)&gt;RIGHT($K271,2),CJ271,0))</f>
        <v>0</v>
      </c>
      <c r="DK271" s="387">
        <f>+IF($K271="ongoing",CK271,IF(RIGHT($K271,2)=RIGHT(DK$43,2),SUM($CD271:CK271),0)+IF(RIGHT(DK$43,2)&gt;RIGHT($K271,2),CK271,0))</f>
        <v>0</v>
      </c>
      <c r="DL271" s="388">
        <f>+IF($K271="ongoing",CN271,IF(RIGHT($K271,2)=RIGHT(DL$43,2),SUM($CD271:CN271),0)+IF(RIGHT(DL$43,2)&gt;RIGHT($K271,2),CN271,0))</f>
        <v>0</v>
      </c>
      <c r="DM271" s="841"/>
      <c r="DN271" s="386">
        <f t="shared" si="487"/>
        <v>0.5</v>
      </c>
      <c r="DO271" s="387">
        <f t="shared" si="488"/>
        <v>1</v>
      </c>
      <c r="DP271" s="388">
        <f t="shared" si="489"/>
        <v>1</v>
      </c>
      <c r="DQ271" s="386">
        <f t="shared" si="490"/>
        <v>1</v>
      </c>
      <c r="DR271" s="387">
        <f t="shared" si="491"/>
        <v>1</v>
      </c>
      <c r="DS271" s="387">
        <f t="shared" si="492"/>
        <v>1</v>
      </c>
      <c r="DT271" s="387">
        <f t="shared" si="493"/>
        <v>1</v>
      </c>
      <c r="DU271" s="388">
        <f t="shared" si="494"/>
        <v>1</v>
      </c>
      <c r="DW271" s="386">
        <f t="shared" si="495"/>
        <v>0</v>
      </c>
      <c r="DX271" s="387">
        <f t="shared" si="496"/>
        <v>0.5</v>
      </c>
      <c r="DY271" s="388">
        <f t="shared" si="497"/>
        <v>1</v>
      </c>
      <c r="DZ271" s="386">
        <f t="shared" si="498"/>
        <v>1</v>
      </c>
      <c r="EA271" s="387">
        <f t="shared" si="499"/>
        <v>1</v>
      </c>
      <c r="EB271" s="387">
        <f t="shared" si="500"/>
        <v>1</v>
      </c>
      <c r="EC271" s="387">
        <f t="shared" si="501"/>
        <v>1</v>
      </c>
      <c r="ED271" s="388">
        <f t="shared" si="502"/>
        <v>1</v>
      </c>
      <c r="EF271" s="834">
        <f>+IF(DN271=DM271,0,
IF(AND(EF$44&gt;1,DN271=$N271),1-SUM($EE271:EE271),
IF($N271&lt;=1,
IF($N271&gt;0,1/$N271,0),
IF(EF$44=1,0,VDB(1,0,$N271,INT(EF$44-1-1),MIN($N271,INT(EF$44-1-1)+1),$DC271,IF($DD271="No",1,0))/
IF(DM271&gt;=INT($N271),$N271-INT($N271),1)))*
IF(EF$44=1,0,
IF(INT(DN271)=INT(DM271),DN271-DM271,INT(DN271)-DM271))+
IF($N271&lt;=1,
IF($N271&gt;0,1/$N271,0),VDB(1,0,$N271,INT(EF$44-1),MIN($N271,INT(EF$44-1)+1),$DC271,IF($DD271="No",1,0))/
IF(DN271&gt;INT($N271),$N271-INT($N271),1))*
IF(EF$44=1,DN271,
IF(INT(DN271)=INT(DM271),0,DN271-INT(DN271)))))</f>
        <v>0</v>
      </c>
      <c r="EG271" s="835">
        <f>+IF(DO271=DN271,0,
IF(AND(EG$44&gt;1,DO271=$N271),1-SUM($EE271:EF271),
IF($N271&lt;=1,
IF($N271&gt;0,1/$N271,0),
IF(EG$44=1,0,VDB(1,0,$N271,INT(EG$44-1-1),MIN($N271,INT(EG$44-1-1)+1),$DC271,IF($DD271="No",1,0))/
IF(DN271&gt;=INT($N271),$N271-INT($N271),1)))*
IF(EG$44=1,0,
IF(INT(DO271)=INT(DN271),DO271-DN271,INT(DO271)-DN271))+
IF($N271&lt;=1,
IF($N271&gt;0,1/$N271,0),VDB(1,0,$N271,INT(EG$44-1),MIN($N271,INT(EG$44-1)+1),$DC271,IF($DD271="No",1,0))/
IF(DO271&gt;INT($N271),$N271-INT($N271),1))*
IF(EG$44=1,DO271,
IF(INT(DO271)=INT(DN271),0,DO271-INT(DO271)))))</f>
        <v>0</v>
      </c>
      <c r="EH271" s="836">
        <f>+IF(DP271=DO271,0,
IF(AND(EH$44&gt;1,DP271=$N271),1-SUM($EE271:EG271),
IF($N271&lt;=1,
IF($N271&gt;0,1/$N271,0),
IF(EH$44=1,0,VDB(1,0,$N271,INT(EH$44-1-1),MIN($N271,INT(EH$44-1-1)+1),$DC271,IF($DD271="No",1,0))/
IF(DO271&gt;=INT($N271),$N271-INT($N271),1)))*
IF(EH$44=1,0,
IF(INT(DP271)=INT(DO271),DP271-DO271,INT(DP271)-DO271))+
IF($N271&lt;=1,
IF($N271&gt;0,1/$N271,0),VDB(1,0,$N271,INT(EH$44-1),MIN($N271,INT(EH$44-1)+1),$DC271,IF($DD271="No",1,0))/
IF(DP271&gt;INT($N271),$N271-INT($N271),1))*
IF(EH$44=1,DP271,
IF(INT(DP271)=INT(DO271),0,DP271-INT(DP271)))))</f>
        <v>0</v>
      </c>
      <c r="EI271" s="834">
        <f>+IF(DQ271=DP271,0,
IF(AND(EI$44&gt;1,DQ271=$N271),1-SUM($EE271:EH271),
IF($N271&lt;=1,
IF($N271&gt;0,1/$N271,0),
IF(EI$44=1,0,VDB(1,0,$N271,INT(EI$44-1-1),MIN($N271,INT(EI$44-1-1)+1),$DC271,IF($DD271="No",1,0))/
IF(DP271&gt;=INT($N271),$N271-INT($N271),1)))*
IF(EI$44=1,0,
IF(INT(DQ271)=INT(DP271),DQ271-DP271,INT(DQ271)-DP271))+
IF($N271&lt;=1,
IF($N271&gt;0,1/$N271,0),VDB(1,0,$N271,INT(EI$44-1),MIN($N271,INT(EI$44-1)+1),$DC271,IF($DD271="No",1,0))/
IF(DQ271&gt;INT($N271),$N271-INT($N271),1))*
IF(EI$44=1,DQ271,
IF(INT(DQ271)=INT(DP271),0,DQ271-INT(DQ271)))))</f>
        <v>0</v>
      </c>
      <c r="EJ271" s="835">
        <f>+IF(DR271=DQ271,0,
IF(AND(EJ$44&gt;1,DR271=$N271),1-SUM($EE271:EI271),
IF($N271&lt;=1,
IF($N271&gt;0,1/$N271,0),
IF(EJ$44=1,0,VDB(1,0,$N271,INT(EJ$44-1-1),MIN($N271,INT(EJ$44-1-1)+1),$DC271,IF($DD271="No",1,0))/
IF(DQ271&gt;=INT($N271),$N271-INT($N271),1)))*
IF(EJ$44=1,0,
IF(INT(DR271)=INT(DQ271),DR271-DQ271,INT(DR271)-DQ271))+
IF($N271&lt;=1,
IF($N271&gt;0,1/$N271,0),VDB(1,0,$N271,INT(EJ$44-1),MIN($N271,INT(EJ$44-1)+1),$DC271,IF($DD271="No",1,0))/
IF(DR271&gt;INT($N271),$N271-INT($N271),1))*
IF(EJ$44=1,DR271,
IF(INT(DR271)=INT(DQ271),0,DR271-INT(DR271)))))</f>
        <v>0</v>
      </c>
      <c r="EK271" s="835">
        <f>+IF(DS271=DR271,0,
IF(AND(EK$44&gt;1,DS271=$N271),1-SUM($EE271:EJ271),
IF($N271&lt;=1,
IF($N271&gt;0,1/$N271,0),
IF(EK$44=1,0,VDB(1,0,$N271,INT(EK$44-1-1),MIN($N271,INT(EK$44-1-1)+1),$DC271,IF($DD271="No",1,0))/
IF(DR271&gt;=INT($N271),$N271-INT($N271),1)))*
IF(EK$44=1,0,
IF(INT(DS271)=INT(DR271),DS271-DR271,INT(DS271)-DR271))+
IF($N271&lt;=1,
IF($N271&gt;0,1/$N271,0),VDB(1,0,$N271,INT(EK$44-1),MIN($N271,INT(EK$44-1)+1),$DC271,IF($DD271="No",1,0))/
IF(DS271&gt;INT($N271),$N271-INT($N271),1))*
IF(EK$44=1,DS271,
IF(INT(DS271)=INT(DR271),0,DS271-INT(DS271)))))</f>
        <v>0</v>
      </c>
      <c r="EL271" s="835">
        <f>+IF(DT271=DS271,0,
IF(AND(EL$44&gt;1,DT271=$N271),1-SUM($EE271:EK271),
IF($N271&lt;=1,
IF($N271&gt;0,1/$N271,0),
IF(EL$44=1,0,VDB(1,0,$N271,INT(EL$44-1-1),MIN($N271,INT(EL$44-1-1)+1),$DC271,IF($DD271="No",1,0))/
IF(DS271&gt;=INT($N271),$N271-INT($N271),1)))*
IF(EL$44=1,0,
IF(INT(DT271)=INT(DS271),DT271-DS271,INT(DT271)-DS271))+
IF($N271&lt;=1,
IF($N271&gt;0,1/$N271,0),VDB(1,0,$N271,INT(EL$44-1),MIN($N271,INT(EL$44-1)+1),$DC271,IF($DD271="No",1,0))/
IF(DT271&gt;INT($N271),$N271-INT($N271),1))*
IF(EL$44=1,DT271,
IF(INT(DT271)=INT(DS271),0,DT271-INT(DT271)))))</f>
        <v>0</v>
      </c>
      <c r="EM271" s="836">
        <f>+IF(DU271=DT271,0,
IF(AND(EM$44&gt;1,DU271=$N271),1-SUM($EE271:EL271),
IF($N271&lt;=1,
IF($N271&gt;0,1/$N271,0),
IF(EM$44=1,0,VDB(1,0,$N271,INT(EM$44-1-1),MIN($N271,INT(EM$44-1-1)+1),$DC271,IF($DD271="No",1,0))/
IF(DT271&gt;=INT($N271),$N271-INT($N271),1)))*
IF(EM$44=1,0,
IF(INT(DU271)=INT(DT271),DU271-DT271,INT(DU271)-DT271))+
IF($N271&lt;=1,
IF($N271&gt;0,1/$N271,0),VDB(1,0,$N271,INT(EM$44-1),MIN($N271,INT(EM$44-1)+1),$DC271,IF($DD271="No",1,0))/
IF(DU271&gt;INT($N271),$N271-INT($N271),1))*
IF(EM$44=1,DU271,
IF(INT(DU271)=INT(DT271),0,DU271-INT(DU271)))))</f>
        <v>0</v>
      </c>
      <c r="EN271" s="833"/>
      <c r="EO271" s="834">
        <f>+IF(OR(DW271=DV271,EO$44=1),0,
IF(AND(EO$44&gt;1,DW271=$N271),1-SUM($EN271:EN271),
IF($N271&lt;=1,
IF($N271&gt;0,1/$N271,0),
IF(EO$44=2,0,VDB(1,0,$N271,INT(EO$44-2-1),MIN($N271,INT(EO$44-2-1)+1),$DC271,IF($DD271="No",1,0))/
IF(DV271&gt;=INT($N271),$N271-INT($N271),1)))*
IF(EO$44=2,0,
IF(INT(DW271)=INT(DV271),DW271-DV271,INT(DW271)-DV271))+
IF($N271&lt;=1,
IF($N271&gt;0,1/$N271,0),VDB(1,0,$N271,INT(EO$44-2),MIN($N271,INT(EO$44-2)+1),$DC271,IF($DD271="No",1,0))/
IF(DW271&gt;INT($N271),$N271-INT($N271),1))*
IF(EO$44=2,DW271,
IF(INT(DW271)=INT(DV271),0,DW271-INT(DW271)))))</f>
        <v>0</v>
      </c>
      <c r="EP271" s="835">
        <f>+IF(OR(DX271=DW271,EP$44=1),0,
IF(AND(EP$44&gt;1,DX271=$N271),1-SUM($EN271:EO271),
IF($N271&lt;=1,
IF($N271&gt;0,1/$N271,0),
IF(EP$44=2,0,VDB(1,0,$N271,INT(EP$44-2-1),MIN($N271,INT(EP$44-2-1)+1),$DC271,IF($DD271="No",1,0))/
IF(DW271&gt;=INT($N271),$N271-INT($N271),1)))*
IF(EP$44=2,0,
IF(INT(DX271)=INT(DW271),DX271-DW271,INT(DX271)-DW271))+
IF($N271&lt;=1,
IF($N271&gt;0,1/$N271,0),VDB(1,0,$N271,INT(EP$44-2),MIN($N271,INT(EP$44-2)+1),$DC271,IF($DD271="No",1,0))/
IF(DX271&gt;INT($N271),$N271-INT($N271),1))*
IF(EP$44=2,DX271,
IF(INT(DX271)=INT(DW271),0,DX271-INT(DX271)))))</f>
        <v>0</v>
      </c>
      <c r="EQ271" s="836">
        <f>+IF(OR(DY271=DX271,EQ$44=1),0,
IF(AND(EQ$44&gt;1,DY271=$N271),1-SUM($EN271:EP271),
IF($N271&lt;=1,
IF($N271&gt;0,1/$N271,0),
IF(EQ$44=2,0,VDB(1,0,$N271,INT(EQ$44-2-1),MIN($N271,INT(EQ$44-2-1)+1),$DC271,IF($DD271="No",1,0))/
IF(DX271&gt;=INT($N271),$N271-INT($N271),1)))*
IF(EQ$44=2,0,
IF(INT(DY271)=INT(DX271),DY271-DX271,INT(DY271)-DX271))+
IF($N271&lt;=1,
IF($N271&gt;0,1/$N271,0),VDB(1,0,$N271,INT(EQ$44-2),MIN($N271,INT(EQ$44-2)+1),$DC271,IF($DD271="No",1,0))/
IF(DY271&gt;INT($N271),$N271-INT($N271),1))*
IF(EQ$44=2,DY271,
IF(INT(DY271)=INT(DX271),0,DY271-INT(DY271)))))</f>
        <v>0</v>
      </c>
      <c r="ER271" s="834">
        <f>+IF(OR(DZ271=DY271,ER$44=1),0,
IF(AND(ER$44&gt;1,DZ271=$N271),1-SUM($EN271:EQ271),
IF($N271&lt;=1,
IF($N271&gt;0,1/$N271,0),
IF(ER$44=2,0,VDB(1,0,$N271,INT(ER$44-2-1),MIN($N271,INT(ER$44-2-1)+1),$DC271,IF($DD271="No",1,0))/
IF(DY271&gt;=INT($N271),$N271-INT($N271),1)))*
IF(ER$44=2,0,
IF(INT(DZ271)=INT(DY271),DZ271-DY271,INT(DZ271)-DY271))+
IF($N271&lt;=1,
IF($N271&gt;0,1/$N271,0),VDB(1,0,$N271,INT(ER$44-2),MIN($N271,INT(ER$44-2)+1),$DC271,IF($DD271="No",1,0))/
IF(DZ271&gt;INT($N271),$N271-INT($N271),1))*
IF(ER$44=2,DZ271,
IF(INT(DZ271)=INT(DY271),0,DZ271-INT(DZ271)))))</f>
        <v>0</v>
      </c>
      <c r="ES271" s="835">
        <f>+IF(OR(EA271=DZ271,ES$44=1),0,
IF(AND(ES$44&gt;1,EA271=$N271),1-SUM($EN271:ER271),
IF($N271&lt;=1,
IF($N271&gt;0,1/$N271,0),
IF(ES$44=2,0,VDB(1,0,$N271,INT(ES$44-2-1),MIN($N271,INT(ES$44-2-1)+1),$DC271,IF($DD271="No",1,0))/
IF(DZ271&gt;=INT($N271),$N271-INT($N271),1)))*
IF(ES$44=2,0,
IF(INT(EA271)=INT(DZ271),EA271-DZ271,INT(EA271)-DZ271))+
IF($N271&lt;=1,
IF($N271&gt;0,1/$N271,0),VDB(1,0,$N271,INT(ES$44-2),MIN($N271,INT(ES$44-2)+1),$DC271,IF($DD271="No",1,0))/
IF(EA271&gt;INT($N271),$N271-INT($N271),1))*
IF(ES$44=2,EA271,
IF(INT(EA271)=INT(DZ271),0,EA271-INT(EA271)))))</f>
        <v>0</v>
      </c>
      <c r="ET271" s="835">
        <f>+IF(OR(EB271=EA271,ET$44=1),0,
IF(AND(ET$44&gt;1,EB271=$N271),1-SUM($EN271:ES271),
IF($N271&lt;=1,
IF($N271&gt;0,1/$N271,0),
IF(ET$44=2,0,VDB(1,0,$N271,INT(ET$44-2-1),MIN($N271,INT(ET$44-2-1)+1),$DC271,IF($DD271="No",1,0))/
IF(EA271&gt;=INT($N271),$N271-INT($N271),1)))*
IF(ET$44=2,0,
IF(INT(EB271)=INT(EA271),EB271-EA271,INT(EB271)-EA271))+
IF($N271&lt;=1,
IF($N271&gt;0,1/$N271,0),VDB(1,0,$N271,INT(ET$44-2),MIN($N271,INT(ET$44-2)+1),$DC271,IF($DD271="No",1,0))/
IF(EB271&gt;INT($N271),$N271-INT($N271),1))*
IF(ET$44=2,EB271,
IF(INT(EB271)=INT(EA271),0,EB271-INT(EB271)))))</f>
        <v>0</v>
      </c>
      <c r="EU271" s="835">
        <f>+IF(OR(EC271=EB271,EU$44=1),0,
IF(AND(EU$44&gt;1,EC271=$N271),1-SUM($EN271:ET271),
IF($N271&lt;=1,
IF($N271&gt;0,1/$N271,0),
IF(EU$44=2,0,VDB(1,0,$N271,INT(EU$44-2-1),MIN($N271,INT(EU$44-2-1)+1),$DC271,IF($DD271="No",1,0))/
IF(EB271&gt;=INT($N271),$N271-INT($N271),1)))*
IF(EU$44=2,0,
IF(INT(EC271)=INT(EB271),EC271-EB271,INT(EC271)-EB271))+
IF($N271&lt;=1,
IF($N271&gt;0,1/$N271,0),VDB(1,0,$N271,INT(EU$44-2),MIN($N271,INT(EU$44-2)+1),$DC271,IF($DD271="No",1,0))/
IF(EC271&gt;INT($N271),$N271-INT($N271),1))*
IF(EU$44=2,EC271,
IF(INT(EC271)=INT(EB271),0,EC271-INT(EC271)))))</f>
        <v>0</v>
      </c>
      <c r="EV271" s="836">
        <f>+IF(OR(ED271=EC271,EV$44=1),0,
IF(AND(EV$44&gt;1,ED271=$N271),1-SUM($EN271:EU271),
IF($N271&lt;=1,
IF($N271&gt;0,1/$N271,0),
IF(EV$44=2,0,VDB(1,0,$N271,INT(EV$44-2-1),MIN($N271,INT(EV$44-2-1)+1),$DC271,IF($DD271="No",1,0))/
IF(EC271&gt;=INT($N271),$N271-INT($N271),1)))*
IF(EV$44=2,0,
IF(INT(ED271)=INT(EC271),ED271-EC271,INT(ED271)-EC271))+
IF($N271&lt;=1,
IF($N271&gt;0,1/$N271,0),VDB(1,0,$N271,INT(EV$44-2),MIN($N271,INT(EV$44-2)+1),$DC271,IF($DD271="No",1,0))/
IF(ED271&gt;INT($N271),$N271-INT($N271),1))*
IF(EV$44=2,ED271,
IF(INT(ED271)=INT(EC271),0,ED271-INT(ED271)))))</f>
        <v>0</v>
      </c>
      <c r="EW271" s="833"/>
      <c r="EX271" s="834">
        <f t="shared" ca="1" si="503"/>
        <v>0</v>
      </c>
      <c r="EY271" s="835">
        <f t="shared" ca="1" si="503"/>
        <v>0</v>
      </c>
      <c r="EZ271" s="836">
        <f t="shared" ca="1" si="503"/>
        <v>0</v>
      </c>
      <c r="FA271" s="834">
        <f t="shared" ca="1" si="503"/>
        <v>0</v>
      </c>
      <c r="FB271" s="835">
        <f t="shared" ca="1" si="503"/>
        <v>0</v>
      </c>
      <c r="FC271" s="835">
        <f t="shared" ca="1" si="503"/>
        <v>0</v>
      </c>
      <c r="FD271" s="835">
        <f t="shared" ca="1" si="503"/>
        <v>0</v>
      </c>
      <c r="FE271" s="836">
        <f t="shared" ca="1" si="503"/>
        <v>0</v>
      </c>
      <c r="FG271" s="386">
        <f t="shared" ca="1" si="504"/>
        <v>0</v>
      </c>
      <c r="FH271" s="387">
        <f t="shared" ca="1" si="505"/>
        <v>0</v>
      </c>
      <c r="FI271" s="388">
        <f t="shared" ca="1" si="506"/>
        <v>0</v>
      </c>
      <c r="FJ271" s="386">
        <f t="shared" ca="1" si="507"/>
        <v>0</v>
      </c>
      <c r="FK271" s="387">
        <f t="shared" ca="1" si="508"/>
        <v>0</v>
      </c>
      <c r="FL271" s="387">
        <f t="shared" ca="1" si="509"/>
        <v>0</v>
      </c>
      <c r="FM271" s="387">
        <f t="shared" ca="1" si="510"/>
        <v>0</v>
      </c>
      <c r="FN271" s="388">
        <f t="shared" ca="1" si="511"/>
        <v>0</v>
      </c>
      <c r="FR271" s="116"/>
    </row>
    <row r="272" spans="2:174">
      <c r="B272" s="1410">
        <f t="shared" si="512"/>
        <v>226</v>
      </c>
      <c r="C272" s="400"/>
      <c r="D272" s="410"/>
      <c r="E272" s="402"/>
      <c r="F272" s="402"/>
      <c r="G272" s="400"/>
      <c r="H272" s="2088"/>
      <c r="I272" s="2089"/>
      <c r="J272" s="411"/>
      <c r="K272" s="403"/>
      <c r="L272" s="403"/>
      <c r="M272" s="403"/>
      <c r="N272" s="403"/>
      <c r="O272" s="347"/>
      <c r="P272" s="347"/>
      <c r="Q272" s="1021"/>
      <c r="R272" s="1022"/>
      <c r="S272" s="1022"/>
      <c r="T272" s="1022"/>
      <c r="U272" s="1023"/>
      <c r="V272" s="1021"/>
      <c r="W272" s="1022"/>
      <c r="X272" s="1022"/>
      <c r="Y272" s="1022"/>
      <c r="Z272" s="1023"/>
      <c r="AA272" s="1024"/>
      <c r="AB272" s="1021"/>
      <c r="AC272" s="1022"/>
      <c r="AD272" s="1022"/>
      <c r="AE272" s="1022"/>
      <c r="AF272" s="1023"/>
      <c r="AG272" s="1021"/>
      <c r="AH272" s="1022"/>
      <c r="AI272" s="1022"/>
      <c r="AJ272" s="1022"/>
      <c r="AK272" s="1023"/>
      <c r="AL272" s="1024"/>
      <c r="AM272" s="1021"/>
      <c r="AN272" s="1022"/>
      <c r="AO272" s="1022"/>
      <c r="AP272" s="1022"/>
      <c r="AQ272" s="1023"/>
      <c r="AR272" s="1021"/>
      <c r="AS272" s="1022"/>
      <c r="AT272" s="1022"/>
      <c r="AU272" s="1022"/>
      <c r="AV272" s="1023"/>
      <c r="AW272" s="1025"/>
      <c r="AX272" s="1282">
        <f t="shared" si="457"/>
        <v>0</v>
      </c>
      <c r="AY272" s="387">
        <f t="shared" si="458"/>
        <v>0</v>
      </c>
      <c r="AZ272" s="387">
        <f t="shared" si="459"/>
        <v>0</v>
      </c>
      <c r="BA272" s="387">
        <f t="shared" si="460"/>
        <v>0</v>
      </c>
      <c r="BB272" s="1283">
        <f t="shared" si="461"/>
        <v>0</v>
      </c>
      <c r="BC272" s="386">
        <f t="shared" si="462"/>
        <v>0</v>
      </c>
      <c r="BD272" s="387">
        <f t="shared" si="463"/>
        <v>0</v>
      </c>
      <c r="BE272" s="1277">
        <f t="shared" si="464"/>
        <v>0</v>
      </c>
      <c r="BF272" s="1277">
        <f t="shared" si="465"/>
        <v>0</v>
      </c>
      <c r="BG272" s="388">
        <f t="shared" si="466"/>
        <v>0</v>
      </c>
      <c r="BH272" s="1025"/>
      <c r="BI272" s="1282">
        <f t="shared" ca="1" si="467"/>
        <v>0</v>
      </c>
      <c r="BJ272" s="387">
        <f t="shared" ca="1" si="468"/>
        <v>0</v>
      </c>
      <c r="BK272" s="387">
        <f t="shared" ca="1" si="469"/>
        <v>0</v>
      </c>
      <c r="BL272" s="387">
        <f t="shared" ca="1" si="470"/>
        <v>0</v>
      </c>
      <c r="BM272" s="1283">
        <f t="shared" ca="1" si="471"/>
        <v>0</v>
      </c>
      <c r="BN272" s="386">
        <f t="shared" ca="1" si="472"/>
        <v>0</v>
      </c>
      <c r="BO272" s="387">
        <f t="shared" ca="1" si="473"/>
        <v>0</v>
      </c>
      <c r="BP272" s="1277">
        <f t="shared" ca="1" si="474"/>
        <v>0</v>
      </c>
      <c r="BQ272" s="1277">
        <f t="shared" ca="1" si="475"/>
        <v>0</v>
      </c>
      <c r="BR272" s="388">
        <f t="shared" ca="1" si="476"/>
        <v>0</v>
      </c>
      <c r="BS272" s="1025"/>
      <c r="BT272" s="1282">
        <f>+IF($K272="Ongoing",AX272,IF(RIGHT($K272,2)=RIGHT(BT$43,2),SUM($AX272:AX272),0)+IF(RIGHT(BT$43,2)&gt;RIGHT($K272,2),AX272,0))</f>
        <v>0</v>
      </c>
      <c r="BU272" s="387">
        <f>+IF($K272="Ongoing",AY272,IF(RIGHT($K272,2)=RIGHT(BU$43,2),SUM($AX272:AY272),0)+IF(RIGHT(BU$43,2)&gt;RIGHT($K272,2),AY272,0))</f>
        <v>0</v>
      </c>
      <c r="BV272" s="387">
        <f>+IF($K272="Ongoing",AZ272,IF(RIGHT($K272,2)=RIGHT(BV$43,2),SUM($AX272:AZ272),0)+IF(RIGHT(BV$43,2)&gt;RIGHT($K272,2),AZ272,0))</f>
        <v>0</v>
      </c>
      <c r="BW272" s="387">
        <f>+IF($K272="Ongoing",BA272,IF(RIGHT($K272,2)=RIGHT(BW$43,2),SUM($AX272:BA272),0)+IF(RIGHT(BW$43,2)&gt;RIGHT($K272,2),BA272,0))</f>
        <v>0</v>
      </c>
      <c r="BX272" s="1283">
        <f>+IF($K272="Ongoing",BB272,IF(RIGHT($K272,2)=RIGHT(BX$43,2),SUM($AX272:BB272),0)+IF(RIGHT(BX$43,2)&gt;RIGHT($K272,2),BB272,0))</f>
        <v>0</v>
      </c>
      <c r="BY272" s="386">
        <f>+IF($K272="Ongoing",BC272,IF(RIGHT($K272,2)=RIGHT(BY$43,2),SUM($AX272:BC272),0)+IF(RIGHT(BY$43,2)&gt;RIGHT($K272,2),BC272,0))</f>
        <v>0</v>
      </c>
      <c r="BZ272" s="387">
        <f>+IF($K272="Ongoing",BD272,IF(RIGHT($K272,2)=RIGHT(BZ$43,2),SUM($AX272:BD272),0)+IF(RIGHT(BZ$43,2)&gt;RIGHT($K272,2),BD272,0))</f>
        <v>0</v>
      </c>
      <c r="CA272" s="1277">
        <f>+IF($K272="Ongoing",BE272,IF(RIGHT($K272,2)=RIGHT(CA$43,2),SUM($AX272:BE272),0)+IF(RIGHT(CA$43,2)&gt;RIGHT($K272,2),BE272,0))</f>
        <v>0</v>
      </c>
      <c r="CB272" s="1277">
        <f>+IF($K272="Ongoing",BF272,IF(RIGHT($K272,2)=RIGHT(CB$43,2),SUM($AX272:BF272),0)+IF(RIGHT(CB$43,2)&gt;RIGHT($K272,2),BF272,0))</f>
        <v>0</v>
      </c>
      <c r="CC272" s="388">
        <f>+IF($K272="Ongoing",BG272,IF(RIGHT($K272,2)=RIGHT(CC$43,2),SUM($AX272:BG272),0)+IF(RIGHT(CC$43,2)&gt;RIGHT($K272,2),BG272,0))</f>
        <v>0</v>
      </c>
      <c r="CD272" s="1025"/>
      <c r="CE272" s="1282">
        <f>+Q272*KeyAssumptionsPriceControl_FO!AF$15</f>
        <v>0</v>
      </c>
      <c r="CF272" s="387">
        <f>+R272*KeyAssumptionsPriceControl_FO!AG$15</f>
        <v>0</v>
      </c>
      <c r="CG272" s="387">
        <f>+S272*KeyAssumptionsPriceControl_FO!AH$15</f>
        <v>0</v>
      </c>
      <c r="CH272" s="387">
        <f>+T272*KeyAssumptionsPriceControl_FO!AI$15</f>
        <v>0</v>
      </c>
      <c r="CI272" s="1283">
        <f>+U272*KeyAssumptionsPriceControl_FO!AJ$15</f>
        <v>0</v>
      </c>
      <c r="CJ272" s="386">
        <f>+V272*KeyAssumptionsPriceControl_FO!AK$15</f>
        <v>0</v>
      </c>
      <c r="CK272" s="387">
        <f>+W272*KeyAssumptionsPriceControl_FO!AL$15</f>
        <v>0</v>
      </c>
      <c r="CL272" s="1277">
        <f>+X272*KeyAssumptionsPriceControl_FO!AM$15</f>
        <v>0</v>
      </c>
      <c r="CM272" s="1277">
        <f>+Y272*KeyAssumptionsPriceControl_FO!AN$15</f>
        <v>0</v>
      </c>
      <c r="CN272" s="388">
        <f>+Z272*KeyAssumptionsPriceControl_FO!AO$15</f>
        <v>0</v>
      </c>
      <c r="CO272" s="1025"/>
      <c r="CP272" s="1282">
        <f t="shared" ca="1" si="477"/>
        <v>0</v>
      </c>
      <c r="CQ272" s="387">
        <f t="shared" ca="1" si="478"/>
        <v>0</v>
      </c>
      <c r="CR272" s="387">
        <f t="shared" ca="1" si="479"/>
        <v>0</v>
      </c>
      <c r="CS272" s="387">
        <f t="shared" ca="1" si="480"/>
        <v>0</v>
      </c>
      <c r="CT272" s="1283">
        <f t="shared" ca="1" si="481"/>
        <v>0</v>
      </c>
      <c r="CU272" s="386">
        <f t="shared" ca="1" si="482"/>
        <v>0</v>
      </c>
      <c r="CV272" s="387">
        <f t="shared" ca="1" si="483"/>
        <v>0</v>
      </c>
      <c r="CW272" s="1277">
        <f t="shared" ca="1" si="484"/>
        <v>0</v>
      </c>
      <c r="CX272" s="1277">
        <f t="shared" ca="1" si="485"/>
        <v>0</v>
      </c>
      <c r="CY272" s="388">
        <f t="shared" ca="1" si="486"/>
        <v>0</v>
      </c>
      <c r="CZ272" s="347"/>
      <c r="DA272" s="852"/>
      <c r="DB272" s="347"/>
      <c r="DC272" s="1012" t="s">
        <v>572</v>
      </c>
      <c r="DD272" s="841" t="s">
        <v>518</v>
      </c>
      <c r="DE272" s="386">
        <f>+IF($K272="ongoing",CE272,IF(RIGHT($K272,2)=RIGHT(DE$43,2),SUM($CD272:CE272),0)+IF(RIGHT(DE$43,2)&gt;RIGHT($K272,2),CE272,0))</f>
        <v>0</v>
      </c>
      <c r="DF272" s="387">
        <f>+IF($K272="ongoing",CF272,IF(RIGHT($K272,2)=RIGHT(DF$43,2),SUM($CD272:CF272),0)+IF(RIGHT(DF$43,2)&gt;RIGHT($K272,2),CF272,0))</f>
        <v>0</v>
      </c>
      <c r="DG272" s="388">
        <f>+IF($K272="ongoing",CG272,IF(RIGHT($K272,2)=RIGHT(DG$43,2),SUM($CD272:CG272),0)+IF(RIGHT(DG$43,2)&gt;RIGHT($K272,2),CG272,0))</f>
        <v>0</v>
      </c>
      <c r="DH272" s="386">
        <f>+IF($K272="ongoing",CH272,IF(RIGHT($K272,2)=RIGHT(DH$43,2),SUM($CD272:CH272),0)+IF(RIGHT(DH$43,2)&gt;RIGHT($K272,2),CH272,0))</f>
        <v>0</v>
      </c>
      <c r="DI272" s="387">
        <f>+IF($K272="ongoing",CI272,IF(RIGHT($K272,2)=RIGHT(DI$43,2),SUM($CD272:CI272),0)+IF(RIGHT(DI$43,2)&gt;RIGHT($K272,2),CI272,0))</f>
        <v>0</v>
      </c>
      <c r="DJ272" s="387">
        <f>+IF($K272="ongoing",CJ272,IF(RIGHT($K272,2)=RIGHT(DJ$43,2),SUM($CD272:CJ272),0)+IF(RIGHT(DJ$43,2)&gt;RIGHT($K272,2),CJ272,0))</f>
        <v>0</v>
      </c>
      <c r="DK272" s="387">
        <f>+IF($K272="ongoing",CK272,IF(RIGHT($K272,2)=RIGHT(DK$43,2),SUM($CD272:CK272),0)+IF(RIGHT(DK$43,2)&gt;RIGHT($K272,2),CK272,0))</f>
        <v>0</v>
      </c>
      <c r="DL272" s="388">
        <f>+IF($K272="ongoing",CN272,IF(RIGHT($K272,2)=RIGHT(DL$43,2),SUM($CD272:CN272),0)+IF(RIGHT(DL$43,2)&gt;RIGHT($K272,2),CN272,0))</f>
        <v>0</v>
      </c>
      <c r="DM272" s="841"/>
      <c r="DN272" s="386">
        <f t="shared" si="487"/>
        <v>0.5</v>
      </c>
      <c r="DO272" s="387">
        <f t="shared" si="488"/>
        <v>1</v>
      </c>
      <c r="DP272" s="388">
        <f t="shared" si="489"/>
        <v>1</v>
      </c>
      <c r="DQ272" s="386">
        <f t="shared" si="490"/>
        <v>1</v>
      </c>
      <c r="DR272" s="387">
        <f t="shared" si="491"/>
        <v>1</v>
      </c>
      <c r="DS272" s="387">
        <f t="shared" si="492"/>
        <v>1</v>
      </c>
      <c r="DT272" s="387">
        <f t="shared" si="493"/>
        <v>1</v>
      </c>
      <c r="DU272" s="388">
        <f t="shared" si="494"/>
        <v>1</v>
      </c>
      <c r="DW272" s="386">
        <f t="shared" si="495"/>
        <v>0</v>
      </c>
      <c r="DX272" s="387">
        <f t="shared" si="496"/>
        <v>0.5</v>
      </c>
      <c r="DY272" s="388">
        <f t="shared" si="497"/>
        <v>1</v>
      </c>
      <c r="DZ272" s="386">
        <f t="shared" si="498"/>
        <v>1</v>
      </c>
      <c r="EA272" s="387">
        <f t="shared" si="499"/>
        <v>1</v>
      </c>
      <c r="EB272" s="387">
        <f t="shared" si="500"/>
        <v>1</v>
      </c>
      <c r="EC272" s="387">
        <f t="shared" si="501"/>
        <v>1</v>
      </c>
      <c r="ED272" s="388">
        <f t="shared" si="502"/>
        <v>1</v>
      </c>
      <c r="EF272" s="834">
        <f>+IF(DN272=DM272,0,
IF(AND(EF$44&gt;1,DN272=$N272),1-SUM($EE272:EE272),
IF($N272&lt;=1,
IF($N272&gt;0,1/$N272,0),
IF(EF$44=1,0,VDB(1,0,$N272,INT(EF$44-1-1),MIN($N272,INT(EF$44-1-1)+1),$DC272,IF($DD272="No",1,0))/
IF(DM272&gt;=INT($N272),$N272-INT($N272),1)))*
IF(EF$44=1,0,
IF(INT(DN272)=INT(DM272),DN272-DM272,INT(DN272)-DM272))+
IF($N272&lt;=1,
IF($N272&gt;0,1/$N272,0),VDB(1,0,$N272,INT(EF$44-1),MIN($N272,INT(EF$44-1)+1),$DC272,IF($DD272="No",1,0))/
IF(DN272&gt;INT($N272),$N272-INT($N272),1))*
IF(EF$44=1,DN272,
IF(INT(DN272)=INT(DM272),0,DN272-INT(DN272)))))</f>
        <v>0</v>
      </c>
      <c r="EG272" s="835">
        <f>+IF(DO272=DN272,0,
IF(AND(EG$44&gt;1,DO272=$N272),1-SUM($EE272:EF272),
IF($N272&lt;=1,
IF($N272&gt;0,1/$N272,0),
IF(EG$44=1,0,VDB(1,0,$N272,INT(EG$44-1-1),MIN($N272,INT(EG$44-1-1)+1),$DC272,IF($DD272="No",1,0))/
IF(DN272&gt;=INT($N272),$N272-INT($N272),1)))*
IF(EG$44=1,0,
IF(INT(DO272)=INT(DN272),DO272-DN272,INT(DO272)-DN272))+
IF($N272&lt;=1,
IF($N272&gt;0,1/$N272,0),VDB(1,0,$N272,INT(EG$44-1),MIN($N272,INT(EG$44-1)+1),$DC272,IF($DD272="No",1,0))/
IF(DO272&gt;INT($N272),$N272-INT($N272),1))*
IF(EG$44=1,DO272,
IF(INT(DO272)=INT(DN272),0,DO272-INT(DO272)))))</f>
        <v>0</v>
      </c>
      <c r="EH272" s="836">
        <f>+IF(DP272=DO272,0,
IF(AND(EH$44&gt;1,DP272=$N272),1-SUM($EE272:EG272),
IF($N272&lt;=1,
IF($N272&gt;0,1/$N272,0),
IF(EH$44=1,0,VDB(1,0,$N272,INT(EH$44-1-1),MIN($N272,INT(EH$44-1-1)+1),$DC272,IF($DD272="No",1,0))/
IF(DO272&gt;=INT($N272),$N272-INT($N272),1)))*
IF(EH$44=1,0,
IF(INT(DP272)=INT(DO272),DP272-DO272,INT(DP272)-DO272))+
IF($N272&lt;=1,
IF($N272&gt;0,1/$N272,0),VDB(1,0,$N272,INT(EH$44-1),MIN($N272,INT(EH$44-1)+1),$DC272,IF($DD272="No",1,0))/
IF(DP272&gt;INT($N272),$N272-INT($N272),1))*
IF(EH$44=1,DP272,
IF(INT(DP272)=INT(DO272),0,DP272-INT(DP272)))))</f>
        <v>0</v>
      </c>
      <c r="EI272" s="834">
        <f>+IF(DQ272=DP272,0,
IF(AND(EI$44&gt;1,DQ272=$N272),1-SUM($EE272:EH272),
IF($N272&lt;=1,
IF($N272&gt;0,1/$N272,0),
IF(EI$44=1,0,VDB(1,0,$N272,INT(EI$44-1-1),MIN($N272,INT(EI$44-1-1)+1),$DC272,IF($DD272="No",1,0))/
IF(DP272&gt;=INT($N272),$N272-INT($N272),1)))*
IF(EI$44=1,0,
IF(INT(DQ272)=INT(DP272),DQ272-DP272,INT(DQ272)-DP272))+
IF($N272&lt;=1,
IF($N272&gt;0,1/$N272,0),VDB(1,0,$N272,INT(EI$44-1),MIN($N272,INT(EI$44-1)+1),$DC272,IF($DD272="No",1,0))/
IF(DQ272&gt;INT($N272),$N272-INT($N272),1))*
IF(EI$44=1,DQ272,
IF(INT(DQ272)=INT(DP272),0,DQ272-INT(DQ272)))))</f>
        <v>0</v>
      </c>
      <c r="EJ272" s="835">
        <f>+IF(DR272=DQ272,0,
IF(AND(EJ$44&gt;1,DR272=$N272),1-SUM($EE272:EI272),
IF($N272&lt;=1,
IF($N272&gt;0,1/$N272,0),
IF(EJ$44=1,0,VDB(1,0,$N272,INT(EJ$44-1-1),MIN($N272,INT(EJ$44-1-1)+1),$DC272,IF($DD272="No",1,0))/
IF(DQ272&gt;=INT($N272),$N272-INT($N272),1)))*
IF(EJ$44=1,0,
IF(INT(DR272)=INT(DQ272),DR272-DQ272,INT(DR272)-DQ272))+
IF($N272&lt;=1,
IF($N272&gt;0,1/$N272,0),VDB(1,0,$N272,INT(EJ$44-1),MIN($N272,INT(EJ$44-1)+1),$DC272,IF($DD272="No",1,0))/
IF(DR272&gt;INT($N272),$N272-INT($N272),1))*
IF(EJ$44=1,DR272,
IF(INT(DR272)=INT(DQ272),0,DR272-INT(DR272)))))</f>
        <v>0</v>
      </c>
      <c r="EK272" s="835">
        <f>+IF(DS272=DR272,0,
IF(AND(EK$44&gt;1,DS272=$N272),1-SUM($EE272:EJ272),
IF($N272&lt;=1,
IF($N272&gt;0,1/$N272,0),
IF(EK$44=1,0,VDB(1,0,$N272,INT(EK$44-1-1),MIN($N272,INT(EK$44-1-1)+1),$DC272,IF($DD272="No",1,0))/
IF(DR272&gt;=INT($N272),$N272-INT($N272),1)))*
IF(EK$44=1,0,
IF(INT(DS272)=INT(DR272),DS272-DR272,INT(DS272)-DR272))+
IF($N272&lt;=1,
IF($N272&gt;0,1/$N272,0),VDB(1,0,$N272,INT(EK$44-1),MIN($N272,INT(EK$44-1)+1),$DC272,IF($DD272="No",1,0))/
IF(DS272&gt;INT($N272),$N272-INT($N272),1))*
IF(EK$44=1,DS272,
IF(INT(DS272)=INT(DR272),0,DS272-INT(DS272)))))</f>
        <v>0</v>
      </c>
      <c r="EL272" s="835">
        <f>+IF(DT272=DS272,0,
IF(AND(EL$44&gt;1,DT272=$N272),1-SUM($EE272:EK272),
IF($N272&lt;=1,
IF($N272&gt;0,1/$N272,0),
IF(EL$44=1,0,VDB(1,0,$N272,INT(EL$44-1-1),MIN($N272,INT(EL$44-1-1)+1),$DC272,IF($DD272="No",1,0))/
IF(DS272&gt;=INT($N272),$N272-INT($N272),1)))*
IF(EL$44=1,0,
IF(INT(DT272)=INT(DS272),DT272-DS272,INT(DT272)-DS272))+
IF($N272&lt;=1,
IF($N272&gt;0,1/$N272,0),VDB(1,0,$N272,INT(EL$44-1),MIN($N272,INT(EL$44-1)+1),$DC272,IF($DD272="No",1,0))/
IF(DT272&gt;INT($N272),$N272-INT($N272),1))*
IF(EL$44=1,DT272,
IF(INT(DT272)=INT(DS272),0,DT272-INT(DT272)))))</f>
        <v>0</v>
      </c>
      <c r="EM272" s="836">
        <f>+IF(DU272=DT272,0,
IF(AND(EM$44&gt;1,DU272=$N272),1-SUM($EE272:EL272),
IF($N272&lt;=1,
IF($N272&gt;0,1/$N272,0),
IF(EM$44=1,0,VDB(1,0,$N272,INT(EM$44-1-1),MIN($N272,INT(EM$44-1-1)+1),$DC272,IF($DD272="No",1,0))/
IF(DT272&gt;=INT($N272),$N272-INT($N272),1)))*
IF(EM$44=1,0,
IF(INT(DU272)=INT(DT272),DU272-DT272,INT(DU272)-DT272))+
IF($N272&lt;=1,
IF($N272&gt;0,1/$N272,0),VDB(1,0,$N272,INT(EM$44-1),MIN($N272,INT(EM$44-1)+1),$DC272,IF($DD272="No",1,0))/
IF(DU272&gt;INT($N272),$N272-INT($N272),1))*
IF(EM$44=1,DU272,
IF(INT(DU272)=INT(DT272),0,DU272-INT(DU272)))))</f>
        <v>0</v>
      </c>
      <c r="EN272" s="833"/>
      <c r="EO272" s="834">
        <f>+IF(OR(DW272=DV272,EO$44=1),0,
IF(AND(EO$44&gt;1,DW272=$N272),1-SUM($EN272:EN272),
IF($N272&lt;=1,
IF($N272&gt;0,1/$N272,0),
IF(EO$44=2,0,VDB(1,0,$N272,INT(EO$44-2-1),MIN($N272,INT(EO$44-2-1)+1),$DC272,IF($DD272="No",1,0))/
IF(DV272&gt;=INT($N272),$N272-INT($N272),1)))*
IF(EO$44=2,0,
IF(INT(DW272)=INT(DV272),DW272-DV272,INT(DW272)-DV272))+
IF($N272&lt;=1,
IF($N272&gt;0,1/$N272,0),VDB(1,0,$N272,INT(EO$44-2),MIN($N272,INT(EO$44-2)+1),$DC272,IF($DD272="No",1,0))/
IF(DW272&gt;INT($N272),$N272-INT($N272),1))*
IF(EO$44=2,DW272,
IF(INT(DW272)=INT(DV272),0,DW272-INT(DW272)))))</f>
        <v>0</v>
      </c>
      <c r="EP272" s="835">
        <f>+IF(OR(DX272=DW272,EP$44=1),0,
IF(AND(EP$44&gt;1,DX272=$N272),1-SUM($EN272:EO272),
IF($N272&lt;=1,
IF($N272&gt;0,1/$N272,0),
IF(EP$44=2,0,VDB(1,0,$N272,INT(EP$44-2-1),MIN($N272,INT(EP$44-2-1)+1),$DC272,IF($DD272="No",1,0))/
IF(DW272&gt;=INT($N272),$N272-INT($N272),1)))*
IF(EP$44=2,0,
IF(INT(DX272)=INT(DW272),DX272-DW272,INT(DX272)-DW272))+
IF($N272&lt;=1,
IF($N272&gt;0,1/$N272,0),VDB(1,0,$N272,INT(EP$44-2),MIN($N272,INT(EP$44-2)+1),$DC272,IF($DD272="No",1,0))/
IF(DX272&gt;INT($N272),$N272-INT($N272),1))*
IF(EP$44=2,DX272,
IF(INT(DX272)=INT(DW272),0,DX272-INT(DX272)))))</f>
        <v>0</v>
      </c>
      <c r="EQ272" s="836">
        <f>+IF(OR(DY272=DX272,EQ$44=1),0,
IF(AND(EQ$44&gt;1,DY272=$N272),1-SUM($EN272:EP272),
IF($N272&lt;=1,
IF($N272&gt;0,1/$N272,0),
IF(EQ$44=2,0,VDB(1,0,$N272,INT(EQ$44-2-1),MIN($N272,INT(EQ$44-2-1)+1),$DC272,IF($DD272="No",1,0))/
IF(DX272&gt;=INT($N272),$N272-INT($N272),1)))*
IF(EQ$44=2,0,
IF(INT(DY272)=INT(DX272),DY272-DX272,INT(DY272)-DX272))+
IF($N272&lt;=1,
IF($N272&gt;0,1/$N272,0),VDB(1,0,$N272,INT(EQ$44-2),MIN($N272,INT(EQ$44-2)+1),$DC272,IF($DD272="No",1,0))/
IF(DY272&gt;INT($N272),$N272-INT($N272),1))*
IF(EQ$44=2,DY272,
IF(INT(DY272)=INT(DX272),0,DY272-INT(DY272)))))</f>
        <v>0</v>
      </c>
      <c r="ER272" s="834">
        <f>+IF(OR(DZ272=DY272,ER$44=1),0,
IF(AND(ER$44&gt;1,DZ272=$N272),1-SUM($EN272:EQ272),
IF($N272&lt;=1,
IF($N272&gt;0,1/$N272,0),
IF(ER$44=2,0,VDB(1,0,$N272,INT(ER$44-2-1),MIN($N272,INT(ER$44-2-1)+1),$DC272,IF($DD272="No",1,0))/
IF(DY272&gt;=INT($N272),$N272-INT($N272),1)))*
IF(ER$44=2,0,
IF(INT(DZ272)=INT(DY272),DZ272-DY272,INT(DZ272)-DY272))+
IF($N272&lt;=1,
IF($N272&gt;0,1/$N272,0),VDB(1,0,$N272,INT(ER$44-2),MIN($N272,INT(ER$44-2)+1),$DC272,IF($DD272="No",1,0))/
IF(DZ272&gt;INT($N272),$N272-INT($N272),1))*
IF(ER$44=2,DZ272,
IF(INT(DZ272)=INT(DY272),0,DZ272-INT(DZ272)))))</f>
        <v>0</v>
      </c>
      <c r="ES272" s="835">
        <f>+IF(OR(EA272=DZ272,ES$44=1),0,
IF(AND(ES$44&gt;1,EA272=$N272),1-SUM($EN272:ER272),
IF($N272&lt;=1,
IF($N272&gt;0,1/$N272,0),
IF(ES$44=2,0,VDB(1,0,$N272,INT(ES$44-2-1),MIN($N272,INT(ES$44-2-1)+1),$DC272,IF($DD272="No",1,0))/
IF(DZ272&gt;=INT($N272),$N272-INT($N272),1)))*
IF(ES$44=2,0,
IF(INT(EA272)=INT(DZ272),EA272-DZ272,INT(EA272)-DZ272))+
IF($N272&lt;=1,
IF($N272&gt;0,1/$N272,0),VDB(1,0,$N272,INT(ES$44-2),MIN($N272,INT(ES$44-2)+1),$DC272,IF($DD272="No",1,0))/
IF(EA272&gt;INT($N272),$N272-INT($N272),1))*
IF(ES$44=2,EA272,
IF(INT(EA272)=INT(DZ272),0,EA272-INT(EA272)))))</f>
        <v>0</v>
      </c>
      <c r="ET272" s="835">
        <f>+IF(OR(EB272=EA272,ET$44=1),0,
IF(AND(ET$44&gt;1,EB272=$N272),1-SUM($EN272:ES272),
IF($N272&lt;=1,
IF($N272&gt;0,1/$N272,0),
IF(ET$44=2,0,VDB(1,0,$N272,INT(ET$44-2-1),MIN($N272,INT(ET$44-2-1)+1),$DC272,IF($DD272="No",1,0))/
IF(EA272&gt;=INT($N272),$N272-INT($N272),1)))*
IF(ET$44=2,0,
IF(INT(EB272)=INT(EA272),EB272-EA272,INT(EB272)-EA272))+
IF($N272&lt;=1,
IF($N272&gt;0,1/$N272,0),VDB(1,0,$N272,INT(ET$44-2),MIN($N272,INT(ET$44-2)+1),$DC272,IF($DD272="No",1,0))/
IF(EB272&gt;INT($N272),$N272-INT($N272),1))*
IF(ET$44=2,EB272,
IF(INT(EB272)=INT(EA272),0,EB272-INT(EB272)))))</f>
        <v>0</v>
      </c>
      <c r="EU272" s="835">
        <f>+IF(OR(EC272=EB272,EU$44=1),0,
IF(AND(EU$44&gt;1,EC272=$N272),1-SUM($EN272:ET272),
IF($N272&lt;=1,
IF($N272&gt;0,1/$N272,0),
IF(EU$44=2,0,VDB(1,0,$N272,INT(EU$44-2-1),MIN($N272,INT(EU$44-2-1)+1),$DC272,IF($DD272="No",1,0))/
IF(EB272&gt;=INT($N272),$N272-INT($N272),1)))*
IF(EU$44=2,0,
IF(INT(EC272)=INT(EB272),EC272-EB272,INT(EC272)-EB272))+
IF($N272&lt;=1,
IF($N272&gt;0,1/$N272,0),VDB(1,0,$N272,INT(EU$44-2),MIN($N272,INT(EU$44-2)+1),$DC272,IF($DD272="No",1,0))/
IF(EC272&gt;INT($N272),$N272-INT($N272),1))*
IF(EU$44=2,EC272,
IF(INT(EC272)=INT(EB272),0,EC272-INT(EC272)))))</f>
        <v>0</v>
      </c>
      <c r="EV272" s="836">
        <f>+IF(OR(ED272=EC272,EV$44=1),0,
IF(AND(EV$44&gt;1,ED272=$N272),1-SUM($EN272:EU272),
IF($N272&lt;=1,
IF($N272&gt;0,1/$N272,0),
IF(EV$44=2,0,VDB(1,0,$N272,INT(EV$44-2-1),MIN($N272,INT(EV$44-2-1)+1),$DC272,IF($DD272="No",1,0))/
IF(EC272&gt;=INT($N272),$N272-INT($N272),1)))*
IF(EV$44=2,0,
IF(INT(ED272)=INT(EC272),ED272-EC272,INT(ED272)-EC272))+
IF($N272&lt;=1,
IF($N272&gt;0,1/$N272,0),VDB(1,0,$N272,INT(EV$44-2),MIN($N272,INT(EV$44-2)+1),$DC272,IF($DD272="No",1,0))/
IF(ED272&gt;INT($N272),$N272-INT($N272),1))*
IF(EV$44=2,ED272,
IF(INT(ED272)=INT(EC272),0,ED272-INT(ED272)))))</f>
        <v>0</v>
      </c>
      <c r="EW272" s="833"/>
      <c r="EX272" s="834">
        <f t="shared" ca="1" si="503"/>
        <v>0</v>
      </c>
      <c r="EY272" s="835">
        <f t="shared" ca="1" si="503"/>
        <v>0</v>
      </c>
      <c r="EZ272" s="836">
        <f t="shared" ca="1" si="503"/>
        <v>0</v>
      </c>
      <c r="FA272" s="834">
        <f t="shared" ca="1" si="503"/>
        <v>0</v>
      </c>
      <c r="FB272" s="835">
        <f t="shared" ca="1" si="503"/>
        <v>0</v>
      </c>
      <c r="FC272" s="835">
        <f t="shared" ca="1" si="503"/>
        <v>0</v>
      </c>
      <c r="FD272" s="835">
        <f t="shared" ca="1" si="503"/>
        <v>0</v>
      </c>
      <c r="FE272" s="836">
        <f t="shared" ca="1" si="503"/>
        <v>0</v>
      </c>
      <c r="FG272" s="386">
        <f t="shared" ca="1" si="504"/>
        <v>0</v>
      </c>
      <c r="FH272" s="387">
        <f t="shared" ca="1" si="505"/>
        <v>0</v>
      </c>
      <c r="FI272" s="388">
        <f t="shared" ca="1" si="506"/>
        <v>0</v>
      </c>
      <c r="FJ272" s="386">
        <f t="shared" ca="1" si="507"/>
        <v>0</v>
      </c>
      <c r="FK272" s="387">
        <f t="shared" ca="1" si="508"/>
        <v>0</v>
      </c>
      <c r="FL272" s="387">
        <f t="shared" ca="1" si="509"/>
        <v>0</v>
      </c>
      <c r="FM272" s="387">
        <f t="shared" ca="1" si="510"/>
        <v>0</v>
      </c>
      <c r="FN272" s="388">
        <f t="shared" ca="1" si="511"/>
        <v>0</v>
      </c>
      <c r="FR272" s="116"/>
    </row>
    <row r="273" spans="2:174">
      <c r="B273" s="1410">
        <f t="shared" si="512"/>
        <v>227</v>
      </c>
      <c r="C273" s="400"/>
      <c r="D273" s="410"/>
      <c r="E273" s="402"/>
      <c r="F273" s="402"/>
      <c r="G273" s="400"/>
      <c r="H273" s="2088"/>
      <c r="I273" s="2089"/>
      <c r="J273" s="411"/>
      <c r="K273" s="403"/>
      <c r="L273" s="403"/>
      <c r="M273" s="403"/>
      <c r="N273" s="403"/>
      <c r="O273" s="347"/>
      <c r="P273" s="347"/>
      <c r="Q273" s="1021"/>
      <c r="R273" s="1022"/>
      <c r="S273" s="1022"/>
      <c r="T273" s="1022"/>
      <c r="U273" s="1023"/>
      <c r="V273" s="1021"/>
      <c r="W273" s="1022"/>
      <c r="X273" s="1022"/>
      <c r="Y273" s="1022"/>
      <c r="Z273" s="1023"/>
      <c r="AA273" s="1024"/>
      <c r="AB273" s="1021"/>
      <c r="AC273" s="1022"/>
      <c r="AD273" s="1022"/>
      <c r="AE273" s="1022"/>
      <c r="AF273" s="1023"/>
      <c r="AG273" s="1021"/>
      <c r="AH273" s="1022"/>
      <c r="AI273" s="1022"/>
      <c r="AJ273" s="1022"/>
      <c r="AK273" s="1023"/>
      <c r="AL273" s="1024"/>
      <c r="AM273" s="1021"/>
      <c r="AN273" s="1022"/>
      <c r="AO273" s="1022"/>
      <c r="AP273" s="1022"/>
      <c r="AQ273" s="1023"/>
      <c r="AR273" s="1021"/>
      <c r="AS273" s="1022"/>
      <c r="AT273" s="1022"/>
      <c r="AU273" s="1022"/>
      <c r="AV273" s="1023"/>
      <c r="AW273" s="1025"/>
      <c r="AX273" s="1282">
        <f t="shared" si="457"/>
        <v>0</v>
      </c>
      <c r="AY273" s="387">
        <f t="shared" si="458"/>
        <v>0</v>
      </c>
      <c r="AZ273" s="387">
        <f t="shared" si="459"/>
        <v>0</v>
      </c>
      <c r="BA273" s="387">
        <f t="shared" si="460"/>
        <v>0</v>
      </c>
      <c r="BB273" s="1283">
        <f t="shared" si="461"/>
        <v>0</v>
      </c>
      <c r="BC273" s="386">
        <f t="shared" si="462"/>
        <v>0</v>
      </c>
      <c r="BD273" s="387">
        <f t="shared" si="463"/>
        <v>0</v>
      </c>
      <c r="BE273" s="1277">
        <f t="shared" si="464"/>
        <v>0</v>
      </c>
      <c r="BF273" s="1277">
        <f t="shared" si="465"/>
        <v>0</v>
      </c>
      <c r="BG273" s="388">
        <f t="shared" si="466"/>
        <v>0</v>
      </c>
      <c r="BH273" s="1025"/>
      <c r="BI273" s="1282">
        <f t="shared" ca="1" si="467"/>
        <v>0</v>
      </c>
      <c r="BJ273" s="387">
        <f t="shared" ca="1" si="468"/>
        <v>0</v>
      </c>
      <c r="BK273" s="387">
        <f t="shared" ca="1" si="469"/>
        <v>0</v>
      </c>
      <c r="BL273" s="387">
        <f t="shared" ca="1" si="470"/>
        <v>0</v>
      </c>
      <c r="BM273" s="1283">
        <f t="shared" ca="1" si="471"/>
        <v>0</v>
      </c>
      <c r="BN273" s="386">
        <f t="shared" ca="1" si="472"/>
        <v>0</v>
      </c>
      <c r="BO273" s="387">
        <f t="shared" ca="1" si="473"/>
        <v>0</v>
      </c>
      <c r="BP273" s="1277">
        <f t="shared" ca="1" si="474"/>
        <v>0</v>
      </c>
      <c r="BQ273" s="1277">
        <f t="shared" ca="1" si="475"/>
        <v>0</v>
      </c>
      <c r="BR273" s="388">
        <f t="shared" ca="1" si="476"/>
        <v>0</v>
      </c>
      <c r="BS273" s="1025"/>
      <c r="BT273" s="1282">
        <f>+IF($K273="Ongoing",AX273,IF(RIGHT($K273,2)=RIGHT(BT$43,2),SUM($AX273:AX273),0)+IF(RIGHT(BT$43,2)&gt;RIGHT($K273,2),AX273,0))</f>
        <v>0</v>
      </c>
      <c r="BU273" s="387">
        <f>+IF($K273="Ongoing",AY273,IF(RIGHT($K273,2)=RIGHT(BU$43,2),SUM($AX273:AY273),0)+IF(RIGHT(BU$43,2)&gt;RIGHT($K273,2),AY273,0))</f>
        <v>0</v>
      </c>
      <c r="BV273" s="387">
        <f>+IF($K273="Ongoing",AZ273,IF(RIGHT($K273,2)=RIGHT(BV$43,2),SUM($AX273:AZ273),0)+IF(RIGHT(BV$43,2)&gt;RIGHT($K273,2),AZ273,0))</f>
        <v>0</v>
      </c>
      <c r="BW273" s="387">
        <f>+IF($K273="Ongoing",BA273,IF(RIGHT($K273,2)=RIGHT(BW$43,2),SUM($AX273:BA273),0)+IF(RIGHT(BW$43,2)&gt;RIGHT($K273,2),BA273,0))</f>
        <v>0</v>
      </c>
      <c r="BX273" s="1283">
        <f>+IF($K273="Ongoing",BB273,IF(RIGHT($K273,2)=RIGHT(BX$43,2),SUM($AX273:BB273),0)+IF(RIGHT(BX$43,2)&gt;RIGHT($K273,2),BB273,0))</f>
        <v>0</v>
      </c>
      <c r="BY273" s="386">
        <f>+IF($K273="Ongoing",BC273,IF(RIGHT($K273,2)=RIGHT(BY$43,2),SUM($AX273:BC273),0)+IF(RIGHT(BY$43,2)&gt;RIGHT($K273,2),BC273,0))</f>
        <v>0</v>
      </c>
      <c r="BZ273" s="387">
        <f>+IF($K273="Ongoing",BD273,IF(RIGHT($K273,2)=RIGHT(BZ$43,2),SUM($AX273:BD273),0)+IF(RIGHT(BZ$43,2)&gt;RIGHT($K273,2),BD273,0))</f>
        <v>0</v>
      </c>
      <c r="CA273" s="1277">
        <f>+IF($K273="Ongoing",BE273,IF(RIGHT($K273,2)=RIGHT(CA$43,2),SUM($AX273:BE273),0)+IF(RIGHT(CA$43,2)&gt;RIGHT($K273,2),BE273,0))</f>
        <v>0</v>
      </c>
      <c r="CB273" s="1277">
        <f>+IF($K273="Ongoing",BF273,IF(RIGHT($K273,2)=RIGHT(CB$43,2),SUM($AX273:BF273),0)+IF(RIGHT(CB$43,2)&gt;RIGHT($K273,2),BF273,0))</f>
        <v>0</v>
      </c>
      <c r="CC273" s="388">
        <f>+IF($K273="Ongoing",BG273,IF(RIGHT($K273,2)=RIGHT(CC$43,2),SUM($AX273:BG273),0)+IF(RIGHT(CC$43,2)&gt;RIGHT($K273,2),BG273,0))</f>
        <v>0</v>
      </c>
      <c r="CD273" s="1025"/>
      <c r="CE273" s="1282">
        <f>+Q273*KeyAssumptionsPriceControl_FO!AF$15</f>
        <v>0</v>
      </c>
      <c r="CF273" s="387">
        <f>+R273*KeyAssumptionsPriceControl_FO!AG$15</f>
        <v>0</v>
      </c>
      <c r="CG273" s="387">
        <f>+S273*KeyAssumptionsPriceControl_FO!AH$15</f>
        <v>0</v>
      </c>
      <c r="CH273" s="387">
        <f>+T273*KeyAssumptionsPriceControl_FO!AI$15</f>
        <v>0</v>
      </c>
      <c r="CI273" s="1283">
        <f>+U273*KeyAssumptionsPriceControl_FO!AJ$15</f>
        <v>0</v>
      </c>
      <c r="CJ273" s="386">
        <f>+V273*KeyAssumptionsPriceControl_FO!AK$15</f>
        <v>0</v>
      </c>
      <c r="CK273" s="387">
        <f>+W273*KeyAssumptionsPriceControl_FO!AL$15</f>
        <v>0</v>
      </c>
      <c r="CL273" s="1277">
        <f>+X273*KeyAssumptionsPriceControl_FO!AM$15</f>
        <v>0</v>
      </c>
      <c r="CM273" s="1277">
        <f>+Y273*KeyAssumptionsPriceControl_FO!AN$15</f>
        <v>0</v>
      </c>
      <c r="CN273" s="388">
        <f>+Z273*KeyAssumptionsPriceControl_FO!AO$15</f>
        <v>0</v>
      </c>
      <c r="CO273" s="1025"/>
      <c r="CP273" s="1282">
        <f t="shared" ca="1" si="477"/>
        <v>0</v>
      </c>
      <c r="CQ273" s="387">
        <f t="shared" ca="1" si="478"/>
        <v>0</v>
      </c>
      <c r="CR273" s="387">
        <f t="shared" ca="1" si="479"/>
        <v>0</v>
      </c>
      <c r="CS273" s="387">
        <f t="shared" ca="1" si="480"/>
        <v>0</v>
      </c>
      <c r="CT273" s="1283">
        <f t="shared" ca="1" si="481"/>
        <v>0</v>
      </c>
      <c r="CU273" s="386">
        <f t="shared" ca="1" si="482"/>
        <v>0</v>
      </c>
      <c r="CV273" s="387">
        <f t="shared" ca="1" si="483"/>
        <v>0</v>
      </c>
      <c r="CW273" s="1277">
        <f t="shared" ca="1" si="484"/>
        <v>0</v>
      </c>
      <c r="CX273" s="1277">
        <f t="shared" ca="1" si="485"/>
        <v>0</v>
      </c>
      <c r="CY273" s="388">
        <f t="shared" ca="1" si="486"/>
        <v>0</v>
      </c>
      <c r="CZ273" s="347"/>
      <c r="DA273" s="852"/>
      <c r="DB273" s="347"/>
      <c r="DC273" s="1012" t="s">
        <v>573</v>
      </c>
      <c r="DD273" s="841" t="s">
        <v>518</v>
      </c>
      <c r="DE273" s="386">
        <f>+IF($K273="ongoing",CE273,IF(RIGHT($K273,2)=RIGHT(DE$43,2),SUM($CD273:CE273),0)+IF(RIGHT(DE$43,2)&gt;RIGHT($K273,2),CE273,0))</f>
        <v>0</v>
      </c>
      <c r="DF273" s="387">
        <f>+IF($K273="ongoing",CF273,IF(RIGHT($K273,2)=RIGHT(DF$43,2),SUM($CD273:CF273),0)+IF(RIGHT(DF$43,2)&gt;RIGHT($K273,2),CF273,0))</f>
        <v>0</v>
      </c>
      <c r="DG273" s="388">
        <f>+IF($K273="ongoing",CG273,IF(RIGHT($K273,2)=RIGHT(DG$43,2),SUM($CD273:CG273),0)+IF(RIGHT(DG$43,2)&gt;RIGHT($K273,2),CG273,0))</f>
        <v>0</v>
      </c>
      <c r="DH273" s="386">
        <f>+IF($K273="ongoing",CH273,IF(RIGHT($K273,2)=RIGHT(DH$43,2),SUM($CD273:CH273),0)+IF(RIGHT(DH$43,2)&gt;RIGHT($K273,2),CH273,0))</f>
        <v>0</v>
      </c>
      <c r="DI273" s="387">
        <f>+IF($K273="ongoing",CI273,IF(RIGHT($K273,2)=RIGHT(DI$43,2),SUM($CD273:CI273),0)+IF(RIGHT(DI$43,2)&gt;RIGHT($K273,2),CI273,0))</f>
        <v>0</v>
      </c>
      <c r="DJ273" s="387">
        <f>+IF($K273="ongoing",CJ273,IF(RIGHT($K273,2)=RIGHT(DJ$43,2),SUM($CD273:CJ273),0)+IF(RIGHT(DJ$43,2)&gt;RIGHT($K273,2),CJ273,0))</f>
        <v>0</v>
      </c>
      <c r="DK273" s="387">
        <f>+IF($K273="ongoing",CK273,IF(RIGHT($K273,2)=RIGHT(DK$43,2),SUM($CD273:CK273),0)+IF(RIGHT(DK$43,2)&gt;RIGHT($K273,2),CK273,0))</f>
        <v>0</v>
      </c>
      <c r="DL273" s="388">
        <f>+IF($K273="ongoing",CN273,IF(RIGHT($K273,2)=RIGHT(DL$43,2),SUM($CD273:CN273),0)+IF(RIGHT(DL$43,2)&gt;RIGHT($K273,2),CN273,0))</f>
        <v>0</v>
      </c>
      <c r="DM273" s="841"/>
      <c r="DN273" s="386">
        <f t="shared" si="487"/>
        <v>0.5</v>
      </c>
      <c r="DO273" s="387">
        <f t="shared" si="488"/>
        <v>1</v>
      </c>
      <c r="DP273" s="388">
        <f t="shared" si="489"/>
        <v>1</v>
      </c>
      <c r="DQ273" s="386">
        <f t="shared" si="490"/>
        <v>1</v>
      </c>
      <c r="DR273" s="387">
        <f t="shared" si="491"/>
        <v>1</v>
      </c>
      <c r="DS273" s="387">
        <f t="shared" si="492"/>
        <v>1</v>
      </c>
      <c r="DT273" s="387">
        <f t="shared" si="493"/>
        <v>1</v>
      </c>
      <c r="DU273" s="388">
        <f t="shared" si="494"/>
        <v>1</v>
      </c>
      <c r="DW273" s="386">
        <f t="shared" si="495"/>
        <v>0</v>
      </c>
      <c r="DX273" s="387">
        <f t="shared" si="496"/>
        <v>0.5</v>
      </c>
      <c r="DY273" s="388">
        <f t="shared" si="497"/>
        <v>1</v>
      </c>
      <c r="DZ273" s="386">
        <f t="shared" si="498"/>
        <v>1</v>
      </c>
      <c r="EA273" s="387">
        <f t="shared" si="499"/>
        <v>1</v>
      </c>
      <c r="EB273" s="387">
        <f t="shared" si="500"/>
        <v>1</v>
      </c>
      <c r="EC273" s="387">
        <f t="shared" si="501"/>
        <v>1</v>
      </c>
      <c r="ED273" s="388">
        <f t="shared" si="502"/>
        <v>1</v>
      </c>
      <c r="EF273" s="834">
        <f>+IF(DN273=DM273,0,
IF(AND(EF$44&gt;1,DN273=$N273),1-SUM($EE273:EE273),
IF($N273&lt;=1,
IF($N273&gt;0,1/$N273,0),
IF(EF$44=1,0,VDB(1,0,$N273,INT(EF$44-1-1),MIN($N273,INT(EF$44-1-1)+1),$DC273,IF($DD273="No",1,0))/
IF(DM273&gt;=INT($N273),$N273-INT($N273),1)))*
IF(EF$44=1,0,
IF(INT(DN273)=INT(DM273),DN273-DM273,INT(DN273)-DM273))+
IF($N273&lt;=1,
IF($N273&gt;0,1/$N273,0),VDB(1,0,$N273,INT(EF$44-1),MIN($N273,INT(EF$44-1)+1),$DC273,IF($DD273="No",1,0))/
IF(DN273&gt;INT($N273),$N273-INT($N273),1))*
IF(EF$44=1,DN273,
IF(INT(DN273)=INT(DM273),0,DN273-INT(DN273)))))</f>
        <v>0</v>
      </c>
      <c r="EG273" s="835">
        <f>+IF(DO273=DN273,0,
IF(AND(EG$44&gt;1,DO273=$N273),1-SUM($EE273:EF273),
IF($N273&lt;=1,
IF($N273&gt;0,1/$N273,0),
IF(EG$44=1,0,VDB(1,0,$N273,INT(EG$44-1-1),MIN($N273,INT(EG$44-1-1)+1),$DC273,IF($DD273="No",1,0))/
IF(DN273&gt;=INT($N273),$N273-INT($N273),1)))*
IF(EG$44=1,0,
IF(INT(DO273)=INT(DN273),DO273-DN273,INT(DO273)-DN273))+
IF($N273&lt;=1,
IF($N273&gt;0,1/$N273,0),VDB(1,0,$N273,INT(EG$44-1),MIN($N273,INT(EG$44-1)+1),$DC273,IF($DD273="No",1,0))/
IF(DO273&gt;INT($N273),$N273-INT($N273),1))*
IF(EG$44=1,DO273,
IF(INT(DO273)=INT(DN273),0,DO273-INT(DO273)))))</f>
        <v>0</v>
      </c>
      <c r="EH273" s="836">
        <f>+IF(DP273=DO273,0,
IF(AND(EH$44&gt;1,DP273=$N273),1-SUM($EE273:EG273),
IF($N273&lt;=1,
IF($N273&gt;0,1/$N273,0),
IF(EH$44=1,0,VDB(1,0,$N273,INT(EH$44-1-1),MIN($N273,INT(EH$44-1-1)+1),$DC273,IF($DD273="No",1,0))/
IF(DO273&gt;=INT($N273),$N273-INT($N273),1)))*
IF(EH$44=1,0,
IF(INT(DP273)=INT(DO273),DP273-DO273,INT(DP273)-DO273))+
IF($N273&lt;=1,
IF($N273&gt;0,1/$N273,0),VDB(1,0,$N273,INT(EH$44-1),MIN($N273,INT(EH$44-1)+1),$DC273,IF($DD273="No",1,0))/
IF(DP273&gt;INT($N273),$N273-INT($N273),1))*
IF(EH$44=1,DP273,
IF(INT(DP273)=INT(DO273),0,DP273-INT(DP273)))))</f>
        <v>0</v>
      </c>
      <c r="EI273" s="834">
        <f>+IF(DQ273=DP273,0,
IF(AND(EI$44&gt;1,DQ273=$N273),1-SUM($EE273:EH273),
IF($N273&lt;=1,
IF($N273&gt;0,1/$N273,0),
IF(EI$44=1,0,VDB(1,0,$N273,INT(EI$44-1-1),MIN($N273,INT(EI$44-1-1)+1),$DC273,IF($DD273="No",1,0))/
IF(DP273&gt;=INT($N273),$N273-INT($N273),1)))*
IF(EI$44=1,0,
IF(INT(DQ273)=INT(DP273),DQ273-DP273,INT(DQ273)-DP273))+
IF($N273&lt;=1,
IF($N273&gt;0,1/$N273,0),VDB(1,0,$N273,INT(EI$44-1),MIN($N273,INT(EI$44-1)+1),$DC273,IF($DD273="No",1,0))/
IF(DQ273&gt;INT($N273),$N273-INT($N273),1))*
IF(EI$44=1,DQ273,
IF(INT(DQ273)=INT(DP273),0,DQ273-INT(DQ273)))))</f>
        <v>0</v>
      </c>
      <c r="EJ273" s="835">
        <f>+IF(DR273=DQ273,0,
IF(AND(EJ$44&gt;1,DR273=$N273),1-SUM($EE273:EI273),
IF($N273&lt;=1,
IF($N273&gt;0,1/$N273,0),
IF(EJ$44=1,0,VDB(1,0,$N273,INT(EJ$44-1-1),MIN($N273,INT(EJ$44-1-1)+1),$DC273,IF($DD273="No",1,0))/
IF(DQ273&gt;=INT($N273),$N273-INT($N273),1)))*
IF(EJ$44=1,0,
IF(INT(DR273)=INT(DQ273),DR273-DQ273,INT(DR273)-DQ273))+
IF($N273&lt;=1,
IF($N273&gt;0,1/$N273,0),VDB(1,0,$N273,INT(EJ$44-1),MIN($N273,INT(EJ$44-1)+1),$DC273,IF($DD273="No",1,0))/
IF(DR273&gt;INT($N273),$N273-INT($N273),1))*
IF(EJ$44=1,DR273,
IF(INT(DR273)=INT(DQ273),0,DR273-INT(DR273)))))</f>
        <v>0</v>
      </c>
      <c r="EK273" s="835">
        <f>+IF(DS273=DR273,0,
IF(AND(EK$44&gt;1,DS273=$N273),1-SUM($EE273:EJ273),
IF($N273&lt;=1,
IF($N273&gt;0,1/$N273,0),
IF(EK$44=1,0,VDB(1,0,$N273,INT(EK$44-1-1),MIN($N273,INT(EK$44-1-1)+1),$DC273,IF($DD273="No",1,0))/
IF(DR273&gt;=INT($N273),$N273-INT($N273),1)))*
IF(EK$44=1,0,
IF(INT(DS273)=INT(DR273),DS273-DR273,INT(DS273)-DR273))+
IF($N273&lt;=1,
IF($N273&gt;0,1/$N273,0),VDB(1,0,$N273,INT(EK$44-1),MIN($N273,INT(EK$44-1)+1),$DC273,IF($DD273="No",1,0))/
IF(DS273&gt;INT($N273),$N273-INT($N273),1))*
IF(EK$44=1,DS273,
IF(INT(DS273)=INT(DR273),0,DS273-INT(DS273)))))</f>
        <v>0</v>
      </c>
      <c r="EL273" s="835">
        <f>+IF(DT273=DS273,0,
IF(AND(EL$44&gt;1,DT273=$N273),1-SUM($EE273:EK273),
IF($N273&lt;=1,
IF($N273&gt;0,1/$N273,0),
IF(EL$44=1,0,VDB(1,0,$N273,INT(EL$44-1-1),MIN($N273,INT(EL$44-1-1)+1),$DC273,IF($DD273="No",1,0))/
IF(DS273&gt;=INT($N273),$N273-INT($N273),1)))*
IF(EL$44=1,0,
IF(INT(DT273)=INT(DS273),DT273-DS273,INT(DT273)-DS273))+
IF($N273&lt;=1,
IF($N273&gt;0,1/$N273,0),VDB(1,0,$N273,INT(EL$44-1),MIN($N273,INT(EL$44-1)+1),$DC273,IF($DD273="No",1,0))/
IF(DT273&gt;INT($N273),$N273-INT($N273),1))*
IF(EL$44=1,DT273,
IF(INT(DT273)=INT(DS273),0,DT273-INT(DT273)))))</f>
        <v>0</v>
      </c>
      <c r="EM273" s="836">
        <f>+IF(DU273=DT273,0,
IF(AND(EM$44&gt;1,DU273=$N273),1-SUM($EE273:EL273),
IF($N273&lt;=1,
IF($N273&gt;0,1/$N273,0),
IF(EM$44=1,0,VDB(1,0,$N273,INT(EM$44-1-1),MIN($N273,INT(EM$44-1-1)+1),$DC273,IF($DD273="No",1,0))/
IF(DT273&gt;=INT($N273),$N273-INT($N273),1)))*
IF(EM$44=1,0,
IF(INT(DU273)=INT(DT273),DU273-DT273,INT(DU273)-DT273))+
IF($N273&lt;=1,
IF($N273&gt;0,1/$N273,0),VDB(1,0,$N273,INT(EM$44-1),MIN($N273,INT(EM$44-1)+1),$DC273,IF($DD273="No",1,0))/
IF(DU273&gt;INT($N273),$N273-INT($N273),1))*
IF(EM$44=1,DU273,
IF(INT(DU273)=INT(DT273),0,DU273-INT(DU273)))))</f>
        <v>0</v>
      </c>
      <c r="EN273" s="833"/>
      <c r="EO273" s="834">
        <f>+IF(OR(DW273=DV273,EO$44=1),0,
IF(AND(EO$44&gt;1,DW273=$N273),1-SUM($EN273:EN273),
IF($N273&lt;=1,
IF($N273&gt;0,1/$N273,0),
IF(EO$44=2,0,VDB(1,0,$N273,INT(EO$44-2-1),MIN($N273,INT(EO$44-2-1)+1),$DC273,IF($DD273="No",1,0))/
IF(DV273&gt;=INT($N273),$N273-INT($N273),1)))*
IF(EO$44=2,0,
IF(INT(DW273)=INT(DV273),DW273-DV273,INT(DW273)-DV273))+
IF($N273&lt;=1,
IF($N273&gt;0,1/$N273,0),VDB(1,0,$N273,INT(EO$44-2),MIN($N273,INT(EO$44-2)+1),$DC273,IF($DD273="No",1,0))/
IF(DW273&gt;INT($N273),$N273-INT($N273),1))*
IF(EO$44=2,DW273,
IF(INT(DW273)=INT(DV273),0,DW273-INT(DW273)))))</f>
        <v>0</v>
      </c>
      <c r="EP273" s="835">
        <f>+IF(OR(DX273=DW273,EP$44=1),0,
IF(AND(EP$44&gt;1,DX273=$N273),1-SUM($EN273:EO273),
IF($N273&lt;=1,
IF($N273&gt;0,1/$N273,0),
IF(EP$44=2,0,VDB(1,0,$N273,INT(EP$44-2-1),MIN($N273,INT(EP$44-2-1)+1),$DC273,IF($DD273="No",1,0))/
IF(DW273&gt;=INT($N273),$N273-INT($N273),1)))*
IF(EP$44=2,0,
IF(INT(DX273)=INT(DW273),DX273-DW273,INT(DX273)-DW273))+
IF($N273&lt;=1,
IF($N273&gt;0,1/$N273,0),VDB(1,0,$N273,INT(EP$44-2),MIN($N273,INT(EP$44-2)+1),$DC273,IF($DD273="No",1,0))/
IF(DX273&gt;INT($N273),$N273-INT($N273),1))*
IF(EP$44=2,DX273,
IF(INT(DX273)=INT(DW273),0,DX273-INT(DX273)))))</f>
        <v>0</v>
      </c>
      <c r="EQ273" s="836">
        <f>+IF(OR(DY273=DX273,EQ$44=1),0,
IF(AND(EQ$44&gt;1,DY273=$N273),1-SUM($EN273:EP273),
IF($N273&lt;=1,
IF($N273&gt;0,1/$N273,0),
IF(EQ$44=2,0,VDB(1,0,$N273,INT(EQ$44-2-1),MIN($N273,INT(EQ$44-2-1)+1),$DC273,IF($DD273="No",1,0))/
IF(DX273&gt;=INT($N273),$N273-INT($N273),1)))*
IF(EQ$44=2,0,
IF(INT(DY273)=INT(DX273),DY273-DX273,INT(DY273)-DX273))+
IF($N273&lt;=1,
IF($N273&gt;0,1/$N273,0),VDB(1,0,$N273,INT(EQ$44-2),MIN($N273,INT(EQ$44-2)+1),$DC273,IF($DD273="No",1,0))/
IF(DY273&gt;INT($N273),$N273-INT($N273),1))*
IF(EQ$44=2,DY273,
IF(INT(DY273)=INT(DX273),0,DY273-INT(DY273)))))</f>
        <v>0</v>
      </c>
      <c r="ER273" s="834">
        <f>+IF(OR(DZ273=DY273,ER$44=1),0,
IF(AND(ER$44&gt;1,DZ273=$N273),1-SUM($EN273:EQ273),
IF($N273&lt;=1,
IF($N273&gt;0,1/$N273,0),
IF(ER$44=2,0,VDB(1,0,$N273,INT(ER$44-2-1),MIN($N273,INT(ER$44-2-1)+1),$DC273,IF($DD273="No",1,0))/
IF(DY273&gt;=INT($N273),$N273-INT($N273),1)))*
IF(ER$44=2,0,
IF(INT(DZ273)=INT(DY273),DZ273-DY273,INT(DZ273)-DY273))+
IF($N273&lt;=1,
IF($N273&gt;0,1/$N273,0),VDB(1,0,$N273,INT(ER$44-2),MIN($N273,INT(ER$44-2)+1),$DC273,IF($DD273="No",1,0))/
IF(DZ273&gt;INT($N273),$N273-INT($N273),1))*
IF(ER$44=2,DZ273,
IF(INT(DZ273)=INT(DY273),0,DZ273-INT(DZ273)))))</f>
        <v>0</v>
      </c>
      <c r="ES273" s="835">
        <f>+IF(OR(EA273=DZ273,ES$44=1),0,
IF(AND(ES$44&gt;1,EA273=$N273),1-SUM($EN273:ER273),
IF($N273&lt;=1,
IF($N273&gt;0,1/$N273,0),
IF(ES$44=2,0,VDB(1,0,$N273,INT(ES$44-2-1),MIN($N273,INT(ES$44-2-1)+1),$DC273,IF($DD273="No",1,0))/
IF(DZ273&gt;=INT($N273),$N273-INT($N273),1)))*
IF(ES$44=2,0,
IF(INT(EA273)=INT(DZ273),EA273-DZ273,INT(EA273)-DZ273))+
IF($N273&lt;=1,
IF($N273&gt;0,1/$N273,0),VDB(1,0,$N273,INT(ES$44-2),MIN($N273,INT(ES$44-2)+1),$DC273,IF($DD273="No",1,0))/
IF(EA273&gt;INT($N273),$N273-INT($N273),1))*
IF(ES$44=2,EA273,
IF(INT(EA273)=INT(DZ273),0,EA273-INT(EA273)))))</f>
        <v>0</v>
      </c>
      <c r="ET273" s="835">
        <f>+IF(OR(EB273=EA273,ET$44=1),0,
IF(AND(ET$44&gt;1,EB273=$N273),1-SUM($EN273:ES273),
IF($N273&lt;=1,
IF($N273&gt;0,1/$N273,0),
IF(ET$44=2,0,VDB(1,0,$N273,INT(ET$44-2-1),MIN($N273,INT(ET$44-2-1)+1),$DC273,IF($DD273="No",1,0))/
IF(EA273&gt;=INT($N273),$N273-INT($N273),1)))*
IF(ET$44=2,0,
IF(INT(EB273)=INT(EA273),EB273-EA273,INT(EB273)-EA273))+
IF($N273&lt;=1,
IF($N273&gt;0,1/$N273,0),VDB(1,0,$N273,INT(ET$44-2),MIN($N273,INT(ET$44-2)+1),$DC273,IF($DD273="No",1,0))/
IF(EB273&gt;INT($N273),$N273-INT($N273),1))*
IF(ET$44=2,EB273,
IF(INT(EB273)=INT(EA273),0,EB273-INT(EB273)))))</f>
        <v>0</v>
      </c>
      <c r="EU273" s="835">
        <f>+IF(OR(EC273=EB273,EU$44=1),0,
IF(AND(EU$44&gt;1,EC273=$N273),1-SUM($EN273:ET273),
IF($N273&lt;=1,
IF($N273&gt;0,1/$N273,0),
IF(EU$44=2,0,VDB(1,0,$N273,INT(EU$44-2-1),MIN($N273,INT(EU$44-2-1)+1),$DC273,IF($DD273="No",1,0))/
IF(EB273&gt;=INT($N273),$N273-INT($N273),1)))*
IF(EU$44=2,0,
IF(INT(EC273)=INT(EB273),EC273-EB273,INT(EC273)-EB273))+
IF($N273&lt;=1,
IF($N273&gt;0,1/$N273,0),VDB(1,0,$N273,INT(EU$44-2),MIN($N273,INT(EU$44-2)+1),$DC273,IF($DD273="No",1,0))/
IF(EC273&gt;INT($N273),$N273-INT($N273),1))*
IF(EU$44=2,EC273,
IF(INT(EC273)=INT(EB273),0,EC273-INT(EC273)))))</f>
        <v>0</v>
      </c>
      <c r="EV273" s="836">
        <f>+IF(OR(ED273=EC273,EV$44=1),0,
IF(AND(EV$44&gt;1,ED273=$N273),1-SUM($EN273:EU273),
IF($N273&lt;=1,
IF($N273&gt;0,1/$N273,0),
IF(EV$44=2,0,VDB(1,0,$N273,INT(EV$44-2-1),MIN($N273,INT(EV$44-2-1)+1),$DC273,IF($DD273="No",1,0))/
IF(EC273&gt;=INT($N273),$N273-INT($N273),1)))*
IF(EV$44=2,0,
IF(INT(ED273)=INT(EC273),ED273-EC273,INT(ED273)-EC273))+
IF($N273&lt;=1,
IF($N273&gt;0,1/$N273,0),VDB(1,0,$N273,INT(EV$44-2),MIN($N273,INT(EV$44-2)+1),$DC273,IF($DD273="No",1,0))/
IF(ED273&gt;INT($N273),$N273-INT($N273),1))*
IF(EV$44=2,ED273,
IF(INT(ED273)=INT(EC273),0,ED273-INT(ED273)))))</f>
        <v>0</v>
      </c>
      <c r="EW273" s="833"/>
      <c r="EX273" s="834">
        <f t="shared" ca="1" si="503"/>
        <v>0</v>
      </c>
      <c r="EY273" s="835">
        <f t="shared" ca="1" si="503"/>
        <v>0</v>
      </c>
      <c r="EZ273" s="836">
        <f t="shared" ca="1" si="503"/>
        <v>0</v>
      </c>
      <c r="FA273" s="834">
        <f t="shared" ca="1" si="503"/>
        <v>0</v>
      </c>
      <c r="FB273" s="835">
        <f t="shared" ca="1" si="503"/>
        <v>0</v>
      </c>
      <c r="FC273" s="835">
        <f t="shared" ca="1" si="503"/>
        <v>0</v>
      </c>
      <c r="FD273" s="835">
        <f t="shared" ca="1" si="503"/>
        <v>0</v>
      </c>
      <c r="FE273" s="836">
        <f t="shared" ca="1" si="503"/>
        <v>0</v>
      </c>
      <c r="FG273" s="386">
        <f t="shared" ca="1" si="504"/>
        <v>0</v>
      </c>
      <c r="FH273" s="387">
        <f t="shared" ca="1" si="505"/>
        <v>0</v>
      </c>
      <c r="FI273" s="388">
        <f t="shared" ca="1" si="506"/>
        <v>0</v>
      </c>
      <c r="FJ273" s="386">
        <f t="shared" ca="1" si="507"/>
        <v>0</v>
      </c>
      <c r="FK273" s="387">
        <f t="shared" ca="1" si="508"/>
        <v>0</v>
      </c>
      <c r="FL273" s="387">
        <f t="shared" ca="1" si="509"/>
        <v>0</v>
      </c>
      <c r="FM273" s="387">
        <f t="shared" ca="1" si="510"/>
        <v>0</v>
      </c>
      <c r="FN273" s="388">
        <f t="shared" ca="1" si="511"/>
        <v>0</v>
      </c>
      <c r="FR273" s="116"/>
    </row>
    <row r="274" spans="2:174">
      <c r="B274" s="1410">
        <f t="shared" si="512"/>
        <v>228</v>
      </c>
      <c r="C274" s="400"/>
      <c r="D274" s="410"/>
      <c r="E274" s="402"/>
      <c r="F274" s="402"/>
      <c r="G274" s="400"/>
      <c r="H274" s="2088"/>
      <c r="I274" s="2089"/>
      <c r="J274" s="411"/>
      <c r="K274" s="403"/>
      <c r="L274" s="403"/>
      <c r="M274" s="403"/>
      <c r="N274" s="403"/>
      <c r="O274" s="347"/>
      <c r="P274" s="347"/>
      <c r="Q274" s="1021"/>
      <c r="R274" s="1022"/>
      <c r="S274" s="1022"/>
      <c r="T274" s="1022"/>
      <c r="U274" s="1023"/>
      <c r="V274" s="1021"/>
      <c r="W274" s="1022"/>
      <c r="X274" s="1022"/>
      <c r="Y274" s="1022"/>
      <c r="Z274" s="1023"/>
      <c r="AA274" s="1024"/>
      <c r="AB274" s="1021"/>
      <c r="AC274" s="1022"/>
      <c r="AD274" s="1022"/>
      <c r="AE274" s="1022"/>
      <c r="AF274" s="1023"/>
      <c r="AG274" s="1021"/>
      <c r="AH274" s="1022"/>
      <c r="AI274" s="1022"/>
      <c r="AJ274" s="1022"/>
      <c r="AK274" s="1023"/>
      <c r="AL274" s="1024"/>
      <c r="AM274" s="1021"/>
      <c r="AN274" s="1022"/>
      <c r="AO274" s="1022"/>
      <c r="AP274" s="1022"/>
      <c r="AQ274" s="1023"/>
      <c r="AR274" s="1021"/>
      <c r="AS274" s="1022"/>
      <c r="AT274" s="1022"/>
      <c r="AU274" s="1022"/>
      <c r="AV274" s="1023"/>
      <c r="AW274" s="1025"/>
      <c r="AX274" s="1282">
        <f t="shared" si="457"/>
        <v>0</v>
      </c>
      <c r="AY274" s="387">
        <f t="shared" si="458"/>
        <v>0</v>
      </c>
      <c r="AZ274" s="387">
        <f t="shared" si="459"/>
        <v>0</v>
      </c>
      <c r="BA274" s="387">
        <f t="shared" si="460"/>
        <v>0</v>
      </c>
      <c r="BB274" s="1283">
        <f t="shared" si="461"/>
        <v>0</v>
      </c>
      <c r="BC274" s="386">
        <f t="shared" si="462"/>
        <v>0</v>
      </c>
      <c r="BD274" s="387">
        <f t="shared" si="463"/>
        <v>0</v>
      </c>
      <c r="BE274" s="1277">
        <f t="shared" si="464"/>
        <v>0</v>
      </c>
      <c r="BF274" s="1277">
        <f t="shared" si="465"/>
        <v>0</v>
      </c>
      <c r="BG274" s="388">
        <f t="shared" si="466"/>
        <v>0</v>
      </c>
      <c r="BH274" s="1025"/>
      <c r="BI274" s="1282">
        <f t="shared" ca="1" si="467"/>
        <v>0</v>
      </c>
      <c r="BJ274" s="387">
        <f t="shared" ca="1" si="468"/>
        <v>0</v>
      </c>
      <c r="BK274" s="387">
        <f t="shared" ca="1" si="469"/>
        <v>0</v>
      </c>
      <c r="BL274" s="387">
        <f t="shared" ca="1" si="470"/>
        <v>0</v>
      </c>
      <c r="BM274" s="1283">
        <f t="shared" ca="1" si="471"/>
        <v>0</v>
      </c>
      <c r="BN274" s="386">
        <f t="shared" ca="1" si="472"/>
        <v>0</v>
      </c>
      <c r="BO274" s="387">
        <f t="shared" ca="1" si="473"/>
        <v>0</v>
      </c>
      <c r="BP274" s="1277">
        <f t="shared" ca="1" si="474"/>
        <v>0</v>
      </c>
      <c r="BQ274" s="1277">
        <f t="shared" ca="1" si="475"/>
        <v>0</v>
      </c>
      <c r="BR274" s="388">
        <f t="shared" ca="1" si="476"/>
        <v>0</v>
      </c>
      <c r="BS274" s="1025"/>
      <c r="BT274" s="1282">
        <f>+IF($K274="Ongoing",AX274,IF(RIGHT($K274,2)=RIGHT(BT$43,2),SUM($AX274:AX274),0)+IF(RIGHT(BT$43,2)&gt;RIGHT($K274,2),AX274,0))</f>
        <v>0</v>
      </c>
      <c r="BU274" s="387">
        <f>+IF($K274="Ongoing",AY274,IF(RIGHT($K274,2)=RIGHT(BU$43,2),SUM($AX274:AY274),0)+IF(RIGHT(BU$43,2)&gt;RIGHT($K274,2),AY274,0))</f>
        <v>0</v>
      </c>
      <c r="BV274" s="387">
        <f>+IF($K274="Ongoing",AZ274,IF(RIGHT($K274,2)=RIGHT(BV$43,2),SUM($AX274:AZ274),0)+IF(RIGHT(BV$43,2)&gt;RIGHT($K274,2),AZ274,0))</f>
        <v>0</v>
      </c>
      <c r="BW274" s="387">
        <f>+IF($K274="Ongoing",BA274,IF(RIGHT($K274,2)=RIGHT(BW$43,2),SUM($AX274:BA274),0)+IF(RIGHT(BW$43,2)&gt;RIGHT($K274,2),BA274,0))</f>
        <v>0</v>
      </c>
      <c r="BX274" s="1283">
        <f>+IF($K274="Ongoing",BB274,IF(RIGHT($K274,2)=RIGHT(BX$43,2),SUM($AX274:BB274),0)+IF(RIGHT(BX$43,2)&gt;RIGHT($K274,2),BB274,0))</f>
        <v>0</v>
      </c>
      <c r="BY274" s="386">
        <f>+IF($K274="Ongoing",BC274,IF(RIGHT($K274,2)=RIGHT(BY$43,2),SUM($AX274:BC274),0)+IF(RIGHT(BY$43,2)&gt;RIGHT($K274,2),BC274,0))</f>
        <v>0</v>
      </c>
      <c r="BZ274" s="387">
        <f>+IF($K274="Ongoing",BD274,IF(RIGHT($K274,2)=RIGHT(BZ$43,2),SUM($AX274:BD274),0)+IF(RIGHT(BZ$43,2)&gt;RIGHT($K274,2),BD274,0))</f>
        <v>0</v>
      </c>
      <c r="CA274" s="1277">
        <f>+IF($K274="Ongoing",BE274,IF(RIGHT($K274,2)=RIGHT(CA$43,2),SUM($AX274:BE274),0)+IF(RIGHT(CA$43,2)&gt;RIGHT($K274,2),BE274,0))</f>
        <v>0</v>
      </c>
      <c r="CB274" s="1277">
        <f>+IF($K274="Ongoing",BF274,IF(RIGHT($K274,2)=RIGHT(CB$43,2),SUM($AX274:BF274),0)+IF(RIGHT(CB$43,2)&gt;RIGHT($K274,2),BF274,0))</f>
        <v>0</v>
      </c>
      <c r="CC274" s="388">
        <f>+IF($K274="Ongoing",BG274,IF(RIGHT($K274,2)=RIGHT(CC$43,2),SUM($AX274:BG274),0)+IF(RIGHT(CC$43,2)&gt;RIGHT($K274,2),BG274,0))</f>
        <v>0</v>
      </c>
      <c r="CD274" s="1025"/>
      <c r="CE274" s="1282">
        <f>+Q274*KeyAssumptionsPriceControl_FO!AF$15</f>
        <v>0</v>
      </c>
      <c r="CF274" s="387">
        <f>+R274*KeyAssumptionsPriceControl_FO!AG$15</f>
        <v>0</v>
      </c>
      <c r="CG274" s="387">
        <f>+S274*KeyAssumptionsPriceControl_FO!AH$15</f>
        <v>0</v>
      </c>
      <c r="CH274" s="387">
        <f>+T274*KeyAssumptionsPriceControl_FO!AI$15</f>
        <v>0</v>
      </c>
      <c r="CI274" s="1283">
        <f>+U274*KeyAssumptionsPriceControl_FO!AJ$15</f>
        <v>0</v>
      </c>
      <c r="CJ274" s="386">
        <f>+V274*KeyAssumptionsPriceControl_FO!AK$15</f>
        <v>0</v>
      </c>
      <c r="CK274" s="387">
        <f>+W274*KeyAssumptionsPriceControl_FO!AL$15</f>
        <v>0</v>
      </c>
      <c r="CL274" s="1277">
        <f>+X274*KeyAssumptionsPriceControl_FO!AM$15</f>
        <v>0</v>
      </c>
      <c r="CM274" s="1277">
        <f>+Y274*KeyAssumptionsPriceControl_FO!AN$15</f>
        <v>0</v>
      </c>
      <c r="CN274" s="388">
        <f>+Z274*KeyAssumptionsPriceControl_FO!AO$15</f>
        <v>0</v>
      </c>
      <c r="CO274" s="1025"/>
      <c r="CP274" s="1282">
        <f t="shared" ca="1" si="477"/>
        <v>0</v>
      </c>
      <c r="CQ274" s="387">
        <f t="shared" ca="1" si="478"/>
        <v>0</v>
      </c>
      <c r="CR274" s="387">
        <f t="shared" ca="1" si="479"/>
        <v>0</v>
      </c>
      <c r="CS274" s="387">
        <f t="shared" ca="1" si="480"/>
        <v>0</v>
      </c>
      <c r="CT274" s="1283">
        <f t="shared" ca="1" si="481"/>
        <v>0</v>
      </c>
      <c r="CU274" s="386">
        <f t="shared" ca="1" si="482"/>
        <v>0</v>
      </c>
      <c r="CV274" s="387">
        <f t="shared" ca="1" si="483"/>
        <v>0</v>
      </c>
      <c r="CW274" s="1277">
        <f t="shared" ca="1" si="484"/>
        <v>0</v>
      </c>
      <c r="CX274" s="1277">
        <f t="shared" ca="1" si="485"/>
        <v>0</v>
      </c>
      <c r="CY274" s="388">
        <f t="shared" ca="1" si="486"/>
        <v>0</v>
      </c>
      <c r="CZ274" s="347"/>
      <c r="DA274" s="852"/>
      <c r="DB274" s="347"/>
      <c r="DC274" s="1012" t="s">
        <v>574</v>
      </c>
      <c r="DD274" s="841" t="s">
        <v>518</v>
      </c>
      <c r="DE274" s="386">
        <f>+IF($K274="ongoing",CE274,IF(RIGHT($K274,2)=RIGHT(DE$43,2),SUM($CD274:CE274),0)+IF(RIGHT(DE$43,2)&gt;RIGHT($K274,2),CE274,0))</f>
        <v>0</v>
      </c>
      <c r="DF274" s="387">
        <f>+IF($K274="ongoing",CF274,IF(RIGHT($K274,2)=RIGHT(DF$43,2),SUM($CD274:CF274),0)+IF(RIGHT(DF$43,2)&gt;RIGHT($K274,2),CF274,0))</f>
        <v>0</v>
      </c>
      <c r="DG274" s="388">
        <f>+IF($K274="ongoing",CG274,IF(RIGHT($K274,2)=RIGHT(DG$43,2),SUM($CD274:CG274),0)+IF(RIGHT(DG$43,2)&gt;RIGHT($K274,2),CG274,0))</f>
        <v>0</v>
      </c>
      <c r="DH274" s="386">
        <f>+IF($K274="ongoing",CH274,IF(RIGHT($K274,2)=RIGHT(DH$43,2),SUM($CD274:CH274),0)+IF(RIGHT(DH$43,2)&gt;RIGHT($K274,2),CH274,0))</f>
        <v>0</v>
      </c>
      <c r="DI274" s="387">
        <f>+IF($K274="ongoing",CI274,IF(RIGHT($K274,2)=RIGHT(DI$43,2),SUM($CD274:CI274),0)+IF(RIGHT(DI$43,2)&gt;RIGHT($K274,2),CI274,0))</f>
        <v>0</v>
      </c>
      <c r="DJ274" s="387">
        <f>+IF($K274="ongoing",CJ274,IF(RIGHT($K274,2)=RIGHT(DJ$43,2),SUM($CD274:CJ274),0)+IF(RIGHT(DJ$43,2)&gt;RIGHT($K274,2),CJ274,0))</f>
        <v>0</v>
      </c>
      <c r="DK274" s="387">
        <f>+IF($K274="ongoing",CK274,IF(RIGHT($K274,2)=RIGHT(DK$43,2),SUM($CD274:CK274),0)+IF(RIGHT(DK$43,2)&gt;RIGHT($K274,2),CK274,0))</f>
        <v>0</v>
      </c>
      <c r="DL274" s="388">
        <f>+IF($K274="ongoing",CN274,IF(RIGHT($K274,2)=RIGHT(DL$43,2),SUM($CD274:CN274),0)+IF(RIGHT(DL$43,2)&gt;RIGHT($K274,2),CN274,0))</f>
        <v>0</v>
      </c>
      <c r="DM274" s="841"/>
      <c r="DN274" s="386">
        <f t="shared" si="487"/>
        <v>0.5</v>
      </c>
      <c r="DO274" s="387">
        <f t="shared" si="488"/>
        <v>1</v>
      </c>
      <c r="DP274" s="388">
        <f t="shared" si="489"/>
        <v>1</v>
      </c>
      <c r="DQ274" s="386">
        <f t="shared" si="490"/>
        <v>1</v>
      </c>
      <c r="DR274" s="387">
        <f t="shared" si="491"/>
        <v>1</v>
      </c>
      <c r="DS274" s="387">
        <f t="shared" si="492"/>
        <v>1</v>
      </c>
      <c r="DT274" s="387">
        <f t="shared" si="493"/>
        <v>1</v>
      </c>
      <c r="DU274" s="388">
        <f t="shared" si="494"/>
        <v>1</v>
      </c>
      <c r="DW274" s="386">
        <f t="shared" si="495"/>
        <v>0</v>
      </c>
      <c r="DX274" s="387">
        <f t="shared" si="496"/>
        <v>0.5</v>
      </c>
      <c r="DY274" s="388">
        <f t="shared" si="497"/>
        <v>1</v>
      </c>
      <c r="DZ274" s="386">
        <f t="shared" si="498"/>
        <v>1</v>
      </c>
      <c r="EA274" s="387">
        <f t="shared" si="499"/>
        <v>1</v>
      </c>
      <c r="EB274" s="387">
        <f t="shared" si="500"/>
        <v>1</v>
      </c>
      <c r="EC274" s="387">
        <f t="shared" si="501"/>
        <v>1</v>
      </c>
      <c r="ED274" s="388">
        <f t="shared" si="502"/>
        <v>1</v>
      </c>
      <c r="EF274" s="834">
        <f>+IF(DN274=DM274,0,
IF(AND(EF$44&gt;1,DN274=$N274),1-SUM($EE274:EE274),
IF($N274&lt;=1,
IF($N274&gt;0,1/$N274,0),
IF(EF$44=1,0,VDB(1,0,$N274,INT(EF$44-1-1),MIN($N274,INT(EF$44-1-1)+1),$DC274,IF($DD274="No",1,0))/
IF(DM274&gt;=INT($N274),$N274-INT($N274),1)))*
IF(EF$44=1,0,
IF(INT(DN274)=INT(DM274),DN274-DM274,INT(DN274)-DM274))+
IF($N274&lt;=1,
IF($N274&gt;0,1/$N274,0),VDB(1,0,$N274,INT(EF$44-1),MIN($N274,INT(EF$44-1)+1),$DC274,IF($DD274="No",1,0))/
IF(DN274&gt;INT($N274),$N274-INT($N274),1))*
IF(EF$44=1,DN274,
IF(INT(DN274)=INT(DM274),0,DN274-INT(DN274)))))</f>
        <v>0</v>
      </c>
      <c r="EG274" s="835">
        <f>+IF(DO274=DN274,0,
IF(AND(EG$44&gt;1,DO274=$N274),1-SUM($EE274:EF274),
IF($N274&lt;=1,
IF($N274&gt;0,1/$N274,0),
IF(EG$44=1,0,VDB(1,0,$N274,INT(EG$44-1-1),MIN($N274,INT(EG$44-1-1)+1),$DC274,IF($DD274="No",1,0))/
IF(DN274&gt;=INT($N274),$N274-INT($N274),1)))*
IF(EG$44=1,0,
IF(INT(DO274)=INT(DN274),DO274-DN274,INT(DO274)-DN274))+
IF($N274&lt;=1,
IF($N274&gt;0,1/$N274,0),VDB(1,0,$N274,INT(EG$44-1),MIN($N274,INT(EG$44-1)+1),$DC274,IF($DD274="No",1,0))/
IF(DO274&gt;INT($N274),$N274-INT($N274),1))*
IF(EG$44=1,DO274,
IF(INT(DO274)=INT(DN274),0,DO274-INT(DO274)))))</f>
        <v>0</v>
      </c>
      <c r="EH274" s="836">
        <f>+IF(DP274=DO274,0,
IF(AND(EH$44&gt;1,DP274=$N274),1-SUM($EE274:EG274),
IF($N274&lt;=1,
IF($N274&gt;0,1/$N274,0),
IF(EH$44=1,0,VDB(1,0,$N274,INT(EH$44-1-1),MIN($N274,INT(EH$44-1-1)+1),$DC274,IF($DD274="No",1,0))/
IF(DO274&gt;=INT($N274),$N274-INT($N274),1)))*
IF(EH$44=1,0,
IF(INT(DP274)=INT(DO274),DP274-DO274,INT(DP274)-DO274))+
IF($N274&lt;=1,
IF($N274&gt;0,1/$N274,0),VDB(1,0,$N274,INT(EH$44-1),MIN($N274,INT(EH$44-1)+1),$DC274,IF($DD274="No",1,0))/
IF(DP274&gt;INT($N274),$N274-INT($N274),1))*
IF(EH$44=1,DP274,
IF(INT(DP274)=INT(DO274),0,DP274-INT(DP274)))))</f>
        <v>0</v>
      </c>
      <c r="EI274" s="834">
        <f>+IF(DQ274=DP274,0,
IF(AND(EI$44&gt;1,DQ274=$N274),1-SUM($EE274:EH274),
IF($N274&lt;=1,
IF($N274&gt;0,1/$N274,0),
IF(EI$44=1,0,VDB(1,0,$N274,INT(EI$44-1-1),MIN($N274,INT(EI$44-1-1)+1),$DC274,IF($DD274="No",1,0))/
IF(DP274&gt;=INT($N274),$N274-INT($N274),1)))*
IF(EI$44=1,0,
IF(INT(DQ274)=INT(DP274),DQ274-DP274,INT(DQ274)-DP274))+
IF($N274&lt;=1,
IF($N274&gt;0,1/$N274,0),VDB(1,0,$N274,INT(EI$44-1),MIN($N274,INT(EI$44-1)+1),$DC274,IF($DD274="No",1,0))/
IF(DQ274&gt;INT($N274),$N274-INT($N274),1))*
IF(EI$44=1,DQ274,
IF(INT(DQ274)=INT(DP274),0,DQ274-INT(DQ274)))))</f>
        <v>0</v>
      </c>
      <c r="EJ274" s="835">
        <f>+IF(DR274=DQ274,0,
IF(AND(EJ$44&gt;1,DR274=$N274),1-SUM($EE274:EI274),
IF($N274&lt;=1,
IF($N274&gt;0,1/$N274,0),
IF(EJ$44=1,0,VDB(1,0,$N274,INT(EJ$44-1-1),MIN($N274,INT(EJ$44-1-1)+1),$DC274,IF($DD274="No",1,0))/
IF(DQ274&gt;=INT($N274),$N274-INT($N274),1)))*
IF(EJ$44=1,0,
IF(INT(DR274)=INT(DQ274),DR274-DQ274,INT(DR274)-DQ274))+
IF($N274&lt;=1,
IF($N274&gt;0,1/$N274,0),VDB(1,0,$N274,INT(EJ$44-1),MIN($N274,INT(EJ$44-1)+1),$DC274,IF($DD274="No",1,0))/
IF(DR274&gt;INT($N274),$N274-INT($N274),1))*
IF(EJ$44=1,DR274,
IF(INT(DR274)=INT(DQ274),0,DR274-INT(DR274)))))</f>
        <v>0</v>
      </c>
      <c r="EK274" s="835">
        <f>+IF(DS274=DR274,0,
IF(AND(EK$44&gt;1,DS274=$N274),1-SUM($EE274:EJ274),
IF($N274&lt;=1,
IF($N274&gt;0,1/$N274,0),
IF(EK$44=1,0,VDB(1,0,$N274,INT(EK$44-1-1),MIN($N274,INT(EK$44-1-1)+1),$DC274,IF($DD274="No",1,0))/
IF(DR274&gt;=INT($N274),$N274-INT($N274),1)))*
IF(EK$44=1,0,
IF(INT(DS274)=INT(DR274),DS274-DR274,INT(DS274)-DR274))+
IF($N274&lt;=1,
IF($N274&gt;0,1/$N274,0),VDB(1,0,$N274,INT(EK$44-1),MIN($N274,INT(EK$44-1)+1),$DC274,IF($DD274="No",1,0))/
IF(DS274&gt;INT($N274),$N274-INT($N274),1))*
IF(EK$44=1,DS274,
IF(INT(DS274)=INT(DR274),0,DS274-INT(DS274)))))</f>
        <v>0</v>
      </c>
      <c r="EL274" s="835">
        <f>+IF(DT274=DS274,0,
IF(AND(EL$44&gt;1,DT274=$N274),1-SUM($EE274:EK274),
IF($N274&lt;=1,
IF($N274&gt;0,1/$N274,0),
IF(EL$44=1,0,VDB(1,0,$N274,INT(EL$44-1-1),MIN($N274,INT(EL$44-1-1)+1),$DC274,IF($DD274="No",1,0))/
IF(DS274&gt;=INT($N274),$N274-INT($N274),1)))*
IF(EL$44=1,0,
IF(INT(DT274)=INT(DS274),DT274-DS274,INT(DT274)-DS274))+
IF($N274&lt;=1,
IF($N274&gt;0,1/$N274,0),VDB(1,0,$N274,INT(EL$44-1),MIN($N274,INT(EL$44-1)+1),$DC274,IF($DD274="No",1,0))/
IF(DT274&gt;INT($N274),$N274-INT($N274),1))*
IF(EL$44=1,DT274,
IF(INT(DT274)=INT(DS274),0,DT274-INT(DT274)))))</f>
        <v>0</v>
      </c>
      <c r="EM274" s="836">
        <f>+IF(DU274=DT274,0,
IF(AND(EM$44&gt;1,DU274=$N274),1-SUM($EE274:EL274),
IF($N274&lt;=1,
IF($N274&gt;0,1/$N274,0),
IF(EM$44=1,0,VDB(1,0,$N274,INT(EM$44-1-1),MIN($N274,INT(EM$44-1-1)+1),$DC274,IF($DD274="No",1,0))/
IF(DT274&gt;=INT($N274),$N274-INT($N274),1)))*
IF(EM$44=1,0,
IF(INT(DU274)=INT(DT274),DU274-DT274,INT(DU274)-DT274))+
IF($N274&lt;=1,
IF($N274&gt;0,1/$N274,0),VDB(1,0,$N274,INT(EM$44-1),MIN($N274,INT(EM$44-1)+1),$DC274,IF($DD274="No",1,0))/
IF(DU274&gt;INT($N274),$N274-INT($N274),1))*
IF(EM$44=1,DU274,
IF(INT(DU274)=INT(DT274),0,DU274-INT(DU274)))))</f>
        <v>0</v>
      </c>
      <c r="EN274" s="833"/>
      <c r="EO274" s="834">
        <f>+IF(OR(DW274=DV274,EO$44=1),0,
IF(AND(EO$44&gt;1,DW274=$N274),1-SUM($EN274:EN274),
IF($N274&lt;=1,
IF($N274&gt;0,1/$N274,0),
IF(EO$44=2,0,VDB(1,0,$N274,INT(EO$44-2-1),MIN($N274,INT(EO$44-2-1)+1),$DC274,IF($DD274="No",1,0))/
IF(DV274&gt;=INT($N274),$N274-INT($N274),1)))*
IF(EO$44=2,0,
IF(INT(DW274)=INT(DV274),DW274-DV274,INT(DW274)-DV274))+
IF($N274&lt;=1,
IF($N274&gt;0,1/$N274,0),VDB(1,0,$N274,INT(EO$44-2),MIN($N274,INT(EO$44-2)+1),$DC274,IF($DD274="No",1,0))/
IF(DW274&gt;INT($N274),$N274-INT($N274),1))*
IF(EO$44=2,DW274,
IF(INT(DW274)=INT(DV274),0,DW274-INT(DW274)))))</f>
        <v>0</v>
      </c>
      <c r="EP274" s="835">
        <f>+IF(OR(DX274=DW274,EP$44=1),0,
IF(AND(EP$44&gt;1,DX274=$N274),1-SUM($EN274:EO274),
IF($N274&lt;=1,
IF($N274&gt;0,1/$N274,0),
IF(EP$44=2,0,VDB(1,0,$N274,INT(EP$44-2-1),MIN($N274,INT(EP$44-2-1)+1),$DC274,IF($DD274="No",1,0))/
IF(DW274&gt;=INT($N274),$N274-INT($N274),1)))*
IF(EP$44=2,0,
IF(INT(DX274)=INT(DW274),DX274-DW274,INT(DX274)-DW274))+
IF($N274&lt;=1,
IF($N274&gt;0,1/$N274,0),VDB(1,0,$N274,INT(EP$44-2),MIN($N274,INT(EP$44-2)+1),$DC274,IF($DD274="No",1,0))/
IF(DX274&gt;INT($N274),$N274-INT($N274),1))*
IF(EP$44=2,DX274,
IF(INT(DX274)=INT(DW274),0,DX274-INT(DX274)))))</f>
        <v>0</v>
      </c>
      <c r="EQ274" s="836">
        <f>+IF(OR(DY274=DX274,EQ$44=1),0,
IF(AND(EQ$44&gt;1,DY274=$N274),1-SUM($EN274:EP274),
IF($N274&lt;=1,
IF($N274&gt;0,1/$N274,0),
IF(EQ$44=2,0,VDB(1,0,$N274,INT(EQ$44-2-1),MIN($N274,INT(EQ$44-2-1)+1),$DC274,IF($DD274="No",1,0))/
IF(DX274&gt;=INT($N274),$N274-INT($N274),1)))*
IF(EQ$44=2,0,
IF(INT(DY274)=INT(DX274),DY274-DX274,INT(DY274)-DX274))+
IF($N274&lt;=1,
IF($N274&gt;0,1/$N274,0),VDB(1,0,$N274,INT(EQ$44-2),MIN($N274,INT(EQ$44-2)+1),$DC274,IF($DD274="No",1,0))/
IF(DY274&gt;INT($N274),$N274-INT($N274),1))*
IF(EQ$44=2,DY274,
IF(INT(DY274)=INT(DX274),0,DY274-INT(DY274)))))</f>
        <v>0</v>
      </c>
      <c r="ER274" s="834">
        <f>+IF(OR(DZ274=DY274,ER$44=1),0,
IF(AND(ER$44&gt;1,DZ274=$N274),1-SUM($EN274:EQ274),
IF($N274&lt;=1,
IF($N274&gt;0,1/$N274,0),
IF(ER$44=2,0,VDB(1,0,$N274,INT(ER$44-2-1),MIN($N274,INT(ER$44-2-1)+1),$DC274,IF($DD274="No",1,0))/
IF(DY274&gt;=INT($N274),$N274-INT($N274),1)))*
IF(ER$44=2,0,
IF(INT(DZ274)=INT(DY274),DZ274-DY274,INT(DZ274)-DY274))+
IF($N274&lt;=1,
IF($N274&gt;0,1/$N274,0),VDB(1,0,$N274,INT(ER$44-2),MIN($N274,INT(ER$44-2)+1),$DC274,IF($DD274="No",1,0))/
IF(DZ274&gt;INT($N274),$N274-INT($N274),1))*
IF(ER$44=2,DZ274,
IF(INT(DZ274)=INT(DY274),0,DZ274-INT(DZ274)))))</f>
        <v>0</v>
      </c>
      <c r="ES274" s="835">
        <f>+IF(OR(EA274=DZ274,ES$44=1),0,
IF(AND(ES$44&gt;1,EA274=$N274),1-SUM($EN274:ER274),
IF($N274&lt;=1,
IF($N274&gt;0,1/$N274,0),
IF(ES$44=2,0,VDB(1,0,$N274,INT(ES$44-2-1),MIN($N274,INT(ES$44-2-1)+1),$DC274,IF($DD274="No",1,0))/
IF(DZ274&gt;=INT($N274),$N274-INT($N274),1)))*
IF(ES$44=2,0,
IF(INT(EA274)=INT(DZ274),EA274-DZ274,INT(EA274)-DZ274))+
IF($N274&lt;=1,
IF($N274&gt;0,1/$N274,0),VDB(1,0,$N274,INT(ES$44-2),MIN($N274,INT(ES$44-2)+1),$DC274,IF($DD274="No",1,0))/
IF(EA274&gt;INT($N274),$N274-INT($N274),1))*
IF(ES$44=2,EA274,
IF(INT(EA274)=INT(DZ274),0,EA274-INT(EA274)))))</f>
        <v>0</v>
      </c>
      <c r="ET274" s="835">
        <f>+IF(OR(EB274=EA274,ET$44=1),0,
IF(AND(ET$44&gt;1,EB274=$N274),1-SUM($EN274:ES274),
IF($N274&lt;=1,
IF($N274&gt;0,1/$N274,0),
IF(ET$44=2,0,VDB(1,0,$N274,INT(ET$44-2-1),MIN($N274,INT(ET$44-2-1)+1),$DC274,IF($DD274="No",1,0))/
IF(EA274&gt;=INT($N274),$N274-INT($N274),1)))*
IF(ET$44=2,0,
IF(INT(EB274)=INT(EA274),EB274-EA274,INT(EB274)-EA274))+
IF($N274&lt;=1,
IF($N274&gt;0,1/$N274,0),VDB(1,0,$N274,INT(ET$44-2),MIN($N274,INT(ET$44-2)+1),$DC274,IF($DD274="No",1,0))/
IF(EB274&gt;INT($N274),$N274-INT($N274),1))*
IF(ET$44=2,EB274,
IF(INT(EB274)=INT(EA274),0,EB274-INT(EB274)))))</f>
        <v>0</v>
      </c>
      <c r="EU274" s="835">
        <f>+IF(OR(EC274=EB274,EU$44=1),0,
IF(AND(EU$44&gt;1,EC274=$N274),1-SUM($EN274:ET274),
IF($N274&lt;=1,
IF($N274&gt;0,1/$N274,0),
IF(EU$44=2,0,VDB(1,0,$N274,INT(EU$44-2-1),MIN($N274,INT(EU$44-2-1)+1),$DC274,IF($DD274="No",1,0))/
IF(EB274&gt;=INT($N274),$N274-INT($N274),1)))*
IF(EU$44=2,0,
IF(INT(EC274)=INT(EB274),EC274-EB274,INT(EC274)-EB274))+
IF($N274&lt;=1,
IF($N274&gt;0,1/$N274,0),VDB(1,0,$N274,INT(EU$44-2),MIN($N274,INT(EU$44-2)+1),$DC274,IF($DD274="No",1,0))/
IF(EC274&gt;INT($N274),$N274-INT($N274),1))*
IF(EU$44=2,EC274,
IF(INT(EC274)=INT(EB274),0,EC274-INT(EC274)))))</f>
        <v>0</v>
      </c>
      <c r="EV274" s="836">
        <f>+IF(OR(ED274=EC274,EV$44=1),0,
IF(AND(EV$44&gt;1,ED274=$N274),1-SUM($EN274:EU274),
IF($N274&lt;=1,
IF($N274&gt;0,1/$N274,0),
IF(EV$44=2,0,VDB(1,0,$N274,INT(EV$44-2-1),MIN($N274,INT(EV$44-2-1)+1),$DC274,IF($DD274="No",1,0))/
IF(EC274&gt;=INT($N274),$N274-INT($N274),1)))*
IF(EV$44=2,0,
IF(INT(ED274)=INT(EC274),ED274-EC274,INT(ED274)-EC274))+
IF($N274&lt;=1,
IF($N274&gt;0,1/$N274,0),VDB(1,0,$N274,INT(EV$44-2),MIN($N274,INT(EV$44-2)+1),$DC274,IF($DD274="No",1,0))/
IF(ED274&gt;INT($N274),$N274-INT($N274),1))*
IF(EV$44=2,ED274,
IF(INT(ED274)=INT(EC274),0,ED274-INT(ED274)))))</f>
        <v>0</v>
      </c>
      <c r="EW274" s="833"/>
      <c r="EX274" s="834">
        <f t="shared" ca="1" si="503"/>
        <v>0</v>
      </c>
      <c r="EY274" s="835">
        <f t="shared" ca="1" si="503"/>
        <v>0</v>
      </c>
      <c r="EZ274" s="836">
        <f t="shared" ca="1" si="503"/>
        <v>0</v>
      </c>
      <c r="FA274" s="834">
        <f t="shared" ca="1" si="503"/>
        <v>0</v>
      </c>
      <c r="FB274" s="835">
        <f t="shared" ca="1" si="503"/>
        <v>0</v>
      </c>
      <c r="FC274" s="835">
        <f t="shared" ca="1" si="503"/>
        <v>0</v>
      </c>
      <c r="FD274" s="835">
        <f t="shared" ca="1" si="503"/>
        <v>0</v>
      </c>
      <c r="FE274" s="836">
        <f t="shared" ca="1" si="503"/>
        <v>0</v>
      </c>
      <c r="FG274" s="386">
        <f t="shared" ca="1" si="504"/>
        <v>0</v>
      </c>
      <c r="FH274" s="387">
        <f t="shared" ca="1" si="505"/>
        <v>0</v>
      </c>
      <c r="FI274" s="388">
        <f t="shared" ca="1" si="506"/>
        <v>0</v>
      </c>
      <c r="FJ274" s="386">
        <f t="shared" ca="1" si="507"/>
        <v>0</v>
      </c>
      <c r="FK274" s="387">
        <f t="shared" ca="1" si="508"/>
        <v>0</v>
      </c>
      <c r="FL274" s="387">
        <f t="shared" ca="1" si="509"/>
        <v>0</v>
      </c>
      <c r="FM274" s="387">
        <f t="shared" ca="1" si="510"/>
        <v>0</v>
      </c>
      <c r="FN274" s="388">
        <f t="shared" ca="1" si="511"/>
        <v>0</v>
      </c>
      <c r="FR274" s="116"/>
    </row>
    <row r="275" spans="2:174">
      <c r="B275" s="1410">
        <f t="shared" si="512"/>
        <v>229</v>
      </c>
      <c r="C275" s="400"/>
      <c r="D275" s="410"/>
      <c r="E275" s="402"/>
      <c r="F275" s="402"/>
      <c r="G275" s="400"/>
      <c r="H275" s="2088"/>
      <c r="I275" s="2089"/>
      <c r="J275" s="411"/>
      <c r="K275" s="403"/>
      <c r="L275" s="403"/>
      <c r="M275" s="403"/>
      <c r="N275" s="403"/>
      <c r="O275" s="347"/>
      <c r="P275" s="347"/>
      <c r="Q275" s="1021"/>
      <c r="R275" s="1022"/>
      <c r="S275" s="1022"/>
      <c r="T275" s="1022"/>
      <c r="U275" s="1023"/>
      <c r="V275" s="1021"/>
      <c r="W275" s="1022"/>
      <c r="X275" s="1022"/>
      <c r="Y275" s="1022"/>
      <c r="Z275" s="1023"/>
      <c r="AA275" s="1024"/>
      <c r="AB275" s="1021"/>
      <c r="AC275" s="1022"/>
      <c r="AD275" s="1022"/>
      <c r="AE275" s="1022"/>
      <c r="AF275" s="1023"/>
      <c r="AG275" s="1021"/>
      <c r="AH275" s="1022"/>
      <c r="AI275" s="1022"/>
      <c r="AJ275" s="1022"/>
      <c r="AK275" s="1023"/>
      <c r="AL275" s="1024"/>
      <c r="AM275" s="1021"/>
      <c r="AN275" s="1022"/>
      <c r="AO275" s="1022"/>
      <c r="AP275" s="1022"/>
      <c r="AQ275" s="1023"/>
      <c r="AR275" s="1021"/>
      <c r="AS275" s="1022"/>
      <c r="AT275" s="1022"/>
      <c r="AU275" s="1022"/>
      <c r="AV275" s="1023"/>
      <c r="AW275" s="1025"/>
      <c r="AX275" s="1282">
        <f t="shared" si="457"/>
        <v>0</v>
      </c>
      <c r="AY275" s="387">
        <f t="shared" si="458"/>
        <v>0</v>
      </c>
      <c r="AZ275" s="387">
        <f t="shared" si="459"/>
        <v>0</v>
      </c>
      <c r="BA275" s="387">
        <f t="shared" si="460"/>
        <v>0</v>
      </c>
      <c r="BB275" s="1283">
        <f t="shared" si="461"/>
        <v>0</v>
      </c>
      <c r="BC275" s="386">
        <f t="shared" si="462"/>
        <v>0</v>
      </c>
      <c r="BD275" s="387">
        <f t="shared" si="463"/>
        <v>0</v>
      </c>
      <c r="BE275" s="1277">
        <f t="shared" si="464"/>
        <v>0</v>
      </c>
      <c r="BF275" s="1277">
        <f t="shared" si="465"/>
        <v>0</v>
      </c>
      <c r="BG275" s="388">
        <f t="shared" si="466"/>
        <v>0</v>
      </c>
      <c r="BH275" s="1025"/>
      <c r="BI275" s="1282">
        <f t="shared" ca="1" si="467"/>
        <v>0</v>
      </c>
      <c r="BJ275" s="387">
        <f t="shared" ca="1" si="468"/>
        <v>0</v>
      </c>
      <c r="BK275" s="387">
        <f t="shared" ca="1" si="469"/>
        <v>0</v>
      </c>
      <c r="BL275" s="387">
        <f t="shared" ca="1" si="470"/>
        <v>0</v>
      </c>
      <c r="BM275" s="1283">
        <f t="shared" ca="1" si="471"/>
        <v>0</v>
      </c>
      <c r="BN275" s="386">
        <f t="shared" ca="1" si="472"/>
        <v>0</v>
      </c>
      <c r="BO275" s="387">
        <f t="shared" ca="1" si="473"/>
        <v>0</v>
      </c>
      <c r="BP275" s="1277">
        <f t="shared" ca="1" si="474"/>
        <v>0</v>
      </c>
      <c r="BQ275" s="1277">
        <f t="shared" ca="1" si="475"/>
        <v>0</v>
      </c>
      <c r="BR275" s="388">
        <f t="shared" ca="1" si="476"/>
        <v>0</v>
      </c>
      <c r="BS275" s="1025"/>
      <c r="BT275" s="1282">
        <f>+IF($K275="Ongoing",AX275,IF(RIGHT($K275,2)=RIGHT(BT$43,2),SUM($AX275:AX275),0)+IF(RIGHT(BT$43,2)&gt;RIGHT($K275,2),AX275,0))</f>
        <v>0</v>
      </c>
      <c r="BU275" s="387">
        <f>+IF($K275="Ongoing",AY275,IF(RIGHT($K275,2)=RIGHT(BU$43,2),SUM($AX275:AY275),0)+IF(RIGHT(BU$43,2)&gt;RIGHT($K275,2),AY275,0))</f>
        <v>0</v>
      </c>
      <c r="BV275" s="387">
        <f>+IF($K275="Ongoing",AZ275,IF(RIGHT($K275,2)=RIGHT(BV$43,2),SUM($AX275:AZ275),0)+IF(RIGHT(BV$43,2)&gt;RIGHT($K275,2),AZ275,0))</f>
        <v>0</v>
      </c>
      <c r="BW275" s="387">
        <f>+IF($K275="Ongoing",BA275,IF(RIGHT($K275,2)=RIGHT(BW$43,2),SUM($AX275:BA275),0)+IF(RIGHT(BW$43,2)&gt;RIGHT($K275,2),BA275,0))</f>
        <v>0</v>
      </c>
      <c r="BX275" s="1283">
        <f>+IF($K275="Ongoing",BB275,IF(RIGHT($K275,2)=RIGHT(BX$43,2),SUM($AX275:BB275),0)+IF(RIGHT(BX$43,2)&gt;RIGHT($K275,2),BB275,0))</f>
        <v>0</v>
      </c>
      <c r="BY275" s="386">
        <f>+IF($K275="Ongoing",BC275,IF(RIGHT($K275,2)=RIGHT(BY$43,2),SUM($AX275:BC275),0)+IF(RIGHT(BY$43,2)&gt;RIGHT($K275,2),BC275,0))</f>
        <v>0</v>
      </c>
      <c r="BZ275" s="387">
        <f>+IF($K275="Ongoing",BD275,IF(RIGHT($K275,2)=RIGHT(BZ$43,2),SUM($AX275:BD275),0)+IF(RIGHT(BZ$43,2)&gt;RIGHT($K275,2),BD275,0))</f>
        <v>0</v>
      </c>
      <c r="CA275" s="1277">
        <f>+IF($K275="Ongoing",BE275,IF(RIGHT($K275,2)=RIGHT(CA$43,2),SUM($AX275:BE275),0)+IF(RIGHT(CA$43,2)&gt;RIGHT($K275,2),BE275,0))</f>
        <v>0</v>
      </c>
      <c r="CB275" s="1277">
        <f>+IF($K275="Ongoing",BF275,IF(RIGHT($K275,2)=RIGHT(CB$43,2),SUM($AX275:BF275),0)+IF(RIGHT(CB$43,2)&gt;RIGHT($K275,2),BF275,0))</f>
        <v>0</v>
      </c>
      <c r="CC275" s="388">
        <f>+IF($K275="Ongoing",BG275,IF(RIGHT($K275,2)=RIGHT(CC$43,2),SUM($AX275:BG275),0)+IF(RIGHT(CC$43,2)&gt;RIGHT($K275,2),BG275,0))</f>
        <v>0</v>
      </c>
      <c r="CD275" s="1025"/>
      <c r="CE275" s="1282">
        <f>+Q275*KeyAssumptionsPriceControl_FO!AF$15</f>
        <v>0</v>
      </c>
      <c r="CF275" s="387">
        <f>+R275*KeyAssumptionsPriceControl_FO!AG$15</f>
        <v>0</v>
      </c>
      <c r="CG275" s="387">
        <f>+S275*KeyAssumptionsPriceControl_FO!AH$15</f>
        <v>0</v>
      </c>
      <c r="CH275" s="387">
        <f>+T275*KeyAssumptionsPriceControl_FO!AI$15</f>
        <v>0</v>
      </c>
      <c r="CI275" s="1283">
        <f>+U275*KeyAssumptionsPriceControl_FO!AJ$15</f>
        <v>0</v>
      </c>
      <c r="CJ275" s="386">
        <f>+V275*KeyAssumptionsPriceControl_FO!AK$15</f>
        <v>0</v>
      </c>
      <c r="CK275" s="387">
        <f>+W275*KeyAssumptionsPriceControl_FO!AL$15</f>
        <v>0</v>
      </c>
      <c r="CL275" s="1277">
        <f>+X275*KeyAssumptionsPriceControl_FO!AM$15</f>
        <v>0</v>
      </c>
      <c r="CM275" s="1277">
        <f>+Y275*KeyAssumptionsPriceControl_FO!AN$15</f>
        <v>0</v>
      </c>
      <c r="CN275" s="388">
        <f>+Z275*KeyAssumptionsPriceControl_FO!AO$15</f>
        <v>0</v>
      </c>
      <c r="CO275" s="1025"/>
      <c r="CP275" s="1282">
        <f t="shared" ca="1" si="477"/>
        <v>0</v>
      </c>
      <c r="CQ275" s="387">
        <f t="shared" ca="1" si="478"/>
        <v>0</v>
      </c>
      <c r="CR275" s="387">
        <f t="shared" ca="1" si="479"/>
        <v>0</v>
      </c>
      <c r="CS275" s="387">
        <f t="shared" ca="1" si="480"/>
        <v>0</v>
      </c>
      <c r="CT275" s="1283">
        <f t="shared" ca="1" si="481"/>
        <v>0</v>
      </c>
      <c r="CU275" s="386">
        <f t="shared" ca="1" si="482"/>
        <v>0</v>
      </c>
      <c r="CV275" s="387">
        <f t="shared" ca="1" si="483"/>
        <v>0</v>
      </c>
      <c r="CW275" s="1277">
        <f t="shared" ca="1" si="484"/>
        <v>0</v>
      </c>
      <c r="CX275" s="1277">
        <f t="shared" ca="1" si="485"/>
        <v>0</v>
      </c>
      <c r="CY275" s="388">
        <f t="shared" ca="1" si="486"/>
        <v>0</v>
      </c>
      <c r="CZ275" s="347"/>
      <c r="DA275" s="852"/>
      <c r="DB275" s="347"/>
      <c r="DC275" s="1012" t="s">
        <v>576</v>
      </c>
      <c r="DD275" s="841" t="s">
        <v>518</v>
      </c>
      <c r="DE275" s="386">
        <f>+IF($K275="ongoing",CE275,IF(RIGHT($K275,2)=RIGHT(DE$43,2),SUM($CD275:CE275),0)+IF(RIGHT(DE$43,2)&gt;RIGHT($K275,2),CE275,0))</f>
        <v>0</v>
      </c>
      <c r="DF275" s="387">
        <f>+IF($K275="ongoing",CF275,IF(RIGHT($K275,2)=RIGHT(DF$43,2),SUM($CD275:CF275),0)+IF(RIGHT(DF$43,2)&gt;RIGHT($K275,2),CF275,0))</f>
        <v>0</v>
      </c>
      <c r="DG275" s="388">
        <f>+IF($K275="ongoing",CG275,IF(RIGHT($K275,2)=RIGHT(DG$43,2),SUM($CD275:CG275),0)+IF(RIGHT(DG$43,2)&gt;RIGHT($K275,2),CG275,0))</f>
        <v>0</v>
      </c>
      <c r="DH275" s="386">
        <f>+IF($K275="ongoing",CH275,IF(RIGHT($K275,2)=RIGHT(DH$43,2),SUM($CD275:CH275),0)+IF(RIGHT(DH$43,2)&gt;RIGHT($K275,2),CH275,0))</f>
        <v>0</v>
      </c>
      <c r="DI275" s="387">
        <f>+IF($K275="ongoing",CI275,IF(RIGHT($K275,2)=RIGHT(DI$43,2),SUM($CD275:CI275),0)+IF(RIGHT(DI$43,2)&gt;RIGHT($K275,2),CI275,0))</f>
        <v>0</v>
      </c>
      <c r="DJ275" s="387">
        <f>+IF($K275="ongoing",CJ275,IF(RIGHT($K275,2)=RIGHT(DJ$43,2),SUM($CD275:CJ275),0)+IF(RIGHT(DJ$43,2)&gt;RIGHT($K275,2),CJ275,0))</f>
        <v>0</v>
      </c>
      <c r="DK275" s="387">
        <f>+IF($K275="ongoing",CK275,IF(RIGHT($K275,2)=RIGHT(DK$43,2),SUM($CD275:CK275),0)+IF(RIGHT(DK$43,2)&gt;RIGHT($K275,2),CK275,0))</f>
        <v>0</v>
      </c>
      <c r="DL275" s="388">
        <f>+IF($K275="ongoing",CN275,IF(RIGHT($K275,2)=RIGHT(DL$43,2),SUM($CD275:CN275),0)+IF(RIGHT(DL$43,2)&gt;RIGHT($K275,2),CN275,0))</f>
        <v>0</v>
      </c>
      <c r="DM275" s="841"/>
      <c r="DN275" s="386">
        <f t="shared" si="487"/>
        <v>0.5</v>
      </c>
      <c r="DO275" s="387">
        <f t="shared" si="488"/>
        <v>1</v>
      </c>
      <c r="DP275" s="388">
        <f t="shared" si="489"/>
        <v>1</v>
      </c>
      <c r="DQ275" s="386">
        <f t="shared" si="490"/>
        <v>1</v>
      </c>
      <c r="DR275" s="387">
        <f t="shared" si="491"/>
        <v>1</v>
      </c>
      <c r="DS275" s="387">
        <f t="shared" si="492"/>
        <v>1</v>
      </c>
      <c r="DT275" s="387">
        <f t="shared" si="493"/>
        <v>1</v>
      </c>
      <c r="DU275" s="388">
        <f t="shared" si="494"/>
        <v>1</v>
      </c>
      <c r="DW275" s="386">
        <f t="shared" si="495"/>
        <v>0</v>
      </c>
      <c r="DX275" s="387">
        <f t="shared" si="496"/>
        <v>0.5</v>
      </c>
      <c r="DY275" s="388">
        <f t="shared" si="497"/>
        <v>1</v>
      </c>
      <c r="DZ275" s="386">
        <f t="shared" si="498"/>
        <v>1</v>
      </c>
      <c r="EA275" s="387">
        <f t="shared" si="499"/>
        <v>1</v>
      </c>
      <c r="EB275" s="387">
        <f t="shared" si="500"/>
        <v>1</v>
      </c>
      <c r="EC275" s="387">
        <f t="shared" si="501"/>
        <v>1</v>
      </c>
      <c r="ED275" s="388">
        <f t="shared" si="502"/>
        <v>1</v>
      </c>
      <c r="EF275" s="834">
        <f>+IF(DN275=DM275,0,
IF(AND(EF$44&gt;1,DN275=$N275),1-SUM($EE275:EE275),
IF($N275&lt;=1,
IF($N275&gt;0,1/$N275,0),
IF(EF$44=1,0,VDB(1,0,$N275,INT(EF$44-1-1),MIN($N275,INT(EF$44-1-1)+1),$DC275,IF($DD275="No",1,0))/
IF(DM275&gt;=INT($N275),$N275-INT($N275),1)))*
IF(EF$44=1,0,
IF(INT(DN275)=INT(DM275),DN275-DM275,INT(DN275)-DM275))+
IF($N275&lt;=1,
IF($N275&gt;0,1/$N275,0),VDB(1,0,$N275,INT(EF$44-1),MIN($N275,INT(EF$44-1)+1),$DC275,IF($DD275="No",1,0))/
IF(DN275&gt;INT($N275),$N275-INT($N275),1))*
IF(EF$44=1,DN275,
IF(INT(DN275)=INT(DM275),0,DN275-INT(DN275)))))</f>
        <v>0</v>
      </c>
      <c r="EG275" s="835">
        <f>+IF(DO275=DN275,0,
IF(AND(EG$44&gt;1,DO275=$N275),1-SUM($EE275:EF275),
IF($N275&lt;=1,
IF($N275&gt;0,1/$N275,0),
IF(EG$44=1,0,VDB(1,0,$N275,INT(EG$44-1-1),MIN($N275,INT(EG$44-1-1)+1),$DC275,IF($DD275="No",1,0))/
IF(DN275&gt;=INT($N275),$N275-INT($N275),1)))*
IF(EG$44=1,0,
IF(INT(DO275)=INT(DN275),DO275-DN275,INT(DO275)-DN275))+
IF($N275&lt;=1,
IF($N275&gt;0,1/$N275,0),VDB(1,0,$N275,INT(EG$44-1),MIN($N275,INT(EG$44-1)+1),$DC275,IF($DD275="No",1,0))/
IF(DO275&gt;INT($N275),$N275-INT($N275),1))*
IF(EG$44=1,DO275,
IF(INT(DO275)=INT(DN275),0,DO275-INT(DO275)))))</f>
        <v>0</v>
      </c>
      <c r="EH275" s="836">
        <f>+IF(DP275=DO275,0,
IF(AND(EH$44&gt;1,DP275=$N275),1-SUM($EE275:EG275),
IF($N275&lt;=1,
IF($N275&gt;0,1/$N275,0),
IF(EH$44=1,0,VDB(1,0,$N275,INT(EH$44-1-1),MIN($N275,INT(EH$44-1-1)+1),$DC275,IF($DD275="No",1,0))/
IF(DO275&gt;=INT($N275),$N275-INT($N275),1)))*
IF(EH$44=1,0,
IF(INT(DP275)=INT(DO275),DP275-DO275,INT(DP275)-DO275))+
IF($N275&lt;=1,
IF($N275&gt;0,1/$N275,0),VDB(1,0,$N275,INT(EH$44-1),MIN($N275,INT(EH$44-1)+1),$DC275,IF($DD275="No",1,0))/
IF(DP275&gt;INT($N275),$N275-INT($N275),1))*
IF(EH$44=1,DP275,
IF(INT(DP275)=INT(DO275),0,DP275-INT(DP275)))))</f>
        <v>0</v>
      </c>
      <c r="EI275" s="834">
        <f>+IF(DQ275=DP275,0,
IF(AND(EI$44&gt;1,DQ275=$N275),1-SUM($EE275:EH275),
IF($N275&lt;=1,
IF($N275&gt;0,1/$N275,0),
IF(EI$44=1,0,VDB(1,0,$N275,INT(EI$44-1-1),MIN($N275,INT(EI$44-1-1)+1),$DC275,IF($DD275="No",1,0))/
IF(DP275&gt;=INT($N275),$N275-INT($N275),1)))*
IF(EI$44=1,0,
IF(INT(DQ275)=INT(DP275),DQ275-DP275,INT(DQ275)-DP275))+
IF($N275&lt;=1,
IF($N275&gt;0,1/$N275,0),VDB(1,0,$N275,INT(EI$44-1),MIN($N275,INT(EI$44-1)+1),$DC275,IF($DD275="No",1,0))/
IF(DQ275&gt;INT($N275),$N275-INT($N275),1))*
IF(EI$44=1,DQ275,
IF(INT(DQ275)=INT(DP275),0,DQ275-INT(DQ275)))))</f>
        <v>0</v>
      </c>
      <c r="EJ275" s="835">
        <f>+IF(DR275=DQ275,0,
IF(AND(EJ$44&gt;1,DR275=$N275),1-SUM($EE275:EI275),
IF($N275&lt;=1,
IF($N275&gt;0,1/$N275,0),
IF(EJ$44=1,0,VDB(1,0,$N275,INT(EJ$44-1-1),MIN($N275,INT(EJ$44-1-1)+1),$DC275,IF($DD275="No",1,0))/
IF(DQ275&gt;=INT($N275),$N275-INT($N275),1)))*
IF(EJ$44=1,0,
IF(INT(DR275)=INT(DQ275),DR275-DQ275,INT(DR275)-DQ275))+
IF($N275&lt;=1,
IF($N275&gt;0,1/$N275,0),VDB(1,0,$N275,INT(EJ$44-1),MIN($N275,INT(EJ$44-1)+1),$DC275,IF($DD275="No",1,0))/
IF(DR275&gt;INT($N275),$N275-INT($N275),1))*
IF(EJ$44=1,DR275,
IF(INT(DR275)=INT(DQ275),0,DR275-INT(DR275)))))</f>
        <v>0</v>
      </c>
      <c r="EK275" s="835">
        <f>+IF(DS275=DR275,0,
IF(AND(EK$44&gt;1,DS275=$N275),1-SUM($EE275:EJ275),
IF($N275&lt;=1,
IF($N275&gt;0,1/$N275,0),
IF(EK$44=1,0,VDB(1,0,$N275,INT(EK$44-1-1),MIN($N275,INT(EK$44-1-1)+1),$DC275,IF($DD275="No",1,0))/
IF(DR275&gt;=INT($N275),$N275-INT($N275),1)))*
IF(EK$44=1,0,
IF(INT(DS275)=INT(DR275),DS275-DR275,INT(DS275)-DR275))+
IF($N275&lt;=1,
IF($N275&gt;0,1/$N275,0),VDB(1,0,$N275,INT(EK$44-1),MIN($N275,INT(EK$44-1)+1),$DC275,IF($DD275="No",1,0))/
IF(DS275&gt;INT($N275),$N275-INT($N275),1))*
IF(EK$44=1,DS275,
IF(INT(DS275)=INT(DR275),0,DS275-INT(DS275)))))</f>
        <v>0</v>
      </c>
      <c r="EL275" s="835">
        <f>+IF(DT275=DS275,0,
IF(AND(EL$44&gt;1,DT275=$N275),1-SUM($EE275:EK275),
IF($N275&lt;=1,
IF($N275&gt;0,1/$N275,0),
IF(EL$44=1,0,VDB(1,0,$N275,INT(EL$44-1-1),MIN($N275,INT(EL$44-1-1)+1),$DC275,IF($DD275="No",1,0))/
IF(DS275&gt;=INT($N275),$N275-INT($N275),1)))*
IF(EL$44=1,0,
IF(INT(DT275)=INT(DS275),DT275-DS275,INT(DT275)-DS275))+
IF($N275&lt;=1,
IF($N275&gt;0,1/$N275,0),VDB(1,0,$N275,INT(EL$44-1),MIN($N275,INT(EL$44-1)+1),$DC275,IF($DD275="No",1,0))/
IF(DT275&gt;INT($N275),$N275-INT($N275),1))*
IF(EL$44=1,DT275,
IF(INT(DT275)=INT(DS275),0,DT275-INT(DT275)))))</f>
        <v>0</v>
      </c>
      <c r="EM275" s="836">
        <f>+IF(DU275=DT275,0,
IF(AND(EM$44&gt;1,DU275=$N275),1-SUM($EE275:EL275),
IF($N275&lt;=1,
IF($N275&gt;0,1/$N275,0),
IF(EM$44=1,0,VDB(1,0,$N275,INT(EM$44-1-1),MIN($N275,INT(EM$44-1-1)+1),$DC275,IF($DD275="No",1,0))/
IF(DT275&gt;=INT($N275),$N275-INT($N275),1)))*
IF(EM$44=1,0,
IF(INT(DU275)=INT(DT275),DU275-DT275,INT(DU275)-DT275))+
IF($N275&lt;=1,
IF($N275&gt;0,1/$N275,0),VDB(1,0,$N275,INT(EM$44-1),MIN($N275,INT(EM$44-1)+1),$DC275,IF($DD275="No",1,0))/
IF(DU275&gt;INT($N275),$N275-INT($N275),1))*
IF(EM$44=1,DU275,
IF(INT(DU275)=INT(DT275),0,DU275-INT(DU275)))))</f>
        <v>0</v>
      </c>
      <c r="EN275" s="833"/>
      <c r="EO275" s="834">
        <f>+IF(OR(DW275=DV275,EO$44=1),0,
IF(AND(EO$44&gt;1,DW275=$N275),1-SUM($EN275:EN275),
IF($N275&lt;=1,
IF($N275&gt;0,1/$N275,0),
IF(EO$44=2,0,VDB(1,0,$N275,INT(EO$44-2-1),MIN($N275,INT(EO$44-2-1)+1),$DC275,IF($DD275="No",1,0))/
IF(DV275&gt;=INT($N275),$N275-INT($N275),1)))*
IF(EO$44=2,0,
IF(INT(DW275)=INT(DV275),DW275-DV275,INT(DW275)-DV275))+
IF($N275&lt;=1,
IF($N275&gt;0,1/$N275,0),VDB(1,0,$N275,INT(EO$44-2),MIN($N275,INT(EO$44-2)+1),$DC275,IF($DD275="No",1,0))/
IF(DW275&gt;INT($N275),$N275-INT($N275),1))*
IF(EO$44=2,DW275,
IF(INT(DW275)=INT(DV275),0,DW275-INT(DW275)))))</f>
        <v>0</v>
      </c>
      <c r="EP275" s="835">
        <f>+IF(OR(DX275=DW275,EP$44=1),0,
IF(AND(EP$44&gt;1,DX275=$N275),1-SUM($EN275:EO275),
IF($N275&lt;=1,
IF($N275&gt;0,1/$N275,0),
IF(EP$44=2,0,VDB(1,0,$N275,INT(EP$44-2-1),MIN($N275,INT(EP$44-2-1)+1),$DC275,IF($DD275="No",1,0))/
IF(DW275&gt;=INT($N275),$N275-INT($N275),1)))*
IF(EP$44=2,0,
IF(INT(DX275)=INT(DW275),DX275-DW275,INT(DX275)-DW275))+
IF($N275&lt;=1,
IF($N275&gt;0,1/$N275,0),VDB(1,0,$N275,INT(EP$44-2),MIN($N275,INT(EP$44-2)+1),$DC275,IF($DD275="No",1,0))/
IF(DX275&gt;INT($N275),$N275-INT($N275),1))*
IF(EP$44=2,DX275,
IF(INT(DX275)=INT(DW275),0,DX275-INT(DX275)))))</f>
        <v>0</v>
      </c>
      <c r="EQ275" s="836">
        <f>+IF(OR(DY275=DX275,EQ$44=1),0,
IF(AND(EQ$44&gt;1,DY275=$N275),1-SUM($EN275:EP275),
IF($N275&lt;=1,
IF($N275&gt;0,1/$N275,0),
IF(EQ$44=2,0,VDB(1,0,$N275,INT(EQ$44-2-1),MIN($N275,INT(EQ$44-2-1)+1),$DC275,IF($DD275="No",1,0))/
IF(DX275&gt;=INT($N275),$N275-INT($N275),1)))*
IF(EQ$44=2,0,
IF(INT(DY275)=INT(DX275),DY275-DX275,INT(DY275)-DX275))+
IF($N275&lt;=1,
IF($N275&gt;0,1/$N275,0),VDB(1,0,$N275,INT(EQ$44-2),MIN($N275,INT(EQ$44-2)+1),$DC275,IF($DD275="No",1,0))/
IF(DY275&gt;INT($N275),$N275-INT($N275),1))*
IF(EQ$44=2,DY275,
IF(INT(DY275)=INT(DX275),0,DY275-INT(DY275)))))</f>
        <v>0</v>
      </c>
      <c r="ER275" s="834">
        <f>+IF(OR(DZ275=DY275,ER$44=1),0,
IF(AND(ER$44&gt;1,DZ275=$N275),1-SUM($EN275:EQ275),
IF($N275&lt;=1,
IF($N275&gt;0,1/$N275,0),
IF(ER$44=2,0,VDB(1,0,$N275,INT(ER$44-2-1),MIN($N275,INT(ER$44-2-1)+1),$DC275,IF($DD275="No",1,0))/
IF(DY275&gt;=INT($N275),$N275-INT($N275),1)))*
IF(ER$44=2,0,
IF(INT(DZ275)=INT(DY275),DZ275-DY275,INT(DZ275)-DY275))+
IF($N275&lt;=1,
IF($N275&gt;0,1/$N275,0),VDB(1,0,$N275,INT(ER$44-2),MIN($N275,INT(ER$44-2)+1),$DC275,IF($DD275="No",1,0))/
IF(DZ275&gt;INT($N275),$N275-INT($N275),1))*
IF(ER$44=2,DZ275,
IF(INT(DZ275)=INT(DY275),0,DZ275-INT(DZ275)))))</f>
        <v>0</v>
      </c>
      <c r="ES275" s="835">
        <f>+IF(OR(EA275=DZ275,ES$44=1),0,
IF(AND(ES$44&gt;1,EA275=$N275),1-SUM($EN275:ER275),
IF($N275&lt;=1,
IF($N275&gt;0,1/$N275,0),
IF(ES$44=2,0,VDB(1,0,$N275,INT(ES$44-2-1),MIN($N275,INT(ES$44-2-1)+1),$DC275,IF($DD275="No",1,0))/
IF(DZ275&gt;=INT($N275),$N275-INT($N275),1)))*
IF(ES$44=2,0,
IF(INT(EA275)=INT(DZ275),EA275-DZ275,INT(EA275)-DZ275))+
IF($N275&lt;=1,
IF($N275&gt;0,1/$N275,0),VDB(1,0,$N275,INT(ES$44-2),MIN($N275,INT(ES$44-2)+1),$DC275,IF($DD275="No",1,0))/
IF(EA275&gt;INT($N275),$N275-INT($N275),1))*
IF(ES$44=2,EA275,
IF(INT(EA275)=INT(DZ275),0,EA275-INT(EA275)))))</f>
        <v>0</v>
      </c>
      <c r="ET275" s="835">
        <f>+IF(OR(EB275=EA275,ET$44=1),0,
IF(AND(ET$44&gt;1,EB275=$N275),1-SUM($EN275:ES275),
IF($N275&lt;=1,
IF($N275&gt;0,1/$N275,0),
IF(ET$44=2,0,VDB(1,0,$N275,INT(ET$44-2-1),MIN($N275,INT(ET$44-2-1)+1),$DC275,IF($DD275="No",1,0))/
IF(EA275&gt;=INT($N275),$N275-INT($N275),1)))*
IF(ET$44=2,0,
IF(INT(EB275)=INT(EA275),EB275-EA275,INT(EB275)-EA275))+
IF($N275&lt;=1,
IF($N275&gt;0,1/$N275,0),VDB(1,0,$N275,INT(ET$44-2),MIN($N275,INT(ET$44-2)+1),$DC275,IF($DD275="No",1,0))/
IF(EB275&gt;INT($N275),$N275-INT($N275),1))*
IF(ET$44=2,EB275,
IF(INT(EB275)=INT(EA275),0,EB275-INT(EB275)))))</f>
        <v>0</v>
      </c>
      <c r="EU275" s="835">
        <f>+IF(OR(EC275=EB275,EU$44=1),0,
IF(AND(EU$44&gt;1,EC275=$N275),1-SUM($EN275:ET275),
IF($N275&lt;=1,
IF($N275&gt;0,1/$N275,0),
IF(EU$44=2,0,VDB(1,0,$N275,INT(EU$44-2-1),MIN($N275,INT(EU$44-2-1)+1),$DC275,IF($DD275="No",1,0))/
IF(EB275&gt;=INT($N275),$N275-INT($N275),1)))*
IF(EU$44=2,0,
IF(INT(EC275)=INT(EB275),EC275-EB275,INT(EC275)-EB275))+
IF($N275&lt;=1,
IF($N275&gt;0,1/$N275,0),VDB(1,0,$N275,INT(EU$44-2),MIN($N275,INT(EU$44-2)+1),$DC275,IF($DD275="No",1,0))/
IF(EC275&gt;INT($N275),$N275-INT($N275),1))*
IF(EU$44=2,EC275,
IF(INT(EC275)=INT(EB275),0,EC275-INT(EC275)))))</f>
        <v>0</v>
      </c>
      <c r="EV275" s="836">
        <f>+IF(OR(ED275=EC275,EV$44=1),0,
IF(AND(EV$44&gt;1,ED275=$N275),1-SUM($EN275:EU275),
IF($N275&lt;=1,
IF($N275&gt;0,1/$N275,0),
IF(EV$44=2,0,VDB(1,0,$N275,INT(EV$44-2-1),MIN($N275,INT(EV$44-2-1)+1),$DC275,IF($DD275="No",1,0))/
IF(EC275&gt;=INT($N275),$N275-INT($N275),1)))*
IF(EV$44=2,0,
IF(INT(ED275)=INT(EC275),ED275-EC275,INT(ED275)-EC275))+
IF($N275&lt;=1,
IF($N275&gt;0,1/$N275,0),VDB(1,0,$N275,INT(EV$44-2),MIN($N275,INT(EV$44-2)+1),$DC275,IF($DD275="No",1,0))/
IF(ED275&gt;INT($N275),$N275-INT($N275),1))*
IF(EV$44=2,ED275,
IF(INT(ED275)=INT(EC275),0,ED275-INT(ED275)))))</f>
        <v>0</v>
      </c>
      <c r="EW275" s="833"/>
      <c r="EX275" s="834">
        <f t="shared" ca="1" si="503"/>
        <v>0</v>
      </c>
      <c r="EY275" s="835">
        <f t="shared" ca="1" si="503"/>
        <v>0</v>
      </c>
      <c r="EZ275" s="836">
        <f t="shared" ca="1" si="503"/>
        <v>0</v>
      </c>
      <c r="FA275" s="834">
        <f t="shared" ca="1" si="503"/>
        <v>0</v>
      </c>
      <c r="FB275" s="835">
        <f t="shared" ca="1" si="503"/>
        <v>0</v>
      </c>
      <c r="FC275" s="835">
        <f t="shared" ca="1" si="503"/>
        <v>0</v>
      </c>
      <c r="FD275" s="835">
        <f t="shared" ca="1" si="503"/>
        <v>0</v>
      </c>
      <c r="FE275" s="836">
        <f t="shared" ca="1" si="503"/>
        <v>0</v>
      </c>
      <c r="FG275" s="386">
        <f t="shared" ca="1" si="504"/>
        <v>0</v>
      </c>
      <c r="FH275" s="387">
        <f t="shared" ca="1" si="505"/>
        <v>0</v>
      </c>
      <c r="FI275" s="388">
        <f t="shared" ca="1" si="506"/>
        <v>0</v>
      </c>
      <c r="FJ275" s="386">
        <f t="shared" ca="1" si="507"/>
        <v>0</v>
      </c>
      <c r="FK275" s="387">
        <f t="shared" ca="1" si="508"/>
        <v>0</v>
      </c>
      <c r="FL275" s="387">
        <f t="shared" ca="1" si="509"/>
        <v>0</v>
      </c>
      <c r="FM275" s="387">
        <f t="shared" ca="1" si="510"/>
        <v>0</v>
      </c>
      <c r="FN275" s="388">
        <f t="shared" ca="1" si="511"/>
        <v>0</v>
      </c>
      <c r="FR275" s="116"/>
    </row>
    <row r="276" spans="2:174">
      <c r="B276" s="1410">
        <f t="shared" si="512"/>
        <v>230</v>
      </c>
      <c r="C276" s="400"/>
      <c r="D276" s="410"/>
      <c r="E276" s="402"/>
      <c r="F276" s="402"/>
      <c r="G276" s="400"/>
      <c r="H276" s="2088"/>
      <c r="I276" s="2089"/>
      <c r="J276" s="411"/>
      <c r="K276" s="403"/>
      <c r="L276" s="403"/>
      <c r="M276" s="403"/>
      <c r="N276" s="403"/>
      <c r="O276" s="347"/>
      <c r="P276" s="347"/>
      <c r="Q276" s="1021"/>
      <c r="R276" s="1022"/>
      <c r="S276" s="1022"/>
      <c r="T276" s="1022"/>
      <c r="U276" s="1023"/>
      <c r="V276" s="1021"/>
      <c r="W276" s="1022"/>
      <c r="X276" s="1022"/>
      <c r="Y276" s="1022"/>
      <c r="Z276" s="1023"/>
      <c r="AA276" s="1024"/>
      <c r="AB276" s="1021"/>
      <c r="AC276" s="1022"/>
      <c r="AD276" s="1022"/>
      <c r="AE276" s="1022"/>
      <c r="AF276" s="1023"/>
      <c r="AG276" s="1021"/>
      <c r="AH276" s="1022"/>
      <c r="AI276" s="1022"/>
      <c r="AJ276" s="1022"/>
      <c r="AK276" s="1023"/>
      <c r="AL276" s="1024"/>
      <c r="AM276" s="1021"/>
      <c r="AN276" s="1022"/>
      <c r="AO276" s="1022"/>
      <c r="AP276" s="1022"/>
      <c r="AQ276" s="1023"/>
      <c r="AR276" s="1021"/>
      <c r="AS276" s="1022"/>
      <c r="AT276" s="1022"/>
      <c r="AU276" s="1022"/>
      <c r="AV276" s="1023"/>
      <c r="AW276" s="1025"/>
      <c r="AX276" s="1282">
        <f t="shared" si="457"/>
        <v>0</v>
      </c>
      <c r="AY276" s="387">
        <f t="shared" si="458"/>
        <v>0</v>
      </c>
      <c r="AZ276" s="387">
        <f t="shared" si="459"/>
        <v>0</v>
      </c>
      <c r="BA276" s="387">
        <f t="shared" si="460"/>
        <v>0</v>
      </c>
      <c r="BB276" s="1283">
        <f t="shared" si="461"/>
        <v>0</v>
      </c>
      <c r="BC276" s="386">
        <f t="shared" si="462"/>
        <v>0</v>
      </c>
      <c r="BD276" s="387">
        <f t="shared" si="463"/>
        <v>0</v>
      </c>
      <c r="BE276" s="1277">
        <f t="shared" si="464"/>
        <v>0</v>
      </c>
      <c r="BF276" s="1277">
        <f t="shared" si="465"/>
        <v>0</v>
      </c>
      <c r="BG276" s="388">
        <f t="shared" si="466"/>
        <v>0</v>
      </c>
      <c r="BH276" s="1025"/>
      <c r="BI276" s="1282">
        <f t="shared" ca="1" si="467"/>
        <v>0</v>
      </c>
      <c r="BJ276" s="387">
        <f t="shared" ca="1" si="468"/>
        <v>0</v>
      </c>
      <c r="BK276" s="387">
        <f t="shared" ca="1" si="469"/>
        <v>0</v>
      </c>
      <c r="BL276" s="387">
        <f t="shared" ca="1" si="470"/>
        <v>0</v>
      </c>
      <c r="BM276" s="1283">
        <f t="shared" ca="1" si="471"/>
        <v>0</v>
      </c>
      <c r="BN276" s="386">
        <f t="shared" ca="1" si="472"/>
        <v>0</v>
      </c>
      <c r="BO276" s="387">
        <f t="shared" ca="1" si="473"/>
        <v>0</v>
      </c>
      <c r="BP276" s="1277">
        <f t="shared" ca="1" si="474"/>
        <v>0</v>
      </c>
      <c r="BQ276" s="1277">
        <f t="shared" ca="1" si="475"/>
        <v>0</v>
      </c>
      <c r="BR276" s="388">
        <f t="shared" ca="1" si="476"/>
        <v>0</v>
      </c>
      <c r="BS276" s="1025"/>
      <c r="BT276" s="1282">
        <f>+IF($K276="Ongoing",AX276,IF(RIGHT($K276,2)=RIGHT(BT$43,2),SUM($AX276:AX276),0)+IF(RIGHT(BT$43,2)&gt;RIGHT($K276,2),AX276,0))</f>
        <v>0</v>
      </c>
      <c r="BU276" s="387">
        <f>+IF($K276="Ongoing",AY276,IF(RIGHT($K276,2)=RIGHT(BU$43,2),SUM($AX276:AY276),0)+IF(RIGHT(BU$43,2)&gt;RIGHT($K276,2),AY276,0))</f>
        <v>0</v>
      </c>
      <c r="BV276" s="387">
        <f>+IF($K276="Ongoing",AZ276,IF(RIGHT($K276,2)=RIGHT(BV$43,2),SUM($AX276:AZ276),0)+IF(RIGHT(BV$43,2)&gt;RIGHT($K276,2),AZ276,0))</f>
        <v>0</v>
      </c>
      <c r="BW276" s="387">
        <f>+IF($K276="Ongoing",BA276,IF(RIGHT($K276,2)=RIGHT(BW$43,2),SUM($AX276:BA276),0)+IF(RIGHT(BW$43,2)&gt;RIGHT($K276,2),BA276,0))</f>
        <v>0</v>
      </c>
      <c r="BX276" s="1283">
        <f>+IF($K276="Ongoing",BB276,IF(RIGHT($K276,2)=RIGHT(BX$43,2),SUM($AX276:BB276),0)+IF(RIGHT(BX$43,2)&gt;RIGHT($K276,2),BB276,0))</f>
        <v>0</v>
      </c>
      <c r="BY276" s="386">
        <f>+IF($K276="Ongoing",BC276,IF(RIGHT($K276,2)=RIGHT(BY$43,2),SUM($AX276:BC276),0)+IF(RIGHT(BY$43,2)&gt;RIGHT($K276,2),BC276,0))</f>
        <v>0</v>
      </c>
      <c r="BZ276" s="387">
        <f>+IF($K276="Ongoing",BD276,IF(RIGHT($K276,2)=RIGHT(BZ$43,2),SUM($AX276:BD276),0)+IF(RIGHT(BZ$43,2)&gt;RIGHT($K276,2),BD276,0))</f>
        <v>0</v>
      </c>
      <c r="CA276" s="1277">
        <f>+IF($K276="Ongoing",BE276,IF(RIGHT($K276,2)=RIGHT(CA$43,2),SUM($AX276:BE276),0)+IF(RIGHT(CA$43,2)&gt;RIGHT($K276,2),BE276,0))</f>
        <v>0</v>
      </c>
      <c r="CB276" s="1277">
        <f>+IF($K276="Ongoing",BF276,IF(RIGHT($K276,2)=RIGHT(CB$43,2),SUM($AX276:BF276),0)+IF(RIGHT(CB$43,2)&gt;RIGHT($K276,2),BF276,0))</f>
        <v>0</v>
      </c>
      <c r="CC276" s="388">
        <f>+IF($K276="Ongoing",BG276,IF(RIGHT($K276,2)=RIGHT(CC$43,2),SUM($AX276:BG276),0)+IF(RIGHT(CC$43,2)&gt;RIGHT($K276,2),BG276,0))</f>
        <v>0</v>
      </c>
      <c r="CD276" s="1025"/>
      <c r="CE276" s="1282">
        <f>+Q276*KeyAssumptionsPriceControl_FO!AF$15</f>
        <v>0</v>
      </c>
      <c r="CF276" s="387">
        <f>+R276*KeyAssumptionsPriceControl_FO!AG$15</f>
        <v>0</v>
      </c>
      <c r="CG276" s="387">
        <f>+S276*KeyAssumptionsPriceControl_FO!AH$15</f>
        <v>0</v>
      </c>
      <c r="CH276" s="387">
        <f>+T276*KeyAssumptionsPriceControl_FO!AI$15</f>
        <v>0</v>
      </c>
      <c r="CI276" s="1283">
        <f>+U276*KeyAssumptionsPriceControl_FO!AJ$15</f>
        <v>0</v>
      </c>
      <c r="CJ276" s="386">
        <f>+V276*KeyAssumptionsPriceControl_FO!AK$15</f>
        <v>0</v>
      </c>
      <c r="CK276" s="387">
        <f>+W276*KeyAssumptionsPriceControl_FO!AL$15</f>
        <v>0</v>
      </c>
      <c r="CL276" s="1277">
        <f>+X276*KeyAssumptionsPriceControl_FO!AM$15</f>
        <v>0</v>
      </c>
      <c r="CM276" s="1277">
        <f>+Y276*KeyAssumptionsPriceControl_FO!AN$15</f>
        <v>0</v>
      </c>
      <c r="CN276" s="388">
        <f>+Z276*KeyAssumptionsPriceControl_FO!AO$15</f>
        <v>0</v>
      </c>
      <c r="CO276" s="1025"/>
      <c r="CP276" s="1282">
        <f t="shared" ca="1" si="477"/>
        <v>0</v>
      </c>
      <c r="CQ276" s="387">
        <f t="shared" ca="1" si="478"/>
        <v>0</v>
      </c>
      <c r="CR276" s="387">
        <f t="shared" ca="1" si="479"/>
        <v>0</v>
      </c>
      <c r="CS276" s="387">
        <f t="shared" ca="1" si="480"/>
        <v>0</v>
      </c>
      <c r="CT276" s="1283">
        <f t="shared" ca="1" si="481"/>
        <v>0</v>
      </c>
      <c r="CU276" s="386">
        <f t="shared" ca="1" si="482"/>
        <v>0</v>
      </c>
      <c r="CV276" s="387">
        <f t="shared" ca="1" si="483"/>
        <v>0</v>
      </c>
      <c r="CW276" s="1277">
        <f t="shared" ca="1" si="484"/>
        <v>0</v>
      </c>
      <c r="CX276" s="1277">
        <f t="shared" ca="1" si="485"/>
        <v>0</v>
      </c>
      <c r="CY276" s="388">
        <f t="shared" ca="1" si="486"/>
        <v>0</v>
      </c>
      <c r="CZ276" s="347"/>
      <c r="DA276" s="852"/>
      <c r="DB276" s="347"/>
      <c r="DC276" s="1012" t="s">
        <v>577</v>
      </c>
      <c r="DD276" s="841" t="s">
        <v>518</v>
      </c>
      <c r="DE276" s="386">
        <f>+IF($K276="ongoing",CE276,IF(RIGHT($K276,2)=RIGHT(DE$43,2),SUM($CD276:CE276),0)+IF(RIGHT(DE$43,2)&gt;RIGHT($K276,2),CE276,0))</f>
        <v>0</v>
      </c>
      <c r="DF276" s="387">
        <f>+IF($K276="ongoing",CF276,IF(RIGHT($K276,2)=RIGHT(DF$43,2),SUM($CD276:CF276),0)+IF(RIGHT(DF$43,2)&gt;RIGHT($K276,2),CF276,0))</f>
        <v>0</v>
      </c>
      <c r="DG276" s="388">
        <f>+IF($K276="ongoing",CG276,IF(RIGHT($K276,2)=RIGHT(DG$43,2),SUM($CD276:CG276),0)+IF(RIGHT(DG$43,2)&gt;RIGHT($K276,2),CG276,0))</f>
        <v>0</v>
      </c>
      <c r="DH276" s="386">
        <f>+IF($K276="ongoing",CH276,IF(RIGHT($K276,2)=RIGHT(DH$43,2),SUM($CD276:CH276),0)+IF(RIGHT(DH$43,2)&gt;RIGHT($K276,2),CH276,0))</f>
        <v>0</v>
      </c>
      <c r="DI276" s="387">
        <f>+IF($K276="ongoing",CI276,IF(RIGHT($K276,2)=RIGHT(DI$43,2),SUM($CD276:CI276),0)+IF(RIGHT(DI$43,2)&gt;RIGHT($K276,2),CI276,0))</f>
        <v>0</v>
      </c>
      <c r="DJ276" s="387">
        <f>+IF($K276="ongoing",CJ276,IF(RIGHT($K276,2)=RIGHT(DJ$43,2),SUM($CD276:CJ276),0)+IF(RIGHT(DJ$43,2)&gt;RIGHT($K276,2),CJ276,0))</f>
        <v>0</v>
      </c>
      <c r="DK276" s="387">
        <f>+IF($K276="ongoing",CK276,IF(RIGHT($K276,2)=RIGHT(DK$43,2),SUM($CD276:CK276),0)+IF(RIGHT(DK$43,2)&gt;RIGHT($K276,2),CK276,0))</f>
        <v>0</v>
      </c>
      <c r="DL276" s="388">
        <f>+IF($K276="ongoing",CN276,IF(RIGHT($K276,2)=RIGHT(DL$43,2),SUM($CD276:CN276),0)+IF(RIGHT(DL$43,2)&gt;RIGHT($K276,2),CN276,0))</f>
        <v>0</v>
      </c>
      <c r="DM276" s="841"/>
      <c r="DN276" s="386">
        <f t="shared" si="487"/>
        <v>0.5</v>
      </c>
      <c r="DO276" s="387">
        <f t="shared" si="488"/>
        <v>1</v>
      </c>
      <c r="DP276" s="388">
        <f t="shared" si="489"/>
        <v>1</v>
      </c>
      <c r="DQ276" s="386">
        <f t="shared" si="490"/>
        <v>1</v>
      </c>
      <c r="DR276" s="387">
        <f t="shared" si="491"/>
        <v>1</v>
      </c>
      <c r="DS276" s="387">
        <f t="shared" si="492"/>
        <v>1</v>
      </c>
      <c r="DT276" s="387">
        <f t="shared" si="493"/>
        <v>1</v>
      </c>
      <c r="DU276" s="388">
        <f t="shared" si="494"/>
        <v>1</v>
      </c>
      <c r="DW276" s="386">
        <f t="shared" si="495"/>
        <v>0</v>
      </c>
      <c r="DX276" s="387">
        <f t="shared" si="496"/>
        <v>0.5</v>
      </c>
      <c r="DY276" s="388">
        <f t="shared" si="497"/>
        <v>1</v>
      </c>
      <c r="DZ276" s="386">
        <f t="shared" si="498"/>
        <v>1</v>
      </c>
      <c r="EA276" s="387">
        <f t="shared" si="499"/>
        <v>1</v>
      </c>
      <c r="EB276" s="387">
        <f t="shared" si="500"/>
        <v>1</v>
      </c>
      <c r="EC276" s="387">
        <f t="shared" si="501"/>
        <v>1</v>
      </c>
      <c r="ED276" s="388">
        <f t="shared" si="502"/>
        <v>1</v>
      </c>
      <c r="EF276" s="834">
        <f>+IF(DN276=DM276,0,
IF(AND(EF$44&gt;1,DN276=$N276),1-SUM($EE276:EE276),
IF($N276&lt;=1,
IF($N276&gt;0,1/$N276,0),
IF(EF$44=1,0,VDB(1,0,$N276,INT(EF$44-1-1),MIN($N276,INT(EF$44-1-1)+1),$DC276,IF($DD276="No",1,0))/
IF(DM276&gt;=INT($N276),$N276-INT($N276),1)))*
IF(EF$44=1,0,
IF(INT(DN276)=INT(DM276),DN276-DM276,INT(DN276)-DM276))+
IF($N276&lt;=1,
IF($N276&gt;0,1/$N276,0),VDB(1,0,$N276,INT(EF$44-1),MIN($N276,INT(EF$44-1)+1),$DC276,IF($DD276="No",1,0))/
IF(DN276&gt;INT($N276),$N276-INT($N276),1))*
IF(EF$44=1,DN276,
IF(INT(DN276)=INT(DM276),0,DN276-INT(DN276)))))</f>
        <v>0</v>
      </c>
      <c r="EG276" s="835">
        <f>+IF(DO276=DN276,0,
IF(AND(EG$44&gt;1,DO276=$N276),1-SUM($EE276:EF276),
IF($N276&lt;=1,
IF($N276&gt;0,1/$N276,0),
IF(EG$44=1,0,VDB(1,0,$N276,INT(EG$44-1-1),MIN($N276,INT(EG$44-1-1)+1),$DC276,IF($DD276="No",1,0))/
IF(DN276&gt;=INT($N276),$N276-INT($N276),1)))*
IF(EG$44=1,0,
IF(INT(DO276)=INT(DN276),DO276-DN276,INT(DO276)-DN276))+
IF($N276&lt;=1,
IF($N276&gt;0,1/$N276,0),VDB(1,0,$N276,INT(EG$44-1),MIN($N276,INT(EG$44-1)+1),$DC276,IF($DD276="No",1,0))/
IF(DO276&gt;INT($N276),$N276-INT($N276),1))*
IF(EG$44=1,DO276,
IF(INT(DO276)=INT(DN276),0,DO276-INT(DO276)))))</f>
        <v>0</v>
      </c>
      <c r="EH276" s="836">
        <f>+IF(DP276=DO276,0,
IF(AND(EH$44&gt;1,DP276=$N276),1-SUM($EE276:EG276),
IF($N276&lt;=1,
IF($N276&gt;0,1/$N276,0),
IF(EH$44=1,0,VDB(1,0,$N276,INT(EH$44-1-1),MIN($N276,INT(EH$44-1-1)+1),$DC276,IF($DD276="No",1,0))/
IF(DO276&gt;=INT($N276),$N276-INT($N276),1)))*
IF(EH$44=1,0,
IF(INT(DP276)=INT(DO276),DP276-DO276,INT(DP276)-DO276))+
IF($N276&lt;=1,
IF($N276&gt;0,1/$N276,0),VDB(1,0,$N276,INT(EH$44-1),MIN($N276,INT(EH$44-1)+1),$DC276,IF($DD276="No",1,0))/
IF(DP276&gt;INT($N276),$N276-INT($N276),1))*
IF(EH$44=1,DP276,
IF(INT(DP276)=INT(DO276),0,DP276-INT(DP276)))))</f>
        <v>0</v>
      </c>
      <c r="EI276" s="834">
        <f>+IF(DQ276=DP276,0,
IF(AND(EI$44&gt;1,DQ276=$N276),1-SUM($EE276:EH276),
IF($N276&lt;=1,
IF($N276&gt;0,1/$N276,0),
IF(EI$44=1,0,VDB(1,0,$N276,INT(EI$44-1-1),MIN($N276,INT(EI$44-1-1)+1),$DC276,IF($DD276="No",1,0))/
IF(DP276&gt;=INT($N276),$N276-INT($N276),1)))*
IF(EI$44=1,0,
IF(INT(DQ276)=INT(DP276),DQ276-DP276,INT(DQ276)-DP276))+
IF($N276&lt;=1,
IF($N276&gt;0,1/$N276,0),VDB(1,0,$N276,INT(EI$44-1),MIN($N276,INT(EI$44-1)+1),$DC276,IF($DD276="No",1,0))/
IF(DQ276&gt;INT($N276),$N276-INT($N276),1))*
IF(EI$44=1,DQ276,
IF(INT(DQ276)=INT(DP276),0,DQ276-INT(DQ276)))))</f>
        <v>0</v>
      </c>
      <c r="EJ276" s="835">
        <f>+IF(DR276=DQ276,0,
IF(AND(EJ$44&gt;1,DR276=$N276),1-SUM($EE276:EI276),
IF($N276&lt;=1,
IF($N276&gt;0,1/$N276,0),
IF(EJ$44=1,0,VDB(1,0,$N276,INT(EJ$44-1-1),MIN($N276,INT(EJ$44-1-1)+1),$DC276,IF($DD276="No",1,0))/
IF(DQ276&gt;=INT($N276),$N276-INT($N276),1)))*
IF(EJ$44=1,0,
IF(INT(DR276)=INT(DQ276),DR276-DQ276,INT(DR276)-DQ276))+
IF($N276&lt;=1,
IF($N276&gt;0,1/$N276,0),VDB(1,0,$N276,INT(EJ$44-1),MIN($N276,INT(EJ$44-1)+1),$DC276,IF($DD276="No",1,0))/
IF(DR276&gt;INT($N276),$N276-INT($N276),1))*
IF(EJ$44=1,DR276,
IF(INT(DR276)=INT(DQ276),0,DR276-INT(DR276)))))</f>
        <v>0</v>
      </c>
      <c r="EK276" s="835">
        <f>+IF(DS276=DR276,0,
IF(AND(EK$44&gt;1,DS276=$N276),1-SUM($EE276:EJ276),
IF($N276&lt;=1,
IF($N276&gt;0,1/$N276,0),
IF(EK$44=1,0,VDB(1,0,$N276,INT(EK$44-1-1),MIN($N276,INT(EK$44-1-1)+1),$DC276,IF($DD276="No",1,0))/
IF(DR276&gt;=INT($N276),$N276-INT($N276),1)))*
IF(EK$44=1,0,
IF(INT(DS276)=INT(DR276),DS276-DR276,INT(DS276)-DR276))+
IF($N276&lt;=1,
IF($N276&gt;0,1/$N276,0),VDB(1,0,$N276,INT(EK$44-1),MIN($N276,INT(EK$44-1)+1),$DC276,IF($DD276="No",1,0))/
IF(DS276&gt;INT($N276),$N276-INT($N276),1))*
IF(EK$44=1,DS276,
IF(INT(DS276)=INT(DR276),0,DS276-INT(DS276)))))</f>
        <v>0</v>
      </c>
      <c r="EL276" s="835">
        <f>+IF(DT276=DS276,0,
IF(AND(EL$44&gt;1,DT276=$N276),1-SUM($EE276:EK276),
IF($N276&lt;=1,
IF($N276&gt;0,1/$N276,0),
IF(EL$44=1,0,VDB(1,0,$N276,INT(EL$44-1-1),MIN($N276,INT(EL$44-1-1)+1),$DC276,IF($DD276="No",1,0))/
IF(DS276&gt;=INT($N276),$N276-INT($N276),1)))*
IF(EL$44=1,0,
IF(INT(DT276)=INT(DS276),DT276-DS276,INT(DT276)-DS276))+
IF($N276&lt;=1,
IF($N276&gt;0,1/$N276,0),VDB(1,0,$N276,INT(EL$44-1),MIN($N276,INT(EL$44-1)+1),$DC276,IF($DD276="No",1,0))/
IF(DT276&gt;INT($N276),$N276-INT($N276),1))*
IF(EL$44=1,DT276,
IF(INT(DT276)=INT(DS276),0,DT276-INT(DT276)))))</f>
        <v>0</v>
      </c>
      <c r="EM276" s="836">
        <f>+IF(DU276=DT276,0,
IF(AND(EM$44&gt;1,DU276=$N276),1-SUM($EE276:EL276),
IF($N276&lt;=1,
IF($N276&gt;0,1/$N276,0),
IF(EM$44=1,0,VDB(1,0,$N276,INT(EM$44-1-1),MIN($N276,INT(EM$44-1-1)+1),$DC276,IF($DD276="No",1,0))/
IF(DT276&gt;=INT($N276),$N276-INT($N276),1)))*
IF(EM$44=1,0,
IF(INT(DU276)=INT(DT276),DU276-DT276,INT(DU276)-DT276))+
IF($N276&lt;=1,
IF($N276&gt;0,1/$N276,0),VDB(1,0,$N276,INT(EM$44-1),MIN($N276,INT(EM$44-1)+1),$DC276,IF($DD276="No",1,0))/
IF(DU276&gt;INT($N276),$N276-INT($N276),1))*
IF(EM$44=1,DU276,
IF(INT(DU276)=INT(DT276),0,DU276-INT(DU276)))))</f>
        <v>0</v>
      </c>
      <c r="EN276" s="833"/>
      <c r="EO276" s="834">
        <f>+IF(OR(DW276=DV276,EO$44=1),0,
IF(AND(EO$44&gt;1,DW276=$N276),1-SUM($EN276:EN276),
IF($N276&lt;=1,
IF($N276&gt;0,1/$N276,0),
IF(EO$44=2,0,VDB(1,0,$N276,INT(EO$44-2-1),MIN($N276,INT(EO$44-2-1)+1),$DC276,IF($DD276="No",1,0))/
IF(DV276&gt;=INT($N276),$N276-INT($N276),1)))*
IF(EO$44=2,0,
IF(INT(DW276)=INT(DV276),DW276-DV276,INT(DW276)-DV276))+
IF($N276&lt;=1,
IF($N276&gt;0,1/$N276,0),VDB(1,0,$N276,INT(EO$44-2),MIN($N276,INT(EO$44-2)+1),$DC276,IF($DD276="No",1,0))/
IF(DW276&gt;INT($N276),$N276-INT($N276),1))*
IF(EO$44=2,DW276,
IF(INT(DW276)=INT(DV276),0,DW276-INT(DW276)))))</f>
        <v>0</v>
      </c>
      <c r="EP276" s="835">
        <f>+IF(OR(DX276=DW276,EP$44=1),0,
IF(AND(EP$44&gt;1,DX276=$N276),1-SUM($EN276:EO276),
IF($N276&lt;=1,
IF($N276&gt;0,1/$N276,0),
IF(EP$44=2,0,VDB(1,0,$N276,INT(EP$44-2-1),MIN($N276,INT(EP$44-2-1)+1),$DC276,IF($DD276="No",1,0))/
IF(DW276&gt;=INT($N276),$N276-INT($N276),1)))*
IF(EP$44=2,0,
IF(INT(DX276)=INT(DW276),DX276-DW276,INT(DX276)-DW276))+
IF($N276&lt;=1,
IF($N276&gt;0,1/$N276,0),VDB(1,0,$N276,INT(EP$44-2),MIN($N276,INT(EP$44-2)+1),$DC276,IF($DD276="No",1,0))/
IF(DX276&gt;INT($N276),$N276-INT($N276),1))*
IF(EP$44=2,DX276,
IF(INT(DX276)=INT(DW276),0,DX276-INT(DX276)))))</f>
        <v>0</v>
      </c>
      <c r="EQ276" s="836">
        <f>+IF(OR(DY276=DX276,EQ$44=1),0,
IF(AND(EQ$44&gt;1,DY276=$N276),1-SUM($EN276:EP276),
IF($N276&lt;=1,
IF($N276&gt;0,1/$N276,0),
IF(EQ$44=2,0,VDB(1,0,$N276,INT(EQ$44-2-1),MIN($N276,INT(EQ$44-2-1)+1),$DC276,IF($DD276="No",1,0))/
IF(DX276&gt;=INT($N276),$N276-INT($N276),1)))*
IF(EQ$44=2,0,
IF(INT(DY276)=INT(DX276),DY276-DX276,INT(DY276)-DX276))+
IF($N276&lt;=1,
IF($N276&gt;0,1/$N276,0),VDB(1,0,$N276,INT(EQ$44-2),MIN($N276,INT(EQ$44-2)+1),$DC276,IF($DD276="No",1,0))/
IF(DY276&gt;INT($N276),$N276-INT($N276),1))*
IF(EQ$44=2,DY276,
IF(INT(DY276)=INT(DX276),0,DY276-INT(DY276)))))</f>
        <v>0</v>
      </c>
      <c r="ER276" s="834">
        <f>+IF(OR(DZ276=DY276,ER$44=1),0,
IF(AND(ER$44&gt;1,DZ276=$N276),1-SUM($EN276:EQ276),
IF($N276&lt;=1,
IF($N276&gt;0,1/$N276,0),
IF(ER$44=2,0,VDB(1,0,$N276,INT(ER$44-2-1),MIN($N276,INT(ER$44-2-1)+1),$DC276,IF($DD276="No",1,0))/
IF(DY276&gt;=INT($N276),$N276-INT($N276),1)))*
IF(ER$44=2,0,
IF(INT(DZ276)=INT(DY276),DZ276-DY276,INT(DZ276)-DY276))+
IF($N276&lt;=1,
IF($N276&gt;0,1/$N276,0),VDB(1,0,$N276,INT(ER$44-2),MIN($N276,INT(ER$44-2)+1),$DC276,IF($DD276="No",1,0))/
IF(DZ276&gt;INT($N276),$N276-INT($N276),1))*
IF(ER$44=2,DZ276,
IF(INT(DZ276)=INT(DY276),0,DZ276-INT(DZ276)))))</f>
        <v>0</v>
      </c>
      <c r="ES276" s="835">
        <f>+IF(OR(EA276=DZ276,ES$44=1),0,
IF(AND(ES$44&gt;1,EA276=$N276),1-SUM($EN276:ER276),
IF($N276&lt;=1,
IF($N276&gt;0,1/$N276,0),
IF(ES$44=2,0,VDB(1,0,$N276,INT(ES$44-2-1),MIN($N276,INT(ES$44-2-1)+1),$DC276,IF($DD276="No",1,0))/
IF(DZ276&gt;=INT($N276),$N276-INT($N276),1)))*
IF(ES$44=2,0,
IF(INT(EA276)=INT(DZ276),EA276-DZ276,INT(EA276)-DZ276))+
IF($N276&lt;=1,
IF($N276&gt;0,1/$N276,0),VDB(1,0,$N276,INT(ES$44-2),MIN($N276,INT(ES$44-2)+1),$DC276,IF($DD276="No",1,0))/
IF(EA276&gt;INT($N276),$N276-INT($N276),1))*
IF(ES$44=2,EA276,
IF(INT(EA276)=INT(DZ276),0,EA276-INT(EA276)))))</f>
        <v>0</v>
      </c>
      <c r="ET276" s="835">
        <f>+IF(OR(EB276=EA276,ET$44=1),0,
IF(AND(ET$44&gt;1,EB276=$N276),1-SUM($EN276:ES276),
IF($N276&lt;=1,
IF($N276&gt;0,1/$N276,0),
IF(ET$44=2,0,VDB(1,0,$N276,INT(ET$44-2-1),MIN($N276,INT(ET$44-2-1)+1),$DC276,IF($DD276="No",1,0))/
IF(EA276&gt;=INT($N276),$N276-INT($N276),1)))*
IF(ET$44=2,0,
IF(INT(EB276)=INT(EA276),EB276-EA276,INT(EB276)-EA276))+
IF($N276&lt;=1,
IF($N276&gt;0,1/$N276,0),VDB(1,0,$N276,INT(ET$44-2),MIN($N276,INT(ET$44-2)+1),$DC276,IF($DD276="No",1,0))/
IF(EB276&gt;INT($N276),$N276-INT($N276),1))*
IF(ET$44=2,EB276,
IF(INT(EB276)=INT(EA276),0,EB276-INT(EB276)))))</f>
        <v>0</v>
      </c>
      <c r="EU276" s="835">
        <f>+IF(OR(EC276=EB276,EU$44=1),0,
IF(AND(EU$44&gt;1,EC276=$N276),1-SUM($EN276:ET276),
IF($N276&lt;=1,
IF($N276&gt;0,1/$N276,0),
IF(EU$44=2,0,VDB(1,0,$N276,INT(EU$44-2-1),MIN($N276,INT(EU$44-2-1)+1),$DC276,IF($DD276="No",1,0))/
IF(EB276&gt;=INT($N276),$N276-INT($N276),1)))*
IF(EU$44=2,0,
IF(INT(EC276)=INT(EB276),EC276-EB276,INT(EC276)-EB276))+
IF($N276&lt;=1,
IF($N276&gt;0,1/$N276,0),VDB(1,0,$N276,INT(EU$44-2),MIN($N276,INT(EU$44-2)+1),$DC276,IF($DD276="No",1,0))/
IF(EC276&gt;INT($N276),$N276-INT($N276),1))*
IF(EU$44=2,EC276,
IF(INT(EC276)=INT(EB276),0,EC276-INT(EC276)))))</f>
        <v>0</v>
      </c>
      <c r="EV276" s="836">
        <f>+IF(OR(ED276=EC276,EV$44=1),0,
IF(AND(EV$44&gt;1,ED276=$N276),1-SUM($EN276:EU276),
IF($N276&lt;=1,
IF($N276&gt;0,1/$N276,0),
IF(EV$44=2,0,VDB(1,0,$N276,INT(EV$44-2-1),MIN($N276,INT(EV$44-2-1)+1),$DC276,IF($DD276="No",1,0))/
IF(EC276&gt;=INT($N276),$N276-INT($N276),1)))*
IF(EV$44=2,0,
IF(INT(ED276)=INT(EC276),ED276-EC276,INT(ED276)-EC276))+
IF($N276&lt;=1,
IF($N276&gt;0,1/$N276,0),VDB(1,0,$N276,INT(EV$44-2),MIN($N276,INT(EV$44-2)+1),$DC276,IF($DD276="No",1,0))/
IF(ED276&gt;INT($N276),$N276-INT($N276),1))*
IF(EV$44=2,ED276,
IF(INT(ED276)=INT(EC276),0,ED276-INT(ED276)))))</f>
        <v>0</v>
      </c>
      <c r="EW276" s="833"/>
      <c r="EX276" s="834">
        <f t="shared" ca="1" si="503"/>
        <v>0</v>
      </c>
      <c r="EY276" s="835">
        <f t="shared" ca="1" si="503"/>
        <v>0</v>
      </c>
      <c r="EZ276" s="836">
        <f t="shared" ca="1" si="503"/>
        <v>0</v>
      </c>
      <c r="FA276" s="834">
        <f t="shared" ca="1" si="503"/>
        <v>0</v>
      </c>
      <c r="FB276" s="835">
        <f t="shared" ca="1" si="503"/>
        <v>0</v>
      </c>
      <c r="FC276" s="835">
        <f t="shared" ca="1" si="503"/>
        <v>0</v>
      </c>
      <c r="FD276" s="835">
        <f t="shared" ca="1" si="503"/>
        <v>0</v>
      </c>
      <c r="FE276" s="836">
        <f t="shared" ca="1" si="503"/>
        <v>0</v>
      </c>
      <c r="FG276" s="386">
        <f t="shared" ca="1" si="504"/>
        <v>0</v>
      </c>
      <c r="FH276" s="387">
        <f t="shared" ca="1" si="505"/>
        <v>0</v>
      </c>
      <c r="FI276" s="388">
        <f t="shared" ca="1" si="506"/>
        <v>0</v>
      </c>
      <c r="FJ276" s="386">
        <f t="shared" ca="1" si="507"/>
        <v>0</v>
      </c>
      <c r="FK276" s="387">
        <f t="shared" ca="1" si="508"/>
        <v>0</v>
      </c>
      <c r="FL276" s="387">
        <f t="shared" ca="1" si="509"/>
        <v>0</v>
      </c>
      <c r="FM276" s="387">
        <f t="shared" ca="1" si="510"/>
        <v>0</v>
      </c>
      <c r="FN276" s="388">
        <f t="shared" ca="1" si="511"/>
        <v>0</v>
      </c>
      <c r="FR276" s="116"/>
    </row>
    <row r="277" spans="2:174">
      <c r="B277" s="1410">
        <f t="shared" si="512"/>
        <v>231</v>
      </c>
      <c r="C277" s="400"/>
      <c r="D277" s="410"/>
      <c r="E277" s="402"/>
      <c r="F277" s="402"/>
      <c r="G277" s="400"/>
      <c r="H277" s="2088"/>
      <c r="I277" s="2089"/>
      <c r="J277" s="411"/>
      <c r="K277" s="403"/>
      <c r="L277" s="403"/>
      <c r="M277" s="403"/>
      <c r="N277" s="403"/>
      <c r="O277" s="347"/>
      <c r="P277" s="347"/>
      <c r="Q277" s="1021"/>
      <c r="R277" s="1022"/>
      <c r="S277" s="1022"/>
      <c r="T277" s="1022"/>
      <c r="U277" s="1023"/>
      <c r="V277" s="1021"/>
      <c r="W277" s="1022"/>
      <c r="X277" s="1022"/>
      <c r="Y277" s="1022"/>
      <c r="Z277" s="1023"/>
      <c r="AA277" s="1024"/>
      <c r="AB277" s="1021"/>
      <c r="AC277" s="1022"/>
      <c r="AD277" s="1022"/>
      <c r="AE277" s="1022"/>
      <c r="AF277" s="1023"/>
      <c r="AG277" s="1021"/>
      <c r="AH277" s="1022"/>
      <c r="AI277" s="1022"/>
      <c r="AJ277" s="1022"/>
      <c r="AK277" s="1023"/>
      <c r="AL277" s="1024"/>
      <c r="AM277" s="1021"/>
      <c r="AN277" s="1022"/>
      <c r="AO277" s="1022"/>
      <c r="AP277" s="1022"/>
      <c r="AQ277" s="1023"/>
      <c r="AR277" s="1021"/>
      <c r="AS277" s="1022"/>
      <c r="AT277" s="1022"/>
      <c r="AU277" s="1022"/>
      <c r="AV277" s="1023"/>
      <c r="AW277" s="1025"/>
      <c r="AX277" s="1282">
        <f t="shared" si="457"/>
        <v>0</v>
      </c>
      <c r="AY277" s="387">
        <f t="shared" si="458"/>
        <v>0</v>
      </c>
      <c r="AZ277" s="387">
        <f t="shared" si="459"/>
        <v>0</v>
      </c>
      <c r="BA277" s="387">
        <f t="shared" si="460"/>
        <v>0</v>
      </c>
      <c r="BB277" s="1283">
        <f t="shared" si="461"/>
        <v>0</v>
      </c>
      <c r="BC277" s="386">
        <f t="shared" si="462"/>
        <v>0</v>
      </c>
      <c r="BD277" s="387">
        <f t="shared" si="463"/>
        <v>0</v>
      </c>
      <c r="BE277" s="1277">
        <f t="shared" si="464"/>
        <v>0</v>
      </c>
      <c r="BF277" s="1277">
        <f t="shared" si="465"/>
        <v>0</v>
      </c>
      <c r="BG277" s="388">
        <f t="shared" si="466"/>
        <v>0</v>
      </c>
      <c r="BH277" s="1025"/>
      <c r="BI277" s="1282">
        <f t="shared" ca="1" si="467"/>
        <v>0</v>
      </c>
      <c r="BJ277" s="387">
        <f t="shared" ca="1" si="468"/>
        <v>0</v>
      </c>
      <c r="BK277" s="387">
        <f t="shared" ca="1" si="469"/>
        <v>0</v>
      </c>
      <c r="BL277" s="387">
        <f t="shared" ca="1" si="470"/>
        <v>0</v>
      </c>
      <c r="BM277" s="1283">
        <f t="shared" ca="1" si="471"/>
        <v>0</v>
      </c>
      <c r="BN277" s="386">
        <f t="shared" ca="1" si="472"/>
        <v>0</v>
      </c>
      <c r="BO277" s="387">
        <f t="shared" ca="1" si="473"/>
        <v>0</v>
      </c>
      <c r="BP277" s="1277">
        <f t="shared" ca="1" si="474"/>
        <v>0</v>
      </c>
      <c r="BQ277" s="1277">
        <f t="shared" ca="1" si="475"/>
        <v>0</v>
      </c>
      <c r="BR277" s="388">
        <f t="shared" ca="1" si="476"/>
        <v>0</v>
      </c>
      <c r="BS277" s="1025"/>
      <c r="BT277" s="1282">
        <f>+IF($K277="Ongoing",AX277,IF(RIGHT($K277,2)=RIGHT(BT$43,2),SUM($AX277:AX277),0)+IF(RIGHT(BT$43,2)&gt;RIGHT($K277,2),AX277,0))</f>
        <v>0</v>
      </c>
      <c r="BU277" s="387">
        <f>+IF($K277="Ongoing",AY277,IF(RIGHT($K277,2)=RIGHT(BU$43,2),SUM($AX277:AY277),0)+IF(RIGHT(BU$43,2)&gt;RIGHT($K277,2),AY277,0))</f>
        <v>0</v>
      </c>
      <c r="BV277" s="387">
        <f>+IF($K277="Ongoing",AZ277,IF(RIGHT($K277,2)=RIGHT(BV$43,2),SUM($AX277:AZ277),0)+IF(RIGHT(BV$43,2)&gt;RIGHT($K277,2),AZ277,0))</f>
        <v>0</v>
      </c>
      <c r="BW277" s="387">
        <f>+IF($K277="Ongoing",BA277,IF(RIGHT($K277,2)=RIGHT(BW$43,2),SUM($AX277:BA277),0)+IF(RIGHT(BW$43,2)&gt;RIGHT($K277,2),BA277,0))</f>
        <v>0</v>
      </c>
      <c r="BX277" s="1283">
        <f>+IF($K277="Ongoing",BB277,IF(RIGHT($K277,2)=RIGHT(BX$43,2),SUM($AX277:BB277),0)+IF(RIGHT(BX$43,2)&gt;RIGHT($K277,2),BB277,0))</f>
        <v>0</v>
      </c>
      <c r="BY277" s="386">
        <f>+IF($K277="Ongoing",BC277,IF(RIGHT($K277,2)=RIGHT(BY$43,2),SUM($AX277:BC277),0)+IF(RIGHT(BY$43,2)&gt;RIGHT($K277,2),BC277,0))</f>
        <v>0</v>
      </c>
      <c r="BZ277" s="387">
        <f>+IF($K277="Ongoing",BD277,IF(RIGHT($K277,2)=RIGHT(BZ$43,2),SUM($AX277:BD277),0)+IF(RIGHT(BZ$43,2)&gt;RIGHT($K277,2),BD277,0))</f>
        <v>0</v>
      </c>
      <c r="CA277" s="1277">
        <f>+IF($K277="Ongoing",BE277,IF(RIGHT($K277,2)=RIGHT(CA$43,2),SUM($AX277:BE277),0)+IF(RIGHT(CA$43,2)&gt;RIGHT($K277,2),BE277,0))</f>
        <v>0</v>
      </c>
      <c r="CB277" s="1277">
        <f>+IF($K277="Ongoing",BF277,IF(RIGHT($K277,2)=RIGHT(CB$43,2),SUM($AX277:BF277),0)+IF(RIGHT(CB$43,2)&gt;RIGHT($K277,2),BF277,0))</f>
        <v>0</v>
      </c>
      <c r="CC277" s="388">
        <f>+IF($K277="Ongoing",BG277,IF(RIGHT($K277,2)=RIGHT(CC$43,2),SUM($AX277:BG277),0)+IF(RIGHT(CC$43,2)&gt;RIGHT($K277,2),BG277,0))</f>
        <v>0</v>
      </c>
      <c r="CD277" s="1025"/>
      <c r="CE277" s="1282">
        <f>+Q277*KeyAssumptionsPriceControl_FO!AF$15</f>
        <v>0</v>
      </c>
      <c r="CF277" s="387">
        <f>+R277*KeyAssumptionsPriceControl_FO!AG$15</f>
        <v>0</v>
      </c>
      <c r="CG277" s="387">
        <f>+S277*KeyAssumptionsPriceControl_FO!AH$15</f>
        <v>0</v>
      </c>
      <c r="CH277" s="387">
        <f>+T277*KeyAssumptionsPriceControl_FO!AI$15</f>
        <v>0</v>
      </c>
      <c r="CI277" s="1283">
        <f>+U277*KeyAssumptionsPriceControl_FO!AJ$15</f>
        <v>0</v>
      </c>
      <c r="CJ277" s="386">
        <f>+V277*KeyAssumptionsPriceControl_FO!AK$15</f>
        <v>0</v>
      </c>
      <c r="CK277" s="387">
        <f>+W277*KeyAssumptionsPriceControl_FO!AL$15</f>
        <v>0</v>
      </c>
      <c r="CL277" s="1277">
        <f>+X277*KeyAssumptionsPriceControl_FO!AM$15</f>
        <v>0</v>
      </c>
      <c r="CM277" s="1277">
        <f>+Y277*KeyAssumptionsPriceControl_FO!AN$15</f>
        <v>0</v>
      </c>
      <c r="CN277" s="388">
        <f>+Z277*KeyAssumptionsPriceControl_FO!AO$15</f>
        <v>0</v>
      </c>
      <c r="CO277" s="1025"/>
      <c r="CP277" s="1282">
        <f t="shared" ca="1" si="477"/>
        <v>0</v>
      </c>
      <c r="CQ277" s="387">
        <f t="shared" ca="1" si="478"/>
        <v>0</v>
      </c>
      <c r="CR277" s="387">
        <f t="shared" ca="1" si="479"/>
        <v>0</v>
      </c>
      <c r="CS277" s="387">
        <f t="shared" ca="1" si="480"/>
        <v>0</v>
      </c>
      <c r="CT277" s="1283">
        <f t="shared" ca="1" si="481"/>
        <v>0</v>
      </c>
      <c r="CU277" s="386">
        <f t="shared" ca="1" si="482"/>
        <v>0</v>
      </c>
      <c r="CV277" s="387">
        <f t="shared" ca="1" si="483"/>
        <v>0</v>
      </c>
      <c r="CW277" s="1277">
        <f t="shared" ca="1" si="484"/>
        <v>0</v>
      </c>
      <c r="CX277" s="1277">
        <f t="shared" ca="1" si="485"/>
        <v>0</v>
      </c>
      <c r="CY277" s="388">
        <f t="shared" ca="1" si="486"/>
        <v>0</v>
      </c>
      <c r="CZ277" s="347"/>
      <c r="DA277" s="852"/>
      <c r="DB277" s="347"/>
      <c r="DC277" s="1012" t="s">
        <v>578</v>
      </c>
      <c r="DD277" s="841" t="s">
        <v>518</v>
      </c>
      <c r="DE277" s="386">
        <f>+IF($K277="ongoing",CE277,IF(RIGHT($K277,2)=RIGHT(DE$43,2),SUM($CD277:CE277),0)+IF(RIGHT(DE$43,2)&gt;RIGHT($K277,2),CE277,0))</f>
        <v>0</v>
      </c>
      <c r="DF277" s="387">
        <f>+IF($K277="ongoing",CF277,IF(RIGHT($K277,2)=RIGHT(DF$43,2),SUM($CD277:CF277),0)+IF(RIGHT(DF$43,2)&gt;RIGHT($K277,2),CF277,0))</f>
        <v>0</v>
      </c>
      <c r="DG277" s="388">
        <f>+IF($K277="ongoing",CG277,IF(RIGHT($K277,2)=RIGHT(DG$43,2),SUM($CD277:CG277),0)+IF(RIGHT(DG$43,2)&gt;RIGHT($K277,2),CG277,0))</f>
        <v>0</v>
      </c>
      <c r="DH277" s="386">
        <f>+IF($K277="ongoing",CH277,IF(RIGHT($K277,2)=RIGHT(DH$43,2),SUM($CD277:CH277),0)+IF(RIGHT(DH$43,2)&gt;RIGHT($K277,2),CH277,0))</f>
        <v>0</v>
      </c>
      <c r="DI277" s="387">
        <f>+IF($K277="ongoing",CI277,IF(RIGHT($K277,2)=RIGHT(DI$43,2),SUM($CD277:CI277),0)+IF(RIGHT(DI$43,2)&gt;RIGHT($K277,2),CI277,0))</f>
        <v>0</v>
      </c>
      <c r="DJ277" s="387">
        <f>+IF($K277="ongoing",CJ277,IF(RIGHT($K277,2)=RIGHT(DJ$43,2),SUM($CD277:CJ277),0)+IF(RIGHT(DJ$43,2)&gt;RIGHT($K277,2),CJ277,0))</f>
        <v>0</v>
      </c>
      <c r="DK277" s="387">
        <f>+IF($K277="ongoing",CK277,IF(RIGHT($K277,2)=RIGHT(DK$43,2),SUM($CD277:CK277),0)+IF(RIGHT(DK$43,2)&gt;RIGHT($K277,2),CK277,0))</f>
        <v>0</v>
      </c>
      <c r="DL277" s="388">
        <f>+IF($K277="ongoing",CN277,IF(RIGHT($K277,2)=RIGHT(DL$43,2),SUM($CD277:CN277),0)+IF(RIGHT(DL$43,2)&gt;RIGHT($K277,2),CN277,0))</f>
        <v>0</v>
      </c>
      <c r="DM277" s="841"/>
      <c r="DN277" s="386">
        <f t="shared" si="487"/>
        <v>0.5</v>
      </c>
      <c r="DO277" s="387">
        <f t="shared" si="488"/>
        <v>1</v>
      </c>
      <c r="DP277" s="388">
        <f t="shared" si="489"/>
        <v>1</v>
      </c>
      <c r="DQ277" s="386">
        <f t="shared" si="490"/>
        <v>1</v>
      </c>
      <c r="DR277" s="387">
        <f t="shared" si="491"/>
        <v>1</v>
      </c>
      <c r="DS277" s="387">
        <f t="shared" si="492"/>
        <v>1</v>
      </c>
      <c r="DT277" s="387">
        <f t="shared" si="493"/>
        <v>1</v>
      </c>
      <c r="DU277" s="388">
        <f t="shared" si="494"/>
        <v>1</v>
      </c>
      <c r="DW277" s="386">
        <f t="shared" si="495"/>
        <v>0</v>
      </c>
      <c r="DX277" s="387">
        <f t="shared" si="496"/>
        <v>0.5</v>
      </c>
      <c r="DY277" s="388">
        <f t="shared" si="497"/>
        <v>1</v>
      </c>
      <c r="DZ277" s="386">
        <f t="shared" si="498"/>
        <v>1</v>
      </c>
      <c r="EA277" s="387">
        <f t="shared" si="499"/>
        <v>1</v>
      </c>
      <c r="EB277" s="387">
        <f t="shared" si="500"/>
        <v>1</v>
      </c>
      <c r="EC277" s="387">
        <f t="shared" si="501"/>
        <v>1</v>
      </c>
      <c r="ED277" s="388">
        <f t="shared" si="502"/>
        <v>1</v>
      </c>
      <c r="EF277" s="834">
        <f>+IF(DN277=DM277,0,
IF(AND(EF$44&gt;1,DN277=$N277),1-SUM($EE277:EE277),
IF($N277&lt;=1,
IF($N277&gt;0,1/$N277,0),
IF(EF$44=1,0,VDB(1,0,$N277,INT(EF$44-1-1),MIN($N277,INT(EF$44-1-1)+1),$DC277,IF($DD277="No",1,0))/
IF(DM277&gt;=INT($N277),$N277-INT($N277),1)))*
IF(EF$44=1,0,
IF(INT(DN277)=INT(DM277),DN277-DM277,INT(DN277)-DM277))+
IF($N277&lt;=1,
IF($N277&gt;0,1/$N277,0),VDB(1,0,$N277,INT(EF$44-1),MIN($N277,INT(EF$44-1)+1),$DC277,IF($DD277="No",1,0))/
IF(DN277&gt;INT($N277),$N277-INT($N277),1))*
IF(EF$44=1,DN277,
IF(INT(DN277)=INT(DM277),0,DN277-INT(DN277)))))</f>
        <v>0</v>
      </c>
      <c r="EG277" s="835">
        <f>+IF(DO277=DN277,0,
IF(AND(EG$44&gt;1,DO277=$N277),1-SUM($EE277:EF277),
IF($N277&lt;=1,
IF($N277&gt;0,1/$N277,0),
IF(EG$44=1,0,VDB(1,0,$N277,INT(EG$44-1-1),MIN($N277,INT(EG$44-1-1)+1),$DC277,IF($DD277="No",1,0))/
IF(DN277&gt;=INT($N277),$N277-INT($N277),1)))*
IF(EG$44=1,0,
IF(INT(DO277)=INT(DN277),DO277-DN277,INT(DO277)-DN277))+
IF($N277&lt;=1,
IF($N277&gt;0,1/$N277,0),VDB(1,0,$N277,INT(EG$44-1),MIN($N277,INT(EG$44-1)+1),$DC277,IF($DD277="No",1,0))/
IF(DO277&gt;INT($N277),$N277-INT($N277),1))*
IF(EG$44=1,DO277,
IF(INT(DO277)=INT(DN277),0,DO277-INT(DO277)))))</f>
        <v>0</v>
      </c>
      <c r="EH277" s="836">
        <f>+IF(DP277=DO277,0,
IF(AND(EH$44&gt;1,DP277=$N277),1-SUM($EE277:EG277),
IF($N277&lt;=1,
IF($N277&gt;0,1/$N277,0),
IF(EH$44=1,0,VDB(1,0,$N277,INT(EH$44-1-1),MIN($N277,INT(EH$44-1-1)+1),$DC277,IF($DD277="No",1,0))/
IF(DO277&gt;=INT($N277),$N277-INT($N277),1)))*
IF(EH$44=1,0,
IF(INT(DP277)=INT(DO277),DP277-DO277,INT(DP277)-DO277))+
IF($N277&lt;=1,
IF($N277&gt;0,1/$N277,0),VDB(1,0,$N277,INT(EH$44-1),MIN($N277,INT(EH$44-1)+1),$DC277,IF($DD277="No",1,0))/
IF(DP277&gt;INT($N277),$N277-INT($N277),1))*
IF(EH$44=1,DP277,
IF(INT(DP277)=INT(DO277),0,DP277-INT(DP277)))))</f>
        <v>0</v>
      </c>
      <c r="EI277" s="834">
        <f>+IF(DQ277=DP277,0,
IF(AND(EI$44&gt;1,DQ277=$N277),1-SUM($EE277:EH277),
IF($N277&lt;=1,
IF($N277&gt;0,1/$N277,0),
IF(EI$44=1,0,VDB(1,0,$N277,INT(EI$44-1-1),MIN($N277,INT(EI$44-1-1)+1),$DC277,IF($DD277="No",1,0))/
IF(DP277&gt;=INT($N277),$N277-INT($N277),1)))*
IF(EI$44=1,0,
IF(INT(DQ277)=INT(DP277),DQ277-DP277,INT(DQ277)-DP277))+
IF($N277&lt;=1,
IF($N277&gt;0,1/$N277,0),VDB(1,0,$N277,INT(EI$44-1),MIN($N277,INT(EI$44-1)+1),$DC277,IF($DD277="No",1,0))/
IF(DQ277&gt;INT($N277),$N277-INT($N277),1))*
IF(EI$44=1,DQ277,
IF(INT(DQ277)=INT(DP277),0,DQ277-INT(DQ277)))))</f>
        <v>0</v>
      </c>
      <c r="EJ277" s="835">
        <f>+IF(DR277=DQ277,0,
IF(AND(EJ$44&gt;1,DR277=$N277),1-SUM($EE277:EI277),
IF($N277&lt;=1,
IF($N277&gt;0,1/$N277,0),
IF(EJ$44=1,0,VDB(1,0,$N277,INT(EJ$44-1-1),MIN($N277,INT(EJ$44-1-1)+1),$DC277,IF($DD277="No",1,0))/
IF(DQ277&gt;=INT($N277),$N277-INT($N277),1)))*
IF(EJ$44=1,0,
IF(INT(DR277)=INT(DQ277),DR277-DQ277,INT(DR277)-DQ277))+
IF($N277&lt;=1,
IF($N277&gt;0,1/$N277,0),VDB(1,0,$N277,INT(EJ$44-1),MIN($N277,INT(EJ$44-1)+1),$DC277,IF($DD277="No",1,0))/
IF(DR277&gt;INT($N277),$N277-INT($N277),1))*
IF(EJ$44=1,DR277,
IF(INT(DR277)=INT(DQ277),0,DR277-INT(DR277)))))</f>
        <v>0</v>
      </c>
      <c r="EK277" s="835">
        <f>+IF(DS277=DR277,0,
IF(AND(EK$44&gt;1,DS277=$N277),1-SUM($EE277:EJ277),
IF($N277&lt;=1,
IF($N277&gt;0,1/$N277,0),
IF(EK$44=1,0,VDB(1,0,$N277,INT(EK$44-1-1),MIN($N277,INT(EK$44-1-1)+1),$DC277,IF($DD277="No",1,0))/
IF(DR277&gt;=INT($N277),$N277-INT($N277),1)))*
IF(EK$44=1,0,
IF(INT(DS277)=INT(DR277),DS277-DR277,INT(DS277)-DR277))+
IF($N277&lt;=1,
IF($N277&gt;0,1/$N277,0),VDB(1,0,$N277,INT(EK$44-1),MIN($N277,INT(EK$44-1)+1),$DC277,IF($DD277="No",1,0))/
IF(DS277&gt;INT($N277),$N277-INT($N277),1))*
IF(EK$44=1,DS277,
IF(INT(DS277)=INT(DR277),0,DS277-INT(DS277)))))</f>
        <v>0</v>
      </c>
      <c r="EL277" s="835">
        <f>+IF(DT277=DS277,0,
IF(AND(EL$44&gt;1,DT277=$N277),1-SUM($EE277:EK277),
IF($N277&lt;=1,
IF($N277&gt;0,1/$N277,0),
IF(EL$44=1,0,VDB(1,0,$N277,INT(EL$44-1-1),MIN($N277,INT(EL$44-1-1)+1),$DC277,IF($DD277="No",1,0))/
IF(DS277&gt;=INT($N277),$N277-INT($N277),1)))*
IF(EL$44=1,0,
IF(INT(DT277)=INT(DS277),DT277-DS277,INT(DT277)-DS277))+
IF($N277&lt;=1,
IF($N277&gt;0,1/$N277,0),VDB(1,0,$N277,INT(EL$44-1),MIN($N277,INT(EL$44-1)+1),$DC277,IF($DD277="No",1,0))/
IF(DT277&gt;INT($N277),$N277-INT($N277),1))*
IF(EL$44=1,DT277,
IF(INT(DT277)=INT(DS277),0,DT277-INT(DT277)))))</f>
        <v>0</v>
      </c>
      <c r="EM277" s="836">
        <f>+IF(DU277=DT277,0,
IF(AND(EM$44&gt;1,DU277=$N277),1-SUM($EE277:EL277),
IF($N277&lt;=1,
IF($N277&gt;0,1/$N277,0),
IF(EM$44=1,0,VDB(1,0,$N277,INT(EM$44-1-1),MIN($N277,INT(EM$44-1-1)+1),$DC277,IF($DD277="No",1,0))/
IF(DT277&gt;=INT($N277),$N277-INT($N277),1)))*
IF(EM$44=1,0,
IF(INT(DU277)=INT(DT277),DU277-DT277,INT(DU277)-DT277))+
IF($N277&lt;=1,
IF($N277&gt;0,1/$N277,0),VDB(1,0,$N277,INT(EM$44-1),MIN($N277,INT(EM$44-1)+1),$DC277,IF($DD277="No",1,0))/
IF(DU277&gt;INT($N277),$N277-INT($N277),1))*
IF(EM$44=1,DU277,
IF(INT(DU277)=INT(DT277),0,DU277-INT(DU277)))))</f>
        <v>0</v>
      </c>
      <c r="EN277" s="833"/>
      <c r="EO277" s="834">
        <f>+IF(OR(DW277=DV277,EO$44=1),0,
IF(AND(EO$44&gt;1,DW277=$N277),1-SUM($EN277:EN277),
IF($N277&lt;=1,
IF($N277&gt;0,1/$N277,0),
IF(EO$44=2,0,VDB(1,0,$N277,INT(EO$44-2-1),MIN($N277,INT(EO$44-2-1)+1),$DC277,IF($DD277="No",1,0))/
IF(DV277&gt;=INT($N277),$N277-INT($N277),1)))*
IF(EO$44=2,0,
IF(INT(DW277)=INT(DV277),DW277-DV277,INT(DW277)-DV277))+
IF($N277&lt;=1,
IF($N277&gt;0,1/$N277,0),VDB(1,0,$N277,INT(EO$44-2),MIN($N277,INT(EO$44-2)+1),$DC277,IF($DD277="No",1,0))/
IF(DW277&gt;INT($N277),$N277-INT($N277),1))*
IF(EO$44=2,DW277,
IF(INT(DW277)=INT(DV277),0,DW277-INT(DW277)))))</f>
        <v>0</v>
      </c>
      <c r="EP277" s="835">
        <f>+IF(OR(DX277=DW277,EP$44=1),0,
IF(AND(EP$44&gt;1,DX277=$N277),1-SUM($EN277:EO277),
IF($N277&lt;=1,
IF($N277&gt;0,1/$N277,0),
IF(EP$44=2,0,VDB(1,0,$N277,INT(EP$44-2-1),MIN($N277,INT(EP$44-2-1)+1),$DC277,IF($DD277="No",1,0))/
IF(DW277&gt;=INT($N277),$N277-INT($N277),1)))*
IF(EP$44=2,0,
IF(INT(DX277)=INT(DW277),DX277-DW277,INT(DX277)-DW277))+
IF($N277&lt;=1,
IF($N277&gt;0,1/$N277,0),VDB(1,0,$N277,INT(EP$44-2),MIN($N277,INT(EP$44-2)+1),$DC277,IF($DD277="No",1,0))/
IF(DX277&gt;INT($N277),$N277-INT($N277),1))*
IF(EP$44=2,DX277,
IF(INT(DX277)=INT(DW277),0,DX277-INT(DX277)))))</f>
        <v>0</v>
      </c>
      <c r="EQ277" s="836">
        <f>+IF(OR(DY277=DX277,EQ$44=1),0,
IF(AND(EQ$44&gt;1,DY277=$N277),1-SUM($EN277:EP277),
IF($N277&lt;=1,
IF($N277&gt;0,1/$N277,0),
IF(EQ$44=2,0,VDB(1,0,$N277,INT(EQ$44-2-1),MIN($N277,INT(EQ$44-2-1)+1),$DC277,IF($DD277="No",1,0))/
IF(DX277&gt;=INT($N277),$N277-INT($N277),1)))*
IF(EQ$44=2,0,
IF(INT(DY277)=INT(DX277),DY277-DX277,INT(DY277)-DX277))+
IF($N277&lt;=1,
IF($N277&gt;0,1/$N277,0),VDB(1,0,$N277,INT(EQ$44-2),MIN($N277,INT(EQ$44-2)+1),$DC277,IF($DD277="No",1,0))/
IF(DY277&gt;INT($N277),$N277-INT($N277),1))*
IF(EQ$44=2,DY277,
IF(INT(DY277)=INT(DX277),0,DY277-INT(DY277)))))</f>
        <v>0</v>
      </c>
      <c r="ER277" s="834">
        <f>+IF(OR(DZ277=DY277,ER$44=1),0,
IF(AND(ER$44&gt;1,DZ277=$N277),1-SUM($EN277:EQ277),
IF($N277&lt;=1,
IF($N277&gt;0,1/$N277,0),
IF(ER$44=2,0,VDB(1,0,$N277,INT(ER$44-2-1),MIN($N277,INT(ER$44-2-1)+1),$DC277,IF($DD277="No",1,0))/
IF(DY277&gt;=INT($N277),$N277-INT($N277),1)))*
IF(ER$44=2,0,
IF(INT(DZ277)=INT(DY277),DZ277-DY277,INT(DZ277)-DY277))+
IF($N277&lt;=1,
IF($N277&gt;0,1/$N277,0),VDB(1,0,$N277,INT(ER$44-2),MIN($N277,INT(ER$44-2)+1),$DC277,IF($DD277="No",1,0))/
IF(DZ277&gt;INT($N277),$N277-INT($N277),1))*
IF(ER$44=2,DZ277,
IF(INT(DZ277)=INT(DY277),0,DZ277-INT(DZ277)))))</f>
        <v>0</v>
      </c>
      <c r="ES277" s="835">
        <f>+IF(OR(EA277=DZ277,ES$44=1),0,
IF(AND(ES$44&gt;1,EA277=$N277),1-SUM($EN277:ER277),
IF($N277&lt;=1,
IF($N277&gt;0,1/$N277,0),
IF(ES$44=2,0,VDB(1,0,$N277,INT(ES$44-2-1),MIN($N277,INT(ES$44-2-1)+1),$DC277,IF($DD277="No",1,0))/
IF(DZ277&gt;=INT($N277),$N277-INT($N277),1)))*
IF(ES$44=2,0,
IF(INT(EA277)=INT(DZ277),EA277-DZ277,INT(EA277)-DZ277))+
IF($N277&lt;=1,
IF($N277&gt;0,1/$N277,0),VDB(1,0,$N277,INT(ES$44-2),MIN($N277,INT(ES$44-2)+1),$DC277,IF($DD277="No",1,0))/
IF(EA277&gt;INT($N277),$N277-INT($N277),1))*
IF(ES$44=2,EA277,
IF(INT(EA277)=INT(DZ277),0,EA277-INT(EA277)))))</f>
        <v>0</v>
      </c>
      <c r="ET277" s="835">
        <f>+IF(OR(EB277=EA277,ET$44=1),0,
IF(AND(ET$44&gt;1,EB277=$N277),1-SUM($EN277:ES277),
IF($N277&lt;=1,
IF($N277&gt;0,1/$N277,0),
IF(ET$44=2,0,VDB(1,0,$N277,INT(ET$44-2-1),MIN($N277,INT(ET$44-2-1)+1),$DC277,IF($DD277="No",1,0))/
IF(EA277&gt;=INT($N277),$N277-INT($N277),1)))*
IF(ET$44=2,0,
IF(INT(EB277)=INT(EA277),EB277-EA277,INT(EB277)-EA277))+
IF($N277&lt;=1,
IF($N277&gt;0,1/$N277,0),VDB(1,0,$N277,INT(ET$44-2),MIN($N277,INT(ET$44-2)+1),$DC277,IF($DD277="No",1,0))/
IF(EB277&gt;INT($N277),$N277-INT($N277),1))*
IF(ET$44=2,EB277,
IF(INT(EB277)=INT(EA277),0,EB277-INT(EB277)))))</f>
        <v>0</v>
      </c>
      <c r="EU277" s="835">
        <f>+IF(OR(EC277=EB277,EU$44=1),0,
IF(AND(EU$44&gt;1,EC277=$N277),1-SUM($EN277:ET277),
IF($N277&lt;=1,
IF($N277&gt;0,1/$N277,0),
IF(EU$44=2,0,VDB(1,0,$N277,INT(EU$44-2-1),MIN($N277,INT(EU$44-2-1)+1),$DC277,IF($DD277="No",1,0))/
IF(EB277&gt;=INT($N277),$N277-INT($N277),1)))*
IF(EU$44=2,0,
IF(INT(EC277)=INT(EB277),EC277-EB277,INT(EC277)-EB277))+
IF($N277&lt;=1,
IF($N277&gt;0,1/$N277,0),VDB(1,0,$N277,INT(EU$44-2),MIN($N277,INT(EU$44-2)+1),$DC277,IF($DD277="No",1,0))/
IF(EC277&gt;INT($N277),$N277-INT($N277),1))*
IF(EU$44=2,EC277,
IF(INT(EC277)=INT(EB277),0,EC277-INT(EC277)))))</f>
        <v>0</v>
      </c>
      <c r="EV277" s="836">
        <f>+IF(OR(ED277=EC277,EV$44=1),0,
IF(AND(EV$44&gt;1,ED277=$N277),1-SUM($EN277:EU277),
IF($N277&lt;=1,
IF($N277&gt;0,1/$N277,0),
IF(EV$44=2,0,VDB(1,0,$N277,INT(EV$44-2-1),MIN($N277,INT(EV$44-2-1)+1),$DC277,IF($DD277="No",1,0))/
IF(EC277&gt;=INT($N277),$N277-INT($N277),1)))*
IF(EV$44=2,0,
IF(INT(ED277)=INT(EC277),ED277-EC277,INT(ED277)-EC277))+
IF($N277&lt;=1,
IF($N277&gt;0,1/$N277,0),VDB(1,0,$N277,INT(EV$44-2),MIN($N277,INT(EV$44-2)+1),$DC277,IF($DD277="No",1,0))/
IF(ED277&gt;INT($N277),$N277-INT($N277),1))*
IF(EV$44=2,ED277,
IF(INT(ED277)=INT(EC277),0,ED277-INT(ED277)))))</f>
        <v>0</v>
      </c>
      <c r="EW277" s="833"/>
      <c r="EX277" s="834">
        <f t="shared" ca="1" si="503"/>
        <v>0</v>
      </c>
      <c r="EY277" s="835">
        <f t="shared" ca="1" si="503"/>
        <v>0</v>
      </c>
      <c r="EZ277" s="836">
        <f t="shared" ca="1" si="503"/>
        <v>0</v>
      </c>
      <c r="FA277" s="834">
        <f t="shared" ca="1" si="503"/>
        <v>0</v>
      </c>
      <c r="FB277" s="835">
        <f t="shared" ca="1" si="503"/>
        <v>0</v>
      </c>
      <c r="FC277" s="835">
        <f t="shared" ca="1" si="503"/>
        <v>0</v>
      </c>
      <c r="FD277" s="835">
        <f t="shared" ca="1" si="503"/>
        <v>0</v>
      </c>
      <c r="FE277" s="836">
        <f t="shared" ca="1" si="503"/>
        <v>0</v>
      </c>
      <c r="FG277" s="386">
        <f t="shared" ca="1" si="504"/>
        <v>0</v>
      </c>
      <c r="FH277" s="387">
        <f t="shared" ca="1" si="505"/>
        <v>0</v>
      </c>
      <c r="FI277" s="388">
        <f t="shared" ca="1" si="506"/>
        <v>0</v>
      </c>
      <c r="FJ277" s="386">
        <f t="shared" ca="1" si="507"/>
        <v>0</v>
      </c>
      <c r="FK277" s="387">
        <f t="shared" ca="1" si="508"/>
        <v>0</v>
      </c>
      <c r="FL277" s="387">
        <f t="shared" ca="1" si="509"/>
        <v>0</v>
      </c>
      <c r="FM277" s="387">
        <f t="shared" ca="1" si="510"/>
        <v>0</v>
      </c>
      <c r="FN277" s="388">
        <f t="shared" ca="1" si="511"/>
        <v>0</v>
      </c>
      <c r="FR277" s="116"/>
    </row>
    <row r="278" spans="2:174">
      <c r="B278" s="1410">
        <f t="shared" si="512"/>
        <v>232</v>
      </c>
      <c r="C278" s="400"/>
      <c r="D278" s="410"/>
      <c r="E278" s="402"/>
      <c r="F278" s="402"/>
      <c r="G278" s="400"/>
      <c r="H278" s="2088"/>
      <c r="I278" s="2089"/>
      <c r="J278" s="411"/>
      <c r="K278" s="403"/>
      <c r="L278" s="403"/>
      <c r="M278" s="403"/>
      <c r="N278" s="403"/>
      <c r="O278" s="347"/>
      <c r="P278" s="347"/>
      <c r="Q278" s="1021"/>
      <c r="R278" s="1022"/>
      <c r="S278" s="1022"/>
      <c r="T278" s="1022"/>
      <c r="U278" s="1023"/>
      <c r="V278" s="1021"/>
      <c r="W278" s="1022"/>
      <c r="X278" s="1022"/>
      <c r="Y278" s="1022"/>
      <c r="Z278" s="1023"/>
      <c r="AA278" s="1024"/>
      <c r="AB278" s="1021"/>
      <c r="AC278" s="1022"/>
      <c r="AD278" s="1022"/>
      <c r="AE278" s="1022"/>
      <c r="AF278" s="1023"/>
      <c r="AG278" s="1021"/>
      <c r="AH278" s="1022"/>
      <c r="AI278" s="1022"/>
      <c r="AJ278" s="1022"/>
      <c r="AK278" s="1023"/>
      <c r="AL278" s="1024"/>
      <c r="AM278" s="1021"/>
      <c r="AN278" s="1022"/>
      <c r="AO278" s="1022"/>
      <c r="AP278" s="1022"/>
      <c r="AQ278" s="1023"/>
      <c r="AR278" s="1021"/>
      <c r="AS278" s="1022"/>
      <c r="AT278" s="1022"/>
      <c r="AU278" s="1022"/>
      <c r="AV278" s="1023"/>
      <c r="AW278" s="1025"/>
      <c r="AX278" s="1282">
        <f t="shared" si="457"/>
        <v>0</v>
      </c>
      <c r="AY278" s="387">
        <f t="shared" si="458"/>
        <v>0</v>
      </c>
      <c r="AZ278" s="387">
        <f t="shared" si="459"/>
        <v>0</v>
      </c>
      <c r="BA278" s="387">
        <f t="shared" si="460"/>
        <v>0</v>
      </c>
      <c r="BB278" s="1283">
        <f t="shared" si="461"/>
        <v>0</v>
      </c>
      <c r="BC278" s="386">
        <f t="shared" si="462"/>
        <v>0</v>
      </c>
      <c r="BD278" s="387">
        <f t="shared" si="463"/>
        <v>0</v>
      </c>
      <c r="BE278" s="1277">
        <f t="shared" si="464"/>
        <v>0</v>
      </c>
      <c r="BF278" s="1277">
        <f t="shared" si="465"/>
        <v>0</v>
      </c>
      <c r="BG278" s="388">
        <f t="shared" si="466"/>
        <v>0</v>
      </c>
      <c r="BH278" s="1025"/>
      <c r="BI278" s="1282">
        <f t="shared" ca="1" si="467"/>
        <v>0</v>
      </c>
      <c r="BJ278" s="387">
        <f t="shared" ca="1" si="468"/>
        <v>0</v>
      </c>
      <c r="BK278" s="387">
        <f t="shared" ca="1" si="469"/>
        <v>0</v>
      </c>
      <c r="BL278" s="387">
        <f t="shared" ca="1" si="470"/>
        <v>0</v>
      </c>
      <c r="BM278" s="1283">
        <f t="shared" ca="1" si="471"/>
        <v>0</v>
      </c>
      <c r="BN278" s="386">
        <f t="shared" ca="1" si="472"/>
        <v>0</v>
      </c>
      <c r="BO278" s="387">
        <f t="shared" ca="1" si="473"/>
        <v>0</v>
      </c>
      <c r="BP278" s="1277">
        <f t="shared" ca="1" si="474"/>
        <v>0</v>
      </c>
      <c r="BQ278" s="1277">
        <f t="shared" ca="1" si="475"/>
        <v>0</v>
      </c>
      <c r="BR278" s="388">
        <f t="shared" ca="1" si="476"/>
        <v>0</v>
      </c>
      <c r="BS278" s="1025"/>
      <c r="BT278" s="1282">
        <f>+IF($K278="Ongoing",AX278,IF(RIGHT($K278,2)=RIGHT(BT$43,2),SUM($AX278:AX278),0)+IF(RIGHT(BT$43,2)&gt;RIGHT($K278,2),AX278,0))</f>
        <v>0</v>
      </c>
      <c r="BU278" s="387">
        <f>+IF($K278="Ongoing",AY278,IF(RIGHT($K278,2)=RIGHT(BU$43,2),SUM($AX278:AY278),0)+IF(RIGHT(BU$43,2)&gt;RIGHT($K278,2),AY278,0))</f>
        <v>0</v>
      </c>
      <c r="BV278" s="387">
        <f>+IF($K278="Ongoing",AZ278,IF(RIGHT($K278,2)=RIGHT(BV$43,2),SUM($AX278:AZ278),0)+IF(RIGHT(BV$43,2)&gt;RIGHT($K278,2),AZ278,0))</f>
        <v>0</v>
      </c>
      <c r="BW278" s="387">
        <f>+IF($K278="Ongoing",BA278,IF(RIGHT($K278,2)=RIGHT(BW$43,2),SUM($AX278:BA278),0)+IF(RIGHT(BW$43,2)&gt;RIGHT($K278,2),BA278,0))</f>
        <v>0</v>
      </c>
      <c r="BX278" s="1283">
        <f>+IF($K278="Ongoing",BB278,IF(RIGHT($K278,2)=RIGHT(BX$43,2),SUM($AX278:BB278),0)+IF(RIGHT(BX$43,2)&gt;RIGHT($K278,2),BB278,0))</f>
        <v>0</v>
      </c>
      <c r="BY278" s="386">
        <f>+IF($K278="Ongoing",BC278,IF(RIGHT($K278,2)=RIGHT(BY$43,2),SUM($AX278:BC278),0)+IF(RIGHT(BY$43,2)&gt;RIGHT($K278,2),BC278,0))</f>
        <v>0</v>
      </c>
      <c r="BZ278" s="387">
        <f>+IF($K278="Ongoing",BD278,IF(RIGHT($K278,2)=RIGHT(BZ$43,2),SUM($AX278:BD278),0)+IF(RIGHT(BZ$43,2)&gt;RIGHT($K278,2),BD278,0))</f>
        <v>0</v>
      </c>
      <c r="CA278" s="1277">
        <f>+IF($K278="Ongoing",BE278,IF(RIGHT($K278,2)=RIGHT(CA$43,2),SUM($AX278:BE278),0)+IF(RIGHT(CA$43,2)&gt;RIGHT($K278,2),BE278,0))</f>
        <v>0</v>
      </c>
      <c r="CB278" s="1277">
        <f>+IF($K278="Ongoing",BF278,IF(RIGHT($K278,2)=RIGHT(CB$43,2),SUM($AX278:BF278),0)+IF(RIGHT(CB$43,2)&gt;RIGHT($K278,2),BF278,0))</f>
        <v>0</v>
      </c>
      <c r="CC278" s="388">
        <f>+IF($K278="Ongoing",BG278,IF(RIGHT($K278,2)=RIGHT(CC$43,2),SUM($AX278:BG278),0)+IF(RIGHT(CC$43,2)&gt;RIGHT($K278,2),BG278,0))</f>
        <v>0</v>
      </c>
      <c r="CD278" s="1025"/>
      <c r="CE278" s="1282">
        <f>+Q278*KeyAssumptionsPriceControl_FO!AF$15</f>
        <v>0</v>
      </c>
      <c r="CF278" s="387">
        <f>+R278*KeyAssumptionsPriceControl_FO!AG$15</f>
        <v>0</v>
      </c>
      <c r="CG278" s="387">
        <f>+S278*KeyAssumptionsPriceControl_FO!AH$15</f>
        <v>0</v>
      </c>
      <c r="CH278" s="387">
        <f>+T278*KeyAssumptionsPriceControl_FO!AI$15</f>
        <v>0</v>
      </c>
      <c r="CI278" s="1283">
        <f>+U278*KeyAssumptionsPriceControl_FO!AJ$15</f>
        <v>0</v>
      </c>
      <c r="CJ278" s="386">
        <f>+V278*KeyAssumptionsPriceControl_FO!AK$15</f>
        <v>0</v>
      </c>
      <c r="CK278" s="387">
        <f>+W278*KeyAssumptionsPriceControl_FO!AL$15</f>
        <v>0</v>
      </c>
      <c r="CL278" s="1277">
        <f>+X278*KeyAssumptionsPriceControl_FO!AM$15</f>
        <v>0</v>
      </c>
      <c r="CM278" s="1277">
        <f>+Y278*KeyAssumptionsPriceControl_FO!AN$15</f>
        <v>0</v>
      </c>
      <c r="CN278" s="388">
        <f>+Z278*KeyAssumptionsPriceControl_FO!AO$15</f>
        <v>0</v>
      </c>
      <c r="CO278" s="1025"/>
      <c r="CP278" s="1282">
        <f t="shared" ca="1" si="477"/>
        <v>0</v>
      </c>
      <c r="CQ278" s="387">
        <f t="shared" ca="1" si="478"/>
        <v>0</v>
      </c>
      <c r="CR278" s="387">
        <f t="shared" ca="1" si="479"/>
        <v>0</v>
      </c>
      <c r="CS278" s="387">
        <f t="shared" ca="1" si="480"/>
        <v>0</v>
      </c>
      <c r="CT278" s="1283">
        <f t="shared" ca="1" si="481"/>
        <v>0</v>
      </c>
      <c r="CU278" s="386">
        <f t="shared" ca="1" si="482"/>
        <v>0</v>
      </c>
      <c r="CV278" s="387">
        <f t="shared" ca="1" si="483"/>
        <v>0</v>
      </c>
      <c r="CW278" s="1277">
        <f t="shared" ca="1" si="484"/>
        <v>0</v>
      </c>
      <c r="CX278" s="1277">
        <f t="shared" ca="1" si="485"/>
        <v>0</v>
      </c>
      <c r="CY278" s="388">
        <f t="shared" ca="1" si="486"/>
        <v>0</v>
      </c>
      <c r="CZ278" s="347"/>
      <c r="DA278" s="852"/>
      <c r="DB278" s="347"/>
      <c r="DC278" s="1012" t="s">
        <v>579</v>
      </c>
      <c r="DD278" s="841" t="s">
        <v>518</v>
      </c>
      <c r="DE278" s="386">
        <f>+IF($K278="ongoing",CE278,IF(RIGHT($K278,2)=RIGHT(DE$43,2),SUM($CD278:CE278),0)+IF(RIGHT(DE$43,2)&gt;RIGHT($K278,2),CE278,0))</f>
        <v>0</v>
      </c>
      <c r="DF278" s="387">
        <f>+IF($K278="ongoing",CF278,IF(RIGHT($K278,2)=RIGHT(DF$43,2),SUM($CD278:CF278),0)+IF(RIGHT(DF$43,2)&gt;RIGHT($K278,2),CF278,0))</f>
        <v>0</v>
      </c>
      <c r="DG278" s="388">
        <f>+IF($K278="ongoing",CG278,IF(RIGHT($K278,2)=RIGHT(DG$43,2),SUM($CD278:CG278),0)+IF(RIGHT(DG$43,2)&gt;RIGHT($K278,2),CG278,0))</f>
        <v>0</v>
      </c>
      <c r="DH278" s="386">
        <f>+IF($K278="ongoing",CH278,IF(RIGHT($K278,2)=RIGHT(DH$43,2),SUM($CD278:CH278),0)+IF(RIGHT(DH$43,2)&gt;RIGHT($K278,2),CH278,0))</f>
        <v>0</v>
      </c>
      <c r="DI278" s="387">
        <f>+IF($K278="ongoing",CI278,IF(RIGHT($K278,2)=RIGHT(DI$43,2),SUM($CD278:CI278),0)+IF(RIGHT(DI$43,2)&gt;RIGHT($K278,2),CI278,0))</f>
        <v>0</v>
      </c>
      <c r="DJ278" s="387">
        <f>+IF($K278="ongoing",CJ278,IF(RIGHT($K278,2)=RIGHT(DJ$43,2),SUM($CD278:CJ278),0)+IF(RIGHT(DJ$43,2)&gt;RIGHT($K278,2),CJ278,0))</f>
        <v>0</v>
      </c>
      <c r="DK278" s="387">
        <f>+IF($K278="ongoing",CK278,IF(RIGHT($K278,2)=RIGHT(DK$43,2),SUM($CD278:CK278),0)+IF(RIGHT(DK$43,2)&gt;RIGHT($K278,2),CK278,0))</f>
        <v>0</v>
      </c>
      <c r="DL278" s="388">
        <f>+IF($K278="ongoing",CN278,IF(RIGHT($K278,2)=RIGHT(DL$43,2),SUM($CD278:CN278),0)+IF(RIGHT(DL$43,2)&gt;RIGHT($K278,2),CN278,0))</f>
        <v>0</v>
      </c>
      <c r="DM278" s="841"/>
      <c r="DN278" s="386">
        <f t="shared" si="487"/>
        <v>0.5</v>
      </c>
      <c r="DO278" s="387">
        <f t="shared" si="488"/>
        <v>1</v>
      </c>
      <c r="DP278" s="388">
        <f t="shared" si="489"/>
        <v>1</v>
      </c>
      <c r="DQ278" s="386">
        <f t="shared" si="490"/>
        <v>1</v>
      </c>
      <c r="DR278" s="387">
        <f t="shared" si="491"/>
        <v>1</v>
      </c>
      <c r="DS278" s="387">
        <f t="shared" si="492"/>
        <v>1</v>
      </c>
      <c r="DT278" s="387">
        <f t="shared" si="493"/>
        <v>1</v>
      </c>
      <c r="DU278" s="388">
        <f t="shared" si="494"/>
        <v>1</v>
      </c>
      <c r="DW278" s="386">
        <f t="shared" si="495"/>
        <v>0</v>
      </c>
      <c r="DX278" s="387">
        <f t="shared" si="496"/>
        <v>0.5</v>
      </c>
      <c r="DY278" s="388">
        <f t="shared" si="497"/>
        <v>1</v>
      </c>
      <c r="DZ278" s="386">
        <f t="shared" si="498"/>
        <v>1</v>
      </c>
      <c r="EA278" s="387">
        <f t="shared" si="499"/>
        <v>1</v>
      </c>
      <c r="EB278" s="387">
        <f t="shared" si="500"/>
        <v>1</v>
      </c>
      <c r="EC278" s="387">
        <f t="shared" si="501"/>
        <v>1</v>
      </c>
      <c r="ED278" s="388">
        <f t="shared" si="502"/>
        <v>1</v>
      </c>
      <c r="EF278" s="834">
        <f>+IF(DN278=DM278,0,
IF(AND(EF$44&gt;1,DN278=$N278),1-SUM($EE278:EE278),
IF($N278&lt;=1,
IF($N278&gt;0,1/$N278,0),
IF(EF$44=1,0,VDB(1,0,$N278,INT(EF$44-1-1),MIN($N278,INT(EF$44-1-1)+1),$DC278,IF($DD278="No",1,0))/
IF(DM278&gt;=INT($N278),$N278-INT($N278),1)))*
IF(EF$44=1,0,
IF(INT(DN278)=INT(DM278),DN278-DM278,INT(DN278)-DM278))+
IF($N278&lt;=1,
IF($N278&gt;0,1/$N278,0),VDB(1,0,$N278,INT(EF$44-1),MIN($N278,INT(EF$44-1)+1),$DC278,IF($DD278="No",1,0))/
IF(DN278&gt;INT($N278),$N278-INT($N278),1))*
IF(EF$44=1,DN278,
IF(INT(DN278)=INT(DM278),0,DN278-INT(DN278)))))</f>
        <v>0</v>
      </c>
      <c r="EG278" s="835">
        <f>+IF(DO278=DN278,0,
IF(AND(EG$44&gt;1,DO278=$N278),1-SUM($EE278:EF278),
IF($N278&lt;=1,
IF($N278&gt;0,1/$N278,0),
IF(EG$44=1,0,VDB(1,0,$N278,INT(EG$44-1-1),MIN($N278,INT(EG$44-1-1)+1),$DC278,IF($DD278="No",1,0))/
IF(DN278&gt;=INT($N278),$N278-INT($N278),1)))*
IF(EG$44=1,0,
IF(INT(DO278)=INT(DN278),DO278-DN278,INT(DO278)-DN278))+
IF($N278&lt;=1,
IF($N278&gt;0,1/$N278,0),VDB(1,0,$N278,INT(EG$44-1),MIN($N278,INT(EG$44-1)+1),$DC278,IF($DD278="No",1,0))/
IF(DO278&gt;INT($N278),$N278-INT($N278),1))*
IF(EG$44=1,DO278,
IF(INT(DO278)=INT(DN278),0,DO278-INT(DO278)))))</f>
        <v>0</v>
      </c>
      <c r="EH278" s="836">
        <f>+IF(DP278=DO278,0,
IF(AND(EH$44&gt;1,DP278=$N278),1-SUM($EE278:EG278),
IF($N278&lt;=1,
IF($N278&gt;0,1/$N278,0),
IF(EH$44=1,0,VDB(1,0,$N278,INT(EH$44-1-1),MIN($N278,INT(EH$44-1-1)+1),$DC278,IF($DD278="No",1,0))/
IF(DO278&gt;=INT($N278),$N278-INT($N278),1)))*
IF(EH$44=1,0,
IF(INT(DP278)=INT(DO278),DP278-DO278,INT(DP278)-DO278))+
IF($N278&lt;=1,
IF($N278&gt;0,1/$N278,0),VDB(1,0,$N278,INT(EH$44-1),MIN($N278,INT(EH$44-1)+1),$DC278,IF($DD278="No",1,0))/
IF(DP278&gt;INT($N278),$N278-INT($N278),1))*
IF(EH$44=1,DP278,
IF(INT(DP278)=INT(DO278),0,DP278-INT(DP278)))))</f>
        <v>0</v>
      </c>
      <c r="EI278" s="834">
        <f>+IF(DQ278=DP278,0,
IF(AND(EI$44&gt;1,DQ278=$N278),1-SUM($EE278:EH278),
IF($N278&lt;=1,
IF($N278&gt;0,1/$N278,0),
IF(EI$44=1,0,VDB(1,0,$N278,INT(EI$44-1-1),MIN($N278,INT(EI$44-1-1)+1),$DC278,IF($DD278="No",1,0))/
IF(DP278&gt;=INT($N278),$N278-INT($N278),1)))*
IF(EI$44=1,0,
IF(INT(DQ278)=INT(DP278),DQ278-DP278,INT(DQ278)-DP278))+
IF($N278&lt;=1,
IF($N278&gt;0,1/$N278,0),VDB(1,0,$N278,INT(EI$44-1),MIN($N278,INT(EI$44-1)+1),$DC278,IF($DD278="No",1,0))/
IF(DQ278&gt;INT($N278),$N278-INT($N278),1))*
IF(EI$44=1,DQ278,
IF(INT(DQ278)=INT(DP278),0,DQ278-INT(DQ278)))))</f>
        <v>0</v>
      </c>
      <c r="EJ278" s="835">
        <f>+IF(DR278=DQ278,0,
IF(AND(EJ$44&gt;1,DR278=$N278),1-SUM($EE278:EI278),
IF($N278&lt;=1,
IF($N278&gt;0,1/$N278,0),
IF(EJ$44=1,0,VDB(1,0,$N278,INT(EJ$44-1-1),MIN($N278,INT(EJ$44-1-1)+1),$DC278,IF($DD278="No",1,0))/
IF(DQ278&gt;=INT($N278),$N278-INT($N278),1)))*
IF(EJ$44=1,0,
IF(INT(DR278)=INT(DQ278),DR278-DQ278,INT(DR278)-DQ278))+
IF($N278&lt;=1,
IF($N278&gt;0,1/$N278,0),VDB(1,0,$N278,INT(EJ$44-1),MIN($N278,INT(EJ$44-1)+1),$DC278,IF($DD278="No",1,0))/
IF(DR278&gt;INT($N278),$N278-INT($N278),1))*
IF(EJ$44=1,DR278,
IF(INT(DR278)=INT(DQ278),0,DR278-INT(DR278)))))</f>
        <v>0</v>
      </c>
      <c r="EK278" s="835">
        <f>+IF(DS278=DR278,0,
IF(AND(EK$44&gt;1,DS278=$N278),1-SUM($EE278:EJ278),
IF($N278&lt;=1,
IF($N278&gt;0,1/$N278,0),
IF(EK$44=1,0,VDB(1,0,$N278,INT(EK$44-1-1),MIN($N278,INT(EK$44-1-1)+1),$DC278,IF($DD278="No",1,0))/
IF(DR278&gt;=INT($N278),$N278-INT($N278),1)))*
IF(EK$44=1,0,
IF(INT(DS278)=INT(DR278),DS278-DR278,INT(DS278)-DR278))+
IF($N278&lt;=1,
IF($N278&gt;0,1/$N278,0),VDB(1,0,$N278,INT(EK$44-1),MIN($N278,INT(EK$44-1)+1),$DC278,IF($DD278="No",1,0))/
IF(DS278&gt;INT($N278),$N278-INT($N278),1))*
IF(EK$44=1,DS278,
IF(INT(DS278)=INT(DR278),0,DS278-INT(DS278)))))</f>
        <v>0</v>
      </c>
      <c r="EL278" s="835">
        <f>+IF(DT278=DS278,0,
IF(AND(EL$44&gt;1,DT278=$N278),1-SUM($EE278:EK278),
IF($N278&lt;=1,
IF($N278&gt;0,1/$N278,0),
IF(EL$44=1,0,VDB(1,0,$N278,INT(EL$44-1-1),MIN($N278,INT(EL$44-1-1)+1),$DC278,IF($DD278="No",1,0))/
IF(DS278&gt;=INT($N278),$N278-INT($N278),1)))*
IF(EL$44=1,0,
IF(INT(DT278)=INT(DS278),DT278-DS278,INT(DT278)-DS278))+
IF($N278&lt;=1,
IF($N278&gt;0,1/$N278,0),VDB(1,0,$N278,INT(EL$44-1),MIN($N278,INT(EL$44-1)+1),$DC278,IF($DD278="No",1,0))/
IF(DT278&gt;INT($N278),$N278-INT($N278),1))*
IF(EL$44=1,DT278,
IF(INT(DT278)=INT(DS278),0,DT278-INT(DT278)))))</f>
        <v>0</v>
      </c>
      <c r="EM278" s="836">
        <f>+IF(DU278=DT278,0,
IF(AND(EM$44&gt;1,DU278=$N278),1-SUM($EE278:EL278),
IF($N278&lt;=1,
IF($N278&gt;0,1/$N278,0),
IF(EM$44=1,0,VDB(1,0,$N278,INT(EM$44-1-1),MIN($N278,INT(EM$44-1-1)+1),$DC278,IF($DD278="No",1,0))/
IF(DT278&gt;=INT($N278),$N278-INT($N278),1)))*
IF(EM$44=1,0,
IF(INT(DU278)=INT(DT278),DU278-DT278,INT(DU278)-DT278))+
IF($N278&lt;=1,
IF($N278&gt;0,1/$N278,0),VDB(1,0,$N278,INT(EM$44-1),MIN($N278,INT(EM$44-1)+1),$DC278,IF($DD278="No",1,0))/
IF(DU278&gt;INT($N278),$N278-INT($N278),1))*
IF(EM$44=1,DU278,
IF(INT(DU278)=INT(DT278),0,DU278-INT(DU278)))))</f>
        <v>0</v>
      </c>
      <c r="EN278" s="833"/>
      <c r="EO278" s="834">
        <f>+IF(OR(DW278=DV278,EO$44=1),0,
IF(AND(EO$44&gt;1,DW278=$N278),1-SUM($EN278:EN278),
IF($N278&lt;=1,
IF($N278&gt;0,1/$N278,0),
IF(EO$44=2,0,VDB(1,0,$N278,INT(EO$44-2-1),MIN($N278,INT(EO$44-2-1)+1),$DC278,IF($DD278="No",1,0))/
IF(DV278&gt;=INT($N278),$N278-INT($N278),1)))*
IF(EO$44=2,0,
IF(INT(DW278)=INT(DV278),DW278-DV278,INT(DW278)-DV278))+
IF($N278&lt;=1,
IF($N278&gt;0,1/$N278,0),VDB(1,0,$N278,INT(EO$44-2),MIN($N278,INT(EO$44-2)+1),$DC278,IF($DD278="No",1,0))/
IF(DW278&gt;INT($N278),$N278-INT($N278),1))*
IF(EO$44=2,DW278,
IF(INT(DW278)=INT(DV278),0,DW278-INT(DW278)))))</f>
        <v>0</v>
      </c>
      <c r="EP278" s="835">
        <f>+IF(OR(DX278=DW278,EP$44=1),0,
IF(AND(EP$44&gt;1,DX278=$N278),1-SUM($EN278:EO278),
IF($N278&lt;=1,
IF($N278&gt;0,1/$N278,0),
IF(EP$44=2,0,VDB(1,0,$N278,INT(EP$44-2-1),MIN($N278,INT(EP$44-2-1)+1),$DC278,IF($DD278="No",1,0))/
IF(DW278&gt;=INT($N278),$N278-INT($N278),1)))*
IF(EP$44=2,0,
IF(INT(DX278)=INT(DW278),DX278-DW278,INT(DX278)-DW278))+
IF($N278&lt;=1,
IF($N278&gt;0,1/$N278,0),VDB(1,0,$N278,INT(EP$44-2),MIN($N278,INT(EP$44-2)+1),$DC278,IF($DD278="No",1,0))/
IF(DX278&gt;INT($N278),$N278-INT($N278),1))*
IF(EP$44=2,DX278,
IF(INT(DX278)=INT(DW278),0,DX278-INT(DX278)))))</f>
        <v>0</v>
      </c>
      <c r="EQ278" s="836">
        <f>+IF(OR(DY278=DX278,EQ$44=1),0,
IF(AND(EQ$44&gt;1,DY278=$N278),1-SUM($EN278:EP278),
IF($N278&lt;=1,
IF($N278&gt;0,1/$N278,0),
IF(EQ$44=2,0,VDB(1,0,$N278,INT(EQ$44-2-1),MIN($N278,INT(EQ$44-2-1)+1),$DC278,IF($DD278="No",1,0))/
IF(DX278&gt;=INT($N278),$N278-INT($N278),1)))*
IF(EQ$44=2,0,
IF(INT(DY278)=INT(DX278),DY278-DX278,INT(DY278)-DX278))+
IF($N278&lt;=1,
IF($N278&gt;0,1/$N278,0),VDB(1,0,$N278,INT(EQ$44-2),MIN($N278,INT(EQ$44-2)+1),$DC278,IF($DD278="No",1,0))/
IF(DY278&gt;INT($N278),$N278-INT($N278),1))*
IF(EQ$44=2,DY278,
IF(INT(DY278)=INT(DX278),0,DY278-INT(DY278)))))</f>
        <v>0</v>
      </c>
      <c r="ER278" s="834">
        <f>+IF(OR(DZ278=DY278,ER$44=1),0,
IF(AND(ER$44&gt;1,DZ278=$N278),1-SUM($EN278:EQ278),
IF($N278&lt;=1,
IF($N278&gt;0,1/$N278,0),
IF(ER$44=2,0,VDB(1,0,$N278,INT(ER$44-2-1),MIN($N278,INT(ER$44-2-1)+1),$DC278,IF($DD278="No",1,0))/
IF(DY278&gt;=INT($N278),$N278-INT($N278),1)))*
IF(ER$44=2,0,
IF(INT(DZ278)=INT(DY278),DZ278-DY278,INT(DZ278)-DY278))+
IF($N278&lt;=1,
IF($N278&gt;0,1/$N278,0),VDB(1,0,$N278,INT(ER$44-2),MIN($N278,INT(ER$44-2)+1),$DC278,IF($DD278="No",1,0))/
IF(DZ278&gt;INT($N278),$N278-INT($N278),1))*
IF(ER$44=2,DZ278,
IF(INT(DZ278)=INT(DY278),0,DZ278-INT(DZ278)))))</f>
        <v>0</v>
      </c>
      <c r="ES278" s="835">
        <f>+IF(OR(EA278=DZ278,ES$44=1),0,
IF(AND(ES$44&gt;1,EA278=$N278),1-SUM($EN278:ER278),
IF($N278&lt;=1,
IF($N278&gt;0,1/$N278,0),
IF(ES$44=2,0,VDB(1,0,$N278,INT(ES$44-2-1),MIN($N278,INT(ES$44-2-1)+1),$DC278,IF($DD278="No",1,0))/
IF(DZ278&gt;=INT($N278),$N278-INT($N278),1)))*
IF(ES$44=2,0,
IF(INT(EA278)=INT(DZ278),EA278-DZ278,INT(EA278)-DZ278))+
IF($N278&lt;=1,
IF($N278&gt;0,1/$N278,0),VDB(1,0,$N278,INT(ES$44-2),MIN($N278,INT(ES$44-2)+1),$DC278,IF($DD278="No",1,0))/
IF(EA278&gt;INT($N278),$N278-INT($N278),1))*
IF(ES$44=2,EA278,
IF(INT(EA278)=INT(DZ278),0,EA278-INT(EA278)))))</f>
        <v>0</v>
      </c>
      <c r="ET278" s="835">
        <f>+IF(OR(EB278=EA278,ET$44=1),0,
IF(AND(ET$44&gt;1,EB278=$N278),1-SUM($EN278:ES278),
IF($N278&lt;=1,
IF($N278&gt;0,1/$N278,0),
IF(ET$44=2,0,VDB(1,0,$N278,INT(ET$44-2-1),MIN($N278,INT(ET$44-2-1)+1),$DC278,IF($DD278="No",1,0))/
IF(EA278&gt;=INT($N278),$N278-INT($N278),1)))*
IF(ET$44=2,0,
IF(INT(EB278)=INT(EA278),EB278-EA278,INT(EB278)-EA278))+
IF($N278&lt;=1,
IF($N278&gt;0,1/$N278,0),VDB(1,0,$N278,INT(ET$44-2),MIN($N278,INT(ET$44-2)+1),$DC278,IF($DD278="No",1,0))/
IF(EB278&gt;INT($N278),$N278-INT($N278),1))*
IF(ET$44=2,EB278,
IF(INT(EB278)=INT(EA278),0,EB278-INT(EB278)))))</f>
        <v>0</v>
      </c>
      <c r="EU278" s="835">
        <f>+IF(OR(EC278=EB278,EU$44=1),0,
IF(AND(EU$44&gt;1,EC278=$N278),1-SUM($EN278:ET278),
IF($N278&lt;=1,
IF($N278&gt;0,1/$N278,0),
IF(EU$44=2,0,VDB(1,0,$N278,INT(EU$44-2-1),MIN($N278,INT(EU$44-2-1)+1),$DC278,IF($DD278="No",1,0))/
IF(EB278&gt;=INT($N278),$N278-INT($N278),1)))*
IF(EU$44=2,0,
IF(INT(EC278)=INT(EB278),EC278-EB278,INT(EC278)-EB278))+
IF($N278&lt;=1,
IF($N278&gt;0,1/$N278,0),VDB(1,0,$N278,INT(EU$44-2),MIN($N278,INT(EU$44-2)+1),$DC278,IF($DD278="No",1,0))/
IF(EC278&gt;INT($N278),$N278-INT($N278),1))*
IF(EU$44=2,EC278,
IF(INT(EC278)=INT(EB278),0,EC278-INT(EC278)))))</f>
        <v>0</v>
      </c>
      <c r="EV278" s="836">
        <f>+IF(OR(ED278=EC278,EV$44=1),0,
IF(AND(EV$44&gt;1,ED278=$N278),1-SUM($EN278:EU278),
IF($N278&lt;=1,
IF($N278&gt;0,1/$N278,0),
IF(EV$44=2,0,VDB(1,0,$N278,INT(EV$44-2-1),MIN($N278,INT(EV$44-2-1)+1),$DC278,IF($DD278="No",1,0))/
IF(EC278&gt;=INT($N278),$N278-INT($N278),1)))*
IF(EV$44=2,0,
IF(INT(ED278)=INT(EC278),ED278-EC278,INT(ED278)-EC278))+
IF($N278&lt;=1,
IF($N278&gt;0,1/$N278,0),VDB(1,0,$N278,INT(EV$44-2),MIN($N278,INT(EV$44-2)+1),$DC278,IF($DD278="No",1,0))/
IF(ED278&gt;INT($N278),$N278-INT($N278),1))*
IF(EV$44=2,ED278,
IF(INT(ED278)=INT(EC278),0,ED278-INT(ED278)))))</f>
        <v>0</v>
      </c>
      <c r="EW278" s="833"/>
      <c r="EX278" s="834">
        <f t="shared" ca="1" si="503"/>
        <v>0</v>
      </c>
      <c r="EY278" s="835">
        <f t="shared" ca="1" si="503"/>
        <v>0</v>
      </c>
      <c r="EZ278" s="836">
        <f t="shared" ca="1" si="503"/>
        <v>0</v>
      </c>
      <c r="FA278" s="834">
        <f t="shared" ca="1" si="503"/>
        <v>0</v>
      </c>
      <c r="FB278" s="835">
        <f t="shared" ca="1" si="503"/>
        <v>0</v>
      </c>
      <c r="FC278" s="835">
        <f t="shared" ca="1" si="503"/>
        <v>0</v>
      </c>
      <c r="FD278" s="835">
        <f t="shared" ca="1" si="503"/>
        <v>0</v>
      </c>
      <c r="FE278" s="836">
        <f t="shared" ca="1" si="503"/>
        <v>0</v>
      </c>
      <c r="FG278" s="386">
        <f t="shared" ca="1" si="504"/>
        <v>0</v>
      </c>
      <c r="FH278" s="387">
        <f t="shared" ca="1" si="505"/>
        <v>0</v>
      </c>
      <c r="FI278" s="388">
        <f t="shared" ca="1" si="506"/>
        <v>0</v>
      </c>
      <c r="FJ278" s="386">
        <f t="shared" ca="1" si="507"/>
        <v>0</v>
      </c>
      <c r="FK278" s="387">
        <f t="shared" ca="1" si="508"/>
        <v>0</v>
      </c>
      <c r="FL278" s="387">
        <f t="shared" ca="1" si="509"/>
        <v>0</v>
      </c>
      <c r="FM278" s="387">
        <f t="shared" ca="1" si="510"/>
        <v>0</v>
      </c>
      <c r="FN278" s="388">
        <f t="shared" ca="1" si="511"/>
        <v>0</v>
      </c>
      <c r="FR278" s="116"/>
    </row>
    <row r="279" spans="2:174">
      <c r="B279" s="1410">
        <f t="shared" si="512"/>
        <v>233</v>
      </c>
      <c r="C279" s="400"/>
      <c r="D279" s="410"/>
      <c r="E279" s="402"/>
      <c r="F279" s="402"/>
      <c r="G279" s="400"/>
      <c r="H279" s="2088"/>
      <c r="I279" s="2089"/>
      <c r="J279" s="411"/>
      <c r="K279" s="403"/>
      <c r="L279" s="403"/>
      <c r="M279" s="403"/>
      <c r="N279" s="403"/>
      <c r="O279" s="347"/>
      <c r="P279" s="347"/>
      <c r="Q279" s="1021"/>
      <c r="R279" s="1022"/>
      <c r="S279" s="1022"/>
      <c r="T279" s="1022"/>
      <c r="U279" s="1023"/>
      <c r="V279" s="1021"/>
      <c r="W279" s="1022"/>
      <c r="X279" s="1022"/>
      <c r="Y279" s="1022"/>
      <c r="Z279" s="1023"/>
      <c r="AA279" s="1024"/>
      <c r="AB279" s="1021"/>
      <c r="AC279" s="1022"/>
      <c r="AD279" s="1022"/>
      <c r="AE279" s="1022"/>
      <c r="AF279" s="1023"/>
      <c r="AG279" s="1021"/>
      <c r="AH279" s="1022"/>
      <c r="AI279" s="1022"/>
      <c r="AJ279" s="1022"/>
      <c r="AK279" s="1023"/>
      <c r="AL279" s="1024"/>
      <c r="AM279" s="1021"/>
      <c r="AN279" s="1022"/>
      <c r="AO279" s="1022"/>
      <c r="AP279" s="1022"/>
      <c r="AQ279" s="1023"/>
      <c r="AR279" s="1021"/>
      <c r="AS279" s="1022"/>
      <c r="AT279" s="1022"/>
      <c r="AU279" s="1022"/>
      <c r="AV279" s="1023"/>
      <c r="AW279" s="1025"/>
      <c r="AX279" s="1282">
        <f t="shared" si="457"/>
        <v>0</v>
      </c>
      <c r="AY279" s="387">
        <f t="shared" si="458"/>
        <v>0</v>
      </c>
      <c r="AZ279" s="387">
        <f t="shared" si="459"/>
        <v>0</v>
      </c>
      <c r="BA279" s="387">
        <f t="shared" si="460"/>
        <v>0</v>
      </c>
      <c r="BB279" s="1283">
        <f t="shared" si="461"/>
        <v>0</v>
      </c>
      <c r="BC279" s="386">
        <f t="shared" si="462"/>
        <v>0</v>
      </c>
      <c r="BD279" s="387">
        <f t="shared" si="463"/>
        <v>0</v>
      </c>
      <c r="BE279" s="1277">
        <f t="shared" si="464"/>
        <v>0</v>
      </c>
      <c r="BF279" s="1277">
        <f t="shared" si="465"/>
        <v>0</v>
      </c>
      <c r="BG279" s="388">
        <f t="shared" si="466"/>
        <v>0</v>
      </c>
      <c r="BH279" s="1025"/>
      <c r="BI279" s="1282">
        <f t="shared" ca="1" si="467"/>
        <v>0</v>
      </c>
      <c r="BJ279" s="387">
        <f t="shared" ca="1" si="468"/>
        <v>0</v>
      </c>
      <c r="BK279" s="387">
        <f t="shared" ca="1" si="469"/>
        <v>0</v>
      </c>
      <c r="BL279" s="387">
        <f t="shared" ca="1" si="470"/>
        <v>0</v>
      </c>
      <c r="BM279" s="1283">
        <f t="shared" ca="1" si="471"/>
        <v>0</v>
      </c>
      <c r="BN279" s="386">
        <f t="shared" ca="1" si="472"/>
        <v>0</v>
      </c>
      <c r="BO279" s="387">
        <f t="shared" ca="1" si="473"/>
        <v>0</v>
      </c>
      <c r="BP279" s="1277">
        <f t="shared" ca="1" si="474"/>
        <v>0</v>
      </c>
      <c r="BQ279" s="1277">
        <f t="shared" ca="1" si="475"/>
        <v>0</v>
      </c>
      <c r="BR279" s="388">
        <f t="shared" ca="1" si="476"/>
        <v>0</v>
      </c>
      <c r="BS279" s="1025"/>
      <c r="BT279" s="1282">
        <f>+IF($K279="Ongoing",AX279,IF(RIGHT($K279,2)=RIGHT(BT$43,2),SUM($AX279:AX279),0)+IF(RIGHT(BT$43,2)&gt;RIGHT($K279,2),AX279,0))</f>
        <v>0</v>
      </c>
      <c r="BU279" s="387">
        <f>+IF($K279="Ongoing",AY279,IF(RIGHT($K279,2)=RIGHT(BU$43,2),SUM($AX279:AY279),0)+IF(RIGHT(BU$43,2)&gt;RIGHT($K279,2),AY279,0))</f>
        <v>0</v>
      </c>
      <c r="BV279" s="387">
        <f>+IF($K279="Ongoing",AZ279,IF(RIGHT($K279,2)=RIGHT(BV$43,2),SUM($AX279:AZ279),0)+IF(RIGHT(BV$43,2)&gt;RIGHT($K279,2),AZ279,0))</f>
        <v>0</v>
      </c>
      <c r="BW279" s="387">
        <f>+IF($K279="Ongoing",BA279,IF(RIGHT($K279,2)=RIGHT(BW$43,2),SUM($AX279:BA279),0)+IF(RIGHT(BW$43,2)&gt;RIGHT($K279,2),BA279,0))</f>
        <v>0</v>
      </c>
      <c r="BX279" s="1283">
        <f>+IF($K279="Ongoing",BB279,IF(RIGHT($K279,2)=RIGHT(BX$43,2),SUM($AX279:BB279),0)+IF(RIGHT(BX$43,2)&gt;RIGHT($K279,2),BB279,0))</f>
        <v>0</v>
      </c>
      <c r="BY279" s="386">
        <f>+IF($K279="Ongoing",BC279,IF(RIGHT($K279,2)=RIGHT(BY$43,2),SUM($AX279:BC279),0)+IF(RIGHT(BY$43,2)&gt;RIGHT($K279,2),BC279,0))</f>
        <v>0</v>
      </c>
      <c r="BZ279" s="387">
        <f>+IF($K279="Ongoing",BD279,IF(RIGHT($K279,2)=RIGHT(BZ$43,2),SUM($AX279:BD279),0)+IF(RIGHT(BZ$43,2)&gt;RIGHT($K279,2),BD279,0))</f>
        <v>0</v>
      </c>
      <c r="CA279" s="1277">
        <f>+IF($K279="Ongoing",BE279,IF(RIGHT($K279,2)=RIGHT(CA$43,2),SUM($AX279:BE279),0)+IF(RIGHT(CA$43,2)&gt;RIGHT($K279,2),BE279,0))</f>
        <v>0</v>
      </c>
      <c r="CB279" s="1277">
        <f>+IF($K279="Ongoing",BF279,IF(RIGHT($K279,2)=RIGHT(CB$43,2),SUM($AX279:BF279),0)+IF(RIGHT(CB$43,2)&gt;RIGHT($K279,2),BF279,0))</f>
        <v>0</v>
      </c>
      <c r="CC279" s="388">
        <f>+IF($K279="Ongoing",BG279,IF(RIGHT($K279,2)=RIGHT(CC$43,2),SUM($AX279:BG279),0)+IF(RIGHT(CC$43,2)&gt;RIGHT($K279,2),BG279,0))</f>
        <v>0</v>
      </c>
      <c r="CD279" s="1025"/>
      <c r="CE279" s="1282">
        <f>+Q279*KeyAssumptionsPriceControl_FO!AF$15</f>
        <v>0</v>
      </c>
      <c r="CF279" s="387">
        <f>+R279*KeyAssumptionsPriceControl_FO!AG$15</f>
        <v>0</v>
      </c>
      <c r="CG279" s="387">
        <f>+S279*KeyAssumptionsPriceControl_FO!AH$15</f>
        <v>0</v>
      </c>
      <c r="CH279" s="387">
        <f>+T279*KeyAssumptionsPriceControl_FO!AI$15</f>
        <v>0</v>
      </c>
      <c r="CI279" s="1283">
        <f>+U279*KeyAssumptionsPriceControl_FO!AJ$15</f>
        <v>0</v>
      </c>
      <c r="CJ279" s="386">
        <f>+V279*KeyAssumptionsPriceControl_FO!AK$15</f>
        <v>0</v>
      </c>
      <c r="CK279" s="387">
        <f>+W279*KeyAssumptionsPriceControl_FO!AL$15</f>
        <v>0</v>
      </c>
      <c r="CL279" s="1277">
        <f>+X279*KeyAssumptionsPriceControl_FO!AM$15</f>
        <v>0</v>
      </c>
      <c r="CM279" s="1277">
        <f>+Y279*KeyAssumptionsPriceControl_FO!AN$15</f>
        <v>0</v>
      </c>
      <c r="CN279" s="388">
        <f>+Z279*KeyAssumptionsPriceControl_FO!AO$15</f>
        <v>0</v>
      </c>
      <c r="CO279" s="1025"/>
      <c r="CP279" s="1282">
        <f t="shared" ca="1" si="477"/>
        <v>0</v>
      </c>
      <c r="CQ279" s="387">
        <f t="shared" ca="1" si="478"/>
        <v>0</v>
      </c>
      <c r="CR279" s="387">
        <f t="shared" ca="1" si="479"/>
        <v>0</v>
      </c>
      <c r="CS279" s="387">
        <f t="shared" ca="1" si="480"/>
        <v>0</v>
      </c>
      <c r="CT279" s="1283">
        <f t="shared" ca="1" si="481"/>
        <v>0</v>
      </c>
      <c r="CU279" s="386">
        <f t="shared" ca="1" si="482"/>
        <v>0</v>
      </c>
      <c r="CV279" s="387">
        <f t="shared" ca="1" si="483"/>
        <v>0</v>
      </c>
      <c r="CW279" s="1277">
        <f t="shared" ca="1" si="484"/>
        <v>0</v>
      </c>
      <c r="CX279" s="1277">
        <f t="shared" ca="1" si="485"/>
        <v>0</v>
      </c>
      <c r="CY279" s="388">
        <f t="shared" ca="1" si="486"/>
        <v>0</v>
      </c>
      <c r="CZ279" s="347"/>
      <c r="DA279" s="852"/>
      <c r="DB279" s="347"/>
      <c r="DC279" s="1012" t="s">
        <v>581</v>
      </c>
      <c r="DD279" s="841" t="s">
        <v>518</v>
      </c>
      <c r="DE279" s="386">
        <f>+IF($K279="ongoing",CE279,IF(RIGHT($K279,2)=RIGHT(DE$43,2),SUM($CD279:CE279),0)+IF(RIGHT(DE$43,2)&gt;RIGHT($K279,2),CE279,0))</f>
        <v>0</v>
      </c>
      <c r="DF279" s="387">
        <f>+IF($K279="ongoing",CF279,IF(RIGHT($K279,2)=RIGHT(DF$43,2),SUM($CD279:CF279),0)+IF(RIGHT(DF$43,2)&gt;RIGHT($K279,2),CF279,0))</f>
        <v>0</v>
      </c>
      <c r="DG279" s="388">
        <f>+IF($K279="ongoing",CG279,IF(RIGHT($K279,2)=RIGHT(DG$43,2),SUM($CD279:CG279),0)+IF(RIGHT(DG$43,2)&gt;RIGHT($K279,2),CG279,0))</f>
        <v>0</v>
      </c>
      <c r="DH279" s="386">
        <f>+IF($K279="ongoing",CH279,IF(RIGHT($K279,2)=RIGHT(DH$43,2),SUM($CD279:CH279),0)+IF(RIGHT(DH$43,2)&gt;RIGHT($K279,2),CH279,0))</f>
        <v>0</v>
      </c>
      <c r="DI279" s="387">
        <f>+IF($K279="ongoing",CI279,IF(RIGHT($K279,2)=RIGHT(DI$43,2),SUM($CD279:CI279),0)+IF(RIGHT(DI$43,2)&gt;RIGHT($K279,2),CI279,0))</f>
        <v>0</v>
      </c>
      <c r="DJ279" s="387">
        <f>+IF($K279="ongoing",CJ279,IF(RIGHT($K279,2)=RIGHT(DJ$43,2),SUM($CD279:CJ279),0)+IF(RIGHT(DJ$43,2)&gt;RIGHT($K279,2),CJ279,0))</f>
        <v>0</v>
      </c>
      <c r="DK279" s="387">
        <f>+IF($K279="ongoing",CK279,IF(RIGHT($K279,2)=RIGHT(DK$43,2),SUM($CD279:CK279),0)+IF(RIGHT(DK$43,2)&gt;RIGHT($K279,2),CK279,0))</f>
        <v>0</v>
      </c>
      <c r="DL279" s="388">
        <f>+IF($K279="ongoing",CN279,IF(RIGHT($K279,2)=RIGHT(DL$43,2),SUM($CD279:CN279),0)+IF(RIGHT(DL$43,2)&gt;RIGHT($K279,2),CN279,0))</f>
        <v>0</v>
      </c>
      <c r="DM279" s="841"/>
      <c r="DN279" s="386">
        <f t="shared" si="487"/>
        <v>0.5</v>
      </c>
      <c r="DO279" s="387">
        <f t="shared" si="488"/>
        <v>1</v>
      </c>
      <c r="DP279" s="388">
        <f t="shared" si="489"/>
        <v>1</v>
      </c>
      <c r="DQ279" s="386">
        <f t="shared" si="490"/>
        <v>1</v>
      </c>
      <c r="DR279" s="387">
        <f t="shared" si="491"/>
        <v>1</v>
      </c>
      <c r="DS279" s="387">
        <f t="shared" si="492"/>
        <v>1</v>
      </c>
      <c r="DT279" s="387">
        <f t="shared" si="493"/>
        <v>1</v>
      </c>
      <c r="DU279" s="388">
        <f t="shared" si="494"/>
        <v>1</v>
      </c>
      <c r="DW279" s="386">
        <f t="shared" si="495"/>
        <v>0</v>
      </c>
      <c r="DX279" s="387">
        <f t="shared" si="496"/>
        <v>0.5</v>
      </c>
      <c r="DY279" s="388">
        <f t="shared" si="497"/>
        <v>1</v>
      </c>
      <c r="DZ279" s="386">
        <f t="shared" si="498"/>
        <v>1</v>
      </c>
      <c r="EA279" s="387">
        <f t="shared" si="499"/>
        <v>1</v>
      </c>
      <c r="EB279" s="387">
        <f t="shared" si="500"/>
        <v>1</v>
      </c>
      <c r="EC279" s="387">
        <f t="shared" si="501"/>
        <v>1</v>
      </c>
      <c r="ED279" s="388">
        <f t="shared" si="502"/>
        <v>1</v>
      </c>
      <c r="EF279" s="834">
        <f>+IF(DN279=DM279,0,
IF(AND(EF$44&gt;1,DN279=$N279),1-SUM($EE279:EE279),
IF($N279&lt;=1,
IF($N279&gt;0,1/$N279,0),
IF(EF$44=1,0,VDB(1,0,$N279,INT(EF$44-1-1),MIN($N279,INT(EF$44-1-1)+1),$DC279,IF($DD279="No",1,0))/
IF(DM279&gt;=INT($N279),$N279-INT($N279),1)))*
IF(EF$44=1,0,
IF(INT(DN279)=INT(DM279),DN279-DM279,INT(DN279)-DM279))+
IF($N279&lt;=1,
IF($N279&gt;0,1/$N279,0),VDB(1,0,$N279,INT(EF$44-1),MIN($N279,INT(EF$44-1)+1),$DC279,IF($DD279="No",1,0))/
IF(DN279&gt;INT($N279),$N279-INT($N279),1))*
IF(EF$44=1,DN279,
IF(INT(DN279)=INT(DM279),0,DN279-INT(DN279)))))</f>
        <v>0</v>
      </c>
      <c r="EG279" s="835">
        <f>+IF(DO279=DN279,0,
IF(AND(EG$44&gt;1,DO279=$N279),1-SUM($EE279:EF279),
IF($N279&lt;=1,
IF($N279&gt;0,1/$N279,0),
IF(EG$44=1,0,VDB(1,0,$N279,INT(EG$44-1-1),MIN($N279,INT(EG$44-1-1)+1),$DC279,IF($DD279="No",1,0))/
IF(DN279&gt;=INT($N279),$N279-INT($N279),1)))*
IF(EG$44=1,0,
IF(INT(DO279)=INT(DN279),DO279-DN279,INT(DO279)-DN279))+
IF($N279&lt;=1,
IF($N279&gt;0,1/$N279,0),VDB(1,0,$N279,INT(EG$44-1),MIN($N279,INT(EG$44-1)+1),$DC279,IF($DD279="No",1,0))/
IF(DO279&gt;INT($N279),$N279-INT($N279),1))*
IF(EG$44=1,DO279,
IF(INT(DO279)=INT(DN279),0,DO279-INT(DO279)))))</f>
        <v>0</v>
      </c>
      <c r="EH279" s="836">
        <f>+IF(DP279=DO279,0,
IF(AND(EH$44&gt;1,DP279=$N279),1-SUM($EE279:EG279),
IF($N279&lt;=1,
IF($N279&gt;0,1/$N279,0),
IF(EH$44=1,0,VDB(1,0,$N279,INT(EH$44-1-1),MIN($N279,INT(EH$44-1-1)+1),$DC279,IF($DD279="No",1,0))/
IF(DO279&gt;=INT($N279),$N279-INT($N279),1)))*
IF(EH$44=1,0,
IF(INT(DP279)=INT(DO279),DP279-DO279,INT(DP279)-DO279))+
IF($N279&lt;=1,
IF($N279&gt;0,1/$N279,0),VDB(1,0,$N279,INT(EH$44-1),MIN($N279,INT(EH$44-1)+1),$DC279,IF($DD279="No",1,0))/
IF(DP279&gt;INT($N279),$N279-INT($N279),1))*
IF(EH$44=1,DP279,
IF(INT(DP279)=INT(DO279),0,DP279-INT(DP279)))))</f>
        <v>0</v>
      </c>
      <c r="EI279" s="834">
        <f>+IF(DQ279=DP279,0,
IF(AND(EI$44&gt;1,DQ279=$N279),1-SUM($EE279:EH279),
IF($N279&lt;=1,
IF($N279&gt;0,1/$N279,0),
IF(EI$44=1,0,VDB(1,0,$N279,INT(EI$44-1-1),MIN($N279,INT(EI$44-1-1)+1),$DC279,IF($DD279="No",1,0))/
IF(DP279&gt;=INT($N279),$N279-INT($N279),1)))*
IF(EI$44=1,0,
IF(INT(DQ279)=INT(DP279),DQ279-DP279,INT(DQ279)-DP279))+
IF($N279&lt;=1,
IF($N279&gt;0,1/$N279,0),VDB(1,0,$N279,INT(EI$44-1),MIN($N279,INT(EI$44-1)+1),$DC279,IF($DD279="No",1,0))/
IF(DQ279&gt;INT($N279),$N279-INT($N279),1))*
IF(EI$44=1,DQ279,
IF(INT(DQ279)=INT(DP279),0,DQ279-INT(DQ279)))))</f>
        <v>0</v>
      </c>
      <c r="EJ279" s="835">
        <f>+IF(DR279=DQ279,0,
IF(AND(EJ$44&gt;1,DR279=$N279),1-SUM($EE279:EI279),
IF($N279&lt;=1,
IF($N279&gt;0,1/$N279,0),
IF(EJ$44=1,0,VDB(1,0,$N279,INT(EJ$44-1-1),MIN($N279,INT(EJ$44-1-1)+1),$DC279,IF($DD279="No",1,0))/
IF(DQ279&gt;=INT($N279),$N279-INT($N279),1)))*
IF(EJ$44=1,0,
IF(INT(DR279)=INT(DQ279),DR279-DQ279,INT(DR279)-DQ279))+
IF($N279&lt;=1,
IF($N279&gt;0,1/$N279,0),VDB(1,0,$N279,INT(EJ$44-1),MIN($N279,INT(EJ$44-1)+1),$DC279,IF($DD279="No",1,0))/
IF(DR279&gt;INT($N279),$N279-INT($N279),1))*
IF(EJ$44=1,DR279,
IF(INT(DR279)=INT(DQ279),0,DR279-INT(DR279)))))</f>
        <v>0</v>
      </c>
      <c r="EK279" s="835">
        <f>+IF(DS279=DR279,0,
IF(AND(EK$44&gt;1,DS279=$N279),1-SUM($EE279:EJ279),
IF($N279&lt;=1,
IF($N279&gt;0,1/$N279,0),
IF(EK$44=1,0,VDB(1,0,$N279,INT(EK$44-1-1),MIN($N279,INT(EK$44-1-1)+1),$DC279,IF($DD279="No",1,0))/
IF(DR279&gt;=INT($N279),$N279-INT($N279),1)))*
IF(EK$44=1,0,
IF(INT(DS279)=INT(DR279),DS279-DR279,INT(DS279)-DR279))+
IF($N279&lt;=1,
IF($N279&gt;0,1/$N279,0),VDB(1,0,$N279,INT(EK$44-1),MIN($N279,INT(EK$44-1)+1),$DC279,IF($DD279="No",1,0))/
IF(DS279&gt;INT($N279),$N279-INT($N279),1))*
IF(EK$44=1,DS279,
IF(INT(DS279)=INT(DR279),0,DS279-INT(DS279)))))</f>
        <v>0</v>
      </c>
      <c r="EL279" s="835">
        <f>+IF(DT279=DS279,0,
IF(AND(EL$44&gt;1,DT279=$N279),1-SUM($EE279:EK279),
IF($N279&lt;=1,
IF($N279&gt;0,1/$N279,0),
IF(EL$44=1,0,VDB(1,0,$N279,INT(EL$44-1-1),MIN($N279,INT(EL$44-1-1)+1),$DC279,IF($DD279="No",1,0))/
IF(DS279&gt;=INT($N279),$N279-INT($N279),1)))*
IF(EL$44=1,0,
IF(INT(DT279)=INT(DS279),DT279-DS279,INT(DT279)-DS279))+
IF($N279&lt;=1,
IF($N279&gt;0,1/$N279,0),VDB(1,0,$N279,INT(EL$44-1),MIN($N279,INT(EL$44-1)+1),$DC279,IF($DD279="No",1,0))/
IF(DT279&gt;INT($N279),$N279-INT($N279),1))*
IF(EL$44=1,DT279,
IF(INT(DT279)=INT(DS279),0,DT279-INT(DT279)))))</f>
        <v>0</v>
      </c>
      <c r="EM279" s="836">
        <f>+IF(DU279=DT279,0,
IF(AND(EM$44&gt;1,DU279=$N279),1-SUM($EE279:EL279),
IF($N279&lt;=1,
IF($N279&gt;0,1/$N279,0),
IF(EM$44=1,0,VDB(1,0,$N279,INT(EM$44-1-1),MIN($N279,INT(EM$44-1-1)+1),$DC279,IF($DD279="No",1,0))/
IF(DT279&gt;=INT($N279),$N279-INT($N279),1)))*
IF(EM$44=1,0,
IF(INT(DU279)=INT(DT279),DU279-DT279,INT(DU279)-DT279))+
IF($N279&lt;=1,
IF($N279&gt;0,1/$N279,0),VDB(1,0,$N279,INT(EM$44-1),MIN($N279,INT(EM$44-1)+1),$DC279,IF($DD279="No",1,0))/
IF(DU279&gt;INT($N279),$N279-INT($N279),1))*
IF(EM$44=1,DU279,
IF(INT(DU279)=INT(DT279),0,DU279-INT(DU279)))))</f>
        <v>0</v>
      </c>
      <c r="EN279" s="833"/>
      <c r="EO279" s="834">
        <f>+IF(OR(DW279=DV279,EO$44=1),0,
IF(AND(EO$44&gt;1,DW279=$N279),1-SUM($EN279:EN279),
IF($N279&lt;=1,
IF($N279&gt;0,1/$N279,0),
IF(EO$44=2,0,VDB(1,0,$N279,INT(EO$44-2-1),MIN($N279,INT(EO$44-2-1)+1),$DC279,IF($DD279="No",1,0))/
IF(DV279&gt;=INT($N279),$N279-INT($N279),1)))*
IF(EO$44=2,0,
IF(INT(DW279)=INT(DV279),DW279-DV279,INT(DW279)-DV279))+
IF($N279&lt;=1,
IF($N279&gt;0,1/$N279,0),VDB(1,0,$N279,INT(EO$44-2),MIN($N279,INT(EO$44-2)+1),$DC279,IF($DD279="No",1,0))/
IF(DW279&gt;INT($N279),$N279-INT($N279),1))*
IF(EO$44=2,DW279,
IF(INT(DW279)=INT(DV279),0,DW279-INT(DW279)))))</f>
        <v>0</v>
      </c>
      <c r="EP279" s="835">
        <f>+IF(OR(DX279=DW279,EP$44=1),0,
IF(AND(EP$44&gt;1,DX279=$N279),1-SUM($EN279:EO279),
IF($N279&lt;=1,
IF($N279&gt;0,1/$N279,0),
IF(EP$44=2,0,VDB(1,0,$N279,INT(EP$44-2-1),MIN($N279,INT(EP$44-2-1)+1),$DC279,IF($DD279="No",1,0))/
IF(DW279&gt;=INT($N279),$N279-INT($N279),1)))*
IF(EP$44=2,0,
IF(INT(DX279)=INT(DW279),DX279-DW279,INT(DX279)-DW279))+
IF($N279&lt;=1,
IF($N279&gt;0,1/$N279,0),VDB(1,0,$N279,INT(EP$44-2),MIN($N279,INT(EP$44-2)+1),$DC279,IF($DD279="No",1,0))/
IF(DX279&gt;INT($N279),$N279-INT($N279),1))*
IF(EP$44=2,DX279,
IF(INT(DX279)=INT(DW279),0,DX279-INT(DX279)))))</f>
        <v>0</v>
      </c>
      <c r="EQ279" s="836">
        <f>+IF(OR(DY279=DX279,EQ$44=1),0,
IF(AND(EQ$44&gt;1,DY279=$N279),1-SUM($EN279:EP279),
IF($N279&lt;=1,
IF($N279&gt;0,1/$N279,0),
IF(EQ$44=2,0,VDB(1,0,$N279,INT(EQ$44-2-1),MIN($N279,INT(EQ$44-2-1)+1),$DC279,IF($DD279="No",1,0))/
IF(DX279&gt;=INT($N279),$N279-INT($N279),1)))*
IF(EQ$44=2,0,
IF(INT(DY279)=INT(DX279),DY279-DX279,INT(DY279)-DX279))+
IF($N279&lt;=1,
IF($N279&gt;0,1/$N279,0),VDB(1,0,$N279,INT(EQ$44-2),MIN($N279,INT(EQ$44-2)+1),$DC279,IF($DD279="No",1,0))/
IF(DY279&gt;INT($N279),$N279-INT($N279),1))*
IF(EQ$44=2,DY279,
IF(INT(DY279)=INT(DX279),0,DY279-INT(DY279)))))</f>
        <v>0</v>
      </c>
      <c r="ER279" s="834">
        <f>+IF(OR(DZ279=DY279,ER$44=1),0,
IF(AND(ER$44&gt;1,DZ279=$N279),1-SUM($EN279:EQ279),
IF($N279&lt;=1,
IF($N279&gt;0,1/$N279,0),
IF(ER$44=2,0,VDB(1,0,$N279,INT(ER$44-2-1),MIN($N279,INT(ER$44-2-1)+1),$DC279,IF($DD279="No",1,0))/
IF(DY279&gt;=INT($N279),$N279-INT($N279),1)))*
IF(ER$44=2,0,
IF(INT(DZ279)=INT(DY279),DZ279-DY279,INT(DZ279)-DY279))+
IF($N279&lt;=1,
IF($N279&gt;0,1/$N279,0),VDB(1,0,$N279,INT(ER$44-2),MIN($N279,INT(ER$44-2)+1),$DC279,IF($DD279="No",1,0))/
IF(DZ279&gt;INT($N279),$N279-INT($N279),1))*
IF(ER$44=2,DZ279,
IF(INT(DZ279)=INT(DY279),0,DZ279-INT(DZ279)))))</f>
        <v>0</v>
      </c>
      <c r="ES279" s="835">
        <f>+IF(OR(EA279=DZ279,ES$44=1),0,
IF(AND(ES$44&gt;1,EA279=$N279),1-SUM($EN279:ER279),
IF($N279&lt;=1,
IF($N279&gt;0,1/$N279,0),
IF(ES$44=2,0,VDB(1,0,$N279,INT(ES$44-2-1),MIN($N279,INT(ES$44-2-1)+1),$DC279,IF($DD279="No",1,0))/
IF(DZ279&gt;=INT($N279),$N279-INT($N279),1)))*
IF(ES$44=2,0,
IF(INT(EA279)=INT(DZ279),EA279-DZ279,INT(EA279)-DZ279))+
IF($N279&lt;=1,
IF($N279&gt;0,1/$N279,0),VDB(1,0,$N279,INT(ES$44-2),MIN($N279,INT(ES$44-2)+1),$DC279,IF($DD279="No",1,0))/
IF(EA279&gt;INT($N279),$N279-INT($N279),1))*
IF(ES$44=2,EA279,
IF(INT(EA279)=INT(DZ279),0,EA279-INT(EA279)))))</f>
        <v>0</v>
      </c>
      <c r="ET279" s="835">
        <f>+IF(OR(EB279=EA279,ET$44=1),0,
IF(AND(ET$44&gt;1,EB279=$N279),1-SUM($EN279:ES279),
IF($N279&lt;=1,
IF($N279&gt;0,1/$N279,0),
IF(ET$44=2,0,VDB(1,0,$N279,INT(ET$44-2-1),MIN($N279,INT(ET$44-2-1)+1),$DC279,IF($DD279="No",1,0))/
IF(EA279&gt;=INT($N279),$N279-INT($N279),1)))*
IF(ET$44=2,0,
IF(INT(EB279)=INT(EA279),EB279-EA279,INT(EB279)-EA279))+
IF($N279&lt;=1,
IF($N279&gt;0,1/$N279,0),VDB(1,0,$N279,INT(ET$44-2),MIN($N279,INT(ET$44-2)+1),$DC279,IF($DD279="No",1,0))/
IF(EB279&gt;INT($N279),$N279-INT($N279),1))*
IF(ET$44=2,EB279,
IF(INT(EB279)=INT(EA279),0,EB279-INT(EB279)))))</f>
        <v>0</v>
      </c>
      <c r="EU279" s="835">
        <f>+IF(OR(EC279=EB279,EU$44=1),0,
IF(AND(EU$44&gt;1,EC279=$N279),1-SUM($EN279:ET279),
IF($N279&lt;=1,
IF($N279&gt;0,1/$N279,0),
IF(EU$44=2,0,VDB(1,0,$N279,INT(EU$44-2-1),MIN($N279,INT(EU$44-2-1)+1),$DC279,IF($DD279="No",1,0))/
IF(EB279&gt;=INT($N279),$N279-INT($N279),1)))*
IF(EU$44=2,0,
IF(INT(EC279)=INT(EB279),EC279-EB279,INT(EC279)-EB279))+
IF($N279&lt;=1,
IF($N279&gt;0,1/$N279,0),VDB(1,0,$N279,INT(EU$44-2),MIN($N279,INT(EU$44-2)+1),$DC279,IF($DD279="No",1,0))/
IF(EC279&gt;INT($N279),$N279-INT($N279),1))*
IF(EU$44=2,EC279,
IF(INT(EC279)=INT(EB279),0,EC279-INT(EC279)))))</f>
        <v>0</v>
      </c>
      <c r="EV279" s="836">
        <f>+IF(OR(ED279=EC279,EV$44=1),0,
IF(AND(EV$44&gt;1,ED279=$N279),1-SUM($EN279:EU279),
IF($N279&lt;=1,
IF($N279&gt;0,1/$N279,0),
IF(EV$44=2,0,VDB(1,0,$N279,INT(EV$44-2-1),MIN($N279,INT(EV$44-2-1)+1),$DC279,IF($DD279="No",1,0))/
IF(EC279&gt;=INT($N279),$N279-INT($N279),1)))*
IF(EV$44=2,0,
IF(INT(ED279)=INT(EC279),ED279-EC279,INT(ED279)-EC279))+
IF($N279&lt;=1,
IF($N279&gt;0,1/$N279,0),VDB(1,0,$N279,INT(EV$44-2),MIN($N279,INT(EV$44-2)+1),$DC279,IF($DD279="No",1,0))/
IF(ED279&gt;INT($N279),$N279-INT($N279),1))*
IF(EV$44=2,ED279,
IF(INT(ED279)=INT(EC279),0,ED279-INT(ED279)))))</f>
        <v>0</v>
      </c>
      <c r="EW279" s="833"/>
      <c r="EX279" s="834">
        <f t="shared" ca="1" si="503"/>
        <v>0</v>
      </c>
      <c r="EY279" s="835">
        <f t="shared" ca="1" si="503"/>
        <v>0</v>
      </c>
      <c r="EZ279" s="836">
        <f t="shared" ca="1" si="503"/>
        <v>0</v>
      </c>
      <c r="FA279" s="834">
        <f t="shared" ca="1" si="503"/>
        <v>0</v>
      </c>
      <c r="FB279" s="835">
        <f t="shared" ca="1" si="503"/>
        <v>0</v>
      </c>
      <c r="FC279" s="835">
        <f t="shared" ca="1" si="503"/>
        <v>0</v>
      </c>
      <c r="FD279" s="835">
        <f t="shared" ca="1" si="503"/>
        <v>0</v>
      </c>
      <c r="FE279" s="836">
        <f t="shared" ca="1" si="503"/>
        <v>0</v>
      </c>
      <c r="FG279" s="386">
        <f t="shared" ca="1" si="504"/>
        <v>0</v>
      </c>
      <c r="FH279" s="387">
        <f t="shared" ca="1" si="505"/>
        <v>0</v>
      </c>
      <c r="FI279" s="388">
        <f t="shared" ca="1" si="506"/>
        <v>0</v>
      </c>
      <c r="FJ279" s="386">
        <f t="shared" ca="1" si="507"/>
        <v>0</v>
      </c>
      <c r="FK279" s="387">
        <f t="shared" ca="1" si="508"/>
        <v>0</v>
      </c>
      <c r="FL279" s="387">
        <f t="shared" ca="1" si="509"/>
        <v>0</v>
      </c>
      <c r="FM279" s="387">
        <f t="shared" ca="1" si="510"/>
        <v>0</v>
      </c>
      <c r="FN279" s="388">
        <f t="shared" ca="1" si="511"/>
        <v>0</v>
      </c>
      <c r="FR279" s="116"/>
    </row>
    <row r="280" spans="2:174">
      <c r="B280" s="1410">
        <f t="shared" si="512"/>
        <v>234</v>
      </c>
      <c r="C280" s="400"/>
      <c r="D280" s="410"/>
      <c r="E280" s="402"/>
      <c r="F280" s="402"/>
      <c r="G280" s="400"/>
      <c r="H280" s="2088"/>
      <c r="I280" s="2089"/>
      <c r="J280" s="411"/>
      <c r="K280" s="403"/>
      <c r="L280" s="403"/>
      <c r="M280" s="403"/>
      <c r="N280" s="403"/>
      <c r="O280" s="347"/>
      <c r="P280" s="347"/>
      <c r="Q280" s="1021"/>
      <c r="R280" s="1022"/>
      <c r="S280" s="1022"/>
      <c r="T280" s="1022"/>
      <c r="U280" s="1023"/>
      <c r="V280" s="1021"/>
      <c r="W280" s="1022"/>
      <c r="X280" s="1022"/>
      <c r="Y280" s="1022"/>
      <c r="Z280" s="1023"/>
      <c r="AA280" s="1024"/>
      <c r="AB280" s="1021"/>
      <c r="AC280" s="1022"/>
      <c r="AD280" s="1022"/>
      <c r="AE280" s="1022"/>
      <c r="AF280" s="1023"/>
      <c r="AG280" s="1021"/>
      <c r="AH280" s="1022"/>
      <c r="AI280" s="1022"/>
      <c r="AJ280" s="1022"/>
      <c r="AK280" s="1023"/>
      <c r="AL280" s="1024"/>
      <c r="AM280" s="1021"/>
      <c r="AN280" s="1022"/>
      <c r="AO280" s="1022"/>
      <c r="AP280" s="1022"/>
      <c r="AQ280" s="1023"/>
      <c r="AR280" s="1021"/>
      <c r="AS280" s="1022"/>
      <c r="AT280" s="1022"/>
      <c r="AU280" s="1022"/>
      <c r="AV280" s="1023"/>
      <c r="AW280" s="1025"/>
      <c r="AX280" s="1282">
        <f t="shared" si="457"/>
        <v>0</v>
      </c>
      <c r="AY280" s="387">
        <f t="shared" si="458"/>
        <v>0</v>
      </c>
      <c r="AZ280" s="387">
        <f t="shared" si="459"/>
        <v>0</v>
      </c>
      <c r="BA280" s="387">
        <f t="shared" si="460"/>
        <v>0</v>
      </c>
      <c r="BB280" s="1283">
        <f t="shared" si="461"/>
        <v>0</v>
      </c>
      <c r="BC280" s="386">
        <f t="shared" si="462"/>
        <v>0</v>
      </c>
      <c r="BD280" s="387">
        <f t="shared" si="463"/>
        <v>0</v>
      </c>
      <c r="BE280" s="1277">
        <f t="shared" si="464"/>
        <v>0</v>
      </c>
      <c r="BF280" s="1277">
        <f t="shared" si="465"/>
        <v>0</v>
      </c>
      <c r="BG280" s="388">
        <f t="shared" si="466"/>
        <v>0</v>
      </c>
      <c r="BH280" s="1025"/>
      <c r="BI280" s="1282">
        <f t="shared" ca="1" si="467"/>
        <v>0</v>
      </c>
      <c r="BJ280" s="387">
        <f t="shared" ca="1" si="468"/>
        <v>0</v>
      </c>
      <c r="BK280" s="387">
        <f t="shared" ca="1" si="469"/>
        <v>0</v>
      </c>
      <c r="BL280" s="387">
        <f t="shared" ca="1" si="470"/>
        <v>0</v>
      </c>
      <c r="BM280" s="1283">
        <f t="shared" ca="1" si="471"/>
        <v>0</v>
      </c>
      <c r="BN280" s="386">
        <f t="shared" ca="1" si="472"/>
        <v>0</v>
      </c>
      <c r="BO280" s="387">
        <f t="shared" ca="1" si="473"/>
        <v>0</v>
      </c>
      <c r="BP280" s="1277">
        <f t="shared" ca="1" si="474"/>
        <v>0</v>
      </c>
      <c r="BQ280" s="1277">
        <f t="shared" ca="1" si="475"/>
        <v>0</v>
      </c>
      <c r="BR280" s="388">
        <f t="shared" ca="1" si="476"/>
        <v>0</v>
      </c>
      <c r="BS280" s="1025"/>
      <c r="BT280" s="1282">
        <f>+IF($K280="Ongoing",AX280,IF(RIGHT($K280,2)=RIGHT(BT$43,2),SUM($AX280:AX280),0)+IF(RIGHT(BT$43,2)&gt;RIGHT($K280,2),AX280,0))</f>
        <v>0</v>
      </c>
      <c r="BU280" s="387">
        <f>+IF($K280="Ongoing",AY280,IF(RIGHT($K280,2)=RIGHT(BU$43,2),SUM($AX280:AY280),0)+IF(RIGHT(BU$43,2)&gt;RIGHT($K280,2),AY280,0))</f>
        <v>0</v>
      </c>
      <c r="BV280" s="387">
        <f>+IF($K280="Ongoing",AZ280,IF(RIGHT($K280,2)=RIGHT(BV$43,2),SUM($AX280:AZ280),0)+IF(RIGHT(BV$43,2)&gt;RIGHT($K280,2),AZ280,0))</f>
        <v>0</v>
      </c>
      <c r="BW280" s="387">
        <f>+IF($K280="Ongoing",BA280,IF(RIGHT($K280,2)=RIGHT(BW$43,2),SUM($AX280:BA280),0)+IF(RIGHT(BW$43,2)&gt;RIGHT($K280,2),BA280,0))</f>
        <v>0</v>
      </c>
      <c r="BX280" s="1283">
        <f>+IF($K280="Ongoing",BB280,IF(RIGHT($K280,2)=RIGHT(BX$43,2),SUM($AX280:BB280),0)+IF(RIGHT(BX$43,2)&gt;RIGHT($K280,2),BB280,0))</f>
        <v>0</v>
      </c>
      <c r="BY280" s="386">
        <f>+IF($K280="Ongoing",BC280,IF(RIGHT($K280,2)=RIGHT(BY$43,2),SUM($AX280:BC280),0)+IF(RIGHT(BY$43,2)&gt;RIGHT($K280,2),BC280,0))</f>
        <v>0</v>
      </c>
      <c r="BZ280" s="387">
        <f>+IF($K280="Ongoing",BD280,IF(RIGHT($K280,2)=RIGHT(BZ$43,2),SUM($AX280:BD280),0)+IF(RIGHT(BZ$43,2)&gt;RIGHT($K280,2),BD280,0))</f>
        <v>0</v>
      </c>
      <c r="CA280" s="1277">
        <f>+IF($K280="Ongoing",BE280,IF(RIGHT($K280,2)=RIGHT(CA$43,2),SUM($AX280:BE280),0)+IF(RIGHT(CA$43,2)&gt;RIGHT($K280,2),BE280,0))</f>
        <v>0</v>
      </c>
      <c r="CB280" s="1277">
        <f>+IF($K280="Ongoing",BF280,IF(RIGHT($K280,2)=RIGHT(CB$43,2),SUM($AX280:BF280),0)+IF(RIGHT(CB$43,2)&gt;RIGHT($K280,2),BF280,0))</f>
        <v>0</v>
      </c>
      <c r="CC280" s="388">
        <f>+IF($K280="Ongoing",BG280,IF(RIGHT($K280,2)=RIGHT(CC$43,2),SUM($AX280:BG280),0)+IF(RIGHT(CC$43,2)&gt;RIGHT($K280,2),BG280,0))</f>
        <v>0</v>
      </c>
      <c r="CD280" s="1025"/>
      <c r="CE280" s="1282">
        <f>+Q280*KeyAssumptionsPriceControl_FO!AF$15</f>
        <v>0</v>
      </c>
      <c r="CF280" s="387">
        <f>+R280*KeyAssumptionsPriceControl_FO!AG$15</f>
        <v>0</v>
      </c>
      <c r="CG280" s="387">
        <f>+S280*KeyAssumptionsPriceControl_FO!AH$15</f>
        <v>0</v>
      </c>
      <c r="CH280" s="387">
        <f>+T280*KeyAssumptionsPriceControl_FO!AI$15</f>
        <v>0</v>
      </c>
      <c r="CI280" s="1283">
        <f>+U280*KeyAssumptionsPriceControl_FO!AJ$15</f>
        <v>0</v>
      </c>
      <c r="CJ280" s="386">
        <f>+V280*KeyAssumptionsPriceControl_FO!AK$15</f>
        <v>0</v>
      </c>
      <c r="CK280" s="387">
        <f>+W280*KeyAssumptionsPriceControl_FO!AL$15</f>
        <v>0</v>
      </c>
      <c r="CL280" s="1277">
        <f>+X280*KeyAssumptionsPriceControl_FO!AM$15</f>
        <v>0</v>
      </c>
      <c r="CM280" s="1277">
        <f>+Y280*KeyAssumptionsPriceControl_FO!AN$15</f>
        <v>0</v>
      </c>
      <c r="CN280" s="388">
        <f>+Z280*KeyAssumptionsPriceControl_FO!AO$15</f>
        <v>0</v>
      </c>
      <c r="CO280" s="1025"/>
      <c r="CP280" s="1282">
        <f t="shared" ca="1" si="477"/>
        <v>0</v>
      </c>
      <c r="CQ280" s="387">
        <f t="shared" ca="1" si="478"/>
        <v>0</v>
      </c>
      <c r="CR280" s="387">
        <f t="shared" ca="1" si="479"/>
        <v>0</v>
      </c>
      <c r="CS280" s="387">
        <f t="shared" ca="1" si="480"/>
        <v>0</v>
      </c>
      <c r="CT280" s="1283">
        <f t="shared" ca="1" si="481"/>
        <v>0</v>
      </c>
      <c r="CU280" s="386">
        <f t="shared" ca="1" si="482"/>
        <v>0</v>
      </c>
      <c r="CV280" s="387">
        <f t="shared" ca="1" si="483"/>
        <v>0</v>
      </c>
      <c r="CW280" s="1277">
        <f t="shared" ca="1" si="484"/>
        <v>0</v>
      </c>
      <c r="CX280" s="1277">
        <f t="shared" ca="1" si="485"/>
        <v>0</v>
      </c>
      <c r="CY280" s="388">
        <f t="shared" ca="1" si="486"/>
        <v>0</v>
      </c>
      <c r="CZ280" s="347"/>
      <c r="DA280" s="852"/>
      <c r="DB280" s="347"/>
      <c r="DC280" s="1012" t="s">
        <v>582</v>
      </c>
      <c r="DD280" s="841" t="s">
        <v>518</v>
      </c>
      <c r="DE280" s="386">
        <f>+IF($K280="ongoing",CE280,IF(RIGHT($K280,2)=RIGHT(DE$43,2),SUM($CD280:CE280),0)+IF(RIGHT(DE$43,2)&gt;RIGHT($K280,2),CE280,0))</f>
        <v>0</v>
      </c>
      <c r="DF280" s="387">
        <f>+IF($K280="ongoing",CF280,IF(RIGHT($K280,2)=RIGHT(DF$43,2),SUM($CD280:CF280),0)+IF(RIGHT(DF$43,2)&gt;RIGHT($K280,2),CF280,0))</f>
        <v>0</v>
      </c>
      <c r="DG280" s="388">
        <f>+IF($K280="ongoing",CG280,IF(RIGHT($K280,2)=RIGHT(DG$43,2),SUM($CD280:CG280),0)+IF(RIGHT(DG$43,2)&gt;RIGHT($K280,2),CG280,0))</f>
        <v>0</v>
      </c>
      <c r="DH280" s="386">
        <f>+IF($K280="ongoing",CH280,IF(RIGHT($K280,2)=RIGHT(DH$43,2),SUM($CD280:CH280),0)+IF(RIGHT(DH$43,2)&gt;RIGHT($K280,2),CH280,0))</f>
        <v>0</v>
      </c>
      <c r="DI280" s="387">
        <f>+IF($K280="ongoing",CI280,IF(RIGHT($K280,2)=RIGHT(DI$43,2),SUM($CD280:CI280),0)+IF(RIGHT(DI$43,2)&gt;RIGHT($K280,2),CI280,0))</f>
        <v>0</v>
      </c>
      <c r="DJ280" s="387">
        <f>+IF($K280="ongoing",CJ280,IF(RIGHT($K280,2)=RIGHT(DJ$43,2),SUM($CD280:CJ280),0)+IF(RIGHT(DJ$43,2)&gt;RIGHT($K280,2),CJ280,0))</f>
        <v>0</v>
      </c>
      <c r="DK280" s="387">
        <f>+IF($K280="ongoing",CK280,IF(RIGHT($K280,2)=RIGHT(DK$43,2),SUM($CD280:CK280),0)+IF(RIGHT(DK$43,2)&gt;RIGHT($K280,2),CK280,0))</f>
        <v>0</v>
      </c>
      <c r="DL280" s="388">
        <f>+IF($K280="ongoing",CN280,IF(RIGHT($K280,2)=RIGHT(DL$43,2),SUM($CD280:CN280),0)+IF(RIGHT(DL$43,2)&gt;RIGHT($K280,2),CN280,0))</f>
        <v>0</v>
      </c>
      <c r="DM280" s="841"/>
      <c r="DN280" s="386">
        <f t="shared" si="487"/>
        <v>0.5</v>
      </c>
      <c r="DO280" s="387">
        <f t="shared" si="488"/>
        <v>1</v>
      </c>
      <c r="DP280" s="388">
        <f t="shared" si="489"/>
        <v>1</v>
      </c>
      <c r="DQ280" s="386">
        <f t="shared" si="490"/>
        <v>1</v>
      </c>
      <c r="DR280" s="387">
        <f t="shared" si="491"/>
        <v>1</v>
      </c>
      <c r="DS280" s="387">
        <f t="shared" si="492"/>
        <v>1</v>
      </c>
      <c r="DT280" s="387">
        <f t="shared" si="493"/>
        <v>1</v>
      </c>
      <c r="DU280" s="388">
        <f t="shared" si="494"/>
        <v>1</v>
      </c>
      <c r="DW280" s="386">
        <f t="shared" si="495"/>
        <v>0</v>
      </c>
      <c r="DX280" s="387">
        <f t="shared" si="496"/>
        <v>0.5</v>
      </c>
      <c r="DY280" s="388">
        <f t="shared" si="497"/>
        <v>1</v>
      </c>
      <c r="DZ280" s="386">
        <f t="shared" si="498"/>
        <v>1</v>
      </c>
      <c r="EA280" s="387">
        <f t="shared" si="499"/>
        <v>1</v>
      </c>
      <c r="EB280" s="387">
        <f t="shared" si="500"/>
        <v>1</v>
      </c>
      <c r="EC280" s="387">
        <f t="shared" si="501"/>
        <v>1</v>
      </c>
      <c r="ED280" s="388">
        <f t="shared" si="502"/>
        <v>1</v>
      </c>
      <c r="EF280" s="834">
        <f>+IF(DN280=DM280,0,
IF(AND(EF$44&gt;1,DN280=$N280),1-SUM($EE280:EE280),
IF($N280&lt;=1,
IF($N280&gt;0,1/$N280,0),
IF(EF$44=1,0,VDB(1,0,$N280,INT(EF$44-1-1),MIN($N280,INT(EF$44-1-1)+1),$DC280,IF($DD280="No",1,0))/
IF(DM280&gt;=INT($N280),$N280-INT($N280),1)))*
IF(EF$44=1,0,
IF(INT(DN280)=INT(DM280),DN280-DM280,INT(DN280)-DM280))+
IF($N280&lt;=1,
IF($N280&gt;0,1/$N280,0),VDB(1,0,$N280,INT(EF$44-1),MIN($N280,INT(EF$44-1)+1),$DC280,IF($DD280="No",1,0))/
IF(DN280&gt;INT($N280),$N280-INT($N280),1))*
IF(EF$44=1,DN280,
IF(INT(DN280)=INT(DM280),0,DN280-INT(DN280)))))</f>
        <v>0</v>
      </c>
      <c r="EG280" s="835">
        <f>+IF(DO280=DN280,0,
IF(AND(EG$44&gt;1,DO280=$N280),1-SUM($EE280:EF280),
IF($N280&lt;=1,
IF($N280&gt;0,1/$N280,0),
IF(EG$44=1,0,VDB(1,0,$N280,INT(EG$44-1-1),MIN($N280,INT(EG$44-1-1)+1),$DC280,IF($DD280="No",1,0))/
IF(DN280&gt;=INT($N280),$N280-INT($N280),1)))*
IF(EG$44=1,0,
IF(INT(DO280)=INT(DN280),DO280-DN280,INT(DO280)-DN280))+
IF($N280&lt;=1,
IF($N280&gt;0,1/$N280,0),VDB(1,0,$N280,INT(EG$44-1),MIN($N280,INT(EG$44-1)+1),$DC280,IF($DD280="No",1,0))/
IF(DO280&gt;INT($N280),$N280-INT($N280),1))*
IF(EG$44=1,DO280,
IF(INT(DO280)=INT(DN280),0,DO280-INT(DO280)))))</f>
        <v>0</v>
      </c>
      <c r="EH280" s="836">
        <f>+IF(DP280=DO280,0,
IF(AND(EH$44&gt;1,DP280=$N280),1-SUM($EE280:EG280),
IF($N280&lt;=1,
IF($N280&gt;0,1/$N280,0),
IF(EH$44=1,0,VDB(1,0,$N280,INT(EH$44-1-1),MIN($N280,INT(EH$44-1-1)+1),$DC280,IF($DD280="No",1,0))/
IF(DO280&gt;=INT($N280),$N280-INT($N280),1)))*
IF(EH$44=1,0,
IF(INT(DP280)=INT(DO280),DP280-DO280,INT(DP280)-DO280))+
IF($N280&lt;=1,
IF($N280&gt;0,1/$N280,0),VDB(1,0,$N280,INT(EH$44-1),MIN($N280,INT(EH$44-1)+1),$DC280,IF($DD280="No",1,0))/
IF(DP280&gt;INT($N280),$N280-INT($N280),1))*
IF(EH$44=1,DP280,
IF(INT(DP280)=INT(DO280),0,DP280-INT(DP280)))))</f>
        <v>0</v>
      </c>
      <c r="EI280" s="834">
        <f>+IF(DQ280=DP280,0,
IF(AND(EI$44&gt;1,DQ280=$N280),1-SUM($EE280:EH280),
IF($N280&lt;=1,
IF($N280&gt;0,1/$N280,0),
IF(EI$44=1,0,VDB(1,0,$N280,INT(EI$44-1-1),MIN($N280,INT(EI$44-1-1)+1),$DC280,IF($DD280="No",1,0))/
IF(DP280&gt;=INT($N280),$N280-INT($N280),1)))*
IF(EI$44=1,0,
IF(INT(DQ280)=INT(DP280),DQ280-DP280,INT(DQ280)-DP280))+
IF($N280&lt;=1,
IF($N280&gt;0,1/$N280,0),VDB(1,0,$N280,INT(EI$44-1),MIN($N280,INT(EI$44-1)+1),$DC280,IF($DD280="No",1,0))/
IF(DQ280&gt;INT($N280),$N280-INT($N280),1))*
IF(EI$44=1,DQ280,
IF(INT(DQ280)=INT(DP280),0,DQ280-INT(DQ280)))))</f>
        <v>0</v>
      </c>
      <c r="EJ280" s="835">
        <f>+IF(DR280=DQ280,0,
IF(AND(EJ$44&gt;1,DR280=$N280),1-SUM($EE280:EI280),
IF($N280&lt;=1,
IF($N280&gt;0,1/$N280,0),
IF(EJ$44=1,0,VDB(1,0,$N280,INT(EJ$44-1-1),MIN($N280,INT(EJ$44-1-1)+1),$DC280,IF($DD280="No",1,0))/
IF(DQ280&gt;=INT($N280),$N280-INT($N280),1)))*
IF(EJ$44=1,0,
IF(INT(DR280)=INT(DQ280),DR280-DQ280,INT(DR280)-DQ280))+
IF($N280&lt;=1,
IF($N280&gt;0,1/$N280,0),VDB(1,0,$N280,INT(EJ$44-1),MIN($N280,INT(EJ$44-1)+1),$DC280,IF($DD280="No",1,0))/
IF(DR280&gt;INT($N280),$N280-INT($N280),1))*
IF(EJ$44=1,DR280,
IF(INT(DR280)=INT(DQ280),0,DR280-INT(DR280)))))</f>
        <v>0</v>
      </c>
      <c r="EK280" s="835">
        <f>+IF(DS280=DR280,0,
IF(AND(EK$44&gt;1,DS280=$N280),1-SUM($EE280:EJ280),
IF($N280&lt;=1,
IF($N280&gt;0,1/$N280,0),
IF(EK$44=1,0,VDB(1,0,$N280,INT(EK$44-1-1),MIN($N280,INT(EK$44-1-1)+1),$DC280,IF($DD280="No",1,0))/
IF(DR280&gt;=INT($N280),$N280-INT($N280),1)))*
IF(EK$44=1,0,
IF(INT(DS280)=INT(DR280),DS280-DR280,INT(DS280)-DR280))+
IF($N280&lt;=1,
IF($N280&gt;0,1/$N280,0),VDB(1,0,$N280,INT(EK$44-1),MIN($N280,INT(EK$44-1)+1),$DC280,IF($DD280="No",1,0))/
IF(DS280&gt;INT($N280),$N280-INT($N280),1))*
IF(EK$44=1,DS280,
IF(INT(DS280)=INT(DR280),0,DS280-INT(DS280)))))</f>
        <v>0</v>
      </c>
      <c r="EL280" s="835">
        <f>+IF(DT280=DS280,0,
IF(AND(EL$44&gt;1,DT280=$N280),1-SUM($EE280:EK280),
IF($N280&lt;=1,
IF($N280&gt;0,1/$N280,0),
IF(EL$44=1,0,VDB(1,0,$N280,INT(EL$44-1-1),MIN($N280,INT(EL$44-1-1)+1),$DC280,IF($DD280="No",1,0))/
IF(DS280&gt;=INT($N280),$N280-INT($N280),1)))*
IF(EL$44=1,0,
IF(INT(DT280)=INT(DS280),DT280-DS280,INT(DT280)-DS280))+
IF($N280&lt;=1,
IF($N280&gt;0,1/$N280,0),VDB(1,0,$N280,INT(EL$44-1),MIN($N280,INT(EL$44-1)+1),$DC280,IF($DD280="No",1,0))/
IF(DT280&gt;INT($N280),$N280-INT($N280),1))*
IF(EL$44=1,DT280,
IF(INT(DT280)=INT(DS280),0,DT280-INT(DT280)))))</f>
        <v>0</v>
      </c>
      <c r="EM280" s="836">
        <f>+IF(DU280=DT280,0,
IF(AND(EM$44&gt;1,DU280=$N280),1-SUM($EE280:EL280),
IF($N280&lt;=1,
IF($N280&gt;0,1/$N280,0),
IF(EM$44=1,0,VDB(1,0,$N280,INT(EM$44-1-1),MIN($N280,INT(EM$44-1-1)+1),$DC280,IF($DD280="No",1,0))/
IF(DT280&gt;=INT($N280),$N280-INT($N280),1)))*
IF(EM$44=1,0,
IF(INT(DU280)=INT(DT280),DU280-DT280,INT(DU280)-DT280))+
IF($N280&lt;=1,
IF($N280&gt;0,1/$N280,0),VDB(1,0,$N280,INT(EM$44-1),MIN($N280,INT(EM$44-1)+1),$DC280,IF($DD280="No",1,0))/
IF(DU280&gt;INT($N280),$N280-INT($N280),1))*
IF(EM$44=1,DU280,
IF(INT(DU280)=INT(DT280),0,DU280-INT(DU280)))))</f>
        <v>0</v>
      </c>
      <c r="EN280" s="833"/>
      <c r="EO280" s="834">
        <f>+IF(OR(DW280=DV280,EO$44=1),0,
IF(AND(EO$44&gt;1,DW280=$N280),1-SUM($EN280:EN280),
IF($N280&lt;=1,
IF($N280&gt;0,1/$N280,0),
IF(EO$44=2,0,VDB(1,0,$N280,INT(EO$44-2-1),MIN($N280,INT(EO$44-2-1)+1),$DC280,IF($DD280="No",1,0))/
IF(DV280&gt;=INT($N280),$N280-INT($N280),1)))*
IF(EO$44=2,0,
IF(INT(DW280)=INT(DV280),DW280-DV280,INT(DW280)-DV280))+
IF($N280&lt;=1,
IF($N280&gt;0,1/$N280,0),VDB(1,0,$N280,INT(EO$44-2),MIN($N280,INT(EO$44-2)+1),$DC280,IF($DD280="No",1,0))/
IF(DW280&gt;INT($N280),$N280-INT($N280),1))*
IF(EO$44=2,DW280,
IF(INT(DW280)=INT(DV280),0,DW280-INT(DW280)))))</f>
        <v>0</v>
      </c>
      <c r="EP280" s="835">
        <f>+IF(OR(DX280=DW280,EP$44=1),0,
IF(AND(EP$44&gt;1,DX280=$N280),1-SUM($EN280:EO280),
IF($N280&lt;=1,
IF($N280&gt;0,1/$N280,0),
IF(EP$44=2,0,VDB(1,0,$N280,INT(EP$44-2-1),MIN($N280,INT(EP$44-2-1)+1),$DC280,IF($DD280="No",1,0))/
IF(DW280&gt;=INT($N280),$N280-INT($N280),1)))*
IF(EP$44=2,0,
IF(INT(DX280)=INT(DW280),DX280-DW280,INT(DX280)-DW280))+
IF($N280&lt;=1,
IF($N280&gt;0,1/$N280,0),VDB(1,0,$N280,INT(EP$44-2),MIN($N280,INT(EP$44-2)+1),$DC280,IF($DD280="No",1,0))/
IF(DX280&gt;INT($N280),$N280-INT($N280),1))*
IF(EP$44=2,DX280,
IF(INT(DX280)=INT(DW280),0,DX280-INT(DX280)))))</f>
        <v>0</v>
      </c>
      <c r="EQ280" s="836">
        <f>+IF(OR(DY280=DX280,EQ$44=1),0,
IF(AND(EQ$44&gt;1,DY280=$N280),1-SUM($EN280:EP280),
IF($N280&lt;=1,
IF($N280&gt;0,1/$N280,0),
IF(EQ$44=2,0,VDB(1,0,$N280,INT(EQ$44-2-1),MIN($N280,INT(EQ$44-2-1)+1),$DC280,IF($DD280="No",1,0))/
IF(DX280&gt;=INT($N280),$N280-INT($N280),1)))*
IF(EQ$44=2,0,
IF(INT(DY280)=INT(DX280),DY280-DX280,INT(DY280)-DX280))+
IF($N280&lt;=1,
IF($N280&gt;0,1/$N280,0),VDB(1,0,$N280,INT(EQ$44-2),MIN($N280,INT(EQ$44-2)+1),$DC280,IF($DD280="No",1,0))/
IF(DY280&gt;INT($N280),$N280-INT($N280),1))*
IF(EQ$44=2,DY280,
IF(INT(DY280)=INT(DX280),0,DY280-INT(DY280)))))</f>
        <v>0</v>
      </c>
      <c r="ER280" s="834">
        <f>+IF(OR(DZ280=DY280,ER$44=1),0,
IF(AND(ER$44&gt;1,DZ280=$N280),1-SUM($EN280:EQ280),
IF($N280&lt;=1,
IF($N280&gt;0,1/$N280,0),
IF(ER$44=2,0,VDB(1,0,$N280,INT(ER$44-2-1),MIN($N280,INT(ER$44-2-1)+1),$DC280,IF($DD280="No",1,0))/
IF(DY280&gt;=INT($N280),$N280-INT($N280),1)))*
IF(ER$44=2,0,
IF(INT(DZ280)=INT(DY280),DZ280-DY280,INT(DZ280)-DY280))+
IF($N280&lt;=1,
IF($N280&gt;0,1/$N280,0),VDB(1,0,$N280,INT(ER$44-2),MIN($N280,INT(ER$44-2)+1),$DC280,IF($DD280="No",1,0))/
IF(DZ280&gt;INT($N280),$N280-INT($N280),1))*
IF(ER$44=2,DZ280,
IF(INT(DZ280)=INT(DY280),0,DZ280-INT(DZ280)))))</f>
        <v>0</v>
      </c>
      <c r="ES280" s="835">
        <f>+IF(OR(EA280=DZ280,ES$44=1),0,
IF(AND(ES$44&gt;1,EA280=$N280),1-SUM($EN280:ER280),
IF($N280&lt;=1,
IF($N280&gt;0,1/$N280,0),
IF(ES$44=2,0,VDB(1,0,$N280,INT(ES$44-2-1),MIN($N280,INT(ES$44-2-1)+1),$DC280,IF($DD280="No",1,0))/
IF(DZ280&gt;=INT($N280),$N280-INT($N280),1)))*
IF(ES$44=2,0,
IF(INT(EA280)=INT(DZ280),EA280-DZ280,INT(EA280)-DZ280))+
IF($N280&lt;=1,
IF($N280&gt;0,1/$N280,0),VDB(1,0,$N280,INT(ES$44-2),MIN($N280,INT(ES$44-2)+1),$DC280,IF($DD280="No",1,0))/
IF(EA280&gt;INT($N280),$N280-INT($N280),1))*
IF(ES$44=2,EA280,
IF(INT(EA280)=INT(DZ280),0,EA280-INT(EA280)))))</f>
        <v>0</v>
      </c>
      <c r="ET280" s="835">
        <f>+IF(OR(EB280=EA280,ET$44=1),0,
IF(AND(ET$44&gt;1,EB280=$N280),1-SUM($EN280:ES280),
IF($N280&lt;=1,
IF($N280&gt;0,1/$N280,0),
IF(ET$44=2,0,VDB(1,0,$N280,INT(ET$44-2-1),MIN($N280,INT(ET$44-2-1)+1),$DC280,IF($DD280="No",1,0))/
IF(EA280&gt;=INT($N280),$N280-INT($N280),1)))*
IF(ET$44=2,0,
IF(INT(EB280)=INT(EA280),EB280-EA280,INT(EB280)-EA280))+
IF($N280&lt;=1,
IF($N280&gt;0,1/$N280,0),VDB(1,0,$N280,INT(ET$44-2),MIN($N280,INT(ET$44-2)+1),$DC280,IF($DD280="No",1,0))/
IF(EB280&gt;INT($N280),$N280-INT($N280),1))*
IF(ET$44=2,EB280,
IF(INT(EB280)=INT(EA280),0,EB280-INT(EB280)))))</f>
        <v>0</v>
      </c>
      <c r="EU280" s="835">
        <f>+IF(OR(EC280=EB280,EU$44=1),0,
IF(AND(EU$44&gt;1,EC280=$N280),1-SUM($EN280:ET280),
IF($N280&lt;=1,
IF($N280&gt;0,1/$N280,0),
IF(EU$44=2,0,VDB(1,0,$N280,INT(EU$44-2-1),MIN($N280,INT(EU$44-2-1)+1),$DC280,IF($DD280="No",1,0))/
IF(EB280&gt;=INT($N280),$N280-INT($N280),1)))*
IF(EU$44=2,0,
IF(INT(EC280)=INT(EB280),EC280-EB280,INT(EC280)-EB280))+
IF($N280&lt;=1,
IF($N280&gt;0,1/$N280,0),VDB(1,0,$N280,INT(EU$44-2),MIN($N280,INT(EU$44-2)+1),$DC280,IF($DD280="No",1,0))/
IF(EC280&gt;INT($N280),$N280-INT($N280),1))*
IF(EU$44=2,EC280,
IF(INT(EC280)=INT(EB280),0,EC280-INT(EC280)))))</f>
        <v>0</v>
      </c>
      <c r="EV280" s="836">
        <f>+IF(OR(ED280=EC280,EV$44=1),0,
IF(AND(EV$44&gt;1,ED280=$N280),1-SUM($EN280:EU280),
IF($N280&lt;=1,
IF($N280&gt;0,1/$N280,0),
IF(EV$44=2,0,VDB(1,0,$N280,INT(EV$44-2-1),MIN($N280,INT(EV$44-2-1)+1),$DC280,IF($DD280="No",1,0))/
IF(EC280&gt;=INT($N280),$N280-INT($N280),1)))*
IF(EV$44=2,0,
IF(INT(ED280)=INT(EC280),ED280-EC280,INT(ED280)-EC280))+
IF($N280&lt;=1,
IF($N280&gt;0,1/$N280,0),VDB(1,0,$N280,INT(EV$44-2),MIN($N280,INT(EV$44-2)+1),$DC280,IF($DD280="No",1,0))/
IF(ED280&gt;INT($N280),$N280-INT($N280),1))*
IF(EV$44=2,ED280,
IF(INT(ED280)=INT(EC280),0,ED280-INT(ED280)))))</f>
        <v>0</v>
      </c>
      <c r="EW280" s="833"/>
      <c r="EX280" s="834">
        <f t="shared" ca="1" si="503"/>
        <v>0</v>
      </c>
      <c r="EY280" s="835">
        <f t="shared" ca="1" si="503"/>
        <v>0</v>
      </c>
      <c r="EZ280" s="836">
        <f t="shared" ca="1" si="503"/>
        <v>0</v>
      </c>
      <c r="FA280" s="834">
        <f t="shared" ca="1" si="503"/>
        <v>0</v>
      </c>
      <c r="FB280" s="835">
        <f t="shared" ca="1" si="503"/>
        <v>0</v>
      </c>
      <c r="FC280" s="835">
        <f t="shared" ca="1" si="503"/>
        <v>0</v>
      </c>
      <c r="FD280" s="835">
        <f t="shared" ca="1" si="503"/>
        <v>0</v>
      </c>
      <c r="FE280" s="836">
        <f t="shared" ref="EX280:FE308" ca="1" si="513">+OFFSET($EO280,0,MAX($EX$44:$HY$44)-FE$44)</f>
        <v>0</v>
      </c>
      <c r="FG280" s="386">
        <f t="shared" ca="1" si="504"/>
        <v>0</v>
      </c>
      <c r="FH280" s="387">
        <f t="shared" ca="1" si="505"/>
        <v>0</v>
      </c>
      <c r="FI280" s="388">
        <f t="shared" ca="1" si="506"/>
        <v>0</v>
      </c>
      <c r="FJ280" s="386">
        <f t="shared" ca="1" si="507"/>
        <v>0</v>
      </c>
      <c r="FK280" s="387">
        <f t="shared" ca="1" si="508"/>
        <v>0</v>
      </c>
      <c r="FL280" s="387">
        <f t="shared" ca="1" si="509"/>
        <v>0</v>
      </c>
      <c r="FM280" s="387">
        <f t="shared" ca="1" si="510"/>
        <v>0</v>
      </c>
      <c r="FN280" s="388">
        <f t="shared" ca="1" si="511"/>
        <v>0</v>
      </c>
      <c r="FR280" s="116"/>
    </row>
    <row r="281" spans="2:174">
      <c r="B281" s="1410">
        <f t="shared" si="512"/>
        <v>235</v>
      </c>
      <c r="C281" s="400"/>
      <c r="D281" s="410"/>
      <c r="E281" s="402"/>
      <c r="F281" s="402"/>
      <c r="G281" s="400"/>
      <c r="H281" s="2088"/>
      <c r="I281" s="2089"/>
      <c r="J281" s="411"/>
      <c r="K281" s="403"/>
      <c r="L281" s="403"/>
      <c r="M281" s="403"/>
      <c r="N281" s="403"/>
      <c r="O281" s="347"/>
      <c r="P281" s="347"/>
      <c r="Q281" s="1021"/>
      <c r="R281" s="1022"/>
      <c r="S281" s="1022"/>
      <c r="T281" s="1022"/>
      <c r="U281" s="1023"/>
      <c r="V281" s="1021"/>
      <c r="W281" s="1022"/>
      <c r="X281" s="1022"/>
      <c r="Y281" s="1022"/>
      <c r="Z281" s="1023"/>
      <c r="AA281" s="1024"/>
      <c r="AB281" s="1021"/>
      <c r="AC281" s="1022"/>
      <c r="AD281" s="1022"/>
      <c r="AE281" s="1022"/>
      <c r="AF281" s="1023"/>
      <c r="AG281" s="1021"/>
      <c r="AH281" s="1022"/>
      <c r="AI281" s="1022"/>
      <c r="AJ281" s="1022"/>
      <c r="AK281" s="1023"/>
      <c r="AL281" s="1024"/>
      <c r="AM281" s="1021"/>
      <c r="AN281" s="1022"/>
      <c r="AO281" s="1022"/>
      <c r="AP281" s="1022"/>
      <c r="AQ281" s="1023"/>
      <c r="AR281" s="1021"/>
      <c r="AS281" s="1022"/>
      <c r="AT281" s="1022"/>
      <c r="AU281" s="1022"/>
      <c r="AV281" s="1023"/>
      <c r="AW281" s="1025"/>
      <c r="AX281" s="1282">
        <f t="shared" si="457"/>
        <v>0</v>
      </c>
      <c r="AY281" s="387">
        <f t="shared" si="458"/>
        <v>0</v>
      </c>
      <c r="AZ281" s="387">
        <f t="shared" si="459"/>
        <v>0</v>
      </c>
      <c r="BA281" s="387">
        <f t="shared" si="460"/>
        <v>0</v>
      </c>
      <c r="BB281" s="1283">
        <f t="shared" si="461"/>
        <v>0</v>
      </c>
      <c r="BC281" s="386">
        <f t="shared" si="462"/>
        <v>0</v>
      </c>
      <c r="BD281" s="387">
        <f t="shared" si="463"/>
        <v>0</v>
      </c>
      <c r="BE281" s="1277">
        <f t="shared" si="464"/>
        <v>0</v>
      </c>
      <c r="BF281" s="1277">
        <f t="shared" si="465"/>
        <v>0</v>
      </c>
      <c r="BG281" s="388">
        <f t="shared" si="466"/>
        <v>0</v>
      </c>
      <c r="BH281" s="1025"/>
      <c r="BI281" s="1282">
        <f t="shared" ca="1" si="467"/>
        <v>0</v>
      </c>
      <c r="BJ281" s="387">
        <f t="shared" ca="1" si="468"/>
        <v>0</v>
      </c>
      <c r="BK281" s="387">
        <f t="shared" ca="1" si="469"/>
        <v>0</v>
      </c>
      <c r="BL281" s="387">
        <f t="shared" ca="1" si="470"/>
        <v>0</v>
      </c>
      <c r="BM281" s="1283">
        <f t="shared" ca="1" si="471"/>
        <v>0</v>
      </c>
      <c r="BN281" s="386">
        <f t="shared" ca="1" si="472"/>
        <v>0</v>
      </c>
      <c r="BO281" s="387">
        <f t="shared" ca="1" si="473"/>
        <v>0</v>
      </c>
      <c r="BP281" s="1277">
        <f t="shared" ca="1" si="474"/>
        <v>0</v>
      </c>
      <c r="BQ281" s="1277">
        <f t="shared" ca="1" si="475"/>
        <v>0</v>
      </c>
      <c r="BR281" s="388">
        <f t="shared" ca="1" si="476"/>
        <v>0</v>
      </c>
      <c r="BS281" s="1025"/>
      <c r="BT281" s="1282">
        <f>+IF($K281="Ongoing",AX281,IF(RIGHT($K281,2)=RIGHT(BT$43,2),SUM($AX281:AX281),0)+IF(RIGHT(BT$43,2)&gt;RIGHT($K281,2),AX281,0))</f>
        <v>0</v>
      </c>
      <c r="BU281" s="387">
        <f>+IF($K281="Ongoing",AY281,IF(RIGHT($K281,2)=RIGHT(BU$43,2),SUM($AX281:AY281),0)+IF(RIGHT(BU$43,2)&gt;RIGHT($K281,2),AY281,0))</f>
        <v>0</v>
      </c>
      <c r="BV281" s="387">
        <f>+IF($K281="Ongoing",AZ281,IF(RIGHT($K281,2)=RIGHT(BV$43,2),SUM($AX281:AZ281),0)+IF(RIGHT(BV$43,2)&gt;RIGHT($K281,2),AZ281,0))</f>
        <v>0</v>
      </c>
      <c r="BW281" s="387">
        <f>+IF($K281="Ongoing",BA281,IF(RIGHT($K281,2)=RIGHT(BW$43,2),SUM($AX281:BA281),0)+IF(RIGHT(BW$43,2)&gt;RIGHT($K281,2),BA281,0))</f>
        <v>0</v>
      </c>
      <c r="BX281" s="1283">
        <f>+IF($K281="Ongoing",BB281,IF(RIGHT($K281,2)=RIGHT(BX$43,2),SUM($AX281:BB281),0)+IF(RIGHT(BX$43,2)&gt;RIGHT($K281,2),BB281,0))</f>
        <v>0</v>
      </c>
      <c r="BY281" s="386">
        <f>+IF($K281="Ongoing",BC281,IF(RIGHT($K281,2)=RIGHT(BY$43,2),SUM($AX281:BC281),0)+IF(RIGHT(BY$43,2)&gt;RIGHT($K281,2),BC281,0))</f>
        <v>0</v>
      </c>
      <c r="BZ281" s="387">
        <f>+IF($K281="Ongoing",BD281,IF(RIGHT($K281,2)=RIGHT(BZ$43,2),SUM($AX281:BD281),0)+IF(RIGHT(BZ$43,2)&gt;RIGHT($K281,2),BD281,0))</f>
        <v>0</v>
      </c>
      <c r="CA281" s="1277">
        <f>+IF($K281="Ongoing",BE281,IF(RIGHT($K281,2)=RIGHT(CA$43,2),SUM($AX281:BE281),0)+IF(RIGHT(CA$43,2)&gt;RIGHT($K281,2),BE281,0))</f>
        <v>0</v>
      </c>
      <c r="CB281" s="1277">
        <f>+IF($K281="Ongoing",BF281,IF(RIGHT($K281,2)=RIGHT(CB$43,2),SUM($AX281:BF281),0)+IF(RIGHT(CB$43,2)&gt;RIGHT($K281,2),BF281,0))</f>
        <v>0</v>
      </c>
      <c r="CC281" s="388">
        <f>+IF($K281="Ongoing",BG281,IF(RIGHT($K281,2)=RIGHT(CC$43,2),SUM($AX281:BG281),0)+IF(RIGHT(CC$43,2)&gt;RIGHT($K281,2),BG281,0))</f>
        <v>0</v>
      </c>
      <c r="CD281" s="1025"/>
      <c r="CE281" s="1282">
        <f>+Q281*KeyAssumptionsPriceControl_FO!AF$15</f>
        <v>0</v>
      </c>
      <c r="CF281" s="387">
        <f>+R281*KeyAssumptionsPriceControl_FO!AG$15</f>
        <v>0</v>
      </c>
      <c r="CG281" s="387">
        <f>+S281*KeyAssumptionsPriceControl_FO!AH$15</f>
        <v>0</v>
      </c>
      <c r="CH281" s="387">
        <f>+T281*KeyAssumptionsPriceControl_FO!AI$15</f>
        <v>0</v>
      </c>
      <c r="CI281" s="1283">
        <f>+U281*KeyAssumptionsPriceControl_FO!AJ$15</f>
        <v>0</v>
      </c>
      <c r="CJ281" s="386">
        <f>+V281*KeyAssumptionsPriceControl_FO!AK$15</f>
        <v>0</v>
      </c>
      <c r="CK281" s="387">
        <f>+W281*KeyAssumptionsPriceControl_FO!AL$15</f>
        <v>0</v>
      </c>
      <c r="CL281" s="1277">
        <f>+X281*KeyAssumptionsPriceControl_FO!AM$15</f>
        <v>0</v>
      </c>
      <c r="CM281" s="1277">
        <f>+Y281*KeyAssumptionsPriceControl_FO!AN$15</f>
        <v>0</v>
      </c>
      <c r="CN281" s="388">
        <f>+Z281*KeyAssumptionsPriceControl_FO!AO$15</f>
        <v>0</v>
      </c>
      <c r="CO281" s="1025"/>
      <c r="CP281" s="1282">
        <f t="shared" ca="1" si="477"/>
        <v>0</v>
      </c>
      <c r="CQ281" s="387">
        <f t="shared" ca="1" si="478"/>
        <v>0</v>
      </c>
      <c r="CR281" s="387">
        <f t="shared" ca="1" si="479"/>
        <v>0</v>
      </c>
      <c r="CS281" s="387">
        <f t="shared" ca="1" si="480"/>
        <v>0</v>
      </c>
      <c r="CT281" s="1283">
        <f t="shared" ca="1" si="481"/>
        <v>0</v>
      </c>
      <c r="CU281" s="386">
        <f t="shared" ca="1" si="482"/>
        <v>0</v>
      </c>
      <c r="CV281" s="387">
        <f t="shared" ca="1" si="483"/>
        <v>0</v>
      </c>
      <c r="CW281" s="1277">
        <f t="shared" ca="1" si="484"/>
        <v>0</v>
      </c>
      <c r="CX281" s="1277">
        <f t="shared" ca="1" si="485"/>
        <v>0</v>
      </c>
      <c r="CY281" s="388">
        <f t="shared" ca="1" si="486"/>
        <v>0</v>
      </c>
      <c r="CZ281" s="347"/>
      <c r="DA281" s="852"/>
      <c r="DB281" s="347"/>
      <c r="DC281" s="1012" t="s">
        <v>583</v>
      </c>
      <c r="DD281" s="841" t="s">
        <v>518</v>
      </c>
      <c r="DE281" s="386">
        <f>+IF($K281="ongoing",CE281,IF(RIGHT($K281,2)=RIGHT(DE$43,2),SUM($CD281:CE281),0)+IF(RIGHT(DE$43,2)&gt;RIGHT($K281,2),CE281,0))</f>
        <v>0</v>
      </c>
      <c r="DF281" s="387">
        <f>+IF($K281="ongoing",CF281,IF(RIGHT($K281,2)=RIGHT(DF$43,2),SUM($CD281:CF281),0)+IF(RIGHT(DF$43,2)&gt;RIGHT($K281,2),CF281,0))</f>
        <v>0</v>
      </c>
      <c r="DG281" s="388">
        <f>+IF($K281="ongoing",CG281,IF(RIGHT($K281,2)=RIGHT(DG$43,2),SUM($CD281:CG281),0)+IF(RIGHT(DG$43,2)&gt;RIGHT($K281,2),CG281,0))</f>
        <v>0</v>
      </c>
      <c r="DH281" s="386">
        <f>+IF($K281="ongoing",CH281,IF(RIGHT($K281,2)=RIGHT(DH$43,2),SUM($CD281:CH281),0)+IF(RIGHT(DH$43,2)&gt;RIGHT($K281,2),CH281,0))</f>
        <v>0</v>
      </c>
      <c r="DI281" s="387">
        <f>+IF($K281="ongoing",CI281,IF(RIGHT($K281,2)=RIGHT(DI$43,2),SUM($CD281:CI281),0)+IF(RIGHT(DI$43,2)&gt;RIGHT($K281,2),CI281,0))</f>
        <v>0</v>
      </c>
      <c r="DJ281" s="387">
        <f>+IF($K281="ongoing",CJ281,IF(RIGHT($K281,2)=RIGHT(DJ$43,2),SUM($CD281:CJ281),0)+IF(RIGHT(DJ$43,2)&gt;RIGHT($K281,2),CJ281,0))</f>
        <v>0</v>
      </c>
      <c r="DK281" s="387">
        <f>+IF($K281="ongoing",CK281,IF(RIGHT($K281,2)=RIGHT(DK$43,2),SUM($CD281:CK281),0)+IF(RIGHT(DK$43,2)&gt;RIGHT($K281,2),CK281,0))</f>
        <v>0</v>
      </c>
      <c r="DL281" s="388">
        <f>+IF($K281="ongoing",CN281,IF(RIGHT($K281,2)=RIGHT(DL$43,2),SUM($CD281:CN281),0)+IF(RIGHT(DL$43,2)&gt;RIGHT($K281,2),CN281,0))</f>
        <v>0</v>
      </c>
      <c r="DM281" s="841"/>
      <c r="DN281" s="386">
        <f t="shared" si="487"/>
        <v>0.5</v>
      </c>
      <c r="DO281" s="387">
        <f t="shared" si="488"/>
        <v>1</v>
      </c>
      <c r="DP281" s="388">
        <f t="shared" si="489"/>
        <v>1</v>
      </c>
      <c r="DQ281" s="386">
        <f t="shared" si="490"/>
        <v>1</v>
      </c>
      <c r="DR281" s="387">
        <f t="shared" si="491"/>
        <v>1</v>
      </c>
      <c r="DS281" s="387">
        <f t="shared" si="492"/>
        <v>1</v>
      </c>
      <c r="DT281" s="387">
        <f t="shared" si="493"/>
        <v>1</v>
      </c>
      <c r="DU281" s="388">
        <f t="shared" si="494"/>
        <v>1</v>
      </c>
      <c r="DW281" s="386">
        <f t="shared" si="495"/>
        <v>0</v>
      </c>
      <c r="DX281" s="387">
        <f t="shared" si="496"/>
        <v>0.5</v>
      </c>
      <c r="DY281" s="388">
        <f t="shared" si="497"/>
        <v>1</v>
      </c>
      <c r="DZ281" s="386">
        <f t="shared" si="498"/>
        <v>1</v>
      </c>
      <c r="EA281" s="387">
        <f t="shared" si="499"/>
        <v>1</v>
      </c>
      <c r="EB281" s="387">
        <f t="shared" si="500"/>
        <v>1</v>
      </c>
      <c r="EC281" s="387">
        <f t="shared" si="501"/>
        <v>1</v>
      </c>
      <c r="ED281" s="388">
        <f t="shared" si="502"/>
        <v>1</v>
      </c>
      <c r="EF281" s="834">
        <f>+IF(DN281=DM281,0,
IF(AND(EF$44&gt;1,DN281=$N281),1-SUM($EE281:EE281),
IF($N281&lt;=1,
IF($N281&gt;0,1/$N281,0),
IF(EF$44=1,0,VDB(1,0,$N281,INT(EF$44-1-1),MIN($N281,INT(EF$44-1-1)+1),$DC281,IF($DD281="No",1,0))/
IF(DM281&gt;=INT($N281),$N281-INT($N281),1)))*
IF(EF$44=1,0,
IF(INT(DN281)=INT(DM281),DN281-DM281,INT(DN281)-DM281))+
IF($N281&lt;=1,
IF($N281&gt;0,1/$N281,0),VDB(1,0,$N281,INT(EF$44-1),MIN($N281,INT(EF$44-1)+1),$DC281,IF($DD281="No",1,0))/
IF(DN281&gt;INT($N281),$N281-INT($N281),1))*
IF(EF$44=1,DN281,
IF(INT(DN281)=INT(DM281),0,DN281-INT(DN281)))))</f>
        <v>0</v>
      </c>
      <c r="EG281" s="835">
        <f>+IF(DO281=DN281,0,
IF(AND(EG$44&gt;1,DO281=$N281),1-SUM($EE281:EF281),
IF($N281&lt;=1,
IF($N281&gt;0,1/$N281,0),
IF(EG$44=1,0,VDB(1,0,$N281,INT(EG$44-1-1),MIN($N281,INT(EG$44-1-1)+1),$DC281,IF($DD281="No",1,0))/
IF(DN281&gt;=INT($N281),$N281-INT($N281),1)))*
IF(EG$44=1,0,
IF(INT(DO281)=INT(DN281),DO281-DN281,INT(DO281)-DN281))+
IF($N281&lt;=1,
IF($N281&gt;0,1/$N281,0),VDB(1,0,$N281,INT(EG$44-1),MIN($N281,INT(EG$44-1)+1),$DC281,IF($DD281="No",1,0))/
IF(DO281&gt;INT($N281),$N281-INT($N281),1))*
IF(EG$44=1,DO281,
IF(INT(DO281)=INT(DN281),0,DO281-INT(DO281)))))</f>
        <v>0</v>
      </c>
      <c r="EH281" s="836">
        <f>+IF(DP281=DO281,0,
IF(AND(EH$44&gt;1,DP281=$N281),1-SUM($EE281:EG281),
IF($N281&lt;=1,
IF($N281&gt;0,1/$N281,0),
IF(EH$44=1,0,VDB(1,0,$N281,INT(EH$44-1-1),MIN($N281,INT(EH$44-1-1)+1),$DC281,IF($DD281="No",1,0))/
IF(DO281&gt;=INT($N281),$N281-INT($N281),1)))*
IF(EH$44=1,0,
IF(INT(DP281)=INT(DO281),DP281-DO281,INT(DP281)-DO281))+
IF($N281&lt;=1,
IF($N281&gt;0,1/$N281,0),VDB(1,0,$N281,INT(EH$44-1),MIN($N281,INT(EH$44-1)+1),$DC281,IF($DD281="No",1,0))/
IF(DP281&gt;INT($N281),$N281-INT($N281),1))*
IF(EH$44=1,DP281,
IF(INT(DP281)=INT(DO281),0,DP281-INT(DP281)))))</f>
        <v>0</v>
      </c>
      <c r="EI281" s="834">
        <f>+IF(DQ281=DP281,0,
IF(AND(EI$44&gt;1,DQ281=$N281),1-SUM($EE281:EH281),
IF($N281&lt;=1,
IF($N281&gt;0,1/$N281,0),
IF(EI$44=1,0,VDB(1,0,$N281,INT(EI$44-1-1),MIN($N281,INT(EI$44-1-1)+1),$DC281,IF($DD281="No",1,0))/
IF(DP281&gt;=INT($N281),$N281-INT($N281),1)))*
IF(EI$44=1,0,
IF(INT(DQ281)=INT(DP281),DQ281-DP281,INT(DQ281)-DP281))+
IF($N281&lt;=1,
IF($N281&gt;0,1/$N281,0),VDB(1,0,$N281,INT(EI$44-1),MIN($N281,INT(EI$44-1)+1),$DC281,IF($DD281="No",1,0))/
IF(DQ281&gt;INT($N281),$N281-INT($N281),1))*
IF(EI$44=1,DQ281,
IF(INT(DQ281)=INT(DP281),0,DQ281-INT(DQ281)))))</f>
        <v>0</v>
      </c>
      <c r="EJ281" s="835">
        <f>+IF(DR281=DQ281,0,
IF(AND(EJ$44&gt;1,DR281=$N281),1-SUM($EE281:EI281),
IF($N281&lt;=1,
IF($N281&gt;0,1/$N281,0),
IF(EJ$44=1,0,VDB(1,0,$N281,INT(EJ$44-1-1),MIN($N281,INT(EJ$44-1-1)+1),$DC281,IF($DD281="No",1,0))/
IF(DQ281&gt;=INT($N281),$N281-INT($N281),1)))*
IF(EJ$44=1,0,
IF(INT(DR281)=INT(DQ281),DR281-DQ281,INT(DR281)-DQ281))+
IF($N281&lt;=1,
IF($N281&gt;0,1/$N281,0),VDB(1,0,$N281,INT(EJ$44-1),MIN($N281,INT(EJ$44-1)+1),$DC281,IF($DD281="No",1,0))/
IF(DR281&gt;INT($N281),$N281-INT($N281),1))*
IF(EJ$44=1,DR281,
IF(INT(DR281)=INT(DQ281),0,DR281-INT(DR281)))))</f>
        <v>0</v>
      </c>
      <c r="EK281" s="835">
        <f>+IF(DS281=DR281,0,
IF(AND(EK$44&gt;1,DS281=$N281),1-SUM($EE281:EJ281),
IF($N281&lt;=1,
IF($N281&gt;0,1/$N281,0),
IF(EK$44=1,0,VDB(1,0,$N281,INT(EK$44-1-1),MIN($N281,INT(EK$44-1-1)+1),$DC281,IF($DD281="No",1,0))/
IF(DR281&gt;=INT($N281),$N281-INT($N281),1)))*
IF(EK$44=1,0,
IF(INT(DS281)=INT(DR281),DS281-DR281,INT(DS281)-DR281))+
IF($N281&lt;=1,
IF($N281&gt;0,1/$N281,0),VDB(1,0,$N281,INT(EK$44-1),MIN($N281,INT(EK$44-1)+1),$DC281,IF($DD281="No",1,0))/
IF(DS281&gt;INT($N281),$N281-INT($N281),1))*
IF(EK$44=1,DS281,
IF(INT(DS281)=INT(DR281),0,DS281-INT(DS281)))))</f>
        <v>0</v>
      </c>
      <c r="EL281" s="835">
        <f>+IF(DT281=DS281,0,
IF(AND(EL$44&gt;1,DT281=$N281),1-SUM($EE281:EK281),
IF($N281&lt;=1,
IF($N281&gt;0,1/$N281,0),
IF(EL$44=1,0,VDB(1,0,$N281,INT(EL$44-1-1),MIN($N281,INT(EL$44-1-1)+1),$DC281,IF($DD281="No",1,0))/
IF(DS281&gt;=INT($N281),$N281-INT($N281),1)))*
IF(EL$44=1,0,
IF(INT(DT281)=INT(DS281),DT281-DS281,INT(DT281)-DS281))+
IF($N281&lt;=1,
IF($N281&gt;0,1/$N281,0),VDB(1,0,$N281,INT(EL$44-1),MIN($N281,INT(EL$44-1)+1),$DC281,IF($DD281="No",1,0))/
IF(DT281&gt;INT($N281),$N281-INT($N281),1))*
IF(EL$44=1,DT281,
IF(INT(DT281)=INT(DS281),0,DT281-INT(DT281)))))</f>
        <v>0</v>
      </c>
      <c r="EM281" s="836">
        <f>+IF(DU281=DT281,0,
IF(AND(EM$44&gt;1,DU281=$N281),1-SUM($EE281:EL281),
IF($N281&lt;=1,
IF($N281&gt;0,1/$N281,0),
IF(EM$44=1,0,VDB(1,0,$N281,INT(EM$44-1-1),MIN($N281,INT(EM$44-1-1)+1),$DC281,IF($DD281="No",1,0))/
IF(DT281&gt;=INT($N281),$N281-INT($N281),1)))*
IF(EM$44=1,0,
IF(INT(DU281)=INT(DT281),DU281-DT281,INT(DU281)-DT281))+
IF($N281&lt;=1,
IF($N281&gt;0,1/$N281,0),VDB(1,0,$N281,INT(EM$44-1),MIN($N281,INT(EM$44-1)+1),$DC281,IF($DD281="No",1,0))/
IF(DU281&gt;INT($N281),$N281-INT($N281),1))*
IF(EM$44=1,DU281,
IF(INT(DU281)=INT(DT281),0,DU281-INT(DU281)))))</f>
        <v>0</v>
      </c>
      <c r="EN281" s="833"/>
      <c r="EO281" s="834">
        <f>+IF(OR(DW281=DV281,EO$44=1),0,
IF(AND(EO$44&gt;1,DW281=$N281),1-SUM($EN281:EN281),
IF($N281&lt;=1,
IF($N281&gt;0,1/$N281,0),
IF(EO$44=2,0,VDB(1,0,$N281,INT(EO$44-2-1),MIN($N281,INT(EO$44-2-1)+1),$DC281,IF($DD281="No",1,0))/
IF(DV281&gt;=INT($N281),$N281-INT($N281),1)))*
IF(EO$44=2,0,
IF(INT(DW281)=INT(DV281),DW281-DV281,INT(DW281)-DV281))+
IF($N281&lt;=1,
IF($N281&gt;0,1/$N281,0),VDB(1,0,$N281,INT(EO$44-2),MIN($N281,INT(EO$44-2)+1),$DC281,IF($DD281="No",1,0))/
IF(DW281&gt;INT($N281),$N281-INT($N281),1))*
IF(EO$44=2,DW281,
IF(INT(DW281)=INT(DV281),0,DW281-INT(DW281)))))</f>
        <v>0</v>
      </c>
      <c r="EP281" s="835">
        <f>+IF(OR(DX281=DW281,EP$44=1),0,
IF(AND(EP$44&gt;1,DX281=$N281),1-SUM($EN281:EO281),
IF($N281&lt;=1,
IF($N281&gt;0,1/$N281,0),
IF(EP$44=2,0,VDB(1,0,$N281,INT(EP$44-2-1),MIN($N281,INT(EP$44-2-1)+1),$DC281,IF($DD281="No",1,0))/
IF(DW281&gt;=INT($N281),$N281-INT($N281),1)))*
IF(EP$44=2,0,
IF(INT(DX281)=INT(DW281),DX281-DW281,INT(DX281)-DW281))+
IF($N281&lt;=1,
IF($N281&gt;0,1/$N281,0),VDB(1,0,$N281,INT(EP$44-2),MIN($N281,INT(EP$44-2)+1),$DC281,IF($DD281="No",1,0))/
IF(DX281&gt;INT($N281),$N281-INT($N281),1))*
IF(EP$44=2,DX281,
IF(INT(DX281)=INT(DW281),0,DX281-INT(DX281)))))</f>
        <v>0</v>
      </c>
      <c r="EQ281" s="836">
        <f>+IF(OR(DY281=DX281,EQ$44=1),0,
IF(AND(EQ$44&gt;1,DY281=$N281),1-SUM($EN281:EP281),
IF($N281&lt;=1,
IF($N281&gt;0,1/$N281,0),
IF(EQ$44=2,0,VDB(1,0,$N281,INT(EQ$44-2-1),MIN($N281,INT(EQ$44-2-1)+1),$DC281,IF($DD281="No",1,0))/
IF(DX281&gt;=INT($N281),$N281-INT($N281),1)))*
IF(EQ$44=2,0,
IF(INT(DY281)=INT(DX281),DY281-DX281,INT(DY281)-DX281))+
IF($N281&lt;=1,
IF($N281&gt;0,1/$N281,0),VDB(1,0,$N281,INT(EQ$44-2),MIN($N281,INT(EQ$44-2)+1),$DC281,IF($DD281="No",1,0))/
IF(DY281&gt;INT($N281),$N281-INT($N281),1))*
IF(EQ$44=2,DY281,
IF(INT(DY281)=INT(DX281),0,DY281-INT(DY281)))))</f>
        <v>0</v>
      </c>
      <c r="ER281" s="834">
        <f>+IF(OR(DZ281=DY281,ER$44=1),0,
IF(AND(ER$44&gt;1,DZ281=$N281),1-SUM($EN281:EQ281),
IF($N281&lt;=1,
IF($N281&gt;0,1/$N281,0),
IF(ER$44=2,0,VDB(1,0,$N281,INT(ER$44-2-1),MIN($N281,INT(ER$44-2-1)+1),$DC281,IF($DD281="No",1,0))/
IF(DY281&gt;=INT($N281),$N281-INT($N281),1)))*
IF(ER$44=2,0,
IF(INT(DZ281)=INT(DY281),DZ281-DY281,INT(DZ281)-DY281))+
IF($N281&lt;=1,
IF($N281&gt;0,1/$N281,0),VDB(1,0,$N281,INT(ER$44-2),MIN($N281,INT(ER$44-2)+1),$DC281,IF($DD281="No",1,0))/
IF(DZ281&gt;INT($N281),$N281-INT($N281),1))*
IF(ER$44=2,DZ281,
IF(INT(DZ281)=INT(DY281),0,DZ281-INT(DZ281)))))</f>
        <v>0</v>
      </c>
      <c r="ES281" s="835">
        <f>+IF(OR(EA281=DZ281,ES$44=1),0,
IF(AND(ES$44&gt;1,EA281=$N281),1-SUM($EN281:ER281),
IF($N281&lt;=1,
IF($N281&gt;0,1/$N281,0),
IF(ES$44=2,0,VDB(1,0,$N281,INT(ES$44-2-1),MIN($N281,INT(ES$44-2-1)+1),$DC281,IF($DD281="No",1,0))/
IF(DZ281&gt;=INT($N281),$N281-INT($N281),1)))*
IF(ES$44=2,0,
IF(INT(EA281)=INT(DZ281),EA281-DZ281,INT(EA281)-DZ281))+
IF($N281&lt;=1,
IF($N281&gt;0,1/$N281,0),VDB(1,0,$N281,INT(ES$44-2),MIN($N281,INT(ES$44-2)+1),$DC281,IF($DD281="No",1,0))/
IF(EA281&gt;INT($N281),$N281-INT($N281),1))*
IF(ES$44=2,EA281,
IF(INT(EA281)=INT(DZ281),0,EA281-INT(EA281)))))</f>
        <v>0</v>
      </c>
      <c r="ET281" s="835">
        <f>+IF(OR(EB281=EA281,ET$44=1),0,
IF(AND(ET$44&gt;1,EB281=$N281),1-SUM($EN281:ES281),
IF($N281&lt;=1,
IF($N281&gt;0,1/$N281,0),
IF(ET$44=2,0,VDB(1,0,$N281,INT(ET$44-2-1),MIN($N281,INT(ET$44-2-1)+1),$DC281,IF($DD281="No",1,0))/
IF(EA281&gt;=INT($N281),$N281-INT($N281),1)))*
IF(ET$44=2,0,
IF(INT(EB281)=INT(EA281),EB281-EA281,INT(EB281)-EA281))+
IF($N281&lt;=1,
IF($N281&gt;0,1/$N281,0),VDB(1,0,$N281,INT(ET$44-2),MIN($N281,INT(ET$44-2)+1),$DC281,IF($DD281="No",1,0))/
IF(EB281&gt;INT($N281),$N281-INT($N281),1))*
IF(ET$44=2,EB281,
IF(INT(EB281)=INT(EA281),0,EB281-INT(EB281)))))</f>
        <v>0</v>
      </c>
      <c r="EU281" s="835">
        <f>+IF(OR(EC281=EB281,EU$44=1),0,
IF(AND(EU$44&gt;1,EC281=$N281),1-SUM($EN281:ET281),
IF($N281&lt;=1,
IF($N281&gt;0,1/$N281,0),
IF(EU$44=2,0,VDB(1,0,$N281,INT(EU$44-2-1),MIN($N281,INT(EU$44-2-1)+1),$DC281,IF($DD281="No",1,0))/
IF(EB281&gt;=INT($N281),$N281-INT($N281),1)))*
IF(EU$44=2,0,
IF(INT(EC281)=INT(EB281),EC281-EB281,INT(EC281)-EB281))+
IF($N281&lt;=1,
IF($N281&gt;0,1/$N281,0),VDB(1,0,$N281,INT(EU$44-2),MIN($N281,INT(EU$44-2)+1),$DC281,IF($DD281="No",1,0))/
IF(EC281&gt;INT($N281),$N281-INT($N281),1))*
IF(EU$44=2,EC281,
IF(INT(EC281)=INT(EB281),0,EC281-INT(EC281)))))</f>
        <v>0</v>
      </c>
      <c r="EV281" s="836">
        <f>+IF(OR(ED281=EC281,EV$44=1),0,
IF(AND(EV$44&gt;1,ED281=$N281),1-SUM($EN281:EU281),
IF($N281&lt;=1,
IF($N281&gt;0,1/$N281,0),
IF(EV$44=2,0,VDB(1,0,$N281,INT(EV$44-2-1),MIN($N281,INT(EV$44-2-1)+1),$DC281,IF($DD281="No",1,0))/
IF(EC281&gt;=INT($N281),$N281-INT($N281),1)))*
IF(EV$44=2,0,
IF(INT(ED281)=INT(EC281),ED281-EC281,INT(ED281)-EC281))+
IF($N281&lt;=1,
IF($N281&gt;0,1/$N281,0),VDB(1,0,$N281,INT(EV$44-2),MIN($N281,INT(EV$44-2)+1),$DC281,IF($DD281="No",1,0))/
IF(ED281&gt;INT($N281),$N281-INT($N281),1))*
IF(EV$44=2,ED281,
IF(INT(ED281)=INT(EC281),0,ED281-INT(ED281)))))</f>
        <v>0</v>
      </c>
      <c r="EW281" s="833"/>
      <c r="EX281" s="834">
        <f t="shared" ca="1" si="513"/>
        <v>0</v>
      </c>
      <c r="EY281" s="835">
        <f t="shared" ca="1" si="513"/>
        <v>0</v>
      </c>
      <c r="EZ281" s="836">
        <f t="shared" ca="1" si="513"/>
        <v>0</v>
      </c>
      <c r="FA281" s="834">
        <f t="shared" ca="1" si="513"/>
        <v>0</v>
      </c>
      <c r="FB281" s="835">
        <f t="shared" ca="1" si="513"/>
        <v>0</v>
      </c>
      <c r="FC281" s="835">
        <f t="shared" ca="1" si="513"/>
        <v>0</v>
      </c>
      <c r="FD281" s="835">
        <f t="shared" ca="1" si="513"/>
        <v>0</v>
      </c>
      <c r="FE281" s="836">
        <f t="shared" ca="1" si="513"/>
        <v>0</v>
      </c>
      <c r="FG281" s="386">
        <f t="shared" ca="1" si="504"/>
        <v>0</v>
      </c>
      <c r="FH281" s="387">
        <f t="shared" ca="1" si="505"/>
        <v>0</v>
      </c>
      <c r="FI281" s="388">
        <f t="shared" ca="1" si="506"/>
        <v>0</v>
      </c>
      <c r="FJ281" s="386">
        <f t="shared" ca="1" si="507"/>
        <v>0</v>
      </c>
      <c r="FK281" s="387">
        <f t="shared" ca="1" si="508"/>
        <v>0</v>
      </c>
      <c r="FL281" s="387">
        <f t="shared" ca="1" si="509"/>
        <v>0</v>
      </c>
      <c r="FM281" s="387">
        <f t="shared" ca="1" si="510"/>
        <v>0</v>
      </c>
      <c r="FN281" s="388">
        <f t="shared" ca="1" si="511"/>
        <v>0</v>
      </c>
      <c r="FR281" s="116"/>
    </row>
    <row r="282" spans="2:174">
      <c r="B282" s="1410">
        <f t="shared" si="512"/>
        <v>236</v>
      </c>
      <c r="C282" s="400"/>
      <c r="D282" s="410"/>
      <c r="E282" s="402"/>
      <c r="F282" s="402"/>
      <c r="G282" s="400"/>
      <c r="H282" s="2088"/>
      <c r="I282" s="2089"/>
      <c r="J282" s="411"/>
      <c r="K282" s="403"/>
      <c r="L282" s="403"/>
      <c r="M282" s="403"/>
      <c r="N282" s="403"/>
      <c r="O282" s="347"/>
      <c r="P282" s="347"/>
      <c r="Q282" s="1021"/>
      <c r="R282" s="1022"/>
      <c r="S282" s="1022"/>
      <c r="T282" s="1022"/>
      <c r="U282" s="1023"/>
      <c r="V282" s="1021"/>
      <c r="W282" s="1022"/>
      <c r="X282" s="1022"/>
      <c r="Y282" s="1022"/>
      <c r="Z282" s="1023"/>
      <c r="AA282" s="1024"/>
      <c r="AB282" s="1021"/>
      <c r="AC282" s="1022"/>
      <c r="AD282" s="1022"/>
      <c r="AE282" s="1022"/>
      <c r="AF282" s="1023"/>
      <c r="AG282" s="1021"/>
      <c r="AH282" s="1022"/>
      <c r="AI282" s="1022"/>
      <c r="AJ282" s="1022"/>
      <c r="AK282" s="1023"/>
      <c r="AL282" s="1024"/>
      <c r="AM282" s="1021"/>
      <c r="AN282" s="1022"/>
      <c r="AO282" s="1022"/>
      <c r="AP282" s="1022"/>
      <c r="AQ282" s="1023"/>
      <c r="AR282" s="1021"/>
      <c r="AS282" s="1022"/>
      <c r="AT282" s="1022"/>
      <c r="AU282" s="1022"/>
      <c r="AV282" s="1023"/>
      <c r="AW282" s="1025"/>
      <c r="AX282" s="1282">
        <f t="shared" si="457"/>
        <v>0</v>
      </c>
      <c r="AY282" s="387">
        <f t="shared" si="458"/>
        <v>0</v>
      </c>
      <c r="AZ282" s="387">
        <f t="shared" si="459"/>
        <v>0</v>
      </c>
      <c r="BA282" s="387">
        <f t="shared" si="460"/>
        <v>0</v>
      </c>
      <c r="BB282" s="1283">
        <f t="shared" si="461"/>
        <v>0</v>
      </c>
      <c r="BC282" s="386">
        <f t="shared" si="462"/>
        <v>0</v>
      </c>
      <c r="BD282" s="387">
        <f t="shared" si="463"/>
        <v>0</v>
      </c>
      <c r="BE282" s="1277">
        <f t="shared" si="464"/>
        <v>0</v>
      </c>
      <c r="BF282" s="1277">
        <f t="shared" si="465"/>
        <v>0</v>
      </c>
      <c r="BG282" s="388">
        <f t="shared" si="466"/>
        <v>0</v>
      </c>
      <c r="BH282" s="1025"/>
      <c r="BI282" s="1282">
        <f t="shared" ca="1" si="467"/>
        <v>0</v>
      </c>
      <c r="BJ282" s="387">
        <f t="shared" ca="1" si="468"/>
        <v>0</v>
      </c>
      <c r="BK282" s="387">
        <f t="shared" ca="1" si="469"/>
        <v>0</v>
      </c>
      <c r="BL282" s="387">
        <f t="shared" ca="1" si="470"/>
        <v>0</v>
      </c>
      <c r="BM282" s="1283">
        <f t="shared" ca="1" si="471"/>
        <v>0</v>
      </c>
      <c r="BN282" s="386">
        <f t="shared" ca="1" si="472"/>
        <v>0</v>
      </c>
      <c r="BO282" s="387">
        <f t="shared" ca="1" si="473"/>
        <v>0</v>
      </c>
      <c r="BP282" s="1277">
        <f t="shared" ca="1" si="474"/>
        <v>0</v>
      </c>
      <c r="BQ282" s="1277">
        <f t="shared" ca="1" si="475"/>
        <v>0</v>
      </c>
      <c r="BR282" s="388">
        <f t="shared" ca="1" si="476"/>
        <v>0</v>
      </c>
      <c r="BS282" s="1025"/>
      <c r="BT282" s="1282">
        <f>+IF($K282="Ongoing",AX282,IF(RIGHT($K282,2)=RIGHT(BT$43,2),SUM($AX282:AX282),0)+IF(RIGHT(BT$43,2)&gt;RIGHT($K282,2),AX282,0))</f>
        <v>0</v>
      </c>
      <c r="BU282" s="387">
        <f>+IF($K282="Ongoing",AY282,IF(RIGHT($K282,2)=RIGHT(BU$43,2),SUM($AX282:AY282),0)+IF(RIGHT(BU$43,2)&gt;RIGHT($K282,2),AY282,0))</f>
        <v>0</v>
      </c>
      <c r="BV282" s="387">
        <f>+IF($K282="Ongoing",AZ282,IF(RIGHT($K282,2)=RIGHT(BV$43,2),SUM($AX282:AZ282),0)+IF(RIGHT(BV$43,2)&gt;RIGHT($K282,2),AZ282,0))</f>
        <v>0</v>
      </c>
      <c r="BW282" s="387">
        <f>+IF($K282="Ongoing",BA282,IF(RIGHT($K282,2)=RIGHT(BW$43,2),SUM($AX282:BA282),0)+IF(RIGHT(BW$43,2)&gt;RIGHT($K282,2),BA282,0))</f>
        <v>0</v>
      </c>
      <c r="BX282" s="1283">
        <f>+IF($K282="Ongoing",BB282,IF(RIGHT($K282,2)=RIGHT(BX$43,2),SUM($AX282:BB282),0)+IF(RIGHT(BX$43,2)&gt;RIGHT($K282,2),BB282,0))</f>
        <v>0</v>
      </c>
      <c r="BY282" s="386">
        <f>+IF($K282="Ongoing",BC282,IF(RIGHT($K282,2)=RIGHT(BY$43,2),SUM($AX282:BC282),0)+IF(RIGHT(BY$43,2)&gt;RIGHT($K282,2),BC282,0))</f>
        <v>0</v>
      </c>
      <c r="BZ282" s="387">
        <f>+IF($K282="Ongoing",BD282,IF(RIGHT($K282,2)=RIGHT(BZ$43,2),SUM($AX282:BD282),0)+IF(RIGHT(BZ$43,2)&gt;RIGHT($K282,2),BD282,0))</f>
        <v>0</v>
      </c>
      <c r="CA282" s="1277">
        <f>+IF($K282="Ongoing",BE282,IF(RIGHT($K282,2)=RIGHT(CA$43,2),SUM($AX282:BE282),0)+IF(RIGHT(CA$43,2)&gt;RIGHT($K282,2),BE282,0))</f>
        <v>0</v>
      </c>
      <c r="CB282" s="1277">
        <f>+IF($K282="Ongoing",BF282,IF(RIGHT($K282,2)=RIGHT(CB$43,2),SUM($AX282:BF282),0)+IF(RIGHT(CB$43,2)&gt;RIGHT($K282,2),BF282,0))</f>
        <v>0</v>
      </c>
      <c r="CC282" s="388">
        <f>+IF($K282="Ongoing",BG282,IF(RIGHT($K282,2)=RIGHT(CC$43,2),SUM($AX282:BG282),0)+IF(RIGHT(CC$43,2)&gt;RIGHT($K282,2),BG282,0))</f>
        <v>0</v>
      </c>
      <c r="CD282" s="1025"/>
      <c r="CE282" s="1282">
        <f>+Q282*KeyAssumptionsPriceControl_FO!AF$15</f>
        <v>0</v>
      </c>
      <c r="CF282" s="387">
        <f>+R282*KeyAssumptionsPriceControl_FO!AG$15</f>
        <v>0</v>
      </c>
      <c r="CG282" s="387">
        <f>+S282*KeyAssumptionsPriceControl_FO!AH$15</f>
        <v>0</v>
      </c>
      <c r="CH282" s="387">
        <f>+T282*KeyAssumptionsPriceControl_FO!AI$15</f>
        <v>0</v>
      </c>
      <c r="CI282" s="1283">
        <f>+U282*KeyAssumptionsPriceControl_FO!AJ$15</f>
        <v>0</v>
      </c>
      <c r="CJ282" s="386">
        <f>+V282*KeyAssumptionsPriceControl_FO!AK$15</f>
        <v>0</v>
      </c>
      <c r="CK282" s="387">
        <f>+W282*KeyAssumptionsPriceControl_FO!AL$15</f>
        <v>0</v>
      </c>
      <c r="CL282" s="1277">
        <f>+X282*KeyAssumptionsPriceControl_FO!AM$15</f>
        <v>0</v>
      </c>
      <c r="CM282" s="1277">
        <f>+Y282*KeyAssumptionsPriceControl_FO!AN$15</f>
        <v>0</v>
      </c>
      <c r="CN282" s="388">
        <f>+Z282*KeyAssumptionsPriceControl_FO!AO$15</f>
        <v>0</v>
      </c>
      <c r="CO282" s="1025"/>
      <c r="CP282" s="1282">
        <f t="shared" ca="1" si="477"/>
        <v>0</v>
      </c>
      <c r="CQ282" s="387">
        <f t="shared" ca="1" si="478"/>
        <v>0</v>
      </c>
      <c r="CR282" s="387">
        <f t="shared" ca="1" si="479"/>
        <v>0</v>
      </c>
      <c r="CS282" s="387">
        <f t="shared" ca="1" si="480"/>
        <v>0</v>
      </c>
      <c r="CT282" s="1283">
        <f t="shared" ca="1" si="481"/>
        <v>0</v>
      </c>
      <c r="CU282" s="386">
        <f t="shared" ca="1" si="482"/>
        <v>0</v>
      </c>
      <c r="CV282" s="387">
        <f t="shared" ca="1" si="483"/>
        <v>0</v>
      </c>
      <c r="CW282" s="1277">
        <f t="shared" ca="1" si="484"/>
        <v>0</v>
      </c>
      <c r="CX282" s="1277">
        <f t="shared" ca="1" si="485"/>
        <v>0</v>
      </c>
      <c r="CY282" s="388">
        <f t="shared" ca="1" si="486"/>
        <v>0</v>
      </c>
      <c r="CZ282" s="347"/>
      <c r="DA282" s="852"/>
      <c r="DB282" s="347"/>
      <c r="DC282" s="1012" t="s">
        <v>584</v>
      </c>
      <c r="DD282" s="841" t="s">
        <v>518</v>
      </c>
      <c r="DE282" s="386">
        <f>+IF($K282="ongoing",CE282,IF(RIGHT($K282,2)=RIGHT(DE$43,2),SUM($CD282:CE282),0)+IF(RIGHT(DE$43,2)&gt;RIGHT($K282,2),CE282,0))</f>
        <v>0</v>
      </c>
      <c r="DF282" s="387">
        <f>+IF($K282="ongoing",CF282,IF(RIGHT($K282,2)=RIGHT(DF$43,2),SUM($CD282:CF282),0)+IF(RIGHT(DF$43,2)&gt;RIGHT($K282,2),CF282,0))</f>
        <v>0</v>
      </c>
      <c r="DG282" s="388">
        <f>+IF($K282="ongoing",CG282,IF(RIGHT($K282,2)=RIGHT(DG$43,2),SUM($CD282:CG282),0)+IF(RIGHT(DG$43,2)&gt;RIGHT($K282,2),CG282,0))</f>
        <v>0</v>
      </c>
      <c r="DH282" s="386">
        <f>+IF($K282="ongoing",CH282,IF(RIGHT($K282,2)=RIGHT(DH$43,2),SUM($CD282:CH282),0)+IF(RIGHT(DH$43,2)&gt;RIGHT($K282,2),CH282,0))</f>
        <v>0</v>
      </c>
      <c r="DI282" s="387">
        <f>+IF($K282="ongoing",CI282,IF(RIGHT($K282,2)=RIGHT(DI$43,2),SUM($CD282:CI282),0)+IF(RIGHT(DI$43,2)&gt;RIGHT($K282,2),CI282,0))</f>
        <v>0</v>
      </c>
      <c r="DJ282" s="387">
        <f>+IF($K282="ongoing",CJ282,IF(RIGHT($K282,2)=RIGHT(DJ$43,2),SUM($CD282:CJ282),0)+IF(RIGHT(DJ$43,2)&gt;RIGHT($K282,2),CJ282,0))</f>
        <v>0</v>
      </c>
      <c r="DK282" s="387">
        <f>+IF($K282="ongoing",CK282,IF(RIGHT($K282,2)=RIGHT(DK$43,2),SUM($CD282:CK282),0)+IF(RIGHT(DK$43,2)&gt;RIGHT($K282,2),CK282,0))</f>
        <v>0</v>
      </c>
      <c r="DL282" s="388">
        <f>+IF($K282="ongoing",CN282,IF(RIGHT($K282,2)=RIGHT(DL$43,2),SUM($CD282:CN282),0)+IF(RIGHT(DL$43,2)&gt;RIGHT($K282,2),CN282,0))</f>
        <v>0</v>
      </c>
      <c r="DM282" s="841"/>
      <c r="DN282" s="386">
        <f t="shared" si="487"/>
        <v>0.5</v>
      </c>
      <c r="DO282" s="387">
        <f t="shared" si="488"/>
        <v>1</v>
      </c>
      <c r="DP282" s="388">
        <f t="shared" si="489"/>
        <v>1</v>
      </c>
      <c r="DQ282" s="386">
        <f t="shared" si="490"/>
        <v>1</v>
      </c>
      <c r="DR282" s="387">
        <f t="shared" si="491"/>
        <v>1</v>
      </c>
      <c r="DS282" s="387">
        <f t="shared" si="492"/>
        <v>1</v>
      </c>
      <c r="DT282" s="387">
        <f t="shared" si="493"/>
        <v>1</v>
      </c>
      <c r="DU282" s="388">
        <f t="shared" si="494"/>
        <v>1</v>
      </c>
      <c r="DW282" s="386">
        <f t="shared" si="495"/>
        <v>0</v>
      </c>
      <c r="DX282" s="387">
        <f t="shared" si="496"/>
        <v>0.5</v>
      </c>
      <c r="DY282" s="388">
        <f t="shared" si="497"/>
        <v>1</v>
      </c>
      <c r="DZ282" s="386">
        <f t="shared" si="498"/>
        <v>1</v>
      </c>
      <c r="EA282" s="387">
        <f t="shared" si="499"/>
        <v>1</v>
      </c>
      <c r="EB282" s="387">
        <f t="shared" si="500"/>
        <v>1</v>
      </c>
      <c r="EC282" s="387">
        <f t="shared" si="501"/>
        <v>1</v>
      </c>
      <c r="ED282" s="388">
        <f t="shared" si="502"/>
        <v>1</v>
      </c>
      <c r="EF282" s="834">
        <f>+IF(DN282=DM282,0,
IF(AND(EF$44&gt;1,DN282=$N282),1-SUM($EE282:EE282),
IF($N282&lt;=1,
IF($N282&gt;0,1/$N282,0),
IF(EF$44=1,0,VDB(1,0,$N282,INT(EF$44-1-1),MIN($N282,INT(EF$44-1-1)+1),$DC282,IF($DD282="No",1,0))/
IF(DM282&gt;=INT($N282),$N282-INT($N282),1)))*
IF(EF$44=1,0,
IF(INT(DN282)=INT(DM282),DN282-DM282,INT(DN282)-DM282))+
IF($N282&lt;=1,
IF($N282&gt;0,1/$N282,0),VDB(1,0,$N282,INT(EF$44-1),MIN($N282,INT(EF$44-1)+1),$DC282,IF($DD282="No",1,0))/
IF(DN282&gt;INT($N282),$N282-INT($N282),1))*
IF(EF$44=1,DN282,
IF(INT(DN282)=INT(DM282),0,DN282-INT(DN282)))))</f>
        <v>0</v>
      </c>
      <c r="EG282" s="835">
        <f>+IF(DO282=DN282,0,
IF(AND(EG$44&gt;1,DO282=$N282),1-SUM($EE282:EF282),
IF($N282&lt;=1,
IF($N282&gt;0,1/$N282,0),
IF(EG$44=1,0,VDB(1,0,$N282,INT(EG$44-1-1),MIN($N282,INT(EG$44-1-1)+1),$DC282,IF($DD282="No",1,0))/
IF(DN282&gt;=INT($N282),$N282-INT($N282),1)))*
IF(EG$44=1,0,
IF(INT(DO282)=INT(DN282),DO282-DN282,INT(DO282)-DN282))+
IF($N282&lt;=1,
IF($N282&gt;0,1/$N282,0),VDB(1,0,$N282,INT(EG$44-1),MIN($N282,INT(EG$44-1)+1),$DC282,IF($DD282="No",1,0))/
IF(DO282&gt;INT($N282),$N282-INT($N282),1))*
IF(EG$44=1,DO282,
IF(INT(DO282)=INT(DN282),0,DO282-INT(DO282)))))</f>
        <v>0</v>
      </c>
      <c r="EH282" s="836">
        <f>+IF(DP282=DO282,0,
IF(AND(EH$44&gt;1,DP282=$N282),1-SUM($EE282:EG282),
IF($N282&lt;=1,
IF($N282&gt;0,1/$N282,0),
IF(EH$44=1,0,VDB(1,0,$N282,INT(EH$44-1-1),MIN($N282,INT(EH$44-1-1)+1),$DC282,IF($DD282="No",1,0))/
IF(DO282&gt;=INT($N282),$N282-INT($N282),1)))*
IF(EH$44=1,0,
IF(INT(DP282)=INT(DO282),DP282-DO282,INT(DP282)-DO282))+
IF($N282&lt;=1,
IF($N282&gt;0,1/$N282,0),VDB(1,0,$N282,INT(EH$44-1),MIN($N282,INT(EH$44-1)+1),$DC282,IF($DD282="No",1,0))/
IF(DP282&gt;INT($N282),$N282-INT($N282),1))*
IF(EH$44=1,DP282,
IF(INT(DP282)=INT(DO282),0,DP282-INT(DP282)))))</f>
        <v>0</v>
      </c>
      <c r="EI282" s="834">
        <f>+IF(DQ282=DP282,0,
IF(AND(EI$44&gt;1,DQ282=$N282),1-SUM($EE282:EH282),
IF($N282&lt;=1,
IF($N282&gt;0,1/$N282,0),
IF(EI$44=1,0,VDB(1,0,$N282,INT(EI$44-1-1),MIN($N282,INT(EI$44-1-1)+1),$DC282,IF($DD282="No",1,0))/
IF(DP282&gt;=INT($N282),$N282-INT($N282),1)))*
IF(EI$44=1,0,
IF(INT(DQ282)=INT(DP282),DQ282-DP282,INT(DQ282)-DP282))+
IF($N282&lt;=1,
IF($N282&gt;0,1/$N282,0),VDB(1,0,$N282,INT(EI$44-1),MIN($N282,INT(EI$44-1)+1),$DC282,IF($DD282="No",1,0))/
IF(DQ282&gt;INT($N282),$N282-INT($N282),1))*
IF(EI$44=1,DQ282,
IF(INT(DQ282)=INT(DP282),0,DQ282-INT(DQ282)))))</f>
        <v>0</v>
      </c>
      <c r="EJ282" s="835">
        <f>+IF(DR282=DQ282,0,
IF(AND(EJ$44&gt;1,DR282=$N282),1-SUM($EE282:EI282),
IF($N282&lt;=1,
IF($N282&gt;0,1/$N282,0),
IF(EJ$44=1,0,VDB(1,0,$N282,INT(EJ$44-1-1),MIN($N282,INT(EJ$44-1-1)+1),$DC282,IF($DD282="No",1,0))/
IF(DQ282&gt;=INT($N282),$N282-INT($N282),1)))*
IF(EJ$44=1,0,
IF(INT(DR282)=INT(DQ282),DR282-DQ282,INT(DR282)-DQ282))+
IF($N282&lt;=1,
IF($N282&gt;0,1/$N282,0),VDB(1,0,$N282,INT(EJ$44-1),MIN($N282,INT(EJ$44-1)+1),$DC282,IF($DD282="No",1,0))/
IF(DR282&gt;INT($N282),$N282-INT($N282),1))*
IF(EJ$44=1,DR282,
IF(INT(DR282)=INT(DQ282),0,DR282-INT(DR282)))))</f>
        <v>0</v>
      </c>
      <c r="EK282" s="835">
        <f>+IF(DS282=DR282,0,
IF(AND(EK$44&gt;1,DS282=$N282),1-SUM($EE282:EJ282),
IF($N282&lt;=1,
IF($N282&gt;0,1/$N282,0),
IF(EK$44=1,0,VDB(1,0,$N282,INT(EK$44-1-1),MIN($N282,INT(EK$44-1-1)+1),$DC282,IF($DD282="No",1,0))/
IF(DR282&gt;=INT($N282),$N282-INT($N282),1)))*
IF(EK$44=1,0,
IF(INT(DS282)=INT(DR282),DS282-DR282,INT(DS282)-DR282))+
IF($N282&lt;=1,
IF($N282&gt;0,1/$N282,0),VDB(1,0,$N282,INT(EK$44-1),MIN($N282,INT(EK$44-1)+1),$DC282,IF($DD282="No",1,0))/
IF(DS282&gt;INT($N282),$N282-INT($N282),1))*
IF(EK$44=1,DS282,
IF(INT(DS282)=INT(DR282),0,DS282-INT(DS282)))))</f>
        <v>0</v>
      </c>
      <c r="EL282" s="835">
        <f>+IF(DT282=DS282,0,
IF(AND(EL$44&gt;1,DT282=$N282),1-SUM($EE282:EK282),
IF($N282&lt;=1,
IF($N282&gt;0,1/$N282,0),
IF(EL$44=1,0,VDB(1,0,$N282,INT(EL$44-1-1),MIN($N282,INT(EL$44-1-1)+1),$DC282,IF($DD282="No",1,0))/
IF(DS282&gt;=INT($N282),$N282-INT($N282),1)))*
IF(EL$44=1,0,
IF(INT(DT282)=INT(DS282),DT282-DS282,INT(DT282)-DS282))+
IF($N282&lt;=1,
IF($N282&gt;0,1/$N282,0),VDB(1,0,$N282,INT(EL$44-1),MIN($N282,INT(EL$44-1)+1),$DC282,IF($DD282="No",1,0))/
IF(DT282&gt;INT($N282),$N282-INT($N282),1))*
IF(EL$44=1,DT282,
IF(INT(DT282)=INT(DS282),0,DT282-INT(DT282)))))</f>
        <v>0</v>
      </c>
      <c r="EM282" s="836">
        <f>+IF(DU282=DT282,0,
IF(AND(EM$44&gt;1,DU282=$N282),1-SUM($EE282:EL282),
IF($N282&lt;=1,
IF($N282&gt;0,1/$N282,0),
IF(EM$44=1,0,VDB(1,0,$N282,INT(EM$44-1-1),MIN($N282,INT(EM$44-1-1)+1),$DC282,IF($DD282="No",1,0))/
IF(DT282&gt;=INT($N282),$N282-INT($N282),1)))*
IF(EM$44=1,0,
IF(INT(DU282)=INT(DT282),DU282-DT282,INT(DU282)-DT282))+
IF($N282&lt;=1,
IF($N282&gt;0,1/$N282,0),VDB(1,0,$N282,INT(EM$44-1),MIN($N282,INT(EM$44-1)+1),$DC282,IF($DD282="No",1,0))/
IF(DU282&gt;INT($N282),$N282-INT($N282),1))*
IF(EM$44=1,DU282,
IF(INT(DU282)=INT(DT282),0,DU282-INT(DU282)))))</f>
        <v>0</v>
      </c>
      <c r="EN282" s="833"/>
      <c r="EO282" s="834">
        <f>+IF(OR(DW282=DV282,EO$44=1),0,
IF(AND(EO$44&gt;1,DW282=$N282),1-SUM($EN282:EN282),
IF($N282&lt;=1,
IF($N282&gt;0,1/$N282,0),
IF(EO$44=2,0,VDB(1,0,$N282,INT(EO$44-2-1),MIN($N282,INT(EO$44-2-1)+1),$DC282,IF($DD282="No",1,0))/
IF(DV282&gt;=INT($N282),$N282-INT($N282),1)))*
IF(EO$44=2,0,
IF(INT(DW282)=INT(DV282),DW282-DV282,INT(DW282)-DV282))+
IF($N282&lt;=1,
IF($N282&gt;0,1/$N282,0),VDB(1,0,$N282,INT(EO$44-2),MIN($N282,INT(EO$44-2)+1),$DC282,IF($DD282="No",1,0))/
IF(DW282&gt;INT($N282),$N282-INT($N282),1))*
IF(EO$44=2,DW282,
IF(INT(DW282)=INT(DV282),0,DW282-INT(DW282)))))</f>
        <v>0</v>
      </c>
      <c r="EP282" s="835">
        <f>+IF(OR(DX282=DW282,EP$44=1),0,
IF(AND(EP$44&gt;1,DX282=$N282),1-SUM($EN282:EO282),
IF($N282&lt;=1,
IF($N282&gt;0,1/$N282,0),
IF(EP$44=2,0,VDB(1,0,$N282,INT(EP$44-2-1),MIN($N282,INT(EP$44-2-1)+1),$DC282,IF($DD282="No",1,0))/
IF(DW282&gt;=INT($N282),$N282-INT($N282),1)))*
IF(EP$44=2,0,
IF(INT(DX282)=INT(DW282),DX282-DW282,INT(DX282)-DW282))+
IF($N282&lt;=1,
IF($N282&gt;0,1/$N282,0),VDB(1,0,$N282,INT(EP$44-2),MIN($N282,INT(EP$44-2)+1),$DC282,IF($DD282="No",1,0))/
IF(DX282&gt;INT($N282),$N282-INT($N282),1))*
IF(EP$44=2,DX282,
IF(INT(DX282)=INT(DW282),0,DX282-INT(DX282)))))</f>
        <v>0</v>
      </c>
      <c r="EQ282" s="836">
        <f>+IF(OR(DY282=DX282,EQ$44=1),0,
IF(AND(EQ$44&gt;1,DY282=$N282),1-SUM($EN282:EP282),
IF($N282&lt;=1,
IF($N282&gt;0,1/$N282,0),
IF(EQ$44=2,0,VDB(1,0,$N282,INT(EQ$44-2-1),MIN($N282,INT(EQ$44-2-1)+1),$DC282,IF($DD282="No",1,0))/
IF(DX282&gt;=INT($N282),$N282-INT($N282),1)))*
IF(EQ$44=2,0,
IF(INT(DY282)=INT(DX282),DY282-DX282,INT(DY282)-DX282))+
IF($N282&lt;=1,
IF($N282&gt;0,1/$N282,0),VDB(1,0,$N282,INT(EQ$44-2),MIN($N282,INT(EQ$44-2)+1),$DC282,IF($DD282="No",1,0))/
IF(DY282&gt;INT($N282),$N282-INT($N282),1))*
IF(EQ$44=2,DY282,
IF(INT(DY282)=INT(DX282),0,DY282-INT(DY282)))))</f>
        <v>0</v>
      </c>
      <c r="ER282" s="834">
        <f>+IF(OR(DZ282=DY282,ER$44=1),0,
IF(AND(ER$44&gt;1,DZ282=$N282),1-SUM($EN282:EQ282),
IF($N282&lt;=1,
IF($N282&gt;0,1/$N282,0),
IF(ER$44=2,0,VDB(1,0,$N282,INT(ER$44-2-1),MIN($N282,INT(ER$44-2-1)+1),$DC282,IF($DD282="No",1,0))/
IF(DY282&gt;=INT($N282),$N282-INT($N282),1)))*
IF(ER$44=2,0,
IF(INT(DZ282)=INT(DY282),DZ282-DY282,INT(DZ282)-DY282))+
IF($N282&lt;=1,
IF($N282&gt;0,1/$N282,0),VDB(1,0,$N282,INT(ER$44-2),MIN($N282,INT(ER$44-2)+1),$DC282,IF($DD282="No",1,0))/
IF(DZ282&gt;INT($N282),$N282-INT($N282),1))*
IF(ER$44=2,DZ282,
IF(INT(DZ282)=INT(DY282),0,DZ282-INT(DZ282)))))</f>
        <v>0</v>
      </c>
      <c r="ES282" s="835">
        <f>+IF(OR(EA282=DZ282,ES$44=1),0,
IF(AND(ES$44&gt;1,EA282=$N282),1-SUM($EN282:ER282),
IF($N282&lt;=1,
IF($N282&gt;0,1/$N282,0),
IF(ES$44=2,0,VDB(1,0,$N282,INT(ES$44-2-1),MIN($N282,INT(ES$44-2-1)+1),$DC282,IF($DD282="No",1,0))/
IF(DZ282&gt;=INT($N282),$N282-INT($N282),1)))*
IF(ES$44=2,0,
IF(INT(EA282)=INT(DZ282),EA282-DZ282,INT(EA282)-DZ282))+
IF($N282&lt;=1,
IF($N282&gt;0,1/$N282,0),VDB(1,0,$N282,INT(ES$44-2),MIN($N282,INT(ES$44-2)+1),$DC282,IF($DD282="No",1,0))/
IF(EA282&gt;INT($N282),$N282-INT($N282),1))*
IF(ES$44=2,EA282,
IF(INT(EA282)=INT(DZ282),0,EA282-INT(EA282)))))</f>
        <v>0</v>
      </c>
      <c r="ET282" s="835">
        <f>+IF(OR(EB282=EA282,ET$44=1),0,
IF(AND(ET$44&gt;1,EB282=$N282),1-SUM($EN282:ES282),
IF($N282&lt;=1,
IF($N282&gt;0,1/$N282,0),
IF(ET$44=2,0,VDB(1,0,$N282,INT(ET$44-2-1),MIN($N282,INT(ET$44-2-1)+1),$DC282,IF($DD282="No",1,0))/
IF(EA282&gt;=INT($N282),$N282-INT($N282),1)))*
IF(ET$44=2,0,
IF(INT(EB282)=INT(EA282),EB282-EA282,INT(EB282)-EA282))+
IF($N282&lt;=1,
IF($N282&gt;0,1/$N282,0),VDB(1,0,$N282,INT(ET$44-2),MIN($N282,INT(ET$44-2)+1),$DC282,IF($DD282="No",1,0))/
IF(EB282&gt;INT($N282),$N282-INT($N282),1))*
IF(ET$44=2,EB282,
IF(INT(EB282)=INT(EA282),0,EB282-INT(EB282)))))</f>
        <v>0</v>
      </c>
      <c r="EU282" s="835">
        <f>+IF(OR(EC282=EB282,EU$44=1),0,
IF(AND(EU$44&gt;1,EC282=$N282),1-SUM($EN282:ET282),
IF($N282&lt;=1,
IF($N282&gt;0,1/$N282,0),
IF(EU$44=2,0,VDB(1,0,$N282,INT(EU$44-2-1),MIN($N282,INT(EU$44-2-1)+1),$DC282,IF($DD282="No",1,0))/
IF(EB282&gt;=INT($N282),$N282-INT($N282),1)))*
IF(EU$44=2,0,
IF(INT(EC282)=INT(EB282),EC282-EB282,INT(EC282)-EB282))+
IF($N282&lt;=1,
IF($N282&gt;0,1/$N282,0),VDB(1,0,$N282,INT(EU$44-2),MIN($N282,INT(EU$44-2)+1),$DC282,IF($DD282="No",1,0))/
IF(EC282&gt;INT($N282),$N282-INT($N282),1))*
IF(EU$44=2,EC282,
IF(INT(EC282)=INT(EB282),0,EC282-INT(EC282)))))</f>
        <v>0</v>
      </c>
      <c r="EV282" s="836">
        <f>+IF(OR(ED282=EC282,EV$44=1),0,
IF(AND(EV$44&gt;1,ED282=$N282),1-SUM($EN282:EU282),
IF($N282&lt;=1,
IF($N282&gt;0,1/$N282,0),
IF(EV$44=2,0,VDB(1,0,$N282,INT(EV$44-2-1),MIN($N282,INT(EV$44-2-1)+1),$DC282,IF($DD282="No",1,0))/
IF(EC282&gt;=INT($N282),$N282-INT($N282),1)))*
IF(EV$44=2,0,
IF(INT(ED282)=INT(EC282),ED282-EC282,INT(ED282)-EC282))+
IF($N282&lt;=1,
IF($N282&gt;0,1/$N282,0),VDB(1,0,$N282,INT(EV$44-2),MIN($N282,INT(EV$44-2)+1),$DC282,IF($DD282="No",1,0))/
IF(ED282&gt;INT($N282),$N282-INT($N282),1))*
IF(EV$44=2,ED282,
IF(INT(ED282)=INT(EC282),0,ED282-INT(ED282)))))</f>
        <v>0</v>
      </c>
      <c r="EW282" s="833"/>
      <c r="EX282" s="834">
        <f t="shared" ca="1" si="513"/>
        <v>0</v>
      </c>
      <c r="EY282" s="835">
        <f t="shared" ca="1" si="513"/>
        <v>0</v>
      </c>
      <c r="EZ282" s="836">
        <f t="shared" ca="1" si="513"/>
        <v>0</v>
      </c>
      <c r="FA282" s="834">
        <f t="shared" ca="1" si="513"/>
        <v>0</v>
      </c>
      <c r="FB282" s="835">
        <f t="shared" ca="1" si="513"/>
        <v>0</v>
      </c>
      <c r="FC282" s="835">
        <f t="shared" ca="1" si="513"/>
        <v>0</v>
      </c>
      <c r="FD282" s="835">
        <f t="shared" ca="1" si="513"/>
        <v>0</v>
      </c>
      <c r="FE282" s="836">
        <f t="shared" ca="1" si="513"/>
        <v>0</v>
      </c>
      <c r="FG282" s="386">
        <f t="shared" ca="1" si="504"/>
        <v>0</v>
      </c>
      <c r="FH282" s="387">
        <f t="shared" ca="1" si="505"/>
        <v>0</v>
      </c>
      <c r="FI282" s="388">
        <f t="shared" ca="1" si="506"/>
        <v>0</v>
      </c>
      <c r="FJ282" s="386">
        <f t="shared" ca="1" si="507"/>
        <v>0</v>
      </c>
      <c r="FK282" s="387">
        <f t="shared" ca="1" si="508"/>
        <v>0</v>
      </c>
      <c r="FL282" s="387">
        <f t="shared" ca="1" si="509"/>
        <v>0</v>
      </c>
      <c r="FM282" s="387">
        <f t="shared" ca="1" si="510"/>
        <v>0</v>
      </c>
      <c r="FN282" s="388">
        <f t="shared" ca="1" si="511"/>
        <v>0</v>
      </c>
      <c r="FR282" s="116"/>
    </row>
    <row r="283" spans="2:174">
      <c r="B283" s="1410">
        <f t="shared" si="512"/>
        <v>237</v>
      </c>
      <c r="C283" s="400"/>
      <c r="D283" s="410"/>
      <c r="E283" s="402"/>
      <c r="F283" s="402"/>
      <c r="G283" s="400"/>
      <c r="H283" s="2088"/>
      <c r="I283" s="2089"/>
      <c r="J283" s="411"/>
      <c r="K283" s="403"/>
      <c r="L283" s="403"/>
      <c r="M283" s="403"/>
      <c r="N283" s="403"/>
      <c r="O283" s="347"/>
      <c r="P283" s="347"/>
      <c r="Q283" s="1021"/>
      <c r="R283" s="1022"/>
      <c r="S283" s="1022"/>
      <c r="T283" s="1022"/>
      <c r="U283" s="1023"/>
      <c r="V283" s="1021"/>
      <c r="W283" s="1022"/>
      <c r="X283" s="1022"/>
      <c r="Y283" s="1022"/>
      <c r="Z283" s="1023"/>
      <c r="AA283" s="1024"/>
      <c r="AB283" s="1021"/>
      <c r="AC283" s="1022"/>
      <c r="AD283" s="1022"/>
      <c r="AE283" s="1022"/>
      <c r="AF283" s="1023"/>
      <c r="AG283" s="1021"/>
      <c r="AH283" s="1022"/>
      <c r="AI283" s="1022"/>
      <c r="AJ283" s="1022"/>
      <c r="AK283" s="1023"/>
      <c r="AL283" s="1024"/>
      <c r="AM283" s="1021"/>
      <c r="AN283" s="1022"/>
      <c r="AO283" s="1022"/>
      <c r="AP283" s="1022"/>
      <c r="AQ283" s="1023"/>
      <c r="AR283" s="1021"/>
      <c r="AS283" s="1022"/>
      <c r="AT283" s="1022"/>
      <c r="AU283" s="1022"/>
      <c r="AV283" s="1023"/>
      <c r="AW283" s="1025"/>
      <c r="AX283" s="1282">
        <f t="shared" si="457"/>
        <v>0</v>
      </c>
      <c r="AY283" s="387">
        <f t="shared" si="458"/>
        <v>0</v>
      </c>
      <c r="AZ283" s="387">
        <f t="shared" si="459"/>
        <v>0</v>
      </c>
      <c r="BA283" s="387">
        <f t="shared" si="460"/>
        <v>0</v>
      </c>
      <c r="BB283" s="1283">
        <f t="shared" si="461"/>
        <v>0</v>
      </c>
      <c r="BC283" s="386">
        <f t="shared" si="462"/>
        <v>0</v>
      </c>
      <c r="BD283" s="387">
        <f t="shared" si="463"/>
        <v>0</v>
      </c>
      <c r="BE283" s="1277">
        <f t="shared" si="464"/>
        <v>0</v>
      </c>
      <c r="BF283" s="1277">
        <f t="shared" si="465"/>
        <v>0</v>
      </c>
      <c r="BG283" s="388">
        <f t="shared" si="466"/>
        <v>0</v>
      </c>
      <c r="BH283" s="1025"/>
      <c r="BI283" s="1282">
        <f t="shared" ca="1" si="467"/>
        <v>0</v>
      </c>
      <c r="BJ283" s="387">
        <f t="shared" ca="1" si="468"/>
        <v>0</v>
      </c>
      <c r="BK283" s="387">
        <f t="shared" ca="1" si="469"/>
        <v>0</v>
      </c>
      <c r="BL283" s="387">
        <f t="shared" ca="1" si="470"/>
        <v>0</v>
      </c>
      <c r="BM283" s="1283">
        <f t="shared" ca="1" si="471"/>
        <v>0</v>
      </c>
      <c r="BN283" s="386">
        <f t="shared" ca="1" si="472"/>
        <v>0</v>
      </c>
      <c r="BO283" s="387">
        <f t="shared" ca="1" si="473"/>
        <v>0</v>
      </c>
      <c r="BP283" s="1277">
        <f t="shared" ca="1" si="474"/>
        <v>0</v>
      </c>
      <c r="BQ283" s="1277">
        <f t="shared" ca="1" si="475"/>
        <v>0</v>
      </c>
      <c r="BR283" s="388">
        <f t="shared" ca="1" si="476"/>
        <v>0</v>
      </c>
      <c r="BS283" s="1025"/>
      <c r="BT283" s="1282">
        <f>+IF($K283="Ongoing",AX283,IF(RIGHT($K283,2)=RIGHT(BT$43,2),SUM($AX283:AX283),0)+IF(RIGHT(BT$43,2)&gt;RIGHT($K283,2),AX283,0))</f>
        <v>0</v>
      </c>
      <c r="BU283" s="387">
        <f>+IF($K283="Ongoing",AY283,IF(RIGHT($K283,2)=RIGHT(BU$43,2),SUM($AX283:AY283),0)+IF(RIGHT(BU$43,2)&gt;RIGHT($K283,2),AY283,0))</f>
        <v>0</v>
      </c>
      <c r="BV283" s="387">
        <f>+IF($K283="Ongoing",AZ283,IF(RIGHT($K283,2)=RIGHT(BV$43,2),SUM($AX283:AZ283),0)+IF(RIGHT(BV$43,2)&gt;RIGHT($K283,2),AZ283,0))</f>
        <v>0</v>
      </c>
      <c r="BW283" s="387">
        <f>+IF($K283="Ongoing",BA283,IF(RIGHT($K283,2)=RIGHT(BW$43,2),SUM($AX283:BA283),0)+IF(RIGHT(BW$43,2)&gt;RIGHT($K283,2),BA283,0))</f>
        <v>0</v>
      </c>
      <c r="BX283" s="1283">
        <f>+IF($K283="Ongoing",BB283,IF(RIGHT($K283,2)=RIGHT(BX$43,2),SUM($AX283:BB283),0)+IF(RIGHT(BX$43,2)&gt;RIGHT($K283,2),BB283,0))</f>
        <v>0</v>
      </c>
      <c r="BY283" s="386">
        <f>+IF($K283="Ongoing",BC283,IF(RIGHT($K283,2)=RIGHT(BY$43,2),SUM($AX283:BC283),0)+IF(RIGHT(BY$43,2)&gt;RIGHT($K283,2),BC283,0))</f>
        <v>0</v>
      </c>
      <c r="BZ283" s="387">
        <f>+IF($K283="Ongoing",BD283,IF(RIGHT($K283,2)=RIGHT(BZ$43,2),SUM($AX283:BD283),0)+IF(RIGHT(BZ$43,2)&gt;RIGHT($K283,2),BD283,0))</f>
        <v>0</v>
      </c>
      <c r="CA283" s="1277">
        <f>+IF($K283="Ongoing",BE283,IF(RIGHT($K283,2)=RIGHT(CA$43,2),SUM($AX283:BE283),0)+IF(RIGHT(CA$43,2)&gt;RIGHT($K283,2),BE283,0))</f>
        <v>0</v>
      </c>
      <c r="CB283" s="1277">
        <f>+IF($K283="Ongoing",BF283,IF(RIGHT($K283,2)=RIGHT(CB$43,2),SUM($AX283:BF283),0)+IF(RIGHT(CB$43,2)&gt;RIGHT($K283,2),BF283,0))</f>
        <v>0</v>
      </c>
      <c r="CC283" s="388">
        <f>+IF($K283="Ongoing",BG283,IF(RIGHT($K283,2)=RIGHT(CC$43,2),SUM($AX283:BG283),0)+IF(RIGHT(CC$43,2)&gt;RIGHT($K283,2),BG283,0))</f>
        <v>0</v>
      </c>
      <c r="CD283" s="1025"/>
      <c r="CE283" s="1282">
        <f>+Q283*KeyAssumptionsPriceControl_FO!AF$15</f>
        <v>0</v>
      </c>
      <c r="CF283" s="387">
        <f>+R283*KeyAssumptionsPriceControl_FO!AG$15</f>
        <v>0</v>
      </c>
      <c r="CG283" s="387">
        <f>+S283*KeyAssumptionsPriceControl_FO!AH$15</f>
        <v>0</v>
      </c>
      <c r="CH283" s="387">
        <f>+T283*KeyAssumptionsPriceControl_FO!AI$15</f>
        <v>0</v>
      </c>
      <c r="CI283" s="1283">
        <f>+U283*KeyAssumptionsPriceControl_FO!AJ$15</f>
        <v>0</v>
      </c>
      <c r="CJ283" s="386">
        <f>+V283*KeyAssumptionsPriceControl_FO!AK$15</f>
        <v>0</v>
      </c>
      <c r="CK283" s="387">
        <f>+W283*KeyAssumptionsPriceControl_FO!AL$15</f>
        <v>0</v>
      </c>
      <c r="CL283" s="1277">
        <f>+X283*KeyAssumptionsPriceControl_FO!AM$15</f>
        <v>0</v>
      </c>
      <c r="CM283" s="1277">
        <f>+Y283*KeyAssumptionsPriceControl_FO!AN$15</f>
        <v>0</v>
      </c>
      <c r="CN283" s="388">
        <f>+Z283*KeyAssumptionsPriceControl_FO!AO$15</f>
        <v>0</v>
      </c>
      <c r="CO283" s="1025"/>
      <c r="CP283" s="1282">
        <f t="shared" ca="1" si="477"/>
        <v>0</v>
      </c>
      <c r="CQ283" s="387">
        <f t="shared" ca="1" si="478"/>
        <v>0</v>
      </c>
      <c r="CR283" s="387">
        <f t="shared" ca="1" si="479"/>
        <v>0</v>
      </c>
      <c r="CS283" s="387">
        <f t="shared" ca="1" si="480"/>
        <v>0</v>
      </c>
      <c r="CT283" s="1283">
        <f t="shared" ca="1" si="481"/>
        <v>0</v>
      </c>
      <c r="CU283" s="386">
        <f t="shared" ca="1" si="482"/>
        <v>0</v>
      </c>
      <c r="CV283" s="387">
        <f t="shared" ca="1" si="483"/>
        <v>0</v>
      </c>
      <c r="CW283" s="1277">
        <f t="shared" ca="1" si="484"/>
        <v>0</v>
      </c>
      <c r="CX283" s="1277">
        <f t="shared" ca="1" si="485"/>
        <v>0</v>
      </c>
      <c r="CY283" s="388">
        <f t="shared" ca="1" si="486"/>
        <v>0</v>
      </c>
      <c r="CZ283" s="347"/>
      <c r="DA283" s="852"/>
      <c r="DB283" s="347"/>
      <c r="DC283" s="1012" t="s">
        <v>585</v>
      </c>
      <c r="DD283" s="841" t="s">
        <v>518</v>
      </c>
      <c r="DE283" s="386">
        <f>+IF($K283="ongoing",CE283,IF(RIGHT($K283,2)=RIGHT(DE$43,2),SUM($CD283:CE283),0)+IF(RIGHT(DE$43,2)&gt;RIGHT($K283,2),CE283,0))</f>
        <v>0</v>
      </c>
      <c r="DF283" s="387">
        <f>+IF($K283="ongoing",CF283,IF(RIGHT($K283,2)=RIGHT(DF$43,2),SUM($CD283:CF283),0)+IF(RIGHT(DF$43,2)&gt;RIGHT($K283,2),CF283,0))</f>
        <v>0</v>
      </c>
      <c r="DG283" s="388">
        <f>+IF($K283="ongoing",CG283,IF(RIGHT($K283,2)=RIGHT(DG$43,2),SUM($CD283:CG283),0)+IF(RIGHT(DG$43,2)&gt;RIGHT($K283,2),CG283,0))</f>
        <v>0</v>
      </c>
      <c r="DH283" s="386">
        <f>+IF($K283="ongoing",CH283,IF(RIGHT($K283,2)=RIGHT(DH$43,2),SUM($CD283:CH283),0)+IF(RIGHT(DH$43,2)&gt;RIGHT($K283,2),CH283,0))</f>
        <v>0</v>
      </c>
      <c r="DI283" s="387">
        <f>+IF($K283="ongoing",CI283,IF(RIGHT($K283,2)=RIGHT(DI$43,2),SUM($CD283:CI283),0)+IF(RIGHT(DI$43,2)&gt;RIGHT($K283,2),CI283,0))</f>
        <v>0</v>
      </c>
      <c r="DJ283" s="387">
        <f>+IF($K283="ongoing",CJ283,IF(RIGHT($K283,2)=RIGHT(DJ$43,2),SUM($CD283:CJ283),0)+IF(RIGHT(DJ$43,2)&gt;RIGHT($K283,2),CJ283,0))</f>
        <v>0</v>
      </c>
      <c r="DK283" s="387">
        <f>+IF($K283="ongoing",CK283,IF(RIGHT($K283,2)=RIGHT(DK$43,2),SUM($CD283:CK283),0)+IF(RIGHT(DK$43,2)&gt;RIGHT($K283,2),CK283,0))</f>
        <v>0</v>
      </c>
      <c r="DL283" s="388">
        <f>+IF($K283="ongoing",CN283,IF(RIGHT($K283,2)=RIGHT(DL$43,2),SUM($CD283:CN283),0)+IF(RIGHT(DL$43,2)&gt;RIGHT($K283,2),CN283,0))</f>
        <v>0</v>
      </c>
      <c r="DM283" s="841"/>
      <c r="DN283" s="386">
        <f t="shared" si="487"/>
        <v>0.5</v>
      </c>
      <c r="DO283" s="387">
        <f t="shared" si="488"/>
        <v>1</v>
      </c>
      <c r="DP283" s="388">
        <f t="shared" si="489"/>
        <v>1</v>
      </c>
      <c r="DQ283" s="386">
        <f t="shared" si="490"/>
        <v>1</v>
      </c>
      <c r="DR283" s="387">
        <f t="shared" si="491"/>
        <v>1</v>
      </c>
      <c r="DS283" s="387">
        <f t="shared" si="492"/>
        <v>1</v>
      </c>
      <c r="DT283" s="387">
        <f t="shared" si="493"/>
        <v>1</v>
      </c>
      <c r="DU283" s="388">
        <f t="shared" si="494"/>
        <v>1</v>
      </c>
      <c r="DW283" s="386">
        <f t="shared" si="495"/>
        <v>0</v>
      </c>
      <c r="DX283" s="387">
        <f t="shared" si="496"/>
        <v>0.5</v>
      </c>
      <c r="DY283" s="388">
        <f t="shared" si="497"/>
        <v>1</v>
      </c>
      <c r="DZ283" s="386">
        <f t="shared" si="498"/>
        <v>1</v>
      </c>
      <c r="EA283" s="387">
        <f t="shared" si="499"/>
        <v>1</v>
      </c>
      <c r="EB283" s="387">
        <f t="shared" si="500"/>
        <v>1</v>
      </c>
      <c r="EC283" s="387">
        <f t="shared" si="501"/>
        <v>1</v>
      </c>
      <c r="ED283" s="388">
        <f t="shared" si="502"/>
        <v>1</v>
      </c>
      <c r="EF283" s="834">
        <f>+IF(DN283=DM283,0,
IF(AND(EF$44&gt;1,DN283=$N283),1-SUM($EE283:EE283),
IF($N283&lt;=1,
IF($N283&gt;0,1/$N283,0),
IF(EF$44=1,0,VDB(1,0,$N283,INT(EF$44-1-1),MIN($N283,INT(EF$44-1-1)+1),$DC283,IF($DD283="No",1,0))/
IF(DM283&gt;=INT($N283),$N283-INT($N283),1)))*
IF(EF$44=1,0,
IF(INT(DN283)=INT(DM283),DN283-DM283,INT(DN283)-DM283))+
IF($N283&lt;=1,
IF($N283&gt;0,1/$N283,0),VDB(1,0,$N283,INT(EF$44-1),MIN($N283,INT(EF$44-1)+1),$DC283,IF($DD283="No",1,0))/
IF(DN283&gt;INT($N283),$N283-INT($N283),1))*
IF(EF$44=1,DN283,
IF(INT(DN283)=INT(DM283),0,DN283-INT(DN283)))))</f>
        <v>0</v>
      </c>
      <c r="EG283" s="835">
        <f>+IF(DO283=DN283,0,
IF(AND(EG$44&gt;1,DO283=$N283),1-SUM($EE283:EF283),
IF($N283&lt;=1,
IF($N283&gt;0,1/$N283,0),
IF(EG$44=1,0,VDB(1,0,$N283,INT(EG$44-1-1),MIN($N283,INT(EG$44-1-1)+1),$DC283,IF($DD283="No",1,0))/
IF(DN283&gt;=INT($N283),$N283-INT($N283),1)))*
IF(EG$44=1,0,
IF(INT(DO283)=INT(DN283),DO283-DN283,INT(DO283)-DN283))+
IF($N283&lt;=1,
IF($N283&gt;0,1/$N283,0),VDB(1,0,$N283,INT(EG$44-1),MIN($N283,INT(EG$44-1)+1),$DC283,IF($DD283="No",1,0))/
IF(DO283&gt;INT($N283),$N283-INT($N283),1))*
IF(EG$44=1,DO283,
IF(INT(DO283)=INT(DN283),0,DO283-INT(DO283)))))</f>
        <v>0</v>
      </c>
      <c r="EH283" s="836">
        <f>+IF(DP283=DO283,0,
IF(AND(EH$44&gt;1,DP283=$N283),1-SUM($EE283:EG283),
IF($N283&lt;=1,
IF($N283&gt;0,1/$N283,0),
IF(EH$44=1,0,VDB(1,0,$N283,INT(EH$44-1-1),MIN($N283,INT(EH$44-1-1)+1),$DC283,IF($DD283="No",1,0))/
IF(DO283&gt;=INT($N283),$N283-INT($N283),1)))*
IF(EH$44=1,0,
IF(INT(DP283)=INT(DO283),DP283-DO283,INT(DP283)-DO283))+
IF($N283&lt;=1,
IF($N283&gt;0,1/$N283,0),VDB(1,0,$N283,INT(EH$44-1),MIN($N283,INT(EH$44-1)+1),$DC283,IF($DD283="No",1,0))/
IF(DP283&gt;INT($N283),$N283-INT($N283),1))*
IF(EH$44=1,DP283,
IF(INT(DP283)=INT(DO283),0,DP283-INT(DP283)))))</f>
        <v>0</v>
      </c>
      <c r="EI283" s="834">
        <f>+IF(DQ283=DP283,0,
IF(AND(EI$44&gt;1,DQ283=$N283),1-SUM($EE283:EH283),
IF($N283&lt;=1,
IF($N283&gt;0,1/$N283,0),
IF(EI$44=1,0,VDB(1,0,$N283,INT(EI$44-1-1),MIN($N283,INT(EI$44-1-1)+1),$DC283,IF($DD283="No",1,0))/
IF(DP283&gt;=INT($N283),$N283-INT($N283),1)))*
IF(EI$44=1,0,
IF(INT(DQ283)=INT(DP283),DQ283-DP283,INT(DQ283)-DP283))+
IF($N283&lt;=1,
IF($N283&gt;0,1/$N283,0),VDB(1,0,$N283,INT(EI$44-1),MIN($N283,INT(EI$44-1)+1),$DC283,IF($DD283="No",1,0))/
IF(DQ283&gt;INT($N283),$N283-INT($N283),1))*
IF(EI$44=1,DQ283,
IF(INT(DQ283)=INT(DP283),0,DQ283-INT(DQ283)))))</f>
        <v>0</v>
      </c>
      <c r="EJ283" s="835">
        <f>+IF(DR283=DQ283,0,
IF(AND(EJ$44&gt;1,DR283=$N283),1-SUM($EE283:EI283),
IF($N283&lt;=1,
IF($N283&gt;0,1/$N283,0),
IF(EJ$44=1,0,VDB(1,0,$N283,INT(EJ$44-1-1),MIN($N283,INT(EJ$44-1-1)+1),$DC283,IF($DD283="No",1,0))/
IF(DQ283&gt;=INT($N283),$N283-INT($N283),1)))*
IF(EJ$44=1,0,
IF(INT(DR283)=INT(DQ283),DR283-DQ283,INT(DR283)-DQ283))+
IF($N283&lt;=1,
IF($N283&gt;0,1/$N283,0),VDB(1,0,$N283,INT(EJ$44-1),MIN($N283,INT(EJ$44-1)+1),$DC283,IF($DD283="No",1,0))/
IF(DR283&gt;INT($N283),$N283-INT($N283),1))*
IF(EJ$44=1,DR283,
IF(INT(DR283)=INT(DQ283),0,DR283-INT(DR283)))))</f>
        <v>0</v>
      </c>
      <c r="EK283" s="835">
        <f>+IF(DS283=DR283,0,
IF(AND(EK$44&gt;1,DS283=$N283),1-SUM($EE283:EJ283),
IF($N283&lt;=1,
IF($N283&gt;0,1/$N283,0),
IF(EK$44=1,0,VDB(1,0,$N283,INT(EK$44-1-1),MIN($N283,INT(EK$44-1-1)+1),$DC283,IF($DD283="No",1,0))/
IF(DR283&gt;=INT($N283),$N283-INT($N283),1)))*
IF(EK$44=1,0,
IF(INT(DS283)=INT(DR283),DS283-DR283,INT(DS283)-DR283))+
IF($N283&lt;=1,
IF($N283&gt;0,1/$N283,0),VDB(1,0,$N283,INT(EK$44-1),MIN($N283,INT(EK$44-1)+1),$DC283,IF($DD283="No",1,0))/
IF(DS283&gt;INT($N283),$N283-INT($N283),1))*
IF(EK$44=1,DS283,
IF(INT(DS283)=INT(DR283),0,DS283-INT(DS283)))))</f>
        <v>0</v>
      </c>
      <c r="EL283" s="835">
        <f>+IF(DT283=DS283,0,
IF(AND(EL$44&gt;1,DT283=$N283),1-SUM($EE283:EK283),
IF($N283&lt;=1,
IF($N283&gt;0,1/$N283,0),
IF(EL$44=1,0,VDB(1,0,$N283,INT(EL$44-1-1),MIN($N283,INT(EL$44-1-1)+1),$DC283,IF($DD283="No",1,0))/
IF(DS283&gt;=INT($N283),$N283-INT($N283),1)))*
IF(EL$44=1,0,
IF(INT(DT283)=INT(DS283),DT283-DS283,INT(DT283)-DS283))+
IF($N283&lt;=1,
IF($N283&gt;0,1/$N283,0),VDB(1,0,$N283,INT(EL$44-1),MIN($N283,INT(EL$44-1)+1),$DC283,IF($DD283="No",1,0))/
IF(DT283&gt;INT($N283),$N283-INT($N283),1))*
IF(EL$44=1,DT283,
IF(INT(DT283)=INT(DS283),0,DT283-INT(DT283)))))</f>
        <v>0</v>
      </c>
      <c r="EM283" s="836">
        <f>+IF(DU283=DT283,0,
IF(AND(EM$44&gt;1,DU283=$N283),1-SUM($EE283:EL283),
IF($N283&lt;=1,
IF($N283&gt;0,1/$N283,0),
IF(EM$44=1,0,VDB(1,0,$N283,INT(EM$44-1-1),MIN($N283,INT(EM$44-1-1)+1),$DC283,IF($DD283="No",1,0))/
IF(DT283&gt;=INT($N283),$N283-INT($N283),1)))*
IF(EM$44=1,0,
IF(INT(DU283)=INT(DT283),DU283-DT283,INT(DU283)-DT283))+
IF($N283&lt;=1,
IF($N283&gt;0,1/$N283,0),VDB(1,0,$N283,INT(EM$44-1),MIN($N283,INT(EM$44-1)+1),$DC283,IF($DD283="No",1,0))/
IF(DU283&gt;INT($N283),$N283-INT($N283),1))*
IF(EM$44=1,DU283,
IF(INT(DU283)=INT(DT283),0,DU283-INT(DU283)))))</f>
        <v>0</v>
      </c>
      <c r="EN283" s="833"/>
      <c r="EO283" s="834">
        <f>+IF(OR(DW283=DV283,EO$44=1),0,
IF(AND(EO$44&gt;1,DW283=$N283),1-SUM($EN283:EN283),
IF($N283&lt;=1,
IF($N283&gt;0,1/$N283,0),
IF(EO$44=2,0,VDB(1,0,$N283,INT(EO$44-2-1),MIN($N283,INT(EO$44-2-1)+1),$DC283,IF($DD283="No",1,0))/
IF(DV283&gt;=INT($N283),$N283-INT($N283),1)))*
IF(EO$44=2,0,
IF(INT(DW283)=INT(DV283),DW283-DV283,INT(DW283)-DV283))+
IF($N283&lt;=1,
IF($N283&gt;0,1/$N283,0),VDB(1,0,$N283,INT(EO$44-2),MIN($N283,INT(EO$44-2)+1),$DC283,IF($DD283="No",1,0))/
IF(DW283&gt;INT($N283),$N283-INT($N283),1))*
IF(EO$44=2,DW283,
IF(INT(DW283)=INT(DV283),0,DW283-INT(DW283)))))</f>
        <v>0</v>
      </c>
      <c r="EP283" s="835">
        <f>+IF(OR(DX283=DW283,EP$44=1),0,
IF(AND(EP$44&gt;1,DX283=$N283),1-SUM($EN283:EO283),
IF($N283&lt;=1,
IF($N283&gt;0,1/$N283,0),
IF(EP$44=2,0,VDB(1,0,$N283,INT(EP$44-2-1),MIN($N283,INT(EP$44-2-1)+1),$DC283,IF($DD283="No",1,0))/
IF(DW283&gt;=INT($N283),$N283-INT($N283),1)))*
IF(EP$44=2,0,
IF(INT(DX283)=INT(DW283),DX283-DW283,INT(DX283)-DW283))+
IF($N283&lt;=1,
IF($N283&gt;0,1/$N283,0),VDB(1,0,$N283,INT(EP$44-2),MIN($N283,INT(EP$44-2)+1),$DC283,IF($DD283="No",1,0))/
IF(DX283&gt;INT($N283),$N283-INT($N283),1))*
IF(EP$44=2,DX283,
IF(INT(DX283)=INT(DW283),0,DX283-INT(DX283)))))</f>
        <v>0</v>
      </c>
      <c r="EQ283" s="836">
        <f>+IF(OR(DY283=DX283,EQ$44=1),0,
IF(AND(EQ$44&gt;1,DY283=$N283),1-SUM($EN283:EP283),
IF($N283&lt;=1,
IF($N283&gt;0,1/$N283,0),
IF(EQ$44=2,0,VDB(1,0,$N283,INT(EQ$44-2-1),MIN($N283,INT(EQ$44-2-1)+1),$DC283,IF($DD283="No",1,0))/
IF(DX283&gt;=INT($N283),$N283-INT($N283),1)))*
IF(EQ$44=2,0,
IF(INT(DY283)=INT(DX283),DY283-DX283,INT(DY283)-DX283))+
IF($N283&lt;=1,
IF($N283&gt;0,1/$N283,0),VDB(1,0,$N283,INT(EQ$44-2),MIN($N283,INT(EQ$44-2)+1),$DC283,IF($DD283="No",1,0))/
IF(DY283&gt;INT($N283),$N283-INT($N283),1))*
IF(EQ$44=2,DY283,
IF(INT(DY283)=INT(DX283),0,DY283-INT(DY283)))))</f>
        <v>0</v>
      </c>
      <c r="ER283" s="834">
        <f>+IF(OR(DZ283=DY283,ER$44=1),0,
IF(AND(ER$44&gt;1,DZ283=$N283),1-SUM($EN283:EQ283),
IF($N283&lt;=1,
IF($N283&gt;0,1/$N283,0),
IF(ER$44=2,0,VDB(1,0,$N283,INT(ER$44-2-1),MIN($N283,INT(ER$44-2-1)+1),$DC283,IF($DD283="No",1,0))/
IF(DY283&gt;=INT($N283),$N283-INT($N283),1)))*
IF(ER$44=2,0,
IF(INT(DZ283)=INT(DY283),DZ283-DY283,INT(DZ283)-DY283))+
IF($N283&lt;=1,
IF($N283&gt;0,1/$N283,0),VDB(1,0,$N283,INT(ER$44-2),MIN($N283,INT(ER$44-2)+1),$DC283,IF($DD283="No",1,0))/
IF(DZ283&gt;INT($N283),$N283-INT($N283),1))*
IF(ER$44=2,DZ283,
IF(INT(DZ283)=INT(DY283),0,DZ283-INT(DZ283)))))</f>
        <v>0</v>
      </c>
      <c r="ES283" s="835">
        <f>+IF(OR(EA283=DZ283,ES$44=1),0,
IF(AND(ES$44&gt;1,EA283=$N283),1-SUM($EN283:ER283),
IF($N283&lt;=1,
IF($N283&gt;0,1/$N283,0),
IF(ES$44=2,0,VDB(1,0,$N283,INT(ES$44-2-1),MIN($N283,INT(ES$44-2-1)+1),$DC283,IF($DD283="No",1,0))/
IF(DZ283&gt;=INT($N283),$N283-INT($N283),1)))*
IF(ES$44=2,0,
IF(INT(EA283)=INT(DZ283),EA283-DZ283,INT(EA283)-DZ283))+
IF($N283&lt;=1,
IF($N283&gt;0,1/$N283,0),VDB(1,0,$N283,INT(ES$44-2),MIN($N283,INT(ES$44-2)+1),$DC283,IF($DD283="No",1,0))/
IF(EA283&gt;INT($N283),$N283-INT($N283),1))*
IF(ES$44=2,EA283,
IF(INT(EA283)=INT(DZ283),0,EA283-INT(EA283)))))</f>
        <v>0</v>
      </c>
      <c r="ET283" s="835">
        <f>+IF(OR(EB283=EA283,ET$44=1),0,
IF(AND(ET$44&gt;1,EB283=$N283),1-SUM($EN283:ES283),
IF($N283&lt;=1,
IF($N283&gt;0,1/$N283,0),
IF(ET$44=2,0,VDB(1,0,$N283,INT(ET$44-2-1),MIN($N283,INT(ET$44-2-1)+1),$DC283,IF($DD283="No",1,0))/
IF(EA283&gt;=INT($N283),$N283-INT($N283),1)))*
IF(ET$44=2,0,
IF(INT(EB283)=INT(EA283),EB283-EA283,INT(EB283)-EA283))+
IF($N283&lt;=1,
IF($N283&gt;0,1/$N283,0),VDB(1,0,$N283,INT(ET$44-2),MIN($N283,INT(ET$44-2)+1),$DC283,IF($DD283="No",1,0))/
IF(EB283&gt;INT($N283),$N283-INT($N283),1))*
IF(ET$44=2,EB283,
IF(INT(EB283)=INT(EA283),0,EB283-INT(EB283)))))</f>
        <v>0</v>
      </c>
      <c r="EU283" s="835">
        <f>+IF(OR(EC283=EB283,EU$44=1),0,
IF(AND(EU$44&gt;1,EC283=$N283),1-SUM($EN283:ET283),
IF($N283&lt;=1,
IF($N283&gt;0,1/$N283,0),
IF(EU$44=2,0,VDB(1,0,$N283,INT(EU$44-2-1),MIN($N283,INT(EU$44-2-1)+1),$DC283,IF($DD283="No",1,0))/
IF(EB283&gt;=INT($N283),$N283-INT($N283),1)))*
IF(EU$44=2,0,
IF(INT(EC283)=INT(EB283),EC283-EB283,INT(EC283)-EB283))+
IF($N283&lt;=1,
IF($N283&gt;0,1/$N283,0),VDB(1,0,$N283,INT(EU$44-2),MIN($N283,INT(EU$44-2)+1),$DC283,IF($DD283="No",1,0))/
IF(EC283&gt;INT($N283),$N283-INT($N283),1))*
IF(EU$44=2,EC283,
IF(INT(EC283)=INT(EB283),0,EC283-INT(EC283)))))</f>
        <v>0</v>
      </c>
      <c r="EV283" s="836">
        <f>+IF(OR(ED283=EC283,EV$44=1),0,
IF(AND(EV$44&gt;1,ED283=$N283),1-SUM($EN283:EU283),
IF($N283&lt;=1,
IF($N283&gt;0,1/$N283,0),
IF(EV$44=2,0,VDB(1,0,$N283,INT(EV$44-2-1),MIN($N283,INT(EV$44-2-1)+1),$DC283,IF($DD283="No",1,0))/
IF(EC283&gt;=INT($N283),$N283-INT($N283),1)))*
IF(EV$44=2,0,
IF(INT(ED283)=INT(EC283),ED283-EC283,INT(ED283)-EC283))+
IF($N283&lt;=1,
IF($N283&gt;0,1/$N283,0),VDB(1,0,$N283,INT(EV$44-2),MIN($N283,INT(EV$44-2)+1),$DC283,IF($DD283="No",1,0))/
IF(ED283&gt;INT($N283),$N283-INT($N283),1))*
IF(EV$44=2,ED283,
IF(INT(ED283)=INT(EC283),0,ED283-INT(ED283)))))</f>
        <v>0</v>
      </c>
      <c r="EW283" s="833"/>
      <c r="EX283" s="834">
        <f t="shared" ca="1" si="513"/>
        <v>0</v>
      </c>
      <c r="EY283" s="835">
        <f t="shared" ca="1" si="513"/>
        <v>0</v>
      </c>
      <c r="EZ283" s="836">
        <f t="shared" ca="1" si="513"/>
        <v>0</v>
      </c>
      <c r="FA283" s="834">
        <f t="shared" ca="1" si="513"/>
        <v>0</v>
      </c>
      <c r="FB283" s="835">
        <f t="shared" ca="1" si="513"/>
        <v>0</v>
      </c>
      <c r="FC283" s="835">
        <f t="shared" ca="1" si="513"/>
        <v>0</v>
      </c>
      <c r="FD283" s="835">
        <f t="shared" ca="1" si="513"/>
        <v>0</v>
      </c>
      <c r="FE283" s="836">
        <f t="shared" ca="1" si="513"/>
        <v>0</v>
      </c>
      <c r="FG283" s="386">
        <f t="shared" ca="1" si="504"/>
        <v>0</v>
      </c>
      <c r="FH283" s="387">
        <f t="shared" ca="1" si="505"/>
        <v>0</v>
      </c>
      <c r="FI283" s="388">
        <f t="shared" ca="1" si="506"/>
        <v>0</v>
      </c>
      <c r="FJ283" s="386">
        <f t="shared" ca="1" si="507"/>
        <v>0</v>
      </c>
      <c r="FK283" s="387">
        <f t="shared" ca="1" si="508"/>
        <v>0</v>
      </c>
      <c r="FL283" s="387">
        <f t="shared" ca="1" si="509"/>
        <v>0</v>
      </c>
      <c r="FM283" s="387">
        <f t="shared" ca="1" si="510"/>
        <v>0</v>
      </c>
      <c r="FN283" s="388">
        <f t="shared" ca="1" si="511"/>
        <v>0</v>
      </c>
      <c r="FR283" s="116"/>
    </row>
    <row r="284" spans="2:174">
      <c r="B284" s="1410">
        <f t="shared" si="512"/>
        <v>238</v>
      </c>
      <c r="C284" s="400"/>
      <c r="D284" s="410"/>
      <c r="E284" s="402"/>
      <c r="F284" s="402"/>
      <c r="G284" s="400"/>
      <c r="H284" s="2088"/>
      <c r="I284" s="2089"/>
      <c r="J284" s="411"/>
      <c r="K284" s="403"/>
      <c r="L284" s="403"/>
      <c r="M284" s="403"/>
      <c r="N284" s="403"/>
      <c r="O284" s="347"/>
      <c r="P284" s="347"/>
      <c r="Q284" s="1021"/>
      <c r="R284" s="1022"/>
      <c r="S284" s="1022"/>
      <c r="T284" s="1022"/>
      <c r="U284" s="1023"/>
      <c r="V284" s="1021"/>
      <c r="W284" s="1022"/>
      <c r="X284" s="1022"/>
      <c r="Y284" s="1022"/>
      <c r="Z284" s="1023"/>
      <c r="AA284" s="1024"/>
      <c r="AB284" s="1021"/>
      <c r="AC284" s="1022"/>
      <c r="AD284" s="1022"/>
      <c r="AE284" s="1022"/>
      <c r="AF284" s="1023"/>
      <c r="AG284" s="1021"/>
      <c r="AH284" s="1022"/>
      <c r="AI284" s="1022"/>
      <c r="AJ284" s="1022"/>
      <c r="AK284" s="1023"/>
      <c r="AL284" s="1024"/>
      <c r="AM284" s="1021"/>
      <c r="AN284" s="1022"/>
      <c r="AO284" s="1022"/>
      <c r="AP284" s="1022"/>
      <c r="AQ284" s="1023"/>
      <c r="AR284" s="1021"/>
      <c r="AS284" s="1022"/>
      <c r="AT284" s="1022"/>
      <c r="AU284" s="1022"/>
      <c r="AV284" s="1023"/>
      <c r="AW284" s="1025"/>
      <c r="AX284" s="1282">
        <f t="shared" si="457"/>
        <v>0</v>
      </c>
      <c r="AY284" s="387">
        <f t="shared" si="458"/>
        <v>0</v>
      </c>
      <c r="AZ284" s="387">
        <f t="shared" si="459"/>
        <v>0</v>
      </c>
      <c r="BA284" s="387">
        <f t="shared" si="460"/>
        <v>0</v>
      </c>
      <c r="BB284" s="1283">
        <f t="shared" si="461"/>
        <v>0</v>
      </c>
      <c r="BC284" s="386">
        <f t="shared" si="462"/>
        <v>0</v>
      </c>
      <c r="BD284" s="387">
        <f t="shared" si="463"/>
        <v>0</v>
      </c>
      <c r="BE284" s="1277">
        <f t="shared" si="464"/>
        <v>0</v>
      </c>
      <c r="BF284" s="1277">
        <f t="shared" si="465"/>
        <v>0</v>
      </c>
      <c r="BG284" s="388">
        <f t="shared" si="466"/>
        <v>0</v>
      </c>
      <c r="BH284" s="1025"/>
      <c r="BI284" s="1282">
        <f t="shared" ca="1" si="467"/>
        <v>0</v>
      </c>
      <c r="BJ284" s="387">
        <f t="shared" ca="1" si="468"/>
        <v>0</v>
      </c>
      <c r="BK284" s="387">
        <f t="shared" ca="1" si="469"/>
        <v>0</v>
      </c>
      <c r="BL284" s="387">
        <f t="shared" ca="1" si="470"/>
        <v>0</v>
      </c>
      <c r="BM284" s="1283">
        <f t="shared" ca="1" si="471"/>
        <v>0</v>
      </c>
      <c r="BN284" s="386">
        <f t="shared" ca="1" si="472"/>
        <v>0</v>
      </c>
      <c r="BO284" s="387">
        <f t="shared" ca="1" si="473"/>
        <v>0</v>
      </c>
      <c r="BP284" s="1277">
        <f t="shared" ca="1" si="474"/>
        <v>0</v>
      </c>
      <c r="BQ284" s="1277">
        <f t="shared" ca="1" si="475"/>
        <v>0</v>
      </c>
      <c r="BR284" s="388">
        <f t="shared" ca="1" si="476"/>
        <v>0</v>
      </c>
      <c r="BS284" s="1025"/>
      <c r="BT284" s="1282">
        <f>+IF($K284="Ongoing",AX284,IF(RIGHT($K284,2)=RIGHT(BT$43,2),SUM($AX284:AX284),0)+IF(RIGHT(BT$43,2)&gt;RIGHT($K284,2),AX284,0))</f>
        <v>0</v>
      </c>
      <c r="BU284" s="387">
        <f>+IF($K284="Ongoing",AY284,IF(RIGHT($K284,2)=RIGHT(BU$43,2),SUM($AX284:AY284),0)+IF(RIGHT(BU$43,2)&gt;RIGHT($K284,2),AY284,0))</f>
        <v>0</v>
      </c>
      <c r="BV284" s="387">
        <f>+IF($K284="Ongoing",AZ284,IF(RIGHT($K284,2)=RIGHT(BV$43,2),SUM($AX284:AZ284),0)+IF(RIGHT(BV$43,2)&gt;RIGHT($K284,2),AZ284,0))</f>
        <v>0</v>
      </c>
      <c r="BW284" s="387">
        <f>+IF($K284="Ongoing",BA284,IF(RIGHT($K284,2)=RIGHT(BW$43,2),SUM($AX284:BA284),0)+IF(RIGHT(BW$43,2)&gt;RIGHT($K284,2),BA284,0))</f>
        <v>0</v>
      </c>
      <c r="BX284" s="1283">
        <f>+IF($K284="Ongoing",BB284,IF(RIGHT($K284,2)=RIGHT(BX$43,2),SUM($AX284:BB284),0)+IF(RIGHT(BX$43,2)&gt;RIGHT($K284,2),BB284,0))</f>
        <v>0</v>
      </c>
      <c r="BY284" s="386">
        <f>+IF($K284="Ongoing",BC284,IF(RIGHT($K284,2)=RIGHT(BY$43,2),SUM($AX284:BC284),0)+IF(RIGHT(BY$43,2)&gt;RIGHT($K284,2),BC284,0))</f>
        <v>0</v>
      </c>
      <c r="BZ284" s="387">
        <f>+IF($K284="Ongoing",BD284,IF(RIGHT($K284,2)=RIGHT(BZ$43,2),SUM($AX284:BD284),0)+IF(RIGHT(BZ$43,2)&gt;RIGHT($K284,2),BD284,0))</f>
        <v>0</v>
      </c>
      <c r="CA284" s="1277">
        <f>+IF($K284="Ongoing",BE284,IF(RIGHT($K284,2)=RIGHT(CA$43,2),SUM($AX284:BE284),0)+IF(RIGHT(CA$43,2)&gt;RIGHT($K284,2),BE284,0))</f>
        <v>0</v>
      </c>
      <c r="CB284" s="1277">
        <f>+IF($K284="Ongoing",BF284,IF(RIGHT($K284,2)=RIGHT(CB$43,2),SUM($AX284:BF284),0)+IF(RIGHT(CB$43,2)&gt;RIGHT($K284,2),BF284,0))</f>
        <v>0</v>
      </c>
      <c r="CC284" s="388">
        <f>+IF($K284="Ongoing",BG284,IF(RIGHT($K284,2)=RIGHT(CC$43,2),SUM($AX284:BG284),0)+IF(RIGHT(CC$43,2)&gt;RIGHT($K284,2),BG284,0))</f>
        <v>0</v>
      </c>
      <c r="CD284" s="1025"/>
      <c r="CE284" s="1282">
        <f>+Q284*KeyAssumptionsPriceControl_FO!AF$15</f>
        <v>0</v>
      </c>
      <c r="CF284" s="387">
        <f>+R284*KeyAssumptionsPriceControl_FO!AG$15</f>
        <v>0</v>
      </c>
      <c r="CG284" s="387">
        <f>+S284*KeyAssumptionsPriceControl_FO!AH$15</f>
        <v>0</v>
      </c>
      <c r="CH284" s="387">
        <f>+T284*KeyAssumptionsPriceControl_FO!AI$15</f>
        <v>0</v>
      </c>
      <c r="CI284" s="1283">
        <f>+U284*KeyAssumptionsPriceControl_FO!AJ$15</f>
        <v>0</v>
      </c>
      <c r="CJ284" s="386">
        <f>+V284*KeyAssumptionsPriceControl_FO!AK$15</f>
        <v>0</v>
      </c>
      <c r="CK284" s="387">
        <f>+W284*KeyAssumptionsPriceControl_FO!AL$15</f>
        <v>0</v>
      </c>
      <c r="CL284" s="1277">
        <f>+X284*KeyAssumptionsPriceControl_FO!AM$15</f>
        <v>0</v>
      </c>
      <c r="CM284" s="1277">
        <f>+Y284*KeyAssumptionsPriceControl_FO!AN$15</f>
        <v>0</v>
      </c>
      <c r="CN284" s="388">
        <f>+Z284*KeyAssumptionsPriceControl_FO!AO$15</f>
        <v>0</v>
      </c>
      <c r="CO284" s="1025"/>
      <c r="CP284" s="1282">
        <f t="shared" ca="1" si="477"/>
        <v>0</v>
      </c>
      <c r="CQ284" s="387">
        <f t="shared" ca="1" si="478"/>
        <v>0</v>
      </c>
      <c r="CR284" s="387">
        <f t="shared" ca="1" si="479"/>
        <v>0</v>
      </c>
      <c r="CS284" s="387">
        <f t="shared" ca="1" si="480"/>
        <v>0</v>
      </c>
      <c r="CT284" s="1283">
        <f t="shared" ca="1" si="481"/>
        <v>0</v>
      </c>
      <c r="CU284" s="386">
        <f t="shared" ca="1" si="482"/>
        <v>0</v>
      </c>
      <c r="CV284" s="387">
        <f t="shared" ca="1" si="483"/>
        <v>0</v>
      </c>
      <c r="CW284" s="1277">
        <f t="shared" ca="1" si="484"/>
        <v>0</v>
      </c>
      <c r="CX284" s="1277">
        <f t="shared" ca="1" si="485"/>
        <v>0</v>
      </c>
      <c r="CY284" s="388">
        <f t="shared" ca="1" si="486"/>
        <v>0</v>
      </c>
      <c r="CZ284" s="347"/>
      <c r="DA284" s="852"/>
      <c r="DB284" s="347"/>
      <c r="DC284" s="1012" t="s">
        <v>586</v>
      </c>
      <c r="DD284" s="841" t="s">
        <v>518</v>
      </c>
      <c r="DE284" s="386">
        <f>+IF($K284="ongoing",CE284,IF(RIGHT($K284,2)=RIGHT(DE$43,2),SUM($CD284:CE284),0)+IF(RIGHT(DE$43,2)&gt;RIGHT($K284,2),CE284,0))</f>
        <v>0</v>
      </c>
      <c r="DF284" s="387">
        <f>+IF($K284="ongoing",CF284,IF(RIGHT($K284,2)=RIGHT(DF$43,2),SUM($CD284:CF284),0)+IF(RIGHT(DF$43,2)&gt;RIGHT($K284,2),CF284,0))</f>
        <v>0</v>
      </c>
      <c r="DG284" s="388">
        <f>+IF($K284="ongoing",CG284,IF(RIGHT($K284,2)=RIGHT(DG$43,2),SUM($CD284:CG284),0)+IF(RIGHT(DG$43,2)&gt;RIGHT($K284,2),CG284,0))</f>
        <v>0</v>
      </c>
      <c r="DH284" s="386">
        <f>+IF($K284="ongoing",CH284,IF(RIGHT($K284,2)=RIGHT(DH$43,2),SUM($CD284:CH284),0)+IF(RIGHT(DH$43,2)&gt;RIGHT($K284,2),CH284,0))</f>
        <v>0</v>
      </c>
      <c r="DI284" s="387">
        <f>+IF($K284="ongoing",CI284,IF(RIGHT($K284,2)=RIGHT(DI$43,2),SUM($CD284:CI284),0)+IF(RIGHT(DI$43,2)&gt;RIGHT($K284,2),CI284,0))</f>
        <v>0</v>
      </c>
      <c r="DJ284" s="387">
        <f>+IF($K284="ongoing",CJ284,IF(RIGHT($K284,2)=RIGHT(DJ$43,2),SUM($CD284:CJ284),0)+IF(RIGHT(DJ$43,2)&gt;RIGHT($K284,2),CJ284,0))</f>
        <v>0</v>
      </c>
      <c r="DK284" s="387">
        <f>+IF($K284="ongoing",CK284,IF(RIGHT($K284,2)=RIGHT(DK$43,2),SUM($CD284:CK284),0)+IF(RIGHT(DK$43,2)&gt;RIGHT($K284,2),CK284,0))</f>
        <v>0</v>
      </c>
      <c r="DL284" s="388">
        <f>+IF($K284="ongoing",CN284,IF(RIGHT($K284,2)=RIGHT(DL$43,2),SUM($CD284:CN284),0)+IF(RIGHT(DL$43,2)&gt;RIGHT($K284,2),CN284,0))</f>
        <v>0</v>
      </c>
      <c r="DM284" s="841"/>
      <c r="DN284" s="386">
        <f t="shared" si="487"/>
        <v>0.5</v>
      </c>
      <c r="DO284" s="387">
        <f t="shared" si="488"/>
        <v>1</v>
      </c>
      <c r="DP284" s="388">
        <f t="shared" si="489"/>
        <v>1</v>
      </c>
      <c r="DQ284" s="386">
        <f t="shared" si="490"/>
        <v>1</v>
      </c>
      <c r="DR284" s="387">
        <f t="shared" si="491"/>
        <v>1</v>
      </c>
      <c r="DS284" s="387">
        <f t="shared" si="492"/>
        <v>1</v>
      </c>
      <c r="DT284" s="387">
        <f t="shared" si="493"/>
        <v>1</v>
      </c>
      <c r="DU284" s="388">
        <f t="shared" si="494"/>
        <v>1</v>
      </c>
      <c r="DW284" s="386">
        <f t="shared" si="495"/>
        <v>0</v>
      </c>
      <c r="DX284" s="387">
        <f t="shared" si="496"/>
        <v>0.5</v>
      </c>
      <c r="DY284" s="388">
        <f t="shared" si="497"/>
        <v>1</v>
      </c>
      <c r="DZ284" s="386">
        <f t="shared" si="498"/>
        <v>1</v>
      </c>
      <c r="EA284" s="387">
        <f t="shared" si="499"/>
        <v>1</v>
      </c>
      <c r="EB284" s="387">
        <f t="shared" si="500"/>
        <v>1</v>
      </c>
      <c r="EC284" s="387">
        <f t="shared" si="501"/>
        <v>1</v>
      </c>
      <c r="ED284" s="388">
        <f t="shared" si="502"/>
        <v>1</v>
      </c>
      <c r="EF284" s="834">
        <f>+IF(DN284=DM284,0,
IF(AND(EF$44&gt;1,DN284=$N284),1-SUM($EE284:EE284),
IF($N284&lt;=1,
IF($N284&gt;0,1/$N284,0),
IF(EF$44=1,0,VDB(1,0,$N284,INT(EF$44-1-1),MIN($N284,INT(EF$44-1-1)+1),$DC284,IF($DD284="No",1,0))/
IF(DM284&gt;=INT($N284),$N284-INT($N284),1)))*
IF(EF$44=1,0,
IF(INT(DN284)=INT(DM284),DN284-DM284,INT(DN284)-DM284))+
IF($N284&lt;=1,
IF($N284&gt;0,1/$N284,0),VDB(1,0,$N284,INT(EF$44-1),MIN($N284,INT(EF$44-1)+1),$DC284,IF($DD284="No",1,0))/
IF(DN284&gt;INT($N284),$N284-INT($N284),1))*
IF(EF$44=1,DN284,
IF(INT(DN284)=INT(DM284),0,DN284-INT(DN284)))))</f>
        <v>0</v>
      </c>
      <c r="EG284" s="835">
        <f>+IF(DO284=DN284,0,
IF(AND(EG$44&gt;1,DO284=$N284),1-SUM($EE284:EF284),
IF($N284&lt;=1,
IF($N284&gt;0,1/$N284,0),
IF(EG$44=1,0,VDB(1,0,$N284,INT(EG$44-1-1),MIN($N284,INT(EG$44-1-1)+1),$DC284,IF($DD284="No",1,0))/
IF(DN284&gt;=INT($N284),$N284-INT($N284),1)))*
IF(EG$44=1,0,
IF(INT(DO284)=INT(DN284),DO284-DN284,INT(DO284)-DN284))+
IF($N284&lt;=1,
IF($N284&gt;0,1/$N284,0),VDB(1,0,$N284,INT(EG$44-1),MIN($N284,INT(EG$44-1)+1),$DC284,IF($DD284="No",1,0))/
IF(DO284&gt;INT($N284),$N284-INT($N284),1))*
IF(EG$44=1,DO284,
IF(INT(DO284)=INT(DN284),0,DO284-INT(DO284)))))</f>
        <v>0</v>
      </c>
      <c r="EH284" s="836">
        <f>+IF(DP284=DO284,0,
IF(AND(EH$44&gt;1,DP284=$N284),1-SUM($EE284:EG284),
IF($N284&lt;=1,
IF($N284&gt;0,1/$N284,0),
IF(EH$44=1,0,VDB(1,0,$N284,INT(EH$44-1-1),MIN($N284,INT(EH$44-1-1)+1),$DC284,IF($DD284="No",1,0))/
IF(DO284&gt;=INT($N284),$N284-INT($N284),1)))*
IF(EH$44=1,0,
IF(INT(DP284)=INT(DO284),DP284-DO284,INT(DP284)-DO284))+
IF($N284&lt;=1,
IF($N284&gt;0,1/$N284,0),VDB(1,0,$N284,INT(EH$44-1),MIN($N284,INT(EH$44-1)+1),$DC284,IF($DD284="No",1,0))/
IF(DP284&gt;INT($N284),$N284-INT($N284),1))*
IF(EH$44=1,DP284,
IF(INT(DP284)=INT(DO284),0,DP284-INT(DP284)))))</f>
        <v>0</v>
      </c>
      <c r="EI284" s="834">
        <f>+IF(DQ284=DP284,0,
IF(AND(EI$44&gt;1,DQ284=$N284),1-SUM($EE284:EH284),
IF($N284&lt;=1,
IF($N284&gt;0,1/$N284,0),
IF(EI$44=1,0,VDB(1,0,$N284,INT(EI$44-1-1),MIN($N284,INT(EI$44-1-1)+1),$DC284,IF($DD284="No",1,0))/
IF(DP284&gt;=INT($N284),$N284-INT($N284),1)))*
IF(EI$44=1,0,
IF(INT(DQ284)=INT(DP284),DQ284-DP284,INT(DQ284)-DP284))+
IF($N284&lt;=1,
IF($N284&gt;0,1/$N284,0),VDB(1,0,$N284,INT(EI$44-1),MIN($N284,INT(EI$44-1)+1),$DC284,IF($DD284="No",1,0))/
IF(DQ284&gt;INT($N284),$N284-INT($N284),1))*
IF(EI$44=1,DQ284,
IF(INT(DQ284)=INT(DP284),0,DQ284-INT(DQ284)))))</f>
        <v>0</v>
      </c>
      <c r="EJ284" s="835">
        <f>+IF(DR284=DQ284,0,
IF(AND(EJ$44&gt;1,DR284=$N284),1-SUM($EE284:EI284),
IF($N284&lt;=1,
IF($N284&gt;0,1/$N284,0),
IF(EJ$44=1,0,VDB(1,0,$N284,INT(EJ$44-1-1),MIN($N284,INT(EJ$44-1-1)+1),$DC284,IF($DD284="No",1,0))/
IF(DQ284&gt;=INT($N284),$N284-INT($N284),1)))*
IF(EJ$44=1,0,
IF(INT(DR284)=INT(DQ284),DR284-DQ284,INT(DR284)-DQ284))+
IF($N284&lt;=1,
IF($N284&gt;0,1/$N284,0),VDB(1,0,$N284,INT(EJ$44-1),MIN($N284,INT(EJ$44-1)+1),$DC284,IF($DD284="No",1,0))/
IF(DR284&gt;INT($N284),$N284-INT($N284),1))*
IF(EJ$44=1,DR284,
IF(INT(DR284)=INT(DQ284),0,DR284-INT(DR284)))))</f>
        <v>0</v>
      </c>
      <c r="EK284" s="835">
        <f>+IF(DS284=DR284,0,
IF(AND(EK$44&gt;1,DS284=$N284),1-SUM($EE284:EJ284),
IF($N284&lt;=1,
IF($N284&gt;0,1/$N284,0),
IF(EK$44=1,0,VDB(1,0,$N284,INT(EK$44-1-1),MIN($N284,INT(EK$44-1-1)+1),$DC284,IF($DD284="No",1,0))/
IF(DR284&gt;=INT($N284),$N284-INT($N284),1)))*
IF(EK$44=1,0,
IF(INT(DS284)=INT(DR284),DS284-DR284,INT(DS284)-DR284))+
IF($N284&lt;=1,
IF($N284&gt;0,1/$N284,0),VDB(1,0,$N284,INT(EK$44-1),MIN($N284,INT(EK$44-1)+1),$DC284,IF($DD284="No",1,0))/
IF(DS284&gt;INT($N284),$N284-INT($N284),1))*
IF(EK$44=1,DS284,
IF(INT(DS284)=INT(DR284),0,DS284-INT(DS284)))))</f>
        <v>0</v>
      </c>
      <c r="EL284" s="835">
        <f>+IF(DT284=DS284,0,
IF(AND(EL$44&gt;1,DT284=$N284),1-SUM($EE284:EK284),
IF($N284&lt;=1,
IF($N284&gt;0,1/$N284,0),
IF(EL$44=1,0,VDB(1,0,$N284,INT(EL$44-1-1),MIN($N284,INT(EL$44-1-1)+1),$DC284,IF($DD284="No",1,0))/
IF(DS284&gt;=INT($N284),$N284-INT($N284),1)))*
IF(EL$44=1,0,
IF(INT(DT284)=INT(DS284),DT284-DS284,INT(DT284)-DS284))+
IF($N284&lt;=1,
IF($N284&gt;0,1/$N284,0),VDB(1,0,$N284,INT(EL$44-1),MIN($N284,INT(EL$44-1)+1),$DC284,IF($DD284="No",1,0))/
IF(DT284&gt;INT($N284),$N284-INT($N284),1))*
IF(EL$44=1,DT284,
IF(INT(DT284)=INT(DS284),0,DT284-INT(DT284)))))</f>
        <v>0</v>
      </c>
      <c r="EM284" s="836">
        <f>+IF(DU284=DT284,0,
IF(AND(EM$44&gt;1,DU284=$N284),1-SUM($EE284:EL284),
IF($N284&lt;=1,
IF($N284&gt;0,1/$N284,0),
IF(EM$44=1,0,VDB(1,0,$N284,INT(EM$44-1-1),MIN($N284,INT(EM$44-1-1)+1),$DC284,IF($DD284="No",1,0))/
IF(DT284&gt;=INT($N284),$N284-INT($N284),1)))*
IF(EM$44=1,0,
IF(INT(DU284)=INT(DT284),DU284-DT284,INT(DU284)-DT284))+
IF($N284&lt;=1,
IF($N284&gt;0,1/$N284,0),VDB(1,0,$N284,INT(EM$44-1),MIN($N284,INT(EM$44-1)+1),$DC284,IF($DD284="No",1,0))/
IF(DU284&gt;INT($N284),$N284-INT($N284),1))*
IF(EM$44=1,DU284,
IF(INT(DU284)=INT(DT284),0,DU284-INT(DU284)))))</f>
        <v>0</v>
      </c>
      <c r="EN284" s="833"/>
      <c r="EO284" s="834">
        <f>+IF(OR(DW284=DV284,EO$44=1),0,
IF(AND(EO$44&gt;1,DW284=$N284),1-SUM($EN284:EN284),
IF($N284&lt;=1,
IF($N284&gt;0,1/$N284,0),
IF(EO$44=2,0,VDB(1,0,$N284,INT(EO$44-2-1),MIN($N284,INT(EO$44-2-1)+1),$DC284,IF($DD284="No",1,0))/
IF(DV284&gt;=INT($N284),$N284-INT($N284),1)))*
IF(EO$44=2,0,
IF(INT(DW284)=INT(DV284),DW284-DV284,INT(DW284)-DV284))+
IF($N284&lt;=1,
IF($N284&gt;0,1/$N284,0),VDB(1,0,$N284,INT(EO$44-2),MIN($N284,INT(EO$44-2)+1),$DC284,IF($DD284="No",1,0))/
IF(DW284&gt;INT($N284),$N284-INT($N284),1))*
IF(EO$44=2,DW284,
IF(INT(DW284)=INT(DV284),0,DW284-INT(DW284)))))</f>
        <v>0</v>
      </c>
      <c r="EP284" s="835">
        <f>+IF(OR(DX284=DW284,EP$44=1),0,
IF(AND(EP$44&gt;1,DX284=$N284),1-SUM($EN284:EO284),
IF($N284&lt;=1,
IF($N284&gt;0,1/$N284,0),
IF(EP$44=2,0,VDB(1,0,$N284,INT(EP$44-2-1),MIN($N284,INT(EP$44-2-1)+1),$DC284,IF($DD284="No",1,0))/
IF(DW284&gt;=INT($N284),$N284-INT($N284),1)))*
IF(EP$44=2,0,
IF(INT(DX284)=INT(DW284),DX284-DW284,INT(DX284)-DW284))+
IF($N284&lt;=1,
IF($N284&gt;0,1/$N284,0),VDB(1,0,$N284,INT(EP$44-2),MIN($N284,INT(EP$44-2)+1),$DC284,IF($DD284="No",1,0))/
IF(DX284&gt;INT($N284),$N284-INT($N284),1))*
IF(EP$44=2,DX284,
IF(INT(DX284)=INT(DW284),0,DX284-INT(DX284)))))</f>
        <v>0</v>
      </c>
      <c r="EQ284" s="836">
        <f>+IF(OR(DY284=DX284,EQ$44=1),0,
IF(AND(EQ$44&gt;1,DY284=$N284),1-SUM($EN284:EP284),
IF($N284&lt;=1,
IF($N284&gt;0,1/$N284,0),
IF(EQ$44=2,0,VDB(1,0,$N284,INT(EQ$44-2-1),MIN($N284,INT(EQ$44-2-1)+1),$DC284,IF($DD284="No",1,0))/
IF(DX284&gt;=INT($N284),$N284-INT($N284),1)))*
IF(EQ$44=2,0,
IF(INT(DY284)=INT(DX284),DY284-DX284,INT(DY284)-DX284))+
IF($N284&lt;=1,
IF($N284&gt;0,1/$N284,0),VDB(1,0,$N284,INT(EQ$44-2),MIN($N284,INT(EQ$44-2)+1),$DC284,IF($DD284="No",1,0))/
IF(DY284&gt;INT($N284),$N284-INT($N284),1))*
IF(EQ$44=2,DY284,
IF(INT(DY284)=INT(DX284),0,DY284-INT(DY284)))))</f>
        <v>0</v>
      </c>
      <c r="ER284" s="834">
        <f>+IF(OR(DZ284=DY284,ER$44=1),0,
IF(AND(ER$44&gt;1,DZ284=$N284),1-SUM($EN284:EQ284),
IF($N284&lt;=1,
IF($N284&gt;0,1/$N284,0),
IF(ER$44=2,0,VDB(1,0,$N284,INT(ER$44-2-1),MIN($N284,INT(ER$44-2-1)+1),$DC284,IF($DD284="No",1,0))/
IF(DY284&gt;=INT($N284),$N284-INT($N284),1)))*
IF(ER$44=2,0,
IF(INT(DZ284)=INT(DY284),DZ284-DY284,INT(DZ284)-DY284))+
IF($N284&lt;=1,
IF($N284&gt;0,1/$N284,0),VDB(1,0,$N284,INT(ER$44-2),MIN($N284,INT(ER$44-2)+1),$DC284,IF($DD284="No",1,0))/
IF(DZ284&gt;INT($N284),$N284-INT($N284),1))*
IF(ER$44=2,DZ284,
IF(INT(DZ284)=INT(DY284),0,DZ284-INT(DZ284)))))</f>
        <v>0</v>
      </c>
      <c r="ES284" s="835">
        <f>+IF(OR(EA284=DZ284,ES$44=1),0,
IF(AND(ES$44&gt;1,EA284=$N284),1-SUM($EN284:ER284),
IF($N284&lt;=1,
IF($N284&gt;0,1/$N284,0),
IF(ES$44=2,0,VDB(1,0,$N284,INT(ES$44-2-1),MIN($N284,INT(ES$44-2-1)+1),$DC284,IF($DD284="No",1,0))/
IF(DZ284&gt;=INT($N284),$N284-INT($N284),1)))*
IF(ES$44=2,0,
IF(INT(EA284)=INT(DZ284),EA284-DZ284,INT(EA284)-DZ284))+
IF($N284&lt;=1,
IF($N284&gt;0,1/$N284,0),VDB(1,0,$N284,INT(ES$44-2),MIN($N284,INT(ES$44-2)+1),$DC284,IF($DD284="No",1,0))/
IF(EA284&gt;INT($N284),$N284-INT($N284),1))*
IF(ES$44=2,EA284,
IF(INT(EA284)=INT(DZ284),0,EA284-INT(EA284)))))</f>
        <v>0</v>
      </c>
      <c r="ET284" s="835">
        <f>+IF(OR(EB284=EA284,ET$44=1),0,
IF(AND(ET$44&gt;1,EB284=$N284),1-SUM($EN284:ES284),
IF($N284&lt;=1,
IF($N284&gt;0,1/$N284,0),
IF(ET$44=2,0,VDB(1,0,$N284,INT(ET$44-2-1),MIN($N284,INT(ET$44-2-1)+1),$DC284,IF($DD284="No",1,0))/
IF(EA284&gt;=INT($N284),$N284-INT($N284),1)))*
IF(ET$44=2,0,
IF(INT(EB284)=INT(EA284),EB284-EA284,INT(EB284)-EA284))+
IF($N284&lt;=1,
IF($N284&gt;0,1/$N284,0),VDB(1,0,$N284,INT(ET$44-2),MIN($N284,INT(ET$44-2)+1),$DC284,IF($DD284="No",1,0))/
IF(EB284&gt;INT($N284),$N284-INT($N284),1))*
IF(ET$44=2,EB284,
IF(INT(EB284)=INT(EA284),0,EB284-INT(EB284)))))</f>
        <v>0</v>
      </c>
      <c r="EU284" s="835">
        <f>+IF(OR(EC284=EB284,EU$44=1),0,
IF(AND(EU$44&gt;1,EC284=$N284),1-SUM($EN284:ET284),
IF($N284&lt;=1,
IF($N284&gt;0,1/$N284,0),
IF(EU$44=2,0,VDB(1,0,$N284,INT(EU$44-2-1),MIN($N284,INT(EU$44-2-1)+1),$DC284,IF($DD284="No",1,0))/
IF(EB284&gt;=INT($N284),$N284-INT($N284),1)))*
IF(EU$44=2,0,
IF(INT(EC284)=INT(EB284),EC284-EB284,INT(EC284)-EB284))+
IF($N284&lt;=1,
IF($N284&gt;0,1/$N284,0),VDB(1,0,$N284,INT(EU$44-2),MIN($N284,INT(EU$44-2)+1),$DC284,IF($DD284="No",1,0))/
IF(EC284&gt;INT($N284),$N284-INT($N284),1))*
IF(EU$44=2,EC284,
IF(INT(EC284)=INT(EB284),0,EC284-INT(EC284)))))</f>
        <v>0</v>
      </c>
      <c r="EV284" s="836">
        <f>+IF(OR(ED284=EC284,EV$44=1),0,
IF(AND(EV$44&gt;1,ED284=$N284),1-SUM($EN284:EU284),
IF($N284&lt;=1,
IF($N284&gt;0,1/$N284,0),
IF(EV$44=2,0,VDB(1,0,$N284,INT(EV$44-2-1),MIN($N284,INT(EV$44-2-1)+1),$DC284,IF($DD284="No",1,0))/
IF(EC284&gt;=INT($N284),$N284-INT($N284),1)))*
IF(EV$44=2,0,
IF(INT(ED284)=INT(EC284),ED284-EC284,INT(ED284)-EC284))+
IF($N284&lt;=1,
IF($N284&gt;0,1/$N284,0),VDB(1,0,$N284,INT(EV$44-2),MIN($N284,INT(EV$44-2)+1),$DC284,IF($DD284="No",1,0))/
IF(ED284&gt;INT($N284),$N284-INT($N284),1))*
IF(EV$44=2,ED284,
IF(INT(ED284)=INT(EC284),0,ED284-INT(ED284)))))</f>
        <v>0</v>
      </c>
      <c r="EW284" s="833"/>
      <c r="EX284" s="834">
        <f t="shared" ca="1" si="513"/>
        <v>0</v>
      </c>
      <c r="EY284" s="835">
        <f t="shared" ca="1" si="513"/>
        <v>0</v>
      </c>
      <c r="EZ284" s="836">
        <f t="shared" ca="1" si="513"/>
        <v>0</v>
      </c>
      <c r="FA284" s="834">
        <f t="shared" ca="1" si="513"/>
        <v>0</v>
      </c>
      <c r="FB284" s="835">
        <f t="shared" ca="1" si="513"/>
        <v>0</v>
      </c>
      <c r="FC284" s="835">
        <f t="shared" ca="1" si="513"/>
        <v>0</v>
      </c>
      <c r="FD284" s="835">
        <f t="shared" ca="1" si="513"/>
        <v>0</v>
      </c>
      <c r="FE284" s="836">
        <f t="shared" ca="1" si="513"/>
        <v>0</v>
      </c>
      <c r="FG284" s="386">
        <f t="shared" ca="1" si="504"/>
        <v>0</v>
      </c>
      <c r="FH284" s="387">
        <f t="shared" ca="1" si="505"/>
        <v>0</v>
      </c>
      <c r="FI284" s="388">
        <f t="shared" ca="1" si="506"/>
        <v>0</v>
      </c>
      <c r="FJ284" s="386">
        <f t="shared" ca="1" si="507"/>
        <v>0</v>
      </c>
      <c r="FK284" s="387">
        <f t="shared" ca="1" si="508"/>
        <v>0</v>
      </c>
      <c r="FL284" s="387">
        <f t="shared" ca="1" si="509"/>
        <v>0</v>
      </c>
      <c r="FM284" s="387">
        <f t="shared" ca="1" si="510"/>
        <v>0</v>
      </c>
      <c r="FN284" s="388">
        <f t="shared" ca="1" si="511"/>
        <v>0</v>
      </c>
      <c r="FR284" s="116"/>
    </row>
    <row r="285" spans="2:174">
      <c r="B285" s="1410">
        <f t="shared" si="512"/>
        <v>239</v>
      </c>
      <c r="C285" s="400"/>
      <c r="D285" s="410"/>
      <c r="E285" s="402"/>
      <c r="F285" s="402"/>
      <c r="G285" s="400"/>
      <c r="H285" s="2088"/>
      <c r="I285" s="2089"/>
      <c r="J285" s="411"/>
      <c r="K285" s="403"/>
      <c r="L285" s="403"/>
      <c r="M285" s="403"/>
      <c r="N285" s="403"/>
      <c r="O285" s="347"/>
      <c r="P285" s="347"/>
      <c r="Q285" s="1021"/>
      <c r="R285" s="1022"/>
      <c r="S285" s="1022"/>
      <c r="T285" s="1022"/>
      <c r="U285" s="1023"/>
      <c r="V285" s="1021"/>
      <c r="W285" s="1022"/>
      <c r="X285" s="1022"/>
      <c r="Y285" s="1022"/>
      <c r="Z285" s="1023"/>
      <c r="AA285" s="1024"/>
      <c r="AB285" s="1021"/>
      <c r="AC285" s="1022"/>
      <c r="AD285" s="1022"/>
      <c r="AE285" s="1022"/>
      <c r="AF285" s="1023"/>
      <c r="AG285" s="1021"/>
      <c r="AH285" s="1022"/>
      <c r="AI285" s="1022"/>
      <c r="AJ285" s="1022"/>
      <c r="AK285" s="1023"/>
      <c r="AL285" s="1024"/>
      <c r="AM285" s="1021"/>
      <c r="AN285" s="1022"/>
      <c r="AO285" s="1022"/>
      <c r="AP285" s="1022"/>
      <c r="AQ285" s="1023"/>
      <c r="AR285" s="1021"/>
      <c r="AS285" s="1022"/>
      <c r="AT285" s="1022"/>
      <c r="AU285" s="1022"/>
      <c r="AV285" s="1023"/>
      <c r="AW285" s="1025"/>
      <c r="AX285" s="1282">
        <f t="shared" si="457"/>
        <v>0</v>
      </c>
      <c r="AY285" s="387">
        <f t="shared" si="458"/>
        <v>0</v>
      </c>
      <c r="AZ285" s="387">
        <f t="shared" si="459"/>
        <v>0</v>
      </c>
      <c r="BA285" s="387">
        <f t="shared" si="460"/>
        <v>0</v>
      </c>
      <c r="BB285" s="1283">
        <f t="shared" si="461"/>
        <v>0</v>
      </c>
      <c r="BC285" s="386">
        <f t="shared" si="462"/>
        <v>0</v>
      </c>
      <c r="BD285" s="387">
        <f t="shared" si="463"/>
        <v>0</v>
      </c>
      <c r="BE285" s="1277">
        <f t="shared" si="464"/>
        <v>0</v>
      </c>
      <c r="BF285" s="1277">
        <f t="shared" si="465"/>
        <v>0</v>
      </c>
      <c r="BG285" s="388">
        <f t="shared" si="466"/>
        <v>0</v>
      </c>
      <c r="BH285" s="1025"/>
      <c r="BI285" s="1282">
        <f t="shared" ca="1" si="467"/>
        <v>0</v>
      </c>
      <c r="BJ285" s="387">
        <f t="shared" ca="1" si="468"/>
        <v>0</v>
      </c>
      <c r="BK285" s="387">
        <f t="shared" ca="1" si="469"/>
        <v>0</v>
      </c>
      <c r="BL285" s="387">
        <f t="shared" ca="1" si="470"/>
        <v>0</v>
      </c>
      <c r="BM285" s="1283">
        <f t="shared" ca="1" si="471"/>
        <v>0</v>
      </c>
      <c r="BN285" s="386">
        <f t="shared" ca="1" si="472"/>
        <v>0</v>
      </c>
      <c r="BO285" s="387">
        <f t="shared" ca="1" si="473"/>
        <v>0</v>
      </c>
      <c r="BP285" s="1277">
        <f t="shared" ca="1" si="474"/>
        <v>0</v>
      </c>
      <c r="BQ285" s="1277">
        <f t="shared" ca="1" si="475"/>
        <v>0</v>
      </c>
      <c r="BR285" s="388">
        <f t="shared" ca="1" si="476"/>
        <v>0</v>
      </c>
      <c r="BS285" s="1025"/>
      <c r="BT285" s="1282">
        <f>+IF($K285="Ongoing",AX285,IF(RIGHT($K285,2)=RIGHT(BT$43,2),SUM($AX285:AX285),0)+IF(RIGHT(BT$43,2)&gt;RIGHT($K285,2),AX285,0))</f>
        <v>0</v>
      </c>
      <c r="BU285" s="387">
        <f>+IF($K285="Ongoing",AY285,IF(RIGHT($K285,2)=RIGHT(BU$43,2),SUM($AX285:AY285),0)+IF(RIGHT(BU$43,2)&gt;RIGHT($K285,2),AY285,0))</f>
        <v>0</v>
      </c>
      <c r="BV285" s="387">
        <f>+IF($K285="Ongoing",AZ285,IF(RIGHT($K285,2)=RIGHT(BV$43,2),SUM($AX285:AZ285),0)+IF(RIGHT(BV$43,2)&gt;RIGHT($K285,2),AZ285,0))</f>
        <v>0</v>
      </c>
      <c r="BW285" s="387">
        <f>+IF($K285="Ongoing",BA285,IF(RIGHT($K285,2)=RIGHT(BW$43,2),SUM($AX285:BA285),0)+IF(RIGHT(BW$43,2)&gt;RIGHT($K285,2),BA285,0))</f>
        <v>0</v>
      </c>
      <c r="BX285" s="1283">
        <f>+IF($K285="Ongoing",BB285,IF(RIGHT($K285,2)=RIGHT(BX$43,2),SUM($AX285:BB285),0)+IF(RIGHT(BX$43,2)&gt;RIGHT($K285,2),BB285,0))</f>
        <v>0</v>
      </c>
      <c r="BY285" s="386">
        <f>+IF($K285="Ongoing",BC285,IF(RIGHT($K285,2)=RIGHT(BY$43,2),SUM($AX285:BC285),0)+IF(RIGHT(BY$43,2)&gt;RIGHT($K285,2),BC285,0))</f>
        <v>0</v>
      </c>
      <c r="BZ285" s="387">
        <f>+IF($K285="Ongoing",BD285,IF(RIGHT($K285,2)=RIGHT(BZ$43,2),SUM($AX285:BD285),0)+IF(RIGHT(BZ$43,2)&gt;RIGHT($K285,2),BD285,0))</f>
        <v>0</v>
      </c>
      <c r="CA285" s="1277">
        <f>+IF($K285="Ongoing",BE285,IF(RIGHT($K285,2)=RIGHT(CA$43,2),SUM($AX285:BE285),0)+IF(RIGHT(CA$43,2)&gt;RIGHT($K285,2),BE285,0))</f>
        <v>0</v>
      </c>
      <c r="CB285" s="1277">
        <f>+IF($K285="Ongoing",BF285,IF(RIGHT($K285,2)=RIGHT(CB$43,2),SUM($AX285:BF285),0)+IF(RIGHT(CB$43,2)&gt;RIGHT($K285,2),BF285,0))</f>
        <v>0</v>
      </c>
      <c r="CC285" s="388">
        <f>+IF($K285="Ongoing",BG285,IF(RIGHT($K285,2)=RIGHT(CC$43,2),SUM($AX285:BG285),0)+IF(RIGHT(CC$43,2)&gt;RIGHT($K285,2),BG285,0))</f>
        <v>0</v>
      </c>
      <c r="CD285" s="1025"/>
      <c r="CE285" s="1282">
        <f>+Q285*KeyAssumptionsPriceControl_FO!AF$15</f>
        <v>0</v>
      </c>
      <c r="CF285" s="387">
        <f>+R285*KeyAssumptionsPriceControl_FO!AG$15</f>
        <v>0</v>
      </c>
      <c r="CG285" s="387">
        <f>+S285*KeyAssumptionsPriceControl_FO!AH$15</f>
        <v>0</v>
      </c>
      <c r="CH285" s="387">
        <f>+T285*KeyAssumptionsPriceControl_FO!AI$15</f>
        <v>0</v>
      </c>
      <c r="CI285" s="1283">
        <f>+U285*KeyAssumptionsPriceControl_FO!AJ$15</f>
        <v>0</v>
      </c>
      <c r="CJ285" s="386">
        <f>+V285*KeyAssumptionsPriceControl_FO!AK$15</f>
        <v>0</v>
      </c>
      <c r="CK285" s="387">
        <f>+W285*KeyAssumptionsPriceControl_FO!AL$15</f>
        <v>0</v>
      </c>
      <c r="CL285" s="1277">
        <f>+X285*KeyAssumptionsPriceControl_FO!AM$15</f>
        <v>0</v>
      </c>
      <c r="CM285" s="1277">
        <f>+Y285*KeyAssumptionsPriceControl_FO!AN$15</f>
        <v>0</v>
      </c>
      <c r="CN285" s="388">
        <f>+Z285*KeyAssumptionsPriceControl_FO!AO$15</f>
        <v>0</v>
      </c>
      <c r="CO285" s="1025"/>
      <c r="CP285" s="1282">
        <f t="shared" ca="1" si="477"/>
        <v>0</v>
      </c>
      <c r="CQ285" s="387">
        <f t="shared" ca="1" si="478"/>
        <v>0</v>
      </c>
      <c r="CR285" s="387">
        <f t="shared" ca="1" si="479"/>
        <v>0</v>
      </c>
      <c r="CS285" s="387">
        <f t="shared" ca="1" si="480"/>
        <v>0</v>
      </c>
      <c r="CT285" s="1283">
        <f t="shared" ca="1" si="481"/>
        <v>0</v>
      </c>
      <c r="CU285" s="386">
        <f t="shared" ca="1" si="482"/>
        <v>0</v>
      </c>
      <c r="CV285" s="387">
        <f t="shared" ca="1" si="483"/>
        <v>0</v>
      </c>
      <c r="CW285" s="1277">
        <f t="shared" ca="1" si="484"/>
        <v>0</v>
      </c>
      <c r="CX285" s="1277">
        <f t="shared" ca="1" si="485"/>
        <v>0</v>
      </c>
      <c r="CY285" s="388">
        <f t="shared" ca="1" si="486"/>
        <v>0</v>
      </c>
      <c r="CZ285" s="347"/>
      <c r="DA285" s="852"/>
      <c r="DB285" s="347"/>
      <c r="DC285" s="1012" t="s">
        <v>588</v>
      </c>
      <c r="DD285" s="841" t="s">
        <v>518</v>
      </c>
      <c r="DE285" s="386">
        <f>+IF($K285="ongoing",CE285,IF(RIGHT($K285,2)=RIGHT(DE$43,2),SUM($CD285:CE285),0)+IF(RIGHT(DE$43,2)&gt;RIGHT($K285,2),CE285,0))</f>
        <v>0</v>
      </c>
      <c r="DF285" s="387">
        <f>+IF($K285="ongoing",CF285,IF(RIGHT($K285,2)=RIGHT(DF$43,2),SUM($CD285:CF285),0)+IF(RIGHT(DF$43,2)&gt;RIGHT($K285,2),CF285,0))</f>
        <v>0</v>
      </c>
      <c r="DG285" s="388">
        <f>+IF($K285="ongoing",CG285,IF(RIGHT($K285,2)=RIGHT(DG$43,2),SUM($CD285:CG285),0)+IF(RIGHT(DG$43,2)&gt;RIGHT($K285,2),CG285,0))</f>
        <v>0</v>
      </c>
      <c r="DH285" s="386">
        <f>+IF($K285="ongoing",CH285,IF(RIGHT($K285,2)=RIGHT(DH$43,2),SUM($CD285:CH285),0)+IF(RIGHT(DH$43,2)&gt;RIGHT($K285,2),CH285,0))</f>
        <v>0</v>
      </c>
      <c r="DI285" s="387">
        <f>+IF($K285="ongoing",CI285,IF(RIGHT($K285,2)=RIGHT(DI$43,2),SUM($CD285:CI285),0)+IF(RIGHT(DI$43,2)&gt;RIGHT($K285,2),CI285,0))</f>
        <v>0</v>
      </c>
      <c r="DJ285" s="387">
        <f>+IF($K285="ongoing",CJ285,IF(RIGHT($K285,2)=RIGHT(DJ$43,2),SUM($CD285:CJ285),0)+IF(RIGHT(DJ$43,2)&gt;RIGHT($K285,2),CJ285,0))</f>
        <v>0</v>
      </c>
      <c r="DK285" s="387">
        <f>+IF($K285="ongoing",CK285,IF(RIGHT($K285,2)=RIGHT(DK$43,2),SUM($CD285:CK285),0)+IF(RIGHT(DK$43,2)&gt;RIGHT($K285,2),CK285,0))</f>
        <v>0</v>
      </c>
      <c r="DL285" s="388">
        <f>+IF($K285="ongoing",CN285,IF(RIGHT($K285,2)=RIGHT(DL$43,2),SUM($CD285:CN285),0)+IF(RIGHT(DL$43,2)&gt;RIGHT($K285,2),CN285,0))</f>
        <v>0</v>
      </c>
      <c r="DM285" s="841"/>
      <c r="DN285" s="386">
        <f t="shared" si="487"/>
        <v>0.5</v>
      </c>
      <c r="DO285" s="387">
        <f t="shared" si="488"/>
        <v>1</v>
      </c>
      <c r="DP285" s="388">
        <f t="shared" si="489"/>
        <v>1</v>
      </c>
      <c r="DQ285" s="386">
        <f t="shared" si="490"/>
        <v>1</v>
      </c>
      <c r="DR285" s="387">
        <f t="shared" si="491"/>
        <v>1</v>
      </c>
      <c r="DS285" s="387">
        <f t="shared" si="492"/>
        <v>1</v>
      </c>
      <c r="DT285" s="387">
        <f t="shared" si="493"/>
        <v>1</v>
      </c>
      <c r="DU285" s="388">
        <f t="shared" si="494"/>
        <v>1</v>
      </c>
      <c r="DW285" s="386">
        <f t="shared" si="495"/>
        <v>0</v>
      </c>
      <c r="DX285" s="387">
        <f t="shared" si="496"/>
        <v>0.5</v>
      </c>
      <c r="DY285" s="388">
        <f t="shared" si="497"/>
        <v>1</v>
      </c>
      <c r="DZ285" s="386">
        <f t="shared" si="498"/>
        <v>1</v>
      </c>
      <c r="EA285" s="387">
        <f t="shared" si="499"/>
        <v>1</v>
      </c>
      <c r="EB285" s="387">
        <f t="shared" si="500"/>
        <v>1</v>
      </c>
      <c r="EC285" s="387">
        <f t="shared" si="501"/>
        <v>1</v>
      </c>
      <c r="ED285" s="388">
        <f t="shared" si="502"/>
        <v>1</v>
      </c>
      <c r="EF285" s="834">
        <f>+IF(DN285=DM285,0,
IF(AND(EF$44&gt;1,DN285=$N285),1-SUM($EE285:EE285),
IF($N285&lt;=1,
IF($N285&gt;0,1/$N285,0),
IF(EF$44=1,0,VDB(1,0,$N285,INT(EF$44-1-1),MIN($N285,INT(EF$44-1-1)+1),$DC285,IF($DD285="No",1,0))/
IF(DM285&gt;=INT($N285),$N285-INT($N285),1)))*
IF(EF$44=1,0,
IF(INT(DN285)=INT(DM285),DN285-DM285,INT(DN285)-DM285))+
IF($N285&lt;=1,
IF($N285&gt;0,1/$N285,0),VDB(1,0,$N285,INT(EF$44-1),MIN($N285,INT(EF$44-1)+1),$DC285,IF($DD285="No",1,0))/
IF(DN285&gt;INT($N285),$N285-INT($N285),1))*
IF(EF$44=1,DN285,
IF(INT(DN285)=INT(DM285),0,DN285-INT(DN285)))))</f>
        <v>0</v>
      </c>
      <c r="EG285" s="835">
        <f>+IF(DO285=DN285,0,
IF(AND(EG$44&gt;1,DO285=$N285),1-SUM($EE285:EF285),
IF($N285&lt;=1,
IF($N285&gt;0,1/$N285,0),
IF(EG$44=1,0,VDB(1,0,$N285,INT(EG$44-1-1),MIN($N285,INT(EG$44-1-1)+1),$DC285,IF($DD285="No",1,0))/
IF(DN285&gt;=INT($N285),$N285-INT($N285),1)))*
IF(EG$44=1,0,
IF(INT(DO285)=INT(DN285),DO285-DN285,INT(DO285)-DN285))+
IF($N285&lt;=1,
IF($N285&gt;0,1/$N285,0),VDB(1,0,$N285,INT(EG$44-1),MIN($N285,INT(EG$44-1)+1),$DC285,IF($DD285="No",1,0))/
IF(DO285&gt;INT($N285),$N285-INT($N285),1))*
IF(EG$44=1,DO285,
IF(INT(DO285)=INT(DN285),0,DO285-INT(DO285)))))</f>
        <v>0</v>
      </c>
      <c r="EH285" s="836">
        <f>+IF(DP285=DO285,0,
IF(AND(EH$44&gt;1,DP285=$N285),1-SUM($EE285:EG285),
IF($N285&lt;=1,
IF($N285&gt;0,1/$N285,0),
IF(EH$44=1,0,VDB(1,0,$N285,INT(EH$44-1-1),MIN($N285,INT(EH$44-1-1)+1),$DC285,IF($DD285="No",1,0))/
IF(DO285&gt;=INT($N285),$N285-INT($N285),1)))*
IF(EH$44=1,0,
IF(INT(DP285)=INT(DO285),DP285-DO285,INT(DP285)-DO285))+
IF($N285&lt;=1,
IF($N285&gt;0,1/$N285,0),VDB(1,0,$N285,INT(EH$44-1),MIN($N285,INT(EH$44-1)+1),$DC285,IF($DD285="No",1,0))/
IF(DP285&gt;INT($N285),$N285-INT($N285),1))*
IF(EH$44=1,DP285,
IF(INT(DP285)=INT(DO285),0,DP285-INT(DP285)))))</f>
        <v>0</v>
      </c>
      <c r="EI285" s="834">
        <f>+IF(DQ285=DP285,0,
IF(AND(EI$44&gt;1,DQ285=$N285),1-SUM($EE285:EH285),
IF($N285&lt;=1,
IF($N285&gt;0,1/$N285,0),
IF(EI$44=1,0,VDB(1,0,$N285,INT(EI$44-1-1),MIN($N285,INT(EI$44-1-1)+1),$DC285,IF($DD285="No",1,0))/
IF(DP285&gt;=INT($N285),$N285-INT($N285),1)))*
IF(EI$44=1,0,
IF(INT(DQ285)=INT(DP285),DQ285-DP285,INT(DQ285)-DP285))+
IF($N285&lt;=1,
IF($N285&gt;0,1/$N285,0),VDB(1,0,$N285,INT(EI$44-1),MIN($N285,INT(EI$44-1)+1),$DC285,IF($DD285="No",1,0))/
IF(DQ285&gt;INT($N285),$N285-INT($N285),1))*
IF(EI$44=1,DQ285,
IF(INT(DQ285)=INT(DP285),0,DQ285-INT(DQ285)))))</f>
        <v>0</v>
      </c>
      <c r="EJ285" s="835">
        <f>+IF(DR285=DQ285,0,
IF(AND(EJ$44&gt;1,DR285=$N285),1-SUM($EE285:EI285),
IF($N285&lt;=1,
IF($N285&gt;0,1/$N285,0),
IF(EJ$44=1,0,VDB(1,0,$N285,INT(EJ$44-1-1),MIN($N285,INT(EJ$44-1-1)+1),$DC285,IF($DD285="No",1,0))/
IF(DQ285&gt;=INT($N285),$N285-INT($N285),1)))*
IF(EJ$44=1,0,
IF(INT(DR285)=INT(DQ285),DR285-DQ285,INT(DR285)-DQ285))+
IF($N285&lt;=1,
IF($N285&gt;0,1/$N285,0),VDB(1,0,$N285,INT(EJ$44-1),MIN($N285,INT(EJ$44-1)+1),$DC285,IF($DD285="No",1,0))/
IF(DR285&gt;INT($N285),$N285-INT($N285),1))*
IF(EJ$44=1,DR285,
IF(INT(DR285)=INT(DQ285),0,DR285-INT(DR285)))))</f>
        <v>0</v>
      </c>
      <c r="EK285" s="835">
        <f>+IF(DS285=DR285,0,
IF(AND(EK$44&gt;1,DS285=$N285),1-SUM($EE285:EJ285),
IF($N285&lt;=1,
IF($N285&gt;0,1/$N285,0),
IF(EK$44=1,0,VDB(1,0,$N285,INT(EK$44-1-1),MIN($N285,INT(EK$44-1-1)+1),$DC285,IF($DD285="No",1,0))/
IF(DR285&gt;=INT($N285),$N285-INT($N285),1)))*
IF(EK$44=1,0,
IF(INT(DS285)=INT(DR285),DS285-DR285,INT(DS285)-DR285))+
IF($N285&lt;=1,
IF($N285&gt;0,1/$N285,0),VDB(1,0,$N285,INT(EK$44-1),MIN($N285,INT(EK$44-1)+1),$DC285,IF($DD285="No",1,0))/
IF(DS285&gt;INT($N285),$N285-INT($N285),1))*
IF(EK$44=1,DS285,
IF(INT(DS285)=INT(DR285),0,DS285-INT(DS285)))))</f>
        <v>0</v>
      </c>
      <c r="EL285" s="835">
        <f>+IF(DT285=DS285,0,
IF(AND(EL$44&gt;1,DT285=$N285),1-SUM($EE285:EK285),
IF($N285&lt;=1,
IF($N285&gt;0,1/$N285,0),
IF(EL$44=1,0,VDB(1,0,$N285,INT(EL$44-1-1),MIN($N285,INT(EL$44-1-1)+1),$DC285,IF($DD285="No",1,0))/
IF(DS285&gt;=INT($N285),$N285-INT($N285),1)))*
IF(EL$44=1,0,
IF(INT(DT285)=INT(DS285),DT285-DS285,INT(DT285)-DS285))+
IF($N285&lt;=1,
IF($N285&gt;0,1/$N285,0),VDB(1,0,$N285,INT(EL$44-1),MIN($N285,INT(EL$44-1)+1),$DC285,IF($DD285="No",1,0))/
IF(DT285&gt;INT($N285),$N285-INT($N285),1))*
IF(EL$44=1,DT285,
IF(INT(DT285)=INT(DS285),0,DT285-INT(DT285)))))</f>
        <v>0</v>
      </c>
      <c r="EM285" s="836">
        <f>+IF(DU285=DT285,0,
IF(AND(EM$44&gt;1,DU285=$N285),1-SUM($EE285:EL285),
IF($N285&lt;=1,
IF($N285&gt;0,1/$N285,0),
IF(EM$44=1,0,VDB(1,0,$N285,INT(EM$44-1-1),MIN($N285,INT(EM$44-1-1)+1),$DC285,IF($DD285="No",1,0))/
IF(DT285&gt;=INT($N285),$N285-INT($N285),1)))*
IF(EM$44=1,0,
IF(INT(DU285)=INT(DT285),DU285-DT285,INT(DU285)-DT285))+
IF($N285&lt;=1,
IF($N285&gt;0,1/$N285,0),VDB(1,0,$N285,INT(EM$44-1),MIN($N285,INT(EM$44-1)+1),$DC285,IF($DD285="No",1,0))/
IF(DU285&gt;INT($N285),$N285-INT($N285),1))*
IF(EM$44=1,DU285,
IF(INT(DU285)=INT(DT285),0,DU285-INT(DU285)))))</f>
        <v>0</v>
      </c>
      <c r="EN285" s="833"/>
      <c r="EO285" s="834">
        <f>+IF(OR(DW285=DV285,EO$44=1),0,
IF(AND(EO$44&gt;1,DW285=$N285),1-SUM($EN285:EN285),
IF($N285&lt;=1,
IF($N285&gt;0,1/$N285,0),
IF(EO$44=2,0,VDB(1,0,$N285,INT(EO$44-2-1),MIN($N285,INT(EO$44-2-1)+1),$DC285,IF($DD285="No",1,0))/
IF(DV285&gt;=INT($N285),$N285-INT($N285),1)))*
IF(EO$44=2,0,
IF(INT(DW285)=INT(DV285),DW285-DV285,INT(DW285)-DV285))+
IF($N285&lt;=1,
IF($N285&gt;0,1/$N285,0),VDB(1,0,$N285,INT(EO$44-2),MIN($N285,INT(EO$44-2)+1),$DC285,IF($DD285="No",1,0))/
IF(DW285&gt;INT($N285),$N285-INT($N285),1))*
IF(EO$44=2,DW285,
IF(INT(DW285)=INT(DV285),0,DW285-INT(DW285)))))</f>
        <v>0</v>
      </c>
      <c r="EP285" s="835">
        <f>+IF(OR(DX285=DW285,EP$44=1),0,
IF(AND(EP$44&gt;1,DX285=$N285),1-SUM($EN285:EO285),
IF($N285&lt;=1,
IF($N285&gt;0,1/$N285,0),
IF(EP$44=2,0,VDB(1,0,$N285,INT(EP$44-2-1),MIN($N285,INT(EP$44-2-1)+1),$DC285,IF($DD285="No",1,0))/
IF(DW285&gt;=INT($N285),$N285-INT($N285),1)))*
IF(EP$44=2,0,
IF(INT(DX285)=INT(DW285),DX285-DW285,INT(DX285)-DW285))+
IF($N285&lt;=1,
IF($N285&gt;0,1/$N285,0),VDB(1,0,$N285,INT(EP$44-2),MIN($N285,INT(EP$44-2)+1),$DC285,IF($DD285="No",1,0))/
IF(DX285&gt;INT($N285),$N285-INT($N285),1))*
IF(EP$44=2,DX285,
IF(INT(DX285)=INT(DW285),0,DX285-INT(DX285)))))</f>
        <v>0</v>
      </c>
      <c r="EQ285" s="836">
        <f>+IF(OR(DY285=DX285,EQ$44=1),0,
IF(AND(EQ$44&gt;1,DY285=$N285),1-SUM($EN285:EP285),
IF($N285&lt;=1,
IF($N285&gt;0,1/$N285,0),
IF(EQ$44=2,0,VDB(1,0,$N285,INT(EQ$44-2-1),MIN($N285,INT(EQ$44-2-1)+1),$DC285,IF($DD285="No",1,0))/
IF(DX285&gt;=INT($N285),$N285-INT($N285),1)))*
IF(EQ$44=2,0,
IF(INT(DY285)=INT(DX285),DY285-DX285,INT(DY285)-DX285))+
IF($N285&lt;=1,
IF($N285&gt;0,1/$N285,0),VDB(1,0,$N285,INT(EQ$44-2),MIN($N285,INT(EQ$44-2)+1),$DC285,IF($DD285="No",1,0))/
IF(DY285&gt;INT($N285),$N285-INT($N285),1))*
IF(EQ$44=2,DY285,
IF(INT(DY285)=INT(DX285),0,DY285-INT(DY285)))))</f>
        <v>0</v>
      </c>
      <c r="ER285" s="834">
        <f>+IF(OR(DZ285=DY285,ER$44=1),0,
IF(AND(ER$44&gt;1,DZ285=$N285),1-SUM($EN285:EQ285),
IF($N285&lt;=1,
IF($N285&gt;0,1/$N285,0),
IF(ER$44=2,0,VDB(1,0,$N285,INT(ER$44-2-1),MIN($N285,INT(ER$44-2-1)+1),$DC285,IF($DD285="No",1,0))/
IF(DY285&gt;=INT($N285),$N285-INT($N285),1)))*
IF(ER$44=2,0,
IF(INT(DZ285)=INT(DY285),DZ285-DY285,INT(DZ285)-DY285))+
IF($N285&lt;=1,
IF($N285&gt;0,1/$N285,0),VDB(1,0,$N285,INT(ER$44-2),MIN($N285,INT(ER$44-2)+1),$DC285,IF($DD285="No",1,0))/
IF(DZ285&gt;INT($N285),$N285-INT($N285),1))*
IF(ER$44=2,DZ285,
IF(INT(DZ285)=INT(DY285),0,DZ285-INT(DZ285)))))</f>
        <v>0</v>
      </c>
      <c r="ES285" s="835">
        <f>+IF(OR(EA285=DZ285,ES$44=1),0,
IF(AND(ES$44&gt;1,EA285=$N285),1-SUM($EN285:ER285),
IF($N285&lt;=1,
IF($N285&gt;0,1/$N285,0),
IF(ES$44=2,0,VDB(1,0,$N285,INT(ES$44-2-1),MIN($N285,INT(ES$44-2-1)+1),$DC285,IF($DD285="No",1,0))/
IF(DZ285&gt;=INT($N285),$N285-INT($N285),1)))*
IF(ES$44=2,0,
IF(INT(EA285)=INT(DZ285),EA285-DZ285,INT(EA285)-DZ285))+
IF($N285&lt;=1,
IF($N285&gt;0,1/$N285,0),VDB(1,0,$N285,INT(ES$44-2),MIN($N285,INT(ES$44-2)+1),$DC285,IF($DD285="No",1,0))/
IF(EA285&gt;INT($N285),$N285-INT($N285),1))*
IF(ES$44=2,EA285,
IF(INT(EA285)=INT(DZ285),0,EA285-INT(EA285)))))</f>
        <v>0</v>
      </c>
      <c r="ET285" s="835">
        <f>+IF(OR(EB285=EA285,ET$44=1),0,
IF(AND(ET$44&gt;1,EB285=$N285),1-SUM($EN285:ES285),
IF($N285&lt;=1,
IF($N285&gt;0,1/$N285,0),
IF(ET$44=2,0,VDB(1,0,$N285,INT(ET$44-2-1),MIN($N285,INT(ET$44-2-1)+1),$DC285,IF($DD285="No",1,0))/
IF(EA285&gt;=INT($N285),$N285-INT($N285),1)))*
IF(ET$44=2,0,
IF(INT(EB285)=INT(EA285),EB285-EA285,INT(EB285)-EA285))+
IF($N285&lt;=1,
IF($N285&gt;0,1/$N285,0),VDB(1,0,$N285,INT(ET$44-2),MIN($N285,INT(ET$44-2)+1),$DC285,IF($DD285="No",1,0))/
IF(EB285&gt;INT($N285),$N285-INT($N285),1))*
IF(ET$44=2,EB285,
IF(INT(EB285)=INT(EA285),0,EB285-INT(EB285)))))</f>
        <v>0</v>
      </c>
      <c r="EU285" s="835">
        <f>+IF(OR(EC285=EB285,EU$44=1),0,
IF(AND(EU$44&gt;1,EC285=$N285),1-SUM($EN285:ET285),
IF($N285&lt;=1,
IF($N285&gt;0,1/$N285,0),
IF(EU$44=2,0,VDB(1,0,$N285,INT(EU$44-2-1),MIN($N285,INT(EU$44-2-1)+1),$DC285,IF($DD285="No",1,0))/
IF(EB285&gt;=INT($N285),$N285-INT($N285),1)))*
IF(EU$44=2,0,
IF(INT(EC285)=INT(EB285),EC285-EB285,INT(EC285)-EB285))+
IF($N285&lt;=1,
IF($N285&gt;0,1/$N285,0),VDB(1,0,$N285,INT(EU$44-2),MIN($N285,INT(EU$44-2)+1),$DC285,IF($DD285="No",1,0))/
IF(EC285&gt;INT($N285),$N285-INT($N285),1))*
IF(EU$44=2,EC285,
IF(INT(EC285)=INT(EB285),0,EC285-INT(EC285)))))</f>
        <v>0</v>
      </c>
      <c r="EV285" s="836">
        <f>+IF(OR(ED285=EC285,EV$44=1),0,
IF(AND(EV$44&gt;1,ED285=$N285),1-SUM($EN285:EU285),
IF($N285&lt;=1,
IF($N285&gt;0,1/$N285,0),
IF(EV$44=2,0,VDB(1,0,$N285,INT(EV$44-2-1),MIN($N285,INT(EV$44-2-1)+1),$DC285,IF($DD285="No",1,0))/
IF(EC285&gt;=INT($N285),$N285-INT($N285),1)))*
IF(EV$44=2,0,
IF(INT(ED285)=INT(EC285),ED285-EC285,INT(ED285)-EC285))+
IF($N285&lt;=1,
IF($N285&gt;0,1/$N285,0),VDB(1,0,$N285,INT(EV$44-2),MIN($N285,INT(EV$44-2)+1),$DC285,IF($DD285="No",1,0))/
IF(ED285&gt;INT($N285),$N285-INT($N285),1))*
IF(EV$44=2,ED285,
IF(INT(ED285)=INT(EC285),0,ED285-INT(ED285)))))</f>
        <v>0</v>
      </c>
      <c r="EW285" s="833"/>
      <c r="EX285" s="834">
        <f t="shared" ca="1" si="513"/>
        <v>0</v>
      </c>
      <c r="EY285" s="835">
        <f t="shared" ca="1" si="513"/>
        <v>0</v>
      </c>
      <c r="EZ285" s="836">
        <f t="shared" ca="1" si="513"/>
        <v>0</v>
      </c>
      <c r="FA285" s="834">
        <f t="shared" ca="1" si="513"/>
        <v>0</v>
      </c>
      <c r="FB285" s="835">
        <f t="shared" ca="1" si="513"/>
        <v>0</v>
      </c>
      <c r="FC285" s="835">
        <f t="shared" ca="1" si="513"/>
        <v>0</v>
      </c>
      <c r="FD285" s="835">
        <f t="shared" ca="1" si="513"/>
        <v>0</v>
      </c>
      <c r="FE285" s="836">
        <f t="shared" ca="1" si="513"/>
        <v>0</v>
      </c>
      <c r="FG285" s="386">
        <f t="shared" ca="1" si="504"/>
        <v>0</v>
      </c>
      <c r="FH285" s="387">
        <f t="shared" ca="1" si="505"/>
        <v>0</v>
      </c>
      <c r="FI285" s="388">
        <f t="shared" ca="1" si="506"/>
        <v>0</v>
      </c>
      <c r="FJ285" s="386">
        <f t="shared" ca="1" si="507"/>
        <v>0</v>
      </c>
      <c r="FK285" s="387">
        <f t="shared" ca="1" si="508"/>
        <v>0</v>
      </c>
      <c r="FL285" s="387">
        <f t="shared" ca="1" si="509"/>
        <v>0</v>
      </c>
      <c r="FM285" s="387">
        <f t="shared" ca="1" si="510"/>
        <v>0</v>
      </c>
      <c r="FN285" s="388">
        <f t="shared" ca="1" si="511"/>
        <v>0</v>
      </c>
      <c r="FR285" s="116"/>
    </row>
    <row r="286" spans="2:174">
      <c r="B286" s="1410">
        <f t="shared" si="512"/>
        <v>240</v>
      </c>
      <c r="C286" s="400"/>
      <c r="D286" s="410"/>
      <c r="E286" s="402"/>
      <c r="F286" s="402"/>
      <c r="G286" s="400"/>
      <c r="H286" s="2088"/>
      <c r="I286" s="2089"/>
      <c r="J286" s="411"/>
      <c r="K286" s="403"/>
      <c r="L286" s="403"/>
      <c r="M286" s="403"/>
      <c r="N286" s="403"/>
      <c r="O286" s="347"/>
      <c r="P286" s="347"/>
      <c r="Q286" s="1021"/>
      <c r="R286" s="1022"/>
      <c r="S286" s="1022"/>
      <c r="T286" s="1022"/>
      <c r="U286" s="1023"/>
      <c r="V286" s="1021"/>
      <c r="W286" s="1022"/>
      <c r="X286" s="1022"/>
      <c r="Y286" s="1022"/>
      <c r="Z286" s="1023"/>
      <c r="AA286" s="1024"/>
      <c r="AB286" s="1021"/>
      <c r="AC286" s="1022"/>
      <c r="AD286" s="1022"/>
      <c r="AE286" s="1022"/>
      <c r="AF286" s="1023"/>
      <c r="AG286" s="1021"/>
      <c r="AH286" s="1022"/>
      <c r="AI286" s="1022"/>
      <c r="AJ286" s="1022"/>
      <c r="AK286" s="1023"/>
      <c r="AL286" s="1024"/>
      <c r="AM286" s="1021"/>
      <c r="AN286" s="1022"/>
      <c r="AO286" s="1022"/>
      <c r="AP286" s="1022"/>
      <c r="AQ286" s="1023"/>
      <c r="AR286" s="1021"/>
      <c r="AS286" s="1022"/>
      <c r="AT286" s="1022"/>
      <c r="AU286" s="1022"/>
      <c r="AV286" s="1023"/>
      <c r="AW286" s="1025"/>
      <c r="AX286" s="1282">
        <f t="shared" si="457"/>
        <v>0</v>
      </c>
      <c r="AY286" s="387">
        <f t="shared" si="458"/>
        <v>0</v>
      </c>
      <c r="AZ286" s="387">
        <f t="shared" si="459"/>
        <v>0</v>
      </c>
      <c r="BA286" s="387">
        <f t="shared" si="460"/>
        <v>0</v>
      </c>
      <c r="BB286" s="1283">
        <f t="shared" si="461"/>
        <v>0</v>
      </c>
      <c r="BC286" s="386">
        <f t="shared" si="462"/>
        <v>0</v>
      </c>
      <c r="BD286" s="387">
        <f t="shared" si="463"/>
        <v>0</v>
      </c>
      <c r="BE286" s="1277">
        <f t="shared" si="464"/>
        <v>0</v>
      </c>
      <c r="BF286" s="1277">
        <f t="shared" si="465"/>
        <v>0</v>
      </c>
      <c r="BG286" s="388">
        <f t="shared" si="466"/>
        <v>0</v>
      </c>
      <c r="BH286" s="1025"/>
      <c r="BI286" s="1282">
        <f t="shared" ca="1" si="467"/>
        <v>0</v>
      </c>
      <c r="BJ286" s="387">
        <f t="shared" ca="1" si="468"/>
        <v>0</v>
      </c>
      <c r="BK286" s="387">
        <f t="shared" ca="1" si="469"/>
        <v>0</v>
      </c>
      <c r="BL286" s="387">
        <f t="shared" ca="1" si="470"/>
        <v>0</v>
      </c>
      <c r="BM286" s="1283">
        <f t="shared" ca="1" si="471"/>
        <v>0</v>
      </c>
      <c r="BN286" s="386">
        <f t="shared" ca="1" si="472"/>
        <v>0</v>
      </c>
      <c r="BO286" s="387">
        <f t="shared" ca="1" si="473"/>
        <v>0</v>
      </c>
      <c r="BP286" s="1277">
        <f t="shared" ca="1" si="474"/>
        <v>0</v>
      </c>
      <c r="BQ286" s="1277">
        <f t="shared" ca="1" si="475"/>
        <v>0</v>
      </c>
      <c r="BR286" s="388">
        <f t="shared" ca="1" si="476"/>
        <v>0</v>
      </c>
      <c r="BS286" s="1025"/>
      <c r="BT286" s="1282">
        <f>+IF($K286="Ongoing",AX286,IF(RIGHT($K286,2)=RIGHT(BT$43,2),SUM($AX286:AX286),0)+IF(RIGHT(BT$43,2)&gt;RIGHT($K286,2),AX286,0))</f>
        <v>0</v>
      </c>
      <c r="BU286" s="387">
        <f>+IF($K286="Ongoing",AY286,IF(RIGHT($K286,2)=RIGHT(BU$43,2),SUM($AX286:AY286),0)+IF(RIGHT(BU$43,2)&gt;RIGHT($K286,2),AY286,0))</f>
        <v>0</v>
      </c>
      <c r="BV286" s="387">
        <f>+IF($K286="Ongoing",AZ286,IF(RIGHT($K286,2)=RIGHT(BV$43,2),SUM($AX286:AZ286),0)+IF(RIGHT(BV$43,2)&gt;RIGHT($K286,2),AZ286,0))</f>
        <v>0</v>
      </c>
      <c r="BW286" s="387">
        <f>+IF($K286="Ongoing",BA286,IF(RIGHT($K286,2)=RIGHT(BW$43,2),SUM($AX286:BA286),0)+IF(RIGHT(BW$43,2)&gt;RIGHT($K286,2),BA286,0))</f>
        <v>0</v>
      </c>
      <c r="BX286" s="1283">
        <f>+IF($K286="Ongoing",BB286,IF(RIGHT($K286,2)=RIGHT(BX$43,2),SUM($AX286:BB286),0)+IF(RIGHT(BX$43,2)&gt;RIGHT($K286,2),BB286,0))</f>
        <v>0</v>
      </c>
      <c r="BY286" s="386">
        <f>+IF($K286="Ongoing",BC286,IF(RIGHT($K286,2)=RIGHT(BY$43,2),SUM($AX286:BC286),0)+IF(RIGHT(BY$43,2)&gt;RIGHT($K286,2),BC286,0))</f>
        <v>0</v>
      </c>
      <c r="BZ286" s="387">
        <f>+IF($K286="Ongoing",BD286,IF(RIGHT($K286,2)=RIGHT(BZ$43,2),SUM($AX286:BD286),0)+IF(RIGHT(BZ$43,2)&gt;RIGHT($K286,2),BD286,0))</f>
        <v>0</v>
      </c>
      <c r="CA286" s="1277">
        <f>+IF($K286="Ongoing",BE286,IF(RIGHT($K286,2)=RIGHT(CA$43,2),SUM($AX286:BE286),0)+IF(RIGHT(CA$43,2)&gt;RIGHT($K286,2),BE286,0))</f>
        <v>0</v>
      </c>
      <c r="CB286" s="1277">
        <f>+IF($K286="Ongoing",BF286,IF(RIGHT($K286,2)=RIGHT(CB$43,2),SUM($AX286:BF286),0)+IF(RIGHT(CB$43,2)&gt;RIGHT($K286,2),BF286,0))</f>
        <v>0</v>
      </c>
      <c r="CC286" s="388">
        <f>+IF($K286="Ongoing",BG286,IF(RIGHT($K286,2)=RIGHT(CC$43,2),SUM($AX286:BG286),0)+IF(RIGHT(CC$43,2)&gt;RIGHT($K286,2),BG286,0))</f>
        <v>0</v>
      </c>
      <c r="CD286" s="1025"/>
      <c r="CE286" s="1282">
        <f>+Q286*KeyAssumptionsPriceControl_FO!AF$15</f>
        <v>0</v>
      </c>
      <c r="CF286" s="387">
        <f>+R286*KeyAssumptionsPriceControl_FO!AG$15</f>
        <v>0</v>
      </c>
      <c r="CG286" s="387">
        <f>+S286*KeyAssumptionsPriceControl_FO!AH$15</f>
        <v>0</v>
      </c>
      <c r="CH286" s="387">
        <f>+T286*KeyAssumptionsPriceControl_FO!AI$15</f>
        <v>0</v>
      </c>
      <c r="CI286" s="1283">
        <f>+U286*KeyAssumptionsPriceControl_FO!AJ$15</f>
        <v>0</v>
      </c>
      <c r="CJ286" s="386">
        <f>+V286*KeyAssumptionsPriceControl_FO!AK$15</f>
        <v>0</v>
      </c>
      <c r="CK286" s="387">
        <f>+W286*KeyAssumptionsPriceControl_FO!AL$15</f>
        <v>0</v>
      </c>
      <c r="CL286" s="1277">
        <f>+X286*KeyAssumptionsPriceControl_FO!AM$15</f>
        <v>0</v>
      </c>
      <c r="CM286" s="1277">
        <f>+Y286*KeyAssumptionsPriceControl_FO!AN$15</f>
        <v>0</v>
      </c>
      <c r="CN286" s="388">
        <f>+Z286*KeyAssumptionsPriceControl_FO!AO$15</f>
        <v>0</v>
      </c>
      <c r="CO286" s="1025"/>
      <c r="CP286" s="1282">
        <f t="shared" ca="1" si="477"/>
        <v>0</v>
      </c>
      <c r="CQ286" s="387">
        <f t="shared" ca="1" si="478"/>
        <v>0</v>
      </c>
      <c r="CR286" s="387">
        <f t="shared" ca="1" si="479"/>
        <v>0</v>
      </c>
      <c r="CS286" s="387">
        <f t="shared" ca="1" si="480"/>
        <v>0</v>
      </c>
      <c r="CT286" s="1283">
        <f t="shared" ca="1" si="481"/>
        <v>0</v>
      </c>
      <c r="CU286" s="386">
        <f t="shared" ca="1" si="482"/>
        <v>0</v>
      </c>
      <c r="CV286" s="387">
        <f t="shared" ca="1" si="483"/>
        <v>0</v>
      </c>
      <c r="CW286" s="1277">
        <f t="shared" ca="1" si="484"/>
        <v>0</v>
      </c>
      <c r="CX286" s="1277">
        <f t="shared" ca="1" si="485"/>
        <v>0</v>
      </c>
      <c r="CY286" s="388">
        <f t="shared" ca="1" si="486"/>
        <v>0</v>
      </c>
      <c r="CZ286" s="347"/>
      <c r="DA286" s="852"/>
      <c r="DB286" s="347"/>
      <c r="DC286" s="1012" t="s">
        <v>590</v>
      </c>
      <c r="DD286" s="841" t="s">
        <v>518</v>
      </c>
      <c r="DE286" s="386">
        <f>+IF($K286="ongoing",CE286,IF(RIGHT($K286,2)=RIGHT(DE$43,2),SUM($CD286:CE286),0)+IF(RIGHT(DE$43,2)&gt;RIGHT($K286,2),CE286,0))</f>
        <v>0</v>
      </c>
      <c r="DF286" s="387">
        <f>+IF($K286="ongoing",CF286,IF(RIGHT($K286,2)=RIGHT(DF$43,2),SUM($CD286:CF286),0)+IF(RIGHT(DF$43,2)&gt;RIGHT($K286,2),CF286,0))</f>
        <v>0</v>
      </c>
      <c r="DG286" s="388">
        <f>+IF($K286="ongoing",CG286,IF(RIGHT($K286,2)=RIGHT(DG$43,2),SUM($CD286:CG286),0)+IF(RIGHT(DG$43,2)&gt;RIGHT($K286,2),CG286,0))</f>
        <v>0</v>
      </c>
      <c r="DH286" s="386">
        <f>+IF($K286="ongoing",CH286,IF(RIGHT($K286,2)=RIGHT(DH$43,2),SUM($CD286:CH286),0)+IF(RIGHT(DH$43,2)&gt;RIGHT($K286,2),CH286,0))</f>
        <v>0</v>
      </c>
      <c r="DI286" s="387">
        <f>+IF($K286="ongoing",CI286,IF(RIGHT($K286,2)=RIGHT(DI$43,2),SUM($CD286:CI286),0)+IF(RIGHT(DI$43,2)&gt;RIGHT($K286,2),CI286,0))</f>
        <v>0</v>
      </c>
      <c r="DJ286" s="387">
        <f>+IF($K286="ongoing",CJ286,IF(RIGHT($K286,2)=RIGHT(DJ$43,2),SUM($CD286:CJ286),0)+IF(RIGHT(DJ$43,2)&gt;RIGHT($K286,2),CJ286,0))</f>
        <v>0</v>
      </c>
      <c r="DK286" s="387">
        <f>+IF($K286="ongoing",CK286,IF(RIGHT($K286,2)=RIGHT(DK$43,2),SUM($CD286:CK286),0)+IF(RIGHT(DK$43,2)&gt;RIGHT($K286,2),CK286,0))</f>
        <v>0</v>
      </c>
      <c r="DL286" s="388">
        <f>+IF($K286="ongoing",CN286,IF(RIGHT($K286,2)=RIGHT(DL$43,2),SUM($CD286:CN286),0)+IF(RIGHT(DL$43,2)&gt;RIGHT($K286,2),CN286,0))</f>
        <v>0</v>
      </c>
      <c r="DM286" s="841"/>
      <c r="DN286" s="386">
        <f t="shared" si="487"/>
        <v>0.5</v>
      </c>
      <c r="DO286" s="387">
        <f t="shared" si="488"/>
        <v>1</v>
      </c>
      <c r="DP286" s="388">
        <f t="shared" si="489"/>
        <v>1</v>
      </c>
      <c r="DQ286" s="386">
        <f t="shared" si="490"/>
        <v>1</v>
      </c>
      <c r="DR286" s="387">
        <f t="shared" si="491"/>
        <v>1</v>
      </c>
      <c r="DS286" s="387">
        <f t="shared" si="492"/>
        <v>1</v>
      </c>
      <c r="DT286" s="387">
        <f t="shared" si="493"/>
        <v>1</v>
      </c>
      <c r="DU286" s="388">
        <f t="shared" si="494"/>
        <v>1</v>
      </c>
      <c r="DW286" s="386">
        <f t="shared" si="495"/>
        <v>0</v>
      </c>
      <c r="DX286" s="387">
        <f t="shared" si="496"/>
        <v>0.5</v>
      </c>
      <c r="DY286" s="388">
        <f t="shared" si="497"/>
        <v>1</v>
      </c>
      <c r="DZ286" s="386">
        <f t="shared" si="498"/>
        <v>1</v>
      </c>
      <c r="EA286" s="387">
        <f t="shared" si="499"/>
        <v>1</v>
      </c>
      <c r="EB286" s="387">
        <f t="shared" si="500"/>
        <v>1</v>
      </c>
      <c r="EC286" s="387">
        <f t="shared" si="501"/>
        <v>1</v>
      </c>
      <c r="ED286" s="388">
        <f t="shared" si="502"/>
        <v>1</v>
      </c>
      <c r="EF286" s="834">
        <f>+IF(DN286=DM286,0,
IF(AND(EF$44&gt;1,DN286=$N286),1-SUM($EE286:EE286),
IF($N286&lt;=1,
IF($N286&gt;0,1/$N286,0),
IF(EF$44=1,0,VDB(1,0,$N286,INT(EF$44-1-1),MIN($N286,INT(EF$44-1-1)+1),$DC286,IF($DD286="No",1,0))/
IF(DM286&gt;=INT($N286),$N286-INT($N286),1)))*
IF(EF$44=1,0,
IF(INT(DN286)=INT(DM286),DN286-DM286,INT(DN286)-DM286))+
IF($N286&lt;=1,
IF($N286&gt;0,1/$N286,0),VDB(1,0,$N286,INT(EF$44-1),MIN($N286,INT(EF$44-1)+1),$DC286,IF($DD286="No",1,0))/
IF(DN286&gt;INT($N286),$N286-INT($N286),1))*
IF(EF$44=1,DN286,
IF(INT(DN286)=INT(DM286),0,DN286-INT(DN286)))))</f>
        <v>0</v>
      </c>
      <c r="EG286" s="835">
        <f>+IF(DO286=DN286,0,
IF(AND(EG$44&gt;1,DO286=$N286),1-SUM($EE286:EF286),
IF($N286&lt;=1,
IF($N286&gt;0,1/$N286,0),
IF(EG$44=1,0,VDB(1,0,$N286,INT(EG$44-1-1),MIN($N286,INT(EG$44-1-1)+1),$DC286,IF($DD286="No",1,0))/
IF(DN286&gt;=INT($N286),$N286-INT($N286),1)))*
IF(EG$44=1,0,
IF(INT(DO286)=INT(DN286),DO286-DN286,INT(DO286)-DN286))+
IF($N286&lt;=1,
IF($N286&gt;0,1/$N286,0),VDB(1,0,$N286,INT(EG$44-1),MIN($N286,INT(EG$44-1)+1),$DC286,IF($DD286="No",1,0))/
IF(DO286&gt;INT($N286),$N286-INT($N286),1))*
IF(EG$44=1,DO286,
IF(INT(DO286)=INT(DN286),0,DO286-INT(DO286)))))</f>
        <v>0</v>
      </c>
      <c r="EH286" s="836">
        <f>+IF(DP286=DO286,0,
IF(AND(EH$44&gt;1,DP286=$N286),1-SUM($EE286:EG286),
IF($N286&lt;=1,
IF($N286&gt;0,1/$N286,0),
IF(EH$44=1,0,VDB(1,0,$N286,INT(EH$44-1-1),MIN($N286,INT(EH$44-1-1)+1),$DC286,IF($DD286="No",1,0))/
IF(DO286&gt;=INT($N286),$N286-INT($N286),1)))*
IF(EH$44=1,0,
IF(INT(DP286)=INT(DO286),DP286-DO286,INT(DP286)-DO286))+
IF($N286&lt;=1,
IF($N286&gt;0,1/$N286,0),VDB(1,0,$N286,INT(EH$44-1),MIN($N286,INT(EH$44-1)+1),$DC286,IF($DD286="No",1,0))/
IF(DP286&gt;INT($N286),$N286-INT($N286),1))*
IF(EH$44=1,DP286,
IF(INT(DP286)=INT(DO286),0,DP286-INT(DP286)))))</f>
        <v>0</v>
      </c>
      <c r="EI286" s="834">
        <f>+IF(DQ286=DP286,0,
IF(AND(EI$44&gt;1,DQ286=$N286),1-SUM($EE286:EH286),
IF($N286&lt;=1,
IF($N286&gt;0,1/$N286,0),
IF(EI$44=1,0,VDB(1,0,$N286,INT(EI$44-1-1),MIN($N286,INT(EI$44-1-1)+1),$DC286,IF($DD286="No",1,0))/
IF(DP286&gt;=INT($N286),$N286-INT($N286),1)))*
IF(EI$44=1,0,
IF(INT(DQ286)=INT(DP286),DQ286-DP286,INT(DQ286)-DP286))+
IF($N286&lt;=1,
IF($N286&gt;0,1/$N286,0),VDB(1,0,$N286,INT(EI$44-1),MIN($N286,INT(EI$44-1)+1),$DC286,IF($DD286="No",1,0))/
IF(DQ286&gt;INT($N286),$N286-INT($N286),1))*
IF(EI$44=1,DQ286,
IF(INT(DQ286)=INT(DP286),0,DQ286-INT(DQ286)))))</f>
        <v>0</v>
      </c>
      <c r="EJ286" s="835">
        <f>+IF(DR286=DQ286,0,
IF(AND(EJ$44&gt;1,DR286=$N286),1-SUM($EE286:EI286),
IF($N286&lt;=1,
IF($N286&gt;0,1/$N286,0),
IF(EJ$44=1,0,VDB(1,0,$N286,INT(EJ$44-1-1),MIN($N286,INT(EJ$44-1-1)+1),$DC286,IF($DD286="No",1,0))/
IF(DQ286&gt;=INT($N286),$N286-INT($N286),1)))*
IF(EJ$44=1,0,
IF(INT(DR286)=INT(DQ286),DR286-DQ286,INT(DR286)-DQ286))+
IF($N286&lt;=1,
IF($N286&gt;0,1/$N286,0),VDB(1,0,$N286,INT(EJ$44-1),MIN($N286,INT(EJ$44-1)+1),$DC286,IF($DD286="No",1,0))/
IF(DR286&gt;INT($N286),$N286-INT($N286),1))*
IF(EJ$44=1,DR286,
IF(INT(DR286)=INT(DQ286),0,DR286-INT(DR286)))))</f>
        <v>0</v>
      </c>
      <c r="EK286" s="835">
        <f>+IF(DS286=DR286,0,
IF(AND(EK$44&gt;1,DS286=$N286),1-SUM($EE286:EJ286),
IF($N286&lt;=1,
IF($N286&gt;0,1/$N286,0),
IF(EK$44=1,0,VDB(1,0,$N286,INT(EK$44-1-1),MIN($N286,INT(EK$44-1-1)+1),$DC286,IF($DD286="No",1,0))/
IF(DR286&gt;=INT($N286),$N286-INT($N286),1)))*
IF(EK$44=1,0,
IF(INT(DS286)=INT(DR286),DS286-DR286,INT(DS286)-DR286))+
IF($N286&lt;=1,
IF($N286&gt;0,1/$N286,0),VDB(1,0,$N286,INT(EK$44-1),MIN($N286,INT(EK$44-1)+1),$DC286,IF($DD286="No",1,0))/
IF(DS286&gt;INT($N286),$N286-INT($N286),1))*
IF(EK$44=1,DS286,
IF(INT(DS286)=INT(DR286),0,DS286-INT(DS286)))))</f>
        <v>0</v>
      </c>
      <c r="EL286" s="835">
        <f>+IF(DT286=DS286,0,
IF(AND(EL$44&gt;1,DT286=$N286),1-SUM($EE286:EK286),
IF($N286&lt;=1,
IF($N286&gt;0,1/$N286,0),
IF(EL$44=1,0,VDB(1,0,$N286,INT(EL$44-1-1),MIN($N286,INT(EL$44-1-1)+1),$DC286,IF($DD286="No",1,0))/
IF(DS286&gt;=INT($N286),$N286-INT($N286),1)))*
IF(EL$44=1,0,
IF(INT(DT286)=INT(DS286),DT286-DS286,INT(DT286)-DS286))+
IF($N286&lt;=1,
IF($N286&gt;0,1/$N286,0),VDB(1,0,$N286,INT(EL$44-1),MIN($N286,INT(EL$44-1)+1),$DC286,IF($DD286="No",1,0))/
IF(DT286&gt;INT($N286),$N286-INT($N286),1))*
IF(EL$44=1,DT286,
IF(INT(DT286)=INT(DS286),0,DT286-INT(DT286)))))</f>
        <v>0</v>
      </c>
      <c r="EM286" s="836">
        <f>+IF(DU286=DT286,0,
IF(AND(EM$44&gt;1,DU286=$N286),1-SUM($EE286:EL286),
IF($N286&lt;=1,
IF($N286&gt;0,1/$N286,0),
IF(EM$44=1,0,VDB(1,0,$N286,INT(EM$44-1-1),MIN($N286,INT(EM$44-1-1)+1),$DC286,IF($DD286="No",1,0))/
IF(DT286&gt;=INT($N286),$N286-INT($N286),1)))*
IF(EM$44=1,0,
IF(INT(DU286)=INT(DT286),DU286-DT286,INT(DU286)-DT286))+
IF($N286&lt;=1,
IF($N286&gt;0,1/$N286,0),VDB(1,0,$N286,INT(EM$44-1),MIN($N286,INT(EM$44-1)+1),$DC286,IF($DD286="No",1,0))/
IF(DU286&gt;INT($N286),$N286-INT($N286),1))*
IF(EM$44=1,DU286,
IF(INT(DU286)=INT(DT286),0,DU286-INT(DU286)))))</f>
        <v>0</v>
      </c>
      <c r="EN286" s="833"/>
      <c r="EO286" s="834">
        <f>+IF(OR(DW286=DV286,EO$44=1),0,
IF(AND(EO$44&gt;1,DW286=$N286),1-SUM($EN286:EN286),
IF($N286&lt;=1,
IF($N286&gt;0,1/$N286,0),
IF(EO$44=2,0,VDB(1,0,$N286,INT(EO$44-2-1),MIN($N286,INT(EO$44-2-1)+1),$DC286,IF($DD286="No",1,0))/
IF(DV286&gt;=INT($N286),$N286-INT($N286),1)))*
IF(EO$44=2,0,
IF(INT(DW286)=INT(DV286),DW286-DV286,INT(DW286)-DV286))+
IF($N286&lt;=1,
IF($N286&gt;0,1/$N286,0),VDB(1,0,$N286,INT(EO$44-2),MIN($N286,INT(EO$44-2)+1),$DC286,IF($DD286="No",1,0))/
IF(DW286&gt;INT($N286),$N286-INT($N286),1))*
IF(EO$44=2,DW286,
IF(INT(DW286)=INT(DV286),0,DW286-INT(DW286)))))</f>
        <v>0</v>
      </c>
      <c r="EP286" s="835">
        <f>+IF(OR(DX286=DW286,EP$44=1),0,
IF(AND(EP$44&gt;1,DX286=$N286),1-SUM($EN286:EO286),
IF($N286&lt;=1,
IF($N286&gt;0,1/$N286,0),
IF(EP$44=2,0,VDB(1,0,$N286,INT(EP$44-2-1),MIN($N286,INT(EP$44-2-1)+1),$DC286,IF($DD286="No",1,0))/
IF(DW286&gt;=INT($N286),$N286-INT($N286),1)))*
IF(EP$44=2,0,
IF(INT(DX286)=INT(DW286),DX286-DW286,INT(DX286)-DW286))+
IF($N286&lt;=1,
IF($N286&gt;0,1/$N286,0),VDB(1,0,$N286,INT(EP$44-2),MIN($N286,INT(EP$44-2)+1),$DC286,IF($DD286="No",1,0))/
IF(DX286&gt;INT($N286),$N286-INT($N286),1))*
IF(EP$44=2,DX286,
IF(INT(DX286)=INT(DW286),0,DX286-INT(DX286)))))</f>
        <v>0</v>
      </c>
      <c r="EQ286" s="836">
        <f>+IF(OR(DY286=DX286,EQ$44=1),0,
IF(AND(EQ$44&gt;1,DY286=$N286),1-SUM($EN286:EP286),
IF($N286&lt;=1,
IF($N286&gt;0,1/$N286,0),
IF(EQ$44=2,0,VDB(1,0,$N286,INT(EQ$44-2-1),MIN($N286,INT(EQ$44-2-1)+1),$DC286,IF($DD286="No",1,0))/
IF(DX286&gt;=INT($N286),$N286-INT($N286),1)))*
IF(EQ$44=2,0,
IF(INT(DY286)=INT(DX286),DY286-DX286,INT(DY286)-DX286))+
IF($N286&lt;=1,
IF($N286&gt;0,1/$N286,0),VDB(1,0,$N286,INT(EQ$44-2),MIN($N286,INT(EQ$44-2)+1),$DC286,IF($DD286="No",1,0))/
IF(DY286&gt;INT($N286),$N286-INT($N286),1))*
IF(EQ$44=2,DY286,
IF(INT(DY286)=INT(DX286),0,DY286-INT(DY286)))))</f>
        <v>0</v>
      </c>
      <c r="ER286" s="834">
        <f>+IF(OR(DZ286=DY286,ER$44=1),0,
IF(AND(ER$44&gt;1,DZ286=$N286),1-SUM($EN286:EQ286),
IF($N286&lt;=1,
IF($N286&gt;0,1/$N286,0),
IF(ER$44=2,0,VDB(1,0,$N286,INT(ER$44-2-1),MIN($N286,INT(ER$44-2-1)+1),$DC286,IF($DD286="No",1,0))/
IF(DY286&gt;=INT($N286),$N286-INT($N286),1)))*
IF(ER$44=2,0,
IF(INT(DZ286)=INT(DY286),DZ286-DY286,INT(DZ286)-DY286))+
IF($N286&lt;=1,
IF($N286&gt;0,1/$N286,0),VDB(1,0,$N286,INT(ER$44-2),MIN($N286,INT(ER$44-2)+1),$DC286,IF($DD286="No",1,0))/
IF(DZ286&gt;INT($N286),$N286-INT($N286),1))*
IF(ER$44=2,DZ286,
IF(INT(DZ286)=INT(DY286),0,DZ286-INT(DZ286)))))</f>
        <v>0</v>
      </c>
      <c r="ES286" s="835">
        <f>+IF(OR(EA286=DZ286,ES$44=1),0,
IF(AND(ES$44&gt;1,EA286=$N286),1-SUM($EN286:ER286),
IF($N286&lt;=1,
IF($N286&gt;0,1/$N286,0),
IF(ES$44=2,0,VDB(1,0,$N286,INT(ES$44-2-1),MIN($N286,INT(ES$44-2-1)+1),$DC286,IF($DD286="No",1,0))/
IF(DZ286&gt;=INT($N286),$N286-INT($N286),1)))*
IF(ES$44=2,0,
IF(INT(EA286)=INT(DZ286),EA286-DZ286,INT(EA286)-DZ286))+
IF($N286&lt;=1,
IF($N286&gt;0,1/$N286,0),VDB(1,0,$N286,INT(ES$44-2),MIN($N286,INT(ES$44-2)+1),$DC286,IF($DD286="No",1,0))/
IF(EA286&gt;INT($N286),$N286-INT($N286),1))*
IF(ES$44=2,EA286,
IF(INT(EA286)=INT(DZ286),0,EA286-INT(EA286)))))</f>
        <v>0</v>
      </c>
      <c r="ET286" s="835">
        <f>+IF(OR(EB286=EA286,ET$44=1),0,
IF(AND(ET$44&gt;1,EB286=$N286),1-SUM($EN286:ES286),
IF($N286&lt;=1,
IF($N286&gt;0,1/$N286,0),
IF(ET$44=2,0,VDB(1,0,$N286,INT(ET$44-2-1),MIN($N286,INT(ET$44-2-1)+1),$DC286,IF($DD286="No",1,0))/
IF(EA286&gt;=INT($N286),$N286-INT($N286),1)))*
IF(ET$44=2,0,
IF(INT(EB286)=INT(EA286),EB286-EA286,INT(EB286)-EA286))+
IF($N286&lt;=1,
IF($N286&gt;0,1/$N286,0),VDB(1,0,$N286,INT(ET$44-2),MIN($N286,INT(ET$44-2)+1),$DC286,IF($DD286="No",1,0))/
IF(EB286&gt;INT($N286),$N286-INT($N286),1))*
IF(ET$44=2,EB286,
IF(INT(EB286)=INT(EA286),0,EB286-INT(EB286)))))</f>
        <v>0</v>
      </c>
      <c r="EU286" s="835">
        <f>+IF(OR(EC286=EB286,EU$44=1),0,
IF(AND(EU$44&gt;1,EC286=$N286),1-SUM($EN286:ET286),
IF($N286&lt;=1,
IF($N286&gt;0,1/$N286,0),
IF(EU$44=2,0,VDB(1,0,$N286,INT(EU$44-2-1),MIN($N286,INT(EU$44-2-1)+1),$DC286,IF($DD286="No",1,0))/
IF(EB286&gt;=INT($N286),$N286-INT($N286),1)))*
IF(EU$44=2,0,
IF(INT(EC286)=INT(EB286),EC286-EB286,INT(EC286)-EB286))+
IF($N286&lt;=1,
IF($N286&gt;0,1/$N286,0),VDB(1,0,$N286,INT(EU$44-2),MIN($N286,INT(EU$44-2)+1),$DC286,IF($DD286="No",1,0))/
IF(EC286&gt;INT($N286),$N286-INT($N286),1))*
IF(EU$44=2,EC286,
IF(INT(EC286)=INT(EB286),0,EC286-INT(EC286)))))</f>
        <v>0</v>
      </c>
      <c r="EV286" s="836">
        <f>+IF(OR(ED286=EC286,EV$44=1),0,
IF(AND(EV$44&gt;1,ED286=$N286),1-SUM($EN286:EU286),
IF($N286&lt;=1,
IF($N286&gt;0,1/$N286,0),
IF(EV$44=2,0,VDB(1,0,$N286,INT(EV$44-2-1),MIN($N286,INT(EV$44-2-1)+1),$DC286,IF($DD286="No",1,0))/
IF(EC286&gt;=INT($N286),$N286-INT($N286),1)))*
IF(EV$44=2,0,
IF(INT(ED286)=INT(EC286),ED286-EC286,INT(ED286)-EC286))+
IF($N286&lt;=1,
IF($N286&gt;0,1/$N286,0),VDB(1,0,$N286,INT(EV$44-2),MIN($N286,INT(EV$44-2)+1),$DC286,IF($DD286="No",1,0))/
IF(ED286&gt;INT($N286),$N286-INT($N286),1))*
IF(EV$44=2,ED286,
IF(INT(ED286)=INT(EC286),0,ED286-INT(ED286)))))</f>
        <v>0</v>
      </c>
      <c r="EW286" s="833"/>
      <c r="EX286" s="834">
        <f t="shared" ca="1" si="513"/>
        <v>0</v>
      </c>
      <c r="EY286" s="835">
        <f t="shared" ca="1" si="513"/>
        <v>0</v>
      </c>
      <c r="EZ286" s="836">
        <f t="shared" ca="1" si="513"/>
        <v>0</v>
      </c>
      <c r="FA286" s="834">
        <f t="shared" ca="1" si="513"/>
        <v>0</v>
      </c>
      <c r="FB286" s="835">
        <f t="shared" ca="1" si="513"/>
        <v>0</v>
      </c>
      <c r="FC286" s="835">
        <f t="shared" ca="1" si="513"/>
        <v>0</v>
      </c>
      <c r="FD286" s="835">
        <f t="shared" ca="1" si="513"/>
        <v>0</v>
      </c>
      <c r="FE286" s="836">
        <f t="shared" ca="1" si="513"/>
        <v>0</v>
      </c>
      <c r="FG286" s="386">
        <f t="shared" ca="1" si="504"/>
        <v>0</v>
      </c>
      <c r="FH286" s="387">
        <f t="shared" ca="1" si="505"/>
        <v>0</v>
      </c>
      <c r="FI286" s="388">
        <f t="shared" ca="1" si="506"/>
        <v>0</v>
      </c>
      <c r="FJ286" s="386">
        <f t="shared" ca="1" si="507"/>
        <v>0</v>
      </c>
      <c r="FK286" s="387">
        <f t="shared" ca="1" si="508"/>
        <v>0</v>
      </c>
      <c r="FL286" s="387">
        <f t="shared" ca="1" si="509"/>
        <v>0</v>
      </c>
      <c r="FM286" s="387">
        <f t="shared" ca="1" si="510"/>
        <v>0</v>
      </c>
      <c r="FN286" s="388">
        <f t="shared" ca="1" si="511"/>
        <v>0</v>
      </c>
      <c r="FR286" s="116"/>
    </row>
    <row r="287" spans="2:174">
      <c r="B287" s="1410">
        <f t="shared" si="512"/>
        <v>241</v>
      </c>
      <c r="C287" s="400"/>
      <c r="D287" s="410"/>
      <c r="E287" s="402"/>
      <c r="F287" s="402"/>
      <c r="G287" s="400"/>
      <c r="H287" s="2088"/>
      <c r="I287" s="2089"/>
      <c r="J287" s="411"/>
      <c r="K287" s="403"/>
      <c r="L287" s="403"/>
      <c r="M287" s="403"/>
      <c r="N287" s="403"/>
      <c r="O287" s="347"/>
      <c r="P287" s="347"/>
      <c r="Q287" s="1021"/>
      <c r="R287" s="1022"/>
      <c r="S287" s="1022"/>
      <c r="T287" s="1022"/>
      <c r="U287" s="1023"/>
      <c r="V287" s="1021"/>
      <c r="W287" s="1022"/>
      <c r="X287" s="1022"/>
      <c r="Y287" s="1022"/>
      <c r="Z287" s="1023"/>
      <c r="AA287" s="1024"/>
      <c r="AB287" s="1021"/>
      <c r="AC287" s="1022"/>
      <c r="AD287" s="1022"/>
      <c r="AE287" s="1022"/>
      <c r="AF287" s="1023"/>
      <c r="AG287" s="1021"/>
      <c r="AH287" s="1022"/>
      <c r="AI287" s="1022"/>
      <c r="AJ287" s="1022"/>
      <c r="AK287" s="1023"/>
      <c r="AL287" s="1024"/>
      <c r="AM287" s="1021"/>
      <c r="AN287" s="1022"/>
      <c r="AO287" s="1022"/>
      <c r="AP287" s="1022"/>
      <c r="AQ287" s="1023"/>
      <c r="AR287" s="1021"/>
      <c r="AS287" s="1022"/>
      <c r="AT287" s="1022"/>
      <c r="AU287" s="1022"/>
      <c r="AV287" s="1023"/>
      <c r="AW287" s="1025"/>
      <c r="AX287" s="1282">
        <f t="shared" si="457"/>
        <v>0</v>
      </c>
      <c r="AY287" s="387">
        <f t="shared" si="458"/>
        <v>0</v>
      </c>
      <c r="AZ287" s="387">
        <f t="shared" si="459"/>
        <v>0</v>
      </c>
      <c r="BA287" s="387">
        <f t="shared" si="460"/>
        <v>0</v>
      </c>
      <c r="BB287" s="1283">
        <f t="shared" si="461"/>
        <v>0</v>
      </c>
      <c r="BC287" s="386">
        <f t="shared" si="462"/>
        <v>0</v>
      </c>
      <c r="BD287" s="387">
        <f t="shared" si="463"/>
        <v>0</v>
      </c>
      <c r="BE287" s="1277">
        <f t="shared" si="464"/>
        <v>0</v>
      </c>
      <c r="BF287" s="1277">
        <f t="shared" si="465"/>
        <v>0</v>
      </c>
      <c r="BG287" s="388">
        <f t="shared" si="466"/>
        <v>0</v>
      </c>
      <c r="BH287" s="1025"/>
      <c r="BI287" s="1282">
        <f t="shared" ca="1" si="467"/>
        <v>0</v>
      </c>
      <c r="BJ287" s="387">
        <f t="shared" ca="1" si="468"/>
        <v>0</v>
      </c>
      <c r="BK287" s="387">
        <f t="shared" ca="1" si="469"/>
        <v>0</v>
      </c>
      <c r="BL287" s="387">
        <f t="shared" ca="1" si="470"/>
        <v>0</v>
      </c>
      <c r="BM287" s="1283">
        <f t="shared" ca="1" si="471"/>
        <v>0</v>
      </c>
      <c r="BN287" s="386">
        <f t="shared" ca="1" si="472"/>
        <v>0</v>
      </c>
      <c r="BO287" s="387">
        <f t="shared" ca="1" si="473"/>
        <v>0</v>
      </c>
      <c r="BP287" s="1277">
        <f t="shared" ca="1" si="474"/>
        <v>0</v>
      </c>
      <c r="BQ287" s="1277">
        <f t="shared" ca="1" si="475"/>
        <v>0</v>
      </c>
      <c r="BR287" s="388">
        <f t="shared" ca="1" si="476"/>
        <v>0</v>
      </c>
      <c r="BS287" s="1025"/>
      <c r="BT287" s="1282">
        <f>+IF($K287="Ongoing",AX287,IF(RIGHT($K287,2)=RIGHT(BT$43,2),SUM($AX287:AX287),0)+IF(RIGHT(BT$43,2)&gt;RIGHT($K287,2),AX287,0))</f>
        <v>0</v>
      </c>
      <c r="BU287" s="387">
        <f>+IF($K287="Ongoing",AY287,IF(RIGHT($K287,2)=RIGHT(BU$43,2),SUM($AX287:AY287),0)+IF(RIGHT(BU$43,2)&gt;RIGHT($K287,2),AY287,0))</f>
        <v>0</v>
      </c>
      <c r="BV287" s="387">
        <f>+IF($K287="Ongoing",AZ287,IF(RIGHT($K287,2)=RIGHT(BV$43,2),SUM($AX287:AZ287),0)+IF(RIGHT(BV$43,2)&gt;RIGHT($K287,2),AZ287,0))</f>
        <v>0</v>
      </c>
      <c r="BW287" s="387">
        <f>+IF($K287="Ongoing",BA287,IF(RIGHT($K287,2)=RIGHT(BW$43,2),SUM($AX287:BA287),0)+IF(RIGHT(BW$43,2)&gt;RIGHT($K287,2),BA287,0))</f>
        <v>0</v>
      </c>
      <c r="BX287" s="1283">
        <f>+IF($K287="Ongoing",BB287,IF(RIGHT($K287,2)=RIGHT(BX$43,2),SUM($AX287:BB287),0)+IF(RIGHT(BX$43,2)&gt;RIGHT($K287,2),BB287,0))</f>
        <v>0</v>
      </c>
      <c r="BY287" s="386">
        <f>+IF($K287="Ongoing",BC287,IF(RIGHT($K287,2)=RIGHT(BY$43,2),SUM($AX287:BC287),0)+IF(RIGHT(BY$43,2)&gt;RIGHT($K287,2),BC287,0))</f>
        <v>0</v>
      </c>
      <c r="BZ287" s="387">
        <f>+IF($K287="Ongoing",BD287,IF(RIGHT($K287,2)=RIGHT(BZ$43,2),SUM($AX287:BD287),0)+IF(RIGHT(BZ$43,2)&gt;RIGHT($K287,2),BD287,0))</f>
        <v>0</v>
      </c>
      <c r="CA287" s="1277">
        <f>+IF($K287="Ongoing",BE287,IF(RIGHT($K287,2)=RIGHT(CA$43,2),SUM($AX287:BE287),0)+IF(RIGHT(CA$43,2)&gt;RIGHT($K287,2),BE287,0))</f>
        <v>0</v>
      </c>
      <c r="CB287" s="1277">
        <f>+IF($K287="Ongoing",BF287,IF(RIGHT($K287,2)=RIGHT(CB$43,2),SUM($AX287:BF287),0)+IF(RIGHT(CB$43,2)&gt;RIGHT($K287,2),BF287,0))</f>
        <v>0</v>
      </c>
      <c r="CC287" s="388">
        <f>+IF($K287="Ongoing",BG287,IF(RIGHT($K287,2)=RIGHT(CC$43,2),SUM($AX287:BG287),0)+IF(RIGHT(CC$43,2)&gt;RIGHT($K287,2),BG287,0))</f>
        <v>0</v>
      </c>
      <c r="CD287" s="1025"/>
      <c r="CE287" s="1282">
        <f>+Q287*KeyAssumptionsPriceControl_FO!AF$15</f>
        <v>0</v>
      </c>
      <c r="CF287" s="387">
        <f>+R287*KeyAssumptionsPriceControl_FO!AG$15</f>
        <v>0</v>
      </c>
      <c r="CG287" s="387">
        <f>+S287*KeyAssumptionsPriceControl_FO!AH$15</f>
        <v>0</v>
      </c>
      <c r="CH287" s="387">
        <f>+T287*KeyAssumptionsPriceControl_FO!AI$15</f>
        <v>0</v>
      </c>
      <c r="CI287" s="1283">
        <f>+U287*KeyAssumptionsPriceControl_FO!AJ$15</f>
        <v>0</v>
      </c>
      <c r="CJ287" s="386">
        <f>+V287*KeyAssumptionsPriceControl_FO!AK$15</f>
        <v>0</v>
      </c>
      <c r="CK287" s="387">
        <f>+W287*KeyAssumptionsPriceControl_FO!AL$15</f>
        <v>0</v>
      </c>
      <c r="CL287" s="1277">
        <f>+X287*KeyAssumptionsPriceControl_FO!AM$15</f>
        <v>0</v>
      </c>
      <c r="CM287" s="1277">
        <f>+Y287*KeyAssumptionsPriceControl_FO!AN$15</f>
        <v>0</v>
      </c>
      <c r="CN287" s="388">
        <f>+Z287*KeyAssumptionsPriceControl_FO!AO$15</f>
        <v>0</v>
      </c>
      <c r="CO287" s="1025"/>
      <c r="CP287" s="1282">
        <f t="shared" ca="1" si="477"/>
        <v>0</v>
      </c>
      <c r="CQ287" s="387">
        <f t="shared" ca="1" si="478"/>
        <v>0</v>
      </c>
      <c r="CR287" s="387">
        <f t="shared" ca="1" si="479"/>
        <v>0</v>
      </c>
      <c r="CS287" s="387">
        <f t="shared" ca="1" si="480"/>
        <v>0</v>
      </c>
      <c r="CT287" s="1283">
        <f t="shared" ca="1" si="481"/>
        <v>0</v>
      </c>
      <c r="CU287" s="386">
        <f t="shared" ca="1" si="482"/>
        <v>0</v>
      </c>
      <c r="CV287" s="387">
        <f t="shared" ca="1" si="483"/>
        <v>0</v>
      </c>
      <c r="CW287" s="1277">
        <f t="shared" ca="1" si="484"/>
        <v>0</v>
      </c>
      <c r="CX287" s="1277">
        <f t="shared" ca="1" si="485"/>
        <v>0</v>
      </c>
      <c r="CY287" s="388">
        <f t="shared" ca="1" si="486"/>
        <v>0</v>
      </c>
      <c r="CZ287" s="347"/>
      <c r="DA287" s="852"/>
      <c r="DB287" s="347"/>
      <c r="DC287" s="1012" t="s">
        <v>591</v>
      </c>
      <c r="DD287" s="841" t="s">
        <v>518</v>
      </c>
      <c r="DE287" s="386">
        <f>+IF($K287="ongoing",CE287,IF(RIGHT($K287,2)=RIGHT(DE$43,2),SUM($CD287:CE287),0)+IF(RIGHT(DE$43,2)&gt;RIGHT($K287,2),CE287,0))</f>
        <v>0</v>
      </c>
      <c r="DF287" s="387">
        <f>+IF($K287="ongoing",CF287,IF(RIGHT($K287,2)=RIGHT(DF$43,2),SUM($CD287:CF287),0)+IF(RIGHT(DF$43,2)&gt;RIGHT($K287,2),CF287,0))</f>
        <v>0</v>
      </c>
      <c r="DG287" s="388">
        <f>+IF($K287="ongoing",CG287,IF(RIGHT($K287,2)=RIGHT(DG$43,2),SUM($CD287:CG287),0)+IF(RIGHT(DG$43,2)&gt;RIGHT($K287,2),CG287,0))</f>
        <v>0</v>
      </c>
      <c r="DH287" s="386">
        <f>+IF($K287="ongoing",CH287,IF(RIGHT($K287,2)=RIGHT(DH$43,2),SUM($CD287:CH287),0)+IF(RIGHT(DH$43,2)&gt;RIGHT($K287,2),CH287,0))</f>
        <v>0</v>
      </c>
      <c r="DI287" s="387">
        <f>+IF($K287="ongoing",CI287,IF(RIGHT($K287,2)=RIGHT(DI$43,2),SUM($CD287:CI287),0)+IF(RIGHT(DI$43,2)&gt;RIGHT($K287,2),CI287,0))</f>
        <v>0</v>
      </c>
      <c r="DJ287" s="387">
        <f>+IF($K287="ongoing",CJ287,IF(RIGHT($K287,2)=RIGHT(DJ$43,2),SUM($CD287:CJ287),0)+IF(RIGHT(DJ$43,2)&gt;RIGHT($K287,2),CJ287,0))</f>
        <v>0</v>
      </c>
      <c r="DK287" s="387">
        <f>+IF($K287="ongoing",CK287,IF(RIGHT($K287,2)=RIGHT(DK$43,2),SUM($CD287:CK287),0)+IF(RIGHT(DK$43,2)&gt;RIGHT($K287,2),CK287,0))</f>
        <v>0</v>
      </c>
      <c r="DL287" s="388">
        <f>+IF($K287="ongoing",CN287,IF(RIGHT($K287,2)=RIGHT(DL$43,2),SUM($CD287:CN287),0)+IF(RIGHT(DL$43,2)&gt;RIGHT($K287,2),CN287,0))</f>
        <v>0</v>
      </c>
      <c r="DM287" s="841"/>
      <c r="DN287" s="386">
        <f t="shared" si="487"/>
        <v>0.5</v>
      </c>
      <c r="DO287" s="387">
        <f t="shared" si="488"/>
        <v>1</v>
      </c>
      <c r="DP287" s="388">
        <f t="shared" si="489"/>
        <v>1</v>
      </c>
      <c r="DQ287" s="386">
        <f t="shared" si="490"/>
        <v>1</v>
      </c>
      <c r="DR287" s="387">
        <f t="shared" si="491"/>
        <v>1</v>
      </c>
      <c r="DS287" s="387">
        <f t="shared" si="492"/>
        <v>1</v>
      </c>
      <c r="DT287" s="387">
        <f t="shared" si="493"/>
        <v>1</v>
      </c>
      <c r="DU287" s="388">
        <f t="shared" si="494"/>
        <v>1</v>
      </c>
      <c r="DW287" s="386">
        <f t="shared" si="495"/>
        <v>0</v>
      </c>
      <c r="DX287" s="387">
        <f t="shared" si="496"/>
        <v>0.5</v>
      </c>
      <c r="DY287" s="388">
        <f t="shared" si="497"/>
        <v>1</v>
      </c>
      <c r="DZ287" s="386">
        <f t="shared" si="498"/>
        <v>1</v>
      </c>
      <c r="EA287" s="387">
        <f t="shared" si="499"/>
        <v>1</v>
      </c>
      <c r="EB287" s="387">
        <f t="shared" si="500"/>
        <v>1</v>
      </c>
      <c r="EC287" s="387">
        <f t="shared" si="501"/>
        <v>1</v>
      </c>
      <c r="ED287" s="388">
        <f t="shared" si="502"/>
        <v>1</v>
      </c>
      <c r="EF287" s="834">
        <f>+IF(DN287=DM287,0,
IF(AND(EF$44&gt;1,DN287=$N287),1-SUM($EE287:EE287),
IF($N287&lt;=1,
IF($N287&gt;0,1/$N287,0),
IF(EF$44=1,0,VDB(1,0,$N287,INT(EF$44-1-1),MIN($N287,INT(EF$44-1-1)+1),$DC287,IF($DD287="No",1,0))/
IF(DM287&gt;=INT($N287),$N287-INT($N287),1)))*
IF(EF$44=1,0,
IF(INT(DN287)=INT(DM287),DN287-DM287,INT(DN287)-DM287))+
IF($N287&lt;=1,
IF($N287&gt;0,1/$N287,0),VDB(1,0,$N287,INT(EF$44-1),MIN($N287,INT(EF$44-1)+1),$DC287,IF($DD287="No",1,0))/
IF(DN287&gt;INT($N287),$N287-INT($N287),1))*
IF(EF$44=1,DN287,
IF(INT(DN287)=INT(DM287),0,DN287-INT(DN287)))))</f>
        <v>0</v>
      </c>
      <c r="EG287" s="835">
        <f>+IF(DO287=DN287,0,
IF(AND(EG$44&gt;1,DO287=$N287),1-SUM($EE287:EF287),
IF($N287&lt;=1,
IF($N287&gt;0,1/$N287,0),
IF(EG$44=1,0,VDB(1,0,$N287,INT(EG$44-1-1),MIN($N287,INT(EG$44-1-1)+1),$DC287,IF($DD287="No",1,0))/
IF(DN287&gt;=INT($N287),$N287-INT($N287),1)))*
IF(EG$44=1,0,
IF(INT(DO287)=INT(DN287),DO287-DN287,INT(DO287)-DN287))+
IF($N287&lt;=1,
IF($N287&gt;0,1/$N287,0),VDB(1,0,$N287,INT(EG$44-1),MIN($N287,INT(EG$44-1)+1),$DC287,IF($DD287="No",1,0))/
IF(DO287&gt;INT($N287),$N287-INT($N287),1))*
IF(EG$44=1,DO287,
IF(INT(DO287)=INT(DN287),0,DO287-INT(DO287)))))</f>
        <v>0</v>
      </c>
      <c r="EH287" s="836">
        <f>+IF(DP287=DO287,0,
IF(AND(EH$44&gt;1,DP287=$N287),1-SUM($EE287:EG287),
IF($N287&lt;=1,
IF($N287&gt;0,1/$N287,0),
IF(EH$44=1,0,VDB(1,0,$N287,INT(EH$44-1-1),MIN($N287,INT(EH$44-1-1)+1),$DC287,IF($DD287="No",1,0))/
IF(DO287&gt;=INT($N287),$N287-INT($N287),1)))*
IF(EH$44=1,0,
IF(INT(DP287)=INT(DO287),DP287-DO287,INT(DP287)-DO287))+
IF($N287&lt;=1,
IF($N287&gt;0,1/$N287,0),VDB(1,0,$N287,INT(EH$44-1),MIN($N287,INT(EH$44-1)+1),$DC287,IF($DD287="No",1,0))/
IF(DP287&gt;INT($N287),$N287-INT($N287),1))*
IF(EH$44=1,DP287,
IF(INT(DP287)=INT(DO287),0,DP287-INT(DP287)))))</f>
        <v>0</v>
      </c>
      <c r="EI287" s="834">
        <f>+IF(DQ287=DP287,0,
IF(AND(EI$44&gt;1,DQ287=$N287),1-SUM($EE287:EH287),
IF($N287&lt;=1,
IF($N287&gt;0,1/$N287,0),
IF(EI$44=1,0,VDB(1,0,$N287,INT(EI$44-1-1),MIN($N287,INT(EI$44-1-1)+1),$DC287,IF($DD287="No",1,0))/
IF(DP287&gt;=INT($N287),$N287-INT($N287),1)))*
IF(EI$44=1,0,
IF(INT(DQ287)=INT(DP287),DQ287-DP287,INT(DQ287)-DP287))+
IF($N287&lt;=1,
IF($N287&gt;0,1/$N287,0),VDB(1,0,$N287,INT(EI$44-1),MIN($N287,INT(EI$44-1)+1),$DC287,IF($DD287="No",1,0))/
IF(DQ287&gt;INT($N287),$N287-INT($N287),1))*
IF(EI$44=1,DQ287,
IF(INT(DQ287)=INT(DP287),0,DQ287-INT(DQ287)))))</f>
        <v>0</v>
      </c>
      <c r="EJ287" s="835">
        <f>+IF(DR287=DQ287,0,
IF(AND(EJ$44&gt;1,DR287=$N287),1-SUM($EE287:EI287),
IF($N287&lt;=1,
IF($N287&gt;0,1/$N287,0),
IF(EJ$44=1,0,VDB(1,0,$N287,INT(EJ$44-1-1),MIN($N287,INT(EJ$44-1-1)+1),$DC287,IF($DD287="No",1,0))/
IF(DQ287&gt;=INT($N287),$N287-INT($N287),1)))*
IF(EJ$44=1,0,
IF(INT(DR287)=INT(DQ287),DR287-DQ287,INT(DR287)-DQ287))+
IF($N287&lt;=1,
IF($N287&gt;0,1/$N287,0),VDB(1,0,$N287,INT(EJ$44-1),MIN($N287,INT(EJ$44-1)+1),$DC287,IF($DD287="No",1,0))/
IF(DR287&gt;INT($N287),$N287-INT($N287),1))*
IF(EJ$44=1,DR287,
IF(INT(DR287)=INT(DQ287),0,DR287-INT(DR287)))))</f>
        <v>0</v>
      </c>
      <c r="EK287" s="835">
        <f>+IF(DS287=DR287,0,
IF(AND(EK$44&gt;1,DS287=$N287),1-SUM($EE287:EJ287),
IF($N287&lt;=1,
IF($N287&gt;0,1/$N287,0),
IF(EK$44=1,0,VDB(1,0,$N287,INT(EK$44-1-1),MIN($N287,INT(EK$44-1-1)+1),$DC287,IF($DD287="No",1,0))/
IF(DR287&gt;=INT($N287),$N287-INT($N287),1)))*
IF(EK$44=1,0,
IF(INT(DS287)=INT(DR287),DS287-DR287,INT(DS287)-DR287))+
IF($N287&lt;=1,
IF($N287&gt;0,1/$N287,0),VDB(1,0,$N287,INT(EK$44-1),MIN($N287,INT(EK$44-1)+1),$DC287,IF($DD287="No",1,0))/
IF(DS287&gt;INT($N287),$N287-INT($N287),1))*
IF(EK$44=1,DS287,
IF(INT(DS287)=INT(DR287),0,DS287-INT(DS287)))))</f>
        <v>0</v>
      </c>
      <c r="EL287" s="835">
        <f>+IF(DT287=DS287,0,
IF(AND(EL$44&gt;1,DT287=$N287),1-SUM($EE287:EK287),
IF($N287&lt;=1,
IF($N287&gt;0,1/$N287,0),
IF(EL$44=1,0,VDB(1,0,$N287,INT(EL$44-1-1),MIN($N287,INT(EL$44-1-1)+1),$DC287,IF($DD287="No",1,0))/
IF(DS287&gt;=INT($N287),$N287-INT($N287),1)))*
IF(EL$44=1,0,
IF(INT(DT287)=INT(DS287),DT287-DS287,INT(DT287)-DS287))+
IF($N287&lt;=1,
IF($N287&gt;0,1/$N287,0),VDB(1,0,$N287,INT(EL$44-1),MIN($N287,INT(EL$44-1)+1),$DC287,IF($DD287="No",1,0))/
IF(DT287&gt;INT($N287),$N287-INT($N287),1))*
IF(EL$44=1,DT287,
IF(INT(DT287)=INT(DS287),0,DT287-INT(DT287)))))</f>
        <v>0</v>
      </c>
      <c r="EM287" s="836">
        <f>+IF(DU287=DT287,0,
IF(AND(EM$44&gt;1,DU287=$N287),1-SUM($EE287:EL287),
IF($N287&lt;=1,
IF($N287&gt;0,1/$N287,0),
IF(EM$44=1,0,VDB(1,0,$N287,INT(EM$44-1-1),MIN($N287,INT(EM$44-1-1)+1),$DC287,IF($DD287="No",1,0))/
IF(DT287&gt;=INT($N287),$N287-INT($N287),1)))*
IF(EM$44=1,0,
IF(INT(DU287)=INT(DT287),DU287-DT287,INT(DU287)-DT287))+
IF($N287&lt;=1,
IF($N287&gt;0,1/$N287,0),VDB(1,0,$N287,INT(EM$44-1),MIN($N287,INT(EM$44-1)+1),$DC287,IF($DD287="No",1,0))/
IF(DU287&gt;INT($N287),$N287-INT($N287),1))*
IF(EM$44=1,DU287,
IF(INT(DU287)=INT(DT287),0,DU287-INT(DU287)))))</f>
        <v>0</v>
      </c>
      <c r="EN287" s="833"/>
      <c r="EO287" s="834">
        <f>+IF(OR(DW287=DV287,EO$44=1),0,
IF(AND(EO$44&gt;1,DW287=$N287),1-SUM($EN287:EN287),
IF($N287&lt;=1,
IF($N287&gt;0,1/$N287,0),
IF(EO$44=2,0,VDB(1,0,$N287,INT(EO$44-2-1),MIN($N287,INT(EO$44-2-1)+1),$DC287,IF($DD287="No",1,0))/
IF(DV287&gt;=INT($N287),$N287-INT($N287),1)))*
IF(EO$44=2,0,
IF(INT(DW287)=INT(DV287),DW287-DV287,INT(DW287)-DV287))+
IF($N287&lt;=1,
IF($N287&gt;0,1/$N287,0),VDB(1,0,$N287,INT(EO$44-2),MIN($N287,INT(EO$44-2)+1),$DC287,IF($DD287="No",1,0))/
IF(DW287&gt;INT($N287),$N287-INT($N287),1))*
IF(EO$44=2,DW287,
IF(INT(DW287)=INT(DV287),0,DW287-INT(DW287)))))</f>
        <v>0</v>
      </c>
      <c r="EP287" s="835">
        <f>+IF(OR(DX287=DW287,EP$44=1),0,
IF(AND(EP$44&gt;1,DX287=$N287),1-SUM($EN287:EO287),
IF($N287&lt;=1,
IF($N287&gt;0,1/$N287,0),
IF(EP$44=2,0,VDB(1,0,$N287,INT(EP$44-2-1),MIN($N287,INT(EP$44-2-1)+1),$DC287,IF($DD287="No",1,0))/
IF(DW287&gt;=INT($N287),$N287-INT($N287),1)))*
IF(EP$44=2,0,
IF(INT(DX287)=INT(DW287),DX287-DW287,INT(DX287)-DW287))+
IF($N287&lt;=1,
IF($N287&gt;0,1/$N287,0),VDB(1,0,$N287,INT(EP$44-2),MIN($N287,INT(EP$44-2)+1),$DC287,IF($DD287="No",1,0))/
IF(DX287&gt;INT($N287),$N287-INT($N287),1))*
IF(EP$44=2,DX287,
IF(INT(DX287)=INT(DW287),0,DX287-INT(DX287)))))</f>
        <v>0</v>
      </c>
      <c r="EQ287" s="836">
        <f>+IF(OR(DY287=DX287,EQ$44=1),0,
IF(AND(EQ$44&gt;1,DY287=$N287),1-SUM($EN287:EP287),
IF($N287&lt;=1,
IF($N287&gt;0,1/$N287,0),
IF(EQ$44=2,0,VDB(1,0,$N287,INT(EQ$44-2-1),MIN($N287,INT(EQ$44-2-1)+1),$DC287,IF($DD287="No",1,0))/
IF(DX287&gt;=INT($N287),$N287-INT($N287),1)))*
IF(EQ$44=2,0,
IF(INT(DY287)=INT(DX287),DY287-DX287,INT(DY287)-DX287))+
IF($N287&lt;=1,
IF($N287&gt;0,1/$N287,0),VDB(1,0,$N287,INT(EQ$44-2),MIN($N287,INT(EQ$44-2)+1),$DC287,IF($DD287="No",1,0))/
IF(DY287&gt;INT($N287),$N287-INT($N287),1))*
IF(EQ$44=2,DY287,
IF(INT(DY287)=INT(DX287),0,DY287-INT(DY287)))))</f>
        <v>0</v>
      </c>
      <c r="ER287" s="834">
        <f>+IF(OR(DZ287=DY287,ER$44=1),0,
IF(AND(ER$44&gt;1,DZ287=$N287),1-SUM($EN287:EQ287),
IF($N287&lt;=1,
IF($N287&gt;0,1/$N287,0),
IF(ER$44=2,0,VDB(1,0,$N287,INT(ER$44-2-1),MIN($N287,INT(ER$44-2-1)+1),$DC287,IF($DD287="No",1,0))/
IF(DY287&gt;=INT($N287),$N287-INT($N287),1)))*
IF(ER$44=2,0,
IF(INT(DZ287)=INT(DY287),DZ287-DY287,INT(DZ287)-DY287))+
IF($N287&lt;=1,
IF($N287&gt;0,1/$N287,0),VDB(1,0,$N287,INT(ER$44-2),MIN($N287,INT(ER$44-2)+1),$DC287,IF($DD287="No",1,0))/
IF(DZ287&gt;INT($N287),$N287-INT($N287),1))*
IF(ER$44=2,DZ287,
IF(INT(DZ287)=INT(DY287),0,DZ287-INT(DZ287)))))</f>
        <v>0</v>
      </c>
      <c r="ES287" s="835">
        <f>+IF(OR(EA287=DZ287,ES$44=1),0,
IF(AND(ES$44&gt;1,EA287=$N287),1-SUM($EN287:ER287),
IF($N287&lt;=1,
IF($N287&gt;0,1/$N287,0),
IF(ES$44=2,0,VDB(1,0,$N287,INT(ES$44-2-1),MIN($N287,INT(ES$44-2-1)+1),$DC287,IF($DD287="No",1,0))/
IF(DZ287&gt;=INT($N287),$N287-INT($N287),1)))*
IF(ES$44=2,0,
IF(INT(EA287)=INT(DZ287),EA287-DZ287,INT(EA287)-DZ287))+
IF($N287&lt;=1,
IF($N287&gt;0,1/$N287,0),VDB(1,0,$N287,INT(ES$44-2),MIN($N287,INT(ES$44-2)+1),$DC287,IF($DD287="No",1,0))/
IF(EA287&gt;INT($N287),$N287-INT($N287),1))*
IF(ES$44=2,EA287,
IF(INT(EA287)=INT(DZ287),0,EA287-INT(EA287)))))</f>
        <v>0</v>
      </c>
      <c r="ET287" s="835">
        <f>+IF(OR(EB287=EA287,ET$44=1),0,
IF(AND(ET$44&gt;1,EB287=$N287),1-SUM($EN287:ES287),
IF($N287&lt;=1,
IF($N287&gt;0,1/$N287,0),
IF(ET$44=2,0,VDB(1,0,$N287,INT(ET$44-2-1),MIN($N287,INT(ET$44-2-1)+1),$DC287,IF($DD287="No",1,0))/
IF(EA287&gt;=INT($N287),$N287-INT($N287),1)))*
IF(ET$44=2,0,
IF(INT(EB287)=INT(EA287),EB287-EA287,INT(EB287)-EA287))+
IF($N287&lt;=1,
IF($N287&gt;0,1/$N287,0),VDB(1,0,$N287,INT(ET$44-2),MIN($N287,INT(ET$44-2)+1),$DC287,IF($DD287="No",1,0))/
IF(EB287&gt;INT($N287),$N287-INT($N287),1))*
IF(ET$44=2,EB287,
IF(INT(EB287)=INT(EA287),0,EB287-INT(EB287)))))</f>
        <v>0</v>
      </c>
      <c r="EU287" s="835">
        <f>+IF(OR(EC287=EB287,EU$44=1),0,
IF(AND(EU$44&gt;1,EC287=$N287),1-SUM($EN287:ET287),
IF($N287&lt;=1,
IF($N287&gt;0,1/$N287,0),
IF(EU$44=2,0,VDB(1,0,$N287,INT(EU$44-2-1),MIN($N287,INT(EU$44-2-1)+1),$DC287,IF($DD287="No",1,0))/
IF(EB287&gt;=INT($N287),$N287-INT($N287),1)))*
IF(EU$44=2,0,
IF(INT(EC287)=INT(EB287),EC287-EB287,INT(EC287)-EB287))+
IF($N287&lt;=1,
IF($N287&gt;0,1/$N287,0),VDB(1,0,$N287,INT(EU$44-2),MIN($N287,INT(EU$44-2)+1),$DC287,IF($DD287="No",1,0))/
IF(EC287&gt;INT($N287),$N287-INT($N287),1))*
IF(EU$44=2,EC287,
IF(INT(EC287)=INT(EB287),0,EC287-INT(EC287)))))</f>
        <v>0</v>
      </c>
      <c r="EV287" s="836">
        <f>+IF(OR(ED287=EC287,EV$44=1),0,
IF(AND(EV$44&gt;1,ED287=$N287),1-SUM($EN287:EU287),
IF($N287&lt;=1,
IF($N287&gt;0,1/$N287,0),
IF(EV$44=2,0,VDB(1,0,$N287,INT(EV$44-2-1),MIN($N287,INT(EV$44-2-1)+1),$DC287,IF($DD287="No",1,0))/
IF(EC287&gt;=INT($N287),$N287-INT($N287),1)))*
IF(EV$44=2,0,
IF(INT(ED287)=INT(EC287),ED287-EC287,INT(ED287)-EC287))+
IF($N287&lt;=1,
IF($N287&gt;0,1/$N287,0),VDB(1,0,$N287,INT(EV$44-2),MIN($N287,INT(EV$44-2)+1),$DC287,IF($DD287="No",1,0))/
IF(ED287&gt;INT($N287),$N287-INT($N287),1))*
IF(EV$44=2,ED287,
IF(INT(ED287)=INT(EC287),0,ED287-INT(ED287)))))</f>
        <v>0</v>
      </c>
      <c r="EW287" s="833"/>
      <c r="EX287" s="834">
        <f t="shared" ca="1" si="513"/>
        <v>0</v>
      </c>
      <c r="EY287" s="835">
        <f t="shared" ca="1" si="513"/>
        <v>0</v>
      </c>
      <c r="EZ287" s="836">
        <f t="shared" ca="1" si="513"/>
        <v>0</v>
      </c>
      <c r="FA287" s="834">
        <f t="shared" ca="1" si="513"/>
        <v>0</v>
      </c>
      <c r="FB287" s="835">
        <f t="shared" ca="1" si="513"/>
        <v>0</v>
      </c>
      <c r="FC287" s="835">
        <f t="shared" ca="1" si="513"/>
        <v>0</v>
      </c>
      <c r="FD287" s="835">
        <f t="shared" ca="1" si="513"/>
        <v>0</v>
      </c>
      <c r="FE287" s="836">
        <f t="shared" ca="1" si="513"/>
        <v>0</v>
      </c>
      <c r="FG287" s="386">
        <f t="shared" ca="1" si="504"/>
        <v>0</v>
      </c>
      <c r="FH287" s="387">
        <f t="shared" ca="1" si="505"/>
        <v>0</v>
      </c>
      <c r="FI287" s="388">
        <f t="shared" ca="1" si="506"/>
        <v>0</v>
      </c>
      <c r="FJ287" s="386">
        <f t="shared" ca="1" si="507"/>
        <v>0</v>
      </c>
      <c r="FK287" s="387">
        <f t="shared" ca="1" si="508"/>
        <v>0</v>
      </c>
      <c r="FL287" s="387">
        <f t="shared" ca="1" si="509"/>
        <v>0</v>
      </c>
      <c r="FM287" s="387">
        <f t="shared" ca="1" si="510"/>
        <v>0</v>
      </c>
      <c r="FN287" s="388">
        <f t="shared" ca="1" si="511"/>
        <v>0</v>
      </c>
      <c r="FR287" s="116"/>
    </row>
    <row r="288" spans="2:174">
      <c r="B288" s="1410">
        <f t="shared" si="512"/>
        <v>242</v>
      </c>
      <c r="C288" s="400"/>
      <c r="D288" s="410"/>
      <c r="E288" s="402"/>
      <c r="F288" s="402"/>
      <c r="G288" s="400"/>
      <c r="H288" s="2088"/>
      <c r="I288" s="2089"/>
      <c r="J288" s="411"/>
      <c r="K288" s="403"/>
      <c r="L288" s="403"/>
      <c r="M288" s="403"/>
      <c r="N288" s="403"/>
      <c r="O288" s="347"/>
      <c r="P288" s="347"/>
      <c r="Q288" s="1021"/>
      <c r="R288" s="1022"/>
      <c r="S288" s="1022"/>
      <c r="T288" s="1022"/>
      <c r="U288" s="1023"/>
      <c r="V288" s="1021"/>
      <c r="W288" s="1022"/>
      <c r="X288" s="1022"/>
      <c r="Y288" s="1022"/>
      <c r="Z288" s="1023"/>
      <c r="AA288" s="1024"/>
      <c r="AB288" s="1021"/>
      <c r="AC288" s="1022"/>
      <c r="AD288" s="1022"/>
      <c r="AE288" s="1022"/>
      <c r="AF288" s="1023"/>
      <c r="AG288" s="1021"/>
      <c r="AH288" s="1022"/>
      <c r="AI288" s="1022"/>
      <c r="AJ288" s="1022"/>
      <c r="AK288" s="1023"/>
      <c r="AL288" s="1024"/>
      <c r="AM288" s="1021"/>
      <c r="AN288" s="1022"/>
      <c r="AO288" s="1022"/>
      <c r="AP288" s="1022"/>
      <c r="AQ288" s="1023"/>
      <c r="AR288" s="1021"/>
      <c r="AS288" s="1022"/>
      <c r="AT288" s="1022"/>
      <c r="AU288" s="1022"/>
      <c r="AV288" s="1023"/>
      <c r="AW288" s="1025"/>
      <c r="AX288" s="1282">
        <f t="shared" si="457"/>
        <v>0</v>
      </c>
      <c r="AY288" s="387">
        <f t="shared" si="458"/>
        <v>0</v>
      </c>
      <c r="AZ288" s="387">
        <f t="shared" si="459"/>
        <v>0</v>
      </c>
      <c r="BA288" s="387">
        <f t="shared" si="460"/>
        <v>0</v>
      </c>
      <c r="BB288" s="1283">
        <f t="shared" si="461"/>
        <v>0</v>
      </c>
      <c r="BC288" s="386">
        <f t="shared" si="462"/>
        <v>0</v>
      </c>
      <c r="BD288" s="387">
        <f t="shared" si="463"/>
        <v>0</v>
      </c>
      <c r="BE288" s="1277">
        <f t="shared" si="464"/>
        <v>0</v>
      </c>
      <c r="BF288" s="1277">
        <f t="shared" si="465"/>
        <v>0</v>
      </c>
      <c r="BG288" s="388">
        <f t="shared" si="466"/>
        <v>0</v>
      </c>
      <c r="BH288" s="1025"/>
      <c r="BI288" s="1282">
        <f t="shared" ca="1" si="467"/>
        <v>0</v>
      </c>
      <c r="BJ288" s="387">
        <f t="shared" ca="1" si="468"/>
        <v>0</v>
      </c>
      <c r="BK288" s="387">
        <f t="shared" ca="1" si="469"/>
        <v>0</v>
      </c>
      <c r="BL288" s="387">
        <f t="shared" ca="1" si="470"/>
        <v>0</v>
      </c>
      <c r="BM288" s="1283">
        <f t="shared" ca="1" si="471"/>
        <v>0</v>
      </c>
      <c r="BN288" s="386">
        <f t="shared" ca="1" si="472"/>
        <v>0</v>
      </c>
      <c r="BO288" s="387">
        <f t="shared" ca="1" si="473"/>
        <v>0</v>
      </c>
      <c r="BP288" s="1277">
        <f t="shared" ca="1" si="474"/>
        <v>0</v>
      </c>
      <c r="BQ288" s="1277">
        <f t="shared" ca="1" si="475"/>
        <v>0</v>
      </c>
      <c r="BR288" s="388">
        <f t="shared" ca="1" si="476"/>
        <v>0</v>
      </c>
      <c r="BS288" s="1025"/>
      <c r="BT288" s="1282">
        <f>+IF($K288="Ongoing",AX288,IF(RIGHT($K288,2)=RIGHT(BT$43,2),SUM($AX288:AX288),0)+IF(RIGHT(BT$43,2)&gt;RIGHT($K288,2),AX288,0))</f>
        <v>0</v>
      </c>
      <c r="BU288" s="387">
        <f>+IF($K288="Ongoing",AY288,IF(RIGHT($K288,2)=RIGHT(BU$43,2),SUM($AX288:AY288),0)+IF(RIGHT(BU$43,2)&gt;RIGHT($K288,2),AY288,0))</f>
        <v>0</v>
      </c>
      <c r="BV288" s="387">
        <f>+IF($K288="Ongoing",AZ288,IF(RIGHT($K288,2)=RIGHT(BV$43,2),SUM($AX288:AZ288),0)+IF(RIGHT(BV$43,2)&gt;RIGHT($K288,2),AZ288,0))</f>
        <v>0</v>
      </c>
      <c r="BW288" s="387">
        <f>+IF($K288="Ongoing",BA288,IF(RIGHT($K288,2)=RIGHT(BW$43,2),SUM($AX288:BA288),0)+IF(RIGHT(BW$43,2)&gt;RIGHT($K288,2),BA288,0))</f>
        <v>0</v>
      </c>
      <c r="BX288" s="1283">
        <f>+IF($K288="Ongoing",BB288,IF(RIGHT($K288,2)=RIGHT(BX$43,2),SUM($AX288:BB288),0)+IF(RIGHT(BX$43,2)&gt;RIGHT($K288,2),BB288,0))</f>
        <v>0</v>
      </c>
      <c r="BY288" s="386">
        <f>+IF($K288="Ongoing",BC288,IF(RIGHT($K288,2)=RIGHT(BY$43,2),SUM($AX288:BC288),0)+IF(RIGHT(BY$43,2)&gt;RIGHT($K288,2),BC288,0))</f>
        <v>0</v>
      </c>
      <c r="BZ288" s="387">
        <f>+IF($K288="Ongoing",BD288,IF(RIGHT($K288,2)=RIGHT(BZ$43,2),SUM($AX288:BD288),0)+IF(RIGHT(BZ$43,2)&gt;RIGHT($K288,2),BD288,0))</f>
        <v>0</v>
      </c>
      <c r="CA288" s="1277">
        <f>+IF($K288="Ongoing",BE288,IF(RIGHT($K288,2)=RIGHT(CA$43,2),SUM($AX288:BE288),0)+IF(RIGHT(CA$43,2)&gt;RIGHT($K288,2),BE288,0))</f>
        <v>0</v>
      </c>
      <c r="CB288" s="1277">
        <f>+IF($K288="Ongoing",BF288,IF(RIGHT($K288,2)=RIGHT(CB$43,2),SUM($AX288:BF288),0)+IF(RIGHT(CB$43,2)&gt;RIGHT($K288,2),BF288,0))</f>
        <v>0</v>
      </c>
      <c r="CC288" s="388">
        <f>+IF($K288="Ongoing",BG288,IF(RIGHT($K288,2)=RIGHT(CC$43,2),SUM($AX288:BG288),0)+IF(RIGHT(CC$43,2)&gt;RIGHT($K288,2),BG288,0))</f>
        <v>0</v>
      </c>
      <c r="CD288" s="1025"/>
      <c r="CE288" s="1282">
        <f>+Q288*KeyAssumptionsPriceControl_FO!AF$15</f>
        <v>0</v>
      </c>
      <c r="CF288" s="387">
        <f>+R288*KeyAssumptionsPriceControl_FO!AG$15</f>
        <v>0</v>
      </c>
      <c r="CG288" s="387">
        <f>+S288*KeyAssumptionsPriceControl_FO!AH$15</f>
        <v>0</v>
      </c>
      <c r="CH288" s="387">
        <f>+T288*KeyAssumptionsPriceControl_FO!AI$15</f>
        <v>0</v>
      </c>
      <c r="CI288" s="1283">
        <f>+U288*KeyAssumptionsPriceControl_FO!AJ$15</f>
        <v>0</v>
      </c>
      <c r="CJ288" s="386">
        <f>+V288*KeyAssumptionsPriceControl_FO!AK$15</f>
        <v>0</v>
      </c>
      <c r="CK288" s="387">
        <f>+W288*KeyAssumptionsPriceControl_FO!AL$15</f>
        <v>0</v>
      </c>
      <c r="CL288" s="1277">
        <f>+X288*KeyAssumptionsPriceControl_FO!AM$15</f>
        <v>0</v>
      </c>
      <c r="CM288" s="1277">
        <f>+Y288*KeyAssumptionsPriceControl_FO!AN$15</f>
        <v>0</v>
      </c>
      <c r="CN288" s="388">
        <f>+Z288*KeyAssumptionsPriceControl_FO!AO$15</f>
        <v>0</v>
      </c>
      <c r="CO288" s="1025"/>
      <c r="CP288" s="1282">
        <f t="shared" ca="1" si="477"/>
        <v>0</v>
      </c>
      <c r="CQ288" s="387">
        <f t="shared" ca="1" si="478"/>
        <v>0</v>
      </c>
      <c r="CR288" s="387">
        <f t="shared" ca="1" si="479"/>
        <v>0</v>
      </c>
      <c r="CS288" s="387">
        <f t="shared" ca="1" si="480"/>
        <v>0</v>
      </c>
      <c r="CT288" s="1283">
        <f t="shared" ca="1" si="481"/>
        <v>0</v>
      </c>
      <c r="CU288" s="386">
        <f t="shared" ca="1" si="482"/>
        <v>0</v>
      </c>
      <c r="CV288" s="387">
        <f t="shared" ca="1" si="483"/>
        <v>0</v>
      </c>
      <c r="CW288" s="1277">
        <f t="shared" ca="1" si="484"/>
        <v>0</v>
      </c>
      <c r="CX288" s="1277">
        <f t="shared" ca="1" si="485"/>
        <v>0</v>
      </c>
      <c r="CY288" s="388">
        <f t="shared" ca="1" si="486"/>
        <v>0</v>
      </c>
      <c r="CZ288" s="347"/>
      <c r="DA288" s="852"/>
      <c r="DB288" s="347"/>
      <c r="DC288" s="1012" t="s">
        <v>592</v>
      </c>
      <c r="DD288" s="841" t="s">
        <v>518</v>
      </c>
      <c r="DE288" s="386">
        <f>+IF($K288="ongoing",CE288,IF(RIGHT($K288,2)=RIGHT(DE$43,2),SUM($CD288:CE288),0)+IF(RIGHT(DE$43,2)&gt;RIGHT($K288,2),CE288,0))</f>
        <v>0</v>
      </c>
      <c r="DF288" s="387">
        <f>+IF($K288="ongoing",CF288,IF(RIGHT($K288,2)=RIGHT(DF$43,2),SUM($CD288:CF288),0)+IF(RIGHT(DF$43,2)&gt;RIGHT($K288,2),CF288,0))</f>
        <v>0</v>
      </c>
      <c r="DG288" s="388">
        <f>+IF($K288="ongoing",CG288,IF(RIGHT($K288,2)=RIGHT(DG$43,2),SUM($CD288:CG288),0)+IF(RIGHT(DG$43,2)&gt;RIGHT($K288,2),CG288,0))</f>
        <v>0</v>
      </c>
      <c r="DH288" s="386">
        <f>+IF($K288="ongoing",CH288,IF(RIGHT($K288,2)=RIGHT(DH$43,2),SUM($CD288:CH288),0)+IF(RIGHT(DH$43,2)&gt;RIGHT($K288,2),CH288,0))</f>
        <v>0</v>
      </c>
      <c r="DI288" s="387">
        <f>+IF($K288="ongoing",CI288,IF(RIGHT($K288,2)=RIGHT(DI$43,2),SUM($CD288:CI288),0)+IF(RIGHT(DI$43,2)&gt;RIGHT($K288,2),CI288,0))</f>
        <v>0</v>
      </c>
      <c r="DJ288" s="387">
        <f>+IF($K288="ongoing",CJ288,IF(RIGHT($K288,2)=RIGHT(DJ$43,2),SUM($CD288:CJ288),0)+IF(RIGHT(DJ$43,2)&gt;RIGHT($K288,2),CJ288,0))</f>
        <v>0</v>
      </c>
      <c r="DK288" s="387">
        <f>+IF($K288="ongoing",CK288,IF(RIGHT($K288,2)=RIGHT(DK$43,2),SUM($CD288:CK288),0)+IF(RIGHT(DK$43,2)&gt;RIGHT($K288,2),CK288,0))</f>
        <v>0</v>
      </c>
      <c r="DL288" s="388">
        <f>+IF($K288="ongoing",CN288,IF(RIGHT($K288,2)=RIGHT(DL$43,2),SUM($CD288:CN288),0)+IF(RIGHT(DL$43,2)&gt;RIGHT($K288,2),CN288,0))</f>
        <v>0</v>
      </c>
      <c r="DM288" s="841"/>
      <c r="DN288" s="386">
        <f t="shared" si="487"/>
        <v>0.5</v>
      </c>
      <c r="DO288" s="387">
        <f t="shared" si="488"/>
        <v>1</v>
      </c>
      <c r="DP288" s="388">
        <f t="shared" si="489"/>
        <v>1</v>
      </c>
      <c r="DQ288" s="386">
        <f t="shared" si="490"/>
        <v>1</v>
      </c>
      <c r="DR288" s="387">
        <f t="shared" si="491"/>
        <v>1</v>
      </c>
      <c r="DS288" s="387">
        <f t="shared" si="492"/>
        <v>1</v>
      </c>
      <c r="DT288" s="387">
        <f t="shared" si="493"/>
        <v>1</v>
      </c>
      <c r="DU288" s="388">
        <f t="shared" si="494"/>
        <v>1</v>
      </c>
      <c r="DW288" s="386">
        <f t="shared" si="495"/>
        <v>0</v>
      </c>
      <c r="DX288" s="387">
        <f t="shared" si="496"/>
        <v>0.5</v>
      </c>
      <c r="DY288" s="388">
        <f t="shared" si="497"/>
        <v>1</v>
      </c>
      <c r="DZ288" s="386">
        <f t="shared" si="498"/>
        <v>1</v>
      </c>
      <c r="EA288" s="387">
        <f t="shared" si="499"/>
        <v>1</v>
      </c>
      <c r="EB288" s="387">
        <f t="shared" si="500"/>
        <v>1</v>
      </c>
      <c r="EC288" s="387">
        <f t="shared" si="501"/>
        <v>1</v>
      </c>
      <c r="ED288" s="388">
        <f t="shared" si="502"/>
        <v>1</v>
      </c>
      <c r="EF288" s="834">
        <f>+IF(DN288=DM288,0,
IF(AND(EF$44&gt;1,DN288=$N288),1-SUM($EE288:EE288),
IF($N288&lt;=1,
IF($N288&gt;0,1/$N288,0),
IF(EF$44=1,0,VDB(1,0,$N288,INT(EF$44-1-1),MIN($N288,INT(EF$44-1-1)+1),$DC288,IF($DD288="No",1,0))/
IF(DM288&gt;=INT($N288),$N288-INT($N288),1)))*
IF(EF$44=1,0,
IF(INT(DN288)=INT(DM288),DN288-DM288,INT(DN288)-DM288))+
IF($N288&lt;=1,
IF($N288&gt;0,1/$N288,0),VDB(1,0,$N288,INT(EF$44-1),MIN($N288,INT(EF$44-1)+1),$DC288,IF($DD288="No",1,0))/
IF(DN288&gt;INT($N288),$N288-INT($N288),1))*
IF(EF$44=1,DN288,
IF(INT(DN288)=INT(DM288),0,DN288-INT(DN288)))))</f>
        <v>0</v>
      </c>
      <c r="EG288" s="835">
        <f>+IF(DO288=DN288,0,
IF(AND(EG$44&gt;1,DO288=$N288),1-SUM($EE288:EF288),
IF($N288&lt;=1,
IF($N288&gt;0,1/$N288,0),
IF(EG$44=1,0,VDB(1,0,$N288,INT(EG$44-1-1),MIN($N288,INT(EG$44-1-1)+1),$DC288,IF($DD288="No",1,0))/
IF(DN288&gt;=INT($N288),$N288-INT($N288),1)))*
IF(EG$44=1,0,
IF(INT(DO288)=INT(DN288),DO288-DN288,INT(DO288)-DN288))+
IF($N288&lt;=1,
IF($N288&gt;0,1/$N288,0),VDB(1,0,$N288,INT(EG$44-1),MIN($N288,INT(EG$44-1)+1),$DC288,IF($DD288="No",1,0))/
IF(DO288&gt;INT($N288),$N288-INT($N288),1))*
IF(EG$44=1,DO288,
IF(INT(DO288)=INT(DN288),0,DO288-INT(DO288)))))</f>
        <v>0</v>
      </c>
      <c r="EH288" s="836">
        <f>+IF(DP288=DO288,0,
IF(AND(EH$44&gt;1,DP288=$N288),1-SUM($EE288:EG288),
IF($N288&lt;=1,
IF($N288&gt;0,1/$N288,0),
IF(EH$44=1,0,VDB(1,0,$N288,INT(EH$44-1-1),MIN($N288,INT(EH$44-1-1)+1),$DC288,IF($DD288="No",1,0))/
IF(DO288&gt;=INT($N288),$N288-INT($N288),1)))*
IF(EH$44=1,0,
IF(INT(DP288)=INT(DO288),DP288-DO288,INT(DP288)-DO288))+
IF($N288&lt;=1,
IF($N288&gt;0,1/$N288,0),VDB(1,0,$N288,INT(EH$44-1),MIN($N288,INT(EH$44-1)+1),$DC288,IF($DD288="No",1,0))/
IF(DP288&gt;INT($N288),$N288-INT($N288),1))*
IF(EH$44=1,DP288,
IF(INT(DP288)=INT(DO288),0,DP288-INT(DP288)))))</f>
        <v>0</v>
      </c>
      <c r="EI288" s="834">
        <f>+IF(DQ288=DP288,0,
IF(AND(EI$44&gt;1,DQ288=$N288),1-SUM($EE288:EH288),
IF($N288&lt;=1,
IF($N288&gt;0,1/$N288,0),
IF(EI$44=1,0,VDB(1,0,$N288,INT(EI$44-1-1),MIN($N288,INT(EI$44-1-1)+1),$DC288,IF($DD288="No",1,0))/
IF(DP288&gt;=INT($N288),$N288-INT($N288),1)))*
IF(EI$44=1,0,
IF(INT(DQ288)=INT(DP288),DQ288-DP288,INT(DQ288)-DP288))+
IF($N288&lt;=1,
IF($N288&gt;0,1/$N288,0),VDB(1,0,$N288,INT(EI$44-1),MIN($N288,INT(EI$44-1)+1),$DC288,IF($DD288="No",1,0))/
IF(DQ288&gt;INT($N288),$N288-INT($N288),1))*
IF(EI$44=1,DQ288,
IF(INT(DQ288)=INT(DP288),0,DQ288-INT(DQ288)))))</f>
        <v>0</v>
      </c>
      <c r="EJ288" s="835">
        <f>+IF(DR288=DQ288,0,
IF(AND(EJ$44&gt;1,DR288=$N288),1-SUM($EE288:EI288),
IF($N288&lt;=1,
IF($N288&gt;0,1/$N288,0),
IF(EJ$44=1,0,VDB(1,0,$N288,INT(EJ$44-1-1),MIN($N288,INT(EJ$44-1-1)+1),$DC288,IF($DD288="No",1,0))/
IF(DQ288&gt;=INT($N288),$N288-INT($N288),1)))*
IF(EJ$44=1,0,
IF(INT(DR288)=INT(DQ288),DR288-DQ288,INT(DR288)-DQ288))+
IF($N288&lt;=1,
IF($N288&gt;0,1/$N288,0),VDB(1,0,$N288,INT(EJ$44-1),MIN($N288,INT(EJ$44-1)+1),$DC288,IF($DD288="No",1,0))/
IF(DR288&gt;INT($N288),$N288-INT($N288),1))*
IF(EJ$44=1,DR288,
IF(INT(DR288)=INT(DQ288),0,DR288-INT(DR288)))))</f>
        <v>0</v>
      </c>
      <c r="EK288" s="835">
        <f>+IF(DS288=DR288,0,
IF(AND(EK$44&gt;1,DS288=$N288),1-SUM($EE288:EJ288),
IF($N288&lt;=1,
IF($N288&gt;0,1/$N288,0),
IF(EK$44=1,0,VDB(1,0,$N288,INT(EK$44-1-1),MIN($N288,INT(EK$44-1-1)+1),$DC288,IF($DD288="No",1,0))/
IF(DR288&gt;=INT($N288),$N288-INT($N288),1)))*
IF(EK$44=1,0,
IF(INT(DS288)=INT(DR288),DS288-DR288,INT(DS288)-DR288))+
IF($N288&lt;=1,
IF($N288&gt;0,1/$N288,0),VDB(1,0,$N288,INT(EK$44-1),MIN($N288,INT(EK$44-1)+1),$DC288,IF($DD288="No",1,0))/
IF(DS288&gt;INT($N288),$N288-INT($N288),1))*
IF(EK$44=1,DS288,
IF(INT(DS288)=INT(DR288),0,DS288-INT(DS288)))))</f>
        <v>0</v>
      </c>
      <c r="EL288" s="835">
        <f>+IF(DT288=DS288,0,
IF(AND(EL$44&gt;1,DT288=$N288),1-SUM($EE288:EK288),
IF($N288&lt;=1,
IF($N288&gt;0,1/$N288,0),
IF(EL$44=1,0,VDB(1,0,$N288,INT(EL$44-1-1),MIN($N288,INT(EL$44-1-1)+1),$DC288,IF($DD288="No",1,0))/
IF(DS288&gt;=INT($N288),$N288-INT($N288),1)))*
IF(EL$44=1,0,
IF(INT(DT288)=INT(DS288),DT288-DS288,INT(DT288)-DS288))+
IF($N288&lt;=1,
IF($N288&gt;0,1/$N288,0),VDB(1,0,$N288,INT(EL$44-1),MIN($N288,INT(EL$44-1)+1),$DC288,IF($DD288="No",1,0))/
IF(DT288&gt;INT($N288),$N288-INT($N288),1))*
IF(EL$44=1,DT288,
IF(INT(DT288)=INT(DS288),0,DT288-INT(DT288)))))</f>
        <v>0</v>
      </c>
      <c r="EM288" s="836">
        <f>+IF(DU288=DT288,0,
IF(AND(EM$44&gt;1,DU288=$N288),1-SUM($EE288:EL288),
IF($N288&lt;=1,
IF($N288&gt;0,1/$N288,0),
IF(EM$44=1,0,VDB(1,0,$N288,INT(EM$44-1-1),MIN($N288,INT(EM$44-1-1)+1),$DC288,IF($DD288="No",1,0))/
IF(DT288&gt;=INT($N288),$N288-INT($N288),1)))*
IF(EM$44=1,0,
IF(INT(DU288)=INT(DT288),DU288-DT288,INT(DU288)-DT288))+
IF($N288&lt;=1,
IF($N288&gt;0,1/$N288,0),VDB(1,0,$N288,INT(EM$44-1),MIN($N288,INT(EM$44-1)+1),$DC288,IF($DD288="No",1,0))/
IF(DU288&gt;INT($N288),$N288-INT($N288),1))*
IF(EM$44=1,DU288,
IF(INT(DU288)=INT(DT288),0,DU288-INT(DU288)))))</f>
        <v>0</v>
      </c>
      <c r="EN288" s="833"/>
      <c r="EO288" s="834">
        <f>+IF(OR(DW288=DV288,EO$44=1),0,
IF(AND(EO$44&gt;1,DW288=$N288),1-SUM($EN288:EN288),
IF($N288&lt;=1,
IF($N288&gt;0,1/$N288,0),
IF(EO$44=2,0,VDB(1,0,$N288,INT(EO$44-2-1),MIN($N288,INT(EO$44-2-1)+1),$DC288,IF($DD288="No",1,0))/
IF(DV288&gt;=INT($N288),$N288-INT($N288),1)))*
IF(EO$44=2,0,
IF(INT(DW288)=INT(DV288),DW288-DV288,INT(DW288)-DV288))+
IF($N288&lt;=1,
IF($N288&gt;0,1/$N288,0),VDB(1,0,$N288,INT(EO$44-2),MIN($N288,INT(EO$44-2)+1),$DC288,IF($DD288="No",1,0))/
IF(DW288&gt;INT($N288),$N288-INT($N288),1))*
IF(EO$44=2,DW288,
IF(INT(DW288)=INT(DV288),0,DW288-INT(DW288)))))</f>
        <v>0</v>
      </c>
      <c r="EP288" s="835">
        <f>+IF(OR(DX288=DW288,EP$44=1),0,
IF(AND(EP$44&gt;1,DX288=$N288),1-SUM($EN288:EO288),
IF($N288&lt;=1,
IF($N288&gt;0,1/$N288,0),
IF(EP$44=2,0,VDB(1,0,$N288,INT(EP$44-2-1),MIN($N288,INT(EP$44-2-1)+1),$DC288,IF($DD288="No",1,0))/
IF(DW288&gt;=INT($N288),$N288-INT($N288),1)))*
IF(EP$44=2,0,
IF(INT(DX288)=INT(DW288),DX288-DW288,INT(DX288)-DW288))+
IF($N288&lt;=1,
IF($N288&gt;0,1/$N288,0),VDB(1,0,$N288,INT(EP$44-2),MIN($N288,INT(EP$44-2)+1),$DC288,IF($DD288="No",1,0))/
IF(DX288&gt;INT($N288),$N288-INT($N288),1))*
IF(EP$44=2,DX288,
IF(INT(DX288)=INT(DW288),0,DX288-INT(DX288)))))</f>
        <v>0</v>
      </c>
      <c r="EQ288" s="836">
        <f>+IF(OR(DY288=DX288,EQ$44=1),0,
IF(AND(EQ$44&gt;1,DY288=$N288),1-SUM($EN288:EP288),
IF($N288&lt;=1,
IF($N288&gt;0,1/$N288,0),
IF(EQ$44=2,0,VDB(1,0,$N288,INT(EQ$44-2-1),MIN($N288,INT(EQ$44-2-1)+1),$DC288,IF($DD288="No",1,0))/
IF(DX288&gt;=INT($N288),$N288-INT($N288),1)))*
IF(EQ$44=2,0,
IF(INT(DY288)=INT(DX288),DY288-DX288,INT(DY288)-DX288))+
IF($N288&lt;=1,
IF($N288&gt;0,1/$N288,0),VDB(1,0,$N288,INT(EQ$44-2),MIN($N288,INT(EQ$44-2)+1),$DC288,IF($DD288="No",1,0))/
IF(DY288&gt;INT($N288),$N288-INT($N288),1))*
IF(EQ$44=2,DY288,
IF(INT(DY288)=INT(DX288),0,DY288-INT(DY288)))))</f>
        <v>0</v>
      </c>
      <c r="ER288" s="834">
        <f>+IF(OR(DZ288=DY288,ER$44=1),0,
IF(AND(ER$44&gt;1,DZ288=$N288),1-SUM($EN288:EQ288),
IF($N288&lt;=1,
IF($N288&gt;0,1/$N288,0),
IF(ER$44=2,0,VDB(1,0,$N288,INT(ER$44-2-1),MIN($N288,INT(ER$44-2-1)+1),$DC288,IF($DD288="No",1,0))/
IF(DY288&gt;=INT($N288),$N288-INT($N288),1)))*
IF(ER$44=2,0,
IF(INT(DZ288)=INT(DY288),DZ288-DY288,INT(DZ288)-DY288))+
IF($N288&lt;=1,
IF($N288&gt;0,1/$N288,0),VDB(1,0,$N288,INT(ER$44-2),MIN($N288,INT(ER$44-2)+1),$DC288,IF($DD288="No",1,0))/
IF(DZ288&gt;INT($N288),$N288-INT($N288),1))*
IF(ER$44=2,DZ288,
IF(INT(DZ288)=INT(DY288),0,DZ288-INT(DZ288)))))</f>
        <v>0</v>
      </c>
      <c r="ES288" s="835">
        <f>+IF(OR(EA288=DZ288,ES$44=1),0,
IF(AND(ES$44&gt;1,EA288=$N288),1-SUM($EN288:ER288),
IF($N288&lt;=1,
IF($N288&gt;0,1/$N288,0),
IF(ES$44=2,0,VDB(1,0,$N288,INT(ES$44-2-1),MIN($N288,INT(ES$44-2-1)+1),$DC288,IF($DD288="No",1,0))/
IF(DZ288&gt;=INT($N288),$N288-INT($N288),1)))*
IF(ES$44=2,0,
IF(INT(EA288)=INT(DZ288),EA288-DZ288,INT(EA288)-DZ288))+
IF($N288&lt;=1,
IF($N288&gt;0,1/$N288,0),VDB(1,0,$N288,INT(ES$44-2),MIN($N288,INT(ES$44-2)+1),$DC288,IF($DD288="No",1,0))/
IF(EA288&gt;INT($N288),$N288-INT($N288),1))*
IF(ES$44=2,EA288,
IF(INT(EA288)=INT(DZ288),0,EA288-INT(EA288)))))</f>
        <v>0</v>
      </c>
      <c r="ET288" s="835">
        <f>+IF(OR(EB288=EA288,ET$44=1),0,
IF(AND(ET$44&gt;1,EB288=$N288),1-SUM($EN288:ES288),
IF($N288&lt;=1,
IF($N288&gt;0,1/$N288,0),
IF(ET$44=2,0,VDB(1,0,$N288,INT(ET$44-2-1),MIN($N288,INT(ET$44-2-1)+1),$DC288,IF($DD288="No",1,0))/
IF(EA288&gt;=INT($N288),$N288-INT($N288),1)))*
IF(ET$44=2,0,
IF(INT(EB288)=INT(EA288),EB288-EA288,INT(EB288)-EA288))+
IF($N288&lt;=1,
IF($N288&gt;0,1/$N288,0),VDB(1,0,$N288,INT(ET$44-2),MIN($N288,INT(ET$44-2)+1),$DC288,IF($DD288="No",1,0))/
IF(EB288&gt;INT($N288),$N288-INT($N288),1))*
IF(ET$44=2,EB288,
IF(INT(EB288)=INT(EA288),0,EB288-INT(EB288)))))</f>
        <v>0</v>
      </c>
      <c r="EU288" s="835">
        <f>+IF(OR(EC288=EB288,EU$44=1),0,
IF(AND(EU$44&gt;1,EC288=$N288),1-SUM($EN288:ET288),
IF($N288&lt;=1,
IF($N288&gt;0,1/$N288,0),
IF(EU$44=2,0,VDB(1,0,$N288,INT(EU$44-2-1),MIN($N288,INT(EU$44-2-1)+1),$DC288,IF($DD288="No",1,0))/
IF(EB288&gt;=INT($N288),$N288-INT($N288),1)))*
IF(EU$44=2,0,
IF(INT(EC288)=INT(EB288),EC288-EB288,INT(EC288)-EB288))+
IF($N288&lt;=1,
IF($N288&gt;0,1/$N288,0),VDB(1,0,$N288,INT(EU$44-2),MIN($N288,INT(EU$44-2)+1),$DC288,IF($DD288="No",1,0))/
IF(EC288&gt;INT($N288),$N288-INT($N288),1))*
IF(EU$44=2,EC288,
IF(INT(EC288)=INT(EB288),0,EC288-INT(EC288)))))</f>
        <v>0</v>
      </c>
      <c r="EV288" s="836">
        <f>+IF(OR(ED288=EC288,EV$44=1),0,
IF(AND(EV$44&gt;1,ED288=$N288),1-SUM($EN288:EU288),
IF($N288&lt;=1,
IF($N288&gt;0,1/$N288,0),
IF(EV$44=2,0,VDB(1,0,$N288,INT(EV$44-2-1),MIN($N288,INT(EV$44-2-1)+1),$DC288,IF($DD288="No",1,0))/
IF(EC288&gt;=INT($N288),$N288-INT($N288),1)))*
IF(EV$44=2,0,
IF(INT(ED288)=INT(EC288),ED288-EC288,INT(ED288)-EC288))+
IF($N288&lt;=1,
IF($N288&gt;0,1/$N288,0),VDB(1,0,$N288,INT(EV$44-2),MIN($N288,INT(EV$44-2)+1),$DC288,IF($DD288="No",1,0))/
IF(ED288&gt;INT($N288),$N288-INT($N288),1))*
IF(EV$44=2,ED288,
IF(INT(ED288)=INT(EC288),0,ED288-INT(ED288)))))</f>
        <v>0</v>
      </c>
      <c r="EW288" s="833"/>
      <c r="EX288" s="834">
        <f t="shared" ca="1" si="513"/>
        <v>0</v>
      </c>
      <c r="EY288" s="835">
        <f t="shared" ca="1" si="513"/>
        <v>0</v>
      </c>
      <c r="EZ288" s="836">
        <f t="shared" ca="1" si="513"/>
        <v>0</v>
      </c>
      <c r="FA288" s="834">
        <f t="shared" ca="1" si="513"/>
        <v>0</v>
      </c>
      <c r="FB288" s="835">
        <f t="shared" ca="1" si="513"/>
        <v>0</v>
      </c>
      <c r="FC288" s="835">
        <f t="shared" ca="1" si="513"/>
        <v>0</v>
      </c>
      <c r="FD288" s="835">
        <f t="shared" ca="1" si="513"/>
        <v>0</v>
      </c>
      <c r="FE288" s="836">
        <f t="shared" ca="1" si="513"/>
        <v>0</v>
      </c>
      <c r="FG288" s="386">
        <f t="shared" ca="1" si="504"/>
        <v>0</v>
      </c>
      <c r="FH288" s="387">
        <f t="shared" ca="1" si="505"/>
        <v>0</v>
      </c>
      <c r="FI288" s="388">
        <f t="shared" ca="1" si="506"/>
        <v>0</v>
      </c>
      <c r="FJ288" s="386">
        <f t="shared" ca="1" si="507"/>
        <v>0</v>
      </c>
      <c r="FK288" s="387">
        <f t="shared" ca="1" si="508"/>
        <v>0</v>
      </c>
      <c r="FL288" s="387">
        <f t="shared" ca="1" si="509"/>
        <v>0</v>
      </c>
      <c r="FM288" s="387">
        <f t="shared" ca="1" si="510"/>
        <v>0</v>
      </c>
      <c r="FN288" s="388">
        <f t="shared" ca="1" si="511"/>
        <v>0</v>
      </c>
      <c r="FR288" s="116"/>
    </row>
    <row r="289" spans="2:174">
      <c r="B289" s="1410">
        <f t="shared" si="512"/>
        <v>243</v>
      </c>
      <c r="C289" s="400"/>
      <c r="D289" s="410"/>
      <c r="E289" s="402"/>
      <c r="F289" s="402"/>
      <c r="G289" s="400"/>
      <c r="H289" s="2088"/>
      <c r="I289" s="2089"/>
      <c r="J289" s="411"/>
      <c r="K289" s="403"/>
      <c r="L289" s="403"/>
      <c r="M289" s="403"/>
      <c r="N289" s="403"/>
      <c r="O289" s="347"/>
      <c r="P289" s="347"/>
      <c r="Q289" s="1021"/>
      <c r="R289" s="1022"/>
      <c r="S289" s="1022"/>
      <c r="T289" s="1022"/>
      <c r="U289" s="1023"/>
      <c r="V289" s="1021"/>
      <c r="W289" s="1022"/>
      <c r="X289" s="1022"/>
      <c r="Y289" s="1022"/>
      <c r="Z289" s="1023"/>
      <c r="AA289" s="1024"/>
      <c r="AB289" s="1021"/>
      <c r="AC289" s="1022"/>
      <c r="AD289" s="1022"/>
      <c r="AE289" s="1022"/>
      <c r="AF289" s="1023"/>
      <c r="AG289" s="1021"/>
      <c r="AH289" s="1022"/>
      <c r="AI289" s="1022"/>
      <c r="AJ289" s="1022"/>
      <c r="AK289" s="1023"/>
      <c r="AL289" s="1024"/>
      <c r="AM289" s="1021"/>
      <c r="AN289" s="1022"/>
      <c r="AO289" s="1022"/>
      <c r="AP289" s="1022"/>
      <c r="AQ289" s="1023"/>
      <c r="AR289" s="1021"/>
      <c r="AS289" s="1022"/>
      <c r="AT289" s="1022"/>
      <c r="AU289" s="1022"/>
      <c r="AV289" s="1023"/>
      <c r="AW289" s="1025"/>
      <c r="AX289" s="1282">
        <f t="shared" si="457"/>
        <v>0</v>
      </c>
      <c r="AY289" s="387">
        <f t="shared" si="458"/>
        <v>0</v>
      </c>
      <c r="AZ289" s="387">
        <f t="shared" si="459"/>
        <v>0</v>
      </c>
      <c r="BA289" s="387">
        <f t="shared" si="460"/>
        <v>0</v>
      </c>
      <c r="BB289" s="1283">
        <f t="shared" si="461"/>
        <v>0</v>
      </c>
      <c r="BC289" s="386">
        <f t="shared" si="462"/>
        <v>0</v>
      </c>
      <c r="BD289" s="387">
        <f t="shared" si="463"/>
        <v>0</v>
      </c>
      <c r="BE289" s="1277">
        <f t="shared" si="464"/>
        <v>0</v>
      </c>
      <c r="BF289" s="1277">
        <f t="shared" si="465"/>
        <v>0</v>
      </c>
      <c r="BG289" s="388">
        <f t="shared" si="466"/>
        <v>0</v>
      </c>
      <c r="BH289" s="1025"/>
      <c r="BI289" s="1282">
        <f t="shared" ca="1" si="467"/>
        <v>0</v>
      </c>
      <c r="BJ289" s="387">
        <f t="shared" ca="1" si="468"/>
        <v>0</v>
      </c>
      <c r="BK289" s="387">
        <f t="shared" ca="1" si="469"/>
        <v>0</v>
      </c>
      <c r="BL289" s="387">
        <f t="shared" ca="1" si="470"/>
        <v>0</v>
      </c>
      <c r="BM289" s="1283">
        <f t="shared" ca="1" si="471"/>
        <v>0</v>
      </c>
      <c r="BN289" s="386">
        <f t="shared" ca="1" si="472"/>
        <v>0</v>
      </c>
      <c r="BO289" s="387">
        <f t="shared" ca="1" si="473"/>
        <v>0</v>
      </c>
      <c r="BP289" s="1277">
        <f t="shared" ca="1" si="474"/>
        <v>0</v>
      </c>
      <c r="BQ289" s="1277">
        <f t="shared" ca="1" si="475"/>
        <v>0</v>
      </c>
      <c r="BR289" s="388">
        <f t="shared" ca="1" si="476"/>
        <v>0</v>
      </c>
      <c r="BS289" s="1025"/>
      <c r="BT289" s="1282">
        <f>+IF($K289="Ongoing",AX289,IF(RIGHT($K289,2)=RIGHT(BT$43,2),SUM($AX289:AX289),0)+IF(RIGHT(BT$43,2)&gt;RIGHT($K289,2),AX289,0))</f>
        <v>0</v>
      </c>
      <c r="BU289" s="387">
        <f>+IF($K289="Ongoing",AY289,IF(RIGHT($K289,2)=RIGHT(BU$43,2),SUM($AX289:AY289),0)+IF(RIGHT(BU$43,2)&gt;RIGHT($K289,2),AY289,0))</f>
        <v>0</v>
      </c>
      <c r="BV289" s="387">
        <f>+IF($K289="Ongoing",AZ289,IF(RIGHT($K289,2)=RIGHT(BV$43,2),SUM($AX289:AZ289),0)+IF(RIGHT(BV$43,2)&gt;RIGHT($K289,2),AZ289,0))</f>
        <v>0</v>
      </c>
      <c r="BW289" s="387">
        <f>+IF($K289="Ongoing",BA289,IF(RIGHT($K289,2)=RIGHT(BW$43,2),SUM($AX289:BA289),0)+IF(RIGHT(BW$43,2)&gt;RIGHT($K289,2),BA289,0))</f>
        <v>0</v>
      </c>
      <c r="BX289" s="1283">
        <f>+IF($K289="Ongoing",BB289,IF(RIGHT($K289,2)=RIGHT(BX$43,2),SUM($AX289:BB289),0)+IF(RIGHT(BX$43,2)&gt;RIGHT($K289,2),BB289,0))</f>
        <v>0</v>
      </c>
      <c r="BY289" s="386">
        <f>+IF($K289="Ongoing",BC289,IF(RIGHT($K289,2)=RIGHT(BY$43,2),SUM($AX289:BC289),0)+IF(RIGHT(BY$43,2)&gt;RIGHT($K289,2),BC289,0))</f>
        <v>0</v>
      </c>
      <c r="BZ289" s="387">
        <f>+IF($K289="Ongoing",BD289,IF(RIGHT($K289,2)=RIGHT(BZ$43,2),SUM($AX289:BD289),0)+IF(RIGHT(BZ$43,2)&gt;RIGHT($K289,2),BD289,0))</f>
        <v>0</v>
      </c>
      <c r="CA289" s="1277">
        <f>+IF($K289="Ongoing",BE289,IF(RIGHT($K289,2)=RIGHT(CA$43,2),SUM($AX289:BE289),0)+IF(RIGHT(CA$43,2)&gt;RIGHT($K289,2),BE289,0))</f>
        <v>0</v>
      </c>
      <c r="CB289" s="1277">
        <f>+IF($K289="Ongoing",BF289,IF(RIGHT($K289,2)=RIGHT(CB$43,2),SUM($AX289:BF289),0)+IF(RIGHT(CB$43,2)&gt;RIGHT($K289,2),BF289,0))</f>
        <v>0</v>
      </c>
      <c r="CC289" s="388">
        <f>+IF($K289="Ongoing",BG289,IF(RIGHT($K289,2)=RIGHT(CC$43,2),SUM($AX289:BG289),0)+IF(RIGHT(CC$43,2)&gt;RIGHT($K289,2),BG289,0))</f>
        <v>0</v>
      </c>
      <c r="CD289" s="1025"/>
      <c r="CE289" s="1282">
        <f>+Q289*KeyAssumptionsPriceControl_FO!AF$15</f>
        <v>0</v>
      </c>
      <c r="CF289" s="387">
        <f>+R289*KeyAssumptionsPriceControl_FO!AG$15</f>
        <v>0</v>
      </c>
      <c r="CG289" s="387">
        <f>+S289*KeyAssumptionsPriceControl_FO!AH$15</f>
        <v>0</v>
      </c>
      <c r="CH289" s="387">
        <f>+T289*KeyAssumptionsPriceControl_FO!AI$15</f>
        <v>0</v>
      </c>
      <c r="CI289" s="1283">
        <f>+U289*KeyAssumptionsPriceControl_FO!AJ$15</f>
        <v>0</v>
      </c>
      <c r="CJ289" s="386">
        <f>+V289*KeyAssumptionsPriceControl_FO!AK$15</f>
        <v>0</v>
      </c>
      <c r="CK289" s="387">
        <f>+W289*KeyAssumptionsPriceControl_FO!AL$15</f>
        <v>0</v>
      </c>
      <c r="CL289" s="1277">
        <f>+X289*KeyAssumptionsPriceControl_FO!AM$15</f>
        <v>0</v>
      </c>
      <c r="CM289" s="1277">
        <f>+Y289*KeyAssumptionsPriceControl_FO!AN$15</f>
        <v>0</v>
      </c>
      <c r="CN289" s="388">
        <f>+Z289*KeyAssumptionsPriceControl_FO!AO$15</f>
        <v>0</v>
      </c>
      <c r="CO289" s="1025"/>
      <c r="CP289" s="1282">
        <f t="shared" ca="1" si="477"/>
        <v>0</v>
      </c>
      <c r="CQ289" s="387">
        <f t="shared" ca="1" si="478"/>
        <v>0</v>
      </c>
      <c r="CR289" s="387">
        <f t="shared" ca="1" si="479"/>
        <v>0</v>
      </c>
      <c r="CS289" s="387">
        <f t="shared" ca="1" si="480"/>
        <v>0</v>
      </c>
      <c r="CT289" s="1283">
        <f t="shared" ca="1" si="481"/>
        <v>0</v>
      </c>
      <c r="CU289" s="386">
        <f t="shared" ca="1" si="482"/>
        <v>0</v>
      </c>
      <c r="CV289" s="387">
        <f t="shared" ca="1" si="483"/>
        <v>0</v>
      </c>
      <c r="CW289" s="1277">
        <f t="shared" ca="1" si="484"/>
        <v>0</v>
      </c>
      <c r="CX289" s="1277">
        <f t="shared" ca="1" si="485"/>
        <v>0</v>
      </c>
      <c r="CY289" s="388">
        <f t="shared" ca="1" si="486"/>
        <v>0</v>
      </c>
      <c r="CZ289" s="347"/>
      <c r="DA289" s="852"/>
      <c r="DB289" s="347"/>
      <c r="DC289" s="1012" t="s">
        <v>594</v>
      </c>
      <c r="DD289" s="841" t="s">
        <v>518</v>
      </c>
      <c r="DE289" s="386">
        <f>+IF($K289="ongoing",CE289,IF(RIGHT($K289,2)=RIGHT(DE$43,2),SUM($CD289:CE289),0)+IF(RIGHT(DE$43,2)&gt;RIGHT($K289,2),CE289,0))</f>
        <v>0</v>
      </c>
      <c r="DF289" s="387">
        <f>+IF($K289="ongoing",CF289,IF(RIGHT($K289,2)=RIGHT(DF$43,2),SUM($CD289:CF289),0)+IF(RIGHT(DF$43,2)&gt;RIGHT($K289,2),CF289,0))</f>
        <v>0</v>
      </c>
      <c r="DG289" s="388">
        <f>+IF($K289="ongoing",CG289,IF(RIGHT($K289,2)=RIGHT(DG$43,2),SUM($CD289:CG289),0)+IF(RIGHT(DG$43,2)&gt;RIGHT($K289,2),CG289,0))</f>
        <v>0</v>
      </c>
      <c r="DH289" s="386">
        <f>+IF($K289="ongoing",CH289,IF(RIGHT($K289,2)=RIGHT(DH$43,2),SUM($CD289:CH289),0)+IF(RIGHT(DH$43,2)&gt;RIGHT($K289,2),CH289,0))</f>
        <v>0</v>
      </c>
      <c r="DI289" s="387">
        <f>+IF($K289="ongoing",CI289,IF(RIGHT($K289,2)=RIGHT(DI$43,2),SUM($CD289:CI289),0)+IF(RIGHT(DI$43,2)&gt;RIGHT($K289,2),CI289,0))</f>
        <v>0</v>
      </c>
      <c r="DJ289" s="387">
        <f>+IF($K289="ongoing",CJ289,IF(RIGHT($K289,2)=RIGHT(DJ$43,2),SUM($CD289:CJ289),0)+IF(RIGHT(DJ$43,2)&gt;RIGHT($K289,2),CJ289,0))</f>
        <v>0</v>
      </c>
      <c r="DK289" s="387">
        <f>+IF($K289="ongoing",CK289,IF(RIGHT($K289,2)=RIGHT(DK$43,2),SUM($CD289:CK289),0)+IF(RIGHT(DK$43,2)&gt;RIGHT($K289,2),CK289,0))</f>
        <v>0</v>
      </c>
      <c r="DL289" s="388">
        <f>+IF($K289="ongoing",CN289,IF(RIGHT($K289,2)=RIGHT(DL$43,2),SUM($CD289:CN289),0)+IF(RIGHT(DL$43,2)&gt;RIGHT($K289,2),CN289,0))</f>
        <v>0</v>
      </c>
      <c r="DM289" s="841"/>
      <c r="DN289" s="386">
        <f t="shared" si="487"/>
        <v>0.5</v>
      </c>
      <c r="DO289" s="387">
        <f t="shared" si="488"/>
        <v>1</v>
      </c>
      <c r="DP289" s="388">
        <f t="shared" si="489"/>
        <v>1</v>
      </c>
      <c r="DQ289" s="386">
        <f t="shared" si="490"/>
        <v>1</v>
      </c>
      <c r="DR289" s="387">
        <f t="shared" si="491"/>
        <v>1</v>
      </c>
      <c r="DS289" s="387">
        <f t="shared" si="492"/>
        <v>1</v>
      </c>
      <c r="DT289" s="387">
        <f t="shared" si="493"/>
        <v>1</v>
      </c>
      <c r="DU289" s="388">
        <f t="shared" si="494"/>
        <v>1</v>
      </c>
      <c r="DW289" s="386">
        <f t="shared" si="495"/>
        <v>0</v>
      </c>
      <c r="DX289" s="387">
        <f t="shared" si="496"/>
        <v>0.5</v>
      </c>
      <c r="DY289" s="388">
        <f t="shared" si="497"/>
        <v>1</v>
      </c>
      <c r="DZ289" s="386">
        <f t="shared" si="498"/>
        <v>1</v>
      </c>
      <c r="EA289" s="387">
        <f t="shared" si="499"/>
        <v>1</v>
      </c>
      <c r="EB289" s="387">
        <f t="shared" si="500"/>
        <v>1</v>
      </c>
      <c r="EC289" s="387">
        <f t="shared" si="501"/>
        <v>1</v>
      </c>
      <c r="ED289" s="388">
        <f t="shared" si="502"/>
        <v>1</v>
      </c>
      <c r="EF289" s="834">
        <f>+IF(DN289=DM289,0,
IF(AND(EF$44&gt;1,DN289=$N289),1-SUM($EE289:EE289),
IF($N289&lt;=1,
IF($N289&gt;0,1/$N289,0),
IF(EF$44=1,0,VDB(1,0,$N289,INT(EF$44-1-1),MIN($N289,INT(EF$44-1-1)+1),$DC289,IF($DD289="No",1,0))/
IF(DM289&gt;=INT($N289),$N289-INT($N289),1)))*
IF(EF$44=1,0,
IF(INT(DN289)=INT(DM289),DN289-DM289,INT(DN289)-DM289))+
IF($N289&lt;=1,
IF($N289&gt;0,1/$N289,0),VDB(1,0,$N289,INT(EF$44-1),MIN($N289,INT(EF$44-1)+1),$DC289,IF($DD289="No",1,0))/
IF(DN289&gt;INT($N289),$N289-INT($N289),1))*
IF(EF$44=1,DN289,
IF(INT(DN289)=INT(DM289),0,DN289-INT(DN289)))))</f>
        <v>0</v>
      </c>
      <c r="EG289" s="835">
        <f>+IF(DO289=DN289,0,
IF(AND(EG$44&gt;1,DO289=$N289),1-SUM($EE289:EF289),
IF($N289&lt;=1,
IF($N289&gt;0,1/$N289,0),
IF(EG$44=1,0,VDB(1,0,$N289,INT(EG$44-1-1),MIN($N289,INT(EG$44-1-1)+1),$DC289,IF($DD289="No",1,0))/
IF(DN289&gt;=INT($N289),$N289-INT($N289),1)))*
IF(EG$44=1,0,
IF(INT(DO289)=INT(DN289),DO289-DN289,INT(DO289)-DN289))+
IF($N289&lt;=1,
IF($N289&gt;0,1/$N289,0),VDB(1,0,$N289,INT(EG$44-1),MIN($N289,INT(EG$44-1)+1),$DC289,IF($DD289="No",1,0))/
IF(DO289&gt;INT($N289),$N289-INT($N289),1))*
IF(EG$44=1,DO289,
IF(INT(DO289)=INT(DN289),0,DO289-INT(DO289)))))</f>
        <v>0</v>
      </c>
      <c r="EH289" s="836">
        <f>+IF(DP289=DO289,0,
IF(AND(EH$44&gt;1,DP289=$N289),1-SUM($EE289:EG289),
IF($N289&lt;=1,
IF($N289&gt;0,1/$N289,0),
IF(EH$44=1,0,VDB(1,0,$N289,INT(EH$44-1-1),MIN($N289,INT(EH$44-1-1)+1),$DC289,IF($DD289="No",1,0))/
IF(DO289&gt;=INT($N289),$N289-INT($N289),1)))*
IF(EH$44=1,0,
IF(INT(DP289)=INT(DO289),DP289-DO289,INT(DP289)-DO289))+
IF($N289&lt;=1,
IF($N289&gt;0,1/$N289,0),VDB(1,0,$N289,INT(EH$44-1),MIN($N289,INT(EH$44-1)+1),$DC289,IF($DD289="No",1,0))/
IF(DP289&gt;INT($N289),$N289-INT($N289),1))*
IF(EH$44=1,DP289,
IF(INT(DP289)=INT(DO289),0,DP289-INT(DP289)))))</f>
        <v>0</v>
      </c>
      <c r="EI289" s="834">
        <f>+IF(DQ289=DP289,0,
IF(AND(EI$44&gt;1,DQ289=$N289),1-SUM($EE289:EH289),
IF($N289&lt;=1,
IF($N289&gt;0,1/$N289,0),
IF(EI$44=1,0,VDB(1,0,$N289,INT(EI$44-1-1),MIN($N289,INT(EI$44-1-1)+1),$DC289,IF($DD289="No",1,0))/
IF(DP289&gt;=INT($N289),$N289-INT($N289),1)))*
IF(EI$44=1,0,
IF(INT(DQ289)=INT(DP289),DQ289-DP289,INT(DQ289)-DP289))+
IF($N289&lt;=1,
IF($N289&gt;0,1/$N289,0),VDB(1,0,$N289,INT(EI$44-1),MIN($N289,INT(EI$44-1)+1),$DC289,IF($DD289="No",1,0))/
IF(DQ289&gt;INT($N289),$N289-INT($N289),1))*
IF(EI$44=1,DQ289,
IF(INT(DQ289)=INT(DP289),0,DQ289-INT(DQ289)))))</f>
        <v>0</v>
      </c>
      <c r="EJ289" s="835">
        <f>+IF(DR289=DQ289,0,
IF(AND(EJ$44&gt;1,DR289=$N289),1-SUM($EE289:EI289),
IF($N289&lt;=1,
IF($N289&gt;0,1/$N289,0),
IF(EJ$44=1,0,VDB(1,0,$N289,INT(EJ$44-1-1),MIN($N289,INT(EJ$44-1-1)+1),$DC289,IF($DD289="No",1,0))/
IF(DQ289&gt;=INT($N289),$N289-INT($N289),1)))*
IF(EJ$44=1,0,
IF(INT(DR289)=INT(DQ289),DR289-DQ289,INT(DR289)-DQ289))+
IF($N289&lt;=1,
IF($N289&gt;0,1/$N289,0),VDB(1,0,$N289,INT(EJ$44-1),MIN($N289,INT(EJ$44-1)+1),$DC289,IF($DD289="No",1,0))/
IF(DR289&gt;INT($N289),$N289-INT($N289),1))*
IF(EJ$44=1,DR289,
IF(INT(DR289)=INT(DQ289),0,DR289-INT(DR289)))))</f>
        <v>0</v>
      </c>
      <c r="EK289" s="835">
        <f>+IF(DS289=DR289,0,
IF(AND(EK$44&gt;1,DS289=$N289),1-SUM($EE289:EJ289),
IF($N289&lt;=1,
IF($N289&gt;0,1/$N289,0),
IF(EK$44=1,0,VDB(1,0,$N289,INT(EK$44-1-1),MIN($N289,INT(EK$44-1-1)+1),$DC289,IF($DD289="No",1,0))/
IF(DR289&gt;=INT($N289),$N289-INT($N289),1)))*
IF(EK$44=1,0,
IF(INT(DS289)=INT(DR289),DS289-DR289,INT(DS289)-DR289))+
IF($N289&lt;=1,
IF($N289&gt;0,1/$N289,0),VDB(1,0,$N289,INT(EK$44-1),MIN($N289,INT(EK$44-1)+1),$DC289,IF($DD289="No",1,0))/
IF(DS289&gt;INT($N289),$N289-INT($N289),1))*
IF(EK$44=1,DS289,
IF(INT(DS289)=INT(DR289),0,DS289-INT(DS289)))))</f>
        <v>0</v>
      </c>
      <c r="EL289" s="835">
        <f>+IF(DT289=DS289,0,
IF(AND(EL$44&gt;1,DT289=$N289),1-SUM($EE289:EK289),
IF($N289&lt;=1,
IF($N289&gt;0,1/$N289,0),
IF(EL$44=1,0,VDB(1,0,$N289,INT(EL$44-1-1),MIN($N289,INT(EL$44-1-1)+1),$DC289,IF($DD289="No",1,0))/
IF(DS289&gt;=INT($N289),$N289-INT($N289),1)))*
IF(EL$44=1,0,
IF(INT(DT289)=INT(DS289),DT289-DS289,INT(DT289)-DS289))+
IF($N289&lt;=1,
IF($N289&gt;0,1/$N289,0),VDB(1,0,$N289,INT(EL$44-1),MIN($N289,INT(EL$44-1)+1),$DC289,IF($DD289="No",1,0))/
IF(DT289&gt;INT($N289),$N289-INT($N289),1))*
IF(EL$44=1,DT289,
IF(INT(DT289)=INT(DS289),0,DT289-INT(DT289)))))</f>
        <v>0</v>
      </c>
      <c r="EM289" s="836">
        <f>+IF(DU289=DT289,0,
IF(AND(EM$44&gt;1,DU289=$N289),1-SUM($EE289:EL289),
IF($N289&lt;=1,
IF($N289&gt;0,1/$N289,0),
IF(EM$44=1,0,VDB(1,0,$N289,INT(EM$44-1-1),MIN($N289,INT(EM$44-1-1)+1),$DC289,IF($DD289="No",1,0))/
IF(DT289&gt;=INT($N289),$N289-INT($N289),1)))*
IF(EM$44=1,0,
IF(INT(DU289)=INT(DT289),DU289-DT289,INT(DU289)-DT289))+
IF($N289&lt;=1,
IF($N289&gt;0,1/$N289,0),VDB(1,0,$N289,INT(EM$44-1),MIN($N289,INT(EM$44-1)+1),$DC289,IF($DD289="No",1,0))/
IF(DU289&gt;INT($N289),$N289-INT($N289),1))*
IF(EM$44=1,DU289,
IF(INT(DU289)=INT(DT289),0,DU289-INT(DU289)))))</f>
        <v>0</v>
      </c>
      <c r="EN289" s="833"/>
      <c r="EO289" s="834">
        <f>+IF(OR(DW289=DV289,EO$44=1),0,
IF(AND(EO$44&gt;1,DW289=$N289),1-SUM($EN289:EN289),
IF($N289&lt;=1,
IF($N289&gt;0,1/$N289,0),
IF(EO$44=2,0,VDB(1,0,$N289,INT(EO$44-2-1),MIN($N289,INT(EO$44-2-1)+1),$DC289,IF($DD289="No",1,0))/
IF(DV289&gt;=INT($N289),$N289-INT($N289),1)))*
IF(EO$44=2,0,
IF(INT(DW289)=INT(DV289),DW289-DV289,INT(DW289)-DV289))+
IF($N289&lt;=1,
IF($N289&gt;0,1/$N289,0),VDB(1,0,$N289,INT(EO$44-2),MIN($N289,INT(EO$44-2)+1),$DC289,IF($DD289="No",1,0))/
IF(DW289&gt;INT($N289),$N289-INT($N289),1))*
IF(EO$44=2,DW289,
IF(INT(DW289)=INT(DV289),0,DW289-INT(DW289)))))</f>
        <v>0</v>
      </c>
      <c r="EP289" s="835">
        <f>+IF(OR(DX289=DW289,EP$44=1),0,
IF(AND(EP$44&gt;1,DX289=$N289),1-SUM($EN289:EO289),
IF($N289&lt;=1,
IF($N289&gt;0,1/$N289,0),
IF(EP$44=2,0,VDB(1,0,$N289,INT(EP$44-2-1),MIN($N289,INT(EP$44-2-1)+1),$DC289,IF($DD289="No",1,0))/
IF(DW289&gt;=INT($N289),$N289-INT($N289),1)))*
IF(EP$44=2,0,
IF(INT(DX289)=INT(DW289),DX289-DW289,INT(DX289)-DW289))+
IF($N289&lt;=1,
IF($N289&gt;0,1/$N289,0),VDB(1,0,$N289,INT(EP$44-2),MIN($N289,INT(EP$44-2)+1),$DC289,IF($DD289="No",1,0))/
IF(DX289&gt;INT($N289),$N289-INT($N289),1))*
IF(EP$44=2,DX289,
IF(INT(DX289)=INT(DW289),0,DX289-INT(DX289)))))</f>
        <v>0</v>
      </c>
      <c r="EQ289" s="836">
        <f>+IF(OR(DY289=DX289,EQ$44=1),0,
IF(AND(EQ$44&gt;1,DY289=$N289),1-SUM($EN289:EP289),
IF($N289&lt;=1,
IF($N289&gt;0,1/$N289,0),
IF(EQ$44=2,0,VDB(1,0,$N289,INT(EQ$44-2-1),MIN($N289,INT(EQ$44-2-1)+1),$DC289,IF($DD289="No",1,0))/
IF(DX289&gt;=INT($N289),$N289-INT($N289),1)))*
IF(EQ$44=2,0,
IF(INT(DY289)=INT(DX289),DY289-DX289,INT(DY289)-DX289))+
IF($N289&lt;=1,
IF($N289&gt;0,1/$N289,0),VDB(1,0,$N289,INT(EQ$44-2),MIN($N289,INT(EQ$44-2)+1),$DC289,IF($DD289="No",1,0))/
IF(DY289&gt;INT($N289),$N289-INT($N289),1))*
IF(EQ$44=2,DY289,
IF(INT(DY289)=INT(DX289),0,DY289-INT(DY289)))))</f>
        <v>0</v>
      </c>
      <c r="ER289" s="834">
        <f>+IF(OR(DZ289=DY289,ER$44=1),0,
IF(AND(ER$44&gt;1,DZ289=$N289),1-SUM($EN289:EQ289),
IF($N289&lt;=1,
IF($N289&gt;0,1/$N289,0),
IF(ER$44=2,0,VDB(1,0,$N289,INT(ER$44-2-1),MIN($N289,INT(ER$44-2-1)+1),$DC289,IF($DD289="No",1,0))/
IF(DY289&gt;=INT($N289),$N289-INT($N289),1)))*
IF(ER$44=2,0,
IF(INT(DZ289)=INT(DY289),DZ289-DY289,INT(DZ289)-DY289))+
IF($N289&lt;=1,
IF($N289&gt;0,1/$N289,0),VDB(1,0,$N289,INT(ER$44-2),MIN($N289,INT(ER$44-2)+1),$DC289,IF($DD289="No",1,0))/
IF(DZ289&gt;INT($N289),$N289-INT($N289),1))*
IF(ER$44=2,DZ289,
IF(INT(DZ289)=INT(DY289),0,DZ289-INT(DZ289)))))</f>
        <v>0</v>
      </c>
      <c r="ES289" s="835">
        <f>+IF(OR(EA289=DZ289,ES$44=1),0,
IF(AND(ES$44&gt;1,EA289=$N289),1-SUM($EN289:ER289),
IF($N289&lt;=1,
IF($N289&gt;0,1/$N289,0),
IF(ES$44=2,0,VDB(1,0,$N289,INT(ES$44-2-1),MIN($N289,INT(ES$44-2-1)+1),$DC289,IF($DD289="No",1,0))/
IF(DZ289&gt;=INT($N289),$N289-INT($N289),1)))*
IF(ES$44=2,0,
IF(INT(EA289)=INT(DZ289),EA289-DZ289,INT(EA289)-DZ289))+
IF($N289&lt;=1,
IF($N289&gt;0,1/$N289,0),VDB(1,0,$N289,INT(ES$44-2),MIN($N289,INT(ES$44-2)+1),$DC289,IF($DD289="No",1,0))/
IF(EA289&gt;INT($N289),$N289-INT($N289),1))*
IF(ES$44=2,EA289,
IF(INT(EA289)=INT(DZ289),0,EA289-INT(EA289)))))</f>
        <v>0</v>
      </c>
      <c r="ET289" s="835">
        <f>+IF(OR(EB289=EA289,ET$44=1),0,
IF(AND(ET$44&gt;1,EB289=$N289),1-SUM($EN289:ES289),
IF($N289&lt;=1,
IF($N289&gt;0,1/$N289,0),
IF(ET$44=2,0,VDB(1,0,$N289,INT(ET$44-2-1),MIN($N289,INT(ET$44-2-1)+1),$DC289,IF($DD289="No",1,0))/
IF(EA289&gt;=INT($N289),$N289-INT($N289),1)))*
IF(ET$44=2,0,
IF(INT(EB289)=INT(EA289),EB289-EA289,INT(EB289)-EA289))+
IF($N289&lt;=1,
IF($N289&gt;0,1/$N289,0),VDB(1,0,$N289,INT(ET$44-2),MIN($N289,INT(ET$44-2)+1),$DC289,IF($DD289="No",1,0))/
IF(EB289&gt;INT($N289),$N289-INT($N289),1))*
IF(ET$44=2,EB289,
IF(INT(EB289)=INT(EA289),0,EB289-INT(EB289)))))</f>
        <v>0</v>
      </c>
      <c r="EU289" s="835">
        <f>+IF(OR(EC289=EB289,EU$44=1),0,
IF(AND(EU$44&gt;1,EC289=$N289),1-SUM($EN289:ET289),
IF($N289&lt;=1,
IF($N289&gt;0,1/$N289,0),
IF(EU$44=2,0,VDB(1,0,$N289,INT(EU$44-2-1),MIN($N289,INT(EU$44-2-1)+1),$DC289,IF($DD289="No",1,0))/
IF(EB289&gt;=INT($N289),$N289-INT($N289),1)))*
IF(EU$44=2,0,
IF(INT(EC289)=INT(EB289),EC289-EB289,INT(EC289)-EB289))+
IF($N289&lt;=1,
IF($N289&gt;0,1/$N289,0),VDB(1,0,$N289,INT(EU$44-2),MIN($N289,INT(EU$44-2)+1),$DC289,IF($DD289="No",1,0))/
IF(EC289&gt;INT($N289),$N289-INT($N289),1))*
IF(EU$44=2,EC289,
IF(INT(EC289)=INT(EB289),0,EC289-INT(EC289)))))</f>
        <v>0</v>
      </c>
      <c r="EV289" s="836">
        <f>+IF(OR(ED289=EC289,EV$44=1),0,
IF(AND(EV$44&gt;1,ED289=$N289),1-SUM($EN289:EU289),
IF($N289&lt;=1,
IF($N289&gt;0,1/$N289,0),
IF(EV$44=2,0,VDB(1,0,$N289,INT(EV$44-2-1),MIN($N289,INT(EV$44-2-1)+1),$DC289,IF($DD289="No",1,0))/
IF(EC289&gt;=INT($N289),$N289-INT($N289),1)))*
IF(EV$44=2,0,
IF(INT(ED289)=INT(EC289),ED289-EC289,INT(ED289)-EC289))+
IF($N289&lt;=1,
IF($N289&gt;0,1/$N289,0),VDB(1,0,$N289,INT(EV$44-2),MIN($N289,INT(EV$44-2)+1),$DC289,IF($DD289="No",1,0))/
IF(ED289&gt;INT($N289),$N289-INT($N289),1))*
IF(EV$44=2,ED289,
IF(INT(ED289)=INT(EC289),0,ED289-INT(ED289)))))</f>
        <v>0</v>
      </c>
      <c r="EW289" s="833"/>
      <c r="EX289" s="834">
        <f t="shared" ca="1" si="513"/>
        <v>0</v>
      </c>
      <c r="EY289" s="835">
        <f t="shared" ca="1" si="513"/>
        <v>0</v>
      </c>
      <c r="EZ289" s="836">
        <f t="shared" ca="1" si="513"/>
        <v>0</v>
      </c>
      <c r="FA289" s="834">
        <f t="shared" ca="1" si="513"/>
        <v>0</v>
      </c>
      <c r="FB289" s="835">
        <f t="shared" ca="1" si="513"/>
        <v>0</v>
      </c>
      <c r="FC289" s="835">
        <f t="shared" ca="1" si="513"/>
        <v>0</v>
      </c>
      <c r="FD289" s="835">
        <f t="shared" ca="1" si="513"/>
        <v>0</v>
      </c>
      <c r="FE289" s="836">
        <f t="shared" ca="1" si="513"/>
        <v>0</v>
      </c>
      <c r="FG289" s="386">
        <f t="shared" ca="1" si="504"/>
        <v>0</v>
      </c>
      <c r="FH289" s="387">
        <f t="shared" ca="1" si="505"/>
        <v>0</v>
      </c>
      <c r="FI289" s="388">
        <f t="shared" ca="1" si="506"/>
        <v>0</v>
      </c>
      <c r="FJ289" s="386">
        <f t="shared" ca="1" si="507"/>
        <v>0</v>
      </c>
      <c r="FK289" s="387">
        <f t="shared" ca="1" si="508"/>
        <v>0</v>
      </c>
      <c r="FL289" s="387">
        <f t="shared" ca="1" si="509"/>
        <v>0</v>
      </c>
      <c r="FM289" s="387">
        <f t="shared" ca="1" si="510"/>
        <v>0</v>
      </c>
      <c r="FN289" s="388">
        <f t="shared" ca="1" si="511"/>
        <v>0</v>
      </c>
      <c r="FR289" s="116"/>
    </row>
    <row r="290" spans="2:174">
      <c r="B290" s="1410">
        <f t="shared" si="512"/>
        <v>244</v>
      </c>
      <c r="C290" s="400"/>
      <c r="D290" s="410"/>
      <c r="E290" s="402"/>
      <c r="F290" s="402"/>
      <c r="G290" s="400"/>
      <c r="H290" s="2088"/>
      <c r="I290" s="2089"/>
      <c r="J290" s="411"/>
      <c r="K290" s="403"/>
      <c r="L290" s="403"/>
      <c r="M290" s="403"/>
      <c r="N290" s="403"/>
      <c r="O290" s="347"/>
      <c r="P290" s="347"/>
      <c r="Q290" s="1021"/>
      <c r="R290" s="1022"/>
      <c r="S290" s="1022"/>
      <c r="T290" s="1022"/>
      <c r="U290" s="1023"/>
      <c r="V290" s="1021"/>
      <c r="W290" s="1022"/>
      <c r="X290" s="1022"/>
      <c r="Y290" s="1022"/>
      <c r="Z290" s="1023"/>
      <c r="AA290" s="1024"/>
      <c r="AB290" s="1021"/>
      <c r="AC290" s="1022"/>
      <c r="AD290" s="1022"/>
      <c r="AE290" s="1022"/>
      <c r="AF290" s="1023"/>
      <c r="AG290" s="1021"/>
      <c r="AH290" s="1022"/>
      <c r="AI290" s="1022"/>
      <c r="AJ290" s="1022"/>
      <c r="AK290" s="1023"/>
      <c r="AL290" s="1024"/>
      <c r="AM290" s="1021"/>
      <c r="AN290" s="1022"/>
      <c r="AO290" s="1022"/>
      <c r="AP290" s="1022"/>
      <c r="AQ290" s="1023"/>
      <c r="AR290" s="1021"/>
      <c r="AS290" s="1022"/>
      <c r="AT290" s="1022"/>
      <c r="AU290" s="1022"/>
      <c r="AV290" s="1023"/>
      <c r="AW290" s="1025"/>
      <c r="AX290" s="1282">
        <f t="shared" si="457"/>
        <v>0</v>
      </c>
      <c r="AY290" s="387">
        <f t="shared" si="458"/>
        <v>0</v>
      </c>
      <c r="AZ290" s="387">
        <f t="shared" si="459"/>
        <v>0</v>
      </c>
      <c r="BA290" s="387">
        <f t="shared" si="460"/>
        <v>0</v>
      </c>
      <c r="BB290" s="1283">
        <f t="shared" si="461"/>
        <v>0</v>
      </c>
      <c r="BC290" s="386">
        <f t="shared" si="462"/>
        <v>0</v>
      </c>
      <c r="BD290" s="387">
        <f t="shared" si="463"/>
        <v>0</v>
      </c>
      <c r="BE290" s="1277">
        <f t="shared" si="464"/>
        <v>0</v>
      </c>
      <c r="BF290" s="1277">
        <f t="shared" si="465"/>
        <v>0</v>
      </c>
      <c r="BG290" s="388">
        <f t="shared" si="466"/>
        <v>0</v>
      </c>
      <c r="BH290" s="1025"/>
      <c r="BI290" s="1282">
        <f t="shared" ca="1" si="467"/>
        <v>0</v>
      </c>
      <c r="BJ290" s="387">
        <f t="shared" ca="1" si="468"/>
        <v>0</v>
      </c>
      <c r="BK290" s="387">
        <f t="shared" ca="1" si="469"/>
        <v>0</v>
      </c>
      <c r="BL290" s="387">
        <f t="shared" ca="1" si="470"/>
        <v>0</v>
      </c>
      <c r="BM290" s="1283">
        <f t="shared" ca="1" si="471"/>
        <v>0</v>
      </c>
      <c r="BN290" s="386">
        <f t="shared" ca="1" si="472"/>
        <v>0</v>
      </c>
      <c r="BO290" s="387">
        <f t="shared" ca="1" si="473"/>
        <v>0</v>
      </c>
      <c r="BP290" s="1277">
        <f t="shared" ca="1" si="474"/>
        <v>0</v>
      </c>
      <c r="BQ290" s="1277">
        <f t="shared" ca="1" si="475"/>
        <v>0</v>
      </c>
      <c r="BR290" s="388">
        <f t="shared" ca="1" si="476"/>
        <v>0</v>
      </c>
      <c r="BS290" s="1025"/>
      <c r="BT290" s="1282">
        <f>+IF($K290="Ongoing",AX290,IF(RIGHT($K290,2)=RIGHT(BT$43,2),SUM($AX290:AX290),0)+IF(RIGHT(BT$43,2)&gt;RIGHT($K290,2),AX290,0))</f>
        <v>0</v>
      </c>
      <c r="BU290" s="387">
        <f>+IF($K290="Ongoing",AY290,IF(RIGHT($K290,2)=RIGHT(BU$43,2),SUM($AX290:AY290),0)+IF(RIGHT(BU$43,2)&gt;RIGHT($K290,2),AY290,0))</f>
        <v>0</v>
      </c>
      <c r="BV290" s="387">
        <f>+IF($K290="Ongoing",AZ290,IF(RIGHT($K290,2)=RIGHT(BV$43,2),SUM($AX290:AZ290),0)+IF(RIGHT(BV$43,2)&gt;RIGHT($K290,2),AZ290,0))</f>
        <v>0</v>
      </c>
      <c r="BW290" s="387">
        <f>+IF($K290="Ongoing",BA290,IF(RIGHT($K290,2)=RIGHT(BW$43,2),SUM($AX290:BA290),0)+IF(RIGHT(BW$43,2)&gt;RIGHT($K290,2),BA290,0))</f>
        <v>0</v>
      </c>
      <c r="BX290" s="1283">
        <f>+IF($K290="Ongoing",BB290,IF(RIGHT($K290,2)=RIGHT(BX$43,2),SUM($AX290:BB290),0)+IF(RIGHT(BX$43,2)&gt;RIGHT($K290,2),BB290,0))</f>
        <v>0</v>
      </c>
      <c r="BY290" s="386">
        <f>+IF($K290="Ongoing",BC290,IF(RIGHT($K290,2)=RIGHT(BY$43,2),SUM($AX290:BC290),0)+IF(RIGHT(BY$43,2)&gt;RIGHT($K290,2),BC290,0))</f>
        <v>0</v>
      </c>
      <c r="BZ290" s="387">
        <f>+IF($K290="Ongoing",BD290,IF(RIGHT($K290,2)=RIGHT(BZ$43,2),SUM($AX290:BD290),0)+IF(RIGHT(BZ$43,2)&gt;RIGHT($K290,2),BD290,0))</f>
        <v>0</v>
      </c>
      <c r="CA290" s="1277">
        <f>+IF($K290="Ongoing",BE290,IF(RIGHT($K290,2)=RIGHT(CA$43,2),SUM($AX290:BE290),0)+IF(RIGHT(CA$43,2)&gt;RIGHT($K290,2),BE290,0))</f>
        <v>0</v>
      </c>
      <c r="CB290" s="1277">
        <f>+IF($K290="Ongoing",BF290,IF(RIGHT($K290,2)=RIGHT(CB$43,2),SUM($AX290:BF290),0)+IF(RIGHT(CB$43,2)&gt;RIGHT($K290,2),BF290,0))</f>
        <v>0</v>
      </c>
      <c r="CC290" s="388">
        <f>+IF($K290="Ongoing",BG290,IF(RIGHT($K290,2)=RIGHT(CC$43,2),SUM($AX290:BG290),0)+IF(RIGHT(CC$43,2)&gt;RIGHT($K290,2),BG290,0))</f>
        <v>0</v>
      </c>
      <c r="CD290" s="1025"/>
      <c r="CE290" s="1282">
        <f>+Q290*KeyAssumptionsPriceControl_FO!AF$15</f>
        <v>0</v>
      </c>
      <c r="CF290" s="387">
        <f>+R290*KeyAssumptionsPriceControl_FO!AG$15</f>
        <v>0</v>
      </c>
      <c r="CG290" s="387">
        <f>+S290*KeyAssumptionsPriceControl_FO!AH$15</f>
        <v>0</v>
      </c>
      <c r="CH290" s="387">
        <f>+T290*KeyAssumptionsPriceControl_FO!AI$15</f>
        <v>0</v>
      </c>
      <c r="CI290" s="1283">
        <f>+U290*KeyAssumptionsPriceControl_FO!AJ$15</f>
        <v>0</v>
      </c>
      <c r="CJ290" s="386">
        <f>+V290*KeyAssumptionsPriceControl_FO!AK$15</f>
        <v>0</v>
      </c>
      <c r="CK290" s="387">
        <f>+W290*KeyAssumptionsPriceControl_FO!AL$15</f>
        <v>0</v>
      </c>
      <c r="CL290" s="1277">
        <f>+X290*KeyAssumptionsPriceControl_FO!AM$15</f>
        <v>0</v>
      </c>
      <c r="CM290" s="1277">
        <f>+Y290*KeyAssumptionsPriceControl_FO!AN$15</f>
        <v>0</v>
      </c>
      <c r="CN290" s="388">
        <f>+Z290*KeyAssumptionsPriceControl_FO!AO$15</f>
        <v>0</v>
      </c>
      <c r="CO290" s="1025"/>
      <c r="CP290" s="1282">
        <f t="shared" ca="1" si="477"/>
        <v>0</v>
      </c>
      <c r="CQ290" s="387">
        <f t="shared" ca="1" si="478"/>
        <v>0</v>
      </c>
      <c r="CR290" s="387">
        <f t="shared" ca="1" si="479"/>
        <v>0</v>
      </c>
      <c r="CS290" s="387">
        <f t="shared" ca="1" si="480"/>
        <v>0</v>
      </c>
      <c r="CT290" s="1283">
        <f t="shared" ca="1" si="481"/>
        <v>0</v>
      </c>
      <c r="CU290" s="386">
        <f t="shared" ca="1" si="482"/>
        <v>0</v>
      </c>
      <c r="CV290" s="387">
        <f t="shared" ca="1" si="483"/>
        <v>0</v>
      </c>
      <c r="CW290" s="1277">
        <f t="shared" ca="1" si="484"/>
        <v>0</v>
      </c>
      <c r="CX290" s="1277">
        <f t="shared" ca="1" si="485"/>
        <v>0</v>
      </c>
      <c r="CY290" s="388">
        <f t="shared" ca="1" si="486"/>
        <v>0</v>
      </c>
      <c r="CZ290" s="347"/>
      <c r="DA290" s="852"/>
      <c r="DB290" s="347"/>
      <c r="DC290" s="1012" t="s">
        <v>595</v>
      </c>
      <c r="DD290" s="841" t="s">
        <v>518</v>
      </c>
      <c r="DE290" s="386">
        <f>+IF($K290="ongoing",CE290,IF(RIGHT($K290,2)=RIGHT(DE$43,2),SUM($CD290:CE290),0)+IF(RIGHT(DE$43,2)&gt;RIGHT($K290,2),CE290,0))</f>
        <v>0</v>
      </c>
      <c r="DF290" s="387">
        <f>+IF($K290="ongoing",CF290,IF(RIGHT($K290,2)=RIGHT(DF$43,2),SUM($CD290:CF290),0)+IF(RIGHT(DF$43,2)&gt;RIGHT($K290,2),CF290,0))</f>
        <v>0</v>
      </c>
      <c r="DG290" s="388">
        <f>+IF($K290="ongoing",CG290,IF(RIGHT($K290,2)=RIGHT(DG$43,2),SUM($CD290:CG290),0)+IF(RIGHT(DG$43,2)&gt;RIGHT($K290,2),CG290,0))</f>
        <v>0</v>
      </c>
      <c r="DH290" s="386">
        <f>+IF($K290="ongoing",CH290,IF(RIGHT($K290,2)=RIGHT(DH$43,2),SUM($CD290:CH290),0)+IF(RIGHT(DH$43,2)&gt;RIGHT($K290,2),CH290,0))</f>
        <v>0</v>
      </c>
      <c r="DI290" s="387">
        <f>+IF($K290="ongoing",CI290,IF(RIGHT($K290,2)=RIGHT(DI$43,2),SUM($CD290:CI290),0)+IF(RIGHT(DI$43,2)&gt;RIGHT($K290,2),CI290,0))</f>
        <v>0</v>
      </c>
      <c r="DJ290" s="387">
        <f>+IF($K290="ongoing",CJ290,IF(RIGHT($K290,2)=RIGHT(DJ$43,2),SUM($CD290:CJ290),0)+IF(RIGHT(DJ$43,2)&gt;RIGHT($K290,2),CJ290,0))</f>
        <v>0</v>
      </c>
      <c r="DK290" s="387">
        <f>+IF($K290="ongoing",CK290,IF(RIGHT($K290,2)=RIGHT(DK$43,2),SUM($CD290:CK290),0)+IF(RIGHT(DK$43,2)&gt;RIGHT($K290,2),CK290,0))</f>
        <v>0</v>
      </c>
      <c r="DL290" s="388">
        <f>+IF($K290="ongoing",CN290,IF(RIGHT($K290,2)=RIGHT(DL$43,2),SUM($CD290:CN290),0)+IF(RIGHT(DL$43,2)&gt;RIGHT($K290,2),CN290,0))</f>
        <v>0</v>
      </c>
      <c r="DM290" s="841"/>
      <c r="DN290" s="386">
        <f t="shared" si="487"/>
        <v>0.5</v>
      </c>
      <c r="DO290" s="387">
        <f t="shared" si="488"/>
        <v>1</v>
      </c>
      <c r="DP290" s="388">
        <f t="shared" si="489"/>
        <v>1</v>
      </c>
      <c r="DQ290" s="386">
        <f t="shared" si="490"/>
        <v>1</v>
      </c>
      <c r="DR290" s="387">
        <f t="shared" si="491"/>
        <v>1</v>
      </c>
      <c r="DS290" s="387">
        <f t="shared" si="492"/>
        <v>1</v>
      </c>
      <c r="DT290" s="387">
        <f t="shared" si="493"/>
        <v>1</v>
      </c>
      <c r="DU290" s="388">
        <f t="shared" si="494"/>
        <v>1</v>
      </c>
      <c r="DW290" s="386">
        <f t="shared" si="495"/>
        <v>0</v>
      </c>
      <c r="DX290" s="387">
        <f t="shared" si="496"/>
        <v>0.5</v>
      </c>
      <c r="DY290" s="388">
        <f t="shared" si="497"/>
        <v>1</v>
      </c>
      <c r="DZ290" s="386">
        <f t="shared" si="498"/>
        <v>1</v>
      </c>
      <c r="EA290" s="387">
        <f t="shared" si="499"/>
        <v>1</v>
      </c>
      <c r="EB290" s="387">
        <f t="shared" si="500"/>
        <v>1</v>
      </c>
      <c r="EC290" s="387">
        <f t="shared" si="501"/>
        <v>1</v>
      </c>
      <c r="ED290" s="388">
        <f t="shared" si="502"/>
        <v>1</v>
      </c>
      <c r="EF290" s="834">
        <f>+IF(DN290=DM290,0,
IF(AND(EF$44&gt;1,DN290=$N290),1-SUM($EE290:EE290),
IF($N290&lt;=1,
IF($N290&gt;0,1/$N290,0),
IF(EF$44=1,0,VDB(1,0,$N290,INT(EF$44-1-1),MIN($N290,INT(EF$44-1-1)+1),$DC290,IF($DD290="No",1,0))/
IF(DM290&gt;=INT($N290),$N290-INT($N290),1)))*
IF(EF$44=1,0,
IF(INT(DN290)=INT(DM290),DN290-DM290,INT(DN290)-DM290))+
IF($N290&lt;=1,
IF($N290&gt;0,1/$N290,0),VDB(1,0,$N290,INT(EF$44-1),MIN($N290,INT(EF$44-1)+1),$DC290,IF($DD290="No",1,0))/
IF(DN290&gt;INT($N290),$N290-INT($N290),1))*
IF(EF$44=1,DN290,
IF(INT(DN290)=INT(DM290),0,DN290-INT(DN290)))))</f>
        <v>0</v>
      </c>
      <c r="EG290" s="835">
        <f>+IF(DO290=DN290,0,
IF(AND(EG$44&gt;1,DO290=$N290),1-SUM($EE290:EF290),
IF($N290&lt;=1,
IF($N290&gt;0,1/$N290,0),
IF(EG$44=1,0,VDB(1,0,$N290,INT(EG$44-1-1),MIN($N290,INT(EG$44-1-1)+1),$DC290,IF($DD290="No",1,0))/
IF(DN290&gt;=INT($N290),$N290-INT($N290),1)))*
IF(EG$44=1,0,
IF(INT(DO290)=INT(DN290),DO290-DN290,INT(DO290)-DN290))+
IF($N290&lt;=1,
IF($N290&gt;0,1/$N290,0),VDB(1,0,$N290,INT(EG$44-1),MIN($N290,INT(EG$44-1)+1),$DC290,IF($DD290="No",1,0))/
IF(DO290&gt;INT($N290),$N290-INT($N290),1))*
IF(EG$44=1,DO290,
IF(INT(DO290)=INT(DN290),0,DO290-INT(DO290)))))</f>
        <v>0</v>
      </c>
      <c r="EH290" s="836">
        <f>+IF(DP290=DO290,0,
IF(AND(EH$44&gt;1,DP290=$N290),1-SUM($EE290:EG290),
IF($N290&lt;=1,
IF($N290&gt;0,1/$N290,0),
IF(EH$44=1,0,VDB(1,0,$N290,INT(EH$44-1-1),MIN($N290,INT(EH$44-1-1)+1),$DC290,IF($DD290="No",1,0))/
IF(DO290&gt;=INT($N290),$N290-INT($N290),1)))*
IF(EH$44=1,0,
IF(INT(DP290)=INT(DO290),DP290-DO290,INT(DP290)-DO290))+
IF($N290&lt;=1,
IF($N290&gt;0,1/$N290,0),VDB(1,0,$N290,INT(EH$44-1),MIN($N290,INT(EH$44-1)+1),$DC290,IF($DD290="No",1,0))/
IF(DP290&gt;INT($N290),$N290-INT($N290),1))*
IF(EH$44=1,DP290,
IF(INT(DP290)=INT(DO290),0,DP290-INT(DP290)))))</f>
        <v>0</v>
      </c>
      <c r="EI290" s="834">
        <f>+IF(DQ290=DP290,0,
IF(AND(EI$44&gt;1,DQ290=$N290),1-SUM($EE290:EH290),
IF($N290&lt;=1,
IF($N290&gt;0,1/$N290,0),
IF(EI$44=1,0,VDB(1,0,$N290,INT(EI$44-1-1),MIN($N290,INT(EI$44-1-1)+1),$DC290,IF($DD290="No",1,0))/
IF(DP290&gt;=INT($N290),$N290-INT($N290),1)))*
IF(EI$44=1,0,
IF(INT(DQ290)=INT(DP290),DQ290-DP290,INT(DQ290)-DP290))+
IF($N290&lt;=1,
IF($N290&gt;0,1/$N290,0),VDB(1,0,$N290,INT(EI$44-1),MIN($N290,INT(EI$44-1)+1),$DC290,IF($DD290="No",1,0))/
IF(DQ290&gt;INT($N290),$N290-INT($N290),1))*
IF(EI$44=1,DQ290,
IF(INT(DQ290)=INT(DP290),0,DQ290-INT(DQ290)))))</f>
        <v>0</v>
      </c>
      <c r="EJ290" s="835">
        <f>+IF(DR290=DQ290,0,
IF(AND(EJ$44&gt;1,DR290=$N290),1-SUM($EE290:EI290),
IF($N290&lt;=1,
IF($N290&gt;0,1/$N290,0),
IF(EJ$44=1,0,VDB(1,0,$N290,INT(EJ$44-1-1),MIN($N290,INT(EJ$44-1-1)+1),$DC290,IF($DD290="No",1,0))/
IF(DQ290&gt;=INT($N290),$N290-INT($N290),1)))*
IF(EJ$44=1,0,
IF(INT(DR290)=INT(DQ290),DR290-DQ290,INT(DR290)-DQ290))+
IF($N290&lt;=1,
IF($N290&gt;0,1/$N290,0),VDB(1,0,$N290,INT(EJ$44-1),MIN($N290,INT(EJ$44-1)+1),$DC290,IF($DD290="No",1,0))/
IF(DR290&gt;INT($N290),$N290-INT($N290),1))*
IF(EJ$44=1,DR290,
IF(INT(DR290)=INT(DQ290),0,DR290-INT(DR290)))))</f>
        <v>0</v>
      </c>
      <c r="EK290" s="835">
        <f>+IF(DS290=DR290,0,
IF(AND(EK$44&gt;1,DS290=$N290),1-SUM($EE290:EJ290),
IF($N290&lt;=1,
IF($N290&gt;0,1/$N290,0),
IF(EK$44=1,0,VDB(1,0,$N290,INT(EK$44-1-1),MIN($N290,INT(EK$44-1-1)+1),$DC290,IF($DD290="No",1,0))/
IF(DR290&gt;=INT($N290),$N290-INT($N290),1)))*
IF(EK$44=1,0,
IF(INT(DS290)=INT(DR290),DS290-DR290,INT(DS290)-DR290))+
IF($N290&lt;=1,
IF($N290&gt;0,1/$N290,0),VDB(1,0,$N290,INT(EK$44-1),MIN($N290,INT(EK$44-1)+1),$DC290,IF($DD290="No",1,0))/
IF(DS290&gt;INT($N290),$N290-INT($N290),1))*
IF(EK$44=1,DS290,
IF(INT(DS290)=INT(DR290),0,DS290-INT(DS290)))))</f>
        <v>0</v>
      </c>
      <c r="EL290" s="835">
        <f>+IF(DT290=DS290,0,
IF(AND(EL$44&gt;1,DT290=$N290),1-SUM($EE290:EK290),
IF($N290&lt;=1,
IF($N290&gt;0,1/$N290,0),
IF(EL$44=1,0,VDB(1,0,$N290,INT(EL$44-1-1),MIN($N290,INT(EL$44-1-1)+1),$DC290,IF($DD290="No",1,0))/
IF(DS290&gt;=INT($N290),$N290-INT($N290),1)))*
IF(EL$44=1,0,
IF(INT(DT290)=INT(DS290),DT290-DS290,INT(DT290)-DS290))+
IF($N290&lt;=1,
IF($N290&gt;0,1/$N290,0),VDB(1,0,$N290,INT(EL$44-1),MIN($N290,INT(EL$44-1)+1),$DC290,IF($DD290="No",1,0))/
IF(DT290&gt;INT($N290),$N290-INT($N290),1))*
IF(EL$44=1,DT290,
IF(INT(DT290)=INT(DS290),0,DT290-INT(DT290)))))</f>
        <v>0</v>
      </c>
      <c r="EM290" s="836">
        <f>+IF(DU290=DT290,0,
IF(AND(EM$44&gt;1,DU290=$N290),1-SUM($EE290:EL290),
IF($N290&lt;=1,
IF($N290&gt;0,1/$N290,0),
IF(EM$44=1,0,VDB(1,0,$N290,INT(EM$44-1-1),MIN($N290,INT(EM$44-1-1)+1),$DC290,IF($DD290="No",1,0))/
IF(DT290&gt;=INT($N290),$N290-INT($N290),1)))*
IF(EM$44=1,0,
IF(INT(DU290)=INT(DT290),DU290-DT290,INT(DU290)-DT290))+
IF($N290&lt;=1,
IF($N290&gt;0,1/$N290,0),VDB(1,0,$N290,INT(EM$44-1),MIN($N290,INT(EM$44-1)+1),$DC290,IF($DD290="No",1,0))/
IF(DU290&gt;INT($N290),$N290-INT($N290),1))*
IF(EM$44=1,DU290,
IF(INT(DU290)=INT(DT290),0,DU290-INT(DU290)))))</f>
        <v>0</v>
      </c>
      <c r="EN290" s="833"/>
      <c r="EO290" s="834">
        <f>+IF(OR(DW290=DV290,EO$44=1),0,
IF(AND(EO$44&gt;1,DW290=$N290),1-SUM($EN290:EN290),
IF($N290&lt;=1,
IF($N290&gt;0,1/$N290,0),
IF(EO$44=2,0,VDB(1,0,$N290,INT(EO$44-2-1),MIN($N290,INT(EO$44-2-1)+1),$DC290,IF($DD290="No",1,0))/
IF(DV290&gt;=INT($N290),$N290-INT($N290),1)))*
IF(EO$44=2,0,
IF(INT(DW290)=INT(DV290),DW290-DV290,INT(DW290)-DV290))+
IF($N290&lt;=1,
IF($N290&gt;0,1/$N290,0),VDB(1,0,$N290,INT(EO$44-2),MIN($N290,INT(EO$44-2)+1),$DC290,IF($DD290="No",1,0))/
IF(DW290&gt;INT($N290),$N290-INT($N290),1))*
IF(EO$44=2,DW290,
IF(INT(DW290)=INT(DV290),0,DW290-INT(DW290)))))</f>
        <v>0</v>
      </c>
      <c r="EP290" s="835">
        <f>+IF(OR(DX290=DW290,EP$44=1),0,
IF(AND(EP$44&gt;1,DX290=$N290),1-SUM($EN290:EO290),
IF($N290&lt;=1,
IF($N290&gt;0,1/$N290,0),
IF(EP$44=2,0,VDB(1,0,$N290,INT(EP$44-2-1),MIN($N290,INT(EP$44-2-1)+1),$DC290,IF($DD290="No",1,0))/
IF(DW290&gt;=INT($N290),$N290-INT($N290),1)))*
IF(EP$44=2,0,
IF(INT(DX290)=INT(DW290),DX290-DW290,INT(DX290)-DW290))+
IF($N290&lt;=1,
IF($N290&gt;0,1/$N290,0),VDB(1,0,$N290,INT(EP$44-2),MIN($N290,INT(EP$44-2)+1),$DC290,IF($DD290="No",1,0))/
IF(DX290&gt;INT($N290),$N290-INT($N290),1))*
IF(EP$44=2,DX290,
IF(INT(DX290)=INT(DW290),0,DX290-INT(DX290)))))</f>
        <v>0</v>
      </c>
      <c r="EQ290" s="836">
        <f>+IF(OR(DY290=DX290,EQ$44=1),0,
IF(AND(EQ$44&gt;1,DY290=$N290),1-SUM($EN290:EP290),
IF($N290&lt;=1,
IF($N290&gt;0,1/$N290,0),
IF(EQ$44=2,0,VDB(1,0,$N290,INT(EQ$44-2-1),MIN($N290,INT(EQ$44-2-1)+1),$DC290,IF($DD290="No",1,0))/
IF(DX290&gt;=INT($N290),$N290-INT($N290),1)))*
IF(EQ$44=2,0,
IF(INT(DY290)=INT(DX290),DY290-DX290,INT(DY290)-DX290))+
IF($N290&lt;=1,
IF($N290&gt;0,1/$N290,0),VDB(1,0,$N290,INT(EQ$44-2),MIN($N290,INT(EQ$44-2)+1),$DC290,IF($DD290="No",1,0))/
IF(DY290&gt;INT($N290),$N290-INT($N290),1))*
IF(EQ$44=2,DY290,
IF(INT(DY290)=INT(DX290),0,DY290-INT(DY290)))))</f>
        <v>0</v>
      </c>
      <c r="ER290" s="834">
        <f>+IF(OR(DZ290=DY290,ER$44=1),0,
IF(AND(ER$44&gt;1,DZ290=$N290),1-SUM($EN290:EQ290),
IF($N290&lt;=1,
IF($N290&gt;0,1/$N290,0),
IF(ER$44=2,0,VDB(1,0,$N290,INT(ER$44-2-1),MIN($N290,INT(ER$44-2-1)+1),$DC290,IF($DD290="No",1,0))/
IF(DY290&gt;=INT($N290),$N290-INT($N290),1)))*
IF(ER$44=2,0,
IF(INT(DZ290)=INT(DY290),DZ290-DY290,INT(DZ290)-DY290))+
IF($N290&lt;=1,
IF($N290&gt;0,1/$N290,0),VDB(1,0,$N290,INT(ER$44-2),MIN($N290,INT(ER$44-2)+1),$DC290,IF($DD290="No",1,0))/
IF(DZ290&gt;INT($N290),$N290-INT($N290),1))*
IF(ER$44=2,DZ290,
IF(INT(DZ290)=INT(DY290),0,DZ290-INT(DZ290)))))</f>
        <v>0</v>
      </c>
      <c r="ES290" s="835">
        <f>+IF(OR(EA290=DZ290,ES$44=1),0,
IF(AND(ES$44&gt;1,EA290=$N290),1-SUM($EN290:ER290),
IF($N290&lt;=1,
IF($N290&gt;0,1/$N290,0),
IF(ES$44=2,0,VDB(1,0,$N290,INT(ES$44-2-1),MIN($N290,INT(ES$44-2-1)+1),$DC290,IF($DD290="No",1,0))/
IF(DZ290&gt;=INT($N290),$N290-INT($N290),1)))*
IF(ES$44=2,0,
IF(INT(EA290)=INT(DZ290),EA290-DZ290,INT(EA290)-DZ290))+
IF($N290&lt;=1,
IF($N290&gt;0,1/$N290,0),VDB(1,0,$N290,INT(ES$44-2),MIN($N290,INT(ES$44-2)+1),$DC290,IF($DD290="No",1,0))/
IF(EA290&gt;INT($N290),$N290-INT($N290),1))*
IF(ES$44=2,EA290,
IF(INT(EA290)=INT(DZ290),0,EA290-INT(EA290)))))</f>
        <v>0</v>
      </c>
      <c r="ET290" s="835">
        <f>+IF(OR(EB290=EA290,ET$44=1),0,
IF(AND(ET$44&gt;1,EB290=$N290),1-SUM($EN290:ES290),
IF($N290&lt;=1,
IF($N290&gt;0,1/$N290,0),
IF(ET$44=2,0,VDB(1,0,$N290,INT(ET$44-2-1),MIN($N290,INT(ET$44-2-1)+1),$DC290,IF($DD290="No",1,0))/
IF(EA290&gt;=INT($N290),$N290-INT($N290),1)))*
IF(ET$44=2,0,
IF(INT(EB290)=INT(EA290),EB290-EA290,INT(EB290)-EA290))+
IF($N290&lt;=1,
IF($N290&gt;0,1/$N290,0),VDB(1,0,$N290,INT(ET$44-2),MIN($N290,INT(ET$44-2)+1),$DC290,IF($DD290="No",1,0))/
IF(EB290&gt;INT($N290),$N290-INT($N290),1))*
IF(ET$44=2,EB290,
IF(INT(EB290)=INT(EA290),0,EB290-INT(EB290)))))</f>
        <v>0</v>
      </c>
      <c r="EU290" s="835">
        <f>+IF(OR(EC290=EB290,EU$44=1),0,
IF(AND(EU$44&gt;1,EC290=$N290),1-SUM($EN290:ET290),
IF($N290&lt;=1,
IF($N290&gt;0,1/$N290,0),
IF(EU$44=2,0,VDB(1,0,$N290,INT(EU$44-2-1),MIN($N290,INT(EU$44-2-1)+1),$DC290,IF($DD290="No",1,0))/
IF(EB290&gt;=INT($N290),$N290-INT($N290),1)))*
IF(EU$44=2,0,
IF(INT(EC290)=INT(EB290),EC290-EB290,INT(EC290)-EB290))+
IF($N290&lt;=1,
IF($N290&gt;0,1/$N290,0),VDB(1,0,$N290,INT(EU$44-2),MIN($N290,INT(EU$44-2)+1),$DC290,IF($DD290="No",1,0))/
IF(EC290&gt;INT($N290),$N290-INT($N290),1))*
IF(EU$44=2,EC290,
IF(INT(EC290)=INT(EB290),0,EC290-INT(EC290)))))</f>
        <v>0</v>
      </c>
      <c r="EV290" s="836">
        <f>+IF(OR(ED290=EC290,EV$44=1),0,
IF(AND(EV$44&gt;1,ED290=$N290),1-SUM($EN290:EU290),
IF($N290&lt;=1,
IF($N290&gt;0,1/$N290,0),
IF(EV$44=2,0,VDB(1,0,$N290,INT(EV$44-2-1),MIN($N290,INT(EV$44-2-1)+1),$DC290,IF($DD290="No",1,0))/
IF(EC290&gt;=INT($N290),$N290-INT($N290),1)))*
IF(EV$44=2,0,
IF(INT(ED290)=INT(EC290),ED290-EC290,INT(ED290)-EC290))+
IF($N290&lt;=1,
IF($N290&gt;0,1/$N290,0),VDB(1,0,$N290,INT(EV$44-2),MIN($N290,INT(EV$44-2)+1),$DC290,IF($DD290="No",1,0))/
IF(ED290&gt;INT($N290),$N290-INT($N290),1))*
IF(EV$44=2,ED290,
IF(INT(ED290)=INT(EC290),0,ED290-INT(ED290)))))</f>
        <v>0</v>
      </c>
      <c r="EW290" s="833"/>
      <c r="EX290" s="834">
        <f t="shared" ca="1" si="513"/>
        <v>0</v>
      </c>
      <c r="EY290" s="835">
        <f t="shared" ca="1" si="513"/>
        <v>0</v>
      </c>
      <c r="EZ290" s="836">
        <f t="shared" ca="1" si="513"/>
        <v>0</v>
      </c>
      <c r="FA290" s="834">
        <f t="shared" ca="1" si="513"/>
        <v>0</v>
      </c>
      <c r="FB290" s="835">
        <f t="shared" ca="1" si="513"/>
        <v>0</v>
      </c>
      <c r="FC290" s="835">
        <f t="shared" ca="1" si="513"/>
        <v>0</v>
      </c>
      <c r="FD290" s="835">
        <f t="shared" ca="1" si="513"/>
        <v>0</v>
      </c>
      <c r="FE290" s="836">
        <f t="shared" ca="1" si="513"/>
        <v>0</v>
      </c>
      <c r="FG290" s="386">
        <f t="shared" ca="1" si="504"/>
        <v>0</v>
      </c>
      <c r="FH290" s="387">
        <f t="shared" ca="1" si="505"/>
        <v>0</v>
      </c>
      <c r="FI290" s="388">
        <f t="shared" ca="1" si="506"/>
        <v>0</v>
      </c>
      <c r="FJ290" s="386">
        <f t="shared" ca="1" si="507"/>
        <v>0</v>
      </c>
      <c r="FK290" s="387">
        <f t="shared" ca="1" si="508"/>
        <v>0</v>
      </c>
      <c r="FL290" s="387">
        <f t="shared" ca="1" si="509"/>
        <v>0</v>
      </c>
      <c r="FM290" s="387">
        <f t="shared" ca="1" si="510"/>
        <v>0</v>
      </c>
      <c r="FN290" s="388">
        <f t="shared" ca="1" si="511"/>
        <v>0</v>
      </c>
      <c r="FR290" s="116"/>
    </row>
    <row r="291" spans="2:174">
      <c r="B291" s="1410">
        <f t="shared" si="512"/>
        <v>245</v>
      </c>
      <c r="C291" s="400"/>
      <c r="D291" s="410"/>
      <c r="E291" s="402"/>
      <c r="F291" s="402"/>
      <c r="G291" s="400"/>
      <c r="H291" s="2088"/>
      <c r="I291" s="2089"/>
      <c r="J291" s="411"/>
      <c r="K291" s="403"/>
      <c r="L291" s="403"/>
      <c r="M291" s="403"/>
      <c r="N291" s="403"/>
      <c r="O291" s="347"/>
      <c r="P291" s="347"/>
      <c r="Q291" s="1021"/>
      <c r="R291" s="1022"/>
      <c r="S291" s="1022"/>
      <c r="T291" s="1022"/>
      <c r="U291" s="1023"/>
      <c r="V291" s="1021"/>
      <c r="W291" s="1022"/>
      <c r="X291" s="1022"/>
      <c r="Y291" s="1022"/>
      <c r="Z291" s="1023"/>
      <c r="AA291" s="1024"/>
      <c r="AB291" s="1021"/>
      <c r="AC291" s="1022"/>
      <c r="AD291" s="1022"/>
      <c r="AE291" s="1022"/>
      <c r="AF291" s="1023"/>
      <c r="AG291" s="1021"/>
      <c r="AH291" s="1022"/>
      <c r="AI291" s="1022"/>
      <c r="AJ291" s="1022"/>
      <c r="AK291" s="1023"/>
      <c r="AL291" s="1024"/>
      <c r="AM291" s="1021"/>
      <c r="AN291" s="1022"/>
      <c r="AO291" s="1022"/>
      <c r="AP291" s="1022"/>
      <c r="AQ291" s="1023"/>
      <c r="AR291" s="1021"/>
      <c r="AS291" s="1022"/>
      <c r="AT291" s="1022"/>
      <c r="AU291" s="1022"/>
      <c r="AV291" s="1023"/>
      <c r="AW291" s="1025"/>
      <c r="AX291" s="1282">
        <f t="shared" si="457"/>
        <v>0</v>
      </c>
      <c r="AY291" s="387">
        <f t="shared" si="458"/>
        <v>0</v>
      </c>
      <c r="AZ291" s="387">
        <f t="shared" si="459"/>
        <v>0</v>
      </c>
      <c r="BA291" s="387">
        <f t="shared" si="460"/>
        <v>0</v>
      </c>
      <c r="BB291" s="1283">
        <f t="shared" si="461"/>
        <v>0</v>
      </c>
      <c r="BC291" s="386">
        <f t="shared" si="462"/>
        <v>0</v>
      </c>
      <c r="BD291" s="387">
        <f t="shared" si="463"/>
        <v>0</v>
      </c>
      <c r="BE291" s="1277">
        <f t="shared" si="464"/>
        <v>0</v>
      </c>
      <c r="BF291" s="1277">
        <f t="shared" si="465"/>
        <v>0</v>
      </c>
      <c r="BG291" s="388">
        <f t="shared" si="466"/>
        <v>0</v>
      </c>
      <c r="BH291" s="1025"/>
      <c r="BI291" s="1282">
        <f t="shared" ca="1" si="467"/>
        <v>0</v>
      </c>
      <c r="BJ291" s="387">
        <f t="shared" ca="1" si="468"/>
        <v>0</v>
      </c>
      <c r="BK291" s="387">
        <f t="shared" ca="1" si="469"/>
        <v>0</v>
      </c>
      <c r="BL291" s="387">
        <f t="shared" ca="1" si="470"/>
        <v>0</v>
      </c>
      <c r="BM291" s="1283">
        <f t="shared" ca="1" si="471"/>
        <v>0</v>
      </c>
      <c r="BN291" s="386">
        <f t="shared" ca="1" si="472"/>
        <v>0</v>
      </c>
      <c r="BO291" s="387">
        <f t="shared" ca="1" si="473"/>
        <v>0</v>
      </c>
      <c r="BP291" s="1277">
        <f t="shared" ca="1" si="474"/>
        <v>0</v>
      </c>
      <c r="BQ291" s="1277">
        <f t="shared" ca="1" si="475"/>
        <v>0</v>
      </c>
      <c r="BR291" s="388">
        <f t="shared" ca="1" si="476"/>
        <v>0</v>
      </c>
      <c r="BS291" s="1025"/>
      <c r="BT291" s="1282">
        <f>+IF($K291="Ongoing",AX291,IF(RIGHT($K291,2)=RIGHT(BT$43,2),SUM($AX291:AX291),0)+IF(RIGHT(BT$43,2)&gt;RIGHT($K291,2),AX291,0))</f>
        <v>0</v>
      </c>
      <c r="BU291" s="387">
        <f>+IF($K291="Ongoing",AY291,IF(RIGHT($K291,2)=RIGHT(BU$43,2),SUM($AX291:AY291),0)+IF(RIGHT(BU$43,2)&gt;RIGHT($K291,2),AY291,0))</f>
        <v>0</v>
      </c>
      <c r="BV291" s="387">
        <f>+IF($K291="Ongoing",AZ291,IF(RIGHT($K291,2)=RIGHT(BV$43,2),SUM($AX291:AZ291),0)+IF(RIGHT(BV$43,2)&gt;RIGHT($K291,2),AZ291,0))</f>
        <v>0</v>
      </c>
      <c r="BW291" s="387">
        <f>+IF($K291="Ongoing",BA291,IF(RIGHT($K291,2)=RIGHT(BW$43,2),SUM($AX291:BA291),0)+IF(RIGHT(BW$43,2)&gt;RIGHT($K291,2),BA291,0))</f>
        <v>0</v>
      </c>
      <c r="BX291" s="1283">
        <f>+IF($K291="Ongoing",BB291,IF(RIGHT($K291,2)=RIGHT(BX$43,2),SUM($AX291:BB291),0)+IF(RIGHT(BX$43,2)&gt;RIGHT($K291,2),BB291,0))</f>
        <v>0</v>
      </c>
      <c r="BY291" s="386">
        <f>+IF($K291="Ongoing",BC291,IF(RIGHT($K291,2)=RIGHT(BY$43,2),SUM($AX291:BC291),0)+IF(RIGHT(BY$43,2)&gt;RIGHT($K291,2),BC291,0))</f>
        <v>0</v>
      </c>
      <c r="BZ291" s="387">
        <f>+IF($K291="Ongoing",BD291,IF(RIGHT($K291,2)=RIGHT(BZ$43,2),SUM($AX291:BD291),0)+IF(RIGHT(BZ$43,2)&gt;RIGHT($K291,2),BD291,0))</f>
        <v>0</v>
      </c>
      <c r="CA291" s="1277">
        <f>+IF($K291="Ongoing",BE291,IF(RIGHT($K291,2)=RIGHT(CA$43,2),SUM($AX291:BE291),0)+IF(RIGHT(CA$43,2)&gt;RIGHT($K291,2),BE291,0))</f>
        <v>0</v>
      </c>
      <c r="CB291" s="1277">
        <f>+IF($K291="Ongoing",BF291,IF(RIGHT($K291,2)=RIGHT(CB$43,2),SUM($AX291:BF291),0)+IF(RIGHT(CB$43,2)&gt;RIGHT($K291,2),BF291,0))</f>
        <v>0</v>
      </c>
      <c r="CC291" s="388">
        <f>+IF($K291="Ongoing",BG291,IF(RIGHT($K291,2)=RIGHT(CC$43,2),SUM($AX291:BG291),0)+IF(RIGHT(CC$43,2)&gt;RIGHT($K291,2),BG291,0))</f>
        <v>0</v>
      </c>
      <c r="CD291" s="1025"/>
      <c r="CE291" s="1282">
        <f>+Q291*KeyAssumptionsPriceControl_FO!AF$15</f>
        <v>0</v>
      </c>
      <c r="CF291" s="387">
        <f>+R291*KeyAssumptionsPriceControl_FO!AG$15</f>
        <v>0</v>
      </c>
      <c r="CG291" s="387">
        <f>+S291*KeyAssumptionsPriceControl_FO!AH$15</f>
        <v>0</v>
      </c>
      <c r="CH291" s="387">
        <f>+T291*KeyAssumptionsPriceControl_FO!AI$15</f>
        <v>0</v>
      </c>
      <c r="CI291" s="1283">
        <f>+U291*KeyAssumptionsPriceControl_FO!AJ$15</f>
        <v>0</v>
      </c>
      <c r="CJ291" s="386">
        <f>+V291*KeyAssumptionsPriceControl_FO!AK$15</f>
        <v>0</v>
      </c>
      <c r="CK291" s="387">
        <f>+W291*KeyAssumptionsPriceControl_FO!AL$15</f>
        <v>0</v>
      </c>
      <c r="CL291" s="1277">
        <f>+X291*KeyAssumptionsPriceControl_FO!AM$15</f>
        <v>0</v>
      </c>
      <c r="CM291" s="1277">
        <f>+Y291*KeyAssumptionsPriceControl_FO!AN$15</f>
        <v>0</v>
      </c>
      <c r="CN291" s="388">
        <f>+Z291*KeyAssumptionsPriceControl_FO!AO$15</f>
        <v>0</v>
      </c>
      <c r="CO291" s="1025"/>
      <c r="CP291" s="1282">
        <f t="shared" ca="1" si="477"/>
        <v>0</v>
      </c>
      <c r="CQ291" s="387">
        <f t="shared" ca="1" si="478"/>
        <v>0</v>
      </c>
      <c r="CR291" s="387">
        <f t="shared" ca="1" si="479"/>
        <v>0</v>
      </c>
      <c r="CS291" s="387">
        <f t="shared" ca="1" si="480"/>
        <v>0</v>
      </c>
      <c r="CT291" s="1283">
        <f t="shared" ca="1" si="481"/>
        <v>0</v>
      </c>
      <c r="CU291" s="386">
        <f t="shared" ca="1" si="482"/>
        <v>0</v>
      </c>
      <c r="CV291" s="387">
        <f t="shared" ca="1" si="483"/>
        <v>0</v>
      </c>
      <c r="CW291" s="1277">
        <f t="shared" ca="1" si="484"/>
        <v>0</v>
      </c>
      <c r="CX291" s="1277">
        <f t="shared" ca="1" si="485"/>
        <v>0</v>
      </c>
      <c r="CY291" s="388">
        <f t="shared" ca="1" si="486"/>
        <v>0</v>
      </c>
      <c r="CZ291" s="347"/>
      <c r="DA291" s="852"/>
      <c r="DB291" s="347"/>
      <c r="DC291" s="1012" t="s">
        <v>597</v>
      </c>
      <c r="DD291" s="841" t="s">
        <v>518</v>
      </c>
      <c r="DE291" s="386">
        <f>+IF($K291="ongoing",CE291,IF(RIGHT($K291,2)=RIGHT(DE$43,2),SUM($CD291:CE291),0)+IF(RIGHT(DE$43,2)&gt;RIGHT($K291,2),CE291,0))</f>
        <v>0</v>
      </c>
      <c r="DF291" s="387">
        <f>+IF($K291="ongoing",CF291,IF(RIGHT($K291,2)=RIGHT(DF$43,2),SUM($CD291:CF291),0)+IF(RIGHT(DF$43,2)&gt;RIGHT($K291,2),CF291,0))</f>
        <v>0</v>
      </c>
      <c r="DG291" s="388">
        <f>+IF($K291="ongoing",CG291,IF(RIGHT($K291,2)=RIGHT(DG$43,2),SUM($CD291:CG291),0)+IF(RIGHT(DG$43,2)&gt;RIGHT($K291,2),CG291,0))</f>
        <v>0</v>
      </c>
      <c r="DH291" s="386">
        <f>+IF($K291="ongoing",CH291,IF(RIGHT($K291,2)=RIGHT(DH$43,2),SUM($CD291:CH291),0)+IF(RIGHT(DH$43,2)&gt;RIGHT($K291,2),CH291,0))</f>
        <v>0</v>
      </c>
      <c r="DI291" s="387">
        <f>+IF($K291="ongoing",CI291,IF(RIGHT($K291,2)=RIGHT(DI$43,2),SUM($CD291:CI291),0)+IF(RIGHT(DI$43,2)&gt;RIGHT($K291,2),CI291,0))</f>
        <v>0</v>
      </c>
      <c r="DJ291" s="387">
        <f>+IF($K291="ongoing",CJ291,IF(RIGHT($K291,2)=RIGHT(DJ$43,2),SUM($CD291:CJ291),0)+IF(RIGHT(DJ$43,2)&gt;RIGHT($K291,2),CJ291,0))</f>
        <v>0</v>
      </c>
      <c r="DK291" s="387">
        <f>+IF($K291="ongoing",CK291,IF(RIGHT($K291,2)=RIGHT(DK$43,2),SUM($CD291:CK291),0)+IF(RIGHT(DK$43,2)&gt;RIGHT($K291,2),CK291,0))</f>
        <v>0</v>
      </c>
      <c r="DL291" s="388">
        <f>+IF($K291="ongoing",CN291,IF(RIGHT($K291,2)=RIGHT(DL$43,2),SUM($CD291:CN291),0)+IF(RIGHT(DL$43,2)&gt;RIGHT($K291,2),CN291,0))</f>
        <v>0</v>
      </c>
      <c r="DM291" s="841"/>
      <c r="DN291" s="386">
        <f t="shared" si="487"/>
        <v>0.5</v>
      </c>
      <c r="DO291" s="387">
        <f t="shared" si="488"/>
        <v>1</v>
      </c>
      <c r="DP291" s="388">
        <f t="shared" si="489"/>
        <v>1</v>
      </c>
      <c r="DQ291" s="386">
        <f t="shared" si="490"/>
        <v>1</v>
      </c>
      <c r="DR291" s="387">
        <f t="shared" si="491"/>
        <v>1</v>
      </c>
      <c r="DS291" s="387">
        <f t="shared" si="492"/>
        <v>1</v>
      </c>
      <c r="DT291" s="387">
        <f t="shared" si="493"/>
        <v>1</v>
      </c>
      <c r="DU291" s="388">
        <f t="shared" si="494"/>
        <v>1</v>
      </c>
      <c r="DW291" s="386">
        <f t="shared" si="495"/>
        <v>0</v>
      </c>
      <c r="DX291" s="387">
        <f t="shared" si="496"/>
        <v>0.5</v>
      </c>
      <c r="DY291" s="388">
        <f t="shared" si="497"/>
        <v>1</v>
      </c>
      <c r="DZ291" s="386">
        <f t="shared" si="498"/>
        <v>1</v>
      </c>
      <c r="EA291" s="387">
        <f t="shared" si="499"/>
        <v>1</v>
      </c>
      <c r="EB291" s="387">
        <f t="shared" si="500"/>
        <v>1</v>
      </c>
      <c r="EC291" s="387">
        <f t="shared" si="501"/>
        <v>1</v>
      </c>
      <c r="ED291" s="388">
        <f t="shared" si="502"/>
        <v>1</v>
      </c>
      <c r="EF291" s="834">
        <f>+IF(DN291=DM291,0,
IF(AND(EF$44&gt;1,DN291=$N291),1-SUM($EE291:EE291),
IF($N291&lt;=1,
IF($N291&gt;0,1/$N291,0),
IF(EF$44=1,0,VDB(1,0,$N291,INT(EF$44-1-1),MIN($N291,INT(EF$44-1-1)+1),$DC291,IF($DD291="No",1,0))/
IF(DM291&gt;=INT($N291),$N291-INT($N291),1)))*
IF(EF$44=1,0,
IF(INT(DN291)=INT(DM291),DN291-DM291,INT(DN291)-DM291))+
IF($N291&lt;=1,
IF($N291&gt;0,1/$N291,0),VDB(1,0,$N291,INT(EF$44-1),MIN($N291,INT(EF$44-1)+1),$DC291,IF($DD291="No",1,0))/
IF(DN291&gt;INT($N291),$N291-INT($N291),1))*
IF(EF$44=1,DN291,
IF(INT(DN291)=INT(DM291),0,DN291-INT(DN291)))))</f>
        <v>0</v>
      </c>
      <c r="EG291" s="835">
        <f>+IF(DO291=DN291,0,
IF(AND(EG$44&gt;1,DO291=$N291),1-SUM($EE291:EF291),
IF($N291&lt;=1,
IF($N291&gt;0,1/$N291,0),
IF(EG$44=1,0,VDB(1,0,$N291,INT(EG$44-1-1),MIN($N291,INT(EG$44-1-1)+1),$DC291,IF($DD291="No",1,0))/
IF(DN291&gt;=INT($N291),$N291-INT($N291),1)))*
IF(EG$44=1,0,
IF(INT(DO291)=INT(DN291),DO291-DN291,INT(DO291)-DN291))+
IF($N291&lt;=1,
IF($N291&gt;0,1/$N291,0),VDB(1,0,$N291,INT(EG$44-1),MIN($N291,INT(EG$44-1)+1),$DC291,IF($DD291="No",1,0))/
IF(DO291&gt;INT($N291),$N291-INT($N291),1))*
IF(EG$44=1,DO291,
IF(INT(DO291)=INT(DN291),0,DO291-INT(DO291)))))</f>
        <v>0</v>
      </c>
      <c r="EH291" s="836">
        <f>+IF(DP291=DO291,0,
IF(AND(EH$44&gt;1,DP291=$N291),1-SUM($EE291:EG291),
IF($N291&lt;=1,
IF($N291&gt;0,1/$N291,0),
IF(EH$44=1,0,VDB(1,0,$N291,INT(EH$44-1-1),MIN($N291,INT(EH$44-1-1)+1),$DC291,IF($DD291="No",1,0))/
IF(DO291&gt;=INT($N291),$N291-INT($N291),1)))*
IF(EH$44=1,0,
IF(INT(DP291)=INT(DO291),DP291-DO291,INT(DP291)-DO291))+
IF($N291&lt;=1,
IF($N291&gt;0,1/$N291,0),VDB(1,0,$N291,INT(EH$44-1),MIN($N291,INT(EH$44-1)+1),$DC291,IF($DD291="No",1,0))/
IF(DP291&gt;INT($N291),$N291-INT($N291),1))*
IF(EH$44=1,DP291,
IF(INT(DP291)=INT(DO291),0,DP291-INT(DP291)))))</f>
        <v>0</v>
      </c>
      <c r="EI291" s="834">
        <f>+IF(DQ291=DP291,0,
IF(AND(EI$44&gt;1,DQ291=$N291),1-SUM($EE291:EH291),
IF($N291&lt;=1,
IF($N291&gt;0,1/$N291,0),
IF(EI$44=1,0,VDB(1,0,$N291,INT(EI$44-1-1),MIN($N291,INT(EI$44-1-1)+1),$DC291,IF($DD291="No",1,0))/
IF(DP291&gt;=INT($N291),$N291-INT($N291),1)))*
IF(EI$44=1,0,
IF(INT(DQ291)=INT(DP291),DQ291-DP291,INT(DQ291)-DP291))+
IF($N291&lt;=1,
IF($N291&gt;0,1/$N291,0),VDB(1,0,$N291,INT(EI$44-1),MIN($N291,INT(EI$44-1)+1),$DC291,IF($DD291="No",1,0))/
IF(DQ291&gt;INT($N291),$N291-INT($N291),1))*
IF(EI$44=1,DQ291,
IF(INT(DQ291)=INT(DP291),0,DQ291-INT(DQ291)))))</f>
        <v>0</v>
      </c>
      <c r="EJ291" s="835">
        <f>+IF(DR291=DQ291,0,
IF(AND(EJ$44&gt;1,DR291=$N291),1-SUM($EE291:EI291),
IF($N291&lt;=1,
IF($N291&gt;0,1/$N291,0),
IF(EJ$44=1,0,VDB(1,0,$N291,INT(EJ$44-1-1),MIN($N291,INT(EJ$44-1-1)+1),$DC291,IF($DD291="No",1,0))/
IF(DQ291&gt;=INT($N291),$N291-INT($N291),1)))*
IF(EJ$44=1,0,
IF(INT(DR291)=INT(DQ291),DR291-DQ291,INT(DR291)-DQ291))+
IF($N291&lt;=1,
IF($N291&gt;0,1/$N291,0),VDB(1,0,$N291,INT(EJ$44-1),MIN($N291,INT(EJ$44-1)+1),$DC291,IF($DD291="No",1,0))/
IF(DR291&gt;INT($N291),$N291-INT($N291),1))*
IF(EJ$44=1,DR291,
IF(INT(DR291)=INT(DQ291),0,DR291-INT(DR291)))))</f>
        <v>0</v>
      </c>
      <c r="EK291" s="835">
        <f>+IF(DS291=DR291,0,
IF(AND(EK$44&gt;1,DS291=$N291),1-SUM($EE291:EJ291),
IF($N291&lt;=1,
IF($N291&gt;0,1/$N291,0),
IF(EK$44=1,0,VDB(1,0,$N291,INT(EK$44-1-1),MIN($N291,INT(EK$44-1-1)+1),$DC291,IF($DD291="No",1,0))/
IF(DR291&gt;=INT($N291),$N291-INT($N291),1)))*
IF(EK$44=1,0,
IF(INT(DS291)=INT(DR291),DS291-DR291,INT(DS291)-DR291))+
IF($N291&lt;=1,
IF($N291&gt;0,1/$N291,0),VDB(1,0,$N291,INT(EK$44-1),MIN($N291,INT(EK$44-1)+1),$DC291,IF($DD291="No",1,0))/
IF(DS291&gt;INT($N291),$N291-INT($N291),1))*
IF(EK$44=1,DS291,
IF(INT(DS291)=INT(DR291),0,DS291-INT(DS291)))))</f>
        <v>0</v>
      </c>
      <c r="EL291" s="835">
        <f>+IF(DT291=DS291,0,
IF(AND(EL$44&gt;1,DT291=$N291),1-SUM($EE291:EK291),
IF($N291&lt;=1,
IF($N291&gt;0,1/$N291,0),
IF(EL$44=1,0,VDB(1,0,$N291,INT(EL$44-1-1),MIN($N291,INT(EL$44-1-1)+1),$DC291,IF($DD291="No",1,0))/
IF(DS291&gt;=INT($N291),$N291-INT($N291),1)))*
IF(EL$44=1,0,
IF(INT(DT291)=INT(DS291),DT291-DS291,INT(DT291)-DS291))+
IF($N291&lt;=1,
IF($N291&gt;0,1/$N291,0),VDB(1,0,$N291,INT(EL$44-1),MIN($N291,INT(EL$44-1)+1),$DC291,IF($DD291="No",1,0))/
IF(DT291&gt;INT($N291),$N291-INT($N291),1))*
IF(EL$44=1,DT291,
IF(INT(DT291)=INT(DS291),0,DT291-INT(DT291)))))</f>
        <v>0</v>
      </c>
      <c r="EM291" s="836">
        <f>+IF(DU291=DT291,0,
IF(AND(EM$44&gt;1,DU291=$N291),1-SUM($EE291:EL291),
IF($N291&lt;=1,
IF($N291&gt;0,1/$N291,0),
IF(EM$44=1,0,VDB(1,0,$N291,INT(EM$44-1-1),MIN($N291,INT(EM$44-1-1)+1),$DC291,IF($DD291="No",1,0))/
IF(DT291&gt;=INT($N291),$N291-INT($N291),1)))*
IF(EM$44=1,0,
IF(INT(DU291)=INT(DT291),DU291-DT291,INT(DU291)-DT291))+
IF($N291&lt;=1,
IF($N291&gt;0,1/$N291,0),VDB(1,0,$N291,INT(EM$44-1),MIN($N291,INT(EM$44-1)+1),$DC291,IF($DD291="No",1,0))/
IF(DU291&gt;INT($N291),$N291-INT($N291),1))*
IF(EM$44=1,DU291,
IF(INT(DU291)=INT(DT291),0,DU291-INT(DU291)))))</f>
        <v>0</v>
      </c>
      <c r="EN291" s="833"/>
      <c r="EO291" s="834">
        <f>+IF(OR(DW291=DV291,EO$44=1),0,
IF(AND(EO$44&gt;1,DW291=$N291),1-SUM($EN291:EN291),
IF($N291&lt;=1,
IF($N291&gt;0,1/$N291,0),
IF(EO$44=2,0,VDB(1,0,$N291,INT(EO$44-2-1),MIN($N291,INT(EO$44-2-1)+1),$DC291,IF($DD291="No",1,0))/
IF(DV291&gt;=INT($N291),$N291-INT($N291),1)))*
IF(EO$44=2,0,
IF(INT(DW291)=INT(DV291),DW291-DV291,INT(DW291)-DV291))+
IF($N291&lt;=1,
IF($N291&gt;0,1/$N291,0),VDB(1,0,$N291,INT(EO$44-2),MIN($N291,INT(EO$44-2)+1),$DC291,IF($DD291="No",1,0))/
IF(DW291&gt;INT($N291),$N291-INT($N291),1))*
IF(EO$44=2,DW291,
IF(INT(DW291)=INT(DV291),0,DW291-INT(DW291)))))</f>
        <v>0</v>
      </c>
      <c r="EP291" s="835">
        <f>+IF(OR(DX291=DW291,EP$44=1),0,
IF(AND(EP$44&gt;1,DX291=$N291),1-SUM($EN291:EO291),
IF($N291&lt;=1,
IF($N291&gt;0,1/$N291,0),
IF(EP$44=2,0,VDB(1,0,$N291,INT(EP$44-2-1),MIN($N291,INT(EP$44-2-1)+1),$DC291,IF($DD291="No",1,0))/
IF(DW291&gt;=INT($N291),$N291-INT($N291),1)))*
IF(EP$44=2,0,
IF(INT(DX291)=INT(DW291),DX291-DW291,INT(DX291)-DW291))+
IF($N291&lt;=1,
IF($N291&gt;0,1/$N291,0),VDB(1,0,$N291,INT(EP$44-2),MIN($N291,INT(EP$44-2)+1),$DC291,IF($DD291="No",1,0))/
IF(DX291&gt;INT($N291),$N291-INT($N291),1))*
IF(EP$44=2,DX291,
IF(INT(DX291)=INT(DW291),0,DX291-INT(DX291)))))</f>
        <v>0</v>
      </c>
      <c r="EQ291" s="836">
        <f>+IF(OR(DY291=DX291,EQ$44=1),0,
IF(AND(EQ$44&gt;1,DY291=$N291),1-SUM($EN291:EP291),
IF($N291&lt;=1,
IF($N291&gt;0,1/$N291,0),
IF(EQ$44=2,0,VDB(1,0,$N291,INT(EQ$44-2-1),MIN($N291,INT(EQ$44-2-1)+1),$DC291,IF($DD291="No",1,0))/
IF(DX291&gt;=INT($N291),$N291-INT($N291),1)))*
IF(EQ$44=2,0,
IF(INT(DY291)=INT(DX291),DY291-DX291,INT(DY291)-DX291))+
IF($N291&lt;=1,
IF($N291&gt;0,1/$N291,0),VDB(1,0,$N291,INT(EQ$44-2),MIN($N291,INT(EQ$44-2)+1),$DC291,IF($DD291="No",1,0))/
IF(DY291&gt;INT($N291),$N291-INT($N291),1))*
IF(EQ$44=2,DY291,
IF(INT(DY291)=INT(DX291),0,DY291-INT(DY291)))))</f>
        <v>0</v>
      </c>
      <c r="ER291" s="834">
        <f>+IF(OR(DZ291=DY291,ER$44=1),0,
IF(AND(ER$44&gt;1,DZ291=$N291),1-SUM($EN291:EQ291),
IF($N291&lt;=1,
IF($N291&gt;0,1/$N291,0),
IF(ER$44=2,0,VDB(1,0,$N291,INT(ER$44-2-1),MIN($N291,INT(ER$44-2-1)+1),$DC291,IF($DD291="No",1,0))/
IF(DY291&gt;=INT($N291),$N291-INT($N291),1)))*
IF(ER$44=2,0,
IF(INT(DZ291)=INT(DY291),DZ291-DY291,INT(DZ291)-DY291))+
IF($N291&lt;=1,
IF($N291&gt;0,1/$N291,0),VDB(1,0,$N291,INT(ER$44-2),MIN($N291,INT(ER$44-2)+1),$DC291,IF($DD291="No",1,0))/
IF(DZ291&gt;INT($N291),$N291-INT($N291),1))*
IF(ER$44=2,DZ291,
IF(INT(DZ291)=INT(DY291),0,DZ291-INT(DZ291)))))</f>
        <v>0</v>
      </c>
      <c r="ES291" s="835">
        <f>+IF(OR(EA291=DZ291,ES$44=1),0,
IF(AND(ES$44&gt;1,EA291=$N291),1-SUM($EN291:ER291),
IF($N291&lt;=1,
IF($N291&gt;0,1/$N291,0),
IF(ES$44=2,0,VDB(1,0,$N291,INT(ES$44-2-1),MIN($N291,INT(ES$44-2-1)+1),$DC291,IF($DD291="No",1,0))/
IF(DZ291&gt;=INT($N291),$N291-INT($N291),1)))*
IF(ES$44=2,0,
IF(INT(EA291)=INT(DZ291),EA291-DZ291,INT(EA291)-DZ291))+
IF($N291&lt;=1,
IF($N291&gt;0,1/$N291,0),VDB(1,0,$N291,INT(ES$44-2),MIN($N291,INT(ES$44-2)+1),$DC291,IF($DD291="No",1,0))/
IF(EA291&gt;INT($N291),$N291-INT($N291),1))*
IF(ES$44=2,EA291,
IF(INT(EA291)=INT(DZ291),0,EA291-INT(EA291)))))</f>
        <v>0</v>
      </c>
      <c r="ET291" s="835">
        <f>+IF(OR(EB291=EA291,ET$44=1),0,
IF(AND(ET$44&gt;1,EB291=$N291),1-SUM($EN291:ES291),
IF($N291&lt;=1,
IF($N291&gt;0,1/$N291,0),
IF(ET$44=2,0,VDB(1,0,$N291,INT(ET$44-2-1),MIN($N291,INT(ET$44-2-1)+1),$DC291,IF($DD291="No",1,0))/
IF(EA291&gt;=INT($N291),$N291-INT($N291),1)))*
IF(ET$44=2,0,
IF(INT(EB291)=INT(EA291),EB291-EA291,INT(EB291)-EA291))+
IF($N291&lt;=1,
IF($N291&gt;0,1/$N291,0),VDB(1,0,$N291,INT(ET$44-2),MIN($N291,INT(ET$44-2)+1),$DC291,IF($DD291="No",1,0))/
IF(EB291&gt;INT($N291),$N291-INT($N291),1))*
IF(ET$44=2,EB291,
IF(INT(EB291)=INT(EA291),0,EB291-INT(EB291)))))</f>
        <v>0</v>
      </c>
      <c r="EU291" s="835">
        <f>+IF(OR(EC291=EB291,EU$44=1),0,
IF(AND(EU$44&gt;1,EC291=$N291),1-SUM($EN291:ET291),
IF($N291&lt;=1,
IF($N291&gt;0,1/$N291,0),
IF(EU$44=2,0,VDB(1,0,$N291,INT(EU$44-2-1),MIN($N291,INT(EU$44-2-1)+1),$DC291,IF($DD291="No",1,0))/
IF(EB291&gt;=INT($N291),$N291-INT($N291),1)))*
IF(EU$44=2,0,
IF(INT(EC291)=INT(EB291),EC291-EB291,INT(EC291)-EB291))+
IF($N291&lt;=1,
IF($N291&gt;0,1/$N291,0),VDB(1,0,$N291,INT(EU$44-2),MIN($N291,INT(EU$44-2)+1),$DC291,IF($DD291="No",1,0))/
IF(EC291&gt;INT($N291),$N291-INT($N291),1))*
IF(EU$44=2,EC291,
IF(INT(EC291)=INT(EB291),0,EC291-INT(EC291)))))</f>
        <v>0</v>
      </c>
      <c r="EV291" s="836">
        <f>+IF(OR(ED291=EC291,EV$44=1),0,
IF(AND(EV$44&gt;1,ED291=$N291),1-SUM($EN291:EU291),
IF($N291&lt;=1,
IF($N291&gt;0,1/$N291,0),
IF(EV$44=2,0,VDB(1,0,$N291,INT(EV$44-2-1),MIN($N291,INT(EV$44-2-1)+1),$DC291,IF($DD291="No",1,0))/
IF(EC291&gt;=INT($N291),$N291-INT($N291),1)))*
IF(EV$44=2,0,
IF(INT(ED291)=INT(EC291),ED291-EC291,INT(ED291)-EC291))+
IF($N291&lt;=1,
IF($N291&gt;0,1/$N291,0),VDB(1,0,$N291,INT(EV$44-2),MIN($N291,INT(EV$44-2)+1),$DC291,IF($DD291="No",1,0))/
IF(ED291&gt;INT($N291),$N291-INT($N291),1))*
IF(EV$44=2,ED291,
IF(INT(ED291)=INT(EC291),0,ED291-INT(ED291)))))</f>
        <v>0</v>
      </c>
      <c r="EW291" s="833"/>
      <c r="EX291" s="834">
        <f t="shared" ca="1" si="513"/>
        <v>0</v>
      </c>
      <c r="EY291" s="835">
        <f t="shared" ca="1" si="513"/>
        <v>0</v>
      </c>
      <c r="EZ291" s="836">
        <f t="shared" ca="1" si="513"/>
        <v>0</v>
      </c>
      <c r="FA291" s="834">
        <f t="shared" ca="1" si="513"/>
        <v>0</v>
      </c>
      <c r="FB291" s="835">
        <f t="shared" ca="1" si="513"/>
        <v>0</v>
      </c>
      <c r="FC291" s="835">
        <f t="shared" ca="1" si="513"/>
        <v>0</v>
      </c>
      <c r="FD291" s="835">
        <f t="shared" ca="1" si="513"/>
        <v>0</v>
      </c>
      <c r="FE291" s="836">
        <f t="shared" ca="1" si="513"/>
        <v>0</v>
      </c>
      <c r="FG291" s="386">
        <f t="shared" ca="1" si="504"/>
        <v>0</v>
      </c>
      <c r="FH291" s="387">
        <f t="shared" ca="1" si="505"/>
        <v>0</v>
      </c>
      <c r="FI291" s="388">
        <f t="shared" ca="1" si="506"/>
        <v>0</v>
      </c>
      <c r="FJ291" s="386">
        <f t="shared" ca="1" si="507"/>
        <v>0</v>
      </c>
      <c r="FK291" s="387">
        <f t="shared" ca="1" si="508"/>
        <v>0</v>
      </c>
      <c r="FL291" s="387">
        <f t="shared" ca="1" si="509"/>
        <v>0</v>
      </c>
      <c r="FM291" s="387">
        <f t="shared" ca="1" si="510"/>
        <v>0</v>
      </c>
      <c r="FN291" s="388">
        <f t="shared" ca="1" si="511"/>
        <v>0</v>
      </c>
      <c r="FR291" s="116"/>
    </row>
    <row r="292" spans="2:174">
      <c r="B292" s="1410">
        <f t="shared" si="512"/>
        <v>246</v>
      </c>
      <c r="C292" s="400"/>
      <c r="D292" s="410"/>
      <c r="E292" s="402"/>
      <c r="F292" s="402"/>
      <c r="G292" s="400"/>
      <c r="H292" s="2088"/>
      <c r="I292" s="2089"/>
      <c r="J292" s="411"/>
      <c r="K292" s="403"/>
      <c r="L292" s="403"/>
      <c r="M292" s="403"/>
      <c r="N292" s="403"/>
      <c r="O292" s="347"/>
      <c r="P292" s="347"/>
      <c r="Q292" s="1021"/>
      <c r="R292" s="1022"/>
      <c r="S292" s="1022"/>
      <c r="T292" s="1022"/>
      <c r="U292" s="1023"/>
      <c r="V292" s="1021"/>
      <c r="W292" s="1022"/>
      <c r="X292" s="1022"/>
      <c r="Y292" s="1022"/>
      <c r="Z292" s="1023"/>
      <c r="AA292" s="1024"/>
      <c r="AB292" s="1021"/>
      <c r="AC292" s="1022"/>
      <c r="AD292" s="1022"/>
      <c r="AE292" s="1022"/>
      <c r="AF292" s="1023"/>
      <c r="AG292" s="1021"/>
      <c r="AH292" s="1022"/>
      <c r="AI292" s="1022"/>
      <c r="AJ292" s="1022"/>
      <c r="AK292" s="1023"/>
      <c r="AL292" s="1024"/>
      <c r="AM292" s="1021"/>
      <c r="AN292" s="1022"/>
      <c r="AO292" s="1022"/>
      <c r="AP292" s="1022"/>
      <c r="AQ292" s="1023"/>
      <c r="AR292" s="1021"/>
      <c r="AS292" s="1022"/>
      <c r="AT292" s="1022"/>
      <c r="AU292" s="1022"/>
      <c r="AV292" s="1023"/>
      <c r="AW292" s="1025"/>
      <c r="AX292" s="1282">
        <f t="shared" si="457"/>
        <v>0</v>
      </c>
      <c r="AY292" s="387">
        <f t="shared" si="458"/>
        <v>0</v>
      </c>
      <c r="AZ292" s="387">
        <f t="shared" si="459"/>
        <v>0</v>
      </c>
      <c r="BA292" s="387">
        <f t="shared" si="460"/>
        <v>0</v>
      </c>
      <c r="BB292" s="1283">
        <f t="shared" si="461"/>
        <v>0</v>
      </c>
      <c r="BC292" s="386">
        <f t="shared" si="462"/>
        <v>0</v>
      </c>
      <c r="BD292" s="387">
        <f t="shared" si="463"/>
        <v>0</v>
      </c>
      <c r="BE292" s="1277">
        <f t="shared" si="464"/>
        <v>0</v>
      </c>
      <c r="BF292" s="1277">
        <f t="shared" si="465"/>
        <v>0</v>
      </c>
      <c r="BG292" s="388">
        <f t="shared" si="466"/>
        <v>0</v>
      </c>
      <c r="BH292" s="1025"/>
      <c r="BI292" s="1282">
        <f t="shared" ca="1" si="467"/>
        <v>0</v>
      </c>
      <c r="BJ292" s="387">
        <f t="shared" ca="1" si="468"/>
        <v>0</v>
      </c>
      <c r="BK292" s="387">
        <f t="shared" ca="1" si="469"/>
        <v>0</v>
      </c>
      <c r="BL292" s="387">
        <f t="shared" ca="1" si="470"/>
        <v>0</v>
      </c>
      <c r="BM292" s="1283">
        <f t="shared" ca="1" si="471"/>
        <v>0</v>
      </c>
      <c r="BN292" s="386">
        <f t="shared" ca="1" si="472"/>
        <v>0</v>
      </c>
      <c r="BO292" s="387">
        <f t="shared" ca="1" si="473"/>
        <v>0</v>
      </c>
      <c r="BP292" s="1277">
        <f t="shared" ca="1" si="474"/>
        <v>0</v>
      </c>
      <c r="BQ292" s="1277">
        <f t="shared" ca="1" si="475"/>
        <v>0</v>
      </c>
      <c r="BR292" s="388">
        <f t="shared" ca="1" si="476"/>
        <v>0</v>
      </c>
      <c r="BS292" s="1025"/>
      <c r="BT292" s="1282">
        <f>+IF($K292="Ongoing",AX292,IF(RIGHT($K292,2)=RIGHT(BT$43,2),SUM($AX292:AX292),0)+IF(RIGHT(BT$43,2)&gt;RIGHT($K292,2),AX292,0))</f>
        <v>0</v>
      </c>
      <c r="BU292" s="387">
        <f>+IF($K292="Ongoing",AY292,IF(RIGHT($K292,2)=RIGHT(BU$43,2),SUM($AX292:AY292),0)+IF(RIGHT(BU$43,2)&gt;RIGHT($K292,2),AY292,0))</f>
        <v>0</v>
      </c>
      <c r="BV292" s="387">
        <f>+IF($K292="Ongoing",AZ292,IF(RIGHT($K292,2)=RIGHT(BV$43,2),SUM($AX292:AZ292),0)+IF(RIGHT(BV$43,2)&gt;RIGHT($K292,2),AZ292,0))</f>
        <v>0</v>
      </c>
      <c r="BW292" s="387">
        <f>+IF($K292="Ongoing",BA292,IF(RIGHT($K292,2)=RIGHT(BW$43,2),SUM($AX292:BA292),0)+IF(RIGHT(BW$43,2)&gt;RIGHT($K292,2),BA292,0))</f>
        <v>0</v>
      </c>
      <c r="BX292" s="1283">
        <f>+IF($K292="Ongoing",BB292,IF(RIGHT($K292,2)=RIGHT(BX$43,2),SUM($AX292:BB292),0)+IF(RIGHT(BX$43,2)&gt;RIGHT($K292,2),BB292,0))</f>
        <v>0</v>
      </c>
      <c r="BY292" s="386">
        <f>+IF($K292="Ongoing",BC292,IF(RIGHT($K292,2)=RIGHT(BY$43,2),SUM($AX292:BC292),0)+IF(RIGHT(BY$43,2)&gt;RIGHT($K292,2),BC292,0))</f>
        <v>0</v>
      </c>
      <c r="BZ292" s="387">
        <f>+IF($K292="Ongoing",BD292,IF(RIGHT($K292,2)=RIGHT(BZ$43,2),SUM($AX292:BD292),0)+IF(RIGHT(BZ$43,2)&gt;RIGHT($K292,2),BD292,0))</f>
        <v>0</v>
      </c>
      <c r="CA292" s="1277">
        <f>+IF($K292="Ongoing",BE292,IF(RIGHT($K292,2)=RIGHT(CA$43,2),SUM($AX292:BE292),0)+IF(RIGHT(CA$43,2)&gt;RIGHT($K292,2),BE292,0))</f>
        <v>0</v>
      </c>
      <c r="CB292" s="1277">
        <f>+IF($K292="Ongoing",BF292,IF(RIGHT($K292,2)=RIGHT(CB$43,2),SUM($AX292:BF292),0)+IF(RIGHT(CB$43,2)&gt;RIGHT($K292,2),BF292,0))</f>
        <v>0</v>
      </c>
      <c r="CC292" s="388">
        <f>+IF($K292="Ongoing",BG292,IF(RIGHT($K292,2)=RIGHT(CC$43,2),SUM($AX292:BG292),0)+IF(RIGHT(CC$43,2)&gt;RIGHT($K292,2),BG292,0))</f>
        <v>0</v>
      </c>
      <c r="CD292" s="1025"/>
      <c r="CE292" s="1282">
        <f>+Q292*KeyAssumptionsPriceControl_FO!AF$15</f>
        <v>0</v>
      </c>
      <c r="CF292" s="387">
        <f>+R292*KeyAssumptionsPriceControl_FO!AG$15</f>
        <v>0</v>
      </c>
      <c r="CG292" s="387">
        <f>+S292*KeyAssumptionsPriceControl_FO!AH$15</f>
        <v>0</v>
      </c>
      <c r="CH292" s="387">
        <f>+T292*KeyAssumptionsPriceControl_FO!AI$15</f>
        <v>0</v>
      </c>
      <c r="CI292" s="1283">
        <f>+U292*KeyAssumptionsPriceControl_FO!AJ$15</f>
        <v>0</v>
      </c>
      <c r="CJ292" s="386">
        <f>+V292*KeyAssumptionsPriceControl_FO!AK$15</f>
        <v>0</v>
      </c>
      <c r="CK292" s="387">
        <f>+W292*KeyAssumptionsPriceControl_FO!AL$15</f>
        <v>0</v>
      </c>
      <c r="CL292" s="1277">
        <f>+X292*KeyAssumptionsPriceControl_FO!AM$15</f>
        <v>0</v>
      </c>
      <c r="CM292" s="1277">
        <f>+Y292*KeyAssumptionsPriceControl_FO!AN$15</f>
        <v>0</v>
      </c>
      <c r="CN292" s="388">
        <f>+Z292*KeyAssumptionsPriceControl_FO!AO$15</f>
        <v>0</v>
      </c>
      <c r="CO292" s="1025"/>
      <c r="CP292" s="1282">
        <f t="shared" ca="1" si="477"/>
        <v>0</v>
      </c>
      <c r="CQ292" s="387">
        <f t="shared" ca="1" si="478"/>
        <v>0</v>
      </c>
      <c r="CR292" s="387">
        <f t="shared" ca="1" si="479"/>
        <v>0</v>
      </c>
      <c r="CS292" s="387">
        <f t="shared" ca="1" si="480"/>
        <v>0</v>
      </c>
      <c r="CT292" s="1283">
        <f t="shared" ca="1" si="481"/>
        <v>0</v>
      </c>
      <c r="CU292" s="386">
        <f t="shared" ca="1" si="482"/>
        <v>0</v>
      </c>
      <c r="CV292" s="387">
        <f t="shared" ca="1" si="483"/>
        <v>0</v>
      </c>
      <c r="CW292" s="1277">
        <f t="shared" ca="1" si="484"/>
        <v>0</v>
      </c>
      <c r="CX292" s="1277">
        <f t="shared" ca="1" si="485"/>
        <v>0</v>
      </c>
      <c r="CY292" s="388">
        <f t="shared" ca="1" si="486"/>
        <v>0</v>
      </c>
      <c r="CZ292" s="347"/>
      <c r="DA292" s="852"/>
      <c r="DB292" s="347"/>
      <c r="DC292" s="1012" t="s">
        <v>598</v>
      </c>
      <c r="DD292" s="841" t="s">
        <v>518</v>
      </c>
      <c r="DE292" s="386">
        <f>+IF($K292="ongoing",CE292,IF(RIGHT($K292,2)=RIGHT(DE$43,2),SUM($CD292:CE292),0)+IF(RIGHT(DE$43,2)&gt;RIGHT($K292,2),CE292,0))</f>
        <v>0</v>
      </c>
      <c r="DF292" s="387">
        <f>+IF($K292="ongoing",CF292,IF(RIGHT($K292,2)=RIGHT(DF$43,2),SUM($CD292:CF292),0)+IF(RIGHT(DF$43,2)&gt;RIGHT($K292,2),CF292,0))</f>
        <v>0</v>
      </c>
      <c r="DG292" s="388">
        <f>+IF($K292="ongoing",CG292,IF(RIGHT($K292,2)=RIGHT(DG$43,2),SUM($CD292:CG292),0)+IF(RIGHT(DG$43,2)&gt;RIGHT($K292,2),CG292,0))</f>
        <v>0</v>
      </c>
      <c r="DH292" s="386">
        <f>+IF($K292="ongoing",CH292,IF(RIGHT($K292,2)=RIGHT(DH$43,2),SUM($CD292:CH292),0)+IF(RIGHT(DH$43,2)&gt;RIGHT($K292,2),CH292,0))</f>
        <v>0</v>
      </c>
      <c r="DI292" s="387">
        <f>+IF($K292="ongoing",CI292,IF(RIGHT($K292,2)=RIGHT(DI$43,2),SUM($CD292:CI292),0)+IF(RIGHT(DI$43,2)&gt;RIGHT($K292,2),CI292,0))</f>
        <v>0</v>
      </c>
      <c r="DJ292" s="387">
        <f>+IF($K292="ongoing",CJ292,IF(RIGHT($K292,2)=RIGHT(DJ$43,2),SUM($CD292:CJ292),0)+IF(RIGHT(DJ$43,2)&gt;RIGHT($K292,2),CJ292,0))</f>
        <v>0</v>
      </c>
      <c r="DK292" s="387">
        <f>+IF($K292="ongoing",CK292,IF(RIGHT($K292,2)=RIGHT(DK$43,2),SUM($CD292:CK292),0)+IF(RIGHT(DK$43,2)&gt;RIGHT($K292,2),CK292,0))</f>
        <v>0</v>
      </c>
      <c r="DL292" s="388">
        <f>+IF($K292="ongoing",CN292,IF(RIGHT($K292,2)=RIGHT(DL$43,2),SUM($CD292:CN292),0)+IF(RIGHT(DL$43,2)&gt;RIGHT($K292,2),CN292,0))</f>
        <v>0</v>
      </c>
      <c r="DM292" s="841"/>
      <c r="DN292" s="386">
        <f t="shared" si="487"/>
        <v>0.5</v>
      </c>
      <c r="DO292" s="387">
        <f t="shared" si="488"/>
        <v>1</v>
      </c>
      <c r="DP292" s="388">
        <f t="shared" si="489"/>
        <v>1</v>
      </c>
      <c r="DQ292" s="386">
        <f t="shared" si="490"/>
        <v>1</v>
      </c>
      <c r="DR292" s="387">
        <f t="shared" si="491"/>
        <v>1</v>
      </c>
      <c r="DS292" s="387">
        <f t="shared" si="492"/>
        <v>1</v>
      </c>
      <c r="DT292" s="387">
        <f t="shared" si="493"/>
        <v>1</v>
      </c>
      <c r="DU292" s="388">
        <f t="shared" si="494"/>
        <v>1</v>
      </c>
      <c r="DW292" s="386">
        <f t="shared" si="495"/>
        <v>0</v>
      </c>
      <c r="DX292" s="387">
        <f t="shared" si="496"/>
        <v>0.5</v>
      </c>
      <c r="DY292" s="388">
        <f t="shared" si="497"/>
        <v>1</v>
      </c>
      <c r="DZ292" s="386">
        <f t="shared" si="498"/>
        <v>1</v>
      </c>
      <c r="EA292" s="387">
        <f t="shared" si="499"/>
        <v>1</v>
      </c>
      <c r="EB292" s="387">
        <f t="shared" si="500"/>
        <v>1</v>
      </c>
      <c r="EC292" s="387">
        <f t="shared" si="501"/>
        <v>1</v>
      </c>
      <c r="ED292" s="388">
        <f t="shared" si="502"/>
        <v>1</v>
      </c>
      <c r="EF292" s="834">
        <f>+IF(DN292=DM292,0,
IF(AND(EF$44&gt;1,DN292=$N292),1-SUM($EE292:EE292),
IF($N292&lt;=1,
IF($N292&gt;0,1/$N292,0),
IF(EF$44=1,0,VDB(1,0,$N292,INT(EF$44-1-1),MIN($N292,INT(EF$44-1-1)+1),$DC292,IF($DD292="No",1,0))/
IF(DM292&gt;=INT($N292),$N292-INT($N292),1)))*
IF(EF$44=1,0,
IF(INT(DN292)=INT(DM292),DN292-DM292,INT(DN292)-DM292))+
IF($N292&lt;=1,
IF($N292&gt;0,1/$N292,0),VDB(1,0,$N292,INT(EF$44-1),MIN($N292,INT(EF$44-1)+1),$DC292,IF($DD292="No",1,0))/
IF(DN292&gt;INT($N292),$N292-INT($N292),1))*
IF(EF$44=1,DN292,
IF(INT(DN292)=INT(DM292),0,DN292-INT(DN292)))))</f>
        <v>0</v>
      </c>
      <c r="EG292" s="835">
        <f>+IF(DO292=DN292,0,
IF(AND(EG$44&gt;1,DO292=$N292),1-SUM($EE292:EF292),
IF($N292&lt;=1,
IF($N292&gt;0,1/$N292,0),
IF(EG$44=1,0,VDB(1,0,$N292,INT(EG$44-1-1),MIN($N292,INT(EG$44-1-1)+1),$DC292,IF($DD292="No",1,0))/
IF(DN292&gt;=INT($N292),$N292-INT($N292),1)))*
IF(EG$44=1,0,
IF(INT(DO292)=INT(DN292),DO292-DN292,INT(DO292)-DN292))+
IF($N292&lt;=1,
IF($N292&gt;0,1/$N292,0),VDB(1,0,$N292,INT(EG$44-1),MIN($N292,INT(EG$44-1)+1),$DC292,IF($DD292="No",1,0))/
IF(DO292&gt;INT($N292),$N292-INT($N292),1))*
IF(EG$44=1,DO292,
IF(INT(DO292)=INT(DN292),0,DO292-INT(DO292)))))</f>
        <v>0</v>
      </c>
      <c r="EH292" s="836">
        <f>+IF(DP292=DO292,0,
IF(AND(EH$44&gt;1,DP292=$N292),1-SUM($EE292:EG292),
IF($N292&lt;=1,
IF($N292&gt;0,1/$N292,0),
IF(EH$44=1,0,VDB(1,0,$N292,INT(EH$44-1-1),MIN($N292,INT(EH$44-1-1)+1),$DC292,IF($DD292="No",1,0))/
IF(DO292&gt;=INT($N292),$N292-INT($N292),1)))*
IF(EH$44=1,0,
IF(INT(DP292)=INT(DO292),DP292-DO292,INT(DP292)-DO292))+
IF($N292&lt;=1,
IF($N292&gt;0,1/$N292,0),VDB(1,0,$N292,INT(EH$44-1),MIN($N292,INT(EH$44-1)+1),$DC292,IF($DD292="No",1,0))/
IF(DP292&gt;INT($N292),$N292-INT($N292),1))*
IF(EH$44=1,DP292,
IF(INT(DP292)=INT(DO292),0,DP292-INT(DP292)))))</f>
        <v>0</v>
      </c>
      <c r="EI292" s="834">
        <f>+IF(DQ292=DP292,0,
IF(AND(EI$44&gt;1,DQ292=$N292),1-SUM($EE292:EH292),
IF($N292&lt;=1,
IF($N292&gt;0,1/$N292,0),
IF(EI$44=1,0,VDB(1,0,$N292,INT(EI$44-1-1),MIN($N292,INT(EI$44-1-1)+1),$DC292,IF($DD292="No",1,0))/
IF(DP292&gt;=INT($N292),$N292-INT($N292),1)))*
IF(EI$44=1,0,
IF(INT(DQ292)=INT(DP292),DQ292-DP292,INT(DQ292)-DP292))+
IF($N292&lt;=1,
IF($N292&gt;0,1/$N292,0),VDB(1,0,$N292,INT(EI$44-1),MIN($N292,INT(EI$44-1)+1),$DC292,IF($DD292="No",1,0))/
IF(DQ292&gt;INT($N292),$N292-INT($N292),1))*
IF(EI$44=1,DQ292,
IF(INT(DQ292)=INT(DP292),0,DQ292-INT(DQ292)))))</f>
        <v>0</v>
      </c>
      <c r="EJ292" s="835">
        <f>+IF(DR292=DQ292,0,
IF(AND(EJ$44&gt;1,DR292=$N292),1-SUM($EE292:EI292),
IF($N292&lt;=1,
IF($N292&gt;0,1/$N292,0),
IF(EJ$44=1,0,VDB(1,0,$N292,INT(EJ$44-1-1),MIN($N292,INT(EJ$44-1-1)+1),$DC292,IF($DD292="No",1,0))/
IF(DQ292&gt;=INT($N292),$N292-INT($N292),1)))*
IF(EJ$44=1,0,
IF(INT(DR292)=INT(DQ292),DR292-DQ292,INT(DR292)-DQ292))+
IF($N292&lt;=1,
IF($N292&gt;0,1/$N292,0),VDB(1,0,$N292,INT(EJ$44-1),MIN($N292,INT(EJ$44-1)+1),$DC292,IF($DD292="No",1,0))/
IF(DR292&gt;INT($N292),$N292-INT($N292),1))*
IF(EJ$44=1,DR292,
IF(INT(DR292)=INT(DQ292),0,DR292-INT(DR292)))))</f>
        <v>0</v>
      </c>
      <c r="EK292" s="835">
        <f>+IF(DS292=DR292,0,
IF(AND(EK$44&gt;1,DS292=$N292),1-SUM($EE292:EJ292),
IF($N292&lt;=1,
IF($N292&gt;0,1/$N292,0),
IF(EK$44=1,0,VDB(1,0,$N292,INT(EK$44-1-1),MIN($N292,INT(EK$44-1-1)+1),$DC292,IF($DD292="No",1,0))/
IF(DR292&gt;=INT($N292),$N292-INT($N292),1)))*
IF(EK$44=1,0,
IF(INT(DS292)=INT(DR292),DS292-DR292,INT(DS292)-DR292))+
IF($N292&lt;=1,
IF($N292&gt;0,1/$N292,0),VDB(1,0,$N292,INT(EK$44-1),MIN($N292,INT(EK$44-1)+1),$DC292,IF($DD292="No",1,0))/
IF(DS292&gt;INT($N292),$N292-INT($N292),1))*
IF(EK$44=1,DS292,
IF(INT(DS292)=INT(DR292),0,DS292-INT(DS292)))))</f>
        <v>0</v>
      </c>
      <c r="EL292" s="835">
        <f>+IF(DT292=DS292,0,
IF(AND(EL$44&gt;1,DT292=$N292),1-SUM($EE292:EK292),
IF($N292&lt;=1,
IF($N292&gt;0,1/$N292,0),
IF(EL$44=1,0,VDB(1,0,$N292,INT(EL$44-1-1),MIN($N292,INT(EL$44-1-1)+1),$DC292,IF($DD292="No",1,0))/
IF(DS292&gt;=INT($N292),$N292-INT($N292),1)))*
IF(EL$44=1,0,
IF(INT(DT292)=INT(DS292),DT292-DS292,INT(DT292)-DS292))+
IF($N292&lt;=1,
IF($N292&gt;0,1/$N292,0),VDB(1,0,$N292,INT(EL$44-1),MIN($N292,INT(EL$44-1)+1),$DC292,IF($DD292="No",1,0))/
IF(DT292&gt;INT($N292),$N292-INT($N292),1))*
IF(EL$44=1,DT292,
IF(INT(DT292)=INT(DS292),0,DT292-INT(DT292)))))</f>
        <v>0</v>
      </c>
      <c r="EM292" s="836">
        <f>+IF(DU292=DT292,0,
IF(AND(EM$44&gt;1,DU292=$N292),1-SUM($EE292:EL292),
IF($N292&lt;=1,
IF($N292&gt;0,1/$N292,0),
IF(EM$44=1,0,VDB(1,0,$N292,INT(EM$44-1-1),MIN($N292,INT(EM$44-1-1)+1),$DC292,IF($DD292="No",1,0))/
IF(DT292&gt;=INT($N292),$N292-INT($N292),1)))*
IF(EM$44=1,0,
IF(INT(DU292)=INT(DT292),DU292-DT292,INT(DU292)-DT292))+
IF($N292&lt;=1,
IF($N292&gt;0,1/$N292,0),VDB(1,0,$N292,INT(EM$44-1),MIN($N292,INT(EM$44-1)+1),$DC292,IF($DD292="No",1,0))/
IF(DU292&gt;INT($N292),$N292-INT($N292),1))*
IF(EM$44=1,DU292,
IF(INT(DU292)=INT(DT292),0,DU292-INT(DU292)))))</f>
        <v>0</v>
      </c>
      <c r="EN292" s="833"/>
      <c r="EO292" s="834">
        <f>+IF(OR(DW292=DV292,EO$44=1),0,
IF(AND(EO$44&gt;1,DW292=$N292),1-SUM($EN292:EN292),
IF($N292&lt;=1,
IF($N292&gt;0,1/$N292,0),
IF(EO$44=2,0,VDB(1,0,$N292,INT(EO$44-2-1),MIN($N292,INT(EO$44-2-1)+1),$DC292,IF($DD292="No",1,0))/
IF(DV292&gt;=INT($N292),$N292-INT($N292),1)))*
IF(EO$44=2,0,
IF(INT(DW292)=INT(DV292),DW292-DV292,INT(DW292)-DV292))+
IF($N292&lt;=1,
IF($N292&gt;0,1/$N292,0),VDB(1,0,$N292,INT(EO$44-2),MIN($N292,INT(EO$44-2)+1),$DC292,IF($DD292="No",1,0))/
IF(DW292&gt;INT($N292),$N292-INT($N292),1))*
IF(EO$44=2,DW292,
IF(INT(DW292)=INT(DV292),0,DW292-INT(DW292)))))</f>
        <v>0</v>
      </c>
      <c r="EP292" s="835">
        <f>+IF(OR(DX292=DW292,EP$44=1),0,
IF(AND(EP$44&gt;1,DX292=$N292),1-SUM($EN292:EO292),
IF($N292&lt;=1,
IF($N292&gt;0,1/$N292,0),
IF(EP$44=2,0,VDB(1,0,$N292,INT(EP$44-2-1),MIN($N292,INT(EP$44-2-1)+1),$DC292,IF($DD292="No",1,0))/
IF(DW292&gt;=INT($N292),$N292-INT($N292),1)))*
IF(EP$44=2,0,
IF(INT(DX292)=INT(DW292),DX292-DW292,INT(DX292)-DW292))+
IF($N292&lt;=1,
IF($N292&gt;0,1/$N292,0),VDB(1,0,$N292,INT(EP$44-2),MIN($N292,INT(EP$44-2)+1),$DC292,IF($DD292="No",1,0))/
IF(DX292&gt;INT($N292),$N292-INT($N292),1))*
IF(EP$44=2,DX292,
IF(INT(DX292)=INT(DW292),0,DX292-INT(DX292)))))</f>
        <v>0</v>
      </c>
      <c r="EQ292" s="836">
        <f>+IF(OR(DY292=DX292,EQ$44=1),0,
IF(AND(EQ$44&gt;1,DY292=$N292),1-SUM($EN292:EP292),
IF($N292&lt;=1,
IF($N292&gt;0,1/$N292,0),
IF(EQ$44=2,0,VDB(1,0,$N292,INT(EQ$44-2-1),MIN($N292,INT(EQ$44-2-1)+1),$DC292,IF($DD292="No",1,0))/
IF(DX292&gt;=INT($N292),$N292-INT($N292),1)))*
IF(EQ$44=2,0,
IF(INT(DY292)=INT(DX292),DY292-DX292,INT(DY292)-DX292))+
IF($N292&lt;=1,
IF($N292&gt;0,1/$N292,0),VDB(1,0,$N292,INT(EQ$44-2),MIN($N292,INT(EQ$44-2)+1),$DC292,IF($DD292="No",1,0))/
IF(DY292&gt;INT($N292),$N292-INT($N292),1))*
IF(EQ$44=2,DY292,
IF(INT(DY292)=INT(DX292),0,DY292-INT(DY292)))))</f>
        <v>0</v>
      </c>
      <c r="ER292" s="834">
        <f>+IF(OR(DZ292=DY292,ER$44=1),0,
IF(AND(ER$44&gt;1,DZ292=$N292),1-SUM($EN292:EQ292),
IF($N292&lt;=1,
IF($N292&gt;0,1/$N292,0),
IF(ER$44=2,0,VDB(1,0,$N292,INT(ER$44-2-1),MIN($N292,INT(ER$44-2-1)+1),$DC292,IF($DD292="No",1,0))/
IF(DY292&gt;=INT($N292),$N292-INT($N292),1)))*
IF(ER$44=2,0,
IF(INT(DZ292)=INT(DY292),DZ292-DY292,INT(DZ292)-DY292))+
IF($N292&lt;=1,
IF($N292&gt;0,1/$N292,0),VDB(1,0,$N292,INT(ER$44-2),MIN($N292,INT(ER$44-2)+1),$DC292,IF($DD292="No",1,0))/
IF(DZ292&gt;INT($N292),$N292-INT($N292),1))*
IF(ER$44=2,DZ292,
IF(INT(DZ292)=INT(DY292),0,DZ292-INT(DZ292)))))</f>
        <v>0</v>
      </c>
      <c r="ES292" s="835">
        <f>+IF(OR(EA292=DZ292,ES$44=1),0,
IF(AND(ES$44&gt;1,EA292=$N292),1-SUM($EN292:ER292),
IF($N292&lt;=1,
IF($N292&gt;0,1/$N292,0),
IF(ES$44=2,0,VDB(1,0,$N292,INT(ES$44-2-1),MIN($N292,INT(ES$44-2-1)+1),$DC292,IF($DD292="No",1,0))/
IF(DZ292&gt;=INT($N292),$N292-INT($N292),1)))*
IF(ES$44=2,0,
IF(INT(EA292)=INT(DZ292),EA292-DZ292,INT(EA292)-DZ292))+
IF($N292&lt;=1,
IF($N292&gt;0,1/$N292,0),VDB(1,0,$N292,INT(ES$44-2),MIN($N292,INT(ES$44-2)+1),$DC292,IF($DD292="No",1,0))/
IF(EA292&gt;INT($N292),$N292-INT($N292),1))*
IF(ES$44=2,EA292,
IF(INT(EA292)=INT(DZ292),0,EA292-INT(EA292)))))</f>
        <v>0</v>
      </c>
      <c r="ET292" s="835">
        <f>+IF(OR(EB292=EA292,ET$44=1),0,
IF(AND(ET$44&gt;1,EB292=$N292),1-SUM($EN292:ES292),
IF($N292&lt;=1,
IF($N292&gt;0,1/$N292,0),
IF(ET$44=2,0,VDB(1,0,$N292,INT(ET$44-2-1),MIN($N292,INT(ET$44-2-1)+1),$DC292,IF($DD292="No",1,0))/
IF(EA292&gt;=INT($N292),$N292-INT($N292),1)))*
IF(ET$44=2,0,
IF(INT(EB292)=INT(EA292),EB292-EA292,INT(EB292)-EA292))+
IF($N292&lt;=1,
IF($N292&gt;0,1/$N292,0),VDB(1,0,$N292,INT(ET$44-2),MIN($N292,INT(ET$44-2)+1),$DC292,IF($DD292="No",1,0))/
IF(EB292&gt;INT($N292),$N292-INT($N292),1))*
IF(ET$44=2,EB292,
IF(INT(EB292)=INT(EA292),0,EB292-INT(EB292)))))</f>
        <v>0</v>
      </c>
      <c r="EU292" s="835">
        <f>+IF(OR(EC292=EB292,EU$44=1),0,
IF(AND(EU$44&gt;1,EC292=$N292),1-SUM($EN292:ET292),
IF($N292&lt;=1,
IF($N292&gt;0,1/$N292,0),
IF(EU$44=2,0,VDB(1,0,$N292,INT(EU$44-2-1),MIN($N292,INT(EU$44-2-1)+1),$DC292,IF($DD292="No",1,0))/
IF(EB292&gt;=INT($N292),$N292-INT($N292),1)))*
IF(EU$44=2,0,
IF(INT(EC292)=INT(EB292),EC292-EB292,INT(EC292)-EB292))+
IF($N292&lt;=1,
IF($N292&gt;0,1/$N292,0),VDB(1,0,$N292,INT(EU$44-2),MIN($N292,INT(EU$44-2)+1),$DC292,IF($DD292="No",1,0))/
IF(EC292&gt;INT($N292),$N292-INT($N292),1))*
IF(EU$44=2,EC292,
IF(INT(EC292)=INT(EB292),0,EC292-INT(EC292)))))</f>
        <v>0</v>
      </c>
      <c r="EV292" s="836">
        <f>+IF(OR(ED292=EC292,EV$44=1),0,
IF(AND(EV$44&gt;1,ED292=$N292),1-SUM($EN292:EU292),
IF($N292&lt;=1,
IF($N292&gt;0,1/$N292,0),
IF(EV$44=2,0,VDB(1,0,$N292,INT(EV$44-2-1),MIN($N292,INT(EV$44-2-1)+1),$DC292,IF($DD292="No",1,0))/
IF(EC292&gt;=INT($N292),$N292-INT($N292),1)))*
IF(EV$44=2,0,
IF(INT(ED292)=INT(EC292),ED292-EC292,INT(ED292)-EC292))+
IF($N292&lt;=1,
IF($N292&gt;0,1/$N292,0),VDB(1,0,$N292,INT(EV$44-2),MIN($N292,INT(EV$44-2)+1),$DC292,IF($DD292="No",1,0))/
IF(ED292&gt;INT($N292),$N292-INT($N292),1))*
IF(EV$44=2,ED292,
IF(INT(ED292)=INT(EC292),0,ED292-INT(ED292)))))</f>
        <v>0</v>
      </c>
      <c r="EW292" s="833"/>
      <c r="EX292" s="834">
        <f t="shared" ca="1" si="513"/>
        <v>0</v>
      </c>
      <c r="EY292" s="835">
        <f t="shared" ca="1" si="513"/>
        <v>0</v>
      </c>
      <c r="EZ292" s="836">
        <f t="shared" ca="1" si="513"/>
        <v>0</v>
      </c>
      <c r="FA292" s="834">
        <f t="shared" ca="1" si="513"/>
        <v>0</v>
      </c>
      <c r="FB292" s="835">
        <f t="shared" ca="1" si="513"/>
        <v>0</v>
      </c>
      <c r="FC292" s="835">
        <f t="shared" ca="1" si="513"/>
        <v>0</v>
      </c>
      <c r="FD292" s="835">
        <f t="shared" ca="1" si="513"/>
        <v>0</v>
      </c>
      <c r="FE292" s="836">
        <f t="shared" ca="1" si="513"/>
        <v>0</v>
      </c>
      <c r="FG292" s="386">
        <f t="shared" ca="1" si="504"/>
        <v>0</v>
      </c>
      <c r="FH292" s="387">
        <f t="shared" ca="1" si="505"/>
        <v>0</v>
      </c>
      <c r="FI292" s="388">
        <f t="shared" ca="1" si="506"/>
        <v>0</v>
      </c>
      <c r="FJ292" s="386">
        <f t="shared" ca="1" si="507"/>
        <v>0</v>
      </c>
      <c r="FK292" s="387">
        <f t="shared" ca="1" si="508"/>
        <v>0</v>
      </c>
      <c r="FL292" s="387">
        <f t="shared" ca="1" si="509"/>
        <v>0</v>
      </c>
      <c r="FM292" s="387">
        <f t="shared" ca="1" si="510"/>
        <v>0</v>
      </c>
      <c r="FN292" s="388">
        <f t="shared" ca="1" si="511"/>
        <v>0</v>
      </c>
      <c r="FR292" s="116"/>
    </row>
    <row r="293" spans="2:174">
      <c r="B293" s="1410">
        <f t="shared" si="512"/>
        <v>247</v>
      </c>
      <c r="C293" s="400"/>
      <c r="D293" s="410"/>
      <c r="E293" s="402"/>
      <c r="F293" s="402"/>
      <c r="G293" s="400"/>
      <c r="H293" s="2088"/>
      <c r="I293" s="2089"/>
      <c r="J293" s="411"/>
      <c r="K293" s="403"/>
      <c r="L293" s="403"/>
      <c r="M293" s="403"/>
      <c r="N293" s="403"/>
      <c r="O293" s="347"/>
      <c r="P293" s="347"/>
      <c r="Q293" s="1021"/>
      <c r="R293" s="1022"/>
      <c r="S293" s="1022"/>
      <c r="T293" s="1022"/>
      <c r="U293" s="1023"/>
      <c r="V293" s="1021"/>
      <c r="W293" s="1022"/>
      <c r="X293" s="1022"/>
      <c r="Y293" s="1022"/>
      <c r="Z293" s="1023"/>
      <c r="AA293" s="1024"/>
      <c r="AB293" s="1021"/>
      <c r="AC293" s="1022"/>
      <c r="AD293" s="1022"/>
      <c r="AE293" s="1022"/>
      <c r="AF293" s="1023"/>
      <c r="AG293" s="1021"/>
      <c r="AH293" s="1022"/>
      <c r="AI293" s="1022"/>
      <c r="AJ293" s="1022"/>
      <c r="AK293" s="1023"/>
      <c r="AL293" s="1024"/>
      <c r="AM293" s="1021"/>
      <c r="AN293" s="1022"/>
      <c r="AO293" s="1022"/>
      <c r="AP293" s="1022"/>
      <c r="AQ293" s="1023"/>
      <c r="AR293" s="1021"/>
      <c r="AS293" s="1022"/>
      <c r="AT293" s="1022"/>
      <c r="AU293" s="1022"/>
      <c r="AV293" s="1023"/>
      <c r="AW293" s="1025"/>
      <c r="AX293" s="1282">
        <f t="shared" si="457"/>
        <v>0</v>
      </c>
      <c r="AY293" s="387">
        <f t="shared" si="458"/>
        <v>0</v>
      </c>
      <c r="AZ293" s="387">
        <f t="shared" si="459"/>
        <v>0</v>
      </c>
      <c r="BA293" s="387">
        <f t="shared" si="460"/>
        <v>0</v>
      </c>
      <c r="BB293" s="1283">
        <f t="shared" si="461"/>
        <v>0</v>
      </c>
      <c r="BC293" s="386">
        <f t="shared" si="462"/>
        <v>0</v>
      </c>
      <c r="BD293" s="387">
        <f t="shared" si="463"/>
        <v>0</v>
      </c>
      <c r="BE293" s="1277">
        <f t="shared" si="464"/>
        <v>0</v>
      </c>
      <c r="BF293" s="1277">
        <f t="shared" si="465"/>
        <v>0</v>
      </c>
      <c r="BG293" s="388">
        <f t="shared" si="466"/>
        <v>0</v>
      </c>
      <c r="BH293" s="1025"/>
      <c r="BI293" s="1282">
        <f t="shared" ca="1" si="467"/>
        <v>0</v>
      </c>
      <c r="BJ293" s="387">
        <f t="shared" ca="1" si="468"/>
        <v>0</v>
      </c>
      <c r="BK293" s="387">
        <f t="shared" ca="1" si="469"/>
        <v>0</v>
      </c>
      <c r="BL293" s="387">
        <f t="shared" ca="1" si="470"/>
        <v>0</v>
      </c>
      <c r="BM293" s="1283">
        <f t="shared" ca="1" si="471"/>
        <v>0</v>
      </c>
      <c r="BN293" s="386">
        <f t="shared" ca="1" si="472"/>
        <v>0</v>
      </c>
      <c r="BO293" s="387">
        <f t="shared" ca="1" si="473"/>
        <v>0</v>
      </c>
      <c r="BP293" s="1277">
        <f t="shared" ca="1" si="474"/>
        <v>0</v>
      </c>
      <c r="BQ293" s="1277">
        <f t="shared" ca="1" si="475"/>
        <v>0</v>
      </c>
      <c r="BR293" s="388">
        <f t="shared" ca="1" si="476"/>
        <v>0</v>
      </c>
      <c r="BS293" s="1025"/>
      <c r="BT293" s="1282">
        <f>+IF($K293="Ongoing",AX293,IF(RIGHT($K293,2)=RIGHT(BT$43,2),SUM($AX293:AX293),0)+IF(RIGHT(BT$43,2)&gt;RIGHT($K293,2),AX293,0))</f>
        <v>0</v>
      </c>
      <c r="BU293" s="387">
        <f>+IF($K293="Ongoing",AY293,IF(RIGHT($K293,2)=RIGHT(BU$43,2),SUM($AX293:AY293),0)+IF(RIGHT(BU$43,2)&gt;RIGHT($K293,2),AY293,0))</f>
        <v>0</v>
      </c>
      <c r="BV293" s="387">
        <f>+IF($K293="Ongoing",AZ293,IF(RIGHT($K293,2)=RIGHT(BV$43,2),SUM($AX293:AZ293),0)+IF(RIGHT(BV$43,2)&gt;RIGHT($K293,2),AZ293,0))</f>
        <v>0</v>
      </c>
      <c r="BW293" s="387">
        <f>+IF($K293="Ongoing",BA293,IF(RIGHT($K293,2)=RIGHT(BW$43,2),SUM($AX293:BA293),0)+IF(RIGHT(BW$43,2)&gt;RIGHT($K293,2),BA293,0))</f>
        <v>0</v>
      </c>
      <c r="BX293" s="1283">
        <f>+IF($K293="Ongoing",BB293,IF(RIGHT($K293,2)=RIGHT(BX$43,2),SUM($AX293:BB293),0)+IF(RIGHT(BX$43,2)&gt;RIGHT($K293,2),BB293,0))</f>
        <v>0</v>
      </c>
      <c r="BY293" s="386">
        <f>+IF($K293="Ongoing",BC293,IF(RIGHT($K293,2)=RIGHT(BY$43,2),SUM($AX293:BC293),0)+IF(RIGHT(BY$43,2)&gt;RIGHT($K293,2),BC293,0))</f>
        <v>0</v>
      </c>
      <c r="BZ293" s="387">
        <f>+IF($K293="Ongoing",BD293,IF(RIGHT($K293,2)=RIGHT(BZ$43,2),SUM($AX293:BD293),0)+IF(RIGHT(BZ$43,2)&gt;RIGHT($K293,2),BD293,0))</f>
        <v>0</v>
      </c>
      <c r="CA293" s="1277">
        <f>+IF($K293="Ongoing",BE293,IF(RIGHT($K293,2)=RIGHT(CA$43,2),SUM($AX293:BE293),0)+IF(RIGHT(CA$43,2)&gt;RIGHT($K293,2),BE293,0))</f>
        <v>0</v>
      </c>
      <c r="CB293" s="1277">
        <f>+IF($K293="Ongoing",BF293,IF(RIGHT($K293,2)=RIGHT(CB$43,2),SUM($AX293:BF293),0)+IF(RIGHT(CB$43,2)&gt;RIGHT($K293,2),BF293,0))</f>
        <v>0</v>
      </c>
      <c r="CC293" s="388">
        <f>+IF($K293="Ongoing",BG293,IF(RIGHT($K293,2)=RIGHT(CC$43,2),SUM($AX293:BG293),0)+IF(RIGHT(CC$43,2)&gt;RIGHT($K293,2),BG293,0))</f>
        <v>0</v>
      </c>
      <c r="CD293" s="1025"/>
      <c r="CE293" s="1282">
        <f>+Q293*KeyAssumptionsPriceControl_FO!AF$15</f>
        <v>0</v>
      </c>
      <c r="CF293" s="387">
        <f>+R293*KeyAssumptionsPriceControl_FO!AG$15</f>
        <v>0</v>
      </c>
      <c r="CG293" s="387">
        <f>+S293*KeyAssumptionsPriceControl_FO!AH$15</f>
        <v>0</v>
      </c>
      <c r="CH293" s="387">
        <f>+T293*KeyAssumptionsPriceControl_FO!AI$15</f>
        <v>0</v>
      </c>
      <c r="CI293" s="1283">
        <f>+U293*KeyAssumptionsPriceControl_FO!AJ$15</f>
        <v>0</v>
      </c>
      <c r="CJ293" s="386">
        <f>+V293*KeyAssumptionsPriceControl_FO!AK$15</f>
        <v>0</v>
      </c>
      <c r="CK293" s="387">
        <f>+W293*KeyAssumptionsPriceControl_FO!AL$15</f>
        <v>0</v>
      </c>
      <c r="CL293" s="1277">
        <f>+X293*KeyAssumptionsPriceControl_FO!AM$15</f>
        <v>0</v>
      </c>
      <c r="CM293" s="1277">
        <f>+Y293*KeyAssumptionsPriceControl_FO!AN$15</f>
        <v>0</v>
      </c>
      <c r="CN293" s="388">
        <f>+Z293*KeyAssumptionsPriceControl_FO!AO$15</f>
        <v>0</v>
      </c>
      <c r="CO293" s="1025"/>
      <c r="CP293" s="1282">
        <f t="shared" ca="1" si="477"/>
        <v>0</v>
      </c>
      <c r="CQ293" s="387">
        <f t="shared" ca="1" si="478"/>
        <v>0</v>
      </c>
      <c r="CR293" s="387">
        <f t="shared" ca="1" si="479"/>
        <v>0</v>
      </c>
      <c r="CS293" s="387">
        <f t="shared" ca="1" si="480"/>
        <v>0</v>
      </c>
      <c r="CT293" s="1283">
        <f t="shared" ca="1" si="481"/>
        <v>0</v>
      </c>
      <c r="CU293" s="386">
        <f t="shared" ca="1" si="482"/>
        <v>0</v>
      </c>
      <c r="CV293" s="387">
        <f t="shared" ca="1" si="483"/>
        <v>0</v>
      </c>
      <c r="CW293" s="1277">
        <f t="shared" ca="1" si="484"/>
        <v>0</v>
      </c>
      <c r="CX293" s="1277">
        <f t="shared" ca="1" si="485"/>
        <v>0</v>
      </c>
      <c r="CY293" s="388">
        <f t="shared" ca="1" si="486"/>
        <v>0</v>
      </c>
      <c r="CZ293" s="347"/>
      <c r="DA293" s="852"/>
      <c r="DB293" s="347"/>
      <c r="DC293" s="1012" t="s">
        <v>599</v>
      </c>
      <c r="DD293" s="841" t="s">
        <v>518</v>
      </c>
      <c r="DE293" s="386">
        <f>+IF($K293="ongoing",CE293,IF(RIGHT($K293,2)=RIGHT(DE$43,2),SUM($CD293:CE293),0)+IF(RIGHT(DE$43,2)&gt;RIGHT($K293,2),CE293,0))</f>
        <v>0</v>
      </c>
      <c r="DF293" s="387">
        <f>+IF($K293="ongoing",CF293,IF(RIGHT($K293,2)=RIGHT(DF$43,2),SUM($CD293:CF293),0)+IF(RIGHT(DF$43,2)&gt;RIGHT($K293,2),CF293,0))</f>
        <v>0</v>
      </c>
      <c r="DG293" s="388">
        <f>+IF($K293="ongoing",CG293,IF(RIGHT($K293,2)=RIGHT(DG$43,2),SUM($CD293:CG293),0)+IF(RIGHT(DG$43,2)&gt;RIGHT($K293,2),CG293,0))</f>
        <v>0</v>
      </c>
      <c r="DH293" s="386">
        <f>+IF($K293="ongoing",CH293,IF(RIGHT($K293,2)=RIGHT(DH$43,2),SUM($CD293:CH293),0)+IF(RIGHT(DH$43,2)&gt;RIGHT($K293,2),CH293,0))</f>
        <v>0</v>
      </c>
      <c r="DI293" s="387">
        <f>+IF($K293="ongoing",CI293,IF(RIGHT($K293,2)=RIGHT(DI$43,2),SUM($CD293:CI293),0)+IF(RIGHT(DI$43,2)&gt;RIGHT($K293,2),CI293,0))</f>
        <v>0</v>
      </c>
      <c r="DJ293" s="387">
        <f>+IF($K293="ongoing",CJ293,IF(RIGHT($K293,2)=RIGHT(DJ$43,2),SUM($CD293:CJ293),0)+IF(RIGHT(DJ$43,2)&gt;RIGHT($K293,2),CJ293,0))</f>
        <v>0</v>
      </c>
      <c r="DK293" s="387">
        <f>+IF($K293="ongoing",CK293,IF(RIGHT($K293,2)=RIGHT(DK$43,2),SUM($CD293:CK293),0)+IF(RIGHT(DK$43,2)&gt;RIGHT($K293,2),CK293,0))</f>
        <v>0</v>
      </c>
      <c r="DL293" s="388">
        <f>+IF($K293="ongoing",CN293,IF(RIGHT($K293,2)=RIGHT(DL$43,2),SUM($CD293:CN293),0)+IF(RIGHT(DL$43,2)&gt;RIGHT($K293,2),CN293,0))</f>
        <v>0</v>
      </c>
      <c r="DM293" s="841"/>
      <c r="DN293" s="386">
        <f t="shared" si="487"/>
        <v>0.5</v>
      </c>
      <c r="DO293" s="387">
        <f t="shared" si="488"/>
        <v>1</v>
      </c>
      <c r="DP293" s="388">
        <f t="shared" si="489"/>
        <v>1</v>
      </c>
      <c r="DQ293" s="386">
        <f t="shared" si="490"/>
        <v>1</v>
      </c>
      <c r="DR293" s="387">
        <f t="shared" si="491"/>
        <v>1</v>
      </c>
      <c r="DS293" s="387">
        <f t="shared" si="492"/>
        <v>1</v>
      </c>
      <c r="DT293" s="387">
        <f t="shared" si="493"/>
        <v>1</v>
      </c>
      <c r="DU293" s="388">
        <f t="shared" si="494"/>
        <v>1</v>
      </c>
      <c r="DW293" s="386">
        <f t="shared" si="495"/>
        <v>0</v>
      </c>
      <c r="DX293" s="387">
        <f t="shared" si="496"/>
        <v>0.5</v>
      </c>
      <c r="DY293" s="388">
        <f t="shared" si="497"/>
        <v>1</v>
      </c>
      <c r="DZ293" s="386">
        <f t="shared" si="498"/>
        <v>1</v>
      </c>
      <c r="EA293" s="387">
        <f t="shared" si="499"/>
        <v>1</v>
      </c>
      <c r="EB293" s="387">
        <f t="shared" si="500"/>
        <v>1</v>
      </c>
      <c r="EC293" s="387">
        <f t="shared" si="501"/>
        <v>1</v>
      </c>
      <c r="ED293" s="388">
        <f t="shared" si="502"/>
        <v>1</v>
      </c>
      <c r="EF293" s="834">
        <f>+IF(DN293=DM293,0,
IF(AND(EF$44&gt;1,DN293=$N293),1-SUM($EE293:EE293),
IF($N293&lt;=1,
IF($N293&gt;0,1/$N293,0),
IF(EF$44=1,0,VDB(1,0,$N293,INT(EF$44-1-1),MIN($N293,INT(EF$44-1-1)+1),$DC293,IF($DD293="No",1,0))/
IF(DM293&gt;=INT($N293),$N293-INT($N293),1)))*
IF(EF$44=1,0,
IF(INT(DN293)=INT(DM293),DN293-DM293,INT(DN293)-DM293))+
IF($N293&lt;=1,
IF($N293&gt;0,1/$N293,0),VDB(1,0,$N293,INT(EF$44-1),MIN($N293,INT(EF$44-1)+1),$DC293,IF($DD293="No",1,0))/
IF(DN293&gt;INT($N293),$N293-INT($N293),1))*
IF(EF$44=1,DN293,
IF(INT(DN293)=INT(DM293),0,DN293-INT(DN293)))))</f>
        <v>0</v>
      </c>
      <c r="EG293" s="835">
        <f>+IF(DO293=DN293,0,
IF(AND(EG$44&gt;1,DO293=$N293),1-SUM($EE293:EF293),
IF($N293&lt;=1,
IF($N293&gt;0,1/$N293,0),
IF(EG$44=1,0,VDB(1,0,$N293,INT(EG$44-1-1),MIN($N293,INT(EG$44-1-1)+1),$DC293,IF($DD293="No",1,0))/
IF(DN293&gt;=INT($N293),$N293-INT($N293),1)))*
IF(EG$44=1,0,
IF(INT(DO293)=INT(DN293),DO293-DN293,INT(DO293)-DN293))+
IF($N293&lt;=1,
IF($N293&gt;0,1/$N293,0),VDB(1,0,$N293,INT(EG$44-1),MIN($N293,INT(EG$44-1)+1),$DC293,IF($DD293="No",1,0))/
IF(DO293&gt;INT($N293),$N293-INT($N293),1))*
IF(EG$44=1,DO293,
IF(INT(DO293)=INT(DN293),0,DO293-INT(DO293)))))</f>
        <v>0</v>
      </c>
      <c r="EH293" s="836">
        <f>+IF(DP293=DO293,0,
IF(AND(EH$44&gt;1,DP293=$N293),1-SUM($EE293:EG293),
IF($N293&lt;=1,
IF($N293&gt;0,1/$N293,0),
IF(EH$44=1,0,VDB(1,0,$N293,INT(EH$44-1-1),MIN($N293,INT(EH$44-1-1)+1),$DC293,IF($DD293="No",1,0))/
IF(DO293&gt;=INT($N293),$N293-INT($N293),1)))*
IF(EH$44=1,0,
IF(INT(DP293)=INT(DO293),DP293-DO293,INT(DP293)-DO293))+
IF($N293&lt;=1,
IF($N293&gt;0,1/$N293,0),VDB(1,0,$N293,INT(EH$44-1),MIN($N293,INT(EH$44-1)+1),$DC293,IF($DD293="No",1,0))/
IF(DP293&gt;INT($N293),$N293-INT($N293),1))*
IF(EH$44=1,DP293,
IF(INT(DP293)=INT(DO293),0,DP293-INT(DP293)))))</f>
        <v>0</v>
      </c>
      <c r="EI293" s="834">
        <f>+IF(DQ293=DP293,0,
IF(AND(EI$44&gt;1,DQ293=$N293),1-SUM($EE293:EH293),
IF($N293&lt;=1,
IF($N293&gt;0,1/$N293,0),
IF(EI$44=1,0,VDB(1,0,$N293,INT(EI$44-1-1),MIN($N293,INT(EI$44-1-1)+1),$DC293,IF($DD293="No",1,0))/
IF(DP293&gt;=INT($N293),$N293-INT($N293),1)))*
IF(EI$44=1,0,
IF(INT(DQ293)=INT(DP293),DQ293-DP293,INT(DQ293)-DP293))+
IF($N293&lt;=1,
IF($N293&gt;0,1/$N293,0),VDB(1,0,$N293,INT(EI$44-1),MIN($N293,INT(EI$44-1)+1),$DC293,IF($DD293="No",1,0))/
IF(DQ293&gt;INT($N293),$N293-INT($N293),1))*
IF(EI$44=1,DQ293,
IF(INT(DQ293)=INT(DP293),0,DQ293-INT(DQ293)))))</f>
        <v>0</v>
      </c>
      <c r="EJ293" s="835">
        <f>+IF(DR293=DQ293,0,
IF(AND(EJ$44&gt;1,DR293=$N293),1-SUM($EE293:EI293),
IF($N293&lt;=1,
IF($N293&gt;0,1/$N293,0),
IF(EJ$44=1,0,VDB(1,0,$N293,INT(EJ$44-1-1),MIN($N293,INT(EJ$44-1-1)+1),$DC293,IF($DD293="No",1,0))/
IF(DQ293&gt;=INT($N293),$N293-INT($N293),1)))*
IF(EJ$44=1,0,
IF(INT(DR293)=INT(DQ293),DR293-DQ293,INT(DR293)-DQ293))+
IF($N293&lt;=1,
IF($N293&gt;0,1/$N293,0),VDB(1,0,$N293,INT(EJ$44-1),MIN($N293,INT(EJ$44-1)+1),$DC293,IF($DD293="No",1,0))/
IF(DR293&gt;INT($N293),$N293-INT($N293),1))*
IF(EJ$44=1,DR293,
IF(INT(DR293)=INT(DQ293),0,DR293-INT(DR293)))))</f>
        <v>0</v>
      </c>
      <c r="EK293" s="835">
        <f>+IF(DS293=DR293,0,
IF(AND(EK$44&gt;1,DS293=$N293),1-SUM($EE293:EJ293),
IF($N293&lt;=1,
IF($N293&gt;0,1/$N293,0),
IF(EK$44=1,0,VDB(1,0,$N293,INT(EK$44-1-1),MIN($N293,INT(EK$44-1-1)+1),$DC293,IF($DD293="No",1,0))/
IF(DR293&gt;=INT($N293),$N293-INT($N293),1)))*
IF(EK$44=1,0,
IF(INT(DS293)=INT(DR293),DS293-DR293,INT(DS293)-DR293))+
IF($N293&lt;=1,
IF($N293&gt;0,1/$N293,0),VDB(1,0,$N293,INT(EK$44-1),MIN($N293,INT(EK$44-1)+1),$DC293,IF($DD293="No",1,0))/
IF(DS293&gt;INT($N293),$N293-INT($N293),1))*
IF(EK$44=1,DS293,
IF(INT(DS293)=INT(DR293),0,DS293-INT(DS293)))))</f>
        <v>0</v>
      </c>
      <c r="EL293" s="835">
        <f>+IF(DT293=DS293,0,
IF(AND(EL$44&gt;1,DT293=$N293),1-SUM($EE293:EK293),
IF($N293&lt;=1,
IF($N293&gt;0,1/$N293,0),
IF(EL$44=1,0,VDB(1,0,$N293,INT(EL$44-1-1),MIN($N293,INT(EL$44-1-1)+1),$DC293,IF($DD293="No",1,0))/
IF(DS293&gt;=INT($N293),$N293-INT($N293),1)))*
IF(EL$44=1,0,
IF(INT(DT293)=INT(DS293),DT293-DS293,INT(DT293)-DS293))+
IF($N293&lt;=1,
IF($N293&gt;0,1/$N293,0),VDB(1,0,$N293,INT(EL$44-1),MIN($N293,INT(EL$44-1)+1),$DC293,IF($DD293="No",1,0))/
IF(DT293&gt;INT($N293),$N293-INT($N293),1))*
IF(EL$44=1,DT293,
IF(INT(DT293)=INT(DS293),0,DT293-INT(DT293)))))</f>
        <v>0</v>
      </c>
      <c r="EM293" s="836">
        <f>+IF(DU293=DT293,0,
IF(AND(EM$44&gt;1,DU293=$N293),1-SUM($EE293:EL293),
IF($N293&lt;=1,
IF($N293&gt;0,1/$N293,0),
IF(EM$44=1,0,VDB(1,0,$N293,INT(EM$44-1-1),MIN($N293,INT(EM$44-1-1)+1),$DC293,IF($DD293="No",1,0))/
IF(DT293&gt;=INT($N293),$N293-INT($N293),1)))*
IF(EM$44=1,0,
IF(INT(DU293)=INT(DT293),DU293-DT293,INT(DU293)-DT293))+
IF($N293&lt;=1,
IF($N293&gt;0,1/$N293,0),VDB(1,0,$N293,INT(EM$44-1),MIN($N293,INT(EM$44-1)+1),$DC293,IF($DD293="No",1,0))/
IF(DU293&gt;INT($N293),$N293-INT($N293),1))*
IF(EM$44=1,DU293,
IF(INT(DU293)=INT(DT293),0,DU293-INT(DU293)))))</f>
        <v>0</v>
      </c>
      <c r="EN293" s="833"/>
      <c r="EO293" s="834">
        <f>+IF(OR(DW293=DV293,EO$44=1),0,
IF(AND(EO$44&gt;1,DW293=$N293),1-SUM($EN293:EN293),
IF($N293&lt;=1,
IF($N293&gt;0,1/$N293,0),
IF(EO$44=2,0,VDB(1,0,$N293,INT(EO$44-2-1),MIN($N293,INT(EO$44-2-1)+1),$DC293,IF($DD293="No",1,0))/
IF(DV293&gt;=INT($N293),$N293-INT($N293),1)))*
IF(EO$44=2,0,
IF(INT(DW293)=INT(DV293),DW293-DV293,INT(DW293)-DV293))+
IF($N293&lt;=1,
IF($N293&gt;0,1/$N293,0),VDB(1,0,$N293,INT(EO$44-2),MIN($N293,INT(EO$44-2)+1),$DC293,IF($DD293="No",1,0))/
IF(DW293&gt;INT($N293),$N293-INT($N293),1))*
IF(EO$44=2,DW293,
IF(INT(DW293)=INT(DV293),0,DW293-INT(DW293)))))</f>
        <v>0</v>
      </c>
      <c r="EP293" s="835">
        <f>+IF(OR(DX293=DW293,EP$44=1),0,
IF(AND(EP$44&gt;1,DX293=$N293),1-SUM($EN293:EO293),
IF($N293&lt;=1,
IF($N293&gt;0,1/$N293,0),
IF(EP$44=2,0,VDB(1,0,$N293,INT(EP$44-2-1),MIN($N293,INT(EP$44-2-1)+1),$DC293,IF($DD293="No",1,0))/
IF(DW293&gt;=INT($N293),$N293-INT($N293),1)))*
IF(EP$44=2,0,
IF(INT(DX293)=INT(DW293),DX293-DW293,INT(DX293)-DW293))+
IF($N293&lt;=1,
IF($N293&gt;0,1/$N293,0),VDB(1,0,$N293,INT(EP$44-2),MIN($N293,INT(EP$44-2)+1),$DC293,IF($DD293="No",1,0))/
IF(DX293&gt;INT($N293),$N293-INT($N293),1))*
IF(EP$44=2,DX293,
IF(INT(DX293)=INT(DW293),0,DX293-INT(DX293)))))</f>
        <v>0</v>
      </c>
      <c r="EQ293" s="836">
        <f>+IF(OR(DY293=DX293,EQ$44=1),0,
IF(AND(EQ$44&gt;1,DY293=$N293),1-SUM($EN293:EP293),
IF($N293&lt;=1,
IF($N293&gt;0,1/$N293,0),
IF(EQ$44=2,0,VDB(1,0,$N293,INT(EQ$44-2-1),MIN($N293,INT(EQ$44-2-1)+1),$DC293,IF($DD293="No",1,0))/
IF(DX293&gt;=INT($N293),$N293-INT($N293),1)))*
IF(EQ$44=2,0,
IF(INT(DY293)=INT(DX293),DY293-DX293,INT(DY293)-DX293))+
IF($N293&lt;=1,
IF($N293&gt;0,1/$N293,0),VDB(1,0,$N293,INT(EQ$44-2),MIN($N293,INT(EQ$44-2)+1),$DC293,IF($DD293="No",1,0))/
IF(DY293&gt;INT($N293),$N293-INT($N293),1))*
IF(EQ$44=2,DY293,
IF(INT(DY293)=INT(DX293),0,DY293-INT(DY293)))))</f>
        <v>0</v>
      </c>
      <c r="ER293" s="834">
        <f>+IF(OR(DZ293=DY293,ER$44=1),0,
IF(AND(ER$44&gt;1,DZ293=$N293),1-SUM($EN293:EQ293),
IF($N293&lt;=1,
IF($N293&gt;0,1/$N293,0),
IF(ER$44=2,0,VDB(1,0,$N293,INT(ER$44-2-1),MIN($N293,INT(ER$44-2-1)+1),$DC293,IF($DD293="No",1,0))/
IF(DY293&gt;=INT($N293),$N293-INT($N293),1)))*
IF(ER$44=2,0,
IF(INT(DZ293)=INT(DY293),DZ293-DY293,INT(DZ293)-DY293))+
IF($N293&lt;=1,
IF($N293&gt;0,1/$N293,0),VDB(1,0,$N293,INT(ER$44-2),MIN($N293,INT(ER$44-2)+1),$DC293,IF($DD293="No",1,0))/
IF(DZ293&gt;INT($N293),$N293-INT($N293),1))*
IF(ER$44=2,DZ293,
IF(INT(DZ293)=INT(DY293),0,DZ293-INT(DZ293)))))</f>
        <v>0</v>
      </c>
      <c r="ES293" s="835">
        <f>+IF(OR(EA293=DZ293,ES$44=1),0,
IF(AND(ES$44&gt;1,EA293=$N293),1-SUM($EN293:ER293),
IF($N293&lt;=1,
IF($N293&gt;0,1/$N293,0),
IF(ES$44=2,0,VDB(1,0,$N293,INT(ES$44-2-1),MIN($N293,INT(ES$44-2-1)+1),$DC293,IF($DD293="No",1,0))/
IF(DZ293&gt;=INT($N293),$N293-INT($N293),1)))*
IF(ES$44=2,0,
IF(INT(EA293)=INT(DZ293),EA293-DZ293,INT(EA293)-DZ293))+
IF($N293&lt;=1,
IF($N293&gt;0,1/$N293,0),VDB(1,0,$N293,INT(ES$44-2),MIN($N293,INT(ES$44-2)+1),$DC293,IF($DD293="No",1,0))/
IF(EA293&gt;INT($N293),$N293-INT($N293),1))*
IF(ES$44=2,EA293,
IF(INT(EA293)=INT(DZ293),0,EA293-INT(EA293)))))</f>
        <v>0</v>
      </c>
      <c r="ET293" s="835">
        <f>+IF(OR(EB293=EA293,ET$44=1),0,
IF(AND(ET$44&gt;1,EB293=$N293),1-SUM($EN293:ES293),
IF($N293&lt;=1,
IF($N293&gt;0,1/$N293,0),
IF(ET$44=2,0,VDB(1,0,$N293,INT(ET$44-2-1),MIN($N293,INT(ET$44-2-1)+1),$DC293,IF($DD293="No",1,0))/
IF(EA293&gt;=INT($N293),$N293-INT($N293),1)))*
IF(ET$44=2,0,
IF(INT(EB293)=INT(EA293),EB293-EA293,INT(EB293)-EA293))+
IF($N293&lt;=1,
IF($N293&gt;0,1/$N293,0),VDB(1,0,$N293,INT(ET$44-2),MIN($N293,INT(ET$44-2)+1),$DC293,IF($DD293="No",1,0))/
IF(EB293&gt;INT($N293),$N293-INT($N293),1))*
IF(ET$44=2,EB293,
IF(INT(EB293)=INT(EA293),0,EB293-INT(EB293)))))</f>
        <v>0</v>
      </c>
      <c r="EU293" s="835">
        <f>+IF(OR(EC293=EB293,EU$44=1),0,
IF(AND(EU$44&gt;1,EC293=$N293),1-SUM($EN293:ET293),
IF($N293&lt;=1,
IF($N293&gt;0,1/$N293,0),
IF(EU$44=2,0,VDB(1,0,$N293,INT(EU$44-2-1),MIN($N293,INT(EU$44-2-1)+1),$DC293,IF($DD293="No",1,0))/
IF(EB293&gt;=INT($N293),$N293-INT($N293),1)))*
IF(EU$44=2,0,
IF(INT(EC293)=INT(EB293),EC293-EB293,INT(EC293)-EB293))+
IF($N293&lt;=1,
IF($N293&gt;0,1/$N293,0),VDB(1,0,$N293,INT(EU$44-2),MIN($N293,INT(EU$44-2)+1),$DC293,IF($DD293="No",1,0))/
IF(EC293&gt;INT($N293),$N293-INT($N293),1))*
IF(EU$44=2,EC293,
IF(INT(EC293)=INT(EB293),0,EC293-INT(EC293)))))</f>
        <v>0</v>
      </c>
      <c r="EV293" s="836">
        <f>+IF(OR(ED293=EC293,EV$44=1),0,
IF(AND(EV$44&gt;1,ED293=$N293),1-SUM($EN293:EU293),
IF($N293&lt;=1,
IF($N293&gt;0,1/$N293,0),
IF(EV$44=2,0,VDB(1,0,$N293,INT(EV$44-2-1),MIN($N293,INT(EV$44-2-1)+1),$DC293,IF($DD293="No",1,0))/
IF(EC293&gt;=INT($N293),$N293-INT($N293),1)))*
IF(EV$44=2,0,
IF(INT(ED293)=INT(EC293),ED293-EC293,INT(ED293)-EC293))+
IF($N293&lt;=1,
IF($N293&gt;0,1/$N293,0),VDB(1,0,$N293,INT(EV$44-2),MIN($N293,INT(EV$44-2)+1),$DC293,IF($DD293="No",1,0))/
IF(ED293&gt;INT($N293),$N293-INT($N293),1))*
IF(EV$44=2,ED293,
IF(INT(ED293)=INT(EC293),0,ED293-INT(ED293)))))</f>
        <v>0</v>
      </c>
      <c r="EW293" s="833"/>
      <c r="EX293" s="834">
        <f t="shared" ca="1" si="513"/>
        <v>0</v>
      </c>
      <c r="EY293" s="835">
        <f t="shared" ca="1" si="513"/>
        <v>0</v>
      </c>
      <c r="EZ293" s="836">
        <f t="shared" ca="1" si="513"/>
        <v>0</v>
      </c>
      <c r="FA293" s="834">
        <f t="shared" ca="1" si="513"/>
        <v>0</v>
      </c>
      <c r="FB293" s="835">
        <f t="shared" ca="1" si="513"/>
        <v>0</v>
      </c>
      <c r="FC293" s="835">
        <f t="shared" ca="1" si="513"/>
        <v>0</v>
      </c>
      <c r="FD293" s="835">
        <f t="shared" ca="1" si="513"/>
        <v>0</v>
      </c>
      <c r="FE293" s="836">
        <f t="shared" ca="1" si="513"/>
        <v>0</v>
      </c>
      <c r="FG293" s="386">
        <f t="shared" ca="1" si="504"/>
        <v>0</v>
      </c>
      <c r="FH293" s="387">
        <f t="shared" ca="1" si="505"/>
        <v>0</v>
      </c>
      <c r="FI293" s="388">
        <f t="shared" ca="1" si="506"/>
        <v>0</v>
      </c>
      <c r="FJ293" s="386">
        <f t="shared" ca="1" si="507"/>
        <v>0</v>
      </c>
      <c r="FK293" s="387">
        <f t="shared" ca="1" si="508"/>
        <v>0</v>
      </c>
      <c r="FL293" s="387">
        <f t="shared" ca="1" si="509"/>
        <v>0</v>
      </c>
      <c r="FM293" s="387">
        <f t="shared" ca="1" si="510"/>
        <v>0</v>
      </c>
      <c r="FN293" s="388">
        <f t="shared" ca="1" si="511"/>
        <v>0</v>
      </c>
      <c r="FR293" s="116"/>
    </row>
    <row r="294" spans="2:174">
      <c r="B294" s="1410">
        <f t="shared" si="512"/>
        <v>248</v>
      </c>
      <c r="C294" s="400"/>
      <c r="D294" s="410"/>
      <c r="E294" s="402"/>
      <c r="F294" s="402"/>
      <c r="G294" s="400"/>
      <c r="H294" s="2088"/>
      <c r="I294" s="2089"/>
      <c r="J294" s="411"/>
      <c r="K294" s="403"/>
      <c r="L294" s="403"/>
      <c r="M294" s="403"/>
      <c r="N294" s="403"/>
      <c r="O294" s="347"/>
      <c r="P294" s="347"/>
      <c r="Q294" s="1021"/>
      <c r="R294" s="1022"/>
      <c r="S294" s="1022"/>
      <c r="T294" s="1022"/>
      <c r="U294" s="1023"/>
      <c r="V294" s="1021"/>
      <c r="W294" s="1022"/>
      <c r="X294" s="1022"/>
      <c r="Y294" s="1022"/>
      <c r="Z294" s="1023"/>
      <c r="AA294" s="1024"/>
      <c r="AB294" s="1021"/>
      <c r="AC294" s="1022"/>
      <c r="AD294" s="1022"/>
      <c r="AE294" s="1022"/>
      <c r="AF294" s="1023"/>
      <c r="AG294" s="1021"/>
      <c r="AH294" s="1022"/>
      <c r="AI294" s="1022"/>
      <c r="AJ294" s="1022"/>
      <c r="AK294" s="1023"/>
      <c r="AL294" s="1024"/>
      <c r="AM294" s="1021"/>
      <c r="AN294" s="1022"/>
      <c r="AO294" s="1022"/>
      <c r="AP294" s="1022"/>
      <c r="AQ294" s="1023"/>
      <c r="AR294" s="1021"/>
      <c r="AS294" s="1022"/>
      <c r="AT294" s="1022"/>
      <c r="AU294" s="1022"/>
      <c r="AV294" s="1023"/>
      <c r="AW294" s="1025"/>
      <c r="AX294" s="1282">
        <f t="shared" si="457"/>
        <v>0</v>
      </c>
      <c r="AY294" s="387">
        <f t="shared" si="458"/>
        <v>0</v>
      </c>
      <c r="AZ294" s="387">
        <f t="shared" si="459"/>
        <v>0</v>
      </c>
      <c r="BA294" s="387">
        <f t="shared" si="460"/>
        <v>0</v>
      </c>
      <c r="BB294" s="1283">
        <f t="shared" si="461"/>
        <v>0</v>
      </c>
      <c r="BC294" s="386">
        <f t="shared" si="462"/>
        <v>0</v>
      </c>
      <c r="BD294" s="387">
        <f t="shared" si="463"/>
        <v>0</v>
      </c>
      <c r="BE294" s="1277">
        <f t="shared" si="464"/>
        <v>0</v>
      </c>
      <c r="BF294" s="1277">
        <f t="shared" si="465"/>
        <v>0</v>
      </c>
      <c r="BG294" s="388">
        <f t="shared" si="466"/>
        <v>0</v>
      </c>
      <c r="BH294" s="1025"/>
      <c r="BI294" s="1282">
        <f t="shared" ca="1" si="467"/>
        <v>0</v>
      </c>
      <c r="BJ294" s="387">
        <f t="shared" ca="1" si="468"/>
        <v>0</v>
      </c>
      <c r="BK294" s="387">
        <f t="shared" ca="1" si="469"/>
        <v>0</v>
      </c>
      <c r="BL294" s="387">
        <f t="shared" ca="1" si="470"/>
        <v>0</v>
      </c>
      <c r="BM294" s="1283">
        <f t="shared" ca="1" si="471"/>
        <v>0</v>
      </c>
      <c r="BN294" s="386">
        <f t="shared" ca="1" si="472"/>
        <v>0</v>
      </c>
      <c r="BO294" s="387">
        <f t="shared" ca="1" si="473"/>
        <v>0</v>
      </c>
      <c r="BP294" s="1277">
        <f t="shared" ca="1" si="474"/>
        <v>0</v>
      </c>
      <c r="BQ294" s="1277">
        <f t="shared" ca="1" si="475"/>
        <v>0</v>
      </c>
      <c r="BR294" s="388">
        <f t="shared" ca="1" si="476"/>
        <v>0</v>
      </c>
      <c r="BS294" s="1025"/>
      <c r="BT294" s="1282">
        <f>+IF($K294="Ongoing",AX294,IF(RIGHT($K294,2)=RIGHT(BT$43,2),SUM($AX294:AX294),0)+IF(RIGHT(BT$43,2)&gt;RIGHT($K294,2),AX294,0))</f>
        <v>0</v>
      </c>
      <c r="BU294" s="387">
        <f>+IF($K294="Ongoing",AY294,IF(RIGHT($K294,2)=RIGHT(BU$43,2),SUM($AX294:AY294),0)+IF(RIGHT(BU$43,2)&gt;RIGHT($K294,2),AY294,0))</f>
        <v>0</v>
      </c>
      <c r="BV294" s="387">
        <f>+IF($K294="Ongoing",AZ294,IF(RIGHT($K294,2)=RIGHT(BV$43,2),SUM($AX294:AZ294),0)+IF(RIGHT(BV$43,2)&gt;RIGHT($K294,2),AZ294,0))</f>
        <v>0</v>
      </c>
      <c r="BW294" s="387">
        <f>+IF($K294="Ongoing",BA294,IF(RIGHT($K294,2)=RIGHT(BW$43,2),SUM($AX294:BA294),0)+IF(RIGHT(BW$43,2)&gt;RIGHT($K294,2),BA294,0))</f>
        <v>0</v>
      </c>
      <c r="BX294" s="1283">
        <f>+IF($K294="Ongoing",BB294,IF(RIGHT($K294,2)=RIGHT(BX$43,2),SUM($AX294:BB294),0)+IF(RIGHT(BX$43,2)&gt;RIGHT($K294,2),BB294,0))</f>
        <v>0</v>
      </c>
      <c r="BY294" s="386">
        <f>+IF($K294="Ongoing",BC294,IF(RIGHT($K294,2)=RIGHT(BY$43,2),SUM($AX294:BC294),0)+IF(RIGHT(BY$43,2)&gt;RIGHT($K294,2),BC294,0))</f>
        <v>0</v>
      </c>
      <c r="BZ294" s="387">
        <f>+IF($K294="Ongoing",BD294,IF(RIGHT($K294,2)=RIGHT(BZ$43,2),SUM($AX294:BD294),0)+IF(RIGHT(BZ$43,2)&gt;RIGHT($K294,2),BD294,0))</f>
        <v>0</v>
      </c>
      <c r="CA294" s="1277">
        <f>+IF($K294="Ongoing",BE294,IF(RIGHT($K294,2)=RIGHT(CA$43,2),SUM($AX294:BE294),0)+IF(RIGHT(CA$43,2)&gt;RIGHT($K294,2),BE294,0))</f>
        <v>0</v>
      </c>
      <c r="CB294" s="1277">
        <f>+IF($K294="Ongoing",BF294,IF(RIGHT($K294,2)=RIGHT(CB$43,2),SUM($AX294:BF294),0)+IF(RIGHT(CB$43,2)&gt;RIGHT($K294,2),BF294,0))</f>
        <v>0</v>
      </c>
      <c r="CC294" s="388">
        <f>+IF($K294="Ongoing",BG294,IF(RIGHT($K294,2)=RIGHT(CC$43,2),SUM($AX294:BG294),0)+IF(RIGHT(CC$43,2)&gt;RIGHT($K294,2),BG294,0))</f>
        <v>0</v>
      </c>
      <c r="CD294" s="1025"/>
      <c r="CE294" s="1282">
        <f>+Q294*KeyAssumptionsPriceControl_FO!AF$15</f>
        <v>0</v>
      </c>
      <c r="CF294" s="387">
        <f>+R294*KeyAssumptionsPriceControl_FO!AG$15</f>
        <v>0</v>
      </c>
      <c r="CG294" s="387">
        <f>+S294*KeyAssumptionsPriceControl_FO!AH$15</f>
        <v>0</v>
      </c>
      <c r="CH294" s="387">
        <f>+T294*KeyAssumptionsPriceControl_FO!AI$15</f>
        <v>0</v>
      </c>
      <c r="CI294" s="1283">
        <f>+U294*KeyAssumptionsPriceControl_FO!AJ$15</f>
        <v>0</v>
      </c>
      <c r="CJ294" s="386">
        <f>+V294*KeyAssumptionsPriceControl_FO!AK$15</f>
        <v>0</v>
      </c>
      <c r="CK294" s="387">
        <f>+W294*KeyAssumptionsPriceControl_FO!AL$15</f>
        <v>0</v>
      </c>
      <c r="CL294" s="1277">
        <f>+X294*KeyAssumptionsPriceControl_FO!AM$15</f>
        <v>0</v>
      </c>
      <c r="CM294" s="1277">
        <f>+Y294*KeyAssumptionsPriceControl_FO!AN$15</f>
        <v>0</v>
      </c>
      <c r="CN294" s="388">
        <f>+Z294*KeyAssumptionsPriceControl_FO!AO$15</f>
        <v>0</v>
      </c>
      <c r="CO294" s="1025"/>
      <c r="CP294" s="1282">
        <f t="shared" ca="1" si="477"/>
        <v>0</v>
      </c>
      <c r="CQ294" s="387">
        <f t="shared" ca="1" si="478"/>
        <v>0</v>
      </c>
      <c r="CR294" s="387">
        <f t="shared" ca="1" si="479"/>
        <v>0</v>
      </c>
      <c r="CS294" s="387">
        <f t="shared" ca="1" si="480"/>
        <v>0</v>
      </c>
      <c r="CT294" s="1283">
        <f t="shared" ca="1" si="481"/>
        <v>0</v>
      </c>
      <c r="CU294" s="386">
        <f t="shared" ca="1" si="482"/>
        <v>0</v>
      </c>
      <c r="CV294" s="387">
        <f t="shared" ca="1" si="483"/>
        <v>0</v>
      </c>
      <c r="CW294" s="1277">
        <f t="shared" ca="1" si="484"/>
        <v>0</v>
      </c>
      <c r="CX294" s="1277">
        <f t="shared" ca="1" si="485"/>
        <v>0</v>
      </c>
      <c r="CY294" s="388">
        <f t="shared" ca="1" si="486"/>
        <v>0</v>
      </c>
      <c r="CZ294" s="347"/>
      <c r="DA294" s="852"/>
      <c r="DB294" s="347"/>
      <c r="DC294" s="1012" t="s">
        <v>601</v>
      </c>
      <c r="DD294" s="841" t="s">
        <v>518</v>
      </c>
      <c r="DE294" s="386">
        <f>+IF($K294="ongoing",CE294,IF(RIGHT($K294,2)=RIGHT(DE$43,2),SUM($CD294:CE294),0)+IF(RIGHT(DE$43,2)&gt;RIGHT($K294,2),CE294,0))</f>
        <v>0</v>
      </c>
      <c r="DF294" s="387">
        <f>+IF($K294="ongoing",CF294,IF(RIGHT($K294,2)=RIGHT(DF$43,2),SUM($CD294:CF294),0)+IF(RIGHT(DF$43,2)&gt;RIGHT($K294,2),CF294,0))</f>
        <v>0</v>
      </c>
      <c r="DG294" s="388">
        <f>+IF($K294="ongoing",CG294,IF(RIGHT($K294,2)=RIGHT(DG$43,2),SUM($CD294:CG294),0)+IF(RIGHT(DG$43,2)&gt;RIGHT($K294,2),CG294,0))</f>
        <v>0</v>
      </c>
      <c r="DH294" s="386">
        <f>+IF($K294="ongoing",CH294,IF(RIGHT($K294,2)=RIGHT(DH$43,2),SUM($CD294:CH294),0)+IF(RIGHT(DH$43,2)&gt;RIGHT($K294,2),CH294,0))</f>
        <v>0</v>
      </c>
      <c r="DI294" s="387">
        <f>+IF($K294="ongoing",CI294,IF(RIGHT($K294,2)=RIGHT(DI$43,2),SUM($CD294:CI294),0)+IF(RIGHT(DI$43,2)&gt;RIGHT($K294,2),CI294,0))</f>
        <v>0</v>
      </c>
      <c r="DJ294" s="387">
        <f>+IF($K294="ongoing",CJ294,IF(RIGHT($K294,2)=RIGHT(DJ$43,2),SUM($CD294:CJ294),0)+IF(RIGHT(DJ$43,2)&gt;RIGHT($K294,2),CJ294,0))</f>
        <v>0</v>
      </c>
      <c r="DK294" s="387">
        <f>+IF($K294="ongoing",CK294,IF(RIGHT($K294,2)=RIGHT(DK$43,2),SUM($CD294:CK294),0)+IF(RIGHT(DK$43,2)&gt;RIGHT($K294,2),CK294,0))</f>
        <v>0</v>
      </c>
      <c r="DL294" s="388">
        <f>+IF($K294="ongoing",CN294,IF(RIGHT($K294,2)=RIGHT(DL$43,2),SUM($CD294:CN294),0)+IF(RIGHT(DL$43,2)&gt;RIGHT($K294,2),CN294,0))</f>
        <v>0</v>
      </c>
      <c r="DM294" s="841"/>
      <c r="DN294" s="386">
        <f t="shared" si="487"/>
        <v>0.5</v>
      </c>
      <c r="DO294" s="387">
        <f t="shared" si="488"/>
        <v>1</v>
      </c>
      <c r="DP294" s="388">
        <f t="shared" si="489"/>
        <v>1</v>
      </c>
      <c r="DQ294" s="386">
        <f t="shared" si="490"/>
        <v>1</v>
      </c>
      <c r="DR294" s="387">
        <f t="shared" si="491"/>
        <v>1</v>
      </c>
      <c r="DS294" s="387">
        <f t="shared" si="492"/>
        <v>1</v>
      </c>
      <c r="DT294" s="387">
        <f t="shared" si="493"/>
        <v>1</v>
      </c>
      <c r="DU294" s="388">
        <f t="shared" si="494"/>
        <v>1</v>
      </c>
      <c r="DW294" s="386">
        <f t="shared" si="495"/>
        <v>0</v>
      </c>
      <c r="DX294" s="387">
        <f t="shared" si="496"/>
        <v>0.5</v>
      </c>
      <c r="DY294" s="388">
        <f t="shared" si="497"/>
        <v>1</v>
      </c>
      <c r="DZ294" s="386">
        <f t="shared" si="498"/>
        <v>1</v>
      </c>
      <c r="EA294" s="387">
        <f t="shared" si="499"/>
        <v>1</v>
      </c>
      <c r="EB294" s="387">
        <f t="shared" si="500"/>
        <v>1</v>
      </c>
      <c r="EC294" s="387">
        <f t="shared" si="501"/>
        <v>1</v>
      </c>
      <c r="ED294" s="388">
        <f t="shared" si="502"/>
        <v>1</v>
      </c>
      <c r="EF294" s="834">
        <f>+IF(DN294=DM294,0,
IF(AND(EF$44&gt;1,DN294=$N294),1-SUM($EE294:EE294),
IF($N294&lt;=1,
IF($N294&gt;0,1/$N294,0),
IF(EF$44=1,0,VDB(1,0,$N294,INT(EF$44-1-1),MIN($N294,INT(EF$44-1-1)+1),$DC294,IF($DD294="No",1,0))/
IF(DM294&gt;=INT($N294),$N294-INT($N294),1)))*
IF(EF$44=1,0,
IF(INT(DN294)=INT(DM294),DN294-DM294,INT(DN294)-DM294))+
IF($N294&lt;=1,
IF($N294&gt;0,1/$N294,0),VDB(1,0,$N294,INT(EF$44-1),MIN($N294,INT(EF$44-1)+1),$DC294,IF($DD294="No",1,0))/
IF(DN294&gt;INT($N294),$N294-INT($N294),1))*
IF(EF$44=1,DN294,
IF(INT(DN294)=INT(DM294),0,DN294-INT(DN294)))))</f>
        <v>0</v>
      </c>
      <c r="EG294" s="835">
        <f>+IF(DO294=DN294,0,
IF(AND(EG$44&gt;1,DO294=$N294),1-SUM($EE294:EF294),
IF($N294&lt;=1,
IF($N294&gt;0,1/$N294,0),
IF(EG$44=1,0,VDB(1,0,$N294,INT(EG$44-1-1),MIN($N294,INT(EG$44-1-1)+1),$DC294,IF($DD294="No",1,0))/
IF(DN294&gt;=INT($N294),$N294-INT($N294),1)))*
IF(EG$44=1,0,
IF(INT(DO294)=INT(DN294),DO294-DN294,INT(DO294)-DN294))+
IF($N294&lt;=1,
IF($N294&gt;0,1/$N294,0),VDB(1,0,$N294,INT(EG$44-1),MIN($N294,INT(EG$44-1)+1),$DC294,IF($DD294="No",1,0))/
IF(DO294&gt;INT($N294),$N294-INT($N294),1))*
IF(EG$44=1,DO294,
IF(INT(DO294)=INT(DN294),0,DO294-INT(DO294)))))</f>
        <v>0</v>
      </c>
      <c r="EH294" s="836">
        <f>+IF(DP294=DO294,0,
IF(AND(EH$44&gt;1,DP294=$N294),1-SUM($EE294:EG294),
IF($N294&lt;=1,
IF($N294&gt;0,1/$N294,0),
IF(EH$44=1,0,VDB(1,0,$N294,INT(EH$44-1-1),MIN($N294,INT(EH$44-1-1)+1),$DC294,IF($DD294="No",1,0))/
IF(DO294&gt;=INT($N294),$N294-INT($N294),1)))*
IF(EH$44=1,0,
IF(INT(DP294)=INT(DO294),DP294-DO294,INT(DP294)-DO294))+
IF($N294&lt;=1,
IF($N294&gt;0,1/$N294,0),VDB(1,0,$N294,INT(EH$44-1),MIN($N294,INT(EH$44-1)+1),$DC294,IF($DD294="No",1,0))/
IF(DP294&gt;INT($N294),$N294-INT($N294),1))*
IF(EH$44=1,DP294,
IF(INT(DP294)=INT(DO294),0,DP294-INT(DP294)))))</f>
        <v>0</v>
      </c>
      <c r="EI294" s="834">
        <f>+IF(DQ294=DP294,0,
IF(AND(EI$44&gt;1,DQ294=$N294),1-SUM($EE294:EH294),
IF($N294&lt;=1,
IF($N294&gt;0,1/$N294,0),
IF(EI$44=1,0,VDB(1,0,$N294,INT(EI$44-1-1),MIN($N294,INT(EI$44-1-1)+1),$DC294,IF($DD294="No",1,0))/
IF(DP294&gt;=INT($N294),$N294-INT($N294),1)))*
IF(EI$44=1,0,
IF(INT(DQ294)=INT(DP294),DQ294-DP294,INT(DQ294)-DP294))+
IF($N294&lt;=1,
IF($N294&gt;0,1/$N294,0),VDB(1,0,$N294,INT(EI$44-1),MIN($N294,INT(EI$44-1)+1),$DC294,IF($DD294="No",1,0))/
IF(DQ294&gt;INT($N294),$N294-INT($N294),1))*
IF(EI$44=1,DQ294,
IF(INT(DQ294)=INT(DP294),0,DQ294-INT(DQ294)))))</f>
        <v>0</v>
      </c>
      <c r="EJ294" s="835">
        <f>+IF(DR294=DQ294,0,
IF(AND(EJ$44&gt;1,DR294=$N294),1-SUM($EE294:EI294),
IF($N294&lt;=1,
IF($N294&gt;0,1/$N294,0),
IF(EJ$44=1,0,VDB(1,0,$N294,INT(EJ$44-1-1),MIN($N294,INT(EJ$44-1-1)+1),$DC294,IF($DD294="No",1,0))/
IF(DQ294&gt;=INT($N294),$N294-INT($N294),1)))*
IF(EJ$44=1,0,
IF(INT(DR294)=INT(DQ294),DR294-DQ294,INT(DR294)-DQ294))+
IF($N294&lt;=1,
IF($N294&gt;0,1/$N294,0),VDB(1,0,$N294,INT(EJ$44-1),MIN($N294,INT(EJ$44-1)+1),$DC294,IF($DD294="No",1,0))/
IF(DR294&gt;INT($N294),$N294-INT($N294),1))*
IF(EJ$44=1,DR294,
IF(INT(DR294)=INT(DQ294),0,DR294-INT(DR294)))))</f>
        <v>0</v>
      </c>
      <c r="EK294" s="835">
        <f>+IF(DS294=DR294,0,
IF(AND(EK$44&gt;1,DS294=$N294),1-SUM($EE294:EJ294),
IF($N294&lt;=1,
IF($N294&gt;0,1/$N294,0),
IF(EK$44=1,0,VDB(1,0,$N294,INT(EK$44-1-1),MIN($N294,INT(EK$44-1-1)+1),$DC294,IF($DD294="No",1,0))/
IF(DR294&gt;=INT($N294),$N294-INT($N294),1)))*
IF(EK$44=1,0,
IF(INT(DS294)=INT(DR294),DS294-DR294,INT(DS294)-DR294))+
IF($N294&lt;=1,
IF($N294&gt;0,1/$N294,0),VDB(1,0,$N294,INT(EK$44-1),MIN($N294,INT(EK$44-1)+1),$DC294,IF($DD294="No",1,0))/
IF(DS294&gt;INT($N294),$N294-INT($N294),1))*
IF(EK$44=1,DS294,
IF(INT(DS294)=INT(DR294),0,DS294-INT(DS294)))))</f>
        <v>0</v>
      </c>
      <c r="EL294" s="835">
        <f>+IF(DT294=DS294,0,
IF(AND(EL$44&gt;1,DT294=$N294),1-SUM($EE294:EK294),
IF($N294&lt;=1,
IF($N294&gt;0,1/$N294,0),
IF(EL$44=1,0,VDB(1,0,$N294,INT(EL$44-1-1),MIN($N294,INT(EL$44-1-1)+1),$DC294,IF($DD294="No",1,0))/
IF(DS294&gt;=INT($N294),$N294-INT($N294),1)))*
IF(EL$44=1,0,
IF(INT(DT294)=INT(DS294),DT294-DS294,INT(DT294)-DS294))+
IF($N294&lt;=1,
IF($N294&gt;0,1/$N294,0),VDB(1,0,$N294,INT(EL$44-1),MIN($N294,INT(EL$44-1)+1),$DC294,IF($DD294="No",1,0))/
IF(DT294&gt;INT($N294),$N294-INT($N294),1))*
IF(EL$44=1,DT294,
IF(INT(DT294)=INT(DS294),0,DT294-INT(DT294)))))</f>
        <v>0</v>
      </c>
      <c r="EM294" s="836">
        <f>+IF(DU294=DT294,0,
IF(AND(EM$44&gt;1,DU294=$N294),1-SUM($EE294:EL294),
IF($N294&lt;=1,
IF($N294&gt;0,1/$N294,0),
IF(EM$44=1,0,VDB(1,0,$N294,INT(EM$44-1-1),MIN($N294,INT(EM$44-1-1)+1),$DC294,IF($DD294="No",1,0))/
IF(DT294&gt;=INT($N294),$N294-INT($N294),1)))*
IF(EM$44=1,0,
IF(INT(DU294)=INT(DT294),DU294-DT294,INT(DU294)-DT294))+
IF($N294&lt;=1,
IF($N294&gt;0,1/$N294,0),VDB(1,0,$N294,INT(EM$44-1),MIN($N294,INT(EM$44-1)+1),$DC294,IF($DD294="No",1,0))/
IF(DU294&gt;INT($N294),$N294-INT($N294),1))*
IF(EM$44=1,DU294,
IF(INT(DU294)=INT(DT294),0,DU294-INT(DU294)))))</f>
        <v>0</v>
      </c>
      <c r="EN294" s="833"/>
      <c r="EO294" s="834">
        <f>+IF(OR(DW294=DV294,EO$44=1),0,
IF(AND(EO$44&gt;1,DW294=$N294),1-SUM($EN294:EN294),
IF($N294&lt;=1,
IF($N294&gt;0,1/$N294,0),
IF(EO$44=2,0,VDB(1,0,$N294,INT(EO$44-2-1),MIN($N294,INT(EO$44-2-1)+1),$DC294,IF($DD294="No",1,0))/
IF(DV294&gt;=INT($N294),$N294-INT($N294),1)))*
IF(EO$44=2,0,
IF(INT(DW294)=INT(DV294),DW294-DV294,INT(DW294)-DV294))+
IF($N294&lt;=1,
IF($N294&gt;0,1/$N294,0),VDB(1,0,$N294,INT(EO$44-2),MIN($N294,INT(EO$44-2)+1),$DC294,IF($DD294="No",1,0))/
IF(DW294&gt;INT($N294),$N294-INT($N294),1))*
IF(EO$44=2,DW294,
IF(INT(DW294)=INT(DV294),0,DW294-INT(DW294)))))</f>
        <v>0</v>
      </c>
      <c r="EP294" s="835">
        <f>+IF(OR(DX294=DW294,EP$44=1),0,
IF(AND(EP$44&gt;1,DX294=$N294),1-SUM($EN294:EO294),
IF($N294&lt;=1,
IF($N294&gt;0,1/$N294,0),
IF(EP$44=2,0,VDB(1,0,$N294,INT(EP$44-2-1),MIN($N294,INT(EP$44-2-1)+1),$DC294,IF($DD294="No",1,0))/
IF(DW294&gt;=INT($N294),$N294-INT($N294),1)))*
IF(EP$44=2,0,
IF(INT(DX294)=INT(DW294),DX294-DW294,INT(DX294)-DW294))+
IF($N294&lt;=1,
IF($N294&gt;0,1/$N294,0),VDB(1,0,$N294,INT(EP$44-2),MIN($N294,INT(EP$44-2)+1),$DC294,IF($DD294="No",1,0))/
IF(DX294&gt;INT($N294),$N294-INT($N294),1))*
IF(EP$44=2,DX294,
IF(INT(DX294)=INT(DW294),0,DX294-INT(DX294)))))</f>
        <v>0</v>
      </c>
      <c r="EQ294" s="836">
        <f>+IF(OR(DY294=DX294,EQ$44=1),0,
IF(AND(EQ$44&gt;1,DY294=$N294),1-SUM($EN294:EP294),
IF($N294&lt;=1,
IF($N294&gt;0,1/$N294,0),
IF(EQ$44=2,0,VDB(1,0,$N294,INT(EQ$44-2-1),MIN($N294,INT(EQ$44-2-1)+1),$DC294,IF($DD294="No",1,0))/
IF(DX294&gt;=INT($N294),$N294-INT($N294),1)))*
IF(EQ$44=2,0,
IF(INT(DY294)=INT(DX294),DY294-DX294,INT(DY294)-DX294))+
IF($N294&lt;=1,
IF($N294&gt;0,1/$N294,0),VDB(1,0,$N294,INT(EQ$44-2),MIN($N294,INT(EQ$44-2)+1),$DC294,IF($DD294="No",1,0))/
IF(DY294&gt;INT($N294),$N294-INT($N294),1))*
IF(EQ$44=2,DY294,
IF(INT(DY294)=INT(DX294),0,DY294-INT(DY294)))))</f>
        <v>0</v>
      </c>
      <c r="ER294" s="834">
        <f>+IF(OR(DZ294=DY294,ER$44=1),0,
IF(AND(ER$44&gt;1,DZ294=$N294),1-SUM($EN294:EQ294),
IF($N294&lt;=1,
IF($N294&gt;0,1/$N294,0),
IF(ER$44=2,0,VDB(1,0,$N294,INT(ER$44-2-1),MIN($N294,INT(ER$44-2-1)+1),$DC294,IF($DD294="No",1,0))/
IF(DY294&gt;=INT($N294),$N294-INT($N294),1)))*
IF(ER$44=2,0,
IF(INT(DZ294)=INT(DY294),DZ294-DY294,INT(DZ294)-DY294))+
IF($N294&lt;=1,
IF($N294&gt;0,1/$N294,0),VDB(1,0,$N294,INT(ER$44-2),MIN($N294,INT(ER$44-2)+1),$DC294,IF($DD294="No",1,0))/
IF(DZ294&gt;INT($N294),$N294-INT($N294),1))*
IF(ER$44=2,DZ294,
IF(INT(DZ294)=INT(DY294),0,DZ294-INT(DZ294)))))</f>
        <v>0</v>
      </c>
      <c r="ES294" s="835">
        <f>+IF(OR(EA294=DZ294,ES$44=1),0,
IF(AND(ES$44&gt;1,EA294=$N294),1-SUM($EN294:ER294),
IF($N294&lt;=1,
IF($N294&gt;0,1/$N294,0),
IF(ES$44=2,0,VDB(1,0,$N294,INT(ES$44-2-1),MIN($N294,INT(ES$44-2-1)+1),$DC294,IF($DD294="No",1,0))/
IF(DZ294&gt;=INT($N294),$N294-INT($N294),1)))*
IF(ES$44=2,0,
IF(INT(EA294)=INT(DZ294),EA294-DZ294,INT(EA294)-DZ294))+
IF($N294&lt;=1,
IF($N294&gt;0,1/$N294,0),VDB(1,0,$N294,INT(ES$44-2),MIN($N294,INT(ES$44-2)+1),$DC294,IF($DD294="No",1,0))/
IF(EA294&gt;INT($N294),$N294-INT($N294),1))*
IF(ES$44=2,EA294,
IF(INT(EA294)=INT(DZ294),0,EA294-INT(EA294)))))</f>
        <v>0</v>
      </c>
      <c r="ET294" s="835">
        <f>+IF(OR(EB294=EA294,ET$44=1),0,
IF(AND(ET$44&gt;1,EB294=$N294),1-SUM($EN294:ES294),
IF($N294&lt;=1,
IF($N294&gt;0,1/$N294,0),
IF(ET$44=2,0,VDB(1,0,$N294,INT(ET$44-2-1),MIN($N294,INT(ET$44-2-1)+1),$DC294,IF($DD294="No",1,0))/
IF(EA294&gt;=INT($N294),$N294-INT($N294),1)))*
IF(ET$44=2,0,
IF(INT(EB294)=INT(EA294),EB294-EA294,INT(EB294)-EA294))+
IF($N294&lt;=1,
IF($N294&gt;0,1/$N294,0),VDB(1,0,$N294,INT(ET$44-2),MIN($N294,INT(ET$44-2)+1),$DC294,IF($DD294="No",1,0))/
IF(EB294&gt;INT($N294),$N294-INT($N294),1))*
IF(ET$44=2,EB294,
IF(INT(EB294)=INT(EA294),0,EB294-INT(EB294)))))</f>
        <v>0</v>
      </c>
      <c r="EU294" s="835">
        <f>+IF(OR(EC294=EB294,EU$44=1),0,
IF(AND(EU$44&gt;1,EC294=$N294),1-SUM($EN294:ET294),
IF($N294&lt;=1,
IF($N294&gt;0,1/$N294,0),
IF(EU$44=2,0,VDB(1,0,$N294,INT(EU$44-2-1),MIN($N294,INT(EU$44-2-1)+1),$DC294,IF($DD294="No",1,0))/
IF(EB294&gt;=INT($N294),$N294-INT($N294),1)))*
IF(EU$44=2,0,
IF(INT(EC294)=INT(EB294),EC294-EB294,INT(EC294)-EB294))+
IF($N294&lt;=1,
IF($N294&gt;0,1/$N294,0),VDB(1,0,$N294,INT(EU$44-2),MIN($N294,INT(EU$44-2)+1),$DC294,IF($DD294="No",1,0))/
IF(EC294&gt;INT($N294),$N294-INT($N294),1))*
IF(EU$44=2,EC294,
IF(INT(EC294)=INT(EB294),0,EC294-INT(EC294)))))</f>
        <v>0</v>
      </c>
      <c r="EV294" s="836">
        <f>+IF(OR(ED294=EC294,EV$44=1),0,
IF(AND(EV$44&gt;1,ED294=$N294),1-SUM($EN294:EU294),
IF($N294&lt;=1,
IF($N294&gt;0,1/$N294,0),
IF(EV$44=2,0,VDB(1,0,$N294,INT(EV$44-2-1),MIN($N294,INT(EV$44-2-1)+1),$DC294,IF($DD294="No",1,0))/
IF(EC294&gt;=INT($N294),$N294-INT($N294),1)))*
IF(EV$44=2,0,
IF(INT(ED294)=INT(EC294),ED294-EC294,INT(ED294)-EC294))+
IF($N294&lt;=1,
IF($N294&gt;0,1/$N294,0),VDB(1,0,$N294,INT(EV$44-2),MIN($N294,INT(EV$44-2)+1),$DC294,IF($DD294="No",1,0))/
IF(ED294&gt;INT($N294),$N294-INT($N294),1))*
IF(EV$44=2,ED294,
IF(INT(ED294)=INT(EC294),0,ED294-INT(ED294)))))</f>
        <v>0</v>
      </c>
      <c r="EW294" s="833"/>
      <c r="EX294" s="834">
        <f t="shared" ca="1" si="513"/>
        <v>0</v>
      </c>
      <c r="EY294" s="835">
        <f t="shared" ca="1" si="513"/>
        <v>0</v>
      </c>
      <c r="EZ294" s="836">
        <f t="shared" ca="1" si="513"/>
        <v>0</v>
      </c>
      <c r="FA294" s="834">
        <f t="shared" ca="1" si="513"/>
        <v>0</v>
      </c>
      <c r="FB294" s="835">
        <f t="shared" ca="1" si="513"/>
        <v>0</v>
      </c>
      <c r="FC294" s="835">
        <f t="shared" ca="1" si="513"/>
        <v>0</v>
      </c>
      <c r="FD294" s="835">
        <f t="shared" ca="1" si="513"/>
        <v>0</v>
      </c>
      <c r="FE294" s="836">
        <f t="shared" ca="1" si="513"/>
        <v>0</v>
      </c>
      <c r="FG294" s="386">
        <f t="shared" ca="1" si="504"/>
        <v>0</v>
      </c>
      <c r="FH294" s="387">
        <f t="shared" ca="1" si="505"/>
        <v>0</v>
      </c>
      <c r="FI294" s="388">
        <f t="shared" ca="1" si="506"/>
        <v>0</v>
      </c>
      <c r="FJ294" s="386">
        <f t="shared" ca="1" si="507"/>
        <v>0</v>
      </c>
      <c r="FK294" s="387">
        <f t="shared" ca="1" si="508"/>
        <v>0</v>
      </c>
      <c r="FL294" s="387">
        <f t="shared" ca="1" si="509"/>
        <v>0</v>
      </c>
      <c r="FM294" s="387">
        <f t="shared" ca="1" si="510"/>
        <v>0</v>
      </c>
      <c r="FN294" s="388">
        <f t="shared" ca="1" si="511"/>
        <v>0</v>
      </c>
      <c r="FR294" s="116"/>
    </row>
    <row r="295" spans="2:174">
      <c r="B295" s="1410">
        <f t="shared" si="512"/>
        <v>249</v>
      </c>
      <c r="C295" s="400"/>
      <c r="D295" s="410"/>
      <c r="E295" s="402"/>
      <c r="F295" s="402"/>
      <c r="G295" s="400"/>
      <c r="H295" s="2088"/>
      <c r="I295" s="2089"/>
      <c r="J295" s="411"/>
      <c r="K295" s="403"/>
      <c r="L295" s="403"/>
      <c r="M295" s="403"/>
      <c r="N295" s="403"/>
      <c r="O295" s="347"/>
      <c r="P295" s="347"/>
      <c r="Q295" s="1021"/>
      <c r="R295" s="1022"/>
      <c r="S295" s="1022"/>
      <c r="T295" s="1022"/>
      <c r="U295" s="1023"/>
      <c r="V295" s="1021"/>
      <c r="W295" s="1022"/>
      <c r="X295" s="1022"/>
      <c r="Y295" s="1022"/>
      <c r="Z295" s="1023"/>
      <c r="AA295" s="1024"/>
      <c r="AB295" s="1021"/>
      <c r="AC295" s="1022"/>
      <c r="AD295" s="1022"/>
      <c r="AE295" s="1022"/>
      <c r="AF295" s="1023"/>
      <c r="AG295" s="1021"/>
      <c r="AH295" s="1022"/>
      <c r="AI295" s="1022"/>
      <c r="AJ295" s="1022"/>
      <c r="AK295" s="1023"/>
      <c r="AL295" s="1024"/>
      <c r="AM295" s="1021"/>
      <c r="AN295" s="1022"/>
      <c r="AO295" s="1022"/>
      <c r="AP295" s="1022"/>
      <c r="AQ295" s="1023"/>
      <c r="AR295" s="1021"/>
      <c r="AS295" s="1022"/>
      <c r="AT295" s="1022"/>
      <c r="AU295" s="1022"/>
      <c r="AV295" s="1023"/>
      <c r="AW295" s="1025"/>
      <c r="AX295" s="1282">
        <f t="shared" si="457"/>
        <v>0</v>
      </c>
      <c r="AY295" s="387">
        <f t="shared" si="458"/>
        <v>0</v>
      </c>
      <c r="AZ295" s="387">
        <f t="shared" si="459"/>
        <v>0</v>
      </c>
      <c r="BA295" s="387">
        <f t="shared" si="460"/>
        <v>0</v>
      </c>
      <c r="BB295" s="1283">
        <f t="shared" si="461"/>
        <v>0</v>
      </c>
      <c r="BC295" s="386">
        <f t="shared" si="462"/>
        <v>0</v>
      </c>
      <c r="BD295" s="387">
        <f t="shared" si="463"/>
        <v>0</v>
      </c>
      <c r="BE295" s="1277">
        <f t="shared" si="464"/>
        <v>0</v>
      </c>
      <c r="BF295" s="1277">
        <f t="shared" si="465"/>
        <v>0</v>
      </c>
      <c r="BG295" s="388">
        <f t="shared" si="466"/>
        <v>0</v>
      </c>
      <c r="BH295" s="1025"/>
      <c r="BI295" s="1282">
        <f t="shared" ca="1" si="467"/>
        <v>0</v>
      </c>
      <c r="BJ295" s="387">
        <f t="shared" ca="1" si="468"/>
        <v>0</v>
      </c>
      <c r="BK295" s="387">
        <f t="shared" ca="1" si="469"/>
        <v>0</v>
      </c>
      <c r="BL295" s="387">
        <f t="shared" ca="1" si="470"/>
        <v>0</v>
      </c>
      <c r="BM295" s="1283">
        <f t="shared" ca="1" si="471"/>
        <v>0</v>
      </c>
      <c r="BN295" s="386">
        <f t="shared" ca="1" si="472"/>
        <v>0</v>
      </c>
      <c r="BO295" s="387">
        <f t="shared" ca="1" si="473"/>
        <v>0</v>
      </c>
      <c r="BP295" s="1277">
        <f t="shared" ca="1" si="474"/>
        <v>0</v>
      </c>
      <c r="BQ295" s="1277">
        <f t="shared" ca="1" si="475"/>
        <v>0</v>
      </c>
      <c r="BR295" s="388">
        <f t="shared" ca="1" si="476"/>
        <v>0</v>
      </c>
      <c r="BS295" s="1025"/>
      <c r="BT295" s="1282">
        <f>+IF($K295="Ongoing",AX295,IF(RIGHT($K295,2)=RIGHT(BT$43,2),SUM($AX295:AX295),0)+IF(RIGHT(BT$43,2)&gt;RIGHT($K295,2),AX295,0))</f>
        <v>0</v>
      </c>
      <c r="BU295" s="387">
        <f>+IF($K295="Ongoing",AY295,IF(RIGHT($K295,2)=RIGHT(BU$43,2),SUM($AX295:AY295),0)+IF(RIGHT(BU$43,2)&gt;RIGHT($K295,2),AY295,0))</f>
        <v>0</v>
      </c>
      <c r="BV295" s="387">
        <f>+IF($K295="Ongoing",AZ295,IF(RIGHT($K295,2)=RIGHT(BV$43,2),SUM($AX295:AZ295),0)+IF(RIGHT(BV$43,2)&gt;RIGHT($K295,2),AZ295,0))</f>
        <v>0</v>
      </c>
      <c r="BW295" s="387">
        <f>+IF($K295="Ongoing",BA295,IF(RIGHT($K295,2)=RIGHT(BW$43,2),SUM($AX295:BA295),0)+IF(RIGHT(BW$43,2)&gt;RIGHT($K295,2),BA295,0))</f>
        <v>0</v>
      </c>
      <c r="BX295" s="1283">
        <f>+IF($K295="Ongoing",BB295,IF(RIGHT($K295,2)=RIGHT(BX$43,2),SUM($AX295:BB295),0)+IF(RIGHT(BX$43,2)&gt;RIGHT($K295,2),BB295,0))</f>
        <v>0</v>
      </c>
      <c r="BY295" s="386">
        <f>+IF($K295="Ongoing",BC295,IF(RIGHT($K295,2)=RIGHT(BY$43,2),SUM($AX295:BC295),0)+IF(RIGHT(BY$43,2)&gt;RIGHT($K295,2),BC295,0))</f>
        <v>0</v>
      </c>
      <c r="BZ295" s="387">
        <f>+IF($K295="Ongoing",BD295,IF(RIGHT($K295,2)=RIGHT(BZ$43,2),SUM($AX295:BD295),0)+IF(RIGHT(BZ$43,2)&gt;RIGHT($K295,2),BD295,0))</f>
        <v>0</v>
      </c>
      <c r="CA295" s="1277">
        <f>+IF($K295="Ongoing",BE295,IF(RIGHT($K295,2)=RIGHT(CA$43,2),SUM($AX295:BE295),0)+IF(RIGHT(CA$43,2)&gt;RIGHT($K295,2),BE295,0))</f>
        <v>0</v>
      </c>
      <c r="CB295" s="1277">
        <f>+IF($K295="Ongoing",BF295,IF(RIGHT($K295,2)=RIGHT(CB$43,2),SUM($AX295:BF295),0)+IF(RIGHT(CB$43,2)&gt;RIGHT($K295,2),BF295,0))</f>
        <v>0</v>
      </c>
      <c r="CC295" s="388">
        <f>+IF($K295="Ongoing",BG295,IF(RIGHT($K295,2)=RIGHT(CC$43,2),SUM($AX295:BG295),0)+IF(RIGHT(CC$43,2)&gt;RIGHT($K295,2),BG295,0))</f>
        <v>0</v>
      </c>
      <c r="CD295" s="1025"/>
      <c r="CE295" s="1282">
        <f>+Q295*KeyAssumptionsPriceControl_FO!AF$15</f>
        <v>0</v>
      </c>
      <c r="CF295" s="387">
        <f>+R295*KeyAssumptionsPriceControl_FO!AG$15</f>
        <v>0</v>
      </c>
      <c r="CG295" s="387">
        <f>+S295*KeyAssumptionsPriceControl_FO!AH$15</f>
        <v>0</v>
      </c>
      <c r="CH295" s="387">
        <f>+T295*KeyAssumptionsPriceControl_FO!AI$15</f>
        <v>0</v>
      </c>
      <c r="CI295" s="1283">
        <f>+U295*KeyAssumptionsPriceControl_FO!AJ$15</f>
        <v>0</v>
      </c>
      <c r="CJ295" s="386">
        <f>+V295*KeyAssumptionsPriceControl_FO!AK$15</f>
        <v>0</v>
      </c>
      <c r="CK295" s="387">
        <f>+W295*KeyAssumptionsPriceControl_FO!AL$15</f>
        <v>0</v>
      </c>
      <c r="CL295" s="1277">
        <f>+X295*KeyAssumptionsPriceControl_FO!AM$15</f>
        <v>0</v>
      </c>
      <c r="CM295" s="1277">
        <f>+Y295*KeyAssumptionsPriceControl_FO!AN$15</f>
        <v>0</v>
      </c>
      <c r="CN295" s="388">
        <f>+Z295*KeyAssumptionsPriceControl_FO!AO$15</f>
        <v>0</v>
      </c>
      <c r="CO295" s="1025"/>
      <c r="CP295" s="1282">
        <f t="shared" ca="1" si="477"/>
        <v>0</v>
      </c>
      <c r="CQ295" s="387">
        <f t="shared" ca="1" si="478"/>
        <v>0</v>
      </c>
      <c r="CR295" s="387">
        <f t="shared" ca="1" si="479"/>
        <v>0</v>
      </c>
      <c r="CS295" s="387">
        <f t="shared" ca="1" si="480"/>
        <v>0</v>
      </c>
      <c r="CT295" s="1283">
        <f t="shared" ca="1" si="481"/>
        <v>0</v>
      </c>
      <c r="CU295" s="386">
        <f t="shared" ca="1" si="482"/>
        <v>0</v>
      </c>
      <c r="CV295" s="387">
        <f t="shared" ca="1" si="483"/>
        <v>0</v>
      </c>
      <c r="CW295" s="1277">
        <f t="shared" ca="1" si="484"/>
        <v>0</v>
      </c>
      <c r="CX295" s="1277">
        <f t="shared" ca="1" si="485"/>
        <v>0</v>
      </c>
      <c r="CY295" s="388">
        <f t="shared" ca="1" si="486"/>
        <v>0</v>
      </c>
      <c r="CZ295" s="347"/>
      <c r="DA295" s="852"/>
      <c r="DB295" s="347"/>
      <c r="DC295" s="1012" t="s">
        <v>602</v>
      </c>
      <c r="DD295" s="841" t="s">
        <v>518</v>
      </c>
      <c r="DE295" s="386">
        <f>+IF($K295="ongoing",CE295,IF(RIGHT($K295,2)=RIGHT(DE$43,2),SUM($CD295:CE295),0)+IF(RIGHT(DE$43,2)&gt;RIGHT($K295,2),CE295,0))</f>
        <v>0</v>
      </c>
      <c r="DF295" s="387">
        <f>+IF($K295="ongoing",CF295,IF(RIGHT($K295,2)=RIGHT(DF$43,2),SUM($CD295:CF295),0)+IF(RIGHT(DF$43,2)&gt;RIGHT($K295,2),CF295,0))</f>
        <v>0</v>
      </c>
      <c r="DG295" s="388">
        <f>+IF($K295="ongoing",CG295,IF(RIGHT($K295,2)=RIGHT(DG$43,2),SUM($CD295:CG295),0)+IF(RIGHT(DG$43,2)&gt;RIGHT($K295,2),CG295,0))</f>
        <v>0</v>
      </c>
      <c r="DH295" s="386">
        <f>+IF($K295="ongoing",CH295,IF(RIGHT($K295,2)=RIGHT(DH$43,2),SUM($CD295:CH295),0)+IF(RIGHT(DH$43,2)&gt;RIGHT($K295,2),CH295,0))</f>
        <v>0</v>
      </c>
      <c r="DI295" s="387">
        <f>+IF($K295="ongoing",CI295,IF(RIGHT($K295,2)=RIGHT(DI$43,2),SUM($CD295:CI295),0)+IF(RIGHT(DI$43,2)&gt;RIGHT($K295,2),CI295,0))</f>
        <v>0</v>
      </c>
      <c r="DJ295" s="387">
        <f>+IF($K295="ongoing",CJ295,IF(RIGHT($K295,2)=RIGHT(DJ$43,2),SUM($CD295:CJ295),0)+IF(RIGHT(DJ$43,2)&gt;RIGHT($K295,2),CJ295,0))</f>
        <v>0</v>
      </c>
      <c r="DK295" s="387">
        <f>+IF($K295="ongoing",CK295,IF(RIGHT($K295,2)=RIGHT(DK$43,2),SUM($CD295:CK295),0)+IF(RIGHT(DK$43,2)&gt;RIGHT($K295,2),CK295,0))</f>
        <v>0</v>
      </c>
      <c r="DL295" s="388">
        <f>+IF($K295="ongoing",CN295,IF(RIGHT($K295,2)=RIGHT(DL$43,2),SUM($CD295:CN295),0)+IF(RIGHT(DL$43,2)&gt;RIGHT($K295,2),CN295,0))</f>
        <v>0</v>
      </c>
      <c r="DM295" s="841"/>
      <c r="DN295" s="386">
        <f t="shared" si="487"/>
        <v>0.5</v>
      </c>
      <c r="DO295" s="387">
        <f t="shared" si="488"/>
        <v>1</v>
      </c>
      <c r="DP295" s="388">
        <f t="shared" si="489"/>
        <v>1</v>
      </c>
      <c r="DQ295" s="386">
        <f t="shared" si="490"/>
        <v>1</v>
      </c>
      <c r="DR295" s="387">
        <f t="shared" si="491"/>
        <v>1</v>
      </c>
      <c r="DS295" s="387">
        <f t="shared" si="492"/>
        <v>1</v>
      </c>
      <c r="DT295" s="387">
        <f t="shared" si="493"/>
        <v>1</v>
      </c>
      <c r="DU295" s="388">
        <f t="shared" si="494"/>
        <v>1</v>
      </c>
      <c r="DW295" s="386">
        <f t="shared" si="495"/>
        <v>0</v>
      </c>
      <c r="DX295" s="387">
        <f t="shared" si="496"/>
        <v>0.5</v>
      </c>
      <c r="DY295" s="388">
        <f t="shared" si="497"/>
        <v>1</v>
      </c>
      <c r="DZ295" s="386">
        <f t="shared" si="498"/>
        <v>1</v>
      </c>
      <c r="EA295" s="387">
        <f t="shared" si="499"/>
        <v>1</v>
      </c>
      <c r="EB295" s="387">
        <f t="shared" si="500"/>
        <v>1</v>
      </c>
      <c r="EC295" s="387">
        <f t="shared" si="501"/>
        <v>1</v>
      </c>
      <c r="ED295" s="388">
        <f t="shared" si="502"/>
        <v>1</v>
      </c>
      <c r="EF295" s="834">
        <f>+IF(DN295=DM295,0,
IF(AND(EF$44&gt;1,DN295=$N295),1-SUM($EE295:EE295),
IF($N295&lt;=1,
IF($N295&gt;0,1/$N295,0),
IF(EF$44=1,0,VDB(1,0,$N295,INT(EF$44-1-1),MIN($N295,INT(EF$44-1-1)+1),$DC295,IF($DD295="No",1,0))/
IF(DM295&gt;=INT($N295),$N295-INT($N295),1)))*
IF(EF$44=1,0,
IF(INT(DN295)=INT(DM295),DN295-DM295,INT(DN295)-DM295))+
IF($N295&lt;=1,
IF($N295&gt;0,1/$N295,0),VDB(1,0,$N295,INT(EF$44-1),MIN($N295,INT(EF$44-1)+1),$DC295,IF($DD295="No",1,0))/
IF(DN295&gt;INT($N295),$N295-INT($N295),1))*
IF(EF$44=1,DN295,
IF(INT(DN295)=INT(DM295),0,DN295-INT(DN295)))))</f>
        <v>0</v>
      </c>
      <c r="EG295" s="835">
        <f>+IF(DO295=DN295,0,
IF(AND(EG$44&gt;1,DO295=$N295),1-SUM($EE295:EF295),
IF($N295&lt;=1,
IF($N295&gt;0,1/$N295,0),
IF(EG$44=1,0,VDB(1,0,$N295,INT(EG$44-1-1),MIN($N295,INT(EG$44-1-1)+1),$DC295,IF($DD295="No",1,0))/
IF(DN295&gt;=INT($N295),$N295-INT($N295),1)))*
IF(EG$44=1,0,
IF(INT(DO295)=INT(DN295),DO295-DN295,INT(DO295)-DN295))+
IF($N295&lt;=1,
IF($N295&gt;0,1/$N295,0),VDB(1,0,$N295,INT(EG$44-1),MIN($N295,INT(EG$44-1)+1),$DC295,IF($DD295="No",1,0))/
IF(DO295&gt;INT($N295),$N295-INT($N295),1))*
IF(EG$44=1,DO295,
IF(INT(DO295)=INT(DN295),0,DO295-INT(DO295)))))</f>
        <v>0</v>
      </c>
      <c r="EH295" s="836">
        <f>+IF(DP295=DO295,0,
IF(AND(EH$44&gt;1,DP295=$N295),1-SUM($EE295:EG295),
IF($N295&lt;=1,
IF($N295&gt;0,1/$N295,0),
IF(EH$44=1,0,VDB(1,0,$N295,INT(EH$44-1-1),MIN($N295,INT(EH$44-1-1)+1),$DC295,IF($DD295="No",1,0))/
IF(DO295&gt;=INT($N295),$N295-INT($N295),1)))*
IF(EH$44=1,0,
IF(INT(DP295)=INT(DO295),DP295-DO295,INT(DP295)-DO295))+
IF($N295&lt;=1,
IF($N295&gt;0,1/$N295,0),VDB(1,0,$N295,INT(EH$44-1),MIN($N295,INT(EH$44-1)+1),$DC295,IF($DD295="No",1,0))/
IF(DP295&gt;INT($N295),$N295-INT($N295),1))*
IF(EH$44=1,DP295,
IF(INT(DP295)=INT(DO295),0,DP295-INT(DP295)))))</f>
        <v>0</v>
      </c>
      <c r="EI295" s="834">
        <f>+IF(DQ295=DP295,0,
IF(AND(EI$44&gt;1,DQ295=$N295),1-SUM($EE295:EH295),
IF($N295&lt;=1,
IF($N295&gt;0,1/$N295,0),
IF(EI$44=1,0,VDB(1,0,$N295,INT(EI$44-1-1),MIN($N295,INT(EI$44-1-1)+1),$DC295,IF($DD295="No",1,0))/
IF(DP295&gt;=INT($N295),$N295-INT($N295),1)))*
IF(EI$44=1,0,
IF(INT(DQ295)=INT(DP295),DQ295-DP295,INT(DQ295)-DP295))+
IF($N295&lt;=1,
IF($N295&gt;0,1/$N295,0),VDB(1,0,$N295,INT(EI$44-1),MIN($N295,INT(EI$44-1)+1),$DC295,IF($DD295="No",1,0))/
IF(DQ295&gt;INT($N295),$N295-INT($N295),1))*
IF(EI$44=1,DQ295,
IF(INT(DQ295)=INT(DP295),0,DQ295-INT(DQ295)))))</f>
        <v>0</v>
      </c>
      <c r="EJ295" s="835">
        <f>+IF(DR295=DQ295,0,
IF(AND(EJ$44&gt;1,DR295=$N295),1-SUM($EE295:EI295),
IF($N295&lt;=1,
IF($N295&gt;0,1/$N295,0),
IF(EJ$44=1,0,VDB(1,0,$N295,INT(EJ$44-1-1),MIN($N295,INT(EJ$44-1-1)+1),$DC295,IF($DD295="No",1,0))/
IF(DQ295&gt;=INT($N295),$N295-INT($N295),1)))*
IF(EJ$44=1,0,
IF(INT(DR295)=INT(DQ295),DR295-DQ295,INT(DR295)-DQ295))+
IF($N295&lt;=1,
IF($N295&gt;0,1/$N295,0),VDB(1,0,$N295,INT(EJ$44-1),MIN($N295,INT(EJ$44-1)+1),$DC295,IF($DD295="No",1,0))/
IF(DR295&gt;INT($N295),$N295-INT($N295),1))*
IF(EJ$44=1,DR295,
IF(INT(DR295)=INT(DQ295),0,DR295-INT(DR295)))))</f>
        <v>0</v>
      </c>
      <c r="EK295" s="835">
        <f>+IF(DS295=DR295,0,
IF(AND(EK$44&gt;1,DS295=$N295),1-SUM($EE295:EJ295),
IF($N295&lt;=1,
IF($N295&gt;0,1/$N295,0),
IF(EK$44=1,0,VDB(1,0,$N295,INT(EK$44-1-1),MIN($N295,INT(EK$44-1-1)+1),$DC295,IF($DD295="No",1,0))/
IF(DR295&gt;=INT($N295),$N295-INT($N295),1)))*
IF(EK$44=1,0,
IF(INT(DS295)=INT(DR295),DS295-DR295,INT(DS295)-DR295))+
IF($N295&lt;=1,
IF($N295&gt;0,1/$N295,0),VDB(1,0,$N295,INT(EK$44-1),MIN($N295,INT(EK$44-1)+1),$DC295,IF($DD295="No",1,0))/
IF(DS295&gt;INT($N295),$N295-INT($N295),1))*
IF(EK$44=1,DS295,
IF(INT(DS295)=INT(DR295),0,DS295-INT(DS295)))))</f>
        <v>0</v>
      </c>
      <c r="EL295" s="835">
        <f>+IF(DT295=DS295,0,
IF(AND(EL$44&gt;1,DT295=$N295),1-SUM($EE295:EK295),
IF($N295&lt;=1,
IF($N295&gt;0,1/$N295,0),
IF(EL$44=1,0,VDB(1,0,$N295,INT(EL$44-1-1),MIN($N295,INT(EL$44-1-1)+1),$DC295,IF($DD295="No",1,0))/
IF(DS295&gt;=INT($N295),$N295-INT($N295),1)))*
IF(EL$44=1,0,
IF(INT(DT295)=INT(DS295),DT295-DS295,INT(DT295)-DS295))+
IF($N295&lt;=1,
IF($N295&gt;0,1/$N295,0),VDB(1,0,$N295,INT(EL$44-1),MIN($N295,INT(EL$44-1)+1),$DC295,IF($DD295="No",1,0))/
IF(DT295&gt;INT($N295),$N295-INT($N295),1))*
IF(EL$44=1,DT295,
IF(INT(DT295)=INT(DS295),0,DT295-INT(DT295)))))</f>
        <v>0</v>
      </c>
      <c r="EM295" s="836">
        <f>+IF(DU295=DT295,0,
IF(AND(EM$44&gt;1,DU295=$N295),1-SUM($EE295:EL295),
IF($N295&lt;=1,
IF($N295&gt;0,1/$N295,0),
IF(EM$44=1,0,VDB(1,0,$N295,INT(EM$44-1-1),MIN($N295,INT(EM$44-1-1)+1),$DC295,IF($DD295="No",1,0))/
IF(DT295&gt;=INT($N295),$N295-INT($N295),1)))*
IF(EM$44=1,0,
IF(INT(DU295)=INT(DT295),DU295-DT295,INT(DU295)-DT295))+
IF($N295&lt;=1,
IF($N295&gt;0,1/$N295,0),VDB(1,0,$N295,INT(EM$44-1),MIN($N295,INT(EM$44-1)+1),$DC295,IF($DD295="No",1,0))/
IF(DU295&gt;INT($N295),$N295-INT($N295),1))*
IF(EM$44=1,DU295,
IF(INT(DU295)=INT(DT295),0,DU295-INT(DU295)))))</f>
        <v>0</v>
      </c>
      <c r="EN295" s="833"/>
      <c r="EO295" s="834">
        <f>+IF(OR(DW295=DV295,EO$44=1),0,
IF(AND(EO$44&gt;1,DW295=$N295),1-SUM($EN295:EN295),
IF($N295&lt;=1,
IF($N295&gt;0,1/$N295,0),
IF(EO$44=2,0,VDB(1,0,$N295,INT(EO$44-2-1),MIN($N295,INT(EO$44-2-1)+1),$DC295,IF($DD295="No",1,0))/
IF(DV295&gt;=INT($N295),$N295-INT($N295),1)))*
IF(EO$44=2,0,
IF(INT(DW295)=INT(DV295),DW295-DV295,INT(DW295)-DV295))+
IF($N295&lt;=1,
IF($N295&gt;0,1/$N295,0),VDB(1,0,$N295,INT(EO$44-2),MIN($N295,INT(EO$44-2)+1),$DC295,IF($DD295="No",1,0))/
IF(DW295&gt;INT($N295),$N295-INT($N295),1))*
IF(EO$44=2,DW295,
IF(INT(DW295)=INT(DV295),0,DW295-INT(DW295)))))</f>
        <v>0</v>
      </c>
      <c r="EP295" s="835">
        <f>+IF(OR(DX295=DW295,EP$44=1),0,
IF(AND(EP$44&gt;1,DX295=$N295),1-SUM($EN295:EO295),
IF($N295&lt;=1,
IF($N295&gt;0,1/$N295,0),
IF(EP$44=2,0,VDB(1,0,$N295,INT(EP$44-2-1),MIN($N295,INT(EP$44-2-1)+1),$DC295,IF($DD295="No",1,0))/
IF(DW295&gt;=INT($N295),$N295-INT($N295),1)))*
IF(EP$44=2,0,
IF(INT(DX295)=INT(DW295),DX295-DW295,INT(DX295)-DW295))+
IF($N295&lt;=1,
IF($N295&gt;0,1/$N295,0),VDB(1,0,$N295,INT(EP$44-2),MIN($N295,INT(EP$44-2)+1),$DC295,IF($DD295="No",1,0))/
IF(DX295&gt;INT($N295),$N295-INT($N295),1))*
IF(EP$44=2,DX295,
IF(INT(DX295)=INT(DW295),0,DX295-INT(DX295)))))</f>
        <v>0</v>
      </c>
      <c r="EQ295" s="836">
        <f>+IF(OR(DY295=DX295,EQ$44=1),0,
IF(AND(EQ$44&gt;1,DY295=$N295),1-SUM($EN295:EP295),
IF($N295&lt;=1,
IF($N295&gt;0,1/$N295,0),
IF(EQ$44=2,0,VDB(1,0,$N295,INT(EQ$44-2-1),MIN($N295,INT(EQ$44-2-1)+1),$DC295,IF($DD295="No",1,0))/
IF(DX295&gt;=INT($N295),$N295-INT($N295),1)))*
IF(EQ$44=2,0,
IF(INT(DY295)=INT(DX295),DY295-DX295,INT(DY295)-DX295))+
IF($N295&lt;=1,
IF($N295&gt;0,1/$N295,0),VDB(1,0,$N295,INT(EQ$44-2),MIN($N295,INT(EQ$44-2)+1),$DC295,IF($DD295="No",1,0))/
IF(DY295&gt;INT($N295),$N295-INT($N295),1))*
IF(EQ$44=2,DY295,
IF(INT(DY295)=INT(DX295),0,DY295-INT(DY295)))))</f>
        <v>0</v>
      </c>
      <c r="ER295" s="834">
        <f>+IF(OR(DZ295=DY295,ER$44=1),0,
IF(AND(ER$44&gt;1,DZ295=$N295),1-SUM($EN295:EQ295),
IF($N295&lt;=1,
IF($N295&gt;0,1/$N295,0),
IF(ER$44=2,0,VDB(1,0,$N295,INT(ER$44-2-1),MIN($N295,INT(ER$44-2-1)+1),$DC295,IF($DD295="No",1,0))/
IF(DY295&gt;=INT($N295),$N295-INT($N295),1)))*
IF(ER$44=2,0,
IF(INT(DZ295)=INT(DY295),DZ295-DY295,INT(DZ295)-DY295))+
IF($N295&lt;=1,
IF($N295&gt;0,1/$N295,0),VDB(1,0,$N295,INT(ER$44-2),MIN($N295,INT(ER$44-2)+1),$DC295,IF($DD295="No",1,0))/
IF(DZ295&gt;INT($N295),$N295-INT($N295),1))*
IF(ER$44=2,DZ295,
IF(INT(DZ295)=INT(DY295),0,DZ295-INT(DZ295)))))</f>
        <v>0</v>
      </c>
      <c r="ES295" s="835">
        <f>+IF(OR(EA295=DZ295,ES$44=1),0,
IF(AND(ES$44&gt;1,EA295=$N295),1-SUM($EN295:ER295),
IF($N295&lt;=1,
IF($N295&gt;0,1/$N295,0),
IF(ES$44=2,0,VDB(1,0,$N295,INT(ES$44-2-1),MIN($N295,INT(ES$44-2-1)+1),$DC295,IF($DD295="No",1,0))/
IF(DZ295&gt;=INT($N295),$N295-INT($N295),1)))*
IF(ES$44=2,0,
IF(INT(EA295)=INT(DZ295),EA295-DZ295,INT(EA295)-DZ295))+
IF($N295&lt;=1,
IF($N295&gt;0,1/$N295,0),VDB(1,0,$N295,INT(ES$44-2),MIN($N295,INT(ES$44-2)+1),$DC295,IF($DD295="No",1,0))/
IF(EA295&gt;INT($N295),$N295-INT($N295),1))*
IF(ES$44=2,EA295,
IF(INT(EA295)=INT(DZ295),0,EA295-INT(EA295)))))</f>
        <v>0</v>
      </c>
      <c r="ET295" s="835">
        <f>+IF(OR(EB295=EA295,ET$44=1),0,
IF(AND(ET$44&gt;1,EB295=$N295),1-SUM($EN295:ES295),
IF($N295&lt;=1,
IF($N295&gt;0,1/$N295,0),
IF(ET$44=2,0,VDB(1,0,$N295,INT(ET$44-2-1),MIN($N295,INT(ET$44-2-1)+1),$DC295,IF($DD295="No",1,0))/
IF(EA295&gt;=INT($N295),$N295-INT($N295),1)))*
IF(ET$44=2,0,
IF(INT(EB295)=INT(EA295),EB295-EA295,INT(EB295)-EA295))+
IF($N295&lt;=1,
IF($N295&gt;0,1/$N295,0),VDB(1,0,$N295,INT(ET$44-2),MIN($N295,INT(ET$44-2)+1),$DC295,IF($DD295="No",1,0))/
IF(EB295&gt;INT($N295),$N295-INT($N295),1))*
IF(ET$44=2,EB295,
IF(INT(EB295)=INT(EA295),0,EB295-INT(EB295)))))</f>
        <v>0</v>
      </c>
      <c r="EU295" s="835">
        <f>+IF(OR(EC295=EB295,EU$44=1),0,
IF(AND(EU$44&gt;1,EC295=$N295),1-SUM($EN295:ET295),
IF($N295&lt;=1,
IF($N295&gt;0,1/$N295,0),
IF(EU$44=2,0,VDB(1,0,$N295,INT(EU$44-2-1),MIN($N295,INT(EU$44-2-1)+1),$DC295,IF($DD295="No",1,0))/
IF(EB295&gt;=INT($N295),$N295-INT($N295),1)))*
IF(EU$44=2,0,
IF(INT(EC295)=INT(EB295),EC295-EB295,INT(EC295)-EB295))+
IF($N295&lt;=1,
IF($N295&gt;0,1/$N295,0),VDB(1,0,$N295,INT(EU$44-2),MIN($N295,INT(EU$44-2)+1),$DC295,IF($DD295="No",1,0))/
IF(EC295&gt;INT($N295),$N295-INT($N295),1))*
IF(EU$44=2,EC295,
IF(INT(EC295)=INT(EB295),0,EC295-INT(EC295)))))</f>
        <v>0</v>
      </c>
      <c r="EV295" s="836">
        <f>+IF(OR(ED295=EC295,EV$44=1),0,
IF(AND(EV$44&gt;1,ED295=$N295),1-SUM($EN295:EU295),
IF($N295&lt;=1,
IF($N295&gt;0,1/$N295,0),
IF(EV$44=2,0,VDB(1,0,$N295,INT(EV$44-2-1),MIN($N295,INT(EV$44-2-1)+1),$DC295,IF($DD295="No",1,0))/
IF(EC295&gt;=INT($N295),$N295-INT($N295),1)))*
IF(EV$44=2,0,
IF(INT(ED295)=INT(EC295),ED295-EC295,INT(ED295)-EC295))+
IF($N295&lt;=1,
IF($N295&gt;0,1/$N295,0),VDB(1,0,$N295,INT(EV$44-2),MIN($N295,INT(EV$44-2)+1),$DC295,IF($DD295="No",1,0))/
IF(ED295&gt;INT($N295),$N295-INT($N295),1))*
IF(EV$44=2,ED295,
IF(INT(ED295)=INT(EC295),0,ED295-INT(ED295)))))</f>
        <v>0</v>
      </c>
      <c r="EW295" s="833"/>
      <c r="EX295" s="834">
        <f t="shared" ca="1" si="513"/>
        <v>0</v>
      </c>
      <c r="EY295" s="835">
        <f t="shared" ca="1" si="513"/>
        <v>0</v>
      </c>
      <c r="EZ295" s="836">
        <f t="shared" ca="1" si="513"/>
        <v>0</v>
      </c>
      <c r="FA295" s="834">
        <f t="shared" ca="1" si="513"/>
        <v>0</v>
      </c>
      <c r="FB295" s="835">
        <f t="shared" ca="1" si="513"/>
        <v>0</v>
      </c>
      <c r="FC295" s="835">
        <f t="shared" ca="1" si="513"/>
        <v>0</v>
      </c>
      <c r="FD295" s="835">
        <f t="shared" ca="1" si="513"/>
        <v>0</v>
      </c>
      <c r="FE295" s="836">
        <f t="shared" ca="1" si="513"/>
        <v>0</v>
      </c>
      <c r="FG295" s="386">
        <f t="shared" ca="1" si="504"/>
        <v>0</v>
      </c>
      <c r="FH295" s="387">
        <f t="shared" ca="1" si="505"/>
        <v>0</v>
      </c>
      <c r="FI295" s="388">
        <f t="shared" ca="1" si="506"/>
        <v>0</v>
      </c>
      <c r="FJ295" s="386">
        <f t="shared" ca="1" si="507"/>
        <v>0</v>
      </c>
      <c r="FK295" s="387">
        <f t="shared" ca="1" si="508"/>
        <v>0</v>
      </c>
      <c r="FL295" s="387">
        <f t="shared" ca="1" si="509"/>
        <v>0</v>
      </c>
      <c r="FM295" s="387">
        <f t="shared" ca="1" si="510"/>
        <v>0</v>
      </c>
      <c r="FN295" s="388">
        <f t="shared" ca="1" si="511"/>
        <v>0</v>
      </c>
      <c r="FR295" s="116"/>
    </row>
    <row r="296" spans="2:174">
      <c r="B296" s="1410">
        <f t="shared" si="512"/>
        <v>250</v>
      </c>
      <c r="C296" s="400"/>
      <c r="D296" s="410"/>
      <c r="E296" s="402"/>
      <c r="F296" s="402"/>
      <c r="G296" s="400"/>
      <c r="H296" s="2088"/>
      <c r="I296" s="2089"/>
      <c r="J296" s="411"/>
      <c r="K296" s="403"/>
      <c r="L296" s="403"/>
      <c r="M296" s="403"/>
      <c r="N296" s="403"/>
      <c r="O296" s="347"/>
      <c r="P296" s="347"/>
      <c r="Q296" s="1021"/>
      <c r="R296" s="1022"/>
      <c r="S296" s="1022"/>
      <c r="T296" s="1022"/>
      <c r="U296" s="1023"/>
      <c r="V296" s="1021"/>
      <c r="W296" s="1022"/>
      <c r="X296" s="1022"/>
      <c r="Y296" s="1022"/>
      <c r="Z296" s="1023"/>
      <c r="AA296" s="1024"/>
      <c r="AB296" s="1021"/>
      <c r="AC296" s="1022"/>
      <c r="AD296" s="1022"/>
      <c r="AE296" s="1022"/>
      <c r="AF296" s="1023"/>
      <c r="AG296" s="1021"/>
      <c r="AH296" s="1022"/>
      <c r="AI296" s="1022"/>
      <c r="AJ296" s="1022"/>
      <c r="AK296" s="1023"/>
      <c r="AL296" s="1024"/>
      <c r="AM296" s="1021"/>
      <c r="AN296" s="1022"/>
      <c r="AO296" s="1022"/>
      <c r="AP296" s="1022"/>
      <c r="AQ296" s="1023"/>
      <c r="AR296" s="1021"/>
      <c r="AS296" s="1022"/>
      <c r="AT296" s="1022"/>
      <c r="AU296" s="1022"/>
      <c r="AV296" s="1023"/>
      <c r="AW296" s="1025"/>
      <c r="AX296" s="1282">
        <f t="shared" si="457"/>
        <v>0</v>
      </c>
      <c r="AY296" s="387">
        <f t="shared" si="458"/>
        <v>0</v>
      </c>
      <c r="AZ296" s="387">
        <f t="shared" si="459"/>
        <v>0</v>
      </c>
      <c r="BA296" s="387">
        <f t="shared" si="460"/>
        <v>0</v>
      </c>
      <c r="BB296" s="1283">
        <f t="shared" si="461"/>
        <v>0</v>
      </c>
      <c r="BC296" s="386">
        <f t="shared" si="462"/>
        <v>0</v>
      </c>
      <c r="BD296" s="387">
        <f t="shared" si="463"/>
        <v>0</v>
      </c>
      <c r="BE296" s="1277">
        <f t="shared" si="464"/>
        <v>0</v>
      </c>
      <c r="BF296" s="1277">
        <f t="shared" si="465"/>
        <v>0</v>
      </c>
      <c r="BG296" s="388">
        <f t="shared" si="466"/>
        <v>0</v>
      </c>
      <c r="BH296" s="1025"/>
      <c r="BI296" s="1282">
        <f t="shared" ca="1" si="467"/>
        <v>0</v>
      </c>
      <c r="BJ296" s="387">
        <f t="shared" ca="1" si="468"/>
        <v>0</v>
      </c>
      <c r="BK296" s="387">
        <f t="shared" ca="1" si="469"/>
        <v>0</v>
      </c>
      <c r="BL296" s="387">
        <f t="shared" ca="1" si="470"/>
        <v>0</v>
      </c>
      <c r="BM296" s="1283">
        <f t="shared" ca="1" si="471"/>
        <v>0</v>
      </c>
      <c r="BN296" s="386">
        <f t="shared" ca="1" si="472"/>
        <v>0</v>
      </c>
      <c r="BO296" s="387">
        <f t="shared" ca="1" si="473"/>
        <v>0</v>
      </c>
      <c r="BP296" s="1277">
        <f t="shared" ca="1" si="474"/>
        <v>0</v>
      </c>
      <c r="BQ296" s="1277">
        <f t="shared" ca="1" si="475"/>
        <v>0</v>
      </c>
      <c r="BR296" s="388">
        <f t="shared" ca="1" si="476"/>
        <v>0</v>
      </c>
      <c r="BS296" s="1025"/>
      <c r="BT296" s="1282">
        <f>+IF($K296="Ongoing",AX296,IF(RIGHT($K296,2)=RIGHT(BT$43,2),SUM($AX296:AX296),0)+IF(RIGHT(BT$43,2)&gt;RIGHT($K296,2),AX296,0))</f>
        <v>0</v>
      </c>
      <c r="BU296" s="387">
        <f>+IF($K296="Ongoing",AY296,IF(RIGHT($K296,2)=RIGHT(BU$43,2),SUM($AX296:AY296),0)+IF(RIGHT(BU$43,2)&gt;RIGHT($K296,2),AY296,0))</f>
        <v>0</v>
      </c>
      <c r="BV296" s="387">
        <f>+IF($K296="Ongoing",AZ296,IF(RIGHT($K296,2)=RIGHT(BV$43,2),SUM($AX296:AZ296),0)+IF(RIGHT(BV$43,2)&gt;RIGHT($K296,2),AZ296,0))</f>
        <v>0</v>
      </c>
      <c r="BW296" s="387">
        <f>+IF($K296="Ongoing",BA296,IF(RIGHT($K296,2)=RIGHT(BW$43,2),SUM($AX296:BA296),0)+IF(RIGHT(BW$43,2)&gt;RIGHT($K296,2),BA296,0))</f>
        <v>0</v>
      </c>
      <c r="BX296" s="1283">
        <f>+IF($K296="Ongoing",BB296,IF(RIGHT($K296,2)=RIGHT(BX$43,2),SUM($AX296:BB296),0)+IF(RIGHT(BX$43,2)&gt;RIGHT($K296,2),BB296,0))</f>
        <v>0</v>
      </c>
      <c r="BY296" s="386">
        <f>+IF($K296="Ongoing",BC296,IF(RIGHT($K296,2)=RIGHT(BY$43,2),SUM($AX296:BC296),0)+IF(RIGHT(BY$43,2)&gt;RIGHT($K296,2),BC296,0))</f>
        <v>0</v>
      </c>
      <c r="BZ296" s="387">
        <f>+IF($K296="Ongoing",BD296,IF(RIGHT($K296,2)=RIGHT(BZ$43,2),SUM($AX296:BD296),0)+IF(RIGHT(BZ$43,2)&gt;RIGHT($K296,2),BD296,0))</f>
        <v>0</v>
      </c>
      <c r="CA296" s="1277">
        <f>+IF($K296="Ongoing",BE296,IF(RIGHT($K296,2)=RIGHT(CA$43,2),SUM($AX296:BE296),0)+IF(RIGHT(CA$43,2)&gt;RIGHT($K296,2),BE296,0))</f>
        <v>0</v>
      </c>
      <c r="CB296" s="1277">
        <f>+IF($K296="Ongoing",BF296,IF(RIGHT($K296,2)=RIGHT(CB$43,2),SUM($AX296:BF296),0)+IF(RIGHT(CB$43,2)&gt;RIGHT($K296,2),BF296,0))</f>
        <v>0</v>
      </c>
      <c r="CC296" s="388">
        <f>+IF($K296="Ongoing",BG296,IF(RIGHT($K296,2)=RIGHT(CC$43,2),SUM($AX296:BG296),0)+IF(RIGHT(CC$43,2)&gt;RIGHT($K296,2),BG296,0))</f>
        <v>0</v>
      </c>
      <c r="CD296" s="1025"/>
      <c r="CE296" s="1282">
        <f>+Q296*KeyAssumptionsPriceControl_FO!AF$15</f>
        <v>0</v>
      </c>
      <c r="CF296" s="387">
        <f>+R296*KeyAssumptionsPriceControl_FO!AG$15</f>
        <v>0</v>
      </c>
      <c r="CG296" s="387">
        <f>+S296*KeyAssumptionsPriceControl_FO!AH$15</f>
        <v>0</v>
      </c>
      <c r="CH296" s="387">
        <f>+T296*KeyAssumptionsPriceControl_FO!AI$15</f>
        <v>0</v>
      </c>
      <c r="CI296" s="1283">
        <f>+U296*KeyAssumptionsPriceControl_FO!AJ$15</f>
        <v>0</v>
      </c>
      <c r="CJ296" s="386">
        <f>+V296*KeyAssumptionsPriceControl_FO!AK$15</f>
        <v>0</v>
      </c>
      <c r="CK296" s="387">
        <f>+W296*KeyAssumptionsPriceControl_FO!AL$15</f>
        <v>0</v>
      </c>
      <c r="CL296" s="1277">
        <f>+X296*KeyAssumptionsPriceControl_FO!AM$15</f>
        <v>0</v>
      </c>
      <c r="CM296" s="1277">
        <f>+Y296*KeyAssumptionsPriceControl_FO!AN$15</f>
        <v>0</v>
      </c>
      <c r="CN296" s="388">
        <f>+Z296*KeyAssumptionsPriceControl_FO!AO$15</f>
        <v>0</v>
      </c>
      <c r="CO296" s="1025"/>
      <c r="CP296" s="1282">
        <f t="shared" ca="1" si="477"/>
        <v>0</v>
      </c>
      <c r="CQ296" s="387">
        <f t="shared" ca="1" si="478"/>
        <v>0</v>
      </c>
      <c r="CR296" s="387">
        <f t="shared" ca="1" si="479"/>
        <v>0</v>
      </c>
      <c r="CS296" s="387">
        <f t="shared" ca="1" si="480"/>
        <v>0</v>
      </c>
      <c r="CT296" s="1283">
        <f t="shared" ca="1" si="481"/>
        <v>0</v>
      </c>
      <c r="CU296" s="386">
        <f t="shared" ca="1" si="482"/>
        <v>0</v>
      </c>
      <c r="CV296" s="387">
        <f t="shared" ca="1" si="483"/>
        <v>0</v>
      </c>
      <c r="CW296" s="1277">
        <f t="shared" ca="1" si="484"/>
        <v>0</v>
      </c>
      <c r="CX296" s="1277">
        <f t="shared" ca="1" si="485"/>
        <v>0</v>
      </c>
      <c r="CY296" s="388">
        <f t="shared" ca="1" si="486"/>
        <v>0</v>
      </c>
      <c r="CZ296" s="347"/>
      <c r="DA296" s="852"/>
      <c r="DB296" s="347"/>
      <c r="DC296" s="1012" t="s">
        <v>603</v>
      </c>
      <c r="DD296" s="841" t="s">
        <v>518</v>
      </c>
      <c r="DE296" s="386">
        <f>+IF($K296="ongoing",CE296,IF(RIGHT($K296,2)=RIGHT(DE$43,2),SUM($CD296:CE296),0)+IF(RIGHT(DE$43,2)&gt;RIGHT($K296,2),CE296,0))</f>
        <v>0</v>
      </c>
      <c r="DF296" s="387">
        <f>+IF($K296="ongoing",CF296,IF(RIGHT($K296,2)=RIGHT(DF$43,2),SUM($CD296:CF296),0)+IF(RIGHT(DF$43,2)&gt;RIGHT($K296,2),CF296,0))</f>
        <v>0</v>
      </c>
      <c r="DG296" s="388">
        <f>+IF($K296="ongoing",CG296,IF(RIGHT($K296,2)=RIGHT(DG$43,2),SUM($CD296:CG296),0)+IF(RIGHT(DG$43,2)&gt;RIGHT($K296,2),CG296,0))</f>
        <v>0</v>
      </c>
      <c r="DH296" s="386">
        <f>+IF($K296="ongoing",CH296,IF(RIGHT($K296,2)=RIGHT(DH$43,2),SUM($CD296:CH296),0)+IF(RIGHT(DH$43,2)&gt;RIGHT($K296,2),CH296,0))</f>
        <v>0</v>
      </c>
      <c r="DI296" s="387">
        <f>+IF($K296="ongoing",CI296,IF(RIGHT($K296,2)=RIGHT(DI$43,2),SUM($CD296:CI296),0)+IF(RIGHT(DI$43,2)&gt;RIGHT($K296,2),CI296,0))</f>
        <v>0</v>
      </c>
      <c r="DJ296" s="387">
        <f>+IF($K296="ongoing",CJ296,IF(RIGHT($K296,2)=RIGHT(DJ$43,2),SUM($CD296:CJ296),0)+IF(RIGHT(DJ$43,2)&gt;RIGHT($K296,2),CJ296,0))</f>
        <v>0</v>
      </c>
      <c r="DK296" s="387">
        <f>+IF($K296="ongoing",CK296,IF(RIGHT($K296,2)=RIGHT(DK$43,2),SUM($CD296:CK296),0)+IF(RIGHT(DK$43,2)&gt;RIGHT($K296,2),CK296,0))</f>
        <v>0</v>
      </c>
      <c r="DL296" s="388">
        <f>+IF($K296="ongoing",CN296,IF(RIGHT($K296,2)=RIGHT(DL$43,2),SUM($CD296:CN296),0)+IF(RIGHT(DL$43,2)&gt;RIGHT($K296,2),CN296,0))</f>
        <v>0</v>
      </c>
      <c r="DM296" s="841"/>
      <c r="DN296" s="386">
        <f t="shared" si="487"/>
        <v>0.5</v>
      </c>
      <c r="DO296" s="387">
        <f t="shared" si="488"/>
        <v>1</v>
      </c>
      <c r="DP296" s="388">
        <f t="shared" si="489"/>
        <v>1</v>
      </c>
      <c r="DQ296" s="386">
        <f t="shared" si="490"/>
        <v>1</v>
      </c>
      <c r="DR296" s="387">
        <f t="shared" si="491"/>
        <v>1</v>
      </c>
      <c r="DS296" s="387">
        <f t="shared" si="492"/>
        <v>1</v>
      </c>
      <c r="DT296" s="387">
        <f t="shared" si="493"/>
        <v>1</v>
      </c>
      <c r="DU296" s="388">
        <f t="shared" si="494"/>
        <v>1</v>
      </c>
      <c r="DW296" s="386">
        <f t="shared" si="495"/>
        <v>0</v>
      </c>
      <c r="DX296" s="387">
        <f t="shared" si="496"/>
        <v>0.5</v>
      </c>
      <c r="DY296" s="388">
        <f t="shared" si="497"/>
        <v>1</v>
      </c>
      <c r="DZ296" s="386">
        <f t="shared" si="498"/>
        <v>1</v>
      </c>
      <c r="EA296" s="387">
        <f t="shared" si="499"/>
        <v>1</v>
      </c>
      <c r="EB296" s="387">
        <f t="shared" si="500"/>
        <v>1</v>
      </c>
      <c r="EC296" s="387">
        <f t="shared" si="501"/>
        <v>1</v>
      </c>
      <c r="ED296" s="388">
        <f t="shared" si="502"/>
        <v>1</v>
      </c>
      <c r="EF296" s="834">
        <f>+IF(DN296=DM296,0,
IF(AND(EF$44&gt;1,DN296=$N296),1-SUM($EE296:EE296),
IF($N296&lt;=1,
IF($N296&gt;0,1/$N296,0),
IF(EF$44=1,0,VDB(1,0,$N296,INT(EF$44-1-1),MIN($N296,INT(EF$44-1-1)+1),$DC296,IF($DD296="No",1,0))/
IF(DM296&gt;=INT($N296),$N296-INT($N296),1)))*
IF(EF$44=1,0,
IF(INT(DN296)=INT(DM296),DN296-DM296,INT(DN296)-DM296))+
IF($N296&lt;=1,
IF($N296&gt;0,1/$N296,0),VDB(1,0,$N296,INT(EF$44-1),MIN($N296,INT(EF$44-1)+1),$DC296,IF($DD296="No",1,0))/
IF(DN296&gt;INT($N296),$N296-INT($N296),1))*
IF(EF$44=1,DN296,
IF(INT(DN296)=INT(DM296),0,DN296-INT(DN296)))))</f>
        <v>0</v>
      </c>
      <c r="EG296" s="835">
        <f>+IF(DO296=DN296,0,
IF(AND(EG$44&gt;1,DO296=$N296),1-SUM($EE296:EF296),
IF($N296&lt;=1,
IF($N296&gt;0,1/$N296,0),
IF(EG$44=1,0,VDB(1,0,$N296,INT(EG$44-1-1),MIN($N296,INT(EG$44-1-1)+1),$DC296,IF($DD296="No",1,0))/
IF(DN296&gt;=INT($N296),$N296-INT($N296),1)))*
IF(EG$44=1,0,
IF(INT(DO296)=INT(DN296),DO296-DN296,INT(DO296)-DN296))+
IF($N296&lt;=1,
IF($N296&gt;0,1/$N296,0),VDB(1,0,$N296,INT(EG$44-1),MIN($N296,INT(EG$44-1)+1),$DC296,IF($DD296="No",1,0))/
IF(DO296&gt;INT($N296),$N296-INT($N296),1))*
IF(EG$44=1,DO296,
IF(INT(DO296)=INT(DN296),0,DO296-INT(DO296)))))</f>
        <v>0</v>
      </c>
      <c r="EH296" s="836">
        <f>+IF(DP296=DO296,0,
IF(AND(EH$44&gt;1,DP296=$N296),1-SUM($EE296:EG296),
IF($N296&lt;=1,
IF($N296&gt;0,1/$N296,0),
IF(EH$44=1,0,VDB(1,0,$N296,INT(EH$44-1-1),MIN($N296,INT(EH$44-1-1)+1),$DC296,IF($DD296="No",1,0))/
IF(DO296&gt;=INT($N296),$N296-INT($N296),1)))*
IF(EH$44=1,0,
IF(INT(DP296)=INT(DO296),DP296-DO296,INT(DP296)-DO296))+
IF($N296&lt;=1,
IF($N296&gt;0,1/$N296,0),VDB(1,0,$N296,INT(EH$44-1),MIN($N296,INT(EH$44-1)+1),$DC296,IF($DD296="No",1,0))/
IF(DP296&gt;INT($N296),$N296-INT($N296),1))*
IF(EH$44=1,DP296,
IF(INT(DP296)=INT(DO296),0,DP296-INT(DP296)))))</f>
        <v>0</v>
      </c>
      <c r="EI296" s="834">
        <f>+IF(DQ296=DP296,0,
IF(AND(EI$44&gt;1,DQ296=$N296),1-SUM($EE296:EH296),
IF($N296&lt;=1,
IF($N296&gt;0,1/$N296,0),
IF(EI$44=1,0,VDB(1,0,$N296,INT(EI$44-1-1),MIN($N296,INT(EI$44-1-1)+1),$DC296,IF($DD296="No",1,0))/
IF(DP296&gt;=INT($N296),$N296-INT($N296),1)))*
IF(EI$44=1,0,
IF(INT(DQ296)=INT(DP296),DQ296-DP296,INT(DQ296)-DP296))+
IF($N296&lt;=1,
IF($N296&gt;0,1/$N296,0),VDB(1,0,$N296,INT(EI$44-1),MIN($N296,INT(EI$44-1)+1),$DC296,IF($DD296="No",1,0))/
IF(DQ296&gt;INT($N296),$N296-INT($N296),1))*
IF(EI$44=1,DQ296,
IF(INT(DQ296)=INT(DP296),0,DQ296-INT(DQ296)))))</f>
        <v>0</v>
      </c>
      <c r="EJ296" s="835">
        <f>+IF(DR296=DQ296,0,
IF(AND(EJ$44&gt;1,DR296=$N296),1-SUM($EE296:EI296),
IF($N296&lt;=1,
IF($N296&gt;0,1/$N296,0),
IF(EJ$44=1,0,VDB(1,0,$N296,INT(EJ$44-1-1),MIN($N296,INT(EJ$44-1-1)+1),$DC296,IF($DD296="No",1,0))/
IF(DQ296&gt;=INT($N296),$N296-INT($N296),1)))*
IF(EJ$44=1,0,
IF(INT(DR296)=INT(DQ296),DR296-DQ296,INT(DR296)-DQ296))+
IF($N296&lt;=1,
IF($N296&gt;0,1/$N296,0),VDB(1,0,$N296,INT(EJ$44-1),MIN($N296,INT(EJ$44-1)+1),$DC296,IF($DD296="No",1,0))/
IF(DR296&gt;INT($N296),$N296-INT($N296),1))*
IF(EJ$44=1,DR296,
IF(INT(DR296)=INT(DQ296),0,DR296-INT(DR296)))))</f>
        <v>0</v>
      </c>
      <c r="EK296" s="835">
        <f>+IF(DS296=DR296,0,
IF(AND(EK$44&gt;1,DS296=$N296),1-SUM($EE296:EJ296),
IF($N296&lt;=1,
IF($N296&gt;0,1/$N296,0),
IF(EK$44=1,0,VDB(1,0,$N296,INT(EK$44-1-1),MIN($N296,INT(EK$44-1-1)+1),$DC296,IF($DD296="No",1,0))/
IF(DR296&gt;=INT($N296),$N296-INT($N296),1)))*
IF(EK$44=1,0,
IF(INT(DS296)=INT(DR296),DS296-DR296,INT(DS296)-DR296))+
IF($N296&lt;=1,
IF($N296&gt;0,1/$N296,0),VDB(1,0,$N296,INT(EK$44-1),MIN($N296,INT(EK$44-1)+1),$DC296,IF($DD296="No",1,0))/
IF(DS296&gt;INT($N296),$N296-INT($N296),1))*
IF(EK$44=1,DS296,
IF(INT(DS296)=INT(DR296),0,DS296-INT(DS296)))))</f>
        <v>0</v>
      </c>
      <c r="EL296" s="835">
        <f>+IF(DT296=DS296,0,
IF(AND(EL$44&gt;1,DT296=$N296),1-SUM($EE296:EK296),
IF($N296&lt;=1,
IF($N296&gt;0,1/$N296,0),
IF(EL$44=1,0,VDB(1,0,$N296,INT(EL$44-1-1),MIN($N296,INT(EL$44-1-1)+1),$DC296,IF($DD296="No",1,0))/
IF(DS296&gt;=INT($N296),$N296-INT($N296),1)))*
IF(EL$44=1,0,
IF(INT(DT296)=INT(DS296),DT296-DS296,INT(DT296)-DS296))+
IF($N296&lt;=1,
IF($N296&gt;0,1/$N296,0),VDB(1,0,$N296,INT(EL$44-1),MIN($N296,INT(EL$44-1)+1),$DC296,IF($DD296="No",1,0))/
IF(DT296&gt;INT($N296),$N296-INT($N296),1))*
IF(EL$44=1,DT296,
IF(INT(DT296)=INT(DS296),0,DT296-INT(DT296)))))</f>
        <v>0</v>
      </c>
      <c r="EM296" s="836">
        <f>+IF(DU296=DT296,0,
IF(AND(EM$44&gt;1,DU296=$N296),1-SUM($EE296:EL296),
IF($N296&lt;=1,
IF($N296&gt;0,1/$N296,0),
IF(EM$44=1,0,VDB(1,0,$N296,INT(EM$44-1-1),MIN($N296,INT(EM$44-1-1)+1),$DC296,IF($DD296="No",1,0))/
IF(DT296&gt;=INT($N296),$N296-INT($N296),1)))*
IF(EM$44=1,0,
IF(INT(DU296)=INT(DT296),DU296-DT296,INT(DU296)-DT296))+
IF($N296&lt;=1,
IF($N296&gt;0,1/$N296,0),VDB(1,0,$N296,INT(EM$44-1),MIN($N296,INT(EM$44-1)+1),$DC296,IF($DD296="No",1,0))/
IF(DU296&gt;INT($N296),$N296-INT($N296),1))*
IF(EM$44=1,DU296,
IF(INT(DU296)=INT(DT296),0,DU296-INT(DU296)))))</f>
        <v>0</v>
      </c>
      <c r="EN296" s="833"/>
      <c r="EO296" s="834">
        <f>+IF(OR(DW296=DV296,EO$44=1),0,
IF(AND(EO$44&gt;1,DW296=$N296),1-SUM($EN296:EN296),
IF($N296&lt;=1,
IF($N296&gt;0,1/$N296,0),
IF(EO$44=2,0,VDB(1,0,$N296,INT(EO$44-2-1),MIN($N296,INT(EO$44-2-1)+1),$DC296,IF($DD296="No",1,0))/
IF(DV296&gt;=INT($N296),$N296-INT($N296),1)))*
IF(EO$44=2,0,
IF(INT(DW296)=INT(DV296),DW296-DV296,INT(DW296)-DV296))+
IF($N296&lt;=1,
IF($N296&gt;0,1/$N296,0),VDB(1,0,$N296,INT(EO$44-2),MIN($N296,INT(EO$44-2)+1),$DC296,IF($DD296="No",1,0))/
IF(DW296&gt;INT($N296),$N296-INT($N296),1))*
IF(EO$44=2,DW296,
IF(INT(DW296)=INT(DV296),0,DW296-INT(DW296)))))</f>
        <v>0</v>
      </c>
      <c r="EP296" s="835">
        <f>+IF(OR(DX296=DW296,EP$44=1),0,
IF(AND(EP$44&gt;1,DX296=$N296),1-SUM($EN296:EO296),
IF($N296&lt;=1,
IF($N296&gt;0,1/$N296,0),
IF(EP$44=2,0,VDB(1,0,$N296,INT(EP$44-2-1),MIN($N296,INT(EP$44-2-1)+1),$DC296,IF($DD296="No",1,0))/
IF(DW296&gt;=INT($N296),$N296-INT($N296),1)))*
IF(EP$44=2,0,
IF(INT(DX296)=INT(DW296),DX296-DW296,INT(DX296)-DW296))+
IF($N296&lt;=1,
IF($N296&gt;0,1/$N296,0),VDB(1,0,$N296,INT(EP$44-2),MIN($N296,INT(EP$44-2)+1),$DC296,IF($DD296="No",1,0))/
IF(DX296&gt;INT($N296),$N296-INT($N296),1))*
IF(EP$44=2,DX296,
IF(INT(DX296)=INT(DW296),0,DX296-INT(DX296)))))</f>
        <v>0</v>
      </c>
      <c r="EQ296" s="836">
        <f>+IF(OR(DY296=DX296,EQ$44=1),0,
IF(AND(EQ$44&gt;1,DY296=$N296),1-SUM($EN296:EP296),
IF($N296&lt;=1,
IF($N296&gt;0,1/$N296,0),
IF(EQ$44=2,0,VDB(1,0,$N296,INT(EQ$44-2-1),MIN($N296,INT(EQ$44-2-1)+1),$DC296,IF($DD296="No",1,0))/
IF(DX296&gt;=INT($N296),$N296-INT($N296),1)))*
IF(EQ$44=2,0,
IF(INT(DY296)=INT(DX296),DY296-DX296,INT(DY296)-DX296))+
IF($N296&lt;=1,
IF($N296&gt;0,1/$N296,0),VDB(1,0,$N296,INT(EQ$44-2),MIN($N296,INT(EQ$44-2)+1),$DC296,IF($DD296="No",1,0))/
IF(DY296&gt;INT($N296),$N296-INT($N296),1))*
IF(EQ$44=2,DY296,
IF(INT(DY296)=INT(DX296),0,DY296-INT(DY296)))))</f>
        <v>0</v>
      </c>
      <c r="ER296" s="834">
        <f>+IF(OR(DZ296=DY296,ER$44=1),0,
IF(AND(ER$44&gt;1,DZ296=$N296),1-SUM($EN296:EQ296),
IF($N296&lt;=1,
IF($N296&gt;0,1/$N296,0),
IF(ER$44=2,0,VDB(1,0,$N296,INT(ER$44-2-1),MIN($N296,INT(ER$44-2-1)+1),$DC296,IF($DD296="No",1,0))/
IF(DY296&gt;=INT($N296),$N296-INT($N296),1)))*
IF(ER$44=2,0,
IF(INT(DZ296)=INT(DY296),DZ296-DY296,INT(DZ296)-DY296))+
IF($N296&lt;=1,
IF($N296&gt;0,1/$N296,0),VDB(1,0,$N296,INT(ER$44-2),MIN($N296,INT(ER$44-2)+1),$DC296,IF($DD296="No",1,0))/
IF(DZ296&gt;INT($N296),$N296-INT($N296),1))*
IF(ER$44=2,DZ296,
IF(INT(DZ296)=INT(DY296),0,DZ296-INT(DZ296)))))</f>
        <v>0</v>
      </c>
      <c r="ES296" s="835">
        <f>+IF(OR(EA296=DZ296,ES$44=1),0,
IF(AND(ES$44&gt;1,EA296=$N296),1-SUM($EN296:ER296),
IF($N296&lt;=1,
IF($N296&gt;0,1/$N296,0),
IF(ES$44=2,0,VDB(1,0,$N296,INT(ES$44-2-1),MIN($N296,INT(ES$44-2-1)+1),$DC296,IF($DD296="No",1,0))/
IF(DZ296&gt;=INT($N296),$N296-INT($N296),1)))*
IF(ES$44=2,0,
IF(INT(EA296)=INT(DZ296),EA296-DZ296,INT(EA296)-DZ296))+
IF($N296&lt;=1,
IF($N296&gt;0,1/$N296,0),VDB(1,0,$N296,INT(ES$44-2),MIN($N296,INT(ES$44-2)+1),$DC296,IF($DD296="No",1,0))/
IF(EA296&gt;INT($N296),$N296-INT($N296),1))*
IF(ES$44=2,EA296,
IF(INT(EA296)=INT(DZ296),0,EA296-INT(EA296)))))</f>
        <v>0</v>
      </c>
      <c r="ET296" s="835">
        <f>+IF(OR(EB296=EA296,ET$44=1),0,
IF(AND(ET$44&gt;1,EB296=$N296),1-SUM($EN296:ES296),
IF($N296&lt;=1,
IF($N296&gt;0,1/$N296,0),
IF(ET$44=2,0,VDB(1,0,$N296,INT(ET$44-2-1),MIN($N296,INT(ET$44-2-1)+1),$DC296,IF($DD296="No",1,0))/
IF(EA296&gt;=INT($N296),$N296-INT($N296),1)))*
IF(ET$44=2,0,
IF(INT(EB296)=INT(EA296),EB296-EA296,INT(EB296)-EA296))+
IF($N296&lt;=1,
IF($N296&gt;0,1/$N296,0),VDB(1,0,$N296,INT(ET$44-2),MIN($N296,INT(ET$44-2)+1),$DC296,IF($DD296="No",1,0))/
IF(EB296&gt;INT($N296),$N296-INT($N296),1))*
IF(ET$44=2,EB296,
IF(INT(EB296)=INT(EA296),0,EB296-INT(EB296)))))</f>
        <v>0</v>
      </c>
      <c r="EU296" s="835">
        <f>+IF(OR(EC296=EB296,EU$44=1),0,
IF(AND(EU$44&gt;1,EC296=$N296),1-SUM($EN296:ET296),
IF($N296&lt;=1,
IF($N296&gt;0,1/$N296,0),
IF(EU$44=2,0,VDB(1,0,$N296,INT(EU$44-2-1),MIN($N296,INT(EU$44-2-1)+1),$DC296,IF($DD296="No",1,0))/
IF(EB296&gt;=INT($N296),$N296-INT($N296),1)))*
IF(EU$44=2,0,
IF(INT(EC296)=INT(EB296),EC296-EB296,INT(EC296)-EB296))+
IF($N296&lt;=1,
IF($N296&gt;0,1/$N296,0),VDB(1,0,$N296,INT(EU$44-2),MIN($N296,INT(EU$44-2)+1),$DC296,IF($DD296="No",1,0))/
IF(EC296&gt;INT($N296),$N296-INT($N296),1))*
IF(EU$44=2,EC296,
IF(INT(EC296)=INT(EB296),0,EC296-INT(EC296)))))</f>
        <v>0</v>
      </c>
      <c r="EV296" s="836">
        <f>+IF(OR(ED296=EC296,EV$44=1),0,
IF(AND(EV$44&gt;1,ED296=$N296),1-SUM($EN296:EU296),
IF($N296&lt;=1,
IF($N296&gt;0,1/$N296,0),
IF(EV$44=2,0,VDB(1,0,$N296,INT(EV$44-2-1),MIN($N296,INT(EV$44-2-1)+1),$DC296,IF($DD296="No",1,0))/
IF(EC296&gt;=INT($N296),$N296-INT($N296),1)))*
IF(EV$44=2,0,
IF(INT(ED296)=INT(EC296),ED296-EC296,INT(ED296)-EC296))+
IF($N296&lt;=1,
IF($N296&gt;0,1/$N296,0),VDB(1,0,$N296,INT(EV$44-2),MIN($N296,INT(EV$44-2)+1),$DC296,IF($DD296="No",1,0))/
IF(ED296&gt;INT($N296),$N296-INT($N296),1))*
IF(EV$44=2,ED296,
IF(INT(ED296)=INT(EC296),0,ED296-INT(ED296)))))</f>
        <v>0</v>
      </c>
      <c r="EW296" s="833"/>
      <c r="EX296" s="834">
        <f t="shared" ca="1" si="513"/>
        <v>0</v>
      </c>
      <c r="EY296" s="835">
        <f t="shared" ca="1" si="513"/>
        <v>0</v>
      </c>
      <c r="EZ296" s="836">
        <f t="shared" ca="1" si="513"/>
        <v>0</v>
      </c>
      <c r="FA296" s="834">
        <f t="shared" ca="1" si="513"/>
        <v>0</v>
      </c>
      <c r="FB296" s="835">
        <f t="shared" ca="1" si="513"/>
        <v>0</v>
      </c>
      <c r="FC296" s="835">
        <f t="shared" ca="1" si="513"/>
        <v>0</v>
      </c>
      <c r="FD296" s="835">
        <f t="shared" ca="1" si="513"/>
        <v>0</v>
      </c>
      <c r="FE296" s="836">
        <f t="shared" ca="1" si="513"/>
        <v>0</v>
      </c>
      <c r="FG296" s="386">
        <f t="shared" ca="1" si="504"/>
        <v>0</v>
      </c>
      <c r="FH296" s="387">
        <f t="shared" ca="1" si="505"/>
        <v>0</v>
      </c>
      <c r="FI296" s="388">
        <f t="shared" ca="1" si="506"/>
        <v>0</v>
      </c>
      <c r="FJ296" s="386">
        <f t="shared" ca="1" si="507"/>
        <v>0</v>
      </c>
      <c r="FK296" s="387">
        <f t="shared" ca="1" si="508"/>
        <v>0</v>
      </c>
      <c r="FL296" s="387">
        <f t="shared" ca="1" si="509"/>
        <v>0</v>
      </c>
      <c r="FM296" s="387">
        <f t="shared" ca="1" si="510"/>
        <v>0</v>
      </c>
      <c r="FN296" s="388">
        <f t="shared" ca="1" si="511"/>
        <v>0</v>
      </c>
      <c r="FR296" s="116"/>
    </row>
    <row r="297" spans="2:174">
      <c r="B297" s="1410">
        <f t="shared" si="512"/>
        <v>251</v>
      </c>
      <c r="C297" s="400"/>
      <c r="D297" s="410"/>
      <c r="E297" s="402"/>
      <c r="F297" s="402"/>
      <c r="G297" s="400"/>
      <c r="H297" s="2088"/>
      <c r="I297" s="2089"/>
      <c r="J297" s="411"/>
      <c r="K297" s="403"/>
      <c r="L297" s="403"/>
      <c r="M297" s="403"/>
      <c r="N297" s="403"/>
      <c r="O297" s="347"/>
      <c r="P297" s="347"/>
      <c r="Q297" s="1021"/>
      <c r="R297" s="1022"/>
      <c r="S297" s="1022"/>
      <c r="T297" s="1022"/>
      <c r="U297" s="1023"/>
      <c r="V297" s="1021"/>
      <c r="W297" s="1022"/>
      <c r="X297" s="1022"/>
      <c r="Y297" s="1022"/>
      <c r="Z297" s="1023"/>
      <c r="AA297" s="1024"/>
      <c r="AB297" s="1021"/>
      <c r="AC297" s="1022"/>
      <c r="AD297" s="1022"/>
      <c r="AE297" s="1022"/>
      <c r="AF297" s="1023"/>
      <c r="AG297" s="1021"/>
      <c r="AH297" s="1022"/>
      <c r="AI297" s="1022"/>
      <c r="AJ297" s="1022"/>
      <c r="AK297" s="1023"/>
      <c r="AL297" s="1024"/>
      <c r="AM297" s="1021"/>
      <c r="AN297" s="1022"/>
      <c r="AO297" s="1022"/>
      <c r="AP297" s="1022"/>
      <c r="AQ297" s="1023"/>
      <c r="AR297" s="1021"/>
      <c r="AS297" s="1022"/>
      <c r="AT297" s="1022"/>
      <c r="AU297" s="1022"/>
      <c r="AV297" s="1023"/>
      <c r="AW297" s="1025"/>
      <c r="AX297" s="1282">
        <f t="shared" si="457"/>
        <v>0</v>
      </c>
      <c r="AY297" s="387">
        <f t="shared" si="458"/>
        <v>0</v>
      </c>
      <c r="AZ297" s="387">
        <f t="shared" si="459"/>
        <v>0</v>
      </c>
      <c r="BA297" s="387">
        <f t="shared" si="460"/>
        <v>0</v>
      </c>
      <c r="BB297" s="1283">
        <f t="shared" si="461"/>
        <v>0</v>
      </c>
      <c r="BC297" s="386">
        <f t="shared" si="462"/>
        <v>0</v>
      </c>
      <c r="BD297" s="387">
        <f t="shared" si="463"/>
        <v>0</v>
      </c>
      <c r="BE297" s="1277">
        <f t="shared" si="464"/>
        <v>0</v>
      </c>
      <c r="BF297" s="1277">
        <f t="shared" si="465"/>
        <v>0</v>
      </c>
      <c r="BG297" s="388">
        <f t="shared" si="466"/>
        <v>0</v>
      </c>
      <c r="BH297" s="1025"/>
      <c r="BI297" s="1282">
        <f t="shared" ca="1" si="467"/>
        <v>0</v>
      </c>
      <c r="BJ297" s="387">
        <f t="shared" ca="1" si="468"/>
        <v>0</v>
      </c>
      <c r="BK297" s="387">
        <f t="shared" ca="1" si="469"/>
        <v>0</v>
      </c>
      <c r="BL297" s="387">
        <f t="shared" ca="1" si="470"/>
        <v>0</v>
      </c>
      <c r="BM297" s="1283">
        <f t="shared" ca="1" si="471"/>
        <v>0</v>
      </c>
      <c r="BN297" s="386">
        <f t="shared" ca="1" si="472"/>
        <v>0</v>
      </c>
      <c r="BO297" s="387">
        <f t="shared" ca="1" si="473"/>
        <v>0</v>
      </c>
      <c r="BP297" s="1277">
        <f t="shared" ca="1" si="474"/>
        <v>0</v>
      </c>
      <c r="BQ297" s="1277">
        <f t="shared" ca="1" si="475"/>
        <v>0</v>
      </c>
      <c r="BR297" s="388">
        <f t="shared" ca="1" si="476"/>
        <v>0</v>
      </c>
      <c r="BS297" s="1025"/>
      <c r="BT297" s="1282">
        <f>+IF($K297="Ongoing",AX297,IF(RIGHT($K297,2)=RIGHT(BT$43,2),SUM($AX297:AX297),0)+IF(RIGHT(BT$43,2)&gt;RIGHT($K297,2),AX297,0))</f>
        <v>0</v>
      </c>
      <c r="BU297" s="387">
        <f>+IF($K297="Ongoing",AY297,IF(RIGHT($K297,2)=RIGHT(BU$43,2),SUM($AX297:AY297),0)+IF(RIGHT(BU$43,2)&gt;RIGHT($K297,2),AY297,0))</f>
        <v>0</v>
      </c>
      <c r="BV297" s="387">
        <f>+IF($K297="Ongoing",AZ297,IF(RIGHT($K297,2)=RIGHT(BV$43,2),SUM($AX297:AZ297),0)+IF(RIGHT(BV$43,2)&gt;RIGHT($K297,2),AZ297,0))</f>
        <v>0</v>
      </c>
      <c r="BW297" s="387">
        <f>+IF($K297="Ongoing",BA297,IF(RIGHT($K297,2)=RIGHT(BW$43,2),SUM($AX297:BA297),0)+IF(RIGHT(BW$43,2)&gt;RIGHT($K297,2),BA297,0))</f>
        <v>0</v>
      </c>
      <c r="BX297" s="1283">
        <f>+IF($K297="Ongoing",BB297,IF(RIGHT($K297,2)=RIGHT(BX$43,2),SUM($AX297:BB297),0)+IF(RIGHT(BX$43,2)&gt;RIGHT($K297,2),BB297,0))</f>
        <v>0</v>
      </c>
      <c r="BY297" s="386">
        <f>+IF($K297="Ongoing",BC297,IF(RIGHT($K297,2)=RIGHT(BY$43,2),SUM($AX297:BC297),0)+IF(RIGHT(BY$43,2)&gt;RIGHT($K297,2),BC297,0))</f>
        <v>0</v>
      </c>
      <c r="BZ297" s="387">
        <f>+IF($K297="Ongoing",BD297,IF(RIGHT($K297,2)=RIGHT(BZ$43,2),SUM($AX297:BD297),0)+IF(RIGHT(BZ$43,2)&gt;RIGHT($K297,2),BD297,0))</f>
        <v>0</v>
      </c>
      <c r="CA297" s="1277">
        <f>+IF($K297="Ongoing",BE297,IF(RIGHT($K297,2)=RIGHT(CA$43,2),SUM($AX297:BE297),0)+IF(RIGHT(CA$43,2)&gt;RIGHT($K297,2),BE297,0))</f>
        <v>0</v>
      </c>
      <c r="CB297" s="1277">
        <f>+IF($K297="Ongoing",BF297,IF(RIGHT($K297,2)=RIGHT(CB$43,2),SUM($AX297:BF297),0)+IF(RIGHT(CB$43,2)&gt;RIGHT($K297,2),BF297,0))</f>
        <v>0</v>
      </c>
      <c r="CC297" s="388">
        <f>+IF($K297="Ongoing",BG297,IF(RIGHT($K297,2)=RIGHT(CC$43,2),SUM($AX297:BG297),0)+IF(RIGHT(CC$43,2)&gt;RIGHT($K297,2),BG297,0))</f>
        <v>0</v>
      </c>
      <c r="CD297" s="1025"/>
      <c r="CE297" s="1282">
        <f>+Q297*KeyAssumptionsPriceControl_FO!AF$15</f>
        <v>0</v>
      </c>
      <c r="CF297" s="387">
        <f>+R297*KeyAssumptionsPriceControl_FO!AG$15</f>
        <v>0</v>
      </c>
      <c r="CG297" s="387">
        <f>+S297*KeyAssumptionsPriceControl_FO!AH$15</f>
        <v>0</v>
      </c>
      <c r="CH297" s="387">
        <f>+T297*KeyAssumptionsPriceControl_FO!AI$15</f>
        <v>0</v>
      </c>
      <c r="CI297" s="1283">
        <f>+U297*KeyAssumptionsPriceControl_FO!AJ$15</f>
        <v>0</v>
      </c>
      <c r="CJ297" s="386">
        <f>+V297*KeyAssumptionsPriceControl_FO!AK$15</f>
        <v>0</v>
      </c>
      <c r="CK297" s="387">
        <f>+W297*KeyAssumptionsPriceControl_FO!AL$15</f>
        <v>0</v>
      </c>
      <c r="CL297" s="1277">
        <f>+X297*KeyAssumptionsPriceControl_FO!AM$15</f>
        <v>0</v>
      </c>
      <c r="CM297" s="1277">
        <f>+Y297*KeyAssumptionsPriceControl_FO!AN$15</f>
        <v>0</v>
      </c>
      <c r="CN297" s="388">
        <f>+Z297*KeyAssumptionsPriceControl_FO!AO$15</f>
        <v>0</v>
      </c>
      <c r="CO297" s="1025"/>
      <c r="CP297" s="1282">
        <f t="shared" ca="1" si="477"/>
        <v>0</v>
      </c>
      <c r="CQ297" s="387">
        <f t="shared" ca="1" si="478"/>
        <v>0</v>
      </c>
      <c r="CR297" s="387">
        <f t="shared" ca="1" si="479"/>
        <v>0</v>
      </c>
      <c r="CS297" s="387">
        <f t="shared" ca="1" si="480"/>
        <v>0</v>
      </c>
      <c r="CT297" s="1283">
        <f t="shared" ca="1" si="481"/>
        <v>0</v>
      </c>
      <c r="CU297" s="386">
        <f t="shared" ca="1" si="482"/>
        <v>0</v>
      </c>
      <c r="CV297" s="387">
        <f t="shared" ca="1" si="483"/>
        <v>0</v>
      </c>
      <c r="CW297" s="1277">
        <f t="shared" ca="1" si="484"/>
        <v>0</v>
      </c>
      <c r="CX297" s="1277">
        <f t="shared" ca="1" si="485"/>
        <v>0</v>
      </c>
      <c r="CY297" s="388">
        <f t="shared" ca="1" si="486"/>
        <v>0</v>
      </c>
      <c r="CZ297" s="347"/>
      <c r="DA297" s="852"/>
      <c r="DB297" s="347"/>
      <c r="DC297" s="1012" t="s">
        <v>605</v>
      </c>
      <c r="DD297" s="841" t="s">
        <v>518</v>
      </c>
      <c r="DE297" s="386">
        <f>+IF($K297="ongoing",CE297,IF(RIGHT($K297,2)=RIGHT(DE$43,2),SUM($CD297:CE297),0)+IF(RIGHT(DE$43,2)&gt;RIGHT($K297,2),CE297,0))</f>
        <v>0</v>
      </c>
      <c r="DF297" s="387">
        <f>+IF($K297="ongoing",CF297,IF(RIGHT($K297,2)=RIGHT(DF$43,2),SUM($CD297:CF297),0)+IF(RIGHT(DF$43,2)&gt;RIGHT($K297,2),CF297,0))</f>
        <v>0</v>
      </c>
      <c r="DG297" s="388">
        <f>+IF($K297="ongoing",CG297,IF(RIGHT($K297,2)=RIGHT(DG$43,2),SUM($CD297:CG297),0)+IF(RIGHT(DG$43,2)&gt;RIGHT($K297,2),CG297,0))</f>
        <v>0</v>
      </c>
      <c r="DH297" s="386">
        <f>+IF($K297="ongoing",CH297,IF(RIGHT($K297,2)=RIGHT(DH$43,2),SUM($CD297:CH297),0)+IF(RIGHT(DH$43,2)&gt;RIGHT($K297,2),CH297,0))</f>
        <v>0</v>
      </c>
      <c r="DI297" s="387">
        <f>+IF($K297="ongoing",CI297,IF(RIGHT($K297,2)=RIGHT(DI$43,2),SUM($CD297:CI297),0)+IF(RIGHT(DI$43,2)&gt;RIGHT($K297,2),CI297,0))</f>
        <v>0</v>
      </c>
      <c r="DJ297" s="387">
        <f>+IF($K297="ongoing",CJ297,IF(RIGHT($K297,2)=RIGHT(DJ$43,2),SUM($CD297:CJ297),0)+IF(RIGHT(DJ$43,2)&gt;RIGHT($K297,2),CJ297,0))</f>
        <v>0</v>
      </c>
      <c r="DK297" s="387">
        <f>+IF($K297="ongoing",CK297,IF(RIGHT($K297,2)=RIGHT(DK$43,2),SUM($CD297:CK297),0)+IF(RIGHT(DK$43,2)&gt;RIGHT($K297,2),CK297,0))</f>
        <v>0</v>
      </c>
      <c r="DL297" s="388">
        <f>+IF($K297="ongoing",CN297,IF(RIGHT($K297,2)=RIGHT(DL$43,2),SUM($CD297:CN297),0)+IF(RIGHT(DL$43,2)&gt;RIGHT($K297,2),CN297,0))</f>
        <v>0</v>
      </c>
      <c r="DM297" s="841"/>
      <c r="DN297" s="386">
        <f t="shared" si="487"/>
        <v>0.5</v>
      </c>
      <c r="DO297" s="387">
        <f t="shared" si="488"/>
        <v>1</v>
      </c>
      <c r="DP297" s="388">
        <f t="shared" si="489"/>
        <v>1</v>
      </c>
      <c r="DQ297" s="386">
        <f t="shared" si="490"/>
        <v>1</v>
      </c>
      <c r="DR297" s="387">
        <f t="shared" si="491"/>
        <v>1</v>
      </c>
      <c r="DS297" s="387">
        <f t="shared" si="492"/>
        <v>1</v>
      </c>
      <c r="DT297" s="387">
        <f t="shared" si="493"/>
        <v>1</v>
      </c>
      <c r="DU297" s="388">
        <f t="shared" si="494"/>
        <v>1</v>
      </c>
      <c r="DW297" s="386">
        <f t="shared" si="495"/>
        <v>0</v>
      </c>
      <c r="DX297" s="387">
        <f t="shared" si="496"/>
        <v>0.5</v>
      </c>
      <c r="DY297" s="388">
        <f t="shared" si="497"/>
        <v>1</v>
      </c>
      <c r="DZ297" s="386">
        <f t="shared" si="498"/>
        <v>1</v>
      </c>
      <c r="EA297" s="387">
        <f t="shared" si="499"/>
        <v>1</v>
      </c>
      <c r="EB297" s="387">
        <f t="shared" si="500"/>
        <v>1</v>
      </c>
      <c r="EC297" s="387">
        <f t="shared" si="501"/>
        <v>1</v>
      </c>
      <c r="ED297" s="388">
        <f t="shared" si="502"/>
        <v>1</v>
      </c>
      <c r="EF297" s="834">
        <f>+IF(DN297=DM297,0,
IF(AND(EF$44&gt;1,DN297=$N297),1-SUM($EE297:EE297),
IF($N297&lt;=1,
IF($N297&gt;0,1/$N297,0),
IF(EF$44=1,0,VDB(1,0,$N297,INT(EF$44-1-1),MIN($N297,INT(EF$44-1-1)+1),$DC297,IF($DD297="No",1,0))/
IF(DM297&gt;=INT($N297),$N297-INT($N297),1)))*
IF(EF$44=1,0,
IF(INT(DN297)=INT(DM297),DN297-DM297,INT(DN297)-DM297))+
IF($N297&lt;=1,
IF($N297&gt;0,1/$N297,0),VDB(1,0,$N297,INT(EF$44-1),MIN($N297,INT(EF$44-1)+1),$DC297,IF($DD297="No",1,0))/
IF(DN297&gt;INT($N297),$N297-INT($N297),1))*
IF(EF$44=1,DN297,
IF(INT(DN297)=INT(DM297),0,DN297-INT(DN297)))))</f>
        <v>0</v>
      </c>
      <c r="EG297" s="835">
        <f>+IF(DO297=DN297,0,
IF(AND(EG$44&gt;1,DO297=$N297),1-SUM($EE297:EF297),
IF($N297&lt;=1,
IF($N297&gt;0,1/$N297,0),
IF(EG$44=1,0,VDB(1,0,$N297,INT(EG$44-1-1),MIN($N297,INT(EG$44-1-1)+1),$DC297,IF($DD297="No",1,0))/
IF(DN297&gt;=INT($N297),$N297-INT($N297),1)))*
IF(EG$44=1,0,
IF(INT(DO297)=INT(DN297),DO297-DN297,INT(DO297)-DN297))+
IF($N297&lt;=1,
IF($N297&gt;0,1/$N297,0),VDB(1,0,$N297,INT(EG$44-1),MIN($N297,INT(EG$44-1)+1),$DC297,IF($DD297="No",1,0))/
IF(DO297&gt;INT($N297),$N297-INT($N297),1))*
IF(EG$44=1,DO297,
IF(INT(DO297)=INT(DN297),0,DO297-INT(DO297)))))</f>
        <v>0</v>
      </c>
      <c r="EH297" s="836">
        <f>+IF(DP297=DO297,0,
IF(AND(EH$44&gt;1,DP297=$N297),1-SUM($EE297:EG297),
IF($N297&lt;=1,
IF($N297&gt;0,1/$N297,0),
IF(EH$44=1,0,VDB(1,0,$N297,INT(EH$44-1-1),MIN($N297,INT(EH$44-1-1)+1),$DC297,IF($DD297="No",1,0))/
IF(DO297&gt;=INT($N297),$N297-INT($N297),1)))*
IF(EH$44=1,0,
IF(INT(DP297)=INT(DO297),DP297-DO297,INT(DP297)-DO297))+
IF($N297&lt;=1,
IF($N297&gt;0,1/$N297,0),VDB(1,0,$N297,INT(EH$44-1),MIN($N297,INT(EH$44-1)+1),$DC297,IF($DD297="No",1,0))/
IF(DP297&gt;INT($N297),$N297-INT($N297),1))*
IF(EH$44=1,DP297,
IF(INT(DP297)=INT(DO297),0,DP297-INT(DP297)))))</f>
        <v>0</v>
      </c>
      <c r="EI297" s="834">
        <f>+IF(DQ297=DP297,0,
IF(AND(EI$44&gt;1,DQ297=$N297),1-SUM($EE297:EH297),
IF($N297&lt;=1,
IF($N297&gt;0,1/$N297,0),
IF(EI$44=1,0,VDB(1,0,$N297,INT(EI$44-1-1),MIN($N297,INT(EI$44-1-1)+1),$DC297,IF($DD297="No",1,0))/
IF(DP297&gt;=INT($N297),$N297-INT($N297),1)))*
IF(EI$44=1,0,
IF(INT(DQ297)=INT(DP297),DQ297-DP297,INT(DQ297)-DP297))+
IF($N297&lt;=1,
IF($N297&gt;0,1/$N297,0),VDB(1,0,$N297,INT(EI$44-1),MIN($N297,INT(EI$44-1)+1),$DC297,IF($DD297="No",1,0))/
IF(DQ297&gt;INT($N297),$N297-INT($N297),1))*
IF(EI$44=1,DQ297,
IF(INT(DQ297)=INT(DP297),0,DQ297-INT(DQ297)))))</f>
        <v>0</v>
      </c>
      <c r="EJ297" s="835">
        <f>+IF(DR297=DQ297,0,
IF(AND(EJ$44&gt;1,DR297=$N297),1-SUM($EE297:EI297),
IF($N297&lt;=1,
IF($N297&gt;0,1/$N297,0),
IF(EJ$44=1,0,VDB(1,0,$N297,INT(EJ$44-1-1),MIN($N297,INT(EJ$44-1-1)+1),$DC297,IF($DD297="No",1,0))/
IF(DQ297&gt;=INT($N297),$N297-INT($N297),1)))*
IF(EJ$44=1,0,
IF(INT(DR297)=INT(DQ297),DR297-DQ297,INT(DR297)-DQ297))+
IF($N297&lt;=1,
IF($N297&gt;0,1/$N297,0),VDB(1,0,$N297,INT(EJ$44-1),MIN($N297,INT(EJ$44-1)+1),$DC297,IF($DD297="No",1,0))/
IF(DR297&gt;INT($N297),$N297-INT($N297),1))*
IF(EJ$44=1,DR297,
IF(INT(DR297)=INT(DQ297),0,DR297-INT(DR297)))))</f>
        <v>0</v>
      </c>
      <c r="EK297" s="835">
        <f>+IF(DS297=DR297,0,
IF(AND(EK$44&gt;1,DS297=$N297),1-SUM($EE297:EJ297),
IF($N297&lt;=1,
IF($N297&gt;0,1/$N297,0),
IF(EK$44=1,0,VDB(1,0,$N297,INT(EK$44-1-1),MIN($N297,INT(EK$44-1-1)+1),$DC297,IF($DD297="No",1,0))/
IF(DR297&gt;=INT($N297),$N297-INT($N297),1)))*
IF(EK$44=1,0,
IF(INT(DS297)=INT(DR297),DS297-DR297,INT(DS297)-DR297))+
IF($N297&lt;=1,
IF($N297&gt;0,1/$N297,0),VDB(1,0,$N297,INT(EK$44-1),MIN($N297,INT(EK$44-1)+1),$DC297,IF($DD297="No",1,0))/
IF(DS297&gt;INT($N297),$N297-INT($N297),1))*
IF(EK$44=1,DS297,
IF(INT(DS297)=INT(DR297),0,DS297-INT(DS297)))))</f>
        <v>0</v>
      </c>
      <c r="EL297" s="835">
        <f>+IF(DT297=DS297,0,
IF(AND(EL$44&gt;1,DT297=$N297),1-SUM($EE297:EK297),
IF($N297&lt;=1,
IF($N297&gt;0,1/$N297,0),
IF(EL$44=1,0,VDB(1,0,$N297,INT(EL$44-1-1),MIN($N297,INT(EL$44-1-1)+1),$DC297,IF($DD297="No",1,0))/
IF(DS297&gt;=INT($N297),$N297-INT($N297),1)))*
IF(EL$44=1,0,
IF(INT(DT297)=INT(DS297),DT297-DS297,INT(DT297)-DS297))+
IF($N297&lt;=1,
IF($N297&gt;0,1/$N297,0),VDB(1,0,$N297,INT(EL$44-1),MIN($N297,INT(EL$44-1)+1),$DC297,IF($DD297="No",1,0))/
IF(DT297&gt;INT($N297),$N297-INT($N297),1))*
IF(EL$44=1,DT297,
IF(INT(DT297)=INT(DS297),0,DT297-INT(DT297)))))</f>
        <v>0</v>
      </c>
      <c r="EM297" s="836">
        <f>+IF(DU297=DT297,0,
IF(AND(EM$44&gt;1,DU297=$N297),1-SUM($EE297:EL297),
IF($N297&lt;=1,
IF($N297&gt;0,1/$N297,0),
IF(EM$44=1,0,VDB(1,0,$N297,INT(EM$44-1-1),MIN($N297,INT(EM$44-1-1)+1),$DC297,IF($DD297="No",1,0))/
IF(DT297&gt;=INT($N297),$N297-INT($N297),1)))*
IF(EM$44=1,0,
IF(INT(DU297)=INT(DT297),DU297-DT297,INT(DU297)-DT297))+
IF($N297&lt;=1,
IF($N297&gt;0,1/$N297,0),VDB(1,0,$N297,INT(EM$44-1),MIN($N297,INT(EM$44-1)+1),$DC297,IF($DD297="No",1,0))/
IF(DU297&gt;INT($N297),$N297-INT($N297),1))*
IF(EM$44=1,DU297,
IF(INT(DU297)=INT(DT297),0,DU297-INT(DU297)))))</f>
        <v>0</v>
      </c>
      <c r="EN297" s="833"/>
      <c r="EO297" s="834">
        <f>+IF(OR(DW297=DV297,EO$44=1),0,
IF(AND(EO$44&gt;1,DW297=$N297),1-SUM($EN297:EN297),
IF($N297&lt;=1,
IF($N297&gt;0,1/$N297,0),
IF(EO$44=2,0,VDB(1,0,$N297,INT(EO$44-2-1),MIN($N297,INT(EO$44-2-1)+1),$DC297,IF($DD297="No",1,0))/
IF(DV297&gt;=INT($N297),$N297-INT($N297),1)))*
IF(EO$44=2,0,
IF(INT(DW297)=INT(DV297),DW297-DV297,INT(DW297)-DV297))+
IF($N297&lt;=1,
IF($N297&gt;0,1/$N297,0),VDB(1,0,$N297,INT(EO$44-2),MIN($N297,INT(EO$44-2)+1),$DC297,IF($DD297="No",1,0))/
IF(DW297&gt;INT($N297),$N297-INT($N297),1))*
IF(EO$44=2,DW297,
IF(INT(DW297)=INT(DV297),0,DW297-INT(DW297)))))</f>
        <v>0</v>
      </c>
      <c r="EP297" s="835">
        <f>+IF(OR(DX297=DW297,EP$44=1),0,
IF(AND(EP$44&gt;1,DX297=$N297),1-SUM($EN297:EO297),
IF($N297&lt;=1,
IF($N297&gt;0,1/$N297,0),
IF(EP$44=2,0,VDB(1,0,$N297,INT(EP$44-2-1),MIN($N297,INT(EP$44-2-1)+1),$DC297,IF($DD297="No",1,0))/
IF(DW297&gt;=INT($N297),$N297-INT($N297),1)))*
IF(EP$44=2,0,
IF(INT(DX297)=INT(DW297),DX297-DW297,INT(DX297)-DW297))+
IF($N297&lt;=1,
IF($N297&gt;0,1/$N297,0),VDB(1,0,$N297,INT(EP$44-2),MIN($N297,INT(EP$44-2)+1),$DC297,IF($DD297="No",1,0))/
IF(DX297&gt;INT($N297),$N297-INT($N297),1))*
IF(EP$44=2,DX297,
IF(INT(DX297)=INT(DW297),0,DX297-INT(DX297)))))</f>
        <v>0</v>
      </c>
      <c r="EQ297" s="836">
        <f>+IF(OR(DY297=DX297,EQ$44=1),0,
IF(AND(EQ$44&gt;1,DY297=$N297),1-SUM($EN297:EP297),
IF($N297&lt;=1,
IF($N297&gt;0,1/$N297,0),
IF(EQ$44=2,0,VDB(1,0,$N297,INT(EQ$44-2-1),MIN($N297,INT(EQ$44-2-1)+1),$DC297,IF($DD297="No",1,0))/
IF(DX297&gt;=INT($N297),$N297-INT($N297),1)))*
IF(EQ$44=2,0,
IF(INT(DY297)=INT(DX297),DY297-DX297,INT(DY297)-DX297))+
IF($N297&lt;=1,
IF($N297&gt;0,1/$N297,0),VDB(1,0,$N297,INT(EQ$44-2),MIN($N297,INT(EQ$44-2)+1),$DC297,IF($DD297="No",1,0))/
IF(DY297&gt;INT($N297),$N297-INT($N297),1))*
IF(EQ$44=2,DY297,
IF(INT(DY297)=INT(DX297),0,DY297-INT(DY297)))))</f>
        <v>0</v>
      </c>
      <c r="ER297" s="834">
        <f>+IF(OR(DZ297=DY297,ER$44=1),0,
IF(AND(ER$44&gt;1,DZ297=$N297),1-SUM($EN297:EQ297),
IF($N297&lt;=1,
IF($N297&gt;0,1/$N297,0),
IF(ER$44=2,0,VDB(1,0,$N297,INT(ER$44-2-1),MIN($N297,INT(ER$44-2-1)+1),$DC297,IF($DD297="No",1,0))/
IF(DY297&gt;=INT($N297),$N297-INT($N297),1)))*
IF(ER$44=2,0,
IF(INT(DZ297)=INT(DY297),DZ297-DY297,INT(DZ297)-DY297))+
IF($N297&lt;=1,
IF($N297&gt;0,1/$N297,0),VDB(1,0,$N297,INT(ER$44-2),MIN($N297,INT(ER$44-2)+1),$DC297,IF($DD297="No",1,0))/
IF(DZ297&gt;INT($N297),$N297-INT($N297),1))*
IF(ER$44=2,DZ297,
IF(INT(DZ297)=INT(DY297),0,DZ297-INT(DZ297)))))</f>
        <v>0</v>
      </c>
      <c r="ES297" s="835">
        <f>+IF(OR(EA297=DZ297,ES$44=1),0,
IF(AND(ES$44&gt;1,EA297=$N297),1-SUM($EN297:ER297),
IF($N297&lt;=1,
IF($N297&gt;0,1/$N297,0),
IF(ES$44=2,0,VDB(1,0,$N297,INT(ES$44-2-1),MIN($N297,INT(ES$44-2-1)+1),$DC297,IF($DD297="No",1,0))/
IF(DZ297&gt;=INT($N297),$N297-INT($N297),1)))*
IF(ES$44=2,0,
IF(INT(EA297)=INT(DZ297),EA297-DZ297,INT(EA297)-DZ297))+
IF($N297&lt;=1,
IF($N297&gt;0,1/$N297,0),VDB(1,0,$N297,INT(ES$44-2),MIN($N297,INT(ES$44-2)+1),$DC297,IF($DD297="No",1,0))/
IF(EA297&gt;INT($N297),$N297-INT($N297),1))*
IF(ES$44=2,EA297,
IF(INT(EA297)=INT(DZ297),0,EA297-INT(EA297)))))</f>
        <v>0</v>
      </c>
      <c r="ET297" s="835">
        <f>+IF(OR(EB297=EA297,ET$44=1),0,
IF(AND(ET$44&gt;1,EB297=$N297),1-SUM($EN297:ES297),
IF($N297&lt;=1,
IF($N297&gt;0,1/$N297,0),
IF(ET$44=2,0,VDB(1,0,$N297,INT(ET$44-2-1),MIN($N297,INT(ET$44-2-1)+1),$DC297,IF($DD297="No",1,0))/
IF(EA297&gt;=INT($N297),$N297-INT($N297),1)))*
IF(ET$44=2,0,
IF(INT(EB297)=INT(EA297),EB297-EA297,INT(EB297)-EA297))+
IF($N297&lt;=1,
IF($N297&gt;0,1/$N297,0),VDB(1,0,$N297,INT(ET$44-2),MIN($N297,INT(ET$44-2)+1),$DC297,IF($DD297="No",1,0))/
IF(EB297&gt;INT($N297),$N297-INT($N297),1))*
IF(ET$44=2,EB297,
IF(INT(EB297)=INT(EA297),0,EB297-INT(EB297)))))</f>
        <v>0</v>
      </c>
      <c r="EU297" s="835">
        <f>+IF(OR(EC297=EB297,EU$44=1),0,
IF(AND(EU$44&gt;1,EC297=$N297),1-SUM($EN297:ET297),
IF($N297&lt;=1,
IF($N297&gt;0,1/$N297,0),
IF(EU$44=2,0,VDB(1,0,$N297,INT(EU$44-2-1),MIN($N297,INT(EU$44-2-1)+1),$DC297,IF($DD297="No",1,0))/
IF(EB297&gt;=INT($N297),$N297-INT($N297),1)))*
IF(EU$44=2,0,
IF(INT(EC297)=INT(EB297),EC297-EB297,INT(EC297)-EB297))+
IF($N297&lt;=1,
IF($N297&gt;0,1/$N297,0),VDB(1,0,$N297,INT(EU$44-2),MIN($N297,INT(EU$44-2)+1),$DC297,IF($DD297="No",1,0))/
IF(EC297&gt;INT($N297),$N297-INT($N297),1))*
IF(EU$44=2,EC297,
IF(INT(EC297)=INT(EB297),0,EC297-INT(EC297)))))</f>
        <v>0</v>
      </c>
      <c r="EV297" s="836">
        <f>+IF(OR(ED297=EC297,EV$44=1),0,
IF(AND(EV$44&gt;1,ED297=$N297),1-SUM($EN297:EU297),
IF($N297&lt;=1,
IF($N297&gt;0,1/$N297,0),
IF(EV$44=2,0,VDB(1,0,$N297,INT(EV$44-2-1),MIN($N297,INT(EV$44-2-1)+1),$DC297,IF($DD297="No",1,0))/
IF(EC297&gt;=INT($N297),$N297-INT($N297),1)))*
IF(EV$44=2,0,
IF(INT(ED297)=INT(EC297),ED297-EC297,INT(ED297)-EC297))+
IF($N297&lt;=1,
IF($N297&gt;0,1/$N297,0),VDB(1,0,$N297,INT(EV$44-2),MIN($N297,INT(EV$44-2)+1),$DC297,IF($DD297="No",1,0))/
IF(ED297&gt;INT($N297),$N297-INT($N297),1))*
IF(EV$44=2,ED297,
IF(INT(ED297)=INT(EC297),0,ED297-INT(ED297)))))</f>
        <v>0</v>
      </c>
      <c r="EW297" s="833"/>
      <c r="EX297" s="834">
        <f t="shared" ca="1" si="513"/>
        <v>0</v>
      </c>
      <c r="EY297" s="835">
        <f t="shared" ca="1" si="513"/>
        <v>0</v>
      </c>
      <c r="EZ297" s="836">
        <f t="shared" ca="1" si="513"/>
        <v>0</v>
      </c>
      <c r="FA297" s="834">
        <f t="shared" ca="1" si="513"/>
        <v>0</v>
      </c>
      <c r="FB297" s="835">
        <f t="shared" ca="1" si="513"/>
        <v>0</v>
      </c>
      <c r="FC297" s="835">
        <f t="shared" ca="1" si="513"/>
        <v>0</v>
      </c>
      <c r="FD297" s="835">
        <f t="shared" ca="1" si="513"/>
        <v>0</v>
      </c>
      <c r="FE297" s="836">
        <f t="shared" ca="1" si="513"/>
        <v>0</v>
      </c>
      <c r="FG297" s="386">
        <f t="shared" ca="1" si="504"/>
        <v>0</v>
      </c>
      <c r="FH297" s="387">
        <f t="shared" ca="1" si="505"/>
        <v>0</v>
      </c>
      <c r="FI297" s="388">
        <f t="shared" ca="1" si="506"/>
        <v>0</v>
      </c>
      <c r="FJ297" s="386">
        <f t="shared" ca="1" si="507"/>
        <v>0</v>
      </c>
      <c r="FK297" s="387">
        <f t="shared" ca="1" si="508"/>
        <v>0</v>
      </c>
      <c r="FL297" s="387">
        <f t="shared" ca="1" si="509"/>
        <v>0</v>
      </c>
      <c r="FM297" s="387">
        <f t="shared" ca="1" si="510"/>
        <v>0</v>
      </c>
      <c r="FN297" s="388">
        <f t="shared" ca="1" si="511"/>
        <v>0</v>
      </c>
      <c r="FR297" s="116"/>
    </row>
    <row r="298" spans="2:174">
      <c r="B298" s="1410">
        <f t="shared" si="512"/>
        <v>252</v>
      </c>
      <c r="C298" s="400"/>
      <c r="D298" s="410"/>
      <c r="E298" s="402"/>
      <c r="F298" s="402"/>
      <c r="G298" s="400"/>
      <c r="H298" s="2088"/>
      <c r="I298" s="2089"/>
      <c r="J298" s="411"/>
      <c r="K298" s="403"/>
      <c r="L298" s="403"/>
      <c r="M298" s="403"/>
      <c r="N298" s="403"/>
      <c r="O298" s="347"/>
      <c r="P298" s="347"/>
      <c r="Q298" s="1021"/>
      <c r="R298" s="1022"/>
      <c r="S298" s="1022"/>
      <c r="T298" s="1022"/>
      <c r="U298" s="1023"/>
      <c r="V298" s="1021"/>
      <c r="W298" s="1022"/>
      <c r="X298" s="1022"/>
      <c r="Y298" s="1022"/>
      <c r="Z298" s="1023"/>
      <c r="AA298" s="1024"/>
      <c r="AB298" s="1021"/>
      <c r="AC298" s="1022"/>
      <c r="AD298" s="1022"/>
      <c r="AE298" s="1022"/>
      <c r="AF298" s="1023"/>
      <c r="AG298" s="1021"/>
      <c r="AH298" s="1022"/>
      <c r="AI298" s="1022"/>
      <c r="AJ298" s="1022"/>
      <c r="AK298" s="1023"/>
      <c r="AL298" s="1024"/>
      <c r="AM298" s="1021"/>
      <c r="AN298" s="1022"/>
      <c r="AO298" s="1022"/>
      <c r="AP298" s="1022"/>
      <c r="AQ298" s="1023"/>
      <c r="AR298" s="1021"/>
      <c r="AS298" s="1022"/>
      <c r="AT298" s="1022"/>
      <c r="AU298" s="1022"/>
      <c r="AV298" s="1023"/>
      <c r="AW298" s="1025"/>
      <c r="AX298" s="1282">
        <f t="shared" si="457"/>
        <v>0</v>
      </c>
      <c r="AY298" s="387">
        <f t="shared" si="458"/>
        <v>0</v>
      </c>
      <c r="AZ298" s="387">
        <f t="shared" si="459"/>
        <v>0</v>
      </c>
      <c r="BA298" s="387">
        <f t="shared" si="460"/>
        <v>0</v>
      </c>
      <c r="BB298" s="1283">
        <f t="shared" si="461"/>
        <v>0</v>
      </c>
      <c r="BC298" s="386">
        <f t="shared" si="462"/>
        <v>0</v>
      </c>
      <c r="BD298" s="387">
        <f t="shared" si="463"/>
        <v>0</v>
      </c>
      <c r="BE298" s="1277">
        <f t="shared" si="464"/>
        <v>0</v>
      </c>
      <c r="BF298" s="1277">
        <f t="shared" si="465"/>
        <v>0</v>
      </c>
      <c r="BG298" s="388">
        <f t="shared" si="466"/>
        <v>0</v>
      </c>
      <c r="BH298" s="1025"/>
      <c r="BI298" s="1282">
        <f t="shared" ca="1" si="467"/>
        <v>0</v>
      </c>
      <c r="BJ298" s="387">
        <f t="shared" ca="1" si="468"/>
        <v>0</v>
      </c>
      <c r="BK298" s="387">
        <f t="shared" ca="1" si="469"/>
        <v>0</v>
      </c>
      <c r="BL298" s="387">
        <f t="shared" ca="1" si="470"/>
        <v>0</v>
      </c>
      <c r="BM298" s="1283">
        <f t="shared" ca="1" si="471"/>
        <v>0</v>
      </c>
      <c r="BN298" s="386">
        <f t="shared" ca="1" si="472"/>
        <v>0</v>
      </c>
      <c r="BO298" s="387">
        <f t="shared" ca="1" si="473"/>
        <v>0</v>
      </c>
      <c r="BP298" s="1277">
        <f t="shared" ca="1" si="474"/>
        <v>0</v>
      </c>
      <c r="BQ298" s="1277">
        <f t="shared" ca="1" si="475"/>
        <v>0</v>
      </c>
      <c r="BR298" s="388">
        <f t="shared" ca="1" si="476"/>
        <v>0</v>
      </c>
      <c r="BS298" s="1025"/>
      <c r="BT298" s="1282">
        <f>+IF($K298="Ongoing",AX298,IF(RIGHT($K298,2)=RIGHT(BT$43,2),SUM($AX298:AX298),0)+IF(RIGHT(BT$43,2)&gt;RIGHT($K298,2),AX298,0))</f>
        <v>0</v>
      </c>
      <c r="BU298" s="387">
        <f>+IF($K298="Ongoing",AY298,IF(RIGHT($K298,2)=RIGHT(BU$43,2),SUM($AX298:AY298),0)+IF(RIGHT(BU$43,2)&gt;RIGHT($K298,2),AY298,0))</f>
        <v>0</v>
      </c>
      <c r="BV298" s="387">
        <f>+IF($K298="Ongoing",AZ298,IF(RIGHT($K298,2)=RIGHT(BV$43,2),SUM($AX298:AZ298),0)+IF(RIGHT(BV$43,2)&gt;RIGHT($K298,2),AZ298,0))</f>
        <v>0</v>
      </c>
      <c r="BW298" s="387">
        <f>+IF($K298="Ongoing",BA298,IF(RIGHT($K298,2)=RIGHT(BW$43,2),SUM($AX298:BA298),0)+IF(RIGHT(BW$43,2)&gt;RIGHT($K298,2),BA298,0))</f>
        <v>0</v>
      </c>
      <c r="BX298" s="1283">
        <f>+IF($K298="Ongoing",BB298,IF(RIGHT($K298,2)=RIGHT(BX$43,2),SUM($AX298:BB298),0)+IF(RIGHT(BX$43,2)&gt;RIGHT($K298,2),BB298,0))</f>
        <v>0</v>
      </c>
      <c r="BY298" s="386">
        <f>+IF($K298="Ongoing",BC298,IF(RIGHT($K298,2)=RIGHT(BY$43,2),SUM($AX298:BC298),0)+IF(RIGHT(BY$43,2)&gt;RIGHT($K298,2),BC298,0))</f>
        <v>0</v>
      </c>
      <c r="BZ298" s="387">
        <f>+IF($K298="Ongoing",BD298,IF(RIGHT($K298,2)=RIGHT(BZ$43,2),SUM($AX298:BD298),0)+IF(RIGHT(BZ$43,2)&gt;RIGHT($K298,2),BD298,0))</f>
        <v>0</v>
      </c>
      <c r="CA298" s="1277">
        <f>+IF($K298="Ongoing",BE298,IF(RIGHT($K298,2)=RIGHT(CA$43,2),SUM($AX298:BE298),0)+IF(RIGHT(CA$43,2)&gt;RIGHT($K298,2),BE298,0))</f>
        <v>0</v>
      </c>
      <c r="CB298" s="1277">
        <f>+IF($K298="Ongoing",BF298,IF(RIGHT($K298,2)=RIGHT(CB$43,2),SUM($AX298:BF298),0)+IF(RIGHT(CB$43,2)&gt;RIGHT($K298,2),BF298,0))</f>
        <v>0</v>
      </c>
      <c r="CC298" s="388">
        <f>+IF($K298="Ongoing",BG298,IF(RIGHT($K298,2)=RIGHT(CC$43,2),SUM($AX298:BG298),0)+IF(RIGHT(CC$43,2)&gt;RIGHT($K298,2),BG298,0))</f>
        <v>0</v>
      </c>
      <c r="CD298" s="1025"/>
      <c r="CE298" s="1282">
        <f>+Q298*KeyAssumptionsPriceControl_FO!AF$15</f>
        <v>0</v>
      </c>
      <c r="CF298" s="387">
        <f>+R298*KeyAssumptionsPriceControl_FO!AG$15</f>
        <v>0</v>
      </c>
      <c r="CG298" s="387">
        <f>+S298*KeyAssumptionsPriceControl_FO!AH$15</f>
        <v>0</v>
      </c>
      <c r="CH298" s="387">
        <f>+T298*KeyAssumptionsPriceControl_FO!AI$15</f>
        <v>0</v>
      </c>
      <c r="CI298" s="1283">
        <f>+U298*KeyAssumptionsPriceControl_FO!AJ$15</f>
        <v>0</v>
      </c>
      <c r="CJ298" s="386">
        <f>+V298*KeyAssumptionsPriceControl_FO!AK$15</f>
        <v>0</v>
      </c>
      <c r="CK298" s="387">
        <f>+W298*KeyAssumptionsPriceControl_FO!AL$15</f>
        <v>0</v>
      </c>
      <c r="CL298" s="1277">
        <f>+X298*KeyAssumptionsPriceControl_FO!AM$15</f>
        <v>0</v>
      </c>
      <c r="CM298" s="1277">
        <f>+Y298*KeyAssumptionsPriceControl_FO!AN$15</f>
        <v>0</v>
      </c>
      <c r="CN298" s="388">
        <f>+Z298*KeyAssumptionsPriceControl_FO!AO$15</f>
        <v>0</v>
      </c>
      <c r="CO298" s="1025"/>
      <c r="CP298" s="1282">
        <f t="shared" ca="1" si="477"/>
        <v>0</v>
      </c>
      <c r="CQ298" s="387">
        <f t="shared" ca="1" si="478"/>
        <v>0</v>
      </c>
      <c r="CR298" s="387">
        <f t="shared" ca="1" si="479"/>
        <v>0</v>
      </c>
      <c r="CS298" s="387">
        <f t="shared" ca="1" si="480"/>
        <v>0</v>
      </c>
      <c r="CT298" s="1283">
        <f t="shared" ca="1" si="481"/>
        <v>0</v>
      </c>
      <c r="CU298" s="386">
        <f t="shared" ca="1" si="482"/>
        <v>0</v>
      </c>
      <c r="CV298" s="387">
        <f t="shared" ca="1" si="483"/>
        <v>0</v>
      </c>
      <c r="CW298" s="1277">
        <f t="shared" ca="1" si="484"/>
        <v>0</v>
      </c>
      <c r="CX298" s="1277">
        <f t="shared" ca="1" si="485"/>
        <v>0</v>
      </c>
      <c r="CY298" s="388">
        <f t="shared" ca="1" si="486"/>
        <v>0</v>
      </c>
      <c r="CZ298" s="347"/>
      <c r="DA298" s="852"/>
      <c r="DB298" s="347"/>
      <c r="DC298" s="1012" t="s">
        <v>606</v>
      </c>
      <c r="DD298" s="841" t="s">
        <v>518</v>
      </c>
      <c r="DE298" s="386">
        <f>+IF($K298="ongoing",CE298,IF(RIGHT($K298,2)=RIGHT(DE$43,2),SUM($CD298:CE298),0)+IF(RIGHT(DE$43,2)&gt;RIGHT($K298,2),CE298,0))</f>
        <v>0</v>
      </c>
      <c r="DF298" s="387">
        <f>+IF($K298="ongoing",CF298,IF(RIGHT($K298,2)=RIGHT(DF$43,2),SUM($CD298:CF298),0)+IF(RIGHT(DF$43,2)&gt;RIGHT($K298,2),CF298,0))</f>
        <v>0</v>
      </c>
      <c r="DG298" s="388">
        <f>+IF($K298="ongoing",CG298,IF(RIGHT($K298,2)=RIGHT(DG$43,2),SUM($CD298:CG298),0)+IF(RIGHT(DG$43,2)&gt;RIGHT($K298,2),CG298,0))</f>
        <v>0</v>
      </c>
      <c r="DH298" s="386">
        <f>+IF($K298="ongoing",CH298,IF(RIGHT($K298,2)=RIGHT(DH$43,2),SUM($CD298:CH298),0)+IF(RIGHT(DH$43,2)&gt;RIGHT($K298,2),CH298,0))</f>
        <v>0</v>
      </c>
      <c r="DI298" s="387">
        <f>+IF($K298="ongoing",CI298,IF(RIGHT($K298,2)=RIGHT(DI$43,2),SUM($CD298:CI298),0)+IF(RIGHT(DI$43,2)&gt;RIGHT($K298,2),CI298,0))</f>
        <v>0</v>
      </c>
      <c r="DJ298" s="387">
        <f>+IF($K298="ongoing",CJ298,IF(RIGHT($K298,2)=RIGHT(DJ$43,2),SUM($CD298:CJ298),0)+IF(RIGHT(DJ$43,2)&gt;RIGHT($K298,2),CJ298,0))</f>
        <v>0</v>
      </c>
      <c r="DK298" s="387">
        <f>+IF($K298="ongoing",CK298,IF(RIGHT($K298,2)=RIGHT(DK$43,2),SUM($CD298:CK298),0)+IF(RIGHT(DK$43,2)&gt;RIGHT($K298,2),CK298,0))</f>
        <v>0</v>
      </c>
      <c r="DL298" s="388">
        <f>+IF($K298="ongoing",CN298,IF(RIGHT($K298,2)=RIGHT(DL$43,2),SUM($CD298:CN298),0)+IF(RIGHT(DL$43,2)&gt;RIGHT($K298,2),CN298,0))</f>
        <v>0</v>
      </c>
      <c r="DM298" s="841"/>
      <c r="DN298" s="386">
        <f t="shared" si="487"/>
        <v>0.5</v>
      </c>
      <c r="DO298" s="387">
        <f t="shared" si="488"/>
        <v>1</v>
      </c>
      <c r="DP298" s="388">
        <f t="shared" si="489"/>
        <v>1</v>
      </c>
      <c r="DQ298" s="386">
        <f t="shared" si="490"/>
        <v>1</v>
      </c>
      <c r="DR298" s="387">
        <f t="shared" si="491"/>
        <v>1</v>
      </c>
      <c r="DS298" s="387">
        <f t="shared" si="492"/>
        <v>1</v>
      </c>
      <c r="DT298" s="387">
        <f t="shared" si="493"/>
        <v>1</v>
      </c>
      <c r="DU298" s="388">
        <f t="shared" si="494"/>
        <v>1</v>
      </c>
      <c r="DW298" s="386">
        <f t="shared" si="495"/>
        <v>0</v>
      </c>
      <c r="DX298" s="387">
        <f t="shared" si="496"/>
        <v>0.5</v>
      </c>
      <c r="DY298" s="388">
        <f t="shared" si="497"/>
        <v>1</v>
      </c>
      <c r="DZ298" s="386">
        <f t="shared" si="498"/>
        <v>1</v>
      </c>
      <c r="EA298" s="387">
        <f t="shared" si="499"/>
        <v>1</v>
      </c>
      <c r="EB298" s="387">
        <f t="shared" si="500"/>
        <v>1</v>
      </c>
      <c r="EC298" s="387">
        <f t="shared" si="501"/>
        <v>1</v>
      </c>
      <c r="ED298" s="388">
        <f t="shared" si="502"/>
        <v>1</v>
      </c>
      <c r="EF298" s="834">
        <f>+IF(DN298=DM298,0,
IF(AND(EF$44&gt;1,DN298=$N298),1-SUM($EE298:EE298),
IF($N298&lt;=1,
IF($N298&gt;0,1/$N298,0),
IF(EF$44=1,0,VDB(1,0,$N298,INT(EF$44-1-1),MIN($N298,INT(EF$44-1-1)+1),$DC298,IF($DD298="No",1,0))/
IF(DM298&gt;=INT($N298),$N298-INT($N298),1)))*
IF(EF$44=1,0,
IF(INT(DN298)=INT(DM298),DN298-DM298,INT(DN298)-DM298))+
IF($N298&lt;=1,
IF($N298&gt;0,1/$N298,0),VDB(1,0,$N298,INT(EF$44-1),MIN($N298,INT(EF$44-1)+1),$DC298,IF($DD298="No",1,0))/
IF(DN298&gt;INT($N298),$N298-INT($N298),1))*
IF(EF$44=1,DN298,
IF(INT(DN298)=INT(DM298),0,DN298-INT(DN298)))))</f>
        <v>0</v>
      </c>
      <c r="EG298" s="835">
        <f>+IF(DO298=DN298,0,
IF(AND(EG$44&gt;1,DO298=$N298),1-SUM($EE298:EF298),
IF($N298&lt;=1,
IF($N298&gt;0,1/$N298,0),
IF(EG$44=1,0,VDB(1,0,$N298,INT(EG$44-1-1),MIN($N298,INT(EG$44-1-1)+1),$DC298,IF($DD298="No",1,0))/
IF(DN298&gt;=INT($N298),$N298-INT($N298),1)))*
IF(EG$44=1,0,
IF(INT(DO298)=INT(DN298),DO298-DN298,INT(DO298)-DN298))+
IF($N298&lt;=1,
IF($N298&gt;0,1/$N298,0),VDB(1,0,$N298,INT(EG$44-1),MIN($N298,INT(EG$44-1)+1),$DC298,IF($DD298="No",1,0))/
IF(DO298&gt;INT($N298),$N298-INT($N298),1))*
IF(EG$44=1,DO298,
IF(INT(DO298)=INT(DN298),0,DO298-INT(DO298)))))</f>
        <v>0</v>
      </c>
      <c r="EH298" s="836">
        <f>+IF(DP298=DO298,0,
IF(AND(EH$44&gt;1,DP298=$N298),1-SUM($EE298:EG298),
IF($N298&lt;=1,
IF($N298&gt;0,1/$N298,0),
IF(EH$44=1,0,VDB(1,0,$N298,INT(EH$44-1-1),MIN($N298,INT(EH$44-1-1)+1),$DC298,IF($DD298="No",1,0))/
IF(DO298&gt;=INT($N298),$N298-INT($N298),1)))*
IF(EH$44=1,0,
IF(INT(DP298)=INT(DO298),DP298-DO298,INT(DP298)-DO298))+
IF($N298&lt;=1,
IF($N298&gt;0,1/$N298,0),VDB(1,0,$N298,INT(EH$44-1),MIN($N298,INT(EH$44-1)+1),$DC298,IF($DD298="No",1,0))/
IF(DP298&gt;INT($N298),$N298-INT($N298),1))*
IF(EH$44=1,DP298,
IF(INT(DP298)=INT(DO298),0,DP298-INT(DP298)))))</f>
        <v>0</v>
      </c>
      <c r="EI298" s="834">
        <f>+IF(DQ298=DP298,0,
IF(AND(EI$44&gt;1,DQ298=$N298),1-SUM($EE298:EH298),
IF($N298&lt;=1,
IF($N298&gt;0,1/$N298,0),
IF(EI$44=1,0,VDB(1,0,$N298,INT(EI$44-1-1),MIN($N298,INT(EI$44-1-1)+1),$DC298,IF($DD298="No",1,0))/
IF(DP298&gt;=INT($N298),$N298-INT($N298),1)))*
IF(EI$44=1,0,
IF(INT(DQ298)=INT(DP298),DQ298-DP298,INT(DQ298)-DP298))+
IF($N298&lt;=1,
IF($N298&gt;0,1/$N298,0),VDB(1,0,$N298,INT(EI$44-1),MIN($N298,INT(EI$44-1)+1),$DC298,IF($DD298="No",1,0))/
IF(DQ298&gt;INT($N298),$N298-INT($N298),1))*
IF(EI$44=1,DQ298,
IF(INT(DQ298)=INT(DP298),0,DQ298-INT(DQ298)))))</f>
        <v>0</v>
      </c>
      <c r="EJ298" s="835">
        <f>+IF(DR298=DQ298,0,
IF(AND(EJ$44&gt;1,DR298=$N298),1-SUM($EE298:EI298),
IF($N298&lt;=1,
IF($N298&gt;0,1/$N298,0),
IF(EJ$44=1,0,VDB(1,0,$N298,INT(EJ$44-1-1),MIN($N298,INT(EJ$44-1-1)+1),$DC298,IF($DD298="No",1,0))/
IF(DQ298&gt;=INT($N298),$N298-INT($N298),1)))*
IF(EJ$44=1,0,
IF(INT(DR298)=INT(DQ298),DR298-DQ298,INT(DR298)-DQ298))+
IF($N298&lt;=1,
IF($N298&gt;0,1/$N298,0),VDB(1,0,$N298,INT(EJ$44-1),MIN($N298,INT(EJ$44-1)+1),$DC298,IF($DD298="No",1,0))/
IF(DR298&gt;INT($N298),$N298-INT($N298),1))*
IF(EJ$44=1,DR298,
IF(INT(DR298)=INT(DQ298),0,DR298-INT(DR298)))))</f>
        <v>0</v>
      </c>
      <c r="EK298" s="835">
        <f>+IF(DS298=DR298,0,
IF(AND(EK$44&gt;1,DS298=$N298),1-SUM($EE298:EJ298),
IF($N298&lt;=1,
IF($N298&gt;0,1/$N298,0),
IF(EK$44=1,0,VDB(1,0,$N298,INT(EK$44-1-1),MIN($N298,INT(EK$44-1-1)+1),$DC298,IF($DD298="No",1,0))/
IF(DR298&gt;=INT($N298),$N298-INT($N298),1)))*
IF(EK$44=1,0,
IF(INT(DS298)=INT(DR298),DS298-DR298,INT(DS298)-DR298))+
IF($N298&lt;=1,
IF($N298&gt;0,1/$N298,0),VDB(1,0,$N298,INT(EK$44-1),MIN($N298,INT(EK$44-1)+1),$DC298,IF($DD298="No",1,0))/
IF(DS298&gt;INT($N298),$N298-INT($N298),1))*
IF(EK$44=1,DS298,
IF(INT(DS298)=INT(DR298),0,DS298-INT(DS298)))))</f>
        <v>0</v>
      </c>
      <c r="EL298" s="835">
        <f>+IF(DT298=DS298,0,
IF(AND(EL$44&gt;1,DT298=$N298),1-SUM($EE298:EK298),
IF($N298&lt;=1,
IF($N298&gt;0,1/$N298,0),
IF(EL$44=1,0,VDB(1,0,$N298,INT(EL$44-1-1),MIN($N298,INT(EL$44-1-1)+1),$DC298,IF($DD298="No",1,0))/
IF(DS298&gt;=INT($N298),$N298-INT($N298),1)))*
IF(EL$44=1,0,
IF(INT(DT298)=INT(DS298),DT298-DS298,INT(DT298)-DS298))+
IF($N298&lt;=1,
IF($N298&gt;0,1/$N298,0),VDB(1,0,$N298,INT(EL$44-1),MIN($N298,INT(EL$44-1)+1),$DC298,IF($DD298="No",1,0))/
IF(DT298&gt;INT($N298),$N298-INT($N298),1))*
IF(EL$44=1,DT298,
IF(INT(DT298)=INT(DS298),0,DT298-INT(DT298)))))</f>
        <v>0</v>
      </c>
      <c r="EM298" s="836">
        <f>+IF(DU298=DT298,0,
IF(AND(EM$44&gt;1,DU298=$N298),1-SUM($EE298:EL298),
IF($N298&lt;=1,
IF($N298&gt;0,1/$N298,0),
IF(EM$44=1,0,VDB(1,0,$N298,INT(EM$44-1-1),MIN($N298,INT(EM$44-1-1)+1),$DC298,IF($DD298="No",1,0))/
IF(DT298&gt;=INT($N298),$N298-INT($N298),1)))*
IF(EM$44=1,0,
IF(INT(DU298)=INT(DT298),DU298-DT298,INT(DU298)-DT298))+
IF($N298&lt;=1,
IF($N298&gt;0,1/$N298,0),VDB(1,0,$N298,INT(EM$44-1),MIN($N298,INT(EM$44-1)+1),$DC298,IF($DD298="No",1,0))/
IF(DU298&gt;INT($N298),$N298-INT($N298),1))*
IF(EM$44=1,DU298,
IF(INT(DU298)=INT(DT298),0,DU298-INT(DU298)))))</f>
        <v>0</v>
      </c>
      <c r="EN298" s="833"/>
      <c r="EO298" s="834">
        <f>+IF(OR(DW298=DV298,EO$44=1),0,
IF(AND(EO$44&gt;1,DW298=$N298),1-SUM($EN298:EN298),
IF($N298&lt;=1,
IF($N298&gt;0,1/$N298,0),
IF(EO$44=2,0,VDB(1,0,$N298,INT(EO$44-2-1),MIN($N298,INT(EO$44-2-1)+1),$DC298,IF($DD298="No",1,0))/
IF(DV298&gt;=INT($N298),$N298-INT($N298),1)))*
IF(EO$44=2,0,
IF(INT(DW298)=INT(DV298),DW298-DV298,INT(DW298)-DV298))+
IF($N298&lt;=1,
IF($N298&gt;0,1/$N298,0),VDB(1,0,$N298,INT(EO$44-2),MIN($N298,INT(EO$44-2)+1),$DC298,IF($DD298="No",1,0))/
IF(DW298&gt;INT($N298),$N298-INT($N298),1))*
IF(EO$44=2,DW298,
IF(INT(DW298)=INT(DV298),0,DW298-INT(DW298)))))</f>
        <v>0</v>
      </c>
      <c r="EP298" s="835">
        <f>+IF(OR(DX298=DW298,EP$44=1),0,
IF(AND(EP$44&gt;1,DX298=$N298),1-SUM($EN298:EO298),
IF($N298&lt;=1,
IF($N298&gt;0,1/$N298,0),
IF(EP$44=2,0,VDB(1,0,$N298,INT(EP$44-2-1),MIN($N298,INT(EP$44-2-1)+1),$DC298,IF($DD298="No",1,0))/
IF(DW298&gt;=INT($N298),$N298-INT($N298),1)))*
IF(EP$44=2,0,
IF(INT(DX298)=INT(DW298),DX298-DW298,INT(DX298)-DW298))+
IF($N298&lt;=1,
IF($N298&gt;0,1/$N298,0),VDB(1,0,$N298,INT(EP$44-2),MIN($N298,INT(EP$44-2)+1),$DC298,IF($DD298="No",1,0))/
IF(DX298&gt;INT($N298),$N298-INT($N298),1))*
IF(EP$44=2,DX298,
IF(INT(DX298)=INT(DW298),0,DX298-INT(DX298)))))</f>
        <v>0</v>
      </c>
      <c r="EQ298" s="836">
        <f>+IF(OR(DY298=DX298,EQ$44=1),0,
IF(AND(EQ$44&gt;1,DY298=$N298),1-SUM($EN298:EP298),
IF($N298&lt;=1,
IF($N298&gt;0,1/$N298,0),
IF(EQ$44=2,0,VDB(1,0,$N298,INT(EQ$44-2-1),MIN($N298,INT(EQ$44-2-1)+1),$DC298,IF($DD298="No",1,0))/
IF(DX298&gt;=INT($N298),$N298-INT($N298),1)))*
IF(EQ$44=2,0,
IF(INT(DY298)=INT(DX298),DY298-DX298,INT(DY298)-DX298))+
IF($N298&lt;=1,
IF($N298&gt;0,1/$N298,0),VDB(1,0,$N298,INT(EQ$44-2),MIN($N298,INT(EQ$44-2)+1),$DC298,IF($DD298="No",1,0))/
IF(DY298&gt;INT($N298),$N298-INT($N298),1))*
IF(EQ$44=2,DY298,
IF(INT(DY298)=INT(DX298),0,DY298-INT(DY298)))))</f>
        <v>0</v>
      </c>
      <c r="ER298" s="834">
        <f>+IF(OR(DZ298=DY298,ER$44=1),0,
IF(AND(ER$44&gt;1,DZ298=$N298),1-SUM($EN298:EQ298),
IF($N298&lt;=1,
IF($N298&gt;0,1/$N298,0),
IF(ER$44=2,0,VDB(1,0,$N298,INT(ER$44-2-1),MIN($N298,INT(ER$44-2-1)+1),$DC298,IF($DD298="No",1,0))/
IF(DY298&gt;=INT($N298),$N298-INT($N298),1)))*
IF(ER$44=2,0,
IF(INT(DZ298)=INT(DY298),DZ298-DY298,INT(DZ298)-DY298))+
IF($N298&lt;=1,
IF($N298&gt;0,1/$N298,0),VDB(1,0,$N298,INT(ER$44-2),MIN($N298,INT(ER$44-2)+1),$DC298,IF($DD298="No",1,0))/
IF(DZ298&gt;INT($N298),$N298-INT($N298),1))*
IF(ER$44=2,DZ298,
IF(INT(DZ298)=INT(DY298),0,DZ298-INT(DZ298)))))</f>
        <v>0</v>
      </c>
      <c r="ES298" s="835">
        <f>+IF(OR(EA298=DZ298,ES$44=1),0,
IF(AND(ES$44&gt;1,EA298=$N298),1-SUM($EN298:ER298),
IF($N298&lt;=1,
IF($N298&gt;0,1/$N298,0),
IF(ES$44=2,0,VDB(1,0,$N298,INT(ES$44-2-1),MIN($N298,INT(ES$44-2-1)+1),$DC298,IF($DD298="No",1,0))/
IF(DZ298&gt;=INT($N298),$N298-INT($N298),1)))*
IF(ES$44=2,0,
IF(INT(EA298)=INT(DZ298),EA298-DZ298,INT(EA298)-DZ298))+
IF($N298&lt;=1,
IF($N298&gt;0,1/$N298,0),VDB(1,0,$N298,INT(ES$44-2),MIN($N298,INT(ES$44-2)+1),$DC298,IF($DD298="No",1,0))/
IF(EA298&gt;INT($N298),$N298-INT($N298),1))*
IF(ES$44=2,EA298,
IF(INT(EA298)=INT(DZ298),0,EA298-INT(EA298)))))</f>
        <v>0</v>
      </c>
      <c r="ET298" s="835">
        <f>+IF(OR(EB298=EA298,ET$44=1),0,
IF(AND(ET$44&gt;1,EB298=$N298),1-SUM($EN298:ES298),
IF($N298&lt;=1,
IF($N298&gt;0,1/$N298,0),
IF(ET$44=2,0,VDB(1,0,$N298,INT(ET$44-2-1),MIN($N298,INT(ET$44-2-1)+1),$DC298,IF($DD298="No",1,0))/
IF(EA298&gt;=INT($N298),$N298-INT($N298),1)))*
IF(ET$44=2,0,
IF(INT(EB298)=INT(EA298),EB298-EA298,INT(EB298)-EA298))+
IF($N298&lt;=1,
IF($N298&gt;0,1/$N298,0),VDB(1,0,$N298,INT(ET$44-2),MIN($N298,INT(ET$44-2)+1),$DC298,IF($DD298="No",1,0))/
IF(EB298&gt;INT($N298),$N298-INT($N298),1))*
IF(ET$44=2,EB298,
IF(INT(EB298)=INT(EA298),0,EB298-INT(EB298)))))</f>
        <v>0</v>
      </c>
      <c r="EU298" s="835">
        <f>+IF(OR(EC298=EB298,EU$44=1),0,
IF(AND(EU$44&gt;1,EC298=$N298),1-SUM($EN298:ET298),
IF($N298&lt;=1,
IF($N298&gt;0,1/$N298,0),
IF(EU$44=2,0,VDB(1,0,$N298,INT(EU$44-2-1),MIN($N298,INT(EU$44-2-1)+1),$DC298,IF($DD298="No",1,0))/
IF(EB298&gt;=INT($N298),$N298-INT($N298),1)))*
IF(EU$44=2,0,
IF(INT(EC298)=INT(EB298),EC298-EB298,INT(EC298)-EB298))+
IF($N298&lt;=1,
IF($N298&gt;0,1/$N298,0),VDB(1,0,$N298,INT(EU$44-2),MIN($N298,INT(EU$44-2)+1),$DC298,IF($DD298="No",1,0))/
IF(EC298&gt;INT($N298),$N298-INT($N298),1))*
IF(EU$44=2,EC298,
IF(INT(EC298)=INT(EB298),0,EC298-INT(EC298)))))</f>
        <v>0</v>
      </c>
      <c r="EV298" s="836">
        <f>+IF(OR(ED298=EC298,EV$44=1),0,
IF(AND(EV$44&gt;1,ED298=$N298),1-SUM($EN298:EU298),
IF($N298&lt;=1,
IF($N298&gt;0,1/$N298,0),
IF(EV$44=2,0,VDB(1,0,$N298,INT(EV$44-2-1),MIN($N298,INT(EV$44-2-1)+1),$DC298,IF($DD298="No",1,0))/
IF(EC298&gt;=INT($N298),$N298-INT($N298),1)))*
IF(EV$44=2,0,
IF(INT(ED298)=INT(EC298),ED298-EC298,INT(ED298)-EC298))+
IF($N298&lt;=1,
IF($N298&gt;0,1/$N298,0),VDB(1,0,$N298,INT(EV$44-2),MIN($N298,INT(EV$44-2)+1),$DC298,IF($DD298="No",1,0))/
IF(ED298&gt;INT($N298),$N298-INT($N298),1))*
IF(EV$44=2,ED298,
IF(INT(ED298)=INT(EC298),0,ED298-INT(ED298)))))</f>
        <v>0</v>
      </c>
      <c r="EW298" s="833"/>
      <c r="EX298" s="834">
        <f t="shared" ca="1" si="513"/>
        <v>0</v>
      </c>
      <c r="EY298" s="835">
        <f t="shared" ca="1" si="513"/>
        <v>0</v>
      </c>
      <c r="EZ298" s="836">
        <f t="shared" ca="1" si="513"/>
        <v>0</v>
      </c>
      <c r="FA298" s="834">
        <f t="shared" ca="1" si="513"/>
        <v>0</v>
      </c>
      <c r="FB298" s="835">
        <f t="shared" ca="1" si="513"/>
        <v>0</v>
      </c>
      <c r="FC298" s="835">
        <f t="shared" ca="1" si="513"/>
        <v>0</v>
      </c>
      <c r="FD298" s="835">
        <f t="shared" ca="1" si="513"/>
        <v>0</v>
      </c>
      <c r="FE298" s="836">
        <f t="shared" ca="1" si="513"/>
        <v>0</v>
      </c>
      <c r="FG298" s="386">
        <f t="shared" ca="1" si="504"/>
        <v>0</v>
      </c>
      <c r="FH298" s="387">
        <f t="shared" ca="1" si="505"/>
        <v>0</v>
      </c>
      <c r="FI298" s="388">
        <f t="shared" ca="1" si="506"/>
        <v>0</v>
      </c>
      <c r="FJ298" s="386">
        <f t="shared" ca="1" si="507"/>
        <v>0</v>
      </c>
      <c r="FK298" s="387">
        <f t="shared" ca="1" si="508"/>
        <v>0</v>
      </c>
      <c r="FL298" s="387">
        <f t="shared" ca="1" si="509"/>
        <v>0</v>
      </c>
      <c r="FM298" s="387">
        <f t="shared" ca="1" si="510"/>
        <v>0</v>
      </c>
      <c r="FN298" s="388">
        <f t="shared" ca="1" si="511"/>
        <v>0</v>
      </c>
      <c r="FR298" s="116"/>
    </row>
    <row r="299" spans="2:174">
      <c r="B299" s="1410">
        <f t="shared" si="512"/>
        <v>253</v>
      </c>
      <c r="C299" s="400"/>
      <c r="D299" s="410"/>
      <c r="E299" s="402"/>
      <c r="F299" s="402"/>
      <c r="G299" s="400"/>
      <c r="H299" s="2088"/>
      <c r="I299" s="2089"/>
      <c r="J299" s="411"/>
      <c r="K299" s="403"/>
      <c r="L299" s="403"/>
      <c r="M299" s="403"/>
      <c r="N299" s="403"/>
      <c r="O299" s="347"/>
      <c r="P299" s="347"/>
      <c r="Q299" s="1021"/>
      <c r="R299" s="1022"/>
      <c r="S299" s="1022"/>
      <c r="T299" s="1022"/>
      <c r="U299" s="1023"/>
      <c r="V299" s="1021"/>
      <c r="W299" s="1022"/>
      <c r="X299" s="1022"/>
      <c r="Y299" s="1022"/>
      <c r="Z299" s="1023"/>
      <c r="AA299" s="1024"/>
      <c r="AB299" s="1021"/>
      <c r="AC299" s="1022"/>
      <c r="AD299" s="1022"/>
      <c r="AE299" s="1022"/>
      <c r="AF299" s="1023"/>
      <c r="AG299" s="1021"/>
      <c r="AH299" s="1022"/>
      <c r="AI299" s="1022"/>
      <c r="AJ299" s="1022"/>
      <c r="AK299" s="1023"/>
      <c r="AL299" s="1024"/>
      <c r="AM299" s="1021"/>
      <c r="AN299" s="1022"/>
      <c r="AO299" s="1022"/>
      <c r="AP299" s="1022"/>
      <c r="AQ299" s="1023"/>
      <c r="AR299" s="1021"/>
      <c r="AS299" s="1022"/>
      <c r="AT299" s="1022"/>
      <c r="AU299" s="1022"/>
      <c r="AV299" s="1023"/>
      <c r="AW299" s="1025"/>
      <c r="AX299" s="1282">
        <f t="shared" si="457"/>
        <v>0</v>
      </c>
      <c r="AY299" s="387">
        <f t="shared" si="458"/>
        <v>0</v>
      </c>
      <c r="AZ299" s="387">
        <f t="shared" si="459"/>
        <v>0</v>
      </c>
      <c r="BA299" s="387">
        <f t="shared" si="460"/>
        <v>0</v>
      </c>
      <c r="BB299" s="1283">
        <f t="shared" si="461"/>
        <v>0</v>
      </c>
      <c r="BC299" s="386">
        <f t="shared" si="462"/>
        <v>0</v>
      </c>
      <c r="BD299" s="387">
        <f t="shared" si="463"/>
        <v>0</v>
      </c>
      <c r="BE299" s="1277">
        <f t="shared" si="464"/>
        <v>0</v>
      </c>
      <c r="BF299" s="1277">
        <f t="shared" si="465"/>
        <v>0</v>
      </c>
      <c r="BG299" s="388">
        <f t="shared" si="466"/>
        <v>0</v>
      </c>
      <c r="BH299" s="1025"/>
      <c r="BI299" s="1282">
        <f t="shared" ca="1" si="467"/>
        <v>0</v>
      </c>
      <c r="BJ299" s="387">
        <f t="shared" ca="1" si="468"/>
        <v>0</v>
      </c>
      <c r="BK299" s="387">
        <f t="shared" ca="1" si="469"/>
        <v>0</v>
      </c>
      <c r="BL299" s="387">
        <f t="shared" ca="1" si="470"/>
        <v>0</v>
      </c>
      <c r="BM299" s="1283">
        <f t="shared" ca="1" si="471"/>
        <v>0</v>
      </c>
      <c r="BN299" s="386">
        <f t="shared" ca="1" si="472"/>
        <v>0</v>
      </c>
      <c r="BO299" s="387">
        <f t="shared" ca="1" si="473"/>
        <v>0</v>
      </c>
      <c r="BP299" s="1277">
        <f t="shared" ca="1" si="474"/>
        <v>0</v>
      </c>
      <c r="BQ299" s="1277">
        <f t="shared" ca="1" si="475"/>
        <v>0</v>
      </c>
      <c r="BR299" s="388">
        <f t="shared" ca="1" si="476"/>
        <v>0</v>
      </c>
      <c r="BS299" s="1025"/>
      <c r="BT299" s="1282">
        <f>+IF($K299="Ongoing",AX299,IF(RIGHT($K299,2)=RIGHT(BT$43,2),SUM($AX299:AX299),0)+IF(RIGHT(BT$43,2)&gt;RIGHT($K299,2),AX299,0))</f>
        <v>0</v>
      </c>
      <c r="BU299" s="387">
        <f>+IF($K299="Ongoing",AY299,IF(RIGHT($K299,2)=RIGHT(BU$43,2),SUM($AX299:AY299),0)+IF(RIGHT(BU$43,2)&gt;RIGHT($K299,2),AY299,0))</f>
        <v>0</v>
      </c>
      <c r="BV299" s="387">
        <f>+IF($K299="Ongoing",AZ299,IF(RIGHT($K299,2)=RIGHT(BV$43,2),SUM($AX299:AZ299),0)+IF(RIGHT(BV$43,2)&gt;RIGHT($K299,2),AZ299,0))</f>
        <v>0</v>
      </c>
      <c r="BW299" s="387">
        <f>+IF($K299="Ongoing",BA299,IF(RIGHT($K299,2)=RIGHT(BW$43,2),SUM($AX299:BA299),0)+IF(RIGHT(BW$43,2)&gt;RIGHT($K299,2),BA299,0))</f>
        <v>0</v>
      </c>
      <c r="BX299" s="1283">
        <f>+IF($K299="Ongoing",BB299,IF(RIGHT($K299,2)=RIGHT(BX$43,2),SUM($AX299:BB299),0)+IF(RIGHT(BX$43,2)&gt;RIGHT($K299,2),BB299,0))</f>
        <v>0</v>
      </c>
      <c r="BY299" s="386">
        <f>+IF($K299="Ongoing",BC299,IF(RIGHT($K299,2)=RIGHT(BY$43,2),SUM($AX299:BC299),0)+IF(RIGHT(BY$43,2)&gt;RIGHT($K299,2),BC299,0))</f>
        <v>0</v>
      </c>
      <c r="BZ299" s="387">
        <f>+IF($K299="Ongoing",BD299,IF(RIGHT($K299,2)=RIGHT(BZ$43,2),SUM($AX299:BD299),0)+IF(RIGHT(BZ$43,2)&gt;RIGHT($K299,2),BD299,0))</f>
        <v>0</v>
      </c>
      <c r="CA299" s="1277">
        <f>+IF($K299="Ongoing",BE299,IF(RIGHT($K299,2)=RIGHT(CA$43,2),SUM($AX299:BE299),0)+IF(RIGHT(CA$43,2)&gt;RIGHT($K299,2),BE299,0))</f>
        <v>0</v>
      </c>
      <c r="CB299" s="1277">
        <f>+IF($K299="Ongoing",BF299,IF(RIGHT($K299,2)=RIGHT(CB$43,2),SUM($AX299:BF299),0)+IF(RIGHT(CB$43,2)&gt;RIGHT($K299,2),BF299,0))</f>
        <v>0</v>
      </c>
      <c r="CC299" s="388">
        <f>+IF($K299="Ongoing",BG299,IF(RIGHT($K299,2)=RIGHT(CC$43,2),SUM($AX299:BG299),0)+IF(RIGHT(CC$43,2)&gt;RIGHT($K299,2),BG299,0))</f>
        <v>0</v>
      </c>
      <c r="CD299" s="1025"/>
      <c r="CE299" s="1282">
        <f>+Q299*KeyAssumptionsPriceControl_FO!AF$15</f>
        <v>0</v>
      </c>
      <c r="CF299" s="387">
        <f>+R299*KeyAssumptionsPriceControl_FO!AG$15</f>
        <v>0</v>
      </c>
      <c r="CG299" s="387">
        <f>+S299*KeyAssumptionsPriceControl_FO!AH$15</f>
        <v>0</v>
      </c>
      <c r="CH299" s="387">
        <f>+T299*KeyAssumptionsPriceControl_FO!AI$15</f>
        <v>0</v>
      </c>
      <c r="CI299" s="1283">
        <f>+U299*KeyAssumptionsPriceControl_FO!AJ$15</f>
        <v>0</v>
      </c>
      <c r="CJ299" s="386">
        <f>+V299*KeyAssumptionsPriceControl_FO!AK$15</f>
        <v>0</v>
      </c>
      <c r="CK299" s="387">
        <f>+W299*KeyAssumptionsPriceControl_FO!AL$15</f>
        <v>0</v>
      </c>
      <c r="CL299" s="1277">
        <f>+X299*KeyAssumptionsPriceControl_FO!AM$15</f>
        <v>0</v>
      </c>
      <c r="CM299" s="1277">
        <f>+Y299*KeyAssumptionsPriceControl_FO!AN$15</f>
        <v>0</v>
      </c>
      <c r="CN299" s="388">
        <f>+Z299*KeyAssumptionsPriceControl_FO!AO$15</f>
        <v>0</v>
      </c>
      <c r="CO299" s="1025"/>
      <c r="CP299" s="1282">
        <f t="shared" ca="1" si="477"/>
        <v>0</v>
      </c>
      <c r="CQ299" s="387">
        <f t="shared" ca="1" si="478"/>
        <v>0</v>
      </c>
      <c r="CR299" s="387">
        <f t="shared" ca="1" si="479"/>
        <v>0</v>
      </c>
      <c r="CS299" s="387">
        <f t="shared" ca="1" si="480"/>
        <v>0</v>
      </c>
      <c r="CT299" s="1283">
        <f t="shared" ca="1" si="481"/>
        <v>0</v>
      </c>
      <c r="CU299" s="386">
        <f t="shared" ca="1" si="482"/>
        <v>0</v>
      </c>
      <c r="CV299" s="387">
        <f t="shared" ca="1" si="483"/>
        <v>0</v>
      </c>
      <c r="CW299" s="1277">
        <f t="shared" ca="1" si="484"/>
        <v>0</v>
      </c>
      <c r="CX299" s="1277">
        <f t="shared" ca="1" si="485"/>
        <v>0</v>
      </c>
      <c r="CY299" s="388">
        <f t="shared" ca="1" si="486"/>
        <v>0</v>
      </c>
      <c r="CZ299" s="347"/>
      <c r="DA299" s="852"/>
      <c r="DB299" s="347"/>
      <c r="DC299" s="1012" t="s">
        <v>607</v>
      </c>
      <c r="DD299" s="841" t="s">
        <v>518</v>
      </c>
      <c r="DE299" s="386">
        <f>+IF($K299="ongoing",CE299,IF(RIGHT($K299,2)=RIGHT(DE$43,2),SUM($CD299:CE299),0)+IF(RIGHT(DE$43,2)&gt;RIGHT($K299,2),CE299,0))</f>
        <v>0</v>
      </c>
      <c r="DF299" s="387">
        <f>+IF($K299="ongoing",CF299,IF(RIGHT($K299,2)=RIGHT(DF$43,2),SUM($CD299:CF299),0)+IF(RIGHT(DF$43,2)&gt;RIGHT($K299,2),CF299,0))</f>
        <v>0</v>
      </c>
      <c r="DG299" s="388">
        <f>+IF($K299="ongoing",CG299,IF(RIGHT($K299,2)=RIGHT(DG$43,2),SUM($CD299:CG299),0)+IF(RIGHT(DG$43,2)&gt;RIGHT($K299,2),CG299,0))</f>
        <v>0</v>
      </c>
      <c r="DH299" s="386">
        <f>+IF($K299="ongoing",CH299,IF(RIGHT($K299,2)=RIGHT(DH$43,2),SUM($CD299:CH299),0)+IF(RIGHT(DH$43,2)&gt;RIGHT($K299,2),CH299,0))</f>
        <v>0</v>
      </c>
      <c r="DI299" s="387">
        <f>+IF($K299="ongoing",CI299,IF(RIGHT($K299,2)=RIGHT(DI$43,2),SUM($CD299:CI299),0)+IF(RIGHT(DI$43,2)&gt;RIGHT($K299,2),CI299,0))</f>
        <v>0</v>
      </c>
      <c r="DJ299" s="387">
        <f>+IF($K299="ongoing",CJ299,IF(RIGHT($K299,2)=RIGHT(DJ$43,2),SUM($CD299:CJ299),0)+IF(RIGHT(DJ$43,2)&gt;RIGHT($K299,2),CJ299,0))</f>
        <v>0</v>
      </c>
      <c r="DK299" s="387">
        <f>+IF($K299="ongoing",CK299,IF(RIGHT($K299,2)=RIGHT(DK$43,2),SUM($CD299:CK299),0)+IF(RIGHT(DK$43,2)&gt;RIGHT($K299,2),CK299,0))</f>
        <v>0</v>
      </c>
      <c r="DL299" s="388">
        <f>+IF($K299="ongoing",CN299,IF(RIGHT($K299,2)=RIGHT(DL$43,2),SUM($CD299:CN299),0)+IF(RIGHT(DL$43,2)&gt;RIGHT($K299,2),CN299,0))</f>
        <v>0</v>
      </c>
      <c r="DM299" s="841"/>
      <c r="DN299" s="386">
        <f t="shared" si="487"/>
        <v>0.5</v>
      </c>
      <c r="DO299" s="387">
        <f t="shared" si="488"/>
        <v>1</v>
      </c>
      <c r="DP299" s="388">
        <f t="shared" si="489"/>
        <v>1</v>
      </c>
      <c r="DQ299" s="386">
        <f t="shared" si="490"/>
        <v>1</v>
      </c>
      <c r="DR299" s="387">
        <f t="shared" si="491"/>
        <v>1</v>
      </c>
      <c r="DS299" s="387">
        <f t="shared" si="492"/>
        <v>1</v>
      </c>
      <c r="DT299" s="387">
        <f t="shared" si="493"/>
        <v>1</v>
      </c>
      <c r="DU299" s="388">
        <f t="shared" si="494"/>
        <v>1</v>
      </c>
      <c r="DW299" s="386">
        <f t="shared" si="495"/>
        <v>0</v>
      </c>
      <c r="DX299" s="387">
        <f t="shared" si="496"/>
        <v>0.5</v>
      </c>
      <c r="DY299" s="388">
        <f t="shared" si="497"/>
        <v>1</v>
      </c>
      <c r="DZ299" s="386">
        <f t="shared" si="498"/>
        <v>1</v>
      </c>
      <c r="EA299" s="387">
        <f t="shared" si="499"/>
        <v>1</v>
      </c>
      <c r="EB299" s="387">
        <f t="shared" si="500"/>
        <v>1</v>
      </c>
      <c r="EC299" s="387">
        <f t="shared" si="501"/>
        <v>1</v>
      </c>
      <c r="ED299" s="388">
        <f t="shared" si="502"/>
        <v>1</v>
      </c>
      <c r="EF299" s="834">
        <f>+IF(DN299=DM299,0,
IF(AND(EF$44&gt;1,DN299=$N299),1-SUM($EE299:EE299),
IF($N299&lt;=1,
IF($N299&gt;0,1/$N299,0),
IF(EF$44=1,0,VDB(1,0,$N299,INT(EF$44-1-1),MIN($N299,INT(EF$44-1-1)+1),$DC299,IF($DD299="No",1,0))/
IF(DM299&gt;=INT($N299),$N299-INT($N299),1)))*
IF(EF$44=1,0,
IF(INT(DN299)=INT(DM299),DN299-DM299,INT(DN299)-DM299))+
IF($N299&lt;=1,
IF($N299&gt;0,1/$N299,0),VDB(1,0,$N299,INT(EF$44-1),MIN($N299,INT(EF$44-1)+1),$DC299,IF($DD299="No",1,0))/
IF(DN299&gt;INT($N299),$N299-INT($N299),1))*
IF(EF$44=1,DN299,
IF(INT(DN299)=INT(DM299),0,DN299-INT(DN299)))))</f>
        <v>0</v>
      </c>
      <c r="EG299" s="835">
        <f>+IF(DO299=DN299,0,
IF(AND(EG$44&gt;1,DO299=$N299),1-SUM($EE299:EF299),
IF($N299&lt;=1,
IF($N299&gt;0,1/$N299,0),
IF(EG$44=1,0,VDB(1,0,$N299,INT(EG$44-1-1),MIN($N299,INT(EG$44-1-1)+1),$DC299,IF($DD299="No",1,0))/
IF(DN299&gt;=INT($N299),$N299-INT($N299),1)))*
IF(EG$44=1,0,
IF(INT(DO299)=INT(DN299),DO299-DN299,INT(DO299)-DN299))+
IF($N299&lt;=1,
IF($N299&gt;0,1/$N299,0),VDB(1,0,$N299,INT(EG$44-1),MIN($N299,INT(EG$44-1)+1),$DC299,IF($DD299="No",1,0))/
IF(DO299&gt;INT($N299),$N299-INT($N299),1))*
IF(EG$44=1,DO299,
IF(INT(DO299)=INT(DN299),0,DO299-INT(DO299)))))</f>
        <v>0</v>
      </c>
      <c r="EH299" s="836">
        <f>+IF(DP299=DO299,0,
IF(AND(EH$44&gt;1,DP299=$N299),1-SUM($EE299:EG299),
IF($N299&lt;=1,
IF($N299&gt;0,1/$N299,0),
IF(EH$44=1,0,VDB(1,0,$N299,INT(EH$44-1-1),MIN($N299,INT(EH$44-1-1)+1),$DC299,IF($DD299="No",1,0))/
IF(DO299&gt;=INT($N299),$N299-INT($N299),1)))*
IF(EH$44=1,0,
IF(INT(DP299)=INT(DO299),DP299-DO299,INT(DP299)-DO299))+
IF($N299&lt;=1,
IF($N299&gt;0,1/$N299,0),VDB(1,0,$N299,INT(EH$44-1),MIN($N299,INT(EH$44-1)+1),$DC299,IF($DD299="No",1,0))/
IF(DP299&gt;INT($N299),$N299-INT($N299),1))*
IF(EH$44=1,DP299,
IF(INT(DP299)=INT(DO299),0,DP299-INT(DP299)))))</f>
        <v>0</v>
      </c>
      <c r="EI299" s="834">
        <f>+IF(DQ299=DP299,0,
IF(AND(EI$44&gt;1,DQ299=$N299),1-SUM($EE299:EH299),
IF($N299&lt;=1,
IF($N299&gt;0,1/$N299,0),
IF(EI$44=1,0,VDB(1,0,$N299,INT(EI$44-1-1),MIN($N299,INT(EI$44-1-1)+1),$DC299,IF($DD299="No",1,0))/
IF(DP299&gt;=INT($N299),$N299-INT($N299),1)))*
IF(EI$44=1,0,
IF(INT(DQ299)=INT(DP299),DQ299-DP299,INT(DQ299)-DP299))+
IF($N299&lt;=1,
IF($N299&gt;0,1/$N299,0),VDB(1,0,$N299,INT(EI$44-1),MIN($N299,INT(EI$44-1)+1),$DC299,IF($DD299="No",1,0))/
IF(DQ299&gt;INT($N299),$N299-INT($N299),1))*
IF(EI$44=1,DQ299,
IF(INT(DQ299)=INT(DP299),0,DQ299-INT(DQ299)))))</f>
        <v>0</v>
      </c>
      <c r="EJ299" s="835">
        <f>+IF(DR299=DQ299,0,
IF(AND(EJ$44&gt;1,DR299=$N299),1-SUM($EE299:EI299),
IF($N299&lt;=1,
IF($N299&gt;0,1/$N299,0),
IF(EJ$44=1,0,VDB(1,0,$N299,INT(EJ$44-1-1),MIN($N299,INT(EJ$44-1-1)+1),$DC299,IF($DD299="No",1,0))/
IF(DQ299&gt;=INT($N299),$N299-INT($N299),1)))*
IF(EJ$44=1,0,
IF(INT(DR299)=INT(DQ299),DR299-DQ299,INT(DR299)-DQ299))+
IF($N299&lt;=1,
IF($N299&gt;0,1/$N299,0),VDB(1,0,$N299,INT(EJ$44-1),MIN($N299,INT(EJ$44-1)+1),$DC299,IF($DD299="No",1,0))/
IF(DR299&gt;INT($N299),$N299-INT($N299),1))*
IF(EJ$44=1,DR299,
IF(INT(DR299)=INT(DQ299),0,DR299-INT(DR299)))))</f>
        <v>0</v>
      </c>
      <c r="EK299" s="835">
        <f>+IF(DS299=DR299,0,
IF(AND(EK$44&gt;1,DS299=$N299),1-SUM($EE299:EJ299),
IF($N299&lt;=1,
IF($N299&gt;0,1/$N299,0),
IF(EK$44=1,0,VDB(1,0,$N299,INT(EK$44-1-1),MIN($N299,INT(EK$44-1-1)+1),$DC299,IF($DD299="No",1,0))/
IF(DR299&gt;=INT($N299),$N299-INT($N299),1)))*
IF(EK$44=1,0,
IF(INT(DS299)=INT(DR299),DS299-DR299,INT(DS299)-DR299))+
IF($N299&lt;=1,
IF($N299&gt;0,1/$N299,0),VDB(1,0,$N299,INT(EK$44-1),MIN($N299,INT(EK$44-1)+1),$DC299,IF($DD299="No",1,0))/
IF(DS299&gt;INT($N299),$N299-INT($N299),1))*
IF(EK$44=1,DS299,
IF(INT(DS299)=INT(DR299),0,DS299-INT(DS299)))))</f>
        <v>0</v>
      </c>
      <c r="EL299" s="835">
        <f>+IF(DT299=DS299,0,
IF(AND(EL$44&gt;1,DT299=$N299),1-SUM($EE299:EK299),
IF($N299&lt;=1,
IF($N299&gt;0,1/$N299,0),
IF(EL$44=1,0,VDB(1,0,$N299,INT(EL$44-1-1),MIN($N299,INT(EL$44-1-1)+1),$DC299,IF($DD299="No",1,0))/
IF(DS299&gt;=INT($N299),$N299-INT($N299),1)))*
IF(EL$44=1,0,
IF(INT(DT299)=INT(DS299),DT299-DS299,INT(DT299)-DS299))+
IF($N299&lt;=1,
IF($N299&gt;0,1/$N299,0),VDB(1,0,$N299,INT(EL$44-1),MIN($N299,INT(EL$44-1)+1),$DC299,IF($DD299="No",1,0))/
IF(DT299&gt;INT($N299),$N299-INT($N299),1))*
IF(EL$44=1,DT299,
IF(INT(DT299)=INT(DS299),0,DT299-INT(DT299)))))</f>
        <v>0</v>
      </c>
      <c r="EM299" s="836">
        <f>+IF(DU299=DT299,0,
IF(AND(EM$44&gt;1,DU299=$N299),1-SUM($EE299:EL299),
IF($N299&lt;=1,
IF($N299&gt;0,1/$N299,0),
IF(EM$44=1,0,VDB(1,0,$N299,INT(EM$44-1-1),MIN($N299,INT(EM$44-1-1)+1),$DC299,IF($DD299="No",1,0))/
IF(DT299&gt;=INT($N299),$N299-INT($N299),1)))*
IF(EM$44=1,0,
IF(INT(DU299)=INT(DT299),DU299-DT299,INT(DU299)-DT299))+
IF($N299&lt;=1,
IF($N299&gt;0,1/$N299,0),VDB(1,0,$N299,INT(EM$44-1),MIN($N299,INT(EM$44-1)+1),$DC299,IF($DD299="No",1,0))/
IF(DU299&gt;INT($N299),$N299-INT($N299),1))*
IF(EM$44=1,DU299,
IF(INT(DU299)=INT(DT299),0,DU299-INT(DU299)))))</f>
        <v>0</v>
      </c>
      <c r="EN299" s="833"/>
      <c r="EO299" s="834">
        <f>+IF(OR(DW299=DV299,EO$44=1),0,
IF(AND(EO$44&gt;1,DW299=$N299),1-SUM($EN299:EN299),
IF($N299&lt;=1,
IF($N299&gt;0,1/$N299,0),
IF(EO$44=2,0,VDB(1,0,$N299,INT(EO$44-2-1),MIN($N299,INT(EO$44-2-1)+1),$DC299,IF($DD299="No",1,0))/
IF(DV299&gt;=INT($N299),$N299-INT($N299),1)))*
IF(EO$44=2,0,
IF(INT(DW299)=INT(DV299),DW299-DV299,INT(DW299)-DV299))+
IF($N299&lt;=1,
IF($N299&gt;0,1/$N299,0),VDB(1,0,$N299,INT(EO$44-2),MIN($N299,INT(EO$44-2)+1),$DC299,IF($DD299="No",1,0))/
IF(DW299&gt;INT($N299),$N299-INT($N299),1))*
IF(EO$44=2,DW299,
IF(INT(DW299)=INT(DV299),0,DW299-INT(DW299)))))</f>
        <v>0</v>
      </c>
      <c r="EP299" s="835">
        <f>+IF(OR(DX299=DW299,EP$44=1),0,
IF(AND(EP$44&gt;1,DX299=$N299),1-SUM($EN299:EO299),
IF($N299&lt;=1,
IF($N299&gt;0,1/$N299,0),
IF(EP$44=2,0,VDB(1,0,$N299,INT(EP$44-2-1),MIN($N299,INT(EP$44-2-1)+1),$DC299,IF($DD299="No",1,0))/
IF(DW299&gt;=INT($N299),$N299-INT($N299),1)))*
IF(EP$44=2,0,
IF(INT(DX299)=INT(DW299),DX299-DW299,INT(DX299)-DW299))+
IF($N299&lt;=1,
IF($N299&gt;0,1/$N299,0),VDB(1,0,$N299,INT(EP$44-2),MIN($N299,INT(EP$44-2)+1),$DC299,IF($DD299="No",1,0))/
IF(DX299&gt;INT($N299),$N299-INT($N299),1))*
IF(EP$44=2,DX299,
IF(INT(DX299)=INT(DW299),0,DX299-INT(DX299)))))</f>
        <v>0</v>
      </c>
      <c r="EQ299" s="836">
        <f>+IF(OR(DY299=DX299,EQ$44=1),0,
IF(AND(EQ$44&gt;1,DY299=$N299),1-SUM($EN299:EP299),
IF($N299&lt;=1,
IF($N299&gt;0,1/$N299,0),
IF(EQ$44=2,0,VDB(1,0,$N299,INT(EQ$44-2-1),MIN($N299,INT(EQ$44-2-1)+1),$DC299,IF($DD299="No",1,0))/
IF(DX299&gt;=INT($N299),$N299-INT($N299),1)))*
IF(EQ$44=2,0,
IF(INT(DY299)=INT(DX299),DY299-DX299,INT(DY299)-DX299))+
IF($N299&lt;=1,
IF($N299&gt;0,1/$N299,0),VDB(1,0,$N299,INT(EQ$44-2),MIN($N299,INT(EQ$44-2)+1),$DC299,IF($DD299="No",1,0))/
IF(DY299&gt;INT($N299),$N299-INT($N299),1))*
IF(EQ$44=2,DY299,
IF(INT(DY299)=INT(DX299),0,DY299-INT(DY299)))))</f>
        <v>0</v>
      </c>
      <c r="ER299" s="834">
        <f>+IF(OR(DZ299=DY299,ER$44=1),0,
IF(AND(ER$44&gt;1,DZ299=$N299),1-SUM($EN299:EQ299),
IF($N299&lt;=1,
IF($N299&gt;0,1/$N299,0),
IF(ER$44=2,0,VDB(1,0,$N299,INT(ER$44-2-1),MIN($N299,INT(ER$44-2-1)+1),$DC299,IF($DD299="No",1,0))/
IF(DY299&gt;=INT($N299),$N299-INT($N299),1)))*
IF(ER$44=2,0,
IF(INT(DZ299)=INT(DY299),DZ299-DY299,INT(DZ299)-DY299))+
IF($N299&lt;=1,
IF($N299&gt;0,1/$N299,0),VDB(1,0,$N299,INT(ER$44-2),MIN($N299,INT(ER$44-2)+1),$DC299,IF($DD299="No",1,0))/
IF(DZ299&gt;INT($N299),$N299-INT($N299),1))*
IF(ER$44=2,DZ299,
IF(INT(DZ299)=INT(DY299),0,DZ299-INT(DZ299)))))</f>
        <v>0</v>
      </c>
      <c r="ES299" s="835">
        <f>+IF(OR(EA299=DZ299,ES$44=1),0,
IF(AND(ES$44&gt;1,EA299=$N299),1-SUM($EN299:ER299),
IF($N299&lt;=1,
IF($N299&gt;0,1/$N299,0),
IF(ES$44=2,0,VDB(1,0,$N299,INT(ES$44-2-1),MIN($N299,INT(ES$44-2-1)+1),$DC299,IF($DD299="No",1,0))/
IF(DZ299&gt;=INT($N299),$N299-INT($N299),1)))*
IF(ES$44=2,0,
IF(INT(EA299)=INT(DZ299),EA299-DZ299,INT(EA299)-DZ299))+
IF($N299&lt;=1,
IF($N299&gt;0,1/$N299,0),VDB(1,0,$N299,INT(ES$44-2),MIN($N299,INT(ES$44-2)+1),$DC299,IF($DD299="No",1,0))/
IF(EA299&gt;INT($N299),$N299-INT($N299),1))*
IF(ES$44=2,EA299,
IF(INT(EA299)=INT(DZ299),0,EA299-INT(EA299)))))</f>
        <v>0</v>
      </c>
      <c r="ET299" s="835">
        <f>+IF(OR(EB299=EA299,ET$44=1),0,
IF(AND(ET$44&gt;1,EB299=$N299),1-SUM($EN299:ES299),
IF($N299&lt;=1,
IF($N299&gt;0,1/$N299,0),
IF(ET$44=2,0,VDB(1,0,$N299,INT(ET$44-2-1),MIN($N299,INT(ET$44-2-1)+1),$DC299,IF($DD299="No",1,0))/
IF(EA299&gt;=INT($N299),$N299-INT($N299),1)))*
IF(ET$44=2,0,
IF(INT(EB299)=INT(EA299),EB299-EA299,INT(EB299)-EA299))+
IF($N299&lt;=1,
IF($N299&gt;0,1/$N299,0),VDB(1,0,$N299,INT(ET$44-2),MIN($N299,INT(ET$44-2)+1),$DC299,IF($DD299="No",1,0))/
IF(EB299&gt;INT($N299),$N299-INT($N299),1))*
IF(ET$44=2,EB299,
IF(INT(EB299)=INT(EA299),0,EB299-INT(EB299)))))</f>
        <v>0</v>
      </c>
      <c r="EU299" s="835">
        <f>+IF(OR(EC299=EB299,EU$44=1),0,
IF(AND(EU$44&gt;1,EC299=$N299),1-SUM($EN299:ET299),
IF($N299&lt;=1,
IF($N299&gt;0,1/$N299,0),
IF(EU$44=2,0,VDB(1,0,$N299,INT(EU$44-2-1),MIN($N299,INT(EU$44-2-1)+1),$DC299,IF($DD299="No",1,0))/
IF(EB299&gt;=INT($N299),$N299-INT($N299),1)))*
IF(EU$44=2,0,
IF(INT(EC299)=INT(EB299),EC299-EB299,INT(EC299)-EB299))+
IF($N299&lt;=1,
IF($N299&gt;0,1/$N299,0),VDB(1,0,$N299,INT(EU$44-2),MIN($N299,INT(EU$44-2)+1),$DC299,IF($DD299="No",1,0))/
IF(EC299&gt;INT($N299),$N299-INT($N299),1))*
IF(EU$44=2,EC299,
IF(INT(EC299)=INT(EB299),0,EC299-INT(EC299)))))</f>
        <v>0</v>
      </c>
      <c r="EV299" s="836">
        <f>+IF(OR(ED299=EC299,EV$44=1),0,
IF(AND(EV$44&gt;1,ED299=$N299),1-SUM($EN299:EU299),
IF($N299&lt;=1,
IF($N299&gt;0,1/$N299,0),
IF(EV$44=2,0,VDB(1,0,$N299,INT(EV$44-2-1),MIN($N299,INT(EV$44-2-1)+1),$DC299,IF($DD299="No",1,0))/
IF(EC299&gt;=INT($N299),$N299-INT($N299),1)))*
IF(EV$44=2,0,
IF(INT(ED299)=INT(EC299),ED299-EC299,INT(ED299)-EC299))+
IF($N299&lt;=1,
IF($N299&gt;0,1/$N299,0),VDB(1,0,$N299,INT(EV$44-2),MIN($N299,INT(EV$44-2)+1),$DC299,IF($DD299="No",1,0))/
IF(ED299&gt;INT($N299),$N299-INT($N299),1))*
IF(EV$44=2,ED299,
IF(INT(ED299)=INT(EC299),0,ED299-INT(ED299)))))</f>
        <v>0</v>
      </c>
      <c r="EW299" s="833"/>
      <c r="EX299" s="834">
        <f t="shared" ca="1" si="513"/>
        <v>0</v>
      </c>
      <c r="EY299" s="835">
        <f t="shared" ca="1" si="513"/>
        <v>0</v>
      </c>
      <c r="EZ299" s="836">
        <f t="shared" ca="1" si="513"/>
        <v>0</v>
      </c>
      <c r="FA299" s="834">
        <f t="shared" ca="1" si="513"/>
        <v>0</v>
      </c>
      <c r="FB299" s="835">
        <f t="shared" ca="1" si="513"/>
        <v>0</v>
      </c>
      <c r="FC299" s="835">
        <f t="shared" ca="1" si="513"/>
        <v>0</v>
      </c>
      <c r="FD299" s="835">
        <f t="shared" ca="1" si="513"/>
        <v>0</v>
      </c>
      <c r="FE299" s="836">
        <f t="shared" ca="1" si="513"/>
        <v>0</v>
      </c>
      <c r="FG299" s="386">
        <f t="shared" ca="1" si="504"/>
        <v>0</v>
      </c>
      <c r="FH299" s="387">
        <f t="shared" ca="1" si="505"/>
        <v>0</v>
      </c>
      <c r="FI299" s="388">
        <f t="shared" ca="1" si="506"/>
        <v>0</v>
      </c>
      <c r="FJ299" s="386">
        <f t="shared" ca="1" si="507"/>
        <v>0</v>
      </c>
      <c r="FK299" s="387">
        <f t="shared" ca="1" si="508"/>
        <v>0</v>
      </c>
      <c r="FL299" s="387">
        <f t="shared" ca="1" si="509"/>
        <v>0</v>
      </c>
      <c r="FM299" s="387">
        <f t="shared" ca="1" si="510"/>
        <v>0</v>
      </c>
      <c r="FN299" s="388">
        <f t="shared" ca="1" si="511"/>
        <v>0</v>
      </c>
      <c r="FR299" s="116"/>
    </row>
    <row r="300" spans="2:174">
      <c r="B300" s="1410">
        <f t="shared" si="512"/>
        <v>254</v>
      </c>
      <c r="C300" s="400"/>
      <c r="D300" s="410"/>
      <c r="E300" s="402"/>
      <c r="F300" s="402"/>
      <c r="G300" s="400"/>
      <c r="H300" s="2088"/>
      <c r="I300" s="2089"/>
      <c r="J300" s="411"/>
      <c r="K300" s="403"/>
      <c r="L300" s="403"/>
      <c r="M300" s="403"/>
      <c r="N300" s="403"/>
      <c r="O300" s="347"/>
      <c r="P300" s="347"/>
      <c r="Q300" s="1021"/>
      <c r="R300" s="1022"/>
      <c r="S300" s="1022"/>
      <c r="T300" s="1022"/>
      <c r="U300" s="1023"/>
      <c r="V300" s="1021"/>
      <c r="W300" s="1022"/>
      <c r="X300" s="1022"/>
      <c r="Y300" s="1022"/>
      <c r="Z300" s="1023"/>
      <c r="AA300" s="1024"/>
      <c r="AB300" s="1021"/>
      <c r="AC300" s="1022"/>
      <c r="AD300" s="1022"/>
      <c r="AE300" s="1022"/>
      <c r="AF300" s="1023"/>
      <c r="AG300" s="1021"/>
      <c r="AH300" s="1022"/>
      <c r="AI300" s="1022"/>
      <c r="AJ300" s="1022"/>
      <c r="AK300" s="1023"/>
      <c r="AL300" s="1024"/>
      <c r="AM300" s="1021"/>
      <c r="AN300" s="1022"/>
      <c r="AO300" s="1022"/>
      <c r="AP300" s="1022"/>
      <c r="AQ300" s="1023"/>
      <c r="AR300" s="1021"/>
      <c r="AS300" s="1022"/>
      <c r="AT300" s="1022"/>
      <c r="AU300" s="1022"/>
      <c r="AV300" s="1023"/>
      <c r="AW300" s="1025"/>
      <c r="AX300" s="1282">
        <f t="shared" si="457"/>
        <v>0</v>
      </c>
      <c r="AY300" s="387">
        <f t="shared" si="458"/>
        <v>0</v>
      </c>
      <c r="AZ300" s="387">
        <f t="shared" si="459"/>
        <v>0</v>
      </c>
      <c r="BA300" s="387">
        <f t="shared" si="460"/>
        <v>0</v>
      </c>
      <c r="BB300" s="1283">
        <f t="shared" si="461"/>
        <v>0</v>
      </c>
      <c r="BC300" s="386">
        <f t="shared" si="462"/>
        <v>0</v>
      </c>
      <c r="BD300" s="387">
        <f t="shared" si="463"/>
        <v>0</v>
      </c>
      <c r="BE300" s="1277">
        <f t="shared" si="464"/>
        <v>0</v>
      </c>
      <c r="BF300" s="1277">
        <f t="shared" si="465"/>
        <v>0</v>
      </c>
      <c r="BG300" s="388">
        <f t="shared" si="466"/>
        <v>0</v>
      </c>
      <c r="BH300" s="1025"/>
      <c r="BI300" s="1282">
        <f t="shared" ca="1" si="467"/>
        <v>0</v>
      </c>
      <c r="BJ300" s="387">
        <f t="shared" ca="1" si="468"/>
        <v>0</v>
      </c>
      <c r="BK300" s="387">
        <f t="shared" ca="1" si="469"/>
        <v>0</v>
      </c>
      <c r="BL300" s="387">
        <f t="shared" ca="1" si="470"/>
        <v>0</v>
      </c>
      <c r="BM300" s="1283">
        <f t="shared" ca="1" si="471"/>
        <v>0</v>
      </c>
      <c r="BN300" s="386">
        <f t="shared" ca="1" si="472"/>
        <v>0</v>
      </c>
      <c r="BO300" s="387">
        <f t="shared" ca="1" si="473"/>
        <v>0</v>
      </c>
      <c r="BP300" s="1277">
        <f t="shared" ca="1" si="474"/>
        <v>0</v>
      </c>
      <c r="BQ300" s="1277">
        <f t="shared" ca="1" si="475"/>
        <v>0</v>
      </c>
      <c r="BR300" s="388">
        <f t="shared" ca="1" si="476"/>
        <v>0</v>
      </c>
      <c r="BS300" s="1025"/>
      <c r="BT300" s="1282">
        <f>+IF($K300="Ongoing",AX300,IF(RIGHT($K300,2)=RIGHT(BT$43,2),SUM($AX300:AX300),0)+IF(RIGHT(BT$43,2)&gt;RIGHT($K300,2),AX300,0))</f>
        <v>0</v>
      </c>
      <c r="BU300" s="387">
        <f>+IF($K300="Ongoing",AY300,IF(RIGHT($K300,2)=RIGHT(BU$43,2),SUM($AX300:AY300),0)+IF(RIGHT(BU$43,2)&gt;RIGHT($K300,2),AY300,0))</f>
        <v>0</v>
      </c>
      <c r="BV300" s="387">
        <f>+IF($K300="Ongoing",AZ300,IF(RIGHT($K300,2)=RIGHT(BV$43,2),SUM($AX300:AZ300),0)+IF(RIGHT(BV$43,2)&gt;RIGHT($K300,2),AZ300,0))</f>
        <v>0</v>
      </c>
      <c r="BW300" s="387">
        <f>+IF($K300="Ongoing",BA300,IF(RIGHT($K300,2)=RIGHT(BW$43,2),SUM($AX300:BA300),0)+IF(RIGHT(BW$43,2)&gt;RIGHT($K300,2),BA300,0))</f>
        <v>0</v>
      </c>
      <c r="BX300" s="1283">
        <f>+IF($K300="Ongoing",BB300,IF(RIGHT($K300,2)=RIGHT(BX$43,2),SUM($AX300:BB300),0)+IF(RIGHT(BX$43,2)&gt;RIGHT($K300,2),BB300,0))</f>
        <v>0</v>
      </c>
      <c r="BY300" s="386">
        <f>+IF($K300="Ongoing",BC300,IF(RIGHT($K300,2)=RIGHT(BY$43,2),SUM($AX300:BC300),0)+IF(RIGHT(BY$43,2)&gt;RIGHT($K300,2),BC300,0))</f>
        <v>0</v>
      </c>
      <c r="BZ300" s="387">
        <f>+IF($K300="Ongoing",BD300,IF(RIGHT($K300,2)=RIGHT(BZ$43,2),SUM($AX300:BD300),0)+IF(RIGHT(BZ$43,2)&gt;RIGHT($K300,2),BD300,0))</f>
        <v>0</v>
      </c>
      <c r="CA300" s="1277">
        <f>+IF($K300="Ongoing",BE300,IF(RIGHT($K300,2)=RIGHT(CA$43,2),SUM($AX300:BE300),0)+IF(RIGHT(CA$43,2)&gt;RIGHT($K300,2),BE300,0))</f>
        <v>0</v>
      </c>
      <c r="CB300" s="1277">
        <f>+IF($K300="Ongoing",BF300,IF(RIGHT($K300,2)=RIGHT(CB$43,2),SUM($AX300:BF300),0)+IF(RIGHT(CB$43,2)&gt;RIGHT($K300,2),BF300,0))</f>
        <v>0</v>
      </c>
      <c r="CC300" s="388">
        <f>+IF($K300="Ongoing",BG300,IF(RIGHT($K300,2)=RIGHT(CC$43,2),SUM($AX300:BG300),0)+IF(RIGHT(CC$43,2)&gt;RIGHT($K300,2),BG300,0))</f>
        <v>0</v>
      </c>
      <c r="CD300" s="1025"/>
      <c r="CE300" s="1282">
        <f>+Q300*KeyAssumptionsPriceControl_FO!AF$15</f>
        <v>0</v>
      </c>
      <c r="CF300" s="387">
        <f>+R300*KeyAssumptionsPriceControl_FO!AG$15</f>
        <v>0</v>
      </c>
      <c r="CG300" s="387">
        <f>+S300*KeyAssumptionsPriceControl_FO!AH$15</f>
        <v>0</v>
      </c>
      <c r="CH300" s="387">
        <f>+T300*KeyAssumptionsPriceControl_FO!AI$15</f>
        <v>0</v>
      </c>
      <c r="CI300" s="1283">
        <f>+U300*KeyAssumptionsPriceControl_FO!AJ$15</f>
        <v>0</v>
      </c>
      <c r="CJ300" s="386">
        <f>+V300*KeyAssumptionsPriceControl_FO!AK$15</f>
        <v>0</v>
      </c>
      <c r="CK300" s="387">
        <f>+W300*KeyAssumptionsPriceControl_FO!AL$15</f>
        <v>0</v>
      </c>
      <c r="CL300" s="1277">
        <f>+X300*KeyAssumptionsPriceControl_FO!AM$15</f>
        <v>0</v>
      </c>
      <c r="CM300" s="1277">
        <f>+Y300*KeyAssumptionsPriceControl_FO!AN$15</f>
        <v>0</v>
      </c>
      <c r="CN300" s="388">
        <f>+Z300*KeyAssumptionsPriceControl_FO!AO$15</f>
        <v>0</v>
      </c>
      <c r="CO300" s="1025"/>
      <c r="CP300" s="1282">
        <f t="shared" ca="1" si="477"/>
        <v>0</v>
      </c>
      <c r="CQ300" s="387">
        <f t="shared" ca="1" si="478"/>
        <v>0</v>
      </c>
      <c r="CR300" s="387">
        <f t="shared" ca="1" si="479"/>
        <v>0</v>
      </c>
      <c r="CS300" s="387">
        <f t="shared" ca="1" si="480"/>
        <v>0</v>
      </c>
      <c r="CT300" s="1283">
        <f t="shared" ca="1" si="481"/>
        <v>0</v>
      </c>
      <c r="CU300" s="386">
        <f t="shared" ca="1" si="482"/>
        <v>0</v>
      </c>
      <c r="CV300" s="387">
        <f t="shared" ca="1" si="483"/>
        <v>0</v>
      </c>
      <c r="CW300" s="1277">
        <f t="shared" ca="1" si="484"/>
        <v>0</v>
      </c>
      <c r="CX300" s="1277">
        <f t="shared" ca="1" si="485"/>
        <v>0</v>
      </c>
      <c r="CY300" s="388">
        <f t="shared" ca="1" si="486"/>
        <v>0</v>
      </c>
      <c r="CZ300" s="347"/>
      <c r="DA300" s="852"/>
      <c r="DB300" s="347"/>
      <c r="DC300" s="1012" t="s">
        <v>608</v>
      </c>
      <c r="DD300" s="841" t="s">
        <v>518</v>
      </c>
      <c r="DE300" s="386">
        <f>+IF($K300="ongoing",CE300,IF(RIGHT($K300,2)=RIGHT(DE$43,2),SUM($CD300:CE300),0)+IF(RIGHT(DE$43,2)&gt;RIGHT($K300,2),CE300,0))</f>
        <v>0</v>
      </c>
      <c r="DF300" s="387">
        <f>+IF($K300="ongoing",CF300,IF(RIGHT($K300,2)=RIGHT(DF$43,2),SUM($CD300:CF300),0)+IF(RIGHT(DF$43,2)&gt;RIGHT($K300,2),CF300,0))</f>
        <v>0</v>
      </c>
      <c r="DG300" s="388">
        <f>+IF($K300="ongoing",CG300,IF(RIGHT($K300,2)=RIGHT(DG$43,2),SUM($CD300:CG300),0)+IF(RIGHT(DG$43,2)&gt;RIGHT($K300,2),CG300,0))</f>
        <v>0</v>
      </c>
      <c r="DH300" s="386">
        <f>+IF($K300="ongoing",CH300,IF(RIGHT($K300,2)=RIGHT(DH$43,2),SUM($CD300:CH300),0)+IF(RIGHT(DH$43,2)&gt;RIGHT($K300,2),CH300,0))</f>
        <v>0</v>
      </c>
      <c r="DI300" s="387">
        <f>+IF($K300="ongoing",CI300,IF(RIGHT($K300,2)=RIGHT(DI$43,2),SUM($CD300:CI300),0)+IF(RIGHT(DI$43,2)&gt;RIGHT($K300,2),CI300,0))</f>
        <v>0</v>
      </c>
      <c r="DJ300" s="387">
        <f>+IF($K300="ongoing",CJ300,IF(RIGHT($K300,2)=RIGHT(DJ$43,2),SUM($CD300:CJ300),0)+IF(RIGHT(DJ$43,2)&gt;RIGHT($K300,2),CJ300,0))</f>
        <v>0</v>
      </c>
      <c r="DK300" s="387">
        <f>+IF($K300="ongoing",CK300,IF(RIGHT($K300,2)=RIGHT(DK$43,2),SUM($CD300:CK300),0)+IF(RIGHT(DK$43,2)&gt;RIGHT($K300,2),CK300,0))</f>
        <v>0</v>
      </c>
      <c r="DL300" s="388">
        <f>+IF($K300="ongoing",CN300,IF(RIGHT($K300,2)=RIGHT(DL$43,2),SUM($CD300:CN300),0)+IF(RIGHT(DL$43,2)&gt;RIGHT($K300,2),CN300,0))</f>
        <v>0</v>
      </c>
      <c r="DM300" s="841"/>
      <c r="DN300" s="386">
        <f t="shared" si="487"/>
        <v>0.5</v>
      </c>
      <c r="DO300" s="387">
        <f t="shared" si="488"/>
        <v>1</v>
      </c>
      <c r="DP300" s="388">
        <f t="shared" si="489"/>
        <v>1</v>
      </c>
      <c r="DQ300" s="386">
        <f t="shared" si="490"/>
        <v>1</v>
      </c>
      <c r="DR300" s="387">
        <f t="shared" si="491"/>
        <v>1</v>
      </c>
      <c r="DS300" s="387">
        <f t="shared" si="492"/>
        <v>1</v>
      </c>
      <c r="DT300" s="387">
        <f t="shared" si="493"/>
        <v>1</v>
      </c>
      <c r="DU300" s="388">
        <f t="shared" si="494"/>
        <v>1</v>
      </c>
      <c r="DW300" s="386">
        <f t="shared" si="495"/>
        <v>0</v>
      </c>
      <c r="DX300" s="387">
        <f t="shared" si="496"/>
        <v>0.5</v>
      </c>
      <c r="DY300" s="388">
        <f t="shared" si="497"/>
        <v>1</v>
      </c>
      <c r="DZ300" s="386">
        <f t="shared" si="498"/>
        <v>1</v>
      </c>
      <c r="EA300" s="387">
        <f t="shared" si="499"/>
        <v>1</v>
      </c>
      <c r="EB300" s="387">
        <f t="shared" si="500"/>
        <v>1</v>
      </c>
      <c r="EC300" s="387">
        <f t="shared" si="501"/>
        <v>1</v>
      </c>
      <c r="ED300" s="388">
        <f t="shared" si="502"/>
        <v>1</v>
      </c>
      <c r="EF300" s="834">
        <f>+IF(DN300=DM300,0,
IF(AND(EF$44&gt;1,DN300=$N300),1-SUM($EE300:EE300),
IF($N300&lt;=1,
IF($N300&gt;0,1/$N300,0),
IF(EF$44=1,0,VDB(1,0,$N300,INT(EF$44-1-1),MIN($N300,INT(EF$44-1-1)+1),$DC300,IF($DD300="No",1,0))/
IF(DM300&gt;=INT($N300),$N300-INT($N300),1)))*
IF(EF$44=1,0,
IF(INT(DN300)=INT(DM300),DN300-DM300,INT(DN300)-DM300))+
IF($N300&lt;=1,
IF($N300&gt;0,1/$N300,0),VDB(1,0,$N300,INT(EF$44-1),MIN($N300,INT(EF$44-1)+1),$DC300,IF($DD300="No",1,0))/
IF(DN300&gt;INT($N300),$N300-INT($N300),1))*
IF(EF$44=1,DN300,
IF(INT(DN300)=INT(DM300),0,DN300-INT(DN300)))))</f>
        <v>0</v>
      </c>
      <c r="EG300" s="835">
        <f>+IF(DO300=DN300,0,
IF(AND(EG$44&gt;1,DO300=$N300),1-SUM($EE300:EF300),
IF($N300&lt;=1,
IF($N300&gt;0,1/$N300,0),
IF(EG$44=1,0,VDB(1,0,$N300,INT(EG$44-1-1),MIN($N300,INT(EG$44-1-1)+1),$DC300,IF($DD300="No",1,0))/
IF(DN300&gt;=INT($N300),$N300-INT($N300),1)))*
IF(EG$44=1,0,
IF(INT(DO300)=INT(DN300),DO300-DN300,INT(DO300)-DN300))+
IF($N300&lt;=1,
IF($N300&gt;0,1/$N300,0),VDB(1,0,$N300,INT(EG$44-1),MIN($N300,INT(EG$44-1)+1),$DC300,IF($DD300="No",1,0))/
IF(DO300&gt;INT($N300),$N300-INT($N300),1))*
IF(EG$44=1,DO300,
IF(INT(DO300)=INT(DN300),0,DO300-INT(DO300)))))</f>
        <v>0</v>
      </c>
      <c r="EH300" s="836">
        <f>+IF(DP300=DO300,0,
IF(AND(EH$44&gt;1,DP300=$N300),1-SUM($EE300:EG300),
IF($N300&lt;=1,
IF($N300&gt;0,1/$N300,0),
IF(EH$44=1,0,VDB(1,0,$N300,INT(EH$44-1-1),MIN($N300,INT(EH$44-1-1)+1),$DC300,IF($DD300="No",1,0))/
IF(DO300&gt;=INT($N300),$N300-INT($N300),1)))*
IF(EH$44=1,0,
IF(INT(DP300)=INT(DO300),DP300-DO300,INT(DP300)-DO300))+
IF($N300&lt;=1,
IF($N300&gt;0,1/$N300,0),VDB(1,0,$N300,INT(EH$44-1),MIN($N300,INT(EH$44-1)+1),$DC300,IF($DD300="No",1,0))/
IF(DP300&gt;INT($N300),$N300-INT($N300),1))*
IF(EH$44=1,DP300,
IF(INT(DP300)=INT(DO300),0,DP300-INT(DP300)))))</f>
        <v>0</v>
      </c>
      <c r="EI300" s="834">
        <f>+IF(DQ300=DP300,0,
IF(AND(EI$44&gt;1,DQ300=$N300),1-SUM($EE300:EH300),
IF($N300&lt;=1,
IF($N300&gt;0,1/$N300,0),
IF(EI$44=1,0,VDB(1,0,$N300,INT(EI$44-1-1),MIN($N300,INT(EI$44-1-1)+1),$DC300,IF($DD300="No",1,0))/
IF(DP300&gt;=INT($N300),$N300-INT($N300),1)))*
IF(EI$44=1,0,
IF(INT(DQ300)=INT(DP300),DQ300-DP300,INT(DQ300)-DP300))+
IF($N300&lt;=1,
IF($N300&gt;0,1/$N300,0),VDB(1,0,$N300,INT(EI$44-1),MIN($N300,INT(EI$44-1)+1),$DC300,IF($DD300="No",1,0))/
IF(DQ300&gt;INT($N300),$N300-INT($N300),1))*
IF(EI$44=1,DQ300,
IF(INT(DQ300)=INT(DP300),0,DQ300-INT(DQ300)))))</f>
        <v>0</v>
      </c>
      <c r="EJ300" s="835">
        <f>+IF(DR300=DQ300,0,
IF(AND(EJ$44&gt;1,DR300=$N300),1-SUM($EE300:EI300),
IF($N300&lt;=1,
IF($N300&gt;0,1/$N300,0),
IF(EJ$44=1,0,VDB(1,0,$N300,INT(EJ$44-1-1),MIN($N300,INT(EJ$44-1-1)+1),$DC300,IF($DD300="No",1,0))/
IF(DQ300&gt;=INT($N300),$N300-INT($N300),1)))*
IF(EJ$44=1,0,
IF(INT(DR300)=INT(DQ300),DR300-DQ300,INT(DR300)-DQ300))+
IF($N300&lt;=1,
IF($N300&gt;0,1/$N300,0),VDB(1,0,$N300,INT(EJ$44-1),MIN($N300,INT(EJ$44-1)+1),$DC300,IF($DD300="No",1,0))/
IF(DR300&gt;INT($N300),$N300-INT($N300),1))*
IF(EJ$44=1,DR300,
IF(INT(DR300)=INT(DQ300),0,DR300-INT(DR300)))))</f>
        <v>0</v>
      </c>
      <c r="EK300" s="835">
        <f>+IF(DS300=DR300,0,
IF(AND(EK$44&gt;1,DS300=$N300),1-SUM($EE300:EJ300),
IF($N300&lt;=1,
IF($N300&gt;0,1/$N300,0),
IF(EK$44=1,0,VDB(1,0,$N300,INT(EK$44-1-1),MIN($N300,INT(EK$44-1-1)+1),$DC300,IF($DD300="No",1,0))/
IF(DR300&gt;=INT($N300),$N300-INT($N300),1)))*
IF(EK$44=1,0,
IF(INT(DS300)=INT(DR300),DS300-DR300,INT(DS300)-DR300))+
IF($N300&lt;=1,
IF($N300&gt;0,1/$N300,0),VDB(1,0,$N300,INT(EK$44-1),MIN($N300,INT(EK$44-1)+1),$DC300,IF($DD300="No",1,0))/
IF(DS300&gt;INT($N300),$N300-INT($N300),1))*
IF(EK$44=1,DS300,
IF(INT(DS300)=INT(DR300),0,DS300-INT(DS300)))))</f>
        <v>0</v>
      </c>
      <c r="EL300" s="835">
        <f>+IF(DT300=DS300,0,
IF(AND(EL$44&gt;1,DT300=$N300),1-SUM($EE300:EK300),
IF($N300&lt;=1,
IF($N300&gt;0,1/$N300,0),
IF(EL$44=1,0,VDB(1,0,$N300,INT(EL$44-1-1),MIN($N300,INT(EL$44-1-1)+1),$DC300,IF($DD300="No",1,0))/
IF(DS300&gt;=INT($N300),$N300-INT($N300),1)))*
IF(EL$44=1,0,
IF(INT(DT300)=INT(DS300),DT300-DS300,INT(DT300)-DS300))+
IF($N300&lt;=1,
IF($N300&gt;0,1/$N300,0),VDB(1,0,$N300,INT(EL$44-1),MIN($N300,INT(EL$44-1)+1),$DC300,IF($DD300="No",1,0))/
IF(DT300&gt;INT($N300),$N300-INT($N300),1))*
IF(EL$44=1,DT300,
IF(INT(DT300)=INT(DS300),0,DT300-INT(DT300)))))</f>
        <v>0</v>
      </c>
      <c r="EM300" s="836">
        <f>+IF(DU300=DT300,0,
IF(AND(EM$44&gt;1,DU300=$N300),1-SUM($EE300:EL300),
IF($N300&lt;=1,
IF($N300&gt;0,1/$N300,0),
IF(EM$44=1,0,VDB(1,0,$N300,INT(EM$44-1-1),MIN($N300,INT(EM$44-1-1)+1),$DC300,IF($DD300="No",1,0))/
IF(DT300&gt;=INT($N300),$N300-INT($N300),1)))*
IF(EM$44=1,0,
IF(INT(DU300)=INT(DT300),DU300-DT300,INT(DU300)-DT300))+
IF($N300&lt;=1,
IF($N300&gt;0,1/$N300,0),VDB(1,0,$N300,INT(EM$44-1),MIN($N300,INT(EM$44-1)+1),$DC300,IF($DD300="No",1,0))/
IF(DU300&gt;INT($N300),$N300-INT($N300),1))*
IF(EM$44=1,DU300,
IF(INT(DU300)=INT(DT300),0,DU300-INT(DU300)))))</f>
        <v>0</v>
      </c>
      <c r="EN300" s="833"/>
      <c r="EO300" s="834">
        <f>+IF(OR(DW300=DV300,EO$44=1),0,
IF(AND(EO$44&gt;1,DW300=$N300),1-SUM($EN300:EN300),
IF($N300&lt;=1,
IF($N300&gt;0,1/$N300,0),
IF(EO$44=2,0,VDB(1,0,$N300,INT(EO$44-2-1),MIN($N300,INT(EO$44-2-1)+1),$DC300,IF($DD300="No",1,0))/
IF(DV300&gt;=INT($N300),$N300-INT($N300),1)))*
IF(EO$44=2,0,
IF(INT(DW300)=INT(DV300),DW300-DV300,INT(DW300)-DV300))+
IF($N300&lt;=1,
IF($N300&gt;0,1/$N300,0),VDB(1,0,$N300,INT(EO$44-2),MIN($N300,INT(EO$44-2)+1),$DC300,IF($DD300="No",1,0))/
IF(DW300&gt;INT($N300),$N300-INT($N300),1))*
IF(EO$44=2,DW300,
IF(INT(DW300)=INT(DV300),0,DW300-INT(DW300)))))</f>
        <v>0</v>
      </c>
      <c r="EP300" s="835">
        <f>+IF(OR(DX300=DW300,EP$44=1),0,
IF(AND(EP$44&gt;1,DX300=$N300),1-SUM($EN300:EO300),
IF($N300&lt;=1,
IF($N300&gt;0,1/$N300,0),
IF(EP$44=2,0,VDB(1,0,$N300,INT(EP$44-2-1),MIN($N300,INT(EP$44-2-1)+1),$DC300,IF($DD300="No",1,0))/
IF(DW300&gt;=INT($N300),$N300-INT($N300),1)))*
IF(EP$44=2,0,
IF(INT(DX300)=INT(DW300),DX300-DW300,INT(DX300)-DW300))+
IF($N300&lt;=1,
IF($N300&gt;0,1/$N300,0),VDB(1,0,$N300,INT(EP$44-2),MIN($N300,INT(EP$44-2)+1),$DC300,IF($DD300="No",1,0))/
IF(DX300&gt;INT($N300),$N300-INT($N300),1))*
IF(EP$44=2,DX300,
IF(INT(DX300)=INT(DW300),0,DX300-INT(DX300)))))</f>
        <v>0</v>
      </c>
      <c r="EQ300" s="836">
        <f>+IF(OR(DY300=DX300,EQ$44=1),0,
IF(AND(EQ$44&gt;1,DY300=$N300),1-SUM($EN300:EP300),
IF($N300&lt;=1,
IF($N300&gt;0,1/$N300,0),
IF(EQ$44=2,0,VDB(1,0,$N300,INT(EQ$44-2-1),MIN($N300,INT(EQ$44-2-1)+1),$DC300,IF($DD300="No",1,0))/
IF(DX300&gt;=INT($N300),$N300-INT($N300),1)))*
IF(EQ$44=2,0,
IF(INT(DY300)=INT(DX300),DY300-DX300,INT(DY300)-DX300))+
IF($N300&lt;=1,
IF($N300&gt;0,1/$N300,0),VDB(1,0,$N300,INT(EQ$44-2),MIN($N300,INT(EQ$44-2)+1),$DC300,IF($DD300="No",1,0))/
IF(DY300&gt;INT($N300),$N300-INT($N300),1))*
IF(EQ$44=2,DY300,
IF(INT(DY300)=INT(DX300),0,DY300-INT(DY300)))))</f>
        <v>0</v>
      </c>
      <c r="ER300" s="834">
        <f>+IF(OR(DZ300=DY300,ER$44=1),0,
IF(AND(ER$44&gt;1,DZ300=$N300),1-SUM($EN300:EQ300),
IF($N300&lt;=1,
IF($N300&gt;0,1/$N300,0),
IF(ER$44=2,0,VDB(1,0,$N300,INT(ER$44-2-1),MIN($N300,INT(ER$44-2-1)+1),$DC300,IF($DD300="No",1,0))/
IF(DY300&gt;=INT($N300),$N300-INT($N300),1)))*
IF(ER$44=2,0,
IF(INT(DZ300)=INT(DY300),DZ300-DY300,INT(DZ300)-DY300))+
IF($N300&lt;=1,
IF($N300&gt;0,1/$N300,0),VDB(1,0,$N300,INT(ER$44-2),MIN($N300,INT(ER$44-2)+1),$DC300,IF($DD300="No",1,0))/
IF(DZ300&gt;INT($N300),$N300-INT($N300),1))*
IF(ER$44=2,DZ300,
IF(INT(DZ300)=INT(DY300),0,DZ300-INT(DZ300)))))</f>
        <v>0</v>
      </c>
      <c r="ES300" s="835">
        <f>+IF(OR(EA300=DZ300,ES$44=1),0,
IF(AND(ES$44&gt;1,EA300=$N300),1-SUM($EN300:ER300),
IF($N300&lt;=1,
IF($N300&gt;0,1/$N300,0),
IF(ES$44=2,0,VDB(1,0,$N300,INT(ES$44-2-1),MIN($N300,INT(ES$44-2-1)+1),$DC300,IF($DD300="No",1,0))/
IF(DZ300&gt;=INT($N300),$N300-INT($N300),1)))*
IF(ES$44=2,0,
IF(INT(EA300)=INT(DZ300),EA300-DZ300,INT(EA300)-DZ300))+
IF($N300&lt;=1,
IF($N300&gt;0,1/$N300,0),VDB(1,0,$N300,INT(ES$44-2),MIN($N300,INT(ES$44-2)+1),$DC300,IF($DD300="No",1,0))/
IF(EA300&gt;INT($N300),$N300-INT($N300),1))*
IF(ES$44=2,EA300,
IF(INT(EA300)=INT(DZ300),0,EA300-INT(EA300)))))</f>
        <v>0</v>
      </c>
      <c r="ET300" s="835">
        <f>+IF(OR(EB300=EA300,ET$44=1),0,
IF(AND(ET$44&gt;1,EB300=$N300),1-SUM($EN300:ES300),
IF($N300&lt;=1,
IF($N300&gt;0,1/$N300,0),
IF(ET$44=2,0,VDB(1,0,$N300,INT(ET$44-2-1),MIN($N300,INT(ET$44-2-1)+1),$DC300,IF($DD300="No",1,0))/
IF(EA300&gt;=INT($N300),$N300-INT($N300),1)))*
IF(ET$44=2,0,
IF(INT(EB300)=INT(EA300),EB300-EA300,INT(EB300)-EA300))+
IF($N300&lt;=1,
IF($N300&gt;0,1/$N300,0),VDB(1,0,$N300,INT(ET$44-2),MIN($N300,INT(ET$44-2)+1),$DC300,IF($DD300="No",1,0))/
IF(EB300&gt;INT($N300),$N300-INT($N300),1))*
IF(ET$44=2,EB300,
IF(INT(EB300)=INT(EA300),0,EB300-INT(EB300)))))</f>
        <v>0</v>
      </c>
      <c r="EU300" s="835">
        <f>+IF(OR(EC300=EB300,EU$44=1),0,
IF(AND(EU$44&gt;1,EC300=$N300),1-SUM($EN300:ET300),
IF($N300&lt;=1,
IF($N300&gt;0,1/$N300,0),
IF(EU$44=2,0,VDB(1,0,$N300,INT(EU$44-2-1),MIN($N300,INT(EU$44-2-1)+1),$DC300,IF($DD300="No",1,0))/
IF(EB300&gt;=INT($N300),$N300-INT($N300),1)))*
IF(EU$44=2,0,
IF(INT(EC300)=INT(EB300),EC300-EB300,INT(EC300)-EB300))+
IF($N300&lt;=1,
IF($N300&gt;0,1/$N300,0),VDB(1,0,$N300,INT(EU$44-2),MIN($N300,INT(EU$44-2)+1),$DC300,IF($DD300="No",1,0))/
IF(EC300&gt;INT($N300),$N300-INT($N300),1))*
IF(EU$44=2,EC300,
IF(INT(EC300)=INT(EB300),0,EC300-INT(EC300)))))</f>
        <v>0</v>
      </c>
      <c r="EV300" s="836">
        <f>+IF(OR(ED300=EC300,EV$44=1),0,
IF(AND(EV$44&gt;1,ED300=$N300),1-SUM($EN300:EU300),
IF($N300&lt;=1,
IF($N300&gt;0,1/$N300,0),
IF(EV$44=2,0,VDB(1,0,$N300,INT(EV$44-2-1),MIN($N300,INT(EV$44-2-1)+1),$DC300,IF($DD300="No",1,0))/
IF(EC300&gt;=INT($N300),$N300-INT($N300),1)))*
IF(EV$44=2,0,
IF(INT(ED300)=INT(EC300),ED300-EC300,INT(ED300)-EC300))+
IF($N300&lt;=1,
IF($N300&gt;0,1/$N300,0),VDB(1,0,$N300,INT(EV$44-2),MIN($N300,INT(EV$44-2)+1),$DC300,IF($DD300="No",1,0))/
IF(ED300&gt;INT($N300),$N300-INT($N300),1))*
IF(EV$44=2,ED300,
IF(INT(ED300)=INT(EC300),0,ED300-INT(ED300)))))</f>
        <v>0</v>
      </c>
      <c r="EW300" s="833"/>
      <c r="EX300" s="834">
        <f t="shared" ca="1" si="513"/>
        <v>0</v>
      </c>
      <c r="EY300" s="835">
        <f t="shared" ca="1" si="513"/>
        <v>0</v>
      </c>
      <c r="EZ300" s="836">
        <f t="shared" ca="1" si="513"/>
        <v>0</v>
      </c>
      <c r="FA300" s="834">
        <f t="shared" ca="1" si="513"/>
        <v>0</v>
      </c>
      <c r="FB300" s="835">
        <f t="shared" ca="1" si="513"/>
        <v>0</v>
      </c>
      <c r="FC300" s="835">
        <f t="shared" ca="1" si="513"/>
        <v>0</v>
      </c>
      <c r="FD300" s="835">
        <f t="shared" ca="1" si="513"/>
        <v>0</v>
      </c>
      <c r="FE300" s="836">
        <f t="shared" ca="1" si="513"/>
        <v>0</v>
      </c>
      <c r="FG300" s="386">
        <f t="shared" ca="1" si="504"/>
        <v>0</v>
      </c>
      <c r="FH300" s="387">
        <f t="shared" ca="1" si="505"/>
        <v>0</v>
      </c>
      <c r="FI300" s="388">
        <f t="shared" ca="1" si="506"/>
        <v>0</v>
      </c>
      <c r="FJ300" s="386">
        <f t="shared" ca="1" si="507"/>
        <v>0</v>
      </c>
      <c r="FK300" s="387">
        <f t="shared" ca="1" si="508"/>
        <v>0</v>
      </c>
      <c r="FL300" s="387">
        <f t="shared" ca="1" si="509"/>
        <v>0</v>
      </c>
      <c r="FM300" s="387">
        <f t="shared" ca="1" si="510"/>
        <v>0</v>
      </c>
      <c r="FN300" s="388">
        <f t="shared" ca="1" si="511"/>
        <v>0</v>
      </c>
      <c r="FR300" s="116"/>
    </row>
    <row r="301" spans="2:174">
      <c r="B301" s="1410">
        <f t="shared" si="512"/>
        <v>255</v>
      </c>
      <c r="C301" s="400"/>
      <c r="D301" s="410"/>
      <c r="E301" s="402"/>
      <c r="F301" s="402"/>
      <c r="G301" s="400"/>
      <c r="H301" s="2088"/>
      <c r="I301" s="2089"/>
      <c r="J301" s="411"/>
      <c r="K301" s="403"/>
      <c r="L301" s="403"/>
      <c r="M301" s="403"/>
      <c r="N301" s="403"/>
      <c r="O301" s="347"/>
      <c r="P301" s="347"/>
      <c r="Q301" s="1021"/>
      <c r="R301" s="1022"/>
      <c r="S301" s="1022"/>
      <c r="T301" s="1022"/>
      <c r="U301" s="1023"/>
      <c r="V301" s="1021"/>
      <c r="W301" s="1022"/>
      <c r="X301" s="1022"/>
      <c r="Y301" s="1022"/>
      <c r="Z301" s="1023"/>
      <c r="AA301" s="1024"/>
      <c r="AB301" s="1021"/>
      <c r="AC301" s="1022"/>
      <c r="AD301" s="1022"/>
      <c r="AE301" s="1022"/>
      <c r="AF301" s="1023"/>
      <c r="AG301" s="1021"/>
      <c r="AH301" s="1022"/>
      <c r="AI301" s="1022"/>
      <c r="AJ301" s="1022"/>
      <c r="AK301" s="1023"/>
      <c r="AL301" s="1024"/>
      <c r="AM301" s="1021"/>
      <c r="AN301" s="1022"/>
      <c r="AO301" s="1022"/>
      <c r="AP301" s="1022"/>
      <c r="AQ301" s="1023"/>
      <c r="AR301" s="1021"/>
      <c r="AS301" s="1022"/>
      <c r="AT301" s="1022"/>
      <c r="AU301" s="1022"/>
      <c r="AV301" s="1023"/>
      <c r="AW301" s="1025"/>
      <c r="AX301" s="1282">
        <f t="shared" si="457"/>
        <v>0</v>
      </c>
      <c r="AY301" s="387">
        <f t="shared" si="458"/>
        <v>0</v>
      </c>
      <c r="AZ301" s="387">
        <f t="shared" si="459"/>
        <v>0</v>
      </c>
      <c r="BA301" s="387">
        <f t="shared" si="460"/>
        <v>0</v>
      </c>
      <c r="BB301" s="1283">
        <f t="shared" si="461"/>
        <v>0</v>
      </c>
      <c r="BC301" s="386">
        <f t="shared" si="462"/>
        <v>0</v>
      </c>
      <c r="BD301" s="387">
        <f t="shared" si="463"/>
        <v>0</v>
      </c>
      <c r="BE301" s="1277">
        <f t="shared" si="464"/>
        <v>0</v>
      </c>
      <c r="BF301" s="1277">
        <f t="shared" si="465"/>
        <v>0</v>
      </c>
      <c r="BG301" s="388">
        <f t="shared" si="466"/>
        <v>0</v>
      </c>
      <c r="BH301" s="1025"/>
      <c r="BI301" s="1282">
        <f t="shared" ca="1" si="467"/>
        <v>0</v>
      </c>
      <c r="BJ301" s="387">
        <f t="shared" ca="1" si="468"/>
        <v>0</v>
      </c>
      <c r="BK301" s="387">
        <f t="shared" ca="1" si="469"/>
        <v>0</v>
      </c>
      <c r="BL301" s="387">
        <f t="shared" ca="1" si="470"/>
        <v>0</v>
      </c>
      <c r="BM301" s="1283">
        <f t="shared" ca="1" si="471"/>
        <v>0</v>
      </c>
      <c r="BN301" s="386">
        <f t="shared" ca="1" si="472"/>
        <v>0</v>
      </c>
      <c r="BO301" s="387">
        <f t="shared" ca="1" si="473"/>
        <v>0</v>
      </c>
      <c r="BP301" s="1277">
        <f t="shared" ca="1" si="474"/>
        <v>0</v>
      </c>
      <c r="BQ301" s="1277">
        <f t="shared" ca="1" si="475"/>
        <v>0</v>
      </c>
      <c r="BR301" s="388">
        <f t="shared" ca="1" si="476"/>
        <v>0</v>
      </c>
      <c r="BS301" s="1025"/>
      <c r="BT301" s="1282">
        <f>+IF($K301="Ongoing",AX301,IF(RIGHT($K301,2)=RIGHT(BT$43,2),SUM($AX301:AX301),0)+IF(RIGHT(BT$43,2)&gt;RIGHT($K301,2),AX301,0))</f>
        <v>0</v>
      </c>
      <c r="BU301" s="387">
        <f>+IF($K301="Ongoing",AY301,IF(RIGHT($K301,2)=RIGHT(BU$43,2),SUM($AX301:AY301),0)+IF(RIGHT(BU$43,2)&gt;RIGHT($K301,2),AY301,0))</f>
        <v>0</v>
      </c>
      <c r="BV301" s="387">
        <f>+IF($K301="Ongoing",AZ301,IF(RIGHT($K301,2)=RIGHT(BV$43,2),SUM($AX301:AZ301),0)+IF(RIGHT(BV$43,2)&gt;RIGHT($K301,2),AZ301,0))</f>
        <v>0</v>
      </c>
      <c r="BW301" s="387">
        <f>+IF($K301="Ongoing",BA301,IF(RIGHT($K301,2)=RIGHT(BW$43,2),SUM($AX301:BA301),0)+IF(RIGHT(BW$43,2)&gt;RIGHT($K301,2),BA301,0))</f>
        <v>0</v>
      </c>
      <c r="BX301" s="1283">
        <f>+IF($K301="Ongoing",BB301,IF(RIGHT($K301,2)=RIGHT(BX$43,2),SUM($AX301:BB301),0)+IF(RIGHT(BX$43,2)&gt;RIGHT($K301,2),BB301,0))</f>
        <v>0</v>
      </c>
      <c r="BY301" s="386">
        <f>+IF($K301="Ongoing",BC301,IF(RIGHT($K301,2)=RIGHT(BY$43,2),SUM($AX301:BC301),0)+IF(RIGHT(BY$43,2)&gt;RIGHT($K301,2),BC301,0))</f>
        <v>0</v>
      </c>
      <c r="BZ301" s="387">
        <f>+IF($K301="Ongoing",BD301,IF(RIGHT($K301,2)=RIGHT(BZ$43,2),SUM($AX301:BD301),0)+IF(RIGHT(BZ$43,2)&gt;RIGHT($K301,2),BD301,0))</f>
        <v>0</v>
      </c>
      <c r="CA301" s="1277">
        <f>+IF($K301="Ongoing",BE301,IF(RIGHT($K301,2)=RIGHT(CA$43,2),SUM($AX301:BE301),0)+IF(RIGHT(CA$43,2)&gt;RIGHT($K301,2),BE301,0))</f>
        <v>0</v>
      </c>
      <c r="CB301" s="1277">
        <f>+IF($K301="Ongoing",BF301,IF(RIGHT($K301,2)=RIGHT(CB$43,2),SUM($AX301:BF301),0)+IF(RIGHT(CB$43,2)&gt;RIGHT($K301,2),BF301,0))</f>
        <v>0</v>
      </c>
      <c r="CC301" s="388">
        <f>+IF($K301="Ongoing",BG301,IF(RIGHT($K301,2)=RIGHT(CC$43,2),SUM($AX301:BG301),0)+IF(RIGHT(CC$43,2)&gt;RIGHT($K301,2),BG301,0))</f>
        <v>0</v>
      </c>
      <c r="CD301" s="1025"/>
      <c r="CE301" s="1282">
        <f>+Q301*KeyAssumptionsPriceControl_FO!AF$15</f>
        <v>0</v>
      </c>
      <c r="CF301" s="387">
        <f>+R301*KeyAssumptionsPriceControl_FO!AG$15</f>
        <v>0</v>
      </c>
      <c r="CG301" s="387">
        <f>+S301*KeyAssumptionsPriceControl_FO!AH$15</f>
        <v>0</v>
      </c>
      <c r="CH301" s="387">
        <f>+T301*KeyAssumptionsPriceControl_FO!AI$15</f>
        <v>0</v>
      </c>
      <c r="CI301" s="1283">
        <f>+U301*KeyAssumptionsPriceControl_FO!AJ$15</f>
        <v>0</v>
      </c>
      <c r="CJ301" s="386">
        <f>+V301*KeyAssumptionsPriceControl_FO!AK$15</f>
        <v>0</v>
      </c>
      <c r="CK301" s="387">
        <f>+W301*KeyAssumptionsPriceControl_FO!AL$15</f>
        <v>0</v>
      </c>
      <c r="CL301" s="1277">
        <f>+X301*KeyAssumptionsPriceControl_FO!AM$15</f>
        <v>0</v>
      </c>
      <c r="CM301" s="1277">
        <f>+Y301*KeyAssumptionsPriceControl_FO!AN$15</f>
        <v>0</v>
      </c>
      <c r="CN301" s="388">
        <f>+Z301*KeyAssumptionsPriceControl_FO!AO$15</f>
        <v>0</v>
      </c>
      <c r="CO301" s="1025"/>
      <c r="CP301" s="1282">
        <f t="shared" ca="1" si="477"/>
        <v>0</v>
      </c>
      <c r="CQ301" s="387">
        <f t="shared" ca="1" si="478"/>
        <v>0</v>
      </c>
      <c r="CR301" s="387">
        <f t="shared" ca="1" si="479"/>
        <v>0</v>
      </c>
      <c r="CS301" s="387">
        <f t="shared" ca="1" si="480"/>
        <v>0</v>
      </c>
      <c r="CT301" s="1283">
        <f t="shared" ca="1" si="481"/>
        <v>0</v>
      </c>
      <c r="CU301" s="386">
        <f t="shared" ca="1" si="482"/>
        <v>0</v>
      </c>
      <c r="CV301" s="387">
        <f t="shared" ca="1" si="483"/>
        <v>0</v>
      </c>
      <c r="CW301" s="1277">
        <f t="shared" ca="1" si="484"/>
        <v>0</v>
      </c>
      <c r="CX301" s="1277">
        <f t="shared" ca="1" si="485"/>
        <v>0</v>
      </c>
      <c r="CY301" s="388">
        <f t="shared" ca="1" si="486"/>
        <v>0</v>
      </c>
      <c r="CZ301" s="347"/>
      <c r="DA301" s="852"/>
      <c r="DB301" s="347"/>
      <c r="DC301" s="1012" t="s">
        <v>609</v>
      </c>
      <c r="DD301" s="841" t="s">
        <v>518</v>
      </c>
      <c r="DE301" s="386">
        <f>+IF($K301="ongoing",CE301,IF(RIGHT($K301,2)=RIGHT(DE$43,2),SUM($CD301:CE301),0)+IF(RIGHT(DE$43,2)&gt;RIGHT($K301,2),CE301,0))</f>
        <v>0</v>
      </c>
      <c r="DF301" s="387">
        <f>+IF($K301="ongoing",CF301,IF(RIGHT($K301,2)=RIGHT(DF$43,2),SUM($CD301:CF301),0)+IF(RIGHT(DF$43,2)&gt;RIGHT($K301,2),CF301,0))</f>
        <v>0</v>
      </c>
      <c r="DG301" s="388">
        <f>+IF($K301="ongoing",CG301,IF(RIGHT($K301,2)=RIGHT(DG$43,2),SUM($CD301:CG301),0)+IF(RIGHT(DG$43,2)&gt;RIGHT($K301,2),CG301,0))</f>
        <v>0</v>
      </c>
      <c r="DH301" s="386">
        <f>+IF($K301="ongoing",CH301,IF(RIGHT($K301,2)=RIGHT(DH$43,2),SUM($CD301:CH301),0)+IF(RIGHT(DH$43,2)&gt;RIGHT($K301,2),CH301,0))</f>
        <v>0</v>
      </c>
      <c r="DI301" s="387">
        <f>+IF($K301="ongoing",CI301,IF(RIGHT($K301,2)=RIGHT(DI$43,2),SUM($CD301:CI301),0)+IF(RIGHT(DI$43,2)&gt;RIGHT($K301,2),CI301,0))</f>
        <v>0</v>
      </c>
      <c r="DJ301" s="387">
        <f>+IF($K301="ongoing",CJ301,IF(RIGHT($K301,2)=RIGHT(DJ$43,2),SUM($CD301:CJ301),0)+IF(RIGHT(DJ$43,2)&gt;RIGHT($K301,2),CJ301,0))</f>
        <v>0</v>
      </c>
      <c r="DK301" s="387">
        <f>+IF($K301="ongoing",CK301,IF(RIGHT($K301,2)=RIGHT(DK$43,2),SUM($CD301:CK301),0)+IF(RIGHT(DK$43,2)&gt;RIGHT($K301,2),CK301,0))</f>
        <v>0</v>
      </c>
      <c r="DL301" s="388">
        <f>+IF($K301="ongoing",CN301,IF(RIGHT($K301,2)=RIGHT(DL$43,2),SUM($CD301:CN301),0)+IF(RIGHT(DL$43,2)&gt;RIGHT($K301,2),CN301,0))</f>
        <v>0</v>
      </c>
      <c r="DM301" s="841"/>
      <c r="DN301" s="386">
        <f t="shared" si="487"/>
        <v>0.5</v>
      </c>
      <c r="DO301" s="387">
        <f t="shared" si="488"/>
        <v>1</v>
      </c>
      <c r="DP301" s="388">
        <f t="shared" si="489"/>
        <v>1</v>
      </c>
      <c r="DQ301" s="386">
        <f t="shared" si="490"/>
        <v>1</v>
      </c>
      <c r="DR301" s="387">
        <f t="shared" si="491"/>
        <v>1</v>
      </c>
      <c r="DS301" s="387">
        <f t="shared" si="492"/>
        <v>1</v>
      </c>
      <c r="DT301" s="387">
        <f t="shared" si="493"/>
        <v>1</v>
      </c>
      <c r="DU301" s="388">
        <f t="shared" si="494"/>
        <v>1</v>
      </c>
      <c r="DW301" s="386">
        <f t="shared" si="495"/>
        <v>0</v>
      </c>
      <c r="DX301" s="387">
        <f t="shared" si="496"/>
        <v>0.5</v>
      </c>
      <c r="DY301" s="388">
        <f t="shared" si="497"/>
        <v>1</v>
      </c>
      <c r="DZ301" s="386">
        <f t="shared" si="498"/>
        <v>1</v>
      </c>
      <c r="EA301" s="387">
        <f t="shared" si="499"/>
        <v>1</v>
      </c>
      <c r="EB301" s="387">
        <f t="shared" si="500"/>
        <v>1</v>
      </c>
      <c r="EC301" s="387">
        <f t="shared" si="501"/>
        <v>1</v>
      </c>
      <c r="ED301" s="388">
        <f t="shared" si="502"/>
        <v>1</v>
      </c>
      <c r="EF301" s="834">
        <f>+IF(DN301=DM301,0,
IF(AND(EF$44&gt;1,DN301=$N301),1-SUM($EE301:EE301),
IF($N301&lt;=1,
IF($N301&gt;0,1/$N301,0),
IF(EF$44=1,0,VDB(1,0,$N301,INT(EF$44-1-1),MIN($N301,INT(EF$44-1-1)+1),$DC301,IF($DD301="No",1,0))/
IF(DM301&gt;=INT($N301),$N301-INT($N301),1)))*
IF(EF$44=1,0,
IF(INT(DN301)=INT(DM301),DN301-DM301,INT(DN301)-DM301))+
IF($N301&lt;=1,
IF($N301&gt;0,1/$N301,0),VDB(1,0,$N301,INT(EF$44-1),MIN($N301,INT(EF$44-1)+1),$DC301,IF($DD301="No",1,0))/
IF(DN301&gt;INT($N301),$N301-INT($N301),1))*
IF(EF$44=1,DN301,
IF(INT(DN301)=INT(DM301),0,DN301-INT(DN301)))))</f>
        <v>0</v>
      </c>
      <c r="EG301" s="835">
        <f>+IF(DO301=DN301,0,
IF(AND(EG$44&gt;1,DO301=$N301),1-SUM($EE301:EF301),
IF($N301&lt;=1,
IF($N301&gt;0,1/$N301,0),
IF(EG$44=1,0,VDB(1,0,$N301,INT(EG$44-1-1),MIN($N301,INT(EG$44-1-1)+1),$DC301,IF($DD301="No",1,0))/
IF(DN301&gt;=INT($N301),$N301-INT($N301),1)))*
IF(EG$44=1,0,
IF(INT(DO301)=INT(DN301),DO301-DN301,INT(DO301)-DN301))+
IF($N301&lt;=1,
IF($N301&gt;0,1/$N301,0),VDB(1,0,$N301,INT(EG$44-1),MIN($N301,INT(EG$44-1)+1),$DC301,IF($DD301="No",1,0))/
IF(DO301&gt;INT($N301),$N301-INT($N301),1))*
IF(EG$44=1,DO301,
IF(INT(DO301)=INT(DN301),0,DO301-INT(DO301)))))</f>
        <v>0</v>
      </c>
      <c r="EH301" s="836">
        <f>+IF(DP301=DO301,0,
IF(AND(EH$44&gt;1,DP301=$N301),1-SUM($EE301:EG301),
IF($N301&lt;=1,
IF($N301&gt;0,1/$N301,0),
IF(EH$44=1,0,VDB(1,0,$N301,INT(EH$44-1-1),MIN($N301,INT(EH$44-1-1)+1),$DC301,IF($DD301="No",1,0))/
IF(DO301&gt;=INT($N301),$N301-INT($N301),1)))*
IF(EH$44=1,0,
IF(INT(DP301)=INT(DO301),DP301-DO301,INT(DP301)-DO301))+
IF($N301&lt;=1,
IF($N301&gt;0,1/$N301,0),VDB(1,0,$N301,INT(EH$44-1),MIN($N301,INT(EH$44-1)+1),$DC301,IF($DD301="No",1,0))/
IF(DP301&gt;INT($N301),$N301-INT($N301),1))*
IF(EH$44=1,DP301,
IF(INT(DP301)=INT(DO301),0,DP301-INT(DP301)))))</f>
        <v>0</v>
      </c>
      <c r="EI301" s="834">
        <f>+IF(DQ301=DP301,0,
IF(AND(EI$44&gt;1,DQ301=$N301),1-SUM($EE301:EH301),
IF($N301&lt;=1,
IF($N301&gt;0,1/$N301,0),
IF(EI$44=1,0,VDB(1,0,$N301,INT(EI$44-1-1),MIN($N301,INT(EI$44-1-1)+1),$DC301,IF($DD301="No",1,0))/
IF(DP301&gt;=INT($N301),$N301-INT($N301),1)))*
IF(EI$44=1,0,
IF(INT(DQ301)=INT(DP301),DQ301-DP301,INT(DQ301)-DP301))+
IF($N301&lt;=1,
IF($N301&gt;0,1/$N301,0),VDB(1,0,$N301,INT(EI$44-1),MIN($N301,INT(EI$44-1)+1),$DC301,IF($DD301="No",1,0))/
IF(DQ301&gt;INT($N301),$N301-INT($N301),1))*
IF(EI$44=1,DQ301,
IF(INT(DQ301)=INT(DP301),0,DQ301-INT(DQ301)))))</f>
        <v>0</v>
      </c>
      <c r="EJ301" s="835">
        <f>+IF(DR301=DQ301,0,
IF(AND(EJ$44&gt;1,DR301=$N301),1-SUM($EE301:EI301),
IF($N301&lt;=1,
IF($N301&gt;0,1/$N301,0),
IF(EJ$44=1,0,VDB(1,0,$N301,INT(EJ$44-1-1),MIN($N301,INT(EJ$44-1-1)+1),$DC301,IF($DD301="No",1,0))/
IF(DQ301&gt;=INT($N301),$N301-INT($N301),1)))*
IF(EJ$44=1,0,
IF(INT(DR301)=INT(DQ301),DR301-DQ301,INT(DR301)-DQ301))+
IF($N301&lt;=1,
IF($N301&gt;0,1/$N301,0),VDB(1,0,$N301,INT(EJ$44-1),MIN($N301,INT(EJ$44-1)+1),$DC301,IF($DD301="No",1,0))/
IF(DR301&gt;INT($N301),$N301-INT($N301),1))*
IF(EJ$44=1,DR301,
IF(INT(DR301)=INT(DQ301),0,DR301-INT(DR301)))))</f>
        <v>0</v>
      </c>
      <c r="EK301" s="835">
        <f>+IF(DS301=DR301,0,
IF(AND(EK$44&gt;1,DS301=$N301),1-SUM($EE301:EJ301),
IF($N301&lt;=1,
IF($N301&gt;0,1/$N301,0),
IF(EK$44=1,0,VDB(1,0,$N301,INT(EK$44-1-1),MIN($N301,INT(EK$44-1-1)+1),$DC301,IF($DD301="No",1,0))/
IF(DR301&gt;=INT($N301),$N301-INT($N301),1)))*
IF(EK$44=1,0,
IF(INT(DS301)=INT(DR301),DS301-DR301,INT(DS301)-DR301))+
IF($N301&lt;=1,
IF($N301&gt;0,1/$N301,0),VDB(1,0,$N301,INT(EK$44-1),MIN($N301,INT(EK$44-1)+1),$DC301,IF($DD301="No",1,0))/
IF(DS301&gt;INT($N301),$N301-INT($N301),1))*
IF(EK$44=1,DS301,
IF(INT(DS301)=INT(DR301),0,DS301-INT(DS301)))))</f>
        <v>0</v>
      </c>
      <c r="EL301" s="835">
        <f>+IF(DT301=DS301,0,
IF(AND(EL$44&gt;1,DT301=$N301),1-SUM($EE301:EK301),
IF($N301&lt;=1,
IF($N301&gt;0,1/$N301,0),
IF(EL$44=1,0,VDB(1,0,$N301,INT(EL$44-1-1),MIN($N301,INT(EL$44-1-1)+1),$DC301,IF($DD301="No",1,0))/
IF(DS301&gt;=INT($N301),$N301-INT($N301),1)))*
IF(EL$44=1,0,
IF(INT(DT301)=INT(DS301),DT301-DS301,INT(DT301)-DS301))+
IF($N301&lt;=1,
IF($N301&gt;0,1/$N301,0),VDB(1,0,$N301,INT(EL$44-1),MIN($N301,INT(EL$44-1)+1),$DC301,IF($DD301="No",1,0))/
IF(DT301&gt;INT($N301),$N301-INT($N301),1))*
IF(EL$44=1,DT301,
IF(INT(DT301)=INT(DS301),0,DT301-INT(DT301)))))</f>
        <v>0</v>
      </c>
      <c r="EM301" s="836">
        <f>+IF(DU301=DT301,0,
IF(AND(EM$44&gt;1,DU301=$N301),1-SUM($EE301:EL301),
IF($N301&lt;=1,
IF($N301&gt;0,1/$N301,0),
IF(EM$44=1,0,VDB(1,0,$N301,INT(EM$44-1-1),MIN($N301,INT(EM$44-1-1)+1),$DC301,IF($DD301="No",1,0))/
IF(DT301&gt;=INT($N301),$N301-INT($N301),1)))*
IF(EM$44=1,0,
IF(INT(DU301)=INT(DT301),DU301-DT301,INT(DU301)-DT301))+
IF($N301&lt;=1,
IF($N301&gt;0,1/$N301,0),VDB(1,0,$N301,INT(EM$44-1),MIN($N301,INT(EM$44-1)+1),$DC301,IF($DD301="No",1,0))/
IF(DU301&gt;INT($N301),$N301-INT($N301),1))*
IF(EM$44=1,DU301,
IF(INT(DU301)=INT(DT301),0,DU301-INT(DU301)))))</f>
        <v>0</v>
      </c>
      <c r="EN301" s="833"/>
      <c r="EO301" s="834">
        <f>+IF(OR(DW301=DV301,EO$44=1),0,
IF(AND(EO$44&gt;1,DW301=$N301),1-SUM($EN301:EN301),
IF($N301&lt;=1,
IF($N301&gt;0,1/$N301,0),
IF(EO$44=2,0,VDB(1,0,$N301,INT(EO$44-2-1),MIN($N301,INT(EO$44-2-1)+1),$DC301,IF($DD301="No",1,0))/
IF(DV301&gt;=INT($N301),$N301-INT($N301),1)))*
IF(EO$44=2,0,
IF(INT(DW301)=INT(DV301),DW301-DV301,INT(DW301)-DV301))+
IF($N301&lt;=1,
IF($N301&gt;0,1/$N301,0),VDB(1,0,$N301,INT(EO$44-2),MIN($N301,INT(EO$44-2)+1),$DC301,IF($DD301="No",1,0))/
IF(DW301&gt;INT($N301),$N301-INT($N301),1))*
IF(EO$44=2,DW301,
IF(INT(DW301)=INT(DV301),0,DW301-INT(DW301)))))</f>
        <v>0</v>
      </c>
      <c r="EP301" s="835">
        <f>+IF(OR(DX301=DW301,EP$44=1),0,
IF(AND(EP$44&gt;1,DX301=$N301),1-SUM($EN301:EO301),
IF($N301&lt;=1,
IF($N301&gt;0,1/$N301,0),
IF(EP$44=2,0,VDB(1,0,$N301,INT(EP$44-2-1),MIN($N301,INT(EP$44-2-1)+1),$DC301,IF($DD301="No",1,0))/
IF(DW301&gt;=INT($N301),$N301-INT($N301),1)))*
IF(EP$44=2,0,
IF(INT(DX301)=INT(DW301),DX301-DW301,INT(DX301)-DW301))+
IF($N301&lt;=1,
IF($N301&gt;0,1/$N301,0),VDB(1,0,$N301,INT(EP$44-2),MIN($N301,INT(EP$44-2)+1),$DC301,IF($DD301="No",1,0))/
IF(DX301&gt;INT($N301),$N301-INT($N301),1))*
IF(EP$44=2,DX301,
IF(INT(DX301)=INT(DW301),0,DX301-INT(DX301)))))</f>
        <v>0</v>
      </c>
      <c r="EQ301" s="836">
        <f>+IF(OR(DY301=DX301,EQ$44=1),0,
IF(AND(EQ$44&gt;1,DY301=$N301),1-SUM($EN301:EP301),
IF($N301&lt;=1,
IF($N301&gt;0,1/$N301,0),
IF(EQ$44=2,0,VDB(1,0,$N301,INT(EQ$44-2-1),MIN($N301,INT(EQ$44-2-1)+1),$DC301,IF($DD301="No",1,0))/
IF(DX301&gt;=INT($N301),$N301-INT($N301),1)))*
IF(EQ$44=2,0,
IF(INT(DY301)=INT(DX301),DY301-DX301,INT(DY301)-DX301))+
IF($N301&lt;=1,
IF($N301&gt;0,1/$N301,0),VDB(1,0,$N301,INT(EQ$44-2),MIN($N301,INT(EQ$44-2)+1),$DC301,IF($DD301="No",1,0))/
IF(DY301&gt;INT($N301),$N301-INT($N301),1))*
IF(EQ$44=2,DY301,
IF(INT(DY301)=INT(DX301),0,DY301-INT(DY301)))))</f>
        <v>0</v>
      </c>
      <c r="ER301" s="834">
        <f>+IF(OR(DZ301=DY301,ER$44=1),0,
IF(AND(ER$44&gt;1,DZ301=$N301),1-SUM($EN301:EQ301),
IF($N301&lt;=1,
IF($N301&gt;0,1/$N301,0),
IF(ER$44=2,0,VDB(1,0,$N301,INT(ER$44-2-1),MIN($N301,INT(ER$44-2-1)+1),$DC301,IF($DD301="No",1,0))/
IF(DY301&gt;=INT($N301),$N301-INT($N301),1)))*
IF(ER$44=2,0,
IF(INT(DZ301)=INT(DY301),DZ301-DY301,INT(DZ301)-DY301))+
IF($N301&lt;=1,
IF($N301&gt;0,1/$N301,0),VDB(1,0,$N301,INT(ER$44-2),MIN($N301,INT(ER$44-2)+1),$DC301,IF($DD301="No",1,0))/
IF(DZ301&gt;INT($N301),$N301-INT($N301),1))*
IF(ER$44=2,DZ301,
IF(INT(DZ301)=INT(DY301),0,DZ301-INT(DZ301)))))</f>
        <v>0</v>
      </c>
      <c r="ES301" s="835">
        <f>+IF(OR(EA301=DZ301,ES$44=1),0,
IF(AND(ES$44&gt;1,EA301=$N301),1-SUM($EN301:ER301),
IF($N301&lt;=1,
IF($N301&gt;0,1/$N301,0),
IF(ES$44=2,0,VDB(1,0,$N301,INT(ES$44-2-1),MIN($N301,INT(ES$44-2-1)+1),$DC301,IF($DD301="No",1,0))/
IF(DZ301&gt;=INT($N301),$N301-INT($N301),1)))*
IF(ES$44=2,0,
IF(INT(EA301)=INT(DZ301),EA301-DZ301,INT(EA301)-DZ301))+
IF($N301&lt;=1,
IF($N301&gt;0,1/$N301,0),VDB(1,0,$N301,INT(ES$44-2),MIN($N301,INT(ES$44-2)+1),$DC301,IF($DD301="No",1,0))/
IF(EA301&gt;INT($N301),$N301-INT($N301),1))*
IF(ES$44=2,EA301,
IF(INT(EA301)=INT(DZ301),0,EA301-INT(EA301)))))</f>
        <v>0</v>
      </c>
      <c r="ET301" s="835">
        <f>+IF(OR(EB301=EA301,ET$44=1),0,
IF(AND(ET$44&gt;1,EB301=$N301),1-SUM($EN301:ES301),
IF($N301&lt;=1,
IF($N301&gt;0,1/$N301,0),
IF(ET$44=2,0,VDB(1,0,$N301,INT(ET$44-2-1),MIN($N301,INT(ET$44-2-1)+1),$DC301,IF($DD301="No",1,0))/
IF(EA301&gt;=INT($N301),$N301-INT($N301),1)))*
IF(ET$44=2,0,
IF(INT(EB301)=INT(EA301),EB301-EA301,INT(EB301)-EA301))+
IF($N301&lt;=1,
IF($N301&gt;0,1/$N301,0),VDB(1,0,$N301,INT(ET$44-2),MIN($N301,INT(ET$44-2)+1),$DC301,IF($DD301="No",1,0))/
IF(EB301&gt;INT($N301),$N301-INT($N301),1))*
IF(ET$44=2,EB301,
IF(INT(EB301)=INT(EA301),0,EB301-INT(EB301)))))</f>
        <v>0</v>
      </c>
      <c r="EU301" s="835">
        <f>+IF(OR(EC301=EB301,EU$44=1),0,
IF(AND(EU$44&gt;1,EC301=$N301),1-SUM($EN301:ET301),
IF($N301&lt;=1,
IF($N301&gt;0,1/$N301,0),
IF(EU$44=2,0,VDB(1,0,$N301,INT(EU$44-2-1),MIN($N301,INT(EU$44-2-1)+1),$DC301,IF($DD301="No",1,0))/
IF(EB301&gt;=INT($N301),$N301-INT($N301),1)))*
IF(EU$44=2,0,
IF(INT(EC301)=INT(EB301),EC301-EB301,INT(EC301)-EB301))+
IF($N301&lt;=1,
IF($N301&gt;0,1/$N301,0),VDB(1,0,$N301,INT(EU$44-2),MIN($N301,INT(EU$44-2)+1),$DC301,IF($DD301="No",1,0))/
IF(EC301&gt;INT($N301),$N301-INT($N301),1))*
IF(EU$44=2,EC301,
IF(INT(EC301)=INT(EB301),0,EC301-INT(EC301)))))</f>
        <v>0</v>
      </c>
      <c r="EV301" s="836">
        <f>+IF(OR(ED301=EC301,EV$44=1),0,
IF(AND(EV$44&gt;1,ED301=$N301),1-SUM($EN301:EU301),
IF($N301&lt;=1,
IF($N301&gt;0,1/$N301,0),
IF(EV$44=2,0,VDB(1,0,$N301,INT(EV$44-2-1),MIN($N301,INT(EV$44-2-1)+1),$DC301,IF($DD301="No",1,0))/
IF(EC301&gt;=INT($N301),$N301-INT($N301),1)))*
IF(EV$44=2,0,
IF(INT(ED301)=INT(EC301),ED301-EC301,INT(ED301)-EC301))+
IF($N301&lt;=1,
IF($N301&gt;0,1/$N301,0),VDB(1,0,$N301,INT(EV$44-2),MIN($N301,INT(EV$44-2)+1),$DC301,IF($DD301="No",1,0))/
IF(ED301&gt;INT($N301),$N301-INT($N301),1))*
IF(EV$44=2,ED301,
IF(INT(ED301)=INT(EC301),0,ED301-INT(ED301)))))</f>
        <v>0</v>
      </c>
      <c r="EW301" s="833"/>
      <c r="EX301" s="834">
        <f t="shared" ca="1" si="513"/>
        <v>0</v>
      </c>
      <c r="EY301" s="835">
        <f t="shared" ca="1" si="513"/>
        <v>0</v>
      </c>
      <c r="EZ301" s="836">
        <f t="shared" ca="1" si="513"/>
        <v>0</v>
      </c>
      <c r="FA301" s="834">
        <f t="shared" ca="1" si="513"/>
        <v>0</v>
      </c>
      <c r="FB301" s="835">
        <f t="shared" ca="1" si="513"/>
        <v>0</v>
      </c>
      <c r="FC301" s="835">
        <f t="shared" ca="1" si="513"/>
        <v>0</v>
      </c>
      <c r="FD301" s="835">
        <f t="shared" ca="1" si="513"/>
        <v>0</v>
      </c>
      <c r="FE301" s="836">
        <f t="shared" ca="1" si="513"/>
        <v>0</v>
      </c>
      <c r="FG301" s="386">
        <f t="shared" ca="1" si="504"/>
        <v>0</v>
      </c>
      <c r="FH301" s="387">
        <f t="shared" ca="1" si="505"/>
        <v>0</v>
      </c>
      <c r="FI301" s="388">
        <f t="shared" ca="1" si="506"/>
        <v>0</v>
      </c>
      <c r="FJ301" s="386">
        <f t="shared" ca="1" si="507"/>
        <v>0</v>
      </c>
      <c r="FK301" s="387">
        <f t="shared" ca="1" si="508"/>
        <v>0</v>
      </c>
      <c r="FL301" s="387">
        <f t="shared" ca="1" si="509"/>
        <v>0</v>
      </c>
      <c r="FM301" s="387">
        <f t="shared" ca="1" si="510"/>
        <v>0</v>
      </c>
      <c r="FN301" s="388">
        <f t="shared" ca="1" si="511"/>
        <v>0</v>
      </c>
      <c r="FR301" s="116"/>
    </row>
    <row r="302" spans="2:174">
      <c r="B302" s="1410">
        <f t="shared" si="512"/>
        <v>256</v>
      </c>
      <c r="C302" s="400"/>
      <c r="D302" s="410"/>
      <c r="E302" s="402"/>
      <c r="F302" s="402"/>
      <c r="G302" s="400"/>
      <c r="H302" s="2088"/>
      <c r="I302" s="2089"/>
      <c r="J302" s="411"/>
      <c r="K302" s="403"/>
      <c r="L302" s="403"/>
      <c r="M302" s="403"/>
      <c r="N302" s="403"/>
      <c r="O302" s="347"/>
      <c r="P302" s="347"/>
      <c r="Q302" s="1021"/>
      <c r="R302" s="1022"/>
      <c r="S302" s="1022"/>
      <c r="T302" s="1022"/>
      <c r="U302" s="1023"/>
      <c r="V302" s="1021"/>
      <c r="W302" s="1022"/>
      <c r="X302" s="1022"/>
      <c r="Y302" s="1022"/>
      <c r="Z302" s="1023"/>
      <c r="AA302" s="1024"/>
      <c r="AB302" s="1021"/>
      <c r="AC302" s="1022"/>
      <c r="AD302" s="1022"/>
      <c r="AE302" s="1022"/>
      <c r="AF302" s="1023"/>
      <c r="AG302" s="1021"/>
      <c r="AH302" s="1022"/>
      <c r="AI302" s="1022"/>
      <c r="AJ302" s="1022"/>
      <c r="AK302" s="1023"/>
      <c r="AL302" s="1024"/>
      <c r="AM302" s="1021"/>
      <c r="AN302" s="1022"/>
      <c r="AO302" s="1022"/>
      <c r="AP302" s="1022"/>
      <c r="AQ302" s="1023"/>
      <c r="AR302" s="1021"/>
      <c r="AS302" s="1022"/>
      <c r="AT302" s="1022"/>
      <c r="AU302" s="1022"/>
      <c r="AV302" s="1023"/>
      <c r="AW302" s="1025"/>
      <c r="AX302" s="1282">
        <f t="shared" si="457"/>
        <v>0</v>
      </c>
      <c r="AY302" s="387">
        <f t="shared" si="458"/>
        <v>0</v>
      </c>
      <c r="AZ302" s="387">
        <f t="shared" si="459"/>
        <v>0</v>
      </c>
      <c r="BA302" s="387">
        <f t="shared" si="460"/>
        <v>0</v>
      </c>
      <c r="BB302" s="1283">
        <f t="shared" si="461"/>
        <v>0</v>
      </c>
      <c r="BC302" s="386">
        <f t="shared" si="462"/>
        <v>0</v>
      </c>
      <c r="BD302" s="387">
        <f t="shared" si="463"/>
        <v>0</v>
      </c>
      <c r="BE302" s="1277">
        <f t="shared" si="464"/>
        <v>0</v>
      </c>
      <c r="BF302" s="1277">
        <f t="shared" si="465"/>
        <v>0</v>
      </c>
      <c r="BG302" s="388">
        <f t="shared" si="466"/>
        <v>0</v>
      </c>
      <c r="BH302" s="1025"/>
      <c r="BI302" s="1282">
        <f t="shared" ca="1" si="467"/>
        <v>0</v>
      </c>
      <c r="BJ302" s="387">
        <f t="shared" ca="1" si="468"/>
        <v>0</v>
      </c>
      <c r="BK302" s="387">
        <f t="shared" ca="1" si="469"/>
        <v>0</v>
      </c>
      <c r="BL302" s="387">
        <f t="shared" ca="1" si="470"/>
        <v>0</v>
      </c>
      <c r="BM302" s="1283">
        <f t="shared" ca="1" si="471"/>
        <v>0</v>
      </c>
      <c r="BN302" s="386">
        <f t="shared" ca="1" si="472"/>
        <v>0</v>
      </c>
      <c r="BO302" s="387">
        <f t="shared" ca="1" si="473"/>
        <v>0</v>
      </c>
      <c r="BP302" s="1277">
        <f t="shared" ca="1" si="474"/>
        <v>0</v>
      </c>
      <c r="BQ302" s="1277">
        <f t="shared" ca="1" si="475"/>
        <v>0</v>
      </c>
      <c r="BR302" s="388">
        <f t="shared" ca="1" si="476"/>
        <v>0</v>
      </c>
      <c r="BS302" s="1025"/>
      <c r="BT302" s="1282">
        <f>+IF($K302="Ongoing",AX302,IF(RIGHT($K302,2)=RIGHT(BT$43,2),SUM($AX302:AX302),0)+IF(RIGHT(BT$43,2)&gt;RIGHT($K302,2),AX302,0))</f>
        <v>0</v>
      </c>
      <c r="BU302" s="387">
        <f>+IF($K302="Ongoing",AY302,IF(RIGHT($K302,2)=RIGHT(BU$43,2),SUM($AX302:AY302),0)+IF(RIGHT(BU$43,2)&gt;RIGHT($K302,2),AY302,0))</f>
        <v>0</v>
      </c>
      <c r="BV302" s="387">
        <f>+IF($K302="Ongoing",AZ302,IF(RIGHT($K302,2)=RIGHT(BV$43,2),SUM($AX302:AZ302),0)+IF(RIGHT(BV$43,2)&gt;RIGHT($K302,2),AZ302,0))</f>
        <v>0</v>
      </c>
      <c r="BW302" s="387">
        <f>+IF($K302="Ongoing",BA302,IF(RIGHT($K302,2)=RIGHT(BW$43,2),SUM($AX302:BA302),0)+IF(RIGHT(BW$43,2)&gt;RIGHT($K302,2),BA302,0))</f>
        <v>0</v>
      </c>
      <c r="BX302" s="1283">
        <f>+IF($K302="Ongoing",BB302,IF(RIGHT($K302,2)=RIGHT(BX$43,2),SUM($AX302:BB302),0)+IF(RIGHT(BX$43,2)&gt;RIGHT($K302,2),BB302,0))</f>
        <v>0</v>
      </c>
      <c r="BY302" s="386">
        <f>+IF($K302="Ongoing",BC302,IF(RIGHT($K302,2)=RIGHT(BY$43,2),SUM($AX302:BC302),0)+IF(RIGHT(BY$43,2)&gt;RIGHT($K302,2),BC302,0))</f>
        <v>0</v>
      </c>
      <c r="BZ302" s="387">
        <f>+IF($K302="Ongoing",BD302,IF(RIGHT($K302,2)=RIGHT(BZ$43,2),SUM($AX302:BD302),0)+IF(RIGHT(BZ$43,2)&gt;RIGHT($K302,2),BD302,0))</f>
        <v>0</v>
      </c>
      <c r="CA302" s="1277">
        <f>+IF($K302="Ongoing",BE302,IF(RIGHT($K302,2)=RIGHT(CA$43,2),SUM($AX302:BE302),0)+IF(RIGHT(CA$43,2)&gt;RIGHT($K302,2),BE302,0))</f>
        <v>0</v>
      </c>
      <c r="CB302" s="1277">
        <f>+IF($K302="Ongoing",BF302,IF(RIGHT($K302,2)=RIGHT(CB$43,2),SUM($AX302:BF302),0)+IF(RIGHT(CB$43,2)&gt;RIGHT($K302,2),BF302,0))</f>
        <v>0</v>
      </c>
      <c r="CC302" s="388">
        <f>+IF($K302="Ongoing",BG302,IF(RIGHT($K302,2)=RIGHT(CC$43,2),SUM($AX302:BG302),0)+IF(RIGHT(CC$43,2)&gt;RIGHT($K302,2),BG302,0))</f>
        <v>0</v>
      </c>
      <c r="CD302" s="1025"/>
      <c r="CE302" s="1282">
        <f>+Q302*KeyAssumptionsPriceControl_FO!AF$15</f>
        <v>0</v>
      </c>
      <c r="CF302" s="387">
        <f>+R302*KeyAssumptionsPriceControl_FO!AG$15</f>
        <v>0</v>
      </c>
      <c r="CG302" s="387">
        <f>+S302*KeyAssumptionsPriceControl_FO!AH$15</f>
        <v>0</v>
      </c>
      <c r="CH302" s="387">
        <f>+T302*KeyAssumptionsPriceControl_FO!AI$15</f>
        <v>0</v>
      </c>
      <c r="CI302" s="1283">
        <f>+U302*KeyAssumptionsPriceControl_FO!AJ$15</f>
        <v>0</v>
      </c>
      <c r="CJ302" s="386">
        <f>+V302*KeyAssumptionsPriceControl_FO!AK$15</f>
        <v>0</v>
      </c>
      <c r="CK302" s="387">
        <f>+W302*KeyAssumptionsPriceControl_FO!AL$15</f>
        <v>0</v>
      </c>
      <c r="CL302" s="1277">
        <f>+X302*KeyAssumptionsPriceControl_FO!AM$15</f>
        <v>0</v>
      </c>
      <c r="CM302" s="1277">
        <f>+Y302*KeyAssumptionsPriceControl_FO!AN$15</f>
        <v>0</v>
      </c>
      <c r="CN302" s="388">
        <f>+Z302*KeyAssumptionsPriceControl_FO!AO$15</f>
        <v>0</v>
      </c>
      <c r="CO302" s="1025"/>
      <c r="CP302" s="1282">
        <f t="shared" ca="1" si="477"/>
        <v>0</v>
      </c>
      <c r="CQ302" s="387">
        <f t="shared" ca="1" si="478"/>
        <v>0</v>
      </c>
      <c r="CR302" s="387">
        <f t="shared" ca="1" si="479"/>
        <v>0</v>
      </c>
      <c r="CS302" s="387">
        <f t="shared" ca="1" si="480"/>
        <v>0</v>
      </c>
      <c r="CT302" s="1283">
        <f t="shared" ca="1" si="481"/>
        <v>0</v>
      </c>
      <c r="CU302" s="386">
        <f t="shared" ca="1" si="482"/>
        <v>0</v>
      </c>
      <c r="CV302" s="387">
        <f t="shared" ca="1" si="483"/>
        <v>0</v>
      </c>
      <c r="CW302" s="1277">
        <f t="shared" ca="1" si="484"/>
        <v>0</v>
      </c>
      <c r="CX302" s="1277">
        <f t="shared" ca="1" si="485"/>
        <v>0</v>
      </c>
      <c r="CY302" s="388">
        <f t="shared" ca="1" si="486"/>
        <v>0</v>
      </c>
      <c r="CZ302" s="347"/>
      <c r="DA302" s="852"/>
      <c r="DB302" s="347"/>
      <c r="DC302" s="1012" t="s">
        <v>611</v>
      </c>
      <c r="DD302" s="841" t="s">
        <v>518</v>
      </c>
      <c r="DE302" s="386">
        <f>+IF($K302="ongoing",CE302,IF(RIGHT($K302,2)=RIGHT(DE$43,2),SUM($CD302:CE302),0)+IF(RIGHT(DE$43,2)&gt;RIGHT($K302,2),CE302,0))</f>
        <v>0</v>
      </c>
      <c r="DF302" s="387">
        <f>+IF($K302="ongoing",CF302,IF(RIGHT($K302,2)=RIGHT(DF$43,2),SUM($CD302:CF302),0)+IF(RIGHT(DF$43,2)&gt;RIGHT($K302,2),CF302,0))</f>
        <v>0</v>
      </c>
      <c r="DG302" s="388">
        <f>+IF($K302="ongoing",CG302,IF(RIGHT($K302,2)=RIGHT(DG$43,2),SUM($CD302:CG302),0)+IF(RIGHT(DG$43,2)&gt;RIGHT($K302,2),CG302,0))</f>
        <v>0</v>
      </c>
      <c r="DH302" s="386">
        <f>+IF($K302="ongoing",CH302,IF(RIGHT($K302,2)=RIGHT(DH$43,2),SUM($CD302:CH302),0)+IF(RIGHT(DH$43,2)&gt;RIGHT($K302,2),CH302,0))</f>
        <v>0</v>
      </c>
      <c r="DI302" s="387">
        <f>+IF($K302="ongoing",CI302,IF(RIGHT($K302,2)=RIGHT(DI$43,2),SUM($CD302:CI302),0)+IF(RIGHT(DI$43,2)&gt;RIGHT($K302,2),CI302,0))</f>
        <v>0</v>
      </c>
      <c r="DJ302" s="387">
        <f>+IF($K302="ongoing",CJ302,IF(RIGHT($K302,2)=RIGHT(DJ$43,2),SUM($CD302:CJ302),0)+IF(RIGHT(DJ$43,2)&gt;RIGHT($K302,2),CJ302,0))</f>
        <v>0</v>
      </c>
      <c r="DK302" s="387">
        <f>+IF($K302="ongoing",CK302,IF(RIGHT($K302,2)=RIGHT(DK$43,2),SUM($CD302:CK302),0)+IF(RIGHT(DK$43,2)&gt;RIGHT($K302,2),CK302,0))</f>
        <v>0</v>
      </c>
      <c r="DL302" s="388">
        <f>+IF($K302="ongoing",CN302,IF(RIGHT($K302,2)=RIGHT(DL$43,2),SUM($CD302:CN302),0)+IF(RIGHT(DL$43,2)&gt;RIGHT($K302,2),CN302,0))</f>
        <v>0</v>
      </c>
      <c r="DM302" s="841"/>
      <c r="DN302" s="386">
        <f t="shared" si="487"/>
        <v>0.5</v>
      </c>
      <c r="DO302" s="387">
        <f t="shared" si="488"/>
        <v>1</v>
      </c>
      <c r="DP302" s="388">
        <f t="shared" si="489"/>
        <v>1</v>
      </c>
      <c r="DQ302" s="386">
        <f t="shared" si="490"/>
        <v>1</v>
      </c>
      <c r="DR302" s="387">
        <f t="shared" si="491"/>
        <v>1</v>
      </c>
      <c r="DS302" s="387">
        <f t="shared" si="492"/>
        <v>1</v>
      </c>
      <c r="DT302" s="387">
        <f t="shared" si="493"/>
        <v>1</v>
      </c>
      <c r="DU302" s="388">
        <f t="shared" si="494"/>
        <v>1</v>
      </c>
      <c r="DW302" s="386">
        <f t="shared" si="495"/>
        <v>0</v>
      </c>
      <c r="DX302" s="387">
        <f t="shared" si="496"/>
        <v>0.5</v>
      </c>
      <c r="DY302" s="388">
        <f t="shared" si="497"/>
        <v>1</v>
      </c>
      <c r="DZ302" s="386">
        <f t="shared" si="498"/>
        <v>1</v>
      </c>
      <c r="EA302" s="387">
        <f t="shared" si="499"/>
        <v>1</v>
      </c>
      <c r="EB302" s="387">
        <f t="shared" si="500"/>
        <v>1</v>
      </c>
      <c r="EC302" s="387">
        <f t="shared" si="501"/>
        <v>1</v>
      </c>
      <c r="ED302" s="388">
        <f t="shared" si="502"/>
        <v>1</v>
      </c>
      <c r="EF302" s="834">
        <f>+IF(DN302=DM302,0,
IF(AND(EF$44&gt;1,DN302=$N302),1-SUM($EE302:EE302),
IF($N302&lt;=1,
IF($N302&gt;0,1/$N302,0),
IF(EF$44=1,0,VDB(1,0,$N302,INT(EF$44-1-1),MIN($N302,INT(EF$44-1-1)+1),$DC302,IF($DD302="No",1,0))/
IF(DM302&gt;=INT($N302),$N302-INT($N302),1)))*
IF(EF$44=1,0,
IF(INT(DN302)=INT(DM302),DN302-DM302,INT(DN302)-DM302))+
IF($N302&lt;=1,
IF($N302&gt;0,1/$N302,0),VDB(1,0,$N302,INT(EF$44-1),MIN($N302,INT(EF$44-1)+1),$DC302,IF($DD302="No",1,0))/
IF(DN302&gt;INT($N302),$N302-INT($N302),1))*
IF(EF$44=1,DN302,
IF(INT(DN302)=INT(DM302),0,DN302-INT(DN302)))))</f>
        <v>0</v>
      </c>
      <c r="EG302" s="835">
        <f>+IF(DO302=DN302,0,
IF(AND(EG$44&gt;1,DO302=$N302),1-SUM($EE302:EF302),
IF($N302&lt;=1,
IF($N302&gt;0,1/$N302,0),
IF(EG$44=1,0,VDB(1,0,$N302,INT(EG$44-1-1),MIN($N302,INT(EG$44-1-1)+1),$DC302,IF($DD302="No",1,0))/
IF(DN302&gt;=INT($N302),$N302-INT($N302),1)))*
IF(EG$44=1,0,
IF(INT(DO302)=INT(DN302),DO302-DN302,INT(DO302)-DN302))+
IF($N302&lt;=1,
IF($N302&gt;0,1/$N302,0),VDB(1,0,$N302,INT(EG$44-1),MIN($N302,INT(EG$44-1)+1),$DC302,IF($DD302="No",1,0))/
IF(DO302&gt;INT($N302),$N302-INT($N302),1))*
IF(EG$44=1,DO302,
IF(INT(DO302)=INT(DN302),0,DO302-INT(DO302)))))</f>
        <v>0</v>
      </c>
      <c r="EH302" s="836">
        <f>+IF(DP302=DO302,0,
IF(AND(EH$44&gt;1,DP302=$N302),1-SUM($EE302:EG302),
IF($N302&lt;=1,
IF($N302&gt;0,1/$N302,0),
IF(EH$44=1,0,VDB(1,0,$N302,INT(EH$44-1-1),MIN($N302,INT(EH$44-1-1)+1),$DC302,IF($DD302="No",1,0))/
IF(DO302&gt;=INT($N302),$N302-INT($N302),1)))*
IF(EH$44=1,0,
IF(INT(DP302)=INT(DO302),DP302-DO302,INT(DP302)-DO302))+
IF($N302&lt;=1,
IF($N302&gt;0,1/$N302,0),VDB(1,0,$N302,INT(EH$44-1),MIN($N302,INT(EH$44-1)+1),$DC302,IF($DD302="No",1,0))/
IF(DP302&gt;INT($N302),$N302-INT($N302),1))*
IF(EH$44=1,DP302,
IF(INT(DP302)=INT(DO302),0,DP302-INT(DP302)))))</f>
        <v>0</v>
      </c>
      <c r="EI302" s="834">
        <f>+IF(DQ302=DP302,0,
IF(AND(EI$44&gt;1,DQ302=$N302),1-SUM($EE302:EH302),
IF($N302&lt;=1,
IF($N302&gt;0,1/$N302,0),
IF(EI$44=1,0,VDB(1,0,$N302,INT(EI$44-1-1),MIN($N302,INT(EI$44-1-1)+1),$DC302,IF($DD302="No",1,0))/
IF(DP302&gt;=INT($N302),$N302-INT($N302),1)))*
IF(EI$44=1,0,
IF(INT(DQ302)=INT(DP302),DQ302-DP302,INT(DQ302)-DP302))+
IF($N302&lt;=1,
IF($N302&gt;0,1/$N302,0),VDB(1,0,$N302,INT(EI$44-1),MIN($N302,INT(EI$44-1)+1),$DC302,IF($DD302="No",1,0))/
IF(DQ302&gt;INT($N302),$N302-INT($N302),1))*
IF(EI$44=1,DQ302,
IF(INT(DQ302)=INT(DP302),0,DQ302-INT(DQ302)))))</f>
        <v>0</v>
      </c>
      <c r="EJ302" s="835">
        <f>+IF(DR302=DQ302,0,
IF(AND(EJ$44&gt;1,DR302=$N302),1-SUM($EE302:EI302),
IF($N302&lt;=1,
IF($N302&gt;0,1/$N302,0),
IF(EJ$44=1,0,VDB(1,0,$N302,INT(EJ$44-1-1),MIN($N302,INT(EJ$44-1-1)+1),$DC302,IF($DD302="No",1,0))/
IF(DQ302&gt;=INT($N302),$N302-INT($N302),1)))*
IF(EJ$44=1,0,
IF(INT(DR302)=INT(DQ302),DR302-DQ302,INT(DR302)-DQ302))+
IF($N302&lt;=1,
IF($N302&gt;0,1/$N302,0),VDB(1,0,$N302,INT(EJ$44-1),MIN($N302,INT(EJ$44-1)+1),$DC302,IF($DD302="No",1,0))/
IF(DR302&gt;INT($N302),$N302-INT($N302),1))*
IF(EJ$44=1,DR302,
IF(INT(DR302)=INT(DQ302),0,DR302-INT(DR302)))))</f>
        <v>0</v>
      </c>
      <c r="EK302" s="835">
        <f>+IF(DS302=DR302,0,
IF(AND(EK$44&gt;1,DS302=$N302),1-SUM($EE302:EJ302),
IF($N302&lt;=1,
IF($N302&gt;0,1/$N302,0),
IF(EK$44=1,0,VDB(1,0,$N302,INT(EK$44-1-1),MIN($N302,INT(EK$44-1-1)+1),$DC302,IF($DD302="No",1,0))/
IF(DR302&gt;=INT($N302),$N302-INT($N302),1)))*
IF(EK$44=1,0,
IF(INT(DS302)=INT(DR302),DS302-DR302,INT(DS302)-DR302))+
IF($N302&lt;=1,
IF($N302&gt;0,1/$N302,0),VDB(1,0,$N302,INT(EK$44-1),MIN($N302,INT(EK$44-1)+1),$DC302,IF($DD302="No",1,0))/
IF(DS302&gt;INT($N302),$N302-INT($N302),1))*
IF(EK$44=1,DS302,
IF(INT(DS302)=INT(DR302),0,DS302-INT(DS302)))))</f>
        <v>0</v>
      </c>
      <c r="EL302" s="835">
        <f>+IF(DT302=DS302,0,
IF(AND(EL$44&gt;1,DT302=$N302),1-SUM($EE302:EK302),
IF($N302&lt;=1,
IF($N302&gt;0,1/$N302,0),
IF(EL$44=1,0,VDB(1,0,$N302,INT(EL$44-1-1),MIN($N302,INT(EL$44-1-1)+1),$DC302,IF($DD302="No",1,0))/
IF(DS302&gt;=INT($N302),$N302-INT($N302),1)))*
IF(EL$44=1,0,
IF(INT(DT302)=INT(DS302),DT302-DS302,INT(DT302)-DS302))+
IF($N302&lt;=1,
IF($N302&gt;0,1/$N302,0),VDB(1,0,$N302,INT(EL$44-1),MIN($N302,INT(EL$44-1)+1),$DC302,IF($DD302="No",1,0))/
IF(DT302&gt;INT($N302),$N302-INT($N302),1))*
IF(EL$44=1,DT302,
IF(INT(DT302)=INT(DS302),0,DT302-INT(DT302)))))</f>
        <v>0</v>
      </c>
      <c r="EM302" s="836">
        <f>+IF(DU302=DT302,0,
IF(AND(EM$44&gt;1,DU302=$N302),1-SUM($EE302:EL302),
IF($N302&lt;=1,
IF($N302&gt;0,1/$N302,0),
IF(EM$44=1,0,VDB(1,0,$N302,INT(EM$44-1-1),MIN($N302,INT(EM$44-1-1)+1),$DC302,IF($DD302="No",1,0))/
IF(DT302&gt;=INT($N302),$N302-INT($N302),1)))*
IF(EM$44=1,0,
IF(INT(DU302)=INT(DT302),DU302-DT302,INT(DU302)-DT302))+
IF($N302&lt;=1,
IF($N302&gt;0,1/$N302,0),VDB(1,0,$N302,INT(EM$44-1),MIN($N302,INT(EM$44-1)+1),$DC302,IF($DD302="No",1,0))/
IF(DU302&gt;INT($N302),$N302-INT($N302),1))*
IF(EM$44=1,DU302,
IF(INT(DU302)=INT(DT302),0,DU302-INT(DU302)))))</f>
        <v>0</v>
      </c>
      <c r="EN302" s="833"/>
      <c r="EO302" s="834">
        <f>+IF(OR(DW302=DV302,EO$44=1),0,
IF(AND(EO$44&gt;1,DW302=$N302),1-SUM($EN302:EN302),
IF($N302&lt;=1,
IF($N302&gt;0,1/$N302,0),
IF(EO$44=2,0,VDB(1,0,$N302,INT(EO$44-2-1),MIN($N302,INT(EO$44-2-1)+1),$DC302,IF($DD302="No",1,0))/
IF(DV302&gt;=INT($N302),$N302-INT($N302),1)))*
IF(EO$44=2,0,
IF(INT(DW302)=INT(DV302),DW302-DV302,INT(DW302)-DV302))+
IF($N302&lt;=1,
IF($N302&gt;0,1/$N302,0),VDB(1,0,$N302,INT(EO$44-2),MIN($N302,INT(EO$44-2)+1),$DC302,IF($DD302="No",1,0))/
IF(DW302&gt;INT($N302),$N302-INT($N302),1))*
IF(EO$44=2,DW302,
IF(INT(DW302)=INT(DV302),0,DW302-INT(DW302)))))</f>
        <v>0</v>
      </c>
      <c r="EP302" s="835">
        <f>+IF(OR(DX302=DW302,EP$44=1),0,
IF(AND(EP$44&gt;1,DX302=$N302),1-SUM($EN302:EO302),
IF($N302&lt;=1,
IF($N302&gt;0,1/$N302,0),
IF(EP$44=2,0,VDB(1,0,$N302,INT(EP$44-2-1),MIN($N302,INT(EP$44-2-1)+1),$DC302,IF($DD302="No",1,0))/
IF(DW302&gt;=INT($N302),$N302-INT($N302),1)))*
IF(EP$44=2,0,
IF(INT(DX302)=INT(DW302),DX302-DW302,INT(DX302)-DW302))+
IF($N302&lt;=1,
IF($N302&gt;0,1/$N302,0),VDB(1,0,$N302,INT(EP$44-2),MIN($N302,INT(EP$44-2)+1),$DC302,IF($DD302="No",1,0))/
IF(DX302&gt;INT($N302),$N302-INT($N302),1))*
IF(EP$44=2,DX302,
IF(INT(DX302)=INT(DW302),0,DX302-INT(DX302)))))</f>
        <v>0</v>
      </c>
      <c r="EQ302" s="836">
        <f>+IF(OR(DY302=DX302,EQ$44=1),0,
IF(AND(EQ$44&gt;1,DY302=$N302),1-SUM($EN302:EP302),
IF($N302&lt;=1,
IF($N302&gt;0,1/$N302,0),
IF(EQ$44=2,0,VDB(1,0,$N302,INT(EQ$44-2-1),MIN($N302,INT(EQ$44-2-1)+1),$DC302,IF($DD302="No",1,0))/
IF(DX302&gt;=INT($N302),$N302-INT($N302),1)))*
IF(EQ$44=2,0,
IF(INT(DY302)=INT(DX302),DY302-DX302,INT(DY302)-DX302))+
IF($N302&lt;=1,
IF($N302&gt;0,1/$N302,0),VDB(1,0,$N302,INT(EQ$44-2),MIN($N302,INT(EQ$44-2)+1),$DC302,IF($DD302="No",1,0))/
IF(DY302&gt;INT($N302),$N302-INT($N302),1))*
IF(EQ$44=2,DY302,
IF(INT(DY302)=INT(DX302),0,DY302-INT(DY302)))))</f>
        <v>0</v>
      </c>
      <c r="ER302" s="834">
        <f>+IF(OR(DZ302=DY302,ER$44=1),0,
IF(AND(ER$44&gt;1,DZ302=$N302),1-SUM($EN302:EQ302),
IF($N302&lt;=1,
IF($N302&gt;0,1/$N302,0),
IF(ER$44=2,0,VDB(1,0,$N302,INT(ER$44-2-1),MIN($N302,INT(ER$44-2-1)+1),$DC302,IF($DD302="No",1,0))/
IF(DY302&gt;=INT($N302),$N302-INT($N302),1)))*
IF(ER$44=2,0,
IF(INT(DZ302)=INT(DY302),DZ302-DY302,INT(DZ302)-DY302))+
IF($N302&lt;=1,
IF($N302&gt;0,1/$N302,0),VDB(1,0,$N302,INT(ER$44-2),MIN($N302,INT(ER$44-2)+1),$DC302,IF($DD302="No",1,0))/
IF(DZ302&gt;INT($N302),$N302-INT($N302),1))*
IF(ER$44=2,DZ302,
IF(INT(DZ302)=INT(DY302),0,DZ302-INT(DZ302)))))</f>
        <v>0</v>
      </c>
      <c r="ES302" s="835">
        <f>+IF(OR(EA302=DZ302,ES$44=1),0,
IF(AND(ES$44&gt;1,EA302=$N302),1-SUM($EN302:ER302),
IF($N302&lt;=1,
IF($N302&gt;0,1/$N302,0),
IF(ES$44=2,0,VDB(1,0,$N302,INT(ES$44-2-1),MIN($N302,INT(ES$44-2-1)+1),$DC302,IF($DD302="No",1,0))/
IF(DZ302&gt;=INT($N302),$N302-INT($N302),1)))*
IF(ES$44=2,0,
IF(INT(EA302)=INT(DZ302),EA302-DZ302,INT(EA302)-DZ302))+
IF($N302&lt;=1,
IF($N302&gt;0,1/$N302,0),VDB(1,0,$N302,INT(ES$44-2),MIN($N302,INT(ES$44-2)+1),$DC302,IF($DD302="No",1,0))/
IF(EA302&gt;INT($N302),$N302-INT($N302),1))*
IF(ES$44=2,EA302,
IF(INT(EA302)=INT(DZ302),0,EA302-INT(EA302)))))</f>
        <v>0</v>
      </c>
      <c r="ET302" s="835">
        <f>+IF(OR(EB302=EA302,ET$44=1),0,
IF(AND(ET$44&gt;1,EB302=$N302),1-SUM($EN302:ES302),
IF($N302&lt;=1,
IF($N302&gt;0,1/$N302,0),
IF(ET$44=2,0,VDB(1,0,$N302,INT(ET$44-2-1),MIN($N302,INT(ET$44-2-1)+1),$DC302,IF($DD302="No",1,0))/
IF(EA302&gt;=INT($N302),$N302-INT($N302),1)))*
IF(ET$44=2,0,
IF(INT(EB302)=INT(EA302),EB302-EA302,INT(EB302)-EA302))+
IF($N302&lt;=1,
IF($N302&gt;0,1/$N302,0),VDB(1,0,$N302,INT(ET$44-2),MIN($N302,INT(ET$44-2)+1),$DC302,IF($DD302="No",1,0))/
IF(EB302&gt;INT($N302),$N302-INT($N302),1))*
IF(ET$44=2,EB302,
IF(INT(EB302)=INT(EA302),0,EB302-INT(EB302)))))</f>
        <v>0</v>
      </c>
      <c r="EU302" s="835">
        <f>+IF(OR(EC302=EB302,EU$44=1),0,
IF(AND(EU$44&gt;1,EC302=$N302),1-SUM($EN302:ET302),
IF($N302&lt;=1,
IF($N302&gt;0,1/$N302,0),
IF(EU$44=2,0,VDB(1,0,$N302,INT(EU$44-2-1),MIN($N302,INT(EU$44-2-1)+1),$DC302,IF($DD302="No",1,0))/
IF(EB302&gt;=INT($N302),$N302-INT($N302),1)))*
IF(EU$44=2,0,
IF(INT(EC302)=INT(EB302),EC302-EB302,INT(EC302)-EB302))+
IF($N302&lt;=1,
IF($N302&gt;0,1/$N302,0),VDB(1,0,$N302,INT(EU$44-2),MIN($N302,INT(EU$44-2)+1),$DC302,IF($DD302="No",1,0))/
IF(EC302&gt;INT($N302),$N302-INT($N302),1))*
IF(EU$44=2,EC302,
IF(INT(EC302)=INT(EB302),0,EC302-INT(EC302)))))</f>
        <v>0</v>
      </c>
      <c r="EV302" s="836">
        <f>+IF(OR(ED302=EC302,EV$44=1),0,
IF(AND(EV$44&gt;1,ED302=$N302),1-SUM($EN302:EU302),
IF($N302&lt;=1,
IF($N302&gt;0,1/$N302,0),
IF(EV$44=2,0,VDB(1,0,$N302,INT(EV$44-2-1),MIN($N302,INT(EV$44-2-1)+1),$DC302,IF($DD302="No",1,0))/
IF(EC302&gt;=INT($N302),$N302-INT($N302),1)))*
IF(EV$44=2,0,
IF(INT(ED302)=INT(EC302),ED302-EC302,INT(ED302)-EC302))+
IF($N302&lt;=1,
IF($N302&gt;0,1/$N302,0),VDB(1,0,$N302,INT(EV$44-2),MIN($N302,INT(EV$44-2)+1),$DC302,IF($DD302="No",1,0))/
IF(ED302&gt;INT($N302),$N302-INT($N302),1))*
IF(EV$44=2,ED302,
IF(INT(ED302)=INT(EC302),0,ED302-INT(ED302)))))</f>
        <v>0</v>
      </c>
      <c r="EW302" s="833"/>
      <c r="EX302" s="834">
        <f t="shared" ca="1" si="513"/>
        <v>0</v>
      </c>
      <c r="EY302" s="835">
        <f t="shared" ca="1" si="513"/>
        <v>0</v>
      </c>
      <c r="EZ302" s="836">
        <f t="shared" ca="1" si="513"/>
        <v>0</v>
      </c>
      <c r="FA302" s="834">
        <f t="shared" ca="1" si="513"/>
        <v>0</v>
      </c>
      <c r="FB302" s="835">
        <f t="shared" ca="1" si="513"/>
        <v>0</v>
      </c>
      <c r="FC302" s="835">
        <f t="shared" ca="1" si="513"/>
        <v>0</v>
      </c>
      <c r="FD302" s="835">
        <f t="shared" ca="1" si="513"/>
        <v>0</v>
      </c>
      <c r="FE302" s="836">
        <f t="shared" ca="1" si="513"/>
        <v>0</v>
      </c>
      <c r="FG302" s="386">
        <f t="shared" ca="1" si="504"/>
        <v>0</v>
      </c>
      <c r="FH302" s="387">
        <f t="shared" ca="1" si="505"/>
        <v>0</v>
      </c>
      <c r="FI302" s="388">
        <f t="shared" ca="1" si="506"/>
        <v>0</v>
      </c>
      <c r="FJ302" s="386">
        <f t="shared" ca="1" si="507"/>
        <v>0</v>
      </c>
      <c r="FK302" s="387">
        <f t="shared" ca="1" si="508"/>
        <v>0</v>
      </c>
      <c r="FL302" s="387">
        <f t="shared" ca="1" si="509"/>
        <v>0</v>
      </c>
      <c r="FM302" s="387">
        <f t="shared" ca="1" si="510"/>
        <v>0</v>
      </c>
      <c r="FN302" s="388">
        <f t="shared" ca="1" si="511"/>
        <v>0</v>
      </c>
      <c r="FR302" s="116"/>
    </row>
    <row r="303" spans="2:174">
      <c r="B303" s="1410">
        <f t="shared" si="512"/>
        <v>257</v>
      </c>
      <c r="C303" s="400"/>
      <c r="D303" s="410"/>
      <c r="E303" s="402"/>
      <c r="F303" s="402"/>
      <c r="G303" s="400"/>
      <c r="H303" s="2088"/>
      <c r="I303" s="2089"/>
      <c r="J303" s="411"/>
      <c r="K303" s="403"/>
      <c r="L303" s="403"/>
      <c r="M303" s="403"/>
      <c r="N303" s="403"/>
      <c r="O303" s="347"/>
      <c r="P303" s="347"/>
      <c r="Q303" s="1021"/>
      <c r="R303" s="1022"/>
      <c r="S303" s="1022"/>
      <c r="T303" s="1022"/>
      <c r="U303" s="1023"/>
      <c r="V303" s="1021"/>
      <c r="W303" s="1022"/>
      <c r="X303" s="1022"/>
      <c r="Y303" s="1022"/>
      <c r="Z303" s="1023"/>
      <c r="AA303" s="1024"/>
      <c r="AB303" s="1021"/>
      <c r="AC303" s="1022"/>
      <c r="AD303" s="1022"/>
      <c r="AE303" s="1022"/>
      <c r="AF303" s="1023"/>
      <c r="AG303" s="1021"/>
      <c r="AH303" s="1022"/>
      <c r="AI303" s="1022"/>
      <c r="AJ303" s="1022"/>
      <c r="AK303" s="1023"/>
      <c r="AL303" s="1024"/>
      <c r="AM303" s="1021"/>
      <c r="AN303" s="1022"/>
      <c r="AO303" s="1022"/>
      <c r="AP303" s="1022"/>
      <c r="AQ303" s="1023"/>
      <c r="AR303" s="1021"/>
      <c r="AS303" s="1022"/>
      <c r="AT303" s="1022"/>
      <c r="AU303" s="1022"/>
      <c r="AV303" s="1023"/>
      <c r="AW303" s="1025"/>
      <c r="AX303" s="1282">
        <f t="shared" si="457"/>
        <v>0</v>
      </c>
      <c r="AY303" s="387">
        <f t="shared" si="458"/>
        <v>0</v>
      </c>
      <c r="AZ303" s="387">
        <f t="shared" si="459"/>
        <v>0</v>
      </c>
      <c r="BA303" s="387">
        <f t="shared" si="460"/>
        <v>0</v>
      </c>
      <c r="BB303" s="1283">
        <f t="shared" si="461"/>
        <v>0</v>
      </c>
      <c r="BC303" s="386">
        <f t="shared" si="462"/>
        <v>0</v>
      </c>
      <c r="BD303" s="387">
        <f t="shared" si="463"/>
        <v>0</v>
      </c>
      <c r="BE303" s="1277">
        <f t="shared" si="464"/>
        <v>0</v>
      </c>
      <c r="BF303" s="1277">
        <f t="shared" si="465"/>
        <v>0</v>
      </c>
      <c r="BG303" s="388">
        <f t="shared" si="466"/>
        <v>0</v>
      </c>
      <c r="BH303" s="1025"/>
      <c r="BI303" s="1282">
        <f t="shared" ca="1" si="467"/>
        <v>0</v>
      </c>
      <c r="BJ303" s="387">
        <f t="shared" ca="1" si="468"/>
        <v>0</v>
      </c>
      <c r="BK303" s="387">
        <f t="shared" ca="1" si="469"/>
        <v>0</v>
      </c>
      <c r="BL303" s="387">
        <f t="shared" ca="1" si="470"/>
        <v>0</v>
      </c>
      <c r="BM303" s="1283">
        <f t="shared" ca="1" si="471"/>
        <v>0</v>
      </c>
      <c r="BN303" s="386">
        <f t="shared" ca="1" si="472"/>
        <v>0</v>
      </c>
      <c r="BO303" s="387">
        <f t="shared" ca="1" si="473"/>
        <v>0</v>
      </c>
      <c r="BP303" s="1277">
        <f t="shared" ca="1" si="474"/>
        <v>0</v>
      </c>
      <c r="BQ303" s="1277">
        <f t="shared" ca="1" si="475"/>
        <v>0</v>
      </c>
      <c r="BR303" s="388">
        <f t="shared" ca="1" si="476"/>
        <v>0</v>
      </c>
      <c r="BS303" s="1025"/>
      <c r="BT303" s="1282">
        <f>+IF($K303="Ongoing",AX303,IF(RIGHT($K303,2)=RIGHT(BT$43,2),SUM($AX303:AX303),0)+IF(RIGHT(BT$43,2)&gt;RIGHT($K303,2),AX303,0))</f>
        <v>0</v>
      </c>
      <c r="BU303" s="387">
        <f>+IF($K303="Ongoing",AY303,IF(RIGHT($K303,2)=RIGHT(BU$43,2),SUM($AX303:AY303),0)+IF(RIGHT(BU$43,2)&gt;RIGHT($K303,2),AY303,0))</f>
        <v>0</v>
      </c>
      <c r="BV303" s="387">
        <f>+IF($K303="Ongoing",AZ303,IF(RIGHT($K303,2)=RIGHT(BV$43,2),SUM($AX303:AZ303),0)+IF(RIGHT(BV$43,2)&gt;RIGHT($K303,2),AZ303,0))</f>
        <v>0</v>
      </c>
      <c r="BW303" s="387">
        <f>+IF($K303="Ongoing",BA303,IF(RIGHT($K303,2)=RIGHT(BW$43,2),SUM($AX303:BA303),0)+IF(RIGHT(BW$43,2)&gt;RIGHT($K303,2),BA303,0))</f>
        <v>0</v>
      </c>
      <c r="BX303" s="1283">
        <f>+IF($K303="Ongoing",BB303,IF(RIGHT($K303,2)=RIGHT(BX$43,2),SUM($AX303:BB303),0)+IF(RIGHT(BX$43,2)&gt;RIGHT($K303,2),BB303,0))</f>
        <v>0</v>
      </c>
      <c r="BY303" s="386">
        <f>+IF($K303="Ongoing",BC303,IF(RIGHT($K303,2)=RIGHT(BY$43,2),SUM($AX303:BC303),0)+IF(RIGHT(BY$43,2)&gt;RIGHT($K303,2),BC303,0))</f>
        <v>0</v>
      </c>
      <c r="BZ303" s="387">
        <f>+IF($K303="Ongoing",BD303,IF(RIGHT($K303,2)=RIGHT(BZ$43,2),SUM($AX303:BD303),0)+IF(RIGHT(BZ$43,2)&gt;RIGHT($K303,2),BD303,0))</f>
        <v>0</v>
      </c>
      <c r="CA303" s="1277">
        <f>+IF($K303="Ongoing",BE303,IF(RIGHT($K303,2)=RIGHT(CA$43,2),SUM($AX303:BE303),0)+IF(RIGHT(CA$43,2)&gt;RIGHT($K303,2),BE303,0))</f>
        <v>0</v>
      </c>
      <c r="CB303" s="1277">
        <f>+IF($K303="Ongoing",BF303,IF(RIGHT($K303,2)=RIGHT(CB$43,2),SUM($AX303:BF303),0)+IF(RIGHT(CB$43,2)&gt;RIGHT($K303,2),BF303,0))</f>
        <v>0</v>
      </c>
      <c r="CC303" s="388">
        <f>+IF($K303="Ongoing",BG303,IF(RIGHT($K303,2)=RIGHT(CC$43,2),SUM($AX303:BG303),0)+IF(RIGHT(CC$43,2)&gt;RIGHT($K303,2),BG303,0))</f>
        <v>0</v>
      </c>
      <c r="CD303" s="1025"/>
      <c r="CE303" s="1282">
        <f>+Q303*KeyAssumptionsPriceControl_FO!AF$15</f>
        <v>0</v>
      </c>
      <c r="CF303" s="387">
        <f>+R303*KeyAssumptionsPriceControl_FO!AG$15</f>
        <v>0</v>
      </c>
      <c r="CG303" s="387">
        <f>+S303*KeyAssumptionsPriceControl_FO!AH$15</f>
        <v>0</v>
      </c>
      <c r="CH303" s="387">
        <f>+T303*KeyAssumptionsPriceControl_FO!AI$15</f>
        <v>0</v>
      </c>
      <c r="CI303" s="1283">
        <f>+U303*KeyAssumptionsPriceControl_FO!AJ$15</f>
        <v>0</v>
      </c>
      <c r="CJ303" s="386">
        <f>+V303*KeyAssumptionsPriceControl_FO!AK$15</f>
        <v>0</v>
      </c>
      <c r="CK303" s="387">
        <f>+W303*KeyAssumptionsPriceControl_FO!AL$15</f>
        <v>0</v>
      </c>
      <c r="CL303" s="1277">
        <f>+X303*KeyAssumptionsPriceControl_FO!AM$15</f>
        <v>0</v>
      </c>
      <c r="CM303" s="1277">
        <f>+Y303*KeyAssumptionsPriceControl_FO!AN$15</f>
        <v>0</v>
      </c>
      <c r="CN303" s="388">
        <f>+Z303*KeyAssumptionsPriceControl_FO!AO$15</f>
        <v>0</v>
      </c>
      <c r="CO303" s="1025"/>
      <c r="CP303" s="1282">
        <f t="shared" ca="1" si="477"/>
        <v>0</v>
      </c>
      <c r="CQ303" s="387">
        <f t="shared" ca="1" si="478"/>
        <v>0</v>
      </c>
      <c r="CR303" s="387">
        <f t="shared" ca="1" si="479"/>
        <v>0</v>
      </c>
      <c r="CS303" s="387">
        <f t="shared" ca="1" si="480"/>
        <v>0</v>
      </c>
      <c r="CT303" s="1283">
        <f t="shared" ca="1" si="481"/>
        <v>0</v>
      </c>
      <c r="CU303" s="386">
        <f t="shared" ca="1" si="482"/>
        <v>0</v>
      </c>
      <c r="CV303" s="387">
        <f t="shared" ca="1" si="483"/>
        <v>0</v>
      </c>
      <c r="CW303" s="1277">
        <f t="shared" ca="1" si="484"/>
        <v>0</v>
      </c>
      <c r="CX303" s="1277">
        <f t="shared" ca="1" si="485"/>
        <v>0</v>
      </c>
      <c r="CY303" s="388">
        <f t="shared" ca="1" si="486"/>
        <v>0</v>
      </c>
      <c r="CZ303" s="347"/>
      <c r="DA303" s="852"/>
      <c r="DB303" s="347"/>
      <c r="DC303" s="1012" t="s">
        <v>612</v>
      </c>
      <c r="DD303" s="841" t="s">
        <v>518</v>
      </c>
      <c r="DE303" s="386">
        <f>+IF($K303="ongoing",CE303,IF(RIGHT($K303,2)=RIGHT(DE$43,2),SUM($CD303:CE303),0)+IF(RIGHT(DE$43,2)&gt;RIGHT($K303,2),CE303,0))</f>
        <v>0</v>
      </c>
      <c r="DF303" s="387">
        <f>+IF($K303="ongoing",CF303,IF(RIGHT($K303,2)=RIGHT(DF$43,2),SUM($CD303:CF303),0)+IF(RIGHT(DF$43,2)&gt;RIGHT($K303,2),CF303,0))</f>
        <v>0</v>
      </c>
      <c r="DG303" s="388">
        <f>+IF($K303="ongoing",CG303,IF(RIGHT($K303,2)=RIGHT(DG$43,2),SUM($CD303:CG303),0)+IF(RIGHT(DG$43,2)&gt;RIGHT($K303,2),CG303,0))</f>
        <v>0</v>
      </c>
      <c r="DH303" s="386">
        <f>+IF($K303="ongoing",CH303,IF(RIGHT($K303,2)=RIGHT(DH$43,2),SUM($CD303:CH303),0)+IF(RIGHT(DH$43,2)&gt;RIGHT($K303,2),CH303,0))</f>
        <v>0</v>
      </c>
      <c r="DI303" s="387">
        <f>+IF($K303="ongoing",CI303,IF(RIGHT($K303,2)=RIGHT(DI$43,2),SUM($CD303:CI303),0)+IF(RIGHT(DI$43,2)&gt;RIGHT($K303,2),CI303,0))</f>
        <v>0</v>
      </c>
      <c r="DJ303" s="387">
        <f>+IF($K303="ongoing",CJ303,IF(RIGHT($K303,2)=RIGHT(DJ$43,2),SUM($CD303:CJ303),0)+IF(RIGHT(DJ$43,2)&gt;RIGHT($K303,2),CJ303,0))</f>
        <v>0</v>
      </c>
      <c r="DK303" s="387">
        <f>+IF($K303="ongoing",CK303,IF(RIGHT($K303,2)=RIGHT(DK$43,2),SUM($CD303:CK303),0)+IF(RIGHT(DK$43,2)&gt;RIGHT($K303,2),CK303,0))</f>
        <v>0</v>
      </c>
      <c r="DL303" s="388">
        <f>+IF($K303="ongoing",CN303,IF(RIGHT($K303,2)=RIGHT(DL$43,2),SUM($CD303:CN303),0)+IF(RIGHT(DL$43,2)&gt;RIGHT($K303,2),CN303,0))</f>
        <v>0</v>
      </c>
      <c r="DM303" s="841"/>
      <c r="DN303" s="386">
        <f t="shared" si="487"/>
        <v>0.5</v>
      </c>
      <c r="DO303" s="387">
        <f t="shared" si="488"/>
        <v>1</v>
      </c>
      <c r="DP303" s="388">
        <f t="shared" si="489"/>
        <v>1</v>
      </c>
      <c r="DQ303" s="386">
        <f t="shared" si="490"/>
        <v>1</v>
      </c>
      <c r="DR303" s="387">
        <f t="shared" si="491"/>
        <v>1</v>
      </c>
      <c r="DS303" s="387">
        <f t="shared" si="492"/>
        <v>1</v>
      </c>
      <c r="DT303" s="387">
        <f t="shared" si="493"/>
        <v>1</v>
      </c>
      <c r="DU303" s="388">
        <f t="shared" si="494"/>
        <v>1</v>
      </c>
      <c r="DW303" s="386">
        <f t="shared" si="495"/>
        <v>0</v>
      </c>
      <c r="DX303" s="387">
        <f t="shared" si="496"/>
        <v>0.5</v>
      </c>
      <c r="DY303" s="388">
        <f t="shared" si="497"/>
        <v>1</v>
      </c>
      <c r="DZ303" s="386">
        <f t="shared" si="498"/>
        <v>1</v>
      </c>
      <c r="EA303" s="387">
        <f t="shared" si="499"/>
        <v>1</v>
      </c>
      <c r="EB303" s="387">
        <f t="shared" si="500"/>
        <v>1</v>
      </c>
      <c r="EC303" s="387">
        <f t="shared" si="501"/>
        <v>1</v>
      </c>
      <c r="ED303" s="388">
        <f t="shared" si="502"/>
        <v>1</v>
      </c>
      <c r="EF303" s="834">
        <f>+IF(DN303=DM303,0,
IF(AND(EF$44&gt;1,DN303=$N303),1-SUM($EE303:EE303),
IF($N303&lt;=1,
IF($N303&gt;0,1/$N303,0),
IF(EF$44=1,0,VDB(1,0,$N303,INT(EF$44-1-1),MIN($N303,INT(EF$44-1-1)+1),$DC303,IF($DD303="No",1,0))/
IF(DM303&gt;=INT($N303),$N303-INT($N303),1)))*
IF(EF$44=1,0,
IF(INT(DN303)=INT(DM303),DN303-DM303,INT(DN303)-DM303))+
IF($N303&lt;=1,
IF($N303&gt;0,1/$N303,0),VDB(1,0,$N303,INT(EF$44-1),MIN($N303,INT(EF$44-1)+1),$DC303,IF($DD303="No",1,0))/
IF(DN303&gt;INT($N303),$N303-INT($N303),1))*
IF(EF$44=1,DN303,
IF(INT(DN303)=INT(DM303),0,DN303-INT(DN303)))))</f>
        <v>0</v>
      </c>
      <c r="EG303" s="835">
        <f>+IF(DO303=DN303,0,
IF(AND(EG$44&gt;1,DO303=$N303),1-SUM($EE303:EF303),
IF($N303&lt;=1,
IF($N303&gt;0,1/$N303,0),
IF(EG$44=1,0,VDB(1,0,$N303,INT(EG$44-1-1),MIN($N303,INT(EG$44-1-1)+1),$DC303,IF($DD303="No",1,0))/
IF(DN303&gt;=INT($N303),$N303-INT($N303),1)))*
IF(EG$44=1,0,
IF(INT(DO303)=INT(DN303),DO303-DN303,INT(DO303)-DN303))+
IF($N303&lt;=1,
IF($N303&gt;0,1/$N303,0),VDB(1,0,$N303,INT(EG$44-1),MIN($N303,INT(EG$44-1)+1),$DC303,IF($DD303="No",1,0))/
IF(DO303&gt;INT($N303),$N303-INT($N303),1))*
IF(EG$44=1,DO303,
IF(INT(DO303)=INT(DN303),0,DO303-INT(DO303)))))</f>
        <v>0</v>
      </c>
      <c r="EH303" s="836">
        <f>+IF(DP303=DO303,0,
IF(AND(EH$44&gt;1,DP303=$N303),1-SUM($EE303:EG303),
IF($N303&lt;=1,
IF($N303&gt;0,1/$N303,0),
IF(EH$44=1,0,VDB(1,0,$N303,INT(EH$44-1-1),MIN($N303,INT(EH$44-1-1)+1),$DC303,IF($DD303="No",1,0))/
IF(DO303&gt;=INT($N303),$N303-INT($N303),1)))*
IF(EH$44=1,0,
IF(INT(DP303)=INT(DO303),DP303-DO303,INT(DP303)-DO303))+
IF($N303&lt;=1,
IF($N303&gt;0,1/$N303,0),VDB(1,0,$N303,INT(EH$44-1),MIN($N303,INT(EH$44-1)+1),$DC303,IF($DD303="No",1,0))/
IF(DP303&gt;INT($N303),$N303-INT($N303),1))*
IF(EH$44=1,DP303,
IF(INT(DP303)=INT(DO303),0,DP303-INT(DP303)))))</f>
        <v>0</v>
      </c>
      <c r="EI303" s="834">
        <f>+IF(DQ303=DP303,0,
IF(AND(EI$44&gt;1,DQ303=$N303),1-SUM($EE303:EH303),
IF($N303&lt;=1,
IF($N303&gt;0,1/$N303,0),
IF(EI$44=1,0,VDB(1,0,$N303,INT(EI$44-1-1),MIN($N303,INT(EI$44-1-1)+1),$DC303,IF($DD303="No",1,0))/
IF(DP303&gt;=INT($N303),$N303-INT($N303),1)))*
IF(EI$44=1,0,
IF(INT(DQ303)=INT(DP303),DQ303-DP303,INT(DQ303)-DP303))+
IF($N303&lt;=1,
IF($N303&gt;0,1/$N303,0),VDB(1,0,$N303,INT(EI$44-1),MIN($N303,INT(EI$44-1)+1),$DC303,IF($DD303="No",1,0))/
IF(DQ303&gt;INT($N303),$N303-INT($N303),1))*
IF(EI$44=1,DQ303,
IF(INT(DQ303)=INT(DP303),0,DQ303-INT(DQ303)))))</f>
        <v>0</v>
      </c>
      <c r="EJ303" s="835">
        <f>+IF(DR303=DQ303,0,
IF(AND(EJ$44&gt;1,DR303=$N303),1-SUM($EE303:EI303),
IF($N303&lt;=1,
IF($N303&gt;0,1/$N303,0),
IF(EJ$44=1,0,VDB(1,0,$N303,INT(EJ$44-1-1),MIN($N303,INT(EJ$44-1-1)+1),$DC303,IF($DD303="No",1,0))/
IF(DQ303&gt;=INT($N303),$N303-INT($N303),1)))*
IF(EJ$44=1,0,
IF(INT(DR303)=INT(DQ303),DR303-DQ303,INT(DR303)-DQ303))+
IF($N303&lt;=1,
IF($N303&gt;0,1/$N303,0),VDB(1,0,$N303,INT(EJ$44-1),MIN($N303,INT(EJ$44-1)+1),$DC303,IF($DD303="No",1,0))/
IF(DR303&gt;INT($N303),$N303-INT($N303),1))*
IF(EJ$44=1,DR303,
IF(INT(DR303)=INT(DQ303),0,DR303-INT(DR303)))))</f>
        <v>0</v>
      </c>
      <c r="EK303" s="835">
        <f>+IF(DS303=DR303,0,
IF(AND(EK$44&gt;1,DS303=$N303),1-SUM($EE303:EJ303),
IF($N303&lt;=1,
IF($N303&gt;0,1/$N303,0),
IF(EK$44=1,0,VDB(1,0,$N303,INT(EK$44-1-1),MIN($N303,INT(EK$44-1-1)+1),$DC303,IF($DD303="No",1,0))/
IF(DR303&gt;=INT($N303),$N303-INT($N303),1)))*
IF(EK$44=1,0,
IF(INT(DS303)=INT(DR303),DS303-DR303,INT(DS303)-DR303))+
IF($N303&lt;=1,
IF($N303&gt;0,1/$N303,0),VDB(1,0,$N303,INT(EK$44-1),MIN($N303,INT(EK$44-1)+1),$DC303,IF($DD303="No",1,0))/
IF(DS303&gt;INT($N303),$N303-INT($N303),1))*
IF(EK$44=1,DS303,
IF(INT(DS303)=INT(DR303),0,DS303-INT(DS303)))))</f>
        <v>0</v>
      </c>
      <c r="EL303" s="835">
        <f>+IF(DT303=DS303,0,
IF(AND(EL$44&gt;1,DT303=$N303),1-SUM($EE303:EK303),
IF($N303&lt;=1,
IF($N303&gt;0,1/$N303,0),
IF(EL$44=1,0,VDB(1,0,$N303,INT(EL$44-1-1),MIN($N303,INT(EL$44-1-1)+1),$DC303,IF($DD303="No",1,0))/
IF(DS303&gt;=INT($N303),$N303-INT($N303),1)))*
IF(EL$44=1,0,
IF(INT(DT303)=INT(DS303),DT303-DS303,INT(DT303)-DS303))+
IF($N303&lt;=1,
IF($N303&gt;0,1/$N303,0),VDB(1,0,$N303,INT(EL$44-1),MIN($N303,INT(EL$44-1)+1),$DC303,IF($DD303="No",1,0))/
IF(DT303&gt;INT($N303),$N303-INT($N303),1))*
IF(EL$44=1,DT303,
IF(INT(DT303)=INT(DS303),0,DT303-INT(DT303)))))</f>
        <v>0</v>
      </c>
      <c r="EM303" s="836">
        <f>+IF(DU303=DT303,0,
IF(AND(EM$44&gt;1,DU303=$N303),1-SUM($EE303:EL303),
IF($N303&lt;=1,
IF($N303&gt;0,1/$N303,0),
IF(EM$44=1,0,VDB(1,0,$N303,INT(EM$44-1-1),MIN($N303,INT(EM$44-1-1)+1),$DC303,IF($DD303="No",1,0))/
IF(DT303&gt;=INT($N303),$N303-INT($N303),1)))*
IF(EM$44=1,0,
IF(INT(DU303)=INT(DT303),DU303-DT303,INT(DU303)-DT303))+
IF($N303&lt;=1,
IF($N303&gt;0,1/$N303,0),VDB(1,0,$N303,INT(EM$44-1),MIN($N303,INT(EM$44-1)+1),$DC303,IF($DD303="No",1,0))/
IF(DU303&gt;INT($N303),$N303-INT($N303),1))*
IF(EM$44=1,DU303,
IF(INT(DU303)=INT(DT303),0,DU303-INT(DU303)))))</f>
        <v>0</v>
      </c>
      <c r="EN303" s="833"/>
      <c r="EO303" s="834">
        <f>+IF(OR(DW303=DV303,EO$44=1),0,
IF(AND(EO$44&gt;1,DW303=$N303),1-SUM($EN303:EN303),
IF($N303&lt;=1,
IF($N303&gt;0,1/$N303,0),
IF(EO$44=2,0,VDB(1,0,$N303,INT(EO$44-2-1),MIN($N303,INT(EO$44-2-1)+1),$DC303,IF($DD303="No",1,0))/
IF(DV303&gt;=INT($N303),$N303-INT($N303),1)))*
IF(EO$44=2,0,
IF(INT(DW303)=INT(DV303),DW303-DV303,INT(DW303)-DV303))+
IF($N303&lt;=1,
IF($N303&gt;0,1/$N303,0),VDB(1,0,$N303,INT(EO$44-2),MIN($N303,INT(EO$44-2)+1),$DC303,IF($DD303="No",1,0))/
IF(DW303&gt;INT($N303),$N303-INT($N303),1))*
IF(EO$44=2,DW303,
IF(INT(DW303)=INT(DV303),0,DW303-INT(DW303)))))</f>
        <v>0</v>
      </c>
      <c r="EP303" s="835">
        <f>+IF(OR(DX303=DW303,EP$44=1),0,
IF(AND(EP$44&gt;1,DX303=$N303),1-SUM($EN303:EO303),
IF($N303&lt;=1,
IF($N303&gt;0,1/$N303,0),
IF(EP$44=2,0,VDB(1,0,$N303,INT(EP$44-2-1),MIN($N303,INT(EP$44-2-1)+1),$DC303,IF($DD303="No",1,0))/
IF(DW303&gt;=INT($N303),$N303-INT($N303),1)))*
IF(EP$44=2,0,
IF(INT(DX303)=INT(DW303),DX303-DW303,INT(DX303)-DW303))+
IF($N303&lt;=1,
IF($N303&gt;0,1/$N303,0),VDB(1,0,$N303,INT(EP$44-2),MIN($N303,INT(EP$44-2)+1),$DC303,IF($DD303="No",1,0))/
IF(DX303&gt;INT($N303),$N303-INT($N303),1))*
IF(EP$44=2,DX303,
IF(INT(DX303)=INT(DW303),0,DX303-INT(DX303)))))</f>
        <v>0</v>
      </c>
      <c r="EQ303" s="836">
        <f>+IF(OR(DY303=DX303,EQ$44=1),0,
IF(AND(EQ$44&gt;1,DY303=$N303),1-SUM($EN303:EP303),
IF($N303&lt;=1,
IF($N303&gt;0,1/$N303,0),
IF(EQ$44=2,0,VDB(1,0,$N303,INT(EQ$44-2-1),MIN($N303,INT(EQ$44-2-1)+1),$DC303,IF($DD303="No",1,0))/
IF(DX303&gt;=INT($N303),$N303-INT($N303),1)))*
IF(EQ$44=2,0,
IF(INT(DY303)=INT(DX303),DY303-DX303,INT(DY303)-DX303))+
IF($N303&lt;=1,
IF($N303&gt;0,1/$N303,0),VDB(1,0,$N303,INT(EQ$44-2),MIN($N303,INT(EQ$44-2)+1),$DC303,IF($DD303="No",1,0))/
IF(DY303&gt;INT($N303),$N303-INT($N303),1))*
IF(EQ$44=2,DY303,
IF(INT(DY303)=INT(DX303),0,DY303-INT(DY303)))))</f>
        <v>0</v>
      </c>
      <c r="ER303" s="834">
        <f>+IF(OR(DZ303=DY303,ER$44=1),0,
IF(AND(ER$44&gt;1,DZ303=$N303),1-SUM($EN303:EQ303),
IF($N303&lt;=1,
IF($N303&gt;0,1/$N303,0),
IF(ER$44=2,0,VDB(1,0,$N303,INT(ER$44-2-1),MIN($N303,INT(ER$44-2-1)+1),$DC303,IF($DD303="No",1,0))/
IF(DY303&gt;=INT($N303),$N303-INT($N303),1)))*
IF(ER$44=2,0,
IF(INT(DZ303)=INT(DY303),DZ303-DY303,INT(DZ303)-DY303))+
IF($N303&lt;=1,
IF($N303&gt;0,1/$N303,0),VDB(1,0,$N303,INT(ER$44-2),MIN($N303,INT(ER$44-2)+1),$DC303,IF($DD303="No",1,0))/
IF(DZ303&gt;INT($N303),$N303-INT($N303),1))*
IF(ER$44=2,DZ303,
IF(INT(DZ303)=INT(DY303),0,DZ303-INT(DZ303)))))</f>
        <v>0</v>
      </c>
      <c r="ES303" s="835">
        <f>+IF(OR(EA303=DZ303,ES$44=1),0,
IF(AND(ES$44&gt;1,EA303=$N303),1-SUM($EN303:ER303),
IF($N303&lt;=1,
IF($N303&gt;0,1/$N303,0),
IF(ES$44=2,0,VDB(1,0,$N303,INT(ES$44-2-1),MIN($N303,INT(ES$44-2-1)+1),$DC303,IF($DD303="No",1,0))/
IF(DZ303&gt;=INT($N303),$N303-INT($N303),1)))*
IF(ES$44=2,0,
IF(INT(EA303)=INT(DZ303),EA303-DZ303,INT(EA303)-DZ303))+
IF($N303&lt;=1,
IF($N303&gt;0,1/$N303,0),VDB(1,0,$N303,INT(ES$44-2),MIN($N303,INT(ES$44-2)+1),$DC303,IF($DD303="No",1,0))/
IF(EA303&gt;INT($N303),$N303-INT($N303),1))*
IF(ES$44=2,EA303,
IF(INT(EA303)=INT(DZ303),0,EA303-INT(EA303)))))</f>
        <v>0</v>
      </c>
      <c r="ET303" s="835">
        <f>+IF(OR(EB303=EA303,ET$44=1),0,
IF(AND(ET$44&gt;1,EB303=$N303),1-SUM($EN303:ES303),
IF($N303&lt;=1,
IF($N303&gt;0,1/$N303,0),
IF(ET$44=2,0,VDB(1,0,$N303,INT(ET$44-2-1),MIN($N303,INT(ET$44-2-1)+1),$DC303,IF($DD303="No",1,0))/
IF(EA303&gt;=INT($N303),$N303-INT($N303),1)))*
IF(ET$44=2,0,
IF(INT(EB303)=INT(EA303),EB303-EA303,INT(EB303)-EA303))+
IF($N303&lt;=1,
IF($N303&gt;0,1/$N303,0),VDB(1,0,$N303,INT(ET$44-2),MIN($N303,INT(ET$44-2)+1),$DC303,IF($DD303="No",1,0))/
IF(EB303&gt;INT($N303),$N303-INT($N303),1))*
IF(ET$44=2,EB303,
IF(INT(EB303)=INT(EA303),0,EB303-INT(EB303)))))</f>
        <v>0</v>
      </c>
      <c r="EU303" s="835">
        <f>+IF(OR(EC303=EB303,EU$44=1),0,
IF(AND(EU$44&gt;1,EC303=$N303),1-SUM($EN303:ET303),
IF($N303&lt;=1,
IF($N303&gt;0,1/$N303,0),
IF(EU$44=2,0,VDB(1,0,$N303,INT(EU$44-2-1),MIN($N303,INT(EU$44-2-1)+1),$DC303,IF($DD303="No",1,0))/
IF(EB303&gt;=INT($N303),$N303-INT($N303),1)))*
IF(EU$44=2,0,
IF(INT(EC303)=INT(EB303),EC303-EB303,INT(EC303)-EB303))+
IF($N303&lt;=1,
IF($N303&gt;0,1/$N303,0),VDB(1,0,$N303,INT(EU$44-2),MIN($N303,INT(EU$44-2)+1),$DC303,IF($DD303="No",1,0))/
IF(EC303&gt;INT($N303),$N303-INT($N303),1))*
IF(EU$44=2,EC303,
IF(INT(EC303)=INT(EB303),0,EC303-INT(EC303)))))</f>
        <v>0</v>
      </c>
      <c r="EV303" s="836">
        <f>+IF(OR(ED303=EC303,EV$44=1),0,
IF(AND(EV$44&gt;1,ED303=$N303),1-SUM($EN303:EU303),
IF($N303&lt;=1,
IF($N303&gt;0,1/$N303,0),
IF(EV$44=2,0,VDB(1,0,$N303,INT(EV$44-2-1),MIN($N303,INT(EV$44-2-1)+1),$DC303,IF($DD303="No",1,0))/
IF(EC303&gt;=INT($N303),$N303-INT($N303),1)))*
IF(EV$44=2,0,
IF(INT(ED303)=INT(EC303),ED303-EC303,INT(ED303)-EC303))+
IF($N303&lt;=1,
IF($N303&gt;0,1/$N303,0),VDB(1,0,$N303,INT(EV$44-2),MIN($N303,INT(EV$44-2)+1),$DC303,IF($DD303="No",1,0))/
IF(ED303&gt;INT($N303),$N303-INT($N303),1))*
IF(EV$44=2,ED303,
IF(INT(ED303)=INT(EC303),0,ED303-INT(ED303)))))</f>
        <v>0</v>
      </c>
      <c r="EW303" s="833"/>
      <c r="EX303" s="834">
        <f t="shared" ca="1" si="513"/>
        <v>0</v>
      </c>
      <c r="EY303" s="835">
        <f t="shared" ca="1" si="513"/>
        <v>0</v>
      </c>
      <c r="EZ303" s="836">
        <f t="shared" ca="1" si="513"/>
        <v>0</v>
      </c>
      <c r="FA303" s="834">
        <f t="shared" ca="1" si="513"/>
        <v>0</v>
      </c>
      <c r="FB303" s="835">
        <f t="shared" ca="1" si="513"/>
        <v>0</v>
      </c>
      <c r="FC303" s="835">
        <f t="shared" ca="1" si="513"/>
        <v>0</v>
      </c>
      <c r="FD303" s="835">
        <f t="shared" ca="1" si="513"/>
        <v>0</v>
      </c>
      <c r="FE303" s="836">
        <f t="shared" ca="1" si="513"/>
        <v>0</v>
      </c>
      <c r="FG303" s="386">
        <f t="shared" ca="1" si="504"/>
        <v>0</v>
      </c>
      <c r="FH303" s="387">
        <f t="shared" ca="1" si="505"/>
        <v>0</v>
      </c>
      <c r="FI303" s="388">
        <f t="shared" ca="1" si="506"/>
        <v>0</v>
      </c>
      <c r="FJ303" s="386">
        <f t="shared" ca="1" si="507"/>
        <v>0</v>
      </c>
      <c r="FK303" s="387">
        <f t="shared" ca="1" si="508"/>
        <v>0</v>
      </c>
      <c r="FL303" s="387">
        <f t="shared" ca="1" si="509"/>
        <v>0</v>
      </c>
      <c r="FM303" s="387">
        <f t="shared" ca="1" si="510"/>
        <v>0</v>
      </c>
      <c r="FN303" s="388">
        <f t="shared" ca="1" si="511"/>
        <v>0</v>
      </c>
      <c r="FR303" s="116"/>
    </row>
    <row r="304" spans="2:174">
      <c r="B304" s="1410">
        <f t="shared" si="512"/>
        <v>258</v>
      </c>
      <c r="C304" s="400"/>
      <c r="D304" s="410"/>
      <c r="E304" s="402"/>
      <c r="F304" s="402"/>
      <c r="G304" s="400"/>
      <c r="H304" s="2088"/>
      <c r="I304" s="2089"/>
      <c r="J304" s="411"/>
      <c r="K304" s="403"/>
      <c r="L304" s="403"/>
      <c r="M304" s="403"/>
      <c r="N304" s="403"/>
      <c r="O304" s="347"/>
      <c r="P304" s="347"/>
      <c r="Q304" s="1021"/>
      <c r="R304" s="1022"/>
      <c r="S304" s="1022"/>
      <c r="T304" s="1022"/>
      <c r="U304" s="1023"/>
      <c r="V304" s="1021"/>
      <c r="W304" s="1022"/>
      <c r="X304" s="1022"/>
      <c r="Y304" s="1022"/>
      <c r="Z304" s="1023"/>
      <c r="AA304" s="1024"/>
      <c r="AB304" s="1021"/>
      <c r="AC304" s="1022"/>
      <c r="AD304" s="1022"/>
      <c r="AE304" s="1022"/>
      <c r="AF304" s="1023"/>
      <c r="AG304" s="1021"/>
      <c r="AH304" s="1022"/>
      <c r="AI304" s="1022"/>
      <c r="AJ304" s="1022"/>
      <c r="AK304" s="1023"/>
      <c r="AL304" s="1024"/>
      <c r="AM304" s="1021"/>
      <c r="AN304" s="1022"/>
      <c r="AO304" s="1022"/>
      <c r="AP304" s="1022"/>
      <c r="AQ304" s="1023"/>
      <c r="AR304" s="1021"/>
      <c r="AS304" s="1022"/>
      <c r="AT304" s="1022"/>
      <c r="AU304" s="1022"/>
      <c r="AV304" s="1023"/>
      <c r="AW304" s="1025"/>
      <c r="AX304" s="1282">
        <f t="shared" si="457"/>
        <v>0</v>
      </c>
      <c r="AY304" s="387">
        <f t="shared" si="458"/>
        <v>0</v>
      </c>
      <c r="AZ304" s="387">
        <f t="shared" si="459"/>
        <v>0</v>
      </c>
      <c r="BA304" s="387">
        <f t="shared" si="460"/>
        <v>0</v>
      </c>
      <c r="BB304" s="1283">
        <f t="shared" si="461"/>
        <v>0</v>
      </c>
      <c r="BC304" s="386">
        <f t="shared" si="462"/>
        <v>0</v>
      </c>
      <c r="BD304" s="387">
        <f t="shared" si="463"/>
        <v>0</v>
      </c>
      <c r="BE304" s="1277">
        <f t="shared" si="464"/>
        <v>0</v>
      </c>
      <c r="BF304" s="1277">
        <f t="shared" si="465"/>
        <v>0</v>
      </c>
      <c r="BG304" s="388">
        <f t="shared" si="466"/>
        <v>0</v>
      </c>
      <c r="BH304" s="1025"/>
      <c r="BI304" s="1282">
        <f t="shared" ca="1" si="467"/>
        <v>0</v>
      </c>
      <c r="BJ304" s="387">
        <f t="shared" ca="1" si="468"/>
        <v>0</v>
      </c>
      <c r="BK304" s="387">
        <f t="shared" ca="1" si="469"/>
        <v>0</v>
      </c>
      <c r="BL304" s="387">
        <f t="shared" ca="1" si="470"/>
        <v>0</v>
      </c>
      <c r="BM304" s="1283">
        <f t="shared" ca="1" si="471"/>
        <v>0</v>
      </c>
      <c r="BN304" s="386">
        <f t="shared" ca="1" si="472"/>
        <v>0</v>
      </c>
      <c r="BO304" s="387">
        <f t="shared" ca="1" si="473"/>
        <v>0</v>
      </c>
      <c r="BP304" s="1277">
        <f t="shared" ca="1" si="474"/>
        <v>0</v>
      </c>
      <c r="BQ304" s="1277">
        <f t="shared" ca="1" si="475"/>
        <v>0</v>
      </c>
      <c r="BR304" s="388">
        <f t="shared" ca="1" si="476"/>
        <v>0</v>
      </c>
      <c r="BS304" s="1025"/>
      <c r="BT304" s="1282">
        <f>+IF($K304="Ongoing",AX304,IF(RIGHT($K304,2)=RIGHT(BT$43,2),SUM($AX304:AX304),0)+IF(RIGHT(BT$43,2)&gt;RIGHT($K304,2),AX304,0))</f>
        <v>0</v>
      </c>
      <c r="BU304" s="387">
        <f>+IF($K304="Ongoing",AY304,IF(RIGHT($K304,2)=RIGHT(BU$43,2),SUM($AX304:AY304),0)+IF(RIGHT(BU$43,2)&gt;RIGHT($K304,2),AY304,0))</f>
        <v>0</v>
      </c>
      <c r="BV304" s="387">
        <f>+IF($K304="Ongoing",AZ304,IF(RIGHT($K304,2)=RIGHT(BV$43,2),SUM($AX304:AZ304),0)+IF(RIGHT(BV$43,2)&gt;RIGHT($K304,2),AZ304,0))</f>
        <v>0</v>
      </c>
      <c r="BW304" s="387">
        <f>+IF($K304="Ongoing",BA304,IF(RIGHT($K304,2)=RIGHT(BW$43,2),SUM($AX304:BA304),0)+IF(RIGHT(BW$43,2)&gt;RIGHT($K304,2),BA304,0))</f>
        <v>0</v>
      </c>
      <c r="BX304" s="1283">
        <f>+IF($K304="Ongoing",BB304,IF(RIGHT($K304,2)=RIGHT(BX$43,2),SUM($AX304:BB304),0)+IF(RIGHT(BX$43,2)&gt;RIGHT($K304,2),BB304,0))</f>
        <v>0</v>
      </c>
      <c r="BY304" s="386">
        <f>+IF($K304="Ongoing",BC304,IF(RIGHT($K304,2)=RIGHT(BY$43,2),SUM($AX304:BC304),0)+IF(RIGHT(BY$43,2)&gt;RIGHT($K304,2),BC304,0))</f>
        <v>0</v>
      </c>
      <c r="BZ304" s="387">
        <f>+IF($K304="Ongoing",BD304,IF(RIGHT($K304,2)=RIGHT(BZ$43,2),SUM($AX304:BD304),0)+IF(RIGHT(BZ$43,2)&gt;RIGHT($K304,2),BD304,0))</f>
        <v>0</v>
      </c>
      <c r="CA304" s="1277">
        <f>+IF($K304="Ongoing",BE304,IF(RIGHT($K304,2)=RIGHT(CA$43,2),SUM($AX304:BE304),0)+IF(RIGHT(CA$43,2)&gt;RIGHT($K304,2),BE304,0))</f>
        <v>0</v>
      </c>
      <c r="CB304" s="1277">
        <f>+IF($K304="Ongoing",BF304,IF(RIGHT($K304,2)=RIGHT(CB$43,2),SUM($AX304:BF304),0)+IF(RIGHT(CB$43,2)&gt;RIGHT($K304,2),BF304,0))</f>
        <v>0</v>
      </c>
      <c r="CC304" s="388">
        <f>+IF($K304="Ongoing",BG304,IF(RIGHT($K304,2)=RIGHT(CC$43,2),SUM($AX304:BG304),0)+IF(RIGHT(CC$43,2)&gt;RIGHT($K304,2),BG304,0))</f>
        <v>0</v>
      </c>
      <c r="CD304" s="1025"/>
      <c r="CE304" s="1282">
        <f>+Q304*KeyAssumptionsPriceControl_FO!AF$15</f>
        <v>0</v>
      </c>
      <c r="CF304" s="387">
        <f>+R304*KeyAssumptionsPriceControl_FO!AG$15</f>
        <v>0</v>
      </c>
      <c r="CG304" s="387">
        <f>+S304*KeyAssumptionsPriceControl_FO!AH$15</f>
        <v>0</v>
      </c>
      <c r="CH304" s="387">
        <f>+T304*KeyAssumptionsPriceControl_FO!AI$15</f>
        <v>0</v>
      </c>
      <c r="CI304" s="1283">
        <f>+U304*KeyAssumptionsPriceControl_FO!AJ$15</f>
        <v>0</v>
      </c>
      <c r="CJ304" s="386">
        <f>+V304*KeyAssumptionsPriceControl_FO!AK$15</f>
        <v>0</v>
      </c>
      <c r="CK304" s="387">
        <f>+W304*KeyAssumptionsPriceControl_FO!AL$15</f>
        <v>0</v>
      </c>
      <c r="CL304" s="1277">
        <f>+X304*KeyAssumptionsPriceControl_FO!AM$15</f>
        <v>0</v>
      </c>
      <c r="CM304" s="1277">
        <f>+Y304*KeyAssumptionsPriceControl_FO!AN$15</f>
        <v>0</v>
      </c>
      <c r="CN304" s="388">
        <f>+Z304*KeyAssumptionsPriceControl_FO!AO$15</f>
        <v>0</v>
      </c>
      <c r="CO304" s="1025"/>
      <c r="CP304" s="1282">
        <f t="shared" ca="1" si="477"/>
        <v>0</v>
      </c>
      <c r="CQ304" s="387">
        <f t="shared" ca="1" si="478"/>
        <v>0</v>
      </c>
      <c r="CR304" s="387">
        <f t="shared" ca="1" si="479"/>
        <v>0</v>
      </c>
      <c r="CS304" s="387">
        <f t="shared" ca="1" si="480"/>
        <v>0</v>
      </c>
      <c r="CT304" s="1283">
        <f t="shared" ca="1" si="481"/>
        <v>0</v>
      </c>
      <c r="CU304" s="386">
        <f t="shared" ca="1" si="482"/>
        <v>0</v>
      </c>
      <c r="CV304" s="387">
        <f t="shared" ca="1" si="483"/>
        <v>0</v>
      </c>
      <c r="CW304" s="1277">
        <f t="shared" ca="1" si="484"/>
        <v>0</v>
      </c>
      <c r="CX304" s="1277">
        <f t="shared" ca="1" si="485"/>
        <v>0</v>
      </c>
      <c r="CY304" s="388">
        <f t="shared" ca="1" si="486"/>
        <v>0</v>
      </c>
      <c r="CZ304" s="347"/>
      <c r="DA304" s="852"/>
      <c r="DB304" s="347"/>
      <c r="DC304" s="1012" t="s">
        <v>613</v>
      </c>
      <c r="DD304" s="841" t="s">
        <v>518</v>
      </c>
      <c r="DE304" s="386">
        <f>+IF($K304="ongoing",CE304,IF(RIGHT($K304,2)=RIGHT(DE$43,2),SUM($CD304:CE304),0)+IF(RIGHT(DE$43,2)&gt;RIGHT($K304,2),CE304,0))</f>
        <v>0</v>
      </c>
      <c r="DF304" s="387">
        <f>+IF($K304="ongoing",CF304,IF(RIGHT($K304,2)=RIGHT(DF$43,2),SUM($CD304:CF304),0)+IF(RIGHT(DF$43,2)&gt;RIGHT($K304,2),CF304,0))</f>
        <v>0</v>
      </c>
      <c r="DG304" s="388">
        <f>+IF($K304="ongoing",CG304,IF(RIGHT($K304,2)=RIGHT(DG$43,2),SUM($CD304:CG304),0)+IF(RIGHT(DG$43,2)&gt;RIGHT($K304,2),CG304,0))</f>
        <v>0</v>
      </c>
      <c r="DH304" s="386">
        <f>+IF($K304="ongoing",CH304,IF(RIGHT($K304,2)=RIGHT(DH$43,2),SUM($CD304:CH304),0)+IF(RIGHT(DH$43,2)&gt;RIGHT($K304,2),CH304,0))</f>
        <v>0</v>
      </c>
      <c r="DI304" s="387">
        <f>+IF($K304="ongoing",CI304,IF(RIGHT($K304,2)=RIGHT(DI$43,2),SUM($CD304:CI304),0)+IF(RIGHT(DI$43,2)&gt;RIGHT($K304,2),CI304,0))</f>
        <v>0</v>
      </c>
      <c r="DJ304" s="387">
        <f>+IF($K304="ongoing",CJ304,IF(RIGHT($K304,2)=RIGHT(DJ$43,2),SUM($CD304:CJ304),0)+IF(RIGHT(DJ$43,2)&gt;RIGHT($K304,2),CJ304,0))</f>
        <v>0</v>
      </c>
      <c r="DK304" s="387">
        <f>+IF($K304="ongoing",CK304,IF(RIGHT($K304,2)=RIGHT(DK$43,2),SUM($CD304:CK304),0)+IF(RIGHT(DK$43,2)&gt;RIGHT($K304,2),CK304,0))</f>
        <v>0</v>
      </c>
      <c r="DL304" s="388">
        <f>+IF($K304="ongoing",CN304,IF(RIGHT($K304,2)=RIGHT(DL$43,2),SUM($CD304:CN304),0)+IF(RIGHT(DL$43,2)&gt;RIGHT($K304,2),CN304,0))</f>
        <v>0</v>
      </c>
      <c r="DM304" s="841"/>
      <c r="DN304" s="386">
        <f t="shared" si="487"/>
        <v>0.5</v>
      </c>
      <c r="DO304" s="387">
        <f t="shared" si="488"/>
        <v>1</v>
      </c>
      <c r="DP304" s="388">
        <f t="shared" si="489"/>
        <v>1</v>
      </c>
      <c r="DQ304" s="386">
        <f t="shared" si="490"/>
        <v>1</v>
      </c>
      <c r="DR304" s="387">
        <f t="shared" si="491"/>
        <v>1</v>
      </c>
      <c r="DS304" s="387">
        <f t="shared" si="492"/>
        <v>1</v>
      </c>
      <c r="DT304" s="387">
        <f t="shared" si="493"/>
        <v>1</v>
      </c>
      <c r="DU304" s="388">
        <f t="shared" si="494"/>
        <v>1</v>
      </c>
      <c r="DW304" s="386">
        <f t="shared" si="495"/>
        <v>0</v>
      </c>
      <c r="DX304" s="387">
        <f t="shared" si="496"/>
        <v>0.5</v>
      </c>
      <c r="DY304" s="388">
        <f t="shared" si="497"/>
        <v>1</v>
      </c>
      <c r="DZ304" s="386">
        <f t="shared" si="498"/>
        <v>1</v>
      </c>
      <c r="EA304" s="387">
        <f t="shared" si="499"/>
        <v>1</v>
      </c>
      <c r="EB304" s="387">
        <f t="shared" si="500"/>
        <v>1</v>
      </c>
      <c r="EC304" s="387">
        <f t="shared" si="501"/>
        <v>1</v>
      </c>
      <c r="ED304" s="388">
        <f t="shared" si="502"/>
        <v>1</v>
      </c>
      <c r="EF304" s="834">
        <f>+IF(DN304=DM304,0,
IF(AND(EF$44&gt;1,DN304=$N304),1-SUM($EE304:EE304),
IF($N304&lt;=1,
IF($N304&gt;0,1/$N304,0),
IF(EF$44=1,0,VDB(1,0,$N304,INT(EF$44-1-1),MIN($N304,INT(EF$44-1-1)+1),$DC304,IF($DD304="No",1,0))/
IF(DM304&gt;=INT($N304),$N304-INT($N304),1)))*
IF(EF$44=1,0,
IF(INT(DN304)=INT(DM304),DN304-DM304,INT(DN304)-DM304))+
IF($N304&lt;=1,
IF($N304&gt;0,1/$N304,0),VDB(1,0,$N304,INT(EF$44-1),MIN($N304,INT(EF$44-1)+1),$DC304,IF($DD304="No",1,0))/
IF(DN304&gt;INT($N304),$N304-INT($N304),1))*
IF(EF$44=1,DN304,
IF(INT(DN304)=INT(DM304),0,DN304-INT(DN304)))))</f>
        <v>0</v>
      </c>
      <c r="EG304" s="835">
        <f>+IF(DO304=DN304,0,
IF(AND(EG$44&gt;1,DO304=$N304),1-SUM($EE304:EF304),
IF($N304&lt;=1,
IF($N304&gt;0,1/$N304,0),
IF(EG$44=1,0,VDB(1,0,$N304,INT(EG$44-1-1),MIN($N304,INT(EG$44-1-1)+1),$DC304,IF($DD304="No",1,0))/
IF(DN304&gt;=INT($N304),$N304-INT($N304),1)))*
IF(EG$44=1,0,
IF(INT(DO304)=INT(DN304),DO304-DN304,INT(DO304)-DN304))+
IF($N304&lt;=1,
IF($N304&gt;0,1/$N304,0),VDB(1,0,$N304,INT(EG$44-1),MIN($N304,INT(EG$44-1)+1),$DC304,IF($DD304="No",1,0))/
IF(DO304&gt;INT($N304),$N304-INT($N304),1))*
IF(EG$44=1,DO304,
IF(INT(DO304)=INT(DN304),0,DO304-INT(DO304)))))</f>
        <v>0</v>
      </c>
      <c r="EH304" s="836">
        <f>+IF(DP304=DO304,0,
IF(AND(EH$44&gt;1,DP304=$N304),1-SUM($EE304:EG304),
IF($N304&lt;=1,
IF($N304&gt;0,1/$N304,0),
IF(EH$44=1,0,VDB(1,0,$N304,INT(EH$44-1-1),MIN($N304,INT(EH$44-1-1)+1),$DC304,IF($DD304="No",1,0))/
IF(DO304&gt;=INT($N304),$N304-INT($N304),1)))*
IF(EH$44=1,0,
IF(INT(DP304)=INT(DO304),DP304-DO304,INT(DP304)-DO304))+
IF($N304&lt;=1,
IF($N304&gt;0,1/$N304,0),VDB(1,0,$N304,INT(EH$44-1),MIN($N304,INT(EH$44-1)+1),$DC304,IF($DD304="No",1,0))/
IF(DP304&gt;INT($N304),$N304-INT($N304),1))*
IF(EH$44=1,DP304,
IF(INT(DP304)=INT(DO304),0,DP304-INT(DP304)))))</f>
        <v>0</v>
      </c>
      <c r="EI304" s="834">
        <f>+IF(DQ304=DP304,0,
IF(AND(EI$44&gt;1,DQ304=$N304),1-SUM($EE304:EH304),
IF($N304&lt;=1,
IF($N304&gt;0,1/$N304,0),
IF(EI$44=1,0,VDB(1,0,$N304,INT(EI$44-1-1),MIN($N304,INT(EI$44-1-1)+1),$DC304,IF($DD304="No",1,0))/
IF(DP304&gt;=INT($N304),$N304-INT($N304),1)))*
IF(EI$44=1,0,
IF(INT(DQ304)=INT(DP304),DQ304-DP304,INT(DQ304)-DP304))+
IF($N304&lt;=1,
IF($N304&gt;0,1/$N304,0),VDB(1,0,$N304,INT(EI$44-1),MIN($N304,INT(EI$44-1)+1),$DC304,IF($DD304="No",1,0))/
IF(DQ304&gt;INT($N304),$N304-INT($N304),1))*
IF(EI$44=1,DQ304,
IF(INT(DQ304)=INT(DP304),0,DQ304-INT(DQ304)))))</f>
        <v>0</v>
      </c>
      <c r="EJ304" s="835">
        <f>+IF(DR304=DQ304,0,
IF(AND(EJ$44&gt;1,DR304=$N304),1-SUM($EE304:EI304),
IF($N304&lt;=1,
IF($N304&gt;0,1/$N304,0),
IF(EJ$44=1,0,VDB(1,0,$N304,INT(EJ$44-1-1),MIN($N304,INT(EJ$44-1-1)+1),$DC304,IF($DD304="No",1,0))/
IF(DQ304&gt;=INT($N304),$N304-INT($N304),1)))*
IF(EJ$44=1,0,
IF(INT(DR304)=INT(DQ304),DR304-DQ304,INT(DR304)-DQ304))+
IF($N304&lt;=1,
IF($N304&gt;0,1/$N304,0),VDB(1,0,$N304,INT(EJ$44-1),MIN($N304,INT(EJ$44-1)+1),$DC304,IF($DD304="No",1,0))/
IF(DR304&gt;INT($N304),$N304-INT($N304),1))*
IF(EJ$44=1,DR304,
IF(INT(DR304)=INT(DQ304),0,DR304-INT(DR304)))))</f>
        <v>0</v>
      </c>
      <c r="EK304" s="835">
        <f>+IF(DS304=DR304,0,
IF(AND(EK$44&gt;1,DS304=$N304),1-SUM($EE304:EJ304),
IF($N304&lt;=1,
IF($N304&gt;0,1/$N304,0),
IF(EK$44=1,0,VDB(1,0,$N304,INT(EK$44-1-1),MIN($N304,INT(EK$44-1-1)+1),$DC304,IF($DD304="No",1,0))/
IF(DR304&gt;=INT($N304),$N304-INT($N304),1)))*
IF(EK$44=1,0,
IF(INT(DS304)=INT(DR304),DS304-DR304,INT(DS304)-DR304))+
IF($N304&lt;=1,
IF($N304&gt;0,1/$N304,0),VDB(1,0,$N304,INT(EK$44-1),MIN($N304,INT(EK$44-1)+1),$DC304,IF($DD304="No",1,0))/
IF(DS304&gt;INT($N304),$N304-INT($N304),1))*
IF(EK$44=1,DS304,
IF(INT(DS304)=INT(DR304),0,DS304-INT(DS304)))))</f>
        <v>0</v>
      </c>
      <c r="EL304" s="835">
        <f>+IF(DT304=DS304,0,
IF(AND(EL$44&gt;1,DT304=$N304),1-SUM($EE304:EK304),
IF($N304&lt;=1,
IF($N304&gt;0,1/$N304,0),
IF(EL$44=1,0,VDB(1,0,$N304,INT(EL$44-1-1),MIN($N304,INT(EL$44-1-1)+1),$DC304,IF($DD304="No",1,0))/
IF(DS304&gt;=INT($N304),$N304-INT($N304),1)))*
IF(EL$44=1,0,
IF(INT(DT304)=INT(DS304),DT304-DS304,INT(DT304)-DS304))+
IF($N304&lt;=1,
IF($N304&gt;0,1/$N304,0),VDB(1,0,$N304,INT(EL$44-1),MIN($N304,INT(EL$44-1)+1),$DC304,IF($DD304="No",1,0))/
IF(DT304&gt;INT($N304),$N304-INT($N304),1))*
IF(EL$44=1,DT304,
IF(INT(DT304)=INT(DS304),0,DT304-INT(DT304)))))</f>
        <v>0</v>
      </c>
      <c r="EM304" s="836">
        <f>+IF(DU304=DT304,0,
IF(AND(EM$44&gt;1,DU304=$N304),1-SUM($EE304:EL304),
IF($N304&lt;=1,
IF($N304&gt;0,1/$N304,0),
IF(EM$44=1,0,VDB(1,0,$N304,INT(EM$44-1-1),MIN($N304,INT(EM$44-1-1)+1),$DC304,IF($DD304="No",1,0))/
IF(DT304&gt;=INT($N304),$N304-INT($N304),1)))*
IF(EM$44=1,0,
IF(INT(DU304)=INT(DT304),DU304-DT304,INT(DU304)-DT304))+
IF($N304&lt;=1,
IF($N304&gt;0,1/$N304,0),VDB(1,0,$N304,INT(EM$44-1),MIN($N304,INT(EM$44-1)+1),$DC304,IF($DD304="No",1,0))/
IF(DU304&gt;INT($N304),$N304-INT($N304),1))*
IF(EM$44=1,DU304,
IF(INT(DU304)=INT(DT304),0,DU304-INT(DU304)))))</f>
        <v>0</v>
      </c>
      <c r="EN304" s="833"/>
      <c r="EO304" s="834">
        <f>+IF(OR(DW304=DV304,EO$44=1),0,
IF(AND(EO$44&gt;1,DW304=$N304),1-SUM($EN304:EN304),
IF($N304&lt;=1,
IF($N304&gt;0,1/$N304,0),
IF(EO$44=2,0,VDB(1,0,$N304,INT(EO$44-2-1),MIN($N304,INT(EO$44-2-1)+1),$DC304,IF($DD304="No",1,0))/
IF(DV304&gt;=INT($N304),$N304-INT($N304),1)))*
IF(EO$44=2,0,
IF(INT(DW304)=INT(DV304),DW304-DV304,INT(DW304)-DV304))+
IF($N304&lt;=1,
IF($N304&gt;0,1/$N304,0),VDB(1,0,$N304,INT(EO$44-2),MIN($N304,INT(EO$44-2)+1),$DC304,IF($DD304="No",1,0))/
IF(DW304&gt;INT($N304),$N304-INT($N304),1))*
IF(EO$44=2,DW304,
IF(INT(DW304)=INT(DV304),0,DW304-INT(DW304)))))</f>
        <v>0</v>
      </c>
      <c r="EP304" s="835">
        <f>+IF(OR(DX304=DW304,EP$44=1),0,
IF(AND(EP$44&gt;1,DX304=$N304),1-SUM($EN304:EO304),
IF($N304&lt;=1,
IF($N304&gt;0,1/$N304,0),
IF(EP$44=2,0,VDB(1,0,$N304,INT(EP$44-2-1),MIN($N304,INT(EP$44-2-1)+1),$DC304,IF($DD304="No",1,0))/
IF(DW304&gt;=INT($N304),$N304-INT($N304),1)))*
IF(EP$44=2,0,
IF(INT(DX304)=INT(DW304),DX304-DW304,INT(DX304)-DW304))+
IF($N304&lt;=1,
IF($N304&gt;0,1/$N304,0),VDB(1,0,$N304,INT(EP$44-2),MIN($N304,INT(EP$44-2)+1),$DC304,IF($DD304="No",1,0))/
IF(DX304&gt;INT($N304),$N304-INT($N304),1))*
IF(EP$44=2,DX304,
IF(INT(DX304)=INT(DW304),0,DX304-INT(DX304)))))</f>
        <v>0</v>
      </c>
      <c r="EQ304" s="836">
        <f>+IF(OR(DY304=DX304,EQ$44=1),0,
IF(AND(EQ$44&gt;1,DY304=$N304),1-SUM($EN304:EP304),
IF($N304&lt;=1,
IF($N304&gt;0,1/$N304,0),
IF(EQ$44=2,0,VDB(1,0,$N304,INT(EQ$44-2-1),MIN($N304,INT(EQ$44-2-1)+1),$DC304,IF($DD304="No",1,0))/
IF(DX304&gt;=INT($N304),$N304-INT($N304),1)))*
IF(EQ$44=2,0,
IF(INT(DY304)=INT(DX304),DY304-DX304,INT(DY304)-DX304))+
IF($N304&lt;=1,
IF($N304&gt;0,1/$N304,0),VDB(1,0,$N304,INT(EQ$44-2),MIN($N304,INT(EQ$44-2)+1),$DC304,IF($DD304="No",1,0))/
IF(DY304&gt;INT($N304),$N304-INT($N304),1))*
IF(EQ$44=2,DY304,
IF(INT(DY304)=INT(DX304),0,DY304-INT(DY304)))))</f>
        <v>0</v>
      </c>
      <c r="ER304" s="834">
        <f>+IF(OR(DZ304=DY304,ER$44=1),0,
IF(AND(ER$44&gt;1,DZ304=$N304),1-SUM($EN304:EQ304),
IF($N304&lt;=1,
IF($N304&gt;0,1/$N304,0),
IF(ER$44=2,0,VDB(1,0,$N304,INT(ER$44-2-1),MIN($N304,INT(ER$44-2-1)+1),$DC304,IF($DD304="No",1,0))/
IF(DY304&gt;=INT($N304),$N304-INT($N304),1)))*
IF(ER$44=2,0,
IF(INT(DZ304)=INT(DY304),DZ304-DY304,INT(DZ304)-DY304))+
IF($N304&lt;=1,
IF($N304&gt;0,1/$N304,0),VDB(1,0,$N304,INT(ER$44-2),MIN($N304,INT(ER$44-2)+1),$DC304,IF($DD304="No",1,0))/
IF(DZ304&gt;INT($N304),$N304-INT($N304),1))*
IF(ER$44=2,DZ304,
IF(INT(DZ304)=INT(DY304),0,DZ304-INT(DZ304)))))</f>
        <v>0</v>
      </c>
      <c r="ES304" s="835">
        <f>+IF(OR(EA304=DZ304,ES$44=1),0,
IF(AND(ES$44&gt;1,EA304=$N304),1-SUM($EN304:ER304),
IF($N304&lt;=1,
IF($N304&gt;0,1/$N304,0),
IF(ES$44=2,0,VDB(1,0,$N304,INT(ES$44-2-1),MIN($N304,INT(ES$44-2-1)+1),$DC304,IF($DD304="No",1,0))/
IF(DZ304&gt;=INT($N304),$N304-INT($N304),1)))*
IF(ES$44=2,0,
IF(INT(EA304)=INT(DZ304),EA304-DZ304,INT(EA304)-DZ304))+
IF($N304&lt;=1,
IF($N304&gt;0,1/$N304,0),VDB(1,0,$N304,INT(ES$44-2),MIN($N304,INT(ES$44-2)+1),$DC304,IF($DD304="No",1,0))/
IF(EA304&gt;INT($N304),$N304-INT($N304),1))*
IF(ES$44=2,EA304,
IF(INT(EA304)=INT(DZ304),0,EA304-INT(EA304)))))</f>
        <v>0</v>
      </c>
      <c r="ET304" s="835">
        <f>+IF(OR(EB304=EA304,ET$44=1),0,
IF(AND(ET$44&gt;1,EB304=$N304),1-SUM($EN304:ES304),
IF($N304&lt;=1,
IF($N304&gt;0,1/$N304,0),
IF(ET$44=2,0,VDB(1,0,$N304,INT(ET$44-2-1),MIN($N304,INT(ET$44-2-1)+1),$DC304,IF($DD304="No",1,0))/
IF(EA304&gt;=INT($N304),$N304-INT($N304),1)))*
IF(ET$44=2,0,
IF(INT(EB304)=INT(EA304),EB304-EA304,INT(EB304)-EA304))+
IF($N304&lt;=1,
IF($N304&gt;0,1/$N304,0),VDB(1,0,$N304,INT(ET$44-2),MIN($N304,INT(ET$44-2)+1),$DC304,IF($DD304="No",1,0))/
IF(EB304&gt;INT($N304),$N304-INT($N304),1))*
IF(ET$44=2,EB304,
IF(INT(EB304)=INT(EA304),0,EB304-INT(EB304)))))</f>
        <v>0</v>
      </c>
      <c r="EU304" s="835">
        <f>+IF(OR(EC304=EB304,EU$44=1),0,
IF(AND(EU$44&gt;1,EC304=$N304),1-SUM($EN304:ET304),
IF($N304&lt;=1,
IF($N304&gt;0,1/$N304,0),
IF(EU$44=2,0,VDB(1,0,$N304,INT(EU$44-2-1),MIN($N304,INT(EU$44-2-1)+1),$DC304,IF($DD304="No",1,0))/
IF(EB304&gt;=INT($N304),$N304-INT($N304),1)))*
IF(EU$44=2,0,
IF(INT(EC304)=INT(EB304),EC304-EB304,INT(EC304)-EB304))+
IF($N304&lt;=1,
IF($N304&gt;0,1/$N304,0),VDB(1,0,$N304,INT(EU$44-2),MIN($N304,INT(EU$44-2)+1),$DC304,IF($DD304="No",1,0))/
IF(EC304&gt;INT($N304),$N304-INT($N304),1))*
IF(EU$44=2,EC304,
IF(INT(EC304)=INT(EB304),0,EC304-INT(EC304)))))</f>
        <v>0</v>
      </c>
      <c r="EV304" s="836">
        <f>+IF(OR(ED304=EC304,EV$44=1),0,
IF(AND(EV$44&gt;1,ED304=$N304),1-SUM($EN304:EU304),
IF($N304&lt;=1,
IF($N304&gt;0,1/$N304,0),
IF(EV$44=2,0,VDB(1,0,$N304,INT(EV$44-2-1),MIN($N304,INT(EV$44-2-1)+1),$DC304,IF($DD304="No",1,0))/
IF(EC304&gt;=INT($N304),$N304-INT($N304),1)))*
IF(EV$44=2,0,
IF(INT(ED304)=INT(EC304),ED304-EC304,INT(ED304)-EC304))+
IF($N304&lt;=1,
IF($N304&gt;0,1/$N304,0),VDB(1,0,$N304,INT(EV$44-2),MIN($N304,INT(EV$44-2)+1),$DC304,IF($DD304="No",1,0))/
IF(ED304&gt;INT($N304),$N304-INT($N304),1))*
IF(EV$44=2,ED304,
IF(INT(ED304)=INT(EC304),0,ED304-INT(ED304)))))</f>
        <v>0</v>
      </c>
      <c r="EW304" s="833"/>
      <c r="EX304" s="834">
        <f t="shared" ca="1" si="513"/>
        <v>0</v>
      </c>
      <c r="EY304" s="835">
        <f t="shared" ca="1" si="513"/>
        <v>0</v>
      </c>
      <c r="EZ304" s="836">
        <f t="shared" ca="1" si="513"/>
        <v>0</v>
      </c>
      <c r="FA304" s="834">
        <f t="shared" ca="1" si="513"/>
        <v>0</v>
      </c>
      <c r="FB304" s="835">
        <f t="shared" ca="1" si="513"/>
        <v>0</v>
      </c>
      <c r="FC304" s="835">
        <f t="shared" ca="1" si="513"/>
        <v>0</v>
      </c>
      <c r="FD304" s="835">
        <f t="shared" ca="1" si="513"/>
        <v>0</v>
      </c>
      <c r="FE304" s="836">
        <f t="shared" ca="1" si="513"/>
        <v>0</v>
      </c>
      <c r="FG304" s="386">
        <f t="shared" ca="1" si="504"/>
        <v>0</v>
      </c>
      <c r="FH304" s="387">
        <f t="shared" ca="1" si="505"/>
        <v>0</v>
      </c>
      <c r="FI304" s="388">
        <f t="shared" ca="1" si="506"/>
        <v>0</v>
      </c>
      <c r="FJ304" s="386">
        <f t="shared" ca="1" si="507"/>
        <v>0</v>
      </c>
      <c r="FK304" s="387">
        <f t="shared" ca="1" si="508"/>
        <v>0</v>
      </c>
      <c r="FL304" s="387">
        <f t="shared" ca="1" si="509"/>
        <v>0</v>
      </c>
      <c r="FM304" s="387">
        <f t="shared" ca="1" si="510"/>
        <v>0</v>
      </c>
      <c r="FN304" s="388">
        <f t="shared" ca="1" si="511"/>
        <v>0</v>
      </c>
      <c r="FR304" s="116"/>
    </row>
    <row r="305" spans="2:174">
      <c r="B305" s="1410">
        <f t="shared" si="512"/>
        <v>259</v>
      </c>
      <c r="C305" s="400"/>
      <c r="D305" s="410"/>
      <c r="E305" s="402"/>
      <c r="F305" s="402"/>
      <c r="G305" s="400"/>
      <c r="H305" s="2088"/>
      <c r="I305" s="2089"/>
      <c r="J305" s="411"/>
      <c r="K305" s="403"/>
      <c r="L305" s="403"/>
      <c r="M305" s="403"/>
      <c r="N305" s="403"/>
      <c r="O305" s="347"/>
      <c r="P305" s="347"/>
      <c r="Q305" s="1021"/>
      <c r="R305" s="1022"/>
      <c r="S305" s="1022"/>
      <c r="T305" s="1022"/>
      <c r="U305" s="1023"/>
      <c r="V305" s="1021"/>
      <c r="W305" s="1022"/>
      <c r="X305" s="1022"/>
      <c r="Y305" s="1022"/>
      <c r="Z305" s="1023"/>
      <c r="AA305" s="1024"/>
      <c r="AB305" s="1021"/>
      <c r="AC305" s="1022"/>
      <c r="AD305" s="1022"/>
      <c r="AE305" s="1022"/>
      <c r="AF305" s="1023"/>
      <c r="AG305" s="1021"/>
      <c r="AH305" s="1022"/>
      <c r="AI305" s="1022"/>
      <c r="AJ305" s="1022"/>
      <c r="AK305" s="1023"/>
      <c r="AL305" s="1024"/>
      <c r="AM305" s="1021"/>
      <c r="AN305" s="1022"/>
      <c r="AO305" s="1022"/>
      <c r="AP305" s="1022"/>
      <c r="AQ305" s="1023"/>
      <c r="AR305" s="1021"/>
      <c r="AS305" s="1022"/>
      <c r="AT305" s="1022"/>
      <c r="AU305" s="1022"/>
      <c r="AV305" s="1023"/>
      <c r="AW305" s="1025"/>
      <c r="AX305" s="1282">
        <f t="shared" si="457"/>
        <v>0</v>
      </c>
      <c r="AY305" s="387">
        <f t="shared" si="458"/>
        <v>0</v>
      </c>
      <c r="AZ305" s="387">
        <f t="shared" si="459"/>
        <v>0</v>
      </c>
      <c r="BA305" s="387">
        <f t="shared" si="460"/>
        <v>0</v>
      </c>
      <c r="BB305" s="1283">
        <f t="shared" si="461"/>
        <v>0</v>
      </c>
      <c r="BC305" s="386">
        <f t="shared" si="462"/>
        <v>0</v>
      </c>
      <c r="BD305" s="387">
        <f t="shared" si="463"/>
        <v>0</v>
      </c>
      <c r="BE305" s="1277">
        <f t="shared" si="464"/>
        <v>0</v>
      </c>
      <c r="BF305" s="1277">
        <f t="shared" si="465"/>
        <v>0</v>
      </c>
      <c r="BG305" s="388">
        <f t="shared" si="466"/>
        <v>0</v>
      </c>
      <c r="BH305" s="1025"/>
      <c r="BI305" s="1282">
        <f t="shared" ca="1" si="467"/>
        <v>0</v>
      </c>
      <c r="BJ305" s="387">
        <f t="shared" ca="1" si="468"/>
        <v>0</v>
      </c>
      <c r="BK305" s="387">
        <f t="shared" ca="1" si="469"/>
        <v>0</v>
      </c>
      <c r="BL305" s="387">
        <f t="shared" ca="1" si="470"/>
        <v>0</v>
      </c>
      <c r="BM305" s="1283">
        <f t="shared" ca="1" si="471"/>
        <v>0</v>
      </c>
      <c r="BN305" s="386">
        <f t="shared" ca="1" si="472"/>
        <v>0</v>
      </c>
      <c r="BO305" s="387">
        <f t="shared" ca="1" si="473"/>
        <v>0</v>
      </c>
      <c r="BP305" s="1277">
        <f t="shared" ca="1" si="474"/>
        <v>0</v>
      </c>
      <c r="BQ305" s="1277">
        <f t="shared" ca="1" si="475"/>
        <v>0</v>
      </c>
      <c r="BR305" s="388">
        <f t="shared" ca="1" si="476"/>
        <v>0</v>
      </c>
      <c r="BS305" s="1025"/>
      <c r="BT305" s="1282">
        <f>+IF($K305="Ongoing",AX305,IF(RIGHT($K305,2)=RIGHT(BT$43,2),SUM($AX305:AX305),0)+IF(RIGHT(BT$43,2)&gt;RIGHT($K305,2),AX305,0))</f>
        <v>0</v>
      </c>
      <c r="BU305" s="387">
        <f>+IF($K305="Ongoing",AY305,IF(RIGHT($K305,2)=RIGHT(BU$43,2),SUM($AX305:AY305),0)+IF(RIGHT(BU$43,2)&gt;RIGHT($K305,2),AY305,0))</f>
        <v>0</v>
      </c>
      <c r="BV305" s="387">
        <f>+IF($K305="Ongoing",AZ305,IF(RIGHT($K305,2)=RIGHT(BV$43,2),SUM($AX305:AZ305),0)+IF(RIGHT(BV$43,2)&gt;RIGHT($K305,2),AZ305,0))</f>
        <v>0</v>
      </c>
      <c r="BW305" s="387">
        <f>+IF($K305="Ongoing",BA305,IF(RIGHT($K305,2)=RIGHT(BW$43,2),SUM($AX305:BA305),0)+IF(RIGHT(BW$43,2)&gt;RIGHT($K305,2),BA305,0))</f>
        <v>0</v>
      </c>
      <c r="BX305" s="1283">
        <f>+IF($K305="Ongoing",BB305,IF(RIGHT($K305,2)=RIGHT(BX$43,2),SUM($AX305:BB305),0)+IF(RIGHT(BX$43,2)&gt;RIGHT($K305,2),BB305,0))</f>
        <v>0</v>
      </c>
      <c r="BY305" s="386">
        <f>+IF($K305="Ongoing",BC305,IF(RIGHT($K305,2)=RIGHT(BY$43,2),SUM($AX305:BC305),0)+IF(RIGHT(BY$43,2)&gt;RIGHT($K305,2),BC305,0))</f>
        <v>0</v>
      </c>
      <c r="BZ305" s="387">
        <f>+IF($K305="Ongoing",BD305,IF(RIGHT($K305,2)=RIGHT(BZ$43,2),SUM($AX305:BD305),0)+IF(RIGHT(BZ$43,2)&gt;RIGHT($K305,2),BD305,0))</f>
        <v>0</v>
      </c>
      <c r="CA305" s="1277">
        <f>+IF($K305="Ongoing",BE305,IF(RIGHT($K305,2)=RIGHT(CA$43,2),SUM($AX305:BE305),0)+IF(RIGHT(CA$43,2)&gt;RIGHT($K305,2),BE305,0))</f>
        <v>0</v>
      </c>
      <c r="CB305" s="1277">
        <f>+IF($K305="Ongoing",BF305,IF(RIGHT($K305,2)=RIGHT(CB$43,2),SUM($AX305:BF305),0)+IF(RIGHT(CB$43,2)&gt;RIGHT($K305,2),BF305,0))</f>
        <v>0</v>
      </c>
      <c r="CC305" s="388">
        <f>+IF($K305="Ongoing",BG305,IF(RIGHT($K305,2)=RIGHT(CC$43,2),SUM($AX305:BG305),0)+IF(RIGHT(CC$43,2)&gt;RIGHT($K305,2),BG305,0))</f>
        <v>0</v>
      </c>
      <c r="CD305" s="1025"/>
      <c r="CE305" s="1282">
        <f>+Q305*KeyAssumptionsPriceControl_FO!AF$15</f>
        <v>0</v>
      </c>
      <c r="CF305" s="387">
        <f>+R305*KeyAssumptionsPriceControl_FO!AG$15</f>
        <v>0</v>
      </c>
      <c r="CG305" s="387">
        <f>+S305*KeyAssumptionsPriceControl_FO!AH$15</f>
        <v>0</v>
      </c>
      <c r="CH305" s="387">
        <f>+T305*KeyAssumptionsPriceControl_FO!AI$15</f>
        <v>0</v>
      </c>
      <c r="CI305" s="1283">
        <f>+U305*KeyAssumptionsPriceControl_FO!AJ$15</f>
        <v>0</v>
      </c>
      <c r="CJ305" s="386">
        <f>+V305*KeyAssumptionsPriceControl_FO!AK$15</f>
        <v>0</v>
      </c>
      <c r="CK305" s="387">
        <f>+W305*KeyAssumptionsPriceControl_FO!AL$15</f>
        <v>0</v>
      </c>
      <c r="CL305" s="1277">
        <f>+X305*KeyAssumptionsPriceControl_FO!AM$15</f>
        <v>0</v>
      </c>
      <c r="CM305" s="1277">
        <f>+Y305*KeyAssumptionsPriceControl_FO!AN$15</f>
        <v>0</v>
      </c>
      <c r="CN305" s="388">
        <f>+Z305*KeyAssumptionsPriceControl_FO!AO$15</f>
        <v>0</v>
      </c>
      <c r="CO305" s="1025"/>
      <c r="CP305" s="1282">
        <f t="shared" ca="1" si="477"/>
        <v>0</v>
      </c>
      <c r="CQ305" s="387">
        <f t="shared" ca="1" si="478"/>
        <v>0</v>
      </c>
      <c r="CR305" s="387">
        <f t="shared" ca="1" si="479"/>
        <v>0</v>
      </c>
      <c r="CS305" s="387">
        <f t="shared" ca="1" si="480"/>
        <v>0</v>
      </c>
      <c r="CT305" s="1283">
        <f t="shared" ca="1" si="481"/>
        <v>0</v>
      </c>
      <c r="CU305" s="386">
        <f t="shared" ca="1" si="482"/>
        <v>0</v>
      </c>
      <c r="CV305" s="387">
        <f t="shared" ca="1" si="483"/>
        <v>0</v>
      </c>
      <c r="CW305" s="1277">
        <f t="shared" ca="1" si="484"/>
        <v>0</v>
      </c>
      <c r="CX305" s="1277">
        <f t="shared" ca="1" si="485"/>
        <v>0</v>
      </c>
      <c r="CY305" s="388">
        <f t="shared" ca="1" si="486"/>
        <v>0</v>
      </c>
      <c r="CZ305" s="347"/>
      <c r="DA305" s="852"/>
      <c r="DB305" s="347"/>
      <c r="DC305" s="1012" t="s">
        <v>614</v>
      </c>
      <c r="DD305" s="841" t="s">
        <v>518</v>
      </c>
      <c r="DE305" s="386">
        <f>+IF($K305="ongoing",CE305,IF(RIGHT($K305,2)=RIGHT(DE$43,2),SUM($CD305:CE305),0)+IF(RIGHT(DE$43,2)&gt;RIGHT($K305,2),CE305,0))</f>
        <v>0</v>
      </c>
      <c r="DF305" s="387">
        <f>+IF($K305="ongoing",CF305,IF(RIGHT($K305,2)=RIGHT(DF$43,2),SUM($CD305:CF305),0)+IF(RIGHT(DF$43,2)&gt;RIGHT($K305,2),CF305,0))</f>
        <v>0</v>
      </c>
      <c r="DG305" s="388">
        <f>+IF($K305="ongoing",CG305,IF(RIGHT($K305,2)=RIGHT(DG$43,2),SUM($CD305:CG305),0)+IF(RIGHT(DG$43,2)&gt;RIGHT($K305,2),CG305,0))</f>
        <v>0</v>
      </c>
      <c r="DH305" s="386">
        <f>+IF($K305="ongoing",CH305,IF(RIGHT($K305,2)=RIGHT(DH$43,2),SUM($CD305:CH305),0)+IF(RIGHT(DH$43,2)&gt;RIGHT($K305,2),CH305,0))</f>
        <v>0</v>
      </c>
      <c r="DI305" s="387">
        <f>+IF($K305="ongoing",CI305,IF(RIGHT($K305,2)=RIGHT(DI$43,2),SUM($CD305:CI305),0)+IF(RIGHT(DI$43,2)&gt;RIGHT($K305,2),CI305,0))</f>
        <v>0</v>
      </c>
      <c r="DJ305" s="387">
        <f>+IF($K305="ongoing",CJ305,IF(RIGHT($K305,2)=RIGHT(DJ$43,2),SUM($CD305:CJ305),0)+IF(RIGHT(DJ$43,2)&gt;RIGHT($K305,2),CJ305,0))</f>
        <v>0</v>
      </c>
      <c r="DK305" s="387">
        <f>+IF($K305="ongoing",CK305,IF(RIGHT($K305,2)=RIGHT(DK$43,2),SUM($CD305:CK305),0)+IF(RIGHT(DK$43,2)&gt;RIGHT($K305,2),CK305,0))</f>
        <v>0</v>
      </c>
      <c r="DL305" s="388">
        <f>+IF($K305="ongoing",CN305,IF(RIGHT($K305,2)=RIGHT(DL$43,2),SUM($CD305:CN305),0)+IF(RIGHT(DL$43,2)&gt;RIGHT($K305,2),CN305,0))</f>
        <v>0</v>
      </c>
      <c r="DM305" s="841"/>
      <c r="DN305" s="386">
        <f t="shared" si="487"/>
        <v>0.5</v>
      </c>
      <c r="DO305" s="387">
        <f t="shared" si="488"/>
        <v>1</v>
      </c>
      <c r="DP305" s="388">
        <f t="shared" si="489"/>
        <v>1</v>
      </c>
      <c r="DQ305" s="386">
        <f t="shared" si="490"/>
        <v>1</v>
      </c>
      <c r="DR305" s="387">
        <f t="shared" si="491"/>
        <v>1</v>
      </c>
      <c r="DS305" s="387">
        <f t="shared" si="492"/>
        <v>1</v>
      </c>
      <c r="DT305" s="387">
        <f t="shared" si="493"/>
        <v>1</v>
      </c>
      <c r="DU305" s="388">
        <f t="shared" si="494"/>
        <v>1</v>
      </c>
      <c r="DW305" s="386">
        <f t="shared" si="495"/>
        <v>0</v>
      </c>
      <c r="DX305" s="387">
        <f t="shared" si="496"/>
        <v>0.5</v>
      </c>
      <c r="DY305" s="388">
        <f t="shared" si="497"/>
        <v>1</v>
      </c>
      <c r="DZ305" s="386">
        <f t="shared" si="498"/>
        <v>1</v>
      </c>
      <c r="EA305" s="387">
        <f t="shared" si="499"/>
        <v>1</v>
      </c>
      <c r="EB305" s="387">
        <f t="shared" si="500"/>
        <v>1</v>
      </c>
      <c r="EC305" s="387">
        <f t="shared" si="501"/>
        <v>1</v>
      </c>
      <c r="ED305" s="388">
        <f t="shared" si="502"/>
        <v>1</v>
      </c>
      <c r="EF305" s="834">
        <f>+IF(DN305=DM305,0,
IF(AND(EF$44&gt;1,DN305=$N305),1-SUM($EE305:EE305),
IF($N305&lt;=1,
IF($N305&gt;0,1/$N305,0),
IF(EF$44=1,0,VDB(1,0,$N305,INT(EF$44-1-1),MIN($N305,INT(EF$44-1-1)+1),$DC305,IF($DD305="No",1,0))/
IF(DM305&gt;=INT($N305),$N305-INT($N305),1)))*
IF(EF$44=1,0,
IF(INT(DN305)=INT(DM305),DN305-DM305,INT(DN305)-DM305))+
IF($N305&lt;=1,
IF($N305&gt;0,1/$N305,0),VDB(1,0,$N305,INT(EF$44-1),MIN($N305,INT(EF$44-1)+1),$DC305,IF($DD305="No",1,0))/
IF(DN305&gt;INT($N305),$N305-INT($N305),1))*
IF(EF$44=1,DN305,
IF(INT(DN305)=INT(DM305),0,DN305-INT(DN305)))))</f>
        <v>0</v>
      </c>
      <c r="EG305" s="835">
        <f>+IF(DO305=DN305,0,
IF(AND(EG$44&gt;1,DO305=$N305),1-SUM($EE305:EF305),
IF($N305&lt;=1,
IF($N305&gt;0,1/$N305,0),
IF(EG$44=1,0,VDB(1,0,$N305,INT(EG$44-1-1),MIN($N305,INT(EG$44-1-1)+1),$DC305,IF($DD305="No",1,0))/
IF(DN305&gt;=INT($N305),$N305-INT($N305),1)))*
IF(EG$44=1,0,
IF(INT(DO305)=INT(DN305),DO305-DN305,INT(DO305)-DN305))+
IF($N305&lt;=1,
IF($N305&gt;0,1/$N305,0),VDB(1,0,$N305,INT(EG$44-1),MIN($N305,INT(EG$44-1)+1),$DC305,IF($DD305="No",1,0))/
IF(DO305&gt;INT($N305),$N305-INT($N305),1))*
IF(EG$44=1,DO305,
IF(INT(DO305)=INT(DN305),0,DO305-INT(DO305)))))</f>
        <v>0</v>
      </c>
      <c r="EH305" s="836">
        <f>+IF(DP305=DO305,0,
IF(AND(EH$44&gt;1,DP305=$N305),1-SUM($EE305:EG305),
IF($N305&lt;=1,
IF($N305&gt;0,1/$N305,0),
IF(EH$44=1,0,VDB(1,0,$N305,INT(EH$44-1-1),MIN($N305,INT(EH$44-1-1)+1),$DC305,IF($DD305="No",1,0))/
IF(DO305&gt;=INT($N305),$N305-INT($N305),1)))*
IF(EH$44=1,0,
IF(INT(DP305)=INT(DO305),DP305-DO305,INT(DP305)-DO305))+
IF($N305&lt;=1,
IF($N305&gt;0,1/$N305,0),VDB(1,0,$N305,INT(EH$44-1),MIN($N305,INT(EH$44-1)+1),$DC305,IF($DD305="No",1,0))/
IF(DP305&gt;INT($N305),$N305-INT($N305),1))*
IF(EH$44=1,DP305,
IF(INT(DP305)=INT(DO305),0,DP305-INT(DP305)))))</f>
        <v>0</v>
      </c>
      <c r="EI305" s="834">
        <f>+IF(DQ305=DP305,0,
IF(AND(EI$44&gt;1,DQ305=$N305),1-SUM($EE305:EH305),
IF($N305&lt;=1,
IF($N305&gt;0,1/$N305,0),
IF(EI$44=1,0,VDB(1,0,$N305,INT(EI$44-1-1),MIN($N305,INT(EI$44-1-1)+1),$DC305,IF($DD305="No",1,0))/
IF(DP305&gt;=INT($N305),$N305-INT($N305),1)))*
IF(EI$44=1,0,
IF(INT(DQ305)=INT(DP305),DQ305-DP305,INT(DQ305)-DP305))+
IF($N305&lt;=1,
IF($N305&gt;0,1/$N305,0),VDB(1,0,$N305,INT(EI$44-1),MIN($N305,INT(EI$44-1)+1),$DC305,IF($DD305="No",1,0))/
IF(DQ305&gt;INT($N305),$N305-INT($N305),1))*
IF(EI$44=1,DQ305,
IF(INT(DQ305)=INT(DP305),0,DQ305-INT(DQ305)))))</f>
        <v>0</v>
      </c>
      <c r="EJ305" s="835">
        <f>+IF(DR305=DQ305,0,
IF(AND(EJ$44&gt;1,DR305=$N305),1-SUM($EE305:EI305),
IF($N305&lt;=1,
IF($N305&gt;0,1/$N305,0),
IF(EJ$44=1,0,VDB(1,0,$N305,INT(EJ$44-1-1),MIN($N305,INT(EJ$44-1-1)+1),$DC305,IF($DD305="No",1,0))/
IF(DQ305&gt;=INT($N305),$N305-INT($N305),1)))*
IF(EJ$44=1,0,
IF(INT(DR305)=INT(DQ305),DR305-DQ305,INT(DR305)-DQ305))+
IF($N305&lt;=1,
IF($N305&gt;0,1/$N305,0),VDB(1,0,$N305,INT(EJ$44-1),MIN($N305,INT(EJ$44-1)+1),$DC305,IF($DD305="No",1,0))/
IF(DR305&gt;INT($N305),$N305-INT($N305),1))*
IF(EJ$44=1,DR305,
IF(INT(DR305)=INT(DQ305),0,DR305-INT(DR305)))))</f>
        <v>0</v>
      </c>
      <c r="EK305" s="835">
        <f>+IF(DS305=DR305,0,
IF(AND(EK$44&gt;1,DS305=$N305),1-SUM($EE305:EJ305),
IF($N305&lt;=1,
IF($N305&gt;0,1/$N305,0),
IF(EK$44=1,0,VDB(1,0,$N305,INT(EK$44-1-1),MIN($N305,INT(EK$44-1-1)+1),$DC305,IF($DD305="No",1,0))/
IF(DR305&gt;=INT($N305),$N305-INT($N305),1)))*
IF(EK$44=1,0,
IF(INT(DS305)=INT(DR305),DS305-DR305,INT(DS305)-DR305))+
IF($N305&lt;=1,
IF($N305&gt;0,1/$N305,0),VDB(1,0,$N305,INT(EK$44-1),MIN($N305,INT(EK$44-1)+1),$DC305,IF($DD305="No",1,0))/
IF(DS305&gt;INT($N305),$N305-INT($N305),1))*
IF(EK$44=1,DS305,
IF(INT(DS305)=INT(DR305),0,DS305-INT(DS305)))))</f>
        <v>0</v>
      </c>
      <c r="EL305" s="835">
        <f>+IF(DT305=DS305,0,
IF(AND(EL$44&gt;1,DT305=$N305),1-SUM($EE305:EK305),
IF($N305&lt;=1,
IF($N305&gt;0,1/$N305,0),
IF(EL$44=1,0,VDB(1,0,$N305,INT(EL$44-1-1),MIN($N305,INT(EL$44-1-1)+1),$DC305,IF($DD305="No",1,0))/
IF(DS305&gt;=INT($N305),$N305-INT($N305),1)))*
IF(EL$44=1,0,
IF(INT(DT305)=INT(DS305),DT305-DS305,INT(DT305)-DS305))+
IF($N305&lt;=1,
IF($N305&gt;0,1/$N305,0),VDB(1,0,$N305,INT(EL$44-1),MIN($N305,INT(EL$44-1)+1),$DC305,IF($DD305="No",1,0))/
IF(DT305&gt;INT($N305),$N305-INT($N305),1))*
IF(EL$44=1,DT305,
IF(INT(DT305)=INT(DS305),0,DT305-INT(DT305)))))</f>
        <v>0</v>
      </c>
      <c r="EM305" s="836">
        <f>+IF(DU305=DT305,0,
IF(AND(EM$44&gt;1,DU305=$N305),1-SUM($EE305:EL305),
IF($N305&lt;=1,
IF($N305&gt;0,1/$N305,0),
IF(EM$44=1,0,VDB(1,0,$N305,INT(EM$44-1-1),MIN($N305,INT(EM$44-1-1)+1),$DC305,IF($DD305="No",1,0))/
IF(DT305&gt;=INT($N305),$N305-INT($N305),1)))*
IF(EM$44=1,0,
IF(INT(DU305)=INT(DT305),DU305-DT305,INT(DU305)-DT305))+
IF($N305&lt;=1,
IF($N305&gt;0,1/$N305,0),VDB(1,0,$N305,INT(EM$44-1),MIN($N305,INT(EM$44-1)+1),$DC305,IF($DD305="No",1,0))/
IF(DU305&gt;INT($N305),$N305-INT($N305),1))*
IF(EM$44=1,DU305,
IF(INT(DU305)=INT(DT305),0,DU305-INT(DU305)))))</f>
        <v>0</v>
      </c>
      <c r="EN305" s="833"/>
      <c r="EO305" s="834">
        <f>+IF(OR(DW305=DV305,EO$44=1),0,
IF(AND(EO$44&gt;1,DW305=$N305),1-SUM($EN305:EN305),
IF($N305&lt;=1,
IF($N305&gt;0,1/$N305,0),
IF(EO$44=2,0,VDB(1,0,$N305,INT(EO$44-2-1),MIN($N305,INT(EO$44-2-1)+1),$DC305,IF($DD305="No",1,0))/
IF(DV305&gt;=INT($N305),$N305-INT($N305),1)))*
IF(EO$44=2,0,
IF(INT(DW305)=INT(DV305),DW305-DV305,INT(DW305)-DV305))+
IF($N305&lt;=1,
IF($N305&gt;0,1/$N305,0),VDB(1,0,$N305,INT(EO$44-2),MIN($N305,INT(EO$44-2)+1),$DC305,IF($DD305="No",1,0))/
IF(DW305&gt;INT($N305),$N305-INT($N305),1))*
IF(EO$44=2,DW305,
IF(INT(DW305)=INT(DV305),0,DW305-INT(DW305)))))</f>
        <v>0</v>
      </c>
      <c r="EP305" s="835">
        <f>+IF(OR(DX305=DW305,EP$44=1),0,
IF(AND(EP$44&gt;1,DX305=$N305),1-SUM($EN305:EO305),
IF($N305&lt;=1,
IF($N305&gt;0,1/$N305,0),
IF(EP$44=2,0,VDB(1,0,$N305,INT(EP$44-2-1),MIN($N305,INT(EP$44-2-1)+1),$DC305,IF($DD305="No",1,0))/
IF(DW305&gt;=INT($N305),$N305-INT($N305),1)))*
IF(EP$44=2,0,
IF(INT(DX305)=INT(DW305),DX305-DW305,INT(DX305)-DW305))+
IF($N305&lt;=1,
IF($N305&gt;0,1/$N305,0),VDB(1,0,$N305,INT(EP$44-2),MIN($N305,INT(EP$44-2)+1),$DC305,IF($DD305="No",1,0))/
IF(DX305&gt;INT($N305),$N305-INT($N305),1))*
IF(EP$44=2,DX305,
IF(INT(DX305)=INT(DW305),0,DX305-INT(DX305)))))</f>
        <v>0</v>
      </c>
      <c r="EQ305" s="836">
        <f>+IF(OR(DY305=DX305,EQ$44=1),0,
IF(AND(EQ$44&gt;1,DY305=$N305),1-SUM($EN305:EP305),
IF($N305&lt;=1,
IF($N305&gt;0,1/$N305,0),
IF(EQ$44=2,0,VDB(1,0,$N305,INT(EQ$44-2-1),MIN($N305,INT(EQ$44-2-1)+1),$DC305,IF($DD305="No",1,0))/
IF(DX305&gt;=INT($N305),$N305-INT($N305),1)))*
IF(EQ$44=2,0,
IF(INT(DY305)=INT(DX305),DY305-DX305,INT(DY305)-DX305))+
IF($N305&lt;=1,
IF($N305&gt;0,1/$N305,0),VDB(1,0,$N305,INT(EQ$44-2),MIN($N305,INT(EQ$44-2)+1),$DC305,IF($DD305="No",1,0))/
IF(DY305&gt;INT($N305),$N305-INT($N305),1))*
IF(EQ$44=2,DY305,
IF(INT(DY305)=INT(DX305),0,DY305-INT(DY305)))))</f>
        <v>0</v>
      </c>
      <c r="ER305" s="834">
        <f>+IF(OR(DZ305=DY305,ER$44=1),0,
IF(AND(ER$44&gt;1,DZ305=$N305),1-SUM($EN305:EQ305),
IF($N305&lt;=1,
IF($N305&gt;0,1/$N305,0),
IF(ER$44=2,0,VDB(1,0,$N305,INT(ER$44-2-1),MIN($N305,INT(ER$44-2-1)+1),$DC305,IF($DD305="No",1,0))/
IF(DY305&gt;=INT($N305),$N305-INT($N305),1)))*
IF(ER$44=2,0,
IF(INT(DZ305)=INT(DY305),DZ305-DY305,INT(DZ305)-DY305))+
IF($N305&lt;=1,
IF($N305&gt;0,1/$N305,0),VDB(1,0,$N305,INT(ER$44-2),MIN($N305,INT(ER$44-2)+1),$DC305,IF($DD305="No",1,0))/
IF(DZ305&gt;INT($N305),$N305-INT($N305),1))*
IF(ER$44=2,DZ305,
IF(INT(DZ305)=INT(DY305),0,DZ305-INT(DZ305)))))</f>
        <v>0</v>
      </c>
      <c r="ES305" s="835">
        <f>+IF(OR(EA305=DZ305,ES$44=1),0,
IF(AND(ES$44&gt;1,EA305=$N305),1-SUM($EN305:ER305),
IF($N305&lt;=1,
IF($N305&gt;0,1/$N305,0),
IF(ES$44=2,0,VDB(1,0,$N305,INT(ES$44-2-1),MIN($N305,INT(ES$44-2-1)+1),$DC305,IF($DD305="No",1,0))/
IF(DZ305&gt;=INT($N305),$N305-INT($N305),1)))*
IF(ES$44=2,0,
IF(INT(EA305)=INT(DZ305),EA305-DZ305,INT(EA305)-DZ305))+
IF($N305&lt;=1,
IF($N305&gt;0,1/$N305,0),VDB(1,0,$N305,INT(ES$44-2),MIN($N305,INT(ES$44-2)+1),$DC305,IF($DD305="No",1,0))/
IF(EA305&gt;INT($N305),$N305-INT($N305),1))*
IF(ES$44=2,EA305,
IF(INT(EA305)=INT(DZ305),0,EA305-INT(EA305)))))</f>
        <v>0</v>
      </c>
      <c r="ET305" s="835">
        <f>+IF(OR(EB305=EA305,ET$44=1),0,
IF(AND(ET$44&gt;1,EB305=$N305),1-SUM($EN305:ES305),
IF($N305&lt;=1,
IF($N305&gt;0,1/$N305,0),
IF(ET$44=2,0,VDB(1,0,$N305,INT(ET$44-2-1),MIN($N305,INT(ET$44-2-1)+1),$DC305,IF($DD305="No",1,0))/
IF(EA305&gt;=INT($N305),$N305-INT($N305),1)))*
IF(ET$44=2,0,
IF(INT(EB305)=INT(EA305),EB305-EA305,INT(EB305)-EA305))+
IF($N305&lt;=1,
IF($N305&gt;0,1/$N305,0),VDB(1,0,$N305,INT(ET$44-2),MIN($N305,INT(ET$44-2)+1),$DC305,IF($DD305="No",1,0))/
IF(EB305&gt;INT($N305),$N305-INT($N305),1))*
IF(ET$44=2,EB305,
IF(INT(EB305)=INT(EA305),0,EB305-INT(EB305)))))</f>
        <v>0</v>
      </c>
      <c r="EU305" s="835">
        <f>+IF(OR(EC305=EB305,EU$44=1),0,
IF(AND(EU$44&gt;1,EC305=$N305),1-SUM($EN305:ET305),
IF($N305&lt;=1,
IF($N305&gt;0,1/$N305,0),
IF(EU$44=2,0,VDB(1,0,$N305,INT(EU$44-2-1),MIN($N305,INT(EU$44-2-1)+1),$DC305,IF($DD305="No",1,0))/
IF(EB305&gt;=INT($N305),$N305-INT($N305),1)))*
IF(EU$44=2,0,
IF(INT(EC305)=INT(EB305),EC305-EB305,INT(EC305)-EB305))+
IF($N305&lt;=1,
IF($N305&gt;0,1/$N305,0),VDB(1,0,$N305,INT(EU$44-2),MIN($N305,INT(EU$44-2)+1),$DC305,IF($DD305="No",1,0))/
IF(EC305&gt;INT($N305),$N305-INT($N305),1))*
IF(EU$44=2,EC305,
IF(INT(EC305)=INT(EB305),0,EC305-INT(EC305)))))</f>
        <v>0</v>
      </c>
      <c r="EV305" s="836">
        <f>+IF(OR(ED305=EC305,EV$44=1),0,
IF(AND(EV$44&gt;1,ED305=$N305),1-SUM($EN305:EU305),
IF($N305&lt;=1,
IF($N305&gt;0,1/$N305,0),
IF(EV$44=2,0,VDB(1,0,$N305,INT(EV$44-2-1),MIN($N305,INT(EV$44-2-1)+1),$DC305,IF($DD305="No",1,0))/
IF(EC305&gt;=INT($N305),$N305-INT($N305),1)))*
IF(EV$44=2,0,
IF(INT(ED305)=INT(EC305),ED305-EC305,INT(ED305)-EC305))+
IF($N305&lt;=1,
IF($N305&gt;0,1/$N305,0),VDB(1,0,$N305,INT(EV$44-2),MIN($N305,INT(EV$44-2)+1),$DC305,IF($DD305="No",1,0))/
IF(ED305&gt;INT($N305),$N305-INT($N305),1))*
IF(EV$44=2,ED305,
IF(INT(ED305)=INT(EC305),0,ED305-INT(ED305)))))</f>
        <v>0</v>
      </c>
      <c r="EW305" s="833"/>
      <c r="EX305" s="834">
        <f t="shared" ca="1" si="513"/>
        <v>0</v>
      </c>
      <c r="EY305" s="835">
        <f t="shared" ca="1" si="513"/>
        <v>0</v>
      </c>
      <c r="EZ305" s="836">
        <f t="shared" ca="1" si="513"/>
        <v>0</v>
      </c>
      <c r="FA305" s="834">
        <f t="shared" ca="1" si="513"/>
        <v>0</v>
      </c>
      <c r="FB305" s="835">
        <f t="shared" ca="1" si="513"/>
        <v>0</v>
      </c>
      <c r="FC305" s="835">
        <f t="shared" ca="1" si="513"/>
        <v>0</v>
      </c>
      <c r="FD305" s="835">
        <f t="shared" ca="1" si="513"/>
        <v>0</v>
      </c>
      <c r="FE305" s="836">
        <f t="shared" ca="1" si="513"/>
        <v>0</v>
      </c>
      <c r="FG305" s="386">
        <f t="shared" ca="1" si="504"/>
        <v>0</v>
      </c>
      <c r="FH305" s="387">
        <f t="shared" ca="1" si="505"/>
        <v>0</v>
      </c>
      <c r="FI305" s="388">
        <f t="shared" ca="1" si="506"/>
        <v>0</v>
      </c>
      <c r="FJ305" s="386">
        <f t="shared" ca="1" si="507"/>
        <v>0</v>
      </c>
      <c r="FK305" s="387">
        <f t="shared" ca="1" si="508"/>
        <v>0</v>
      </c>
      <c r="FL305" s="387">
        <f t="shared" ca="1" si="509"/>
        <v>0</v>
      </c>
      <c r="FM305" s="387">
        <f t="shared" ca="1" si="510"/>
        <v>0</v>
      </c>
      <c r="FN305" s="388">
        <f t="shared" ca="1" si="511"/>
        <v>0</v>
      </c>
      <c r="FR305" s="116"/>
    </row>
    <row r="306" spans="2:174">
      <c r="B306" s="1410">
        <f t="shared" si="512"/>
        <v>260</v>
      </c>
      <c r="C306" s="400"/>
      <c r="D306" s="410"/>
      <c r="E306" s="402"/>
      <c r="F306" s="402"/>
      <c r="G306" s="400"/>
      <c r="H306" s="2088"/>
      <c r="I306" s="2089"/>
      <c r="J306" s="411"/>
      <c r="K306" s="403"/>
      <c r="L306" s="403"/>
      <c r="M306" s="403"/>
      <c r="N306" s="403"/>
      <c r="O306" s="347"/>
      <c r="P306" s="347"/>
      <c r="Q306" s="1021"/>
      <c r="R306" s="1022"/>
      <c r="S306" s="1022"/>
      <c r="T306" s="1022"/>
      <c r="U306" s="1023"/>
      <c r="V306" s="1021"/>
      <c r="W306" s="1022"/>
      <c r="X306" s="1022"/>
      <c r="Y306" s="1022"/>
      <c r="Z306" s="1023"/>
      <c r="AA306" s="1024"/>
      <c r="AB306" s="1021"/>
      <c r="AC306" s="1022"/>
      <c r="AD306" s="1022"/>
      <c r="AE306" s="1022"/>
      <c r="AF306" s="1023"/>
      <c r="AG306" s="1021"/>
      <c r="AH306" s="1022"/>
      <c r="AI306" s="1022"/>
      <c r="AJ306" s="1022"/>
      <c r="AK306" s="1023"/>
      <c r="AL306" s="1024"/>
      <c r="AM306" s="1021"/>
      <c r="AN306" s="1022"/>
      <c r="AO306" s="1022"/>
      <c r="AP306" s="1022"/>
      <c r="AQ306" s="1023"/>
      <c r="AR306" s="1021"/>
      <c r="AS306" s="1022"/>
      <c r="AT306" s="1022"/>
      <c r="AU306" s="1022"/>
      <c r="AV306" s="1023"/>
      <c r="AW306" s="1025"/>
      <c r="AX306" s="1282">
        <f t="shared" si="457"/>
        <v>0</v>
      </c>
      <c r="AY306" s="387">
        <f t="shared" si="458"/>
        <v>0</v>
      </c>
      <c r="AZ306" s="387">
        <f t="shared" si="459"/>
        <v>0</v>
      </c>
      <c r="BA306" s="387">
        <f t="shared" si="460"/>
        <v>0</v>
      </c>
      <c r="BB306" s="1283">
        <f t="shared" si="461"/>
        <v>0</v>
      </c>
      <c r="BC306" s="386">
        <f t="shared" si="462"/>
        <v>0</v>
      </c>
      <c r="BD306" s="387">
        <f t="shared" si="463"/>
        <v>0</v>
      </c>
      <c r="BE306" s="1277">
        <f t="shared" si="464"/>
        <v>0</v>
      </c>
      <c r="BF306" s="1277">
        <f t="shared" si="465"/>
        <v>0</v>
      </c>
      <c r="BG306" s="388">
        <f t="shared" si="466"/>
        <v>0</v>
      </c>
      <c r="BH306" s="1025"/>
      <c r="BI306" s="1282">
        <f t="shared" ca="1" si="467"/>
        <v>0</v>
      </c>
      <c r="BJ306" s="387">
        <f t="shared" ca="1" si="468"/>
        <v>0</v>
      </c>
      <c r="BK306" s="387">
        <f t="shared" ca="1" si="469"/>
        <v>0</v>
      </c>
      <c r="BL306" s="387">
        <f t="shared" ca="1" si="470"/>
        <v>0</v>
      </c>
      <c r="BM306" s="1283">
        <f t="shared" ca="1" si="471"/>
        <v>0</v>
      </c>
      <c r="BN306" s="386">
        <f t="shared" ca="1" si="472"/>
        <v>0</v>
      </c>
      <c r="BO306" s="387">
        <f t="shared" ca="1" si="473"/>
        <v>0</v>
      </c>
      <c r="BP306" s="1277">
        <f t="shared" ca="1" si="474"/>
        <v>0</v>
      </c>
      <c r="BQ306" s="1277">
        <f t="shared" ca="1" si="475"/>
        <v>0</v>
      </c>
      <c r="BR306" s="388">
        <f t="shared" ca="1" si="476"/>
        <v>0</v>
      </c>
      <c r="BS306" s="1025"/>
      <c r="BT306" s="1282">
        <f>+IF($K306="Ongoing",AX306,IF(RIGHT($K306,2)=RIGHT(BT$43,2),SUM($AX306:AX306),0)+IF(RIGHT(BT$43,2)&gt;RIGHT($K306,2),AX306,0))</f>
        <v>0</v>
      </c>
      <c r="BU306" s="387">
        <f>+IF($K306="Ongoing",AY306,IF(RIGHT($K306,2)=RIGHT(BU$43,2),SUM($AX306:AY306),0)+IF(RIGHT(BU$43,2)&gt;RIGHT($K306,2),AY306,0))</f>
        <v>0</v>
      </c>
      <c r="BV306" s="387">
        <f>+IF($K306="Ongoing",AZ306,IF(RIGHT($K306,2)=RIGHT(BV$43,2),SUM($AX306:AZ306),0)+IF(RIGHT(BV$43,2)&gt;RIGHT($K306,2),AZ306,0))</f>
        <v>0</v>
      </c>
      <c r="BW306" s="387">
        <f>+IF($K306="Ongoing",BA306,IF(RIGHT($K306,2)=RIGHT(BW$43,2),SUM($AX306:BA306),0)+IF(RIGHT(BW$43,2)&gt;RIGHT($K306,2),BA306,0))</f>
        <v>0</v>
      </c>
      <c r="BX306" s="1283">
        <f>+IF($K306="Ongoing",BB306,IF(RIGHT($K306,2)=RIGHT(BX$43,2),SUM($AX306:BB306),0)+IF(RIGHT(BX$43,2)&gt;RIGHT($K306,2),BB306,0))</f>
        <v>0</v>
      </c>
      <c r="BY306" s="386">
        <f>+IF($K306="Ongoing",BC306,IF(RIGHT($K306,2)=RIGHT(BY$43,2),SUM($AX306:BC306),0)+IF(RIGHT(BY$43,2)&gt;RIGHT($K306,2),BC306,0))</f>
        <v>0</v>
      </c>
      <c r="BZ306" s="387">
        <f>+IF($K306="Ongoing",BD306,IF(RIGHT($K306,2)=RIGHT(BZ$43,2),SUM($AX306:BD306),0)+IF(RIGHT(BZ$43,2)&gt;RIGHT($K306,2),BD306,0))</f>
        <v>0</v>
      </c>
      <c r="CA306" s="1277">
        <f>+IF($K306="Ongoing",BE306,IF(RIGHT($K306,2)=RIGHT(CA$43,2),SUM($AX306:BE306),0)+IF(RIGHT(CA$43,2)&gt;RIGHT($K306,2),BE306,0))</f>
        <v>0</v>
      </c>
      <c r="CB306" s="1277">
        <f>+IF($K306="Ongoing",BF306,IF(RIGHT($K306,2)=RIGHT(CB$43,2),SUM($AX306:BF306),0)+IF(RIGHT(CB$43,2)&gt;RIGHT($K306,2),BF306,0))</f>
        <v>0</v>
      </c>
      <c r="CC306" s="388">
        <f>+IF($K306="Ongoing",BG306,IF(RIGHT($K306,2)=RIGHT(CC$43,2),SUM($AX306:BG306),0)+IF(RIGHT(CC$43,2)&gt;RIGHT($K306,2),BG306,0))</f>
        <v>0</v>
      </c>
      <c r="CD306" s="1025"/>
      <c r="CE306" s="1282">
        <f>+Q306*KeyAssumptionsPriceControl_FO!AF$15</f>
        <v>0</v>
      </c>
      <c r="CF306" s="387">
        <f>+R306*KeyAssumptionsPriceControl_FO!AG$15</f>
        <v>0</v>
      </c>
      <c r="CG306" s="387">
        <f>+S306*KeyAssumptionsPriceControl_FO!AH$15</f>
        <v>0</v>
      </c>
      <c r="CH306" s="387">
        <f>+T306*KeyAssumptionsPriceControl_FO!AI$15</f>
        <v>0</v>
      </c>
      <c r="CI306" s="1283">
        <f>+U306*KeyAssumptionsPriceControl_FO!AJ$15</f>
        <v>0</v>
      </c>
      <c r="CJ306" s="386">
        <f>+V306*KeyAssumptionsPriceControl_FO!AK$15</f>
        <v>0</v>
      </c>
      <c r="CK306" s="387">
        <f>+W306*KeyAssumptionsPriceControl_FO!AL$15</f>
        <v>0</v>
      </c>
      <c r="CL306" s="1277">
        <f>+X306*KeyAssumptionsPriceControl_FO!AM$15</f>
        <v>0</v>
      </c>
      <c r="CM306" s="1277">
        <f>+Y306*KeyAssumptionsPriceControl_FO!AN$15</f>
        <v>0</v>
      </c>
      <c r="CN306" s="388">
        <f>+Z306*KeyAssumptionsPriceControl_FO!AO$15</f>
        <v>0</v>
      </c>
      <c r="CO306" s="1025"/>
      <c r="CP306" s="1282">
        <f t="shared" ca="1" si="477"/>
        <v>0</v>
      </c>
      <c r="CQ306" s="387">
        <f t="shared" ca="1" si="478"/>
        <v>0</v>
      </c>
      <c r="CR306" s="387">
        <f t="shared" ca="1" si="479"/>
        <v>0</v>
      </c>
      <c r="CS306" s="387">
        <f t="shared" ca="1" si="480"/>
        <v>0</v>
      </c>
      <c r="CT306" s="1283">
        <f t="shared" ca="1" si="481"/>
        <v>0</v>
      </c>
      <c r="CU306" s="386">
        <f t="shared" ca="1" si="482"/>
        <v>0</v>
      </c>
      <c r="CV306" s="387">
        <f t="shared" ca="1" si="483"/>
        <v>0</v>
      </c>
      <c r="CW306" s="1277">
        <f t="shared" ca="1" si="484"/>
        <v>0</v>
      </c>
      <c r="CX306" s="1277">
        <f t="shared" ca="1" si="485"/>
        <v>0</v>
      </c>
      <c r="CY306" s="388">
        <f t="shared" ca="1" si="486"/>
        <v>0</v>
      </c>
      <c r="CZ306" s="347"/>
      <c r="DA306" s="852"/>
      <c r="DB306" s="347"/>
      <c r="DC306" s="1012" t="s">
        <v>615</v>
      </c>
      <c r="DD306" s="841" t="s">
        <v>518</v>
      </c>
      <c r="DE306" s="386">
        <f>+IF($K306="ongoing",CE306,IF(RIGHT($K306,2)=RIGHT(DE$43,2),SUM($CD306:CE306),0)+IF(RIGHT(DE$43,2)&gt;RIGHT($K306,2),CE306,0))</f>
        <v>0</v>
      </c>
      <c r="DF306" s="387">
        <f>+IF($K306="ongoing",CF306,IF(RIGHT($K306,2)=RIGHT(DF$43,2),SUM($CD306:CF306),0)+IF(RIGHT(DF$43,2)&gt;RIGHT($K306,2),CF306,0))</f>
        <v>0</v>
      </c>
      <c r="DG306" s="388">
        <f>+IF($K306="ongoing",CG306,IF(RIGHT($K306,2)=RIGHT(DG$43,2),SUM($CD306:CG306),0)+IF(RIGHT(DG$43,2)&gt;RIGHT($K306,2),CG306,0))</f>
        <v>0</v>
      </c>
      <c r="DH306" s="386">
        <f>+IF($K306="ongoing",CH306,IF(RIGHT($K306,2)=RIGHT(DH$43,2),SUM($CD306:CH306),0)+IF(RIGHT(DH$43,2)&gt;RIGHT($K306,2),CH306,0))</f>
        <v>0</v>
      </c>
      <c r="DI306" s="387">
        <f>+IF($K306="ongoing",CI306,IF(RIGHT($K306,2)=RIGHT(DI$43,2),SUM($CD306:CI306),0)+IF(RIGHT(DI$43,2)&gt;RIGHT($K306,2),CI306,0))</f>
        <v>0</v>
      </c>
      <c r="DJ306" s="387">
        <f>+IF($K306="ongoing",CJ306,IF(RIGHT($K306,2)=RIGHT(DJ$43,2),SUM($CD306:CJ306),0)+IF(RIGHT(DJ$43,2)&gt;RIGHT($K306,2),CJ306,0))</f>
        <v>0</v>
      </c>
      <c r="DK306" s="387">
        <f>+IF($K306="ongoing",CK306,IF(RIGHT($K306,2)=RIGHT(DK$43,2),SUM($CD306:CK306),0)+IF(RIGHT(DK$43,2)&gt;RIGHT($K306,2),CK306,0))</f>
        <v>0</v>
      </c>
      <c r="DL306" s="388">
        <f>+IF($K306="ongoing",CN306,IF(RIGHT($K306,2)=RIGHT(DL$43,2),SUM($CD306:CN306),0)+IF(RIGHT(DL$43,2)&gt;RIGHT($K306,2),CN306,0))</f>
        <v>0</v>
      </c>
      <c r="DM306" s="841"/>
      <c r="DN306" s="386">
        <f t="shared" si="487"/>
        <v>0.5</v>
      </c>
      <c r="DO306" s="387">
        <f t="shared" si="488"/>
        <v>1</v>
      </c>
      <c r="DP306" s="388">
        <f t="shared" si="489"/>
        <v>1</v>
      </c>
      <c r="DQ306" s="386">
        <f t="shared" si="490"/>
        <v>1</v>
      </c>
      <c r="DR306" s="387">
        <f t="shared" si="491"/>
        <v>1</v>
      </c>
      <c r="DS306" s="387">
        <f t="shared" si="492"/>
        <v>1</v>
      </c>
      <c r="DT306" s="387">
        <f t="shared" si="493"/>
        <v>1</v>
      </c>
      <c r="DU306" s="388">
        <f t="shared" si="494"/>
        <v>1</v>
      </c>
      <c r="DW306" s="386">
        <f t="shared" si="495"/>
        <v>0</v>
      </c>
      <c r="DX306" s="387">
        <f t="shared" si="496"/>
        <v>0.5</v>
      </c>
      <c r="DY306" s="388">
        <f t="shared" si="497"/>
        <v>1</v>
      </c>
      <c r="DZ306" s="386">
        <f t="shared" si="498"/>
        <v>1</v>
      </c>
      <c r="EA306" s="387">
        <f t="shared" si="499"/>
        <v>1</v>
      </c>
      <c r="EB306" s="387">
        <f t="shared" si="500"/>
        <v>1</v>
      </c>
      <c r="EC306" s="387">
        <f t="shared" si="501"/>
        <v>1</v>
      </c>
      <c r="ED306" s="388">
        <f t="shared" si="502"/>
        <v>1</v>
      </c>
      <c r="EF306" s="834">
        <f>+IF(DN306=DM306,0,
IF(AND(EF$44&gt;1,DN306=$N306),1-SUM($EE306:EE306),
IF($N306&lt;=1,
IF($N306&gt;0,1/$N306,0),
IF(EF$44=1,0,VDB(1,0,$N306,INT(EF$44-1-1),MIN($N306,INT(EF$44-1-1)+1),$DC306,IF($DD306="No",1,0))/
IF(DM306&gt;=INT($N306),$N306-INT($N306),1)))*
IF(EF$44=1,0,
IF(INT(DN306)=INT(DM306),DN306-DM306,INT(DN306)-DM306))+
IF($N306&lt;=1,
IF($N306&gt;0,1/$N306,0),VDB(1,0,$N306,INT(EF$44-1),MIN($N306,INT(EF$44-1)+1),$DC306,IF($DD306="No",1,0))/
IF(DN306&gt;INT($N306),$N306-INT($N306),1))*
IF(EF$44=1,DN306,
IF(INT(DN306)=INT(DM306),0,DN306-INT(DN306)))))</f>
        <v>0</v>
      </c>
      <c r="EG306" s="835">
        <f>+IF(DO306=DN306,0,
IF(AND(EG$44&gt;1,DO306=$N306),1-SUM($EE306:EF306),
IF($N306&lt;=1,
IF($N306&gt;0,1/$N306,0),
IF(EG$44=1,0,VDB(1,0,$N306,INT(EG$44-1-1),MIN($N306,INT(EG$44-1-1)+1),$DC306,IF($DD306="No",1,0))/
IF(DN306&gt;=INT($N306),$N306-INT($N306),1)))*
IF(EG$44=1,0,
IF(INT(DO306)=INT(DN306),DO306-DN306,INT(DO306)-DN306))+
IF($N306&lt;=1,
IF($N306&gt;0,1/$N306,0),VDB(1,0,$N306,INT(EG$44-1),MIN($N306,INT(EG$44-1)+1),$DC306,IF($DD306="No",1,0))/
IF(DO306&gt;INT($N306),$N306-INT($N306),1))*
IF(EG$44=1,DO306,
IF(INT(DO306)=INT(DN306),0,DO306-INT(DO306)))))</f>
        <v>0</v>
      </c>
      <c r="EH306" s="836">
        <f>+IF(DP306=DO306,0,
IF(AND(EH$44&gt;1,DP306=$N306),1-SUM($EE306:EG306),
IF($N306&lt;=1,
IF($N306&gt;0,1/$N306,0),
IF(EH$44=1,0,VDB(1,0,$N306,INT(EH$44-1-1),MIN($N306,INT(EH$44-1-1)+1),$DC306,IF($DD306="No",1,0))/
IF(DO306&gt;=INT($N306),$N306-INT($N306),1)))*
IF(EH$44=1,0,
IF(INT(DP306)=INT(DO306),DP306-DO306,INT(DP306)-DO306))+
IF($N306&lt;=1,
IF($N306&gt;0,1/$N306,0),VDB(1,0,$N306,INT(EH$44-1),MIN($N306,INT(EH$44-1)+1),$DC306,IF($DD306="No",1,0))/
IF(DP306&gt;INT($N306),$N306-INT($N306),1))*
IF(EH$44=1,DP306,
IF(INT(DP306)=INT(DO306),0,DP306-INT(DP306)))))</f>
        <v>0</v>
      </c>
      <c r="EI306" s="834">
        <f>+IF(DQ306=DP306,0,
IF(AND(EI$44&gt;1,DQ306=$N306),1-SUM($EE306:EH306),
IF($N306&lt;=1,
IF($N306&gt;0,1/$N306,0),
IF(EI$44=1,0,VDB(1,0,$N306,INT(EI$44-1-1),MIN($N306,INT(EI$44-1-1)+1),$DC306,IF($DD306="No",1,0))/
IF(DP306&gt;=INT($N306),$N306-INT($N306),1)))*
IF(EI$44=1,0,
IF(INT(DQ306)=INT(DP306),DQ306-DP306,INT(DQ306)-DP306))+
IF($N306&lt;=1,
IF($N306&gt;0,1/$N306,0),VDB(1,0,$N306,INT(EI$44-1),MIN($N306,INT(EI$44-1)+1),$DC306,IF($DD306="No",1,0))/
IF(DQ306&gt;INT($N306),$N306-INT($N306),1))*
IF(EI$44=1,DQ306,
IF(INT(DQ306)=INT(DP306),0,DQ306-INT(DQ306)))))</f>
        <v>0</v>
      </c>
      <c r="EJ306" s="835">
        <f>+IF(DR306=DQ306,0,
IF(AND(EJ$44&gt;1,DR306=$N306),1-SUM($EE306:EI306),
IF($N306&lt;=1,
IF($N306&gt;0,1/$N306,0),
IF(EJ$44=1,0,VDB(1,0,$N306,INT(EJ$44-1-1),MIN($N306,INT(EJ$44-1-1)+1),$DC306,IF($DD306="No",1,0))/
IF(DQ306&gt;=INT($N306),$N306-INT($N306),1)))*
IF(EJ$44=1,0,
IF(INT(DR306)=INT(DQ306),DR306-DQ306,INT(DR306)-DQ306))+
IF($N306&lt;=1,
IF($N306&gt;0,1/$N306,0),VDB(1,0,$N306,INT(EJ$44-1),MIN($N306,INT(EJ$44-1)+1),$DC306,IF($DD306="No",1,0))/
IF(DR306&gt;INT($N306),$N306-INT($N306),1))*
IF(EJ$44=1,DR306,
IF(INT(DR306)=INT(DQ306),0,DR306-INT(DR306)))))</f>
        <v>0</v>
      </c>
      <c r="EK306" s="835">
        <f>+IF(DS306=DR306,0,
IF(AND(EK$44&gt;1,DS306=$N306),1-SUM($EE306:EJ306),
IF($N306&lt;=1,
IF($N306&gt;0,1/$N306,0),
IF(EK$44=1,0,VDB(1,0,$N306,INT(EK$44-1-1),MIN($N306,INT(EK$44-1-1)+1),$DC306,IF($DD306="No",1,0))/
IF(DR306&gt;=INT($N306),$N306-INT($N306),1)))*
IF(EK$44=1,0,
IF(INT(DS306)=INT(DR306),DS306-DR306,INT(DS306)-DR306))+
IF($N306&lt;=1,
IF($N306&gt;0,1/$N306,0),VDB(1,0,$N306,INT(EK$44-1),MIN($N306,INT(EK$44-1)+1),$DC306,IF($DD306="No",1,0))/
IF(DS306&gt;INT($N306),$N306-INT($N306),1))*
IF(EK$44=1,DS306,
IF(INT(DS306)=INT(DR306),0,DS306-INT(DS306)))))</f>
        <v>0</v>
      </c>
      <c r="EL306" s="835">
        <f>+IF(DT306=DS306,0,
IF(AND(EL$44&gt;1,DT306=$N306),1-SUM($EE306:EK306),
IF($N306&lt;=1,
IF($N306&gt;0,1/$N306,0),
IF(EL$44=1,0,VDB(1,0,$N306,INT(EL$44-1-1),MIN($N306,INT(EL$44-1-1)+1),$DC306,IF($DD306="No",1,0))/
IF(DS306&gt;=INT($N306),$N306-INT($N306),1)))*
IF(EL$44=1,0,
IF(INT(DT306)=INT(DS306),DT306-DS306,INT(DT306)-DS306))+
IF($N306&lt;=1,
IF($N306&gt;0,1/$N306,0),VDB(1,0,$N306,INT(EL$44-1),MIN($N306,INT(EL$44-1)+1),$DC306,IF($DD306="No",1,0))/
IF(DT306&gt;INT($N306),$N306-INT($N306),1))*
IF(EL$44=1,DT306,
IF(INT(DT306)=INT(DS306),0,DT306-INT(DT306)))))</f>
        <v>0</v>
      </c>
      <c r="EM306" s="836">
        <f>+IF(DU306=DT306,0,
IF(AND(EM$44&gt;1,DU306=$N306),1-SUM($EE306:EL306),
IF($N306&lt;=1,
IF($N306&gt;0,1/$N306,0),
IF(EM$44=1,0,VDB(1,0,$N306,INT(EM$44-1-1),MIN($N306,INT(EM$44-1-1)+1),$DC306,IF($DD306="No",1,0))/
IF(DT306&gt;=INT($N306),$N306-INT($N306),1)))*
IF(EM$44=1,0,
IF(INT(DU306)=INT(DT306),DU306-DT306,INT(DU306)-DT306))+
IF($N306&lt;=1,
IF($N306&gt;0,1/$N306,0),VDB(1,0,$N306,INT(EM$44-1),MIN($N306,INT(EM$44-1)+1),$DC306,IF($DD306="No",1,0))/
IF(DU306&gt;INT($N306),$N306-INT($N306),1))*
IF(EM$44=1,DU306,
IF(INT(DU306)=INT(DT306),0,DU306-INT(DU306)))))</f>
        <v>0</v>
      </c>
      <c r="EN306" s="833"/>
      <c r="EO306" s="834">
        <f>+IF(OR(DW306=DV306,EO$44=1),0,
IF(AND(EO$44&gt;1,DW306=$N306),1-SUM($EN306:EN306),
IF($N306&lt;=1,
IF($N306&gt;0,1/$N306,0),
IF(EO$44=2,0,VDB(1,0,$N306,INT(EO$44-2-1),MIN($N306,INT(EO$44-2-1)+1),$DC306,IF($DD306="No",1,0))/
IF(DV306&gt;=INT($N306),$N306-INT($N306),1)))*
IF(EO$44=2,0,
IF(INT(DW306)=INT(DV306),DW306-DV306,INT(DW306)-DV306))+
IF($N306&lt;=1,
IF($N306&gt;0,1/$N306,0),VDB(1,0,$N306,INT(EO$44-2),MIN($N306,INT(EO$44-2)+1),$DC306,IF($DD306="No",1,0))/
IF(DW306&gt;INT($N306),$N306-INT($N306),1))*
IF(EO$44=2,DW306,
IF(INT(DW306)=INT(DV306),0,DW306-INT(DW306)))))</f>
        <v>0</v>
      </c>
      <c r="EP306" s="835">
        <f>+IF(OR(DX306=DW306,EP$44=1),0,
IF(AND(EP$44&gt;1,DX306=$N306),1-SUM($EN306:EO306),
IF($N306&lt;=1,
IF($N306&gt;0,1/$N306,0),
IF(EP$44=2,0,VDB(1,0,$N306,INT(EP$44-2-1),MIN($N306,INT(EP$44-2-1)+1),$DC306,IF($DD306="No",1,0))/
IF(DW306&gt;=INT($N306),$N306-INT($N306),1)))*
IF(EP$44=2,0,
IF(INT(DX306)=INT(DW306),DX306-DW306,INT(DX306)-DW306))+
IF($N306&lt;=1,
IF($N306&gt;0,1/$N306,0),VDB(1,0,$N306,INT(EP$44-2),MIN($N306,INT(EP$44-2)+1),$DC306,IF($DD306="No",1,0))/
IF(DX306&gt;INT($N306),$N306-INT($N306),1))*
IF(EP$44=2,DX306,
IF(INT(DX306)=INT(DW306),0,DX306-INT(DX306)))))</f>
        <v>0</v>
      </c>
      <c r="EQ306" s="836">
        <f>+IF(OR(DY306=DX306,EQ$44=1),0,
IF(AND(EQ$44&gt;1,DY306=$N306),1-SUM($EN306:EP306),
IF($N306&lt;=1,
IF($N306&gt;0,1/$N306,0),
IF(EQ$44=2,0,VDB(1,0,$N306,INT(EQ$44-2-1),MIN($N306,INT(EQ$44-2-1)+1),$DC306,IF($DD306="No",1,0))/
IF(DX306&gt;=INT($N306),$N306-INT($N306),1)))*
IF(EQ$44=2,0,
IF(INT(DY306)=INT(DX306),DY306-DX306,INT(DY306)-DX306))+
IF($N306&lt;=1,
IF($N306&gt;0,1/$N306,0),VDB(1,0,$N306,INT(EQ$44-2),MIN($N306,INT(EQ$44-2)+1),$DC306,IF($DD306="No",1,0))/
IF(DY306&gt;INT($N306),$N306-INT($N306),1))*
IF(EQ$44=2,DY306,
IF(INT(DY306)=INT(DX306),0,DY306-INT(DY306)))))</f>
        <v>0</v>
      </c>
      <c r="ER306" s="834">
        <f>+IF(OR(DZ306=DY306,ER$44=1),0,
IF(AND(ER$44&gt;1,DZ306=$N306),1-SUM($EN306:EQ306),
IF($N306&lt;=1,
IF($N306&gt;0,1/$N306,0),
IF(ER$44=2,0,VDB(1,0,$N306,INT(ER$44-2-1),MIN($N306,INT(ER$44-2-1)+1),$DC306,IF($DD306="No",1,0))/
IF(DY306&gt;=INT($N306),$N306-INT($N306),1)))*
IF(ER$44=2,0,
IF(INT(DZ306)=INT(DY306),DZ306-DY306,INT(DZ306)-DY306))+
IF($N306&lt;=1,
IF($N306&gt;0,1/$N306,0),VDB(1,0,$N306,INT(ER$44-2),MIN($N306,INT(ER$44-2)+1),$DC306,IF($DD306="No",1,0))/
IF(DZ306&gt;INT($N306),$N306-INT($N306),1))*
IF(ER$44=2,DZ306,
IF(INT(DZ306)=INT(DY306),0,DZ306-INT(DZ306)))))</f>
        <v>0</v>
      </c>
      <c r="ES306" s="835">
        <f>+IF(OR(EA306=DZ306,ES$44=1),0,
IF(AND(ES$44&gt;1,EA306=$N306),1-SUM($EN306:ER306),
IF($N306&lt;=1,
IF($N306&gt;0,1/$N306,0),
IF(ES$44=2,0,VDB(1,0,$N306,INT(ES$44-2-1),MIN($N306,INT(ES$44-2-1)+1),$DC306,IF($DD306="No",1,0))/
IF(DZ306&gt;=INT($N306),$N306-INT($N306),1)))*
IF(ES$44=2,0,
IF(INT(EA306)=INT(DZ306),EA306-DZ306,INT(EA306)-DZ306))+
IF($N306&lt;=1,
IF($N306&gt;0,1/$N306,0),VDB(1,0,$N306,INT(ES$44-2),MIN($N306,INT(ES$44-2)+1),$DC306,IF($DD306="No",1,0))/
IF(EA306&gt;INT($N306),$N306-INT($N306),1))*
IF(ES$44=2,EA306,
IF(INT(EA306)=INT(DZ306),0,EA306-INT(EA306)))))</f>
        <v>0</v>
      </c>
      <c r="ET306" s="835">
        <f>+IF(OR(EB306=EA306,ET$44=1),0,
IF(AND(ET$44&gt;1,EB306=$N306),1-SUM($EN306:ES306),
IF($N306&lt;=1,
IF($N306&gt;0,1/$N306,0),
IF(ET$44=2,0,VDB(1,0,$N306,INT(ET$44-2-1),MIN($N306,INT(ET$44-2-1)+1),$DC306,IF($DD306="No",1,0))/
IF(EA306&gt;=INT($N306),$N306-INT($N306),1)))*
IF(ET$44=2,0,
IF(INT(EB306)=INT(EA306),EB306-EA306,INT(EB306)-EA306))+
IF($N306&lt;=1,
IF($N306&gt;0,1/$N306,0),VDB(1,0,$N306,INT(ET$44-2),MIN($N306,INT(ET$44-2)+1),$DC306,IF($DD306="No",1,0))/
IF(EB306&gt;INT($N306),$N306-INT($N306),1))*
IF(ET$44=2,EB306,
IF(INT(EB306)=INT(EA306),0,EB306-INT(EB306)))))</f>
        <v>0</v>
      </c>
      <c r="EU306" s="835">
        <f>+IF(OR(EC306=EB306,EU$44=1),0,
IF(AND(EU$44&gt;1,EC306=$N306),1-SUM($EN306:ET306),
IF($N306&lt;=1,
IF($N306&gt;0,1/$N306,0),
IF(EU$44=2,0,VDB(1,0,$N306,INT(EU$44-2-1),MIN($N306,INT(EU$44-2-1)+1),$DC306,IF($DD306="No",1,0))/
IF(EB306&gt;=INT($N306),$N306-INT($N306),1)))*
IF(EU$44=2,0,
IF(INT(EC306)=INT(EB306),EC306-EB306,INT(EC306)-EB306))+
IF($N306&lt;=1,
IF($N306&gt;0,1/$N306,0),VDB(1,0,$N306,INT(EU$44-2),MIN($N306,INT(EU$44-2)+1),$DC306,IF($DD306="No",1,0))/
IF(EC306&gt;INT($N306),$N306-INT($N306),1))*
IF(EU$44=2,EC306,
IF(INT(EC306)=INT(EB306),0,EC306-INT(EC306)))))</f>
        <v>0</v>
      </c>
      <c r="EV306" s="836">
        <f>+IF(OR(ED306=EC306,EV$44=1),0,
IF(AND(EV$44&gt;1,ED306=$N306),1-SUM($EN306:EU306),
IF($N306&lt;=1,
IF($N306&gt;0,1/$N306,0),
IF(EV$44=2,0,VDB(1,0,$N306,INT(EV$44-2-1),MIN($N306,INT(EV$44-2-1)+1),$DC306,IF($DD306="No",1,0))/
IF(EC306&gt;=INT($N306),$N306-INT($N306),1)))*
IF(EV$44=2,0,
IF(INT(ED306)=INT(EC306),ED306-EC306,INT(ED306)-EC306))+
IF($N306&lt;=1,
IF($N306&gt;0,1/$N306,0),VDB(1,0,$N306,INT(EV$44-2),MIN($N306,INT(EV$44-2)+1),$DC306,IF($DD306="No",1,0))/
IF(ED306&gt;INT($N306),$N306-INT($N306),1))*
IF(EV$44=2,ED306,
IF(INT(ED306)=INT(EC306),0,ED306-INT(ED306)))))</f>
        <v>0</v>
      </c>
      <c r="EW306" s="833"/>
      <c r="EX306" s="834">
        <f t="shared" ca="1" si="513"/>
        <v>0</v>
      </c>
      <c r="EY306" s="835">
        <f t="shared" ca="1" si="513"/>
        <v>0</v>
      </c>
      <c r="EZ306" s="836">
        <f t="shared" ca="1" si="513"/>
        <v>0</v>
      </c>
      <c r="FA306" s="834">
        <f t="shared" ca="1" si="513"/>
        <v>0</v>
      </c>
      <c r="FB306" s="835">
        <f t="shared" ca="1" si="513"/>
        <v>0</v>
      </c>
      <c r="FC306" s="835">
        <f t="shared" ca="1" si="513"/>
        <v>0</v>
      </c>
      <c r="FD306" s="835">
        <f t="shared" ca="1" si="513"/>
        <v>0</v>
      </c>
      <c r="FE306" s="836">
        <f t="shared" ca="1" si="513"/>
        <v>0</v>
      </c>
      <c r="FG306" s="386">
        <f t="shared" ca="1" si="504"/>
        <v>0</v>
      </c>
      <c r="FH306" s="387">
        <f t="shared" ca="1" si="505"/>
        <v>0</v>
      </c>
      <c r="FI306" s="388">
        <f t="shared" ca="1" si="506"/>
        <v>0</v>
      </c>
      <c r="FJ306" s="386">
        <f t="shared" ca="1" si="507"/>
        <v>0</v>
      </c>
      <c r="FK306" s="387">
        <f t="shared" ca="1" si="508"/>
        <v>0</v>
      </c>
      <c r="FL306" s="387">
        <f t="shared" ca="1" si="509"/>
        <v>0</v>
      </c>
      <c r="FM306" s="387">
        <f t="shared" ca="1" si="510"/>
        <v>0</v>
      </c>
      <c r="FN306" s="388">
        <f t="shared" ca="1" si="511"/>
        <v>0</v>
      </c>
      <c r="FR306" s="116"/>
    </row>
    <row r="307" spans="2:174">
      <c r="B307" s="1410">
        <f t="shared" si="512"/>
        <v>261</v>
      </c>
      <c r="C307" s="400"/>
      <c r="D307" s="410"/>
      <c r="E307" s="402"/>
      <c r="F307" s="402"/>
      <c r="G307" s="400"/>
      <c r="H307" s="2088"/>
      <c r="I307" s="2089"/>
      <c r="J307" s="411"/>
      <c r="K307" s="403"/>
      <c r="L307" s="403"/>
      <c r="M307" s="403"/>
      <c r="N307" s="403"/>
      <c r="O307" s="347"/>
      <c r="P307" s="347"/>
      <c r="Q307" s="1021"/>
      <c r="R307" s="1022"/>
      <c r="S307" s="1022"/>
      <c r="T307" s="1022"/>
      <c r="U307" s="1023"/>
      <c r="V307" s="1021"/>
      <c r="W307" s="1022"/>
      <c r="X307" s="1022"/>
      <c r="Y307" s="1022"/>
      <c r="Z307" s="1023"/>
      <c r="AA307" s="1024"/>
      <c r="AB307" s="1021"/>
      <c r="AC307" s="1022"/>
      <c r="AD307" s="1022"/>
      <c r="AE307" s="1022"/>
      <c r="AF307" s="1023"/>
      <c r="AG307" s="1021"/>
      <c r="AH307" s="1022"/>
      <c r="AI307" s="1022"/>
      <c r="AJ307" s="1022"/>
      <c r="AK307" s="1023"/>
      <c r="AL307" s="1024"/>
      <c r="AM307" s="1021"/>
      <c r="AN307" s="1022"/>
      <c r="AO307" s="1022"/>
      <c r="AP307" s="1022"/>
      <c r="AQ307" s="1023"/>
      <c r="AR307" s="1021"/>
      <c r="AS307" s="1022"/>
      <c r="AT307" s="1022"/>
      <c r="AU307" s="1022"/>
      <c r="AV307" s="1023"/>
      <c r="AW307" s="1025"/>
      <c r="AX307" s="1282">
        <f t="shared" si="457"/>
        <v>0</v>
      </c>
      <c r="AY307" s="387">
        <f t="shared" si="458"/>
        <v>0</v>
      </c>
      <c r="AZ307" s="387">
        <f t="shared" si="459"/>
        <v>0</v>
      </c>
      <c r="BA307" s="387">
        <f t="shared" si="460"/>
        <v>0</v>
      </c>
      <c r="BB307" s="1283">
        <f t="shared" si="461"/>
        <v>0</v>
      </c>
      <c r="BC307" s="386">
        <f t="shared" si="462"/>
        <v>0</v>
      </c>
      <c r="BD307" s="387">
        <f t="shared" si="463"/>
        <v>0</v>
      </c>
      <c r="BE307" s="1277">
        <f t="shared" si="464"/>
        <v>0</v>
      </c>
      <c r="BF307" s="1277">
        <f t="shared" si="465"/>
        <v>0</v>
      </c>
      <c r="BG307" s="388">
        <f t="shared" si="466"/>
        <v>0</v>
      </c>
      <c r="BH307" s="1025"/>
      <c r="BI307" s="1282">
        <f t="shared" ca="1" si="467"/>
        <v>0</v>
      </c>
      <c r="BJ307" s="387">
        <f t="shared" ca="1" si="468"/>
        <v>0</v>
      </c>
      <c r="BK307" s="387">
        <f t="shared" ca="1" si="469"/>
        <v>0</v>
      </c>
      <c r="BL307" s="387">
        <f t="shared" ca="1" si="470"/>
        <v>0</v>
      </c>
      <c r="BM307" s="1283">
        <f t="shared" ca="1" si="471"/>
        <v>0</v>
      </c>
      <c r="BN307" s="386">
        <f t="shared" ca="1" si="472"/>
        <v>0</v>
      </c>
      <c r="BO307" s="387">
        <f t="shared" ca="1" si="473"/>
        <v>0</v>
      </c>
      <c r="BP307" s="1277">
        <f t="shared" ca="1" si="474"/>
        <v>0</v>
      </c>
      <c r="BQ307" s="1277">
        <f t="shared" ca="1" si="475"/>
        <v>0</v>
      </c>
      <c r="BR307" s="388">
        <f t="shared" ca="1" si="476"/>
        <v>0</v>
      </c>
      <c r="BS307" s="1025"/>
      <c r="BT307" s="1282">
        <f>+IF($K307="Ongoing",AX307,IF(RIGHT($K307,2)=RIGHT(BT$43,2),SUM($AX307:AX307),0)+IF(RIGHT(BT$43,2)&gt;RIGHT($K307,2),AX307,0))</f>
        <v>0</v>
      </c>
      <c r="BU307" s="387">
        <f>+IF($K307="Ongoing",AY307,IF(RIGHT($K307,2)=RIGHT(BU$43,2),SUM($AX307:AY307),0)+IF(RIGHT(BU$43,2)&gt;RIGHT($K307,2),AY307,0))</f>
        <v>0</v>
      </c>
      <c r="BV307" s="387">
        <f>+IF($K307="Ongoing",AZ307,IF(RIGHT($K307,2)=RIGHT(BV$43,2),SUM($AX307:AZ307),0)+IF(RIGHT(BV$43,2)&gt;RIGHT($K307,2),AZ307,0))</f>
        <v>0</v>
      </c>
      <c r="BW307" s="387">
        <f>+IF($K307="Ongoing",BA307,IF(RIGHT($K307,2)=RIGHT(BW$43,2),SUM($AX307:BA307),0)+IF(RIGHT(BW$43,2)&gt;RIGHT($K307,2),BA307,0))</f>
        <v>0</v>
      </c>
      <c r="BX307" s="1283">
        <f>+IF($K307="Ongoing",BB307,IF(RIGHT($K307,2)=RIGHT(BX$43,2),SUM($AX307:BB307),0)+IF(RIGHT(BX$43,2)&gt;RIGHT($K307,2),BB307,0))</f>
        <v>0</v>
      </c>
      <c r="BY307" s="386">
        <f>+IF($K307="Ongoing",BC307,IF(RIGHT($K307,2)=RIGHT(BY$43,2),SUM($AX307:BC307),0)+IF(RIGHT(BY$43,2)&gt;RIGHT($K307,2),BC307,0))</f>
        <v>0</v>
      </c>
      <c r="BZ307" s="387">
        <f>+IF($K307="Ongoing",BD307,IF(RIGHT($K307,2)=RIGHT(BZ$43,2),SUM($AX307:BD307),0)+IF(RIGHT(BZ$43,2)&gt;RIGHT($K307,2),BD307,0))</f>
        <v>0</v>
      </c>
      <c r="CA307" s="1277">
        <f>+IF($K307="Ongoing",BE307,IF(RIGHT($K307,2)=RIGHT(CA$43,2),SUM($AX307:BE307),0)+IF(RIGHT(CA$43,2)&gt;RIGHT($K307,2),BE307,0))</f>
        <v>0</v>
      </c>
      <c r="CB307" s="1277">
        <f>+IF($K307="Ongoing",BF307,IF(RIGHT($K307,2)=RIGHT(CB$43,2),SUM($AX307:BF307),0)+IF(RIGHT(CB$43,2)&gt;RIGHT($K307,2),BF307,0))</f>
        <v>0</v>
      </c>
      <c r="CC307" s="388">
        <f>+IF($K307="Ongoing",BG307,IF(RIGHT($K307,2)=RIGHT(CC$43,2),SUM($AX307:BG307),0)+IF(RIGHT(CC$43,2)&gt;RIGHT($K307,2),BG307,0))</f>
        <v>0</v>
      </c>
      <c r="CD307" s="1025"/>
      <c r="CE307" s="1282">
        <f>+Q307*KeyAssumptionsPriceControl_FO!AF$15</f>
        <v>0</v>
      </c>
      <c r="CF307" s="387">
        <f>+R307*KeyAssumptionsPriceControl_FO!AG$15</f>
        <v>0</v>
      </c>
      <c r="CG307" s="387">
        <f>+S307*KeyAssumptionsPriceControl_FO!AH$15</f>
        <v>0</v>
      </c>
      <c r="CH307" s="387">
        <f>+T307*KeyAssumptionsPriceControl_FO!AI$15</f>
        <v>0</v>
      </c>
      <c r="CI307" s="1283">
        <f>+U307*KeyAssumptionsPriceControl_FO!AJ$15</f>
        <v>0</v>
      </c>
      <c r="CJ307" s="386">
        <f>+V307*KeyAssumptionsPriceControl_FO!AK$15</f>
        <v>0</v>
      </c>
      <c r="CK307" s="387">
        <f>+W307*KeyAssumptionsPriceControl_FO!AL$15</f>
        <v>0</v>
      </c>
      <c r="CL307" s="1277">
        <f>+X307*KeyAssumptionsPriceControl_FO!AM$15</f>
        <v>0</v>
      </c>
      <c r="CM307" s="1277">
        <f>+Y307*KeyAssumptionsPriceControl_FO!AN$15</f>
        <v>0</v>
      </c>
      <c r="CN307" s="388">
        <f>+Z307*KeyAssumptionsPriceControl_FO!AO$15</f>
        <v>0</v>
      </c>
      <c r="CO307" s="1025"/>
      <c r="CP307" s="1282">
        <f t="shared" ca="1" si="477"/>
        <v>0</v>
      </c>
      <c r="CQ307" s="387">
        <f t="shared" ca="1" si="478"/>
        <v>0</v>
      </c>
      <c r="CR307" s="387">
        <f t="shared" ca="1" si="479"/>
        <v>0</v>
      </c>
      <c r="CS307" s="387">
        <f t="shared" ca="1" si="480"/>
        <v>0</v>
      </c>
      <c r="CT307" s="1283">
        <f t="shared" ca="1" si="481"/>
        <v>0</v>
      </c>
      <c r="CU307" s="386">
        <f t="shared" ca="1" si="482"/>
        <v>0</v>
      </c>
      <c r="CV307" s="387">
        <f t="shared" ca="1" si="483"/>
        <v>0</v>
      </c>
      <c r="CW307" s="1277">
        <f t="shared" ca="1" si="484"/>
        <v>0</v>
      </c>
      <c r="CX307" s="1277">
        <f t="shared" ca="1" si="485"/>
        <v>0</v>
      </c>
      <c r="CY307" s="388">
        <f t="shared" ca="1" si="486"/>
        <v>0</v>
      </c>
      <c r="CZ307" s="347"/>
      <c r="DA307" s="852"/>
      <c r="DB307" s="347"/>
      <c r="DC307" s="1012" t="s">
        <v>616</v>
      </c>
      <c r="DD307" s="841" t="s">
        <v>518</v>
      </c>
      <c r="DE307" s="386">
        <f>+IF($K307="ongoing",CE307,IF(RIGHT($K307,2)=RIGHT(DE$43,2),SUM($CD307:CE307),0)+IF(RIGHT(DE$43,2)&gt;RIGHT($K307,2),CE307,0))</f>
        <v>0</v>
      </c>
      <c r="DF307" s="387">
        <f>+IF($K307="ongoing",CF307,IF(RIGHT($K307,2)=RIGHT(DF$43,2),SUM($CD307:CF307),0)+IF(RIGHT(DF$43,2)&gt;RIGHT($K307,2),CF307,0))</f>
        <v>0</v>
      </c>
      <c r="DG307" s="388">
        <f>+IF($K307="ongoing",CG307,IF(RIGHT($K307,2)=RIGHT(DG$43,2),SUM($CD307:CG307),0)+IF(RIGHT(DG$43,2)&gt;RIGHT($K307,2),CG307,0))</f>
        <v>0</v>
      </c>
      <c r="DH307" s="386">
        <f>+IF($K307="ongoing",CH307,IF(RIGHT($K307,2)=RIGHT(DH$43,2),SUM($CD307:CH307),0)+IF(RIGHT(DH$43,2)&gt;RIGHT($K307,2),CH307,0))</f>
        <v>0</v>
      </c>
      <c r="DI307" s="387">
        <f>+IF($K307="ongoing",CI307,IF(RIGHT($K307,2)=RIGHT(DI$43,2),SUM($CD307:CI307),0)+IF(RIGHT(DI$43,2)&gt;RIGHT($K307,2),CI307,0))</f>
        <v>0</v>
      </c>
      <c r="DJ307" s="387">
        <f>+IF($K307="ongoing",CJ307,IF(RIGHT($K307,2)=RIGHT(DJ$43,2),SUM($CD307:CJ307),0)+IF(RIGHT(DJ$43,2)&gt;RIGHT($K307,2),CJ307,0))</f>
        <v>0</v>
      </c>
      <c r="DK307" s="387">
        <f>+IF($K307="ongoing",CK307,IF(RIGHT($K307,2)=RIGHT(DK$43,2),SUM($CD307:CK307),0)+IF(RIGHT(DK$43,2)&gt;RIGHT($K307,2),CK307,0))</f>
        <v>0</v>
      </c>
      <c r="DL307" s="388">
        <f>+IF($K307="ongoing",CN307,IF(RIGHT($K307,2)=RIGHT(DL$43,2),SUM($CD307:CN307),0)+IF(RIGHT(DL$43,2)&gt;RIGHT($K307,2),CN307,0))</f>
        <v>0</v>
      </c>
      <c r="DM307" s="841"/>
      <c r="DN307" s="386">
        <f t="shared" si="487"/>
        <v>0.5</v>
      </c>
      <c r="DO307" s="387">
        <f t="shared" si="488"/>
        <v>1</v>
      </c>
      <c r="DP307" s="388">
        <f t="shared" si="489"/>
        <v>1</v>
      </c>
      <c r="DQ307" s="386">
        <f t="shared" si="490"/>
        <v>1</v>
      </c>
      <c r="DR307" s="387">
        <f t="shared" si="491"/>
        <v>1</v>
      </c>
      <c r="DS307" s="387">
        <f t="shared" si="492"/>
        <v>1</v>
      </c>
      <c r="DT307" s="387">
        <f t="shared" si="493"/>
        <v>1</v>
      </c>
      <c r="DU307" s="388">
        <f t="shared" si="494"/>
        <v>1</v>
      </c>
      <c r="DW307" s="386">
        <f t="shared" si="495"/>
        <v>0</v>
      </c>
      <c r="DX307" s="387">
        <f t="shared" si="496"/>
        <v>0.5</v>
      </c>
      <c r="DY307" s="388">
        <f t="shared" si="497"/>
        <v>1</v>
      </c>
      <c r="DZ307" s="386">
        <f t="shared" si="498"/>
        <v>1</v>
      </c>
      <c r="EA307" s="387">
        <f t="shared" si="499"/>
        <v>1</v>
      </c>
      <c r="EB307" s="387">
        <f t="shared" si="500"/>
        <v>1</v>
      </c>
      <c r="EC307" s="387">
        <f t="shared" si="501"/>
        <v>1</v>
      </c>
      <c r="ED307" s="388">
        <f t="shared" si="502"/>
        <v>1</v>
      </c>
      <c r="EF307" s="834">
        <f>+IF(DN307=DM307,0,
IF(AND(EF$44&gt;1,DN307=$N307),1-SUM($EE307:EE307),
IF($N307&lt;=1,
IF($N307&gt;0,1/$N307,0),
IF(EF$44=1,0,VDB(1,0,$N307,INT(EF$44-1-1),MIN($N307,INT(EF$44-1-1)+1),$DC307,IF($DD307="No",1,0))/
IF(DM307&gt;=INT($N307),$N307-INT($N307),1)))*
IF(EF$44=1,0,
IF(INT(DN307)=INT(DM307),DN307-DM307,INT(DN307)-DM307))+
IF($N307&lt;=1,
IF($N307&gt;0,1/$N307,0),VDB(1,0,$N307,INT(EF$44-1),MIN($N307,INT(EF$44-1)+1),$DC307,IF($DD307="No",1,0))/
IF(DN307&gt;INT($N307),$N307-INT($N307),1))*
IF(EF$44=1,DN307,
IF(INT(DN307)=INT(DM307),0,DN307-INT(DN307)))))</f>
        <v>0</v>
      </c>
      <c r="EG307" s="835">
        <f>+IF(DO307=DN307,0,
IF(AND(EG$44&gt;1,DO307=$N307),1-SUM($EE307:EF307),
IF($N307&lt;=1,
IF($N307&gt;0,1/$N307,0),
IF(EG$44=1,0,VDB(1,0,$N307,INT(EG$44-1-1),MIN($N307,INT(EG$44-1-1)+1),$DC307,IF($DD307="No",1,0))/
IF(DN307&gt;=INT($N307),$N307-INT($N307),1)))*
IF(EG$44=1,0,
IF(INT(DO307)=INT(DN307),DO307-DN307,INT(DO307)-DN307))+
IF($N307&lt;=1,
IF($N307&gt;0,1/$N307,0),VDB(1,0,$N307,INT(EG$44-1),MIN($N307,INT(EG$44-1)+1),$DC307,IF($DD307="No",1,0))/
IF(DO307&gt;INT($N307),$N307-INT($N307),1))*
IF(EG$44=1,DO307,
IF(INT(DO307)=INT(DN307),0,DO307-INT(DO307)))))</f>
        <v>0</v>
      </c>
      <c r="EH307" s="836">
        <f>+IF(DP307=DO307,0,
IF(AND(EH$44&gt;1,DP307=$N307),1-SUM($EE307:EG307),
IF($N307&lt;=1,
IF($N307&gt;0,1/$N307,0),
IF(EH$44=1,0,VDB(1,0,$N307,INT(EH$44-1-1),MIN($N307,INT(EH$44-1-1)+1),$DC307,IF($DD307="No",1,0))/
IF(DO307&gt;=INT($N307),$N307-INT($N307),1)))*
IF(EH$44=1,0,
IF(INT(DP307)=INT(DO307),DP307-DO307,INT(DP307)-DO307))+
IF($N307&lt;=1,
IF($N307&gt;0,1/$N307,0),VDB(1,0,$N307,INT(EH$44-1),MIN($N307,INT(EH$44-1)+1),$DC307,IF($DD307="No",1,0))/
IF(DP307&gt;INT($N307),$N307-INT($N307),1))*
IF(EH$44=1,DP307,
IF(INT(DP307)=INT(DO307),0,DP307-INT(DP307)))))</f>
        <v>0</v>
      </c>
      <c r="EI307" s="834">
        <f>+IF(DQ307=DP307,0,
IF(AND(EI$44&gt;1,DQ307=$N307),1-SUM($EE307:EH307),
IF($N307&lt;=1,
IF($N307&gt;0,1/$N307,0),
IF(EI$44=1,0,VDB(1,0,$N307,INT(EI$44-1-1),MIN($N307,INT(EI$44-1-1)+1),$DC307,IF($DD307="No",1,0))/
IF(DP307&gt;=INT($N307),$N307-INT($N307),1)))*
IF(EI$44=1,0,
IF(INT(DQ307)=INT(DP307),DQ307-DP307,INT(DQ307)-DP307))+
IF($N307&lt;=1,
IF($N307&gt;0,1/$N307,0),VDB(1,0,$N307,INT(EI$44-1),MIN($N307,INT(EI$44-1)+1),$DC307,IF($DD307="No",1,0))/
IF(DQ307&gt;INT($N307),$N307-INT($N307),1))*
IF(EI$44=1,DQ307,
IF(INT(DQ307)=INT(DP307),0,DQ307-INT(DQ307)))))</f>
        <v>0</v>
      </c>
      <c r="EJ307" s="835">
        <f>+IF(DR307=DQ307,0,
IF(AND(EJ$44&gt;1,DR307=$N307),1-SUM($EE307:EI307),
IF($N307&lt;=1,
IF($N307&gt;0,1/$N307,0),
IF(EJ$44=1,0,VDB(1,0,$N307,INT(EJ$44-1-1),MIN($N307,INT(EJ$44-1-1)+1),$DC307,IF($DD307="No",1,0))/
IF(DQ307&gt;=INT($N307),$N307-INT($N307),1)))*
IF(EJ$44=1,0,
IF(INT(DR307)=INT(DQ307),DR307-DQ307,INT(DR307)-DQ307))+
IF($N307&lt;=1,
IF($N307&gt;0,1/$N307,0),VDB(1,0,$N307,INT(EJ$44-1),MIN($N307,INT(EJ$44-1)+1),$DC307,IF($DD307="No",1,0))/
IF(DR307&gt;INT($N307),$N307-INT($N307),1))*
IF(EJ$44=1,DR307,
IF(INT(DR307)=INT(DQ307),0,DR307-INT(DR307)))))</f>
        <v>0</v>
      </c>
      <c r="EK307" s="835">
        <f>+IF(DS307=DR307,0,
IF(AND(EK$44&gt;1,DS307=$N307),1-SUM($EE307:EJ307),
IF($N307&lt;=1,
IF($N307&gt;0,1/$N307,0),
IF(EK$44=1,0,VDB(1,0,$N307,INT(EK$44-1-1),MIN($N307,INT(EK$44-1-1)+1),$DC307,IF($DD307="No",1,0))/
IF(DR307&gt;=INT($N307),$N307-INT($N307),1)))*
IF(EK$44=1,0,
IF(INT(DS307)=INT(DR307),DS307-DR307,INT(DS307)-DR307))+
IF($N307&lt;=1,
IF($N307&gt;0,1/$N307,0),VDB(1,0,$N307,INT(EK$44-1),MIN($N307,INT(EK$44-1)+1),$DC307,IF($DD307="No",1,0))/
IF(DS307&gt;INT($N307),$N307-INT($N307),1))*
IF(EK$44=1,DS307,
IF(INT(DS307)=INT(DR307),0,DS307-INT(DS307)))))</f>
        <v>0</v>
      </c>
      <c r="EL307" s="835">
        <f>+IF(DT307=DS307,0,
IF(AND(EL$44&gt;1,DT307=$N307),1-SUM($EE307:EK307),
IF($N307&lt;=1,
IF($N307&gt;0,1/$N307,0),
IF(EL$44=1,0,VDB(1,0,$N307,INT(EL$44-1-1),MIN($N307,INT(EL$44-1-1)+1),$DC307,IF($DD307="No",1,0))/
IF(DS307&gt;=INT($N307),$N307-INT($N307),1)))*
IF(EL$44=1,0,
IF(INT(DT307)=INT(DS307),DT307-DS307,INT(DT307)-DS307))+
IF($N307&lt;=1,
IF($N307&gt;0,1/$N307,0),VDB(1,0,$N307,INT(EL$44-1),MIN($N307,INT(EL$44-1)+1),$DC307,IF($DD307="No",1,0))/
IF(DT307&gt;INT($N307),$N307-INT($N307),1))*
IF(EL$44=1,DT307,
IF(INT(DT307)=INT(DS307),0,DT307-INT(DT307)))))</f>
        <v>0</v>
      </c>
      <c r="EM307" s="836">
        <f>+IF(DU307=DT307,0,
IF(AND(EM$44&gt;1,DU307=$N307),1-SUM($EE307:EL307),
IF($N307&lt;=1,
IF($N307&gt;0,1/$N307,0),
IF(EM$44=1,0,VDB(1,0,$N307,INT(EM$44-1-1),MIN($N307,INT(EM$44-1-1)+1),$DC307,IF($DD307="No",1,0))/
IF(DT307&gt;=INT($N307),$N307-INT($N307),1)))*
IF(EM$44=1,0,
IF(INT(DU307)=INT(DT307),DU307-DT307,INT(DU307)-DT307))+
IF($N307&lt;=1,
IF($N307&gt;0,1/$N307,0),VDB(1,0,$N307,INT(EM$44-1),MIN($N307,INT(EM$44-1)+1),$DC307,IF($DD307="No",1,0))/
IF(DU307&gt;INT($N307),$N307-INT($N307),1))*
IF(EM$44=1,DU307,
IF(INT(DU307)=INT(DT307),0,DU307-INT(DU307)))))</f>
        <v>0</v>
      </c>
      <c r="EN307" s="833"/>
      <c r="EO307" s="834">
        <f>+IF(OR(DW307=DV307,EO$44=1),0,
IF(AND(EO$44&gt;1,DW307=$N307),1-SUM($EN307:EN307),
IF($N307&lt;=1,
IF($N307&gt;0,1/$N307,0),
IF(EO$44=2,0,VDB(1,0,$N307,INT(EO$44-2-1),MIN($N307,INT(EO$44-2-1)+1),$DC307,IF($DD307="No",1,0))/
IF(DV307&gt;=INT($N307),$N307-INT($N307),1)))*
IF(EO$44=2,0,
IF(INT(DW307)=INT(DV307),DW307-DV307,INT(DW307)-DV307))+
IF($N307&lt;=1,
IF($N307&gt;0,1/$N307,0),VDB(1,0,$N307,INT(EO$44-2),MIN($N307,INT(EO$44-2)+1),$DC307,IF($DD307="No",1,0))/
IF(DW307&gt;INT($N307),$N307-INT($N307),1))*
IF(EO$44=2,DW307,
IF(INT(DW307)=INT(DV307),0,DW307-INT(DW307)))))</f>
        <v>0</v>
      </c>
      <c r="EP307" s="835">
        <f>+IF(OR(DX307=DW307,EP$44=1),0,
IF(AND(EP$44&gt;1,DX307=$N307),1-SUM($EN307:EO307),
IF($N307&lt;=1,
IF($N307&gt;0,1/$N307,0),
IF(EP$44=2,0,VDB(1,0,$N307,INT(EP$44-2-1),MIN($N307,INT(EP$44-2-1)+1),$DC307,IF($DD307="No",1,0))/
IF(DW307&gt;=INT($N307),$N307-INT($N307),1)))*
IF(EP$44=2,0,
IF(INT(DX307)=INT(DW307),DX307-DW307,INT(DX307)-DW307))+
IF($N307&lt;=1,
IF($N307&gt;0,1/$N307,0),VDB(1,0,$N307,INT(EP$44-2),MIN($N307,INT(EP$44-2)+1),$DC307,IF($DD307="No",1,0))/
IF(DX307&gt;INT($N307),$N307-INT($N307),1))*
IF(EP$44=2,DX307,
IF(INT(DX307)=INT(DW307),0,DX307-INT(DX307)))))</f>
        <v>0</v>
      </c>
      <c r="EQ307" s="836">
        <f>+IF(OR(DY307=DX307,EQ$44=1),0,
IF(AND(EQ$44&gt;1,DY307=$N307),1-SUM($EN307:EP307),
IF($N307&lt;=1,
IF($N307&gt;0,1/$N307,0),
IF(EQ$44=2,0,VDB(1,0,$N307,INT(EQ$44-2-1),MIN($N307,INT(EQ$44-2-1)+1),$DC307,IF($DD307="No",1,0))/
IF(DX307&gt;=INT($N307),$N307-INT($N307),1)))*
IF(EQ$44=2,0,
IF(INT(DY307)=INT(DX307),DY307-DX307,INT(DY307)-DX307))+
IF($N307&lt;=1,
IF($N307&gt;0,1/$N307,0),VDB(1,0,$N307,INT(EQ$44-2),MIN($N307,INT(EQ$44-2)+1),$DC307,IF($DD307="No",1,0))/
IF(DY307&gt;INT($N307),$N307-INT($N307),1))*
IF(EQ$44=2,DY307,
IF(INT(DY307)=INT(DX307),0,DY307-INT(DY307)))))</f>
        <v>0</v>
      </c>
      <c r="ER307" s="834">
        <f>+IF(OR(DZ307=DY307,ER$44=1),0,
IF(AND(ER$44&gt;1,DZ307=$N307),1-SUM($EN307:EQ307),
IF($N307&lt;=1,
IF($N307&gt;0,1/$N307,0),
IF(ER$44=2,0,VDB(1,0,$N307,INT(ER$44-2-1),MIN($N307,INT(ER$44-2-1)+1),$DC307,IF($DD307="No",1,0))/
IF(DY307&gt;=INT($N307),$N307-INT($N307),1)))*
IF(ER$44=2,0,
IF(INT(DZ307)=INT(DY307),DZ307-DY307,INT(DZ307)-DY307))+
IF($N307&lt;=1,
IF($N307&gt;0,1/$N307,0),VDB(1,0,$N307,INT(ER$44-2),MIN($N307,INT(ER$44-2)+1),$DC307,IF($DD307="No",1,0))/
IF(DZ307&gt;INT($N307),$N307-INT($N307),1))*
IF(ER$44=2,DZ307,
IF(INT(DZ307)=INT(DY307),0,DZ307-INT(DZ307)))))</f>
        <v>0</v>
      </c>
      <c r="ES307" s="835">
        <f>+IF(OR(EA307=DZ307,ES$44=1),0,
IF(AND(ES$44&gt;1,EA307=$N307),1-SUM($EN307:ER307),
IF($N307&lt;=1,
IF($N307&gt;0,1/$N307,0),
IF(ES$44=2,0,VDB(1,0,$N307,INT(ES$44-2-1),MIN($N307,INT(ES$44-2-1)+1),$DC307,IF($DD307="No",1,0))/
IF(DZ307&gt;=INT($N307),$N307-INT($N307),1)))*
IF(ES$44=2,0,
IF(INT(EA307)=INT(DZ307),EA307-DZ307,INT(EA307)-DZ307))+
IF($N307&lt;=1,
IF($N307&gt;0,1/$N307,0),VDB(1,0,$N307,INT(ES$44-2),MIN($N307,INT(ES$44-2)+1),$DC307,IF($DD307="No",1,0))/
IF(EA307&gt;INT($N307),$N307-INT($N307),1))*
IF(ES$44=2,EA307,
IF(INT(EA307)=INT(DZ307),0,EA307-INT(EA307)))))</f>
        <v>0</v>
      </c>
      <c r="ET307" s="835">
        <f>+IF(OR(EB307=EA307,ET$44=1),0,
IF(AND(ET$44&gt;1,EB307=$N307),1-SUM($EN307:ES307),
IF($N307&lt;=1,
IF($N307&gt;0,1/$N307,0),
IF(ET$44=2,0,VDB(1,0,$N307,INT(ET$44-2-1),MIN($N307,INT(ET$44-2-1)+1),$DC307,IF($DD307="No",1,0))/
IF(EA307&gt;=INT($N307),$N307-INT($N307),1)))*
IF(ET$44=2,0,
IF(INT(EB307)=INT(EA307),EB307-EA307,INT(EB307)-EA307))+
IF($N307&lt;=1,
IF($N307&gt;0,1/$N307,0),VDB(1,0,$N307,INT(ET$44-2),MIN($N307,INT(ET$44-2)+1),$DC307,IF($DD307="No",1,0))/
IF(EB307&gt;INT($N307),$N307-INT($N307),1))*
IF(ET$44=2,EB307,
IF(INT(EB307)=INT(EA307),0,EB307-INT(EB307)))))</f>
        <v>0</v>
      </c>
      <c r="EU307" s="835">
        <f>+IF(OR(EC307=EB307,EU$44=1),0,
IF(AND(EU$44&gt;1,EC307=$N307),1-SUM($EN307:ET307),
IF($N307&lt;=1,
IF($N307&gt;0,1/$N307,0),
IF(EU$44=2,0,VDB(1,0,$N307,INT(EU$44-2-1),MIN($N307,INT(EU$44-2-1)+1),$DC307,IF($DD307="No",1,0))/
IF(EB307&gt;=INT($N307),$N307-INT($N307),1)))*
IF(EU$44=2,0,
IF(INT(EC307)=INT(EB307),EC307-EB307,INT(EC307)-EB307))+
IF($N307&lt;=1,
IF($N307&gt;0,1/$N307,0),VDB(1,0,$N307,INT(EU$44-2),MIN($N307,INT(EU$44-2)+1),$DC307,IF($DD307="No",1,0))/
IF(EC307&gt;INT($N307),$N307-INT($N307),1))*
IF(EU$44=2,EC307,
IF(INT(EC307)=INT(EB307),0,EC307-INT(EC307)))))</f>
        <v>0</v>
      </c>
      <c r="EV307" s="836">
        <f>+IF(OR(ED307=EC307,EV$44=1),0,
IF(AND(EV$44&gt;1,ED307=$N307),1-SUM($EN307:EU307),
IF($N307&lt;=1,
IF($N307&gt;0,1/$N307,0),
IF(EV$44=2,0,VDB(1,0,$N307,INT(EV$44-2-1),MIN($N307,INT(EV$44-2-1)+1),$DC307,IF($DD307="No",1,0))/
IF(EC307&gt;=INT($N307),$N307-INT($N307),1)))*
IF(EV$44=2,0,
IF(INT(ED307)=INT(EC307),ED307-EC307,INT(ED307)-EC307))+
IF($N307&lt;=1,
IF($N307&gt;0,1/$N307,0),VDB(1,0,$N307,INT(EV$44-2),MIN($N307,INT(EV$44-2)+1),$DC307,IF($DD307="No",1,0))/
IF(ED307&gt;INT($N307),$N307-INT($N307),1))*
IF(EV$44=2,ED307,
IF(INT(ED307)=INT(EC307),0,ED307-INT(ED307)))))</f>
        <v>0</v>
      </c>
      <c r="EW307" s="833"/>
      <c r="EX307" s="834">
        <f t="shared" ca="1" si="513"/>
        <v>0</v>
      </c>
      <c r="EY307" s="835">
        <f t="shared" ca="1" si="513"/>
        <v>0</v>
      </c>
      <c r="EZ307" s="836">
        <f t="shared" ca="1" si="513"/>
        <v>0</v>
      </c>
      <c r="FA307" s="834">
        <f t="shared" ca="1" si="513"/>
        <v>0</v>
      </c>
      <c r="FB307" s="835">
        <f t="shared" ca="1" si="513"/>
        <v>0</v>
      </c>
      <c r="FC307" s="835">
        <f t="shared" ca="1" si="513"/>
        <v>0</v>
      </c>
      <c r="FD307" s="835">
        <f t="shared" ca="1" si="513"/>
        <v>0</v>
      </c>
      <c r="FE307" s="836">
        <f t="shared" ca="1" si="513"/>
        <v>0</v>
      </c>
      <c r="FG307" s="386">
        <f t="shared" ca="1" si="504"/>
        <v>0</v>
      </c>
      <c r="FH307" s="387">
        <f t="shared" ca="1" si="505"/>
        <v>0</v>
      </c>
      <c r="FI307" s="388">
        <f t="shared" ca="1" si="506"/>
        <v>0</v>
      </c>
      <c r="FJ307" s="386">
        <f t="shared" ca="1" si="507"/>
        <v>0</v>
      </c>
      <c r="FK307" s="387">
        <f t="shared" ca="1" si="508"/>
        <v>0</v>
      </c>
      <c r="FL307" s="387">
        <f t="shared" ca="1" si="509"/>
        <v>0</v>
      </c>
      <c r="FM307" s="387">
        <f t="shared" ca="1" si="510"/>
        <v>0</v>
      </c>
      <c r="FN307" s="388">
        <f t="shared" ca="1" si="511"/>
        <v>0</v>
      </c>
      <c r="FR307" s="116"/>
    </row>
    <row r="308" spans="2:174">
      <c r="B308" s="1410">
        <f t="shared" si="512"/>
        <v>262</v>
      </c>
      <c r="C308" s="400"/>
      <c r="D308" s="410"/>
      <c r="E308" s="402"/>
      <c r="F308" s="402"/>
      <c r="G308" s="400"/>
      <c r="H308" s="2088"/>
      <c r="I308" s="2089"/>
      <c r="J308" s="411"/>
      <c r="K308" s="403"/>
      <c r="L308" s="403"/>
      <c r="M308" s="403"/>
      <c r="N308" s="403"/>
      <c r="O308" s="347"/>
      <c r="P308" s="347"/>
      <c r="Q308" s="1021"/>
      <c r="R308" s="1022"/>
      <c r="S308" s="1022"/>
      <c r="T308" s="1022"/>
      <c r="U308" s="1023"/>
      <c r="V308" s="1021"/>
      <c r="W308" s="1022"/>
      <c r="X308" s="1022"/>
      <c r="Y308" s="1022"/>
      <c r="Z308" s="1023"/>
      <c r="AA308" s="1024"/>
      <c r="AB308" s="1021"/>
      <c r="AC308" s="1022"/>
      <c r="AD308" s="1022"/>
      <c r="AE308" s="1022"/>
      <c r="AF308" s="1023"/>
      <c r="AG308" s="1021"/>
      <c r="AH308" s="1022"/>
      <c r="AI308" s="1022"/>
      <c r="AJ308" s="1022"/>
      <c r="AK308" s="1023"/>
      <c r="AL308" s="1024"/>
      <c r="AM308" s="1021"/>
      <c r="AN308" s="1022"/>
      <c r="AO308" s="1022"/>
      <c r="AP308" s="1022"/>
      <c r="AQ308" s="1023"/>
      <c r="AR308" s="1021"/>
      <c r="AS308" s="1022"/>
      <c r="AT308" s="1022"/>
      <c r="AU308" s="1022"/>
      <c r="AV308" s="1023"/>
      <c r="AW308" s="1025"/>
      <c r="AX308" s="1282">
        <f t="shared" si="457"/>
        <v>0</v>
      </c>
      <c r="AY308" s="387">
        <f t="shared" si="458"/>
        <v>0</v>
      </c>
      <c r="AZ308" s="387">
        <f t="shared" si="459"/>
        <v>0</v>
      </c>
      <c r="BA308" s="387">
        <f t="shared" si="460"/>
        <v>0</v>
      </c>
      <c r="BB308" s="1283">
        <f t="shared" si="461"/>
        <v>0</v>
      </c>
      <c r="BC308" s="386">
        <f t="shared" si="462"/>
        <v>0</v>
      </c>
      <c r="BD308" s="387">
        <f t="shared" si="463"/>
        <v>0</v>
      </c>
      <c r="BE308" s="1277">
        <f t="shared" si="464"/>
        <v>0</v>
      </c>
      <c r="BF308" s="1277">
        <f t="shared" si="465"/>
        <v>0</v>
      </c>
      <c r="BG308" s="388">
        <f t="shared" si="466"/>
        <v>0</v>
      </c>
      <c r="BH308" s="1025"/>
      <c r="BI308" s="1282">
        <f t="shared" ca="1" si="467"/>
        <v>0</v>
      </c>
      <c r="BJ308" s="387">
        <f t="shared" ca="1" si="468"/>
        <v>0</v>
      </c>
      <c r="BK308" s="387">
        <f t="shared" ca="1" si="469"/>
        <v>0</v>
      </c>
      <c r="BL308" s="387">
        <f t="shared" ca="1" si="470"/>
        <v>0</v>
      </c>
      <c r="BM308" s="1283">
        <f t="shared" ca="1" si="471"/>
        <v>0</v>
      </c>
      <c r="BN308" s="386">
        <f t="shared" ca="1" si="472"/>
        <v>0</v>
      </c>
      <c r="BO308" s="387">
        <f t="shared" ca="1" si="473"/>
        <v>0</v>
      </c>
      <c r="BP308" s="1277">
        <f t="shared" ca="1" si="474"/>
        <v>0</v>
      </c>
      <c r="BQ308" s="1277">
        <f t="shared" ca="1" si="475"/>
        <v>0</v>
      </c>
      <c r="BR308" s="388">
        <f t="shared" ca="1" si="476"/>
        <v>0</v>
      </c>
      <c r="BS308" s="1025"/>
      <c r="BT308" s="1282">
        <f>+IF($K308="Ongoing",AX308,IF(RIGHT($K308,2)=RIGHT(BT$43,2),SUM($AX308:AX308),0)+IF(RIGHT(BT$43,2)&gt;RIGHT($K308,2),AX308,0))</f>
        <v>0</v>
      </c>
      <c r="BU308" s="387">
        <f>+IF($K308="Ongoing",AY308,IF(RIGHT($K308,2)=RIGHT(BU$43,2),SUM($AX308:AY308),0)+IF(RIGHT(BU$43,2)&gt;RIGHT($K308,2),AY308,0))</f>
        <v>0</v>
      </c>
      <c r="BV308" s="387">
        <f>+IF($K308="Ongoing",AZ308,IF(RIGHT($K308,2)=RIGHT(BV$43,2),SUM($AX308:AZ308),0)+IF(RIGHT(BV$43,2)&gt;RIGHT($K308,2),AZ308,0))</f>
        <v>0</v>
      </c>
      <c r="BW308" s="387">
        <f>+IF($K308="Ongoing",BA308,IF(RIGHT($K308,2)=RIGHT(BW$43,2),SUM($AX308:BA308),0)+IF(RIGHT(BW$43,2)&gt;RIGHT($K308,2),BA308,0))</f>
        <v>0</v>
      </c>
      <c r="BX308" s="1283">
        <f>+IF($K308="Ongoing",BB308,IF(RIGHT($K308,2)=RIGHT(BX$43,2),SUM($AX308:BB308),0)+IF(RIGHT(BX$43,2)&gt;RIGHT($K308,2),BB308,0))</f>
        <v>0</v>
      </c>
      <c r="BY308" s="386">
        <f>+IF($K308="Ongoing",BC308,IF(RIGHT($K308,2)=RIGHT(BY$43,2),SUM($AX308:BC308),0)+IF(RIGHT(BY$43,2)&gt;RIGHT($K308,2),BC308,0))</f>
        <v>0</v>
      </c>
      <c r="BZ308" s="387">
        <f>+IF($K308="Ongoing",BD308,IF(RIGHT($K308,2)=RIGHT(BZ$43,2),SUM($AX308:BD308),0)+IF(RIGHT(BZ$43,2)&gt;RIGHT($K308,2),BD308,0))</f>
        <v>0</v>
      </c>
      <c r="CA308" s="1277">
        <f>+IF($K308="Ongoing",BE308,IF(RIGHT($K308,2)=RIGHT(CA$43,2),SUM($AX308:BE308),0)+IF(RIGHT(CA$43,2)&gt;RIGHT($K308,2),BE308,0))</f>
        <v>0</v>
      </c>
      <c r="CB308" s="1277">
        <f>+IF($K308="Ongoing",BF308,IF(RIGHT($K308,2)=RIGHT(CB$43,2),SUM($AX308:BF308),0)+IF(RIGHT(CB$43,2)&gt;RIGHT($K308,2),BF308,0))</f>
        <v>0</v>
      </c>
      <c r="CC308" s="388">
        <f>+IF($K308="Ongoing",BG308,IF(RIGHT($K308,2)=RIGHT(CC$43,2),SUM($AX308:BG308),0)+IF(RIGHT(CC$43,2)&gt;RIGHT($K308,2),BG308,0))</f>
        <v>0</v>
      </c>
      <c r="CD308" s="1025"/>
      <c r="CE308" s="1282">
        <f>+Q308*KeyAssumptionsPriceControl_FO!AF$15</f>
        <v>0</v>
      </c>
      <c r="CF308" s="387">
        <f>+R308*KeyAssumptionsPriceControl_FO!AG$15</f>
        <v>0</v>
      </c>
      <c r="CG308" s="387">
        <f>+S308*KeyAssumptionsPriceControl_FO!AH$15</f>
        <v>0</v>
      </c>
      <c r="CH308" s="387">
        <f>+T308*KeyAssumptionsPriceControl_FO!AI$15</f>
        <v>0</v>
      </c>
      <c r="CI308" s="1283">
        <f>+U308*KeyAssumptionsPriceControl_FO!AJ$15</f>
        <v>0</v>
      </c>
      <c r="CJ308" s="386">
        <f>+V308*KeyAssumptionsPriceControl_FO!AK$15</f>
        <v>0</v>
      </c>
      <c r="CK308" s="387">
        <f>+W308*KeyAssumptionsPriceControl_FO!AL$15</f>
        <v>0</v>
      </c>
      <c r="CL308" s="1277">
        <f>+X308*KeyAssumptionsPriceControl_FO!AM$15</f>
        <v>0</v>
      </c>
      <c r="CM308" s="1277">
        <f>+Y308*KeyAssumptionsPriceControl_FO!AN$15</f>
        <v>0</v>
      </c>
      <c r="CN308" s="388">
        <f>+Z308*KeyAssumptionsPriceControl_FO!AO$15</f>
        <v>0</v>
      </c>
      <c r="CO308" s="1025"/>
      <c r="CP308" s="1282">
        <f t="shared" ca="1" si="477"/>
        <v>0</v>
      </c>
      <c r="CQ308" s="387">
        <f t="shared" ca="1" si="478"/>
        <v>0</v>
      </c>
      <c r="CR308" s="387">
        <f t="shared" ca="1" si="479"/>
        <v>0</v>
      </c>
      <c r="CS308" s="387">
        <f t="shared" ca="1" si="480"/>
        <v>0</v>
      </c>
      <c r="CT308" s="1283">
        <f t="shared" ca="1" si="481"/>
        <v>0</v>
      </c>
      <c r="CU308" s="386">
        <f t="shared" ca="1" si="482"/>
        <v>0</v>
      </c>
      <c r="CV308" s="387">
        <f t="shared" ca="1" si="483"/>
        <v>0</v>
      </c>
      <c r="CW308" s="1277">
        <f t="shared" ca="1" si="484"/>
        <v>0</v>
      </c>
      <c r="CX308" s="1277">
        <f t="shared" ca="1" si="485"/>
        <v>0</v>
      </c>
      <c r="CY308" s="388">
        <f t="shared" ca="1" si="486"/>
        <v>0</v>
      </c>
      <c r="CZ308" s="347"/>
      <c r="DA308" s="852"/>
      <c r="DB308" s="347"/>
      <c r="DC308" s="1012" t="s">
        <v>618</v>
      </c>
      <c r="DD308" s="841" t="s">
        <v>518</v>
      </c>
      <c r="DE308" s="386">
        <f>+IF($K308="ongoing",CE308,IF(RIGHT($K308,2)=RIGHT(DE$43,2),SUM($CD308:CE308),0)+IF(RIGHT(DE$43,2)&gt;RIGHT($K308,2),CE308,0))</f>
        <v>0</v>
      </c>
      <c r="DF308" s="387">
        <f>+IF($K308="ongoing",CF308,IF(RIGHT($K308,2)=RIGHT(DF$43,2),SUM($CD308:CF308),0)+IF(RIGHT(DF$43,2)&gt;RIGHT($K308,2),CF308,0))</f>
        <v>0</v>
      </c>
      <c r="DG308" s="388">
        <f>+IF($K308="ongoing",CG308,IF(RIGHT($K308,2)=RIGHT(DG$43,2),SUM($CD308:CG308),0)+IF(RIGHT(DG$43,2)&gt;RIGHT($K308,2),CG308,0))</f>
        <v>0</v>
      </c>
      <c r="DH308" s="386">
        <f>+IF($K308="ongoing",CH308,IF(RIGHT($K308,2)=RIGHT(DH$43,2),SUM($CD308:CH308),0)+IF(RIGHT(DH$43,2)&gt;RIGHT($K308,2),CH308,0))</f>
        <v>0</v>
      </c>
      <c r="DI308" s="387">
        <f>+IF($K308="ongoing",CI308,IF(RIGHT($K308,2)=RIGHT(DI$43,2),SUM($CD308:CI308),0)+IF(RIGHT(DI$43,2)&gt;RIGHT($K308,2),CI308,0))</f>
        <v>0</v>
      </c>
      <c r="DJ308" s="387">
        <f>+IF($K308="ongoing",CJ308,IF(RIGHT($K308,2)=RIGHT(DJ$43,2),SUM($CD308:CJ308),0)+IF(RIGHT(DJ$43,2)&gt;RIGHT($K308,2),CJ308,0))</f>
        <v>0</v>
      </c>
      <c r="DK308" s="387">
        <f>+IF($K308="ongoing",CK308,IF(RIGHT($K308,2)=RIGHT(DK$43,2),SUM($CD308:CK308),0)+IF(RIGHT(DK$43,2)&gt;RIGHT($K308,2),CK308,0))</f>
        <v>0</v>
      </c>
      <c r="DL308" s="388">
        <f>+IF($K308="ongoing",CN308,IF(RIGHT($K308,2)=RIGHT(DL$43,2),SUM($CD308:CN308),0)+IF(RIGHT(DL$43,2)&gt;RIGHT($K308,2),CN308,0))</f>
        <v>0</v>
      </c>
      <c r="DM308" s="841"/>
      <c r="DN308" s="386">
        <f t="shared" si="487"/>
        <v>0.5</v>
      </c>
      <c r="DO308" s="387">
        <f t="shared" si="488"/>
        <v>1</v>
      </c>
      <c r="DP308" s="388">
        <f t="shared" si="489"/>
        <v>1</v>
      </c>
      <c r="DQ308" s="386">
        <f t="shared" si="490"/>
        <v>1</v>
      </c>
      <c r="DR308" s="387">
        <f t="shared" si="491"/>
        <v>1</v>
      </c>
      <c r="DS308" s="387">
        <f t="shared" si="492"/>
        <v>1</v>
      </c>
      <c r="DT308" s="387">
        <f t="shared" si="493"/>
        <v>1</v>
      </c>
      <c r="DU308" s="388">
        <f t="shared" si="494"/>
        <v>1</v>
      </c>
      <c r="DW308" s="386">
        <f t="shared" si="495"/>
        <v>0</v>
      </c>
      <c r="DX308" s="387">
        <f t="shared" si="496"/>
        <v>0.5</v>
      </c>
      <c r="DY308" s="388">
        <f t="shared" si="497"/>
        <v>1</v>
      </c>
      <c r="DZ308" s="386">
        <f t="shared" si="498"/>
        <v>1</v>
      </c>
      <c r="EA308" s="387">
        <f t="shared" si="499"/>
        <v>1</v>
      </c>
      <c r="EB308" s="387">
        <f t="shared" si="500"/>
        <v>1</v>
      </c>
      <c r="EC308" s="387">
        <f t="shared" si="501"/>
        <v>1</v>
      </c>
      <c r="ED308" s="388">
        <f t="shared" si="502"/>
        <v>1</v>
      </c>
      <c r="EF308" s="834">
        <f>+IF(DN308=DM308,0,
IF(AND(EF$44&gt;1,DN308=$N308),1-SUM($EE308:EE308),
IF($N308&lt;=1,
IF($N308&gt;0,1/$N308,0),
IF(EF$44=1,0,VDB(1,0,$N308,INT(EF$44-1-1),MIN($N308,INT(EF$44-1-1)+1),$DC308,IF($DD308="No",1,0))/
IF(DM308&gt;=INT($N308),$N308-INT($N308),1)))*
IF(EF$44=1,0,
IF(INT(DN308)=INT(DM308),DN308-DM308,INT(DN308)-DM308))+
IF($N308&lt;=1,
IF($N308&gt;0,1/$N308,0),VDB(1,0,$N308,INT(EF$44-1),MIN($N308,INT(EF$44-1)+1),$DC308,IF($DD308="No",1,0))/
IF(DN308&gt;INT($N308),$N308-INT($N308),1))*
IF(EF$44=1,DN308,
IF(INT(DN308)=INT(DM308),0,DN308-INT(DN308)))))</f>
        <v>0</v>
      </c>
      <c r="EG308" s="835">
        <f>+IF(DO308=DN308,0,
IF(AND(EG$44&gt;1,DO308=$N308),1-SUM($EE308:EF308),
IF($N308&lt;=1,
IF($N308&gt;0,1/$N308,0),
IF(EG$44=1,0,VDB(1,0,$N308,INT(EG$44-1-1),MIN($N308,INT(EG$44-1-1)+1),$DC308,IF($DD308="No",1,0))/
IF(DN308&gt;=INT($N308),$N308-INT($N308),1)))*
IF(EG$44=1,0,
IF(INT(DO308)=INT(DN308),DO308-DN308,INT(DO308)-DN308))+
IF($N308&lt;=1,
IF($N308&gt;0,1/$N308,0),VDB(1,0,$N308,INT(EG$44-1),MIN($N308,INT(EG$44-1)+1),$DC308,IF($DD308="No",1,0))/
IF(DO308&gt;INT($N308),$N308-INT($N308),1))*
IF(EG$44=1,DO308,
IF(INT(DO308)=INT(DN308),0,DO308-INT(DO308)))))</f>
        <v>0</v>
      </c>
      <c r="EH308" s="836">
        <f>+IF(DP308=DO308,0,
IF(AND(EH$44&gt;1,DP308=$N308),1-SUM($EE308:EG308),
IF($N308&lt;=1,
IF($N308&gt;0,1/$N308,0),
IF(EH$44=1,0,VDB(1,0,$N308,INT(EH$44-1-1),MIN($N308,INT(EH$44-1-1)+1),$DC308,IF($DD308="No",1,0))/
IF(DO308&gt;=INT($N308),$N308-INT($N308),1)))*
IF(EH$44=1,0,
IF(INT(DP308)=INT(DO308),DP308-DO308,INT(DP308)-DO308))+
IF($N308&lt;=1,
IF($N308&gt;0,1/$N308,0),VDB(1,0,$N308,INT(EH$44-1),MIN($N308,INT(EH$44-1)+1),$DC308,IF($DD308="No",1,0))/
IF(DP308&gt;INT($N308),$N308-INT($N308),1))*
IF(EH$44=1,DP308,
IF(INT(DP308)=INT(DO308),0,DP308-INT(DP308)))))</f>
        <v>0</v>
      </c>
      <c r="EI308" s="834">
        <f>+IF(DQ308=DP308,0,
IF(AND(EI$44&gt;1,DQ308=$N308),1-SUM($EE308:EH308),
IF($N308&lt;=1,
IF($N308&gt;0,1/$N308,0),
IF(EI$44=1,0,VDB(1,0,$N308,INT(EI$44-1-1),MIN($N308,INT(EI$44-1-1)+1),$DC308,IF($DD308="No",1,0))/
IF(DP308&gt;=INT($N308),$N308-INT($N308),1)))*
IF(EI$44=1,0,
IF(INT(DQ308)=INT(DP308),DQ308-DP308,INT(DQ308)-DP308))+
IF($N308&lt;=1,
IF($N308&gt;0,1/$N308,0),VDB(1,0,$N308,INT(EI$44-1),MIN($N308,INT(EI$44-1)+1),$DC308,IF($DD308="No",1,0))/
IF(DQ308&gt;INT($N308),$N308-INT($N308),1))*
IF(EI$44=1,DQ308,
IF(INT(DQ308)=INT(DP308),0,DQ308-INT(DQ308)))))</f>
        <v>0</v>
      </c>
      <c r="EJ308" s="835">
        <f>+IF(DR308=DQ308,0,
IF(AND(EJ$44&gt;1,DR308=$N308),1-SUM($EE308:EI308),
IF($N308&lt;=1,
IF($N308&gt;0,1/$N308,0),
IF(EJ$44=1,0,VDB(1,0,$N308,INT(EJ$44-1-1),MIN($N308,INT(EJ$44-1-1)+1),$DC308,IF($DD308="No",1,0))/
IF(DQ308&gt;=INT($N308),$N308-INT($N308),1)))*
IF(EJ$44=1,0,
IF(INT(DR308)=INT(DQ308),DR308-DQ308,INT(DR308)-DQ308))+
IF($N308&lt;=1,
IF($N308&gt;0,1/$N308,0),VDB(1,0,$N308,INT(EJ$44-1),MIN($N308,INT(EJ$44-1)+1),$DC308,IF($DD308="No",1,0))/
IF(DR308&gt;INT($N308),$N308-INT($N308),1))*
IF(EJ$44=1,DR308,
IF(INT(DR308)=INT(DQ308),0,DR308-INT(DR308)))))</f>
        <v>0</v>
      </c>
      <c r="EK308" s="835">
        <f>+IF(DS308=DR308,0,
IF(AND(EK$44&gt;1,DS308=$N308),1-SUM($EE308:EJ308),
IF($N308&lt;=1,
IF($N308&gt;0,1/$N308,0),
IF(EK$44=1,0,VDB(1,0,$N308,INT(EK$44-1-1),MIN($N308,INT(EK$44-1-1)+1),$DC308,IF($DD308="No",1,0))/
IF(DR308&gt;=INT($N308),$N308-INT($N308),1)))*
IF(EK$44=1,0,
IF(INT(DS308)=INT(DR308),DS308-DR308,INT(DS308)-DR308))+
IF($N308&lt;=1,
IF($N308&gt;0,1/$N308,0),VDB(1,0,$N308,INT(EK$44-1),MIN($N308,INT(EK$44-1)+1),$DC308,IF($DD308="No",1,0))/
IF(DS308&gt;INT($N308),$N308-INT($N308),1))*
IF(EK$44=1,DS308,
IF(INT(DS308)=INT(DR308),0,DS308-INT(DS308)))))</f>
        <v>0</v>
      </c>
      <c r="EL308" s="835">
        <f>+IF(DT308=DS308,0,
IF(AND(EL$44&gt;1,DT308=$N308),1-SUM($EE308:EK308),
IF($N308&lt;=1,
IF($N308&gt;0,1/$N308,0),
IF(EL$44=1,0,VDB(1,0,$N308,INT(EL$44-1-1),MIN($N308,INT(EL$44-1-1)+1),$DC308,IF($DD308="No",1,0))/
IF(DS308&gt;=INT($N308),$N308-INT($N308),1)))*
IF(EL$44=1,0,
IF(INT(DT308)=INT(DS308),DT308-DS308,INT(DT308)-DS308))+
IF($N308&lt;=1,
IF($N308&gt;0,1/$N308,0),VDB(1,0,$N308,INT(EL$44-1),MIN($N308,INT(EL$44-1)+1),$DC308,IF($DD308="No",1,0))/
IF(DT308&gt;INT($N308),$N308-INT($N308),1))*
IF(EL$44=1,DT308,
IF(INT(DT308)=INT(DS308),0,DT308-INT(DT308)))))</f>
        <v>0</v>
      </c>
      <c r="EM308" s="836">
        <f>+IF(DU308=DT308,0,
IF(AND(EM$44&gt;1,DU308=$N308),1-SUM($EE308:EL308),
IF($N308&lt;=1,
IF($N308&gt;0,1/$N308,0),
IF(EM$44=1,0,VDB(1,0,$N308,INT(EM$44-1-1),MIN($N308,INT(EM$44-1-1)+1),$DC308,IF($DD308="No",1,0))/
IF(DT308&gt;=INT($N308),$N308-INT($N308),1)))*
IF(EM$44=1,0,
IF(INT(DU308)=INT(DT308),DU308-DT308,INT(DU308)-DT308))+
IF($N308&lt;=1,
IF($N308&gt;0,1/$N308,0),VDB(1,0,$N308,INT(EM$44-1),MIN($N308,INT(EM$44-1)+1),$DC308,IF($DD308="No",1,0))/
IF(DU308&gt;INT($N308),$N308-INT($N308),1))*
IF(EM$44=1,DU308,
IF(INT(DU308)=INT(DT308),0,DU308-INT(DU308)))))</f>
        <v>0</v>
      </c>
      <c r="EN308" s="833"/>
      <c r="EO308" s="834">
        <f>+IF(OR(DW308=DV308,EO$44=1),0,
IF(AND(EO$44&gt;1,DW308=$N308),1-SUM($EN308:EN308),
IF($N308&lt;=1,
IF($N308&gt;0,1/$N308,0),
IF(EO$44=2,0,VDB(1,0,$N308,INT(EO$44-2-1),MIN($N308,INT(EO$44-2-1)+1),$DC308,IF($DD308="No",1,0))/
IF(DV308&gt;=INT($N308),$N308-INT($N308),1)))*
IF(EO$44=2,0,
IF(INT(DW308)=INT(DV308),DW308-DV308,INT(DW308)-DV308))+
IF($N308&lt;=1,
IF($N308&gt;0,1/$N308,0),VDB(1,0,$N308,INT(EO$44-2),MIN($N308,INT(EO$44-2)+1),$DC308,IF($DD308="No",1,0))/
IF(DW308&gt;INT($N308),$N308-INT($N308),1))*
IF(EO$44=2,DW308,
IF(INT(DW308)=INT(DV308),0,DW308-INT(DW308)))))</f>
        <v>0</v>
      </c>
      <c r="EP308" s="835">
        <f>+IF(OR(DX308=DW308,EP$44=1),0,
IF(AND(EP$44&gt;1,DX308=$N308),1-SUM($EN308:EO308),
IF($N308&lt;=1,
IF($N308&gt;0,1/$N308,0),
IF(EP$44=2,0,VDB(1,0,$N308,INT(EP$44-2-1),MIN($N308,INT(EP$44-2-1)+1),$DC308,IF($DD308="No",1,0))/
IF(DW308&gt;=INT($N308),$N308-INT($N308),1)))*
IF(EP$44=2,0,
IF(INT(DX308)=INT(DW308),DX308-DW308,INT(DX308)-DW308))+
IF($N308&lt;=1,
IF($N308&gt;0,1/$N308,0),VDB(1,0,$N308,INT(EP$44-2),MIN($N308,INT(EP$44-2)+1),$DC308,IF($DD308="No",1,0))/
IF(DX308&gt;INT($N308),$N308-INT($N308),1))*
IF(EP$44=2,DX308,
IF(INT(DX308)=INT(DW308),0,DX308-INT(DX308)))))</f>
        <v>0</v>
      </c>
      <c r="EQ308" s="836">
        <f>+IF(OR(DY308=DX308,EQ$44=1),0,
IF(AND(EQ$44&gt;1,DY308=$N308),1-SUM($EN308:EP308),
IF($N308&lt;=1,
IF($N308&gt;0,1/$N308,0),
IF(EQ$44=2,0,VDB(1,0,$N308,INT(EQ$44-2-1),MIN($N308,INT(EQ$44-2-1)+1),$DC308,IF($DD308="No",1,0))/
IF(DX308&gt;=INT($N308),$N308-INT($N308),1)))*
IF(EQ$44=2,0,
IF(INT(DY308)=INT(DX308),DY308-DX308,INT(DY308)-DX308))+
IF($N308&lt;=1,
IF($N308&gt;0,1/$N308,0),VDB(1,0,$N308,INT(EQ$44-2),MIN($N308,INT(EQ$44-2)+1),$DC308,IF($DD308="No",1,0))/
IF(DY308&gt;INT($N308),$N308-INT($N308),1))*
IF(EQ$44=2,DY308,
IF(INT(DY308)=INT(DX308),0,DY308-INT(DY308)))))</f>
        <v>0</v>
      </c>
      <c r="ER308" s="834">
        <f>+IF(OR(DZ308=DY308,ER$44=1),0,
IF(AND(ER$44&gt;1,DZ308=$N308),1-SUM($EN308:EQ308),
IF($N308&lt;=1,
IF($N308&gt;0,1/$N308,0),
IF(ER$44=2,0,VDB(1,0,$N308,INT(ER$44-2-1),MIN($N308,INT(ER$44-2-1)+1),$DC308,IF($DD308="No",1,0))/
IF(DY308&gt;=INT($N308),$N308-INT($N308),1)))*
IF(ER$44=2,0,
IF(INT(DZ308)=INT(DY308),DZ308-DY308,INT(DZ308)-DY308))+
IF($N308&lt;=1,
IF($N308&gt;0,1/$N308,0),VDB(1,0,$N308,INT(ER$44-2),MIN($N308,INT(ER$44-2)+1),$DC308,IF($DD308="No",1,0))/
IF(DZ308&gt;INT($N308),$N308-INT($N308),1))*
IF(ER$44=2,DZ308,
IF(INT(DZ308)=INT(DY308),0,DZ308-INT(DZ308)))))</f>
        <v>0</v>
      </c>
      <c r="ES308" s="835">
        <f>+IF(OR(EA308=DZ308,ES$44=1),0,
IF(AND(ES$44&gt;1,EA308=$N308),1-SUM($EN308:ER308),
IF($N308&lt;=1,
IF($N308&gt;0,1/$N308,0),
IF(ES$44=2,0,VDB(1,0,$N308,INT(ES$44-2-1),MIN($N308,INT(ES$44-2-1)+1),$DC308,IF($DD308="No",1,0))/
IF(DZ308&gt;=INT($N308),$N308-INT($N308),1)))*
IF(ES$44=2,0,
IF(INT(EA308)=INT(DZ308),EA308-DZ308,INT(EA308)-DZ308))+
IF($N308&lt;=1,
IF($N308&gt;0,1/$N308,0),VDB(1,0,$N308,INT(ES$44-2),MIN($N308,INT(ES$44-2)+1),$DC308,IF($DD308="No",1,0))/
IF(EA308&gt;INT($N308),$N308-INT($N308),1))*
IF(ES$44=2,EA308,
IF(INT(EA308)=INT(DZ308),0,EA308-INT(EA308)))))</f>
        <v>0</v>
      </c>
      <c r="ET308" s="835">
        <f>+IF(OR(EB308=EA308,ET$44=1),0,
IF(AND(ET$44&gt;1,EB308=$N308),1-SUM($EN308:ES308),
IF($N308&lt;=1,
IF($N308&gt;0,1/$N308,0),
IF(ET$44=2,0,VDB(1,0,$N308,INT(ET$44-2-1),MIN($N308,INT(ET$44-2-1)+1),$DC308,IF($DD308="No",1,0))/
IF(EA308&gt;=INT($N308),$N308-INT($N308),1)))*
IF(ET$44=2,0,
IF(INT(EB308)=INT(EA308),EB308-EA308,INT(EB308)-EA308))+
IF($N308&lt;=1,
IF($N308&gt;0,1/$N308,0),VDB(1,0,$N308,INT(ET$44-2),MIN($N308,INT(ET$44-2)+1),$DC308,IF($DD308="No",1,0))/
IF(EB308&gt;INT($N308),$N308-INT($N308),1))*
IF(ET$44=2,EB308,
IF(INT(EB308)=INT(EA308),0,EB308-INT(EB308)))))</f>
        <v>0</v>
      </c>
      <c r="EU308" s="835">
        <f>+IF(OR(EC308=EB308,EU$44=1),0,
IF(AND(EU$44&gt;1,EC308=$N308),1-SUM($EN308:ET308),
IF($N308&lt;=1,
IF($N308&gt;0,1/$N308,0),
IF(EU$44=2,0,VDB(1,0,$N308,INT(EU$44-2-1),MIN($N308,INT(EU$44-2-1)+1),$DC308,IF($DD308="No",1,0))/
IF(EB308&gt;=INT($N308),$N308-INT($N308),1)))*
IF(EU$44=2,0,
IF(INT(EC308)=INT(EB308),EC308-EB308,INT(EC308)-EB308))+
IF($N308&lt;=1,
IF($N308&gt;0,1/$N308,0),VDB(1,0,$N308,INT(EU$44-2),MIN($N308,INT(EU$44-2)+1),$DC308,IF($DD308="No",1,0))/
IF(EC308&gt;INT($N308),$N308-INT($N308),1))*
IF(EU$44=2,EC308,
IF(INT(EC308)=INT(EB308),0,EC308-INT(EC308)))))</f>
        <v>0</v>
      </c>
      <c r="EV308" s="836">
        <f>+IF(OR(ED308=EC308,EV$44=1),0,
IF(AND(EV$44&gt;1,ED308=$N308),1-SUM($EN308:EU308),
IF($N308&lt;=1,
IF($N308&gt;0,1/$N308,0),
IF(EV$44=2,0,VDB(1,0,$N308,INT(EV$44-2-1),MIN($N308,INT(EV$44-2-1)+1),$DC308,IF($DD308="No",1,0))/
IF(EC308&gt;=INT($N308),$N308-INT($N308),1)))*
IF(EV$44=2,0,
IF(INT(ED308)=INT(EC308),ED308-EC308,INT(ED308)-EC308))+
IF($N308&lt;=1,
IF($N308&gt;0,1/$N308,0),VDB(1,0,$N308,INT(EV$44-2),MIN($N308,INT(EV$44-2)+1),$DC308,IF($DD308="No",1,0))/
IF(ED308&gt;INT($N308),$N308-INT($N308),1))*
IF(EV$44=2,ED308,
IF(INT(ED308)=INT(EC308),0,ED308-INT(ED308)))))</f>
        <v>0</v>
      </c>
      <c r="EW308" s="833"/>
      <c r="EX308" s="834">
        <f t="shared" ca="1" si="513"/>
        <v>0</v>
      </c>
      <c r="EY308" s="835">
        <f t="shared" ca="1" si="513"/>
        <v>0</v>
      </c>
      <c r="EZ308" s="836">
        <f t="shared" ca="1" si="513"/>
        <v>0</v>
      </c>
      <c r="FA308" s="834">
        <f t="shared" ca="1" si="513"/>
        <v>0</v>
      </c>
      <c r="FB308" s="835">
        <f t="shared" ca="1" si="513"/>
        <v>0</v>
      </c>
      <c r="FC308" s="835">
        <f t="shared" ca="1" si="513"/>
        <v>0</v>
      </c>
      <c r="FD308" s="835">
        <f t="shared" ca="1" si="513"/>
        <v>0</v>
      </c>
      <c r="FE308" s="836">
        <f t="shared" ca="1" si="513"/>
        <v>0</v>
      </c>
      <c r="FG308" s="386">
        <f t="shared" ca="1" si="504"/>
        <v>0</v>
      </c>
      <c r="FH308" s="387">
        <f t="shared" ca="1" si="505"/>
        <v>0</v>
      </c>
      <c r="FI308" s="388">
        <f t="shared" ca="1" si="506"/>
        <v>0</v>
      </c>
      <c r="FJ308" s="386">
        <f t="shared" ca="1" si="507"/>
        <v>0</v>
      </c>
      <c r="FK308" s="387">
        <f t="shared" ca="1" si="508"/>
        <v>0</v>
      </c>
      <c r="FL308" s="387">
        <f t="shared" ca="1" si="509"/>
        <v>0</v>
      </c>
      <c r="FM308" s="387">
        <f t="shared" ca="1" si="510"/>
        <v>0</v>
      </c>
      <c r="FN308" s="388">
        <f t="shared" ca="1" si="511"/>
        <v>0</v>
      </c>
      <c r="FR308" s="116"/>
    </row>
    <row r="309" spans="2:174">
      <c r="B309" s="1410">
        <f t="shared" si="512"/>
        <v>263</v>
      </c>
      <c r="C309" s="400"/>
      <c r="D309" s="410"/>
      <c r="E309" s="402"/>
      <c r="F309" s="402"/>
      <c r="G309" s="400"/>
      <c r="H309" s="2088"/>
      <c r="I309" s="2089"/>
      <c r="J309" s="411"/>
      <c r="K309" s="403"/>
      <c r="L309" s="403"/>
      <c r="M309" s="403"/>
      <c r="N309" s="403"/>
      <c r="O309" s="347"/>
      <c r="P309" s="347"/>
      <c r="Q309" s="1021"/>
      <c r="R309" s="1022"/>
      <c r="S309" s="1022"/>
      <c r="T309" s="1022"/>
      <c r="U309" s="1023"/>
      <c r="V309" s="1021"/>
      <c r="W309" s="1022"/>
      <c r="X309" s="1022"/>
      <c r="Y309" s="1022"/>
      <c r="Z309" s="1023"/>
      <c r="AA309" s="1024"/>
      <c r="AB309" s="1021"/>
      <c r="AC309" s="1022"/>
      <c r="AD309" s="1022"/>
      <c r="AE309" s="1022"/>
      <c r="AF309" s="1023"/>
      <c r="AG309" s="1021"/>
      <c r="AH309" s="1022"/>
      <c r="AI309" s="1022"/>
      <c r="AJ309" s="1022"/>
      <c r="AK309" s="1023"/>
      <c r="AL309" s="1024"/>
      <c r="AM309" s="1021"/>
      <c r="AN309" s="1022"/>
      <c r="AO309" s="1022"/>
      <c r="AP309" s="1022"/>
      <c r="AQ309" s="1023"/>
      <c r="AR309" s="1021"/>
      <c r="AS309" s="1022"/>
      <c r="AT309" s="1022"/>
      <c r="AU309" s="1022"/>
      <c r="AV309" s="1023"/>
      <c r="AW309" s="1025"/>
      <c r="AX309" s="1282">
        <f t="shared" ref="AX309:BD313" si="514">+Q309-AB309-AM309</f>
        <v>0</v>
      </c>
      <c r="AY309" s="387">
        <f t="shared" si="514"/>
        <v>0</v>
      </c>
      <c r="AZ309" s="387">
        <f t="shared" si="514"/>
        <v>0</v>
      </c>
      <c r="BA309" s="387">
        <f t="shared" si="514"/>
        <v>0</v>
      </c>
      <c r="BB309" s="1283">
        <f t="shared" si="514"/>
        <v>0</v>
      </c>
      <c r="BC309" s="386">
        <f t="shared" si="514"/>
        <v>0</v>
      </c>
      <c r="BD309" s="387">
        <f t="shared" si="514"/>
        <v>0</v>
      </c>
      <c r="BE309" s="1277">
        <f t="shared" ref="BE309:BG313" si="515">+X309-AI309-AT309</f>
        <v>0</v>
      </c>
      <c r="BF309" s="1277">
        <f t="shared" si="515"/>
        <v>0</v>
      </c>
      <c r="BG309" s="388">
        <f t="shared" si="515"/>
        <v>0</v>
      </c>
      <c r="BH309" s="1025"/>
      <c r="BI309" s="1282">
        <f ca="1">IF($L309=0,0,
IF($L309&lt;=0.5,BT309,
IF($J309="straight line",
IF((LEFT(BI$43,4)*1)-INT($L309)&lt;LEFT($BI$43,4)*1,0,((OFFSET(BT309,0,-INT($L309+0.5),1,1))/$L309)*(IF($L309-INT($L309)&gt;0.5,$L309-0.5-INT($L309),IF($L309-INT($L309)&lt;=0.5,$L309-0.5-INT($L309)+1,0))))
+BT309/$L309*0.5,
IF($J309="Declining Balance",-$BI$42,0))))</f>
        <v>0</v>
      </c>
      <c r="BJ309" s="387">
        <f t="shared" ref="BJ309:BR313" ca="1" si="516">IF($L309=0,0,
IF($L309&lt;=0.5,BU309,
IF(AND($J309="straight line",$L309&lt;1.51),(BT309-((BT309/$L309)*0.5))+BU309/$L309*0.5,
IF($J309="straight line",
IF((LEFT(BJ$43,4)*1)-INT($L309)&lt;LEFT($BI$43,4)*1,0,((OFFSET(BU309,0,-INT($L309+0.5),1,1))/$L309)*(IF($L309-INT($L309)&gt;0.5,$L309-0.5-INT($L309),IF($L309-INT($L309)&lt;=0.5,$L309-0.5-INT($L309)+1,0))))
+BU309/$L309*0.5
+SUM(OFFSET(BU309,0,MAX(-INT($L309+(0.5-(10^-12))),-BJ$44)+1,1,MIN(INT($L309+(0.5-(10^-12))),BJ$44)-1))*1/$L309,
IF($J309="Declining Balance",-$BI$42,0)))))</f>
        <v>0</v>
      </c>
      <c r="BK309" s="387">
        <f t="shared" ca="1" si="516"/>
        <v>0</v>
      </c>
      <c r="BL309" s="387">
        <f t="shared" ca="1" si="516"/>
        <v>0</v>
      </c>
      <c r="BM309" s="1283">
        <f t="shared" ca="1" si="516"/>
        <v>0</v>
      </c>
      <c r="BN309" s="386">
        <f t="shared" ca="1" si="516"/>
        <v>0</v>
      </c>
      <c r="BO309" s="387">
        <f t="shared" ca="1" si="516"/>
        <v>0</v>
      </c>
      <c r="BP309" s="1277">
        <f t="shared" ca="1" si="516"/>
        <v>0</v>
      </c>
      <c r="BQ309" s="1277">
        <f t="shared" ca="1" si="516"/>
        <v>0</v>
      </c>
      <c r="BR309" s="388">
        <f t="shared" ca="1" si="516"/>
        <v>0</v>
      </c>
      <c r="BS309" s="1025"/>
      <c r="BT309" s="1282">
        <f>+IF($K309="Ongoing",AX309,IF(RIGHT($K309,2)=RIGHT(BT$43,2),SUM($AX309:AX309),0)+IF(RIGHT(BT$43,2)&gt;RIGHT($K309,2),AX309,0))</f>
        <v>0</v>
      </c>
      <c r="BU309" s="387">
        <f>+IF($K309="Ongoing",AY309,IF(RIGHT($K309,2)=RIGHT(BU$43,2),SUM($AX309:AY309),0)+IF(RIGHT(BU$43,2)&gt;RIGHT($K309,2),AY309,0))</f>
        <v>0</v>
      </c>
      <c r="BV309" s="387">
        <f>+IF($K309="Ongoing",AZ309,IF(RIGHT($K309,2)=RIGHT(BV$43,2),SUM($AX309:AZ309),0)+IF(RIGHT(BV$43,2)&gt;RIGHT($K309,2),AZ309,0))</f>
        <v>0</v>
      </c>
      <c r="BW309" s="387">
        <f>+IF($K309="Ongoing",BA309,IF(RIGHT($K309,2)=RIGHT(BW$43,2),SUM($AX309:BA309),0)+IF(RIGHT(BW$43,2)&gt;RIGHT($K309,2),BA309,0))</f>
        <v>0</v>
      </c>
      <c r="BX309" s="1283">
        <f>+IF($K309="Ongoing",BB309,IF(RIGHT($K309,2)=RIGHT(BX$43,2),SUM($AX309:BB309),0)+IF(RIGHT(BX$43,2)&gt;RIGHT($K309,2),BB309,0))</f>
        <v>0</v>
      </c>
      <c r="BY309" s="386">
        <f>+IF($K309="Ongoing",BC309,IF(RIGHT($K309,2)=RIGHT(BY$43,2),SUM($AX309:BC309),0)+IF(RIGHT(BY$43,2)&gt;RIGHT($K309,2),BC309,0))</f>
        <v>0</v>
      </c>
      <c r="BZ309" s="387">
        <f>+IF($K309="Ongoing",BD309,IF(RIGHT($K309,2)=RIGHT(BZ$43,2),SUM($AX309:BD309),0)+IF(RIGHT(BZ$43,2)&gt;RIGHT($K309,2),BD309,0))</f>
        <v>0</v>
      </c>
      <c r="CA309" s="1277">
        <f>+IF($K309="Ongoing",BE309,IF(RIGHT($K309,2)=RIGHT(CA$43,2),SUM($AX309:BE309),0)+IF(RIGHT(CA$43,2)&gt;RIGHT($K309,2),BE309,0))</f>
        <v>0</v>
      </c>
      <c r="CB309" s="1277">
        <f>+IF($K309="Ongoing",BF309,IF(RIGHT($K309,2)=RIGHT(CB$43,2),SUM($AX309:BF309),0)+IF(RIGHT(CB$43,2)&gt;RIGHT($K309,2),BF309,0))</f>
        <v>0</v>
      </c>
      <c r="CC309" s="388">
        <f>+IF($K309="Ongoing",BG309,IF(RIGHT($K309,2)=RIGHT(CC$43,2),SUM($AX309:BG309),0)+IF(RIGHT(CC$43,2)&gt;RIGHT($K309,2),BG309,0))</f>
        <v>0</v>
      </c>
      <c r="CD309" s="1025"/>
      <c r="CE309" s="1282">
        <f>+Q309*KeyAssumptionsPriceControl_FO!AF$15</f>
        <v>0</v>
      </c>
      <c r="CF309" s="387">
        <f>+R309*KeyAssumptionsPriceControl_FO!AG$15</f>
        <v>0</v>
      </c>
      <c r="CG309" s="387">
        <f>+S309*KeyAssumptionsPriceControl_FO!AH$15</f>
        <v>0</v>
      </c>
      <c r="CH309" s="387">
        <f>+T309*KeyAssumptionsPriceControl_FO!AI$15</f>
        <v>0</v>
      </c>
      <c r="CI309" s="1283">
        <f>+U309*KeyAssumptionsPriceControl_FO!AJ$15</f>
        <v>0</v>
      </c>
      <c r="CJ309" s="386">
        <f>+V309*KeyAssumptionsPriceControl_FO!AK$15</f>
        <v>0</v>
      </c>
      <c r="CK309" s="387">
        <f>+W309*KeyAssumptionsPriceControl_FO!AL$15</f>
        <v>0</v>
      </c>
      <c r="CL309" s="1277">
        <f>+X309*KeyAssumptionsPriceControl_FO!AM$15</f>
        <v>0</v>
      </c>
      <c r="CM309" s="1277">
        <f>+Y309*KeyAssumptionsPriceControl_FO!AN$15</f>
        <v>0</v>
      </c>
      <c r="CN309" s="388">
        <f>+Z309*KeyAssumptionsPriceControl_FO!AO$15</f>
        <v>0</v>
      </c>
      <c r="CO309" s="1025"/>
      <c r="CP309" s="1282">
        <f t="shared" ref="CP309:CY313" ca="1" si="517">IF($M309="straight line",IF($N309=0,0,
IF($N309&lt;=0.5,CE309,
IF($J309="straight line",
IF((LEFT(CP$43,4)*1)-INT($N309)&lt;LEFT($CP$43,4)*1,0,((OFFSET(CE309,0,-INT($N309+0.5),1,1))/$N309)*(IF($N309-INT($N309)&gt;0.5,$N309-0.5-INT($N309),IF($N309-INT($N309)&lt;=0.5,$N309-0.5-INT($N309)+1,0))))
+CE309/$N309*0.5,
IF($J309="Declining Balance",-$CP$42,0)))),IFERROR(FG309,0))</f>
        <v>0</v>
      </c>
      <c r="CQ309" s="387">
        <f t="shared" ca="1" si="517"/>
        <v>0</v>
      </c>
      <c r="CR309" s="387">
        <f t="shared" ca="1" si="517"/>
        <v>0</v>
      </c>
      <c r="CS309" s="387">
        <f t="shared" ca="1" si="517"/>
        <v>0</v>
      </c>
      <c r="CT309" s="1283">
        <f t="shared" ca="1" si="517"/>
        <v>0</v>
      </c>
      <c r="CU309" s="386">
        <f t="shared" ca="1" si="517"/>
        <v>0</v>
      </c>
      <c r="CV309" s="387">
        <f t="shared" ca="1" si="517"/>
        <v>0</v>
      </c>
      <c r="CW309" s="1277">
        <f t="shared" ca="1" si="517"/>
        <v>0</v>
      </c>
      <c r="CX309" s="1277">
        <f t="shared" ca="1" si="517"/>
        <v>0</v>
      </c>
      <c r="CY309" s="388">
        <f t="shared" ca="1" si="517"/>
        <v>0</v>
      </c>
      <c r="CZ309" s="347"/>
      <c r="DA309" s="852"/>
      <c r="DB309" s="347"/>
      <c r="DC309" s="1012" t="s">
        <v>517</v>
      </c>
      <c r="DD309" s="841" t="s">
        <v>518</v>
      </c>
      <c r="DE309" s="386">
        <f>+IF($K309="ongoing",CE309,IF(RIGHT($K309,2)=RIGHT(DE$43,2),SUM($CD309:CE309),0)+IF(RIGHT(DE$43,2)&gt;RIGHT($K309,2),CE309,0))</f>
        <v>0</v>
      </c>
      <c r="DF309" s="387">
        <f>+IF($K309="ongoing",CF309,IF(RIGHT($K309,2)=RIGHT(DF$43,2),SUM($CD309:CF309),0)+IF(RIGHT(DF$43,2)&gt;RIGHT($K309,2),CF309,0))</f>
        <v>0</v>
      </c>
      <c r="DG309" s="388">
        <f>+IF($K309="ongoing",CG309,IF(RIGHT($K309,2)=RIGHT(DG$43,2),SUM($CD309:CG309),0)+IF(RIGHT(DG$43,2)&gt;RIGHT($K309,2),CG309,0))</f>
        <v>0</v>
      </c>
      <c r="DH309" s="386">
        <f>+IF($K309="ongoing",CH309,IF(RIGHT($K309,2)=RIGHT(DH$43,2),SUM($CD309:CH309),0)+IF(RIGHT(DH$43,2)&gt;RIGHT($K309,2),CH309,0))</f>
        <v>0</v>
      </c>
      <c r="DI309" s="387">
        <f>+IF($K309="ongoing",CI309,IF(RIGHT($K309,2)=RIGHT(DI$43,2),SUM($CD309:CI309),0)+IF(RIGHT(DI$43,2)&gt;RIGHT($K309,2),CI309,0))</f>
        <v>0</v>
      </c>
      <c r="DJ309" s="387">
        <f>+IF($K309="ongoing",CJ309,IF(RIGHT($K309,2)=RIGHT(DJ$43,2),SUM($CD309:CJ309),0)+IF(RIGHT(DJ$43,2)&gt;RIGHT($K309,2),CJ309,0))</f>
        <v>0</v>
      </c>
      <c r="DK309" s="387">
        <f>+IF($K309="ongoing",CK309,IF(RIGHT($K309,2)=RIGHT(DK$43,2),SUM($CD309:CK309),0)+IF(RIGHT(DK$43,2)&gt;RIGHT($K309,2),CK309,0))</f>
        <v>0</v>
      </c>
      <c r="DL309" s="388">
        <f>+IF($K309="ongoing",CN309,IF(RIGHT($K309,2)=RIGHT(DL$43,2),SUM($CD309:CN309),0)+IF(RIGHT(DL$43,2)&gt;RIGHT($K309,2),CN309,0))</f>
        <v>0</v>
      </c>
      <c r="DM309" s="841"/>
      <c r="DN309" s="386">
        <f t="shared" ref="DN309:DU311" si="518">+MIN(IF($N309&lt;=$DC309,MIN($N309,1),$N309),IF(DN$44=1,0.5,DM309+1))</f>
        <v>0.5</v>
      </c>
      <c r="DO309" s="387">
        <f t="shared" si="518"/>
        <v>1</v>
      </c>
      <c r="DP309" s="388">
        <f t="shared" si="518"/>
        <v>1</v>
      </c>
      <c r="DQ309" s="386">
        <f t="shared" si="518"/>
        <v>1</v>
      </c>
      <c r="DR309" s="387">
        <f t="shared" si="518"/>
        <v>1</v>
      </c>
      <c r="DS309" s="387">
        <f t="shared" si="518"/>
        <v>1</v>
      </c>
      <c r="DT309" s="387">
        <f t="shared" si="518"/>
        <v>1</v>
      </c>
      <c r="DU309" s="388">
        <f t="shared" si="518"/>
        <v>1</v>
      </c>
      <c r="DW309" s="386">
        <f t="shared" ref="DW309:ED311" si="519">+IF(DW$44=1,0,MIN(IF($N309&lt;=$DC309,MIN($N309,1),$N309),IF(DW$44=2,0.5,DV309+1)))</f>
        <v>0</v>
      </c>
      <c r="DX309" s="387">
        <f t="shared" si="519"/>
        <v>0.5</v>
      </c>
      <c r="DY309" s="388">
        <f t="shared" si="519"/>
        <v>1</v>
      </c>
      <c r="DZ309" s="386">
        <f t="shared" si="519"/>
        <v>1</v>
      </c>
      <c r="EA309" s="387">
        <f t="shared" si="519"/>
        <v>1</v>
      </c>
      <c r="EB309" s="387">
        <f t="shared" si="519"/>
        <v>1</v>
      </c>
      <c r="EC309" s="387">
        <f t="shared" si="519"/>
        <v>1</v>
      </c>
      <c r="ED309" s="388">
        <f t="shared" si="519"/>
        <v>1</v>
      </c>
      <c r="EF309" s="834">
        <f>+IF(DN309=DM309,0,
IF(AND(EF$44&gt;1,DN309=$N309),1-SUM($EE309:EE309),
IF($N309&lt;=1,
IF($N309&gt;0,1/$N309,0),
IF(EF$44=1,0,VDB(1,0,$N309,INT(EF$44-1-1),MIN($N309,INT(EF$44-1-1)+1),$DC309,IF($DD309="No",1,0))/
IF(DM309&gt;=INT($N309),$N309-INT($N309),1)))*
IF(EF$44=1,0,
IF(INT(DN309)=INT(DM309),DN309-DM309,INT(DN309)-DM309))+
IF($N309&lt;=1,
IF($N309&gt;0,1/$N309,0),VDB(1,0,$N309,INT(EF$44-1),MIN($N309,INT(EF$44-1)+1),$DC309,IF($DD309="No",1,0))/
IF(DN309&gt;INT($N309),$N309-INT($N309),1))*
IF(EF$44=1,DN309,
IF(INT(DN309)=INT(DM309),0,DN309-INT(DN309)))))</f>
        <v>0</v>
      </c>
      <c r="EG309" s="835">
        <f>+IF(DO309=DN309,0,
IF(AND(EG$44&gt;1,DO309=$N309),1-SUM($EE309:EF309),
IF($N309&lt;=1,
IF($N309&gt;0,1/$N309,0),
IF(EG$44=1,0,VDB(1,0,$N309,INT(EG$44-1-1),MIN($N309,INT(EG$44-1-1)+1),$DC309,IF($DD309="No",1,0))/
IF(DN309&gt;=INT($N309),$N309-INT($N309),1)))*
IF(EG$44=1,0,
IF(INT(DO309)=INT(DN309),DO309-DN309,INT(DO309)-DN309))+
IF($N309&lt;=1,
IF($N309&gt;0,1/$N309,0),VDB(1,0,$N309,INT(EG$44-1),MIN($N309,INT(EG$44-1)+1),$DC309,IF($DD309="No",1,0))/
IF(DO309&gt;INT($N309),$N309-INT($N309),1))*
IF(EG$44=1,DO309,
IF(INT(DO309)=INT(DN309),0,DO309-INT(DO309)))))</f>
        <v>0</v>
      </c>
      <c r="EH309" s="836">
        <f>+IF(DP309=DO309,0,
IF(AND(EH$44&gt;1,DP309=$N309),1-SUM($EE309:EG309),
IF($N309&lt;=1,
IF($N309&gt;0,1/$N309,0),
IF(EH$44=1,0,VDB(1,0,$N309,INT(EH$44-1-1),MIN($N309,INT(EH$44-1-1)+1),$DC309,IF($DD309="No",1,0))/
IF(DO309&gt;=INT($N309),$N309-INT($N309),1)))*
IF(EH$44=1,0,
IF(INT(DP309)=INT(DO309),DP309-DO309,INT(DP309)-DO309))+
IF($N309&lt;=1,
IF($N309&gt;0,1/$N309,0),VDB(1,0,$N309,INT(EH$44-1),MIN($N309,INT(EH$44-1)+1),$DC309,IF($DD309="No",1,0))/
IF(DP309&gt;INT($N309),$N309-INT($N309),1))*
IF(EH$44=1,DP309,
IF(INT(DP309)=INT(DO309),0,DP309-INT(DP309)))))</f>
        <v>0</v>
      </c>
      <c r="EI309" s="834">
        <f>+IF(DQ309=DP309,0,
IF(AND(EI$44&gt;1,DQ309=$N309),1-SUM($EE309:EH309),
IF($N309&lt;=1,
IF($N309&gt;0,1/$N309,0),
IF(EI$44=1,0,VDB(1,0,$N309,INT(EI$44-1-1),MIN($N309,INT(EI$44-1-1)+1),$DC309,IF($DD309="No",1,0))/
IF(DP309&gt;=INT($N309),$N309-INT($N309),1)))*
IF(EI$44=1,0,
IF(INT(DQ309)=INT(DP309),DQ309-DP309,INT(DQ309)-DP309))+
IF($N309&lt;=1,
IF($N309&gt;0,1/$N309,0),VDB(1,0,$N309,INT(EI$44-1),MIN($N309,INT(EI$44-1)+1),$DC309,IF($DD309="No",1,0))/
IF(DQ309&gt;INT($N309),$N309-INT($N309),1))*
IF(EI$44=1,DQ309,
IF(INT(DQ309)=INT(DP309),0,DQ309-INT(DQ309)))))</f>
        <v>0</v>
      </c>
      <c r="EJ309" s="835">
        <f>+IF(DR309=DQ309,0,
IF(AND(EJ$44&gt;1,DR309=$N309),1-SUM($EE309:EI309),
IF($N309&lt;=1,
IF($N309&gt;0,1/$N309,0),
IF(EJ$44=1,0,VDB(1,0,$N309,INT(EJ$44-1-1),MIN($N309,INT(EJ$44-1-1)+1),$DC309,IF($DD309="No",1,0))/
IF(DQ309&gt;=INT($N309),$N309-INT($N309),1)))*
IF(EJ$44=1,0,
IF(INT(DR309)=INT(DQ309),DR309-DQ309,INT(DR309)-DQ309))+
IF($N309&lt;=1,
IF($N309&gt;0,1/$N309,0),VDB(1,0,$N309,INT(EJ$44-1),MIN($N309,INT(EJ$44-1)+1),$DC309,IF($DD309="No",1,0))/
IF(DR309&gt;INT($N309),$N309-INT($N309),1))*
IF(EJ$44=1,DR309,
IF(INT(DR309)=INT(DQ309),0,DR309-INT(DR309)))))</f>
        <v>0</v>
      </c>
      <c r="EK309" s="835">
        <f>+IF(DS309=DR309,0,
IF(AND(EK$44&gt;1,DS309=$N309),1-SUM($EE309:EJ309),
IF($N309&lt;=1,
IF($N309&gt;0,1/$N309,0),
IF(EK$44=1,0,VDB(1,0,$N309,INT(EK$44-1-1),MIN($N309,INT(EK$44-1-1)+1),$DC309,IF($DD309="No",1,0))/
IF(DR309&gt;=INT($N309),$N309-INT($N309),1)))*
IF(EK$44=1,0,
IF(INT(DS309)=INT(DR309),DS309-DR309,INT(DS309)-DR309))+
IF($N309&lt;=1,
IF($N309&gt;0,1/$N309,0),VDB(1,0,$N309,INT(EK$44-1),MIN($N309,INT(EK$44-1)+1),$DC309,IF($DD309="No",1,0))/
IF(DS309&gt;INT($N309),$N309-INT($N309),1))*
IF(EK$44=1,DS309,
IF(INT(DS309)=INT(DR309),0,DS309-INT(DS309)))))</f>
        <v>0</v>
      </c>
      <c r="EL309" s="835">
        <f>+IF(DT309=DS309,0,
IF(AND(EL$44&gt;1,DT309=$N309),1-SUM($EE309:EK309),
IF($N309&lt;=1,
IF($N309&gt;0,1/$N309,0),
IF(EL$44=1,0,VDB(1,0,$N309,INT(EL$44-1-1),MIN($N309,INT(EL$44-1-1)+1),$DC309,IF($DD309="No",1,0))/
IF(DS309&gt;=INT($N309),$N309-INT($N309),1)))*
IF(EL$44=1,0,
IF(INT(DT309)=INT(DS309),DT309-DS309,INT(DT309)-DS309))+
IF($N309&lt;=1,
IF($N309&gt;0,1/$N309,0),VDB(1,0,$N309,INT(EL$44-1),MIN($N309,INT(EL$44-1)+1),$DC309,IF($DD309="No",1,0))/
IF(DT309&gt;INT($N309),$N309-INT($N309),1))*
IF(EL$44=1,DT309,
IF(INT(DT309)=INT(DS309),0,DT309-INT(DT309)))))</f>
        <v>0</v>
      </c>
      <c r="EM309" s="836">
        <f>+IF(DU309=DT309,0,
IF(AND(EM$44&gt;1,DU309=$N309),1-SUM($EE309:EL309),
IF($N309&lt;=1,
IF($N309&gt;0,1/$N309,0),
IF(EM$44=1,0,VDB(1,0,$N309,INT(EM$44-1-1),MIN($N309,INT(EM$44-1-1)+1),$DC309,IF($DD309="No",1,0))/
IF(DT309&gt;=INT($N309),$N309-INT($N309),1)))*
IF(EM$44=1,0,
IF(INT(DU309)=INT(DT309),DU309-DT309,INT(DU309)-DT309))+
IF($N309&lt;=1,
IF($N309&gt;0,1/$N309,0),VDB(1,0,$N309,INT(EM$44-1),MIN($N309,INT(EM$44-1)+1),$DC309,IF($DD309="No",1,0))/
IF(DU309&gt;INT($N309),$N309-INT($N309),1))*
IF(EM$44=1,DU309,
IF(INT(DU309)=INT(DT309),0,DU309-INT(DU309)))))</f>
        <v>0</v>
      </c>
      <c r="EN309" s="833"/>
      <c r="EO309" s="834">
        <f>+IF(OR(DW309=DV309,EO$44=1),0,
IF(AND(EO$44&gt;1,DW309=$N309),1-SUM($EN309:EN309),
IF($N309&lt;=1,
IF($N309&gt;0,1/$N309,0),
IF(EO$44=2,0,VDB(1,0,$N309,INT(EO$44-2-1),MIN($N309,INT(EO$44-2-1)+1),$DC309,IF($DD309="No",1,0))/
IF(DV309&gt;=INT($N309),$N309-INT($N309),1)))*
IF(EO$44=2,0,
IF(INT(DW309)=INT(DV309),DW309-DV309,INT(DW309)-DV309))+
IF($N309&lt;=1,
IF($N309&gt;0,1/$N309,0),VDB(1,0,$N309,INT(EO$44-2),MIN($N309,INT(EO$44-2)+1),$DC309,IF($DD309="No",1,0))/
IF(DW309&gt;INT($N309),$N309-INT($N309),1))*
IF(EO$44=2,DW309,
IF(INT(DW309)=INT(DV309),0,DW309-INT(DW309)))))</f>
        <v>0</v>
      </c>
      <c r="EP309" s="835">
        <f>+IF(OR(DX309=DW309,EP$44=1),0,
IF(AND(EP$44&gt;1,DX309=$N309),1-SUM($EN309:EO309),
IF($N309&lt;=1,
IF($N309&gt;0,1/$N309,0),
IF(EP$44=2,0,VDB(1,0,$N309,INT(EP$44-2-1),MIN($N309,INT(EP$44-2-1)+1),$DC309,IF($DD309="No",1,0))/
IF(DW309&gt;=INT($N309),$N309-INT($N309),1)))*
IF(EP$44=2,0,
IF(INT(DX309)=INT(DW309),DX309-DW309,INT(DX309)-DW309))+
IF($N309&lt;=1,
IF($N309&gt;0,1/$N309,0),VDB(1,0,$N309,INT(EP$44-2),MIN($N309,INT(EP$44-2)+1),$DC309,IF($DD309="No",1,0))/
IF(DX309&gt;INT($N309),$N309-INT($N309),1))*
IF(EP$44=2,DX309,
IF(INT(DX309)=INT(DW309),0,DX309-INT(DX309)))))</f>
        <v>0</v>
      </c>
      <c r="EQ309" s="836">
        <f>+IF(OR(DY309=DX309,EQ$44=1),0,
IF(AND(EQ$44&gt;1,DY309=$N309),1-SUM($EN309:EP309),
IF($N309&lt;=1,
IF($N309&gt;0,1/$N309,0),
IF(EQ$44=2,0,VDB(1,0,$N309,INT(EQ$44-2-1),MIN($N309,INT(EQ$44-2-1)+1),$DC309,IF($DD309="No",1,0))/
IF(DX309&gt;=INT($N309),$N309-INT($N309),1)))*
IF(EQ$44=2,0,
IF(INT(DY309)=INT(DX309),DY309-DX309,INT(DY309)-DX309))+
IF($N309&lt;=1,
IF($N309&gt;0,1/$N309,0),VDB(1,0,$N309,INT(EQ$44-2),MIN($N309,INT(EQ$44-2)+1),$DC309,IF($DD309="No",1,0))/
IF(DY309&gt;INT($N309),$N309-INT($N309),1))*
IF(EQ$44=2,DY309,
IF(INT(DY309)=INT(DX309),0,DY309-INT(DY309)))))</f>
        <v>0</v>
      </c>
      <c r="ER309" s="834">
        <f>+IF(OR(DZ309=DY309,ER$44=1),0,
IF(AND(ER$44&gt;1,DZ309=$N309),1-SUM($EN309:EQ309),
IF($N309&lt;=1,
IF($N309&gt;0,1/$N309,0),
IF(ER$44=2,0,VDB(1,0,$N309,INT(ER$44-2-1),MIN($N309,INT(ER$44-2-1)+1),$DC309,IF($DD309="No",1,0))/
IF(DY309&gt;=INT($N309),$N309-INT($N309),1)))*
IF(ER$44=2,0,
IF(INT(DZ309)=INT(DY309),DZ309-DY309,INT(DZ309)-DY309))+
IF($N309&lt;=1,
IF($N309&gt;0,1/$N309,0),VDB(1,0,$N309,INT(ER$44-2),MIN($N309,INT(ER$44-2)+1),$DC309,IF($DD309="No",1,0))/
IF(DZ309&gt;INT($N309),$N309-INT($N309),1))*
IF(ER$44=2,DZ309,
IF(INT(DZ309)=INT(DY309),0,DZ309-INT(DZ309)))))</f>
        <v>0</v>
      </c>
      <c r="ES309" s="835">
        <f>+IF(OR(EA309=DZ309,ES$44=1),0,
IF(AND(ES$44&gt;1,EA309=$N309),1-SUM($EN309:ER309),
IF($N309&lt;=1,
IF($N309&gt;0,1/$N309,0),
IF(ES$44=2,0,VDB(1,0,$N309,INT(ES$44-2-1),MIN($N309,INT(ES$44-2-1)+1),$DC309,IF($DD309="No",1,0))/
IF(DZ309&gt;=INT($N309),$N309-INT($N309),1)))*
IF(ES$44=2,0,
IF(INT(EA309)=INT(DZ309),EA309-DZ309,INT(EA309)-DZ309))+
IF($N309&lt;=1,
IF($N309&gt;0,1/$N309,0),VDB(1,0,$N309,INT(ES$44-2),MIN($N309,INT(ES$44-2)+1),$DC309,IF($DD309="No",1,0))/
IF(EA309&gt;INT($N309),$N309-INT($N309),1))*
IF(ES$44=2,EA309,
IF(INT(EA309)=INT(DZ309),0,EA309-INT(EA309)))))</f>
        <v>0</v>
      </c>
      <c r="ET309" s="835">
        <f>+IF(OR(EB309=EA309,ET$44=1),0,
IF(AND(ET$44&gt;1,EB309=$N309),1-SUM($EN309:ES309),
IF($N309&lt;=1,
IF($N309&gt;0,1/$N309,0),
IF(ET$44=2,0,VDB(1,0,$N309,INT(ET$44-2-1),MIN($N309,INT(ET$44-2-1)+1),$DC309,IF($DD309="No",1,0))/
IF(EA309&gt;=INT($N309),$N309-INT($N309),1)))*
IF(ET$44=2,0,
IF(INT(EB309)=INT(EA309),EB309-EA309,INT(EB309)-EA309))+
IF($N309&lt;=1,
IF($N309&gt;0,1/$N309,0),VDB(1,0,$N309,INT(ET$44-2),MIN($N309,INT(ET$44-2)+1),$DC309,IF($DD309="No",1,0))/
IF(EB309&gt;INT($N309),$N309-INT($N309),1))*
IF(ET$44=2,EB309,
IF(INT(EB309)=INT(EA309),0,EB309-INT(EB309)))))</f>
        <v>0</v>
      </c>
      <c r="EU309" s="835">
        <f>+IF(OR(EC309=EB309,EU$44=1),0,
IF(AND(EU$44&gt;1,EC309=$N309),1-SUM($EN309:ET309),
IF($N309&lt;=1,
IF($N309&gt;0,1/$N309,0),
IF(EU$44=2,0,VDB(1,0,$N309,INT(EU$44-2-1),MIN($N309,INT(EU$44-2-1)+1),$DC309,IF($DD309="No",1,0))/
IF(EB309&gt;=INT($N309),$N309-INT($N309),1)))*
IF(EU$44=2,0,
IF(INT(EC309)=INT(EB309),EC309-EB309,INT(EC309)-EB309))+
IF($N309&lt;=1,
IF($N309&gt;0,1/$N309,0),VDB(1,0,$N309,INT(EU$44-2),MIN($N309,INT(EU$44-2)+1),$DC309,IF($DD309="No",1,0))/
IF(EC309&gt;INT($N309),$N309-INT($N309),1))*
IF(EU$44=2,EC309,
IF(INT(EC309)=INT(EB309),0,EC309-INT(EC309)))))</f>
        <v>0</v>
      </c>
      <c r="EV309" s="836">
        <f>+IF(OR(ED309=EC309,EV$44=1),0,
IF(AND(EV$44&gt;1,ED309=$N309),1-SUM($EN309:EU309),
IF($N309&lt;=1,
IF($N309&gt;0,1/$N309,0),
IF(EV$44=2,0,VDB(1,0,$N309,INT(EV$44-2-1),MIN($N309,INT(EV$44-2-1)+1),$DC309,IF($DD309="No",1,0))/
IF(EC309&gt;=INT($N309),$N309-INT($N309),1)))*
IF(EV$44=2,0,
IF(INT(ED309)=INT(EC309),ED309-EC309,INT(ED309)-EC309))+
IF($N309&lt;=1,
IF($N309&gt;0,1/$N309,0),VDB(1,0,$N309,INT(EV$44-2),MIN($N309,INT(EV$44-2)+1),$DC309,IF($DD309="No",1,0))/
IF(ED309&gt;INT($N309),$N309-INT($N309),1))*
IF(EV$44=2,ED309,
IF(INT(ED309)=INT(EC309),0,ED309-INT(ED309)))))</f>
        <v>0</v>
      </c>
      <c r="EW309" s="833"/>
      <c r="EX309" s="834">
        <f t="shared" ref="EX309:FE311" ca="1" si="520">+OFFSET($EO309,0,MAX($EX$44:$HY$44)-EX$44)</f>
        <v>0</v>
      </c>
      <c r="EY309" s="835">
        <f t="shared" ca="1" si="520"/>
        <v>0</v>
      </c>
      <c r="EZ309" s="836">
        <f t="shared" ca="1" si="520"/>
        <v>0</v>
      </c>
      <c r="FA309" s="834">
        <f t="shared" ca="1" si="520"/>
        <v>0</v>
      </c>
      <c r="FB309" s="835">
        <f t="shared" ca="1" si="520"/>
        <v>0</v>
      </c>
      <c r="FC309" s="835">
        <f t="shared" ca="1" si="520"/>
        <v>0</v>
      </c>
      <c r="FD309" s="835">
        <f t="shared" ca="1" si="520"/>
        <v>0</v>
      </c>
      <c r="FE309" s="836">
        <f t="shared" ca="1" si="520"/>
        <v>0</v>
      </c>
      <c r="FG309" s="386">
        <f t="shared" ref="FG309:FG339" ca="1" si="521">-(-$DE309*(-ISBLANK($DE309)+1)*EF309-
IF(FG$44&gt;1,SUMPRODUCT(OFFSET($DF309,0,0,1,FG$44-1)*(-ISBLANK(OFFSET($DF309,0,0,1,FG$44-1))+1),OFFSET($EX309,0,MAX($FG$44:$HY$44)-FG$44,1,FG$44-1)),0))</f>
        <v>0</v>
      </c>
      <c r="FH309" s="387">
        <f t="shared" ref="FH309:FH339" ca="1" si="522">-(-$DE309*(-ISBLANK($DE309)+1)*EG309-
IF(FH$44&gt;1,SUMPRODUCT(OFFSET($DF309,0,0,1,FH$44-1)*(-ISBLANK(OFFSET($DF309,0,0,1,FH$44-1))+1),OFFSET($EX309,0,MAX($FG$44:$HY$44)-FH$44,1,FH$44-1)),0))</f>
        <v>0</v>
      </c>
      <c r="FI309" s="388">
        <f t="shared" ref="FI309:FI339" ca="1" si="523">-(-$DE309*(-ISBLANK($DE309)+1)*EH309-
IF(FI$44&gt;1,SUMPRODUCT(OFFSET($DF309,0,0,1,FI$44-1)*(-ISBLANK(OFFSET($DF309,0,0,1,FI$44-1))+1),OFFSET($EX309,0,MAX($FG$44:$HY$44)-FI$44,1,FI$44-1)),0))</f>
        <v>0</v>
      </c>
      <c r="FJ309" s="386">
        <f t="shared" ref="FJ309:FJ339" ca="1" si="524">-(-$DE309*(-ISBLANK($DE309)+1)*EI309-
IF(FJ$44&gt;1,SUMPRODUCT(OFFSET($DF309,0,0,1,FJ$44-1)*(-ISBLANK(OFFSET($DF309,0,0,1,FJ$44-1))+1),OFFSET($EX309,0,MAX($FG$44:$HY$44)-FJ$44,1,FJ$44-1)),0))</f>
        <v>0</v>
      </c>
      <c r="FK309" s="387">
        <f t="shared" ref="FK309:FK339" ca="1" si="525">-(-$DE309*(-ISBLANK($DE309)+1)*EJ309-
IF(FK$44&gt;1,SUMPRODUCT(OFFSET($DF309,0,0,1,FK$44-1)*(-ISBLANK(OFFSET($DF309,0,0,1,FK$44-1))+1),OFFSET($EX309,0,MAX($FG$44:$HY$44)-FK$44,1,FK$44-1)),0))</f>
        <v>0</v>
      </c>
      <c r="FL309" s="387">
        <f t="shared" ref="FL309:FL339" ca="1" si="526">-(-$DE309*(-ISBLANK($DE309)+1)*EK309-
IF(FL$44&gt;1,SUMPRODUCT(OFFSET($DF309,0,0,1,FL$44-1)*(-ISBLANK(OFFSET($DF309,0,0,1,FL$44-1))+1),OFFSET($EX309,0,MAX($FG$44:$HY$44)-FL$44,1,FL$44-1)),0))</f>
        <v>0</v>
      </c>
      <c r="FM309" s="387">
        <f t="shared" ref="FM309:FM339" ca="1" si="527">-(-$DE309*(-ISBLANK($DE309)+1)*EL309-
IF(FM$44&gt;1,SUMPRODUCT(OFFSET($DF309,0,0,1,FM$44-1)*(-ISBLANK(OFFSET($DF309,0,0,1,FM$44-1))+1),OFFSET($EX309,0,MAX($FG$44:$HY$44)-FM$44,1,FM$44-1)),0))</f>
        <v>0</v>
      </c>
      <c r="FN309" s="388">
        <f t="shared" ref="FN309:FN339" ca="1" si="528">-(-$DE309*(-ISBLANK($DE309)+1)*EM309-
IF(FN$44&gt;1,SUMPRODUCT(OFFSET($DF309,0,0,1,FN$44-1)*(-ISBLANK(OFFSET($DF309,0,0,1,FN$44-1))+1),OFFSET($EX309,0,MAX($FG$44:$HY$44)-FN$44,1,FN$44-1)),0))</f>
        <v>0</v>
      </c>
      <c r="FR309" s="116"/>
    </row>
    <row r="310" spans="2:174">
      <c r="B310" s="1410">
        <f t="shared" si="512"/>
        <v>264</v>
      </c>
      <c r="C310" s="400"/>
      <c r="D310" s="410"/>
      <c r="E310" s="402"/>
      <c r="F310" s="402"/>
      <c r="G310" s="400"/>
      <c r="H310" s="2088"/>
      <c r="I310" s="2089"/>
      <c r="J310" s="411"/>
      <c r="K310" s="403"/>
      <c r="L310" s="403"/>
      <c r="M310" s="403"/>
      <c r="N310" s="403"/>
      <c r="O310" s="347"/>
      <c r="P310" s="347"/>
      <c r="Q310" s="1021"/>
      <c r="R310" s="1022"/>
      <c r="S310" s="1022"/>
      <c r="T310" s="1022"/>
      <c r="U310" s="1023"/>
      <c r="V310" s="1021"/>
      <c r="W310" s="1022"/>
      <c r="X310" s="1022"/>
      <c r="Y310" s="1022"/>
      <c r="Z310" s="1023"/>
      <c r="AA310" s="1024"/>
      <c r="AB310" s="1021"/>
      <c r="AC310" s="1022"/>
      <c r="AD310" s="1022"/>
      <c r="AE310" s="1022"/>
      <c r="AF310" s="1023"/>
      <c r="AG310" s="1021"/>
      <c r="AH310" s="1022"/>
      <c r="AI310" s="1022"/>
      <c r="AJ310" s="1022"/>
      <c r="AK310" s="1023"/>
      <c r="AL310" s="1024"/>
      <c r="AM310" s="1021"/>
      <c r="AN310" s="1022"/>
      <c r="AO310" s="1022"/>
      <c r="AP310" s="1022"/>
      <c r="AQ310" s="1023"/>
      <c r="AR310" s="1021"/>
      <c r="AS310" s="1022"/>
      <c r="AT310" s="1022"/>
      <c r="AU310" s="1022"/>
      <c r="AV310" s="1023"/>
      <c r="AW310" s="1025"/>
      <c r="AX310" s="1282">
        <f t="shared" si="514"/>
        <v>0</v>
      </c>
      <c r="AY310" s="387">
        <f t="shared" si="514"/>
        <v>0</v>
      </c>
      <c r="AZ310" s="387">
        <f t="shared" si="514"/>
        <v>0</v>
      </c>
      <c r="BA310" s="387">
        <f t="shared" si="514"/>
        <v>0</v>
      </c>
      <c r="BB310" s="1283">
        <f t="shared" si="514"/>
        <v>0</v>
      </c>
      <c r="BC310" s="386">
        <f t="shared" si="514"/>
        <v>0</v>
      </c>
      <c r="BD310" s="387">
        <f t="shared" si="514"/>
        <v>0</v>
      </c>
      <c r="BE310" s="1277">
        <f t="shared" si="515"/>
        <v>0</v>
      </c>
      <c r="BF310" s="1277">
        <f t="shared" si="515"/>
        <v>0</v>
      </c>
      <c r="BG310" s="388">
        <f t="shared" si="515"/>
        <v>0</v>
      </c>
      <c r="BH310" s="1025"/>
      <c r="BI310" s="1282">
        <f ca="1">IF($L310=0,0,
IF($L310&lt;=0.5,BT310,
IF($J310="straight line",
IF((LEFT(BI$43,4)*1)-INT($L310)&lt;LEFT($BI$43,4)*1,0,((OFFSET(BT310,0,-INT($L310+0.5),1,1))/$L310)*(IF($L310-INT($L310)&gt;0.5,$L310-0.5-INT($L310),IF($L310-INT($L310)&lt;=0.5,$L310-0.5-INT($L310)+1,0))))
+BT310/$L310*0.5,
IF($J310="Declining Balance",-$BI$42,0))))</f>
        <v>0</v>
      </c>
      <c r="BJ310" s="387">
        <f t="shared" ca="1" si="516"/>
        <v>0</v>
      </c>
      <c r="BK310" s="387">
        <f t="shared" ca="1" si="516"/>
        <v>0</v>
      </c>
      <c r="BL310" s="387">
        <f t="shared" ca="1" si="516"/>
        <v>0</v>
      </c>
      <c r="BM310" s="1283">
        <f t="shared" ca="1" si="516"/>
        <v>0</v>
      </c>
      <c r="BN310" s="386">
        <f t="shared" ca="1" si="516"/>
        <v>0</v>
      </c>
      <c r="BO310" s="387">
        <f t="shared" ca="1" si="516"/>
        <v>0</v>
      </c>
      <c r="BP310" s="1277">
        <f t="shared" ca="1" si="516"/>
        <v>0</v>
      </c>
      <c r="BQ310" s="1277">
        <f t="shared" ca="1" si="516"/>
        <v>0</v>
      </c>
      <c r="BR310" s="388">
        <f t="shared" ca="1" si="516"/>
        <v>0</v>
      </c>
      <c r="BS310" s="1025"/>
      <c r="BT310" s="1282">
        <f>+IF($K310="Ongoing",AX310,IF(RIGHT($K310,2)=RIGHT(BT$43,2),SUM($AX310:AX310),0)+IF(RIGHT(BT$43,2)&gt;RIGHT($K310,2),AX310,0))</f>
        <v>0</v>
      </c>
      <c r="BU310" s="387">
        <f>+IF($K310="Ongoing",AY310,IF(RIGHT($K310,2)=RIGHT(BU$43,2),SUM($AX310:AY310),0)+IF(RIGHT(BU$43,2)&gt;RIGHT($K310,2),AY310,0))</f>
        <v>0</v>
      </c>
      <c r="BV310" s="387">
        <f>+IF($K310="Ongoing",AZ310,IF(RIGHT($K310,2)=RIGHT(BV$43,2),SUM($AX310:AZ310),0)+IF(RIGHT(BV$43,2)&gt;RIGHT($K310,2),AZ310,0))</f>
        <v>0</v>
      </c>
      <c r="BW310" s="387">
        <f>+IF($K310="Ongoing",BA310,IF(RIGHT($K310,2)=RIGHT(BW$43,2),SUM($AX310:BA310),0)+IF(RIGHT(BW$43,2)&gt;RIGHT($K310,2),BA310,0))</f>
        <v>0</v>
      </c>
      <c r="BX310" s="1283">
        <f>+IF($K310="Ongoing",BB310,IF(RIGHT($K310,2)=RIGHT(BX$43,2),SUM($AX310:BB310),0)+IF(RIGHT(BX$43,2)&gt;RIGHT($K310,2),BB310,0))</f>
        <v>0</v>
      </c>
      <c r="BY310" s="386">
        <f>+IF($K310="Ongoing",BC310,IF(RIGHT($K310,2)=RIGHT(BY$43,2),SUM($AX310:BC310),0)+IF(RIGHT(BY$43,2)&gt;RIGHT($K310,2),BC310,0))</f>
        <v>0</v>
      </c>
      <c r="BZ310" s="387">
        <f>+IF($K310="Ongoing",BD310,IF(RIGHT($K310,2)=RIGHT(BZ$43,2),SUM($AX310:BD310),0)+IF(RIGHT(BZ$43,2)&gt;RIGHT($K310,2),BD310,0))</f>
        <v>0</v>
      </c>
      <c r="CA310" s="1277">
        <f>+IF($K310="Ongoing",BE310,IF(RIGHT($K310,2)=RIGHT(CA$43,2),SUM($AX310:BE310),0)+IF(RIGHT(CA$43,2)&gt;RIGHT($K310,2),BE310,0))</f>
        <v>0</v>
      </c>
      <c r="CB310" s="1277">
        <f>+IF($K310="Ongoing",BF310,IF(RIGHT($K310,2)=RIGHT(CB$43,2),SUM($AX310:BF310),0)+IF(RIGHT(CB$43,2)&gt;RIGHT($K310,2),BF310,0))</f>
        <v>0</v>
      </c>
      <c r="CC310" s="388">
        <f>+IF($K310="Ongoing",BG310,IF(RIGHT($K310,2)=RIGHT(CC$43,2),SUM($AX310:BG310),0)+IF(RIGHT(CC$43,2)&gt;RIGHT($K310,2),BG310,0))</f>
        <v>0</v>
      </c>
      <c r="CD310" s="1025"/>
      <c r="CE310" s="1282">
        <f>+Q310*KeyAssumptionsPriceControl_FO!AF$15</f>
        <v>0</v>
      </c>
      <c r="CF310" s="387">
        <f>+R310*KeyAssumptionsPriceControl_FO!AG$15</f>
        <v>0</v>
      </c>
      <c r="CG310" s="387">
        <f>+S310*KeyAssumptionsPriceControl_FO!AH$15</f>
        <v>0</v>
      </c>
      <c r="CH310" s="387">
        <f>+T310*KeyAssumptionsPriceControl_FO!AI$15</f>
        <v>0</v>
      </c>
      <c r="CI310" s="1283">
        <f>+U310*KeyAssumptionsPriceControl_FO!AJ$15</f>
        <v>0</v>
      </c>
      <c r="CJ310" s="386">
        <f>+V310*KeyAssumptionsPriceControl_FO!AK$15</f>
        <v>0</v>
      </c>
      <c r="CK310" s="387">
        <f>+W310*KeyAssumptionsPriceControl_FO!AL$15</f>
        <v>0</v>
      </c>
      <c r="CL310" s="1277">
        <f>+X310*KeyAssumptionsPriceControl_FO!AM$15</f>
        <v>0</v>
      </c>
      <c r="CM310" s="1277">
        <f>+Y310*KeyAssumptionsPriceControl_FO!AN$15</f>
        <v>0</v>
      </c>
      <c r="CN310" s="388">
        <f>+Z310*KeyAssumptionsPriceControl_FO!AO$15</f>
        <v>0</v>
      </c>
      <c r="CO310" s="1025"/>
      <c r="CP310" s="1282">
        <f t="shared" ca="1" si="517"/>
        <v>0</v>
      </c>
      <c r="CQ310" s="387">
        <f t="shared" ca="1" si="517"/>
        <v>0</v>
      </c>
      <c r="CR310" s="387">
        <f t="shared" ca="1" si="517"/>
        <v>0</v>
      </c>
      <c r="CS310" s="387">
        <f t="shared" ca="1" si="517"/>
        <v>0</v>
      </c>
      <c r="CT310" s="1283">
        <f t="shared" ca="1" si="517"/>
        <v>0</v>
      </c>
      <c r="CU310" s="386">
        <f t="shared" ca="1" si="517"/>
        <v>0</v>
      </c>
      <c r="CV310" s="387">
        <f t="shared" ca="1" si="517"/>
        <v>0</v>
      </c>
      <c r="CW310" s="1277">
        <f t="shared" ca="1" si="517"/>
        <v>0</v>
      </c>
      <c r="CX310" s="1277">
        <f t="shared" ca="1" si="517"/>
        <v>0</v>
      </c>
      <c r="CY310" s="388">
        <f t="shared" ca="1" si="517"/>
        <v>0</v>
      </c>
      <c r="CZ310" s="347"/>
      <c r="DA310" s="852"/>
      <c r="DB310" s="347"/>
      <c r="DC310" s="1012" t="s">
        <v>517</v>
      </c>
      <c r="DD310" s="841" t="s">
        <v>518</v>
      </c>
      <c r="DE310" s="386">
        <f>+IF($K310="ongoing",CE310,IF(RIGHT($K310,2)=RIGHT(DE$43,2),SUM($CD310:CE310),0)+IF(RIGHT(DE$43,2)&gt;RIGHT($K310,2),CE310,0))</f>
        <v>0</v>
      </c>
      <c r="DF310" s="387">
        <f>+IF($K310="ongoing",CF310,IF(RIGHT($K310,2)=RIGHT(DF$43,2),SUM($CD310:CF310),0)+IF(RIGHT(DF$43,2)&gt;RIGHT($K310,2),CF310,0))</f>
        <v>0</v>
      </c>
      <c r="DG310" s="388">
        <f>+IF($K310="ongoing",CG310,IF(RIGHT($K310,2)=RIGHT(DG$43,2),SUM($CD310:CG310),0)+IF(RIGHT(DG$43,2)&gt;RIGHT($K310,2),CG310,0))</f>
        <v>0</v>
      </c>
      <c r="DH310" s="386">
        <f>+IF($K310="ongoing",CH310,IF(RIGHT($K310,2)=RIGHT(DH$43,2),SUM($CD310:CH310),0)+IF(RIGHT(DH$43,2)&gt;RIGHT($K310,2),CH310,0))</f>
        <v>0</v>
      </c>
      <c r="DI310" s="387">
        <f>+IF($K310="ongoing",CI310,IF(RIGHT($K310,2)=RIGHT(DI$43,2),SUM($CD310:CI310),0)+IF(RIGHT(DI$43,2)&gt;RIGHT($K310,2),CI310,0))</f>
        <v>0</v>
      </c>
      <c r="DJ310" s="387">
        <f>+IF($K310="ongoing",CJ310,IF(RIGHT($K310,2)=RIGHT(DJ$43,2),SUM($CD310:CJ310),0)+IF(RIGHT(DJ$43,2)&gt;RIGHT($K310,2),CJ310,0))</f>
        <v>0</v>
      </c>
      <c r="DK310" s="387">
        <f>+IF($K310="ongoing",CK310,IF(RIGHT($K310,2)=RIGHT(DK$43,2),SUM($CD310:CK310),0)+IF(RIGHT(DK$43,2)&gt;RIGHT($K310,2),CK310,0))</f>
        <v>0</v>
      </c>
      <c r="DL310" s="388">
        <f>+IF($K310="ongoing",CN310,IF(RIGHT($K310,2)=RIGHT(DL$43,2),SUM($CD310:CN310),0)+IF(RIGHT(DL$43,2)&gt;RIGHT($K310,2),CN310,0))</f>
        <v>0</v>
      </c>
      <c r="DM310" s="841"/>
      <c r="DN310" s="386">
        <f t="shared" si="518"/>
        <v>0.5</v>
      </c>
      <c r="DO310" s="387">
        <f t="shared" si="518"/>
        <v>1</v>
      </c>
      <c r="DP310" s="388">
        <f t="shared" si="518"/>
        <v>1</v>
      </c>
      <c r="DQ310" s="386">
        <f t="shared" si="518"/>
        <v>1</v>
      </c>
      <c r="DR310" s="387">
        <f t="shared" si="518"/>
        <v>1</v>
      </c>
      <c r="DS310" s="387">
        <f t="shared" si="518"/>
        <v>1</v>
      </c>
      <c r="DT310" s="387">
        <f t="shared" si="518"/>
        <v>1</v>
      </c>
      <c r="DU310" s="388">
        <f t="shared" si="518"/>
        <v>1</v>
      </c>
      <c r="DW310" s="386">
        <f t="shared" si="519"/>
        <v>0</v>
      </c>
      <c r="DX310" s="387">
        <f t="shared" si="519"/>
        <v>0.5</v>
      </c>
      <c r="DY310" s="388">
        <f t="shared" si="519"/>
        <v>1</v>
      </c>
      <c r="DZ310" s="386">
        <f t="shared" si="519"/>
        <v>1</v>
      </c>
      <c r="EA310" s="387">
        <f t="shared" si="519"/>
        <v>1</v>
      </c>
      <c r="EB310" s="387">
        <f t="shared" si="519"/>
        <v>1</v>
      </c>
      <c r="EC310" s="387">
        <f t="shared" si="519"/>
        <v>1</v>
      </c>
      <c r="ED310" s="388">
        <f t="shared" si="519"/>
        <v>1</v>
      </c>
      <c r="EF310" s="834">
        <f>+IF(DN310=DM310,0,
IF(AND(EF$44&gt;1,DN310=$N310),1-SUM($EE310:EE310),
IF($N310&lt;=1,
IF($N310&gt;0,1/$N310,0),
IF(EF$44=1,0,VDB(1,0,$N310,INT(EF$44-1-1),MIN($N310,INT(EF$44-1-1)+1),$DC310,IF($DD310="No",1,0))/
IF(DM310&gt;=INT($N310),$N310-INT($N310),1)))*
IF(EF$44=1,0,
IF(INT(DN310)=INT(DM310),DN310-DM310,INT(DN310)-DM310))+
IF($N310&lt;=1,
IF($N310&gt;0,1/$N310,0),VDB(1,0,$N310,INT(EF$44-1),MIN($N310,INT(EF$44-1)+1),$DC310,IF($DD310="No",1,0))/
IF(DN310&gt;INT($N310),$N310-INT($N310),1))*
IF(EF$44=1,DN310,
IF(INT(DN310)=INT(DM310),0,DN310-INT(DN310)))))</f>
        <v>0</v>
      </c>
      <c r="EG310" s="835">
        <f>+IF(DO310=DN310,0,
IF(AND(EG$44&gt;1,DO310=$N310),1-SUM($EE310:EF310),
IF($N310&lt;=1,
IF($N310&gt;0,1/$N310,0),
IF(EG$44=1,0,VDB(1,0,$N310,INT(EG$44-1-1),MIN($N310,INT(EG$44-1-1)+1),$DC310,IF($DD310="No",1,0))/
IF(DN310&gt;=INT($N310),$N310-INT($N310),1)))*
IF(EG$44=1,0,
IF(INT(DO310)=INT(DN310),DO310-DN310,INT(DO310)-DN310))+
IF($N310&lt;=1,
IF($N310&gt;0,1/$N310,0),VDB(1,0,$N310,INT(EG$44-1),MIN($N310,INT(EG$44-1)+1),$DC310,IF($DD310="No",1,0))/
IF(DO310&gt;INT($N310),$N310-INT($N310),1))*
IF(EG$44=1,DO310,
IF(INT(DO310)=INT(DN310),0,DO310-INT(DO310)))))</f>
        <v>0</v>
      </c>
      <c r="EH310" s="836">
        <f>+IF(DP310=DO310,0,
IF(AND(EH$44&gt;1,DP310=$N310),1-SUM($EE310:EG310),
IF($N310&lt;=1,
IF($N310&gt;0,1/$N310,0),
IF(EH$44=1,0,VDB(1,0,$N310,INT(EH$44-1-1),MIN($N310,INT(EH$44-1-1)+1),$DC310,IF($DD310="No",1,0))/
IF(DO310&gt;=INT($N310),$N310-INT($N310),1)))*
IF(EH$44=1,0,
IF(INT(DP310)=INT(DO310),DP310-DO310,INT(DP310)-DO310))+
IF($N310&lt;=1,
IF($N310&gt;0,1/$N310,0),VDB(1,0,$N310,INT(EH$44-1),MIN($N310,INT(EH$44-1)+1),$DC310,IF($DD310="No",1,0))/
IF(DP310&gt;INT($N310),$N310-INT($N310),1))*
IF(EH$44=1,DP310,
IF(INT(DP310)=INT(DO310),0,DP310-INT(DP310)))))</f>
        <v>0</v>
      </c>
      <c r="EI310" s="834">
        <f>+IF(DQ310=DP310,0,
IF(AND(EI$44&gt;1,DQ310=$N310),1-SUM($EE310:EH310),
IF($N310&lt;=1,
IF($N310&gt;0,1/$N310,0),
IF(EI$44=1,0,VDB(1,0,$N310,INT(EI$44-1-1),MIN($N310,INT(EI$44-1-1)+1),$DC310,IF($DD310="No",1,0))/
IF(DP310&gt;=INT($N310),$N310-INT($N310),1)))*
IF(EI$44=1,0,
IF(INT(DQ310)=INT(DP310),DQ310-DP310,INT(DQ310)-DP310))+
IF($N310&lt;=1,
IF($N310&gt;0,1/$N310,0),VDB(1,0,$N310,INT(EI$44-1),MIN($N310,INT(EI$44-1)+1),$DC310,IF($DD310="No",1,0))/
IF(DQ310&gt;INT($N310),$N310-INT($N310),1))*
IF(EI$44=1,DQ310,
IF(INT(DQ310)=INT(DP310),0,DQ310-INT(DQ310)))))</f>
        <v>0</v>
      </c>
      <c r="EJ310" s="835">
        <f>+IF(DR310=DQ310,0,
IF(AND(EJ$44&gt;1,DR310=$N310),1-SUM($EE310:EI310),
IF($N310&lt;=1,
IF($N310&gt;0,1/$N310,0),
IF(EJ$44=1,0,VDB(1,0,$N310,INT(EJ$44-1-1),MIN($N310,INT(EJ$44-1-1)+1),$DC310,IF($DD310="No",1,0))/
IF(DQ310&gt;=INT($N310),$N310-INT($N310),1)))*
IF(EJ$44=1,0,
IF(INT(DR310)=INT(DQ310),DR310-DQ310,INT(DR310)-DQ310))+
IF($N310&lt;=1,
IF($N310&gt;0,1/$N310,0),VDB(1,0,$N310,INT(EJ$44-1),MIN($N310,INT(EJ$44-1)+1),$DC310,IF($DD310="No",1,0))/
IF(DR310&gt;INT($N310),$N310-INT($N310),1))*
IF(EJ$44=1,DR310,
IF(INT(DR310)=INT(DQ310),0,DR310-INT(DR310)))))</f>
        <v>0</v>
      </c>
      <c r="EK310" s="835">
        <f>+IF(DS310=DR310,0,
IF(AND(EK$44&gt;1,DS310=$N310),1-SUM($EE310:EJ310),
IF($N310&lt;=1,
IF($N310&gt;0,1/$N310,0),
IF(EK$44=1,0,VDB(1,0,$N310,INT(EK$44-1-1),MIN($N310,INT(EK$44-1-1)+1),$DC310,IF($DD310="No",1,0))/
IF(DR310&gt;=INT($N310),$N310-INT($N310),1)))*
IF(EK$44=1,0,
IF(INT(DS310)=INT(DR310),DS310-DR310,INT(DS310)-DR310))+
IF($N310&lt;=1,
IF($N310&gt;0,1/$N310,0),VDB(1,0,$N310,INT(EK$44-1),MIN($N310,INT(EK$44-1)+1),$DC310,IF($DD310="No",1,0))/
IF(DS310&gt;INT($N310),$N310-INT($N310),1))*
IF(EK$44=1,DS310,
IF(INT(DS310)=INT(DR310),0,DS310-INT(DS310)))))</f>
        <v>0</v>
      </c>
      <c r="EL310" s="835">
        <f>+IF(DT310=DS310,0,
IF(AND(EL$44&gt;1,DT310=$N310),1-SUM($EE310:EK310),
IF($N310&lt;=1,
IF($N310&gt;0,1/$N310,0),
IF(EL$44=1,0,VDB(1,0,$N310,INT(EL$44-1-1),MIN($N310,INT(EL$44-1-1)+1),$DC310,IF($DD310="No",1,0))/
IF(DS310&gt;=INT($N310),$N310-INT($N310),1)))*
IF(EL$44=1,0,
IF(INT(DT310)=INT(DS310),DT310-DS310,INT(DT310)-DS310))+
IF($N310&lt;=1,
IF($N310&gt;0,1/$N310,0),VDB(1,0,$N310,INT(EL$44-1),MIN($N310,INT(EL$44-1)+1),$DC310,IF($DD310="No",1,0))/
IF(DT310&gt;INT($N310),$N310-INT($N310),1))*
IF(EL$44=1,DT310,
IF(INT(DT310)=INT(DS310),0,DT310-INT(DT310)))))</f>
        <v>0</v>
      </c>
      <c r="EM310" s="836">
        <f>+IF(DU310=DT310,0,
IF(AND(EM$44&gt;1,DU310=$N310),1-SUM($EE310:EL310),
IF($N310&lt;=1,
IF($N310&gt;0,1/$N310,0),
IF(EM$44=1,0,VDB(1,0,$N310,INT(EM$44-1-1),MIN($N310,INT(EM$44-1-1)+1),$DC310,IF($DD310="No",1,0))/
IF(DT310&gt;=INT($N310),$N310-INT($N310),1)))*
IF(EM$44=1,0,
IF(INT(DU310)=INT(DT310),DU310-DT310,INT(DU310)-DT310))+
IF($N310&lt;=1,
IF($N310&gt;0,1/$N310,0),VDB(1,0,$N310,INT(EM$44-1),MIN($N310,INT(EM$44-1)+1),$DC310,IF($DD310="No",1,0))/
IF(DU310&gt;INT($N310),$N310-INT($N310),1))*
IF(EM$44=1,DU310,
IF(INT(DU310)=INT(DT310),0,DU310-INT(DU310)))))</f>
        <v>0</v>
      </c>
      <c r="EN310" s="833"/>
      <c r="EO310" s="834">
        <f>+IF(OR(DW310=DV310,EO$44=1),0,
IF(AND(EO$44&gt;1,DW310=$N310),1-SUM($EN310:EN310),
IF($N310&lt;=1,
IF($N310&gt;0,1/$N310,0),
IF(EO$44=2,0,VDB(1,0,$N310,INT(EO$44-2-1),MIN($N310,INT(EO$44-2-1)+1),$DC310,IF($DD310="No",1,0))/
IF(DV310&gt;=INT($N310),$N310-INT($N310),1)))*
IF(EO$44=2,0,
IF(INT(DW310)=INT(DV310),DW310-DV310,INT(DW310)-DV310))+
IF($N310&lt;=1,
IF($N310&gt;0,1/$N310,0),VDB(1,0,$N310,INT(EO$44-2),MIN($N310,INT(EO$44-2)+1),$DC310,IF($DD310="No",1,0))/
IF(DW310&gt;INT($N310),$N310-INT($N310),1))*
IF(EO$44=2,DW310,
IF(INT(DW310)=INT(DV310),0,DW310-INT(DW310)))))</f>
        <v>0</v>
      </c>
      <c r="EP310" s="835">
        <f>+IF(OR(DX310=DW310,EP$44=1),0,
IF(AND(EP$44&gt;1,DX310=$N310),1-SUM($EN310:EO310),
IF($N310&lt;=1,
IF($N310&gt;0,1/$N310,0),
IF(EP$44=2,0,VDB(1,0,$N310,INT(EP$44-2-1),MIN($N310,INT(EP$44-2-1)+1),$DC310,IF($DD310="No",1,0))/
IF(DW310&gt;=INT($N310),$N310-INT($N310),1)))*
IF(EP$44=2,0,
IF(INT(DX310)=INT(DW310),DX310-DW310,INT(DX310)-DW310))+
IF($N310&lt;=1,
IF($N310&gt;0,1/$N310,0),VDB(1,0,$N310,INT(EP$44-2),MIN($N310,INT(EP$44-2)+1),$DC310,IF($DD310="No",1,0))/
IF(DX310&gt;INT($N310),$N310-INT($N310),1))*
IF(EP$44=2,DX310,
IF(INT(DX310)=INT(DW310),0,DX310-INT(DX310)))))</f>
        <v>0</v>
      </c>
      <c r="EQ310" s="836">
        <f>+IF(OR(DY310=DX310,EQ$44=1),0,
IF(AND(EQ$44&gt;1,DY310=$N310),1-SUM($EN310:EP310),
IF($N310&lt;=1,
IF($N310&gt;0,1/$N310,0),
IF(EQ$44=2,0,VDB(1,0,$N310,INT(EQ$44-2-1),MIN($N310,INT(EQ$44-2-1)+1),$DC310,IF($DD310="No",1,0))/
IF(DX310&gt;=INT($N310),$N310-INT($N310),1)))*
IF(EQ$44=2,0,
IF(INT(DY310)=INT(DX310),DY310-DX310,INT(DY310)-DX310))+
IF($N310&lt;=1,
IF($N310&gt;0,1/$N310,0),VDB(1,0,$N310,INT(EQ$44-2),MIN($N310,INT(EQ$44-2)+1),$DC310,IF($DD310="No",1,0))/
IF(DY310&gt;INT($N310),$N310-INT($N310),1))*
IF(EQ$44=2,DY310,
IF(INT(DY310)=INT(DX310),0,DY310-INT(DY310)))))</f>
        <v>0</v>
      </c>
      <c r="ER310" s="834">
        <f>+IF(OR(DZ310=DY310,ER$44=1),0,
IF(AND(ER$44&gt;1,DZ310=$N310),1-SUM($EN310:EQ310),
IF($N310&lt;=1,
IF($N310&gt;0,1/$N310,0),
IF(ER$44=2,0,VDB(1,0,$N310,INT(ER$44-2-1),MIN($N310,INT(ER$44-2-1)+1),$DC310,IF($DD310="No",1,0))/
IF(DY310&gt;=INT($N310),$N310-INT($N310),1)))*
IF(ER$44=2,0,
IF(INT(DZ310)=INT(DY310),DZ310-DY310,INT(DZ310)-DY310))+
IF($N310&lt;=1,
IF($N310&gt;0,1/$N310,0),VDB(1,0,$N310,INT(ER$44-2),MIN($N310,INT(ER$44-2)+1),$DC310,IF($DD310="No",1,0))/
IF(DZ310&gt;INT($N310),$N310-INT($N310),1))*
IF(ER$44=2,DZ310,
IF(INT(DZ310)=INT(DY310),0,DZ310-INT(DZ310)))))</f>
        <v>0</v>
      </c>
      <c r="ES310" s="835">
        <f>+IF(OR(EA310=DZ310,ES$44=1),0,
IF(AND(ES$44&gt;1,EA310=$N310),1-SUM($EN310:ER310),
IF($N310&lt;=1,
IF($N310&gt;0,1/$N310,0),
IF(ES$44=2,0,VDB(1,0,$N310,INT(ES$44-2-1),MIN($N310,INT(ES$44-2-1)+1),$DC310,IF($DD310="No",1,0))/
IF(DZ310&gt;=INT($N310),$N310-INT($N310),1)))*
IF(ES$44=2,0,
IF(INT(EA310)=INT(DZ310),EA310-DZ310,INT(EA310)-DZ310))+
IF($N310&lt;=1,
IF($N310&gt;0,1/$N310,0),VDB(1,0,$N310,INT(ES$44-2),MIN($N310,INT(ES$44-2)+1),$DC310,IF($DD310="No",1,0))/
IF(EA310&gt;INT($N310),$N310-INT($N310),1))*
IF(ES$44=2,EA310,
IF(INT(EA310)=INT(DZ310),0,EA310-INT(EA310)))))</f>
        <v>0</v>
      </c>
      <c r="ET310" s="835">
        <f>+IF(OR(EB310=EA310,ET$44=1),0,
IF(AND(ET$44&gt;1,EB310=$N310),1-SUM($EN310:ES310),
IF($N310&lt;=1,
IF($N310&gt;0,1/$N310,0),
IF(ET$44=2,0,VDB(1,0,$N310,INT(ET$44-2-1),MIN($N310,INT(ET$44-2-1)+1),$DC310,IF($DD310="No",1,0))/
IF(EA310&gt;=INT($N310),$N310-INT($N310),1)))*
IF(ET$44=2,0,
IF(INT(EB310)=INT(EA310),EB310-EA310,INT(EB310)-EA310))+
IF($N310&lt;=1,
IF($N310&gt;0,1/$N310,0),VDB(1,0,$N310,INT(ET$44-2),MIN($N310,INT(ET$44-2)+1),$DC310,IF($DD310="No",1,0))/
IF(EB310&gt;INT($N310),$N310-INT($N310),1))*
IF(ET$44=2,EB310,
IF(INT(EB310)=INT(EA310),0,EB310-INT(EB310)))))</f>
        <v>0</v>
      </c>
      <c r="EU310" s="835">
        <f>+IF(OR(EC310=EB310,EU$44=1),0,
IF(AND(EU$44&gt;1,EC310=$N310),1-SUM($EN310:ET310),
IF($N310&lt;=1,
IF($N310&gt;0,1/$N310,0),
IF(EU$44=2,0,VDB(1,0,$N310,INT(EU$44-2-1),MIN($N310,INT(EU$44-2-1)+1),$DC310,IF($DD310="No",1,0))/
IF(EB310&gt;=INT($N310),$N310-INT($N310),1)))*
IF(EU$44=2,0,
IF(INT(EC310)=INT(EB310),EC310-EB310,INT(EC310)-EB310))+
IF($N310&lt;=1,
IF($N310&gt;0,1/$N310,0),VDB(1,0,$N310,INT(EU$44-2),MIN($N310,INT(EU$44-2)+1),$DC310,IF($DD310="No",1,0))/
IF(EC310&gt;INT($N310),$N310-INT($N310),1))*
IF(EU$44=2,EC310,
IF(INT(EC310)=INT(EB310),0,EC310-INT(EC310)))))</f>
        <v>0</v>
      </c>
      <c r="EV310" s="836">
        <f>+IF(OR(ED310=EC310,EV$44=1),0,
IF(AND(EV$44&gt;1,ED310=$N310),1-SUM($EN310:EU310),
IF($N310&lt;=1,
IF($N310&gt;0,1/$N310,0),
IF(EV$44=2,0,VDB(1,0,$N310,INT(EV$44-2-1),MIN($N310,INT(EV$44-2-1)+1),$DC310,IF($DD310="No",1,0))/
IF(EC310&gt;=INT($N310),$N310-INT($N310),1)))*
IF(EV$44=2,0,
IF(INT(ED310)=INT(EC310),ED310-EC310,INT(ED310)-EC310))+
IF($N310&lt;=1,
IF($N310&gt;0,1/$N310,0),VDB(1,0,$N310,INT(EV$44-2),MIN($N310,INT(EV$44-2)+1),$DC310,IF($DD310="No",1,0))/
IF(ED310&gt;INT($N310),$N310-INT($N310),1))*
IF(EV$44=2,ED310,
IF(INT(ED310)=INT(EC310),0,ED310-INT(ED310)))))</f>
        <v>0</v>
      </c>
      <c r="EW310" s="833"/>
      <c r="EX310" s="834">
        <f t="shared" ca="1" si="520"/>
        <v>0</v>
      </c>
      <c r="EY310" s="835">
        <f t="shared" ca="1" si="520"/>
        <v>0</v>
      </c>
      <c r="EZ310" s="836">
        <f t="shared" ca="1" si="520"/>
        <v>0</v>
      </c>
      <c r="FA310" s="834">
        <f t="shared" ca="1" si="520"/>
        <v>0</v>
      </c>
      <c r="FB310" s="835">
        <f t="shared" ca="1" si="520"/>
        <v>0</v>
      </c>
      <c r="FC310" s="835">
        <f t="shared" ca="1" si="520"/>
        <v>0</v>
      </c>
      <c r="FD310" s="835">
        <f t="shared" ca="1" si="520"/>
        <v>0</v>
      </c>
      <c r="FE310" s="836">
        <f t="shared" ca="1" si="520"/>
        <v>0</v>
      </c>
      <c r="FG310" s="386">
        <f t="shared" ca="1" si="521"/>
        <v>0</v>
      </c>
      <c r="FH310" s="387">
        <f t="shared" ca="1" si="522"/>
        <v>0</v>
      </c>
      <c r="FI310" s="388">
        <f t="shared" ca="1" si="523"/>
        <v>0</v>
      </c>
      <c r="FJ310" s="386">
        <f t="shared" ca="1" si="524"/>
        <v>0</v>
      </c>
      <c r="FK310" s="387">
        <f t="shared" ca="1" si="525"/>
        <v>0</v>
      </c>
      <c r="FL310" s="387">
        <f t="shared" ca="1" si="526"/>
        <v>0</v>
      </c>
      <c r="FM310" s="387">
        <f t="shared" ca="1" si="527"/>
        <v>0</v>
      </c>
      <c r="FN310" s="388">
        <f t="shared" ca="1" si="528"/>
        <v>0</v>
      </c>
      <c r="FR310" s="116"/>
    </row>
    <row r="311" spans="2:174">
      <c r="B311" s="1410">
        <f t="shared" si="512"/>
        <v>265</v>
      </c>
      <c r="C311" s="400"/>
      <c r="D311" s="410"/>
      <c r="E311" s="402"/>
      <c r="F311" s="402"/>
      <c r="G311" s="400"/>
      <c r="H311" s="2088"/>
      <c r="I311" s="2089"/>
      <c r="J311" s="411"/>
      <c r="K311" s="403"/>
      <c r="L311" s="403"/>
      <c r="M311" s="403"/>
      <c r="N311" s="403"/>
      <c r="O311" s="347"/>
      <c r="P311" s="347"/>
      <c r="Q311" s="1021"/>
      <c r="R311" s="1022"/>
      <c r="S311" s="1022"/>
      <c r="T311" s="1022"/>
      <c r="U311" s="1023"/>
      <c r="V311" s="1021"/>
      <c r="W311" s="1022"/>
      <c r="X311" s="1022"/>
      <c r="Y311" s="1022"/>
      <c r="Z311" s="1023"/>
      <c r="AA311" s="1024"/>
      <c r="AB311" s="1021"/>
      <c r="AC311" s="1022"/>
      <c r="AD311" s="1022"/>
      <c r="AE311" s="1022"/>
      <c r="AF311" s="1023"/>
      <c r="AG311" s="1021"/>
      <c r="AH311" s="1022"/>
      <c r="AI311" s="1022"/>
      <c r="AJ311" s="1022"/>
      <c r="AK311" s="1023"/>
      <c r="AL311" s="1024"/>
      <c r="AM311" s="1021"/>
      <c r="AN311" s="1022"/>
      <c r="AO311" s="1022"/>
      <c r="AP311" s="1022"/>
      <c r="AQ311" s="1023"/>
      <c r="AR311" s="1021"/>
      <c r="AS311" s="1022"/>
      <c r="AT311" s="1022"/>
      <c r="AU311" s="1022"/>
      <c r="AV311" s="1023"/>
      <c r="AW311" s="1025"/>
      <c r="AX311" s="1282">
        <f t="shared" si="514"/>
        <v>0</v>
      </c>
      <c r="AY311" s="387">
        <f t="shared" si="514"/>
        <v>0</v>
      </c>
      <c r="AZ311" s="387">
        <f t="shared" si="514"/>
        <v>0</v>
      </c>
      <c r="BA311" s="387">
        <f t="shared" si="514"/>
        <v>0</v>
      </c>
      <c r="BB311" s="1283">
        <f t="shared" si="514"/>
        <v>0</v>
      </c>
      <c r="BC311" s="386">
        <f t="shared" si="514"/>
        <v>0</v>
      </c>
      <c r="BD311" s="387">
        <f t="shared" si="514"/>
        <v>0</v>
      </c>
      <c r="BE311" s="1277">
        <f t="shared" si="515"/>
        <v>0</v>
      </c>
      <c r="BF311" s="1277">
        <f t="shared" si="515"/>
        <v>0</v>
      </c>
      <c r="BG311" s="388">
        <f t="shared" si="515"/>
        <v>0</v>
      </c>
      <c r="BH311" s="1025"/>
      <c r="BI311" s="1282">
        <f ca="1">IF($L311=0,0,
IF($L311&lt;=0.5,BT311,
IF($J311="straight line",
IF((LEFT(BI$43,4)*1)-INT($L311)&lt;LEFT($BI$43,4)*1,0,((OFFSET(BT311,0,-INT($L311+0.5),1,1))/$L311)*(IF($L311-INT($L311)&gt;0.5,$L311-0.5-INT($L311),IF($L311-INT($L311)&lt;=0.5,$L311-0.5-INT($L311)+1,0))))
+BT311/$L311*0.5,
IF($J311="Declining Balance",-$BI$42,0))))</f>
        <v>0</v>
      </c>
      <c r="BJ311" s="387">
        <f t="shared" ca="1" si="516"/>
        <v>0</v>
      </c>
      <c r="BK311" s="387">
        <f t="shared" ca="1" si="516"/>
        <v>0</v>
      </c>
      <c r="BL311" s="387">
        <f t="shared" ca="1" si="516"/>
        <v>0</v>
      </c>
      <c r="BM311" s="1283">
        <f t="shared" ca="1" si="516"/>
        <v>0</v>
      </c>
      <c r="BN311" s="386">
        <f t="shared" ca="1" si="516"/>
        <v>0</v>
      </c>
      <c r="BO311" s="387">
        <f t="shared" ca="1" si="516"/>
        <v>0</v>
      </c>
      <c r="BP311" s="1277">
        <f t="shared" ca="1" si="516"/>
        <v>0</v>
      </c>
      <c r="BQ311" s="1277">
        <f t="shared" ca="1" si="516"/>
        <v>0</v>
      </c>
      <c r="BR311" s="388">
        <f t="shared" ca="1" si="516"/>
        <v>0</v>
      </c>
      <c r="BS311" s="1025"/>
      <c r="BT311" s="1282">
        <f>+IF($K311="Ongoing",AX311,IF(RIGHT($K311,2)=RIGHT(BT$43,2),SUM($AX311:AX311),0)+IF(RIGHT(BT$43,2)&gt;RIGHT($K311,2),AX311,0))</f>
        <v>0</v>
      </c>
      <c r="BU311" s="387">
        <f>+IF($K311="Ongoing",AY311,IF(RIGHT($K311,2)=RIGHT(BU$43,2),SUM($AX311:AY311),0)+IF(RIGHT(BU$43,2)&gt;RIGHT($K311,2),AY311,0))</f>
        <v>0</v>
      </c>
      <c r="BV311" s="387">
        <f>+IF($K311="Ongoing",AZ311,IF(RIGHT($K311,2)=RIGHT(BV$43,2),SUM($AX311:AZ311),0)+IF(RIGHT(BV$43,2)&gt;RIGHT($K311,2),AZ311,0))</f>
        <v>0</v>
      </c>
      <c r="BW311" s="387">
        <f>+IF($K311="Ongoing",BA311,IF(RIGHT($K311,2)=RIGHT(BW$43,2),SUM($AX311:BA311),0)+IF(RIGHT(BW$43,2)&gt;RIGHT($K311,2),BA311,0))</f>
        <v>0</v>
      </c>
      <c r="BX311" s="1283">
        <f>+IF($K311="Ongoing",BB311,IF(RIGHT($K311,2)=RIGHT(BX$43,2),SUM($AX311:BB311),0)+IF(RIGHT(BX$43,2)&gt;RIGHT($K311,2),BB311,0))</f>
        <v>0</v>
      </c>
      <c r="BY311" s="386">
        <f>+IF($K311="Ongoing",BC311,IF(RIGHT($K311,2)=RIGHT(BY$43,2),SUM($AX311:BC311),0)+IF(RIGHT(BY$43,2)&gt;RIGHT($K311,2),BC311,0))</f>
        <v>0</v>
      </c>
      <c r="BZ311" s="387">
        <f>+IF($K311="Ongoing",BD311,IF(RIGHT($K311,2)=RIGHT(BZ$43,2),SUM($AX311:BD311),0)+IF(RIGHT(BZ$43,2)&gt;RIGHT($K311,2),BD311,0))</f>
        <v>0</v>
      </c>
      <c r="CA311" s="1277">
        <f>+IF($K311="Ongoing",BE311,IF(RIGHT($K311,2)=RIGHT(CA$43,2),SUM($AX311:BE311),0)+IF(RIGHT(CA$43,2)&gt;RIGHT($K311,2),BE311,0))</f>
        <v>0</v>
      </c>
      <c r="CB311" s="1277">
        <f>+IF($K311="Ongoing",BF311,IF(RIGHT($K311,2)=RIGHT(CB$43,2),SUM($AX311:BF311),0)+IF(RIGHT(CB$43,2)&gt;RIGHT($K311,2),BF311,0))</f>
        <v>0</v>
      </c>
      <c r="CC311" s="388">
        <f>+IF($K311="Ongoing",BG311,IF(RIGHT($K311,2)=RIGHT(CC$43,2),SUM($AX311:BG311),0)+IF(RIGHT(CC$43,2)&gt;RIGHT($K311,2),BG311,0))</f>
        <v>0</v>
      </c>
      <c r="CD311" s="1025"/>
      <c r="CE311" s="1282">
        <f>+Q311*KeyAssumptionsPriceControl_FO!AF$15</f>
        <v>0</v>
      </c>
      <c r="CF311" s="387">
        <f>+R311*KeyAssumptionsPriceControl_FO!AG$15</f>
        <v>0</v>
      </c>
      <c r="CG311" s="387">
        <f>+S311*KeyAssumptionsPriceControl_FO!AH$15</f>
        <v>0</v>
      </c>
      <c r="CH311" s="387">
        <f>+T311*KeyAssumptionsPriceControl_FO!AI$15</f>
        <v>0</v>
      </c>
      <c r="CI311" s="1283">
        <f>+U311*KeyAssumptionsPriceControl_FO!AJ$15</f>
        <v>0</v>
      </c>
      <c r="CJ311" s="386">
        <f>+V311*KeyAssumptionsPriceControl_FO!AK$15</f>
        <v>0</v>
      </c>
      <c r="CK311" s="387">
        <f>+W311*KeyAssumptionsPriceControl_FO!AL$15</f>
        <v>0</v>
      </c>
      <c r="CL311" s="1277">
        <f>+X311*KeyAssumptionsPriceControl_FO!AM$15</f>
        <v>0</v>
      </c>
      <c r="CM311" s="1277">
        <f>+Y311*KeyAssumptionsPriceControl_FO!AN$15</f>
        <v>0</v>
      </c>
      <c r="CN311" s="388">
        <f>+Z311*KeyAssumptionsPriceControl_FO!AO$15</f>
        <v>0</v>
      </c>
      <c r="CO311" s="1025"/>
      <c r="CP311" s="1282">
        <f t="shared" ca="1" si="517"/>
        <v>0</v>
      </c>
      <c r="CQ311" s="387">
        <f t="shared" ca="1" si="517"/>
        <v>0</v>
      </c>
      <c r="CR311" s="387">
        <f t="shared" ca="1" si="517"/>
        <v>0</v>
      </c>
      <c r="CS311" s="387">
        <f t="shared" ca="1" si="517"/>
        <v>0</v>
      </c>
      <c r="CT311" s="1283">
        <f t="shared" ca="1" si="517"/>
        <v>0</v>
      </c>
      <c r="CU311" s="386">
        <f t="shared" ca="1" si="517"/>
        <v>0</v>
      </c>
      <c r="CV311" s="387">
        <f t="shared" ca="1" si="517"/>
        <v>0</v>
      </c>
      <c r="CW311" s="1277">
        <f t="shared" ca="1" si="517"/>
        <v>0</v>
      </c>
      <c r="CX311" s="1277">
        <f t="shared" ca="1" si="517"/>
        <v>0</v>
      </c>
      <c r="CY311" s="388">
        <f t="shared" ca="1" si="517"/>
        <v>0</v>
      </c>
      <c r="CZ311" s="347"/>
      <c r="DA311" s="852"/>
      <c r="DB311" s="347"/>
      <c r="DC311" s="1012" t="s">
        <v>517</v>
      </c>
      <c r="DD311" s="841" t="s">
        <v>518</v>
      </c>
      <c r="DE311" s="386">
        <f>+IF($K311="ongoing",CE311,IF(RIGHT($K311,2)=RIGHT(DE$43,2),SUM($CD311:CE311),0)+IF(RIGHT(DE$43,2)&gt;RIGHT($K311,2),CE311,0))</f>
        <v>0</v>
      </c>
      <c r="DF311" s="387">
        <f>+IF($K311="ongoing",CF311,IF(RIGHT($K311,2)=RIGHT(DF$43,2),SUM($CD311:CF311),0)+IF(RIGHT(DF$43,2)&gt;RIGHT($K311,2),CF311,0))</f>
        <v>0</v>
      </c>
      <c r="DG311" s="388">
        <f>+IF($K311="ongoing",CG311,IF(RIGHT($K311,2)=RIGHT(DG$43,2),SUM($CD311:CG311),0)+IF(RIGHT(DG$43,2)&gt;RIGHT($K311,2),CG311,0))</f>
        <v>0</v>
      </c>
      <c r="DH311" s="386">
        <f>+IF($K311="ongoing",CH311,IF(RIGHT($K311,2)=RIGHT(DH$43,2),SUM($CD311:CH311),0)+IF(RIGHT(DH$43,2)&gt;RIGHT($K311,2),CH311,0))</f>
        <v>0</v>
      </c>
      <c r="DI311" s="387">
        <f>+IF($K311="ongoing",CI311,IF(RIGHT($K311,2)=RIGHT(DI$43,2),SUM($CD311:CI311),0)+IF(RIGHT(DI$43,2)&gt;RIGHT($K311,2),CI311,0))</f>
        <v>0</v>
      </c>
      <c r="DJ311" s="387">
        <f>+IF($K311="ongoing",CJ311,IF(RIGHT($K311,2)=RIGHT(DJ$43,2),SUM($CD311:CJ311),0)+IF(RIGHT(DJ$43,2)&gt;RIGHT($K311,2),CJ311,0))</f>
        <v>0</v>
      </c>
      <c r="DK311" s="387">
        <f>+IF($K311="ongoing",CK311,IF(RIGHT($K311,2)=RIGHT(DK$43,2),SUM($CD311:CK311),0)+IF(RIGHT(DK$43,2)&gt;RIGHT($K311,2),CK311,0))</f>
        <v>0</v>
      </c>
      <c r="DL311" s="388">
        <f>+IF($K311="ongoing",CN311,IF(RIGHT($K311,2)=RIGHT(DL$43,2),SUM($CD311:CN311),0)+IF(RIGHT(DL$43,2)&gt;RIGHT($K311,2),CN311,0))</f>
        <v>0</v>
      </c>
      <c r="DM311" s="841"/>
      <c r="DN311" s="386">
        <f t="shared" si="518"/>
        <v>0.5</v>
      </c>
      <c r="DO311" s="387">
        <f t="shared" si="518"/>
        <v>1</v>
      </c>
      <c r="DP311" s="388">
        <f t="shared" si="518"/>
        <v>1</v>
      </c>
      <c r="DQ311" s="386">
        <f t="shared" si="518"/>
        <v>1</v>
      </c>
      <c r="DR311" s="387">
        <f t="shared" si="518"/>
        <v>1</v>
      </c>
      <c r="DS311" s="387">
        <f t="shared" si="518"/>
        <v>1</v>
      </c>
      <c r="DT311" s="387">
        <f t="shared" si="518"/>
        <v>1</v>
      </c>
      <c r="DU311" s="388">
        <f t="shared" si="518"/>
        <v>1</v>
      </c>
      <c r="DW311" s="386">
        <f t="shared" si="519"/>
        <v>0</v>
      </c>
      <c r="DX311" s="387">
        <f t="shared" si="519"/>
        <v>0.5</v>
      </c>
      <c r="DY311" s="388">
        <f t="shared" si="519"/>
        <v>1</v>
      </c>
      <c r="DZ311" s="386">
        <f t="shared" si="519"/>
        <v>1</v>
      </c>
      <c r="EA311" s="387">
        <f t="shared" si="519"/>
        <v>1</v>
      </c>
      <c r="EB311" s="387">
        <f t="shared" si="519"/>
        <v>1</v>
      </c>
      <c r="EC311" s="387">
        <f t="shared" si="519"/>
        <v>1</v>
      </c>
      <c r="ED311" s="388">
        <f t="shared" si="519"/>
        <v>1</v>
      </c>
      <c r="EF311" s="834">
        <f>+IF(DN311=DM311,0,
IF(AND(EF$44&gt;1,DN311=$N311),1-SUM($EE311:EE311),
IF($N311&lt;=1,
IF($N311&gt;0,1/$N311,0),
IF(EF$44=1,0,VDB(1,0,$N311,INT(EF$44-1-1),MIN($N311,INT(EF$44-1-1)+1),$DC311,IF($DD311="No",1,0))/
IF(DM311&gt;=INT($N311),$N311-INT($N311),1)))*
IF(EF$44=1,0,
IF(INT(DN311)=INT(DM311),DN311-DM311,INT(DN311)-DM311))+
IF($N311&lt;=1,
IF($N311&gt;0,1/$N311,0),VDB(1,0,$N311,INT(EF$44-1),MIN($N311,INT(EF$44-1)+1),$DC311,IF($DD311="No",1,0))/
IF(DN311&gt;INT($N311),$N311-INT($N311),1))*
IF(EF$44=1,DN311,
IF(INT(DN311)=INT(DM311),0,DN311-INT(DN311)))))</f>
        <v>0</v>
      </c>
      <c r="EG311" s="835">
        <f>+IF(DO311=DN311,0,
IF(AND(EG$44&gt;1,DO311=$N311),1-SUM($EE311:EF311),
IF($N311&lt;=1,
IF($N311&gt;0,1/$N311,0),
IF(EG$44=1,0,VDB(1,0,$N311,INT(EG$44-1-1),MIN($N311,INT(EG$44-1-1)+1),$DC311,IF($DD311="No",1,0))/
IF(DN311&gt;=INT($N311),$N311-INT($N311),1)))*
IF(EG$44=1,0,
IF(INT(DO311)=INT(DN311),DO311-DN311,INT(DO311)-DN311))+
IF($N311&lt;=1,
IF($N311&gt;0,1/$N311,0),VDB(1,0,$N311,INT(EG$44-1),MIN($N311,INT(EG$44-1)+1),$DC311,IF($DD311="No",1,0))/
IF(DO311&gt;INT($N311),$N311-INT($N311),1))*
IF(EG$44=1,DO311,
IF(INT(DO311)=INT(DN311),0,DO311-INT(DO311)))))</f>
        <v>0</v>
      </c>
      <c r="EH311" s="836">
        <f>+IF(DP311=DO311,0,
IF(AND(EH$44&gt;1,DP311=$N311),1-SUM($EE311:EG311),
IF($N311&lt;=1,
IF($N311&gt;0,1/$N311,0),
IF(EH$44=1,0,VDB(1,0,$N311,INT(EH$44-1-1),MIN($N311,INT(EH$44-1-1)+1),$DC311,IF($DD311="No",1,0))/
IF(DO311&gt;=INT($N311),$N311-INT($N311),1)))*
IF(EH$44=1,0,
IF(INT(DP311)=INT(DO311),DP311-DO311,INT(DP311)-DO311))+
IF($N311&lt;=1,
IF($N311&gt;0,1/$N311,0),VDB(1,0,$N311,INT(EH$44-1),MIN($N311,INT(EH$44-1)+1),$DC311,IF($DD311="No",1,0))/
IF(DP311&gt;INT($N311),$N311-INT($N311),1))*
IF(EH$44=1,DP311,
IF(INT(DP311)=INT(DO311),0,DP311-INT(DP311)))))</f>
        <v>0</v>
      </c>
      <c r="EI311" s="834">
        <f>+IF(DQ311=DP311,0,
IF(AND(EI$44&gt;1,DQ311=$N311),1-SUM($EE311:EH311),
IF($N311&lt;=1,
IF($N311&gt;0,1/$N311,0),
IF(EI$44=1,0,VDB(1,0,$N311,INT(EI$44-1-1),MIN($N311,INT(EI$44-1-1)+1),$DC311,IF($DD311="No",1,0))/
IF(DP311&gt;=INT($N311),$N311-INT($N311),1)))*
IF(EI$44=1,0,
IF(INT(DQ311)=INT(DP311),DQ311-DP311,INT(DQ311)-DP311))+
IF($N311&lt;=1,
IF($N311&gt;0,1/$N311,0),VDB(1,0,$N311,INT(EI$44-1),MIN($N311,INT(EI$44-1)+1),$DC311,IF($DD311="No",1,0))/
IF(DQ311&gt;INT($N311),$N311-INT($N311),1))*
IF(EI$44=1,DQ311,
IF(INT(DQ311)=INT(DP311),0,DQ311-INT(DQ311)))))</f>
        <v>0</v>
      </c>
      <c r="EJ311" s="835">
        <f>+IF(DR311=DQ311,0,
IF(AND(EJ$44&gt;1,DR311=$N311),1-SUM($EE311:EI311),
IF($N311&lt;=1,
IF($N311&gt;0,1/$N311,0),
IF(EJ$44=1,0,VDB(1,0,$N311,INT(EJ$44-1-1),MIN($N311,INT(EJ$44-1-1)+1),$DC311,IF($DD311="No",1,0))/
IF(DQ311&gt;=INT($N311),$N311-INT($N311),1)))*
IF(EJ$44=1,0,
IF(INT(DR311)=INT(DQ311),DR311-DQ311,INT(DR311)-DQ311))+
IF($N311&lt;=1,
IF($N311&gt;0,1/$N311,0),VDB(1,0,$N311,INT(EJ$44-1),MIN($N311,INT(EJ$44-1)+1),$DC311,IF($DD311="No",1,0))/
IF(DR311&gt;INT($N311),$N311-INT($N311),1))*
IF(EJ$44=1,DR311,
IF(INT(DR311)=INT(DQ311),0,DR311-INT(DR311)))))</f>
        <v>0</v>
      </c>
      <c r="EK311" s="835">
        <f>+IF(DS311=DR311,0,
IF(AND(EK$44&gt;1,DS311=$N311),1-SUM($EE311:EJ311),
IF($N311&lt;=1,
IF($N311&gt;0,1/$N311,0),
IF(EK$44=1,0,VDB(1,0,$N311,INT(EK$44-1-1),MIN($N311,INT(EK$44-1-1)+1),$DC311,IF($DD311="No",1,0))/
IF(DR311&gt;=INT($N311),$N311-INT($N311),1)))*
IF(EK$44=1,0,
IF(INT(DS311)=INT(DR311),DS311-DR311,INT(DS311)-DR311))+
IF($N311&lt;=1,
IF($N311&gt;0,1/$N311,0),VDB(1,0,$N311,INT(EK$44-1),MIN($N311,INT(EK$44-1)+1),$DC311,IF($DD311="No",1,0))/
IF(DS311&gt;INT($N311),$N311-INT($N311),1))*
IF(EK$44=1,DS311,
IF(INT(DS311)=INT(DR311),0,DS311-INT(DS311)))))</f>
        <v>0</v>
      </c>
      <c r="EL311" s="835">
        <f>+IF(DT311=DS311,0,
IF(AND(EL$44&gt;1,DT311=$N311),1-SUM($EE311:EK311),
IF($N311&lt;=1,
IF($N311&gt;0,1/$N311,0),
IF(EL$44=1,0,VDB(1,0,$N311,INT(EL$44-1-1),MIN($N311,INT(EL$44-1-1)+1),$DC311,IF($DD311="No",1,0))/
IF(DS311&gt;=INT($N311),$N311-INT($N311),1)))*
IF(EL$44=1,0,
IF(INT(DT311)=INT(DS311),DT311-DS311,INT(DT311)-DS311))+
IF($N311&lt;=1,
IF($N311&gt;0,1/$N311,0),VDB(1,0,$N311,INT(EL$44-1),MIN($N311,INT(EL$44-1)+1),$DC311,IF($DD311="No",1,0))/
IF(DT311&gt;INT($N311),$N311-INT($N311),1))*
IF(EL$44=1,DT311,
IF(INT(DT311)=INT(DS311),0,DT311-INT(DT311)))))</f>
        <v>0</v>
      </c>
      <c r="EM311" s="836">
        <f>+IF(DU311=DT311,0,
IF(AND(EM$44&gt;1,DU311=$N311),1-SUM($EE311:EL311),
IF($N311&lt;=1,
IF($N311&gt;0,1/$N311,0),
IF(EM$44=1,0,VDB(1,0,$N311,INT(EM$44-1-1),MIN($N311,INT(EM$44-1-1)+1),$DC311,IF($DD311="No",1,0))/
IF(DT311&gt;=INT($N311),$N311-INT($N311),1)))*
IF(EM$44=1,0,
IF(INT(DU311)=INT(DT311),DU311-DT311,INT(DU311)-DT311))+
IF($N311&lt;=1,
IF($N311&gt;0,1/$N311,0),VDB(1,0,$N311,INT(EM$44-1),MIN($N311,INT(EM$44-1)+1),$DC311,IF($DD311="No",1,0))/
IF(DU311&gt;INT($N311),$N311-INT($N311),1))*
IF(EM$44=1,DU311,
IF(INT(DU311)=INT(DT311),0,DU311-INT(DU311)))))</f>
        <v>0</v>
      </c>
      <c r="EN311" s="833"/>
      <c r="EO311" s="834">
        <f>+IF(OR(DW311=DV311,EO$44=1),0,
IF(AND(EO$44&gt;1,DW311=$N311),1-SUM($EN311:EN311),
IF($N311&lt;=1,
IF($N311&gt;0,1/$N311,0),
IF(EO$44=2,0,VDB(1,0,$N311,INT(EO$44-2-1),MIN($N311,INT(EO$44-2-1)+1),$DC311,IF($DD311="No",1,0))/
IF(DV311&gt;=INT($N311),$N311-INT($N311),1)))*
IF(EO$44=2,0,
IF(INT(DW311)=INT(DV311),DW311-DV311,INT(DW311)-DV311))+
IF($N311&lt;=1,
IF($N311&gt;0,1/$N311,0),VDB(1,0,$N311,INT(EO$44-2),MIN($N311,INT(EO$44-2)+1),$DC311,IF($DD311="No",1,0))/
IF(DW311&gt;INT($N311),$N311-INT($N311),1))*
IF(EO$44=2,DW311,
IF(INT(DW311)=INT(DV311),0,DW311-INT(DW311)))))</f>
        <v>0</v>
      </c>
      <c r="EP311" s="835">
        <f>+IF(OR(DX311=DW311,EP$44=1),0,
IF(AND(EP$44&gt;1,DX311=$N311),1-SUM($EN311:EO311),
IF($N311&lt;=1,
IF($N311&gt;0,1/$N311,0),
IF(EP$44=2,0,VDB(1,0,$N311,INT(EP$44-2-1),MIN($N311,INT(EP$44-2-1)+1),$DC311,IF($DD311="No",1,0))/
IF(DW311&gt;=INT($N311),$N311-INT($N311),1)))*
IF(EP$44=2,0,
IF(INT(DX311)=INT(DW311),DX311-DW311,INT(DX311)-DW311))+
IF($N311&lt;=1,
IF($N311&gt;0,1/$N311,0),VDB(1,0,$N311,INT(EP$44-2),MIN($N311,INT(EP$44-2)+1),$DC311,IF($DD311="No",1,0))/
IF(DX311&gt;INT($N311),$N311-INT($N311),1))*
IF(EP$44=2,DX311,
IF(INT(DX311)=INT(DW311),0,DX311-INT(DX311)))))</f>
        <v>0</v>
      </c>
      <c r="EQ311" s="836">
        <f>+IF(OR(DY311=DX311,EQ$44=1),0,
IF(AND(EQ$44&gt;1,DY311=$N311),1-SUM($EN311:EP311),
IF($N311&lt;=1,
IF($N311&gt;0,1/$N311,0),
IF(EQ$44=2,0,VDB(1,0,$N311,INT(EQ$44-2-1),MIN($N311,INT(EQ$44-2-1)+1),$DC311,IF($DD311="No",1,0))/
IF(DX311&gt;=INT($N311),$N311-INT($N311),1)))*
IF(EQ$44=2,0,
IF(INT(DY311)=INT(DX311),DY311-DX311,INT(DY311)-DX311))+
IF($N311&lt;=1,
IF($N311&gt;0,1/$N311,0),VDB(1,0,$N311,INT(EQ$44-2),MIN($N311,INT(EQ$44-2)+1),$DC311,IF($DD311="No",1,0))/
IF(DY311&gt;INT($N311),$N311-INT($N311),1))*
IF(EQ$44=2,DY311,
IF(INT(DY311)=INT(DX311),0,DY311-INT(DY311)))))</f>
        <v>0</v>
      </c>
      <c r="ER311" s="834">
        <f>+IF(OR(DZ311=DY311,ER$44=1),0,
IF(AND(ER$44&gt;1,DZ311=$N311),1-SUM($EN311:EQ311),
IF($N311&lt;=1,
IF($N311&gt;0,1/$N311,0),
IF(ER$44=2,0,VDB(1,0,$N311,INT(ER$44-2-1),MIN($N311,INT(ER$44-2-1)+1),$DC311,IF($DD311="No",1,0))/
IF(DY311&gt;=INT($N311),$N311-INT($N311),1)))*
IF(ER$44=2,0,
IF(INT(DZ311)=INT(DY311),DZ311-DY311,INT(DZ311)-DY311))+
IF($N311&lt;=1,
IF($N311&gt;0,1/$N311,0),VDB(1,0,$N311,INT(ER$44-2),MIN($N311,INT(ER$44-2)+1),$DC311,IF($DD311="No",1,0))/
IF(DZ311&gt;INT($N311),$N311-INT($N311),1))*
IF(ER$44=2,DZ311,
IF(INT(DZ311)=INT(DY311),0,DZ311-INT(DZ311)))))</f>
        <v>0</v>
      </c>
      <c r="ES311" s="835">
        <f>+IF(OR(EA311=DZ311,ES$44=1),0,
IF(AND(ES$44&gt;1,EA311=$N311),1-SUM($EN311:ER311),
IF($N311&lt;=1,
IF($N311&gt;0,1/$N311,0),
IF(ES$44=2,0,VDB(1,0,$N311,INT(ES$44-2-1),MIN($N311,INT(ES$44-2-1)+1),$DC311,IF($DD311="No",1,0))/
IF(DZ311&gt;=INT($N311),$N311-INT($N311),1)))*
IF(ES$44=2,0,
IF(INT(EA311)=INT(DZ311),EA311-DZ311,INT(EA311)-DZ311))+
IF($N311&lt;=1,
IF($N311&gt;0,1/$N311,0),VDB(1,0,$N311,INT(ES$44-2),MIN($N311,INT(ES$44-2)+1),$DC311,IF($DD311="No",1,0))/
IF(EA311&gt;INT($N311),$N311-INT($N311),1))*
IF(ES$44=2,EA311,
IF(INT(EA311)=INT(DZ311),0,EA311-INT(EA311)))))</f>
        <v>0</v>
      </c>
      <c r="ET311" s="835">
        <f>+IF(OR(EB311=EA311,ET$44=1),0,
IF(AND(ET$44&gt;1,EB311=$N311),1-SUM($EN311:ES311),
IF($N311&lt;=1,
IF($N311&gt;0,1/$N311,0),
IF(ET$44=2,0,VDB(1,0,$N311,INT(ET$44-2-1),MIN($N311,INT(ET$44-2-1)+1),$DC311,IF($DD311="No",1,0))/
IF(EA311&gt;=INT($N311),$N311-INT($N311),1)))*
IF(ET$44=2,0,
IF(INT(EB311)=INT(EA311),EB311-EA311,INT(EB311)-EA311))+
IF($N311&lt;=1,
IF($N311&gt;0,1/$N311,0),VDB(1,0,$N311,INT(ET$44-2),MIN($N311,INT(ET$44-2)+1),$DC311,IF($DD311="No",1,0))/
IF(EB311&gt;INT($N311),$N311-INT($N311),1))*
IF(ET$44=2,EB311,
IF(INT(EB311)=INT(EA311),0,EB311-INT(EB311)))))</f>
        <v>0</v>
      </c>
      <c r="EU311" s="835">
        <f>+IF(OR(EC311=EB311,EU$44=1),0,
IF(AND(EU$44&gt;1,EC311=$N311),1-SUM($EN311:ET311),
IF($N311&lt;=1,
IF($N311&gt;0,1/$N311,0),
IF(EU$44=2,0,VDB(1,0,$N311,INT(EU$44-2-1),MIN($N311,INT(EU$44-2-1)+1),$DC311,IF($DD311="No",1,0))/
IF(EB311&gt;=INT($N311),$N311-INT($N311),1)))*
IF(EU$44=2,0,
IF(INT(EC311)=INT(EB311),EC311-EB311,INT(EC311)-EB311))+
IF($N311&lt;=1,
IF($N311&gt;0,1/$N311,0),VDB(1,0,$N311,INT(EU$44-2),MIN($N311,INT(EU$44-2)+1),$DC311,IF($DD311="No",1,0))/
IF(EC311&gt;INT($N311),$N311-INT($N311),1))*
IF(EU$44=2,EC311,
IF(INT(EC311)=INT(EB311),0,EC311-INT(EC311)))))</f>
        <v>0</v>
      </c>
      <c r="EV311" s="836">
        <f>+IF(OR(ED311=EC311,EV$44=1),0,
IF(AND(EV$44&gt;1,ED311=$N311),1-SUM($EN311:EU311),
IF($N311&lt;=1,
IF($N311&gt;0,1/$N311,0),
IF(EV$44=2,0,VDB(1,0,$N311,INT(EV$44-2-1),MIN($N311,INT(EV$44-2-1)+1),$DC311,IF($DD311="No",1,0))/
IF(EC311&gt;=INT($N311),$N311-INT($N311),1)))*
IF(EV$44=2,0,
IF(INT(ED311)=INT(EC311),ED311-EC311,INT(ED311)-EC311))+
IF($N311&lt;=1,
IF($N311&gt;0,1/$N311,0),VDB(1,0,$N311,INT(EV$44-2),MIN($N311,INT(EV$44-2)+1),$DC311,IF($DD311="No",1,0))/
IF(ED311&gt;INT($N311),$N311-INT($N311),1))*
IF(EV$44=2,ED311,
IF(INT(ED311)=INT(EC311),0,ED311-INT(ED311)))))</f>
        <v>0</v>
      </c>
      <c r="EW311" s="833"/>
      <c r="EX311" s="834">
        <f t="shared" ca="1" si="520"/>
        <v>0</v>
      </c>
      <c r="EY311" s="835">
        <f t="shared" ca="1" si="520"/>
        <v>0</v>
      </c>
      <c r="EZ311" s="836">
        <f t="shared" ca="1" si="520"/>
        <v>0</v>
      </c>
      <c r="FA311" s="834">
        <f t="shared" ca="1" si="520"/>
        <v>0</v>
      </c>
      <c r="FB311" s="835">
        <f t="shared" ca="1" si="520"/>
        <v>0</v>
      </c>
      <c r="FC311" s="835">
        <f t="shared" ca="1" si="520"/>
        <v>0</v>
      </c>
      <c r="FD311" s="835">
        <f t="shared" ca="1" si="520"/>
        <v>0</v>
      </c>
      <c r="FE311" s="836">
        <f t="shared" ca="1" si="520"/>
        <v>0</v>
      </c>
      <c r="FG311" s="386">
        <f t="shared" ca="1" si="521"/>
        <v>0</v>
      </c>
      <c r="FH311" s="387">
        <f t="shared" ca="1" si="522"/>
        <v>0</v>
      </c>
      <c r="FI311" s="388">
        <f t="shared" ca="1" si="523"/>
        <v>0</v>
      </c>
      <c r="FJ311" s="386">
        <f t="shared" ca="1" si="524"/>
        <v>0</v>
      </c>
      <c r="FK311" s="387">
        <f t="shared" ca="1" si="525"/>
        <v>0</v>
      </c>
      <c r="FL311" s="387">
        <f t="shared" ca="1" si="526"/>
        <v>0</v>
      </c>
      <c r="FM311" s="387">
        <f t="shared" ca="1" si="527"/>
        <v>0</v>
      </c>
      <c r="FN311" s="388">
        <f t="shared" ca="1" si="528"/>
        <v>0</v>
      </c>
      <c r="FR311" s="116"/>
    </row>
    <row r="312" spans="2:174">
      <c r="B312" s="1410">
        <f t="shared" si="512"/>
        <v>266</v>
      </c>
      <c r="C312" s="400"/>
      <c r="D312" s="410"/>
      <c r="E312" s="402"/>
      <c r="F312" s="402"/>
      <c r="G312" s="400"/>
      <c r="H312" s="2088"/>
      <c r="I312" s="2089"/>
      <c r="J312" s="411"/>
      <c r="K312" s="403"/>
      <c r="L312" s="403"/>
      <c r="M312" s="403"/>
      <c r="N312" s="403"/>
      <c r="O312" s="347"/>
      <c r="P312" s="347"/>
      <c r="Q312" s="1021"/>
      <c r="R312" s="1022"/>
      <c r="S312" s="1022"/>
      <c r="T312" s="1022"/>
      <c r="U312" s="1023"/>
      <c r="V312" s="1021"/>
      <c r="W312" s="1022"/>
      <c r="X312" s="1022"/>
      <c r="Y312" s="1022"/>
      <c r="Z312" s="1023"/>
      <c r="AA312" s="1024"/>
      <c r="AB312" s="1021"/>
      <c r="AC312" s="1022"/>
      <c r="AD312" s="1022"/>
      <c r="AE312" s="1022"/>
      <c r="AF312" s="1023"/>
      <c r="AG312" s="1021"/>
      <c r="AH312" s="1022"/>
      <c r="AI312" s="1022"/>
      <c r="AJ312" s="1022"/>
      <c r="AK312" s="1023"/>
      <c r="AL312" s="1024"/>
      <c r="AM312" s="1021"/>
      <c r="AN312" s="1022"/>
      <c r="AO312" s="1022"/>
      <c r="AP312" s="1022"/>
      <c r="AQ312" s="1023"/>
      <c r="AR312" s="1021"/>
      <c r="AS312" s="1022"/>
      <c r="AT312" s="1022"/>
      <c r="AU312" s="1022"/>
      <c r="AV312" s="1023"/>
      <c r="AW312" s="1025"/>
      <c r="AX312" s="1282">
        <f t="shared" si="514"/>
        <v>0</v>
      </c>
      <c r="AY312" s="387">
        <f t="shared" si="514"/>
        <v>0</v>
      </c>
      <c r="AZ312" s="387">
        <f t="shared" si="514"/>
        <v>0</v>
      </c>
      <c r="BA312" s="387">
        <f t="shared" si="514"/>
        <v>0</v>
      </c>
      <c r="BB312" s="1283">
        <f t="shared" si="514"/>
        <v>0</v>
      </c>
      <c r="BC312" s="386">
        <f t="shared" si="514"/>
        <v>0</v>
      </c>
      <c r="BD312" s="387">
        <f t="shared" si="514"/>
        <v>0</v>
      </c>
      <c r="BE312" s="1277">
        <f t="shared" si="515"/>
        <v>0</v>
      </c>
      <c r="BF312" s="1277">
        <f t="shared" si="515"/>
        <v>0</v>
      </c>
      <c r="BG312" s="388">
        <f t="shared" si="515"/>
        <v>0</v>
      </c>
      <c r="BH312" s="1025"/>
      <c r="BI312" s="1282">
        <f ca="1">IF($L312=0,0,
IF($L312&lt;=0.5,BT312,
IF($J312="straight line",
IF((LEFT(BI$43,4)*1)-INT($L312)&lt;LEFT($BI$43,4)*1,0,((OFFSET(BT312,0,-INT($L312+0.5),1,1))/$L312)*(IF($L312-INT($L312)&gt;0.5,$L312-0.5-INT($L312),IF($L312-INT($L312)&lt;=0.5,$L312-0.5-INT($L312)+1,0))))
+BT312/$L312*0.5,
IF($J312="Declining Balance",-$BI$42,0))))</f>
        <v>0</v>
      </c>
      <c r="BJ312" s="387">
        <f t="shared" ca="1" si="516"/>
        <v>0</v>
      </c>
      <c r="BK312" s="387">
        <f t="shared" ca="1" si="516"/>
        <v>0</v>
      </c>
      <c r="BL312" s="387">
        <f t="shared" ca="1" si="516"/>
        <v>0</v>
      </c>
      <c r="BM312" s="1283">
        <f t="shared" ca="1" si="516"/>
        <v>0</v>
      </c>
      <c r="BN312" s="386">
        <f t="shared" ca="1" si="516"/>
        <v>0</v>
      </c>
      <c r="BO312" s="387">
        <f t="shared" ca="1" si="516"/>
        <v>0</v>
      </c>
      <c r="BP312" s="1277">
        <f t="shared" ca="1" si="516"/>
        <v>0</v>
      </c>
      <c r="BQ312" s="1277">
        <f t="shared" ca="1" si="516"/>
        <v>0</v>
      </c>
      <c r="BR312" s="388">
        <f t="shared" ca="1" si="516"/>
        <v>0</v>
      </c>
      <c r="BS312" s="1025"/>
      <c r="BT312" s="1282">
        <f>+IF($K312="Ongoing",AX312,IF(RIGHT($K312,2)=RIGHT(BT$43,2),SUM($AX312:AX312),0)+IF(RIGHT(BT$43,2)&gt;RIGHT($K312,2),AX312,0))</f>
        <v>0</v>
      </c>
      <c r="BU312" s="387">
        <f>+IF($K312="Ongoing",AY312,IF(RIGHT($K312,2)=RIGHT(BU$43,2),SUM($AX312:AY312),0)+IF(RIGHT(BU$43,2)&gt;RIGHT($K312,2),AY312,0))</f>
        <v>0</v>
      </c>
      <c r="BV312" s="387">
        <f>+IF($K312="Ongoing",AZ312,IF(RIGHT($K312,2)=RIGHT(BV$43,2),SUM($AX312:AZ312),0)+IF(RIGHT(BV$43,2)&gt;RIGHT($K312,2),AZ312,0))</f>
        <v>0</v>
      </c>
      <c r="BW312" s="387">
        <f>+IF($K312="Ongoing",BA312,IF(RIGHT($K312,2)=RIGHT(BW$43,2),SUM($AX312:BA312),0)+IF(RIGHT(BW$43,2)&gt;RIGHT($K312,2),BA312,0))</f>
        <v>0</v>
      </c>
      <c r="BX312" s="1283">
        <f>+IF($K312="Ongoing",BB312,IF(RIGHT($K312,2)=RIGHT(BX$43,2),SUM($AX312:BB312),0)+IF(RIGHT(BX$43,2)&gt;RIGHT($K312,2),BB312,0))</f>
        <v>0</v>
      </c>
      <c r="BY312" s="386">
        <f>+IF($K312="Ongoing",BC312,IF(RIGHT($K312,2)=RIGHT(BY$43,2),SUM($AX312:BC312),0)+IF(RIGHT(BY$43,2)&gt;RIGHT($K312,2),BC312,0))</f>
        <v>0</v>
      </c>
      <c r="BZ312" s="387">
        <f>+IF($K312="Ongoing",BD312,IF(RIGHT($K312,2)=RIGHT(BZ$43,2),SUM($AX312:BD312),0)+IF(RIGHT(BZ$43,2)&gt;RIGHT($K312,2),BD312,0))</f>
        <v>0</v>
      </c>
      <c r="CA312" s="1277">
        <f>+IF($K312="Ongoing",BE312,IF(RIGHT($K312,2)=RIGHT(CA$43,2),SUM($AX312:BE312),0)+IF(RIGHT(CA$43,2)&gt;RIGHT($K312,2),BE312,0))</f>
        <v>0</v>
      </c>
      <c r="CB312" s="1277">
        <f>+IF($K312="Ongoing",BF312,IF(RIGHT($K312,2)=RIGHT(CB$43,2),SUM($AX312:BF312),0)+IF(RIGHT(CB$43,2)&gt;RIGHT($K312,2),BF312,0))</f>
        <v>0</v>
      </c>
      <c r="CC312" s="388">
        <f>+IF($K312="Ongoing",BG312,IF(RIGHT($K312,2)=RIGHT(CC$43,2),SUM($AX312:BG312),0)+IF(RIGHT(CC$43,2)&gt;RIGHT($K312,2),BG312,0))</f>
        <v>0</v>
      </c>
      <c r="CD312" s="1025"/>
      <c r="CE312" s="1282">
        <f>+Q312*KeyAssumptionsPriceControl_FO!AF$15</f>
        <v>0</v>
      </c>
      <c r="CF312" s="387">
        <f>+R312*KeyAssumptionsPriceControl_FO!AG$15</f>
        <v>0</v>
      </c>
      <c r="CG312" s="387">
        <f>+S312*KeyAssumptionsPriceControl_FO!AH$15</f>
        <v>0</v>
      </c>
      <c r="CH312" s="387">
        <f>+T312*KeyAssumptionsPriceControl_FO!AI$15</f>
        <v>0</v>
      </c>
      <c r="CI312" s="1283">
        <f>+U312*KeyAssumptionsPriceControl_FO!AJ$15</f>
        <v>0</v>
      </c>
      <c r="CJ312" s="386">
        <f>+V312*KeyAssumptionsPriceControl_FO!AK$15</f>
        <v>0</v>
      </c>
      <c r="CK312" s="387">
        <f>+W312*KeyAssumptionsPriceControl_FO!AL$15</f>
        <v>0</v>
      </c>
      <c r="CL312" s="1277">
        <f>+X312*KeyAssumptionsPriceControl_FO!AM$15</f>
        <v>0</v>
      </c>
      <c r="CM312" s="1277">
        <f>+Y312*KeyAssumptionsPriceControl_FO!AN$15</f>
        <v>0</v>
      </c>
      <c r="CN312" s="388">
        <f>+Z312*KeyAssumptionsPriceControl_FO!AO$15</f>
        <v>0</v>
      </c>
      <c r="CO312" s="1025"/>
      <c r="CP312" s="1282">
        <f t="shared" ca="1" si="517"/>
        <v>0</v>
      </c>
      <c r="CQ312" s="387">
        <f t="shared" ca="1" si="517"/>
        <v>0</v>
      </c>
      <c r="CR312" s="387">
        <f t="shared" ca="1" si="517"/>
        <v>0</v>
      </c>
      <c r="CS312" s="387">
        <f t="shared" ca="1" si="517"/>
        <v>0</v>
      </c>
      <c r="CT312" s="1283">
        <f t="shared" ca="1" si="517"/>
        <v>0</v>
      </c>
      <c r="CU312" s="386">
        <f t="shared" ca="1" si="517"/>
        <v>0</v>
      </c>
      <c r="CV312" s="387">
        <f t="shared" ca="1" si="517"/>
        <v>0</v>
      </c>
      <c r="CW312" s="1277">
        <f t="shared" ca="1" si="517"/>
        <v>0</v>
      </c>
      <c r="CX312" s="1277">
        <f t="shared" ca="1" si="517"/>
        <v>0</v>
      </c>
      <c r="CY312" s="388">
        <f t="shared" ca="1" si="517"/>
        <v>0</v>
      </c>
      <c r="CZ312" s="347"/>
      <c r="DA312" s="852"/>
      <c r="DB312" s="347"/>
      <c r="DC312" s="1012" t="s">
        <v>517</v>
      </c>
      <c r="DD312" s="841" t="s">
        <v>518</v>
      </c>
      <c r="DE312" s="386">
        <f>+IF($K312="ongoing",CE312,IF(RIGHT($K312,2)=RIGHT(DE$43,2),SUM($CD312:CE312),0)+IF(RIGHT(DE$43,2)&gt;RIGHT($K312,2),CE312,0))</f>
        <v>0</v>
      </c>
      <c r="DF312" s="387">
        <f>+IF($K312="ongoing",CF312,IF(RIGHT($K312,2)=RIGHT(DF$43,2),SUM($CD312:CF312),0)+IF(RIGHT(DF$43,2)&gt;RIGHT($K312,2),CF312,0))</f>
        <v>0</v>
      </c>
      <c r="DG312" s="388">
        <f>+IF($K312="ongoing",CG312,IF(RIGHT($K312,2)=RIGHT(DG$43,2),SUM($CD312:CG312),0)+IF(RIGHT(DG$43,2)&gt;RIGHT($K312,2),CG312,0))</f>
        <v>0</v>
      </c>
      <c r="DH312" s="386">
        <f>+IF($K312="ongoing",CH312,IF(RIGHT($K312,2)=RIGHT(DH$43,2),SUM($CD312:CH312),0)+IF(RIGHT(DH$43,2)&gt;RIGHT($K312,2),CH312,0))</f>
        <v>0</v>
      </c>
      <c r="DI312" s="387">
        <f>+IF($K312="ongoing",CI312,IF(RIGHT($K312,2)=RIGHT(DI$43,2),SUM($CD312:CI312),0)+IF(RIGHT(DI$43,2)&gt;RIGHT($K312,2),CI312,0))</f>
        <v>0</v>
      </c>
      <c r="DJ312" s="387">
        <f>+IF($K312="ongoing",CJ312,IF(RIGHT($K312,2)=RIGHT(DJ$43,2),SUM($CD312:CJ312),0)+IF(RIGHT(DJ$43,2)&gt;RIGHT($K312,2),CJ312,0))</f>
        <v>0</v>
      </c>
      <c r="DK312" s="387">
        <f>+IF($K312="ongoing",CK312,IF(RIGHT($K312,2)=RIGHT(DK$43,2),SUM($CD312:CK312),0)+IF(RIGHT(DK$43,2)&gt;RIGHT($K312,2),CK312,0))</f>
        <v>0</v>
      </c>
      <c r="DL312" s="388">
        <f>+IF($K312="ongoing",CN312,IF(RIGHT($K312,2)=RIGHT(DL$43,2),SUM($CD312:CN312),0)+IF(RIGHT(DL$43,2)&gt;RIGHT($K312,2),CN312,0))</f>
        <v>0</v>
      </c>
      <c r="DM312" s="841"/>
      <c r="DN312" s="386">
        <f t="shared" ref="DN312:DU321" si="529">+MIN(IF($N312&lt;=$DC312,MIN($N312,1),$N312),IF(DN$44=1,0.5,DM312+1))</f>
        <v>0.5</v>
      </c>
      <c r="DO312" s="387">
        <f t="shared" si="529"/>
        <v>1</v>
      </c>
      <c r="DP312" s="388">
        <f t="shared" si="529"/>
        <v>1</v>
      </c>
      <c r="DQ312" s="386">
        <f t="shared" si="529"/>
        <v>1</v>
      </c>
      <c r="DR312" s="387">
        <f t="shared" si="529"/>
        <v>1</v>
      </c>
      <c r="DS312" s="387">
        <f t="shared" si="529"/>
        <v>1</v>
      </c>
      <c r="DT312" s="387">
        <f t="shared" si="529"/>
        <v>1</v>
      </c>
      <c r="DU312" s="388">
        <f t="shared" si="529"/>
        <v>1</v>
      </c>
      <c r="DW312" s="386">
        <f t="shared" ref="DW312:ED321" si="530">+IF(DW$44=1,0,MIN(IF($N312&lt;=$DC312,MIN($N312,1),$N312),IF(DW$44=2,0.5,DV312+1)))</f>
        <v>0</v>
      </c>
      <c r="DX312" s="387">
        <f t="shared" si="530"/>
        <v>0.5</v>
      </c>
      <c r="DY312" s="388">
        <f t="shared" si="530"/>
        <v>1</v>
      </c>
      <c r="DZ312" s="386">
        <f t="shared" si="530"/>
        <v>1</v>
      </c>
      <c r="EA312" s="387">
        <f t="shared" si="530"/>
        <v>1</v>
      </c>
      <c r="EB312" s="387">
        <f t="shared" si="530"/>
        <v>1</v>
      </c>
      <c r="EC312" s="387">
        <f t="shared" si="530"/>
        <v>1</v>
      </c>
      <c r="ED312" s="388">
        <f t="shared" si="530"/>
        <v>1</v>
      </c>
      <c r="EF312" s="834">
        <f>+IF(DN312=DM312,0,
IF(AND(EF$44&gt;1,DN312=$N312),1-SUM($EE312:EE312),
IF($N312&lt;=1,
IF($N312&gt;0,1/$N312,0),
IF(EF$44=1,0,VDB(1,0,$N312,INT(EF$44-1-1),MIN($N312,INT(EF$44-1-1)+1),$DC312,IF($DD312="No",1,0))/
IF(DM312&gt;=INT($N312),$N312-INT($N312),1)))*
IF(EF$44=1,0,
IF(INT(DN312)=INT(DM312),DN312-DM312,INT(DN312)-DM312))+
IF($N312&lt;=1,
IF($N312&gt;0,1/$N312,0),VDB(1,0,$N312,INT(EF$44-1),MIN($N312,INT(EF$44-1)+1),$DC312,IF($DD312="No",1,0))/
IF(DN312&gt;INT($N312),$N312-INT($N312),1))*
IF(EF$44=1,DN312,
IF(INT(DN312)=INT(DM312),0,DN312-INT(DN312)))))</f>
        <v>0</v>
      </c>
      <c r="EG312" s="835">
        <f>+IF(DO312=DN312,0,
IF(AND(EG$44&gt;1,DO312=$N312),1-SUM($EE312:EF312),
IF($N312&lt;=1,
IF($N312&gt;0,1/$N312,0),
IF(EG$44=1,0,VDB(1,0,$N312,INT(EG$44-1-1),MIN($N312,INT(EG$44-1-1)+1),$DC312,IF($DD312="No",1,0))/
IF(DN312&gt;=INT($N312),$N312-INT($N312),1)))*
IF(EG$44=1,0,
IF(INT(DO312)=INT(DN312),DO312-DN312,INT(DO312)-DN312))+
IF($N312&lt;=1,
IF($N312&gt;0,1/$N312,0),VDB(1,0,$N312,INT(EG$44-1),MIN($N312,INT(EG$44-1)+1),$DC312,IF($DD312="No",1,0))/
IF(DO312&gt;INT($N312),$N312-INT($N312),1))*
IF(EG$44=1,DO312,
IF(INT(DO312)=INT(DN312),0,DO312-INT(DO312)))))</f>
        <v>0</v>
      </c>
      <c r="EH312" s="836">
        <f>+IF(DP312=DO312,0,
IF(AND(EH$44&gt;1,DP312=$N312),1-SUM($EE312:EG312),
IF($N312&lt;=1,
IF($N312&gt;0,1/$N312,0),
IF(EH$44=1,0,VDB(1,0,$N312,INT(EH$44-1-1),MIN($N312,INT(EH$44-1-1)+1),$DC312,IF($DD312="No",1,0))/
IF(DO312&gt;=INT($N312),$N312-INT($N312),1)))*
IF(EH$44=1,0,
IF(INT(DP312)=INT(DO312),DP312-DO312,INT(DP312)-DO312))+
IF($N312&lt;=1,
IF($N312&gt;0,1/$N312,0),VDB(1,0,$N312,INT(EH$44-1),MIN($N312,INT(EH$44-1)+1),$DC312,IF($DD312="No",1,0))/
IF(DP312&gt;INT($N312),$N312-INT($N312),1))*
IF(EH$44=1,DP312,
IF(INT(DP312)=INT(DO312),0,DP312-INT(DP312)))))</f>
        <v>0</v>
      </c>
      <c r="EI312" s="834">
        <f>+IF(DQ312=DP312,0,
IF(AND(EI$44&gt;1,DQ312=$N312),1-SUM($EE312:EH312),
IF($N312&lt;=1,
IF($N312&gt;0,1/$N312,0),
IF(EI$44=1,0,VDB(1,0,$N312,INT(EI$44-1-1),MIN($N312,INT(EI$44-1-1)+1),$DC312,IF($DD312="No",1,0))/
IF(DP312&gt;=INT($N312),$N312-INT($N312),1)))*
IF(EI$44=1,0,
IF(INT(DQ312)=INT(DP312),DQ312-DP312,INT(DQ312)-DP312))+
IF($N312&lt;=1,
IF($N312&gt;0,1/$N312,0),VDB(1,0,$N312,INT(EI$44-1),MIN($N312,INT(EI$44-1)+1),$DC312,IF($DD312="No",1,0))/
IF(DQ312&gt;INT($N312),$N312-INT($N312),1))*
IF(EI$44=1,DQ312,
IF(INT(DQ312)=INT(DP312),0,DQ312-INT(DQ312)))))</f>
        <v>0</v>
      </c>
      <c r="EJ312" s="835">
        <f>+IF(DR312=DQ312,0,
IF(AND(EJ$44&gt;1,DR312=$N312),1-SUM($EE312:EI312),
IF($N312&lt;=1,
IF($N312&gt;0,1/$N312,0),
IF(EJ$44=1,0,VDB(1,0,$N312,INT(EJ$44-1-1),MIN($N312,INT(EJ$44-1-1)+1),$DC312,IF($DD312="No",1,0))/
IF(DQ312&gt;=INT($N312),$N312-INT($N312),1)))*
IF(EJ$44=1,0,
IF(INT(DR312)=INT(DQ312),DR312-DQ312,INT(DR312)-DQ312))+
IF($N312&lt;=1,
IF($N312&gt;0,1/$N312,0),VDB(1,0,$N312,INT(EJ$44-1),MIN($N312,INT(EJ$44-1)+1),$DC312,IF($DD312="No",1,0))/
IF(DR312&gt;INT($N312),$N312-INT($N312),1))*
IF(EJ$44=1,DR312,
IF(INT(DR312)=INT(DQ312),0,DR312-INT(DR312)))))</f>
        <v>0</v>
      </c>
      <c r="EK312" s="835">
        <f>+IF(DS312=DR312,0,
IF(AND(EK$44&gt;1,DS312=$N312),1-SUM($EE312:EJ312),
IF($N312&lt;=1,
IF($N312&gt;0,1/$N312,0),
IF(EK$44=1,0,VDB(1,0,$N312,INT(EK$44-1-1),MIN($N312,INT(EK$44-1-1)+1),$DC312,IF($DD312="No",1,0))/
IF(DR312&gt;=INT($N312),$N312-INT($N312),1)))*
IF(EK$44=1,0,
IF(INT(DS312)=INT(DR312),DS312-DR312,INT(DS312)-DR312))+
IF($N312&lt;=1,
IF($N312&gt;0,1/$N312,0),VDB(1,0,$N312,INT(EK$44-1),MIN($N312,INT(EK$44-1)+1),$DC312,IF($DD312="No",1,0))/
IF(DS312&gt;INT($N312),$N312-INT($N312),1))*
IF(EK$44=1,DS312,
IF(INT(DS312)=INT(DR312),0,DS312-INT(DS312)))))</f>
        <v>0</v>
      </c>
      <c r="EL312" s="835">
        <f>+IF(DT312=DS312,0,
IF(AND(EL$44&gt;1,DT312=$N312),1-SUM($EE312:EK312),
IF($N312&lt;=1,
IF($N312&gt;0,1/$N312,0),
IF(EL$44=1,0,VDB(1,0,$N312,INT(EL$44-1-1),MIN($N312,INT(EL$44-1-1)+1),$DC312,IF($DD312="No",1,0))/
IF(DS312&gt;=INT($N312),$N312-INT($N312),1)))*
IF(EL$44=1,0,
IF(INT(DT312)=INT(DS312),DT312-DS312,INT(DT312)-DS312))+
IF($N312&lt;=1,
IF($N312&gt;0,1/$N312,0),VDB(1,0,$N312,INT(EL$44-1),MIN($N312,INT(EL$44-1)+1),$DC312,IF($DD312="No",1,0))/
IF(DT312&gt;INT($N312),$N312-INT($N312),1))*
IF(EL$44=1,DT312,
IF(INT(DT312)=INT(DS312),0,DT312-INT(DT312)))))</f>
        <v>0</v>
      </c>
      <c r="EM312" s="836">
        <f>+IF(DU312=DT312,0,
IF(AND(EM$44&gt;1,DU312=$N312),1-SUM($EE312:EL312),
IF($N312&lt;=1,
IF($N312&gt;0,1/$N312,0),
IF(EM$44=1,0,VDB(1,0,$N312,INT(EM$44-1-1),MIN($N312,INT(EM$44-1-1)+1),$DC312,IF($DD312="No",1,0))/
IF(DT312&gt;=INT($N312),$N312-INT($N312),1)))*
IF(EM$44=1,0,
IF(INT(DU312)=INT(DT312),DU312-DT312,INT(DU312)-DT312))+
IF($N312&lt;=1,
IF($N312&gt;0,1/$N312,0),VDB(1,0,$N312,INT(EM$44-1),MIN($N312,INT(EM$44-1)+1),$DC312,IF($DD312="No",1,0))/
IF(DU312&gt;INT($N312),$N312-INT($N312),1))*
IF(EM$44=1,DU312,
IF(INT(DU312)=INT(DT312),0,DU312-INT(DU312)))))</f>
        <v>0</v>
      </c>
      <c r="EN312" s="833"/>
      <c r="EO312" s="834">
        <f>+IF(OR(DW312=DV312,EO$44=1),0,
IF(AND(EO$44&gt;1,DW312=$N312),1-SUM($EN312:EN312),
IF($N312&lt;=1,
IF($N312&gt;0,1/$N312,0),
IF(EO$44=2,0,VDB(1,0,$N312,INT(EO$44-2-1),MIN($N312,INT(EO$44-2-1)+1),$DC312,IF($DD312="No",1,0))/
IF(DV312&gt;=INT($N312),$N312-INT($N312),1)))*
IF(EO$44=2,0,
IF(INT(DW312)=INT(DV312),DW312-DV312,INT(DW312)-DV312))+
IF($N312&lt;=1,
IF($N312&gt;0,1/$N312,0),VDB(1,0,$N312,INT(EO$44-2),MIN($N312,INT(EO$44-2)+1),$DC312,IF($DD312="No",1,0))/
IF(DW312&gt;INT($N312),$N312-INT($N312),1))*
IF(EO$44=2,DW312,
IF(INT(DW312)=INT(DV312),0,DW312-INT(DW312)))))</f>
        <v>0</v>
      </c>
      <c r="EP312" s="835">
        <f>+IF(OR(DX312=DW312,EP$44=1),0,
IF(AND(EP$44&gt;1,DX312=$N312),1-SUM($EN312:EO312),
IF($N312&lt;=1,
IF($N312&gt;0,1/$N312,0),
IF(EP$44=2,0,VDB(1,0,$N312,INT(EP$44-2-1),MIN($N312,INT(EP$44-2-1)+1),$DC312,IF($DD312="No",1,0))/
IF(DW312&gt;=INT($N312),$N312-INT($N312),1)))*
IF(EP$44=2,0,
IF(INT(DX312)=INT(DW312),DX312-DW312,INT(DX312)-DW312))+
IF($N312&lt;=1,
IF($N312&gt;0,1/$N312,0),VDB(1,0,$N312,INT(EP$44-2),MIN($N312,INT(EP$44-2)+1),$DC312,IF($DD312="No",1,0))/
IF(DX312&gt;INT($N312),$N312-INT($N312),1))*
IF(EP$44=2,DX312,
IF(INT(DX312)=INT(DW312),0,DX312-INT(DX312)))))</f>
        <v>0</v>
      </c>
      <c r="EQ312" s="836">
        <f>+IF(OR(DY312=DX312,EQ$44=1),0,
IF(AND(EQ$44&gt;1,DY312=$N312),1-SUM($EN312:EP312),
IF($N312&lt;=1,
IF($N312&gt;0,1/$N312,0),
IF(EQ$44=2,0,VDB(1,0,$N312,INT(EQ$44-2-1),MIN($N312,INT(EQ$44-2-1)+1),$DC312,IF($DD312="No",1,0))/
IF(DX312&gt;=INT($N312),$N312-INT($N312),1)))*
IF(EQ$44=2,0,
IF(INT(DY312)=INT(DX312),DY312-DX312,INT(DY312)-DX312))+
IF($N312&lt;=1,
IF($N312&gt;0,1/$N312,0),VDB(1,0,$N312,INT(EQ$44-2),MIN($N312,INT(EQ$44-2)+1),$DC312,IF($DD312="No",1,0))/
IF(DY312&gt;INT($N312),$N312-INT($N312),1))*
IF(EQ$44=2,DY312,
IF(INT(DY312)=INT(DX312),0,DY312-INT(DY312)))))</f>
        <v>0</v>
      </c>
      <c r="ER312" s="834">
        <f>+IF(OR(DZ312=DY312,ER$44=1),0,
IF(AND(ER$44&gt;1,DZ312=$N312),1-SUM($EN312:EQ312),
IF($N312&lt;=1,
IF($N312&gt;0,1/$N312,0),
IF(ER$44=2,0,VDB(1,0,$N312,INT(ER$44-2-1),MIN($N312,INT(ER$44-2-1)+1),$DC312,IF($DD312="No",1,0))/
IF(DY312&gt;=INT($N312),$N312-INT($N312),1)))*
IF(ER$44=2,0,
IF(INT(DZ312)=INT(DY312),DZ312-DY312,INT(DZ312)-DY312))+
IF($N312&lt;=1,
IF($N312&gt;0,1/$N312,0),VDB(1,0,$N312,INT(ER$44-2),MIN($N312,INT(ER$44-2)+1),$DC312,IF($DD312="No",1,0))/
IF(DZ312&gt;INT($N312),$N312-INT($N312),1))*
IF(ER$44=2,DZ312,
IF(INT(DZ312)=INT(DY312),0,DZ312-INT(DZ312)))))</f>
        <v>0</v>
      </c>
      <c r="ES312" s="835">
        <f>+IF(OR(EA312=DZ312,ES$44=1),0,
IF(AND(ES$44&gt;1,EA312=$N312),1-SUM($EN312:ER312),
IF($N312&lt;=1,
IF($N312&gt;0,1/$N312,0),
IF(ES$44=2,0,VDB(1,0,$N312,INT(ES$44-2-1),MIN($N312,INT(ES$44-2-1)+1),$DC312,IF($DD312="No",1,0))/
IF(DZ312&gt;=INT($N312),$N312-INT($N312),1)))*
IF(ES$44=2,0,
IF(INT(EA312)=INT(DZ312),EA312-DZ312,INT(EA312)-DZ312))+
IF($N312&lt;=1,
IF($N312&gt;0,1/$N312,0),VDB(1,0,$N312,INT(ES$44-2),MIN($N312,INT(ES$44-2)+1),$DC312,IF($DD312="No",1,0))/
IF(EA312&gt;INT($N312),$N312-INT($N312),1))*
IF(ES$44=2,EA312,
IF(INT(EA312)=INT(DZ312),0,EA312-INT(EA312)))))</f>
        <v>0</v>
      </c>
      <c r="ET312" s="835">
        <f>+IF(OR(EB312=EA312,ET$44=1),0,
IF(AND(ET$44&gt;1,EB312=$N312),1-SUM($EN312:ES312),
IF($N312&lt;=1,
IF($N312&gt;0,1/$N312,0),
IF(ET$44=2,0,VDB(1,0,$N312,INT(ET$44-2-1),MIN($N312,INT(ET$44-2-1)+1),$DC312,IF($DD312="No",1,0))/
IF(EA312&gt;=INT($N312),$N312-INT($N312),1)))*
IF(ET$44=2,0,
IF(INT(EB312)=INT(EA312),EB312-EA312,INT(EB312)-EA312))+
IF($N312&lt;=1,
IF($N312&gt;0,1/$N312,0),VDB(1,0,$N312,INT(ET$44-2),MIN($N312,INT(ET$44-2)+1),$DC312,IF($DD312="No",1,0))/
IF(EB312&gt;INT($N312),$N312-INT($N312),1))*
IF(ET$44=2,EB312,
IF(INT(EB312)=INT(EA312),0,EB312-INT(EB312)))))</f>
        <v>0</v>
      </c>
      <c r="EU312" s="835">
        <f>+IF(OR(EC312=EB312,EU$44=1),0,
IF(AND(EU$44&gt;1,EC312=$N312),1-SUM($EN312:ET312),
IF($N312&lt;=1,
IF($N312&gt;0,1/$N312,0),
IF(EU$44=2,0,VDB(1,0,$N312,INT(EU$44-2-1),MIN($N312,INT(EU$44-2-1)+1),$DC312,IF($DD312="No",1,0))/
IF(EB312&gt;=INT($N312),$N312-INT($N312),1)))*
IF(EU$44=2,0,
IF(INT(EC312)=INT(EB312),EC312-EB312,INT(EC312)-EB312))+
IF($N312&lt;=1,
IF($N312&gt;0,1/$N312,0),VDB(1,0,$N312,INT(EU$44-2),MIN($N312,INT(EU$44-2)+1),$DC312,IF($DD312="No",1,0))/
IF(EC312&gt;INT($N312),$N312-INT($N312),1))*
IF(EU$44=2,EC312,
IF(INT(EC312)=INT(EB312),0,EC312-INT(EC312)))))</f>
        <v>0</v>
      </c>
      <c r="EV312" s="836">
        <f>+IF(OR(ED312=EC312,EV$44=1),0,
IF(AND(EV$44&gt;1,ED312=$N312),1-SUM($EN312:EU312),
IF($N312&lt;=1,
IF($N312&gt;0,1/$N312,0),
IF(EV$44=2,0,VDB(1,0,$N312,INT(EV$44-2-1),MIN($N312,INT(EV$44-2-1)+1),$DC312,IF($DD312="No",1,0))/
IF(EC312&gt;=INT($N312),$N312-INT($N312),1)))*
IF(EV$44=2,0,
IF(INT(ED312)=INT(EC312),ED312-EC312,INT(ED312)-EC312))+
IF($N312&lt;=1,
IF($N312&gt;0,1/$N312,0),VDB(1,0,$N312,INT(EV$44-2),MIN($N312,INT(EV$44-2)+1),$DC312,IF($DD312="No",1,0))/
IF(ED312&gt;INT($N312),$N312-INT($N312),1))*
IF(EV$44=2,ED312,
IF(INT(ED312)=INT(EC312),0,ED312-INT(ED312)))))</f>
        <v>0</v>
      </c>
      <c r="EW312" s="833"/>
      <c r="EX312" s="834">
        <f t="shared" ref="EX312:FE321" ca="1" si="531">+OFFSET($EO312,0,MAX($EX$44:$HY$44)-EX$44)</f>
        <v>0</v>
      </c>
      <c r="EY312" s="835">
        <f t="shared" ca="1" si="531"/>
        <v>0</v>
      </c>
      <c r="EZ312" s="836">
        <f t="shared" ca="1" si="531"/>
        <v>0</v>
      </c>
      <c r="FA312" s="834">
        <f t="shared" ca="1" si="531"/>
        <v>0</v>
      </c>
      <c r="FB312" s="835">
        <f t="shared" ca="1" si="531"/>
        <v>0</v>
      </c>
      <c r="FC312" s="835">
        <f t="shared" ca="1" si="531"/>
        <v>0</v>
      </c>
      <c r="FD312" s="835">
        <f t="shared" ca="1" si="531"/>
        <v>0</v>
      </c>
      <c r="FE312" s="836">
        <f t="shared" ca="1" si="531"/>
        <v>0</v>
      </c>
      <c r="FG312" s="386">
        <f t="shared" ca="1" si="521"/>
        <v>0</v>
      </c>
      <c r="FH312" s="387">
        <f t="shared" ca="1" si="522"/>
        <v>0</v>
      </c>
      <c r="FI312" s="388">
        <f t="shared" ca="1" si="523"/>
        <v>0</v>
      </c>
      <c r="FJ312" s="386">
        <f t="shared" ca="1" si="524"/>
        <v>0</v>
      </c>
      <c r="FK312" s="387">
        <f t="shared" ca="1" si="525"/>
        <v>0</v>
      </c>
      <c r="FL312" s="387">
        <f t="shared" ca="1" si="526"/>
        <v>0</v>
      </c>
      <c r="FM312" s="387">
        <f t="shared" ca="1" si="527"/>
        <v>0</v>
      </c>
      <c r="FN312" s="388">
        <f t="shared" ca="1" si="528"/>
        <v>0</v>
      </c>
      <c r="FR312" s="116"/>
    </row>
    <row r="313" spans="2:174">
      <c r="B313" s="1410">
        <f t="shared" si="512"/>
        <v>267</v>
      </c>
      <c r="C313" s="400"/>
      <c r="D313" s="410"/>
      <c r="E313" s="402"/>
      <c r="F313" s="402"/>
      <c r="G313" s="400"/>
      <c r="H313" s="2088"/>
      <c r="I313" s="2089"/>
      <c r="J313" s="411"/>
      <c r="K313" s="403"/>
      <c r="L313" s="403"/>
      <c r="M313" s="403"/>
      <c r="N313" s="403"/>
      <c r="O313" s="347"/>
      <c r="P313" s="347"/>
      <c r="Q313" s="1021"/>
      <c r="R313" s="1022"/>
      <c r="S313" s="1022"/>
      <c r="T313" s="1022"/>
      <c r="U313" s="1023"/>
      <c r="V313" s="1021"/>
      <c r="W313" s="1022"/>
      <c r="X313" s="1022"/>
      <c r="Y313" s="1022"/>
      <c r="Z313" s="1023"/>
      <c r="AA313" s="1024"/>
      <c r="AB313" s="1021"/>
      <c r="AC313" s="1022"/>
      <c r="AD313" s="1022"/>
      <c r="AE313" s="1022"/>
      <c r="AF313" s="1023"/>
      <c r="AG313" s="1021"/>
      <c r="AH313" s="1022"/>
      <c r="AI313" s="1022"/>
      <c r="AJ313" s="1022"/>
      <c r="AK313" s="1023"/>
      <c r="AL313" s="1024"/>
      <c r="AM313" s="1021"/>
      <c r="AN313" s="1022"/>
      <c r="AO313" s="1022"/>
      <c r="AP313" s="1022"/>
      <c r="AQ313" s="1023"/>
      <c r="AR313" s="1021"/>
      <c r="AS313" s="1022"/>
      <c r="AT313" s="1022"/>
      <c r="AU313" s="1022"/>
      <c r="AV313" s="1023"/>
      <c r="AW313" s="1025"/>
      <c r="AX313" s="1282">
        <f t="shared" si="514"/>
        <v>0</v>
      </c>
      <c r="AY313" s="387">
        <f t="shared" si="514"/>
        <v>0</v>
      </c>
      <c r="AZ313" s="387">
        <f t="shared" si="514"/>
        <v>0</v>
      </c>
      <c r="BA313" s="387">
        <f t="shared" si="514"/>
        <v>0</v>
      </c>
      <c r="BB313" s="1283">
        <f t="shared" si="514"/>
        <v>0</v>
      </c>
      <c r="BC313" s="386">
        <f t="shared" si="514"/>
        <v>0</v>
      </c>
      <c r="BD313" s="387">
        <f t="shared" si="514"/>
        <v>0</v>
      </c>
      <c r="BE313" s="1277">
        <f t="shared" si="515"/>
        <v>0</v>
      </c>
      <c r="BF313" s="1277">
        <f t="shared" si="515"/>
        <v>0</v>
      </c>
      <c r="BG313" s="388">
        <f t="shared" si="515"/>
        <v>0</v>
      </c>
      <c r="BH313" s="1025"/>
      <c r="BI313" s="1282">
        <f ca="1">IF($L313=0,0,
IF($L313&lt;=0.5,BT313,
IF($J313="straight line",
IF((LEFT(BI$43,4)*1)-INT($L313)&lt;LEFT($BI$43,4)*1,0,((OFFSET(BT313,0,-INT($L313+0.5),1,1))/$L313)*(IF($L313-INT($L313)&gt;0.5,$L313-0.5-INT($L313),IF($L313-INT($L313)&lt;=0.5,$L313-0.5-INT($L313)+1,0))))
+BT313/$L313*0.5,
IF($J313="Declining Balance",-$BI$42,0))))</f>
        <v>0</v>
      </c>
      <c r="BJ313" s="387">
        <f t="shared" ca="1" si="516"/>
        <v>0</v>
      </c>
      <c r="BK313" s="387">
        <f t="shared" ca="1" si="516"/>
        <v>0</v>
      </c>
      <c r="BL313" s="387">
        <f t="shared" ca="1" si="516"/>
        <v>0</v>
      </c>
      <c r="BM313" s="1283">
        <f t="shared" ca="1" si="516"/>
        <v>0</v>
      </c>
      <c r="BN313" s="386">
        <f t="shared" ca="1" si="516"/>
        <v>0</v>
      </c>
      <c r="BO313" s="387">
        <f t="shared" ca="1" si="516"/>
        <v>0</v>
      </c>
      <c r="BP313" s="1277">
        <f t="shared" ca="1" si="516"/>
        <v>0</v>
      </c>
      <c r="BQ313" s="1277">
        <f t="shared" ca="1" si="516"/>
        <v>0</v>
      </c>
      <c r="BR313" s="388">
        <f t="shared" ca="1" si="516"/>
        <v>0</v>
      </c>
      <c r="BS313" s="1025"/>
      <c r="BT313" s="1282">
        <f>+IF($K313="Ongoing",AX313,IF(RIGHT($K313,2)=RIGHT(BT$43,2),SUM($AX313:AX313),0)+IF(RIGHT(BT$43,2)&gt;RIGHT($K313,2),AX313,0))</f>
        <v>0</v>
      </c>
      <c r="BU313" s="387">
        <f>+IF($K313="Ongoing",AY313,IF(RIGHT($K313,2)=RIGHT(BU$43,2),SUM($AX313:AY313),0)+IF(RIGHT(BU$43,2)&gt;RIGHT($K313,2),AY313,0))</f>
        <v>0</v>
      </c>
      <c r="BV313" s="387">
        <f>+IF($K313="Ongoing",AZ313,IF(RIGHT($K313,2)=RIGHT(BV$43,2),SUM($AX313:AZ313),0)+IF(RIGHT(BV$43,2)&gt;RIGHT($K313,2),AZ313,0))</f>
        <v>0</v>
      </c>
      <c r="BW313" s="387">
        <f>+IF($K313="Ongoing",BA313,IF(RIGHT($K313,2)=RIGHT(BW$43,2),SUM($AX313:BA313),0)+IF(RIGHT(BW$43,2)&gt;RIGHT($K313,2),BA313,0))</f>
        <v>0</v>
      </c>
      <c r="BX313" s="1283">
        <f>+IF($K313="Ongoing",BB313,IF(RIGHT($K313,2)=RIGHT(BX$43,2),SUM($AX313:BB313),0)+IF(RIGHT(BX$43,2)&gt;RIGHT($K313,2),BB313,0))</f>
        <v>0</v>
      </c>
      <c r="BY313" s="386">
        <f>+IF($K313="Ongoing",BC313,IF(RIGHT($K313,2)=RIGHT(BY$43,2),SUM($AX313:BC313),0)+IF(RIGHT(BY$43,2)&gt;RIGHT($K313,2),BC313,0))</f>
        <v>0</v>
      </c>
      <c r="BZ313" s="387">
        <f>+IF($K313="Ongoing",BD313,IF(RIGHT($K313,2)=RIGHT(BZ$43,2),SUM($AX313:BD313),0)+IF(RIGHT(BZ$43,2)&gt;RIGHT($K313,2),BD313,0))</f>
        <v>0</v>
      </c>
      <c r="CA313" s="1277">
        <f>+IF($K313="Ongoing",BE313,IF(RIGHT($K313,2)=RIGHT(CA$43,2),SUM($AX313:BE313),0)+IF(RIGHT(CA$43,2)&gt;RIGHT($K313,2),BE313,0))</f>
        <v>0</v>
      </c>
      <c r="CB313" s="1277">
        <f>+IF($K313="Ongoing",BF313,IF(RIGHT($K313,2)=RIGHT(CB$43,2),SUM($AX313:BF313),0)+IF(RIGHT(CB$43,2)&gt;RIGHT($K313,2),BF313,0))</f>
        <v>0</v>
      </c>
      <c r="CC313" s="388">
        <f>+IF($K313="Ongoing",BG313,IF(RIGHT($K313,2)=RIGHT(CC$43,2),SUM($AX313:BG313),0)+IF(RIGHT(CC$43,2)&gt;RIGHT($K313,2),BG313,0))</f>
        <v>0</v>
      </c>
      <c r="CD313" s="1025"/>
      <c r="CE313" s="1282">
        <f>+Q313*KeyAssumptionsPriceControl_FO!AF$15</f>
        <v>0</v>
      </c>
      <c r="CF313" s="387">
        <f>+R313*KeyAssumptionsPriceControl_FO!AG$15</f>
        <v>0</v>
      </c>
      <c r="CG313" s="387">
        <f>+S313*KeyAssumptionsPriceControl_FO!AH$15</f>
        <v>0</v>
      </c>
      <c r="CH313" s="387">
        <f>+T313*KeyAssumptionsPriceControl_FO!AI$15</f>
        <v>0</v>
      </c>
      <c r="CI313" s="1283">
        <f>+U313*KeyAssumptionsPriceControl_FO!AJ$15</f>
        <v>0</v>
      </c>
      <c r="CJ313" s="386">
        <f>+V313*KeyAssumptionsPriceControl_FO!AK$15</f>
        <v>0</v>
      </c>
      <c r="CK313" s="387">
        <f>+W313*KeyAssumptionsPriceControl_FO!AL$15</f>
        <v>0</v>
      </c>
      <c r="CL313" s="1277">
        <f>+X313*KeyAssumptionsPriceControl_FO!AM$15</f>
        <v>0</v>
      </c>
      <c r="CM313" s="1277">
        <f>+Y313*KeyAssumptionsPriceControl_FO!AN$15</f>
        <v>0</v>
      </c>
      <c r="CN313" s="388">
        <f>+Z313*KeyAssumptionsPriceControl_FO!AO$15</f>
        <v>0</v>
      </c>
      <c r="CO313" s="1025"/>
      <c r="CP313" s="1282">
        <f t="shared" ca="1" si="517"/>
        <v>0</v>
      </c>
      <c r="CQ313" s="387">
        <f t="shared" ca="1" si="517"/>
        <v>0</v>
      </c>
      <c r="CR313" s="387">
        <f t="shared" ca="1" si="517"/>
        <v>0</v>
      </c>
      <c r="CS313" s="387">
        <f t="shared" ca="1" si="517"/>
        <v>0</v>
      </c>
      <c r="CT313" s="1283">
        <f t="shared" ca="1" si="517"/>
        <v>0</v>
      </c>
      <c r="CU313" s="386">
        <f t="shared" ca="1" si="517"/>
        <v>0</v>
      </c>
      <c r="CV313" s="387">
        <f t="shared" ca="1" si="517"/>
        <v>0</v>
      </c>
      <c r="CW313" s="1277">
        <f t="shared" ca="1" si="517"/>
        <v>0</v>
      </c>
      <c r="CX313" s="1277">
        <f t="shared" ca="1" si="517"/>
        <v>0</v>
      </c>
      <c r="CY313" s="388">
        <f t="shared" ca="1" si="517"/>
        <v>0</v>
      </c>
      <c r="CZ313" s="347"/>
      <c r="DA313" s="852"/>
      <c r="DB313" s="347"/>
      <c r="DC313" s="1012" t="s">
        <v>517</v>
      </c>
      <c r="DD313" s="841" t="s">
        <v>518</v>
      </c>
      <c r="DE313" s="386">
        <f>+IF($K313="ongoing",CE313,IF(RIGHT($K313,2)=RIGHT(DE$43,2),SUM($CD313:CE313),0)+IF(RIGHT(DE$43,2)&gt;RIGHT($K313,2),CE313,0))</f>
        <v>0</v>
      </c>
      <c r="DF313" s="387">
        <f>+IF($K313="ongoing",CF313,IF(RIGHT($K313,2)=RIGHT(DF$43,2),SUM($CD313:CF313),0)+IF(RIGHT(DF$43,2)&gt;RIGHT($K313,2),CF313,0))</f>
        <v>0</v>
      </c>
      <c r="DG313" s="388">
        <f>+IF($K313="ongoing",CG313,IF(RIGHT($K313,2)=RIGHT(DG$43,2),SUM($CD313:CG313),0)+IF(RIGHT(DG$43,2)&gt;RIGHT($K313,2),CG313,0))</f>
        <v>0</v>
      </c>
      <c r="DH313" s="386">
        <f>+IF($K313="ongoing",CH313,IF(RIGHT($K313,2)=RIGHT(DH$43,2),SUM($CD313:CH313),0)+IF(RIGHT(DH$43,2)&gt;RIGHT($K313,2),CH313,0))</f>
        <v>0</v>
      </c>
      <c r="DI313" s="387">
        <f>+IF($K313="ongoing",CI313,IF(RIGHT($K313,2)=RIGHT(DI$43,2),SUM($CD313:CI313),0)+IF(RIGHT(DI$43,2)&gt;RIGHT($K313,2),CI313,0))</f>
        <v>0</v>
      </c>
      <c r="DJ313" s="387">
        <f>+IF($K313="ongoing",CJ313,IF(RIGHT($K313,2)=RIGHT(DJ$43,2),SUM($CD313:CJ313),0)+IF(RIGHT(DJ$43,2)&gt;RIGHT($K313,2),CJ313,0))</f>
        <v>0</v>
      </c>
      <c r="DK313" s="387">
        <f>+IF($K313="ongoing",CK313,IF(RIGHT($K313,2)=RIGHT(DK$43,2),SUM($CD313:CK313),0)+IF(RIGHT(DK$43,2)&gt;RIGHT($K313,2),CK313,0))</f>
        <v>0</v>
      </c>
      <c r="DL313" s="388">
        <f>+IF($K313="ongoing",CN313,IF(RIGHT($K313,2)=RIGHT(DL$43,2),SUM($CD313:CN313),0)+IF(RIGHT(DL$43,2)&gt;RIGHT($K313,2),CN313,0))</f>
        <v>0</v>
      </c>
      <c r="DM313" s="841"/>
      <c r="DN313" s="386">
        <f t="shared" si="529"/>
        <v>0.5</v>
      </c>
      <c r="DO313" s="387">
        <f t="shared" si="529"/>
        <v>1</v>
      </c>
      <c r="DP313" s="388">
        <f t="shared" si="529"/>
        <v>1</v>
      </c>
      <c r="DQ313" s="386">
        <f t="shared" si="529"/>
        <v>1</v>
      </c>
      <c r="DR313" s="387">
        <f t="shared" si="529"/>
        <v>1</v>
      </c>
      <c r="DS313" s="387">
        <f t="shared" si="529"/>
        <v>1</v>
      </c>
      <c r="DT313" s="387">
        <f t="shared" si="529"/>
        <v>1</v>
      </c>
      <c r="DU313" s="388">
        <f t="shared" si="529"/>
        <v>1</v>
      </c>
      <c r="DW313" s="386">
        <f t="shared" si="530"/>
        <v>0</v>
      </c>
      <c r="DX313" s="387">
        <f t="shared" si="530"/>
        <v>0.5</v>
      </c>
      <c r="DY313" s="388">
        <f t="shared" si="530"/>
        <v>1</v>
      </c>
      <c r="DZ313" s="386">
        <f t="shared" si="530"/>
        <v>1</v>
      </c>
      <c r="EA313" s="387">
        <f t="shared" si="530"/>
        <v>1</v>
      </c>
      <c r="EB313" s="387">
        <f t="shared" si="530"/>
        <v>1</v>
      </c>
      <c r="EC313" s="387">
        <f t="shared" si="530"/>
        <v>1</v>
      </c>
      <c r="ED313" s="388">
        <f t="shared" si="530"/>
        <v>1</v>
      </c>
      <c r="EF313" s="834">
        <f>+IF(DN313=DM313,0,
IF(AND(EF$44&gt;1,DN313=$N313),1-SUM($EE313:EE313),
IF($N313&lt;=1,
IF($N313&gt;0,1/$N313,0),
IF(EF$44=1,0,VDB(1,0,$N313,INT(EF$44-1-1),MIN($N313,INT(EF$44-1-1)+1),$DC313,IF($DD313="No",1,0))/
IF(DM313&gt;=INT($N313),$N313-INT($N313),1)))*
IF(EF$44=1,0,
IF(INT(DN313)=INT(DM313),DN313-DM313,INT(DN313)-DM313))+
IF($N313&lt;=1,
IF($N313&gt;0,1/$N313,0),VDB(1,0,$N313,INT(EF$44-1),MIN($N313,INT(EF$44-1)+1),$DC313,IF($DD313="No",1,0))/
IF(DN313&gt;INT($N313),$N313-INT($N313),1))*
IF(EF$44=1,DN313,
IF(INT(DN313)=INT(DM313),0,DN313-INT(DN313)))))</f>
        <v>0</v>
      </c>
      <c r="EG313" s="835">
        <f>+IF(DO313=DN313,0,
IF(AND(EG$44&gt;1,DO313=$N313),1-SUM($EE313:EF313),
IF($N313&lt;=1,
IF($N313&gt;0,1/$N313,0),
IF(EG$44=1,0,VDB(1,0,$N313,INT(EG$44-1-1),MIN($N313,INT(EG$44-1-1)+1),$DC313,IF($DD313="No",1,0))/
IF(DN313&gt;=INT($N313),$N313-INT($N313),1)))*
IF(EG$44=1,0,
IF(INT(DO313)=INT(DN313),DO313-DN313,INT(DO313)-DN313))+
IF($N313&lt;=1,
IF($N313&gt;0,1/$N313,0),VDB(1,0,$N313,INT(EG$44-1),MIN($N313,INT(EG$44-1)+1),$DC313,IF($DD313="No",1,0))/
IF(DO313&gt;INT($N313),$N313-INT($N313),1))*
IF(EG$44=1,DO313,
IF(INT(DO313)=INT(DN313),0,DO313-INT(DO313)))))</f>
        <v>0</v>
      </c>
      <c r="EH313" s="836">
        <f>+IF(DP313=DO313,0,
IF(AND(EH$44&gt;1,DP313=$N313),1-SUM($EE313:EG313),
IF($N313&lt;=1,
IF($N313&gt;0,1/$N313,0),
IF(EH$44=1,0,VDB(1,0,$N313,INT(EH$44-1-1),MIN($N313,INT(EH$44-1-1)+1),$DC313,IF($DD313="No",1,0))/
IF(DO313&gt;=INT($N313),$N313-INT($N313),1)))*
IF(EH$44=1,0,
IF(INT(DP313)=INT(DO313),DP313-DO313,INT(DP313)-DO313))+
IF($N313&lt;=1,
IF($N313&gt;0,1/$N313,0),VDB(1,0,$N313,INT(EH$44-1),MIN($N313,INT(EH$44-1)+1),$DC313,IF($DD313="No",1,0))/
IF(DP313&gt;INT($N313),$N313-INT($N313),1))*
IF(EH$44=1,DP313,
IF(INT(DP313)=INT(DO313),0,DP313-INT(DP313)))))</f>
        <v>0</v>
      </c>
      <c r="EI313" s="834">
        <f>+IF(DQ313=DP313,0,
IF(AND(EI$44&gt;1,DQ313=$N313),1-SUM($EE313:EH313),
IF($N313&lt;=1,
IF($N313&gt;0,1/$N313,0),
IF(EI$44=1,0,VDB(1,0,$N313,INT(EI$44-1-1),MIN($N313,INT(EI$44-1-1)+1),$DC313,IF($DD313="No",1,0))/
IF(DP313&gt;=INT($N313),$N313-INT($N313),1)))*
IF(EI$44=1,0,
IF(INT(DQ313)=INT(DP313),DQ313-DP313,INT(DQ313)-DP313))+
IF($N313&lt;=1,
IF($N313&gt;0,1/$N313,0),VDB(1,0,$N313,INT(EI$44-1),MIN($N313,INT(EI$44-1)+1),$DC313,IF($DD313="No",1,0))/
IF(DQ313&gt;INT($N313),$N313-INT($N313),1))*
IF(EI$44=1,DQ313,
IF(INT(DQ313)=INT(DP313),0,DQ313-INT(DQ313)))))</f>
        <v>0</v>
      </c>
      <c r="EJ313" s="835">
        <f>+IF(DR313=DQ313,0,
IF(AND(EJ$44&gt;1,DR313=$N313),1-SUM($EE313:EI313),
IF($N313&lt;=1,
IF($N313&gt;0,1/$N313,0),
IF(EJ$44=1,0,VDB(1,0,$N313,INT(EJ$44-1-1),MIN($N313,INT(EJ$44-1-1)+1),$DC313,IF($DD313="No",1,0))/
IF(DQ313&gt;=INT($N313),$N313-INT($N313),1)))*
IF(EJ$44=1,0,
IF(INT(DR313)=INT(DQ313),DR313-DQ313,INT(DR313)-DQ313))+
IF($N313&lt;=1,
IF($N313&gt;0,1/$N313,0),VDB(1,0,$N313,INT(EJ$44-1),MIN($N313,INT(EJ$44-1)+1),$DC313,IF($DD313="No",1,0))/
IF(DR313&gt;INT($N313),$N313-INT($N313),1))*
IF(EJ$44=1,DR313,
IF(INT(DR313)=INT(DQ313),0,DR313-INT(DR313)))))</f>
        <v>0</v>
      </c>
      <c r="EK313" s="835">
        <f>+IF(DS313=DR313,0,
IF(AND(EK$44&gt;1,DS313=$N313),1-SUM($EE313:EJ313),
IF($N313&lt;=1,
IF($N313&gt;0,1/$N313,0),
IF(EK$44=1,0,VDB(1,0,$N313,INT(EK$44-1-1),MIN($N313,INT(EK$44-1-1)+1),$DC313,IF($DD313="No",1,0))/
IF(DR313&gt;=INT($N313),$N313-INT($N313),1)))*
IF(EK$44=1,0,
IF(INT(DS313)=INT(DR313),DS313-DR313,INT(DS313)-DR313))+
IF($N313&lt;=1,
IF($N313&gt;0,1/$N313,0),VDB(1,0,$N313,INT(EK$44-1),MIN($N313,INT(EK$44-1)+1),$DC313,IF($DD313="No",1,0))/
IF(DS313&gt;INT($N313),$N313-INT($N313),1))*
IF(EK$44=1,DS313,
IF(INT(DS313)=INT(DR313),0,DS313-INT(DS313)))))</f>
        <v>0</v>
      </c>
      <c r="EL313" s="835">
        <f>+IF(DT313=DS313,0,
IF(AND(EL$44&gt;1,DT313=$N313),1-SUM($EE313:EK313),
IF($N313&lt;=1,
IF($N313&gt;0,1/$N313,0),
IF(EL$44=1,0,VDB(1,0,$N313,INT(EL$44-1-1),MIN($N313,INT(EL$44-1-1)+1),$DC313,IF($DD313="No",1,0))/
IF(DS313&gt;=INT($N313),$N313-INT($N313),1)))*
IF(EL$44=1,0,
IF(INT(DT313)=INT(DS313),DT313-DS313,INT(DT313)-DS313))+
IF($N313&lt;=1,
IF($N313&gt;0,1/$N313,0),VDB(1,0,$N313,INT(EL$44-1),MIN($N313,INT(EL$44-1)+1),$DC313,IF($DD313="No",1,0))/
IF(DT313&gt;INT($N313),$N313-INT($N313),1))*
IF(EL$44=1,DT313,
IF(INT(DT313)=INT(DS313),0,DT313-INT(DT313)))))</f>
        <v>0</v>
      </c>
      <c r="EM313" s="836">
        <f>+IF(DU313=DT313,0,
IF(AND(EM$44&gt;1,DU313=$N313),1-SUM($EE313:EL313),
IF($N313&lt;=1,
IF($N313&gt;0,1/$N313,0),
IF(EM$44=1,0,VDB(1,0,$N313,INT(EM$44-1-1),MIN($N313,INT(EM$44-1-1)+1),$DC313,IF($DD313="No",1,0))/
IF(DT313&gt;=INT($N313),$N313-INT($N313),1)))*
IF(EM$44=1,0,
IF(INT(DU313)=INT(DT313),DU313-DT313,INT(DU313)-DT313))+
IF($N313&lt;=1,
IF($N313&gt;0,1/$N313,0),VDB(1,0,$N313,INT(EM$44-1),MIN($N313,INT(EM$44-1)+1),$DC313,IF($DD313="No",1,0))/
IF(DU313&gt;INT($N313),$N313-INT($N313),1))*
IF(EM$44=1,DU313,
IF(INT(DU313)=INT(DT313),0,DU313-INT(DU313)))))</f>
        <v>0</v>
      </c>
      <c r="EN313" s="833"/>
      <c r="EO313" s="834">
        <f>+IF(OR(DW313=DV313,EO$44=1),0,
IF(AND(EO$44&gt;1,DW313=$N313),1-SUM($EN313:EN313),
IF($N313&lt;=1,
IF($N313&gt;0,1/$N313,0),
IF(EO$44=2,0,VDB(1,0,$N313,INT(EO$44-2-1),MIN($N313,INT(EO$44-2-1)+1),$DC313,IF($DD313="No",1,0))/
IF(DV313&gt;=INT($N313),$N313-INT($N313),1)))*
IF(EO$44=2,0,
IF(INT(DW313)=INT(DV313),DW313-DV313,INT(DW313)-DV313))+
IF($N313&lt;=1,
IF($N313&gt;0,1/$N313,0),VDB(1,0,$N313,INT(EO$44-2),MIN($N313,INT(EO$44-2)+1),$DC313,IF($DD313="No",1,0))/
IF(DW313&gt;INT($N313),$N313-INT($N313),1))*
IF(EO$44=2,DW313,
IF(INT(DW313)=INT(DV313),0,DW313-INT(DW313)))))</f>
        <v>0</v>
      </c>
      <c r="EP313" s="835">
        <f>+IF(OR(DX313=DW313,EP$44=1),0,
IF(AND(EP$44&gt;1,DX313=$N313),1-SUM($EN313:EO313),
IF($N313&lt;=1,
IF($N313&gt;0,1/$N313,0),
IF(EP$44=2,0,VDB(1,0,$N313,INT(EP$44-2-1),MIN($N313,INT(EP$44-2-1)+1),$DC313,IF($DD313="No",1,0))/
IF(DW313&gt;=INT($N313),$N313-INT($N313),1)))*
IF(EP$44=2,0,
IF(INT(DX313)=INT(DW313),DX313-DW313,INT(DX313)-DW313))+
IF($N313&lt;=1,
IF($N313&gt;0,1/$N313,0),VDB(1,0,$N313,INT(EP$44-2),MIN($N313,INT(EP$44-2)+1),$DC313,IF($DD313="No",1,0))/
IF(DX313&gt;INT($N313),$N313-INT($N313),1))*
IF(EP$44=2,DX313,
IF(INT(DX313)=INT(DW313),0,DX313-INT(DX313)))))</f>
        <v>0</v>
      </c>
      <c r="EQ313" s="836">
        <f>+IF(OR(DY313=DX313,EQ$44=1),0,
IF(AND(EQ$44&gt;1,DY313=$N313),1-SUM($EN313:EP313),
IF($N313&lt;=1,
IF($N313&gt;0,1/$N313,0),
IF(EQ$44=2,0,VDB(1,0,$N313,INT(EQ$44-2-1),MIN($N313,INT(EQ$44-2-1)+1),$DC313,IF($DD313="No",1,0))/
IF(DX313&gt;=INT($N313),$N313-INT($N313),1)))*
IF(EQ$44=2,0,
IF(INT(DY313)=INT(DX313),DY313-DX313,INT(DY313)-DX313))+
IF($N313&lt;=1,
IF($N313&gt;0,1/$N313,0),VDB(1,0,$N313,INT(EQ$44-2),MIN($N313,INT(EQ$44-2)+1),$DC313,IF($DD313="No",1,0))/
IF(DY313&gt;INT($N313),$N313-INT($N313),1))*
IF(EQ$44=2,DY313,
IF(INT(DY313)=INT(DX313),0,DY313-INT(DY313)))))</f>
        <v>0</v>
      </c>
      <c r="ER313" s="834">
        <f>+IF(OR(DZ313=DY313,ER$44=1),0,
IF(AND(ER$44&gt;1,DZ313=$N313),1-SUM($EN313:EQ313),
IF($N313&lt;=1,
IF($N313&gt;0,1/$N313,0),
IF(ER$44=2,0,VDB(1,0,$N313,INT(ER$44-2-1),MIN($N313,INT(ER$44-2-1)+1),$DC313,IF($DD313="No",1,0))/
IF(DY313&gt;=INT($N313),$N313-INT($N313),1)))*
IF(ER$44=2,0,
IF(INT(DZ313)=INT(DY313),DZ313-DY313,INT(DZ313)-DY313))+
IF($N313&lt;=1,
IF($N313&gt;0,1/$N313,0),VDB(1,0,$N313,INT(ER$44-2),MIN($N313,INT(ER$44-2)+1),$DC313,IF($DD313="No",1,0))/
IF(DZ313&gt;INT($N313),$N313-INT($N313),1))*
IF(ER$44=2,DZ313,
IF(INT(DZ313)=INT(DY313),0,DZ313-INT(DZ313)))))</f>
        <v>0</v>
      </c>
      <c r="ES313" s="835">
        <f>+IF(OR(EA313=DZ313,ES$44=1),0,
IF(AND(ES$44&gt;1,EA313=$N313),1-SUM($EN313:ER313),
IF($N313&lt;=1,
IF($N313&gt;0,1/$N313,0),
IF(ES$44=2,0,VDB(1,0,$N313,INT(ES$44-2-1),MIN($N313,INT(ES$44-2-1)+1),$DC313,IF($DD313="No",1,0))/
IF(DZ313&gt;=INT($N313),$N313-INT($N313),1)))*
IF(ES$44=2,0,
IF(INT(EA313)=INT(DZ313),EA313-DZ313,INT(EA313)-DZ313))+
IF($N313&lt;=1,
IF($N313&gt;0,1/$N313,0),VDB(1,0,$N313,INT(ES$44-2),MIN($N313,INT(ES$44-2)+1),$DC313,IF($DD313="No",1,0))/
IF(EA313&gt;INT($N313),$N313-INT($N313),1))*
IF(ES$44=2,EA313,
IF(INT(EA313)=INT(DZ313),0,EA313-INT(EA313)))))</f>
        <v>0</v>
      </c>
      <c r="ET313" s="835">
        <f>+IF(OR(EB313=EA313,ET$44=1),0,
IF(AND(ET$44&gt;1,EB313=$N313),1-SUM($EN313:ES313),
IF($N313&lt;=1,
IF($N313&gt;0,1/$N313,0),
IF(ET$44=2,0,VDB(1,0,$N313,INT(ET$44-2-1),MIN($N313,INT(ET$44-2-1)+1),$DC313,IF($DD313="No",1,0))/
IF(EA313&gt;=INT($N313),$N313-INT($N313),1)))*
IF(ET$44=2,0,
IF(INT(EB313)=INT(EA313),EB313-EA313,INT(EB313)-EA313))+
IF($N313&lt;=1,
IF($N313&gt;0,1/$N313,0),VDB(1,0,$N313,INT(ET$44-2),MIN($N313,INT(ET$44-2)+1),$DC313,IF($DD313="No",1,0))/
IF(EB313&gt;INT($N313),$N313-INT($N313),1))*
IF(ET$44=2,EB313,
IF(INT(EB313)=INT(EA313),0,EB313-INT(EB313)))))</f>
        <v>0</v>
      </c>
      <c r="EU313" s="835">
        <f>+IF(OR(EC313=EB313,EU$44=1),0,
IF(AND(EU$44&gt;1,EC313=$N313),1-SUM($EN313:ET313),
IF($N313&lt;=1,
IF($N313&gt;0,1/$N313,0),
IF(EU$44=2,0,VDB(1,0,$N313,INT(EU$44-2-1),MIN($N313,INT(EU$44-2-1)+1),$DC313,IF($DD313="No",1,0))/
IF(EB313&gt;=INT($N313),$N313-INT($N313),1)))*
IF(EU$44=2,0,
IF(INT(EC313)=INT(EB313),EC313-EB313,INT(EC313)-EB313))+
IF($N313&lt;=1,
IF($N313&gt;0,1/$N313,0),VDB(1,0,$N313,INT(EU$44-2),MIN($N313,INT(EU$44-2)+1),$DC313,IF($DD313="No",1,0))/
IF(EC313&gt;INT($N313),$N313-INT($N313),1))*
IF(EU$44=2,EC313,
IF(INT(EC313)=INT(EB313),0,EC313-INT(EC313)))))</f>
        <v>0</v>
      </c>
      <c r="EV313" s="836">
        <f>+IF(OR(ED313=EC313,EV$44=1),0,
IF(AND(EV$44&gt;1,ED313=$N313),1-SUM($EN313:EU313),
IF($N313&lt;=1,
IF($N313&gt;0,1/$N313,0),
IF(EV$44=2,0,VDB(1,0,$N313,INT(EV$44-2-1),MIN($N313,INT(EV$44-2-1)+1),$DC313,IF($DD313="No",1,0))/
IF(EC313&gt;=INT($N313),$N313-INT($N313),1)))*
IF(EV$44=2,0,
IF(INT(ED313)=INT(EC313),ED313-EC313,INT(ED313)-EC313))+
IF($N313&lt;=1,
IF($N313&gt;0,1/$N313,0),VDB(1,0,$N313,INT(EV$44-2),MIN($N313,INT(EV$44-2)+1),$DC313,IF($DD313="No",1,0))/
IF(ED313&gt;INT($N313),$N313-INT($N313),1))*
IF(EV$44=2,ED313,
IF(INT(ED313)=INT(EC313),0,ED313-INT(ED313)))))</f>
        <v>0</v>
      </c>
      <c r="EW313" s="833"/>
      <c r="EX313" s="834">
        <f t="shared" ca="1" si="531"/>
        <v>0</v>
      </c>
      <c r="EY313" s="835">
        <f t="shared" ca="1" si="531"/>
        <v>0</v>
      </c>
      <c r="EZ313" s="836">
        <f t="shared" ca="1" si="531"/>
        <v>0</v>
      </c>
      <c r="FA313" s="834">
        <f t="shared" ca="1" si="531"/>
        <v>0</v>
      </c>
      <c r="FB313" s="835">
        <f t="shared" ca="1" si="531"/>
        <v>0</v>
      </c>
      <c r="FC313" s="835">
        <f t="shared" ca="1" si="531"/>
        <v>0</v>
      </c>
      <c r="FD313" s="835">
        <f t="shared" ca="1" si="531"/>
        <v>0</v>
      </c>
      <c r="FE313" s="836">
        <f t="shared" ca="1" si="531"/>
        <v>0</v>
      </c>
      <c r="FG313" s="386">
        <f t="shared" ca="1" si="521"/>
        <v>0</v>
      </c>
      <c r="FH313" s="387">
        <f t="shared" ca="1" si="522"/>
        <v>0</v>
      </c>
      <c r="FI313" s="388">
        <f t="shared" ca="1" si="523"/>
        <v>0</v>
      </c>
      <c r="FJ313" s="386">
        <f t="shared" ca="1" si="524"/>
        <v>0</v>
      </c>
      <c r="FK313" s="387">
        <f t="shared" ca="1" si="525"/>
        <v>0</v>
      </c>
      <c r="FL313" s="387">
        <f t="shared" ca="1" si="526"/>
        <v>0</v>
      </c>
      <c r="FM313" s="387">
        <f t="shared" ca="1" si="527"/>
        <v>0</v>
      </c>
      <c r="FN313" s="388">
        <f t="shared" ca="1" si="528"/>
        <v>0</v>
      </c>
      <c r="FR313" s="116"/>
    </row>
    <row r="314" spans="2:174">
      <c r="B314" s="1410">
        <f t="shared" si="512"/>
        <v>268</v>
      </c>
      <c r="C314" s="400"/>
      <c r="D314" s="410"/>
      <c r="E314" s="402"/>
      <c r="F314" s="402"/>
      <c r="G314" s="400"/>
      <c r="H314" s="2088"/>
      <c r="I314" s="2089"/>
      <c r="J314" s="411"/>
      <c r="K314" s="403"/>
      <c r="L314" s="403"/>
      <c r="M314" s="403"/>
      <c r="N314" s="403"/>
      <c r="O314" s="347"/>
      <c r="P314" s="347"/>
      <c r="Q314" s="1021"/>
      <c r="R314" s="1022"/>
      <c r="S314" s="1022"/>
      <c r="T314" s="1022"/>
      <c r="U314" s="1023"/>
      <c r="V314" s="1021"/>
      <c r="W314" s="1022"/>
      <c r="X314" s="1022"/>
      <c r="Y314" s="1022"/>
      <c r="Z314" s="1023"/>
      <c r="AA314" s="1024"/>
      <c r="AB314" s="1021"/>
      <c r="AC314" s="1022"/>
      <c r="AD314" s="1022"/>
      <c r="AE314" s="1022"/>
      <c r="AF314" s="1023"/>
      <c r="AG314" s="1021"/>
      <c r="AH314" s="1022"/>
      <c r="AI314" s="1022"/>
      <c r="AJ314" s="1022"/>
      <c r="AK314" s="1023"/>
      <c r="AL314" s="1024"/>
      <c r="AM314" s="1021"/>
      <c r="AN314" s="1022"/>
      <c r="AO314" s="1022"/>
      <c r="AP314" s="1022"/>
      <c r="AQ314" s="1023"/>
      <c r="AR314" s="1021"/>
      <c r="AS314" s="1022"/>
      <c r="AT314" s="1022"/>
      <c r="AU314" s="1022"/>
      <c r="AV314" s="1023"/>
      <c r="AW314" s="1025"/>
      <c r="AX314" s="1282">
        <f t="shared" ref="AX314:AX370" si="532">+Q314-AB314-AM314</f>
        <v>0</v>
      </c>
      <c r="AY314" s="387">
        <f t="shared" ref="AY314:AY370" si="533">+R314-AC314-AN314</f>
        <v>0</v>
      </c>
      <c r="AZ314" s="387">
        <f t="shared" ref="AZ314:AZ370" si="534">+S314-AD314-AO314</f>
        <v>0</v>
      </c>
      <c r="BA314" s="387">
        <f t="shared" ref="BA314:BA370" si="535">+T314-AE314-AP314</f>
        <v>0</v>
      </c>
      <c r="BB314" s="1283">
        <f t="shared" ref="BB314:BB370" si="536">+U314-AF314-AQ314</f>
        <v>0</v>
      </c>
      <c r="BC314" s="386">
        <f t="shared" ref="BC314:BC370" si="537">+V314-AG314-AR314</f>
        <v>0</v>
      </c>
      <c r="BD314" s="387">
        <f t="shared" ref="BD314:BD370" si="538">+W314-AH314-AS314</f>
        <v>0</v>
      </c>
      <c r="BE314" s="1277">
        <f t="shared" ref="BE314:BG329" si="539">+X314-AI314-AT314</f>
        <v>0</v>
      </c>
      <c r="BF314" s="1277">
        <f t="shared" si="539"/>
        <v>0</v>
      </c>
      <c r="BG314" s="388">
        <f t="shared" si="539"/>
        <v>0</v>
      </c>
      <c r="BH314" s="1025"/>
      <c r="BI314" s="1282">
        <f t="shared" ref="BI314:BI370" ca="1" si="540">IF($L314=0,0,
IF($L314&lt;=0.5,BT314,
IF($J314="straight line",
IF((LEFT(BI$43,4)*1)-INT($L314)&lt;LEFT($BI$43,4)*1,0,((OFFSET(BT314,0,-INT($L314+0.5),1,1))/$L314)*(IF($L314-INT($L314)&gt;0.5,$L314-0.5-INT($L314),IF($L314-INT($L314)&lt;=0.5,$L314-0.5-INT($L314)+1,0))))
+BT314/$L314*0.5,
IF($J314="Declining Balance",-$BI$42,0))))</f>
        <v>0</v>
      </c>
      <c r="BJ314" s="387">
        <f t="shared" ref="BJ314:BJ370" ca="1" si="541">IF($L314=0,0,
IF($L314&lt;=0.5,BU314,
IF(AND($J314="straight line",$L314&lt;1.51),(BT314-((BT314/$L314)*0.5))+BU314/$L314*0.5,
IF($J314="straight line",
IF((LEFT(BJ$43,4)*1)-INT($L314)&lt;LEFT($BI$43,4)*1,0,((OFFSET(BU314,0,-INT($L314+0.5),1,1))/$L314)*(IF($L314-INT($L314)&gt;0.5,$L314-0.5-INT($L314),IF($L314-INT($L314)&lt;=0.5,$L314-0.5-INT($L314)+1,0))))
+BU314/$L314*0.5
+SUM(OFFSET(BU314,0,MAX(-INT($L314+(0.5-(10^-12))),-BJ$44)+1,1,MIN(INT($L314+(0.5-(10^-12))),BJ$44)-1))*1/$L314,
IF($J314="Declining Balance",-$BI$42,0)))))</f>
        <v>0</v>
      </c>
      <c r="BK314" s="387">
        <f t="shared" ref="BK314:BK370" ca="1" si="542">IF($L314=0,0,
IF($L314&lt;=0.5,BV314,
IF(AND($J314="straight line",$L314&lt;1.51),(BU314-((BU314/$L314)*0.5))+BV314/$L314*0.5,
IF($J314="straight line",
IF((LEFT(BK$43,4)*1)-INT($L314)&lt;LEFT($BI$43,4)*1,0,((OFFSET(BV314,0,-INT($L314+0.5),1,1))/$L314)*(IF($L314-INT($L314)&gt;0.5,$L314-0.5-INT($L314),IF($L314-INT($L314)&lt;=0.5,$L314-0.5-INT($L314)+1,0))))
+BV314/$L314*0.5
+SUM(OFFSET(BV314,0,MAX(-INT($L314+(0.5-(10^-12))),-BK$44)+1,1,MIN(INT($L314+(0.5-(10^-12))),BK$44)-1))*1/$L314,
IF($J314="Declining Balance",-$BI$42,0)))))</f>
        <v>0</v>
      </c>
      <c r="BL314" s="387">
        <f t="shared" ref="BL314:BL370" ca="1" si="543">IF($L314=0,0,
IF($L314&lt;=0.5,BW314,
IF(AND($J314="straight line",$L314&lt;1.51),(BV314-((BV314/$L314)*0.5))+BW314/$L314*0.5,
IF($J314="straight line",
IF((LEFT(BL$43,4)*1)-INT($L314)&lt;LEFT($BI$43,4)*1,0,((OFFSET(BW314,0,-INT($L314+0.5),1,1))/$L314)*(IF($L314-INT($L314)&gt;0.5,$L314-0.5-INT($L314),IF($L314-INT($L314)&lt;=0.5,$L314-0.5-INT($L314)+1,0))))
+BW314/$L314*0.5
+SUM(OFFSET(BW314,0,MAX(-INT($L314+(0.5-(10^-12))),-BL$44)+1,1,MIN(INT($L314+(0.5-(10^-12))),BL$44)-1))*1/$L314,
IF($J314="Declining Balance",-$BI$42,0)))))</f>
        <v>0</v>
      </c>
      <c r="BM314" s="1283">
        <f t="shared" ref="BM314:BM370" ca="1" si="544">IF($L314=0,0,
IF($L314&lt;=0.5,BX314,
IF(AND($J314="straight line",$L314&lt;1.51),(BW314-((BW314/$L314)*0.5))+BX314/$L314*0.5,
IF($J314="straight line",
IF((LEFT(BM$43,4)*1)-INT($L314)&lt;LEFT($BI$43,4)*1,0,((OFFSET(BX314,0,-INT($L314+0.5),1,1))/$L314)*(IF($L314-INT($L314)&gt;0.5,$L314-0.5-INT($L314),IF($L314-INT($L314)&lt;=0.5,$L314-0.5-INT($L314)+1,0))))
+BX314/$L314*0.5
+SUM(OFFSET(BX314,0,MAX(-INT($L314+(0.5-(10^-12))),-BM$44)+1,1,MIN(INT($L314+(0.5-(10^-12))),BM$44)-1))*1/$L314,
IF($J314="Declining Balance",-$BI$42,0)))))</f>
        <v>0</v>
      </c>
      <c r="BN314" s="386">
        <f t="shared" ref="BN314:BR329" ca="1" si="545">IF($L314=0,0,
IF($L314&lt;=0.5,BY314,
IF(AND($J314="straight line",$L314&lt;1.51),(BX314-((BX314/$L314)*0.5))+BY314/$L314*0.5,
IF($J314="straight line",
IF((LEFT(BN$43,4)*1)-INT($L314)&lt;LEFT($BI$43,4)*1,0,((OFFSET(BY314,0,-INT($L314+0.5),1,1))/$L314)*(IF($L314-INT($L314)&gt;0.5,$L314-0.5-INT($L314),IF($L314-INT($L314)&lt;=0.5,$L314-0.5-INT($L314)+1,0))))
+BY314/$L314*0.5
+SUM(OFFSET(BY314,0,MAX(-INT($L314+(0.5-(10^-12))),-BN$44)+1,1,MIN(INT($L314+(0.5-(10^-12))),BN$44)-1))*1/$L314,
IF($J314="Declining Balance",-$BI$42,0)))))</f>
        <v>0</v>
      </c>
      <c r="BO314" s="387">
        <f t="shared" ca="1" si="545"/>
        <v>0</v>
      </c>
      <c r="BP314" s="1277">
        <f t="shared" ca="1" si="545"/>
        <v>0</v>
      </c>
      <c r="BQ314" s="1277">
        <f t="shared" ca="1" si="545"/>
        <v>0</v>
      </c>
      <c r="BR314" s="388">
        <f t="shared" ca="1" si="545"/>
        <v>0</v>
      </c>
      <c r="BS314" s="1025"/>
      <c r="BT314" s="1282">
        <f>+IF($K314="Ongoing",AX314,IF(RIGHT($K314,2)=RIGHT(BT$43,2),SUM($AX314:AX314),0)+IF(RIGHT(BT$43,2)&gt;RIGHT($K314,2),AX314,0))</f>
        <v>0</v>
      </c>
      <c r="BU314" s="387">
        <f>+IF($K314="Ongoing",AY314,IF(RIGHT($K314,2)=RIGHT(BU$43,2),SUM($AX314:AY314),0)+IF(RIGHT(BU$43,2)&gt;RIGHT($K314,2),AY314,0))</f>
        <v>0</v>
      </c>
      <c r="BV314" s="387">
        <f>+IF($K314="Ongoing",AZ314,IF(RIGHT($K314,2)=RIGHT(BV$43,2),SUM($AX314:AZ314),0)+IF(RIGHT(BV$43,2)&gt;RIGHT($K314,2),AZ314,0))</f>
        <v>0</v>
      </c>
      <c r="BW314" s="387">
        <f>+IF($K314="Ongoing",BA314,IF(RIGHT($K314,2)=RIGHT(BW$43,2),SUM($AX314:BA314),0)+IF(RIGHT(BW$43,2)&gt;RIGHT($K314,2),BA314,0))</f>
        <v>0</v>
      </c>
      <c r="BX314" s="1283">
        <f>+IF($K314="Ongoing",BB314,IF(RIGHT($K314,2)=RIGHT(BX$43,2),SUM($AX314:BB314),0)+IF(RIGHT(BX$43,2)&gt;RIGHT($K314,2),BB314,0))</f>
        <v>0</v>
      </c>
      <c r="BY314" s="386">
        <f>+IF($K314="Ongoing",BC314,IF(RIGHT($K314,2)=RIGHT(BY$43,2),SUM($AX314:BC314),0)+IF(RIGHT(BY$43,2)&gt;RIGHT($K314,2),BC314,0))</f>
        <v>0</v>
      </c>
      <c r="BZ314" s="387">
        <f>+IF($K314="Ongoing",BD314,IF(RIGHT($K314,2)=RIGHT(BZ$43,2),SUM($AX314:BD314),0)+IF(RIGHT(BZ$43,2)&gt;RIGHT($K314,2),BD314,0))</f>
        <v>0</v>
      </c>
      <c r="CA314" s="1277">
        <f>+IF($K314="Ongoing",BE314,IF(RIGHT($K314,2)=RIGHT(CA$43,2),SUM($AX314:BE314),0)+IF(RIGHT(CA$43,2)&gt;RIGHT($K314,2),BE314,0))</f>
        <v>0</v>
      </c>
      <c r="CB314" s="1277">
        <f>+IF($K314="Ongoing",BF314,IF(RIGHT($K314,2)=RIGHT(CB$43,2),SUM($AX314:BF314),0)+IF(RIGHT(CB$43,2)&gt;RIGHT($K314,2),BF314,0))</f>
        <v>0</v>
      </c>
      <c r="CC314" s="388">
        <f>+IF($K314="Ongoing",BG314,IF(RIGHT($K314,2)=RIGHT(CC$43,2),SUM($AX314:BG314),0)+IF(RIGHT(CC$43,2)&gt;RIGHT($K314,2),BG314,0))</f>
        <v>0</v>
      </c>
      <c r="CD314" s="1025"/>
      <c r="CE314" s="1282">
        <f>+Q314*KeyAssumptionsPriceControl_FO!AF$15</f>
        <v>0</v>
      </c>
      <c r="CF314" s="387">
        <f>+R314*KeyAssumptionsPriceControl_FO!AG$15</f>
        <v>0</v>
      </c>
      <c r="CG314" s="387">
        <f>+S314*KeyAssumptionsPriceControl_FO!AH$15</f>
        <v>0</v>
      </c>
      <c r="CH314" s="387">
        <f>+T314*KeyAssumptionsPriceControl_FO!AI$15</f>
        <v>0</v>
      </c>
      <c r="CI314" s="1283">
        <f>+U314*KeyAssumptionsPriceControl_FO!AJ$15</f>
        <v>0</v>
      </c>
      <c r="CJ314" s="386">
        <f>+V314*KeyAssumptionsPriceControl_FO!AK$15</f>
        <v>0</v>
      </c>
      <c r="CK314" s="387">
        <f>+W314*KeyAssumptionsPriceControl_FO!AL$15</f>
        <v>0</v>
      </c>
      <c r="CL314" s="1277">
        <f>+X314*KeyAssumptionsPriceControl_FO!AM$15</f>
        <v>0</v>
      </c>
      <c r="CM314" s="1277">
        <f>+Y314*KeyAssumptionsPriceControl_FO!AN$15</f>
        <v>0</v>
      </c>
      <c r="CN314" s="388">
        <f>+Z314*KeyAssumptionsPriceControl_FO!AO$15</f>
        <v>0</v>
      </c>
      <c r="CO314" s="1025"/>
      <c r="CP314" s="1282">
        <f t="shared" ref="CP314:CP370" ca="1" si="546">IF($M314="straight line",IF($N314=0,0,
IF($N314&lt;=0.5,CE314,
IF($J314="straight line",
IF((LEFT(CP$43,4)*1)-INT($N314)&lt;LEFT($CP$43,4)*1,0,((OFFSET(CE314,0,-INT($N314+0.5),1,1))/$N314)*(IF($N314-INT($N314)&gt;0.5,$N314-0.5-INT($N314),IF($N314-INT($N314)&lt;=0.5,$N314-0.5-INT($N314)+1,0))))
+CE314/$N314*0.5,
IF($J314="Declining Balance",-$CP$42,0)))),IFERROR(FG314,0))</f>
        <v>0</v>
      </c>
      <c r="CQ314" s="387">
        <f t="shared" ref="CQ314:CQ370" ca="1" si="547">IF($M314="straight line",IF($N314=0,0,
IF($N314&lt;=0.5,CF314,
IF($J314="straight line",
IF((LEFT(CQ$43,4)*1)-INT($N314)&lt;LEFT($CP$43,4)*1,0,((OFFSET(CF314,0,-INT($N314+0.5),1,1))/$N314)*(IF($N314-INT($N314)&gt;0.5,$N314-0.5-INT($N314),IF($N314-INT($N314)&lt;=0.5,$N314-0.5-INT($N314)+1,0))))
+CF314/$N314*0.5,
IF($J314="Declining Balance",-$CP$42,0)))),IFERROR(FH314,0))</f>
        <v>0</v>
      </c>
      <c r="CR314" s="387">
        <f t="shared" ref="CR314:CR370" ca="1" si="548">IF($M314="straight line",IF($N314=0,0,
IF($N314&lt;=0.5,CG314,
IF($J314="straight line",
IF((LEFT(CR$43,4)*1)-INT($N314)&lt;LEFT($CP$43,4)*1,0,((OFFSET(CG314,0,-INT($N314+0.5),1,1))/$N314)*(IF($N314-INT($N314)&gt;0.5,$N314-0.5-INT($N314),IF($N314-INT($N314)&lt;=0.5,$N314-0.5-INT($N314)+1,0))))
+CG314/$N314*0.5,
IF($J314="Declining Balance",-$CP$42,0)))),IFERROR(FI314,0))</f>
        <v>0</v>
      </c>
      <c r="CS314" s="387">
        <f t="shared" ref="CS314:CS339" ca="1" si="549">IF($M314="straight line",IF($N314=0,0,
IF($N314&lt;=0.5,CH314,
IF($J314="straight line",
IF((LEFT(CS$43,4)*1)-INT($N314)&lt;LEFT($CP$43,4)*1,0,((OFFSET(CH314,0,-INT($N314+0.5),1,1))/$N314)*(IF($N314-INT($N314)&gt;0.5,$N314-0.5-INT($N314),IF($N314-INT($N314)&lt;=0.5,$N314-0.5-INT($N314)+1,0))))
+CH314/$N314*0.5,
IF($J314="Declining Balance",-$CP$42,0)))),IFERROR(FJ314,0))</f>
        <v>0</v>
      </c>
      <c r="CT314" s="1283">
        <f t="shared" ref="CT314:CT339" ca="1" si="550">IF($M314="straight line",IF($N314=0,0,
IF($N314&lt;=0.5,CI314,
IF($J314="straight line",
IF((LEFT(CT$43,4)*1)-INT($N314)&lt;LEFT($CP$43,4)*1,0,((OFFSET(CI314,0,-INT($N314+0.5),1,1))/$N314)*(IF($N314-INT($N314)&gt;0.5,$N314-0.5-INT($N314),IF($N314-INT($N314)&lt;=0.5,$N314-0.5-INT($N314)+1,0))))
+CI314/$N314*0.5,
IF($J314="Declining Balance",-$CP$42,0)))),IFERROR(FK314,0))</f>
        <v>0</v>
      </c>
      <c r="CU314" s="386">
        <f t="shared" ref="CU314:CU339" ca="1" si="551">IF($M314="straight line",IF($N314=0,0,
IF($N314&lt;=0.5,CJ314,
IF($J314="straight line",
IF((LEFT(CU$43,4)*1)-INT($N314)&lt;LEFT($CP$43,4)*1,0,((OFFSET(CJ314,0,-INT($N314+0.5),1,1))/$N314)*(IF($N314-INT($N314)&gt;0.5,$N314-0.5-INT($N314),IF($N314-INT($N314)&lt;=0.5,$N314-0.5-INT($N314)+1,0))))
+CJ314/$N314*0.5,
IF($J314="Declining Balance",-$CP$42,0)))),IFERROR(FL314,0))</f>
        <v>0</v>
      </c>
      <c r="CV314" s="387">
        <f t="shared" ref="CV314:CV339" ca="1" si="552">IF($M314="straight line",IF($N314=0,0,
IF($N314&lt;=0.5,CK314,
IF($J314="straight line",
IF((LEFT(CV$43,4)*1)-INT($N314)&lt;LEFT($CP$43,4)*1,0,((OFFSET(CK314,0,-INT($N314+0.5),1,1))/$N314)*(IF($N314-INT($N314)&gt;0.5,$N314-0.5-INT($N314),IF($N314-INT($N314)&lt;=0.5,$N314-0.5-INT($N314)+1,0))))
+CK314/$N314*0.5,
IF($J314="Declining Balance",-$CP$42,0)))),IFERROR(FM314,0))</f>
        <v>0</v>
      </c>
      <c r="CW314" s="1277">
        <f t="shared" ref="CW314:CW339" ca="1" si="553">IF($M314="straight line",IF($N314=0,0,
IF($N314&lt;=0.5,CL314,
IF($J314="straight line",
IF((LEFT(CW$43,4)*1)-INT($N314)&lt;LEFT($CP$43,4)*1,0,((OFFSET(CL314,0,-INT($N314+0.5),1,1))/$N314)*(IF($N314-INT($N314)&gt;0.5,$N314-0.5-INT($N314),IF($N314-INT($N314)&lt;=0.5,$N314-0.5-INT($N314)+1,0))))
+CL314/$N314*0.5,
IF($J314="Declining Balance",-$CP$42,0)))),IFERROR(FN314,0))</f>
        <v>0</v>
      </c>
      <c r="CX314" s="1277">
        <f t="shared" ref="CX314:CX339" ca="1" si="554">IF($M314="straight line",IF($N314=0,0,
IF($N314&lt;=0.5,CM314,
IF($J314="straight line",
IF((LEFT(CX$43,4)*1)-INT($N314)&lt;LEFT($CP$43,4)*1,0,((OFFSET(CM314,0,-INT($N314+0.5),1,1))/$N314)*(IF($N314-INT($N314)&gt;0.5,$N314-0.5-INT($N314),IF($N314-INT($N314)&lt;=0.5,$N314-0.5-INT($N314)+1,0))))
+CM314/$N314*0.5,
IF($J314="Declining Balance",-$CP$42,0)))),IFERROR(FO314,0))</f>
        <v>0</v>
      </c>
      <c r="CY314" s="388">
        <f t="shared" ref="CY314:CY339" ca="1" si="555">IF($M314="straight line",IF($N314=0,0,
IF($N314&lt;=0.5,CN314,
IF($J314="straight line",
IF((LEFT(CY$43,4)*1)-INT($N314)&lt;LEFT($CP$43,4)*1,0,((OFFSET(CN314,0,-INT($N314+0.5),1,1))/$N314)*(IF($N314-INT($N314)&gt;0.5,$N314-0.5-INT($N314),IF($N314-INT($N314)&lt;=0.5,$N314-0.5-INT($N314)+1,0))))
+CN314/$N314*0.5,
IF($J314="Declining Balance",-$CP$42,0)))),IFERROR(FP314,0))</f>
        <v>0</v>
      </c>
      <c r="CZ314" s="347"/>
      <c r="DA314" s="852"/>
      <c r="DB314" s="347"/>
      <c r="DC314" s="1012" t="s">
        <v>517</v>
      </c>
      <c r="DD314" s="841" t="s">
        <v>518</v>
      </c>
      <c r="DE314" s="386">
        <f>+IF($K314="ongoing",CE314,IF(RIGHT($K314,2)=RIGHT(DE$43,2),SUM($CD314:CE314),0)+IF(RIGHT(DE$43,2)&gt;RIGHT($K314,2),CE314,0))</f>
        <v>0</v>
      </c>
      <c r="DF314" s="387">
        <f>+IF($K314="ongoing",CF314,IF(RIGHT($K314,2)=RIGHT(DF$43,2),SUM($CD314:CF314),0)+IF(RIGHT(DF$43,2)&gt;RIGHT($K314,2),CF314,0))</f>
        <v>0</v>
      </c>
      <c r="DG314" s="388">
        <f>+IF($K314="ongoing",CG314,IF(RIGHT($K314,2)=RIGHT(DG$43,2),SUM($CD314:CG314),0)+IF(RIGHT(DG$43,2)&gt;RIGHT($K314,2),CG314,0))</f>
        <v>0</v>
      </c>
      <c r="DH314" s="386">
        <f>+IF($K314="ongoing",CH314,IF(RIGHT($K314,2)=RIGHT(DH$43,2),SUM($CD314:CH314),0)+IF(RIGHT(DH$43,2)&gt;RIGHT($K314,2),CH314,0))</f>
        <v>0</v>
      </c>
      <c r="DI314" s="387">
        <f>+IF($K314="ongoing",CI314,IF(RIGHT($K314,2)=RIGHT(DI$43,2),SUM($CD314:CI314),0)+IF(RIGHT(DI$43,2)&gt;RIGHT($K314,2),CI314,0))</f>
        <v>0</v>
      </c>
      <c r="DJ314" s="387">
        <f>+IF($K314="ongoing",CJ314,IF(RIGHT($K314,2)=RIGHT(DJ$43,2),SUM($CD314:CJ314),0)+IF(RIGHT(DJ$43,2)&gt;RIGHT($K314,2),CJ314,0))</f>
        <v>0</v>
      </c>
      <c r="DK314" s="387">
        <f>+IF($K314="ongoing",CK314,IF(RIGHT($K314,2)=RIGHT(DK$43,2),SUM($CD314:CK314),0)+IF(RIGHT(DK$43,2)&gt;RIGHT($K314,2),CK314,0))</f>
        <v>0</v>
      </c>
      <c r="DL314" s="388">
        <f>+IF($K314="ongoing",CN314,IF(RIGHT($K314,2)=RIGHT(DL$43,2),SUM($CD314:CN314),0)+IF(RIGHT(DL$43,2)&gt;RIGHT($K314,2),CN314,0))</f>
        <v>0</v>
      </c>
      <c r="DM314" s="841"/>
      <c r="DN314" s="386">
        <f t="shared" si="529"/>
        <v>0.5</v>
      </c>
      <c r="DO314" s="387">
        <f t="shared" si="529"/>
        <v>1</v>
      </c>
      <c r="DP314" s="388">
        <f t="shared" si="529"/>
        <v>1</v>
      </c>
      <c r="DQ314" s="386">
        <f t="shared" si="529"/>
        <v>1</v>
      </c>
      <c r="DR314" s="387">
        <f t="shared" si="529"/>
        <v>1</v>
      </c>
      <c r="DS314" s="387">
        <f t="shared" si="529"/>
        <v>1</v>
      </c>
      <c r="DT314" s="387">
        <f t="shared" si="529"/>
        <v>1</v>
      </c>
      <c r="DU314" s="388">
        <f t="shared" si="529"/>
        <v>1</v>
      </c>
      <c r="DW314" s="386">
        <f t="shared" si="530"/>
        <v>0</v>
      </c>
      <c r="DX314" s="387">
        <f t="shared" si="530"/>
        <v>0.5</v>
      </c>
      <c r="DY314" s="388">
        <f t="shared" si="530"/>
        <v>1</v>
      </c>
      <c r="DZ314" s="386">
        <f t="shared" si="530"/>
        <v>1</v>
      </c>
      <c r="EA314" s="387">
        <f t="shared" si="530"/>
        <v>1</v>
      </c>
      <c r="EB314" s="387">
        <f t="shared" si="530"/>
        <v>1</v>
      </c>
      <c r="EC314" s="387">
        <f t="shared" si="530"/>
        <v>1</v>
      </c>
      <c r="ED314" s="388">
        <f t="shared" si="530"/>
        <v>1</v>
      </c>
      <c r="EF314" s="834">
        <f>+IF(DN314=DM314,0,
IF(AND(EF$44&gt;1,DN314=$N314),1-SUM($EE314:EE314),
IF($N314&lt;=1,
IF($N314&gt;0,1/$N314,0),
IF(EF$44=1,0,VDB(1,0,$N314,INT(EF$44-1-1),MIN($N314,INT(EF$44-1-1)+1),$DC314,IF($DD314="No",1,0))/
IF(DM314&gt;=INT($N314),$N314-INT($N314),1)))*
IF(EF$44=1,0,
IF(INT(DN314)=INT(DM314),DN314-DM314,INT(DN314)-DM314))+
IF($N314&lt;=1,
IF($N314&gt;0,1/$N314,0),VDB(1,0,$N314,INT(EF$44-1),MIN($N314,INT(EF$44-1)+1),$DC314,IF($DD314="No",1,0))/
IF(DN314&gt;INT($N314),$N314-INT($N314),1))*
IF(EF$44=1,DN314,
IF(INT(DN314)=INT(DM314),0,DN314-INT(DN314)))))</f>
        <v>0</v>
      </c>
      <c r="EG314" s="835">
        <f>+IF(DO314=DN314,0,
IF(AND(EG$44&gt;1,DO314=$N314),1-SUM($EE314:EF314),
IF($N314&lt;=1,
IF($N314&gt;0,1/$N314,0),
IF(EG$44=1,0,VDB(1,0,$N314,INT(EG$44-1-1),MIN($N314,INT(EG$44-1-1)+1),$DC314,IF($DD314="No",1,0))/
IF(DN314&gt;=INT($N314),$N314-INT($N314),1)))*
IF(EG$44=1,0,
IF(INT(DO314)=INT(DN314),DO314-DN314,INT(DO314)-DN314))+
IF($N314&lt;=1,
IF($N314&gt;0,1/$N314,0),VDB(1,0,$N314,INT(EG$44-1),MIN($N314,INT(EG$44-1)+1),$DC314,IF($DD314="No",1,0))/
IF(DO314&gt;INT($N314),$N314-INT($N314),1))*
IF(EG$44=1,DO314,
IF(INT(DO314)=INT(DN314),0,DO314-INT(DO314)))))</f>
        <v>0</v>
      </c>
      <c r="EH314" s="836">
        <f>+IF(DP314=DO314,0,
IF(AND(EH$44&gt;1,DP314=$N314),1-SUM($EE314:EG314),
IF($N314&lt;=1,
IF($N314&gt;0,1/$N314,0),
IF(EH$44=1,0,VDB(1,0,$N314,INT(EH$44-1-1),MIN($N314,INT(EH$44-1-1)+1),$DC314,IF($DD314="No",1,0))/
IF(DO314&gt;=INT($N314),$N314-INT($N314),1)))*
IF(EH$44=1,0,
IF(INT(DP314)=INT(DO314),DP314-DO314,INT(DP314)-DO314))+
IF($N314&lt;=1,
IF($N314&gt;0,1/$N314,0),VDB(1,0,$N314,INT(EH$44-1),MIN($N314,INT(EH$44-1)+1),$DC314,IF($DD314="No",1,0))/
IF(DP314&gt;INT($N314),$N314-INT($N314),1))*
IF(EH$44=1,DP314,
IF(INT(DP314)=INT(DO314),0,DP314-INT(DP314)))))</f>
        <v>0</v>
      </c>
      <c r="EI314" s="834">
        <f>+IF(DQ314=DP314,0,
IF(AND(EI$44&gt;1,DQ314=$N314),1-SUM($EE314:EH314),
IF($N314&lt;=1,
IF($N314&gt;0,1/$N314,0),
IF(EI$44=1,0,VDB(1,0,$N314,INT(EI$44-1-1),MIN($N314,INT(EI$44-1-1)+1),$DC314,IF($DD314="No",1,0))/
IF(DP314&gt;=INT($N314),$N314-INT($N314),1)))*
IF(EI$44=1,0,
IF(INT(DQ314)=INT(DP314),DQ314-DP314,INT(DQ314)-DP314))+
IF($N314&lt;=1,
IF($N314&gt;0,1/$N314,0),VDB(1,0,$N314,INT(EI$44-1),MIN($N314,INT(EI$44-1)+1),$DC314,IF($DD314="No",1,0))/
IF(DQ314&gt;INT($N314),$N314-INT($N314),1))*
IF(EI$44=1,DQ314,
IF(INT(DQ314)=INT(DP314),0,DQ314-INT(DQ314)))))</f>
        <v>0</v>
      </c>
      <c r="EJ314" s="835">
        <f>+IF(DR314=DQ314,0,
IF(AND(EJ$44&gt;1,DR314=$N314),1-SUM($EE314:EI314),
IF($N314&lt;=1,
IF($N314&gt;0,1/$N314,0),
IF(EJ$44=1,0,VDB(1,0,$N314,INT(EJ$44-1-1),MIN($N314,INT(EJ$44-1-1)+1),$DC314,IF($DD314="No",1,0))/
IF(DQ314&gt;=INT($N314),$N314-INT($N314),1)))*
IF(EJ$44=1,0,
IF(INT(DR314)=INT(DQ314),DR314-DQ314,INT(DR314)-DQ314))+
IF($N314&lt;=1,
IF($N314&gt;0,1/$N314,0),VDB(1,0,$N314,INT(EJ$44-1),MIN($N314,INT(EJ$44-1)+1),$DC314,IF($DD314="No",1,0))/
IF(DR314&gt;INT($N314),$N314-INT($N314),1))*
IF(EJ$44=1,DR314,
IF(INT(DR314)=INT(DQ314),0,DR314-INT(DR314)))))</f>
        <v>0</v>
      </c>
      <c r="EK314" s="835">
        <f>+IF(DS314=DR314,0,
IF(AND(EK$44&gt;1,DS314=$N314),1-SUM($EE314:EJ314),
IF($N314&lt;=1,
IF($N314&gt;0,1/$N314,0),
IF(EK$44=1,0,VDB(1,0,$N314,INT(EK$44-1-1),MIN($N314,INT(EK$44-1-1)+1),$DC314,IF($DD314="No",1,0))/
IF(DR314&gt;=INT($N314),$N314-INT($N314),1)))*
IF(EK$44=1,0,
IF(INT(DS314)=INT(DR314),DS314-DR314,INT(DS314)-DR314))+
IF($N314&lt;=1,
IF($N314&gt;0,1/$N314,0),VDB(1,0,$N314,INT(EK$44-1),MIN($N314,INT(EK$44-1)+1),$DC314,IF($DD314="No",1,0))/
IF(DS314&gt;INT($N314),$N314-INT($N314),1))*
IF(EK$44=1,DS314,
IF(INT(DS314)=INT(DR314),0,DS314-INT(DS314)))))</f>
        <v>0</v>
      </c>
      <c r="EL314" s="835">
        <f>+IF(DT314=DS314,0,
IF(AND(EL$44&gt;1,DT314=$N314),1-SUM($EE314:EK314),
IF($N314&lt;=1,
IF($N314&gt;0,1/$N314,0),
IF(EL$44=1,0,VDB(1,0,$N314,INT(EL$44-1-1),MIN($N314,INT(EL$44-1-1)+1),$DC314,IF($DD314="No",1,0))/
IF(DS314&gt;=INT($N314),$N314-INT($N314),1)))*
IF(EL$44=1,0,
IF(INT(DT314)=INT(DS314),DT314-DS314,INT(DT314)-DS314))+
IF($N314&lt;=1,
IF($N314&gt;0,1/$N314,0),VDB(1,0,$N314,INT(EL$44-1),MIN($N314,INT(EL$44-1)+1),$DC314,IF($DD314="No",1,0))/
IF(DT314&gt;INT($N314),$N314-INT($N314),1))*
IF(EL$44=1,DT314,
IF(INT(DT314)=INT(DS314),0,DT314-INT(DT314)))))</f>
        <v>0</v>
      </c>
      <c r="EM314" s="836">
        <f>+IF(DU314=DT314,0,
IF(AND(EM$44&gt;1,DU314=$N314),1-SUM($EE314:EL314),
IF($N314&lt;=1,
IF($N314&gt;0,1/$N314,0),
IF(EM$44=1,0,VDB(1,0,$N314,INT(EM$44-1-1),MIN($N314,INT(EM$44-1-1)+1),$DC314,IF($DD314="No",1,0))/
IF(DT314&gt;=INT($N314),$N314-INT($N314),1)))*
IF(EM$44=1,0,
IF(INT(DU314)=INT(DT314),DU314-DT314,INT(DU314)-DT314))+
IF($N314&lt;=1,
IF($N314&gt;0,1/$N314,0),VDB(1,0,$N314,INT(EM$44-1),MIN($N314,INT(EM$44-1)+1),$DC314,IF($DD314="No",1,0))/
IF(DU314&gt;INT($N314),$N314-INT($N314),1))*
IF(EM$44=1,DU314,
IF(INT(DU314)=INT(DT314),0,DU314-INT(DU314)))))</f>
        <v>0</v>
      </c>
      <c r="EN314" s="833"/>
      <c r="EO314" s="834">
        <f>+IF(OR(DW314=DV314,EO$44=1),0,
IF(AND(EO$44&gt;1,DW314=$N314),1-SUM($EN314:EN314),
IF($N314&lt;=1,
IF($N314&gt;0,1/$N314,0),
IF(EO$44=2,0,VDB(1,0,$N314,INT(EO$44-2-1),MIN($N314,INT(EO$44-2-1)+1),$DC314,IF($DD314="No",1,0))/
IF(DV314&gt;=INT($N314),$N314-INT($N314),1)))*
IF(EO$44=2,0,
IF(INT(DW314)=INT(DV314),DW314-DV314,INT(DW314)-DV314))+
IF($N314&lt;=1,
IF($N314&gt;0,1/$N314,0),VDB(1,0,$N314,INT(EO$44-2),MIN($N314,INT(EO$44-2)+1),$DC314,IF($DD314="No",1,0))/
IF(DW314&gt;INT($N314),$N314-INT($N314),1))*
IF(EO$44=2,DW314,
IF(INT(DW314)=INT(DV314),0,DW314-INT(DW314)))))</f>
        <v>0</v>
      </c>
      <c r="EP314" s="835">
        <f>+IF(OR(DX314=DW314,EP$44=1),0,
IF(AND(EP$44&gt;1,DX314=$N314),1-SUM($EN314:EO314),
IF($N314&lt;=1,
IF($N314&gt;0,1/$N314,0),
IF(EP$44=2,0,VDB(1,0,$N314,INT(EP$44-2-1),MIN($N314,INT(EP$44-2-1)+1),$DC314,IF($DD314="No",1,0))/
IF(DW314&gt;=INT($N314),$N314-INT($N314),1)))*
IF(EP$44=2,0,
IF(INT(DX314)=INT(DW314),DX314-DW314,INT(DX314)-DW314))+
IF($N314&lt;=1,
IF($N314&gt;0,1/$N314,0),VDB(1,0,$N314,INT(EP$44-2),MIN($N314,INT(EP$44-2)+1),$DC314,IF($DD314="No",1,0))/
IF(DX314&gt;INT($N314),$N314-INT($N314),1))*
IF(EP$44=2,DX314,
IF(INT(DX314)=INT(DW314),0,DX314-INT(DX314)))))</f>
        <v>0</v>
      </c>
      <c r="EQ314" s="836">
        <f>+IF(OR(DY314=DX314,EQ$44=1),0,
IF(AND(EQ$44&gt;1,DY314=$N314),1-SUM($EN314:EP314),
IF($N314&lt;=1,
IF($N314&gt;0,1/$N314,0),
IF(EQ$44=2,0,VDB(1,0,$N314,INT(EQ$44-2-1),MIN($N314,INT(EQ$44-2-1)+1),$DC314,IF($DD314="No",1,0))/
IF(DX314&gt;=INT($N314),$N314-INT($N314),1)))*
IF(EQ$44=2,0,
IF(INT(DY314)=INT(DX314),DY314-DX314,INT(DY314)-DX314))+
IF($N314&lt;=1,
IF($N314&gt;0,1/$N314,0),VDB(1,0,$N314,INT(EQ$44-2),MIN($N314,INT(EQ$44-2)+1),$DC314,IF($DD314="No",1,0))/
IF(DY314&gt;INT($N314),$N314-INT($N314),1))*
IF(EQ$44=2,DY314,
IF(INT(DY314)=INT(DX314),0,DY314-INT(DY314)))))</f>
        <v>0</v>
      </c>
      <c r="ER314" s="834">
        <f>+IF(OR(DZ314=DY314,ER$44=1),0,
IF(AND(ER$44&gt;1,DZ314=$N314),1-SUM($EN314:EQ314),
IF($N314&lt;=1,
IF($N314&gt;0,1/$N314,0),
IF(ER$44=2,0,VDB(1,0,$N314,INT(ER$44-2-1),MIN($N314,INT(ER$44-2-1)+1),$DC314,IF($DD314="No",1,0))/
IF(DY314&gt;=INT($N314),$N314-INT($N314),1)))*
IF(ER$44=2,0,
IF(INT(DZ314)=INT(DY314),DZ314-DY314,INT(DZ314)-DY314))+
IF($N314&lt;=1,
IF($N314&gt;0,1/$N314,0),VDB(1,0,$N314,INT(ER$44-2),MIN($N314,INT(ER$44-2)+1),$DC314,IF($DD314="No",1,0))/
IF(DZ314&gt;INT($N314),$N314-INT($N314),1))*
IF(ER$44=2,DZ314,
IF(INT(DZ314)=INT(DY314),0,DZ314-INT(DZ314)))))</f>
        <v>0</v>
      </c>
      <c r="ES314" s="835">
        <f>+IF(OR(EA314=DZ314,ES$44=1),0,
IF(AND(ES$44&gt;1,EA314=$N314),1-SUM($EN314:ER314),
IF($N314&lt;=1,
IF($N314&gt;0,1/$N314,0),
IF(ES$44=2,0,VDB(1,0,$N314,INT(ES$44-2-1),MIN($N314,INT(ES$44-2-1)+1),$DC314,IF($DD314="No",1,0))/
IF(DZ314&gt;=INT($N314),$N314-INT($N314),1)))*
IF(ES$44=2,0,
IF(INT(EA314)=INT(DZ314),EA314-DZ314,INT(EA314)-DZ314))+
IF($N314&lt;=1,
IF($N314&gt;0,1/$N314,0),VDB(1,0,$N314,INT(ES$44-2),MIN($N314,INT(ES$44-2)+1),$DC314,IF($DD314="No",1,0))/
IF(EA314&gt;INT($N314),$N314-INT($N314),1))*
IF(ES$44=2,EA314,
IF(INT(EA314)=INT(DZ314),0,EA314-INT(EA314)))))</f>
        <v>0</v>
      </c>
      <c r="ET314" s="835">
        <f>+IF(OR(EB314=EA314,ET$44=1),0,
IF(AND(ET$44&gt;1,EB314=$N314),1-SUM($EN314:ES314),
IF($N314&lt;=1,
IF($N314&gt;0,1/$N314,0),
IF(ET$44=2,0,VDB(1,0,$N314,INT(ET$44-2-1),MIN($N314,INT(ET$44-2-1)+1),$DC314,IF($DD314="No",1,0))/
IF(EA314&gt;=INT($N314),$N314-INT($N314),1)))*
IF(ET$44=2,0,
IF(INT(EB314)=INT(EA314),EB314-EA314,INT(EB314)-EA314))+
IF($N314&lt;=1,
IF($N314&gt;0,1/$N314,0),VDB(1,0,$N314,INT(ET$44-2),MIN($N314,INT(ET$44-2)+1),$DC314,IF($DD314="No",1,0))/
IF(EB314&gt;INT($N314),$N314-INT($N314),1))*
IF(ET$44=2,EB314,
IF(INT(EB314)=INT(EA314),0,EB314-INT(EB314)))))</f>
        <v>0</v>
      </c>
      <c r="EU314" s="835">
        <f>+IF(OR(EC314=EB314,EU$44=1),0,
IF(AND(EU$44&gt;1,EC314=$N314),1-SUM($EN314:ET314),
IF($N314&lt;=1,
IF($N314&gt;0,1/$N314,0),
IF(EU$44=2,0,VDB(1,0,$N314,INT(EU$44-2-1),MIN($N314,INT(EU$44-2-1)+1),$DC314,IF($DD314="No",1,0))/
IF(EB314&gt;=INT($N314),$N314-INT($N314),1)))*
IF(EU$44=2,0,
IF(INT(EC314)=INT(EB314),EC314-EB314,INT(EC314)-EB314))+
IF($N314&lt;=1,
IF($N314&gt;0,1/$N314,0),VDB(1,0,$N314,INT(EU$44-2),MIN($N314,INT(EU$44-2)+1),$DC314,IF($DD314="No",1,0))/
IF(EC314&gt;INT($N314),$N314-INT($N314),1))*
IF(EU$44=2,EC314,
IF(INT(EC314)=INT(EB314),0,EC314-INT(EC314)))))</f>
        <v>0</v>
      </c>
      <c r="EV314" s="836">
        <f>+IF(OR(ED314=EC314,EV$44=1),0,
IF(AND(EV$44&gt;1,ED314=$N314),1-SUM($EN314:EU314),
IF($N314&lt;=1,
IF($N314&gt;0,1/$N314,0),
IF(EV$44=2,0,VDB(1,0,$N314,INT(EV$44-2-1),MIN($N314,INT(EV$44-2-1)+1),$DC314,IF($DD314="No",1,0))/
IF(EC314&gt;=INT($N314),$N314-INT($N314),1)))*
IF(EV$44=2,0,
IF(INT(ED314)=INT(EC314),ED314-EC314,INT(ED314)-EC314))+
IF($N314&lt;=1,
IF($N314&gt;0,1/$N314,0),VDB(1,0,$N314,INT(EV$44-2),MIN($N314,INT(EV$44-2)+1),$DC314,IF($DD314="No",1,0))/
IF(ED314&gt;INT($N314),$N314-INT($N314),1))*
IF(EV$44=2,ED314,
IF(INT(ED314)=INT(EC314),0,ED314-INT(ED314)))))</f>
        <v>0</v>
      </c>
      <c r="EW314" s="833"/>
      <c r="EX314" s="834">
        <f t="shared" ca="1" si="531"/>
        <v>0</v>
      </c>
      <c r="EY314" s="835">
        <f t="shared" ca="1" si="531"/>
        <v>0</v>
      </c>
      <c r="EZ314" s="836">
        <f t="shared" ca="1" si="531"/>
        <v>0</v>
      </c>
      <c r="FA314" s="834">
        <f t="shared" ca="1" si="531"/>
        <v>0</v>
      </c>
      <c r="FB314" s="835">
        <f t="shared" ca="1" si="531"/>
        <v>0</v>
      </c>
      <c r="FC314" s="835">
        <f t="shared" ca="1" si="531"/>
        <v>0</v>
      </c>
      <c r="FD314" s="835">
        <f t="shared" ca="1" si="531"/>
        <v>0</v>
      </c>
      <c r="FE314" s="836">
        <f t="shared" ca="1" si="531"/>
        <v>0</v>
      </c>
      <c r="FG314" s="386">
        <f t="shared" ca="1" si="521"/>
        <v>0</v>
      </c>
      <c r="FH314" s="387">
        <f t="shared" ca="1" si="522"/>
        <v>0</v>
      </c>
      <c r="FI314" s="388">
        <f t="shared" ca="1" si="523"/>
        <v>0</v>
      </c>
      <c r="FJ314" s="386">
        <f t="shared" ca="1" si="524"/>
        <v>0</v>
      </c>
      <c r="FK314" s="387">
        <f t="shared" ca="1" si="525"/>
        <v>0</v>
      </c>
      <c r="FL314" s="387">
        <f t="shared" ca="1" si="526"/>
        <v>0</v>
      </c>
      <c r="FM314" s="387">
        <f t="shared" ca="1" si="527"/>
        <v>0</v>
      </c>
      <c r="FN314" s="388">
        <f t="shared" ca="1" si="528"/>
        <v>0</v>
      </c>
      <c r="FR314" s="116"/>
    </row>
    <row r="315" spans="2:174">
      <c r="B315" s="1410">
        <f t="shared" si="512"/>
        <v>269</v>
      </c>
      <c r="C315" s="400"/>
      <c r="D315" s="410"/>
      <c r="E315" s="402"/>
      <c r="F315" s="402"/>
      <c r="G315" s="400"/>
      <c r="H315" s="2088"/>
      <c r="I315" s="2089"/>
      <c r="J315" s="411"/>
      <c r="K315" s="403"/>
      <c r="L315" s="403"/>
      <c r="M315" s="403"/>
      <c r="N315" s="403"/>
      <c r="O315" s="347"/>
      <c r="P315" s="347"/>
      <c r="Q315" s="1021"/>
      <c r="R315" s="1022"/>
      <c r="S315" s="1022"/>
      <c r="T315" s="1022"/>
      <c r="U315" s="1023"/>
      <c r="V315" s="1021"/>
      <c r="W315" s="1022"/>
      <c r="X315" s="1022"/>
      <c r="Y315" s="1022"/>
      <c r="Z315" s="1023"/>
      <c r="AA315" s="1024"/>
      <c r="AB315" s="1021"/>
      <c r="AC315" s="1022"/>
      <c r="AD315" s="1022"/>
      <c r="AE315" s="1022"/>
      <c r="AF315" s="1023"/>
      <c r="AG315" s="1021"/>
      <c r="AH315" s="1022"/>
      <c r="AI315" s="1022"/>
      <c r="AJ315" s="1022"/>
      <c r="AK315" s="1023"/>
      <c r="AL315" s="1024"/>
      <c r="AM315" s="1021"/>
      <c r="AN315" s="1022"/>
      <c r="AO315" s="1022"/>
      <c r="AP315" s="1022"/>
      <c r="AQ315" s="1023"/>
      <c r="AR315" s="1021"/>
      <c r="AS315" s="1022"/>
      <c r="AT315" s="1022"/>
      <c r="AU315" s="1022"/>
      <c r="AV315" s="1023"/>
      <c r="AW315" s="1025"/>
      <c r="AX315" s="1282">
        <f t="shared" si="532"/>
        <v>0</v>
      </c>
      <c r="AY315" s="387">
        <f t="shared" si="533"/>
        <v>0</v>
      </c>
      <c r="AZ315" s="387">
        <f t="shared" si="534"/>
        <v>0</v>
      </c>
      <c r="BA315" s="387">
        <f t="shared" si="535"/>
        <v>0</v>
      </c>
      <c r="BB315" s="1283">
        <f t="shared" si="536"/>
        <v>0</v>
      </c>
      <c r="BC315" s="386">
        <f t="shared" si="537"/>
        <v>0</v>
      </c>
      <c r="BD315" s="387">
        <f t="shared" si="538"/>
        <v>0</v>
      </c>
      <c r="BE315" s="1277">
        <f t="shared" si="539"/>
        <v>0</v>
      </c>
      <c r="BF315" s="1277">
        <f t="shared" si="539"/>
        <v>0</v>
      </c>
      <c r="BG315" s="388">
        <f t="shared" si="539"/>
        <v>0</v>
      </c>
      <c r="BH315" s="1025"/>
      <c r="BI315" s="1282">
        <f t="shared" ca="1" si="540"/>
        <v>0</v>
      </c>
      <c r="BJ315" s="387">
        <f t="shared" ca="1" si="541"/>
        <v>0</v>
      </c>
      <c r="BK315" s="387">
        <f t="shared" ca="1" si="542"/>
        <v>0</v>
      </c>
      <c r="BL315" s="387">
        <f t="shared" ca="1" si="543"/>
        <v>0</v>
      </c>
      <c r="BM315" s="1283">
        <f t="shared" ca="1" si="544"/>
        <v>0</v>
      </c>
      <c r="BN315" s="386">
        <f t="shared" ca="1" si="545"/>
        <v>0</v>
      </c>
      <c r="BO315" s="387">
        <f t="shared" ca="1" si="545"/>
        <v>0</v>
      </c>
      <c r="BP315" s="1277">
        <f t="shared" ca="1" si="545"/>
        <v>0</v>
      </c>
      <c r="BQ315" s="1277">
        <f t="shared" ca="1" si="545"/>
        <v>0</v>
      </c>
      <c r="BR315" s="388">
        <f t="shared" ca="1" si="545"/>
        <v>0</v>
      </c>
      <c r="BS315" s="1025"/>
      <c r="BT315" s="1282">
        <f>+IF($K315="Ongoing",AX315,IF(RIGHT($K315,2)=RIGHT(BT$43,2),SUM($AX315:AX315),0)+IF(RIGHT(BT$43,2)&gt;RIGHT($K315,2),AX315,0))</f>
        <v>0</v>
      </c>
      <c r="BU315" s="387">
        <f>+IF($K315="Ongoing",AY315,IF(RIGHT($K315,2)=RIGHT(BU$43,2),SUM($AX315:AY315),0)+IF(RIGHT(BU$43,2)&gt;RIGHT($K315,2),AY315,0))</f>
        <v>0</v>
      </c>
      <c r="BV315" s="387">
        <f>+IF($K315="Ongoing",AZ315,IF(RIGHT($K315,2)=RIGHT(BV$43,2),SUM($AX315:AZ315),0)+IF(RIGHT(BV$43,2)&gt;RIGHT($K315,2),AZ315,0))</f>
        <v>0</v>
      </c>
      <c r="BW315" s="387">
        <f>+IF($K315="Ongoing",BA315,IF(RIGHT($K315,2)=RIGHT(BW$43,2),SUM($AX315:BA315),0)+IF(RIGHT(BW$43,2)&gt;RIGHT($K315,2),BA315,0))</f>
        <v>0</v>
      </c>
      <c r="BX315" s="1283">
        <f>+IF($K315="Ongoing",BB315,IF(RIGHT($K315,2)=RIGHT(BX$43,2),SUM($AX315:BB315),0)+IF(RIGHT(BX$43,2)&gt;RIGHT($K315,2),BB315,0))</f>
        <v>0</v>
      </c>
      <c r="BY315" s="386">
        <f>+IF($K315="Ongoing",BC315,IF(RIGHT($K315,2)=RIGHT(BY$43,2),SUM($AX315:BC315),0)+IF(RIGHT(BY$43,2)&gt;RIGHT($K315,2),BC315,0))</f>
        <v>0</v>
      </c>
      <c r="BZ315" s="387">
        <f>+IF($K315="Ongoing",BD315,IF(RIGHT($K315,2)=RIGHT(BZ$43,2),SUM($AX315:BD315),0)+IF(RIGHT(BZ$43,2)&gt;RIGHT($K315,2),BD315,0))</f>
        <v>0</v>
      </c>
      <c r="CA315" s="1277">
        <f>+IF($K315="Ongoing",BE315,IF(RIGHT($K315,2)=RIGHT(CA$43,2),SUM($AX315:BE315),0)+IF(RIGHT(CA$43,2)&gt;RIGHT($K315,2),BE315,0))</f>
        <v>0</v>
      </c>
      <c r="CB315" s="1277">
        <f>+IF($K315="Ongoing",BF315,IF(RIGHT($K315,2)=RIGHT(CB$43,2),SUM($AX315:BF315),0)+IF(RIGHT(CB$43,2)&gt;RIGHT($K315,2),BF315,0))</f>
        <v>0</v>
      </c>
      <c r="CC315" s="388">
        <f>+IF($K315="Ongoing",BG315,IF(RIGHT($K315,2)=RIGHT(CC$43,2),SUM($AX315:BG315),0)+IF(RIGHT(CC$43,2)&gt;RIGHT($K315,2),BG315,0))</f>
        <v>0</v>
      </c>
      <c r="CD315" s="1025"/>
      <c r="CE315" s="1282">
        <f>+Q315*KeyAssumptionsPriceControl_FO!AF$15</f>
        <v>0</v>
      </c>
      <c r="CF315" s="387">
        <f>+R315*KeyAssumptionsPriceControl_FO!AG$15</f>
        <v>0</v>
      </c>
      <c r="CG315" s="387">
        <f>+S315*KeyAssumptionsPriceControl_FO!AH$15</f>
        <v>0</v>
      </c>
      <c r="CH315" s="387">
        <f>+T315*KeyAssumptionsPriceControl_FO!AI$15</f>
        <v>0</v>
      </c>
      <c r="CI315" s="1283">
        <f>+U315*KeyAssumptionsPriceControl_FO!AJ$15</f>
        <v>0</v>
      </c>
      <c r="CJ315" s="386">
        <f>+V315*KeyAssumptionsPriceControl_FO!AK$15</f>
        <v>0</v>
      </c>
      <c r="CK315" s="387">
        <f>+W315*KeyAssumptionsPriceControl_FO!AL$15</f>
        <v>0</v>
      </c>
      <c r="CL315" s="1277">
        <f>+X315*KeyAssumptionsPriceControl_FO!AM$15</f>
        <v>0</v>
      </c>
      <c r="CM315" s="1277">
        <f>+Y315*KeyAssumptionsPriceControl_FO!AN$15</f>
        <v>0</v>
      </c>
      <c r="CN315" s="388">
        <f>+Z315*KeyAssumptionsPriceControl_FO!AO$15</f>
        <v>0</v>
      </c>
      <c r="CO315" s="1025"/>
      <c r="CP315" s="1282">
        <f t="shared" ca="1" si="546"/>
        <v>0</v>
      </c>
      <c r="CQ315" s="387">
        <f t="shared" ca="1" si="547"/>
        <v>0</v>
      </c>
      <c r="CR315" s="387">
        <f t="shared" ca="1" si="548"/>
        <v>0</v>
      </c>
      <c r="CS315" s="387">
        <f t="shared" ca="1" si="549"/>
        <v>0</v>
      </c>
      <c r="CT315" s="1283">
        <f t="shared" ca="1" si="550"/>
        <v>0</v>
      </c>
      <c r="CU315" s="386">
        <f t="shared" ca="1" si="551"/>
        <v>0</v>
      </c>
      <c r="CV315" s="387">
        <f t="shared" ca="1" si="552"/>
        <v>0</v>
      </c>
      <c r="CW315" s="1277">
        <f t="shared" ca="1" si="553"/>
        <v>0</v>
      </c>
      <c r="CX315" s="1277">
        <f t="shared" ca="1" si="554"/>
        <v>0</v>
      </c>
      <c r="CY315" s="388">
        <f t="shared" ca="1" si="555"/>
        <v>0</v>
      </c>
      <c r="CZ315" s="347"/>
      <c r="DA315" s="852"/>
      <c r="DB315" s="347"/>
      <c r="DC315" s="1012" t="s">
        <v>517</v>
      </c>
      <c r="DD315" s="841" t="s">
        <v>518</v>
      </c>
      <c r="DE315" s="386">
        <f>+IF($K315="ongoing",CE315,IF(RIGHT($K315,2)=RIGHT(DE$43,2),SUM($CD315:CE315),0)+IF(RIGHT(DE$43,2)&gt;RIGHT($K315,2),CE315,0))</f>
        <v>0</v>
      </c>
      <c r="DF315" s="387">
        <f>+IF($K315="ongoing",CF315,IF(RIGHT($K315,2)=RIGHT(DF$43,2),SUM($CD315:CF315),0)+IF(RIGHT(DF$43,2)&gt;RIGHT($K315,2),CF315,0))</f>
        <v>0</v>
      </c>
      <c r="DG315" s="388">
        <f>+IF($K315="ongoing",CG315,IF(RIGHT($K315,2)=RIGHT(DG$43,2),SUM($CD315:CG315),0)+IF(RIGHT(DG$43,2)&gt;RIGHT($K315,2),CG315,0))</f>
        <v>0</v>
      </c>
      <c r="DH315" s="386">
        <f>+IF($K315="ongoing",CH315,IF(RIGHT($K315,2)=RIGHT(DH$43,2),SUM($CD315:CH315),0)+IF(RIGHT(DH$43,2)&gt;RIGHT($K315,2),CH315,0))</f>
        <v>0</v>
      </c>
      <c r="DI315" s="387">
        <f>+IF($K315="ongoing",CI315,IF(RIGHT($K315,2)=RIGHT(DI$43,2),SUM($CD315:CI315),0)+IF(RIGHT(DI$43,2)&gt;RIGHT($K315,2),CI315,0))</f>
        <v>0</v>
      </c>
      <c r="DJ315" s="387">
        <f>+IF($K315="ongoing",CJ315,IF(RIGHT($K315,2)=RIGHT(DJ$43,2),SUM($CD315:CJ315),0)+IF(RIGHT(DJ$43,2)&gt;RIGHT($K315,2),CJ315,0))</f>
        <v>0</v>
      </c>
      <c r="DK315" s="387">
        <f>+IF($K315="ongoing",CK315,IF(RIGHT($K315,2)=RIGHT(DK$43,2),SUM($CD315:CK315),0)+IF(RIGHT(DK$43,2)&gt;RIGHT($K315,2),CK315,0))</f>
        <v>0</v>
      </c>
      <c r="DL315" s="388">
        <f>+IF($K315="ongoing",CN315,IF(RIGHT($K315,2)=RIGHT(DL$43,2),SUM($CD315:CN315),0)+IF(RIGHT(DL$43,2)&gt;RIGHT($K315,2),CN315,0))</f>
        <v>0</v>
      </c>
      <c r="DM315" s="841"/>
      <c r="DN315" s="386">
        <f t="shared" si="529"/>
        <v>0.5</v>
      </c>
      <c r="DO315" s="387">
        <f t="shared" si="529"/>
        <v>1</v>
      </c>
      <c r="DP315" s="388">
        <f t="shared" si="529"/>
        <v>1</v>
      </c>
      <c r="DQ315" s="386">
        <f t="shared" si="529"/>
        <v>1</v>
      </c>
      <c r="DR315" s="387">
        <f t="shared" si="529"/>
        <v>1</v>
      </c>
      <c r="DS315" s="387">
        <f t="shared" si="529"/>
        <v>1</v>
      </c>
      <c r="DT315" s="387">
        <f t="shared" si="529"/>
        <v>1</v>
      </c>
      <c r="DU315" s="388">
        <f t="shared" si="529"/>
        <v>1</v>
      </c>
      <c r="DW315" s="386">
        <f t="shared" si="530"/>
        <v>0</v>
      </c>
      <c r="DX315" s="387">
        <f t="shared" si="530"/>
        <v>0.5</v>
      </c>
      <c r="DY315" s="388">
        <f t="shared" si="530"/>
        <v>1</v>
      </c>
      <c r="DZ315" s="386">
        <f t="shared" si="530"/>
        <v>1</v>
      </c>
      <c r="EA315" s="387">
        <f t="shared" si="530"/>
        <v>1</v>
      </c>
      <c r="EB315" s="387">
        <f t="shared" si="530"/>
        <v>1</v>
      </c>
      <c r="EC315" s="387">
        <f t="shared" si="530"/>
        <v>1</v>
      </c>
      <c r="ED315" s="388">
        <f t="shared" si="530"/>
        <v>1</v>
      </c>
      <c r="EF315" s="834">
        <f>+IF(DN315=DM315,0,
IF(AND(EF$44&gt;1,DN315=$N315),1-SUM($EE315:EE315),
IF($N315&lt;=1,
IF($N315&gt;0,1/$N315,0),
IF(EF$44=1,0,VDB(1,0,$N315,INT(EF$44-1-1),MIN($N315,INT(EF$44-1-1)+1),$DC315,IF($DD315="No",1,0))/
IF(DM315&gt;=INT($N315),$N315-INT($N315),1)))*
IF(EF$44=1,0,
IF(INT(DN315)=INT(DM315),DN315-DM315,INT(DN315)-DM315))+
IF($N315&lt;=1,
IF($N315&gt;0,1/$N315,0),VDB(1,0,$N315,INT(EF$44-1),MIN($N315,INT(EF$44-1)+1),$DC315,IF($DD315="No",1,0))/
IF(DN315&gt;INT($N315),$N315-INT($N315),1))*
IF(EF$44=1,DN315,
IF(INT(DN315)=INT(DM315),0,DN315-INT(DN315)))))</f>
        <v>0</v>
      </c>
      <c r="EG315" s="835">
        <f>+IF(DO315=DN315,0,
IF(AND(EG$44&gt;1,DO315=$N315),1-SUM($EE315:EF315),
IF($N315&lt;=1,
IF($N315&gt;0,1/$N315,0),
IF(EG$44=1,0,VDB(1,0,$N315,INT(EG$44-1-1),MIN($N315,INT(EG$44-1-1)+1),$DC315,IF($DD315="No",1,0))/
IF(DN315&gt;=INT($N315),$N315-INT($N315),1)))*
IF(EG$44=1,0,
IF(INT(DO315)=INT(DN315),DO315-DN315,INT(DO315)-DN315))+
IF($N315&lt;=1,
IF($N315&gt;0,1/$N315,0),VDB(1,0,$N315,INT(EG$44-1),MIN($N315,INT(EG$44-1)+1),$DC315,IF($DD315="No",1,0))/
IF(DO315&gt;INT($N315),$N315-INT($N315),1))*
IF(EG$44=1,DO315,
IF(INT(DO315)=INT(DN315),0,DO315-INT(DO315)))))</f>
        <v>0</v>
      </c>
      <c r="EH315" s="836">
        <f>+IF(DP315=DO315,0,
IF(AND(EH$44&gt;1,DP315=$N315),1-SUM($EE315:EG315),
IF($N315&lt;=1,
IF($N315&gt;0,1/$N315,0),
IF(EH$44=1,0,VDB(1,0,$N315,INT(EH$44-1-1),MIN($N315,INT(EH$44-1-1)+1),$DC315,IF($DD315="No",1,0))/
IF(DO315&gt;=INT($N315),$N315-INT($N315),1)))*
IF(EH$44=1,0,
IF(INT(DP315)=INT(DO315),DP315-DO315,INT(DP315)-DO315))+
IF($N315&lt;=1,
IF($N315&gt;0,1/$N315,0),VDB(1,0,$N315,INT(EH$44-1),MIN($N315,INT(EH$44-1)+1),$DC315,IF($DD315="No",1,0))/
IF(DP315&gt;INT($N315),$N315-INT($N315),1))*
IF(EH$44=1,DP315,
IF(INT(DP315)=INT(DO315),0,DP315-INT(DP315)))))</f>
        <v>0</v>
      </c>
      <c r="EI315" s="834">
        <f>+IF(DQ315=DP315,0,
IF(AND(EI$44&gt;1,DQ315=$N315),1-SUM($EE315:EH315),
IF($N315&lt;=1,
IF($N315&gt;0,1/$N315,0),
IF(EI$44=1,0,VDB(1,0,$N315,INT(EI$44-1-1),MIN($N315,INT(EI$44-1-1)+1),$DC315,IF($DD315="No",1,0))/
IF(DP315&gt;=INT($N315),$N315-INT($N315),1)))*
IF(EI$44=1,0,
IF(INT(DQ315)=INT(DP315),DQ315-DP315,INT(DQ315)-DP315))+
IF($N315&lt;=1,
IF($N315&gt;0,1/$N315,0),VDB(1,0,$N315,INT(EI$44-1),MIN($N315,INT(EI$44-1)+1),$DC315,IF($DD315="No",1,0))/
IF(DQ315&gt;INT($N315),$N315-INT($N315),1))*
IF(EI$44=1,DQ315,
IF(INT(DQ315)=INT(DP315),0,DQ315-INT(DQ315)))))</f>
        <v>0</v>
      </c>
      <c r="EJ315" s="835">
        <f>+IF(DR315=DQ315,0,
IF(AND(EJ$44&gt;1,DR315=$N315),1-SUM($EE315:EI315),
IF($N315&lt;=1,
IF($N315&gt;0,1/$N315,0),
IF(EJ$44=1,0,VDB(1,0,$N315,INT(EJ$44-1-1),MIN($N315,INT(EJ$44-1-1)+1),$DC315,IF($DD315="No",1,0))/
IF(DQ315&gt;=INT($N315),$N315-INT($N315),1)))*
IF(EJ$44=1,0,
IF(INT(DR315)=INT(DQ315),DR315-DQ315,INT(DR315)-DQ315))+
IF($N315&lt;=1,
IF($N315&gt;0,1/$N315,0),VDB(1,0,$N315,INT(EJ$44-1),MIN($N315,INT(EJ$44-1)+1),$DC315,IF($DD315="No",1,0))/
IF(DR315&gt;INT($N315),$N315-INT($N315),1))*
IF(EJ$44=1,DR315,
IF(INT(DR315)=INT(DQ315),0,DR315-INT(DR315)))))</f>
        <v>0</v>
      </c>
      <c r="EK315" s="835">
        <f>+IF(DS315=DR315,0,
IF(AND(EK$44&gt;1,DS315=$N315),1-SUM($EE315:EJ315),
IF($N315&lt;=1,
IF($N315&gt;0,1/$N315,0),
IF(EK$44=1,0,VDB(1,0,$N315,INT(EK$44-1-1),MIN($N315,INT(EK$44-1-1)+1),$DC315,IF($DD315="No",1,0))/
IF(DR315&gt;=INT($N315),$N315-INT($N315),1)))*
IF(EK$44=1,0,
IF(INT(DS315)=INT(DR315),DS315-DR315,INT(DS315)-DR315))+
IF($N315&lt;=1,
IF($N315&gt;0,1/$N315,0),VDB(1,0,$N315,INT(EK$44-1),MIN($N315,INT(EK$44-1)+1),$DC315,IF($DD315="No",1,0))/
IF(DS315&gt;INT($N315),$N315-INT($N315),1))*
IF(EK$44=1,DS315,
IF(INT(DS315)=INT(DR315),0,DS315-INT(DS315)))))</f>
        <v>0</v>
      </c>
      <c r="EL315" s="835">
        <f>+IF(DT315=DS315,0,
IF(AND(EL$44&gt;1,DT315=$N315),1-SUM($EE315:EK315),
IF($N315&lt;=1,
IF($N315&gt;0,1/$N315,0),
IF(EL$44=1,0,VDB(1,0,$N315,INT(EL$44-1-1),MIN($N315,INT(EL$44-1-1)+1),$DC315,IF($DD315="No",1,0))/
IF(DS315&gt;=INT($N315),$N315-INT($N315),1)))*
IF(EL$44=1,0,
IF(INT(DT315)=INT(DS315),DT315-DS315,INT(DT315)-DS315))+
IF($N315&lt;=1,
IF($N315&gt;0,1/$N315,0),VDB(1,0,$N315,INT(EL$44-1),MIN($N315,INT(EL$44-1)+1),$DC315,IF($DD315="No",1,0))/
IF(DT315&gt;INT($N315),$N315-INT($N315),1))*
IF(EL$44=1,DT315,
IF(INT(DT315)=INT(DS315),0,DT315-INT(DT315)))))</f>
        <v>0</v>
      </c>
      <c r="EM315" s="836">
        <f>+IF(DU315=DT315,0,
IF(AND(EM$44&gt;1,DU315=$N315),1-SUM($EE315:EL315),
IF($N315&lt;=1,
IF($N315&gt;0,1/$N315,0),
IF(EM$44=1,0,VDB(1,0,$N315,INT(EM$44-1-1),MIN($N315,INT(EM$44-1-1)+1),$DC315,IF($DD315="No",1,0))/
IF(DT315&gt;=INT($N315),$N315-INT($N315),1)))*
IF(EM$44=1,0,
IF(INT(DU315)=INT(DT315),DU315-DT315,INT(DU315)-DT315))+
IF($N315&lt;=1,
IF($N315&gt;0,1/$N315,0),VDB(1,0,$N315,INT(EM$44-1),MIN($N315,INT(EM$44-1)+1),$DC315,IF($DD315="No",1,0))/
IF(DU315&gt;INT($N315),$N315-INT($N315),1))*
IF(EM$44=1,DU315,
IF(INT(DU315)=INT(DT315),0,DU315-INT(DU315)))))</f>
        <v>0</v>
      </c>
      <c r="EN315" s="833"/>
      <c r="EO315" s="834">
        <f>+IF(OR(DW315=DV315,EO$44=1),0,
IF(AND(EO$44&gt;1,DW315=$N315),1-SUM($EN315:EN315),
IF($N315&lt;=1,
IF($N315&gt;0,1/$N315,0),
IF(EO$44=2,0,VDB(1,0,$N315,INT(EO$44-2-1),MIN($N315,INT(EO$44-2-1)+1),$DC315,IF($DD315="No",1,0))/
IF(DV315&gt;=INT($N315),$N315-INT($N315),1)))*
IF(EO$44=2,0,
IF(INT(DW315)=INT(DV315),DW315-DV315,INT(DW315)-DV315))+
IF($N315&lt;=1,
IF($N315&gt;0,1/$N315,0),VDB(1,0,$N315,INT(EO$44-2),MIN($N315,INT(EO$44-2)+1),$DC315,IF($DD315="No",1,0))/
IF(DW315&gt;INT($N315),$N315-INT($N315),1))*
IF(EO$44=2,DW315,
IF(INT(DW315)=INT(DV315),0,DW315-INT(DW315)))))</f>
        <v>0</v>
      </c>
      <c r="EP315" s="835">
        <f>+IF(OR(DX315=DW315,EP$44=1),0,
IF(AND(EP$44&gt;1,DX315=$N315),1-SUM($EN315:EO315),
IF($N315&lt;=1,
IF($N315&gt;0,1/$N315,0),
IF(EP$44=2,0,VDB(1,0,$N315,INT(EP$44-2-1),MIN($N315,INT(EP$44-2-1)+1),$DC315,IF($DD315="No",1,0))/
IF(DW315&gt;=INT($N315),$N315-INT($N315),1)))*
IF(EP$44=2,0,
IF(INT(DX315)=INT(DW315),DX315-DW315,INT(DX315)-DW315))+
IF($N315&lt;=1,
IF($N315&gt;0,1/$N315,0),VDB(1,0,$N315,INT(EP$44-2),MIN($N315,INT(EP$44-2)+1),$DC315,IF($DD315="No",1,0))/
IF(DX315&gt;INT($N315),$N315-INT($N315),1))*
IF(EP$44=2,DX315,
IF(INT(DX315)=INT(DW315),0,DX315-INT(DX315)))))</f>
        <v>0</v>
      </c>
      <c r="EQ315" s="836">
        <f>+IF(OR(DY315=DX315,EQ$44=1),0,
IF(AND(EQ$44&gt;1,DY315=$N315),1-SUM($EN315:EP315),
IF($N315&lt;=1,
IF($N315&gt;0,1/$N315,0),
IF(EQ$44=2,0,VDB(1,0,$N315,INT(EQ$44-2-1),MIN($N315,INT(EQ$44-2-1)+1),$DC315,IF($DD315="No",1,0))/
IF(DX315&gt;=INT($N315),$N315-INT($N315),1)))*
IF(EQ$44=2,0,
IF(INT(DY315)=INT(DX315),DY315-DX315,INT(DY315)-DX315))+
IF($N315&lt;=1,
IF($N315&gt;0,1/$N315,0),VDB(1,0,$N315,INT(EQ$44-2),MIN($N315,INT(EQ$44-2)+1),$DC315,IF($DD315="No",1,0))/
IF(DY315&gt;INT($N315),$N315-INT($N315),1))*
IF(EQ$44=2,DY315,
IF(INT(DY315)=INT(DX315),0,DY315-INT(DY315)))))</f>
        <v>0</v>
      </c>
      <c r="ER315" s="834">
        <f>+IF(OR(DZ315=DY315,ER$44=1),0,
IF(AND(ER$44&gt;1,DZ315=$N315),1-SUM($EN315:EQ315),
IF($N315&lt;=1,
IF($N315&gt;0,1/$N315,0),
IF(ER$44=2,0,VDB(1,0,$N315,INT(ER$44-2-1),MIN($N315,INT(ER$44-2-1)+1),$DC315,IF($DD315="No",1,0))/
IF(DY315&gt;=INT($N315),$N315-INT($N315),1)))*
IF(ER$44=2,0,
IF(INT(DZ315)=INT(DY315),DZ315-DY315,INT(DZ315)-DY315))+
IF($N315&lt;=1,
IF($N315&gt;0,1/$N315,0),VDB(1,0,$N315,INT(ER$44-2),MIN($N315,INT(ER$44-2)+1),$DC315,IF($DD315="No",1,0))/
IF(DZ315&gt;INT($N315),$N315-INT($N315),1))*
IF(ER$44=2,DZ315,
IF(INT(DZ315)=INT(DY315),0,DZ315-INT(DZ315)))))</f>
        <v>0</v>
      </c>
      <c r="ES315" s="835">
        <f>+IF(OR(EA315=DZ315,ES$44=1),0,
IF(AND(ES$44&gt;1,EA315=$N315),1-SUM($EN315:ER315),
IF($N315&lt;=1,
IF($N315&gt;0,1/$N315,0),
IF(ES$44=2,0,VDB(1,0,$N315,INT(ES$44-2-1),MIN($N315,INT(ES$44-2-1)+1),$DC315,IF($DD315="No",1,0))/
IF(DZ315&gt;=INT($N315),$N315-INT($N315),1)))*
IF(ES$44=2,0,
IF(INT(EA315)=INT(DZ315),EA315-DZ315,INT(EA315)-DZ315))+
IF($N315&lt;=1,
IF($N315&gt;0,1/$N315,0),VDB(1,0,$N315,INT(ES$44-2),MIN($N315,INT(ES$44-2)+1),$DC315,IF($DD315="No",1,0))/
IF(EA315&gt;INT($N315),$N315-INT($N315),1))*
IF(ES$44=2,EA315,
IF(INT(EA315)=INT(DZ315),0,EA315-INT(EA315)))))</f>
        <v>0</v>
      </c>
      <c r="ET315" s="835">
        <f>+IF(OR(EB315=EA315,ET$44=1),0,
IF(AND(ET$44&gt;1,EB315=$N315),1-SUM($EN315:ES315),
IF($N315&lt;=1,
IF($N315&gt;0,1/$N315,0),
IF(ET$44=2,0,VDB(1,0,$N315,INT(ET$44-2-1),MIN($N315,INT(ET$44-2-1)+1),$DC315,IF($DD315="No",1,0))/
IF(EA315&gt;=INT($N315),$N315-INT($N315),1)))*
IF(ET$44=2,0,
IF(INT(EB315)=INT(EA315),EB315-EA315,INT(EB315)-EA315))+
IF($N315&lt;=1,
IF($N315&gt;0,1/$N315,0),VDB(1,0,$N315,INT(ET$44-2),MIN($N315,INT(ET$44-2)+1),$DC315,IF($DD315="No",1,0))/
IF(EB315&gt;INT($N315),$N315-INT($N315),1))*
IF(ET$44=2,EB315,
IF(INT(EB315)=INT(EA315),0,EB315-INT(EB315)))))</f>
        <v>0</v>
      </c>
      <c r="EU315" s="835">
        <f>+IF(OR(EC315=EB315,EU$44=1),0,
IF(AND(EU$44&gt;1,EC315=$N315),1-SUM($EN315:ET315),
IF($N315&lt;=1,
IF($N315&gt;0,1/$N315,0),
IF(EU$44=2,0,VDB(1,0,$N315,INT(EU$44-2-1),MIN($N315,INT(EU$44-2-1)+1),$DC315,IF($DD315="No",1,0))/
IF(EB315&gt;=INT($N315),$N315-INT($N315),1)))*
IF(EU$44=2,0,
IF(INT(EC315)=INT(EB315),EC315-EB315,INT(EC315)-EB315))+
IF($N315&lt;=1,
IF($N315&gt;0,1/$N315,0),VDB(1,0,$N315,INT(EU$44-2),MIN($N315,INT(EU$44-2)+1),$DC315,IF($DD315="No",1,0))/
IF(EC315&gt;INT($N315),$N315-INT($N315),1))*
IF(EU$44=2,EC315,
IF(INT(EC315)=INT(EB315),0,EC315-INT(EC315)))))</f>
        <v>0</v>
      </c>
      <c r="EV315" s="836">
        <f>+IF(OR(ED315=EC315,EV$44=1),0,
IF(AND(EV$44&gt;1,ED315=$N315),1-SUM($EN315:EU315),
IF($N315&lt;=1,
IF($N315&gt;0,1/$N315,0),
IF(EV$44=2,0,VDB(1,0,$N315,INT(EV$44-2-1),MIN($N315,INT(EV$44-2-1)+1),$DC315,IF($DD315="No",1,0))/
IF(EC315&gt;=INT($N315),$N315-INT($N315),1)))*
IF(EV$44=2,0,
IF(INT(ED315)=INT(EC315),ED315-EC315,INT(ED315)-EC315))+
IF($N315&lt;=1,
IF($N315&gt;0,1/$N315,0),VDB(1,0,$N315,INT(EV$44-2),MIN($N315,INT(EV$44-2)+1),$DC315,IF($DD315="No",1,0))/
IF(ED315&gt;INT($N315),$N315-INT($N315),1))*
IF(EV$44=2,ED315,
IF(INT(ED315)=INT(EC315),0,ED315-INT(ED315)))))</f>
        <v>0</v>
      </c>
      <c r="EW315" s="833"/>
      <c r="EX315" s="834">
        <f t="shared" ca="1" si="531"/>
        <v>0</v>
      </c>
      <c r="EY315" s="835">
        <f t="shared" ca="1" si="531"/>
        <v>0</v>
      </c>
      <c r="EZ315" s="836">
        <f t="shared" ca="1" si="531"/>
        <v>0</v>
      </c>
      <c r="FA315" s="834">
        <f t="shared" ca="1" si="531"/>
        <v>0</v>
      </c>
      <c r="FB315" s="835">
        <f t="shared" ca="1" si="531"/>
        <v>0</v>
      </c>
      <c r="FC315" s="835">
        <f t="shared" ca="1" si="531"/>
        <v>0</v>
      </c>
      <c r="FD315" s="835">
        <f t="shared" ca="1" si="531"/>
        <v>0</v>
      </c>
      <c r="FE315" s="836">
        <f t="shared" ca="1" si="531"/>
        <v>0</v>
      </c>
      <c r="FG315" s="386">
        <f t="shared" ca="1" si="521"/>
        <v>0</v>
      </c>
      <c r="FH315" s="387">
        <f t="shared" ca="1" si="522"/>
        <v>0</v>
      </c>
      <c r="FI315" s="388">
        <f t="shared" ca="1" si="523"/>
        <v>0</v>
      </c>
      <c r="FJ315" s="386">
        <f t="shared" ca="1" si="524"/>
        <v>0</v>
      </c>
      <c r="FK315" s="387">
        <f t="shared" ca="1" si="525"/>
        <v>0</v>
      </c>
      <c r="FL315" s="387">
        <f t="shared" ca="1" si="526"/>
        <v>0</v>
      </c>
      <c r="FM315" s="387">
        <f t="shared" ca="1" si="527"/>
        <v>0</v>
      </c>
      <c r="FN315" s="388">
        <f t="shared" ca="1" si="528"/>
        <v>0</v>
      </c>
      <c r="FR315" s="116"/>
    </row>
    <row r="316" spans="2:174">
      <c r="B316" s="1410">
        <f t="shared" si="512"/>
        <v>270</v>
      </c>
      <c r="C316" s="400"/>
      <c r="D316" s="410"/>
      <c r="E316" s="402"/>
      <c r="F316" s="402"/>
      <c r="G316" s="400"/>
      <c r="H316" s="2088"/>
      <c r="I316" s="2089"/>
      <c r="J316" s="411"/>
      <c r="K316" s="403"/>
      <c r="L316" s="403"/>
      <c r="M316" s="403"/>
      <c r="N316" s="403"/>
      <c r="O316" s="347"/>
      <c r="P316" s="347"/>
      <c r="Q316" s="1021"/>
      <c r="R316" s="1022"/>
      <c r="S316" s="1022"/>
      <c r="T316" s="1022"/>
      <c r="U316" s="1023"/>
      <c r="V316" s="1021"/>
      <c r="W316" s="1022"/>
      <c r="X316" s="1022"/>
      <c r="Y316" s="1022"/>
      <c r="Z316" s="1023"/>
      <c r="AA316" s="1024"/>
      <c r="AB316" s="1021"/>
      <c r="AC316" s="1022"/>
      <c r="AD316" s="1022"/>
      <c r="AE316" s="1022"/>
      <c r="AF316" s="1023"/>
      <c r="AG316" s="1021"/>
      <c r="AH316" s="1022"/>
      <c r="AI316" s="1022"/>
      <c r="AJ316" s="1022"/>
      <c r="AK316" s="1023"/>
      <c r="AL316" s="1024"/>
      <c r="AM316" s="1021"/>
      <c r="AN316" s="1022"/>
      <c r="AO316" s="1022"/>
      <c r="AP316" s="1022"/>
      <c r="AQ316" s="1023"/>
      <c r="AR316" s="1021"/>
      <c r="AS316" s="1022"/>
      <c r="AT316" s="1022"/>
      <c r="AU316" s="1022"/>
      <c r="AV316" s="1023"/>
      <c r="AW316" s="1025"/>
      <c r="AX316" s="1282">
        <f t="shared" si="532"/>
        <v>0</v>
      </c>
      <c r="AY316" s="387">
        <f t="shared" si="533"/>
        <v>0</v>
      </c>
      <c r="AZ316" s="387">
        <f t="shared" si="534"/>
        <v>0</v>
      </c>
      <c r="BA316" s="387">
        <f t="shared" si="535"/>
        <v>0</v>
      </c>
      <c r="BB316" s="1283">
        <f t="shared" si="536"/>
        <v>0</v>
      </c>
      <c r="BC316" s="386">
        <f t="shared" si="537"/>
        <v>0</v>
      </c>
      <c r="BD316" s="387">
        <f t="shared" si="538"/>
        <v>0</v>
      </c>
      <c r="BE316" s="1277">
        <f t="shared" si="539"/>
        <v>0</v>
      </c>
      <c r="BF316" s="1277">
        <f t="shared" si="539"/>
        <v>0</v>
      </c>
      <c r="BG316" s="388">
        <f t="shared" si="539"/>
        <v>0</v>
      </c>
      <c r="BH316" s="1025"/>
      <c r="BI316" s="1282">
        <f t="shared" ca="1" si="540"/>
        <v>0</v>
      </c>
      <c r="BJ316" s="387">
        <f t="shared" ca="1" si="541"/>
        <v>0</v>
      </c>
      <c r="BK316" s="387">
        <f t="shared" ca="1" si="542"/>
        <v>0</v>
      </c>
      <c r="BL316" s="387">
        <f t="shared" ca="1" si="543"/>
        <v>0</v>
      </c>
      <c r="BM316" s="1283">
        <f t="shared" ca="1" si="544"/>
        <v>0</v>
      </c>
      <c r="BN316" s="386">
        <f t="shared" ca="1" si="545"/>
        <v>0</v>
      </c>
      <c r="BO316" s="387">
        <f t="shared" ca="1" si="545"/>
        <v>0</v>
      </c>
      <c r="BP316" s="1277">
        <f t="shared" ca="1" si="545"/>
        <v>0</v>
      </c>
      <c r="BQ316" s="1277">
        <f t="shared" ca="1" si="545"/>
        <v>0</v>
      </c>
      <c r="BR316" s="388">
        <f t="shared" ca="1" si="545"/>
        <v>0</v>
      </c>
      <c r="BS316" s="1025"/>
      <c r="BT316" s="1282">
        <f>+IF($K316="Ongoing",AX316,IF(RIGHT($K316,2)=RIGHT(BT$43,2),SUM($AX316:AX316),0)+IF(RIGHT(BT$43,2)&gt;RIGHT($K316,2),AX316,0))</f>
        <v>0</v>
      </c>
      <c r="BU316" s="387">
        <f>+IF($K316="Ongoing",AY316,IF(RIGHT($K316,2)=RIGHT(BU$43,2),SUM($AX316:AY316),0)+IF(RIGHT(BU$43,2)&gt;RIGHT($K316,2),AY316,0))</f>
        <v>0</v>
      </c>
      <c r="BV316" s="387">
        <f>+IF($K316="Ongoing",AZ316,IF(RIGHT($K316,2)=RIGHT(BV$43,2),SUM($AX316:AZ316),0)+IF(RIGHT(BV$43,2)&gt;RIGHT($K316,2),AZ316,0))</f>
        <v>0</v>
      </c>
      <c r="BW316" s="387">
        <f>+IF($K316="Ongoing",BA316,IF(RIGHT($K316,2)=RIGHT(BW$43,2),SUM($AX316:BA316),0)+IF(RIGHT(BW$43,2)&gt;RIGHT($K316,2),BA316,0))</f>
        <v>0</v>
      </c>
      <c r="BX316" s="1283">
        <f>+IF($K316="Ongoing",BB316,IF(RIGHT($K316,2)=RIGHT(BX$43,2),SUM($AX316:BB316),0)+IF(RIGHT(BX$43,2)&gt;RIGHT($K316,2),BB316,0))</f>
        <v>0</v>
      </c>
      <c r="BY316" s="386">
        <f>+IF($K316="Ongoing",BC316,IF(RIGHT($K316,2)=RIGHT(BY$43,2),SUM($AX316:BC316),0)+IF(RIGHT(BY$43,2)&gt;RIGHT($K316,2),BC316,0))</f>
        <v>0</v>
      </c>
      <c r="BZ316" s="387">
        <f>+IF($K316="Ongoing",BD316,IF(RIGHT($K316,2)=RIGHT(BZ$43,2),SUM($AX316:BD316),0)+IF(RIGHT(BZ$43,2)&gt;RIGHT($K316,2),BD316,0))</f>
        <v>0</v>
      </c>
      <c r="CA316" s="1277">
        <f>+IF($K316="Ongoing",BE316,IF(RIGHT($K316,2)=RIGHT(CA$43,2),SUM($AX316:BE316),0)+IF(RIGHT(CA$43,2)&gt;RIGHT($K316,2),BE316,0))</f>
        <v>0</v>
      </c>
      <c r="CB316" s="1277">
        <f>+IF($K316="Ongoing",BF316,IF(RIGHT($K316,2)=RIGHT(CB$43,2),SUM($AX316:BF316),0)+IF(RIGHT(CB$43,2)&gt;RIGHT($K316,2),BF316,0))</f>
        <v>0</v>
      </c>
      <c r="CC316" s="388">
        <f>+IF($K316="Ongoing",BG316,IF(RIGHT($K316,2)=RIGHT(CC$43,2),SUM($AX316:BG316),0)+IF(RIGHT(CC$43,2)&gt;RIGHT($K316,2),BG316,0))</f>
        <v>0</v>
      </c>
      <c r="CD316" s="1025"/>
      <c r="CE316" s="1282">
        <f>+Q316*KeyAssumptionsPriceControl_FO!AF$15</f>
        <v>0</v>
      </c>
      <c r="CF316" s="387">
        <f>+R316*KeyAssumptionsPriceControl_FO!AG$15</f>
        <v>0</v>
      </c>
      <c r="CG316" s="387">
        <f>+S316*KeyAssumptionsPriceControl_FO!AH$15</f>
        <v>0</v>
      </c>
      <c r="CH316" s="387">
        <f>+T316*KeyAssumptionsPriceControl_FO!AI$15</f>
        <v>0</v>
      </c>
      <c r="CI316" s="1283">
        <f>+U316*KeyAssumptionsPriceControl_FO!AJ$15</f>
        <v>0</v>
      </c>
      <c r="CJ316" s="386">
        <f>+V316*KeyAssumptionsPriceControl_FO!AK$15</f>
        <v>0</v>
      </c>
      <c r="CK316" s="387">
        <f>+W316*KeyAssumptionsPriceControl_FO!AL$15</f>
        <v>0</v>
      </c>
      <c r="CL316" s="1277">
        <f>+X316*KeyAssumptionsPriceControl_FO!AM$15</f>
        <v>0</v>
      </c>
      <c r="CM316" s="1277">
        <f>+Y316*KeyAssumptionsPriceControl_FO!AN$15</f>
        <v>0</v>
      </c>
      <c r="CN316" s="388">
        <f>+Z316*KeyAssumptionsPriceControl_FO!AO$15</f>
        <v>0</v>
      </c>
      <c r="CO316" s="1025"/>
      <c r="CP316" s="1282">
        <f t="shared" ca="1" si="546"/>
        <v>0</v>
      </c>
      <c r="CQ316" s="387">
        <f t="shared" ca="1" si="547"/>
        <v>0</v>
      </c>
      <c r="CR316" s="387">
        <f t="shared" ca="1" si="548"/>
        <v>0</v>
      </c>
      <c r="CS316" s="387">
        <f t="shared" ca="1" si="549"/>
        <v>0</v>
      </c>
      <c r="CT316" s="1283">
        <f t="shared" ca="1" si="550"/>
        <v>0</v>
      </c>
      <c r="CU316" s="386">
        <f t="shared" ca="1" si="551"/>
        <v>0</v>
      </c>
      <c r="CV316" s="387">
        <f t="shared" ca="1" si="552"/>
        <v>0</v>
      </c>
      <c r="CW316" s="1277">
        <f t="shared" ca="1" si="553"/>
        <v>0</v>
      </c>
      <c r="CX316" s="1277">
        <f t="shared" ca="1" si="554"/>
        <v>0</v>
      </c>
      <c r="CY316" s="388">
        <f t="shared" ca="1" si="555"/>
        <v>0</v>
      </c>
      <c r="CZ316" s="347"/>
      <c r="DA316" s="852"/>
      <c r="DB316" s="347"/>
      <c r="DC316" s="1012" t="s">
        <v>517</v>
      </c>
      <c r="DD316" s="841" t="s">
        <v>518</v>
      </c>
      <c r="DE316" s="386">
        <f>+IF($K316="ongoing",CE316,IF(RIGHT($K316,2)=RIGHT(DE$43,2),SUM($CD316:CE316),0)+IF(RIGHT(DE$43,2)&gt;RIGHT($K316,2),CE316,0))</f>
        <v>0</v>
      </c>
      <c r="DF316" s="387">
        <f>+IF($K316="ongoing",CF316,IF(RIGHT($K316,2)=RIGHT(DF$43,2),SUM($CD316:CF316),0)+IF(RIGHT(DF$43,2)&gt;RIGHT($K316,2),CF316,0))</f>
        <v>0</v>
      </c>
      <c r="DG316" s="388">
        <f>+IF($K316="ongoing",CG316,IF(RIGHT($K316,2)=RIGHT(DG$43,2),SUM($CD316:CG316),0)+IF(RIGHT(DG$43,2)&gt;RIGHT($K316,2),CG316,0))</f>
        <v>0</v>
      </c>
      <c r="DH316" s="386">
        <f>+IF($K316="ongoing",CH316,IF(RIGHT($K316,2)=RIGHT(DH$43,2),SUM($CD316:CH316),0)+IF(RIGHT(DH$43,2)&gt;RIGHT($K316,2),CH316,0))</f>
        <v>0</v>
      </c>
      <c r="DI316" s="387">
        <f>+IF($K316="ongoing",CI316,IF(RIGHT($K316,2)=RIGHT(DI$43,2),SUM($CD316:CI316),0)+IF(RIGHT(DI$43,2)&gt;RIGHT($K316,2),CI316,0))</f>
        <v>0</v>
      </c>
      <c r="DJ316" s="387">
        <f>+IF($K316="ongoing",CJ316,IF(RIGHT($K316,2)=RIGHT(DJ$43,2),SUM($CD316:CJ316),0)+IF(RIGHT(DJ$43,2)&gt;RIGHT($K316,2),CJ316,0))</f>
        <v>0</v>
      </c>
      <c r="DK316" s="387">
        <f>+IF($K316="ongoing",CK316,IF(RIGHT($K316,2)=RIGHT(DK$43,2),SUM($CD316:CK316),0)+IF(RIGHT(DK$43,2)&gt;RIGHT($K316,2),CK316,0))</f>
        <v>0</v>
      </c>
      <c r="DL316" s="388">
        <f>+IF($K316="ongoing",CN316,IF(RIGHT($K316,2)=RIGHT(DL$43,2),SUM($CD316:CN316),0)+IF(RIGHT(DL$43,2)&gt;RIGHT($K316,2),CN316,0))</f>
        <v>0</v>
      </c>
      <c r="DM316" s="841"/>
      <c r="DN316" s="386">
        <f t="shared" si="529"/>
        <v>0.5</v>
      </c>
      <c r="DO316" s="387">
        <f t="shared" si="529"/>
        <v>1</v>
      </c>
      <c r="DP316" s="388">
        <f t="shared" si="529"/>
        <v>1</v>
      </c>
      <c r="DQ316" s="386">
        <f t="shared" si="529"/>
        <v>1</v>
      </c>
      <c r="DR316" s="387">
        <f t="shared" si="529"/>
        <v>1</v>
      </c>
      <c r="DS316" s="387">
        <f t="shared" si="529"/>
        <v>1</v>
      </c>
      <c r="DT316" s="387">
        <f t="shared" si="529"/>
        <v>1</v>
      </c>
      <c r="DU316" s="388">
        <f t="shared" si="529"/>
        <v>1</v>
      </c>
      <c r="DW316" s="386">
        <f t="shared" si="530"/>
        <v>0</v>
      </c>
      <c r="DX316" s="387">
        <f t="shared" si="530"/>
        <v>0.5</v>
      </c>
      <c r="DY316" s="388">
        <f t="shared" si="530"/>
        <v>1</v>
      </c>
      <c r="DZ316" s="386">
        <f t="shared" si="530"/>
        <v>1</v>
      </c>
      <c r="EA316" s="387">
        <f t="shared" si="530"/>
        <v>1</v>
      </c>
      <c r="EB316" s="387">
        <f t="shared" si="530"/>
        <v>1</v>
      </c>
      <c r="EC316" s="387">
        <f t="shared" si="530"/>
        <v>1</v>
      </c>
      <c r="ED316" s="388">
        <f t="shared" si="530"/>
        <v>1</v>
      </c>
      <c r="EF316" s="834">
        <f>+IF(DN316=DM316,0,
IF(AND(EF$44&gt;1,DN316=$N316),1-SUM($EE316:EE316),
IF($N316&lt;=1,
IF($N316&gt;0,1/$N316,0),
IF(EF$44=1,0,VDB(1,0,$N316,INT(EF$44-1-1),MIN($N316,INT(EF$44-1-1)+1),$DC316,IF($DD316="No",1,0))/
IF(DM316&gt;=INT($N316),$N316-INT($N316),1)))*
IF(EF$44=1,0,
IF(INT(DN316)=INT(DM316),DN316-DM316,INT(DN316)-DM316))+
IF($N316&lt;=1,
IF($N316&gt;0,1/$N316,0),VDB(1,0,$N316,INT(EF$44-1),MIN($N316,INT(EF$44-1)+1),$DC316,IF($DD316="No",1,0))/
IF(DN316&gt;INT($N316),$N316-INT($N316),1))*
IF(EF$44=1,DN316,
IF(INT(DN316)=INT(DM316),0,DN316-INT(DN316)))))</f>
        <v>0</v>
      </c>
      <c r="EG316" s="835">
        <f>+IF(DO316=DN316,0,
IF(AND(EG$44&gt;1,DO316=$N316),1-SUM($EE316:EF316),
IF($N316&lt;=1,
IF($N316&gt;0,1/$N316,0),
IF(EG$44=1,0,VDB(1,0,$N316,INT(EG$44-1-1),MIN($N316,INT(EG$44-1-1)+1),$DC316,IF($DD316="No",1,0))/
IF(DN316&gt;=INT($N316),$N316-INT($N316),1)))*
IF(EG$44=1,0,
IF(INT(DO316)=INT(DN316),DO316-DN316,INT(DO316)-DN316))+
IF($N316&lt;=1,
IF($N316&gt;0,1/$N316,0),VDB(1,0,$N316,INT(EG$44-1),MIN($N316,INT(EG$44-1)+1),$DC316,IF($DD316="No",1,0))/
IF(DO316&gt;INT($N316),$N316-INT($N316),1))*
IF(EG$44=1,DO316,
IF(INT(DO316)=INT(DN316),0,DO316-INT(DO316)))))</f>
        <v>0</v>
      </c>
      <c r="EH316" s="836">
        <f>+IF(DP316=DO316,0,
IF(AND(EH$44&gt;1,DP316=$N316),1-SUM($EE316:EG316),
IF($N316&lt;=1,
IF($N316&gt;0,1/$N316,0),
IF(EH$44=1,0,VDB(1,0,$N316,INT(EH$44-1-1),MIN($N316,INT(EH$44-1-1)+1),$DC316,IF($DD316="No",1,0))/
IF(DO316&gt;=INT($N316),$N316-INT($N316),1)))*
IF(EH$44=1,0,
IF(INT(DP316)=INT(DO316),DP316-DO316,INT(DP316)-DO316))+
IF($N316&lt;=1,
IF($N316&gt;0,1/$N316,0),VDB(1,0,$N316,INT(EH$44-1),MIN($N316,INT(EH$44-1)+1),$DC316,IF($DD316="No",1,0))/
IF(DP316&gt;INT($N316),$N316-INT($N316),1))*
IF(EH$44=1,DP316,
IF(INT(DP316)=INT(DO316),0,DP316-INT(DP316)))))</f>
        <v>0</v>
      </c>
      <c r="EI316" s="834">
        <f>+IF(DQ316=DP316,0,
IF(AND(EI$44&gt;1,DQ316=$N316),1-SUM($EE316:EH316),
IF($N316&lt;=1,
IF($N316&gt;0,1/$N316,0),
IF(EI$44=1,0,VDB(1,0,$N316,INT(EI$44-1-1),MIN($N316,INT(EI$44-1-1)+1),$DC316,IF($DD316="No",1,0))/
IF(DP316&gt;=INT($N316),$N316-INT($N316),1)))*
IF(EI$44=1,0,
IF(INT(DQ316)=INT(DP316),DQ316-DP316,INT(DQ316)-DP316))+
IF($N316&lt;=1,
IF($N316&gt;0,1/$N316,0),VDB(1,0,$N316,INT(EI$44-1),MIN($N316,INT(EI$44-1)+1),$DC316,IF($DD316="No",1,0))/
IF(DQ316&gt;INT($N316),$N316-INT($N316),1))*
IF(EI$44=1,DQ316,
IF(INT(DQ316)=INT(DP316),0,DQ316-INT(DQ316)))))</f>
        <v>0</v>
      </c>
      <c r="EJ316" s="835">
        <f>+IF(DR316=DQ316,0,
IF(AND(EJ$44&gt;1,DR316=$N316),1-SUM($EE316:EI316),
IF($N316&lt;=1,
IF($N316&gt;0,1/$N316,0),
IF(EJ$44=1,0,VDB(1,0,$N316,INT(EJ$44-1-1),MIN($N316,INT(EJ$44-1-1)+1),$DC316,IF($DD316="No",1,0))/
IF(DQ316&gt;=INT($N316),$N316-INT($N316),1)))*
IF(EJ$44=1,0,
IF(INT(DR316)=INT(DQ316),DR316-DQ316,INT(DR316)-DQ316))+
IF($N316&lt;=1,
IF($N316&gt;0,1/$N316,0),VDB(1,0,$N316,INT(EJ$44-1),MIN($N316,INT(EJ$44-1)+1),$DC316,IF($DD316="No",1,0))/
IF(DR316&gt;INT($N316),$N316-INT($N316),1))*
IF(EJ$44=1,DR316,
IF(INT(DR316)=INT(DQ316),0,DR316-INT(DR316)))))</f>
        <v>0</v>
      </c>
      <c r="EK316" s="835">
        <f>+IF(DS316=DR316,0,
IF(AND(EK$44&gt;1,DS316=$N316),1-SUM($EE316:EJ316),
IF($N316&lt;=1,
IF($N316&gt;0,1/$N316,0),
IF(EK$44=1,0,VDB(1,0,$N316,INT(EK$44-1-1),MIN($N316,INT(EK$44-1-1)+1),$DC316,IF($DD316="No",1,0))/
IF(DR316&gt;=INT($N316),$N316-INT($N316),1)))*
IF(EK$44=1,0,
IF(INT(DS316)=INT(DR316),DS316-DR316,INT(DS316)-DR316))+
IF($N316&lt;=1,
IF($N316&gt;0,1/$N316,0),VDB(1,0,$N316,INT(EK$44-1),MIN($N316,INT(EK$44-1)+1),$DC316,IF($DD316="No",1,0))/
IF(DS316&gt;INT($N316),$N316-INT($N316),1))*
IF(EK$44=1,DS316,
IF(INT(DS316)=INT(DR316),0,DS316-INT(DS316)))))</f>
        <v>0</v>
      </c>
      <c r="EL316" s="835">
        <f>+IF(DT316=DS316,0,
IF(AND(EL$44&gt;1,DT316=$N316),1-SUM($EE316:EK316),
IF($N316&lt;=1,
IF($N316&gt;0,1/$N316,0),
IF(EL$44=1,0,VDB(1,0,$N316,INT(EL$44-1-1),MIN($N316,INT(EL$44-1-1)+1),$DC316,IF($DD316="No",1,0))/
IF(DS316&gt;=INT($N316),$N316-INT($N316),1)))*
IF(EL$44=1,0,
IF(INT(DT316)=INT(DS316),DT316-DS316,INT(DT316)-DS316))+
IF($N316&lt;=1,
IF($N316&gt;0,1/$N316,0),VDB(1,0,$N316,INT(EL$44-1),MIN($N316,INT(EL$44-1)+1),$DC316,IF($DD316="No",1,0))/
IF(DT316&gt;INT($N316),$N316-INT($N316),1))*
IF(EL$44=1,DT316,
IF(INT(DT316)=INT(DS316),0,DT316-INT(DT316)))))</f>
        <v>0</v>
      </c>
      <c r="EM316" s="836">
        <f>+IF(DU316=DT316,0,
IF(AND(EM$44&gt;1,DU316=$N316),1-SUM($EE316:EL316),
IF($N316&lt;=1,
IF($N316&gt;0,1/$N316,0),
IF(EM$44=1,0,VDB(1,0,$N316,INT(EM$44-1-1),MIN($N316,INT(EM$44-1-1)+1),$DC316,IF($DD316="No",1,0))/
IF(DT316&gt;=INT($N316),$N316-INT($N316),1)))*
IF(EM$44=1,0,
IF(INT(DU316)=INT(DT316),DU316-DT316,INT(DU316)-DT316))+
IF($N316&lt;=1,
IF($N316&gt;0,1/$N316,0),VDB(1,0,$N316,INT(EM$44-1),MIN($N316,INT(EM$44-1)+1),$DC316,IF($DD316="No",1,0))/
IF(DU316&gt;INT($N316),$N316-INT($N316),1))*
IF(EM$44=1,DU316,
IF(INT(DU316)=INT(DT316),0,DU316-INT(DU316)))))</f>
        <v>0</v>
      </c>
      <c r="EN316" s="833"/>
      <c r="EO316" s="834">
        <f>+IF(OR(DW316=DV316,EO$44=1),0,
IF(AND(EO$44&gt;1,DW316=$N316),1-SUM($EN316:EN316),
IF($N316&lt;=1,
IF($N316&gt;0,1/$N316,0),
IF(EO$44=2,0,VDB(1,0,$N316,INT(EO$44-2-1),MIN($N316,INT(EO$44-2-1)+1),$DC316,IF($DD316="No",1,0))/
IF(DV316&gt;=INT($N316),$N316-INT($N316),1)))*
IF(EO$44=2,0,
IF(INT(DW316)=INT(DV316),DW316-DV316,INT(DW316)-DV316))+
IF($N316&lt;=1,
IF($N316&gt;0,1/$N316,0),VDB(1,0,$N316,INT(EO$44-2),MIN($N316,INT(EO$44-2)+1),$DC316,IF($DD316="No",1,0))/
IF(DW316&gt;INT($N316),$N316-INT($N316),1))*
IF(EO$44=2,DW316,
IF(INT(DW316)=INT(DV316),0,DW316-INT(DW316)))))</f>
        <v>0</v>
      </c>
      <c r="EP316" s="835">
        <f>+IF(OR(DX316=DW316,EP$44=1),0,
IF(AND(EP$44&gt;1,DX316=$N316),1-SUM($EN316:EO316),
IF($N316&lt;=1,
IF($N316&gt;0,1/$N316,0),
IF(EP$44=2,0,VDB(1,0,$N316,INT(EP$44-2-1),MIN($N316,INT(EP$44-2-1)+1),$DC316,IF($DD316="No",1,0))/
IF(DW316&gt;=INT($N316),$N316-INT($N316),1)))*
IF(EP$44=2,0,
IF(INT(DX316)=INT(DW316),DX316-DW316,INT(DX316)-DW316))+
IF($N316&lt;=1,
IF($N316&gt;0,1/$N316,0),VDB(1,0,$N316,INT(EP$44-2),MIN($N316,INT(EP$44-2)+1),$DC316,IF($DD316="No",1,0))/
IF(DX316&gt;INT($N316),$N316-INT($N316),1))*
IF(EP$44=2,DX316,
IF(INT(DX316)=INT(DW316),0,DX316-INT(DX316)))))</f>
        <v>0</v>
      </c>
      <c r="EQ316" s="836">
        <f>+IF(OR(DY316=DX316,EQ$44=1),0,
IF(AND(EQ$44&gt;1,DY316=$N316),1-SUM($EN316:EP316),
IF($N316&lt;=1,
IF($N316&gt;0,1/$N316,0),
IF(EQ$44=2,0,VDB(1,0,$N316,INT(EQ$44-2-1),MIN($N316,INT(EQ$44-2-1)+1),$DC316,IF($DD316="No",1,0))/
IF(DX316&gt;=INT($N316),$N316-INT($N316),1)))*
IF(EQ$44=2,0,
IF(INT(DY316)=INT(DX316),DY316-DX316,INT(DY316)-DX316))+
IF($N316&lt;=1,
IF($N316&gt;0,1/$N316,0),VDB(1,0,$N316,INT(EQ$44-2),MIN($N316,INT(EQ$44-2)+1),$DC316,IF($DD316="No",1,0))/
IF(DY316&gt;INT($N316),$N316-INT($N316),1))*
IF(EQ$44=2,DY316,
IF(INT(DY316)=INT(DX316),0,DY316-INT(DY316)))))</f>
        <v>0</v>
      </c>
      <c r="ER316" s="834">
        <f>+IF(OR(DZ316=DY316,ER$44=1),0,
IF(AND(ER$44&gt;1,DZ316=$N316),1-SUM($EN316:EQ316),
IF($N316&lt;=1,
IF($N316&gt;0,1/$N316,0),
IF(ER$44=2,0,VDB(1,0,$N316,INT(ER$44-2-1),MIN($N316,INT(ER$44-2-1)+1),$DC316,IF($DD316="No",1,0))/
IF(DY316&gt;=INT($N316),$N316-INT($N316),1)))*
IF(ER$44=2,0,
IF(INT(DZ316)=INT(DY316),DZ316-DY316,INT(DZ316)-DY316))+
IF($N316&lt;=1,
IF($N316&gt;0,1/$N316,0),VDB(1,0,$N316,INT(ER$44-2),MIN($N316,INT(ER$44-2)+1),$DC316,IF($DD316="No",1,0))/
IF(DZ316&gt;INT($N316),$N316-INT($N316),1))*
IF(ER$44=2,DZ316,
IF(INT(DZ316)=INT(DY316),0,DZ316-INT(DZ316)))))</f>
        <v>0</v>
      </c>
      <c r="ES316" s="835">
        <f>+IF(OR(EA316=DZ316,ES$44=1),0,
IF(AND(ES$44&gt;1,EA316=$N316),1-SUM($EN316:ER316),
IF($N316&lt;=1,
IF($N316&gt;0,1/$N316,0),
IF(ES$44=2,0,VDB(1,0,$N316,INT(ES$44-2-1),MIN($N316,INT(ES$44-2-1)+1),$DC316,IF($DD316="No",1,0))/
IF(DZ316&gt;=INT($N316),$N316-INT($N316),1)))*
IF(ES$44=2,0,
IF(INT(EA316)=INT(DZ316),EA316-DZ316,INT(EA316)-DZ316))+
IF($N316&lt;=1,
IF($N316&gt;0,1/$N316,0),VDB(1,0,$N316,INT(ES$44-2),MIN($N316,INT(ES$44-2)+1),$DC316,IF($DD316="No",1,0))/
IF(EA316&gt;INT($N316),$N316-INT($N316),1))*
IF(ES$44=2,EA316,
IF(INT(EA316)=INT(DZ316),0,EA316-INT(EA316)))))</f>
        <v>0</v>
      </c>
      <c r="ET316" s="835">
        <f>+IF(OR(EB316=EA316,ET$44=1),0,
IF(AND(ET$44&gt;1,EB316=$N316),1-SUM($EN316:ES316),
IF($N316&lt;=1,
IF($N316&gt;0,1/$N316,0),
IF(ET$44=2,0,VDB(1,0,$N316,INT(ET$44-2-1),MIN($N316,INT(ET$44-2-1)+1),$DC316,IF($DD316="No",1,0))/
IF(EA316&gt;=INT($N316),$N316-INT($N316),1)))*
IF(ET$44=2,0,
IF(INT(EB316)=INT(EA316),EB316-EA316,INT(EB316)-EA316))+
IF($N316&lt;=1,
IF($N316&gt;0,1/$N316,0),VDB(1,0,$N316,INT(ET$44-2),MIN($N316,INT(ET$44-2)+1),$DC316,IF($DD316="No",1,0))/
IF(EB316&gt;INT($N316),$N316-INT($N316),1))*
IF(ET$44=2,EB316,
IF(INT(EB316)=INT(EA316),0,EB316-INT(EB316)))))</f>
        <v>0</v>
      </c>
      <c r="EU316" s="835">
        <f>+IF(OR(EC316=EB316,EU$44=1),0,
IF(AND(EU$44&gt;1,EC316=$N316),1-SUM($EN316:ET316),
IF($N316&lt;=1,
IF($N316&gt;0,1/$N316,0),
IF(EU$44=2,0,VDB(1,0,$N316,INT(EU$44-2-1),MIN($N316,INT(EU$44-2-1)+1),$DC316,IF($DD316="No",1,0))/
IF(EB316&gt;=INT($N316),$N316-INT($N316),1)))*
IF(EU$44=2,0,
IF(INT(EC316)=INT(EB316),EC316-EB316,INT(EC316)-EB316))+
IF($N316&lt;=1,
IF($N316&gt;0,1/$N316,0),VDB(1,0,$N316,INT(EU$44-2),MIN($N316,INT(EU$44-2)+1),$DC316,IF($DD316="No",1,0))/
IF(EC316&gt;INT($N316),$N316-INT($N316),1))*
IF(EU$44=2,EC316,
IF(INT(EC316)=INT(EB316),0,EC316-INT(EC316)))))</f>
        <v>0</v>
      </c>
      <c r="EV316" s="836">
        <f>+IF(OR(ED316=EC316,EV$44=1),0,
IF(AND(EV$44&gt;1,ED316=$N316),1-SUM($EN316:EU316),
IF($N316&lt;=1,
IF($N316&gt;0,1/$N316,0),
IF(EV$44=2,0,VDB(1,0,$N316,INT(EV$44-2-1),MIN($N316,INT(EV$44-2-1)+1),$DC316,IF($DD316="No",1,0))/
IF(EC316&gt;=INT($N316),$N316-INT($N316),1)))*
IF(EV$44=2,0,
IF(INT(ED316)=INT(EC316),ED316-EC316,INT(ED316)-EC316))+
IF($N316&lt;=1,
IF($N316&gt;0,1/$N316,0),VDB(1,0,$N316,INT(EV$44-2),MIN($N316,INT(EV$44-2)+1),$DC316,IF($DD316="No",1,0))/
IF(ED316&gt;INT($N316),$N316-INT($N316),1))*
IF(EV$44=2,ED316,
IF(INT(ED316)=INT(EC316),0,ED316-INT(ED316)))))</f>
        <v>0</v>
      </c>
      <c r="EW316" s="833"/>
      <c r="EX316" s="834">
        <f t="shared" ca="1" si="531"/>
        <v>0</v>
      </c>
      <c r="EY316" s="835">
        <f t="shared" ca="1" si="531"/>
        <v>0</v>
      </c>
      <c r="EZ316" s="836">
        <f t="shared" ca="1" si="531"/>
        <v>0</v>
      </c>
      <c r="FA316" s="834">
        <f t="shared" ca="1" si="531"/>
        <v>0</v>
      </c>
      <c r="FB316" s="835">
        <f t="shared" ca="1" si="531"/>
        <v>0</v>
      </c>
      <c r="FC316" s="835">
        <f t="shared" ca="1" si="531"/>
        <v>0</v>
      </c>
      <c r="FD316" s="835">
        <f t="shared" ca="1" si="531"/>
        <v>0</v>
      </c>
      <c r="FE316" s="836">
        <f t="shared" ca="1" si="531"/>
        <v>0</v>
      </c>
      <c r="FG316" s="386">
        <f t="shared" ca="1" si="521"/>
        <v>0</v>
      </c>
      <c r="FH316" s="387">
        <f t="shared" ca="1" si="522"/>
        <v>0</v>
      </c>
      <c r="FI316" s="388">
        <f t="shared" ca="1" si="523"/>
        <v>0</v>
      </c>
      <c r="FJ316" s="386">
        <f t="shared" ca="1" si="524"/>
        <v>0</v>
      </c>
      <c r="FK316" s="387">
        <f t="shared" ca="1" si="525"/>
        <v>0</v>
      </c>
      <c r="FL316" s="387">
        <f t="shared" ca="1" si="526"/>
        <v>0</v>
      </c>
      <c r="FM316" s="387">
        <f t="shared" ca="1" si="527"/>
        <v>0</v>
      </c>
      <c r="FN316" s="388">
        <f t="shared" ca="1" si="528"/>
        <v>0</v>
      </c>
      <c r="FR316" s="116"/>
    </row>
    <row r="317" spans="2:174">
      <c r="B317" s="1410">
        <f t="shared" si="512"/>
        <v>271</v>
      </c>
      <c r="C317" s="400"/>
      <c r="D317" s="410"/>
      <c r="E317" s="402"/>
      <c r="F317" s="402"/>
      <c r="G317" s="400"/>
      <c r="H317" s="2088"/>
      <c r="I317" s="2089"/>
      <c r="J317" s="411"/>
      <c r="K317" s="403"/>
      <c r="L317" s="403"/>
      <c r="M317" s="403"/>
      <c r="N317" s="403"/>
      <c r="O317" s="347"/>
      <c r="P317" s="347"/>
      <c r="Q317" s="1021"/>
      <c r="R317" s="1022"/>
      <c r="S317" s="1022"/>
      <c r="T317" s="1022"/>
      <c r="U317" s="1023"/>
      <c r="V317" s="1021"/>
      <c r="W317" s="1022"/>
      <c r="X317" s="1022"/>
      <c r="Y317" s="1022"/>
      <c r="Z317" s="1023"/>
      <c r="AA317" s="1024"/>
      <c r="AB317" s="1021"/>
      <c r="AC317" s="1022"/>
      <c r="AD317" s="1022"/>
      <c r="AE317" s="1022"/>
      <c r="AF317" s="1023"/>
      <c r="AG317" s="1021"/>
      <c r="AH317" s="1022"/>
      <c r="AI317" s="1022"/>
      <c r="AJ317" s="1022"/>
      <c r="AK317" s="1023"/>
      <c r="AL317" s="1024"/>
      <c r="AM317" s="1021"/>
      <c r="AN317" s="1022"/>
      <c r="AO317" s="1022"/>
      <c r="AP317" s="1022"/>
      <c r="AQ317" s="1023"/>
      <c r="AR317" s="1021"/>
      <c r="AS317" s="1022"/>
      <c r="AT317" s="1022"/>
      <c r="AU317" s="1022"/>
      <c r="AV317" s="1023"/>
      <c r="AW317" s="1025"/>
      <c r="AX317" s="1282">
        <f t="shared" si="532"/>
        <v>0</v>
      </c>
      <c r="AY317" s="387">
        <f t="shared" si="533"/>
        <v>0</v>
      </c>
      <c r="AZ317" s="387">
        <f t="shared" si="534"/>
        <v>0</v>
      </c>
      <c r="BA317" s="387">
        <f t="shared" si="535"/>
        <v>0</v>
      </c>
      <c r="BB317" s="1283">
        <f t="shared" si="536"/>
        <v>0</v>
      </c>
      <c r="BC317" s="386">
        <f t="shared" si="537"/>
        <v>0</v>
      </c>
      <c r="BD317" s="387">
        <f t="shared" si="538"/>
        <v>0</v>
      </c>
      <c r="BE317" s="1277">
        <f t="shared" si="539"/>
        <v>0</v>
      </c>
      <c r="BF317" s="1277">
        <f t="shared" si="539"/>
        <v>0</v>
      </c>
      <c r="BG317" s="388">
        <f t="shared" si="539"/>
        <v>0</v>
      </c>
      <c r="BH317" s="1025"/>
      <c r="BI317" s="1282">
        <f t="shared" ca="1" si="540"/>
        <v>0</v>
      </c>
      <c r="BJ317" s="387">
        <f t="shared" ca="1" si="541"/>
        <v>0</v>
      </c>
      <c r="BK317" s="387">
        <f t="shared" ca="1" si="542"/>
        <v>0</v>
      </c>
      <c r="BL317" s="387">
        <f t="shared" ca="1" si="543"/>
        <v>0</v>
      </c>
      <c r="BM317" s="1283">
        <f t="shared" ca="1" si="544"/>
        <v>0</v>
      </c>
      <c r="BN317" s="386">
        <f t="shared" ca="1" si="545"/>
        <v>0</v>
      </c>
      <c r="BO317" s="387">
        <f t="shared" ca="1" si="545"/>
        <v>0</v>
      </c>
      <c r="BP317" s="1277">
        <f t="shared" ca="1" si="545"/>
        <v>0</v>
      </c>
      <c r="BQ317" s="1277">
        <f t="shared" ca="1" si="545"/>
        <v>0</v>
      </c>
      <c r="BR317" s="388">
        <f t="shared" ca="1" si="545"/>
        <v>0</v>
      </c>
      <c r="BS317" s="1025"/>
      <c r="BT317" s="1282">
        <f>+IF($K317="Ongoing",AX317,IF(RIGHT($K317,2)=RIGHT(BT$43,2),SUM($AX317:AX317),0)+IF(RIGHT(BT$43,2)&gt;RIGHT($K317,2),AX317,0))</f>
        <v>0</v>
      </c>
      <c r="BU317" s="387">
        <f>+IF($K317="Ongoing",AY317,IF(RIGHT($K317,2)=RIGHT(BU$43,2),SUM($AX317:AY317),0)+IF(RIGHT(BU$43,2)&gt;RIGHT($K317,2),AY317,0))</f>
        <v>0</v>
      </c>
      <c r="BV317" s="387">
        <f>+IF($K317="Ongoing",AZ317,IF(RIGHT($K317,2)=RIGHT(BV$43,2),SUM($AX317:AZ317),0)+IF(RIGHT(BV$43,2)&gt;RIGHT($K317,2),AZ317,0))</f>
        <v>0</v>
      </c>
      <c r="BW317" s="387">
        <f>+IF($K317="Ongoing",BA317,IF(RIGHT($K317,2)=RIGHT(BW$43,2),SUM($AX317:BA317),0)+IF(RIGHT(BW$43,2)&gt;RIGHT($K317,2),BA317,0))</f>
        <v>0</v>
      </c>
      <c r="BX317" s="1283">
        <f>+IF($K317="Ongoing",BB317,IF(RIGHT($K317,2)=RIGHT(BX$43,2),SUM($AX317:BB317),0)+IF(RIGHT(BX$43,2)&gt;RIGHT($K317,2),BB317,0))</f>
        <v>0</v>
      </c>
      <c r="BY317" s="386">
        <f>+IF($K317="Ongoing",BC317,IF(RIGHT($K317,2)=RIGHT(BY$43,2),SUM($AX317:BC317),0)+IF(RIGHT(BY$43,2)&gt;RIGHT($K317,2),BC317,0))</f>
        <v>0</v>
      </c>
      <c r="BZ317" s="387">
        <f>+IF($K317="Ongoing",BD317,IF(RIGHT($K317,2)=RIGHT(BZ$43,2),SUM($AX317:BD317),0)+IF(RIGHT(BZ$43,2)&gt;RIGHT($K317,2),BD317,0))</f>
        <v>0</v>
      </c>
      <c r="CA317" s="1277">
        <f>+IF($K317="Ongoing",BE317,IF(RIGHT($K317,2)=RIGHT(CA$43,2),SUM($AX317:BE317),0)+IF(RIGHT(CA$43,2)&gt;RIGHT($K317,2),BE317,0))</f>
        <v>0</v>
      </c>
      <c r="CB317" s="1277">
        <f>+IF($K317="Ongoing",BF317,IF(RIGHT($K317,2)=RIGHT(CB$43,2),SUM($AX317:BF317),0)+IF(RIGHT(CB$43,2)&gt;RIGHT($K317,2),BF317,0))</f>
        <v>0</v>
      </c>
      <c r="CC317" s="388">
        <f>+IF($K317="Ongoing",BG317,IF(RIGHT($K317,2)=RIGHT(CC$43,2),SUM($AX317:BG317),0)+IF(RIGHT(CC$43,2)&gt;RIGHT($K317,2),BG317,0))</f>
        <v>0</v>
      </c>
      <c r="CD317" s="1025"/>
      <c r="CE317" s="1282">
        <f>+Q317*KeyAssumptionsPriceControl_FO!AF$15</f>
        <v>0</v>
      </c>
      <c r="CF317" s="387">
        <f>+R317*KeyAssumptionsPriceControl_FO!AG$15</f>
        <v>0</v>
      </c>
      <c r="CG317" s="387">
        <f>+S317*KeyAssumptionsPriceControl_FO!AH$15</f>
        <v>0</v>
      </c>
      <c r="CH317" s="387">
        <f>+T317*KeyAssumptionsPriceControl_FO!AI$15</f>
        <v>0</v>
      </c>
      <c r="CI317" s="1283">
        <f>+U317*KeyAssumptionsPriceControl_FO!AJ$15</f>
        <v>0</v>
      </c>
      <c r="CJ317" s="386">
        <f>+V317*KeyAssumptionsPriceControl_FO!AK$15</f>
        <v>0</v>
      </c>
      <c r="CK317" s="387">
        <f>+W317*KeyAssumptionsPriceControl_FO!AL$15</f>
        <v>0</v>
      </c>
      <c r="CL317" s="1277">
        <f>+X317*KeyAssumptionsPriceControl_FO!AM$15</f>
        <v>0</v>
      </c>
      <c r="CM317" s="1277">
        <f>+Y317*KeyAssumptionsPriceControl_FO!AN$15</f>
        <v>0</v>
      </c>
      <c r="CN317" s="388">
        <f>+Z317*KeyAssumptionsPriceControl_FO!AO$15</f>
        <v>0</v>
      </c>
      <c r="CO317" s="1025"/>
      <c r="CP317" s="1282">
        <f t="shared" ca="1" si="546"/>
        <v>0</v>
      </c>
      <c r="CQ317" s="387">
        <f t="shared" ca="1" si="547"/>
        <v>0</v>
      </c>
      <c r="CR317" s="387">
        <f t="shared" ca="1" si="548"/>
        <v>0</v>
      </c>
      <c r="CS317" s="387">
        <f t="shared" ca="1" si="549"/>
        <v>0</v>
      </c>
      <c r="CT317" s="1283">
        <f t="shared" ca="1" si="550"/>
        <v>0</v>
      </c>
      <c r="CU317" s="386">
        <f t="shared" ca="1" si="551"/>
        <v>0</v>
      </c>
      <c r="CV317" s="387">
        <f t="shared" ca="1" si="552"/>
        <v>0</v>
      </c>
      <c r="CW317" s="1277">
        <f t="shared" ca="1" si="553"/>
        <v>0</v>
      </c>
      <c r="CX317" s="1277">
        <f t="shared" ca="1" si="554"/>
        <v>0</v>
      </c>
      <c r="CY317" s="388">
        <f t="shared" ca="1" si="555"/>
        <v>0</v>
      </c>
      <c r="CZ317" s="347"/>
      <c r="DA317" s="852"/>
      <c r="DB317" s="347"/>
      <c r="DC317" s="1012" t="s">
        <v>517</v>
      </c>
      <c r="DD317" s="841" t="s">
        <v>518</v>
      </c>
      <c r="DE317" s="386">
        <f>+IF($K317="ongoing",CE317,IF(RIGHT($K317,2)=RIGHT(DE$43,2),SUM($CD317:CE317),0)+IF(RIGHT(DE$43,2)&gt;RIGHT($K317,2),CE317,0))</f>
        <v>0</v>
      </c>
      <c r="DF317" s="387">
        <f>+IF($K317="ongoing",CF317,IF(RIGHT($K317,2)=RIGHT(DF$43,2),SUM($CD317:CF317),0)+IF(RIGHT(DF$43,2)&gt;RIGHT($K317,2),CF317,0))</f>
        <v>0</v>
      </c>
      <c r="DG317" s="388">
        <f>+IF($K317="ongoing",CG317,IF(RIGHT($K317,2)=RIGHT(DG$43,2),SUM($CD317:CG317),0)+IF(RIGHT(DG$43,2)&gt;RIGHT($K317,2),CG317,0))</f>
        <v>0</v>
      </c>
      <c r="DH317" s="386">
        <f>+IF($K317="ongoing",CH317,IF(RIGHT($K317,2)=RIGHT(DH$43,2),SUM($CD317:CH317),0)+IF(RIGHT(DH$43,2)&gt;RIGHT($K317,2),CH317,0))</f>
        <v>0</v>
      </c>
      <c r="DI317" s="387">
        <f>+IF($K317="ongoing",CI317,IF(RIGHT($K317,2)=RIGHT(DI$43,2),SUM($CD317:CI317),0)+IF(RIGHT(DI$43,2)&gt;RIGHT($K317,2),CI317,0))</f>
        <v>0</v>
      </c>
      <c r="DJ317" s="387">
        <f>+IF($K317="ongoing",CJ317,IF(RIGHT($K317,2)=RIGHT(DJ$43,2),SUM($CD317:CJ317),0)+IF(RIGHT(DJ$43,2)&gt;RIGHT($K317,2),CJ317,0))</f>
        <v>0</v>
      </c>
      <c r="DK317" s="387">
        <f>+IF($K317="ongoing",CK317,IF(RIGHT($K317,2)=RIGHT(DK$43,2),SUM($CD317:CK317),0)+IF(RIGHT(DK$43,2)&gt;RIGHT($K317,2),CK317,0))</f>
        <v>0</v>
      </c>
      <c r="DL317" s="388">
        <f>+IF($K317="ongoing",CN317,IF(RIGHT($K317,2)=RIGHT(DL$43,2),SUM($CD317:CN317),0)+IF(RIGHT(DL$43,2)&gt;RIGHT($K317,2),CN317,0))</f>
        <v>0</v>
      </c>
      <c r="DM317" s="841"/>
      <c r="DN317" s="386">
        <f t="shared" si="529"/>
        <v>0.5</v>
      </c>
      <c r="DO317" s="387">
        <f t="shared" si="529"/>
        <v>1</v>
      </c>
      <c r="DP317" s="388">
        <f t="shared" si="529"/>
        <v>1</v>
      </c>
      <c r="DQ317" s="386">
        <f t="shared" si="529"/>
        <v>1</v>
      </c>
      <c r="DR317" s="387">
        <f t="shared" si="529"/>
        <v>1</v>
      </c>
      <c r="DS317" s="387">
        <f t="shared" si="529"/>
        <v>1</v>
      </c>
      <c r="DT317" s="387">
        <f t="shared" si="529"/>
        <v>1</v>
      </c>
      <c r="DU317" s="388">
        <f t="shared" si="529"/>
        <v>1</v>
      </c>
      <c r="DW317" s="386">
        <f t="shared" si="530"/>
        <v>0</v>
      </c>
      <c r="DX317" s="387">
        <f t="shared" si="530"/>
        <v>0.5</v>
      </c>
      <c r="DY317" s="388">
        <f t="shared" si="530"/>
        <v>1</v>
      </c>
      <c r="DZ317" s="386">
        <f t="shared" si="530"/>
        <v>1</v>
      </c>
      <c r="EA317" s="387">
        <f t="shared" si="530"/>
        <v>1</v>
      </c>
      <c r="EB317" s="387">
        <f t="shared" si="530"/>
        <v>1</v>
      </c>
      <c r="EC317" s="387">
        <f t="shared" si="530"/>
        <v>1</v>
      </c>
      <c r="ED317" s="388">
        <f t="shared" si="530"/>
        <v>1</v>
      </c>
      <c r="EF317" s="834">
        <f>+IF(DN317=DM317,0,
IF(AND(EF$44&gt;1,DN317=$N317),1-SUM($EE317:EE317),
IF($N317&lt;=1,
IF($N317&gt;0,1/$N317,0),
IF(EF$44=1,0,VDB(1,0,$N317,INT(EF$44-1-1),MIN($N317,INT(EF$44-1-1)+1),$DC317,IF($DD317="No",1,0))/
IF(DM317&gt;=INT($N317),$N317-INT($N317),1)))*
IF(EF$44=1,0,
IF(INT(DN317)=INT(DM317),DN317-DM317,INT(DN317)-DM317))+
IF($N317&lt;=1,
IF($N317&gt;0,1/$N317,0),VDB(1,0,$N317,INT(EF$44-1),MIN($N317,INT(EF$44-1)+1),$DC317,IF($DD317="No",1,0))/
IF(DN317&gt;INT($N317),$N317-INT($N317),1))*
IF(EF$44=1,DN317,
IF(INT(DN317)=INT(DM317),0,DN317-INT(DN317)))))</f>
        <v>0</v>
      </c>
      <c r="EG317" s="835">
        <f>+IF(DO317=DN317,0,
IF(AND(EG$44&gt;1,DO317=$N317),1-SUM($EE317:EF317),
IF($N317&lt;=1,
IF($N317&gt;0,1/$N317,0),
IF(EG$44=1,0,VDB(1,0,$N317,INT(EG$44-1-1),MIN($N317,INT(EG$44-1-1)+1),$DC317,IF($DD317="No",1,0))/
IF(DN317&gt;=INT($N317),$N317-INT($N317),1)))*
IF(EG$44=1,0,
IF(INT(DO317)=INT(DN317),DO317-DN317,INT(DO317)-DN317))+
IF($N317&lt;=1,
IF($N317&gt;0,1/$N317,0),VDB(1,0,$N317,INT(EG$44-1),MIN($N317,INT(EG$44-1)+1),$DC317,IF($DD317="No",1,0))/
IF(DO317&gt;INT($N317),$N317-INT($N317),1))*
IF(EG$44=1,DO317,
IF(INT(DO317)=INT(DN317),0,DO317-INT(DO317)))))</f>
        <v>0</v>
      </c>
      <c r="EH317" s="836">
        <f>+IF(DP317=DO317,0,
IF(AND(EH$44&gt;1,DP317=$N317),1-SUM($EE317:EG317),
IF($N317&lt;=1,
IF($N317&gt;0,1/$N317,0),
IF(EH$44=1,0,VDB(1,0,$N317,INT(EH$44-1-1),MIN($N317,INT(EH$44-1-1)+1),$DC317,IF($DD317="No",1,0))/
IF(DO317&gt;=INT($N317),$N317-INT($N317),1)))*
IF(EH$44=1,0,
IF(INT(DP317)=INT(DO317),DP317-DO317,INT(DP317)-DO317))+
IF($N317&lt;=1,
IF($N317&gt;0,1/$N317,0),VDB(1,0,$N317,INT(EH$44-1),MIN($N317,INT(EH$44-1)+1),$DC317,IF($DD317="No",1,0))/
IF(DP317&gt;INT($N317),$N317-INT($N317),1))*
IF(EH$44=1,DP317,
IF(INT(DP317)=INT(DO317),0,DP317-INT(DP317)))))</f>
        <v>0</v>
      </c>
      <c r="EI317" s="834">
        <f>+IF(DQ317=DP317,0,
IF(AND(EI$44&gt;1,DQ317=$N317),1-SUM($EE317:EH317),
IF($N317&lt;=1,
IF($N317&gt;0,1/$N317,0),
IF(EI$44=1,0,VDB(1,0,$N317,INT(EI$44-1-1),MIN($N317,INT(EI$44-1-1)+1),$DC317,IF($DD317="No",1,0))/
IF(DP317&gt;=INT($N317),$N317-INT($N317),1)))*
IF(EI$44=1,0,
IF(INT(DQ317)=INT(DP317),DQ317-DP317,INT(DQ317)-DP317))+
IF($N317&lt;=1,
IF($N317&gt;0,1/$N317,0),VDB(1,0,$N317,INT(EI$44-1),MIN($N317,INT(EI$44-1)+1),$DC317,IF($DD317="No",1,0))/
IF(DQ317&gt;INT($N317),$N317-INT($N317),1))*
IF(EI$44=1,DQ317,
IF(INT(DQ317)=INT(DP317),0,DQ317-INT(DQ317)))))</f>
        <v>0</v>
      </c>
      <c r="EJ317" s="835">
        <f>+IF(DR317=DQ317,0,
IF(AND(EJ$44&gt;1,DR317=$N317),1-SUM($EE317:EI317),
IF($N317&lt;=1,
IF($N317&gt;0,1/$N317,0),
IF(EJ$44=1,0,VDB(1,0,$N317,INT(EJ$44-1-1),MIN($N317,INT(EJ$44-1-1)+1),$DC317,IF($DD317="No",1,0))/
IF(DQ317&gt;=INT($N317),$N317-INT($N317),1)))*
IF(EJ$44=1,0,
IF(INT(DR317)=INT(DQ317),DR317-DQ317,INT(DR317)-DQ317))+
IF($N317&lt;=1,
IF($N317&gt;0,1/$N317,0),VDB(1,0,$N317,INT(EJ$44-1),MIN($N317,INT(EJ$44-1)+1),$DC317,IF($DD317="No",1,0))/
IF(DR317&gt;INT($N317),$N317-INT($N317),1))*
IF(EJ$44=1,DR317,
IF(INT(DR317)=INT(DQ317),0,DR317-INT(DR317)))))</f>
        <v>0</v>
      </c>
      <c r="EK317" s="835">
        <f>+IF(DS317=DR317,0,
IF(AND(EK$44&gt;1,DS317=$N317),1-SUM($EE317:EJ317),
IF($N317&lt;=1,
IF($N317&gt;0,1/$N317,0),
IF(EK$44=1,0,VDB(1,0,$N317,INT(EK$44-1-1),MIN($N317,INT(EK$44-1-1)+1),$DC317,IF($DD317="No",1,0))/
IF(DR317&gt;=INT($N317),$N317-INT($N317),1)))*
IF(EK$44=1,0,
IF(INT(DS317)=INT(DR317),DS317-DR317,INT(DS317)-DR317))+
IF($N317&lt;=1,
IF($N317&gt;0,1/$N317,0),VDB(1,0,$N317,INT(EK$44-1),MIN($N317,INT(EK$44-1)+1),$DC317,IF($DD317="No",1,0))/
IF(DS317&gt;INT($N317),$N317-INT($N317),1))*
IF(EK$44=1,DS317,
IF(INT(DS317)=INT(DR317),0,DS317-INT(DS317)))))</f>
        <v>0</v>
      </c>
      <c r="EL317" s="835">
        <f>+IF(DT317=DS317,0,
IF(AND(EL$44&gt;1,DT317=$N317),1-SUM($EE317:EK317),
IF($N317&lt;=1,
IF($N317&gt;0,1/$N317,0),
IF(EL$44=1,0,VDB(1,0,$N317,INT(EL$44-1-1),MIN($N317,INT(EL$44-1-1)+1),$DC317,IF($DD317="No",1,0))/
IF(DS317&gt;=INT($N317),$N317-INT($N317),1)))*
IF(EL$44=1,0,
IF(INT(DT317)=INT(DS317),DT317-DS317,INT(DT317)-DS317))+
IF($N317&lt;=1,
IF($N317&gt;0,1/$N317,0),VDB(1,0,$N317,INT(EL$44-1),MIN($N317,INT(EL$44-1)+1),$DC317,IF($DD317="No",1,0))/
IF(DT317&gt;INT($N317),$N317-INT($N317),1))*
IF(EL$44=1,DT317,
IF(INT(DT317)=INT(DS317),0,DT317-INT(DT317)))))</f>
        <v>0</v>
      </c>
      <c r="EM317" s="836">
        <f>+IF(DU317=DT317,0,
IF(AND(EM$44&gt;1,DU317=$N317),1-SUM($EE317:EL317),
IF($N317&lt;=1,
IF($N317&gt;0,1/$N317,0),
IF(EM$44=1,0,VDB(1,0,$N317,INT(EM$44-1-1),MIN($N317,INT(EM$44-1-1)+1),$DC317,IF($DD317="No",1,0))/
IF(DT317&gt;=INT($N317),$N317-INT($N317),1)))*
IF(EM$44=1,0,
IF(INT(DU317)=INT(DT317),DU317-DT317,INT(DU317)-DT317))+
IF($N317&lt;=1,
IF($N317&gt;0,1/$N317,0),VDB(1,0,$N317,INT(EM$44-1),MIN($N317,INT(EM$44-1)+1),$DC317,IF($DD317="No",1,0))/
IF(DU317&gt;INT($N317),$N317-INT($N317),1))*
IF(EM$44=1,DU317,
IF(INT(DU317)=INT(DT317),0,DU317-INT(DU317)))))</f>
        <v>0</v>
      </c>
      <c r="EN317" s="833"/>
      <c r="EO317" s="834">
        <f>+IF(OR(DW317=DV317,EO$44=1),0,
IF(AND(EO$44&gt;1,DW317=$N317),1-SUM($EN317:EN317),
IF($N317&lt;=1,
IF($N317&gt;0,1/$N317,0),
IF(EO$44=2,0,VDB(1,0,$N317,INT(EO$44-2-1),MIN($N317,INT(EO$44-2-1)+1),$DC317,IF($DD317="No",1,0))/
IF(DV317&gt;=INT($N317),$N317-INT($N317),1)))*
IF(EO$44=2,0,
IF(INT(DW317)=INT(DV317),DW317-DV317,INT(DW317)-DV317))+
IF($N317&lt;=1,
IF($N317&gt;0,1/$N317,0),VDB(1,0,$N317,INT(EO$44-2),MIN($N317,INT(EO$44-2)+1),$DC317,IF($DD317="No",1,0))/
IF(DW317&gt;INT($N317),$N317-INT($N317),1))*
IF(EO$44=2,DW317,
IF(INT(DW317)=INT(DV317),0,DW317-INT(DW317)))))</f>
        <v>0</v>
      </c>
      <c r="EP317" s="835">
        <f>+IF(OR(DX317=DW317,EP$44=1),0,
IF(AND(EP$44&gt;1,DX317=$N317),1-SUM($EN317:EO317),
IF($N317&lt;=1,
IF($N317&gt;0,1/$N317,0),
IF(EP$44=2,0,VDB(1,0,$N317,INT(EP$44-2-1),MIN($N317,INT(EP$44-2-1)+1),$DC317,IF($DD317="No",1,0))/
IF(DW317&gt;=INT($N317),$N317-INT($N317),1)))*
IF(EP$44=2,0,
IF(INT(DX317)=INT(DW317),DX317-DW317,INT(DX317)-DW317))+
IF($N317&lt;=1,
IF($N317&gt;0,1/$N317,0),VDB(1,0,$N317,INT(EP$44-2),MIN($N317,INT(EP$44-2)+1),$DC317,IF($DD317="No",1,0))/
IF(DX317&gt;INT($N317),$N317-INT($N317),1))*
IF(EP$44=2,DX317,
IF(INT(DX317)=INT(DW317),0,DX317-INT(DX317)))))</f>
        <v>0</v>
      </c>
      <c r="EQ317" s="836">
        <f>+IF(OR(DY317=DX317,EQ$44=1),0,
IF(AND(EQ$44&gt;1,DY317=$N317),1-SUM($EN317:EP317),
IF($N317&lt;=1,
IF($N317&gt;0,1/$N317,0),
IF(EQ$44=2,0,VDB(1,0,$N317,INT(EQ$44-2-1),MIN($N317,INT(EQ$44-2-1)+1),$DC317,IF($DD317="No",1,0))/
IF(DX317&gt;=INT($N317),$N317-INT($N317),1)))*
IF(EQ$44=2,0,
IF(INT(DY317)=INT(DX317),DY317-DX317,INT(DY317)-DX317))+
IF($N317&lt;=1,
IF($N317&gt;0,1/$N317,0),VDB(1,0,$N317,INT(EQ$44-2),MIN($N317,INT(EQ$44-2)+1),$DC317,IF($DD317="No",1,0))/
IF(DY317&gt;INT($N317),$N317-INT($N317),1))*
IF(EQ$44=2,DY317,
IF(INT(DY317)=INT(DX317),0,DY317-INT(DY317)))))</f>
        <v>0</v>
      </c>
      <c r="ER317" s="834">
        <f>+IF(OR(DZ317=DY317,ER$44=1),0,
IF(AND(ER$44&gt;1,DZ317=$N317),1-SUM($EN317:EQ317),
IF($N317&lt;=1,
IF($N317&gt;0,1/$N317,0),
IF(ER$44=2,0,VDB(1,0,$N317,INT(ER$44-2-1),MIN($N317,INT(ER$44-2-1)+1),$DC317,IF($DD317="No",1,0))/
IF(DY317&gt;=INT($N317),$N317-INT($N317),1)))*
IF(ER$44=2,0,
IF(INT(DZ317)=INT(DY317),DZ317-DY317,INT(DZ317)-DY317))+
IF($N317&lt;=1,
IF($N317&gt;0,1/$N317,0),VDB(1,0,$N317,INT(ER$44-2),MIN($N317,INT(ER$44-2)+1),$DC317,IF($DD317="No",1,0))/
IF(DZ317&gt;INT($N317),$N317-INT($N317),1))*
IF(ER$44=2,DZ317,
IF(INT(DZ317)=INT(DY317),0,DZ317-INT(DZ317)))))</f>
        <v>0</v>
      </c>
      <c r="ES317" s="835">
        <f>+IF(OR(EA317=DZ317,ES$44=1),0,
IF(AND(ES$44&gt;1,EA317=$N317),1-SUM($EN317:ER317),
IF($N317&lt;=1,
IF($N317&gt;0,1/$N317,0),
IF(ES$44=2,0,VDB(1,0,$N317,INT(ES$44-2-1),MIN($N317,INT(ES$44-2-1)+1),$DC317,IF($DD317="No",1,0))/
IF(DZ317&gt;=INT($N317),$N317-INT($N317),1)))*
IF(ES$44=2,0,
IF(INT(EA317)=INT(DZ317),EA317-DZ317,INT(EA317)-DZ317))+
IF($N317&lt;=1,
IF($N317&gt;0,1/$N317,0),VDB(1,0,$N317,INT(ES$44-2),MIN($N317,INT(ES$44-2)+1),$DC317,IF($DD317="No",1,0))/
IF(EA317&gt;INT($N317),$N317-INT($N317),1))*
IF(ES$44=2,EA317,
IF(INT(EA317)=INT(DZ317),0,EA317-INT(EA317)))))</f>
        <v>0</v>
      </c>
      <c r="ET317" s="835">
        <f>+IF(OR(EB317=EA317,ET$44=1),0,
IF(AND(ET$44&gt;1,EB317=$N317),1-SUM($EN317:ES317),
IF($N317&lt;=1,
IF($N317&gt;0,1/$N317,0),
IF(ET$44=2,0,VDB(1,0,$N317,INT(ET$44-2-1),MIN($N317,INT(ET$44-2-1)+1),$DC317,IF($DD317="No",1,0))/
IF(EA317&gt;=INT($N317),$N317-INT($N317),1)))*
IF(ET$44=2,0,
IF(INT(EB317)=INT(EA317),EB317-EA317,INT(EB317)-EA317))+
IF($N317&lt;=1,
IF($N317&gt;0,1/$N317,0),VDB(1,0,$N317,INT(ET$44-2),MIN($N317,INT(ET$44-2)+1),$DC317,IF($DD317="No",1,0))/
IF(EB317&gt;INT($N317),$N317-INT($N317),1))*
IF(ET$44=2,EB317,
IF(INT(EB317)=INT(EA317),0,EB317-INT(EB317)))))</f>
        <v>0</v>
      </c>
      <c r="EU317" s="835">
        <f>+IF(OR(EC317=EB317,EU$44=1),0,
IF(AND(EU$44&gt;1,EC317=$N317),1-SUM($EN317:ET317),
IF($N317&lt;=1,
IF($N317&gt;0,1/$N317,0),
IF(EU$44=2,0,VDB(1,0,$N317,INT(EU$44-2-1),MIN($N317,INT(EU$44-2-1)+1),$DC317,IF($DD317="No",1,0))/
IF(EB317&gt;=INT($N317),$N317-INT($N317),1)))*
IF(EU$44=2,0,
IF(INT(EC317)=INT(EB317),EC317-EB317,INT(EC317)-EB317))+
IF($N317&lt;=1,
IF($N317&gt;0,1/$N317,0),VDB(1,0,$N317,INT(EU$44-2),MIN($N317,INT(EU$44-2)+1),$DC317,IF($DD317="No",1,0))/
IF(EC317&gt;INT($N317),$N317-INT($N317),1))*
IF(EU$44=2,EC317,
IF(INT(EC317)=INT(EB317),0,EC317-INT(EC317)))))</f>
        <v>0</v>
      </c>
      <c r="EV317" s="836">
        <f>+IF(OR(ED317=EC317,EV$44=1),0,
IF(AND(EV$44&gt;1,ED317=$N317),1-SUM($EN317:EU317),
IF($N317&lt;=1,
IF($N317&gt;0,1/$N317,0),
IF(EV$44=2,0,VDB(1,0,$N317,INT(EV$44-2-1),MIN($N317,INT(EV$44-2-1)+1),$DC317,IF($DD317="No",1,0))/
IF(EC317&gt;=INT($N317),$N317-INT($N317),1)))*
IF(EV$44=2,0,
IF(INT(ED317)=INT(EC317),ED317-EC317,INT(ED317)-EC317))+
IF($N317&lt;=1,
IF($N317&gt;0,1/$N317,0),VDB(1,0,$N317,INT(EV$44-2),MIN($N317,INT(EV$44-2)+1),$DC317,IF($DD317="No",1,0))/
IF(ED317&gt;INT($N317),$N317-INT($N317),1))*
IF(EV$44=2,ED317,
IF(INT(ED317)=INT(EC317),0,ED317-INT(ED317)))))</f>
        <v>0</v>
      </c>
      <c r="EW317" s="833"/>
      <c r="EX317" s="834">
        <f t="shared" ca="1" si="531"/>
        <v>0</v>
      </c>
      <c r="EY317" s="835">
        <f t="shared" ca="1" si="531"/>
        <v>0</v>
      </c>
      <c r="EZ317" s="836">
        <f t="shared" ca="1" si="531"/>
        <v>0</v>
      </c>
      <c r="FA317" s="834">
        <f t="shared" ca="1" si="531"/>
        <v>0</v>
      </c>
      <c r="FB317" s="835">
        <f t="shared" ca="1" si="531"/>
        <v>0</v>
      </c>
      <c r="FC317" s="835">
        <f t="shared" ca="1" si="531"/>
        <v>0</v>
      </c>
      <c r="FD317" s="835">
        <f t="shared" ca="1" si="531"/>
        <v>0</v>
      </c>
      <c r="FE317" s="836">
        <f t="shared" ca="1" si="531"/>
        <v>0</v>
      </c>
      <c r="FG317" s="386">
        <f t="shared" ca="1" si="521"/>
        <v>0</v>
      </c>
      <c r="FH317" s="387">
        <f t="shared" ca="1" si="522"/>
        <v>0</v>
      </c>
      <c r="FI317" s="388">
        <f t="shared" ca="1" si="523"/>
        <v>0</v>
      </c>
      <c r="FJ317" s="386">
        <f t="shared" ca="1" si="524"/>
        <v>0</v>
      </c>
      <c r="FK317" s="387">
        <f t="shared" ca="1" si="525"/>
        <v>0</v>
      </c>
      <c r="FL317" s="387">
        <f t="shared" ca="1" si="526"/>
        <v>0</v>
      </c>
      <c r="FM317" s="387">
        <f t="shared" ca="1" si="527"/>
        <v>0</v>
      </c>
      <c r="FN317" s="388">
        <f t="shared" ca="1" si="528"/>
        <v>0</v>
      </c>
      <c r="FR317" s="116"/>
    </row>
    <row r="318" spans="2:174">
      <c r="B318" s="1410">
        <f t="shared" si="512"/>
        <v>272</v>
      </c>
      <c r="C318" s="400"/>
      <c r="D318" s="410"/>
      <c r="E318" s="402"/>
      <c r="F318" s="402"/>
      <c r="G318" s="400"/>
      <c r="H318" s="2088"/>
      <c r="I318" s="2089"/>
      <c r="J318" s="411"/>
      <c r="K318" s="403"/>
      <c r="L318" s="403"/>
      <c r="M318" s="403"/>
      <c r="N318" s="403"/>
      <c r="O318" s="347"/>
      <c r="P318" s="347"/>
      <c r="Q318" s="1021"/>
      <c r="R318" s="1022"/>
      <c r="S318" s="1022"/>
      <c r="T318" s="1022"/>
      <c r="U318" s="1023"/>
      <c r="V318" s="1021"/>
      <c r="W318" s="1022"/>
      <c r="X318" s="1022"/>
      <c r="Y318" s="1022"/>
      <c r="Z318" s="1023"/>
      <c r="AA318" s="1024"/>
      <c r="AB318" s="1021"/>
      <c r="AC318" s="1022"/>
      <c r="AD318" s="1022"/>
      <c r="AE318" s="1022"/>
      <c r="AF318" s="1023"/>
      <c r="AG318" s="1021"/>
      <c r="AH318" s="1022"/>
      <c r="AI318" s="1022"/>
      <c r="AJ318" s="1022"/>
      <c r="AK318" s="1023"/>
      <c r="AL318" s="1024"/>
      <c r="AM318" s="1021"/>
      <c r="AN318" s="1022"/>
      <c r="AO318" s="1022"/>
      <c r="AP318" s="1022"/>
      <c r="AQ318" s="1023"/>
      <c r="AR318" s="1021"/>
      <c r="AS318" s="1022"/>
      <c r="AT318" s="1022"/>
      <c r="AU318" s="1022"/>
      <c r="AV318" s="1023"/>
      <c r="AW318" s="1025"/>
      <c r="AX318" s="1282">
        <f t="shared" si="532"/>
        <v>0</v>
      </c>
      <c r="AY318" s="387">
        <f t="shared" si="533"/>
        <v>0</v>
      </c>
      <c r="AZ318" s="387">
        <f t="shared" si="534"/>
        <v>0</v>
      </c>
      <c r="BA318" s="387">
        <f t="shared" si="535"/>
        <v>0</v>
      </c>
      <c r="BB318" s="1283">
        <f t="shared" si="536"/>
        <v>0</v>
      </c>
      <c r="BC318" s="386">
        <f t="shared" si="537"/>
        <v>0</v>
      </c>
      <c r="BD318" s="387">
        <f t="shared" si="538"/>
        <v>0</v>
      </c>
      <c r="BE318" s="1277">
        <f t="shared" si="539"/>
        <v>0</v>
      </c>
      <c r="BF318" s="1277">
        <f t="shared" si="539"/>
        <v>0</v>
      </c>
      <c r="BG318" s="388">
        <f t="shared" si="539"/>
        <v>0</v>
      </c>
      <c r="BH318" s="1025"/>
      <c r="BI318" s="1282">
        <f t="shared" ca="1" si="540"/>
        <v>0</v>
      </c>
      <c r="BJ318" s="387">
        <f t="shared" ca="1" si="541"/>
        <v>0</v>
      </c>
      <c r="BK318" s="387">
        <f t="shared" ca="1" si="542"/>
        <v>0</v>
      </c>
      <c r="BL318" s="387">
        <f t="shared" ca="1" si="543"/>
        <v>0</v>
      </c>
      <c r="BM318" s="1283">
        <f t="shared" ca="1" si="544"/>
        <v>0</v>
      </c>
      <c r="BN318" s="386">
        <f t="shared" ca="1" si="545"/>
        <v>0</v>
      </c>
      <c r="BO318" s="387">
        <f t="shared" ca="1" si="545"/>
        <v>0</v>
      </c>
      <c r="BP318" s="1277">
        <f t="shared" ca="1" si="545"/>
        <v>0</v>
      </c>
      <c r="BQ318" s="1277">
        <f t="shared" ca="1" si="545"/>
        <v>0</v>
      </c>
      <c r="BR318" s="388">
        <f t="shared" ca="1" si="545"/>
        <v>0</v>
      </c>
      <c r="BS318" s="1025"/>
      <c r="BT318" s="1282">
        <f>+IF($K318="Ongoing",AX318,IF(RIGHT($K318,2)=RIGHT(BT$43,2),SUM($AX318:AX318),0)+IF(RIGHT(BT$43,2)&gt;RIGHT($K318,2),AX318,0))</f>
        <v>0</v>
      </c>
      <c r="BU318" s="387">
        <f>+IF($K318="Ongoing",AY318,IF(RIGHT($K318,2)=RIGHT(BU$43,2),SUM($AX318:AY318),0)+IF(RIGHT(BU$43,2)&gt;RIGHT($K318,2),AY318,0))</f>
        <v>0</v>
      </c>
      <c r="BV318" s="387">
        <f>+IF($K318="Ongoing",AZ318,IF(RIGHT($K318,2)=RIGHT(BV$43,2),SUM($AX318:AZ318),0)+IF(RIGHT(BV$43,2)&gt;RIGHT($K318,2),AZ318,0))</f>
        <v>0</v>
      </c>
      <c r="BW318" s="387">
        <f>+IF($K318="Ongoing",BA318,IF(RIGHT($K318,2)=RIGHT(BW$43,2),SUM($AX318:BA318),0)+IF(RIGHT(BW$43,2)&gt;RIGHT($K318,2),BA318,0))</f>
        <v>0</v>
      </c>
      <c r="BX318" s="1283">
        <f>+IF($K318="Ongoing",BB318,IF(RIGHT($K318,2)=RIGHT(BX$43,2),SUM($AX318:BB318),0)+IF(RIGHT(BX$43,2)&gt;RIGHT($K318,2),BB318,0))</f>
        <v>0</v>
      </c>
      <c r="BY318" s="386">
        <f>+IF($K318="Ongoing",BC318,IF(RIGHT($K318,2)=RIGHT(BY$43,2),SUM($AX318:BC318),0)+IF(RIGHT(BY$43,2)&gt;RIGHT($K318,2),BC318,0))</f>
        <v>0</v>
      </c>
      <c r="BZ318" s="387">
        <f>+IF($K318="Ongoing",BD318,IF(RIGHT($K318,2)=RIGHT(BZ$43,2),SUM($AX318:BD318),0)+IF(RIGHT(BZ$43,2)&gt;RIGHT($K318,2),BD318,0))</f>
        <v>0</v>
      </c>
      <c r="CA318" s="1277">
        <f>+IF($K318="Ongoing",BE318,IF(RIGHT($K318,2)=RIGHT(CA$43,2),SUM($AX318:BE318),0)+IF(RIGHT(CA$43,2)&gt;RIGHT($K318,2),BE318,0))</f>
        <v>0</v>
      </c>
      <c r="CB318" s="1277">
        <f>+IF($K318="Ongoing",BF318,IF(RIGHT($K318,2)=RIGHT(CB$43,2),SUM($AX318:BF318),0)+IF(RIGHT(CB$43,2)&gt;RIGHT($K318,2),BF318,0))</f>
        <v>0</v>
      </c>
      <c r="CC318" s="388">
        <f>+IF($K318="Ongoing",BG318,IF(RIGHT($K318,2)=RIGHT(CC$43,2),SUM($AX318:BG318),0)+IF(RIGHT(CC$43,2)&gt;RIGHT($K318,2),BG318,0))</f>
        <v>0</v>
      </c>
      <c r="CD318" s="1025"/>
      <c r="CE318" s="1282">
        <f>+Q318*KeyAssumptionsPriceControl_FO!AF$15</f>
        <v>0</v>
      </c>
      <c r="CF318" s="387">
        <f>+R318*KeyAssumptionsPriceControl_FO!AG$15</f>
        <v>0</v>
      </c>
      <c r="CG318" s="387">
        <f>+S318*KeyAssumptionsPriceControl_FO!AH$15</f>
        <v>0</v>
      </c>
      <c r="CH318" s="387">
        <f>+T318*KeyAssumptionsPriceControl_FO!AI$15</f>
        <v>0</v>
      </c>
      <c r="CI318" s="1283">
        <f>+U318*KeyAssumptionsPriceControl_FO!AJ$15</f>
        <v>0</v>
      </c>
      <c r="CJ318" s="386">
        <f>+V318*KeyAssumptionsPriceControl_FO!AK$15</f>
        <v>0</v>
      </c>
      <c r="CK318" s="387">
        <f>+W318*KeyAssumptionsPriceControl_FO!AL$15</f>
        <v>0</v>
      </c>
      <c r="CL318" s="1277">
        <f>+X318*KeyAssumptionsPriceControl_FO!AM$15</f>
        <v>0</v>
      </c>
      <c r="CM318" s="1277">
        <f>+Y318*KeyAssumptionsPriceControl_FO!AN$15</f>
        <v>0</v>
      </c>
      <c r="CN318" s="388">
        <f>+Z318*KeyAssumptionsPriceControl_FO!AO$15</f>
        <v>0</v>
      </c>
      <c r="CO318" s="1025"/>
      <c r="CP318" s="1282">
        <f t="shared" ca="1" si="546"/>
        <v>0</v>
      </c>
      <c r="CQ318" s="387">
        <f t="shared" ca="1" si="547"/>
        <v>0</v>
      </c>
      <c r="CR318" s="387">
        <f t="shared" ca="1" si="548"/>
        <v>0</v>
      </c>
      <c r="CS318" s="387">
        <f t="shared" ca="1" si="549"/>
        <v>0</v>
      </c>
      <c r="CT318" s="1283">
        <f t="shared" ca="1" si="550"/>
        <v>0</v>
      </c>
      <c r="CU318" s="386">
        <f t="shared" ca="1" si="551"/>
        <v>0</v>
      </c>
      <c r="CV318" s="387">
        <f t="shared" ca="1" si="552"/>
        <v>0</v>
      </c>
      <c r="CW318" s="1277">
        <f t="shared" ca="1" si="553"/>
        <v>0</v>
      </c>
      <c r="CX318" s="1277">
        <f t="shared" ca="1" si="554"/>
        <v>0</v>
      </c>
      <c r="CY318" s="388">
        <f t="shared" ca="1" si="555"/>
        <v>0</v>
      </c>
      <c r="CZ318" s="347"/>
      <c r="DA318" s="852"/>
      <c r="DB318" s="347"/>
      <c r="DC318" s="1012" t="s">
        <v>517</v>
      </c>
      <c r="DD318" s="841" t="s">
        <v>518</v>
      </c>
      <c r="DE318" s="386">
        <f>+IF($K318="ongoing",CE318,IF(RIGHT($K318,2)=RIGHT(DE$43,2),SUM($CD318:CE318),0)+IF(RIGHT(DE$43,2)&gt;RIGHT($K318,2),CE318,0))</f>
        <v>0</v>
      </c>
      <c r="DF318" s="387">
        <f>+IF($K318="ongoing",CF318,IF(RIGHT($K318,2)=RIGHT(DF$43,2),SUM($CD318:CF318),0)+IF(RIGHT(DF$43,2)&gt;RIGHT($K318,2),CF318,0))</f>
        <v>0</v>
      </c>
      <c r="DG318" s="388">
        <f>+IF($K318="ongoing",CG318,IF(RIGHT($K318,2)=RIGHT(DG$43,2),SUM($CD318:CG318),0)+IF(RIGHT(DG$43,2)&gt;RIGHT($K318,2),CG318,0))</f>
        <v>0</v>
      </c>
      <c r="DH318" s="386">
        <f>+IF($K318="ongoing",CH318,IF(RIGHT($K318,2)=RIGHT(DH$43,2),SUM($CD318:CH318),0)+IF(RIGHT(DH$43,2)&gt;RIGHT($K318,2),CH318,0))</f>
        <v>0</v>
      </c>
      <c r="DI318" s="387">
        <f>+IF($K318="ongoing",CI318,IF(RIGHT($K318,2)=RIGHT(DI$43,2),SUM($CD318:CI318),0)+IF(RIGHT(DI$43,2)&gt;RIGHT($K318,2),CI318,0))</f>
        <v>0</v>
      </c>
      <c r="DJ318" s="387">
        <f>+IF($K318="ongoing",CJ318,IF(RIGHT($K318,2)=RIGHT(DJ$43,2),SUM($CD318:CJ318),0)+IF(RIGHT(DJ$43,2)&gt;RIGHT($K318,2),CJ318,0))</f>
        <v>0</v>
      </c>
      <c r="DK318" s="387">
        <f>+IF($K318="ongoing",CK318,IF(RIGHT($K318,2)=RIGHT(DK$43,2),SUM($CD318:CK318),0)+IF(RIGHT(DK$43,2)&gt;RIGHT($K318,2),CK318,0))</f>
        <v>0</v>
      </c>
      <c r="DL318" s="388">
        <f>+IF($K318="ongoing",CN318,IF(RIGHT($K318,2)=RIGHT(DL$43,2),SUM($CD318:CN318),0)+IF(RIGHT(DL$43,2)&gt;RIGHT($K318,2),CN318,0))</f>
        <v>0</v>
      </c>
      <c r="DM318" s="841"/>
      <c r="DN318" s="386">
        <f t="shared" si="529"/>
        <v>0.5</v>
      </c>
      <c r="DO318" s="387">
        <f t="shared" si="529"/>
        <v>1</v>
      </c>
      <c r="DP318" s="388">
        <f t="shared" si="529"/>
        <v>1</v>
      </c>
      <c r="DQ318" s="386">
        <f t="shared" si="529"/>
        <v>1</v>
      </c>
      <c r="DR318" s="387">
        <f t="shared" si="529"/>
        <v>1</v>
      </c>
      <c r="DS318" s="387">
        <f t="shared" si="529"/>
        <v>1</v>
      </c>
      <c r="DT318" s="387">
        <f t="shared" si="529"/>
        <v>1</v>
      </c>
      <c r="DU318" s="388">
        <f t="shared" si="529"/>
        <v>1</v>
      </c>
      <c r="DW318" s="386">
        <f t="shared" si="530"/>
        <v>0</v>
      </c>
      <c r="DX318" s="387">
        <f t="shared" si="530"/>
        <v>0.5</v>
      </c>
      <c r="DY318" s="388">
        <f t="shared" si="530"/>
        <v>1</v>
      </c>
      <c r="DZ318" s="386">
        <f t="shared" si="530"/>
        <v>1</v>
      </c>
      <c r="EA318" s="387">
        <f t="shared" si="530"/>
        <v>1</v>
      </c>
      <c r="EB318" s="387">
        <f t="shared" si="530"/>
        <v>1</v>
      </c>
      <c r="EC318" s="387">
        <f t="shared" si="530"/>
        <v>1</v>
      </c>
      <c r="ED318" s="388">
        <f t="shared" si="530"/>
        <v>1</v>
      </c>
      <c r="EF318" s="834">
        <f>+IF(DN318=DM318,0,
IF(AND(EF$44&gt;1,DN318=$N318),1-SUM($EE318:EE318),
IF($N318&lt;=1,
IF($N318&gt;0,1/$N318,0),
IF(EF$44=1,0,VDB(1,0,$N318,INT(EF$44-1-1),MIN($N318,INT(EF$44-1-1)+1),$DC318,IF($DD318="No",1,0))/
IF(DM318&gt;=INT($N318),$N318-INT($N318),1)))*
IF(EF$44=1,0,
IF(INT(DN318)=INT(DM318),DN318-DM318,INT(DN318)-DM318))+
IF($N318&lt;=1,
IF($N318&gt;0,1/$N318,0),VDB(1,0,$N318,INT(EF$44-1),MIN($N318,INT(EF$44-1)+1),$DC318,IF($DD318="No",1,0))/
IF(DN318&gt;INT($N318),$N318-INT($N318),1))*
IF(EF$44=1,DN318,
IF(INT(DN318)=INT(DM318),0,DN318-INT(DN318)))))</f>
        <v>0</v>
      </c>
      <c r="EG318" s="835">
        <f>+IF(DO318=DN318,0,
IF(AND(EG$44&gt;1,DO318=$N318),1-SUM($EE318:EF318),
IF($N318&lt;=1,
IF($N318&gt;0,1/$N318,0),
IF(EG$44=1,0,VDB(1,0,$N318,INT(EG$44-1-1),MIN($N318,INT(EG$44-1-1)+1),$DC318,IF($DD318="No",1,0))/
IF(DN318&gt;=INT($N318),$N318-INT($N318),1)))*
IF(EG$44=1,0,
IF(INT(DO318)=INT(DN318),DO318-DN318,INT(DO318)-DN318))+
IF($N318&lt;=1,
IF($N318&gt;0,1/$N318,0),VDB(1,0,$N318,INT(EG$44-1),MIN($N318,INT(EG$44-1)+1),$DC318,IF($DD318="No",1,0))/
IF(DO318&gt;INT($N318),$N318-INT($N318),1))*
IF(EG$44=1,DO318,
IF(INT(DO318)=INT(DN318),0,DO318-INT(DO318)))))</f>
        <v>0</v>
      </c>
      <c r="EH318" s="836">
        <f>+IF(DP318=DO318,0,
IF(AND(EH$44&gt;1,DP318=$N318),1-SUM($EE318:EG318),
IF($N318&lt;=1,
IF($N318&gt;0,1/$N318,0),
IF(EH$44=1,0,VDB(1,0,$N318,INT(EH$44-1-1),MIN($N318,INT(EH$44-1-1)+1),$DC318,IF($DD318="No",1,0))/
IF(DO318&gt;=INT($N318),$N318-INT($N318),1)))*
IF(EH$44=1,0,
IF(INT(DP318)=INT(DO318),DP318-DO318,INT(DP318)-DO318))+
IF($N318&lt;=1,
IF($N318&gt;0,1/$N318,0),VDB(1,0,$N318,INT(EH$44-1),MIN($N318,INT(EH$44-1)+1),$DC318,IF($DD318="No",1,0))/
IF(DP318&gt;INT($N318),$N318-INT($N318),1))*
IF(EH$44=1,DP318,
IF(INT(DP318)=INT(DO318),0,DP318-INT(DP318)))))</f>
        <v>0</v>
      </c>
      <c r="EI318" s="834">
        <f>+IF(DQ318=DP318,0,
IF(AND(EI$44&gt;1,DQ318=$N318),1-SUM($EE318:EH318),
IF($N318&lt;=1,
IF($N318&gt;0,1/$N318,0),
IF(EI$44=1,0,VDB(1,0,$N318,INT(EI$44-1-1),MIN($N318,INT(EI$44-1-1)+1),$DC318,IF($DD318="No",1,0))/
IF(DP318&gt;=INT($N318),$N318-INT($N318),1)))*
IF(EI$44=1,0,
IF(INT(DQ318)=INT(DP318),DQ318-DP318,INT(DQ318)-DP318))+
IF($N318&lt;=1,
IF($N318&gt;0,1/$N318,0),VDB(1,0,$N318,INT(EI$44-1),MIN($N318,INT(EI$44-1)+1),$DC318,IF($DD318="No",1,0))/
IF(DQ318&gt;INT($N318),$N318-INT($N318),1))*
IF(EI$44=1,DQ318,
IF(INT(DQ318)=INT(DP318),0,DQ318-INT(DQ318)))))</f>
        <v>0</v>
      </c>
      <c r="EJ318" s="835">
        <f>+IF(DR318=DQ318,0,
IF(AND(EJ$44&gt;1,DR318=$N318),1-SUM($EE318:EI318),
IF($N318&lt;=1,
IF($N318&gt;0,1/$N318,0),
IF(EJ$44=1,0,VDB(1,0,$N318,INT(EJ$44-1-1),MIN($N318,INT(EJ$44-1-1)+1),$DC318,IF($DD318="No",1,0))/
IF(DQ318&gt;=INT($N318),$N318-INT($N318),1)))*
IF(EJ$44=1,0,
IF(INT(DR318)=INT(DQ318),DR318-DQ318,INT(DR318)-DQ318))+
IF($N318&lt;=1,
IF($N318&gt;0,1/$N318,0),VDB(1,0,$N318,INT(EJ$44-1),MIN($N318,INT(EJ$44-1)+1),$DC318,IF($DD318="No",1,0))/
IF(DR318&gt;INT($N318),$N318-INT($N318),1))*
IF(EJ$44=1,DR318,
IF(INT(DR318)=INT(DQ318),0,DR318-INT(DR318)))))</f>
        <v>0</v>
      </c>
      <c r="EK318" s="835">
        <f>+IF(DS318=DR318,0,
IF(AND(EK$44&gt;1,DS318=$N318),1-SUM($EE318:EJ318),
IF($N318&lt;=1,
IF($N318&gt;0,1/$N318,0),
IF(EK$44=1,0,VDB(1,0,$N318,INT(EK$44-1-1),MIN($N318,INT(EK$44-1-1)+1),$DC318,IF($DD318="No",1,0))/
IF(DR318&gt;=INT($N318),$N318-INT($N318),1)))*
IF(EK$44=1,0,
IF(INT(DS318)=INT(DR318),DS318-DR318,INT(DS318)-DR318))+
IF($N318&lt;=1,
IF($N318&gt;0,1/$N318,0),VDB(1,0,$N318,INT(EK$44-1),MIN($N318,INT(EK$44-1)+1),$DC318,IF($DD318="No",1,0))/
IF(DS318&gt;INT($N318),$N318-INT($N318),1))*
IF(EK$44=1,DS318,
IF(INT(DS318)=INT(DR318),0,DS318-INT(DS318)))))</f>
        <v>0</v>
      </c>
      <c r="EL318" s="835">
        <f>+IF(DT318=DS318,0,
IF(AND(EL$44&gt;1,DT318=$N318),1-SUM($EE318:EK318),
IF($N318&lt;=1,
IF($N318&gt;0,1/$N318,0),
IF(EL$44=1,0,VDB(1,0,$N318,INT(EL$44-1-1),MIN($N318,INT(EL$44-1-1)+1),$DC318,IF($DD318="No",1,0))/
IF(DS318&gt;=INT($N318),$N318-INT($N318),1)))*
IF(EL$44=1,0,
IF(INT(DT318)=INT(DS318),DT318-DS318,INT(DT318)-DS318))+
IF($N318&lt;=1,
IF($N318&gt;0,1/$N318,0),VDB(1,0,$N318,INT(EL$44-1),MIN($N318,INT(EL$44-1)+1),$DC318,IF($DD318="No",1,0))/
IF(DT318&gt;INT($N318),$N318-INT($N318),1))*
IF(EL$44=1,DT318,
IF(INT(DT318)=INT(DS318),0,DT318-INT(DT318)))))</f>
        <v>0</v>
      </c>
      <c r="EM318" s="836">
        <f>+IF(DU318=DT318,0,
IF(AND(EM$44&gt;1,DU318=$N318),1-SUM($EE318:EL318),
IF($N318&lt;=1,
IF($N318&gt;0,1/$N318,0),
IF(EM$44=1,0,VDB(1,0,$N318,INT(EM$44-1-1),MIN($N318,INT(EM$44-1-1)+1),$DC318,IF($DD318="No",1,0))/
IF(DT318&gt;=INT($N318),$N318-INT($N318),1)))*
IF(EM$44=1,0,
IF(INT(DU318)=INT(DT318),DU318-DT318,INT(DU318)-DT318))+
IF($N318&lt;=1,
IF($N318&gt;0,1/$N318,0),VDB(1,0,$N318,INT(EM$44-1),MIN($N318,INT(EM$44-1)+1),$DC318,IF($DD318="No",1,0))/
IF(DU318&gt;INT($N318),$N318-INT($N318),1))*
IF(EM$44=1,DU318,
IF(INT(DU318)=INT(DT318),0,DU318-INT(DU318)))))</f>
        <v>0</v>
      </c>
      <c r="EN318" s="833"/>
      <c r="EO318" s="834">
        <f>+IF(OR(DW318=DV318,EO$44=1),0,
IF(AND(EO$44&gt;1,DW318=$N318),1-SUM($EN318:EN318),
IF($N318&lt;=1,
IF($N318&gt;0,1/$N318,0),
IF(EO$44=2,0,VDB(1,0,$N318,INT(EO$44-2-1),MIN($N318,INT(EO$44-2-1)+1),$DC318,IF($DD318="No",1,0))/
IF(DV318&gt;=INT($N318),$N318-INT($N318),1)))*
IF(EO$44=2,0,
IF(INT(DW318)=INT(DV318),DW318-DV318,INT(DW318)-DV318))+
IF($N318&lt;=1,
IF($N318&gt;0,1/$N318,0),VDB(1,0,$N318,INT(EO$44-2),MIN($N318,INT(EO$44-2)+1),$DC318,IF($DD318="No",1,0))/
IF(DW318&gt;INT($N318),$N318-INT($N318),1))*
IF(EO$44=2,DW318,
IF(INT(DW318)=INT(DV318),0,DW318-INT(DW318)))))</f>
        <v>0</v>
      </c>
      <c r="EP318" s="835">
        <f>+IF(OR(DX318=DW318,EP$44=1),0,
IF(AND(EP$44&gt;1,DX318=$N318),1-SUM($EN318:EO318),
IF($N318&lt;=1,
IF($N318&gt;0,1/$N318,0),
IF(EP$44=2,0,VDB(1,0,$N318,INT(EP$44-2-1),MIN($N318,INT(EP$44-2-1)+1),$DC318,IF($DD318="No",1,0))/
IF(DW318&gt;=INT($N318),$N318-INT($N318),1)))*
IF(EP$44=2,0,
IF(INT(DX318)=INT(DW318),DX318-DW318,INT(DX318)-DW318))+
IF($N318&lt;=1,
IF($N318&gt;0,1/$N318,0),VDB(1,0,$N318,INT(EP$44-2),MIN($N318,INT(EP$44-2)+1),$DC318,IF($DD318="No",1,0))/
IF(DX318&gt;INT($N318),$N318-INT($N318),1))*
IF(EP$44=2,DX318,
IF(INT(DX318)=INT(DW318),0,DX318-INT(DX318)))))</f>
        <v>0</v>
      </c>
      <c r="EQ318" s="836">
        <f>+IF(OR(DY318=DX318,EQ$44=1),0,
IF(AND(EQ$44&gt;1,DY318=$N318),1-SUM($EN318:EP318),
IF($N318&lt;=1,
IF($N318&gt;0,1/$N318,0),
IF(EQ$44=2,0,VDB(1,0,$N318,INT(EQ$44-2-1),MIN($N318,INT(EQ$44-2-1)+1),$DC318,IF($DD318="No",1,0))/
IF(DX318&gt;=INT($N318),$N318-INT($N318),1)))*
IF(EQ$44=2,0,
IF(INT(DY318)=INT(DX318),DY318-DX318,INT(DY318)-DX318))+
IF($N318&lt;=1,
IF($N318&gt;0,1/$N318,0),VDB(1,0,$N318,INT(EQ$44-2),MIN($N318,INT(EQ$44-2)+1),$DC318,IF($DD318="No",1,0))/
IF(DY318&gt;INT($N318),$N318-INT($N318),1))*
IF(EQ$44=2,DY318,
IF(INT(DY318)=INT(DX318),0,DY318-INT(DY318)))))</f>
        <v>0</v>
      </c>
      <c r="ER318" s="834">
        <f>+IF(OR(DZ318=DY318,ER$44=1),0,
IF(AND(ER$44&gt;1,DZ318=$N318),1-SUM($EN318:EQ318),
IF($N318&lt;=1,
IF($N318&gt;0,1/$N318,0),
IF(ER$44=2,0,VDB(1,0,$N318,INT(ER$44-2-1),MIN($N318,INT(ER$44-2-1)+1),$DC318,IF($DD318="No",1,0))/
IF(DY318&gt;=INT($N318),$N318-INT($N318),1)))*
IF(ER$44=2,0,
IF(INT(DZ318)=INT(DY318),DZ318-DY318,INT(DZ318)-DY318))+
IF($N318&lt;=1,
IF($N318&gt;0,1/$N318,0),VDB(1,0,$N318,INT(ER$44-2),MIN($N318,INT(ER$44-2)+1),$DC318,IF($DD318="No",1,0))/
IF(DZ318&gt;INT($N318),$N318-INT($N318),1))*
IF(ER$44=2,DZ318,
IF(INT(DZ318)=INT(DY318),0,DZ318-INT(DZ318)))))</f>
        <v>0</v>
      </c>
      <c r="ES318" s="835">
        <f>+IF(OR(EA318=DZ318,ES$44=1),0,
IF(AND(ES$44&gt;1,EA318=$N318),1-SUM($EN318:ER318),
IF($N318&lt;=1,
IF($N318&gt;0,1/$N318,0),
IF(ES$44=2,0,VDB(1,0,$N318,INT(ES$44-2-1),MIN($N318,INT(ES$44-2-1)+1),$DC318,IF($DD318="No",1,0))/
IF(DZ318&gt;=INT($N318),$N318-INT($N318),1)))*
IF(ES$44=2,0,
IF(INT(EA318)=INT(DZ318),EA318-DZ318,INT(EA318)-DZ318))+
IF($N318&lt;=1,
IF($N318&gt;0,1/$N318,0),VDB(1,0,$N318,INT(ES$44-2),MIN($N318,INT(ES$44-2)+1),$DC318,IF($DD318="No",1,0))/
IF(EA318&gt;INT($N318),$N318-INT($N318),1))*
IF(ES$44=2,EA318,
IF(INT(EA318)=INT(DZ318),0,EA318-INT(EA318)))))</f>
        <v>0</v>
      </c>
      <c r="ET318" s="835">
        <f>+IF(OR(EB318=EA318,ET$44=1),0,
IF(AND(ET$44&gt;1,EB318=$N318),1-SUM($EN318:ES318),
IF($N318&lt;=1,
IF($N318&gt;0,1/$N318,0),
IF(ET$44=2,0,VDB(1,0,$N318,INT(ET$44-2-1),MIN($N318,INT(ET$44-2-1)+1),$DC318,IF($DD318="No",1,0))/
IF(EA318&gt;=INT($N318),$N318-INT($N318),1)))*
IF(ET$44=2,0,
IF(INT(EB318)=INT(EA318),EB318-EA318,INT(EB318)-EA318))+
IF($N318&lt;=1,
IF($N318&gt;0,1/$N318,0),VDB(1,0,$N318,INT(ET$44-2),MIN($N318,INT(ET$44-2)+1),$DC318,IF($DD318="No",1,0))/
IF(EB318&gt;INT($N318),$N318-INT($N318),1))*
IF(ET$44=2,EB318,
IF(INT(EB318)=INT(EA318),0,EB318-INT(EB318)))))</f>
        <v>0</v>
      </c>
      <c r="EU318" s="835">
        <f>+IF(OR(EC318=EB318,EU$44=1),0,
IF(AND(EU$44&gt;1,EC318=$N318),1-SUM($EN318:ET318),
IF($N318&lt;=1,
IF($N318&gt;0,1/$N318,0),
IF(EU$44=2,0,VDB(1,0,$N318,INT(EU$44-2-1),MIN($N318,INT(EU$44-2-1)+1),$DC318,IF($DD318="No",1,0))/
IF(EB318&gt;=INT($N318),$N318-INT($N318),1)))*
IF(EU$44=2,0,
IF(INT(EC318)=INT(EB318),EC318-EB318,INT(EC318)-EB318))+
IF($N318&lt;=1,
IF($N318&gt;0,1/$N318,0),VDB(1,0,$N318,INT(EU$44-2),MIN($N318,INT(EU$44-2)+1),$DC318,IF($DD318="No",1,0))/
IF(EC318&gt;INT($N318),$N318-INT($N318),1))*
IF(EU$44=2,EC318,
IF(INT(EC318)=INT(EB318),0,EC318-INT(EC318)))))</f>
        <v>0</v>
      </c>
      <c r="EV318" s="836">
        <f>+IF(OR(ED318=EC318,EV$44=1),0,
IF(AND(EV$44&gt;1,ED318=$N318),1-SUM($EN318:EU318),
IF($N318&lt;=1,
IF($N318&gt;0,1/$N318,0),
IF(EV$44=2,0,VDB(1,0,$N318,INT(EV$44-2-1),MIN($N318,INT(EV$44-2-1)+1),$DC318,IF($DD318="No",1,0))/
IF(EC318&gt;=INT($N318),$N318-INT($N318),1)))*
IF(EV$44=2,0,
IF(INT(ED318)=INT(EC318),ED318-EC318,INT(ED318)-EC318))+
IF($N318&lt;=1,
IF($N318&gt;0,1/$N318,0),VDB(1,0,$N318,INT(EV$44-2),MIN($N318,INT(EV$44-2)+1),$DC318,IF($DD318="No",1,0))/
IF(ED318&gt;INT($N318),$N318-INT($N318),1))*
IF(EV$44=2,ED318,
IF(INT(ED318)=INT(EC318),0,ED318-INT(ED318)))))</f>
        <v>0</v>
      </c>
      <c r="EW318" s="833"/>
      <c r="EX318" s="834">
        <f t="shared" ca="1" si="531"/>
        <v>0</v>
      </c>
      <c r="EY318" s="835">
        <f t="shared" ca="1" si="531"/>
        <v>0</v>
      </c>
      <c r="EZ318" s="836">
        <f t="shared" ca="1" si="531"/>
        <v>0</v>
      </c>
      <c r="FA318" s="834">
        <f t="shared" ca="1" si="531"/>
        <v>0</v>
      </c>
      <c r="FB318" s="835">
        <f t="shared" ca="1" si="531"/>
        <v>0</v>
      </c>
      <c r="FC318" s="835">
        <f t="shared" ca="1" si="531"/>
        <v>0</v>
      </c>
      <c r="FD318" s="835">
        <f t="shared" ca="1" si="531"/>
        <v>0</v>
      </c>
      <c r="FE318" s="836">
        <f t="shared" ca="1" si="531"/>
        <v>0</v>
      </c>
      <c r="FG318" s="386">
        <f t="shared" ca="1" si="521"/>
        <v>0</v>
      </c>
      <c r="FH318" s="387">
        <f t="shared" ca="1" si="522"/>
        <v>0</v>
      </c>
      <c r="FI318" s="388">
        <f t="shared" ca="1" si="523"/>
        <v>0</v>
      </c>
      <c r="FJ318" s="386">
        <f t="shared" ca="1" si="524"/>
        <v>0</v>
      </c>
      <c r="FK318" s="387">
        <f t="shared" ca="1" si="525"/>
        <v>0</v>
      </c>
      <c r="FL318" s="387">
        <f t="shared" ca="1" si="526"/>
        <v>0</v>
      </c>
      <c r="FM318" s="387">
        <f t="shared" ca="1" si="527"/>
        <v>0</v>
      </c>
      <c r="FN318" s="388">
        <f t="shared" ca="1" si="528"/>
        <v>0</v>
      </c>
      <c r="FR318" s="116"/>
    </row>
    <row r="319" spans="2:174">
      <c r="B319" s="1410">
        <f t="shared" si="512"/>
        <v>273</v>
      </c>
      <c r="C319" s="400"/>
      <c r="D319" s="410"/>
      <c r="E319" s="402"/>
      <c r="F319" s="402"/>
      <c r="G319" s="400"/>
      <c r="H319" s="2088"/>
      <c r="I319" s="2089"/>
      <c r="J319" s="411"/>
      <c r="K319" s="403"/>
      <c r="L319" s="403"/>
      <c r="M319" s="403"/>
      <c r="N319" s="403"/>
      <c r="O319" s="347"/>
      <c r="P319" s="347"/>
      <c r="Q319" s="1021"/>
      <c r="R319" s="1022"/>
      <c r="S319" s="1022"/>
      <c r="T319" s="1022"/>
      <c r="U319" s="1023"/>
      <c r="V319" s="1021"/>
      <c r="W319" s="1022"/>
      <c r="X319" s="1022"/>
      <c r="Y319" s="1022"/>
      <c r="Z319" s="1023"/>
      <c r="AA319" s="1024"/>
      <c r="AB319" s="1021"/>
      <c r="AC319" s="1022"/>
      <c r="AD319" s="1022"/>
      <c r="AE319" s="1022"/>
      <c r="AF319" s="1023"/>
      <c r="AG319" s="1021"/>
      <c r="AH319" s="1022"/>
      <c r="AI319" s="1022"/>
      <c r="AJ319" s="1022"/>
      <c r="AK319" s="1023"/>
      <c r="AL319" s="1024"/>
      <c r="AM319" s="1021"/>
      <c r="AN319" s="1022"/>
      <c r="AO319" s="1022"/>
      <c r="AP319" s="1022"/>
      <c r="AQ319" s="1023"/>
      <c r="AR319" s="1021"/>
      <c r="AS319" s="1022"/>
      <c r="AT319" s="1022"/>
      <c r="AU319" s="1022"/>
      <c r="AV319" s="1023"/>
      <c r="AW319" s="1025"/>
      <c r="AX319" s="1282">
        <f t="shared" si="532"/>
        <v>0</v>
      </c>
      <c r="AY319" s="387">
        <f t="shared" si="533"/>
        <v>0</v>
      </c>
      <c r="AZ319" s="387">
        <f t="shared" si="534"/>
        <v>0</v>
      </c>
      <c r="BA319" s="387">
        <f t="shared" si="535"/>
        <v>0</v>
      </c>
      <c r="BB319" s="1283">
        <f t="shared" si="536"/>
        <v>0</v>
      </c>
      <c r="BC319" s="386">
        <f t="shared" si="537"/>
        <v>0</v>
      </c>
      <c r="BD319" s="387">
        <f t="shared" si="538"/>
        <v>0</v>
      </c>
      <c r="BE319" s="1277">
        <f t="shared" si="539"/>
        <v>0</v>
      </c>
      <c r="BF319" s="1277">
        <f t="shared" si="539"/>
        <v>0</v>
      </c>
      <c r="BG319" s="388">
        <f t="shared" si="539"/>
        <v>0</v>
      </c>
      <c r="BH319" s="1025"/>
      <c r="BI319" s="1282">
        <f t="shared" ca="1" si="540"/>
        <v>0</v>
      </c>
      <c r="BJ319" s="387">
        <f t="shared" ca="1" si="541"/>
        <v>0</v>
      </c>
      <c r="BK319" s="387">
        <f t="shared" ca="1" si="542"/>
        <v>0</v>
      </c>
      <c r="BL319" s="387">
        <f t="shared" ca="1" si="543"/>
        <v>0</v>
      </c>
      <c r="BM319" s="1283">
        <f t="shared" ca="1" si="544"/>
        <v>0</v>
      </c>
      <c r="BN319" s="386">
        <f t="shared" ca="1" si="545"/>
        <v>0</v>
      </c>
      <c r="BO319" s="387">
        <f t="shared" ca="1" si="545"/>
        <v>0</v>
      </c>
      <c r="BP319" s="1277">
        <f t="shared" ca="1" si="545"/>
        <v>0</v>
      </c>
      <c r="BQ319" s="1277">
        <f t="shared" ca="1" si="545"/>
        <v>0</v>
      </c>
      <c r="BR319" s="388">
        <f t="shared" ca="1" si="545"/>
        <v>0</v>
      </c>
      <c r="BS319" s="1025"/>
      <c r="BT319" s="1282">
        <f>+IF($K319="Ongoing",AX319,IF(RIGHT($K319,2)=RIGHT(BT$43,2),SUM($AX319:AX319),0)+IF(RIGHT(BT$43,2)&gt;RIGHT($K319,2),AX319,0))</f>
        <v>0</v>
      </c>
      <c r="BU319" s="387">
        <f>+IF($K319="Ongoing",AY319,IF(RIGHT($K319,2)=RIGHT(BU$43,2),SUM($AX319:AY319),0)+IF(RIGHT(BU$43,2)&gt;RIGHT($K319,2),AY319,0))</f>
        <v>0</v>
      </c>
      <c r="BV319" s="387">
        <f>+IF($K319="Ongoing",AZ319,IF(RIGHT($K319,2)=RIGHT(BV$43,2),SUM($AX319:AZ319),0)+IF(RIGHT(BV$43,2)&gt;RIGHT($K319,2),AZ319,0))</f>
        <v>0</v>
      </c>
      <c r="BW319" s="387">
        <f>+IF($K319="Ongoing",BA319,IF(RIGHT($K319,2)=RIGHT(BW$43,2),SUM($AX319:BA319),0)+IF(RIGHT(BW$43,2)&gt;RIGHT($K319,2),BA319,0))</f>
        <v>0</v>
      </c>
      <c r="BX319" s="1283">
        <f>+IF($K319="Ongoing",BB319,IF(RIGHT($K319,2)=RIGHT(BX$43,2),SUM($AX319:BB319),0)+IF(RIGHT(BX$43,2)&gt;RIGHT($K319,2),BB319,0))</f>
        <v>0</v>
      </c>
      <c r="BY319" s="386">
        <f>+IF($K319="Ongoing",BC319,IF(RIGHT($K319,2)=RIGHT(BY$43,2),SUM($AX319:BC319),0)+IF(RIGHT(BY$43,2)&gt;RIGHT($K319,2),BC319,0))</f>
        <v>0</v>
      </c>
      <c r="BZ319" s="387">
        <f>+IF($K319="Ongoing",BD319,IF(RIGHT($K319,2)=RIGHT(BZ$43,2),SUM($AX319:BD319),0)+IF(RIGHT(BZ$43,2)&gt;RIGHT($K319,2),BD319,0))</f>
        <v>0</v>
      </c>
      <c r="CA319" s="1277">
        <f>+IF($K319="Ongoing",BE319,IF(RIGHT($K319,2)=RIGHT(CA$43,2),SUM($AX319:BE319),0)+IF(RIGHT(CA$43,2)&gt;RIGHT($K319,2),BE319,0))</f>
        <v>0</v>
      </c>
      <c r="CB319" s="1277">
        <f>+IF($K319="Ongoing",BF319,IF(RIGHT($K319,2)=RIGHT(CB$43,2),SUM($AX319:BF319),0)+IF(RIGHT(CB$43,2)&gt;RIGHT($K319,2),BF319,0))</f>
        <v>0</v>
      </c>
      <c r="CC319" s="388">
        <f>+IF($K319="Ongoing",BG319,IF(RIGHT($K319,2)=RIGHT(CC$43,2),SUM($AX319:BG319),0)+IF(RIGHT(CC$43,2)&gt;RIGHT($K319,2),BG319,0))</f>
        <v>0</v>
      </c>
      <c r="CD319" s="1025"/>
      <c r="CE319" s="1282">
        <f>+Q319*KeyAssumptionsPriceControl_FO!AF$15</f>
        <v>0</v>
      </c>
      <c r="CF319" s="387">
        <f>+R319*KeyAssumptionsPriceControl_FO!AG$15</f>
        <v>0</v>
      </c>
      <c r="CG319" s="387">
        <f>+S319*KeyAssumptionsPriceControl_FO!AH$15</f>
        <v>0</v>
      </c>
      <c r="CH319" s="387">
        <f>+T319*KeyAssumptionsPriceControl_FO!AI$15</f>
        <v>0</v>
      </c>
      <c r="CI319" s="1283">
        <f>+U319*KeyAssumptionsPriceControl_FO!AJ$15</f>
        <v>0</v>
      </c>
      <c r="CJ319" s="386">
        <f>+V319*KeyAssumptionsPriceControl_FO!AK$15</f>
        <v>0</v>
      </c>
      <c r="CK319" s="387">
        <f>+W319*KeyAssumptionsPriceControl_FO!AL$15</f>
        <v>0</v>
      </c>
      <c r="CL319" s="1277">
        <f>+X319*KeyAssumptionsPriceControl_FO!AM$15</f>
        <v>0</v>
      </c>
      <c r="CM319" s="1277">
        <f>+Y319*KeyAssumptionsPriceControl_FO!AN$15</f>
        <v>0</v>
      </c>
      <c r="CN319" s="388">
        <f>+Z319*KeyAssumptionsPriceControl_FO!AO$15</f>
        <v>0</v>
      </c>
      <c r="CO319" s="1025"/>
      <c r="CP319" s="1282">
        <f t="shared" ca="1" si="546"/>
        <v>0</v>
      </c>
      <c r="CQ319" s="387">
        <f t="shared" ca="1" si="547"/>
        <v>0</v>
      </c>
      <c r="CR319" s="387">
        <f t="shared" ca="1" si="548"/>
        <v>0</v>
      </c>
      <c r="CS319" s="387">
        <f t="shared" ca="1" si="549"/>
        <v>0</v>
      </c>
      <c r="CT319" s="1283">
        <f t="shared" ca="1" si="550"/>
        <v>0</v>
      </c>
      <c r="CU319" s="386">
        <f t="shared" ca="1" si="551"/>
        <v>0</v>
      </c>
      <c r="CV319" s="387">
        <f t="shared" ca="1" si="552"/>
        <v>0</v>
      </c>
      <c r="CW319" s="1277">
        <f t="shared" ca="1" si="553"/>
        <v>0</v>
      </c>
      <c r="CX319" s="1277">
        <f t="shared" ca="1" si="554"/>
        <v>0</v>
      </c>
      <c r="CY319" s="388">
        <f t="shared" ca="1" si="555"/>
        <v>0</v>
      </c>
      <c r="CZ319" s="347"/>
      <c r="DA319" s="852"/>
      <c r="DB319" s="347"/>
      <c r="DC319" s="1012" t="s">
        <v>517</v>
      </c>
      <c r="DD319" s="841" t="s">
        <v>518</v>
      </c>
      <c r="DE319" s="386">
        <f>+IF($K319="ongoing",CE319,IF(RIGHT($K319,2)=RIGHT(DE$43,2),SUM($CD319:CE319),0)+IF(RIGHT(DE$43,2)&gt;RIGHT($K319,2),CE319,0))</f>
        <v>0</v>
      </c>
      <c r="DF319" s="387">
        <f>+IF($K319="ongoing",CF319,IF(RIGHT($K319,2)=RIGHT(DF$43,2),SUM($CD319:CF319),0)+IF(RIGHT(DF$43,2)&gt;RIGHT($K319,2),CF319,0))</f>
        <v>0</v>
      </c>
      <c r="DG319" s="388">
        <f>+IF($K319="ongoing",CG319,IF(RIGHT($K319,2)=RIGHT(DG$43,2),SUM($CD319:CG319),0)+IF(RIGHT(DG$43,2)&gt;RIGHT($K319,2),CG319,0))</f>
        <v>0</v>
      </c>
      <c r="DH319" s="386">
        <f>+IF($K319="ongoing",CH319,IF(RIGHT($K319,2)=RIGHT(DH$43,2),SUM($CD319:CH319),0)+IF(RIGHT(DH$43,2)&gt;RIGHT($K319,2),CH319,0))</f>
        <v>0</v>
      </c>
      <c r="DI319" s="387">
        <f>+IF($K319="ongoing",CI319,IF(RIGHT($K319,2)=RIGHT(DI$43,2),SUM($CD319:CI319),0)+IF(RIGHT(DI$43,2)&gt;RIGHT($K319,2),CI319,0))</f>
        <v>0</v>
      </c>
      <c r="DJ319" s="387">
        <f>+IF($K319="ongoing",CJ319,IF(RIGHT($K319,2)=RIGHT(DJ$43,2),SUM($CD319:CJ319),0)+IF(RIGHT(DJ$43,2)&gt;RIGHT($K319,2),CJ319,0))</f>
        <v>0</v>
      </c>
      <c r="DK319" s="387">
        <f>+IF($K319="ongoing",CK319,IF(RIGHT($K319,2)=RIGHT(DK$43,2),SUM($CD319:CK319),0)+IF(RIGHT(DK$43,2)&gt;RIGHT($K319,2),CK319,0))</f>
        <v>0</v>
      </c>
      <c r="DL319" s="388">
        <f>+IF($K319="ongoing",CN319,IF(RIGHT($K319,2)=RIGHT(DL$43,2),SUM($CD319:CN319),0)+IF(RIGHT(DL$43,2)&gt;RIGHT($K319,2),CN319,0))</f>
        <v>0</v>
      </c>
      <c r="DM319" s="841"/>
      <c r="DN319" s="386">
        <f t="shared" si="529"/>
        <v>0.5</v>
      </c>
      <c r="DO319" s="387">
        <f t="shared" si="529"/>
        <v>1</v>
      </c>
      <c r="DP319" s="388">
        <f t="shared" si="529"/>
        <v>1</v>
      </c>
      <c r="DQ319" s="386">
        <f t="shared" si="529"/>
        <v>1</v>
      </c>
      <c r="DR319" s="387">
        <f t="shared" si="529"/>
        <v>1</v>
      </c>
      <c r="DS319" s="387">
        <f t="shared" si="529"/>
        <v>1</v>
      </c>
      <c r="DT319" s="387">
        <f t="shared" si="529"/>
        <v>1</v>
      </c>
      <c r="DU319" s="388">
        <f t="shared" si="529"/>
        <v>1</v>
      </c>
      <c r="DW319" s="386">
        <f t="shared" si="530"/>
        <v>0</v>
      </c>
      <c r="DX319" s="387">
        <f t="shared" si="530"/>
        <v>0.5</v>
      </c>
      <c r="DY319" s="388">
        <f t="shared" si="530"/>
        <v>1</v>
      </c>
      <c r="DZ319" s="386">
        <f t="shared" si="530"/>
        <v>1</v>
      </c>
      <c r="EA319" s="387">
        <f t="shared" si="530"/>
        <v>1</v>
      </c>
      <c r="EB319" s="387">
        <f t="shared" si="530"/>
        <v>1</v>
      </c>
      <c r="EC319" s="387">
        <f t="shared" si="530"/>
        <v>1</v>
      </c>
      <c r="ED319" s="388">
        <f t="shared" si="530"/>
        <v>1</v>
      </c>
      <c r="EF319" s="834">
        <f>+IF(DN319=DM319,0,
IF(AND(EF$44&gt;1,DN319=$N319),1-SUM($EE319:EE319),
IF($N319&lt;=1,
IF($N319&gt;0,1/$N319,0),
IF(EF$44=1,0,VDB(1,0,$N319,INT(EF$44-1-1),MIN($N319,INT(EF$44-1-1)+1),$DC319,IF($DD319="No",1,0))/
IF(DM319&gt;=INT($N319),$N319-INT($N319),1)))*
IF(EF$44=1,0,
IF(INT(DN319)=INT(DM319),DN319-DM319,INT(DN319)-DM319))+
IF($N319&lt;=1,
IF($N319&gt;0,1/$N319,0),VDB(1,0,$N319,INT(EF$44-1),MIN($N319,INT(EF$44-1)+1),$DC319,IF($DD319="No",1,0))/
IF(DN319&gt;INT($N319),$N319-INT($N319),1))*
IF(EF$44=1,DN319,
IF(INT(DN319)=INT(DM319),0,DN319-INT(DN319)))))</f>
        <v>0</v>
      </c>
      <c r="EG319" s="835">
        <f>+IF(DO319=DN319,0,
IF(AND(EG$44&gt;1,DO319=$N319),1-SUM($EE319:EF319),
IF($N319&lt;=1,
IF($N319&gt;0,1/$N319,0),
IF(EG$44=1,0,VDB(1,0,$N319,INT(EG$44-1-1),MIN($N319,INT(EG$44-1-1)+1),$DC319,IF($DD319="No",1,0))/
IF(DN319&gt;=INT($N319),$N319-INT($N319),1)))*
IF(EG$44=1,0,
IF(INT(DO319)=INT(DN319),DO319-DN319,INT(DO319)-DN319))+
IF($N319&lt;=1,
IF($N319&gt;0,1/$N319,0),VDB(1,0,$N319,INT(EG$44-1),MIN($N319,INT(EG$44-1)+1),$DC319,IF($DD319="No",1,0))/
IF(DO319&gt;INT($N319),$N319-INT($N319),1))*
IF(EG$44=1,DO319,
IF(INT(DO319)=INT(DN319),0,DO319-INT(DO319)))))</f>
        <v>0</v>
      </c>
      <c r="EH319" s="836">
        <f>+IF(DP319=DO319,0,
IF(AND(EH$44&gt;1,DP319=$N319),1-SUM($EE319:EG319),
IF($N319&lt;=1,
IF($N319&gt;0,1/$N319,0),
IF(EH$44=1,0,VDB(1,0,$N319,INT(EH$44-1-1),MIN($N319,INT(EH$44-1-1)+1),$DC319,IF($DD319="No",1,0))/
IF(DO319&gt;=INT($N319),$N319-INT($N319),1)))*
IF(EH$44=1,0,
IF(INT(DP319)=INT(DO319),DP319-DO319,INT(DP319)-DO319))+
IF($N319&lt;=1,
IF($N319&gt;0,1/$N319,0),VDB(1,0,$N319,INT(EH$44-1),MIN($N319,INT(EH$44-1)+1),$DC319,IF($DD319="No",1,0))/
IF(DP319&gt;INT($N319),$N319-INT($N319),1))*
IF(EH$44=1,DP319,
IF(INT(DP319)=INT(DO319),0,DP319-INT(DP319)))))</f>
        <v>0</v>
      </c>
      <c r="EI319" s="834">
        <f>+IF(DQ319=DP319,0,
IF(AND(EI$44&gt;1,DQ319=$N319),1-SUM($EE319:EH319),
IF($N319&lt;=1,
IF($N319&gt;0,1/$N319,0),
IF(EI$44=1,0,VDB(1,0,$N319,INT(EI$44-1-1),MIN($N319,INT(EI$44-1-1)+1),$DC319,IF($DD319="No",1,0))/
IF(DP319&gt;=INT($N319),$N319-INT($N319),1)))*
IF(EI$44=1,0,
IF(INT(DQ319)=INT(DP319),DQ319-DP319,INT(DQ319)-DP319))+
IF($N319&lt;=1,
IF($N319&gt;0,1/$N319,0),VDB(1,0,$N319,INT(EI$44-1),MIN($N319,INT(EI$44-1)+1),$DC319,IF($DD319="No",1,0))/
IF(DQ319&gt;INT($N319),$N319-INT($N319),1))*
IF(EI$44=1,DQ319,
IF(INT(DQ319)=INT(DP319),0,DQ319-INT(DQ319)))))</f>
        <v>0</v>
      </c>
      <c r="EJ319" s="835">
        <f>+IF(DR319=DQ319,0,
IF(AND(EJ$44&gt;1,DR319=$N319),1-SUM($EE319:EI319),
IF($N319&lt;=1,
IF($N319&gt;0,1/$N319,0),
IF(EJ$44=1,0,VDB(1,0,$N319,INT(EJ$44-1-1),MIN($N319,INT(EJ$44-1-1)+1),$DC319,IF($DD319="No",1,0))/
IF(DQ319&gt;=INT($N319),$N319-INT($N319),1)))*
IF(EJ$44=1,0,
IF(INT(DR319)=INT(DQ319),DR319-DQ319,INT(DR319)-DQ319))+
IF($N319&lt;=1,
IF($N319&gt;0,1/$N319,0),VDB(1,0,$N319,INT(EJ$44-1),MIN($N319,INT(EJ$44-1)+1),$DC319,IF($DD319="No",1,0))/
IF(DR319&gt;INT($N319),$N319-INT($N319),1))*
IF(EJ$44=1,DR319,
IF(INT(DR319)=INT(DQ319),0,DR319-INT(DR319)))))</f>
        <v>0</v>
      </c>
      <c r="EK319" s="835">
        <f>+IF(DS319=DR319,0,
IF(AND(EK$44&gt;1,DS319=$N319),1-SUM($EE319:EJ319),
IF($N319&lt;=1,
IF($N319&gt;0,1/$N319,0),
IF(EK$44=1,0,VDB(1,0,$N319,INT(EK$44-1-1),MIN($N319,INT(EK$44-1-1)+1),$DC319,IF($DD319="No",1,0))/
IF(DR319&gt;=INT($N319),$N319-INT($N319),1)))*
IF(EK$44=1,0,
IF(INT(DS319)=INT(DR319),DS319-DR319,INT(DS319)-DR319))+
IF($N319&lt;=1,
IF($N319&gt;0,1/$N319,0),VDB(1,0,$N319,INT(EK$44-1),MIN($N319,INT(EK$44-1)+1),$DC319,IF($DD319="No",1,0))/
IF(DS319&gt;INT($N319),$N319-INT($N319),1))*
IF(EK$44=1,DS319,
IF(INT(DS319)=INT(DR319),0,DS319-INT(DS319)))))</f>
        <v>0</v>
      </c>
      <c r="EL319" s="835">
        <f>+IF(DT319=DS319,0,
IF(AND(EL$44&gt;1,DT319=$N319),1-SUM($EE319:EK319),
IF($N319&lt;=1,
IF($N319&gt;0,1/$N319,0),
IF(EL$44=1,0,VDB(1,0,$N319,INT(EL$44-1-1),MIN($N319,INT(EL$44-1-1)+1),$DC319,IF($DD319="No",1,0))/
IF(DS319&gt;=INT($N319),$N319-INT($N319),1)))*
IF(EL$44=1,0,
IF(INT(DT319)=INT(DS319),DT319-DS319,INT(DT319)-DS319))+
IF($N319&lt;=1,
IF($N319&gt;0,1/$N319,0),VDB(1,0,$N319,INT(EL$44-1),MIN($N319,INT(EL$44-1)+1),$DC319,IF($DD319="No",1,0))/
IF(DT319&gt;INT($N319),$N319-INT($N319),1))*
IF(EL$44=1,DT319,
IF(INT(DT319)=INT(DS319),0,DT319-INT(DT319)))))</f>
        <v>0</v>
      </c>
      <c r="EM319" s="836">
        <f>+IF(DU319=DT319,0,
IF(AND(EM$44&gt;1,DU319=$N319),1-SUM($EE319:EL319),
IF($N319&lt;=1,
IF($N319&gt;0,1/$N319,0),
IF(EM$44=1,0,VDB(1,0,$N319,INT(EM$44-1-1),MIN($N319,INT(EM$44-1-1)+1),$DC319,IF($DD319="No",1,0))/
IF(DT319&gt;=INT($N319),$N319-INT($N319),1)))*
IF(EM$44=1,0,
IF(INT(DU319)=INT(DT319),DU319-DT319,INT(DU319)-DT319))+
IF($N319&lt;=1,
IF($N319&gt;0,1/$N319,0),VDB(1,0,$N319,INT(EM$44-1),MIN($N319,INT(EM$44-1)+1),$DC319,IF($DD319="No",1,0))/
IF(DU319&gt;INT($N319),$N319-INT($N319),1))*
IF(EM$44=1,DU319,
IF(INT(DU319)=INT(DT319),0,DU319-INT(DU319)))))</f>
        <v>0</v>
      </c>
      <c r="EN319" s="833"/>
      <c r="EO319" s="834">
        <f>+IF(OR(DW319=DV319,EO$44=1),0,
IF(AND(EO$44&gt;1,DW319=$N319),1-SUM($EN319:EN319),
IF($N319&lt;=1,
IF($N319&gt;0,1/$N319,0),
IF(EO$44=2,0,VDB(1,0,$N319,INT(EO$44-2-1),MIN($N319,INT(EO$44-2-1)+1),$DC319,IF($DD319="No",1,0))/
IF(DV319&gt;=INT($N319),$N319-INT($N319),1)))*
IF(EO$44=2,0,
IF(INT(DW319)=INT(DV319),DW319-DV319,INT(DW319)-DV319))+
IF($N319&lt;=1,
IF($N319&gt;0,1/$N319,0),VDB(1,0,$N319,INT(EO$44-2),MIN($N319,INT(EO$44-2)+1),$DC319,IF($DD319="No",1,0))/
IF(DW319&gt;INT($N319),$N319-INT($N319),1))*
IF(EO$44=2,DW319,
IF(INT(DW319)=INT(DV319),0,DW319-INT(DW319)))))</f>
        <v>0</v>
      </c>
      <c r="EP319" s="835">
        <f>+IF(OR(DX319=DW319,EP$44=1),0,
IF(AND(EP$44&gt;1,DX319=$N319),1-SUM($EN319:EO319),
IF($N319&lt;=1,
IF($N319&gt;0,1/$N319,0),
IF(EP$44=2,0,VDB(1,0,$N319,INT(EP$44-2-1),MIN($N319,INT(EP$44-2-1)+1),$DC319,IF($DD319="No",1,0))/
IF(DW319&gt;=INT($N319),$N319-INT($N319),1)))*
IF(EP$44=2,0,
IF(INT(DX319)=INT(DW319),DX319-DW319,INT(DX319)-DW319))+
IF($N319&lt;=1,
IF($N319&gt;0,1/$N319,0),VDB(1,0,$N319,INT(EP$44-2),MIN($N319,INT(EP$44-2)+1),$DC319,IF($DD319="No",1,0))/
IF(DX319&gt;INT($N319),$N319-INT($N319),1))*
IF(EP$44=2,DX319,
IF(INT(DX319)=INT(DW319),0,DX319-INT(DX319)))))</f>
        <v>0</v>
      </c>
      <c r="EQ319" s="836">
        <f>+IF(OR(DY319=DX319,EQ$44=1),0,
IF(AND(EQ$44&gt;1,DY319=$N319),1-SUM($EN319:EP319),
IF($N319&lt;=1,
IF($N319&gt;0,1/$N319,0),
IF(EQ$44=2,0,VDB(1,0,$N319,INT(EQ$44-2-1),MIN($N319,INT(EQ$44-2-1)+1),$DC319,IF($DD319="No",1,0))/
IF(DX319&gt;=INT($N319),$N319-INT($N319),1)))*
IF(EQ$44=2,0,
IF(INT(DY319)=INT(DX319),DY319-DX319,INT(DY319)-DX319))+
IF($N319&lt;=1,
IF($N319&gt;0,1/$N319,0),VDB(1,0,$N319,INT(EQ$44-2),MIN($N319,INT(EQ$44-2)+1),$DC319,IF($DD319="No",1,0))/
IF(DY319&gt;INT($N319),$N319-INT($N319),1))*
IF(EQ$44=2,DY319,
IF(INT(DY319)=INT(DX319),0,DY319-INT(DY319)))))</f>
        <v>0</v>
      </c>
      <c r="ER319" s="834">
        <f>+IF(OR(DZ319=DY319,ER$44=1),0,
IF(AND(ER$44&gt;1,DZ319=$N319),1-SUM($EN319:EQ319),
IF($N319&lt;=1,
IF($N319&gt;0,1/$N319,0),
IF(ER$44=2,0,VDB(1,0,$N319,INT(ER$44-2-1),MIN($N319,INT(ER$44-2-1)+1),$DC319,IF($DD319="No",1,0))/
IF(DY319&gt;=INT($N319),$N319-INT($N319),1)))*
IF(ER$44=2,0,
IF(INT(DZ319)=INT(DY319),DZ319-DY319,INT(DZ319)-DY319))+
IF($N319&lt;=1,
IF($N319&gt;0,1/$N319,0),VDB(1,0,$N319,INT(ER$44-2),MIN($N319,INT(ER$44-2)+1),$DC319,IF($DD319="No",1,0))/
IF(DZ319&gt;INT($N319),$N319-INT($N319),1))*
IF(ER$44=2,DZ319,
IF(INT(DZ319)=INT(DY319),0,DZ319-INT(DZ319)))))</f>
        <v>0</v>
      </c>
      <c r="ES319" s="835">
        <f>+IF(OR(EA319=DZ319,ES$44=1),0,
IF(AND(ES$44&gt;1,EA319=$N319),1-SUM($EN319:ER319),
IF($N319&lt;=1,
IF($N319&gt;0,1/$N319,0),
IF(ES$44=2,0,VDB(1,0,$N319,INT(ES$44-2-1),MIN($N319,INT(ES$44-2-1)+1),$DC319,IF($DD319="No",1,0))/
IF(DZ319&gt;=INT($N319),$N319-INT($N319),1)))*
IF(ES$44=2,0,
IF(INT(EA319)=INT(DZ319),EA319-DZ319,INT(EA319)-DZ319))+
IF($N319&lt;=1,
IF($N319&gt;0,1/$N319,0),VDB(1,0,$N319,INT(ES$44-2),MIN($N319,INT(ES$44-2)+1),$DC319,IF($DD319="No",1,0))/
IF(EA319&gt;INT($N319),$N319-INT($N319),1))*
IF(ES$44=2,EA319,
IF(INT(EA319)=INT(DZ319),0,EA319-INT(EA319)))))</f>
        <v>0</v>
      </c>
      <c r="ET319" s="835">
        <f>+IF(OR(EB319=EA319,ET$44=1),0,
IF(AND(ET$44&gt;1,EB319=$N319),1-SUM($EN319:ES319),
IF($N319&lt;=1,
IF($N319&gt;0,1/$N319,0),
IF(ET$44=2,0,VDB(1,0,$N319,INT(ET$44-2-1),MIN($N319,INT(ET$44-2-1)+1),$DC319,IF($DD319="No",1,0))/
IF(EA319&gt;=INT($N319),$N319-INT($N319),1)))*
IF(ET$44=2,0,
IF(INT(EB319)=INT(EA319),EB319-EA319,INT(EB319)-EA319))+
IF($N319&lt;=1,
IF($N319&gt;0,1/$N319,0),VDB(1,0,$N319,INT(ET$44-2),MIN($N319,INT(ET$44-2)+1),$DC319,IF($DD319="No",1,0))/
IF(EB319&gt;INT($N319),$N319-INT($N319),1))*
IF(ET$44=2,EB319,
IF(INT(EB319)=INT(EA319),0,EB319-INT(EB319)))))</f>
        <v>0</v>
      </c>
      <c r="EU319" s="835">
        <f>+IF(OR(EC319=EB319,EU$44=1),0,
IF(AND(EU$44&gt;1,EC319=$N319),1-SUM($EN319:ET319),
IF($N319&lt;=1,
IF($N319&gt;0,1/$N319,0),
IF(EU$44=2,0,VDB(1,0,$N319,INT(EU$44-2-1),MIN($N319,INT(EU$44-2-1)+1),$DC319,IF($DD319="No",1,0))/
IF(EB319&gt;=INT($N319),$N319-INT($N319),1)))*
IF(EU$44=2,0,
IF(INT(EC319)=INT(EB319),EC319-EB319,INT(EC319)-EB319))+
IF($N319&lt;=1,
IF($N319&gt;0,1/$N319,0),VDB(1,0,$N319,INT(EU$44-2),MIN($N319,INT(EU$44-2)+1),$DC319,IF($DD319="No",1,0))/
IF(EC319&gt;INT($N319),$N319-INT($N319),1))*
IF(EU$44=2,EC319,
IF(INT(EC319)=INT(EB319),0,EC319-INT(EC319)))))</f>
        <v>0</v>
      </c>
      <c r="EV319" s="836">
        <f>+IF(OR(ED319=EC319,EV$44=1),0,
IF(AND(EV$44&gt;1,ED319=$N319),1-SUM($EN319:EU319),
IF($N319&lt;=1,
IF($N319&gt;0,1/$N319,0),
IF(EV$44=2,0,VDB(1,0,$N319,INT(EV$44-2-1),MIN($N319,INT(EV$44-2-1)+1),$DC319,IF($DD319="No",1,0))/
IF(EC319&gt;=INT($N319),$N319-INT($N319),1)))*
IF(EV$44=2,0,
IF(INT(ED319)=INT(EC319),ED319-EC319,INT(ED319)-EC319))+
IF($N319&lt;=1,
IF($N319&gt;0,1/$N319,0),VDB(1,0,$N319,INT(EV$44-2),MIN($N319,INT(EV$44-2)+1),$DC319,IF($DD319="No",1,0))/
IF(ED319&gt;INT($N319),$N319-INT($N319),1))*
IF(EV$44=2,ED319,
IF(INT(ED319)=INT(EC319),0,ED319-INT(ED319)))))</f>
        <v>0</v>
      </c>
      <c r="EW319" s="833"/>
      <c r="EX319" s="834">
        <f t="shared" ca="1" si="531"/>
        <v>0</v>
      </c>
      <c r="EY319" s="835">
        <f t="shared" ca="1" si="531"/>
        <v>0</v>
      </c>
      <c r="EZ319" s="836">
        <f t="shared" ca="1" si="531"/>
        <v>0</v>
      </c>
      <c r="FA319" s="834">
        <f t="shared" ca="1" si="531"/>
        <v>0</v>
      </c>
      <c r="FB319" s="835">
        <f t="shared" ca="1" si="531"/>
        <v>0</v>
      </c>
      <c r="FC319" s="835">
        <f t="shared" ca="1" si="531"/>
        <v>0</v>
      </c>
      <c r="FD319" s="835">
        <f t="shared" ca="1" si="531"/>
        <v>0</v>
      </c>
      <c r="FE319" s="836">
        <f t="shared" ca="1" si="531"/>
        <v>0</v>
      </c>
      <c r="FG319" s="386">
        <f t="shared" ca="1" si="521"/>
        <v>0</v>
      </c>
      <c r="FH319" s="387">
        <f t="shared" ca="1" si="522"/>
        <v>0</v>
      </c>
      <c r="FI319" s="388">
        <f t="shared" ca="1" si="523"/>
        <v>0</v>
      </c>
      <c r="FJ319" s="386">
        <f t="shared" ca="1" si="524"/>
        <v>0</v>
      </c>
      <c r="FK319" s="387">
        <f t="shared" ca="1" si="525"/>
        <v>0</v>
      </c>
      <c r="FL319" s="387">
        <f t="shared" ca="1" si="526"/>
        <v>0</v>
      </c>
      <c r="FM319" s="387">
        <f t="shared" ca="1" si="527"/>
        <v>0</v>
      </c>
      <c r="FN319" s="388">
        <f t="shared" ca="1" si="528"/>
        <v>0</v>
      </c>
      <c r="FR319" s="116"/>
    </row>
    <row r="320" spans="2:174">
      <c r="B320" s="1410">
        <f t="shared" ref="B320:B383" si="556">B319+1</f>
        <v>274</v>
      </c>
      <c r="C320" s="400"/>
      <c r="D320" s="410"/>
      <c r="E320" s="402"/>
      <c r="F320" s="402"/>
      <c r="G320" s="400"/>
      <c r="H320" s="2088"/>
      <c r="I320" s="2089"/>
      <c r="J320" s="411"/>
      <c r="K320" s="403"/>
      <c r="L320" s="403"/>
      <c r="M320" s="403"/>
      <c r="N320" s="403"/>
      <c r="O320" s="347"/>
      <c r="P320" s="347"/>
      <c r="Q320" s="1021"/>
      <c r="R320" s="1022"/>
      <c r="S320" s="1022"/>
      <c r="T320" s="1022"/>
      <c r="U320" s="1023"/>
      <c r="V320" s="1021"/>
      <c r="W320" s="1022"/>
      <c r="X320" s="1022"/>
      <c r="Y320" s="1022"/>
      <c r="Z320" s="1023"/>
      <c r="AA320" s="1024"/>
      <c r="AB320" s="1021"/>
      <c r="AC320" s="1022"/>
      <c r="AD320" s="1022"/>
      <c r="AE320" s="1022"/>
      <c r="AF320" s="1023"/>
      <c r="AG320" s="1021"/>
      <c r="AH320" s="1022"/>
      <c r="AI320" s="1022"/>
      <c r="AJ320" s="1022"/>
      <c r="AK320" s="1023"/>
      <c r="AL320" s="1024"/>
      <c r="AM320" s="1021"/>
      <c r="AN320" s="1022"/>
      <c r="AO320" s="1022"/>
      <c r="AP320" s="1022"/>
      <c r="AQ320" s="1023"/>
      <c r="AR320" s="1021"/>
      <c r="AS320" s="1022"/>
      <c r="AT320" s="1022"/>
      <c r="AU320" s="1022"/>
      <c r="AV320" s="1023"/>
      <c r="AW320" s="1025"/>
      <c r="AX320" s="1282">
        <f t="shared" si="532"/>
        <v>0</v>
      </c>
      <c r="AY320" s="387">
        <f t="shared" si="533"/>
        <v>0</v>
      </c>
      <c r="AZ320" s="387">
        <f t="shared" si="534"/>
        <v>0</v>
      </c>
      <c r="BA320" s="387">
        <f t="shared" si="535"/>
        <v>0</v>
      </c>
      <c r="BB320" s="1283">
        <f t="shared" si="536"/>
        <v>0</v>
      </c>
      <c r="BC320" s="386">
        <f t="shared" si="537"/>
        <v>0</v>
      </c>
      <c r="BD320" s="387">
        <f t="shared" si="538"/>
        <v>0</v>
      </c>
      <c r="BE320" s="1277">
        <f t="shared" si="539"/>
        <v>0</v>
      </c>
      <c r="BF320" s="1277">
        <f t="shared" si="539"/>
        <v>0</v>
      </c>
      <c r="BG320" s="388">
        <f t="shared" si="539"/>
        <v>0</v>
      </c>
      <c r="BH320" s="1025"/>
      <c r="BI320" s="1282">
        <f t="shared" ca="1" si="540"/>
        <v>0</v>
      </c>
      <c r="BJ320" s="387">
        <f t="shared" ca="1" si="541"/>
        <v>0</v>
      </c>
      <c r="BK320" s="387">
        <f t="shared" ca="1" si="542"/>
        <v>0</v>
      </c>
      <c r="BL320" s="387">
        <f t="shared" ca="1" si="543"/>
        <v>0</v>
      </c>
      <c r="BM320" s="1283">
        <f t="shared" ca="1" si="544"/>
        <v>0</v>
      </c>
      <c r="BN320" s="386">
        <f t="shared" ca="1" si="545"/>
        <v>0</v>
      </c>
      <c r="BO320" s="387">
        <f t="shared" ca="1" si="545"/>
        <v>0</v>
      </c>
      <c r="BP320" s="1277">
        <f t="shared" ca="1" si="545"/>
        <v>0</v>
      </c>
      <c r="BQ320" s="1277">
        <f t="shared" ca="1" si="545"/>
        <v>0</v>
      </c>
      <c r="BR320" s="388">
        <f t="shared" ca="1" si="545"/>
        <v>0</v>
      </c>
      <c r="BS320" s="1025"/>
      <c r="BT320" s="1282">
        <f>+IF($K320="Ongoing",AX320,IF(RIGHT($K320,2)=RIGHT(BT$43,2),SUM($AX320:AX320),0)+IF(RIGHT(BT$43,2)&gt;RIGHT($K320,2),AX320,0))</f>
        <v>0</v>
      </c>
      <c r="BU320" s="387">
        <f>+IF($K320="Ongoing",AY320,IF(RIGHT($K320,2)=RIGHT(BU$43,2),SUM($AX320:AY320),0)+IF(RIGHT(BU$43,2)&gt;RIGHT($K320,2),AY320,0))</f>
        <v>0</v>
      </c>
      <c r="BV320" s="387">
        <f>+IF($K320="Ongoing",AZ320,IF(RIGHT($K320,2)=RIGHT(BV$43,2),SUM($AX320:AZ320),0)+IF(RIGHT(BV$43,2)&gt;RIGHT($K320,2),AZ320,0))</f>
        <v>0</v>
      </c>
      <c r="BW320" s="387">
        <f>+IF($K320="Ongoing",BA320,IF(RIGHT($K320,2)=RIGHT(BW$43,2),SUM($AX320:BA320),0)+IF(RIGHT(BW$43,2)&gt;RIGHT($K320,2),BA320,0))</f>
        <v>0</v>
      </c>
      <c r="BX320" s="1283">
        <f>+IF($K320="Ongoing",BB320,IF(RIGHT($K320,2)=RIGHT(BX$43,2),SUM($AX320:BB320),0)+IF(RIGHT(BX$43,2)&gt;RIGHT($K320,2),BB320,0))</f>
        <v>0</v>
      </c>
      <c r="BY320" s="386">
        <f>+IF($K320="Ongoing",BC320,IF(RIGHT($K320,2)=RIGHT(BY$43,2),SUM($AX320:BC320),0)+IF(RIGHT(BY$43,2)&gt;RIGHT($K320,2),BC320,0))</f>
        <v>0</v>
      </c>
      <c r="BZ320" s="387">
        <f>+IF($K320="Ongoing",BD320,IF(RIGHT($K320,2)=RIGHT(BZ$43,2),SUM($AX320:BD320),0)+IF(RIGHT(BZ$43,2)&gt;RIGHT($K320,2),BD320,0))</f>
        <v>0</v>
      </c>
      <c r="CA320" s="1277">
        <f>+IF($K320="Ongoing",BE320,IF(RIGHT($K320,2)=RIGHT(CA$43,2),SUM($AX320:BE320),0)+IF(RIGHT(CA$43,2)&gt;RIGHT($K320,2),BE320,0))</f>
        <v>0</v>
      </c>
      <c r="CB320" s="1277">
        <f>+IF($K320="Ongoing",BF320,IF(RIGHT($K320,2)=RIGHT(CB$43,2),SUM($AX320:BF320),0)+IF(RIGHT(CB$43,2)&gt;RIGHT($K320,2),BF320,0))</f>
        <v>0</v>
      </c>
      <c r="CC320" s="388">
        <f>+IF($K320="Ongoing",BG320,IF(RIGHT($K320,2)=RIGHT(CC$43,2),SUM($AX320:BG320),0)+IF(RIGHT(CC$43,2)&gt;RIGHT($K320,2),BG320,0))</f>
        <v>0</v>
      </c>
      <c r="CD320" s="1025"/>
      <c r="CE320" s="1282">
        <f>+Q320*KeyAssumptionsPriceControl_FO!AF$15</f>
        <v>0</v>
      </c>
      <c r="CF320" s="387">
        <f>+R320*KeyAssumptionsPriceControl_FO!AG$15</f>
        <v>0</v>
      </c>
      <c r="CG320" s="387">
        <f>+S320*KeyAssumptionsPriceControl_FO!AH$15</f>
        <v>0</v>
      </c>
      <c r="CH320" s="387">
        <f>+T320*KeyAssumptionsPriceControl_FO!AI$15</f>
        <v>0</v>
      </c>
      <c r="CI320" s="1283">
        <f>+U320*KeyAssumptionsPriceControl_FO!AJ$15</f>
        <v>0</v>
      </c>
      <c r="CJ320" s="386">
        <f>+V320*KeyAssumptionsPriceControl_FO!AK$15</f>
        <v>0</v>
      </c>
      <c r="CK320" s="387">
        <f>+W320*KeyAssumptionsPriceControl_FO!AL$15</f>
        <v>0</v>
      </c>
      <c r="CL320" s="1277">
        <f>+X320*KeyAssumptionsPriceControl_FO!AM$15</f>
        <v>0</v>
      </c>
      <c r="CM320" s="1277">
        <f>+Y320*KeyAssumptionsPriceControl_FO!AN$15</f>
        <v>0</v>
      </c>
      <c r="CN320" s="388">
        <f>+Z320*KeyAssumptionsPriceControl_FO!AO$15</f>
        <v>0</v>
      </c>
      <c r="CO320" s="1025"/>
      <c r="CP320" s="1282">
        <f t="shared" ca="1" si="546"/>
        <v>0</v>
      </c>
      <c r="CQ320" s="387">
        <f t="shared" ca="1" si="547"/>
        <v>0</v>
      </c>
      <c r="CR320" s="387">
        <f t="shared" ca="1" si="548"/>
        <v>0</v>
      </c>
      <c r="CS320" s="387">
        <f t="shared" ca="1" si="549"/>
        <v>0</v>
      </c>
      <c r="CT320" s="1283">
        <f t="shared" ca="1" si="550"/>
        <v>0</v>
      </c>
      <c r="CU320" s="386">
        <f t="shared" ca="1" si="551"/>
        <v>0</v>
      </c>
      <c r="CV320" s="387">
        <f t="shared" ca="1" si="552"/>
        <v>0</v>
      </c>
      <c r="CW320" s="1277">
        <f t="shared" ca="1" si="553"/>
        <v>0</v>
      </c>
      <c r="CX320" s="1277">
        <f t="shared" ca="1" si="554"/>
        <v>0</v>
      </c>
      <c r="CY320" s="388">
        <f t="shared" ca="1" si="555"/>
        <v>0</v>
      </c>
      <c r="CZ320" s="347"/>
      <c r="DA320" s="852"/>
      <c r="DB320" s="347"/>
      <c r="DC320" s="1012" t="s">
        <v>517</v>
      </c>
      <c r="DD320" s="841" t="s">
        <v>518</v>
      </c>
      <c r="DE320" s="386">
        <f>+IF($K320="ongoing",CE320,IF(RIGHT($K320,2)=RIGHT(DE$43,2),SUM($CD320:CE320),0)+IF(RIGHT(DE$43,2)&gt;RIGHT($K320,2),CE320,0))</f>
        <v>0</v>
      </c>
      <c r="DF320" s="387">
        <f>+IF($K320="ongoing",CF320,IF(RIGHT($K320,2)=RIGHT(DF$43,2),SUM($CD320:CF320),0)+IF(RIGHT(DF$43,2)&gt;RIGHT($K320,2),CF320,0))</f>
        <v>0</v>
      </c>
      <c r="DG320" s="388">
        <f>+IF($K320="ongoing",CG320,IF(RIGHT($K320,2)=RIGHT(DG$43,2),SUM($CD320:CG320),0)+IF(RIGHT(DG$43,2)&gt;RIGHT($K320,2),CG320,0))</f>
        <v>0</v>
      </c>
      <c r="DH320" s="386">
        <f>+IF($K320="ongoing",CH320,IF(RIGHT($K320,2)=RIGHT(DH$43,2),SUM($CD320:CH320),0)+IF(RIGHT(DH$43,2)&gt;RIGHT($K320,2),CH320,0))</f>
        <v>0</v>
      </c>
      <c r="DI320" s="387">
        <f>+IF($K320="ongoing",CI320,IF(RIGHT($K320,2)=RIGHT(DI$43,2),SUM($CD320:CI320),0)+IF(RIGHT(DI$43,2)&gt;RIGHT($K320,2),CI320,0))</f>
        <v>0</v>
      </c>
      <c r="DJ320" s="387">
        <f>+IF($K320="ongoing",CJ320,IF(RIGHT($K320,2)=RIGHT(DJ$43,2),SUM($CD320:CJ320),0)+IF(RIGHT(DJ$43,2)&gt;RIGHT($K320,2),CJ320,0))</f>
        <v>0</v>
      </c>
      <c r="DK320" s="387">
        <f>+IF($K320="ongoing",CK320,IF(RIGHT($K320,2)=RIGHT(DK$43,2),SUM($CD320:CK320),0)+IF(RIGHT(DK$43,2)&gt;RIGHT($K320,2),CK320,0))</f>
        <v>0</v>
      </c>
      <c r="DL320" s="388">
        <f>+IF($K320="ongoing",CN320,IF(RIGHT($K320,2)=RIGHT(DL$43,2),SUM($CD320:CN320),0)+IF(RIGHT(DL$43,2)&gt;RIGHT($K320,2),CN320,0))</f>
        <v>0</v>
      </c>
      <c r="DM320" s="841"/>
      <c r="DN320" s="386">
        <f t="shared" si="529"/>
        <v>0.5</v>
      </c>
      <c r="DO320" s="387">
        <f t="shared" si="529"/>
        <v>1</v>
      </c>
      <c r="DP320" s="388">
        <f t="shared" si="529"/>
        <v>1</v>
      </c>
      <c r="DQ320" s="386">
        <f t="shared" si="529"/>
        <v>1</v>
      </c>
      <c r="DR320" s="387">
        <f t="shared" si="529"/>
        <v>1</v>
      </c>
      <c r="DS320" s="387">
        <f t="shared" si="529"/>
        <v>1</v>
      </c>
      <c r="DT320" s="387">
        <f t="shared" si="529"/>
        <v>1</v>
      </c>
      <c r="DU320" s="388">
        <f t="shared" si="529"/>
        <v>1</v>
      </c>
      <c r="DW320" s="386">
        <f t="shared" si="530"/>
        <v>0</v>
      </c>
      <c r="DX320" s="387">
        <f t="shared" si="530"/>
        <v>0.5</v>
      </c>
      <c r="DY320" s="388">
        <f t="shared" si="530"/>
        <v>1</v>
      </c>
      <c r="DZ320" s="386">
        <f t="shared" si="530"/>
        <v>1</v>
      </c>
      <c r="EA320" s="387">
        <f t="shared" si="530"/>
        <v>1</v>
      </c>
      <c r="EB320" s="387">
        <f t="shared" si="530"/>
        <v>1</v>
      </c>
      <c r="EC320" s="387">
        <f t="shared" si="530"/>
        <v>1</v>
      </c>
      <c r="ED320" s="388">
        <f t="shared" si="530"/>
        <v>1</v>
      </c>
      <c r="EF320" s="834">
        <f>+IF(DN320=DM320,0,
IF(AND(EF$44&gt;1,DN320=$N320),1-SUM($EE320:EE320),
IF($N320&lt;=1,
IF($N320&gt;0,1/$N320,0),
IF(EF$44=1,0,VDB(1,0,$N320,INT(EF$44-1-1),MIN($N320,INT(EF$44-1-1)+1),$DC320,IF($DD320="No",1,0))/
IF(DM320&gt;=INT($N320),$N320-INT($N320),1)))*
IF(EF$44=1,0,
IF(INT(DN320)=INT(DM320),DN320-DM320,INT(DN320)-DM320))+
IF($N320&lt;=1,
IF($N320&gt;0,1/$N320,0),VDB(1,0,$N320,INT(EF$44-1),MIN($N320,INT(EF$44-1)+1),$DC320,IF($DD320="No",1,0))/
IF(DN320&gt;INT($N320),$N320-INT($N320),1))*
IF(EF$44=1,DN320,
IF(INT(DN320)=INT(DM320),0,DN320-INT(DN320)))))</f>
        <v>0</v>
      </c>
      <c r="EG320" s="835">
        <f>+IF(DO320=DN320,0,
IF(AND(EG$44&gt;1,DO320=$N320),1-SUM($EE320:EF320),
IF($N320&lt;=1,
IF($N320&gt;0,1/$N320,0),
IF(EG$44=1,0,VDB(1,0,$N320,INT(EG$44-1-1),MIN($N320,INT(EG$44-1-1)+1),$DC320,IF($DD320="No",1,0))/
IF(DN320&gt;=INT($N320),$N320-INT($N320),1)))*
IF(EG$44=1,0,
IF(INT(DO320)=INT(DN320),DO320-DN320,INT(DO320)-DN320))+
IF($N320&lt;=1,
IF($N320&gt;0,1/$N320,0),VDB(1,0,$N320,INT(EG$44-1),MIN($N320,INT(EG$44-1)+1),$DC320,IF($DD320="No",1,0))/
IF(DO320&gt;INT($N320),$N320-INT($N320),1))*
IF(EG$44=1,DO320,
IF(INT(DO320)=INT(DN320),0,DO320-INT(DO320)))))</f>
        <v>0</v>
      </c>
      <c r="EH320" s="836">
        <f>+IF(DP320=DO320,0,
IF(AND(EH$44&gt;1,DP320=$N320),1-SUM($EE320:EG320),
IF($N320&lt;=1,
IF($N320&gt;0,1/$N320,0),
IF(EH$44=1,0,VDB(1,0,$N320,INT(EH$44-1-1),MIN($N320,INT(EH$44-1-1)+1),$DC320,IF($DD320="No",1,0))/
IF(DO320&gt;=INT($N320),$N320-INT($N320),1)))*
IF(EH$44=1,0,
IF(INT(DP320)=INT(DO320),DP320-DO320,INT(DP320)-DO320))+
IF($N320&lt;=1,
IF($N320&gt;0,1/$N320,0),VDB(1,0,$N320,INT(EH$44-1),MIN($N320,INT(EH$44-1)+1),$DC320,IF($DD320="No",1,0))/
IF(DP320&gt;INT($N320),$N320-INT($N320),1))*
IF(EH$44=1,DP320,
IF(INT(DP320)=INT(DO320),0,DP320-INT(DP320)))))</f>
        <v>0</v>
      </c>
      <c r="EI320" s="834">
        <f>+IF(DQ320=DP320,0,
IF(AND(EI$44&gt;1,DQ320=$N320),1-SUM($EE320:EH320),
IF($N320&lt;=1,
IF($N320&gt;0,1/$N320,0),
IF(EI$44=1,0,VDB(1,0,$N320,INT(EI$44-1-1),MIN($N320,INT(EI$44-1-1)+1),$DC320,IF($DD320="No",1,0))/
IF(DP320&gt;=INT($N320),$N320-INT($N320),1)))*
IF(EI$44=1,0,
IF(INT(DQ320)=INT(DP320),DQ320-DP320,INT(DQ320)-DP320))+
IF($N320&lt;=1,
IF($N320&gt;0,1/$N320,0),VDB(1,0,$N320,INT(EI$44-1),MIN($N320,INT(EI$44-1)+1),$DC320,IF($DD320="No",1,0))/
IF(DQ320&gt;INT($N320),$N320-INT($N320),1))*
IF(EI$44=1,DQ320,
IF(INT(DQ320)=INT(DP320),0,DQ320-INT(DQ320)))))</f>
        <v>0</v>
      </c>
      <c r="EJ320" s="835">
        <f>+IF(DR320=DQ320,0,
IF(AND(EJ$44&gt;1,DR320=$N320),1-SUM($EE320:EI320),
IF($N320&lt;=1,
IF($N320&gt;0,1/$N320,0),
IF(EJ$44=1,0,VDB(1,0,$N320,INT(EJ$44-1-1),MIN($N320,INT(EJ$44-1-1)+1),$DC320,IF($DD320="No",1,0))/
IF(DQ320&gt;=INT($N320),$N320-INT($N320),1)))*
IF(EJ$44=1,0,
IF(INT(DR320)=INT(DQ320),DR320-DQ320,INT(DR320)-DQ320))+
IF($N320&lt;=1,
IF($N320&gt;0,1/$N320,0),VDB(1,0,$N320,INT(EJ$44-1),MIN($N320,INT(EJ$44-1)+1),$DC320,IF($DD320="No",1,0))/
IF(DR320&gt;INT($N320),$N320-INT($N320),1))*
IF(EJ$44=1,DR320,
IF(INT(DR320)=INT(DQ320),0,DR320-INT(DR320)))))</f>
        <v>0</v>
      </c>
      <c r="EK320" s="835">
        <f>+IF(DS320=DR320,0,
IF(AND(EK$44&gt;1,DS320=$N320),1-SUM($EE320:EJ320),
IF($N320&lt;=1,
IF($N320&gt;0,1/$N320,0),
IF(EK$44=1,0,VDB(1,0,$N320,INT(EK$44-1-1),MIN($N320,INT(EK$44-1-1)+1),$DC320,IF($DD320="No",1,0))/
IF(DR320&gt;=INT($N320),$N320-INT($N320),1)))*
IF(EK$44=1,0,
IF(INT(DS320)=INT(DR320),DS320-DR320,INT(DS320)-DR320))+
IF($N320&lt;=1,
IF($N320&gt;0,1/$N320,0),VDB(1,0,$N320,INT(EK$44-1),MIN($N320,INT(EK$44-1)+1),$DC320,IF($DD320="No",1,0))/
IF(DS320&gt;INT($N320),$N320-INT($N320),1))*
IF(EK$44=1,DS320,
IF(INT(DS320)=INT(DR320),0,DS320-INT(DS320)))))</f>
        <v>0</v>
      </c>
      <c r="EL320" s="835">
        <f>+IF(DT320=DS320,0,
IF(AND(EL$44&gt;1,DT320=$N320),1-SUM($EE320:EK320),
IF($N320&lt;=1,
IF($N320&gt;0,1/$N320,0),
IF(EL$44=1,0,VDB(1,0,$N320,INT(EL$44-1-1),MIN($N320,INT(EL$44-1-1)+1),$DC320,IF($DD320="No",1,0))/
IF(DS320&gt;=INT($N320),$N320-INT($N320),1)))*
IF(EL$44=1,0,
IF(INT(DT320)=INT(DS320),DT320-DS320,INT(DT320)-DS320))+
IF($N320&lt;=1,
IF($N320&gt;0,1/$N320,0),VDB(1,0,$N320,INT(EL$44-1),MIN($N320,INT(EL$44-1)+1),$DC320,IF($DD320="No",1,0))/
IF(DT320&gt;INT($N320),$N320-INT($N320),1))*
IF(EL$44=1,DT320,
IF(INT(DT320)=INT(DS320),0,DT320-INT(DT320)))))</f>
        <v>0</v>
      </c>
      <c r="EM320" s="836">
        <f>+IF(DU320=DT320,0,
IF(AND(EM$44&gt;1,DU320=$N320),1-SUM($EE320:EL320),
IF($N320&lt;=1,
IF($N320&gt;0,1/$N320,0),
IF(EM$44=1,0,VDB(1,0,$N320,INT(EM$44-1-1),MIN($N320,INT(EM$44-1-1)+1),$DC320,IF($DD320="No",1,0))/
IF(DT320&gt;=INT($N320),$N320-INT($N320),1)))*
IF(EM$44=1,0,
IF(INT(DU320)=INT(DT320),DU320-DT320,INT(DU320)-DT320))+
IF($N320&lt;=1,
IF($N320&gt;0,1/$N320,0),VDB(1,0,$N320,INT(EM$44-1),MIN($N320,INT(EM$44-1)+1),$DC320,IF($DD320="No",1,0))/
IF(DU320&gt;INT($N320),$N320-INT($N320),1))*
IF(EM$44=1,DU320,
IF(INT(DU320)=INT(DT320),0,DU320-INT(DU320)))))</f>
        <v>0</v>
      </c>
      <c r="EN320" s="833"/>
      <c r="EO320" s="834">
        <f>+IF(OR(DW320=DV320,EO$44=1),0,
IF(AND(EO$44&gt;1,DW320=$N320),1-SUM($EN320:EN320),
IF($N320&lt;=1,
IF($N320&gt;0,1/$N320,0),
IF(EO$44=2,0,VDB(1,0,$N320,INT(EO$44-2-1),MIN($N320,INT(EO$44-2-1)+1),$DC320,IF($DD320="No",1,0))/
IF(DV320&gt;=INT($N320),$N320-INT($N320),1)))*
IF(EO$44=2,0,
IF(INT(DW320)=INT(DV320),DW320-DV320,INT(DW320)-DV320))+
IF($N320&lt;=1,
IF($N320&gt;0,1/$N320,0),VDB(1,0,$N320,INT(EO$44-2),MIN($N320,INT(EO$44-2)+1),$DC320,IF($DD320="No",1,0))/
IF(DW320&gt;INT($N320),$N320-INT($N320),1))*
IF(EO$44=2,DW320,
IF(INT(DW320)=INT(DV320),0,DW320-INT(DW320)))))</f>
        <v>0</v>
      </c>
      <c r="EP320" s="835">
        <f>+IF(OR(DX320=DW320,EP$44=1),0,
IF(AND(EP$44&gt;1,DX320=$N320),1-SUM($EN320:EO320),
IF($N320&lt;=1,
IF($N320&gt;0,1/$N320,0),
IF(EP$44=2,0,VDB(1,0,$N320,INT(EP$44-2-1),MIN($N320,INT(EP$44-2-1)+1),$DC320,IF($DD320="No",1,0))/
IF(DW320&gt;=INT($N320),$N320-INT($N320),1)))*
IF(EP$44=2,0,
IF(INT(DX320)=INT(DW320),DX320-DW320,INT(DX320)-DW320))+
IF($N320&lt;=1,
IF($N320&gt;0,1/$N320,0),VDB(1,0,$N320,INT(EP$44-2),MIN($N320,INT(EP$44-2)+1),$DC320,IF($DD320="No",1,0))/
IF(DX320&gt;INT($N320),$N320-INT($N320),1))*
IF(EP$44=2,DX320,
IF(INT(DX320)=INT(DW320),0,DX320-INT(DX320)))))</f>
        <v>0</v>
      </c>
      <c r="EQ320" s="836">
        <f>+IF(OR(DY320=DX320,EQ$44=1),0,
IF(AND(EQ$44&gt;1,DY320=$N320),1-SUM($EN320:EP320),
IF($N320&lt;=1,
IF($N320&gt;0,1/$N320,0),
IF(EQ$44=2,0,VDB(1,0,$N320,INT(EQ$44-2-1),MIN($N320,INT(EQ$44-2-1)+1),$DC320,IF($DD320="No",1,0))/
IF(DX320&gt;=INT($N320),$N320-INT($N320),1)))*
IF(EQ$44=2,0,
IF(INT(DY320)=INT(DX320),DY320-DX320,INT(DY320)-DX320))+
IF($N320&lt;=1,
IF($N320&gt;0,1/$N320,0),VDB(1,0,$N320,INT(EQ$44-2),MIN($N320,INT(EQ$44-2)+1),$DC320,IF($DD320="No",1,0))/
IF(DY320&gt;INT($N320),$N320-INT($N320),1))*
IF(EQ$44=2,DY320,
IF(INT(DY320)=INT(DX320),0,DY320-INT(DY320)))))</f>
        <v>0</v>
      </c>
      <c r="ER320" s="834">
        <f>+IF(OR(DZ320=DY320,ER$44=1),0,
IF(AND(ER$44&gt;1,DZ320=$N320),1-SUM($EN320:EQ320),
IF($N320&lt;=1,
IF($N320&gt;0,1/$N320,0),
IF(ER$44=2,0,VDB(1,0,$N320,INT(ER$44-2-1),MIN($N320,INT(ER$44-2-1)+1),$DC320,IF($DD320="No",1,0))/
IF(DY320&gt;=INT($N320),$N320-INT($N320),1)))*
IF(ER$44=2,0,
IF(INT(DZ320)=INT(DY320),DZ320-DY320,INT(DZ320)-DY320))+
IF($N320&lt;=1,
IF($N320&gt;0,1/$N320,0),VDB(1,0,$N320,INT(ER$44-2),MIN($N320,INT(ER$44-2)+1),$DC320,IF($DD320="No",1,0))/
IF(DZ320&gt;INT($N320),$N320-INT($N320),1))*
IF(ER$44=2,DZ320,
IF(INT(DZ320)=INT(DY320),0,DZ320-INT(DZ320)))))</f>
        <v>0</v>
      </c>
      <c r="ES320" s="835">
        <f>+IF(OR(EA320=DZ320,ES$44=1),0,
IF(AND(ES$44&gt;1,EA320=$N320),1-SUM($EN320:ER320),
IF($N320&lt;=1,
IF($N320&gt;0,1/$N320,0),
IF(ES$44=2,0,VDB(1,0,$N320,INT(ES$44-2-1),MIN($N320,INT(ES$44-2-1)+1),$DC320,IF($DD320="No",1,0))/
IF(DZ320&gt;=INT($N320),$N320-INT($N320),1)))*
IF(ES$44=2,0,
IF(INT(EA320)=INT(DZ320),EA320-DZ320,INT(EA320)-DZ320))+
IF($N320&lt;=1,
IF($N320&gt;0,1/$N320,0),VDB(1,0,$N320,INT(ES$44-2),MIN($N320,INT(ES$44-2)+1),$DC320,IF($DD320="No",1,0))/
IF(EA320&gt;INT($N320),$N320-INT($N320),1))*
IF(ES$44=2,EA320,
IF(INT(EA320)=INT(DZ320),0,EA320-INT(EA320)))))</f>
        <v>0</v>
      </c>
      <c r="ET320" s="835">
        <f>+IF(OR(EB320=EA320,ET$44=1),0,
IF(AND(ET$44&gt;1,EB320=$N320),1-SUM($EN320:ES320),
IF($N320&lt;=1,
IF($N320&gt;0,1/$N320,0),
IF(ET$44=2,0,VDB(1,0,$N320,INT(ET$44-2-1),MIN($N320,INT(ET$44-2-1)+1),$DC320,IF($DD320="No",1,0))/
IF(EA320&gt;=INT($N320),$N320-INT($N320),1)))*
IF(ET$44=2,0,
IF(INT(EB320)=INT(EA320),EB320-EA320,INT(EB320)-EA320))+
IF($N320&lt;=1,
IF($N320&gt;0,1/$N320,0),VDB(1,0,$N320,INT(ET$44-2),MIN($N320,INT(ET$44-2)+1),$DC320,IF($DD320="No",1,0))/
IF(EB320&gt;INT($N320),$N320-INT($N320),1))*
IF(ET$44=2,EB320,
IF(INT(EB320)=INT(EA320),0,EB320-INT(EB320)))))</f>
        <v>0</v>
      </c>
      <c r="EU320" s="835">
        <f>+IF(OR(EC320=EB320,EU$44=1),0,
IF(AND(EU$44&gt;1,EC320=$N320),1-SUM($EN320:ET320),
IF($N320&lt;=1,
IF($N320&gt;0,1/$N320,0),
IF(EU$44=2,0,VDB(1,0,$N320,INT(EU$44-2-1),MIN($N320,INT(EU$44-2-1)+1),$DC320,IF($DD320="No",1,0))/
IF(EB320&gt;=INT($N320),$N320-INT($N320),1)))*
IF(EU$44=2,0,
IF(INT(EC320)=INT(EB320),EC320-EB320,INT(EC320)-EB320))+
IF($N320&lt;=1,
IF($N320&gt;0,1/$N320,0),VDB(1,0,$N320,INT(EU$44-2),MIN($N320,INT(EU$44-2)+1),$DC320,IF($DD320="No",1,0))/
IF(EC320&gt;INT($N320),$N320-INT($N320),1))*
IF(EU$44=2,EC320,
IF(INT(EC320)=INT(EB320),0,EC320-INT(EC320)))))</f>
        <v>0</v>
      </c>
      <c r="EV320" s="836">
        <f>+IF(OR(ED320=EC320,EV$44=1),0,
IF(AND(EV$44&gt;1,ED320=$N320),1-SUM($EN320:EU320),
IF($N320&lt;=1,
IF($N320&gt;0,1/$N320,0),
IF(EV$44=2,0,VDB(1,0,$N320,INT(EV$44-2-1),MIN($N320,INT(EV$44-2-1)+1),$DC320,IF($DD320="No",1,0))/
IF(EC320&gt;=INT($N320),$N320-INT($N320),1)))*
IF(EV$44=2,0,
IF(INT(ED320)=INT(EC320),ED320-EC320,INT(ED320)-EC320))+
IF($N320&lt;=1,
IF($N320&gt;0,1/$N320,0),VDB(1,0,$N320,INT(EV$44-2),MIN($N320,INT(EV$44-2)+1),$DC320,IF($DD320="No",1,0))/
IF(ED320&gt;INT($N320),$N320-INT($N320),1))*
IF(EV$44=2,ED320,
IF(INT(ED320)=INT(EC320),0,ED320-INT(ED320)))))</f>
        <v>0</v>
      </c>
      <c r="EW320" s="833"/>
      <c r="EX320" s="834">
        <f t="shared" ca="1" si="531"/>
        <v>0</v>
      </c>
      <c r="EY320" s="835">
        <f t="shared" ca="1" si="531"/>
        <v>0</v>
      </c>
      <c r="EZ320" s="836">
        <f t="shared" ca="1" si="531"/>
        <v>0</v>
      </c>
      <c r="FA320" s="834">
        <f t="shared" ca="1" si="531"/>
        <v>0</v>
      </c>
      <c r="FB320" s="835">
        <f t="shared" ca="1" si="531"/>
        <v>0</v>
      </c>
      <c r="FC320" s="835">
        <f t="shared" ca="1" si="531"/>
        <v>0</v>
      </c>
      <c r="FD320" s="835">
        <f t="shared" ca="1" si="531"/>
        <v>0</v>
      </c>
      <c r="FE320" s="836">
        <f t="shared" ca="1" si="531"/>
        <v>0</v>
      </c>
      <c r="FG320" s="386">
        <f t="shared" ca="1" si="521"/>
        <v>0</v>
      </c>
      <c r="FH320" s="387">
        <f t="shared" ca="1" si="522"/>
        <v>0</v>
      </c>
      <c r="FI320" s="388">
        <f t="shared" ca="1" si="523"/>
        <v>0</v>
      </c>
      <c r="FJ320" s="386">
        <f t="shared" ca="1" si="524"/>
        <v>0</v>
      </c>
      <c r="FK320" s="387">
        <f t="shared" ca="1" si="525"/>
        <v>0</v>
      </c>
      <c r="FL320" s="387">
        <f t="shared" ca="1" si="526"/>
        <v>0</v>
      </c>
      <c r="FM320" s="387">
        <f t="shared" ca="1" si="527"/>
        <v>0</v>
      </c>
      <c r="FN320" s="388">
        <f t="shared" ca="1" si="528"/>
        <v>0</v>
      </c>
      <c r="FR320" s="116"/>
    </row>
    <row r="321" spans="2:174">
      <c r="B321" s="1410">
        <f t="shared" si="556"/>
        <v>275</v>
      </c>
      <c r="C321" s="400"/>
      <c r="D321" s="410"/>
      <c r="E321" s="402"/>
      <c r="F321" s="402"/>
      <c r="G321" s="400"/>
      <c r="H321" s="2088"/>
      <c r="I321" s="2089"/>
      <c r="J321" s="411"/>
      <c r="K321" s="403"/>
      <c r="L321" s="403"/>
      <c r="M321" s="403"/>
      <c r="N321" s="403"/>
      <c r="O321" s="347"/>
      <c r="P321" s="347"/>
      <c r="Q321" s="1021"/>
      <c r="R321" s="1022"/>
      <c r="S321" s="1022"/>
      <c r="T321" s="1022"/>
      <c r="U321" s="1023"/>
      <c r="V321" s="1021"/>
      <c r="W321" s="1022"/>
      <c r="X321" s="1022"/>
      <c r="Y321" s="1022"/>
      <c r="Z321" s="1023"/>
      <c r="AA321" s="1024"/>
      <c r="AB321" s="1021"/>
      <c r="AC321" s="1022"/>
      <c r="AD321" s="1022"/>
      <c r="AE321" s="1022"/>
      <c r="AF321" s="1023"/>
      <c r="AG321" s="1021"/>
      <c r="AH321" s="1022"/>
      <c r="AI321" s="1022"/>
      <c r="AJ321" s="1022"/>
      <c r="AK321" s="1023"/>
      <c r="AL321" s="1024"/>
      <c r="AM321" s="1021"/>
      <c r="AN321" s="1022"/>
      <c r="AO321" s="1022"/>
      <c r="AP321" s="1022"/>
      <c r="AQ321" s="1023"/>
      <c r="AR321" s="1021"/>
      <c r="AS321" s="1022"/>
      <c r="AT321" s="1022"/>
      <c r="AU321" s="1022"/>
      <c r="AV321" s="1023"/>
      <c r="AW321" s="1025"/>
      <c r="AX321" s="1282">
        <f t="shared" si="532"/>
        <v>0</v>
      </c>
      <c r="AY321" s="387">
        <f t="shared" si="533"/>
        <v>0</v>
      </c>
      <c r="AZ321" s="387">
        <f t="shared" si="534"/>
        <v>0</v>
      </c>
      <c r="BA321" s="387">
        <f t="shared" si="535"/>
        <v>0</v>
      </c>
      <c r="BB321" s="1283">
        <f t="shared" si="536"/>
        <v>0</v>
      </c>
      <c r="BC321" s="386">
        <f t="shared" si="537"/>
        <v>0</v>
      </c>
      <c r="BD321" s="387">
        <f t="shared" si="538"/>
        <v>0</v>
      </c>
      <c r="BE321" s="1277">
        <f t="shared" si="539"/>
        <v>0</v>
      </c>
      <c r="BF321" s="1277">
        <f t="shared" si="539"/>
        <v>0</v>
      </c>
      <c r="BG321" s="388">
        <f t="shared" si="539"/>
        <v>0</v>
      </c>
      <c r="BH321" s="1025"/>
      <c r="BI321" s="1282">
        <f t="shared" ca="1" si="540"/>
        <v>0</v>
      </c>
      <c r="BJ321" s="387">
        <f t="shared" ca="1" si="541"/>
        <v>0</v>
      </c>
      <c r="BK321" s="387">
        <f t="shared" ca="1" si="542"/>
        <v>0</v>
      </c>
      <c r="BL321" s="387">
        <f t="shared" ca="1" si="543"/>
        <v>0</v>
      </c>
      <c r="BM321" s="1283">
        <f t="shared" ca="1" si="544"/>
        <v>0</v>
      </c>
      <c r="BN321" s="386">
        <f t="shared" ca="1" si="545"/>
        <v>0</v>
      </c>
      <c r="BO321" s="387">
        <f t="shared" ca="1" si="545"/>
        <v>0</v>
      </c>
      <c r="BP321" s="1277">
        <f t="shared" ca="1" si="545"/>
        <v>0</v>
      </c>
      <c r="BQ321" s="1277">
        <f t="shared" ca="1" si="545"/>
        <v>0</v>
      </c>
      <c r="BR321" s="388">
        <f t="shared" ca="1" si="545"/>
        <v>0</v>
      </c>
      <c r="BS321" s="1025"/>
      <c r="BT321" s="1282">
        <f>+IF($K321="Ongoing",AX321,IF(RIGHT($K321,2)=RIGHT(BT$43,2),SUM($AX321:AX321),0)+IF(RIGHT(BT$43,2)&gt;RIGHT($K321,2),AX321,0))</f>
        <v>0</v>
      </c>
      <c r="BU321" s="387">
        <f>+IF($K321="Ongoing",AY321,IF(RIGHT($K321,2)=RIGHT(BU$43,2),SUM($AX321:AY321),0)+IF(RIGHT(BU$43,2)&gt;RIGHT($K321,2),AY321,0))</f>
        <v>0</v>
      </c>
      <c r="BV321" s="387">
        <f>+IF($K321="Ongoing",AZ321,IF(RIGHT($K321,2)=RIGHT(BV$43,2),SUM($AX321:AZ321),0)+IF(RIGHT(BV$43,2)&gt;RIGHT($K321,2),AZ321,0))</f>
        <v>0</v>
      </c>
      <c r="BW321" s="387">
        <f>+IF($K321="Ongoing",BA321,IF(RIGHT($K321,2)=RIGHT(BW$43,2),SUM($AX321:BA321),0)+IF(RIGHT(BW$43,2)&gt;RIGHT($K321,2),BA321,0))</f>
        <v>0</v>
      </c>
      <c r="BX321" s="1283">
        <f>+IF($K321="Ongoing",BB321,IF(RIGHT($K321,2)=RIGHT(BX$43,2),SUM($AX321:BB321),0)+IF(RIGHT(BX$43,2)&gt;RIGHT($K321,2),BB321,0))</f>
        <v>0</v>
      </c>
      <c r="BY321" s="386">
        <f>+IF($K321="Ongoing",BC321,IF(RIGHT($K321,2)=RIGHT(BY$43,2),SUM($AX321:BC321),0)+IF(RIGHT(BY$43,2)&gt;RIGHT($K321,2),BC321,0))</f>
        <v>0</v>
      </c>
      <c r="BZ321" s="387">
        <f>+IF($K321="Ongoing",BD321,IF(RIGHT($K321,2)=RIGHT(BZ$43,2),SUM($AX321:BD321),0)+IF(RIGHT(BZ$43,2)&gt;RIGHT($K321,2),BD321,0))</f>
        <v>0</v>
      </c>
      <c r="CA321" s="1277">
        <f>+IF($K321="Ongoing",BE321,IF(RIGHT($K321,2)=RIGHT(CA$43,2),SUM($AX321:BE321),0)+IF(RIGHT(CA$43,2)&gt;RIGHT($K321,2),BE321,0))</f>
        <v>0</v>
      </c>
      <c r="CB321" s="1277">
        <f>+IF($K321="Ongoing",BF321,IF(RIGHT($K321,2)=RIGHT(CB$43,2),SUM($AX321:BF321),0)+IF(RIGHT(CB$43,2)&gt;RIGHT($K321,2),BF321,0))</f>
        <v>0</v>
      </c>
      <c r="CC321" s="388">
        <f>+IF($K321="Ongoing",BG321,IF(RIGHT($K321,2)=RIGHT(CC$43,2),SUM($AX321:BG321),0)+IF(RIGHT(CC$43,2)&gt;RIGHT($K321,2),BG321,0))</f>
        <v>0</v>
      </c>
      <c r="CD321" s="1025"/>
      <c r="CE321" s="1282">
        <f>+Q321*KeyAssumptionsPriceControl_FO!AF$15</f>
        <v>0</v>
      </c>
      <c r="CF321" s="387">
        <f>+R321*KeyAssumptionsPriceControl_FO!AG$15</f>
        <v>0</v>
      </c>
      <c r="CG321" s="387">
        <f>+S321*KeyAssumptionsPriceControl_FO!AH$15</f>
        <v>0</v>
      </c>
      <c r="CH321" s="387">
        <f>+T321*KeyAssumptionsPriceControl_FO!AI$15</f>
        <v>0</v>
      </c>
      <c r="CI321" s="1283">
        <f>+U321*KeyAssumptionsPriceControl_FO!AJ$15</f>
        <v>0</v>
      </c>
      <c r="CJ321" s="386">
        <f>+V321*KeyAssumptionsPriceControl_FO!AK$15</f>
        <v>0</v>
      </c>
      <c r="CK321" s="387">
        <f>+W321*KeyAssumptionsPriceControl_FO!AL$15</f>
        <v>0</v>
      </c>
      <c r="CL321" s="1277">
        <f>+X321*KeyAssumptionsPriceControl_FO!AM$15</f>
        <v>0</v>
      </c>
      <c r="CM321" s="1277">
        <f>+Y321*KeyAssumptionsPriceControl_FO!AN$15</f>
        <v>0</v>
      </c>
      <c r="CN321" s="388">
        <f>+Z321*KeyAssumptionsPriceControl_FO!AO$15</f>
        <v>0</v>
      </c>
      <c r="CO321" s="1025"/>
      <c r="CP321" s="1282">
        <f t="shared" ca="1" si="546"/>
        <v>0</v>
      </c>
      <c r="CQ321" s="387">
        <f t="shared" ca="1" si="547"/>
        <v>0</v>
      </c>
      <c r="CR321" s="387">
        <f t="shared" ca="1" si="548"/>
        <v>0</v>
      </c>
      <c r="CS321" s="387">
        <f t="shared" ca="1" si="549"/>
        <v>0</v>
      </c>
      <c r="CT321" s="1283">
        <f t="shared" ca="1" si="550"/>
        <v>0</v>
      </c>
      <c r="CU321" s="386">
        <f t="shared" ca="1" si="551"/>
        <v>0</v>
      </c>
      <c r="CV321" s="387">
        <f t="shared" ca="1" si="552"/>
        <v>0</v>
      </c>
      <c r="CW321" s="1277">
        <f t="shared" ca="1" si="553"/>
        <v>0</v>
      </c>
      <c r="CX321" s="1277">
        <f t="shared" ca="1" si="554"/>
        <v>0</v>
      </c>
      <c r="CY321" s="388">
        <f t="shared" ca="1" si="555"/>
        <v>0</v>
      </c>
      <c r="CZ321" s="347"/>
      <c r="DA321" s="852"/>
      <c r="DB321" s="347"/>
      <c r="DC321" s="1012" t="s">
        <v>517</v>
      </c>
      <c r="DD321" s="841" t="s">
        <v>518</v>
      </c>
      <c r="DE321" s="386">
        <f>+IF($K321="ongoing",CE321,IF(RIGHT($K321,2)=RIGHT(DE$43,2),SUM($CD321:CE321),0)+IF(RIGHT(DE$43,2)&gt;RIGHT($K321,2),CE321,0))</f>
        <v>0</v>
      </c>
      <c r="DF321" s="387">
        <f>+IF($K321="ongoing",CF321,IF(RIGHT($K321,2)=RIGHT(DF$43,2),SUM($CD321:CF321),0)+IF(RIGHT(DF$43,2)&gt;RIGHT($K321,2),CF321,0))</f>
        <v>0</v>
      </c>
      <c r="DG321" s="388">
        <f>+IF($K321="ongoing",CG321,IF(RIGHT($K321,2)=RIGHT(DG$43,2),SUM($CD321:CG321),0)+IF(RIGHT(DG$43,2)&gt;RIGHT($K321,2),CG321,0))</f>
        <v>0</v>
      </c>
      <c r="DH321" s="386">
        <f>+IF($K321="ongoing",CH321,IF(RIGHT($K321,2)=RIGHT(DH$43,2),SUM($CD321:CH321),0)+IF(RIGHT(DH$43,2)&gt;RIGHT($K321,2),CH321,0))</f>
        <v>0</v>
      </c>
      <c r="DI321" s="387">
        <f>+IF($K321="ongoing",CI321,IF(RIGHT($K321,2)=RIGHT(DI$43,2),SUM($CD321:CI321),0)+IF(RIGHT(DI$43,2)&gt;RIGHT($K321,2),CI321,0))</f>
        <v>0</v>
      </c>
      <c r="DJ321" s="387">
        <f>+IF($K321="ongoing",CJ321,IF(RIGHT($K321,2)=RIGHT(DJ$43,2),SUM($CD321:CJ321),0)+IF(RIGHT(DJ$43,2)&gt;RIGHT($K321,2),CJ321,0))</f>
        <v>0</v>
      </c>
      <c r="DK321" s="387">
        <f>+IF($K321="ongoing",CK321,IF(RIGHT($K321,2)=RIGHT(DK$43,2),SUM($CD321:CK321),0)+IF(RIGHT(DK$43,2)&gt;RIGHT($K321,2),CK321,0))</f>
        <v>0</v>
      </c>
      <c r="DL321" s="388">
        <f>+IF($K321="ongoing",CN321,IF(RIGHT($K321,2)=RIGHT(DL$43,2),SUM($CD321:CN321),0)+IF(RIGHT(DL$43,2)&gt;RIGHT($K321,2),CN321,0))</f>
        <v>0</v>
      </c>
      <c r="DM321" s="841"/>
      <c r="DN321" s="386">
        <f t="shared" si="529"/>
        <v>0.5</v>
      </c>
      <c r="DO321" s="387">
        <f t="shared" si="529"/>
        <v>1</v>
      </c>
      <c r="DP321" s="388">
        <f t="shared" si="529"/>
        <v>1</v>
      </c>
      <c r="DQ321" s="386">
        <f t="shared" si="529"/>
        <v>1</v>
      </c>
      <c r="DR321" s="387">
        <f t="shared" si="529"/>
        <v>1</v>
      </c>
      <c r="DS321" s="387">
        <f t="shared" si="529"/>
        <v>1</v>
      </c>
      <c r="DT321" s="387">
        <f t="shared" si="529"/>
        <v>1</v>
      </c>
      <c r="DU321" s="388">
        <f t="shared" si="529"/>
        <v>1</v>
      </c>
      <c r="DW321" s="386">
        <f t="shared" si="530"/>
        <v>0</v>
      </c>
      <c r="DX321" s="387">
        <f t="shared" si="530"/>
        <v>0.5</v>
      </c>
      <c r="DY321" s="388">
        <f t="shared" si="530"/>
        <v>1</v>
      </c>
      <c r="DZ321" s="386">
        <f t="shared" si="530"/>
        <v>1</v>
      </c>
      <c r="EA321" s="387">
        <f t="shared" si="530"/>
        <v>1</v>
      </c>
      <c r="EB321" s="387">
        <f t="shared" si="530"/>
        <v>1</v>
      </c>
      <c r="EC321" s="387">
        <f t="shared" si="530"/>
        <v>1</v>
      </c>
      <c r="ED321" s="388">
        <f t="shared" si="530"/>
        <v>1</v>
      </c>
      <c r="EF321" s="834">
        <f>+IF(DN321=DM321,0,
IF(AND(EF$44&gt;1,DN321=$N321),1-SUM($EE321:EE321),
IF($N321&lt;=1,
IF($N321&gt;0,1/$N321,0),
IF(EF$44=1,0,VDB(1,0,$N321,INT(EF$44-1-1),MIN($N321,INT(EF$44-1-1)+1),$DC321,IF($DD321="No",1,0))/
IF(DM321&gt;=INT($N321),$N321-INT($N321),1)))*
IF(EF$44=1,0,
IF(INT(DN321)=INT(DM321),DN321-DM321,INT(DN321)-DM321))+
IF($N321&lt;=1,
IF($N321&gt;0,1/$N321,0),VDB(1,0,$N321,INT(EF$44-1),MIN($N321,INT(EF$44-1)+1),$DC321,IF($DD321="No",1,0))/
IF(DN321&gt;INT($N321),$N321-INT($N321),1))*
IF(EF$44=1,DN321,
IF(INT(DN321)=INT(DM321),0,DN321-INT(DN321)))))</f>
        <v>0</v>
      </c>
      <c r="EG321" s="835">
        <f>+IF(DO321=DN321,0,
IF(AND(EG$44&gt;1,DO321=$N321),1-SUM($EE321:EF321),
IF($N321&lt;=1,
IF($N321&gt;0,1/$N321,0),
IF(EG$44=1,0,VDB(1,0,$N321,INT(EG$44-1-1),MIN($N321,INT(EG$44-1-1)+1),$DC321,IF($DD321="No",1,0))/
IF(DN321&gt;=INT($N321),$N321-INT($N321),1)))*
IF(EG$44=1,0,
IF(INT(DO321)=INT(DN321),DO321-DN321,INT(DO321)-DN321))+
IF($N321&lt;=1,
IF($N321&gt;0,1/$N321,0),VDB(1,0,$N321,INT(EG$44-1),MIN($N321,INT(EG$44-1)+1),$DC321,IF($DD321="No",1,0))/
IF(DO321&gt;INT($N321),$N321-INT($N321),1))*
IF(EG$44=1,DO321,
IF(INT(DO321)=INT(DN321),0,DO321-INT(DO321)))))</f>
        <v>0</v>
      </c>
      <c r="EH321" s="836">
        <f>+IF(DP321=DO321,0,
IF(AND(EH$44&gt;1,DP321=$N321),1-SUM($EE321:EG321),
IF($N321&lt;=1,
IF($N321&gt;0,1/$N321,0),
IF(EH$44=1,0,VDB(1,0,$N321,INT(EH$44-1-1),MIN($N321,INT(EH$44-1-1)+1),$DC321,IF($DD321="No",1,0))/
IF(DO321&gt;=INT($N321),$N321-INT($N321),1)))*
IF(EH$44=1,0,
IF(INT(DP321)=INT(DO321),DP321-DO321,INT(DP321)-DO321))+
IF($N321&lt;=1,
IF($N321&gt;0,1/$N321,0),VDB(1,0,$N321,INT(EH$44-1),MIN($N321,INT(EH$44-1)+1),$DC321,IF($DD321="No",1,0))/
IF(DP321&gt;INT($N321),$N321-INT($N321),1))*
IF(EH$44=1,DP321,
IF(INT(DP321)=INT(DO321),0,DP321-INT(DP321)))))</f>
        <v>0</v>
      </c>
      <c r="EI321" s="834">
        <f>+IF(DQ321=DP321,0,
IF(AND(EI$44&gt;1,DQ321=$N321),1-SUM($EE321:EH321),
IF($N321&lt;=1,
IF($N321&gt;0,1/$N321,0),
IF(EI$44=1,0,VDB(1,0,$N321,INT(EI$44-1-1),MIN($N321,INT(EI$44-1-1)+1),$DC321,IF($DD321="No",1,0))/
IF(DP321&gt;=INT($N321),$N321-INT($N321),1)))*
IF(EI$44=1,0,
IF(INT(DQ321)=INT(DP321),DQ321-DP321,INT(DQ321)-DP321))+
IF($N321&lt;=1,
IF($N321&gt;0,1/$N321,0),VDB(1,0,$N321,INT(EI$44-1),MIN($N321,INT(EI$44-1)+1),$DC321,IF($DD321="No",1,0))/
IF(DQ321&gt;INT($N321),$N321-INT($N321),1))*
IF(EI$44=1,DQ321,
IF(INT(DQ321)=INT(DP321),0,DQ321-INT(DQ321)))))</f>
        <v>0</v>
      </c>
      <c r="EJ321" s="835">
        <f>+IF(DR321=DQ321,0,
IF(AND(EJ$44&gt;1,DR321=$N321),1-SUM($EE321:EI321),
IF($N321&lt;=1,
IF($N321&gt;0,1/$N321,0),
IF(EJ$44=1,0,VDB(1,0,$N321,INT(EJ$44-1-1),MIN($N321,INT(EJ$44-1-1)+1),$DC321,IF($DD321="No",1,0))/
IF(DQ321&gt;=INT($N321),$N321-INT($N321),1)))*
IF(EJ$44=1,0,
IF(INT(DR321)=INT(DQ321),DR321-DQ321,INT(DR321)-DQ321))+
IF($N321&lt;=1,
IF($N321&gt;0,1/$N321,0),VDB(1,0,$N321,INT(EJ$44-1),MIN($N321,INT(EJ$44-1)+1),$DC321,IF($DD321="No",1,0))/
IF(DR321&gt;INT($N321),$N321-INT($N321),1))*
IF(EJ$44=1,DR321,
IF(INT(DR321)=INT(DQ321),0,DR321-INT(DR321)))))</f>
        <v>0</v>
      </c>
      <c r="EK321" s="835">
        <f>+IF(DS321=DR321,0,
IF(AND(EK$44&gt;1,DS321=$N321),1-SUM($EE321:EJ321),
IF($N321&lt;=1,
IF($N321&gt;0,1/$N321,0),
IF(EK$44=1,0,VDB(1,0,$N321,INT(EK$44-1-1),MIN($N321,INT(EK$44-1-1)+1),$DC321,IF($DD321="No",1,0))/
IF(DR321&gt;=INT($N321),$N321-INT($N321),1)))*
IF(EK$44=1,0,
IF(INT(DS321)=INT(DR321),DS321-DR321,INT(DS321)-DR321))+
IF($N321&lt;=1,
IF($N321&gt;0,1/$N321,0),VDB(1,0,$N321,INT(EK$44-1),MIN($N321,INT(EK$44-1)+1),$DC321,IF($DD321="No",1,0))/
IF(DS321&gt;INT($N321),$N321-INT($N321),1))*
IF(EK$44=1,DS321,
IF(INT(DS321)=INT(DR321),0,DS321-INT(DS321)))))</f>
        <v>0</v>
      </c>
      <c r="EL321" s="835">
        <f>+IF(DT321=DS321,0,
IF(AND(EL$44&gt;1,DT321=$N321),1-SUM($EE321:EK321),
IF($N321&lt;=1,
IF($N321&gt;0,1/$N321,0),
IF(EL$44=1,0,VDB(1,0,$N321,INT(EL$44-1-1),MIN($N321,INT(EL$44-1-1)+1),$DC321,IF($DD321="No",1,0))/
IF(DS321&gt;=INT($N321),$N321-INT($N321),1)))*
IF(EL$44=1,0,
IF(INT(DT321)=INT(DS321),DT321-DS321,INT(DT321)-DS321))+
IF($N321&lt;=1,
IF($N321&gt;0,1/$N321,0),VDB(1,0,$N321,INT(EL$44-1),MIN($N321,INT(EL$44-1)+1),$DC321,IF($DD321="No",1,0))/
IF(DT321&gt;INT($N321),$N321-INT($N321),1))*
IF(EL$44=1,DT321,
IF(INT(DT321)=INT(DS321),0,DT321-INT(DT321)))))</f>
        <v>0</v>
      </c>
      <c r="EM321" s="836">
        <f>+IF(DU321=DT321,0,
IF(AND(EM$44&gt;1,DU321=$N321),1-SUM($EE321:EL321),
IF($N321&lt;=1,
IF($N321&gt;0,1/$N321,0),
IF(EM$44=1,0,VDB(1,0,$N321,INT(EM$44-1-1),MIN($N321,INT(EM$44-1-1)+1),$DC321,IF($DD321="No",1,0))/
IF(DT321&gt;=INT($N321),$N321-INT($N321),1)))*
IF(EM$44=1,0,
IF(INT(DU321)=INT(DT321),DU321-DT321,INT(DU321)-DT321))+
IF($N321&lt;=1,
IF($N321&gt;0,1/$N321,0),VDB(1,0,$N321,INT(EM$44-1),MIN($N321,INT(EM$44-1)+1),$DC321,IF($DD321="No",1,0))/
IF(DU321&gt;INT($N321),$N321-INT($N321),1))*
IF(EM$44=1,DU321,
IF(INT(DU321)=INT(DT321),0,DU321-INT(DU321)))))</f>
        <v>0</v>
      </c>
      <c r="EN321" s="833"/>
      <c r="EO321" s="834">
        <f>+IF(OR(DW321=DV321,EO$44=1),0,
IF(AND(EO$44&gt;1,DW321=$N321),1-SUM($EN321:EN321),
IF($N321&lt;=1,
IF($N321&gt;0,1/$N321,0),
IF(EO$44=2,0,VDB(1,0,$N321,INT(EO$44-2-1),MIN($N321,INT(EO$44-2-1)+1),$DC321,IF($DD321="No",1,0))/
IF(DV321&gt;=INT($N321),$N321-INT($N321),1)))*
IF(EO$44=2,0,
IF(INT(DW321)=INT(DV321),DW321-DV321,INT(DW321)-DV321))+
IF($N321&lt;=1,
IF($N321&gt;0,1/$N321,0),VDB(1,0,$N321,INT(EO$44-2),MIN($N321,INT(EO$44-2)+1),$DC321,IF($DD321="No",1,0))/
IF(DW321&gt;INT($N321),$N321-INT($N321),1))*
IF(EO$44=2,DW321,
IF(INT(DW321)=INT(DV321),0,DW321-INT(DW321)))))</f>
        <v>0</v>
      </c>
      <c r="EP321" s="835">
        <f>+IF(OR(DX321=DW321,EP$44=1),0,
IF(AND(EP$44&gt;1,DX321=$N321),1-SUM($EN321:EO321),
IF($N321&lt;=1,
IF($N321&gt;0,1/$N321,0),
IF(EP$44=2,0,VDB(1,0,$N321,INT(EP$44-2-1),MIN($N321,INT(EP$44-2-1)+1),$DC321,IF($DD321="No",1,0))/
IF(DW321&gt;=INT($N321),$N321-INT($N321),1)))*
IF(EP$44=2,0,
IF(INT(DX321)=INT(DW321),DX321-DW321,INT(DX321)-DW321))+
IF($N321&lt;=1,
IF($N321&gt;0,1/$N321,0),VDB(1,0,$N321,INT(EP$44-2),MIN($N321,INT(EP$44-2)+1),$DC321,IF($DD321="No",1,0))/
IF(DX321&gt;INT($N321),$N321-INT($N321),1))*
IF(EP$44=2,DX321,
IF(INT(DX321)=INT(DW321),0,DX321-INT(DX321)))))</f>
        <v>0</v>
      </c>
      <c r="EQ321" s="836">
        <f>+IF(OR(DY321=DX321,EQ$44=1),0,
IF(AND(EQ$44&gt;1,DY321=$N321),1-SUM($EN321:EP321),
IF($N321&lt;=1,
IF($N321&gt;0,1/$N321,0),
IF(EQ$44=2,0,VDB(1,0,$N321,INT(EQ$44-2-1),MIN($N321,INT(EQ$44-2-1)+1),$DC321,IF($DD321="No",1,0))/
IF(DX321&gt;=INT($N321),$N321-INT($N321),1)))*
IF(EQ$44=2,0,
IF(INT(DY321)=INT(DX321),DY321-DX321,INT(DY321)-DX321))+
IF($N321&lt;=1,
IF($N321&gt;0,1/$N321,0),VDB(1,0,$N321,INT(EQ$44-2),MIN($N321,INT(EQ$44-2)+1),$DC321,IF($DD321="No",1,0))/
IF(DY321&gt;INT($N321),$N321-INT($N321),1))*
IF(EQ$44=2,DY321,
IF(INT(DY321)=INT(DX321),0,DY321-INT(DY321)))))</f>
        <v>0</v>
      </c>
      <c r="ER321" s="834">
        <f>+IF(OR(DZ321=DY321,ER$44=1),0,
IF(AND(ER$44&gt;1,DZ321=$N321),1-SUM($EN321:EQ321),
IF($N321&lt;=1,
IF($N321&gt;0,1/$N321,0),
IF(ER$44=2,0,VDB(1,0,$N321,INT(ER$44-2-1),MIN($N321,INT(ER$44-2-1)+1),$DC321,IF($DD321="No",1,0))/
IF(DY321&gt;=INT($N321),$N321-INT($N321),1)))*
IF(ER$44=2,0,
IF(INT(DZ321)=INT(DY321),DZ321-DY321,INT(DZ321)-DY321))+
IF($N321&lt;=1,
IF($N321&gt;0,1/$N321,0),VDB(1,0,$N321,INT(ER$44-2),MIN($N321,INT(ER$44-2)+1),$DC321,IF($DD321="No",1,0))/
IF(DZ321&gt;INT($N321),$N321-INT($N321),1))*
IF(ER$44=2,DZ321,
IF(INT(DZ321)=INT(DY321),0,DZ321-INT(DZ321)))))</f>
        <v>0</v>
      </c>
      <c r="ES321" s="835">
        <f>+IF(OR(EA321=DZ321,ES$44=1),0,
IF(AND(ES$44&gt;1,EA321=$N321),1-SUM($EN321:ER321),
IF($N321&lt;=1,
IF($N321&gt;0,1/$N321,0),
IF(ES$44=2,0,VDB(1,0,$N321,INT(ES$44-2-1),MIN($N321,INT(ES$44-2-1)+1),$DC321,IF($DD321="No",1,0))/
IF(DZ321&gt;=INT($N321),$N321-INT($N321),1)))*
IF(ES$44=2,0,
IF(INT(EA321)=INT(DZ321),EA321-DZ321,INT(EA321)-DZ321))+
IF($N321&lt;=1,
IF($N321&gt;0,1/$N321,0),VDB(1,0,$N321,INT(ES$44-2),MIN($N321,INT(ES$44-2)+1),$DC321,IF($DD321="No",1,0))/
IF(EA321&gt;INT($N321),$N321-INT($N321),1))*
IF(ES$44=2,EA321,
IF(INT(EA321)=INT(DZ321),0,EA321-INT(EA321)))))</f>
        <v>0</v>
      </c>
      <c r="ET321" s="835">
        <f>+IF(OR(EB321=EA321,ET$44=1),0,
IF(AND(ET$44&gt;1,EB321=$N321),1-SUM($EN321:ES321),
IF($N321&lt;=1,
IF($N321&gt;0,1/$N321,0),
IF(ET$44=2,0,VDB(1,0,$N321,INT(ET$44-2-1),MIN($N321,INT(ET$44-2-1)+1),$DC321,IF($DD321="No",1,0))/
IF(EA321&gt;=INT($N321),$N321-INT($N321),1)))*
IF(ET$44=2,0,
IF(INT(EB321)=INT(EA321),EB321-EA321,INT(EB321)-EA321))+
IF($N321&lt;=1,
IF($N321&gt;0,1/$N321,0),VDB(1,0,$N321,INT(ET$44-2),MIN($N321,INT(ET$44-2)+1),$DC321,IF($DD321="No",1,0))/
IF(EB321&gt;INT($N321),$N321-INT($N321),1))*
IF(ET$44=2,EB321,
IF(INT(EB321)=INT(EA321),0,EB321-INT(EB321)))))</f>
        <v>0</v>
      </c>
      <c r="EU321" s="835">
        <f>+IF(OR(EC321=EB321,EU$44=1),0,
IF(AND(EU$44&gt;1,EC321=$N321),1-SUM($EN321:ET321),
IF($N321&lt;=1,
IF($N321&gt;0,1/$N321,0),
IF(EU$44=2,0,VDB(1,0,$N321,INT(EU$44-2-1),MIN($N321,INT(EU$44-2-1)+1),$DC321,IF($DD321="No",1,0))/
IF(EB321&gt;=INT($N321),$N321-INT($N321),1)))*
IF(EU$44=2,0,
IF(INT(EC321)=INT(EB321),EC321-EB321,INT(EC321)-EB321))+
IF($N321&lt;=1,
IF($N321&gt;0,1/$N321,0),VDB(1,0,$N321,INT(EU$44-2),MIN($N321,INT(EU$44-2)+1),$DC321,IF($DD321="No",1,0))/
IF(EC321&gt;INT($N321),$N321-INT($N321),1))*
IF(EU$44=2,EC321,
IF(INT(EC321)=INT(EB321),0,EC321-INT(EC321)))))</f>
        <v>0</v>
      </c>
      <c r="EV321" s="836">
        <f>+IF(OR(ED321=EC321,EV$44=1),0,
IF(AND(EV$44&gt;1,ED321=$N321),1-SUM($EN321:EU321),
IF($N321&lt;=1,
IF($N321&gt;0,1/$N321,0),
IF(EV$44=2,0,VDB(1,0,$N321,INT(EV$44-2-1),MIN($N321,INT(EV$44-2-1)+1),$DC321,IF($DD321="No",1,0))/
IF(EC321&gt;=INT($N321),$N321-INT($N321),1)))*
IF(EV$44=2,0,
IF(INT(ED321)=INT(EC321),ED321-EC321,INT(ED321)-EC321))+
IF($N321&lt;=1,
IF($N321&gt;0,1/$N321,0),VDB(1,0,$N321,INT(EV$44-2),MIN($N321,INT(EV$44-2)+1),$DC321,IF($DD321="No",1,0))/
IF(ED321&gt;INT($N321),$N321-INT($N321),1))*
IF(EV$44=2,ED321,
IF(INT(ED321)=INT(EC321),0,ED321-INT(ED321)))))</f>
        <v>0</v>
      </c>
      <c r="EW321" s="833"/>
      <c r="EX321" s="834">
        <f t="shared" ca="1" si="531"/>
        <v>0</v>
      </c>
      <c r="EY321" s="835">
        <f t="shared" ca="1" si="531"/>
        <v>0</v>
      </c>
      <c r="EZ321" s="836">
        <f t="shared" ca="1" si="531"/>
        <v>0</v>
      </c>
      <c r="FA321" s="834">
        <f t="shared" ca="1" si="531"/>
        <v>0</v>
      </c>
      <c r="FB321" s="835">
        <f t="shared" ca="1" si="531"/>
        <v>0</v>
      </c>
      <c r="FC321" s="835">
        <f t="shared" ca="1" si="531"/>
        <v>0</v>
      </c>
      <c r="FD321" s="835">
        <f t="shared" ca="1" si="531"/>
        <v>0</v>
      </c>
      <c r="FE321" s="836">
        <f t="shared" ca="1" si="531"/>
        <v>0</v>
      </c>
      <c r="FG321" s="386">
        <f t="shared" ca="1" si="521"/>
        <v>0</v>
      </c>
      <c r="FH321" s="387">
        <f t="shared" ca="1" si="522"/>
        <v>0</v>
      </c>
      <c r="FI321" s="388">
        <f t="shared" ca="1" si="523"/>
        <v>0</v>
      </c>
      <c r="FJ321" s="386">
        <f t="shared" ca="1" si="524"/>
        <v>0</v>
      </c>
      <c r="FK321" s="387">
        <f t="shared" ca="1" si="525"/>
        <v>0</v>
      </c>
      <c r="FL321" s="387">
        <f t="shared" ca="1" si="526"/>
        <v>0</v>
      </c>
      <c r="FM321" s="387">
        <f t="shared" ca="1" si="527"/>
        <v>0</v>
      </c>
      <c r="FN321" s="388">
        <f t="shared" ca="1" si="528"/>
        <v>0</v>
      </c>
      <c r="FR321" s="116"/>
    </row>
    <row r="322" spans="2:174">
      <c r="B322" s="1410">
        <f t="shared" si="556"/>
        <v>276</v>
      </c>
      <c r="C322" s="400"/>
      <c r="D322" s="410"/>
      <c r="E322" s="402"/>
      <c r="F322" s="402"/>
      <c r="G322" s="400"/>
      <c r="H322" s="2088"/>
      <c r="I322" s="2089"/>
      <c r="J322" s="411"/>
      <c r="K322" s="403"/>
      <c r="L322" s="403"/>
      <c r="M322" s="403"/>
      <c r="N322" s="403"/>
      <c r="O322" s="347"/>
      <c r="P322" s="347"/>
      <c r="Q322" s="1021"/>
      <c r="R322" s="1022"/>
      <c r="S322" s="1022"/>
      <c r="T322" s="1022"/>
      <c r="U322" s="1023"/>
      <c r="V322" s="1021"/>
      <c r="W322" s="1022"/>
      <c r="X322" s="1022"/>
      <c r="Y322" s="1022"/>
      <c r="Z322" s="1023"/>
      <c r="AA322" s="1024"/>
      <c r="AB322" s="1021"/>
      <c r="AC322" s="1022"/>
      <c r="AD322" s="1022"/>
      <c r="AE322" s="1022"/>
      <c r="AF322" s="1023"/>
      <c r="AG322" s="1021"/>
      <c r="AH322" s="1022"/>
      <c r="AI322" s="1022"/>
      <c r="AJ322" s="1022"/>
      <c r="AK322" s="1023"/>
      <c r="AL322" s="1024"/>
      <c r="AM322" s="1021"/>
      <c r="AN322" s="1022"/>
      <c r="AO322" s="1022"/>
      <c r="AP322" s="1022"/>
      <c r="AQ322" s="1023"/>
      <c r="AR322" s="1021"/>
      <c r="AS322" s="1022"/>
      <c r="AT322" s="1022"/>
      <c r="AU322" s="1022"/>
      <c r="AV322" s="1023"/>
      <c r="AW322" s="1025"/>
      <c r="AX322" s="1282">
        <f t="shared" si="532"/>
        <v>0</v>
      </c>
      <c r="AY322" s="387">
        <f t="shared" si="533"/>
        <v>0</v>
      </c>
      <c r="AZ322" s="387">
        <f t="shared" si="534"/>
        <v>0</v>
      </c>
      <c r="BA322" s="387">
        <f t="shared" si="535"/>
        <v>0</v>
      </c>
      <c r="BB322" s="1283">
        <f t="shared" si="536"/>
        <v>0</v>
      </c>
      <c r="BC322" s="386">
        <f t="shared" si="537"/>
        <v>0</v>
      </c>
      <c r="BD322" s="387">
        <f t="shared" si="538"/>
        <v>0</v>
      </c>
      <c r="BE322" s="1277">
        <f t="shared" si="539"/>
        <v>0</v>
      </c>
      <c r="BF322" s="1277">
        <f t="shared" si="539"/>
        <v>0</v>
      </c>
      <c r="BG322" s="388">
        <f t="shared" si="539"/>
        <v>0</v>
      </c>
      <c r="BH322" s="1025"/>
      <c r="BI322" s="1282">
        <f t="shared" ca="1" si="540"/>
        <v>0</v>
      </c>
      <c r="BJ322" s="387">
        <f t="shared" ca="1" si="541"/>
        <v>0</v>
      </c>
      <c r="BK322" s="387">
        <f t="shared" ca="1" si="542"/>
        <v>0</v>
      </c>
      <c r="BL322" s="387">
        <f t="shared" ca="1" si="543"/>
        <v>0</v>
      </c>
      <c r="BM322" s="1283">
        <f t="shared" ca="1" si="544"/>
        <v>0</v>
      </c>
      <c r="BN322" s="386">
        <f t="shared" ca="1" si="545"/>
        <v>0</v>
      </c>
      <c r="BO322" s="387">
        <f t="shared" ca="1" si="545"/>
        <v>0</v>
      </c>
      <c r="BP322" s="1277">
        <f t="shared" ca="1" si="545"/>
        <v>0</v>
      </c>
      <c r="BQ322" s="1277">
        <f t="shared" ca="1" si="545"/>
        <v>0</v>
      </c>
      <c r="BR322" s="388">
        <f t="shared" ca="1" si="545"/>
        <v>0</v>
      </c>
      <c r="BS322" s="1025"/>
      <c r="BT322" s="1282">
        <f>+IF($K322="Ongoing",AX322,IF(RIGHT($K322,2)=RIGHT(BT$43,2),SUM($AX322:AX322),0)+IF(RIGHT(BT$43,2)&gt;RIGHT($K322,2),AX322,0))</f>
        <v>0</v>
      </c>
      <c r="BU322" s="387">
        <f>+IF($K322="Ongoing",AY322,IF(RIGHT($K322,2)=RIGHT(BU$43,2),SUM($AX322:AY322),0)+IF(RIGHT(BU$43,2)&gt;RIGHT($K322,2),AY322,0))</f>
        <v>0</v>
      </c>
      <c r="BV322" s="387">
        <f>+IF($K322="Ongoing",AZ322,IF(RIGHT($K322,2)=RIGHT(BV$43,2),SUM($AX322:AZ322),0)+IF(RIGHT(BV$43,2)&gt;RIGHT($K322,2),AZ322,0))</f>
        <v>0</v>
      </c>
      <c r="BW322" s="387">
        <f>+IF($K322="Ongoing",BA322,IF(RIGHT($K322,2)=RIGHT(BW$43,2),SUM($AX322:BA322),0)+IF(RIGHT(BW$43,2)&gt;RIGHT($K322,2),BA322,0))</f>
        <v>0</v>
      </c>
      <c r="BX322" s="1283">
        <f>+IF($K322="Ongoing",BB322,IF(RIGHT($K322,2)=RIGHT(BX$43,2),SUM($AX322:BB322),0)+IF(RIGHT(BX$43,2)&gt;RIGHT($K322,2),BB322,0))</f>
        <v>0</v>
      </c>
      <c r="BY322" s="386">
        <f>+IF($K322="Ongoing",BC322,IF(RIGHT($K322,2)=RIGHT(BY$43,2),SUM($AX322:BC322),0)+IF(RIGHT(BY$43,2)&gt;RIGHT($K322,2),BC322,0))</f>
        <v>0</v>
      </c>
      <c r="BZ322" s="387">
        <f>+IF($K322="Ongoing",BD322,IF(RIGHT($K322,2)=RIGHT(BZ$43,2),SUM($AX322:BD322),0)+IF(RIGHT(BZ$43,2)&gt;RIGHT($K322,2),BD322,0))</f>
        <v>0</v>
      </c>
      <c r="CA322" s="1277">
        <f>+IF($K322="Ongoing",BE322,IF(RIGHT($K322,2)=RIGHT(CA$43,2),SUM($AX322:BE322),0)+IF(RIGHT(CA$43,2)&gt;RIGHT($K322,2),BE322,0))</f>
        <v>0</v>
      </c>
      <c r="CB322" s="1277">
        <f>+IF($K322="Ongoing",BF322,IF(RIGHT($K322,2)=RIGHT(CB$43,2),SUM($AX322:BF322),0)+IF(RIGHT(CB$43,2)&gt;RIGHT($K322,2),BF322,0))</f>
        <v>0</v>
      </c>
      <c r="CC322" s="388">
        <f>+IF($K322="Ongoing",BG322,IF(RIGHT($K322,2)=RIGHT(CC$43,2),SUM($AX322:BG322),0)+IF(RIGHT(CC$43,2)&gt;RIGHT($K322,2),BG322,0))</f>
        <v>0</v>
      </c>
      <c r="CD322" s="1025"/>
      <c r="CE322" s="1282">
        <f>+Q322*KeyAssumptionsPriceControl_FO!AF$15</f>
        <v>0</v>
      </c>
      <c r="CF322" s="387">
        <f>+R322*KeyAssumptionsPriceControl_FO!AG$15</f>
        <v>0</v>
      </c>
      <c r="CG322" s="387">
        <f>+S322*KeyAssumptionsPriceControl_FO!AH$15</f>
        <v>0</v>
      </c>
      <c r="CH322" s="387">
        <f>+T322*KeyAssumptionsPriceControl_FO!AI$15</f>
        <v>0</v>
      </c>
      <c r="CI322" s="1283">
        <f>+U322*KeyAssumptionsPriceControl_FO!AJ$15</f>
        <v>0</v>
      </c>
      <c r="CJ322" s="386">
        <f>+V322*KeyAssumptionsPriceControl_FO!AK$15</f>
        <v>0</v>
      </c>
      <c r="CK322" s="387">
        <f>+W322*KeyAssumptionsPriceControl_FO!AL$15</f>
        <v>0</v>
      </c>
      <c r="CL322" s="1277">
        <f>+X322*KeyAssumptionsPriceControl_FO!AM$15</f>
        <v>0</v>
      </c>
      <c r="CM322" s="1277">
        <f>+Y322*KeyAssumptionsPriceControl_FO!AN$15</f>
        <v>0</v>
      </c>
      <c r="CN322" s="388">
        <f>+Z322*KeyAssumptionsPriceControl_FO!AO$15</f>
        <v>0</v>
      </c>
      <c r="CO322" s="1025"/>
      <c r="CP322" s="1282">
        <f t="shared" ca="1" si="546"/>
        <v>0</v>
      </c>
      <c r="CQ322" s="387">
        <f t="shared" ca="1" si="547"/>
        <v>0</v>
      </c>
      <c r="CR322" s="387">
        <f t="shared" ca="1" si="548"/>
        <v>0</v>
      </c>
      <c r="CS322" s="387">
        <f t="shared" ca="1" si="549"/>
        <v>0</v>
      </c>
      <c r="CT322" s="1283">
        <f t="shared" ca="1" si="550"/>
        <v>0</v>
      </c>
      <c r="CU322" s="386">
        <f t="shared" ca="1" si="551"/>
        <v>0</v>
      </c>
      <c r="CV322" s="387">
        <f t="shared" ca="1" si="552"/>
        <v>0</v>
      </c>
      <c r="CW322" s="1277">
        <f t="shared" ca="1" si="553"/>
        <v>0</v>
      </c>
      <c r="CX322" s="1277">
        <f t="shared" ca="1" si="554"/>
        <v>0</v>
      </c>
      <c r="CY322" s="388">
        <f t="shared" ca="1" si="555"/>
        <v>0</v>
      </c>
      <c r="CZ322" s="347"/>
      <c r="DA322" s="852"/>
      <c r="DB322" s="347"/>
      <c r="DC322" s="1012" t="s">
        <v>517</v>
      </c>
      <c r="DD322" s="841" t="s">
        <v>518</v>
      </c>
      <c r="DE322" s="386">
        <f>+IF($K322="ongoing",CE322,IF(RIGHT($K322,2)=RIGHT(DE$43,2),SUM($CD322:CE322),0)+IF(RIGHT(DE$43,2)&gt;RIGHT($K322,2),CE322,0))</f>
        <v>0</v>
      </c>
      <c r="DF322" s="387">
        <f>+IF($K322="ongoing",CF322,IF(RIGHT($K322,2)=RIGHT(DF$43,2),SUM($CD322:CF322),0)+IF(RIGHT(DF$43,2)&gt;RIGHT($K322,2),CF322,0))</f>
        <v>0</v>
      </c>
      <c r="DG322" s="388">
        <f>+IF($K322="ongoing",CG322,IF(RIGHT($K322,2)=RIGHT(DG$43,2),SUM($CD322:CG322),0)+IF(RIGHT(DG$43,2)&gt;RIGHT($K322,2),CG322,0))</f>
        <v>0</v>
      </c>
      <c r="DH322" s="386">
        <f>+IF($K322="ongoing",CH322,IF(RIGHT($K322,2)=RIGHT(DH$43,2),SUM($CD322:CH322),0)+IF(RIGHT(DH$43,2)&gt;RIGHT($K322,2),CH322,0))</f>
        <v>0</v>
      </c>
      <c r="DI322" s="387">
        <f>+IF($K322="ongoing",CI322,IF(RIGHT($K322,2)=RIGHT(DI$43,2),SUM($CD322:CI322),0)+IF(RIGHT(DI$43,2)&gt;RIGHT($K322,2),CI322,0))</f>
        <v>0</v>
      </c>
      <c r="DJ322" s="387">
        <f>+IF($K322="ongoing",CJ322,IF(RIGHT($K322,2)=RIGHT(DJ$43,2),SUM($CD322:CJ322),0)+IF(RIGHT(DJ$43,2)&gt;RIGHT($K322,2),CJ322,0))</f>
        <v>0</v>
      </c>
      <c r="DK322" s="387">
        <f>+IF($K322="ongoing",CK322,IF(RIGHT($K322,2)=RIGHT(DK$43,2),SUM($CD322:CK322),0)+IF(RIGHT(DK$43,2)&gt;RIGHT($K322,2),CK322,0))</f>
        <v>0</v>
      </c>
      <c r="DL322" s="388">
        <f>+IF($K322="ongoing",CN322,IF(RIGHT($K322,2)=RIGHT(DL$43,2),SUM($CD322:CN322),0)+IF(RIGHT(DL$43,2)&gt;RIGHT($K322,2),CN322,0))</f>
        <v>0</v>
      </c>
      <c r="DM322" s="841"/>
      <c r="DN322" s="386">
        <f t="shared" ref="DN322:DU331" si="557">+MIN(IF($N322&lt;=$DC322,MIN($N322,1),$N322),IF(DN$44=1,0.5,DM322+1))</f>
        <v>0.5</v>
      </c>
      <c r="DO322" s="387">
        <f t="shared" si="557"/>
        <v>1</v>
      </c>
      <c r="DP322" s="388">
        <f t="shared" si="557"/>
        <v>1</v>
      </c>
      <c r="DQ322" s="386">
        <f t="shared" si="557"/>
        <v>1</v>
      </c>
      <c r="DR322" s="387">
        <f t="shared" si="557"/>
        <v>1</v>
      </c>
      <c r="DS322" s="387">
        <f t="shared" si="557"/>
        <v>1</v>
      </c>
      <c r="DT322" s="387">
        <f t="shared" si="557"/>
        <v>1</v>
      </c>
      <c r="DU322" s="388">
        <f t="shared" si="557"/>
        <v>1</v>
      </c>
      <c r="DW322" s="386">
        <f t="shared" ref="DW322:ED331" si="558">+IF(DW$44=1,0,MIN(IF($N322&lt;=$DC322,MIN($N322,1),$N322),IF(DW$44=2,0.5,DV322+1)))</f>
        <v>0</v>
      </c>
      <c r="DX322" s="387">
        <f t="shared" si="558"/>
        <v>0.5</v>
      </c>
      <c r="DY322" s="388">
        <f t="shared" si="558"/>
        <v>1</v>
      </c>
      <c r="DZ322" s="386">
        <f t="shared" si="558"/>
        <v>1</v>
      </c>
      <c r="EA322" s="387">
        <f t="shared" si="558"/>
        <v>1</v>
      </c>
      <c r="EB322" s="387">
        <f t="shared" si="558"/>
        <v>1</v>
      </c>
      <c r="EC322" s="387">
        <f t="shared" si="558"/>
        <v>1</v>
      </c>
      <c r="ED322" s="388">
        <f t="shared" si="558"/>
        <v>1</v>
      </c>
      <c r="EF322" s="834">
        <f>+IF(DN322=DM322,0,
IF(AND(EF$44&gt;1,DN322=$N322),1-SUM($EE322:EE322),
IF($N322&lt;=1,
IF($N322&gt;0,1/$N322,0),
IF(EF$44=1,0,VDB(1,0,$N322,INT(EF$44-1-1),MIN($N322,INT(EF$44-1-1)+1),$DC322,IF($DD322="No",1,0))/
IF(DM322&gt;=INT($N322),$N322-INT($N322),1)))*
IF(EF$44=1,0,
IF(INT(DN322)=INT(DM322),DN322-DM322,INT(DN322)-DM322))+
IF($N322&lt;=1,
IF($N322&gt;0,1/$N322,0),VDB(1,0,$N322,INT(EF$44-1),MIN($N322,INT(EF$44-1)+1),$DC322,IF($DD322="No",1,0))/
IF(DN322&gt;INT($N322),$N322-INT($N322),1))*
IF(EF$44=1,DN322,
IF(INT(DN322)=INT(DM322),0,DN322-INT(DN322)))))</f>
        <v>0</v>
      </c>
      <c r="EG322" s="835">
        <f>+IF(DO322=DN322,0,
IF(AND(EG$44&gt;1,DO322=$N322),1-SUM($EE322:EF322),
IF($N322&lt;=1,
IF($N322&gt;0,1/$N322,0),
IF(EG$44=1,0,VDB(1,0,$N322,INT(EG$44-1-1),MIN($N322,INT(EG$44-1-1)+1),$DC322,IF($DD322="No",1,0))/
IF(DN322&gt;=INT($N322),$N322-INT($N322),1)))*
IF(EG$44=1,0,
IF(INT(DO322)=INT(DN322),DO322-DN322,INT(DO322)-DN322))+
IF($N322&lt;=1,
IF($N322&gt;0,1/$N322,0),VDB(1,0,$N322,INT(EG$44-1),MIN($N322,INT(EG$44-1)+1),$DC322,IF($DD322="No",1,0))/
IF(DO322&gt;INT($N322),$N322-INT($N322),1))*
IF(EG$44=1,DO322,
IF(INT(DO322)=INT(DN322),0,DO322-INT(DO322)))))</f>
        <v>0</v>
      </c>
      <c r="EH322" s="836">
        <f>+IF(DP322=DO322,0,
IF(AND(EH$44&gt;1,DP322=$N322),1-SUM($EE322:EG322),
IF($N322&lt;=1,
IF($N322&gt;0,1/$N322,0),
IF(EH$44=1,0,VDB(1,0,$N322,INT(EH$44-1-1),MIN($N322,INT(EH$44-1-1)+1),$DC322,IF($DD322="No",1,0))/
IF(DO322&gt;=INT($N322),$N322-INT($N322),1)))*
IF(EH$44=1,0,
IF(INT(DP322)=INT(DO322),DP322-DO322,INT(DP322)-DO322))+
IF($N322&lt;=1,
IF($N322&gt;0,1/$N322,0),VDB(1,0,$N322,INT(EH$44-1),MIN($N322,INT(EH$44-1)+1),$DC322,IF($DD322="No",1,0))/
IF(DP322&gt;INT($N322),$N322-INT($N322),1))*
IF(EH$44=1,DP322,
IF(INT(DP322)=INT(DO322),0,DP322-INT(DP322)))))</f>
        <v>0</v>
      </c>
      <c r="EI322" s="834">
        <f>+IF(DQ322=DP322,0,
IF(AND(EI$44&gt;1,DQ322=$N322),1-SUM($EE322:EH322),
IF($N322&lt;=1,
IF($N322&gt;0,1/$N322,0),
IF(EI$44=1,0,VDB(1,0,$N322,INT(EI$44-1-1),MIN($N322,INT(EI$44-1-1)+1),$DC322,IF($DD322="No",1,0))/
IF(DP322&gt;=INT($N322),$N322-INT($N322),1)))*
IF(EI$44=1,0,
IF(INT(DQ322)=INT(DP322),DQ322-DP322,INT(DQ322)-DP322))+
IF($N322&lt;=1,
IF($N322&gt;0,1/$N322,0),VDB(1,0,$N322,INT(EI$44-1),MIN($N322,INT(EI$44-1)+1),$DC322,IF($DD322="No",1,0))/
IF(DQ322&gt;INT($N322),$N322-INT($N322),1))*
IF(EI$44=1,DQ322,
IF(INT(DQ322)=INT(DP322),0,DQ322-INT(DQ322)))))</f>
        <v>0</v>
      </c>
      <c r="EJ322" s="835">
        <f>+IF(DR322=DQ322,0,
IF(AND(EJ$44&gt;1,DR322=$N322),1-SUM($EE322:EI322),
IF($N322&lt;=1,
IF($N322&gt;0,1/$N322,0),
IF(EJ$44=1,0,VDB(1,0,$N322,INT(EJ$44-1-1),MIN($N322,INT(EJ$44-1-1)+1),$DC322,IF($DD322="No",1,0))/
IF(DQ322&gt;=INT($N322),$N322-INT($N322),1)))*
IF(EJ$44=1,0,
IF(INT(DR322)=INT(DQ322),DR322-DQ322,INT(DR322)-DQ322))+
IF($N322&lt;=1,
IF($N322&gt;0,1/$N322,0),VDB(1,0,$N322,INT(EJ$44-1),MIN($N322,INT(EJ$44-1)+1),$DC322,IF($DD322="No",1,0))/
IF(DR322&gt;INT($N322),$N322-INT($N322),1))*
IF(EJ$44=1,DR322,
IF(INT(DR322)=INT(DQ322),0,DR322-INT(DR322)))))</f>
        <v>0</v>
      </c>
      <c r="EK322" s="835">
        <f>+IF(DS322=DR322,0,
IF(AND(EK$44&gt;1,DS322=$N322),1-SUM($EE322:EJ322),
IF($N322&lt;=1,
IF($N322&gt;0,1/$N322,0),
IF(EK$44=1,0,VDB(1,0,$N322,INT(EK$44-1-1),MIN($N322,INT(EK$44-1-1)+1),$DC322,IF($DD322="No",1,0))/
IF(DR322&gt;=INT($N322),$N322-INT($N322),1)))*
IF(EK$44=1,0,
IF(INT(DS322)=INT(DR322),DS322-DR322,INT(DS322)-DR322))+
IF($N322&lt;=1,
IF($N322&gt;0,1/$N322,0),VDB(1,0,$N322,INT(EK$44-1),MIN($N322,INT(EK$44-1)+1),$DC322,IF($DD322="No",1,0))/
IF(DS322&gt;INT($N322),$N322-INT($N322),1))*
IF(EK$44=1,DS322,
IF(INT(DS322)=INT(DR322),0,DS322-INT(DS322)))))</f>
        <v>0</v>
      </c>
      <c r="EL322" s="835">
        <f>+IF(DT322=DS322,0,
IF(AND(EL$44&gt;1,DT322=$N322),1-SUM($EE322:EK322),
IF($N322&lt;=1,
IF($N322&gt;0,1/$N322,0),
IF(EL$44=1,0,VDB(1,0,$N322,INT(EL$44-1-1),MIN($N322,INT(EL$44-1-1)+1),$DC322,IF($DD322="No",1,0))/
IF(DS322&gt;=INT($N322),$N322-INT($N322),1)))*
IF(EL$44=1,0,
IF(INT(DT322)=INT(DS322),DT322-DS322,INT(DT322)-DS322))+
IF($N322&lt;=1,
IF($N322&gt;0,1/$N322,0),VDB(1,0,$N322,INT(EL$44-1),MIN($N322,INT(EL$44-1)+1),$DC322,IF($DD322="No",1,0))/
IF(DT322&gt;INT($N322),$N322-INT($N322),1))*
IF(EL$44=1,DT322,
IF(INT(DT322)=INT(DS322),0,DT322-INT(DT322)))))</f>
        <v>0</v>
      </c>
      <c r="EM322" s="836">
        <f>+IF(DU322=DT322,0,
IF(AND(EM$44&gt;1,DU322=$N322),1-SUM($EE322:EL322),
IF($N322&lt;=1,
IF($N322&gt;0,1/$N322,0),
IF(EM$44=1,0,VDB(1,0,$N322,INT(EM$44-1-1),MIN($N322,INT(EM$44-1-1)+1),$DC322,IF($DD322="No",1,0))/
IF(DT322&gt;=INT($N322),$N322-INT($N322),1)))*
IF(EM$44=1,0,
IF(INT(DU322)=INT(DT322),DU322-DT322,INT(DU322)-DT322))+
IF($N322&lt;=1,
IF($N322&gt;0,1/$N322,0),VDB(1,0,$N322,INT(EM$44-1),MIN($N322,INT(EM$44-1)+1),$DC322,IF($DD322="No",1,0))/
IF(DU322&gt;INT($N322),$N322-INT($N322),1))*
IF(EM$44=1,DU322,
IF(INT(DU322)=INT(DT322),0,DU322-INT(DU322)))))</f>
        <v>0</v>
      </c>
      <c r="EN322" s="833"/>
      <c r="EO322" s="834">
        <f>+IF(OR(DW322=DV322,EO$44=1),0,
IF(AND(EO$44&gt;1,DW322=$N322),1-SUM($EN322:EN322),
IF($N322&lt;=1,
IF($N322&gt;0,1/$N322,0),
IF(EO$44=2,0,VDB(1,0,$N322,INT(EO$44-2-1),MIN($N322,INT(EO$44-2-1)+1),$DC322,IF($DD322="No",1,0))/
IF(DV322&gt;=INT($N322),$N322-INT($N322),1)))*
IF(EO$44=2,0,
IF(INT(DW322)=INT(DV322),DW322-DV322,INT(DW322)-DV322))+
IF($N322&lt;=1,
IF($N322&gt;0,1/$N322,0),VDB(1,0,$N322,INT(EO$44-2),MIN($N322,INT(EO$44-2)+1),$DC322,IF($DD322="No",1,0))/
IF(DW322&gt;INT($N322),$N322-INT($N322),1))*
IF(EO$44=2,DW322,
IF(INT(DW322)=INT(DV322),0,DW322-INT(DW322)))))</f>
        <v>0</v>
      </c>
      <c r="EP322" s="835">
        <f>+IF(OR(DX322=DW322,EP$44=1),0,
IF(AND(EP$44&gt;1,DX322=$N322),1-SUM($EN322:EO322),
IF($N322&lt;=1,
IF($N322&gt;0,1/$N322,0),
IF(EP$44=2,0,VDB(1,0,$N322,INT(EP$44-2-1),MIN($N322,INT(EP$44-2-1)+1),$DC322,IF($DD322="No",1,0))/
IF(DW322&gt;=INT($N322),$N322-INT($N322),1)))*
IF(EP$44=2,0,
IF(INT(DX322)=INT(DW322),DX322-DW322,INT(DX322)-DW322))+
IF($N322&lt;=1,
IF($N322&gt;0,1/$N322,0),VDB(1,0,$N322,INT(EP$44-2),MIN($N322,INT(EP$44-2)+1),$DC322,IF($DD322="No",1,0))/
IF(DX322&gt;INT($N322),$N322-INT($N322),1))*
IF(EP$44=2,DX322,
IF(INT(DX322)=INT(DW322),0,DX322-INT(DX322)))))</f>
        <v>0</v>
      </c>
      <c r="EQ322" s="836">
        <f>+IF(OR(DY322=DX322,EQ$44=1),0,
IF(AND(EQ$44&gt;1,DY322=$N322),1-SUM($EN322:EP322),
IF($N322&lt;=1,
IF($N322&gt;0,1/$N322,0),
IF(EQ$44=2,0,VDB(1,0,$N322,INT(EQ$44-2-1),MIN($N322,INT(EQ$44-2-1)+1),$DC322,IF($DD322="No",1,0))/
IF(DX322&gt;=INT($N322),$N322-INT($N322),1)))*
IF(EQ$44=2,0,
IF(INT(DY322)=INT(DX322),DY322-DX322,INT(DY322)-DX322))+
IF($N322&lt;=1,
IF($N322&gt;0,1/$N322,0),VDB(1,0,$N322,INT(EQ$44-2),MIN($N322,INT(EQ$44-2)+1),$DC322,IF($DD322="No",1,0))/
IF(DY322&gt;INT($N322),$N322-INT($N322),1))*
IF(EQ$44=2,DY322,
IF(INT(DY322)=INT(DX322),0,DY322-INT(DY322)))))</f>
        <v>0</v>
      </c>
      <c r="ER322" s="834">
        <f>+IF(OR(DZ322=DY322,ER$44=1),0,
IF(AND(ER$44&gt;1,DZ322=$N322),1-SUM($EN322:EQ322),
IF($N322&lt;=1,
IF($N322&gt;0,1/$N322,0),
IF(ER$44=2,0,VDB(1,0,$N322,INT(ER$44-2-1),MIN($N322,INT(ER$44-2-1)+1),$DC322,IF($DD322="No",1,0))/
IF(DY322&gt;=INT($N322),$N322-INT($N322),1)))*
IF(ER$44=2,0,
IF(INT(DZ322)=INT(DY322),DZ322-DY322,INT(DZ322)-DY322))+
IF($N322&lt;=1,
IF($N322&gt;0,1/$N322,0),VDB(1,0,$N322,INT(ER$44-2),MIN($N322,INT(ER$44-2)+1),$DC322,IF($DD322="No",1,0))/
IF(DZ322&gt;INT($N322),$N322-INT($N322),1))*
IF(ER$44=2,DZ322,
IF(INT(DZ322)=INT(DY322),0,DZ322-INT(DZ322)))))</f>
        <v>0</v>
      </c>
      <c r="ES322" s="835">
        <f>+IF(OR(EA322=DZ322,ES$44=1),0,
IF(AND(ES$44&gt;1,EA322=$N322),1-SUM($EN322:ER322),
IF($N322&lt;=1,
IF($N322&gt;0,1/$N322,0),
IF(ES$44=2,0,VDB(1,0,$N322,INT(ES$44-2-1),MIN($N322,INT(ES$44-2-1)+1),$DC322,IF($DD322="No",1,0))/
IF(DZ322&gt;=INT($N322),$N322-INT($N322),1)))*
IF(ES$44=2,0,
IF(INT(EA322)=INT(DZ322),EA322-DZ322,INT(EA322)-DZ322))+
IF($N322&lt;=1,
IF($N322&gt;0,1/$N322,0),VDB(1,0,$N322,INT(ES$44-2),MIN($N322,INT(ES$44-2)+1),$DC322,IF($DD322="No",1,0))/
IF(EA322&gt;INT($N322),$N322-INT($N322),1))*
IF(ES$44=2,EA322,
IF(INT(EA322)=INT(DZ322),0,EA322-INT(EA322)))))</f>
        <v>0</v>
      </c>
      <c r="ET322" s="835">
        <f>+IF(OR(EB322=EA322,ET$44=1),0,
IF(AND(ET$44&gt;1,EB322=$N322),1-SUM($EN322:ES322),
IF($N322&lt;=1,
IF($N322&gt;0,1/$N322,0),
IF(ET$44=2,0,VDB(1,0,$N322,INT(ET$44-2-1),MIN($N322,INT(ET$44-2-1)+1),$DC322,IF($DD322="No",1,0))/
IF(EA322&gt;=INT($N322),$N322-INT($N322),1)))*
IF(ET$44=2,0,
IF(INT(EB322)=INT(EA322),EB322-EA322,INT(EB322)-EA322))+
IF($N322&lt;=1,
IF($N322&gt;0,1/$N322,0),VDB(1,0,$N322,INT(ET$44-2),MIN($N322,INT(ET$44-2)+1),$DC322,IF($DD322="No",1,0))/
IF(EB322&gt;INT($N322),$N322-INT($N322),1))*
IF(ET$44=2,EB322,
IF(INT(EB322)=INT(EA322),0,EB322-INT(EB322)))))</f>
        <v>0</v>
      </c>
      <c r="EU322" s="835">
        <f>+IF(OR(EC322=EB322,EU$44=1),0,
IF(AND(EU$44&gt;1,EC322=$N322),1-SUM($EN322:ET322),
IF($N322&lt;=1,
IF($N322&gt;0,1/$N322,0),
IF(EU$44=2,0,VDB(1,0,$N322,INT(EU$44-2-1),MIN($N322,INT(EU$44-2-1)+1),$DC322,IF($DD322="No",1,0))/
IF(EB322&gt;=INT($N322),$N322-INT($N322),1)))*
IF(EU$44=2,0,
IF(INT(EC322)=INT(EB322),EC322-EB322,INT(EC322)-EB322))+
IF($N322&lt;=1,
IF($N322&gt;0,1/$N322,0),VDB(1,0,$N322,INT(EU$44-2),MIN($N322,INT(EU$44-2)+1),$DC322,IF($DD322="No",1,0))/
IF(EC322&gt;INT($N322),$N322-INT($N322),1))*
IF(EU$44=2,EC322,
IF(INT(EC322)=INT(EB322),0,EC322-INT(EC322)))))</f>
        <v>0</v>
      </c>
      <c r="EV322" s="836">
        <f>+IF(OR(ED322=EC322,EV$44=1),0,
IF(AND(EV$44&gt;1,ED322=$N322),1-SUM($EN322:EU322),
IF($N322&lt;=1,
IF($N322&gt;0,1/$N322,0),
IF(EV$44=2,0,VDB(1,0,$N322,INT(EV$44-2-1),MIN($N322,INT(EV$44-2-1)+1),$DC322,IF($DD322="No",1,0))/
IF(EC322&gt;=INT($N322),$N322-INT($N322),1)))*
IF(EV$44=2,0,
IF(INT(ED322)=INT(EC322),ED322-EC322,INT(ED322)-EC322))+
IF($N322&lt;=1,
IF($N322&gt;0,1/$N322,0),VDB(1,0,$N322,INT(EV$44-2),MIN($N322,INT(EV$44-2)+1),$DC322,IF($DD322="No",1,0))/
IF(ED322&gt;INT($N322),$N322-INT($N322),1))*
IF(EV$44=2,ED322,
IF(INT(ED322)=INT(EC322),0,ED322-INT(ED322)))))</f>
        <v>0</v>
      </c>
      <c r="EW322" s="833"/>
      <c r="EX322" s="834">
        <f t="shared" ref="EX322:FE331" ca="1" si="559">+OFFSET($EO322,0,MAX($EX$44:$HY$44)-EX$44)</f>
        <v>0</v>
      </c>
      <c r="EY322" s="835">
        <f t="shared" ca="1" si="559"/>
        <v>0</v>
      </c>
      <c r="EZ322" s="836">
        <f t="shared" ca="1" si="559"/>
        <v>0</v>
      </c>
      <c r="FA322" s="834">
        <f t="shared" ca="1" si="559"/>
        <v>0</v>
      </c>
      <c r="FB322" s="835">
        <f t="shared" ca="1" si="559"/>
        <v>0</v>
      </c>
      <c r="FC322" s="835">
        <f t="shared" ca="1" si="559"/>
        <v>0</v>
      </c>
      <c r="FD322" s="835">
        <f t="shared" ca="1" si="559"/>
        <v>0</v>
      </c>
      <c r="FE322" s="836">
        <f t="shared" ca="1" si="559"/>
        <v>0</v>
      </c>
      <c r="FG322" s="386">
        <f t="shared" ca="1" si="521"/>
        <v>0</v>
      </c>
      <c r="FH322" s="387">
        <f t="shared" ca="1" si="522"/>
        <v>0</v>
      </c>
      <c r="FI322" s="388">
        <f t="shared" ca="1" si="523"/>
        <v>0</v>
      </c>
      <c r="FJ322" s="386">
        <f t="shared" ca="1" si="524"/>
        <v>0</v>
      </c>
      <c r="FK322" s="387">
        <f t="shared" ca="1" si="525"/>
        <v>0</v>
      </c>
      <c r="FL322" s="387">
        <f t="shared" ca="1" si="526"/>
        <v>0</v>
      </c>
      <c r="FM322" s="387">
        <f t="shared" ca="1" si="527"/>
        <v>0</v>
      </c>
      <c r="FN322" s="388">
        <f t="shared" ca="1" si="528"/>
        <v>0</v>
      </c>
      <c r="FR322" s="116"/>
    </row>
    <row r="323" spans="2:174">
      <c r="B323" s="1410">
        <f t="shared" si="556"/>
        <v>277</v>
      </c>
      <c r="C323" s="400"/>
      <c r="D323" s="410"/>
      <c r="E323" s="402"/>
      <c r="F323" s="402"/>
      <c r="G323" s="400"/>
      <c r="H323" s="2088"/>
      <c r="I323" s="2089"/>
      <c r="J323" s="411"/>
      <c r="K323" s="403"/>
      <c r="L323" s="403"/>
      <c r="M323" s="403"/>
      <c r="N323" s="403"/>
      <c r="O323" s="347"/>
      <c r="P323" s="347"/>
      <c r="Q323" s="1021"/>
      <c r="R323" s="1022"/>
      <c r="S323" s="1022"/>
      <c r="T323" s="1022"/>
      <c r="U323" s="1023"/>
      <c r="V323" s="1021"/>
      <c r="W323" s="1022"/>
      <c r="X323" s="1022"/>
      <c r="Y323" s="1022"/>
      <c r="Z323" s="1023"/>
      <c r="AA323" s="1024"/>
      <c r="AB323" s="1021"/>
      <c r="AC323" s="1022"/>
      <c r="AD323" s="1022"/>
      <c r="AE323" s="1022"/>
      <c r="AF323" s="1023"/>
      <c r="AG323" s="1021"/>
      <c r="AH323" s="1022"/>
      <c r="AI323" s="1022"/>
      <c r="AJ323" s="1022"/>
      <c r="AK323" s="1023"/>
      <c r="AL323" s="1024"/>
      <c r="AM323" s="1021"/>
      <c r="AN323" s="1022"/>
      <c r="AO323" s="1022"/>
      <c r="AP323" s="1022"/>
      <c r="AQ323" s="1023"/>
      <c r="AR323" s="1021"/>
      <c r="AS323" s="1022"/>
      <c r="AT323" s="1022"/>
      <c r="AU323" s="1022"/>
      <c r="AV323" s="1023"/>
      <c r="AW323" s="1025"/>
      <c r="AX323" s="1282">
        <f t="shared" si="532"/>
        <v>0</v>
      </c>
      <c r="AY323" s="387">
        <f t="shared" si="533"/>
        <v>0</v>
      </c>
      <c r="AZ323" s="387">
        <f t="shared" si="534"/>
        <v>0</v>
      </c>
      <c r="BA323" s="387">
        <f t="shared" si="535"/>
        <v>0</v>
      </c>
      <c r="BB323" s="1283">
        <f t="shared" si="536"/>
        <v>0</v>
      </c>
      <c r="BC323" s="386">
        <f t="shared" si="537"/>
        <v>0</v>
      </c>
      <c r="BD323" s="387">
        <f t="shared" si="538"/>
        <v>0</v>
      </c>
      <c r="BE323" s="1277">
        <f t="shared" si="539"/>
        <v>0</v>
      </c>
      <c r="BF323" s="1277">
        <f t="shared" si="539"/>
        <v>0</v>
      </c>
      <c r="BG323" s="388">
        <f t="shared" si="539"/>
        <v>0</v>
      </c>
      <c r="BH323" s="1025"/>
      <c r="BI323" s="1282">
        <f t="shared" ca="1" si="540"/>
        <v>0</v>
      </c>
      <c r="BJ323" s="387">
        <f t="shared" ca="1" si="541"/>
        <v>0</v>
      </c>
      <c r="BK323" s="387">
        <f t="shared" ca="1" si="542"/>
        <v>0</v>
      </c>
      <c r="BL323" s="387">
        <f t="shared" ca="1" si="543"/>
        <v>0</v>
      </c>
      <c r="BM323" s="1283">
        <f t="shared" ca="1" si="544"/>
        <v>0</v>
      </c>
      <c r="BN323" s="386">
        <f t="shared" ca="1" si="545"/>
        <v>0</v>
      </c>
      <c r="BO323" s="387">
        <f t="shared" ca="1" si="545"/>
        <v>0</v>
      </c>
      <c r="BP323" s="1277">
        <f t="shared" ca="1" si="545"/>
        <v>0</v>
      </c>
      <c r="BQ323" s="1277">
        <f t="shared" ca="1" si="545"/>
        <v>0</v>
      </c>
      <c r="BR323" s="388">
        <f t="shared" ca="1" si="545"/>
        <v>0</v>
      </c>
      <c r="BS323" s="1025"/>
      <c r="BT323" s="1282">
        <f>+IF($K323="Ongoing",AX323,IF(RIGHT($K323,2)=RIGHT(BT$43,2),SUM($AX323:AX323),0)+IF(RIGHT(BT$43,2)&gt;RIGHT($K323,2),AX323,0))</f>
        <v>0</v>
      </c>
      <c r="BU323" s="387">
        <f>+IF($K323="Ongoing",AY323,IF(RIGHT($K323,2)=RIGHT(BU$43,2),SUM($AX323:AY323),0)+IF(RIGHT(BU$43,2)&gt;RIGHT($K323,2),AY323,0))</f>
        <v>0</v>
      </c>
      <c r="BV323" s="387">
        <f>+IF($K323="Ongoing",AZ323,IF(RIGHT($K323,2)=RIGHT(BV$43,2),SUM($AX323:AZ323),0)+IF(RIGHT(BV$43,2)&gt;RIGHT($K323,2),AZ323,0))</f>
        <v>0</v>
      </c>
      <c r="BW323" s="387">
        <f>+IF($K323="Ongoing",BA323,IF(RIGHT($K323,2)=RIGHT(BW$43,2),SUM($AX323:BA323),0)+IF(RIGHT(BW$43,2)&gt;RIGHT($K323,2),BA323,0))</f>
        <v>0</v>
      </c>
      <c r="BX323" s="1283">
        <f>+IF($K323="Ongoing",BB323,IF(RIGHT($K323,2)=RIGHT(BX$43,2),SUM($AX323:BB323),0)+IF(RIGHT(BX$43,2)&gt;RIGHT($K323,2),BB323,0))</f>
        <v>0</v>
      </c>
      <c r="BY323" s="386">
        <f>+IF($K323="Ongoing",BC323,IF(RIGHT($K323,2)=RIGHT(BY$43,2),SUM($AX323:BC323),0)+IF(RIGHT(BY$43,2)&gt;RIGHT($K323,2),BC323,0))</f>
        <v>0</v>
      </c>
      <c r="BZ323" s="387">
        <f>+IF($K323="Ongoing",BD323,IF(RIGHT($K323,2)=RIGHT(BZ$43,2),SUM($AX323:BD323),0)+IF(RIGHT(BZ$43,2)&gt;RIGHT($K323,2),BD323,0))</f>
        <v>0</v>
      </c>
      <c r="CA323" s="1277">
        <f>+IF($K323="Ongoing",BE323,IF(RIGHT($K323,2)=RIGHT(CA$43,2),SUM($AX323:BE323),0)+IF(RIGHT(CA$43,2)&gt;RIGHT($K323,2),BE323,0))</f>
        <v>0</v>
      </c>
      <c r="CB323" s="1277">
        <f>+IF($K323="Ongoing",BF323,IF(RIGHT($K323,2)=RIGHT(CB$43,2),SUM($AX323:BF323),0)+IF(RIGHT(CB$43,2)&gt;RIGHT($K323,2),BF323,0))</f>
        <v>0</v>
      </c>
      <c r="CC323" s="388">
        <f>+IF($K323="Ongoing",BG323,IF(RIGHT($K323,2)=RIGHT(CC$43,2),SUM($AX323:BG323),0)+IF(RIGHT(CC$43,2)&gt;RIGHT($K323,2),BG323,0))</f>
        <v>0</v>
      </c>
      <c r="CD323" s="1025"/>
      <c r="CE323" s="1282">
        <f>+Q323*KeyAssumptionsPriceControl_FO!AF$15</f>
        <v>0</v>
      </c>
      <c r="CF323" s="387">
        <f>+R323*KeyAssumptionsPriceControl_FO!AG$15</f>
        <v>0</v>
      </c>
      <c r="CG323" s="387">
        <f>+S323*KeyAssumptionsPriceControl_FO!AH$15</f>
        <v>0</v>
      </c>
      <c r="CH323" s="387">
        <f>+T323*KeyAssumptionsPriceControl_FO!AI$15</f>
        <v>0</v>
      </c>
      <c r="CI323" s="1283">
        <f>+U323*KeyAssumptionsPriceControl_FO!AJ$15</f>
        <v>0</v>
      </c>
      <c r="CJ323" s="386">
        <f>+V323*KeyAssumptionsPriceControl_FO!AK$15</f>
        <v>0</v>
      </c>
      <c r="CK323" s="387">
        <f>+W323*KeyAssumptionsPriceControl_FO!AL$15</f>
        <v>0</v>
      </c>
      <c r="CL323" s="1277">
        <f>+X323*KeyAssumptionsPriceControl_FO!AM$15</f>
        <v>0</v>
      </c>
      <c r="CM323" s="1277">
        <f>+Y323*KeyAssumptionsPriceControl_FO!AN$15</f>
        <v>0</v>
      </c>
      <c r="CN323" s="388">
        <f>+Z323*KeyAssumptionsPriceControl_FO!AO$15</f>
        <v>0</v>
      </c>
      <c r="CO323" s="1025"/>
      <c r="CP323" s="1282">
        <f t="shared" ca="1" si="546"/>
        <v>0</v>
      </c>
      <c r="CQ323" s="387">
        <f t="shared" ca="1" si="547"/>
        <v>0</v>
      </c>
      <c r="CR323" s="387">
        <f t="shared" ca="1" si="548"/>
        <v>0</v>
      </c>
      <c r="CS323" s="387">
        <f t="shared" ca="1" si="549"/>
        <v>0</v>
      </c>
      <c r="CT323" s="1283">
        <f t="shared" ca="1" si="550"/>
        <v>0</v>
      </c>
      <c r="CU323" s="386">
        <f t="shared" ca="1" si="551"/>
        <v>0</v>
      </c>
      <c r="CV323" s="387">
        <f t="shared" ca="1" si="552"/>
        <v>0</v>
      </c>
      <c r="CW323" s="1277">
        <f t="shared" ca="1" si="553"/>
        <v>0</v>
      </c>
      <c r="CX323" s="1277">
        <f t="shared" ca="1" si="554"/>
        <v>0</v>
      </c>
      <c r="CY323" s="388">
        <f t="shared" ca="1" si="555"/>
        <v>0</v>
      </c>
      <c r="CZ323" s="347"/>
      <c r="DA323" s="852"/>
      <c r="DB323" s="347"/>
      <c r="DC323" s="1012" t="s">
        <v>517</v>
      </c>
      <c r="DD323" s="841" t="s">
        <v>518</v>
      </c>
      <c r="DE323" s="386">
        <f>+IF($K323="ongoing",CE323,IF(RIGHT($K323,2)=RIGHT(DE$43,2),SUM($CD323:CE323),0)+IF(RIGHT(DE$43,2)&gt;RIGHT($K323,2),CE323,0))</f>
        <v>0</v>
      </c>
      <c r="DF323" s="387">
        <f>+IF($K323="ongoing",CF323,IF(RIGHT($K323,2)=RIGHT(DF$43,2),SUM($CD323:CF323),0)+IF(RIGHT(DF$43,2)&gt;RIGHT($K323,2),CF323,0))</f>
        <v>0</v>
      </c>
      <c r="DG323" s="388">
        <f>+IF($K323="ongoing",CG323,IF(RIGHT($K323,2)=RIGHT(DG$43,2),SUM($CD323:CG323),0)+IF(RIGHT(DG$43,2)&gt;RIGHT($K323,2),CG323,0))</f>
        <v>0</v>
      </c>
      <c r="DH323" s="386">
        <f>+IF($K323="ongoing",CH323,IF(RIGHT($K323,2)=RIGHT(DH$43,2),SUM($CD323:CH323),0)+IF(RIGHT(DH$43,2)&gt;RIGHT($K323,2),CH323,0))</f>
        <v>0</v>
      </c>
      <c r="DI323" s="387">
        <f>+IF($K323="ongoing",CI323,IF(RIGHT($K323,2)=RIGHT(DI$43,2),SUM($CD323:CI323),0)+IF(RIGHT(DI$43,2)&gt;RIGHT($K323,2),CI323,0))</f>
        <v>0</v>
      </c>
      <c r="DJ323" s="387">
        <f>+IF($K323="ongoing",CJ323,IF(RIGHT($K323,2)=RIGHT(DJ$43,2),SUM($CD323:CJ323),0)+IF(RIGHT(DJ$43,2)&gt;RIGHT($K323,2),CJ323,0))</f>
        <v>0</v>
      </c>
      <c r="DK323" s="387">
        <f>+IF($K323="ongoing",CK323,IF(RIGHT($K323,2)=RIGHT(DK$43,2),SUM($CD323:CK323),0)+IF(RIGHT(DK$43,2)&gt;RIGHT($K323,2),CK323,0))</f>
        <v>0</v>
      </c>
      <c r="DL323" s="388">
        <f>+IF($K323="ongoing",CN323,IF(RIGHT($K323,2)=RIGHT(DL$43,2),SUM($CD323:CN323),0)+IF(RIGHT(DL$43,2)&gt;RIGHT($K323,2),CN323,0))</f>
        <v>0</v>
      </c>
      <c r="DM323" s="841"/>
      <c r="DN323" s="386">
        <f t="shared" si="557"/>
        <v>0.5</v>
      </c>
      <c r="DO323" s="387">
        <f t="shared" si="557"/>
        <v>1</v>
      </c>
      <c r="DP323" s="388">
        <f t="shared" si="557"/>
        <v>1</v>
      </c>
      <c r="DQ323" s="386">
        <f t="shared" si="557"/>
        <v>1</v>
      </c>
      <c r="DR323" s="387">
        <f t="shared" si="557"/>
        <v>1</v>
      </c>
      <c r="DS323" s="387">
        <f t="shared" si="557"/>
        <v>1</v>
      </c>
      <c r="DT323" s="387">
        <f t="shared" si="557"/>
        <v>1</v>
      </c>
      <c r="DU323" s="388">
        <f t="shared" si="557"/>
        <v>1</v>
      </c>
      <c r="DW323" s="386">
        <f t="shared" si="558"/>
        <v>0</v>
      </c>
      <c r="DX323" s="387">
        <f t="shared" si="558"/>
        <v>0.5</v>
      </c>
      <c r="DY323" s="388">
        <f t="shared" si="558"/>
        <v>1</v>
      </c>
      <c r="DZ323" s="386">
        <f t="shared" si="558"/>
        <v>1</v>
      </c>
      <c r="EA323" s="387">
        <f t="shared" si="558"/>
        <v>1</v>
      </c>
      <c r="EB323" s="387">
        <f t="shared" si="558"/>
        <v>1</v>
      </c>
      <c r="EC323" s="387">
        <f t="shared" si="558"/>
        <v>1</v>
      </c>
      <c r="ED323" s="388">
        <f t="shared" si="558"/>
        <v>1</v>
      </c>
      <c r="EF323" s="834">
        <f>+IF(DN323=DM323,0,
IF(AND(EF$44&gt;1,DN323=$N323),1-SUM($EE323:EE323),
IF($N323&lt;=1,
IF($N323&gt;0,1/$N323,0),
IF(EF$44=1,0,VDB(1,0,$N323,INT(EF$44-1-1),MIN($N323,INT(EF$44-1-1)+1),$DC323,IF($DD323="No",1,0))/
IF(DM323&gt;=INT($N323),$N323-INT($N323),1)))*
IF(EF$44=1,0,
IF(INT(DN323)=INT(DM323),DN323-DM323,INT(DN323)-DM323))+
IF($N323&lt;=1,
IF($N323&gt;0,1/$N323,0),VDB(1,0,$N323,INT(EF$44-1),MIN($N323,INT(EF$44-1)+1),$DC323,IF($DD323="No",1,0))/
IF(DN323&gt;INT($N323),$N323-INT($N323),1))*
IF(EF$44=1,DN323,
IF(INT(DN323)=INT(DM323),0,DN323-INT(DN323)))))</f>
        <v>0</v>
      </c>
      <c r="EG323" s="835">
        <f>+IF(DO323=DN323,0,
IF(AND(EG$44&gt;1,DO323=$N323),1-SUM($EE323:EF323),
IF($N323&lt;=1,
IF($N323&gt;0,1/$N323,0),
IF(EG$44=1,0,VDB(1,0,$N323,INT(EG$44-1-1),MIN($N323,INT(EG$44-1-1)+1),$DC323,IF($DD323="No",1,0))/
IF(DN323&gt;=INT($N323),$N323-INT($N323),1)))*
IF(EG$44=1,0,
IF(INT(DO323)=INT(DN323),DO323-DN323,INT(DO323)-DN323))+
IF($N323&lt;=1,
IF($N323&gt;0,1/$N323,0),VDB(1,0,$N323,INT(EG$44-1),MIN($N323,INT(EG$44-1)+1),$DC323,IF($DD323="No",1,0))/
IF(DO323&gt;INT($N323),$N323-INT($N323),1))*
IF(EG$44=1,DO323,
IF(INT(DO323)=INT(DN323),0,DO323-INT(DO323)))))</f>
        <v>0</v>
      </c>
      <c r="EH323" s="836">
        <f>+IF(DP323=DO323,0,
IF(AND(EH$44&gt;1,DP323=$N323),1-SUM($EE323:EG323),
IF($N323&lt;=1,
IF($N323&gt;0,1/$N323,0),
IF(EH$44=1,0,VDB(1,0,$N323,INT(EH$44-1-1),MIN($N323,INT(EH$44-1-1)+1),$DC323,IF($DD323="No",1,0))/
IF(DO323&gt;=INT($N323),$N323-INT($N323),1)))*
IF(EH$44=1,0,
IF(INT(DP323)=INT(DO323),DP323-DO323,INT(DP323)-DO323))+
IF($N323&lt;=1,
IF($N323&gt;0,1/$N323,0),VDB(1,0,$N323,INT(EH$44-1),MIN($N323,INT(EH$44-1)+1),$DC323,IF($DD323="No",1,0))/
IF(DP323&gt;INT($N323),$N323-INT($N323),1))*
IF(EH$44=1,DP323,
IF(INT(DP323)=INT(DO323),0,DP323-INT(DP323)))))</f>
        <v>0</v>
      </c>
      <c r="EI323" s="834">
        <f>+IF(DQ323=DP323,0,
IF(AND(EI$44&gt;1,DQ323=$N323),1-SUM($EE323:EH323),
IF($N323&lt;=1,
IF($N323&gt;0,1/$N323,0),
IF(EI$44=1,0,VDB(1,0,$N323,INT(EI$44-1-1),MIN($N323,INT(EI$44-1-1)+1),$DC323,IF($DD323="No",1,0))/
IF(DP323&gt;=INT($N323),$N323-INT($N323),1)))*
IF(EI$44=1,0,
IF(INT(DQ323)=INT(DP323),DQ323-DP323,INT(DQ323)-DP323))+
IF($N323&lt;=1,
IF($N323&gt;0,1/$N323,0),VDB(1,0,$N323,INT(EI$44-1),MIN($N323,INT(EI$44-1)+1),$DC323,IF($DD323="No",1,0))/
IF(DQ323&gt;INT($N323),$N323-INT($N323),1))*
IF(EI$44=1,DQ323,
IF(INT(DQ323)=INT(DP323),0,DQ323-INT(DQ323)))))</f>
        <v>0</v>
      </c>
      <c r="EJ323" s="835">
        <f>+IF(DR323=DQ323,0,
IF(AND(EJ$44&gt;1,DR323=$N323),1-SUM($EE323:EI323),
IF($N323&lt;=1,
IF($N323&gt;0,1/$N323,0),
IF(EJ$44=1,0,VDB(1,0,$N323,INT(EJ$44-1-1),MIN($N323,INT(EJ$44-1-1)+1),$DC323,IF($DD323="No",1,0))/
IF(DQ323&gt;=INT($N323),$N323-INT($N323),1)))*
IF(EJ$44=1,0,
IF(INT(DR323)=INT(DQ323),DR323-DQ323,INT(DR323)-DQ323))+
IF($N323&lt;=1,
IF($N323&gt;0,1/$N323,0),VDB(1,0,$N323,INT(EJ$44-1),MIN($N323,INT(EJ$44-1)+1),$DC323,IF($DD323="No",1,0))/
IF(DR323&gt;INT($N323),$N323-INT($N323),1))*
IF(EJ$44=1,DR323,
IF(INT(DR323)=INT(DQ323),0,DR323-INT(DR323)))))</f>
        <v>0</v>
      </c>
      <c r="EK323" s="835">
        <f>+IF(DS323=DR323,0,
IF(AND(EK$44&gt;1,DS323=$N323),1-SUM($EE323:EJ323),
IF($N323&lt;=1,
IF($N323&gt;0,1/$N323,0),
IF(EK$44=1,0,VDB(1,0,$N323,INT(EK$44-1-1),MIN($N323,INT(EK$44-1-1)+1),$DC323,IF($DD323="No",1,0))/
IF(DR323&gt;=INT($N323),$N323-INT($N323),1)))*
IF(EK$44=1,0,
IF(INT(DS323)=INT(DR323),DS323-DR323,INT(DS323)-DR323))+
IF($N323&lt;=1,
IF($N323&gt;0,1/$N323,0),VDB(1,0,$N323,INT(EK$44-1),MIN($N323,INT(EK$44-1)+1),$DC323,IF($DD323="No",1,0))/
IF(DS323&gt;INT($N323),$N323-INT($N323),1))*
IF(EK$44=1,DS323,
IF(INT(DS323)=INT(DR323),0,DS323-INT(DS323)))))</f>
        <v>0</v>
      </c>
      <c r="EL323" s="835">
        <f>+IF(DT323=DS323,0,
IF(AND(EL$44&gt;1,DT323=$N323),1-SUM($EE323:EK323),
IF($N323&lt;=1,
IF($N323&gt;0,1/$N323,0),
IF(EL$44=1,0,VDB(1,0,$N323,INT(EL$44-1-1),MIN($N323,INT(EL$44-1-1)+1),$DC323,IF($DD323="No",1,0))/
IF(DS323&gt;=INT($N323),$N323-INT($N323),1)))*
IF(EL$44=1,0,
IF(INT(DT323)=INT(DS323),DT323-DS323,INT(DT323)-DS323))+
IF($N323&lt;=1,
IF($N323&gt;0,1/$N323,0),VDB(1,0,$N323,INT(EL$44-1),MIN($N323,INT(EL$44-1)+1),$DC323,IF($DD323="No",1,0))/
IF(DT323&gt;INT($N323),$N323-INT($N323),1))*
IF(EL$44=1,DT323,
IF(INT(DT323)=INT(DS323),0,DT323-INT(DT323)))))</f>
        <v>0</v>
      </c>
      <c r="EM323" s="836">
        <f>+IF(DU323=DT323,0,
IF(AND(EM$44&gt;1,DU323=$N323),1-SUM($EE323:EL323),
IF($N323&lt;=1,
IF($N323&gt;0,1/$N323,0),
IF(EM$44=1,0,VDB(1,0,$N323,INT(EM$44-1-1),MIN($N323,INT(EM$44-1-1)+1),$DC323,IF($DD323="No",1,0))/
IF(DT323&gt;=INT($N323),$N323-INT($N323),1)))*
IF(EM$44=1,0,
IF(INT(DU323)=INT(DT323),DU323-DT323,INT(DU323)-DT323))+
IF($N323&lt;=1,
IF($N323&gt;0,1/$N323,0),VDB(1,0,$N323,INT(EM$44-1),MIN($N323,INT(EM$44-1)+1),$DC323,IF($DD323="No",1,0))/
IF(DU323&gt;INT($N323),$N323-INT($N323),1))*
IF(EM$44=1,DU323,
IF(INT(DU323)=INT(DT323),0,DU323-INT(DU323)))))</f>
        <v>0</v>
      </c>
      <c r="EN323" s="833"/>
      <c r="EO323" s="834">
        <f>+IF(OR(DW323=DV323,EO$44=1),0,
IF(AND(EO$44&gt;1,DW323=$N323),1-SUM($EN323:EN323),
IF($N323&lt;=1,
IF($N323&gt;0,1/$N323,0),
IF(EO$44=2,0,VDB(1,0,$N323,INT(EO$44-2-1),MIN($N323,INT(EO$44-2-1)+1),$DC323,IF($DD323="No",1,0))/
IF(DV323&gt;=INT($N323),$N323-INT($N323),1)))*
IF(EO$44=2,0,
IF(INT(DW323)=INT(DV323),DW323-DV323,INT(DW323)-DV323))+
IF($N323&lt;=1,
IF($N323&gt;0,1/$N323,0),VDB(1,0,$N323,INT(EO$44-2),MIN($N323,INT(EO$44-2)+1),$DC323,IF($DD323="No",1,0))/
IF(DW323&gt;INT($N323),$N323-INT($N323),1))*
IF(EO$44=2,DW323,
IF(INT(DW323)=INT(DV323),0,DW323-INT(DW323)))))</f>
        <v>0</v>
      </c>
      <c r="EP323" s="835">
        <f>+IF(OR(DX323=DW323,EP$44=1),0,
IF(AND(EP$44&gt;1,DX323=$N323),1-SUM($EN323:EO323),
IF($N323&lt;=1,
IF($N323&gt;0,1/$N323,0),
IF(EP$44=2,0,VDB(1,0,$N323,INT(EP$44-2-1),MIN($N323,INT(EP$44-2-1)+1),$DC323,IF($DD323="No",1,0))/
IF(DW323&gt;=INT($N323),$N323-INT($N323),1)))*
IF(EP$44=2,0,
IF(INT(DX323)=INT(DW323),DX323-DW323,INT(DX323)-DW323))+
IF($N323&lt;=1,
IF($N323&gt;0,1/$N323,0),VDB(1,0,$N323,INT(EP$44-2),MIN($N323,INT(EP$44-2)+1),$DC323,IF($DD323="No",1,0))/
IF(DX323&gt;INT($N323),$N323-INT($N323),1))*
IF(EP$44=2,DX323,
IF(INT(DX323)=INT(DW323),0,DX323-INT(DX323)))))</f>
        <v>0</v>
      </c>
      <c r="EQ323" s="836">
        <f>+IF(OR(DY323=DX323,EQ$44=1),0,
IF(AND(EQ$44&gt;1,DY323=$N323),1-SUM($EN323:EP323),
IF($N323&lt;=1,
IF($N323&gt;0,1/$N323,0),
IF(EQ$44=2,0,VDB(1,0,$N323,INT(EQ$44-2-1),MIN($N323,INT(EQ$44-2-1)+1),$DC323,IF($DD323="No",1,0))/
IF(DX323&gt;=INT($N323),$N323-INT($N323),1)))*
IF(EQ$44=2,0,
IF(INT(DY323)=INT(DX323),DY323-DX323,INT(DY323)-DX323))+
IF($N323&lt;=1,
IF($N323&gt;0,1/$N323,0),VDB(1,0,$N323,INT(EQ$44-2),MIN($N323,INT(EQ$44-2)+1),$DC323,IF($DD323="No",1,0))/
IF(DY323&gt;INT($N323),$N323-INT($N323),1))*
IF(EQ$44=2,DY323,
IF(INT(DY323)=INT(DX323),0,DY323-INT(DY323)))))</f>
        <v>0</v>
      </c>
      <c r="ER323" s="834">
        <f>+IF(OR(DZ323=DY323,ER$44=1),0,
IF(AND(ER$44&gt;1,DZ323=$N323),1-SUM($EN323:EQ323),
IF($N323&lt;=1,
IF($N323&gt;0,1/$N323,0),
IF(ER$44=2,0,VDB(1,0,$N323,INT(ER$44-2-1),MIN($N323,INT(ER$44-2-1)+1),$DC323,IF($DD323="No",1,0))/
IF(DY323&gt;=INT($N323),$N323-INT($N323),1)))*
IF(ER$44=2,0,
IF(INT(DZ323)=INT(DY323),DZ323-DY323,INT(DZ323)-DY323))+
IF($N323&lt;=1,
IF($N323&gt;0,1/$N323,0),VDB(1,0,$N323,INT(ER$44-2),MIN($N323,INT(ER$44-2)+1),$DC323,IF($DD323="No",1,0))/
IF(DZ323&gt;INT($N323),$N323-INT($N323),1))*
IF(ER$44=2,DZ323,
IF(INT(DZ323)=INT(DY323),0,DZ323-INT(DZ323)))))</f>
        <v>0</v>
      </c>
      <c r="ES323" s="835">
        <f>+IF(OR(EA323=DZ323,ES$44=1),0,
IF(AND(ES$44&gt;1,EA323=$N323),1-SUM($EN323:ER323),
IF($N323&lt;=1,
IF($N323&gt;0,1/$N323,0),
IF(ES$44=2,0,VDB(1,0,$N323,INT(ES$44-2-1),MIN($N323,INT(ES$44-2-1)+1),$DC323,IF($DD323="No",1,0))/
IF(DZ323&gt;=INT($N323),$N323-INT($N323),1)))*
IF(ES$44=2,0,
IF(INT(EA323)=INT(DZ323),EA323-DZ323,INT(EA323)-DZ323))+
IF($N323&lt;=1,
IF($N323&gt;0,1/$N323,0),VDB(1,0,$N323,INT(ES$44-2),MIN($N323,INT(ES$44-2)+1),$DC323,IF($DD323="No",1,0))/
IF(EA323&gt;INT($N323),$N323-INT($N323),1))*
IF(ES$44=2,EA323,
IF(INT(EA323)=INT(DZ323),0,EA323-INT(EA323)))))</f>
        <v>0</v>
      </c>
      <c r="ET323" s="835">
        <f>+IF(OR(EB323=EA323,ET$44=1),0,
IF(AND(ET$44&gt;1,EB323=$N323),1-SUM($EN323:ES323),
IF($N323&lt;=1,
IF($N323&gt;0,1/$N323,0),
IF(ET$44=2,0,VDB(1,0,$N323,INT(ET$44-2-1),MIN($N323,INT(ET$44-2-1)+1),$DC323,IF($DD323="No",1,0))/
IF(EA323&gt;=INT($N323),$N323-INT($N323),1)))*
IF(ET$44=2,0,
IF(INT(EB323)=INT(EA323),EB323-EA323,INT(EB323)-EA323))+
IF($N323&lt;=1,
IF($N323&gt;0,1/$N323,0),VDB(1,0,$N323,INT(ET$44-2),MIN($N323,INT(ET$44-2)+1),$DC323,IF($DD323="No",1,0))/
IF(EB323&gt;INT($N323),$N323-INT($N323),1))*
IF(ET$44=2,EB323,
IF(INT(EB323)=INT(EA323),0,EB323-INT(EB323)))))</f>
        <v>0</v>
      </c>
      <c r="EU323" s="835">
        <f>+IF(OR(EC323=EB323,EU$44=1),0,
IF(AND(EU$44&gt;1,EC323=$N323),1-SUM($EN323:ET323),
IF($N323&lt;=1,
IF($N323&gt;0,1/$N323,0),
IF(EU$44=2,0,VDB(1,0,$N323,INT(EU$44-2-1),MIN($N323,INT(EU$44-2-1)+1),$DC323,IF($DD323="No",1,0))/
IF(EB323&gt;=INT($N323),$N323-INT($N323),1)))*
IF(EU$44=2,0,
IF(INT(EC323)=INT(EB323),EC323-EB323,INT(EC323)-EB323))+
IF($N323&lt;=1,
IF($N323&gt;0,1/$N323,0),VDB(1,0,$N323,INT(EU$44-2),MIN($N323,INT(EU$44-2)+1),$DC323,IF($DD323="No",1,0))/
IF(EC323&gt;INT($N323),$N323-INT($N323),1))*
IF(EU$44=2,EC323,
IF(INT(EC323)=INT(EB323),0,EC323-INT(EC323)))))</f>
        <v>0</v>
      </c>
      <c r="EV323" s="836">
        <f>+IF(OR(ED323=EC323,EV$44=1),0,
IF(AND(EV$44&gt;1,ED323=$N323),1-SUM($EN323:EU323),
IF($N323&lt;=1,
IF($N323&gt;0,1/$N323,0),
IF(EV$44=2,0,VDB(1,0,$N323,INT(EV$44-2-1),MIN($N323,INT(EV$44-2-1)+1),$DC323,IF($DD323="No",1,0))/
IF(EC323&gt;=INT($N323),$N323-INT($N323),1)))*
IF(EV$44=2,0,
IF(INT(ED323)=INT(EC323),ED323-EC323,INT(ED323)-EC323))+
IF($N323&lt;=1,
IF($N323&gt;0,1/$N323,0),VDB(1,0,$N323,INT(EV$44-2),MIN($N323,INT(EV$44-2)+1),$DC323,IF($DD323="No",1,0))/
IF(ED323&gt;INT($N323),$N323-INT($N323),1))*
IF(EV$44=2,ED323,
IF(INT(ED323)=INT(EC323),0,ED323-INT(ED323)))))</f>
        <v>0</v>
      </c>
      <c r="EW323" s="833"/>
      <c r="EX323" s="834">
        <f t="shared" ca="1" si="559"/>
        <v>0</v>
      </c>
      <c r="EY323" s="835">
        <f t="shared" ca="1" si="559"/>
        <v>0</v>
      </c>
      <c r="EZ323" s="836">
        <f t="shared" ca="1" si="559"/>
        <v>0</v>
      </c>
      <c r="FA323" s="834">
        <f t="shared" ca="1" si="559"/>
        <v>0</v>
      </c>
      <c r="FB323" s="835">
        <f t="shared" ca="1" si="559"/>
        <v>0</v>
      </c>
      <c r="FC323" s="835">
        <f t="shared" ca="1" si="559"/>
        <v>0</v>
      </c>
      <c r="FD323" s="835">
        <f t="shared" ca="1" si="559"/>
        <v>0</v>
      </c>
      <c r="FE323" s="836">
        <f t="shared" ca="1" si="559"/>
        <v>0</v>
      </c>
      <c r="FG323" s="386">
        <f t="shared" ca="1" si="521"/>
        <v>0</v>
      </c>
      <c r="FH323" s="387">
        <f t="shared" ca="1" si="522"/>
        <v>0</v>
      </c>
      <c r="FI323" s="388">
        <f t="shared" ca="1" si="523"/>
        <v>0</v>
      </c>
      <c r="FJ323" s="386">
        <f t="shared" ca="1" si="524"/>
        <v>0</v>
      </c>
      <c r="FK323" s="387">
        <f t="shared" ca="1" si="525"/>
        <v>0</v>
      </c>
      <c r="FL323" s="387">
        <f t="shared" ca="1" si="526"/>
        <v>0</v>
      </c>
      <c r="FM323" s="387">
        <f t="shared" ca="1" si="527"/>
        <v>0</v>
      </c>
      <c r="FN323" s="388">
        <f t="shared" ca="1" si="528"/>
        <v>0</v>
      </c>
      <c r="FR323" s="116"/>
    </row>
    <row r="324" spans="2:174">
      <c r="B324" s="1410">
        <f t="shared" si="556"/>
        <v>278</v>
      </c>
      <c r="C324" s="400"/>
      <c r="D324" s="410"/>
      <c r="E324" s="402"/>
      <c r="F324" s="402"/>
      <c r="G324" s="400"/>
      <c r="H324" s="2088"/>
      <c r="I324" s="2089"/>
      <c r="J324" s="411"/>
      <c r="K324" s="403"/>
      <c r="L324" s="403"/>
      <c r="M324" s="403"/>
      <c r="N324" s="403"/>
      <c r="O324" s="347"/>
      <c r="P324" s="347"/>
      <c r="Q324" s="1021"/>
      <c r="R324" s="1022"/>
      <c r="S324" s="1022"/>
      <c r="T324" s="1022"/>
      <c r="U324" s="1023"/>
      <c r="V324" s="1021"/>
      <c r="W324" s="1022"/>
      <c r="X324" s="1022"/>
      <c r="Y324" s="1022"/>
      <c r="Z324" s="1023"/>
      <c r="AA324" s="1024"/>
      <c r="AB324" s="1021"/>
      <c r="AC324" s="1022"/>
      <c r="AD324" s="1022"/>
      <c r="AE324" s="1022"/>
      <c r="AF324" s="1023"/>
      <c r="AG324" s="1021"/>
      <c r="AH324" s="1022"/>
      <c r="AI324" s="1022"/>
      <c r="AJ324" s="1022"/>
      <c r="AK324" s="1023"/>
      <c r="AL324" s="1024"/>
      <c r="AM324" s="1021"/>
      <c r="AN324" s="1022"/>
      <c r="AO324" s="1022"/>
      <c r="AP324" s="1022"/>
      <c r="AQ324" s="1023"/>
      <c r="AR324" s="1021"/>
      <c r="AS324" s="1022"/>
      <c r="AT324" s="1022"/>
      <c r="AU324" s="1022"/>
      <c r="AV324" s="1023"/>
      <c r="AW324" s="1025"/>
      <c r="AX324" s="1282">
        <f t="shared" si="532"/>
        <v>0</v>
      </c>
      <c r="AY324" s="387">
        <f t="shared" si="533"/>
        <v>0</v>
      </c>
      <c r="AZ324" s="387">
        <f t="shared" si="534"/>
        <v>0</v>
      </c>
      <c r="BA324" s="387">
        <f t="shared" si="535"/>
        <v>0</v>
      </c>
      <c r="BB324" s="1283">
        <f t="shared" si="536"/>
        <v>0</v>
      </c>
      <c r="BC324" s="386">
        <f t="shared" si="537"/>
        <v>0</v>
      </c>
      <c r="BD324" s="387">
        <f t="shared" si="538"/>
        <v>0</v>
      </c>
      <c r="BE324" s="1277">
        <f t="shared" si="539"/>
        <v>0</v>
      </c>
      <c r="BF324" s="1277">
        <f t="shared" si="539"/>
        <v>0</v>
      </c>
      <c r="BG324" s="388">
        <f t="shared" si="539"/>
        <v>0</v>
      </c>
      <c r="BH324" s="1025"/>
      <c r="BI324" s="1282">
        <f t="shared" ca="1" si="540"/>
        <v>0</v>
      </c>
      <c r="BJ324" s="387">
        <f t="shared" ca="1" si="541"/>
        <v>0</v>
      </c>
      <c r="BK324" s="387">
        <f t="shared" ca="1" si="542"/>
        <v>0</v>
      </c>
      <c r="BL324" s="387">
        <f t="shared" ca="1" si="543"/>
        <v>0</v>
      </c>
      <c r="BM324" s="1283">
        <f t="shared" ca="1" si="544"/>
        <v>0</v>
      </c>
      <c r="BN324" s="386">
        <f t="shared" ca="1" si="545"/>
        <v>0</v>
      </c>
      <c r="BO324" s="387">
        <f t="shared" ca="1" si="545"/>
        <v>0</v>
      </c>
      <c r="BP324" s="1277">
        <f t="shared" ca="1" si="545"/>
        <v>0</v>
      </c>
      <c r="BQ324" s="1277">
        <f t="shared" ca="1" si="545"/>
        <v>0</v>
      </c>
      <c r="BR324" s="388">
        <f t="shared" ca="1" si="545"/>
        <v>0</v>
      </c>
      <c r="BS324" s="1025"/>
      <c r="BT324" s="1282">
        <f>+IF($K324="Ongoing",AX324,IF(RIGHT($K324,2)=RIGHT(BT$43,2),SUM($AX324:AX324),0)+IF(RIGHT(BT$43,2)&gt;RIGHT($K324,2),AX324,0))</f>
        <v>0</v>
      </c>
      <c r="BU324" s="387">
        <f>+IF($K324="Ongoing",AY324,IF(RIGHT($K324,2)=RIGHT(BU$43,2),SUM($AX324:AY324),0)+IF(RIGHT(BU$43,2)&gt;RIGHT($K324,2),AY324,0))</f>
        <v>0</v>
      </c>
      <c r="BV324" s="387">
        <f>+IF($K324="Ongoing",AZ324,IF(RIGHT($K324,2)=RIGHT(BV$43,2),SUM($AX324:AZ324),0)+IF(RIGHT(BV$43,2)&gt;RIGHT($K324,2),AZ324,0))</f>
        <v>0</v>
      </c>
      <c r="BW324" s="387">
        <f>+IF($K324="Ongoing",BA324,IF(RIGHT($K324,2)=RIGHT(BW$43,2),SUM($AX324:BA324),0)+IF(RIGHT(BW$43,2)&gt;RIGHT($K324,2),BA324,0))</f>
        <v>0</v>
      </c>
      <c r="BX324" s="1283">
        <f>+IF($K324="Ongoing",BB324,IF(RIGHT($K324,2)=RIGHT(BX$43,2),SUM($AX324:BB324),0)+IF(RIGHT(BX$43,2)&gt;RIGHT($K324,2),BB324,0))</f>
        <v>0</v>
      </c>
      <c r="BY324" s="386">
        <f>+IF($K324="Ongoing",BC324,IF(RIGHT($K324,2)=RIGHT(BY$43,2),SUM($AX324:BC324),0)+IF(RIGHT(BY$43,2)&gt;RIGHT($K324,2),BC324,0))</f>
        <v>0</v>
      </c>
      <c r="BZ324" s="387">
        <f>+IF($K324="Ongoing",BD324,IF(RIGHT($K324,2)=RIGHT(BZ$43,2),SUM($AX324:BD324),0)+IF(RIGHT(BZ$43,2)&gt;RIGHT($K324,2),BD324,0))</f>
        <v>0</v>
      </c>
      <c r="CA324" s="1277">
        <f>+IF($K324="Ongoing",BE324,IF(RIGHT($K324,2)=RIGHT(CA$43,2),SUM($AX324:BE324),0)+IF(RIGHT(CA$43,2)&gt;RIGHT($K324,2),BE324,0))</f>
        <v>0</v>
      </c>
      <c r="CB324" s="1277">
        <f>+IF($K324="Ongoing",BF324,IF(RIGHT($K324,2)=RIGHT(CB$43,2),SUM($AX324:BF324),0)+IF(RIGHT(CB$43,2)&gt;RIGHT($K324,2),BF324,0))</f>
        <v>0</v>
      </c>
      <c r="CC324" s="388">
        <f>+IF($K324="Ongoing",BG324,IF(RIGHT($K324,2)=RIGHT(CC$43,2),SUM($AX324:BG324),0)+IF(RIGHT(CC$43,2)&gt;RIGHT($K324,2),BG324,0))</f>
        <v>0</v>
      </c>
      <c r="CD324" s="1025"/>
      <c r="CE324" s="1282">
        <f>+Q324*KeyAssumptionsPriceControl_FO!AF$15</f>
        <v>0</v>
      </c>
      <c r="CF324" s="387">
        <f>+R324*KeyAssumptionsPriceControl_FO!AG$15</f>
        <v>0</v>
      </c>
      <c r="CG324" s="387">
        <f>+S324*KeyAssumptionsPriceControl_FO!AH$15</f>
        <v>0</v>
      </c>
      <c r="CH324" s="387">
        <f>+T324*KeyAssumptionsPriceControl_FO!AI$15</f>
        <v>0</v>
      </c>
      <c r="CI324" s="1283">
        <f>+U324*KeyAssumptionsPriceControl_FO!AJ$15</f>
        <v>0</v>
      </c>
      <c r="CJ324" s="386">
        <f>+V324*KeyAssumptionsPriceControl_FO!AK$15</f>
        <v>0</v>
      </c>
      <c r="CK324" s="387">
        <f>+W324*KeyAssumptionsPriceControl_FO!AL$15</f>
        <v>0</v>
      </c>
      <c r="CL324" s="1277">
        <f>+X324*KeyAssumptionsPriceControl_FO!AM$15</f>
        <v>0</v>
      </c>
      <c r="CM324" s="1277">
        <f>+Y324*KeyAssumptionsPriceControl_FO!AN$15</f>
        <v>0</v>
      </c>
      <c r="CN324" s="388">
        <f>+Z324*KeyAssumptionsPriceControl_FO!AO$15</f>
        <v>0</v>
      </c>
      <c r="CO324" s="1025"/>
      <c r="CP324" s="1282">
        <f t="shared" ca="1" si="546"/>
        <v>0</v>
      </c>
      <c r="CQ324" s="387">
        <f t="shared" ca="1" si="547"/>
        <v>0</v>
      </c>
      <c r="CR324" s="387">
        <f t="shared" ca="1" si="548"/>
        <v>0</v>
      </c>
      <c r="CS324" s="387">
        <f t="shared" ca="1" si="549"/>
        <v>0</v>
      </c>
      <c r="CT324" s="1283">
        <f t="shared" ca="1" si="550"/>
        <v>0</v>
      </c>
      <c r="CU324" s="386">
        <f t="shared" ca="1" si="551"/>
        <v>0</v>
      </c>
      <c r="CV324" s="387">
        <f t="shared" ca="1" si="552"/>
        <v>0</v>
      </c>
      <c r="CW324" s="1277">
        <f t="shared" ca="1" si="553"/>
        <v>0</v>
      </c>
      <c r="CX324" s="1277">
        <f t="shared" ca="1" si="554"/>
        <v>0</v>
      </c>
      <c r="CY324" s="388">
        <f t="shared" ca="1" si="555"/>
        <v>0</v>
      </c>
      <c r="CZ324" s="347"/>
      <c r="DA324" s="852"/>
      <c r="DB324" s="347"/>
      <c r="DC324" s="1012" t="s">
        <v>517</v>
      </c>
      <c r="DD324" s="841" t="s">
        <v>518</v>
      </c>
      <c r="DE324" s="386">
        <f>+IF($K324="ongoing",CE324,IF(RIGHT($K324,2)=RIGHT(DE$43,2),SUM($CD324:CE324),0)+IF(RIGHT(DE$43,2)&gt;RIGHT($K324,2),CE324,0))</f>
        <v>0</v>
      </c>
      <c r="DF324" s="387">
        <f>+IF($K324="ongoing",CF324,IF(RIGHT($K324,2)=RIGHT(DF$43,2),SUM($CD324:CF324),0)+IF(RIGHT(DF$43,2)&gt;RIGHT($K324,2),CF324,0))</f>
        <v>0</v>
      </c>
      <c r="DG324" s="388">
        <f>+IF($K324="ongoing",CG324,IF(RIGHT($K324,2)=RIGHT(DG$43,2),SUM($CD324:CG324),0)+IF(RIGHT(DG$43,2)&gt;RIGHT($K324,2),CG324,0))</f>
        <v>0</v>
      </c>
      <c r="DH324" s="386">
        <f>+IF($K324="ongoing",CH324,IF(RIGHT($K324,2)=RIGHT(DH$43,2),SUM($CD324:CH324),0)+IF(RIGHT(DH$43,2)&gt;RIGHT($K324,2),CH324,0))</f>
        <v>0</v>
      </c>
      <c r="DI324" s="387">
        <f>+IF($K324="ongoing",CI324,IF(RIGHT($K324,2)=RIGHT(DI$43,2),SUM($CD324:CI324),0)+IF(RIGHT(DI$43,2)&gt;RIGHT($K324,2),CI324,0))</f>
        <v>0</v>
      </c>
      <c r="DJ324" s="387">
        <f>+IF($K324="ongoing",CJ324,IF(RIGHT($K324,2)=RIGHT(DJ$43,2),SUM($CD324:CJ324),0)+IF(RIGHT(DJ$43,2)&gt;RIGHT($K324,2),CJ324,0))</f>
        <v>0</v>
      </c>
      <c r="DK324" s="387">
        <f>+IF($K324="ongoing",CK324,IF(RIGHT($K324,2)=RIGHT(DK$43,2),SUM($CD324:CK324),0)+IF(RIGHT(DK$43,2)&gt;RIGHT($K324,2),CK324,0))</f>
        <v>0</v>
      </c>
      <c r="DL324" s="388">
        <f>+IF($K324="ongoing",CN324,IF(RIGHT($K324,2)=RIGHT(DL$43,2),SUM($CD324:CN324),0)+IF(RIGHT(DL$43,2)&gt;RIGHT($K324,2),CN324,0))</f>
        <v>0</v>
      </c>
      <c r="DM324" s="841"/>
      <c r="DN324" s="386">
        <f t="shared" si="557"/>
        <v>0.5</v>
      </c>
      <c r="DO324" s="387">
        <f t="shared" si="557"/>
        <v>1</v>
      </c>
      <c r="DP324" s="388">
        <f t="shared" si="557"/>
        <v>1</v>
      </c>
      <c r="DQ324" s="386">
        <f t="shared" si="557"/>
        <v>1</v>
      </c>
      <c r="DR324" s="387">
        <f t="shared" si="557"/>
        <v>1</v>
      </c>
      <c r="DS324" s="387">
        <f t="shared" si="557"/>
        <v>1</v>
      </c>
      <c r="DT324" s="387">
        <f t="shared" si="557"/>
        <v>1</v>
      </c>
      <c r="DU324" s="388">
        <f t="shared" si="557"/>
        <v>1</v>
      </c>
      <c r="DW324" s="386">
        <f t="shared" si="558"/>
        <v>0</v>
      </c>
      <c r="DX324" s="387">
        <f t="shared" si="558"/>
        <v>0.5</v>
      </c>
      <c r="DY324" s="388">
        <f t="shared" si="558"/>
        <v>1</v>
      </c>
      <c r="DZ324" s="386">
        <f t="shared" si="558"/>
        <v>1</v>
      </c>
      <c r="EA324" s="387">
        <f t="shared" si="558"/>
        <v>1</v>
      </c>
      <c r="EB324" s="387">
        <f t="shared" si="558"/>
        <v>1</v>
      </c>
      <c r="EC324" s="387">
        <f t="shared" si="558"/>
        <v>1</v>
      </c>
      <c r="ED324" s="388">
        <f t="shared" si="558"/>
        <v>1</v>
      </c>
      <c r="EF324" s="834">
        <f>+IF(DN324=DM324,0,
IF(AND(EF$44&gt;1,DN324=$N324),1-SUM($EE324:EE324),
IF($N324&lt;=1,
IF($N324&gt;0,1/$N324,0),
IF(EF$44=1,0,VDB(1,0,$N324,INT(EF$44-1-1),MIN($N324,INT(EF$44-1-1)+1),$DC324,IF($DD324="No",1,0))/
IF(DM324&gt;=INT($N324),$N324-INT($N324),1)))*
IF(EF$44=1,0,
IF(INT(DN324)=INT(DM324),DN324-DM324,INT(DN324)-DM324))+
IF($N324&lt;=1,
IF($N324&gt;0,1/$N324,0),VDB(1,0,$N324,INT(EF$44-1),MIN($N324,INT(EF$44-1)+1),$DC324,IF($DD324="No",1,0))/
IF(DN324&gt;INT($N324),$N324-INT($N324),1))*
IF(EF$44=1,DN324,
IF(INT(DN324)=INT(DM324),0,DN324-INT(DN324)))))</f>
        <v>0</v>
      </c>
      <c r="EG324" s="835">
        <f>+IF(DO324=DN324,0,
IF(AND(EG$44&gt;1,DO324=$N324),1-SUM($EE324:EF324),
IF($N324&lt;=1,
IF($N324&gt;0,1/$N324,0),
IF(EG$44=1,0,VDB(1,0,$N324,INT(EG$44-1-1),MIN($N324,INT(EG$44-1-1)+1),$DC324,IF($DD324="No",1,0))/
IF(DN324&gt;=INT($N324),$N324-INT($N324),1)))*
IF(EG$44=1,0,
IF(INT(DO324)=INT(DN324),DO324-DN324,INT(DO324)-DN324))+
IF($N324&lt;=1,
IF($N324&gt;0,1/$N324,0),VDB(1,0,$N324,INT(EG$44-1),MIN($N324,INT(EG$44-1)+1),$DC324,IF($DD324="No",1,0))/
IF(DO324&gt;INT($N324),$N324-INT($N324),1))*
IF(EG$44=1,DO324,
IF(INT(DO324)=INT(DN324),0,DO324-INT(DO324)))))</f>
        <v>0</v>
      </c>
      <c r="EH324" s="836">
        <f>+IF(DP324=DO324,0,
IF(AND(EH$44&gt;1,DP324=$N324),1-SUM($EE324:EG324),
IF($N324&lt;=1,
IF($N324&gt;0,1/$N324,0),
IF(EH$44=1,0,VDB(1,0,$N324,INT(EH$44-1-1),MIN($N324,INT(EH$44-1-1)+1),$DC324,IF($DD324="No",1,0))/
IF(DO324&gt;=INT($N324),$N324-INT($N324),1)))*
IF(EH$44=1,0,
IF(INT(DP324)=INT(DO324),DP324-DO324,INT(DP324)-DO324))+
IF($N324&lt;=1,
IF($N324&gt;0,1/$N324,0),VDB(1,0,$N324,INT(EH$44-1),MIN($N324,INT(EH$44-1)+1),$DC324,IF($DD324="No",1,0))/
IF(DP324&gt;INT($N324),$N324-INT($N324),1))*
IF(EH$44=1,DP324,
IF(INT(DP324)=INT(DO324),0,DP324-INT(DP324)))))</f>
        <v>0</v>
      </c>
      <c r="EI324" s="834">
        <f>+IF(DQ324=DP324,0,
IF(AND(EI$44&gt;1,DQ324=$N324),1-SUM($EE324:EH324),
IF($N324&lt;=1,
IF($N324&gt;0,1/$N324,0),
IF(EI$44=1,0,VDB(1,0,$N324,INT(EI$44-1-1),MIN($N324,INT(EI$44-1-1)+1),$DC324,IF($DD324="No",1,0))/
IF(DP324&gt;=INT($N324),$N324-INT($N324),1)))*
IF(EI$44=1,0,
IF(INT(DQ324)=INT(DP324),DQ324-DP324,INT(DQ324)-DP324))+
IF($N324&lt;=1,
IF($N324&gt;0,1/$N324,0),VDB(1,0,$N324,INT(EI$44-1),MIN($N324,INT(EI$44-1)+1),$DC324,IF($DD324="No",1,0))/
IF(DQ324&gt;INT($N324),$N324-INT($N324),1))*
IF(EI$44=1,DQ324,
IF(INT(DQ324)=INT(DP324),0,DQ324-INT(DQ324)))))</f>
        <v>0</v>
      </c>
      <c r="EJ324" s="835">
        <f>+IF(DR324=DQ324,0,
IF(AND(EJ$44&gt;1,DR324=$N324),1-SUM($EE324:EI324),
IF($N324&lt;=1,
IF($N324&gt;0,1/$N324,0),
IF(EJ$44=1,0,VDB(1,0,$N324,INT(EJ$44-1-1),MIN($N324,INT(EJ$44-1-1)+1),$DC324,IF($DD324="No",1,0))/
IF(DQ324&gt;=INT($N324),$N324-INT($N324),1)))*
IF(EJ$44=1,0,
IF(INT(DR324)=INT(DQ324),DR324-DQ324,INT(DR324)-DQ324))+
IF($N324&lt;=1,
IF($N324&gt;0,1/$N324,0),VDB(1,0,$N324,INT(EJ$44-1),MIN($N324,INT(EJ$44-1)+1),$DC324,IF($DD324="No",1,0))/
IF(DR324&gt;INT($N324),$N324-INT($N324),1))*
IF(EJ$44=1,DR324,
IF(INT(DR324)=INT(DQ324),0,DR324-INT(DR324)))))</f>
        <v>0</v>
      </c>
      <c r="EK324" s="835">
        <f>+IF(DS324=DR324,0,
IF(AND(EK$44&gt;1,DS324=$N324),1-SUM($EE324:EJ324),
IF($N324&lt;=1,
IF($N324&gt;0,1/$N324,0),
IF(EK$44=1,0,VDB(1,0,$N324,INT(EK$44-1-1),MIN($N324,INT(EK$44-1-1)+1),$DC324,IF($DD324="No",1,0))/
IF(DR324&gt;=INT($N324),$N324-INT($N324),1)))*
IF(EK$44=1,0,
IF(INT(DS324)=INT(DR324),DS324-DR324,INT(DS324)-DR324))+
IF($N324&lt;=1,
IF($N324&gt;0,1/$N324,0),VDB(1,0,$N324,INT(EK$44-1),MIN($N324,INT(EK$44-1)+1),$DC324,IF($DD324="No",1,0))/
IF(DS324&gt;INT($N324),$N324-INT($N324),1))*
IF(EK$44=1,DS324,
IF(INT(DS324)=INT(DR324),0,DS324-INT(DS324)))))</f>
        <v>0</v>
      </c>
      <c r="EL324" s="835">
        <f>+IF(DT324=DS324,0,
IF(AND(EL$44&gt;1,DT324=$N324),1-SUM($EE324:EK324),
IF($N324&lt;=1,
IF($N324&gt;0,1/$N324,0),
IF(EL$44=1,0,VDB(1,0,$N324,INT(EL$44-1-1),MIN($N324,INT(EL$44-1-1)+1),$DC324,IF($DD324="No",1,0))/
IF(DS324&gt;=INT($N324),$N324-INT($N324),1)))*
IF(EL$44=1,0,
IF(INT(DT324)=INT(DS324),DT324-DS324,INT(DT324)-DS324))+
IF($N324&lt;=1,
IF($N324&gt;0,1/$N324,0),VDB(1,0,$N324,INT(EL$44-1),MIN($N324,INT(EL$44-1)+1),$DC324,IF($DD324="No",1,0))/
IF(DT324&gt;INT($N324),$N324-INT($N324),1))*
IF(EL$44=1,DT324,
IF(INT(DT324)=INT(DS324),0,DT324-INT(DT324)))))</f>
        <v>0</v>
      </c>
      <c r="EM324" s="836">
        <f>+IF(DU324=DT324,0,
IF(AND(EM$44&gt;1,DU324=$N324),1-SUM($EE324:EL324),
IF($N324&lt;=1,
IF($N324&gt;0,1/$N324,0),
IF(EM$44=1,0,VDB(1,0,$N324,INT(EM$44-1-1),MIN($N324,INT(EM$44-1-1)+1),$DC324,IF($DD324="No",1,0))/
IF(DT324&gt;=INT($N324),$N324-INT($N324),1)))*
IF(EM$44=1,0,
IF(INT(DU324)=INT(DT324),DU324-DT324,INT(DU324)-DT324))+
IF($N324&lt;=1,
IF($N324&gt;0,1/$N324,0),VDB(1,0,$N324,INT(EM$44-1),MIN($N324,INT(EM$44-1)+1),$DC324,IF($DD324="No",1,0))/
IF(DU324&gt;INT($N324),$N324-INT($N324),1))*
IF(EM$44=1,DU324,
IF(INT(DU324)=INT(DT324),0,DU324-INT(DU324)))))</f>
        <v>0</v>
      </c>
      <c r="EN324" s="833"/>
      <c r="EO324" s="834">
        <f>+IF(OR(DW324=DV324,EO$44=1),0,
IF(AND(EO$44&gt;1,DW324=$N324),1-SUM($EN324:EN324),
IF($N324&lt;=1,
IF($N324&gt;0,1/$N324,0),
IF(EO$44=2,0,VDB(1,0,$N324,INT(EO$44-2-1),MIN($N324,INT(EO$44-2-1)+1),$DC324,IF($DD324="No",1,0))/
IF(DV324&gt;=INT($N324),$N324-INT($N324),1)))*
IF(EO$44=2,0,
IF(INT(DW324)=INT(DV324),DW324-DV324,INT(DW324)-DV324))+
IF($N324&lt;=1,
IF($N324&gt;0,1/$N324,0),VDB(1,0,$N324,INT(EO$44-2),MIN($N324,INT(EO$44-2)+1),$DC324,IF($DD324="No",1,0))/
IF(DW324&gt;INT($N324),$N324-INT($N324),1))*
IF(EO$44=2,DW324,
IF(INT(DW324)=INT(DV324),0,DW324-INT(DW324)))))</f>
        <v>0</v>
      </c>
      <c r="EP324" s="835">
        <f>+IF(OR(DX324=DW324,EP$44=1),0,
IF(AND(EP$44&gt;1,DX324=$N324),1-SUM($EN324:EO324),
IF($N324&lt;=1,
IF($N324&gt;0,1/$N324,0),
IF(EP$44=2,0,VDB(1,0,$N324,INT(EP$44-2-1),MIN($N324,INT(EP$44-2-1)+1),$DC324,IF($DD324="No",1,0))/
IF(DW324&gt;=INT($N324),$N324-INT($N324),1)))*
IF(EP$44=2,0,
IF(INT(DX324)=INT(DW324),DX324-DW324,INT(DX324)-DW324))+
IF($N324&lt;=1,
IF($N324&gt;0,1/$N324,0),VDB(1,0,$N324,INT(EP$44-2),MIN($N324,INT(EP$44-2)+1),$DC324,IF($DD324="No",1,0))/
IF(DX324&gt;INT($N324),$N324-INT($N324),1))*
IF(EP$44=2,DX324,
IF(INT(DX324)=INT(DW324),0,DX324-INT(DX324)))))</f>
        <v>0</v>
      </c>
      <c r="EQ324" s="836">
        <f>+IF(OR(DY324=DX324,EQ$44=1),0,
IF(AND(EQ$44&gt;1,DY324=$N324),1-SUM($EN324:EP324),
IF($N324&lt;=1,
IF($N324&gt;0,1/$N324,0),
IF(EQ$44=2,0,VDB(1,0,$N324,INT(EQ$44-2-1),MIN($N324,INT(EQ$44-2-1)+1),$DC324,IF($DD324="No",1,0))/
IF(DX324&gt;=INT($N324),$N324-INT($N324),1)))*
IF(EQ$44=2,0,
IF(INT(DY324)=INT(DX324),DY324-DX324,INT(DY324)-DX324))+
IF($N324&lt;=1,
IF($N324&gt;0,1/$N324,0),VDB(1,0,$N324,INT(EQ$44-2),MIN($N324,INT(EQ$44-2)+1),$DC324,IF($DD324="No",1,0))/
IF(DY324&gt;INT($N324),$N324-INT($N324),1))*
IF(EQ$44=2,DY324,
IF(INT(DY324)=INT(DX324),0,DY324-INT(DY324)))))</f>
        <v>0</v>
      </c>
      <c r="ER324" s="834">
        <f>+IF(OR(DZ324=DY324,ER$44=1),0,
IF(AND(ER$44&gt;1,DZ324=$N324),1-SUM($EN324:EQ324),
IF($N324&lt;=1,
IF($N324&gt;0,1/$N324,0),
IF(ER$44=2,0,VDB(1,0,$N324,INT(ER$44-2-1),MIN($N324,INT(ER$44-2-1)+1),$DC324,IF($DD324="No",1,0))/
IF(DY324&gt;=INT($N324),$N324-INT($N324),1)))*
IF(ER$44=2,0,
IF(INT(DZ324)=INT(DY324),DZ324-DY324,INT(DZ324)-DY324))+
IF($N324&lt;=1,
IF($N324&gt;0,1/$N324,0),VDB(1,0,$N324,INT(ER$44-2),MIN($N324,INT(ER$44-2)+1),$DC324,IF($DD324="No",1,0))/
IF(DZ324&gt;INT($N324),$N324-INT($N324),1))*
IF(ER$44=2,DZ324,
IF(INT(DZ324)=INT(DY324),0,DZ324-INT(DZ324)))))</f>
        <v>0</v>
      </c>
      <c r="ES324" s="835">
        <f>+IF(OR(EA324=DZ324,ES$44=1),0,
IF(AND(ES$44&gt;1,EA324=$N324),1-SUM($EN324:ER324),
IF($N324&lt;=1,
IF($N324&gt;0,1/$N324,0),
IF(ES$44=2,0,VDB(1,0,$N324,INT(ES$44-2-1),MIN($N324,INT(ES$44-2-1)+1),$DC324,IF($DD324="No",1,0))/
IF(DZ324&gt;=INT($N324),$N324-INT($N324),1)))*
IF(ES$44=2,0,
IF(INT(EA324)=INT(DZ324),EA324-DZ324,INT(EA324)-DZ324))+
IF($N324&lt;=1,
IF($N324&gt;0,1/$N324,0),VDB(1,0,$N324,INT(ES$44-2),MIN($N324,INT(ES$44-2)+1),$DC324,IF($DD324="No",1,0))/
IF(EA324&gt;INT($N324),$N324-INT($N324),1))*
IF(ES$44=2,EA324,
IF(INT(EA324)=INT(DZ324),0,EA324-INT(EA324)))))</f>
        <v>0</v>
      </c>
      <c r="ET324" s="835">
        <f>+IF(OR(EB324=EA324,ET$44=1),0,
IF(AND(ET$44&gt;1,EB324=$N324),1-SUM($EN324:ES324),
IF($N324&lt;=1,
IF($N324&gt;0,1/$N324,0),
IF(ET$44=2,0,VDB(1,0,$N324,INT(ET$44-2-1),MIN($N324,INT(ET$44-2-1)+1),$DC324,IF($DD324="No",1,0))/
IF(EA324&gt;=INT($N324),$N324-INT($N324),1)))*
IF(ET$44=2,0,
IF(INT(EB324)=INT(EA324),EB324-EA324,INT(EB324)-EA324))+
IF($N324&lt;=1,
IF($N324&gt;0,1/$N324,0),VDB(1,0,$N324,INT(ET$44-2),MIN($N324,INT(ET$44-2)+1),$DC324,IF($DD324="No",1,0))/
IF(EB324&gt;INT($N324),$N324-INT($N324),1))*
IF(ET$44=2,EB324,
IF(INT(EB324)=INT(EA324),0,EB324-INT(EB324)))))</f>
        <v>0</v>
      </c>
      <c r="EU324" s="835">
        <f>+IF(OR(EC324=EB324,EU$44=1),0,
IF(AND(EU$44&gt;1,EC324=$N324),1-SUM($EN324:ET324),
IF($N324&lt;=1,
IF($N324&gt;0,1/$N324,0),
IF(EU$44=2,0,VDB(1,0,$N324,INT(EU$44-2-1),MIN($N324,INT(EU$44-2-1)+1),$DC324,IF($DD324="No",1,0))/
IF(EB324&gt;=INT($N324),$N324-INT($N324),1)))*
IF(EU$44=2,0,
IF(INT(EC324)=INT(EB324),EC324-EB324,INT(EC324)-EB324))+
IF($N324&lt;=1,
IF($N324&gt;0,1/$N324,0),VDB(1,0,$N324,INT(EU$44-2),MIN($N324,INT(EU$44-2)+1),$DC324,IF($DD324="No",1,0))/
IF(EC324&gt;INT($N324),$N324-INT($N324),1))*
IF(EU$44=2,EC324,
IF(INT(EC324)=INT(EB324),0,EC324-INT(EC324)))))</f>
        <v>0</v>
      </c>
      <c r="EV324" s="836">
        <f>+IF(OR(ED324=EC324,EV$44=1),0,
IF(AND(EV$44&gt;1,ED324=$N324),1-SUM($EN324:EU324),
IF($N324&lt;=1,
IF($N324&gt;0,1/$N324,0),
IF(EV$44=2,0,VDB(1,0,$N324,INT(EV$44-2-1),MIN($N324,INT(EV$44-2-1)+1),$DC324,IF($DD324="No",1,0))/
IF(EC324&gt;=INT($N324),$N324-INT($N324),1)))*
IF(EV$44=2,0,
IF(INT(ED324)=INT(EC324),ED324-EC324,INT(ED324)-EC324))+
IF($N324&lt;=1,
IF($N324&gt;0,1/$N324,0),VDB(1,0,$N324,INT(EV$44-2),MIN($N324,INT(EV$44-2)+1),$DC324,IF($DD324="No",1,0))/
IF(ED324&gt;INT($N324),$N324-INT($N324),1))*
IF(EV$44=2,ED324,
IF(INT(ED324)=INT(EC324),0,ED324-INT(ED324)))))</f>
        <v>0</v>
      </c>
      <c r="EW324" s="833"/>
      <c r="EX324" s="834">
        <f t="shared" ca="1" si="559"/>
        <v>0</v>
      </c>
      <c r="EY324" s="835">
        <f t="shared" ca="1" si="559"/>
        <v>0</v>
      </c>
      <c r="EZ324" s="836">
        <f t="shared" ca="1" si="559"/>
        <v>0</v>
      </c>
      <c r="FA324" s="834">
        <f t="shared" ca="1" si="559"/>
        <v>0</v>
      </c>
      <c r="FB324" s="835">
        <f t="shared" ca="1" si="559"/>
        <v>0</v>
      </c>
      <c r="FC324" s="835">
        <f t="shared" ca="1" si="559"/>
        <v>0</v>
      </c>
      <c r="FD324" s="835">
        <f t="shared" ca="1" si="559"/>
        <v>0</v>
      </c>
      <c r="FE324" s="836">
        <f t="shared" ca="1" si="559"/>
        <v>0</v>
      </c>
      <c r="FG324" s="386">
        <f t="shared" ca="1" si="521"/>
        <v>0</v>
      </c>
      <c r="FH324" s="387">
        <f t="shared" ca="1" si="522"/>
        <v>0</v>
      </c>
      <c r="FI324" s="388">
        <f t="shared" ca="1" si="523"/>
        <v>0</v>
      </c>
      <c r="FJ324" s="386">
        <f t="shared" ca="1" si="524"/>
        <v>0</v>
      </c>
      <c r="FK324" s="387">
        <f t="shared" ca="1" si="525"/>
        <v>0</v>
      </c>
      <c r="FL324" s="387">
        <f t="shared" ca="1" si="526"/>
        <v>0</v>
      </c>
      <c r="FM324" s="387">
        <f t="shared" ca="1" si="527"/>
        <v>0</v>
      </c>
      <c r="FN324" s="388">
        <f t="shared" ca="1" si="528"/>
        <v>0</v>
      </c>
      <c r="FR324" s="116"/>
    </row>
    <row r="325" spans="2:174">
      <c r="B325" s="1410">
        <f t="shared" si="556"/>
        <v>279</v>
      </c>
      <c r="C325" s="400"/>
      <c r="D325" s="410"/>
      <c r="E325" s="402"/>
      <c r="F325" s="402"/>
      <c r="G325" s="400"/>
      <c r="H325" s="2088"/>
      <c r="I325" s="2089"/>
      <c r="J325" s="411"/>
      <c r="K325" s="403"/>
      <c r="L325" s="403"/>
      <c r="M325" s="403"/>
      <c r="N325" s="403"/>
      <c r="O325" s="347"/>
      <c r="P325" s="347"/>
      <c r="Q325" s="1021"/>
      <c r="R325" s="1022"/>
      <c r="S325" s="1022"/>
      <c r="T325" s="1022"/>
      <c r="U325" s="1023"/>
      <c r="V325" s="1021"/>
      <c r="W325" s="1022"/>
      <c r="X325" s="1022"/>
      <c r="Y325" s="1022"/>
      <c r="Z325" s="1023"/>
      <c r="AA325" s="1024"/>
      <c r="AB325" s="1021"/>
      <c r="AC325" s="1022"/>
      <c r="AD325" s="1022"/>
      <c r="AE325" s="1022"/>
      <c r="AF325" s="1023"/>
      <c r="AG325" s="1021"/>
      <c r="AH325" s="1022"/>
      <c r="AI325" s="1022"/>
      <c r="AJ325" s="1022"/>
      <c r="AK325" s="1023"/>
      <c r="AL325" s="1024"/>
      <c r="AM325" s="1021"/>
      <c r="AN325" s="1022"/>
      <c r="AO325" s="1022"/>
      <c r="AP325" s="1022"/>
      <c r="AQ325" s="1023"/>
      <c r="AR325" s="1021"/>
      <c r="AS325" s="1022"/>
      <c r="AT325" s="1022"/>
      <c r="AU325" s="1022"/>
      <c r="AV325" s="1023"/>
      <c r="AW325" s="1025"/>
      <c r="AX325" s="1282">
        <f t="shared" si="532"/>
        <v>0</v>
      </c>
      <c r="AY325" s="387">
        <f t="shared" si="533"/>
        <v>0</v>
      </c>
      <c r="AZ325" s="387">
        <f t="shared" si="534"/>
        <v>0</v>
      </c>
      <c r="BA325" s="387">
        <f t="shared" si="535"/>
        <v>0</v>
      </c>
      <c r="BB325" s="1283">
        <f t="shared" si="536"/>
        <v>0</v>
      </c>
      <c r="BC325" s="386">
        <f t="shared" si="537"/>
        <v>0</v>
      </c>
      <c r="BD325" s="387">
        <f t="shared" si="538"/>
        <v>0</v>
      </c>
      <c r="BE325" s="1277">
        <f t="shared" si="539"/>
        <v>0</v>
      </c>
      <c r="BF325" s="1277">
        <f t="shared" si="539"/>
        <v>0</v>
      </c>
      <c r="BG325" s="388">
        <f t="shared" si="539"/>
        <v>0</v>
      </c>
      <c r="BH325" s="1025"/>
      <c r="BI325" s="1282">
        <f t="shared" ca="1" si="540"/>
        <v>0</v>
      </c>
      <c r="BJ325" s="387">
        <f t="shared" ca="1" si="541"/>
        <v>0</v>
      </c>
      <c r="BK325" s="387">
        <f t="shared" ca="1" si="542"/>
        <v>0</v>
      </c>
      <c r="BL325" s="387">
        <f t="shared" ca="1" si="543"/>
        <v>0</v>
      </c>
      <c r="BM325" s="1283">
        <f t="shared" ca="1" si="544"/>
        <v>0</v>
      </c>
      <c r="BN325" s="386">
        <f t="shared" ca="1" si="545"/>
        <v>0</v>
      </c>
      <c r="BO325" s="387">
        <f t="shared" ca="1" si="545"/>
        <v>0</v>
      </c>
      <c r="BP325" s="1277">
        <f t="shared" ca="1" si="545"/>
        <v>0</v>
      </c>
      <c r="BQ325" s="1277">
        <f t="shared" ca="1" si="545"/>
        <v>0</v>
      </c>
      <c r="BR325" s="388">
        <f t="shared" ca="1" si="545"/>
        <v>0</v>
      </c>
      <c r="BS325" s="1025"/>
      <c r="BT325" s="1282">
        <f>+IF($K325="Ongoing",AX325,IF(RIGHT($K325,2)=RIGHT(BT$43,2),SUM($AX325:AX325),0)+IF(RIGHT(BT$43,2)&gt;RIGHT($K325,2),AX325,0))</f>
        <v>0</v>
      </c>
      <c r="BU325" s="387">
        <f>+IF($K325="Ongoing",AY325,IF(RIGHT($K325,2)=RIGHT(BU$43,2),SUM($AX325:AY325),0)+IF(RIGHT(BU$43,2)&gt;RIGHT($K325,2),AY325,0))</f>
        <v>0</v>
      </c>
      <c r="BV325" s="387">
        <f>+IF($K325="Ongoing",AZ325,IF(RIGHT($K325,2)=RIGHT(BV$43,2),SUM($AX325:AZ325),0)+IF(RIGHT(BV$43,2)&gt;RIGHT($K325,2),AZ325,0))</f>
        <v>0</v>
      </c>
      <c r="BW325" s="387">
        <f>+IF($K325="Ongoing",BA325,IF(RIGHT($K325,2)=RIGHT(BW$43,2),SUM($AX325:BA325),0)+IF(RIGHT(BW$43,2)&gt;RIGHT($K325,2),BA325,0))</f>
        <v>0</v>
      </c>
      <c r="BX325" s="1283">
        <f>+IF($K325="Ongoing",BB325,IF(RIGHT($K325,2)=RIGHT(BX$43,2),SUM($AX325:BB325),0)+IF(RIGHT(BX$43,2)&gt;RIGHT($K325,2),BB325,0))</f>
        <v>0</v>
      </c>
      <c r="BY325" s="386">
        <f>+IF($K325="Ongoing",BC325,IF(RIGHT($K325,2)=RIGHT(BY$43,2),SUM($AX325:BC325),0)+IF(RIGHT(BY$43,2)&gt;RIGHT($K325,2),BC325,0))</f>
        <v>0</v>
      </c>
      <c r="BZ325" s="387">
        <f>+IF($K325="Ongoing",BD325,IF(RIGHT($K325,2)=RIGHT(BZ$43,2),SUM($AX325:BD325),0)+IF(RIGHT(BZ$43,2)&gt;RIGHT($K325,2),BD325,0))</f>
        <v>0</v>
      </c>
      <c r="CA325" s="1277">
        <f>+IF($K325="Ongoing",BE325,IF(RIGHT($K325,2)=RIGHT(CA$43,2),SUM($AX325:BE325),0)+IF(RIGHT(CA$43,2)&gt;RIGHT($K325,2),BE325,0))</f>
        <v>0</v>
      </c>
      <c r="CB325" s="1277">
        <f>+IF($K325="Ongoing",BF325,IF(RIGHT($K325,2)=RIGHT(CB$43,2),SUM($AX325:BF325),0)+IF(RIGHT(CB$43,2)&gt;RIGHT($K325,2),BF325,0))</f>
        <v>0</v>
      </c>
      <c r="CC325" s="388">
        <f>+IF($K325="Ongoing",BG325,IF(RIGHT($K325,2)=RIGHT(CC$43,2),SUM($AX325:BG325),0)+IF(RIGHT(CC$43,2)&gt;RIGHT($K325,2),BG325,0))</f>
        <v>0</v>
      </c>
      <c r="CD325" s="1025"/>
      <c r="CE325" s="1282">
        <f>+Q325*KeyAssumptionsPriceControl_FO!AF$15</f>
        <v>0</v>
      </c>
      <c r="CF325" s="387">
        <f>+R325*KeyAssumptionsPriceControl_FO!AG$15</f>
        <v>0</v>
      </c>
      <c r="CG325" s="387">
        <f>+S325*KeyAssumptionsPriceControl_FO!AH$15</f>
        <v>0</v>
      </c>
      <c r="CH325" s="387">
        <f>+T325*KeyAssumptionsPriceControl_FO!AI$15</f>
        <v>0</v>
      </c>
      <c r="CI325" s="1283">
        <f>+U325*KeyAssumptionsPriceControl_FO!AJ$15</f>
        <v>0</v>
      </c>
      <c r="CJ325" s="386">
        <f>+V325*KeyAssumptionsPriceControl_FO!AK$15</f>
        <v>0</v>
      </c>
      <c r="CK325" s="387">
        <f>+W325*KeyAssumptionsPriceControl_FO!AL$15</f>
        <v>0</v>
      </c>
      <c r="CL325" s="1277">
        <f>+X325*KeyAssumptionsPriceControl_FO!AM$15</f>
        <v>0</v>
      </c>
      <c r="CM325" s="1277">
        <f>+Y325*KeyAssumptionsPriceControl_FO!AN$15</f>
        <v>0</v>
      </c>
      <c r="CN325" s="388">
        <f>+Z325*KeyAssumptionsPriceControl_FO!AO$15</f>
        <v>0</v>
      </c>
      <c r="CO325" s="1025"/>
      <c r="CP325" s="1282">
        <f t="shared" ca="1" si="546"/>
        <v>0</v>
      </c>
      <c r="CQ325" s="387">
        <f t="shared" ca="1" si="547"/>
        <v>0</v>
      </c>
      <c r="CR325" s="387">
        <f t="shared" ca="1" si="548"/>
        <v>0</v>
      </c>
      <c r="CS325" s="387">
        <f t="shared" ca="1" si="549"/>
        <v>0</v>
      </c>
      <c r="CT325" s="1283">
        <f t="shared" ca="1" si="550"/>
        <v>0</v>
      </c>
      <c r="CU325" s="386">
        <f t="shared" ca="1" si="551"/>
        <v>0</v>
      </c>
      <c r="CV325" s="387">
        <f t="shared" ca="1" si="552"/>
        <v>0</v>
      </c>
      <c r="CW325" s="1277">
        <f t="shared" ca="1" si="553"/>
        <v>0</v>
      </c>
      <c r="CX325" s="1277">
        <f t="shared" ca="1" si="554"/>
        <v>0</v>
      </c>
      <c r="CY325" s="388">
        <f t="shared" ca="1" si="555"/>
        <v>0</v>
      </c>
      <c r="CZ325" s="347"/>
      <c r="DA325" s="852"/>
      <c r="DB325" s="347"/>
      <c r="DC325" s="1012" t="s">
        <v>517</v>
      </c>
      <c r="DD325" s="841" t="s">
        <v>518</v>
      </c>
      <c r="DE325" s="386">
        <f>+IF($K325="ongoing",CE325,IF(RIGHT($K325,2)=RIGHT(DE$43,2),SUM($CD325:CE325),0)+IF(RIGHT(DE$43,2)&gt;RIGHT($K325,2),CE325,0))</f>
        <v>0</v>
      </c>
      <c r="DF325" s="387">
        <f>+IF($K325="ongoing",CF325,IF(RIGHT($K325,2)=RIGHT(DF$43,2),SUM($CD325:CF325),0)+IF(RIGHT(DF$43,2)&gt;RIGHT($K325,2),CF325,0))</f>
        <v>0</v>
      </c>
      <c r="DG325" s="388">
        <f>+IF($K325="ongoing",CG325,IF(RIGHT($K325,2)=RIGHT(DG$43,2),SUM($CD325:CG325),0)+IF(RIGHT(DG$43,2)&gt;RIGHT($K325,2),CG325,0))</f>
        <v>0</v>
      </c>
      <c r="DH325" s="386">
        <f>+IF($K325="ongoing",CH325,IF(RIGHT($K325,2)=RIGHT(DH$43,2),SUM($CD325:CH325),0)+IF(RIGHT(DH$43,2)&gt;RIGHT($K325,2),CH325,0))</f>
        <v>0</v>
      </c>
      <c r="DI325" s="387">
        <f>+IF($K325="ongoing",CI325,IF(RIGHT($K325,2)=RIGHT(DI$43,2),SUM($CD325:CI325),0)+IF(RIGHT(DI$43,2)&gt;RIGHT($K325,2),CI325,0))</f>
        <v>0</v>
      </c>
      <c r="DJ325" s="387">
        <f>+IF($K325="ongoing",CJ325,IF(RIGHT($K325,2)=RIGHT(DJ$43,2),SUM($CD325:CJ325),0)+IF(RIGHT(DJ$43,2)&gt;RIGHT($K325,2),CJ325,0))</f>
        <v>0</v>
      </c>
      <c r="DK325" s="387">
        <f>+IF($K325="ongoing",CK325,IF(RIGHT($K325,2)=RIGHT(DK$43,2),SUM($CD325:CK325),0)+IF(RIGHT(DK$43,2)&gt;RIGHT($K325,2),CK325,0))</f>
        <v>0</v>
      </c>
      <c r="DL325" s="388">
        <f>+IF($K325="ongoing",CN325,IF(RIGHT($K325,2)=RIGHT(DL$43,2),SUM($CD325:CN325),0)+IF(RIGHT(DL$43,2)&gt;RIGHT($K325,2),CN325,0))</f>
        <v>0</v>
      </c>
      <c r="DM325" s="841"/>
      <c r="DN325" s="386">
        <f t="shared" si="557"/>
        <v>0.5</v>
      </c>
      <c r="DO325" s="387">
        <f t="shared" si="557"/>
        <v>1</v>
      </c>
      <c r="DP325" s="388">
        <f t="shared" si="557"/>
        <v>1</v>
      </c>
      <c r="DQ325" s="386">
        <f t="shared" si="557"/>
        <v>1</v>
      </c>
      <c r="DR325" s="387">
        <f t="shared" si="557"/>
        <v>1</v>
      </c>
      <c r="DS325" s="387">
        <f t="shared" si="557"/>
        <v>1</v>
      </c>
      <c r="DT325" s="387">
        <f t="shared" si="557"/>
        <v>1</v>
      </c>
      <c r="DU325" s="388">
        <f t="shared" si="557"/>
        <v>1</v>
      </c>
      <c r="DW325" s="386">
        <f t="shared" si="558"/>
        <v>0</v>
      </c>
      <c r="DX325" s="387">
        <f t="shared" si="558"/>
        <v>0.5</v>
      </c>
      <c r="DY325" s="388">
        <f t="shared" si="558"/>
        <v>1</v>
      </c>
      <c r="DZ325" s="386">
        <f t="shared" si="558"/>
        <v>1</v>
      </c>
      <c r="EA325" s="387">
        <f t="shared" si="558"/>
        <v>1</v>
      </c>
      <c r="EB325" s="387">
        <f t="shared" si="558"/>
        <v>1</v>
      </c>
      <c r="EC325" s="387">
        <f t="shared" si="558"/>
        <v>1</v>
      </c>
      <c r="ED325" s="388">
        <f t="shared" si="558"/>
        <v>1</v>
      </c>
      <c r="EF325" s="834">
        <f>+IF(DN325=DM325,0,
IF(AND(EF$44&gt;1,DN325=$N325),1-SUM($EE325:EE325),
IF($N325&lt;=1,
IF($N325&gt;0,1/$N325,0),
IF(EF$44=1,0,VDB(1,0,$N325,INT(EF$44-1-1),MIN($N325,INT(EF$44-1-1)+1),$DC325,IF($DD325="No",1,0))/
IF(DM325&gt;=INT($N325),$N325-INT($N325),1)))*
IF(EF$44=1,0,
IF(INT(DN325)=INT(DM325),DN325-DM325,INT(DN325)-DM325))+
IF($N325&lt;=1,
IF($N325&gt;0,1/$N325,0),VDB(1,0,$N325,INT(EF$44-1),MIN($N325,INT(EF$44-1)+1),$DC325,IF($DD325="No",1,0))/
IF(DN325&gt;INT($N325),$N325-INT($N325),1))*
IF(EF$44=1,DN325,
IF(INT(DN325)=INT(DM325),0,DN325-INT(DN325)))))</f>
        <v>0</v>
      </c>
      <c r="EG325" s="835">
        <f>+IF(DO325=DN325,0,
IF(AND(EG$44&gt;1,DO325=$N325),1-SUM($EE325:EF325),
IF($N325&lt;=1,
IF($N325&gt;0,1/$N325,0),
IF(EG$44=1,0,VDB(1,0,$N325,INT(EG$44-1-1),MIN($N325,INT(EG$44-1-1)+1),$DC325,IF($DD325="No",1,0))/
IF(DN325&gt;=INT($N325),$N325-INT($N325),1)))*
IF(EG$44=1,0,
IF(INT(DO325)=INT(DN325),DO325-DN325,INT(DO325)-DN325))+
IF($N325&lt;=1,
IF($N325&gt;0,1/$N325,0),VDB(1,0,$N325,INT(EG$44-1),MIN($N325,INT(EG$44-1)+1),$DC325,IF($DD325="No",1,0))/
IF(DO325&gt;INT($N325),$N325-INT($N325),1))*
IF(EG$44=1,DO325,
IF(INT(DO325)=INT(DN325),0,DO325-INT(DO325)))))</f>
        <v>0</v>
      </c>
      <c r="EH325" s="836">
        <f>+IF(DP325=DO325,0,
IF(AND(EH$44&gt;1,DP325=$N325),1-SUM($EE325:EG325),
IF($N325&lt;=1,
IF($N325&gt;0,1/$N325,0),
IF(EH$44=1,0,VDB(1,0,$N325,INT(EH$44-1-1),MIN($N325,INT(EH$44-1-1)+1),$DC325,IF($DD325="No",1,0))/
IF(DO325&gt;=INT($N325),$N325-INT($N325),1)))*
IF(EH$44=1,0,
IF(INT(DP325)=INT(DO325),DP325-DO325,INT(DP325)-DO325))+
IF($N325&lt;=1,
IF($N325&gt;0,1/$N325,0),VDB(1,0,$N325,INT(EH$44-1),MIN($N325,INT(EH$44-1)+1),$DC325,IF($DD325="No",1,0))/
IF(DP325&gt;INT($N325),$N325-INT($N325),1))*
IF(EH$44=1,DP325,
IF(INT(DP325)=INT(DO325),0,DP325-INT(DP325)))))</f>
        <v>0</v>
      </c>
      <c r="EI325" s="834">
        <f>+IF(DQ325=DP325,0,
IF(AND(EI$44&gt;1,DQ325=$N325),1-SUM($EE325:EH325),
IF($N325&lt;=1,
IF($N325&gt;0,1/$N325,0),
IF(EI$44=1,0,VDB(1,0,$N325,INT(EI$44-1-1),MIN($N325,INT(EI$44-1-1)+1),$DC325,IF($DD325="No",1,0))/
IF(DP325&gt;=INT($N325),$N325-INT($N325),1)))*
IF(EI$44=1,0,
IF(INT(DQ325)=INT(DP325),DQ325-DP325,INT(DQ325)-DP325))+
IF($N325&lt;=1,
IF($N325&gt;0,1/$N325,0),VDB(1,0,$N325,INT(EI$44-1),MIN($N325,INT(EI$44-1)+1),$DC325,IF($DD325="No",1,0))/
IF(DQ325&gt;INT($N325),$N325-INT($N325),1))*
IF(EI$44=1,DQ325,
IF(INT(DQ325)=INT(DP325),0,DQ325-INT(DQ325)))))</f>
        <v>0</v>
      </c>
      <c r="EJ325" s="835">
        <f>+IF(DR325=DQ325,0,
IF(AND(EJ$44&gt;1,DR325=$N325),1-SUM($EE325:EI325),
IF($N325&lt;=1,
IF($N325&gt;0,1/$N325,0),
IF(EJ$44=1,0,VDB(1,0,$N325,INT(EJ$44-1-1),MIN($N325,INT(EJ$44-1-1)+1),$DC325,IF($DD325="No",1,0))/
IF(DQ325&gt;=INT($N325),$N325-INT($N325),1)))*
IF(EJ$44=1,0,
IF(INT(DR325)=INT(DQ325),DR325-DQ325,INT(DR325)-DQ325))+
IF($N325&lt;=1,
IF($N325&gt;0,1/$N325,0),VDB(1,0,$N325,INT(EJ$44-1),MIN($N325,INT(EJ$44-1)+1),$DC325,IF($DD325="No",1,0))/
IF(DR325&gt;INT($N325),$N325-INT($N325),1))*
IF(EJ$44=1,DR325,
IF(INT(DR325)=INT(DQ325),0,DR325-INT(DR325)))))</f>
        <v>0</v>
      </c>
      <c r="EK325" s="835">
        <f>+IF(DS325=DR325,0,
IF(AND(EK$44&gt;1,DS325=$N325),1-SUM($EE325:EJ325),
IF($N325&lt;=1,
IF($N325&gt;0,1/$N325,0),
IF(EK$44=1,0,VDB(1,0,$N325,INT(EK$44-1-1),MIN($N325,INT(EK$44-1-1)+1),$DC325,IF($DD325="No",1,0))/
IF(DR325&gt;=INT($N325),$N325-INT($N325),1)))*
IF(EK$44=1,0,
IF(INT(DS325)=INT(DR325),DS325-DR325,INT(DS325)-DR325))+
IF($N325&lt;=1,
IF($N325&gt;0,1/$N325,0),VDB(1,0,$N325,INT(EK$44-1),MIN($N325,INT(EK$44-1)+1),$DC325,IF($DD325="No",1,0))/
IF(DS325&gt;INT($N325),$N325-INT($N325),1))*
IF(EK$44=1,DS325,
IF(INT(DS325)=INT(DR325),0,DS325-INT(DS325)))))</f>
        <v>0</v>
      </c>
      <c r="EL325" s="835">
        <f>+IF(DT325=DS325,0,
IF(AND(EL$44&gt;1,DT325=$N325),1-SUM($EE325:EK325),
IF($N325&lt;=1,
IF($N325&gt;0,1/$N325,0),
IF(EL$44=1,0,VDB(1,0,$N325,INT(EL$44-1-1),MIN($N325,INT(EL$44-1-1)+1),$DC325,IF($DD325="No",1,0))/
IF(DS325&gt;=INT($N325),$N325-INT($N325),1)))*
IF(EL$44=1,0,
IF(INT(DT325)=INT(DS325),DT325-DS325,INT(DT325)-DS325))+
IF($N325&lt;=1,
IF($N325&gt;0,1/$N325,0),VDB(1,0,$N325,INT(EL$44-1),MIN($N325,INT(EL$44-1)+1),$DC325,IF($DD325="No",1,0))/
IF(DT325&gt;INT($N325),$N325-INT($N325),1))*
IF(EL$44=1,DT325,
IF(INT(DT325)=INT(DS325),0,DT325-INT(DT325)))))</f>
        <v>0</v>
      </c>
      <c r="EM325" s="836">
        <f>+IF(DU325=DT325,0,
IF(AND(EM$44&gt;1,DU325=$N325),1-SUM($EE325:EL325),
IF($N325&lt;=1,
IF($N325&gt;0,1/$N325,0),
IF(EM$44=1,0,VDB(1,0,$N325,INT(EM$44-1-1),MIN($N325,INT(EM$44-1-1)+1),$DC325,IF($DD325="No",1,0))/
IF(DT325&gt;=INT($N325),$N325-INT($N325),1)))*
IF(EM$44=1,0,
IF(INT(DU325)=INT(DT325),DU325-DT325,INT(DU325)-DT325))+
IF($N325&lt;=1,
IF($N325&gt;0,1/$N325,0),VDB(1,0,$N325,INT(EM$44-1),MIN($N325,INT(EM$44-1)+1),$DC325,IF($DD325="No",1,0))/
IF(DU325&gt;INT($N325),$N325-INT($N325),1))*
IF(EM$44=1,DU325,
IF(INT(DU325)=INT(DT325),0,DU325-INT(DU325)))))</f>
        <v>0</v>
      </c>
      <c r="EN325" s="833"/>
      <c r="EO325" s="834">
        <f>+IF(OR(DW325=DV325,EO$44=1),0,
IF(AND(EO$44&gt;1,DW325=$N325),1-SUM($EN325:EN325),
IF($N325&lt;=1,
IF($N325&gt;0,1/$N325,0),
IF(EO$44=2,0,VDB(1,0,$N325,INT(EO$44-2-1),MIN($N325,INT(EO$44-2-1)+1),$DC325,IF($DD325="No",1,0))/
IF(DV325&gt;=INT($N325),$N325-INT($N325),1)))*
IF(EO$44=2,0,
IF(INT(DW325)=INT(DV325),DW325-DV325,INT(DW325)-DV325))+
IF($N325&lt;=1,
IF($N325&gt;0,1/$N325,0),VDB(1,0,$N325,INT(EO$44-2),MIN($N325,INT(EO$44-2)+1),$DC325,IF($DD325="No",1,0))/
IF(DW325&gt;INT($N325),$N325-INT($N325),1))*
IF(EO$44=2,DW325,
IF(INT(DW325)=INT(DV325),0,DW325-INT(DW325)))))</f>
        <v>0</v>
      </c>
      <c r="EP325" s="835">
        <f>+IF(OR(DX325=DW325,EP$44=1),0,
IF(AND(EP$44&gt;1,DX325=$N325),1-SUM($EN325:EO325),
IF($N325&lt;=1,
IF($N325&gt;0,1/$N325,0),
IF(EP$44=2,0,VDB(1,0,$N325,INT(EP$44-2-1),MIN($N325,INT(EP$44-2-1)+1),$DC325,IF($DD325="No",1,0))/
IF(DW325&gt;=INT($N325),$N325-INT($N325),1)))*
IF(EP$44=2,0,
IF(INT(DX325)=INT(DW325),DX325-DW325,INT(DX325)-DW325))+
IF($N325&lt;=1,
IF($N325&gt;0,1/$N325,0),VDB(1,0,$N325,INT(EP$44-2),MIN($N325,INT(EP$44-2)+1),$DC325,IF($DD325="No",1,0))/
IF(DX325&gt;INT($N325),$N325-INT($N325),1))*
IF(EP$44=2,DX325,
IF(INT(DX325)=INT(DW325),0,DX325-INT(DX325)))))</f>
        <v>0</v>
      </c>
      <c r="EQ325" s="836">
        <f>+IF(OR(DY325=DX325,EQ$44=1),0,
IF(AND(EQ$44&gt;1,DY325=$N325),1-SUM($EN325:EP325),
IF($N325&lt;=1,
IF($N325&gt;0,1/$N325,0),
IF(EQ$44=2,0,VDB(1,0,$N325,INT(EQ$44-2-1),MIN($N325,INT(EQ$44-2-1)+1),$DC325,IF($DD325="No",1,0))/
IF(DX325&gt;=INT($N325),$N325-INT($N325),1)))*
IF(EQ$44=2,0,
IF(INT(DY325)=INT(DX325),DY325-DX325,INT(DY325)-DX325))+
IF($N325&lt;=1,
IF($N325&gt;0,1/$N325,0),VDB(1,0,$N325,INT(EQ$44-2),MIN($N325,INT(EQ$44-2)+1),$DC325,IF($DD325="No",1,0))/
IF(DY325&gt;INT($N325),$N325-INT($N325),1))*
IF(EQ$44=2,DY325,
IF(INT(DY325)=INT(DX325),0,DY325-INT(DY325)))))</f>
        <v>0</v>
      </c>
      <c r="ER325" s="834">
        <f>+IF(OR(DZ325=DY325,ER$44=1),0,
IF(AND(ER$44&gt;1,DZ325=$N325),1-SUM($EN325:EQ325),
IF($N325&lt;=1,
IF($N325&gt;0,1/$N325,0),
IF(ER$44=2,0,VDB(1,0,$N325,INT(ER$44-2-1),MIN($N325,INT(ER$44-2-1)+1),$DC325,IF($DD325="No",1,0))/
IF(DY325&gt;=INT($N325),$N325-INT($N325),1)))*
IF(ER$44=2,0,
IF(INT(DZ325)=INT(DY325),DZ325-DY325,INT(DZ325)-DY325))+
IF($N325&lt;=1,
IF($N325&gt;0,1/$N325,0),VDB(1,0,$N325,INT(ER$44-2),MIN($N325,INT(ER$44-2)+1),$DC325,IF($DD325="No",1,0))/
IF(DZ325&gt;INT($N325),$N325-INT($N325),1))*
IF(ER$44=2,DZ325,
IF(INT(DZ325)=INT(DY325),0,DZ325-INT(DZ325)))))</f>
        <v>0</v>
      </c>
      <c r="ES325" s="835">
        <f>+IF(OR(EA325=DZ325,ES$44=1),0,
IF(AND(ES$44&gt;1,EA325=$N325),1-SUM($EN325:ER325),
IF($N325&lt;=1,
IF($N325&gt;0,1/$N325,0),
IF(ES$44=2,0,VDB(1,0,$N325,INT(ES$44-2-1),MIN($N325,INT(ES$44-2-1)+1),$DC325,IF($DD325="No",1,0))/
IF(DZ325&gt;=INT($N325),$N325-INT($N325),1)))*
IF(ES$44=2,0,
IF(INT(EA325)=INT(DZ325),EA325-DZ325,INT(EA325)-DZ325))+
IF($N325&lt;=1,
IF($N325&gt;0,1/$N325,0),VDB(1,0,$N325,INT(ES$44-2),MIN($N325,INT(ES$44-2)+1),$DC325,IF($DD325="No",1,0))/
IF(EA325&gt;INT($N325),$N325-INT($N325),1))*
IF(ES$44=2,EA325,
IF(INT(EA325)=INT(DZ325),0,EA325-INT(EA325)))))</f>
        <v>0</v>
      </c>
      <c r="ET325" s="835">
        <f>+IF(OR(EB325=EA325,ET$44=1),0,
IF(AND(ET$44&gt;1,EB325=$N325),1-SUM($EN325:ES325),
IF($N325&lt;=1,
IF($N325&gt;0,1/$N325,0),
IF(ET$44=2,0,VDB(1,0,$N325,INT(ET$44-2-1),MIN($N325,INT(ET$44-2-1)+1),$DC325,IF($DD325="No",1,0))/
IF(EA325&gt;=INT($N325),$N325-INT($N325),1)))*
IF(ET$44=2,0,
IF(INT(EB325)=INT(EA325),EB325-EA325,INT(EB325)-EA325))+
IF($N325&lt;=1,
IF($N325&gt;0,1/$N325,0),VDB(1,0,$N325,INT(ET$44-2),MIN($N325,INT(ET$44-2)+1),$DC325,IF($DD325="No",1,0))/
IF(EB325&gt;INT($N325),$N325-INT($N325),1))*
IF(ET$44=2,EB325,
IF(INT(EB325)=INT(EA325),0,EB325-INT(EB325)))))</f>
        <v>0</v>
      </c>
      <c r="EU325" s="835">
        <f>+IF(OR(EC325=EB325,EU$44=1),0,
IF(AND(EU$44&gt;1,EC325=$N325),1-SUM($EN325:ET325),
IF($N325&lt;=1,
IF($N325&gt;0,1/$N325,0),
IF(EU$44=2,0,VDB(1,0,$N325,INT(EU$44-2-1),MIN($N325,INT(EU$44-2-1)+1),$DC325,IF($DD325="No",1,0))/
IF(EB325&gt;=INT($N325),$N325-INT($N325),1)))*
IF(EU$44=2,0,
IF(INT(EC325)=INT(EB325),EC325-EB325,INT(EC325)-EB325))+
IF($N325&lt;=1,
IF($N325&gt;0,1/$N325,0),VDB(1,0,$N325,INT(EU$44-2),MIN($N325,INT(EU$44-2)+1),$DC325,IF($DD325="No",1,0))/
IF(EC325&gt;INT($N325),$N325-INT($N325),1))*
IF(EU$44=2,EC325,
IF(INT(EC325)=INT(EB325),0,EC325-INT(EC325)))))</f>
        <v>0</v>
      </c>
      <c r="EV325" s="836">
        <f>+IF(OR(ED325=EC325,EV$44=1),0,
IF(AND(EV$44&gt;1,ED325=$N325),1-SUM($EN325:EU325),
IF($N325&lt;=1,
IF($N325&gt;0,1/$N325,0),
IF(EV$44=2,0,VDB(1,0,$N325,INT(EV$44-2-1),MIN($N325,INT(EV$44-2-1)+1),$DC325,IF($DD325="No",1,0))/
IF(EC325&gt;=INT($N325),$N325-INT($N325),1)))*
IF(EV$44=2,0,
IF(INT(ED325)=INT(EC325),ED325-EC325,INT(ED325)-EC325))+
IF($N325&lt;=1,
IF($N325&gt;0,1/$N325,0),VDB(1,0,$N325,INT(EV$44-2),MIN($N325,INT(EV$44-2)+1),$DC325,IF($DD325="No",1,0))/
IF(ED325&gt;INT($N325),$N325-INT($N325),1))*
IF(EV$44=2,ED325,
IF(INT(ED325)=INT(EC325),0,ED325-INT(ED325)))))</f>
        <v>0</v>
      </c>
      <c r="EW325" s="833"/>
      <c r="EX325" s="834">
        <f t="shared" ca="1" si="559"/>
        <v>0</v>
      </c>
      <c r="EY325" s="835">
        <f t="shared" ca="1" si="559"/>
        <v>0</v>
      </c>
      <c r="EZ325" s="836">
        <f t="shared" ca="1" si="559"/>
        <v>0</v>
      </c>
      <c r="FA325" s="834">
        <f t="shared" ca="1" si="559"/>
        <v>0</v>
      </c>
      <c r="FB325" s="835">
        <f t="shared" ca="1" si="559"/>
        <v>0</v>
      </c>
      <c r="FC325" s="835">
        <f t="shared" ca="1" si="559"/>
        <v>0</v>
      </c>
      <c r="FD325" s="835">
        <f t="shared" ca="1" si="559"/>
        <v>0</v>
      </c>
      <c r="FE325" s="836">
        <f t="shared" ca="1" si="559"/>
        <v>0</v>
      </c>
      <c r="FG325" s="386">
        <f t="shared" ca="1" si="521"/>
        <v>0</v>
      </c>
      <c r="FH325" s="387">
        <f t="shared" ca="1" si="522"/>
        <v>0</v>
      </c>
      <c r="FI325" s="388">
        <f t="shared" ca="1" si="523"/>
        <v>0</v>
      </c>
      <c r="FJ325" s="386">
        <f t="shared" ca="1" si="524"/>
        <v>0</v>
      </c>
      <c r="FK325" s="387">
        <f t="shared" ca="1" si="525"/>
        <v>0</v>
      </c>
      <c r="FL325" s="387">
        <f t="shared" ca="1" si="526"/>
        <v>0</v>
      </c>
      <c r="FM325" s="387">
        <f t="shared" ca="1" si="527"/>
        <v>0</v>
      </c>
      <c r="FN325" s="388">
        <f t="shared" ca="1" si="528"/>
        <v>0</v>
      </c>
      <c r="FR325" s="116"/>
    </row>
    <row r="326" spans="2:174">
      <c r="B326" s="1410">
        <f t="shared" si="556"/>
        <v>280</v>
      </c>
      <c r="C326" s="400"/>
      <c r="D326" s="410"/>
      <c r="E326" s="402"/>
      <c r="F326" s="402"/>
      <c r="G326" s="400"/>
      <c r="H326" s="2088"/>
      <c r="I326" s="2089"/>
      <c r="J326" s="411"/>
      <c r="K326" s="403"/>
      <c r="L326" s="403"/>
      <c r="M326" s="403"/>
      <c r="N326" s="403"/>
      <c r="O326" s="347"/>
      <c r="P326" s="347"/>
      <c r="Q326" s="1021"/>
      <c r="R326" s="1022"/>
      <c r="S326" s="1022"/>
      <c r="T326" s="1022"/>
      <c r="U326" s="1023"/>
      <c r="V326" s="1021"/>
      <c r="W326" s="1022"/>
      <c r="X326" s="1022"/>
      <c r="Y326" s="1022"/>
      <c r="Z326" s="1023"/>
      <c r="AA326" s="1024"/>
      <c r="AB326" s="1021"/>
      <c r="AC326" s="1022"/>
      <c r="AD326" s="1022"/>
      <c r="AE326" s="1022"/>
      <c r="AF326" s="1023"/>
      <c r="AG326" s="1021"/>
      <c r="AH326" s="1022"/>
      <c r="AI326" s="1022"/>
      <c r="AJ326" s="1022"/>
      <c r="AK326" s="1023"/>
      <c r="AL326" s="1024"/>
      <c r="AM326" s="1021"/>
      <c r="AN326" s="1022"/>
      <c r="AO326" s="1022"/>
      <c r="AP326" s="1022"/>
      <c r="AQ326" s="1023"/>
      <c r="AR326" s="1021"/>
      <c r="AS326" s="1022"/>
      <c r="AT326" s="1022"/>
      <c r="AU326" s="1022"/>
      <c r="AV326" s="1023"/>
      <c r="AW326" s="1025"/>
      <c r="AX326" s="1282">
        <f t="shared" si="532"/>
        <v>0</v>
      </c>
      <c r="AY326" s="387">
        <f t="shared" si="533"/>
        <v>0</v>
      </c>
      <c r="AZ326" s="387">
        <f t="shared" si="534"/>
        <v>0</v>
      </c>
      <c r="BA326" s="387">
        <f t="shared" si="535"/>
        <v>0</v>
      </c>
      <c r="BB326" s="1283">
        <f t="shared" si="536"/>
        <v>0</v>
      </c>
      <c r="BC326" s="386">
        <f t="shared" si="537"/>
        <v>0</v>
      </c>
      <c r="BD326" s="387">
        <f t="shared" si="538"/>
        <v>0</v>
      </c>
      <c r="BE326" s="1277">
        <f t="shared" si="539"/>
        <v>0</v>
      </c>
      <c r="BF326" s="1277">
        <f t="shared" si="539"/>
        <v>0</v>
      </c>
      <c r="BG326" s="388">
        <f t="shared" si="539"/>
        <v>0</v>
      </c>
      <c r="BH326" s="1025"/>
      <c r="BI326" s="1282">
        <f t="shared" ca="1" si="540"/>
        <v>0</v>
      </c>
      <c r="BJ326" s="387">
        <f t="shared" ca="1" si="541"/>
        <v>0</v>
      </c>
      <c r="BK326" s="387">
        <f t="shared" ca="1" si="542"/>
        <v>0</v>
      </c>
      <c r="BL326" s="387">
        <f t="shared" ca="1" si="543"/>
        <v>0</v>
      </c>
      <c r="BM326" s="1283">
        <f t="shared" ca="1" si="544"/>
        <v>0</v>
      </c>
      <c r="BN326" s="386">
        <f t="shared" ca="1" si="545"/>
        <v>0</v>
      </c>
      <c r="BO326" s="387">
        <f t="shared" ca="1" si="545"/>
        <v>0</v>
      </c>
      <c r="BP326" s="1277">
        <f t="shared" ca="1" si="545"/>
        <v>0</v>
      </c>
      <c r="BQ326" s="1277">
        <f t="shared" ca="1" si="545"/>
        <v>0</v>
      </c>
      <c r="BR326" s="388">
        <f t="shared" ca="1" si="545"/>
        <v>0</v>
      </c>
      <c r="BS326" s="1025"/>
      <c r="BT326" s="1282">
        <f>+IF($K326="Ongoing",AX326,IF(RIGHT($K326,2)=RIGHT(BT$43,2),SUM($AX326:AX326),0)+IF(RIGHT(BT$43,2)&gt;RIGHT($K326,2),AX326,0))</f>
        <v>0</v>
      </c>
      <c r="BU326" s="387">
        <f>+IF($K326="Ongoing",AY326,IF(RIGHT($K326,2)=RIGHT(BU$43,2),SUM($AX326:AY326),0)+IF(RIGHT(BU$43,2)&gt;RIGHT($K326,2),AY326,0))</f>
        <v>0</v>
      </c>
      <c r="BV326" s="387">
        <f>+IF($K326="Ongoing",AZ326,IF(RIGHT($K326,2)=RIGHT(BV$43,2),SUM($AX326:AZ326),0)+IF(RIGHT(BV$43,2)&gt;RIGHT($K326,2),AZ326,0))</f>
        <v>0</v>
      </c>
      <c r="BW326" s="387">
        <f>+IF($K326="Ongoing",BA326,IF(RIGHT($K326,2)=RIGHT(BW$43,2),SUM($AX326:BA326),0)+IF(RIGHT(BW$43,2)&gt;RIGHT($K326,2),BA326,0))</f>
        <v>0</v>
      </c>
      <c r="BX326" s="1283">
        <f>+IF($K326="Ongoing",BB326,IF(RIGHT($K326,2)=RIGHT(BX$43,2),SUM($AX326:BB326),0)+IF(RIGHT(BX$43,2)&gt;RIGHT($K326,2),BB326,0))</f>
        <v>0</v>
      </c>
      <c r="BY326" s="386">
        <f>+IF($K326="Ongoing",BC326,IF(RIGHT($K326,2)=RIGHT(BY$43,2),SUM($AX326:BC326),0)+IF(RIGHT(BY$43,2)&gt;RIGHT($K326,2),BC326,0))</f>
        <v>0</v>
      </c>
      <c r="BZ326" s="387">
        <f>+IF($K326="Ongoing",BD326,IF(RIGHT($K326,2)=RIGHT(BZ$43,2),SUM($AX326:BD326),0)+IF(RIGHT(BZ$43,2)&gt;RIGHT($K326,2),BD326,0))</f>
        <v>0</v>
      </c>
      <c r="CA326" s="1277">
        <f>+IF($K326="Ongoing",BE326,IF(RIGHT($K326,2)=RIGHT(CA$43,2),SUM($AX326:BE326),0)+IF(RIGHT(CA$43,2)&gt;RIGHT($K326,2),BE326,0))</f>
        <v>0</v>
      </c>
      <c r="CB326" s="1277">
        <f>+IF($K326="Ongoing",BF326,IF(RIGHT($K326,2)=RIGHT(CB$43,2),SUM($AX326:BF326),0)+IF(RIGHT(CB$43,2)&gt;RIGHT($K326,2),BF326,0))</f>
        <v>0</v>
      </c>
      <c r="CC326" s="388">
        <f>+IF($K326="Ongoing",BG326,IF(RIGHT($K326,2)=RIGHT(CC$43,2),SUM($AX326:BG326),0)+IF(RIGHT(CC$43,2)&gt;RIGHT($K326,2),BG326,0))</f>
        <v>0</v>
      </c>
      <c r="CD326" s="1025"/>
      <c r="CE326" s="1282">
        <f>+Q326*KeyAssumptionsPriceControl_FO!AF$15</f>
        <v>0</v>
      </c>
      <c r="CF326" s="387">
        <f>+R326*KeyAssumptionsPriceControl_FO!AG$15</f>
        <v>0</v>
      </c>
      <c r="CG326" s="387">
        <f>+S326*KeyAssumptionsPriceControl_FO!AH$15</f>
        <v>0</v>
      </c>
      <c r="CH326" s="387">
        <f>+T326*KeyAssumptionsPriceControl_FO!AI$15</f>
        <v>0</v>
      </c>
      <c r="CI326" s="1283">
        <f>+U326*KeyAssumptionsPriceControl_FO!AJ$15</f>
        <v>0</v>
      </c>
      <c r="CJ326" s="386">
        <f>+V326*KeyAssumptionsPriceControl_FO!AK$15</f>
        <v>0</v>
      </c>
      <c r="CK326" s="387">
        <f>+W326*KeyAssumptionsPriceControl_FO!AL$15</f>
        <v>0</v>
      </c>
      <c r="CL326" s="1277">
        <f>+X326*KeyAssumptionsPriceControl_FO!AM$15</f>
        <v>0</v>
      </c>
      <c r="CM326" s="1277">
        <f>+Y326*KeyAssumptionsPriceControl_FO!AN$15</f>
        <v>0</v>
      </c>
      <c r="CN326" s="388">
        <f>+Z326*KeyAssumptionsPriceControl_FO!AO$15</f>
        <v>0</v>
      </c>
      <c r="CO326" s="1025"/>
      <c r="CP326" s="1282">
        <f t="shared" ca="1" si="546"/>
        <v>0</v>
      </c>
      <c r="CQ326" s="387">
        <f t="shared" ca="1" si="547"/>
        <v>0</v>
      </c>
      <c r="CR326" s="387">
        <f t="shared" ca="1" si="548"/>
        <v>0</v>
      </c>
      <c r="CS326" s="387">
        <f t="shared" ca="1" si="549"/>
        <v>0</v>
      </c>
      <c r="CT326" s="1283">
        <f t="shared" ca="1" si="550"/>
        <v>0</v>
      </c>
      <c r="CU326" s="386">
        <f t="shared" ca="1" si="551"/>
        <v>0</v>
      </c>
      <c r="CV326" s="387">
        <f t="shared" ca="1" si="552"/>
        <v>0</v>
      </c>
      <c r="CW326" s="1277">
        <f t="shared" ca="1" si="553"/>
        <v>0</v>
      </c>
      <c r="CX326" s="1277">
        <f t="shared" ca="1" si="554"/>
        <v>0</v>
      </c>
      <c r="CY326" s="388">
        <f t="shared" ca="1" si="555"/>
        <v>0</v>
      </c>
      <c r="CZ326" s="347"/>
      <c r="DA326" s="852"/>
      <c r="DB326" s="347"/>
      <c r="DC326" s="1012" t="s">
        <v>517</v>
      </c>
      <c r="DD326" s="841" t="s">
        <v>518</v>
      </c>
      <c r="DE326" s="386">
        <f>+IF($K326="ongoing",CE326,IF(RIGHT($K326,2)=RIGHT(DE$43,2),SUM($CD326:CE326),0)+IF(RIGHT(DE$43,2)&gt;RIGHT($K326,2),CE326,0))</f>
        <v>0</v>
      </c>
      <c r="DF326" s="387">
        <f>+IF($K326="ongoing",CF326,IF(RIGHT($K326,2)=RIGHT(DF$43,2),SUM($CD326:CF326),0)+IF(RIGHT(DF$43,2)&gt;RIGHT($K326,2),CF326,0))</f>
        <v>0</v>
      </c>
      <c r="DG326" s="388">
        <f>+IF($K326="ongoing",CG326,IF(RIGHT($K326,2)=RIGHT(DG$43,2),SUM($CD326:CG326),0)+IF(RIGHT(DG$43,2)&gt;RIGHT($K326,2),CG326,0))</f>
        <v>0</v>
      </c>
      <c r="DH326" s="386">
        <f>+IF($K326="ongoing",CH326,IF(RIGHT($K326,2)=RIGHT(DH$43,2),SUM($CD326:CH326),0)+IF(RIGHT(DH$43,2)&gt;RIGHT($K326,2),CH326,0))</f>
        <v>0</v>
      </c>
      <c r="DI326" s="387">
        <f>+IF($K326="ongoing",CI326,IF(RIGHT($K326,2)=RIGHT(DI$43,2),SUM($CD326:CI326),0)+IF(RIGHT(DI$43,2)&gt;RIGHT($K326,2),CI326,0))</f>
        <v>0</v>
      </c>
      <c r="DJ326" s="387">
        <f>+IF($K326="ongoing",CJ326,IF(RIGHT($K326,2)=RIGHT(DJ$43,2),SUM($CD326:CJ326),0)+IF(RIGHT(DJ$43,2)&gt;RIGHT($K326,2),CJ326,0))</f>
        <v>0</v>
      </c>
      <c r="DK326" s="387">
        <f>+IF($K326="ongoing",CK326,IF(RIGHT($K326,2)=RIGHT(DK$43,2),SUM($CD326:CK326),0)+IF(RIGHT(DK$43,2)&gt;RIGHT($K326,2),CK326,0))</f>
        <v>0</v>
      </c>
      <c r="DL326" s="388">
        <f>+IF($K326="ongoing",CN326,IF(RIGHT($K326,2)=RIGHT(DL$43,2),SUM($CD326:CN326),0)+IF(RIGHT(DL$43,2)&gt;RIGHT($K326,2),CN326,0))</f>
        <v>0</v>
      </c>
      <c r="DM326" s="841"/>
      <c r="DN326" s="386">
        <f t="shared" si="557"/>
        <v>0.5</v>
      </c>
      <c r="DO326" s="387">
        <f t="shared" si="557"/>
        <v>1</v>
      </c>
      <c r="DP326" s="388">
        <f t="shared" si="557"/>
        <v>1</v>
      </c>
      <c r="DQ326" s="386">
        <f t="shared" si="557"/>
        <v>1</v>
      </c>
      <c r="DR326" s="387">
        <f t="shared" si="557"/>
        <v>1</v>
      </c>
      <c r="DS326" s="387">
        <f t="shared" si="557"/>
        <v>1</v>
      </c>
      <c r="DT326" s="387">
        <f t="shared" si="557"/>
        <v>1</v>
      </c>
      <c r="DU326" s="388">
        <f t="shared" si="557"/>
        <v>1</v>
      </c>
      <c r="DW326" s="386">
        <f t="shared" si="558"/>
        <v>0</v>
      </c>
      <c r="DX326" s="387">
        <f t="shared" si="558"/>
        <v>0.5</v>
      </c>
      <c r="DY326" s="388">
        <f t="shared" si="558"/>
        <v>1</v>
      </c>
      <c r="DZ326" s="386">
        <f t="shared" si="558"/>
        <v>1</v>
      </c>
      <c r="EA326" s="387">
        <f t="shared" si="558"/>
        <v>1</v>
      </c>
      <c r="EB326" s="387">
        <f t="shared" si="558"/>
        <v>1</v>
      </c>
      <c r="EC326" s="387">
        <f t="shared" si="558"/>
        <v>1</v>
      </c>
      <c r="ED326" s="388">
        <f t="shared" si="558"/>
        <v>1</v>
      </c>
      <c r="EF326" s="834">
        <f>+IF(DN326=DM326,0,
IF(AND(EF$44&gt;1,DN326=$N326),1-SUM($EE326:EE326),
IF($N326&lt;=1,
IF($N326&gt;0,1/$N326,0),
IF(EF$44=1,0,VDB(1,0,$N326,INT(EF$44-1-1),MIN($N326,INT(EF$44-1-1)+1),$DC326,IF($DD326="No",1,0))/
IF(DM326&gt;=INT($N326),$N326-INT($N326),1)))*
IF(EF$44=1,0,
IF(INT(DN326)=INT(DM326),DN326-DM326,INT(DN326)-DM326))+
IF($N326&lt;=1,
IF($N326&gt;0,1/$N326,0),VDB(1,0,$N326,INT(EF$44-1),MIN($N326,INT(EF$44-1)+1),$DC326,IF($DD326="No",1,0))/
IF(DN326&gt;INT($N326),$N326-INT($N326),1))*
IF(EF$44=1,DN326,
IF(INT(DN326)=INT(DM326),0,DN326-INT(DN326)))))</f>
        <v>0</v>
      </c>
      <c r="EG326" s="835">
        <f>+IF(DO326=DN326,0,
IF(AND(EG$44&gt;1,DO326=$N326),1-SUM($EE326:EF326),
IF($N326&lt;=1,
IF($N326&gt;0,1/$N326,0),
IF(EG$44=1,0,VDB(1,0,$N326,INT(EG$44-1-1),MIN($N326,INT(EG$44-1-1)+1),$DC326,IF($DD326="No",1,0))/
IF(DN326&gt;=INT($N326),$N326-INT($N326),1)))*
IF(EG$44=1,0,
IF(INT(DO326)=INT(DN326),DO326-DN326,INT(DO326)-DN326))+
IF($N326&lt;=1,
IF($N326&gt;0,1/$N326,0),VDB(1,0,$N326,INT(EG$44-1),MIN($N326,INT(EG$44-1)+1),$DC326,IF($DD326="No",1,0))/
IF(DO326&gt;INT($N326),$N326-INT($N326),1))*
IF(EG$44=1,DO326,
IF(INT(DO326)=INT(DN326),0,DO326-INT(DO326)))))</f>
        <v>0</v>
      </c>
      <c r="EH326" s="836">
        <f>+IF(DP326=DO326,0,
IF(AND(EH$44&gt;1,DP326=$N326),1-SUM($EE326:EG326),
IF($N326&lt;=1,
IF($N326&gt;0,1/$N326,0),
IF(EH$44=1,0,VDB(1,0,$N326,INT(EH$44-1-1),MIN($N326,INT(EH$44-1-1)+1),$DC326,IF($DD326="No",1,0))/
IF(DO326&gt;=INT($N326),$N326-INT($N326),1)))*
IF(EH$44=1,0,
IF(INT(DP326)=INT(DO326),DP326-DO326,INT(DP326)-DO326))+
IF($N326&lt;=1,
IF($N326&gt;0,1/$N326,0),VDB(1,0,$N326,INT(EH$44-1),MIN($N326,INT(EH$44-1)+1),$DC326,IF($DD326="No",1,0))/
IF(DP326&gt;INT($N326),$N326-INT($N326),1))*
IF(EH$44=1,DP326,
IF(INT(DP326)=INT(DO326),0,DP326-INT(DP326)))))</f>
        <v>0</v>
      </c>
      <c r="EI326" s="834">
        <f>+IF(DQ326=DP326,0,
IF(AND(EI$44&gt;1,DQ326=$N326),1-SUM($EE326:EH326),
IF($N326&lt;=1,
IF($N326&gt;0,1/$N326,0),
IF(EI$44=1,0,VDB(1,0,$N326,INT(EI$44-1-1),MIN($N326,INT(EI$44-1-1)+1),$DC326,IF($DD326="No",1,0))/
IF(DP326&gt;=INT($N326),$N326-INT($N326),1)))*
IF(EI$44=1,0,
IF(INT(DQ326)=INT(DP326),DQ326-DP326,INT(DQ326)-DP326))+
IF($N326&lt;=1,
IF($N326&gt;0,1/$N326,0),VDB(1,0,$N326,INT(EI$44-1),MIN($N326,INT(EI$44-1)+1),$DC326,IF($DD326="No",1,0))/
IF(DQ326&gt;INT($N326),$N326-INT($N326),1))*
IF(EI$44=1,DQ326,
IF(INT(DQ326)=INT(DP326),0,DQ326-INT(DQ326)))))</f>
        <v>0</v>
      </c>
      <c r="EJ326" s="835">
        <f>+IF(DR326=DQ326,0,
IF(AND(EJ$44&gt;1,DR326=$N326),1-SUM($EE326:EI326),
IF($N326&lt;=1,
IF($N326&gt;0,1/$N326,0),
IF(EJ$44=1,0,VDB(1,0,$N326,INT(EJ$44-1-1),MIN($N326,INT(EJ$44-1-1)+1),$DC326,IF($DD326="No",1,0))/
IF(DQ326&gt;=INT($N326),$N326-INT($N326),1)))*
IF(EJ$44=1,0,
IF(INT(DR326)=INT(DQ326),DR326-DQ326,INT(DR326)-DQ326))+
IF($N326&lt;=1,
IF($N326&gt;0,1/$N326,0),VDB(1,0,$N326,INT(EJ$44-1),MIN($N326,INT(EJ$44-1)+1),$DC326,IF($DD326="No",1,0))/
IF(DR326&gt;INT($N326),$N326-INT($N326),1))*
IF(EJ$44=1,DR326,
IF(INT(DR326)=INT(DQ326),0,DR326-INT(DR326)))))</f>
        <v>0</v>
      </c>
      <c r="EK326" s="835">
        <f>+IF(DS326=DR326,0,
IF(AND(EK$44&gt;1,DS326=$N326),1-SUM($EE326:EJ326),
IF($N326&lt;=1,
IF($N326&gt;0,1/$N326,0),
IF(EK$44=1,0,VDB(1,0,$N326,INT(EK$44-1-1),MIN($N326,INT(EK$44-1-1)+1),$DC326,IF($DD326="No",1,0))/
IF(DR326&gt;=INT($N326),$N326-INT($N326),1)))*
IF(EK$44=1,0,
IF(INT(DS326)=INT(DR326),DS326-DR326,INT(DS326)-DR326))+
IF($N326&lt;=1,
IF($N326&gt;0,1/$N326,0),VDB(1,0,$N326,INT(EK$44-1),MIN($N326,INT(EK$44-1)+1),$DC326,IF($DD326="No",1,0))/
IF(DS326&gt;INT($N326),$N326-INT($N326),1))*
IF(EK$44=1,DS326,
IF(INT(DS326)=INT(DR326),0,DS326-INT(DS326)))))</f>
        <v>0</v>
      </c>
      <c r="EL326" s="835">
        <f>+IF(DT326=DS326,0,
IF(AND(EL$44&gt;1,DT326=$N326),1-SUM($EE326:EK326),
IF($N326&lt;=1,
IF($N326&gt;0,1/$N326,0),
IF(EL$44=1,0,VDB(1,0,$N326,INT(EL$44-1-1),MIN($N326,INT(EL$44-1-1)+1),$DC326,IF($DD326="No",1,0))/
IF(DS326&gt;=INT($N326),$N326-INT($N326),1)))*
IF(EL$44=1,0,
IF(INT(DT326)=INT(DS326),DT326-DS326,INT(DT326)-DS326))+
IF($N326&lt;=1,
IF($N326&gt;0,1/$N326,0),VDB(1,0,$N326,INT(EL$44-1),MIN($N326,INT(EL$44-1)+1),$DC326,IF($DD326="No",1,0))/
IF(DT326&gt;INT($N326),$N326-INT($N326),1))*
IF(EL$44=1,DT326,
IF(INT(DT326)=INT(DS326),0,DT326-INT(DT326)))))</f>
        <v>0</v>
      </c>
      <c r="EM326" s="836">
        <f>+IF(DU326=DT326,0,
IF(AND(EM$44&gt;1,DU326=$N326),1-SUM($EE326:EL326),
IF($N326&lt;=1,
IF($N326&gt;0,1/$N326,0),
IF(EM$44=1,0,VDB(1,0,$N326,INT(EM$44-1-1),MIN($N326,INT(EM$44-1-1)+1),$DC326,IF($DD326="No",1,0))/
IF(DT326&gt;=INT($N326),$N326-INT($N326),1)))*
IF(EM$44=1,0,
IF(INT(DU326)=INT(DT326),DU326-DT326,INT(DU326)-DT326))+
IF($N326&lt;=1,
IF($N326&gt;0,1/$N326,0),VDB(1,0,$N326,INT(EM$44-1),MIN($N326,INT(EM$44-1)+1),$DC326,IF($DD326="No",1,0))/
IF(DU326&gt;INT($N326),$N326-INT($N326),1))*
IF(EM$44=1,DU326,
IF(INT(DU326)=INT(DT326),0,DU326-INT(DU326)))))</f>
        <v>0</v>
      </c>
      <c r="EN326" s="833"/>
      <c r="EO326" s="834">
        <f>+IF(OR(DW326=DV326,EO$44=1),0,
IF(AND(EO$44&gt;1,DW326=$N326),1-SUM($EN326:EN326),
IF($N326&lt;=1,
IF($N326&gt;0,1/$N326,0),
IF(EO$44=2,0,VDB(1,0,$N326,INT(EO$44-2-1),MIN($N326,INT(EO$44-2-1)+1),$DC326,IF($DD326="No",1,0))/
IF(DV326&gt;=INT($N326),$N326-INT($N326),1)))*
IF(EO$44=2,0,
IF(INT(DW326)=INT(DV326),DW326-DV326,INT(DW326)-DV326))+
IF($N326&lt;=1,
IF($N326&gt;0,1/$N326,0),VDB(1,0,$N326,INT(EO$44-2),MIN($N326,INT(EO$44-2)+1),$DC326,IF($DD326="No",1,0))/
IF(DW326&gt;INT($N326),$N326-INT($N326),1))*
IF(EO$44=2,DW326,
IF(INT(DW326)=INT(DV326),0,DW326-INT(DW326)))))</f>
        <v>0</v>
      </c>
      <c r="EP326" s="835">
        <f>+IF(OR(DX326=DW326,EP$44=1),0,
IF(AND(EP$44&gt;1,DX326=$N326),1-SUM($EN326:EO326),
IF($N326&lt;=1,
IF($N326&gt;0,1/$N326,0),
IF(EP$44=2,0,VDB(1,0,$N326,INT(EP$44-2-1),MIN($N326,INT(EP$44-2-1)+1),$DC326,IF($DD326="No",1,0))/
IF(DW326&gt;=INT($N326),$N326-INT($N326),1)))*
IF(EP$44=2,0,
IF(INT(DX326)=INT(DW326),DX326-DW326,INT(DX326)-DW326))+
IF($N326&lt;=1,
IF($N326&gt;0,1/$N326,0),VDB(1,0,$N326,INT(EP$44-2),MIN($N326,INT(EP$44-2)+1),$DC326,IF($DD326="No",1,0))/
IF(DX326&gt;INT($N326),$N326-INT($N326),1))*
IF(EP$44=2,DX326,
IF(INT(DX326)=INT(DW326),0,DX326-INT(DX326)))))</f>
        <v>0</v>
      </c>
      <c r="EQ326" s="836">
        <f>+IF(OR(DY326=DX326,EQ$44=1),0,
IF(AND(EQ$44&gt;1,DY326=$N326),1-SUM($EN326:EP326),
IF($N326&lt;=1,
IF($N326&gt;0,1/$N326,0),
IF(EQ$44=2,0,VDB(1,0,$N326,INT(EQ$44-2-1),MIN($N326,INT(EQ$44-2-1)+1),$DC326,IF($DD326="No",1,0))/
IF(DX326&gt;=INT($N326),$N326-INT($N326),1)))*
IF(EQ$44=2,0,
IF(INT(DY326)=INT(DX326),DY326-DX326,INT(DY326)-DX326))+
IF($N326&lt;=1,
IF($N326&gt;0,1/$N326,0),VDB(1,0,$N326,INT(EQ$44-2),MIN($N326,INT(EQ$44-2)+1),$DC326,IF($DD326="No",1,0))/
IF(DY326&gt;INT($N326),$N326-INT($N326),1))*
IF(EQ$44=2,DY326,
IF(INT(DY326)=INT(DX326),0,DY326-INT(DY326)))))</f>
        <v>0</v>
      </c>
      <c r="ER326" s="834">
        <f>+IF(OR(DZ326=DY326,ER$44=1),0,
IF(AND(ER$44&gt;1,DZ326=$N326),1-SUM($EN326:EQ326),
IF($N326&lt;=1,
IF($N326&gt;0,1/$N326,0),
IF(ER$44=2,0,VDB(1,0,$N326,INT(ER$44-2-1),MIN($N326,INT(ER$44-2-1)+1),$DC326,IF($DD326="No",1,0))/
IF(DY326&gt;=INT($N326),$N326-INT($N326),1)))*
IF(ER$44=2,0,
IF(INT(DZ326)=INT(DY326),DZ326-DY326,INT(DZ326)-DY326))+
IF($N326&lt;=1,
IF($N326&gt;0,1/$N326,0),VDB(1,0,$N326,INT(ER$44-2),MIN($N326,INT(ER$44-2)+1),$DC326,IF($DD326="No",1,0))/
IF(DZ326&gt;INT($N326),$N326-INT($N326),1))*
IF(ER$44=2,DZ326,
IF(INT(DZ326)=INT(DY326),0,DZ326-INT(DZ326)))))</f>
        <v>0</v>
      </c>
      <c r="ES326" s="835">
        <f>+IF(OR(EA326=DZ326,ES$44=1),0,
IF(AND(ES$44&gt;1,EA326=$N326),1-SUM($EN326:ER326),
IF($N326&lt;=1,
IF($N326&gt;0,1/$N326,0),
IF(ES$44=2,0,VDB(1,0,$N326,INT(ES$44-2-1),MIN($N326,INT(ES$44-2-1)+1),$DC326,IF($DD326="No",1,0))/
IF(DZ326&gt;=INT($N326),$N326-INT($N326),1)))*
IF(ES$44=2,0,
IF(INT(EA326)=INT(DZ326),EA326-DZ326,INT(EA326)-DZ326))+
IF($N326&lt;=1,
IF($N326&gt;0,1/$N326,0),VDB(1,0,$N326,INT(ES$44-2),MIN($N326,INT(ES$44-2)+1),$DC326,IF($DD326="No",1,0))/
IF(EA326&gt;INT($N326),$N326-INT($N326),1))*
IF(ES$44=2,EA326,
IF(INT(EA326)=INT(DZ326),0,EA326-INT(EA326)))))</f>
        <v>0</v>
      </c>
      <c r="ET326" s="835">
        <f>+IF(OR(EB326=EA326,ET$44=1),0,
IF(AND(ET$44&gt;1,EB326=$N326),1-SUM($EN326:ES326),
IF($N326&lt;=1,
IF($N326&gt;0,1/$N326,0),
IF(ET$44=2,0,VDB(1,0,$N326,INT(ET$44-2-1),MIN($N326,INT(ET$44-2-1)+1),$DC326,IF($DD326="No",1,0))/
IF(EA326&gt;=INT($N326),$N326-INT($N326),1)))*
IF(ET$44=2,0,
IF(INT(EB326)=INT(EA326),EB326-EA326,INT(EB326)-EA326))+
IF($N326&lt;=1,
IF($N326&gt;0,1/$N326,0),VDB(1,0,$N326,INT(ET$44-2),MIN($N326,INT(ET$44-2)+1),$DC326,IF($DD326="No",1,0))/
IF(EB326&gt;INT($N326),$N326-INT($N326),1))*
IF(ET$44=2,EB326,
IF(INT(EB326)=INT(EA326),0,EB326-INT(EB326)))))</f>
        <v>0</v>
      </c>
      <c r="EU326" s="835">
        <f>+IF(OR(EC326=EB326,EU$44=1),0,
IF(AND(EU$44&gt;1,EC326=$N326),1-SUM($EN326:ET326),
IF($N326&lt;=1,
IF($N326&gt;0,1/$N326,0),
IF(EU$44=2,0,VDB(1,0,$N326,INT(EU$44-2-1),MIN($N326,INT(EU$44-2-1)+1),$DC326,IF($DD326="No",1,0))/
IF(EB326&gt;=INT($N326),$N326-INT($N326),1)))*
IF(EU$44=2,0,
IF(INT(EC326)=INT(EB326),EC326-EB326,INT(EC326)-EB326))+
IF($N326&lt;=1,
IF($N326&gt;0,1/$N326,0),VDB(1,0,$N326,INT(EU$44-2),MIN($N326,INT(EU$44-2)+1),$DC326,IF($DD326="No",1,0))/
IF(EC326&gt;INT($N326),$N326-INT($N326),1))*
IF(EU$44=2,EC326,
IF(INT(EC326)=INT(EB326),0,EC326-INT(EC326)))))</f>
        <v>0</v>
      </c>
      <c r="EV326" s="836">
        <f>+IF(OR(ED326=EC326,EV$44=1),0,
IF(AND(EV$44&gt;1,ED326=$N326),1-SUM($EN326:EU326),
IF($N326&lt;=1,
IF($N326&gt;0,1/$N326,0),
IF(EV$44=2,0,VDB(1,0,$N326,INT(EV$44-2-1),MIN($N326,INT(EV$44-2-1)+1),$DC326,IF($DD326="No",1,0))/
IF(EC326&gt;=INT($N326),$N326-INT($N326),1)))*
IF(EV$44=2,0,
IF(INT(ED326)=INT(EC326),ED326-EC326,INT(ED326)-EC326))+
IF($N326&lt;=1,
IF($N326&gt;0,1/$N326,0),VDB(1,0,$N326,INT(EV$44-2),MIN($N326,INT(EV$44-2)+1),$DC326,IF($DD326="No",1,0))/
IF(ED326&gt;INT($N326),$N326-INT($N326),1))*
IF(EV$44=2,ED326,
IF(INT(ED326)=INT(EC326),0,ED326-INT(ED326)))))</f>
        <v>0</v>
      </c>
      <c r="EW326" s="833"/>
      <c r="EX326" s="834">
        <f t="shared" ca="1" si="559"/>
        <v>0</v>
      </c>
      <c r="EY326" s="835">
        <f t="shared" ca="1" si="559"/>
        <v>0</v>
      </c>
      <c r="EZ326" s="836">
        <f t="shared" ca="1" si="559"/>
        <v>0</v>
      </c>
      <c r="FA326" s="834">
        <f t="shared" ca="1" si="559"/>
        <v>0</v>
      </c>
      <c r="FB326" s="835">
        <f t="shared" ca="1" si="559"/>
        <v>0</v>
      </c>
      <c r="FC326" s="835">
        <f t="shared" ca="1" si="559"/>
        <v>0</v>
      </c>
      <c r="FD326" s="835">
        <f t="shared" ca="1" si="559"/>
        <v>0</v>
      </c>
      <c r="FE326" s="836">
        <f t="shared" ca="1" si="559"/>
        <v>0</v>
      </c>
      <c r="FG326" s="386">
        <f t="shared" ca="1" si="521"/>
        <v>0</v>
      </c>
      <c r="FH326" s="387">
        <f t="shared" ca="1" si="522"/>
        <v>0</v>
      </c>
      <c r="FI326" s="388">
        <f t="shared" ca="1" si="523"/>
        <v>0</v>
      </c>
      <c r="FJ326" s="386">
        <f t="shared" ca="1" si="524"/>
        <v>0</v>
      </c>
      <c r="FK326" s="387">
        <f t="shared" ca="1" si="525"/>
        <v>0</v>
      </c>
      <c r="FL326" s="387">
        <f t="shared" ca="1" si="526"/>
        <v>0</v>
      </c>
      <c r="FM326" s="387">
        <f t="shared" ca="1" si="527"/>
        <v>0</v>
      </c>
      <c r="FN326" s="388">
        <f t="shared" ca="1" si="528"/>
        <v>0</v>
      </c>
      <c r="FR326" s="116"/>
    </row>
    <row r="327" spans="2:174">
      <c r="B327" s="1410">
        <f t="shared" si="556"/>
        <v>281</v>
      </c>
      <c r="C327" s="400"/>
      <c r="D327" s="410"/>
      <c r="E327" s="402"/>
      <c r="F327" s="402"/>
      <c r="G327" s="400"/>
      <c r="H327" s="2088"/>
      <c r="I327" s="2089"/>
      <c r="J327" s="411"/>
      <c r="K327" s="403"/>
      <c r="L327" s="403"/>
      <c r="M327" s="403"/>
      <c r="N327" s="403"/>
      <c r="O327" s="347"/>
      <c r="P327" s="347"/>
      <c r="Q327" s="1021"/>
      <c r="R327" s="1022"/>
      <c r="S327" s="1022"/>
      <c r="T327" s="1022"/>
      <c r="U327" s="1023"/>
      <c r="V327" s="1021"/>
      <c r="W327" s="1022"/>
      <c r="X327" s="1022"/>
      <c r="Y327" s="1022"/>
      <c r="Z327" s="1023"/>
      <c r="AA327" s="1024"/>
      <c r="AB327" s="1021"/>
      <c r="AC327" s="1022"/>
      <c r="AD327" s="1022"/>
      <c r="AE327" s="1022"/>
      <c r="AF327" s="1023"/>
      <c r="AG327" s="1021"/>
      <c r="AH327" s="1022"/>
      <c r="AI327" s="1022"/>
      <c r="AJ327" s="1022"/>
      <c r="AK327" s="1023"/>
      <c r="AL327" s="1024"/>
      <c r="AM327" s="1021"/>
      <c r="AN327" s="1022"/>
      <c r="AO327" s="1022"/>
      <c r="AP327" s="1022"/>
      <c r="AQ327" s="1023"/>
      <c r="AR327" s="1021"/>
      <c r="AS327" s="1022"/>
      <c r="AT327" s="1022"/>
      <c r="AU327" s="1022"/>
      <c r="AV327" s="1023"/>
      <c r="AW327" s="1025"/>
      <c r="AX327" s="1282">
        <f t="shared" si="532"/>
        <v>0</v>
      </c>
      <c r="AY327" s="387">
        <f t="shared" si="533"/>
        <v>0</v>
      </c>
      <c r="AZ327" s="387">
        <f t="shared" si="534"/>
        <v>0</v>
      </c>
      <c r="BA327" s="387">
        <f t="shared" si="535"/>
        <v>0</v>
      </c>
      <c r="BB327" s="1283">
        <f t="shared" si="536"/>
        <v>0</v>
      </c>
      <c r="BC327" s="386">
        <f t="shared" si="537"/>
        <v>0</v>
      </c>
      <c r="BD327" s="387">
        <f t="shared" si="538"/>
        <v>0</v>
      </c>
      <c r="BE327" s="1277">
        <f t="shared" si="539"/>
        <v>0</v>
      </c>
      <c r="BF327" s="1277">
        <f t="shared" si="539"/>
        <v>0</v>
      </c>
      <c r="BG327" s="388">
        <f t="shared" si="539"/>
        <v>0</v>
      </c>
      <c r="BH327" s="1025"/>
      <c r="BI327" s="1282">
        <f t="shared" ca="1" si="540"/>
        <v>0</v>
      </c>
      <c r="BJ327" s="387">
        <f t="shared" ca="1" si="541"/>
        <v>0</v>
      </c>
      <c r="BK327" s="387">
        <f t="shared" ca="1" si="542"/>
        <v>0</v>
      </c>
      <c r="BL327" s="387">
        <f t="shared" ca="1" si="543"/>
        <v>0</v>
      </c>
      <c r="BM327" s="1283">
        <f t="shared" ca="1" si="544"/>
        <v>0</v>
      </c>
      <c r="BN327" s="386">
        <f t="shared" ca="1" si="545"/>
        <v>0</v>
      </c>
      <c r="BO327" s="387">
        <f t="shared" ca="1" si="545"/>
        <v>0</v>
      </c>
      <c r="BP327" s="1277">
        <f t="shared" ca="1" si="545"/>
        <v>0</v>
      </c>
      <c r="BQ327" s="1277">
        <f t="shared" ca="1" si="545"/>
        <v>0</v>
      </c>
      <c r="BR327" s="388">
        <f t="shared" ca="1" si="545"/>
        <v>0</v>
      </c>
      <c r="BS327" s="1025"/>
      <c r="BT327" s="1282">
        <f>+IF($K327="Ongoing",AX327,IF(RIGHT($K327,2)=RIGHT(BT$43,2),SUM($AX327:AX327),0)+IF(RIGHT(BT$43,2)&gt;RIGHT($K327,2),AX327,0))</f>
        <v>0</v>
      </c>
      <c r="BU327" s="387">
        <f>+IF($K327="Ongoing",AY327,IF(RIGHT($K327,2)=RIGHT(BU$43,2),SUM($AX327:AY327),0)+IF(RIGHT(BU$43,2)&gt;RIGHT($K327,2),AY327,0))</f>
        <v>0</v>
      </c>
      <c r="BV327" s="387">
        <f>+IF($K327="Ongoing",AZ327,IF(RIGHT($K327,2)=RIGHT(BV$43,2),SUM($AX327:AZ327),0)+IF(RIGHT(BV$43,2)&gt;RIGHT($K327,2),AZ327,0))</f>
        <v>0</v>
      </c>
      <c r="BW327" s="387">
        <f>+IF($K327="Ongoing",BA327,IF(RIGHT($K327,2)=RIGHT(BW$43,2),SUM($AX327:BA327),0)+IF(RIGHT(BW$43,2)&gt;RIGHT($K327,2),BA327,0))</f>
        <v>0</v>
      </c>
      <c r="BX327" s="1283">
        <f>+IF($K327="Ongoing",BB327,IF(RIGHT($K327,2)=RIGHT(BX$43,2),SUM($AX327:BB327),0)+IF(RIGHT(BX$43,2)&gt;RIGHT($K327,2),BB327,0))</f>
        <v>0</v>
      </c>
      <c r="BY327" s="386">
        <f>+IF($K327="Ongoing",BC327,IF(RIGHT($K327,2)=RIGHT(BY$43,2),SUM($AX327:BC327),0)+IF(RIGHT(BY$43,2)&gt;RIGHT($K327,2),BC327,0))</f>
        <v>0</v>
      </c>
      <c r="BZ327" s="387">
        <f>+IF($K327="Ongoing",BD327,IF(RIGHT($K327,2)=RIGHT(BZ$43,2),SUM($AX327:BD327),0)+IF(RIGHT(BZ$43,2)&gt;RIGHT($K327,2),BD327,0))</f>
        <v>0</v>
      </c>
      <c r="CA327" s="1277">
        <f>+IF($K327="Ongoing",BE327,IF(RIGHT($K327,2)=RIGHT(CA$43,2),SUM($AX327:BE327),0)+IF(RIGHT(CA$43,2)&gt;RIGHT($K327,2),BE327,0))</f>
        <v>0</v>
      </c>
      <c r="CB327" s="1277">
        <f>+IF($K327="Ongoing",BF327,IF(RIGHT($K327,2)=RIGHT(CB$43,2),SUM($AX327:BF327),0)+IF(RIGHT(CB$43,2)&gt;RIGHT($K327,2),BF327,0))</f>
        <v>0</v>
      </c>
      <c r="CC327" s="388">
        <f>+IF($K327="Ongoing",BG327,IF(RIGHT($K327,2)=RIGHT(CC$43,2),SUM($AX327:BG327),0)+IF(RIGHT(CC$43,2)&gt;RIGHT($K327,2),BG327,0))</f>
        <v>0</v>
      </c>
      <c r="CD327" s="1025"/>
      <c r="CE327" s="1282">
        <f>+Q327*KeyAssumptionsPriceControl_FO!AF$15</f>
        <v>0</v>
      </c>
      <c r="CF327" s="387">
        <f>+R327*KeyAssumptionsPriceControl_FO!AG$15</f>
        <v>0</v>
      </c>
      <c r="CG327" s="387">
        <f>+S327*KeyAssumptionsPriceControl_FO!AH$15</f>
        <v>0</v>
      </c>
      <c r="CH327" s="387">
        <f>+T327*KeyAssumptionsPriceControl_FO!AI$15</f>
        <v>0</v>
      </c>
      <c r="CI327" s="1283">
        <f>+U327*KeyAssumptionsPriceControl_FO!AJ$15</f>
        <v>0</v>
      </c>
      <c r="CJ327" s="386">
        <f>+V327*KeyAssumptionsPriceControl_FO!AK$15</f>
        <v>0</v>
      </c>
      <c r="CK327" s="387">
        <f>+W327*KeyAssumptionsPriceControl_FO!AL$15</f>
        <v>0</v>
      </c>
      <c r="CL327" s="1277">
        <f>+X327*KeyAssumptionsPriceControl_FO!AM$15</f>
        <v>0</v>
      </c>
      <c r="CM327" s="1277">
        <f>+Y327*KeyAssumptionsPriceControl_FO!AN$15</f>
        <v>0</v>
      </c>
      <c r="CN327" s="388">
        <f>+Z327*KeyAssumptionsPriceControl_FO!AO$15</f>
        <v>0</v>
      </c>
      <c r="CO327" s="1025"/>
      <c r="CP327" s="1282">
        <f t="shared" ca="1" si="546"/>
        <v>0</v>
      </c>
      <c r="CQ327" s="387">
        <f t="shared" ca="1" si="547"/>
        <v>0</v>
      </c>
      <c r="CR327" s="387">
        <f t="shared" ca="1" si="548"/>
        <v>0</v>
      </c>
      <c r="CS327" s="387">
        <f t="shared" ca="1" si="549"/>
        <v>0</v>
      </c>
      <c r="CT327" s="1283">
        <f t="shared" ca="1" si="550"/>
        <v>0</v>
      </c>
      <c r="CU327" s="386">
        <f t="shared" ca="1" si="551"/>
        <v>0</v>
      </c>
      <c r="CV327" s="387">
        <f t="shared" ca="1" si="552"/>
        <v>0</v>
      </c>
      <c r="CW327" s="1277">
        <f t="shared" ca="1" si="553"/>
        <v>0</v>
      </c>
      <c r="CX327" s="1277">
        <f t="shared" ca="1" si="554"/>
        <v>0</v>
      </c>
      <c r="CY327" s="388">
        <f t="shared" ca="1" si="555"/>
        <v>0</v>
      </c>
      <c r="CZ327" s="347"/>
      <c r="DA327" s="852"/>
      <c r="DB327" s="347"/>
      <c r="DC327" s="1012" t="s">
        <v>517</v>
      </c>
      <c r="DD327" s="841" t="s">
        <v>518</v>
      </c>
      <c r="DE327" s="386">
        <f>+IF($K327="ongoing",CE327,IF(RIGHT($K327,2)=RIGHT(DE$43,2),SUM($CD327:CE327),0)+IF(RIGHT(DE$43,2)&gt;RIGHT($K327,2),CE327,0))</f>
        <v>0</v>
      </c>
      <c r="DF327" s="387">
        <f>+IF($K327="ongoing",CF327,IF(RIGHT($K327,2)=RIGHT(DF$43,2),SUM($CD327:CF327),0)+IF(RIGHT(DF$43,2)&gt;RIGHT($K327,2),CF327,0))</f>
        <v>0</v>
      </c>
      <c r="DG327" s="388">
        <f>+IF($K327="ongoing",CG327,IF(RIGHT($K327,2)=RIGHT(DG$43,2),SUM($CD327:CG327),0)+IF(RIGHT(DG$43,2)&gt;RIGHT($K327,2),CG327,0))</f>
        <v>0</v>
      </c>
      <c r="DH327" s="386">
        <f>+IF($K327="ongoing",CH327,IF(RIGHT($K327,2)=RIGHT(DH$43,2),SUM($CD327:CH327),0)+IF(RIGHT(DH$43,2)&gt;RIGHT($K327,2),CH327,0))</f>
        <v>0</v>
      </c>
      <c r="DI327" s="387">
        <f>+IF($K327="ongoing",CI327,IF(RIGHT($K327,2)=RIGHT(DI$43,2),SUM($CD327:CI327),0)+IF(RIGHT(DI$43,2)&gt;RIGHT($K327,2),CI327,0))</f>
        <v>0</v>
      </c>
      <c r="DJ327" s="387">
        <f>+IF($K327="ongoing",CJ327,IF(RIGHT($K327,2)=RIGHT(DJ$43,2),SUM($CD327:CJ327),0)+IF(RIGHT(DJ$43,2)&gt;RIGHT($K327,2),CJ327,0))</f>
        <v>0</v>
      </c>
      <c r="DK327" s="387">
        <f>+IF($K327="ongoing",CK327,IF(RIGHT($K327,2)=RIGHT(DK$43,2),SUM($CD327:CK327),0)+IF(RIGHT(DK$43,2)&gt;RIGHT($K327,2),CK327,0))</f>
        <v>0</v>
      </c>
      <c r="DL327" s="388">
        <f>+IF($K327="ongoing",CN327,IF(RIGHT($K327,2)=RIGHT(DL$43,2),SUM($CD327:CN327),0)+IF(RIGHT(DL$43,2)&gt;RIGHT($K327,2),CN327,0))</f>
        <v>0</v>
      </c>
      <c r="DM327" s="841"/>
      <c r="DN327" s="386">
        <f t="shared" si="557"/>
        <v>0.5</v>
      </c>
      <c r="DO327" s="387">
        <f t="shared" si="557"/>
        <v>1</v>
      </c>
      <c r="DP327" s="388">
        <f t="shared" si="557"/>
        <v>1</v>
      </c>
      <c r="DQ327" s="386">
        <f t="shared" si="557"/>
        <v>1</v>
      </c>
      <c r="DR327" s="387">
        <f t="shared" si="557"/>
        <v>1</v>
      </c>
      <c r="DS327" s="387">
        <f t="shared" si="557"/>
        <v>1</v>
      </c>
      <c r="DT327" s="387">
        <f t="shared" si="557"/>
        <v>1</v>
      </c>
      <c r="DU327" s="388">
        <f t="shared" si="557"/>
        <v>1</v>
      </c>
      <c r="DW327" s="386">
        <f t="shared" si="558"/>
        <v>0</v>
      </c>
      <c r="DX327" s="387">
        <f t="shared" si="558"/>
        <v>0.5</v>
      </c>
      <c r="DY327" s="388">
        <f t="shared" si="558"/>
        <v>1</v>
      </c>
      <c r="DZ327" s="386">
        <f t="shared" si="558"/>
        <v>1</v>
      </c>
      <c r="EA327" s="387">
        <f t="shared" si="558"/>
        <v>1</v>
      </c>
      <c r="EB327" s="387">
        <f t="shared" si="558"/>
        <v>1</v>
      </c>
      <c r="EC327" s="387">
        <f t="shared" si="558"/>
        <v>1</v>
      </c>
      <c r="ED327" s="388">
        <f t="shared" si="558"/>
        <v>1</v>
      </c>
      <c r="EF327" s="834">
        <f>+IF(DN327=DM327,0,
IF(AND(EF$44&gt;1,DN327=$N327),1-SUM($EE327:EE327),
IF($N327&lt;=1,
IF($N327&gt;0,1/$N327,0),
IF(EF$44=1,0,VDB(1,0,$N327,INT(EF$44-1-1),MIN($N327,INT(EF$44-1-1)+1),$DC327,IF($DD327="No",1,0))/
IF(DM327&gt;=INT($N327),$N327-INT($N327),1)))*
IF(EF$44=1,0,
IF(INT(DN327)=INT(DM327),DN327-DM327,INT(DN327)-DM327))+
IF($N327&lt;=1,
IF($N327&gt;0,1/$N327,0),VDB(1,0,$N327,INT(EF$44-1),MIN($N327,INT(EF$44-1)+1),$DC327,IF($DD327="No",1,0))/
IF(DN327&gt;INT($N327),$N327-INT($N327),1))*
IF(EF$44=1,DN327,
IF(INT(DN327)=INT(DM327),0,DN327-INT(DN327)))))</f>
        <v>0</v>
      </c>
      <c r="EG327" s="835">
        <f>+IF(DO327=DN327,0,
IF(AND(EG$44&gt;1,DO327=$N327),1-SUM($EE327:EF327),
IF($N327&lt;=1,
IF($N327&gt;0,1/$N327,0),
IF(EG$44=1,0,VDB(1,0,$N327,INT(EG$44-1-1),MIN($N327,INT(EG$44-1-1)+1),$DC327,IF($DD327="No",1,0))/
IF(DN327&gt;=INT($N327),$N327-INT($N327),1)))*
IF(EG$44=1,0,
IF(INT(DO327)=INT(DN327),DO327-DN327,INT(DO327)-DN327))+
IF($N327&lt;=1,
IF($N327&gt;0,1/$N327,0),VDB(1,0,$N327,INT(EG$44-1),MIN($N327,INT(EG$44-1)+1),$DC327,IF($DD327="No",1,0))/
IF(DO327&gt;INT($N327),$N327-INT($N327),1))*
IF(EG$44=1,DO327,
IF(INT(DO327)=INT(DN327),0,DO327-INT(DO327)))))</f>
        <v>0</v>
      </c>
      <c r="EH327" s="836">
        <f>+IF(DP327=DO327,0,
IF(AND(EH$44&gt;1,DP327=$N327),1-SUM($EE327:EG327),
IF($N327&lt;=1,
IF($N327&gt;0,1/$N327,0),
IF(EH$44=1,0,VDB(1,0,$N327,INT(EH$44-1-1),MIN($N327,INT(EH$44-1-1)+1),$DC327,IF($DD327="No",1,0))/
IF(DO327&gt;=INT($N327),$N327-INT($N327),1)))*
IF(EH$44=1,0,
IF(INT(DP327)=INT(DO327),DP327-DO327,INT(DP327)-DO327))+
IF($N327&lt;=1,
IF($N327&gt;0,1/$N327,0),VDB(1,0,$N327,INT(EH$44-1),MIN($N327,INT(EH$44-1)+1),$DC327,IF($DD327="No",1,0))/
IF(DP327&gt;INT($N327),$N327-INT($N327),1))*
IF(EH$44=1,DP327,
IF(INT(DP327)=INT(DO327),0,DP327-INT(DP327)))))</f>
        <v>0</v>
      </c>
      <c r="EI327" s="834">
        <f>+IF(DQ327=DP327,0,
IF(AND(EI$44&gt;1,DQ327=$N327),1-SUM($EE327:EH327),
IF($N327&lt;=1,
IF($N327&gt;0,1/$N327,0),
IF(EI$44=1,0,VDB(1,0,$N327,INT(EI$44-1-1),MIN($N327,INT(EI$44-1-1)+1),$DC327,IF($DD327="No",1,0))/
IF(DP327&gt;=INT($N327),$N327-INT($N327),1)))*
IF(EI$44=1,0,
IF(INT(DQ327)=INT(DP327),DQ327-DP327,INT(DQ327)-DP327))+
IF($N327&lt;=1,
IF($N327&gt;0,1/$N327,0),VDB(1,0,$N327,INT(EI$44-1),MIN($N327,INT(EI$44-1)+1),$DC327,IF($DD327="No",1,0))/
IF(DQ327&gt;INT($N327),$N327-INT($N327),1))*
IF(EI$44=1,DQ327,
IF(INT(DQ327)=INT(DP327),0,DQ327-INT(DQ327)))))</f>
        <v>0</v>
      </c>
      <c r="EJ327" s="835">
        <f>+IF(DR327=DQ327,0,
IF(AND(EJ$44&gt;1,DR327=$N327),1-SUM($EE327:EI327),
IF($N327&lt;=1,
IF($N327&gt;0,1/$N327,0),
IF(EJ$44=1,0,VDB(1,0,$N327,INT(EJ$44-1-1),MIN($N327,INT(EJ$44-1-1)+1),$DC327,IF($DD327="No",1,0))/
IF(DQ327&gt;=INT($N327),$N327-INT($N327),1)))*
IF(EJ$44=1,0,
IF(INT(DR327)=INT(DQ327),DR327-DQ327,INT(DR327)-DQ327))+
IF($N327&lt;=1,
IF($N327&gt;0,1/$N327,0),VDB(1,0,$N327,INT(EJ$44-1),MIN($N327,INT(EJ$44-1)+1),$DC327,IF($DD327="No",1,0))/
IF(DR327&gt;INT($N327),$N327-INT($N327),1))*
IF(EJ$44=1,DR327,
IF(INT(DR327)=INT(DQ327),0,DR327-INT(DR327)))))</f>
        <v>0</v>
      </c>
      <c r="EK327" s="835">
        <f>+IF(DS327=DR327,0,
IF(AND(EK$44&gt;1,DS327=$N327),1-SUM($EE327:EJ327),
IF($N327&lt;=1,
IF($N327&gt;0,1/$N327,0),
IF(EK$44=1,0,VDB(1,0,$N327,INT(EK$44-1-1),MIN($N327,INT(EK$44-1-1)+1),$DC327,IF($DD327="No",1,0))/
IF(DR327&gt;=INT($N327),$N327-INT($N327),1)))*
IF(EK$44=1,0,
IF(INT(DS327)=INT(DR327),DS327-DR327,INT(DS327)-DR327))+
IF($N327&lt;=1,
IF($N327&gt;0,1/$N327,0),VDB(1,0,$N327,INT(EK$44-1),MIN($N327,INT(EK$44-1)+1),$DC327,IF($DD327="No",1,0))/
IF(DS327&gt;INT($N327),$N327-INT($N327),1))*
IF(EK$44=1,DS327,
IF(INT(DS327)=INT(DR327),0,DS327-INT(DS327)))))</f>
        <v>0</v>
      </c>
      <c r="EL327" s="835">
        <f>+IF(DT327=DS327,0,
IF(AND(EL$44&gt;1,DT327=$N327),1-SUM($EE327:EK327),
IF($N327&lt;=1,
IF($N327&gt;0,1/$N327,0),
IF(EL$44=1,0,VDB(1,0,$N327,INT(EL$44-1-1),MIN($N327,INT(EL$44-1-1)+1),$DC327,IF($DD327="No",1,0))/
IF(DS327&gt;=INT($N327),$N327-INT($N327),1)))*
IF(EL$44=1,0,
IF(INT(DT327)=INT(DS327),DT327-DS327,INT(DT327)-DS327))+
IF($N327&lt;=1,
IF($N327&gt;0,1/$N327,0),VDB(1,0,$N327,INT(EL$44-1),MIN($N327,INT(EL$44-1)+1),$DC327,IF($DD327="No",1,0))/
IF(DT327&gt;INT($N327),$N327-INT($N327),1))*
IF(EL$44=1,DT327,
IF(INT(DT327)=INT(DS327),0,DT327-INT(DT327)))))</f>
        <v>0</v>
      </c>
      <c r="EM327" s="836">
        <f>+IF(DU327=DT327,0,
IF(AND(EM$44&gt;1,DU327=$N327),1-SUM($EE327:EL327),
IF($N327&lt;=1,
IF($N327&gt;0,1/$N327,0),
IF(EM$44=1,0,VDB(1,0,$N327,INT(EM$44-1-1),MIN($N327,INT(EM$44-1-1)+1),$DC327,IF($DD327="No",1,0))/
IF(DT327&gt;=INT($N327),$N327-INT($N327),1)))*
IF(EM$44=1,0,
IF(INT(DU327)=INT(DT327),DU327-DT327,INT(DU327)-DT327))+
IF($N327&lt;=1,
IF($N327&gt;0,1/$N327,0),VDB(1,0,$N327,INT(EM$44-1),MIN($N327,INT(EM$44-1)+1),$DC327,IF($DD327="No",1,0))/
IF(DU327&gt;INT($N327),$N327-INT($N327),1))*
IF(EM$44=1,DU327,
IF(INT(DU327)=INT(DT327),0,DU327-INT(DU327)))))</f>
        <v>0</v>
      </c>
      <c r="EN327" s="833"/>
      <c r="EO327" s="834">
        <f>+IF(OR(DW327=DV327,EO$44=1),0,
IF(AND(EO$44&gt;1,DW327=$N327),1-SUM($EN327:EN327),
IF($N327&lt;=1,
IF($N327&gt;0,1/$N327,0),
IF(EO$44=2,0,VDB(1,0,$N327,INT(EO$44-2-1),MIN($N327,INT(EO$44-2-1)+1),$DC327,IF($DD327="No",1,0))/
IF(DV327&gt;=INT($N327),$N327-INT($N327),1)))*
IF(EO$44=2,0,
IF(INT(DW327)=INT(DV327),DW327-DV327,INT(DW327)-DV327))+
IF($N327&lt;=1,
IF($N327&gt;0,1/$N327,0),VDB(1,0,$N327,INT(EO$44-2),MIN($N327,INT(EO$44-2)+1),$DC327,IF($DD327="No",1,0))/
IF(DW327&gt;INT($N327),$N327-INT($N327),1))*
IF(EO$44=2,DW327,
IF(INT(DW327)=INT(DV327),0,DW327-INT(DW327)))))</f>
        <v>0</v>
      </c>
      <c r="EP327" s="835">
        <f>+IF(OR(DX327=DW327,EP$44=1),0,
IF(AND(EP$44&gt;1,DX327=$N327),1-SUM($EN327:EO327),
IF($N327&lt;=1,
IF($N327&gt;0,1/$N327,0),
IF(EP$44=2,0,VDB(1,0,$N327,INT(EP$44-2-1),MIN($N327,INT(EP$44-2-1)+1),$DC327,IF($DD327="No",1,0))/
IF(DW327&gt;=INT($N327),$N327-INT($N327),1)))*
IF(EP$44=2,0,
IF(INT(DX327)=INT(DW327),DX327-DW327,INT(DX327)-DW327))+
IF($N327&lt;=1,
IF($N327&gt;0,1/$N327,0),VDB(1,0,$N327,INT(EP$44-2),MIN($N327,INT(EP$44-2)+1),$DC327,IF($DD327="No",1,0))/
IF(DX327&gt;INT($N327),$N327-INT($N327),1))*
IF(EP$44=2,DX327,
IF(INT(DX327)=INT(DW327),0,DX327-INT(DX327)))))</f>
        <v>0</v>
      </c>
      <c r="EQ327" s="836">
        <f>+IF(OR(DY327=DX327,EQ$44=1),0,
IF(AND(EQ$44&gt;1,DY327=$N327),1-SUM($EN327:EP327),
IF($N327&lt;=1,
IF($N327&gt;0,1/$N327,0),
IF(EQ$44=2,0,VDB(1,0,$N327,INT(EQ$44-2-1),MIN($N327,INT(EQ$44-2-1)+1),$DC327,IF($DD327="No",1,0))/
IF(DX327&gt;=INT($N327),$N327-INT($N327),1)))*
IF(EQ$44=2,0,
IF(INT(DY327)=INT(DX327),DY327-DX327,INT(DY327)-DX327))+
IF($N327&lt;=1,
IF($N327&gt;0,1/$N327,0),VDB(1,0,$N327,INT(EQ$44-2),MIN($N327,INT(EQ$44-2)+1),$DC327,IF($DD327="No",1,0))/
IF(DY327&gt;INT($N327),$N327-INT($N327),1))*
IF(EQ$44=2,DY327,
IF(INT(DY327)=INT(DX327),0,DY327-INT(DY327)))))</f>
        <v>0</v>
      </c>
      <c r="ER327" s="834">
        <f>+IF(OR(DZ327=DY327,ER$44=1),0,
IF(AND(ER$44&gt;1,DZ327=$N327),1-SUM($EN327:EQ327),
IF($N327&lt;=1,
IF($N327&gt;0,1/$N327,0),
IF(ER$44=2,0,VDB(1,0,$N327,INT(ER$44-2-1),MIN($N327,INT(ER$44-2-1)+1),$DC327,IF($DD327="No",1,0))/
IF(DY327&gt;=INT($N327),$N327-INT($N327),1)))*
IF(ER$44=2,0,
IF(INT(DZ327)=INT(DY327),DZ327-DY327,INT(DZ327)-DY327))+
IF($N327&lt;=1,
IF($N327&gt;0,1/$N327,0),VDB(1,0,$N327,INT(ER$44-2),MIN($N327,INT(ER$44-2)+1),$DC327,IF($DD327="No",1,0))/
IF(DZ327&gt;INT($N327),$N327-INT($N327),1))*
IF(ER$44=2,DZ327,
IF(INT(DZ327)=INT(DY327),0,DZ327-INT(DZ327)))))</f>
        <v>0</v>
      </c>
      <c r="ES327" s="835">
        <f>+IF(OR(EA327=DZ327,ES$44=1),0,
IF(AND(ES$44&gt;1,EA327=$N327),1-SUM($EN327:ER327),
IF($N327&lt;=1,
IF($N327&gt;0,1/$N327,0),
IF(ES$44=2,0,VDB(1,0,$N327,INT(ES$44-2-1),MIN($N327,INT(ES$44-2-1)+1),$DC327,IF($DD327="No",1,0))/
IF(DZ327&gt;=INT($N327),$N327-INT($N327),1)))*
IF(ES$44=2,0,
IF(INT(EA327)=INT(DZ327),EA327-DZ327,INT(EA327)-DZ327))+
IF($N327&lt;=1,
IF($N327&gt;0,1/$N327,0),VDB(1,0,$N327,INT(ES$44-2),MIN($N327,INT(ES$44-2)+1),$DC327,IF($DD327="No",1,0))/
IF(EA327&gt;INT($N327),$N327-INT($N327),1))*
IF(ES$44=2,EA327,
IF(INT(EA327)=INT(DZ327),0,EA327-INT(EA327)))))</f>
        <v>0</v>
      </c>
      <c r="ET327" s="835">
        <f>+IF(OR(EB327=EA327,ET$44=1),0,
IF(AND(ET$44&gt;1,EB327=$N327),1-SUM($EN327:ES327),
IF($N327&lt;=1,
IF($N327&gt;0,1/$N327,0),
IF(ET$44=2,0,VDB(1,0,$N327,INT(ET$44-2-1),MIN($N327,INT(ET$44-2-1)+1),$DC327,IF($DD327="No",1,0))/
IF(EA327&gt;=INT($N327),$N327-INT($N327),1)))*
IF(ET$44=2,0,
IF(INT(EB327)=INT(EA327),EB327-EA327,INT(EB327)-EA327))+
IF($N327&lt;=1,
IF($N327&gt;0,1/$N327,0),VDB(1,0,$N327,INT(ET$44-2),MIN($N327,INT(ET$44-2)+1),$DC327,IF($DD327="No",1,0))/
IF(EB327&gt;INT($N327),$N327-INT($N327),1))*
IF(ET$44=2,EB327,
IF(INT(EB327)=INT(EA327),0,EB327-INT(EB327)))))</f>
        <v>0</v>
      </c>
      <c r="EU327" s="835">
        <f>+IF(OR(EC327=EB327,EU$44=1),0,
IF(AND(EU$44&gt;1,EC327=$N327),1-SUM($EN327:ET327),
IF($N327&lt;=1,
IF($N327&gt;0,1/$N327,0),
IF(EU$44=2,0,VDB(1,0,$N327,INT(EU$44-2-1),MIN($N327,INT(EU$44-2-1)+1),$DC327,IF($DD327="No",1,0))/
IF(EB327&gt;=INT($N327),$N327-INT($N327),1)))*
IF(EU$44=2,0,
IF(INT(EC327)=INT(EB327),EC327-EB327,INT(EC327)-EB327))+
IF($N327&lt;=1,
IF($N327&gt;0,1/$N327,0),VDB(1,0,$N327,INT(EU$44-2),MIN($N327,INT(EU$44-2)+1),$DC327,IF($DD327="No",1,0))/
IF(EC327&gt;INT($N327),$N327-INT($N327),1))*
IF(EU$44=2,EC327,
IF(INT(EC327)=INT(EB327),0,EC327-INT(EC327)))))</f>
        <v>0</v>
      </c>
      <c r="EV327" s="836">
        <f>+IF(OR(ED327=EC327,EV$44=1),0,
IF(AND(EV$44&gt;1,ED327=$N327),1-SUM($EN327:EU327),
IF($N327&lt;=1,
IF($N327&gt;0,1/$N327,0),
IF(EV$44=2,0,VDB(1,0,$N327,INT(EV$44-2-1),MIN($N327,INT(EV$44-2-1)+1),$DC327,IF($DD327="No",1,0))/
IF(EC327&gt;=INT($N327),$N327-INT($N327),1)))*
IF(EV$44=2,0,
IF(INT(ED327)=INT(EC327),ED327-EC327,INT(ED327)-EC327))+
IF($N327&lt;=1,
IF($N327&gt;0,1/$N327,0),VDB(1,0,$N327,INT(EV$44-2),MIN($N327,INT(EV$44-2)+1),$DC327,IF($DD327="No",1,0))/
IF(ED327&gt;INT($N327),$N327-INT($N327),1))*
IF(EV$44=2,ED327,
IF(INT(ED327)=INT(EC327),0,ED327-INT(ED327)))))</f>
        <v>0</v>
      </c>
      <c r="EW327" s="833"/>
      <c r="EX327" s="834">
        <f t="shared" ca="1" si="559"/>
        <v>0</v>
      </c>
      <c r="EY327" s="835">
        <f t="shared" ca="1" si="559"/>
        <v>0</v>
      </c>
      <c r="EZ327" s="836">
        <f t="shared" ca="1" si="559"/>
        <v>0</v>
      </c>
      <c r="FA327" s="834">
        <f t="shared" ca="1" si="559"/>
        <v>0</v>
      </c>
      <c r="FB327" s="835">
        <f t="shared" ca="1" si="559"/>
        <v>0</v>
      </c>
      <c r="FC327" s="835">
        <f t="shared" ca="1" si="559"/>
        <v>0</v>
      </c>
      <c r="FD327" s="835">
        <f t="shared" ca="1" si="559"/>
        <v>0</v>
      </c>
      <c r="FE327" s="836">
        <f t="shared" ca="1" si="559"/>
        <v>0</v>
      </c>
      <c r="FG327" s="386">
        <f t="shared" ca="1" si="521"/>
        <v>0</v>
      </c>
      <c r="FH327" s="387">
        <f t="shared" ca="1" si="522"/>
        <v>0</v>
      </c>
      <c r="FI327" s="388">
        <f t="shared" ca="1" si="523"/>
        <v>0</v>
      </c>
      <c r="FJ327" s="386">
        <f t="shared" ca="1" si="524"/>
        <v>0</v>
      </c>
      <c r="FK327" s="387">
        <f t="shared" ca="1" si="525"/>
        <v>0</v>
      </c>
      <c r="FL327" s="387">
        <f t="shared" ca="1" si="526"/>
        <v>0</v>
      </c>
      <c r="FM327" s="387">
        <f t="shared" ca="1" si="527"/>
        <v>0</v>
      </c>
      <c r="FN327" s="388">
        <f t="shared" ca="1" si="528"/>
        <v>0</v>
      </c>
      <c r="FR327" s="116"/>
    </row>
    <row r="328" spans="2:174">
      <c r="B328" s="1410">
        <f t="shared" si="556"/>
        <v>282</v>
      </c>
      <c r="C328" s="400"/>
      <c r="D328" s="410"/>
      <c r="E328" s="402"/>
      <c r="F328" s="402"/>
      <c r="G328" s="400"/>
      <c r="H328" s="2088"/>
      <c r="I328" s="2089"/>
      <c r="J328" s="411"/>
      <c r="K328" s="403"/>
      <c r="L328" s="403"/>
      <c r="M328" s="403"/>
      <c r="N328" s="403"/>
      <c r="O328" s="347"/>
      <c r="P328" s="347"/>
      <c r="Q328" s="1021"/>
      <c r="R328" s="1022"/>
      <c r="S328" s="1022"/>
      <c r="T328" s="1022"/>
      <c r="U328" s="1023"/>
      <c r="V328" s="1021"/>
      <c r="W328" s="1022"/>
      <c r="X328" s="1022"/>
      <c r="Y328" s="1022"/>
      <c r="Z328" s="1023"/>
      <c r="AA328" s="1024"/>
      <c r="AB328" s="1021"/>
      <c r="AC328" s="1022"/>
      <c r="AD328" s="1022"/>
      <c r="AE328" s="1022"/>
      <c r="AF328" s="1023"/>
      <c r="AG328" s="1021"/>
      <c r="AH328" s="1022"/>
      <c r="AI328" s="1022"/>
      <c r="AJ328" s="1022"/>
      <c r="AK328" s="1023"/>
      <c r="AL328" s="1024"/>
      <c r="AM328" s="1021"/>
      <c r="AN328" s="1022"/>
      <c r="AO328" s="1022"/>
      <c r="AP328" s="1022"/>
      <c r="AQ328" s="1023"/>
      <c r="AR328" s="1021"/>
      <c r="AS328" s="1022"/>
      <c r="AT328" s="1022"/>
      <c r="AU328" s="1022"/>
      <c r="AV328" s="1023"/>
      <c r="AW328" s="1025"/>
      <c r="AX328" s="1282">
        <f t="shared" si="532"/>
        <v>0</v>
      </c>
      <c r="AY328" s="387">
        <f t="shared" si="533"/>
        <v>0</v>
      </c>
      <c r="AZ328" s="387">
        <f t="shared" si="534"/>
        <v>0</v>
      </c>
      <c r="BA328" s="387">
        <f t="shared" si="535"/>
        <v>0</v>
      </c>
      <c r="BB328" s="1283">
        <f t="shared" si="536"/>
        <v>0</v>
      </c>
      <c r="BC328" s="386">
        <f t="shared" si="537"/>
        <v>0</v>
      </c>
      <c r="BD328" s="387">
        <f t="shared" si="538"/>
        <v>0</v>
      </c>
      <c r="BE328" s="1277">
        <f t="shared" si="539"/>
        <v>0</v>
      </c>
      <c r="BF328" s="1277">
        <f t="shared" si="539"/>
        <v>0</v>
      </c>
      <c r="BG328" s="388">
        <f t="shared" si="539"/>
        <v>0</v>
      </c>
      <c r="BH328" s="1025"/>
      <c r="BI328" s="1282">
        <f t="shared" ca="1" si="540"/>
        <v>0</v>
      </c>
      <c r="BJ328" s="387">
        <f t="shared" ca="1" si="541"/>
        <v>0</v>
      </c>
      <c r="BK328" s="387">
        <f t="shared" ca="1" si="542"/>
        <v>0</v>
      </c>
      <c r="BL328" s="387">
        <f t="shared" ca="1" si="543"/>
        <v>0</v>
      </c>
      <c r="BM328" s="1283">
        <f t="shared" ca="1" si="544"/>
        <v>0</v>
      </c>
      <c r="BN328" s="386">
        <f t="shared" ca="1" si="545"/>
        <v>0</v>
      </c>
      <c r="BO328" s="387">
        <f t="shared" ca="1" si="545"/>
        <v>0</v>
      </c>
      <c r="BP328" s="1277">
        <f t="shared" ca="1" si="545"/>
        <v>0</v>
      </c>
      <c r="BQ328" s="1277">
        <f t="shared" ca="1" si="545"/>
        <v>0</v>
      </c>
      <c r="BR328" s="388">
        <f t="shared" ca="1" si="545"/>
        <v>0</v>
      </c>
      <c r="BS328" s="1025"/>
      <c r="BT328" s="1282">
        <f>+IF($K328="Ongoing",AX328,IF(RIGHT($K328,2)=RIGHT(BT$43,2),SUM($AX328:AX328),0)+IF(RIGHT(BT$43,2)&gt;RIGHT($K328,2),AX328,0))</f>
        <v>0</v>
      </c>
      <c r="BU328" s="387">
        <f>+IF($K328="Ongoing",AY328,IF(RIGHT($K328,2)=RIGHT(BU$43,2),SUM($AX328:AY328),0)+IF(RIGHT(BU$43,2)&gt;RIGHT($K328,2),AY328,0))</f>
        <v>0</v>
      </c>
      <c r="BV328" s="387">
        <f>+IF($K328="Ongoing",AZ328,IF(RIGHT($K328,2)=RIGHT(BV$43,2),SUM($AX328:AZ328),0)+IF(RIGHT(BV$43,2)&gt;RIGHT($K328,2),AZ328,0))</f>
        <v>0</v>
      </c>
      <c r="BW328" s="387">
        <f>+IF($K328="Ongoing",BA328,IF(RIGHT($K328,2)=RIGHT(BW$43,2),SUM($AX328:BA328),0)+IF(RIGHT(BW$43,2)&gt;RIGHT($K328,2),BA328,0))</f>
        <v>0</v>
      </c>
      <c r="BX328" s="1283">
        <f>+IF($K328="Ongoing",BB328,IF(RIGHT($K328,2)=RIGHT(BX$43,2),SUM($AX328:BB328),0)+IF(RIGHT(BX$43,2)&gt;RIGHT($K328,2),BB328,0))</f>
        <v>0</v>
      </c>
      <c r="BY328" s="386">
        <f>+IF($K328="Ongoing",BC328,IF(RIGHT($K328,2)=RIGHT(BY$43,2),SUM($AX328:BC328),0)+IF(RIGHT(BY$43,2)&gt;RIGHT($K328,2),BC328,0))</f>
        <v>0</v>
      </c>
      <c r="BZ328" s="387">
        <f>+IF($K328="Ongoing",BD328,IF(RIGHT($K328,2)=RIGHT(BZ$43,2),SUM($AX328:BD328),0)+IF(RIGHT(BZ$43,2)&gt;RIGHT($K328,2),BD328,0))</f>
        <v>0</v>
      </c>
      <c r="CA328" s="1277">
        <f>+IF($K328="Ongoing",BE328,IF(RIGHT($K328,2)=RIGHT(CA$43,2),SUM($AX328:BE328),0)+IF(RIGHT(CA$43,2)&gt;RIGHT($K328,2),BE328,0))</f>
        <v>0</v>
      </c>
      <c r="CB328" s="1277">
        <f>+IF($K328="Ongoing",BF328,IF(RIGHT($K328,2)=RIGHT(CB$43,2),SUM($AX328:BF328),0)+IF(RIGHT(CB$43,2)&gt;RIGHT($K328,2),BF328,0))</f>
        <v>0</v>
      </c>
      <c r="CC328" s="388">
        <f>+IF($K328="Ongoing",BG328,IF(RIGHT($K328,2)=RIGHT(CC$43,2),SUM($AX328:BG328),0)+IF(RIGHT(CC$43,2)&gt;RIGHT($K328,2),BG328,0))</f>
        <v>0</v>
      </c>
      <c r="CD328" s="1025"/>
      <c r="CE328" s="1282">
        <f>+Q328*KeyAssumptionsPriceControl_FO!AF$15</f>
        <v>0</v>
      </c>
      <c r="CF328" s="387">
        <f>+R328*KeyAssumptionsPriceControl_FO!AG$15</f>
        <v>0</v>
      </c>
      <c r="CG328" s="387">
        <f>+S328*KeyAssumptionsPriceControl_FO!AH$15</f>
        <v>0</v>
      </c>
      <c r="CH328" s="387">
        <f>+T328*KeyAssumptionsPriceControl_FO!AI$15</f>
        <v>0</v>
      </c>
      <c r="CI328" s="1283">
        <f>+U328*KeyAssumptionsPriceControl_FO!AJ$15</f>
        <v>0</v>
      </c>
      <c r="CJ328" s="386">
        <f>+V328*KeyAssumptionsPriceControl_FO!AK$15</f>
        <v>0</v>
      </c>
      <c r="CK328" s="387">
        <f>+W328*KeyAssumptionsPriceControl_FO!AL$15</f>
        <v>0</v>
      </c>
      <c r="CL328" s="1277">
        <f>+X328*KeyAssumptionsPriceControl_FO!AM$15</f>
        <v>0</v>
      </c>
      <c r="CM328" s="1277">
        <f>+Y328*KeyAssumptionsPriceControl_FO!AN$15</f>
        <v>0</v>
      </c>
      <c r="CN328" s="388">
        <f>+Z328*KeyAssumptionsPriceControl_FO!AO$15</f>
        <v>0</v>
      </c>
      <c r="CO328" s="1025"/>
      <c r="CP328" s="1282">
        <f t="shared" ca="1" si="546"/>
        <v>0</v>
      </c>
      <c r="CQ328" s="387">
        <f t="shared" ca="1" si="547"/>
        <v>0</v>
      </c>
      <c r="CR328" s="387">
        <f t="shared" ca="1" si="548"/>
        <v>0</v>
      </c>
      <c r="CS328" s="387">
        <f t="shared" ca="1" si="549"/>
        <v>0</v>
      </c>
      <c r="CT328" s="1283">
        <f t="shared" ca="1" si="550"/>
        <v>0</v>
      </c>
      <c r="CU328" s="386">
        <f t="shared" ca="1" si="551"/>
        <v>0</v>
      </c>
      <c r="CV328" s="387">
        <f t="shared" ca="1" si="552"/>
        <v>0</v>
      </c>
      <c r="CW328" s="1277">
        <f t="shared" ca="1" si="553"/>
        <v>0</v>
      </c>
      <c r="CX328" s="1277">
        <f t="shared" ca="1" si="554"/>
        <v>0</v>
      </c>
      <c r="CY328" s="388">
        <f t="shared" ca="1" si="555"/>
        <v>0</v>
      </c>
      <c r="CZ328" s="347"/>
      <c r="DA328" s="852"/>
      <c r="DB328" s="347"/>
      <c r="DC328" s="1012" t="s">
        <v>517</v>
      </c>
      <c r="DD328" s="841" t="s">
        <v>518</v>
      </c>
      <c r="DE328" s="386">
        <f>+IF($K328="ongoing",CE328,IF(RIGHT($K328,2)=RIGHT(DE$43,2),SUM($CD328:CE328),0)+IF(RIGHT(DE$43,2)&gt;RIGHT($K328,2),CE328,0))</f>
        <v>0</v>
      </c>
      <c r="DF328" s="387">
        <f>+IF($K328="ongoing",CF328,IF(RIGHT($K328,2)=RIGHT(DF$43,2),SUM($CD328:CF328),0)+IF(RIGHT(DF$43,2)&gt;RIGHT($K328,2),CF328,0))</f>
        <v>0</v>
      </c>
      <c r="DG328" s="388">
        <f>+IF($K328="ongoing",CG328,IF(RIGHT($K328,2)=RIGHT(DG$43,2),SUM($CD328:CG328),0)+IF(RIGHT(DG$43,2)&gt;RIGHT($K328,2),CG328,0))</f>
        <v>0</v>
      </c>
      <c r="DH328" s="386">
        <f>+IF($K328="ongoing",CH328,IF(RIGHT($K328,2)=RIGHT(DH$43,2),SUM($CD328:CH328),0)+IF(RIGHT(DH$43,2)&gt;RIGHT($K328,2),CH328,0))</f>
        <v>0</v>
      </c>
      <c r="DI328" s="387">
        <f>+IF($K328="ongoing",CI328,IF(RIGHT($K328,2)=RIGHT(DI$43,2),SUM($CD328:CI328),0)+IF(RIGHT(DI$43,2)&gt;RIGHT($K328,2),CI328,0))</f>
        <v>0</v>
      </c>
      <c r="DJ328" s="387">
        <f>+IF($K328="ongoing",CJ328,IF(RIGHT($K328,2)=RIGHT(DJ$43,2),SUM($CD328:CJ328),0)+IF(RIGHT(DJ$43,2)&gt;RIGHT($K328,2),CJ328,0))</f>
        <v>0</v>
      </c>
      <c r="DK328" s="387">
        <f>+IF($K328="ongoing",CK328,IF(RIGHT($K328,2)=RIGHT(DK$43,2),SUM($CD328:CK328),0)+IF(RIGHT(DK$43,2)&gt;RIGHT($K328,2),CK328,0))</f>
        <v>0</v>
      </c>
      <c r="DL328" s="388">
        <f>+IF($K328="ongoing",CN328,IF(RIGHT($K328,2)=RIGHT(DL$43,2),SUM($CD328:CN328),0)+IF(RIGHT(DL$43,2)&gt;RIGHT($K328,2),CN328,0))</f>
        <v>0</v>
      </c>
      <c r="DM328" s="841"/>
      <c r="DN328" s="386">
        <f t="shared" si="557"/>
        <v>0.5</v>
      </c>
      <c r="DO328" s="387">
        <f t="shared" si="557"/>
        <v>1</v>
      </c>
      <c r="DP328" s="388">
        <f t="shared" si="557"/>
        <v>1</v>
      </c>
      <c r="DQ328" s="386">
        <f t="shared" si="557"/>
        <v>1</v>
      </c>
      <c r="DR328" s="387">
        <f t="shared" si="557"/>
        <v>1</v>
      </c>
      <c r="DS328" s="387">
        <f t="shared" si="557"/>
        <v>1</v>
      </c>
      <c r="DT328" s="387">
        <f t="shared" si="557"/>
        <v>1</v>
      </c>
      <c r="DU328" s="388">
        <f t="shared" si="557"/>
        <v>1</v>
      </c>
      <c r="DW328" s="386">
        <f t="shared" si="558"/>
        <v>0</v>
      </c>
      <c r="DX328" s="387">
        <f t="shared" si="558"/>
        <v>0.5</v>
      </c>
      <c r="DY328" s="388">
        <f t="shared" si="558"/>
        <v>1</v>
      </c>
      <c r="DZ328" s="386">
        <f t="shared" si="558"/>
        <v>1</v>
      </c>
      <c r="EA328" s="387">
        <f t="shared" si="558"/>
        <v>1</v>
      </c>
      <c r="EB328" s="387">
        <f t="shared" si="558"/>
        <v>1</v>
      </c>
      <c r="EC328" s="387">
        <f t="shared" si="558"/>
        <v>1</v>
      </c>
      <c r="ED328" s="388">
        <f t="shared" si="558"/>
        <v>1</v>
      </c>
      <c r="EF328" s="834">
        <f>+IF(DN328=DM328,0,
IF(AND(EF$44&gt;1,DN328=$N328),1-SUM($EE328:EE328),
IF($N328&lt;=1,
IF($N328&gt;0,1/$N328,0),
IF(EF$44=1,0,VDB(1,0,$N328,INT(EF$44-1-1),MIN($N328,INT(EF$44-1-1)+1),$DC328,IF($DD328="No",1,0))/
IF(DM328&gt;=INT($N328),$N328-INT($N328),1)))*
IF(EF$44=1,0,
IF(INT(DN328)=INT(DM328),DN328-DM328,INT(DN328)-DM328))+
IF($N328&lt;=1,
IF($N328&gt;0,1/$N328,0),VDB(1,0,$N328,INT(EF$44-1),MIN($N328,INT(EF$44-1)+1),$DC328,IF($DD328="No",1,0))/
IF(DN328&gt;INT($N328),$N328-INT($N328),1))*
IF(EF$44=1,DN328,
IF(INT(DN328)=INT(DM328),0,DN328-INT(DN328)))))</f>
        <v>0</v>
      </c>
      <c r="EG328" s="835">
        <f>+IF(DO328=DN328,0,
IF(AND(EG$44&gt;1,DO328=$N328),1-SUM($EE328:EF328),
IF($N328&lt;=1,
IF($N328&gt;0,1/$N328,0),
IF(EG$44=1,0,VDB(1,0,$N328,INT(EG$44-1-1),MIN($N328,INT(EG$44-1-1)+1),$DC328,IF($DD328="No",1,0))/
IF(DN328&gt;=INT($N328),$N328-INT($N328),1)))*
IF(EG$44=1,0,
IF(INT(DO328)=INT(DN328),DO328-DN328,INT(DO328)-DN328))+
IF($N328&lt;=1,
IF($N328&gt;0,1/$N328,0),VDB(1,0,$N328,INT(EG$44-1),MIN($N328,INT(EG$44-1)+1),$DC328,IF($DD328="No",1,0))/
IF(DO328&gt;INT($N328),$N328-INT($N328),1))*
IF(EG$44=1,DO328,
IF(INT(DO328)=INT(DN328),0,DO328-INT(DO328)))))</f>
        <v>0</v>
      </c>
      <c r="EH328" s="836">
        <f>+IF(DP328=DO328,0,
IF(AND(EH$44&gt;1,DP328=$N328),1-SUM($EE328:EG328),
IF($N328&lt;=1,
IF($N328&gt;0,1/$N328,0),
IF(EH$44=1,0,VDB(1,0,$N328,INT(EH$44-1-1),MIN($N328,INT(EH$44-1-1)+1),$DC328,IF($DD328="No",1,0))/
IF(DO328&gt;=INT($N328),$N328-INT($N328),1)))*
IF(EH$44=1,0,
IF(INT(DP328)=INT(DO328),DP328-DO328,INT(DP328)-DO328))+
IF($N328&lt;=1,
IF($N328&gt;0,1/$N328,0),VDB(1,0,$N328,INT(EH$44-1),MIN($N328,INT(EH$44-1)+1),$DC328,IF($DD328="No",1,0))/
IF(DP328&gt;INT($N328),$N328-INT($N328),1))*
IF(EH$44=1,DP328,
IF(INT(DP328)=INT(DO328),0,DP328-INT(DP328)))))</f>
        <v>0</v>
      </c>
      <c r="EI328" s="834">
        <f>+IF(DQ328=DP328,0,
IF(AND(EI$44&gt;1,DQ328=$N328),1-SUM($EE328:EH328),
IF($N328&lt;=1,
IF($N328&gt;0,1/$N328,0),
IF(EI$44=1,0,VDB(1,0,$N328,INT(EI$44-1-1),MIN($N328,INT(EI$44-1-1)+1),$DC328,IF($DD328="No",1,0))/
IF(DP328&gt;=INT($N328),$N328-INT($N328),1)))*
IF(EI$44=1,0,
IF(INT(DQ328)=INT(DP328),DQ328-DP328,INT(DQ328)-DP328))+
IF($N328&lt;=1,
IF($N328&gt;0,1/$N328,0),VDB(1,0,$N328,INT(EI$44-1),MIN($N328,INT(EI$44-1)+1),$DC328,IF($DD328="No",1,0))/
IF(DQ328&gt;INT($N328),$N328-INT($N328),1))*
IF(EI$44=1,DQ328,
IF(INT(DQ328)=INT(DP328),0,DQ328-INT(DQ328)))))</f>
        <v>0</v>
      </c>
      <c r="EJ328" s="835">
        <f>+IF(DR328=DQ328,0,
IF(AND(EJ$44&gt;1,DR328=$N328),1-SUM($EE328:EI328),
IF($N328&lt;=1,
IF($N328&gt;0,1/$N328,0),
IF(EJ$44=1,0,VDB(1,0,$N328,INT(EJ$44-1-1),MIN($N328,INT(EJ$44-1-1)+1),$DC328,IF($DD328="No",1,0))/
IF(DQ328&gt;=INT($N328),$N328-INT($N328),1)))*
IF(EJ$44=1,0,
IF(INT(DR328)=INT(DQ328),DR328-DQ328,INT(DR328)-DQ328))+
IF($N328&lt;=1,
IF($N328&gt;0,1/$N328,0),VDB(1,0,$N328,INT(EJ$44-1),MIN($N328,INT(EJ$44-1)+1),$DC328,IF($DD328="No",1,0))/
IF(DR328&gt;INT($N328),$N328-INT($N328),1))*
IF(EJ$44=1,DR328,
IF(INT(DR328)=INT(DQ328),0,DR328-INT(DR328)))))</f>
        <v>0</v>
      </c>
      <c r="EK328" s="835">
        <f>+IF(DS328=DR328,0,
IF(AND(EK$44&gt;1,DS328=$N328),1-SUM($EE328:EJ328),
IF($N328&lt;=1,
IF($N328&gt;0,1/$N328,0),
IF(EK$44=1,0,VDB(1,0,$N328,INT(EK$44-1-1),MIN($N328,INT(EK$44-1-1)+1),$DC328,IF($DD328="No",1,0))/
IF(DR328&gt;=INT($N328),$N328-INT($N328),1)))*
IF(EK$44=1,0,
IF(INT(DS328)=INT(DR328),DS328-DR328,INT(DS328)-DR328))+
IF($N328&lt;=1,
IF($N328&gt;0,1/$N328,0),VDB(1,0,$N328,INT(EK$44-1),MIN($N328,INT(EK$44-1)+1),$DC328,IF($DD328="No",1,0))/
IF(DS328&gt;INT($N328),$N328-INT($N328),1))*
IF(EK$44=1,DS328,
IF(INT(DS328)=INT(DR328),0,DS328-INT(DS328)))))</f>
        <v>0</v>
      </c>
      <c r="EL328" s="835">
        <f>+IF(DT328=DS328,0,
IF(AND(EL$44&gt;1,DT328=$N328),1-SUM($EE328:EK328),
IF($N328&lt;=1,
IF($N328&gt;0,1/$N328,0),
IF(EL$44=1,0,VDB(1,0,$N328,INT(EL$44-1-1),MIN($N328,INT(EL$44-1-1)+1),$DC328,IF($DD328="No",1,0))/
IF(DS328&gt;=INT($N328),$N328-INT($N328),1)))*
IF(EL$44=1,0,
IF(INT(DT328)=INT(DS328),DT328-DS328,INT(DT328)-DS328))+
IF($N328&lt;=1,
IF($N328&gt;0,1/$N328,0),VDB(1,0,$N328,INT(EL$44-1),MIN($N328,INT(EL$44-1)+1),$DC328,IF($DD328="No",1,0))/
IF(DT328&gt;INT($N328),$N328-INT($N328),1))*
IF(EL$44=1,DT328,
IF(INT(DT328)=INT(DS328),0,DT328-INT(DT328)))))</f>
        <v>0</v>
      </c>
      <c r="EM328" s="836">
        <f>+IF(DU328=DT328,0,
IF(AND(EM$44&gt;1,DU328=$N328),1-SUM($EE328:EL328),
IF($N328&lt;=1,
IF($N328&gt;0,1/$N328,0),
IF(EM$44=1,0,VDB(1,0,$N328,INT(EM$44-1-1),MIN($N328,INT(EM$44-1-1)+1),$DC328,IF($DD328="No",1,0))/
IF(DT328&gt;=INT($N328),$N328-INT($N328),1)))*
IF(EM$44=1,0,
IF(INT(DU328)=INT(DT328),DU328-DT328,INT(DU328)-DT328))+
IF($N328&lt;=1,
IF($N328&gt;0,1/$N328,0),VDB(1,0,$N328,INT(EM$44-1),MIN($N328,INT(EM$44-1)+1),$DC328,IF($DD328="No",1,0))/
IF(DU328&gt;INT($N328),$N328-INT($N328),1))*
IF(EM$44=1,DU328,
IF(INT(DU328)=INT(DT328),0,DU328-INT(DU328)))))</f>
        <v>0</v>
      </c>
      <c r="EN328" s="833"/>
      <c r="EO328" s="834">
        <f>+IF(OR(DW328=DV328,EO$44=1),0,
IF(AND(EO$44&gt;1,DW328=$N328),1-SUM($EN328:EN328),
IF($N328&lt;=1,
IF($N328&gt;0,1/$N328,0),
IF(EO$44=2,0,VDB(1,0,$N328,INT(EO$44-2-1),MIN($N328,INT(EO$44-2-1)+1),$DC328,IF($DD328="No",1,0))/
IF(DV328&gt;=INT($N328),$N328-INT($N328),1)))*
IF(EO$44=2,0,
IF(INT(DW328)=INT(DV328),DW328-DV328,INT(DW328)-DV328))+
IF($N328&lt;=1,
IF($N328&gt;0,1/$N328,0),VDB(1,0,$N328,INT(EO$44-2),MIN($N328,INT(EO$44-2)+1),$DC328,IF($DD328="No",1,0))/
IF(DW328&gt;INT($N328),$N328-INT($N328),1))*
IF(EO$44=2,DW328,
IF(INT(DW328)=INT(DV328),0,DW328-INT(DW328)))))</f>
        <v>0</v>
      </c>
      <c r="EP328" s="835">
        <f>+IF(OR(DX328=DW328,EP$44=1),0,
IF(AND(EP$44&gt;1,DX328=$N328),1-SUM($EN328:EO328),
IF($N328&lt;=1,
IF($N328&gt;0,1/$N328,0),
IF(EP$44=2,0,VDB(1,0,$N328,INT(EP$44-2-1),MIN($N328,INT(EP$44-2-1)+1),$DC328,IF($DD328="No",1,0))/
IF(DW328&gt;=INT($N328),$N328-INT($N328),1)))*
IF(EP$44=2,0,
IF(INT(DX328)=INT(DW328),DX328-DW328,INT(DX328)-DW328))+
IF($N328&lt;=1,
IF($N328&gt;0,1/$N328,0),VDB(1,0,$N328,INT(EP$44-2),MIN($N328,INT(EP$44-2)+1),$DC328,IF($DD328="No",1,0))/
IF(DX328&gt;INT($N328),$N328-INT($N328),1))*
IF(EP$44=2,DX328,
IF(INT(DX328)=INT(DW328),0,DX328-INT(DX328)))))</f>
        <v>0</v>
      </c>
      <c r="EQ328" s="836">
        <f>+IF(OR(DY328=DX328,EQ$44=1),0,
IF(AND(EQ$44&gt;1,DY328=$N328),1-SUM($EN328:EP328),
IF($N328&lt;=1,
IF($N328&gt;0,1/$N328,0),
IF(EQ$44=2,0,VDB(1,0,$N328,INT(EQ$44-2-1),MIN($N328,INT(EQ$44-2-1)+1),$DC328,IF($DD328="No",1,0))/
IF(DX328&gt;=INT($N328),$N328-INT($N328),1)))*
IF(EQ$44=2,0,
IF(INT(DY328)=INT(DX328),DY328-DX328,INT(DY328)-DX328))+
IF($N328&lt;=1,
IF($N328&gt;0,1/$N328,0),VDB(1,0,$N328,INT(EQ$44-2),MIN($N328,INT(EQ$44-2)+1),$DC328,IF($DD328="No",1,0))/
IF(DY328&gt;INT($N328),$N328-INT($N328),1))*
IF(EQ$44=2,DY328,
IF(INT(DY328)=INT(DX328),0,DY328-INT(DY328)))))</f>
        <v>0</v>
      </c>
      <c r="ER328" s="834">
        <f>+IF(OR(DZ328=DY328,ER$44=1),0,
IF(AND(ER$44&gt;1,DZ328=$N328),1-SUM($EN328:EQ328),
IF($N328&lt;=1,
IF($N328&gt;0,1/$N328,0),
IF(ER$44=2,0,VDB(1,0,$N328,INT(ER$44-2-1),MIN($N328,INT(ER$44-2-1)+1),$DC328,IF($DD328="No",1,0))/
IF(DY328&gt;=INT($N328),$N328-INT($N328),1)))*
IF(ER$44=2,0,
IF(INT(DZ328)=INT(DY328),DZ328-DY328,INT(DZ328)-DY328))+
IF($N328&lt;=1,
IF($N328&gt;0,1/$N328,0),VDB(1,0,$N328,INT(ER$44-2),MIN($N328,INT(ER$44-2)+1),$DC328,IF($DD328="No",1,0))/
IF(DZ328&gt;INT($N328),$N328-INT($N328),1))*
IF(ER$44=2,DZ328,
IF(INT(DZ328)=INT(DY328),0,DZ328-INT(DZ328)))))</f>
        <v>0</v>
      </c>
      <c r="ES328" s="835">
        <f>+IF(OR(EA328=DZ328,ES$44=1),0,
IF(AND(ES$44&gt;1,EA328=$N328),1-SUM($EN328:ER328),
IF($N328&lt;=1,
IF($N328&gt;0,1/$N328,0),
IF(ES$44=2,0,VDB(1,0,$N328,INT(ES$44-2-1),MIN($N328,INT(ES$44-2-1)+1),$DC328,IF($DD328="No",1,0))/
IF(DZ328&gt;=INT($N328),$N328-INT($N328),1)))*
IF(ES$44=2,0,
IF(INT(EA328)=INT(DZ328),EA328-DZ328,INT(EA328)-DZ328))+
IF($N328&lt;=1,
IF($N328&gt;0,1/$N328,0),VDB(1,0,$N328,INT(ES$44-2),MIN($N328,INT(ES$44-2)+1),$DC328,IF($DD328="No",1,0))/
IF(EA328&gt;INT($N328),$N328-INT($N328),1))*
IF(ES$44=2,EA328,
IF(INT(EA328)=INT(DZ328),0,EA328-INT(EA328)))))</f>
        <v>0</v>
      </c>
      <c r="ET328" s="835">
        <f>+IF(OR(EB328=EA328,ET$44=1),0,
IF(AND(ET$44&gt;1,EB328=$N328),1-SUM($EN328:ES328),
IF($N328&lt;=1,
IF($N328&gt;0,1/$N328,0),
IF(ET$44=2,0,VDB(1,0,$N328,INT(ET$44-2-1),MIN($N328,INT(ET$44-2-1)+1),$DC328,IF($DD328="No",1,0))/
IF(EA328&gt;=INT($N328),$N328-INT($N328),1)))*
IF(ET$44=2,0,
IF(INT(EB328)=INT(EA328),EB328-EA328,INT(EB328)-EA328))+
IF($N328&lt;=1,
IF($N328&gt;0,1/$N328,0),VDB(1,0,$N328,INT(ET$44-2),MIN($N328,INT(ET$44-2)+1),$DC328,IF($DD328="No",1,0))/
IF(EB328&gt;INT($N328),$N328-INT($N328),1))*
IF(ET$44=2,EB328,
IF(INT(EB328)=INT(EA328),0,EB328-INT(EB328)))))</f>
        <v>0</v>
      </c>
      <c r="EU328" s="835">
        <f>+IF(OR(EC328=EB328,EU$44=1),0,
IF(AND(EU$44&gt;1,EC328=$N328),1-SUM($EN328:ET328),
IF($N328&lt;=1,
IF($N328&gt;0,1/$N328,0),
IF(EU$44=2,0,VDB(1,0,$N328,INT(EU$44-2-1),MIN($N328,INT(EU$44-2-1)+1),$DC328,IF($DD328="No",1,0))/
IF(EB328&gt;=INT($N328),$N328-INT($N328),1)))*
IF(EU$44=2,0,
IF(INT(EC328)=INT(EB328),EC328-EB328,INT(EC328)-EB328))+
IF($N328&lt;=1,
IF($N328&gt;0,1/$N328,0),VDB(1,0,$N328,INT(EU$44-2),MIN($N328,INT(EU$44-2)+1),$DC328,IF($DD328="No",1,0))/
IF(EC328&gt;INT($N328),$N328-INT($N328),1))*
IF(EU$44=2,EC328,
IF(INT(EC328)=INT(EB328),0,EC328-INT(EC328)))))</f>
        <v>0</v>
      </c>
      <c r="EV328" s="836">
        <f>+IF(OR(ED328=EC328,EV$44=1),0,
IF(AND(EV$44&gt;1,ED328=$N328),1-SUM($EN328:EU328),
IF($N328&lt;=1,
IF($N328&gt;0,1/$N328,0),
IF(EV$44=2,0,VDB(1,0,$N328,INT(EV$44-2-1),MIN($N328,INT(EV$44-2-1)+1),$DC328,IF($DD328="No",1,0))/
IF(EC328&gt;=INT($N328),$N328-INT($N328),1)))*
IF(EV$44=2,0,
IF(INT(ED328)=INT(EC328),ED328-EC328,INT(ED328)-EC328))+
IF($N328&lt;=1,
IF($N328&gt;0,1/$N328,0),VDB(1,0,$N328,INT(EV$44-2),MIN($N328,INT(EV$44-2)+1),$DC328,IF($DD328="No",1,0))/
IF(ED328&gt;INT($N328),$N328-INT($N328),1))*
IF(EV$44=2,ED328,
IF(INT(ED328)=INT(EC328),0,ED328-INT(ED328)))))</f>
        <v>0</v>
      </c>
      <c r="EW328" s="833"/>
      <c r="EX328" s="834">
        <f t="shared" ca="1" si="559"/>
        <v>0</v>
      </c>
      <c r="EY328" s="835">
        <f t="shared" ca="1" si="559"/>
        <v>0</v>
      </c>
      <c r="EZ328" s="836">
        <f t="shared" ca="1" si="559"/>
        <v>0</v>
      </c>
      <c r="FA328" s="834">
        <f t="shared" ca="1" si="559"/>
        <v>0</v>
      </c>
      <c r="FB328" s="835">
        <f t="shared" ca="1" si="559"/>
        <v>0</v>
      </c>
      <c r="FC328" s="835">
        <f t="shared" ca="1" si="559"/>
        <v>0</v>
      </c>
      <c r="FD328" s="835">
        <f t="shared" ca="1" si="559"/>
        <v>0</v>
      </c>
      <c r="FE328" s="836">
        <f t="shared" ca="1" si="559"/>
        <v>0</v>
      </c>
      <c r="FG328" s="386">
        <f t="shared" ca="1" si="521"/>
        <v>0</v>
      </c>
      <c r="FH328" s="387">
        <f t="shared" ca="1" si="522"/>
        <v>0</v>
      </c>
      <c r="FI328" s="388">
        <f t="shared" ca="1" si="523"/>
        <v>0</v>
      </c>
      <c r="FJ328" s="386">
        <f t="shared" ca="1" si="524"/>
        <v>0</v>
      </c>
      <c r="FK328" s="387">
        <f t="shared" ca="1" si="525"/>
        <v>0</v>
      </c>
      <c r="FL328" s="387">
        <f t="shared" ca="1" si="526"/>
        <v>0</v>
      </c>
      <c r="FM328" s="387">
        <f t="shared" ca="1" si="527"/>
        <v>0</v>
      </c>
      <c r="FN328" s="388">
        <f t="shared" ca="1" si="528"/>
        <v>0</v>
      </c>
      <c r="FR328" s="116"/>
    </row>
    <row r="329" spans="2:174">
      <c r="B329" s="1410">
        <f t="shared" si="556"/>
        <v>283</v>
      </c>
      <c r="C329" s="400"/>
      <c r="D329" s="410"/>
      <c r="E329" s="402"/>
      <c r="F329" s="402"/>
      <c r="G329" s="400"/>
      <c r="H329" s="2088"/>
      <c r="I329" s="2089"/>
      <c r="J329" s="411"/>
      <c r="K329" s="403"/>
      <c r="L329" s="403"/>
      <c r="M329" s="403"/>
      <c r="N329" s="403"/>
      <c r="O329" s="347"/>
      <c r="P329" s="347"/>
      <c r="Q329" s="1021"/>
      <c r="R329" s="1022"/>
      <c r="S329" s="1022"/>
      <c r="T329" s="1022"/>
      <c r="U329" s="1023"/>
      <c r="V329" s="1021"/>
      <c r="W329" s="1022"/>
      <c r="X329" s="1022"/>
      <c r="Y329" s="1022"/>
      <c r="Z329" s="1023"/>
      <c r="AA329" s="1024"/>
      <c r="AB329" s="1021"/>
      <c r="AC329" s="1022"/>
      <c r="AD329" s="1022"/>
      <c r="AE329" s="1022"/>
      <c r="AF329" s="1023"/>
      <c r="AG329" s="1021"/>
      <c r="AH329" s="1022"/>
      <c r="AI329" s="1022"/>
      <c r="AJ329" s="1022"/>
      <c r="AK329" s="1023"/>
      <c r="AL329" s="1024"/>
      <c r="AM329" s="1021"/>
      <c r="AN329" s="1022"/>
      <c r="AO329" s="1022"/>
      <c r="AP329" s="1022"/>
      <c r="AQ329" s="1023"/>
      <c r="AR329" s="1021"/>
      <c r="AS329" s="1022"/>
      <c r="AT329" s="1022"/>
      <c r="AU329" s="1022"/>
      <c r="AV329" s="1023"/>
      <c r="AW329" s="1025"/>
      <c r="AX329" s="1282">
        <f t="shared" si="532"/>
        <v>0</v>
      </c>
      <c r="AY329" s="387">
        <f t="shared" si="533"/>
        <v>0</v>
      </c>
      <c r="AZ329" s="387">
        <f t="shared" si="534"/>
        <v>0</v>
      </c>
      <c r="BA329" s="387">
        <f t="shared" si="535"/>
        <v>0</v>
      </c>
      <c r="BB329" s="1283">
        <f t="shared" si="536"/>
        <v>0</v>
      </c>
      <c r="BC329" s="386">
        <f t="shared" si="537"/>
        <v>0</v>
      </c>
      <c r="BD329" s="387">
        <f t="shared" si="538"/>
        <v>0</v>
      </c>
      <c r="BE329" s="1277">
        <f t="shared" si="539"/>
        <v>0</v>
      </c>
      <c r="BF329" s="1277">
        <f t="shared" si="539"/>
        <v>0</v>
      </c>
      <c r="BG329" s="388">
        <f t="shared" si="539"/>
        <v>0</v>
      </c>
      <c r="BH329" s="1025"/>
      <c r="BI329" s="1282">
        <f t="shared" ca="1" si="540"/>
        <v>0</v>
      </c>
      <c r="BJ329" s="387">
        <f t="shared" ca="1" si="541"/>
        <v>0</v>
      </c>
      <c r="BK329" s="387">
        <f t="shared" ca="1" si="542"/>
        <v>0</v>
      </c>
      <c r="BL329" s="387">
        <f t="shared" ca="1" si="543"/>
        <v>0</v>
      </c>
      <c r="BM329" s="1283">
        <f t="shared" ca="1" si="544"/>
        <v>0</v>
      </c>
      <c r="BN329" s="386">
        <f t="shared" ca="1" si="545"/>
        <v>0</v>
      </c>
      <c r="BO329" s="387">
        <f t="shared" ca="1" si="545"/>
        <v>0</v>
      </c>
      <c r="BP329" s="1277">
        <f t="shared" ca="1" si="545"/>
        <v>0</v>
      </c>
      <c r="BQ329" s="1277">
        <f t="shared" ca="1" si="545"/>
        <v>0</v>
      </c>
      <c r="BR329" s="388">
        <f t="shared" ca="1" si="545"/>
        <v>0</v>
      </c>
      <c r="BS329" s="1025"/>
      <c r="BT329" s="1282">
        <f>+IF($K329="Ongoing",AX329,IF(RIGHT($K329,2)=RIGHT(BT$43,2),SUM($AX329:AX329),0)+IF(RIGHT(BT$43,2)&gt;RIGHT($K329,2),AX329,0))</f>
        <v>0</v>
      </c>
      <c r="BU329" s="387">
        <f>+IF($K329="Ongoing",AY329,IF(RIGHT($K329,2)=RIGHT(BU$43,2),SUM($AX329:AY329),0)+IF(RIGHT(BU$43,2)&gt;RIGHT($K329,2),AY329,0))</f>
        <v>0</v>
      </c>
      <c r="BV329" s="387">
        <f>+IF($K329="Ongoing",AZ329,IF(RIGHT($K329,2)=RIGHT(BV$43,2),SUM($AX329:AZ329),0)+IF(RIGHT(BV$43,2)&gt;RIGHT($K329,2),AZ329,0))</f>
        <v>0</v>
      </c>
      <c r="BW329" s="387">
        <f>+IF($K329="Ongoing",BA329,IF(RIGHT($K329,2)=RIGHT(BW$43,2),SUM($AX329:BA329),0)+IF(RIGHT(BW$43,2)&gt;RIGHT($K329,2),BA329,0))</f>
        <v>0</v>
      </c>
      <c r="BX329" s="1283">
        <f>+IF($K329="Ongoing",BB329,IF(RIGHT($K329,2)=RIGHT(BX$43,2),SUM($AX329:BB329),0)+IF(RIGHT(BX$43,2)&gt;RIGHT($K329,2),BB329,0))</f>
        <v>0</v>
      </c>
      <c r="BY329" s="386">
        <f>+IF($K329="Ongoing",BC329,IF(RIGHT($K329,2)=RIGHT(BY$43,2),SUM($AX329:BC329),0)+IF(RIGHT(BY$43,2)&gt;RIGHT($K329,2),BC329,0))</f>
        <v>0</v>
      </c>
      <c r="BZ329" s="387">
        <f>+IF($K329="Ongoing",BD329,IF(RIGHT($K329,2)=RIGHT(BZ$43,2),SUM($AX329:BD329),0)+IF(RIGHT(BZ$43,2)&gt;RIGHT($K329,2),BD329,0))</f>
        <v>0</v>
      </c>
      <c r="CA329" s="1277">
        <f>+IF($K329="Ongoing",BE329,IF(RIGHT($K329,2)=RIGHT(CA$43,2),SUM($AX329:BE329),0)+IF(RIGHT(CA$43,2)&gt;RIGHT($K329,2),BE329,0))</f>
        <v>0</v>
      </c>
      <c r="CB329" s="1277">
        <f>+IF($K329="Ongoing",BF329,IF(RIGHT($K329,2)=RIGHT(CB$43,2),SUM($AX329:BF329),0)+IF(RIGHT(CB$43,2)&gt;RIGHT($K329,2),BF329,0))</f>
        <v>0</v>
      </c>
      <c r="CC329" s="388">
        <f>+IF($K329="Ongoing",BG329,IF(RIGHT($K329,2)=RIGHT(CC$43,2),SUM($AX329:BG329),0)+IF(RIGHT(CC$43,2)&gt;RIGHT($K329,2),BG329,0))</f>
        <v>0</v>
      </c>
      <c r="CD329" s="1025"/>
      <c r="CE329" s="1282">
        <f>+Q329*KeyAssumptionsPriceControl_FO!AF$15</f>
        <v>0</v>
      </c>
      <c r="CF329" s="387">
        <f>+R329*KeyAssumptionsPriceControl_FO!AG$15</f>
        <v>0</v>
      </c>
      <c r="CG329" s="387">
        <f>+S329*KeyAssumptionsPriceControl_FO!AH$15</f>
        <v>0</v>
      </c>
      <c r="CH329" s="387">
        <f>+T329*KeyAssumptionsPriceControl_FO!AI$15</f>
        <v>0</v>
      </c>
      <c r="CI329" s="1283">
        <f>+U329*KeyAssumptionsPriceControl_FO!AJ$15</f>
        <v>0</v>
      </c>
      <c r="CJ329" s="386">
        <f>+V329*KeyAssumptionsPriceControl_FO!AK$15</f>
        <v>0</v>
      </c>
      <c r="CK329" s="387">
        <f>+W329*KeyAssumptionsPriceControl_FO!AL$15</f>
        <v>0</v>
      </c>
      <c r="CL329" s="1277">
        <f>+X329*KeyAssumptionsPriceControl_FO!AM$15</f>
        <v>0</v>
      </c>
      <c r="CM329" s="1277">
        <f>+Y329*KeyAssumptionsPriceControl_FO!AN$15</f>
        <v>0</v>
      </c>
      <c r="CN329" s="388">
        <f>+Z329*KeyAssumptionsPriceControl_FO!AO$15</f>
        <v>0</v>
      </c>
      <c r="CO329" s="1025"/>
      <c r="CP329" s="1282">
        <f t="shared" ca="1" si="546"/>
        <v>0</v>
      </c>
      <c r="CQ329" s="387">
        <f t="shared" ca="1" si="547"/>
        <v>0</v>
      </c>
      <c r="CR329" s="387">
        <f t="shared" ca="1" si="548"/>
        <v>0</v>
      </c>
      <c r="CS329" s="387">
        <f t="shared" ca="1" si="549"/>
        <v>0</v>
      </c>
      <c r="CT329" s="1283">
        <f t="shared" ca="1" si="550"/>
        <v>0</v>
      </c>
      <c r="CU329" s="386">
        <f t="shared" ca="1" si="551"/>
        <v>0</v>
      </c>
      <c r="CV329" s="387">
        <f t="shared" ca="1" si="552"/>
        <v>0</v>
      </c>
      <c r="CW329" s="1277">
        <f t="shared" ca="1" si="553"/>
        <v>0</v>
      </c>
      <c r="CX329" s="1277">
        <f t="shared" ca="1" si="554"/>
        <v>0</v>
      </c>
      <c r="CY329" s="388">
        <f t="shared" ca="1" si="555"/>
        <v>0</v>
      </c>
      <c r="CZ329" s="347"/>
      <c r="DA329" s="852"/>
      <c r="DB329" s="347"/>
      <c r="DC329" s="1012" t="s">
        <v>517</v>
      </c>
      <c r="DD329" s="841" t="s">
        <v>518</v>
      </c>
      <c r="DE329" s="386">
        <f>+IF($K329="ongoing",CE329,IF(RIGHT($K329,2)=RIGHT(DE$43,2),SUM($CD329:CE329),0)+IF(RIGHT(DE$43,2)&gt;RIGHT($K329,2),CE329,0))</f>
        <v>0</v>
      </c>
      <c r="DF329" s="387">
        <f>+IF($K329="ongoing",CF329,IF(RIGHT($K329,2)=RIGHT(DF$43,2),SUM($CD329:CF329),0)+IF(RIGHT(DF$43,2)&gt;RIGHT($K329,2),CF329,0))</f>
        <v>0</v>
      </c>
      <c r="DG329" s="388">
        <f>+IF($K329="ongoing",CG329,IF(RIGHT($K329,2)=RIGHT(DG$43,2),SUM($CD329:CG329),0)+IF(RIGHT(DG$43,2)&gt;RIGHT($K329,2),CG329,0))</f>
        <v>0</v>
      </c>
      <c r="DH329" s="386">
        <f>+IF($K329="ongoing",CH329,IF(RIGHT($K329,2)=RIGHT(DH$43,2),SUM($CD329:CH329),0)+IF(RIGHT(DH$43,2)&gt;RIGHT($K329,2),CH329,0))</f>
        <v>0</v>
      </c>
      <c r="DI329" s="387">
        <f>+IF($K329="ongoing",CI329,IF(RIGHT($K329,2)=RIGHT(DI$43,2),SUM($CD329:CI329),0)+IF(RIGHT(DI$43,2)&gt;RIGHT($K329,2),CI329,0))</f>
        <v>0</v>
      </c>
      <c r="DJ329" s="387">
        <f>+IF($K329="ongoing",CJ329,IF(RIGHT($K329,2)=RIGHT(DJ$43,2),SUM($CD329:CJ329),0)+IF(RIGHT(DJ$43,2)&gt;RIGHT($K329,2),CJ329,0))</f>
        <v>0</v>
      </c>
      <c r="DK329" s="387">
        <f>+IF($K329="ongoing",CK329,IF(RIGHT($K329,2)=RIGHT(DK$43,2),SUM($CD329:CK329),0)+IF(RIGHT(DK$43,2)&gt;RIGHT($K329,2),CK329,0))</f>
        <v>0</v>
      </c>
      <c r="DL329" s="388">
        <f>+IF($K329="ongoing",CN329,IF(RIGHT($K329,2)=RIGHT(DL$43,2),SUM($CD329:CN329),0)+IF(RIGHT(DL$43,2)&gt;RIGHT($K329,2),CN329,0))</f>
        <v>0</v>
      </c>
      <c r="DM329" s="841"/>
      <c r="DN329" s="386">
        <f t="shared" si="557"/>
        <v>0.5</v>
      </c>
      <c r="DO329" s="387">
        <f t="shared" si="557"/>
        <v>1</v>
      </c>
      <c r="DP329" s="388">
        <f t="shared" si="557"/>
        <v>1</v>
      </c>
      <c r="DQ329" s="386">
        <f t="shared" si="557"/>
        <v>1</v>
      </c>
      <c r="DR329" s="387">
        <f t="shared" si="557"/>
        <v>1</v>
      </c>
      <c r="DS329" s="387">
        <f t="shared" si="557"/>
        <v>1</v>
      </c>
      <c r="DT329" s="387">
        <f t="shared" si="557"/>
        <v>1</v>
      </c>
      <c r="DU329" s="388">
        <f t="shared" si="557"/>
        <v>1</v>
      </c>
      <c r="DW329" s="386">
        <f t="shared" si="558"/>
        <v>0</v>
      </c>
      <c r="DX329" s="387">
        <f t="shared" si="558"/>
        <v>0.5</v>
      </c>
      <c r="DY329" s="388">
        <f t="shared" si="558"/>
        <v>1</v>
      </c>
      <c r="DZ329" s="386">
        <f t="shared" si="558"/>
        <v>1</v>
      </c>
      <c r="EA329" s="387">
        <f t="shared" si="558"/>
        <v>1</v>
      </c>
      <c r="EB329" s="387">
        <f t="shared" si="558"/>
        <v>1</v>
      </c>
      <c r="EC329" s="387">
        <f t="shared" si="558"/>
        <v>1</v>
      </c>
      <c r="ED329" s="388">
        <f t="shared" si="558"/>
        <v>1</v>
      </c>
      <c r="EF329" s="834">
        <f>+IF(DN329=DM329,0,
IF(AND(EF$44&gt;1,DN329=$N329),1-SUM($EE329:EE329),
IF($N329&lt;=1,
IF($N329&gt;0,1/$N329,0),
IF(EF$44=1,0,VDB(1,0,$N329,INT(EF$44-1-1),MIN($N329,INT(EF$44-1-1)+1),$DC329,IF($DD329="No",1,0))/
IF(DM329&gt;=INT($N329),$N329-INT($N329),1)))*
IF(EF$44=1,0,
IF(INT(DN329)=INT(DM329),DN329-DM329,INT(DN329)-DM329))+
IF($N329&lt;=1,
IF($N329&gt;0,1/$N329,0),VDB(1,0,$N329,INT(EF$44-1),MIN($N329,INT(EF$44-1)+1),$DC329,IF($DD329="No",1,0))/
IF(DN329&gt;INT($N329),$N329-INT($N329),1))*
IF(EF$44=1,DN329,
IF(INT(DN329)=INT(DM329),0,DN329-INT(DN329)))))</f>
        <v>0</v>
      </c>
      <c r="EG329" s="835">
        <f>+IF(DO329=DN329,0,
IF(AND(EG$44&gt;1,DO329=$N329),1-SUM($EE329:EF329),
IF($N329&lt;=1,
IF($N329&gt;0,1/$N329,0),
IF(EG$44=1,0,VDB(1,0,$N329,INT(EG$44-1-1),MIN($N329,INT(EG$44-1-1)+1),$DC329,IF($DD329="No",1,0))/
IF(DN329&gt;=INT($N329),$N329-INT($N329),1)))*
IF(EG$44=1,0,
IF(INT(DO329)=INT(DN329),DO329-DN329,INT(DO329)-DN329))+
IF($N329&lt;=1,
IF($N329&gt;0,1/$N329,0),VDB(1,0,$N329,INT(EG$44-1),MIN($N329,INT(EG$44-1)+1),$DC329,IF($DD329="No",1,0))/
IF(DO329&gt;INT($N329),$N329-INT($N329),1))*
IF(EG$44=1,DO329,
IF(INT(DO329)=INT(DN329),0,DO329-INT(DO329)))))</f>
        <v>0</v>
      </c>
      <c r="EH329" s="836">
        <f>+IF(DP329=DO329,0,
IF(AND(EH$44&gt;1,DP329=$N329),1-SUM($EE329:EG329),
IF($N329&lt;=1,
IF($N329&gt;0,1/$N329,0),
IF(EH$44=1,0,VDB(1,0,$N329,INT(EH$44-1-1),MIN($N329,INT(EH$44-1-1)+1),$DC329,IF($DD329="No",1,0))/
IF(DO329&gt;=INT($N329),$N329-INT($N329),1)))*
IF(EH$44=1,0,
IF(INT(DP329)=INT(DO329),DP329-DO329,INT(DP329)-DO329))+
IF($N329&lt;=1,
IF($N329&gt;0,1/$N329,0),VDB(1,0,$N329,INT(EH$44-1),MIN($N329,INT(EH$44-1)+1),$DC329,IF($DD329="No",1,0))/
IF(DP329&gt;INT($N329),$N329-INT($N329),1))*
IF(EH$44=1,DP329,
IF(INT(DP329)=INT(DO329),0,DP329-INT(DP329)))))</f>
        <v>0</v>
      </c>
      <c r="EI329" s="834">
        <f>+IF(DQ329=DP329,0,
IF(AND(EI$44&gt;1,DQ329=$N329),1-SUM($EE329:EH329),
IF($N329&lt;=1,
IF($N329&gt;0,1/$N329,0),
IF(EI$44=1,0,VDB(1,0,$N329,INT(EI$44-1-1),MIN($N329,INT(EI$44-1-1)+1),$DC329,IF($DD329="No",1,0))/
IF(DP329&gt;=INT($N329),$N329-INT($N329),1)))*
IF(EI$44=1,0,
IF(INT(DQ329)=INT(DP329),DQ329-DP329,INT(DQ329)-DP329))+
IF($N329&lt;=1,
IF($N329&gt;0,1/$N329,0),VDB(1,0,$N329,INT(EI$44-1),MIN($N329,INT(EI$44-1)+1),$DC329,IF($DD329="No",1,0))/
IF(DQ329&gt;INT($N329),$N329-INT($N329),1))*
IF(EI$44=1,DQ329,
IF(INT(DQ329)=INT(DP329),0,DQ329-INT(DQ329)))))</f>
        <v>0</v>
      </c>
      <c r="EJ329" s="835">
        <f>+IF(DR329=DQ329,0,
IF(AND(EJ$44&gt;1,DR329=$N329),1-SUM($EE329:EI329),
IF($N329&lt;=1,
IF($N329&gt;0,1/$N329,0),
IF(EJ$44=1,0,VDB(1,0,$N329,INT(EJ$44-1-1),MIN($N329,INT(EJ$44-1-1)+1),$DC329,IF($DD329="No",1,0))/
IF(DQ329&gt;=INT($N329),$N329-INT($N329),1)))*
IF(EJ$44=1,0,
IF(INT(DR329)=INT(DQ329),DR329-DQ329,INT(DR329)-DQ329))+
IF($N329&lt;=1,
IF($N329&gt;0,1/$N329,0),VDB(1,0,$N329,INT(EJ$44-1),MIN($N329,INT(EJ$44-1)+1),$DC329,IF($DD329="No",1,0))/
IF(DR329&gt;INT($N329),$N329-INT($N329),1))*
IF(EJ$44=1,DR329,
IF(INT(DR329)=INT(DQ329),0,DR329-INT(DR329)))))</f>
        <v>0</v>
      </c>
      <c r="EK329" s="835">
        <f>+IF(DS329=DR329,0,
IF(AND(EK$44&gt;1,DS329=$N329),1-SUM($EE329:EJ329),
IF($N329&lt;=1,
IF($N329&gt;0,1/$N329,0),
IF(EK$44=1,0,VDB(1,0,$N329,INT(EK$44-1-1),MIN($N329,INT(EK$44-1-1)+1),$DC329,IF($DD329="No",1,0))/
IF(DR329&gt;=INT($N329),$N329-INT($N329),1)))*
IF(EK$44=1,0,
IF(INT(DS329)=INT(DR329),DS329-DR329,INT(DS329)-DR329))+
IF($N329&lt;=1,
IF($N329&gt;0,1/$N329,0),VDB(1,0,$N329,INT(EK$44-1),MIN($N329,INT(EK$44-1)+1),$DC329,IF($DD329="No",1,0))/
IF(DS329&gt;INT($N329),$N329-INT($N329),1))*
IF(EK$44=1,DS329,
IF(INT(DS329)=INT(DR329),0,DS329-INT(DS329)))))</f>
        <v>0</v>
      </c>
      <c r="EL329" s="835">
        <f>+IF(DT329=DS329,0,
IF(AND(EL$44&gt;1,DT329=$N329),1-SUM($EE329:EK329),
IF($N329&lt;=1,
IF($N329&gt;0,1/$N329,0),
IF(EL$44=1,0,VDB(1,0,$N329,INT(EL$44-1-1),MIN($N329,INT(EL$44-1-1)+1),$DC329,IF($DD329="No",1,0))/
IF(DS329&gt;=INT($N329),$N329-INT($N329),1)))*
IF(EL$44=1,0,
IF(INT(DT329)=INT(DS329),DT329-DS329,INT(DT329)-DS329))+
IF($N329&lt;=1,
IF($N329&gt;0,1/$N329,0),VDB(1,0,$N329,INT(EL$44-1),MIN($N329,INT(EL$44-1)+1),$DC329,IF($DD329="No",1,0))/
IF(DT329&gt;INT($N329),$N329-INT($N329),1))*
IF(EL$44=1,DT329,
IF(INT(DT329)=INT(DS329),0,DT329-INT(DT329)))))</f>
        <v>0</v>
      </c>
      <c r="EM329" s="836">
        <f>+IF(DU329=DT329,0,
IF(AND(EM$44&gt;1,DU329=$N329),1-SUM($EE329:EL329),
IF($N329&lt;=1,
IF($N329&gt;0,1/$N329,0),
IF(EM$44=1,0,VDB(1,0,$N329,INT(EM$44-1-1),MIN($N329,INT(EM$44-1-1)+1),$DC329,IF($DD329="No",1,0))/
IF(DT329&gt;=INT($N329),$N329-INT($N329),1)))*
IF(EM$44=1,0,
IF(INT(DU329)=INT(DT329),DU329-DT329,INT(DU329)-DT329))+
IF($N329&lt;=1,
IF($N329&gt;0,1/$N329,0),VDB(1,0,$N329,INT(EM$44-1),MIN($N329,INT(EM$44-1)+1),$DC329,IF($DD329="No",1,0))/
IF(DU329&gt;INT($N329),$N329-INT($N329),1))*
IF(EM$44=1,DU329,
IF(INT(DU329)=INT(DT329),0,DU329-INT(DU329)))))</f>
        <v>0</v>
      </c>
      <c r="EN329" s="833"/>
      <c r="EO329" s="834">
        <f>+IF(OR(DW329=DV329,EO$44=1),0,
IF(AND(EO$44&gt;1,DW329=$N329),1-SUM($EN329:EN329),
IF($N329&lt;=1,
IF($N329&gt;0,1/$N329,0),
IF(EO$44=2,0,VDB(1,0,$N329,INT(EO$44-2-1),MIN($N329,INT(EO$44-2-1)+1),$DC329,IF($DD329="No",1,0))/
IF(DV329&gt;=INT($N329),$N329-INT($N329),1)))*
IF(EO$44=2,0,
IF(INT(DW329)=INT(DV329),DW329-DV329,INT(DW329)-DV329))+
IF($N329&lt;=1,
IF($N329&gt;0,1/$N329,0),VDB(1,0,$N329,INT(EO$44-2),MIN($N329,INT(EO$44-2)+1),$DC329,IF($DD329="No",1,0))/
IF(DW329&gt;INT($N329),$N329-INT($N329),1))*
IF(EO$44=2,DW329,
IF(INT(DW329)=INT(DV329),0,DW329-INT(DW329)))))</f>
        <v>0</v>
      </c>
      <c r="EP329" s="835">
        <f>+IF(OR(DX329=DW329,EP$44=1),0,
IF(AND(EP$44&gt;1,DX329=$N329),1-SUM($EN329:EO329),
IF($N329&lt;=1,
IF($N329&gt;0,1/$N329,0),
IF(EP$44=2,0,VDB(1,0,$N329,INT(EP$44-2-1),MIN($N329,INT(EP$44-2-1)+1),$DC329,IF($DD329="No",1,0))/
IF(DW329&gt;=INT($N329),$N329-INT($N329),1)))*
IF(EP$44=2,0,
IF(INT(DX329)=INT(DW329),DX329-DW329,INT(DX329)-DW329))+
IF($N329&lt;=1,
IF($N329&gt;0,1/$N329,0),VDB(1,0,$N329,INT(EP$44-2),MIN($N329,INT(EP$44-2)+1),$DC329,IF($DD329="No",1,0))/
IF(DX329&gt;INT($N329),$N329-INT($N329),1))*
IF(EP$44=2,DX329,
IF(INT(DX329)=INT(DW329),0,DX329-INT(DX329)))))</f>
        <v>0</v>
      </c>
      <c r="EQ329" s="836">
        <f>+IF(OR(DY329=DX329,EQ$44=1),0,
IF(AND(EQ$44&gt;1,DY329=$N329),1-SUM($EN329:EP329),
IF($N329&lt;=1,
IF($N329&gt;0,1/$N329,0),
IF(EQ$44=2,0,VDB(1,0,$N329,INT(EQ$44-2-1),MIN($N329,INT(EQ$44-2-1)+1),$DC329,IF($DD329="No",1,0))/
IF(DX329&gt;=INT($N329),$N329-INT($N329),1)))*
IF(EQ$44=2,0,
IF(INT(DY329)=INT(DX329),DY329-DX329,INT(DY329)-DX329))+
IF($N329&lt;=1,
IF($N329&gt;0,1/$N329,0),VDB(1,0,$N329,INT(EQ$44-2),MIN($N329,INT(EQ$44-2)+1),$DC329,IF($DD329="No",1,0))/
IF(DY329&gt;INT($N329),$N329-INT($N329),1))*
IF(EQ$44=2,DY329,
IF(INT(DY329)=INT(DX329),0,DY329-INT(DY329)))))</f>
        <v>0</v>
      </c>
      <c r="ER329" s="834">
        <f>+IF(OR(DZ329=DY329,ER$44=1),0,
IF(AND(ER$44&gt;1,DZ329=$N329),1-SUM($EN329:EQ329),
IF($N329&lt;=1,
IF($N329&gt;0,1/$N329,0),
IF(ER$44=2,0,VDB(1,0,$N329,INT(ER$44-2-1),MIN($N329,INT(ER$44-2-1)+1),$DC329,IF($DD329="No",1,0))/
IF(DY329&gt;=INT($N329),$N329-INT($N329),1)))*
IF(ER$44=2,0,
IF(INT(DZ329)=INT(DY329),DZ329-DY329,INT(DZ329)-DY329))+
IF($N329&lt;=1,
IF($N329&gt;0,1/$N329,0),VDB(1,0,$N329,INT(ER$44-2),MIN($N329,INT(ER$44-2)+1),$DC329,IF($DD329="No",1,0))/
IF(DZ329&gt;INT($N329),$N329-INT($N329),1))*
IF(ER$44=2,DZ329,
IF(INT(DZ329)=INT(DY329),0,DZ329-INT(DZ329)))))</f>
        <v>0</v>
      </c>
      <c r="ES329" s="835">
        <f>+IF(OR(EA329=DZ329,ES$44=1),0,
IF(AND(ES$44&gt;1,EA329=$N329),1-SUM($EN329:ER329),
IF($N329&lt;=1,
IF($N329&gt;0,1/$N329,0),
IF(ES$44=2,0,VDB(1,0,$N329,INT(ES$44-2-1),MIN($N329,INT(ES$44-2-1)+1),$DC329,IF($DD329="No",1,0))/
IF(DZ329&gt;=INT($N329),$N329-INT($N329),1)))*
IF(ES$44=2,0,
IF(INT(EA329)=INT(DZ329),EA329-DZ329,INT(EA329)-DZ329))+
IF($N329&lt;=1,
IF($N329&gt;0,1/$N329,0),VDB(1,0,$N329,INT(ES$44-2),MIN($N329,INT(ES$44-2)+1),$DC329,IF($DD329="No",1,0))/
IF(EA329&gt;INT($N329),$N329-INT($N329),1))*
IF(ES$44=2,EA329,
IF(INT(EA329)=INT(DZ329),0,EA329-INT(EA329)))))</f>
        <v>0</v>
      </c>
      <c r="ET329" s="835">
        <f>+IF(OR(EB329=EA329,ET$44=1),0,
IF(AND(ET$44&gt;1,EB329=$N329),1-SUM($EN329:ES329),
IF($N329&lt;=1,
IF($N329&gt;0,1/$N329,0),
IF(ET$44=2,0,VDB(1,0,$N329,INT(ET$44-2-1),MIN($N329,INT(ET$44-2-1)+1),$DC329,IF($DD329="No",1,0))/
IF(EA329&gt;=INT($N329),$N329-INT($N329),1)))*
IF(ET$44=2,0,
IF(INT(EB329)=INT(EA329),EB329-EA329,INT(EB329)-EA329))+
IF($N329&lt;=1,
IF($N329&gt;0,1/$N329,0),VDB(1,0,$N329,INT(ET$44-2),MIN($N329,INT(ET$44-2)+1),$DC329,IF($DD329="No",1,0))/
IF(EB329&gt;INT($N329),$N329-INT($N329),1))*
IF(ET$44=2,EB329,
IF(INT(EB329)=INT(EA329),0,EB329-INT(EB329)))))</f>
        <v>0</v>
      </c>
      <c r="EU329" s="835">
        <f>+IF(OR(EC329=EB329,EU$44=1),0,
IF(AND(EU$44&gt;1,EC329=$N329),1-SUM($EN329:ET329),
IF($N329&lt;=1,
IF($N329&gt;0,1/$N329,0),
IF(EU$44=2,0,VDB(1,0,$N329,INT(EU$44-2-1),MIN($N329,INT(EU$44-2-1)+1),$DC329,IF($DD329="No",1,0))/
IF(EB329&gt;=INT($N329),$N329-INT($N329),1)))*
IF(EU$44=2,0,
IF(INT(EC329)=INT(EB329),EC329-EB329,INT(EC329)-EB329))+
IF($N329&lt;=1,
IF($N329&gt;0,1/$N329,0),VDB(1,0,$N329,INT(EU$44-2),MIN($N329,INT(EU$44-2)+1),$DC329,IF($DD329="No",1,0))/
IF(EC329&gt;INT($N329),$N329-INT($N329),1))*
IF(EU$44=2,EC329,
IF(INT(EC329)=INT(EB329),0,EC329-INT(EC329)))))</f>
        <v>0</v>
      </c>
      <c r="EV329" s="836">
        <f>+IF(OR(ED329=EC329,EV$44=1),0,
IF(AND(EV$44&gt;1,ED329=$N329),1-SUM($EN329:EU329),
IF($N329&lt;=1,
IF($N329&gt;0,1/$N329,0),
IF(EV$44=2,0,VDB(1,0,$N329,INT(EV$44-2-1),MIN($N329,INT(EV$44-2-1)+1),$DC329,IF($DD329="No",1,0))/
IF(EC329&gt;=INT($N329),$N329-INT($N329),1)))*
IF(EV$44=2,0,
IF(INT(ED329)=INT(EC329),ED329-EC329,INT(ED329)-EC329))+
IF($N329&lt;=1,
IF($N329&gt;0,1/$N329,0),VDB(1,0,$N329,INT(EV$44-2),MIN($N329,INT(EV$44-2)+1),$DC329,IF($DD329="No",1,0))/
IF(ED329&gt;INT($N329),$N329-INT($N329),1))*
IF(EV$44=2,ED329,
IF(INT(ED329)=INT(EC329),0,ED329-INT(ED329)))))</f>
        <v>0</v>
      </c>
      <c r="EW329" s="833"/>
      <c r="EX329" s="834">
        <f t="shared" ca="1" si="559"/>
        <v>0</v>
      </c>
      <c r="EY329" s="835">
        <f t="shared" ca="1" si="559"/>
        <v>0</v>
      </c>
      <c r="EZ329" s="836">
        <f t="shared" ca="1" si="559"/>
        <v>0</v>
      </c>
      <c r="FA329" s="834">
        <f t="shared" ca="1" si="559"/>
        <v>0</v>
      </c>
      <c r="FB329" s="835">
        <f t="shared" ca="1" si="559"/>
        <v>0</v>
      </c>
      <c r="FC329" s="835">
        <f t="shared" ca="1" si="559"/>
        <v>0</v>
      </c>
      <c r="FD329" s="835">
        <f t="shared" ca="1" si="559"/>
        <v>0</v>
      </c>
      <c r="FE329" s="836">
        <f t="shared" ca="1" si="559"/>
        <v>0</v>
      </c>
      <c r="FG329" s="386">
        <f t="shared" ca="1" si="521"/>
        <v>0</v>
      </c>
      <c r="FH329" s="387">
        <f t="shared" ca="1" si="522"/>
        <v>0</v>
      </c>
      <c r="FI329" s="388">
        <f t="shared" ca="1" si="523"/>
        <v>0</v>
      </c>
      <c r="FJ329" s="386">
        <f t="shared" ca="1" si="524"/>
        <v>0</v>
      </c>
      <c r="FK329" s="387">
        <f t="shared" ca="1" si="525"/>
        <v>0</v>
      </c>
      <c r="FL329" s="387">
        <f t="shared" ca="1" si="526"/>
        <v>0</v>
      </c>
      <c r="FM329" s="387">
        <f t="shared" ca="1" si="527"/>
        <v>0</v>
      </c>
      <c r="FN329" s="388">
        <f t="shared" ca="1" si="528"/>
        <v>0</v>
      </c>
      <c r="FR329" s="116"/>
    </row>
    <row r="330" spans="2:174">
      <c r="B330" s="1410">
        <f t="shared" si="556"/>
        <v>284</v>
      </c>
      <c r="C330" s="400"/>
      <c r="D330" s="410"/>
      <c r="E330" s="402"/>
      <c r="F330" s="402"/>
      <c r="G330" s="400"/>
      <c r="H330" s="2088"/>
      <c r="I330" s="2089"/>
      <c r="J330" s="411"/>
      <c r="K330" s="403"/>
      <c r="L330" s="403"/>
      <c r="M330" s="403"/>
      <c r="N330" s="403"/>
      <c r="O330" s="347"/>
      <c r="P330" s="347"/>
      <c r="Q330" s="1021"/>
      <c r="R330" s="1022"/>
      <c r="S330" s="1022"/>
      <c r="T330" s="1022"/>
      <c r="U330" s="1023"/>
      <c r="V330" s="1021"/>
      <c r="W330" s="1022"/>
      <c r="X330" s="1022"/>
      <c r="Y330" s="1022"/>
      <c r="Z330" s="1023"/>
      <c r="AA330" s="1024"/>
      <c r="AB330" s="1021"/>
      <c r="AC330" s="1022"/>
      <c r="AD330" s="1022"/>
      <c r="AE330" s="1022"/>
      <c r="AF330" s="1023"/>
      <c r="AG330" s="1021"/>
      <c r="AH330" s="1022"/>
      <c r="AI330" s="1022"/>
      <c r="AJ330" s="1022"/>
      <c r="AK330" s="1023"/>
      <c r="AL330" s="1024"/>
      <c r="AM330" s="1021"/>
      <c r="AN330" s="1022"/>
      <c r="AO330" s="1022"/>
      <c r="AP330" s="1022"/>
      <c r="AQ330" s="1023"/>
      <c r="AR330" s="1021"/>
      <c r="AS330" s="1022"/>
      <c r="AT330" s="1022"/>
      <c r="AU330" s="1022"/>
      <c r="AV330" s="1023"/>
      <c r="AW330" s="1025"/>
      <c r="AX330" s="1282">
        <f t="shared" si="532"/>
        <v>0</v>
      </c>
      <c r="AY330" s="387">
        <f t="shared" si="533"/>
        <v>0</v>
      </c>
      <c r="AZ330" s="387">
        <f t="shared" si="534"/>
        <v>0</v>
      </c>
      <c r="BA330" s="387">
        <f t="shared" si="535"/>
        <v>0</v>
      </c>
      <c r="BB330" s="1283">
        <f t="shared" si="536"/>
        <v>0</v>
      </c>
      <c r="BC330" s="386">
        <f t="shared" si="537"/>
        <v>0</v>
      </c>
      <c r="BD330" s="387">
        <f t="shared" si="538"/>
        <v>0</v>
      </c>
      <c r="BE330" s="1277">
        <f t="shared" ref="BE330:BE339" si="560">+X330-AI330-AT330</f>
        <v>0</v>
      </c>
      <c r="BF330" s="1277">
        <f t="shared" ref="BF330:BF339" si="561">+Y330-AJ330-AU330</f>
        <v>0</v>
      </c>
      <c r="BG330" s="388">
        <f t="shared" ref="BG330:BG339" si="562">+Z330-AK330-AV330</f>
        <v>0</v>
      </c>
      <c r="BH330" s="1025"/>
      <c r="BI330" s="1282">
        <f t="shared" ca="1" si="540"/>
        <v>0</v>
      </c>
      <c r="BJ330" s="387">
        <f t="shared" ca="1" si="541"/>
        <v>0</v>
      </c>
      <c r="BK330" s="387">
        <f t="shared" ca="1" si="542"/>
        <v>0</v>
      </c>
      <c r="BL330" s="387">
        <f t="shared" ca="1" si="543"/>
        <v>0</v>
      </c>
      <c r="BM330" s="1283">
        <f t="shared" ca="1" si="544"/>
        <v>0</v>
      </c>
      <c r="BN330" s="386">
        <f t="shared" ref="BN330:BN339" ca="1" si="563">IF($L330=0,0,
IF($L330&lt;=0.5,BY330,
IF(AND($J330="straight line",$L330&lt;1.51),(BX330-((BX330/$L330)*0.5))+BY330/$L330*0.5,
IF($J330="straight line",
IF((LEFT(BN$43,4)*1)-INT($L330)&lt;LEFT($BI$43,4)*1,0,((OFFSET(BY330,0,-INT($L330+0.5),1,1))/$L330)*(IF($L330-INT($L330)&gt;0.5,$L330-0.5-INT($L330),IF($L330-INT($L330)&lt;=0.5,$L330-0.5-INT($L330)+1,0))))
+BY330/$L330*0.5
+SUM(OFFSET(BY330,0,MAX(-INT($L330+(0.5-(10^-12))),-BN$44)+1,1,MIN(INT($L330+(0.5-(10^-12))),BN$44)-1))*1/$L330,
IF($J330="Declining Balance",-$BI$42,0)))))</f>
        <v>0</v>
      </c>
      <c r="BO330" s="387">
        <f t="shared" ref="BO330:BO339" ca="1" si="564">IF($L330=0,0,
IF($L330&lt;=0.5,BZ330,
IF(AND($J330="straight line",$L330&lt;1.51),(BY330-((BY330/$L330)*0.5))+BZ330/$L330*0.5,
IF($J330="straight line",
IF((LEFT(BO$43,4)*1)-INT($L330)&lt;LEFT($BI$43,4)*1,0,((OFFSET(BZ330,0,-INT($L330+0.5),1,1))/$L330)*(IF($L330-INT($L330)&gt;0.5,$L330-0.5-INT($L330),IF($L330-INT($L330)&lt;=0.5,$L330-0.5-INT($L330)+1,0))))
+BZ330/$L330*0.5
+SUM(OFFSET(BZ330,0,MAX(-INT($L330+(0.5-(10^-12))),-BO$44)+1,1,MIN(INT($L330+(0.5-(10^-12))),BO$44)-1))*1/$L330,
IF($J330="Declining Balance",-$BI$42,0)))))</f>
        <v>0</v>
      </c>
      <c r="BP330" s="1277">
        <f t="shared" ref="BP330:BP339" ca="1" si="565">IF($L330=0,0,
IF($L330&lt;=0.5,CA330,
IF(AND($J330="straight line",$L330&lt;1.51),(BZ330-((BZ330/$L330)*0.5))+CA330/$L330*0.5,
IF($J330="straight line",
IF((LEFT(BP$43,4)*1)-INT($L330)&lt;LEFT($BI$43,4)*1,0,((OFFSET(CA330,0,-INT($L330+0.5),1,1))/$L330)*(IF($L330-INT($L330)&gt;0.5,$L330-0.5-INT($L330),IF($L330-INT($L330)&lt;=0.5,$L330-0.5-INT($L330)+1,0))))
+CA330/$L330*0.5
+SUM(OFFSET(CA330,0,MAX(-INT($L330+(0.5-(10^-12))),-BP$44)+1,1,MIN(INT($L330+(0.5-(10^-12))),BP$44)-1))*1/$L330,
IF($J330="Declining Balance",-$BI$42,0)))))</f>
        <v>0</v>
      </c>
      <c r="BQ330" s="1277">
        <f t="shared" ref="BQ330:BQ339" ca="1" si="566">IF($L330=0,0,
IF($L330&lt;=0.5,CB330,
IF(AND($J330="straight line",$L330&lt;1.51),(CA330-((CA330/$L330)*0.5))+CB330/$L330*0.5,
IF($J330="straight line",
IF((LEFT(BQ$43,4)*1)-INT($L330)&lt;LEFT($BI$43,4)*1,0,((OFFSET(CB330,0,-INT($L330+0.5),1,1))/$L330)*(IF($L330-INT($L330)&gt;0.5,$L330-0.5-INT($L330),IF($L330-INT($L330)&lt;=0.5,$L330-0.5-INT($L330)+1,0))))
+CB330/$L330*0.5
+SUM(OFFSET(CB330,0,MAX(-INT($L330+(0.5-(10^-12))),-BQ$44)+1,1,MIN(INT($L330+(0.5-(10^-12))),BQ$44)-1))*1/$L330,
IF($J330="Declining Balance",-$BI$42,0)))))</f>
        <v>0</v>
      </c>
      <c r="BR330" s="388">
        <f t="shared" ref="BR330:BR339" ca="1" si="567">IF($L330=0,0,
IF($L330&lt;=0.5,CC330,
IF(AND($J330="straight line",$L330&lt;1.51),(CB330-((CB330/$L330)*0.5))+CC330/$L330*0.5,
IF($J330="straight line",
IF((LEFT(BR$43,4)*1)-INT($L330)&lt;LEFT($BI$43,4)*1,0,((OFFSET(CC330,0,-INT($L330+0.5),1,1))/$L330)*(IF($L330-INT($L330)&gt;0.5,$L330-0.5-INT($L330),IF($L330-INT($L330)&lt;=0.5,$L330-0.5-INT($L330)+1,0))))
+CC330/$L330*0.5
+SUM(OFFSET(CC330,0,MAX(-INT($L330+(0.5-(10^-12))),-BR$44)+1,1,MIN(INT($L330+(0.5-(10^-12))),BR$44)-1))*1/$L330,
IF($J330="Declining Balance",-$BI$42,0)))))</f>
        <v>0</v>
      </c>
      <c r="BS330" s="1025"/>
      <c r="BT330" s="1282">
        <f>+IF($K330="Ongoing",AX330,IF(RIGHT($K330,2)=RIGHT(BT$43,2),SUM($AX330:AX330),0)+IF(RIGHT(BT$43,2)&gt;RIGHT($K330,2),AX330,0))</f>
        <v>0</v>
      </c>
      <c r="BU330" s="387">
        <f>+IF($K330="Ongoing",AY330,IF(RIGHT($K330,2)=RIGHT(BU$43,2),SUM($AX330:AY330),0)+IF(RIGHT(BU$43,2)&gt;RIGHT($K330,2),AY330,0))</f>
        <v>0</v>
      </c>
      <c r="BV330" s="387">
        <f>+IF($K330="Ongoing",AZ330,IF(RIGHT($K330,2)=RIGHT(BV$43,2),SUM($AX330:AZ330),0)+IF(RIGHT(BV$43,2)&gt;RIGHT($K330,2),AZ330,0))</f>
        <v>0</v>
      </c>
      <c r="BW330" s="387">
        <f>+IF($K330="Ongoing",BA330,IF(RIGHT($K330,2)=RIGHT(BW$43,2),SUM($AX330:BA330),0)+IF(RIGHT(BW$43,2)&gt;RIGHT($K330,2),BA330,0))</f>
        <v>0</v>
      </c>
      <c r="BX330" s="1283">
        <f>+IF($K330="Ongoing",BB330,IF(RIGHT($K330,2)=RIGHT(BX$43,2),SUM($AX330:BB330),0)+IF(RIGHT(BX$43,2)&gt;RIGHT($K330,2),BB330,0))</f>
        <v>0</v>
      </c>
      <c r="BY330" s="386">
        <f>+IF($K330="Ongoing",BC330,IF(RIGHT($K330,2)=RIGHT(BY$43,2),SUM($AX330:BC330),0)+IF(RIGHT(BY$43,2)&gt;RIGHT($K330,2),BC330,0))</f>
        <v>0</v>
      </c>
      <c r="BZ330" s="387">
        <f>+IF($K330="Ongoing",BD330,IF(RIGHT($K330,2)=RIGHT(BZ$43,2),SUM($AX330:BD330),0)+IF(RIGHT(BZ$43,2)&gt;RIGHT($K330,2),BD330,0))</f>
        <v>0</v>
      </c>
      <c r="CA330" s="1277">
        <f>+IF($K330="Ongoing",BE330,IF(RIGHT($K330,2)=RIGHT(CA$43,2),SUM($AX330:BE330),0)+IF(RIGHT(CA$43,2)&gt;RIGHT($K330,2),BE330,0))</f>
        <v>0</v>
      </c>
      <c r="CB330" s="1277">
        <f>+IF($K330="Ongoing",BF330,IF(RIGHT($K330,2)=RIGHT(CB$43,2),SUM($AX330:BF330),0)+IF(RIGHT(CB$43,2)&gt;RIGHT($K330,2),BF330,0))</f>
        <v>0</v>
      </c>
      <c r="CC330" s="388">
        <f>+IF($K330="Ongoing",BG330,IF(RIGHT($K330,2)=RIGHT(CC$43,2),SUM($AX330:BG330),0)+IF(RIGHT(CC$43,2)&gt;RIGHT($K330,2),BG330,0))</f>
        <v>0</v>
      </c>
      <c r="CD330" s="1025"/>
      <c r="CE330" s="1282">
        <f>+Q330*KeyAssumptionsPriceControl_FO!AF$15</f>
        <v>0</v>
      </c>
      <c r="CF330" s="387">
        <f>+R330*KeyAssumptionsPriceControl_FO!AG$15</f>
        <v>0</v>
      </c>
      <c r="CG330" s="387">
        <f>+S330*KeyAssumptionsPriceControl_FO!AH$15</f>
        <v>0</v>
      </c>
      <c r="CH330" s="387">
        <f>+T330*KeyAssumptionsPriceControl_FO!AI$15</f>
        <v>0</v>
      </c>
      <c r="CI330" s="1283">
        <f>+U330*KeyAssumptionsPriceControl_FO!AJ$15</f>
        <v>0</v>
      </c>
      <c r="CJ330" s="386">
        <f>+V330*KeyAssumptionsPriceControl_FO!AK$15</f>
        <v>0</v>
      </c>
      <c r="CK330" s="387">
        <f>+W330*KeyAssumptionsPriceControl_FO!AL$15</f>
        <v>0</v>
      </c>
      <c r="CL330" s="1277">
        <f>+X330*KeyAssumptionsPriceControl_FO!AM$15</f>
        <v>0</v>
      </c>
      <c r="CM330" s="1277">
        <f>+Y330*KeyAssumptionsPriceControl_FO!AN$15</f>
        <v>0</v>
      </c>
      <c r="CN330" s="388">
        <f>+Z330*KeyAssumptionsPriceControl_FO!AO$15</f>
        <v>0</v>
      </c>
      <c r="CO330" s="1025"/>
      <c r="CP330" s="1282">
        <f t="shared" ca="1" si="546"/>
        <v>0</v>
      </c>
      <c r="CQ330" s="387">
        <f t="shared" ca="1" si="547"/>
        <v>0</v>
      </c>
      <c r="CR330" s="387">
        <f t="shared" ca="1" si="548"/>
        <v>0</v>
      </c>
      <c r="CS330" s="387">
        <f t="shared" ca="1" si="549"/>
        <v>0</v>
      </c>
      <c r="CT330" s="1283">
        <f t="shared" ca="1" si="550"/>
        <v>0</v>
      </c>
      <c r="CU330" s="386">
        <f t="shared" ca="1" si="551"/>
        <v>0</v>
      </c>
      <c r="CV330" s="387">
        <f t="shared" ca="1" si="552"/>
        <v>0</v>
      </c>
      <c r="CW330" s="1277">
        <f t="shared" ca="1" si="553"/>
        <v>0</v>
      </c>
      <c r="CX330" s="1277">
        <f t="shared" ca="1" si="554"/>
        <v>0</v>
      </c>
      <c r="CY330" s="388">
        <f t="shared" ca="1" si="555"/>
        <v>0</v>
      </c>
      <c r="CZ330" s="347"/>
      <c r="DA330" s="852"/>
      <c r="DB330" s="347"/>
      <c r="DC330" s="1012" t="s">
        <v>517</v>
      </c>
      <c r="DD330" s="841" t="s">
        <v>518</v>
      </c>
      <c r="DE330" s="386">
        <f>+IF($K330="ongoing",CE330,IF(RIGHT($K330,2)=RIGHT(DE$43,2),SUM($CD330:CE330),0)+IF(RIGHT(DE$43,2)&gt;RIGHT($K330,2),CE330,0))</f>
        <v>0</v>
      </c>
      <c r="DF330" s="387">
        <f>+IF($K330="ongoing",CF330,IF(RIGHT($K330,2)=RIGHT(DF$43,2),SUM($CD330:CF330),0)+IF(RIGHT(DF$43,2)&gt;RIGHT($K330,2),CF330,0))</f>
        <v>0</v>
      </c>
      <c r="DG330" s="388">
        <f>+IF($K330="ongoing",CG330,IF(RIGHT($K330,2)=RIGHT(DG$43,2),SUM($CD330:CG330),0)+IF(RIGHT(DG$43,2)&gt;RIGHT($K330,2),CG330,0))</f>
        <v>0</v>
      </c>
      <c r="DH330" s="386">
        <f>+IF($K330="ongoing",CH330,IF(RIGHT($K330,2)=RIGHT(DH$43,2),SUM($CD330:CH330),0)+IF(RIGHT(DH$43,2)&gt;RIGHT($K330,2),CH330,0))</f>
        <v>0</v>
      </c>
      <c r="DI330" s="387">
        <f>+IF($K330="ongoing",CI330,IF(RIGHT($K330,2)=RIGHT(DI$43,2),SUM($CD330:CI330),0)+IF(RIGHT(DI$43,2)&gt;RIGHT($K330,2),CI330,0))</f>
        <v>0</v>
      </c>
      <c r="DJ330" s="387">
        <f>+IF($K330="ongoing",CJ330,IF(RIGHT($K330,2)=RIGHT(DJ$43,2),SUM($CD330:CJ330),0)+IF(RIGHT(DJ$43,2)&gt;RIGHT($K330,2),CJ330,0))</f>
        <v>0</v>
      </c>
      <c r="DK330" s="387">
        <f>+IF($K330="ongoing",CK330,IF(RIGHT($K330,2)=RIGHT(DK$43,2),SUM($CD330:CK330),0)+IF(RIGHT(DK$43,2)&gt;RIGHT($K330,2),CK330,0))</f>
        <v>0</v>
      </c>
      <c r="DL330" s="388">
        <f>+IF($K330="ongoing",CN330,IF(RIGHT($K330,2)=RIGHT(DL$43,2),SUM($CD330:CN330),0)+IF(RIGHT(DL$43,2)&gt;RIGHT($K330,2),CN330,0))</f>
        <v>0</v>
      </c>
      <c r="DM330" s="841"/>
      <c r="DN330" s="386">
        <f t="shared" si="557"/>
        <v>0.5</v>
      </c>
      <c r="DO330" s="387">
        <f t="shared" si="557"/>
        <v>1</v>
      </c>
      <c r="DP330" s="388">
        <f t="shared" si="557"/>
        <v>1</v>
      </c>
      <c r="DQ330" s="386">
        <f t="shared" si="557"/>
        <v>1</v>
      </c>
      <c r="DR330" s="387">
        <f t="shared" si="557"/>
        <v>1</v>
      </c>
      <c r="DS330" s="387">
        <f t="shared" si="557"/>
        <v>1</v>
      </c>
      <c r="DT330" s="387">
        <f t="shared" si="557"/>
        <v>1</v>
      </c>
      <c r="DU330" s="388">
        <f t="shared" si="557"/>
        <v>1</v>
      </c>
      <c r="DW330" s="386">
        <f t="shared" si="558"/>
        <v>0</v>
      </c>
      <c r="DX330" s="387">
        <f t="shared" si="558"/>
        <v>0.5</v>
      </c>
      <c r="DY330" s="388">
        <f t="shared" si="558"/>
        <v>1</v>
      </c>
      <c r="DZ330" s="386">
        <f t="shared" si="558"/>
        <v>1</v>
      </c>
      <c r="EA330" s="387">
        <f t="shared" si="558"/>
        <v>1</v>
      </c>
      <c r="EB330" s="387">
        <f t="shared" si="558"/>
        <v>1</v>
      </c>
      <c r="EC330" s="387">
        <f t="shared" si="558"/>
        <v>1</v>
      </c>
      <c r="ED330" s="388">
        <f t="shared" si="558"/>
        <v>1</v>
      </c>
      <c r="EF330" s="834">
        <f>+IF(DN330=DM330,0,
IF(AND(EF$44&gt;1,DN330=$N330),1-SUM($EE330:EE330),
IF($N330&lt;=1,
IF($N330&gt;0,1/$N330,0),
IF(EF$44=1,0,VDB(1,0,$N330,INT(EF$44-1-1),MIN($N330,INT(EF$44-1-1)+1),$DC330,IF($DD330="No",1,0))/
IF(DM330&gt;=INT($N330),$N330-INT($N330),1)))*
IF(EF$44=1,0,
IF(INT(DN330)=INT(DM330),DN330-DM330,INT(DN330)-DM330))+
IF($N330&lt;=1,
IF($N330&gt;0,1/$N330,0),VDB(1,0,$N330,INT(EF$44-1),MIN($N330,INT(EF$44-1)+1),$DC330,IF($DD330="No",1,0))/
IF(DN330&gt;INT($N330),$N330-INT($N330),1))*
IF(EF$44=1,DN330,
IF(INT(DN330)=INT(DM330),0,DN330-INT(DN330)))))</f>
        <v>0</v>
      </c>
      <c r="EG330" s="835">
        <f>+IF(DO330=DN330,0,
IF(AND(EG$44&gt;1,DO330=$N330),1-SUM($EE330:EF330),
IF($N330&lt;=1,
IF($N330&gt;0,1/$N330,0),
IF(EG$44=1,0,VDB(1,0,$N330,INT(EG$44-1-1),MIN($N330,INT(EG$44-1-1)+1),$DC330,IF($DD330="No",1,0))/
IF(DN330&gt;=INT($N330),$N330-INT($N330),1)))*
IF(EG$44=1,0,
IF(INT(DO330)=INT(DN330),DO330-DN330,INT(DO330)-DN330))+
IF($N330&lt;=1,
IF($N330&gt;0,1/$N330,0),VDB(1,0,$N330,INT(EG$44-1),MIN($N330,INT(EG$44-1)+1),$DC330,IF($DD330="No",1,0))/
IF(DO330&gt;INT($N330),$N330-INT($N330),1))*
IF(EG$44=1,DO330,
IF(INT(DO330)=INT(DN330),0,DO330-INT(DO330)))))</f>
        <v>0</v>
      </c>
      <c r="EH330" s="836">
        <f>+IF(DP330=DO330,0,
IF(AND(EH$44&gt;1,DP330=$N330),1-SUM($EE330:EG330),
IF($N330&lt;=1,
IF($N330&gt;0,1/$N330,0),
IF(EH$44=1,0,VDB(1,0,$N330,INT(EH$44-1-1),MIN($N330,INT(EH$44-1-1)+1),$DC330,IF($DD330="No",1,0))/
IF(DO330&gt;=INT($N330),$N330-INT($N330),1)))*
IF(EH$44=1,0,
IF(INT(DP330)=INT(DO330),DP330-DO330,INT(DP330)-DO330))+
IF($N330&lt;=1,
IF($N330&gt;0,1/$N330,0),VDB(1,0,$N330,INT(EH$44-1),MIN($N330,INT(EH$44-1)+1),$DC330,IF($DD330="No",1,0))/
IF(DP330&gt;INT($N330),$N330-INT($N330),1))*
IF(EH$44=1,DP330,
IF(INT(DP330)=INT(DO330),0,DP330-INT(DP330)))))</f>
        <v>0</v>
      </c>
      <c r="EI330" s="834">
        <f>+IF(DQ330=DP330,0,
IF(AND(EI$44&gt;1,DQ330=$N330),1-SUM($EE330:EH330),
IF($N330&lt;=1,
IF($N330&gt;0,1/$N330,0),
IF(EI$44=1,0,VDB(1,0,$N330,INT(EI$44-1-1),MIN($N330,INT(EI$44-1-1)+1),$DC330,IF($DD330="No",1,0))/
IF(DP330&gt;=INT($N330),$N330-INT($N330),1)))*
IF(EI$44=1,0,
IF(INT(DQ330)=INT(DP330),DQ330-DP330,INT(DQ330)-DP330))+
IF($N330&lt;=1,
IF($N330&gt;0,1/$N330,0),VDB(1,0,$N330,INT(EI$44-1),MIN($N330,INT(EI$44-1)+1),$DC330,IF($DD330="No",1,0))/
IF(DQ330&gt;INT($N330),$N330-INT($N330),1))*
IF(EI$44=1,DQ330,
IF(INT(DQ330)=INT(DP330),0,DQ330-INT(DQ330)))))</f>
        <v>0</v>
      </c>
      <c r="EJ330" s="835">
        <f>+IF(DR330=DQ330,0,
IF(AND(EJ$44&gt;1,DR330=$N330),1-SUM($EE330:EI330),
IF($N330&lt;=1,
IF($N330&gt;0,1/$N330,0),
IF(EJ$44=1,0,VDB(1,0,$N330,INT(EJ$44-1-1),MIN($N330,INT(EJ$44-1-1)+1),$DC330,IF($DD330="No",1,0))/
IF(DQ330&gt;=INT($N330),$N330-INT($N330),1)))*
IF(EJ$44=1,0,
IF(INT(DR330)=INT(DQ330),DR330-DQ330,INT(DR330)-DQ330))+
IF($N330&lt;=1,
IF($N330&gt;0,1/$N330,0),VDB(1,0,$N330,INT(EJ$44-1),MIN($N330,INT(EJ$44-1)+1),$DC330,IF($DD330="No",1,0))/
IF(DR330&gt;INT($N330),$N330-INT($N330),1))*
IF(EJ$44=1,DR330,
IF(INT(DR330)=INT(DQ330),0,DR330-INT(DR330)))))</f>
        <v>0</v>
      </c>
      <c r="EK330" s="835">
        <f>+IF(DS330=DR330,0,
IF(AND(EK$44&gt;1,DS330=$N330),1-SUM($EE330:EJ330),
IF($N330&lt;=1,
IF($N330&gt;0,1/$N330,0),
IF(EK$44=1,0,VDB(1,0,$N330,INT(EK$44-1-1),MIN($N330,INT(EK$44-1-1)+1),$DC330,IF($DD330="No",1,0))/
IF(DR330&gt;=INT($N330),$N330-INT($N330),1)))*
IF(EK$44=1,0,
IF(INT(DS330)=INT(DR330),DS330-DR330,INT(DS330)-DR330))+
IF($N330&lt;=1,
IF($N330&gt;0,1/$N330,0),VDB(1,0,$N330,INT(EK$44-1),MIN($N330,INT(EK$44-1)+1),$DC330,IF($DD330="No",1,0))/
IF(DS330&gt;INT($N330),$N330-INT($N330),1))*
IF(EK$44=1,DS330,
IF(INT(DS330)=INT(DR330),0,DS330-INT(DS330)))))</f>
        <v>0</v>
      </c>
      <c r="EL330" s="835">
        <f>+IF(DT330=DS330,0,
IF(AND(EL$44&gt;1,DT330=$N330),1-SUM($EE330:EK330),
IF($N330&lt;=1,
IF($N330&gt;0,1/$N330,0),
IF(EL$44=1,0,VDB(1,0,$N330,INT(EL$44-1-1),MIN($N330,INT(EL$44-1-1)+1),$DC330,IF($DD330="No",1,0))/
IF(DS330&gt;=INT($N330),$N330-INT($N330),1)))*
IF(EL$44=1,0,
IF(INT(DT330)=INT(DS330),DT330-DS330,INT(DT330)-DS330))+
IF($N330&lt;=1,
IF($N330&gt;0,1/$N330,0),VDB(1,0,$N330,INT(EL$44-1),MIN($N330,INT(EL$44-1)+1),$DC330,IF($DD330="No",1,0))/
IF(DT330&gt;INT($N330),$N330-INT($N330),1))*
IF(EL$44=1,DT330,
IF(INT(DT330)=INT(DS330),0,DT330-INT(DT330)))))</f>
        <v>0</v>
      </c>
      <c r="EM330" s="836">
        <f>+IF(DU330=DT330,0,
IF(AND(EM$44&gt;1,DU330=$N330),1-SUM($EE330:EL330),
IF($N330&lt;=1,
IF($N330&gt;0,1/$N330,0),
IF(EM$44=1,0,VDB(1,0,$N330,INT(EM$44-1-1),MIN($N330,INT(EM$44-1-1)+1),$DC330,IF($DD330="No",1,0))/
IF(DT330&gt;=INT($N330),$N330-INT($N330),1)))*
IF(EM$44=1,0,
IF(INT(DU330)=INT(DT330),DU330-DT330,INT(DU330)-DT330))+
IF($N330&lt;=1,
IF($N330&gt;0,1/$N330,0),VDB(1,0,$N330,INT(EM$44-1),MIN($N330,INT(EM$44-1)+1),$DC330,IF($DD330="No",1,0))/
IF(DU330&gt;INT($N330),$N330-INT($N330),1))*
IF(EM$44=1,DU330,
IF(INT(DU330)=INT(DT330),0,DU330-INT(DU330)))))</f>
        <v>0</v>
      </c>
      <c r="EN330" s="833"/>
      <c r="EO330" s="834">
        <f>+IF(OR(DW330=DV330,EO$44=1),0,
IF(AND(EO$44&gt;1,DW330=$N330),1-SUM($EN330:EN330),
IF($N330&lt;=1,
IF($N330&gt;0,1/$N330,0),
IF(EO$44=2,0,VDB(1,0,$N330,INT(EO$44-2-1),MIN($N330,INT(EO$44-2-1)+1),$DC330,IF($DD330="No",1,0))/
IF(DV330&gt;=INT($N330),$N330-INT($N330),1)))*
IF(EO$44=2,0,
IF(INT(DW330)=INT(DV330),DW330-DV330,INT(DW330)-DV330))+
IF($N330&lt;=1,
IF($N330&gt;0,1/$N330,0),VDB(1,0,$N330,INT(EO$44-2),MIN($N330,INT(EO$44-2)+1),$DC330,IF($DD330="No",1,0))/
IF(DW330&gt;INT($N330),$N330-INT($N330),1))*
IF(EO$44=2,DW330,
IF(INT(DW330)=INT(DV330),0,DW330-INT(DW330)))))</f>
        <v>0</v>
      </c>
      <c r="EP330" s="835">
        <f>+IF(OR(DX330=DW330,EP$44=1),0,
IF(AND(EP$44&gt;1,DX330=$N330),1-SUM($EN330:EO330),
IF($N330&lt;=1,
IF($N330&gt;0,1/$N330,0),
IF(EP$44=2,0,VDB(1,0,$N330,INT(EP$44-2-1),MIN($N330,INT(EP$44-2-1)+1),$DC330,IF($DD330="No",1,0))/
IF(DW330&gt;=INT($N330),$N330-INT($N330),1)))*
IF(EP$44=2,0,
IF(INT(DX330)=INT(DW330),DX330-DW330,INT(DX330)-DW330))+
IF($N330&lt;=1,
IF($N330&gt;0,1/$N330,0),VDB(1,0,$N330,INT(EP$44-2),MIN($N330,INT(EP$44-2)+1),$DC330,IF($DD330="No",1,0))/
IF(DX330&gt;INT($N330),$N330-INT($N330),1))*
IF(EP$44=2,DX330,
IF(INT(DX330)=INT(DW330),0,DX330-INT(DX330)))))</f>
        <v>0</v>
      </c>
      <c r="EQ330" s="836">
        <f>+IF(OR(DY330=DX330,EQ$44=1),0,
IF(AND(EQ$44&gt;1,DY330=$N330),1-SUM($EN330:EP330),
IF($N330&lt;=1,
IF($N330&gt;0,1/$N330,0),
IF(EQ$44=2,0,VDB(1,0,$N330,INT(EQ$44-2-1),MIN($N330,INT(EQ$44-2-1)+1),$DC330,IF($DD330="No",1,0))/
IF(DX330&gt;=INT($N330),$N330-INT($N330),1)))*
IF(EQ$44=2,0,
IF(INT(DY330)=INT(DX330),DY330-DX330,INT(DY330)-DX330))+
IF($N330&lt;=1,
IF($N330&gt;0,1/$N330,0),VDB(1,0,$N330,INT(EQ$44-2),MIN($N330,INT(EQ$44-2)+1),$DC330,IF($DD330="No",1,0))/
IF(DY330&gt;INT($N330),$N330-INT($N330),1))*
IF(EQ$44=2,DY330,
IF(INT(DY330)=INT(DX330),0,DY330-INT(DY330)))))</f>
        <v>0</v>
      </c>
      <c r="ER330" s="834">
        <f>+IF(OR(DZ330=DY330,ER$44=1),0,
IF(AND(ER$44&gt;1,DZ330=$N330),1-SUM($EN330:EQ330),
IF($N330&lt;=1,
IF($N330&gt;0,1/$N330,0),
IF(ER$44=2,0,VDB(1,0,$N330,INT(ER$44-2-1),MIN($N330,INT(ER$44-2-1)+1),$DC330,IF($DD330="No",1,0))/
IF(DY330&gt;=INT($N330),$N330-INT($N330),1)))*
IF(ER$44=2,0,
IF(INT(DZ330)=INT(DY330),DZ330-DY330,INT(DZ330)-DY330))+
IF($N330&lt;=1,
IF($N330&gt;0,1/$N330,0),VDB(1,0,$N330,INT(ER$44-2),MIN($N330,INT(ER$44-2)+1),$DC330,IF($DD330="No",1,0))/
IF(DZ330&gt;INT($N330),$N330-INT($N330),1))*
IF(ER$44=2,DZ330,
IF(INT(DZ330)=INT(DY330),0,DZ330-INT(DZ330)))))</f>
        <v>0</v>
      </c>
      <c r="ES330" s="835">
        <f>+IF(OR(EA330=DZ330,ES$44=1),0,
IF(AND(ES$44&gt;1,EA330=$N330),1-SUM($EN330:ER330),
IF($N330&lt;=1,
IF($N330&gt;0,1/$N330,0),
IF(ES$44=2,0,VDB(1,0,$N330,INT(ES$44-2-1),MIN($N330,INT(ES$44-2-1)+1),$DC330,IF($DD330="No",1,0))/
IF(DZ330&gt;=INT($N330),$N330-INT($N330),1)))*
IF(ES$44=2,0,
IF(INT(EA330)=INT(DZ330),EA330-DZ330,INT(EA330)-DZ330))+
IF($N330&lt;=1,
IF($N330&gt;0,1/$N330,0),VDB(1,0,$N330,INT(ES$44-2),MIN($N330,INT(ES$44-2)+1),$DC330,IF($DD330="No",1,0))/
IF(EA330&gt;INT($N330),$N330-INT($N330),1))*
IF(ES$44=2,EA330,
IF(INT(EA330)=INT(DZ330),0,EA330-INT(EA330)))))</f>
        <v>0</v>
      </c>
      <c r="ET330" s="835">
        <f>+IF(OR(EB330=EA330,ET$44=1),0,
IF(AND(ET$44&gt;1,EB330=$N330),1-SUM($EN330:ES330),
IF($N330&lt;=1,
IF($N330&gt;0,1/$N330,0),
IF(ET$44=2,0,VDB(1,0,$N330,INT(ET$44-2-1),MIN($N330,INT(ET$44-2-1)+1),$DC330,IF($DD330="No",1,0))/
IF(EA330&gt;=INT($N330),$N330-INT($N330),1)))*
IF(ET$44=2,0,
IF(INT(EB330)=INT(EA330),EB330-EA330,INT(EB330)-EA330))+
IF($N330&lt;=1,
IF($N330&gt;0,1/$N330,0),VDB(1,0,$N330,INT(ET$44-2),MIN($N330,INT(ET$44-2)+1),$DC330,IF($DD330="No",1,0))/
IF(EB330&gt;INT($N330),$N330-INT($N330),1))*
IF(ET$44=2,EB330,
IF(INT(EB330)=INT(EA330),0,EB330-INT(EB330)))))</f>
        <v>0</v>
      </c>
      <c r="EU330" s="835">
        <f>+IF(OR(EC330=EB330,EU$44=1),0,
IF(AND(EU$44&gt;1,EC330=$N330),1-SUM($EN330:ET330),
IF($N330&lt;=1,
IF($N330&gt;0,1/$N330,0),
IF(EU$44=2,0,VDB(1,0,$N330,INT(EU$44-2-1),MIN($N330,INT(EU$44-2-1)+1),$DC330,IF($DD330="No",1,0))/
IF(EB330&gt;=INT($N330),$N330-INT($N330),1)))*
IF(EU$44=2,0,
IF(INT(EC330)=INT(EB330),EC330-EB330,INT(EC330)-EB330))+
IF($N330&lt;=1,
IF($N330&gt;0,1/$N330,0),VDB(1,0,$N330,INT(EU$44-2),MIN($N330,INT(EU$44-2)+1),$DC330,IF($DD330="No",1,0))/
IF(EC330&gt;INT($N330),$N330-INT($N330),1))*
IF(EU$44=2,EC330,
IF(INT(EC330)=INT(EB330),0,EC330-INT(EC330)))))</f>
        <v>0</v>
      </c>
      <c r="EV330" s="836">
        <f>+IF(OR(ED330=EC330,EV$44=1),0,
IF(AND(EV$44&gt;1,ED330=$N330),1-SUM($EN330:EU330),
IF($N330&lt;=1,
IF($N330&gt;0,1/$N330,0),
IF(EV$44=2,0,VDB(1,0,$N330,INT(EV$44-2-1),MIN($N330,INT(EV$44-2-1)+1),$DC330,IF($DD330="No",1,0))/
IF(EC330&gt;=INT($N330),$N330-INT($N330),1)))*
IF(EV$44=2,0,
IF(INT(ED330)=INT(EC330),ED330-EC330,INT(ED330)-EC330))+
IF($N330&lt;=1,
IF($N330&gt;0,1/$N330,0),VDB(1,0,$N330,INT(EV$44-2),MIN($N330,INT(EV$44-2)+1),$DC330,IF($DD330="No",1,0))/
IF(ED330&gt;INT($N330),$N330-INT($N330),1))*
IF(EV$44=2,ED330,
IF(INT(ED330)=INT(EC330),0,ED330-INT(ED330)))))</f>
        <v>0</v>
      </c>
      <c r="EW330" s="833"/>
      <c r="EX330" s="834">
        <f t="shared" ca="1" si="559"/>
        <v>0</v>
      </c>
      <c r="EY330" s="835">
        <f t="shared" ca="1" si="559"/>
        <v>0</v>
      </c>
      <c r="EZ330" s="836">
        <f t="shared" ca="1" si="559"/>
        <v>0</v>
      </c>
      <c r="FA330" s="834">
        <f t="shared" ca="1" si="559"/>
        <v>0</v>
      </c>
      <c r="FB330" s="835">
        <f t="shared" ca="1" si="559"/>
        <v>0</v>
      </c>
      <c r="FC330" s="835">
        <f t="shared" ca="1" si="559"/>
        <v>0</v>
      </c>
      <c r="FD330" s="835">
        <f t="shared" ca="1" si="559"/>
        <v>0</v>
      </c>
      <c r="FE330" s="836">
        <f t="shared" ca="1" si="559"/>
        <v>0</v>
      </c>
      <c r="FG330" s="386">
        <f t="shared" ca="1" si="521"/>
        <v>0</v>
      </c>
      <c r="FH330" s="387">
        <f t="shared" ca="1" si="522"/>
        <v>0</v>
      </c>
      <c r="FI330" s="388">
        <f t="shared" ca="1" si="523"/>
        <v>0</v>
      </c>
      <c r="FJ330" s="386">
        <f t="shared" ca="1" si="524"/>
        <v>0</v>
      </c>
      <c r="FK330" s="387">
        <f t="shared" ca="1" si="525"/>
        <v>0</v>
      </c>
      <c r="FL330" s="387">
        <f t="shared" ca="1" si="526"/>
        <v>0</v>
      </c>
      <c r="FM330" s="387">
        <f t="shared" ca="1" si="527"/>
        <v>0</v>
      </c>
      <c r="FN330" s="388">
        <f t="shared" ca="1" si="528"/>
        <v>0</v>
      </c>
      <c r="FR330" s="116"/>
    </row>
    <row r="331" spans="2:174">
      <c r="B331" s="1410">
        <f t="shared" si="556"/>
        <v>285</v>
      </c>
      <c r="C331" s="400"/>
      <c r="D331" s="410"/>
      <c r="E331" s="402"/>
      <c r="F331" s="402"/>
      <c r="G331" s="400"/>
      <c r="H331" s="2088"/>
      <c r="I331" s="2089"/>
      <c r="J331" s="411"/>
      <c r="K331" s="403"/>
      <c r="L331" s="403"/>
      <c r="M331" s="403"/>
      <c r="N331" s="403"/>
      <c r="O331" s="347"/>
      <c r="P331" s="347"/>
      <c r="Q331" s="1021"/>
      <c r="R331" s="1022"/>
      <c r="S331" s="1022"/>
      <c r="T331" s="1022"/>
      <c r="U331" s="1023"/>
      <c r="V331" s="1021"/>
      <c r="W331" s="1022"/>
      <c r="X331" s="1022"/>
      <c r="Y331" s="1022"/>
      <c r="Z331" s="1023"/>
      <c r="AA331" s="1024"/>
      <c r="AB331" s="1021"/>
      <c r="AC331" s="1022"/>
      <c r="AD331" s="1022"/>
      <c r="AE331" s="1022"/>
      <c r="AF331" s="1023"/>
      <c r="AG331" s="1021"/>
      <c r="AH331" s="1022"/>
      <c r="AI331" s="1022"/>
      <c r="AJ331" s="1022"/>
      <c r="AK331" s="1023"/>
      <c r="AL331" s="1024"/>
      <c r="AM331" s="1021"/>
      <c r="AN331" s="1022"/>
      <c r="AO331" s="1022"/>
      <c r="AP331" s="1022"/>
      <c r="AQ331" s="1023"/>
      <c r="AR331" s="1021"/>
      <c r="AS331" s="1022"/>
      <c r="AT331" s="1022"/>
      <c r="AU331" s="1022"/>
      <c r="AV331" s="1023"/>
      <c r="AW331" s="1025"/>
      <c r="AX331" s="1282">
        <f t="shared" si="532"/>
        <v>0</v>
      </c>
      <c r="AY331" s="387">
        <f t="shared" si="533"/>
        <v>0</v>
      </c>
      <c r="AZ331" s="387">
        <f t="shared" si="534"/>
        <v>0</v>
      </c>
      <c r="BA331" s="387">
        <f t="shared" si="535"/>
        <v>0</v>
      </c>
      <c r="BB331" s="1283">
        <f t="shared" si="536"/>
        <v>0</v>
      </c>
      <c r="BC331" s="386">
        <f t="shared" si="537"/>
        <v>0</v>
      </c>
      <c r="BD331" s="387">
        <f t="shared" si="538"/>
        <v>0</v>
      </c>
      <c r="BE331" s="1277">
        <f t="shared" si="560"/>
        <v>0</v>
      </c>
      <c r="BF331" s="1277">
        <f t="shared" si="561"/>
        <v>0</v>
      </c>
      <c r="BG331" s="388">
        <f t="shared" si="562"/>
        <v>0</v>
      </c>
      <c r="BH331" s="1025"/>
      <c r="BI331" s="1282">
        <f t="shared" ca="1" si="540"/>
        <v>0</v>
      </c>
      <c r="BJ331" s="387">
        <f t="shared" ca="1" si="541"/>
        <v>0</v>
      </c>
      <c r="BK331" s="387">
        <f t="shared" ca="1" si="542"/>
        <v>0</v>
      </c>
      <c r="BL331" s="387">
        <f t="shared" ca="1" si="543"/>
        <v>0</v>
      </c>
      <c r="BM331" s="1283">
        <f t="shared" ca="1" si="544"/>
        <v>0</v>
      </c>
      <c r="BN331" s="386">
        <f t="shared" ca="1" si="563"/>
        <v>0</v>
      </c>
      <c r="BO331" s="387">
        <f t="shared" ca="1" si="564"/>
        <v>0</v>
      </c>
      <c r="BP331" s="1277">
        <f t="shared" ca="1" si="565"/>
        <v>0</v>
      </c>
      <c r="BQ331" s="1277">
        <f t="shared" ca="1" si="566"/>
        <v>0</v>
      </c>
      <c r="BR331" s="388">
        <f t="shared" ca="1" si="567"/>
        <v>0</v>
      </c>
      <c r="BS331" s="1025"/>
      <c r="BT331" s="1282">
        <f>+IF($K331="Ongoing",AX331,IF(RIGHT($K331,2)=RIGHT(BT$43,2),SUM($AX331:AX331),0)+IF(RIGHT(BT$43,2)&gt;RIGHT($K331,2),AX331,0))</f>
        <v>0</v>
      </c>
      <c r="BU331" s="387">
        <f>+IF($K331="Ongoing",AY331,IF(RIGHT($K331,2)=RIGHT(BU$43,2),SUM($AX331:AY331),0)+IF(RIGHT(BU$43,2)&gt;RIGHT($K331,2),AY331,0))</f>
        <v>0</v>
      </c>
      <c r="BV331" s="387">
        <f>+IF($K331="Ongoing",AZ331,IF(RIGHT($K331,2)=RIGHT(BV$43,2),SUM($AX331:AZ331),0)+IF(RIGHT(BV$43,2)&gt;RIGHT($K331,2),AZ331,0))</f>
        <v>0</v>
      </c>
      <c r="BW331" s="387">
        <f>+IF($K331="Ongoing",BA331,IF(RIGHT($K331,2)=RIGHT(BW$43,2),SUM($AX331:BA331),0)+IF(RIGHT(BW$43,2)&gt;RIGHT($K331,2),BA331,0))</f>
        <v>0</v>
      </c>
      <c r="BX331" s="1283">
        <f>+IF($K331="Ongoing",BB331,IF(RIGHT($K331,2)=RIGHT(BX$43,2),SUM($AX331:BB331),0)+IF(RIGHT(BX$43,2)&gt;RIGHT($K331,2),BB331,0))</f>
        <v>0</v>
      </c>
      <c r="BY331" s="386">
        <f>+IF($K331="Ongoing",BC331,IF(RIGHT($K331,2)=RIGHT(BY$43,2),SUM($AX331:BC331),0)+IF(RIGHT(BY$43,2)&gt;RIGHT($K331,2),BC331,0))</f>
        <v>0</v>
      </c>
      <c r="BZ331" s="387">
        <f>+IF($K331="Ongoing",BD331,IF(RIGHT($K331,2)=RIGHT(BZ$43,2),SUM($AX331:BD331),0)+IF(RIGHT(BZ$43,2)&gt;RIGHT($K331,2),BD331,0))</f>
        <v>0</v>
      </c>
      <c r="CA331" s="1277">
        <f>+IF($K331="Ongoing",BE331,IF(RIGHT($K331,2)=RIGHT(CA$43,2),SUM($AX331:BE331),0)+IF(RIGHT(CA$43,2)&gt;RIGHT($K331,2),BE331,0))</f>
        <v>0</v>
      </c>
      <c r="CB331" s="1277">
        <f>+IF($K331="Ongoing",BF331,IF(RIGHT($K331,2)=RIGHT(CB$43,2),SUM($AX331:BF331),0)+IF(RIGHT(CB$43,2)&gt;RIGHT($K331,2),BF331,0))</f>
        <v>0</v>
      </c>
      <c r="CC331" s="388">
        <f>+IF($K331="Ongoing",BG331,IF(RIGHT($K331,2)=RIGHT(CC$43,2),SUM($AX331:BG331),0)+IF(RIGHT(CC$43,2)&gt;RIGHT($K331,2),BG331,0))</f>
        <v>0</v>
      </c>
      <c r="CD331" s="1025"/>
      <c r="CE331" s="1282">
        <f>+Q331*KeyAssumptionsPriceControl_FO!AF$15</f>
        <v>0</v>
      </c>
      <c r="CF331" s="387">
        <f>+R331*KeyAssumptionsPriceControl_FO!AG$15</f>
        <v>0</v>
      </c>
      <c r="CG331" s="387">
        <f>+S331*KeyAssumptionsPriceControl_FO!AH$15</f>
        <v>0</v>
      </c>
      <c r="CH331" s="387">
        <f>+T331*KeyAssumptionsPriceControl_FO!AI$15</f>
        <v>0</v>
      </c>
      <c r="CI331" s="1283">
        <f>+U331*KeyAssumptionsPriceControl_FO!AJ$15</f>
        <v>0</v>
      </c>
      <c r="CJ331" s="386">
        <f>+V331*KeyAssumptionsPriceControl_FO!AK$15</f>
        <v>0</v>
      </c>
      <c r="CK331" s="387">
        <f>+W331*KeyAssumptionsPriceControl_FO!AL$15</f>
        <v>0</v>
      </c>
      <c r="CL331" s="1277">
        <f>+X331*KeyAssumptionsPriceControl_FO!AM$15</f>
        <v>0</v>
      </c>
      <c r="CM331" s="1277">
        <f>+Y331*KeyAssumptionsPriceControl_FO!AN$15</f>
        <v>0</v>
      </c>
      <c r="CN331" s="388">
        <f>+Z331*KeyAssumptionsPriceControl_FO!AO$15</f>
        <v>0</v>
      </c>
      <c r="CO331" s="1025"/>
      <c r="CP331" s="1282">
        <f t="shared" ca="1" si="546"/>
        <v>0</v>
      </c>
      <c r="CQ331" s="387">
        <f t="shared" ca="1" si="547"/>
        <v>0</v>
      </c>
      <c r="CR331" s="387">
        <f t="shared" ca="1" si="548"/>
        <v>0</v>
      </c>
      <c r="CS331" s="387">
        <f t="shared" ca="1" si="549"/>
        <v>0</v>
      </c>
      <c r="CT331" s="1283">
        <f t="shared" ca="1" si="550"/>
        <v>0</v>
      </c>
      <c r="CU331" s="386">
        <f t="shared" ca="1" si="551"/>
        <v>0</v>
      </c>
      <c r="CV331" s="387">
        <f t="shared" ca="1" si="552"/>
        <v>0</v>
      </c>
      <c r="CW331" s="1277">
        <f t="shared" ca="1" si="553"/>
        <v>0</v>
      </c>
      <c r="CX331" s="1277">
        <f t="shared" ca="1" si="554"/>
        <v>0</v>
      </c>
      <c r="CY331" s="388">
        <f t="shared" ca="1" si="555"/>
        <v>0</v>
      </c>
      <c r="CZ331" s="347"/>
      <c r="DA331" s="852"/>
      <c r="DB331" s="347"/>
      <c r="DC331" s="1012" t="s">
        <v>517</v>
      </c>
      <c r="DD331" s="841" t="s">
        <v>518</v>
      </c>
      <c r="DE331" s="386">
        <f>+IF($K331="ongoing",CE331,IF(RIGHT($K331,2)=RIGHT(DE$43,2),SUM($CD331:CE331),0)+IF(RIGHT(DE$43,2)&gt;RIGHT($K331,2),CE331,0))</f>
        <v>0</v>
      </c>
      <c r="DF331" s="387">
        <f>+IF($K331="ongoing",CF331,IF(RIGHT($K331,2)=RIGHT(DF$43,2),SUM($CD331:CF331),0)+IF(RIGHT(DF$43,2)&gt;RIGHT($K331,2),CF331,0))</f>
        <v>0</v>
      </c>
      <c r="DG331" s="388">
        <f>+IF($K331="ongoing",CG331,IF(RIGHT($K331,2)=RIGHT(DG$43,2),SUM($CD331:CG331),0)+IF(RIGHT(DG$43,2)&gt;RIGHT($K331,2),CG331,0))</f>
        <v>0</v>
      </c>
      <c r="DH331" s="386">
        <f>+IF($K331="ongoing",CH331,IF(RIGHT($K331,2)=RIGHT(DH$43,2),SUM($CD331:CH331),0)+IF(RIGHT(DH$43,2)&gt;RIGHT($K331,2),CH331,0))</f>
        <v>0</v>
      </c>
      <c r="DI331" s="387">
        <f>+IF($K331="ongoing",CI331,IF(RIGHT($K331,2)=RIGHT(DI$43,2),SUM($CD331:CI331),0)+IF(RIGHT(DI$43,2)&gt;RIGHT($K331,2),CI331,0))</f>
        <v>0</v>
      </c>
      <c r="DJ331" s="387">
        <f>+IF($K331="ongoing",CJ331,IF(RIGHT($K331,2)=RIGHT(DJ$43,2),SUM($CD331:CJ331),0)+IF(RIGHT(DJ$43,2)&gt;RIGHT($K331,2),CJ331,0))</f>
        <v>0</v>
      </c>
      <c r="DK331" s="387">
        <f>+IF($K331="ongoing",CK331,IF(RIGHT($K331,2)=RIGHT(DK$43,2),SUM($CD331:CK331),0)+IF(RIGHT(DK$43,2)&gt;RIGHT($K331,2),CK331,0))</f>
        <v>0</v>
      </c>
      <c r="DL331" s="388">
        <f>+IF($K331="ongoing",CN331,IF(RIGHT($K331,2)=RIGHT(DL$43,2),SUM($CD331:CN331),0)+IF(RIGHT(DL$43,2)&gt;RIGHT($K331,2),CN331,0))</f>
        <v>0</v>
      </c>
      <c r="DM331" s="841"/>
      <c r="DN331" s="386">
        <f t="shared" si="557"/>
        <v>0.5</v>
      </c>
      <c r="DO331" s="387">
        <f t="shared" si="557"/>
        <v>1</v>
      </c>
      <c r="DP331" s="388">
        <f t="shared" si="557"/>
        <v>1</v>
      </c>
      <c r="DQ331" s="386">
        <f t="shared" si="557"/>
        <v>1</v>
      </c>
      <c r="DR331" s="387">
        <f t="shared" si="557"/>
        <v>1</v>
      </c>
      <c r="DS331" s="387">
        <f t="shared" si="557"/>
        <v>1</v>
      </c>
      <c r="DT331" s="387">
        <f t="shared" si="557"/>
        <v>1</v>
      </c>
      <c r="DU331" s="388">
        <f t="shared" si="557"/>
        <v>1</v>
      </c>
      <c r="DW331" s="386">
        <f t="shared" si="558"/>
        <v>0</v>
      </c>
      <c r="DX331" s="387">
        <f t="shared" si="558"/>
        <v>0.5</v>
      </c>
      <c r="DY331" s="388">
        <f t="shared" si="558"/>
        <v>1</v>
      </c>
      <c r="DZ331" s="386">
        <f t="shared" si="558"/>
        <v>1</v>
      </c>
      <c r="EA331" s="387">
        <f t="shared" si="558"/>
        <v>1</v>
      </c>
      <c r="EB331" s="387">
        <f t="shared" si="558"/>
        <v>1</v>
      </c>
      <c r="EC331" s="387">
        <f t="shared" si="558"/>
        <v>1</v>
      </c>
      <c r="ED331" s="388">
        <f t="shared" si="558"/>
        <v>1</v>
      </c>
      <c r="EF331" s="834">
        <f>+IF(DN331=DM331,0,
IF(AND(EF$44&gt;1,DN331=$N331),1-SUM($EE331:EE331),
IF($N331&lt;=1,
IF($N331&gt;0,1/$N331,0),
IF(EF$44=1,0,VDB(1,0,$N331,INT(EF$44-1-1),MIN($N331,INT(EF$44-1-1)+1),$DC331,IF($DD331="No",1,0))/
IF(DM331&gt;=INT($N331),$N331-INT($N331),1)))*
IF(EF$44=1,0,
IF(INT(DN331)=INT(DM331),DN331-DM331,INT(DN331)-DM331))+
IF($N331&lt;=1,
IF($N331&gt;0,1/$N331,0),VDB(1,0,$N331,INT(EF$44-1),MIN($N331,INT(EF$44-1)+1),$DC331,IF($DD331="No",1,0))/
IF(DN331&gt;INT($N331),$N331-INT($N331),1))*
IF(EF$44=1,DN331,
IF(INT(DN331)=INT(DM331),0,DN331-INT(DN331)))))</f>
        <v>0</v>
      </c>
      <c r="EG331" s="835">
        <f>+IF(DO331=DN331,0,
IF(AND(EG$44&gt;1,DO331=$N331),1-SUM($EE331:EF331),
IF($N331&lt;=1,
IF($N331&gt;0,1/$N331,0),
IF(EG$44=1,0,VDB(1,0,$N331,INT(EG$44-1-1),MIN($N331,INT(EG$44-1-1)+1),$DC331,IF($DD331="No",1,0))/
IF(DN331&gt;=INT($N331),$N331-INT($N331),1)))*
IF(EG$44=1,0,
IF(INT(DO331)=INT(DN331),DO331-DN331,INT(DO331)-DN331))+
IF($N331&lt;=1,
IF($N331&gt;0,1/$N331,0),VDB(1,0,$N331,INT(EG$44-1),MIN($N331,INT(EG$44-1)+1),$DC331,IF($DD331="No",1,0))/
IF(DO331&gt;INT($N331),$N331-INT($N331),1))*
IF(EG$44=1,DO331,
IF(INT(DO331)=INT(DN331),0,DO331-INT(DO331)))))</f>
        <v>0</v>
      </c>
      <c r="EH331" s="836">
        <f>+IF(DP331=DO331,0,
IF(AND(EH$44&gt;1,DP331=$N331),1-SUM($EE331:EG331),
IF($N331&lt;=1,
IF($N331&gt;0,1/$N331,0),
IF(EH$44=1,0,VDB(1,0,$N331,INT(EH$44-1-1),MIN($N331,INT(EH$44-1-1)+1),$DC331,IF($DD331="No",1,0))/
IF(DO331&gt;=INT($N331),$N331-INT($N331),1)))*
IF(EH$44=1,0,
IF(INT(DP331)=INT(DO331),DP331-DO331,INT(DP331)-DO331))+
IF($N331&lt;=1,
IF($N331&gt;0,1/$N331,0),VDB(1,0,$N331,INT(EH$44-1),MIN($N331,INT(EH$44-1)+1),$DC331,IF($DD331="No",1,0))/
IF(DP331&gt;INT($N331),$N331-INT($N331),1))*
IF(EH$44=1,DP331,
IF(INT(DP331)=INT(DO331),0,DP331-INT(DP331)))))</f>
        <v>0</v>
      </c>
      <c r="EI331" s="834">
        <f>+IF(DQ331=DP331,0,
IF(AND(EI$44&gt;1,DQ331=$N331),1-SUM($EE331:EH331),
IF($N331&lt;=1,
IF($N331&gt;0,1/$N331,0),
IF(EI$44=1,0,VDB(1,0,$N331,INT(EI$44-1-1),MIN($N331,INT(EI$44-1-1)+1),$DC331,IF($DD331="No",1,0))/
IF(DP331&gt;=INT($N331),$N331-INT($N331),1)))*
IF(EI$44=1,0,
IF(INT(DQ331)=INT(DP331),DQ331-DP331,INT(DQ331)-DP331))+
IF($N331&lt;=1,
IF($N331&gt;0,1/$N331,0),VDB(1,0,$N331,INT(EI$44-1),MIN($N331,INT(EI$44-1)+1),$DC331,IF($DD331="No",1,0))/
IF(DQ331&gt;INT($N331),$N331-INT($N331),1))*
IF(EI$44=1,DQ331,
IF(INT(DQ331)=INT(DP331),0,DQ331-INT(DQ331)))))</f>
        <v>0</v>
      </c>
      <c r="EJ331" s="835">
        <f>+IF(DR331=DQ331,0,
IF(AND(EJ$44&gt;1,DR331=$N331),1-SUM($EE331:EI331),
IF($N331&lt;=1,
IF($N331&gt;0,1/$N331,0),
IF(EJ$44=1,0,VDB(1,0,$N331,INT(EJ$44-1-1),MIN($N331,INT(EJ$44-1-1)+1),$DC331,IF($DD331="No",1,0))/
IF(DQ331&gt;=INT($N331),$N331-INT($N331),1)))*
IF(EJ$44=1,0,
IF(INT(DR331)=INT(DQ331),DR331-DQ331,INT(DR331)-DQ331))+
IF($N331&lt;=1,
IF($N331&gt;0,1/$N331,0),VDB(1,0,$N331,INT(EJ$44-1),MIN($N331,INT(EJ$44-1)+1),$DC331,IF($DD331="No",1,0))/
IF(DR331&gt;INT($N331),$N331-INT($N331),1))*
IF(EJ$44=1,DR331,
IF(INT(DR331)=INT(DQ331),0,DR331-INT(DR331)))))</f>
        <v>0</v>
      </c>
      <c r="EK331" s="835">
        <f>+IF(DS331=DR331,0,
IF(AND(EK$44&gt;1,DS331=$N331),1-SUM($EE331:EJ331),
IF($N331&lt;=1,
IF($N331&gt;0,1/$N331,0),
IF(EK$44=1,0,VDB(1,0,$N331,INT(EK$44-1-1),MIN($N331,INT(EK$44-1-1)+1),$DC331,IF($DD331="No",1,0))/
IF(DR331&gt;=INT($N331),$N331-INT($N331),1)))*
IF(EK$44=1,0,
IF(INT(DS331)=INT(DR331),DS331-DR331,INT(DS331)-DR331))+
IF($N331&lt;=1,
IF($N331&gt;0,1/$N331,0),VDB(1,0,$N331,INT(EK$44-1),MIN($N331,INT(EK$44-1)+1),$DC331,IF($DD331="No",1,0))/
IF(DS331&gt;INT($N331),$N331-INT($N331),1))*
IF(EK$44=1,DS331,
IF(INT(DS331)=INT(DR331),0,DS331-INT(DS331)))))</f>
        <v>0</v>
      </c>
      <c r="EL331" s="835">
        <f>+IF(DT331=DS331,0,
IF(AND(EL$44&gt;1,DT331=$N331),1-SUM($EE331:EK331),
IF($N331&lt;=1,
IF($N331&gt;0,1/$N331,0),
IF(EL$44=1,0,VDB(1,0,$N331,INT(EL$44-1-1),MIN($N331,INT(EL$44-1-1)+1),$DC331,IF($DD331="No",1,0))/
IF(DS331&gt;=INT($N331),$N331-INT($N331),1)))*
IF(EL$44=1,0,
IF(INT(DT331)=INT(DS331),DT331-DS331,INT(DT331)-DS331))+
IF($N331&lt;=1,
IF($N331&gt;0,1/$N331,0),VDB(1,0,$N331,INT(EL$44-1),MIN($N331,INT(EL$44-1)+1),$DC331,IF($DD331="No",1,0))/
IF(DT331&gt;INT($N331),$N331-INT($N331),1))*
IF(EL$44=1,DT331,
IF(INT(DT331)=INT(DS331),0,DT331-INT(DT331)))))</f>
        <v>0</v>
      </c>
      <c r="EM331" s="836">
        <f>+IF(DU331=DT331,0,
IF(AND(EM$44&gt;1,DU331=$N331),1-SUM($EE331:EL331),
IF($N331&lt;=1,
IF($N331&gt;0,1/$N331,0),
IF(EM$44=1,0,VDB(1,0,$N331,INT(EM$44-1-1),MIN($N331,INT(EM$44-1-1)+1),$DC331,IF($DD331="No",1,0))/
IF(DT331&gt;=INT($N331),$N331-INT($N331),1)))*
IF(EM$44=1,0,
IF(INT(DU331)=INT(DT331),DU331-DT331,INT(DU331)-DT331))+
IF($N331&lt;=1,
IF($N331&gt;0,1/$N331,0),VDB(1,0,$N331,INT(EM$44-1),MIN($N331,INT(EM$44-1)+1),$DC331,IF($DD331="No",1,0))/
IF(DU331&gt;INT($N331),$N331-INT($N331),1))*
IF(EM$44=1,DU331,
IF(INT(DU331)=INT(DT331),0,DU331-INT(DU331)))))</f>
        <v>0</v>
      </c>
      <c r="EN331" s="833"/>
      <c r="EO331" s="834">
        <f>+IF(OR(DW331=DV331,EO$44=1),0,
IF(AND(EO$44&gt;1,DW331=$N331),1-SUM($EN331:EN331),
IF($N331&lt;=1,
IF($N331&gt;0,1/$N331,0),
IF(EO$44=2,0,VDB(1,0,$N331,INT(EO$44-2-1),MIN($N331,INT(EO$44-2-1)+1),$DC331,IF($DD331="No",1,0))/
IF(DV331&gt;=INT($N331),$N331-INT($N331),1)))*
IF(EO$44=2,0,
IF(INT(DW331)=INT(DV331),DW331-DV331,INT(DW331)-DV331))+
IF($N331&lt;=1,
IF($N331&gt;0,1/$N331,0),VDB(1,0,$N331,INT(EO$44-2),MIN($N331,INT(EO$44-2)+1),$DC331,IF($DD331="No",1,0))/
IF(DW331&gt;INT($N331),$N331-INT($N331),1))*
IF(EO$44=2,DW331,
IF(INT(DW331)=INT(DV331),0,DW331-INT(DW331)))))</f>
        <v>0</v>
      </c>
      <c r="EP331" s="835">
        <f>+IF(OR(DX331=DW331,EP$44=1),0,
IF(AND(EP$44&gt;1,DX331=$N331),1-SUM($EN331:EO331),
IF($N331&lt;=1,
IF($N331&gt;0,1/$N331,0),
IF(EP$44=2,0,VDB(1,0,$N331,INT(EP$44-2-1),MIN($N331,INT(EP$44-2-1)+1),$DC331,IF($DD331="No",1,0))/
IF(DW331&gt;=INT($N331),$N331-INT($N331),1)))*
IF(EP$44=2,0,
IF(INT(DX331)=INT(DW331),DX331-DW331,INT(DX331)-DW331))+
IF($N331&lt;=1,
IF($N331&gt;0,1/$N331,0),VDB(1,0,$N331,INT(EP$44-2),MIN($N331,INT(EP$44-2)+1),$DC331,IF($DD331="No",1,0))/
IF(DX331&gt;INT($N331),$N331-INT($N331),1))*
IF(EP$44=2,DX331,
IF(INT(DX331)=INT(DW331),0,DX331-INT(DX331)))))</f>
        <v>0</v>
      </c>
      <c r="EQ331" s="836">
        <f>+IF(OR(DY331=DX331,EQ$44=1),0,
IF(AND(EQ$44&gt;1,DY331=$N331),1-SUM($EN331:EP331),
IF($N331&lt;=1,
IF($N331&gt;0,1/$N331,0),
IF(EQ$44=2,0,VDB(1,0,$N331,INT(EQ$44-2-1),MIN($N331,INT(EQ$44-2-1)+1),$DC331,IF($DD331="No",1,0))/
IF(DX331&gt;=INT($N331),$N331-INT($N331),1)))*
IF(EQ$44=2,0,
IF(INT(DY331)=INT(DX331),DY331-DX331,INT(DY331)-DX331))+
IF($N331&lt;=1,
IF($N331&gt;0,1/$N331,0),VDB(1,0,$N331,INT(EQ$44-2),MIN($N331,INT(EQ$44-2)+1),$DC331,IF($DD331="No",1,0))/
IF(DY331&gt;INT($N331),$N331-INT($N331),1))*
IF(EQ$44=2,DY331,
IF(INT(DY331)=INT(DX331),0,DY331-INT(DY331)))))</f>
        <v>0</v>
      </c>
      <c r="ER331" s="834">
        <f>+IF(OR(DZ331=DY331,ER$44=1),0,
IF(AND(ER$44&gt;1,DZ331=$N331),1-SUM($EN331:EQ331),
IF($N331&lt;=1,
IF($N331&gt;0,1/$N331,0),
IF(ER$44=2,0,VDB(1,0,$N331,INT(ER$44-2-1),MIN($N331,INT(ER$44-2-1)+1),$DC331,IF($DD331="No",1,0))/
IF(DY331&gt;=INT($N331),$N331-INT($N331),1)))*
IF(ER$44=2,0,
IF(INT(DZ331)=INT(DY331),DZ331-DY331,INT(DZ331)-DY331))+
IF($N331&lt;=1,
IF($N331&gt;0,1/$N331,0),VDB(1,0,$N331,INT(ER$44-2),MIN($N331,INT(ER$44-2)+1),$DC331,IF($DD331="No",1,0))/
IF(DZ331&gt;INT($N331),$N331-INT($N331),1))*
IF(ER$44=2,DZ331,
IF(INT(DZ331)=INT(DY331),0,DZ331-INT(DZ331)))))</f>
        <v>0</v>
      </c>
      <c r="ES331" s="835">
        <f>+IF(OR(EA331=DZ331,ES$44=1),0,
IF(AND(ES$44&gt;1,EA331=$N331),1-SUM($EN331:ER331),
IF($N331&lt;=1,
IF($N331&gt;0,1/$N331,0),
IF(ES$44=2,0,VDB(1,0,$N331,INT(ES$44-2-1),MIN($N331,INT(ES$44-2-1)+1),$DC331,IF($DD331="No",1,0))/
IF(DZ331&gt;=INT($N331),$N331-INT($N331),1)))*
IF(ES$44=2,0,
IF(INT(EA331)=INT(DZ331),EA331-DZ331,INT(EA331)-DZ331))+
IF($N331&lt;=1,
IF($N331&gt;0,1/$N331,0),VDB(1,0,$N331,INT(ES$44-2),MIN($N331,INT(ES$44-2)+1),$DC331,IF($DD331="No",1,0))/
IF(EA331&gt;INT($N331),$N331-INT($N331),1))*
IF(ES$44=2,EA331,
IF(INT(EA331)=INT(DZ331),0,EA331-INT(EA331)))))</f>
        <v>0</v>
      </c>
      <c r="ET331" s="835">
        <f>+IF(OR(EB331=EA331,ET$44=1),0,
IF(AND(ET$44&gt;1,EB331=$N331),1-SUM($EN331:ES331),
IF($N331&lt;=1,
IF($N331&gt;0,1/$N331,0),
IF(ET$44=2,0,VDB(1,0,$N331,INT(ET$44-2-1),MIN($N331,INT(ET$44-2-1)+1),$DC331,IF($DD331="No",1,0))/
IF(EA331&gt;=INT($N331),$N331-INT($N331),1)))*
IF(ET$44=2,0,
IF(INT(EB331)=INT(EA331),EB331-EA331,INT(EB331)-EA331))+
IF($N331&lt;=1,
IF($N331&gt;0,1/$N331,0),VDB(1,0,$N331,INT(ET$44-2),MIN($N331,INT(ET$44-2)+1),$DC331,IF($DD331="No",1,0))/
IF(EB331&gt;INT($N331),$N331-INT($N331),1))*
IF(ET$44=2,EB331,
IF(INT(EB331)=INT(EA331),0,EB331-INT(EB331)))))</f>
        <v>0</v>
      </c>
      <c r="EU331" s="835">
        <f>+IF(OR(EC331=EB331,EU$44=1),0,
IF(AND(EU$44&gt;1,EC331=$N331),1-SUM($EN331:ET331),
IF($N331&lt;=1,
IF($N331&gt;0,1/$N331,0),
IF(EU$44=2,0,VDB(1,0,$N331,INT(EU$44-2-1),MIN($N331,INT(EU$44-2-1)+1),$DC331,IF($DD331="No",1,0))/
IF(EB331&gt;=INT($N331),$N331-INT($N331),1)))*
IF(EU$44=2,0,
IF(INT(EC331)=INT(EB331),EC331-EB331,INT(EC331)-EB331))+
IF($N331&lt;=1,
IF($N331&gt;0,1/$N331,0),VDB(1,0,$N331,INT(EU$44-2),MIN($N331,INT(EU$44-2)+1),$DC331,IF($DD331="No",1,0))/
IF(EC331&gt;INT($N331),$N331-INT($N331),1))*
IF(EU$44=2,EC331,
IF(INT(EC331)=INT(EB331),0,EC331-INT(EC331)))))</f>
        <v>0</v>
      </c>
      <c r="EV331" s="836">
        <f>+IF(OR(ED331=EC331,EV$44=1),0,
IF(AND(EV$44&gt;1,ED331=$N331),1-SUM($EN331:EU331),
IF($N331&lt;=1,
IF($N331&gt;0,1/$N331,0),
IF(EV$44=2,0,VDB(1,0,$N331,INT(EV$44-2-1),MIN($N331,INT(EV$44-2-1)+1),$DC331,IF($DD331="No",1,0))/
IF(EC331&gt;=INT($N331),$N331-INT($N331),1)))*
IF(EV$44=2,0,
IF(INT(ED331)=INT(EC331),ED331-EC331,INT(ED331)-EC331))+
IF($N331&lt;=1,
IF($N331&gt;0,1/$N331,0),VDB(1,0,$N331,INT(EV$44-2),MIN($N331,INT(EV$44-2)+1),$DC331,IF($DD331="No",1,0))/
IF(ED331&gt;INT($N331),$N331-INT($N331),1))*
IF(EV$44=2,ED331,
IF(INT(ED331)=INT(EC331),0,ED331-INT(ED331)))))</f>
        <v>0</v>
      </c>
      <c r="EW331" s="833"/>
      <c r="EX331" s="834">
        <f t="shared" ca="1" si="559"/>
        <v>0</v>
      </c>
      <c r="EY331" s="835">
        <f t="shared" ca="1" si="559"/>
        <v>0</v>
      </c>
      <c r="EZ331" s="836">
        <f t="shared" ca="1" si="559"/>
        <v>0</v>
      </c>
      <c r="FA331" s="834">
        <f t="shared" ca="1" si="559"/>
        <v>0</v>
      </c>
      <c r="FB331" s="835">
        <f t="shared" ca="1" si="559"/>
        <v>0</v>
      </c>
      <c r="FC331" s="835">
        <f t="shared" ca="1" si="559"/>
        <v>0</v>
      </c>
      <c r="FD331" s="835">
        <f t="shared" ca="1" si="559"/>
        <v>0</v>
      </c>
      <c r="FE331" s="836">
        <f t="shared" ca="1" si="559"/>
        <v>0</v>
      </c>
      <c r="FG331" s="386">
        <f t="shared" ca="1" si="521"/>
        <v>0</v>
      </c>
      <c r="FH331" s="387">
        <f t="shared" ca="1" si="522"/>
        <v>0</v>
      </c>
      <c r="FI331" s="388">
        <f t="shared" ca="1" si="523"/>
        <v>0</v>
      </c>
      <c r="FJ331" s="386">
        <f t="shared" ca="1" si="524"/>
        <v>0</v>
      </c>
      <c r="FK331" s="387">
        <f t="shared" ca="1" si="525"/>
        <v>0</v>
      </c>
      <c r="FL331" s="387">
        <f t="shared" ca="1" si="526"/>
        <v>0</v>
      </c>
      <c r="FM331" s="387">
        <f t="shared" ca="1" si="527"/>
        <v>0</v>
      </c>
      <c r="FN331" s="388">
        <f t="shared" ca="1" si="528"/>
        <v>0</v>
      </c>
      <c r="FR331" s="116"/>
    </row>
    <row r="332" spans="2:174">
      <c r="B332" s="1410">
        <f t="shared" si="556"/>
        <v>286</v>
      </c>
      <c r="C332" s="400"/>
      <c r="D332" s="410"/>
      <c r="E332" s="402"/>
      <c r="F332" s="402"/>
      <c r="G332" s="400"/>
      <c r="H332" s="2088"/>
      <c r="I332" s="2089"/>
      <c r="J332" s="411"/>
      <c r="K332" s="403"/>
      <c r="L332" s="403"/>
      <c r="M332" s="403"/>
      <c r="N332" s="403"/>
      <c r="O332" s="347"/>
      <c r="P332" s="347"/>
      <c r="Q332" s="1021"/>
      <c r="R332" s="1022"/>
      <c r="S332" s="1022"/>
      <c r="T332" s="1022"/>
      <c r="U332" s="1023"/>
      <c r="V332" s="1021"/>
      <c r="W332" s="1022"/>
      <c r="X332" s="1022"/>
      <c r="Y332" s="1022"/>
      <c r="Z332" s="1023"/>
      <c r="AA332" s="1024"/>
      <c r="AB332" s="1021"/>
      <c r="AC332" s="1022"/>
      <c r="AD332" s="1022"/>
      <c r="AE332" s="1022"/>
      <c r="AF332" s="1023"/>
      <c r="AG332" s="1021"/>
      <c r="AH332" s="1022"/>
      <c r="AI332" s="1022"/>
      <c r="AJ332" s="1022"/>
      <c r="AK332" s="1023"/>
      <c r="AL332" s="1024"/>
      <c r="AM332" s="1021"/>
      <c r="AN332" s="1022"/>
      <c r="AO332" s="1022"/>
      <c r="AP332" s="1022"/>
      <c r="AQ332" s="1023"/>
      <c r="AR332" s="1021"/>
      <c r="AS332" s="1022"/>
      <c r="AT332" s="1022"/>
      <c r="AU332" s="1022"/>
      <c r="AV332" s="1023"/>
      <c r="AW332" s="1025"/>
      <c r="AX332" s="1282">
        <f t="shared" si="532"/>
        <v>0</v>
      </c>
      <c r="AY332" s="387">
        <f t="shared" si="533"/>
        <v>0</v>
      </c>
      <c r="AZ332" s="387">
        <f t="shared" si="534"/>
        <v>0</v>
      </c>
      <c r="BA332" s="387">
        <f t="shared" si="535"/>
        <v>0</v>
      </c>
      <c r="BB332" s="1283">
        <f t="shared" si="536"/>
        <v>0</v>
      </c>
      <c r="BC332" s="386">
        <f t="shared" si="537"/>
        <v>0</v>
      </c>
      <c r="BD332" s="387">
        <f t="shared" si="538"/>
        <v>0</v>
      </c>
      <c r="BE332" s="1277">
        <f t="shared" si="560"/>
        <v>0</v>
      </c>
      <c r="BF332" s="1277">
        <f t="shared" si="561"/>
        <v>0</v>
      </c>
      <c r="BG332" s="388">
        <f t="shared" si="562"/>
        <v>0</v>
      </c>
      <c r="BH332" s="1025"/>
      <c r="BI332" s="1282">
        <f t="shared" ca="1" si="540"/>
        <v>0</v>
      </c>
      <c r="BJ332" s="387">
        <f t="shared" ca="1" si="541"/>
        <v>0</v>
      </c>
      <c r="BK332" s="387">
        <f t="shared" ca="1" si="542"/>
        <v>0</v>
      </c>
      <c r="BL332" s="387">
        <f t="shared" ca="1" si="543"/>
        <v>0</v>
      </c>
      <c r="BM332" s="1283">
        <f t="shared" ca="1" si="544"/>
        <v>0</v>
      </c>
      <c r="BN332" s="386">
        <f t="shared" ca="1" si="563"/>
        <v>0</v>
      </c>
      <c r="BO332" s="387">
        <f t="shared" ca="1" si="564"/>
        <v>0</v>
      </c>
      <c r="BP332" s="1277">
        <f t="shared" ca="1" si="565"/>
        <v>0</v>
      </c>
      <c r="BQ332" s="1277">
        <f t="shared" ca="1" si="566"/>
        <v>0</v>
      </c>
      <c r="BR332" s="388">
        <f t="shared" ca="1" si="567"/>
        <v>0</v>
      </c>
      <c r="BS332" s="1025"/>
      <c r="BT332" s="1282">
        <f>+IF($K332="Ongoing",AX332,IF(RIGHT($K332,2)=RIGHT(BT$43,2),SUM($AX332:AX332),0)+IF(RIGHT(BT$43,2)&gt;RIGHT($K332,2),AX332,0))</f>
        <v>0</v>
      </c>
      <c r="BU332" s="387">
        <f>+IF($K332="Ongoing",AY332,IF(RIGHT($K332,2)=RIGHT(BU$43,2),SUM($AX332:AY332),0)+IF(RIGHT(BU$43,2)&gt;RIGHT($K332,2),AY332,0))</f>
        <v>0</v>
      </c>
      <c r="BV332" s="387">
        <f>+IF($K332="Ongoing",AZ332,IF(RIGHT($K332,2)=RIGHT(BV$43,2),SUM($AX332:AZ332),0)+IF(RIGHT(BV$43,2)&gt;RIGHT($K332,2),AZ332,0))</f>
        <v>0</v>
      </c>
      <c r="BW332" s="387">
        <f>+IF($K332="Ongoing",BA332,IF(RIGHT($K332,2)=RIGHT(BW$43,2),SUM($AX332:BA332),0)+IF(RIGHT(BW$43,2)&gt;RIGHT($K332,2),BA332,0))</f>
        <v>0</v>
      </c>
      <c r="BX332" s="1283">
        <f>+IF($K332="Ongoing",BB332,IF(RIGHT($K332,2)=RIGHT(BX$43,2),SUM($AX332:BB332),0)+IF(RIGHT(BX$43,2)&gt;RIGHT($K332,2),BB332,0))</f>
        <v>0</v>
      </c>
      <c r="BY332" s="386">
        <f>+IF($K332="Ongoing",BC332,IF(RIGHT($K332,2)=RIGHT(BY$43,2),SUM($AX332:BC332),0)+IF(RIGHT(BY$43,2)&gt;RIGHT($K332,2),BC332,0))</f>
        <v>0</v>
      </c>
      <c r="BZ332" s="387">
        <f>+IF($K332="Ongoing",BD332,IF(RIGHT($K332,2)=RIGHT(BZ$43,2),SUM($AX332:BD332),0)+IF(RIGHT(BZ$43,2)&gt;RIGHT($K332,2),BD332,0))</f>
        <v>0</v>
      </c>
      <c r="CA332" s="1277">
        <f>+IF($K332="Ongoing",BE332,IF(RIGHT($K332,2)=RIGHT(CA$43,2),SUM($AX332:BE332),0)+IF(RIGHT(CA$43,2)&gt;RIGHT($K332,2),BE332,0))</f>
        <v>0</v>
      </c>
      <c r="CB332" s="1277">
        <f>+IF($K332="Ongoing",BF332,IF(RIGHT($K332,2)=RIGHT(CB$43,2),SUM($AX332:BF332),0)+IF(RIGHT(CB$43,2)&gt;RIGHT($K332,2),BF332,0))</f>
        <v>0</v>
      </c>
      <c r="CC332" s="388">
        <f>+IF($K332="Ongoing",BG332,IF(RIGHT($K332,2)=RIGHT(CC$43,2),SUM($AX332:BG332),0)+IF(RIGHT(CC$43,2)&gt;RIGHT($K332,2),BG332,0))</f>
        <v>0</v>
      </c>
      <c r="CD332" s="1025"/>
      <c r="CE332" s="1282">
        <f>+Q332*KeyAssumptionsPriceControl_FO!AF$15</f>
        <v>0</v>
      </c>
      <c r="CF332" s="387">
        <f>+R332*KeyAssumptionsPriceControl_FO!AG$15</f>
        <v>0</v>
      </c>
      <c r="CG332" s="387">
        <f>+S332*KeyAssumptionsPriceControl_FO!AH$15</f>
        <v>0</v>
      </c>
      <c r="CH332" s="387">
        <f>+T332*KeyAssumptionsPriceControl_FO!AI$15</f>
        <v>0</v>
      </c>
      <c r="CI332" s="1283">
        <f>+U332*KeyAssumptionsPriceControl_FO!AJ$15</f>
        <v>0</v>
      </c>
      <c r="CJ332" s="386">
        <f>+V332*KeyAssumptionsPriceControl_FO!AK$15</f>
        <v>0</v>
      </c>
      <c r="CK332" s="387">
        <f>+W332*KeyAssumptionsPriceControl_FO!AL$15</f>
        <v>0</v>
      </c>
      <c r="CL332" s="1277">
        <f>+X332*KeyAssumptionsPriceControl_FO!AM$15</f>
        <v>0</v>
      </c>
      <c r="CM332" s="1277">
        <f>+Y332*KeyAssumptionsPriceControl_FO!AN$15</f>
        <v>0</v>
      </c>
      <c r="CN332" s="388">
        <f>+Z332*KeyAssumptionsPriceControl_FO!AO$15</f>
        <v>0</v>
      </c>
      <c r="CO332" s="1025"/>
      <c r="CP332" s="1282">
        <f t="shared" ca="1" si="546"/>
        <v>0</v>
      </c>
      <c r="CQ332" s="387">
        <f t="shared" ca="1" si="547"/>
        <v>0</v>
      </c>
      <c r="CR332" s="387">
        <f t="shared" ca="1" si="548"/>
        <v>0</v>
      </c>
      <c r="CS332" s="387">
        <f t="shared" ca="1" si="549"/>
        <v>0</v>
      </c>
      <c r="CT332" s="1283">
        <f t="shared" ca="1" si="550"/>
        <v>0</v>
      </c>
      <c r="CU332" s="386">
        <f t="shared" ca="1" si="551"/>
        <v>0</v>
      </c>
      <c r="CV332" s="387">
        <f t="shared" ca="1" si="552"/>
        <v>0</v>
      </c>
      <c r="CW332" s="1277">
        <f t="shared" ca="1" si="553"/>
        <v>0</v>
      </c>
      <c r="CX332" s="1277">
        <f t="shared" ca="1" si="554"/>
        <v>0</v>
      </c>
      <c r="CY332" s="388">
        <f t="shared" ca="1" si="555"/>
        <v>0</v>
      </c>
      <c r="CZ332" s="347"/>
      <c r="DA332" s="852"/>
      <c r="DB332" s="347"/>
      <c r="DC332" s="1012" t="s">
        <v>517</v>
      </c>
      <c r="DD332" s="841" t="s">
        <v>518</v>
      </c>
      <c r="DE332" s="386">
        <f>+IF($K332="ongoing",CE332,IF(RIGHT($K332,2)=RIGHT(DE$43,2),SUM($CD332:CE332),0)+IF(RIGHT(DE$43,2)&gt;RIGHT($K332,2),CE332,0))</f>
        <v>0</v>
      </c>
      <c r="DF332" s="387">
        <f>+IF($K332="ongoing",CF332,IF(RIGHT($K332,2)=RIGHT(DF$43,2),SUM($CD332:CF332),0)+IF(RIGHT(DF$43,2)&gt;RIGHT($K332,2),CF332,0))</f>
        <v>0</v>
      </c>
      <c r="DG332" s="388">
        <f>+IF($K332="ongoing",CG332,IF(RIGHT($K332,2)=RIGHT(DG$43,2),SUM($CD332:CG332),0)+IF(RIGHT(DG$43,2)&gt;RIGHT($K332,2),CG332,0))</f>
        <v>0</v>
      </c>
      <c r="DH332" s="386">
        <f>+IF($K332="ongoing",CH332,IF(RIGHT($K332,2)=RIGHT(DH$43,2),SUM($CD332:CH332),0)+IF(RIGHT(DH$43,2)&gt;RIGHT($K332,2),CH332,0))</f>
        <v>0</v>
      </c>
      <c r="DI332" s="387">
        <f>+IF($K332="ongoing",CI332,IF(RIGHT($K332,2)=RIGHT(DI$43,2),SUM($CD332:CI332),0)+IF(RIGHT(DI$43,2)&gt;RIGHT($K332,2),CI332,0))</f>
        <v>0</v>
      </c>
      <c r="DJ332" s="387">
        <f>+IF($K332="ongoing",CJ332,IF(RIGHT($K332,2)=RIGHT(DJ$43,2),SUM($CD332:CJ332),0)+IF(RIGHT(DJ$43,2)&gt;RIGHT($K332,2),CJ332,0))</f>
        <v>0</v>
      </c>
      <c r="DK332" s="387">
        <f>+IF($K332="ongoing",CK332,IF(RIGHT($K332,2)=RIGHT(DK$43,2),SUM($CD332:CK332),0)+IF(RIGHT(DK$43,2)&gt;RIGHT($K332,2),CK332,0))</f>
        <v>0</v>
      </c>
      <c r="DL332" s="388">
        <f>+IF($K332="ongoing",CN332,IF(RIGHT($K332,2)=RIGHT(DL$43,2),SUM($CD332:CN332),0)+IF(RIGHT(DL$43,2)&gt;RIGHT($K332,2),CN332,0))</f>
        <v>0</v>
      </c>
      <c r="DM332" s="841"/>
      <c r="DN332" s="386">
        <f t="shared" ref="DN332:DU339" si="568">+MIN(IF($N332&lt;=$DC332,MIN($N332,1),$N332),IF(DN$44=1,0.5,DM332+1))</f>
        <v>0.5</v>
      </c>
      <c r="DO332" s="387">
        <f t="shared" si="568"/>
        <v>1</v>
      </c>
      <c r="DP332" s="388">
        <f t="shared" si="568"/>
        <v>1</v>
      </c>
      <c r="DQ332" s="386">
        <f t="shared" si="568"/>
        <v>1</v>
      </c>
      <c r="DR332" s="387">
        <f t="shared" si="568"/>
        <v>1</v>
      </c>
      <c r="DS332" s="387">
        <f t="shared" si="568"/>
        <v>1</v>
      </c>
      <c r="DT332" s="387">
        <f t="shared" si="568"/>
        <v>1</v>
      </c>
      <c r="DU332" s="388">
        <f t="shared" si="568"/>
        <v>1</v>
      </c>
      <c r="DW332" s="386">
        <f t="shared" ref="DW332:ED339" si="569">+IF(DW$44=1,0,MIN(IF($N332&lt;=$DC332,MIN($N332,1),$N332),IF(DW$44=2,0.5,DV332+1)))</f>
        <v>0</v>
      </c>
      <c r="DX332" s="387">
        <f t="shared" si="569"/>
        <v>0.5</v>
      </c>
      <c r="DY332" s="388">
        <f t="shared" si="569"/>
        <v>1</v>
      </c>
      <c r="DZ332" s="386">
        <f t="shared" si="569"/>
        <v>1</v>
      </c>
      <c r="EA332" s="387">
        <f t="shared" si="569"/>
        <v>1</v>
      </c>
      <c r="EB332" s="387">
        <f t="shared" si="569"/>
        <v>1</v>
      </c>
      <c r="EC332" s="387">
        <f t="shared" si="569"/>
        <v>1</v>
      </c>
      <c r="ED332" s="388">
        <f t="shared" si="569"/>
        <v>1</v>
      </c>
      <c r="EF332" s="834">
        <f>+IF(DN332=DM332,0,
IF(AND(EF$44&gt;1,DN332=$N332),1-SUM($EE332:EE332),
IF($N332&lt;=1,
IF($N332&gt;0,1/$N332,0),
IF(EF$44=1,0,VDB(1,0,$N332,INT(EF$44-1-1),MIN($N332,INT(EF$44-1-1)+1),$DC332,IF($DD332="No",1,0))/
IF(DM332&gt;=INT($N332),$N332-INT($N332),1)))*
IF(EF$44=1,0,
IF(INT(DN332)=INT(DM332),DN332-DM332,INT(DN332)-DM332))+
IF($N332&lt;=1,
IF($N332&gt;0,1/$N332,0),VDB(1,0,$N332,INT(EF$44-1),MIN($N332,INT(EF$44-1)+1),$DC332,IF($DD332="No",1,0))/
IF(DN332&gt;INT($N332),$N332-INT($N332),1))*
IF(EF$44=1,DN332,
IF(INT(DN332)=INT(DM332),0,DN332-INT(DN332)))))</f>
        <v>0</v>
      </c>
      <c r="EG332" s="835">
        <f>+IF(DO332=DN332,0,
IF(AND(EG$44&gt;1,DO332=$N332),1-SUM($EE332:EF332),
IF($N332&lt;=1,
IF($N332&gt;0,1/$N332,0),
IF(EG$44=1,0,VDB(1,0,$N332,INT(EG$44-1-1),MIN($N332,INT(EG$44-1-1)+1),$DC332,IF($DD332="No",1,0))/
IF(DN332&gt;=INT($N332),$N332-INT($N332),1)))*
IF(EG$44=1,0,
IF(INT(DO332)=INT(DN332),DO332-DN332,INT(DO332)-DN332))+
IF($N332&lt;=1,
IF($N332&gt;0,1/$N332,0),VDB(1,0,$N332,INT(EG$44-1),MIN($N332,INT(EG$44-1)+1),$DC332,IF($DD332="No",1,0))/
IF(DO332&gt;INT($N332),$N332-INT($N332),1))*
IF(EG$44=1,DO332,
IF(INT(DO332)=INT(DN332),0,DO332-INT(DO332)))))</f>
        <v>0</v>
      </c>
      <c r="EH332" s="836">
        <f>+IF(DP332=DO332,0,
IF(AND(EH$44&gt;1,DP332=$N332),1-SUM($EE332:EG332),
IF($N332&lt;=1,
IF($N332&gt;0,1/$N332,0),
IF(EH$44=1,0,VDB(1,0,$N332,INT(EH$44-1-1),MIN($N332,INT(EH$44-1-1)+1),$DC332,IF($DD332="No",1,0))/
IF(DO332&gt;=INT($N332),$N332-INT($N332),1)))*
IF(EH$44=1,0,
IF(INT(DP332)=INT(DO332),DP332-DO332,INT(DP332)-DO332))+
IF($N332&lt;=1,
IF($N332&gt;0,1/$N332,0),VDB(1,0,$N332,INT(EH$44-1),MIN($N332,INT(EH$44-1)+1),$DC332,IF($DD332="No",1,0))/
IF(DP332&gt;INT($N332),$N332-INT($N332),1))*
IF(EH$44=1,DP332,
IF(INT(DP332)=INT(DO332),0,DP332-INT(DP332)))))</f>
        <v>0</v>
      </c>
      <c r="EI332" s="834">
        <f>+IF(DQ332=DP332,0,
IF(AND(EI$44&gt;1,DQ332=$N332),1-SUM($EE332:EH332),
IF($N332&lt;=1,
IF($N332&gt;0,1/$N332,0),
IF(EI$44=1,0,VDB(1,0,$N332,INT(EI$44-1-1),MIN($N332,INT(EI$44-1-1)+1),$DC332,IF($DD332="No",1,0))/
IF(DP332&gt;=INT($N332),$N332-INT($N332),1)))*
IF(EI$44=1,0,
IF(INT(DQ332)=INT(DP332),DQ332-DP332,INT(DQ332)-DP332))+
IF($N332&lt;=1,
IF($N332&gt;0,1/$N332,0),VDB(1,0,$N332,INT(EI$44-1),MIN($N332,INT(EI$44-1)+1),$DC332,IF($DD332="No",1,0))/
IF(DQ332&gt;INT($N332),$N332-INT($N332),1))*
IF(EI$44=1,DQ332,
IF(INT(DQ332)=INT(DP332),0,DQ332-INT(DQ332)))))</f>
        <v>0</v>
      </c>
      <c r="EJ332" s="835">
        <f>+IF(DR332=DQ332,0,
IF(AND(EJ$44&gt;1,DR332=$N332),1-SUM($EE332:EI332),
IF($N332&lt;=1,
IF($N332&gt;0,1/$N332,0),
IF(EJ$44=1,0,VDB(1,0,$N332,INT(EJ$44-1-1),MIN($N332,INT(EJ$44-1-1)+1),$DC332,IF($DD332="No",1,0))/
IF(DQ332&gt;=INT($N332),$N332-INT($N332),1)))*
IF(EJ$44=1,0,
IF(INT(DR332)=INT(DQ332),DR332-DQ332,INT(DR332)-DQ332))+
IF($N332&lt;=1,
IF($N332&gt;0,1/$N332,0),VDB(1,0,$N332,INT(EJ$44-1),MIN($N332,INT(EJ$44-1)+1),$DC332,IF($DD332="No",1,0))/
IF(DR332&gt;INT($N332),$N332-INT($N332),1))*
IF(EJ$44=1,DR332,
IF(INT(DR332)=INT(DQ332),0,DR332-INT(DR332)))))</f>
        <v>0</v>
      </c>
      <c r="EK332" s="835">
        <f>+IF(DS332=DR332,0,
IF(AND(EK$44&gt;1,DS332=$N332),1-SUM($EE332:EJ332),
IF($N332&lt;=1,
IF($N332&gt;0,1/$N332,0),
IF(EK$44=1,0,VDB(1,0,$N332,INT(EK$44-1-1),MIN($N332,INT(EK$44-1-1)+1),$DC332,IF($DD332="No",1,0))/
IF(DR332&gt;=INT($N332),$N332-INT($N332),1)))*
IF(EK$44=1,0,
IF(INT(DS332)=INT(DR332),DS332-DR332,INT(DS332)-DR332))+
IF($N332&lt;=1,
IF($N332&gt;0,1/$N332,0),VDB(1,0,$N332,INT(EK$44-1),MIN($N332,INT(EK$44-1)+1),$DC332,IF($DD332="No",1,0))/
IF(DS332&gt;INT($N332),$N332-INT($N332),1))*
IF(EK$44=1,DS332,
IF(INT(DS332)=INT(DR332),0,DS332-INT(DS332)))))</f>
        <v>0</v>
      </c>
      <c r="EL332" s="835">
        <f>+IF(DT332=DS332,0,
IF(AND(EL$44&gt;1,DT332=$N332),1-SUM($EE332:EK332),
IF($N332&lt;=1,
IF($N332&gt;0,1/$N332,0),
IF(EL$44=1,0,VDB(1,0,$N332,INT(EL$44-1-1),MIN($N332,INT(EL$44-1-1)+1),$DC332,IF($DD332="No",1,0))/
IF(DS332&gt;=INT($N332),$N332-INT($N332),1)))*
IF(EL$44=1,0,
IF(INT(DT332)=INT(DS332),DT332-DS332,INT(DT332)-DS332))+
IF($N332&lt;=1,
IF($N332&gt;0,1/$N332,0),VDB(1,0,$N332,INT(EL$44-1),MIN($N332,INT(EL$44-1)+1),$DC332,IF($DD332="No",1,0))/
IF(DT332&gt;INT($N332),$N332-INT($N332),1))*
IF(EL$44=1,DT332,
IF(INT(DT332)=INT(DS332),0,DT332-INT(DT332)))))</f>
        <v>0</v>
      </c>
      <c r="EM332" s="836">
        <f>+IF(DU332=DT332,0,
IF(AND(EM$44&gt;1,DU332=$N332),1-SUM($EE332:EL332),
IF($N332&lt;=1,
IF($N332&gt;0,1/$N332,0),
IF(EM$44=1,0,VDB(1,0,$N332,INT(EM$44-1-1),MIN($N332,INT(EM$44-1-1)+1),$DC332,IF($DD332="No",1,0))/
IF(DT332&gt;=INT($N332),$N332-INT($N332),1)))*
IF(EM$44=1,0,
IF(INT(DU332)=INT(DT332),DU332-DT332,INT(DU332)-DT332))+
IF($N332&lt;=1,
IF($N332&gt;0,1/$N332,0),VDB(1,0,$N332,INT(EM$44-1),MIN($N332,INT(EM$44-1)+1),$DC332,IF($DD332="No",1,0))/
IF(DU332&gt;INT($N332),$N332-INT($N332),1))*
IF(EM$44=1,DU332,
IF(INT(DU332)=INT(DT332),0,DU332-INT(DU332)))))</f>
        <v>0</v>
      </c>
      <c r="EN332" s="833"/>
      <c r="EO332" s="834">
        <f>+IF(OR(DW332=DV332,EO$44=1),0,
IF(AND(EO$44&gt;1,DW332=$N332),1-SUM($EN332:EN332),
IF($N332&lt;=1,
IF($N332&gt;0,1/$N332,0),
IF(EO$44=2,0,VDB(1,0,$N332,INT(EO$44-2-1),MIN($N332,INT(EO$44-2-1)+1),$DC332,IF($DD332="No",1,0))/
IF(DV332&gt;=INT($N332),$N332-INT($N332),1)))*
IF(EO$44=2,0,
IF(INT(DW332)=INT(DV332),DW332-DV332,INT(DW332)-DV332))+
IF($N332&lt;=1,
IF($N332&gt;0,1/$N332,0),VDB(1,0,$N332,INT(EO$44-2),MIN($N332,INT(EO$44-2)+1),$DC332,IF($DD332="No",1,0))/
IF(DW332&gt;INT($N332),$N332-INT($N332),1))*
IF(EO$44=2,DW332,
IF(INT(DW332)=INT(DV332),0,DW332-INT(DW332)))))</f>
        <v>0</v>
      </c>
      <c r="EP332" s="835">
        <f>+IF(OR(DX332=DW332,EP$44=1),0,
IF(AND(EP$44&gt;1,DX332=$N332),1-SUM($EN332:EO332),
IF($N332&lt;=1,
IF($N332&gt;0,1/$N332,0),
IF(EP$44=2,0,VDB(1,0,$N332,INT(EP$44-2-1),MIN($N332,INT(EP$44-2-1)+1),$DC332,IF($DD332="No",1,0))/
IF(DW332&gt;=INT($N332),$N332-INT($N332),1)))*
IF(EP$44=2,0,
IF(INT(DX332)=INT(DW332),DX332-DW332,INT(DX332)-DW332))+
IF($N332&lt;=1,
IF($N332&gt;0,1/$N332,0),VDB(1,0,$N332,INT(EP$44-2),MIN($N332,INT(EP$44-2)+1),$DC332,IF($DD332="No",1,0))/
IF(DX332&gt;INT($N332),$N332-INT($N332),1))*
IF(EP$44=2,DX332,
IF(INT(DX332)=INT(DW332),0,DX332-INT(DX332)))))</f>
        <v>0</v>
      </c>
      <c r="EQ332" s="836">
        <f>+IF(OR(DY332=DX332,EQ$44=1),0,
IF(AND(EQ$44&gt;1,DY332=$N332),1-SUM($EN332:EP332),
IF($N332&lt;=1,
IF($N332&gt;0,1/$N332,0),
IF(EQ$44=2,0,VDB(1,0,$N332,INT(EQ$44-2-1),MIN($N332,INT(EQ$44-2-1)+1),$DC332,IF($DD332="No",1,0))/
IF(DX332&gt;=INT($N332),$N332-INT($N332),1)))*
IF(EQ$44=2,0,
IF(INT(DY332)=INT(DX332),DY332-DX332,INT(DY332)-DX332))+
IF($N332&lt;=1,
IF($N332&gt;0,1/$N332,0),VDB(1,0,$N332,INT(EQ$44-2),MIN($N332,INT(EQ$44-2)+1),$DC332,IF($DD332="No",1,0))/
IF(DY332&gt;INT($N332),$N332-INT($N332),1))*
IF(EQ$44=2,DY332,
IF(INT(DY332)=INT(DX332),0,DY332-INT(DY332)))))</f>
        <v>0</v>
      </c>
      <c r="ER332" s="834">
        <f>+IF(OR(DZ332=DY332,ER$44=1),0,
IF(AND(ER$44&gt;1,DZ332=$N332),1-SUM($EN332:EQ332),
IF($N332&lt;=1,
IF($N332&gt;0,1/$N332,0),
IF(ER$44=2,0,VDB(1,0,$N332,INT(ER$44-2-1),MIN($N332,INT(ER$44-2-1)+1),$DC332,IF($DD332="No",1,0))/
IF(DY332&gt;=INT($N332),$N332-INT($N332),1)))*
IF(ER$44=2,0,
IF(INT(DZ332)=INT(DY332),DZ332-DY332,INT(DZ332)-DY332))+
IF($N332&lt;=1,
IF($N332&gt;0,1/$N332,0),VDB(1,0,$N332,INT(ER$44-2),MIN($N332,INT(ER$44-2)+1),$DC332,IF($DD332="No",1,0))/
IF(DZ332&gt;INT($N332),$N332-INT($N332),1))*
IF(ER$44=2,DZ332,
IF(INT(DZ332)=INT(DY332),0,DZ332-INT(DZ332)))))</f>
        <v>0</v>
      </c>
      <c r="ES332" s="835">
        <f>+IF(OR(EA332=DZ332,ES$44=1),0,
IF(AND(ES$44&gt;1,EA332=$N332),1-SUM($EN332:ER332),
IF($N332&lt;=1,
IF($N332&gt;0,1/$N332,0),
IF(ES$44=2,0,VDB(1,0,$N332,INT(ES$44-2-1),MIN($N332,INT(ES$44-2-1)+1),$DC332,IF($DD332="No",1,0))/
IF(DZ332&gt;=INT($N332),$N332-INT($N332),1)))*
IF(ES$44=2,0,
IF(INT(EA332)=INT(DZ332),EA332-DZ332,INT(EA332)-DZ332))+
IF($N332&lt;=1,
IF($N332&gt;0,1/$N332,0),VDB(1,0,$N332,INT(ES$44-2),MIN($N332,INT(ES$44-2)+1),$DC332,IF($DD332="No",1,0))/
IF(EA332&gt;INT($N332),$N332-INT($N332),1))*
IF(ES$44=2,EA332,
IF(INT(EA332)=INT(DZ332),0,EA332-INT(EA332)))))</f>
        <v>0</v>
      </c>
      <c r="ET332" s="835">
        <f>+IF(OR(EB332=EA332,ET$44=1),0,
IF(AND(ET$44&gt;1,EB332=$N332),1-SUM($EN332:ES332),
IF($N332&lt;=1,
IF($N332&gt;0,1/$N332,0),
IF(ET$44=2,0,VDB(1,0,$N332,INT(ET$44-2-1),MIN($N332,INT(ET$44-2-1)+1),$DC332,IF($DD332="No",1,0))/
IF(EA332&gt;=INT($N332),$N332-INT($N332),1)))*
IF(ET$44=2,0,
IF(INT(EB332)=INT(EA332),EB332-EA332,INT(EB332)-EA332))+
IF($N332&lt;=1,
IF($N332&gt;0,1/$N332,0),VDB(1,0,$N332,INT(ET$44-2),MIN($N332,INT(ET$44-2)+1),$DC332,IF($DD332="No",1,0))/
IF(EB332&gt;INT($N332),$N332-INT($N332),1))*
IF(ET$44=2,EB332,
IF(INT(EB332)=INT(EA332),0,EB332-INT(EB332)))))</f>
        <v>0</v>
      </c>
      <c r="EU332" s="835">
        <f>+IF(OR(EC332=EB332,EU$44=1),0,
IF(AND(EU$44&gt;1,EC332=$N332),1-SUM($EN332:ET332),
IF($N332&lt;=1,
IF($N332&gt;0,1/$N332,0),
IF(EU$44=2,0,VDB(1,0,$N332,INT(EU$44-2-1),MIN($N332,INT(EU$44-2-1)+1),$DC332,IF($DD332="No",1,0))/
IF(EB332&gt;=INT($N332),$N332-INT($N332),1)))*
IF(EU$44=2,0,
IF(INT(EC332)=INT(EB332),EC332-EB332,INT(EC332)-EB332))+
IF($N332&lt;=1,
IF($N332&gt;0,1/$N332,0),VDB(1,0,$N332,INT(EU$44-2),MIN($N332,INT(EU$44-2)+1),$DC332,IF($DD332="No",1,0))/
IF(EC332&gt;INT($N332),$N332-INT($N332),1))*
IF(EU$44=2,EC332,
IF(INT(EC332)=INT(EB332),0,EC332-INT(EC332)))))</f>
        <v>0</v>
      </c>
      <c r="EV332" s="836">
        <f>+IF(OR(ED332=EC332,EV$44=1),0,
IF(AND(EV$44&gt;1,ED332=$N332),1-SUM($EN332:EU332),
IF($N332&lt;=1,
IF($N332&gt;0,1/$N332,0),
IF(EV$44=2,0,VDB(1,0,$N332,INT(EV$44-2-1),MIN($N332,INT(EV$44-2-1)+1),$DC332,IF($DD332="No",1,0))/
IF(EC332&gt;=INT($N332),$N332-INT($N332),1)))*
IF(EV$44=2,0,
IF(INT(ED332)=INT(EC332),ED332-EC332,INT(ED332)-EC332))+
IF($N332&lt;=1,
IF($N332&gt;0,1/$N332,0),VDB(1,0,$N332,INT(EV$44-2),MIN($N332,INT(EV$44-2)+1),$DC332,IF($DD332="No",1,0))/
IF(ED332&gt;INT($N332),$N332-INT($N332),1))*
IF(EV$44=2,ED332,
IF(INT(ED332)=INT(EC332),0,ED332-INT(ED332)))))</f>
        <v>0</v>
      </c>
      <c r="EW332" s="833"/>
      <c r="EX332" s="834">
        <f t="shared" ref="EX332:FE366" ca="1" si="570">+OFFSET($EO332,0,MAX($EX$44:$HY$44)-EX$44)</f>
        <v>0</v>
      </c>
      <c r="EY332" s="835">
        <f t="shared" ca="1" si="570"/>
        <v>0</v>
      </c>
      <c r="EZ332" s="836">
        <f t="shared" ca="1" si="570"/>
        <v>0</v>
      </c>
      <c r="FA332" s="834">
        <f t="shared" ca="1" si="570"/>
        <v>0</v>
      </c>
      <c r="FB332" s="835">
        <f t="shared" ca="1" si="570"/>
        <v>0</v>
      </c>
      <c r="FC332" s="835">
        <f t="shared" ca="1" si="570"/>
        <v>0</v>
      </c>
      <c r="FD332" s="835">
        <f t="shared" ca="1" si="570"/>
        <v>0</v>
      </c>
      <c r="FE332" s="836">
        <f t="shared" ca="1" si="570"/>
        <v>0</v>
      </c>
      <c r="FG332" s="386">
        <f t="shared" ca="1" si="521"/>
        <v>0</v>
      </c>
      <c r="FH332" s="387">
        <f t="shared" ca="1" si="522"/>
        <v>0</v>
      </c>
      <c r="FI332" s="388">
        <f t="shared" ca="1" si="523"/>
        <v>0</v>
      </c>
      <c r="FJ332" s="386">
        <f t="shared" ca="1" si="524"/>
        <v>0</v>
      </c>
      <c r="FK332" s="387">
        <f t="shared" ca="1" si="525"/>
        <v>0</v>
      </c>
      <c r="FL332" s="387">
        <f t="shared" ca="1" si="526"/>
        <v>0</v>
      </c>
      <c r="FM332" s="387">
        <f t="shared" ca="1" si="527"/>
        <v>0</v>
      </c>
      <c r="FN332" s="388">
        <f t="shared" ca="1" si="528"/>
        <v>0</v>
      </c>
      <c r="FR332" s="116"/>
    </row>
    <row r="333" spans="2:174">
      <c r="B333" s="1410">
        <f t="shared" si="556"/>
        <v>287</v>
      </c>
      <c r="C333" s="400"/>
      <c r="D333" s="410"/>
      <c r="E333" s="402"/>
      <c r="F333" s="402"/>
      <c r="G333" s="400"/>
      <c r="H333" s="2088"/>
      <c r="I333" s="2089"/>
      <c r="J333" s="411"/>
      <c r="K333" s="403"/>
      <c r="L333" s="403"/>
      <c r="M333" s="403"/>
      <c r="N333" s="403"/>
      <c r="O333" s="347"/>
      <c r="P333" s="347"/>
      <c r="Q333" s="1021"/>
      <c r="R333" s="1022"/>
      <c r="S333" s="1022"/>
      <c r="T333" s="1022"/>
      <c r="U333" s="1023"/>
      <c r="V333" s="1021"/>
      <c r="W333" s="1022"/>
      <c r="X333" s="1022"/>
      <c r="Y333" s="1022"/>
      <c r="Z333" s="1023"/>
      <c r="AA333" s="1024"/>
      <c r="AB333" s="1021"/>
      <c r="AC333" s="1022"/>
      <c r="AD333" s="1022"/>
      <c r="AE333" s="1022"/>
      <c r="AF333" s="1023"/>
      <c r="AG333" s="1021"/>
      <c r="AH333" s="1022"/>
      <c r="AI333" s="1022"/>
      <c r="AJ333" s="1022"/>
      <c r="AK333" s="1023"/>
      <c r="AL333" s="1024"/>
      <c r="AM333" s="1021"/>
      <c r="AN333" s="1022"/>
      <c r="AO333" s="1022"/>
      <c r="AP333" s="1022"/>
      <c r="AQ333" s="1023"/>
      <c r="AR333" s="1021"/>
      <c r="AS333" s="1022"/>
      <c r="AT333" s="1022"/>
      <c r="AU333" s="1022"/>
      <c r="AV333" s="1023"/>
      <c r="AW333" s="1025"/>
      <c r="AX333" s="1282">
        <f t="shared" si="532"/>
        <v>0</v>
      </c>
      <c r="AY333" s="387">
        <f t="shared" si="533"/>
        <v>0</v>
      </c>
      <c r="AZ333" s="387">
        <f t="shared" si="534"/>
        <v>0</v>
      </c>
      <c r="BA333" s="387">
        <f t="shared" si="535"/>
        <v>0</v>
      </c>
      <c r="BB333" s="1283">
        <f t="shared" si="536"/>
        <v>0</v>
      </c>
      <c r="BC333" s="386">
        <f t="shared" si="537"/>
        <v>0</v>
      </c>
      <c r="BD333" s="387">
        <f t="shared" si="538"/>
        <v>0</v>
      </c>
      <c r="BE333" s="1277">
        <f t="shared" si="560"/>
        <v>0</v>
      </c>
      <c r="BF333" s="1277">
        <f t="shared" si="561"/>
        <v>0</v>
      </c>
      <c r="BG333" s="388">
        <f t="shared" si="562"/>
        <v>0</v>
      </c>
      <c r="BH333" s="1025"/>
      <c r="BI333" s="1282">
        <f t="shared" ca="1" si="540"/>
        <v>0</v>
      </c>
      <c r="BJ333" s="387">
        <f t="shared" ca="1" si="541"/>
        <v>0</v>
      </c>
      <c r="BK333" s="387">
        <f t="shared" ca="1" si="542"/>
        <v>0</v>
      </c>
      <c r="BL333" s="387">
        <f t="shared" ca="1" si="543"/>
        <v>0</v>
      </c>
      <c r="BM333" s="1283">
        <f t="shared" ca="1" si="544"/>
        <v>0</v>
      </c>
      <c r="BN333" s="386">
        <f t="shared" ca="1" si="563"/>
        <v>0</v>
      </c>
      <c r="BO333" s="387">
        <f t="shared" ca="1" si="564"/>
        <v>0</v>
      </c>
      <c r="BP333" s="1277">
        <f t="shared" ca="1" si="565"/>
        <v>0</v>
      </c>
      <c r="BQ333" s="1277">
        <f t="shared" ca="1" si="566"/>
        <v>0</v>
      </c>
      <c r="BR333" s="388">
        <f t="shared" ca="1" si="567"/>
        <v>0</v>
      </c>
      <c r="BS333" s="1025"/>
      <c r="BT333" s="1282">
        <f>+IF($K333="Ongoing",AX333,IF(RIGHT($K333,2)=RIGHT(BT$43,2),SUM($AX333:AX333),0)+IF(RIGHT(BT$43,2)&gt;RIGHT($K333,2),AX333,0))</f>
        <v>0</v>
      </c>
      <c r="BU333" s="387">
        <f>+IF($K333="Ongoing",AY333,IF(RIGHT($K333,2)=RIGHT(BU$43,2),SUM($AX333:AY333),0)+IF(RIGHT(BU$43,2)&gt;RIGHT($K333,2),AY333,0))</f>
        <v>0</v>
      </c>
      <c r="BV333" s="387">
        <f>+IF($K333="Ongoing",AZ333,IF(RIGHT($K333,2)=RIGHT(BV$43,2),SUM($AX333:AZ333),0)+IF(RIGHT(BV$43,2)&gt;RIGHT($K333,2),AZ333,0))</f>
        <v>0</v>
      </c>
      <c r="BW333" s="387">
        <f>+IF($K333="Ongoing",BA333,IF(RIGHT($K333,2)=RIGHT(BW$43,2),SUM($AX333:BA333),0)+IF(RIGHT(BW$43,2)&gt;RIGHT($K333,2),BA333,0))</f>
        <v>0</v>
      </c>
      <c r="BX333" s="1283">
        <f>+IF($K333="Ongoing",BB333,IF(RIGHT($K333,2)=RIGHT(BX$43,2),SUM($AX333:BB333),0)+IF(RIGHT(BX$43,2)&gt;RIGHT($K333,2),BB333,0))</f>
        <v>0</v>
      </c>
      <c r="BY333" s="386">
        <f>+IF($K333="Ongoing",BC333,IF(RIGHT($K333,2)=RIGHT(BY$43,2),SUM($AX333:BC333),0)+IF(RIGHT(BY$43,2)&gt;RIGHT($K333,2),BC333,0))</f>
        <v>0</v>
      </c>
      <c r="BZ333" s="387">
        <f>+IF($K333="Ongoing",BD333,IF(RIGHT($K333,2)=RIGHT(BZ$43,2),SUM($AX333:BD333),0)+IF(RIGHT(BZ$43,2)&gt;RIGHT($K333,2),BD333,0))</f>
        <v>0</v>
      </c>
      <c r="CA333" s="1277">
        <f>+IF($K333="Ongoing",BE333,IF(RIGHT($K333,2)=RIGHT(CA$43,2),SUM($AX333:BE333),0)+IF(RIGHT(CA$43,2)&gt;RIGHT($K333,2),BE333,0))</f>
        <v>0</v>
      </c>
      <c r="CB333" s="1277">
        <f>+IF($K333="Ongoing",BF333,IF(RIGHT($K333,2)=RIGHT(CB$43,2),SUM($AX333:BF333),0)+IF(RIGHT(CB$43,2)&gt;RIGHT($K333,2),BF333,0))</f>
        <v>0</v>
      </c>
      <c r="CC333" s="388">
        <f>+IF($K333="Ongoing",BG333,IF(RIGHT($K333,2)=RIGHT(CC$43,2),SUM($AX333:BG333),0)+IF(RIGHT(CC$43,2)&gt;RIGHT($K333,2),BG333,0))</f>
        <v>0</v>
      </c>
      <c r="CD333" s="1025"/>
      <c r="CE333" s="1282">
        <f>+Q333*KeyAssumptionsPriceControl_FO!AF$15</f>
        <v>0</v>
      </c>
      <c r="CF333" s="387">
        <f>+R333*KeyAssumptionsPriceControl_FO!AG$15</f>
        <v>0</v>
      </c>
      <c r="CG333" s="387">
        <f>+S333*KeyAssumptionsPriceControl_FO!AH$15</f>
        <v>0</v>
      </c>
      <c r="CH333" s="387">
        <f>+T333*KeyAssumptionsPriceControl_FO!AI$15</f>
        <v>0</v>
      </c>
      <c r="CI333" s="1283">
        <f>+U333*KeyAssumptionsPriceControl_FO!AJ$15</f>
        <v>0</v>
      </c>
      <c r="CJ333" s="386">
        <f>+V333*KeyAssumptionsPriceControl_FO!AK$15</f>
        <v>0</v>
      </c>
      <c r="CK333" s="387">
        <f>+W333*KeyAssumptionsPriceControl_FO!AL$15</f>
        <v>0</v>
      </c>
      <c r="CL333" s="1277">
        <f>+X333*KeyAssumptionsPriceControl_FO!AM$15</f>
        <v>0</v>
      </c>
      <c r="CM333" s="1277">
        <f>+Y333*KeyAssumptionsPriceControl_FO!AN$15</f>
        <v>0</v>
      </c>
      <c r="CN333" s="388">
        <f>+Z333*KeyAssumptionsPriceControl_FO!AO$15</f>
        <v>0</v>
      </c>
      <c r="CO333" s="1025"/>
      <c r="CP333" s="1282">
        <f t="shared" ca="1" si="546"/>
        <v>0</v>
      </c>
      <c r="CQ333" s="387">
        <f t="shared" ca="1" si="547"/>
        <v>0</v>
      </c>
      <c r="CR333" s="387">
        <f t="shared" ca="1" si="548"/>
        <v>0</v>
      </c>
      <c r="CS333" s="387">
        <f t="shared" ca="1" si="549"/>
        <v>0</v>
      </c>
      <c r="CT333" s="1283">
        <f t="shared" ca="1" si="550"/>
        <v>0</v>
      </c>
      <c r="CU333" s="386">
        <f t="shared" ca="1" si="551"/>
        <v>0</v>
      </c>
      <c r="CV333" s="387">
        <f t="shared" ca="1" si="552"/>
        <v>0</v>
      </c>
      <c r="CW333" s="1277">
        <f t="shared" ca="1" si="553"/>
        <v>0</v>
      </c>
      <c r="CX333" s="1277">
        <f t="shared" ca="1" si="554"/>
        <v>0</v>
      </c>
      <c r="CY333" s="388">
        <f t="shared" ca="1" si="555"/>
        <v>0</v>
      </c>
      <c r="CZ333" s="347"/>
      <c r="DA333" s="852"/>
      <c r="DB333" s="347"/>
      <c r="DC333" s="1012" t="s">
        <v>517</v>
      </c>
      <c r="DD333" s="841" t="s">
        <v>518</v>
      </c>
      <c r="DE333" s="386">
        <f>+IF($K333="ongoing",CE333,IF(RIGHT($K333,2)=RIGHT(DE$43,2),SUM($CD333:CE333),0)+IF(RIGHT(DE$43,2)&gt;RIGHT($K333,2),CE333,0))</f>
        <v>0</v>
      </c>
      <c r="DF333" s="387">
        <f>+IF($K333="ongoing",CF333,IF(RIGHT($K333,2)=RIGHT(DF$43,2),SUM($CD333:CF333),0)+IF(RIGHT(DF$43,2)&gt;RIGHT($K333,2),CF333,0))</f>
        <v>0</v>
      </c>
      <c r="DG333" s="388">
        <f>+IF($K333="ongoing",CG333,IF(RIGHT($K333,2)=RIGHT(DG$43,2),SUM($CD333:CG333),0)+IF(RIGHT(DG$43,2)&gt;RIGHT($K333,2),CG333,0))</f>
        <v>0</v>
      </c>
      <c r="DH333" s="386">
        <f>+IF($K333="ongoing",CH333,IF(RIGHT($K333,2)=RIGHT(DH$43,2),SUM($CD333:CH333),0)+IF(RIGHT(DH$43,2)&gt;RIGHT($K333,2),CH333,0))</f>
        <v>0</v>
      </c>
      <c r="DI333" s="387">
        <f>+IF($K333="ongoing",CI333,IF(RIGHT($K333,2)=RIGHT(DI$43,2),SUM($CD333:CI333),0)+IF(RIGHT(DI$43,2)&gt;RIGHT($K333,2),CI333,0))</f>
        <v>0</v>
      </c>
      <c r="DJ333" s="387">
        <f>+IF($K333="ongoing",CJ333,IF(RIGHT($K333,2)=RIGHT(DJ$43,2),SUM($CD333:CJ333),0)+IF(RIGHT(DJ$43,2)&gt;RIGHT($K333,2),CJ333,0))</f>
        <v>0</v>
      </c>
      <c r="DK333" s="387">
        <f>+IF($K333="ongoing",CK333,IF(RIGHT($K333,2)=RIGHT(DK$43,2),SUM($CD333:CK333),0)+IF(RIGHT(DK$43,2)&gt;RIGHT($K333,2),CK333,0))</f>
        <v>0</v>
      </c>
      <c r="DL333" s="388">
        <f>+IF($K333="ongoing",CN333,IF(RIGHT($K333,2)=RIGHT(DL$43,2),SUM($CD333:CN333),0)+IF(RIGHT(DL$43,2)&gt;RIGHT($K333,2),CN333,0))</f>
        <v>0</v>
      </c>
      <c r="DM333" s="841"/>
      <c r="DN333" s="386">
        <f t="shared" si="568"/>
        <v>0.5</v>
      </c>
      <c r="DO333" s="387">
        <f t="shared" si="568"/>
        <v>1</v>
      </c>
      <c r="DP333" s="388">
        <f t="shared" si="568"/>
        <v>1</v>
      </c>
      <c r="DQ333" s="386">
        <f t="shared" si="568"/>
        <v>1</v>
      </c>
      <c r="DR333" s="387">
        <f t="shared" si="568"/>
        <v>1</v>
      </c>
      <c r="DS333" s="387">
        <f t="shared" si="568"/>
        <v>1</v>
      </c>
      <c r="DT333" s="387">
        <f t="shared" si="568"/>
        <v>1</v>
      </c>
      <c r="DU333" s="388">
        <f t="shared" si="568"/>
        <v>1</v>
      </c>
      <c r="DW333" s="386">
        <f t="shared" si="569"/>
        <v>0</v>
      </c>
      <c r="DX333" s="387">
        <f t="shared" si="569"/>
        <v>0.5</v>
      </c>
      <c r="DY333" s="388">
        <f t="shared" si="569"/>
        <v>1</v>
      </c>
      <c r="DZ333" s="386">
        <f t="shared" si="569"/>
        <v>1</v>
      </c>
      <c r="EA333" s="387">
        <f t="shared" si="569"/>
        <v>1</v>
      </c>
      <c r="EB333" s="387">
        <f t="shared" si="569"/>
        <v>1</v>
      </c>
      <c r="EC333" s="387">
        <f t="shared" si="569"/>
        <v>1</v>
      </c>
      <c r="ED333" s="388">
        <f t="shared" si="569"/>
        <v>1</v>
      </c>
      <c r="EF333" s="834">
        <f>+IF(DN333=DM333,0,
IF(AND(EF$44&gt;1,DN333=$N333),1-SUM($EE333:EE333),
IF($N333&lt;=1,
IF($N333&gt;0,1/$N333,0),
IF(EF$44=1,0,VDB(1,0,$N333,INT(EF$44-1-1),MIN($N333,INT(EF$44-1-1)+1),$DC333,IF($DD333="No",1,0))/
IF(DM333&gt;=INT($N333),$N333-INT($N333),1)))*
IF(EF$44=1,0,
IF(INT(DN333)=INT(DM333),DN333-DM333,INT(DN333)-DM333))+
IF($N333&lt;=1,
IF($N333&gt;0,1/$N333,0),VDB(1,0,$N333,INT(EF$44-1),MIN($N333,INT(EF$44-1)+1),$DC333,IF($DD333="No",1,0))/
IF(DN333&gt;INT($N333),$N333-INT($N333),1))*
IF(EF$44=1,DN333,
IF(INT(DN333)=INT(DM333),0,DN333-INT(DN333)))))</f>
        <v>0</v>
      </c>
      <c r="EG333" s="835">
        <f>+IF(DO333=DN333,0,
IF(AND(EG$44&gt;1,DO333=$N333),1-SUM($EE333:EF333),
IF($N333&lt;=1,
IF($N333&gt;0,1/$N333,0),
IF(EG$44=1,0,VDB(1,0,$N333,INT(EG$44-1-1),MIN($N333,INT(EG$44-1-1)+1),$DC333,IF($DD333="No",1,0))/
IF(DN333&gt;=INT($N333),$N333-INT($N333),1)))*
IF(EG$44=1,0,
IF(INT(DO333)=INT(DN333),DO333-DN333,INT(DO333)-DN333))+
IF($N333&lt;=1,
IF($N333&gt;0,1/$N333,0),VDB(1,0,$N333,INT(EG$44-1),MIN($N333,INT(EG$44-1)+1),$DC333,IF($DD333="No",1,0))/
IF(DO333&gt;INT($N333),$N333-INT($N333),1))*
IF(EG$44=1,DO333,
IF(INT(DO333)=INT(DN333),0,DO333-INT(DO333)))))</f>
        <v>0</v>
      </c>
      <c r="EH333" s="836">
        <f>+IF(DP333=DO333,0,
IF(AND(EH$44&gt;1,DP333=$N333),1-SUM($EE333:EG333),
IF($N333&lt;=1,
IF($N333&gt;0,1/$N333,0),
IF(EH$44=1,0,VDB(1,0,$N333,INT(EH$44-1-1),MIN($N333,INT(EH$44-1-1)+1),$DC333,IF($DD333="No",1,0))/
IF(DO333&gt;=INT($N333),$N333-INT($N333),1)))*
IF(EH$44=1,0,
IF(INT(DP333)=INT(DO333),DP333-DO333,INT(DP333)-DO333))+
IF($N333&lt;=1,
IF($N333&gt;0,1/$N333,0),VDB(1,0,$N333,INT(EH$44-1),MIN($N333,INT(EH$44-1)+1),$DC333,IF($DD333="No",1,0))/
IF(DP333&gt;INT($N333),$N333-INT($N333),1))*
IF(EH$44=1,DP333,
IF(INT(DP333)=INT(DO333),0,DP333-INT(DP333)))))</f>
        <v>0</v>
      </c>
      <c r="EI333" s="834">
        <f>+IF(DQ333=DP333,0,
IF(AND(EI$44&gt;1,DQ333=$N333),1-SUM($EE333:EH333),
IF($N333&lt;=1,
IF($N333&gt;0,1/$N333,0),
IF(EI$44=1,0,VDB(1,0,$N333,INT(EI$44-1-1),MIN($N333,INT(EI$44-1-1)+1),$DC333,IF($DD333="No",1,0))/
IF(DP333&gt;=INT($N333),$N333-INT($N333),1)))*
IF(EI$44=1,0,
IF(INT(DQ333)=INT(DP333),DQ333-DP333,INT(DQ333)-DP333))+
IF($N333&lt;=1,
IF($N333&gt;0,1/$N333,0),VDB(1,0,$N333,INT(EI$44-1),MIN($N333,INT(EI$44-1)+1),$DC333,IF($DD333="No",1,0))/
IF(DQ333&gt;INT($N333),$N333-INT($N333),1))*
IF(EI$44=1,DQ333,
IF(INT(DQ333)=INT(DP333),0,DQ333-INT(DQ333)))))</f>
        <v>0</v>
      </c>
      <c r="EJ333" s="835">
        <f>+IF(DR333=DQ333,0,
IF(AND(EJ$44&gt;1,DR333=$N333),1-SUM($EE333:EI333),
IF($N333&lt;=1,
IF($N333&gt;0,1/$N333,0),
IF(EJ$44=1,0,VDB(1,0,$N333,INT(EJ$44-1-1),MIN($N333,INT(EJ$44-1-1)+1),$DC333,IF($DD333="No",1,0))/
IF(DQ333&gt;=INT($N333),$N333-INT($N333),1)))*
IF(EJ$44=1,0,
IF(INT(DR333)=INT(DQ333),DR333-DQ333,INT(DR333)-DQ333))+
IF($N333&lt;=1,
IF($N333&gt;0,1/$N333,0),VDB(1,0,$N333,INT(EJ$44-1),MIN($N333,INT(EJ$44-1)+1),$DC333,IF($DD333="No",1,0))/
IF(DR333&gt;INT($N333),$N333-INT($N333),1))*
IF(EJ$44=1,DR333,
IF(INT(DR333)=INT(DQ333),0,DR333-INT(DR333)))))</f>
        <v>0</v>
      </c>
      <c r="EK333" s="835">
        <f>+IF(DS333=DR333,0,
IF(AND(EK$44&gt;1,DS333=$N333),1-SUM($EE333:EJ333),
IF($N333&lt;=1,
IF($N333&gt;0,1/$N333,0),
IF(EK$44=1,0,VDB(1,0,$N333,INT(EK$44-1-1),MIN($N333,INT(EK$44-1-1)+1),$DC333,IF($DD333="No",1,0))/
IF(DR333&gt;=INT($N333),$N333-INT($N333),1)))*
IF(EK$44=1,0,
IF(INT(DS333)=INT(DR333),DS333-DR333,INT(DS333)-DR333))+
IF($N333&lt;=1,
IF($N333&gt;0,1/$N333,0),VDB(1,0,$N333,INT(EK$44-1),MIN($N333,INT(EK$44-1)+1),$DC333,IF($DD333="No",1,0))/
IF(DS333&gt;INT($N333),$N333-INT($N333),1))*
IF(EK$44=1,DS333,
IF(INT(DS333)=INT(DR333),0,DS333-INT(DS333)))))</f>
        <v>0</v>
      </c>
      <c r="EL333" s="835">
        <f>+IF(DT333=DS333,0,
IF(AND(EL$44&gt;1,DT333=$N333),1-SUM($EE333:EK333),
IF($N333&lt;=1,
IF($N333&gt;0,1/$N333,0),
IF(EL$44=1,0,VDB(1,0,$N333,INT(EL$44-1-1),MIN($N333,INT(EL$44-1-1)+1),$DC333,IF($DD333="No",1,0))/
IF(DS333&gt;=INT($N333),$N333-INT($N333),1)))*
IF(EL$44=1,0,
IF(INT(DT333)=INT(DS333),DT333-DS333,INT(DT333)-DS333))+
IF($N333&lt;=1,
IF($N333&gt;0,1/$N333,0),VDB(1,0,$N333,INT(EL$44-1),MIN($N333,INT(EL$44-1)+1),$DC333,IF($DD333="No",1,0))/
IF(DT333&gt;INT($N333),$N333-INT($N333),1))*
IF(EL$44=1,DT333,
IF(INT(DT333)=INT(DS333),0,DT333-INT(DT333)))))</f>
        <v>0</v>
      </c>
      <c r="EM333" s="836">
        <f>+IF(DU333=DT333,0,
IF(AND(EM$44&gt;1,DU333=$N333),1-SUM($EE333:EL333),
IF($N333&lt;=1,
IF($N333&gt;0,1/$N333,0),
IF(EM$44=1,0,VDB(1,0,$N333,INT(EM$44-1-1),MIN($N333,INT(EM$44-1-1)+1),$DC333,IF($DD333="No",1,0))/
IF(DT333&gt;=INT($N333),$N333-INT($N333),1)))*
IF(EM$44=1,0,
IF(INT(DU333)=INT(DT333),DU333-DT333,INT(DU333)-DT333))+
IF($N333&lt;=1,
IF($N333&gt;0,1/$N333,0),VDB(1,0,$N333,INT(EM$44-1),MIN($N333,INT(EM$44-1)+1),$DC333,IF($DD333="No",1,0))/
IF(DU333&gt;INT($N333),$N333-INT($N333),1))*
IF(EM$44=1,DU333,
IF(INT(DU333)=INT(DT333),0,DU333-INT(DU333)))))</f>
        <v>0</v>
      </c>
      <c r="EN333" s="833"/>
      <c r="EO333" s="834">
        <f>+IF(OR(DW333=DV333,EO$44=1),0,
IF(AND(EO$44&gt;1,DW333=$N333),1-SUM($EN333:EN333),
IF($N333&lt;=1,
IF($N333&gt;0,1/$N333,0),
IF(EO$44=2,0,VDB(1,0,$N333,INT(EO$44-2-1),MIN($N333,INT(EO$44-2-1)+1),$DC333,IF($DD333="No",1,0))/
IF(DV333&gt;=INT($N333),$N333-INT($N333),1)))*
IF(EO$44=2,0,
IF(INT(DW333)=INT(DV333),DW333-DV333,INT(DW333)-DV333))+
IF($N333&lt;=1,
IF($N333&gt;0,1/$N333,0),VDB(1,0,$N333,INT(EO$44-2),MIN($N333,INT(EO$44-2)+1),$DC333,IF($DD333="No",1,0))/
IF(DW333&gt;INT($N333),$N333-INT($N333),1))*
IF(EO$44=2,DW333,
IF(INT(DW333)=INT(DV333),0,DW333-INT(DW333)))))</f>
        <v>0</v>
      </c>
      <c r="EP333" s="835">
        <f>+IF(OR(DX333=DW333,EP$44=1),0,
IF(AND(EP$44&gt;1,DX333=$N333),1-SUM($EN333:EO333),
IF($N333&lt;=1,
IF($N333&gt;0,1/$N333,0),
IF(EP$44=2,0,VDB(1,0,$N333,INT(EP$44-2-1),MIN($N333,INT(EP$44-2-1)+1),$DC333,IF($DD333="No",1,0))/
IF(DW333&gt;=INT($N333),$N333-INT($N333),1)))*
IF(EP$44=2,0,
IF(INT(DX333)=INT(DW333),DX333-DW333,INT(DX333)-DW333))+
IF($N333&lt;=1,
IF($N333&gt;0,1/$N333,0),VDB(1,0,$N333,INT(EP$44-2),MIN($N333,INT(EP$44-2)+1),$DC333,IF($DD333="No",1,0))/
IF(DX333&gt;INT($N333),$N333-INT($N333),1))*
IF(EP$44=2,DX333,
IF(INT(DX333)=INT(DW333),0,DX333-INT(DX333)))))</f>
        <v>0</v>
      </c>
      <c r="EQ333" s="836">
        <f>+IF(OR(DY333=DX333,EQ$44=1),0,
IF(AND(EQ$44&gt;1,DY333=$N333),1-SUM($EN333:EP333),
IF($N333&lt;=1,
IF($N333&gt;0,1/$N333,0),
IF(EQ$44=2,0,VDB(1,0,$N333,INT(EQ$44-2-1),MIN($N333,INT(EQ$44-2-1)+1),$DC333,IF($DD333="No",1,0))/
IF(DX333&gt;=INT($N333),$N333-INT($N333),1)))*
IF(EQ$44=2,0,
IF(INT(DY333)=INT(DX333),DY333-DX333,INT(DY333)-DX333))+
IF($N333&lt;=1,
IF($N333&gt;0,1/$N333,0),VDB(1,0,$N333,INT(EQ$44-2),MIN($N333,INT(EQ$44-2)+1),$DC333,IF($DD333="No",1,0))/
IF(DY333&gt;INT($N333),$N333-INT($N333),1))*
IF(EQ$44=2,DY333,
IF(INT(DY333)=INT(DX333),0,DY333-INT(DY333)))))</f>
        <v>0</v>
      </c>
      <c r="ER333" s="834">
        <f>+IF(OR(DZ333=DY333,ER$44=1),0,
IF(AND(ER$44&gt;1,DZ333=$N333),1-SUM($EN333:EQ333),
IF($N333&lt;=1,
IF($N333&gt;0,1/$N333,0),
IF(ER$44=2,0,VDB(1,0,$N333,INT(ER$44-2-1),MIN($N333,INT(ER$44-2-1)+1),$DC333,IF($DD333="No",1,0))/
IF(DY333&gt;=INT($N333),$N333-INT($N333),1)))*
IF(ER$44=2,0,
IF(INT(DZ333)=INT(DY333),DZ333-DY333,INT(DZ333)-DY333))+
IF($N333&lt;=1,
IF($N333&gt;0,1/$N333,0),VDB(1,0,$N333,INT(ER$44-2),MIN($N333,INT(ER$44-2)+1),$DC333,IF($DD333="No",1,0))/
IF(DZ333&gt;INT($N333),$N333-INT($N333),1))*
IF(ER$44=2,DZ333,
IF(INT(DZ333)=INT(DY333),0,DZ333-INT(DZ333)))))</f>
        <v>0</v>
      </c>
      <c r="ES333" s="835">
        <f>+IF(OR(EA333=DZ333,ES$44=1),0,
IF(AND(ES$44&gt;1,EA333=$N333),1-SUM($EN333:ER333),
IF($N333&lt;=1,
IF($N333&gt;0,1/$N333,0),
IF(ES$44=2,0,VDB(1,0,$N333,INT(ES$44-2-1),MIN($N333,INT(ES$44-2-1)+1),$DC333,IF($DD333="No",1,0))/
IF(DZ333&gt;=INT($N333),$N333-INT($N333),1)))*
IF(ES$44=2,0,
IF(INT(EA333)=INT(DZ333),EA333-DZ333,INT(EA333)-DZ333))+
IF($N333&lt;=1,
IF($N333&gt;0,1/$N333,0),VDB(1,0,$N333,INT(ES$44-2),MIN($N333,INT(ES$44-2)+1),$DC333,IF($DD333="No",1,0))/
IF(EA333&gt;INT($N333),$N333-INT($N333),1))*
IF(ES$44=2,EA333,
IF(INT(EA333)=INT(DZ333),0,EA333-INT(EA333)))))</f>
        <v>0</v>
      </c>
      <c r="ET333" s="835">
        <f>+IF(OR(EB333=EA333,ET$44=1),0,
IF(AND(ET$44&gt;1,EB333=$N333),1-SUM($EN333:ES333),
IF($N333&lt;=1,
IF($N333&gt;0,1/$N333,0),
IF(ET$44=2,0,VDB(1,0,$N333,INT(ET$44-2-1),MIN($N333,INT(ET$44-2-1)+1),$DC333,IF($DD333="No",1,0))/
IF(EA333&gt;=INT($N333),$N333-INT($N333),1)))*
IF(ET$44=2,0,
IF(INT(EB333)=INT(EA333),EB333-EA333,INT(EB333)-EA333))+
IF($N333&lt;=1,
IF($N333&gt;0,1/$N333,0),VDB(1,0,$N333,INT(ET$44-2),MIN($N333,INT(ET$44-2)+1),$DC333,IF($DD333="No",1,0))/
IF(EB333&gt;INT($N333),$N333-INT($N333),1))*
IF(ET$44=2,EB333,
IF(INT(EB333)=INT(EA333),0,EB333-INT(EB333)))))</f>
        <v>0</v>
      </c>
      <c r="EU333" s="835">
        <f>+IF(OR(EC333=EB333,EU$44=1),0,
IF(AND(EU$44&gt;1,EC333=$N333),1-SUM($EN333:ET333),
IF($N333&lt;=1,
IF($N333&gt;0,1/$N333,0),
IF(EU$44=2,0,VDB(1,0,$N333,INT(EU$44-2-1),MIN($N333,INT(EU$44-2-1)+1),$DC333,IF($DD333="No",1,0))/
IF(EB333&gt;=INT($N333),$N333-INT($N333),1)))*
IF(EU$44=2,0,
IF(INT(EC333)=INT(EB333),EC333-EB333,INT(EC333)-EB333))+
IF($N333&lt;=1,
IF($N333&gt;0,1/$N333,0),VDB(1,0,$N333,INT(EU$44-2),MIN($N333,INT(EU$44-2)+1),$DC333,IF($DD333="No",1,0))/
IF(EC333&gt;INT($N333),$N333-INT($N333),1))*
IF(EU$44=2,EC333,
IF(INT(EC333)=INT(EB333),0,EC333-INT(EC333)))))</f>
        <v>0</v>
      </c>
      <c r="EV333" s="836">
        <f>+IF(OR(ED333=EC333,EV$44=1),0,
IF(AND(EV$44&gt;1,ED333=$N333),1-SUM($EN333:EU333),
IF($N333&lt;=1,
IF($N333&gt;0,1/$N333,0),
IF(EV$44=2,0,VDB(1,0,$N333,INT(EV$44-2-1),MIN($N333,INT(EV$44-2-1)+1),$DC333,IF($DD333="No",1,0))/
IF(EC333&gt;=INT($N333),$N333-INT($N333),1)))*
IF(EV$44=2,0,
IF(INT(ED333)=INT(EC333),ED333-EC333,INT(ED333)-EC333))+
IF($N333&lt;=1,
IF($N333&gt;0,1/$N333,0),VDB(1,0,$N333,INT(EV$44-2),MIN($N333,INT(EV$44-2)+1),$DC333,IF($DD333="No",1,0))/
IF(ED333&gt;INT($N333),$N333-INT($N333),1))*
IF(EV$44=2,ED333,
IF(INT(ED333)=INT(EC333),0,ED333-INT(ED333)))))</f>
        <v>0</v>
      </c>
      <c r="EW333" s="833"/>
      <c r="EX333" s="834">
        <f t="shared" ca="1" si="570"/>
        <v>0</v>
      </c>
      <c r="EY333" s="835">
        <f t="shared" ca="1" si="570"/>
        <v>0</v>
      </c>
      <c r="EZ333" s="836">
        <f t="shared" ca="1" si="570"/>
        <v>0</v>
      </c>
      <c r="FA333" s="834">
        <f t="shared" ca="1" si="570"/>
        <v>0</v>
      </c>
      <c r="FB333" s="835">
        <f t="shared" ca="1" si="570"/>
        <v>0</v>
      </c>
      <c r="FC333" s="835">
        <f t="shared" ca="1" si="570"/>
        <v>0</v>
      </c>
      <c r="FD333" s="835">
        <f t="shared" ca="1" si="570"/>
        <v>0</v>
      </c>
      <c r="FE333" s="836">
        <f t="shared" ca="1" si="570"/>
        <v>0</v>
      </c>
      <c r="FG333" s="386">
        <f t="shared" ca="1" si="521"/>
        <v>0</v>
      </c>
      <c r="FH333" s="387">
        <f t="shared" ca="1" si="522"/>
        <v>0</v>
      </c>
      <c r="FI333" s="388">
        <f t="shared" ca="1" si="523"/>
        <v>0</v>
      </c>
      <c r="FJ333" s="386">
        <f t="shared" ca="1" si="524"/>
        <v>0</v>
      </c>
      <c r="FK333" s="387">
        <f t="shared" ca="1" si="525"/>
        <v>0</v>
      </c>
      <c r="FL333" s="387">
        <f t="shared" ca="1" si="526"/>
        <v>0</v>
      </c>
      <c r="FM333" s="387">
        <f t="shared" ca="1" si="527"/>
        <v>0</v>
      </c>
      <c r="FN333" s="388">
        <f t="shared" ca="1" si="528"/>
        <v>0</v>
      </c>
      <c r="FR333" s="116"/>
    </row>
    <row r="334" spans="2:174">
      <c r="B334" s="1410">
        <f t="shared" si="556"/>
        <v>288</v>
      </c>
      <c r="C334" s="400"/>
      <c r="D334" s="410"/>
      <c r="E334" s="402"/>
      <c r="F334" s="402"/>
      <c r="G334" s="400"/>
      <c r="H334" s="2088"/>
      <c r="I334" s="2089"/>
      <c r="J334" s="411"/>
      <c r="K334" s="403"/>
      <c r="L334" s="403"/>
      <c r="M334" s="403"/>
      <c r="N334" s="403"/>
      <c r="O334" s="347"/>
      <c r="P334" s="347"/>
      <c r="Q334" s="1021"/>
      <c r="R334" s="1022"/>
      <c r="S334" s="1022"/>
      <c r="T334" s="1022"/>
      <c r="U334" s="1023"/>
      <c r="V334" s="1021"/>
      <c r="W334" s="1022"/>
      <c r="X334" s="1022"/>
      <c r="Y334" s="1022"/>
      <c r="Z334" s="1023"/>
      <c r="AA334" s="1024"/>
      <c r="AB334" s="1021"/>
      <c r="AC334" s="1022"/>
      <c r="AD334" s="1022"/>
      <c r="AE334" s="1022"/>
      <c r="AF334" s="1023"/>
      <c r="AG334" s="1021"/>
      <c r="AH334" s="1022"/>
      <c r="AI334" s="1022"/>
      <c r="AJ334" s="1022"/>
      <c r="AK334" s="1023"/>
      <c r="AL334" s="1024"/>
      <c r="AM334" s="1021"/>
      <c r="AN334" s="1022"/>
      <c r="AO334" s="1022"/>
      <c r="AP334" s="1022"/>
      <c r="AQ334" s="1023"/>
      <c r="AR334" s="1021"/>
      <c r="AS334" s="1022"/>
      <c r="AT334" s="1022"/>
      <c r="AU334" s="1022"/>
      <c r="AV334" s="1023"/>
      <c r="AW334" s="1025"/>
      <c r="AX334" s="1282">
        <f t="shared" si="532"/>
        <v>0</v>
      </c>
      <c r="AY334" s="387">
        <f t="shared" si="533"/>
        <v>0</v>
      </c>
      <c r="AZ334" s="387">
        <f t="shared" si="534"/>
        <v>0</v>
      </c>
      <c r="BA334" s="387">
        <f t="shared" si="535"/>
        <v>0</v>
      </c>
      <c r="BB334" s="1283">
        <f t="shared" si="536"/>
        <v>0</v>
      </c>
      <c r="BC334" s="386">
        <f t="shared" si="537"/>
        <v>0</v>
      </c>
      <c r="BD334" s="387">
        <f t="shared" si="538"/>
        <v>0</v>
      </c>
      <c r="BE334" s="1277">
        <f t="shared" si="560"/>
        <v>0</v>
      </c>
      <c r="BF334" s="1277">
        <f t="shared" si="561"/>
        <v>0</v>
      </c>
      <c r="BG334" s="388">
        <f t="shared" si="562"/>
        <v>0</v>
      </c>
      <c r="BH334" s="1025"/>
      <c r="BI334" s="1282">
        <f t="shared" ca="1" si="540"/>
        <v>0</v>
      </c>
      <c r="BJ334" s="387">
        <f t="shared" ca="1" si="541"/>
        <v>0</v>
      </c>
      <c r="BK334" s="387">
        <f t="shared" ca="1" si="542"/>
        <v>0</v>
      </c>
      <c r="BL334" s="387">
        <f t="shared" ca="1" si="543"/>
        <v>0</v>
      </c>
      <c r="BM334" s="1283">
        <f t="shared" ca="1" si="544"/>
        <v>0</v>
      </c>
      <c r="BN334" s="386">
        <f t="shared" ca="1" si="563"/>
        <v>0</v>
      </c>
      <c r="BO334" s="387">
        <f t="shared" ca="1" si="564"/>
        <v>0</v>
      </c>
      <c r="BP334" s="1277">
        <f t="shared" ca="1" si="565"/>
        <v>0</v>
      </c>
      <c r="BQ334" s="1277">
        <f t="shared" ca="1" si="566"/>
        <v>0</v>
      </c>
      <c r="BR334" s="388">
        <f t="shared" ca="1" si="567"/>
        <v>0</v>
      </c>
      <c r="BS334" s="1025"/>
      <c r="BT334" s="1282">
        <f>+IF($K334="Ongoing",AX334,IF(RIGHT($K334,2)=RIGHT(BT$43,2),SUM($AX334:AX334),0)+IF(RIGHT(BT$43,2)&gt;RIGHT($K334,2),AX334,0))</f>
        <v>0</v>
      </c>
      <c r="BU334" s="387">
        <f>+IF($K334="Ongoing",AY334,IF(RIGHT($K334,2)=RIGHT(BU$43,2),SUM($AX334:AY334),0)+IF(RIGHT(BU$43,2)&gt;RIGHT($K334,2),AY334,0))</f>
        <v>0</v>
      </c>
      <c r="BV334" s="387">
        <f>+IF($K334="Ongoing",AZ334,IF(RIGHT($K334,2)=RIGHT(BV$43,2),SUM($AX334:AZ334),0)+IF(RIGHT(BV$43,2)&gt;RIGHT($K334,2),AZ334,0))</f>
        <v>0</v>
      </c>
      <c r="BW334" s="387">
        <f>+IF($K334="Ongoing",BA334,IF(RIGHT($K334,2)=RIGHT(BW$43,2),SUM($AX334:BA334),0)+IF(RIGHT(BW$43,2)&gt;RIGHT($K334,2),BA334,0))</f>
        <v>0</v>
      </c>
      <c r="BX334" s="1283">
        <f>+IF($K334="Ongoing",BB334,IF(RIGHT($K334,2)=RIGHT(BX$43,2),SUM($AX334:BB334),0)+IF(RIGHT(BX$43,2)&gt;RIGHT($K334,2),BB334,0))</f>
        <v>0</v>
      </c>
      <c r="BY334" s="386">
        <f>+IF($K334="Ongoing",BC334,IF(RIGHT($K334,2)=RIGHT(BY$43,2),SUM($AX334:BC334),0)+IF(RIGHT(BY$43,2)&gt;RIGHT($K334,2),BC334,0))</f>
        <v>0</v>
      </c>
      <c r="BZ334" s="387">
        <f>+IF($K334="Ongoing",BD334,IF(RIGHT($K334,2)=RIGHT(BZ$43,2),SUM($AX334:BD334),0)+IF(RIGHT(BZ$43,2)&gt;RIGHT($K334,2),BD334,0))</f>
        <v>0</v>
      </c>
      <c r="CA334" s="1277">
        <f>+IF($K334="Ongoing",BE334,IF(RIGHT($K334,2)=RIGHT(CA$43,2),SUM($AX334:BE334),0)+IF(RIGHT(CA$43,2)&gt;RIGHT($K334,2),BE334,0))</f>
        <v>0</v>
      </c>
      <c r="CB334" s="1277">
        <f>+IF($K334="Ongoing",BF334,IF(RIGHT($K334,2)=RIGHT(CB$43,2),SUM($AX334:BF334),0)+IF(RIGHT(CB$43,2)&gt;RIGHT($K334,2),BF334,0))</f>
        <v>0</v>
      </c>
      <c r="CC334" s="388">
        <f>+IF($K334="Ongoing",BG334,IF(RIGHT($K334,2)=RIGHT(CC$43,2),SUM($AX334:BG334),0)+IF(RIGHT(CC$43,2)&gt;RIGHT($K334,2),BG334,0))</f>
        <v>0</v>
      </c>
      <c r="CD334" s="1025"/>
      <c r="CE334" s="1282">
        <f>+Q334*KeyAssumptionsPriceControl_FO!AF$15</f>
        <v>0</v>
      </c>
      <c r="CF334" s="387">
        <f>+R334*KeyAssumptionsPriceControl_FO!AG$15</f>
        <v>0</v>
      </c>
      <c r="CG334" s="387">
        <f>+S334*KeyAssumptionsPriceControl_FO!AH$15</f>
        <v>0</v>
      </c>
      <c r="CH334" s="387">
        <f>+T334*KeyAssumptionsPriceControl_FO!AI$15</f>
        <v>0</v>
      </c>
      <c r="CI334" s="1283">
        <f>+U334*KeyAssumptionsPriceControl_FO!AJ$15</f>
        <v>0</v>
      </c>
      <c r="CJ334" s="386">
        <f>+V334*KeyAssumptionsPriceControl_FO!AK$15</f>
        <v>0</v>
      </c>
      <c r="CK334" s="387">
        <f>+W334*KeyAssumptionsPriceControl_FO!AL$15</f>
        <v>0</v>
      </c>
      <c r="CL334" s="1277">
        <f>+X334*KeyAssumptionsPriceControl_FO!AM$15</f>
        <v>0</v>
      </c>
      <c r="CM334" s="1277">
        <f>+Y334*KeyAssumptionsPriceControl_FO!AN$15</f>
        <v>0</v>
      </c>
      <c r="CN334" s="388">
        <f>+Z334*KeyAssumptionsPriceControl_FO!AO$15</f>
        <v>0</v>
      </c>
      <c r="CO334" s="1025"/>
      <c r="CP334" s="1282">
        <f t="shared" ca="1" si="546"/>
        <v>0</v>
      </c>
      <c r="CQ334" s="387">
        <f t="shared" ca="1" si="547"/>
        <v>0</v>
      </c>
      <c r="CR334" s="387">
        <f t="shared" ca="1" si="548"/>
        <v>0</v>
      </c>
      <c r="CS334" s="387">
        <f t="shared" ca="1" si="549"/>
        <v>0</v>
      </c>
      <c r="CT334" s="1283">
        <f t="shared" ca="1" si="550"/>
        <v>0</v>
      </c>
      <c r="CU334" s="386">
        <f t="shared" ca="1" si="551"/>
        <v>0</v>
      </c>
      <c r="CV334" s="387">
        <f t="shared" ca="1" si="552"/>
        <v>0</v>
      </c>
      <c r="CW334" s="1277">
        <f t="shared" ca="1" si="553"/>
        <v>0</v>
      </c>
      <c r="CX334" s="1277">
        <f t="shared" ca="1" si="554"/>
        <v>0</v>
      </c>
      <c r="CY334" s="388">
        <f t="shared" ca="1" si="555"/>
        <v>0</v>
      </c>
      <c r="CZ334" s="347"/>
      <c r="DA334" s="852"/>
      <c r="DB334" s="347"/>
      <c r="DC334" s="1012" t="s">
        <v>517</v>
      </c>
      <c r="DD334" s="841" t="s">
        <v>518</v>
      </c>
      <c r="DE334" s="386">
        <f>+IF($K334="ongoing",CE334,IF(RIGHT($K334,2)=RIGHT(DE$43,2),SUM($CD334:CE334),0)+IF(RIGHT(DE$43,2)&gt;RIGHT($K334,2),CE334,0))</f>
        <v>0</v>
      </c>
      <c r="DF334" s="387">
        <f>+IF($K334="ongoing",CF334,IF(RIGHT($K334,2)=RIGHT(DF$43,2),SUM($CD334:CF334),0)+IF(RIGHT(DF$43,2)&gt;RIGHT($K334,2),CF334,0))</f>
        <v>0</v>
      </c>
      <c r="DG334" s="388">
        <f>+IF($K334="ongoing",CG334,IF(RIGHT($K334,2)=RIGHT(DG$43,2),SUM($CD334:CG334),0)+IF(RIGHT(DG$43,2)&gt;RIGHT($K334,2),CG334,0))</f>
        <v>0</v>
      </c>
      <c r="DH334" s="386">
        <f>+IF($K334="ongoing",CH334,IF(RIGHT($K334,2)=RIGHT(DH$43,2),SUM($CD334:CH334),0)+IF(RIGHT(DH$43,2)&gt;RIGHT($K334,2),CH334,0))</f>
        <v>0</v>
      </c>
      <c r="DI334" s="387">
        <f>+IF($K334="ongoing",CI334,IF(RIGHT($K334,2)=RIGHT(DI$43,2),SUM($CD334:CI334),0)+IF(RIGHT(DI$43,2)&gt;RIGHT($K334,2),CI334,0))</f>
        <v>0</v>
      </c>
      <c r="DJ334" s="387">
        <f>+IF($K334="ongoing",CJ334,IF(RIGHT($K334,2)=RIGHT(DJ$43,2),SUM($CD334:CJ334),0)+IF(RIGHT(DJ$43,2)&gt;RIGHT($K334,2),CJ334,0))</f>
        <v>0</v>
      </c>
      <c r="DK334" s="387">
        <f>+IF($K334="ongoing",CK334,IF(RIGHT($K334,2)=RIGHT(DK$43,2),SUM($CD334:CK334),0)+IF(RIGHT(DK$43,2)&gt;RIGHT($K334,2),CK334,0))</f>
        <v>0</v>
      </c>
      <c r="DL334" s="388">
        <f>+IF($K334="ongoing",CN334,IF(RIGHT($K334,2)=RIGHT(DL$43,2),SUM($CD334:CN334),0)+IF(RIGHT(DL$43,2)&gt;RIGHT($K334,2),CN334,0))</f>
        <v>0</v>
      </c>
      <c r="DM334" s="841"/>
      <c r="DN334" s="386">
        <f t="shared" si="568"/>
        <v>0.5</v>
      </c>
      <c r="DO334" s="387">
        <f t="shared" si="568"/>
        <v>1</v>
      </c>
      <c r="DP334" s="388">
        <f t="shared" si="568"/>
        <v>1</v>
      </c>
      <c r="DQ334" s="386">
        <f t="shared" si="568"/>
        <v>1</v>
      </c>
      <c r="DR334" s="387">
        <f t="shared" si="568"/>
        <v>1</v>
      </c>
      <c r="DS334" s="387">
        <f t="shared" si="568"/>
        <v>1</v>
      </c>
      <c r="DT334" s="387">
        <f t="shared" si="568"/>
        <v>1</v>
      </c>
      <c r="DU334" s="388">
        <f t="shared" si="568"/>
        <v>1</v>
      </c>
      <c r="DW334" s="386">
        <f t="shared" si="569"/>
        <v>0</v>
      </c>
      <c r="DX334" s="387">
        <f t="shared" si="569"/>
        <v>0.5</v>
      </c>
      <c r="DY334" s="388">
        <f t="shared" si="569"/>
        <v>1</v>
      </c>
      <c r="DZ334" s="386">
        <f t="shared" si="569"/>
        <v>1</v>
      </c>
      <c r="EA334" s="387">
        <f t="shared" si="569"/>
        <v>1</v>
      </c>
      <c r="EB334" s="387">
        <f t="shared" si="569"/>
        <v>1</v>
      </c>
      <c r="EC334" s="387">
        <f t="shared" si="569"/>
        <v>1</v>
      </c>
      <c r="ED334" s="388">
        <f t="shared" si="569"/>
        <v>1</v>
      </c>
      <c r="EF334" s="834">
        <f>+IF(DN334=DM334,0,
IF(AND(EF$44&gt;1,DN334=$N334),1-SUM($EE334:EE334),
IF($N334&lt;=1,
IF($N334&gt;0,1/$N334,0),
IF(EF$44=1,0,VDB(1,0,$N334,INT(EF$44-1-1),MIN($N334,INT(EF$44-1-1)+1),$DC334,IF($DD334="No",1,0))/
IF(DM334&gt;=INT($N334),$N334-INT($N334),1)))*
IF(EF$44=1,0,
IF(INT(DN334)=INT(DM334),DN334-DM334,INT(DN334)-DM334))+
IF($N334&lt;=1,
IF($N334&gt;0,1/$N334,0),VDB(1,0,$N334,INT(EF$44-1),MIN($N334,INT(EF$44-1)+1),$DC334,IF($DD334="No",1,0))/
IF(DN334&gt;INT($N334),$N334-INT($N334),1))*
IF(EF$44=1,DN334,
IF(INT(DN334)=INT(DM334),0,DN334-INT(DN334)))))</f>
        <v>0</v>
      </c>
      <c r="EG334" s="835">
        <f>+IF(DO334=DN334,0,
IF(AND(EG$44&gt;1,DO334=$N334),1-SUM($EE334:EF334),
IF($N334&lt;=1,
IF($N334&gt;0,1/$N334,0),
IF(EG$44=1,0,VDB(1,0,$N334,INT(EG$44-1-1),MIN($N334,INT(EG$44-1-1)+1),$DC334,IF($DD334="No",1,0))/
IF(DN334&gt;=INT($N334),$N334-INT($N334),1)))*
IF(EG$44=1,0,
IF(INT(DO334)=INT(DN334),DO334-DN334,INT(DO334)-DN334))+
IF($N334&lt;=1,
IF($N334&gt;0,1/$N334,0),VDB(1,0,$N334,INT(EG$44-1),MIN($N334,INT(EG$44-1)+1),$DC334,IF($DD334="No",1,0))/
IF(DO334&gt;INT($N334),$N334-INT($N334),1))*
IF(EG$44=1,DO334,
IF(INT(DO334)=INT(DN334),0,DO334-INT(DO334)))))</f>
        <v>0</v>
      </c>
      <c r="EH334" s="836">
        <f>+IF(DP334=DO334,0,
IF(AND(EH$44&gt;1,DP334=$N334),1-SUM($EE334:EG334),
IF($N334&lt;=1,
IF($N334&gt;0,1/$N334,0),
IF(EH$44=1,0,VDB(1,0,$N334,INT(EH$44-1-1),MIN($N334,INT(EH$44-1-1)+1),$DC334,IF($DD334="No",1,0))/
IF(DO334&gt;=INT($N334),$N334-INT($N334),1)))*
IF(EH$44=1,0,
IF(INT(DP334)=INT(DO334),DP334-DO334,INT(DP334)-DO334))+
IF($N334&lt;=1,
IF($N334&gt;0,1/$N334,0),VDB(1,0,$N334,INT(EH$44-1),MIN($N334,INT(EH$44-1)+1),$DC334,IF($DD334="No",1,0))/
IF(DP334&gt;INT($N334),$N334-INT($N334),1))*
IF(EH$44=1,DP334,
IF(INT(DP334)=INT(DO334),0,DP334-INT(DP334)))))</f>
        <v>0</v>
      </c>
      <c r="EI334" s="834">
        <f>+IF(DQ334=DP334,0,
IF(AND(EI$44&gt;1,DQ334=$N334),1-SUM($EE334:EH334),
IF($N334&lt;=1,
IF($N334&gt;0,1/$N334,0),
IF(EI$44=1,0,VDB(1,0,$N334,INT(EI$44-1-1),MIN($N334,INT(EI$44-1-1)+1),$DC334,IF($DD334="No",1,0))/
IF(DP334&gt;=INT($N334),$N334-INT($N334),1)))*
IF(EI$44=1,0,
IF(INT(DQ334)=INT(DP334),DQ334-DP334,INT(DQ334)-DP334))+
IF($N334&lt;=1,
IF($N334&gt;0,1/$N334,0),VDB(1,0,$N334,INT(EI$44-1),MIN($N334,INT(EI$44-1)+1),$DC334,IF($DD334="No",1,0))/
IF(DQ334&gt;INT($N334),$N334-INT($N334),1))*
IF(EI$44=1,DQ334,
IF(INT(DQ334)=INT(DP334),0,DQ334-INT(DQ334)))))</f>
        <v>0</v>
      </c>
      <c r="EJ334" s="835">
        <f>+IF(DR334=DQ334,0,
IF(AND(EJ$44&gt;1,DR334=$N334),1-SUM($EE334:EI334),
IF($N334&lt;=1,
IF($N334&gt;0,1/$N334,0),
IF(EJ$44=1,0,VDB(1,0,$N334,INT(EJ$44-1-1),MIN($N334,INT(EJ$44-1-1)+1),$DC334,IF($DD334="No",1,0))/
IF(DQ334&gt;=INT($N334),$N334-INT($N334),1)))*
IF(EJ$44=1,0,
IF(INT(DR334)=INT(DQ334),DR334-DQ334,INT(DR334)-DQ334))+
IF($N334&lt;=1,
IF($N334&gt;0,1/$N334,0),VDB(1,0,$N334,INT(EJ$44-1),MIN($N334,INT(EJ$44-1)+1),$DC334,IF($DD334="No",1,0))/
IF(DR334&gt;INT($N334),$N334-INT($N334),1))*
IF(EJ$44=1,DR334,
IF(INT(DR334)=INT(DQ334),0,DR334-INT(DR334)))))</f>
        <v>0</v>
      </c>
      <c r="EK334" s="835">
        <f>+IF(DS334=DR334,0,
IF(AND(EK$44&gt;1,DS334=$N334),1-SUM($EE334:EJ334),
IF($N334&lt;=1,
IF($N334&gt;0,1/$N334,0),
IF(EK$44=1,0,VDB(1,0,$N334,INT(EK$44-1-1),MIN($N334,INT(EK$44-1-1)+1),$DC334,IF($DD334="No",1,0))/
IF(DR334&gt;=INT($N334),$N334-INT($N334),1)))*
IF(EK$44=1,0,
IF(INT(DS334)=INT(DR334),DS334-DR334,INT(DS334)-DR334))+
IF($N334&lt;=1,
IF($N334&gt;0,1/$N334,0),VDB(1,0,$N334,INT(EK$44-1),MIN($N334,INT(EK$44-1)+1),$DC334,IF($DD334="No",1,0))/
IF(DS334&gt;INT($N334),$N334-INT($N334),1))*
IF(EK$44=1,DS334,
IF(INT(DS334)=INT(DR334),0,DS334-INT(DS334)))))</f>
        <v>0</v>
      </c>
      <c r="EL334" s="835">
        <f>+IF(DT334=DS334,0,
IF(AND(EL$44&gt;1,DT334=$N334),1-SUM($EE334:EK334),
IF($N334&lt;=1,
IF($N334&gt;0,1/$N334,0),
IF(EL$44=1,0,VDB(1,0,$N334,INT(EL$44-1-1),MIN($N334,INT(EL$44-1-1)+1),$DC334,IF($DD334="No",1,0))/
IF(DS334&gt;=INT($N334),$N334-INT($N334),1)))*
IF(EL$44=1,0,
IF(INT(DT334)=INT(DS334),DT334-DS334,INT(DT334)-DS334))+
IF($N334&lt;=1,
IF($N334&gt;0,1/$N334,0),VDB(1,0,$N334,INT(EL$44-1),MIN($N334,INT(EL$44-1)+1),$DC334,IF($DD334="No",1,0))/
IF(DT334&gt;INT($N334),$N334-INT($N334),1))*
IF(EL$44=1,DT334,
IF(INT(DT334)=INT(DS334),0,DT334-INT(DT334)))))</f>
        <v>0</v>
      </c>
      <c r="EM334" s="836">
        <f>+IF(DU334=DT334,0,
IF(AND(EM$44&gt;1,DU334=$N334),1-SUM($EE334:EL334),
IF($N334&lt;=1,
IF($N334&gt;0,1/$N334,0),
IF(EM$44=1,0,VDB(1,0,$N334,INT(EM$44-1-1),MIN($N334,INT(EM$44-1-1)+1),$DC334,IF($DD334="No",1,0))/
IF(DT334&gt;=INT($N334),$N334-INT($N334),1)))*
IF(EM$44=1,0,
IF(INT(DU334)=INT(DT334),DU334-DT334,INT(DU334)-DT334))+
IF($N334&lt;=1,
IF($N334&gt;0,1/$N334,0),VDB(1,0,$N334,INT(EM$44-1),MIN($N334,INT(EM$44-1)+1),$DC334,IF($DD334="No",1,0))/
IF(DU334&gt;INT($N334),$N334-INT($N334),1))*
IF(EM$44=1,DU334,
IF(INT(DU334)=INT(DT334),0,DU334-INT(DU334)))))</f>
        <v>0</v>
      </c>
      <c r="EN334" s="833"/>
      <c r="EO334" s="834">
        <f>+IF(OR(DW334=DV334,EO$44=1),0,
IF(AND(EO$44&gt;1,DW334=$N334),1-SUM($EN334:EN334),
IF($N334&lt;=1,
IF($N334&gt;0,1/$N334,0),
IF(EO$44=2,0,VDB(1,0,$N334,INT(EO$44-2-1),MIN($N334,INT(EO$44-2-1)+1),$DC334,IF($DD334="No",1,0))/
IF(DV334&gt;=INT($N334),$N334-INT($N334),1)))*
IF(EO$44=2,0,
IF(INT(DW334)=INT(DV334),DW334-DV334,INT(DW334)-DV334))+
IF($N334&lt;=1,
IF($N334&gt;0,1/$N334,0),VDB(1,0,$N334,INT(EO$44-2),MIN($N334,INT(EO$44-2)+1),$DC334,IF($DD334="No",1,0))/
IF(DW334&gt;INT($N334),$N334-INT($N334),1))*
IF(EO$44=2,DW334,
IF(INT(DW334)=INT(DV334),0,DW334-INT(DW334)))))</f>
        <v>0</v>
      </c>
      <c r="EP334" s="835">
        <f>+IF(OR(DX334=DW334,EP$44=1),0,
IF(AND(EP$44&gt;1,DX334=$N334),1-SUM($EN334:EO334),
IF($N334&lt;=1,
IF($N334&gt;0,1/$N334,0),
IF(EP$44=2,0,VDB(1,0,$N334,INT(EP$44-2-1),MIN($N334,INT(EP$44-2-1)+1),$DC334,IF($DD334="No",1,0))/
IF(DW334&gt;=INT($N334),$N334-INT($N334),1)))*
IF(EP$44=2,0,
IF(INT(DX334)=INT(DW334),DX334-DW334,INT(DX334)-DW334))+
IF($N334&lt;=1,
IF($N334&gt;0,1/$N334,0),VDB(1,0,$N334,INT(EP$44-2),MIN($N334,INT(EP$44-2)+1),$DC334,IF($DD334="No",1,0))/
IF(DX334&gt;INT($N334),$N334-INT($N334),1))*
IF(EP$44=2,DX334,
IF(INT(DX334)=INT(DW334),0,DX334-INT(DX334)))))</f>
        <v>0</v>
      </c>
      <c r="EQ334" s="836">
        <f>+IF(OR(DY334=DX334,EQ$44=1),0,
IF(AND(EQ$44&gt;1,DY334=$N334),1-SUM($EN334:EP334),
IF($N334&lt;=1,
IF($N334&gt;0,1/$N334,0),
IF(EQ$44=2,0,VDB(1,0,$N334,INT(EQ$44-2-1),MIN($N334,INT(EQ$44-2-1)+1),$DC334,IF($DD334="No",1,0))/
IF(DX334&gt;=INT($N334),$N334-INT($N334),1)))*
IF(EQ$44=2,0,
IF(INT(DY334)=INT(DX334),DY334-DX334,INT(DY334)-DX334))+
IF($N334&lt;=1,
IF($N334&gt;0,1/$N334,0),VDB(1,0,$N334,INT(EQ$44-2),MIN($N334,INT(EQ$44-2)+1),$DC334,IF($DD334="No",1,0))/
IF(DY334&gt;INT($N334),$N334-INT($N334),1))*
IF(EQ$44=2,DY334,
IF(INT(DY334)=INT(DX334),0,DY334-INT(DY334)))))</f>
        <v>0</v>
      </c>
      <c r="ER334" s="834">
        <f>+IF(OR(DZ334=DY334,ER$44=1),0,
IF(AND(ER$44&gt;1,DZ334=$N334),1-SUM($EN334:EQ334),
IF($N334&lt;=1,
IF($N334&gt;0,1/$N334,0),
IF(ER$44=2,0,VDB(1,0,$N334,INT(ER$44-2-1),MIN($N334,INT(ER$44-2-1)+1),$DC334,IF($DD334="No",1,0))/
IF(DY334&gt;=INT($N334),$N334-INT($N334),1)))*
IF(ER$44=2,0,
IF(INT(DZ334)=INT(DY334),DZ334-DY334,INT(DZ334)-DY334))+
IF($N334&lt;=1,
IF($N334&gt;0,1/$N334,0),VDB(1,0,$N334,INT(ER$44-2),MIN($N334,INT(ER$44-2)+1),$DC334,IF($DD334="No",1,0))/
IF(DZ334&gt;INT($N334),$N334-INT($N334),1))*
IF(ER$44=2,DZ334,
IF(INT(DZ334)=INT(DY334),0,DZ334-INT(DZ334)))))</f>
        <v>0</v>
      </c>
      <c r="ES334" s="835">
        <f>+IF(OR(EA334=DZ334,ES$44=1),0,
IF(AND(ES$44&gt;1,EA334=$N334),1-SUM($EN334:ER334),
IF($N334&lt;=1,
IF($N334&gt;0,1/$N334,0),
IF(ES$44=2,0,VDB(1,0,$N334,INT(ES$44-2-1),MIN($N334,INT(ES$44-2-1)+1),$DC334,IF($DD334="No",1,0))/
IF(DZ334&gt;=INT($N334),$N334-INT($N334),1)))*
IF(ES$44=2,0,
IF(INT(EA334)=INT(DZ334),EA334-DZ334,INT(EA334)-DZ334))+
IF($N334&lt;=1,
IF($N334&gt;0,1/$N334,0),VDB(1,0,$N334,INT(ES$44-2),MIN($N334,INT(ES$44-2)+1),$DC334,IF($DD334="No",1,0))/
IF(EA334&gt;INT($N334),$N334-INT($N334),1))*
IF(ES$44=2,EA334,
IF(INT(EA334)=INT(DZ334),0,EA334-INT(EA334)))))</f>
        <v>0</v>
      </c>
      <c r="ET334" s="835">
        <f>+IF(OR(EB334=EA334,ET$44=1),0,
IF(AND(ET$44&gt;1,EB334=$N334),1-SUM($EN334:ES334),
IF($N334&lt;=1,
IF($N334&gt;0,1/$N334,0),
IF(ET$44=2,0,VDB(1,0,$N334,INT(ET$44-2-1),MIN($N334,INT(ET$44-2-1)+1),$DC334,IF($DD334="No",1,0))/
IF(EA334&gt;=INT($N334),$N334-INT($N334),1)))*
IF(ET$44=2,0,
IF(INT(EB334)=INT(EA334),EB334-EA334,INT(EB334)-EA334))+
IF($N334&lt;=1,
IF($N334&gt;0,1/$N334,0),VDB(1,0,$N334,INT(ET$44-2),MIN($N334,INT(ET$44-2)+1),$DC334,IF($DD334="No",1,0))/
IF(EB334&gt;INT($N334),$N334-INT($N334),1))*
IF(ET$44=2,EB334,
IF(INT(EB334)=INT(EA334),0,EB334-INT(EB334)))))</f>
        <v>0</v>
      </c>
      <c r="EU334" s="835">
        <f>+IF(OR(EC334=EB334,EU$44=1),0,
IF(AND(EU$44&gt;1,EC334=$N334),1-SUM($EN334:ET334),
IF($N334&lt;=1,
IF($N334&gt;0,1/$N334,0),
IF(EU$44=2,0,VDB(1,0,$N334,INT(EU$44-2-1),MIN($N334,INT(EU$44-2-1)+1),$DC334,IF($DD334="No",1,0))/
IF(EB334&gt;=INT($N334),$N334-INT($N334),1)))*
IF(EU$44=2,0,
IF(INT(EC334)=INT(EB334),EC334-EB334,INT(EC334)-EB334))+
IF($N334&lt;=1,
IF($N334&gt;0,1/$N334,0),VDB(1,0,$N334,INT(EU$44-2),MIN($N334,INT(EU$44-2)+1),$DC334,IF($DD334="No",1,0))/
IF(EC334&gt;INT($N334),$N334-INT($N334),1))*
IF(EU$44=2,EC334,
IF(INT(EC334)=INT(EB334),0,EC334-INT(EC334)))))</f>
        <v>0</v>
      </c>
      <c r="EV334" s="836">
        <f>+IF(OR(ED334=EC334,EV$44=1),0,
IF(AND(EV$44&gt;1,ED334=$N334),1-SUM($EN334:EU334),
IF($N334&lt;=1,
IF($N334&gt;0,1/$N334,0),
IF(EV$44=2,0,VDB(1,0,$N334,INT(EV$44-2-1),MIN($N334,INT(EV$44-2-1)+1),$DC334,IF($DD334="No",1,0))/
IF(EC334&gt;=INT($N334),$N334-INT($N334),1)))*
IF(EV$44=2,0,
IF(INT(ED334)=INT(EC334),ED334-EC334,INT(ED334)-EC334))+
IF($N334&lt;=1,
IF($N334&gt;0,1/$N334,0),VDB(1,0,$N334,INT(EV$44-2),MIN($N334,INT(EV$44-2)+1),$DC334,IF($DD334="No",1,0))/
IF(ED334&gt;INT($N334),$N334-INT($N334),1))*
IF(EV$44=2,ED334,
IF(INT(ED334)=INT(EC334),0,ED334-INT(ED334)))))</f>
        <v>0</v>
      </c>
      <c r="EW334" s="833"/>
      <c r="EX334" s="834">
        <f t="shared" ca="1" si="570"/>
        <v>0</v>
      </c>
      <c r="EY334" s="835">
        <f t="shared" ca="1" si="570"/>
        <v>0</v>
      </c>
      <c r="EZ334" s="836">
        <f t="shared" ca="1" si="570"/>
        <v>0</v>
      </c>
      <c r="FA334" s="834">
        <f t="shared" ca="1" si="570"/>
        <v>0</v>
      </c>
      <c r="FB334" s="835">
        <f t="shared" ca="1" si="570"/>
        <v>0</v>
      </c>
      <c r="FC334" s="835">
        <f t="shared" ca="1" si="570"/>
        <v>0</v>
      </c>
      <c r="FD334" s="835">
        <f t="shared" ca="1" si="570"/>
        <v>0</v>
      </c>
      <c r="FE334" s="836">
        <f t="shared" ca="1" si="570"/>
        <v>0</v>
      </c>
      <c r="FG334" s="386">
        <f t="shared" ca="1" si="521"/>
        <v>0</v>
      </c>
      <c r="FH334" s="387">
        <f t="shared" ca="1" si="522"/>
        <v>0</v>
      </c>
      <c r="FI334" s="388">
        <f t="shared" ca="1" si="523"/>
        <v>0</v>
      </c>
      <c r="FJ334" s="386">
        <f t="shared" ca="1" si="524"/>
        <v>0</v>
      </c>
      <c r="FK334" s="387">
        <f t="shared" ca="1" si="525"/>
        <v>0</v>
      </c>
      <c r="FL334" s="387">
        <f t="shared" ca="1" si="526"/>
        <v>0</v>
      </c>
      <c r="FM334" s="387">
        <f t="shared" ca="1" si="527"/>
        <v>0</v>
      </c>
      <c r="FN334" s="388">
        <f t="shared" ca="1" si="528"/>
        <v>0</v>
      </c>
      <c r="FR334" s="116"/>
    </row>
    <row r="335" spans="2:174">
      <c r="B335" s="1410">
        <f t="shared" si="556"/>
        <v>289</v>
      </c>
      <c r="C335" s="400"/>
      <c r="D335" s="410"/>
      <c r="E335" s="402"/>
      <c r="F335" s="402"/>
      <c r="G335" s="400"/>
      <c r="H335" s="2088"/>
      <c r="I335" s="2089"/>
      <c r="J335" s="411"/>
      <c r="K335" s="403"/>
      <c r="L335" s="403"/>
      <c r="M335" s="403"/>
      <c r="N335" s="403"/>
      <c r="O335" s="347"/>
      <c r="P335" s="347"/>
      <c r="Q335" s="1021"/>
      <c r="R335" s="1022"/>
      <c r="S335" s="1022"/>
      <c r="T335" s="1022"/>
      <c r="U335" s="1023"/>
      <c r="V335" s="1021"/>
      <c r="W335" s="1022"/>
      <c r="X335" s="1022"/>
      <c r="Y335" s="1022"/>
      <c r="Z335" s="1023"/>
      <c r="AA335" s="1024"/>
      <c r="AB335" s="1021"/>
      <c r="AC335" s="1022"/>
      <c r="AD335" s="1022"/>
      <c r="AE335" s="1022"/>
      <c r="AF335" s="1023"/>
      <c r="AG335" s="1021"/>
      <c r="AH335" s="1022"/>
      <c r="AI335" s="1022"/>
      <c r="AJ335" s="1022"/>
      <c r="AK335" s="1023"/>
      <c r="AL335" s="1024"/>
      <c r="AM335" s="1021"/>
      <c r="AN335" s="1022"/>
      <c r="AO335" s="1022"/>
      <c r="AP335" s="1022"/>
      <c r="AQ335" s="1023"/>
      <c r="AR335" s="1021"/>
      <c r="AS335" s="1022"/>
      <c r="AT335" s="1022"/>
      <c r="AU335" s="1022"/>
      <c r="AV335" s="1023"/>
      <c r="AW335" s="1025"/>
      <c r="AX335" s="1282">
        <f t="shared" si="532"/>
        <v>0</v>
      </c>
      <c r="AY335" s="387">
        <f t="shared" si="533"/>
        <v>0</v>
      </c>
      <c r="AZ335" s="387">
        <f t="shared" si="534"/>
        <v>0</v>
      </c>
      <c r="BA335" s="387">
        <f t="shared" si="535"/>
        <v>0</v>
      </c>
      <c r="BB335" s="1283">
        <f t="shared" si="536"/>
        <v>0</v>
      </c>
      <c r="BC335" s="386">
        <f t="shared" si="537"/>
        <v>0</v>
      </c>
      <c r="BD335" s="387">
        <f t="shared" si="538"/>
        <v>0</v>
      </c>
      <c r="BE335" s="1277">
        <f t="shared" si="560"/>
        <v>0</v>
      </c>
      <c r="BF335" s="1277">
        <f t="shared" si="561"/>
        <v>0</v>
      </c>
      <c r="BG335" s="388">
        <f t="shared" si="562"/>
        <v>0</v>
      </c>
      <c r="BH335" s="1025"/>
      <c r="BI335" s="1282">
        <f t="shared" ca="1" si="540"/>
        <v>0</v>
      </c>
      <c r="BJ335" s="387">
        <f t="shared" ca="1" si="541"/>
        <v>0</v>
      </c>
      <c r="BK335" s="387">
        <f t="shared" ca="1" si="542"/>
        <v>0</v>
      </c>
      <c r="BL335" s="387">
        <f t="shared" ca="1" si="543"/>
        <v>0</v>
      </c>
      <c r="BM335" s="1283">
        <f t="shared" ca="1" si="544"/>
        <v>0</v>
      </c>
      <c r="BN335" s="386">
        <f t="shared" ca="1" si="563"/>
        <v>0</v>
      </c>
      <c r="BO335" s="387">
        <f t="shared" ca="1" si="564"/>
        <v>0</v>
      </c>
      <c r="BP335" s="1277">
        <f t="shared" ca="1" si="565"/>
        <v>0</v>
      </c>
      <c r="BQ335" s="1277">
        <f t="shared" ca="1" si="566"/>
        <v>0</v>
      </c>
      <c r="BR335" s="388">
        <f t="shared" ca="1" si="567"/>
        <v>0</v>
      </c>
      <c r="BS335" s="1025"/>
      <c r="BT335" s="1282">
        <f>+IF($K335="Ongoing",AX335,IF(RIGHT($K335,2)=RIGHT(BT$43,2),SUM($AX335:AX335),0)+IF(RIGHT(BT$43,2)&gt;RIGHT($K335,2),AX335,0))</f>
        <v>0</v>
      </c>
      <c r="BU335" s="387">
        <f>+IF($K335="Ongoing",AY335,IF(RIGHT($K335,2)=RIGHT(BU$43,2),SUM($AX335:AY335),0)+IF(RIGHT(BU$43,2)&gt;RIGHT($K335,2),AY335,0))</f>
        <v>0</v>
      </c>
      <c r="BV335" s="387">
        <f>+IF($K335="Ongoing",AZ335,IF(RIGHT($K335,2)=RIGHT(BV$43,2),SUM($AX335:AZ335),0)+IF(RIGHT(BV$43,2)&gt;RIGHT($K335,2),AZ335,0))</f>
        <v>0</v>
      </c>
      <c r="BW335" s="387">
        <f>+IF($K335="Ongoing",BA335,IF(RIGHT($K335,2)=RIGHT(BW$43,2),SUM($AX335:BA335),0)+IF(RIGHT(BW$43,2)&gt;RIGHT($K335,2),BA335,0))</f>
        <v>0</v>
      </c>
      <c r="BX335" s="1283">
        <f>+IF($K335="Ongoing",BB335,IF(RIGHT($K335,2)=RIGHT(BX$43,2),SUM($AX335:BB335),0)+IF(RIGHT(BX$43,2)&gt;RIGHT($K335,2),BB335,0))</f>
        <v>0</v>
      </c>
      <c r="BY335" s="386">
        <f>+IF($K335="Ongoing",BC335,IF(RIGHT($K335,2)=RIGHT(BY$43,2),SUM($AX335:BC335),0)+IF(RIGHT(BY$43,2)&gt;RIGHT($K335,2),BC335,0))</f>
        <v>0</v>
      </c>
      <c r="BZ335" s="387">
        <f>+IF($K335="Ongoing",BD335,IF(RIGHT($K335,2)=RIGHT(BZ$43,2),SUM($AX335:BD335),0)+IF(RIGHT(BZ$43,2)&gt;RIGHT($K335,2),BD335,0))</f>
        <v>0</v>
      </c>
      <c r="CA335" s="1277">
        <f>+IF($K335="Ongoing",BE335,IF(RIGHT($K335,2)=RIGHT(CA$43,2),SUM($AX335:BE335),0)+IF(RIGHT(CA$43,2)&gt;RIGHT($K335,2),BE335,0))</f>
        <v>0</v>
      </c>
      <c r="CB335" s="1277">
        <f>+IF($K335="Ongoing",BF335,IF(RIGHT($K335,2)=RIGHT(CB$43,2),SUM($AX335:BF335),0)+IF(RIGHT(CB$43,2)&gt;RIGHT($K335,2),BF335,0))</f>
        <v>0</v>
      </c>
      <c r="CC335" s="388">
        <f>+IF($K335="Ongoing",BG335,IF(RIGHT($K335,2)=RIGHT(CC$43,2),SUM($AX335:BG335),0)+IF(RIGHT(CC$43,2)&gt;RIGHT($K335,2),BG335,0))</f>
        <v>0</v>
      </c>
      <c r="CD335" s="1025"/>
      <c r="CE335" s="1282">
        <f>+Q335*KeyAssumptionsPriceControl_FO!AF$15</f>
        <v>0</v>
      </c>
      <c r="CF335" s="387">
        <f>+R335*KeyAssumptionsPriceControl_FO!AG$15</f>
        <v>0</v>
      </c>
      <c r="CG335" s="387">
        <f>+S335*KeyAssumptionsPriceControl_FO!AH$15</f>
        <v>0</v>
      </c>
      <c r="CH335" s="387">
        <f>+T335*KeyAssumptionsPriceControl_FO!AI$15</f>
        <v>0</v>
      </c>
      <c r="CI335" s="1283">
        <f>+U335*KeyAssumptionsPriceControl_FO!AJ$15</f>
        <v>0</v>
      </c>
      <c r="CJ335" s="386">
        <f>+V335*KeyAssumptionsPriceControl_FO!AK$15</f>
        <v>0</v>
      </c>
      <c r="CK335" s="387">
        <f>+W335*KeyAssumptionsPriceControl_FO!AL$15</f>
        <v>0</v>
      </c>
      <c r="CL335" s="1277">
        <f>+X335*KeyAssumptionsPriceControl_FO!AM$15</f>
        <v>0</v>
      </c>
      <c r="CM335" s="1277">
        <f>+Y335*KeyAssumptionsPriceControl_FO!AN$15</f>
        <v>0</v>
      </c>
      <c r="CN335" s="388">
        <f>+Z335*KeyAssumptionsPriceControl_FO!AO$15</f>
        <v>0</v>
      </c>
      <c r="CO335" s="1025"/>
      <c r="CP335" s="1282">
        <f t="shared" ca="1" si="546"/>
        <v>0</v>
      </c>
      <c r="CQ335" s="387">
        <f t="shared" ca="1" si="547"/>
        <v>0</v>
      </c>
      <c r="CR335" s="387">
        <f t="shared" ca="1" si="548"/>
        <v>0</v>
      </c>
      <c r="CS335" s="387">
        <f t="shared" ca="1" si="549"/>
        <v>0</v>
      </c>
      <c r="CT335" s="1283">
        <f t="shared" ca="1" si="550"/>
        <v>0</v>
      </c>
      <c r="CU335" s="386">
        <f t="shared" ca="1" si="551"/>
        <v>0</v>
      </c>
      <c r="CV335" s="387">
        <f t="shared" ca="1" si="552"/>
        <v>0</v>
      </c>
      <c r="CW335" s="1277">
        <f t="shared" ca="1" si="553"/>
        <v>0</v>
      </c>
      <c r="CX335" s="1277">
        <f t="shared" ca="1" si="554"/>
        <v>0</v>
      </c>
      <c r="CY335" s="388">
        <f t="shared" ca="1" si="555"/>
        <v>0</v>
      </c>
      <c r="CZ335" s="347"/>
      <c r="DA335" s="852"/>
      <c r="DB335" s="347"/>
      <c r="DC335" s="1012" t="s">
        <v>517</v>
      </c>
      <c r="DD335" s="841" t="s">
        <v>518</v>
      </c>
      <c r="DE335" s="386">
        <f>+IF($K335="ongoing",CE335,IF(RIGHT($K335,2)=RIGHT(DE$43,2),SUM($CD335:CE335),0)+IF(RIGHT(DE$43,2)&gt;RIGHT($K335,2),CE335,0))</f>
        <v>0</v>
      </c>
      <c r="DF335" s="387">
        <f>+IF($K335="ongoing",CF335,IF(RIGHT($K335,2)=RIGHT(DF$43,2),SUM($CD335:CF335),0)+IF(RIGHT(DF$43,2)&gt;RIGHT($K335,2),CF335,0))</f>
        <v>0</v>
      </c>
      <c r="DG335" s="388">
        <f>+IF($K335="ongoing",CG335,IF(RIGHT($K335,2)=RIGHT(DG$43,2),SUM($CD335:CG335),0)+IF(RIGHT(DG$43,2)&gt;RIGHT($K335,2),CG335,0))</f>
        <v>0</v>
      </c>
      <c r="DH335" s="386">
        <f>+IF($K335="ongoing",CH335,IF(RIGHT($K335,2)=RIGHT(DH$43,2),SUM($CD335:CH335),0)+IF(RIGHT(DH$43,2)&gt;RIGHT($K335,2),CH335,0))</f>
        <v>0</v>
      </c>
      <c r="DI335" s="387">
        <f>+IF($K335="ongoing",CI335,IF(RIGHT($K335,2)=RIGHT(DI$43,2),SUM($CD335:CI335),0)+IF(RIGHT(DI$43,2)&gt;RIGHT($K335,2),CI335,0))</f>
        <v>0</v>
      </c>
      <c r="DJ335" s="387">
        <f>+IF($K335="ongoing",CJ335,IF(RIGHT($K335,2)=RIGHT(DJ$43,2),SUM($CD335:CJ335),0)+IF(RIGHT(DJ$43,2)&gt;RIGHT($K335,2),CJ335,0))</f>
        <v>0</v>
      </c>
      <c r="DK335" s="387">
        <f>+IF($K335="ongoing",CK335,IF(RIGHT($K335,2)=RIGHT(DK$43,2),SUM($CD335:CK335),0)+IF(RIGHT(DK$43,2)&gt;RIGHT($K335,2),CK335,0))</f>
        <v>0</v>
      </c>
      <c r="DL335" s="388">
        <f>+IF($K335="ongoing",CN335,IF(RIGHT($K335,2)=RIGHT(DL$43,2),SUM($CD335:CN335),0)+IF(RIGHT(DL$43,2)&gt;RIGHT($K335,2),CN335,0))</f>
        <v>0</v>
      </c>
      <c r="DM335" s="841"/>
      <c r="DN335" s="386">
        <f t="shared" si="568"/>
        <v>0.5</v>
      </c>
      <c r="DO335" s="387">
        <f t="shared" si="568"/>
        <v>1</v>
      </c>
      <c r="DP335" s="388">
        <f t="shared" si="568"/>
        <v>1</v>
      </c>
      <c r="DQ335" s="386">
        <f t="shared" si="568"/>
        <v>1</v>
      </c>
      <c r="DR335" s="387">
        <f t="shared" si="568"/>
        <v>1</v>
      </c>
      <c r="DS335" s="387">
        <f t="shared" si="568"/>
        <v>1</v>
      </c>
      <c r="DT335" s="387">
        <f t="shared" si="568"/>
        <v>1</v>
      </c>
      <c r="DU335" s="388">
        <f t="shared" si="568"/>
        <v>1</v>
      </c>
      <c r="DW335" s="386">
        <f t="shared" si="569"/>
        <v>0</v>
      </c>
      <c r="DX335" s="387">
        <f t="shared" si="569"/>
        <v>0.5</v>
      </c>
      <c r="DY335" s="388">
        <f t="shared" si="569"/>
        <v>1</v>
      </c>
      <c r="DZ335" s="386">
        <f t="shared" si="569"/>
        <v>1</v>
      </c>
      <c r="EA335" s="387">
        <f t="shared" si="569"/>
        <v>1</v>
      </c>
      <c r="EB335" s="387">
        <f t="shared" si="569"/>
        <v>1</v>
      </c>
      <c r="EC335" s="387">
        <f t="shared" si="569"/>
        <v>1</v>
      </c>
      <c r="ED335" s="388">
        <f t="shared" si="569"/>
        <v>1</v>
      </c>
      <c r="EF335" s="834">
        <f>+IF(DN335=DM335,0,
IF(AND(EF$44&gt;1,DN335=$N335),1-SUM($EE335:EE335),
IF($N335&lt;=1,
IF($N335&gt;0,1/$N335,0),
IF(EF$44=1,0,VDB(1,0,$N335,INT(EF$44-1-1),MIN($N335,INT(EF$44-1-1)+1),$DC335,IF($DD335="No",1,0))/
IF(DM335&gt;=INT($N335),$N335-INT($N335),1)))*
IF(EF$44=1,0,
IF(INT(DN335)=INT(DM335),DN335-DM335,INT(DN335)-DM335))+
IF($N335&lt;=1,
IF($N335&gt;0,1/$N335,0),VDB(1,0,$N335,INT(EF$44-1),MIN($N335,INT(EF$44-1)+1),$DC335,IF($DD335="No",1,0))/
IF(DN335&gt;INT($N335),$N335-INT($N335),1))*
IF(EF$44=1,DN335,
IF(INT(DN335)=INT(DM335),0,DN335-INT(DN335)))))</f>
        <v>0</v>
      </c>
      <c r="EG335" s="835">
        <f>+IF(DO335=DN335,0,
IF(AND(EG$44&gt;1,DO335=$N335),1-SUM($EE335:EF335),
IF($N335&lt;=1,
IF($N335&gt;0,1/$N335,0),
IF(EG$44=1,0,VDB(1,0,$N335,INT(EG$44-1-1),MIN($N335,INT(EG$44-1-1)+1),$DC335,IF($DD335="No",1,0))/
IF(DN335&gt;=INT($N335),$N335-INT($N335),1)))*
IF(EG$44=1,0,
IF(INT(DO335)=INT(DN335),DO335-DN335,INT(DO335)-DN335))+
IF($N335&lt;=1,
IF($N335&gt;0,1/$N335,0),VDB(1,0,$N335,INT(EG$44-1),MIN($N335,INT(EG$44-1)+1),$DC335,IF($DD335="No",1,0))/
IF(DO335&gt;INT($N335),$N335-INT($N335),1))*
IF(EG$44=1,DO335,
IF(INT(DO335)=INT(DN335),0,DO335-INT(DO335)))))</f>
        <v>0</v>
      </c>
      <c r="EH335" s="836">
        <f>+IF(DP335=DO335,0,
IF(AND(EH$44&gt;1,DP335=$N335),1-SUM($EE335:EG335),
IF($N335&lt;=1,
IF($N335&gt;0,1/$N335,0),
IF(EH$44=1,0,VDB(1,0,$N335,INT(EH$44-1-1),MIN($N335,INT(EH$44-1-1)+1),$DC335,IF($DD335="No",1,0))/
IF(DO335&gt;=INT($N335),$N335-INT($N335),1)))*
IF(EH$44=1,0,
IF(INT(DP335)=INT(DO335),DP335-DO335,INT(DP335)-DO335))+
IF($N335&lt;=1,
IF($N335&gt;0,1/$N335,0),VDB(1,0,$N335,INT(EH$44-1),MIN($N335,INT(EH$44-1)+1),$DC335,IF($DD335="No",1,0))/
IF(DP335&gt;INT($N335),$N335-INT($N335),1))*
IF(EH$44=1,DP335,
IF(INT(DP335)=INT(DO335),0,DP335-INT(DP335)))))</f>
        <v>0</v>
      </c>
      <c r="EI335" s="834">
        <f>+IF(DQ335=DP335,0,
IF(AND(EI$44&gt;1,DQ335=$N335),1-SUM($EE335:EH335),
IF($N335&lt;=1,
IF($N335&gt;0,1/$N335,0),
IF(EI$44=1,0,VDB(1,0,$N335,INT(EI$44-1-1),MIN($N335,INT(EI$44-1-1)+1),$DC335,IF($DD335="No",1,0))/
IF(DP335&gt;=INT($N335),$N335-INT($N335),1)))*
IF(EI$44=1,0,
IF(INT(DQ335)=INT(DP335),DQ335-DP335,INT(DQ335)-DP335))+
IF($N335&lt;=1,
IF($N335&gt;0,1/$N335,0),VDB(1,0,$N335,INT(EI$44-1),MIN($N335,INT(EI$44-1)+1),$DC335,IF($DD335="No",1,0))/
IF(DQ335&gt;INT($N335),$N335-INT($N335),1))*
IF(EI$44=1,DQ335,
IF(INT(DQ335)=INT(DP335),0,DQ335-INT(DQ335)))))</f>
        <v>0</v>
      </c>
      <c r="EJ335" s="835">
        <f>+IF(DR335=DQ335,0,
IF(AND(EJ$44&gt;1,DR335=$N335),1-SUM($EE335:EI335),
IF($N335&lt;=1,
IF($N335&gt;0,1/$N335,0),
IF(EJ$44=1,0,VDB(1,0,$N335,INT(EJ$44-1-1),MIN($N335,INT(EJ$44-1-1)+1),$DC335,IF($DD335="No",1,0))/
IF(DQ335&gt;=INT($N335),$N335-INT($N335),1)))*
IF(EJ$44=1,0,
IF(INT(DR335)=INT(DQ335),DR335-DQ335,INT(DR335)-DQ335))+
IF($N335&lt;=1,
IF($N335&gt;0,1/$N335,0),VDB(1,0,$N335,INT(EJ$44-1),MIN($N335,INT(EJ$44-1)+1),$DC335,IF($DD335="No",1,0))/
IF(DR335&gt;INT($N335),$N335-INT($N335),1))*
IF(EJ$44=1,DR335,
IF(INT(DR335)=INT(DQ335),0,DR335-INT(DR335)))))</f>
        <v>0</v>
      </c>
      <c r="EK335" s="835">
        <f>+IF(DS335=DR335,0,
IF(AND(EK$44&gt;1,DS335=$N335),1-SUM($EE335:EJ335),
IF($N335&lt;=1,
IF($N335&gt;0,1/$N335,0),
IF(EK$44=1,0,VDB(1,0,$N335,INT(EK$44-1-1),MIN($N335,INT(EK$44-1-1)+1),$DC335,IF($DD335="No",1,0))/
IF(DR335&gt;=INT($N335),$N335-INT($N335),1)))*
IF(EK$44=1,0,
IF(INT(DS335)=INT(DR335),DS335-DR335,INT(DS335)-DR335))+
IF($N335&lt;=1,
IF($N335&gt;0,1/$N335,0),VDB(1,0,$N335,INT(EK$44-1),MIN($N335,INT(EK$44-1)+1),$DC335,IF($DD335="No",1,0))/
IF(DS335&gt;INT($N335),$N335-INT($N335),1))*
IF(EK$44=1,DS335,
IF(INT(DS335)=INT(DR335),0,DS335-INT(DS335)))))</f>
        <v>0</v>
      </c>
      <c r="EL335" s="835">
        <f>+IF(DT335=DS335,0,
IF(AND(EL$44&gt;1,DT335=$N335),1-SUM($EE335:EK335),
IF($N335&lt;=1,
IF($N335&gt;0,1/$N335,0),
IF(EL$44=1,0,VDB(1,0,$N335,INT(EL$44-1-1),MIN($N335,INT(EL$44-1-1)+1),$DC335,IF($DD335="No",1,0))/
IF(DS335&gt;=INT($N335),$N335-INT($N335),1)))*
IF(EL$44=1,0,
IF(INT(DT335)=INT(DS335),DT335-DS335,INT(DT335)-DS335))+
IF($N335&lt;=1,
IF($N335&gt;0,1/$N335,0),VDB(1,0,$N335,INT(EL$44-1),MIN($N335,INT(EL$44-1)+1),$DC335,IF($DD335="No",1,0))/
IF(DT335&gt;INT($N335),$N335-INT($N335),1))*
IF(EL$44=1,DT335,
IF(INT(DT335)=INT(DS335),0,DT335-INT(DT335)))))</f>
        <v>0</v>
      </c>
      <c r="EM335" s="836">
        <f>+IF(DU335=DT335,0,
IF(AND(EM$44&gt;1,DU335=$N335),1-SUM($EE335:EL335),
IF($N335&lt;=1,
IF($N335&gt;0,1/$N335,0),
IF(EM$44=1,0,VDB(1,0,$N335,INT(EM$44-1-1),MIN($N335,INT(EM$44-1-1)+1),$DC335,IF($DD335="No",1,0))/
IF(DT335&gt;=INT($N335),$N335-INT($N335),1)))*
IF(EM$44=1,0,
IF(INT(DU335)=INT(DT335),DU335-DT335,INT(DU335)-DT335))+
IF($N335&lt;=1,
IF($N335&gt;0,1/$N335,0),VDB(1,0,$N335,INT(EM$44-1),MIN($N335,INT(EM$44-1)+1),$DC335,IF($DD335="No",1,0))/
IF(DU335&gt;INT($N335),$N335-INT($N335),1))*
IF(EM$44=1,DU335,
IF(INT(DU335)=INT(DT335),0,DU335-INT(DU335)))))</f>
        <v>0</v>
      </c>
      <c r="EN335" s="833"/>
      <c r="EO335" s="834">
        <f>+IF(OR(DW335=DV335,EO$44=1),0,
IF(AND(EO$44&gt;1,DW335=$N335),1-SUM($EN335:EN335),
IF($N335&lt;=1,
IF($N335&gt;0,1/$N335,0),
IF(EO$44=2,0,VDB(1,0,$N335,INT(EO$44-2-1),MIN($N335,INT(EO$44-2-1)+1),$DC335,IF($DD335="No",1,0))/
IF(DV335&gt;=INT($N335),$N335-INT($N335),1)))*
IF(EO$44=2,0,
IF(INT(DW335)=INT(DV335),DW335-DV335,INT(DW335)-DV335))+
IF($N335&lt;=1,
IF($N335&gt;0,1/$N335,0),VDB(1,0,$N335,INT(EO$44-2),MIN($N335,INT(EO$44-2)+1),$DC335,IF($DD335="No",1,0))/
IF(DW335&gt;INT($N335),$N335-INT($N335),1))*
IF(EO$44=2,DW335,
IF(INT(DW335)=INT(DV335),0,DW335-INT(DW335)))))</f>
        <v>0</v>
      </c>
      <c r="EP335" s="835">
        <f>+IF(OR(DX335=DW335,EP$44=1),0,
IF(AND(EP$44&gt;1,DX335=$N335),1-SUM($EN335:EO335),
IF($N335&lt;=1,
IF($N335&gt;0,1/$N335,0),
IF(EP$44=2,0,VDB(1,0,$N335,INT(EP$44-2-1),MIN($N335,INT(EP$44-2-1)+1),$DC335,IF($DD335="No",1,0))/
IF(DW335&gt;=INT($N335),$N335-INT($N335),1)))*
IF(EP$44=2,0,
IF(INT(DX335)=INT(DW335),DX335-DW335,INT(DX335)-DW335))+
IF($N335&lt;=1,
IF($N335&gt;0,1/$N335,0),VDB(1,0,$N335,INT(EP$44-2),MIN($N335,INT(EP$44-2)+1),$DC335,IF($DD335="No",1,0))/
IF(DX335&gt;INT($N335),$N335-INT($N335),1))*
IF(EP$44=2,DX335,
IF(INT(DX335)=INT(DW335),0,DX335-INT(DX335)))))</f>
        <v>0</v>
      </c>
      <c r="EQ335" s="836">
        <f>+IF(OR(DY335=DX335,EQ$44=1),0,
IF(AND(EQ$44&gt;1,DY335=$N335),1-SUM($EN335:EP335),
IF($N335&lt;=1,
IF($N335&gt;0,1/$N335,0),
IF(EQ$44=2,0,VDB(1,0,$N335,INT(EQ$44-2-1),MIN($N335,INT(EQ$44-2-1)+1),$DC335,IF($DD335="No",1,0))/
IF(DX335&gt;=INT($N335),$N335-INT($N335),1)))*
IF(EQ$44=2,0,
IF(INT(DY335)=INT(DX335),DY335-DX335,INT(DY335)-DX335))+
IF($N335&lt;=1,
IF($N335&gt;0,1/$N335,0),VDB(1,0,$N335,INT(EQ$44-2),MIN($N335,INT(EQ$44-2)+1),$DC335,IF($DD335="No",1,0))/
IF(DY335&gt;INT($N335),$N335-INT($N335),1))*
IF(EQ$44=2,DY335,
IF(INT(DY335)=INT(DX335),0,DY335-INT(DY335)))))</f>
        <v>0</v>
      </c>
      <c r="ER335" s="834">
        <f>+IF(OR(DZ335=DY335,ER$44=1),0,
IF(AND(ER$44&gt;1,DZ335=$N335),1-SUM($EN335:EQ335),
IF($N335&lt;=1,
IF($N335&gt;0,1/$N335,0),
IF(ER$44=2,0,VDB(1,0,$N335,INT(ER$44-2-1),MIN($N335,INT(ER$44-2-1)+1),$DC335,IF($DD335="No",1,0))/
IF(DY335&gt;=INT($N335),$N335-INT($N335),1)))*
IF(ER$44=2,0,
IF(INT(DZ335)=INT(DY335),DZ335-DY335,INT(DZ335)-DY335))+
IF($N335&lt;=1,
IF($N335&gt;0,1/$N335,0),VDB(1,0,$N335,INT(ER$44-2),MIN($N335,INT(ER$44-2)+1),$DC335,IF($DD335="No",1,0))/
IF(DZ335&gt;INT($N335),$N335-INT($N335),1))*
IF(ER$44=2,DZ335,
IF(INT(DZ335)=INT(DY335),0,DZ335-INT(DZ335)))))</f>
        <v>0</v>
      </c>
      <c r="ES335" s="835">
        <f>+IF(OR(EA335=DZ335,ES$44=1),0,
IF(AND(ES$44&gt;1,EA335=$N335),1-SUM($EN335:ER335),
IF($N335&lt;=1,
IF($N335&gt;0,1/$N335,0),
IF(ES$44=2,0,VDB(1,0,$N335,INT(ES$44-2-1),MIN($N335,INT(ES$44-2-1)+1),$DC335,IF($DD335="No",1,0))/
IF(DZ335&gt;=INT($N335),$N335-INT($N335),1)))*
IF(ES$44=2,0,
IF(INT(EA335)=INT(DZ335),EA335-DZ335,INT(EA335)-DZ335))+
IF($N335&lt;=1,
IF($N335&gt;0,1/$N335,0),VDB(1,0,$N335,INT(ES$44-2),MIN($N335,INT(ES$44-2)+1),$DC335,IF($DD335="No",1,0))/
IF(EA335&gt;INT($N335),$N335-INT($N335),1))*
IF(ES$44=2,EA335,
IF(INT(EA335)=INT(DZ335),0,EA335-INT(EA335)))))</f>
        <v>0</v>
      </c>
      <c r="ET335" s="835">
        <f>+IF(OR(EB335=EA335,ET$44=1),0,
IF(AND(ET$44&gt;1,EB335=$N335),1-SUM($EN335:ES335),
IF($N335&lt;=1,
IF($N335&gt;0,1/$N335,0),
IF(ET$44=2,0,VDB(1,0,$N335,INT(ET$44-2-1),MIN($N335,INT(ET$44-2-1)+1),$DC335,IF($DD335="No",1,0))/
IF(EA335&gt;=INT($N335),$N335-INT($N335),1)))*
IF(ET$44=2,0,
IF(INT(EB335)=INT(EA335),EB335-EA335,INT(EB335)-EA335))+
IF($N335&lt;=1,
IF($N335&gt;0,1/$N335,0),VDB(1,0,$N335,INT(ET$44-2),MIN($N335,INT(ET$44-2)+1),$DC335,IF($DD335="No",1,0))/
IF(EB335&gt;INT($N335),$N335-INT($N335),1))*
IF(ET$44=2,EB335,
IF(INT(EB335)=INT(EA335),0,EB335-INT(EB335)))))</f>
        <v>0</v>
      </c>
      <c r="EU335" s="835">
        <f>+IF(OR(EC335=EB335,EU$44=1),0,
IF(AND(EU$44&gt;1,EC335=$N335),1-SUM($EN335:ET335),
IF($N335&lt;=1,
IF($N335&gt;0,1/$N335,0),
IF(EU$44=2,0,VDB(1,0,$N335,INT(EU$44-2-1),MIN($N335,INT(EU$44-2-1)+1),$DC335,IF($DD335="No",1,0))/
IF(EB335&gt;=INT($N335),$N335-INT($N335),1)))*
IF(EU$44=2,0,
IF(INT(EC335)=INT(EB335),EC335-EB335,INT(EC335)-EB335))+
IF($N335&lt;=1,
IF($N335&gt;0,1/$N335,0),VDB(1,0,$N335,INT(EU$44-2),MIN($N335,INT(EU$44-2)+1),$DC335,IF($DD335="No",1,0))/
IF(EC335&gt;INT($N335),$N335-INT($N335),1))*
IF(EU$44=2,EC335,
IF(INT(EC335)=INT(EB335),0,EC335-INT(EC335)))))</f>
        <v>0</v>
      </c>
      <c r="EV335" s="836">
        <f>+IF(OR(ED335=EC335,EV$44=1),0,
IF(AND(EV$44&gt;1,ED335=$N335),1-SUM($EN335:EU335),
IF($N335&lt;=1,
IF($N335&gt;0,1/$N335,0),
IF(EV$44=2,0,VDB(1,0,$N335,INT(EV$44-2-1),MIN($N335,INT(EV$44-2-1)+1),$DC335,IF($DD335="No",1,0))/
IF(EC335&gt;=INT($N335),$N335-INT($N335),1)))*
IF(EV$44=2,0,
IF(INT(ED335)=INT(EC335),ED335-EC335,INT(ED335)-EC335))+
IF($N335&lt;=1,
IF($N335&gt;0,1/$N335,0),VDB(1,0,$N335,INT(EV$44-2),MIN($N335,INT(EV$44-2)+1),$DC335,IF($DD335="No",1,0))/
IF(ED335&gt;INT($N335),$N335-INT($N335),1))*
IF(EV$44=2,ED335,
IF(INT(ED335)=INT(EC335),0,ED335-INT(ED335)))))</f>
        <v>0</v>
      </c>
      <c r="EW335" s="833"/>
      <c r="EX335" s="834">
        <f t="shared" ca="1" si="570"/>
        <v>0</v>
      </c>
      <c r="EY335" s="835">
        <f t="shared" ca="1" si="570"/>
        <v>0</v>
      </c>
      <c r="EZ335" s="836">
        <f t="shared" ca="1" si="570"/>
        <v>0</v>
      </c>
      <c r="FA335" s="834">
        <f t="shared" ca="1" si="570"/>
        <v>0</v>
      </c>
      <c r="FB335" s="835">
        <f t="shared" ca="1" si="570"/>
        <v>0</v>
      </c>
      <c r="FC335" s="835">
        <f t="shared" ca="1" si="570"/>
        <v>0</v>
      </c>
      <c r="FD335" s="835">
        <f t="shared" ca="1" si="570"/>
        <v>0</v>
      </c>
      <c r="FE335" s="836">
        <f t="shared" ca="1" si="570"/>
        <v>0</v>
      </c>
      <c r="FG335" s="386">
        <f t="shared" ca="1" si="521"/>
        <v>0</v>
      </c>
      <c r="FH335" s="387">
        <f t="shared" ca="1" si="522"/>
        <v>0</v>
      </c>
      <c r="FI335" s="388">
        <f t="shared" ca="1" si="523"/>
        <v>0</v>
      </c>
      <c r="FJ335" s="386">
        <f t="shared" ca="1" si="524"/>
        <v>0</v>
      </c>
      <c r="FK335" s="387">
        <f t="shared" ca="1" si="525"/>
        <v>0</v>
      </c>
      <c r="FL335" s="387">
        <f t="shared" ca="1" si="526"/>
        <v>0</v>
      </c>
      <c r="FM335" s="387">
        <f t="shared" ca="1" si="527"/>
        <v>0</v>
      </c>
      <c r="FN335" s="388">
        <f t="shared" ca="1" si="528"/>
        <v>0</v>
      </c>
      <c r="FR335" s="116"/>
    </row>
    <row r="336" spans="2:174">
      <c r="B336" s="1410">
        <f t="shared" si="556"/>
        <v>290</v>
      </c>
      <c r="C336" s="400"/>
      <c r="D336" s="410"/>
      <c r="E336" s="402"/>
      <c r="F336" s="402"/>
      <c r="G336" s="400"/>
      <c r="H336" s="2088"/>
      <c r="I336" s="2089"/>
      <c r="J336" s="411"/>
      <c r="K336" s="403"/>
      <c r="L336" s="403"/>
      <c r="M336" s="403"/>
      <c r="N336" s="403"/>
      <c r="O336" s="347"/>
      <c r="P336" s="347"/>
      <c r="Q336" s="1021"/>
      <c r="R336" s="1022"/>
      <c r="S336" s="1022"/>
      <c r="T336" s="1022"/>
      <c r="U336" s="1023"/>
      <c r="V336" s="1021"/>
      <c r="W336" s="1022"/>
      <c r="X336" s="1022"/>
      <c r="Y336" s="1022"/>
      <c r="Z336" s="1023"/>
      <c r="AA336" s="1024"/>
      <c r="AB336" s="1021"/>
      <c r="AC336" s="1022"/>
      <c r="AD336" s="1022"/>
      <c r="AE336" s="1022"/>
      <c r="AF336" s="1023"/>
      <c r="AG336" s="1021"/>
      <c r="AH336" s="1022"/>
      <c r="AI336" s="1022"/>
      <c r="AJ336" s="1022"/>
      <c r="AK336" s="1023"/>
      <c r="AL336" s="1024"/>
      <c r="AM336" s="1021"/>
      <c r="AN336" s="1022"/>
      <c r="AO336" s="1022"/>
      <c r="AP336" s="1022"/>
      <c r="AQ336" s="1023"/>
      <c r="AR336" s="1021"/>
      <c r="AS336" s="1022"/>
      <c r="AT336" s="1022"/>
      <c r="AU336" s="1022"/>
      <c r="AV336" s="1023"/>
      <c r="AW336" s="1025"/>
      <c r="AX336" s="1282">
        <f t="shared" si="532"/>
        <v>0</v>
      </c>
      <c r="AY336" s="387">
        <f t="shared" si="533"/>
        <v>0</v>
      </c>
      <c r="AZ336" s="387">
        <f t="shared" si="534"/>
        <v>0</v>
      </c>
      <c r="BA336" s="387">
        <f t="shared" si="535"/>
        <v>0</v>
      </c>
      <c r="BB336" s="1283">
        <f t="shared" si="536"/>
        <v>0</v>
      </c>
      <c r="BC336" s="386">
        <f t="shared" si="537"/>
        <v>0</v>
      </c>
      <c r="BD336" s="387">
        <f t="shared" si="538"/>
        <v>0</v>
      </c>
      <c r="BE336" s="1277">
        <f t="shared" si="560"/>
        <v>0</v>
      </c>
      <c r="BF336" s="1277">
        <f t="shared" si="561"/>
        <v>0</v>
      </c>
      <c r="BG336" s="388">
        <f t="shared" si="562"/>
        <v>0</v>
      </c>
      <c r="BH336" s="1025"/>
      <c r="BI336" s="1282">
        <f t="shared" ca="1" si="540"/>
        <v>0</v>
      </c>
      <c r="BJ336" s="387">
        <f t="shared" ca="1" si="541"/>
        <v>0</v>
      </c>
      <c r="BK336" s="387">
        <f t="shared" ca="1" si="542"/>
        <v>0</v>
      </c>
      <c r="BL336" s="387">
        <f t="shared" ca="1" si="543"/>
        <v>0</v>
      </c>
      <c r="BM336" s="1283">
        <f t="shared" ca="1" si="544"/>
        <v>0</v>
      </c>
      <c r="BN336" s="386">
        <f t="shared" ca="1" si="563"/>
        <v>0</v>
      </c>
      <c r="BO336" s="387">
        <f t="shared" ca="1" si="564"/>
        <v>0</v>
      </c>
      <c r="BP336" s="1277">
        <f t="shared" ca="1" si="565"/>
        <v>0</v>
      </c>
      <c r="BQ336" s="1277">
        <f t="shared" ca="1" si="566"/>
        <v>0</v>
      </c>
      <c r="BR336" s="388">
        <f t="shared" ca="1" si="567"/>
        <v>0</v>
      </c>
      <c r="BS336" s="1025"/>
      <c r="BT336" s="1282">
        <f>+IF($K336="Ongoing",AX336,IF(RIGHT($K336,2)=RIGHT(BT$43,2),SUM($AX336:AX336),0)+IF(RIGHT(BT$43,2)&gt;RIGHT($K336,2),AX336,0))</f>
        <v>0</v>
      </c>
      <c r="BU336" s="387">
        <f>+IF($K336="Ongoing",AY336,IF(RIGHT($K336,2)=RIGHT(BU$43,2),SUM($AX336:AY336),0)+IF(RIGHT(BU$43,2)&gt;RIGHT($K336,2),AY336,0))</f>
        <v>0</v>
      </c>
      <c r="BV336" s="387">
        <f>+IF($K336="Ongoing",AZ336,IF(RIGHT($K336,2)=RIGHT(BV$43,2),SUM($AX336:AZ336),0)+IF(RIGHT(BV$43,2)&gt;RIGHT($K336,2),AZ336,0))</f>
        <v>0</v>
      </c>
      <c r="BW336" s="387">
        <f>+IF($K336="Ongoing",BA336,IF(RIGHT($K336,2)=RIGHT(BW$43,2),SUM($AX336:BA336),0)+IF(RIGHT(BW$43,2)&gt;RIGHT($K336,2),BA336,0))</f>
        <v>0</v>
      </c>
      <c r="BX336" s="1283">
        <f>+IF($K336="Ongoing",BB336,IF(RIGHT($K336,2)=RIGHT(BX$43,2),SUM($AX336:BB336),0)+IF(RIGHT(BX$43,2)&gt;RIGHT($K336,2),BB336,0))</f>
        <v>0</v>
      </c>
      <c r="BY336" s="386">
        <f>+IF($K336="Ongoing",BC336,IF(RIGHT($K336,2)=RIGHT(BY$43,2),SUM($AX336:BC336),0)+IF(RIGHT(BY$43,2)&gt;RIGHT($K336,2),BC336,0))</f>
        <v>0</v>
      </c>
      <c r="BZ336" s="387">
        <f>+IF($K336="Ongoing",BD336,IF(RIGHT($K336,2)=RIGHT(BZ$43,2),SUM($AX336:BD336),0)+IF(RIGHT(BZ$43,2)&gt;RIGHT($K336,2),BD336,0))</f>
        <v>0</v>
      </c>
      <c r="CA336" s="1277">
        <f>+IF($K336="Ongoing",BE336,IF(RIGHT($K336,2)=RIGHT(CA$43,2),SUM($AX336:BE336),0)+IF(RIGHT(CA$43,2)&gt;RIGHT($K336,2),BE336,0))</f>
        <v>0</v>
      </c>
      <c r="CB336" s="1277">
        <f>+IF($K336="Ongoing",BF336,IF(RIGHT($K336,2)=RIGHT(CB$43,2),SUM($AX336:BF336),0)+IF(RIGHT(CB$43,2)&gt;RIGHT($K336,2),BF336,0))</f>
        <v>0</v>
      </c>
      <c r="CC336" s="388">
        <f>+IF($K336="Ongoing",BG336,IF(RIGHT($K336,2)=RIGHT(CC$43,2),SUM($AX336:BG336),0)+IF(RIGHT(CC$43,2)&gt;RIGHT($K336,2),BG336,0))</f>
        <v>0</v>
      </c>
      <c r="CD336" s="1025"/>
      <c r="CE336" s="1282">
        <f>+Q336*KeyAssumptionsPriceControl_FO!AF$15</f>
        <v>0</v>
      </c>
      <c r="CF336" s="387">
        <f>+R336*KeyAssumptionsPriceControl_FO!AG$15</f>
        <v>0</v>
      </c>
      <c r="CG336" s="387">
        <f>+S336*KeyAssumptionsPriceControl_FO!AH$15</f>
        <v>0</v>
      </c>
      <c r="CH336" s="387">
        <f>+T336*KeyAssumptionsPriceControl_FO!AI$15</f>
        <v>0</v>
      </c>
      <c r="CI336" s="1283">
        <f>+U336*KeyAssumptionsPriceControl_FO!AJ$15</f>
        <v>0</v>
      </c>
      <c r="CJ336" s="386">
        <f>+V336*KeyAssumptionsPriceControl_FO!AK$15</f>
        <v>0</v>
      </c>
      <c r="CK336" s="387">
        <f>+W336*KeyAssumptionsPriceControl_FO!AL$15</f>
        <v>0</v>
      </c>
      <c r="CL336" s="1277">
        <f>+X336*KeyAssumptionsPriceControl_FO!AM$15</f>
        <v>0</v>
      </c>
      <c r="CM336" s="1277">
        <f>+Y336*KeyAssumptionsPriceControl_FO!AN$15</f>
        <v>0</v>
      </c>
      <c r="CN336" s="388">
        <f>+Z336*KeyAssumptionsPriceControl_FO!AO$15</f>
        <v>0</v>
      </c>
      <c r="CO336" s="1025"/>
      <c r="CP336" s="1282">
        <f t="shared" ca="1" si="546"/>
        <v>0</v>
      </c>
      <c r="CQ336" s="387">
        <f t="shared" ca="1" si="547"/>
        <v>0</v>
      </c>
      <c r="CR336" s="387">
        <f t="shared" ca="1" si="548"/>
        <v>0</v>
      </c>
      <c r="CS336" s="387">
        <f t="shared" ca="1" si="549"/>
        <v>0</v>
      </c>
      <c r="CT336" s="1283">
        <f t="shared" ca="1" si="550"/>
        <v>0</v>
      </c>
      <c r="CU336" s="386">
        <f t="shared" ca="1" si="551"/>
        <v>0</v>
      </c>
      <c r="CV336" s="387">
        <f t="shared" ca="1" si="552"/>
        <v>0</v>
      </c>
      <c r="CW336" s="1277">
        <f t="shared" ca="1" si="553"/>
        <v>0</v>
      </c>
      <c r="CX336" s="1277">
        <f t="shared" ca="1" si="554"/>
        <v>0</v>
      </c>
      <c r="CY336" s="388">
        <f t="shared" ca="1" si="555"/>
        <v>0</v>
      </c>
      <c r="CZ336" s="347"/>
      <c r="DA336" s="852"/>
      <c r="DB336" s="347"/>
      <c r="DC336" s="1012" t="s">
        <v>517</v>
      </c>
      <c r="DD336" s="841" t="s">
        <v>518</v>
      </c>
      <c r="DE336" s="386">
        <f>+IF($K336="ongoing",CE336,IF(RIGHT($K336,2)=RIGHT(DE$43,2),SUM($CD336:CE336),0)+IF(RIGHT(DE$43,2)&gt;RIGHT($K336,2),CE336,0))</f>
        <v>0</v>
      </c>
      <c r="DF336" s="387">
        <f>+IF($K336="ongoing",CF336,IF(RIGHT($K336,2)=RIGHT(DF$43,2),SUM($CD336:CF336),0)+IF(RIGHT(DF$43,2)&gt;RIGHT($K336,2),CF336,0))</f>
        <v>0</v>
      </c>
      <c r="DG336" s="388">
        <f>+IF($K336="ongoing",CG336,IF(RIGHT($K336,2)=RIGHT(DG$43,2),SUM($CD336:CG336),0)+IF(RIGHT(DG$43,2)&gt;RIGHT($K336,2),CG336,0))</f>
        <v>0</v>
      </c>
      <c r="DH336" s="386">
        <f>+IF($K336="ongoing",CH336,IF(RIGHT($K336,2)=RIGHT(DH$43,2),SUM($CD336:CH336),0)+IF(RIGHT(DH$43,2)&gt;RIGHT($K336,2),CH336,0))</f>
        <v>0</v>
      </c>
      <c r="DI336" s="387">
        <f>+IF($K336="ongoing",CI336,IF(RIGHT($K336,2)=RIGHT(DI$43,2),SUM($CD336:CI336),0)+IF(RIGHT(DI$43,2)&gt;RIGHT($K336,2),CI336,0))</f>
        <v>0</v>
      </c>
      <c r="DJ336" s="387">
        <f>+IF($K336="ongoing",CJ336,IF(RIGHT($K336,2)=RIGHT(DJ$43,2),SUM($CD336:CJ336),0)+IF(RIGHT(DJ$43,2)&gt;RIGHT($K336,2),CJ336,0))</f>
        <v>0</v>
      </c>
      <c r="DK336" s="387">
        <f>+IF($K336="ongoing",CK336,IF(RIGHT($K336,2)=RIGHT(DK$43,2),SUM($CD336:CK336),0)+IF(RIGHT(DK$43,2)&gt;RIGHT($K336,2),CK336,0))</f>
        <v>0</v>
      </c>
      <c r="DL336" s="388">
        <f>+IF($K336="ongoing",CN336,IF(RIGHT($K336,2)=RIGHT(DL$43,2),SUM($CD336:CN336),0)+IF(RIGHT(DL$43,2)&gt;RIGHT($K336,2),CN336,0))</f>
        <v>0</v>
      </c>
      <c r="DM336" s="841"/>
      <c r="DN336" s="386">
        <f t="shared" si="568"/>
        <v>0.5</v>
      </c>
      <c r="DO336" s="387">
        <f t="shared" si="568"/>
        <v>1</v>
      </c>
      <c r="DP336" s="388">
        <f t="shared" si="568"/>
        <v>1</v>
      </c>
      <c r="DQ336" s="386">
        <f t="shared" si="568"/>
        <v>1</v>
      </c>
      <c r="DR336" s="387">
        <f t="shared" si="568"/>
        <v>1</v>
      </c>
      <c r="DS336" s="387">
        <f t="shared" si="568"/>
        <v>1</v>
      </c>
      <c r="DT336" s="387">
        <f t="shared" si="568"/>
        <v>1</v>
      </c>
      <c r="DU336" s="388">
        <f t="shared" si="568"/>
        <v>1</v>
      </c>
      <c r="DW336" s="386">
        <f t="shared" si="569"/>
        <v>0</v>
      </c>
      <c r="DX336" s="387">
        <f t="shared" si="569"/>
        <v>0.5</v>
      </c>
      <c r="DY336" s="388">
        <f t="shared" si="569"/>
        <v>1</v>
      </c>
      <c r="DZ336" s="386">
        <f t="shared" si="569"/>
        <v>1</v>
      </c>
      <c r="EA336" s="387">
        <f t="shared" si="569"/>
        <v>1</v>
      </c>
      <c r="EB336" s="387">
        <f t="shared" si="569"/>
        <v>1</v>
      </c>
      <c r="EC336" s="387">
        <f t="shared" si="569"/>
        <v>1</v>
      </c>
      <c r="ED336" s="388">
        <f t="shared" si="569"/>
        <v>1</v>
      </c>
      <c r="EF336" s="834">
        <f>+IF(DN336=DM336,0,
IF(AND(EF$44&gt;1,DN336=$N336),1-SUM($EE336:EE336),
IF($N336&lt;=1,
IF($N336&gt;0,1/$N336,0),
IF(EF$44=1,0,VDB(1,0,$N336,INT(EF$44-1-1),MIN($N336,INT(EF$44-1-1)+1),$DC336,IF($DD336="No",1,0))/
IF(DM336&gt;=INT($N336),$N336-INT($N336),1)))*
IF(EF$44=1,0,
IF(INT(DN336)=INT(DM336),DN336-DM336,INT(DN336)-DM336))+
IF($N336&lt;=1,
IF($N336&gt;0,1/$N336,0),VDB(1,0,$N336,INT(EF$44-1),MIN($N336,INT(EF$44-1)+1),$DC336,IF($DD336="No",1,0))/
IF(DN336&gt;INT($N336),$N336-INT($N336),1))*
IF(EF$44=1,DN336,
IF(INT(DN336)=INT(DM336),0,DN336-INT(DN336)))))</f>
        <v>0</v>
      </c>
      <c r="EG336" s="835">
        <f>+IF(DO336=DN336,0,
IF(AND(EG$44&gt;1,DO336=$N336),1-SUM($EE336:EF336),
IF($N336&lt;=1,
IF($N336&gt;0,1/$N336,0),
IF(EG$44=1,0,VDB(1,0,$N336,INT(EG$44-1-1),MIN($N336,INT(EG$44-1-1)+1),$DC336,IF($DD336="No",1,0))/
IF(DN336&gt;=INT($N336),$N336-INT($N336),1)))*
IF(EG$44=1,0,
IF(INT(DO336)=INT(DN336),DO336-DN336,INT(DO336)-DN336))+
IF($N336&lt;=1,
IF($N336&gt;0,1/$N336,0),VDB(1,0,$N336,INT(EG$44-1),MIN($N336,INT(EG$44-1)+1),$DC336,IF($DD336="No",1,0))/
IF(DO336&gt;INT($N336),$N336-INT($N336),1))*
IF(EG$44=1,DO336,
IF(INT(DO336)=INT(DN336),0,DO336-INT(DO336)))))</f>
        <v>0</v>
      </c>
      <c r="EH336" s="836">
        <f>+IF(DP336=DO336,0,
IF(AND(EH$44&gt;1,DP336=$N336),1-SUM($EE336:EG336),
IF($N336&lt;=1,
IF($N336&gt;0,1/$N336,0),
IF(EH$44=1,0,VDB(1,0,$N336,INT(EH$44-1-1),MIN($N336,INT(EH$44-1-1)+1),$DC336,IF($DD336="No",1,0))/
IF(DO336&gt;=INT($N336),$N336-INT($N336),1)))*
IF(EH$44=1,0,
IF(INT(DP336)=INT(DO336),DP336-DO336,INT(DP336)-DO336))+
IF($N336&lt;=1,
IF($N336&gt;0,1/$N336,0),VDB(1,0,$N336,INT(EH$44-1),MIN($N336,INT(EH$44-1)+1),$DC336,IF($DD336="No",1,0))/
IF(DP336&gt;INT($N336),$N336-INT($N336),1))*
IF(EH$44=1,DP336,
IF(INT(DP336)=INT(DO336),0,DP336-INT(DP336)))))</f>
        <v>0</v>
      </c>
      <c r="EI336" s="834">
        <f>+IF(DQ336=DP336,0,
IF(AND(EI$44&gt;1,DQ336=$N336),1-SUM($EE336:EH336),
IF($N336&lt;=1,
IF($N336&gt;0,1/$N336,0),
IF(EI$44=1,0,VDB(1,0,$N336,INT(EI$44-1-1),MIN($N336,INT(EI$44-1-1)+1),$DC336,IF($DD336="No",1,0))/
IF(DP336&gt;=INT($N336),$N336-INT($N336),1)))*
IF(EI$44=1,0,
IF(INT(DQ336)=INT(DP336),DQ336-DP336,INT(DQ336)-DP336))+
IF($N336&lt;=1,
IF($N336&gt;0,1/$N336,0),VDB(1,0,$N336,INT(EI$44-1),MIN($N336,INT(EI$44-1)+1),$DC336,IF($DD336="No",1,0))/
IF(DQ336&gt;INT($N336),$N336-INT($N336),1))*
IF(EI$44=1,DQ336,
IF(INT(DQ336)=INT(DP336),0,DQ336-INT(DQ336)))))</f>
        <v>0</v>
      </c>
      <c r="EJ336" s="835">
        <f>+IF(DR336=DQ336,0,
IF(AND(EJ$44&gt;1,DR336=$N336),1-SUM($EE336:EI336),
IF($N336&lt;=1,
IF($N336&gt;0,1/$N336,0),
IF(EJ$44=1,0,VDB(1,0,$N336,INT(EJ$44-1-1),MIN($N336,INT(EJ$44-1-1)+1),$DC336,IF($DD336="No",1,0))/
IF(DQ336&gt;=INT($N336),$N336-INT($N336),1)))*
IF(EJ$44=1,0,
IF(INT(DR336)=INT(DQ336),DR336-DQ336,INT(DR336)-DQ336))+
IF($N336&lt;=1,
IF($N336&gt;0,1/$N336,0),VDB(1,0,$N336,INT(EJ$44-1),MIN($N336,INT(EJ$44-1)+1),$DC336,IF($DD336="No",1,0))/
IF(DR336&gt;INT($N336),$N336-INT($N336),1))*
IF(EJ$44=1,DR336,
IF(INT(DR336)=INT(DQ336),0,DR336-INT(DR336)))))</f>
        <v>0</v>
      </c>
      <c r="EK336" s="835">
        <f>+IF(DS336=DR336,0,
IF(AND(EK$44&gt;1,DS336=$N336),1-SUM($EE336:EJ336),
IF($N336&lt;=1,
IF($N336&gt;0,1/$N336,0),
IF(EK$44=1,0,VDB(1,0,$N336,INT(EK$44-1-1),MIN($N336,INT(EK$44-1-1)+1),$DC336,IF($DD336="No",1,0))/
IF(DR336&gt;=INT($N336),$N336-INT($N336),1)))*
IF(EK$44=1,0,
IF(INT(DS336)=INT(DR336),DS336-DR336,INT(DS336)-DR336))+
IF($N336&lt;=1,
IF($N336&gt;0,1/$N336,0),VDB(1,0,$N336,INT(EK$44-1),MIN($N336,INT(EK$44-1)+1),$DC336,IF($DD336="No",1,0))/
IF(DS336&gt;INT($N336),$N336-INT($N336),1))*
IF(EK$44=1,DS336,
IF(INT(DS336)=INT(DR336),0,DS336-INT(DS336)))))</f>
        <v>0</v>
      </c>
      <c r="EL336" s="835">
        <f>+IF(DT336=DS336,0,
IF(AND(EL$44&gt;1,DT336=$N336),1-SUM($EE336:EK336),
IF($N336&lt;=1,
IF($N336&gt;0,1/$N336,0),
IF(EL$44=1,0,VDB(1,0,$N336,INT(EL$44-1-1),MIN($N336,INT(EL$44-1-1)+1),$DC336,IF($DD336="No",1,0))/
IF(DS336&gt;=INT($N336),$N336-INT($N336),1)))*
IF(EL$44=1,0,
IF(INT(DT336)=INT(DS336),DT336-DS336,INT(DT336)-DS336))+
IF($N336&lt;=1,
IF($N336&gt;0,1/$N336,0),VDB(1,0,$N336,INT(EL$44-1),MIN($N336,INT(EL$44-1)+1),$DC336,IF($DD336="No",1,0))/
IF(DT336&gt;INT($N336),$N336-INT($N336),1))*
IF(EL$44=1,DT336,
IF(INT(DT336)=INT(DS336),0,DT336-INT(DT336)))))</f>
        <v>0</v>
      </c>
      <c r="EM336" s="836">
        <f>+IF(DU336=DT336,0,
IF(AND(EM$44&gt;1,DU336=$N336),1-SUM($EE336:EL336),
IF($N336&lt;=1,
IF($N336&gt;0,1/$N336,0),
IF(EM$44=1,0,VDB(1,0,$N336,INT(EM$44-1-1),MIN($N336,INT(EM$44-1-1)+1),$DC336,IF($DD336="No",1,0))/
IF(DT336&gt;=INT($N336),$N336-INT($N336),1)))*
IF(EM$44=1,0,
IF(INT(DU336)=INT(DT336),DU336-DT336,INT(DU336)-DT336))+
IF($N336&lt;=1,
IF($N336&gt;0,1/$N336,0),VDB(1,0,$N336,INT(EM$44-1),MIN($N336,INT(EM$44-1)+1),$DC336,IF($DD336="No",1,0))/
IF(DU336&gt;INT($N336),$N336-INT($N336),1))*
IF(EM$44=1,DU336,
IF(INT(DU336)=INT(DT336),0,DU336-INT(DU336)))))</f>
        <v>0</v>
      </c>
      <c r="EN336" s="833"/>
      <c r="EO336" s="834">
        <f>+IF(OR(DW336=DV336,EO$44=1),0,
IF(AND(EO$44&gt;1,DW336=$N336),1-SUM($EN336:EN336),
IF($N336&lt;=1,
IF($N336&gt;0,1/$N336,0),
IF(EO$44=2,0,VDB(1,0,$N336,INT(EO$44-2-1),MIN($N336,INT(EO$44-2-1)+1),$DC336,IF($DD336="No",1,0))/
IF(DV336&gt;=INT($N336),$N336-INT($N336),1)))*
IF(EO$44=2,0,
IF(INT(DW336)=INT(DV336),DW336-DV336,INT(DW336)-DV336))+
IF($N336&lt;=1,
IF($N336&gt;0,1/$N336,0),VDB(1,0,$N336,INT(EO$44-2),MIN($N336,INT(EO$44-2)+1),$DC336,IF($DD336="No",1,0))/
IF(DW336&gt;INT($N336),$N336-INT($N336),1))*
IF(EO$44=2,DW336,
IF(INT(DW336)=INT(DV336),0,DW336-INT(DW336)))))</f>
        <v>0</v>
      </c>
      <c r="EP336" s="835">
        <f>+IF(OR(DX336=DW336,EP$44=1),0,
IF(AND(EP$44&gt;1,DX336=$N336),1-SUM($EN336:EO336),
IF($N336&lt;=1,
IF($N336&gt;0,1/$N336,0),
IF(EP$44=2,0,VDB(1,0,$N336,INT(EP$44-2-1),MIN($N336,INT(EP$44-2-1)+1),$DC336,IF($DD336="No",1,0))/
IF(DW336&gt;=INT($N336),$N336-INT($N336),1)))*
IF(EP$44=2,0,
IF(INT(DX336)=INT(DW336),DX336-DW336,INT(DX336)-DW336))+
IF($N336&lt;=1,
IF($N336&gt;0,1/$N336,0),VDB(1,0,$N336,INT(EP$44-2),MIN($N336,INT(EP$44-2)+1),$DC336,IF($DD336="No",1,0))/
IF(DX336&gt;INT($N336),$N336-INT($N336),1))*
IF(EP$44=2,DX336,
IF(INT(DX336)=INT(DW336),0,DX336-INT(DX336)))))</f>
        <v>0</v>
      </c>
      <c r="EQ336" s="836">
        <f>+IF(OR(DY336=DX336,EQ$44=1),0,
IF(AND(EQ$44&gt;1,DY336=$N336),1-SUM($EN336:EP336),
IF($N336&lt;=1,
IF($N336&gt;0,1/$N336,0),
IF(EQ$44=2,0,VDB(1,0,$N336,INT(EQ$44-2-1),MIN($N336,INT(EQ$44-2-1)+1),$DC336,IF($DD336="No",1,0))/
IF(DX336&gt;=INT($N336),$N336-INT($N336),1)))*
IF(EQ$44=2,0,
IF(INT(DY336)=INT(DX336),DY336-DX336,INT(DY336)-DX336))+
IF($N336&lt;=1,
IF($N336&gt;0,1/$N336,0),VDB(1,0,$N336,INT(EQ$44-2),MIN($N336,INT(EQ$44-2)+1),$DC336,IF($DD336="No",1,0))/
IF(DY336&gt;INT($N336),$N336-INT($N336),1))*
IF(EQ$44=2,DY336,
IF(INT(DY336)=INT(DX336),0,DY336-INT(DY336)))))</f>
        <v>0</v>
      </c>
      <c r="ER336" s="834">
        <f>+IF(OR(DZ336=DY336,ER$44=1),0,
IF(AND(ER$44&gt;1,DZ336=$N336),1-SUM($EN336:EQ336),
IF($N336&lt;=1,
IF($N336&gt;0,1/$N336,0),
IF(ER$44=2,0,VDB(1,0,$N336,INT(ER$44-2-1),MIN($N336,INT(ER$44-2-1)+1),$DC336,IF($DD336="No",1,0))/
IF(DY336&gt;=INT($N336),$N336-INT($N336),1)))*
IF(ER$44=2,0,
IF(INT(DZ336)=INT(DY336),DZ336-DY336,INT(DZ336)-DY336))+
IF($N336&lt;=1,
IF($N336&gt;0,1/$N336,0),VDB(1,0,$N336,INT(ER$44-2),MIN($N336,INT(ER$44-2)+1),$DC336,IF($DD336="No",1,0))/
IF(DZ336&gt;INT($N336),$N336-INT($N336),1))*
IF(ER$44=2,DZ336,
IF(INT(DZ336)=INT(DY336),0,DZ336-INT(DZ336)))))</f>
        <v>0</v>
      </c>
      <c r="ES336" s="835">
        <f>+IF(OR(EA336=DZ336,ES$44=1),0,
IF(AND(ES$44&gt;1,EA336=$N336),1-SUM($EN336:ER336),
IF($N336&lt;=1,
IF($N336&gt;0,1/$N336,0),
IF(ES$44=2,0,VDB(1,0,$N336,INT(ES$44-2-1),MIN($N336,INT(ES$44-2-1)+1),$DC336,IF($DD336="No",1,0))/
IF(DZ336&gt;=INT($N336),$N336-INT($N336),1)))*
IF(ES$44=2,0,
IF(INT(EA336)=INT(DZ336),EA336-DZ336,INT(EA336)-DZ336))+
IF($N336&lt;=1,
IF($N336&gt;0,1/$N336,0),VDB(1,0,$N336,INT(ES$44-2),MIN($N336,INT(ES$44-2)+1),$DC336,IF($DD336="No",1,0))/
IF(EA336&gt;INT($N336),$N336-INT($N336),1))*
IF(ES$44=2,EA336,
IF(INT(EA336)=INT(DZ336),0,EA336-INT(EA336)))))</f>
        <v>0</v>
      </c>
      <c r="ET336" s="835">
        <f>+IF(OR(EB336=EA336,ET$44=1),0,
IF(AND(ET$44&gt;1,EB336=$N336),1-SUM($EN336:ES336),
IF($N336&lt;=1,
IF($N336&gt;0,1/$N336,0),
IF(ET$44=2,0,VDB(1,0,$N336,INT(ET$44-2-1),MIN($N336,INT(ET$44-2-1)+1),$DC336,IF($DD336="No",1,0))/
IF(EA336&gt;=INT($N336),$N336-INT($N336),1)))*
IF(ET$44=2,0,
IF(INT(EB336)=INT(EA336),EB336-EA336,INT(EB336)-EA336))+
IF($N336&lt;=1,
IF($N336&gt;0,1/$N336,0),VDB(1,0,$N336,INT(ET$44-2),MIN($N336,INT(ET$44-2)+1),$DC336,IF($DD336="No",1,0))/
IF(EB336&gt;INT($N336),$N336-INT($N336),1))*
IF(ET$44=2,EB336,
IF(INT(EB336)=INT(EA336),0,EB336-INT(EB336)))))</f>
        <v>0</v>
      </c>
      <c r="EU336" s="835">
        <f>+IF(OR(EC336=EB336,EU$44=1),0,
IF(AND(EU$44&gt;1,EC336=$N336),1-SUM($EN336:ET336),
IF($N336&lt;=1,
IF($N336&gt;0,1/$N336,0),
IF(EU$44=2,0,VDB(1,0,$N336,INT(EU$44-2-1),MIN($N336,INT(EU$44-2-1)+1),$DC336,IF($DD336="No",1,0))/
IF(EB336&gt;=INT($N336),$N336-INT($N336),1)))*
IF(EU$44=2,0,
IF(INT(EC336)=INT(EB336),EC336-EB336,INT(EC336)-EB336))+
IF($N336&lt;=1,
IF($N336&gt;0,1/$N336,0),VDB(1,0,$N336,INT(EU$44-2),MIN($N336,INT(EU$44-2)+1),$DC336,IF($DD336="No",1,0))/
IF(EC336&gt;INT($N336),$N336-INT($N336),1))*
IF(EU$44=2,EC336,
IF(INT(EC336)=INT(EB336),0,EC336-INT(EC336)))))</f>
        <v>0</v>
      </c>
      <c r="EV336" s="836">
        <f>+IF(OR(ED336=EC336,EV$44=1),0,
IF(AND(EV$44&gt;1,ED336=$N336),1-SUM($EN336:EU336),
IF($N336&lt;=1,
IF($N336&gt;0,1/$N336,0),
IF(EV$44=2,0,VDB(1,0,$N336,INT(EV$44-2-1),MIN($N336,INT(EV$44-2-1)+1),$DC336,IF($DD336="No",1,0))/
IF(EC336&gt;=INT($N336),$N336-INT($N336),1)))*
IF(EV$44=2,0,
IF(INT(ED336)=INT(EC336),ED336-EC336,INT(ED336)-EC336))+
IF($N336&lt;=1,
IF($N336&gt;0,1/$N336,0),VDB(1,0,$N336,INT(EV$44-2),MIN($N336,INT(EV$44-2)+1),$DC336,IF($DD336="No",1,0))/
IF(ED336&gt;INT($N336),$N336-INT($N336),1))*
IF(EV$44=2,ED336,
IF(INT(ED336)=INT(EC336),0,ED336-INT(ED336)))))</f>
        <v>0</v>
      </c>
      <c r="EW336" s="833"/>
      <c r="EX336" s="834">
        <f t="shared" ca="1" si="570"/>
        <v>0</v>
      </c>
      <c r="EY336" s="835">
        <f t="shared" ca="1" si="570"/>
        <v>0</v>
      </c>
      <c r="EZ336" s="836">
        <f t="shared" ca="1" si="570"/>
        <v>0</v>
      </c>
      <c r="FA336" s="834">
        <f t="shared" ca="1" si="570"/>
        <v>0</v>
      </c>
      <c r="FB336" s="835">
        <f t="shared" ca="1" si="570"/>
        <v>0</v>
      </c>
      <c r="FC336" s="835">
        <f t="shared" ca="1" si="570"/>
        <v>0</v>
      </c>
      <c r="FD336" s="835">
        <f t="shared" ca="1" si="570"/>
        <v>0</v>
      </c>
      <c r="FE336" s="836">
        <f t="shared" ca="1" si="570"/>
        <v>0</v>
      </c>
      <c r="FG336" s="386">
        <f t="shared" ca="1" si="521"/>
        <v>0</v>
      </c>
      <c r="FH336" s="387">
        <f t="shared" ca="1" si="522"/>
        <v>0</v>
      </c>
      <c r="FI336" s="388">
        <f t="shared" ca="1" si="523"/>
        <v>0</v>
      </c>
      <c r="FJ336" s="386">
        <f t="shared" ca="1" si="524"/>
        <v>0</v>
      </c>
      <c r="FK336" s="387">
        <f t="shared" ca="1" si="525"/>
        <v>0</v>
      </c>
      <c r="FL336" s="387">
        <f t="shared" ca="1" si="526"/>
        <v>0</v>
      </c>
      <c r="FM336" s="387">
        <f t="shared" ca="1" si="527"/>
        <v>0</v>
      </c>
      <c r="FN336" s="388">
        <f t="shared" ca="1" si="528"/>
        <v>0</v>
      </c>
      <c r="FR336" s="116"/>
    </row>
    <row r="337" spans="2:174">
      <c r="B337" s="1410">
        <f t="shared" si="556"/>
        <v>291</v>
      </c>
      <c r="C337" s="400"/>
      <c r="D337" s="410"/>
      <c r="E337" s="402"/>
      <c r="F337" s="402"/>
      <c r="G337" s="400"/>
      <c r="H337" s="2088"/>
      <c r="I337" s="2089"/>
      <c r="J337" s="411"/>
      <c r="K337" s="403"/>
      <c r="L337" s="403"/>
      <c r="M337" s="403"/>
      <c r="N337" s="403"/>
      <c r="O337" s="347"/>
      <c r="P337" s="347"/>
      <c r="Q337" s="1021"/>
      <c r="R337" s="1022"/>
      <c r="S337" s="1022"/>
      <c r="T337" s="1022"/>
      <c r="U337" s="1023"/>
      <c r="V337" s="1021"/>
      <c r="W337" s="1022"/>
      <c r="X337" s="1022"/>
      <c r="Y337" s="1022"/>
      <c r="Z337" s="1023"/>
      <c r="AA337" s="1024"/>
      <c r="AB337" s="1021"/>
      <c r="AC337" s="1022"/>
      <c r="AD337" s="1022"/>
      <c r="AE337" s="1022"/>
      <c r="AF337" s="1023"/>
      <c r="AG337" s="1021"/>
      <c r="AH337" s="1022"/>
      <c r="AI337" s="1022"/>
      <c r="AJ337" s="1022"/>
      <c r="AK337" s="1023"/>
      <c r="AL337" s="1024"/>
      <c r="AM337" s="1021"/>
      <c r="AN337" s="1022"/>
      <c r="AO337" s="1022"/>
      <c r="AP337" s="1022"/>
      <c r="AQ337" s="1023"/>
      <c r="AR337" s="1021"/>
      <c r="AS337" s="1022"/>
      <c r="AT337" s="1022"/>
      <c r="AU337" s="1022"/>
      <c r="AV337" s="1023"/>
      <c r="AW337" s="1025"/>
      <c r="AX337" s="1282">
        <f t="shared" si="532"/>
        <v>0</v>
      </c>
      <c r="AY337" s="387">
        <f t="shared" si="533"/>
        <v>0</v>
      </c>
      <c r="AZ337" s="387">
        <f t="shared" si="534"/>
        <v>0</v>
      </c>
      <c r="BA337" s="387">
        <f t="shared" si="535"/>
        <v>0</v>
      </c>
      <c r="BB337" s="1283">
        <f t="shared" si="536"/>
        <v>0</v>
      </c>
      <c r="BC337" s="386">
        <f t="shared" si="537"/>
        <v>0</v>
      </c>
      <c r="BD337" s="387">
        <f t="shared" si="538"/>
        <v>0</v>
      </c>
      <c r="BE337" s="1277">
        <f t="shared" si="560"/>
        <v>0</v>
      </c>
      <c r="BF337" s="1277">
        <f t="shared" si="561"/>
        <v>0</v>
      </c>
      <c r="BG337" s="388">
        <f t="shared" si="562"/>
        <v>0</v>
      </c>
      <c r="BH337" s="1025"/>
      <c r="BI337" s="1282">
        <f t="shared" ca="1" si="540"/>
        <v>0</v>
      </c>
      <c r="BJ337" s="387">
        <f t="shared" ca="1" si="541"/>
        <v>0</v>
      </c>
      <c r="BK337" s="387">
        <f t="shared" ca="1" si="542"/>
        <v>0</v>
      </c>
      <c r="BL337" s="387">
        <f t="shared" ca="1" si="543"/>
        <v>0</v>
      </c>
      <c r="BM337" s="1283">
        <f t="shared" ca="1" si="544"/>
        <v>0</v>
      </c>
      <c r="BN337" s="386">
        <f t="shared" ca="1" si="563"/>
        <v>0</v>
      </c>
      <c r="BO337" s="387">
        <f t="shared" ca="1" si="564"/>
        <v>0</v>
      </c>
      <c r="BP337" s="1277">
        <f t="shared" ca="1" si="565"/>
        <v>0</v>
      </c>
      <c r="BQ337" s="1277">
        <f t="shared" ca="1" si="566"/>
        <v>0</v>
      </c>
      <c r="BR337" s="388">
        <f t="shared" ca="1" si="567"/>
        <v>0</v>
      </c>
      <c r="BS337" s="1025"/>
      <c r="BT337" s="1282">
        <f>+IF($K337="Ongoing",AX337,IF(RIGHT($K337,2)=RIGHT(BT$43,2),SUM($AX337:AX337),0)+IF(RIGHT(BT$43,2)&gt;RIGHT($K337,2),AX337,0))</f>
        <v>0</v>
      </c>
      <c r="BU337" s="387">
        <f>+IF($K337="Ongoing",AY337,IF(RIGHT($K337,2)=RIGHT(BU$43,2),SUM($AX337:AY337),0)+IF(RIGHT(BU$43,2)&gt;RIGHT($K337,2),AY337,0))</f>
        <v>0</v>
      </c>
      <c r="BV337" s="387">
        <f>+IF($K337="Ongoing",AZ337,IF(RIGHT($K337,2)=RIGHT(BV$43,2),SUM($AX337:AZ337),0)+IF(RIGHT(BV$43,2)&gt;RIGHT($K337,2),AZ337,0))</f>
        <v>0</v>
      </c>
      <c r="BW337" s="387">
        <f>+IF($K337="Ongoing",BA337,IF(RIGHT($K337,2)=RIGHT(BW$43,2),SUM($AX337:BA337),0)+IF(RIGHT(BW$43,2)&gt;RIGHT($K337,2),BA337,0))</f>
        <v>0</v>
      </c>
      <c r="BX337" s="1283">
        <f>+IF($K337="Ongoing",BB337,IF(RIGHT($K337,2)=RIGHT(BX$43,2),SUM($AX337:BB337),0)+IF(RIGHT(BX$43,2)&gt;RIGHT($K337,2),BB337,0))</f>
        <v>0</v>
      </c>
      <c r="BY337" s="386">
        <f>+IF($K337="Ongoing",BC337,IF(RIGHT($K337,2)=RIGHT(BY$43,2),SUM($AX337:BC337),0)+IF(RIGHT(BY$43,2)&gt;RIGHT($K337,2),BC337,0))</f>
        <v>0</v>
      </c>
      <c r="BZ337" s="387">
        <f>+IF($K337="Ongoing",BD337,IF(RIGHT($K337,2)=RIGHT(BZ$43,2),SUM($AX337:BD337),0)+IF(RIGHT(BZ$43,2)&gt;RIGHT($K337,2),BD337,0))</f>
        <v>0</v>
      </c>
      <c r="CA337" s="1277">
        <f>+IF($K337="Ongoing",BE337,IF(RIGHT($K337,2)=RIGHT(CA$43,2),SUM($AX337:BE337),0)+IF(RIGHT(CA$43,2)&gt;RIGHT($K337,2),BE337,0))</f>
        <v>0</v>
      </c>
      <c r="CB337" s="1277">
        <f>+IF($K337="Ongoing",BF337,IF(RIGHT($K337,2)=RIGHT(CB$43,2),SUM($AX337:BF337),0)+IF(RIGHT(CB$43,2)&gt;RIGHT($K337,2),BF337,0))</f>
        <v>0</v>
      </c>
      <c r="CC337" s="388">
        <f>+IF($K337="Ongoing",BG337,IF(RIGHT($K337,2)=RIGHT(CC$43,2),SUM($AX337:BG337),0)+IF(RIGHT(CC$43,2)&gt;RIGHT($K337,2),BG337,0))</f>
        <v>0</v>
      </c>
      <c r="CD337" s="1025"/>
      <c r="CE337" s="1282">
        <f>+Q337*KeyAssumptionsPriceControl_FO!AF$15</f>
        <v>0</v>
      </c>
      <c r="CF337" s="387">
        <f>+R337*KeyAssumptionsPriceControl_FO!AG$15</f>
        <v>0</v>
      </c>
      <c r="CG337" s="387">
        <f>+S337*KeyAssumptionsPriceControl_FO!AH$15</f>
        <v>0</v>
      </c>
      <c r="CH337" s="387">
        <f>+T337*KeyAssumptionsPriceControl_FO!AI$15</f>
        <v>0</v>
      </c>
      <c r="CI337" s="1283">
        <f>+U337*KeyAssumptionsPriceControl_FO!AJ$15</f>
        <v>0</v>
      </c>
      <c r="CJ337" s="386">
        <f>+V337*KeyAssumptionsPriceControl_FO!AK$15</f>
        <v>0</v>
      </c>
      <c r="CK337" s="387">
        <f>+W337*KeyAssumptionsPriceControl_FO!AL$15</f>
        <v>0</v>
      </c>
      <c r="CL337" s="1277">
        <f>+X337*KeyAssumptionsPriceControl_FO!AM$15</f>
        <v>0</v>
      </c>
      <c r="CM337" s="1277">
        <f>+Y337*KeyAssumptionsPriceControl_FO!AN$15</f>
        <v>0</v>
      </c>
      <c r="CN337" s="388">
        <f>+Z337*KeyAssumptionsPriceControl_FO!AO$15</f>
        <v>0</v>
      </c>
      <c r="CO337" s="1025"/>
      <c r="CP337" s="1282">
        <f t="shared" ca="1" si="546"/>
        <v>0</v>
      </c>
      <c r="CQ337" s="387">
        <f t="shared" ca="1" si="547"/>
        <v>0</v>
      </c>
      <c r="CR337" s="387">
        <f t="shared" ca="1" si="548"/>
        <v>0</v>
      </c>
      <c r="CS337" s="387">
        <f t="shared" ca="1" si="549"/>
        <v>0</v>
      </c>
      <c r="CT337" s="1283">
        <f t="shared" ca="1" si="550"/>
        <v>0</v>
      </c>
      <c r="CU337" s="386">
        <f t="shared" ca="1" si="551"/>
        <v>0</v>
      </c>
      <c r="CV337" s="387">
        <f t="shared" ca="1" si="552"/>
        <v>0</v>
      </c>
      <c r="CW337" s="1277">
        <f t="shared" ca="1" si="553"/>
        <v>0</v>
      </c>
      <c r="CX337" s="1277">
        <f t="shared" ca="1" si="554"/>
        <v>0</v>
      </c>
      <c r="CY337" s="388">
        <f t="shared" ca="1" si="555"/>
        <v>0</v>
      </c>
      <c r="CZ337" s="347"/>
      <c r="DA337" s="852"/>
      <c r="DB337" s="347"/>
      <c r="DC337" s="1012" t="s">
        <v>517</v>
      </c>
      <c r="DD337" s="841" t="s">
        <v>518</v>
      </c>
      <c r="DE337" s="386">
        <f>+IF($K337="ongoing",CE337,IF(RIGHT($K337,2)=RIGHT(DE$43,2),SUM($CD337:CE337),0)+IF(RIGHT(DE$43,2)&gt;RIGHT($K337,2),CE337,0))</f>
        <v>0</v>
      </c>
      <c r="DF337" s="387">
        <f>+IF($K337="ongoing",CF337,IF(RIGHT($K337,2)=RIGHT(DF$43,2),SUM($CD337:CF337),0)+IF(RIGHT(DF$43,2)&gt;RIGHT($K337,2),CF337,0))</f>
        <v>0</v>
      </c>
      <c r="DG337" s="388">
        <f>+IF($K337="ongoing",CG337,IF(RIGHT($K337,2)=RIGHT(DG$43,2),SUM($CD337:CG337),0)+IF(RIGHT(DG$43,2)&gt;RIGHT($K337,2),CG337,0))</f>
        <v>0</v>
      </c>
      <c r="DH337" s="386">
        <f>+IF($K337="ongoing",CH337,IF(RIGHT($K337,2)=RIGHT(DH$43,2),SUM($CD337:CH337),0)+IF(RIGHT(DH$43,2)&gt;RIGHT($K337,2),CH337,0))</f>
        <v>0</v>
      </c>
      <c r="DI337" s="387">
        <f>+IF($K337="ongoing",CI337,IF(RIGHT($K337,2)=RIGHT(DI$43,2),SUM($CD337:CI337),0)+IF(RIGHT(DI$43,2)&gt;RIGHT($K337,2),CI337,0))</f>
        <v>0</v>
      </c>
      <c r="DJ337" s="387">
        <f>+IF($K337="ongoing",CJ337,IF(RIGHT($K337,2)=RIGHT(DJ$43,2),SUM($CD337:CJ337),0)+IF(RIGHT(DJ$43,2)&gt;RIGHT($K337,2),CJ337,0))</f>
        <v>0</v>
      </c>
      <c r="DK337" s="387">
        <f>+IF($K337="ongoing",CK337,IF(RIGHT($K337,2)=RIGHT(DK$43,2),SUM($CD337:CK337),0)+IF(RIGHT(DK$43,2)&gt;RIGHT($K337,2),CK337,0))</f>
        <v>0</v>
      </c>
      <c r="DL337" s="388">
        <f>+IF($K337="ongoing",CN337,IF(RIGHT($K337,2)=RIGHT(DL$43,2),SUM($CD337:CN337),0)+IF(RIGHT(DL$43,2)&gt;RIGHT($K337,2),CN337,0))</f>
        <v>0</v>
      </c>
      <c r="DM337" s="841"/>
      <c r="DN337" s="386">
        <f t="shared" si="568"/>
        <v>0.5</v>
      </c>
      <c r="DO337" s="387">
        <f t="shared" si="568"/>
        <v>1</v>
      </c>
      <c r="DP337" s="388">
        <f t="shared" si="568"/>
        <v>1</v>
      </c>
      <c r="DQ337" s="386">
        <f t="shared" si="568"/>
        <v>1</v>
      </c>
      <c r="DR337" s="387">
        <f t="shared" si="568"/>
        <v>1</v>
      </c>
      <c r="DS337" s="387">
        <f t="shared" si="568"/>
        <v>1</v>
      </c>
      <c r="DT337" s="387">
        <f t="shared" si="568"/>
        <v>1</v>
      </c>
      <c r="DU337" s="388">
        <f t="shared" si="568"/>
        <v>1</v>
      </c>
      <c r="DW337" s="386">
        <f t="shared" si="569"/>
        <v>0</v>
      </c>
      <c r="DX337" s="387">
        <f t="shared" si="569"/>
        <v>0.5</v>
      </c>
      <c r="DY337" s="388">
        <f t="shared" si="569"/>
        <v>1</v>
      </c>
      <c r="DZ337" s="386">
        <f t="shared" si="569"/>
        <v>1</v>
      </c>
      <c r="EA337" s="387">
        <f t="shared" si="569"/>
        <v>1</v>
      </c>
      <c r="EB337" s="387">
        <f t="shared" si="569"/>
        <v>1</v>
      </c>
      <c r="EC337" s="387">
        <f t="shared" si="569"/>
        <v>1</v>
      </c>
      <c r="ED337" s="388">
        <f t="shared" si="569"/>
        <v>1</v>
      </c>
      <c r="EF337" s="834">
        <f>+IF(DN337=DM337,0,
IF(AND(EF$44&gt;1,DN337=$N337),1-SUM($EE337:EE337),
IF($N337&lt;=1,
IF($N337&gt;0,1/$N337,0),
IF(EF$44=1,0,VDB(1,0,$N337,INT(EF$44-1-1),MIN($N337,INT(EF$44-1-1)+1),$DC337,IF($DD337="No",1,0))/
IF(DM337&gt;=INT($N337),$N337-INT($N337),1)))*
IF(EF$44=1,0,
IF(INT(DN337)=INT(DM337),DN337-DM337,INT(DN337)-DM337))+
IF($N337&lt;=1,
IF($N337&gt;0,1/$N337,0),VDB(1,0,$N337,INT(EF$44-1),MIN($N337,INT(EF$44-1)+1),$DC337,IF($DD337="No",1,0))/
IF(DN337&gt;INT($N337),$N337-INT($N337),1))*
IF(EF$44=1,DN337,
IF(INT(DN337)=INT(DM337),0,DN337-INT(DN337)))))</f>
        <v>0</v>
      </c>
      <c r="EG337" s="835">
        <f>+IF(DO337=DN337,0,
IF(AND(EG$44&gt;1,DO337=$N337),1-SUM($EE337:EF337),
IF($N337&lt;=1,
IF($N337&gt;0,1/$N337,0),
IF(EG$44=1,0,VDB(1,0,$N337,INT(EG$44-1-1),MIN($N337,INT(EG$44-1-1)+1),$DC337,IF($DD337="No",1,0))/
IF(DN337&gt;=INT($N337),$N337-INT($N337),1)))*
IF(EG$44=1,0,
IF(INT(DO337)=INT(DN337),DO337-DN337,INT(DO337)-DN337))+
IF($N337&lt;=1,
IF($N337&gt;0,1/$N337,0),VDB(1,0,$N337,INT(EG$44-1),MIN($N337,INT(EG$44-1)+1),$DC337,IF($DD337="No",1,0))/
IF(DO337&gt;INT($N337),$N337-INT($N337),1))*
IF(EG$44=1,DO337,
IF(INT(DO337)=INT(DN337),0,DO337-INT(DO337)))))</f>
        <v>0</v>
      </c>
      <c r="EH337" s="836">
        <f>+IF(DP337=DO337,0,
IF(AND(EH$44&gt;1,DP337=$N337),1-SUM($EE337:EG337),
IF($N337&lt;=1,
IF($N337&gt;0,1/$N337,0),
IF(EH$44=1,0,VDB(1,0,$N337,INT(EH$44-1-1),MIN($N337,INT(EH$44-1-1)+1),$DC337,IF($DD337="No",1,0))/
IF(DO337&gt;=INT($N337),$N337-INT($N337),1)))*
IF(EH$44=1,0,
IF(INT(DP337)=INT(DO337),DP337-DO337,INT(DP337)-DO337))+
IF($N337&lt;=1,
IF($N337&gt;0,1/$N337,0),VDB(1,0,$N337,INT(EH$44-1),MIN($N337,INT(EH$44-1)+1),$DC337,IF($DD337="No",1,0))/
IF(DP337&gt;INT($N337),$N337-INT($N337),1))*
IF(EH$44=1,DP337,
IF(INT(DP337)=INT(DO337),0,DP337-INT(DP337)))))</f>
        <v>0</v>
      </c>
      <c r="EI337" s="834">
        <f>+IF(DQ337=DP337,0,
IF(AND(EI$44&gt;1,DQ337=$N337),1-SUM($EE337:EH337),
IF($N337&lt;=1,
IF($N337&gt;0,1/$N337,0),
IF(EI$44=1,0,VDB(1,0,$N337,INT(EI$44-1-1),MIN($N337,INT(EI$44-1-1)+1),$DC337,IF($DD337="No",1,0))/
IF(DP337&gt;=INT($N337),$N337-INT($N337),1)))*
IF(EI$44=1,0,
IF(INT(DQ337)=INT(DP337),DQ337-DP337,INT(DQ337)-DP337))+
IF($N337&lt;=1,
IF($N337&gt;0,1/$N337,0),VDB(1,0,$N337,INT(EI$44-1),MIN($N337,INT(EI$44-1)+1),$DC337,IF($DD337="No",1,0))/
IF(DQ337&gt;INT($N337),$N337-INT($N337),1))*
IF(EI$44=1,DQ337,
IF(INT(DQ337)=INT(DP337),0,DQ337-INT(DQ337)))))</f>
        <v>0</v>
      </c>
      <c r="EJ337" s="835">
        <f>+IF(DR337=DQ337,0,
IF(AND(EJ$44&gt;1,DR337=$N337),1-SUM($EE337:EI337),
IF($N337&lt;=1,
IF($N337&gt;0,1/$N337,0),
IF(EJ$44=1,0,VDB(1,0,$N337,INT(EJ$44-1-1),MIN($N337,INT(EJ$44-1-1)+1),$DC337,IF($DD337="No",1,0))/
IF(DQ337&gt;=INT($N337),$N337-INT($N337),1)))*
IF(EJ$44=1,0,
IF(INT(DR337)=INT(DQ337),DR337-DQ337,INT(DR337)-DQ337))+
IF($N337&lt;=1,
IF($N337&gt;0,1/$N337,0),VDB(1,0,$N337,INT(EJ$44-1),MIN($N337,INT(EJ$44-1)+1),$DC337,IF($DD337="No",1,0))/
IF(DR337&gt;INT($N337),$N337-INT($N337),1))*
IF(EJ$44=1,DR337,
IF(INT(DR337)=INT(DQ337),0,DR337-INT(DR337)))))</f>
        <v>0</v>
      </c>
      <c r="EK337" s="835">
        <f>+IF(DS337=DR337,0,
IF(AND(EK$44&gt;1,DS337=$N337),1-SUM($EE337:EJ337),
IF($N337&lt;=1,
IF($N337&gt;0,1/$N337,0),
IF(EK$44=1,0,VDB(1,0,$N337,INT(EK$44-1-1),MIN($N337,INT(EK$44-1-1)+1),$DC337,IF($DD337="No",1,0))/
IF(DR337&gt;=INT($N337),$N337-INT($N337),1)))*
IF(EK$44=1,0,
IF(INT(DS337)=INT(DR337),DS337-DR337,INT(DS337)-DR337))+
IF($N337&lt;=1,
IF($N337&gt;0,1/$N337,0),VDB(1,0,$N337,INT(EK$44-1),MIN($N337,INT(EK$44-1)+1),$DC337,IF($DD337="No",1,0))/
IF(DS337&gt;INT($N337),$N337-INT($N337),1))*
IF(EK$44=1,DS337,
IF(INT(DS337)=INT(DR337),0,DS337-INT(DS337)))))</f>
        <v>0</v>
      </c>
      <c r="EL337" s="835">
        <f>+IF(DT337=DS337,0,
IF(AND(EL$44&gt;1,DT337=$N337),1-SUM($EE337:EK337),
IF($N337&lt;=1,
IF($N337&gt;0,1/$N337,0),
IF(EL$44=1,0,VDB(1,0,$N337,INT(EL$44-1-1),MIN($N337,INT(EL$44-1-1)+1),$DC337,IF($DD337="No",1,0))/
IF(DS337&gt;=INT($N337),$N337-INT($N337),1)))*
IF(EL$44=1,0,
IF(INT(DT337)=INT(DS337),DT337-DS337,INT(DT337)-DS337))+
IF($N337&lt;=1,
IF($N337&gt;0,1/$N337,0),VDB(1,0,$N337,INT(EL$44-1),MIN($N337,INT(EL$44-1)+1),$DC337,IF($DD337="No",1,0))/
IF(DT337&gt;INT($N337),$N337-INT($N337),1))*
IF(EL$44=1,DT337,
IF(INT(DT337)=INT(DS337),0,DT337-INT(DT337)))))</f>
        <v>0</v>
      </c>
      <c r="EM337" s="836">
        <f>+IF(DU337=DT337,0,
IF(AND(EM$44&gt;1,DU337=$N337),1-SUM($EE337:EL337),
IF($N337&lt;=1,
IF($N337&gt;0,1/$N337,0),
IF(EM$44=1,0,VDB(1,0,$N337,INT(EM$44-1-1),MIN($N337,INT(EM$44-1-1)+1),$DC337,IF($DD337="No",1,0))/
IF(DT337&gt;=INT($N337),$N337-INT($N337),1)))*
IF(EM$44=1,0,
IF(INT(DU337)=INT(DT337),DU337-DT337,INT(DU337)-DT337))+
IF($N337&lt;=1,
IF($N337&gt;0,1/$N337,0),VDB(1,0,$N337,INT(EM$44-1),MIN($N337,INT(EM$44-1)+1),$DC337,IF($DD337="No",1,0))/
IF(DU337&gt;INT($N337),$N337-INT($N337),1))*
IF(EM$44=1,DU337,
IF(INT(DU337)=INT(DT337),0,DU337-INT(DU337)))))</f>
        <v>0</v>
      </c>
      <c r="EN337" s="833"/>
      <c r="EO337" s="834">
        <f>+IF(OR(DW337=DV337,EO$44=1),0,
IF(AND(EO$44&gt;1,DW337=$N337),1-SUM($EN337:EN337),
IF($N337&lt;=1,
IF($N337&gt;0,1/$N337,0),
IF(EO$44=2,0,VDB(1,0,$N337,INT(EO$44-2-1),MIN($N337,INT(EO$44-2-1)+1),$DC337,IF($DD337="No",1,0))/
IF(DV337&gt;=INT($N337),$N337-INT($N337),1)))*
IF(EO$44=2,0,
IF(INT(DW337)=INT(DV337),DW337-DV337,INT(DW337)-DV337))+
IF($N337&lt;=1,
IF($N337&gt;0,1/$N337,0),VDB(1,0,$N337,INT(EO$44-2),MIN($N337,INT(EO$44-2)+1),$DC337,IF($DD337="No",1,0))/
IF(DW337&gt;INT($N337),$N337-INT($N337),1))*
IF(EO$44=2,DW337,
IF(INT(DW337)=INT(DV337),0,DW337-INT(DW337)))))</f>
        <v>0</v>
      </c>
      <c r="EP337" s="835">
        <f>+IF(OR(DX337=DW337,EP$44=1),0,
IF(AND(EP$44&gt;1,DX337=$N337),1-SUM($EN337:EO337),
IF($N337&lt;=1,
IF($N337&gt;0,1/$N337,0),
IF(EP$44=2,0,VDB(1,0,$N337,INT(EP$44-2-1),MIN($N337,INT(EP$44-2-1)+1),$DC337,IF($DD337="No",1,0))/
IF(DW337&gt;=INT($N337),$N337-INT($N337),1)))*
IF(EP$44=2,0,
IF(INT(DX337)=INT(DW337),DX337-DW337,INT(DX337)-DW337))+
IF($N337&lt;=1,
IF($N337&gt;0,1/$N337,0),VDB(1,0,$N337,INT(EP$44-2),MIN($N337,INT(EP$44-2)+1),$DC337,IF($DD337="No",1,0))/
IF(DX337&gt;INT($N337),$N337-INT($N337),1))*
IF(EP$44=2,DX337,
IF(INT(DX337)=INT(DW337),0,DX337-INT(DX337)))))</f>
        <v>0</v>
      </c>
      <c r="EQ337" s="836">
        <f>+IF(OR(DY337=DX337,EQ$44=1),0,
IF(AND(EQ$44&gt;1,DY337=$N337),1-SUM($EN337:EP337),
IF($N337&lt;=1,
IF($N337&gt;0,1/$N337,0),
IF(EQ$44=2,0,VDB(1,0,$N337,INT(EQ$44-2-1),MIN($N337,INT(EQ$44-2-1)+1),$DC337,IF($DD337="No",1,0))/
IF(DX337&gt;=INT($N337),$N337-INT($N337),1)))*
IF(EQ$44=2,0,
IF(INT(DY337)=INT(DX337),DY337-DX337,INT(DY337)-DX337))+
IF($N337&lt;=1,
IF($N337&gt;0,1/$N337,0),VDB(1,0,$N337,INT(EQ$44-2),MIN($N337,INT(EQ$44-2)+1),$DC337,IF($DD337="No",1,0))/
IF(DY337&gt;INT($N337),$N337-INT($N337),1))*
IF(EQ$44=2,DY337,
IF(INT(DY337)=INT(DX337),0,DY337-INT(DY337)))))</f>
        <v>0</v>
      </c>
      <c r="ER337" s="834">
        <f>+IF(OR(DZ337=DY337,ER$44=1),0,
IF(AND(ER$44&gt;1,DZ337=$N337),1-SUM($EN337:EQ337),
IF($N337&lt;=1,
IF($N337&gt;0,1/$N337,0),
IF(ER$44=2,0,VDB(1,0,$N337,INT(ER$44-2-1),MIN($N337,INT(ER$44-2-1)+1),$DC337,IF($DD337="No",1,0))/
IF(DY337&gt;=INT($N337),$N337-INT($N337),1)))*
IF(ER$44=2,0,
IF(INT(DZ337)=INT(DY337),DZ337-DY337,INT(DZ337)-DY337))+
IF($N337&lt;=1,
IF($N337&gt;0,1/$N337,0),VDB(1,0,$N337,INT(ER$44-2),MIN($N337,INT(ER$44-2)+1),$DC337,IF($DD337="No",1,0))/
IF(DZ337&gt;INT($N337),$N337-INT($N337),1))*
IF(ER$44=2,DZ337,
IF(INT(DZ337)=INT(DY337),0,DZ337-INT(DZ337)))))</f>
        <v>0</v>
      </c>
      <c r="ES337" s="835">
        <f>+IF(OR(EA337=DZ337,ES$44=1),0,
IF(AND(ES$44&gt;1,EA337=$N337),1-SUM($EN337:ER337),
IF($N337&lt;=1,
IF($N337&gt;0,1/$N337,0),
IF(ES$44=2,0,VDB(1,0,$N337,INT(ES$44-2-1),MIN($N337,INT(ES$44-2-1)+1),$DC337,IF($DD337="No",1,0))/
IF(DZ337&gt;=INT($N337),$N337-INT($N337),1)))*
IF(ES$44=2,0,
IF(INT(EA337)=INT(DZ337),EA337-DZ337,INT(EA337)-DZ337))+
IF($N337&lt;=1,
IF($N337&gt;0,1/$N337,0),VDB(1,0,$N337,INT(ES$44-2),MIN($N337,INT(ES$44-2)+1),$DC337,IF($DD337="No",1,0))/
IF(EA337&gt;INT($N337),$N337-INT($N337),1))*
IF(ES$44=2,EA337,
IF(INT(EA337)=INT(DZ337),0,EA337-INT(EA337)))))</f>
        <v>0</v>
      </c>
      <c r="ET337" s="835">
        <f>+IF(OR(EB337=EA337,ET$44=1),0,
IF(AND(ET$44&gt;1,EB337=$N337),1-SUM($EN337:ES337),
IF($N337&lt;=1,
IF($N337&gt;0,1/$N337,0),
IF(ET$44=2,0,VDB(1,0,$N337,INT(ET$44-2-1),MIN($N337,INT(ET$44-2-1)+1),$DC337,IF($DD337="No",1,0))/
IF(EA337&gt;=INT($N337),$N337-INT($N337),1)))*
IF(ET$44=2,0,
IF(INT(EB337)=INT(EA337),EB337-EA337,INT(EB337)-EA337))+
IF($N337&lt;=1,
IF($N337&gt;0,1/$N337,0),VDB(1,0,$N337,INT(ET$44-2),MIN($N337,INT(ET$44-2)+1),$DC337,IF($DD337="No",1,0))/
IF(EB337&gt;INT($N337),$N337-INT($N337),1))*
IF(ET$44=2,EB337,
IF(INT(EB337)=INT(EA337),0,EB337-INT(EB337)))))</f>
        <v>0</v>
      </c>
      <c r="EU337" s="835">
        <f>+IF(OR(EC337=EB337,EU$44=1),0,
IF(AND(EU$44&gt;1,EC337=$N337),1-SUM($EN337:ET337),
IF($N337&lt;=1,
IF($N337&gt;0,1/$N337,0),
IF(EU$44=2,0,VDB(1,0,$N337,INT(EU$44-2-1),MIN($N337,INT(EU$44-2-1)+1),$DC337,IF($DD337="No",1,0))/
IF(EB337&gt;=INT($N337),$N337-INT($N337),1)))*
IF(EU$44=2,0,
IF(INT(EC337)=INT(EB337),EC337-EB337,INT(EC337)-EB337))+
IF($N337&lt;=1,
IF($N337&gt;0,1/$N337,0),VDB(1,0,$N337,INT(EU$44-2),MIN($N337,INT(EU$44-2)+1),$DC337,IF($DD337="No",1,0))/
IF(EC337&gt;INT($N337),$N337-INT($N337),1))*
IF(EU$44=2,EC337,
IF(INT(EC337)=INT(EB337),0,EC337-INT(EC337)))))</f>
        <v>0</v>
      </c>
      <c r="EV337" s="836">
        <f>+IF(OR(ED337=EC337,EV$44=1),0,
IF(AND(EV$44&gt;1,ED337=$N337),1-SUM($EN337:EU337),
IF($N337&lt;=1,
IF($N337&gt;0,1/$N337,0),
IF(EV$44=2,0,VDB(1,0,$N337,INT(EV$44-2-1),MIN($N337,INT(EV$44-2-1)+1),$DC337,IF($DD337="No",1,0))/
IF(EC337&gt;=INT($N337),$N337-INT($N337),1)))*
IF(EV$44=2,0,
IF(INT(ED337)=INT(EC337),ED337-EC337,INT(ED337)-EC337))+
IF($N337&lt;=1,
IF($N337&gt;0,1/$N337,0),VDB(1,0,$N337,INT(EV$44-2),MIN($N337,INT(EV$44-2)+1),$DC337,IF($DD337="No",1,0))/
IF(ED337&gt;INT($N337),$N337-INT($N337),1))*
IF(EV$44=2,ED337,
IF(INT(ED337)=INT(EC337),0,ED337-INT(ED337)))))</f>
        <v>0</v>
      </c>
      <c r="EW337" s="833"/>
      <c r="EX337" s="834">
        <f t="shared" ca="1" si="570"/>
        <v>0</v>
      </c>
      <c r="EY337" s="835">
        <f t="shared" ca="1" si="570"/>
        <v>0</v>
      </c>
      <c r="EZ337" s="836">
        <f t="shared" ca="1" si="570"/>
        <v>0</v>
      </c>
      <c r="FA337" s="834">
        <f t="shared" ca="1" si="570"/>
        <v>0</v>
      </c>
      <c r="FB337" s="835">
        <f t="shared" ca="1" si="570"/>
        <v>0</v>
      </c>
      <c r="FC337" s="835">
        <f t="shared" ca="1" si="570"/>
        <v>0</v>
      </c>
      <c r="FD337" s="835">
        <f t="shared" ca="1" si="570"/>
        <v>0</v>
      </c>
      <c r="FE337" s="836">
        <f t="shared" ca="1" si="570"/>
        <v>0</v>
      </c>
      <c r="FG337" s="386">
        <f t="shared" ca="1" si="521"/>
        <v>0</v>
      </c>
      <c r="FH337" s="387">
        <f t="shared" ca="1" si="522"/>
        <v>0</v>
      </c>
      <c r="FI337" s="388">
        <f t="shared" ca="1" si="523"/>
        <v>0</v>
      </c>
      <c r="FJ337" s="386">
        <f t="shared" ca="1" si="524"/>
        <v>0</v>
      </c>
      <c r="FK337" s="387">
        <f t="shared" ca="1" si="525"/>
        <v>0</v>
      </c>
      <c r="FL337" s="387">
        <f t="shared" ca="1" si="526"/>
        <v>0</v>
      </c>
      <c r="FM337" s="387">
        <f t="shared" ca="1" si="527"/>
        <v>0</v>
      </c>
      <c r="FN337" s="388">
        <f t="shared" ca="1" si="528"/>
        <v>0</v>
      </c>
      <c r="FR337" s="116"/>
    </row>
    <row r="338" spans="2:174">
      <c r="B338" s="1410">
        <f t="shared" si="556"/>
        <v>292</v>
      </c>
      <c r="C338" s="400"/>
      <c r="D338" s="410"/>
      <c r="E338" s="402"/>
      <c r="F338" s="402"/>
      <c r="G338" s="400"/>
      <c r="H338" s="2088"/>
      <c r="I338" s="2089"/>
      <c r="J338" s="411"/>
      <c r="K338" s="403"/>
      <c r="L338" s="403"/>
      <c r="M338" s="403"/>
      <c r="N338" s="403"/>
      <c r="O338" s="347"/>
      <c r="P338" s="347"/>
      <c r="Q338" s="1021"/>
      <c r="R338" s="1022"/>
      <c r="S338" s="1022"/>
      <c r="T338" s="1022"/>
      <c r="U338" s="1023"/>
      <c r="V338" s="1021"/>
      <c r="W338" s="1022"/>
      <c r="X338" s="1022"/>
      <c r="Y338" s="1022"/>
      <c r="Z338" s="1023"/>
      <c r="AA338" s="1024"/>
      <c r="AB338" s="1021"/>
      <c r="AC338" s="1022"/>
      <c r="AD338" s="1022"/>
      <c r="AE338" s="1022"/>
      <c r="AF338" s="1023"/>
      <c r="AG338" s="1021"/>
      <c r="AH338" s="1022"/>
      <c r="AI338" s="1022"/>
      <c r="AJ338" s="1022"/>
      <c r="AK338" s="1023"/>
      <c r="AL338" s="1024"/>
      <c r="AM338" s="1021"/>
      <c r="AN338" s="1022"/>
      <c r="AO338" s="1022"/>
      <c r="AP338" s="1022"/>
      <c r="AQ338" s="1023"/>
      <c r="AR338" s="1021"/>
      <c r="AS338" s="1022"/>
      <c r="AT338" s="1022"/>
      <c r="AU338" s="1022"/>
      <c r="AV338" s="1023"/>
      <c r="AW338" s="1025"/>
      <c r="AX338" s="1282">
        <f t="shared" si="532"/>
        <v>0</v>
      </c>
      <c r="AY338" s="387">
        <f t="shared" si="533"/>
        <v>0</v>
      </c>
      <c r="AZ338" s="387">
        <f t="shared" si="534"/>
        <v>0</v>
      </c>
      <c r="BA338" s="387">
        <f t="shared" si="535"/>
        <v>0</v>
      </c>
      <c r="BB338" s="1283">
        <f t="shared" si="536"/>
        <v>0</v>
      </c>
      <c r="BC338" s="386">
        <f t="shared" si="537"/>
        <v>0</v>
      </c>
      <c r="BD338" s="387">
        <f t="shared" si="538"/>
        <v>0</v>
      </c>
      <c r="BE338" s="1277">
        <f t="shared" si="560"/>
        <v>0</v>
      </c>
      <c r="BF338" s="1277">
        <f t="shared" si="561"/>
        <v>0</v>
      </c>
      <c r="BG338" s="388">
        <f t="shared" si="562"/>
        <v>0</v>
      </c>
      <c r="BH338" s="1025"/>
      <c r="BI338" s="1282">
        <f t="shared" ca="1" si="540"/>
        <v>0</v>
      </c>
      <c r="BJ338" s="387">
        <f t="shared" ca="1" si="541"/>
        <v>0</v>
      </c>
      <c r="BK338" s="387">
        <f t="shared" ca="1" si="542"/>
        <v>0</v>
      </c>
      <c r="BL338" s="387">
        <f t="shared" ca="1" si="543"/>
        <v>0</v>
      </c>
      <c r="BM338" s="1283">
        <f t="shared" ca="1" si="544"/>
        <v>0</v>
      </c>
      <c r="BN338" s="386">
        <f t="shared" ca="1" si="563"/>
        <v>0</v>
      </c>
      <c r="BO338" s="387">
        <f t="shared" ca="1" si="564"/>
        <v>0</v>
      </c>
      <c r="BP338" s="1277">
        <f t="shared" ca="1" si="565"/>
        <v>0</v>
      </c>
      <c r="BQ338" s="1277">
        <f t="shared" ca="1" si="566"/>
        <v>0</v>
      </c>
      <c r="BR338" s="388">
        <f t="shared" ca="1" si="567"/>
        <v>0</v>
      </c>
      <c r="BS338" s="1025"/>
      <c r="BT338" s="1282">
        <f>+IF($K338="Ongoing",AX338,IF(RIGHT($K338,2)=RIGHT(BT$43,2),SUM($AX338:AX338),0)+IF(RIGHT(BT$43,2)&gt;RIGHT($K338,2),AX338,0))</f>
        <v>0</v>
      </c>
      <c r="BU338" s="387">
        <f>+IF($K338="Ongoing",AY338,IF(RIGHT($K338,2)=RIGHT(BU$43,2),SUM($AX338:AY338),0)+IF(RIGHT(BU$43,2)&gt;RIGHT($K338,2),AY338,0))</f>
        <v>0</v>
      </c>
      <c r="BV338" s="387">
        <f>+IF($K338="Ongoing",AZ338,IF(RIGHT($K338,2)=RIGHT(BV$43,2),SUM($AX338:AZ338),0)+IF(RIGHT(BV$43,2)&gt;RIGHT($K338,2),AZ338,0))</f>
        <v>0</v>
      </c>
      <c r="BW338" s="387">
        <f>+IF($K338="Ongoing",BA338,IF(RIGHT($K338,2)=RIGHT(BW$43,2),SUM($AX338:BA338),0)+IF(RIGHT(BW$43,2)&gt;RIGHT($K338,2),BA338,0))</f>
        <v>0</v>
      </c>
      <c r="BX338" s="1283">
        <f>+IF($K338="Ongoing",BB338,IF(RIGHT($K338,2)=RIGHT(BX$43,2),SUM($AX338:BB338),0)+IF(RIGHT(BX$43,2)&gt;RIGHT($K338,2),BB338,0))</f>
        <v>0</v>
      </c>
      <c r="BY338" s="386">
        <f>+IF($K338="Ongoing",BC338,IF(RIGHT($K338,2)=RIGHT(BY$43,2),SUM($AX338:BC338),0)+IF(RIGHT(BY$43,2)&gt;RIGHT($K338,2),BC338,0))</f>
        <v>0</v>
      </c>
      <c r="BZ338" s="387">
        <f>+IF($K338="Ongoing",BD338,IF(RIGHT($K338,2)=RIGHT(BZ$43,2),SUM($AX338:BD338),0)+IF(RIGHT(BZ$43,2)&gt;RIGHT($K338,2),BD338,0))</f>
        <v>0</v>
      </c>
      <c r="CA338" s="1277">
        <f>+IF($K338="Ongoing",BE338,IF(RIGHT($K338,2)=RIGHT(CA$43,2),SUM($AX338:BE338),0)+IF(RIGHT(CA$43,2)&gt;RIGHT($K338,2),BE338,0))</f>
        <v>0</v>
      </c>
      <c r="CB338" s="1277">
        <f>+IF($K338="Ongoing",BF338,IF(RIGHT($K338,2)=RIGHT(CB$43,2),SUM($AX338:BF338),0)+IF(RIGHT(CB$43,2)&gt;RIGHT($K338,2),BF338,0))</f>
        <v>0</v>
      </c>
      <c r="CC338" s="388">
        <f>+IF($K338="Ongoing",BG338,IF(RIGHT($K338,2)=RIGHT(CC$43,2),SUM($AX338:BG338),0)+IF(RIGHT(CC$43,2)&gt;RIGHT($K338,2),BG338,0))</f>
        <v>0</v>
      </c>
      <c r="CD338" s="1025"/>
      <c r="CE338" s="1282">
        <f>+Q338*KeyAssumptionsPriceControl_FO!AF$15</f>
        <v>0</v>
      </c>
      <c r="CF338" s="387">
        <f>+R338*KeyAssumptionsPriceControl_FO!AG$15</f>
        <v>0</v>
      </c>
      <c r="CG338" s="387">
        <f>+S338*KeyAssumptionsPriceControl_FO!AH$15</f>
        <v>0</v>
      </c>
      <c r="CH338" s="387">
        <f>+T338*KeyAssumptionsPriceControl_FO!AI$15</f>
        <v>0</v>
      </c>
      <c r="CI338" s="1283">
        <f>+U338*KeyAssumptionsPriceControl_FO!AJ$15</f>
        <v>0</v>
      </c>
      <c r="CJ338" s="386">
        <f>+V338*KeyAssumptionsPriceControl_FO!AK$15</f>
        <v>0</v>
      </c>
      <c r="CK338" s="387">
        <f>+W338*KeyAssumptionsPriceControl_FO!AL$15</f>
        <v>0</v>
      </c>
      <c r="CL338" s="1277">
        <f>+X338*KeyAssumptionsPriceControl_FO!AM$15</f>
        <v>0</v>
      </c>
      <c r="CM338" s="1277">
        <f>+Y338*KeyAssumptionsPriceControl_FO!AN$15</f>
        <v>0</v>
      </c>
      <c r="CN338" s="388">
        <f>+Z338*KeyAssumptionsPriceControl_FO!AO$15</f>
        <v>0</v>
      </c>
      <c r="CO338" s="1025"/>
      <c r="CP338" s="1282">
        <f t="shared" ca="1" si="546"/>
        <v>0</v>
      </c>
      <c r="CQ338" s="387">
        <f t="shared" ca="1" si="547"/>
        <v>0</v>
      </c>
      <c r="CR338" s="387">
        <f t="shared" ca="1" si="548"/>
        <v>0</v>
      </c>
      <c r="CS338" s="387">
        <f t="shared" ca="1" si="549"/>
        <v>0</v>
      </c>
      <c r="CT338" s="1283">
        <f t="shared" ca="1" si="550"/>
        <v>0</v>
      </c>
      <c r="CU338" s="386">
        <f t="shared" ca="1" si="551"/>
        <v>0</v>
      </c>
      <c r="CV338" s="387">
        <f t="shared" ca="1" si="552"/>
        <v>0</v>
      </c>
      <c r="CW338" s="1277">
        <f t="shared" ca="1" si="553"/>
        <v>0</v>
      </c>
      <c r="CX338" s="1277">
        <f t="shared" ca="1" si="554"/>
        <v>0</v>
      </c>
      <c r="CY338" s="388">
        <f t="shared" ca="1" si="555"/>
        <v>0</v>
      </c>
      <c r="CZ338" s="347"/>
      <c r="DA338" s="852"/>
      <c r="DB338" s="347"/>
      <c r="DC338" s="1012" t="s">
        <v>517</v>
      </c>
      <c r="DD338" s="841" t="s">
        <v>518</v>
      </c>
      <c r="DE338" s="386">
        <f>+IF($K338="ongoing",CE338,IF(RIGHT($K338,2)=RIGHT(DE$43,2),SUM($CD338:CE338),0)+IF(RIGHT(DE$43,2)&gt;RIGHT($K338,2),CE338,0))</f>
        <v>0</v>
      </c>
      <c r="DF338" s="387">
        <f>+IF($K338="ongoing",CF338,IF(RIGHT($K338,2)=RIGHT(DF$43,2),SUM($CD338:CF338),0)+IF(RIGHT(DF$43,2)&gt;RIGHT($K338,2),CF338,0))</f>
        <v>0</v>
      </c>
      <c r="DG338" s="388">
        <f>+IF($K338="ongoing",CG338,IF(RIGHT($K338,2)=RIGHT(DG$43,2),SUM($CD338:CG338),0)+IF(RIGHT(DG$43,2)&gt;RIGHT($K338,2),CG338,0))</f>
        <v>0</v>
      </c>
      <c r="DH338" s="386">
        <f>+IF($K338="ongoing",CH338,IF(RIGHT($K338,2)=RIGHT(DH$43,2),SUM($CD338:CH338),0)+IF(RIGHT(DH$43,2)&gt;RIGHT($K338,2),CH338,0))</f>
        <v>0</v>
      </c>
      <c r="DI338" s="387">
        <f>+IF($K338="ongoing",CI338,IF(RIGHT($K338,2)=RIGHT(DI$43,2),SUM($CD338:CI338),0)+IF(RIGHT(DI$43,2)&gt;RIGHT($K338,2),CI338,0))</f>
        <v>0</v>
      </c>
      <c r="DJ338" s="387">
        <f>+IF($K338="ongoing",CJ338,IF(RIGHT($K338,2)=RIGHT(DJ$43,2),SUM($CD338:CJ338),0)+IF(RIGHT(DJ$43,2)&gt;RIGHT($K338,2),CJ338,0))</f>
        <v>0</v>
      </c>
      <c r="DK338" s="387">
        <f>+IF($K338="ongoing",CK338,IF(RIGHT($K338,2)=RIGHT(DK$43,2),SUM($CD338:CK338),0)+IF(RIGHT(DK$43,2)&gt;RIGHT($K338,2),CK338,0))</f>
        <v>0</v>
      </c>
      <c r="DL338" s="388">
        <f>+IF($K338="ongoing",CN338,IF(RIGHT($K338,2)=RIGHT(DL$43,2),SUM($CD338:CN338),0)+IF(RIGHT(DL$43,2)&gt;RIGHT($K338,2),CN338,0))</f>
        <v>0</v>
      </c>
      <c r="DM338" s="841"/>
      <c r="DN338" s="386">
        <f t="shared" si="568"/>
        <v>0.5</v>
      </c>
      <c r="DO338" s="387">
        <f t="shared" si="568"/>
        <v>1</v>
      </c>
      <c r="DP338" s="388">
        <f t="shared" si="568"/>
        <v>1</v>
      </c>
      <c r="DQ338" s="386">
        <f t="shared" si="568"/>
        <v>1</v>
      </c>
      <c r="DR338" s="387">
        <f t="shared" si="568"/>
        <v>1</v>
      </c>
      <c r="DS338" s="387">
        <f t="shared" si="568"/>
        <v>1</v>
      </c>
      <c r="DT338" s="387">
        <f t="shared" si="568"/>
        <v>1</v>
      </c>
      <c r="DU338" s="388">
        <f t="shared" si="568"/>
        <v>1</v>
      </c>
      <c r="DW338" s="386">
        <f t="shared" si="569"/>
        <v>0</v>
      </c>
      <c r="DX338" s="387">
        <f t="shared" si="569"/>
        <v>0.5</v>
      </c>
      <c r="DY338" s="388">
        <f t="shared" si="569"/>
        <v>1</v>
      </c>
      <c r="DZ338" s="386">
        <f t="shared" si="569"/>
        <v>1</v>
      </c>
      <c r="EA338" s="387">
        <f t="shared" si="569"/>
        <v>1</v>
      </c>
      <c r="EB338" s="387">
        <f t="shared" si="569"/>
        <v>1</v>
      </c>
      <c r="EC338" s="387">
        <f t="shared" si="569"/>
        <v>1</v>
      </c>
      <c r="ED338" s="388">
        <f t="shared" si="569"/>
        <v>1</v>
      </c>
      <c r="EF338" s="834">
        <f>+IF(DN338=DM338,0,
IF(AND(EF$44&gt;1,DN338=$N338),1-SUM($EE338:EE338),
IF($N338&lt;=1,
IF($N338&gt;0,1/$N338,0),
IF(EF$44=1,0,VDB(1,0,$N338,INT(EF$44-1-1),MIN($N338,INT(EF$44-1-1)+1),$DC338,IF($DD338="No",1,0))/
IF(DM338&gt;=INT($N338),$N338-INT($N338),1)))*
IF(EF$44=1,0,
IF(INT(DN338)=INT(DM338),DN338-DM338,INT(DN338)-DM338))+
IF($N338&lt;=1,
IF($N338&gt;0,1/$N338,0),VDB(1,0,$N338,INT(EF$44-1),MIN($N338,INT(EF$44-1)+1),$DC338,IF($DD338="No",1,0))/
IF(DN338&gt;INT($N338),$N338-INT($N338),1))*
IF(EF$44=1,DN338,
IF(INT(DN338)=INT(DM338),0,DN338-INT(DN338)))))</f>
        <v>0</v>
      </c>
      <c r="EG338" s="835">
        <f>+IF(DO338=DN338,0,
IF(AND(EG$44&gt;1,DO338=$N338),1-SUM($EE338:EF338),
IF($N338&lt;=1,
IF($N338&gt;0,1/$N338,0),
IF(EG$44=1,0,VDB(1,0,$N338,INT(EG$44-1-1),MIN($N338,INT(EG$44-1-1)+1),$DC338,IF($DD338="No",1,0))/
IF(DN338&gt;=INT($N338),$N338-INT($N338),1)))*
IF(EG$44=1,0,
IF(INT(DO338)=INT(DN338),DO338-DN338,INT(DO338)-DN338))+
IF($N338&lt;=1,
IF($N338&gt;0,1/$N338,0),VDB(1,0,$N338,INT(EG$44-1),MIN($N338,INT(EG$44-1)+1),$DC338,IF($DD338="No",1,0))/
IF(DO338&gt;INT($N338),$N338-INT($N338),1))*
IF(EG$44=1,DO338,
IF(INT(DO338)=INT(DN338),0,DO338-INT(DO338)))))</f>
        <v>0</v>
      </c>
      <c r="EH338" s="836">
        <f>+IF(DP338=DO338,0,
IF(AND(EH$44&gt;1,DP338=$N338),1-SUM($EE338:EG338),
IF($N338&lt;=1,
IF($N338&gt;0,1/$N338,0),
IF(EH$44=1,0,VDB(1,0,$N338,INT(EH$44-1-1),MIN($N338,INT(EH$44-1-1)+1),$DC338,IF($DD338="No",1,0))/
IF(DO338&gt;=INT($N338),$N338-INT($N338),1)))*
IF(EH$44=1,0,
IF(INT(DP338)=INT(DO338),DP338-DO338,INT(DP338)-DO338))+
IF($N338&lt;=1,
IF($N338&gt;0,1/$N338,0),VDB(1,0,$N338,INT(EH$44-1),MIN($N338,INT(EH$44-1)+1),$DC338,IF($DD338="No",1,0))/
IF(DP338&gt;INT($N338),$N338-INT($N338),1))*
IF(EH$44=1,DP338,
IF(INT(DP338)=INT(DO338),0,DP338-INT(DP338)))))</f>
        <v>0</v>
      </c>
      <c r="EI338" s="834">
        <f>+IF(DQ338=DP338,0,
IF(AND(EI$44&gt;1,DQ338=$N338),1-SUM($EE338:EH338),
IF($N338&lt;=1,
IF($N338&gt;0,1/$N338,0),
IF(EI$44=1,0,VDB(1,0,$N338,INT(EI$44-1-1),MIN($N338,INT(EI$44-1-1)+1),$DC338,IF($DD338="No",1,0))/
IF(DP338&gt;=INT($N338),$N338-INT($N338),1)))*
IF(EI$44=1,0,
IF(INT(DQ338)=INT(DP338),DQ338-DP338,INT(DQ338)-DP338))+
IF($N338&lt;=1,
IF($N338&gt;0,1/$N338,0),VDB(1,0,$N338,INT(EI$44-1),MIN($N338,INT(EI$44-1)+1),$DC338,IF($DD338="No",1,0))/
IF(DQ338&gt;INT($N338),$N338-INT($N338),1))*
IF(EI$44=1,DQ338,
IF(INT(DQ338)=INT(DP338),0,DQ338-INT(DQ338)))))</f>
        <v>0</v>
      </c>
      <c r="EJ338" s="835">
        <f>+IF(DR338=DQ338,0,
IF(AND(EJ$44&gt;1,DR338=$N338),1-SUM($EE338:EI338),
IF($N338&lt;=1,
IF($N338&gt;0,1/$N338,0),
IF(EJ$44=1,0,VDB(1,0,$N338,INT(EJ$44-1-1),MIN($N338,INT(EJ$44-1-1)+1),$DC338,IF($DD338="No",1,0))/
IF(DQ338&gt;=INT($N338),$N338-INT($N338),1)))*
IF(EJ$44=1,0,
IF(INT(DR338)=INT(DQ338),DR338-DQ338,INT(DR338)-DQ338))+
IF($N338&lt;=1,
IF($N338&gt;0,1/$N338,0),VDB(1,0,$N338,INT(EJ$44-1),MIN($N338,INT(EJ$44-1)+1),$DC338,IF($DD338="No",1,0))/
IF(DR338&gt;INT($N338),$N338-INT($N338),1))*
IF(EJ$44=1,DR338,
IF(INT(DR338)=INT(DQ338),0,DR338-INT(DR338)))))</f>
        <v>0</v>
      </c>
      <c r="EK338" s="835">
        <f>+IF(DS338=DR338,0,
IF(AND(EK$44&gt;1,DS338=$N338),1-SUM($EE338:EJ338),
IF($N338&lt;=1,
IF($N338&gt;0,1/$N338,0),
IF(EK$44=1,0,VDB(1,0,$N338,INT(EK$44-1-1),MIN($N338,INT(EK$44-1-1)+1),$DC338,IF($DD338="No",1,0))/
IF(DR338&gt;=INT($N338),$N338-INT($N338),1)))*
IF(EK$44=1,0,
IF(INT(DS338)=INT(DR338),DS338-DR338,INT(DS338)-DR338))+
IF($N338&lt;=1,
IF($N338&gt;0,1/$N338,0),VDB(1,0,$N338,INT(EK$44-1),MIN($N338,INT(EK$44-1)+1),$DC338,IF($DD338="No",1,0))/
IF(DS338&gt;INT($N338),$N338-INT($N338),1))*
IF(EK$44=1,DS338,
IF(INT(DS338)=INT(DR338),0,DS338-INT(DS338)))))</f>
        <v>0</v>
      </c>
      <c r="EL338" s="835">
        <f>+IF(DT338=DS338,0,
IF(AND(EL$44&gt;1,DT338=$N338),1-SUM($EE338:EK338),
IF($N338&lt;=1,
IF($N338&gt;0,1/$N338,0),
IF(EL$44=1,0,VDB(1,0,$N338,INT(EL$44-1-1),MIN($N338,INT(EL$44-1-1)+1),$DC338,IF($DD338="No",1,0))/
IF(DS338&gt;=INT($N338),$N338-INT($N338),1)))*
IF(EL$44=1,0,
IF(INT(DT338)=INT(DS338),DT338-DS338,INT(DT338)-DS338))+
IF($N338&lt;=1,
IF($N338&gt;0,1/$N338,0),VDB(1,0,$N338,INT(EL$44-1),MIN($N338,INT(EL$44-1)+1),$DC338,IF($DD338="No",1,0))/
IF(DT338&gt;INT($N338),$N338-INT($N338),1))*
IF(EL$44=1,DT338,
IF(INT(DT338)=INT(DS338),0,DT338-INT(DT338)))))</f>
        <v>0</v>
      </c>
      <c r="EM338" s="836">
        <f>+IF(DU338=DT338,0,
IF(AND(EM$44&gt;1,DU338=$N338),1-SUM($EE338:EL338),
IF($N338&lt;=1,
IF($N338&gt;0,1/$N338,0),
IF(EM$44=1,0,VDB(1,0,$N338,INT(EM$44-1-1),MIN($N338,INT(EM$44-1-1)+1),$DC338,IF($DD338="No",1,0))/
IF(DT338&gt;=INT($N338),$N338-INT($N338),1)))*
IF(EM$44=1,0,
IF(INT(DU338)=INT(DT338),DU338-DT338,INT(DU338)-DT338))+
IF($N338&lt;=1,
IF($N338&gt;0,1/$N338,0),VDB(1,0,$N338,INT(EM$44-1),MIN($N338,INT(EM$44-1)+1),$DC338,IF($DD338="No",1,0))/
IF(DU338&gt;INT($N338),$N338-INT($N338),1))*
IF(EM$44=1,DU338,
IF(INT(DU338)=INT(DT338),0,DU338-INT(DU338)))))</f>
        <v>0</v>
      </c>
      <c r="EN338" s="833"/>
      <c r="EO338" s="834">
        <f>+IF(OR(DW338=DV338,EO$44=1),0,
IF(AND(EO$44&gt;1,DW338=$N338),1-SUM($EN338:EN338),
IF($N338&lt;=1,
IF($N338&gt;0,1/$N338,0),
IF(EO$44=2,0,VDB(1,0,$N338,INT(EO$44-2-1),MIN($N338,INT(EO$44-2-1)+1),$DC338,IF($DD338="No",1,0))/
IF(DV338&gt;=INT($N338),$N338-INT($N338),1)))*
IF(EO$44=2,0,
IF(INT(DW338)=INT(DV338),DW338-DV338,INT(DW338)-DV338))+
IF($N338&lt;=1,
IF($N338&gt;0,1/$N338,0),VDB(1,0,$N338,INT(EO$44-2),MIN($N338,INT(EO$44-2)+1),$DC338,IF($DD338="No",1,0))/
IF(DW338&gt;INT($N338),$N338-INT($N338),1))*
IF(EO$44=2,DW338,
IF(INT(DW338)=INT(DV338),0,DW338-INT(DW338)))))</f>
        <v>0</v>
      </c>
      <c r="EP338" s="835">
        <f>+IF(OR(DX338=DW338,EP$44=1),0,
IF(AND(EP$44&gt;1,DX338=$N338),1-SUM($EN338:EO338),
IF($N338&lt;=1,
IF($N338&gt;0,1/$N338,0),
IF(EP$44=2,0,VDB(1,0,$N338,INT(EP$44-2-1),MIN($N338,INT(EP$44-2-1)+1),$DC338,IF($DD338="No",1,0))/
IF(DW338&gt;=INT($N338),$N338-INT($N338),1)))*
IF(EP$44=2,0,
IF(INT(DX338)=INT(DW338),DX338-DW338,INT(DX338)-DW338))+
IF($N338&lt;=1,
IF($N338&gt;0,1/$N338,0),VDB(1,0,$N338,INT(EP$44-2),MIN($N338,INT(EP$44-2)+1),$DC338,IF($DD338="No",1,0))/
IF(DX338&gt;INT($N338),$N338-INT($N338),1))*
IF(EP$44=2,DX338,
IF(INT(DX338)=INT(DW338),0,DX338-INT(DX338)))))</f>
        <v>0</v>
      </c>
      <c r="EQ338" s="836">
        <f>+IF(OR(DY338=DX338,EQ$44=1),0,
IF(AND(EQ$44&gt;1,DY338=$N338),1-SUM($EN338:EP338),
IF($N338&lt;=1,
IF($N338&gt;0,1/$N338,0),
IF(EQ$44=2,0,VDB(1,0,$N338,INT(EQ$44-2-1),MIN($N338,INT(EQ$44-2-1)+1),$DC338,IF($DD338="No",1,0))/
IF(DX338&gt;=INT($N338),$N338-INT($N338),1)))*
IF(EQ$44=2,0,
IF(INT(DY338)=INT(DX338),DY338-DX338,INT(DY338)-DX338))+
IF($N338&lt;=1,
IF($N338&gt;0,1/$N338,0),VDB(1,0,$N338,INT(EQ$44-2),MIN($N338,INT(EQ$44-2)+1),$DC338,IF($DD338="No",1,0))/
IF(DY338&gt;INT($N338),$N338-INT($N338),1))*
IF(EQ$44=2,DY338,
IF(INT(DY338)=INT(DX338),0,DY338-INT(DY338)))))</f>
        <v>0</v>
      </c>
      <c r="ER338" s="834">
        <f>+IF(OR(DZ338=DY338,ER$44=1),0,
IF(AND(ER$44&gt;1,DZ338=$N338),1-SUM($EN338:EQ338),
IF($N338&lt;=1,
IF($N338&gt;0,1/$N338,0),
IF(ER$44=2,0,VDB(1,0,$N338,INT(ER$44-2-1),MIN($N338,INT(ER$44-2-1)+1),$DC338,IF($DD338="No",1,0))/
IF(DY338&gt;=INT($N338),$N338-INT($N338),1)))*
IF(ER$44=2,0,
IF(INT(DZ338)=INT(DY338),DZ338-DY338,INT(DZ338)-DY338))+
IF($N338&lt;=1,
IF($N338&gt;0,1/$N338,0),VDB(1,0,$N338,INT(ER$44-2),MIN($N338,INT(ER$44-2)+1),$DC338,IF($DD338="No",1,0))/
IF(DZ338&gt;INT($N338),$N338-INT($N338),1))*
IF(ER$44=2,DZ338,
IF(INT(DZ338)=INT(DY338),0,DZ338-INT(DZ338)))))</f>
        <v>0</v>
      </c>
      <c r="ES338" s="835">
        <f>+IF(OR(EA338=DZ338,ES$44=1),0,
IF(AND(ES$44&gt;1,EA338=$N338),1-SUM($EN338:ER338),
IF($N338&lt;=1,
IF($N338&gt;0,1/$N338,0),
IF(ES$44=2,0,VDB(1,0,$N338,INT(ES$44-2-1),MIN($N338,INT(ES$44-2-1)+1),$DC338,IF($DD338="No",1,0))/
IF(DZ338&gt;=INT($N338),$N338-INT($N338),1)))*
IF(ES$44=2,0,
IF(INT(EA338)=INT(DZ338),EA338-DZ338,INT(EA338)-DZ338))+
IF($N338&lt;=1,
IF($N338&gt;0,1/$N338,0),VDB(1,0,$N338,INT(ES$44-2),MIN($N338,INT(ES$44-2)+1),$DC338,IF($DD338="No",1,0))/
IF(EA338&gt;INT($N338),$N338-INT($N338),1))*
IF(ES$44=2,EA338,
IF(INT(EA338)=INT(DZ338),0,EA338-INT(EA338)))))</f>
        <v>0</v>
      </c>
      <c r="ET338" s="835">
        <f>+IF(OR(EB338=EA338,ET$44=1),0,
IF(AND(ET$44&gt;1,EB338=$N338),1-SUM($EN338:ES338),
IF($N338&lt;=1,
IF($N338&gt;0,1/$N338,0),
IF(ET$44=2,0,VDB(1,0,$N338,INT(ET$44-2-1),MIN($N338,INT(ET$44-2-1)+1),$DC338,IF($DD338="No",1,0))/
IF(EA338&gt;=INT($N338),$N338-INT($N338),1)))*
IF(ET$44=2,0,
IF(INT(EB338)=INT(EA338),EB338-EA338,INT(EB338)-EA338))+
IF($N338&lt;=1,
IF($N338&gt;0,1/$N338,0),VDB(1,0,$N338,INT(ET$44-2),MIN($N338,INT(ET$44-2)+1),$DC338,IF($DD338="No",1,0))/
IF(EB338&gt;INT($N338),$N338-INT($N338),1))*
IF(ET$44=2,EB338,
IF(INT(EB338)=INT(EA338),0,EB338-INT(EB338)))))</f>
        <v>0</v>
      </c>
      <c r="EU338" s="835">
        <f>+IF(OR(EC338=EB338,EU$44=1),0,
IF(AND(EU$44&gt;1,EC338=$N338),1-SUM($EN338:ET338),
IF($N338&lt;=1,
IF($N338&gt;0,1/$N338,0),
IF(EU$44=2,0,VDB(1,0,$N338,INT(EU$44-2-1),MIN($N338,INT(EU$44-2-1)+1),$DC338,IF($DD338="No",1,0))/
IF(EB338&gt;=INT($N338),$N338-INT($N338),1)))*
IF(EU$44=2,0,
IF(INT(EC338)=INT(EB338),EC338-EB338,INT(EC338)-EB338))+
IF($N338&lt;=1,
IF($N338&gt;0,1/$N338,0),VDB(1,0,$N338,INT(EU$44-2),MIN($N338,INT(EU$44-2)+1),$DC338,IF($DD338="No",1,0))/
IF(EC338&gt;INT($N338),$N338-INT($N338),1))*
IF(EU$44=2,EC338,
IF(INT(EC338)=INT(EB338),0,EC338-INT(EC338)))))</f>
        <v>0</v>
      </c>
      <c r="EV338" s="836">
        <f>+IF(OR(ED338=EC338,EV$44=1),0,
IF(AND(EV$44&gt;1,ED338=$N338),1-SUM($EN338:EU338),
IF($N338&lt;=1,
IF($N338&gt;0,1/$N338,0),
IF(EV$44=2,0,VDB(1,0,$N338,INT(EV$44-2-1),MIN($N338,INT(EV$44-2-1)+1),$DC338,IF($DD338="No",1,0))/
IF(EC338&gt;=INT($N338),$N338-INT($N338),1)))*
IF(EV$44=2,0,
IF(INT(ED338)=INT(EC338),ED338-EC338,INT(ED338)-EC338))+
IF($N338&lt;=1,
IF($N338&gt;0,1/$N338,0),VDB(1,0,$N338,INT(EV$44-2),MIN($N338,INT(EV$44-2)+1),$DC338,IF($DD338="No",1,0))/
IF(ED338&gt;INT($N338),$N338-INT($N338),1))*
IF(EV$44=2,ED338,
IF(INT(ED338)=INT(EC338),0,ED338-INT(ED338)))))</f>
        <v>0</v>
      </c>
      <c r="EW338" s="833"/>
      <c r="EX338" s="834">
        <f t="shared" ca="1" si="570"/>
        <v>0</v>
      </c>
      <c r="EY338" s="835">
        <f t="shared" ca="1" si="570"/>
        <v>0</v>
      </c>
      <c r="EZ338" s="836">
        <f t="shared" ca="1" si="570"/>
        <v>0</v>
      </c>
      <c r="FA338" s="834">
        <f t="shared" ca="1" si="570"/>
        <v>0</v>
      </c>
      <c r="FB338" s="835">
        <f t="shared" ca="1" si="570"/>
        <v>0</v>
      </c>
      <c r="FC338" s="835">
        <f t="shared" ca="1" si="570"/>
        <v>0</v>
      </c>
      <c r="FD338" s="835">
        <f t="shared" ca="1" si="570"/>
        <v>0</v>
      </c>
      <c r="FE338" s="836">
        <f t="shared" ca="1" si="570"/>
        <v>0</v>
      </c>
      <c r="FG338" s="386">
        <f t="shared" ca="1" si="521"/>
        <v>0</v>
      </c>
      <c r="FH338" s="387">
        <f t="shared" ca="1" si="522"/>
        <v>0</v>
      </c>
      <c r="FI338" s="388">
        <f t="shared" ca="1" si="523"/>
        <v>0</v>
      </c>
      <c r="FJ338" s="386">
        <f t="shared" ca="1" si="524"/>
        <v>0</v>
      </c>
      <c r="FK338" s="387">
        <f t="shared" ca="1" si="525"/>
        <v>0</v>
      </c>
      <c r="FL338" s="387">
        <f t="shared" ca="1" si="526"/>
        <v>0</v>
      </c>
      <c r="FM338" s="387">
        <f t="shared" ca="1" si="527"/>
        <v>0</v>
      </c>
      <c r="FN338" s="388">
        <f t="shared" ca="1" si="528"/>
        <v>0</v>
      </c>
      <c r="FR338" s="116"/>
    </row>
    <row r="339" spans="2:174">
      <c r="B339" s="1410">
        <f t="shared" si="556"/>
        <v>293</v>
      </c>
      <c r="C339" s="400"/>
      <c r="D339" s="410"/>
      <c r="E339" s="402"/>
      <c r="F339" s="402"/>
      <c r="G339" s="400"/>
      <c r="H339" s="2088"/>
      <c r="I339" s="2089"/>
      <c r="J339" s="411"/>
      <c r="K339" s="403"/>
      <c r="L339" s="403"/>
      <c r="M339" s="403"/>
      <c r="N339" s="403"/>
      <c r="O339" s="347"/>
      <c r="P339" s="347"/>
      <c r="Q339" s="1021"/>
      <c r="R339" s="1022"/>
      <c r="S339" s="1022"/>
      <c r="T339" s="1022"/>
      <c r="U339" s="1023"/>
      <c r="V339" s="1021"/>
      <c r="W339" s="1022"/>
      <c r="X339" s="1022"/>
      <c r="Y339" s="1022"/>
      <c r="Z339" s="1023"/>
      <c r="AA339" s="1024"/>
      <c r="AB339" s="1021"/>
      <c r="AC339" s="1022"/>
      <c r="AD339" s="1022"/>
      <c r="AE339" s="1022"/>
      <c r="AF339" s="1023"/>
      <c r="AG339" s="1021"/>
      <c r="AH339" s="1022"/>
      <c r="AI339" s="1022"/>
      <c r="AJ339" s="1022"/>
      <c r="AK339" s="1023"/>
      <c r="AL339" s="1024"/>
      <c r="AM339" s="1021"/>
      <c r="AN339" s="1022"/>
      <c r="AO339" s="1022"/>
      <c r="AP339" s="1022"/>
      <c r="AQ339" s="1023"/>
      <c r="AR339" s="1021"/>
      <c r="AS339" s="1022"/>
      <c r="AT339" s="1022"/>
      <c r="AU339" s="1022"/>
      <c r="AV339" s="1023"/>
      <c r="AW339" s="1025"/>
      <c r="AX339" s="1282">
        <f t="shared" si="532"/>
        <v>0</v>
      </c>
      <c r="AY339" s="387">
        <f t="shared" si="533"/>
        <v>0</v>
      </c>
      <c r="AZ339" s="387">
        <f t="shared" si="534"/>
        <v>0</v>
      </c>
      <c r="BA339" s="387">
        <f t="shared" si="535"/>
        <v>0</v>
      </c>
      <c r="BB339" s="1283">
        <f t="shared" si="536"/>
        <v>0</v>
      </c>
      <c r="BC339" s="386">
        <f t="shared" si="537"/>
        <v>0</v>
      </c>
      <c r="BD339" s="387">
        <f t="shared" si="538"/>
        <v>0</v>
      </c>
      <c r="BE339" s="1277">
        <f t="shared" si="560"/>
        <v>0</v>
      </c>
      <c r="BF339" s="1277">
        <f t="shared" si="561"/>
        <v>0</v>
      </c>
      <c r="BG339" s="388">
        <f t="shared" si="562"/>
        <v>0</v>
      </c>
      <c r="BH339" s="1025"/>
      <c r="BI339" s="1282">
        <f t="shared" ca="1" si="540"/>
        <v>0</v>
      </c>
      <c r="BJ339" s="387">
        <f t="shared" ca="1" si="541"/>
        <v>0</v>
      </c>
      <c r="BK339" s="387">
        <f t="shared" ca="1" si="542"/>
        <v>0</v>
      </c>
      <c r="BL339" s="387">
        <f t="shared" ca="1" si="543"/>
        <v>0</v>
      </c>
      <c r="BM339" s="1283">
        <f t="shared" ca="1" si="544"/>
        <v>0</v>
      </c>
      <c r="BN339" s="386">
        <f t="shared" ca="1" si="563"/>
        <v>0</v>
      </c>
      <c r="BO339" s="387">
        <f t="shared" ca="1" si="564"/>
        <v>0</v>
      </c>
      <c r="BP339" s="1277">
        <f t="shared" ca="1" si="565"/>
        <v>0</v>
      </c>
      <c r="BQ339" s="1277">
        <f t="shared" ca="1" si="566"/>
        <v>0</v>
      </c>
      <c r="BR339" s="388">
        <f t="shared" ca="1" si="567"/>
        <v>0</v>
      </c>
      <c r="BS339" s="1025"/>
      <c r="BT339" s="1282">
        <f>+IF($K339="Ongoing",AX339,IF(RIGHT($K339,2)=RIGHT(BT$43,2),SUM($AX339:AX339),0)+IF(RIGHT(BT$43,2)&gt;RIGHT($K339,2),AX339,0))</f>
        <v>0</v>
      </c>
      <c r="BU339" s="387">
        <f>+IF($K339="Ongoing",AY339,IF(RIGHT($K339,2)=RIGHT(BU$43,2),SUM($AX339:AY339),0)+IF(RIGHT(BU$43,2)&gt;RIGHT($K339,2),AY339,0))</f>
        <v>0</v>
      </c>
      <c r="BV339" s="387">
        <f>+IF($K339="Ongoing",AZ339,IF(RIGHT($K339,2)=RIGHT(BV$43,2),SUM($AX339:AZ339),0)+IF(RIGHT(BV$43,2)&gt;RIGHT($K339,2),AZ339,0))</f>
        <v>0</v>
      </c>
      <c r="BW339" s="387">
        <f>+IF($K339="Ongoing",BA339,IF(RIGHT($K339,2)=RIGHT(BW$43,2),SUM($AX339:BA339),0)+IF(RIGHT(BW$43,2)&gt;RIGHT($K339,2),BA339,0))</f>
        <v>0</v>
      </c>
      <c r="BX339" s="1283">
        <f>+IF($K339="Ongoing",BB339,IF(RIGHT($K339,2)=RIGHT(BX$43,2),SUM($AX339:BB339),0)+IF(RIGHT(BX$43,2)&gt;RIGHT($K339,2),BB339,0))</f>
        <v>0</v>
      </c>
      <c r="BY339" s="386">
        <f>+IF($K339="Ongoing",BC339,IF(RIGHT($K339,2)=RIGHT(BY$43,2),SUM($AX339:BC339),0)+IF(RIGHT(BY$43,2)&gt;RIGHT($K339,2),BC339,0))</f>
        <v>0</v>
      </c>
      <c r="BZ339" s="387">
        <f>+IF($K339="Ongoing",BD339,IF(RIGHT($K339,2)=RIGHT(BZ$43,2),SUM($AX339:BD339),0)+IF(RIGHT(BZ$43,2)&gt;RIGHT($K339,2),BD339,0))</f>
        <v>0</v>
      </c>
      <c r="CA339" s="1277">
        <f>+IF($K339="Ongoing",BE339,IF(RIGHT($K339,2)=RIGHT(CA$43,2),SUM($AX339:BE339),0)+IF(RIGHT(CA$43,2)&gt;RIGHT($K339,2),BE339,0))</f>
        <v>0</v>
      </c>
      <c r="CB339" s="1277">
        <f>+IF($K339="Ongoing",BF339,IF(RIGHT($K339,2)=RIGHT(CB$43,2),SUM($AX339:BF339),0)+IF(RIGHT(CB$43,2)&gt;RIGHT($K339,2),BF339,0))</f>
        <v>0</v>
      </c>
      <c r="CC339" s="388">
        <f>+IF($K339="Ongoing",BG339,IF(RIGHT($K339,2)=RIGHT(CC$43,2),SUM($AX339:BG339),0)+IF(RIGHT(CC$43,2)&gt;RIGHT($K339,2),BG339,0))</f>
        <v>0</v>
      </c>
      <c r="CD339" s="1025"/>
      <c r="CE339" s="1282">
        <f>+Q339*KeyAssumptionsPriceControl_FO!AF$15</f>
        <v>0</v>
      </c>
      <c r="CF339" s="387">
        <f>+R339*KeyAssumptionsPriceControl_FO!AG$15</f>
        <v>0</v>
      </c>
      <c r="CG339" s="387">
        <f>+S339*KeyAssumptionsPriceControl_FO!AH$15</f>
        <v>0</v>
      </c>
      <c r="CH339" s="387">
        <f>+T339*KeyAssumptionsPriceControl_FO!AI$15</f>
        <v>0</v>
      </c>
      <c r="CI339" s="1283">
        <f>+U339*KeyAssumptionsPriceControl_FO!AJ$15</f>
        <v>0</v>
      </c>
      <c r="CJ339" s="386">
        <f>+V339*KeyAssumptionsPriceControl_FO!AK$15</f>
        <v>0</v>
      </c>
      <c r="CK339" s="387">
        <f>+W339*KeyAssumptionsPriceControl_FO!AL$15</f>
        <v>0</v>
      </c>
      <c r="CL339" s="1277">
        <f>+X339*KeyAssumptionsPriceControl_FO!AM$15</f>
        <v>0</v>
      </c>
      <c r="CM339" s="1277">
        <f>+Y339*KeyAssumptionsPriceControl_FO!AN$15</f>
        <v>0</v>
      </c>
      <c r="CN339" s="388">
        <f>+Z339*KeyAssumptionsPriceControl_FO!AO$15</f>
        <v>0</v>
      </c>
      <c r="CO339" s="1025"/>
      <c r="CP339" s="1282">
        <f t="shared" ca="1" si="546"/>
        <v>0</v>
      </c>
      <c r="CQ339" s="387">
        <f t="shared" ca="1" si="547"/>
        <v>0</v>
      </c>
      <c r="CR339" s="387">
        <f t="shared" ca="1" si="548"/>
        <v>0</v>
      </c>
      <c r="CS339" s="387">
        <f t="shared" ca="1" si="549"/>
        <v>0</v>
      </c>
      <c r="CT339" s="1283">
        <f t="shared" ca="1" si="550"/>
        <v>0</v>
      </c>
      <c r="CU339" s="386">
        <f t="shared" ca="1" si="551"/>
        <v>0</v>
      </c>
      <c r="CV339" s="387">
        <f t="shared" ca="1" si="552"/>
        <v>0</v>
      </c>
      <c r="CW339" s="1277">
        <f t="shared" ca="1" si="553"/>
        <v>0</v>
      </c>
      <c r="CX339" s="1277">
        <f t="shared" ca="1" si="554"/>
        <v>0</v>
      </c>
      <c r="CY339" s="388">
        <f t="shared" ca="1" si="555"/>
        <v>0</v>
      </c>
      <c r="CZ339" s="347"/>
      <c r="DA339" s="852"/>
      <c r="DB339" s="347"/>
      <c r="DC339" s="1012" t="s">
        <v>517</v>
      </c>
      <c r="DD339" s="841" t="s">
        <v>518</v>
      </c>
      <c r="DE339" s="386">
        <f>+IF($K339="ongoing",CE339,IF(RIGHT($K339,2)=RIGHT(DE$43,2),SUM($CD339:CE339),0)+IF(RIGHT(DE$43,2)&gt;RIGHT($K339,2),CE339,0))</f>
        <v>0</v>
      </c>
      <c r="DF339" s="387">
        <f>+IF($K339="ongoing",CF339,IF(RIGHT($K339,2)=RIGHT(DF$43,2),SUM($CD339:CF339),0)+IF(RIGHT(DF$43,2)&gt;RIGHT($K339,2),CF339,0))</f>
        <v>0</v>
      </c>
      <c r="DG339" s="388">
        <f>+IF($K339="ongoing",CG339,IF(RIGHT($K339,2)=RIGHT(DG$43,2),SUM($CD339:CG339),0)+IF(RIGHT(DG$43,2)&gt;RIGHT($K339,2),CG339,0))</f>
        <v>0</v>
      </c>
      <c r="DH339" s="386">
        <f>+IF($K339="ongoing",CH339,IF(RIGHT($K339,2)=RIGHT(DH$43,2),SUM($CD339:CH339),0)+IF(RIGHT(DH$43,2)&gt;RIGHT($K339,2),CH339,0))</f>
        <v>0</v>
      </c>
      <c r="DI339" s="387">
        <f>+IF($K339="ongoing",CI339,IF(RIGHT($K339,2)=RIGHT(DI$43,2),SUM($CD339:CI339),0)+IF(RIGHT(DI$43,2)&gt;RIGHT($K339,2),CI339,0))</f>
        <v>0</v>
      </c>
      <c r="DJ339" s="387">
        <f>+IF($K339="ongoing",CJ339,IF(RIGHT($K339,2)=RIGHT(DJ$43,2),SUM($CD339:CJ339),0)+IF(RIGHT(DJ$43,2)&gt;RIGHT($K339,2),CJ339,0))</f>
        <v>0</v>
      </c>
      <c r="DK339" s="387">
        <f>+IF($K339="ongoing",CK339,IF(RIGHT($K339,2)=RIGHT(DK$43,2),SUM($CD339:CK339),0)+IF(RIGHT(DK$43,2)&gt;RIGHT($K339,2),CK339,0))</f>
        <v>0</v>
      </c>
      <c r="DL339" s="388">
        <f>+IF($K339="ongoing",CN339,IF(RIGHT($K339,2)=RIGHT(DL$43,2),SUM($CD339:CN339),0)+IF(RIGHT(DL$43,2)&gt;RIGHT($K339,2),CN339,0))</f>
        <v>0</v>
      </c>
      <c r="DM339" s="841"/>
      <c r="DN339" s="386">
        <f t="shared" si="568"/>
        <v>0.5</v>
      </c>
      <c r="DO339" s="387">
        <f t="shared" si="568"/>
        <v>1</v>
      </c>
      <c r="DP339" s="388">
        <f t="shared" si="568"/>
        <v>1</v>
      </c>
      <c r="DQ339" s="386">
        <f t="shared" si="568"/>
        <v>1</v>
      </c>
      <c r="DR339" s="387">
        <f t="shared" si="568"/>
        <v>1</v>
      </c>
      <c r="DS339" s="387">
        <f t="shared" si="568"/>
        <v>1</v>
      </c>
      <c r="DT339" s="387">
        <f t="shared" si="568"/>
        <v>1</v>
      </c>
      <c r="DU339" s="388">
        <f t="shared" si="568"/>
        <v>1</v>
      </c>
      <c r="DW339" s="386">
        <f t="shared" si="569"/>
        <v>0</v>
      </c>
      <c r="DX339" s="387">
        <f t="shared" si="569"/>
        <v>0.5</v>
      </c>
      <c r="DY339" s="388">
        <f t="shared" si="569"/>
        <v>1</v>
      </c>
      <c r="DZ339" s="386">
        <f t="shared" si="569"/>
        <v>1</v>
      </c>
      <c r="EA339" s="387">
        <f t="shared" si="569"/>
        <v>1</v>
      </c>
      <c r="EB339" s="387">
        <f t="shared" si="569"/>
        <v>1</v>
      </c>
      <c r="EC339" s="387">
        <f t="shared" si="569"/>
        <v>1</v>
      </c>
      <c r="ED339" s="388">
        <f t="shared" si="569"/>
        <v>1</v>
      </c>
      <c r="EF339" s="834">
        <f>+IF(DN339=DM339,0,
IF(AND(EF$44&gt;1,DN339=$N339),1-SUM($EE339:EE339),
IF($N339&lt;=1,
IF($N339&gt;0,1/$N339,0),
IF(EF$44=1,0,VDB(1,0,$N339,INT(EF$44-1-1),MIN($N339,INT(EF$44-1-1)+1),$DC339,IF($DD339="No",1,0))/
IF(DM339&gt;=INT($N339),$N339-INT($N339),1)))*
IF(EF$44=1,0,
IF(INT(DN339)=INT(DM339),DN339-DM339,INT(DN339)-DM339))+
IF($N339&lt;=1,
IF($N339&gt;0,1/$N339,0),VDB(1,0,$N339,INT(EF$44-1),MIN($N339,INT(EF$44-1)+1),$DC339,IF($DD339="No",1,0))/
IF(DN339&gt;INT($N339),$N339-INT($N339),1))*
IF(EF$44=1,DN339,
IF(INT(DN339)=INT(DM339),0,DN339-INT(DN339)))))</f>
        <v>0</v>
      </c>
      <c r="EG339" s="835">
        <f>+IF(DO339=DN339,0,
IF(AND(EG$44&gt;1,DO339=$N339),1-SUM($EE339:EF339),
IF($N339&lt;=1,
IF($N339&gt;0,1/$N339,0),
IF(EG$44=1,0,VDB(1,0,$N339,INT(EG$44-1-1),MIN($N339,INT(EG$44-1-1)+1),$DC339,IF($DD339="No",1,0))/
IF(DN339&gt;=INT($N339),$N339-INT($N339),1)))*
IF(EG$44=1,0,
IF(INT(DO339)=INT(DN339),DO339-DN339,INT(DO339)-DN339))+
IF($N339&lt;=1,
IF($N339&gt;0,1/$N339,0),VDB(1,0,$N339,INT(EG$44-1),MIN($N339,INT(EG$44-1)+1),$DC339,IF($DD339="No",1,0))/
IF(DO339&gt;INT($N339),$N339-INT($N339),1))*
IF(EG$44=1,DO339,
IF(INT(DO339)=INT(DN339),0,DO339-INT(DO339)))))</f>
        <v>0</v>
      </c>
      <c r="EH339" s="836">
        <f>+IF(DP339=DO339,0,
IF(AND(EH$44&gt;1,DP339=$N339),1-SUM($EE339:EG339),
IF($N339&lt;=1,
IF($N339&gt;0,1/$N339,0),
IF(EH$44=1,0,VDB(1,0,$N339,INT(EH$44-1-1),MIN($N339,INT(EH$44-1-1)+1),$DC339,IF($DD339="No",1,0))/
IF(DO339&gt;=INT($N339),$N339-INT($N339),1)))*
IF(EH$44=1,0,
IF(INT(DP339)=INT(DO339),DP339-DO339,INT(DP339)-DO339))+
IF($N339&lt;=1,
IF($N339&gt;0,1/$N339,0),VDB(1,0,$N339,INT(EH$44-1),MIN($N339,INT(EH$44-1)+1),$DC339,IF($DD339="No",1,0))/
IF(DP339&gt;INT($N339),$N339-INT($N339),1))*
IF(EH$44=1,DP339,
IF(INT(DP339)=INT(DO339),0,DP339-INT(DP339)))))</f>
        <v>0</v>
      </c>
      <c r="EI339" s="834">
        <f>+IF(DQ339=DP339,0,
IF(AND(EI$44&gt;1,DQ339=$N339),1-SUM($EE339:EH339),
IF($N339&lt;=1,
IF($N339&gt;0,1/$N339,0),
IF(EI$44=1,0,VDB(1,0,$N339,INT(EI$44-1-1),MIN($N339,INT(EI$44-1-1)+1),$DC339,IF($DD339="No",1,0))/
IF(DP339&gt;=INT($N339),$N339-INT($N339),1)))*
IF(EI$44=1,0,
IF(INT(DQ339)=INT(DP339),DQ339-DP339,INT(DQ339)-DP339))+
IF($N339&lt;=1,
IF($N339&gt;0,1/$N339,0),VDB(1,0,$N339,INT(EI$44-1),MIN($N339,INT(EI$44-1)+1),$DC339,IF($DD339="No",1,0))/
IF(DQ339&gt;INT($N339),$N339-INT($N339),1))*
IF(EI$44=1,DQ339,
IF(INT(DQ339)=INT(DP339),0,DQ339-INT(DQ339)))))</f>
        <v>0</v>
      </c>
      <c r="EJ339" s="835">
        <f>+IF(DR339=DQ339,0,
IF(AND(EJ$44&gt;1,DR339=$N339),1-SUM($EE339:EI339),
IF($N339&lt;=1,
IF($N339&gt;0,1/$N339,0),
IF(EJ$44=1,0,VDB(1,0,$N339,INT(EJ$44-1-1),MIN($N339,INT(EJ$44-1-1)+1),$DC339,IF($DD339="No",1,0))/
IF(DQ339&gt;=INT($N339),$N339-INT($N339),1)))*
IF(EJ$44=1,0,
IF(INT(DR339)=INT(DQ339),DR339-DQ339,INT(DR339)-DQ339))+
IF($N339&lt;=1,
IF($N339&gt;0,1/$N339,0),VDB(1,0,$N339,INT(EJ$44-1),MIN($N339,INT(EJ$44-1)+1),$DC339,IF($DD339="No",1,0))/
IF(DR339&gt;INT($N339),$N339-INT($N339),1))*
IF(EJ$44=1,DR339,
IF(INT(DR339)=INT(DQ339),0,DR339-INT(DR339)))))</f>
        <v>0</v>
      </c>
      <c r="EK339" s="835">
        <f>+IF(DS339=DR339,0,
IF(AND(EK$44&gt;1,DS339=$N339),1-SUM($EE339:EJ339),
IF($N339&lt;=1,
IF($N339&gt;0,1/$N339,0),
IF(EK$44=1,0,VDB(1,0,$N339,INT(EK$44-1-1),MIN($N339,INT(EK$44-1-1)+1),$DC339,IF($DD339="No",1,0))/
IF(DR339&gt;=INT($N339),$N339-INT($N339),1)))*
IF(EK$44=1,0,
IF(INT(DS339)=INT(DR339),DS339-DR339,INT(DS339)-DR339))+
IF($N339&lt;=1,
IF($N339&gt;0,1/$N339,0),VDB(1,0,$N339,INT(EK$44-1),MIN($N339,INT(EK$44-1)+1),$DC339,IF($DD339="No",1,0))/
IF(DS339&gt;INT($N339),$N339-INT($N339),1))*
IF(EK$44=1,DS339,
IF(INT(DS339)=INT(DR339),0,DS339-INT(DS339)))))</f>
        <v>0</v>
      </c>
      <c r="EL339" s="835">
        <f>+IF(DT339=DS339,0,
IF(AND(EL$44&gt;1,DT339=$N339),1-SUM($EE339:EK339),
IF($N339&lt;=1,
IF($N339&gt;0,1/$N339,0),
IF(EL$44=1,0,VDB(1,0,$N339,INT(EL$44-1-1),MIN($N339,INT(EL$44-1-1)+1),$DC339,IF($DD339="No",1,0))/
IF(DS339&gt;=INT($N339),$N339-INT($N339),1)))*
IF(EL$44=1,0,
IF(INT(DT339)=INT(DS339),DT339-DS339,INT(DT339)-DS339))+
IF($N339&lt;=1,
IF($N339&gt;0,1/$N339,0),VDB(1,0,$N339,INT(EL$44-1),MIN($N339,INT(EL$44-1)+1),$DC339,IF($DD339="No",1,0))/
IF(DT339&gt;INT($N339),$N339-INT($N339),1))*
IF(EL$44=1,DT339,
IF(INT(DT339)=INT(DS339),0,DT339-INT(DT339)))))</f>
        <v>0</v>
      </c>
      <c r="EM339" s="836">
        <f>+IF(DU339=DT339,0,
IF(AND(EM$44&gt;1,DU339=$N339),1-SUM($EE339:EL339),
IF($N339&lt;=1,
IF($N339&gt;0,1/$N339,0),
IF(EM$44=1,0,VDB(1,0,$N339,INT(EM$44-1-1),MIN($N339,INT(EM$44-1-1)+1),$DC339,IF($DD339="No",1,0))/
IF(DT339&gt;=INT($N339),$N339-INT($N339),1)))*
IF(EM$44=1,0,
IF(INT(DU339)=INT(DT339),DU339-DT339,INT(DU339)-DT339))+
IF($N339&lt;=1,
IF($N339&gt;0,1/$N339,0),VDB(1,0,$N339,INT(EM$44-1),MIN($N339,INT(EM$44-1)+1),$DC339,IF($DD339="No",1,0))/
IF(DU339&gt;INT($N339),$N339-INT($N339),1))*
IF(EM$44=1,DU339,
IF(INT(DU339)=INT(DT339),0,DU339-INT(DU339)))))</f>
        <v>0</v>
      </c>
      <c r="EN339" s="833"/>
      <c r="EO339" s="834">
        <f>+IF(OR(DW339=DV339,EO$44=1),0,
IF(AND(EO$44&gt;1,DW339=$N339),1-SUM($EN339:EN339),
IF($N339&lt;=1,
IF($N339&gt;0,1/$N339,0),
IF(EO$44=2,0,VDB(1,0,$N339,INT(EO$44-2-1),MIN($N339,INT(EO$44-2-1)+1),$DC339,IF($DD339="No",1,0))/
IF(DV339&gt;=INT($N339),$N339-INT($N339),1)))*
IF(EO$44=2,0,
IF(INT(DW339)=INT(DV339),DW339-DV339,INT(DW339)-DV339))+
IF($N339&lt;=1,
IF($N339&gt;0,1/$N339,0),VDB(1,0,$N339,INT(EO$44-2),MIN($N339,INT(EO$44-2)+1),$DC339,IF($DD339="No",1,0))/
IF(DW339&gt;INT($N339),$N339-INT($N339),1))*
IF(EO$44=2,DW339,
IF(INT(DW339)=INT(DV339),0,DW339-INT(DW339)))))</f>
        <v>0</v>
      </c>
      <c r="EP339" s="835">
        <f>+IF(OR(DX339=DW339,EP$44=1),0,
IF(AND(EP$44&gt;1,DX339=$N339),1-SUM($EN339:EO339),
IF($N339&lt;=1,
IF($N339&gt;0,1/$N339,0),
IF(EP$44=2,0,VDB(1,0,$N339,INT(EP$44-2-1),MIN($N339,INT(EP$44-2-1)+1),$DC339,IF($DD339="No",1,0))/
IF(DW339&gt;=INT($N339),$N339-INT($N339),1)))*
IF(EP$44=2,0,
IF(INT(DX339)=INT(DW339),DX339-DW339,INT(DX339)-DW339))+
IF($N339&lt;=1,
IF($N339&gt;0,1/$N339,0),VDB(1,0,$N339,INT(EP$44-2),MIN($N339,INT(EP$44-2)+1),$DC339,IF($DD339="No",1,0))/
IF(DX339&gt;INT($N339),$N339-INT($N339),1))*
IF(EP$44=2,DX339,
IF(INT(DX339)=INT(DW339),0,DX339-INT(DX339)))))</f>
        <v>0</v>
      </c>
      <c r="EQ339" s="836">
        <f>+IF(OR(DY339=DX339,EQ$44=1),0,
IF(AND(EQ$44&gt;1,DY339=$N339),1-SUM($EN339:EP339),
IF($N339&lt;=1,
IF($N339&gt;0,1/$N339,0),
IF(EQ$44=2,0,VDB(1,0,$N339,INT(EQ$44-2-1),MIN($N339,INT(EQ$44-2-1)+1),$DC339,IF($DD339="No",1,0))/
IF(DX339&gt;=INT($N339),$N339-INT($N339),1)))*
IF(EQ$44=2,0,
IF(INT(DY339)=INT(DX339),DY339-DX339,INT(DY339)-DX339))+
IF($N339&lt;=1,
IF($N339&gt;0,1/$N339,0),VDB(1,0,$N339,INT(EQ$44-2),MIN($N339,INT(EQ$44-2)+1),$DC339,IF($DD339="No",1,0))/
IF(DY339&gt;INT($N339),$N339-INT($N339),1))*
IF(EQ$44=2,DY339,
IF(INT(DY339)=INT(DX339),0,DY339-INT(DY339)))))</f>
        <v>0</v>
      </c>
      <c r="ER339" s="834">
        <f>+IF(OR(DZ339=DY339,ER$44=1),0,
IF(AND(ER$44&gt;1,DZ339=$N339),1-SUM($EN339:EQ339),
IF($N339&lt;=1,
IF($N339&gt;0,1/$N339,0),
IF(ER$44=2,0,VDB(1,0,$N339,INT(ER$44-2-1),MIN($N339,INT(ER$44-2-1)+1),$DC339,IF($DD339="No",1,0))/
IF(DY339&gt;=INT($N339),$N339-INT($N339),1)))*
IF(ER$44=2,0,
IF(INT(DZ339)=INT(DY339),DZ339-DY339,INT(DZ339)-DY339))+
IF($N339&lt;=1,
IF($N339&gt;0,1/$N339,0),VDB(1,0,$N339,INT(ER$44-2),MIN($N339,INT(ER$44-2)+1),$DC339,IF($DD339="No",1,0))/
IF(DZ339&gt;INT($N339),$N339-INT($N339),1))*
IF(ER$44=2,DZ339,
IF(INT(DZ339)=INT(DY339),0,DZ339-INT(DZ339)))))</f>
        <v>0</v>
      </c>
      <c r="ES339" s="835">
        <f>+IF(OR(EA339=DZ339,ES$44=1),0,
IF(AND(ES$44&gt;1,EA339=$N339),1-SUM($EN339:ER339),
IF($N339&lt;=1,
IF($N339&gt;0,1/$N339,0),
IF(ES$44=2,0,VDB(1,0,$N339,INT(ES$44-2-1),MIN($N339,INT(ES$44-2-1)+1),$DC339,IF($DD339="No",1,0))/
IF(DZ339&gt;=INT($N339),$N339-INT($N339),1)))*
IF(ES$44=2,0,
IF(INT(EA339)=INT(DZ339),EA339-DZ339,INT(EA339)-DZ339))+
IF($N339&lt;=1,
IF($N339&gt;0,1/$N339,0),VDB(1,0,$N339,INT(ES$44-2),MIN($N339,INT(ES$44-2)+1),$DC339,IF($DD339="No",1,0))/
IF(EA339&gt;INT($N339),$N339-INT($N339),1))*
IF(ES$44=2,EA339,
IF(INT(EA339)=INT(DZ339),0,EA339-INT(EA339)))))</f>
        <v>0</v>
      </c>
      <c r="ET339" s="835">
        <f>+IF(OR(EB339=EA339,ET$44=1),0,
IF(AND(ET$44&gt;1,EB339=$N339),1-SUM($EN339:ES339),
IF($N339&lt;=1,
IF($N339&gt;0,1/$N339,0),
IF(ET$44=2,0,VDB(1,0,$N339,INT(ET$44-2-1),MIN($N339,INT(ET$44-2-1)+1),$DC339,IF($DD339="No",1,0))/
IF(EA339&gt;=INT($N339),$N339-INT($N339),1)))*
IF(ET$44=2,0,
IF(INT(EB339)=INT(EA339),EB339-EA339,INT(EB339)-EA339))+
IF($N339&lt;=1,
IF($N339&gt;0,1/$N339,0),VDB(1,0,$N339,INT(ET$44-2),MIN($N339,INT(ET$44-2)+1),$DC339,IF($DD339="No",1,0))/
IF(EB339&gt;INT($N339),$N339-INT($N339),1))*
IF(ET$44=2,EB339,
IF(INT(EB339)=INT(EA339),0,EB339-INT(EB339)))))</f>
        <v>0</v>
      </c>
      <c r="EU339" s="835">
        <f>+IF(OR(EC339=EB339,EU$44=1),0,
IF(AND(EU$44&gt;1,EC339=$N339),1-SUM($EN339:ET339),
IF($N339&lt;=1,
IF($N339&gt;0,1/$N339,0),
IF(EU$44=2,0,VDB(1,0,$N339,INT(EU$44-2-1),MIN($N339,INT(EU$44-2-1)+1),$DC339,IF($DD339="No",1,0))/
IF(EB339&gt;=INT($N339),$N339-INT($N339),1)))*
IF(EU$44=2,0,
IF(INT(EC339)=INT(EB339),EC339-EB339,INT(EC339)-EB339))+
IF($N339&lt;=1,
IF($N339&gt;0,1/$N339,0),VDB(1,0,$N339,INT(EU$44-2),MIN($N339,INT(EU$44-2)+1),$DC339,IF($DD339="No",1,0))/
IF(EC339&gt;INT($N339),$N339-INT($N339),1))*
IF(EU$44=2,EC339,
IF(INT(EC339)=INT(EB339),0,EC339-INT(EC339)))))</f>
        <v>0</v>
      </c>
      <c r="EV339" s="836">
        <f>+IF(OR(ED339=EC339,EV$44=1),0,
IF(AND(EV$44&gt;1,ED339=$N339),1-SUM($EN339:EU339),
IF($N339&lt;=1,
IF($N339&gt;0,1/$N339,0),
IF(EV$44=2,0,VDB(1,0,$N339,INT(EV$44-2-1),MIN($N339,INT(EV$44-2-1)+1),$DC339,IF($DD339="No",1,0))/
IF(EC339&gt;=INT($N339),$N339-INT($N339),1)))*
IF(EV$44=2,0,
IF(INT(ED339)=INT(EC339),ED339-EC339,INT(ED339)-EC339))+
IF($N339&lt;=1,
IF($N339&gt;0,1/$N339,0),VDB(1,0,$N339,INT(EV$44-2),MIN($N339,INT(EV$44-2)+1),$DC339,IF($DD339="No",1,0))/
IF(ED339&gt;INT($N339),$N339-INT($N339),1))*
IF(EV$44=2,ED339,
IF(INT(ED339)=INT(EC339),0,ED339-INT(ED339)))))</f>
        <v>0</v>
      </c>
      <c r="EW339" s="833"/>
      <c r="EX339" s="834">
        <f t="shared" ca="1" si="570"/>
        <v>0</v>
      </c>
      <c r="EY339" s="835">
        <f t="shared" ca="1" si="570"/>
        <v>0</v>
      </c>
      <c r="EZ339" s="836">
        <f t="shared" ca="1" si="570"/>
        <v>0</v>
      </c>
      <c r="FA339" s="834">
        <f t="shared" ca="1" si="570"/>
        <v>0</v>
      </c>
      <c r="FB339" s="835">
        <f t="shared" ca="1" si="570"/>
        <v>0</v>
      </c>
      <c r="FC339" s="835">
        <f t="shared" ca="1" si="570"/>
        <v>0</v>
      </c>
      <c r="FD339" s="835">
        <f t="shared" ca="1" si="570"/>
        <v>0</v>
      </c>
      <c r="FE339" s="836">
        <f t="shared" ca="1" si="570"/>
        <v>0</v>
      </c>
      <c r="FG339" s="386">
        <f t="shared" ca="1" si="521"/>
        <v>0</v>
      </c>
      <c r="FH339" s="387">
        <f t="shared" ca="1" si="522"/>
        <v>0</v>
      </c>
      <c r="FI339" s="388">
        <f t="shared" ca="1" si="523"/>
        <v>0</v>
      </c>
      <c r="FJ339" s="386">
        <f t="shared" ca="1" si="524"/>
        <v>0</v>
      </c>
      <c r="FK339" s="387">
        <f t="shared" ca="1" si="525"/>
        <v>0</v>
      </c>
      <c r="FL339" s="387">
        <f t="shared" ca="1" si="526"/>
        <v>0</v>
      </c>
      <c r="FM339" s="387">
        <f t="shared" ca="1" si="527"/>
        <v>0</v>
      </c>
      <c r="FN339" s="388">
        <f t="shared" ca="1" si="528"/>
        <v>0</v>
      </c>
      <c r="FR339" s="116"/>
    </row>
    <row r="340" spans="2:174">
      <c r="B340" s="1410">
        <f t="shared" si="556"/>
        <v>294</v>
      </c>
      <c r="C340" s="400"/>
      <c r="D340" s="410"/>
      <c r="E340" s="402"/>
      <c r="F340" s="402"/>
      <c r="G340" s="400"/>
      <c r="H340" s="2088"/>
      <c r="I340" s="2089"/>
      <c r="J340" s="411"/>
      <c r="K340" s="403"/>
      <c r="L340" s="403"/>
      <c r="M340" s="403"/>
      <c r="N340" s="403"/>
      <c r="O340" s="347"/>
      <c r="P340" s="347"/>
      <c r="Q340" s="1021"/>
      <c r="R340" s="1022"/>
      <c r="S340" s="1022"/>
      <c r="T340" s="1022"/>
      <c r="U340" s="1023"/>
      <c r="V340" s="1021"/>
      <c r="W340" s="1022"/>
      <c r="X340" s="1022"/>
      <c r="Y340" s="1022"/>
      <c r="Z340" s="1023"/>
      <c r="AA340" s="1024"/>
      <c r="AB340" s="1021"/>
      <c r="AC340" s="1022"/>
      <c r="AD340" s="1022"/>
      <c r="AE340" s="1022"/>
      <c r="AF340" s="1023"/>
      <c r="AG340" s="1021"/>
      <c r="AH340" s="1022"/>
      <c r="AI340" s="1022"/>
      <c r="AJ340" s="1022"/>
      <c r="AK340" s="1023"/>
      <c r="AL340" s="1024"/>
      <c r="AM340" s="1021"/>
      <c r="AN340" s="1022"/>
      <c r="AO340" s="1022"/>
      <c r="AP340" s="1022"/>
      <c r="AQ340" s="1023"/>
      <c r="AR340" s="1021"/>
      <c r="AS340" s="1022"/>
      <c r="AT340" s="1022"/>
      <c r="AU340" s="1022"/>
      <c r="AV340" s="1023"/>
      <c r="AW340" s="1025"/>
      <c r="AX340" s="1282">
        <f t="shared" ref="AX340:AX364" si="571">+Q340-AB340-AM340</f>
        <v>0</v>
      </c>
      <c r="AY340" s="387">
        <f t="shared" ref="AY340:AY364" si="572">+R340-AC340-AN340</f>
        <v>0</v>
      </c>
      <c r="AZ340" s="387">
        <f t="shared" ref="AZ340:AZ364" si="573">+S340-AD340-AO340</f>
        <v>0</v>
      </c>
      <c r="BA340" s="387">
        <f t="shared" ref="BA340:BA364" si="574">+T340-AE340-AP340</f>
        <v>0</v>
      </c>
      <c r="BB340" s="1283">
        <f t="shared" ref="BB340:BB364" si="575">+U340-AF340-AQ340</f>
        <v>0</v>
      </c>
      <c r="BC340" s="386">
        <f t="shared" ref="BC340:BC364" si="576">+V340-AG340-AR340</f>
        <v>0</v>
      </c>
      <c r="BD340" s="387">
        <f t="shared" ref="BD340:BD364" si="577">+W340-AH340-AS340</f>
        <v>0</v>
      </c>
      <c r="BE340" s="1277">
        <f t="shared" ref="BE340:BE364" si="578">+X340-AI340-AT340</f>
        <v>0</v>
      </c>
      <c r="BF340" s="1277">
        <f t="shared" ref="BF340:BF364" si="579">+Y340-AJ340-AU340</f>
        <v>0</v>
      </c>
      <c r="BG340" s="388">
        <f t="shared" ref="BG340:BG364" si="580">+Z340-AK340-AV340</f>
        <v>0</v>
      </c>
      <c r="BH340" s="1025"/>
      <c r="BI340" s="1282">
        <f t="shared" ref="BI340:BI364" ca="1" si="581">IF($L340=0,0,
IF($L340&lt;=0.5,BT340,
IF($J340="straight line",
IF((LEFT(BI$43,4)*1)-INT($L340)&lt;LEFT($BI$43,4)*1,0,((OFFSET(BT340,0,-INT($L340+0.5),1,1))/$L340)*(IF($L340-INT($L340)&gt;0.5,$L340-0.5-INT($L340),IF($L340-INT($L340)&lt;=0.5,$L340-0.5-INT($L340)+1,0))))
+BT340/$L340*0.5,
IF($J340="Declining Balance",-$BI$42,0))))</f>
        <v>0</v>
      </c>
      <c r="BJ340" s="387">
        <f t="shared" ref="BJ340:BJ364" ca="1" si="582">IF($L340=0,0,
IF($L340&lt;=0.5,BU340,
IF(AND($J340="straight line",$L340&lt;1.51),(BT340-((BT340/$L340)*0.5))+BU340/$L340*0.5,
IF($J340="straight line",
IF((LEFT(BJ$43,4)*1)-INT($L340)&lt;LEFT($BI$43,4)*1,0,((OFFSET(BU340,0,-INT($L340+0.5),1,1))/$L340)*(IF($L340-INT($L340)&gt;0.5,$L340-0.5-INT($L340),IF($L340-INT($L340)&lt;=0.5,$L340-0.5-INT($L340)+1,0))))
+BU340/$L340*0.5
+SUM(OFFSET(BU340,0,MAX(-INT($L340+(0.5-(10^-12))),-BJ$44)+1,1,MIN(INT($L340+(0.5-(10^-12))),BJ$44)-1))*1/$L340,
IF($J340="Declining Balance",-$BI$42,0)))))</f>
        <v>0</v>
      </c>
      <c r="BK340" s="387">
        <f t="shared" ref="BK340:BK364" ca="1" si="583">IF($L340=0,0,
IF($L340&lt;=0.5,BV340,
IF(AND($J340="straight line",$L340&lt;1.51),(BU340-((BU340/$L340)*0.5))+BV340/$L340*0.5,
IF($J340="straight line",
IF((LEFT(BK$43,4)*1)-INT($L340)&lt;LEFT($BI$43,4)*1,0,((OFFSET(BV340,0,-INT($L340+0.5),1,1))/$L340)*(IF($L340-INT($L340)&gt;0.5,$L340-0.5-INT($L340),IF($L340-INT($L340)&lt;=0.5,$L340-0.5-INT($L340)+1,0))))
+BV340/$L340*0.5
+SUM(OFFSET(BV340,0,MAX(-INT($L340+(0.5-(10^-12))),-BK$44)+1,1,MIN(INT($L340+(0.5-(10^-12))),BK$44)-1))*1/$L340,
IF($J340="Declining Balance",-$BI$42,0)))))</f>
        <v>0</v>
      </c>
      <c r="BL340" s="387">
        <f t="shared" ref="BL340:BL364" ca="1" si="584">IF($L340=0,0,
IF($L340&lt;=0.5,BW340,
IF(AND($J340="straight line",$L340&lt;1.51),(BV340-((BV340/$L340)*0.5))+BW340/$L340*0.5,
IF($J340="straight line",
IF((LEFT(BL$43,4)*1)-INT($L340)&lt;LEFT($BI$43,4)*1,0,((OFFSET(BW340,0,-INT($L340+0.5),1,1))/$L340)*(IF($L340-INT($L340)&gt;0.5,$L340-0.5-INT($L340),IF($L340-INT($L340)&lt;=0.5,$L340-0.5-INT($L340)+1,0))))
+BW340/$L340*0.5
+SUM(OFFSET(BW340,0,MAX(-INT($L340+(0.5-(10^-12))),-BL$44)+1,1,MIN(INT($L340+(0.5-(10^-12))),BL$44)-1))*1/$L340,
IF($J340="Declining Balance",-$BI$42,0)))))</f>
        <v>0</v>
      </c>
      <c r="BM340" s="1283">
        <f t="shared" ref="BM340:BM364" ca="1" si="585">IF($L340=0,0,
IF($L340&lt;=0.5,BX340,
IF(AND($J340="straight line",$L340&lt;1.51),(BW340-((BW340/$L340)*0.5))+BX340/$L340*0.5,
IF($J340="straight line",
IF((LEFT(BM$43,4)*1)-INT($L340)&lt;LEFT($BI$43,4)*1,0,((OFFSET(BX340,0,-INT($L340+0.5),1,1))/$L340)*(IF($L340-INT($L340)&gt;0.5,$L340-0.5-INT($L340),IF($L340-INT($L340)&lt;=0.5,$L340-0.5-INT($L340)+1,0))))
+BX340/$L340*0.5
+SUM(OFFSET(BX340,0,MAX(-INT($L340+(0.5-(10^-12))),-BM$44)+1,1,MIN(INT($L340+(0.5-(10^-12))),BM$44)-1))*1/$L340,
IF($J340="Declining Balance",-$BI$42,0)))))</f>
        <v>0</v>
      </c>
      <c r="BN340" s="386">
        <f t="shared" ref="BN340:BN364" ca="1" si="586">IF($L340=0,0,
IF($L340&lt;=0.5,BY340,
IF(AND($J340="straight line",$L340&lt;1.51),(BX340-((BX340/$L340)*0.5))+BY340/$L340*0.5,
IF($J340="straight line",
IF((LEFT(BN$43,4)*1)-INT($L340)&lt;LEFT($BI$43,4)*1,0,((OFFSET(BY340,0,-INT($L340+0.5),1,1))/$L340)*(IF($L340-INT($L340)&gt;0.5,$L340-0.5-INT($L340),IF($L340-INT($L340)&lt;=0.5,$L340-0.5-INT($L340)+1,0))))
+BY340/$L340*0.5
+SUM(OFFSET(BY340,0,MAX(-INT($L340+(0.5-(10^-12))),-BN$44)+1,1,MIN(INT($L340+(0.5-(10^-12))),BN$44)-1))*1/$L340,
IF($J340="Declining Balance",-$BI$42,0)))))</f>
        <v>0</v>
      </c>
      <c r="BO340" s="387">
        <f t="shared" ref="BO340:BO364" ca="1" si="587">IF($L340=0,0,
IF($L340&lt;=0.5,BZ340,
IF(AND($J340="straight line",$L340&lt;1.51),(BY340-((BY340/$L340)*0.5))+BZ340/$L340*0.5,
IF($J340="straight line",
IF((LEFT(BO$43,4)*1)-INT($L340)&lt;LEFT($BI$43,4)*1,0,((OFFSET(BZ340,0,-INT($L340+0.5),1,1))/$L340)*(IF($L340-INT($L340)&gt;0.5,$L340-0.5-INT($L340),IF($L340-INT($L340)&lt;=0.5,$L340-0.5-INT($L340)+1,0))))
+BZ340/$L340*0.5
+SUM(OFFSET(BZ340,0,MAX(-INT($L340+(0.5-(10^-12))),-BO$44)+1,1,MIN(INT($L340+(0.5-(10^-12))),BO$44)-1))*1/$L340,
IF($J340="Declining Balance",-$BI$42,0)))))</f>
        <v>0</v>
      </c>
      <c r="BP340" s="1277">
        <f t="shared" ref="BP340:BP364" ca="1" si="588">IF($L340=0,0,
IF($L340&lt;=0.5,CA340,
IF(AND($J340="straight line",$L340&lt;1.51),(BZ340-((BZ340/$L340)*0.5))+CA340/$L340*0.5,
IF($J340="straight line",
IF((LEFT(BP$43,4)*1)-INT($L340)&lt;LEFT($BI$43,4)*1,0,((OFFSET(CA340,0,-INT($L340+0.5),1,1))/$L340)*(IF($L340-INT($L340)&gt;0.5,$L340-0.5-INT($L340),IF($L340-INT($L340)&lt;=0.5,$L340-0.5-INT($L340)+1,0))))
+CA340/$L340*0.5
+SUM(OFFSET(CA340,0,MAX(-INT($L340+(0.5-(10^-12))),-BP$44)+1,1,MIN(INT($L340+(0.5-(10^-12))),BP$44)-1))*1/$L340,
IF($J340="Declining Balance",-$BI$42,0)))))</f>
        <v>0</v>
      </c>
      <c r="BQ340" s="1277">
        <f t="shared" ref="BQ340:BQ364" ca="1" si="589">IF($L340=0,0,
IF($L340&lt;=0.5,CB340,
IF(AND($J340="straight line",$L340&lt;1.51),(CA340-((CA340/$L340)*0.5))+CB340/$L340*0.5,
IF($J340="straight line",
IF((LEFT(BQ$43,4)*1)-INT($L340)&lt;LEFT($BI$43,4)*1,0,((OFFSET(CB340,0,-INT($L340+0.5),1,1))/$L340)*(IF($L340-INT($L340)&gt;0.5,$L340-0.5-INT($L340),IF($L340-INT($L340)&lt;=0.5,$L340-0.5-INT($L340)+1,0))))
+CB340/$L340*0.5
+SUM(OFFSET(CB340,0,MAX(-INT($L340+(0.5-(10^-12))),-BQ$44)+1,1,MIN(INT($L340+(0.5-(10^-12))),BQ$44)-1))*1/$L340,
IF($J340="Declining Balance",-$BI$42,0)))))</f>
        <v>0</v>
      </c>
      <c r="BR340" s="388">
        <f t="shared" ref="BR340:BR364" ca="1" si="590">IF($L340=0,0,
IF($L340&lt;=0.5,CC340,
IF(AND($J340="straight line",$L340&lt;1.51),(CB340-((CB340/$L340)*0.5))+CC340/$L340*0.5,
IF($J340="straight line",
IF((LEFT(BR$43,4)*1)-INT($L340)&lt;LEFT($BI$43,4)*1,0,((OFFSET(CC340,0,-INT($L340+0.5),1,1))/$L340)*(IF($L340-INT($L340)&gt;0.5,$L340-0.5-INT($L340),IF($L340-INT($L340)&lt;=0.5,$L340-0.5-INT($L340)+1,0))))
+CC340/$L340*0.5
+SUM(OFFSET(CC340,0,MAX(-INT($L340+(0.5-(10^-12))),-BR$44)+1,1,MIN(INT($L340+(0.5-(10^-12))),BR$44)-1))*1/$L340,
IF($J340="Declining Balance",-$BI$42,0)))))</f>
        <v>0</v>
      </c>
      <c r="BS340" s="1025"/>
      <c r="BT340" s="1282">
        <f>+IF($K340="Ongoing",AX340,IF(RIGHT($K340,2)=RIGHT(BT$43,2),SUM($AX340:AX340),0)+IF(RIGHT(BT$43,2)&gt;RIGHT($K340,2),AX340,0))</f>
        <v>0</v>
      </c>
      <c r="BU340" s="387">
        <f>+IF($K340="Ongoing",AY340,IF(RIGHT($K340,2)=RIGHT(BU$43,2),SUM($AX340:AY340),0)+IF(RIGHT(BU$43,2)&gt;RIGHT($K340,2),AY340,0))</f>
        <v>0</v>
      </c>
      <c r="BV340" s="387">
        <f>+IF($K340="Ongoing",AZ340,IF(RIGHT($K340,2)=RIGHT(BV$43,2),SUM($AX340:AZ340),0)+IF(RIGHT(BV$43,2)&gt;RIGHT($K340,2),AZ340,0))</f>
        <v>0</v>
      </c>
      <c r="BW340" s="387">
        <f>+IF($K340="Ongoing",BA340,IF(RIGHT($K340,2)=RIGHT(BW$43,2),SUM($AX340:BA340),0)+IF(RIGHT(BW$43,2)&gt;RIGHT($K340,2),BA340,0))</f>
        <v>0</v>
      </c>
      <c r="BX340" s="1283">
        <f>+IF($K340="Ongoing",BB340,IF(RIGHT($K340,2)=RIGHT(BX$43,2),SUM($AX340:BB340),0)+IF(RIGHT(BX$43,2)&gt;RIGHT($K340,2),BB340,0))</f>
        <v>0</v>
      </c>
      <c r="BY340" s="386">
        <f>+IF($K340="Ongoing",BC340,IF(RIGHT($K340,2)=RIGHT(BY$43,2),SUM($AX340:BC340),0)+IF(RIGHT(BY$43,2)&gt;RIGHT($K340,2),BC340,0))</f>
        <v>0</v>
      </c>
      <c r="BZ340" s="387">
        <f>+IF($K340="Ongoing",BD340,IF(RIGHT($K340,2)=RIGHT(BZ$43,2),SUM($AX340:BD340),0)+IF(RIGHT(BZ$43,2)&gt;RIGHT($K340,2),BD340,0))</f>
        <v>0</v>
      </c>
      <c r="CA340" s="1277">
        <f>+IF($K340="Ongoing",BE340,IF(RIGHT($K340,2)=RIGHT(CA$43,2),SUM($AX340:BE340),0)+IF(RIGHT(CA$43,2)&gt;RIGHT($K340,2),BE340,0))</f>
        <v>0</v>
      </c>
      <c r="CB340" s="1277">
        <f>+IF($K340="Ongoing",BF340,IF(RIGHT($K340,2)=RIGHT(CB$43,2),SUM($AX340:BF340),0)+IF(RIGHT(CB$43,2)&gt;RIGHT($K340,2),BF340,0))</f>
        <v>0</v>
      </c>
      <c r="CC340" s="388">
        <f>+IF($K340="Ongoing",BG340,IF(RIGHT($K340,2)=RIGHT(CC$43,2),SUM($AX340:BG340),0)+IF(RIGHT(CC$43,2)&gt;RIGHT($K340,2),BG340,0))</f>
        <v>0</v>
      </c>
      <c r="CD340" s="1025"/>
      <c r="CE340" s="1282">
        <f>+Q340*KeyAssumptionsPriceControl_FO!AF$15</f>
        <v>0</v>
      </c>
      <c r="CF340" s="387">
        <f>+R340*KeyAssumptionsPriceControl_FO!AG$15</f>
        <v>0</v>
      </c>
      <c r="CG340" s="387">
        <f>+S340*KeyAssumptionsPriceControl_FO!AH$15</f>
        <v>0</v>
      </c>
      <c r="CH340" s="387">
        <f>+T340*KeyAssumptionsPriceControl_FO!AI$15</f>
        <v>0</v>
      </c>
      <c r="CI340" s="1283">
        <f>+U340*KeyAssumptionsPriceControl_FO!AJ$15</f>
        <v>0</v>
      </c>
      <c r="CJ340" s="386">
        <f>+V340*KeyAssumptionsPriceControl_FO!AK$15</f>
        <v>0</v>
      </c>
      <c r="CK340" s="387">
        <f>+W340*KeyAssumptionsPriceControl_FO!AL$15</f>
        <v>0</v>
      </c>
      <c r="CL340" s="1277">
        <f>+X340*KeyAssumptionsPriceControl_FO!AM$15</f>
        <v>0</v>
      </c>
      <c r="CM340" s="1277">
        <f>+Y340*KeyAssumptionsPriceControl_FO!AN$15</f>
        <v>0</v>
      </c>
      <c r="CN340" s="388">
        <f>+Z340*KeyAssumptionsPriceControl_FO!AO$15</f>
        <v>0</v>
      </c>
      <c r="CO340" s="1025"/>
      <c r="CP340" s="1282">
        <f t="shared" ref="CP340:CP364" ca="1" si="591">IF($M340="straight line",IF($N340=0,0,
IF($N340&lt;=0.5,CE340,
IF($J340="straight line",
IF((LEFT(CP$43,4)*1)-INT($N340)&lt;LEFT($CP$43,4)*1,0,((OFFSET(CE340,0,-INT($N340+0.5),1,1))/$N340)*(IF($N340-INT($N340)&gt;0.5,$N340-0.5-INT($N340),IF($N340-INT($N340)&lt;=0.5,$N340-0.5-INT($N340)+1,0))))
+CE340/$N340*0.5,
IF($J340="Declining Balance",-$CP$42,0)))),IFERROR(FG340,0))</f>
        <v>0</v>
      </c>
      <c r="CQ340" s="387">
        <f t="shared" ref="CQ340:CQ364" ca="1" si="592">IF($M340="straight line",IF($N340=0,0,
IF($N340&lt;=0.5,CF340,
IF($J340="straight line",
IF((LEFT(CQ$43,4)*1)-INT($N340)&lt;LEFT($CP$43,4)*1,0,((OFFSET(CF340,0,-INT($N340+0.5),1,1))/$N340)*(IF($N340-INT($N340)&gt;0.5,$N340-0.5-INT($N340),IF($N340-INT($N340)&lt;=0.5,$N340-0.5-INT($N340)+1,0))))
+CF340/$N340*0.5,
IF($J340="Declining Balance",-$CP$42,0)))),IFERROR(FH340,0))</f>
        <v>0</v>
      </c>
      <c r="CR340" s="387">
        <f t="shared" ref="CR340:CR364" ca="1" si="593">IF($M340="straight line",IF($N340=0,0,
IF($N340&lt;=0.5,CG340,
IF($J340="straight line",
IF((LEFT(CR$43,4)*1)-INT($N340)&lt;LEFT($CP$43,4)*1,0,((OFFSET(CG340,0,-INT($N340+0.5),1,1))/$N340)*(IF($N340-INT($N340)&gt;0.5,$N340-0.5-INT($N340),IF($N340-INT($N340)&lt;=0.5,$N340-0.5-INT($N340)+1,0))))
+CG340/$N340*0.5,
IF($J340="Declining Balance",-$CP$42,0)))),IFERROR(FI340,0))</f>
        <v>0</v>
      </c>
      <c r="CS340" s="387">
        <f t="shared" ref="CS340:CS364" ca="1" si="594">IF($M340="straight line",IF($N340=0,0,
IF($N340&lt;=0.5,CH340,
IF($J340="straight line",
IF((LEFT(CS$43,4)*1)-INT($N340)&lt;LEFT($CP$43,4)*1,0,((OFFSET(CH340,0,-INT($N340+0.5),1,1))/$N340)*(IF($N340-INT($N340)&gt;0.5,$N340-0.5-INT($N340),IF($N340-INT($N340)&lt;=0.5,$N340-0.5-INT($N340)+1,0))))
+CH340/$N340*0.5,
IF($J340="Declining Balance",-$CP$42,0)))),IFERROR(FJ340,0))</f>
        <v>0</v>
      </c>
      <c r="CT340" s="1283">
        <f t="shared" ref="CT340:CT364" ca="1" si="595">IF($M340="straight line",IF($N340=0,0,
IF($N340&lt;=0.5,CI340,
IF($J340="straight line",
IF((LEFT(CT$43,4)*1)-INT($N340)&lt;LEFT($CP$43,4)*1,0,((OFFSET(CI340,0,-INT($N340+0.5),1,1))/$N340)*(IF($N340-INT($N340)&gt;0.5,$N340-0.5-INT($N340),IF($N340-INT($N340)&lt;=0.5,$N340-0.5-INT($N340)+1,0))))
+CI340/$N340*0.5,
IF($J340="Declining Balance",-$CP$42,0)))),IFERROR(FK340,0))</f>
        <v>0</v>
      </c>
      <c r="CU340" s="386">
        <f t="shared" ref="CU340:CU364" ca="1" si="596">IF($M340="straight line",IF($N340=0,0,
IF($N340&lt;=0.5,CJ340,
IF($J340="straight line",
IF((LEFT(CU$43,4)*1)-INT($N340)&lt;LEFT($CP$43,4)*1,0,((OFFSET(CJ340,0,-INT($N340+0.5),1,1))/$N340)*(IF($N340-INT($N340)&gt;0.5,$N340-0.5-INT($N340),IF($N340-INT($N340)&lt;=0.5,$N340-0.5-INT($N340)+1,0))))
+CJ340/$N340*0.5,
IF($J340="Declining Balance",-$CP$42,0)))),IFERROR(FL340,0))</f>
        <v>0</v>
      </c>
      <c r="CV340" s="387">
        <f t="shared" ref="CV340:CV364" ca="1" si="597">IF($M340="straight line",IF($N340=0,0,
IF($N340&lt;=0.5,CK340,
IF($J340="straight line",
IF((LEFT(CV$43,4)*1)-INT($N340)&lt;LEFT($CP$43,4)*1,0,((OFFSET(CK340,0,-INT($N340+0.5),1,1))/$N340)*(IF($N340-INT($N340)&gt;0.5,$N340-0.5-INT($N340),IF($N340-INT($N340)&lt;=0.5,$N340-0.5-INT($N340)+1,0))))
+CK340/$N340*0.5,
IF($J340="Declining Balance",-$CP$42,0)))),IFERROR(FM340,0))</f>
        <v>0</v>
      </c>
      <c r="CW340" s="1277">
        <f t="shared" ref="CW340:CW364" ca="1" si="598">IF($M340="straight line",IF($N340=0,0,
IF($N340&lt;=0.5,CL340,
IF($J340="straight line",
IF((LEFT(CW$43,4)*1)-INT($N340)&lt;LEFT($CP$43,4)*1,0,((OFFSET(CL340,0,-INT($N340+0.5),1,1))/$N340)*(IF($N340-INT($N340)&gt;0.5,$N340-0.5-INT($N340),IF($N340-INT($N340)&lt;=0.5,$N340-0.5-INT($N340)+1,0))))
+CL340/$N340*0.5,
IF($J340="Declining Balance",-$CP$42,0)))),IFERROR(FN340,0))</f>
        <v>0</v>
      </c>
      <c r="CX340" s="1277">
        <f t="shared" ref="CX340:CX364" ca="1" si="599">IF($M340="straight line",IF($N340=0,0,
IF($N340&lt;=0.5,CM340,
IF($J340="straight line",
IF((LEFT(CX$43,4)*1)-INT($N340)&lt;LEFT($CP$43,4)*1,0,((OFFSET(CM340,0,-INT($N340+0.5),1,1))/$N340)*(IF($N340-INT($N340)&gt;0.5,$N340-0.5-INT($N340),IF($N340-INT($N340)&lt;=0.5,$N340-0.5-INT($N340)+1,0))))
+CM340/$N340*0.5,
IF($J340="Declining Balance",-$CP$42,0)))),IFERROR(FO340,0))</f>
        <v>0</v>
      </c>
      <c r="CY340" s="388">
        <f t="shared" ref="CY340:CY364" ca="1" si="600">IF($M340="straight line",IF($N340=0,0,
IF($N340&lt;=0.5,CN340,
IF($J340="straight line",
IF((LEFT(CY$43,4)*1)-INT($N340)&lt;LEFT($CP$43,4)*1,0,((OFFSET(CN340,0,-INT($N340+0.5),1,1))/$N340)*(IF($N340-INT($N340)&gt;0.5,$N340-0.5-INT($N340),IF($N340-INT($N340)&lt;=0.5,$N340-0.5-INT($N340)+1,0))))
+CN340/$N340*0.5,
IF($J340="Declining Balance",-$CP$42,0)))),IFERROR(FP340,0))</f>
        <v>0</v>
      </c>
      <c r="CZ340" s="347"/>
      <c r="DA340" s="852"/>
      <c r="DB340" s="347"/>
      <c r="DC340" s="1012" t="s">
        <v>532</v>
      </c>
      <c r="DD340" s="841" t="s">
        <v>518</v>
      </c>
      <c r="DE340" s="386">
        <f>+IF($K340="ongoing",CE340,IF(RIGHT($K340,2)=RIGHT(DE$43,2),SUM($CD340:CE340),0)+IF(RIGHT(DE$43,2)&gt;RIGHT($K340,2),CE340,0))</f>
        <v>0</v>
      </c>
      <c r="DF340" s="387">
        <f>+IF($K340="ongoing",CF340,IF(RIGHT($K340,2)=RIGHT(DF$43,2),SUM($CD340:CF340),0)+IF(RIGHT(DF$43,2)&gt;RIGHT($K340,2),CF340,0))</f>
        <v>0</v>
      </c>
      <c r="DG340" s="388">
        <f>+IF($K340="ongoing",CG340,IF(RIGHT($K340,2)=RIGHT(DG$43,2),SUM($CD340:CG340),0)+IF(RIGHT(DG$43,2)&gt;RIGHT($K340,2),CG340,0))</f>
        <v>0</v>
      </c>
      <c r="DH340" s="386">
        <f>+IF($K340="ongoing",CH340,IF(RIGHT($K340,2)=RIGHT(DH$43,2),SUM($CD340:CH340),0)+IF(RIGHT(DH$43,2)&gt;RIGHT($K340,2),CH340,0))</f>
        <v>0</v>
      </c>
      <c r="DI340" s="387">
        <f>+IF($K340="ongoing",CI340,IF(RIGHT($K340,2)=RIGHT(DI$43,2),SUM($CD340:CI340),0)+IF(RIGHT(DI$43,2)&gt;RIGHT($K340,2),CI340,0))</f>
        <v>0</v>
      </c>
      <c r="DJ340" s="387">
        <f>+IF($K340="ongoing",CJ340,IF(RIGHT($K340,2)=RIGHT(DJ$43,2),SUM($CD340:CJ340),0)+IF(RIGHT(DJ$43,2)&gt;RIGHT($K340,2),CJ340,0))</f>
        <v>0</v>
      </c>
      <c r="DK340" s="387">
        <f>+IF($K340="ongoing",CK340,IF(RIGHT($K340,2)=RIGHT(DK$43,2),SUM($CD340:CK340),0)+IF(RIGHT(DK$43,2)&gt;RIGHT($K340,2),CK340,0))</f>
        <v>0</v>
      </c>
      <c r="DL340" s="388">
        <f>+IF($K340="ongoing",CN340,IF(RIGHT($K340,2)=RIGHT(DL$43,2),SUM($CD340:CN340),0)+IF(RIGHT(DL$43,2)&gt;RIGHT($K340,2),CN340,0))</f>
        <v>0</v>
      </c>
      <c r="DM340" s="841"/>
      <c r="DN340" s="386">
        <f t="shared" ref="DN340:DN364" si="601">+MIN(IF($N340&lt;=$DC340,MIN($N340,1),$N340),IF(DN$44=1,0.5,DM340+1))</f>
        <v>0.5</v>
      </c>
      <c r="DO340" s="387">
        <f t="shared" ref="DO340:DO364" si="602">+MIN(IF($N340&lt;=$DC340,MIN($N340,1),$N340),IF(DO$44=1,0.5,DN340+1))</f>
        <v>1</v>
      </c>
      <c r="DP340" s="388">
        <f t="shared" ref="DP340:DP364" si="603">+MIN(IF($N340&lt;=$DC340,MIN($N340,1),$N340),IF(DP$44=1,0.5,DO340+1))</f>
        <v>1</v>
      </c>
      <c r="DQ340" s="386">
        <f t="shared" ref="DQ340:DQ364" si="604">+MIN(IF($N340&lt;=$DC340,MIN($N340,1),$N340),IF(DQ$44=1,0.5,DP340+1))</f>
        <v>1</v>
      </c>
      <c r="DR340" s="387">
        <f t="shared" ref="DR340:DR364" si="605">+MIN(IF($N340&lt;=$DC340,MIN($N340,1),$N340),IF(DR$44=1,0.5,DQ340+1))</f>
        <v>1</v>
      </c>
      <c r="DS340" s="387">
        <f t="shared" ref="DS340:DS364" si="606">+MIN(IF($N340&lt;=$DC340,MIN($N340,1),$N340),IF(DS$44=1,0.5,DR340+1))</f>
        <v>1</v>
      </c>
      <c r="DT340" s="387">
        <f t="shared" ref="DT340:DT364" si="607">+MIN(IF($N340&lt;=$DC340,MIN($N340,1),$N340),IF(DT$44=1,0.5,DS340+1))</f>
        <v>1</v>
      </c>
      <c r="DU340" s="388">
        <f t="shared" ref="DU340:DU364" si="608">+MIN(IF($N340&lt;=$DC340,MIN($N340,1),$N340),IF(DU$44=1,0.5,DT340+1))</f>
        <v>1</v>
      </c>
      <c r="DW340" s="386">
        <f t="shared" ref="DW340:DW364" si="609">+IF(DW$44=1,0,MIN(IF($N340&lt;=$DC340,MIN($N340,1),$N340),IF(DW$44=2,0.5,DV340+1)))</f>
        <v>0</v>
      </c>
      <c r="DX340" s="387">
        <f t="shared" ref="DX340:DX364" si="610">+IF(DX$44=1,0,MIN(IF($N340&lt;=$DC340,MIN($N340,1),$N340),IF(DX$44=2,0.5,DW340+1)))</f>
        <v>0.5</v>
      </c>
      <c r="DY340" s="388">
        <f t="shared" ref="DY340:DY364" si="611">+IF(DY$44=1,0,MIN(IF($N340&lt;=$DC340,MIN($N340,1),$N340),IF(DY$44=2,0.5,DX340+1)))</f>
        <v>1</v>
      </c>
      <c r="DZ340" s="386">
        <f t="shared" ref="DZ340:DZ364" si="612">+IF(DZ$44=1,0,MIN(IF($N340&lt;=$DC340,MIN($N340,1),$N340),IF(DZ$44=2,0.5,DY340+1)))</f>
        <v>1</v>
      </c>
      <c r="EA340" s="387">
        <f t="shared" ref="EA340:EA364" si="613">+IF(EA$44=1,0,MIN(IF($N340&lt;=$DC340,MIN($N340,1),$N340),IF(EA$44=2,0.5,DZ340+1)))</f>
        <v>1</v>
      </c>
      <c r="EB340" s="387">
        <f t="shared" ref="EB340:EB364" si="614">+IF(EB$44=1,0,MIN(IF($N340&lt;=$DC340,MIN($N340,1),$N340),IF(EB$44=2,0.5,EA340+1)))</f>
        <v>1</v>
      </c>
      <c r="EC340" s="387">
        <f t="shared" ref="EC340:EC364" si="615">+IF(EC$44=1,0,MIN(IF($N340&lt;=$DC340,MIN($N340,1),$N340),IF(EC$44=2,0.5,EB340+1)))</f>
        <v>1</v>
      </c>
      <c r="ED340" s="388">
        <f t="shared" ref="ED340:ED364" si="616">+IF(ED$44=1,0,MIN(IF($N340&lt;=$DC340,MIN($N340,1),$N340),IF(ED$44=2,0.5,EC340+1)))</f>
        <v>1</v>
      </c>
      <c r="EF340" s="834">
        <f>+IF(DN340=DM340,0,
IF(AND(EF$44&gt;1,DN340=$N340),1-SUM($EE340:EE340),
IF($N340&lt;=1,
IF($N340&gt;0,1/$N340,0),
IF(EF$44=1,0,VDB(1,0,$N340,INT(EF$44-1-1),MIN($N340,INT(EF$44-1-1)+1),$DC340,IF($DD340="No",1,0))/
IF(DM340&gt;=INT($N340),$N340-INT($N340),1)))*
IF(EF$44=1,0,
IF(INT(DN340)=INT(DM340),DN340-DM340,INT(DN340)-DM340))+
IF($N340&lt;=1,
IF($N340&gt;0,1/$N340,0),VDB(1,0,$N340,INT(EF$44-1),MIN($N340,INT(EF$44-1)+1),$DC340,IF($DD340="No",1,0))/
IF(DN340&gt;INT($N340),$N340-INT($N340),1))*
IF(EF$44=1,DN340,
IF(INT(DN340)=INT(DM340),0,DN340-INT(DN340)))))</f>
        <v>0</v>
      </c>
      <c r="EG340" s="835">
        <f>+IF(DO340=DN340,0,
IF(AND(EG$44&gt;1,DO340=$N340),1-SUM($EE340:EF340),
IF($N340&lt;=1,
IF($N340&gt;0,1/$N340,0),
IF(EG$44=1,0,VDB(1,0,$N340,INT(EG$44-1-1),MIN($N340,INT(EG$44-1-1)+1),$DC340,IF($DD340="No",1,0))/
IF(DN340&gt;=INT($N340),$N340-INT($N340),1)))*
IF(EG$44=1,0,
IF(INT(DO340)=INT(DN340),DO340-DN340,INT(DO340)-DN340))+
IF($N340&lt;=1,
IF($N340&gt;0,1/$N340,0),VDB(1,0,$N340,INT(EG$44-1),MIN($N340,INT(EG$44-1)+1),$DC340,IF($DD340="No",1,0))/
IF(DO340&gt;INT($N340),$N340-INT($N340),1))*
IF(EG$44=1,DO340,
IF(INT(DO340)=INT(DN340),0,DO340-INT(DO340)))))</f>
        <v>0</v>
      </c>
      <c r="EH340" s="836">
        <f>+IF(DP340=DO340,0,
IF(AND(EH$44&gt;1,DP340=$N340),1-SUM($EE340:EG340),
IF($N340&lt;=1,
IF($N340&gt;0,1/$N340,0),
IF(EH$44=1,0,VDB(1,0,$N340,INT(EH$44-1-1),MIN($N340,INT(EH$44-1-1)+1),$DC340,IF($DD340="No",1,0))/
IF(DO340&gt;=INT($N340),$N340-INT($N340),1)))*
IF(EH$44=1,0,
IF(INT(DP340)=INT(DO340),DP340-DO340,INT(DP340)-DO340))+
IF($N340&lt;=1,
IF($N340&gt;0,1/$N340,0),VDB(1,0,$N340,INT(EH$44-1),MIN($N340,INT(EH$44-1)+1),$DC340,IF($DD340="No",1,0))/
IF(DP340&gt;INT($N340),$N340-INT($N340),1))*
IF(EH$44=1,DP340,
IF(INT(DP340)=INT(DO340),0,DP340-INT(DP340)))))</f>
        <v>0</v>
      </c>
      <c r="EI340" s="834">
        <f>+IF(DQ340=DP340,0,
IF(AND(EI$44&gt;1,DQ340=$N340),1-SUM($EE340:EH340),
IF($N340&lt;=1,
IF($N340&gt;0,1/$N340,0),
IF(EI$44=1,0,VDB(1,0,$N340,INT(EI$44-1-1),MIN($N340,INT(EI$44-1-1)+1),$DC340,IF($DD340="No",1,0))/
IF(DP340&gt;=INT($N340),$N340-INT($N340),1)))*
IF(EI$44=1,0,
IF(INT(DQ340)=INT(DP340),DQ340-DP340,INT(DQ340)-DP340))+
IF($N340&lt;=1,
IF($N340&gt;0,1/$N340,0),VDB(1,0,$N340,INT(EI$44-1),MIN($N340,INT(EI$44-1)+1),$DC340,IF($DD340="No",1,0))/
IF(DQ340&gt;INT($N340),$N340-INT($N340),1))*
IF(EI$44=1,DQ340,
IF(INT(DQ340)=INT(DP340),0,DQ340-INT(DQ340)))))</f>
        <v>0</v>
      </c>
      <c r="EJ340" s="835">
        <f>+IF(DR340=DQ340,0,
IF(AND(EJ$44&gt;1,DR340=$N340),1-SUM($EE340:EI340),
IF($N340&lt;=1,
IF($N340&gt;0,1/$N340,0),
IF(EJ$44=1,0,VDB(1,0,$N340,INT(EJ$44-1-1),MIN($N340,INT(EJ$44-1-1)+1),$DC340,IF($DD340="No",1,0))/
IF(DQ340&gt;=INT($N340),$N340-INT($N340),1)))*
IF(EJ$44=1,0,
IF(INT(DR340)=INT(DQ340),DR340-DQ340,INT(DR340)-DQ340))+
IF($N340&lt;=1,
IF($N340&gt;0,1/$N340,0),VDB(1,0,$N340,INT(EJ$44-1),MIN($N340,INT(EJ$44-1)+1),$DC340,IF($DD340="No",1,0))/
IF(DR340&gt;INT($N340),$N340-INT($N340),1))*
IF(EJ$44=1,DR340,
IF(INT(DR340)=INT(DQ340),0,DR340-INT(DR340)))))</f>
        <v>0</v>
      </c>
      <c r="EK340" s="835">
        <f>+IF(DS340=DR340,0,
IF(AND(EK$44&gt;1,DS340=$N340),1-SUM($EE340:EJ340),
IF($N340&lt;=1,
IF($N340&gt;0,1/$N340,0),
IF(EK$44=1,0,VDB(1,0,$N340,INT(EK$44-1-1),MIN($N340,INT(EK$44-1-1)+1),$DC340,IF($DD340="No",1,0))/
IF(DR340&gt;=INT($N340),$N340-INT($N340),1)))*
IF(EK$44=1,0,
IF(INT(DS340)=INT(DR340),DS340-DR340,INT(DS340)-DR340))+
IF($N340&lt;=1,
IF($N340&gt;0,1/$N340,0),VDB(1,0,$N340,INT(EK$44-1),MIN($N340,INT(EK$44-1)+1),$DC340,IF($DD340="No",1,0))/
IF(DS340&gt;INT($N340),$N340-INT($N340),1))*
IF(EK$44=1,DS340,
IF(INT(DS340)=INT(DR340),0,DS340-INT(DS340)))))</f>
        <v>0</v>
      </c>
      <c r="EL340" s="835">
        <f>+IF(DT340=DS340,0,
IF(AND(EL$44&gt;1,DT340=$N340),1-SUM($EE340:EK340),
IF($N340&lt;=1,
IF($N340&gt;0,1/$N340,0),
IF(EL$44=1,0,VDB(1,0,$N340,INT(EL$44-1-1),MIN($N340,INT(EL$44-1-1)+1),$DC340,IF($DD340="No",1,0))/
IF(DS340&gt;=INT($N340),$N340-INT($N340),1)))*
IF(EL$44=1,0,
IF(INT(DT340)=INT(DS340),DT340-DS340,INT(DT340)-DS340))+
IF($N340&lt;=1,
IF($N340&gt;0,1/$N340,0),VDB(1,0,$N340,INT(EL$44-1),MIN($N340,INT(EL$44-1)+1),$DC340,IF($DD340="No",1,0))/
IF(DT340&gt;INT($N340),$N340-INT($N340),1))*
IF(EL$44=1,DT340,
IF(INT(DT340)=INT(DS340),0,DT340-INT(DT340)))))</f>
        <v>0</v>
      </c>
      <c r="EM340" s="836">
        <f>+IF(DU340=DT340,0,
IF(AND(EM$44&gt;1,DU340=$N340),1-SUM($EE340:EL340),
IF($N340&lt;=1,
IF($N340&gt;0,1/$N340,0),
IF(EM$44=1,0,VDB(1,0,$N340,INT(EM$44-1-1),MIN($N340,INT(EM$44-1-1)+1),$DC340,IF($DD340="No",1,0))/
IF(DT340&gt;=INT($N340),$N340-INT($N340),1)))*
IF(EM$44=1,0,
IF(INT(DU340)=INT(DT340),DU340-DT340,INT(DU340)-DT340))+
IF($N340&lt;=1,
IF($N340&gt;0,1/$N340,0),VDB(1,0,$N340,INT(EM$44-1),MIN($N340,INT(EM$44-1)+1),$DC340,IF($DD340="No",1,0))/
IF(DU340&gt;INT($N340),$N340-INT($N340),1))*
IF(EM$44=1,DU340,
IF(INT(DU340)=INT(DT340),0,DU340-INT(DU340)))))</f>
        <v>0</v>
      </c>
      <c r="EN340" s="833"/>
      <c r="EO340" s="834">
        <f>+IF(OR(DW340=DV340,EO$44=1),0,
IF(AND(EO$44&gt;1,DW340=$N340),1-SUM($EN340:EN340),
IF($N340&lt;=1,
IF($N340&gt;0,1/$N340,0),
IF(EO$44=2,0,VDB(1,0,$N340,INT(EO$44-2-1),MIN($N340,INT(EO$44-2-1)+1),$DC340,IF($DD340="No",1,0))/
IF(DV340&gt;=INT($N340),$N340-INT($N340),1)))*
IF(EO$44=2,0,
IF(INT(DW340)=INT(DV340),DW340-DV340,INT(DW340)-DV340))+
IF($N340&lt;=1,
IF($N340&gt;0,1/$N340,0),VDB(1,0,$N340,INT(EO$44-2),MIN($N340,INT(EO$44-2)+1),$DC340,IF($DD340="No",1,0))/
IF(DW340&gt;INT($N340),$N340-INT($N340),1))*
IF(EO$44=2,DW340,
IF(INT(DW340)=INT(DV340),0,DW340-INT(DW340)))))</f>
        <v>0</v>
      </c>
      <c r="EP340" s="835">
        <f>+IF(OR(DX340=DW340,EP$44=1),0,
IF(AND(EP$44&gt;1,DX340=$N340),1-SUM($EN340:EO340),
IF($N340&lt;=1,
IF($N340&gt;0,1/$N340,0),
IF(EP$44=2,0,VDB(1,0,$N340,INT(EP$44-2-1),MIN($N340,INT(EP$44-2-1)+1),$DC340,IF($DD340="No",1,0))/
IF(DW340&gt;=INT($N340),$N340-INT($N340),1)))*
IF(EP$44=2,0,
IF(INT(DX340)=INT(DW340),DX340-DW340,INT(DX340)-DW340))+
IF($N340&lt;=1,
IF($N340&gt;0,1/$N340,0),VDB(1,0,$N340,INT(EP$44-2),MIN($N340,INT(EP$44-2)+1),$DC340,IF($DD340="No",1,0))/
IF(DX340&gt;INT($N340),$N340-INT($N340),1))*
IF(EP$44=2,DX340,
IF(INT(DX340)=INT(DW340),0,DX340-INT(DX340)))))</f>
        <v>0</v>
      </c>
      <c r="EQ340" s="836">
        <f>+IF(OR(DY340=DX340,EQ$44=1),0,
IF(AND(EQ$44&gt;1,DY340=$N340),1-SUM($EN340:EP340),
IF($N340&lt;=1,
IF($N340&gt;0,1/$N340,0),
IF(EQ$44=2,0,VDB(1,0,$N340,INT(EQ$44-2-1),MIN($N340,INT(EQ$44-2-1)+1),$DC340,IF($DD340="No",1,0))/
IF(DX340&gt;=INT($N340),$N340-INT($N340),1)))*
IF(EQ$44=2,0,
IF(INT(DY340)=INT(DX340),DY340-DX340,INT(DY340)-DX340))+
IF($N340&lt;=1,
IF($N340&gt;0,1/$N340,0),VDB(1,0,$N340,INT(EQ$44-2),MIN($N340,INT(EQ$44-2)+1),$DC340,IF($DD340="No",1,0))/
IF(DY340&gt;INT($N340),$N340-INT($N340),1))*
IF(EQ$44=2,DY340,
IF(INT(DY340)=INT(DX340),0,DY340-INT(DY340)))))</f>
        <v>0</v>
      </c>
      <c r="ER340" s="834">
        <f>+IF(OR(DZ340=DY340,ER$44=1),0,
IF(AND(ER$44&gt;1,DZ340=$N340),1-SUM($EN340:EQ340),
IF($N340&lt;=1,
IF($N340&gt;0,1/$N340,0),
IF(ER$44=2,0,VDB(1,0,$N340,INT(ER$44-2-1),MIN($N340,INT(ER$44-2-1)+1),$DC340,IF($DD340="No",1,0))/
IF(DY340&gt;=INT($N340),$N340-INT($N340),1)))*
IF(ER$44=2,0,
IF(INT(DZ340)=INT(DY340),DZ340-DY340,INT(DZ340)-DY340))+
IF($N340&lt;=1,
IF($N340&gt;0,1/$N340,0),VDB(1,0,$N340,INT(ER$44-2),MIN($N340,INT(ER$44-2)+1),$DC340,IF($DD340="No",1,0))/
IF(DZ340&gt;INT($N340),$N340-INT($N340),1))*
IF(ER$44=2,DZ340,
IF(INT(DZ340)=INT(DY340),0,DZ340-INT(DZ340)))))</f>
        <v>0</v>
      </c>
      <c r="ES340" s="835">
        <f>+IF(OR(EA340=DZ340,ES$44=1),0,
IF(AND(ES$44&gt;1,EA340=$N340),1-SUM($EN340:ER340),
IF($N340&lt;=1,
IF($N340&gt;0,1/$N340,0),
IF(ES$44=2,0,VDB(1,0,$N340,INT(ES$44-2-1),MIN($N340,INT(ES$44-2-1)+1),$DC340,IF($DD340="No",1,0))/
IF(DZ340&gt;=INT($N340),$N340-INT($N340),1)))*
IF(ES$44=2,0,
IF(INT(EA340)=INT(DZ340),EA340-DZ340,INT(EA340)-DZ340))+
IF($N340&lt;=1,
IF($N340&gt;0,1/$N340,0),VDB(1,0,$N340,INT(ES$44-2),MIN($N340,INT(ES$44-2)+1),$DC340,IF($DD340="No",1,0))/
IF(EA340&gt;INT($N340),$N340-INT($N340),1))*
IF(ES$44=2,EA340,
IF(INT(EA340)=INT(DZ340),0,EA340-INT(EA340)))))</f>
        <v>0</v>
      </c>
      <c r="ET340" s="835">
        <f>+IF(OR(EB340=EA340,ET$44=1),0,
IF(AND(ET$44&gt;1,EB340=$N340),1-SUM($EN340:ES340),
IF($N340&lt;=1,
IF($N340&gt;0,1/$N340,0),
IF(ET$44=2,0,VDB(1,0,$N340,INT(ET$44-2-1),MIN($N340,INT(ET$44-2-1)+1),$DC340,IF($DD340="No",1,0))/
IF(EA340&gt;=INT($N340),$N340-INT($N340),1)))*
IF(ET$44=2,0,
IF(INT(EB340)=INT(EA340),EB340-EA340,INT(EB340)-EA340))+
IF($N340&lt;=1,
IF($N340&gt;0,1/$N340,0),VDB(1,0,$N340,INT(ET$44-2),MIN($N340,INT(ET$44-2)+1),$DC340,IF($DD340="No",1,0))/
IF(EB340&gt;INT($N340),$N340-INT($N340),1))*
IF(ET$44=2,EB340,
IF(INT(EB340)=INT(EA340),0,EB340-INT(EB340)))))</f>
        <v>0</v>
      </c>
      <c r="EU340" s="835">
        <f>+IF(OR(EC340=EB340,EU$44=1),0,
IF(AND(EU$44&gt;1,EC340=$N340),1-SUM($EN340:ET340),
IF($N340&lt;=1,
IF($N340&gt;0,1/$N340,0),
IF(EU$44=2,0,VDB(1,0,$N340,INT(EU$44-2-1),MIN($N340,INT(EU$44-2-1)+1),$DC340,IF($DD340="No",1,0))/
IF(EB340&gt;=INT($N340),$N340-INT($N340),1)))*
IF(EU$44=2,0,
IF(INT(EC340)=INT(EB340),EC340-EB340,INT(EC340)-EB340))+
IF($N340&lt;=1,
IF($N340&gt;0,1/$N340,0),VDB(1,0,$N340,INT(EU$44-2),MIN($N340,INT(EU$44-2)+1),$DC340,IF($DD340="No",1,0))/
IF(EC340&gt;INT($N340),$N340-INT($N340),1))*
IF(EU$44=2,EC340,
IF(INT(EC340)=INT(EB340),0,EC340-INT(EC340)))))</f>
        <v>0</v>
      </c>
      <c r="EV340" s="836">
        <f>+IF(OR(ED340=EC340,EV$44=1),0,
IF(AND(EV$44&gt;1,ED340=$N340),1-SUM($EN340:EU340),
IF($N340&lt;=1,
IF($N340&gt;0,1/$N340,0),
IF(EV$44=2,0,VDB(1,0,$N340,INT(EV$44-2-1),MIN($N340,INT(EV$44-2-1)+1),$DC340,IF($DD340="No",1,0))/
IF(EC340&gt;=INT($N340),$N340-INT($N340),1)))*
IF(EV$44=2,0,
IF(INT(ED340)=INT(EC340),ED340-EC340,INT(ED340)-EC340))+
IF($N340&lt;=1,
IF($N340&gt;0,1/$N340,0),VDB(1,0,$N340,INT(EV$44-2),MIN($N340,INT(EV$44-2)+1),$DC340,IF($DD340="No",1,0))/
IF(ED340&gt;INT($N340),$N340-INT($N340),1))*
IF(EV$44=2,ED340,
IF(INT(ED340)=INT(EC340),0,ED340-INT(ED340)))))</f>
        <v>0</v>
      </c>
      <c r="EW340" s="833"/>
      <c r="EX340" s="834">
        <f t="shared" ca="1" si="570"/>
        <v>0</v>
      </c>
      <c r="EY340" s="835">
        <f t="shared" ca="1" si="570"/>
        <v>0</v>
      </c>
      <c r="EZ340" s="836">
        <f t="shared" ca="1" si="570"/>
        <v>0</v>
      </c>
      <c r="FA340" s="834">
        <f t="shared" ca="1" si="570"/>
        <v>0</v>
      </c>
      <c r="FB340" s="835">
        <f t="shared" ca="1" si="570"/>
        <v>0</v>
      </c>
      <c r="FC340" s="835">
        <f t="shared" ca="1" si="570"/>
        <v>0</v>
      </c>
      <c r="FD340" s="835">
        <f t="shared" ca="1" si="570"/>
        <v>0</v>
      </c>
      <c r="FE340" s="836">
        <f t="shared" ca="1" si="570"/>
        <v>0</v>
      </c>
      <c r="FG340" s="386">
        <f t="shared" ref="FG340:FG364" ca="1" si="617">-(-$DE340*(-ISBLANK($DE340)+1)*EF340-
IF(FG$44&gt;1,SUMPRODUCT(OFFSET($DF340,0,0,1,FG$44-1)*(-ISBLANK(OFFSET($DF340,0,0,1,FG$44-1))+1),OFFSET($EX340,0,MAX($FG$44:$HY$44)-FG$44,1,FG$44-1)),0))</f>
        <v>0</v>
      </c>
      <c r="FH340" s="387">
        <f t="shared" ref="FH340:FH364" ca="1" si="618">-(-$DE340*(-ISBLANK($DE340)+1)*EG340-
IF(FH$44&gt;1,SUMPRODUCT(OFFSET($DF340,0,0,1,FH$44-1)*(-ISBLANK(OFFSET($DF340,0,0,1,FH$44-1))+1),OFFSET($EX340,0,MAX($FG$44:$HY$44)-FH$44,1,FH$44-1)),0))</f>
        <v>0</v>
      </c>
      <c r="FI340" s="388">
        <f t="shared" ref="FI340:FI364" ca="1" si="619">-(-$DE340*(-ISBLANK($DE340)+1)*EH340-
IF(FI$44&gt;1,SUMPRODUCT(OFFSET($DF340,0,0,1,FI$44-1)*(-ISBLANK(OFFSET($DF340,0,0,1,FI$44-1))+1),OFFSET($EX340,0,MAX($FG$44:$HY$44)-FI$44,1,FI$44-1)),0))</f>
        <v>0</v>
      </c>
      <c r="FJ340" s="386">
        <f t="shared" ref="FJ340:FJ364" ca="1" si="620">-(-$DE340*(-ISBLANK($DE340)+1)*EI340-
IF(FJ$44&gt;1,SUMPRODUCT(OFFSET($DF340,0,0,1,FJ$44-1)*(-ISBLANK(OFFSET($DF340,0,0,1,FJ$44-1))+1),OFFSET($EX340,0,MAX($FG$44:$HY$44)-FJ$44,1,FJ$44-1)),0))</f>
        <v>0</v>
      </c>
      <c r="FK340" s="387">
        <f t="shared" ref="FK340:FK364" ca="1" si="621">-(-$DE340*(-ISBLANK($DE340)+1)*EJ340-
IF(FK$44&gt;1,SUMPRODUCT(OFFSET($DF340,0,0,1,FK$44-1)*(-ISBLANK(OFFSET($DF340,0,0,1,FK$44-1))+1),OFFSET($EX340,0,MAX($FG$44:$HY$44)-FK$44,1,FK$44-1)),0))</f>
        <v>0</v>
      </c>
      <c r="FL340" s="387">
        <f t="shared" ref="FL340:FL364" ca="1" si="622">-(-$DE340*(-ISBLANK($DE340)+1)*EK340-
IF(FL$44&gt;1,SUMPRODUCT(OFFSET($DF340,0,0,1,FL$44-1)*(-ISBLANK(OFFSET($DF340,0,0,1,FL$44-1))+1),OFFSET($EX340,0,MAX($FG$44:$HY$44)-FL$44,1,FL$44-1)),0))</f>
        <v>0</v>
      </c>
      <c r="FM340" s="387">
        <f t="shared" ref="FM340:FM364" ca="1" si="623">-(-$DE340*(-ISBLANK($DE340)+1)*EL340-
IF(FM$44&gt;1,SUMPRODUCT(OFFSET($DF340,0,0,1,FM$44-1)*(-ISBLANK(OFFSET($DF340,0,0,1,FM$44-1))+1),OFFSET($EX340,0,MAX($FG$44:$HY$44)-FM$44,1,FM$44-1)),0))</f>
        <v>0</v>
      </c>
      <c r="FN340" s="388">
        <f t="shared" ref="FN340:FN364" ca="1" si="624">-(-$DE340*(-ISBLANK($DE340)+1)*EM340-
IF(FN$44&gt;1,SUMPRODUCT(OFFSET($DF340,0,0,1,FN$44-1)*(-ISBLANK(OFFSET($DF340,0,0,1,FN$44-1))+1),OFFSET($EX340,0,MAX($FG$44:$HY$44)-FN$44,1,FN$44-1)),0))</f>
        <v>0</v>
      </c>
      <c r="FR340" s="116"/>
    </row>
    <row r="341" spans="2:174">
      <c r="B341" s="1410">
        <f t="shared" si="556"/>
        <v>295</v>
      </c>
      <c r="C341" s="400"/>
      <c r="D341" s="410"/>
      <c r="E341" s="402"/>
      <c r="F341" s="402"/>
      <c r="G341" s="400"/>
      <c r="H341" s="2088"/>
      <c r="I341" s="2089"/>
      <c r="J341" s="411"/>
      <c r="K341" s="403"/>
      <c r="L341" s="403"/>
      <c r="M341" s="403"/>
      <c r="N341" s="403"/>
      <c r="O341" s="347"/>
      <c r="P341" s="347"/>
      <c r="Q341" s="1021"/>
      <c r="R341" s="1022"/>
      <c r="S341" s="1022"/>
      <c r="T341" s="1022"/>
      <c r="U341" s="1023"/>
      <c r="V341" s="1021"/>
      <c r="W341" s="1022"/>
      <c r="X341" s="1022"/>
      <c r="Y341" s="1022"/>
      <c r="Z341" s="1023"/>
      <c r="AA341" s="1024"/>
      <c r="AB341" s="1021"/>
      <c r="AC341" s="1022"/>
      <c r="AD341" s="1022"/>
      <c r="AE341" s="1022"/>
      <c r="AF341" s="1023"/>
      <c r="AG341" s="1021"/>
      <c r="AH341" s="1022"/>
      <c r="AI341" s="1022"/>
      <c r="AJ341" s="1022"/>
      <c r="AK341" s="1023"/>
      <c r="AL341" s="1024"/>
      <c r="AM341" s="1021"/>
      <c r="AN341" s="1022"/>
      <c r="AO341" s="1022"/>
      <c r="AP341" s="1022"/>
      <c r="AQ341" s="1023"/>
      <c r="AR341" s="1021"/>
      <c r="AS341" s="1022"/>
      <c r="AT341" s="1022"/>
      <c r="AU341" s="1022"/>
      <c r="AV341" s="1023"/>
      <c r="AW341" s="1025"/>
      <c r="AX341" s="1282">
        <f t="shared" si="571"/>
        <v>0</v>
      </c>
      <c r="AY341" s="387">
        <f t="shared" si="572"/>
        <v>0</v>
      </c>
      <c r="AZ341" s="387">
        <f t="shared" si="573"/>
        <v>0</v>
      </c>
      <c r="BA341" s="387">
        <f t="shared" si="574"/>
        <v>0</v>
      </c>
      <c r="BB341" s="1283">
        <f t="shared" si="575"/>
        <v>0</v>
      </c>
      <c r="BC341" s="386">
        <f t="shared" si="576"/>
        <v>0</v>
      </c>
      <c r="BD341" s="387">
        <f t="shared" si="577"/>
        <v>0</v>
      </c>
      <c r="BE341" s="1277">
        <f t="shared" si="578"/>
        <v>0</v>
      </c>
      <c r="BF341" s="1277">
        <f t="shared" si="579"/>
        <v>0</v>
      </c>
      <c r="BG341" s="388">
        <f t="shared" si="580"/>
        <v>0</v>
      </c>
      <c r="BH341" s="1025"/>
      <c r="BI341" s="1282">
        <f t="shared" ca="1" si="581"/>
        <v>0</v>
      </c>
      <c r="BJ341" s="387">
        <f t="shared" ca="1" si="582"/>
        <v>0</v>
      </c>
      <c r="BK341" s="387">
        <f t="shared" ca="1" si="583"/>
        <v>0</v>
      </c>
      <c r="BL341" s="387">
        <f t="shared" ca="1" si="584"/>
        <v>0</v>
      </c>
      <c r="BM341" s="1283">
        <f t="shared" ca="1" si="585"/>
        <v>0</v>
      </c>
      <c r="BN341" s="386">
        <f t="shared" ca="1" si="586"/>
        <v>0</v>
      </c>
      <c r="BO341" s="387">
        <f t="shared" ca="1" si="587"/>
        <v>0</v>
      </c>
      <c r="BP341" s="1277">
        <f t="shared" ca="1" si="588"/>
        <v>0</v>
      </c>
      <c r="BQ341" s="1277">
        <f t="shared" ca="1" si="589"/>
        <v>0</v>
      </c>
      <c r="BR341" s="388">
        <f t="shared" ca="1" si="590"/>
        <v>0</v>
      </c>
      <c r="BS341" s="1025"/>
      <c r="BT341" s="1282">
        <f>+IF($K341="Ongoing",AX341,IF(RIGHT($K341,2)=RIGHT(BT$43,2),SUM($AX341:AX341),0)+IF(RIGHT(BT$43,2)&gt;RIGHT($K341,2),AX341,0))</f>
        <v>0</v>
      </c>
      <c r="BU341" s="387">
        <f>+IF($K341="Ongoing",AY341,IF(RIGHT($K341,2)=RIGHT(BU$43,2),SUM($AX341:AY341),0)+IF(RIGHT(BU$43,2)&gt;RIGHT($K341,2),AY341,0))</f>
        <v>0</v>
      </c>
      <c r="BV341" s="387">
        <f>+IF($K341="Ongoing",AZ341,IF(RIGHT($K341,2)=RIGHT(BV$43,2),SUM($AX341:AZ341),0)+IF(RIGHT(BV$43,2)&gt;RIGHT($K341,2),AZ341,0))</f>
        <v>0</v>
      </c>
      <c r="BW341" s="387">
        <f>+IF($K341="Ongoing",BA341,IF(RIGHT($K341,2)=RIGHT(BW$43,2),SUM($AX341:BA341),0)+IF(RIGHT(BW$43,2)&gt;RIGHT($K341,2),BA341,0))</f>
        <v>0</v>
      </c>
      <c r="BX341" s="1283">
        <f>+IF($K341="Ongoing",BB341,IF(RIGHT($K341,2)=RIGHT(BX$43,2),SUM($AX341:BB341),0)+IF(RIGHT(BX$43,2)&gt;RIGHT($K341,2),BB341,0))</f>
        <v>0</v>
      </c>
      <c r="BY341" s="386">
        <f>+IF($K341="Ongoing",BC341,IF(RIGHT($K341,2)=RIGHT(BY$43,2),SUM($AX341:BC341),0)+IF(RIGHT(BY$43,2)&gt;RIGHT($K341,2),BC341,0))</f>
        <v>0</v>
      </c>
      <c r="BZ341" s="387">
        <f>+IF($K341="Ongoing",BD341,IF(RIGHT($K341,2)=RIGHT(BZ$43,2),SUM($AX341:BD341),0)+IF(RIGHT(BZ$43,2)&gt;RIGHT($K341,2),BD341,0))</f>
        <v>0</v>
      </c>
      <c r="CA341" s="1277">
        <f>+IF($K341="Ongoing",BE341,IF(RIGHT($K341,2)=RIGHT(CA$43,2),SUM($AX341:BE341),0)+IF(RIGHT(CA$43,2)&gt;RIGHT($K341,2),BE341,0))</f>
        <v>0</v>
      </c>
      <c r="CB341" s="1277">
        <f>+IF($K341="Ongoing",BF341,IF(RIGHT($K341,2)=RIGHT(CB$43,2),SUM($AX341:BF341),0)+IF(RIGHT(CB$43,2)&gt;RIGHT($K341,2),BF341,0))</f>
        <v>0</v>
      </c>
      <c r="CC341" s="388">
        <f>+IF($K341="Ongoing",BG341,IF(RIGHT($K341,2)=RIGHT(CC$43,2),SUM($AX341:BG341),0)+IF(RIGHT(CC$43,2)&gt;RIGHT($K341,2),BG341,0))</f>
        <v>0</v>
      </c>
      <c r="CD341" s="1025"/>
      <c r="CE341" s="1282">
        <f>+Q341*KeyAssumptionsPriceControl_FO!AF$15</f>
        <v>0</v>
      </c>
      <c r="CF341" s="387">
        <f>+R341*KeyAssumptionsPriceControl_FO!AG$15</f>
        <v>0</v>
      </c>
      <c r="CG341" s="387">
        <f>+S341*KeyAssumptionsPriceControl_FO!AH$15</f>
        <v>0</v>
      </c>
      <c r="CH341" s="387">
        <f>+T341*KeyAssumptionsPriceControl_FO!AI$15</f>
        <v>0</v>
      </c>
      <c r="CI341" s="1283">
        <f>+U341*KeyAssumptionsPriceControl_FO!AJ$15</f>
        <v>0</v>
      </c>
      <c r="CJ341" s="386">
        <f>+V341*KeyAssumptionsPriceControl_FO!AK$15</f>
        <v>0</v>
      </c>
      <c r="CK341" s="387">
        <f>+W341*KeyAssumptionsPriceControl_FO!AL$15</f>
        <v>0</v>
      </c>
      <c r="CL341" s="1277">
        <f>+X341*KeyAssumptionsPriceControl_FO!AM$15</f>
        <v>0</v>
      </c>
      <c r="CM341" s="1277">
        <f>+Y341*KeyAssumptionsPriceControl_FO!AN$15</f>
        <v>0</v>
      </c>
      <c r="CN341" s="388">
        <f>+Z341*KeyAssumptionsPriceControl_FO!AO$15</f>
        <v>0</v>
      </c>
      <c r="CO341" s="1025"/>
      <c r="CP341" s="1282">
        <f t="shared" ca="1" si="591"/>
        <v>0</v>
      </c>
      <c r="CQ341" s="387">
        <f t="shared" ca="1" si="592"/>
        <v>0</v>
      </c>
      <c r="CR341" s="387">
        <f t="shared" ca="1" si="593"/>
        <v>0</v>
      </c>
      <c r="CS341" s="387">
        <f t="shared" ca="1" si="594"/>
        <v>0</v>
      </c>
      <c r="CT341" s="1283">
        <f t="shared" ca="1" si="595"/>
        <v>0</v>
      </c>
      <c r="CU341" s="386">
        <f t="shared" ca="1" si="596"/>
        <v>0</v>
      </c>
      <c r="CV341" s="387">
        <f t="shared" ca="1" si="597"/>
        <v>0</v>
      </c>
      <c r="CW341" s="1277">
        <f t="shared" ca="1" si="598"/>
        <v>0</v>
      </c>
      <c r="CX341" s="1277">
        <f t="shared" ca="1" si="599"/>
        <v>0</v>
      </c>
      <c r="CY341" s="388">
        <f t="shared" ca="1" si="600"/>
        <v>0</v>
      </c>
      <c r="CZ341" s="347"/>
      <c r="DA341" s="852"/>
      <c r="DB341" s="347"/>
      <c r="DC341" s="1012" t="s">
        <v>534</v>
      </c>
      <c r="DD341" s="841" t="s">
        <v>518</v>
      </c>
      <c r="DE341" s="386">
        <f>+IF($K341="ongoing",CE341,IF(RIGHT($K341,2)=RIGHT(DE$43,2),SUM($CD341:CE341),0)+IF(RIGHT(DE$43,2)&gt;RIGHT($K341,2),CE341,0))</f>
        <v>0</v>
      </c>
      <c r="DF341" s="387">
        <f>+IF($K341="ongoing",CF341,IF(RIGHT($K341,2)=RIGHT(DF$43,2),SUM($CD341:CF341),0)+IF(RIGHT(DF$43,2)&gt;RIGHT($K341,2),CF341,0))</f>
        <v>0</v>
      </c>
      <c r="DG341" s="388">
        <f>+IF($K341="ongoing",CG341,IF(RIGHT($K341,2)=RIGHT(DG$43,2),SUM($CD341:CG341),0)+IF(RIGHT(DG$43,2)&gt;RIGHT($K341,2),CG341,0))</f>
        <v>0</v>
      </c>
      <c r="DH341" s="386">
        <f>+IF($K341="ongoing",CH341,IF(RIGHT($K341,2)=RIGHT(DH$43,2),SUM($CD341:CH341),0)+IF(RIGHT(DH$43,2)&gt;RIGHT($K341,2),CH341,0))</f>
        <v>0</v>
      </c>
      <c r="DI341" s="387">
        <f>+IF($K341="ongoing",CI341,IF(RIGHT($K341,2)=RIGHT(DI$43,2),SUM($CD341:CI341),0)+IF(RIGHT(DI$43,2)&gt;RIGHT($K341,2),CI341,0))</f>
        <v>0</v>
      </c>
      <c r="DJ341" s="387">
        <f>+IF($K341="ongoing",CJ341,IF(RIGHT($K341,2)=RIGHT(DJ$43,2),SUM($CD341:CJ341),0)+IF(RIGHT(DJ$43,2)&gt;RIGHT($K341,2),CJ341,0))</f>
        <v>0</v>
      </c>
      <c r="DK341" s="387">
        <f>+IF($K341="ongoing",CK341,IF(RIGHT($K341,2)=RIGHT(DK$43,2),SUM($CD341:CK341),0)+IF(RIGHT(DK$43,2)&gt;RIGHT($K341,2),CK341,0))</f>
        <v>0</v>
      </c>
      <c r="DL341" s="388">
        <f>+IF($K341="ongoing",CN341,IF(RIGHT($K341,2)=RIGHT(DL$43,2),SUM($CD341:CN341),0)+IF(RIGHT(DL$43,2)&gt;RIGHT($K341,2),CN341,0))</f>
        <v>0</v>
      </c>
      <c r="DM341" s="841"/>
      <c r="DN341" s="386">
        <f t="shared" si="601"/>
        <v>0.5</v>
      </c>
      <c r="DO341" s="387">
        <f t="shared" si="602"/>
        <v>1</v>
      </c>
      <c r="DP341" s="388">
        <f t="shared" si="603"/>
        <v>1</v>
      </c>
      <c r="DQ341" s="386">
        <f t="shared" si="604"/>
        <v>1</v>
      </c>
      <c r="DR341" s="387">
        <f t="shared" si="605"/>
        <v>1</v>
      </c>
      <c r="DS341" s="387">
        <f t="shared" si="606"/>
        <v>1</v>
      </c>
      <c r="DT341" s="387">
        <f t="shared" si="607"/>
        <v>1</v>
      </c>
      <c r="DU341" s="388">
        <f t="shared" si="608"/>
        <v>1</v>
      </c>
      <c r="DW341" s="386">
        <f t="shared" si="609"/>
        <v>0</v>
      </c>
      <c r="DX341" s="387">
        <f t="shared" si="610"/>
        <v>0.5</v>
      </c>
      <c r="DY341" s="388">
        <f t="shared" si="611"/>
        <v>1</v>
      </c>
      <c r="DZ341" s="386">
        <f t="shared" si="612"/>
        <v>1</v>
      </c>
      <c r="EA341" s="387">
        <f t="shared" si="613"/>
        <v>1</v>
      </c>
      <c r="EB341" s="387">
        <f t="shared" si="614"/>
        <v>1</v>
      </c>
      <c r="EC341" s="387">
        <f t="shared" si="615"/>
        <v>1</v>
      </c>
      <c r="ED341" s="388">
        <f t="shared" si="616"/>
        <v>1</v>
      </c>
      <c r="EF341" s="834">
        <f>+IF(DN341=DM341,0,
IF(AND(EF$44&gt;1,DN341=$N341),1-SUM($EE341:EE341),
IF($N341&lt;=1,
IF($N341&gt;0,1/$N341,0),
IF(EF$44=1,0,VDB(1,0,$N341,INT(EF$44-1-1),MIN($N341,INT(EF$44-1-1)+1),$DC341,IF($DD341="No",1,0))/
IF(DM341&gt;=INT($N341),$N341-INT($N341),1)))*
IF(EF$44=1,0,
IF(INT(DN341)=INT(DM341),DN341-DM341,INT(DN341)-DM341))+
IF($N341&lt;=1,
IF($N341&gt;0,1/$N341,0),VDB(1,0,$N341,INT(EF$44-1),MIN($N341,INT(EF$44-1)+1),$DC341,IF($DD341="No",1,0))/
IF(DN341&gt;INT($N341),$N341-INT($N341),1))*
IF(EF$44=1,DN341,
IF(INT(DN341)=INT(DM341),0,DN341-INT(DN341)))))</f>
        <v>0</v>
      </c>
      <c r="EG341" s="835">
        <f>+IF(DO341=DN341,0,
IF(AND(EG$44&gt;1,DO341=$N341),1-SUM($EE341:EF341),
IF($N341&lt;=1,
IF($N341&gt;0,1/$N341,0),
IF(EG$44=1,0,VDB(1,0,$N341,INT(EG$44-1-1),MIN($N341,INT(EG$44-1-1)+1),$DC341,IF($DD341="No",1,0))/
IF(DN341&gt;=INT($N341),$N341-INT($N341),1)))*
IF(EG$44=1,0,
IF(INT(DO341)=INT(DN341),DO341-DN341,INT(DO341)-DN341))+
IF($N341&lt;=1,
IF($N341&gt;0,1/$N341,0),VDB(1,0,$N341,INT(EG$44-1),MIN($N341,INT(EG$44-1)+1),$DC341,IF($DD341="No",1,0))/
IF(DO341&gt;INT($N341),$N341-INT($N341),1))*
IF(EG$44=1,DO341,
IF(INT(DO341)=INT(DN341),0,DO341-INT(DO341)))))</f>
        <v>0</v>
      </c>
      <c r="EH341" s="836">
        <f>+IF(DP341=DO341,0,
IF(AND(EH$44&gt;1,DP341=$N341),1-SUM($EE341:EG341),
IF($N341&lt;=1,
IF($N341&gt;0,1/$N341,0),
IF(EH$44=1,0,VDB(1,0,$N341,INT(EH$44-1-1),MIN($N341,INT(EH$44-1-1)+1),$DC341,IF($DD341="No",1,0))/
IF(DO341&gt;=INT($N341),$N341-INT($N341),1)))*
IF(EH$44=1,0,
IF(INT(DP341)=INT(DO341),DP341-DO341,INT(DP341)-DO341))+
IF($N341&lt;=1,
IF($N341&gt;0,1/$N341,0),VDB(1,0,$N341,INT(EH$44-1),MIN($N341,INT(EH$44-1)+1),$DC341,IF($DD341="No",1,0))/
IF(DP341&gt;INT($N341),$N341-INT($N341),1))*
IF(EH$44=1,DP341,
IF(INT(DP341)=INT(DO341),0,DP341-INT(DP341)))))</f>
        <v>0</v>
      </c>
      <c r="EI341" s="834">
        <f>+IF(DQ341=DP341,0,
IF(AND(EI$44&gt;1,DQ341=$N341),1-SUM($EE341:EH341),
IF($N341&lt;=1,
IF($N341&gt;0,1/$N341,0),
IF(EI$44=1,0,VDB(1,0,$N341,INT(EI$44-1-1),MIN($N341,INT(EI$44-1-1)+1),$DC341,IF($DD341="No",1,0))/
IF(DP341&gt;=INT($N341),$N341-INT($N341),1)))*
IF(EI$44=1,0,
IF(INT(DQ341)=INT(DP341),DQ341-DP341,INT(DQ341)-DP341))+
IF($N341&lt;=1,
IF($N341&gt;0,1/$N341,0),VDB(1,0,$N341,INT(EI$44-1),MIN($N341,INT(EI$44-1)+1),$DC341,IF($DD341="No",1,0))/
IF(DQ341&gt;INT($N341),$N341-INT($N341),1))*
IF(EI$44=1,DQ341,
IF(INT(DQ341)=INT(DP341),0,DQ341-INT(DQ341)))))</f>
        <v>0</v>
      </c>
      <c r="EJ341" s="835">
        <f>+IF(DR341=DQ341,0,
IF(AND(EJ$44&gt;1,DR341=$N341),1-SUM($EE341:EI341),
IF($N341&lt;=1,
IF($N341&gt;0,1/$N341,0),
IF(EJ$44=1,0,VDB(1,0,$N341,INT(EJ$44-1-1),MIN($N341,INT(EJ$44-1-1)+1),$DC341,IF($DD341="No",1,0))/
IF(DQ341&gt;=INT($N341),$N341-INT($N341),1)))*
IF(EJ$44=1,0,
IF(INT(DR341)=INT(DQ341),DR341-DQ341,INT(DR341)-DQ341))+
IF($N341&lt;=1,
IF($N341&gt;0,1/$N341,0),VDB(1,0,$N341,INT(EJ$44-1),MIN($N341,INT(EJ$44-1)+1),$DC341,IF($DD341="No",1,0))/
IF(DR341&gt;INT($N341),$N341-INT($N341),1))*
IF(EJ$44=1,DR341,
IF(INT(DR341)=INT(DQ341),0,DR341-INT(DR341)))))</f>
        <v>0</v>
      </c>
      <c r="EK341" s="835">
        <f>+IF(DS341=DR341,0,
IF(AND(EK$44&gt;1,DS341=$N341),1-SUM($EE341:EJ341),
IF($N341&lt;=1,
IF($N341&gt;0,1/$N341,0),
IF(EK$44=1,0,VDB(1,0,$N341,INT(EK$44-1-1),MIN($N341,INT(EK$44-1-1)+1),$DC341,IF($DD341="No",1,0))/
IF(DR341&gt;=INT($N341),$N341-INT($N341),1)))*
IF(EK$44=1,0,
IF(INT(DS341)=INT(DR341),DS341-DR341,INT(DS341)-DR341))+
IF($N341&lt;=1,
IF($N341&gt;0,1/$N341,0),VDB(1,0,$N341,INT(EK$44-1),MIN($N341,INT(EK$44-1)+1),$DC341,IF($DD341="No",1,0))/
IF(DS341&gt;INT($N341),$N341-INT($N341),1))*
IF(EK$44=1,DS341,
IF(INT(DS341)=INT(DR341),0,DS341-INT(DS341)))))</f>
        <v>0</v>
      </c>
      <c r="EL341" s="835">
        <f>+IF(DT341=DS341,0,
IF(AND(EL$44&gt;1,DT341=$N341),1-SUM($EE341:EK341),
IF($N341&lt;=1,
IF($N341&gt;0,1/$N341,0),
IF(EL$44=1,0,VDB(1,0,$N341,INT(EL$44-1-1),MIN($N341,INT(EL$44-1-1)+1),$DC341,IF($DD341="No",1,0))/
IF(DS341&gt;=INT($N341),$N341-INT($N341),1)))*
IF(EL$44=1,0,
IF(INT(DT341)=INT(DS341),DT341-DS341,INT(DT341)-DS341))+
IF($N341&lt;=1,
IF($N341&gt;0,1/$N341,0),VDB(1,0,$N341,INT(EL$44-1),MIN($N341,INT(EL$44-1)+1),$DC341,IF($DD341="No",1,0))/
IF(DT341&gt;INT($N341),$N341-INT($N341),1))*
IF(EL$44=1,DT341,
IF(INT(DT341)=INT(DS341),0,DT341-INT(DT341)))))</f>
        <v>0</v>
      </c>
      <c r="EM341" s="836">
        <f>+IF(DU341=DT341,0,
IF(AND(EM$44&gt;1,DU341=$N341),1-SUM($EE341:EL341),
IF($N341&lt;=1,
IF($N341&gt;0,1/$N341,0),
IF(EM$44=1,0,VDB(1,0,$N341,INT(EM$44-1-1),MIN($N341,INT(EM$44-1-1)+1),$DC341,IF($DD341="No",1,0))/
IF(DT341&gt;=INT($N341),$N341-INT($N341),1)))*
IF(EM$44=1,0,
IF(INT(DU341)=INT(DT341),DU341-DT341,INT(DU341)-DT341))+
IF($N341&lt;=1,
IF($N341&gt;0,1/$N341,0),VDB(1,0,$N341,INT(EM$44-1),MIN($N341,INT(EM$44-1)+1),$DC341,IF($DD341="No",1,0))/
IF(DU341&gt;INT($N341),$N341-INT($N341),1))*
IF(EM$44=1,DU341,
IF(INT(DU341)=INT(DT341),0,DU341-INT(DU341)))))</f>
        <v>0</v>
      </c>
      <c r="EN341" s="833"/>
      <c r="EO341" s="834">
        <f>+IF(OR(DW341=DV341,EO$44=1),0,
IF(AND(EO$44&gt;1,DW341=$N341),1-SUM($EN341:EN341),
IF($N341&lt;=1,
IF($N341&gt;0,1/$N341,0),
IF(EO$44=2,0,VDB(1,0,$N341,INT(EO$44-2-1),MIN($N341,INT(EO$44-2-1)+1),$DC341,IF($DD341="No",1,0))/
IF(DV341&gt;=INT($N341),$N341-INT($N341),1)))*
IF(EO$44=2,0,
IF(INT(DW341)=INT(DV341),DW341-DV341,INT(DW341)-DV341))+
IF($N341&lt;=1,
IF($N341&gt;0,1/$N341,0),VDB(1,0,$N341,INT(EO$44-2),MIN($N341,INT(EO$44-2)+1),$DC341,IF($DD341="No",1,0))/
IF(DW341&gt;INT($N341),$N341-INT($N341),1))*
IF(EO$44=2,DW341,
IF(INT(DW341)=INT(DV341),0,DW341-INT(DW341)))))</f>
        <v>0</v>
      </c>
      <c r="EP341" s="835">
        <f>+IF(OR(DX341=DW341,EP$44=1),0,
IF(AND(EP$44&gt;1,DX341=$N341),1-SUM($EN341:EO341),
IF($N341&lt;=1,
IF($N341&gt;0,1/$N341,0),
IF(EP$44=2,0,VDB(1,0,$N341,INT(EP$44-2-1),MIN($N341,INT(EP$44-2-1)+1),$DC341,IF($DD341="No",1,0))/
IF(DW341&gt;=INT($N341),$N341-INT($N341),1)))*
IF(EP$44=2,0,
IF(INT(DX341)=INT(DW341),DX341-DW341,INT(DX341)-DW341))+
IF($N341&lt;=1,
IF($N341&gt;0,1/$N341,0),VDB(1,0,$N341,INT(EP$44-2),MIN($N341,INT(EP$44-2)+1),$DC341,IF($DD341="No",1,0))/
IF(DX341&gt;INT($N341),$N341-INT($N341),1))*
IF(EP$44=2,DX341,
IF(INT(DX341)=INT(DW341),0,DX341-INT(DX341)))))</f>
        <v>0</v>
      </c>
      <c r="EQ341" s="836">
        <f>+IF(OR(DY341=DX341,EQ$44=1),0,
IF(AND(EQ$44&gt;1,DY341=$N341),1-SUM($EN341:EP341),
IF($N341&lt;=1,
IF($N341&gt;0,1/$N341,0),
IF(EQ$44=2,0,VDB(1,0,$N341,INT(EQ$44-2-1),MIN($N341,INT(EQ$44-2-1)+1),$DC341,IF($DD341="No",1,0))/
IF(DX341&gt;=INT($N341),$N341-INT($N341),1)))*
IF(EQ$44=2,0,
IF(INT(DY341)=INT(DX341),DY341-DX341,INT(DY341)-DX341))+
IF($N341&lt;=1,
IF($N341&gt;0,1/$N341,0),VDB(1,0,$N341,INT(EQ$44-2),MIN($N341,INT(EQ$44-2)+1),$DC341,IF($DD341="No",1,0))/
IF(DY341&gt;INT($N341),$N341-INT($N341),1))*
IF(EQ$44=2,DY341,
IF(INT(DY341)=INT(DX341),0,DY341-INT(DY341)))))</f>
        <v>0</v>
      </c>
      <c r="ER341" s="834">
        <f>+IF(OR(DZ341=DY341,ER$44=1),0,
IF(AND(ER$44&gt;1,DZ341=$N341),1-SUM($EN341:EQ341),
IF($N341&lt;=1,
IF($N341&gt;0,1/$N341,0),
IF(ER$44=2,0,VDB(1,0,$N341,INT(ER$44-2-1),MIN($N341,INT(ER$44-2-1)+1),$DC341,IF($DD341="No",1,0))/
IF(DY341&gt;=INT($N341),$N341-INT($N341),1)))*
IF(ER$44=2,0,
IF(INT(DZ341)=INT(DY341),DZ341-DY341,INT(DZ341)-DY341))+
IF($N341&lt;=1,
IF($N341&gt;0,1/$N341,0),VDB(1,0,$N341,INT(ER$44-2),MIN($N341,INT(ER$44-2)+1),$DC341,IF($DD341="No",1,0))/
IF(DZ341&gt;INT($N341),$N341-INT($N341),1))*
IF(ER$44=2,DZ341,
IF(INT(DZ341)=INT(DY341),0,DZ341-INT(DZ341)))))</f>
        <v>0</v>
      </c>
      <c r="ES341" s="835">
        <f>+IF(OR(EA341=DZ341,ES$44=1),0,
IF(AND(ES$44&gt;1,EA341=$N341),1-SUM($EN341:ER341),
IF($N341&lt;=1,
IF($N341&gt;0,1/$N341,0),
IF(ES$44=2,0,VDB(1,0,$N341,INT(ES$44-2-1),MIN($N341,INT(ES$44-2-1)+1),$DC341,IF($DD341="No",1,0))/
IF(DZ341&gt;=INT($N341),$N341-INT($N341),1)))*
IF(ES$44=2,0,
IF(INT(EA341)=INT(DZ341),EA341-DZ341,INT(EA341)-DZ341))+
IF($N341&lt;=1,
IF($N341&gt;0,1/$N341,0),VDB(1,0,$N341,INT(ES$44-2),MIN($N341,INT(ES$44-2)+1),$DC341,IF($DD341="No",1,0))/
IF(EA341&gt;INT($N341),$N341-INT($N341),1))*
IF(ES$44=2,EA341,
IF(INT(EA341)=INT(DZ341),0,EA341-INT(EA341)))))</f>
        <v>0</v>
      </c>
      <c r="ET341" s="835">
        <f>+IF(OR(EB341=EA341,ET$44=1),0,
IF(AND(ET$44&gt;1,EB341=$N341),1-SUM($EN341:ES341),
IF($N341&lt;=1,
IF($N341&gt;0,1/$N341,0),
IF(ET$44=2,0,VDB(1,0,$N341,INT(ET$44-2-1),MIN($N341,INT(ET$44-2-1)+1),$DC341,IF($DD341="No",1,0))/
IF(EA341&gt;=INT($N341),$N341-INT($N341),1)))*
IF(ET$44=2,0,
IF(INT(EB341)=INT(EA341),EB341-EA341,INT(EB341)-EA341))+
IF($N341&lt;=1,
IF($N341&gt;0,1/$N341,0),VDB(1,0,$N341,INT(ET$44-2),MIN($N341,INT(ET$44-2)+1),$DC341,IF($DD341="No",1,0))/
IF(EB341&gt;INT($N341),$N341-INT($N341),1))*
IF(ET$44=2,EB341,
IF(INT(EB341)=INT(EA341),0,EB341-INT(EB341)))))</f>
        <v>0</v>
      </c>
      <c r="EU341" s="835">
        <f>+IF(OR(EC341=EB341,EU$44=1),0,
IF(AND(EU$44&gt;1,EC341=$N341),1-SUM($EN341:ET341),
IF($N341&lt;=1,
IF($N341&gt;0,1/$N341,0),
IF(EU$44=2,0,VDB(1,0,$N341,INT(EU$44-2-1),MIN($N341,INT(EU$44-2-1)+1),$DC341,IF($DD341="No",1,0))/
IF(EB341&gt;=INT($N341),$N341-INT($N341),1)))*
IF(EU$44=2,0,
IF(INT(EC341)=INT(EB341),EC341-EB341,INT(EC341)-EB341))+
IF($N341&lt;=1,
IF($N341&gt;0,1/$N341,0),VDB(1,0,$N341,INT(EU$44-2),MIN($N341,INT(EU$44-2)+1),$DC341,IF($DD341="No",1,0))/
IF(EC341&gt;INT($N341),$N341-INT($N341),1))*
IF(EU$44=2,EC341,
IF(INT(EC341)=INT(EB341),0,EC341-INT(EC341)))))</f>
        <v>0</v>
      </c>
      <c r="EV341" s="836">
        <f>+IF(OR(ED341=EC341,EV$44=1),0,
IF(AND(EV$44&gt;1,ED341=$N341),1-SUM($EN341:EU341),
IF($N341&lt;=1,
IF($N341&gt;0,1/$N341,0),
IF(EV$44=2,0,VDB(1,0,$N341,INT(EV$44-2-1),MIN($N341,INT(EV$44-2-1)+1),$DC341,IF($DD341="No",1,0))/
IF(EC341&gt;=INT($N341),$N341-INT($N341),1)))*
IF(EV$44=2,0,
IF(INT(ED341)=INT(EC341),ED341-EC341,INT(ED341)-EC341))+
IF($N341&lt;=1,
IF($N341&gt;0,1/$N341,0),VDB(1,0,$N341,INT(EV$44-2),MIN($N341,INT(EV$44-2)+1),$DC341,IF($DD341="No",1,0))/
IF(ED341&gt;INT($N341),$N341-INT($N341),1))*
IF(EV$44=2,ED341,
IF(INT(ED341)=INT(EC341),0,ED341-INT(ED341)))))</f>
        <v>0</v>
      </c>
      <c r="EW341" s="833"/>
      <c r="EX341" s="834">
        <f t="shared" ca="1" si="570"/>
        <v>0</v>
      </c>
      <c r="EY341" s="835">
        <f t="shared" ca="1" si="570"/>
        <v>0</v>
      </c>
      <c r="EZ341" s="836">
        <f t="shared" ca="1" si="570"/>
        <v>0</v>
      </c>
      <c r="FA341" s="834">
        <f t="shared" ca="1" si="570"/>
        <v>0</v>
      </c>
      <c r="FB341" s="835">
        <f t="shared" ca="1" si="570"/>
        <v>0</v>
      </c>
      <c r="FC341" s="835">
        <f t="shared" ca="1" si="570"/>
        <v>0</v>
      </c>
      <c r="FD341" s="835">
        <f t="shared" ca="1" si="570"/>
        <v>0</v>
      </c>
      <c r="FE341" s="836">
        <f t="shared" ca="1" si="570"/>
        <v>0</v>
      </c>
      <c r="FG341" s="386">
        <f t="shared" ca="1" si="617"/>
        <v>0</v>
      </c>
      <c r="FH341" s="387">
        <f t="shared" ca="1" si="618"/>
        <v>0</v>
      </c>
      <c r="FI341" s="388">
        <f t="shared" ca="1" si="619"/>
        <v>0</v>
      </c>
      <c r="FJ341" s="386">
        <f t="shared" ca="1" si="620"/>
        <v>0</v>
      </c>
      <c r="FK341" s="387">
        <f t="shared" ca="1" si="621"/>
        <v>0</v>
      </c>
      <c r="FL341" s="387">
        <f t="shared" ca="1" si="622"/>
        <v>0</v>
      </c>
      <c r="FM341" s="387">
        <f t="shared" ca="1" si="623"/>
        <v>0</v>
      </c>
      <c r="FN341" s="388">
        <f t="shared" ca="1" si="624"/>
        <v>0</v>
      </c>
      <c r="FR341" s="116"/>
    </row>
    <row r="342" spans="2:174">
      <c r="B342" s="1410">
        <f t="shared" si="556"/>
        <v>296</v>
      </c>
      <c r="C342" s="400"/>
      <c r="D342" s="410"/>
      <c r="E342" s="402"/>
      <c r="F342" s="402"/>
      <c r="G342" s="400"/>
      <c r="H342" s="2088"/>
      <c r="I342" s="2089"/>
      <c r="J342" s="411"/>
      <c r="K342" s="403"/>
      <c r="L342" s="403"/>
      <c r="M342" s="403"/>
      <c r="N342" s="403"/>
      <c r="O342" s="347"/>
      <c r="P342" s="347"/>
      <c r="Q342" s="1021"/>
      <c r="R342" s="1022"/>
      <c r="S342" s="1022"/>
      <c r="T342" s="1022"/>
      <c r="U342" s="1023"/>
      <c r="V342" s="1021"/>
      <c r="W342" s="1022"/>
      <c r="X342" s="1022"/>
      <c r="Y342" s="1022"/>
      <c r="Z342" s="1023"/>
      <c r="AA342" s="1024"/>
      <c r="AB342" s="1021"/>
      <c r="AC342" s="1022"/>
      <c r="AD342" s="1022"/>
      <c r="AE342" s="1022"/>
      <c r="AF342" s="1023"/>
      <c r="AG342" s="1021"/>
      <c r="AH342" s="1022"/>
      <c r="AI342" s="1022"/>
      <c r="AJ342" s="1022"/>
      <c r="AK342" s="1023"/>
      <c r="AL342" s="1024"/>
      <c r="AM342" s="1021"/>
      <c r="AN342" s="1022"/>
      <c r="AO342" s="1022"/>
      <c r="AP342" s="1022"/>
      <c r="AQ342" s="1023"/>
      <c r="AR342" s="1021"/>
      <c r="AS342" s="1022"/>
      <c r="AT342" s="1022"/>
      <c r="AU342" s="1022"/>
      <c r="AV342" s="1023"/>
      <c r="AW342" s="1025"/>
      <c r="AX342" s="1282">
        <f t="shared" si="571"/>
        <v>0</v>
      </c>
      <c r="AY342" s="387">
        <f t="shared" si="572"/>
        <v>0</v>
      </c>
      <c r="AZ342" s="387">
        <f t="shared" si="573"/>
        <v>0</v>
      </c>
      <c r="BA342" s="387">
        <f t="shared" si="574"/>
        <v>0</v>
      </c>
      <c r="BB342" s="1283">
        <f t="shared" si="575"/>
        <v>0</v>
      </c>
      <c r="BC342" s="386">
        <f t="shared" si="576"/>
        <v>0</v>
      </c>
      <c r="BD342" s="387">
        <f t="shared" si="577"/>
        <v>0</v>
      </c>
      <c r="BE342" s="1277">
        <f t="shared" si="578"/>
        <v>0</v>
      </c>
      <c r="BF342" s="1277">
        <f t="shared" si="579"/>
        <v>0</v>
      </c>
      <c r="BG342" s="388">
        <f t="shared" si="580"/>
        <v>0</v>
      </c>
      <c r="BH342" s="1025"/>
      <c r="BI342" s="1282">
        <f t="shared" ca="1" si="581"/>
        <v>0</v>
      </c>
      <c r="BJ342" s="387">
        <f t="shared" ca="1" si="582"/>
        <v>0</v>
      </c>
      <c r="BK342" s="387">
        <f t="shared" ca="1" si="583"/>
        <v>0</v>
      </c>
      <c r="BL342" s="387">
        <f t="shared" ca="1" si="584"/>
        <v>0</v>
      </c>
      <c r="BM342" s="1283">
        <f t="shared" ca="1" si="585"/>
        <v>0</v>
      </c>
      <c r="BN342" s="386">
        <f t="shared" ca="1" si="586"/>
        <v>0</v>
      </c>
      <c r="BO342" s="387">
        <f t="shared" ca="1" si="587"/>
        <v>0</v>
      </c>
      <c r="BP342" s="1277">
        <f t="shared" ca="1" si="588"/>
        <v>0</v>
      </c>
      <c r="BQ342" s="1277">
        <f t="shared" ca="1" si="589"/>
        <v>0</v>
      </c>
      <c r="BR342" s="388">
        <f t="shared" ca="1" si="590"/>
        <v>0</v>
      </c>
      <c r="BS342" s="1025"/>
      <c r="BT342" s="1282">
        <f>+IF($K342="Ongoing",AX342,IF(RIGHT($K342,2)=RIGHT(BT$43,2),SUM($AX342:AX342),0)+IF(RIGHT(BT$43,2)&gt;RIGHT($K342,2),AX342,0))</f>
        <v>0</v>
      </c>
      <c r="BU342" s="387">
        <f>+IF($K342="Ongoing",AY342,IF(RIGHT($K342,2)=RIGHT(BU$43,2),SUM($AX342:AY342),0)+IF(RIGHT(BU$43,2)&gt;RIGHT($K342,2),AY342,0))</f>
        <v>0</v>
      </c>
      <c r="BV342" s="387">
        <f>+IF($K342="Ongoing",AZ342,IF(RIGHT($K342,2)=RIGHT(BV$43,2),SUM($AX342:AZ342),0)+IF(RIGHT(BV$43,2)&gt;RIGHT($K342,2),AZ342,0))</f>
        <v>0</v>
      </c>
      <c r="BW342" s="387">
        <f>+IF($K342="Ongoing",BA342,IF(RIGHT($K342,2)=RIGHT(BW$43,2),SUM($AX342:BA342),0)+IF(RIGHT(BW$43,2)&gt;RIGHT($K342,2),BA342,0))</f>
        <v>0</v>
      </c>
      <c r="BX342" s="1283">
        <f>+IF($K342="Ongoing",BB342,IF(RIGHT($K342,2)=RIGHT(BX$43,2),SUM($AX342:BB342),0)+IF(RIGHT(BX$43,2)&gt;RIGHT($K342,2),BB342,0))</f>
        <v>0</v>
      </c>
      <c r="BY342" s="386">
        <f>+IF($K342="Ongoing",BC342,IF(RIGHT($K342,2)=RIGHT(BY$43,2),SUM($AX342:BC342),0)+IF(RIGHT(BY$43,2)&gt;RIGHT($K342,2),BC342,0))</f>
        <v>0</v>
      </c>
      <c r="BZ342" s="387">
        <f>+IF($K342="Ongoing",BD342,IF(RIGHT($K342,2)=RIGHT(BZ$43,2),SUM($AX342:BD342),0)+IF(RIGHT(BZ$43,2)&gt;RIGHT($K342,2),BD342,0))</f>
        <v>0</v>
      </c>
      <c r="CA342" s="1277">
        <f>+IF($K342="Ongoing",BE342,IF(RIGHT($K342,2)=RIGHT(CA$43,2),SUM($AX342:BE342),0)+IF(RIGHT(CA$43,2)&gt;RIGHT($K342,2),BE342,0))</f>
        <v>0</v>
      </c>
      <c r="CB342" s="1277">
        <f>+IF($K342="Ongoing",BF342,IF(RIGHT($K342,2)=RIGHT(CB$43,2),SUM($AX342:BF342),0)+IF(RIGHT(CB$43,2)&gt;RIGHT($K342,2),BF342,0))</f>
        <v>0</v>
      </c>
      <c r="CC342" s="388">
        <f>+IF($K342="Ongoing",BG342,IF(RIGHT($K342,2)=RIGHT(CC$43,2),SUM($AX342:BG342),0)+IF(RIGHT(CC$43,2)&gt;RIGHT($K342,2),BG342,0))</f>
        <v>0</v>
      </c>
      <c r="CD342" s="1025"/>
      <c r="CE342" s="1282">
        <f>+Q342*KeyAssumptionsPriceControl_FO!AF$15</f>
        <v>0</v>
      </c>
      <c r="CF342" s="387">
        <f>+R342*KeyAssumptionsPriceControl_FO!AG$15</f>
        <v>0</v>
      </c>
      <c r="CG342" s="387">
        <f>+S342*KeyAssumptionsPriceControl_FO!AH$15</f>
        <v>0</v>
      </c>
      <c r="CH342" s="387">
        <f>+T342*KeyAssumptionsPriceControl_FO!AI$15</f>
        <v>0</v>
      </c>
      <c r="CI342" s="1283">
        <f>+U342*KeyAssumptionsPriceControl_FO!AJ$15</f>
        <v>0</v>
      </c>
      <c r="CJ342" s="386">
        <f>+V342*KeyAssumptionsPriceControl_FO!AK$15</f>
        <v>0</v>
      </c>
      <c r="CK342" s="387">
        <f>+W342*KeyAssumptionsPriceControl_FO!AL$15</f>
        <v>0</v>
      </c>
      <c r="CL342" s="1277">
        <f>+X342*KeyAssumptionsPriceControl_FO!AM$15</f>
        <v>0</v>
      </c>
      <c r="CM342" s="1277">
        <f>+Y342*KeyAssumptionsPriceControl_FO!AN$15</f>
        <v>0</v>
      </c>
      <c r="CN342" s="388">
        <f>+Z342*KeyAssumptionsPriceControl_FO!AO$15</f>
        <v>0</v>
      </c>
      <c r="CO342" s="1025"/>
      <c r="CP342" s="1282">
        <f t="shared" ca="1" si="591"/>
        <v>0</v>
      </c>
      <c r="CQ342" s="387">
        <f t="shared" ca="1" si="592"/>
        <v>0</v>
      </c>
      <c r="CR342" s="387">
        <f t="shared" ca="1" si="593"/>
        <v>0</v>
      </c>
      <c r="CS342" s="387">
        <f t="shared" ca="1" si="594"/>
        <v>0</v>
      </c>
      <c r="CT342" s="1283">
        <f t="shared" ca="1" si="595"/>
        <v>0</v>
      </c>
      <c r="CU342" s="386">
        <f t="shared" ca="1" si="596"/>
        <v>0</v>
      </c>
      <c r="CV342" s="387">
        <f t="shared" ca="1" si="597"/>
        <v>0</v>
      </c>
      <c r="CW342" s="1277">
        <f t="shared" ca="1" si="598"/>
        <v>0</v>
      </c>
      <c r="CX342" s="1277">
        <f t="shared" ca="1" si="599"/>
        <v>0</v>
      </c>
      <c r="CY342" s="388">
        <f t="shared" ca="1" si="600"/>
        <v>0</v>
      </c>
      <c r="CZ342" s="347"/>
      <c r="DA342" s="852"/>
      <c r="DB342" s="347"/>
      <c r="DC342" s="1012" t="s">
        <v>536</v>
      </c>
      <c r="DD342" s="841" t="s">
        <v>518</v>
      </c>
      <c r="DE342" s="386">
        <f>+IF($K342="ongoing",CE342,IF(RIGHT($K342,2)=RIGHT(DE$43,2),SUM($CD342:CE342),0)+IF(RIGHT(DE$43,2)&gt;RIGHT($K342,2),CE342,0))</f>
        <v>0</v>
      </c>
      <c r="DF342" s="387">
        <f>+IF($K342="ongoing",CF342,IF(RIGHT($K342,2)=RIGHT(DF$43,2),SUM($CD342:CF342),0)+IF(RIGHT(DF$43,2)&gt;RIGHT($K342,2),CF342,0))</f>
        <v>0</v>
      </c>
      <c r="DG342" s="388">
        <f>+IF($K342="ongoing",CG342,IF(RIGHT($K342,2)=RIGHT(DG$43,2),SUM($CD342:CG342),0)+IF(RIGHT(DG$43,2)&gt;RIGHT($K342,2),CG342,0))</f>
        <v>0</v>
      </c>
      <c r="DH342" s="386">
        <f>+IF($K342="ongoing",CH342,IF(RIGHT($K342,2)=RIGHT(DH$43,2),SUM($CD342:CH342),0)+IF(RIGHT(DH$43,2)&gt;RIGHT($K342,2),CH342,0))</f>
        <v>0</v>
      </c>
      <c r="DI342" s="387">
        <f>+IF($K342="ongoing",CI342,IF(RIGHT($K342,2)=RIGHT(DI$43,2),SUM($CD342:CI342),0)+IF(RIGHT(DI$43,2)&gt;RIGHT($K342,2),CI342,0))</f>
        <v>0</v>
      </c>
      <c r="DJ342" s="387">
        <f>+IF($K342="ongoing",CJ342,IF(RIGHT($K342,2)=RIGHT(DJ$43,2),SUM($CD342:CJ342),0)+IF(RIGHT(DJ$43,2)&gt;RIGHT($K342,2),CJ342,0))</f>
        <v>0</v>
      </c>
      <c r="DK342" s="387">
        <f>+IF($K342="ongoing",CK342,IF(RIGHT($K342,2)=RIGHT(DK$43,2),SUM($CD342:CK342),0)+IF(RIGHT(DK$43,2)&gt;RIGHT($K342,2),CK342,0))</f>
        <v>0</v>
      </c>
      <c r="DL342" s="388">
        <f>+IF($K342="ongoing",CN342,IF(RIGHT($K342,2)=RIGHT(DL$43,2),SUM($CD342:CN342),0)+IF(RIGHT(DL$43,2)&gt;RIGHT($K342,2),CN342,0))</f>
        <v>0</v>
      </c>
      <c r="DM342" s="841"/>
      <c r="DN342" s="386">
        <f t="shared" si="601"/>
        <v>0.5</v>
      </c>
      <c r="DO342" s="387">
        <f t="shared" si="602"/>
        <v>1</v>
      </c>
      <c r="DP342" s="388">
        <f t="shared" si="603"/>
        <v>1</v>
      </c>
      <c r="DQ342" s="386">
        <f t="shared" si="604"/>
        <v>1</v>
      </c>
      <c r="DR342" s="387">
        <f t="shared" si="605"/>
        <v>1</v>
      </c>
      <c r="DS342" s="387">
        <f t="shared" si="606"/>
        <v>1</v>
      </c>
      <c r="DT342" s="387">
        <f t="shared" si="607"/>
        <v>1</v>
      </c>
      <c r="DU342" s="388">
        <f t="shared" si="608"/>
        <v>1</v>
      </c>
      <c r="DW342" s="386">
        <f t="shared" si="609"/>
        <v>0</v>
      </c>
      <c r="DX342" s="387">
        <f t="shared" si="610"/>
        <v>0.5</v>
      </c>
      <c r="DY342" s="388">
        <f t="shared" si="611"/>
        <v>1</v>
      </c>
      <c r="DZ342" s="386">
        <f t="shared" si="612"/>
        <v>1</v>
      </c>
      <c r="EA342" s="387">
        <f t="shared" si="613"/>
        <v>1</v>
      </c>
      <c r="EB342" s="387">
        <f t="shared" si="614"/>
        <v>1</v>
      </c>
      <c r="EC342" s="387">
        <f t="shared" si="615"/>
        <v>1</v>
      </c>
      <c r="ED342" s="388">
        <f t="shared" si="616"/>
        <v>1</v>
      </c>
      <c r="EF342" s="834">
        <f>+IF(DN342=DM342,0,
IF(AND(EF$44&gt;1,DN342=$N342),1-SUM($EE342:EE342),
IF($N342&lt;=1,
IF($N342&gt;0,1/$N342,0),
IF(EF$44=1,0,VDB(1,0,$N342,INT(EF$44-1-1),MIN($N342,INT(EF$44-1-1)+1),$DC342,IF($DD342="No",1,0))/
IF(DM342&gt;=INT($N342),$N342-INT($N342),1)))*
IF(EF$44=1,0,
IF(INT(DN342)=INT(DM342),DN342-DM342,INT(DN342)-DM342))+
IF($N342&lt;=1,
IF($N342&gt;0,1/$N342,0),VDB(1,0,$N342,INT(EF$44-1),MIN($N342,INT(EF$44-1)+1),$DC342,IF($DD342="No",1,0))/
IF(DN342&gt;INT($N342),$N342-INT($N342),1))*
IF(EF$44=1,DN342,
IF(INT(DN342)=INT(DM342),0,DN342-INT(DN342)))))</f>
        <v>0</v>
      </c>
      <c r="EG342" s="835">
        <f>+IF(DO342=DN342,0,
IF(AND(EG$44&gt;1,DO342=$N342),1-SUM($EE342:EF342),
IF($N342&lt;=1,
IF($N342&gt;0,1/$N342,0),
IF(EG$44=1,0,VDB(1,0,$N342,INT(EG$44-1-1),MIN($N342,INT(EG$44-1-1)+1),$DC342,IF($DD342="No",1,0))/
IF(DN342&gt;=INT($N342),$N342-INT($N342),1)))*
IF(EG$44=1,0,
IF(INT(DO342)=INT(DN342),DO342-DN342,INT(DO342)-DN342))+
IF($N342&lt;=1,
IF($N342&gt;0,1/$N342,0),VDB(1,0,$N342,INT(EG$44-1),MIN($N342,INT(EG$44-1)+1),$DC342,IF($DD342="No",1,0))/
IF(DO342&gt;INT($N342),$N342-INT($N342),1))*
IF(EG$44=1,DO342,
IF(INT(DO342)=INT(DN342),0,DO342-INT(DO342)))))</f>
        <v>0</v>
      </c>
      <c r="EH342" s="836">
        <f>+IF(DP342=DO342,0,
IF(AND(EH$44&gt;1,DP342=$N342),1-SUM($EE342:EG342),
IF($N342&lt;=1,
IF($N342&gt;0,1/$N342,0),
IF(EH$44=1,0,VDB(1,0,$N342,INT(EH$44-1-1),MIN($N342,INT(EH$44-1-1)+1),$DC342,IF($DD342="No",1,0))/
IF(DO342&gt;=INT($N342),$N342-INT($N342),1)))*
IF(EH$44=1,0,
IF(INT(DP342)=INT(DO342),DP342-DO342,INT(DP342)-DO342))+
IF($N342&lt;=1,
IF($N342&gt;0,1/$N342,0),VDB(1,0,$N342,INT(EH$44-1),MIN($N342,INT(EH$44-1)+1),$DC342,IF($DD342="No",1,0))/
IF(DP342&gt;INT($N342),$N342-INT($N342),1))*
IF(EH$44=1,DP342,
IF(INT(DP342)=INT(DO342),0,DP342-INT(DP342)))))</f>
        <v>0</v>
      </c>
      <c r="EI342" s="834">
        <f>+IF(DQ342=DP342,0,
IF(AND(EI$44&gt;1,DQ342=$N342),1-SUM($EE342:EH342),
IF($N342&lt;=1,
IF($N342&gt;0,1/$N342,0),
IF(EI$44=1,0,VDB(1,0,$N342,INT(EI$44-1-1),MIN($N342,INT(EI$44-1-1)+1),$DC342,IF($DD342="No",1,0))/
IF(DP342&gt;=INT($N342),$N342-INT($N342),1)))*
IF(EI$44=1,0,
IF(INT(DQ342)=INT(DP342),DQ342-DP342,INT(DQ342)-DP342))+
IF($N342&lt;=1,
IF($N342&gt;0,1/$N342,0),VDB(1,0,$N342,INT(EI$44-1),MIN($N342,INT(EI$44-1)+1),$DC342,IF($DD342="No",1,0))/
IF(DQ342&gt;INT($N342),$N342-INT($N342),1))*
IF(EI$44=1,DQ342,
IF(INT(DQ342)=INT(DP342),0,DQ342-INT(DQ342)))))</f>
        <v>0</v>
      </c>
      <c r="EJ342" s="835">
        <f>+IF(DR342=DQ342,0,
IF(AND(EJ$44&gt;1,DR342=$N342),1-SUM($EE342:EI342),
IF($N342&lt;=1,
IF($N342&gt;0,1/$N342,0),
IF(EJ$44=1,0,VDB(1,0,$N342,INT(EJ$44-1-1),MIN($N342,INT(EJ$44-1-1)+1),$DC342,IF($DD342="No",1,0))/
IF(DQ342&gt;=INT($N342),$N342-INT($N342),1)))*
IF(EJ$44=1,0,
IF(INT(DR342)=INT(DQ342),DR342-DQ342,INT(DR342)-DQ342))+
IF($N342&lt;=1,
IF($N342&gt;0,1/$N342,0),VDB(1,0,$N342,INT(EJ$44-1),MIN($N342,INT(EJ$44-1)+1),$DC342,IF($DD342="No",1,0))/
IF(DR342&gt;INT($N342),$N342-INT($N342),1))*
IF(EJ$44=1,DR342,
IF(INT(DR342)=INT(DQ342),0,DR342-INT(DR342)))))</f>
        <v>0</v>
      </c>
      <c r="EK342" s="835">
        <f>+IF(DS342=DR342,0,
IF(AND(EK$44&gt;1,DS342=$N342),1-SUM($EE342:EJ342),
IF($N342&lt;=1,
IF($N342&gt;0,1/$N342,0),
IF(EK$44=1,0,VDB(1,0,$N342,INT(EK$44-1-1),MIN($N342,INT(EK$44-1-1)+1),$DC342,IF($DD342="No",1,0))/
IF(DR342&gt;=INT($N342),$N342-INT($N342),1)))*
IF(EK$44=1,0,
IF(INT(DS342)=INT(DR342),DS342-DR342,INT(DS342)-DR342))+
IF($N342&lt;=1,
IF($N342&gt;0,1/$N342,0),VDB(1,0,$N342,INT(EK$44-1),MIN($N342,INT(EK$44-1)+1),$DC342,IF($DD342="No",1,0))/
IF(DS342&gt;INT($N342),$N342-INT($N342),1))*
IF(EK$44=1,DS342,
IF(INT(DS342)=INT(DR342),0,DS342-INT(DS342)))))</f>
        <v>0</v>
      </c>
      <c r="EL342" s="835">
        <f>+IF(DT342=DS342,0,
IF(AND(EL$44&gt;1,DT342=$N342),1-SUM($EE342:EK342),
IF($N342&lt;=1,
IF($N342&gt;0,1/$N342,0),
IF(EL$44=1,0,VDB(1,0,$N342,INT(EL$44-1-1),MIN($N342,INT(EL$44-1-1)+1),$DC342,IF($DD342="No",1,0))/
IF(DS342&gt;=INT($N342),$N342-INT($N342),1)))*
IF(EL$44=1,0,
IF(INT(DT342)=INT(DS342),DT342-DS342,INT(DT342)-DS342))+
IF($N342&lt;=1,
IF($N342&gt;0,1/$N342,0),VDB(1,0,$N342,INT(EL$44-1),MIN($N342,INT(EL$44-1)+1),$DC342,IF($DD342="No",1,0))/
IF(DT342&gt;INT($N342),$N342-INT($N342),1))*
IF(EL$44=1,DT342,
IF(INT(DT342)=INT(DS342),0,DT342-INT(DT342)))))</f>
        <v>0</v>
      </c>
      <c r="EM342" s="836">
        <f>+IF(DU342=DT342,0,
IF(AND(EM$44&gt;1,DU342=$N342),1-SUM($EE342:EL342),
IF($N342&lt;=1,
IF($N342&gt;0,1/$N342,0),
IF(EM$44=1,0,VDB(1,0,$N342,INT(EM$44-1-1),MIN($N342,INT(EM$44-1-1)+1),$DC342,IF($DD342="No",1,0))/
IF(DT342&gt;=INT($N342),$N342-INT($N342),1)))*
IF(EM$44=1,0,
IF(INT(DU342)=INT(DT342),DU342-DT342,INT(DU342)-DT342))+
IF($N342&lt;=1,
IF($N342&gt;0,1/$N342,0),VDB(1,0,$N342,INT(EM$44-1),MIN($N342,INT(EM$44-1)+1),$DC342,IF($DD342="No",1,0))/
IF(DU342&gt;INT($N342),$N342-INT($N342),1))*
IF(EM$44=1,DU342,
IF(INT(DU342)=INT(DT342),0,DU342-INT(DU342)))))</f>
        <v>0</v>
      </c>
      <c r="EN342" s="833"/>
      <c r="EO342" s="834">
        <f>+IF(OR(DW342=DV342,EO$44=1),0,
IF(AND(EO$44&gt;1,DW342=$N342),1-SUM($EN342:EN342),
IF($N342&lt;=1,
IF($N342&gt;0,1/$N342,0),
IF(EO$44=2,0,VDB(1,0,$N342,INT(EO$44-2-1),MIN($N342,INT(EO$44-2-1)+1),$DC342,IF($DD342="No",1,0))/
IF(DV342&gt;=INT($N342),$N342-INT($N342),1)))*
IF(EO$44=2,0,
IF(INT(DW342)=INT(DV342),DW342-DV342,INT(DW342)-DV342))+
IF($N342&lt;=1,
IF($N342&gt;0,1/$N342,0),VDB(1,0,$N342,INT(EO$44-2),MIN($N342,INT(EO$44-2)+1),$DC342,IF($DD342="No",1,0))/
IF(DW342&gt;INT($N342),$N342-INT($N342),1))*
IF(EO$44=2,DW342,
IF(INT(DW342)=INT(DV342),0,DW342-INT(DW342)))))</f>
        <v>0</v>
      </c>
      <c r="EP342" s="835">
        <f>+IF(OR(DX342=DW342,EP$44=1),0,
IF(AND(EP$44&gt;1,DX342=$N342),1-SUM($EN342:EO342),
IF($N342&lt;=1,
IF($N342&gt;0,1/$N342,0),
IF(EP$44=2,0,VDB(1,0,$N342,INT(EP$44-2-1),MIN($N342,INT(EP$44-2-1)+1),$DC342,IF($DD342="No",1,0))/
IF(DW342&gt;=INT($N342),$N342-INT($N342),1)))*
IF(EP$44=2,0,
IF(INT(DX342)=INT(DW342),DX342-DW342,INT(DX342)-DW342))+
IF($N342&lt;=1,
IF($N342&gt;0,1/$N342,0),VDB(1,0,$N342,INT(EP$44-2),MIN($N342,INT(EP$44-2)+1),$DC342,IF($DD342="No",1,0))/
IF(DX342&gt;INT($N342),$N342-INT($N342),1))*
IF(EP$44=2,DX342,
IF(INT(DX342)=INT(DW342),0,DX342-INT(DX342)))))</f>
        <v>0</v>
      </c>
      <c r="EQ342" s="836">
        <f>+IF(OR(DY342=DX342,EQ$44=1),0,
IF(AND(EQ$44&gt;1,DY342=$N342),1-SUM($EN342:EP342),
IF($N342&lt;=1,
IF($N342&gt;0,1/$N342,0),
IF(EQ$44=2,0,VDB(1,0,$N342,INT(EQ$44-2-1),MIN($N342,INT(EQ$44-2-1)+1),$DC342,IF($DD342="No",1,0))/
IF(DX342&gt;=INT($N342),$N342-INT($N342),1)))*
IF(EQ$44=2,0,
IF(INT(DY342)=INT(DX342),DY342-DX342,INT(DY342)-DX342))+
IF($N342&lt;=1,
IF($N342&gt;0,1/$N342,0),VDB(1,0,$N342,INT(EQ$44-2),MIN($N342,INT(EQ$44-2)+1),$DC342,IF($DD342="No",1,0))/
IF(DY342&gt;INT($N342),$N342-INT($N342),1))*
IF(EQ$44=2,DY342,
IF(INT(DY342)=INT(DX342),0,DY342-INT(DY342)))))</f>
        <v>0</v>
      </c>
      <c r="ER342" s="834">
        <f>+IF(OR(DZ342=DY342,ER$44=1),0,
IF(AND(ER$44&gt;1,DZ342=$N342),1-SUM($EN342:EQ342),
IF($N342&lt;=1,
IF($N342&gt;0,1/$N342,0),
IF(ER$44=2,0,VDB(1,0,$N342,INT(ER$44-2-1),MIN($N342,INT(ER$44-2-1)+1),$DC342,IF($DD342="No",1,0))/
IF(DY342&gt;=INT($N342),$N342-INT($N342),1)))*
IF(ER$44=2,0,
IF(INT(DZ342)=INT(DY342),DZ342-DY342,INT(DZ342)-DY342))+
IF($N342&lt;=1,
IF($N342&gt;0,1/$N342,0),VDB(1,0,$N342,INT(ER$44-2),MIN($N342,INT(ER$44-2)+1),$DC342,IF($DD342="No",1,0))/
IF(DZ342&gt;INT($N342),$N342-INT($N342),1))*
IF(ER$44=2,DZ342,
IF(INT(DZ342)=INT(DY342),0,DZ342-INT(DZ342)))))</f>
        <v>0</v>
      </c>
      <c r="ES342" s="835">
        <f>+IF(OR(EA342=DZ342,ES$44=1),0,
IF(AND(ES$44&gt;1,EA342=$N342),1-SUM($EN342:ER342),
IF($N342&lt;=1,
IF($N342&gt;0,1/$N342,0),
IF(ES$44=2,0,VDB(1,0,$N342,INT(ES$44-2-1),MIN($N342,INT(ES$44-2-1)+1),$DC342,IF($DD342="No",1,0))/
IF(DZ342&gt;=INT($N342),$N342-INT($N342),1)))*
IF(ES$44=2,0,
IF(INT(EA342)=INT(DZ342),EA342-DZ342,INT(EA342)-DZ342))+
IF($N342&lt;=1,
IF($N342&gt;0,1/$N342,0),VDB(1,0,$N342,INT(ES$44-2),MIN($N342,INT(ES$44-2)+1),$DC342,IF($DD342="No",1,0))/
IF(EA342&gt;INT($N342),$N342-INT($N342),1))*
IF(ES$44=2,EA342,
IF(INT(EA342)=INT(DZ342),0,EA342-INT(EA342)))))</f>
        <v>0</v>
      </c>
      <c r="ET342" s="835">
        <f>+IF(OR(EB342=EA342,ET$44=1),0,
IF(AND(ET$44&gt;1,EB342=$N342),1-SUM($EN342:ES342),
IF($N342&lt;=1,
IF($N342&gt;0,1/$N342,0),
IF(ET$44=2,0,VDB(1,0,$N342,INT(ET$44-2-1),MIN($N342,INT(ET$44-2-1)+1),$DC342,IF($DD342="No",1,0))/
IF(EA342&gt;=INT($N342),$N342-INT($N342),1)))*
IF(ET$44=2,0,
IF(INT(EB342)=INT(EA342),EB342-EA342,INT(EB342)-EA342))+
IF($N342&lt;=1,
IF($N342&gt;0,1/$N342,0),VDB(1,0,$N342,INT(ET$44-2),MIN($N342,INT(ET$44-2)+1),$DC342,IF($DD342="No",1,0))/
IF(EB342&gt;INT($N342),$N342-INT($N342),1))*
IF(ET$44=2,EB342,
IF(INT(EB342)=INT(EA342),0,EB342-INT(EB342)))))</f>
        <v>0</v>
      </c>
      <c r="EU342" s="835">
        <f>+IF(OR(EC342=EB342,EU$44=1),0,
IF(AND(EU$44&gt;1,EC342=$N342),1-SUM($EN342:ET342),
IF($N342&lt;=1,
IF($N342&gt;0,1/$N342,0),
IF(EU$44=2,0,VDB(1,0,$N342,INT(EU$44-2-1),MIN($N342,INT(EU$44-2-1)+1),$DC342,IF($DD342="No",1,0))/
IF(EB342&gt;=INT($N342),$N342-INT($N342),1)))*
IF(EU$44=2,0,
IF(INT(EC342)=INT(EB342),EC342-EB342,INT(EC342)-EB342))+
IF($N342&lt;=1,
IF($N342&gt;0,1/$N342,0),VDB(1,0,$N342,INT(EU$44-2),MIN($N342,INT(EU$44-2)+1),$DC342,IF($DD342="No",1,0))/
IF(EC342&gt;INT($N342),$N342-INT($N342),1))*
IF(EU$44=2,EC342,
IF(INT(EC342)=INT(EB342),0,EC342-INT(EC342)))))</f>
        <v>0</v>
      </c>
      <c r="EV342" s="836">
        <f>+IF(OR(ED342=EC342,EV$44=1),0,
IF(AND(EV$44&gt;1,ED342=$N342),1-SUM($EN342:EU342),
IF($N342&lt;=1,
IF($N342&gt;0,1/$N342,0),
IF(EV$44=2,0,VDB(1,0,$N342,INT(EV$44-2-1),MIN($N342,INT(EV$44-2-1)+1),$DC342,IF($DD342="No",1,0))/
IF(EC342&gt;=INT($N342),$N342-INT($N342),1)))*
IF(EV$44=2,0,
IF(INT(ED342)=INT(EC342),ED342-EC342,INT(ED342)-EC342))+
IF($N342&lt;=1,
IF($N342&gt;0,1/$N342,0),VDB(1,0,$N342,INT(EV$44-2),MIN($N342,INT(EV$44-2)+1),$DC342,IF($DD342="No",1,0))/
IF(ED342&gt;INT($N342),$N342-INT($N342),1))*
IF(EV$44=2,ED342,
IF(INT(ED342)=INT(EC342),0,ED342-INT(ED342)))))</f>
        <v>0</v>
      </c>
      <c r="EW342" s="833"/>
      <c r="EX342" s="834">
        <f t="shared" ca="1" si="570"/>
        <v>0</v>
      </c>
      <c r="EY342" s="835">
        <f t="shared" ca="1" si="570"/>
        <v>0</v>
      </c>
      <c r="EZ342" s="836">
        <f t="shared" ca="1" si="570"/>
        <v>0</v>
      </c>
      <c r="FA342" s="834">
        <f t="shared" ca="1" si="570"/>
        <v>0</v>
      </c>
      <c r="FB342" s="835">
        <f t="shared" ca="1" si="570"/>
        <v>0</v>
      </c>
      <c r="FC342" s="835">
        <f t="shared" ca="1" si="570"/>
        <v>0</v>
      </c>
      <c r="FD342" s="835">
        <f t="shared" ca="1" si="570"/>
        <v>0</v>
      </c>
      <c r="FE342" s="836">
        <f t="shared" ca="1" si="570"/>
        <v>0</v>
      </c>
      <c r="FG342" s="386">
        <f t="shared" ca="1" si="617"/>
        <v>0</v>
      </c>
      <c r="FH342" s="387">
        <f t="shared" ca="1" si="618"/>
        <v>0</v>
      </c>
      <c r="FI342" s="388">
        <f t="shared" ca="1" si="619"/>
        <v>0</v>
      </c>
      <c r="FJ342" s="386">
        <f t="shared" ca="1" si="620"/>
        <v>0</v>
      </c>
      <c r="FK342" s="387">
        <f t="shared" ca="1" si="621"/>
        <v>0</v>
      </c>
      <c r="FL342" s="387">
        <f t="shared" ca="1" si="622"/>
        <v>0</v>
      </c>
      <c r="FM342" s="387">
        <f t="shared" ca="1" si="623"/>
        <v>0</v>
      </c>
      <c r="FN342" s="388">
        <f t="shared" ca="1" si="624"/>
        <v>0</v>
      </c>
      <c r="FR342" s="116"/>
    </row>
    <row r="343" spans="2:174">
      <c r="B343" s="1410">
        <f t="shared" si="556"/>
        <v>297</v>
      </c>
      <c r="C343" s="400"/>
      <c r="D343" s="410"/>
      <c r="E343" s="402"/>
      <c r="F343" s="402"/>
      <c r="G343" s="400"/>
      <c r="H343" s="2088"/>
      <c r="I343" s="2089"/>
      <c r="J343" s="411"/>
      <c r="K343" s="403"/>
      <c r="L343" s="403"/>
      <c r="M343" s="403"/>
      <c r="N343" s="403"/>
      <c r="O343" s="347"/>
      <c r="P343" s="347"/>
      <c r="Q343" s="1021"/>
      <c r="R343" s="1022"/>
      <c r="S343" s="1022"/>
      <c r="T343" s="1022"/>
      <c r="U343" s="1023"/>
      <c r="V343" s="1021"/>
      <c r="W343" s="1022"/>
      <c r="X343" s="1022"/>
      <c r="Y343" s="1022"/>
      <c r="Z343" s="1023"/>
      <c r="AA343" s="1024"/>
      <c r="AB343" s="1021"/>
      <c r="AC343" s="1022"/>
      <c r="AD343" s="1022"/>
      <c r="AE343" s="1022"/>
      <c r="AF343" s="1023"/>
      <c r="AG343" s="1021"/>
      <c r="AH343" s="1022"/>
      <c r="AI343" s="1022"/>
      <c r="AJ343" s="1022"/>
      <c r="AK343" s="1023"/>
      <c r="AL343" s="1024"/>
      <c r="AM343" s="1021"/>
      <c r="AN343" s="1022"/>
      <c r="AO343" s="1022"/>
      <c r="AP343" s="1022"/>
      <c r="AQ343" s="1023"/>
      <c r="AR343" s="1021"/>
      <c r="AS343" s="1022"/>
      <c r="AT343" s="1022"/>
      <c r="AU343" s="1022"/>
      <c r="AV343" s="1023"/>
      <c r="AW343" s="1025"/>
      <c r="AX343" s="1282">
        <f t="shared" si="571"/>
        <v>0</v>
      </c>
      <c r="AY343" s="387">
        <f t="shared" si="572"/>
        <v>0</v>
      </c>
      <c r="AZ343" s="387">
        <f t="shared" si="573"/>
        <v>0</v>
      </c>
      <c r="BA343" s="387">
        <f t="shared" si="574"/>
        <v>0</v>
      </c>
      <c r="BB343" s="1283">
        <f t="shared" si="575"/>
        <v>0</v>
      </c>
      <c r="BC343" s="386">
        <f t="shared" si="576"/>
        <v>0</v>
      </c>
      <c r="BD343" s="387">
        <f t="shared" si="577"/>
        <v>0</v>
      </c>
      <c r="BE343" s="1277">
        <f t="shared" si="578"/>
        <v>0</v>
      </c>
      <c r="BF343" s="1277">
        <f t="shared" si="579"/>
        <v>0</v>
      </c>
      <c r="BG343" s="388">
        <f t="shared" si="580"/>
        <v>0</v>
      </c>
      <c r="BH343" s="1025"/>
      <c r="BI343" s="1282">
        <f t="shared" ca="1" si="581"/>
        <v>0</v>
      </c>
      <c r="BJ343" s="387">
        <f t="shared" ca="1" si="582"/>
        <v>0</v>
      </c>
      <c r="BK343" s="387">
        <f t="shared" ca="1" si="583"/>
        <v>0</v>
      </c>
      <c r="BL343" s="387">
        <f t="shared" ca="1" si="584"/>
        <v>0</v>
      </c>
      <c r="BM343" s="1283">
        <f t="shared" ca="1" si="585"/>
        <v>0</v>
      </c>
      <c r="BN343" s="386">
        <f t="shared" ca="1" si="586"/>
        <v>0</v>
      </c>
      <c r="BO343" s="387">
        <f t="shared" ca="1" si="587"/>
        <v>0</v>
      </c>
      <c r="BP343" s="1277">
        <f t="shared" ca="1" si="588"/>
        <v>0</v>
      </c>
      <c r="BQ343" s="1277">
        <f t="shared" ca="1" si="589"/>
        <v>0</v>
      </c>
      <c r="BR343" s="388">
        <f t="shared" ca="1" si="590"/>
        <v>0</v>
      </c>
      <c r="BS343" s="1025"/>
      <c r="BT343" s="1282">
        <f>+IF($K343="Ongoing",AX343,IF(RIGHT($K343,2)=RIGHT(BT$43,2),SUM($AX343:AX343),0)+IF(RIGHT(BT$43,2)&gt;RIGHT($K343,2),AX343,0))</f>
        <v>0</v>
      </c>
      <c r="BU343" s="387">
        <f>+IF($K343="Ongoing",AY343,IF(RIGHT($K343,2)=RIGHT(BU$43,2),SUM($AX343:AY343),0)+IF(RIGHT(BU$43,2)&gt;RIGHT($K343,2),AY343,0))</f>
        <v>0</v>
      </c>
      <c r="BV343" s="387">
        <f>+IF($K343="Ongoing",AZ343,IF(RIGHT($K343,2)=RIGHT(BV$43,2),SUM($AX343:AZ343),0)+IF(RIGHT(BV$43,2)&gt;RIGHT($K343,2),AZ343,0))</f>
        <v>0</v>
      </c>
      <c r="BW343" s="387">
        <f>+IF($K343="Ongoing",BA343,IF(RIGHT($K343,2)=RIGHT(BW$43,2),SUM($AX343:BA343),0)+IF(RIGHT(BW$43,2)&gt;RIGHT($K343,2),BA343,0))</f>
        <v>0</v>
      </c>
      <c r="BX343" s="1283">
        <f>+IF($K343="Ongoing",BB343,IF(RIGHT($K343,2)=RIGHT(BX$43,2),SUM($AX343:BB343),0)+IF(RIGHT(BX$43,2)&gt;RIGHT($K343,2),BB343,0))</f>
        <v>0</v>
      </c>
      <c r="BY343" s="386">
        <f>+IF($K343="Ongoing",BC343,IF(RIGHT($K343,2)=RIGHT(BY$43,2),SUM($AX343:BC343),0)+IF(RIGHT(BY$43,2)&gt;RIGHT($K343,2),BC343,0))</f>
        <v>0</v>
      </c>
      <c r="BZ343" s="387">
        <f>+IF($K343="Ongoing",BD343,IF(RIGHT($K343,2)=RIGHT(BZ$43,2),SUM($AX343:BD343),0)+IF(RIGHT(BZ$43,2)&gt;RIGHT($K343,2),BD343,0))</f>
        <v>0</v>
      </c>
      <c r="CA343" s="1277">
        <f>+IF($K343="Ongoing",BE343,IF(RIGHT($K343,2)=RIGHT(CA$43,2),SUM($AX343:BE343),0)+IF(RIGHT(CA$43,2)&gt;RIGHT($K343,2),BE343,0))</f>
        <v>0</v>
      </c>
      <c r="CB343" s="1277">
        <f>+IF($K343="Ongoing",BF343,IF(RIGHT($K343,2)=RIGHT(CB$43,2),SUM($AX343:BF343),0)+IF(RIGHT(CB$43,2)&gt;RIGHT($K343,2),BF343,0))</f>
        <v>0</v>
      </c>
      <c r="CC343" s="388">
        <f>+IF($K343="Ongoing",BG343,IF(RIGHT($K343,2)=RIGHT(CC$43,2),SUM($AX343:BG343),0)+IF(RIGHT(CC$43,2)&gt;RIGHT($K343,2),BG343,0))</f>
        <v>0</v>
      </c>
      <c r="CD343" s="1025"/>
      <c r="CE343" s="1282">
        <f>+Q343*KeyAssumptionsPriceControl_FO!AF$15</f>
        <v>0</v>
      </c>
      <c r="CF343" s="387">
        <f>+R343*KeyAssumptionsPriceControl_FO!AG$15</f>
        <v>0</v>
      </c>
      <c r="CG343" s="387">
        <f>+S343*KeyAssumptionsPriceControl_FO!AH$15</f>
        <v>0</v>
      </c>
      <c r="CH343" s="387">
        <f>+T343*KeyAssumptionsPriceControl_FO!AI$15</f>
        <v>0</v>
      </c>
      <c r="CI343" s="1283">
        <f>+U343*KeyAssumptionsPriceControl_FO!AJ$15</f>
        <v>0</v>
      </c>
      <c r="CJ343" s="386">
        <f>+V343*KeyAssumptionsPriceControl_FO!AK$15</f>
        <v>0</v>
      </c>
      <c r="CK343" s="387">
        <f>+W343*KeyAssumptionsPriceControl_FO!AL$15</f>
        <v>0</v>
      </c>
      <c r="CL343" s="1277">
        <f>+X343*KeyAssumptionsPriceControl_FO!AM$15</f>
        <v>0</v>
      </c>
      <c r="CM343" s="1277">
        <f>+Y343*KeyAssumptionsPriceControl_FO!AN$15</f>
        <v>0</v>
      </c>
      <c r="CN343" s="388">
        <f>+Z343*KeyAssumptionsPriceControl_FO!AO$15</f>
        <v>0</v>
      </c>
      <c r="CO343" s="1025"/>
      <c r="CP343" s="1282">
        <f t="shared" ca="1" si="591"/>
        <v>0</v>
      </c>
      <c r="CQ343" s="387">
        <f t="shared" ca="1" si="592"/>
        <v>0</v>
      </c>
      <c r="CR343" s="387">
        <f t="shared" ca="1" si="593"/>
        <v>0</v>
      </c>
      <c r="CS343" s="387">
        <f t="shared" ca="1" si="594"/>
        <v>0</v>
      </c>
      <c r="CT343" s="1283">
        <f t="shared" ca="1" si="595"/>
        <v>0</v>
      </c>
      <c r="CU343" s="386">
        <f t="shared" ca="1" si="596"/>
        <v>0</v>
      </c>
      <c r="CV343" s="387">
        <f t="shared" ca="1" si="597"/>
        <v>0</v>
      </c>
      <c r="CW343" s="1277">
        <f t="shared" ca="1" si="598"/>
        <v>0</v>
      </c>
      <c r="CX343" s="1277">
        <f t="shared" ca="1" si="599"/>
        <v>0</v>
      </c>
      <c r="CY343" s="388">
        <f t="shared" ca="1" si="600"/>
        <v>0</v>
      </c>
      <c r="CZ343" s="347"/>
      <c r="DA343" s="852"/>
      <c r="DB343" s="347"/>
      <c r="DC343" s="1012" t="s">
        <v>538</v>
      </c>
      <c r="DD343" s="841" t="s">
        <v>518</v>
      </c>
      <c r="DE343" s="386">
        <f>+IF($K343="ongoing",CE343,IF(RIGHT($K343,2)=RIGHT(DE$43,2),SUM($CD343:CE343),0)+IF(RIGHT(DE$43,2)&gt;RIGHT($K343,2),CE343,0))</f>
        <v>0</v>
      </c>
      <c r="DF343" s="387">
        <f>+IF($K343="ongoing",CF343,IF(RIGHT($K343,2)=RIGHT(DF$43,2),SUM($CD343:CF343),0)+IF(RIGHT(DF$43,2)&gt;RIGHT($K343,2),CF343,0))</f>
        <v>0</v>
      </c>
      <c r="DG343" s="388">
        <f>+IF($K343="ongoing",CG343,IF(RIGHT($K343,2)=RIGHT(DG$43,2),SUM($CD343:CG343),0)+IF(RIGHT(DG$43,2)&gt;RIGHT($K343,2),CG343,0))</f>
        <v>0</v>
      </c>
      <c r="DH343" s="386">
        <f>+IF($K343="ongoing",CH343,IF(RIGHT($K343,2)=RIGHT(DH$43,2),SUM($CD343:CH343),0)+IF(RIGHT(DH$43,2)&gt;RIGHT($K343,2),CH343,0))</f>
        <v>0</v>
      </c>
      <c r="DI343" s="387">
        <f>+IF($K343="ongoing",CI343,IF(RIGHT($K343,2)=RIGHT(DI$43,2),SUM($CD343:CI343),0)+IF(RIGHT(DI$43,2)&gt;RIGHT($K343,2),CI343,0))</f>
        <v>0</v>
      </c>
      <c r="DJ343" s="387">
        <f>+IF($K343="ongoing",CJ343,IF(RIGHT($K343,2)=RIGHT(DJ$43,2),SUM($CD343:CJ343),0)+IF(RIGHT(DJ$43,2)&gt;RIGHT($K343,2),CJ343,0))</f>
        <v>0</v>
      </c>
      <c r="DK343" s="387">
        <f>+IF($K343="ongoing",CK343,IF(RIGHT($K343,2)=RIGHT(DK$43,2),SUM($CD343:CK343),0)+IF(RIGHT(DK$43,2)&gt;RIGHT($K343,2),CK343,0))</f>
        <v>0</v>
      </c>
      <c r="DL343" s="388">
        <f>+IF($K343="ongoing",CN343,IF(RIGHT($K343,2)=RIGHT(DL$43,2),SUM($CD343:CN343),0)+IF(RIGHT(DL$43,2)&gt;RIGHT($K343,2),CN343,0))</f>
        <v>0</v>
      </c>
      <c r="DM343" s="841"/>
      <c r="DN343" s="386">
        <f t="shared" si="601"/>
        <v>0.5</v>
      </c>
      <c r="DO343" s="387">
        <f t="shared" si="602"/>
        <v>1</v>
      </c>
      <c r="DP343" s="388">
        <f t="shared" si="603"/>
        <v>1</v>
      </c>
      <c r="DQ343" s="386">
        <f t="shared" si="604"/>
        <v>1</v>
      </c>
      <c r="DR343" s="387">
        <f t="shared" si="605"/>
        <v>1</v>
      </c>
      <c r="DS343" s="387">
        <f t="shared" si="606"/>
        <v>1</v>
      </c>
      <c r="DT343" s="387">
        <f t="shared" si="607"/>
        <v>1</v>
      </c>
      <c r="DU343" s="388">
        <f t="shared" si="608"/>
        <v>1</v>
      </c>
      <c r="DW343" s="386">
        <f t="shared" si="609"/>
        <v>0</v>
      </c>
      <c r="DX343" s="387">
        <f t="shared" si="610"/>
        <v>0.5</v>
      </c>
      <c r="DY343" s="388">
        <f t="shared" si="611"/>
        <v>1</v>
      </c>
      <c r="DZ343" s="386">
        <f t="shared" si="612"/>
        <v>1</v>
      </c>
      <c r="EA343" s="387">
        <f t="shared" si="613"/>
        <v>1</v>
      </c>
      <c r="EB343" s="387">
        <f t="shared" si="614"/>
        <v>1</v>
      </c>
      <c r="EC343" s="387">
        <f t="shared" si="615"/>
        <v>1</v>
      </c>
      <c r="ED343" s="388">
        <f t="shared" si="616"/>
        <v>1</v>
      </c>
      <c r="EF343" s="834">
        <f>+IF(DN343=DM343,0,
IF(AND(EF$44&gt;1,DN343=$N343),1-SUM($EE343:EE343),
IF($N343&lt;=1,
IF($N343&gt;0,1/$N343,0),
IF(EF$44=1,0,VDB(1,0,$N343,INT(EF$44-1-1),MIN($N343,INT(EF$44-1-1)+1),$DC343,IF($DD343="No",1,0))/
IF(DM343&gt;=INT($N343),$N343-INT($N343),1)))*
IF(EF$44=1,0,
IF(INT(DN343)=INT(DM343),DN343-DM343,INT(DN343)-DM343))+
IF($N343&lt;=1,
IF($N343&gt;0,1/$N343,0),VDB(1,0,$N343,INT(EF$44-1),MIN($N343,INT(EF$44-1)+1),$DC343,IF($DD343="No",1,0))/
IF(DN343&gt;INT($N343),$N343-INT($N343),1))*
IF(EF$44=1,DN343,
IF(INT(DN343)=INT(DM343),0,DN343-INT(DN343)))))</f>
        <v>0</v>
      </c>
      <c r="EG343" s="835">
        <f>+IF(DO343=DN343,0,
IF(AND(EG$44&gt;1,DO343=$N343),1-SUM($EE343:EF343),
IF($N343&lt;=1,
IF($N343&gt;0,1/$N343,0),
IF(EG$44=1,0,VDB(1,0,$N343,INT(EG$44-1-1),MIN($N343,INT(EG$44-1-1)+1),$DC343,IF($DD343="No",1,0))/
IF(DN343&gt;=INT($N343),$N343-INT($N343),1)))*
IF(EG$44=1,0,
IF(INT(DO343)=INT(DN343),DO343-DN343,INT(DO343)-DN343))+
IF($N343&lt;=1,
IF($N343&gt;0,1/$N343,0),VDB(1,0,$N343,INT(EG$44-1),MIN($N343,INT(EG$44-1)+1),$DC343,IF($DD343="No",1,0))/
IF(DO343&gt;INT($N343),$N343-INT($N343),1))*
IF(EG$44=1,DO343,
IF(INT(DO343)=INT(DN343),0,DO343-INT(DO343)))))</f>
        <v>0</v>
      </c>
      <c r="EH343" s="836">
        <f>+IF(DP343=DO343,0,
IF(AND(EH$44&gt;1,DP343=$N343),1-SUM($EE343:EG343),
IF($N343&lt;=1,
IF($N343&gt;0,1/$N343,0),
IF(EH$44=1,0,VDB(1,0,$N343,INT(EH$44-1-1),MIN($N343,INT(EH$44-1-1)+1),$DC343,IF($DD343="No",1,0))/
IF(DO343&gt;=INT($N343),$N343-INT($N343),1)))*
IF(EH$44=1,0,
IF(INT(DP343)=INT(DO343),DP343-DO343,INT(DP343)-DO343))+
IF($N343&lt;=1,
IF($N343&gt;0,1/$N343,0),VDB(1,0,$N343,INT(EH$44-1),MIN($N343,INT(EH$44-1)+1),$DC343,IF($DD343="No",1,0))/
IF(DP343&gt;INT($N343),$N343-INT($N343),1))*
IF(EH$44=1,DP343,
IF(INT(DP343)=INT(DO343),0,DP343-INT(DP343)))))</f>
        <v>0</v>
      </c>
      <c r="EI343" s="834">
        <f>+IF(DQ343=DP343,0,
IF(AND(EI$44&gt;1,DQ343=$N343),1-SUM($EE343:EH343),
IF($N343&lt;=1,
IF($N343&gt;0,1/$N343,0),
IF(EI$44=1,0,VDB(1,0,$N343,INT(EI$44-1-1),MIN($N343,INT(EI$44-1-1)+1),$DC343,IF($DD343="No",1,0))/
IF(DP343&gt;=INT($N343),$N343-INT($N343),1)))*
IF(EI$44=1,0,
IF(INT(DQ343)=INT(DP343),DQ343-DP343,INT(DQ343)-DP343))+
IF($N343&lt;=1,
IF($N343&gt;0,1/$N343,0),VDB(1,0,$N343,INT(EI$44-1),MIN($N343,INT(EI$44-1)+1),$DC343,IF($DD343="No",1,0))/
IF(DQ343&gt;INT($N343),$N343-INT($N343),1))*
IF(EI$44=1,DQ343,
IF(INT(DQ343)=INT(DP343),0,DQ343-INT(DQ343)))))</f>
        <v>0</v>
      </c>
      <c r="EJ343" s="835">
        <f>+IF(DR343=DQ343,0,
IF(AND(EJ$44&gt;1,DR343=$N343),1-SUM($EE343:EI343),
IF($N343&lt;=1,
IF($N343&gt;0,1/$N343,0),
IF(EJ$44=1,0,VDB(1,0,$N343,INT(EJ$44-1-1),MIN($N343,INT(EJ$44-1-1)+1),$DC343,IF($DD343="No",1,0))/
IF(DQ343&gt;=INT($N343),$N343-INT($N343),1)))*
IF(EJ$44=1,0,
IF(INT(DR343)=INT(DQ343),DR343-DQ343,INT(DR343)-DQ343))+
IF($N343&lt;=1,
IF($N343&gt;0,1/$N343,0),VDB(1,0,$N343,INT(EJ$44-1),MIN($N343,INT(EJ$44-1)+1),$DC343,IF($DD343="No",1,0))/
IF(DR343&gt;INT($N343),$N343-INT($N343),1))*
IF(EJ$44=1,DR343,
IF(INT(DR343)=INT(DQ343),0,DR343-INT(DR343)))))</f>
        <v>0</v>
      </c>
      <c r="EK343" s="835">
        <f>+IF(DS343=DR343,0,
IF(AND(EK$44&gt;1,DS343=$N343),1-SUM($EE343:EJ343),
IF($N343&lt;=1,
IF($N343&gt;0,1/$N343,0),
IF(EK$44=1,0,VDB(1,0,$N343,INT(EK$44-1-1),MIN($N343,INT(EK$44-1-1)+1),$DC343,IF($DD343="No",1,0))/
IF(DR343&gt;=INT($N343),$N343-INT($N343),1)))*
IF(EK$44=1,0,
IF(INT(DS343)=INT(DR343),DS343-DR343,INT(DS343)-DR343))+
IF($N343&lt;=1,
IF($N343&gt;0,1/$N343,0),VDB(1,0,$N343,INT(EK$44-1),MIN($N343,INT(EK$44-1)+1),$DC343,IF($DD343="No",1,0))/
IF(DS343&gt;INT($N343),$N343-INT($N343),1))*
IF(EK$44=1,DS343,
IF(INT(DS343)=INT(DR343),0,DS343-INT(DS343)))))</f>
        <v>0</v>
      </c>
      <c r="EL343" s="835">
        <f>+IF(DT343=DS343,0,
IF(AND(EL$44&gt;1,DT343=$N343),1-SUM($EE343:EK343),
IF($N343&lt;=1,
IF($N343&gt;0,1/$N343,0),
IF(EL$44=1,0,VDB(1,0,$N343,INT(EL$44-1-1),MIN($N343,INT(EL$44-1-1)+1),$DC343,IF($DD343="No",1,0))/
IF(DS343&gt;=INT($N343),$N343-INT($N343),1)))*
IF(EL$44=1,0,
IF(INT(DT343)=INT(DS343),DT343-DS343,INT(DT343)-DS343))+
IF($N343&lt;=1,
IF($N343&gt;0,1/$N343,0),VDB(1,0,$N343,INT(EL$44-1),MIN($N343,INT(EL$44-1)+1),$DC343,IF($DD343="No",1,0))/
IF(DT343&gt;INT($N343),$N343-INT($N343),1))*
IF(EL$44=1,DT343,
IF(INT(DT343)=INT(DS343),0,DT343-INT(DT343)))))</f>
        <v>0</v>
      </c>
      <c r="EM343" s="836">
        <f>+IF(DU343=DT343,0,
IF(AND(EM$44&gt;1,DU343=$N343),1-SUM($EE343:EL343),
IF($N343&lt;=1,
IF($N343&gt;0,1/$N343,0),
IF(EM$44=1,0,VDB(1,0,$N343,INT(EM$44-1-1),MIN($N343,INT(EM$44-1-1)+1),$DC343,IF($DD343="No",1,0))/
IF(DT343&gt;=INT($N343),$N343-INT($N343),1)))*
IF(EM$44=1,0,
IF(INT(DU343)=INT(DT343),DU343-DT343,INT(DU343)-DT343))+
IF($N343&lt;=1,
IF($N343&gt;0,1/$N343,0),VDB(1,0,$N343,INT(EM$44-1),MIN($N343,INT(EM$44-1)+1),$DC343,IF($DD343="No",1,0))/
IF(DU343&gt;INT($N343),$N343-INT($N343),1))*
IF(EM$44=1,DU343,
IF(INT(DU343)=INT(DT343),0,DU343-INT(DU343)))))</f>
        <v>0</v>
      </c>
      <c r="EN343" s="833"/>
      <c r="EO343" s="834">
        <f>+IF(OR(DW343=DV343,EO$44=1),0,
IF(AND(EO$44&gt;1,DW343=$N343),1-SUM($EN343:EN343),
IF($N343&lt;=1,
IF($N343&gt;0,1/$N343,0),
IF(EO$44=2,0,VDB(1,0,$N343,INT(EO$44-2-1),MIN($N343,INT(EO$44-2-1)+1),$DC343,IF($DD343="No",1,0))/
IF(DV343&gt;=INT($N343),$N343-INT($N343),1)))*
IF(EO$44=2,0,
IF(INT(DW343)=INT(DV343),DW343-DV343,INT(DW343)-DV343))+
IF($N343&lt;=1,
IF($N343&gt;0,1/$N343,0),VDB(1,0,$N343,INT(EO$44-2),MIN($N343,INT(EO$44-2)+1),$DC343,IF($DD343="No",1,0))/
IF(DW343&gt;INT($N343),$N343-INT($N343),1))*
IF(EO$44=2,DW343,
IF(INT(DW343)=INT(DV343),0,DW343-INT(DW343)))))</f>
        <v>0</v>
      </c>
      <c r="EP343" s="835">
        <f>+IF(OR(DX343=DW343,EP$44=1),0,
IF(AND(EP$44&gt;1,DX343=$N343),1-SUM($EN343:EO343),
IF($N343&lt;=1,
IF($N343&gt;0,1/$N343,0),
IF(EP$44=2,0,VDB(1,0,$N343,INT(EP$44-2-1),MIN($N343,INT(EP$44-2-1)+1),$DC343,IF($DD343="No",1,0))/
IF(DW343&gt;=INT($N343),$N343-INT($N343),1)))*
IF(EP$44=2,0,
IF(INT(DX343)=INT(DW343),DX343-DW343,INT(DX343)-DW343))+
IF($N343&lt;=1,
IF($N343&gt;0,1/$N343,0),VDB(1,0,$N343,INT(EP$44-2),MIN($N343,INT(EP$44-2)+1),$DC343,IF($DD343="No",1,0))/
IF(DX343&gt;INT($N343),$N343-INT($N343),1))*
IF(EP$44=2,DX343,
IF(INT(DX343)=INT(DW343),0,DX343-INT(DX343)))))</f>
        <v>0</v>
      </c>
      <c r="EQ343" s="836">
        <f>+IF(OR(DY343=DX343,EQ$44=1),0,
IF(AND(EQ$44&gt;1,DY343=$N343),1-SUM($EN343:EP343),
IF($N343&lt;=1,
IF($N343&gt;0,1/$N343,0),
IF(EQ$44=2,0,VDB(1,0,$N343,INT(EQ$44-2-1),MIN($N343,INT(EQ$44-2-1)+1),$DC343,IF($DD343="No",1,0))/
IF(DX343&gt;=INT($N343),$N343-INT($N343),1)))*
IF(EQ$44=2,0,
IF(INT(DY343)=INT(DX343),DY343-DX343,INT(DY343)-DX343))+
IF($N343&lt;=1,
IF($N343&gt;0,1/$N343,0),VDB(1,0,$N343,INT(EQ$44-2),MIN($N343,INT(EQ$44-2)+1),$DC343,IF($DD343="No",1,0))/
IF(DY343&gt;INT($N343),$N343-INT($N343),1))*
IF(EQ$44=2,DY343,
IF(INT(DY343)=INT(DX343),0,DY343-INT(DY343)))))</f>
        <v>0</v>
      </c>
      <c r="ER343" s="834">
        <f>+IF(OR(DZ343=DY343,ER$44=1),0,
IF(AND(ER$44&gt;1,DZ343=$N343),1-SUM($EN343:EQ343),
IF($N343&lt;=1,
IF($N343&gt;0,1/$N343,0),
IF(ER$44=2,0,VDB(1,0,$N343,INT(ER$44-2-1),MIN($N343,INT(ER$44-2-1)+1),$DC343,IF($DD343="No",1,0))/
IF(DY343&gt;=INT($N343),$N343-INT($N343),1)))*
IF(ER$44=2,0,
IF(INT(DZ343)=INT(DY343),DZ343-DY343,INT(DZ343)-DY343))+
IF($N343&lt;=1,
IF($N343&gt;0,1/$N343,0),VDB(1,0,$N343,INT(ER$44-2),MIN($N343,INT(ER$44-2)+1),$DC343,IF($DD343="No",1,0))/
IF(DZ343&gt;INT($N343),$N343-INT($N343),1))*
IF(ER$44=2,DZ343,
IF(INT(DZ343)=INT(DY343),0,DZ343-INT(DZ343)))))</f>
        <v>0</v>
      </c>
      <c r="ES343" s="835">
        <f>+IF(OR(EA343=DZ343,ES$44=1),0,
IF(AND(ES$44&gt;1,EA343=$N343),1-SUM($EN343:ER343),
IF($N343&lt;=1,
IF($N343&gt;0,1/$N343,0),
IF(ES$44=2,0,VDB(1,0,$N343,INT(ES$44-2-1),MIN($N343,INT(ES$44-2-1)+1),$DC343,IF($DD343="No",1,0))/
IF(DZ343&gt;=INT($N343),$N343-INT($N343),1)))*
IF(ES$44=2,0,
IF(INT(EA343)=INT(DZ343),EA343-DZ343,INT(EA343)-DZ343))+
IF($N343&lt;=1,
IF($N343&gt;0,1/$N343,0),VDB(1,0,$N343,INT(ES$44-2),MIN($N343,INT(ES$44-2)+1),$DC343,IF($DD343="No",1,0))/
IF(EA343&gt;INT($N343),$N343-INT($N343),1))*
IF(ES$44=2,EA343,
IF(INT(EA343)=INT(DZ343),0,EA343-INT(EA343)))))</f>
        <v>0</v>
      </c>
      <c r="ET343" s="835">
        <f>+IF(OR(EB343=EA343,ET$44=1),0,
IF(AND(ET$44&gt;1,EB343=$N343),1-SUM($EN343:ES343),
IF($N343&lt;=1,
IF($N343&gt;0,1/$N343,0),
IF(ET$44=2,0,VDB(1,0,$N343,INT(ET$44-2-1),MIN($N343,INT(ET$44-2-1)+1),$DC343,IF($DD343="No",1,0))/
IF(EA343&gt;=INT($N343),$N343-INT($N343),1)))*
IF(ET$44=2,0,
IF(INT(EB343)=INT(EA343),EB343-EA343,INT(EB343)-EA343))+
IF($N343&lt;=1,
IF($N343&gt;0,1/$N343,0),VDB(1,0,$N343,INT(ET$44-2),MIN($N343,INT(ET$44-2)+1),$DC343,IF($DD343="No",1,0))/
IF(EB343&gt;INT($N343),$N343-INT($N343),1))*
IF(ET$44=2,EB343,
IF(INT(EB343)=INT(EA343),0,EB343-INT(EB343)))))</f>
        <v>0</v>
      </c>
      <c r="EU343" s="835">
        <f>+IF(OR(EC343=EB343,EU$44=1),0,
IF(AND(EU$44&gt;1,EC343=$N343),1-SUM($EN343:ET343),
IF($N343&lt;=1,
IF($N343&gt;0,1/$N343,0),
IF(EU$44=2,0,VDB(1,0,$N343,INT(EU$44-2-1),MIN($N343,INT(EU$44-2-1)+1),$DC343,IF($DD343="No",1,0))/
IF(EB343&gt;=INT($N343),$N343-INT($N343),1)))*
IF(EU$44=2,0,
IF(INT(EC343)=INT(EB343),EC343-EB343,INT(EC343)-EB343))+
IF($N343&lt;=1,
IF($N343&gt;0,1/$N343,0),VDB(1,0,$N343,INT(EU$44-2),MIN($N343,INT(EU$44-2)+1),$DC343,IF($DD343="No",1,0))/
IF(EC343&gt;INT($N343),$N343-INT($N343),1))*
IF(EU$44=2,EC343,
IF(INT(EC343)=INT(EB343),0,EC343-INT(EC343)))))</f>
        <v>0</v>
      </c>
      <c r="EV343" s="836">
        <f>+IF(OR(ED343=EC343,EV$44=1),0,
IF(AND(EV$44&gt;1,ED343=$N343),1-SUM($EN343:EU343),
IF($N343&lt;=1,
IF($N343&gt;0,1/$N343,0),
IF(EV$44=2,0,VDB(1,0,$N343,INT(EV$44-2-1),MIN($N343,INT(EV$44-2-1)+1),$DC343,IF($DD343="No",1,0))/
IF(EC343&gt;=INT($N343),$N343-INT($N343),1)))*
IF(EV$44=2,0,
IF(INT(ED343)=INT(EC343),ED343-EC343,INT(ED343)-EC343))+
IF($N343&lt;=1,
IF($N343&gt;0,1/$N343,0),VDB(1,0,$N343,INT(EV$44-2),MIN($N343,INT(EV$44-2)+1),$DC343,IF($DD343="No",1,0))/
IF(ED343&gt;INT($N343),$N343-INT($N343),1))*
IF(EV$44=2,ED343,
IF(INT(ED343)=INT(EC343),0,ED343-INT(ED343)))))</f>
        <v>0</v>
      </c>
      <c r="EW343" s="833"/>
      <c r="EX343" s="834">
        <f t="shared" ca="1" si="570"/>
        <v>0</v>
      </c>
      <c r="EY343" s="835">
        <f t="shared" ca="1" si="570"/>
        <v>0</v>
      </c>
      <c r="EZ343" s="836">
        <f t="shared" ca="1" si="570"/>
        <v>0</v>
      </c>
      <c r="FA343" s="834">
        <f t="shared" ca="1" si="570"/>
        <v>0</v>
      </c>
      <c r="FB343" s="835">
        <f t="shared" ca="1" si="570"/>
        <v>0</v>
      </c>
      <c r="FC343" s="835">
        <f t="shared" ca="1" si="570"/>
        <v>0</v>
      </c>
      <c r="FD343" s="835">
        <f t="shared" ca="1" si="570"/>
        <v>0</v>
      </c>
      <c r="FE343" s="836">
        <f t="shared" ca="1" si="570"/>
        <v>0</v>
      </c>
      <c r="FG343" s="386">
        <f t="shared" ca="1" si="617"/>
        <v>0</v>
      </c>
      <c r="FH343" s="387">
        <f t="shared" ca="1" si="618"/>
        <v>0</v>
      </c>
      <c r="FI343" s="388">
        <f t="shared" ca="1" si="619"/>
        <v>0</v>
      </c>
      <c r="FJ343" s="386">
        <f t="shared" ca="1" si="620"/>
        <v>0</v>
      </c>
      <c r="FK343" s="387">
        <f t="shared" ca="1" si="621"/>
        <v>0</v>
      </c>
      <c r="FL343" s="387">
        <f t="shared" ca="1" si="622"/>
        <v>0</v>
      </c>
      <c r="FM343" s="387">
        <f t="shared" ca="1" si="623"/>
        <v>0</v>
      </c>
      <c r="FN343" s="388">
        <f t="shared" ca="1" si="624"/>
        <v>0</v>
      </c>
      <c r="FR343" s="116"/>
    </row>
    <row r="344" spans="2:174">
      <c r="B344" s="1410">
        <f t="shared" si="556"/>
        <v>298</v>
      </c>
      <c r="C344" s="400"/>
      <c r="D344" s="410"/>
      <c r="E344" s="402"/>
      <c r="F344" s="402"/>
      <c r="G344" s="400"/>
      <c r="H344" s="2088"/>
      <c r="I344" s="2089"/>
      <c r="J344" s="411"/>
      <c r="K344" s="403"/>
      <c r="L344" s="403"/>
      <c r="M344" s="403"/>
      <c r="N344" s="403"/>
      <c r="O344" s="347"/>
      <c r="P344" s="347"/>
      <c r="Q344" s="1021"/>
      <c r="R344" s="1022"/>
      <c r="S344" s="1022"/>
      <c r="T344" s="1022"/>
      <c r="U344" s="1023"/>
      <c r="V344" s="1021"/>
      <c r="W344" s="1022"/>
      <c r="X344" s="1022"/>
      <c r="Y344" s="1022"/>
      <c r="Z344" s="1023"/>
      <c r="AA344" s="1024"/>
      <c r="AB344" s="1021"/>
      <c r="AC344" s="1022"/>
      <c r="AD344" s="1022"/>
      <c r="AE344" s="1022"/>
      <c r="AF344" s="1023"/>
      <c r="AG344" s="1021"/>
      <c r="AH344" s="1022"/>
      <c r="AI344" s="1022"/>
      <c r="AJ344" s="1022"/>
      <c r="AK344" s="1023"/>
      <c r="AL344" s="1024"/>
      <c r="AM344" s="1021"/>
      <c r="AN344" s="1022"/>
      <c r="AO344" s="1022"/>
      <c r="AP344" s="1022"/>
      <c r="AQ344" s="1023"/>
      <c r="AR344" s="1021"/>
      <c r="AS344" s="1022"/>
      <c r="AT344" s="1022"/>
      <c r="AU344" s="1022"/>
      <c r="AV344" s="1023"/>
      <c r="AW344" s="1025"/>
      <c r="AX344" s="1282">
        <f t="shared" si="571"/>
        <v>0</v>
      </c>
      <c r="AY344" s="387">
        <f t="shared" si="572"/>
        <v>0</v>
      </c>
      <c r="AZ344" s="387">
        <f t="shared" si="573"/>
        <v>0</v>
      </c>
      <c r="BA344" s="387">
        <f t="shared" si="574"/>
        <v>0</v>
      </c>
      <c r="BB344" s="1283">
        <f t="shared" si="575"/>
        <v>0</v>
      </c>
      <c r="BC344" s="386">
        <f t="shared" si="576"/>
        <v>0</v>
      </c>
      <c r="BD344" s="387">
        <f t="shared" si="577"/>
        <v>0</v>
      </c>
      <c r="BE344" s="1277">
        <f t="shared" si="578"/>
        <v>0</v>
      </c>
      <c r="BF344" s="1277">
        <f t="shared" si="579"/>
        <v>0</v>
      </c>
      <c r="BG344" s="388">
        <f t="shared" si="580"/>
        <v>0</v>
      </c>
      <c r="BH344" s="1025"/>
      <c r="BI344" s="1282">
        <f t="shared" ca="1" si="581"/>
        <v>0</v>
      </c>
      <c r="BJ344" s="387">
        <f t="shared" ca="1" si="582"/>
        <v>0</v>
      </c>
      <c r="BK344" s="387">
        <f t="shared" ca="1" si="583"/>
        <v>0</v>
      </c>
      <c r="BL344" s="387">
        <f t="shared" ca="1" si="584"/>
        <v>0</v>
      </c>
      <c r="BM344" s="1283">
        <f t="shared" ca="1" si="585"/>
        <v>0</v>
      </c>
      <c r="BN344" s="386">
        <f t="shared" ca="1" si="586"/>
        <v>0</v>
      </c>
      <c r="BO344" s="387">
        <f t="shared" ca="1" si="587"/>
        <v>0</v>
      </c>
      <c r="BP344" s="1277">
        <f t="shared" ca="1" si="588"/>
        <v>0</v>
      </c>
      <c r="BQ344" s="1277">
        <f t="shared" ca="1" si="589"/>
        <v>0</v>
      </c>
      <c r="BR344" s="388">
        <f t="shared" ca="1" si="590"/>
        <v>0</v>
      </c>
      <c r="BS344" s="1025"/>
      <c r="BT344" s="1282">
        <f>+IF($K344="Ongoing",AX344,IF(RIGHT($K344,2)=RIGHT(BT$43,2),SUM($AX344:AX344),0)+IF(RIGHT(BT$43,2)&gt;RIGHT($K344,2),AX344,0))</f>
        <v>0</v>
      </c>
      <c r="BU344" s="387">
        <f>+IF($K344="Ongoing",AY344,IF(RIGHT($K344,2)=RIGHT(BU$43,2),SUM($AX344:AY344),0)+IF(RIGHT(BU$43,2)&gt;RIGHT($K344,2),AY344,0))</f>
        <v>0</v>
      </c>
      <c r="BV344" s="387">
        <f>+IF($K344="Ongoing",AZ344,IF(RIGHT($K344,2)=RIGHT(BV$43,2),SUM($AX344:AZ344),0)+IF(RIGHT(BV$43,2)&gt;RIGHT($K344,2),AZ344,0))</f>
        <v>0</v>
      </c>
      <c r="BW344" s="387">
        <f>+IF($K344="Ongoing",BA344,IF(RIGHT($K344,2)=RIGHT(BW$43,2),SUM($AX344:BA344),0)+IF(RIGHT(BW$43,2)&gt;RIGHT($K344,2),BA344,0))</f>
        <v>0</v>
      </c>
      <c r="BX344" s="1283">
        <f>+IF($K344="Ongoing",BB344,IF(RIGHT($K344,2)=RIGHT(BX$43,2),SUM($AX344:BB344),0)+IF(RIGHT(BX$43,2)&gt;RIGHT($K344,2),BB344,0))</f>
        <v>0</v>
      </c>
      <c r="BY344" s="386">
        <f>+IF($K344="Ongoing",BC344,IF(RIGHT($K344,2)=RIGHT(BY$43,2),SUM($AX344:BC344),0)+IF(RIGHT(BY$43,2)&gt;RIGHT($K344,2),BC344,0))</f>
        <v>0</v>
      </c>
      <c r="BZ344" s="387">
        <f>+IF($K344="Ongoing",BD344,IF(RIGHT($K344,2)=RIGHT(BZ$43,2),SUM($AX344:BD344),0)+IF(RIGHT(BZ$43,2)&gt;RIGHT($K344,2),BD344,0))</f>
        <v>0</v>
      </c>
      <c r="CA344" s="1277">
        <f>+IF($K344="Ongoing",BE344,IF(RIGHT($K344,2)=RIGHT(CA$43,2),SUM($AX344:BE344),0)+IF(RIGHT(CA$43,2)&gt;RIGHT($K344,2),BE344,0))</f>
        <v>0</v>
      </c>
      <c r="CB344" s="1277">
        <f>+IF($K344="Ongoing",BF344,IF(RIGHT($K344,2)=RIGHT(CB$43,2),SUM($AX344:BF344),0)+IF(RIGHT(CB$43,2)&gt;RIGHT($K344,2),BF344,0))</f>
        <v>0</v>
      </c>
      <c r="CC344" s="388">
        <f>+IF($K344="Ongoing",BG344,IF(RIGHT($K344,2)=RIGHT(CC$43,2),SUM($AX344:BG344),0)+IF(RIGHT(CC$43,2)&gt;RIGHT($K344,2),BG344,0))</f>
        <v>0</v>
      </c>
      <c r="CD344" s="1025"/>
      <c r="CE344" s="1282">
        <f>+Q344*KeyAssumptionsPriceControl_FO!AF$15</f>
        <v>0</v>
      </c>
      <c r="CF344" s="387">
        <f>+R344*KeyAssumptionsPriceControl_FO!AG$15</f>
        <v>0</v>
      </c>
      <c r="CG344" s="387">
        <f>+S344*KeyAssumptionsPriceControl_FO!AH$15</f>
        <v>0</v>
      </c>
      <c r="CH344" s="387">
        <f>+T344*KeyAssumptionsPriceControl_FO!AI$15</f>
        <v>0</v>
      </c>
      <c r="CI344" s="1283">
        <f>+U344*KeyAssumptionsPriceControl_FO!AJ$15</f>
        <v>0</v>
      </c>
      <c r="CJ344" s="386">
        <f>+V344*KeyAssumptionsPriceControl_FO!AK$15</f>
        <v>0</v>
      </c>
      <c r="CK344" s="387">
        <f>+W344*KeyAssumptionsPriceControl_FO!AL$15</f>
        <v>0</v>
      </c>
      <c r="CL344" s="1277">
        <f>+X344*KeyAssumptionsPriceControl_FO!AM$15</f>
        <v>0</v>
      </c>
      <c r="CM344" s="1277">
        <f>+Y344*KeyAssumptionsPriceControl_FO!AN$15</f>
        <v>0</v>
      </c>
      <c r="CN344" s="388">
        <f>+Z344*KeyAssumptionsPriceControl_FO!AO$15</f>
        <v>0</v>
      </c>
      <c r="CO344" s="1025"/>
      <c r="CP344" s="1282">
        <f t="shared" ca="1" si="591"/>
        <v>0</v>
      </c>
      <c r="CQ344" s="387">
        <f t="shared" ca="1" si="592"/>
        <v>0</v>
      </c>
      <c r="CR344" s="387">
        <f t="shared" ca="1" si="593"/>
        <v>0</v>
      </c>
      <c r="CS344" s="387">
        <f t="shared" ca="1" si="594"/>
        <v>0</v>
      </c>
      <c r="CT344" s="1283">
        <f t="shared" ca="1" si="595"/>
        <v>0</v>
      </c>
      <c r="CU344" s="386">
        <f t="shared" ca="1" si="596"/>
        <v>0</v>
      </c>
      <c r="CV344" s="387">
        <f t="shared" ca="1" si="597"/>
        <v>0</v>
      </c>
      <c r="CW344" s="1277">
        <f t="shared" ca="1" si="598"/>
        <v>0</v>
      </c>
      <c r="CX344" s="1277">
        <f t="shared" ca="1" si="599"/>
        <v>0</v>
      </c>
      <c r="CY344" s="388">
        <f t="shared" ca="1" si="600"/>
        <v>0</v>
      </c>
      <c r="CZ344" s="347"/>
      <c r="DA344" s="852"/>
      <c r="DB344" s="347"/>
      <c r="DC344" s="1012" t="s">
        <v>540</v>
      </c>
      <c r="DD344" s="841" t="s">
        <v>518</v>
      </c>
      <c r="DE344" s="386">
        <f>+IF($K344="ongoing",CE344,IF(RIGHT($K344,2)=RIGHT(DE$43,2),SUM($CD344:CE344),0)+IF(RIGHT(DE$43,2)&gt;RIGHT($K344,2),CE344,0))</f>
        <v>0</v>
      </c>
      <c r="DF344" s="387">
        <f>+IF($K344="ongoing",CF344,IF(RIGHT($K344,2)=RIGHT(DF$43,2),SUM($CD344:CF344),0)+IF(RIGHT(DF$43,2)&gt;RIGHT($K344,2),CF344,0))</f>
        <v>0</v>
      </c>
      <c r="DG344" s="388">
        <f>+IF($K344="ongoing",CG344,IF(RIGHT($K344,2)=RIGHT(DG$43,2),SUM($CD344:CG344),0)+IF(RIGHT(DG$43,2)&gt;RIGHT($K344,2),CG344,0))</f>
        <v>0</v>
      </c>
      <c r="DH344" s="386">
        <f>+IF($K344="ongoing",CH344,IF(RIGHT($K344,2)=RIGHT(DH$43,2),SUM($CD344:CH344),0)+IF(RIGHT(DH$43,2)&gt;RIGHT($K344,2),CH344,0))</f>
        <v>0</v>
      </c>
      <c r="DI344" s="387">
        <f>+IF($K344="ongoing",CI344,IF(RIGHT($K344,2)=RIGHT(DI$43,2),SUM($CD344:CI344),0)+IF(RIGHT(DI$43,2)&gt;RIGHT($K344,2),CI344,0))</f>
        <v>0</v>
      </c>
      <c r="DJ344" s="387">
        <f>+IF($K344="ongoing",CJ344,IF(RIGHT($K344,2)=RIGHT(DJ$43,2),SUM($CD344:CJ344),0)+IF(RIGHT(DJ$43,2)&gt;RIGHT($K344,2),CJ344,0))</f>
        <v>0</v>
      </c>
      <c r="DK344" s="387">
        <f>+IF($K344="ongoing",CK344,IF(RIGHT($K344,2)=RIGHT(DK$43,2),SUM($CD344:CK344),0)+IF(RIGHT(DK$43,2)&gt;RIGHT($K344,2),CK344,0))</f>
        <v>0</v>
      </c>
      <c r="DL344" s="388">
        <f>+IF($K344="ongoing",CN344,IF(RIGHT($K344,2)=RIGHT(DL$43,2),SUM($CD344:CN344),0)+IF(RIGHT(DL$43,2)&gt;RIGHT($K344,2),CN344,0))</f>
        <v>0</v>
      </c>
      <c r="DM344" s="841"/>
      <c r="DN344" s="386">
        <f t="shared" si="601"/>
        <v>0.5</v>
      </c>
      <c r="DO344" s="387">
        <f t="shared" si="602"/>
        <v>1</v>
      </c>
      <c r="DP344" s="388">
        <f t="shared" si="603"/>
        <v>1</v>
      </c>
      <c r="DQ344" s="386">
        <f t="shared" si="604"/>
        <v>1</v>
      </c>
      <c r="DR344" s="387">
        <f t="shared" si="605"/>
        <v>1</v>
      </c>
      <c r="DS344" s="387">
        <f t="shared" si="606"/>
        <v>1</v>
      </c>
      <c r="DT344" s="387">
        <f t="shared" si="607"/>
        <v>1</v>
      </c>
      <c r="DU344" s="388">
        <f t="shared" si="608"/>
        <v>1</v>
      </c>
      <c r="DW344" s="386">
        <f t="shared" si="609"/>
        <v>0</v>
      </c>
      <c r="DX344" s="387">
        <f t="shared" si="610"/>
        <v>0.5</v>
      </c>
      <c r="DY344" s="388">
        <f t="shared" si="611"/>
        <v>1</v>
      </c>
      <c r="DZ344" s="386">
        <f t="shared" si="612"/>
        <v>1</v>
      </c>
      <c r="EA344" s="387">
        <f t="shared" si="613"/>
        <v>1</v>
      </c>
      <c r="EB344" s="387">
        <f t="shared" si="614"/>
        <v>1</v>
      </c>
      <c r="EC344" s="387">
        <f t="shared" si="615"/>
        <v>1</v>
      </c>
      <c r="ED344" s="388">
        <f t="shared" si="616"/>
        <v>1</v>
      </c>
      <c r="EF344" s="834">
        <f>+IF(DN344=DM344,0,
IF(AND(EF$44&gt;1,DN344=$N344),1-SUM($EE344:EE344),
IF($N344&lt;=1,
IF($N344&gt;0,1/$N344,0),
IF(EF$44=1,0,VDB(1,0,$N344,INT(EF$44-1-1),MIN($N344,INT(EF$44-1-1)+1),$DC344,IF($DD344="No",1,0))/
IF(DM344&gt;=INT($N344),$N344-INT($N344),1)))*
IF(EF$44=1,0,
IF(INT(DN344)=INT(DM344),DN344-DM344,INT(DN344)-DM344))+
IF($N344&lt;=1,
IF($N344&gt;0,1/$N344,0),VDB(1,0,$N344,INT(EF$44-1),MIN($N344,INT(EF$44-1)+1),$DC344,IF($DD344="No",1,0))/
IF(DN344&gt;INT($N344),$N344-INT($N344),1))*
IF(EF$44=1,DN344,
IF(INT(DN344)=INT(DM344),0,DN344-INT(DN344)))))</f>
        <v>0</v>
      </c>
      <c r="EG344" s="835">
        <f>+IF(DO344=DN344,0,
IF(AND(EG$44&gt;1,DO344=$N344),1-SUM($EE344:EF344),
IF($N344&lt;=1,
IF($N344&gt;0,1/$N344,0),
IF(EG$44=1,0,VDB(1,0,$N344,INT(EG$44-1-1),MIN($N344,INT(EG$44-1-1)+1),$DC344,IF($DD344="No",1,0))/
IF(DN344&gt;=INT($N344),$N344-INT($N344),1)))*
IF(EG$44=1,0,
IF(INT(DO344)=INT(DN344),DO344-DN344,INT(DO344)-DN344))+
IF($N344&lt;=1,
IF($N344&gt;0,1/$N344,0),VDB(1,0,$N344,INT(EG$44-1),MIN($N344,INT(EG$44-1)+1),$DC344,IF($DD344="No",1,0))/
IF(DO344&gt;INT($N344),$N344-INT($N344),1))*
IF(EG$44=1,DO344,
IF(INT(DO344)=INT(DN344),0,DO344-INT(DO344)))))</f>
        <v>0</v>
      </c>
      <c r="EH344" s="836">
        <f>+IF(DP344=DO344,0,
IF(AND(EH$44&gt;1,DP344=$N344),1-SUM($EE344:EG344),
IF($N344&lt;=1,
IF($N344&gt;0,1/$N344,0),
IF(EH$44=1,0,VDB(1,0,$N344,INT(EH$44-1-1),MIN($N344,INT(EH$44-1-1)+1),$DC344,IF($DD344="No",1,0))/
IF(DO344&gt;=INT($N344),$N344-INT($N344),1)))*
IF(EH$44=1,0,
IF(INT(DP344)=INT(DO344),DP344-DO344,INT(DP344)-DO344))+
IF($N344&lt;=1,
IF($N344&gt;0,1/$N344,0),VDB(1,0,$N344,INT(EH$44-1),MIN($N344,INT(EH$44-1)+1),$DC344,IF($DD344="No",1,0))/
IF(DP344&gt;INT($N344),$N344-INT($N344),1))*
IF(EH$44=1,DP344,
IF(INT(DP344)=INT(DO344),0,DP344-INT(DP344)))))</f>
        <v>0</v>
      </c>
      <c r="EI344" s="834">
        <f>+IF(DQ344=DP344,0,
IF(AND(EI$44&gt;1,DQ344=$N344),1-SUM($EE344:EH344),
IF($N344&lt;=1,
IF($N344&gt;0,1/$N344,0),
IF(EI$44=1,0,VDB(1,0,$N344,INT(EI$44-1-1),MIN($N344,INT(EI$44-1-1)+1),$DC344,IF($DD344="No",1,0))/
IF(DP344&gt;=INT($N344),$N344-INT($N344),1)))*
IF(EI$44=1,0,
IF(INT(DQ344)=INT(DP344),DQ344-DP344,INT(DQ344)-DP344))+
IF($N344&lt;=1,
IF($N344&gt;0,1/$N344,0),VDB(1,0,$N344,INT(EI$44-1),MIN($N344,INT(EI$44-1)+1),$DC344,IF($DD344="No",1,0))/
IF(DQ344&gt;INT($N344),$N344-INT($N344),1))*
IF(EI$44=1,DQ344,
IF(INT(DQ344)=INT(DP344),0,DQ344-INT(DQ344)))))</f>
        <v>0</v>
      </c>
      <c r="EJ344" s="835">
        <f>+IF(DR344=DQ344,0,
IF(AND(EJ$44&gt;1,DR344=$N344),1-SUM($EE344:EI344),
IF($N344&lt;=1,
IF($N344&gt;0,1/$N344,0),
IF(EJ$44=1,0,VDB(1,0,$N344,INT(EJ$44-1-1),MIN($N344,INT(EJ$44-1-1)+1),$DC344,IF($DD344="No",1,0))/
IF(DQ344&gt;=INT($N344),$N344-INT($N344),1)))*
IF(EJ$44=1,0,
IF(INT(DR344)=INT(DQ344),DR344-DQ344,INT(DR344)-DQ344))+
IF($N344&lt;=1,
IF($N344&gt;0,1/$N344,0),VDB(1,0,$N344,INT(EJ$44-1),MIN($N344,INT(EJ$44-1)+1),$DC344,IF($DD344="No",1,0))/
IF(DR344&gt;INT($N344),$N344-INT($N344),1))*
IF(EJ$44=1,DR344,
IF(INT(DR344)=INT(DQ344),0,DR344-INT(DR344)))))</f>
        <v>0</v>
      </c>
      <c r="EK344" s="835">
        <f>+IF(DS344=DR344,0,
IF(AND(EK$44&gt;1,DS344=$N344),1-SUM($EE344:EJ344),
IF($N344&lt;=1,
IF($N344&gt;0,1/$N344,0),
IF(EK$44=1,0,VDB(1,0,$N344,INT(EK$44-1-1),MIN($N344,INT(EK$44-1-1)+1),$DC344,IF($DD344="No",1,0))/
IF(DR344&gt;=INT($N344),$N344-INT($N344),1)))*
IF(EK$44=1,0,
IF(INT(DS344)=INT(DR344),DS344-DR344,INT(DS344)-DR344))+
IF($N344&lt;=1,
IF($N344&gt;0,1/$N344,0),VDB(1,0,$N344,INT(EK$44-1),MIN($N344,INT(EK$44-1)+1),$DC344,IF($DD344="No",1,0))/
IF(DS344&gt;INT($N344),$N344-INT($N344),1))*
IF(EK$44=1,DS344,
IF(INT(DS344)=INT(DR344),0,DS344-INT(DS344)))))</f>
        <v>0</v>
      </c>
      <c r="EL344" s="835">
        <f>+IF(DT344=DS344,0,
IF(AND(EL$44&gt;1,DT344=$N344),1-SUM($EE344:EK344),
IF($N344&lt;=1,
IF($N344&gt;0,1/$N344,0),
IF(EL$44=1,0,VDB(1,0,$N344,INT(EL$44-1-1),MIN($N344,INT(EL$44-1-1)+1),$DC344,IF($DD344="No",1,0))/
IF(DS344&gt;=INT($N344),$N344-INT($N344),1)))*
IF(EL$44=1,0,
IF(INT(DT344)=INT(DS344),DT344-DS344,INT(DT344)-DS344))+
IF($N344&lt;=1,
IF($N344&gt;0,1/$N344,0),VDB(1,0,$N344,INT(EL$44-1),MIN($N344,INT(EL$44-1)+1),$DC344,IF($DD344="No",1,0))/
IF(DT344&gt;INT($N344),$N344-INT($N344),1))*
IF(EL$44=1,DT344,
IF(INT(DT344)=INT(DS344),0,DT344-INT(DT344)))))</f>
        <v>0</v>
      </c>
      <c r="EM344" s="836">
        <f>+IF(DU344=DT344,0,
IF(AND(EM$44&gt;1,DU344=$N344),1-SUM($EE344:EL344),
IF($N344&lt;=1,
IF($N344&gt;0,1/$N344,0),
IF(EM$44=1,0,VDB(1,0,$N344,INT(EM$44-1-1),MIN($N344,INT(EM$44-1-1)+1),$DC344,IF($DD344="No",1,0))/
IF(DT344&gt;=INT($N344),$N344-INT($N344),1)))*
IF(EM$44=1,0,
IF(INT(DU344)=INT(DT344),DU344-DT344,INT(DU344)-DT344))+
IF($N344&lt;=1,
IF($N344&gt;0,1/$N344,0),VDB(1,0,$N344,INT(EM$44-1),MIN($N344,INT(EM$44-1)+1),$DC344,IF($DD344="No",1,0))/
IF(DU344&gt;INT($N344),$N344-INT($N344),1))*
IF(EM$44=1,DU344,
IF(INT(DU344)=INT(DT344),0,DU344-INT(DU344)))))</f>
        <v>0</v>
      </c>
      <c r="EN344" s="833"/>
      <c r="EO344" s="834">
        <f>+IF(OR(DW344=DV344,EO$44=1),0,
IF(AND(EO$44&gt;1,DW344=$N344),1-SUM($EN344:EN344),
IF($N344&lt;=1,
IF($N344&gt;0,1/$N344,0),
IF(EO$44=2,0,VDB(1,0,$N344,INT(EO$44-2-1),MIN($N344,INT(EO$44-2-1)+1),$DC344,IF($DD344="No",1,0))/
IF(DV344&gt;=INT($N344),$N344-INT($N344),1)))*
IF(EO$44=2,0,
IF(INT(DW344)=INT(DV344),DW344-DV344,INT(DW344)-DV344))+
IF($N344&lt;=1,
IF($N344&gt;0,1/$N344,0),VDB(1,0,$N344,INT(EO$44-2),MIN($N344,INT(EO$44-2)+1),$DC344,IF($DD344="No",1,0))/
IF(DW344&gt;INT($N344),$N344-INT($N344),1))*
IF(EO$44=2,DW344,
IF(INT(DW344)=INT(DV344),0,DW344-INT(DW344)))))</f>
        <v>0</v>
      </c>
      <c r="EP344" s="835">
        <f>+IF(OR(DX344=DW344,EP$44=1),0,
IF(AND(EP$44&gt;1,DX344=$N344),1-SUM($EN344:EO344),
IF($N344&lt;=1,
IF($N344&gt;0,1/$N344,0),
IF(EP$44=2,0,VDB(1,0,$N344,INT(EP$44-2-1),MIN($N344,INT(EP$44-2-1)+1),$DC344,IF($DD344="No",1,0))/
IF(DW344&gt;=INT($N344),$N344-INT($N344),1)))*
IF(EP$44=2,0,
IF(INT(DX344)=INT(DW344),DX344-DW344,INT(DX344)-DW344))+
IF($N344&lt;=1,
IF($N344&gt;0,1/$N344,0),VDB(1,0,$N344,INT(EP$44-2),MIN($N344,INT(EP$44-2)+1),$DC344,IF($DD344="No",1,0))/
IF(DX344&gt;INT($N344),$N344-INT($N344),1))*
IF(EP$44=2,DX344,
IF(INT(DX344)=INT(DW344),0,DX344-INT(DX344)))))</f>
        <v>0</v>
      </c>
      <c r="EQ344" s="836">
        <f>+IF(OR(DY344=DX344,EQ$44=1),0,
IF(AND(EQ$44&gt;1,DY344=$N344),1-SUM($EN344:EP344),
IF($N344&lt;=1,
IF($N344&gt;0,1/$N344,0),
IF(EQ$44=2,0,VDB(1,0,$N344,INT(EQ$44-2-1),MIN($N344,INT(EQ$44-2-1)+1),$DC344,IF($DD344="No",1,0))/
IF(DX344&gt;=INT($N344),$N344-INT($N344),1)))*
IF(EQ$44=2,0,
IF(INT(DY344)=INT(DX344),DY344-DX344,INT(DY344)-DX344))+
IF($N344&lt;=1,
IF($N344&gt;0,1/$N344,0),VDB(1,0,$N344,INT(EQ$44-2),MIN($N344,INT(EQ$44-2)+1),$DC344,IF($DD344="No",1,0))/
IF(DY344&gt;INT($N344),$N344-INT($N344),1))*
IF(EQ$44=2,DY344,
IF(INT(DY344)=INT(DX344),0,DY344-INT(DY344)))))</f>
        <v>0</v>
      </c>
      <c r="ER344" s="834">
        <f>+IF(OR(DZ344=DY344,ER$44=1),0,
IF(AND(ER$44&gt;1,DZ344=$N344),1-SUM($EN344:EQ344),
IF($N344&lt;=1,
IF($N344&gt;0,1/$N344,0),
IF(ER$44=2,0,VDB(1,0,$N344,INT(ER$44-2-1),MIN($N344,INT(ER$44-2-1)+1),$DC344,IF($DD344="No",1,0))/
IF(DY344&gt;=INT($N344),$N344-INT($N344),1)))*
IF(ER$44=2,0,
IF(INT(DZ344)=INT(DY344),DZ344-DY344,INT(DZ344)-DY344))+
IF($N344&lt;=1,
IF($N344&gt;0,1/$N344,0),VDB(1,0,$N344,INT(ER$44-2),MIN($N344,INT(ER$44-2)+1),$DC344,IF($DD344="No",1,0))/
IF(DZ344&gt;INT($N344),$N344-INT($N344),1))*
IF(ER$44=2,DZ344,
IF(INT(DZ344)=INT(DY344),0,DZ344-INT(DZ344)))))</f>
        <v>0</v>
      </c>
      <c r="ES344" s="835">
        <f>+IF(OR(EA344=DZ344,ES$44=1),0,
IF(AND(ES$44&gt;1,EA344=$N344),1-SUM($EN344:ER344),
IF($N344&lt;=1,
IF($N344&gt;0,1/$N344,0),
IF(ES$44=2,0,VDB(1,0,$N344,INT(ES$44-2-1),MIN($N344,INT(ES$44-2-1)+1),$DC344,IF($DD344="No",1,0))/
IF(DZ344&gt;=INT($N344),$N344-INT($N344),1)))*
IF(ES$44=2,0,
IF(INT(EA344)=INT(DZ344),EA344-DZ344,INT(EA344)-DZ344))+
IF($N344&lt;=1,
IF($N344&gt;0,1/$N344,0),VDB(1,0,$N344,INT(ES$44-2),MIN($N344,INT(ES$44-2)+1),$DC344,IF($DD344="No",1,0))/
IF(EA344&gt;INT($N344),$N344-INT($N344),1))*
IF(ES$44=2,EA344,
IF(INT(EA344)=INT(DZ344),0,EA344-INT(EA344)))))</f>
        <v>0</v>
      </c>
      <c r="ET344" s="835">
        <f>+IF(OR(EB344=EA344,ET$44=1),0,
IF(AND(ET$44&gt;1,EB344=$N344),1-SUM($EN344:ES344),
IF($N344&lt;=1,
IF($N344&gt;0,1/$N344,0),
IF(ET$44=2,0,VDB(1,0,$N344,INT(ET$44-2-1),MIN($N344,INT(ET$44-2-1)+1),$DC344,IF($DD344="No",1,0))/
IF(EA344&gt;=INT($N344),$N344-INT($N344),1)))*
IF(ET$44=2,0,
IF(INT(EB344)=INT(EA344),EB344-EA344,INT(EB344)-EA344))+
IF($N344&lt;=1,
IF($N344&gt;0,1/$N344,0),VDB(1,0,$N344,INT(ET$44-2),MIN($N344,INT(ET$44-2)+1),$DC344,IF($DD344="No",1,0))/
IF(EB344&gt;INT($N344),$N344-INT($N344),1))*
IF(ET$44=2,EB344,
IF(INT(EB344)=INT(EA344),0,EB344-INT(EB344)))))</f>
        <v>0</v>
      </c>
      <c r="EU344" s="835">
        <f>+IF(OR(EC344=EB344,EU$44=1),0,
IF(AND(EU$44&gt;1,EC344=$N344),1-SUM($EN344:ET344),
IF($N344&lt;=1,
IF($N344&gt;0,1/$N344,0),
IF(EU$44=2,0,VDB(1,0,$N344,INT(EU$44-2-1),MIN($N344,INT(EU$44-2-1)+1),$DC344,IF($DD344="No",1,0))/
IF(EB344&gt;=INT($N344),$N344-INT($N344),1)))*
IF(EU$44=2,0,
IF(INT(EC344)=INT(EB344),EC344-EB344,INT(EC344)-EB344))+
IF($N344&lt;=1,
IF($N344&gt;0,1/$N344,0),VDB(1,0,$N344,INT(EU$44-2),MIN($N344,INT(EU$44-2)+1),$DC344,IF($DD344="No",1,0))/
IF(EC344&gt;INT($N344),$N344-INT($N344),1))*
IF(EU$44=2,EC344,
IF(INT(EC344)=INT(EB344),0,EC344-INT(EC344)))))</f>
        <v>0</v>
      </c>
      <c r="EV344" s="836">
        <f>+IF(OR(ED344=EC344,EV$44=1),0,
IF(AND(EV$44&gt;1,ED344=$N344),1-SUM($EN344:EU344),
IF($N344&lt;=1,
IF($N344&gt;0,1/$N344,0),
IF(EV$44=2,0,VDB(1,0,$N344,INT(EV$44-2-1),MIN($N344,INT(EV$44-2-1)+1),$DC344,IF($DD344="No",1,0))/
IF(EC344&gt;=INT($N344),$N344-INT($N344),1)))*
IF(EV$44=2,0,
IF(INT(ED344)=INT(EC344),ED344-EC344,INT(ED344)-EC344))+
IF($N344&lt;=1,
IF($N344&gt;0,1/$N344,0),VDB(1,0,$N344,INT(EV$44-2),MIN($N344,INT(EV$44-2)+1),$DC344,IF($DD344="No",1,0))/
IF(ED344&gt;INT($N344),$N344-INT($N344),1))*
IF(EV$44=2,ED344,
IF(INT(ED344)=INT(EC344),0,ED344-INT(ED344)))))</f>
        <v>0</v>
      </c>
      <c r="EW344" s="833"/>
      <c r="EX344" s="834">
        <f t="shared" ca="1" si="570"/>
        <v>0</v>
      </c>
      <c r="EY344" s="835">
        <f t="shared" ca="1" si="570"/>
        <v>0</v>
      </c>
      <c r="EZ344" s="836">
        <f t="shared" ca="1" si="570"/>
        <v>0</v>
      </c>
      <c r="FA344" s="834">
        <f t="shared" ca="1" si="570"/>
        <v>0</v>
      </c>
      <c r="FB344" s="835">
        <f t="shared" ca="1" si="570"/>
        <v>0</v>
      </c>
      <c r="FC344" s="835">
        <f t="shared" ca="1" si="570"/>
        <v>0</v>
      </c>
      <c r="FD344" s="835">
        <f t="shared" ca="1" si="570"/>
        <v>0</v>
      </c>
      <c r="FE344" s="836">
        <f t="shared" ca="1" si="570"/>
        <v>0</v>
      </c>
      <c r="FG344" s="386">
        <f t="shared" ca="1" si="617"/>
        <v>0</v>
      </c>
      <c r="FH344" s="387">
        <f t="shared" ca="1" si="618"/>
        <v>0</v>
      </c>
      <c r="FI344" s="388">
        <f t="shared" ca="1" si="619"/>
        <v>0</v>
      </c>
      <c r="FJ344" s="386">
        <f t="shared" ca="1" si="620"/>
        <v>0</v>
      </c>
      <c r="FK344" s="387">
        <f t="shared" ca="1" si="621"/>
        <v>0</v>
      </c>
      <c r="FL344" s="387">
        <f t="shared" ca="1" si="622"/>
        <v>0</v>
      </c>
      <c r="FM344" s="387">
        <f t="shared" ca="1" si="623"/>
        <v>0</v>
      </c>
      <c r="FN344" s="388">
        <f t="shared" ca="1" si="624"/>
        <v>0</v>
      </c>
      <c r="FR344" s="116"/>
    </row>
    <row r="345" spans="2:174">
      <c r="B345" s="1410">
        <f t="shared" si="556"/>
        <v>299</v>
      </c>
      <c r="C345" s="400"/>
      <c r="D345" s="410"/>
      <c r="E345" s="402"/>
      <c r="F345" s="402"/>
      <c r="G345" s="400"/>
      <c r="H345" s="2088"/>
      <c r="I345" s="2089"/>
      <c r="J345" s="411"/>
      <c r="K345" s="403"/>
      <c r="L345" s="403"/>
      <c r="M345" s="403"/>
      <c r="N345" s="403"/>
      <c r="O345" s="347"/>
      <c r="P345" s="347"/>
      <c r="Q345" s="1021"/>
      <c r="R345" s="1022"/>
      <c r="S345" s="1022"/>
      <c r="T345" s="1022"/>
      <c r="U345" s="1023"/>
      <c r="V345" s="1021"/>
      <c r="W345" s="1022"/>
      <c r="X345" s="1022"/>
      <c r="Y345" s="1022"/>
      <c r="Z345" s="1023"/>
      <c r="AA345" s="1024"/>
      <c r="AB345" s="1021"/>
      <c r="AC345" s="1022"/>
      <c r="AD345" s="1022"/>
      <c r="AE345" s="1022"/>
      <c r="AF345" s="1023"/>
      <c r="AG345" s="1021"/>
      <c r="AH345" s="1022"/>
      <c r="AI345" s="1022"/>
      <c r="AJ345" s="1022"/>
      <c r="AK345" s="1023"/>
      <c r="AL345" s="1024"/>
      <c r="AM345" s="1021"/>
      <c r="AN345" s="1022"/>
      <c r="AO345" s="1022"/>
      <c r="AP345" s="1022"/>
      <c r="AQ345" s="1023"/>
      <c r="AR345" s="1021"/>
      <c r="AS345" s="1022"/>
      <c r="AT345" s="1022"/>
      <c r="AU345" s="1022"/>
      <c r="AV345" s="1023"/>
      <c r="AW345" s="1025"/>
      <c r="AX345" s="1282">
        <f t="shared" si="571"/>
        <v>0</v>
      </c>
      <c r="AY345" s="387">
        <f t="shared" si="572"/>
        <v>0</v>
      </c>
      <c r="AZ345" s="387">
        <f t="shared" si="573"/>
        <v>0</v>
      </c>
      <c r="BA345" s="387">
        <f t="shared" si="574"/>
        <v>0</v>
      </c>
      <c r="BB345" s="1283">
        <f t="shared" si="575"/>
        <v>0</v>
      </c>
      <c r="BC345" s="386">
        <f t="shared" si="576"/>
        <v>0</v>
      </c>
      <c r="BD345" s="387">
        <f t="shared" si="577"/>
        <v>0</v>
      </c>
      <c r="BE345" s="1277">
        <f t="shared" si="578"/>
        <v>0</v>
      </c>
      <c r="BF345" s="1277">
        <f t="shared" si="579"/>
        <v>0</v>
      </c>
      <c r="BG345" s="388">
        <f t="shared" si="580"/>
        <v>0</v>
      </c>
      <c r="BH345" s="1025"/>
      <c r="BI345" s="1282">
        <f t="shared" ca="1" si="581"/>
        <v>0</v>
      </c>
      <c r="BJ345" s="387">
        <f t="shared" ca="1" si="582"/>
        <v>0</v>
      </c>
      <c r="BK345" s="387">
        <f t="shared" ca="1" si="583"/>
        <v>0</v>
      </c>
      <c r="BL345" s="387">
        <f t="shared" ca="1" si="584"/>
        <v>0</v>
      </c>
      <c r="BM345" s="1283">
        <f t="shared" ca="1" si="585"/>
        <v>0</v>
      </c>
      <c r="BN345" s="386">
        <f t="shared" ca="1" si="586"/>
        <v>0</v>
      </c>
      <c r="BO345" s="387">
        <f t="shared" ca="1" si="587"/>
        <v>0</v>
      </c>
      <c r="BP345" s="1277">
        <f t="shared" ca="1" si="588"/>
        <v>0</v>
      </c>
      <c r="BQ345" s="1277">
        <f t="shared" ca="1" si="589"/>
        <v>0</v>
      </c>
      <c r="BR345" s="388">
        <f t="shared" ca="1" si="590"/>
        <v>0</v>
      </c>
      <c r="BS345" s="1025"/>
      <c r="BT345" s="1282">
        <f>+IF($K345="Ongoing",AX345,IF(RIGHT($K345,2)=RIGHT(BT$43,2),SUM($AX345:AX345),0)+IF(RIGHT(BT$43,2)&gt;RIGHT($K345,2),AX345,0))</f>
        <v>0</v>
      </c>
      <c r="BU345" s="387">
        <f>+IF($K345="Ongoing",AY345,IF(RIGHT($K345,2)=RIGHT(BU$43,2),SUM($AX345:AY345),0)+IF(RIGHT(BU$43,2)&gt;RIGHT($K345,2),AY345,0))</f>
        <v>0</v>
      </c>
      <c r="BV345" s="387">
        <f>+IF($K345="Ongoing",AZ345,IF(RIGHT($K345,2)=RIGHT(BV$43,2),SUM($AX345:AZ345),0)+IF(RIGHT(BV$43,2)&gt;RIGHT($K345,2),AZ345,0))</f>
        <v>0</v>
      </c>
      <c r="BW345" s="387">
        <f>+IF($K345="Ongoing",BA345,IF(RIGHT($K345,2)=RIGHT(BW$43,2),SUM($AX345:BA345),0)+IF(RIGHT(BW$43,2)&gt;RIGHT($K345,2),BA345,0))</f>
        <v>0</v>
      </c>
      <c r="BX345" s="1283">
        <f>+IF($K345="Ongoing",BB345,IF(RIGHT($K345,2)=RIGHT(BX$43,2),SUM($AX345:BB345),0)+IF(RIGHT(BX$43,2)&gt;RIGHT($K345,2),BB345,0))</f>
        <v>0</v>
      </c>
      <c r="BY345" s="386">
        <f>+IF($K345="Ongoing",BC345,IF(RIGHT($K345,2)=RIGHT(BY$43,2),SUM($AX345:BC345),0)+IF(RIGHT(BY$43,2)&gt;RIGHT($K345,2),BC345,0))</f>
        <v>0</v>
      </c>
      <c r="BZ345" s="387">
        <f>+IF($K345="Ongoing",BD345,IF(RIGHT($K345,2)=RIGHT(BZ$43,2),SUM($AX345:BD345),0)+IF(RIGHT(BZ$43,2)&gt;RIGHT($K345,2),BD345,0))</f>
        <v>0</v>
      </c>
      <c r="CA345" s="1277">
        <f>+IF($K345="Ongoing",BE345,IF(RIGHT($K345,2)=RIGHT(CA$43,2),SUM($AX345:BE345),0)+IF(RIGHT(CA$43,2)&gt;RIGHT($K345,2),BE345,0))</f>
        <v>0</v>
      </c>
      <c r="CB345" s="1277">
        <f>+IF($K345="Ongoing",BF345,IF(RIGHT($K345,2)=RIGHT(CB$43,2),SUM($AX345:BF345),0)+IF(RIGHT(CB$43,2)&gt;RIGHT($K345,2),BF345,0))</f>
        <v>0</v>
      </c>
      <c r="CC345" s="388">
        <f>+IF($K345="Ongoing",BG345,IF(RIGHT($K345,2)=RIGHT(CC$43,2),SUM($AX345:BG345),0)+IF(RIGHT(CC$43,2)&gt;RIGHT($K345,2),BG345,0))</f>
        <v>0</v>
      </c>
      <c r="CD345" s="1025"/>
      <c r="CE345" s="1282">
        <f>+Q345*KeyAssumptionsPriceControl_FO!AF$15</f>
        <v>0</v>
      </c>
      <c r="CF345" s="387">
        <f>+R345*KeyAssumptionsPriceControl_FO!AG$15</f>
        <v>0</v>
      </c>
      <c r="CG345" s="387">
        <f>+S345*KeyAssumptionsPriceControl_FO!AH$15</f>
        <v>0</v>
      </c>
      <c r="CH345" s="387">
        <f>+T345*KeyAssumptionsPriceControl_FO!AI$15</f>
        <v>0</v>
      </c>
      <c r="CI345" s="1283">
        <f>+U345*KeyAssumptionsPriceControl_FO!AJ$15</f>
        <v>0</v>
      </c>
      <c r="CJ345" s="386">
        <f>+V345*KeyAssumptionsPriceControl_FO!AK$15</f>
        <v>0</v>
      </c>
      <c r="CK345" s="387">
        <f>+W345*KeyAssumptionsPriceControl_FO!AL$15</f>
        <v>0</v>
      </c>
      <c r="CL345" s="1277">
        <f>+X345*KeyAssumptionsPriceControl_FO!AM$15</f>
        <v>0</v>
      </c>
      <c r="CM345" s="1277">
        <f>+Y345*KeyAssumptionsPriceControl_FO!AN$15</f>
        <v>0</v>
      </c>
      <c r="CN345" s="388">
        <f>+Z345*KeyAssumptionsPriceControl_FO!AO$15</f>
        <v>0</v>
      </c>
      <c r="CO345" s="1025"/>
      <c r="CP345" s="1282">
        <f t="shared" ca="1" si="591"/>
        <v>0</v>
      </c>
      <c r="CQ345" s="387">
        <f t="shared" ca="1" si="592"/>
        <v>0</v>
      </c>
      <c r="CR345" s="387">
        <f t="shared" ca="1" si="593"/>
        <v>0</v>
      </c>
      <c r="CS345" s="387">
        <f t="shared" ca="1" si="594"/>
        <v>0</v>
      </c>
      <c r="CT345" s="1283">
        <f t="shared" ca="1" si="595"/>
        <v>0</v>
      </c>
      <c r="CU345" s="386">
        <f t="shared" ca="1" si="596"/>
        <v>0</v>
      </c>
      <c r="CV345" s="387">
        <f t="shared" ca="1" si="597"/>
        <v>0</v>
      </c>
      <c r="CW345" s="1277">
        <f t="shared" ca="1" si="598"/>
        <v>0</v>
      </c>
      <c r="CX345" s="1277">
        <f t="shared" ca="1" si="599"/>
        <v>0</v>
      </c>
      <c r="CY345" s="388">
        <f t="shared" ca="1" si="600"/>
        <v>0</v>
      </c>
      <c r="CZ345" s="347"/>
      <c r="DA345" s="852"/>
      <c r="DB345" s="347"/>
      <c r="DC345" s="1012" t="s">
        <v>542</v>
      </c>
      <c r="DD345" s="841" t="s">
        <v>518</v>
      </c>
      <c r="DE345" s="386">
        <f>+IF($K345="ongoing",CE345,IF(RIGHT($K345,2)=RIGHT(DE$43,2),SUM($CD345:CE345),0)+IF(RIGHT(DE$43,2)&gt;RIGHT($K345,2),CE345,0))</f>
        <v>0</v>
      </c>
      <c r="DF345" s="387">
        <f>+IF($K345="ongoing",CF345,IF(RIGHT($K345,2)=RIGHT(DF$43,2),SUM($CD345:CF345),0)+IF(RIGHT(DF$43,2)&gt;RIGHT($K345,2),CF345,0))</f>
        <v>0</v>
      </c>
      <c r="DG345" s="388">
        <f>+IF($K345="ongoing",CG345,IF(RIGHT($K345,2)=RIGHT(DG$43,2),SUM($CD345:CG345),0)+IF(RIGHT(DG$43,2)&gt;RIGHT($K345,2),CG345,0))</f>
        <v>0</v>
      </c>
      <c r="DH345" s="386">
        <f>+IF($K345="ongoing",CH345,IF(RIGHT($K345,2)=RIGHT(DH$43,2),SUM($CD345:CH345),0)+IF(RIGHT(DH$43,2)&gt;RIGHT($K345,2),CH345,0))</f>
        <v>0</v>
      </c>
      <c r="DI345" s="387">
        <f>+IF($K345="ongoing",CI345,IF(RIGHT($K345,2)=RIGHT(DI$43,2),SUM($CD345:CI345),0)+IF(RIGHT(DI$43,2)&gt;RIGHT($K345,2),CI345,0))</f>
        <v>0</v>
      </c>
      <c r="DJ345" s="387">
        <f>+IF($K345="ongoing",CJ345,IF(RIGHT($K345,2)=RIGHT(DJ$43,2),SUM($CD345:CJ345),0)+IF(RIGHT(DJ$43,2)&gt;RIGHT($K345,2),CJ345,0))</f>
        <v>0</v>
      </c>
      <c r="DK345" s="387">
        <f>+IF($K345="ongoing",CK345,IF(RIGHT($K345,2)=RIGHT(DK$43,2),SUM($CD345:CK345),0)+IF(RIGHT(DK$43,2)&gt;RIGHT($K345,2),CK345,0))</f>
        <v>0</v>
      </c>
      <c r="DL345" s="388">
        <f>+IF($K345="ongoing",CN345,IF(RIGHT($K345,2)=RIGHT(DL$43,2),SUM($CD345:CN345),0)+IF(RIGHT(DL$43,2)&gt;RIGHT($K345,2),CN345,0))</f>
        <v>0</v>
      </c>
      <c r="DM345" s="841"/>
      <c r="DN345" s="386">
        <f t="shared" si="601"/>
        <v>0.5</v>
      </c>
      <c r="DO345" s="387">
        <f t="shared" si="602"/>
        <v>1</v>
      </c>
      <c r="DP345" s="388">
        <f t="shared" si="603"/>
        <v>1</v>
      </c>
      <c r="DQ345" s="386">
        <f t="shared" si="604"/>
        <v>1</v>
      </c>
      <c r="DR345" s="387">
        <f t="shared" si="605"/>
        <v>1</v>
      </c>
      <c r="DS345" s="387">
        <f t="shared" si="606"/>
        <v>1</v>
      </c>
      <c r="DT345" s="387">
        <f t="shared" si="607"/>
        <v>1</v>
      </c>
      <c r="DU345" s="388">
        <f t="shared" si="608"/>
        <v>1</v>
      </c>
      <c r="DW345" s="386">
        <f t="shared" si="609"/>
        <v>0</v>
      </c>
      <c r="DX345" s="387">
        <f t="shared" si="610"/>
        <v>0.5</v>
      </c>
      <c r="DY345" s="388">
        <f t="shared" si="611"/>
        <v>1</v>
      </c>
      <c r="DZ345" s="386">
        <f t="shared" si="612"/>
        <v>1</v>
      </c>
      <c r="EA345" s="387">
        <f t="shared" si="613"/>
        <v>1</v>
      </c>
      <c r="EB345" s="387">
        <f t="shared" si="614"/>
        <v>1</v>
      </c>
      <c r="EC345" s="387">
        <f t="shared" si="615"/>
        <v>1</v>
      </c>
      <c r="ED345" s="388">
        <f t="shared" si="616"/>
        <v>1</v>
      </c>
      <c r="EF345" s="834">
        <f>+IF(DN345=DM345,0,
IF(AND(EF$44&gt;1,DN345=$N345),1-SUM($EE345:EE345),
IF($N345&lt;=1,
IF($N345&gt;0,1/$N345,0),
IF(EF$44=1,0,VDB(1,0,$N345,INT(EF$44-1-1),MIN($N345,INT(EF$44-1-1)+1),$DC345,IF($DD345="No",1,0))/
IF(DM345&gt;=INT($N345),$N345-INT($N345),1)))*
IF(EF$44=1,0,
IF(INT(DN345)=INT(DM345),DN345-DM345,INT(DN345)-DM345))+
IF($N345&lt;=1,
IF($N345&gt;0,1/$N345,0),VDB(1,0,$N345,INT(EF$44-1),MIN($N345,INT(EF$44-1)+1),$DC345,IF($DD345="No",1,0))/
IF(DN345&gt;INT($N345),$N345-INT($N345),1))*
IF(EF$44=1,DN345,
IF(INT(DN345)=INT(DM345),0,DN345-INT(DN345)))))</f>
        <v>0</v>
      </c>
      <c r="EG345" s="835">
        <f>+IF(DO345=DN345,0,
IF(AND(EG$44&gt;1,DO345=$N345),1-SUM($EE345:EF345),
IF($N345&lt;=1,
IF($N345&gt;0,1/$N345,0),
IF(EG$44=1,0,VDB(1,0,$N345,INT(EG$44-1-1),MIN($N345,INT(EG$44-1-1)+1),$DC345,IF($DD345="No",1,0))/
IF(DN345&gt;=INT($N345),$N345-INT($N345),1)))*
IF(EG$44=1,0,
IF(INT(DO345)=INT(DN345),DO345-DN345,INT(DO345)-DN345))+
IF($N345&lt;=1,
IF($N345&gt;0,1/$N345,0),VDB(1,0,$N345,INT(EG$44-1),MIN($N345,INT(EG$44-1)+1),$DC345,IF($DD345="No",1,0))/
IF(DO345&gt;INT($N345),$N345-INT($N345),1))*
IF(EG$44=1,DO345,
IF(INT(DO345)=INT(DN345),0,DO345-INT(DO345)))))</f>
        <v>0</v>
      </c>
      <c r="EH345" s="836">
        <f>+IF(DP345=DO345,0,
IF(AND(EH$44&gt;1,DP345=$N345),1-SUM($EE345:EG345),
IF($N345&lt;=1,
IF($N345&gt;0,1/$N345,0),
IF(EH$44=1,0,VDB(1,0,$N345,INT(EH$44-1-1),MIN($N345,INT(EH$44-1-1)+1),$DC345,IF($DD345="No",1,0))/
IF(DO345&gt;=INT($N345),$N345-INT($N345),1)))*
IF(EH$44=1,0,
IF(INT(DP345)=INT(DO345),DP345-DO345,INT(DP345)-DO345))+
IF($N345&lt;=1,
IF($N345&gt;0,1/$N345,0),VDB(1,0,$N345,INT(EH$44-1),MIN($N345,INT(EH$44-1)+1),$DC345,IF($DD345="No",1,0))/
IF(DP345&gt;INT($N345),$N345-INT($N345),1))*
IF(EH$44=1,DP345,
IF(INT(DP345)=INT(DO345),0,DP345-INT(DP345)))))</f>
        <v>0</v>
      </c>
      <c r="EI345" s="834">
        <f>+IF(DQ345=DP345,0,
IF(AND(EI$44&gt;1,DQ345=$N345),1-SUM($EE345:EH345),
IF($N345&lt;=1,
IF($N345&gt;0,1/$N345,0),
IF(EI$44=1,0,VDB(1,0,$N345,INT(EI$44-1-1),MIN($N345,INT(EI$44-1-1)+1),$DC345,IF($DD345="No",1,0))/
IF(DP345&gt;=INT($N345),$N345-INT($N345),1)))*
IF(EI$44=1,0,
IF(INT(DQ345)=INT(DP345),DQ345-DP345,INT(DQ345)-DP345))+
IF($N345&lt;=1,
IF($N345&gt;0,1/$N345,0),VDB(1,0,$N345,INT(EI$44-1),MIN($N345,INT(EI$44-1)+1),$DC345,IF($DD345="No",1,0))/
IF(DQ345&gt;INT($N345),$N345-INT($N345),1))*
IF(EI$44=1,DQ345,
IF(INT(DQ345)=INT(DP345),0,DQ345-INT(DQ345)))))</f>
        <v>0</v>
      </c>
      <c r="EJ345" s="835">
        <f>+IF(DR345=DQ345,0,
IF(AND(EJ$44&gt;1,DR345=$N345),1-SUM($EE345:EI345),
IF($N345&lt;=1,
IF($N345&gt;0,1/$N345,0),
IF(EJ$44=1,0,VDB(1,0,$N345,INT(EJ$44-1-1),MIN($N345,INT(EJ$44-1-1)+1),$DC345,IF($DD345="No",1,0))/
IF(DQ345&gt;=INT($N345),$N345-INT($N345),1)))*
IF(EJ$44=1,0,
IF(INT(DR345)=INT(DQ345),DR345-DQ345,INT(DR345)-DQ345))+
IF($N345&lt;=1,
IF($N345&gt;0,1/$N345,0),VDB(1,0,$N345,INT(EJ$44-1),MIN($N345,INT(EJ$44-1)+1),$DC345,IF($DD345="No",1,0))/
IF(DR345&gt;INT($N345),$N345-INT($N345),1))*
IF(EJ$44=1,DR345,
IF(INT(DR345)=INT(DQ345),0,DR345-INT(DR345)))))</f>
        <v>0</v>
      </c>
      <c r="EK345" s="835">
        <f>+IF(DS345=DR345,0,
IF(AND(EK$44&gt;1,DS345=$N345),1-SUM($EE345:EJ345),
IF($N345&lt;=1,
IF($N345&gt;0,1/$N345,0),
IF(EK$44=1,0,VDB(1,0,$N345,INT(EK$44-1-1),MIN($N345,INT(EK$44-1-1)+1),$DC345,IF($DD345="No",1,0))/
IF(DR345&gt;=INT($N345),$N345-INT($N345),1)))*
IF(EK$44=1,0,
IF(INT(DS345)=INT(DR345),DS345-DR345,INT(DS345)-DR345))+
IF($N345&lt;=1,
IF($N345&gt;0,1/$N345,0),VDB(1,0,$N345,INT(EK$44-1),MIN($N345,INT(EK$44-1)+1),$DC345,IF($DD345="No",1,0))/
IF(DS345&gt;INT($N345),$N345-INT($N345),1))*
IF(EK$44=1,DS345,
IF(INT(DS345)=INT(DR345),0,DS345-INT(DS345)))))</f>
        <v>0</v>
      </c>
      <c r="EL345" s="835">
        <f>+IF(DT345=DS345,0,
IF(AND(EL$44&gt;1,DT345=$N345),1-SUM($EE345:EK345),
IF($N345&lt;=1,
IF($N345&gt;0,1/$N345,0),
IF(EL$44=1,0,VDB(1,0,$N345,INT(EL$44-1-1),MIN($N345,INT(EL$44-1-1)+1),$DC345,IF($DD345="No",1,0))/
IF(DS345&gt;=INT($N345),$N345-INT($N345),1)))*
IF(EL$44=1,0,
IF(INT(DT345)=INT(DS345),DT345-DS345,INT(DT345)-DS345))+
IF($N345&lt;=1,
IF($N345&gt;0,1/$N345,0),VDB(1,0,$N345,INT(EL$44-1),MIN($N345,INT(EL$44-1)+1),$DC345,IF($DD345="No",1,0))/
IF(DT345&gt;INT($N345),$N345-INT($N345),1))*
IF(EL$44=1,DT345,
IF(INT(DT345)=INT(DS345),0,DT345-INT(DT345)))))</f>
        <v>0</v>
      </c>
      <c r="EM345" s="836">
        <f>+IF(DU345=DT345,0,
IF(AND(EM$44&gt;1,DU345=$N345),1-SUM($EE345:EL345),
IF($N345&lt;=1,
IF($N345&gt;0,1/$N345,0),
IF(EM$44=1,0,VDB(1,0,$N345,INT(EM$44-1-1),MIN($N345,INT(EM$44-1-1)+1),$DC345,IF($DD345="No",1,0))/
IF(DT345&gt;=INT($N345),$N345-INT($N345),1)))*
IF(EM$44=1,0,
IF(INT(DU345)=INT(DT345),DU345-DT345,INT(DU345)-DT345))+
IF($N345&lt;=1,
IF($N345&gt;0,1/$N345,0),VDB(1,0,$N345,INT(EM$44-1),MIN($N345,INT(EM$44-1)+1),$DC345,IF($DD345="No",1,0))/
IF(DU345&gt;INT($N345),$N345-INT($N345),1))*
IF(EM$44=1,DU345,
IF(INT(DU345)=INT(DT345),0,DU345-INT(DU345)))))</f>
        <v>0</v>
      </c>
      <c r="EN345" s="833"/>
      <c r="EO345" s="834">
        <f>+IF(OR(DW345=DV345,EO$44=1),0,
IF(AND(EO$44&gt;1,DW345=$N345),1-SUM($EN345:EN345),
IF($N345&lt;=1,
IF($N345&gt;0,1/$N345,0),
IF(EO$44=2,0,VDB(1,0,$N345,INT(EO$44-2-1),MIN($N345,INT(EO$44-2-1)+1),$DC345,IF($DD345="No",1,0))/
IF(DV345&gt;=INT($N345),$N345-INT($N345),1)))*
IF(EO$44=2,0,
IF(INT(DW345)=INT(DV345),DW345-DV345,INT(DW345)-DV345))+
IF($N345&lt;=1,
IF($N345&gt;0,1/$N345,0),VDB(1,0,$N345,INT(EO$44-2),MIN($N345,INT(EO$44-2)+1),$DC345,IF($DD345="No",1,0))/
IF(DW345&gt;INT($N345),$N345-INT($N345),1))*
IF(EO$44=2,DW345,
IF(INT(DW345)=INT(DV345),0,DW345-INT(DW345)))))</f>
        <v>0</v>
      </c>
      <c r="EP345" s="835">
        <f>+IF(OR(DX345=DW345,EP$44=1),0,
IF(AND(EP$44&gt;1,DX345=$N345),1-SUM($EN345:EO345),
IF($N345&lt;=1,
IF($N345&gt;0,1/$N345,0),
IF(EP$44=2,0,VDB(1,0,$N345,INT(EP$44-2-1),MIN($N345,INT(EP$44-2-1)+1),$DC345,IF($DD345="No",1,0))/
IF(DW345&gt;=INT($N345),$N345-INT($N345),1)))*
IF(EP$44=2,0,
IF(INT(DX345)=INT(DW345),DX345-DW345,INT(DX345)-DW345))+
IF($N345&lt;=1,
IF($N345&gt;0,1/$N345,0),VDB(1,0,$N345,INT(EP$44-2),MIN($N345,INT(EP$44-2)+1),$DC345,IF($DD345="No",1,0))/
IF(DX345&gt;INT($N345),$N345-INT($N345),1))*
IF(EP$44=2,DX345,
IF(INT(DX345)=INT(DW345),0,DX345-INT(DX345)))))</f>
        <v>0</v>
      </c>
      <c r="EQ345" s="836">
        <f>+IF(OR(DY345=DX345,EQ$44=1),0,
IF(AND(EQ$44&gt;1,DY345=$N345),1-SUM($EN345:EP345),
IF($N345&lt;=1,
IF($N345&gt;0,1/$N345,0),
IF(EQ$44=2,0,VDB(1,0,$N345,INT(EQ$44-2-1),MIN($N345,INT(EQ$44-2-1)+1),$DC345,IF($DD345="No",1,0))/
IF(DX345&gt;=INT($N345),$N345-INT($N345),1)))*
IF(EQ$44=2,0,
IF(INT(DY345)=INT(DX345),DY345-DX345,INT(DY345)-DX345))+
IF($N345&lt;=1,
IF($N345&gt;0,1/$N345,0),VDB(1,0,$N345,INT(EQ$44-2),MIN($N345,INT(EQ$44-2)+1),$DC345,IF($DD345="No",1,0))/
IF(DY345&gt;INT($N345),$N345-INT($N345),1))*
IF(EQ$44=2,DY345,
IF(INT(DY345)=INT(DX345),0,DY345-INT(DY345)))))</f>
        <v>0</v>
      </c>
      <c r="ER345" s="834">
        <f>+IF(OR(DZ345=DY345,ER$44=1),0,
IF(AND(ER$44&gt;1,DZ345=$N345),1-SUM($EN345:EQ345),
IF($N345&lt;=1,
IF($N345&gt;0,1/$N345,0),
IF(ER$44=2,0,VDB(1,0,$N345,INT(ER$44-2-1),MIN($N345,INT(ER$44-2-1)+1),$DC345,IF($DD345="No",1,0))/
IF(DY345&gt;=INT($N345),$N345-INT($N345),1)))*
IF(ER$44=2,0,
IF(INT(DZ345)=INT(DY345),DZ345-DY345,INT(DZ345)-DY345))+
IF($N345&lt;=1,
IF($N345&gt;0,1/$N345,0),VDB(1,0,$N345,INT(ER$44-2),MIN($N345,INT(ER$44-2)+1),$DC345,IF($DD345="No",1,0))/
IF(DZ345&gt;INT($N345),$N345-INT($N345),1))*
IF(ER$44=2,DZ345,
IF(INT(DZ345)=INT(DY345),0,DZ345-INT(DZ345)))))</f>
        <v>0</v>
      </c>
      <c r="ES345" s="835">
        <f>+IF(OR(EA345=DZ345,ES$44=1),0,
IF(AND(ES$44&gt;1,EA345=$N345),1-SUM($EN345:ER345),
IF($N345&lt;=1,
IF($N345&gt;0,1/$N345,0),
IF(ES$44=2,0,VDB(1,0,$N345,INT(ES$44-2-1),MIN($N345,INT(ES$44-2-1)+1),$DC345,IF($DD345="No",1,0))/
IF(DZ345&gt;=INT($N345),$N345-INT($N345),1)))*
IF(ES$44=2,0,
IF(INT(EA345)=INT(DZ345),EA345-DZ345,INT(EA345)-DZ345))+
IF($N345&lt;=1,
IF($N345&gt;0,1/$N345,0),VDB(1,0,$N345,INT(ES$44-2),MIN($N345,INT(ES$44-2)+1),$DC345,IF($DD345="No",1,0))/
IF(EA345&gt;INT($N345),$N345-INT($N345),1))*
IF(ES$44=2,EA345,
IF(INT(EA345)=INT(DZ345),0,EA345-INT(EA345)))))</f>
        <v>0</v>
      </c>
      <c r="ET345" s="835">
        <f>+IF(OR(EB345=EA345,ET$44=1),0,
IF(AND(ET$44&gt;1,EB345=$N345),1-SUM($EN345:ES345),
IF($N345&lt;=1,
IF($N345&gt;0,1/$N345,0),
IF(ET$44=2,0,VDB(1,0,$N345,INT(ET$44-2-1),MIN($N345,INT(ET$44-2-1)+1),$DC345,IF($DD345="No",1,0))/
IF(EA345&gt;=INT($N345),$N345-INT($N345),1)))*
IF(ET$44=2,0,
IF(INT(EB345)=INT(EA345),EB345-EA345,INT(EB345)-EA345))+
IF($N345&lt;=1,
IF($N345&gt;0,1/$N345,0),VDB(1,0,$N345,INT(ET$44-2),MIN($N345,INT(ET$44-2)+1),$DC345,IF($DD345="No",1,0))/
IF(EB345&gt;INT($N345),$N345-INT($N345),1))*
IF(ET$44=2,EB345,
IF(INT(EB345)=INT(EA345),0,EB345-INT(EB345)))))</f>
        <v>0</v>
      </c>
      <c r="EU345" s="835">
        <f>+IF(OR(EC345=EB345,EU$44=1),0,
IF(AND(EU$44&gt;1,EC345=$N345),1-SUM($EN345:ET345),
IF($N345&lt;=1,
IF($N345&gt;0,1/$N345,0),
IF(EU$44=2,0,VDB(1,0,$N345,INT(EU$44-2-1),MIN($N345,INT(EU$44-2-1)+1),$DC345,IF($DD345="No",1,0))/
IF(EB345&gt;=INT($N345),$N345-INT($N345),1)))*
IF(EU$44=2,0,
IF(INT(EC345)=INT(EB345),EC345-EB345,INT(EC345)-EB345))+
IF($N345&lt;=1,
IF($N345&gt;0,1/$N345,0),VDB(1,0,$N345,INT(EU$44-2),MIN($N345,INT(EU$44-2)+1),$DC345,IF($DD345="No",1,0))/
IF(EC345&gt;INT($N345),$N345-INT($N345),1))*
IF(EU$44=2,EC345,
IF(INT(EC345)=INT(EB345),0,EC345-INT(EC345)))))</f>
        <v>0</v>
      </c>
      <c r="EV345" s="836">
        <f>+IF(OR(ED345=EC345,EV$44=1),0,
IF(AND(EV$44&gt;1,ED345=$N345),1-SUM($EN345:EU345),
IF($N345&lt;=1,
IF($N345&gt;0,1/$N345,0),
IF(EV$44=2,0,VDB(1,0,$N345,INT(EV$44-2-1),MIN($N345,INT(EV$44-2-1)+1),$DC345,IF($DD345="No",1,0))/
IF(EC345&gt;=INT($N345),$N345-INT($N345),1)))*
IF(EV$44=2,0,
IF(INT(ED345)=INT(EC345),ED345-EC345,INT(ED345)-EC345))+
IF($N345&lt;=1,
IF($N345&gt;0,1/$N345,0),VDB(1,0,$N345,INT(EV$44-2),MIN($N345,INT(EV$44-2)+1),$DC345,IF($DD345="No",1,0))/
IF(ED345&gt;INT($N345),$N345-INT($N345),1))*
IF(EV$44=2,ED345,
IF(INT(ED345)=INT(EC345),0,ED345-INT(ED345)))))</f>
        <v>0</v>
      </c>
      <c r="EW345" s="833"/>
      <c r="EX345" s="834">
        <f t="shared" ca="1" si="570"/>
        <v>0</v>
      </c>
      <c r="EY345" s="835">
        <f t="shared" ca="1" si="570"/>
        <v>0</v>
      </c>
      <c r="EZ345" s="836">
        <f t="shared" ca="1" si="570"/>
        <v>0</v>
      </c>
      <c r="FA345" s="834">
        <f t="shared" ca="1" si="570"/>
        <v>0</v>
      </c>
      <c r="FB345" s="835">
        <f t="shared" ca="1" si="570"/>
        <v>0</v>
      </c>
      <c r="FC345" s="835">
        <f t="shared" ca="1" si="570"/>
        <v>0</v>
      </c>
      <c r="FD345" s="835">
        <f t="shared" ca="1" si="570"/>
        <v>0</v>
      </c>
      <c r="FE345" s="836">
        <f t="shared" ca="1" si="570"/>
        <v>0</v>
      </c>
      <c r="FG345" s="386">
        <f t="shared" ca="1" si="617"/>
        <v>0</v>
      </c>
      <c r="FH345" s="387">
        <f t="shared" ca="1" si="618"/>
        <v>0</v>
      </c>
      <c r="FI345" s="388">
        <f t="shared" ca="1" si="619"/>
        <v>0</v>
      </c>
      <c r="FJ345" s="386">
        <f t="shared" ca="1" si="620"/>
        <v>0</v>
      </c>
      <c r="FK345" s="387">
        <f t="shared" ca="1" si="621"/>
        <v>0</v>
      </c>
      <c r="FL345" s="387">
        <f t="shared" ca="1" si="622"/>
        <v>0</v>
      </c>
      <c r="FM345" s="387">
        <f t="shared" ca="1" si="623"/>
        <v>0</v>
      </c>
      <c r="FN345" s="388">
        <f t="shared" ca="1" si="624"/>
        <v>0</v>
      </c>
      <c r="FR345" s="116"/>
    </row>
    <row r="346" spans="2:174">
      <c r="B346" s="1410">
        <f t="shared" si="556"/>
        <v>300</v>
      </c>
      <c r="C346" s="400"/>
      <c r="D346" s="410"/>
      <c r="E346" s="402"/>
      <c r="F346" s="402"/>
      <c r="G346" s="400"/>
      <c r="H346" s="2088"/>
      <c r="I346" s="2089"/>
      <c r="J346" s="411"/>
      <c r="K346" s="403"/>
      <c r="L346" s="403"/>
      <c r="M346" s="403"/>
      <c r="N346" s="403"/>
      <c r="O346" s="347"/>
      <c r="P346" s="347"/>
      <c r="Q346" s="1021"/>
      <c r="R346" s="1022"/>
      <c r="S346" s="1022"/>
      <c r="T346" s="1022"/>
      <c r="U346" s="1023"/>
      <c r="V346" s="1021"/>
      <c r="W346" s="1022"/>
      <c r="X346" s="1022"/>
      <c r="Y346" s="1022"/>
      <c r="Z346" s="1023"/>
      <c r="AA346" s="1024"/>
      <c r="AB346" s="1021"/>
      <c r="AC346" s="1022"/>
      <c r="AD346" s="1022"/>
      <c r="AE346" s="1022"/>
      <c r="AF346" s="1023"/>
      <c r="AG346" s="1021"/>
      <c r="AH346" s="1022"/>
      <c r="AI346" s="1022"/>
      <c r="AJ346" s="1022"/>
      <c r="AK346" s="1023"/>
      <c r="AL346" s="1024"/>
      <c r="AM346" s="1021"/>
      <c r="AN346" s="1022"/>
      <c r="AO346" s="1022"/>
      <c r="AP346" s="1022"/>
      <c r="AQ346" s="1023"/>
      <c r="AR346" s="1021"/>
      <c r="AS346" s="1022"/>
      <c r="AT346" s="1022"/>
      <c r="AU346" s="1022"/>
      <c r="AV346" s="1023"/>
      <c r="AW346" s="1025"/>
      <c r="AX346" s="1282">
        <f t="shared" si="571"/>
        <v>0</v>
      </c>
      <c r="AY346" s="387">
        <f t="shared" si="572"/>
        <v>0</v>
      </c>
      <c r="AZ346" s="387">
        <f t="shared" si="573"/>
        <v>0</v>
      </c>
      <c r="BA346" s="387">
        <f t="shared" si="574"/>
        <v>0</v>
      </c>
      <c r="BB346" s="1283">
        <f t="shared" si="575"/>
        <v>0</v>
      </c>
      <c r="BC346" s="386">
        <f t="shared" si="576"/>
        <v>0</v>
      </c>
      <c r="BD346" s="387">
        <f t="shared" si="577"/>
        <v>0</v>
      </c>
      <c r="BE346" s="1277">
        <f t="shared" si="578"/>
        <v>0</v>
      </c>
      <c r="BF346" s="1277">
        <f t="shared" si="579"/>
        <v>0</v>
      </c>
      <c r="BG346" s="388">
        <f t="shared" si="580"/>
        <v>0</v>
      </c>
      <c r="BH346" s="1025"/>
      <c r="BI346" s="1282">
        <f t="shared" ca="1" si="581"/>
        <v>0</v>
      </c>
      <c r="BJ346" s="387">
        <f t="shared" ca="1" si="582"/>
        <v>0</v>
      </c>
      <c r="BK346" s="387">
        <f t="shared" ca="1" si="583"/>
        <v>0</v>
      </c>
      <c r="BL346" s="387">
        <f t="shared" ca="1" si="584"/>
        <v>0</v>
      </c>
      <c r="BM346" s="1283">
        <f t="shared" ca="1" si="585"/>
        <v>0</v>
      </c>
      <c r="BN346" s="386">
        <f t="shared" ca="1" si="586"/>
        <v>0</v>
      </c>
      <c r="BO346" s="387">
        <f t="shared" ca="1" si="587"/>
        <v>0</v>
      </c>
      <c r="BP346" s="1277">
        <f t="shared" ca="1" si="588"/>
        <v>0</v>
      </c>
      <c r="BQ346" s="1277">
        <f t="shared" ca="1" si="589"/>
        <v>0</v>
      </c>
      <c r="BR346" s="388">
        <f t="shared" ca="1" si="590"/>
        <v>0</v>
      </c>
      <c r="BS346" s="1025"/>
      <c r="BT346" s="1282">
        <f>+IF($K346="Ongoing",AX346,IF(RIGHT($K346,2)=RIGHT(BT$43,2),SUM($AX346:AX346),0)+IF(RIGHT(BT$43,2)&gt;RIGHT($K346,2),AX346,0))</f>
        <v>0</v>
      </c>
      <c r="BU346" s="387">
        <f>+IF($K346="Ongoing",AY346,IF(RIGHT($K346,2)=RIGHT(BU$43,2),SUM($AX346:AY346),0)+IF(RIGHT(BU$43,2)&gt;RIGHT($K346,2),AY346,0))</f>
        <v>0</v>
      </c>
      <c r="BV346" s="387">
        <f>+IF($K346="Ongoing",AZ346,IF(RIGHT($K346,2)=RIGHT(BV$43,2),SUM($AX346:AZ346),0)+IF(RIGHT(BV$43,2)&gt;RIGHT($K346,2),AZ346,0))</f>
        <v>0</v>
      </c>
      <c r="BW346" s="387">
        <f>+IF($K346="Ongoing",BA346,IF(RIGHT($K346,2)=RIGHT(BW$43,2),SUM($AX346:BA346),0)+IF(RIGHT(BW$43,2)&gt;RIGHT($K346,2),BA346,0))</f>
        <v>0</v>
      </c>
      <c r="BX346" s="1283">
        <f>+IF($K346="Ongoing",BB346,IF(RIGHT($K346,2)=RIGHT(BX$43,2),SUM($AX346:BB346),0)+IF(RIGHT(BX$43,2)&gt;RIGHT($K346,2),BB346,0))</f>
        <v>0</v>
      </c>
      <c r="BY346" s="386">
        <f>+IF($K346="Ongoing",BC346,IF(RIGHT($K346,2)=RIGHT(BY$43,2),SUM($AX346:BC346),0)+IF(RIGHT(BY$43,2)&gt;RIGHT($K346,2),BC346,0))</f>
        <v>0</v>
      </c>
      <c r="BZ346" s="387">
        <f>+IF($K346="Ongoing",BD346,IF(RIGHT($K346,2)=RIGHT(BZ$43,2),SUM($AX346:BD346),0)+IF(RIGHT(BZ$43,2)&gt;RIGHT($K346,2),BD346,0))</f>
        <v>0</v>
      </c>
      <c r="CA346" s="1277">
        <f>+IF($K346="Ongoing",BE346,IF(RIGHT($K346,2)=RIGHT(CA$43,2),SUM($AX346:BE346),0)+IF(RIGHT(CA$43,2)&gt;RIGHT($K346,2),BE346,0))</f>
        <v>0</v>
      </c>
      <c r="CB346" s="1277">
        <f>+IF($K346="Ongoing",BF346,IF(RIGHT($K346,2)=RIGHT(CB$43,2),SUM($AX346:BF346),0)+IF(RIGHT(CB$43,2)&gt;RIGHT($K346,2),BF346,0))</f>
        <v>0</v>
      </c>
      <c r="CC346" s="388">
        <f>+IF($K346="Ongoing",BG346,IF(RIGHT($K346,2)=RIGHT(CC$43,2),SUM($AX346:BG346),0)+IF(RIGHT(CC$43,2)&gt;RIGHT($K346,2),BG346,0))</f>
        <v>0</v>
      </c>
      <c r="CD346" s="1025"/>
      <c r="CE346" s="1282">
        <f>+Q346*KeyAssumptionsPriceControl_FO!AF$15</f>
        <v>0</v>
      </c>
      <c r="CF346" s="387">
        <f>+R346*KeyAssumptionsPriceControl_FO!AG$15</f>
        <v>0</v>
      </c>
      <c r="CG346" s="387">
        <f>+S346*KeyAssumptionsPriceControl_FO!AH$15</f>
        <v>0</v>
      </c>
      <c r="CH346" s="387">
        <f>+T346*KeyAssumptionsPriceControl_FO!AI$15</f>
        <v>0</v>
      </c>
      <c r="CI346" s="1283">
        <f>+U346*KeyAssumptionsPriceControl_FO!AJ$15</f>
        <v>0</v>
      </c>
      <c r="CJ346" s="386">
        <f>+V346*KeyAssumptionsPriceControl_FO!AK$15</f>
        <v>0</v>
      </c>
      <c r="CK346" s="387">
        <f>+W346*KeyAssumptionsPriceControl_FO!AL$15</f>
        <v>0</v>
      </c>
      <c r="CL346" s="1277">
        <f>+X346*KeyAssumptionsPriceControl_FO!AM$15</f>
        <v>0</v>
      </c>
      <c r="CM346" s="1277">
        <f>+Y346*KeyAssumptionsPriceControl_FO!AN$15</f>
        <v>0</v>
      </c>
      <c r="CN346" s="388">
        <f>+Z346*KeyAssumptionsPriceControl_FO!AO$15</f>
        <v>0</v>
      </c>
      <c r="CO346" s="1025"/>
      <c r="CP346" s="1282">
        <f t="shared" ca="1" si="591"/>
        <v>0</v>
      </c>
      <c r="CQ346" s="387">
        <f t="shared" ca="1" si="592"/>
        <v>0</v>
      </c>
      <c r="CR346" s="387">
        <f t="shared" ca="1" si="593"/>
        <v>0</v>
      </c>
      <c r="CS346" s="387">
        <f t="shared" ca="1" si="594"/>
        <v>0</v>
      </c>
      <c r="CT346" s="1283">
        <f t="shared" ca="1" si="595"/>
        <v>0</v>
      </c>
      <c r="CU346" s="386">
        <f t="shared" ca="1" si="596"/>
        <v>0</v>
      </c>
      <c r="CV346" s="387">
        <f t="shared" ca="1" si="597"/>
        <v>0</v>
      </c>
      <c r="CW346" s="1277">
        <f t="shared" ca="1" si="598"/>
        <v>0</v>
      </c>
      <c r="CX346" s="1277">
        <f t="shared" ca="1" si="599"/>
        <v>0</v>
      </c>
      <c r="CY346" s="388">
        <f t="shared" ca="1" si="600"/>
        <v>0</v>
      </c>
      <c r="CZ346" s="347"/>
      <c r="DA346" s="852"/>
      <c r="DB346" s="347"/>
      <c r="DC346" s="1012" t="s">
        <v>548</v>
      </c>
      <c r="DD346" s="841" t="s">
        <v>518</v>
      </c>
      <c r="DE346" s="386">
        <f>+IF($K346="ongoing",CE346,IF(RIGHT($K346,2)=RIGHT(DE$43,2),SUM($CD346:CE346),0)+IF(RIGHT(DE$43,2)&gt;RIGHT($K346,2),CE346,0))</f>
        <v>0</v>
      </c>
      <c r="DF346" s="387">
        <f>+IF($K346="ongoing",CF346,IF(RIGHT($K346,2)=RIGHT(DF$43,2),SUM($CD346:CF346),0)+IF(RIGHT(DF$43,2)&gt;RIGHT($K346,2),CF346,0))</f>
        <v>0</v>
      </c>
      <c r="DG346" s="388">
        <f>+IF($K346="ongoing",CG346,IF(RIGHT($K346,2)=RIGHT(DG$43,2),SUM($CD346:CG346),0)+IF(RIGHT(DG$43,2)&gt;RIGHT($K346,2),CG346,0))</f>
        <v>0</v>
      </c>
      <c r="DH346" s="386">
        <f>+IF($K346="ongoing",CH346,IF(RIGHT($K346,2)=RIGHT(DH$43,2),SUM($CD346:CH346),0)+IF(RIGHT(DH$43,2)&gt;RIGHT($K346,2),CH346,0))</f>
        <v>0</v>
      </c>
      <c r="DI346" s="387">
        <f>+IF($K346="ongoing",CI346,IF(RIGHT($K346,2)=RIGHT(DI$43,2),SUM($CD346:CI346),0)+IF(RIGHT(DI$43,2)&gt;RIGHT($K346,2),CI346,0))</f>
        <v>0</v>
      </c>
      <c r="DJ346" s="387">
        <f>+IF($K346="ongoing",CJ346,IF(RIGHT($K346,2)=RIGHT(DJ$43,2),SUM($CD346:CJ346),0)+IF(RIGHT(DJ$43,2)&gt;RIGHT($K346,2),CJ346,0))</f>
        <v>0</v>
      </c>
      <c r="DK346" s="387">
        <f>+IF($K346="ongoing",CK346,IF(RIGHT($K346,2)=RIGHT(DK$43,2),SUM($CD346:CK346),0)+IF(RIGHT(DK$43,2)&gt;RIGHT($K346,2),CK346,0))</f>
        <v>0</v>
      </c>
      <c r="DL346" s="388">
        <f>+IF($K346="ongoing",CN346,IF(RIGHT($K346,2)=RIGHT(DL$43,2),SUM($CD346:CN346),0)+IF(RIGHT(DL$43,2)&gt;RIGHT($K346,2),CN346,0))</f>
        <v>0</v>
      </c>
      <c r="DM346" s="841"/>
      <c r="DN346" s="386">
        <f t="shared" si="601"/>
        <v>0.5</v>
      </c>
      <c r="DO346" s="387">
        <f t="shared" si="602"/>
        <v>1</v>
      </c>
      <c r="DP346" s="388">
        <f t="shared" si="603"/>
        <v>1</v>
      </c>
      <c r="DQ346" s="386">
        <f t="shared" si="604"/>
        <v>1</v>
      </c>
      <c r="DR346" s="387">
        <f t="shared" si="605"/>
        <v>1</v>
      </c>
      <c r="DS346" s="387">
        <f t="shared" si="606"/>
        <v>1</v>
      </c>
      <c r="DT346" s="387">
        <f t="shared" si="607"/>
        <v>1</v>
      </c>
      <c r="DU346" s="388">
        <f t="shared" si="608"/>
        <v>1</v>
      </c>
      <c r="DW346" s="386">
        <f t="shared" si="609"/>
        <v>0</v>
      </c>
      <c r="DX346" s="387">
        <f t="shared" si="610"/>
        <v>0.5</v>
      </c>
      <c r="DY346" s="388">
        <f t="shared" si="611"/>
        <v>1</v>
      </c>
      <c r="DZ346" s="386">
        <f t="shared" si="612"/>
        <v>1</v>
      </c>
      <c r="EA346" s="387">
        <f t="shared" si="613"/>
        <v>1</v>
      </c>
      <c r="EB346" s="387">
        <f t="shared" si="614"/>
        <v>1</v>
      </c>
      <c r="EC346" s="387">
        <f t="shared" si="615"/>
        <v>1</v>
      </c>
      <c r="ED346" s="388">
        <f t="shared" si="616"/>
        <v>1</v>
      </c>
      <c r="EF346" s="834">
        <f>+IF(DN346=DM346,0,
IF(AND(EF$44&gt;1,DN346=$N346),1-SUM($EE346:EE346),
IF($N346&lt;=1,
IF($N346&gt;0,1/$N346,0),
IF(EF$44=1,0,VDB(1,0,$N346,INT(EF$44-1-1),MIN($N346,INT(EF$44-1-1)+1),$DC346,IF($DD346="No",1,0))/
IF(DM346&gt;=INT($N346),$N346-INT($N346),1)))*
IF(EF$44=1,0,
IF(INT(DN346)=INT(DM346),DN346-DM346,INT(DN346)-DM346))+
IF($N346&lt;=1,
IF($N346&gt;0,1/$N346,0),VDB(1,0,$N346,INT(EF$44-1),MIN($N346,INT(EF$44-1)+1),$DC346,IF($DD346="No",1,0))/
IF(DN346&gt;INT($N346),$N346-INT($N346),1))*
IF(EF$44=1,DN346,
IF(INT(DN346)=INT(DM346),0,DN346-INT(DN346)))))</f>
        <v>0</v>
      </c>
      <c r="EG346" s="835">
        <f>+IF(DO346=DN346,0,
IF(AND(EG$44&gt;1,DO346=$N346),1-SUM($EE346:EF346),
IF($N346&lt;=1,
IF($N346&gt;0,1/$N346,0),
IF(EG$44=1,0,VDB(1,0,$N346,INT(EG$44-1-1),MIN($N346,INT(EG$44-1-1)+1),$DC346,IF($DD346="No",1,0))/
IF(DN346&gt;=INT($N346),$N346-INT($N346),1)))*
IF(EG$44=1,0,
IF(INT(DO346)=INT(DN346),DO346-DN346,INT(DO346)-DN346))+
IF($N346&lt;=1,
IF($N346&gt;0,1/$N346,0),VDB(1,0,$N346,INT(EG$44-1),MIN($N346,INT(EG$44-1)+1),$DC346,IF($DD346="No",1,0))/
IF(DO346&gt;INT($N346),$N346-INT($N346),1))*
IF(EG$44=1,DO346,
IF(INT(DO346)=INT(DN346),0,DO346-INT(DO346)))))</f>
        <v>0</v>
      </c>
      <c r="EH346" s="836">
        <f>+IF(DP346=DO346,0,
IF(AND(EH$44&gt;1,DP346=$N346),1-SUM($EE346:EG346),
IF($N346&lt;=1,
IF($N346&gt;0,1/$N346,0),
IF(EH$44=1,0,VDB(1,0,$N346,INT(EH$44-1-1),MIN($N346,INT(EH$44-1-1)+1),$DC346,IF($DD346="No",1,0))/
IF(DO346&gt;=INT($N346),$N346-INT($N346),1)))*
IF(EH$44=1,0,
IF(INT(DP346)=INT(DO346),DP346-DO346,INT(DP346)-DO346))+
IF($N346&lt;=1,
IF($N346&gt;0,1/$N346,0),VDB(1,0,$N346,INT(EH$44-1),MIN($N346,INT(EH$44-1)+1),$DC346,IF($DD346="No",1,0))/
IF(DP346&gt;INT($N346),$N346-INT($N346),1))*
IF(EH$44=1,DP346,
IF(INT(DP346)=INT(DO346),0,DP346-INT(DP346)))))</f>
        <v>0</v>
      </c>
      <c r="EI346" s="834">
        <f>+IF(DQ346=DP346,0,
IF(AND(EI$44&gt;1,DQ346=$N346),1-SUM($EE346:EH346),
IF($N346&lt;=1,
IF($N346&gt;0,1/$N346,0),
IF(EI$44=1,0,VDB(1,0,$N346,INT(EI$44-1-1),MIN($N346,INT(EI$44-1-1)+1),$DC346,IF($DD346="No",1,0))/
IF(DP346&gt;=INT($N346),$N346-INT($N346),1)))*
IF(EI$44=1,0,
IF(INT(DQ346)=INT(DP346),DQ346-DP346,INT(DQ346)-DP346))+
IF($N346&lt;=1,
IF($N346&gt;0,1/$N346,0),VDB(1,0,$N346,INT(EI$44-1),MIN($N346,INT(EI$44-1)+1),$DC346,IF($DD346="No",1,0))/
IF(DQ346&gt;INT($N346),$N346-INT($N346),1))*
IF(EI$44=1,DQ346,
IF(INT(DQ346)=INT(DP346),0,DQ346-INT(DQ346)))))</f>
        <v>0</v>
      </c>
      <c r="EJ346" s="835">
        <f>+IF(DR346=DQ346,0,
IF(AND(EJ$44&gt;1,DR346=$N346),1-SUM($EE346:EI346),
IF($N346&lt;=1,
IF($N346&gt;0,1/$N346,0),
IF(EJ$44=1,0,VDB(1,0,$N346,INT(EJ$44-1-1),MIN($N346,INT(EJ$44-1-1)+1),$DC346,IF($DD346="No",1,0))/
IF(DQ346&gt;=INT($N346),$N346-INT($N346),1)))*
IF(EJ$44=1,0,
IF(INT(DR346)=INT(DQ346),DR346-DQ346,INT(DR346)-DQ346))+
IF($N346&lt;=1,
IF($N346&gt;0,1/$N346,0),VDB(1,0,$N346,INT(EJ$44-1),MIN($N346,INT(EJ$44-1)+1),$DC346,IF($DD346="No",1,0))/
IF(DR346&gt;INT($N346),$N346-INT($N346),1))*
IF(EJ$44=1,DR346,
IF(INT(DR346)=INT(DQ346),0,DR346-INT(DR346)))))</f>
        <v>0</v>
      </c>
      <c r="EK346" s="835">
        <f>+IF(DS346=DR346,0,
IF(AND(EK$44&gt;1,DS346=$N346),1-SUM($EE346:EJ346),
IF($N346&lt;=1,
IF($N346&gt;0,1/$N346,0),
IF(EK$44=1,0,VDB(1,0,$N346,INT(EK$44-1-1),MIN($N346,INT(EK$44-1-1)+1),$DC346,IF($DD346="No",1,0))/
IF(DR346&gt;=INT($N346),$N346-INT($N346),1)))*
IF(EK$44=1,0,
IF(INT(DS346)=INT(DR346),DS346-DR346,INT(DS346)-DR346))+
IF($N346&lt;=1,
IF($N346&gt;0,1/$N346,0),VDB(1,0,$N346,INT(EK$44-1),MIN($N346,INT(EK$44-1)+1),$DC346,IF($DD346="No",1,0))/
IF(DS346&gt;INT($N346),$N346-INT($N346),1))*
IF(EK$44=1,DS346,
IF(INT(DS346)=INT(DR346),0,DS346-INT(DS346)))))</f>
        <v>0</v>
      </c>
      <c r="EL346" s="835">
        <f>+IF(DT346=DS346,0,
IF(AND(EL$44&gt;1,DT346=$N346),1-SUM($EE346:EK346),
IF($N346&lt;=1,
IF($N346&gt;0,1/$N346,0),
IF(EL$44=1,0,VDB(1,0,$N346,INT(EL$44-1-1),MIN($N346,INT(EL$44-1-1)+1),$DC346,IF($DD346="No",1,0))/
IF(DS346&gt;=INT($N346),$N346-INT($N346),1)))*
IF(EL$44=1,0,
IF(INT(DT346)=INT(DS346),DT346-DS346,INT(DT346)-DS346))+
IF($N346&lt;=1,
IF($N346&gt;0,1/$N346,0),VDB(1,0,$N346,INT(EL$44-1),MIN($N346,INT(EL$44-1)+1),$DC346,IF($DD346="No",1,0))/
IF(DT346&gt;INT($N346),$N346-INT($N346),1))*
IF(EL$44=1,DT346,
IF(INT(DT346)=INT(DS346),0,DT346-INT(DT346)))))</f>
        <v>0</v>
      </c>
      <c r="EM346" s="836">
        <f>+IF(DU346=DT346,0,
IF(AND(EM$44&gt;1,DU346=$N346),1-SUM($EE346:EL346),
IF($N346&lt;=1,
IF($N346&gt;0,1/$N346,0),
IF(EM$44=1,0,VDB(1,0,$N346,INT(EM$44-1-1),MIN($N346,INT(EM$44-1-1)+1),$DC346,IF($DD346="No",1,0))/
IF(DT346&gt;=INT($N346),$N346-INT($N346),1)))*
IF(EM$44=1,0,
IF(INT(DU346)=INT(DT346),DU346-DT346,INT(DU346)-DT346))+
IF($N346&lt;=1,
IF($N346&gt;0,1/$N346,0),VDB(1,0,$N346,INT(EM$44-1),MIN($N346,INT(EM$44-1)+1),$DC346,IF($DD346="No",1,0))/
IF(DU346&gt;INT($N346),$N346-INT($N346),1))*
IF(EM$44=1,DU346,
IF(INT(DU346)=INT(DT346),0,DU346-INT(DU346)))))</f>
        <v>0</v>
      </c>
      <c r="EN346" s="833"/>
      <c r="EO346" s="834">
        <f>+IF(OR(DW346=DV346,EO$44=1),0,
IF(AND(EO$44&gt;1,DW346=$N346),1-SUM($EN346:EN346),
IF($N346&lt;=1,
IF($N346&gt;0,1/$N346,0),
IF(EO$44=2,0,VDB(1,0,$N346,INT(EO$44-2-1),MIN($N346,INT(EO$44-2-1)+1),$DC346,IF($DD346="No",1,0))/
IF(DV346&gt;=INT($N346),$N346-INT($N346),1)))*
IF(EO$44=2,0,
IF(INT(DW346)=INT(DV346),DW346-DV346,INT(DW346)-DV346))+
IF($N346&lt;=1,
IF($N346&gt;0,1/$N346,0),VDB(1,0,$N346,INT(EO$44-2),MIN($N346,INT(EO$44-2)+1),$DC346,IF($DD346="No",1,0))/
IF(DW346&gt;INT($N346),$N346-INT($N346),1))*
IF(EO$44=2,DW346,
IF(INT(DW346)=INT(DV346),0,DW346-INT(DW346)))))</f>
        <v>0</v>
      </c>
      <c r="EP346" s="835">
        <f>+IF(OR(DX346=DW346,EP$44=1),0,
IF(AND(EP$44&gt;1,DX346=$N346),1-SUM($EN346:EO346),
IF($N346&lt;=1,
IF($N346&gt;0,1/$N346,0),
IF(EP$44=2,0,VDB(1,0,$N346,INT(EP$44-2-1),MIN($N346,INT(EP$44-2-1)+1),$DC346,IF($DD346="No",1,0))/
IF(DW346&gt;=INT($N346),$N346-INT($N346),1)))*
IF(EP$44=2,0,
IF(INT(DX346)=INT(DW346),DX346-DW346,INT(DX346)-DW346))+
IF($N346&lt;=1,
IF($N346&gt;0,1/$N346,0),VDB(1,0,$N346,INT(EP$44-2),MIN($N346,INT(EP$44-2)+1),$DC346,IF($DD346="No",1,0))/
IF(DX346&gt;INT($N346),$N346-INT($N346),1))*
IF(EP$44=2,DX346,
IF(INT(DX346)=INT(DW346),0,DX346-INT(DX346)))))</f>
        <v>0</v>
      </c>
      <c r="EQ346" s="836">
        <f>+IF(OR(DY346=DX346,EQ$44=1),0,
IF(AND(EQ$44&gt;1,DY346=$N346),1-SUM($EN346:EP346),
IF($N346&lt;=1,
IF($N346&gt;0,1/$N346,0),
IF(EQ$44=2,0,VDB(1,0,$N346,INT(EQ$44-2-1),MIN($N346,INT(EQ$44-2-1)+1),$DC346,IF($DD346="No",1,0))/
IF(DX346&gt;=INT($N346),$N346-INT($N346),1)))*
IF(EQ$44=2,0,
IF(INT(DY346)=INT(DX346),DY346-DX346,INT(DY346)-DX346))+
IF($N346&lt;=1,
IF($N346&gt;0,1/$N346,0),VDB(1,0,$N346,INT(EQ$44-2),MIN($N346,INT(EQ$44-2)+1),$DC346,IF($DD346="No",1,0))/
IF(DY346&gt;INT($N346),$N346-INT($N346),1))*
IF(EQ$44=2,DY346,
IF(INT(DY346)=INT(DX346),0,DY346-INT(DY346)))))</f>
        <v>0</v>
      </c>
      <c r="ER346" s="834">
        <f>+IF(OR(DZ346=DY346,ER$44=1),0,
IF(AND(ER$44&gt;1,DZ346=$N346),1-SUM($EN346:EQ346),
IF($N346&lt;=1,
IF($N346&gt;0,1/$N346,0),
IF(ER$44=2,0,VDB(1,0,$N346,INT(ER$44-2-1),MIN($N346,INT(ER$44-2-1)+1),$DC346,IF($DD346="No",1,0))/
IF(DY346&gt;=INT($N346),$N346-INT($N346),1)))*
IF(ER$44=2,0,
IF(INT(DZ346)=INT(DY346),DZ346-DY346,INT(DZ346)-DY346))+
IF($N346&lt;=1,
IF($N346&gt;0,1/$N346,0),VDB(1,0,$N346,INT(ER$44-2),MIN($N346,INT(ER$44-2)+1),$DC346,IF($DD346="No",1,0))/
IF(DZ346&gt;INT($N346),$N346-INT($N346),1))*
IF(ER$44=2,DZ346,
IF(INT(DZ346)=INT(DY346),0,DZ346-INT(DZ346)))))</f>
        <v>0</v>
      </c>
      <c r="ES346" s="835">
        <f>+IF(OR(EA346=DZ346,ES$44=1),0,
IF(AND(ES$44&gt;1,EA346=$N346),1-SUM($EN346:ER346),
IF($N346&lt;=1,
IF($N346&gt;0,1/$N346,0),
IF(ES$44=2,0,VDB(1,0,$N346,INT(ES$44-2-1),MIN($N346,INT(ES$44-2-1)+1),$DC346,IF($DD346="No",1,0))/
IF(DZ346&gt;=INT($N346),$N346-INT($N346),1)))*
IF(ES$44=2,0,
IF(INT(EA346)=INT(DZ346),EA346-DZ346,INT(EA346)-DZ346))+
IF($N346&lt;=1,
IF($N346&gt;0,1/$N346,0),VDB(1,0,$N346,INT(ES$44-2),MIN($N346,INT(ES$44-2)+1),$DC346,IF($DD346="No",1,0))/
IF(EA346&gt;INT($N346),$N346-INT($N346),1))*
IF(ES$44=2,EA346,
IF(INT(EA346)=INT(DZ346),0,EA346-INT(EA346)))))</f>
        <v>0</v>
      </c>
      <c r="ET346" s="835">
        <f>+IF(OR(EB346=EA346,ET$44=1),0,
IF(AND(ET$44&gt;1,EB346=$N346),1-SUM($EN346:ES346),
IF($N346&lt;=1,
IF($N346&gt;0,1/$N346,0),
IF(ET$44=2,0,VDB(1,0,$N346,INT(ET$44-2-1),MIN($N346,INT(ET$44-2-1)+1),$DC346,IF($DD346="No",1,0))/
IF(EA346&gt;=INT($N346),$N346-INT($N346),1)))*
IF(ET$44=2,0,
IF(INT(EB346)=INT(EA346),EB346-EA346,INT(EB346)-EA346))+
IF($N346&lt;=1,
IF($N346&gt;0,1/$N346,0),VDB(1,0,$N346,INT(ET$44-2),MIN($N346,INT(ET$44-2)+1),$DC346,IF($DD346="No",1,0))/
IF(EB346&gt;INT($N346),$N346-INT($N346),1))*
IF(ET$44=2,EB346,
IF(INT(EB346)=INT(EA346),0,EB346-INT(EB346)))))</f>
        <v>0</v>
      </c>
      <c r="EU346" s="835">
        <f>+IF(OR(EC346=EB346,EU$44=1),0,
IF(AND(EU$44&gt;1,EC346=$N346),1-SUM($EN346:ET346),
IF($N346&lt;=1,
IF($N346&gt;0,1/$N346,0),
IF(EU$44=2,0,VDB(1,0,$N346,INT(EU$44-2-1),MIN($N346,INT(EU$44-2-1)+1),$DC346,IF($DD346="No",1,0))/
IF(EB346&gt;=INT($N346),$N346-INT($N346),1)))*
IF(EU$44=2,0,
IF(INT(EC346)=INT(EB346),EC346-EB346,INT(EC346)-EB346))+
IF($N346&lt;=1,
IF($N346&gt;0,1/$N346,0),VDB(1,0,$N346,INT(EU$44-2),MIN($N346,INT(EU$44-2)+1),$DC346,IF($DD346="No",1,0))/
IF(EC346&gt;INT($N346),$N346-INT($N346),1))*
IF(EU$44=2,EC346,
IF(INT(EC346)=INT(EB346),0,EC346-INT(EC346)))))</f>
        <v>0</v>
      </c>
      <c r="EV346" s="836">
        <f>+IF(OR(ED346=EC346,EV$44=1),0,
IF(AND(EV$44&gt;1,ED346=$N346),1-SUM($EN346:EU346),
IF($N346&lt;=1,
IF($N346&gt;0,1/$N346,0),
IF(EV$44=2,0,VDB(1,0,$N346,INT(EV$44-2-1),MIN($N346,INT(EV$44-2-1)+1),$DC346,IF($DD346="No",1,0))/
IF(EC346&gt;=INT($N346),$N346-INT($N346),1)))*
IF(EV$44=2,0,
IF(INT(ED346)=INT(EC346),ED346-EC346,INT(ED346)-EC346))+
IF($N346&lt;=1,
IF($N346&gt;0,1/$N346,0),VDB(1,0,$N346,INT(EV$44-2),MIN($N346,INT(EV$44-2)+1),$DC346,IF($DD346="No",1,0))/
IF(ED346&gt;INT($N346),$N346-INT($N346),1))*
IF(EV$44=2,ED346,
IF(INT(ED346)=INT(EC346),0,ED346-INT(ED346)))))</f>
        <v>0</v>
      </c>
      <c r="EW346" s="833"/>
      <c r="EX346" s="834">
        <f t="shared" ca="1" si="570"/>
        <v>0</v>
      </c>
      <c r="EY346" s="835">
        <f t="shared" ca="1" si="570"/>
        <v>0</v>
      </c>
      <c r="EZ346" s="836">
        <f t="shared" ca="1" si="570"/>
        <v>0</v>
      </c>
      <c r="FA346" s="834">
        <f t="shared" ca="1" si="570"/>
        <v>0</v>
      </c>
      <c r="FB346" s="835">
        <f t="shared" ca="1" si="570"/>
        <v>0</v>
      </c>
      <c r="FC346" s="835">
        <f t="shared" ca="1" si="570"/>
        <v>0</v>
      </c>
      <c r="FD346" s="835">
        <f t="shared" ca="1" si="570"/>
        <v>0</v>
      </c>
      <c r="FE346" s="836">
        <f t="shared" ca="1" si="570"/>
        <v>0</v>
      </c>
      <c r="FG346" s="386">
        <f t="shared" ca="1" si="617"/>
        <v>0</v>
      </c>
      <c r="FH346" s="387">
        <f t="shared" ca="1" si="618"/>
        <v>0</v>
      </c>
      <c r="FI346" s="388">
        <f t="shared" ca="1" si="619"/>
        <v>0</v>
      </c>
      <c r="FJ346" s="386">
        <f t="shared" ca="1" si="620"/>
        <v>0</v>
      </c>
      <c r="FK346" s="387">
        <f t="shared" ca="1" si="621"/>
        <v>0</v>
      </c>
      <c r="FL346" s="387">
        <f t="shared" ca="1" si="622"/>
        <v>0</v>
      </c>
      <c r="FM346" s="387">
        <f t="shared" ca="1" si="623"/>
        <v>0</v>
      </c>
      <c r="FN346" s="388">
        <f t="shared" ca="1" si="624"/>
        <v>0</v>
      </c>
      <c r="FR346" s="116"/>
    </row>
    <row r="347" spans="2:174">
      <c r="B347" s="1410">
        <f t="shared" si="556"/>
        <v>301</v>
      </c>
      <c r="C347" s="400"/>
      <c r="D347" s="410"/>
      <c r="E347" s="402"/>
      <c r="F347" s="402"/>
      <c r="G347" s="400"/>
      <c r="H347" s="2088"/>
      <c r="I347" s="2089"/>
      <c r="J347" s="411"/>
      <c r="K347" s="403"/>
      <c r="L347" s="403"/>
      <c r="M347" s="403"/>
      <c r="N347" s="403"/>
      <c r="O347" s="347"/>
      <c r="P347" s="347"/>
      <c r="Q347" s="1021"/>
      <c r="R347" s="1022"/>
      <c r="S347" s="1022"/>
      <c r="T347" s="1022"/>
      <c r="U347" s="1023"/>
      <c r="V347" s="1021"/>
      <c r="W347" s="1022"/>
      <c r="X347" s="1022"/>
      <c r="Y347" s="1022"/>
      <c r="Z347" s="1023"/>
      <c r="AA347" s="1024"/>
      <c r="AB347" s="1021"/>
      <c r="AC347" s="1022"/>
      <c r="AD347" s="1022"/>
      <c r="AE347" s="1022"/>
      <c r="AF347" s="1023"/>
      <c r="AG347" s="1021"/>
      <c r="AH347" s="1022"/>
      <c r="AI347" s="1022"/>
      <c r="AJ347" s="1022"/>
      <c r="AK347" s="1023"/>
      <c r="AL347" s="1024"/>
      <c r="AM347" s="1021"/>
      <c r="AN347" s="1022"/>
      <c r="AO347" s="1022"/>
      <c r="AP347" s="1022"/>
      <c r="AQ347" s="1023"/>
      <c r="AR347" s="1021"/>
      <c r="AS347" s="1022"/>
      <c r="AT347" s="1022"/>
      <c r="AU347" s="1022"/>
      <c r="AV347" s="1023"/>
      <c r="AW347" s="1025"/>
      <c r="AX347" s="1282">
        <f t="shared" si="571"/>
        <v>0</v>
      </c>
      <c r="AY347" s="387">
        <f t="shared" si="572"/>
        <v>0</v>
      </c>
      <c r="AZ347" s="387">
        <f t="shared" si="573"/>
        <v>0</v>
      </c>
      <c r="BA347" s="387">
        <f t="shared" si="574"/>
        <v>0</v>
      </c>
      <c r="BB347" s="1283">
        <f t="shared" si="575"/>
        <v>0</v>
      </c>
      <c r="BC347" s="386">
        <f t="shared" si="576"/>
        <v>0</v>
      </c>
      <c r="BD347" s="387">
        <f t="shared" si="577"/>
        <v>0</v>
      </c>
      <c r="BE347" s="1277">
        <f t="shared" si="578"/>
        <v>0</v>
      </c>
      <c r="BF347" s="1277">
        <f t="shared" si="579"/>
        <v>0</v>
      </c>
      <c r="BG347" s="388">
        <f t="shared" si="580"/>
        <v>0</v>
      </c>
      <c r="BH347" s="1025"/>
      <c r="BI347" s="1282">
        <f t="shared" ca="1" si="581"/>
        <v>0</v>
      </c>
      <c r="BJ347" s="387">
        <f t="shared" ca="1" si="582"/>
        <v>0</v>
      </c>
      <c r="BK347" s="387">
        <f t="shared" ca="1" si="583"/>
        <v>0</v>
      </c>
      <c r="BL347" s="387">
        <f t="shared" ca="1" si="584"/>
        <v>0</v>
      </c>
      <c r="BM347" s="1283">
        <f t="shared" ca="1" si="585"/>
        <v>0</v>
      </c>
      <c r="BN347" s="386">
        <f t="shared" ca="1" si="586"/>
        <v>0</v>
      </c>
      <c r="BO347" s="387">
        <f t="shared" ca="1" si="587"/>
        <v>0</v>
      </c>
      <c r="BP347" s="1277">
        <f t="shared" ca="1" si="588"/>
        <v>0</v>
      </c>
      <c r="BQ347" s="1277">
        <f t="shared" ca="1" si="589"/>
        <v>0</v>
      </c>
      <c r="BR347" s="388">
        <f t="shared" ca="1" si="590"/>
        <v>0</v>
      </c>
      <c r="BS347" s="1025"/>
      <c r="BT347" s="1282">
        <f>+IF($K347="Ongoing",AX347,IF(RIGHT($K347,2)=RIGHT(BT$43,2),SUM($AX347:AX347),0)+IF(RIGHT(BT$43,2)&gt;RIGHT($K347,2),AX347,0))</f>
        <v>0</v>
      </c>
      <c r="BU347" s="387">
        <f>+IF($K347="Ongoing",AY347,IF(RIGHT($K347,2)=RIGHT(BU$43,2),SUM($AX347:AY347),0)+IF(RIGHT(BU$43,2)&gt;RIGHT($K347,2),AY347,0))</f>
        <v>0</v>
      </c>
      <c r="BV347" s="387">
        <f>+IF($K347="Ongoing",AZ347,IF(RIGHT($K347,2)=RIGHT(BV$43,2),SUM($AX347:AZ347),0)+IF(RIGHT(BV$43,2)&gt;RIGHT($K347,2),AZ347,0))</f>
        <v>0</v>
      </c>
      <c r="BW347" s="387">
        <f>+IF($K347="Ongoing",BA347,IF(RIGHT($K347,2)=RIGHT(BW$43,2),SUM($AX347:BA347),0)+IF(RIGHT(BW$43,2)&gt;RIGHT($K347,2),BA347,0))</f>
        <v>0</v>
      </c>
      <c r="BX347" s="1283">
        <f>+IF($K347="Ongoing",BB347,IF(RIGHT($K347,2)=RIGHT(BX$43,2),SUM($AX347:BB347),0)+IF(RIGHT(BX$43,2)&gt;RIGHT($K347,2),BB347,0))</f>
        <v>0</v>
      </c>
      <c r="BY347" s="386">
        <f>+IF($K347="Ongoing",BC347,IF(RIGHT($K347,2)=RIGHT(BY$43,2),SUM($AX347:BC347),0)+IF(RIGHT(BY$43,2)&gt;RIGHT($K347,2),BC347,0))</f>
        <v>0</v>
      </c>
      <c r="BZ347" s="387">
        <f>+IF($K347="Ongoing",BD347,IF(RIGHT($K347,2)=RIGHT(BZ$43,2),SUM($AX347:BD347),0)+IF(RIGHT(BZ$43,2)&gt;RIGHT($K347,2),BD347,0))</f>
        <v>0</v>
      </c>
      <c r="CA347" s="1277">
        <f>+IF($K347="Ongoing",BE347,IF(RIGHT($K347,2)=RIGHT(CA$43,2),SUM($AX347:BE347),0)+IF(RIGHT(CA$43,2)&gt;RIGHT($K347,2),BE347,0))</f>
        <v>0</v>
      </c>
      <c r="CB347" s="1277">
        <f>+IF($K347="Ongoing",BF347,IF(RIGHT($K347,2)=RIGHT(CB$43,2),SUM($AX347:BF347),0)+IF(RIGHT(CB$43,2)&gt;RIGHT($K347,2),BF347,0))</f>
        <v>0</v>
      </c>
      <c r="CC347" s="388">
        <f>+IF($K347="Ongoing",BG347,IF(RIGHT($K347,2)=RIGHT(CC$43,2),SUM($AX347:BG347),0)+IF(RIGHT(CC$43,2)&gt;RIGHT($K347,2),BG347,0))</f>
        <v>0</v>
      </c>
      <c r="CD347" s="1025"/>
      <c r="CE347" s="1282">
        <f>+Q347*KeyAssumptionsPriceControl_FO!AF$15</f>
        <v>0</v>
      </c>
      <c r="CF347" s="387">
        <f>+R347*KeyAssumptionsPriceControl_FO!AG$15</f>
        <v>0</v>
      </c>
      <c r="CG347" s="387">
        <f>+S347*KeyAssumptionsPriceControl_FO!AH$15</f>
        <v>0</v>
      </c>
      <c r="CH347" s="387">
        <f>+T347*KeyAssumptionsPriceControl_FO!AI$15</f>
        <v>0</v>
      </c>
      <c r="CI347" s="1283">
        <f>+U347*KeyAssumptionsPriceControl_FO!AJ$15</f>
        <v>0</v>
      </c>
      <c r="CJ347" s="386">
        <f>+V347*KeyAssumptionsPriceControl_FO!AK$15</f>
        <v>0</v>
      </c>
      <c r="CK347" s="387">
        <f>+W347*KeyAssumptionsPriceControl_FO!AL$15</f>
        <v>0</v>
      </c>
      <c r="CL347" s="1277">
        <f>+X347*KeyAssumptionsPriceControl_FO!AM$15</f>
        <v>0</v>
      </c>
      <c r="CM347" s="1277">
        <f>+Y347*KeyAssumptionsPriceControl_FO!AN$15</f>
        <v>0</v>
      </c>
      <c r="CN347" s="388">
        <f>+Z347*KeyAssumptionsPriceControl_FO!AO$15</f>
        <v>0</v>
      </c>
      <c r="CO347" s="1025"/>
      <c r="CP347" s="1282">
        <f t="shared" ca="1" si="591"/>
        <v>0</v>
      </c>
      <c r="CQ347" s="387">
        <f t="shared" ca="1" si="592"/>
        <v>0</v>
      </c>
      <c r="CR347" s="387">
        <f t="shared" ca="1" si="593"/>
        <v>0</v>
      </c>
      <c r="CS347" s="387">
        <f t="shared" ca="1" si="594"/>
        <v>0</v>
      </c>
      <c r="CT347" s="1283">
        <f t="shared" ca="1" si="595"/>
        <v>0</v>
      </c>
      <c r="CU347" s="386">
        <f t="shared" ca="1" si="596"/>
        <v>0</v>
      </c>
      <c r="CV347" s="387">
        <f t="shared" ca="1" si="597"/>
        <v>0</v>
      </c>
      <c r="CW347" s="1277">
        <f t="shared" ca="1" si="598"/>
        <v>0</v>
      </c>
      <c r="CX347" s="1277">
        <f t="shared" ca="1" si="599"/>
        <v>0</v>
      </c>
      <c r="CY347" s="388">
        <f t="shared" ca="1" si="600"/>
        <v>0</v>
      </c>
      <c r="CZ347" s="347"/>
      <c r="DA347" s="852"/>
      <c r="DB347" s="347"/>
      <c r="DC347" s="1012" t="s">
        <v>549</v>
      </c>
      <c r="DD347" s="841" t="s">
        <v>518</v>
      </c>
      <c r="DE347" s="386">
        <f>+IF($K347="ongoing",CE347,IF(RIGHT($K347,2)=RIGHT(DE$43,2),SUM($CD347:CE347),0)+IF(RIGHT(DE$43,2)&gt;RIGHT($K347,2),CE347,0))</f>
        <v>0</v>
      </c>
      <c r="DF347" s="387">
        <f>+IF($K347="ongoing",CF347,IF(RIGHT($K347,2)=RIGHT(DF$43,2),SUM($CD347:CF347),0)+IF(RIGHT(DF$43,2)&gt;RIGHT($K347,2),CF347,0))</f>
        <v>0</v>
      </c>
      <c r="DG347" s="388">
        <f>+IF($K347="ongoing",CG347,IF(RIGHT($K347,2)=RIGHT(DG$43,2),SUM($CD347:CG347),0)+IF(RIGHT(DG$43,2)&gt;RIGHT($K347,2),CG347,0))</f>
        <v>0</v>
      </c>
      <c r="DH347" s="386">
        <f>+IF($K347="ongoing",CH347,IF(RIGHT($K347,2)=RIGHT(DH$43,2),SUM($CD347:CH347),0)+IF(RIGHT(DH$43,2)&gt;RIGHT($K347,2),CH347,0))</f>
        <v>0</v>
      </c>
      <c r="DI347" s="387">
        <f>+IF($K347="ongoing",CI347,IF(RIGHT($K347,2)=RIGHT(DI$43,2),SUM($CD347:CI347),0)+IF(RIGHT(DI$43,2)&gt;RIGHT($K347,2),CI347,0))</f>
        <v>0</v>
      </c>
      <c r="DJ347" s="387">
        <f>+IF($K347="ongoing",CJ347,IF(RIGHT($K347,2)=RIGHT(DJ$43,2),SUM($CD347:CJ347),0)+IF(RIGHT(DJ$43,2)&gt;RIGHT($K347,2),CJ347,0))</f>
        <v>0</v>
      </c>
      <c r="DK347" s="387">
        <f>+IF($K347="ongoing",CK347,IF(RIGHT($K347,2)=RIGHT(DK$43,2),SUM($CD347:CK347),0)+IF(RIGHT(DK$43,2)&gt;RIGHT($K347,2),CK347,0))</f>
        <v>0</v>
      </c>
      <c r="DL347" s="388">
        <f>+IF($K347="ongoing",CN347,IF(RIGHT($K347,2)=RIGHT(DL$43,2),SUM($CD347:CN347),0)+IF(RIGHT(DL$43,2)&gt;RIGHT($K347,2),CN347,0))</f>
        <v>0</v>
      </c>
      <c r="DM347" s="841"/>
      <c r="DN347" s="386">
        <f t="shared" si="601"/>
        <v>0.5</v>
      </c>
      <c r="DO347" s="387">
        <f t="shared" si="602"/>
        <v>1</v>
      </c>
      <c r="DP347" s="388">
        <f t="shared" si="603"/>
        <v>1</v>
      </c>
      <c r="DQ347" s="386">
        <f t="shared" si="604"/>
        <v>1</v>
      </c>
      <c r="DR347" s="387">
        <f t="shared" si="605"/>
        <v>1</v>
      </c>
      <c r="DS347" s="387">
        <f t="shared" si="606"/>
        <v>1</v>
      </c>
      <c r="DT347" s="387">
        <f t="shared" si="607"/>
        <v>1</v>
      </c>
      <c r="DU347" s="388">
        <f t="shared" si="608"/>
        <v>1</v>
      </c>
      <c r="DW347" s="386">
        <f t="shared" si="609"/>
        <v>0</v>
      </c>
      <c r="DX347" s="387">
        <f t="shared" si="610"/>
        <v>0.5</v>
      </c>
      <c r="DY347" s="388">
        <f t="shared" si="611"/>
        <v>1</v>
      </c>
      <c r="DZ347" s="386">
        <f t="shared" si="612"/>
        <v>1</v>
      </c>
      <c r="EA347" s="387">
        <f t="shared" si="613"/>
        <v>1</v>
      </c>
      <c r="EB347" s="387">
        <f t="shared" si="614"/>
        <v>1</v>
      </c>
      <c r="EC347" s="387">
        <f t="shared" si="615"/>
        <v>1</v>
      </c>
      <c r="ED347" s="388">
        <f t="shared" si="616"/>
        <v>1</v>
      </c>
      <c r="EF347" s="834">
        <f>+IF(DN347=DM347,0,
IF(AND(EF$44&gt;1,DN347=$N347),1-SUM($EE347:EE347),
IF($N347&lt;=1,
IF($N347&gt;0,1/$N347,0),
IF(EF$44=1,0,VDB(1,0,$N347,INT(EF$44-1-1),MIN($N347,INT(EF$44-1-1)+1),$DC347,IF($DD347="No",1,0))/
IF(DM347&gt;=INT($N347),$N347-INT($N347),1)))*
IF(EF$44=1,0,
IF(INT(DN347)=INT(DM347),DN347-DM347,INT(DN347)-DM347))+
IF($N347&lt;=1,
IF($N347&gt;0,1/$N347,0),VDB(1,0,$N347,INT(EF$44-1),MIN($N347,INT(EF$44-1)+1),$DC347,IF($DD347="No",1,0))/
IF(DN347&gt;INT($N347),$N347-INT($N347),1))*
IF(EF$44=1,DN347,
IF(INT(DN347)=INT(DM347),0,DN347-INT(DN347)))))</f>
        <v>0</v>
      </c>
      <c r="EG347" s="835">
        <f>+IF(DO347=DN347,0,
IF(AND(EG$44&gt;1,DO347=$N347),1-SUM($EE347:EF347),
IF($N347&lt;=1,
IF($N347&gt;0,1/$N347,0),
IF(EG$44=1,0,VDB(1,0,$N347,INT(EG$44-1-1),MIN($N347,INT(EG$44-1-1)+1),$DC347,IF($DD347="No",1,0))/
IF(DN347&gt;=INT($N347),$N347-INT($N347),1)))*
IF(EG$44=1,0,
IF(INT(DO347)=INT(DN347),DO347-DN347,INT(DO347)-DN347))+
IF($N347&lt;=1,
IF($N347&gt;0,1/$N347,0),VDB(1,0,$N347,INT(EG$44-1),MIN($N347,INT(EG$44-1)+1),$DC347,IF($DD347="No",1,0))/
IF(DO347&gt;INT($N347),$N347-INT($N347),1))*
IF(EG$44=1,DO347,
IF(INT(DO347)=INT(DN347),0,DO347-INT(DO347)))))</f>
        <v>0</v>
      </c>
      <c r="EH347" s="836">
        <f>+IF(DP347=DO347,0,
IF(AND(EH$44&gt;1,DP347=$N347),1-SUM($EE347:EG347),
IF($N347&lt;=1,
IF($N347&gt;0,1/$N347,0),
IF(EH$44=1,0,VDB(1,0,$N347,INT(EH$44-1-1),MIN($N347,INT(EH$44-1-1)+1),$DC347,IF($DD347="No",1,0))/
IF(DO347&gt;=INT($N347),$N347-INT($N347),1)))*
IF(EH$44=1,0,
IF(INT(DP347)=INT(DO347),DP347-DO347,INT(DP347)-DO347))+
IF($N347&lt;=1,
IF($N347&gt;0,1/$N347,0),VDB(1,0,$N347,INT(EH$44-1),MIN($N347,INT(EH$44-1)+1),$DC347,IF($DD347="No",1,0))/
IF(DP347&gt;INT($N347),$N347-INT($N347),1))*
IF(EH$44=1,DP347,
IF(INT(DP347)=INT(DO347),0,DP347-INT(DP347)))))</f>
        <v>0</v>
      </c>
      <c r="EI347" s="834">
        <f>+IF(DQ347=DP347,0,
IF(AND(EI$44&gt;1,DQ347=$N347),1-SUM($EE347:EH347),
IF($N347&lt;=1,
IF($N347&gt;0,1/$N347,0),
IF(EI$44=1,0,VDB(1,0,$N347,INT(EI$44-1-1),MIN($N347,INT(EI$44-1-1)+1),$DC347,IF($DD347="No",1,0))/
IF(DP347&gt;=INT($N347),$N347-INT($N347),1)))*
IF(EI$44=1,0,
IF(INT(DQ347)=INT(DP347),DQ347-DP347,INT(DQ347)-DP347))+
IF($N347&lt;=1,
IF($N347&gt;0,1/$N347,0),VDB(1,0,$N347,INT(EI$44-1),MIN($N347,INT(EI$44-1)+1),$DC347,IF($DD347="No",1,0))/
IF(DQ347&gt;INT($N347),$N347-INT($N347),1))*
IF(EI$44=1,DQ347,
IF(INT(DQ347)=INT(DP347),0,DQ347-INT(DQ347)))))</f>
        <v>0</v>
      </c>
      <c r="EJ347" s="835">
        <f>+IF(DR347=DQ347,0,
IF(AND(EJ$44&gt;1,DR347=$N347),1-SUM($EE347:EI347),
IF($N347&lt;=1,
IF($N347&gt;0,1/$N347,0),
IF(EJ$44=1,0,VDB(1,0,$N347,INT(EJ$44-1-1),MIN($N347,INT(EJ$44-1-1)+1),$DC347,IF($DD347="No",1,0))/
IF(DQ347&gt;=INT($N347),$N347-INT($N347),1)))*
IF(EJ$44=1,0,
IF(INT(DR347)=INT(DQ347),DR347-DQ347,INT(DR347)-DQ347))+
IF($N347&lt;=1,
IF($N347&gt;0,1/$N347,0),VDB(1,0,$N347,INT(EJ$44-1),MIN($N347,INT(EJ$44-1)+1),$DC347,IF($DD347="No",1,0))/
IF(DR347&gt;INT($N347),$N347-INT($N347),1))*
IF(EJ$44=1,DR347,
IF(INT(DR347)=INT(DQ347),0,DR347-INT(DR347)))))</f>
        <v>0</v>
      </c>
      <c r="EK347" s="835">
        <f>+IF(DS347=DR347,0,
IF(AND(EK$44&gt;1,DS347=$N347),1-SUM($EE347:EJ347),
IF($N347&lt;=1,
IF($N347&gt;0,1/$N347,0),
IF(EK$44=1,0,VDB(1,0,$N347,INT(EK$44-1-1),MIN($N347,INT(EK$44-1-1)+1),$DC347,IF($DD347="No",1,0))/
IF(DR347&gt;=INT($N347),$N347-INT($N347),1)))*
IF(EK$44=1,0,
IF(INT(DS347)=INT(DR347),DS347-DR347,INT(DS347)-DR347))+
IF($N347&lt;=1,
IF($N347&gt;0,1/$N347,0),VDB(1,0,$N347,INT(EK$44-1),MIN($N347,INT(EK$44-1)+1),$DC347,IF($DD347="No",1,0))/
IF(DS347&gt;INT($N347),$N347-INT($N347),1))*
IF(EK$44=1,DS347,
IF(INT(DS347)=INT(DR347),0,DS347-INT(DS347)))))</f>
        <v>0</v>
      </c>
      <c r="EL347" s="835">
        <f>+IF(DT347=DS347,0,
IF(AND(EL$44&gt;1,DT347=$N347),1-SUM($EE347:EK347),
IF($N347&lt;=1,
IF($N347&gt;0,1/$N347,0),
IF(EL$44=1,0,VDB(1,0,$N347,INT(EL$44-1-1),MIN($N347,INT(EL$44-1-1)+1),$DC347,IF($DD347="No",1,0))/
IF(DS347&gt;=INT($N347),$N347-INT($N347),1)))*
IF(EL$44=1,0,
IF(INT(DT347)=INT(DS347),DT347-DS347,INT(DT347)-DS347))+
IF($N347&lt;=1,
IF($N347&gt;0,1/$N347,0),VDB(1,0,$N347,INT(EL$44-1),MIN($N347,INT(EL$44-1)+1),$DC347,IF($DD347="No",1,0))/
IF(DT347&gt;INT($N347),$N347-INT($N347),1))*
IF(EL$44=1,DT347,
IF(INT(DT347)=INT(DS347),0,DT347-INT(DT347)))))</f>
        <v>0</v>
      </c>
      <c r="EM347" s="836">
        <f>+IF(DU347=DT347,0,
IF(AND(EM$44&gt;1,DU347=$N347),1-SUM($EE347:EL347),
IF($N347&lt;=1,
IF($N347&gt;0,1/$N347,0),
IF(EM$44=1,0,VDB(1,0,$N347,INT(EM$44-1-1),MIN($N347,INT(EM$44-1-1)+1),$DC347,IF($DD347="No",1,0))/
IF(DT347&gt;=INT($N347),$N347-INT($N347),1)))*
IF(EM$44=1,0,
IF(INT(DU347)=INT(DT347),DU347-DT347,INT(DU347)-DT347))+
IF($N347&lt;=1,
IF($N347&gt;0,1/$N347,0),VDB(1,0,$N347,INT(EM$44-1),MIN($N347,INT(EM$44-1)+1),$DC347,IF($DD347="No",1,0))/
IF(DU347&gt;INT($N347),$N347-INT($N347),1))*
IF(EM$44=1,DU347,
IF(INT(DU347)=INT(DT347),0,DU347-INT(DU347)))))</f>
        <v>0</v>
      </c>
      <c r="EN347" s="833"/>
      <c r="EO347" s="834">
        <f>+IF(OR(DW347=DV347,EO$44=1),0,
IF(AND(EO$44&gt;1,DW347=$N347),1-SUM($EN347:EN347),
IF($N347&lt;=1,
IF($N347&gt;0,1/$N347,0),
IF(EO$44=2,0,VDB(1,0,$N347,INT(EO$44-2-1),MIN($N347,INT(EO$44-2-1)+1),$DC347,IF($DD347="No",1,0))/
IF(DV347&gt;=INT($N347),$N347-INT($N347),1)))*
IF(EO$44=2,0,
IF(INT(DW347)=INT(DV347),DW347-DV347,INT(DW347)-DV347))+
IF($N347&lt;=1,
IF($N347&gt;0,1/$N347,0),VDB(1,0,$N347,INT(EO$44-2),MIN($N347,INT(EO$44-2)+1),$DC347,IF($DD347="No",1,0))/
IF(DW347&gt;INT($N347),$N347-INT($N347),1))*
IF(EO$44=2,DW347,
IF(INT(DW347)=INT(DV347),0,DW347-INT(DW347)))))</f>
        <v>0</v>
      </c>
      <c r="EP347" s="835">
        <f>+IF(OR(DX347=DW347,EP$44=1),0,
IF(AND(EP$44&gt;1,DX347=$N347),1-SUM($EN347:EO347),
IF($N347&lt;=1,
IF($N347&gt;0,1/$N347,0),
IF(EP$44=2,0,VDB(1,0,$N347,INT(EP$44-2-1),MIN($N347,INT(EP$44-2-1)+1),$DC347,IF($DD347="No",1,0))/
IF(DW347&gt;=INT($N347),$N347-INT($N347),1)))*
IF(EP$44=2,0,
IF(INT(DX347)=INT(DW347),DX347-DW347,INT(DX347)-DW347))+
IF($N347&lt;=1,
IF($N347&gt;0,1/$N347,0),VDB(1,0,$N347,INT(EP$44-2),MIN($N347,INT(EP$44-2)+1),$DC347,IF($DD347="No",1,0))/
IF(DX347&gt;INT($N347),$N347-INT($N347),1))*
IF(EP$44=2,DX347,
IF(INT(DX347)=INT(DW347),0,DX347-INT(DX347)))))</f>
        <v>0</v>
      </c>
      <c r="EQ347" s="836">
        <f>+IF(OR(DY347=DX347,EQ$44=1),0,
IF(AND(EQ$44&gt;1,DY347=$N347),1-SUM($EN347:EP347),
IF($N347&lt;=1,
IF($N347&gt;0,1/$N347,0),
IF(EQ$44=2,0,VDB(1,0,$N347,INT(EQ$44-2-1),MIN($N347,INT(EQ$44-2-1)+1),$DC347,IF($DD347="No",1,0))/
IF(DX347&gt;=INT($N347),$N347-INT($N347),1)))*
IF(EQ$44=2,0,
IF(INT(DY347)=INT(DX347),DY347-DX347,INT(DY347)-DX347))+
IF($N347&lt;=1,
IF($N347&gt;0,1/$N347,0),VDB(1,0,$N347,INT(EQ$44-2),MIN($N347,INT(EQ$44-2)+1),$DC347,IF($DD347="No",1,0))/
IF(DY347&gt;INT($N347),$N347-INT($N347),1))*
IF(EQ$44=2,DY347,
IF(INT(DY347)=INT(DX347),0,DY347-INT(DY347)))))</f>
        <v>0</v>
      </c>
      <c r="ER347" s="834">
        <f>+IF(OR(DZ347=DY347,ER$44=1),0,
IF(AND(ER$44&gt;1,DZ347=$N347),1-SUM($EN347:EQ347),
IF($N347&lt;=1,
IF($N347&gt;0,1/$N347,0),
IF(ER$44=2,0,VDB(1,0,$N347,INT(ER$44-2-1),MIN($N347,INT(ER$44-2-1)+1),$DC347,IF($DD347="No",1,0))/
IF(DY347&gt;=INT($N347),$N347-INT($N347),1)))*
IF(ER$44=2,0,
IF(INT(DZ347)=INT(DY347),DZ347-DY347,INT(DZ347)-DY347))+
IF($N347&lt;=1,
IF($N347&gt;0,1/$N347,0),VDB(1,0,$N347,INT(ER$44-2),MIN($N347,INT(ER$44-2)+1),$DC347,IF($DD347="No",1,0))/
IF(DZ347&gt;INT($N347),$N347-INT($N347),1))*
IF(ER$44=2,DZ347,
IF(INT(DZ347)=INT(DY347),0,DZ347-INT(DZ347)))))</f>
        <v>0</v>
      </c>
      <c r="ES347" s="835">
        <f>+IF(OR(EA347=DZ347,ES$44=1),0,
IF(AND(ES$44&gt;1,EA347=$N347),1-SUM($EN347:ER347),
IF($N347&lt;=1,
IF($N347&gt;0,1/$N347,0),
IF(ES$44=2,0,VDB(1,0,$N347,INT(ES$44-2-1),MIN($N347,INT(ES$44-2-1)+1),$DC347,IF($DD347="No",1,0))/
IF(DZ347&gt;=INT($N347),$N347-INT($N347),1)))*
IF(ES$44=2,0,
IF(INT(EA347)=INT(DZ347),EA347-DZ347,INT(EA347)-DZ347))+
IF($N347&lt;=1,
IF($N347&gt;0,1/$N347,0),VDB(1,0,$N347,INT(ES$44-2),MIN($N347,INT(ES$44-2)+1),$DC347,IF($DD347="No",1,0))/
IF(EA347&gt;INT($N347),$N347-INT($N347),1))*
IF(ES$44=2,EA347,
IF(INT(EA347)=INT(DZ347),0,EA347-INT(EA347)))))</f>
        <v>0</v>
      </c>
      <c r="ET347" s="835">
        <f>+IF(OR(EB347=EA347,ET$44=1),0,
IF(AND(ET$44&gt;1,EB347=$N347),1-SUM($EN347:ES347),
IF($N347&lt;=1,
IF($N347&gt;0,1/$N347,0),
IF(ET$44=2,0,VDB(1,0,$N347,INT(ET$44-2-1),MIN($N347,INT(ET$44-2-1)+1),$DC347,IF($DD347="No",1,0))/
IF(EA347&gt;=INT($N347),$N347-INT($N347),1)))*
IF(ET$44=2,0,
IF(INT(EB347)=INT(EA347),EB347-EA347,INT(EB347)-EA347))+
IF($N347&lt;=1,
IF($N347&gt;0,1/$N347,0),VDB(1,0,$N347,INT(ET$44-2),MIN($N347,INT(ET$44-2)+1),$DC347,IF($DD347="No",1,0))/
IF(EB347&gt;INT($N347),$N347-INT($N347),1))*
IF(ET$44=2,EB347,
IF(INT(EB347)=INT(EA347),0,EB347-INT(EB347)))))</f>
        <v>0</v>
      </c>
      <c r="EU347" s="835">
        <f>+IF(OR(EC347=EB347,EU$44=1),0,
IF(AND(EU$44&gt;1,EC347=$N347),1-SUM($EN347:ET347),
IF($N347&lt;=1,
IF($N347&gt;0,1/$N347,0),
IF(EU$44=2,0,VDB(1,0,$N347,INT(EU$44-2-1),MIN($N347,INT(EU$44-2-1)+1),$DC347,IF($DD347="No",1,0))/
IF(EB347&gt;=INT($N347),$N347-INT($N347),1)))*
IF(EU$44=2,0,
IF(INT(EC347)=INT(EB347),EC347-EB347,INT(EC347)-EB347))+
IF($N347&lt;=1,
IF($N347&gt;0,1/$N347,0),VDB(1,0,$N347,INT(EU$44-2),MIN($N347,INT(EU$44-2)+1),$DC347,IF($DD347="No",1,0))/
IF(EC347&gt;INT($N347),$N347-INT($N347),1))*
IF(EU$44=2,EC347,
IF(INT(EC347)=INT(EB347),0,EC347-INT(EC347)))))</f>
        <v>0</v>
      </c>
      <c r="EV347" s="836">
        <f>+IF(OR(ED347=EC347,EV$44=1),0,
IF(AND(EV$44&gt;1,ED347=$N347),1-SUM($EN347:EU347),
IF($N347&lt;=1,
IF($N347&gt;0,1/$N347,0),
IF(EV$44=2,0,VDB(1,0,$N347,INT(EV$44-2-1),MIN($N347,INT(EV$44-2-1)+1),$DC347,IF($DD347="No",1,0))/
IF(EC347&gt;=INT($N347),$N347-INT($N347),1)))*
IF(EV$44=2,0,
IF(INT(ED347)=INT(EC347),ED347-EC347,INT(ED347)-EC347))+
IF($N347&lt;=1,
IF($N347&gt;0,1/$N347,0),VDB(1,0,$N347,INT(EV$44-2),MIN($N347,INT(EV$44-2)+1),$DC347,IF($DD347="No",1,0))/
IF(ED347&gt;INT($N347),$N347-INT($N347),1))*
IF(EV$44=2,ED347,
IF(INT(ED347)=INT(EC347),0,ED347-INT(ED347)))))</f>
        <v>0</v>
      </c>
      <c r="EW347" s="833"/>
      <c r="EX347" s="834">
        <f t="shared" ca="1" si="570"/>
        <v>0</v>
      </c>
      <c r="EY347" s="835">
        <f t="shared" ca="1" si="570"/>
        <v>0</v>
      </c>
      <c r="EZ347" s="836">
        <f t="shared" ca="1" si="570"/>
        <v>0</v>
      </c>
      <c r="FA347" s="834">
        <f t="shared" ca="1" si="570"/>
        <v>0</v>
      </c>
      <c r="FB347" s="835">
        <f t="shared" ca="1" si="570"/>
        <v>0</v>
      </c>
      <c r="FC347" s="835">
        <f t="shared" ca="1" si="570"/>
        <v>0</v>
      </c>
      <c r="FD347" s="835">
        <f t="shared" ca="1" si="570"/>
        <v>0</v>
      </c>
      <c r="FE347" s="836">
        <f t="shared" ca="1" si="570"/>
        <v>0</v>
      </c>
      <c r="FG347" s="386">
        <f t="shared" ca="1" si="617"/>
        <v>0</v>
      </c>
      <c r="FH347" s="387">
        <f t="shared" ca="1" si="618"/>
        <v>0</v>
      </c>
      <c r="FI347" s="388">
        <f t="shared" ca="1" si="619"/>
        <v>0</v>
      </c>
      <c r="FJ347" s="386">
        <f t="shared" ca="1" si="620"/>
        <v>0</v>
      </c>
      <c r="FK347" s="387">
        <f t="shared" ca="1" si="621"/>
        <v>0</v>
      </c>
      <c r="FL347" s="387">
        <f t="shared" ca="1" si="622"/>
        <v>0</v>
      </c>
      <c r="FM347" s="387">
        <f t="shared" ca="1" si="623"/>
        <v>0</v>
      </c>
      <c r="FN347" s="388">
        <f t="shared" ca="1" si="624"/>
        <v>0</v>
      </c>
      <c r="FR347" s="116"/>
    </row>
    <row r="348" spans="2:174">
      <c r="B348" s="1410">
        <f t="shared" si="556"/>
        <v>302</v>
      </c>
      <c r="C348" s="400"/>
      <c r="D348" s="410"/>
      <c r="E348" s="402"/>
      <c r="F348" s="402"/>
      <c r="G348" s="400"/>
      <c r="H348" s="2088"/>
      <c r="I348" s="2089"/>
      <c r="J348" s="411"/>
      <c r="K348" s="403"/>
      <c r="L348" s="403"/>
      <c r="M348" s="403"/>
      <c r="N348" s="403"/>
      <c r="O348" s="347"/>
      <c r="P348" s="347"/>
      <c r="Q348" s="1021"/>
      <c r="R348" s="1022"/>
      <c r="S348" s="1022"/>
      <c r="T348" s="1022"/>
      <c r="U348" s="1023"/>
      <c r="V348" s="1021"/>
      <c r="W348" s="1022"/>
      <c r="X348" s="1022"/>
      <c r="Y348" s="1022"/>
      <c r="Z348" s="1023"/>
      <c r="AA348" s="1024"/>
      <c r="AB348" s="1021"/>
      <c r="AC348" s="1022"/>
      <c r="AD348" s="1022"/>
      <c r="AE348" s="1022"/>
      <c r="AF348" s="1023"/>
      <c r="AG348" s="1021"/>
      <c r="AH348" s="1022"/>
      <c r="AI348" s="1022"/>
      <c r="AJ348" s="1022"/>
      <c r="AK348" s="1023"/>
      <c r="AL348" s="1024"/>
      <c r="AM348" s="1021"/>
      <c r="AN348" s="1022"/>
      <c r="AO348" s="1022"/>
      <c r="AP348" s="1022"/>
      <c r="AQ348" s="1023"/>
      <c r="AR348" s="1021"/>
      <c r="AS348" s="1022"/>
      <c r="AT348" s="1022"/>
      <c r="AU348" s="1022"/>
      <c r="AV348" s="1023"/>
      <c r="AW348" s="1025"/>
      <c r="AX348" s="1282">
        <f t="shared" si="571"/>
        <v>0</v>
      </c>
      <c r="AY348" s="387">
        <f t="shared" si="572"/>
        <v>0</v>
      </c>
      <c r="AZ348" s="387">
        <f t="shared" si="573"/>
        <v>0</v>
      </c>
      <c r="BA348" s="387">
        <f t="shared" si="574"/>
        <v>0</v>
      </c>
      <c r="BB348" s="1283">
        <f t="shared" si="575"/>
        <v>0</v>
      </c>
      <c r="BC348" s="386">
        <f t="shared" si="576"/>
        <v>0</v>
      </c>
      <c r="BD348" s="387">
        <f t="shared" si="577"/>
        <v>0</v>
      </c>
      <c r="BE348" s="1277">
        <f t="shared" si="578"/>
        <v>0</v>
      </c>
      <c r="BF348" s="1277">
        <f t="shared" si="579"/>
        <v>0</v>
      </c>
      <c r="BG348" s="388">
        <f t="shared" si="580"/>
        <v>0</v>
      </c>
      <c r="BH348" s="1025"/>
      <c r="BI348" s="1282">
        <f t="shared" ca="1" si="581"/>
        <v>0</v>
      </c>
      <c r="BJ348" s="387">
        <f t="shared" ca="1" si="582"/>
        <v>0</v>
      </c>
      <c r="BK348" s="387">
        <f t="shared" ca="1" si="583"/>
        <v>0</v>
      </c>
      <c r="BL348" s="387">
        <f t="shared" ca="1" si="584"/>
        <v>0</v>
      </c>
      <c r="BM348" s="1283">
        <f t="shared" ca="1" si="585"/>
        <v>0</v>
      </c>
      <c r="BN348" s="386">
        <f t="shared" ca="1" si="586"/>
        <v>0</v>
      </c>
      <c r="BO348" s="387">
        <f t="shared" ca="1" si="587"/>
        <v>0</v>
      </c>
      <c r="BP348" s="1277">
        <f t="shared" ca="1" si="588"/>
        <v>0</v>
      </c>
      <c r="BQ348" s="1277">
        <f t="shared" ca="1" si="589"/>
        <v>0</v>
      </c>
      <c r="BR348" s="388">
        <f t="shared" ca="1" si="590"/>
        <v>0</v>
      </c>
      <c r="BS348" s="1025"/>
      <c r="BT348" s="1282">
        <f>+IF($K348="Ongoing",AX348,IF(RIGHT($K348,2)=RIGHT(BT$43,2),SUM($AX348:AX348),0)+IF(RIGHT(BT$43,2)&gt;RIGHT($K348,2),AX348,0))</f>
        <v>0</v>
      </c>
      <c r="BU348" s="387">
        <f>+IF($K348="Ongoing",AY348,IF(RIGHT($K348,2)=RIGHT(BU$43,2),SUM($AX348:AY348),0)+IF(RIGHT(BU$43,2)&gt;RIGHT($K348,2),AY348,0))</f>
        <v>0</v>
      </c>
      <c r="BV348" s="387">
        <f>+IF($K348="Ongoing",AZ348,IF(RIGHT($K348,2)=RIGHT(BV$43,2),SUM($AX348:AZ348),0)+IF(RIGHT(BV$43,2)&gt;RIGHT($K348,2),AZ348,0))</f>
        <v>0</v>
      </c>
      <c r="BW348" s="387">
        <f>+IF($K348="Ongoing",BA348,IF(RIGHT($K348,2)=RIGHT(BW$43,2),SUM($AX348:BA348),0)+IF(RIGHT(BW$43,2)&gt;RIGHT($K348,2),BA348,0))</f>
        <v>0</v>
      </c>
      <c r="BX348" s="1283">
        <f>+IF($K348="Ongoing",BB348,IF(RIGHT($K348,2)=RIGHT(BX$43,2),SUM($AX348:BB348),0)+IF(RIGHT(BX$43,2)&gt;RIGHT($K348,2),BB348,0))</f>
        <v>0</v>
      </c>
      <c r="BY348" s="386">
        <f>+IF($K348="Ongoing",BC348,IF(RIGHT($K348,2)=RIGHT(BY$43,2),SUM($AX348:BC348),0)+IF(RIGHT(BY$43,2)&gt;RIGHT($K348,2),BC348,0))</f>
        <v>0</v>
      </c>
      <c r="BZ348" s="387">
        <f>+IF($K348="Ongoing",BD348,IF(RIGHT($K348,2)=RIGHT(BZ$43,2),SUM($AX348:BD348),0)+IF(RIGHT(BZ$43,2)&gt;RIGHT($K348,2),BD348,0))</f>
        <v>0</v>
      </c>
      <c r="CA348" s="1277">
        <f>+IF($K348="Ongoing",BE348,IF(RIGHT($K348,2)=RIGHT(CA$43,2),SUM($AX348:BE348),0)+IF(RIGHT(CA$43,2)&gt;RIGHT($K348,2),BE348,0))</f>
        <v>0</v>
      </c>
      <c r="CB348" s="1277">
        <f>+IF($K348="Ongoing",BF348,IF(RIGHT($K348,2)=RIGHT(CB$43,2),SUM($AX348:BF348),0)+IF(RIGHT(CB$43,2)&gt;RIGHT($K348,2),BF348,0))</f>
        <v>0</v>
      </c>
      <c r="CC348" s="388">
        <f>+IF($K348="Ongoing",BG348,IF(RIGHT($K348,2)=RIGHT(CC$43,2),SUM($AX348:BG348),0)+IF(RIGHT(CC$43,2)&gt;RIGHT($K348,2),BG348,0))</f>
        <v>0</v>
      </c>
      <c r="CD348" s="1025"/>
      <c r="CE348" s="1282">
        <f>+Q348*KeyAssumptionsPriceControl_FO!AF$15</f>
        <v>0</v>
      </c>
      <c r="CF348" s="387">
        <f>+R348*KeyAssumptionsPriceControl_FO!AG$15</f>
        <v>0</v>
      </c>
      <c r="CG348" s="387">
        <f>+S348*KeyAssumptionsPriceControl_FO!AH$15</f>
        <v>0</v>
      </c>
      <c r="CH348" s="387">
        <f>+T348*KeyAssumptionsPriceControl_FO!AI$15</f>
        <v>0</v>
      </c>
      <c r="CI348" s="1283">
        <f>+U348*KeyAssumptionsPriceControl_FO!AJ$15</f>
        <v>0</v>
      </c>
      <c r="CJ348" s="386">
        <f>+V348*KeyAssumptionsPriceControl_FO!AK$15</f>
        <v>0</v>
      </c>
      <c r="CK348" s="387">
        <f>+W348*KeyAssumptionsPriceControl_FO!AL$15</f>
        <v>0</v>
      </c>
      <c r="CL348" s="1277">
        <f>+X348*KeyAssumptionsPriceControl_FO!AM$15</f>
        <v>0</v>
      </c>
      <c r="CM348" s="1277">
        <f>+Y348*KeyAssumptionsPriceControl_FO!AN$15</f>
        <v>0</v>
      </c>
      <c r="CN348" s="388">
        <f>+Z348*KeyAssumptionsPriceControl_FO!AO$15</f>
        <v>0</v>
      </c>
      <c r="CO348" s="1025"/>
      <c r="CP348" s="1282">
        <f t="shared" ca="1" si="591"/>
        <v>0</v>
      </c>
      <c r="CQ348" s="387">
        <f t="shared" ca="1" si="592"/>
        <v>0</v>
      </c>
      <c r="CR348" s="387">
        <f t="shared" ca="1" si="593"/>
        <v>0</v>
      </c>
      <c r="CS348" s="387">
        <f t="shared" ca="1" si="594"/>
        <v>0</v>
      </c>
      <c r="CT348" s="1283">
        <f t="shared" ca="1" si="595"/>
        <v>0</v>
      </c>
      <c r="CU348" s="386">
        <f t="shared" ca="1" si="596"/>
        <v>0</v>
      </c>
      <c r="CV348" s="387">
        <f t="shared" ca="1" si="597"/>
        <v>0</v>
      </c>
      <c r="CW348" s="1277">
        <f t="shared" ca="1" si="598"/>
        <v>0</v>
      </c>
      <c r="CX348" s="1277">
        <f t="shared" ca="1" si="599"/>
        <v>0</v>
      </c>
      <c r="CY348" s="388">
        <f t="shared" ca="1" si="600"/>
        <v>0</v>
      </c>
      <c r="CZ348" s="347"/>
      <c r="DA348" s="852"/>
      <c r="DB348" s="347"/>
      <c r="DC348" s="1012" t="s">
        <v>551</v>
      </c>
      <c r="DD348" s="841" t="s">
        <v>518</v>
      </c>
      <c r="DE348" s="386">
        <f>+IF($K348="ongoing",CE348,IF(RIGHT($K348,2)=RIGHT(DE$43,2),SUM($CD348:CE348),0)+IF(RIGHT(DE$43,2)&gt;RIGHT($K348,2),CE348,0))</f>
        <v>0</v>
      </c>
      <c r="DF348" s="387">
        <f>+IF($K348="ongoing",CF348,IF(RIGHT($K348,2)=RIGHT(DF$43,2),SUM($CD348:CF348),0)+IF(RIGHT(DF$43,2)&gt;RIGHT($K348,2),CF348,0))</f>
        <v>0</v>
      </c>
      <c r="DG348" s="388">
        <f>+IF($K348="ongoing",CG348,IF(RIGHT($K348,2)=RIGHT(DG$43,2),SUM($CD348:CG348),0)+IF(RIGHT(DG$43,2)&gt;RIGHT($K348,2),CG348,0))</f>
        <v>0</v>
      </c>
      <c r="DH348" s="386">
        <f>+IF($K348="ongoing",CH348,IF(RIGHT($K348,2)=RIGHT(DH$43,2),SUM($CD348:CH348),0)+IF(RIGHT(DH$43,2)&gt;RIGHT($K348,2),CH348,0))</f>
        <v>0</v>
      </c>
      <c r="DI348" s="387">
        <f>+IF($K348="ongoing",CI348,IF(RIGHT($K348,2)=RIGHT(DI$43,2),SUM($CD348:CI348),0)+IF(RIGHT(DI$43,2)&gt;RIGHT($K348,2),CI348,0))</f>
        <v>0</v>
      </c>
      <c r="DJ348" s="387">
        <f>+IF($K348="ongoing",CJ348,IF(RIGHT($K348,2)=RIGHT(DJ$43,2),SUM($CD348:CJ348),0)+IF(RIGHT(DJ$43,2)&gt;RIGHT($K348,2),CJ348,0))</f>
        <v>0</v>
      </c>
      <c r="DK348" s="387">
        <f>+IF($K348="ongoing",CK348,IF(RIGHT($K348,2)=RIGHT(DK$43,2),SUM($CD348:CK348),0)+IF(RIGHT(DK$43,2)&gt;RIGHT($K348,2),CK348,0))</f>
        <v>0</v>
      </c>
      <c r="DL348" s="388">
        <f>+IF($K348="ongoing",CN348,IF(RIGHT($K348,2)=RIGHT(DL$43,2),SUM($CD348:CN348),0)+IF(RIGHT(DL$43,2)&gt;RIGHT($K348,2),CN348,0))</f>
        <v>0</v>
      </c>
      <c r="DM348" s="841"/>
      <c r="DN348" s="386">
        <f t="shared" si="601"/>
        <v>0.5</v>
      </c>
      <c r="DO348" s="387">
        <f t="shared" si="602"/>
        <v>1</v>
      </c>
      <c r="DP348" s="388">
        <f t="shared" si="603"/>
        <v>1</v>
      </c>
      <c r="DQ348" s="386">
        <f t="shared" si="604"/>
        <v>1</v>
      </c>
      <c r="DR348" s="387">
        <f t="shared" si="605"/>
        <v>1</v>
      </c>
      <c r="DS348" s="387">
        <f t="shared" si="606"/>
        <v>1</v>
      </c>
      <c r="DT348" s="387">
        <f t="shared" si="607"/>
        <v>1</v>
      </c>
      <c r="DU348" s="388">
        <f t="shared" si="608"/>
        <v>1</v>
      </c>
      <c r="DW348" s="386">
        <f t="shared" si="609"/>
        <v>0</v>
      </c>
      <c r="DX348" s="387">
        <f t="shared" si="610"/>
        <v>0.5</v>
      </c>
      <c r="DY348" s="388">
        <f t="shared" si="611"/>
        <v>1</v>
      </c>
      <c r="DZ348" s="386">
        <f t="shared" si="612"/>
        <v>1</v>
      </c>
      <c r="EA348" s="387">
        <f t="shared" si="613"/>
        <v>1</v>
      </c>
      <c r="EB348" s="387">
        <f t="shared" si="614"/>
        <v>1</v>
      </c>
      <c r="EC348" s="387">
        <f t="shared" si="615"/>
        <v>1</v>
      </c>
      <c r="ED348" s="388">
        <f t="shared" si="616"/>
        <v>1</v>
      </c>
      <c r="EF348" s="834">
        <f>+IF(DN348=DM348,0,
IF(AND(EF$44&gt;1,DN348=$N348),1-SUM($EE348:EE348),
IF($N348&lt;=1,
IF($N348&gt;0,1/$N348,0),
IF(EF$44=1,0,VDB(1,0,$N348,INT(EF$44-1-1),MIN($N348,INT(EF$44-1-1)+1),$DC348,IF($DD348="No",1,0))/
IF(DM348&gt;=INT($N348),$N348-INT($N348),1)))*
IF(EF$44=1,0,
IF(INT(DN348)=INT(DM348),DN348-DM348,INT(DN348)-DM348))+
IF($N348&lt;=1,
IF($N348&gt;0,1/$N348,0),VDB(1,0,$N348,INT(EF$44-1),MIN($N348,INT(EF$44-1)+1),$DC348,IF($DD348="No",1,0))/
IF(DN348&gt;INT($N348),$N348-INT($N348),1))*
IF(EF$44=1,DN348,
IF(INT(DN348)=INT(DM348),0,DN348-INT(DN348)))))</f>
        <v>0</v>
      </c>
      <c r="EG348" s="835">
        <f>+IF(DO348=DN348,0,
IF(AND(EG$44&gt;1,DO348=$N348),1-SUM($EE348:EF348),
IF($N348&lt;=1,
IF($N348&gt;0,1/$N348,0),
IF(EG$44=1,0,VDB(1,0,$N348,INT(EG$44-1-1),MIN($N348,INT(EG$44-1-1)+1),$DC348,IF($DD348="No",1,0))/
IF(DN348&gt;=INT($N348),$N348-INT($N348),1)))*
IF(EG$44=1,0,
IF(INT(DO348)=INT(DN348),DO348-DN348,INT(DO348)-DN348))+
IF($N348&lt;=1,
IF($N348&gt;0,1/$N348,0),VDB(1,0,$N348,INT(EG$44-1),MIN($N348,INT(EG$44-1)+1),$DC348,IF($DD348="No",1,0))/
IF(DO348&gt;INT($N348),$N348-INT($N348),1))*
IF(EG$44=1,DO348,
IF(INT(DO348)=INT(DN348),0,DO348-INT(DO348)))))</f>
        <v>0</v>
      </c>
      <c r="EH348" s="836">
        <f>+IF(DP348=DO348,0,
IF(AND(EH$44&gt;1,DP348=$N348),1-SUM($EE348:EG348),
IF($N348&lt;=1,
IF($N348&gt;0,1/$N348,0),
IF(EH$44=1,0,VDB(1,0,$N348,INT(EH$44-1-1),MIN($N348,INT(EH$44-1-1)+1),$DC348,IF($DD348="No",1,0))/
IF(DO348&gt;=INT($N348),$N348-INT($N348),1)))*
IF(EH$44=1,0,
IF(INT(DP348)=INT(DO348),DP348-DO348,INT(DP348)-DO348))+
IF($N348&lt;=1,
IF($N348&gt;0,1/$N348,0),VDB(1,0,$N348,INT(EH$44-1),MIN($N348,INT(EH$44-1)+1),$DC348,IF($DD348="No",1,0))/
IF(DP348&gt;INT($N348),$N348-INT($N348),1))*
IF(EH$44=1,DP348,
IF(INT(DP348)=INT(DO348),0,DP348-INT(DP348)))))</f>
        <v>0</v>
      </c>
      <c r="EI348" s="834">
        <f>+IF(DQ348=DP348,0,
IF(AND(EI$44&gt;1,DQ348=$N348),1-SUM($EE348:EH348),
IF($N348&lt;=1,
IF($N348&gt;0,1/$N348,0),
IF(EI$44=1,0,VDB(1,0,$N348,INT(EI$44-1-1),MIN($N348,INT(EI$44-1-1)+1),$DC348,IF($DD348="No",1,0))/
IF(DP348&gt;=INT($N348),$N348-INT($N348),1)))*
IF(EI$44=1,0,
IF(INT(DQ348)=INT(DP348),DQ348-DP348,INT(DQ348)-DP348))+
IF($N348&lt;=1,
IF($N348&gt;0,1/$N348,0),VDB(1,0,$N348,INT(EI$44-1),MIN($N348,INT(EI$44-1)+1),$DC348,IF($DD348="No",1,0))/
IF(DQ348&gt;INT($N348),$N348-INT($N348),1))*
IF(EI$44=1,DQ348,
IF(INT(DQ348)=INT(DP348),0,DQ348-INT(DQ348)))))</f>
        <v>0</v>
      </c>
      <c r="EJ348" s="835">
        <f>+IF(DR348=DQ348,0,
IF(AND(EJ$44&gt;1,DR348=$N348),1-SUM($EE348:EI348),
IF($N348&lt;=1,
IF($N348&gt;0,1/$N348,0),
IF(EJ$44=1,0,VDB(1,0,$N348,INT(EJ$44-1-1),MIN($N348,INT(EJ$44-1-1)+1),$DC348,IF($DD348="No",1,0))/
IF(DQ348&gt;=INT($N348),$N348-INT($N348),1)))*
IF(EJ$44=1,0,
IF(INT(DR348)=INT(DQ348),DR348-DQ348,INT(DR348)-DQ348))+
IF($N348&lt;=1,
IF($N348&gt;0,1/$N348,0),VDB(1,0,$N348,INT(EJ$44-1),MIN($N348,INT(EJ$44-1)+1),$DC348,IF($DD348="No",1,0))/
IF(DR348&gt;INT($N348),$N348-INT($N348),1))*
IF(EJ$44=1,DR348,
IF(INT(DR348)=INT(DQ348),0,DR348-INT(DR348)))))</f>
        <v>0</v>
      </c>
      <c r="EK348" s="835">
        <f>+IF(DS348=DR348,0,
IF(AND(EK$44&gt;1,DS348=$N348),1-SUM($EE348:EJ348),
IF($N348&lt;=1,
IF($N348&gt;0,1/$N348,0),
IF(EK$44=1,0,VDB(1,0,$N348,INT(EK$44-1-1),MIN($N348,INT(EK$44-1-1)+1),$DC348,IF($DD348="No",1,0))/
IF(DR348&gt;=INT($N348),$N348-INT($N348),1)))*
IF(EK$44=1,0,
IF(INT(DS348)=INT(DR348),DS348-DR348,INT(DS348)-DR348))+
IF($N348&lt;=1,
IF($N348&gt;0,1/$N348,0),VDB(1,0,$N348,INT(EK$44-1),MIN($N348,INT(EK$44-1)+1),$DC348,IF($DD348="No",1,0))/
IF(DS348&gt;INT($N348),$N348-INT($N348),1))*
IF(EK$44=1,DS348,
IF(INT(DS348)=INT(DR348),0,DS348-INT(DS348)))))</f>
        <v>0</v>
      </c>
      <c r="EL348" s="835">
        <f>+IF(DT348=DS348,0,
IF(AND(EL$44&gt;1,DT348=$N348),1-SUM($EE348:EK348),
IF($N348&lt;=1,
IF($N348&gt;0,1/$N348,0),
IF(EL$44=1,0,VDB(1,0,$N348,INT(EL$44-1-1),MIN($N348,INT(EL$44-1-1)+1),$DC348,IF($DD348="No",1,0))/
IF(DS348&gt;=INT($N348),$N348-INT($N348),1)))*
IF(EL$44=1,0,
IF(INT(DT348)=INT(DS348),DT348-DS348,INT(DT348)-DS348))+
IF($N348&lt;=1,
IF($N348&gt;0,1/$N348,0),VDB(1,0,$N348,INT(EL$44-1),MIN($N348,INT(EL$44-1)+1),$DC348,IF($DD348="No",1,0))/
IF(DT348&gt;INT($N348),$N348-INT($N348),1))*
IF(EL$44=1,DT348,
IF(INT(DT348)=INT(DS348),0,DT348-INT(DT348)))))</f>
        <v>0</v>
      </c>
      <c r="EM348" s="836">
        <f>+IF(DU348=DT348,0,
IF(AND(EM$44&gt;1,DU348=$N348),1-SUM($EE348:EL348),
IF($N348&lt;=1,
IF($N348&gt;0,1/$N348,0),
IF(EM$44=1,0,VDB(1,0,$N348,INT(EM$44-1-1),MIN($N348,INT(EM$44-1-1)+1),$DC348,IF($DD348="No",1,0))/
IF(DT348&gt;=INT($N348),$N348-INT($N348),1)))*
IF(EM$44=1,0,
IF(INT(DU348)=INT(DT348),DU348-DT348,INT(DU348)-DT348))+
IF($N348&lt;=1,
IF($N348&gt;0,1/$N348,0),VDB(1,0,$N348,INT(EM$44-1),MIN($N348,INT(EM$44-1)+1),$DC348,IF($DD348="No",1,0))/
IF(DU348&gt;INT($N348),$N348-INT($N348),1))*
IF(EM$44=1,DU348,
IF(INT(DU348)=INT(DT348),0,DU348-INT(DU348)))))</f>
        <v>0</v>
      </c>
      <c r="EN348" s="833"/>
      <c r="EO348" s="834">
        <f>+IF(OR(DW348=DV348,EO$44=1),0,
IF(AND(EO$44&gt;1,DW348=$N348),1-SUM($EN348:EN348),
IF($N348&lt;=1,
IF($N348&gt;0,1/$N348,0),
IF(EO$44=2,0,VDB(1,0,$N348,INT(EO$44-2-1),MIN($N348,INT(EO$44-2-1)+1),$DC348,IF($DD348="No",1,0))/
IF(DV348&gt;=INT($N348),$N348-INT($N348),1)))*
IF(EO$44=2,0,
IF(INT(DW348)=INT(DV348),DW348-DV348,INT(DW348)-DV348))+
IF($N348&lt;=1,
IF($N348&gt;0,1/$N348,0),VDB(1,0,$N348,INT(EO$44-2),MIN($N348,INT(EO$44-2)+1),$DC348,IF($DD348="No",1,0))/
IF(DW348&gt;INT($N348),$N348-INT($N348),1))*
IF(EO$44=2,DW348,
IF(INT(DW348)=INT(DV348),0,DW348-INT(DW348)))))</f>
        <v>0</v>
      </c>
      <c r="EP348" s="835">
        <f>+IF(OR(DX348=DW348,EP$44=1),0,
IF(AND(EP$44&gt;1,DX348=$N348),1-SUM($EN348:EO348),
IF($N348&lt;=1,
IF($N348&gt;0,1/$N348,0),
IF(EP$44=2,0,VDB(1,0,$N348,INT(EP$44-2-1),MIN($N348,INT(EP$44-2-1)+1),$DC348,IF($DD348="No",1,0))/
IF(DW348&gt;=INT($N348),$N348-INT($N348),1)))*
IF(EP$44=2,0,
IF(INT(DX348)=INT(DW348),DX348-DW348,INT(DX348)-DW348))+
IF($N348&lt;=1,
IF($N348&gt;0,1/$N348,0),VDB(1,0,$N348,INT(EP$44-2),MIN($N348,INT(EP$44-2)+1),$DC348,IF($DD348="No",1,0))/
IF(DX348&gt;INT($N348),$N348-INT($N348),1))*
IF(EP$44=2,DX348,
IF(INT(DX348)=INT(DW348),0,DX348-INT(DX348)))))</f>
        <v>0</v>
      </c>
      <c r="EQ348" s="836">
        <f>+IF(OR(DY348=DX348,EQ$44=1),0,
IF(AND(EQ$44&gt;1,DY348=$N348),1-SUM($EN348:EP348),
IF($N348&lt;=1,
IF($N348&gt;0,1/$N348,0),
IF(EQ$44=2,0,VDB(1,0,$N348,INT(EQ$44-2-1),MIN($N348,INT(EQ$44-2-1)+1),$DC348,IF($DD348="No",1,0))/
IF(DX348&gt;=INT($N348),$N348-INT($N348),1)))*
IF(EQ$44=2,0,
IF(INT(DY348)=INT(DX348),DY348-DX348,INT(DY348)-DX348))+
IF($N348&lt;=1,
IF($N348&gt;0,1/$N348,0),VDB(1,0,$N348,INT(EQ$44-2),MIN($N348,INT(EQ$44-2)+1),$DC348,IF($DD348="No",1,0))/
IF(DY348&gt;INT($N348),$N348-INT($N348),1))*
IF(EQ$44=2,DY348,
IF(INT(DY348)=INT(DX348),0,DY348-INT(DY348)))))</f>
        <v>0</v>
      </c>
      <c r="ER348" s="834">
        <f>+IF(OR(DZ348=DY348,ER$44=1),0,
IF(AND(ER$44&gt;1,DZ348=$N348),1-SUM($EN348:EQ348),
IF($N348&lt;=1,
IF($N348&gt;0,1/$N348,0),
IF(ER$44=2,0,VDB(1,0,$N348,INT(ER$44-2-1),MIN($N348,INT(ER$44-2-1)+1),$DC348,IF($DD348="No",1,0))/
IF(DY348&gt;=INT($N348),$N348-INT($N348),1)))*
IF(ER$44=2,0,
IF(INT(DZ348)=INT(DY348),DZ348-DY348,INT(DZ348)-DY348))+
IF($N348&lt;=1,
IF($N348&gt;0,1/$N348,0),VDB(1,0,$N348,INT(ER$44-2),MIN($N348,INT(ER$44-2)+1),$DC348,IF($DD348="No",1,0))/
IF(DZ348&gt;INT($N348),$N348-INT($N348),1))*
IF(ER$44=2,DZ348,
IF(INT(DZ348)=INT(DY348),0,DZ348-INT(DZ348)))))</f>
        <v>0</v>
      </c>
      <c r="ES348" s="835">
        <f>+IF(OR(EA348=DZ348,ES$44=1),0,
IF(AND(ES$44&gt;1,EA348=$N348),1-SUM($EN348:ER348),
IF($N348&lt;=1,
IF($N348&gt;0,1/$N348,0),
IF(ES$44=2,0,VDB(1,0,$N348,INT(ES$44-2-1),MIN($N348,INT(ES$44-2-1)+1),$DC348,IF($DD348="No",1,0))/
IF(DZ348&gt;=INT($N348),$N348-INT($N348),1)))*
IF(ES$44=2,0,
IF(INT(EA348)=INT(DZ348),EA348-DZ348,INT(EA348)-DZ348))+
IF($N348&lt;=1,
IF($N348&gt;0,1/$N348,0),VDB(1,0,$N348,INT(ES$44-2),MIN($N348,INT(ES$44-2)+1),$DC348,IF($DD348="No",1,0))/
IF(EA348&gt;INT($N348),$N348-INT($N348),1))*
IF(ES$44=2,EA348,
IF(INT(EA348)=INT(DZ348),0,EA348-INT(EA348)))))</f>
        <v>0</v>
      </c>
      <c r="ET348" s="835">
        <f>+IF(OR(EB348=EA348,ET$44=1),0,
IF(AND(ET$44&gt;1,EB348=$N348),1-SUM($EN348:ES348),
IF($N348&lt;=1,
IF($N348&gt;0,1/$N348,0),
IF(ET$44=2,0,VDB(1,0,$N348,INT(ET$44-2-1),MIN($N348,INT(ET$44-2-1)+1),$DC348,IF($DD348="No",1,0))/
IF(EA348&gt;=INT($N348),$N348-INT($N348),1)))*
IF(ET$44=2,0,
IF(INT(EB348)=INT(EA348),EB348-EA348,INT(EB348)-EA348))+
IF($N348&lt;=1,
IF($N348&gt;0,1/$N348,0),VDB(1,0,$N348,INT(ET$44-2),MIN($N348,INT(ET$44-2)+1),$DC348,IF($DD348="No",1,0))/
IF(EB348&gt;INT($N348),$N348-INT($N348),1))*
IF(ET$44=2,EB348,
IF(INT(EB348)=INT(EA348),0,EB348-INT(EB348)))))</f>
        <v>0</v>
      </c>
      <c r="EU348" s="835">
        <f>+IF(OR(EC348=EB348,EU$44=1),0,
IF(AND(EU$44&gt;1,EC348=$N348),1-SUM($EN348:ET348),
IF($N348&lt;=1,
IF($N348&gt;0,1/$N348,0),
IF(EU$44=2,0,VDB(1,0,$N348,INT(EU$44-2-1),MIN($N348,INT(EU$44-2-1)+1),$DC348,IF($DD348="No",1,0))/
IF(EB348&gt;=INT($N348),$N348-INT($N348),1)))*
IF(EU$44=2,0,
IF(INT(EC348)=INT(EB348),EC348-EB348,INT(EC348)-EB348))+
IF($N348&lt;=1,
IF($N348&gt;0,1/$N348,0),VDB(1,0,$N348,INT(EU$44-2),MIN($N348,INT(EU$44-2)+1),$DC348,IF($DD348="No",1,0))/
IF(EC348&gt;INT($N348),$N348-INT($N348),1))*
IF(EU$44=2,EC348,
IF(INT(EC348)=INT(EB348),0,EC348-INT(EC348)))))</f>
        <v>0</v>
      </c>
      <c r="EV348" s="836">
        <f>+IF(OR(ED348=EC348,EV$44=1),0,
IF(AND(EV$44&gt;1,ED348=$N348),1-SUM($EN348:EU348),
IF($N348&lt;=1,
IF($N348&gt;0,1/$N348,0),
IF(EV$44=2,0,VDB(1,0,$N348,INT(EV$44-2-1),MIN($N348,INT(EV$44-2-1)+1),$DC348,IF($DD348="No",1,0))/
IF(EC348&gt;=INT($N348),$N348-INT($N348),1)))*
IF(EV$44=2,0,
IF(INT(ED348)=INT(EC348),ED348-EC348,INT(ED348)-EC348))+
IF($N348&lt;=1,
IF($N348&gt;0,1/$N348,0),VDB(1,0,$N348,INT(EV$44-2),MIN($N348,INT(EV$44-2)+1),$DC348,IF($DD348="No",1,0))/
IF(ED348&gt;INT($N348),$N348-INT($N348),1))*
IF(EV$44=2,ED348,
IF(INT(ED348)=INT(EC348),0,ED348-INT(ED348)))))</f>
        <v>0</v>
      </c>
      <c r="EW348" s="833"/>
      <c r="EX348" s="834">
        <f t="shared" ca="1" si="570"/>
        <v>0</v>
      </c>
      <c r="EY348" s="835">
        <f t="shared" ca="1" si="570"/>
        <v>0</v>
      </c>
      <c r="EZ348" s="836">
        <f t="shared" ca="1" si="570"/>
        <v>0</v>
      </c>
      <c r="FA348" s="834">
        <f t="shared" ca="1" si="570"/>
        <v>0</v>
      </c>
      <c r="FB348" s="835">
        <f t="shared" ca="1" si="570"/>
        <v>0</v>
      </c>
      <c r="FC348" s="835">
        <f t="shared" ca="1" si="570"/>
        <v>0</v>
      </c>
      <c r="FD348" s="835">
        <f t="shared" ca="1" si="570"/>
        <v>0</v>
      </c>
      <c r="FE348" s="836">
        <f t="shared" ca="1" si="570"/>
        <v>0</v>
      </c>
      <c r="FG348" s="386">
        <f t="shared" ca="1" si="617"/>
        <v>0</v>
      </c>
      <c r="FH348" s="387">
        <f t="shared" ca="1" si="618"/>
        <v>0</v>
      </c>
      <c r="FI348" s="388">
        <f t="shared" ca="1" si="619"/>
        <v>0</v>
      </c>
      <c r="FJ348" s="386">
        <f t="shared" ca="1" si="620"/>
        <v>0</v>
      </c>
      <c r="FK348" s="387">
        <f t="shared" ca="1" si="621"/>
        <v>0</v>
      </c>
      <c r="FL348" s="387">
        <f t="shared" ca="1" si="622"/>
        <v>0</v>
      </c>
      <c r="FM348" s="387">
        <f t="shared" ca="1" si="623"/>
        <v>0</v>
      </c>
      <c r="FN348" s="388">
        <f t="shared" ca="1" si="624"/>
        <v>0</v>
      </c>
      <c r="FR348" s="116"/>
    </row>
    <row r="349" spans="2:174">
      <c r="B349" s="1410">
        <f t="shared" si="556"/>
        <v>303</v>
      </c>
      <c r="C349" s="400"/>
      <c r="D349" s="410"/>
      <c r="E349" s="402"/>
      <c r="F349" s="402"/>
      <c r="G349" s="400"/>
      <c r="H349" s="2088"/>
      <c r="I349" s="2089"/>
      <c r="J349" s="411"/>
      <c r="K349" s="403"/>
      <c r="L349" s="403"/>
      <c r="M349" s="403"/>
      <c r="N349" s="403"/>
      <c r="O349" s="347"/>
      <c r="P349" s="347"/>
      <c r="Q349" s="1021"/>
      <c r="R349" s="1022"/>
      <c r="S349" s="1022"/>
      <c r="T349" s="1022"/>
      <c r="U349" s="1023"/>
      <c r="V349" s="1021"/>
      <c r="W349" s="1022"/>
      <c r="X349" s="1022"/>
      <c r="Y349" s="1022"/>
      <c r="Z349" s="1023"/>
      <c r="AA349" s="1024"/>
      <c r="AB349" s="1021"/>
      <c r="AC349" s="1022"/>
      <c r="AD349" s="1022"/>
      <c r="AE349" s="1022"/>
      <c r="AF349" s="1023"/>
      <c r="AG349" s="1021"/>
      <c r="AH349" s="1022"/>
      <c r="AI349" s="1022"/>
      <c r="AJ349" s="1022"/>
      <c r="AK349" s="1023"/>
      <c r="AL349" s="1024"/>
      <c r="AM349" s="1021"/>
      <c r="AN349" s="1022"/>
      <c r="AO349" s="1022"/>
      <c r="AP349" s="1022"/>
      <c r="AQ349" s="1023"/>
      <c r="AR349" s="1021"/>
      <c r="AS349" s="1022"/>
      <c r="AT349" s="1022"/>
      <c r="AU349" s="1022"/>
      <c r="AV349" s="1023"/>
      <c r="AW349" s="1025"/>
      <c r="AX349" s="1282">
        <f t="shared" si="571"/>
        <v>0</v>
      </c>
      <c r="AY349" s="387">
        <f t="shared" si="572"/>
        <v>0</v>
      </c>
      <c r="AZ349" s="387">
        <f t="shared" si="573"/>
        <v>0</v>
      </c>
      <c r="BA349" s="387">
        <f t="shared" si="574"/>
        <v>0</v>
      </c>
      <c r="BB349" s="1283">
        <f t="shared" si="575"/>
        <v>0</v>
      </c>
      <c r="BC349" s="386">
        <f t="shared" si="576"/>
        <v>0</v>
      </c>
      <c r="BD349" s="387">
        <f t="shared" si="577"/>
        <v>0</v>
      </c>
      <c r="BE349" s="1277">
        <f t="shared" si="578"/>
        <v>0</v>
      </c>
      <c r="BF349" s="1277">
        <f t="shared" si="579"/>
        <v>0</v>
      </c>
      <c r="BG349" s="388">
        <f t="shared" si="580"/>
        <v>0</v>
      </c>
      <c r="BH349" s="1025"/>
      <c r="BI349" s="1282">
        <f t="shared" ca="1" si="581"/>
        <v>0</v>
      </c>
      <c r="BJ349" s="387">
        <f t="shared" ca="1" si="582"/>
        <v>0</v>
      </c>
      <c r="BK349" s="387">
        <f t="shared" ca="1" si="583"/>
        <v>0</v>
      </c>
      <c r="BL349" s="387">
        <f t="shared" ca="1" si="584"/>
        <v>0</v>
      </c>
      <c r="BM349" s="1283">
        <f t="shared" ca="1" si="585"/>
        <v>0</v>
      </c>
      <c r="BN349" s="386">
        <f t="shared" ca="1" si="586"/>
        <v>0</v>
      </c>
      <c r="BO349" s="387">
        <f t="shared" ca="1" si="587"/>
        <v>0</v>
      </c>
      <c r="BP349" s="1277">
        <f t="shared" ca="1" si="588"/>
        <v>0</v>
      </c>
      <c r="BQ349" s="1277">
        <f t="shared" ca="1" si="589"/>
        <v>0</v>
      </c>
      <c r="BR349" s="388">
        <f t="shared" ca="1" si="590"/>
        <v>0</v>
      </c>
      <c r="BS349" s="1025"/>
      <c r="BT349" s="1282">
        <f>+IF($K349="Ongoing",AX349,IF(RIGHT($K349,2)=RIGHT(BT$43,2),SUM($AX349:AX349),0)+IF(RIGHT(BT$43,2)&gt;RIGHT($K349,2),AX349,0))</f>
        <v>0</v>
      </c>
      <c r="BU349" s="387">
        <f>+IF($K349="Ongoing",AY349,IF(RIGHT($K349,2)=RIGHT(BU$43,2),SUM($AX349:AY349),0)+IF(RIGHT(BU$43,2)&gt;RIGHT($K349,2),AY349,0))</f>
        <v>0</v>
      </c>
      <c r="BV349" s="387">
        <f>+IF($K349="Ongoing",AZ349,IF(RIGHT($K349,2)=RIGHT(BV$43,2),SUM($AX349:AZ349),0)+IF(RIGHT(BV$43,2)&gt;RIGHT($K349,2),AZ349,0))</f>
        <v>0</v>
      </c>
      <c r="BW349" s="387">
        <f>+IF($K349="Ongoing",BA349,IF(RIGHT($K349,2)=RIGHT(BW$43,2),SUM($AX349:BA349),0)+IF(RIGHT(BW$43,2)&gt;RIGHT($K349,2),BA349,0))</f>
        <v>0</v>
      </c>
      <c r="BX349" s="1283">
        <f>+IF($K349="Ongoing",BB349,IF(RIGHT($K349,2)=RIGHT(BX$43,2),SUM($AX349:BB349),0)+IF(RIGHT(BX$43,2)&gt;RIGHT($K349,2),BB349,0))</f>
        <v>0</v>
      </c>
      <c r="BY349" s="386">
        <f>+IF($K349="Ongoing",BC349,IF(RIGHT($K349,2)=RIGHT(BY$43,2),SUM($AX349:BC349),0)+IF(RIGHT(BY$43,2)&gt;RIGHT($K349,2),BC349,0))</f>
        <v>0</v>
      </c>
      <c r="BZ349" s="387">
        <f>+IF($K349="Ongoing",BD349,IF(RIGHT($K349,2)=RIGHT(BZ$43,2),SUM($AX349:BD349),0)+IF(RIGHT(BZ$43,2)&gt;RIGHT($K349,2),BD349,0))</f>
        <v>0</v>
      </c>
      <c r="CA349" s="1277">
        <f>+IF($K349="Ongoing",BE349,IF(RIGHT($K349,2)=RIGHT(CA$43,2),SUM($AX349:BE349),0)+IF(RIGHT(CA$43,2)&gt;RIGHT($K349,2),BE349,0))</f>
        <v>0</v>
      </c>
      <c r="CB349" s="1277">
        <f>+IF($K349="Ongoing",BF349,IF(RIGHT($K349,2)=RIGHT(CB$43,2),SUM($AX349:BF349),0)+IF(RIGHT(CB$43,2)&gt;RIGHT($K349,2),BF349,0))</f>
        <v>0</v>
      </c>
      <c r="CC349" s="388">
        <f>+IF($K349="Ongoing",BG349,IF(RIGHT($K349,2)=RIGHT(CC$43,2),SUM($AX349:BG349),0)+IF(RIGHT(CC$43,2)&gt;RIGHT($K349,2),BG349,0))</f>
        <v>0</v>
      </c>
      <c r="CD349" s="1025"/>
      <c r="CE349" s="1282">
        <f>+Q349*KeyAssumptionsPriceControl_FO!AF$15</f>
        <v>0</v>
      </c>
      <c r="CF349" s="387">
        <f>+R349*KeyAssumptionsPriceControl_FO!AG$15</f>
        <v>0</v>
      </c>
      <c r="CG349" s="387">
        <f>+S349*KeyAssumptionsPriceControl_FO!AH$15</f>
        <v>0</v>
      </c>
      <c r="CH349" s="387">
        <f>+T349*KeyAssumptionsPriceControl_FO!AI$15</f>
        <v>0</v>
      </c>
      <c r="CI349" s="1283">
        <f>+U349*KeyAssumptionsPriceControl_FO!AJ$15</f>
        <v>0</v>
      </c>
      <c r="CJ349" s="386">
        <f>+V349*KeyAssumptionsPriceControl_FO!AK$15</f>
        <v>0</v>
      </c>
      <c r="CK349" s="387">
        <f>+W349*KeyAssumptionsPriceControl_FO!AL$15</f>
        <v>0</v>
      </c>
      <c r="CL349" s="1277">
        <f>+X349*KeyAssumptionsPriceControl_FO!AM$15</f>
        <v>0</v>
      </c>
      <c r="CM349" s="1277">
        <f>+Y349*KeyAssumptionsPriceControl_FO!AN$15</f>
        <v>0</v>
      </c>
      <c r="CN349" s="388">
        <f>+Z349*KeyAssumptionsPriceControl_FO!AO$15</f>
        <v>0</v>
      </c>
      <c r="CO349" s="1025"/>
      <c r="CP349" s="1282">
        <f t="shared" ca="1" si="591"/>
        <v>0</v>
      </c>
      <c r="CQ349" s="387">
        <f t="shared" ca="1" si="592"/>
        <v>0</v>
      </c>
      <c r="CR349" s="387">
        <f t="shared" ca="1" si="593"/>
        <v>0</v>
      </c>
      <c r="CS349" s="387">
        <f t="shared" ca="1" si="594"/>
        <v>0</v>
      </c>
      <c r="CT349" s="1283">
        <f t="shared" ca="1" si="595"/>
        <v>0</v>
      </c>
      <c r="CU349" s="386">
        <f t="shared" ca="1" si="596"/>
        <v>0</v>
      </c>
      <c r="CV349" s="387">
        <f t="shared" ca="1" si="597"/>
        <v>0</v>
      </c>
      <c r="CW349" s="1277">
        <f t="shared" ca="1" si="598"/>
        <v>0</v>
      </c>
      <c r="CX349" s="1277">
        <f t="shared" ca="1" si="599"/>
        <v>0</v>
      </c>
      <c r="CY349" s="388">
        <f t="shared" ca="1" si="600"/>
        <v>0</v>
      </c>
      <c r="CZ349" s="347"/>
      <c r="DA349" s="852"/>
      <c r="DB349" s="347"/>
      <c r="DC349" s="1012" t="s">
        <v>552</v>
      </c>
      <c r="DD349" s="841" t="s">
        <v>518</v>
      </c>
      <c r="DE349" s="386">
        <f>+IF($K349="ongoing",CE349,IF(RIGHT($K349,2)=RIGHT(DE$43,2),SUM($CD349:CE349),0)+IF(RIGHT(DE$43,2)&gt;RIGHT($K349,2),CE349,0))</f>
        <v>0</v>
      </c>
      <c r="DF349" s="387">
        <f>+IF($K349="ongoing",CF349,IF(RIGHT($K349,2)=RIGHT(DF$43,2),SUM($CD349:CF349),0)+IF(RIGHT(DF$43,2)&gt;RIGHT($K349,2),CF349,0))</f>
        <v>0</v>
      </c>
      <c r="DG349" s="388">
        <f>+IF($K349="ongoing",CG349,IF(RIGHT($K349,2)=RIGHT(DG$43,2),SUM($CD349:CG349),0)+IF(RIGHT(DG$43,2)&gt;RIGHT($K349,2),CG349,0))</f>
        <v>0</v>
      </c>
      <c r="DH349" s="386">
        <f>+IF($K349="ongoing",CH349,IF(RIGHT($K349,2)=RIGHT(DH$43,2),SUM($CD349:CH349),0)+IF(RIGHT(DH$43,2)&gt;RIGHT($K349,2),CH349,0))</f>
        <v>0</v>
      </c>
      <c r="DI349" s="387">
        <f>+IF($K349="ongoing",CI349,IF(RIGHT($K349,2)=RIGHT(DI$43,2),SUM($CD349:CI349),0)+IF(RIGHT(DI$43,2)&gt;RIGHT($K349,2),CI349,0))</f>
        <v>0</v>
      </c>
      <c r="DJ349" s="387">
        <f>+IF($K349="ongoing",CJ349,IF(RIGHT($K349,2)=RIGHT(DJ$43,2),SUM($CD349:CJ349),0)+IF(RIGHT(DJ$43,2)&gt;RIGHT($K349,2),CJ349,0))</f>
        <v>0</v>
      </c>
      <c r="DK349" s="387">
        <f>+IF($K349="ongoing",CK349,IF(RIGHT($K349,2)=RIGHT(DK$43,2),SUM($CD349:CK349),0)+IF(RIGHT(DK$43,2)&gt;RIGHT($K349,2),CK349,0))</f>
        <v>0</v>
      </c>
      <c r="DL349" s="388">
        <f>+IF($K349="ongoing",CN349,IF(RIGHT($K349,2)=RIGHT(DL$43,2),SUM($CD349:CN349),0)+IF(RIGHT(DL$43,2)&gt;RIGHT($K349,2),CN349,0))</f>
        <v>0</v>
      </c>
      <c r="DM349" s="841"/>
      <c r="DN349" s="386">
        <f t="shared" si="601"/>
        <v>0.5</v>
      </c>
      <c r="DO349" s="387">
        <f t="shared" si="602"/>
        <v>1</v>
      </c>
      <c r="DP349" s="388">
        <f t="shared" si="603"/>
        <v>1</v>
      </c>
      <c r="DQ349" s="386">
        <f t="shared" si="604"/>
        <v>1</v>
      </c>
      <c r="DR349" s="387">
        <f t="shared" si="605"/>
        <v>1</v>
      </c>
      <c r="DS349" s="387">
        <f t="shared" si="606"/>
        <v>1</v>
      </c>
      <c r="DT349" s="387">
        <f t="shared" si="607"/>
        <v>1</v>
      </c>
      <c r="DU349" s="388">
        <f t="shared" si="608"/>
        <v>1</v>
      </c>
      <c r="DW349" s="386">
        <f t="shared" si="609"/>
        <v>0</v>
      </c>
      <c r="DX349" s="387">
        <f t="shared" si="610"/>
        <v>0.5</v>
      </c>
      <c r="DY349" s="388">
        <f t="shared" si="611"/>
        <v>1</v>
      </c>
      <c r="DZ349" s="386">
        <f t="shared" si="612"/>
        <v>1</v>
      </c>
      <c r="EA349" s="387">
        <f t="shared" si="613"/>
        <v>1</v>
      </c>
      <c r="EB349" s="387">
        <f t="shared" si="614"/>
        <v>1</v>
      </c>
      <c r="EC349" s="387">
        <f t="shared" si="615"/>
        <v>1</v>
      </c>
      <c r="ED349" s="388">
        <f t="shared" si="616"/>
        <v>1</v>
      </c>
      <c r="EF349" s="834">
        <f>+IF(DN349=DM349,0,
IF(AND(EF$44&gt;1,DN349=$N349),1-SUM($EE349:EE349),
IF($N349&lt;=1,
IF($N349&gt;0,1/$N349,0),
IF(EF$44=1,0,VDB(1,0,$N349,INT(EF$44-1-1),MIN($N349,INT(EF$44-1-1)+1),$DC349,IF($DD349="No",1,0))/
IF(DM349&gt;=INT($N349),$N349-INT($N349),1)))*
IF(EF$44=1,0,
IF(INT(DN349)=INT(DM349),DN349-DM349,INT(DN349)-DM349))+
IF($N349&lt;=1,
IF($N349&gt;0,1/$N349,0),VDB(1,0,$N349,INT(EF$44-1),MIN($N349,INT(EF$44-1)+1),$DC349,IF($DD349="No",1,0))/
IF(DN349&gt;INT($N349),$N349-INT($N349),1))*
IF(EF$44=1,DN349,
IF(INT(DN349)=INT(DM349),0,DN349-INT(DN349)))))</f>
        <v>0</v>
      </c>
      <c r="EG349" s="835">
        <f>+IF(DO349=DN349,0,
IF(AND(EG$44&gt;1,DO349=$N349),1-SUM($EE349:EF349),
IF($N349&lt;=1,
IF($N349&gt;0,1/$N349,0),
IF(EG$44=1,0,VDB(1,0,$N349,INT(EG$44-1-1),MIN($N349,INT(EG$44-1-1)+1),$DC349,IF($DD349="No",1,0))/
IF(DN349&gt;=INT($N349),$N349-INT($N349),1)))*
IF(EG$44=1,0,
IF(INT(DO349)=INT(DN349),DO349-DN349,INT(DO349)-DN349))+
IF($N349&lt;=1,
IF($N349&gt;0,1/$N349,0),VDB(1,0,$N349,INT(EG$44-1),MIN($N349,INT(EG$44-1)+1),$DC349,IF($DD349="No",1,0))/
IF(DO349&gt;INT($N349),$N349-INT($N349),1))*
IF(EG$44=1,DO349,
IF(INT(DO349)=INT(DN349),0,DO349-INT(DO349)))))</f>
        <v>0</v>
      </c>
      <c r="EH349" s="836">
        <f>+IF(DP349=DO349,0,
IF(AND(EH$44&gt;1,DP349=$N349),1-SUM($EE349:EG349),
IF($N349&lt;=1,
IF($N349&gt;0,1/$N349,0),
IF(EH$44=1,0,VDB(1,0,$N349,INT(EH$44-1-1),MIN($N349,INT(EH$44-1-1)+1),$DC349,IF($DD349="No",1,0))/
IF(DO349&gt;=INT($N349),$N349-INT($N349),1)))*
IF(EH$44=1,0,
IF(INT(DP349)=INT(DO349),DP349-DO349,INT(DP349)-DO349))+
IF($N349&lt;=1,
IF($N349&gt;0,1/$N349,0),VDB(1,0,$N349,INT(EH$44-1),MIN($N349,INT(EH$44-1)+1),$DC349,IF($DD349="No",1,0))/
IF(DP349&gt;INT($N349),$N349-INT($N349),1))*
IF(EH$44=1,DP349,
IF(INT(DP349)=INT(DO349),0,DP349-INT(DP349)))))</f>
        <v>0</v>
      </c>
      <c r="EI349" s="834">
        <f>+IF(DQ349=DP349,0,
IF(AND(EI$44&gt;1,DQ349=$N349),1-SUM($EE349:EH349),
IF($N349&lt;=1,
IF($N349&gt;0,1/$N349,0),
IF(EI$44=1,0,VDB(1,0,$N349,INT(EI$44-1-1),MIN($N349,INT(EI$44-1-1)+1),$DC349,IF($DD349="No",1,0))/
IF(DP349&gt;=INT($N349),$N349-INT($N349),1)))*
IF(EI$44=1,0,
IF(INT(DQ349)=INT(DP349),DQ349-DP349,INT(DQ349)-DP349))+
IF($N349&lt;=1,
IF($N349&gt;0,1/$N349,0),VDB(1,0,$N349,INT(EI$44-1),MIN($N349,INT(EI$44-1)+1),$DC349,IF($DD349="No",1,0))/
IF(DQ349&gt;INT($N349),$N349-INT($N349),1))*
IF(EI$44=1,DQ349,
IF(INT(DQ349)=INT(DP349),0,DQ349-INT(DQ349)))))</f>
        <v>0</v>
      </c>
      <c r="EJ349" s="835">
        <f>+IF(DR349=DQ349,0,
IF(AND(EJ$44&gt;1,DR349=$N349),1-SUM($EE349:EI349),
IF($N349&lt;=1,
IF($N349&gt;0,1/$N349,0),
IF(EJ$44=1,0,VDB(1,0,$N349,INT(EJ$44-1-1),MIN($N349,INT(EJ$44-1-1)+1),$DC349,IF($DD349="No",1,0))/
IF(DQ349&gt;=INT($N349),$N349-INT($N349),1)))*
IF(EJ$44=1,0,
IF(INT(DR349)=INT(DQ349),DR349-DQ349,INT(DR349)-DQ349))+
IF($N349&lt;=1,
IF($N349&gt;0,1/$N349,0),VDB(1,0,$N349,INT(EJ$44-1),MIN($N349,INT(EJ$44-1)+1),$DC349,IF($DD349="No",1,0))/
IF(DR349&gt;INT($N349),$N349-INT($N349),1))*
IF(EJ$44=1,DR349,
IF(INT(DR349)=INT(DQ349),0,DR349-INT(DR349)))))</f>
        <v>0</v>
      </c>
      <c r="EK349" s="835">
        <f>+IF(DS349=DR349,0,
IF(AND(EK$44&gt;1,DS349=$N349),1-SUM($EE349:EJ349),
IF($N349&lt;=1,
IF($N349&gt;0,1/$N349,0),
IF(EK$44=1,0,VDB(1,0,$N349,INT(EK$44-1-1),MIN($N349,INT(EK$44-1-1)+1),$DC349,IF($DD349="No",1,0))/
IF(DR349&gt;=INT($N349),$N349-INT($N349),1)))*
IF(EK$44=1,0,
IF(INT(DS349)=INT(DR349),DS349-DR349,INT(DS349)-DR349))+
IF($N349&lt;=1,
IF($N349&gt;0,1/$N349,0),VDB(1,0,$N349,INT(EK$44-1),MIN($N349,INT(EK$44-1)+1),$DC349,IF($DD349="No",1,0))/
IF(DS349&gt;INT($N349),$N349-INT($N349),1))*
IF(EK$44=1,DS349,
IF(INT(DS349)=INT(DR349),0,DS349-INT(DS349)))))</f>
        <v>0</v>
      </c>
      <c r="EL349" s="835">
        <f>+IF(DT349=DS349,0,
IF(AND(EL$44&gt;1,DT349=$N349),1-SUM($EE349:EK349),
IF($N349&lt;=1,
IF($N349&gt;0,1/$N349,0),
IF(EL$44=1,0,VDB(1,0,$N349,INT(EL$44-1-1),MIN($N349,INT(EL$44-1-1)+1),$DC349,IF($DD349="No",1,0))/
IF(DS349&gt;=INT($N349),$N349-INT($N349),1)))*
IF(EL$44=1,0,
IF(INT(DT349)=INT(DS349),DT349-DS349,INT(DT349)-DS349))+
IF($N349&lt;=1,
IF($N349&gt;0,1/$N349,0),VDB(1,0,$N349,INT(EL$44-1),MIN($N349,INT(EL$44-1)+1),$DC349,IF($DD349="No",1,0))/
IF(DT349&gt;INT($N349),$N349-INT($N349),1))*
IF(EL$44=1,DT349,
IF(INT(DT349)=INT(DS349),0,DT349-INT(DT349)))))</f>
        <v>0</v>
      </c>
      <c r="EM349" s="836">
        <f>+IF(DU349=DT349,0,
IF(AND(EM$44&gt;1,DU349=$N349),1-SUM($EE349:EL349),
IF($N349&lt;=1,
IF($N349&gt;0,1/$N349,0),
IF(EM$44=1,0,VDB(1,0,$N349,INT(EM$44-1-1),MIN($N349,INT(EM$44-1-1)+1),$DC349,IF($DD349="No",1,0))/
IF(DT349&gt;=INT($N349),$N349-INT($N349),1)))*
IF(EM$44=1,0,
IF(INT(DU349)=INT(DT349),DU349-DT349,INT(DU349)-DT349))+
IF($N349&lt;=1,
IF($N349&gt;0,1/$N349,0),VDB(1,0,$N349,INT(EM$44-1),MIN($N349,INT(EM$44-1)+1),$DC349,IF($DD349="No",1,0))/
IF(DU349&gt;INT($N349),$N349-INT($N349),1))*
IF(EM$44=1,DU349,
IF(INT(DU349)=INT(DT349),0,DU349-INT(DU349)))))</f>
        <v>0</v>
      </c>
      <c r="EN349" s="833"/>
      <c r="EO349" s="834">
        <f>+IF(OR(DW349=DV349,EO$44=1),0,
IF(AND(EO$44&gt;1,DW349=$N349),1-SUM($EN349:EN349),
IF($N349&lt;=1,
IF($N349&gt;0,1/$N349,0),
IF(EO$44=2,0,VDB(1,0,$N349,INT(EO$44-2-1),MIN($N349,INT(EO$44-2-1)+1),$DC349,IF($DD349="No",1,0))/
IF(DV349&gt;=INT($N349),$N349-INT($N349),1)))*
IF(EO$44=2,0,
IF(INT(DW349)=INT(DV349),DW349-DV349,INT(DW349)-DV349))+
IF($N349&lt;=1,
IF($N349&gt;0,1/$N349,0),VDB(1,0,$N349,INT(EO$44-2),MIN($N349,INT(EO$44-2)+1),$DC349,IF($DD349="No",1,0))/
IF(DW349&gt;INT($N349),$N349-INT($N349),1))*
IF(EO$44=2,DW349,
IF(INT(DW349)=INT(DV349),0,DW349-INT(DW349)))))</f>
        <v>0</v>
      </c>
      <c r="EP349" s="835">
        <f>+IF(OR(DX349=DW349,EP$44=1),0,
IF(AND(EP$44&gt;1,DX349=$N349),1-SUM($EN349:EO349),
IF($N349&lt;=1,
IF($N349&gt;0,1/$N349,0),
IF(EP$44=2,0,VDB(1,0,$N349,INT(EP$44-2-1),MIN($N349,INT(EP$44-2-1)+1),$DC349,IF($DD349="No",1,0))/
IF(DW349&gt;=INT($N349),$N349-INT($N349),1)))*
IF(EP$44=2,0,
IF(INT(DX349)=INT(DW349),DX349-DW349,INT(DX349)-DW349))+
IF($N349&lt;=1,
IF($N349&gt;0,1/$N349,0),VDB(1,0,$N349,INT(EP$44-2),MIN($N349,INT(EP$44-2)+1),$DC349,IF($DD349="No",1,0))/
IF(DX349&gt;INT($N349),$N349-INT($N349),1))*
IF(EP$44=2,DX349,
IF(INT(DX349)=INT(DW349),0,DX349-INT(DX349)))))</f>
        <v>0</v>
      </c>
      <c r="EQ349" s="836">
        <f>+IF(OR(DY349=DX349,EQ$44=1),0,
IF(AND(EQ$44&gt;1,DY349=$N349),1-SUM($EN349:EP349),
IF($N349&lt;=1,
IF($N349&gt;0,1/$N349,0),
IF(EQ$44=2,0,VDB(1,0,$N349,INT(EQ$44-2-1),MIN($N349,INT(EQ$44-2-1)+1),$DC349,IF($DD349="No",1,0))/
IF(DX349&gt;=INT($N349),$N349-INT($N349),1)))*
IF(EQ$44=2,0,
IF(INT(DY349)=INT(DX349),DY349-DX349,INT(DY349)-DX349))+
IF($N349&lt;=1,
IF($N349&gt;0,1/$N349,0),VDB(1,0,$N349,INT(EQ$44-2),MIN($N349,INT(EQ$44-2)+1),$DC349,IF($DD349="No",1,0))/
IF(DY349&gt;INT($N349),$N349-INT($N349),1))*
IF(EQ$44=2,DY349,
IF(INT(DY349)=INT(DX349),0,DY349-INT(DY349)))))</f>
        <v>0</v>
      </c>
      <c r="ER349" s="834">
        <f>+IF(OR(DZ349=DY349,ER$44=1),0,
IF(AND(ER$44&gt;1,DZ349=$N349),1-SUM($EN349:EQ349),
IF($N349&lt;=1,
IF($N349&gt;0,1/$N349,0),
IF(ER$44=2,0,VDB(1,0,$N349,INT(ER$44-2-1),MIN($N349,INT(ER$44-2-1)+1),$DC349,IF($DD349="No",1,0))/
IF(DY349&gt;=INT($N349),$N349-INT($N349),1)))*
IF(ER$44=2,0,
IF(INT(DZ349)=INT(DY349),DZ349-DY349,INT(DZ349)-DY349))+
IF($N349&lt;=1,
IF($N349&gt;0,1/$N349,0),VDB(1,0,$N349,INT(ER$44-2),MIN($N349,INT(ER$44-2)+1),$DC349,IF($DD349="No",1,0))/
IF(DZ349&gt;INT($N349),$N349-INT($N349),1))*
IF(ER$44=2,DZ349,
IF(INT(DZ349)=INT(DY349),0,DZ349-INT(DZ349)))))</f>
        <v>0</v>
      </c>
      <c r="ES349" s="835">
        <f>+IF(OR(EA349=DZ349,ES$44=1),0,
IF(AND(ES$44&gt;1,EA349=$N349),1-SUM($EN349:ER349),
IF($N349&lt;=1,
IF($N349&gt;0,1/$N349,0),
IF(ES$44=2,0,VDB(1,0,$N349,INT(ES$44-2-1),MIN($N349,INT(ES$44-2-1)+1),$DC349,IF($DD349="No",1,0))/
IF(DZ349&gt;=INT($N349),$N349-INT($N349),1)))*
IF(ES$44=2,0,
IF(INT(EA349)=INT(DZ349),EA349-DZ349,INT(EA349)-DZ349))+
IF($N349&lt;=1,
IF($N349&gt;0,1/$N349,0),VDB(1,0,$N349,INT(ES$44-2),MIN($N349,INT(ES$44-2)+1),$DC349,IF($DD349="No",1,0))/
IF(EA349&gt;INT($N349),$N349-INT($N349),1))*
IF(ES$44=2,EA349,
IF(INT(EA349)=INT(DZ349),0,EA349-INT(EA349)))))</f>
        <v>0</v>
      </c>
      <c r="ET349" s="835">
        <f>+IF(OR(EB349=EA349,ET$44=1),0,
IF(AND(ET$44&gt;1,EB349=$N349),1-SUM($EN349:ES349),
IF($N349&lt;=1,
IF($N349&gt;0,1/$N349,0),
IF(ET$44=2,0,VDB(1,0,$N349,INT(ET$44-2-1),MIN($N349,INT(ET$44-2-1)+1),$DC349,IF($DD349="No",1,0))/
IF(EA349&gt;=INT($N349),$N349-INT($N349),1)))*
IF(ET$44=2,0,
IF(INT(EB349)=INT(EA349),EB349-EA349,INT(EB349)-EA349))+
IF($N349&lt;=1,
IF($N349&gt;0,1/$N349,0),VDB(1,0,$N349,INT(ET$44-2),MIN($N349,INT(ET$44-2)+1),$DC349,IF($DD349="No",1,0))/
IF(EB349&gt;INT($N349),$N349-INT($N349),1))*
IF(ET$44=2,EB349,
IF(INT(EB349)=INT(EA349),0,EB349-INT(EB349)))))</f>
        <v>0</v>
      </c>
      <c r="EU349" s="835">
        <f>+IF(OR(EC349=EB349,EU$44=1),0,
IF(AND(EU$44&gt;1,EC349=$N349),1-SUM($EN349:ET349),
IF($N349&lt;=1,
IF($N349&gt;0,1/$N349,0),
IF(EU$44=2,0,VDB(1,0,$N349,INT(EU$44-2-1),MIN($N349,INT(EU$44-2-1)+1),$DC349,IF($DD349="No",1,0))/
IF(EB349&gt;=INT($N349),$N349-INT($N349),1)))*
IF(EU$44=2,0,
IF(INT(EC349)=INT(EB349),EC349-EB349,INT(EC349)-EB349))+
IF($N349&lt;=1,
IF($N349&gt;0,1/$N349,0),VDB(1,0,$N349,INT(EU$44-2),MIN($N349,INT(EU$44-2)+1),$DC349,IF($DD349="No",1,0))/
IF(EC349&gt;INT($N349),$N349-INT($N349),1))*
IF(EU$44=2,EC349,
IF(INT(EC349)=INT(EB349),0,EC349-INT(EC349)))))</f>
        <v>0</v>
      </c>
      <c r="EV349" s="836">
        <f>+IF(OR(ED349=EC349,EV$44=1),0,
IF(AND(EV$44&gt;1,ED349=$N349),1-SUM($EN349:EU349),
IF($N349&lt;=1,
IF($N349&gt;0,1/$N349,0),
IF(EV$44=2,0,VDB(1,0,$N349,INT(EV$44-2-1),MIN($N349,INT(EV$44-2-1)+1),$DC349,IF($DD349="No",1,0))/
IF(EC349&gt;=INT($N349),$N349-INT($N349),1)))*
IF(EV$44=2,0,
IF(INT(ED349)=INT(EC349),ED349-EC349,INT(ED349)-EC349))+
IF($N349&lt;=1,
IF($N349&gt;0,1/$N349,0),VDB(1,0,$N349,INT(EV$44-2),MIN($N349,INT(EV$44-2)+1),$DC349,IF($DD349="No",1,0))/
IF(ED349&gt;INT($N349),$N349-INT($N349),1))*
IF(EV$44=2,ED349,
IF(INT(ED349)=INT(EC349),0,ED349-INT(ED349)))))</f>
        <v>0</v>
      </c>
      <c r="EW349" s="833"/>
      <c r="EX349" s="834">
        <f t="shared" ca="1" si="570"/>
        <v>0</v>
      </c>
      <c r="EY349" s="835">
        <f t="shared" ca="1" si="570"/>
        <v>0</v>
      </c>
      <c r="EZ349" s="836">
        <f t="shared" ca="1" si="570"/>
        <v>0</v>
      </c>
      <c r="FA349" s="834">
        <f t="shared" ca="1" si="570"/>
        <v>0</v>
      </c>
      <c r="FB349" s="835">
        <f t="shared" ca="1" si="570"/>
        <v>0</v>
      </c>
      <c r="FC349" s="835">
        <f t="shared" ca="1" si="570"/>
        <v>0</v>
      </c>
      <c r="FD349" s="835">
        <f t="shared" ca="1" si="570"/>
        <v>0</v>
      </c>
      <c r="FE349" s="836">
        <f t="shared" ca="1" si="570"/>
        <v>0</v>
      </c>
      <c r="FG349" s="386">
        <f t="shared" ca="1" si="617"/>
        <v>0</v>
      </c>
      <c r="FH349" s="387">
        <f t="shared" ca="1" si="618"/>
        <v>0</v>
      </c>
      <c r="FI349" s="388">
        <f t="shared" ca="1" si="619"/>
        <v>0</v>
      </c>
      <c r="FJ349" s="386">
        <f t="shared" ca="1" si="620"/>
        <v>0</v>
      </c>
      <c r="FK349" s="387">
        <f t="shared" ca="1" si="621"/>
        <v>0</v>
      </c>
      <c r="FL349" s="387">
        <f t="shared" ca="1" si="622"/>
        <v>0</v>
      </c>
      <c r="FM349" s="387">
        <f t="shared" ca="1" si="623"/>
        <v>0</v>
      </c>
      <c r="FN349" s="388">
        <f t="shared" ca="1" si="624"/>
        <v>0</v>
      </c>
      <c r="FR349" s="116"/>
    </row>
    <row r="350" spans="2:174">
      <c r="B350" s="1410">
        <f t="shared" si="556"/>
        <v>304</v>
      </c>
      <c r="C350" s="400"/>
      <c r="D350" s="410"/>
      <c r="E350" s="402"/>
      <c r="F350" s="402"/>
      <c r="G350" s="400"/>
      <c r="H350" s="2088"/>
      <c r="I350" s="2089"/>
      <c r="J350" s="411"/>
      <c r="K350" s="403"/>
      <c r="L350" s="403"/>
      <c r="M350" s="403"/>
      <c r="N350" s="403"/>
      <c r="O350" s="347"/>
      <c r="P350" s="347"/>
      <c r="Q350" s="1021"/>
      <c r="R350" s="1022"/>
      <c r="S350" s="1022"/>
      <c r="T350" s="1022"/>
      <c r="U350" s="1023"/>
      <c r="V350" s="1021"/>
      <c r="W350" s="1022"/>
      <c r="X350" s="1022"/>
      <c r="Y350" s="1022"/>
      <c r="Z350" s="1023"/>
      <c r="AA350" s="1024"/>
      <c r="AB350" s="1021"/>
      <c r="AC350" s="1022"/>
      <c r="AD350" s="1022"/>
      <c r="AE350" s="1022"/>
      <c r="AF350" s="1023"/>
      <c r="AG350" s="1021"/>
      <c r="AH350" s="1022"/>
      <c r="AI350" s="1022"/>
      <c r="AJ350" s="1022"/>
      <c r="AK350" s="1023"/>
      <c r="AL350" s="1024"/>
      <c r="AM350" s="1021"/>
      <c r="AN350" s="1022"/>
      <c r="AO350" s="1022"/>
      <c r="AP350" s="1022"/>
      <c r="AQ350" s="1023"/>
      <c r="AR350" s="1021"/>
      <c r="AS350" s="1022"/>
      <c r="AT350" s="1022"/>
      <c r="AU350" s="1022"/>
      <c r="AV350" s="1023"/>
      <c r="AW350" s="1025"/>
      <c r="AX350" s="1282">
        <f t="shared" si="571"/>
        <v>0</v>
      </c>
      <c r="AY350" s="387">
        <f t="shared" si="572"/>
        <v>0</v>
      </c>
      <c r="AZ350" s="387">
        <f t="shared" si="573"/>
        <v>0</v>
      </c>
      <c r="BA350" s="387">
        <f t="shared" si="574"/>
        <v>0</v>
      </c>
      <c r="BB350" s="1283">
        <f t="shared" si="575"/>
        <v>0</v>
      </c>
      <c r="BC350" s="386">
        <f t="shared" si="576"/>
        <v>0</v>
      </c>
      <c r="BD350" s="387">
        <f t="shared" si="577"/>
        <v>0</v>
      </c>
      <c r="BE350" s="1277">
        <f t="shared" si="578"/>
        <v>0</v>
      </c>
      <c r="BF350" s="1277">
        <f t="shared" si="579"/>
        <v>0</v>
      </c>
      <c r="BG350" s="388">
        <f t="shared" si="580"/>
        <v>0</v>
      </c>
      <c r="BH350" s="1025"/>
      <c r="BI350" s="1282">
        <f t="shared" ca="1" si="581"/>
        <v>0</v>
      </c>
      <c r="BJ350" s="387">
        <f t="shared" ca="1" si="582"/>
        <v>0</v>
      </c>
      <c r="BK350" s="387">
        <f t="shared" ca="1" si="583"/>
        <v>0</v>
      </c>
      <c r="BL350" s="387">
        <f t="shared" ca="1" si="584"/>
        <v>0</v>
      </c>
      <c r="BM350" s="1283">
        <f t="shared" ca="1" si="585"/>
        <v>0</v>
      </c>
      <c r="BN350" s="386">
        <f t="shared" ca="1" si="586"/>
        <v>0</v>
      </c>
      <c r="BO350" s="387">
        <f t="shared" ca="1" si="587"/>
        <v>0</v>
      </c>
      <c r="BP350" s="1277">
        <f t="shared" ca="1" si="588"/>
        <v>0</v>
      </c>
      <c r="BQ350" s="1277">
        <f t="shared" ca="1" si="589"/>
        <v>0</v>
      </c>
      <c r="BR350" s="388">
        <f t="shared" ca="1" si="590"/>
        <v>0</v>
      </c>
      <c r="BS350" s="1025"/>
      <c r="BT350" s="1282">
        <f>+IF($K350="Ongoing",AX350,IF(RIGHT($K350,2)=RIGHT(BT$43,2),SUM($AX350:AX350),0)+IF(RIGHT(BT$43,2)&gt;RIGHT($K350,2),AX350,0))</f>
        <v>0</v>
      </c>
      <c r="BU350" s="387">
        <f>+IF($K350="Ongoing",AY350,IF(RIGHT($K350,2)=RIGHT(BU$43,2),SUM($AX350:AY350),0)+IF(RIGHT(BU$43,2)&gt;RIGHT($K350,2),AY350,0))</f>
        <v>0</v>
      </c>
      <c r="BV350" s="387">
        <f>+IF($K350="Ongoing",AZ350,IF(RIGHT($K350,2)=RIGHT(BV$43,2),SUM($AX350:AZ350),0)+IF(RIGHT(BV$43,2)&gt;RIGHT($K350,2),AZ350,0))</f>
        <v>0</v>
      </c>
      <c r="BW350" s="387">
        <f>+IF($K350="Ongoing",BA350,IF(RIGHT($K350,2)=RIGHT(BW$43,2),SUM($AX350:BA350),0)+IF(RIGHT(BW$43,2)&gt;RIGHT($K350,2),BA350,0))</f>
        <v>0</v>
      </c>
      <c r="BX350" s="1283">
        <f>+IF($K350="Ongoing",BB350,IF(RIGHT($K350,2)=RIGHT(BX$43,2),SUM($AX350:BB350),0)+IF(RIGHT(BX$43,2)&gt;RIGHT($K350,2),BB350,0))</f>
        <v>0</v>
      </c>
      <c r="BY350" s="386">
        <f>+IF($K350="Ongoing",BC350,IF(RIGHT($K350,2)=RIGHT(BY$43,2),SUM($AX350:BC350),0)+IF(RIGHT(BY$43,2)&gt;RIGHT($K350,2),BC350,0))</f>
        <v>0</v>
      </c>
      <c r="BZ350" s="387">
        <f>+IF($K350="Ongoing",BD350,IF(RIGHT($K350,2)=RIGHT(BZ$43,2),SUM($AX350:BD350),0)+IF(RIGHT(BZ$43,2)&gt;RIGHT($K350,2),BD350,0))</f>
        <v>0</v>
      </c>
      <c r="CA350" s="1277">
        <f>+IF($K350="Ongoing",BE350,IF(RIGHT($K350,2)=RIGHT(CA$43,2),SUM($AX350:BE350),0)+IF(RIGHT(CA$43,2)&gt;RIGHT($K350,2),BE350,0))</f>
        <v>0</v>
      </c>
      <c r="CB350" s="1277">
        <f>+IF($K350="Ongoing",BF350,IF(RIGHT($K350,2)=RIGHT(CB$43,2),SUM($AX350:BF350),0)+IF(RIGHT(CB$43,2)&gt;RIGHT($K350,2),BF350,0))</f>
        <v>0</v>
      </c>
      <c r="CC350" s="388">
        <f>+IF($K350="Ongoing",BG350,IF(RIGHT($K350,2)=RIGHT(CC$43,2),SUM($AX350:BG350),0)+IF(RIGHT(CC$43,2)&gt;RIGHT($K350,2),BG350,0))</f>
        <v>0</v>
      </c>
      <c r="CD350" s="1025"/>
      <c r="CE350" s="1282">
        <f>+Q350*KeyAssumptionsPriceControl_FO!AF$15</f>
        <v>0</v>
      </c>
      <c r="CF350" s="387">
        <f>+R350*KeyAssumptionsPriceControl_FO!AG$15</f>
        <v>0</v>
      </c>
      <c r="CG350" s="387">
        <f>+S350*KeyAssumptionsPriceControl_FO!AH$15</f>
        <v>0</v>
      </c>
      <c r="CH350" s="387">
        <f>+T350*KeyAssumptionsPriceControl_FO!AI$15</f>
        <v>0</v>
      </c>
      <c r="CI350" s="1283">
        <f>+U350*KeyAssumptionsPriceControl_FO!AJ$15</f>
        <v>0</v>
      </c>
      <c r="CJ350" s="386">
        <f>+V350*KeyAssumptionsPriceControl_FO!AK$15</f>
        <v>0</v>
      </c>
      <c r="CK350" s="387">
        <f>+W350*KeyAssumptionsPriceControl_FO!AL$15</f>
        <v>0</v>
      </c>
      <c r="CL350" s="1277">
        <f>+X350*KeyAssumptionsPriceControl_FO!AM$15</f>
        <v>0</v>
      </c>
      <c r="CM350" s="1277">
        <f>+Y350*KeyAssumptionsPriceControl_FO!AN$15</f>
        <v>0</v>
      </c>
      <c r="CN350" s="388">
        <f>+Z350*KeyAssumptionsPriceControl_FO!AO$15</f>
        <v>0</v>
      </c>
      <c r="CO350" s="1025"/>
      <c r="CP350" s="1282">
        <f t="shared" ca="1" si="591"/>
        <v>0</v>
      </c>
      <c r="CQ350" s="387">
        <f t="shared" ca="1" si="592"/>
        <v>0</v>
      </c>
      <c r="CR350" s="387">
        <f t="shared" ca="1" si="593"/>
        <v>0</v>
      </c>
      <c r="CS350" s="387">
        <f t="shared" ca="1" si="594"/>
        <v>0</v>
      </c>
      <c r="CT350" s="1283">
        <f t="shared" ca="1" si="595"/>
        <v>0</v>
      </c>
      <c r="CU350" s="386">
        <f t="shared" ca="1" si="596"/>
        <v>0</v>
      </c>
      <c r="CV350" s="387">
        <f t="shared" ca="1" si="597"/>
        <v>0</v>
      </c>
      <c r="CW350" s="1277">
        <f t="shared" ca="1" si="598"/>
        <v>0</v>
      </c>
      <c r="CX350" s="1277">
        <f t="shared" ca="1" si="599"/>
        <v>0</v>
      </c>
      <c r="CY350" s="388">
        <f t="shared" ca="1" si="600"/>
        <v>0</v>
      </c>
      <c r="CZ350" s="347"/>
      <c r="DA350" s="852"/>
      <c r="DB350" s="347"/>
      <c r="DC350" s="1012" t="s">
        <v>553</v>
      </c>
      <c r="DD350" s="841" t="s">
        <v>518</v>
      </c>
      <c r="DE350" s="386">
        <f>+IF($K350="ongoing",CE350,IF(RIGHT($K350,2)=RIGHT(DE$43,2),SUM($CD350:CE350),0)+IF(RIGHT(DE$43,2)&gt;RIGHT($K350,2),CE350,0))</f>
        <v>0</v>
      </c>
      <c r="DF350" s="387">
        <f>+IF($K350="ongoing",CF350,IF(RIGHT($K350,2)=RIGHT(DF$43,2),SUM($CD350:CF350),0)+IF(RIGHT(DF$43,2)&gt;RIGHT($K350,2),CF350,0))</f>
        <v>0</v>
      </c>
      <c r="DG350" s="388">
        <f>+IF($K350="ongoing",CG350,IF(RIGHT($K350,2)=RIGHT(DG$43,2),SUM($CD350:CG350),0)+IF(RIGHT(DG$43,2)&gt;RIGHT($K350,2),CG350,0))</f>
        <v>0</v>
      </c>
      <c r="DH350" s="386">
        <f>+IF($K350="ongoing",CH350,IF(RIGHT($K350,2)=RIGHT(DH$43,2),SUM($CD350:CH350),0)+IF(RIGHT(DH$43,2)&gt;RIGHT($K350,2),CH350,0))</f>
        <v>0</v>
      </c>
      <c r="DI350" s="387">
        <f>+IF($K350="ongoing",CI350,IF(RIGHT($K350,2)=RIGHT(DI$43,2),SUM($CD350:CI350),0)+IF(RIGHT(DI$43,2)&gt;RIGHT($K350,2),CI350,0))</f>
        <v>0</v>
      </c>
      <c r="DJ350" s="387">
        <f>+IF($K350="ongoing",CJ350,IF(RIGHT($K350,2)=RIGHT(DJ$43,2),SUM($CD350:CJ350),0)+IF(RIGHT(DJ$43,2)&gt;RIGHT($K350,2),CJ350,0))</f>
        <v>0</v>
      </c>
      <c r="DK350" s="387">
        <f>+IF($K350="ongoing",CK350,IF(RIGHT($K350,2)=RIGHT(DK$43,2),SUM($CD350:CK350),0)+IF(RIGHT(DK$43,2)&gt;RIGHT($K350,2),CK350,0))</f>
        <v>0</v>
      </c>
      <c r="DL350" s="388">
        <f>+IF($K350="ongoing",CN350,IF(RIGHT($K350,2)=RIGHT(DL$43,2),SUM($CD350:CN350),0)+IF(RIGHT(DL$43,2)&gt;RIGHT($K350,2),CN350,0))</f>
        <v>0</v>
      </c>
      <c r="DM350" s="841"/>
      <c r="DN350" s="386">
        <f t="shared" si="601"/>
        <v>0.5</v>
      </c>
      <c r="DO350" s="387">
        <f t="shared" si="602"/>
        <v>1</v>
      </c>
      <c r="DP350" s="388">
        <f t="shared" si="603"/>
        <v>1</v>
      </c>
      <c r="DQ350" s="386">
        <f t="shared" si="604"/>
        <v>1</v>
      </c>
      <c r="DR350" s="387">
        <f t="shared" si="605"/>
        <v>1</v>
      </c>
      <c r="DS350" s="387">
        <f t="shared" si="606"/>
        <v>1</v>
      </c>
      <c r="DT350" s="387">
        <f t="shared" si="607"/>
        <v>1</v>
      </c>
      <c r="DU350" s="388">
        <f t="shared" si="608"/>
        <v>1</v>
      </c>
      <c r="DW350" s="386">
        <f t="shared" si="609"/>
        <v>0</v>
      </c>
      <c r="DX350" s="387">
        <f t="shared" si="610"/>
        <v>0.5</v>
      </c>
      <c r="DY350" s="388">
        <f t="shared" si="611"/>
        <v>1</v>
      </c>
      <c r="DZ350" s="386">
        <f t="shared" si="612"/>
        <v>1</v>
      </c>
      <c r="EA350" s="387">
        <f t="shared" si="613"/>
        <v>1</v>
      </c>
      <c r="EB350" s="387">
        <f t="shared" si="614"/>
        <v>1</v>
      </c>
      <c r="EC350" s="387">
        <f t="shared" si="615"/>
        <v>1</v>
      </c>
      <c r="ED350" s="388">
        <f t="shared" si="616"/>
        <v>1</v>
      </c>
      <c r="EF350" s="834">
        <f>+IF(DN350=DM350,0,
IF(AND(EF$44&gt;1,DN350=$N350),1-SUM($EE350:EE350),
IF($N350&lt;=1,
IF($N350&gt;0,1/$N350,0),
IF(EF$44=1,0,VDB(1,0,$N350,INT(EF$44-1-1),MIN($N350,INT(EF$44-1-1)+1),$DC350,IF($DD350="No",1,0))/
IF(DM350&gt;=INT($N350),$N350-INT($N350),1)))*
IF(EF$44=1,0,
IF(INT(DN350)=INT(DM350),DN350-DM350,INT(DN350)-DM350))+
IF($N350&lt;=1,
IF($N350&gt;0,1/$N350,0),VDB(1,0,$N350,INT(EF$44-1),MIN($N350,INT(EF$44-1)+1),$DC350,IF($DD350="No",1,0))/
IF(DN350&gt;INT($N350),$N350-INT($N350),1))*
IF(EF$44=1,DN350,
IF(INT(DN350)=INT(DM350),0,DN350-INT(DN350)))))</f>
        <v>0</v>
      </c>
      <c r="EG350" s="835">
        <f>+IF(DO350=DN350,0,
IF(AND(EG$44&gt;1,DO350=$N350),1-SUM($EE350:EF350),
IF($N350&lt;=1,
IF($N350&gt;0,1/$N350,0),
IF(EG$44=1,0,VDB(1,0,$N350,INT(EG$44-1-1),MIN($N350,INT(EG$44-1-1)+1),$DC350,IF($DD350="No",1,0))/
IF(DN350&gt;=INT($N350),$N350-INT($N350),1)))*
IF(EG$44=1,0,
IF(INT(DO350)=INT(DN350),DO350-DN350,INT(DO350)-DN350))+
IF($N350&lt;=1,
IF($N350&gt;0,1/$N350,0),VDB(1,0,$N350,INT(EG$44-1),MIN($N350,INT(EG$44-1)+1),$DC350,IF($DD350="No",1,0))/
IF(DO350&gt;INT($N350),$N350-INT($N350),1))*
IF(EG$44=1,DO350,
IF(INT(DO350)=INT(DN350),0,DO350-INT(DO350)))))</f>
        <v>0</v>
      </c>
      <c r="EH350" s="836">
        <f>+IF(DP350=DO350,0,
IF(AND(EH$44&gt;1,DP350=$N350),1-SUM($EE350:EG350),
IF($N350&lt;=1,
IF($N350&gt;0,1/$N350,0),
IF(EH$44=1,0,VDB(1,0,$N350,INT(EH$44-1-1),MIN($N350,INT(EH$44-1-1)+1),$DC350,IF($DD350="No",1,0))/
IF(DO350&gt;=INT($N350),$N350-INT($N350),1)))*
IF(EH$44=1,0,
IF(INT(DP350)=INT(DO350),DP350-DO350,INT(DP350)-DO350))+
IF($N350&lt;=1,
IF($N350&gt;0,1/$N350,0),VDB(1,0,$N350,INT(EH$44-1),MIN($N350,INT(EH$44-1)+1),$DC350,IF($DD350="No",1,0))/
IF(DP350&gt;INT($N350),$N350-INT($N350),1))*
IF(EH$44=1,DP350,
IF(INT(DP350)=INT(DO350),0,DP350-INT(DP350)))))</f>
        <v>0</v>
      </c>
      <c r="EI350" s="834">
        <f>+IF(DQ350=DP350,0,
IF(AND(EI$44&gt;1,DQ350=$N350),1-SUM($EE350:EH350),
IF($N350&lt;=1,
IF($N350&gt;0,1/$N350,0),
IF(EI$44=1,0,VDB(1,0,$N350,INT(EI$44-1-1),MIN($N350,INT(EI$44-1-1)+1),$DC350,IF($DD350="No",1,0))/
IF(DP350&gt;=INT($N350),$N350-INT($N350),1)))*
IF(EI$44=1,0,
IF(INT(DQ350)=INT(DP350),DQ350-DP350,INT(DQ350)-DP350))+
IF($N350&lt;=1,
IF($N350&gt;0,1/$N350,0),VDB(1,0,$N350,INT(EI$44-1),MIN($N350,INT(EI$44-1)+1),$DC350,IF($DD350="No",1,0))/
IF(DQ350&gt;INT($N350),$N350-INT($N350),1))*
IF(EI$44=1,DQ350,
IF(INT(DQ350)=INT(DP350),0,DQ350-INT(DQ350)))))</f>
        <v>0</v>
      </c>
      <c r="EJ350" s="835">
        <f>+IF(DR350=DQ350,0,
IF(AND(EJ$44&gt;1,DR350=$N350),1-SUM($EE350:EI350),
IF($N350&lt;=1,
IF($N350&gt;0,1/$N350,0),
IF(EJ$44=1,0,VDB(1,0,$N350,INT(EJ$44-1-1),MIN($N350,INT(EJ$44-1-1)+1),$DC350,IF($DD350="No",1,0))/
IF(DQ350&gt;=INT($N350),$N350-INT($N350),1)))*
IF(EJ$44=1,0,
IF(INT(DR350)=INT(DQ350),DR350-DQ350,INT(DR350)-DQ350))+
IF($N350&lt;=1,
IF($N350&gt;0,1/$N350,0),VDB(1,0,$N350,INT(EJ$44-1),MIN($N350,INT(EJ$44-1)+1),$DC350,IF($DD350="No",1,0))/
IF(DR350&gt;INT($N350),$N350-INT($N350),1))*
IF(EJ$44=1,DR350,
IF(INT(DR350)=INT(DQ350),0,DR350-INT(DR350)))))</f>
        <v>0</v>
      </c>
      <c r="EK350" s="835">
        <f>+IF(DS350=DR350,0,
IF(AND(EK$44&gt;1,DS350=$N350),1-SUM($EE350:EJ350),
IF($N350&lt;=1,
IF($N350&gt;0,1/$N350,0),
IF(EK$44=1,0,VDB(1,0,$N350,INT(EK$44-1-1),MIN($N350,INT(EK$44-1-1)+1),$DC350,IF($DD350="No",1,0))/
IF(DR350&gt;=INT($N350),$N350-INT($N350),1)))*
IF(EK$44=1,0,
IF(INT(DS350)=INT(DR350),DS350-DR350,INT(DS350)-DR350))+
IF($N350&lt;=1,
IF($N350&gt;0,1/$N350,0),VDB(1,0,$N350,INT(EK$44-1),MIN($N350,INT(EK$44-1)+1),$DC350,IF($DD350="No",1,0))/
IF(DS350&gt;INT($N350),$N350-INT($N350),1))*
IF(EK$44=1,DS350,
IF(INT(DS350)=INT(DR350),0,DS350-INT(DS350)))))</f>
        <v>0</v>
      </c>
      <c r="EL350" s="835">
        <f>+IF(DT350=DS350,0,
IF(AND(EL$44&gt;1,DT350=$N350),1-SUM($EE350:EK350),
IF($N350&lt;=1,
IF($N350&gt;0,1/$N350,0),
IF(EL$44=1,0,VDB(1,0,$N350,INT(EL$44-1-1),MIN($N350,INT(EL$44-1-1)+1),$DC350,IF($DD350="No",1,0))/
IF(DS350&gt;=INT($N350),$N350-INT($N350),1)))*
IF(EL$44=1,0,
IF(INT(DT350)=INT(DS350),DT350-DS350,INT(DT350)-DS350))+
IF($N350&lt;=1,
IF($N350&gt;0,1/$N350,0),VDB(1,0,$N350,INT(EL$44-1),MIN($N350,INT(EL$44-1)+1),$DC350,IF($DD350="No",1,0))/
IF(DT350&gt;INT($N350),$N350-INT($N350),1))*
IF(EL$44=1,DT350,
IF(INT(DT350)=INT(DS350),0,DT350-INT(DT350)))))</f>
        <v>0</v>
      </c>
      <c r="EM350" s="836">
        <f>+IF(DU350=DT350,0,
IF(AND(EM$44&gt;1,DU350=$N350),1-SUM($EE350:EL350),
IF($N350&lt;=1,
IF($N350&gt;0,1/$N350,0),
IF(EM$44=1,0,VDB(1,0,$N350,INT(EM$44-1-1),MIN($N350,INT(EM$44-1-1)+1),$DC350,IF($DD350="No",1,0))/
IF(DT350&gt;=INT($N350),$N350-INT($N350),1)))*
IF(EM$44=1,0,
IF(INT(DU350)=INT(DT350),DU350-DT350,INT(DU350)-DT350))+
IF($N350&lt;=1,
IF($N350&gt;0,1/$N350,0),VDB(1,0,$N350,INT(EM$44-1),MIN($N350,INT(EM$44-1)+1),$DC350,IF($DD350="No",1,0))/
IF(DU350&gt;INT($N350),$N350-INT($N350),1))*
IF(EM$44=1,DU350,
IF(INT(DU350)=INT(DT350),0,DU350-INT(DU350)))))</f>
        <v>0</v>
      </c>
      <c r="EN350" s="833"/>
      <c r="EO350" s="834">
        <f>+IF(OR(DW350=DV350,EO$44=1),0,
IF(AND(EO$44&gt;1,DW350=$N350),1-SUM($EN350:EN350),
IF($N350&lt;=1,
IF($N350&gt;0,1/$N350,0),
IF(EO$44=2,0,VDB(1,0,$N350,INT(EO$44-2-1),MIN($N350,INT(EO$44-2-1)+1),$DC350,IF($DD350="No",1,0))/
IF(DV350&gt;=INT($N350),$N350-INT($N350),1)))*
IF(EO$44=2,0,
IF(INT(DW350)=INT(DV350),DW350-DV350,INT(DW350)-DV350))+
IF($N350&lt;=1,
IF($N350&gt;0,1/$N350,0),VDB(1,0,$N350,INT(EO$44-2),MIN($N350,INT(EO$44-2)+1),$DC350,IF($DD350="No",1,0))/
IF(DW350&gt;INT($N350),$N350-INT($N350),1))*
IF(EO$44=2,DW350,
IF(INT(DW350)=INT(DV350),0,DW350-INT(DW350)))))</f>
        <v>0</v>
      </c>
      <c r="EP350" s="835">
        <f>+IF(OR(DX350=DW350,EP$44=1),0,
IF(AND(EP$44&gt;1,DX350=$N350),1-SUM($EN350:EO350),
IF($N350&lt;=1,
IF($N350&gt;0,1/$N350,0),
IF(EP$44=2,0,VDB(1,0,$N350,INT(EP$44-2-1),MIN($N350,INT(EP$44-2-1)+1),$DC350,IF($DD350="No",1,0))/
IF(DW350&gt;=INT($N350),$N350-INT($N350),1)))*
IF(EP$44=2,0,
IF(INT(DX350)=INT(DW350),DX350-DW350,INT(DX350)-DW350))+
IF($N350&lt;=1,
IF($N350&gt;0,1/$N350,0),VDB(1,0,$N350,INT(EP$44-2),MIN($N350,INT(EP$44-2)+1),$DC350,IF($DD350="No",1,0))/
IF(DX350&gt;INT($N350),$N350-INT($N350),1))*
IF(EP$44=2,DX350,
IF(INT(DX350)=INT(DW350),0,DX350-INT(DX350)))))</f>
        <v>0</v>
      </c>
      <c r="EQ350" s="836">
        <f>+IF(OR(DY350=DX350,EQ$44=1),0,
IF(AND(EQ$44&gt;1,DY350=$N350),1-SUM($EN350:EP350),
IF($N350&lt;=1,
IF($N350&gt;0,1/$N350,0),
IF(EQ$44=2,0,VDB(1,0,$N350,INT(EQ$44-2-1),MIN($N350,INT(EQ$44-2-1)+1),$DC350,IF($DD350="No",1,0))/
IF(DX350&gt;=INT($N350),$N350-INT($N350),1)))*
IF(EQ$44=2,0,
IF(INT(DY350)=INT(DX350),DY350-DX350,INT(DY350)-DX350))+
IF($N350&lt;=1,
IF($N350&gt;0,1/$N350,0),VDB(1,0,$N350,INT(EQ$44-2),MIN($N350,INT(EQ$44-2)+1),$DC350,IF($DD350="No",1,0))/
IF(DY350&gt;INT($N350),$N350-INT($N350),1))*
IF(EQ$44=2,DY350,
IF(INT(DY350)=INT(DX350),0,DY350-INT(DY350)))))</f>
        <v>0</v>
      </c>
      <c r="ER350" s="834">
        <f>+IF(OR(DZ350=DY350,ER$44=1),0,
IF(AND(ER$44&gt;1,DZ350=$N350),1-SUM($EN350:EQ350),
IF($N350&lt;=1,
IF($N350&gt;0,1/$N350,0),
IF(ER$44=2,0,VDB(1,0,$N350,INT(ER$44-2-1),MIN($N350,INT(ER$44-2-1)+1),$DC350,IF($DD350="No",1,0))/
IF(DY350&gt;=INT($N350),$N350-INT($N350),1)))*
IF(ER$44=2,0,
IF(INT(DZ350)=INT(DY350),DZ350-DY350,INT(DZ350)-DY350))+
IF($N350&lt;=1,
IF($N350&gt;0,1/$N350,0),VDB(1,0,$N350,INT(ER$44-2),MIN($N350,INT(ER$44-2)+1),$DC350,IF($DD350="No",1,0))/
IF(DZ350&gt;INT($N350),$N350-INT($N350),1))*
IF(ER$44=2,DZ350,
IF(INT(DZ350)=INT(DY350),0,DZ350-INT(DZ350)))))</f>
        <v>0</v>
      </c>
      <c r="ES350" s="835">
        <f>+IF(OR(EA350=DZ350,ES$44=1),0,
IF(AND(ES$44&gt;1,EA350=$N350),1-SUM($EN350:ER350),
IF($N350&lt;=1,
IF($N350&gt;0,1/$N350,0),
IF(ES$44=2,0,VDB(1,0,$N350,INT(ES$44-2-1),MIN($N350,INT(ES$44-2-1)+1),$DC350,IF($DD350="No",1,0))/
IF(DZ350&gt;=INT($N350),$N350-INT($N350),1)))*
IF(ES$44=2,0,
IF(INT(EA350)=INT(DZ350),EA350-DZ350,INT(EA350)-DZ350))+
IF($N350&lt;=1,
IF($N350&gt;0,1/$N350,0),VDB(1,0,$N350,INT(ES$44-2),MIN($N350,INT(ES$44-2)+1),$DC350,IF($DD350="No",1,0))/
IF(EA350&gt;INT($N350),$N350-INT($N350),1))*
IF(ES$44=2,EA350,
IF(INT(EA350)=INT(DZ350),0,EA350-INT(EA350)))))</f>
        <v>0</v>
      </c>
      <c r="ET350" s="835">
        <f>+IF(OR(EB350=EA350,ET$44=1),0,
IF(AND(ET$44&gt;1,EB350=$N350),1-SUM($EN350:ES350),
IF($N350&lt;=1,
IF($N350&gt;0,1/$N350,0),
IF(ET$44=2,0,VDB(1,0,$N350,INT(ET$44-2-1),MIN($N350,INT(ET$44-2-1)+1),$DC350,IF($DD350="No",1,0))/
IF(EA350&gt;=INT($N350),$N350-INT($N350),1)))*
IF(ET$44=2,0,
IF(INT(EB350)=INT(EA350),EB350-EA350,INT(EB350)-EA350))+
IF($N350&lt;=1,
IF($N350&gt;0,1/$N350,0),VDB(1,0,$N350,INT(ET$44-2),MIN($N350,INT(ET$44-2)+1),$DC350,IF($DD350="No",1,0))/
IF(EB350&gt;INT($N350),$N350-INT($N350),1))*
IF(ET$44=2,EB350,
IF(INT(EB350)=INT(EA350),0,EB350-INT(EB350)))))</f>
        <v>0</v>
      </c>
      <c r="EU350" s="835">
        <f>+IF(OR(EC350=EB350,EU$44=1),0,
IF(AND(EU$44&gt;1,EC350=$N350),1-SUM($EN350:ET350),
IF($N350&lt;=1,
IF($N350&gt;0,1/$N350,0),
IF(EU$44=2,0,VDB(1,0,$N350,INT(EU$44-2-1),MIN($N350,INT(EU$44-2-1)+1),$DC350,IF($DD350="No",1,0))/
IF(EB350&gt;=INT($N350),$N350-INT($N350),1)))*
IF(EU$44=2,0,
IF(INT(EC350)=INT(EB350),EC350-EB350,INT(EC350)-EB350))+
IF($N350&lt;=1,
IF($N350&gt;0,1/$N350,0),VDB(1,0,$N350,INT(EU$44-2),MIN($N350,INT(EU$44-2)+1),$DC350,IF($DD350="No",1,0))/
IF(EC350&gt;INT($N350),$N350-INT($N350),1))*
IF(EU$44=2,EC350,
IF(INT(EC350)=INT(EB350),0,EC350-INT(EC350)))))</f>
        <v>0</v>
      </c>
      <c r="EV350" s="836">
        <f>+IF(OR(ED350=EC350,EV$44=1),0,
IF(AND(EV$44&gt;1,ED350=$N350),1-SUM($EN350:EU350),
IF($N350&lt;=1,
IF($N350&gt;0,1/$N350,0),
IF(EV$44=2,0,VDB(1,0,$N350,INT(EV$44-2-1),MIN($N350,INT(EV$44-2-1)+1),$DC350,IF($DD350="No",1,0))/
IF(EC350&gt;=INT($N350),$N350-INT($N350),1)))*
IF(EV$44=2,0,
IF(INT(ED350)=INT(EC350),ED350-EC350,INT(ED350)-EC350))+
IF($N350&lt;=1,
IF($N350&gt;0,1/$N350,0),VDB(1,0,$N350,INT(EV$44-2),MIN($N350,INT(EV$44-2)+1),$DC350,IF($DD350="No",1,0))/
IF(ED350&gt;INT($N350),$N350-INT($N350),1))*
IF(EV$44=2,ED350,
IF(INT(ED350)=INT(EC350),0,ED350-INT(ED350)))))</f>
        <v>0</v>
      </c>
      <c r="EW350" s="833"/>
      <c r="EX350" s="834">
        <f t="shared" ca="1" si="570"/>
        <v>0</v>
      </c>
      <c r="EY350" s="835">
        <f t="shared" ca="1" si="570"/>
        <v>0</v>
      </c>
      <c r="EZ350" s="836">
        <f t="shared" ca="1" si="570"/>
        <v>0</v>
      </c>
      <c r="FA350" s="834">
        <f t="shared" ca="1" si="570"/>
        <v>0</v>
      </c>
      <c r="FB350" s="835">
        <f t="shared" ca="1" si="570"/>
        <v>0</v>
      </c>
      <c r="FC350" s="835">
        <f t="shared" ca="1" si="570"/>
        <v>0</v>
      </c>
      <c r="FD350" s="835">
        <f t="shared" ca="1" si="570"/>
        <v>0</v>
      </c>
      <c r="FE350" s="836">
        <f t="shared" ca="1" si="570"/>
        <v>0</v>
      </c>
      <c r="FG350" s="386">
        <f t="shared" ca="1" si="617"/>
        <v>0</v>
      </c>
      <c r="FH350" s="387">
        <f t="shared" ca="1" si="618"/>
        <v>0</v>
      </c>
      <c r="FI350" s="388">
        <f t="shared" ca="1" si="619"/>
        <v>0</v>
      </c>
      <c r="FJ350" s="386">
        <f t="shared" ca="1" si="620"/>
        <v>0</v>
      </c>
      <c r="FK350" s="387">
        <f t="shared" ca="1" si="621"/>
        <v>0</v>
      </c>
      <c r="FL350" s="387">
        <f t="shared" ca="1" si="622"/>
        <v>0</v>
      </c>
      <c r="FM350" s="387">
        <f t="shared" ca="1" si="623"/>
        <v>0</v>
      </c>
      <c r="FN350" s="388">
        <f t="shared" ca="1" si="624"/>
        <v>0</v>
      </c>
      <c r="FR350" s="116"/>
    </row>
    <row r="351" spans="2:174">
      <c r="B351" s="1410">
        <f t="shared" si="556"/>
        <v>305</v>
      </c>
      <c r="C351" s="400"/>
      <c r="D351" s="410"/>
      <c r="E351" s="402"/>
      <c r="F351" s="402"/>
      <c r="G351" s="400"/>
      <c r="H351" s="2088"/>
      <c r="I351" s="2089"/>
      <c r="J351" s="411"/>
      <c r="K351" s="403"/>
      <c r="L351" s="403"/>
      <c r="M351" s="403"/>
      <c r="N351" s="403"/>
      <c r="O351" s="347"/>
      <c r="P351" s="347"/>
      <c r="Q351" s="1021"/>
      <c r="R351" s="1022"/>
      <c r="S351" s="1022"/>
      <c r="T351" s="1022"/>
      <c r="U351" s="1023"/>
      <c r="V351" s="1021"/>
      <c r="W351" s="1022"/>
      <c r="X351" s="1022"/>
      <c r="Y351" s="1022"/>
      <c r="Z351" s="1023"/>
      <c r="AA351" s="1024"/>
      <c r="AB351" s="1021"/>
      <c r="AC351" s="1022"/>
      <c r="AD351" s="1022"/>
      <c r="AE351" s="1022"/>
      <c r="AF351" s="1023"/>
      <c r="AG351" s="1021"/>
      <c r="AH351" s="1022"/>
      <c r="AI351" s="1022"/>
      <c r="AJ351" s="1022"/>
      <c r="AK351" s="1023"/>
      <c r="AL351" s="1024"/>
      <c r="AM351" s="1021"/>
      <c r="AN351" s="1022"/>
      <c r="AO351" s="1022"/>
      <c r="AP351" s="1022"/>
      <c r="AQ351" s="1023"/>
      <c r="AR351" s="1021"/>
      <c r="AS351" s="1022"/>
      <c r="AT351" s="1022"/>
      <c r="AU351" s="1022"/>
      <c r="AV351" s="1023"/>
      <c r="AW351" s="1025"/>
      <c r="AX351" s="1282">
        <f t="shared" si="571"/>
        <v>0</v>
      </c>
      <c r="AY351" s="387">
        <f t="shared" si="572"/>
        <v>0</v>
      </c>
      <c r="AZ351" s="387">
        <f t="shared" si="573"/>
        <v>0</v>
      </c>
      <c r="BA351" s="387">
        <f t="shared" si="574"/>
        <v>0</v>
      </c>
      <c r="BB351" s="1283">
        <f t="shared" si="575"/>
        <v>0</v>
      </c>
      <c r="BC351" s="386">
        <f t="shared" si="576"/>
        <v>0</v>
      </c>
      <c r="BD351" s="387">
        <f t="shared" si="577"/>
        <v>0</v>
      </c>
      <c r="BE351" s="1277">
        <f t="shared" si="578"/>
        <v>0</v>
      </c>
      <c r="BF351" s="1277">
        <f t="shared" si="579"/>
        <v>0</v>
      </c>
      <c r="BG351" s="388">
        <f t="shared" si="580"/>
        <v>0</v>
      </c>
      <c r="BH351" s="1025"/>
      <c r="BI351" s="1282">
        <f t="shared" ca="1" si="581"/>
        <v>0</v>
      </c>
      <c r="BJ351" s="387">
        <f t="shared" ca="1" si="582"/>
        <v>0</v>
      </c>
      <c r="BK351" s="387">
        <f t="shared" ca="1" si="583"/>
        <v>0</v>
      </c>
      <c r="BL351" s="387">
        <f t="shared" ca="1" si="584"/>
        <v>0</v>
      </c>
      <c r="BM351" s="1283">
        <f t="shared" ca="1" si="585"/>
        <v>0</v>
      </c>
      <c r="BN351" s="386">
        <f t="shared" ca="1" si="586"/>
        <v>0</v>
      </c>
      <c r="BO351" s="387">
        <f t="shared" ca="1" si="587"/>
        <v>0</v>
      </c>
      <c r="BP351" s="1277">
        <f t="shared" ca="1" si="588"/>
        <v>0</v>
      </c>
      <c r="BQ351" s="1277">
        <f t="shared" ca="1" si="589"/>
        <v>0</v>
      </c>
      <c r="BR351" s="388">
        <f t="shared" ca="1" si="590"/>
        <v>0</v>
      </c>
      <c r="BS351" s="1025"/>
      <c r="BT351" s="1282">
        <f>+IF($K351="Ongoing",AX351,IF(RIGHT($K351,2)=RIGHT(BT$43,2),SUM($AX351:AX351),0)+IF(RIGHT(BT$43,2)&gt;RIGHT($K351,2),AX351,0))</f>
        <v>0</v>
      </c>
      <c r="BU351" s="387">
        <f>+IF($K351="Ongoing",AY351,IF(RIGHT($K351,2)=RIGHT(BU$43,2),SUM($AX351:AY351),0)+IF(RIGHT(BU$43,2)&gt;RIGHT($K351,2),AY351,0))</f>
        <v>0</v>
      </c>
      <c r="BV351" s="387">
        <f>+IF($K351="Ongoing",AZ351,IF(RIGHT($K351,2)=RIGHT(BV$43,2),SUM($AX351:AZ351),0)+IF(RIGHT(BV$43,2)&gt;RIGHT($K351,2),AZ351,0))</f>
        <v>0</v>
      </c>
      <c r="BW351" s="387">
        <f>+IF($K351="Ongoing",BA351,IF(RIGHT($K351,2)=RIGHT(BW$43,2),SUM($AX351:BA351),0)+IF(RIGHT(BW$43,2)&gt;RIGHT($K351,2),BA351,0))</f>
        <v>0</v>
      </c>
      <c r="BX351" s="1283">
        <f>+IF($K351="Ongoing",BB351,IF(RIGHT($K351,2)=RIGHT(BX$43,2),SUM($AX351:BB351),0)+IF(RIGHT(BX$43,2)&gt;RIGHT($K351,2),BB351,0))</f>
        <v>0</v>
      </c>
      <c r="BY351" s="386">
        <f>+IF($K351="Ongoing",BC351,IF(RIGHT($K351,2)=RIGHT(BY$43,2),SUM($AX351:BC351),0)+IF(RIGHT(BY$43,2)&gt;RIGHT($K351,2),BC351,0))</f>
        <v>0</v>
      </c>
      <c r="BZ351" s="387">
        <f>+IF($K351="Ongoing",BD351,IF(RIGHT($K351,2)=RIGHT(BZ$43,2),SUM($AX351:BD351),0)+IF(RIGHT(BZ$43,2)&gt;RIGHT($K351,2),BD351,0))</f>
        <v>0</v>
      </c>
      <c r="CA351" s="1277">
        <f>+IF($K351="Ongoing",BE351,IF(RIGHT($K351,2)=RIGHT(CA$43,2),SUM($AX351:BE351),0)+IF(RIGHT(CA$43,2)&gt;RIGHT($K351,2),BE351,0))</f>
        <v>0</v>
      </c>
      <c r="CB351" s="1277">
        <f>+IF($K351="Ongoing",BF351,IF(RIGHT($K351,2)=RIGHT(CB$43,2),SUM($AX351:BF351),0)+IF(RIGHT(CB$43,2)&gt;RIGHT($K351,2),BF351,0))</f>
        <v>0</v>
      </c>
      <c r="CC351" s="388">
        <f>+IF($K351="Ongoing",BG351,IF(RIGHT($K351,2)=RIGHT(CC$43,2),SUM($AX351:BG351),0)+IF(RIGHT(CC$43,2)&gt;RIGHT($K351,2),BG351,0))</f>
        <v>0</v>
      </c>
      <c r="CD351" s="1025"/>
      <c r="CE351" s="1282">
        <f>+Q351*KeyAssumptionsPriceControl_FO!AF$15</f>
        <v>0</v>
      </c>
      <c r="CF351" s="387">
        <f>+R351*KeyAssumptionsPriceControl_FO!AG$15</f>
        <v>0</v>
      </c>
      <c r="CG351" s="387">
        <f>+S351*KeyAssumptionsPriceControl_FO!AH$15</f>
        <v>0</v>
      </c>
      <c r="CH351" s="387">
        <f>+T351*KeyAssumptionsPriceControl_FO!AI$15</f>
        <v>0</v>
      </c>
      <c r="CI351" s="1283">
        <f>+U351*KeyAssumptionsPriceControl_FO!AJ$15</f>
        <v>0</v>
      </c>
      <c r="CJ351" s="386">
        <f>+V351*KeyAssumptionsPriceControl_FO!AK$15</f>
        <v>0</v>
      </c>
      <c r="CK351" s="387">
        <f>+W351*KeyAssumptionsPriceControl_FO!AL$15</f>
        <v>0</v>
      </c>
      <c r="CL351" s="1277">
        <f>+X351*KeyAssumptionsPriceControl_FO!AM$15</f>
        <v>0</v>
      </c>
      <c r="CM351" s="1277">
        <f>+Y351*KeyAssumptionsPriceControl_FO!AN$15</f>
        <v>0</v>
      </c>
      <c r="CN351" s="388">
        <f>+Z351*KeyAssumptionsPriceControl_FO!AO$15</f>
        <v>0</v>
      </c>
      <c r="CO351" s="1025"/>
      <c r="CP351" s="1282">
        <f t="shared" ca="1" si="591"/>
        <v>0</v>
      </c>
      <c r="CQ351" s="387">
        <f t="shared" ca="1" si="592"/>
        <v>0</v>
      </c>
      <c r="CR351" s="387">
        <f t="shared" ca="1" si="593"/>
        <v>0</v>
      </c>
      <c r="CS351" s="387">
        <f t="shared" ca="1" si="594"/>
        <v>0</v>
      </c>
      <c r="CT351" s="1283">
        <f t="shared" ca="1" si="595"/>
        <v>0</v>
      </c>
      <c r="CU351" s="386">
        <f t="shared" ca="1" si="596"/>
        <v>0</v>
      </c>
      <c r="CV351" s="387">
        <f t="shared" ca="1" si="597"/>
        <v>0</v>
      </c>
      <c r="CW351" s="1277">
        <f t="shared" ca="1" si="598"/>
        <v>0</v>
      </c>
      <c r="CX351" s="1277">
        <f t="shared" ca="1" si="599"/>
        <v>0</v>
      </c>
      <c r="CY351" s="388">
        <f t="shared" ca="1" si="600"/>
        <v>0</v>
      </c>
      <c r="CZ351" s="347"/>
      <c r="DA351" s="852"/>
      <c r="DB351" s="347"/>
      <c r="DC351" s="1012" t="s">
        <v>555</v>
      </c>
      <c r="DD351" s="841" t="s">
        <v>518</v>
      </c>
      <c r="DE351" s="386">
        <f>+IF($K351="ongoing",CE351,IF(RIGHT($K351,2)=RIGHT(DE$43,2),SUM($CD351:CE351),0)+IF(RIGHT(DE$43,2)&gt;RIGHT($K351,2),CE351,0))</f>
        <v>0</v>
      </c>
      <c r="DF351" s="387">
        <f>+IF($K351="ongoing",CF351,IF(RIGHT($K351,2)=RIGHT(DF$43,2),SUM($CD351:CF351),0)+IF(RIGHT(DF$43,2)&gt;RIGHT($K351,2),CF351,0))</f>
        <v>0</v>
      </c>
      <c r="DG351" s="388">
        <f>+IF($K351="ongoing",CG351,IF(RIGHT($K351,2)=RIGHT(DG$43,2),SUM($CD351:CG351),0)+IF(RIGHT(DG$43,2)&gt;RIGHT($K351,2),CG351,0))</f>
        <v>0</v>
      </c>
      <c r="DH351" s="386">
        <f>+IF($K351="ongoing",CH351,IF(RIGHT($K351,2)=RIGHT(DH$43,2),SUM($CD351:CH351),0)+IF(RIGHT(DH$43,2)&gt;RIGHT($K351,2),CH351,0))</f>
        <v>0</v>
      </c>
      <c r="DI351" s="387">
        <f>+IF($K351="ongoing",CI351,IF(RIGHT($K351,2)=RIGHT(DI$43,2),SUM($CD351:CI351),0)+IF(RIGHT(DI$43,2)&gt;RIGHT($K351,2),CI351,0))</f>
        <v>0</v>
      </c>
      <c r="DJ351" s="387">
        <f>+IF($K351="ongoing",CJ351,IF(RIGHT($K351,2)=RIGHT(DJ$43,2),SUM($CD351:CJ351),0)+IF(RIGHT(DJ$43,2)&gt;RIGHT($K351,2),CJ351,0))</f>
        <v>0</v>
      </c>
      <c r="DK351" s="387">
        <f>+IF($K351="ongoing",CK351,IF(RIGHT($K351,2)=RIGHT(DK$43,2),SUM($CD351:CK351),0)+IF(RIGHT(DK$43,2)&gt;RIGHT($K351,2),CK351,0))</f>
        <v>0</v>
      </c>
      <c r="DL351" s="388">
        <f>+IF($K351="ongoing",CN351,IF(RIGHT($K351,2)=RIGHT(DL$43,2),SUM($CD351:CN351),0)+IF(RIGHT(DL$43,2)&gt;RIGHT($K351,2),CN351,0))</f>
        <v>0</v>
      </c>
      <c r="DM351" s="841"/>
      <c r="DN351" s="386">
        <f t="shared" si="601"/>
        <v>0.5</v>
      </c>
      <c r="DO351" s="387">
        <f t="shared" si="602"/>
        <v>1</v>
      </c>
      <c r="DP351" s="388">
        <f t="shared" si="603"/>
        <v>1</v>
      </c>
      <c r="DQ351" s="386">
        <f t="shared" si="604"/>
        <v>1</v>
      </c>
      <c r="DR351" s="387">
        <f t="shared" si="605"/>
        <v>1</v>
      </c>
      <c r="DS351" s="387">
        <f t="shared" si="606"/>
        <v>1</v>
      </c>
      <c r="DT351" s="387">
        <f t="shared" si="607"/>
        <v>1</v>
      </c>
      <c r="DU351" s="388">
        <f t="shared" si="608"/>
        <v>1</v>
      </c>
      <c r="DW351" s="386">
        <f t="shared" si="609"/>
        <v>0</v>
      </c>
      <c r="DX351" s="387">
        <f t="shared" si="610"/>
        <v>0.5</v>
      </c>
      <c r="DY351" s="388">
        <f t="shared" si="611"/>
        <v>1</v>
      </c>
      <c r="DZ351" s="386">
        <f t="shared" si="612"/>
        <v>1</v>
      </c>
      <c r="EA351" s="387">
        <f t="shared" si="613"/>
        <v>1</v>
      </c>
      <c r="EB351" s="387">
        <f t="shared" si="614"/>
        <v>1</v>
      </c>
      <c r="EC351" s="387">
        <f t="shared" si="615"/>
        <v>1</v>
      </c>
      <c r="ED351" s="388">
        <f t="shared" si="616"/>
        <v>1</v>
      </c>
      <c r="EF351" s="834">
        <f>+IF(DN351=DM351,0,
IF(AND(EF$44&gt;1,DN351=$N351),1-SUM($EE351:EE351),
IF($N351&lt;=1,
IF($N351&gt;0,1/$N351,0),
IF(EF$44=1,0,VDB(1,0,$N351,INT(EF$44-1-1),MIN($N351,INT(EF$44-1-1)+1),$DC351,IF($DD351="No",1,0))/
IF(DM351&gt;=INT($N351),$N351-INT($N351),1)))*
IF(EF$44=1,0,
IF(INT(DN351)=INT(DM351),DN351-DM351,INT(DN351)-DM351))+
IF($N351&lt;=1,
IF($N351&gt;0,1/$N351,0),VDB(1,0,$N351,INT(EF$44-1),MIN($N351,INT(EF$44-1)+1),$DC351,IF($DD351="No",1,0))/
IF(DN351&gt;INT($N351),$N351-INT($N351),1))*
IF(EF$44=1,DN351,
IF(INT(DN351)=INT(DM351),0,DN351-INT(DN351)))))</f>
        <v>0</v>
      </c>
      <c r="EG351" s="835">
        <f>+IF(DO351=DN351,0,
IF(AND(EG$44&gt;1,DO351=$N351),1-SUM($EE351:EF351),
IF($N351&lt;=1,
IF($N351&gt;0,1/$N351,0),
IF(EG$44=1,0,VDB(1,0,$N351,INT(EG$44-1-1),MIN($N351,INT(EG$44-1-1)+1),$DC351,IF($DD351="No",1,0))/
IF(DN351&gt;=INT($N351),$N351-INT($N351),1)))*
IF(EG$44=1,0,
IF(INT(DO351)=INT(DN351),DO351-DN351,INT(DO351)-DN351))+
IF($N351&lt;=1,
IF($N351&gt;0,1/$N351,0),VDB(1,0,$N351,INT(EG$44-1),MIN($N351,INT(EG$44-1)+1),$DC351,IF($DD351="No",1,0))/
IF(DO351&gt;INT($N351),$N351-INT($N351),1))*
IF(EG$44=1,DO351,
IF(INT(DO351)=INT(DN351),0,DO351-INT(DO351)))))</f>
        <v>0</v>
      </c>
      <c r="EH351" s="836">
        <f>+IF(DP351=DO351,0,
IF(AND(EH$44&gt;1,DP351=$N351),1-SUM($EE351:EG351),
IF($N351&lt;=1,
IF($N351&gt;0,1/$N351,0),
IF(EH$44=1,0,VDB(1,0,$N351,INT(EH$44-1-1),MIN($N351,INT(EH$44-1-1)+1),$DC351,IF($DD351="No",1,0))/
IF(DO351&gt;=INT($N351),$N351-INT($N351),1)))*
IF(EH$44=1,0,
IF(INT(DP351)=INT(DO351),DP351-DO351,INT(DP351)-DO351))+
IF($N351&lt;=1,
IF($N351&gt;0,1/$N351,0),VDB(1,0,$N351,INT(EH$44-1),MIN($N351,INT(EH$44-1)+1),$DC351,IF($DD351="No",1,0))/
IF(DP351&gt;INT($N351),$N351-INT($N351),1))*
IF(EH$44=1,DP351,
IF(INT(DP351)=INT(DO351),0,DP351-INT(DP351)))))</f>
        <v>0</v>
      </c>
      <c r="EI351" s="834">
        <f>+IF(DQ351=DP351,0,
IF(AND(EI$44&gt;1,DQ351=$N351),1-SUM($EE351:EH351),
IF($N351&lt;=1,
IF($N351&gt;0,1/$N351,0),
IF(EI$44=1,0,VDB(1,0,$N351,INT(EI$44-1-1),MIN($N351,INT(EI$44-1-1)+1),$DC351,IF($DD351="No",1,0))/
IF(DP351&gt;=INT($N351),$N351-INT($N351),1)))*
IF(EI$44=1,0,
IF(INT(DQ351)=INT(DP351),DQ351-DP351,INT(DQ351)-DP351))+
IF($N351&lt;=1,
IF($N351&gt;0,1/$N351,0),VDB(1,0,$N351,INT(EI$44-1),MIN($N351,INT(EI$44-1)+1),$DC351,IF($DD351="No",1,0))/
IF(DQ351&gt;INT($N351),$N351-INT($N351),1))*
IF(EI$44=1,DQ351,
IF(INT(DQ351)=INT(DP351),0,DQ351-INT(DQ351)))))</f>
        <v>0</v>
      </c>
      <c r="EJ351" s="835">
        <f>+IF(DR351=DQ351,0,
IF(AND(EJ$44&gt;1,DR351=$N351),1-SUM($EE351:EI351),
IF($N351&lt;=1,
IF($N351&gt;0,1/$N351,0),
IF(EJ$44=1,0,VDB(1,0,$N351,INT(EJ$44-1-1),MIN($N351,INT(EJ$44-1-1)+1),$DC351,IF($DD351="No",1,0))/
IF(DQ351&gt;=INT($N351),$N351-INT($N351),1)))*
IF(EJ$44=1,0,
IF(INT(DR351)=INT(DQ351),DR351-DQ351,INT(DR351)-DQ351))+
IF($N351&lt;=1,
IF($N351&gt;0,1/$N351,0),VDB(1,0,$N351,INT(EJ$44-1),MIN($N351,INT(EJ$44-1)+1),$DC351,IF($DD351="No",1,0))/
IF(DR351&gt;INT($N351),$N351-INT($N351),1))*
IF(EJ$44=1,DR351,
IF(INT(DR351)=INT(DQ351),0,DR351-INT(DR351)))))</f>
        <v>0</v>
      </c>
      <c r="EK351" s="835">
        <f>+IF(DS351=DR351,0,
IF(AND(EK$44&gt;1,DS351=$N351),1-SUM($EE351:EJ351),
IF($N351&lt;=1,
IF($N351&gt;0,1/$N351,0),
IF(EK$44=1,0,VDB(1,0,$N351,INT(EK$44-1-1),MIN($N351,INT(EK$44-1-1)+1),$DC351,IF($DD351="No",1,0))/
IF(DR351&gt;=INT($N351),$N351-INT($N351),1)))*
IF(EK$44=1,0,
IF(INT(DS351)=INT(DR351),DS351-DR351,INT(DS351)-DR351))+
IF($N351&lt;=1,
IF($N351&gt;0,1/$N351,0),VDB(1,0,$N351,INT(EK$44-1),MIN($N351,INT(EK$44-1)+1),$DC351,IF($DD351="No",1,0))/
IF(DS351&gt;INT($N351),$N351-INT($N351),1))*
IF(EK$44=1,DS351,
IF(INT(DS351)=INT(DR351),0,DS351-INT(DS351)))))</f>
        <v>0</v>
      </c>
      <c r="EL351" s="835">
        <f>+IF(DT351=DS351,0,
IF(AND(EL$44&gt;1,DT351=$N351),1-SUM($EE351:EK351),
IF($N351&lt;=1,
IF($N351&gt;0,1/$N351,0),
IF(EL$44=1,0,VDB(1,0,$N351,INT(EL$44-1-1),MIN($N351,INT(EL$44-1-1)+1),$DC351,IF($DD351="No",1,0))/
IF(DS351&gt;=INT($N351),$N351-INT($N351),1)))*
IF(EL$44=1,0,
IF(INT(DT351)=INT(DS351),DT351-DS351,INT(DT351)-DS351))+
IF($N351&lt;=1,
IF($N351&gt;0,1/$N351,0),VDB(1,0,$N351,INT(EL$44-1),MIN($N351,INT(EL$44-1)+1),$DC351,IF($DD351="No",1,0))/
IF(DT351&gt;INT($N351),$N351-INT($N351),1))*
IF(EL$44=1,DT351,
IF(INT(DT351)=INT(DS351),0,DT351-INT(DT351)))))</f>
        <v>0</v>
      </c>
      <c r="EM351" s="836">
        <f>+IF(DU351=DT351,0,
IF(AND(EM$44&gt;1,DU351=$N351),1-SUM($EE351:EL351),
IF($N351&lt;=1,
IF($N351&gt;0,1/$N351,0),
IF(EM$44=1,0,VDB(1,0,$N351,INT(EM$44-1-1),MIN($N351,INT(EM$44-1-1)+1),$DC351,IF($DD351="No",1,0))/
IF(DT351&gt;=INT($N351),$N351-INT($N351),1)))*
IF(EM$44=1,0,
IF(INT(DU351)=INT(DT351),DU351-DT351,INT(DU351)-DT351))+
IF($N351&lt;=1,
IF($N351&gt;0,1/$N351,0),VDB(1,0,$N351,INT(EM$44-1),MIN($N351,INT(EM$44-1)+1),$DC351,IF($DD351="No",1,0))/
IF(DU351&gt;INT($N351),$N351-INT($N351),1))*
IF(EM$44=1,DU351,
IF(INT(DU351)=INT(DT351),0,DU351-INT(DU351)))))</f>
        <v>0</v>
      </c>
      <c r="EN351" s="833"/>
      <c r="EO351" s="834">
        <f>+IF(OR(DW351=DV351,EO$44=1),0,
IF(AND(EO$44&gt;1,DW351=$N351),1-SUM($EN351:EN351),
IF($N351&lt;=1,
IF($N351&gt;0,1/$N351,0),
IF(EO$44=2,0,VDB(1,0,$N351,INT(EO$44-2-1),MIN($N351,INT(EO$44-2-1)+1),$DC351,IF($DD351="No",1,0))/
IF(DV351&gt;=INT($N351),$N351-INT($N351),1)))*
IF(EO$44=2,0,
IF(INT(DW351)=INT(DV351),DW351-DV351,INT(DW351)-DV351))+
IF($N351&lt;=1,
IF($N351&gt;0,1/$N351,0),VDB(1,0,$N351,INT(EO$44-2),MIN($N351,INT(EO$44-2)+1),$DC351,IF($DD351="No",1,0))/
IF(DW351&gt;INT($N351),$N351-INT($N351),1))*
IF(EO$44=2,DW351,
IF(INT(DW351)=INT(DV351),0,DW351-INT(DW351)))))</f>
        <v>0</v>
      </c>
      <c r="EP351" s="835">
        <f>+IF(OR(DX351=DW351,EP$44=1),0,
IF(AND(EP$44&gt;1,DX351=$N351),1-SUM($EN351:EO351),
IF($N351&lt;=1,
IF($N351&gt;0,1/$N351,0),
IF(EP$44=2,0,VDB(1,0,$N351,INT(EP$44-2-1),MIN($N351,INT(EP$44-2-1)+1),$DC351,IF($DD351="No",1,0))/
IF(DW351&gt;=INT($N351),$N351-INT($N351),1)))*
IF(EP$44=2,0,
IF(INT(DX351)=INT(DW351),DX351-DW351,INT(DX351)-DW351))+
IF($N351&lt;=1,
IF($N351&gt;0,1/$N351,0),VDB(1,0,$N351,INT(EP$44-2),MIN($N351,INT(EP$44-2)+1),$DC351,IF($DD351="No",1,0))/
IF(DX351&gt;INT($N351),$N351-INT($N351),1))*
IF(EP$44=2,DX351,
IF(INT(DX351)=INT(DW351),0,DX351-INT(DX351)))))</f>
        <v>0</v>
      </c>
      <c r="EQ351" s="836">
        <f>+IF(OR(DY351=DX351,EQ$44=1),0,
IF(AND(EQ$44&gt;1,DY351=$N351),1-SUM($EN351:EP351),
IF($N351&lt;=1,
IF($N351&gt;0,1/$N351,0),
IF(EQ$44=2,0,VDB(1,0,$N351,INT(EQ$44-2-1),MIN($N351,INT(EQ$44-2-1)+1),$DC351,IF($DD351="No",1,0))/
IF(DX351&gt;=INT($N351),$N351-INT($N351),1)))*
IF(EQ$44=2,0,
IF(INT(DY351)=INT(DX351),DY351-DX351,INT(DY351)-DX351))+
IF($N351&lt;=1,
IF($N351&gt;0,1/$N351,0),VDB(1,0,$N351,INT(EQ$44-2),MIN($N351,INT(EQ$44-2)+1),$DC351,IF($DD351="No",1,0))/
IF(DY351&gt;INT($N351),$N351-INT($N351),1))*
IF(EQ$44=2,DY351,
IF(INT(DY351)=INT(DX351),0,DY351-INT(DY351)))))</f>
        <v>0</v>
      </c>
      <c r="ER351" s="834">
        <f>+IF(OR(DZ351=DY351,ER$44=1),0,
IF(AND(ER$44&gt;1,DZ351=$N351),1-SUM($EN351:EQ351),
IF($N351&lt;=1,
IF($N351&gt;0,1/$N351,0),
IF(ER$44=2,0,VDB(1,0,$N351,INT(ER$44-2-1),MIN($N351,INT(ER$44-2-1)+1),$DC351,IF($DD351="No",1,0))/
IF(DY351&gt;=INT($N351),$N351-INT($N351),1)))*
IF(ER$44=2,0,
IF(INT(DZ351)=INT(DY351),DZ351-DY351,INT(DZ351)-DY351))+
IF($N351&lt;=1,
IF($N351&gt;0,1/$N351,0),VDB(1,0,$N351,INT(ER$44-2),MIN($N351,INT(ER$44-2)+1),$DC351,IF($DD351="No",1,0))/
IF(DZ351&gt;INT($N351),$N351-INT($N351),1))*
IF(ER$44=2,DZ351,
IF(INT(DZ351)=INT(DY351),0,DZ351-INT(DZ351)))))</f>
        <v>0</v>
      </c>
      <c r="ES351" s="835">
        <f>+IF(OR(EA351=DZ351,ES$44=1),0,
IF(AND(ES$44&gt;1,EA351=$N351),1-SUM($EN351:ER351),
IF($N351&lt;=1,
IF($N351&gt;0,1/$N351,0),
IF(ES$44=2,0,VDB(1,0,$N351,INT(ES$44-2-1),MIN($N351,INT(ES$44-2-1)+1),$DC351,IF($DD351="No",1,0))/
IF(DZ351&gt;=INT($N351),$N351-INT($N351),1)))*
IF(ES$44=2,0,
IF(INT(EA351)=INT(DZ351),EA351-DZ351,INT(EA351)-DZ351))+
IF($N351&lt;=1,
IF($N351&gt;0,1/$N351,0),VDB(1,0,$N351,INT(ES$44-2),MIN($N351,INT(ES$44-2)+1),$DC351,IF($DD351="No",1,0))/
IF(EA351&gt;INT($N351),$N351-INT($N351),1))*
IF(ES$44=2,EA351,
IF(INT(EA351)=INT(DZ351),0,EA351-INT(EA351)))))</f>
        <v>0</v>
      </c>
      <c r="ET351" s="835">
        <f>+IF(OR(EB351=EA351,ET$44=1),0,
IF(AND(ET$44&gt;1,EB351=$N351),1-SUM($EN351:ES351),
IF($N351&lt;=1,
IF($N351&gt;0,1/$N351,0),
IF(ET$44=2,0,VDB(1,0,$N351,INT(ET$44-2-1),MIN($N351,INT(ET$44-2-1)+1),$DC351,IF($DD351="No",1,0))/
IF(EA351&gt;=INT($N351),$N351-INT($N351),1)))*
IF(ET$44=2,0,
IF(INT(EB351)=INT(EA351),EB351-EA351,INT(EB351)-EA351))+
IF($N351&lt;=1,
IF($N351&gt;0,1/$N351,0),VDB(1,0,$N351,INT(ET$44-2),MIN($N351,INT(ET$44-2)+1),$DC351,IF($DD351="No",1,0))/
IF(EB351&gt;INT($N351),$N351-INT($N351),1))*
IF(ET$44=2,EB351,
IF(INT(EB351)=INT(EA351),0,EB351-INT(EB351)))))</f>
        <v>0</v>
      </c>
      <c r="EU351" s="835">
        <f>+IF(OR(EC351=EB351,EU$44=1),0,
IF(AND(EU$44&gt;1,EC351=$N351),1-SUM($EN351:ET351),
IF($N351&lt;=1,
IF($N351&gt;0,1/$N351,0),
IF(EU$44=2,0,VDB(1,0,$N351,INT(EU$44-2-1),MIN($N351,INT(EU$44-2-1)+1),$DC351,IF($DD351="No",1,0))/
IF(EB351&gt;=INT($N351),$N351-INT($N351),1)))*
IF(EU$44=2,0,
IF(INT(EC351)=INT(EB351),EC351-EB351,INT(EC351)-EB351))+
IF($N351&lt;=1,
IF($N351&gt;0,1/$N351,0),VDB(1,0,$N351,INT(EU$44-2),MIN($N351,INT(EU$44-2)+1),$DC351,IF($DD351="No",1,0))/
IF(EC351&gt;INT($N351),$N351-INT($N351),1))*
IF(EU$44=2,EC351,
IF(INT(EC351)=INT(EB351),0,EC351-INT(EC351)))))</f>
        <v>0</v>
      </c>
      <c r="EV351" s="836">
        <f>+IF(OR(ED351=EC351,EV$44=1),0,
IF(AND(EV$44&gt;1,ED351=$N351),1-SUM($EN351:EU351),
IF($N351&lt;=1,
IF($N351&gt;0,1/$N351,0),
IF(EV$44=2,0,VDB(1,0,$N351,INT(EV$44-2-1),MIN($N351,INT(EV$44-2-1)+1),$DC351,IF($DD351="No",1,0))/
IF(EC351&gt;=INT($N351),$N351-INT($N351),1)))*
IF(EV$44=2,0,
IF(INT(ED351)=INT(EC351),ED351-EC351,INT(ED351)-EC351))+
IF($N351&lt;=1,
IF($N351&gt;0,1/$N351,0),VDB(1,0,$N351,INT(EV$44-2),MIN($N351,INT(EV$44-2)+1),$DC351,IF($DD351="No",1,0))/
IF(ED351&gt;INT($N351),$N351-INT($N351),1))*
IF(EV$44=2,ED351,
IF(INT(ED351)=INT(EC351),0,ED351-INT(ED351)))))</f>
        <v>0</v>
      </c>
      <c r="EW351" s="833"/>
      <c r="EX351" s="834">
        <f t="shared" ca="1" si="570"/>
        <v>0</v>
      </c>
      <c r="EY351" s="835">
        <f t="shared" ca="1" si="570"/>
        <v>0</v>
      </c>
      <c r="EZ351" s="836">
        <f t="shared" ca="1" si="570"/>
        <v>0</v>
      </c>
      <c r="FA351" s="834">
        <f t="shared" ca="1" si="570"/>
        <v>0</v>
      </c>
      <c r="FB351" s="835">
        <f t="shared" ca="1" si="570"/>
        <v>0</v>
      </c>
      <c r="FC351" s="835">
        <f t="shared" ca="1" si="570"/>
        <v>0</v>
      </c>
      <c r="FD351" s="835">
        <f t="shared" ca="1" si="570"/>
        <v>0</v>
      </c>
      <c r="FE351" s="836">
        <f t="shared" ca="1" si="570"/>
        <v>0</v>
      </c>
      <c r="FG351" s="386">
        <f t="shared" ca="1" si="617"/>
        <v>0</v>
      </c>
      <c r="FH351" s="387">
        <f t="shared" ca="1" si="618"/>
        <v>0</v>
      </c>
      <c r="FI351" s="388">
        <f t="shared" ca="1" si="619"/>
        <v>0</v>
      </c>
      <c r="FJ351" s="386">
        <f t="shared" ca="1" si="620"/>
        <v>0</v>
      </c>
      <c r="FK351" s="387">
        <f t="shared" ca="1" si="621"/>
        <v>0</v>
      </c>
      <c r="FL351" s="387">
        <f t="shared" ca="1" si="622"/>
        <v>0</v>
      </c>
      <c r="FM351" s="387">
        <f t="shared" ca="1" si="623"/>
        <v>0</v>
      </c>
      <c r="FN351" s="388">
        <f t="shared" ca="1" si="624"/>
        <v>0</v>
      </c>
      <c r="FR351" s="116"/>
    </row>
    <row r="352" spans="2:174">
      <c r="B352" s="1410">
        <f t="shared" si="556"/>
        <v>306</v>
      </c>
      <c r="C352" s="400"/>
      <c r="D352" s="410"/>
      <c r="E352" s="402"/>
      <c r="F352" s="402"/>
      <c r="G352" s="400"/>
      <c r="H352" s="2088"/>
      <c r="I352" s="2089"/>
      <c r="J352" s="411"/>
      <c r="K352" s="403"/>
      <c r="L352" s="403"/>
      <c r="M352" s="403"/>
      <c r="N352" s="403"/>
      <c r="O352" s="347"/>
      <c r="P352" s="347"/>
      <c r="Q352" s="1021"/>
      <c r="R352" s="1022"/>
      <c r="S352" s="1022"/>
      <c r="T352" s="1022"/>
      <c r="U352" s="1023"/>
      <c r="V352" s="1021"/>
      <c r="W352" s="1022"/>
      <c r="X352" s="1022"/>
      <c r="Y352" s="1022"/>
      <c r="Z352" s="1023"/>
      <c r="AA352" s="1024"/>
      <c r="AB352" s="1021"/>
      <c r="AC352" s="1022"/>
      <c r="AD352" s="1022"/>
      <c r="AE352" s="1022"/>
      <c r="AF352" s="1023"/>
      <c r="AG352" s="1021"/>
      <c r="AH352" s="1022"/>
      <c r="AI352" s="1022"/>
      <c r="AJ352" s="1022"/>
      <c r="AK352" s="1023"/>
      <c r="AL352" s="1024"/>
      <c r="AM352" s="1021"/>
      <c r="AN352" s="1022"/>
      <c r="AO352" s="1022"/>
      <c r="AP352" s="1022"/>
      <c r="AQ352" s="1023"/>
      <c r="AR352" s="1021"/>
      <c r="AS352" s="1022"/>
      <c r="AT352" s="1022"/>
      <c r="AU352" s="1022"/>
      <c r="AV352" s="1023"/>
      <c r="AW352" s="1025"/>
      <c r="AX352" s="1282">
        <f t="shared" si="571"/>
        <v>0</v>
      </c>
      <c r="AY352" s="387">
        <f t="shared" si="572"/>
        <v>0</v>
      </c>
      <c r="AZ352" s="387">
        <f t="shared" si="573"/>
        <v>0</v>
      </c>
      <c r="BA352" s="387">
        <f t="shared" si="574"/>
        <v>0</v>
      </c>
      <c r="BB352" s="1283">
        <f t="shared" si="575"/>
        <v>0</v>
      </c>
      <c r="BC352" s="386">
        <f t="shared" si="576"/>
        <v>0</v>
      </c>
      <c r="BD352" s="387">
        <f t="shared" si="577"/>
        <v>0</v>
      </c>
      <c r="BE352" s="1277">
        <f t="shared" si="578"/>
        <v>0</v>
      </c>
      <c r="BF352" s="1277">
        <f t="shared" si="579"/>
        <v>0</v>
      </c>
      <c r="BG352" s="388">
        <f t="shared" si="580"/>
        <v>0</v>
      </c>
      <c r="BH352" s="1025"/>
      <c r="BI352" s="1282">
        <f t="shared" ca="1" si="581"/>
        <v>0</v>
      </c>
      <c r="BJ352" s="387">
        <f t="shared" ca="1" si="582"/>
        <v>0</v>
      </c>
      <c r="BK352" s="387">
        <f t="shared" ca="1" si="583"/>
        <v>0</v>
      </c>
      <c r="BL352" s="387">
        <f t="shared" ca="1" si="584"/>
        <v>0</v>
      </c>
      <c r="BM352" s="1283">
        <f t="shared" ca="1" si="585"/>
        <v>0</v>
      </c>
      <c r="BN352" s="386">
        <f t="shared" ca="1" si="586"/>
        <v>0</v>
      </c>
      <c r="BO352" s="387">
        <f t="shared" ca="1" si="587"/>
        <v>0</v>
      </c>
      <c r="BP352" s="1277">
        <f t="shared" ca="1" si="588"/>
        <v>0</v>
      </c>
      <c r="BQ352" s="1277">
        <f t="shared" ca="1" si="589"/>
        <v>0</v>
      </c>
      <c r="BR352" s="388">
        <f t="shared" ca="1" si="590"/>
        <v>0</v>
      </c>
      <c r="BS352" s="1025"/>
      <c r="BT352" s="1282">
        <f>+IF($K352="Ongoing",AX352,IF(RIGHT($K352,2)=RIGHT(BT$43,2),SUM($AX352:AX352),0)+IF(RIGHT(BT$43,2)&gt;RIGHT($K352,2),AX352,0))</f>
        <v>0</v>
      </c>
      <c r="BU352" s="387">
        <f>+IF($K352="Ongoing",AY352,IF(RIGHT($K352,2)=RIGHT(BU$43,2),SUM($AX352:AY352),0)+IF(RIGHT(BU$43,2)&gt;RIGHT($K352,2),AY352,0))</f>
        <v>0</v>
      </c>
      <c r="BV352" s="387">
        <f>+IF($K352="Ongoing",AZ352,IF(RIGHT($K352,2)=RIGHT(BV$43,2),SUM($AX352:AZ352),0)+IF(RIGHT(BV$43,2)&gt;RIGHT($K352,2),AZ352,0))</f>
        <v>0</v>
      </c>
      <c r="BW352" s="387">
        <f>+IF($K352="Ongoing",BA352,IF(RIGHT($K352,2)=RIGHT(BW$43,2),SUM($AX352:BA352),0)+IF(RIGHT(BW$43,2)&gt;RIGHT($K352,2),BA352,0))</f>
        <v>0</v>
      </c>
      <c r="BX352" s="1283">
        <f>+IF($K352="Ongoing",BB352,IF(RIGHT($K352,2)=RIGHT(BX$43,2),SUM($AX352:BB352),0)+IF(RIGHT(BX$43,2)&gt;RIGHT($K352,2),BB352,0))</f>
        <v>0</v>
      </c>
      <c r="BY352" s="386">
        <f>+IF($K352="Ongoing",BC352,IF(RIGHT($K352,2)=RIGHT(BY$43,2),SUM($AX352:BC352),0)+IF(RIGHT(BY$43,2)&gt;RIGHT($K352,2),BC352,0))</f>
        <v>0</v>
      </c>
      <c r="BZ352" s="387">
        <f>+IF($K352="Ongoing",BD352,IF(RIGHT($K352,2)=RIGHT(BZ$43,2),SUM($AX352:BD352),0)+IF(RIGHT(BZ$43,2)&gt;RIGHT($K352,2),BD352,0))</f>
        <v>0</v>
      </c>
      <c r="CA352" s="1277">
        <f>+IF($K352="Ongoing",BE352,IF(RIGHT($K352,2)=RIGHT(CA$43,2),SUM($AX352:BE352),0)+IF(RIGHT(CA$43,2)&gt;RIGHT($K352,2),BE352,0))</f>
        <v>0</v>
      </c>
      <c r="CB352" s="1277">
        <f>+IF($K352="Ongoing",BF352,IF(RIGHT($K352,2)=RIGHT(CB$43,2),SUM($AX352:BF352),0)+IF(RIGHT(CB$43,2)&gt;RIGHT($K352,2),BF352,0))</f>
        <v>0</v>
      </c>
      <c r="CC352" s="388">
        <f>+IF($K352="Ongoing",BG352,IF(RIGHT($K352,2)=RIGHT(CC$43,2),SUM($AX352:BG352),0)+IF(RIGHT(CC$43,2)&gt;RIGHT($K352,2),BG352,0))</f>
        <v>0</v>
      </c>
      <c r="CD352" s="1025"/>
      <c r="CE352" s="1282">
        <f>+Q352*KeyAssumptionsPriceControl_FO!AF$15</f>
        <v>0</v>
      </c>
      <c r="CF352" s="387">
        <f>+R352*KeyAssumptionsPriceControl_FO!AG$15</f>
        <v>0</v>
      </c>
      <c r="CG352" s="387">
        <f>+S352*KeyAssumptionsPriceControl_FO!AH$15</f>
        <v>0</v>
      </c>
      <c r="CH352" s="387">
        <f>+T352*KeyAssumptionsPriceControl_FO!AI$15</f>
        <v>0</v>
      </c>
      <c r="CI352" s="1283">
        <f>+U352*KeyAssumptionsPriceControl_FO!AJ$15</f>
        <v>0</v>
      </c>
      <c r="CJ352" s="386">
        <f>+V352*KeyAssumptionsPriceControl_FO!AK$15</f>
        <v>0</v>
      </c>
      <c r="CK352" s="387">
        <f>+W352*KeyAssumptionsPriceControl_FO!AL$15</f>
        <v>0</v>
      </c>
      <c r="CL352" s="1277">
        <f>+X352*KeyAssumptionsPriceControl_FO!AM$15</f>
        <v>0</v>
      </c>
      <c r="CM352" s="1277">
        <f>+Y352*KeyAssumptionsPriceControl_FO!AN$15</f>
        <v>0</v>
      </c>
      <c r="CN352" s="388">
        <f>+Z352*KeyAssumptionsPriceControl_FO!AO$15</f>
        <v>0</v>
      </c>
      <c r="CO352" s="1025"/>
      <c r="CP352" s="1282">
        <f t="shared" ca="1" si="591"/>
        <v>0</v>
      </c>
      <c r="CQ352" s="387">
        <f t="shared" ca="1" si="592"/>
        <v>0</v>
      </c>
      <c r="CR352" s="387">
        <f t="shared" ca="1" si="593"/>
        <v>0</v>
      </c>
      <c r="CS352" s="387">
        <f t="shared" ca="1" si="594"/>
        <v>0</v>
      </c>
      <c r="CT352" s="1283">
        <f t="shared" ca="1" si="595"/>
        <v>0</v>
      </c>
      <c r="CU352" s="386">
        <f t="shared" ca="1" si="596"/>
        <v>0</v>
      </c>
      <c r="CV352" s="387">
        <f t="shared" ca="1" si="597"/>
        <v>0</v>
      </c>
      <c r="CW352" s="1277">
        <f t="shared" ca="1" si="598"/>
        <v>0</v>
      </c>
      <c r="CX352" s="1277">
        <f t="shared" ca="1" si="599"/>
        <v>0</v>
      </c>
      <c r="CY352" s="388">
        <f t="shared" ca="1" si="600"/>
        <v>0</v>
      </c>
      <c r="CZ352" s="347"/>
      <c r="DA352" s="852"/>
      <c r="DB352" s="347"/>
      <c r="DC352" s="1012" t="s">
        <v>556</v>
      </c>
      <c r="DD352" s="841" t="s">
        <v>518</v>
      </c>
      <c r="DE352" s="386">
        <f>+IF($K352="ongoing",CE352,IF(RIGHT($K352,2)=RIGHT(DE$43,2),SUM($CD352:CE352),0)+IF(RIGHT(DE$43,2)&gt;RIGHT($K352,2),CE352,0))</f>
        <v>0</v>
      </c>
      <c r="DF352" s="387">
        <f>+IF($K352="ongoing",CF352,IF(RIGHT($K352,2)=RIGHT(DF$43,2),SUM($CD352:CF352),0)+IF(RIGHT(DF$43,2)&gt;RIGHT($K352,2),CF352,0))</f>
        <v>0</v>
      </c>
      <c r="DG352" s="388">
        <f>+IF($K352="ongoing",CG352,IF(RIGHT($K352,2)=RIGHT(DG$43,2),SUM($CD352:CG352),0)+IF(RIGHT(DG$43,2)&gt;RIGHT($K352,2),CG352,0))</f>
        <v>0</v>
      </c>
      <c r="DH352" s="386">
        <f>+IF($K352="ongoing",CH352,IF(RIGHT($K352,2)=RIGHT(DH$43,2),SUM($CD352:CH352),0)+IF(RIGHT(DH$43,2)&gt;RIGHT($K352,2),CH352,0))</f>
        <v>0</v>
      </c>
      <c r="DI352" s="387">
        <f>+IF($K352="ongoing",CI352,IF(RIGHT($K352,2)=RIGHT(DI$43,2),SUM($CD352:CI352),0)+IF(RIGHT(DI$43,2)&gt;RIGHT($K352,2),CI352,0))</f>
        <v>0</v>
      </c>
      <c r="DJ352" s="387">
        <f>+IF($K352="ongoing",CJ352,IF(RIGHT($K352,2)=RIGHT(DJ$43,2),SUM($CD352:CJ352),0)+IF(RIGHT(DJ$43,2)&gt;RIGHT($K352,2),CJ352,0))</f>
        <v>0</v>
      </c>
      <c r="DK352" s="387">
        <f>+IF($K352="ongoing",CK352,IF(RIGHT($K352,2)=RIGHT(DK$43,2),SUM($CD352:CK352),0)+IF(RIGHT(DK$43,2)&gt;RIGHT($K352,2),CK352,0))</f>
        <v>0</v>
      </c>
      <c r="DL352" s="388">
        <f>+IF($K352="ongoing",CN352,IF(RIGHT($K352,2)=RIGHT(DL$43,2),SUM($CD352:CN352),0)+IF(RIGHT(DL$43,2)&gt;RIGHT($K352,2),CN352,0))</f>
        <v>0</v>
      </c>
      <c r="DM352" s="841"/>
      <c r="DN352" s="386">
        <f t="shared" si="601"/>
        <v>0.5</v>
      </c>
      <c r="DO352" s="387">
        <f t="shared" si="602"/>
        <v>1</v>
      </c>
      <c r="DP352" s="388">
        <f t="shared" si="603"/>
        <v>1</v>
      </c>
      <c r="DQ352" s="386">
        <f t="shared" si="604"/>
        <v>1</v>
      </c>
      <c r="DR352" s="387">
        <f t="shared" si="605"/>
        <v>1</v>
      </c>
      <c r="DS352" s="387">
        <f t="shared" si="606"/>
        <v>1</v>
      </c>
      <c r="DT352" s="387">
        <f t="shared" si="607"/>
        <v>1</v>
      </c>
      <c r="DU352" s="388">
        <f t="shared" si="608"/>
        <v>1</v>
      </c>
      <c r="DW352" s="386">
        <f t="shared" si="609"/>
        <v>0</v>
      </c>
      <c r="DX352" s="387">
        <f t="shared" si="610"/>
        <v>0.5</v>
      </c>
      <c r="DY352" s="388">
        <f t="shared" si="611"/>
        <v>1</v>
      </c>
      <c r="DZ352" s="386">
        <f t="shared" si="612"/>
        <v>1</v>
      </c>
      <c r="EA352" s="387">
        <f t="shared" si="613"/>
        <v>1</v>
      </c>
      <c r="EB352" s="387">
        <f t="shared" si="614"/>
        <v>1</v>
      </c>
      <c r="EC352" s="387">
        <f t="shared" si="615"/>
        <v>1</v>
      </c>
      <c r="ED352" s="388">
        <f t="shared" si="616"/>
        <v>1</v>
      </c>
      <c r="EF352" s="834">
        <f>+IF(DN352=DM352,0,
IF(AND(EF$44&gt;1,DN352=$N352),1-SUM($EE352:EE352),
IF($N352&lt;=1,
IF($N352&gt;0,1/$N352,0),
IF(EF$44=1,0,VDB(1,0,$N352,INT(EF$44-1-1),MIN($N352,INT(EF$44-1-1)+1),$DC352,IF($DD352="No",1,0))/
IF(DM352&gt;=INT($N352),$N352-INT($N352),1)))*
IF(EF$44=1,0,
IF(INT(DN352)=INT(DM352),DN352-DM352,INT(DN352)-DM352))+
IF($N352&lt;=1,
IF($N352&gt;0,1/$N352,0),VDB(1,0,$N352,INT(EF$44-1),MIN($N352,INT(EF$44-1)+1),$DC352,IF($DD352="No",1,0))/
IF(DN352&gt;INT($N352),$N352-INT($N352),1))*
IF(EF$44=1,DN352,
IF(INT(DN352)=INT(DM352),0,DN352-INT(DN352)))))</f>
        <v>0</v>
      </c>
      <c r="EG352" s="835">
        <f>+IF(DO352=DN352,0,
IF(AND(EG$44&gt;1,DO352=$N352),1-SUM($EE352:EF352),
IF($N352&lt;=1,
IF($N352&gt;0,1/$N352,0),
IF(EG$44=1,0,VDB(1,0,$N352,INT(EG$44-1-1),MIN($N352,INT(EG$44-1-1)+1),$DC352,IF($DD352="No",1,0))/
IF(DN352&gt;=INT($N352),$N352-INT($N352),1)))*
IF(EG$44=1,0,
IF(INT(DO352)=INT(DN352),DO352-DN352,INT(DO352)-DN352))+
IF($N352&lt;=1,
IF($N352&gt;0,1/$N352,0),VDB(1,0,$N352,INT(EG$44-1),MIN($N352,INT(EG$44-1)+1),$DC352,IF($DD352="No",1,0))/
IF(DO352&gt;INT($N352),$N352-INT($N352),1))*
IF(EG$44=1,DO352,
IF(INT(DO352)=INT(DN352),0,DO352-INT(DO352)))))</f>
        <v>0</v>
      </c>
      <c r="EH352" s="836">
        <f>+IF(DP352=DO352,0,
IF(AND(EH$44&gt;1,DP352=$N352),1-SUM($EE352:EG352),
IF($N352&lt;=1,
IF($N352&gt;0,1/$N352,0),
IF(EH$44=1,0,VDB(1,0,$N352,INT(EH$44-1-1),MIN($N352,INT(EH$44-1-1)+1),$DC352,IF($DD352="No",1,0))/
IF(DO352&gt;=INT($N352),$N352-INT($N352),1)))*
IF(EH$44=1,0,
IF(INT(DP352)=INT(DO352),DP352-DO352,INT(DP352)-DO352))+
IF($N352&lt;=1,
IF($N352&gt;0,1/$N352,0),VDB(1,0,$N352,INT(EH$44-1),MIN($N352,INT(EH$44-1)+1),$DC352,IF($DD352="No",1,0))/
IF(DP352&gt;INT($N352),$N352-INT($N352),1))*
IF(EH$44=1,DP352,
IF(INT(DP352)=INT(DO352),0,DP352-INT(DP352)))))</f>
        <v>0</v>
      </c>
      <c r="EI352" s="834">
        <f>+IF(DQ352=DP352,0,
IF(AND(EI$44&gt;1,DQ352=$N352),1-SUM($EE352:EH352),
IF($N352&lt;=1,
IF($N352&gt;0,1/$N352,0),
IF(EI$44=1,0,VDB(1,0,$N352,INT(EI$44-1-1),MIN($N352,INT(EI$44-1-1)+1),$DC352,IF($DD352="No",1,0))/
IF(DP352&gt;=INT($N352),$N352-INT($N352),1)))*
IF(EI$44=1,0,
IF(INT(DQ352)=INT(DP352),DQ352-DP352,INT(DQ352)-DP352))+
IF($N352&lt;=1,
IF($N352&gt;0,1/$N352,0),VDB(1,0,$N352,INT(EI$44-1),MIN($N352,INT(EI$44-1)+1),$DC352,IF($DD352="No",1,0))/
IF(DQ352&gt;INT($N352),$N352-INT($N352),1))*
IF(EI$44=1,DQ352,
IF(INT(DQ352)=INT(DP352),0,DQ352-INT(DQ352)))))</f>
        <v>0</v>
      </c>
      <c r="EJ352" s="835">
        <f>+IF(DR352=DQ352,0,
IF(AND(EJ$44&gt;1,DR352=$N352),1-SUM($EE352:EI352),
IF($N352&lt;=1,
IF($N352&gt;0,1/$N352,0),
IF(EJ$44=1,0,VDB(1,0,$N352,INT(EJ$44-1-1),MIN($N352,INT(EJ$44-1-1)+1),$DC352,IF($DD352="No",1,0))/
IF(DQ352&gt;=INT($N352),$N352-INT($N352),1)))*
IF(EJ$44=1,0,
IF(INT(DR352)=INT(DQ352),DR352-DQ352,INT(DR352)-DQ352))+
IF($N352&lt;=1,
IF($N352&gt;0,1/$N352,0),VDB(1,0,$N352,INT(EJ$44-1),MIN($N352,INT(EJ$44-1)+1),$DC352,IF($DD352="No",1,0))/
IF(DR352&gt;INT($N352),$N352-INT($N352),1))*
IF(EJ$44=1,DR352,
IF(INT(DR352)=INT(DQ352),0,DR352-INT(DR352)))))</f>
        <v>0</v>
      </c>
      <c r="EK352" s="835">
        <f>+IF(DS352=DR352,0,
IF(AND(EK$44&gt;1,DS352=$N352),1-SUM($EE352:EJ352),
IF($N352&lt;=1,
IF($N352&gt;0,1/$N352,0),
IF(EK$44=1,0,VDB(1,0,$N352,INT(EK$44-1-1),MIN($N352,INT(EK$44-1-1)+1),$DC352,IF($DD352="No",1,0))/
IF(DR352&gt;=INT($N352),$N352-INT($N352),1)))*
IF(EK$44=1,0,
IF(INT(DS352)=INT(DR352),DS352-DR352,INT(DS352)-DR352))+
IF($N352&lt;=1,
IF($N352&gt;0,1/$N352,0),VDB(1,0,$N352,INT(EK$44-1),MIN($N352,INT(EK$44-1)+1),$DC352,IF($DD352="No",1,0))/
IF(DS352&gt;INT($N352),$N352-INT($N352),1))*
IF(EK$44=1,DS352,
IF(INT(DS352)=INT(DR352),0,DS352-INT(DS352)))))</f>
        <v>0</v>
      </c>
      <c r="EL352" s="835">
        <f>+IF(DT352=DS352,0,
IF(AND(EL$44&gt;1,DT352=$N352),1-SUM($EE352:EK352),
IF($N352&lt;=1,
IF($N352&gt;0,1/$N352,0),
IF(EL$44=1,0,VDB(1,0,$N352,INT(EL$44-1-1),MIN($N352,INT(EL$44-1-1)+1),$DC352,IF($DD352="No",1,0))/
IF(DS352&gt;=INT($N352),$N352-INT($N352),1)))*
IF(EL$44=1,0,
IF(INT(DT352)=INT(DS352),DT352-DS352,INT(DT352)-DS352))+
IF($N352&lt;=1,
IF($N352&gt;0,1/$N352,0),VDB(1,0,$N352,INT(EL$44-1),MIN($N352,INT(EL$44-1)+1),$DC352,IF($DD352="No",1,0))/
IF(DT352&gt;INT($N352),$N352-INT($N352),1))*
IF(EL$44=1,DT352,
IF(INT(DT352)=INT(DS352),0,DT352-INT(DT352)))))</f>
        <v>0</v>
      </c>
      <c r="EM352" s="836">
        <f>+IF(DU352=DT352,0,
IF(AND(EM$44&gt;1,DU352=$N352),1-SUM($EE352:EL352),
IF($N352&lt;=1,
IF($N352&gt;0,1/$N352,0),
IF(EM$44=1,0,VDB(1,0,$N352,INT(EM$44-1-1),MIN($N352,INT(EM$44-1-1)+1),$DC352,IF($DD352="No",1,0))/
IF(DT352&gt;=INT($N352),$N352-INT($N352),1)))*
IF(EM$44=1,0,
IF(INT(DU352)=INT(DT352),DU352-DT352,INT(DU352)-DT352))+
IF($N352&lt;=1,
IF($N352&gt;0,1/$N352,0),VDB(1,0,$N352,INT(EM$44-1),MIN($N352,INT(EM$44-1)+1),$DC352,IF($DD352="No",1,0))/
IF(DU352&gt;INT($N352),$N352-INT($N352),1))*
IF(EM$44=1,DU352,
IF(INT(DU352)=INT(DT352),0,DU352-INT(DU352)))))</f>
        <v>0</v>
      </c>
      <c r="EN352" s="833"/>
      <c r="EO352" s="834">
        <f>+IF(OR(DW352=DV352,EO$44=1),0,
IF(AND(EO$44&gt;1,DW352=$N352),1-SUM($EN352:EN352),
IF($N352&lt;=1,
IF($N352&gt;0,1/$N352,0),
IF(EO$44=2,0,VDB(1,0,$N352,INT(EO$44-2-1),MIN($N352,INT(EO$44-2-1)+1),$DC352,IF($DD352="No",1,0))/
IF(DV352&gt;=INT($N352),$N352-INT($N352),1)))*
IF(EO$44=2,0,
IF(INT(DW352)=INT(DV352),DW352-DV352,INT(DW352)-DV352))+
IF($N352&lt;=1,
IF($N352&gt;0,1/$N352,0),VDB(1,0,$N352,INT(EO$44-2),MIN($N352,INT(EO$44-2)+1),$DC352,IF($DD352="No",1,0))/
IF(DW352&gt;INT($N352),$N352-INT($N352),1))*
IF(EO$44=2,DW352,
IF(INT(DW352)=INT(DV352),0,DW352-INT(DW352)))))</f>
        <v>0</v>
      </c>
      <c r="EP352" s="835">
        <f>+IF(OR(DX352=DW352,EP$44=1),0,
IF(AND(EP$44&gt;1,DX352=$N352),1-SUM($EN352:EO352),
IF($N352&lt;=1,
IF($N352&gt;0,1/$N352,0),
IF(EP$44=2,0,VDB(1,0,$N352,INT(EP$44-2-1),MIN($N352,INT(EP$44-2-1)+1),$DC352,IF($DD352="No",1,0))/
IF(DW352&gt;=INT($N352),$N352-INT($N352),1)))*
IF(EP$44=2,0,
IF(INT(DX352)=INT(DW352),DX352-DW352,INT(DX352)-DW352))+
IF($N352&lt;=1,
IF($N352&gt;0,1/$N352,0),VDB(1,0,$N352,INT(EP$44-2),MIN($N352,INT(EP$44-2)+1),$DC352,IF($DD352="No",1,0))/
IF(DX352&gt;INT($N352),$N352-INT($N352),1))*
IF(EP$44=2,DX352,
IF(INT(DX352)=INT(DW352),0,DX352-INT(DX352)))))</f>
        <v>0</v>
      </c>
      <c r="EQ352" s="836">
        <f>+IF(OR(DY352=DX352,EQ$44=1),0,
IF(AND(EQ$44&gt;1,DY352=$N352),1-SUM($EN352:EP352),
IF($N352&lt;=1,
IF($N352&gt;0,1/$N352,0),
IF(EQ$44=2,0,VDB(1,0,$N352,INT(EQ$44-2-1),MIN($N352,INT(EQ$44-2-1)+1),$DC352,IF($DD352="No",1,0))/
IF(DX352&gt;=INT($N352),$N352-INT($N352),1)))*
IF(EQ$44=2,0,
IF(INT(DY352)=INT(DX352),DY352-DX352,INT(DY352)-DX352))+
IF($N352&lt;=1,
IF($N352&gt;0,1/$N352,0),VDB(1,0,$N352,INT(EQ$44-2),MIN($N352,INT(EQ$44-2)+1),$DC352,IF($DD352="No",1,0))/
IF(DY352&gt;INT($N352),$N352-INT($N352),1))*
IF(EQ$44=2,DY352,
IF(INT(DY352)=INT(DX352),0,DY352-INT(DY352)))))</f>
        <v>0</v>
      </c>
      <c r="ER352" s="834">
        <f>+IF(OR(DZ352=DY352,ER$44=1),0,
IF(AND(ER$44&gt;1,DZ352=$N352),1-SUM($EN352:EQ352),
IF($N352&lt;=1,
IF($N352&gt;0,1/$N352,0),
IF(ER$44=2,0,VDB(1,0,$N352,INT(ER$44-2-1),MIN($N352,INT(ER$44-2-1)+1),$DC352,IF($DD352="No",1,0))/
IF(DY352&gt;=INT($N352),$N352-INT($N352),1)))*
IF(ER$44=2,0,
IF(INT(DZ352)=INT(DY352),DZ352-DY352,INT(DZ352)-DY352))+
IF($N352&lt;=1,
IF($N352&gt;0,1/$N352,0),VDB(1,0,$N352,INT(ER$44-2),MIN($N352,INT(ER$44-2)+1),$DC352,IF($DD352="No",1,0))/
IF(DZ352&gt;INT($N352),$N352-INT($N352),1))*
IF(ER$44=2,DZ352,
IF(INT(DZ352)=INT(DY352),0,DZ352-INT(DZ352)))))</f>
        <v>0</v>
      </c>
      <c r="ES352" s="835">
        <f>+IF(OR(EA352=DZ352,ES$44=1),0,
IF(AND(ES$44&gt;1,EA352=$N352),1-SUM($EN352:ER352),
IF($N352&lt;=1,
IF($N352&gt;0,1/$N352,0),
IF(ES$44=2,0,VDB(1,0,$N352,INT(ES$44-2-1),MIN($N352,INT(ES$44-2-1)+1),$DC352,IF($DD352="No",1,0))/
IF(DZ352&gt;=INT($N352),$N352-INT($N352),1)))*
IF(ES$44=2,0,
IF(INT(EA352)=INT(DZ352),EA352-DZ352,INT(EA352)-DZ352))+
IF($N352&lt;=1,
IF($N352&gt;0,1/$N352,0),VDB(1,0,$N352,INT(ES$44-2),MIN($N352,INT(ES$44-2)+1),$DC352,IF($DD352="No",1,0))/
IF(EA352&gt;INT($N352),$N352-INT($N352),1))*
IF(ES$44=2,EA352,
IF(INT(EA352)=INT(DZ352),0,EA352-INT(EA352)))))</f>
        <v>0</v>
      </c>
      <c r="ET352" s="835">
        <f>+IF(OR(EB352=EA352,ET$44=1),0,
IF(AND(ET$44&gt;1,EB352=$N352),1-SUM($EN352:ES352),
IF($N352&lt;=1,
IF($N352&gt;0,1/$N352,0),
IF(ET$44=2,0,VDB(1,0,$N352,INT(ET$44-2-1),MIN($N352,INT(ET$44-2-1)+1),$DC352,IF($DD352="No",1,0))/
IF(EA352&gt;=INT($N352),$N352-INT($N352),1)))*
IF(ET$44=2,0,
IF(INT(EB352)=INT(EA352),EB352-EA352,INT(EB352)-EA352))+
IF($N352&lt;=1,
IF($N352&gt;0,1/$N352,0),VDB(1,0,$N352,INT(ET$44-2),MIN($N352,INT(ET$44-2)+1),$DC352,IF($DD352="No",1,0))/
IF(EB352&gt;INT($N352),$N352-INT($N352),1))*
IF(ET$44=2,EB352,
IF(INT(EB352)=INT(EA352),0,EB352-INT(EB352)))))</f>
        <v>0</v>
      </c>
      <c r="EU352" s="835">
        <f>+IF(OR(EC352=EB352,EU$44=1),0,
IF(AND(EU$44&gt;1,EC352=$N352),1-SUM($EN352:ET352),
IF($N352&lt;=1,
IF($N352&gt;0,1/$N352,0),
IF(EU$44=2,0,VDB(1,0,$N352,INT(EU$44-2-1),MIN($N352,INT(EU$44-2-1)+1),$DC352,IF($DD352="No",1,0))/
IF(EB352&gt;=INT($N352),$N352-INT($N352),1)))*
IF(EU$44=2,0,
IF(INT(EC352)=INT(EB352),EC352-EB352,INT(EC352)-EB352))+
IF($N352&lt;=1,
IF($N352&gt;0,1/$N352,0),VDB(1,0,$N352,INT(EU$44-2),MIN($N352,INT(EU$44-2)+1),$DC352,IF($DD352="No",1,0))/
IF(EC352&gt;INT($N352),$N352-INT($N352),1))*
IF(EU$44=2,EC352,
IF(INT(EC352)=INT(EB352),0,EC352-INT(EC352)))))</f>
        <v>0</v>
      </c>
      <c r="EV352" s="836">
        <f>+IF(OR(ED352=EC352,EV$44=1),0,
IF(AND(EV$44&gt;1,ED352=$N352),1-SUM($EN352:EU352),
IF($N352&lt;=1,
IF($N352&gt;0,1/$N352,0),
IF(EV$44=2,0,VDB(1,0,$N352,INT(EV$44-2-1),MIN($N352,INT(EV$44-2-1)+1),$DC352,IF($DD352="No",1,0))/
IF(EC352&gt;=INT($N352),$N352-INT($N352),1)))*
IF(EV$44=2,0,
IF(INT(ED352)=INT(EC352),ED352-EC352,INT(ED352)-EC352))+
IF($N352&lt;=1,
IF($N352&gt;0,1/$N352,0),VDB(1,0,$N352,INT(EV$44-2),MIN($N352,INT(EV$44-2)+1),$DC352,IF($DD352="No",1,0))/
IF(ED352&gt;INT($N352),$N352-INT($N352),1))*
IF(EV$44=2,ED352,
IF(INT(ED352)=INT(EC352),0,ED352-INT(ED352)))))</f>
        <v>0</v>
      </c>
      <c r="EW352" s="833"/>
      <c r="EX352" s="834">
        <f t="shared" ca="1" si="570"/>
        <v>0</v>
      </c>
      <c r="EY352" s="835">
        <f t="shared" ca="1" si="570"/>
        <v>0</v>
      </c>
      <c r="EZ352" s="836">
        <f t="shared" ca="1" si="570"/>
        <v>0</v>
      </c>
      <c r="FA352" s="834">
        <f t="shared" ca="1" si="570"/>
        <v>0</v>
      </c>
      <c r="FB352" s="835">
        <f t="shared" ca="1" si="570"/>
        <v>0</v>
      </c>
      <c r="FC352" s="835">
        <f t="shared" ca="1" si="570"/>
        <v>0</v>
      </c>
      <c r="FD352" s="835">
        <f t="shared" ca="1" si="570"/>
        <v>0</v>
      </c>
      <c r="FE352" s="836">
        <f t="shared" ca="1" si="570"/>
        <v>0</v>
      </c>
      <c r="FG352" s="386">
        <f t="shared" ca="1" si="617"/>
        <v>0</v>
      </c>
      <c r="FH352" s="387">
        <f t="shared" ca="1" si="618"/>
        <v>0</v>
      </c>
      <c r="FI352" s="388">
        <f t="shared" ca="1" si="619"/>
        <v>0</v>
      </c>
      <c r="FJ352" s="386">
        <f t="shared" ca="1" si="620"/>
        <v>0</v>
      </c>
      <c r="FK352" s="387">
        <f t="shared" ca="1" si="621"/>
        <v>0</v>
      </c>
      <c r="FL352" s="387">
        <f t="shared" ca="1" si="622"/>
        <v>0</v>
      </c>
      <c r="FM352" s="387">
        <f t="shared" ca="1" si="623"/>
        <v>0</v>
      </c>
      <c r="FN352" s="388">
        <f t="shared" ca="1" si="624"/>
        <v>0</v>
      </c>
      <c r="FR352" s="116"/>
    </row>
    <row r="353" spans="2:174">
      <c r="B353" s="1410">
        <f t="shared" si="556"/>
        <v>307</v>
      </c>
      <c r="C353" s="400"/>
      <c r="D353" s="410"/>
      <c r="E353" s="402"/>
      <c r="F353" s="402"/>
      <c r="G353" s="400"/>
      <c r="H353" s="2088"/>
      <c r="I353" s="2089"/>
      <c r="J353" s="411"/>
      <c r="K353" s="403"/>
      <c r="L353" s="403"/>
      <c r="M353" s="403"/>
      <c r="N353" s="403"/>
      <c r="O353" s="347"/>
      <c r="P353" s="347"/>
      <c r="Q353" s="1021"/>
      <c r="R353" s="1022"/>
      <c r="S353" s="1022"/>
      <c r="T353" s="1022"/>
      <c r="U353" s="1023"/>
      <c r="V353" s="1021"/>
      <c r="W353" s="1022"/>
      <c r="X353" s="1022"/>
      <c r="Y353" s="1022"/>
      <c r="Z353" s="1023"/>
      <c r="AA353" s="1024"/>
      <c r="AB353" s="1021"/>
      <c r="AC353" s="1022"/>
      <c r="AD353" s="1022"/>
      <c r="AE353" s="1022"/>
      <c r="AF353" s="1023"/>
      <c r="AG353" s="1021"/>
      <c r="AH353" s="1022"/>
      <c r="AI353" s="1022"/>
      <c r="AJ353" s="1022"/>
      <c r="AK353" s="1023"/>
      <c r="AL353" s="1024"/>
      <c r="AM353" s="1021"/>
      <c r="AN353" s="1022"/>
      <c r="AO353" s="1022"/>
      <c r="AP353" s="1022"/>
      <c r="AQ353" s="1023"/>
      <c r="AR353" s="1021"/>
      <c r="AS353" s="1022"/>
      <c r="AT353" s="1022"/>
      <c r="AU353" s="1022"/>
      <c r="AV353" s="1023"/>
      <c r="AW353" s="1025"/>
      <c r="AX353" s="1282">
        <f t="shared" si="571"/>
        <v>0</v>
      </c>
      <c r="AY353" s="387">
        <f t="shared" si="572"/>
        <v>0</v>
      </c>
      <c r="AZ353" s="387">
        <f t="shared" si="573"/>
        <v>0</v>
      </c>
      <c r="BA353" s="387">
        <f t="shared" si="574"/>
        <v>0</v>
      </c>
      <c r="BB353" s="1283">
        <f t="shared" si="575"/>
        <v>0</v>
      </c>
      <c r="BC353" s="386">
        <f t="shared" si="576"/>
        <v>0</v>
      </c>
      <c r="BD353" s="387">
        <f t="shared" si="577"/>
        <v>0</v>
      </c>
      <c r="BE353" s="1277">
        <f t="shared" si="578"/>
        <v>0</v>
      </c>
      <c r="BF353" s="1277">
        <f t="shared" si="579"/>
        <v>0</v>
      </c>
      <c r="BG353" s="388">
        <f t="shared" si="580"/>
        <v>0</v>
      </c>
      <c r="BH353" s="1025"/>
      <c r="BI353" s="1282">
        <f t="shared" ca="1" si="581"/>
        <v>0</v>
      </c>
      <c r="BJ353" s="387">
        <f t="shared" ca="1" si="582"/>
        <v>0</v>
      </c>
      <c r="BK353" s="387">
        <f t="shared" ca="1" si="583"/>
        <v>0</v>
      </c>
      <c r="BL353" s="387">
        <f t="shared" ca="1" si="584"/>
        <v>0</v>
      </c>
      <c r="BM353" s="1283">
        <f t="shared" ca="1" si="585"/>
        <v>0</v>
      </c>
      <c r="BN353" s="386">
        <f t="shared" ca="1" si="586"/>
        <v>0</v>
      </c>
      <c r="BO353" s="387">
        <f t="shared" ca="1" si="587"/>
        <v>0</v>
      </c>
      <c r="BP353" s="1277">
        <f t="shared" ca="1" si="588"/>
        <v>0</v>
      </c>
      <c r="BQ353" s="1277">
        <f t="shared" ca="1" si="589"/>
        <v>0</v>
      </c>
      <c r="BR353" s="388">
        <f t="shared" ca="1" si="590"/>
        <v>0</v>
      </c>
      <c r="BS353" s="1025"/>
      <c r="BT353" s="1282">
        <f>+IF($K353="Ongoing",AX353,IF(RIGHT($K353,2)=RIGHT(BT$43,2),SUM($AX353:AX353),0)+IF(RIGHT(BT$43,2)&gt;RIGHT($K353,2),AX353,0))</f>
        <v>0</v>
      </c>
      <c r="BU353" s="387">
        <f>+IF($K353="Ongoing",AY353,IF(RIGHT($K353,2)=RIGHT(BU$43,2),SUM($AX353:AY353),0)+IF(RIGHT(BU$43,2)&gt;RIGHT($K353,2),AY353,0))</f>
        <v>0</v>
      </c>
      <c r="BV353" s="387">
        <f>+IF($K353="Ongoing",AZ353,IF(RIGHT($K353,2)=RIGHT(BV$43,2),SUM($AX353:AZ353),0)+IF(RIGHT(BV$43,2)&gt;RIGHT($K353,2),AZ353,0))</f>
        <v>0</v>
      </c>
      <c r="BW353" s="387">
        <f>+IF($K353="Ongoing",BA353,IF(RIGHT($K353,2)=RIGHT(BW$43,2),SUM($AX353:BA353),0)+IF(RIGHT(BW$43,2)&gt;RIGHT($K353,2),BA353,0))</f>
        <v>0</v>
      </c>
      <c r="BX353" s="1283">
        <f>+IF($K353="Ongoing",BB353,IF(RIGHT($K353,2)=RIGHT(BX$43,2),SUM($AX353:BB353),0)+IF(RIGHT(BX$43,2)&gt;RIGHT($K353,2),BB353,0))</f>
        <v>0</v>
      </c>
      <c r="BY353" s="386">
        <f>+IF($K353="Ongoing",BC353,IF(RIGHT($K353,2)=RIGHT(BY$43,2),SUM($AX353:BC353),0)+IF(RIGHT(BY$43,2)&gt;RIGHT($K353,2),BC353,0))</f>
        <v>0</v>
      </c>
      <c r="BZ353" s="387">
        <f>+IF($K353="Ongoing",BD353,IF(RIGHT($K353,2)=RIGHT(BZ$43,2),SUM($AX353:BD353),0)+IF(RIGHT(BZ$43,2)&gt;RIGHT($K353,2),BD353,0))</f>
        <v>0</v>
      </c>
      <c r="CA353" s="1277">
        <f>+IF($K353="Ongoing",BE353,IF(RIGHT($K353,2)=RIGHT(CA$43,2),SUM($AX353:BE353),0)+IF(RIGHT(CA$43,2)&gt;RIGHT($K353,2),BE353,0))</f>
        <v>0</v>
      </c>
      <c r="CB353" s="1277">
        <f>+IF($K353="Ongoing",BF353,IF(RIGHT($K353,2)=RIGHT(CB$43,2),SUM($AX353:BF353),0)+IF(RIGHT(CB$43,2)&gt;RIGHT($K353,2),BF353,0))</f>
        <v>0</v>
      </c>
      <c r="CC353" s="388">
        <f>+IF($K353="Ongoing",BG353,IF(RIGHT($K353,2)=RIGHT(CC$43,2),SUM($AX353:BG353),0)+IF(RIGHT(CC$43,2)&gt;RIGHT($K353,2),BG353,0))</f>
        <v>0</v>
      </c>
      <c r="CD353" s="1025"/>
      <c r="CE353" s="1282">
        <f>+Q353*KeyAssumptionsPriceControl_FO!AF$15</f>
        <v>0</v>
      </c>
      <c r="CF353" s="387">
        <f>+R353*KeyAssumptionsPriceControl_FO!AG$15</f>
        <v>0</v>
      </c>
      <c r="CG353" s="387">
        <f>+S353*KeyAssumptionsPriceControl_FO!AH$15</f>
        <v>0</v>
      </c>
      <c r="CH353" s="387">
        <f>+T353*KeyAssumptionsPriceControl_FO!AI$15</f>
        <v>0</v>
      </c>
      <c r="CI353" s="1283">
        <f>+U353*KeyAssumptionsPriceControl_FO!AJ$15</f>
        <v>0</v>
      </c>
      <c r="CJ353" s="386">
        <f>+V353*KeyAssumptionsPriceControl_FO!AK$15</f>
        <v>0</v>
      </c>
      <c r="CK353" s="387">
        <f>+W353*KeyAssumptionsPriceControl_FO!AL$15</f>
        <v>0</v>
      </c>
      <c r="CL353" s="1277">
        <f>+X353*KeyAssumptionsPriceControl_FO!AM$15</f>
        <v>0</v>
      </c>
      <c r="CM353" s="1277">
        <f>+Y353*KeyAssumptionsPriceControl_FO!AN$15</f>
        <v>0</v>
      </c>
      <c r="CN353" s="388">
        <f>+Z353*KeyAssumptionsPriceControl_FO!AO$15</f>
        <v>0</v>
      </c>
      <c r="CO353" s="1025"/>
      <c r="CP353" s="1282">
        <f t="shared" ca="1" si="591"/>
        <v>0</v>
      </c>
      <c r="CQ353" s="387">
        <f t="shared" ca="1" si="592"/>
        <v>0</v>
      </c>
      <c r="CR353" s="387">
        <f t="shared" ca="1" si="593"/>
        <v>0</v>
      </c>
      <c r="CS353" s="387">
        <f t="shared" ca="1" si="594"/>
        <v>0</v>
      </c>
      <c r="CT353" s="1283">
        <f t="shared" ca="1" si="595"/>
        <v>0</v>
      </c>
      <c r="CU353" s="386">
        <f t="shared" ca="1" si="596"/>
        <v>0</v>
      </c>
      <c r="CV353" s="387">
        <f t="shared" ca="1" si="597"/>
        <v>0</v>
      </c>
      <c r="CW353" s="1277">
        <f t="shared" ca="1" si="598"/>
        <v>0</v>
      </c>
      <c r="CX353" s="1277">
        <f t="shared" ca="1" si="599"/>
        <v>0</v>
      </c>
      <c r="CY353" s="388">
        <f t="shared" ca="1" si="600"/>
        <v>0</v>
      </c>
      <c r="CZ353" s="347"/>
      <c r="DA353" s="852"/>
      <c r="DB353" s="347"/>
      <c r="DC353" s="1012" t="s">
        <v>558</v>
      </c>
      <c r="DD353" s="841" t="s">
        <v>518</v>
      </c>
      <c r="DE353" s="386">
        <f>+IF($K353="ongoing",CE353,IF(RIGHT($K353,2)=RIGHT(DE$43,2),SUM($CD353:CE353),0)+IF(RIGHT(DE$43,2)&gt;RIGHT($K353,2),CE353,0))</f>
        <v>0</v>
      </c>
      <c r="DF353" s="387">
        <f>+IF($K353="ongoing",CF353,IF(RIGHT($K353,2)=RIGHT(DF$43,2),SUM($CD353:CF353),0)+IF(RIGHT(DF$43,2)&gt;RIGHT($K353,2),CF353,0))</f>
        <v>0</v>
      </c>
      <c r="DG353" s="388">
        <f>+IF($K353="ongoing",CG353,IF(RIGHT($K353,2)=RIGHT(DG$43,2),SUM($CD353:CG353),0)+IF(RIGHT(DG$43,2)&gt;RIGHT($K353,2),CG353,0))</f>
        <v>0</v>
      </c>
      <c r="DH353" s="386">
        <f>+IF($K353="ongoing",CH353,IF(RIGHT($K353,2)=RIGHT(DH$43,2),SUM($CD353:CH353),0)+IF(RIGHT(DH$43,2)&gt;RIGHT($K353,2),CH353,0))</f>
        <v>0</v>
      </c>
      <c r="DI353" s="387">
        <f>+IF($K353="ongoing",CI353,IF(RIGHT($K353,2)=RIGHT(DI$43,2),SUM($CD353:CI353),0)+IF(RIGHT(DI$43,2)&gt;RIGHT($K353,2),CI353,0))</f>
        <v>0</v>
      </c>
      <c r="DJ353" s="387">
        <f>+IF($K353="ongoing",CJ353,IF(RIGHT($K353,2)=RIGHT(DJ$43,2),SUM($CD353:CJ353),0)+IF(RIGHT(DJ$43,2)&gt;RIGHT($K353,2),CJ353,0))</f>
        <v>0</v>
      </c>
      <c r="DK353" s="387">
        <f>+IF($K353="ongoing",CK353,IF(RIGHT($K353,2)=RIGHT(DK$43,2),SUM($CD353:CK353),0)+IF(RIGHT(DK$43,2)&gt;RIGHT($K353,2),CK353,0))</f>
        <v>0</v>
      </c>
      <c r="DL353" s="388">
        <f>+IF($K353="ongoing",CN353,IF(RIGHT($K353,2)=RIGHT(DL$43,2),SUM($CD353:CN353),0)+IF(RIGHT(DL$43,2)&gt;RIGHT($K353,2),CN353,0))</f>
        <v>0</v>
      </c>
      <c r="DM353" s="841"/>
      <c r="DN353" s="386">
        <f t="shared" si="601"/>
        <v>0.5</v>
      </c>
      <c r="DO353" s="387">
        <f t="shared" si="602"/>
        <v>1</v>
      </c>
      <c r="DP353" s="388">
        <f t="shared" si="603"/>
        <v>1</v>
      </c>
      <c r="DQ353" s="386">
        <f t="shared" si="604"/>
        <v>1</v>
      </c>
      <c r="DR353" s="387">
        <f t="shared" si="605"/>
        <v>1</v>
      </c>
      <c r="DS353" s="387">
        <f t="shared" si="606"/>
        <v>1</v>
      </c>
      <c r="DT353" s="387">
        <f t="shared" si="607"/>
        <v>1</v>
      </c>
      <c r="DU353" s="388">
        <f t="shared" si="608"/>
        <v>1</v>
      </c>
      <c r="DW353" s="386">
        <f t="shared" si="609"/>
        <v>0</v>
      </c>
      <c r="DX353" s="387">
        <f t="shared" si="610"/>
        <v>0.5</v>
      </c>
      <c r="DY353" s="388">
        <f t="shared" si="611"/>
        <v>1</v>
      </c>
      <c r="DZ353" s="386">
        <f t="shared" si="612"/>
        <v>1</v>
      </c>
      <c r="EA353" s="387">
        <f t="shared" si="613"/>
        <v>1</v>
      </c>
      <c r="EB353" s="387">
        <f t="shared" si="614"/>
        <v>1</v>
      </c>
      <c r="EC353" s="387">
        <f t="shared" si="615"/>
        <v>1</v>
      </c>
      <c r="ED353" s="388">
        <f t="shared" si="616"/>
        <v>1</v>
      </c>
      <c r="EF353" s="834">
        <f>+IF(DN353=DM353,0,
IF(AND(EF$44&gt;1,DN353=$N353),1-SUM($EE353:EE353),
IF($N353&lt;=1,
IF($N353&gt;0,1/$N353,0),
IF(EF$44=1,0,VDB(1,0,$N353,INT(EF$44-1-1),MIN($N353,INT(EF$44-1-1)+1),$DC353,IF($DD353="No",1,0))/
IF(DM353&gt;=INT($N353),$N353-INT($N353),1)))*
IF(EF$44=1,0,
IF(INT(DN353)=INT(DM353),DN353-DM353,INT(DN353)-DM353))+
IF($N353&lt;=1,
IF($N353&gt;0,1/$N353,0),VDB(1,0,$N353,INT(EF$44-1),MIN($N353,INT(EF$44-1)+1),$DC353,IF($DD353="No",1,0))/
IF(DN353&gt;INT($N353),$N353-INT($N353),1))*
IF(EF$44=1,DN353,
IF(INT(DN353)=INT(DM353),0,DN353-INT(DN353)))))</f>
        <v>0</v>
      </c>
      <c r="EG353" s="835">
        <f>+IF(DO353=DN353,0,
IF(AND(EG$44&gt;1,DO353=$N353),1-SUM($EE353:EF353),
IF($N353&lt;=1,
IF($N353&gt;0,1/$N353,0),
IF(EG$44=1,0,VDB(1,0,$N353,INT(EG$44-1-1),MIN($N353,INT(EG$44-1-1)+1),$DC353,IF($DD353="No",1,0))/
IF(DN353&gt;=INT($N353),$N353-INT($N353),1)))*
IF(EG$44=1,0,
IF(INT(DO353)=INT(DN353),DO353-DN353,INT(DO353)-DN353))+
IF($N353&lt;=1,
IF($N353&gt;0,1/$N353,0),VDB(1,0,$N353,INT(EG$44-1),MIN($N353,INT(EG$44-1)+1),$DC353,IF($DD353="No",1,0))/
IF(DO353&gt;INT($N353),$N353-INT($N353),1))*
IF(EG$44=1,DO353,
IF(INT(DO353)=INT(DN353),0,DO353-INT(DO353)))))</f>
        <v>0</v>
      </c>
      <c r="EH353" s="836">
        <f>+IF(DP353=DO353,0,
IF(AND(EH$44&gt;1,DP353=$N353),1-SUM($EE353:EG353),
IF($N353&lt;=1,
IF($N353&gt;0,1/$N353,0),
IF(EH$44=1,0,VDB(1,0,$N353,INT(EH$44-1-1),MIN($N353,INT(EH$44-1-1)+1),$DC353,IF($DD353="No",1,0))/
IF(DO353&gt;=INT($N353),$N353-INT($N353),1)))*
IF(EH$44=1,0,
IF(INT(DP353)=INT(DO353),DP353-DO353,INT(DP353)-DO353))+
IF($N353&lt;=1,
IF($N353&gt;0,1/$N353,0),VDB(1,0,$N353,INT(EH$44-1),MIN($N353,INT(EH$44-1)+1),$DC353,IF($DD353="No",1,0))/
IF(DP353&gt;INT($N353),$N353-INT($N353),1))*
IF(EH$44=1,DP353,
IF(INT(DP353)=INT(DO353),0,DP353-INT(DP353)))))</f>
        <v>0</v>
      </c>
      <c r="EI353" s="834">
        <f>+IF(DQ353=DP353,0,
IF(AND(EI$44&gt;1,DQ353=$N353),1-SUM($EE353:EH353),
IF($N353&lt;=1,
IF($N353&gt;0,1/$N353,0),
IF(EI$44=1,0,VDB(1,0,$N353,INT(EI$44-1-1),MIN($N353,INT(EI$44-1-1)+1),$DC353,IF($DD353="No",1,0))/
IF(DP353&gt;=INT($N353),$N353-INT($N353),1)))*
IF(EI$44=1,0,
IF(INT(DQ353)=INT(DP353),DQ353-DP353,INT(DQ353)-DP353))+
IF($N353&lt;=1,
IF($N353&gt;0,1/$N353,0),VDB(1,0,$N353,INT(EI$44-1),MIN($N353,INT(EI$44-1)+1),$DC353,IF($DD353="No",1,0))/
IF(DQ353&gt;INT($N353),$N353-INT($N353),1))*
IF(EI$44=1,DQ353,
IF(INT(DQ353)=INT(DP353),0,DQ353-INT(DQ353)))))</f>
        <v>0</v>
      </c>
      <c r="EJ353" s="835">
        <f>+IF(DR353=DQ353,0,
IF(AND(EJ$44&gt;1,DR353=$N353),1-SUM($EE353:EI353),
IF($N353&lt;=1,
IF($N353&gt;0,1/$N353,0),
IF(EJ$44=1,0,VDB(1,0,$N353,INT(EJ$44-1-1),MIN($N353,INT(EJ$44-1-1)+1),$DC353,IF($DD353="No",1,0))/
IF(DQ353&gt;=INT($N353),$N353-INT($N353),1)))*
IF(EJ$44=1,0,
IF(INT(DR353)=INT(DQ353),DR353-DQ353,INT(DR353)-DQ353))+
IF($N353&lt;=1,
IF($N353&gt;0,1/$N353,0),VDB(1,0,$N353,INT(EJ$44-1),MIN($N353,INT(EJ$44-1)+1),$DC353,IF($DD353="No",1,0))/
IF(DR353&gt;INT($N353),$N353-INT($N353),1))*
IF(EJ$44=1,DR353,
IF(INT(DR353)=INT(DQ353),0,DR353-INT(DR353)))))</f>
        <v>0</v>
      </c>
      <c r="EK353" s="835">
        <f>+IF(DS353=DR353,0,
IF(AND(EK$44&gt;1,DS353=$N353),1-SUM($EE353:EJ353),
IF($N353&lt;=1,
IF($N353&gt;0,1/$N353,0),
IF(EK$44=1,0,VDB(1,0,$N353,INT(EK$44-1-1),MIN($N353,INT(EK$44-1-1)+1),$DC353,IF($DD353="No",1,0))/
IF(DR353&gt;=INT($N353),$N353-INT($N353),1)))*
IF(EK$44=1,0,
IF(INT(DS353)=INT(DR353),DS353-DR353,INT(DS353)-DR353))+
IF($N353&lt;=1,
IF($N353&gt;0,1/$N353,0),VDB(1,0,$N353,INT(EK$44-1),MIN($N353,INT(EK$44-1)+1),$DC353,IF($DD353="No",1,0))/
IF(DS353&gt;INT($N353),$N353-INT($N353),1))*
IF(EK$44=1,DS353,
IF(INT(DS353)=INT(DR353),0,DS353-INT(DS353)))))</f>
        <v>0</v>
      </c>
      <c r="EL353" s="835">
        <f>+IF(DT353=DS353,0,
IF(AND(EL$44&gt;1,DT353=$N353),1-SUM($EE353:EK353),
IF($N353&lt;=1,
IF($N353&gt;0,1/$N353,0),
IF(EL$44=1,0,VDB(1,0,$N353,INT(EL$44-1-1),MIN($N353,INT(EL$44-1-1)+1),$DC353,IF($DD353="No",1,0))/
IF(DS353&gt;=INT($N353),$N353-INT($N353),1)))*
IF(EL$44=1,0,
IF(INT(DT353)=INT(DS353),DT353-DS353,INT(DT353)-DS353))+
IF($N353&lt;=1,
IF($N353&gt;0,1/$N353,0),VDB(1,0,$N353,INT(EL$44-1),MIN($N353,INT(EL$44-1)+1),$DC353,IF($DD353="No",1,0))/
IF(DT353&gt;INT($N353),$N353-INT($N353),1))*
IF(EL$44=1,DT353,
IF(INT(DT353)=INT(DS353),0,DT353-INT(DT353)))))</f>
        <v>0</v>
      </c>
      <c r="EM353" s="836">
        <f>+IF(DU353=DT353,0,
IF(AND(EM$44&gt;1,DU353=$N353),1-SUM($EE353:EL353),
IF($N353&lt;=1,
IF($N353&gt;0,1/$N353,0),
IF(EM$44=1,0,VDB(1,0,$N353,INT(EM$44-1-1),MIN($N353,INT(EM$44-1-1)+1),$DC353,IF($DD353="No",1,0))/
IF(DT353&gt;=INT($N353),$N353-INT($N353),1)))*
IF(EM$44=1,0,
IF(INT(DU353)=INT(DT353),DU353-DT353,INT(DU353)-DT353))+
IF($N353&lt;=1,
IF($N353&gt;0,1/$N353,0),VDB(1,0,$N353,INT(EM$44-1),MIN($N353,INT(EM$44-1)+1),$DC353,IF($DD353="No",1,0))/
IF(DU353&gt;INT($N353),$N353-INT($N353),1))*
IF(EM$44=1,DU353,
IF(INT(DU353)=INT(DT353),0,DU353-INT(DU353)))))</f>
        <v>0</v>
      </c>
      <c r="EN353" s="833"/>
      <c r="EO353" s="834">
        <f>+IF(OR(DW353=DV353,EO$44=1),0,
IF(AND(EO$44&gt;1,DW353=$N353),1-SUM($EN353:EN353),
IF($N353&lt;=1,
IF($N353&gt;0,1/$N353,0),
IF(EO$44=2,0,VDB(1,0,$N353,INT(EO$44-2-1),MIN($N353,INT(EO$44-2-1)+1),$DC353,IF($DD353="No",1,0))/
IF(DV353&gt;=INT($N353),$N353-INT($N353),1)))*
IF(EO$44=2,0,
IF(INT(DW353)=INT(DV353),DW353-DV353,INT(DW353)-DV353))+
IF($N353&lt;=1,
IF($N353&gt;0,1/$N353,0),VDB(1,0,$N353,INT(EO$44-2),MIN($N353,INT(EO$44-2)+1),$DC353,IF($DD353="No",1,0))/
IF(DW353&gt;INT($N353),$N353-INT($N353),1))*
IF(EO$44=2,DW353,
IF(INT(DW353)=INT(DV353),0,DW353-INT(DW353)))))</f>
        <v>0</v>
      </c>
      <c r="EP353" s="835">
        <f>+IF(OR(DX353=DW353,EP$44=1),0,
IF(AND(EP$44&gt;1,DX353=$N353),1-SUM($EN353:EO353),
IF($N353&lt;=1,
IF($N353&gt;0,1/$N353,0),
IF(EP$44=2,0,VDB(1,0,$N353,INT(EP$44-2-1),MIN($N353,INT(EP$44-2-1)+1),$DC353,IF($DD353="No",1,0))/
IF(DW353&gt;=INT($N353),$N353-INT($N353),1)))*
IF(EP$44=2,0,
IF(INT(DX353)=INT(DW353),DX353-DW353,INT(DX353)-DW353))+
IF($N353&lt;=1,
IF($N353&gt;0,1/$N353,0),VDB(1,0,$N353,INT(EP$44-2),MIN($N353,INT(EP$44-2)+1),$DC353,IF($DD353="No",1,0))/
IF(DX353&gt;INT($N353),$N353-INT($N353),1))*
IF(EP$44=2,DX353,
IF(INT(DX353)=INT(DW353),0,DX353-INT(DX353)))))</f>
        <v>0</v>
      </c>
      <c r="EQ353" s="836">
        <f>+IF(OR(DY353=DX353,EQ$44=1),0,
IF(AND(EQ$44&gt;1,DY353=$N353),1-SUM($EN353:EP353),
IF($N353&lt;=1,
IF($N353&gt;0,1/$N353,0),
IF(EQ$44=2,0,VDB(1,0,$N353,INT(EQ$44-2-1),MIN($N353,INT(EQ$44-2-1)+1),$DC353,IF($DD353="No",1,0))/
IF(DX353&gt;=INT($N353),$N353-INT($N353),1)))*
IF(EQ$44=2,0,
IF(INT(DY353)=INT(DX353),DY353-DX353,INT(DY353)-DX353))+
IF($N353&lt;=1,
IF($N353&gt;0,1/$N353,0),VDB(1,0,$N353,INT(EQ$44-2),MIN($N353,INT(EQ$44-2)+1),$DC353,IF($DD353="No",1,0))/
IF(DY353&gt;INT($N353),$N353-INT($N353),1))*
IF(EQ$44=2,DY353,
IF(INT(DY353)=INT(DX353),0,DY353-INT(DY353)))))</f>
        <v>0</v>
      </c>
      <c r="ER353" s="834">
        <f>+IF(OR(DZ353=DY353,ER$44=1),0,
IF(AND(ER$44&gt;1,DZ353=$N353),1-SUM($EN353:EQ353),
IF($N353&lt;=1,
IF($N353&gt;0,1/$N353,0),
IF(ER$44=2,0,VDB(1,0,$N353,INT(ER$44-2-1),MIN($N353,INT(ER$44-2-1)+1),$DC353,IF($DD353="No",1,0))/
IF(DY353&gt;=INT($N353),$N353-INT($N353),1)))*
IF(ER$44=2,0,
IF(INT(DZ353)=INT(DY353),DZ353-DY353,INT(DZ353)-DY353))+
IF($N353&lt;=1,
IF($N353&gt;0,1/$N353,0),VDB(1,0,$N353,INT(ER$44-2),MIN($N353,INT(ER$44-2)+1),$DC353,IF($DD353="No",1,0))/
IF(DZ353&gt;INT($N353),$N353-INT($N353),1))*
IF(ER$44=2,DZ353,
IF(INT(DZ353)=INT(DY353),0,DZ353-INT(DZ353)))))</f>
        <v>0</v>
      </c>
      <c r="ES353" s="835">
        <f>+IF(OR(EA353=DZ353,ES$44=1),0,
IF(AND(ES$44&gt;1,EA353=$N353),1-SUM($EN353:ER353),
IF($N353&lt;=1,
IF($N353&gt;0,1/$N353,0),
IF(ES$44=2,0,VDB(1,0,$N353,INT(ES$44-2-1),MIN($N353,INT(ES$44-2-1)+1),$DC353,IF($DD353="No",1,0))/
IF(DZ353&gt;=INT($N353),$N353-INT($N353),1)))*
IF(ES$44=2,0,
IF(INT(EA353)=INT(DZ353),EA353-DZ353,INT(EA353)-DZ353))+
IF($N353&lt;=1,
IF($N353&gt;0,1/$N353,0),VDB(1,0,$N353,INT(ES$44-2),MIN($N353,INT(ES$44-2)+1),$DC353,IF($DD353="No",1,0))/
IF(EA353&gt;INT($N353),$N353-INT($N353),1))*
IF(ES$44=2,EA353,
IF(INT(EA353)=INT(DZ353),0,EA353-INT(EA353)))))</f>
        <v>0</v>
      </c>
      <c r="ET353" s="835">
        <f>+IF(OR(EB353=EA353,ET$44=1),0,
IF(AND(ET$44&gt;1,EB353=$N353),1-SUM($EN353:ES353),
IF($N353&lt;=1,
IF($N353&gt;0,1/$N353,0),
IF(ET$44=2,0,VDB(1,0,$N353,INT(ET$44-2-1),MIN($N353,INT(ET$44-2-1)+1),$DC353,IF($DD353="No",1,0))/
IF(EA353&gt;=INT($N353),$N353-INT($N353),1)))*
IF(ET$44=2,0,
IF(INT(EB353)=INT(EA353),EB353-EA353,INT(EB353)-EA353))+
IF($N353&lt;=1,
IF($N353&gt;0,1/$N353,0),VDB(1,0,$N353,INT(ET$44-2),MIN($N353,INT(ET$44-2)+1),$DC353,IF($DD353="No",1,0))/
IF(EB353&gt;INT($N353),$N353-INT($N353),1))*
IF(ET$44=2,EB353,
IF(INT(EB353)=INT(EA353),0,EB353-INT(EB353)))))</f>
        <v>0</v>
      </c>
      <c r="EU353" s="835">
        <f>+IF(OR(EC353=EB353,EU$44=1),0,
IF(AND(EU$44&gt;1,EC353=$N353),1-SUM($EN353:ET353),
IF($N353&lt;=1,
IF($N353&gt;0,1/$N353,0),
IF(EU$44=2,0,VDB(1,0,$N353,INT(EU$44-2-1),MIN($N353,INT(EU$44-2-1)+1),$DC353,IF($DD353="No",1,0))/
IF(EB353&gt;=INT($N353),$N353-INT($N353),1)))*
IF(EU$44=2,0,
IF(INT(EC353)=INT(EB353),EC353-EB353,INT(EC353)-EB353))+
IF($N353&lt;=1,
IF($N353&gt;0,1/$N353,0),VDB(1,0,$N353,INT(EU$44-2),MIN($N353,INT(EU$44-2)+1),$DC353,IF($DD353="No",1,0))/
IF(EC353&gt;INT($N353),$N353-INT($N353),1))*
IF(EU$44=2,EC353,
IF(INT(EC353)=INT(EB353),0,EC353-INT(EC353)))))</f>
        <v>0</v>
      </c>
      <c r="EV353" s="836">
        <f>+IF(OR(ED353=EC353,EV$44=1),0,
IF(AND(EV$44&gt;1,ED353=$N353),1-SUM($EN353:EU353),
IF($N353&lt;=1,
IF($N353&gt;0,1/$N353,0),
IF(EV$44=2,0,VDB(1,0,$N353,INT(EV$44-2-1),MIN($N353,INT(EV$44-2-1)+1),$DC353,IF($DD353="No",1,0))/
IF(EC353&gt;=INT($N353),$N353-INT($N353),1)))*
IF(EV$44=2,0,
IF(INT(ED353)=INT(EC353),ED353-EC353,INT(ED353)-EC353))+
IF($N353&lt;=1,
IF($N353&gt;0,1/$N353,0),VDB(1,0,$N353,INT(EV$44-2),MIN($N353,INT(EV$44-2)+1),$DC353,IF($DD353="No",1,0))/
IF(ED353&gt;INT($N353),$N353-INT($N353),1))*
IF(EV$44=2,ED353,
IF(INT(ED353)=INT(EC353),0,ED353-INT(ED353)))))</f>
        <v>0</v>
      </c>
      <c r="EW353" s="833"/>
      <c r="EX353" s="834">
        <f t="shared" ca="1" si="570"/>
        <v>0</v>
      </c>
      <c r="EY353" s="835">
        <f t="shared" ca="1" si="570"/>
        <v>0</v>
      </c>
      <c r="EZ353" s="836">
        <f t="shared" ca="1" si="570"/>
        <v>0</v>
      </c>
      <c r="FA353" s="834">
        <f t="shared" ca="1" si="570"/>
        <v>0</v>
      </c>
      <c r="FB353" s="835">
        <f t="shared" ca="1" si="570"/>
        <v>0</v>
      </c>
      <c r="FC353" s="835">
        <f t="shared" ca="1" si="570"/>
        <v>0</v>
      </c>
      <c r="FD353" s="835">
        <f t="shared" ca="1" si="570"/>
        <v>0</v>
      </c>
      <c r="FE353" s="836">
        <f t="shared" ca="1" si="570"/>
        <v>0</v>
      </c>
      <c r="FG353" s="386">
        <f t="shared" ca="1" si="617"/>
        <v>0</v>
      </c>
      <c r="FH353" s="387">
        <f t="shared" ca="1" si="618"/>
        <v>0</v>
      </c>
      <c r="FI353" s="388">
        <f t="shared" ca="1" si="619"/>
        <v>0</v>
      </c>
      <c r="FJ353" s="386">
        <f t="shared" ca="1" si="620"/>
        <v>0</v>
      </c>
      <c r="FK353" s="387">
        <f t="shared" ca="1" si="621"/>
        <v>0</v>
      </c>
      <c r="FL353" s="387">
        <f t="shared" ca="1" si="622"/>
        <v>0</v>
      </c>
      <c r="FM353" s="387">
        <f t="shared" ca="1" si="623"/>
        <v>0</v>
      </c>
      <c r="FN353" s="388">
        <f t="shared" ca="1" si="624"/>
        <v>0</v>
      </c>
      <c r="FR353" s="116"/>
    </row>
    <row r="354" spans="2:174">
      <c r="B354" s="1410">
        <f t="shared" si="556"/>
        <v>308</v>
      </c>
      <c r="C354" s="400"/>
      <c r="D354" s="410"/>
      <c r="E354" s="402"/>
      <c r="F354" s="402"/>
      <c r="G354" s="400"/>
      <c r="H354" s="2088"/>
      <c r="I354" s="2089"/>
      <c r="J354" s="411"/>
      <c r="K354" s="403"/>
      <c r="L354" s="403"/>
      <c r="M354" s="403"/>
      <c r="N354" s="403"/>
      <c r="O354" s="347"/>
      <c r="P354" s="347"/>
      <c r="Q354" s="1021"/>
      <c r="R354" s="1022"/>
      <c r="S354" s="1022"/>
      <c r="T354" s="1022"/>
      <c r="U354" s="1023"/>
      <c r="V354" s="1021"/>
      <c r="W354" s="1022"/>
      <c r="X354" s="1022"/>
      <c r="Y354" s="1022"/>
      <c r="Z354" s="1023"/>
      <c r="AA354" s="1024"/>
      <c r="AB354" s="1021"/>
      <c r="AC354" s="1022"/>
      <c r="AD354" s="1022"/>
      <c r="AE354" s="1022"/>
      <c r="AF354" s="1023"/>
      <c r="AG354" s="1021"/>
      <c r="AH354" s="1022"/>
      <c r="AI354" s="1022"/>
      <c r="AJ354" s="1022"/>
      <c r="AK354" s="1023"/>
      <c r="AL354" s="1024"/>
      <c r="AM354" s="1021"/>
      <c r="AN354" s="1022"/>
      <c r="AO354" s="1022"/>
      <c r="AP354" s="1022"/>
      <c r="AQ354" s="1023"/>
      <c r="AR354" s="1021"/>
      <c r="AS354" s="1022"/>
      <c r="AT354" s="1022"/>
      <c r="AU354" s="1022"/>
      <c r="AV354" s="1023"/>
      <c r="AW354" s="1025"/>
      <c r="AX354" s="1282">
        <f t="shared" si="571"/>
        <v>0</v>
      </c>
      <c r="AY354" s="387">
        <f t="shared" si="572"/>
        <v>0</v>
      </c>
      <c r="AZ354" s="387">
        <f t="shared" si="573"/>
        <v>0</v>
      </c>
      <c r="BA354" s="387">
        <f t="shared" si="574"/>
        <v>0</v>
      </c>
      <c r="BB354" s="1283">
        <f t="shared" si="575"/>
        <v>0</v>
      </c>
      <c r="BC354" s="386">
        <f t="shared" si="576"/>
        <v>0</v>
      </c>
      <c r="BD354" s="387">
        <f t="shared" si="577"/>
        <v>0</v>
      </c>
      <c r="BE354" s="1277">
        <f t="shared" si="578"/>
        <v>0</v>
      </c>
      <c r="BF354" s="1277">
        <f t="shared" si="579"/>
        <v>0</v>
      </c>
      <c r="BG354" s="388">
        <f t="shared" si="580"/>
        <v>0</v>
      </c>
      <c r="BH354" s="1025"/>
      <c r="BI354" s="1282">
        <f t="shared" ca="1" si="581"/>
        <v>0</v>
      </c>
      <c r="BJ354" s="387">
        <f t="shared" ca="1" si="582"/>
        <v>0</v>
      </c>
      <c r="BK354" s="387">
        <f t="shared" ca="1" si="583"/>
        <v>0</v>
      </c>
      <c r="BL354" s="387">
        <f t="shared" ca="1" si="584"/>
        <v>0</v>
      </c>
      <c r="BM354" s="1283">
        <f t="shared" ca="1" si="585"/>
        <v>0</v>
      </c>
      <c r="BN354" s="386">
        <f t="shared" ca="1" si="586"/>
        <v>0</v>
      </c>
      <c r="BO354" s="387">
        <f t="shared" ca="1" si="587"/>
        <v>0</v>
      </c>
      <c r="BP354" s="1277">
        <f t="shared" ca="1" si="588"/>
        <v>0</v>
      </c>
      <c r="BQ354" s="1277">
        <f t="shared" ca="1" si="589"/>
        <v>0</v>
      </c>
      <c r="BR354" s="388">
        <f t="shared" ca="1" si="590"/>
        <v>0</v>
      </c>
      <c r="BS354" s="1025"/>
      <c r="BT354" s="1282">
        <f>+IF($K354="Ongoing",AX354,IF(RIGHT($K354,2)=RIGHT(BT$43,2),SUM($AX354:AX354),0)+IF(RIGHT(BT$43,2)&gt;RIGHT($K354,2),AX354,0))</f>
        <v>0</v>
      </c>
      <c r="BU354" s="387">
        <f>+IF($K354="Ongoing",AY354,IF(RIGHT($K354,2)=RIGHT(BU$43,2),SUM($AX354:AY354),0)+IF(RIGHT(BU$43,2)&gt;RIGHT($K354,2),AY354,0))</f>
        <v>0</v>
      </c>
      <c r="BV354" s="387">
        <f>+IF($K354="Ongoing",AZ354,IF(RIGHT($K354,2)=RIGHT(BV$43,2),SUM($AX354:AZ354),0)+IF(RIGHT(BV$43,2)&gt;RIGHT($K354,2),AZ354,0))</f>
        <v>0</v>
      </c>
      <c r="BW354" s="387">
        <f>+IF($K354="Ongoing",BA354,IF(RIGHT($K354,2)=RIGHT(BW$43,2),SUM($AX354:BA354),0)+IF(RIGHT(BW$43,2)&gt;RIGHT($K354,2),BA354,0))</f>
        <v>0</v>
      </c>
      <c r="BX354" s="1283">
        <f>+IF($K354="Ongoing",BB354,IF(RIGHT($K354,2)=RIGHT(BX$43,2),SUM($AX354:BB354),0)+IF(RIGHT(BX$43,2)&gt;RIGHT($K354,2),BB354,0))</f>
        <v>0</v>
      </c>
      <c r="BY354" s="386">
        <f>+IF($K354="Ongoing",BC354,IF(RIGHT($K354,2)=RIGHT(BY$43,2),SUM($AX354:BC354),0)+IF(RIGHT(BY$43,2)&gt;RIGHT($K354,2),BC354,0))</f>
        <v>0</v>
      </c>
      <c r="BZ354" s="387">
        <f>+IF($K354="Ongoing",BD354,IF(RIGHT($K354,2)=RIGHT(BZ$43,2),SUM($AX354:BD354),0)+IF(RIGHT(BZ$43,2)&gt;RIGHT($K354,2),BD354,0))</f>
        <v>0</v>
      </c>
      <c r="CA354" s="1277">
        <f>+IF($K354="Ongoing",BE354,IF(RIGHT($K354,2)=RIGHT(CA$43,2),SUM($AX354:BE354),0)+IF(RIGHT(CA$43,2)&gt;RIGHT($K354,2),BE354,0))</f>
        <v>0</v>
      </c>
      <c r="CB354" s="1277">
        <f>+IF($K354="Ongoing",BF354,IF(RIGHT($K354,2)=RIGHT(CB$43,2),SUM($AX354:BF354),0)+IF(RIGHT(CB$43,2)&gt;RIGHT($K354,2),BF354,0))</f>
        <v>0</v>
      </c>
      <c r="CC354" s="388">
        <f>+IF($K354="Ongoing",BG354,IF(RIGHT($K354,2)=RIGHT(CC$43,2),SUM($AX354:BG354),0)+IF(RIGHT(CC$43,2)&gt;RIGHT($K354,2),BG354,0))</f>
        <v>0</v>
      </c>
      <c r="CD354" s="1025"/>
      <c r="CE354" s="1282">
        <f>+Q354*KeyAssumptionsPriceControl_FO!AF$15</f>
        <v>0</v>
      </c>
      <c r="CF354" s="387">
        <f>+R354*KeyAssumptionsPriceControl_FO!AG$15</f>
        <v>0</v>
      </c>
      <c r="CG354" s="387">
        <f>+S354*KeyAssumptionsPriceControl_FO!AH$15</f>
        <v>0</v>
      </c>
      <c r="CH354" s="387">
        <f>+T354*KeyAssumptionsPriceControl_FO!AI$15</f>
        <v>0</v>
      </c>
      <c r="CI354" s="1283">
        <f>+U354*KeyAssumptionsPriceControl_FO!AJ$15</f>
        <v>0</v>
      </c>
      <c r="CJ354" s="386">
        <f>+V354*KeyAssumptionsPriceControl_FO!AK$15</f>
        <v>0</v>
      </c>
      <c r="CK354" s="387">
        <f>+W354*KeyAssumptionsPriceControl_FO!AL$15</f>
        <v>0</v>
      </c>
      <c r="CL354" s="1277">
        <f>+X354*KeyAssumptionsPriceControl_FO!AM$15</f>
        <v>0</v>
      </c>
      <c r="CM354" s="1277">
        <f>+Y354*KeyAssumptionsPriceControl_FO!AN$15</f>
        <v>0</v>
      </c>
      <c r="CN354" s="388">
        <f>+Z354*KeyAssumptionsPriceControl_FO!AO$15</f>
        <v>0</v>
      </c>
      <c r="CO354" s="1025"/>
      <c r="CP354" s="1282">
        <f t="shared" ca="1" si="591"/>
        <v>0</v>
      </c>
      <c r="CQ354" s="387">
        <f t="shared" ca="1" si="592"/>
        <v>0</v>
      </c>
      <c r="CR354" s="387">
        <f t="shared" ca="1" si="593"/>
        <v>0</v>
      </c>
      <c r="CS354" s="387">
        <f t="shared" ca="1" si="594"/>
        <v>0</v>
      </c>
      <c r="CT354" s="1283">
        <f t="shared" ca="1" si="595"/>
        <v>0</v>
      </c>
      <c r="CU354" s="386">
        <f t="shared" ca="1" si="596"/>
        <v>0</v>
      </c>
      <c r="CV354" s="387">
        <f t="shared" ca="1" si="597"/>
        <v>0</v>
      </c>
      <c r="CW354" s="1277">
        <f t="shared" ca="1" si="598"/>
        <v>0</v>
      </c>
      <c r="CX354" s="1277">
        <f t="shared" ca="1" si="599"/>
        <v>0</v>
      </c>
      <c r="CY354" s="388">
        <f t="shared" ca="1" si="600"/>
        <v>0</v>
      </c>
      <c r="CZ354" s="347"/>
      <c r="DA354" s="852"/>
      <c r="DB354" s="347"/>
      <c r="DC354" s="1012" t="s">
        <v>559</v>
      </c>
      <c r="DD354" s="841" t="s">
        <v>518</v>
      </c>
      <c r="DE354" s="386">
        <f>+IF($K354="ongoing",CE354,IF(RIGHT($K354,2)=RIGHT(DE$43,2),SUM($CD354:CE354),0)+IF(RIGHT(DE$43,2)&gt;RIGHT($K354,2),CE354,0))</f>
        <v>0</v>
      </c>
      <c r="DF354" s="387">
        <f>+IF($K354="ongoing",CF354,IF(RIGHT($K354,2)=RIGHT(DF$43,2),SUM($CD354:CF354),0)+IF(RIGHT(DF$43,2)&gt;RIGHT($K354,2),CF354,0))</f>
        <v>0</v>
      </c>
      <c r="DG354" s="388">
        <f>+IF($K354="ongoing",CG354,IF(RIGHT($K354,2)=RIGHT(DG$43,2),SUM($CD354:CG354),0)+IF(RIGHT(DG$43,2)&gt;RIGHT($K354,2),CG354,0))</f>
        <v>0</v>
      </c>
      <c r="DH354" s="386">
        <f>+IF($K354="ongoing",CH354,IF(RIGHT($K354,2)=RIGHT(DH$43,2),SUM($CD354:CH354),0)+IF(RIGHT(DH$43,2)&gt;RIGHT($K354,2),CH354,0))</f>
        <v>0</v>
      </c>
      <c r="DI354" s="387">
        <f>+IF($K354="ongoing",CI354,IF(RIGHT($K354,2)=RIGHT(DI$43,2),SUM($CD354:CI354),0)+IF(RIGHT(DI$43,2)&gt;RIGHT($K354,2),CI354,0))</f>
        <v>0</v>
      </c>
      <c r="DJ354" s="387">
        <f>+IF($K354="ongoing",CJ354,IF(RIGHT($K354,2)=RIGHT(DJ$43,2),SUM($CD354:CJ354),0)+IF(RIGHT(DJ$43,2)&gt;RIGHT($K354,2),CJ354,0))</f>
        <v>0</v>
      </c>
      <c r="DK354" s="387">
        <f>+IF($K354="ongoing",CK354,IF(RIGHT($K354,2)=RIGHT(DK$43,2),SUM($CD354:CK354),0)+IF(RIGHT(DK$43,2)&gt;RIGHT($K354,2),CK354,0))</f>
        <v>0</v>
      </c>
      <c r="DL354" s="388">
        <f>+IF($K354="ongoing",CN354,IF(RIGHT($K354,2)=RIGHT(DL$43,2),SUM($CD354:CN354),0)+IF(RIGHT(DL$43,2)&gt;RIGHT($K354,2),CN354,0))</f>
        <v>0</v>
      </c>
      <c r="DM354" s="841"/>
      <c r="DN354" s="386">
        <f t="shared" si="601"/>
        <v>0.5</v>
      </c>
      <c r="DO354" s="387">
        <f t="shared" si="602"/>
        <v>1</v>
      </c>
      <c r="DP354" s="388">
        <f t="shared" si="603"/>
        <v>1</v>
      </c>
      <c r="DQ354" s="386">
        <f t="shared" si="604"/>
        <v>1</v>
      </c>
      <c r="DR354" s="387">
        <f t="shared" si="605"/>
        <v>1</v>
      </c>
      <c r="DS354" s="387">
        <f t="shared" si="606"/>
        <v>1</v>
      </c>
      <c r="DT354" s="387">
        <f t="shared" si="607"/>
        <v>1</v>
      </c>
      <c r="DU354" s="388">
        <f t="shared" si="608"/>
        <v>1</v>
      </c>
      <c r="DW354" s="386">
        <f t="shared" si="609"/>
        <v>0</v>
      </c>
      <c r="DX354" s="387">
        <f t="shared" si="610"/>
        <v>0.5</v>
      </c>
      <c r="DY354" s="388">
        <f t="shared" si="611"/>
        <v>1</v>
      </c>
      <c r="DZ354" s="386">
        <f t="shared" si="612"/>
        <v>1</v>
      </c>
      <c r="EA354" s="387">
        <f t="shared" si="613"/>
        <v>1</v>
      </c>
      <c r="EB354" s="387">
        <f t="shared" si="614"/>
        <v>1</v>
      </c>
      <c r="EC354" s="387">
        <f t="shared" si="615"/>
        <v>1</v>
      </c>
      <c r="ED354" s="388">
        <f t="shared" si="616"/>
        <v>1</v>
      </c>
      <c r="EF354" s="834">
        <f>+IF(DN354=DM354,0,
IF(AND(EF$44&gt;1,DN354=$N354),1-SUM($EE354:EE354),
IF($N354&lt;=1,
IF($N354&gt;0,1/$N354,0),
IF(EF$44=1,0,VDB(1,0,$N354,INT(EF$44-1-1),MIN($N354,INT(EF$44-1-1)+1),$DC354,IF($DD354="No",1,0))/
IF(DM354&gt;=INT($N354),$N354-INT($N354),1)))*
IF(EF$44=1,0,
IF(INT(DN354)=INT(DM354),DN354-DM354,INT(DN354)-DM354))+
IF($N354&lt;=1,
IF($N354&gt;0,1/$N354,0),VDB(1,0,$N354,INT(EF$44-1),MIN($N354,INT(EF$44-1)+1),$DC354,IF($DD354="No",1,0))/
IF(DN354&gt;INT($N354),$N354-INT($N354),1))*
IF(EF$44=1,DN354,
IF(INT(DN354)=INT(DM354),0,DN354-INT(DN354)))))</f>
        <v>0</v>
      </c>
      <c r="EG354" s="835">
        <f>+IF(DO354=DN354,0,
IF(AND(EG$44&gt;1,DO354=$N354),1-SUM($EE354:EF354),
IF($N354&lt;=1,
IF($N354&gt;0,1/$N354,0),
IF(EG$44=1,0,VDB(1,0,$N354,INT(EG$44-1-1),MIN($N354,INT(EG$44-1-1)+1),$DC354,IF($DD354="No",1,0))/
IF(DN354&gt;=INT($N354),$N354-INT($N354),1)))*
IF(EG$44=1,0,
IF(INT(DO354)=INT(DN354),DO354-DN354,INT(DO354)-DN354))+
IF($N354&lt;=1,
IF($N354&gt;0,1/$N354,0),VDB(1,0,$N354,INT(EG$44-1),MIN($N354,INT(EG$44-1)+1),$DC354,IF($DD354="No",1,0))/
IF(DO354&gt;INT($N354),$N354-INT($N354),1))*
IF(EG$44=1,DO354,
IF(INT(DO354)=INT(DN354),0,DO354-INT(DO354)))))</f>
        <v>0</v>
      </c>
      <c r="EH354" s="836">
        <f>+IF(DP354=DO354,0,
IF(AND(EH$44&gt;1,DP354=$N354),1-SUM($EE354:EG354),
IF($N354&lt;=1,
IF($N354&gt;0,1/$N354,0),
IF(EH$44=1,0,VDB(1,0,$N354,INT(EH$44-1-1),MIN($N354,INT(EH$44-1-1)+1),$DC354,IF($DD354="No",1,0))/
IF(DO354&gt;=INT($N354),$N354-INT($N354),1)))*
IF(EH$44=1,0,
IF(INT(DP354)=INT(DO354),DP354-DO354,INT(DP354)-DO354))+
IF($N354&lt;=1,
IF($N354&gt;0,1/$N354,0),VDB(1,0,$N354,INT(EH$44-1),MIN($N354,INT(EH$44-1)+1),$DC354,IF($DD354="No",1,0))/
IF(DP354&gt;INT($N354),$N354-INT($N354),1))*
IF(EH$44=1,DP354,
IF(INT(DP354)=INT(DO354),0,DP354-INT(DP354)))))</f>
        <v>0</v>
      </c>
      <c r="EI354" s="834">
        <f>+IF(DQ354=DP354,0,
IF(AND(EI$44&gt;1,DQ354=$N354),1-SUM($EE354:EH354),
IF($N354&lt;=1,
IF($N354&gt;0,1/$N354,0),
IF(EI$44=1,0,VDB(1,0,$N354,INT(EI$44-1-1),MIN($N354,INT(EI$44-1-1)+1),$DC354,IF($DD354="No",1,0))/
IF(DP354&gt;=INT($N354),$N354-INT($N354),1)))*
IF(EI$44=1,0,
IF(INT(DQ354)=INT(DP354),DQ354-DP354,INT(DQ354)-DP354))+
IF($N354&lt;=1,
IF($N354&gt;0,1/$N354,0),VDB(1,0,$N354,INT(EI$44-1),MIN($N354,INT(EI$44-1)+1),$DC354,IF($DD354="No",1,0))/
IF(DQ354&gt;INT($N354),$N354-INT($N354),1))*
IF(EI$44=1,DQ354,
IF(INT(DQ354)=INT(DP354),0,DQ354-INT(DQ354)))))</f>
        <v>0</v>
      </c>
      <c r="EJ354" s="835">
        <f>+IF(DR354=DQ354,0,
IF(AND(EJ$44&gt;1,DR354=$N354),1-SUM($EE354:EI354),
IF($N354&lt;=1,
IF($N354&gt;0,1/$N354,0),
IF(EJ$44=1,0,VDB(1,0,$N354,INT(EJ$44-1-1),MIN($N354,INT(EJ$44-1-1)+1),$DC354,IF($DD354="No",1,0))/
IF(DQ354&gt;=INT($N354),$N354-INT($N354),1)))*
IF(EJ$44=1,0,
IF(INT(DR354)=INT(DQ354),DR354-DQ354,INT(DR354)-DQ354))+
IF($N354&lt;=1,
IF($N354&gt;0,1/$N354,0),VDB(1,0,$N354,INT(EJ$44-1),MIN($N354,INT(EJ$44-1)+1),$DC354,IF($DD354="No",1,0))/
IF(DR354&gt;INT($N354),$N354-INT($N354),1))*
IF(EJ$44=1,DR354,
IF(INT(DR354)=INT(DQ354),0,DR354-INT(DR354)))))</f>
        <v>0</v>
      </c>
      <c r="EK354" s="835">
        <f>+IF(DS354=DR354,0,
IF(AND(EK$44&gt;1,DS354=$N354),1-SUM($EE354:EJ354),
IF($N354&lt;=1,
IF($N354&gt;0,1/$N354,0),
IF(EK$44=1,0,VDB(1,0,$N354,INT(EK$44-1-1),MIN($N354,INT(EK$44-1-1)+1),$DC354,IF($DD354="No",1,0))/
IF(DR354&gt;=INT($N354),$N354-INT($N354),1)))*
IF(EK$44=1,0,
IF(INT(DS354)=INT(DR354),DS354-DR354,INT(DS354)-DR354))+
IF($N354&lt;=1,
IF($N354&gt;0,1/$N354,0),VDB(1,0,$N354,INT(EK$44-1),MIN($N354,INT(EK$44-1)+1),$DC354,IF($DD354="No",1,0))/
IF(DS354&gt;INT($N354),$N354-INT($N354),1))*
IF(EK$44=1,DS354,
IF(INT(DS354)=INT(DR354),0,DS354-INT(DS354)))))</f>
        <v>0</v>
      </c>
      <c r="EL354" s="835">
        <f>+IF(DT354=DS354,0,
IF(AND(EL$44&gt;1,DT354=$N354),1-SUM($EE354:EK354),
IF($N354&lt;=1,
IF($N354&gt;0,1/$N354,0),
IF(EL$44=1,0,VDB(1,0,$N354,INT(EL$44-1-1),MIN($N354,INT(EL$44-1-1)+1),$DC354,IF($DD354="No",1,0))/
IF(DS354&gt;=INT($N354),$N354-INT($N354),1)))*
IF(EL$44=1,0,
IF(INT(DT354)=INT(DS354),DT354-DS354,INT(DT354)-DS354))+
IF($N354&lt;=1,
IF($N354&gt;0,1/$N354,0),VDB(1,0,$N354,INT(EL$44-1),MIN($N354,INT(EL$44-1)+1),$DC354,IF($DD354="No",1,0))/
IF(DT354&gt;INT($N354),$N354-INT($N354),1))*
IF(EL$44=1,DT354,
IF(INT(DT354)=INT(DS354),0,DT354-INT(DT354)))))</f>
        <v>0</v>
      </c>
      <c r="EM354" s="836">
        <f>+IF(DU354=DT354,0,
IF(AND(EM$44&gt;1,DU354=$N354),1-SUM($EE354:EL354),
IF($N354&lt;=1,
IF($N354&gt;0,1/$N354,0),
IF(EM$44=1,0,VDB(1,0,$N354,INT(EM$44-1-1),MIN($N354,INT(EM$44-1-1)+1),$DC354,IF($DD354="No",1,0))/
IF(DT354&gt;=INT($N354),$N354-INT($N354),1)))*
IF(EM$44=1,0,
IF(INT(DU354)=INT(DT354),DU354-DT354,INT(DU354)-DT354))+
IF($N354&lt;=1,
IF($N354&gt;0,1/$N354,0),VDB(1,0,$N354,INT(EM$44-1),MIN($N354,INT(EM$44-1)+1),$DC354,IF($DD354="No",1,0))/
IF(DU354&gt;INT($N354),$N354-INT($N354),1))*
IF(EM$44=1,DU354,
IF(INT(DU354)=INT(DT354),0,DU354-INT(DU354)))))</f>
        <v>0</v>
      </c>
      <c r="EN354" s="833"/>
      <c r="EO354" s="834">
        <f>+IF(OR(DW354=DV354,EO$44=1),0,
IF(AND(EO$44&gt;1,DW354=$N354),1-SUM($EN354:EN354),
IF($N354&lt;=1,
IF($N354&gt;0,1/$N354,0),
IF(EO$44=2,0,VDB(1,0,$N354,INT(EO$44-2-1),MIN($N354,INT(EO$44-2-1)+1),$DC354,IF($DD354="No",1,0))/
IF(DV354&gt;=INT($N354),$N354-INT($N354),1)))*
IF(EO$44=2,0,
IF(INT(DW354)=INT(DV354),DW354-DV354,INT(DW354)-DV354))+
IF($N354&lt;=1,
IF($N354&gt;0,1/$N354,0),VDB(1,0,$N354,INT(EO$44-2),MIN($N354,INT(EO$44-2)+1),$DC354,IF($DD354="No",1,0))/
IF(DW354&gt;INT($N354),$N354-INT($N354),1))*
IF(EO$44=2,DW354,
IF(INT(DW354)=INT(DV354),0,DW354-INT(DW354)))))</f>
        <v>0</v>
      </c>
      <c r="EP354" s="835">
        <f>+IF(OR(DX354=DW354,EP$44=1),0,
IF(AND(EP$44&gt;1,DX354=$N354),1-SUM($EN354:EO354),
IF($N354&lt;=1,
IF($N354&gt;0,1/$N354,0),
IF(EP$44=2,0,VDB(1,0,$N354,INT(EP$44-2-1),MIN($N354,INT(EP$44-2-1)+1),$DC354,IF($DD354="No",1,0))/
IF(DW354&gt;=INT($N354),$N354-INT($N354),1)))*
IF(EP$44=2,0,
IF(INT(DX354)=INT(DW354),DX354-DW354,INT(DX354)-DW354))+
IF($N354&lt;=1,
IF($N354&gt;0,1/$N354,0),VDB(1,0,$N354,INT(EP$44-2),MIN($N354,INT(EP$44-2)+1),$DC354,IF($DD354="No",1,0))/
IF(DX354&gt;INT($N354),$N354-INT($N354),1))*
IF(EP$44=2,DX354,
IF(INT(DX354)=INT(DW354),0,DX354-INT(DX354)))))</f>
        <v>0</v>
      </c>
      <c r="EQ354" s="836">
        <f>+IF(OR(DY354=DX354,EQ$44=1),0,
IF(AND(EQ$44&gt;1,DY354=$N354),1-SUM($EN354:EP354),
IF($N354&lt;=1,
IF($N354&gt;0,1/$N354,0),
IF(EQ$44=2,0,VDB(1,0,$N354,INT(EQ$44-2-1),MIN($N354,INT(EQ$44-2-1)+1),$DC354,IF($DD354="No",1,0))/
IF(DX354&gt;=INT($N354),$N354-INT($N354),1)))*
IF(EQ$44=2,0,
IF(INT(DY354)=INT(DX354),DY354-DX354,INT(DY354)-DX354))+
IF($N354&lt;=1,
IF($N354&gt;0,1/$N354,0),VDB(1,0,$N354,INT(EQ$44-2),MIN($N354,INT(EQ$44-2)+1),$DC354,IF($DD354="No",1,0))/
IF(DY354&gt;INT($N354),$N354-INT($N354),1))*
IF(EQ$44=2,DY354,
IF(INT(DY354)=INT(DX354),0,DY354-INT(DY354)))))</f>
        <v>0</v>
      </c>
      <c r="ER354" s="834">
        <f>+IF(OR(DZ354=DY354,ER$44=1),0,
IF(AND(ER$44&gt;1,DZ354=$N354),1-SUM($EN354:EQ354),
IF($N354&lt;=1,
IF($N354&gt;0,1/$N354,0),
IF(ER$44=2,0,VDB(1,0,$N354,INT(ER$44-2-1),MIN($N354,INT(ER$44-2-1)+1),$DC354,IF($DD354="No",1,0))/
IF(DY354&gt;=INT($N354),$N354-INT($N354),1)))*
IF(ER$44=2,0,
IF(INT(DZ354)=INT(DY354),DZ354-DY354,INT(DZ354)-DY354))+
IF($N354&lt;=1,
IF($N354&gt;0,1/$N354,0),VDB(1,0,$N354,INT(ER$44-2),MIN($N354,INT(ER$44-2)+1),$DC354,IF($DD354="No",1,0))/
IF(DZ354&gt;INT($N354),$N354-INT($N354),1))*
IF(ER$44=2,DZ354,
IF(INT(DZ354)=INT(DY354),0,DZ354-INT(DZ354)))))</f>
        <v>0</v>
      </c>
      <c r="ES354" s="835">
        <f>+IF(OR(EA354=DZ354,ES$44=1),0,
IF(AND(ES$44&gt;1,EA354=$N354),1-SUM($EN354:ER354),
IF($N354&lt;=1,
IF($N354&gt;0,1/$N354,0),
IF(ES$44=2,0,VDB(1,0,$N354,INT(ES$44-2-1),MIN($N354,INT(ES$44-2-1)+1),$DC354,IF($DD354="No",1,0))/
IF(DZ354&gt;=INT($N354),$N354-INT($N354),1)))*
IF(ES$44=2,0,
IF(INT(EA354)=INT(DZ354),EA354-DZ354,INT(EA354)-DZ354))+
IF($N354&lt;=1,
IF($N354&gt;0,1/$N354,0),VDB(1,0,$N354,INT(ES$44-2),MIN($N354,INT(ES$44-2)+1),$DC354,IF($DD354="No",1,0))/
IF(EA354&gt;INT($N354),$N354-INT($N354),1))*
IF(ES$44=2,EA354,
IF(INT(EA354)=INT(DZ354),0,EA354-INT(EA354)))))</f>
        <v>0</v>
      </c>
      <c r="ET354" s="835">
        <f>+IF(OR(EB354=EA354,ET$44=1),0,
IF(AND(ET$44&gt;1,EB354=$N354),1-SUM($EN354:ES354),
IF($N354&lt;=1,
IF($N354&gt;0,1/$N354,0),
IF(ET$44=2,0,VDB(1,0,$N354,INT(ET$44-2-1),MIN($N354,INT(ET$44-2-1)+1),$DC354,IF($DD354="No",1,0))/
IF(EA354&gt;=INT($N354),$N354-INT($N354),1)))*
IF(ET$44=2,0,
IF(INT(EB354)=INT(EA354),EB354-EA354,INT(EB354)-EA354))+
IF($N354&lt;=1,
IF($N354&gt;0,1/$N354,0),VDB(1,0,$N354,INT(ET$44-2),MIN($N354,INT(ET$44-2)+1),$DC354,IF($DD354="No",1,0))/
IF(EB354&gt;INT($N354),$N354-INT($N354),1))*
IF(ET$44=2,EB354,
IF(INT(EB354)=INT(EA354),0,EB354-INT(EB354)))))</f>
        <v>0</v>
      </c>
      <c r="EU354" s="835">
        <f>+IF(OR(EC354=EB354,EU$44=1),0,
IF(AND(EU$44&gt;1,EC354=$N354),1-SUM($EN354:ET354),
IF($N354&lt;=1,
IF($N354&gt;0,1/$N354,0),
IF(EU$44=2,0,VDB(1,0,$N354,INT(EU$44-2-1),MIN($N354,INT(EU$44-2-1)+1),$DC354,IF($DD354="No",1,0))/
IF(EB354&gt;=INT($N354),$N354-INT($N354),1)))*
IF(EU$44=2,0,
IF(INT(EC354)=INT(EB354),EC354-EB354,INT(EC354)-EB354))+
IF($N354&lt;=1,
IF($N354&gt;0,1/$N354,0),VDB(1,0,$N354,INT(EU$44-2),MIN($N354,INT(EU$44-2)+1),$DC354,IF($DD354="No",1,0))/
IF(EC354&gt;INT($N354),$N354-INT($N354),1))*
IF(EU$44=2,EC354,
IF(INT(EC354)=INT(EB354),0,EC354-INT(EC354)))))</f>
        <v>0</v>
      </c>
      <c r="EV354" s="836">
        <f>+IF(OR(ED354=EC354,EV$44=1),0,
IF(AND(EV$44&gt;1,ED354=$N354),1-SUM($EN354:EU354),
IF($N354&lt;=1,
IF($N354&gt;0,1/$N354,0),
IF(EV$44=2,0,VDB(1,0,$N354,INT(EV$44-2-1),MIN($N354,INT(EV$44-2-1)+1),$DC354,IF($DD354="No",1,0))/
IF(EC354&gt;=INT($N354),$N354-INT($N354),1)))*
IF(EV$44=2,0,
IF(INT(ED354)=INT(EC354),ED354-EC354,INT(ED354)-EC354))+
IF($N354&lt;=1,
IF($N354&gt;0,1/$N354,0),VDB(1,0,$N354,INT(EV$44-2),MIN($N354,INT(EV$44-2)+1),$DC354,IF($DD354="No",1,0))/
IF(ED354&gt;INT($N354),$N354-INT($N354),1))*
IF(EV$44=2,ED354,
IF(INT(ED354)=INT(EC354),0,ED354-INT(ED354)))))</f>
        <v>0</v>
      </c>
      <c r="EW354" s="833"/>
      <c r="EX354" s="834">
        <f t="shared" ca="1" si="570"/>
        <v>0</v>
      </c>
      <c r="EY354" s="835">
        <f t="shared" ca="1" si="570"/>
        <v>0</v>
      </c>
      <c r="EZ354" s="836">
        <f t="shared" ca="1" si="570"/>
        <v>0</v>
      </c>
      <c r="FA354" s="834">
        <f t="shared" ca="1" si="570"/>
        <v>0</v>
      </c>
      <c r="FB354" s="835">
        <f t="shared" ca="1" si="570"/>
        <v>0</v>
      </c>
      <c r="FC354" s="835">
        <f t="shared" ca="1" si="570"/>
        <v>0</v>
      </c>
      <c r="FD354" s="835">
        <f t="shared" ca="1" si="570"/>
        <v>0</v>
      </c>
      <c r="FE354" s="836">
        <f t="shared" ca="1" si="570"/>
        <v>0</v>
      </c>
      <c r="FG354" s="386">
        <f t="shared" ca="1" si="617"/>
        <v>0</v>
      </c>
      <c r="FH354" s="387">
        <f t="shared" ca="1" si="618"/>
        <v>0</v>
      </c>
      <c r="FI354" s="388">
        <f t="shared" ca="1" si="619"/>
        <v>0</v>
      </c>
      <c r="FJ354" s="386">
        <f t="shared" ca="1" si="620"/>
        <v>0</v>
      </c>
      <c r="FK354" s="387">
        <f t="shared" ca="1" si="621"/>
        <v>0</v>
      </c>
      <c r="FL354" s="387">
        <f t="shared" ca="1" si="622"/>
        <v>0</v>
      </c>
      <c r="FM354" s="387">
        <f t="shared" ca="1" si="623"/>
        <v>0</v>
      </c>
      <c r="FN354" s="388">
        <f t="shared" ca="1" si="624"/>
        <v>0</v>
      </c>
      <c r="FR354" s="116"/>
    </row>
    <row r="355" spans="2:174">
      <c r="B355" s="1410">
        <f t="shared" si="556"/>
        <v>309</v>
      </c>
      <c r="C355" s="400"/>
      <c r="D355" s="410"/>
      <c r="E355" s="402"/>
      <c r="F355" s="402"/>
      <c r="G355" s="400"/>
      <c r="H355" s="2088"/>
      <c r="I355" s="2089"/>
      <c r="J355" s="411"/>
      <c r="K355" s="403"/>
      <c r="L355" s="403"/>
      <c r="M355" s="403"/>
      <c r="N355" s="403"/>
      <c r="O355" s="347"/>
      <c r="P355" s="347"/>
      <c r="Q355" s="1021"/>
      <c r="R355" s="1022"/>
      <c r="S355" s="1022"/>
      <c r="T355" s="1022"/>
      <c r="U355" s="1023"/>
      <c r="V355" s="1021"/>
      <c r="W355" s="1022"/>
      <c r="X355" s="1022"/>
      <c r="Y355" s="1022"/>
      <c r="Z355" s="1023"/>
      <c r="AA355" s="1024"/>
      <c r="AB355" s="1021"/>
      <c r="AC355" s="1022"/>
      <c r="AD355" s="1022"/>
      <c r="AE355" s="1022"/>
      <c r="AF355" s="1023"/>
      <c r="AG355" s="1021"/>
      <c r="AH355" s="1022"/>
      <c r="AI355" s="1022"/>
      <c r="AJ355" s="1022"/>
      <c r="AK355" s="1023"/>
      <c r="AL355" s="1024"/>
      <c r="AM355" s="1021"/>
      <c r="AN355" s="1022"/>
      <c r="AO355" s="1022"/>
      <c r="AP355" s="1022"/>
      <c r="AQ355" s="1023"/>
      <c r="AR355" s="1021"/>
      <c r="AS355" s="1022"/>
      <c r="AT355" s="1022"/>
      <c r="AU355" s="1022"/>
      <c r="AV355" s="1023"/>
      <c r="AW355" s="1025"/>
      <c r="AX355" s="1282">
        <f t="shared" si="571"/>
        <v>0</v>
      </c>
      <c r="AY355" s="387">
        <f t="shared" si="572"/>
        <v>0</v>
      </c>
      <c r="AZ355" s="387">
        <f t="shared" si="573"/>
        <v>0</v>
      </c>
      <c r="BA355" s="387">
        <f t="shared" si="574"/>
        <v>0</v>
      </c>
      <c r="BB355" s="1283">
        <f t="shared" si="575"/>
        <v>0</v>
      </c>
      <c r="BC355" s="386">
        <f t="shared" si="576"/>
        <v>0</v>
      </c>
      <c r="BD355" s="387">
        <f t="shared" si="577"/>
        <v>0</v>
      </c>
      <c r="BE355" s="1277">
        <f t="shared" si="578"/>
        <v>0</v>
      </c>
      <c r="BF355" s="1277">
        <f t="shared" si="579"/>
        <v>0</v>
      </c>
      <c r="BG355" s="388">
        <f t="shared" si="580"/>
        <v>0</v>
      </c>
      <c r="BH355" s="1025"/>
      <c r="BI355" s="1282">
        <f t="shared" ca="1" si="581"/>
        <v>0</v>
      </c>
      <c r="BJ355" s="387">
        <f t="shared" ca="1" si="582"/>
        <v>0</v>
      </c>
      <c r="BK355" s="387">
        <f t="shared" ca="1" si="583"/>
        <v>0</v>
      </c>
      <c r="BL355" s="387">
        <f t="shared" ca="1" si="584"/>
        <v>0</v>
      </c>
      <c r="BM355" s="1283">
        <f t="shared" ca="1" si="585"/>
        <v>0</v>
      </c>
      <c r="BN355" s="386">
        <f t="shared" ca="1" si="586"/>
        <v>0</v>
      </c>
      <c r="BO355" s="387">
        <f t="shared" ca="1" si="587"/>
        <v>0</v>
      </c>
      <c r="BP355" s="1277">
        <f t="shared" ca="1" si="588"/>
        <v>0</v>
      </c>
      <c r="BQ355" s="1277">
        <f t="shared" ca="1" si="589"/>
        <v>0</v>
      </c>
      <c r="BR355" s="388">
        <f t="shared" ca="1" si="590"/>
        <v>0</v>
      </c>
      <c r="BS355" s="1025"/>
      <c r="BT355" s="1282">
        <f>+IF($K355="Ongoing",AX355,IF(RIGHT($K355,2)=RIGHT(BT$43,2),SUM($AX355:AX355),0)+IF(RIGHT(BT$43,2)&gt;RIGHT($K355,2),AX355,0))</f>
        <v>0</v>
      </c>
      <c r="BU355" s="387">
        <f>+IF($K355="Ongoing",AY355,IF(RIGHT($K355,2)=RIGHT(BU$43,2),SUM($AX355:AY355),0)+IF(RIGHT(BU$43,2)&gt;RIGHT($K355,2),AY355,0))</f>
        <v>0</v>
      </c>
      <c r="BV355" s="387">
        <f>+IF($K355="Ongoing",AZ355,IF(RIGHT($K355,2)=RIGHT(BV$43,2),SUM($AX355:AZ355),0)+IF(RIGHT(BV$43,2)&gt;RIGHT($K355,2),AZ355,0))</f>
        <v>0</v>
      </c>
      <c r="BW355" s="387">
        <f>+IF($K355="Ongoing",BA355,IF(RIGHT($K355,2)=RIGHT(BW$43,2),SUM($AX355:BA355),0)+IF(RIGHT(BW$43,2)&gt;RIGHT($K355,2),BA355,0))</f>
        <v>0</v>
      </c>
      <c r="BX355" s="1283">
        <f>+IF($K355="Ongoing",BB355,IF(RIGHT($K355,2)=RIGHT(BX$43,2),SUM($AX355:BB355),0)+IF(RIGHT(BX$43,2)&gt;RIGHT($K355,2),BB355,0))</f>
        <v>0</v>
      </c>
      <c r="BY355" s="386">
        <f>+IF($K355="Ongoing",BC355,IF(RIGHT($K355,2)=RIGHT(BY$43,2),SUM($AX355:BC355),0)+IF(RIGHT(BY$43,2)&gt;RIGHT($K355,2),BC355,0))</f>
        <v>0</v>
      </c>
      <c r="BZ355" s="387">
        <f>+IF($K355="Ongoing",BD355,IF(RIGHT($K355,2)=RIGHT(BZ$43,2),SUM($AX355:BD355),0)+IF(RIGHT(BZ$43,2)&gt;RIGHT($K355,2),BD355,0))</f>
        <v>0</v>
      </c>
      <c r="CA355" s="1277">
        <f>+IF($K355="Ongoing",BE355,IF(RIGHT($K355,2)=RIGHT(CA$43,2),SUM($AX355:BE355),0)+IF(RIGHT(CA$43,2)&gt;RIGHT($K355,2),BE355,0))</f>
        <v>0</v>
      </c>
      <c r="CB355" s="1277">
        <f>+IF($K355="Ongoing",BF355,IF(RIGHT($K355,2)=RIGHT(CB$43,2),SUM($AX355:BF355),0)+IF(RIGHT(CB$43,2)&gt;RIGHT($K355,2),BF355,0))</f>
        <v>0</v>
      </c>
      <c r="CC355" s="388">
        <f>+IF($K355="Ongoing",BG355,IF(RIGHT($K355,2)=RIGHT(CC$43,2),SUM($AX355:BG355),0)+IF(RIGHT(CC$43,2)&gt;RIGHT($K355,2),BG355,0))</f>
        <v>0</v>
      </c>
      <c r="CD355" s="1025"/>
      <c r="CE355" s="1282">
        <f>+Q355*KeyAssumptionsPriceControl_FO!AF$15</f>
        <v>0</v>
      </c>
      <c r="CF355" s="387">
        <f>+R355*KeyAssumptionsPriceControl_FO!AG$15</f>
        <v>0</v>
      </c>
      <c r="CG355" s="387">
        <f>+S355*KeyAssumptionsPriceControl_FO!AH$15</f>
        <v>0</v>
      </c>
      <c r="CH355" s="387">
        <f>+T355*KeyAssumptionsPriceControl_FO!AI$15</f>
        <v>0</v>
      </c>
      <c r="CI355" s="1283">
        <f>+U355*KeyAssumptionsPriceControl_FO!AJ$15</f>
        <v>0</v>
      </c>
      <c r="CJ355" s="386">
        <f>+V355*KeyAssumptionsPriceControl_FO!AK$15</f>
        <v>0</v>
      </c>
      <c r="CK355" s="387">
        <f>+W355*KeyAssumptionsPriceControl_FO!AL$15</f>
        <v>0</v>
      </c>
      <c r="CL355" s="1277">
        <f>+X355*KeyAssumptionsPriceControl_FO!AM$15</f>
        <v>0</v>
      </c>
      <c r="CM355" s="1277">
        <f>+Y355*KeyAssumptionsPriceControl_FO!AN$15</f>
        <v>0</v>
      </c>
      <c r="CN355" s="388">
        <f>+Z355*KeyAssumptionsPriceControl_FO!AO$15</f>
        <v>0</v>
      </c>
      <c r="CO355" s="1025"/>
      <c r="CP355" s="1282">
        <f t="shared" ca="1" si="591"/>
        <v>0</v>
      </c>
      <c r="CQ355" s="387">
        <f t="shared" ca="1" si="592"/>
        <v>0</v>
      </c>
      <c r="CR355" s="387">
        <f t="shared" ca="1" si="593"/>
        <v>0</v>
      </c>
      <c r="CS355" s="387">
        <f t="shared" ca="1" si="594"/>
        <v>0</v>
      </c>
      <c r="CT355" s="1283">
        <f t="shared" ca="1" si="595"/>
        <v>0</v>
      </c>
      <c r="CU355" s="386">
        <f t="shared" ca="1" si="596"/>
        <v>0</v>
      </c>
      <c r="CV355" s="387">
        <f t="shared" ca="1" si="597"/>
        <v>0</v>
      </c>
      <c r="CW355" s="1277">
        <f t="shared" ca="1" si="598"/>
        <v>0</v>
      </c>
      <c r="CX355" s="1277">
        <f t="shared" ca="1" si="599"/>
        <v>0</v>
      </c>
      <c r="CY355" s="388">
        <f t="shared" ca="1" si="600"/>
        <v>0</v>
      </c>
      <c r="CZ355" s="347"/>
      <c r="DA355" s="852"/>
      <c r="DB355" s="347"/>
      <c r="DC355" s="1012" t="s">
        <v>560</v>
      </c>
      <c r="DD355" s="841" t="s">
        <v>518</v>
      </c>
      <c r="DE355" s="386">
        <f>+IF($K355="ongoing",CE355,IF(RIGHT($K355,2)=RIGHT(DE$43,2),SUM($CD355:CE355),0)+IF(RIGHT(DE$43,2)&gt;RIGHT($K355,2),CE355,0))</f>
        <v>0</v>
      </c>
      <c r="DF355" s="387">
        <f>+IF($K355="ongoing",CF355,IF(RIGHT($K355,2)=RIGHT(DF$43,2),SUM($CD355:CF355),0)+IF(RIGHT(DF$43,2)&gt;RIGHT($K355,2),CF355,0))</f>
        <v>0</v>
      </c>
      <c r="DG355" s="388">
        <f>+IF($K355="ongoing",CG355,IF(RIGHT($K355,2)=RIGHT(DG$43,2),SUM($CD355:CG355),0)+IF(RIGHT(DG$43,2)&gt;RIGHT($K355,2),CG355,0))</f>
        <v>0</v>
      </c>
      <c r="DH355" s="386">
        <f>+IF($K355="ongoing",CH355,IF(RIGHT($K355,2)=RIGHT(DH$43,2),SUM($CD355:CH355),0)+IF(RIGHT(DH$43,2)&gt;RIGHT($K355,2),CH355,0))</f>
        <v>0</v>
      </c>
      <c r="DI355" s="387">
        <f>+IF($K355="ongoing",CI355,IF(RIGHT($K355,2)=RIGHT(DI$43,2),SUM($CD355:CI355),0)+IF(RIGHT(DI$43,2)&gt;RIGHT($K355,2),CI355,0))</f>
        <v>0</v>
      </c>
      <c r="DJ355" s="387">
        <f>+IF($K355="ongoing",CJ355,IF(RIGHT($K355,2)=RIGHT(DJ$43,2),SUM($CD355:CJ355),0)+IF(RIGHT(DJ$43,2)&gt;RIGHT($K355,2),CJ355,0))</f>
        <v>0</v>
      </c>
      <c r="DK355" s="387">
        <f>+IF($K355="ongoing",CK355,IF(RIGHT($K355,2)=RIGHT(DK$43,2),SUM($CD355:CK355),0)+IF(RIGHT(DK$43,2)&gt;RIGHT($K355,2),CK355,0))</f>
        <v>0</v>
      </c>
      <c r="DL355" s="388">
        <f>+IF($K355="ongoing",CN355,IF(RIGHT($K355,2)=RIGHT(DL$43,2),SUM($CD355:CN355),0)+IF(RIGHT(DL$43,2)&gt;RIGHT($K355,2),CN355,0))</f>
        <v>0</v>
      </c>
      <c r="DM355" s="841"/>
      <c r="DN355" s="386">
        <f t="shared" si="601"/>
        <v>0.5</v>
      </c>
      <c r="DO355" s="387">
        <f t="shared" si="602"/>
        <v>1</v>
      </c>
      <c r="DP355" s="388">
        <f t="shared" si="603"/>
        <v>1</v>
      </c>
      <c r="DQ355" s="386">
        <f t="shared" si="604"/>
        <v>1</v>
      </c>
      <c r="DR355" s="387">
        <f t="shared" si="605"/>
        <v>1</v>
      </c>
      <c r="DS355" s="387">
        <f t="shared" si="606"/>
        <v>1</v>
      </c>
      <c r="DT355" s="387">
        <f t="shared" si="607"/>
        <v>1</v>
      </c>
      <c r="DU355" s="388">
        <f t="shared" si="608"/>
        <v>1</v>
      </c>
      <c r="DW355" s="386">
        <f t="shared" si="609"/>
        <v>0</v>
      </c>
      <c r="DX355" s="387">
        <f t="shared" si="610"/>
        <v>0.5</v>
      </c>
      <c r="DY355" s="388">
        <f t="shared" si="611"/>
        <v>1</v>
      </c>
      <c r="DZ355" s="386">
        <f t="shared" si="612"/>
        <v>1</v>
      </c>
      <c r="EA355" s="387">
        <f t="shared" si="613"/>
        <v>1</v>
      </c>
      <c r="EB355" s="387">
        <f t="shared" si="614"/>
        <v>1</v>
      </c>
      <c r="EC355" s="387">
        <f t="shared" si="615"/>
        <v>1</v>
      </c>
      <c r="ED355" s="388">
        <f t="shared" si="616"/>
        <v>1</v>
      </c>
      <c r="EF355" s="834">
        <f>+IF(DN355=DM355,0,
IF(AND(EF$44&gt;1,DN355=$N355),1-SUM($EE355:EE355),
IF($N355&lt;=1,
IF($N355&gt;0,1/$N355,0),
IF(EF$44=1,0,VDB(1,0,$N355,INT(EF$44-1-1),MIN($N355,INT(EF$44-1-1)+1),$DC355,IF($DD355="No",1,0))/
IF(DM355&gt;=INT($N355),$N355-INT($N355),1)))*
IF(EF$44=1,0,
IF(INT(DN355)=INT(DM355),DN355-DM355,INT(DN355)-DM355))+
IF($N355&lt;=1,
IF($N355&gt;0,1/$N355,0),VDB(1,0,$N355,INT(EF$44-1),MIN($N355,INT(EF$44-1)+1),$DC355,IF($DD355="No",1,0))/
IF(DN355&gt;INT($N355),$N355-INT($N355),1))*
IF(EF$44=1,DN355,
IF(INT(DN355)=INT(DM355),0,DN355-INT(DN355)))))</f>
        <v>0</v>
      </c>
      <c r="EG355" s="835">
        <f>+IF(DO355=DN355,0,
IF(AND(EG$44&gt;1,DO355=$N355),1-SUM($EE355:EF355),
IF($N355&lt;=1,
IF($N355&gt;0,1/$N355,0),
IF(EG$44=1,0,VDB(1,0,$N355,INT(EG$44-1-1),MIN($N355,INT(EG$44-1-1)+1),$DC355,IF($DD355="No",1,0))/
IF(DN355&gt;=INT($N355),$N355-INT($N355),1)))*
IF(EG$44=1,0,
IF(INT(DO355)=INT(DN355),DO355-DN355,INT(DO355)-DN355))+
IF($N355&lt;=1,
IF($N355&gt;0,1/$N355,0),VDB(1,0,$N355,INT(EG$44-1),MIN($N355,INT(EG$44-1)+1),$DC355,IF($DD355="No",1,0))/
IF(DO355&gt;INT($N355),$N355-INT($N355),1))*
IF(EG$44=1,DO355,
IF(INT(DO355)=INT(DN355),0,DO355-INT(DO355)))))</f>
        <v>0</v>
      </c>
      <c r="EH355" s="836">
        <f>+IF(DP355=DO355,0,
IF(AND(EH$44&gt;1,DP355=$N355),1-SUM($EE355:EG355),
IF($N355&lt;=1,
IF($N355&gt;0,1/$N355,0),
IF(EH$44=1,0,VDB(1,0,$N355,INT(EH$44-1-1),MIN($N355,INT(EH$44-1-1)+1),$DC355,IF($DD355="No",1,0))/
IF(DO355&gt;=INT($N355),$N355-INT($N355),1)))*
IF(EH$44=1,0,
IF(INT(DP355)=INT(DO355),DP355-DO355,INT(DP355)-DO355))+
IF($N355&lt;=1,
IF($N355&gt;0,1/$N355,0),VDB(1,0,$N355,INT(EH$44-1),MIN($N355,INT(EH$44-1)+1),$DC355,IF($DD355="No",1,0))/
IF(DP355&gt;INT($N355),$N355-INT($N355),1))*
IF(EH$44=1,DP355,
IF(INT(DP355)=INT(DO355),0,DP355-INT(DP355)))))</f>
        <v>0</v>
      </c>
      <c r="EI355" s="834">
        <f>+IF(DQ355=DP355,0,
IF(AND(EI$44&gt;1,DQ355=$N355),1-SUM($EE355:EH355),
IF($N355&lt;=1,
IF($N355&gt;0,1/$N355,0),
IF(EI$44=1,0,VDB(1,0,$N355,INT(EI$44-1-1),MIN($N355,INT(EI$44-1-1)+1),$DC355,IF($DD355="No",1,0))/
IF(DP355&gt;=INT($N355),$N355-INT($N355),1)))*
IF(EI$44=1,0,
IF(INT(DQ355)=INT(DP355),DQ355-DP355,INT(DQ355)-DP355))+
IF($N355&lt;=1,
IF($N355&gt;0,1/$N355,0),VDB(1,0,$N355,INT(EI$44-1),MIN($N355,INT(EI$44-1)+1),$DC355,IF($DD355="No",1,0))/
IF(DQ355&gt;INT($N355),$N355-INT($N355),1))*
IF(EI$44=1,DQ355,
IF(INT(DQ355)=INT(DP355),0,DQ355-INT(DQ355)))))</f>
        <v>0</v>
      </c>
      <c r="EJ355" s="835">
        <f>+IF(DR355=DQ355,0,
IF(AND(EJ$44&gt;1,DR355=$N355),1-SUM($EE355:EI355),
IF($N355&lt;=1,
IF($N355&gt;0,1/$N355,0),
IF(EJ$44=1,0,VDB(1,0,$N355,INT(EJ$44-1-1),MIN($N355,INT(EJ$44-1-1)+1),$DC355,IF($DD355="No",1,0))/
IF(DQ355&gt;=INT($N355),$N355-INT($N355),1)))*
IF(EJ$44=1,0,
IF(INT(DR355)=INT(DQ355),DR355-DQ355,INT(DR355)-DQ355))+
IF($N355&lt;=1,
IF($N355&gt;0,1/$N355,0),VDB(1,0,$N355,INT(EJ$44-1),MIN($N355,INT(EJ$44-1)+1),$DC355,IF($DD355="No",1,0))/
IF(DR355&gt;INT($N355),$N355-INT($N355),1))*
IF(EJ$44=1,DR355,
IF(INT(DR355)=INT(DQ355),0,DR355-INT(DR355)))))</f>
        <v>0</v>
      </c>
      <c r="EK355" s="835">
        <f>+IF(DS355=DR355,0,
IF(AND(EK$44&gt;1,DS355=$N355),1-SUM($EE355:EJ355),
IF($N355&lt;=1,
IF($N355&gt;0,1/$N355,0),
IF(EK$44=1,0,VDB(1,0,$N355,INT(EK$44-1-1),MIN($N355,INT(EK$44-1-1)+1),$DC355,IF($DD355="No",1,0))/
IF(DR355&gt;=INT($N355),$N355-INT($N355),1)))*
IF(EK$44=1,0,
IF(INT(DS355)=INT(DR355),DS355-DR355,INT(DS355)-DR355))+
IF($N355&lt;=1,
IF($N355&gt;0,1/$N355,0),VDB(1,0,$N355,INT(EK$44-1),MIN($N355,INT(EK$44-1)+1),$DC355,IF($DD355="No",1,0))/
IF(DS355&gt;INT($N355),$N355-INT($N355),1))*
IF(EK$44=1,DS355,
IF(INT(DS355)=INT(DR355),0,DS355-INT(DS355)))))</f>
        <v>0</v>
      </c>
      <c r="EL355" s="835">
        <f>+IF(DT355=DS355,0,
IF(AND(EL$44&gt;1,DT355=$N355),1-SUM($EE355:EK355),
IF($N355&lt;=1,
IF($N355&gt;0,1/$N355,0),
IF(EL$44=1,0,VDB(1,0,$N355,INT(EL$44-1-1),MIN($N355,INT(EL$44-1-1)+1),$DC355,IF($DD355="No",1,0))/
IF(DS355&gt;=INT($N355),$N355-INT($N355),1)))*
IF(EL$44=1,0,
IF(INT(DT355)=INT(DS355),DT355-DS355,INT(DT355)-DS355))+
IF($N355&lt;=1,
IF($N355&gt;0,1/$N355,0),VDB(1,0,$N355,INT(EL$44-1),MIN($N355,INT(EL$44-1)+1),$DC355,IF($DD355="No",1,0))/
IF(DT355&gt;INT($N355),$N355-INT($N355),1))*
IF(EL$44=1,DT355,
IF(INT(DT355)=INT(DS355),0,DT355-INT(DT355)))))</f>
        <v>0</v>
      </c>
      <c r="EM355" s="836">
        <f>+IF(DU355=DT355,0,
IF(AND(EM$44&gt;1,DU355=$N355),1-SUM($EE355:EL355),
IF($N355&lt;=1,
IF($N355&gt;0,1/$N355,0),
IF(EM$44=1,0,VDB(1,0,$N355,INT(EM$44-1-1),MIN($N355,INT(EM$44-1-1)+1),$DC355,IF($DD355="No",1,0))/
IF(DT355&gt;=INT($N355),$N355-INT($N355),1)))*
IF(EM$44=1,0,
IF(INT(DU355)=INT(DT355),DU355-DT355,INT(DU355)-DT355))+
IF($N355&lt;=1,
IF($N355&gt;0,1/$N355,0),VDB(1,0,$N355,INT(EM$44-1),MIN($N355,INT(EM$44-1)+1),$DC355,IF($DD355="No",1,0))/
IF(DU355&gt;INT($N355),$N355-INT($N355),1))*
IF(EM$44=1,DU355,
IF(INT(DU355)=INT(DT355),0,DU355-INT(DU355)))))</f>
        <v>0</v>
      </c>
      <c r="EN355" s="833"/>
      <c r="EO355" s="834">
        <f>+IF(OR(DW355=DV355,EO$44=1),0,
IF(AND(EO$44&gt;1,DW355=$N355),1-SUM($EN355:EN355),
IF($N355&lt;=1,
IF($N355&gt;0,1/$N355,0),
IF(EO$44=2,0,VDB(1,0,$N355,INT(EO$44-2-1),MIN($N355,INT(EO$44-2-1)+1),$DC355,IF($DD355="No",1,0))/
IF(DV355&gt;=INT($N355),$N355-INT($N355),1)))*
IF(EO$44=2,0,
IF(INT(DW355)=INT(DV355),DW355-DV355,INT(DW355)-DV355))+
IF($N355&lt;=1,
IF($N355&gt;0,1/$N355,0),VDB(1,0,$N355,INT(EO$44-2),MIN($N355,INT(EO$44-2)+1),$DC355,IF($DD355="No",1,0))/
IF(DW355&gt;INT($N355),$N355-INT($N355),1))*
IF(EO$44=2,DW355,
IF(INT(DW355)=INT(DV355),0,DW355-INT(DW355)))))</f>
        <v>0</v>
      </c>
      <c r="EP355" s="835">
        <f>+IF(OR(DX355=DW355,EP$44=1),0,
IF(AND(EP$44&gt;1,DX355=$N355),1-SUM($EN355:EO355),
IF($N355&lt;=1,
IF($N355&gt;0,1/$N355,0),
IF(EP$44=2,0,VDB(1,0,$N355,INT(EP$44-2-1),MIN($N355,INT(EP$44-2-1)+1),$DC355,IF($DD355="No",1,0))/
IF(DW355&gt;=INT($N355),$N355-INT($N355),1)))*
IF(EP$44=2,0,
IF(INT(DX355)=INT(DW355),DX355-DW355,INT(DX355)-DW355))+
IF($N355&lt;=1,
IF($N355&gt;0,1/$N355,0),VDB(1,0,$N355,INT(EP$44-2),MIN($N355,INT(EP$44-2)+1),$DC355,IF($DD355="No",1,0))/
IF(DX355&gt;INT($N355),$N355-INT($N355),1))*
IF(EP$44=2,DX355,
IF(INT(DX355)=INT(DW355),0,DX355-INT(DX355)))))</f>
        <v>0</v>
      </c>
      <c r="EQ355" s="836">
        <f>+IF(OR(DY355=DX355,EQ$44=1),0,
IF(AND(EQ$44&gt;1,DY355=$N355),1-SUM($EN355:EP355),
IF($N355&lt;=1,
IF($N355&gt;0,1/$N355,0),
IF(EQ$44=2,0,VDB(1,0,$N355,INT(EQ$44-2-1),MIN($N355,INT(EQ$44-2-1)+1),$DC355,IF($DD355="No",1,0))/
IF(DX355&gt;=INT($N355),$N355-INT($N355),1)))*
IF(EQ$44=2,0,
IF(INT(DY355)=INT(DX355),DY355-DX355,INT(DY355)-DX355))+
IF($N355&lt;=1,
IF($N355&gt;0,1/$N355,0),VDB(1,0,$N355,INT(EQ$44-2),MIN($N355,INT(EQ$44-2)+1),$DC355,IF($DD355="No",1,0))/
IF(DY355&gt;INT($N355),$N355-INT($N355),1))*
IF(EQ$44=2,DY355,
IF(INT(DY355)=INT(DX355),0,DY355-INT(DY355)))))</f>
        <v>0</v>
      </c>
      <c r="ER355" s="834">
        <f>+IF(OR(DZ355=DY355,ER$44=1),0,
IF(AND(ER$44&gt;1,DZ355=$N355),1-SUM($EN355:EQ355),
IF($N355&lt;=1,
IF($N355&gt;0,1/$N355,0),
IF(ER$44=2,0,VDB(1,0,$N355,INT(ER$44-2-1),MIN($N355,INT(ER$44-2-1)+1),$DC355,IF($DD355="No",1,0))/
IF(DY355&gt;=INT($N355),$N355-INT($N355),1)))*
IF(ER$44=2,0,
IF(INT(DZ355)=INT(DY355),DZ355-DY355,INT(DZ355)-DY355))+
IF($N355&lt;=1,
IF($N355&gt;0,1/$N355,0),VDB(1,0,$N355,INT(ER$44-2),MIN($N355,INT(ER$44-2)+1),$DC355,IF($DD355="No",1,0))/
IF(DZ355&gt;INT($N355),$N355-INT($N355),1))*
IF(ER$44=2,DZ355,
IF(INT(DZ355)=INT(DY355),0,DZ355-INT(DZ355)))))</f>
        <v>0</v>
      </c>
      <c r="ES355" s="835">
        <f>+IF(OR(EA355=DZ355,ES$44=1),0,
IF(AND(ES$44&gt;1,EA355=$N355),1-SUM($EN355:ER355),
IF($N355&lt;=1,
IF($N355&gt;0,1/$N355,0),
IF(ES$44=2,0,VDB(1,0,$N355,INT(ES$44-2-1),MIN($N355,INT(ES$44-2-1)+1),$DC355,IF($DD355="No",1,0))/
IF(DZ355&gt;=INT($N355),$N355-INT($N355),1)))*
IF(ES$44=2,0,
IF(INT(EA355)=INT(DZ355),EA355-DZ355,INT(EA355)-DZ355))+
IF($N355&lt;=1,
IF($N355&gt;0,1/$N355,0),VDB(1,0,$N355,INT(ES$44-2),MIN($N355,INT(ES$44-2)+1),$DC355,IF($DD355="No",1,0))/
IF(EA355&gt;INT($N355),$N355-INT($N355),1))*
IF(ES$44=2,EA355,
IF(INT(EA355)=INT(DZ355),0,EA355-INT(EA355)))))</f>
        <v>0</v>
      </c>
      <c r="ET355" s="835">
        <f>+IF(OR(EB355=EA355,ET$44=1),0,
IF(AND(ET$44&gt;1,EB355=$N355),1-SUM($EN355:ES355),
IF($N355&lt;=1,
IF($N355&gt;0,1/$N355,0),
IF(ET$44=2,0,VDB(1,0,$N355,INT(ET$44-2-1),MIN($N355,INT(ET$44-2-1)+1),$DC355,IF($DD355="No",1,0))/
IF(EA355&gt;=INT($N355),$N355-INT($N355),1)))*
IF(ET$44=2,0,
IF(INT(EB355)=INT(EA355),EB355-EA355,INT(EB355)-EA355))+
IF($N355&lt;=1,
IF($N355&gt;0,1/$N355,0),VDB(1,0,$N355,INT(ET$44-2),MIN($N355,INT(ET$44-2)+1),$DC355,IF($DD355="No",1,0))/
IF(EB355&gt;INT($N355),$N355-INT($N355),1))*
IF(ET$44=2,EB355,
IF(INT(EB355)=INT(EA355),0,EB355-INT(EB355)))))</f>
        <v>0</v>
      </c>
      <c r="EU355" s="835">
        <f>+IF(OR(EC355=EB355,EU$44=1),0,
IF(AND(EU$44&gt;1,EC355=$N355),1-SUM($EN355:ET355),
IF($N355&lt;=1,
IF($N355&gt;0,1/$N355,0),
IF(EU$44=2,0,VDB(1,0,$N355,INT(EU$44-2-1),MIN($N355,INT(EU$44-2-1)+1),$DC355,IF($DD355="No",1,0))/
IF(EB355&gt;=INT($N355),$N355-INT($N355),1)))*
IF(EU$44=2,0,
IF(INT(EC355)=INT(EB355),EC355-EB355,INT(EC355)-EB355))+
IF($N355&lt;=1,
IF($N355&gt;0,1/$N355,0),VDB(1,0,$N355,INT(EU$44-2),MIN($N355,INT(EU$44-2)+1),$DC355,IF($DD355="No",1,0))/
IF(EC355&gt;INT($N355),$N355-INT($N355),1))*
IF(EU$44=2,EC355,
IF(INT(EC355)=INT(EB355),0,EC355-INT(EC355)))))</f>
        <v>0</v>
      </c>
      <c r="EV355" s="836">
        <f>+IF(OR(ED355=EC355,EV$44=1),0,
IF(AND(EV$44&gt;1,ED355=$N355),1-SUM($EN355:EU355),
IF($N355&lt;=1,
IF($N355&gt;0,1/$N355,0),
IF(EV$44=2,0,VDB(1,0,$N355,INT(EV$44-2-1),MIN($N355,INT(EV$44-2-1)+1),$DC355,IF($DD355="No",1,0))/
IF(EC355&gt;=INT($N355),$N355-INT($N355),1)))*
IF(EV$44=2,0,
IF(INT(ED355)=INT(EC355),ED355-EC355,INT(ED355)-EC355))+
IF($N355&lt;=1,
IF($N355&gt;0,1/$N355,0),VDB(1,0,$N355,INT(EV$44-2),MIN($N355,INT(EV$44-2)+1),$DC355,IF($DD355="No",1,0))/
IF(ED355&gt;INT($N355),$N355-INT($N355),1))*
IF(EV$44=2,ED355,
IF(INT(ED355)=INT(EC355),0,ED355-INT(ED355)))))</f>
        <v>0</v>
      </c>
      <c r="EW355" s="833"/>
      <c r="EX355" s="834">
        <f t="shared" ca="1" si="570"/>
        <v>0</v>
      </c>
      <c r="EY355" s="835">
        <f t="shared" ca="1" si="570"/>
        <v>0</v>
      </c>
      <c r="EZ355" s="836">
        <f t="shared" ca="1" si="570"/>
        <v>0</v>
      </c>
      <c r="FA355" s="834">
        <f t="shared" ca="1" si="570"/>
        <v>0</v>
      </c>
      <c r="FB355" s="835">
        <f t="shared" ca="1" si="570"/>
        <v>0</v>
      </c>
      <c r="FC355" s="835">
        <f t="shared" ca="1" si="570"/>
        <v>0</v>
      </c>
      <c r="FD355" s="835">
        <f t="shared" ca="1" si="570"/>
        <v>0</v>
      </c>
      <c r="FE355" s="836">
        <f t="shared" ca="1" si="570"/>
        <v>0</v>
      </c>
      <c r="FG355" s="386">
        <f t="shared" ca="1" si="617"/>
        <v>0</v>
      </c>
      <c r="FH355" s="387">
        <f t="shared" ca="1" si="618"/>
        <v>0</v>
      </c>
      <c r="FI355" s="388">
        <f t="shared" ca="1" si="619"/>
        <v>0</v>
      </c>
      <c r="FJ355" s="386">
        <f t="shared" ca="1" si="620"/>
        <v>0</v>
      </c>
      <c r="FK355" s="387">
        <f t="shared" ca="1" si="621"/>
        <v>0</v>
      </c>
      <c r="FL355" s="387">
        <f t="shared" ca="1" si="622"/>
        <v>0</v>
      </c>
      <c r="FM355" s="387">
        <f t="shared" ca="1" si="623"/>
        <v>0</v>
      </c>
      <c r="FN355" s="388">
        <f t="shared" ca="1" si="624"/>
        <v>0</v>
      </c>
      <c r="FR355" s="116"/>
    </row>
    <row r="356" spans="2:174">
      <c r="B356" s="1410">
        <f t="shared" si="556"/>
        <v>310</v>
      </c>
      <c r="C356" s="400"/>
      <c r="D356" s="410"/>
      <c r="E356" s="402"/>
      <c r="F356" s="402"/>
      <c r="G356" s="400"/>
      <c r="H356" s="2088"/>
      <c r="I356" s="2089"/>
      <c r="J356" s="411"/>
      <c r="K356" s="403"/>
      <c r="L356" s="403"/>
      <c r="M356" s="403"/>
      <c r="N356" s="403"/>
      <c r="O356" s="347"/>
      <c r="P356" s="347"/>
      <c r="Q356" s="1021"/>
      <c r="R356" s="1022"/>
      <c r="S356" s="1022"/>
      <c r="T356" s="1022"/>
      <c r="U356" s="1023"/>
      <c r="V356" s="1021"/>
      <c r="W356" s="1022"/>
      <c r="X356" s="1022"/>
      <c r="Y356" s="1022"/>
      <c r="Z356" s="1023"/>
      <c r="AA356" s="1024"/>
      <c r="AB356" s="1021"/>
      <c r="AC356" s="1022"/>
      <c r="AD356" s="1022"/>
      <c r="AE356" s="1022"/>
      <c r="AF356" s="1023"/>
      <c r="AG356" s="1021"/>
      <c r="AH356" s="1022"/>
      <c r="AI356" s="1022"/>
      <c r="AJ356" s="1022"/>
      <c r="AK356" s="1023"/>
      <c r="AL356" s="1024"/>
      <c r="AM356" s="1021"/>
      <c r="AN356" s="1022"/>
      <c r="AO356" s="1022"/>
      <c r="AP356" s="1022"/>
      <c r="AQ356" s="1023"/>
      <c r="AR356" s="1021"/>
      <c r="AS356" s="1022"/>
      <c r="AT356" s="1022"/>
      <c r="AU356" s="1022"/>
      <c r="AV356" s="1023"/>
      <c r="AW356" s="1025"/>
      <c r="AX356" s="1282">
        <f t="shared" si="571"/>
        <v>0</v>
      </c>
      <c r="AY356" s="387">
        <f t="shared" si="572"/>
        <v>0</v>
      </c>
      <c r="AZ356" s="387">
        <f t="shared" si="573"/>
        <v>0</v>
      </c>
      <c r="BA356" s="387">
        <f t="shared" si="574"/>
        <v>0</v>
      </c>
      <c r="BB356" s="1283">
        <f t="shared" si="575"/>
        <v>0</v>
      </c>
      <c r="BC356" s="386">
        <f t="shared" si="576"/>
        <v>0</v>
      </c>
      <c r="BD356" s="387">
        <f t="shared" si="577"/>
        <v>0</v>
      </c>
      <c r="BE356" s="1277">
        <f t="shared" si="578"/>
        <v>0</v>
      </c>
      <c r="BF356" s="1277">
        <f t="shared" si="579"/>
        <v>0</v>
      </c>
      <c r="BG356" s="388">
        <f t="shared" si="580"/>
        <v>0</v>
      </c>
      <c r="BH356" s="1025"/>
      <c r="BI356" s="1282">
        <f t="shared" ca="1" si="581"/>
        <v>0</v>
      </c>
      <c r="BJ356" s="387">
        <f t="shared" ca="1" si="582"/>
        <v>0</v>
      </c>
      <c r="BK356" s="387">
        <f t="shared" ca="1" si="583"/>
        <v>0</v>
      </c>
      <c r="BL356" s="387">
        <f t="shared" ca="1" si="584"/>
        <v>0</v>
      </c>
      <c r="BM356" s="1283">
        <f t="shared" ca="1" si="585"/>
        <v>0</v>
      </c>
      <c r="BN356" s="386">
        <f t="shared" ca="1" si="586"/>
        <v>0</v>
      </c>
      <c r="BO356" s="387">
        <f t="shared" ca="1" si="587"/>
        <v>0</v>
      </c>
      <c r="BP356" s="1277">
        <f t="shared" ca="1" si="588"/>
        <v>0</v>
      </c>
      <c r="BQ356" s="1277">
        <f t="shared" ca="1" si="589"/>
        <v>0</v>
      </c>
      <c r="BR356" s="388">
        <f t="shared" ca="1" si="590"/>
        <v>0</v>
      </c>
      <c r="BS356" s="1025"/>
      <c r="BT356" s="1282">
        <f>+IF($K356="Ongoing",AX356,IF(RIGHT($K356,2)=RIGHT(BT$43,2),SUM($AX356:AX356),0)+IF(RIGHT(BT$43,2)&gt;RIGHT($K356,2),AX356,0))</f>
        <v>0</v>
      </c>
      <c r="BU356" s="387">
        <f>+IF($K356="Ongoing",AY356,IF(RIGHT($K356,2)=RIGHT(BU$43,2),SUM($AX356:AY356),0)+IF(RIGHT(BU$43,2)&gt;RIGHT($K356,2),AY356,0))</f>
        <v>0</v>
      </c>
      <c r="BV356" s="387">
        <f>+IF($K356="Ongoing",AZ356,IF(RIGHT($K356,2)=RIGHT(BV$43,2),SUM($AX356:AZ356),0)+IF(RIGHT(BV$43,2)&gt;RIGHT($K356,2),AZ356,0))</f>
        <v>0</v>
      </c>
      <c r="BW356" s="387">
        <f>+IF($K356="Ongoing",BA356,IF(RIGHT($K356,2)=RIGHT(BW$43,2),SUM($AX356:BA356),0)+IF(RIGHT(BW$43,2)&gt;RIGHT($K356,2),BA356,0))</f>
        <v>0</v>
      </c>
      <c r="BX356" s="1283">
        <f>+IF($K356="Ongoing",BB356,IF(RIGHT($K356,2)=RIGHT(BX$43,2),SUM($AX356:BB356),0)+IF(RIGHT(BX$43,2)&gt;RIGHT($K356,2),BB356,0))</f>
        <v>0</v>
      </c>
      <c r="BY356" s="386">
        <f>+IF($K356="Ongoing",BC356,IF(RIGHT($K356,2)=RIGHT(BY$43,2),SUM($AX356:BC356),0)+IF(RIGHT(BY$43,2)&gt;RIGHT($K356,2),BC356,0))</f>
        <v>0</v>
      </c>
      <c r="BZ356" s="387">
        <f>+IF($K356="Ongoing",BD356,IF(RIGHT($K356,2)=RIGHT(BZ$43,2),SUM($AX356:BD356),0)+IF(RIGHT(BZ$43,2)&gt;RIGHT($K356,2),BD356,0))</f>
        <v>0</v>
      </c>
      <c r="CA356" s="1277">
        <f>+IF($K356="Ongoing",BE356,IF(RIGHT($K356,2)=RIGHT(CA$43,2),SUM($AX356:BE356),0)+IF(RIGHT(CA$43,2)&gt;RIGHT($K356,2),BE356,0))</f>
        <v>0</v>
      </c>
      <c r="CB356" s="1277">
        <f>+IF($K356="Ongoing",BF356,IF(RIGHT($K356,2)=RIGHT(CB$43,2),SUM($AX356:BF356),0)+IF(RIGHT(CB$43,2)&gt;RIGHT($K356,2),BF356,0))</f>
        <v>0</v>
      </c>
      <c r="CC356" s="388">
        <f>+IF($K356="Ongoing",BG356,IF(RIGHT($K356,2)=RIGHT(CC$43,2),SUM($AX356:BG356),0)+IF(RIGHT(CC$43,2)&gt;RIGHT($K356,2),BG356,0))</f>
        <v>0</v>
      </c>
      <c r="CD356" s="1025"/>
      <c r="CE356" s="1282">
        <f>+Q356*KeyAssumptionsPriceControl_FO!AF$15</f>
        <v>0</v>
      </c>
      <c r="CF356" s="387">
        <f>+R356*KeyAssumptionsPriceControl_FO!AG$15</f>
        <v>0</v>
      </c>
      <c r="CG356" s="387">
        <f>+S356*KeyAssumptionsPriceControl_FO!AH$15</f>
        <v>0</v>
      </c>
      <c r="CH356" s="387">
        <f>+T356*KeyAssumptionsPriceControl_FO!AI$15</f>
        <v>0</v>
      </c>
      <c r="CI356" s="1283">
        <f>+U356*KeyAssumptionsPriceControl_FO!AJ$15</f>
        <v>0</v>
      </c>
      <c r="CJ356" s="386">
        <f>+V356*KeyAssumptionsPriceControl_FO!AK$15</f>
        <v>0</v>
      </c>
      <c r="CK356" s="387">
        <f>+W356*KeyAssumptionsPriceControl_FO!AL$15</f>
        <v>0</v>
      </c>
      <c r="CL356" s="1277">
        <f>+X356*KeyAssumptionsPriceControl_FO!AM$15</f>
        <v>0</v>
      </c>
      <c r="CM356" s="1277">
        <f>+Y356*KeyAssumptionsPriceControl_FO!AN$15</f>
        <v>0</v>
      </c>
      <c r="CN356" s="388">
        <f>+Z356*KeyAssumptionsPriceControl_FO!AO$15</f>
        <v>0</v>
      </c>
      <c r="CO356" s="1025"/>
      <c r="CP356" s="1282">
        <f t="shared" ca="1" si="591"/>
        <v>0</v>
      </c>
      <c r="CQ356" s="387">
        <f t="shared" ca="1" si="592"/>
        <v>0</v>
      </c>
      <c r="CR356" s="387">
        <f t="shared" ca="1" si="593"/>
        <v>0</v>
      </c>
      <c r="CS356" s="387">
        <f t="shared" ca="1" si="594"/>
        <v>0</v>
      </c>
      <c r="CT356" s="1283">
        <f t="shared" ca="1" si="595"/>
        <v>0</v>
      </c>
      <c r="CU356" s="386">
        <f t="shared" ca="1" si="596"/>
        <v>0</v>
      </c>
      <c r="CV356" s="387">
        <f t="shared" ca="1" si="597"/>
        <v>0</v>
      </c>
      <c r="CW356" s="1277">
        <f t="shared" ca="1" si="598"/>
        <v>0</v>
      </c>
      <c r="CX356" s="1277">
        <f t="shared" ca="1" si="599"/>
        <v>0</v>
      </c>
      <c r="CY356" s="388">
        <f t="shared" ca="1" si="600"/>
        <v>0</v>
      </c>
      <c r="CZ356" s="347"/>
      <c r="DA356" s="852"/>
      <c r="DB356" s="347"/>
      <c r="DC356" s="1012" t="s">
        <v>562</v>
      </c>
      <c r="DD356" s="841" t="s">
        <v>518</v>
      </c>
      <c r="DE356" s="386">
        <f>+IF($K356="ongoing",CE356,IF(RIGHT($K356,2)=RIGHT(DE$43,2),SUM($CD356:CE356),0)+IF(RIGHT(DE$43,2)&gt;RIGHT($K356,2),CE356,0))</f>
        <v>0</v>
      </c>
      <c r="DF356" s="387">
        <f>+IF($K356="ongoing",CF356,IF(RIGHT($K356,2)=RIGHT(DF$43,2),SUM($CD356:CF356),0)+IF(RIGHT(DF$43,2)&gt;RIGHT($K356,2),CF356,0))</f>
        <v>0</v>
      </c>
      <c r="DG356" s="388">
        <f>+IF($K356="ongoing",CG356,IF(RIGHT($K356,2)=RIGHT(DG$43,2),SUM($CD356:CG356),0)+IF(RIGHT(DG$43,2)&gt;RIGHT($K356,2),CG356,0))</f>
        <v>0</v>
      </c>
      <c r="DH356" s="386">
        <f>+IF($K356="ongoing",CH356,IF(RIGHT($K356,2)=RIGHT(DH$43,2),SUM($CD356:CH356),0)+IF(RIGHT(DH$43,2)&gt;RIGHT($K356,2),CH356,0))</f>
        <v>0</v>
      </c>
      <c r="DI356" s="387">
        <f>+IF($K356="ongoing",CI356,IF(RIGHT($K356,2)=RIGHT(DI$43,2),SUM($CD356:CI356),0)+IF(RIGHT(DI$43,2)&gt;RIGHT($K356,2),CI356,0))</f>
        <v>0</v>
      </c>
      <c r="DJ356" s="387">
        <f>+IF($K356="ongoing",CJ356,IF(RIGHT($K356,2)=RIGHT(DJ$43,2),SUM($CD356:CJ356),0)+IF(RIGHT(DJ$43,2)&gt;RIGHT($K356,2),CJ356,0))</f>
        <v>0</v>
      </c>
      <c r="DK356" s="387">
        <f>+IF($K356="ongoing",CK356,IF(RIGHT($K356,2)=RIGHT(DK$43,2),SUM($CD356:CK356),0)+IF(RIGHT(DK$43,2)&gt;RIGHT($K356,2),CK356,0))</f>
        <v>0</v>
      </c>
      <c r="DL356" s="388">
        <f>+IF($K356="ongoing",CN356,IF(RIGHT($K356,2)=RIGHT(DL$43,2),SUM($CD356:CN356),0)+IF(RIGHT(DL$43,2)&gt;RIGHT($K356,2),CN356,0))</f>
        <v>0</v>
      </c>
      <c r="DM356" s="841"/>
      <c r="DN356" s="386">
        <f t="shared" si="601"/>
        <v>0.5</v>
      </c>
      <c r="DO356" s="387">
        <f t="shared" si="602"/>
        <v>1</v>
      </c>
      <c r="DP356" s="388">
        <f t="shared" si="603"/>
        <v>1</v>
      </c>
      <c r="DQ356" s="386">
        <f t="shared" si="604"/>
        <v>1</v>
      </c>
      <c r="DR356" s="387">
        <f t="shared" si="605"/>
        <v>1</v>
      </c>
      <c r="DS356" s="387">
        <f t="shared" si="606"/>
        <v>1</v>
      </c>
      <c r="DT356" s="387">
        <f t="shared" si="607"/>
        <v>1</v>
      </c>
      <c r="DU356" s="388">
        <f t="shared" si="608"/>
        <v>1</v>
      </c>
      <c r="DW356" s="386">
        <f t="shared" si="609"/>
        <v>0</v>
      </c>
      <c r="DX356" s="387">
        <f t="shared" si="610"/>
        <v>0.5</v>
      </c>
      <c r="DY356" s="388">
        <f t="shared" si="611"/>
        <v>1</v>
      </c>
      <c r="DZ356" s="386">
        <f t="shared" si="612"/>
        <v>1</v>
      </c>
      <c r="EA356" s="387">
        <f t="shared" si="613"/>
        <v>1</v>
      </c>
      <c r="EB356" s="387">
        <f t="shared" si="614"/>
        <v>1</v>
      </c>
      <c r="EC356" s="387">
        <f t="shared" si="615"/>
        <v>1</v>
      </c>
      <c r="ED356" s="388">
        <f t="shared" si="616"/>
        <v>1</v>
      </c>
      <c r="EF356" s="834">
        <f>+IF(DN356=DM356,0,
IF(AND(EF$44&gt;1,DN356=$N356),1-SUM($EE356:EE356),
IF($N356&lt;=1,
IF($N356&gt;0,1/$N356,0),
IF(EF$44=1,0,VDB(1,0,$N356,INT(EF$44-1-1),MIN($N356,INT(EF$44-1-1)+1),$DC356,IF($DD356="No",1,0))/
IF(DM356&gt;=INT($N356),$N356-INT($N356),1)))*
IF(EF$44=1,0,
IF(INT(DN356)=INT(DM356),DN356-DM356,INT(DN356)-DM356))+
IF($N356&lt;=1,
IF($N356&gt;0,1/$N356,0),VDB(1,0,$N356,INT(EF$44-1),MIN($N356,INT(EF$44-1)+1),$DC356,IF($DD356="No",1,0))/
IF(DN356&gt;INT($N356),$N356-INT($N356),1))*
IF(EF$44=1,DN356,
IF(INT(DN356)=INT(DM356),0,DN356-INT(DN356)))))</f>
        <v>0</v>
      </c>
      <c r="EG356" s="835">
        <f>+IF(DO356=DN356,0,
IF(AND(EG$44&gt;1,DO356=$N356),1-SUM($EE356:EF356),
IF($N356&lt;=1,
IF($N356&gt;0,1/$N356,0),
IF(EG$44=1,0,VDB(1,0,$N356,INT(EG$44-1-1),MIN($N356,INT(EG$44-1-1)+1),$DC356,IF($DD356="No",1,0))/
IF(DN356&gt;=INT($N356),$N356-INT($N356),1)))*
IF(EG$44=1,0,
IF(INT(DO356)=INT(DN356),DO356-DN356,INT(DO356)-DN356))+
IF($N356&lt;=1,
IF($N356&gt;0,1/$N356,0),VDB(1,0,$N356,INT(EG$44-1),MIN($N356,INT(EG$44-1)+1),$DC356,IF($DD356="No",1,0))/
IF(DO356&gt;INT($N356),$N356-INT($N356),1))*
IF(EG$44=1,DO356,
IF(INT(DO356)=INT(DN356),0,DO356-INT(DO356)))))</f>
        <v>0</v>
      </c>
      <c r="EH356" s="836">
        <f>+IF(DP356=DO356,0,
IF(AND(EH$44&gt;1,DP356=$N356),1-SUM($EE356:EG356),
IF($N356&lt;=1,
IF($N356&gt;0,1/$N356,0),
IF(EH$44=1,0,VDB(1,0,$N356,INT(EH$44-1-1),MIN($N356,INT(EH$44-1-1)+1),$DC356,IF($DD356="No",1,0))/
IF(DO356&gt;=INT($N356),$N356-INT($N356),1)))*
IF(EH$44=1,0,
IF(INT(DP356)=INT(DO356),DP356-DO356,INT(DP356)-DO356))+
IF($N356&lt;=1,
IF($N356&gt;0,1/$N356,0),VDB(1,0,$N356,INT(EH$44-1),MIN($N356,INT(EH$44-1)+1),$DC356,IF($DD356="No",1,0))/
IF(DP356&gt;INT($N356),$N356-INT($N356),1))*
IF(EH$44=1,DP356,
IF(INT(DP356)=INT(DO356),0,DP356-INT(DP356)))))</f>
        <v>0</v>
      </c>
      <c r="EI356" s="834">
        <f>+IF(DQ356=DP356,0,
IF(AND(EI$44&gt;1,DQ356=$N356),1-SUM($EE356:EH356),
IF($N356&lt;=1,
IF($N356&gt;0,1/$N356,0),
IF(EI$44=1,0,VDB(1,0,$N356,INT(EI$44-1-1),MIN($N356,INT(EI$44-1-1)+1),$DC356,IF($DD356="No",1,0))/
IF(DP356&gt;=INT($N356),$N356-INT($N356),1)))*
IF(EI$44=1,0,
IF(INT(DQ356)=INT(DP356),DQ356-DP356,INT(DQ356)-DP356))+
IF($N356&lt;=1,
IF($N356&gt;0,1/$N356,0),VDB(1,0,$N356,INT(EI$44-1),MIN($N356,INT(EI$44-1)+1),$DC356,IF($DD356="No",1,0))/
IF(DQ356&gt;INT($N356),$N356-INT($N356),1))*
IF(EI$44=1,DQ356,
IF(INT(DQ356)=INT(DP356),0,DQ356-INT(DQ356)))))</f>
        <v>0</v>
      </c>
      <c r="EJ356" s="835">
        <f>+IF(DR356=DQ356,0,
IF(AND(EJ$44&gt;1,DR356=$N356),1-SUM($EE356:EI356),
IF($N356&lt;=1,
IF($N356&gt;0,1/$N356,0),
IF(EJ$44=1,0,VDB(1,0,$N356,INT(EJ$44-1-1),MIN($N356,INT(EJ$44-1-1)+1),$DC356,IF($DD356="No",1,0))/
IF(DQ356&gt;=INT($N356),$N356-INT($N356),1)))*
IF(EJ$44=1,0,
IF(INT(DR356)=INT(DQ356),DR356-DQ356,INT(DR356)-DQ356))+
IF($N356&lt;=1,
IF($N356&gt;0,1/$N356,0),VDB(1,0,$N356,INT(EJ$44-1),MIN($N356,INT(EJ$44-1)+1),$DC356,IF($DD356="No",1,0))/
IF(DR356&gt;INT($N356),$N356-INT($N356),1))*
IF(EJ$44=1,DR356,
IF(INT(DR356)=INT(DQ356),0,DR356-INT(DR356)))))</f>
        <v>0</v>
      </c>
      <c r="EK356" s="835">
        <f>+IF(DS356=DR356,0,
IF(AND(EK$44&gt;1,DS356=$N356),1-SUM($EE356:EJ356),
IF($N356&lt;=1,
IF($N356&gt;0,1/$N356,0),
IF(EK$44=1,0,VDB(1,0,$N356,INT(EK$44-1-1),MIN($N356,INT(EK$44-1-1)+1),$DC356,IF($DD356="No",1,0))/
IF(DR356&gt;=INT($N356),$N356-INT($N356),1)))*
IF(EK$44=1,0,
IF(INT(DS356)=INT(DR356),DS356-DR356,INT(DS356)-DR356))+
IF($N356&lt;=1,
IF($N356&gt;0,1/$N356,0),VDB(1,0,$N356,INT(EK$44-1),MIN($N356,INT(EK$44-1)+1),$DC356,IF($DD356="No",1,0))/
IF(DS356&gt;INT($N356),$N356-INT($N356),1))*
IF(EK$44=1,DS356,
IF(INT(DS356)=INT(DR356),0,DS356-INT(DS356)))))</f>
        <v>0</v>
      </c>
      <c r="EL356" s="835">
        <f>+IF(DT356=DS356,0,
IF(AND(EL$44&gt;1,DT356=$N356),1-SUM($EE356:EK356),
IF($N356&lt;=1,
IF($N356&gt;0,1/$N356,0),
IF(EL$44=1,0,VDB(1,0,$N356,INT(EL$44-1-1),MIN($N356,INT(EL$44-1-1)+1),$DC356,IF($DD356="No",1,0))/
IF(DS356&gt;=INT($N356),$N356-INT($N356),1)))*
IF(EL$44=1,0,
IF(INT(DT356)=INT(DS356),DT356-DS356,INT(DT356)-DS356))+
IF($N356&lt;=1,
IF($N356&gt;0,1/$N356,0),VDB(1,0,$N356,INT(EL$44-1),MIN($N356,INT(EL$44-1)+1),$DC356,IF($DD356="No",1,0))/
IF(DT356&gt;INT($N356),$N356-INT($N356),1))*
IF(EL$44=1,DT356,
IF(INT(DT356)=INT(DS356),0,DT356-INT(DT356)))))</f>
        <v>0</v>
      </c>
      <c r="EM356" s="836">
        <f>+IF(DU356=DT356,0,
IF(AND(EM$44&gt;1,DU356=$N356),1-SUM($EE356:EL356),
IF($N356&lt;=1,
IF($N356&gt;0,1/$N356,0),
IF(EM$44=1,0,VDB(1,0,$N356,INT(EM$44-1-1),MIN($N356,INT(EM$44-1-1)+1),$DC356,IF($DD356="No",1,0))/
IF(DT356&gt;=INT($N356),$N356-INT($N356),1)))*
IF(EM$44=1,0,
IF(INT(DU356)=INT(DT356),DU356-DT356,INT(DU356)-DT356))+
IF($N356&lt;=1,
IF($N356&gt;0,1/$N356,0),VDB(1,0,$N356,INT(EM$44-1),MIN($N356,INT(EM$44-1)+1),$DC356,IF($DD356="No",1,0))/
IF(DU356&gt;INT($N356),$N356-INT($N356),1))*
IF(EM$44=1,DU356,
IF(INT(DU356)=INT(DT356),0,DU356-INT(DU356)))))</f>
        <v>0</v>
      </c>
      <c r="EN356" s="833"/>
      <c r="EO356" s="834">
        <f>+IF(OR(DW356=DV356,EO$44=1),0,
IF(AND(EO$44&gt;1,DW356=$N356),1-SUM($EN356:EN356),
IF($N356&lt;=1,
IF($N356&gt;0,1/$N356,0),
IF(EO$44=2,0,VDB(1,0,$N356,INT(EO$44-2-1),MIN($N356,INT(EO$44-2-1)+1),$DC356,IF($DD356="No",1,0))/
IF(DV356&gt;=INT($N356),$N356-INT($N356),1)))*
IF(EO$44=2,0,
IF(INT(DW356)=INT(DV356),DW356-DV356,INT(DW356)-DV356))+
IF($N356&lt;=1,
IF($N356&gt;0,1/$N356,0),VDB(1,0,$N356,INT(EO$44-2),MIN($N356,INT(EO$44-2)+1),$DC356,IF($DD356="No",1,0))/
IF(DW356&gt;INT($N356),$N356-INT($N356),1))*
IF(EO$44=2,DW356,
IF(INT(DW356)=INT(DV356),0,DW356-INT(DW356)))))</f>
        <v>0</v>
      </c>
      <c r="EP356" s="835">
        <f>+IF(OR(DX356=DW356,EP$44=1),0,
IF(AND(EP$44&gt;1,DX356=$N356),1-SUM($EN356:EO356),
IF($N356&lt;=1,
IF($N356&gt;0,1/$N356,0),
IF(EP$44=2,0,VDB(1,0,$N356,INT(EP$44-2-1),MIN($N356,INT(EP$44-2-1)+1),$DC356,IF($DD356="No",1,0))/
IF(DW356&gt;=INT($N356),$N356-INT($N356),1)))*
IF(EP$44=2,0,
IF(INT(DX356)=INT(DW356),DX356-DW356,INT(DX356)-DW356))+
IF($N356&lt;=1,
IF($N356&gt;0,1/$N356,0),VDB(1,0,$N356,INT(EP$44-2),MIN($N356,INT(EP$44-2)+1),$DC356,IF($DD356="No",1,0))/
IF(DX356&gt;INT($N356),$N356-INT($N356),1))*
IF(EP$44=2,DX356,
IF(INT(DX356)=INT(DW356),0,DX356-INT(DX356)))))</f>
        <v>0</v>
      </c>
      <c r="EQ356" s="836">
        <f>+IF(OR(DY356=DX356,EQ$44=1),0,
IF(AND(EQ$44&gt;1,DY356=$N356),1-SUM($EN356:EP356),
IF($N356&lt;=1,
IF($N356&gt;0,1/$N356,0),
IF(EQ$44=2,0,VDB(1,0,$N356,INT(EQ$44-2-1),MIN($N356,INT(EQ$44-2-1)+1),$DC356,IF($DD356="No",1,0))/
IF(DX356&gt;=INT($N356),$N356-INT($N356),1)))*
IF(EQ$44=2,0,
IF(INT(DY356)=INT(DX356),DY356-DX356,INT(DY356)-DX356))+
IF($N356&lt;=1,
IF($N356&gt;0,1/$N356,0),VDB(1,0,$N356,INT(EQ$44-2),MIN($N356,INT(EQ$44-2)+1),$DC356,IF($DD356="No",1,0))/
IF(DY356&gt;INT($N356),$N356-INT($N356),1))*
IF(EQ$44=2,DY356,
IF(INT(DY356)=INT(DX356),0,DY356-INT(DY356)))))</f>
        <v>0</v>
      </c>
      <c r="ER356" s="834">
        <f>+IF(OR(DZ356=DY356,ER$44=1),0,
IF(AND(ER$44&gt;1,DZ356=$N356),1-SUM($EN356:EQ356),
IF($N356&lt;=1,
IF($N356&gt;0,1/$N356,0),
IF(ER$44=2,0,VDB(1,0,$N356,INT(ER$44-2-1),MIN($N356,INT(ER$44-2-1)+1),$DC356,IF($DD356="No",1,0))/
IF(DY356&gt;=INT($N356),$N356-INT($N356),1)))*
IF(ER$44=2,0,
IF(INT(DZ356)=INT(DY356),DZ356-DY356,INT(DZ356)-DY356))+
IF($N356&lt;=1,
IF($N356&gt;0,1/$N356,0),VDB(1,0,$N356,INT(ER$44-2),MIN($N356,INT(ER$44-2)+1),$DC356,IF($DD356="No",1,0))/
IF(DZ356&gt;INT($N356),$N356-INT($N356),1))*
IF(ER$44=2,DZ356,
IF(INT(DZ356)=INT(DY356),0,DZ356-INT(DZ356)))))</f>
        <v>0</v>
      </c>
      <c r="ES356" s="835">
        <f>+IF(OR(EA356=DZ356,ES$44=1),0,
IF(AND(ES$44&gt;1,EA356=$N356),1-SUM($EN356:ER356),
IF($N356&lt;=1,
IF($N356&gt;0,1/$N356,0),
IF(ES$44=2,0,VDB(1,0,$N356,INT(ES$44-2-1),MIN($N356,INT(ES$44-2-1)+1),$DC356,IF($DD356="No",1,0))/
IF(DZ356&gt;=INT($N356),$N356-INT($N356),1)))*
IF(ES$44=2,0,
IF(INT(EA356)=INT(DZ356),EA356-DZ356,INT(EA356)-DZ356))+
IF($N356&lt;=1,
IF($N356&gt;0,1/$N356,0),VDB(1,0,$N356,INT(ES$44-2),MIN($N356,INT(ES$44-2)+1),$DC356,IF($DD356="No",1,0))/
IF(EA356&gt;INT($N356),$N356-INT($N356),1))*
IF(ES$44=2,EA356,
IF(INT(EA356)=INT(DZ356),0,EA356-INT(EA356)))))</f>
        <v>0</v>
      </c>
      <c r="ET356" s="835">
        <f>+IF(OR(EB356=EA356,ET$44=1),0,
IF(AND(ET$44&gt;1,EB356=$N356),1-SUM($EN356:ES356),
IF($N356&lt;=1,
IF($N356&gt;0,1/$N356,0),
IF(ET$44=2,0,VDB(1,0,$N356,INT(ET$44-2-1),MIN($N356,INT(ET$44-2-1)+1),$DC356,IF($DD356="No",1,0))/
IF(EA356&gt;=INT($N356),$N356-INT($N356),1)))*
IF(ET$44=2,0,
IF(INT(EB356)=INT(EA356),EB356-EA356,INT(EB356)-EA356))+
IF($N356&lt;=1,
IF($N356&gt;0,1/$N356,0),VDB(1,0,$N356,INT(ET$44-2),MIN($N356,INT(ET$44-2)+1),$DC356,IF($DD356="No",1,0))/
IF(EB356&gt;INT($N356),$N356-INT($N356),1))*
IF(ET$44=2,EB356,
IF(INT(EB356)=INT(EA356),0,EB356-INT(EB356)))))</f>
        <v>0</v>
      </c>
      <c r="EU356" s="835">
        <f>+IF(OR(EC356=EB356,EU$44=1),0,
IF(AND(EU$44&gt;1,EC356=$N356),1-SUM($EN356:ET356),
IF($N356&lt;=1,
IF($N356&gt;0,1/$N356,0),
IF(EU$44=2,0,VDB(1,0,$N356,INT(EU$44-2-1),MIN($N356,INT(EU$44-2-1)+1),$DC356,IF($DD356="No",1,0))/
IF(EB356&gt;=INT($N356),$N356-INT($N356),1)))*
IF(EU$44=2,0,
IF(INT(EC356)=INT(EB356),EC356-EB356,INT(EC356)-EB356))+
IF($N356&lt;=1,
IF($N356&gt;0,1/$N356,0),VDB(1,0,$N356,INT(EU$44-2),MIN($N356,INT(EU$44-2)+1),$DC356,IF($DD356="No",1,0))/
IF(EC356&gt;INT($N356),$N356-INT($N356),1))*
IF(EU$44=2,EC356,
IF(INT(EC356)=INT(EB356),0,EC356-INT(EC356)))))</f>
        <v>0</v>
      </c>
      <c r="EV356" s="836">
        <f>+IF(OR(ED356=EC356,EV$44=1),0,
IF(AND(EV$44&gt;1,ED356=$N356),1-SUM($EN356:EU356),
IF($N356&lt;=1,
IF($N356&gt;0,1/$N356,0),
IF(EV$44=2,0,VDB(1,0,$N356,INT(EV$44-2-1),MIN($N356,INT(EV$44-2-1)+1),$DC356,IF($DD356="No",1,0))/
IF(EC356&gt;=INT($N356),$N356-INT($N356),1)))*
IF(EV$44=2,0,
IF(INT(ED356)=INT(EC356),ED356-EC356,INT(ED356)-EC356))+
IF($N356&lt;=1,
IF($N356&gt;0,1/$N356,0),VDB(1,0,$N356,INT(EV$44-2),MIN($N356,INT(EV$44-2)+1),$DC356,IF($DD356="No",1,0))/
IF(ED356&gt;INT($N356),$N356-INT($N356),1))*
IF(EV$44=2,ED356,
IF(INT(ED356)=INT(EC356),0,ED356-INT(ED356)))))</f>
        <v>0</v>
      </c>
      <c r="EW356" s="833"/>
      <c r="EX356" s="834">
        <f t="shared" ca="1" si="570"/>
        <v>0</v>
      </c>
      <c r="EY356" s="835">
        <f t="shared" ca="1" si="570"/>
        <v>0</v>
      </c>
      <c r="EZ356" s="836">
        <f t="shared" ca="1" si="570"/>
        <v>0</v>
      </c>
      <c r="FA356" s="834">
        <f t="shared" ca="1" si="570"/>
        <v>0</v>
      </c>
      <c r="FB356" s="835">
        <f t="shared" ca="1" si="570"/>
        <v>0</v>
      </c>
      <c r="FC356" s="835">
        <f t="shared" ca="1" si="570"/>
        <v>0</v>
      </c>
      <c r="FD356" s="835">
        <f t="shared" ca="1" si="570"/>
        <v>0</v>
      </c>
      <c r="FE356" s="836">
        <f t="shared" ca="1" si="570"/>
        <v>0</v>
      </c>
      <c r="FG356" s="386">
        <f t="shared" ca="1" si="617"/>
        <v>0</v>
      </c>
      <c r="FH356" s="387">
        <f t="shared" ca="1" si="618"/>
        <v>0</v>
      </c>
      <c r="FI356" s="388">
        <f t="shared" ca="1" si="619"/>
        <v>0</v>
      </c>
      <c r="FJ356" s="386">
        <f t="shared" ca="1" si="620"/>
        <v>0</v>
      </c>
      <c r="FK356" s="387">
        <f t="shared" ca="1" si="621"/>
        <v>0</v>
      </c>
      <c r="FL356" s="387">
        <f t="shared" ca="1" si="622"/>
        <v>0</v>
      </c>
      <c r="FM356" s="387">
        <f t="shared" ca="1" si="623"/>
        <v>0</v>
      </c>
      <c r="FN356" s="388">
        <f t="shared" ca="1" si="624"/>
        <v>0</v>
      </c>
      <c r="FR356" s="116"/>
    </row>
    <row r="357" spans="2:174">
      <c r="B357" s="1410">
        <f t="shared" si="556"/>
        <v>311</v>
      </c>
      <c r="C357" s="400"/>
      <c r="D357" s="410"/>
      <c r="E357" s="402"/>
      <c r="F357" s="402"/>
      <c r="G357" s="400"/>
      <c r="H357" s="2088"/>
      <c r="I357" s="2089"/>
      <c r="J357" s="411"/>
      <c r="K357" s="403"/>
      <c r="L357" s="403"/>
      <c r="M357" s="403"/>
      <c r="N357" s="403"/>
      <c r="O357" s="347"/>
      <c r="P357" s="347"/>
      <c r="Q357" s="1021"/>
      <c r="R357" s="1022"/>
      <c r="S357" s="1022"/>
      <c r="T357" s="1022"/>
      <c r="U357" s="1023"/>
      <c r="V357" s="1021"/>
      <c r="W357" s="1022"/>
      <c r="X357" s="1022"/>
      <c r="Y357" s="1022"/>
      <c r="Z357" s="1023"/>
      <c r="AA357" s="1024"/>
      <c r="AB357" s="1021"/>
      <c r="AC357" s="1022"/>
      <c r="AD357" s="1022"/>
      <c r="AE357" s="1022"/>
      <c r="AF357" s="1023"/>
      <c r="AG357" s="1021"/>
      <c r="AH357" s="1022"/>
      <c r="AI357" s="1022"/>
      <c r="AJ357" s="1022"/>
      <c r="AK357" s="1023"/>
      <c r="AL357" s="1024"/>
      <c r="AM357" s="1021"/>
      <c r="AN357" s="1022"/>
      <c r="AO357" s="1022"/>
      <c r="AP357" s="1022"/>
      <c r="AQ357" s="1023"/>
      <c r="AR357" s="1021"/>
      <c r="AS357" s="1022"/>
      <c r="AT357" s="1022"/>
      <c r="AU357" s="1022"/>
      <c r="AV357" s="1023"/>
      <c r="AW357" s="1025"/>
      <c r="AX357" s="1282">
        <f t="shared" si="571"/>
        <v>0</v>
      </c>
      <c r="AY357" s="387">
        <f t="shared" si="572"/>
        <v>0</v>
      </c>
      <c r="AZ357" s="387">
        <f t="shared" si="573"/>
        <v>0</v>
      </c>
      <c r="BA357" s="387">
        <f t="shared" si="574"/>
        <v>0</v>
      </c>
      <c r="BB357" s="1283">
        <f t="shared" si="575"/>
        <v>0</v>
      </c>
      <c r="BC357" s="386">
        <f t="shared" si="576"/>
        <v>0</v>
      </c>
      <c r="BD357" s="387">
        <f t="shared" si="577"/>
        <v>0</v>
      </c>
      <c r="BE357" s="1277">
        <f t="shared" si="578"/>
        <v>0</v>
      </c>
      <c r="BF357" s="1277">
        <f t="shared" si="579"/>
        <v>0</v>
      </c>
      <c r="BG357" s="388">
        <f t="shared" si="580"/>
        <v>0</v>
      </c>
      <c r="BH357" s="1025"/>
      <c r="BI357" s="1282">
        <f t="shared" ca="1" si="581"/>
        <v>0</v>
      </c>
      <c r="BJ357" s="387">
        <f t="shared" ca="1" si="582"/>
        <v>0</v>
      </c>
      <c r="BK357" s="387">
        <f t="shared" ca="1" si="583"/>
        <v>0</v>
      </c>
      <c r="BL357" s="387">
        <f t="shared" ca="1" si="584"/>
        <v>0</v>
      </c>
      <c r="BM357" s="1283">
        <f t="shared" ca="1" si="585"/>
        <v>0</v>
      </c>
      <c r="BN357" s="386">
        <f t="shared" ca="1" si="586"/>
        <v>0</v>
      </c>
      <c r="BO357" s="387">
        <f t="shared" ca="1" si="587"/>
        <v>0</v>
      </c>
      <c r="BP357" s="1277">
        <f t="shared" ca="1" si="588"/>
        <v>0</v>
      </c>
      <c r="BQ357" s="1277">
        <f t="shared" ca="1" si="589"/>
        <v>0</v>
      </c>
      <c r="BR357" s="388">
        <f t="shared" ca="1" si="590"/>
        <v>0</v>
      </c>
      <c r="BS357" s="1025"/>
      <c r="BT357" s="1282">
        <f>+IF($K357="Ongoing",AX357,IF(RIGHT($K357,2)=RIGHT(BT$43,2),SUM($AX357:AX357),0)+IF(RIGHT(BT$43,2)&gt;RIGHT($K357,2),AX357,0))</f>
        <v>0</v>
      </c>
      <c r="BU357" s="387">
        <f>+IF($K357="Ongoing",AY357,IF(RIGHT($K357,2)=RIGHT(BU$43,2),SUM($AX357:AY357),0)+IF(RIGHT(BU$43,2)&gt;RIGHT($K357,2),AY357,0))</f>
        <v>0</v>
      </c>
      <c r="BV357" s="387">
        <f>+IF($K357="Ongoing",AZ357,IF(RIGHT($K357,2)=RIGHT(BV$43,2),SUM($AX357:AZ357),0)+IF(RIGHT(BV$43,2)&gt;RIGHT($K357,2),AZ357,0))</f>
        <v>0</v>
      </c>
      <c r="BW357" s="387">
        <f>+IF($K357="Ongoing",BA357,IF(RIGHT($K357,2)=RIGHT(BW$43,2),SUM($AX357:BA357),0)+IF(RIGHT(BW$43,2)&gt;RIGHT($K357,2),BA357,0))</f>
        <v>0</v>
      </c>
      <c r="BX357" s="1283">
        <f>+IF($K357="Ongoing",BB357,IF(RIGHT($K357,2)=RIGHT(BX$43,2),SUM($AX357:BB357),0)+IF(RIGHT(BX$43,2)&gt;RIGHT($K357,2),BB357,0))</f>
        <v>0</v>
      </c>
      <c r="BY357" s="386">
        <f>+IF($K357="Ongoing",BC357,IF(RIGHT($K357,2)=RIGHT(BY$43,2),SUM($AX357:BC357),0)+IF(RIGHT(BY$43,2)&gt;RIGHT($K357,2),BC357,0))</f>
        <v>0</v>
      </c>
      <c r="BZ357" s="387">
        <f>+IF($K357="Ongoing",BD357,IF(RIGHT($K357,2)=RIGHT(BZ$43,2),SUM($AX357:BD357),0)+IF(RIGHT(BZ$43,2)&gt;RIGHT($K357,2),BD357,0))</f>
        <v>0</v>
      </c>
      <c r="CA357" s="1277">
        <f>+IF($K357="Ongoing",BE357,IF(RIGHT($K357,2)=RIGHT(CA$43,2),SUM($AX357:BE357),0)+IF(RIGHT(CA$43,2)&gt;RIGHT($K357,2),BE357,0))</f>
        <v>0</v>
      </c>
      <c r="CB357" s="1277">
        <f>+IF($K357="Ongoing",BF357,IF(RIGHT($K357,2)=RIGHT(CB$43,2),SUM($AX357:BF357),0)+IF(RIGHT(CB$43,2)&gt;RIGHT($K357,2),BF357,0))</f>
        <v>0</v>
      </c>
      <c r="CC357" s="388">
        <f>+IF($K357="Ongoing",BG357,IF(RIGHT($K357,2)=RIGHT(CC$43,2),SUM($AX357:BG357),0)+IF(RIGHT(CC$43,2)&gt;RIGHT($K357,2),BG357,0))</f>
        <v>0</v>
      </c>
      <c r="CD357" s="1025"/>
      <c r="CE357" s="1282">
        <f>+Q357*KeyAssumptionsPriceControl_FO!AF$15</f>
        <v>0</v>
      </c>
      <c r="CF357" s="387">
        <f>+R357*KeyAssumptionsPriceControl_FO!AG$15</f>
        <v>0</v>
      </c>
      <c r="CG357" s="387">
        <f>+S357*KeyAssumptionsPriceControl_FO!AH$15</f>
        <v>0</v>
      </c>
      <c r="CH357" s="387">
        <f>+T357*KeyAssumptionsPriceControl_FO!AI$15</f>
        <v>0</v>
      </c>
      <c r="CI357" s="1283">
        <f>+U357*KeyAssumptionsPriceControl_FO!AJ$15</f>
        <v>0</v>
      </c>
      <c r="CJ357" s="386">
        <f>+V357*KeyAssumptionsPriceControl_FO!AK$15</f>
        <v>0</v>
      </c>
      <c r="CK357" s="387">
        <f>+W357*KeyAssumptionsPriceControl_FO!AL$15</f>
        <v>0</v>
      </c>
      <c r="CL357" s="1277">
        <f>+X357*KeyAssumptionsPriceControl_FO!AM$15</f>
        <v>0</v>
      </c>
      <c r="CM357" s="1277">
        <f>+Y357*KeyAssumptionsPriceControl_FO!AN$15</f>
        <v>0</v>
      </c>
      <c r="CN357" s="388">
        <f>+Z357*KeyAssumptionsPriceControl_FO!AO$15</f>
        <v>0</v>
      </c>
      <c r="CO357" s="1025"/>
      <c r="CP357" s="1282">
        <f t="shared" ca="1" si="591"/>
        <v>0</v>
      </c>
      <c r="CQ357" s="387">
        <f t="shared" ca="1" si="592"/>
        <v>0</v>
      </c>
      <c r="CR357" s="387">
        <f t="shared" ca="1" si="593"/>
        <v>0</v>
      </c>
      <c r="CS357" s="387">
        <f t="shared" ca="1" si="594"/>
        <v>0</v>
      </c>
      <c r="CT357" s="1283">
        <f t="shared" ca="1" si="595"/>
        <v>0</v>
      </c>
      <c r="CU357" s="386">
        <f t="shared" ca="1" si="596"/>
        <v>0</v>
      </c>
      <c r="CV357" s="387">
        <f t="shared" ca="1" si="597"/>
        <v>0</v>
      </c>
      <c r="CW357" s="1277">
        <f t="shared" ca="1" si="598"/>
        <v>0</v>
      </c>
      <c r="CX357" s="1277">
        <f t="shared" ca="1" si="599"/>
        <v>0</v>
      </c>
      <c r="CY357" s="388">
        <f t="shared" ca="1" si="600"/>
        <v>0</v>
      </c>
      <c r="CZ357" s="347"/>
      <c r="DA357" s="852"/>
      <c r="DB357" s="347"/>
      <c r="DC357" s="1012" t="s">
        <v>563</v>
      </c>
      <c r="DD357" s="841" t="s">
        <v>518</v>
      </c>
      <c r="DE357" s="386">
        <f>+IF($K357="ongoing",CE357,IF(RIGHT($K357,2)=RIGHT(DE$43,2),SUM($CD357:CE357),0)+IF(RIGHT(DE$43,2)&gt;RIGHT($K357,2),CE357,0))</f>
        <v>0</v>
      </c>
      <c r="DF357" s="387">
        <f>+IF($K357="ongoing",CF357,IF(RIGHT($K357,2)=RIGHT(DF$43,2),SUM($CD357:CF357),0)+IF(RIGHT(DF$43,2)&gt;RIGHT($K357,2),CF357,0))</f>
        <v>0</v>
      </c>
      <c r="DG357" s="388">
        <f>+IF($K357="ongoing",CG357,IF(RIGHT($K357,2)=RIGHT(DG$43,2),SUM($CD357:CG357),0)+IF(RIGHT(DG$43,2)&gt;RIGHT($K357,2),CG357,0))</f>
        <v>0</v>
      </c>
      <c r="DH357" s="386">
        <f>+IF($K357="ongoing",CH357,IF(RIGHT($K357,2)=RIGHT(DH$43,2),SUM($CD357:CH357),0)+IF(RIGHT(DH$43,2)&gt;RIGHT($K357,2),CH357,0))</f>
        <v>0</v>
      </c>
      <c r="DI357" s="387">
        <f>+IF($K357="ongoing",CI357,IF(RIGHT($K357,2)=RIGHT(DI$43,2),SUM($CD357:CI357),0)+IF(RIGHT(DI$43,2)&gt;RIGHT($K357,2),CI357,0))</f>
        <v>0</v>
      </c>
      <c r="DJ357" s="387">
        <f>+IF($K357="ongoing",CJ357,IF(RIGHT($K357,2)=RIGHT(DJ$43,2),SUM($CD357:CJ357),0)+IF(RIGHT(DJ$43,2)&gt;RIGHT($K357,2),CJ357,0))</f>
        <v>0</v>
      </c>
      <c r="DK357" s="387">
        <f>+IF($K357="ongoing",CK357,IF(RIGHT($K357,2)=RIGHT(DK$43,2),SUM($CD357:CK357),0)+IF(RIGHT(DK$43,2)&gt;RIGHT($K357,2),CK357,0))</f>
        <v>0</v>
      </c>
      <c r="DL357" s="388">
        <f>+IF($K357="ongoing",CN357,IF(RIGHT($K357,2)=RIGHT(DL$43,2),SUM($CD357:CN357),0)+IF(RIGHT(DL$43,2)&gt;RIGHT($K357,2),CN357,0))</f>
        <v>0</v>
      </c>
      <c r="DM357" s="841"/>
      <c r="DN357" s="386">
        <f t="shared" si="601"/>
        <v>0.5</v>
      </c>
      <c r="DO357" s="387">
        <f t="shared" si="602"/>
        <v>1</v>
      </c>
      <c r="DP357" s="388">
        <f t="shared" si="603"/>
        <v>1</v>
      </c>
      <c r="DQ357" s="386">
        <f t="shared" si="604"/>
        <v>1</v>
      </c>
      <c r="DR357" s="387">
        <f t="shared" si="605"/>
        <v>1</v>
      </c>
      <c r="DS357" s="387">
        <f t="shared" si="606"/>
        <v>1</v>
      </c>
      <c r="DT357" s="387">
        <f t="shared" si="607"/>
        <v>1</v>
      </c>
      <c r="DU357" s="388">
        <f t="shared" si="608"/>
        <v>1</v>
      </c>
      <c r="DW357" s="386">
        <f t="shared" si="609"/>
        <v>0</v>
      </c>
      <c r="DX357" s="387">
        <f t="shared" si="610"/>
        <v>0.5</v>
      </c>
      <c r="DY357" s="388">
        <f t="shared" si="611"/>
        <v>1</v>
      </c>
      <c r="DZ357" s="386">
        <f t="shared" si="612"/>
        <v>1</v>
      </c>
      <c r="EA357" s="387">
        <f t="shared" si="613"/>
        <v>1</v>
      </c>
      <c r="EB357" s="387">
        <f t="shared" si="614"/>
        <v>1</v>
      </c>
      <c r="EC357" s="387">
        <f t="shared" si="615"/>
        <v>1</v>
      </c>
      <c r="ED357" s="388">
        <f t="shared" si="616"/>
        <v>1</v>
      </c>
      <c r="EF357" s="834">
        <f>+IF(DN357=DM357,0,
IF(AND(EF$44&gt;1,DN357=$N357),1-SUM($EE357:EE357),
IF($N357&lt;=1,
IF($N357&gt;0,1/$N357,0),
IF(EF$44=1,0,VDB(1,0,$N357,INT(EF$44-1-1),MIN($N357,INT(EF$44-1-1)+1),$DC357,IF($DD357="No",1,0))/
IF(DM357&gt;=INT($N357),$N357-INT($N357),1)))*
IF(EF$44=1,0,
IF(INT(DN357)=INT(DM357),DN357-DM357,INT(DN357)-DM357))+
IF($N357&lt;=1,
IF($N357&gt;0,1/$N357,0),VDB(1,0,$N357,INT(EF$44-1),MIN($N357,INT(EF$44-1)+1),$DC357,IF($DD357="No",1,0))/
IF(DN357&gt;INT($N357),$N357-INT($N357),1))*
IF(EF$44=1,DN357,
IF(INT(DN357)=INT(DM357),0,DN357-INT(DN357)))))</f>
        <v>0</v>
      </c>
      <c r="EG357" s="835">
        <f>+IF(DO357=DN357,0,
IF(AND(EG$44&gt;1,DO357=$N357),1-SUM($EE357:EF357),
IF($N357&lt;=1,
IF($N357&gt;0,1/$N357,0),
IF(EG$44=1,0,VDB(1,0,$N357,INT(EG$44-1-1),MIN($N357,INT(EG$44-1-1)+1),$DC357,IF($DD357="No",1,0))/
IF(DN357&gt;=INT($N357),$N357-INT($N357),1)))*
IF(EG$44=1,0,
IF(INT(DO357)=INT(DN357),DO357-DN357,INT(DO357)-DN357))+
IF($N357&lt;=1,
IF($N357&gt;0,1/$N357,0),VDB(1,0,$N357,INT(EG$44-1),MIN($N357,INT(EG$44-1)+1),$DC357,IF($DD357="No",1,0))/
IF(DO357&gt;INT($N357),$N357-INT($N357),1))*
IF(EG$44=1,DO357,
IF(INT(DO357)=INT(DN357),0,DO357-INT(DO357)))))</f>
        <v>0</v>
      </c>
      <c r="EH357" s="836">
        <f>+IF(DP357=DO357,0,
IF(AND(EH$44&gt;1,DP357=$N357),1-SUM($EE357:EG357),
IF($N357&lt;=1,
IF($N357&gt;0,1/$N357,0),
IF(EH$44=1,0,VDB(1,0,$N357,INT(EH$44-1-1),MIN($N357,INT(EH$44-1-1)+1),$DC357,IF($DD357="No",1,0))/
IF(DO357&gt;=INT($N357),$N357-INT($N357),1)))*
IF(EH$44=1,0,
IF(INT(DP357)=INT(DO357),DP357-DO357,INT(DP357)-DO357))+
IF($N357&lt;=1,
IF($N357&gt;0,1/$N357,0),VDB(1,0,$N357,INT(EH$44-1),MIN($N357,INT(EH$44-1)+1),$DC357,IF($DD357="No",1,0))/
IF(DP357&gt;INT($N357),$N357-INT($N357),1))*
IF(EH$44=1,DP357,
IF(INT(DP357)=INT(DO357),0,DP357-INT(DP357)))))</f>
        <v>0</v>
      </c>
      <c r="EI357" s="834">
        <f>+IF(DQ357=DP357,0,
IF(AND(EI$44&gt;1,DQ357=$N357),1-SUM($EE357:EH357),
IF($N357&lt;=1,
IF($N357&gt;0,1/$N357,0),
IF(EI$44=1,0,VDB(1,0,$N357,INT(EI$44-1-1),MIN($N357,INT(EI$44-1-1)+1),$DC357,IF($DD357="No",1,0))/
IF(DP357&gt;=INT($N357),$N357-INT($N357),1)))*
IF(EI$44=1,0,
IF(INT(DQ357)=INT(DP357),DQ357-DP357,INT(DQ357)-DP357))+
IF($N357&lt;=1,
IF($N357&gt;0,1/$N357,0),VDB(1,0,$N357,INT(EI$44-1),MIN($N357,INT(EI$44-1)+1),$DC357,IF($DD357="No",1,0))/
IF(DQ357&gt;INT($N357),$N357-INT($N357),1))*
IF(EI$44=1,DQ357,
IF(INT(DQ357)=INT(DP357),0,DQ357-INT(DQ357)))))</f>
        <v>0</v>
      </c>
      <c r="EJ357" s="835">
        <f>+IF(DR357=DQ357,0,
IF(AND(EJ$44&gt;1,DR357=$N357),1-SUM($EE357:EI357),
IF($N357&lt;=1,
IF($N357&gt;0,1/$N357,0),
IF(EJ$44=1,0,VDB(1,0,$N357,INT(EJ$44-1-1),MIN($N357,INT(EJ$44-1-1)+1),$DC357,IF($DD357="No",1,0))/
IF(DQ357&gt;=INT($N357),$N357-INT($N357),1)))*
IF(EJ$44=1,0,
IF(INT(DR357)=INT(DQ357),DR357-DQ357,INT(DR357)-DQ357))+
IF($N357&lt;=1,
IF($N357&gt;0,1/$N357,0),VDB(1,0,$N357,INT(EJ$44-1),MIN($N357,INT(EJ$44-1)+1),$DC357,IF($DD357="No",1,0))/
IF(DR357&gt;INT($N357),$N357-INT($N357),1))*
IF(EJ$44=1,DR357,
IF(INT(DR357)=INT(DQ357),0,DR357-INT(DR357)))))</f>
        <v>0</v>
      </c>
      <c r="EK357" s="835">
        <f>+IF(DS357=DR357,0,
IF(AND(EK$44&gt;1,DS357=$N357),1-SUM($EE357:EJ357),
IF($N357&lt;=1,
IF($N357&gt;0,1/$N357,0),
IF(EK$44=1,0,VDB(1,0,$N357,INT(EK$44-1-1),MIN($N357,INT(EK$44-1-1)+1),$DC357,IF($DD357="No",1,0))/
IF(DR357&gt;=INT($N357),$N357-INT($N357),1)))*
IF(EK$44=1,0,
IF(INT(DS357)=INT(DR357),DS357-DR357,INT(DS357)-DR357))+
IF($N357&lt;=1,
IF($N357&gt;0,1/$N357,0),VDB(1,0,$N357,INT(EK$44-1),MIN($N357,INT(EK$44-1)+1),$DC357,IF($DD357="No",1,0))/
IF(DS357&gt;INT($N357),$N357-INT($N357),1))*
IF(EK$44=1,DS357,
IF(INT(DS357)=INT(DR357),0,DS357-INT(DS357)))))</f>
        <v>0</v>
      </c>
      <c r="EL357" s="835">
        <f>+IF(DT357=DS357,0,
IF(AND(EL$44&gt;1,DT357=$N357),1-SUM($EE357:EK357),
IF($N357&lt;=1,
IF($N357&gt;0,1/$N357,0),
IF(EL$44=1,0,VDB(1,0,$N357,INT(EL$44-1-1),MIN($N357,INT(EL$44-1-1)+1),$DC357,IF($DD357="No",1,0))/
IF(DS357&gt;=INT($N357),$N357-INT($N357),1)))*
IF(EL$44=1,0,
IF(INT(DT357)=INT(DS357),DT357-DS357,INT(DT357)-DS357))+
IF($N357&lt;=1,
IF($N357&gt;0,1/$N357,0),VDB(1,0,$N357,INT(EL$44-1),MIN($N357,INT(EL$44-1)+1),$DC357,IF($DD357="No",1,0))/
IF(DT357&gt;INT($N357),$N357-INT($N357),1))*
IF(EL$44=1,DT357,
IF(INT(DT357)=INT(DS357),0,DT357-INT(DT357)))))</f>
        <v>0</v>
      </c>
      <c r="EM357" s="836">
        <f>+IF(DU357=DT357,0,
IF(AND(EM$44&gt;1,DU357=$N357),1-SUM($EE357:EL357),
IF($N357&lt;=1,
IF($N357&gt;0,1/$N357,0),
IF(EM$44=1,0,VDB(1,0,$N357,INT(EM$44-1-1),MIN($N357,INT(EM$44-1-1)+1),$DC357,IF($DD357="No",1,0))/
IF(DT357&gt;=INT($N357),$N357-INT($N357),1)))*
IF(EM$44=1,0,
IF(INT(DU357)=INT(DT357),DU357-DT357,INT(DU357)-DT357))+
IF($N357&lt;=1,
IF($N357&gt;0,1/$N357,0),VDB(1,0,$N357,INT(EM$44-1),MIN($N357,INT(EM$44-1)+1),$DC357,IF($DD357="No",1,0))/
IF(DU357&gt;INT($N357),$N357-INT($N357),1))*
IF(EM$44=1,DU357,
IF(INT(DU357)=INT(DT357),0,DU357-INT(DU357)))))</f>
        <v>0</v>
      </c>
      <c r="EN357" s="833"/>
      <c r="EO357" s="834">
        <f>+IF(OR(DW357=DV357,EO$44=1),0,
IF(AND(EO$44&gt;1,DW357=$N357),1-SUM($EN357:EN357),
IF($N357&lt;=1,
IF($N357&gt;0,1/$N357,0),
IF(EO$44=2,0,VDB(1,0,$N357,INT(EO$44-2-1),MIN($N357,INT(EO$44-2-1)+1),$DC357,IF($DD357="No",1,0))/
IF(DV357&gt;=INT($N357),$N357-INT($N357),1)))*
IF(EO$44=2,0,
IF(INT(DW357)=INT(DV357),DW357-DV357,INT(DW357)-DV357))+
IF($N357&lt;=1,
IF($N357&gt;0,1/$N357,0),VDB(1,0,$N357,INT(EO$44-2),MIN($N357,INT(EO$44-2)+1),$DC357,IF($DD357="No",1,0))/
IF(DW357&gt;INT($N357),$N357-INT($N357),1))*
IF(EO$44=2,DW357,
IF(INT(DW357)=INT(DV357),0,DW357-INT(DW357)))))</f>
        <v>0</v>
      </c>
      <c r="EP357" s="835">
        <f>+IF(OR(DX357=DW357,EP$44=1),0,
IF(AND(EP$44&gt;1,DX357=$N357),1-SUM($EN357:EO357),
IF($N357&lt;=1,
IF($N357&gt;0,1/$N357,0),
IF(EP$44=2,0,VDB(1,0,$N357,INT(EP$44-2-1),MIN($N357,INT(EP$44-2-1)+1),$DC357,IF($DD357="No",1,0))/
IF(DW357&gt;=INT($N357),$N357-INT($N357),1)))*
IF(EP$44=2,0,
IF(INT(DX357)=INT(DW357),DX357-DW357,INT(DX357)-DW357))+
IF($N357&lt;=1,
IF($N357&gt;0,1/$N357,0),VDB(1,0,$N357,INT(EP$44-2),MIN($N357,INT(EP$44-2)+1),$DC357,IF($DD357="No",1,0))/
IF(DX357&gt;INT($N357),$N357-INT($N357),1))*
IF(EP$44=2,DX357,
IF(INT(DX357)=INT(DW357),0,DX357-INT(DX357)))))</f>
        <v>0</v>
      </c>
      <c r="EQ357" s="836">
        <f>+IF(OR(DY357=DX357,EQ$44=1),0,
IF(AND(EQ$44&gt;1,DY357=$N357),1-SUM($EN357:EP357),
IF($N357&lt;=1,
IF($N357&gt;0,1/$N357,0),
IF(EQ$44=2,0,VDB(1,0,$N357,INT(EQ$44-2-1),MIN($N357,INT(EQ$44-2-1)+1),$DC357,IF($DD357="No",1,0))/
IF(DX357&gt;=INT($N357),$N357-INT($N357),1)))*
IF(EQ$44=2,0,
IF(INT(DY357)=INT(DX357),DY357-DX357,INT(DY357)-DX357))+
IF($N357&lt;=1,
IF($N357&gt;0,1/$N357,0),VDB(1,0,$N357,INT(EQ$44-2),MIN($N357,INT(EQ$44-2)+1),$DC357,IF($DD357="No",1,0))/
IF(DY357&gt;INT($N357),$N357-INT($N357),1))*
IF(EQ$44=2,DY357,
IF(INT(DY357)=INT(DX357),0,DY357-INT(DY357)))))</f>
        <v>0</v>
      </c>
      <c r="ER357" s="834">
        <f>+IF(OR(DZ357=DY357,ER$44=1),0,
IF(AND(ER$44&gt;1,DZ357=$N357),1-SUM($EN357:EQ357),
IF($N357&lt;=1,
IF($N357&gt;0,1/$N357,0),
IF(ER$44=2,0,VDB(1,0,$N357,INT(ER$44-2-1),MIN($N357,INT(ER$44-2-1)+1),$DC357,IF($DD357="No",1,0))/
IF(DY357&gt;=INT($N357),$N357-INT($N357),1)))*
IF(ER$44=2,0,
IF(INT(DZ357)=INT(DY357),DZ357-DY357,INT(DZ357)-DY357))+
IF($N357&lt;=1,
IF($N357&gt;0,1/$N357,0),VDB(1,0,$N357,INT(ER$44-2),MIN($N357,INT(ER$44-2)+1),$DC357,IF($DD357="No",1,0))/
IF(DZ357&gt;INT($N357),$N357-INT($N357),1))*
IF(ER$44=2,DZ357,
IF(INT(DZ357)=INT(DY357),0,DZ357-INT(DZ357)))))</f>
        <v>0</v>
      </c>
      <c r="ES357" s="835">
        <f>+IF(OR(EA357=DZ357,ES$44=1),0,
IF(AND(ES$44&gt;1,EA357=$N357),1-SUM($EN357:ER357),
IF($N357&lt;=1,
IF($N357&gt;0,1/$N357,0),
IF(ES$44=2,0,VDB(1,0,$N357,INT(ES$44-2-1),MIN($N357,INT(ES$44-2-1)+1),$DC357,IF($DD357="No",1,0))/
IF(DZ357&gt;=INT($N357),$N357-INT($N357),1)))*
IF(ES$44=2,0,
IF(INT(EA357)=INT(DZ357),EA357-DZ357,INT(EA357)-DZ357))+
IF($N357&lt;=1,
IF($N357&gt;0,1/$N357,0),VDB(1,0,$N357,INT(ES$44-2),MIN($N357,INT(ES$44-2)+1),$DC357,IF($DD357="No",1,0))/
IF(EA357&gt;INT($N357),$N357-INT($N357),1))*
IF(ES$44=2,EA357,
IF(INT(EA357)=INT(DZ357),0,EA357-INT(EA357)))))</f>
        <v>0</v>
      </c>
      <c r="ET357" s="835">
        <f>+IF(OR(EB357=EA357,ET$44=1),0,
IF(AND(ET$44&gt;1,EB357=$N357),1-SUM($EN357:ES357),
IF($N357&lt;=1,
IF($N357&gt;0,1/$N357,0),
IF(ET$44=2,0,VDB(1,0,$N357,INT(ET$44-2-1),MIN($N357,INT(ET$44-2-1)+1),$DC357,IF($DD357="No",1,0))/
IF(EA357&gt;=INT($N357),$N357-INT($N357),1)))*
IF(ET$44=2,0,
IF(INT(EB357)=INT(EA357),EB357-EA357,INT(EB357)-EA357))+
IF($N357&lt;=1,
IF($N357&gt;0,1/$N357,0),VDB(1,0,$N357,INT(ET$44-2),MIN($N357,INT(ET$44-2)+1),$DC357,IF($DD357="No",1,0))/
IF(EB357&gt;INT($N357),$N357-INT($N357),1))*
IF(ET$44=2,EB357,
IF(INT(EB357)=INT(EA357),0,EB357-INT(EB357)))))</f>
        <v>0</v>
      </c>
      <c r="EU357" s="835">
        <f>+IF(OR(EC357=EB357,EU$44=1),0,
IF(AND(EU$44&gt;1,EC357=$N357),1-SUM($EN357:ET357),
IF($N357&lt;=1,
IF($N357&gt;0,1/$N357,0),
IF(EU$44=2,0,VDB(1,0,$N357,INT(EU$44-2-1),MIN($N357,INT(EU$44-2-1)+1),$DC357,IF($DD357="No",1,0))/
IF(EB357&gt;=INT($N357),$N357-INT($N357),1)))*
IF(EU$44=2,0,
IF(INT(EC357)=INT(EB357),EC357-EB357,INT(EC357)-EB357))+
IF($N357&lt;=1,
IF($N357&gt;0,1/$N357,0),VDB(1,0,$N357,INT(EU$44-2),MIN($N357,INT(EU$44-2)+1),$DC357,IF($DD357="No",1,0))/
IF(EC357&gt;INT($N357),$N357-INT($N357),1))*
IF(EU$44=2,EC357,
IF(INT(EC357)=INT(EB357),0,EC357-INT(EC357)))))</f>
        <v>0</v>
      </c>
      <c r="EV357" s="836">
        <f>+IF(OR(ED357=EC357,EV$44=1),0,
IF(AND(EV$44&gt;1,ED357=$N357),1-SUM($EN357:EU357),
IF($N357&lt;=1,
IF($N357&gt;0,1/$N357,0),
IF(EV$44=2,0,VDB(1,0,$N357,INT(EV$44-2-1),MIN($N357,INT(EV$44-2-1)+1),$DC357,IF($DD357="No",1,0))/
IF(EC357&gt;=INT($N357),$N357-INT($N357),1)))*
IF(EV$44=2,0,
IF(INT(ED357)=INT(EC357),ED357-EC357,INT(ED357)-EC357))+
IF($N357&lt;=1,
IF($N357&gt;0,1/$N357,0),VDB(1,0,$N357,INT(EV$44-2),MIN($N357,INT(EV$44-2)+1),$DC357,IF($DD357="No",1,0))/
IF(ED357&gt;INT($N357),$N357-INT($N357),1))*
IF(EV$44=2,ED357,
IF(INT(ED357)=INT(EC357),0,ED357-INT(ED357)))))</f>
        <v>0</v>
      </c>
      <c r="EW357" s="833"/>
      <c r="EX357" s="834">
        <f t="shared" ca="1" si="570"/>
        <v>0</v>
      </c>
      <c r="EY357" s="835">
        <f t="shared" ca="1" si="570"/>
        <v>0</v>
      </c>
      <c r="EZ357" s="836">
        <f t="shared" ca="1" si="570"/>
        <v>0</v>
      </c>
      <c r="FA357" s="834">
        <f t="shared" ca="1" si="570"/>
        <v>0</v>
      </c>
      <c r="FB357" s="835">
        <f t="shared" ca="1" si="570"/>
        <v>0</v>
      </c>
      <c r="FC357" s="835">
        <f t="shared" ca="1" si="570"/>
        <v>0</v>
      </c>
      <c r="FD357" s="835">
        <f t="shared" ca="1" si="570"/>
        <v>0</v>
      </c>
      <c r="FE357" s="836">
        <f t="shared" ca="1" si="570"/>
        <v>0</v>
      </c>
      <c r="FG357" s="386">
        <f t="shared" ca="1" si="617"/>
        <v>0</v>
      </c>
      <c r="FH357" s="387">
        <f t="shared" ca="1" si="618"/>
        <v>0</v>
      </c>
      <c r="FI357" s="388">
        <f t="shared" ca="1" si="619"/>
        <v>0</v>
      </c>
      <c r="FJ357" s="386">
        <f t="shared" ca="1" si="620"/>
        <v>0</v>
      </c>
      <c r="FK357" s="387">
        <f t="shared" ca="1" si="621"/>
        <v>0</v>
      </c>
      <c r="FL357" s="387">
        <f t="shared" ca="1" si="622"/>
        <v>0</v>
      </c>
      <c r="FM357" s="387">
        <f t="shared" ca="1" si="623"/>
        <v>0</v>
      </c>
      <c r="FN357" s="388">
        <f t="shared" ca="1" si="624"/>
        <v>0</v>
      </c>
      <c r="FR357" s="116"/>
    </row>
    <row r="358" spans="2:174">
      <c r="B358" s="1410">
        <f t="shared" si="556"/>
        <v>312</v>
      </c>
      <c r="C358" s="400"/>
      <c r="D358" s="410"/>
      <c r="E358" s="402"/>
      <c r="F358" s="402"/>
      <c r="G358" s="400"/>
      <c r="H358" s="2088"/>
      <c r="I358" s="2089"/>
      <c r="J358" s="411"/>
      <c r="K358" s="403"/>
      <c r="L358" s="403"/>
      <c r="M358" s="403"/>
      <c r="N358" s="403"/>
      <c r="O358" s="347"/>
      <c r="P358" s="347"/>
      <c r="Q358" s="1021"/>
      <c r="R358" s="1022"/>
      <c r="S358" s="1022"/>
      <c r="T358" s="1022"/>
      <c r="U358" s="1023"/>
      <c r="V358" s="1021"/>
      <c r="W358" s="1022"/>
      <c r="X358" s="1022"/>
      <c r="Y358" s="1022"/>
      <c r="Z358" s="1023"/>
      <c r="AA358" s="1024"/>
      <c r="AB358" s="1021"/>
      <c r="AC358" s="1022"/>
      <c r="AD358" s="1022"/>
      <c r="AE358" s="1022"/>
      <c r="AF358" s="1023"/>
      <c r="AG358" s="1021"/>
      <c r="AH358" s="1022"/>
      <c r="AI358" s="1022"/>
      <c r="AJ358" s="1022"/>
      <c r="AK358" s="1023"/>
      <c r="AL358" s="1024"/>
      <c r="AM358" s="1021"/>
      <c r="AN358" s="1022"/>
      <c r="AO358" s="1022"/>
      <c r="AP358" s="1022"/>
      <c r="AQ358" s="1023"/>
      <c r="AR358" s="1021"/>
      <c r="AS358" s="1022"/>
      <c r="AT358" s="1022"/>
      <c r="AU358" s="1022"/>
      <c r="AV358" s="1023"/>
      <c r="AW358" s="1025"/>
      <c r="AX358" s="1282">
        <f t="shared" si="571"/>
        <v>0</v>
      </c>
      <c r="AY358" s="387">
        <f t="shared" si="572"/>
        <v>0</v>
      </c>
      <c r="AZ358" s="387">
        <f t="shared" si="573"/>
        <v>0</v>
      </c>
      <c r="BA358" s="387">
        <f t="shared" si="574"/>
        <v>0</v>
      </c>
      <c r="BB358" s="1283">
        <f t="shared" si="575"/>
        <v>0</v>
      </c>
      <c r="BC358" s="386">
        <f t="shared" si="576"/>
        <v>0</v>
      </c>
      <c r="BD358" s="387">
        <f t="shared" si="577"/>
        <v>0</v>
      </c>
      <c r="BE358" s="1277">
        <f t="shared" si="578"/>
        <v>0</v>
      </c>
      <c r="BF358" s="1277">
        <f t="shared" si="579"/>
        <v>0</v>
      </c>
      <c r="BG358" s="388">
        <f t="shared" si="580"/>
        <v>0</v>
      </c>
      <c r="BH358" s="1025"/>
      <c r="BI358" s="1282">
        <f t="shared" ca="1" si="581"/>
        <v>0</v>
      </c>
      <c r="BJ358" s="387">
        <f t="shared" ca="1" si="582"/>
        <v>0</v>
      </c>
      <c r="BK358" s="387">
        <f t="shared" ca="1" si="583"/>
        <v>0</v>
      </c>
      <c r="BL358" s="387">
        <f t="shared" ca="1" si="584"/>
        <v>0</v>
      </c>
      <c r="BM358" s="1283">
        <f t="shared" ca="1" si="585"/>
        <v>0</v>
      </c>
      <c r="BN358" s="386">
        <f t="shared" ca="1" si="586"/>
        <v>0</v>
      </c>
      <c r="BO358" s="387">
        <f t="shared" ca="1" si="587"/>
        <v>0</v>
      </c>
      <c r="BP358" s="1277">
        <f t="shared" ca="1" si="588"/>
        <v>0</v>
      </c>
      <c r="BQ358" s="1277">
        <f t="shared" ca="1" si="589"/>
        <v>0</v>
      </c>
      <c r="BR358" s="388">
        <f t="shared" ca="1" si="590"/>
        <v>0</v>
      </c>
      <c r="BS358" s="1025"/>
      <c r="BT358" s="1282">
        <f>+IF($K358="Ongoing",AX358,IF(RIGHT($K358,2)=RIGHT(BT$43,2),SUM($AX358:AX358),0)+IF(RIGHT(BT$43,2)&gt;RIGHT($K358,2),AX358,0))</f>
        <v>0</v>
      </c>
      <c r="BU358" s="387">
        <f>+IF($K358="Ongoing",AY358,IF(RIGHT($K358,2)=RIGHT(BU$43,2),SUM($AX358:AY358),0)+IF(RIGHT(BU$43,2)&gt;RIGHT($K358,2),AY358,0))</f>
        <v>0</v>
      </c>
      <c r="BV358" s="387">
        <f>+IF($K358="Ongoing",AZ358,IF(RIGHT($K358,2)=RIGHT(BV$43,2),SUM($AX358:AZ358),0)+IF(RIGHT(BV$43,2)&gt;RIGHT($K358,2),AZ358,0))</f>
        <v>0</v>
      </c>
      <c r="BW358" s="387">
        <f>+IF($K358="Ongoing",BA358,IF(RIGHT($K358,2)=RIGHT(BW$43,2),SUM($AX358:BA358),0)+IF(RIGHT(BW$43,2)&gt;RIGHT($K358,2),BA358,0))</f>
        <v>0</v>
      </c>
      <c r="BX358" s="1283">
        <f>+IF($K358="Ongoing",BB358,IF(RIGHT($K358,2)=RIGHT(BX$43,2),SUM($AX358:BB358),0)+IF(RIGHT(BX$43,2)&gt;RIGHT($K358,2),BB358,0))</f>
        <v>0</v>
      </c>
      <c r="BY358" s="386">
        <f>+IF($K358="Ongoing",BC358,IF(RIGHT($K358,2)=RIGHT(BY$43,2),SUM($AX358:BC358),0)+IF(RIGHT(BY$43,2)&gt;RIGHT($K358,2),BC358,0))</f>
        <v>0</v>
      </c>
      <c r="BZ358" s="387">
        <f>+IF($K358="Ongoing",BD358,IF(RIGHT($K358,2)=RIGHT(BZ$43,2),SUM($AX358:BD358),0)+IF(RIGHT(BZ$43,2)&gt;RIGHT($K358,2),BD358,0))</f>
        <v>0</v>
      </c>
      <c r="CA358" s="1277">
        <f>+IF($K358="Ongoing",BE358,IF(RIGHT($K358,2)=RIGHT(CA$43,2),SUM($AX358:BE358),0)+IF(RIGHT(CA$43,2)&gt;RIGHT($K358,2),BE358,0))</f>
        <v>0</v>
      </c>
      <c r="CB358" s="1277">
        <f>+IF($K358="Ongoing",BF358,IF(RIGHT($K358,2)=RIGHT(CB$43,2),SUM($AX358:BF358),0)+IF(RIGHT(CB$43,2)&gt;RIGHT($K358,2),BF358,0))</f>
        <v>0</v>
      </c>
      <c r="CC358" s="388">
        <f>+IF($K358="Ongoing",BG358,IF(RIGHT($K358,2)=RIGHT(CC$43,2),SUM($AX358:BG358),0)+IF(RIGHT(CC$43,2)&gt;RIGHT($K358,2),BG358,0))</f>
        <v>0</v>
      </c>
      <c r="CD358" s="1025"/>
      <c r="CE358" s="1282">
        <f>+Q358*KeyAssumptionsPriceControl_FO!AF$15</f>
        <v>0</v>
      </c>
      <c r="CF358" s="387">
        <f>+R358*KeyAssumptionsPriceControl_FO!AG$15</f>
        <v>0</v>
      </c>
      <c r="CG358" s="387">
        <f>+S358*KeyAssumptionsPriceControl_FO!AH$15</f>
        <v>0</v>
      </c>
      <c r="CH358" s="387">
        <f>+T358*KeyAssumptionsPriceControl_FO!AI$15</f>
        <v>0</v>
      </c>
      <c r="CI358" s="1283">
        <f>+U358*KeyAssumptionsPriceControl_FO!AJ$15</f>
        <v>0</v>
      </c>
      <c r="CJ358" s="386">
        <f>+V358*KeyAssumptionsPriceControl_FO!AK$15</f>
        <v>0</v>
      </c>
      <c r="CK358" s="387">
        <f>+W358*KeyAssumptionsPriceControl_FO!AL$15</f>
        <v>0</v>
      </c>
      <c r="CL358" s="1277">
        <f>+X358*KeyAssumptionsPriceControl_FO!AM$15</f>
        <v>0</v>
      </c>
      <c r="CM358" s="1277">
        <f>+Y358*KeyAssumptionsPriceControl_FO!AN$15</f>
        <v>0</v>
      </c>
      <c r="CN358" s="388">
        <f>+Z358*KeyAssumptionsPriceControl_FO!AO$15</f>
        <v>0</v>
      </c>
      <c r="CO358" s="1025"/>
      <c r="CP358" s="1282">
        <f t="shared" ca="1" si="591"/>
        <v>0</v>
      </c>
      <c r="CQ358" s="387">
        <f t="shared" ca="1" si="592"/>
        <v>0</v>
      </c>
      <c r="CR358" s="387">
        <f t="shared" ca="1" si="593"/>
        <v>0</v>
      </c>
      <c r="CS358" s="387">
        <f t="shared" ca="1" si="594"/>
        <v>0</v>
      </c>
      <c r="CT358" s="1283">
        <f t="shared" ca="1" si="595"/>
        <v>0</v>
      </c>
      <c r="CU358" s="386">
        <f t="shared" ca="1" si="596"/>
        <v>0</v>
      </c>
      <c r="CV358" s="387">
        <f t="shared" ca="1" si="597"/>
        <v>0</v>
      </c>
      <c r="CW358" s="1277">
        <f t="shared" ca="1" si="598"/>
        <v>0</v>
      </c>
      <c r="CX358" s="1277">
        <f t="shared" ca="1" si="599"/>
        <v>0</v>
      </c>
      <c r="CY358" s="388">
        <f t="shared" ca="1" si="600"/>
        <v>0</v>
      </c>
      <c r="CZ358" s="347"/>
      <c r="DA358" s="852"/>
      <c r="DB358" s="347"/>
      <c r="DC358" s="1012" t="s">
        <v>565</v>
      </c>
      <c r="DD358" s="841" t="s">
        <v>518</v>
      </c>
      <c r="DE358" s="386">
        <f>+IF($K358="ongoing",CE358,IF(RIGHT($K358,2)=RIGHT(DE$43,2),SUM($CD358:CE358),0)+IF(RIGHT(DE$43,2)&gt;RIGHT($K358,2),CE358,0))</f>
        <v>0</v>
      </c>
      <c r="DF358" s="387">
        <f>+IF($K358="ongoing",CF358,IF(RIGHT($K358,2)=RIGHT(DF$43,2),SUM($CD358:CF358),0)+IF(RIGHT(DF$43,2)&gt;RIGHT($K358,2),CF358,0))</f>
        <v>0</v>
      </c>
      <c r="DG358" s="388">
        <f>+IF($K358="ongoing",CG358,IF(RIGHT($K358,2)=RIGHT(DG$43,2),SUM($CD358:CG358),0)+IF(RIGHT(DG$43,2)&gt;RIGHT($K358,2),CG358,0))</f>
        <v>0</v>
      </c>
      <c r="DH358" s="386">
        <f>+IF($K358="ongoing",CH358,IF(RIGHT($K358,2)=RIGHT(DH$43,2),SUM($CD358:CH358),0)+IF(RIGHT(DH$43,2)&gt;RIGHT($K358,2),CH358,0))</f>
        <v>0</v>
      </c>
      <c r="DI358" s="387">
        <f>+IF($K358="ongoing",CI358,IF(RIGHT($K358,2)=RIGHT(DI$43,2),SUM($CD358:CI358),0)+IF(RIGHT(DI$43,2)&gt;RIGHT($K358,2),CI358,0))</f>
        <v>0</v>
      </c>
      <c r="DJ358" s="387">
        <f>+IF($K358="ongoing",CJ358,IF(RIGHT($K358,2)=RIGHT(DJ$43,2),SUM($CD358:CJ358),0)+IF(RIGHT(DJ$43,2)&gt;RIGHT($K358,2),CJ358,0))</f>
        <v>0</v>
      </c>
      <c r="DK358" s="387">
        <f>+IF($K358="ongoing",CK358,IF(RIGHT($K358,2)=RIGHT(DK$43,2),SUM($CD358:CK358),0)+IF(RIGHT(DK$43,2)&gt;RIGHT($K358,2),CK358,0))</f>
        <v>0</v>
      </c>
      <c r="DL358" s="388">
        <f>+IF($K358="ongoing",CN358,IF(RIGHT($K358,2)=RIGHT(DL$43,2),SUM($CD358:CN358),0)+IF(RIGHT(DL$43,2)&gt;RIGHT($K358,2),CN358,0))</f>
        <v>0</v>
      </c>
      <c r="DM358" s="841"/>
      <c r="DN358" s="386">
        <f t="shared" si="601"/>
        <v>0.5</v>
      </c>
      <c r="DO358" s="387">
        <f t="shared" si="602"/>
        <v>1</v>
      </c>
      <c r="DP358" s="388">
        <f t="shared" si="603"/>
        <v>1</v>
      </c>
      <c r="DQ358" s="386">
        <f t="shared" si="604"/>
        <v>1</v>
      </c>
      <c r="DR358" s="387">
        <f t="shared" si="605"/>
        <v>1</v>
      </c>
      <c r="DS358" s="387">
        <f t="shared" si="606"/>
        <v>1</v>
      </c>
      <c r="DT358" s="387">
        <f t="shared" si="607"/>
        <v>1</v>
      </c>
      <c r="DU358" s="388">
        <f t="shared" si="608"/>
        <v>1</v>
      </c>
      <c r="DW358" s="386">
        <f t="shared" si="609"/>
        <v>0</v>
      </c>
      <c r="DX358" s="387">
        <f t="shared" si="610"/>
        <v>0.5</v>
      </c>
      <c r="DY358" s="388">
        <f t="shared" si="611"/>
        <v>1</v>
      </c>
      <c r="DZ358" s="386">
        <f t="shared" si="612"/>
        <v>1</v>
      </c>
      <c r="EA358" s="387">
        <f t="shared" si="613"/>
        <v>1</v>
      </c>
      <c r="EB358" s="387">
        <f t="shared" si="614"/>
        <v>1</v>
      </c>
      <c r="EC358" s="387">
        <f t="shared" si="615"/>
        <v>1</v>
      </c>
      <c r="ED358" s="388">
        <f t="shared" si="616"/>
        <v>1</v>
      </c>
      <c r="EF358" s="834">
        <f>+IF(DN358=DM358,0,
IF(AND(EF$44&gt;1,DN358=$N358),1-SUM($EE358:EE358),
IF($N358&lt;=1,
IF($N358&gt;0,1/$N358,0),
IF(EF$44=1,0,VDB(1,0,$N358,INT(EF$44-1-1),MIN($N358,INT(EF$44-1-1)+1),$DC358,IF($DD358="No",1,0))/
IF(DM358&gt;=INT($N358),$N358-INT($N358),1)))*
IF(EF$44=1,0,
IF(INT(DN358)=INT(DM358),DN358-DM358,INT(DN358)-DM358))+
IF($N358&lt;=1,
IF($N358&gt;0,1/$N358,0),VDB(1,0,$N358,INT(EF$44-1),MIN($N358,INT(EF$44-1)+1),$DC358,IF($DD358="No",1,0))/
IF(DN358&gt;INT($N358),$N358-INT($N358),1))*
IF(EF$44=1,DN358,
IF(INT(DN358)=INT(DM358),0,DN358-INT(DN358)))))</f>
        <v>0</v>
      </c>
      <c r="EG358" s="835">
        <f>+IF(DO358=DN358,0,
IF(AND(EG$44&gt;1,DO358=$N358),1-SUM($EE358:EF358),
IF($N358&lt;=1,
IF($N358&gt;0,1/$N358,0),
IF(EG$44=1,0,VDB(1,0,$N358,INT(EG$44-1-1),MIN($N358,INT(EG$44-1-1)+1),$DC358,IF($DD358="No",1,0))/
IF(DN358&gt;=INT($N358),$N358-INT($N358),1)))*
IF(EG$44=1,0,
IF(INT(DO358)=INT(DN358),DO358-DN358,INT(DO358)-DN358))+
IF($N358&lt;=1,
IF($N358&gt;0,1/$N358,0),VDB(1,0,$N358,INT(EG$44-1),MIN($N358,INT(EG$44-1)+1),$DC358,IF($DD358="No",1,0))/
IF(DO358&gt;INT($N358),$N358-INT($N358),1))*
IF(EG$44=1,DO358,
IF(INT(DO358)=INT(DN358),0,DO358-INT(DO358)))))</f>
        <v>0</v>
      </c>
      <c r="EH358" s="836">
        <f>+IF(DP358=DO358,0,
IF(AND(EH$44&gt;1,DP358=$N358),1-SUM($EE358:EG358),
IF($N358&lt;=1,
IF($N358&gt;0,1/$N358,0),
IF(EH$44=1,0,VDB(1,0,$N358,INT(EH$44-1-1),MIN($N358,INT(EH$44-1-1)+1),$DC358,IF($DD358="No",1,0))/
IF(DO358&gt;=INT($N358),$N358-INT($N358),1)))*
IF(EH$44=1,0,
IF(INT(DP358)=INT(DO358),DP358-DO358,INT(DP358)-DO358))+
IF($N358&lt;=1,
IF($N358&gt;0,1/$N358,0),VDB(1,0,$N358,INT(EH$44-1),MIN($N358,INT(EH$44-1)+1),$DC358,IF($DD358="No",1,0))/
IF(DP358&gt;INT($N358),$N358-INT($N358),1))*
IF(EH$44=1,DP358,
IF(INT(DP358)=INT(DO358),0,DP358-INT(DP358)))))</f>
        <v>0</v>
      </c>
      <c r="EI358" s="834">
        <f>+IF(DQ358=DP358,0,
IF(AND(EI$44&gt;1,DQ358=$N358),1-SUM($EE358:EH358),
IF($N358&lt;=1,
IF($N358&gt;0,1/$N358,0),
IF(EI$44=1,0,VDB(1,0,$N358,INT(EI$44-1-1),MIN($N358,INT(EI$44-1-1)+1),$DC358,IF($DD358="No",1,0))/
IF(DP358&gt;=INT($N358),$N358-INT($N358),1)))*
IF(EI$44=1,0,
IF(INT(DQ358)=INT(DP358),DQ358-DP358,INT(DQ358)-DP358))+
IF($N358&lt;=1,
IF($N358&gt;0,1/$N358,0),VDB(1,0,$N358,INT(EI$44-1),MIN($N358,INT(EI$44-1)+1),$DC358,IF($DD358="No",1,0))/
IF(DQ358&gt;INT($N358),$N358-INT($N358),1))*
IF(EI$44=1,DQ358,
IF(INT(DQ358)=INT(DP358),0,DQ358-INT(DQ358)))))</f>
        <v>0</v>
      </c>
      <c r="EJ358" s="835">
        <f>+IF(DR358=DQ358,0,
IF(AND(EJ$44&gt;1,DR358=$N358),1-SUM($EE358:EI358),
IF($N358&lt;=1,
IF($N358&gt;0,1/$N358,0),
IF(EJ$44=1,0,VDB(1,0,$N358,INT(EJ$44-1-1),MIN($N358,INT(EJ$44-1-1)+1),$DC358,IF($DD358="No",1,0))/
IF(DQ358&gt;=INT($N358),$N358-INT($N358),1)))*
IF(EJ$44=1,0,
IF(INT(DR358)=INT(DQ358),DR358-DQ358,INT(DR358)-DQ358))+
IF($N358&lt;=1,
IF($N358&gt;0,1/$N358,0),VDB(1,0,$N358,INT(EJ$44-1),MIN($N358,INT(EJ$44-1)+1),$DC358,IF($DD358="No",1,0))/
IF(DR358&gt;INT($N358),$N358-INT($N358),1))*
IF(EJ$44=1,DR358,
IF(INT(DR358)=INT(DQ358),0,DR358-INT(DR358)))))</f>
        <v>0</v>
      </c>
      <c r="EK358" s="835">
        <f>+IF(DS358=DR358,0,
IF(AND(EK$44&gt;1,DS358=$N358),1-SUM($EE358:EJ358),
IF($N358&lt;=1,
IF($N358&gt;0,1/$N358,0),
IF(EK$44=1,0,VDB(1,0,$N358,INT(EK$44-1-1),MIN($N358,INT(EK$44-1-1)+1),$DC358,IF($DD358="No",1,0))/
IF(DR358&gt;=INT($N358),$N358-INT($N358),1)))*
IF(EK$44=1,0,
IF(INT(DS358)=INT(DR358),DS358-DR358,INT(DS358)-DR358))+
IF($N358&lt;=1,
IF($N358&gt;0,1/$N358,0),VDB(1,0,$N358,INT(EK$44-1),MIN($N358,INT(EK$44-1)+1),$DC358,IF($DD358="No",1,0))/
IF(DS358&gt;INT($N358),$N358-INT($N358),1))*
IF(EK$44=1,DS358,
IF(INT(DS358)=INT(DR358),0,DS358-INT(DS358)))))</f>
        <v>0</v>
      </c>
      <c r="EL358" s="835">
        <f>+IF(DT358=DS358,0,
IF(AND(EL$44&gt;1,DT358=$N358),1-SUM($EE358:EK358),
IF($N358&lt;=1,
IF($N358&gt;0,1/$N358,0),
IF(EL$44=1,0,VDB(1,0,$N358,INT(EL$44-1-1),MIN($N358,INT(EL$44-1-1)+1),$DC358,IF($DD358="No",1,0))/
IF(DS358&gt;=INT($N358),$N358-INT($N358),1)))*
IF(EL$44=1,0,
IF(INT(DT358)=INT(DS358),DT358-DS358,INT(DT358)-DS358))+
IF($N358&lt;=1,
IF($N358&gt;0,1/$N358,0),VDB(1,0,$N358,INT(EL$44-1),MIN($N358,INT(EL$44-1)+1),$DC358,IF($DD358="No",1,0))/
IF(DT358&gt;INT($N358),$N358-INT($N358),1))*
IF(EL$44=1,DT358,
IF(INT(DT358)=INT(DS358),0,DT358-INT(DT358)))))</f>
        <v>0</v>
      </c>
      <c r="EM358" s="836">
        <f>+IF(DU358=DT358,0,
IF(AND(EM$44&gt;1,DU358=$N358),1-SUM($EE358:EL358),
IF($N358&lt;=1,
IF($N358&gt;0,1/$N358,0),
IF(EM$44=1,0,VDB(1,0,$N358,INT(EM$44-1-1),MIN($N358,INT(EM$44-1-1)+1),$DC358,IF($DD358="No",1,0))/
IF(DT358&gt;=INT($N358),$N358-INT($N358),1)))*
IF(EM$44=1,0,
IF(INT(DU358)=INT(DT358),DU358-DT358,INT(DU358)-DT358))+
IF($N358&lt;=1,
IF($N358&gt;0,1/$N358,0),VDB(1,0,$N358,INT(EM$44-1),MIN($N358,INT(EM$44-1)+1),$DC358,IF($DD358="No",1,0))/
IF(DU358&gt;INT($N358),$N358-INT($N358),1))*
IF(EM$44=1,DU358,
IF(INT(DU358)=INT(DT358),0,DU358-INT(DU358)))))</f>
        <v>0</v>
      </c>
      <c r="EN358" s="833"/>
      <c r="EO358" s="834">
        <f>+IF(OR(DW358=DV358,EO$44=1),0,
IF(AND(EO$44&gt;1,DW358=$N358),1-SUM($EN358:EN358),
IF($N358&lt;=1,
IF($N358&gt;0,1/$N358,0),
IF(EO$44=2,0,VDB(1,0,$N358,INT(EO$44-2-1),MIN($N358,INT(EO$44-2-1)+1),$DC358,IF($DD358="No",1,0))/
IF(DV358&gt;=INT($N358),$N358-INT($N358),1)))*
IF(EO$44=2,0,
IF(INT(DW358)=INT(DV358),DW358-DV358,INT(DW358)-DV358))+
IF($N358&lt;=1,
IF($N358&gt;0,1/$N358,0),VDB(1,0,$N358,INT(EO$44-2),MIN($N358,INT(EO$44-2)+1),$DC358,IF($DD358="No",1,0))/
IF(DW358&gt;INT($N358),$N358-INT($N358),1))*
IF(EO$44=2,DW358,
IF(INT(DW358)=INT(DV358),0,DW358-INT(DW358)))))</f>
        <v>0</v>
      </c>
      <c r="EP358" s="835">
        <f>+IF(OR(DX358=DW358,EP$44=1),0,
IF(AND(EP$44&gt;1,DX358=$N358),1-SUM($EN358:EO358),
IF($N358&lt;=1,
IF($N358&gt;0,1/$N358,0),
IF(EP$44=2,0,VDB(1,0,$N358,INT(EP$44-2-1),MIN($N358,INT(EP$44-2-1)+1),$DC358,IF($DD358="No",1,0))/
IF(DW358&gt;=INT($N358),$N358-INT($N358),1)))*
IF(EP$44=2,0,
IF(INT(DX358)=INT(DW358),DX358-DW358,INT(DX358)-DW358))+
IF($N358&lt;=1,
IF($N358&gt;0,1/$N358,0),VDB(1,0,$N358,INT(EP$44-2),MIN($N358,INT(EP$44-2)+1),$DC358,IF($DD358="No",1,0))/
IF(DX358&gt;INT($N358),$N358-INT($N358),1))*
IF(EP$44=2,DX358,
IF(INT(DX358)=INT(DW358),0,DX358-INT(DX358)))))</f>
        <v>0</v>
      </c>
      <c r="EQ358" s="836">
        <f>+IF(OR(DY358=DX358,EQ$44=1),0,
IF(AND(EQ$44&gt;1,DY358=$N358),1-SUM($EN358:EP358),
IF($N358&lt;=1,
IF($N358&gt;0,1/$N358,0),
IF(EQ$44=2,0,VDB(1,0,$N358,INT(EQ$44-2-1),MIN($N358,INT(EQ$44-2-1)+1),$DC358,IF($DD358="No",1,0))/
IF(DX358&gt;=INT($N358),$N358-INT($N358),1)))*
IF(EQ$44=2,0,
IF(INT(DY358)=INT(DX358),DY358-DX358,INT(DY358)-DX358))+
IF($N358&lt;=1,
IF($N358&gt;0,1/$N358,0),VDB(1,0,$N358,INT(EQ$44-2),MIN($N358,INT(EQ$44-2)+1),$DC358,IF($DD358="No",1,0))/
IF(DY358&gt;INT($N358),$N358-INT($N358),1))*
IF(EQ$44=2,DY358,
IF(INT(DY358)=INT(DX358),0,DY358-INT(DY358)))))</f>
        <v>0</v>
      </c>
      <c r="ER358" s="834">
        <f>+IF(OR(DZ358=DY358,ER$44=1),0,
IF(AND(ER$44&gt;1,DZ358=$N358),1-SUM($EN358:EQ358),
IF($N358&lt;=1,
IF($N358&gt;0,1/$N358,0),
IF(ER$44=2,0,VDB(1,0,$N358,INT(ER$44-2-1),MIN($N358,INT(ER$44-2-1)+1),$DC358,IF($DD358="No",1,0))/
IF(DY358&gt;=INT($N358),$N358-INT($N358),1)))*
IF(ER$44=2,0,
IF(INT(DZ358)=INT(DY358),DZ358-DY358,INT(DZ358)-DY358))+
IF($N358&lt;=1,
IF($N358&gt;0,1/$N358,0),VDB(1,0,$N358,INT(ER$44-2),MIN($N358,INT(ER$44-2)+1),$DC358,IF($DD358="No",1,0))/
IF(DZ358&gt;INT($N358),$N358-INT($N358),1))*
IF(ER$44=2,DZ358,
IF(INT(DZ358)=INT(DY358),0,DZ358-INT(DZ358)))))</f>
        <v>0</v>
      </c>
      <c r="ES358" s="835">
        <f>+IF(OR(EA358=DZ358,ES$44=1),0,
IF(AND(ES$44&gt;1,EA358=$N358),1-SUM($EN358:ER358),
IF($N358&lt;=1,
IF($N358&gt;0,1/$N358,0),
IF(ES$44=2,0,VDB(1,0,$N358,INT(ES$44-2-1),MIN($N358,INT(ES$44-2-1)+1),$DC358,IF($DD358="No",1,0))/
IF(DZ358&gt;=INT($N358),$N358-INT($N358),1)))*
IF(ES$44=2,0,
IF(INT(EA358)=INT(DZ358),EA358-DZ358,INT(EA358)-DZ358))+
IF($N358&lt;=1,
IF($N358&gt;0,1/$N358,0),VDB(1,0,$N358,INT(ES$44-2),MIN($N358,INT(ES$44-2)+1),$DC358,IF($DD358="No",1,0))/
IF(EA358&gt;INT($N358),$N358-INT($N358),1))*
IF(ES$44=2,EA358,
IF(INT(EA358)=INT(DZ358),0,EA358-INT(EA358)))))</f>
        <v>0</v>
      </c>
      <c r="ET358" s="835">
        <f>+IF(OR(EB358=EA358,ET$44=1),0,
IF(AND(ET$44&gt;1,EB358=$N358),1-SUM($EN358:ES358),
IF($N358&lt;=1,
IF($N358&gt;0,1/$N358,0),
IF(ET$44=2,0,VDB(1,0,$N358,INT(ET$44-2-1),MIN($N358,INT(ET$44-2-1)+1),$DC358,IF($DD358="No",1,0))/
IF(EA358&gt;=INT($N358),$N358-INT($N358),1)))*
IF(ET$44=2,0,
IF(INT(EB358)=INT(EA358),EB358-EA358,INT(EB358)-EA358))+
IF($N358&lt;=1,
IF($N358&gt;0,1/$N358,0),VDB(1,0,$N358,INT(ET$44-2),MIN($N358,INT(ET$44-2)+1),$DC358,IF($DD358="No",1,0))/
IF(EB358&gt;INT($N358),$N358-INT($N358),1))*
IF(ET$44=2,EB358,
IF(INT(EB358)=INT(EA358),0,EB358-INT(EB358)))))</f>
        <v>0</v>
      </c>
      <c r="EU358" s="835">
        <f>+IF(OR(EC358=EB358,EU$44=1),0,
IF(AND(EU$44&gt;1,EC358=$N358),1-SUM($EN358:ET358),
IF($N358&lt;=1,
IF($N358&gt;0,1/$N358,0),
IF(EU$44=2,0,VDB(1,0,$N358,INT(EU$44-2-1),MIN($N358,INT(EU$44-2-1)+1),$DC358,IF($DD358="No",1,0))/
IF(EB358&gt;=INT($N358),$N358-INT($N358),1)))*
IF(EU$44=2,0,
IF(INT(EC358)=INT(EB358),EC358-EB358,INT(EC358)-EB358))+
IF($N358&lt;=1,
IF($N358&gt;0,1/$N358,0),VDB(1,0,$N358,INT(EU$44-2),MIN($N358,INT(EU$44-2)+1),$DC358,IF($DD358="No",1,0))/
IF(EC358&gt;INT($N358),$N358-INT($N358),1))*
IF(EU$44=2,EC358,
IF(INT(EC358)=INT(EB358),0,EC358-INT(EC358)))))</f>
        <v>0</v>
      </c>
      <c r="EV358" s="836">
        <f>+IF(OR(ED358=EC358,EV$44=1),0,
IF(AND(EV$44&gt;1,ED358=$N358),1-SUM($EN358:EU358),
IF($N358&lt;=1,
IF($N358&gt;0,1/$N358,0),
IF(EV$44=2,0,VDB(1,0,$N358,INT(EV$44-2-1),MIN($N358,INT(EV$44-2-1)+1),$DC358,IF($DD358="No",1,0))/
IF(EC358&gt;=INT($N358),$N358-INT($N358),1)))*
IF(EV$44=2,0,
IF(INT(ED358)=INT(EC358),ED358-EC358,INT(ED358)-EC358))+
IF($N358&lt;=1,
IF($N358&gt;0,1/$N358,0),VDB(1,0,$N358,INT(EV$44-2),MIN($N358,INT(EV$44-2)+1),$DC358,IF($DD358="No",1,0))/
IF(ED358&gt;INT($N358),$N358-INT($N358),1))*
IF(EV$44=2,ED358,
IF(INT(ED358)=INT(EC358),0,ED358-INT(ED358)))))</f>
        <v>0</v>
      </c>
      <c r="EW358" s="833"/>
      <c r="EX358" s="834">
        <f t="shared" ca="1" si="570"/>
        <v>0</v>
      </c>
      <c r="EY358" s="835">
        <f t="shared" ca="1" si="570"/>
        <v>0</v>
      </c>
      <c r="EZ358" s="836">
        <f t="shared" ca="1" si="570"/>
        <v>0</v>
      </c>
      <c r="FA358" s="834">
        <f t="shared" ca="1" si="570"/>
        <v>0</v>
      </c>
      <c r="FB358" s="835">
        <f t="shared" ca="1" si="570"/>
        <v>0</v>
      </c>
      <c r="FC358" s="835">
        <f t="shared" ca="1" si="570"/>
        <v>0</v>
      </c>
      <c r="FD358" s="835">
        <f t="shared" ca="1" si="570"/>
        <v>0</v>
      </c>
      <c r="FE358" s="836">
        <f t="shared" ca="1" si="570"/>
        <v>0</v>
      </c>
      <c r="FG358" s="386">
        <f t="shared" ca="1" si="617"/>
        <v>0</v>
      </c>
      <c r="FH358" s="387">
        <f t="shared" ca="1" si="618"/>
        <v>0</v>
      </c>
      <c r="FI358" s="388">
        <f t="shared" ca="1" si="619"/>
        <v>0</v>
      </c>
      <c r="FJ358" s="386">
        <f t="shared" ca="1" si="620"/>
        <v>0</v>
      </c>
      <c r="FK358" s="387">
        <f t="shared" ca="1" si="621"/>
        <v>0</v>
      </c>
      <c r="FL358" s="387">
        <f t="shared" ca="1" si="622"/>
        <v>0</v>
      </c>
      <c r="FM358" s="387">
        <f t="shared" ca="1" si="623"/>
        <v>0</v>
      </c>
      <c r="FN358" s="388">
        <f t="shared" ca="1" si="624"/>
        <v>0</v>
      </c>
      <c r="FR358" s="116"/>
    </row>
    <row r="359" spans="2:174">
      <c r="B359" s="1410">
        <f t="shared" si="556"/>
        <v>313</v>
      </c>
      <c r="C359" s="400"/>
      <c r="D359" s="410"/>
      <c r="E359" s="402"/>
      <c r="F359" s="402"/>
      <c r="G359" s="400"/>
      <c r="H359" s="2088"/>
      <c r="I359" s="2089"/>
      <c r="J359" s="411"/>
      <c r="K359" s="403"/>
      <c r="L359" s="403"/>
      <c r="M359" s="403"/>
      <c r="N359" s="403"/>
      <c r="O359" s="347"/>
      <c r="P359" s="347"/>
      <c r="Q359" s="1021"/>
      <c r="R359" s="1022"/>
      <c r="S359" s="1022"/>
      <c r="T359" s="1022"/>
      <c r="U359" s="1023"/>
      <c r="V359" s="1021"/>
      <c r="W359" s="1022"/>
      <c r="X359" s="1022"/>
      <c r="Y359" s="1022"/>
      <c r="Z359" s="1023"/>
      <c r="AA359" s="1024"/>
      <c r="AB359" s="1021"/>
      <c r="AC359" s="1022"/>
      <c r="AD359" s="1022"/>
      <c r="AE359" s="1022"/>
      <c r="AF359" s="1023"/>
      <c r="AG359" s="1021"/>
      <c r="AH359" s="1022"/>
      <c r="AI359" s="1022"/>
      <c r="AJ359" s="1022"/>
      <c r="AK359" s="1023"/>
      <c r="AL359" s="1024"/>
      <c r="AM359" s="1021"/>
      <c r="AN359" s="1022"/>
      <c r="AO359" s="1022"/>
      <c r="AP359" s="1022"/>
      <c r="AQ359" s="1023"/>
      <c r="AR359" s="1021"/>
      <c r="AS359" s="1022"/>
      <c r="AT359" s="1022"/>
      <c r="AU359" s="1022"/>
      <c r="AV359" s="1023"/>
      <c r="AW359" s="1025"/>
      <c r="AX359" s="1282">
        <f t="shared" si="571"/>
        <v>0</v>
      </c>
      <c r="AY359" s="387">
        <f t="shared" si="572"/>
        <v>0</v>
      </c>
      <c r="AZ359" s="387">
        <f t="shared" si="573"/>
        <v>0</v>
      </c>
      <c r="BA359" s="387">
        <f t="shared" si="574"/>
        <v>0</v>
      </c>
      <c r="BB359" s="1283">
        <f t="shared" si="575"/>
        <v>0</v>
      </c>
      <c r="BC359" s="386">
        <f t="shared" si="576"/>
        <v>0</v>
      </c>
      <c r="BD359" s="387">
        <f t="shared" si="577"/>
        <v>0</v>
      </c>
      <c r="BE359" s="1277">
        <f t="shared" si="578"/>
        <v>0</v>
      </c>
      <c r="BF359" s="1277">
        <f t="shared" si="579"/>
        <v>0</v>
      </c>
      <c r="BG359" s="388">
        <f t="shared" si="580"/>
        <v>0</v>
      </c>
      <c r="BH359" s="1025"/>
      <c r="BI359" s="1282">
        <f t="shared" ca="1" si="581"/>
        <v>0</v>
      </c>
      <c r="BJ359" s="387">
        <f t="shared" ca="1" si="582"/>
        <v>0</v>
      </c>
      <c r="BK359" s="387">
        <f t="shared" ca="1" si="583"/>
        <v>0</v>
      </c>
      <c r="BL359" s="387">
        <f t="shared" ca="1" si="584"/>
        <v>0</v>
      </c>
      <c r="BM359" s="1283">
        <f t="shared" ca="1" si="585"/>
        <v>0</v>
      </c>
      <c r="BN359" s="386">
        <f t="shared" ca="1" si="586"/>
        <v>0</v>
      </c>
      <c r="BO359" s="387">
        <f t="shared" ca="1" si="587"/>
        <v>0</v>
      </c>
      <c r="BP359" s="1277">
        <f t="shared" ca="1" si="588"/>
        <v>0</v>
      </c>
      <c r="BQ359" s="1277">
        <f t="shared" ca="1" si="589"/>
        <v>0</v>
      </c>
      <c r="BR359" s="388">
        <f t="shared" ca="1" si="590"/>
        <v>0</v>
      </c>
      <c r="BS359" s="1025"/>
      <c r="BT359" s="1282">
        <f>+IF($K359="Ongoing",AX359,IF(RIGHT($K359,2)=RIGHT(BT$43,2),SUM($AX359:AX359),0)+IF(RIGHT(BT$43,2)&gt;RIGHT($K359,2),AX359,0))</f>
        <v>0</v>
      </c>
      <c r="BU359" s="387">
        <f>+IF($K359="Ongoing",AY359,IF(RIGHT($K359,2)=RIGHT(BU$43,2),SUM($AX359:AY359),0)+IF(RIGHT(BU$43,2)&gt;RIGHT($K359,2),AY359,0))</f>
        <v>0</v>
      </c>
      <c r="BV359" s="387">
        <f>+IF($K359="Ongoing",AZ359,IF(RIGHT($K359,2)=RIGHT(BV$43,2),SUM($AX359:AZ359),0)+IF(RIGHT(BV$43,2)&gt;RIGHT($K359,2),AZ359,0))</f>
        <v>0</v>
      </c>
      <c r="BW359" s="387">
        <f>+IF($K359="Ongoing",BA359,IF(RIGHT($K359,2)=RIGHT(BW$43,2),SUM($AX359:BA359),0)+IF(RIGHT(BW$43,2)&gt;RIGHT($K359,2),BA359,0))</f>
        <v>0</v>
      </c>
      <c r="BX359" s="1283">
        <f>+IF($K359="Ongoing",BB359,IF(RIGHT($K359,2)=RIGHT(BX$43,2),SUM($AX359:BB359),0)+IF(RIGHT(BX$43,2)&gt;RIGHT($K359,2),BB359,0))</f>
        <v>0</v>
      </c>
      <c r="BY359" s="386">
        <f>+IF($K359="Ongoing",BC359,IF(RIGHT($K359,2)=RIGHT(BY$43,2),SUM($AX359:BC359),0)+IF(RIGHT(BY$43,2)&gt;RIGHT($K359,2),BC359,0))</f>
        <v>0</v>
      </c>
      <c r="BZ359" s="387">
        <f>+IF($K359="Ongoing",BD359,IF(RIGHT($K359,2)=RIGHT(BZ$43,2),SUM($AX359:BD359),0)+IF(RIGHT(BZ$43,2)&gt;RIGHT($K359,2),BD359,0))</f>
        <v>0</v>
      </c>
      <c r="CA359" s="1277">
        <f>+IF($K359="Ongoing",BE359,IF(RIGHT($K359,2)=RIGHT(CA$43,2),SUM($AX359:BE359),0)+IF(RIGHT(CA$43,2)&gt;RIGHT($K359,2),BE359,0))</f>
        <v>0</v>
      </c>
      <c r="CB359" s="1277">
        <f>+IF($K359="Ongoing",BF359,IF(RIGHT($K359,2)=RIGHT(CB$43,2),SUM($AX359:BF359),0)+IF(RIGHT(CB$43,2)&gt;RIGHT($K359,2),BF359,0))</f>
        <v>0</v>
      </c>
      <c r="CC359" s="388">
        <f>+IF($K359="Ongoing",BG359,IF(RIGHT($K359,2)=RIGHT(CC$43,2),SUM($AX359:BG359),0)+IF(RIGHT(CC$43,2)&gt;RIGHT($K359,2),BG359,0))</f>
        <v>0</v>
      </c>
      <c r="CD359" s="1025"/>
      <c r="CE359" s="1282">
        <f>+Q359*KeyAssumptionsPriceControl_FO!AF$15</f>
        <v>0</v>
      </c>
      <c r="CF359" s="387">
        <f>+R359*KeyAssumptionsPriceControl_FO!AG$15</f>
        <v>0</v>
      </c>
      <c r="CG359" s="387">
        <f>+S359*KeyAssumptionsPriceControl_FO!AH$15</f>
        <v>0</v>
      </c>
      <c r="CH359" s="387">
        <f>+T359*KeyAssumptionsPriceControl_FO!AI$15</f>
        <v>0</v>
      </c>
      <c r="CI359" s="1283">
        <f>+U359*KeyAssumptionsPriceControl_FO!AJ$15</f>
        <v>0</v>
      </c>
      <c r="CJ359" s="386">
        <f>+V359*KeyAssumptionsPriceControl_FO!AK$15</f>
        <v>0</v>
      </c>
      <c r="CK359" s="387">
        <f>+W359*KeyAssumptionsPriceControl_FO!AL$15</f>
        <v>0</v>
      </c>
      <c r="CL359" s="1277">
        <f>+X359*KeyAssumptionsPriceControl_FO!AM$15</f>
        <v>0</v>
      </c>
      <c r="CM359" s="1277">
        <f>+Y359*KeyAssumptionsPriceControl_FO!AN$15</f>
        <v>0</v>
      </c>
      <c r="CN359" s="388">
        <f>+Z359*KeyAssumptionsPriceControl_FO!AO$15</f>
        <v>0</v>
      </c>
      <c r="CO359" s="1025"/>
      <c r="CP359" s="1282">
        <f t="shared" ca="1" si="591"/>
        <v>0</v>
      </c>
      <c r="CQ359" s="387">
        <f t="shared" ca="1" si="592"/>
        <v>0</v>
      </c>
      <c r="CR359" s="387">
        <f t="shared" ca="1" si="593"/>
        <v>0</v>
      </c>
      <c r="CS359" s="387">
        <f t="shared" ca="1" si="594"/>
        <v>0</v>
      </c>
      <c r="CT359" s="1283">
        <f t="shared" ca="1" si="595"/>
        <v>0</v>
      </c>
      <c r="CU359" s="386">
        <f t="shared" ca="1" si="596"/>
        <v>0</v>
      </c>
      <c r="CV359" s="387">
        <f t="shared" ca="1" si="597"/>
        <v>0</v>
      </c>
      <c r="CW359" s="1277">
        <f t="shared" ca="1" si="598"/>
        <v>0</v>
      </c>
      <c r="CX359" s="1277">
        <f t="shared" ca="1" si="599"/>
        <v>0</v>
      </c>
      <c r="CY359" s="388">
        <f t="shared" ca="1" si="600"/>
        <v>0</v>
      </c>
      <c r="CZ359" s="347"/>
      <c r="DA359" s="852"/>
      <c r="DB359" s="347"/>
      <c r="DC359" s="1012" t="s">
        <v>566</v>
      </c>
      <c r="DD359" s="841" t="s">
        <v>518</v>
      </c>
      <c r="DE359" s="386">
        <f>+IF($K359="ongoing",CE359,IF(RIGHT($K359,2)=RIGHT(DE$43,2),SUM($CD359:CE359),0)+IF(RIGHT(DE$43,2)&gt;RIGHT($K359,2),CE359,0))</f>
        <v>0</v>
      </c>
      <c r="DF359" s="387">
        <f>+IF($K359="ongoing",CF359,IF(RIGHT($K359,2)=RIGHT(DF$43,2),SUM($CD359:CF359),0)+IF(RIGHT(DF$43,2)&gt;RIGHT($K359,2),CF359,0))</f>
        <v>0</v>
      </c>
      <c r="DG359" s="388">
        <f>+IF($K359="ongoing",CG359,IF(RIGHT($K359,2)=RIGHT(DG$43,2),SUM($CD359:CG359),0)+IF(RIGHT(DG$43,2)&gt;RIGHT($K359,2),CG359,0))</f>
        <v>0</v>
      </c>
      <c r="DH359" s="386">
        <f>+IF($K359="ongoing",CH359,IF(RIGHT($K359,2)=RIGHT(DH$43,2),SUM($CD359:CH359),0)+IF(RIGHT(DH$43,2)&gt;RIGHT($K359,2),CH359,0))</f>
        <v>0</v>
      </c>
      <c r="DI359" s="387">
        <f>+IF($K359="ongoing",CI359,IF(RIGHT($K359,2)=RIGHT(DI$43,2),SUM($CD359:CI359),0)+IF(RIGHT(DI$43,2)&gt;RIGHT($K359,2),CI359,0))</f>
        <v>0</v>
      </c>
      <c r="DJ359" s="387">
        <f>+IF($K359="ongoing",CJ359,IF(RIGHT($K359,2)=RIGHT(DJ$43,2),SUM($CD359:CJ359),0)+IF(RIGHT(DJ$43,2)&gt;RIGHT($K359,2),CJ359,0))</f>
        <v>0</v>
      </c>
      <c r="DK359" s="387">
        <f>+IF($K359="ongoing",CK359,IF(RIGHT($K359,2)=RIGHT(DK$43,2),SUM($CD359:CK359),0)+IF(RIGHT(DK$43,2)&gt;RIGHT($K359,2),CK359,0))</f>
        <v>0</v>
      </c>
      <c r="DL359" s="388">
        <f>+IF($K359="ongoing",CN359,IF(RIGHT($K359,2)=RIGHT(DL$43,2),SUM($CD359:CN359),0)+IF(RIGHT(DL$43,2)&gt;RIGHT($K359,2),CN359,0))</f>
        <v>0</v>
      </c>
      <c r="DM359" s="841"/>
      <c r="DN359" s="386">
        <f t="shared" si="601"/>
        <v>0.5</v>
      </c>
      <c r="DO359" s="387">
        <f t="shared" si="602"/>
        <v>1</v>
      </c>
      <c r="DP359" s="388">
        <f t="shared" si="603"/>
        <v>1</v>
      </c>
      <c r="DQ359" s="386">
        <f t="shared" si="604"/>
        <v>1</v>
      </c>
      <c r="DR359" s="387">
        <f t="shared" si="605"/>
        <v>1</v>
      </c>
      <c r="DS359" s="387">
        <f t="shared" si="606"/>
        <v>1</v>
      </c>
      <c r="DT359" s="387">
        <f t="shared" si="607"/>
        <v>1</v>
      </c>
      <c r="DU359" s="388">
        <f t="shared" si="608"/>
        <v>1</v>
      </c>
      <c r="DW359" s="386">
        <f t="shared" si="609"/>
        <v>0</v>
      </c>
      <c r="DX359" s="387">
        <f t="shared" si="610"/>
        <v>0.5</v>
      </c>
      <c r="DY359" s="388">
        <f t="shared" si="611"/>
        <v>1</v>
      </c>
      <c r="DZ359" s="386">
        <f t="shared" si="612"/>
        <v>1</v>
      </c>
      <c r="EA359" s="387">
        <f t="shared" si="613"/>
        <v>1</v>
      </c>
      <c r="EB359" s="387">
        <f t="shared" si="614"/>
        <v>1</v>
      </c>
      <c r="EC359" s="387">
        <f t="shared" si="615"/>
        <v>1</v>
      </c>
      <c r="ED359" s="388">
        <f t="shared" si="616"/>
        <v>1</v>
      </c>
      <c r="EF359" s="834">
        <f>+IF(DN359=DM359,0,
IF(AND(EF$44&gt;1,DN359=$N359),1-SUM($EE359:EE359),
IF($N359&lt;=1,
IF($N359&gt;0,1/$N359,0),
IF(EF$44=1,0,VDB(1,0,$N359,INT(EF$44-1-1),MIN($N359,INT(EF$44-1-1)+1),$DC359,IF($DD359="No",1,0))/
IF(DM359&gt;=INT($N359),$N359-INT($N359),1)))*
IF(EF$44=1,0,
IF(INT(DN359)=INT(DM359),DN359-DM359,INT(DN359)-DM359))+
IF($N359&lt;=1,
IF($N359&gt;0,1/$N359,0),VDB(1,0,$N359,INT(EF$44-1),MIN($N359,INT(EF$44-1)+1),$DC359,IF($DD359="No",1,0))/
IF(DN359&gt;INT($N359),$N359-INT($N359),1))*
IF(EF$44=1,DN359,
IF(INT(DN359)=INT(DM359),0,DN359-INT(DN359)))))</f>
        <v>0</v>
      </c>
      <c r="EG359" s="835">
        <f>+IF(DO359=DN359,0,
IF(AND(EG$44&gt;1,DO359=$N359),1-SUM($EE359:EF359),
IF($N359&lt;=1,
IF($N359&gt;0,1/$N359,0),
IF(EG$44=1,0,VDB(1,0,$N359,INT(EG$44-1-1),MIN($N359,INT(EG$44-1-1)+1),$DC359,IF($DD359="No",1,0))/
IF(DN359&gt;=INT($N359),$N359-INT($N359),1)))*
IF(EG$44=1,0,
IF(INT(DO359)=INT(DN359),DO359-DN359,INT(DO359)-DN359))+
IF($N359&lt;=1,
IF($N359&gt;0,1/$N359,0),VDB(1,0,$N359,INT(EG$44-1),MIN($N359,INT(EG$44-1)+1),$DC359,IF($DD359="No",1,0))/
IF(DO359&gt;INT($N359),$N359-INT($N359),1))*
IF(EG$44=1,DO359,
IF(INT(DO359)=INT(DN359),0,DO359-INT(DO359)))))</f>
        <v>0</v>
      </c>
      <c r="EH359" s="836">
        <f>+IF(DP359=DO359,0,
IF(AND(EH$44&gt;1,DP359=$N359),1-SUM($EE359:EG359),
IF($N359&lt;=1,
IF($N359&gt;0,1/$N359,0),
IF(EH$44=1,0,VDB(1,0,$N359,INT(EH$44-1-1),MIN($N359,INT(EH$44-1-1)+1),$DC359,IF($DD359="No",1,0))/
IF(DO359&gt;=INT($N359),$N359-INT($N359),1)))*
IF(EH$44=1,0,
IF(INT(DP359)=INT(DO359),DP359-DO359,INT(DP359)-DO359))+
IF($N359&lt;=1,
IF($N359&gt;0,1/$N359,0),VDB(1,0,$N359,INT(EH$44-1),MIN($N359,INT(EH$44-1)+1),$DC359,IF($DD359="No",1,0))/
IF(DP359&gt;INT($N359),$N359-INT($N359),1))*
IF(EH$44=1,DP359,
IF(INT(DP359)=INT(DO359),0,DP359-INT(DP359)))))</f>
        <v>0</v>
      </c>
      <c r="EI359" s="834">
        <f>+IF(DQ359=DP359,0,
IF(AND(EI$44&gt;1,DQ359=$N359),1-SUM($EE359:EH359),
IF($N359&lt;=1,
IF($N359&gt;0,1/$N359,0),
IF(EI$44=1,0,VDB(1,0,$N359,INT(EI$44-1-1),MIN($N359,INT(EI$44-1-1)+1),$DC359,IF($DD359="No",1,0))/
IF(DP359&gt;=INT($N359),$N359-INT($N359),1)))*
IF(EI$44=1,0,
IF(INT(DQ359)=INT(DP359),DQ359-DP359,INT(DQ359)-DP359))+
IF($N359&lt;=1,
IF($N359&gt;0,1/$N359,0),VDB(1,0,$N359,INT(EI$44-1),MIN($N359,INT(EI$44-1)+1),$DC359,IF($DD359="No",1,0))/
IF(DQ359&gt;INT($N359),$N359-INT($N359),1))*
IF(EI$44=1,DQ359,
IF(INT(DQ359)=INT(DP359),0,DQ359-INT(DQ359)))))</f>
        <v>0</v>
      </c>
      <c r="EJ359" s="835">
        <f>+IF(DR359=DQ359,0,
IF(AND(EJ$44&gt;1,DR359=$N359),1-SUM($EE359:EI359),
IF($N359&lt;=1,
IF($N359&gt;0,1/$N359,0),
IF(EJ$44=1,0,VDB(1,0,$N359,INT(EJ$44-1-1),MIN($N359,INT(EJ$44-1-1)+1),$DC359,IF($DD359="No",1,0))/
IF(DQ359&gt;=INT($N359),$N359-INT($N359),1)))*
IF(EJ$44=1,0,
IF(INT(DR359)=INT(DQ359),DR359-DQ359,INT(DR359)-DQ359))+
IF($N359&lt;=1,
IF($N359&gt;0,1/$N359,0),VDB(1,0,$N359,INT(EJ$44-1),MIN($N359,INT(EJ$44-1)+1),$DC359,IF($DD359="No",1,0))/
IF(DR359&gt;INT($N359),$N359-INT($N359),1))*
IF(EJ$44=1,DR359,
IF(INT(DR359)=INT(DQ359),0,DR359-INT(DR359)))))</f>
        <v>0</v>
      </c>
      <c r="EK359" s="835">
        <f>+IF(DS359=DR359,0,
IF(AND(EK$44&gt;1,DS359=$N359),1-SUM($EE359:EJ359),
IF($N359&lt;=1,
IF($N359&gt;0,1/$N359,0),
IF(EK$44=1,0,VDB(1,0,$N359,INT(EK$44-1-1),MIN($N359,INT(EK$44-1-1)+1),$DC359,IF($DD359="No",1,0))/
IF(DR359&gt;=INT($N359),$N359-INT($N359),1)))*
IF(EK$44=1,0,
IF(INT(DS359)=INT(DR359),DS359-DR359,INT(DS359)-DR359))+
IF($N359&lt;=1,
IF($N359&gt;0,1/$N359,0),VDB(1,0,$N359,INT(EK$44-1),MIN($N359,INT(EK$44-1)+1),$DC359,IF($DD359="No",1,0))/
IF(DS359&gt;INT($N359),$N359-INT($N359),1))*
IF(EK$44=1,DS359,
IF(INT(DS359)=INT(DR359),0,DS359-INT(DS359)))))</f>
        <v>0</v>
      </c>
      <c r="EL359" s="835">
        <f>+IF(DT359=DS359,0,
IF(AND(EL$44&gt;1,DT359=$N359),1-SUM($EE359:EK359),
IF($N359&lt;=1,
IF($N359&gt;0,1/$N359,0),
IF(EL$44=1,0,VDB(1,0,$N359,INT(EL$44-1-1),MIN($N359,INT(EL$44-1-1)+1),$DC359,IF($DD359="No",1,0))/
IF(DS359&gt;=INT($N359),$N359-INT($N359),1)))*
IF(EL$44=1,0,
IF(INT(DT359)=INT(DS359),DT359-DS359,INT(DT359)-DS359))+
IF($N359&lt;=1,
IF($N359&gt;0,1/$N359,0),VDB(1,0,$N359,INT(EL$44-1),MIN($N359,INT(EL$44-1)+1),$DC359,IF($DD359="No",1,0))/
IF(DT359&gt;INT($N359),$N359-INT($N359),1))*
IF(EL$44=1,DT359,
IF(INT(DT359)=INT(DS359),0,DT359-INT(DT359)))))</f>
        <v>0</v>
      </c>
      <c r="EM359" s="836">
        <f>+IF(DU359=DT359,0,
IF(AND(EM$44&gt;1,DU359=$N359),1-SUM($EE359:EL359),
IF($N359&lt;=1,
IF($N359&gt;0,1/$N359,0),
IF(EM$44=1,0,VDB(1,0,$N359,INT(EM$44-1-1),MIN($N359,INT(EM$44-1-1)+1),$DC359,IF($DD359="No",1,0))/
IF(DT359&gt;=INT($N359),$N359-INT($N359),1)))*
IF(EM$44=1,0,
IF(INT(DU359)=INT(DT359),DU359-DT359,INT(DU359)-DT359))+
IF($N359&lt;=1,
IF($N359&gt;0,1/$N359,0),VDB(1,0,$N359,INT(EM$44-1),MIN($N359,INT(EM$44-1)+1),$DC359,IF($DD359="No",1,0))/
IF(DU359&gt;INT($N359),$N359-INT($N359),1))*
IF(EM$44=1,DU359,
IF(INT(DU359)=INT(DT359),0,DU359-INT(DU359)))))</f>
        <v>0</v>
      </c>
      <c r="EN359" s="833"/>
      <c r="EO359" s="834">
        <f>+IF(OR(DW359=DV359,EO$44=1),0,
IF(AND(EO$44&gt;1,DW359=$N359),1-SUM($EN359:EN359),
IF($N359&lt;=1,
IF($N359&gt;0,1/$N359,0),
IF(EO$44=2,0,VDB(1,0,$N359,INT(EO$44-2-1),MIN($N359,INT(EO$44-2-1)+1),$DC359,IF($DD359="No",1,0))/
IF(DV359&gt;=INT($N359),$N359-INT($N359),1)))*
IF(EO$44=2,0,
IF(INT(DW359)=INT(DV359),DW359-DV359,INT(DW359)-DV359))+
IF($N359&lt;=1,
IF($N359&gt;0,1/$N359,0),VDB(1,0,$N359,INT(EO$44-2),MIN($N359,INT(EO$44-2)+1),$DC359,IF($DD359="No",1,0))/
IF(DW359&gt;INT($N359),$N359-INT($N359),1))*
IF(EO$44=2,DW359,
IF(INT(DW359)=INT(DV359),0,DW359-INT(DW359)))))</f>
        <v>0</v>
      </c>
      <c r="EP359" s="835">
        <f>+IF(OR(DX359=DW359,EP$44=1),0,
IF(AND(EP$44&gt;1,DX359=$N359),1-SUM($EN359:EO359),
IF($N359&lt;=1,
IF($N359&gt;0,1/$N359,0),
IF(EP$44=2,0,VDB(1,0,$N359,INT(EP$44-2-1),MIN($N359,INT(EP$44-2-1)+1),$DC359,IF($DD359="No",1,0))/
IF(DW359&gt;=INT($N359),$N359-INT($N359),1)))*
IF(EP$44=2,0,
IF(INT(DX359)=INT(DW359),DX359-DW359,INT(DX359)-DW359))+
IF($N359&lt;=1,
IF($N359&gt;0,1/$N359,0),VDB(1,0,$N359,INT(EP$44-2),MIN($N359,INT(EP$44-2)+1),$DC359,IF($DD359="No",1,0))/
IF(DX359&gt;INT($N359),$N359-INT($N359),1))*
IF(EP$44=2,DX359,
IF(INT(DX359)=INT(DW359),0,DX359-INT(DX359)))))</f>
        <v>0</v>
      </c>
      <c r="EQ359" s="836">
        <f>+IF(OR(DY359=DX359,EQ$44=1),0,
IF(AND(EQ$44&gt;1,DY359=$N359),1-SUM($EN359:EP359),
IF($N359&lt;=1,
IF($N359&gt;0,1/$N359,0),
IF(EQ$44=2,0,VDB(1,0,$N359,INT(EQ$44-2-1),MIN($N359,INT(EQ$44-2-1)+1),$DC359,IF($DD359="No",1,0))/
IF(DX359&gt;=INT($N359),$N359-INT($N359),1)))*
IF(EQ$44=2,0,
IF(INT(DY359)=INT(DX359),DY359-DX359,INT(DY359)-DX359))+
IF($N359&lt;=1,
IF($N359&gt;0,1/$N359,0),VDB(1,0,$N359,INT(EQ$44-2),MIN($N359,INT(EQ$44-2)+1),$DC359,IF($DD359="No",1,0))/
IF(DY359&gt;INT($N359),$N359-INT($N359),1))*
IF(EQ$44=2,DY359,
IF(INT(DY359)=INT(DX359),0,DY359-INT(DY359)))))</f>
        <v>0</v>
      </c>
      <c r="ER359" s="834">
        <f>+IF(OR(DZ359=DY359,ER$44=1),0,
IF(AND(ER$44&gt;1,DZ359=$N359),1-SUM($EN359:EQ359),
IF($N359&lt;=1,
IF($N359&gt;0,1/$N359,0),
IF(ER$44=2,0,VDB(1,0,$N359,INT(ER$44-2-1),MIN($N359,INT(ER$44-2-1)+1),$DC359,IF($DD359="No",1,0))/
IF(DY359&gt;=INT($N359),$N359-INT($N359),1)))*
IF(ER$44=2,0,
IF(INT(DZ359)=INT(DY359),DZ359-DY359,INT(DZ359)-DY359))+
IF($N359&lt;=1,
IF($N359&gt;0,1/$N359,0),VDB(1,0,$N359,INT(ER$44-2),MIN($N359,INT(ER$44-2)+1),$DC359,IF($DD359="No",1,0))/
IF(DZ359&gt;INT($N359),$N359-INT($N359),1))*
IF(ER$44=2,DZ359,
IF(INT(DZ359)=INT(DY359),0,DZ359-INT(DZ359)))))</f>
        <v>0</v>
      </c>
      <c r="ES359" s="835">
        <f>+IF(OR(EA359=DZ359,ES$44=1),0,
IF(AND(ES$44&gt;1,EA359=$N359),1-SUM($EN359:ER359),
IF($N359&lt;=1,
IF($N359&gt;0,1/$N359,0),
IF(ES$44=2,0,VDB(1,0,$N359,INT(ES$44-2-1),MIN($N359,INT(ES$44-2-1)+1),$DC359,IF($DD359="No",1,0))/
IF(DZ359&gt;=INT($N359),$N359-INT($N359),1)))*
IF(ES$44=2,0,
IF(INT(EA359)=INT(DZ359),EA359-DZ359,INT(EA359)-DZ359))+
IF($N359&lt;=1,
IF($N359&gt;0,1/$N359,0),VDB(1,0,$N359,INT(ES$44-2),MIN($N359,INT(ES$44-2)+1),$DC359,IF($DD359="No",1,0))/
IF(EA359&gt;INT($N359),$N359-INT($N359),1))*
IF(ES$44=2,EA359,
IF(INT(EA359)=INT(DZ359),0,EA359-INT(EA359)))))</f>
        <v>0</v>
      </c>
      <c r="ET359" s="835">
        <f>+IF(OR(EB359=EA359,ET$44=1),0,
IF(AND(ET$44&gt;1,EB359=$N359),1-SUM($EN359:ES359),
IF($N359&lt;=1,
IF($N359&gt;0,1/$N359,0),
IF(ET$44=2,0,VDB(1,0,$N359,INT(ET$44-2-1),MIN($N359,INT(ET$44-2-1)+1),$DC359,IF($DD359="No",1,0))/
IF(EA359&gt;=INT($N359),$N359-INT($N359),1)))*
IF(ET$44=2,0,
IF(INT(EB359)=INT(EA359),EB359-EA359,INT(EB359)-EA359))+
IF($N359&lt;=1,
IF($N359&gt;0,1/$N359,0),VDB(1,0,$N359,INT(ET$44-2),MIN($N359,INT(ET$44-2)+1),$DC359,IF($DD359="No",1,0))/
IF(EB359&gt;INT($N359),$N359-INT($N359),1))*
IF(ET$44=2,EB359,
IF(INT(EB359)=INT(EA359),0,EB359-INT(EB359)))))</f>
        <v>0</v>
      </c>
      <c r="EU359" s="835">
        <f>+IF(OR(EC359=EB359,EU$44=1),0,
IF(AND(EU$44&gt;1,EC359=$N359),1-SUM($EN359:ET359),
IF($N359&lt;=1,
IF($N359&gt;0,1/$N359,0),
IF(EU$44=2,0,VDB(1,0,$N359,INT(EU$44-2-1),MIN($N359,INT(EU$44-2-1)+1),$DC359,IF($DD359="No",1,0))/
IF(EB359&gt;=INT($N359),$N359-INT($N359),1)))*
IF(EU$44=2,0,
IF(INT(EC359)=INT(EB359),EC359-EB359,INT(EC359)-EB359))+
IF($N359&lt;=1,
IF($N359&gt;0,1/$N359,0),VDB(1,0,$N359,INT(EU$44-2),MIN($N359,INT(EU$44-2)+1),$DC359,IF($DD359="No",1,0))/
IF(EC359&gt;INT($N359),$N359-INT($N359),1))*
IF(EU$44=2,EC359,
IF(INT(EC359)=INT(EB359),0,EC359-INT(EC359)))))</f>
        <v>0</v>
      </c>
      <c r="EV359" s="836">
        <f>+IF(OR(ED359=EC359,EV$44=1),0,
IF(AND(EV$44&gt;1,ED359=$N359),1-SUM($EN359:EU359),
IF($N359&lt;=1,
IF($N359&gt;0,1/$N359,0),
IF(EV$44=2,0,VDB(1,0,$N359,INT(EV$44-2-1),MIN($N359,INT(EV$44-2-1)+1),$DC359,IF($DD359="No",1,0))/
IF(EC359&gt;=INT($N359),$N359-INT($N359),1)))*
IF(EV$44=2,0,
IF(INT(ED359)=INT(EC359),ED359-EC359,INT(ED359)-EC359))+
IF($N359&lt;=1,
IF($N359&gt;0,1/$N359,0),VDB(1,0,$N359,INT(EV$44-2),MIN($N359,INT(EV$44-2)+1),$DC359,IF($DD359="No",1,0))/
IF(ED359&gt;INT($N359),$N359-INT($N359),1))*
IF(EV$44=2,ED359,
IF(INT(ED359)=INT(EC359),0,ED359-INT(ED359)))))</f>
        <v>0</v>
      </c>
      <c r="EW359" s="833"/>
      <c r="EX359" s="834">
        <f t="shared" ca="1" si="570"/>
        <v>0</v>
      </c>
      <c r="EY359" s="835">
        <f t="shared" ca="1" si="570"/>
        <v>0</v>
      </c>
      <c r="EZ359" s="836">
        <f t="shared" ca="1" si="570"/>
        <v>0</v>
      </c>
      <c r="FA359" s="834">
        <f t="shared" ca="1" si="570"/>
        <v>0</v>
      </c>
      <c r="FB359" s="835">
        <f t="shared" ca="1" si="570"/>
        <v>0</v>
      </c>
      <c r="FC359" s="835">
        <f t="shared" ca="1" si="570"/>
        <v>0</v>
      </c>
      <c r="FD359" s="835">
        <f t="shared" ca="1" si="570"/>
        <v>0</v>
      </c>
      <c r="FE359" s="836">
        <f t="shared" ca="1" si="570"/>
        <v>0</v>
      </c>
      <c r="FG359" s="386">
        <f t="shared" ca="1" si="617"/>
        <v>0</v>
      </c>
      <c r="FH359" s="387">
        <f t="shared" ca="1" si="618"/>
        <v>0</v>
      </c>
      <c r="FI359" s="388">
        <f t="shared" ca="1" si="619"/>
        <v>0</v>
      </c>
      <c r="FJ359" s="386">
        <f t="shared" ca="1" si="620"/>
        <v>0</v>
      </c>
      <c r="FK359" s="387">
        <f t="shared" ca="1" si="621"/>
        <v>0</v>
      </c>
      <c r="FL359" s="387">
        <f t="shared" ca="1" si="622"/>
        <v>0</v>
      </c>
      <c r="FM359" s="387">
        <f t="shared" ca="1" si="623"/>
        <v>0</v>
      </c>
      <c r="FN359" s="388">
        <f t="shared" ca="1" si="624"/>
        <v>0</v>
      </c>
      <c r="FR359" s="116"/>
    </row>
    <row r="360" spans="2:174">
      <c r="B360" s="1410">
        <f t="shared" si="556"/>
        <v>314</v>
      </c>
      <c r="C360" s="1602"/>
      <c r="D360" s="1603"/>
      <c r="E360" s="1604"/>
      <c r="F360" s="1604"/>
      <c r="G360" s="1602"/>
      <c r="H360" s="2088"/>
      <c r="I360" s="2089"/>
      <c r="J360" s="1605"/>
      <c r="K360" s="1606"/>
      <c r="L360" s="1606"/>
      <c r="M360" s="1606"/>
      <c r="N360" s="1606"/>
      <c r="O360" s="347"/>
      <c r="P360" s="347"/>
      <c r="Q360" s="1021"/>
      <c r="R360" s="1022"/>
      <c r="S360" s="1022"/>
      <c r="T360" s="1022"/>
      <c r="U360" s="1023"/>
      <c r="V360" s="1021"/>
      <c r="W360" s="1022"/>
      <c r="X360" s="1022"/>
      <c r="Y360" s="1022"/>
      <c r="Z360" s="1023"/>
      <c r="AA360" s="1024"/>
      <c r="AB360" s="1021"/>
      <c r="AC360" s="1022"/>
      <c r="AD360" s="1022"/>
      <c r="AE360" s="1022"/>
      <c r="AF360" s="1023"/>
      <c r="AG360" s="1021"/>
      <c r="AH360" s="1022"/>
      <c r="AI360" s="1022"/>
      <c r="AJ360" s="1022"/>
      <c r="AK360" s="1023"/>
      <c r="AL360" s="1024"/>
      <c r="AM360" s="1021"/>
      <c r="AN360" s="1022"/>
      <c r="AO360" s="1022"/>
      <c r="AP360" s="1022"/>
      <c r="AQ360" s="1023"/>
      <c r="AR360" s="1021"/>
      <c r="AS360" s="1022"/>
      <c r="AT360" s="1022"/>
      <c r="AU360" s="1022"/>
      <c r="AV360" s="1023"/>
      <c r="AW360" s="1025"/>
      <c r="AX360" s="1282">
        <f t="shared" si="571"/>
        <v>0</v>
      </c>
      <c r="AY360" s="387">
        <f t="shared" si="572"/>
        <v>0</v>
      </c>
      <c r="AZ360" s="387">
        <f t="shared" si="573"/>
        <v>0</v>
      </c>
      <c r="BA360" s="387">
        <f t="shared" si="574"/>
        <v>0</v>
      </c>
      <c r="BB360" s="1283">
        <f t="shared" si="575"/>
        <v>0</v>
      </c>
      <c r="BC360" s="386">
        <f t="shared" si="576"/>
        <v>0</v>
      </c>
      <c r="BD360" s="387">
        <f t="shared" si="577"/>
        <v>0</v>
      </c>
      <c r="BE360" s="1277">
        <f t="shared" si="578"/>
        <v>0</v>
      </c>
      <c r="BF360" s="1277">
        <f t="shared" si="579"/>
        <v>0</v>
      </c>
      <c r="BG360" s="388">
        <f t="shared" si="580"/>
        <v>0</v>
      </c>
      <c r="BH360" s="1025"/>
      <c r="BI360" s="1282">
        <f t="shared" ca="1" si="581"/>
        <v>0</v>
      </c>
      <c r="BJ360" s="387">
        <f t="shared" ca="1" si="582"/>
        <v>0</v>
      </c>
      <c r="BK360" s="387">
        <f t="shared" ca="1" si="583"/>
        <v>0</v>
      </c>
      <c r="BL360" s="387">
        <f t="shared" ca="1" si="584"/>
        <v>0</v>
      </c>
      <c r="BM360" s="1283">
        <f t="shared" ca="1" si="585"/>
        <v>0</v>
      </c>
      <c r="BN360" s="386">
        <f t="shared" ca="1" si="586"/>
        <v>0</v>
      </c>
      <c r="BO360" s="387">
        <f t="shared" ca="1" si="587"/>
        <v>0</v>
      </c>
      <c r="BP360" s="1277">
        <f t="shared" ca="1" si="588"/>
        <v>0</v>
      </c>
      <c r="BQ360" s="1277">
        <f t="shared" ca="1" si="589"/>
        <v>0</v>
      </c>
      <c r="BR360" s="388">
        <f t="shared" ca="1" si="590"/>
        <v>0</v>
      </c>
      <c r="BS360" s="1025"/>
      <c r="BT360" s="1282">
        <f>+IF($K360="Ongoing",AX360,IF(RIGHT($K360,2)=RIGHT(BT$43,2),SUM($AX360:AX360),0)+IF(RIGHT(BT$43,2)&gt;RIGHT($K360,2),AX360,0))</f>
        <v>0</v>
      </c>
      <c r="BU360" s="387">
        <f>+IF($K360="Ongoing",AY360,IF(RIGHT($K360,2)=RIGHT(BU$43,2),SUM($AX360:AY360),0)+IF(RIGHT(BU$43,2)&gt;RIGHT($K360,2),AY360,0))</f>
        <v>0</v>
      </c>
      <c r="BV360" s="387">
        <f>+IF($K360="Ongoing",AZ360,IF(RIGHT($K360,2)=RIGHT(BV$43,2),SUM($AX360:AZ360),0)+IF(RIGHT(BV$43,2)&gt;RIGHT($K360,2),AZ360,0))</f>
        <v>0</v>
      </c>
      <c r="BW360" s="387">
        <f>+IF($K360="Ongoing",BA360,IF(RIGHT($K360,2)=RIGHT(BW$43,2),SUM($AX360:BA360),0)+IF(RIGHT(BW$43,2)&gt;RIGHT($K360,2),BA360,0))</f>
        <v>0</v>
      </c>
      <c r="BX360" s="1283">
        <f>+IF($K360="Ongoing",BB360,IF(RIGHT($K360,2)=RIGHT(BX$43,2),SUM($AX360:BB360),0)+IF(RIGHT(BX$43,2)&gt;RIGHT($K360,2),BB360,0))</f>
        <v>0</v>
      </c>
      <c r="BY360" s="386">
        <f>+IF($K360="Ongoing",BC360,IF(RIGHT($K360,2)=RIGHT(BY$43,2),SUM($AX360:BC360),0)+IF(RIGHT(BY$43,2)&gt;RIGHT($K360,2),BC360,0))</f>
        <v>0</v>
      </c>
      <c r="BZ360" s="387">
        <f>+IF($K360="Ongoing",BD360,IF(RIGHT($K360,2)=RIGHT(BZ$43,2),SUM($AX360:BD360),0)+IF(RIGHT(BZ$43,2)&gt;RIGHT($K360,2),BD360,0))</f>
        <v>0</v>
      </c>
      <c r="CA360" s="1277">
        <f>+IF($K360="Ongoing",BE360,IF(RIGHT($K360,2)=RIGHT(CA$43,2),SUM($AX360:BE360),0)+IF(RIGHT(CA$43,2)&gt;RIGHT($K360,2),BE360,0))</f>
        <v>0</v>
      </c>
      <c r="CB360" s="1277">
        <f>+IF($K360="Ongoing",BF360,IF(RIGHT($K360,2)=RIGHT(CB$43,2),SUM($AX360:BF360),0)+IF(RIGHT(CB$43,2)&gt;RIGHT($K360,2),BF360,0))</f>
        <v>0</v>
      </c>
      <c r="CC360" s="388">
        <f>+IF($K360="Ongoing",BG360,IF(RIGHT($K360,2)=RIGHT(CC$43,2),SUM($AX360:BG360),0)+IF(RIGHT(CC$43,2)&gt;RIGHT($K360,2),BG360,0))</f>
        <v>0</v>
      </c>
      <c r="CD360" s="1025"/>
      <c r="CE360" s="1282">
        <f>+Q360*KeyAssumptionsPriceControl_FO!AF$15</f>
        <v>0</v>
      </c>
      <c r="CF360" s="387">
        <f>+R360*KeyAssumptionsPriceControl_FO!AG$15</f>
        <v>0</v>
      </c>
      <c r="CG360" s="387">
        <f>+S360*KeyAssumptionsPriceControl_FO!AH$15</f>
        <v>0</v>
      </c>
      <c r="CH360" s="387">
        <f>+T360*KeyAssumptionsPriceControl_FO!AI$15</f>
        <v>0</v>
      </c>
      <c r="CI360" s="1283">
        <f>+U360*KeyAssumptionsPriceControl_FO!AJ$15</f>
        <v>0</v>
      </c>
      <c r="CJ360" s="386">
        <f>+V360*KeyAssumptionsPriceControl_FO!AK$15</f>
        <v>0</v>
      </c>
      <c r="CK360" s="387">
        <f>+W360*KeyAssumptionsPriceControl_FO!AL$15</f>
        <v>0</v>
      </c>
      <c r="CL360" s="1277">
        <f>+X360*KeyAssumptionsPriceControl_FO!AM$15</f>
        <v>0</v>
      </c>
      <c r="CM360" s="1277">
        <f>+Y360*KeyAssumptionsPriceControl_FO!AN$15</f>
        <v>0</v>
      </c>
      <c r="CN360" s="388">
        <f>+Z360*KeyAssumptionsPriceControl_FO!AO$15</f>
        <v>0</v>
      </c>
      <c r="CO360" s="1025"/>
      <c r="CP360" s="1282">
        <f t="shared" ca="1" si="591"/>
        <v>0</v>
      </c>
      <c r="CQ360" s="387">
        <f t="shared" ca="1" si="592"/>
        <v>0</v>
      </c>
      <c r="CR360" s="387">
        <f t="shared" ca="1" si="593"/>
        <v>0</v>
      </c>
      <c r="CS360" s="387">
        <f t="shared" ca="1" si="594"/>
        <v>0</v>
      </c>
      <c r="CT360" s="1283">
        <f t="shared" ca="1" si="595"/>
        <v>0</v>
      </c>
      <c r="CU360" s="386">
        <f t="shared" ca="1" si="596"/>
        <v>0</v>
      </c>
      <c r="CV360" s="387">
        <f t="shared" ca="1" si="597"/>
        <v>0</v>
      </c>
      <c r="CW360" s="1277">
        <f t="shared" ca="1" si="598"/>
        <v>0</v>
      </c>
      <c r="CX360" s="1277">
        <f t="shared" ca="1" si="599"/>
        <v>0</v>
      </c>
      <c r="CY360" s="388">
        <f t="shared" ca="1" si="600"/>
        <v>0</v>
      </c>
      <c r="CZ360" s="347"/>
      <c r="DA360" s="852"/>
      <c r="DB360" s="347"/>
      <c r="DC360" s="1012" t="s">
        <v>568</v>
      </c>
      <c r="DD360" s="841" t="s">
        <v>518</v>
      </c>
      <c r="DE360" s="386">
        <f>+IF($K360="ongoing",CE360,IF(RIGHT($K360,2)=RIGHT(DE$43,2),SUM($CD360:CE360),0)+IF(RIGHT(DE$43,2)&gt;RIGHT($K360,2),CE360,0))</f>
        <v>0</v>
      </c>
      <c r="DF360" s="387">
        <f>+IF($K360="ongoing",CF360,IF(RIGHT($K360,2)=RIGHT(DF$43,2),SUM($CD360:CF360),0)+IF(RIGHT(DF$43,2)&gt;RIGHT($K360,2),CF360,0))</f>
        <v>0</v>
      </c>
      <c r="DG360" s="388">
        <f>+IF($K360="ongoing",CG360,IF(RIGHT($K360,2)=RIGHT(DG$43,2),SUM($CD360:CG360),0)+IF(RIGHT(DG$43,2)&gt;RIGHT($K360,2),CG360,0))</f>
        <v>0</v>
      </c>
      <c r="DH360" s="386">
        <f>+IF($K360="ongoing",CH360,IF(RIGHT($K360,2)=RIGHT(DH$43,2),SUM($CD360:CH360),0)+IF(RIGHT(DH$43,2)&gt;RIGHT($K360,2),CH360,0))</f>
        <v>0</v>
      </c>
      <c r="DI360" s="387">
        <f>+IF($K360="ongoing",CI360,IF(RIGHT($K360,2)=RIGHT(DI$43,2),SUM($CD360:CI360),0)+IF(RIGHT(DI$43,2)&gt;RIGHT($K360,2),CI360,0))</f>
        <v>0</v>
      </c>
      <c r="DJ360" s="387">
        <f>+IF($K360="ongoing",CJ360,IF(RIGHT($K360,2)=RIGHT(DJ$43,2),SUM($CD360:CJ360),0)+IF(RIGHT(DJ$43,2)&gt;RIGHT($K360,2),CJ360,0))</f>
        <v>0</v>
      </c>
      <c r="DK360" s="387">
        <f>+IF($K360="ongoing",CK360,IF(RIGHT($K360,2)=RIGHT(DK$43,2),SUM($CD360:CK360),0)+IF(RIGHT(DK$43,2)&gt;RIGHT($K360,2),CK360,0))</f>
        <v>0</v>
      </c>
      <c r="DL360" s="388">
        <f>+IF($K360="ongoing",CN360,IF(RIGHT($K360,2)=RIGHT(DL$43,2),SUM($CD360:CN360),0)+IF(RIGHT(DL$43,2)&gt;RIGHT($K360,2),CN360,0))</f>
        <v>0</v>
      </c>
      <c r="DM360" s="841"/>
      <c r="DN360" s="386">
        <f t="shared" si="601"/>
        <v>0.5</v>
      </c>
      <c r="DO360" s="387">
        <f t="shared" si="602"/>
        <v>1</v>
      </c>
      <c r="DP360" s="388">
        <f t="shared" si="603"/>
        <v>1</v>
      </c>
      <c r="DQ360" s="386">
        <f t="shared" si="604"/>
        <v>1</v>
      </c>
      <c r="DR360" s="387">
        <f t="shared" si="605"/>
        <v>1</v>
      </c>
      <c r="DS360" s="387">
        <f t="shared" si="606"/>
        <v>1</v>
      </c>
      <c r="DT360" s="387">
        <f t="shared" si="607"/>
        <v>1</v>
      </c>
      <c r="DU360" s="388">
        <f t="shared" si="608"/>
        <v>1</v>
      </c>
      <c r="DW360" s="386">
        <f t="shared" si="609"/>
        <v>0</v>
      </c>
      <c r="DX360" s="387">
        <f t="shared" si="610"/>
        <v>0.5</v>
      </c>
      <c r="DY360" s="388">
        <f t="shared" si="611"/>
        <v>1</v>
      </c>
      <c r="DZ360" s="386">
        <f t="shared" si="612"/>
        <v>1</v>
      </c>
      <c r="EA360" s="387">
        <f t="shared" si="613"/>
        <v>1</v>
      </c>
      <c r="EB360" s="387">
        <f t="shared" si="614"/>
        <v>1</v>
      </c>
      <c r="EC360" s="387">
        <f t="shared" si="615"/>
        <v>1</v>
      </c>
      <c r="ED360" s="388">
        <f t="shared" si="616"/>
        <v>1</v>
      </c>
      <c r="EF360" s="834">
        <f>+IF(DN360=DM360,0,
IF(AND(EF$44&gt;1,DN360=$N360),1-SUM($EE360:EE360),
IF($N360&lt;=1,
IF($N360&gt;0,1/$N360,0),
IF(EF$44=1,0,VDB(1,0,$N360,INT(EF$44-1-1),MIN($N360,INT(EF$44-1-1)+1),$DC360,IF($DD360="No",1,0))/
IF(DM360&gt;=INT($N360),$N360-INT($N360),1)))*
IF(EF$44=1,0,
IF(INT(DN360)=INT(DM360),DN360-DM360,INT(DN360)-DM360))+
IF($N360&lt;=1,
IF($N360&gt;0,1/$N360,0),VDB(1,0,$N360,INT(EF$44-1),MIN($N360,INT(EF$44-1)+1),$DC360,IF($DD360="No",1,0))/
IF(DN360&gt;INT($N360),$N360-INT($N360),1))*
IF(EF$44=1,DN360,
IF(INT(DN360)=INT(DM360),0,DN360-INT(DN360)))))</f>
        <v>0</v>
      </c>
      <c r="EG360" s="835">
        <f>+IF(DO360=DN360,0,
IF(AND(EG$44&gt;1,DO360=$N360),1-SUM($EE360:EF360),
IF($N360&lt;=1,
IF($N360&gt;0,1/$N360,0),
IF(EG$44=1,0,VDB(1,0,$N360,INT(EG$44-1-1),MIN($N360,INT(EG$44-1-1)+1),$DC360,IF($DD360="No",1,0))/
IF(DN360&gt;=INT($N360),$N360-INT($N360),1)))*
IF(EG$44=1,0,
IF(INT(DO360)=INT(DN360),DO360-DN360,INT(DO360)-DN360))+
IF($N360&lt;=1,
IF($N360&gt;0,1/$N360,0),VDB(1,0,$N360,INT(EG$44-1),MIN($N360,INT(EG$44-1)+1),$DC360,IF($DD360="No",1,0))/
IF(DO360&gt;INT($N360),$N360-INT($N360),1))*
IF(EG$44=1,DO360,
IF(INT(DO360)=INT(DN360),0,DO360-INT(DO360)))))</f>
        <v>0</v>
      </c>
      <c r="EH360" s="836">
        <f>+IF(DP360=DO360,0,
IF(AND(EH$44&gt;1,DP360=$N360),1-SUM($EE360:EG360),
IF($N360&lt;=1,
IF($N360&gt;0,1/$N360,0),
IF(EH$44=1,0,VDB(1,0,$N360,INT(EH$44-1-1),MIN($N360,INT(EH$44-1-1)+1),$DC360,IF($DD360="No",1,0))/
IF(DO360&gt;=INT($N360),$N360-INT($N360),1)))*
IF(EH$44=1,0,
IF(INT(DP360)=INT(DO360),DP360-DO360,INT(DP360)-DO360))+
IF($N360&lt;=1,
IF($N360&gt;0,1/$N360,0),VDB(1,0,$N360,INT(EH$44-1),MIN($N360,INT(EH$44-1)+1),$DC360,IF($DD360="No",1,0))/
IF(DP360&gt;INT($N360),$N360-INT($N360),1))*
IF(EH$44=1,DP360,
IF(INT(DP360)=INT(DO360),0,DP360-INT(DP360)))))</f>
        <v>0</v>
      </c>
      <c r="EI360" s="834">
        <f>+IF(DQ360=DP360,0,
IF(AND(EI$44&gt;1,DQ360=$N360),1-SUM($EE360:EH360),
IF($N360&lt;=1,
IF($N360&gt;0,1/$N360,0),
IF(EI$44=1,0,VDB(1,0,$N360,INT(EI$44-1-1),MIN($N360,INT(EI$44-1-1)+1),$DC360,IF($DD360="No",1,0))/
IF(DP360&gt;=INT($N360),$N360-INT($N360),1)))*
IF(EI$44=1,0,
IF(INT(DQ360)=INT(DP360),DQ360-DP360,INT(DQ360)-DP360))+
IF($N360&lt;=1,
IF($N360&gt;0,1/$N360,0),VDB(1,0,$N360,INT(EI$44-1),MIN($N360,INT(EI$44-1)+1),$DC360,IF($DD360="No",1,0))/
IF(DQ360&gt;INT($N360),$N360-INT($N360),1))*
IF(EI$44=1,DQ360,
IF(INT(DQ360)=INT(DP360),0,DQ360-INT(DQ360)))))</f>
        <v>0</v>
      </c>
      <c r="EJ360" s="835">
        <f>+IF(DR360=DQ360,0,
IF(AND(EJ$44&gt;1,DR360=$N360),1-SUM($EE360:EI360),
IF($N360&lt;=1,
IF($N360&gt;0,1/$N360,0),
IF(EJ$44=1,0,VDB(1,0,$N360,INT(EJ$44-1-1),MIN($N360,INT(EJ$44-1-1)+1),$DC360,IF($DD360="No",1,0))/
IF(DQ360&gt;=INT($N360),$N360-INT($N360),1)))*
IF(EJ$44=1,0,
IF(INT(DR360)=INT(DQ360),DR360-DQ360,INT(DR360)-DQ360))+
IF($N360&lt;=1,
IF($N360&gt;0,1/$N360,0),VDB(1,0,$N360,INT(EJ$44-1),MIN($N360,INT(EJ$44-1)+1),$DC360,IF($DD360="No",1,0))/
IF(DR360&gt;INT($N360),$N360-INT($N360),1))*
IF(EJ$44=1,DR360,
IF(INT(DR360)=INT(DQ360),0,DR360-INT(DR360)))))</f>
        <v>0</v>
      </c>
      <c r="EK360" s="835">
        <f>+IF(DS360=DR360,0,
IF(AND(EK$44&gt;1,DS360=$N360),1-SUM($EE360:EJ360),
IF($N360&lt;=1,
IF($N360&gt;0,1/$N360,0),
IF(EK$44=1,0,VDB(1,0,$N360,INT(EK$44-1-1),MIN($N360,INT(EK$44-1-1)+1),$DC360,IF($DD360="No",1,0))/
IF(DR360&gt;=INT($N360),$N360-INT($N360),1)))*
IF(EK$44=1,0,
IF(INT(DS360)=INT(DR360),DS360-DR360,INT(DS360)-DR360))+
IF($N360&lt;=1,
IF($N360&gt;0,1/$N360,0),VDB(1,0,$N360,INT(EK$44-1),MIN($N360,INT(EK$44-1)+1),$DC360,IF($DD360="No",1,0))/
IF(DS360&gt;INT($N360),$N360-INT($N360),1))*
IF(EK$44=1,DS360,
IF(INT(DS360)=INT(DR360),0,DS360-INT(DS360)))))</f>
        <v>0</v>
      </c>
      <c r="EL360" s="835">
        <f>+IF(DT360=DS360,0,
IF(AND(EL$44&gt;1,DT360=$N360),1-SUM($EE360:EK360),
IF($N360&lt;=1,
IF($N360&gt;0,1/$N360,0),
IF(EL$44=1,0,VDB(1,0,$N360,INT(EL$44-1-1),MIN($N360,INT(EL$44-1-1)+1),$DC360,IF($DD360="No",1,0))/
IF(DS360&gt;=INT($N360),$N360-INT($N360),1)))*
IF(EL$44=1,0,
IF(INT(DT360)=INT(DS360),DT360-DS360,INT(DT360)-DS360))+
IF($N360&lt;=1,
IF($N360&gt;0,1/$N360,0),VDB(1,0,$N360,INT(EL$44-1),MIN($N360,INT(EL$44-1)+1),$DC360,IF($DD360="No",1,0))/
IF(DT360&gt;INT($N360),$N360-INT($N360),1))*
IF(EL$44=1,DT360,
IF(INT(DT360)=INT(DS360),0,DT360-INT(DT360)))))</f>
        <v>0</v>
      </c>
      <c r="EM360" s="836">
        <f>+IF(DU360=DT360,0,
IF(AND(EM$44&gt;1,DU360=$N360),1-SUM($EE360:EL360),
IF($N360&lt;=1,
IF($N360&gt;0,1/$N360,0),
IF(EM$44=1,0,VDB(1,0,$N360,INT(EM$44-1-1),MIN($N360,INT(EM$44-1-1)+1),$DC360,IF($DD360="No",1,0))/
IF(DT360&gt;=INT($N360),$N360-INT($N360),1)))*
IF(EM$44=1,0,
IF(INT(DU360)=INT(DT360),DU360-DT360,INT(DU360)-DT360))+
IF($N360&lt;=1,
IF($N360&gt;0,1/$N360,0),VDB(1,0,$N360,INT(EM$44-1),MIN($N360,INT(EM$44-1)+1),$DC360,IF($DD360="No",1,0))/
IF(DU360&gt;INT($N360),$N360-INT($N360),1))*
IF(EM$44=1,DU360,
IF(INT(DU360)=INT(DT360),0,DU360-INT(DU360)))))</f>
        <v>0</v>
      </c>
      <c r="EN360" s="833"/>
      <c r="EO360" s="834">
        <f>+IF(OR(DW360=DV360,EO$44=1),0,
IF(AND(EO$44&gt;1,DW360=$N360),1-SUM($EN360:EN360),
IF($N360&lt;=1,
IF($N360&gt;0,1/$N360,0),
IF(EO$44=2,0,VDB(1,0,$N360,INT(EO$44-2-1),MIN($N360,INT(EO$44-2-1)+1),$DC360,IF($DD360="No",1,0))/
IF(DV360&gt;=INT($N360),$N360-INT($N360),1)))*
IF(EO$44=2,0,
IF(INT(DW360)=INT(DV360),DW360-DV360,INT(DW360)-DV360))+
IF($N360&lt;=1,
IF($N360&gt;0,1/$N360,0),VDB(1,0,$N360,INT(EO$44-2),MIN($N360,INT(EO$44-2)+1),$DC360,IF($DD360="No",1,0))/
IF(DW360&gt;INT($N360),$N360-INT($N360),1))*
IF(EO$44=2,DW360,
IF(INT(DW360)=INT(DV360),0,DW360-INT(DW360)))))</f>
        <v>0</v>
      </c>
      <c r="EP360" s="835">
        <f>+IF(OR(DX360=DW360,EP$44=1),0,
IF(AND(EP$44&gt;1,DX360=$N360),1-SUM($EN360:EO360),
IF($N360&lt;=1,
IF($N360&gt;0,1/$N360,0),
IF(EP$44=2,0,VDB(1,0,$N360,INT(EP$44-2-1),MIN($N360,INT(EP$44-2-1)+1),$DC360,IF($DD360="No",1,0))/
IF(DW360&gt;=INT($N360),$N360-INT($N360),1)))*
IF(EP$44=2,0,
IF(INT(DX360)=INT(DW360),DX360-DW360,INT(DX360)-DW360))+
IF($N360&lt;=1,
IF($N360&gt;0,1/$N360,0),VDB(1,0,$N360,INT(EP$44-2),MIN($N360,INT(EP$44-2)+1),$DC360,IF($DD360="No",1,0))/
IF(DX360&gt;INT($N360),$N360-INT($N360),1))*
IF(EP$44=2,DX360,
IF(INT(DX360)=INT(DW360),0,DX360-INT(DX360)))))</f>
        <v>0</v>
      </c>
      <c r="EQ360" s="836">
        <f>+IF(OR(DY360=DX360,EQ$44=1),0,
IF(AND(EQ$44&gt;1,DY360=$N360),1-SUM($EN360:EP360),
IF($N360&lt;=1,
IF($N360&gt;0,1/$N360,0),
IF(EQ$44=2,0,VDB(1,0,$N360,INT(EQ$44-2-1),MIN($N360,INT(EQ$44-2-1)+1),$DC360,IF($DD360="No",1,0))/
IF(DX360&gt;=INT($N360),$N360-INT($N360),1)))*
IF(EQ$44=2,0,
IF(INT(DY360)=INT(DX360),DY360-DX360,INT(DY360)-DX360))+
IF($N360&lt;=1,
IF($N360&gt;0,1/$N360,0),VDB(1,0,$N360,INT(EQ$44-2),MIN($N360,INT(EQ$44-2)+1),$DC360,IF($DD360="No",1,0))/
IF(DY360&gt;INT($N360),$N360-INT($N360),1))*
IF(EQ$44=2,DY360,
IF(INT(DY360)=INT(DX360),0,DY360-INT(DY360)))))</f>
        <v>0</v>
      </c>
      <c r="ER360" s="834">
        <f>+IF(OR(DZ360=DY360,ER$44=1),0,
IF(AND(ER$44&gt;1,DZ360=$N360),1-SUM($EN360:EQ360),
IF($N360&lt;=1,
IF($N360&gt;0,1/$N360,0),
IF(ER$44=2,0,VDB(1,0,$N360,INT(ER$44-2-1),MIN($N360,INT(ER$44-2-1)+1),$DC360,IF($DD360="No",1,0))/
IF(DY360&gt;=INT($N360),$N360-INT($N360),1)))*
IF(ER$44=2,0,
IF(INT(DZ360)=INT(DY360),DZ360-DY360,INT(DZ360)-DY360))+
IF($N360&lt;=1,
IF($N360&gt;0,1/$N360,0),VDB(1,0,$N360,INT(ER$44-2),MIN($N360,INT(ER$44-2)+1),$DC360,IF($DD360="No",1,0))/
IF(DZ360&gt;INT($N360),$N360-INT($N360),1))*
IF(ER$44=2,DZ360,
IF(INT(DZ360)=INT(DY360),0,DZ360-INT(DZ360)))))</f>
        <v>0</v>
      </c>
      <c r="ES360" s="835">
        <f>+IF(OR(EA360=DZ360,ES$44=1),0,
IF(AND(ES$44&gt;1,EA360=$N360),1-SUM($EN360:ER360),
IF($N360&lt;=1,
IF($N360&gt;0,1/$N360,0),
IF(ES$44=2,0,VDB(1,0,$N360,INT(ES$44-2-1),MIN($N360,INT(ES$44-2-1)+1),$DC360,IF($DD360="No",1,0))/
IF(DZ360&gt;=INT($N360),$N360-INT($N360),1)))*
IF(ES$44=2,0,
IF(INT(EA360)=INT(DZ360),EA360-DZ360,INT(EA360)-DZ360))+
IF($N360&lt;=1,
IF($N360&gt;0,1/$N360,0),VDB(1,0,$N360,INT(ES$44-2),MIN($N360,INT(ES$44-2)+1),$DC360,IF($DD360="No",1,0))/
IF(EA360&gt;INT($N360),$N360-INT($N360),1))*
IF(ES$44=2,EA360,
IF(INT(EA360)=INT(DZ360),0,EA360-INT(EA360)))))</f>
        <v>0</v>
      </c>
      <c r="ET360" s="835">
        <f>+IF(OR(EB360=EA360,ET$44=1),0,
IF(AND(ET$44&gt;1,EB360=$N360),1-SUM($EN360:ES360),
IF($N360&lt;=1,
IF($N360&gt;0,1/$N360,0),
IF(ET$44=2,0,VDB(1,0,$N360,INT(ET$44-2-1),MIN($N360,INT(ET$44-2-1)+1),$DC360,IF($DD360="No",1,0))/
IF(EA360&gt;=INT($N360),$N360-INT($N360),1)))*
IF(ET$44=2,0,
IF(INT(EB360)=INT(EA360),EB360-EA360,INT(EB360)-EA360))+
IF($N360&lt;=1,
IF($N360&gt;0,1/$N360,0),VDB(1,0,$N360,INT(ET$44-2),MIN($N360,INT(ET$44-2)+1),$DC360,IF($DD360="No",1,0))/
IF(EB360&gt;INT($N360),$N360-INT($N360),1))*
IF(ET$44=2,EB360,
IF(INT(EB360)=INT(EA360),0,EB360-INT(EB360)))))</f>
        <v>0</v>
      </c>
      <c r="EU360" s="835">
        <f>+IF(OR(EC360=EB360,EU$44=1),0,
IF(AND(EU$44&gt;1,EC360=$N360),1-SUM($EN360:ET360),
IF($N360&lt;=1,
IF($N360&gt;0,1/$N360,0),
IF(EU$44=2,0,VDB(1,0,$N360,INT(EU$44-2-1),MIN($N360,INT(EU$44-2-1)+1),$DC360,IF($DD360="No",1,0))/
IF(EB360&gt;=INT($N360),$N360-INT($N360),1)))*
IF(EU$44=2,0,
IF(INT(EC360)=INT(EB360),EC360-EB360,INT(EC360)-EB360))+
IF($N360&lt;=1,
IF($N360&gt;0,1/$N360,0),VDB(1,0,$N360,INT(EU$44-2),MIN($N360,INT(EU$44-2)+1),$DC360,IF($DD360="No",1,0))/
IF(EC360&gt;INT($N360),$N360-INT($N360),1))*
IF(EU$44=2,EC360,
IF(INT(EC360)=INT(EB360),0,EC360-INT(EC360)))))</f>
        <v>0</v>
      </c>
      <c r="EV360" s="836">
        <f>+IF(OR(ED360=EC360,EV$44=1),0,
IF(AND(EV$44&gt;1,ED360=$N360),1-SUM($EN360:EU360),
IF($N360&lt;=1,
IF($N360&gt;0,1/$N360,0),
IF(EV$44=2,0,VDB(1,0,$N360,INT(EV$44-2-1),MIN($N360,INT(EV$44-2-1)+1),$DC360,IF($DD360="No",1,0))/
IF(EC360&gt;=INT($N360),$N360-INT($N360),1)))*
IF(EV$44=2,0,
IF(INT(ED360)=INT(EC360),ED360-EC360,INT(ED360)-EC360))+
IF($N360&lt;=1,
IF($N360&gt;0,1/$N360,0),VDB(1,0,$N360,INT(EV$44-2),MIN($N360,INT(EV$44-2)+1),$DC360,IF($DD360="No",1,0))/
IF(ED360&gt;INT($N360),$N360-INT($N360),1))*
IF(EV$44=2,ED360,
IF(INT(ED360)=INT(EC360),0,ED360-INT(ED360)))))</f>
        <v>0</v>
      </c>
      <c r="EW360" s="833"/>
      <c r="EX360" s="834">
        <f t="shared" ca="1" si="570"/>
        <v>0</v>
      </c>
      <c r="EY360" s="835">
        <f t="shared" ca="1" si="570"/>
        <v>0</v>
      </c>
      <c r="EZ360" s="836">
        <f t="shared" ca="1" si="570"/>
        <v>0</v>
      </c>
      <c r="FA360" s="834">
        <f t="shared" ca="1" si="570"/>
        <v>0</v>
      </c>
      <c r="FB360" s="835">
        <f t="shared" ca="1" si="570"/>
        <v>0</v>
      </c>
      <c r="FC360" s="835">
        <f t="shared" ca="1" si="570"/>
        <v>0</v>
      </c>
      <c r="FD360" s="835">
        <f t="shared" ca="1" si="570"/>
        <v>0</v>
      </c>
      <c r="FE360" s="836">
        <f t="shared" ca="1" si="570"/>
        <v>0</v>
      </c>
      <c r="FG360" s="386">
        <f t="shared" ca="1" si="617"/>
        <v>0</v>
      </c>
      <c r="FH360" s="387">
        <f t="shared" ca="1" si="618"/>
        <v>0</v>
      </c>
      <c r="FI360" s="388">
        <f t="shared" ca="1" si="619"/>
        <v>0</v>
      </c>
      <c r="FJ360" s="386">
        <f t="shared" ca="1" si="620"/>
        <v>0</v>
      </c>
      <c r="FK360" s="387">
        <f t="shared" ca="1" si="621"/>
        <v>0</v>
      </c>
      <c r="FL360" s="387">
        <f t="shared" ca="1" si="622"/>
        <v>0</v>
      </c>
      <c r="FM360" s="387">
        <f t="shared" ca="1" si="623"/>
        <v>0</v>
      </c>
      <c r="FN360" s="388">
        <f t="shared" ca="1" si="624"/>
        <v>0</v>
      </c>
      <c r="FR360" s="116"/>
    </row>
    <row r="361" spans="2:174">
      <c r="B361" s="1410">
        <f t="shared" si="556"/>
        <v>315</v>
      </c>
      <c r="C361" s="1602"/>
      <c r="D361" s="1603"/>
      <c r="E361" s="1604"/>
      <c r="F361" s="1604"/>
      <c r="G361" s="1602"/>
      <c r="H361" s="2088"/>
      <c r="I361" s="2089"/>
      <c r="J361" s="1605"/>
      <c r="K361" s="1606"/>
      <c r="L361" s="1606"/>
      <c r="M361" s="1606"/>
      <c r="N361" s="1606"/>
      <c r="O361" s="347"/>
      <c r="P361" s="347"/>
      <c r="Q361" s="1021"/>
      <c r="R361" s="1022"/>
      <c r="S361" s="1022"/>
      <c r="T361" s="1022"/>
      <c r="U361" s="1023"/>
      <c r="V361" s="1021"/>
      <c r="W361" s="1022"/>
      <c r="X361" s="1022"/>
      <c r="Y361" s="1022"/>
      <c r="Z361" s="1023"/>
      <c r="AA361" s="1024"/>
      <c r="AB361" s="1021"/>
      <c r="AC361" s="1022"/>
      <c r="AD361" s="1022"/>
      <c r="AE361" s="1022"/>
      <c r="AF361" s="1023"/>
      <c r="AG361" s="1021"/>
      <c r="AH361" s="1022"/>
      <c r="AI361" s="1022"/>
      <c r="AJ361" s="1022"/>
      <c r="AK361" s="1023"/>
      <c r="AL361" s="1024"/>
      <c r="AM361" s="1021"/>
      <c r="AN361" s="1022"/>
      <c r="AO361" s="1022"/>
      <c r="AP361" s="1022"/>
      <c r="AQ361" s="1023"/>
      <c r="AR361" s="1021"/>
      <c r="AS361" s="1022"/>
      <c r="AT361" s="1022"/>
      <c r="AU361" s="1022"/>
      <c r="AV361" s="1023"/>
      <c r="AW361" s="1025"/>
      <c r="AX361" s="1282">
        <f t="shared" si="571"/>
        <v>0</v>
      </c>
      <c r="AY361" s="387">
        <f t="shared" si="572"/>
        <v>0</v>
      </c>
      <c r="AZ361" s="387">
        <f t="shared" si="573"/>
        <v>0</v>
      </c>
      <c r="BA361" s="387">
        <f t="shared" si="574"/>
        <v>0</v>
      </c>
      <c r="BB361" s="1283">
        <f t="shared" si="575"/>
        <v>0</v>
      </c>
      <c r="BC361" s="386">
        <f t="shared" si="576"/>
        <v>0</v>
      </c>
      <c r="BD361" s="387">
        <f t="shared" si="577"/>
        <v>0</v>
      </c>
      <c r="BE361" s="1277">
        <f t="shared" si="578"/>
        <v>0</v>
      </c>
      <c r="BF361" s="1277">
        <f t="shared" si="579"/>
        <v>0</v>
      </c>
      <c r="BG361" s="388">
        <f t="shared" si="580"/>
        <v>0</v>
      </c>
      <c r="BH361" s="1025"/>
      <c r="BI361" s="1282">
        <f t="shared" ca="1" si="581"/>
        <v>0</v>
      </c>
      <c r="BJ361" s="387">
        <f t="shared" ca="1" si="582"/>
        <v>0</v>
      </c>
      <c r="BK361" s="387">
        <f t="shared" ca="1" si="583"/>
        <v>0</v>
      </c>
      <c r="BL361" s="387">
        <f t="shared" ca="1" si="584"/>
        <v>0</v>
      </c>
      <c r="BM361" s="1283">
        <f t="shared" ca="1" si="585"/>
        <v>0</v>
      </c>
      <c r="BN361" s="386">
        <f t="shared" ca="1" si="586"/>
        <v>0</v>
      </c>
      <c r="BO361" s="387">
        <f t="shared" ca="1" si="587"/>
        <v>0</v>
      </c>
      <c r="BP361" s="1277">
        <f t="shared" ca="1" si="588"/>
        <v>0</v>
      </c>
      <c r="BQ361" s="1277">
        <f t="shared" ca="1" si="589"/>
        <v>0</v>
      </c>
      <c r="BR361" s="388">
        <f t="shared" ca="1" si="590"/>
        <v>0</v>
      </c>
      <c r="BS361" s="1025"/>
      <c r="BT361" s="1282">
        <f>+IF($K361="Ongoing",AX361,IF(RIGHT($K361,2)=RIGHT(BT$43,2),SUM($AX361:AX361),0)+IF(RIGHT(BT$43,2)&gt;RIGHT($K361,2),AX361,0))</f>
        <v>0</v>
      </c>
      <c r="BU361" s="387">
        <f>+IF($K361="Ongoing",AY361,IF(RIGHT($K361,2)=RIGHT(BU$43,2),SUM($AX361:AY361),0)+IF(RIGHT(BU$43,2)&gt;RIGHT($K361,2),AY361,0))</f>
        <v>0</v>
      </c>
      <c r="BV361" s="387">
        <f>+IF($K361="Ongoing",AZ361,IF(RIGHT($K361,2)=RIGHT(BV$43,2),SUM($AX361:AZ361),0)+IF(RIGHT(BV$43,2)&gt;RIGHT($K361,2),AZ361,0))</f>
        <v>0</v>
      </c>
      <c r="BW361" s="387">
        <f>+IF($K361="Ongoing",BA361,IF(RIGHT($K361,2)=RIGHT(BW$43,2),SUM($AX361:BA361),0)+IF(RIGHT(BW$43,2)&gt;RIGHT($K361,2),BA361,0))</f>
        <v>0</v>
      </c>
      <c r="BX361" s="1283">
        <f>+IF($K361="Ongoing",BB361,IF(RIGHT($K361,2)=RIGHT(BX$43,2),SUM($AX361:BB361),0)+IF(RIGHT(BX$43,2)&gt;RIGHT($K361,2),BB361,0))</f>
        <v>0</v>
      </c>
      <c r="BY361" s="386">
        <f>+IF($K361="Ongoing",BC361,IF(RIGHT($K361,2)=RIGHT(BY$43,2),SUM($AX361:BC361),0)+IF(RIGHT(BY$43,2)&gt;RIGHT($K361,2),BC361,0))</f>
        <v>0</v>
      </c>
      <c r="BZ361" s="387">
        <f>+IF($K361="Ongoing",BD361,IF(RIGHT($K361,2)=RIGHT(BZ$43,2),SUM($AX361:BD361),0)+IF(RIGHT(BZ$43,2)&gt;RIGHT($K361,2),BD361,0))</f>
        <v>0</v>
      </c>
      <c r="CA361" s="1277">
        <f>+IF($K361="Ongoing",BE361,IF(RIGHT($K361,2)=RIGHT(CA$43,2),SUM($AX361:BE361),0)+IF(RIGHT(CA$43,2)&gt;RIGHT($K361,2),BE361,0))</f>
        <v>0</v>
      </c>
      <c r="CB361" s="1277">
        <f>+IF($K361="Ongoing",BF361,IF(RIGHT($K361,2)=RIGHT(CB$43,2),SUM($AX361:BF361),0)+IF(RIGHT(CB$43,2)&gt;RIGHT($K361,2),BF361,0))</f>
        <v>0</v>
      </c>
      <c r="CC361" s="388">
        <f>+IF($K361="Ongoing",BG361,IF(RIGHT($K361,2)=RIGHT(CC$43,2),SUM($AX361:BG361),0)+IF(RIGHT(CC$43,2)&gt;RIGHT($K361,2),BG361,0))</f>
        <v>0</v>
      </c>
      <c r="CD361" s="1025"/>
      <c r="CE361" s="1282">
        <f>+Q361*KeyAssumptionsPriceControl_FO!AF$15</f>
        <v>0</v>
      </c>
      <c r="CF361" s="387">
        <f>+R361*KeyAssumptionsPriceControl_FO!AG$15</f>
        <v>0</v>
      </c>
      <c r="CG361" s="387">
        <f>+S361*KeyAssumptionsPriceControl_FO!AH$15</f>
        <v>0</v>
      </c>
      <c r="CH361" s="387">
        <f>+T361*KeyAssumptionsPriceControl_FO!AI$15</f>
        <v>0</v>
      </c>
      <c r="CI361" s="1283">
        <f>+U361*KeyAssumptionsPriceControl_FO!AJ$15</f>
        <v>0</v>
      </c>
      <c r="CJ361" s="386">
        <f>+V361*KeyAssumptionsPriceControl_FO!AK$15</f>
        <v>0</v>
      </c>
      <c r="CK361" s="387">
        <f>+W361*KeyAssumptionsPriceControl_FO!AL$15</f>
        <v>0</v>
      </c>
      <c r="CL361" s="1277">
        <f>+X361*KeyAssumptionsPriceControl_FO!AM$15</f>
        <v>0</v>
      </c>
      <c r="CM361" s="1277">
        <f>+Y361*KeyAssumptionsPriceControl_FO!AN$15</f>
        <v>0</v>
      </c>
      <c r="CN361" s="388">
        <f>+Z361*KeyAssumptionsPriceControl_FO!AO$15</f>
        <v>0</v>
      </c>
      <c r="CO361" s="1025"/>
      <c r="CP361" s="1282">
        <f t="shared" ca="1" si="591"/>
        <v>0</v>
      </c>
      <c r="CQ361" s="387">
        <f t="shared" ca="1" si="592"/>
        <v>0</v>
      </c>
      <c r="CR361" s="387">
        <f t="shared" ca="1" si="593"/>
        <v>0</v>
      </c>
      <c r="CS361" s="387">
        <f t="shared" ca="1" si="594"/>
        <v>0</v>
      </c>
      <c r="CT361" s="1283">
        <f t="shared" ca="1" si="595"/>
        <v>0</v>
      </c>
      <c r="CU361" s="386">
        <f t="shared" ca="1" si="596"/>
        <v>0</v>
      </c>
      <c r="CV361" s="387">
        <f t="shared" ca="1" si="597"/>
        <v>0</v>
      </c>
      <c r="CW361" s="1277">
        <f t="shared" ca="1" si="598"/>
        <v>0</v>
      </c>
      <c r="CX361" s="1277">
        <f t="shared" ca="1" si="599"/>
        <v>0</v>
      </c>
      <c r="CY361" s="388">
        <f t="shared" ca="1" si="600"/>
        <v>0</v>
      </c>
      <c r="CZ361" s="347"/>
      <c r="DA361" s="852"/>
      <c r="DB361" s="347"/>
      <c r="DC361" s="1012" t="s">
        <v>570</v>
      </c>
      <c r="DD361" s="841" t="s">
        <v>518</v>
      </c>
      <c r="DE361" s="386">
        <f>+IF($K361="ongoing",CE361,IF(RIGHT($K361,2)=RIGHT(DE$43,2),SUM($CD361:CE361),0)+IF(RIGHT(DE$43,2)&gt;RIGHT($K361,2),CE361,0))</f>
        <v>0</v>
      </c>
      <c r="DF361" s="387">
        <f>+IF($K361="ongoing",CF361,IF(RIGHT($K361,2)=RIGHT(DF$43,2),SUM($CD361:CF361),0)+IF(RIGHT(DF$43,2)&gt;RIGHT($K361,2),CF361,0))</f>
        <v>0</v>
      </c>
      <c r="DG361" s="388">
        <f>+IF($K361="ongoing",CG361,IF(RIGHT($K361,2)=RIGHT(DG$43,2),SUM($CD361:CG361),0)+IF(RIGHT(DG$43,2)&gt;RIGHT($K361,2),CG361,0))</f>
        <v>0</v>
      </c>
      <c r="DH361" s="386">
        <f>+IF($K361="ongoing",CH361,IF(RIGHT($K361,2)=RIGHT(DH$43,2),SUM($CD361:CH361),0)+IF(RIGHT(DH$43,2)&gt;RIGHT($K361,2),CH361,0))</f>
        <v>0</v>
      </c>
      <c r="DI361" s="387">
        <f>+IF($K361="ongoing",CI361,IF(RIGHT($K361,2)=RIGHT(DI$43,2),SUM($CD361:CI361),0)+IF(RIGHT(DI$43,2)&gt;RIGHT($K361,2),CI361,0))</f>
        <v>0</v>
      </c>
      <c r="DJ361" s="387">
        <f>+IF($K361="ongoing",CJ361,IF(RIGHT($K361,2)=RIGHT(DJ$43,2),SUM($CD361:CJ361),0)+IF(RIGHT(DJ$43,2)&gt;RIGHT($K361,2),CJ361,0))</f>
        <v>0</v>
      </c>
      <c r="DK361" s="387">
        <f>+IF($K361="ongoing",CK361,IF(RIGHT($K361,2)=RIGHT(DK$43,2),SUM($CD361:CK361),0)+IF(RIGHT(DK$43,2)&gt;RIGHT($K361,2),CK361,0))</f>
        <v>0</v>
      </c>
      <c r="DL361" s="388">
        <f>+IF($K361="ongoing",CN361,IF(RIGHT($K361,2)=RIGHT(DL$43,2),SUM($CD361:CN361),0)+IF(RIGHT(DL$43,2)&gt;RIGHT($K361,2),CN361,0))</f>
        <v>0</v>
      </c>
      <c r="DM361" s="841"/>
      <c r="DN361" s="386">
        <f t="shared" si="601"/>
        <v>0.5</v>
      </c>
      <c r="DO361" s="387">
        <f t="shared" si="602"/>
        <v>1</v>
      </c>
      <c r="DP361" s="388">
        <f t="shared" si="603"/>
        <v>1</v>
      </c>
      <c r="DQ361" s="386">
        <f t="shared" si="604"/>
        <v>1</v>
      </c>
      <c r="DR361" s="387">
        <f t="shared" si="605"/>
        <v>1</v>
      </c>
      <c r="DS361" s="387">
        <f t="shared" si="606"/>
        <v>1</v>
      </c>
      <c r="DT361" s="387">
        <f t="shared" si="607"/>
        <v>1</v>
      </c>
      <c r="DU361" s="388">
        <f t="shared" si="608"/>
        <v>1</v>
      </c>
      <c r="DW361" s="386">
        <f t="shared" si="609"/>
        <v>0</v>
      </c>
      <c r="DX361" s="387">
        <f t="shared" si="610"/>
        <v>0.5</v>
      </c>
      <c r="DY361" s="388">
        <f t="shared" si="611"/>
        <v>1</v>
      </c>
      <c r="DZ361" s="386">
        <f t="shared" si="612"/>
        <v>1</v>
      </c>
      <c r="EA361" s="387">
        <f t="shared" si="613"/>
        <v>1</v>
      </c>
      <c r="EB361" s="387">
        <f t="shared" si="614"/>
        <v>1</v>
      </c>
      <c r="EC361" s="387">
        <f t="shared" si="615"/>
        <v>1</v>
      </c>
      <c r="ED361" s="388">
        <f t="shared" si="616"/>
        <v>1</v>
      </c>
      <c r="EF361" s="834">
        <f>+IF(DN361=DM361,0,
IF(AND(EF$44&gt;1,DN361=$N361),1-SUM($EE361:EE361),
IF($N361&lt;=1,
IF($N361&gt;0,1/$N361,0),
IF(EF$44=1,0,VDB(1,0,$N361,INT(EF$44-1-1),MIN($N361,INT(EF$44-1-1)+1),$DC361,IF($DD361="No",1,0))/
IF(DM361&gt;=INT($N361),$N361-INT($N361),1)))*
IF(EF$44=1,0,
IF(INT(DN361)=INT(DM361),DN361-DM361,INT(DN361)-DM361))+
IF($N361&lt;=1,
IF($N361&gt;0,1/$N361,0),VDB(1,0,$N361,INT(EF$44-1),MIN($N361,INT(EF$44-1)+1),$DC361,IF($DD361="No",1,0))/
IF(DN361&gt;INT($N361),$N361-INT($N361),1))*
IF(EF$44=1,DN361,
IF(INT(DN361)=INT(DM361),0,DN361-INT(DN361)))))</f>
        <v>0</v>
      </c>
      <c r="EG361" s="835">
        <f>+IF(DO361=DN361,0,
IF(AND(EG$44&gt;1,DO361=$N361),1-SUM($EE361:EF361),
IF($N361&lt;=1,
IF($N361&gt;0,1/$N361,0),
IF(EG$44=1,0,VDB(1,0,$N361,INT(EG$44-1-1),MIN($N361,INT(EG$44-1-1)+1),$DC361,IF($DD361="No",1,0))/
IF(DN361&gt;=INT($N361),$N361-INT($N361),1)))*
IF(EG$44=1,0,
IF(INT(DO361)=INT(DN361),DO361-DN361,INT(DO361)-DN361))+
IF($N361&lt;=1,
IF($N361&gt;0,1/$N361,0),VDB(1,0,$N361,INT(EG$44-1),MIN($N361,INT(EG$44-1)+1),$DC361,IF($DD361="No",1,0))/
IF(DO361&gt;INT($N361),$N361-INT($N361),1))*
IF(EG$44=1,DO361,
IF(INT(DO361)=INT(DN361),0,DO361-INT(DO361)))))</f>
        <v>0</v>
      </c>
      <c r="EH361" s="836">
        <f>+IF(DP361=DO361,0,
IF(AND(EH$44&gt;1,DP361=$N361),1-SUM($EE361:EG361),
IF($N361&lt;=1,
IF($N361&gt;0,1/$N361,0),
IF(EH$44=1,0,VDB(1,0,$N361,INT(EH$44-1-1),MIN($N361,INT(EH$44-1-1)+1),$DC361,IF($DD361="No",1,0))/
IF(DO361&gt;=INT($N361),$N361-INT($N361),1)))*
IF(EH$44=1,0,
IF(INT(DP361)=INT(DO361),DP361-DO361,INT(DP361)-DO361))+
IF($N361&lt;=1,
IF($N361&gt;0,1/$N361,0),VDB(1,0,$N361,INT(EH$44-1),MIN($N361,INT(EH$44-1)+1),$DC361,IF($DD361="No",1,0))/
IF(DP361&gt;INT($N361),$N361-INT($N361),1))*
IF(EH$44=1,DP361,
IF(INT(DP361)=INT(DO361),0,DP361-INT(DP361)))))</f>
        <v>0</v>
      </c>
      <c r="EI361" s="834">
        <f>+IF(DQ361=DP361,0,
IF(AND(EI$44&gt;1,DQ361=$N361),1-SUM($EE361:EH361),
IF($N361&lt;=1,
IF($N361&gt;0,1/$N361,0),
IF(EI$44=1,0,VDB(1,0,$N361,INT(EI$44-1-1),MIN($N361,INT(EI$44-1-1)+1),$DC361,IF($DD361="No",1,0))/
IF(DP361&gt;=INT($N361),$N361-INT($N361),1)))*
IF(EI$44=1,0,
IF(INT(DQ361)=INT(DP361),DQ361-DP361,INT(DQ361)-DP361))+
IF($N361&lt;=1,
IF($N361&gt;0,1/$N361,0),VDB(1,0,$N361,INT(EI$44-1),MIN($N361,INT(EI$44-1)+1),$DC361,IF($DD361="No",1,0))/
IF(DQ361&gt;INT($N361),$N361-INT($N361),1))*
IF(EI$44=1,DQ361,
IF(INT(DQ361)=INT(DP361),0,DQ361-INT(DQ361)))))</f>
        <v>0</v>
      </c>
      <c r="EJ361" s="835">
        <f>+IF(DR361=DQ361,0,
IF(AND(EJ$44&gt;1,DR361=$N361),1-SUM($EE361:EI361),
IF($N361&lt;=1,
IF($N361&gt;0,1/$N361,0),
IF(EJ$44=1,0,VDB(1,0,$N361,INT(EJ$44-1-1),MIN($N361,INT(EJ$44-1-1)+1),$DC361,IF($DD361="No",1,0))/
IF(DQ361&gt;=INT($N361),$N361-INT($N361),1)))*
IF(EJ$44=1,0,
IF(INT(DR361)=INT(DQ361),DR361-DQ361,INT(DR361)-DQ361))+
IF($N361&lt;=1,
IF($N361&gt;0,1/$N361,0),VDB(1,0,$N361,INT(EJ$44-1),MIN($N361,INT(EJ$44-1)+1),$DC361,IF($DD361="No",1,0))/
IF(DR361&gt;INT($N361),$N361-INT($N361),1))*
IF(EJ$44=1,DR361,
IF(INT(DR361)=INT(DQ361),0,DR361-INT(DR361)))))</f>
        <v>0</v>
      </c>
      <c r="EK361" s="835">
        <f>+IF(DS361=DR361,0,
IF(AND(EK$44&gt;1,DS361=$N361),1-SUM($EE361:EJ361),
IF($N361&lt;=1,
IF($N361&gt;0,1/$N361,0),
IF(EK$44=1,0,VDB(1,0,$N361,INT(EK$44-1-1),MIN($N361,INT(EK$44-1-1)+1),$DC361,IF($DD361="No",1,0))/
IF(DR361&gt;=INT($N361),$N361-INT($N361),1)))*
IF(EK$44=1,0,
IF(INT(DS361)=INT(DR361),DS361-DR361,INT(DS361)-DR361))+
IF($N361&lt;=1,
IF($N361&gt;0,1/$N361,0),VDB(1,0,$N361,INT(EK$44-1),MIN($N361,INT(EK$44-1)+1),$DC361,IF($DD361="No",1,0))/
IF(DS361&gt;INT($N361),$N361-INT($N361),1))*
IF(EK$44=1,DS361,
IF(INT(DS361)=INT(DR361),0,DS361-INT(DS361)))))</f>
        <v>0</v>
      </c>
      <c r="EL361" s="835">
        <f>+IF(DT361=DS361,0,
IF(AND(EL$44&gt;1,DT361=$N361),1-SUM($EE361:EK361),
IF($N361&lt;=1,
IF($N361&gt;0,1/$N361,0),
IF(EL$44=1,0,VDB(1,0,$N361,INT(EL$44-1-1),MIN($N361,INT(EL$44-1-1)+1),$DC361,IF($DD361="No",1,0))/
IF(DS361&gt;=INT($N361),$N361-INT($N361),1)))*
IF(EL$44=1,0,
IF(INT(DT361)=INT(DS361),DT361-DS361,INT(DT361)-DS361))+
IF($N361&lt;=1,
IF($N361&gt;0,1/$N361,0),VDB(1,0,$N361,INT(EL$44-1),MIN($N361,INT(EL$44-1)+1),$DC361,IF($DD361="No",1,0))/
IF(DT361&gt;INT($N361),$N361-INT($N361),1))*
IF(EL$44=1,DT361,
IF(INT(DT361)=INT(DS361),0,DT361-INT(DT361)))))</f>
        <v>0</v>
      </c>
      <c r="EM361" s="836">
        <f>+IF(DU361=DT361,0,
IF(AND(EM$44&gt;1,DU361=$N361),1-SUM($EE361:EL361),
IF($N361&lt;=1,
IF($N361&gt;0,1/$N361,0),
IF(EM$44=1,0,VDB(1,0,$N361,INT(EM$44-1-1),MIN($N361,INT(EM$44-1-1)+1),$DC361,IF($DD361="No",1,0))/
IF(DT361&gt;=INT($N361),$N361-INT($N361),1)))*
IF(EM$44=1,0,
IF(INT(DU361)=INT(DT361),DU361-DT361,INT(DU361)-DT361))+
IF($N361&lt;=1,
IF($N361&gt;0,1/$N361,0),VDB(1,0,$N361,INT(EM$44-1),MIN($N361,INT(EM$44-1)+1),$DC361,IF($DD361="No",1,0))/
IF(DU361&gt;INT($N361),$N361-INT($N361),1))*
IF(EM$44=1,DU361,
IF(INT(DU361)=INT(DT361),0,DU361-INT(DU361)))))</f>
        <v>0</v>
      </c>
      <c r="EN361" s="833"/>
      <c r="EO361" s="834">
        <f>+IF(OR(DW361=DV361,EO$44=1),0,
IF(AND(EO$44&gt;1,DW361=$N361),1-SUM($EN361:EN361),
IF($N361&lt;=1,
IF($N361&gt;0,1/$N361,0),
IF(EO$44=2,0,VDB(1,0,$N361,INT(EO$44-2-1),MIN($N361,INT(EO$44-2-1)+1),$DC361,IF($DD361="No",1,0))/
IF(DV361&gt;=INT($N361),$N361-INT($N361),1)))*
IF(EO$44=2,0,
IF(INT(DW361)=INT(DV361),DW361-DV361,INT(DW361)-DV361))+
IF($N361&lt;=1,
IF($N361&gt;0,1/$N361,0),VDB(1,0,$N361,INT(EO$44-2),MIN($N361,INT(EO$44-2)+1),$DC361,IF($DD361="No",1,0))/
IF(DW361&gt;INT($N361),$N361-INT($N361),1))*
IF(EO$44=2,DW361,
IF(INT(DW361)=INT(DV361),0,DW361-INT(DW361)))))</f>
        <v>0</v>
      </c>
      <c r="EP361" s="835">
        <f>+IF(OR(DX361=DW361,EP$44=1),0,
IF(AND(EP$44&gt;1,DX361=$N361),1-SUM($EN361:EO361),
IF($N361&lt;=1,
IF($N361&gt;0,1/$N361,0),
IF(EP$44=2,0,VDB(1,0,$N361,INT(EP$44-2-1),MIN($N361,INT(EP$44-2-1)+1),$DC361,IF($DD361="No",1,0))/
IF(DW361&gt;=INT($N361),$N361-INT($N361),1)))*
IF(EP$44=2,0,
IF(INT(DX361)=INT(DW361),DX361-DW361,INT(DX361)-DW361))+
IF($N361&lt;=1,
IF($N361&gt;0,1/$N361,0),VDB(1,0,$N361,INT(EP$44-2),MIN($N361,INT(EP$44-2)+1),$DC361,IF($DD361="No",1,0))/
IF(DX361&gt;INT($N361),$N361-INT($N361),1))*
IF(EP$44=2,DX361,
IF(INT(DX361)=INT(DW361),0,DX361-INT(DX361)))))</f>
        <v>0</v>
      </c>
      <c r="EQ361" s="836">
        <f>+IF(OR(DY361=DX361,EQ$44=1),0,
IF(AND(EQ$44&gt;1,DY361=$N361),1-SUM($EN361:EP361),
IF($N361&lt;=1,
IF($N361&gt;0,1/$N361,0),
IF(EQ$44=2,0,VDB(1,0,$N361,INT(EQ$44-2-1),MIN($N361,INT(EQ$44-2-1)+1),$DC361,IF($DD361="No",1,0))/
IF(DX361&gt;=INT($N361),$N361-INT($N361),1)))*
IF(EQ$44=2,0,
IF(INT(DY361)=INT(DX361),DY361-DX361,INT(DY361)-DX361))+
IF($N361&lt;=1,
IF($N361&gt;0,1/$N361,0),VDB(1,0,$N361,INT(EQ$44-2),MIN($N361,INT(EQ$44-2)+1),$DC361,IF($DD361="No",1,0))/
IF(DY361&gt;INT($N361),$N361-INT($N361),1))*
IF(EQ$44=2,DY361,
IF(INT(DY361)=INT(DX361),0,DY361-INT(DY361)))))</f>
        <v>0</v>
      </c>
      <c r="ER361" s="834">
        <f>+IF(OR(DZ361=DY361,ER$44=1),0,
IF(AND(ER$44&gt;1,DZ361=$N361),1-SUM($EN361:EQ361),
IF($N361&lt;=1,
IF($N361&gt;0,1/$N361,0),
IF(ER$44=2,0,VDB(1,0,$N361,INT(ER$44-2-1),MIN($N361,INT(ER$44-2-1)+1),$DC361,IF($DD361="No",1,0))/
IF(DY361&gt;=INT($N361),$N361-INT($N361),1)))*
IF(ER$44=2,0,
IF(INT(DZ361)=INT(DY361),DZ361-DY361,INT(DZ361)-DY361))+
IF($N361&lt;=1,
IF($N361&gt;0,1/$N361,0),VDB(1,0,$N361,INT(ER$44-2),MIN($N361,INT(ER$44-2)+1),$DC361,IF($DD361="No",1,0))/
IF(DZ361&gt;INT($N361),$N361-INT($N361),1))*
IF(ER$44=2,DZ361,
IF(INT(DZ361)=INT(DY361),0,DZ361-INT(DZ361)))))</f>
        <v>0</v>
      </c>
      <c r="ES361" s="835">
        <f>+IF(OR(EA361=DZ361,ES$44=1),0,
IF(AND(ES$44&gt;1,EA361=$N361),1-SUM($EN361:ER361),
IF($N361&lt;=1,
IF($N361&gt;0,1/$N361,0),
IF(ES$44=2,0,VDB(1,0,$N361,INT(ES$44-2-1),MIN($N361,INT(ES$44-2-1)+1),$DC361,IF($DD361="No",1,0))/
IF(DZ361&gt;=INT($N361),$N361-INT($N361),1)))*
IF(ES$44=2,0,
IF(INT(EA361)=INT(DZ361),EA361-DZ361,INT(EA361)-DZ361))+
IF($N361&lt;=1,
IF($N361&gt;0,1/$N361,0),VDB(1,0,$N361,INT(ES$44-2),MIN($N361,INT(ES$44-2)+1),$DC361,IF($DD361="No",1,0))/
IF(EA361&gt;INT($N361),$N361-INT($N361),1))*
IF(ES$44=2,EA361,
IF(INT(EA361)=INT(DZ361),0,EA361-INT(EA361)))))</f>
        <v>0</v>
      </c>
      <c r="ET361" s="835">
        <f>+IF(OR(EB361=EA361,ET$44=1),0,
IF(AND(ET$44&gt;1,EB361=$N361),1-SUM($EN361:ES361),
IF($N361&lt;=1,
IF($N361&gt;0,1/$N361,0),
IF(ET$44=2,0,VDB(1,0,$N361,INT(ET$44-2-1),MIN($N361,INT(ET$44-2-1)+1),$DC361,IF($DD361="No",1,0))/
IF(EA361&gt;=INT($N361),$N361-INT($N361),1)))*
IF(ET$44=2,0,
IF(INT(EB361)=INT(EA361),EB361-EA361,INT(EB361)-EA361))+
IF($N361&lt;=1,
IF($N361&gt;0,1/$N361,0),VDB(1,0,$N361,INT(ET$44-2),MIN($N361,INT(ET$44-2)+1),$DC361,IF($DD361="No",1,0))/
IF(EB361&gt;INT($N361),$N361-INT($N361),1))*
IF(ET$44=2,EB361,
IF(INT(EB361)=INT(EA361),0,EB361-INT(EB361)))))</f>
        <v>0</v>
      </c>
      <c r="EU361" s="835">
        <f>+IF(OR(EC361=EB361,EU$44=1),0,
IF(AND(EU$44&gt;1,EC361=$N361),1-SUM($EN361:ET361),
IF($N361&lt;=1,
IF($N361&gt;0,1/$N361,0),
IF(EU$44=2,0,VDB(1,0,$N361,INT(EU$44-2-1),MIN($N361,INT(EU$44-2-1)+1),$DC361,IF($DD361="No",1,0))/
IF(EB361&gt;=INT($N361),$N361-INT($N361),1)))*
IF(EU$44=2,0,
IF(INT(EC361)=INT(EB361),EC361-EB361,INT(EC361)-EB361))+
IF($N361&lt;=1,
IF($N361&gt;0,1/$N361,0),VDB(1,0,$N361,INT(EU$44-2),MIN($N361,INT(EU$44-2)+1),$DC361,IF($DD361="No",1,0))/
IF(EC361&gt;INT($N361),$N361-INT($N361),1))*
IF(EU$44=2,EC361,
IF(INT(EC361)=INT(EB361),0,EC361-INT(EC361)))))</f>
        <v>0</v>
      </c>
      <c r="EV361" s="836">
        <f>+IF(OR(ED361=EC361,EV$44=1),0,
IF(AND(EV$44&gt;1,ED361=$N361),1-SUM($EN361:EU361),
IF($N361&lt;=1,
IF($N361&gt;0,1/$N361,0),
IF(EV$44=2,0,VDB(1,0,$N361,INT(EV$44-2-1),MIN($N361,INT(EV$44-2-1)+1),$DC361,IF($DD361="No",1,0))/
IF(EC361&gt;=INT($N361),$N361-INT($N361),1)))*
IF(EV$44=2,0,
IF(INT(ED361)=INT(EC361),ED361-EC361,INT(ED361)-EC361))+
IF($N361&lt;=1,
IF($N361&gt;0,1/$N361,0),VDB(1,0,$N361,INT(EV$44-2),MIN($N361,INT(EV$44-2)+1),$DC361,IF($DD361="No",1,0))/
IF(ED361&gt;INT($N361),$N361-INT($N361),1))*
IF(EV$44=2,ED361,
IF(INT(ED361)=INT(EC361),0,ED361-INT(ED361)))))</f>
        <v>0</v>
      </c>
      <c r="EW361" s="833"/>
      <c r="EX361" s="834">
        <f t="shared" ca="1" si="570"/>
        <v>0</v>
      </c>
      <c r="EY361" s="835">
        <f t="shared" ca="1" si="570"/>
        <v>0</v>
      </c>
      <c r="EZ361" s="836">
        <f t="shared" ca="1" si="570"/>
        <v>0</v>
      </c>
      <c r="FA361" s="834">
        <f t="shared" ca="1" si="570"/>
        <v>0</v>
      </c>
      <c r="FB361" s="835">
        <f t="shared" ca="1" si="570"/>
        <v>0</v>
      </c>
      <c r="FC361" s="835">
        <f t="shared" ca="1" si="570"/>
        <v>0</v>
      </c>
      <c r="FD361" s="835">
        <f t="shared" ca="1" si="570"/>
        <v>0</v>
      </c>
      <c r="FE361" s="836">
        <f t="shared" ref="EX361:FE364" ca="1" si="625">+OFFSET($EO361,0,MAX($EX$44:$HY$44)-FE$44)</f>
        <v>0</v>
      </c>
      <c r="FG361" s="386">
        <f t="shared" ca="1" si="617"/>
        <v>0</v>
      </c>
      <c r="FH361" s="387">
        <f t="shared" ca="1" si="618"/>
        <v>0</v>
      </c>
      <c r="FI361" s="388">
        <f t="shared" ca="1" si="619"/>
        <v>0</v>
      </c>
      <c r="FJ361" s="386">
        <f t="shared" ca="1" si="620"/>
        <v>0</v>
      </c>
      <c r="FK361" s="387">
        <f t="shared" ca="1" si="621"/>
        <v>0</v>
      </c>
      <c r="FL361" s="387">
        <f t="shared" ca="1" si="622"/>
        <v>0</v>
      </c>
      <c r="FM361" s="387">
        <f t="shared" ca="1" si="623"/>
        <v>0</v>
      </c>
      <c r="FN361" s="388">
        <f t="shared" ca="1" si="624"/>
        <v>0</v>
      </c>
      <c r="FR361" s="116"/>
    </row>
    <row r="362" spans="2:174">
      <c r="B362" s="1410">
        <f t="shared" si="556"/>
        <v>316</v>
      </c>
      <c r="C362" s="400"/>
      <c r="D362" s="410"/>
      <c r="E362" s="402"/>
      <c r="F362" s="402"/>
      <c r="G362" s="400"/>
      <c r="H362" s="2088"/>
      <c r="I362" s="2089"/>
      <c r="J362" s="411"/>
      <c r="K362" s="403"/>
      <c r="L362" s="403"/>
      <c r="M362" s="403"/>
      <c r="N362" s="403"/>
      <c r="O362" s="347"/>
      <c r="P362" s="347"/>
      <c r="Q362" s="1021"/>
      <c r="R362" s="1022"/>
      <c r="S362" s="1022"/>
      <c r="T362" s="1022"/>
      <c r="U362" s="1023"/>
      <c r="V362" s="1021"/>
      <c r="W362" s="1022"/>
      <c r="X362" s="1022"/>
      <c r="Y362" s="1022"/>
      <c r="Z362" s="1023"/>
      <c r="AA362" s="1024"/>
      <c r="AB362" s="1021"/>
      <c r="AC362" s="1022"/>
      <c r="AD362" s="1022"/>
      <c r="AE362" s="1022"/>
      <c r="AF362" s="1023"/>
      <c r="AG362" s="1021"/>
      <c r="AH362" s="1022"/>
      <c r="AI362" s="1022"/>
      <c r="AJ362" s="1022"/>
      <c r="AK362" s="1023"/>
      <c r="AL362" s="1024"/>
      <c r="AM362" s="1021"/>
      <c r="AN362" s="1022"/>
      <c r="AO362" s="1022"/>
      <c r="AP362" s="1022"/>
      <c r="AQ362" s="1023"/>
      <c r="AR362" s="1021"/>
      <c r="AS362" s="1022"/>
      <c r="AT362" s="1022"/>
      <c r="AU362" s="1022"/>
      <c r="AV362" s="1023"/>
      <c r="AW362" s="1025"/>
      <c r="AX362" s="1282">
        <f t="shared" si="571"/>
        <v>0</v>
      </c>
      <c r="AY362" s="387">
        <f t="shared" si="572"/>
        <v>0</v>
      </c>
      <c r="AZ362" s="387">
        <f t="shared" si="573"/>
        <v>0</v>
      </c>
      <c r="BA362" s="387">
        <f t="shared" si="574"/>
        <v>0</v>
      </c>
      <c r="BB362" s="1283">
        <f t="shared" si="575"/>
        <v>0</v>
      </c>
      <c r="BC362" s="386">
        <f t="shared" si="576"/>
        <v>0</v>
      </c>
      <c r="BD362" s="387">
        <f t="shared" si="577"/>
        <v>0</v>
      </c>
      <c r="BE362" s="1277">
        <f t="shared" si="578"/>
        <v>0</v>
      </c>
      <c r="BF362" s="1277">
        <f t="shared" si="579"/>
        <v>0</v>
      </c>
      <c r="BG362" s="388">
        <f t="shared" si="580"/>
        <v>0</v>
      </c>
      <c r="BH362" s="1025"/>
      <c r="BI362" s="1282">
        <f t="shared" ca="1" si="581"/>
        <v>0</v>
      </c>
      <c r="BJ362" s="387">
        <f t="shared" ca="1" si="582"/>
        <v>0</v>
      </c>
      <c r="BK362" s="387">
        <f t="shared" ca="1" si="583"/>
        <v>0</v>
      </c>
      <c r="BL362" s="387">
        <f t="shared" ca="1" si="584"/>
        <v>0</v>
      </c>
      <c r="BM362" s="1283">
        <f t="shared" ca="1" si="585"/>
        <v>0</v>
      </c>
      <c r="BN362" s="386">
        <f t="shared" ca="1" si="586"/>
        <v>0</v>
      </c>
      <c r="BO362" s="387">
        <f t="shared" ca="1" si="587"/>
        <v>0</v>
      </c>
      <c r="BP362" s="1277">
        <f t="shared" ca="1" si="588"/>
        <v>0</v>
      </c>
      <c r="BQ362" s="1277">
        <f t="shared" ca="1" si="589"/>
        <v>0</v>
      </c>
      <c r="BR362" s="388">
        <f t="shared" ca="1" si="590"/>
        <v>0</v>
      </c>
      <c r="BS362" s="1025"/>
      <c r="BT362" s="1282">
        <f>+IF($K362="Ongoing",AX362,IF(RIGHT($K362,2)=RIGHT(BT$43,2),SUM($AX362:AX362),0)+IF(RIGHT(BT$43,2)&gt;RIGHT($K362,2),AX362,0))</f>
        <v>0</v>
      </c>
      <c r="BU362" s="387">
        <f>+IF($K362="Ongoing",AY362,IF(RIGHT($K362,2)=RIGHT(BU$43,2),SUM($AX362:AY362),0)+IF(RIGHT(BU$43,2)&gt;RIGHT($K362,2),AY362,0))</f>
        <v>0</v>
      </c>
      <c r="BV362" s="387">
        <f>+IF($K362="Ongoing",AZ362,IF(RIGHT($K362,2)=RIGHT(BV$43,2),SUM($AX362:AZ362),0)+IF(RIGHT(BV$43,2)&gt;RIGHT($K362,2),AZ362,0))</f>
        <v>0</v>
      </c>
      <c r="BW362" s="387">
        <f>+IF($K362="Ongoing",BA362,IF(RIGHT($K362,2)=RIGHT(BW$43,2),SUM($AX362:BA362),0)+IF(RIGHT(BW$43,2)&gt;RIGHT($K362,2),BA362,0))</f>
        <v>0</v>
      </c>
      <c r="BX362" s="1283">
        <f>+IF($K362="Ongoing",BB362,IF(RIGHT($K362,2)=RIGHT(BX$43,2),SUM($AX362:BB362),0)+IF(RIGHT(BX$43,2)&gt;RIGHT($K362,2),BB362,0))</f>
        <v>0</v>
      </c>
      <c r="BY362" s="386">
        <f>+IF($K362="Ongoing",BC362,IF(RIGHT($K362,2)=RIGHT(BY$43,2),SUM($AX362:BC362),0)+IF(RIGHT(BY$43,2)&gt;RIGHT($K362,2),BC362,0))</f>
        <v>0</v>
      </c>
      <c r="BZ362" s="387">
        <f>+IF($K362="Ongoing",BD362,IF(RIGHT($K362,2)=RIGHT(BZ$43,2),SUM($AX362:BD362),0)+IF(RIGHT(BZ$43,2)&gt;RIGHT($K362,2),BD362,0))</f>
        <v>0</v>
      </c>
      <c r="CA362" s="1277">
        <f>+IF($K362="Ongoing",BE362,IF(RIGHT($K362,2)=RIGHT(CA$43,2),SUM($AX362:BE362),0)+IF(RIGHT(CA$43,2)&gt;RIGHT($K362,2),BE362,0))</f>
        <v>0</v>
      </c>
      <c r="CB362" s="1277">
        <f>+IF($K362="Ongoing",BF362,IF(RIGHT($K362,2)=RIGHT(CB$43,2),SUM($AX362:BF362),0)+IF(RIGHT(CB$43,2)&gt;RIGHT($K362,2),BF362,0))</f>
        <v>0</v>
      </c>
      <c r="CC362" s="388">
        <f>+IF($K362="Ongoing",BG362,IF(RIGHT($K362,2)=RIGHT(CC$43,2),SUM($AX362:BG362),0)+IF(RIGHT(CC$43,2)&gt;RIGHT($K362,2),BG362,0))</f>
        <v>0</v>
      </c>
      <c r="CD362" s="1025"/>
      <c r="CE362" s="1282">
        <f>+Q362*KeyAssumptionsPriceControl_FO!AF$15</f>
        <v>0</v>
      </c>
      <c r="CF362" s="387">
        <f>+R362*KeyAssumptionsPriceControl_FO!AG$15</f>
        <v>0</v>
      </c>
      <c r="CG362" s="387">
        <f>+S362*KeyAssumptionsPriceControl_FO!AH$15</f>
        <v>0</v>
      </c>
      <c r="CH362" s="387">
        <f>+T362*KeyAssumptionsPriceControl_FO!AI$15</f>
        <v>0</v>
      </c>
      <c r="CI362" s="1283">
        <f>+U362*KeyAssumptionsPriceControl_FO!AJ$15</f>
        <v>0</v>
      </c>
      <c r="CJ362" s="386">
        <f>+V362*KeyAssumptionsPriceControl_FO!AK$15</f>
        <v>0</v>
      </c>
      <c r="CK362" s="387">
        <f>+W362*KeyAssumptionsPriceControl_FO!AL$15</f>
        <v>0</v>
      </c>
      <c r="CL362" s="1277">
        <f>+X362*KeyAssumptionsPriceControl_FO!AM$15</f>
        <v>0</v>
      </c>
      <c r="CM362" s="1277">
        <f>+Y362*KeyAssumptionsPriceControl_FO!AN$15</f>
        <v>0</v>
      </c>
      <c r="CN362" s="388">
        <f>+Z362*KeyAssumptionsPriceControl_FO!AO$15</f>
        <v>0</v>
      </c>
      <c r="CO362" s="1025"/>
      <c r="CP362" s="1282">
        <f t="shared" ca="1" si="591"/>
        <v>0</v>
      </c>
      <c r="CQ362" s="387">
        <f t="shared" ca="1" si="592"/>
        <v>0</v>
      </c>
      <c r="CR362" s="387">
        <f t="shared" ca="1" si="593"/>
        <v>0</v>
      </c>
      <c r="CS362" s="387">
        <f t="shared" ca="1" si="594"/>
        <v>0</v>
      </c>
      <c r="CT362" s="1283">
        <f t="shared" ca="1" si="595"/>
        <v>0</v>
      </c>
      <c r="CU362" s="386">
        <f t="shared" ca="1" si="596"/>
        <v>0</v>
      </c>
      <c r="CV362" s="387">
        <f t="shared" ca="1" si="597"/>
        <v>0</v>
      </c>
      <c r="CW362" s="1277">
        <f t="shared" ca="1" si="598"/>
        <v>0</v>
      </c>
      <c r="CX362" s="1277">
        <f t="shared" ca="1" si="599"/>
        <v>0</v>
      </c>
      <c r="CY362" s="388">
        <f t="shared" ca="1" si="600"/>
        <v>0</v>
      </c>
      <c r="CZ362" s="347"/>
      <c r="DA362" s="852"/>
      <c r="DB362" s="347"/>
      <c r="DC362" s="1012" t="s">
        <v>571</v>
      </c>
      <c r="DD362" s="841" t="s">
        <v>518</v>
      </c>
      <c r="DE362" s="386">
        <f>+IF($K362="ongoing",CE362,IF(RIGHT($K362,2)=RIGHT(DE$43,2),SUM($CD362:CE362),0)+IF(RIGHT(DE$43,2)&gt;RIGHT($K362,2),CE362,0))</f>
        <v>0</v>
      </c>
      <c r="DF362" s="387">
        <f>+IF($K362="ongoing",CF362,IF(RIGHT($K362,2)=RIGHT(DF$43,2),SUM($CD362:CF362),0)+IF(RIGHT(DF$43,2)&gt;RIGHT($K362,2),CF362,0))</f>
        <v>0</v>
      </c>
      <c r="DG362" s="388">
        <f>+IF($K362="ongoing",CG362,IF(RIGHT($K362,2)=RIGHT(DG$43,2),SUM($CD362:CG362),0)+IF(RIGHT(DG$43,2)&gt;RIGHT($K362,2),CG362,0))</f>
        <v>0</v>
      </c>
      <c r="DH362" s="386">
        <f>+IF($K362="ongoing",CH362,IF(RIGHT($K362,2)=RIGHT(DH$43,2),SUM($CD362:CH362),0)+IF(RIGHT(DH$43,2)&gt;RIGHT($K362,2),CH362,0))</f>
        <v>0</v>
      </c>
      <c r="DI362" s="387">
        <f>+IF($K362="ongoing",CI362,IF(RIGHT($K362,2)=RIGHT(DI$43,2),SUM($CD362:CI362),0)+IF(RIGHT(DI$43,2)&gt;RIGHT($K362,2),CI362,0))</f>
        <v>0</v>
      </c>
      <c r="DJ362" s="387">
        <f>+IF($K362="ongoing",CJ362,IF(RIGHT($K362,2)=RIGHT(DJ$43,2),SUM($CD362:CJ362),0)+IF(RIGHT(DJ$43,2)&gt;RIGHT($K362,2),CJ362,0))</f>
        <v>0</v>
      </c>
      <c r="DK362" s="387">
        <f>+IF($K362="ongoing",CK362,IF(RIGHT($K362,2)=RIGHT(DK$43,2),SUM($CD362:CK362),0)+IF(RIGHT(DK$43,2)&gt;RIGHT($K362,2),CK362,0))</f>
        <v>0</v>
      </c>
      <c r="DL362" s="388">
        <f>+IF($K362="ongoing",CN362,IF(RIGHT($K362,2)=RIGHT(DL$43,2),SUM($CD362:CN362),0)+IF(RIGHT(DL$43,2)&gt;RIGHT($K362,2),CN362,0))</f>
        <v>0</v>
      </c>
      <c r="DM362" s="841"/>
      <c r="DN362" s="386">
        <f t="shared" si="601"/>
        <v>0.5</v>
      </c>
      <c r="DO362" s="387">
        <f t="shared" si="602"/>
        <v>1</v>
      </c>
      <c r="DP362" s="388">
        <f t="shared" si="603"/>
        <v>1</v>
      </c>
      <c r="DQ362" s="386">
        <f t="shared" si="604"/>
        <v>1</v>
      </c>
      <c r="DR362" s="387">
        <f t="shared" si="605"/>
        <v>1</v>
      </c>
      <c r="DS362" s="387">
        <f t="shared" si="606"/>
        <v>1</v>
      </c>
      <c r="DT362" s="387">
        <f t="shared" si="607"/>
        <v>1</v>
      </c>
      <c r="DU362" s="388">
        <f t="shared" si="608"/>
        <v>1</v>
      </c>
      <c r="DW362" s="386">
        <f t="shared" si="609"/>
        <v>0</v>
      </c>
      <c r="DX362" s="387">
        <f t="shared" si="610"/>
        <v>0.5</v>
      </c>
      <c r="DY362" s="388">
        <f t="shared" si="611"/>
        <v>1</v>
      </c>
      <c r="DZ362" s="386">
        <f t="shared" si="612"/>
        <v>1</v>
      </c>
      <c r="EA362" s="387">
        <f t="shared" si="613"/>
        <v>1</v>
      </c>
      <c r="EB362" s="387">
        <f t="shared" si="614"/>
        <v>1</v>
      </c>
      <c r="EC362" s="387">
        <f t="shared" si="615"/>
        <v>1</v>
      </c>
      <c r="ED362" s="388">
        <f t="shared" si="616"/>
        <v>1</v>
      </c>
      <c r="EF362" s="834">
        <f>+IF(DN362=DM362,0,
IF(AND(EF$44&gt;1,DN362=$N362),1-SUM($EE362:EE362),
IF($N362&lt;=1,
IF($N362&gt;0,1/$N362,0),
IF(EF$44=1,0,VDB(1,0,$N362,INT(EF$44-1-1),MIN($N362,INT(EF$44-1-1)+1),$DC362,IF($DD362="No",1,0))/
IF(DM362&gt;=INT($N362),$N362-INT($N362),1)))*
IF(EF$44=1,0,
IF(INT(DN362)=INT(DM362),DN362-DM362,INT(DN362)-DM362))+
IF($N362&lt;=1,
IF($N362&gt;0,1/$N362,0),VDB(1,0,$N362,INT(EF$44-1),MIN($N362,INT(EF$44-1)+1),$DC362,IF($DD362="No",1,0))/
IF(DN362&gt;INT($N362),$N362-INT($N362),1))*
IF(EF$44=1,DN362,
IF(INT(DN362)=INT(DM362),0,DN362-INT(DN362)))))</f>
        <v>0</v>
      </c>
      <c r="EG362" s="835">
        <f>+IF(DO362=DN362,0,
IF(AND(EG$44&gt;1,DO362=$N362),1-SUM($EE362:EF362),
IF($N362&lt;=1,
IF($N362&gt;0,1/$N362,0),
IF(EG$44=1,0,VDB(1,0,$N362,INT(EG$44-1-1),MIN($N362,INT(EG$44-1-1)+1),$DC362,IF($DD362="No",1,0))/
IF(DN362&gt;=INT($N362),$N362-INT($N362),1)))*
IF(EG$44=1,0,
IF(INT(DO362)=INT(DN362),DO362-DN362,INT(DO362)-DN362))+
IF($N362&lt;=1,
IF($N362&gt;0,1/$N362,0),VDB(1,0,$N362,INT(EG$44-1),MIN($N362,INT(EG$44-1)+1),$DC362,IF($DD362="No",1,0))/
IF(DO362&gt;INT($N362),$N362-INT($N362),1))*
IF(EG$44=1,DO362,
IF(INT(DO362)=INT(DN362),0,DO362-INT(DO362)))))</f>
        <v>0</v>
      </c>
      <c r="EH362" s="836">
        <f>+IF(DP362=DO362,0,
IF(AND(EH$44&gt;1,DP362=$N362),1-SUM($EE362:EG362),
IF($N362&lt;=1,
IF($N362&gt;0,1/$N362,0),
IF(EH$44=1,0,VDB(1,0,$N362,INT(EH$44-1-1),MIN($N362,INT(EH$44-1-1)+1),$DC362,IF($DD362="No",1,0))/
IF(DO362&gt;=INT($N362),$N362-INT($N362),1)))*
IF(EH$44=1,0,
IF(INT(DP362)=INT(DO362),DP362-DO362,INT(DP362)-DO362))+
IF($N362&lt;=1,
IF($N362&gt;0,1/$N362,0),VDB(1,0,$N362,INT(EH$44-1),MIN($N362,INT(EH$44-1)+1),$DC362,IF($DD362="No",1,0))/
IF(DP362&gt;INT($N362),$N362-INT($N362),1))*
IF(EH$44=1,DP362,
IF(INT(DP362)=INT(DO362),0,DP362-INT(DP362)))))</f>
        <v>0</v>
      </c>
      <c r="EI362" s="834">
        <f>+IF(DQ362=DP362,0,
IF(AND(EI$44&gt;1,DQ362=$N362),1-SUM($EE362:EH362),
IF($N362&lt;=1,
IF($N362&gt;0,1/$N362,0),
IF(EI$44=1,0,VDB(1,0,$N362,INT(EI$44-1-1),MIN($N362,INT(EI$44-1-1)+1),$DC362,IF($DD362="No",1,0))/
IF(DP362&gt;=INT($N362),$N362-INT($N362),1)))*
IF(EI$44=1,0,
IF(INT(DQ362)=INT(DP362),DQ362-DP362,INT(DQ362)-DP362))+
IF($N362&lt;=1,
IF($N362&gt;0,1/$N362,0),VDB(1,0,$N362,INT(EI$44-1),MIN($N362,INT(EI$44-1)+1),$DC362,IF($DD362="No",1,0))/
IF(DQ362&gt;INT($N362),$N362-INT($N362),1))*
IF(EI$44=1,DQ362,
IF(INT(DQ362)=INT(DP362),0,DQ362-INT(DQ362)))))</f>
        <v>0</v>
      </c>
      <c r="EJ362" s="835">
        <f>+IF(DR362=DQ362,0,
IF(AND(EJ$44&gt;1,DR362=$N362),1-SUM($EE362:EI362),
IF($N362&lt;=1,
IF($N362&gt;0,1/$N362,0),
IF(EJ$44=1,0,VDB(1,0,$N362,INT(EJ$44-1-1),MIN($N362,INT(EJ$44-1-1)+1),$DC362,IF($DD362="No",1,0))/
IF(DQ362&gt;=INT($N362),$N362-INT($N362),1)))*
IF(EJ$44=1,0,
IF(INT(DR362)=INT(DQ362),DR362-DQ362,INT(DR362)-DQ362))+
IF($N362&lt;=1,
IF($N362&gt;0,1/$N362,0),VDB(1,0,$N362,INT(EJ$44-1),MIN($N362,INT(EJ$44-1)+1),$DC362,IF($DD362="No",1,0))/
IF(DR362&gt;INT($N362),$N362-INT($N362),1))*
IF(EJ$44=1,DR362,
IF(INT(DR362)=INT(DQ362),0,DR362-INT(DR362)))))</f>
        <v>0</v>
      </c>
      <c r="EK362" s="835">
        <f>+IF(DS362=DR362,0,
IF(AND(EK$44&gt;1,DS362=$N362),1-SUM($EE362:EJ362),
IF($N362&lt;=1,
IF($N362&gt;0,1/$N362,0),
IF(EK$44=1,0,VDB(1,0,$N362,INT(EK$44-1-1),MIN($N362,INT(EK$44-1-1)+1),$DC362,IF($DD362="No",1,0))/
IF(DR362&gt;=INT($N362),$N362-INT($N362),1)))*
IF(EK$44=1,0,
IF(INT(DS362)=INT(DR362),DS362-DR362,INT(DS362)-DR362))+
IF($N362&lt;=1,
IF($N362&gt;0,1/$N362,0),VDB(1,0,$N362,INT(EK$44-1),MIN($N362,INT(EK$44-1)+1),$DC362,IF($DD362="No",1,0))/
IF(DS362&gt;INT($N362),$N362-INT($N362),1))*
IF(EK$44=1,DS362,
IF(INT(DS362)=INT(DR362),0,DS362-INT(DS362)))))</f>
        <v>0</v>
      </c>
      <c r="EL362" s="835">
        <f>+IF(DT362=DS362,0,
IF(AND(EL$44&gt;1,DT362=$N362),1-SUM($EE362:EK362),
IF($N362&lt;=1,
IF($N362&gt;0,1/$N362,0),
IF(EL$44=1,0,VDB(1,0,$N362,INT(EL$44-1-1),MIN($N362,INT(EL$44-1-1)+1),$DC362,IF($DD362="No",1,0))/
IF(DS362&gt;=INT($N362),$N362-INT($N362),1)))*
IF(EL$44=1,0,
IF(INT(DT362)=INT(DS362),DT362-DS362,INT(DT362)-DS362))+
IF($N362&lt;=1,
IF($N362&gt;0,1/$N362,0),VDB(1,0,$N362,INT(EL$44-1),MIN($N362,INT(EL$44-1)+1),$DC362,IF($DD362="No",1,0))/
IF(DT362&gt;INT($N362),$N362-INT($N362),1))*
IF(EL$44=1,DT362,
IF(INT(DT362)=INT(DS362),0,DT362-INT(DT362)))))</f>
        <v>0</v>
      </c>
      <c r="EM362" s="836">
        <f>+IF(DU362=DT362,0,
IF(AND(EM$44&gt;1,DU362=$N362),1-SUM($EE362:EL362),
IF($N362&lt;=1,
IF($N362&gt;0,1/$N362,0),
IF(EM$44=1,0,VDB(1,0,$N362,INT(EM$44-1-1),MIN($N362,INT(EM$44-1-1)+1),$DC362,IF($DD362="No",1,0))/
IF(DT362&gt;=INT($N362),$N362-INT($N362),1)))*
IF(EM$44=1,0,
IF(INT(DU362)=INT(DT362),DU362-DT362,INT(DU362)-DT362))+
IF($N362&lt;=1,
IF($N362&gt;0,1/$N362,0),VDB(1,0,$N362,INT(EM$44-1),MIN($N362,INT(EM$44-1)+1),$DC362,IF($DD362="No",1,0))/
IF(DU362&gt;INT($N362),$N362-INT($N362),1))*
IF(EM$44=1,DU362,
IF(INT(DU362)=INT(DT362),0,DU362-INT(DU362)))))</f>
        <v>0</v>
      </c>
      <c r="EN362" s="833"/>
      <c r="EO362" s="834">
        <f>+IF(OR(DW362=DV362,EO$44=1),0,
IF(AND(EO$44&gt;1,DW362=$N362),1-SUM($EN362:EN362),
IF($N362&lt;=1,
IF($N362&gt;0,1/$N362,0),
IF(EO$44=2,0,VDB(1,0,$N362,INT(EO$44-2-1),MIN($N362,INT(EO$44-2-1)+1),$DC362,IF($DD362="No",1,0))/
IF(DV362&gt;=INT($N362),$N362-INT($N362),1)))*
IF(EO$44=2,0,
IF(INT(DW362)=INT(DV362),DW362-DV362,INT(DW362)-DV362))+
IF($N362&lt;=1,
IF($N362&gt;0,1/$N362,0),VDB(1,0,$N362,INT(EO$44-2),MIN($N362,INT(EO$44-2)+1),$DC362,IF($DD362="No",1,0))/
IF(DW362&gt;INT($N362),$N362-INT($N362),1))*
IF(EO$44=2,DW362,
IF(INT(DW362)=INT(DV362),0,DW362-INT(DW362)))))</f>
        <v>0</v>
      </c>
      <c r="EP362" s="835">
        <f>+IF(OR(DX362=DW362,EP$44=1),0,
IF(AND(EP$44&gt;1,DX362=$N362),1-SUM($EN362:EO362),
IF($N362&lt;=1,
IF($N362&gt;0,1/$N362,0),
IF(EP$44=2,0,VDB(1,0,$N362,INT(EP$44-2-1),MIN($N362,INT(EP$44-2-1)+1),$DC362,IF($DD362="No",1,0))/
IF(DW362&gt;=INT($N362),$N362-INT($N362),1)))*
IF(EP$44=2,0,
IF(INT(DX362)=INT(DW362),DX362-DW362,INT(DX362)-DW362))+
IF($N362&lt;=1,
IF($N362&gt;0,1/$N362,0),VDB(1,0,$N362,INT(EP$44-2),MIN($N362,INT(EP$44-2)+1),$DC362,IF($DD362="No",1,0))/
IF(DX362&gt;INT($N362),$N362-INT($N362),1))*
IF(EP$44=2,DX362,
IF(INT(DX362)=INT(DW362),0,DX362-INT(DX362)))))</f>
        <v>0</v>
      </c>
      <c r="EQ362" s="836">
        <f>+IF(OR(DY362=DX362,EQ$44=1),0,
IF(AND(EQ$44&gt;1,DY362=$N362),1-SUM($EN362:EP362),
IF($N362&lt;=1,
IF($N362&gt;0,1/$N362,0),
IF(EQ$44=2,0,VDB(1,0,$N362,INT(EQ$44-2-1),MIN($N362,INT(EQ$44-2-1)+1),$DC362,IF($DD362="No",1,0))/
IF(DX362&gt;=INT($N362),$N362-INT($N362),1)))*
IF(EQ$44=2,0,
IF(INT(DY362)=INT(DX362),DY362-DX362,INT(DY362)-DX362))+
IF($N362&lt;=1,
IF($N362&gt;0,1/$N362,0),VDB(1,0,$N362,INT(EQ$44-2),MIN($N362,INT(EQ$44-2)+1),$DC362,IF($DD362="No",1,0))/
IF(DY362&gt;INT($N362),$N362-INT($N362),1))*
IF(EQ$44=2,DY362,
IF(INT(DY362)=INT(DX362),0,DY362-INT(DY362)))))</f>
        <v>0</v>
      </c>
      <c r="ER362" s="834">
        <f>+IF(OR(DZ362=DY362,ER$44=1),0,
IF(AND(ER$44&gt;1,DZ362=$N362),1-SUM($EN362:EQ362),
IF($N362&lt;=1,
IF($N362&gt;0,1/$N362,0),
IF(ER$44=2,0,VDB(1,0,$N362,INT(ER$44-2-1),MIN($N362,INT(ER$44-2-1)+1),$DC362,IF($DD362="No",1,0))/
IF(DY362&gt;=INT($N362),$N362-INT($N362),1)))*
IF(ER$44=2,0,
IF(INT(DZ362)=INT(DY362),DZ362-DY362,INT(DZ362)-DY362))+
IF($N362&lt;=1,
IF($N362&gt;0,1/$N362,0),VDB(1,0,$N362,INT(ER$44-2),MIN($N362,INT(ER$44-2)+1),$DC362,IF($DD362="No",1,0))/
IF(DZ362&gt;INT($N362),$N362-INT($N362),1))*
IF(ER$44=2,DZ362,
IF(INT(DZ362)=INT(DY362),0,DZ362-INT(DZ362)))))</f>
        <v>0</v>
      </c>
      <c r="ES362" s="835">
        <f>+IF(OR(EA362=DZ362,ES$44=1),0,
IF(AND(ES$44&gt;1,EA362=$N362),1-SUM($EN362:ER362),
IF($N362&lt;=1,
IF($N362&gt;0,1/$N362,0),
IF(ES$44=2,0,VDB(1,0,$N362,INT(ES$44-2-1),MIN($N362,INT(ES$44-2-1)+1),$DC362,IF($DD362="No",1,0))/
IF(DZ362&gt;=INT($N362),$N362-INT($N362),1)))*
IF(ES$44=2,0,
IF(INT(EA362)=INT(DZ362),EA362-DZ362,INT(EA362)-DZ362))+
IF($N362&lt;=1,
IF($N362&gt;0,1/$N362,0),VDB(1,0,$N362,INT(ES$44-2),MIN($N362,INT(ES$44-2)+1),$DC362,IF($DD362="No",1,0))/
IF(EA362&gt;INT($N362),$N362-INT($N362),1))*
IF(ES$44=2,EA362,
IF(INT(EA362)=INT(DZ362),0,EA362-INT(EA362)))))</f>
        <v>0</v>
      </c>
      <c r="ET362" s="835">
        <f>+IF(OR(EB362=EA362,ET$44=1),0,
IF(AND(ET$44&gt;1,EB362=$N362),1-SUM($EN362:ES362),
IF($N362&lt;=1,
IF($N362&gt;0,1/$N362,0),
IF(ET$44=2,0,VDB(1,0,$N362,INT(ET$44-2-1),MIN($N362,INT(ET$44-2-1)+1),$DC362,IF($DD362="No",1,0))/
IF(EA362&gt;=INT($N362),$N362-INT($N362),1)))*
IF(ET$44=2,0,
IF(INT(EB362)=INT(EA362),EB362-EA362,INT(EB362)-EA362))+
IF($N362&lt;=1,
IF($N362&gt;0,1/$N362,0),VDB(1,0,$N362,INT(ET$44-2),MIN($N362,INT(ET$44-2)+1),$DC362,IF($DD362="No",1,0))/
IF(EB362&gt;INT($N362),$N362-INT($N362),1))*
IF(ET$44=2,EB362,
IF(INT(EB362)=INT(EA362),0,EB362-INT(EB362)))))</f>
        <v>0</v>
      </c>
      <c r="EU362" s="835">
        <f>+IF(OR(EC362=EB362,EU$44=1),0,
IF(AND(EU$44&gt;1,EC362=$N362),1-SUM($EN362:ET362),
IF($N362&lt;=1,
IF($N362&gt;0,1/$N362,0),
IF(EU$44=2,0,VDB(1,0,$N362,INT(EU$44-2-1),MIN($N362,INT(EU$44-2-1)+1),$DC362,IF($DD362="No",1,0))/
IF(EB362&gt;=INT($N362),$N362-INT($N362),1)))*
IF(EU$44=2,0,
IF(INT(EC362)=INT(EB362),EC362-EB362,INT(EC362)-EB362))+
IF($N362&lt;=1,
IF($N362&gt;0,1/$N362,0),VDB(1,0,$N362,INT(EU$44-2),MIN($N362,INT(EU$44-2)+1),$DC362,IF($DD362="No",1,0))/
IF(EC362&gt;INT($N362),$N362-INT($N362),1))*
IF(EU$44=2,EC362,
IF(INT(EC362)=INT(EB362),0,EC362-INT(EC362)))))</f>
        <v>0</v>
      </c>
      <c r="EV362" s="836">
        <f>+IF(OR(ED362=EC362,EV$44=1),0,
IF(AND(EV$44&gt;1,ED362=$N362),1-SUM($EN362:EU362),
IF($N362&lt;=1,
IF($N362&gt;0,1/$N362,0),
IF(EV$44=2,0,VDB(1,0,$N362,INT(EV$44-2-1),MIN($N362,INT(EV$44-2-1)+1),$DC362,IF($DD362="No",1,0))/
IF(EC362&gt;=INT($N362),$N362-INT($N362),1)))*
IF(EV$44=2,0,
IF(INT(ED362)=INT(EC362),ED362-EC362,INT(ED362)-EC362))+
IF($N362&lt;=1,
IF($N362&gt;0,1/$N362,0),VDB(1,0,$N362,INT(EV$44-2),MIN($N362,INT(EV$44-2)+1),$DC362,IF($DD362="No",1,0))/
IF(ED362&gt;INT($N362),$N362-INT($N362),1))*
IF(EV$44=2,ED362,
IF(INT(ED362)=INT(EC362),0,ED362-INT(ED362)))))</f>
        <v>0</v>
      </c>
      <c r="EW362" s="833"/>
      <c r="EX362" s="834">
        <f t="shared" ca="1" si="625"/>
        <v>0</v>
      </c>
      <c r="EY362" s="835">
        <f t="shared" ca="1" si="625"/>
        <v>0</v>
      </c>
      <c r="EZ362" s="836">
        <f t="shared" ca="1" si="625"/>
        <v>0</v>
      </c>
      <c r="FA362" s="834">
        <f t="shared" ca="1" si="625"/>
        <v>0</v>
      </c>
      <c r="FB362" s="835">
        <f t="shared" ca="1" si="625"/>
        <v>0</v>
      </c>
      <c r="FC362" s="835">
        <f t="shared" ca="1" si="625"/>
        <v>0</v>
      </c>
      <c r="FD362" s="835">
        <f t="shared" ca="1" si="625"/>
        <v>0</v>
      </c>
      <c r="FE362" s="836">
        <f t="shared" ca="1" si="625"/>
        <v>0</v>
      </c>
      <c r="FG362" s="386">
        <f t="shared" ca="1" si="617"/>
        <v>0</v>
      </c>
      <c r="FH362" s="387">
        <f t="shared" ca="1" si="618"/>
        <v>0</v>
      </c>
      <c r="FI362" s="388">
        <f t="shared" ca="1" si="619"/>
        <v>0</v>
      </c>
      <c r="FJ362" s="386">
        <f t="shared" ca="1" si="620"/>
        <v>0</v>
      </c>
      <c r="FK362" s="387">
        <f t="shared" ca="1" si="621"/>
        <v>0</v>
      </c>
      <c r="FL362" s="387">
        <f t="shared" ca="1" si="622"/>
        <v>0</v>
      </c>
      <c r="FM362" s="387">
        <f t="shared" ca="1" si="623"/>
        <v>0</v>
      </c>
      <c r="FN362" s="388">
        <f t="shared" ca="1" si="624"/>
        <v>0</v>
      </c>
      <c r="FR362" s="116"/>
    </row>
    <row r="363" spans="2:174">
      <c r="B363" s="1410">
        <f t="shared" si="556"/>
        <v>317</v>
      </c>
      <c r="C363" s="400"/>
      <c r="D363" s="410"/>
      <c r="E363" s="402"/>
      <c r="F363" s="402"/>
      <c r="G363" s="400"/>
      <c r="H363" s="2088"/>
      <c r="I363" s="2089"/>
      <c r="J363" s="411"/>
      <c r="K363" s="403"/>
      <c r="L363" s="403"/>
      <c r="M363" s="403"/>
      <c r="N363" s="403"/>
      <c r="O363" s="347"/>
      <c r="P363" s="347"/>
      <c r="Q363" s="1021"/>
      <c r="R363" s="1022"/>
      <c r="S363" s="1022"/>
      <c r="T363" s="1022"/>
      <c r="U363" s="1023"/>
      <c r="V363" s="1021"/>
      <c r="W363" s="1022"/>
      <c r="X363" s="1022"/>
      <c r="Y363" s="1022"/>
      <c r="Z363" s="1023"/>
      <c r="AA363" s="1024"/>
      <c r="AB363" s="1021"/>
      <c r="AC363" s="1022"/>
      <c r="AD363" s="1022"/>
      <c r="AE363" s="1022"/>
      <c r="AF363" s="1023"/>
      <c r="AG363" s="1021"/>
      <c r="AH363" s="1022"/>
      <c r="AI363" s="1022"/>
      <c r="AJ363" s="1022"/>
      <c r="AK363" s="1023"/>
      <c r="AL363" s="1024"/>
      <c r="AM363" s="1021"/>
      <c r="AN363" s="1022"/>
      <c r="AO363" s="1022"/>
      <c r="AP363" s="1022"/>
      <c r="AQ363" s="1023"/>
      <c r="AR363" s="1021"/>
      <c r="AS363" s="1022"/>
      <c r="AT363" s="1022"/>
      <c r="AU363" s="1022"/>
      <c r="AV363" s="1023"/>
      <c r="AW363" s="1025"/>
      <c r="AX363" s="1282">
        <f t="shared" si="571"/>
        <v>0</v>
      </c>
      <c r="AY363" s="387">
        <f t="shared" si="572"/>
        <v>0</v>
      </c>
      <c r="AZ363" s="387">
        <f t="shared" si="573"/>
        <v>0</v>
      </c>
      <c r="BA363" s="387">
        <f t="shared" si="574"/>
        <v>0</v>
      </c>
      <c r="BB363" s="1283">
        <f t="shared" si="575"/>
        <v>0</v>
      </c>
      <c r="BC363" s="386">
        <f t="shared" si="576"/>
        <v>0</v>
      </c>
      <c r="BD363" s="387">
        <f t="shared" si="577"/>
        <v>0</v>
      </c>
      <c r="BE363" s="1277">
        <f t="shared" si="578"/>
        <v>0</v>
      </c>
      <c r="BF363" s="1277">
        <f t="shared" si="579"/>
        <v>0</v>
      </c>
      <c r="BG363" s="388">
        <f t="shared" si="580"/>
        <v>0</v>
      </c>
      <c r="BH363" s="1025"/>
      <c r="BI363" s="1282">
        <f t="shared" ca="1" si="581"/>
        <v>0</v>
      </c>
      <c r="BJ363" s="387">
        <f t="shared" ca="1" si="582"/>
        <v>0</v>
      </c>
      <c r="BK363" s="387">
        <f t="shared" ca="1" si="583"/>
        <v>0</v>
      </c>
      <c r="BL363" s="387">
        <f t="shared" ca="1" si="584"/>
        <v>0</v>
      </c>
      <c r="BM363" s="1283">
        <f t="shared" ca="1" si="585"/>
        <v>0</v>
      </c>
      <c r="BN363" s="386">
        <f t="shared" ca="1" si="586"/>
        <v>0</v>
      </c>
      <c r="BO363" s="387">
        <f t="shared" ca="1" si="587"/>
        <v>0</v>
      </c>
      <c r="BP363" s="1277">
        <f t="shared" ca="1" si="588"/>
        <v>0</v>
      </c>
      <c r="BQ363" s="1277">
        <f t="shared" ca="1" si="589"/>
        <v>0</v>
      </c>
      <c r="BR363" s="388">
        <f t="shared" ca="1" si="590"/>
        <v>0</v>
      </c>
      <c r="BS363" s="1025"/>
      <c r="BT363" s="1282">
        <f>+IF($K363="Ongoing",AX363,IF(RIGHT($K363,2)=RIGHT(BT$43,2),SUM($AX363:AX363),0)+IF(RIGHT(BT$43,2)&gt;RIGHT($K363,2),AX363,0))</f>
        <v>0</v>
      </c>
      <c r="BU363" s="387">
        <f>+IF($K363="Ongoing",AY363,IF(RIGHT($K363,2)=RIGHT(BU$43,2),SUM($AX363:AY363),0)+IF(RIGHT(BU$43,2)&gt;RIGHT($K363,2),AY363,0))</f>
        <v>0</v>
      </c>
      <c r="BV363" s="387">
        <f>+IF($K363="Ongoing",AZ363,IF(RIGHT($K363,2)=RIGHT(BV$43,2),SUM($AX363:AZ363),0)+IF(RIGHT(BV$43,2)&gt;RIGHT($K363,2),AZ363,0))</f>
        <v>0</v>
      </c>
      <c r="BW363" s="387">
        <f>+IF($K363="Ongoing",BA363,IF(RIGHT($K363,2)=RIGHT(BW$43,2),SUM($AX363:BA363),0)+IF(RIGHT(BW$43,2)&gt;RIGHT($K363,2),BA363,0))</f>
        <v>0</v>
      </c>
      <c r="BX363" s="1283">
        <f>+IF($K363="Ongoing",BB363,IF(RIGHT($K363,2)=RIGHT(BX$43,2),SUM($AX363:BB363),0)+IF(RIGHT(BX$43,2)&gt;RIGHT($K363,2),BB363,0))</f>
        <v>0</v>
      </c>
      <c r="BY363" s="386">
        <f>+IF($K363="Ongoing",BC363,IF(RIGHT($K363,2)=RIGHT(BY$43,2),SUM($AX363:BC363),0)+IF(RIGHT(BY$43,2)&gt;RIGHT($K363,2),BC363,0))</f>
        <v>0</v>
      </c>
      <c r="BZ363" s="387">
        <f>+IF($K363="Ongoing",BD363,IF(RIGHT($K363,2)=RIGHT(BZ$43,2),SUM($AX363:BD363),0)+IF(RIGHT(BZ$43,2)&gt;RIGHT($K363,2),BD363,0))</f>
        <v>0</v>
      </c>
      <c r="CA363" s="1277">
        <f>+IF($K363="Ongoing",BE363,IF(RIGHT($K363,2)=RIGHT(CA$43,2),SUM($AX363:BE363),0)+IF(RIGHT(CA$43,2)&gt;RIGHT($K363,2),BE363,0))</f>
        <v>0</v>
      </c>
      <c r="CB363" s="1277">
        <f>+IF($K363="Ongoing",BF363,IF(RIGHT($K363,2)=RIGHT(CB$43,2),SUM($AX363:BF363),0)+IF(RIGHT(CB$43,2)&gt;RIGHT($K363,2),BF363,0))</f>
        <v>0</v>
      </c>
      <c r="CC363" s="388">
        <f>+IF($K363="Ongoing",BG363,IF(RIGHT($K363,2)=RIGHT(CC$43,2),SUM($AX363:BG363),0)+IF(RIGHT(CC$43,2)&gt;RIGHT($K363,2),BG363,0))</f>
        <v>0</v>
      </c>
      <c r="CD363" s="1025"/>
      <c r="CE363" s="1282">
        <f>+Q363*KeyAssumptionsPriceControl_FO!AF$15</f>
        <v>0</v>
      </c>
      <c r="CF363" s="387">
        <f>+R363*KeyAssumptionsPriceControl_FO!AG$15</f>
        <v>0</v>
      </c>
      <c r="CG363" s="387">
        <f>+S363*KeyAssumptionsPriceControl_FO!AH$15</f>
        <v>0</v>
      </c>
      <c r="CH363" s="387">
        <f>+T363*KeyAssumptionsPriceControl_FO!AI$15</f>
        <v>0</v>
      </c>
      <c r="CI363" s="1283">
        <f>+U363*KeyAssumptionsPriceControl_FO!AJ$15</f>
        <v>0</v>
      </c>
      <c r="CJ363" s="386">
        <f>+V363*KeyAssumptionsPriceControl_FO!AK$15</f>
        <v>0</v>
      </c>
      <c r="CK363" s="387">
        <f>+W363*KeyAssumptionsPriceControl_FO!AL$15</f>
        <v>0</v>
      </c>
      <c r="CL363" s="1277">
        <f>+X363*KeyAssumptionsPriceControl_FO!AM$15</f>
        <v>0</v>
      </c>
      <c r="CM363" s="1277">
        <f>+Y363*KeyAssumptionsPriceControl_FO!AN$15</f>
        <v>0</v>
      </c>
      <c r="CN363" s="388">
        <f>+Z363*KeyAssumptionsPriceControl_FO!AO$15</f>
        <v>0</v>
      </c>
      <c r="CO363" s="1025"/>
      <c r="CP363" s="1282">
        <f t="shared" ca="1" si="591"/>
        <v>0</v>
      </c>
      <c r="CQ363" s="387">
        <f t="shared" ca="1" si="592"/>
        <v>0</v>
      </c>
      <c r="CR363" s="387">
        <f t="shared" ca="1" si="593"/>
        <v>0</v>
      </c>
      <c r="CS363" s="387">
        <f t="shared" ca="1" si="594"/>
        <v>0</v>
      </c>
      <c r="CT363" s="1283">
        <f t="shared" ca="1" si="595"/>
        <v>0</v>
      </c>
      <c r="CU363" s="386">
        <f t="shared" ca="1" si="596"/>
        <v>0</v>
      </c>
      <c r="CV363" s="387">
        <f t="shared" ca="1" si="597"/>
        <v>0</v>
      </c>
      <c r="CW363" s="1277">
        <f t="shared" ca="1" si="598"/>
        <v>0</v>
      </c>
      <c r="CX363" s="1277">
        <f t="shared" ca="1" si="599"/>
        <v>0</v>
      </c>
      <c r="CY363" s="388">
        <f t="shared" ca="1" si="600"/>
        <v>0</v>
      </c>
      <c r="CZ363" s="347"/>
      <c r="DA363" s="852"/>
      <c r="DB363" s="347"/>
      <c r="DC363" s="1012" t="s">
        <v>572</v>
      </c>
      <c r="DD363" s="841" t="s">
        <v>518</v>
      </c>
      <c r="DE363" s="386">
        <f>+IF($K363="ongoing",CE363,IF(RIGHT($K363,2)=RIGHT(DE$43,2),SUM($CD363:CE363),0)+IF(RIGHT(DE$43,2)&gt;RIGHT($K363,2),CE363,0))</f>
        <v>0</v>
      </c>
      <c r="DF363" s="387">
        <f>+IF($K363="ongoing",CF363,IF(RIGHT($K363,2)=RIGHT(DF$43,2),SUM($CD363:CF363),0)+IF(RIGHT(DF$43,2)&gt;RIGHT($K363,2),CF363,0))</f>
        <v>0</v>
      </c>
      <c r="DG363" s="388">
        <f>+IF($K363="ongoing",CG363,IF(RIGHT($K363,2)=RIGHT(DG$43,2),SUM($CD363:CG363),0)+IF(RIGHT(DG$43,2)&gt;RIGHT($K363,2),CG363,0))</f>
        <v>0</v>
      </c>
      <c r="DH363" s="386">
        <f>+IF($K363="ongoing",CH363,IF(RIGHT($K363,2)=RIGHT(DH$43,2),SUM($CD363:CH363),0)+IF(RIGHT(DH$43,2)&gt;RIGHT($K363,2),CH363,0))</f>
        <v>0</v>
      </c>
      <c r="DI363" s="387">
        <f>+IF($K363="ongoing",CI363,IF(RIGHT($K363,2)=RIGHT(DI$43,2),SUM($CD363:CI363),0)+IF(RIGHT(DI$43,2)&gt;RIGHT($K363,2),CI363,0))</f>
        <v>0</v>
      </c>
      <c r="DJ363" s="387">
        <f>+IF($K363="ongoing",CJ363,IF(RIGHT($K363,2)=RIGHT(DJ$43,2),SUM($CD363:CJ363),0)+IF(RIGHT(DJ$43,2)&gt;RIGHT($K363,2),CJ363,0))</f>
        <v>0</v>
      </c>
      <c r="DK363" s="387">
        <f>+IF($K363="ongoing",CK363,IF(RIGHT($K363,2)=RIGHT(DK$43,2),SUM($CD363:CK363),0)+IF(RIGHT(DK$43,2)&gt;RIGHT($K363,2),CK363,0))</f>
        <v>0</v>
      </c>
      <c r="DL363" s="388">
        <f>+IF($K363="ongoing",CN363,IF(RIGHT($K363,2)=RIGHT(DL$43,2),SUM($CD363:CN363),0)+IF(RIGHT(DL$43,2)&gt;RIGHT($K363,2),CN363,0))</f>
        <v>0</v>
      </c>
      <c r="DM363" s="841"/>
      <c r="DN363" s="386">
        <f t="shared" si="601"/>
        <v>0.5</v>
      </c>
      <c r="DO363" s="387">
        <f t="shared" si="602"/>
        <v>1</v>
      </c>
      <c r="DP363" s="388">
        <f t="shared" si="603"/>
        <v>1</v>
      </c>
      <c r="DQ363" s="386">
        <f t="shared" si="604"/>
        <v>1</v>
      </c>
      <c r="DR363" s="387">
        <f t="shared" si="605"/>
        <v>1</v>
      </c>
      <c r="DS363" s="387">
        <f t="shared" si="606"/>
        <v>1</v>
      </c>
      <c r="DT363" s="387">
        <f t="shared" si="607"/>
        <v>1</v>
      </c>
      <c r="DU363" s="388">
        <f t="shared" si="608"/>
        <v>1</v>
      </c>
      <c r="DW363" s="386">
        <f t="shared" si="609"/>
        <v>0</v>
      </c>
      <c r="DX363" s="387">
        <f t="shared" si="610"/>
        <v>0.5</v>
      </c>
      <c r="DY363" s="388">
        <f t="shared" si="611"/>
        <v>1</v>
      </c>
      <c r="DZ363" s="386">
        <f t="shared" si="612"/>
        <v>1</v>
      </c>
      <c r="EA363" s="387">
        <f t="shared" si="613"/>
        <v>1</v>
      </c>
      <c r="EB363" s="387">
        <f t="shared" si="614"/>
        <v>1</v>
      </c>
      <c r="EC363" s="387">
        <f t="shared" si="615"/>
        <v>1</v>
      </c>
      <c r="ED363" s="388">
        <f t="shared" si="616"/>
        <v>1</v>
      </c>
      <c r="EF363" s="834">
        <f>+IF(DN363=DM363,0,
IF(AND(EF$44&gt;1,DN363=$N363),1-SUM($EE363:EE363),
IF($N363&lt;=1,
IF($N363&gt;0,1/$N363,0),
IF(EF$44=1,0,VDB(1,0,$N363,INT(EF$44-1-1),MIN($N363,INT(EF$44-1-1)+1),$DC363,IF($DD363="No",1,0))/
IF(DM363&gt;=INT($N363),$N363-INT($N363),1)))*
IF(EF$44=1,0,
IF(INT(DN363)=INT(DM363),DN363-DM363,INT(DN363)-DM363))+
IF($N363&lt;=1,
IF($N363&gt;0,1/$N363,0),VDB(1,0,$N363,INT(EF$44-1),MIN($N363,INT(EF$44-1)+1),$DC363,IF($DD363="No",1,0))/
IF(DN363&gt;INT($N363),$N363-INT($N363),1))*
IF(EF$44=1,DN363,
IF(INT(DN363)=INT(DM363),0,DN363-INT(DN363)))))</f>
        <v>0</v>
      </c>
      <c r="EG363" s="835">
        <f>+IF(DO363=DN363,0,
IF(AND(EG$44&gt;1,DO363=$N363),1-SUM($EE363:EF363),
IF($N363&lt;=1,
IF($N363&gt;0,1/$N363,0),
IF(EG$44=1,0,VDB(1,0,$N363,INT(EG$44-1-1),MIN($N363,INT(EG$44-1-1)+1),$DC363,IF($DD363="No",1,0))/
IF(DN363&gt;=INT($N363),$N363-INT($N363),1)))*
IF(EG$44=1,0,
IF(INT(DO363)=INT(DN363),DO363-DN363,INT(DO363)-DN363))+
IF($N363&lt;=1,
IF($N363&gt;0,1/$N363,0),VDB(1,0,$N363,INT(EG$44-1),MIN($N363,INT(EG$44-1)+1),$DC363,IF($DD363="No",1,0))/
IF(DO363&gt;INT($N363),$N363-INT($N363),1))*
IF(EG$44=1,DO363,
IF(INT(DO363)=INT(DN363),0,DO363-INT(DO363)))))</f>
        <v>0</v>
      </c>
      <c r="EH363" s="836">
        <f>+IF(DP363=DO363,0,
IF(AND(EH$44&gt;1,DP363=$N363),1-SUM($EE363:EG363),
IF($N363&lt;=1,
IF($N363&gt;0,1/$N363,0),
IF(EH$44=1,0,VDB(1,0,$N363,INT(EH$44-1-1),MIN($N363,INT(EH$44-1-1)+1),$DC363,IF($DD363="No",1,0))/
IF(DO363&gt;=INT($N363),$N363-INT($N363),1)))*
IF(EH$44=1,0,
IF(INT(DP363)=INT(DO363),DP363-DO363,INT(DP363)-DO363))+
IF($N363&lt;=1,
IF($N363&gt;0,1/$N363,0),VDB(1,0,$N363,INT(EH$44-1),MIN($N363,INT(EH$44-1)+1),$DC363,IF($DD363="No",1,0))/
IF(DP363&gt;INT($N363),$N363-INT($N363),1))*
IF(EH$44=1,DP363,
IF(INT(DP363)=INT(DO363),0,DP363-INT(DP363)))))</f>
        <v>0</v>
      </c>
      <c r="EI363" s="834">
        <f>+IF(DQ363=DP363,0,
IF(AND(EI$44&gt;1,DQ363=$N363),1-SUM($EE363:EH363),
IF($N363&lt;=1,
IF($N363&gt;0,1/$N363,0),
IF(EI$44=1,0,VDB(1,0,$N363,INT(EI$44-1-1),MIN($N363,INT(EI$44-1-1)+1),$DC363,IF($DD363="No",1,0))/
IF(DP363&gt;=INT($N363),$N363-INT($N363),1)))*
IF(EI$44=1,0,
IF(INT(DQ363)=INT(DP363),DQ363-DP363,INT(DQ363)-DP363))+
IF($N363&lt;=1,
IF($N363&gt;0,1/$N363,0),VDB(1,0,$N363,INT(EI$44-1),MIN($N363,INT(EI$44-1)+1),$DC363,IF($DD363="No",1,0))/
IF(DQ363&gt;INT($N363),$N363-INT($N363),1))*
IF(EI$44=1,DQ363,
IF(INT(DQ363)=INT(DP363),0,DQ363-INT(DQ363)))))</f>
        <v>0</v>
      </c>
      <c r="EJ363" s="835">
        <f>+IF(DR363=DQ363,0,
IF(AND(EJ$44&gt;1,DR363=$N363),1-SUM($EE363:EI363),
IF($N363&lt;=1,
IF($N363&gt;0,1/$N363,0),
IF(EJ$44=1,0,VDB(1,0,$N363,INT(EJ$44-1-1),MIN($N363,INT(EJ$44-1-1)+1),$DC363,IF($DD363="No",1,0))/
IF(DQ363&gt;=INT($N363),$N363-INT($N363),1)))*
IF(EJ$44=1,0,
IF(INT(DR363)=INT(DQ363),DR363-DQ363,INT(DR363)-DQ363))+
IF($N363&lt;=1,
IF($N363&gt;0,1/$N363,0),VDB(1,0,$N363,INT(EJ$44-1),MIN($N363,INT(EJ$44-1)+1),$DC363,IF($DD363="No",1,0))/
IF(DR363&gt;INT($N363),$N363-INT($N363),1))*
IF(EJ$44=1,DR363,
IF(INT(DR363)=INT(DQ363),0,DR363-INT(DR363)))))</f>
        <v>0</v>
      </c>
      <c r="EK363" s="835">
        <f>+IF(DS363=DR363,0,
IF(AND(EK$44&gt;1,DS363=$N363),1-SUM($EE363:EJ363),
IF($N363&lt;=1,
IF($N363&gt;0,1/$N363,0),
IF(EK$44=1,0,VDB(1,0,$N363,INT(EK$44-1-1),MIN($N363,INT(EK$44-1-1)+1),$DC363,IF($DD363="No",1,0))/
IF(DR363&gt;=INT($N363),$N363-INT($N363),1)))*
IF(EK$44=1,0,
IF(INT(DS363)=INT(DR363),DS363-DR363,INT(DS363)-DR363))+
IF($N363&lt;=1,
IF($N363&gt;0,1/$N363,0),VDB(1,0,$N363,INT(EK$44-1),MIN($N363,INT(EK$44-1)+1),$DC363,IF($DD363="No",1,0))/
IF(DS363&gt;INT($N363),$N363-INT($N363),1))*
IF(EK$44=1,DS363,
IF(INT(DS363)=INT(DR363),0,DS363-INT(DS363)))))</f>
        <v>0</v>
      </c>
      <c r="EL363" s="835">
        <f>+IF(DT363=DS363,0,
IF(AND(EL$44&gt;1,DT363=$N363),1-SUM($EE363:EK363),
IF($N363&lt;=1,
IF($N363&gt;0,1/$N363,0),
IF(EL$44=1,0,VDB(1,0,$N363,INT(EL$44-1-1),MIN($N363,INT(EL$44-1-1)+1),$DC363,IF($DD363="No",1,0))/
IF(DS363&gt;=INT($N363),$N363-INT($N363),1)))*
IF(EL$44=1,0,
IF(INT(DT363)=INT(DS363),DT363-DS363,INT(DT363)-DS363))+
IF($N363&lt;=1,
IF($N363&gt;0,1/$N363,0),VDB(1,0,$N363,INT(EL$44-1),MIN($N363,INT(EL$44-1)+1),$DC363,IF($DD363="No",1,0))/
IF(DT363&gt;INT($N363),$N363-INT($N363),1))*
IF(EL$44=1,DT363,
IF(INT(DT363)=INT(DS363),0,DT363-INT(DT363)))))</f>
        <v>0</v>
      </c>
      <c r="EM363" s="836">
        <f>+IF(DU363=DT363,0,
IF(AND(EM$44&gt;1,DU363=$N363),1-SUM($EE363:EL363),
IF($N363&lt;=1,
IF($N363&gt;0,1/$N363,0),
IF(EM$44=1,0,VDB(1,0,$N363,INT(EM$44-1-1),MIN($N363,INT(EM$44-1-1)+1),$DC363,IF($DD363="No",1,0))/
IF(DT363&gt;=INT($N363),$N363-INT($N363),1)))*
IF(EM$44=1,0,
IF(INT(DU363)=INT(DT363),DU363-DT363,INT(DU363)-DT363))+
IF($N363&lt;=1,
IF($N363&gt;0,1/$N363,0),VDB(1,0,$N363,INT(EM$44-1),MIN($N363,INT(EM$44-1)+1),$DC363,IF($DD363="No",1,0))/
IF(DU363&gt;INT($N363),$N363-INT($N363),1))*
IF(EM$44=1,DU363,
IF(INT(DU363)=INT(DT363),0,DU363-INT(DU363)))))</f>
        <v>0</v>
      </c>
      <c r="EN363" s="833"/>
      <c r="EO363" s="834">
        <f>+IF(OR(DW363=DV363,EO$44=1),0,
IF(AND(EO$44&gt;1,DW363=$N363),1-SUM($EN363:EN363),
IF($N363&lt;=1,
IF($N363&gt;0,1/$N363,0),
IF(EO$44=2,0,VDB(1,0,$N363,INT(EO$44-2-1),MIN($N363,INT(EO$44-2-1)+1),$DC363,IF($DD363="No",1,0))/
IF(DV363&gt;=INT($N363),$N363-INT($N363),1)))*
IF(EO$44=2,0,
IF(INT(DW363)=INT(DV363),DW363-DV363,INT(DW363)-DV363))+
IF($N363&lt;=1,
IF($N363&gt;0,1/$N363,0),VDB(1,0,$N363,INT(EO$44-2),MIN($N363,INT(EO$44-2)+1),$DC363,IF($DD363="No",1,0))/
IF(DW363&gt;INT($N363),$N363-INT($N363),1))*
IF(EO$44=2,DW363,
IF(INT(DW363)=INT(DV363),0,DW363-INT(DW363)))))</f>
        <v>0</v>
      </c>
      <c r="EP363" s="835">
        <f>+IF(OR(DX363=DW363,EP$44=1),0,
IF(AND(EP$44&gt;1,DX363=$N363),1-SUM($EN363:EO363),
IF($N363&lt;=1,
IF($N363&gt;0,1/$N363,0),
IF(EP$44=2,0,VDB(1,0,$N363,INT(EP$44-2-1),MIN($N363,INT(EP$44-2-1)+1),$DC363,IF($DD363="No",1,0))/
IF(DW363&gt;=INT($N363),$N363-INT($N363),1)))*
IF(EP$44=2,0,
IF(INT(DX363)=INT(DW363),DX363-DW363,INT(DX363)-DW363))+
IF($N363&lt;=1,
IF($N363&gt;0,1/$N363,0),VDB(1,0,$N363,INT(EP$44-2),MIN($N363,INT(EP$44-2)+1),$DC363,IF($DD363="No",1,0))/
IF(DX363&gt;INT($N363),$N363-INT($N363),1))*
IF(EP$44=2,DX363,
IF(INT(DX363)=INT(DW363),0,DX363-INT(DX363)))))</f>
        <v>0</v>
      </c>
      <c r="EQ363" s="836">
        <f>+IF(OR(DY363=DX363,EQ$44=1),0,
IF(AND(EQ$44&gt;1,DY363=$N363),1-SUM($EN363:EP363),
IF($N363&lt;=1,
IF($N363&gt;0,1/$N363,0),
IF(EQ$44=2,0,VDB(1,0,$N363,INT(EQ$44-2-1),MIN($N363,INT(EQ$44-2-1)+1),$DC363,IF($DD363="No",1,0))/
IF(DX363&gt;=INT($N363),$N363-INT($N363),1)))*
IF(EQ$44=2,0,
IF(INT(DY363)=INT(DX363),DY363-DX363,INT(DY363)-DX363))+
IF($N363&lt;=1,
IF($N363&gt;0,1/$N363,0),VDB(1,0,$N363,INT(EQ$44-2),MIN($N363,INT(EQ$44-2)+1),$DC363,IF($DD363="No",1,0))/
IF(DY363&gt;INT($N363),$N363-INT($N363),1))*
IF(EQ$44=2,DY363,
IF(INT(DY363)=INT(DX363),0,DY363-INT(DY363)))))</f>
        <v>0</v>
      </c>
      <c r="ER363" s="834">
        <f>+IF(OR(DZ363=DY363,ER$44=1),0,
IF(AND(ER$44&gt;1,DZ363=$N363),1-SUM($EN363:EQ363),
IF($N363&lt;=1,
IF($N363&gt;0,1/$N363,0),
IF(ER$44=2,0,VDB(1,0,$N363,INT(ER$44-2-1),MIN($N363,INT(ER$44-2-1)+1),$DC363,IF($DD363="No",1,0))/
IF(DY363&gt;=INT($N363),$N363-INT($N363),1)))*
IF(ER$44=2,0,
IF(INT(DZ363)=INT(DY363),DZ363-DY363,INT(DZ363)-DY363))+
IF($N363&lt;=1,
IF($N363&gt;0,1/$N363,0),VDB(1,0,$N363,INT(ER$44-2),MIN($N363,INT(ER$44-2)+1),$DC363,IF($DD363="No",1,0))/
IF(DZ363&gt;INT($N363),$N363-INT($N363),1))*
IF(ER$44=2,DZ363,
IF(INT(DZ363)=INT(DY363),0,DZ363-INT(DZ363)))))</f>
        <v>0</v>
      </c>
      <c r="ES363" s="835">
        <f>+IF(OR(EA363=DZ363,ES$44=1),0,
IF(AND(ES$44&gt;1,EA363=$N363),1-SUM($EN363:ER363),
IF($N363&lt;=1,
IF($N363&gt;0,1/$N363,0),
IF(ES$44=2,0,VDB(1,0,$N363,INT(ES$44-2-1),MIN($N363,INT(ES$44-2-1)+1),$DC363,IF($DD363="No",1,0))/
IF(DZ363&gt;=INT($N363),$N363-INT($N363),1)))*
IF(ES$44=2,0,
IF(INT(EA363)=INT(DZ363),EA363-DZ363,INT(EA363)-DZ363))+
IF($N363&lt;=1,
IF($N363&gt;0,1/$N363,0),VDB(1,0,$N363,INT(ES$44-2),MIN($N363,INT(ES$44-2)+1),$DC363,IF($DD363="No",1,0))/
IF(EA363&gt;INT($N363),$N363-INT($N363),1))*
IF(ES$44=2,EA363,
IF(INT(EA363)=INT(DZ363),0,EA363-INT(EA363)))))</f>
        <v>0</v>
      </c>
      <c r="ET363" s="835">
        <f>+IF(OR(EB363=EA363,ET$44=1),0,
IF(AND(ET$44&gt;1,EB363=$N363),1-SUM($EN363:ES363),
IF($N363&lt;=1,
IF($N363&gt;0,1/$N363,0),
IF(ET$44=2,0,VDB(1,0,$N363,INT(ET$44-2-1),MIN($N363,INT(ET$44-2-1)+1),$DC363,IF($DD363="No",1,0))/
IF(EA363&gt;=INT($N363),$N363-INT($N363),1)))*
IF(ET$44=2,0,
IF(INT(EB363)=INT(EA363),EB363-EA363,INT(EB363)-EA363))+
IF($N363&lt;=1,
IF($N363&gt;0,1/$N363,0),VDB(1,0,$N363,INT(ET$44-2),MIN($N363,INT(ET$44-2)+1),$DC363,IF($DD363="No",1,0))/
IF(EB363&gt;INT($N363),$N363-INT($N363),1))*
IF(ET$44=2,EB363,
IF(INT(EB363)=INT(EA363),0,EB363-INT(EB363)))))</f>
        <v>0</v>
      </c>
      <c r="EU363" s="835">
        <f>+IF(OR(EC363=EB363,EU$44=1),0,
IF(AND(EU$44&gt;1,EC363=$N363),1-SUM($EN363:ET363),
IF($N363&lt;=1,
IF($N363&gt;0,1/$N363,0),
IF(EU$44=2,0,VDB(1,0,$N363,INT(EU$44-2-1),MIN($N363,INT(EU$44-2-1)+1),$DC363,IF($DD363="No",1,0))/
IF(EB363&gt;=INT($N363),$N363-INT($N363),1)))*
IF(EU$44=2,0,
IF(INT(EC363)=INT(EB363),EC363-EB363,INT(EC363)-EB363))+
IF($N363&lt;=1,
IF($N363&gt;0,1/$N363,0),VDB(1,0,$N363,INT(EU$44-2),MIN($N363,INT(EU$44-2)+1),$DC363,IF($DD363="No",1,0))/
IF(EC363&gt;INT($N363),$N363-INT($N363),1))*
IF(EU$44=2,EC363,
IF(INT(EC363)=INT(EB363),0,EC363-INT(EC363)))))</f>
        <v>0</v>
      </c>
      <c r="EV363" s="836">
        <f>+IF(OR(ED363=EC363,EV$44=1),0,
IF(AND(EV$44&gt;1,ED363=$N363),1-SUM($EN363:EU363),
IF($N363&lt;=1,
IF($N363&gt;0,1/$N363,0),
IF(EV$44=2,0,VDB(1,0,$N363,INT(EV$44-2-1),MIN($N363,INT(EV$44-2-1)+1),$DC363,IF($DD363="No",1,0))/
IF(EC363&gt;=INT($N363),$N363-INT($N363),1)))*
IF(EV$44=2,0,
IF(INT(ED363)=INT(EC363),ED363-EC363,INT(ED363)-EC363))+
IF($N363&lt;=1,
IF($N363&gt;0,1/$N363,0),VDB(1,0,$N363,INT(EV$44-2),MIN($N363,INT(EV$44-2)+1),$DC363,IF($DD363="No",1,0))/
IF(ED363&gt;INT($N363),$N363-INT($N363),1))*
IF(EV$44=2,ED363,
IF(INT(ED363)=INT(EC363),0,ED363-INT(ED363)))))</f>
        <v>0</v>
      </c>
      <c r="EW363" s="833"/>
      <c r="EX363" s="834">
        <f t="shared" ca="1" si="625"/>
        <v>0</v>
      </c>
      <c r="EY363" s="835">
        <f t="shared" ca="1" si="625"/>
        <v>0</v>
      </c>
      <c r="EZ363" s="836">
        <f t="shared" ca="1" si="625"/>
        <v>0</v>
      </c>
      <c r="FA363" s="834">
        <f t="shared" ca="1" si="625"/>
        <v>0</v>
      </c>
      <c r="FB363" s="835">
        <f t="shared" ca="1" si="625"/>
        <v>0</v>
      </c>
      <c r="FC363" s="835">
        <f t="shared" ca="1" si="625"/>
        <v>0</v>
      </c>
      <c r="FD363" s="835">
        <f t="shared" ca="1" si="625"/>
        <v>0</v>
      </c>
      <c r="FE363" s="836">
        <f t="shared" ca="1" si="625"/>
        <v>0</v>
      </c>
      <c r="FG363" s="386">
        <f t="shared" ca="1" si="617"/>
        <v>0</v>
      </c>
      <c r="FH363" s="387">
        <f t="shared" ca="1" si="618"/>
        <v>0</v>
      </c>
      <c r="FI363" s="388">
        <f t="shared" ca="1" si="619"/>
        <v>0</v>
      </c>
      <c r="FJ363" s="386">
        <f t="shared" ca="1" si="620"/>
        <v>0</v>
      </c>
      <c r="FK363" s="387">
        <f t="shared" ca="1" si="621"/>
        <v>0</v>
      </c>
      <c r="FL363" s="387">
        <f t="shared" ca="1" si="622"/>
        <v>0</v>
      </c>
      <c r="FM363" s="387">
        <f t="shared" ca="1" si="623"/>
        <v>0</v>
      </c>
      <c r="FN363" s="388">
        <f t="shared" ca="1" si="624"/>
        <v>0</v>
      </c>
      <c r="FR363" s="116"/>
    </row>
    <row r="364" spans="2:174">
      <c r="B364" s="1410">
        <f t="shared" si="556"/>
        <v>318</v>
      </c>
      <c r="C364" s="400"/>
      <c r="D364" s="410"/>
      <c r="E364" s="402"/>
      <c r="F364" s="402"/>
      <c r="G364" s="400"/>
      <c r="H364" s="2088"/>
      <c r="I364" s="2089"/>
      <c r="J364" s="411"/>
      <c r="K364" s="403"/>
      <c r="L364" s="403"/>
      <c r="M364" s="403"/>
      <c r="N364" s="403"/>
      <c r="O364" s="347"/>
      <c r="P364" s="347"/>
      <c r="Q364" s="1021"/>
      <c r="R364" s="1022"/>
      <c r="S364" s="1022"/>
      <c r="T364" s="1022"/>
      <c r="U364" s="1023"/>
      <c r="V364" s="1021"/>
      <c r="W364" s="1022"/>
      <c r="X364" s="1022"/>
      <c r="Y364" s="1022"/>
      <c r="Z364" s="1023"/>
      <c r="AA364" s="1024"/>
      <c r="AB364" s="1021"/>
      <c r="AC364" s="1022"/>
      <c r="AD364" s="1022"/>
      <c r="AE364" s="1022"/>
      <c r="AF364" s="1023"/>
      <c r="AG364" s="1021"/>
      <c r="AH364" s="1022"/>
      <c r="AI364" s="1022"/>
      <c r="AJ364" s="1022"/>
      <c r="AK364" s="1023"/>
      <c r="AL364" s="1024"/>
      <c r="AM364" s="1021"/>
      <c r="AN364" s="1022"/>
      <c r="AO364" s="1022"/>
      <c r="AP364" s="1022"/>
      <c r="AQ364" s="1023"/>
      <c r="AR364" s="1021"/>
      <c r="AS364" s="1022"/>
      <c r="AT364" s="1022"/>
      <c r="AU364" s="1022"/>
      <c r="AV364" s="1023"/>
      <c r="AW364" s="1025"/>
      <c r="AX364" s="1282">
        <f t="shared" si="571"/>
        <v>0</v>
      </c>
      <c r="AY364" s="387">
        <f t="shared" si="572"/>
        <v>0</v>
      </c>
      <c r="AZ364" s="387">
        <f t="shared" si="573"/>
        <v>0</v>
      </c>
      <c r="BA364" s="387">
        <f t="shared" si="574"/>
        <v>0</v>
      </c>
      <c r="BB364" s="1283">
        <f t="shared" si="575"/>
        <v>0</v>
      </c>
      <c r="BC364" s="386">
        <f t="shared" si="576"/>
        <v>0</v>
      </c>
      <c r="BD364" s="387">
        <f t="shared" si="577"/>
        <v>0</v>
      </c>
      <c r="BE364" s="1277">
        <f t="shared" si="578"/>
        <v>0</v>
      </c>
      <c r="BF364" s="1277">
        <f t="shared" si="579"/>
        <v>0</v>
      </c>
      <c r="BG364" s="388">
        <f t="shared" si="580"/>
        <v>0</v>
      </c>
      <c r="BH364" s="1025"/>
      <c r="BI364" s="1282">
        <f t="shared" ca="1" si="581"/>
        <v>0</v>
      </c>
      <c r="BJ364" s="387">
        <f t="shared" ca="1" si="582"/>
        <v>0</v>
      </c>
      <c r="BK364" s="387">
        <f t="shared" ca="1" si="583"/>
        <v>0</v>
      </c>
      <c r="BL364" s="387">
        <f t="shared" ca="1" si="584"/>
        <v>0</v>
      </c>
      <c r="BM364" s="1283">
        <f t="shared" ca="1" si="585"/>
        <v>0</v>
      </c>
      <c r="BN364" s="386">
        <f t="shared" ca="1" si="586"/>
        <v>0</v>
      </c>
      <c r="BO364" s="387">
        <f t="shared" ca="1" si="587"/>
        <v>0</v>
      </c>
      <c r="BP364" s="1277">
        <f t="shared" ca="1" si="588"/>
        <v>0</v>
      </c>
      <c r="BQ364" s="1277">
        <f t="shared" ca="1" si="589"/>
        <v>0</v>
      </c>
      <c r="BR364" s="388">
        <f t="shared" ca="1" si="590"/>
        <v>0</v>
      </c>
      <c r="BS364" s="1025"/>
      <c r="BT364" s="1282">
        <f>+IF($K364="Ongoing",AX364,IF(RIGHT($K364,2)=RIGHT(BT$43,2),SUM($AX364:AX364),0)+IF(RIGHT(BT$43,2)&gt;RIGHT($K364,2),AX364,0))</f>
        <v>0</v>
      </c>
      <c r="BU364" s="387">
        <f>+IF($K364="Ongoing",AY364,IF(RIGHT($K364,2)=RIGHT(BU$43,2),SUM($AX364:AY364),0)+IF(RIGHT(BU$43,2)&gt;RIGHT($K364,2),AY364,0))</f>
        <v>0</v>
      </c>
      <c r="BV364" s="387">
        <f>+IF($K364="Ongoing",AZ364,IF(RIGHT($K364,2)=RIGHT(BV$43,2),SUM($AX364:AZ364),0)+IF(RIGHT(BV$43,2)&gt;RIGHT($K364,2),AZ364,0))</f>
        <v>0</v>
      </c>
      <c r="BW364" s="387">
        <f>+IF($K364="Ongoing",BA364,IF(RIGHT($K364,2)=RIGHT(BW$43,2),SUM($AX364:BA364),0)+IF(RIGHT(BW$43,2)&gt;RIGHT($K364,2),BA364,0))</f>
        <v>0</v>
      </c>
      <c r="BX364" s="1283">
        <f>+IF($K364="Ongoing",BB364,IF(RIGHT($K364,2)=RIGHT(BX$43,2),SUM($AX364:BB364),0)+IF(RIGHT(BX$43,2)&gt;RIGHT($K364,2),BB364,0))</f>
        <v>0</v>
      </c>
      <c r="BY364" s="386">
        <f>+IF($K364="Ongoing",BC364,IF(RIGHT($K364,2)=RIGHT(BY$43,2),SUM($AX364:BC364),0)+IF(RIGHT(BY$43,2)&gt;RIGHT($K364,2),BC364,0))</f>
        <v>0</v>
      </c>
      <c r="BZ364" s="387">
        <f>+IF($K364="Ongoing",BD364,IF(RIGHT($K364,2)=RIGHT(BZ$43,2),SUM($AX364:BD364),0)+IF(RIGHT(BZ$43,2)&gt;RIGHT($K364,2),BD364,0))</f>
        <v>0</v>
      </c>
      <c r="CA364" s="1277">
        <f>+IF($K364="Ongoing",BE364,IF(RIGHT($K364,2)=RIGHT(CA$43,2),SUM($AX364:BE364),0)+IF(RIGHT(CA$43,2)&gt;RIGHT($K364,2),BE364,0))</f>
        <v>0</v>
      </c>
      <c r="CB364" s="1277">
        <f>+IF($K364="Ongoing",BF364,IF(RIGHT($K364,2)=RIGHT(CB$43,2),SUM($AX364:BF364),0)+IF(RIGHT(CB$43,2)&gt;RIGHT($K364,2),BF364,0))</f>
        <v>0</v>
      </c>
      <c r="CC364" s="388">
        <f>+IF($K364="Ongoing",BG364,IF(RIGHT($K364,2)=RIGHT(CC$43,2),SUM($AX364:BG364),0)+IF(RIGHT(CC$43,2)&gt;RIGHT($K364,2),BG364,0))</f>
        <v>0</v>
      </c>
      <c r="CD364" s="1025"/>
      <c r="CE364" s="1282">
        <f>+Q364*KeyAssumptionsPriceControl_FO!AF$15</f>
        <v>0</v>
      </c>
      <c r="CF364" s="387">
        <f>+R364*KeyAssumptionsPriceControl_FO!AG$15</f>
        <v>0</v>
      </c>
      <c r="CG364" s="387">
        <f>+S364*KeyAssumptionsPriceControl_FO!AH$15</f>
        <v>0</v>
      </c>
      <c r="CH364" s="387">
        <f>+T364*KeyAssumptionsPriceControl_FO!AI$15</f>
        <v>0</v>
      </c>
      <c r="CI364" s="1283">
        <f>+U364*KeyAssumptionsPriceControl_FO!AJ$15</f>
        <v>0</v>
      </c>
      <c r="CJ364" s="386">
        <f>+V364*KeyAssumptionsPriceControl_FO!AK$15</f>
        <v>0</v>
      </c>
      <c r="CK364" s="387">
        <f>+W364*KeyAssumptionsPriceControl_FO!AL$15</f>
        <v>0</v>
      </c>
      <c r="CL364" s="1277">
        <f>+X364*KeyAssumptionsPriceControl_FO!AM$15</f>
        <v>0</v>
      </c>
      <c r="CM364" s="1277">
        <f>+Y364*KeyAssumptionsPriceControl_FO!AN$15</f>
        <v>0</v>
      </c>
      <c r="CN364" s="388">
        <f>+Z364*KeyAssumptionsPriceControl_FO!AO$15</f>
        <v>0</v>
      </c>
      <c r="CO364" s="1025"/>
      <c r="CP364" s="1282">
        <f t="shared" ca="1" si="591"/>
        <v>0</v>
      </c>
      <c r="CQ364" s="387">
        <f t="shared" ca="1" si="592"/>
        <v>0</v>
      </c>
      <c r="CR364" s="387">
        <f t="shared" ca="1" si="593"/>
        <v>0</v>
      </c>
      <c r="CS364" s="387">
        <f t="shared" ca="1" si="594"/>
        <v>0</v>
      </c>
      <c r="CT364" s="1283">
        <f t="shared" ca="1" si="595"/>
        <v>0</v>
      </c>
      <c r="CU364" s="386">
        <f t="shared" ca="1" si="596"/>
        <v>0</v>
      </c>
      <c r="CV364" s="387">
        <f t="shared" ca="1" si="597"/>
        <v>0</v>
      </c>
      <c r="CW364" s="1277">
        <f t="shared" ca="1" si="598"/>
        <v>0</v>
      </c>
      <c r="CX364" s="1277">
        <f t="shared" ca="1" si="599"/>
        <v>0</v>
      </c>
      <c r="CY364" s="388">
        <f t="shared" ca="1" si="600"/>
        <v>0</v>
      </c>
      <c r="CZ364" s="347"/>
      <c r="DA364" s="852"/>
      <c r="DB364" s="347"/>
      <c r="DC364" s="1012" t="s">
        <v>573</v>
      </c>
      <c r="DD364" s="841" t="s">
        <v>518</v>
      </c>
      <c r="DE364" s="386">
        <f>+IF($K364="ongoing",CE364,IF(RIGHT($K364,2)=RIGHT(DE$43,2),SUM($CD364:CE364),0)+IF(RIGHT(DE$43,2)&gt;RIGHT($K364,2),CE364,0))</f>
        <v>0</v>
      </c>
      <c r="DF364" s="387">
        <f>+IF($K364="ongoing",CF364,IF(RIGHT($K364,2)=RIGHT(DF$43,2),SUM($CD364:CF364),0)+IF(RIGHT(DF$43,2)&gt;RIGHT($K364,2),CF364,0))</f>
        <v>0</v>
      </c>
      <c r="DG364" s="388">
        <f>+IF($K364="ongoing",CG364,IF(RIGHT($K364,2)=RIGHT(DG$43,2),SUM($CD364:CG364),0)+IF(RIGHT(DG$43,2)&gt;RIGHT($K364,2),CG364,0))</f>
        <v>0</v>
      </c>
      <c r="DH364" s="386">
        <f>+IF($K364="ongoing",CH364,IF(RIGHT($K364,2)=RIGHT(DH$43,2),SUM($CD364:CH364),0)+IF(RIGHT(DH$43,2)&gt;RIGHT($K364,2),CH364,0))</f>
        <v>0</v>
      </c>
      <c r="DI364" s="387">
        <f>+IF($K364="ongoing",CI364,IF(RIGHT($K364,2)=RIGHT(DI$43,2),SUM($CD364:CI364),0)+IF(RIGHT(DI$43,2)&gt;RIGHT($K364,2),CI364,0))</f>
        <v>0</v>
      </c>
      <c r="DJ364" s="387">
        <f>+IF($K364="ongoing",CJ364,IF(RIGHT($K364,2)=RIGHT(DJ$43,2),SUM($CD364:CJ364),0)+IF(RIGHT(DJ$43,2)&gt;RIGHT($K364,2),CJ364,0))</f>
        <v>0</v>
      </c>
      <c r="DK364" s="387">
        <f>+IF($K364="ongoing",CK364,IF(RIGHT($K364,2)=RIGHT(DK$43,2),SUM($CD364:CK364),0)+IF(RIGHT(DK$43,2)&gt;RIGHT($K364,2),CK364,0))</f>
        <v>0</v>
      </c>
      <c r="DL364" s="388">
        <f>+IF($K364="ongoing",CN364,IF(RIGHT($K364,2)=RIGHT(DL$43,2),SUM($CD364:CN364),0)+IF(RIGHT(DL$43,2)&gt;RIGHT($K364,2),CN364,0))</f>
        <v>0</v>
      </c>
      <c r="DM364" s="841"/>
      <c r="DN364" s="386">
        <f t="shared" si="601"/>
        <v>0.5</v>
      </c>
      <c r="DO364" s="387">
        <f t="shared" si="602"/>
        <v>1</v>
      </c>
      <c r="DP364" s="388">
        <f t="shared" si="603"/>
        <v>1</v>
      </c>
      <c r="DQ364" s="386">
        <f t="shared" si="604"/>
        <v>1</v>
      </c>
      <c r="DR364" s="387">
        <f t="shared" si="605"/>
        <v>1</v>
      </c>
      <c r="DS364" s="387">
        <f t="shared" si="606"/>
        <v>1</v>
      </c>
      <c r="DT364" s="387">
        <f t="shared" si="607"/>
        <v>1</v>
      </c>
      <c r="DU364" s="388">
        <f t="shared" si="608"/>
        <v>1</v>
      </c>
      <c r="DW364" s="386">
        <f t="shared" si="609"/>
        <v>0</v>
      </c>
      <c r="DX364" s="387">
        <f t="shared" si="610"/>
        <v>0.5</v>
      </c>
      <c r="DY364" s="388">
        <f t="shared" si="611"/>
        <v>1</v>
      </c>
      <c r="DZ364" s="386">
        <f t="shared" si="612"/>
        <v>1</v>
      </c>
      <c r="EA364" s="387">
        <f t="shared" si="613"/>
        <v>1</v>
      </c>
      <c r="EB364" s="387">
        <f t="shared" si="614"/>
        <v>1</v>
      </c>
      <c r="EC364" s="387">
        <f t="shared" si="615"/>
        <v>1</v>
      </c>
      <c r="ED364" s="388">
        <f t="shared" si="616"/>
        <v>1</v>
      </c>
      <c r="EF364" s="834">
        <f>+IF(DN364=DM364,0,
IF(AND(EF$44&gt;1,DN364=$N364),1-SUM($EE364:EE364),
IF($N364&lt;=1,
IF($N364&gt;0,1/$N364,0),
IF(EF$44=1,0,VDB(1,0,$N364,INT(EF$44-1-1),MIN($N364,INT(EF$44-1-1)+1),$DC364,IF($DD364="No",1,0))/
IF(DM364&gt;=INT($N364),$N364-INT($N364),1)))*
IF(EF$44=1,0,
IF(INT(DN364)=INT(DM364),DN364-DM364,INT(DN364)-DM364))+
IF($N364&lt;=1,
IF($N364&gt;0,1/$N364,0),VDB(1,0,$N364,INT(EF$44-1),MIN($N364,INT(EF$44-1)+1),$DC364,IF($DD364="No",1,0))/
IF(DN364&gt;INT($N364),$N364-INT($N364),1))*
IF(EF$44=1,DN364,
IF(INT(DN364)=INT(DM364),0,DN364-INT(DN364)))))</f>
        <v>0</v>
      </c>
      <c r="EG364" s="835">
        <f>+IF(DO364=DN364,0,
IF(AND(EG$44&gt;1,DO364=$N364),1-SUM($EE364:EF364),
IF($N364&lt;=1,
IF($N364&gt;0,1/$N364,0),
IF(EG$44=1,0,VDB(1,0,$N364,INT(EG$44-1-1),MIN($N364,INT(EG$44-1-1)+1),$DC364,IF($DD364="No",1,0))/
IF(DN364&gt;=INT($N364),$N364-INT($N364),1)))*
IF(EG$44=1,0,
IF(INT(DO364)=INT(DN364),DO364-DN364,INT(DO364)-DN364))+
IF($N364&lt;=1,
IF($N364&gt;0,1/$N364,0),VDB(1,0,$N364,INT(EG$44-1),MIN($N364,INT(EG$44-1)+1),$DC364,IF($DD364="No",1,0))/
IF(DO364&gt;INT($N364),$N364-INT($N364),1))*
IF(EG$44=1,DO364,
IF(INT(DO364)=INT(DN364),0,DO364-INT(DO364)))))</f>
        <v>0</v>
      </c>
      <c r="EH364" s="836">
        <f>+IF(DP364=DO364,0,
IF(AND(EH$44&gt;1,DP364=$N364),1-SUM($EE364:EG364),
IF($N364&lt;=1,
IF($N364&gt;0,1/$N364,0),
IF(EH$44=1,0,VDB(1,0,$N364,INT(EH$44-1-1),MIN($N364,INT(EH$44-1-1)+1),$DC364,IF($DD364="No",1,0))/
IF(DO364&gt;=INT($N364),$N364-INT($N364),1)))*
IF(EH$44=1,0,
IF(INT(DP364)=INT(DO364),DP364-DO364,INT(DP364)-DO364))+
IF($N364&lt;=1,
IF($N364&gt;0,1/$N364,0),VDB(1,0,$N364,INT(EH$44-1),MIN($N364,INT(EH$44-1)+1),$DC364,IF($DD364="No",1,0))/
IF(DP364&gt;INT($N364),$N364-INT($N364),1))*
IF(EH$44=1,DP364,
IF(INT(DP364)=INT(DO364),0,DP364-INT(DP364)))))</f>
        <v>0</v>
      </c>
      <c r="EI364" s="834">
        <f>+IF(DQ364=DP364,0,
IF(AND(EI$44&gt;1,DQ364=$N364),1-SUM($EE364:EH364),
IF($N364&lt;=1,
IF($N364&gt;0,1/$N364,0),
IF(EI$44=1,0,VDB(1,0,$N364,INT(EI$44-1-1),MIN($N364,INT(EI$44-1-1)+1),$DC364,IF($DD364="No",1,0))/
IF(DP364&gt;=INT($N364),$N364-INT($N364),1)))*
IF(EI$44=1,0,
IF(INT(DQ364)=INT(DP364),DQ364-DP364,INT(DQ364)-DP364))+
IF($N364&lt;=1,
IF($N364&gt;0,1/$N364,0),VDB(1,0,$N364,INT(EI$44-1),MIN($N364,INT(EI$44-1)+1),$DC364,IF($DD364="No",1,0))/
IF(DQ364&gt;INT($N364),$N364-INT($N364),1))*
IF(EI$44=1,DQ364,
IF(INT(DQ364)=INT(DP364),0,DQ364-INT(DQ364)))))</f>
        <v>0</v>
      </c>
      <c r="EJ364" s="835">
        <f>+IF(DR364=DQ364,0,
IF(AND(EJ$44&gt;1,DR364=$N364),1-SUM($EE364:EI364),
IF($N364&lt;=1,
IF($N364&gt;0,1/$N364,0),
IF(EJ$44=1,0,VDB(1,0,$N364,INT(EJ$44-1-1),MIN($N364,INT(EJ$44-1-1)+1),$DC364,IF($DD364="No",1,0))/
IF(DQ364&gt;=INT($N364),$N364-INT($N364),1)))*
IF(EJ$44=1,0,
IF(INT(DR364)=INT(DQ364),DR364-DQ364,INT(DR364)-DQ364))+
IF($N364&lt;=1,
IF($N364&gt;0,1/$N364,0),VDB(1,0,$N364,INT(EJ$44-1),MIN($N364,INT(EJ$44-1)+1),$DC364,IF($DD364="No",1,0))/
IF(DR364&gt;INT($N364),$N364-INT($N364),1))*
IF(EJ$44=1,DR364,
IF(INT(DR364)=INT(DQ364),0,DR364-INT(DR364)))))</f>
        <v>0</v>
      </c>
      <c r="EK364" s="835">
        <f>+IF(DS364=DR364,0,
IF(AND(EK$44&gt;1,DS364=$N364),1-SUM($EE364:EJ364),
IF($N364&lt;=1,
IF($N364&gt;0,1/$N364,0),
IF(EK$44=1,0,VDB(1,0,$N364,INT(EK$44-1-1),MIN($N364,INT(EK$44-1-1)+1),$DC364,IF($DD364="No",1,0))/
IF(DR364&gt;=INT($N364),$N364-INT($N364),1)))*
IF(EK$44=1,0,
IF(INT(DS364)=INT(DR364),DS364-DR364,INT(DS364)-DR364))+
IF($N364&lt;=1,
IF($N364&gt;0,1/$N364,0),VDB(1,0,$N364,INT(EK$44-1),MIN($N364,INT(EK$44-1)+1),$DC364,IF($DD364="No",1,0))/
IF(DS364&gt;INT($N364),$N364-INT($N364),1))*
IF(EK$44=1,DS364,
IF(INT(DS364)=INT(DR364),0,DS364-INT(DS364)))))</f>
        <v>0</v>
      </c>
      <c r="EL364" s="835">
        <f>+IF(DT364=DS364,0,
IF(AND(EL$44&gt;1,DT364=$N364),1-SUM($EE364:EK364),
IF($N364&lt;=1,
IF($N364&gt;0,1/$N364,0),
IF(EL$44=1,0,VDB(1,0,$N364,INT(EL$44-1-1),MIN($N364,INT(EL$44-1-1)+1),$DC364,IF($DD364="No",1,0))/
IF(DS364&gt;=INT($N364),$N364-INT($N364),1)))*
IF(EL$44=1,0,
IF(INT(DT364)=INT(DS364),DT364-DS364,INT(DT364)-DS364))+
IF($N364&lt;=1,
IF($N364&gt;0,1/$N364,0),VDB(1,0,$N364,INT(EL$44-1),MIN($N364,INT(EL$44-1)+1),$DC364,IF($DD364="No",1,0))/
IF(DT364&gt;INT($N364),$N364-INT($N364),1))*
IF(EL$44=1,DT364,
IF(INT(DT364)=INT(DS364),0,DT364-INT(DT364)))))</f>
        <v>0</v>
      </c>
      <c r="EM364" s="836">
        <f>+IF(DU364=DT364,0,
IF(AND(EM$44&gt;1,DU364=$N364),1-SUM($EE364:EL364),
IF($N364&lt;=1,
IF($N364&gt;0,1/$N364,0),
IF(EM$44=1,0,VDB(1,0,$N364,INT(EM$44-1-1),MIN($N364,INT(EM$44-1-1)+1),$DC364,IF($DD364="No",1,0))/
IF(DT364&gt;=INT($N364),$N364-INT($N364),1)))*
IF(EM$44=1,0,
IF(INT(DU364)=INT(DT364),DU364-DT364,INT(DU364)-DT364))+
IF($N364&lt;=1,
IF($N364&gt;0,1/$N364,0),VDB(1,0,$N364,INT(EM$44-1),MIN($N364,INT(EM$44-1)+1),$DC364,IF($DD364="No",1,0))/
IF(DU364&gt;INT($N364),$N364-INT($N364),1))*
IF(EM$44=1,DU364,
IF(INT(DU364)=INT(DT364),0,DU364-INT(DU364)))))</f>
        <v>0</v>
      </c>
      <c r="EN364" s="833"/>
      <c r="EO364" s="834">
        <f>+IF(OR(DW364=DV364,EO$44=1),0,
IF(AND(EO$44&gt;1,DW364=$N364),1-SUM($EN364:EN364),
IF($N364&lt;=1,
IF($N364&gt;0,1/$N364,0),
IF(EO$44=2,0,VDB(1,0,$N364,INT(EO$44-2-1),MIN($N364,INT(EO$44-2-1)+1),$DC364,IF($DD364="No",1,0))/
IF(DV364&gt;=INT($N364),$N364-INT($N364),1)))*
IF(EO$44=2,0,
IF(INT(DW364)=INT(DV364),DW364-DV364,INT(DW364)-DV364))+
IF($N364&lt;=1,
IF($N364&gt;0,1/$N364,0),VDB(1,0,$N364,INT(EO$44-2),MIN($N364,INT(EO$44-2)+1),$DC364,IF($DD364="No",1,0))/
IF(DW364&gt;INT($N364),$N364-INT($N364),1))*
IF(EO$44=2,DW364,
IF(INT(DW364)=INT(DV364),0,DW364-INT(DW364)))))</f>
        <v>0</v>
      </c>
      <c r="EP364" s="835">
        <f>+IF(OR(DX364=DW364,EP$44=1),0,
IF(AND(EP$44&gt;1,DX364=$N364),1-SUM($EN364:EO364),
IF($N364&lt;=1,
IF($N364&gt;0,1/$N364,0),
IF(EP$44=2,0,VDB(1,0,$N364,INT(EP$44-2-1),MIN($N364,INT(EP$44-2-1)+1),$DC364,IF($DD364="No",1,0))/
IF(DW364&gt;=INT($N364),$N364-INT($N364),1)))*
IF(EP$44=2,0,
IF(INT(DX364)=INT(DW364),DX364-DW364,INT(DX364)-DW364))+
IF($N364&lt;=1,
IF($N364&gt;0,1/$N364,0),VDB(1,0,$N364,INT(EP$44-2),MIN($N364,INT(EP$44-2)+1),$DC364,IF($DD364="No",1,0))/
IF(DX364&gt;INT($N364),$N364-INT($N364),1))*
IF(EP$44=2,DX364,
IF(INT(DX364)=INT(DW364),0,DX364-INT(DX364)))))</f>
        <v>0</v>
      </c>
      <c r="EQ364" s="836">
        <f>+IF(OR(DY364=DX364,EQ$44=1),0,
IF(AND(EQ$44&gt;1,DY364=$N364),1-SUM($EN364:EP364),
IF($N364&lt;=1,
IF($N364&gt;0,1/$N364,0),
IF(EQ$44=2,0,VDB(1,0,$N364,INT(EQ$44-2-1),MIN($N364,INT(EQ$44-2-1)+1),$DC364,IF($DD364="No",1,0))/
IF(DX364&gt;=INT($N364),$N364-INT($N364),1)))*
IF(EQ$44=2,0,
IF(INT(DY364)=INT(DX364),DY364-DX364,INT(DY364)-DX364))+
IF($N364&lt;=1,
IF($N364&gt;0,1/$N364,0),VDB(1,0,$N364,INT(EQ$44-2),MIN($N364,INT(EQ$44-2)+1),$DC364,IF($DD364="No",1,0))/
IF(DY364&gt;INT($N364),$N364-INT($N364),1))*
IF(EQ$44=2,DY364,
IF(INT(DY364)=INT(DX364),0,DY364-INT(DY364)))))</f>
        <v>0</v>
      </c>
      <c r="ER364" s="834">
        <f>+IF(OR(DZ364=DY364,ER$44=1),0,
IF(AND(ER$44&gt;1,DZ364=$N364),1-SUM($EN364:EQ364),
IF($N364&lt;=1,
IF($N364&gt;0,1/$N364,0),
IF(ER$44=2,0,VDB(1,0,$N364,INT(ER$44-2-1),MIN($N364,INT(ER$44-2-1)+1),$DC364,IF($DD364="No",1,0))/
IF(DY364&gt;=INT($N364),$N364-INT($N364),1)))*
IF(ER$44=2,0,
IF(INT(DZ364)=INT(DY364),DZ364-DY364,INT(DZ364)-DY364))+
IF($N364&lt;=1,
IF($N364&gt;0,1/$N364,0),VDB(1,0,$N364,INT(ER$44-2),MIN($N364,INT(ER$44-2)+1),$DC364,IF($DD364="No",1,0))/
IF(DZ364&gt;INT($N364),$N364-INT($N364),1))*
IF(ER$44=2,DZ364,
IF(INT(DZ364)=INT(DY364),0,DZ364-INT(DZ364)))))</f>
        <v>0</v>
      </c>
      <c r="ES364" s="835">
        <f>+IF(OR(EA364=DZ364,ES$44=1),0,
IF(AND(ES$44&gt;1,EA364=$N364),1-SUM($EN364:ER364),
IF($N364&lt;=1,
IF($N364&gt;0,1/$N364,0),
IF(ES$44=2,0,VDB(1,0,$N364,INT(ES$44-2-1),MIN($N364,INT(ES$44-2-1)+1),$DC364,IF($DD364="No",1,0))/
IF(DZ364&gt;=INT($N364),$N364-INT($N364),1)))*
IF(ES$44=2,0,
IF(INT(EA364)=INT(DZ364),EA364-DZ364,INT(EA364)-DZ364))+
IF($N364&lt;=1,
IF($N364&gt;0,1/$N364,0),VDB(1,0,$N364,INT(ES$44-2),MIN($N364,INT(ES$44-2)+1),$DC364,IF($DD364="No",1,0))/
IF(EA364&gt;INT($N364),$N364-INT($N364),1))*
IF(ES$44=2,EA364,
IF(INT(EA364)=INT(DZ364),0,EA364-INT(EA364)))))</f>
        <v>0</v>
      </c>
      <c r="ET364" s="835">
        <f>+IF(OR(EB364=EA364,ET$44=1),0,
IF(AND(ET$44&gt;1,EB364=$N364),1-SUM($EN364:ES364),
IF($N364&lt;=1,
IF($N364&gt;0,1/$N364,0),
IF(ET$44=2,0,VDB(1,0,$N364,INT(ET$44-2-1),MIN($N364,INT(ET$44-2-1)+1),$DC364,IF($DD364="No",1,0))/
IF(EA364&gt;=INT($N364),$N364-INT($N364),1)))*
IF(ET$44=2,0,
IF(INT(EB364)=INT(EA364),EB364-EA364,INT(EB364)-EA364))+
IF($N364&lt;=1,
IF($N364&gt;0,1/$N364,0),VDB(1,0,$N364,INT(ET$44-2),MIN($N364,INT(ET$44-2)+1),$DC364,IF($DD364="No",1,0))/
IF(EB364&gt;INT($N364),$N364-INT($N364),1))*
IF(ET$44=2,EB364,
IF(INT(EB364)=INT(EA364),0,EB364-INT(EB364)))))</f>
        <v>0</v>
      </c>
      <c r="EU364" s="835">
        <f>+IF(OR(EC364=EB364,EU$44=1),0,
IF(AND(EU$44&gt;1,EC364=$N364),1-SUM($EN364:ET364),
IF($N364&lt;=1,
IF($N364&gt;0,1/$N364,0),
IF(EU$44=2,0,VDB(1,0,$N364,INT(EU$44-2-1),MIN($N364,INT(EU$44-2-1)+1),$DC364,IF($DD364="No",1,0))/
IF(EB364&gt;=INT($N364),$N364-INT($N364),1)))*
IF(EU$44=2,0,
IF(INT(EC364)=INT(EB364),EC364-EB364,INT(EC364)-EB364))+
IF($N364&lt;=1,
IF($N364&gt;0,1/$N364,0),VDB(1,0,$N364,INT(EU$44-2),MIN($N364,INT(EU$44-2)+1),$DC364,IF($DD364="No",1,0))/
IF(EC364&gt;INT($N364),$N364-INT($N364),1))*
IF(EU$44=2,EC364,
IF(INT(EC364)=INT(EB364),0,EC364-INT(EC364)))))</f>
        <v>0</v>
      </c>
      <c r="EV364" s="836">
        <f>+IF(OR(ED364=EC364,EV$44=1),0,
IF(AND(EV$44&gt;1,ED364=$N364),1-SUM($EN364:EU364),
IF($N364&lt;=1,
IF($N364&gt;0,1/$N364,0),
IF(EV$44=2,0,VDB(1,0,$N364,INT(EV$44-2-1),MIN($N364,INT(EV$44-2-1)+1),$DC364,IF($DD364="No",1,0))/
IF(EC364&gt;=INT($N364),$N364-INT($N364),1)))*
IF(EV$44=2,0,
IF(INT(ED364)=INT(EC364),ED364-EC364,INT(ED364)-EC364))+
IF($N364&lt;=1,
IF($N364&gt;0,1/$N364,0),VDB(1,0,$N364,INT(EV$44-2),MIN($N364,INT(EV$44-2)+1),$DC364,IF($DD364="No",1,0))/
IF(ED364&gt;INT($N364),$N364-INT($N364),1))*
IF(EV$44=2,ED364,
IF(INT(ED364)=INT(EC364),0,ED364-INT(ED364)))))</f>
        <v>0</v>
      </c>
      <c r="EW364" s="833"/>
      <c r="EX364" s="834">
        <f t="shared" ca="1" si="625"/>
        <v>0</v>
      </c>
      <c r="EY364" s="835">
        <f t="shared" ca="1" si="625"/>
        <v>0</v>
      </c>
      <c r="EZ364" s="836">
        <f t="shared" ca="1" si="625"/>
        <v>0</v>
      </c>
      <c r="FA364" s="834">
        <f t="shared" ca="1" si="625"/>
        <v>0</v>
      </c>
      <c r="FB364" s="835">
        <f t="shared" ca="1" si="625"/>
        <v>0</v>
      </c>
      <c r="FC364" s="835">
        <f t="shared" ca="1" si="625"/>
        <v>0</v>
      </c>
      <c r="FD364" s="835">
        <f t="shared" ca="1" si="625"/>
        <v>0</v>
      </c>
      <c r="FE364" s="836">
        <f t="shared" ca="1" si="625"/>
        <v>0</v>
      </c>
      <c r="FG364" s="386">
        <f t="shared" ca="1" si="617"/>
        <v>0</v>
      </c>
      <c r="FH364" s="387">
        <f t="shared" ca="1" si="618"/>
        <v>0</v>
      </c>
      <c r="FI364" s="388">
        <f t="shared" ca="1" si="619"/>
        <v>0</v>
      </c>
      <c r="FJ364" s="386">
        <f t="shared" ca="1" si="620"/>
        <v>0</v>
      </c>
      <c r="FK364" s="387">
        <f t="shared" ca="1" si="621"/>
        <v>0</v>
      </c>
      <c r="FL364" s="387">
        <f t="shared" ca="1" si="622"/>
        <v>0</v>
      </c>
      <c r="FM364" s="387">
        <f t="shared" ca="1" si="623"/>
        <v>0</v>
      </c>
      <c r="FN364" s="388">
        <f t="shared" ca="1" si="624"/>
        <v>0</v>
      </c>
      <c r="FR364" s="116"/>
    </row>
    <row r="365" spans="2:174">
      <c r="B365" s="1410">
        <f t="shared" si="556"/>
        <v>319</v>
      </c>
      <c r="C365" s="1602"/>
      <c r="D365" s="1603"/>
      <c r="E365" s="1604"/>
      <c r="F365" s="1604"/>
      <c r="G365" s="1602"/>
      <c r="H365" s="2088"/>
      <c r="I365" s="2089"/>
      <c r="J365" s="1605"/>
      <c r="K365" s="1606"/>
      <c r="L365" s="1606"/>
      <c r="M365" s="1606"/>
      <c r="N365" s="1606"/>
      <c r="O365" s="347"/>
      <c r="P365" s="347"/>
      <c r="Q365" s="1021"/>
      <c r="R365" s="1022"/>
      <c r="S365" s="1022"/>
      <c r="T365" s="1022"/>
      <c r="U365" s="1023"/>
      <c r="V365" s="1021"/>
      <c r="W365" s="1022"/>
      <c r="X365" s="1022"/>
      <c r="Y365" s="1022"/>
      <c r="Z365" s="1023"/>
      <c r="AA365" s="1024"/>
      <c r="AB365" s="1021"/>
      <c r="AC365" s="1022"/>
      <c r="AD365" s="1022"/>
      <c r="AE365" s="1022"/>
      <c r="AF365" s="1023"/>
      <c r="AG365" s="1021"/>
      <c r="AH365" s="1022"/>
      <c r="AI365" s="1022"/>
      <c r="AJ365" s="1022"/>
      <c r="AK365" s="1023"/>
      <c r="AL365" s="1024"/>
      <c r="AM365" s="1021"/>
      <c r="AN365" s="1022"/>
      <c r="AO365" s="1022"/>
      <c r="AP365" s="1022"/>
      <c r="AQ365" s="1023"/>
      <c r="AR365" s="1021"/>
      <c r="AS365" s="1022"/>
      <c r="AT365" s="1022"/>
      <c r="AU365" s="1022"/>
      <c r="AV365" s="1023"/>
      <c r="AW365" s="1025"/>
      <c r="AX365" s="1282">
        <f t="shared" si="532"/>
        <v>0</v>
      </c>
      <c r="AY365" s="387">
        <f t="shared" si="533"/>
        <v>0</v>
      </c>
      <c r="AZ365" s="387">
        <f t="shared" si="534"/>
        <v>0</v>
      </c>
      <c r="BA365" s="387">
        <f t="shared" si="535"/>
        <v>0</v>
      </c>
      <c r="BB365" s="1283">
        <f t="shared" si="536"/>
        <v>0</v>
      </c>
      <c r="BC365" s="386">
        <f t="shared" si="537"/>
        <v>0</v>
      </c>
      <c r="BD365" s="387">
        <f t="shared" si="538"/>
        <v>0</v>
      </c>
      <c r="BE365" s="1277">
        <f t="shared" ref="BE365:BG370" si="626">+X365-AI365-AT365</f>
        <v>0</v>
      </c>
      <c r="BF365" s="1277">
        <f t="shared" si="626"/>
        <v>0</v>
      </c>
      <c r="BG365" s="388">
        <f t="shared" si="626"/>
        <v>0</v>
      </c>
      <c r="BH365" s="1025"/>
      <c r="BI365" s="1282">
        <f t="shared" ca="1" si="540"/>
        <v>0</v>
      </c>
      <c r="BJ365" s="387">
        <f t="shared" ca="1" si="541"/>
        <v>0</v>
      </c>
      <c r="BK365" s="387">
        <f t="shared" ca="1" si="542"/>
        <v>0</v>
      </c>
      <c r="BL365" s="387">
        <f t="shared" ca="1" si="543"/>
        <v>0</v>
      </c>
      <c r="BM365" s="1283">
        <f t="shared" ca="1" si="544"/>
        <v>0</v>
      </c>
      <c r="BN365" s="386">
        <f t="shared" ref="BN365:BR370" ca="1" si="627">IF($L365=0,0,
IF($L365&lt;=0.5,BY365,
IF(AND($J365="straight line",$L365&lt;1.51),(BX365-((BX365/$L365)*0.5))+BY365/$L365*0.5,
IF($J365="straight line",
IF((LEFT(BN$43,4)*1)-INT($L365)&lt;LEFT($BI$43,4)*1,0,((OFFSET(BY365,0,-INT($L365+0.5),1,1))/$L365)*(IF($L365-INT($L365)&gt;0.5,$L365-0.5-INT($L365),IF($L365-INT($L365)&lt;=0.5,$L365-0.5-INT($L365)+1,0))))
+BY365/$L365*0.5
+SUM(OFFSET(BY365,0,MAX(-INT($L365+(0.5-(10^-12))),-BN$44)+1,1,MIN(INT($L365+(0.5-(10^-12))),BN$44)-1))*1/$L365,
IF($J365="Declining Balance",-$BI$42,0)))))</f>
        <v>0</v>
      </c>
      <c r="BO365" s="387">
        <f t="shared" ca="1" si="627"/>
        <v>0</v>
      </c>
      <c r="BP365" s="1277">
        <f t="shared" ca="1" si="627"/>
        <v>0</v>
      </c>
      <c r="BQ365" s="1277">
        <f t="shared" ca="1" si="627"/>
        <v>0</v>
      </c>
      <c r="BR365" s="388">
        <f t="shared" ca="1" si="627"/>
        <v>0</v>
      </c>
      <c r="BS365" s="1025"/>
      <c r="BT365" s="1282">
        <f>+IF($K365="Ongoing",AX365,IF(RIGHT($K365,2)=RIGHT(BT$43,2),SUM($AX365:AX365),0)+IF(RIGHT(BT$43,2)&gt;RIGHT($K365,2),AX365,0))</f>
        <v>0</v>
      </c>
      <c r="BU365" s="387">
        <f>+IF($K365="Ongoing",AY365,IF(RIGHT($K365,2)=RIGHT(BU$43,2),SUM($AX365:AY365),0)+IF(RIGHT(BU$43,2)&gt;RIGHT($K365,2),AY365,0))</f>
        <v>0</v>
      </c>
      <c r="BV365" s="387">
        <f>+IF($K365="Ongoing",AZ365,IF(RIGHT($K365,2)=RIGHT(BV$43,2),SUM($AX365:AZ365),0)+IF(RIGHT(BV$43,2)&gt;RIGHT($K365,2),AZ365,0))</f>
        <v>0</v>
      </c>
      <c r="BW365" s="387">
        <f>+IF($K365="Ongoing",BA365,IF(RIGHT($K365,2)=RIGHT(BW$43,2),SUM($AX365:BA365),0)+IF(RIGHT(BW$43,2)&gt;RIGHT($K365,2),BA365,0))</f>
        <v>0</v>
      </c>
      <c r="BX365" s="1283">
        <f>+IF($K365="Ongoing",BB365,IF(RIGHT($K365,2)=RIGHT(BX$43,2),SUM($AX365:BB365),0)+IF(RIGHT(BX$43,2)&gt;RIGHT($K365,2),BB365,0))</f>
        <v>0</v>
      </c>
      <c r="BY365" s="386">
        <f>+IF($K365="Ongoing",BC365,IF(RIGHT($K365,2)=RIGHT(BY$43,2),SUM($AX365:BC365),0)+IF(RIGHT(BY$43,2)&gt;RIGHT($K365,2),BC365,0))</f>
        <v>0</v>
      </c>
      <c r="BZ365" s="387">
        <f>+IF($K365="Ongoing",BD365,IF(RIGHT($K365,2)=RIGHT(BZ$43,2),SUM($AX365:BD365),0)+IF(RIGHT(BZ$43,2)&gt;RIGHT($K365,2),BD365,0))</f>
        <v>0</v>
      </c>
      <c r="CA365" s="1277">
        <f>+IF($K365="Ongoing",BE365,IF(RIGHT($K365,2)=RIGHT(CA$43,2),SUM($AX365:BE365),0)+IF(RIGHT(CA$43,2)&gt;RIGHT($K365,2),BE365,0))</f>
        <v>0</v>
      </c>
      <c r="CB365" s="1277">
        <f>+IF($K365="Ongoing",BF365,IF(RIGHT($K365,2)=RIGHT(CB$43,2),SUM($AX365:BF365),0)+IF(RIGHT(CB$43,2)&gt;RIGHT($K365,2),BF365,0))</f>
        <v>0</v>
      </c>
      <c r="CC365" s="388">
        <f>+IF($K365="Ongoing",BG365,IF(RIGHT($K365,2)=RIGHT(CC$43,2),SUM($AX365:BG365),0)+IF(RIGHT(CC$43,2)&gt;RIGHT($K365,2),BG365,0))</f>
        <v>0</v>
      </c>
      <c r="CD365" s="1025"/>
      <c r="CE365" s="1282">
        <f>+Q365*KeyAssumptionsPriceControl_FO!AF$15</f>
        <v>0</v>
      </c>
      <c r="CF365" s="387">
        <f>+R365*KeyAssumptionsPriceControl_FO!AG$15</f>
        <v>0</v>
      </c>
      <c r="CG365" s="387">
        <f>+S365*KeyAssumptionsPriceControl_FO!AH$15</f>
        <v>0</v>
      </c>
      <c r="CH365" s="387">
        <f>+T365*KeyAssumptionsPriceControl_FO!AI$15</f>
        <v>0</v>
      </c>
      <c r="CI365" s="1283">
        <f>+U365*KeyAssumptionsPriceControl_FO!AJ$15</f>
        <v>0</v>
      </c>
      <c r="CJ365" s="386">
        <f>+V365*KeyAssumptionsPriceControl_FO!AK$15</f>
        <v>0</v>
      </c>
      <c r="CK365" s="387">
        <f>+W365*KeyAssumptionsPriceControl_FO!AL$15</f>
        <v>0</v>
      </c>
      <c r="CL365" s="1277">
        <f>+X365*KeyAssumptionsPriceControl_FO!AM$15</f>
        <v>0</v>
      </c>
      <c r="CM365" s="1277">
        <f>+Y365*KeyAssumptionsPriceControl_FO!AN$15</f>
        <v>0</v>
      </c>
      <c r="CN365" s="388">
        <f>+Z365*KeyAssumptionsPriceControl_FO!AO$15</f>
        <v>0</v>
      </c>
      <c r="CO365" s="1025"/>
      <c r="CP365" s="1282">
        <f t="shared" ca="1" si="546"/>
        <v>0</v>
      </c>
      <c r="CQ365" s="387">
        <f t="shared" ca="1" si="547"/>
        <v>0</v>
      </c>
      <c r="CR365" s="387">
        <f t="shared" ca="1" si="548"/>
        <v>0</v>
      </c>
      <c r="CS365" s="387">
        <f t="shared" ref="CS365:CY370" ca="1" si="628">IF($M365="straight line",IF($N365=0,0,
IF($N365&lt;=0.5,CH365,
IF($J365="straight line",
IF((LEFT(CS$43,4)*1)-INT($N365)&lt;LEFT($CP$43,4)*1,0,((OFFSET(CH365,0,-INT($N365+0.5),1,1))/$N365)*(IF($N365-INT($N365)&gt;0.5,$N365-0.5-INT($N365),IF($N365-INT($N365)&lt;=0.5,$N365-0.5-INT($N365)+1,0))))
+CH365/$N365*0.5,
IF($J365="Declining Balance",-$CP$42,0)))),IFERROR(FJ365,0))</f>
        <v>0</v>
      </c>
      <c r="CT365" s="1283">
        <f t="shared" ca="1" si="628"/>
        <v>0</v>
      </c>
      <c r="CU365" s="386">
        <f t="shared" ca="1" si="628"/>
        <v>0</v>
      </c>
      <c r="CV365" s="387">
        <f t="shared" ca="1" si="628"/>
        <v>0</v>
      </c>
      <c r="CW365" s="1277">
        <f t="shared" ca="1" si="628"/>
        <v>0</v>
      </c>
      <c r="CX365" s="1277">
        <f t="shared" ca="1" si="628"/>
        <v>0</v>
      </c>
      <c r="CY365" s="388">
        <f t="shared" ca="1" si="628"/>
        <v>0</v>
      </c>
      <c r="CZ365" s="347"/>
      <c r="DA365" s="852"/>
      <c r="DB365" s="347"/>
      <c r="DC365" s="1012" t="s">
        <v>517</v>
      </c>
      <c r="DD365" s="841" t="s">
        <v>518</v>
      </c>
      <c r="DE365" s="386">
        <f>+IF($K365="ongoing",CE365,IF(RIGHT($K365,2)=RIGHT(DE$43,2),SUM($CD365:CE365),0)+IF(RIGHT(DE$43,2)&gt;RIGHT($K365,2),CE365,0))</f>
        <v>0</v>
      </c>
      <c r="DF365" s="387">
        <f>+IF($K365="ongoing",CF365,IF(RIGHT($K365,2)=RIGHT(DF$43,2),SUM($CD365:CF365),0)+IF(RIGHT(DF$43,2)&gt;RIGHT($K365,2),CF365,0))</f>
        <v>0</v>
      </c>
      <c r="DG365" s="388">
        <f>+IF($K365="ongoing",CG365,IF(RIGHT($K365,2)=RIGHT(DG$43,2),SUM($CD365:CG365),0)+IF(RIGHT(DG$43,2)&gt;RIGHT($K365,2),CG365,0))</f>
        <v>0</v>
      </c>
      <c r="DH365" s="386">
        <f>+IF($K365="ongoing",CH365,IF(RIGHT($K365,2)=RIGHT(DH$43,2),SUM($CD365:CH365),0)+IF(RIGHT(DH$43,2)&gt;RIGHT($K365,2),CH365,0))</f>
        <v>0</v>
      </c>
      <c r="DI365" s="387">
        <f>+IF($K365="ongoing",CI365,IF(RIGHT($K365,2)=RIGHT(DI$43,2),SUM($CD365:CI365),0)+IF(RIGHT(DI$43,2)&gt;RIGHT($K365,2),CI365,0))</f>
        <v>0</v>
      </c>
      <c r="DJ365" s="387">
        <f>+IF($K365="ongoing",CJ365,IF(RIGHT($K365,2)=RIGHT(DJ$43,2),SUM($CD365:CJ365),0)+IF(RIGHT(DJ$43,2)&gt;RIGHT($K365,2),CJ365,0))</f>
        <v>0</v>
      </c>
      <c r="DK365" s="387">
        <f>+IF($K365="ongoing",CK365,IF(RIGHT($K365,2)=RIGHT(DK$43,2),SUM($CD365:CK365),0)+IF(RIGHT(DK$43,2)&gt;RIGHT($K365,2),CK365,0))</f>
        <v>0</v>
      </c>
      <c r="DL365" s="388">
        <f>+IF($K365="ongoing",CN365,IF(RIGHT($K365,2)=RIGHT(DL$43,2),SUM($CD365:CN365),0)+IF(RIGHT(DL$43,2)&gt;RIGHT($K365,2),CN365,0))</f>
        <v>0</v>
      </c>
      <c r="DM365" s="841"/>
      <c r="DN365" s="386">
        <f t="shared" ref="DN365:DU366" si="629">+MIN(IF($N365&lt;=$DC365,MIN($N365,1),$N365),IF(DN$44=1,0.5,DM365+1))</f>
        <v>0.5</v>
      </c>
      <c r="DO365" s="387">
        <f t="shared" si="629"/>
        <v>1</v>
      </c>
      <c r="DP365" s="388">
        <f t="shared" si="629"/>
        <v>1</v>
      </c>
      <c r="DQ365" s="386">
        <f t="shared" si="629"/>
        <v>1</v>
      </c>
      <c r="DR365" s="387">
        <f t="shared" si="629"/>
        <v>1</v>
      </c>
      <c r="DS365" s="387">
        <f t="shared" si="629"/>
        <v>1</v>
      </c>
      <c r="DT365" s="387">
        <f t="shared" si="629"/>
        <v>1</v>
      </c>
      <c r="DU365" s="388">
        <f t="shared" si="629"/>
        <v>1</v>
      </c>
      <c r="DW365" s="386">
        <f t="shared" ref="DW365:ED366" si="630">+IF(DW$44=1,0,MIN(IF($N365&lt;=$DC365,MIN($N365,1),$N365),IF(DW$44=2,0.5,DV365+1)))</f>
        <v>0</v>
      </c>
      <c r="DX365" s="387">
        <f t="shared" si="630"/>
        <v>0.5</v>
      </c>
      <c r="DY365" s="388">
        <f t="shared" si="630"/>
        <v>1</v>
      </c>
      <c r="DZ365" s="386">
        <f t="shared" si="630"/>
        <v>1</v>
      </c>
      <c r="EA365" s="387">
        <f t="shared" si="630"/>
        <v>1</v>
      </c>
      <c r="EB365" s="387">
        <f t="shared" si="630"/>
        <v>1</v>
      </c>
      <c r="EC365" s="387">
        <f t="shared" si="630"/>
        <v>1</v>
      </c>
      <c r="ED365" s="388">
        <f t="shared" si="630"/>
        <v>1</v>
      </c>
      <c r="EF365" s="834">
        <f>+IF(DN365=DM365,0,
IF(AND(EF$44&gt;1,DN365=$N365),1-SUM($EE365:EE365),
IF($N365&lt;=1,
IF($N365&gt;0,1/$N365,0),
IF(EF$44=1,0,VDB(1,0,$N365,INT(EF$44-1-1),MIN($N365,INT(EF$44-1-1)+1),$DC365,IF($DD365="No",1,0))/
IF(DM365&gt;=INT($N365),$N365-INT($N365),1)))*
IF(EF$44=1,0,
IF(INT(DN365)=INT(DM365),DN365-DM365,INT(DN365)-DM365))+
IF($N365&lt;=1,
IF($N365&gt;0,1/$N365,0),VDB(1,0,$N365,INT(EF$44-1),MIN($N365,INT(EF$44-1)+1),$DC365,IF($DD365="No",1,0))/
IF(DN365&gt;INT($N365),$N365-INT($N365),1))*
IF(EF$44=1,DN365,
IF(INT(DN365)=INT(DM365),0,DN365-INT(DN365)))))</f>
        <v>0</v>
      </c>
      <c r="EG365" s="835">
        <f>+IF(DO365=DN365,0,
IF(AND(EG$44&gt;1,DO365=$N365),1-SUM($EE365:EF365),
IF($N365&lt;=1,
IF($N365&gt;0,1/$N365,0),
IF(EG$44=1,0,VDB(1,0,$N365,INT(EG$44-1-1),MIN($N365,INT(EG$44-1-1)+1),$DC365,IF($DD365="No",1,0))/
IF(DN365&gt;=INT($N365),$N365-INT($N365),1)))*
IF(EG$44=1,0,
IF(INT(DO365)=INT(DN365),DO365-DN365,INT(DO365)-DN365))+
IF($N365&lt;=1,
IF($N365&gt;0,1/$N365,0),VDB(1,0,$N365,INT(EG$44-1),MIN($N365,INT(EG$44-1)+1),$DC365,IF($DD365="No",1,0))/
IF(DO365&gt;INT($N365),$N365-INT($N365),1))*
IF(EG$44=1,DO365,
IF(INT(DO365)=INT(DN365),0,DO365-INT(DO365)))))</f>
        <v>0</v>
      </c>
      <c r="EH365" s="836">
        <f>+IF(DP365=DO365,0,
IF(AND(EH$44&gt;1,DP365=$N365),1-SUM($EE365:EG365),
IF($N365&lt;=1,
IF($N365&gt;0,1/$N365,0),
IF(EH$44=1,0,VDB(1,0,$N365,INT(EH$44-1-1),MIN($N365,INT(EH$44-1-1)+1),$DC365,IF($DD365="No",1,0))/
IF(DO365&gt;=INT($N365),$N365-INT($N365),1)))*
IF(EH$44=1,0,
IF(INT(DP365)=INT(DO365),DP365-DO365,INT(DP365)-DO365))+
IF($N365&lt;=1,
IF($N365&gt;0,1/$N365,0),VDB(1,0,$N365,INT(EH$44-1),MIN($N365,INT(EH$44-1)+1),$DC365,IF($DD365="No",1,0))/
IF(DP365&gt;INT($N365),$N365-INT($N365),1))*
IF(EH$44=1,DP365,
IF(INT(DP365)=INT(DO365),0,DP365-INT(DP365)))))</f>
        <v>0</v>
      </c>
      <c r="EI365" s="834">
        <f>+IF(DQ365=DP365,0,
IF(AND(EI$44&gt;1,DQ365=$N365),1-SUM($EE365:EH365),
IF($N365&lt;=1,
IF($N365&gt;0,1/$N365,0),
IF(EI$44=1,0,VDB(1,0,$N365,INT(EI$44-1-1),MIN($N365,INT(EI$44-1-1)+1),$DC365,IF($DD365="No",1,0))/
IF(DP365&gt;=INT($N365),$N365-INT($N365),1)))*
IF(EI$44=1,0,
IF(INT(DQ365)=INT(DP365),DQ365-DP365,INT(DQ365)-DP365))+
IF($N365&lt;=1,
IF($N365&gt;0,1/$N365,0),VDB(1,0,$N365,INT(EI$44-1),MIN($N365,INT(EI$44-1)+1),$DC365,IF($DD365="No",1,0))/
IF(DQ365&gt;INT($N365),$N365-INT($N365),1))*
IF(EI$44=1,DQ365,
IF(INT(DQ365)=INT(DP365),0,DQ365-INT(DQ365)))))</f>
        <v>0</v>
      </c>
      <c r="EJ365" s="835">
        <f>+IF(DR365=DQ365,0,
IF(AND(EJ$44&gt;1,DR365=$N365),1-SUM($EE365:EI365),
IF($N365&lt;=1,
IF($N365&gt;0,1/$N365,0),
IF(EJ$44=1,0,VDB(1,0,$N365,INT(EJ$44-1-1),MIN($N365,INT(EJ$44-1-1)+1),$DC365,IF($DD365="No",1,0))/
IF(DQ365&gt;=INT($N365),$N365-INT($N365),1)))*
IF(EJ$44=1,0,
IF(INT(DR365)=INT(DQ365),DR365-DQ365,INT(DR365)-DQ365))+
IF($N365&lt;=1,
IF($N365&gt;0,1/$N365,0),VDB(1,0,$N365,INT(EJ$44-1),MIN($N365,INT(EJ$44-1)+1),$DC365,IF($DD365="No",1,0))/
IF(DR365&gt;INT($N365),$N365-INT($N365),1))*
IF(EJ$44=1,DR365,
IF(INT(DR365)=INT(DQ365),0,DR365-INT(DR365)))))</f>
        <v>0</v>
      </c>
      <c r="EK365" s="835">
        <f>+IF(DS365=DR365,0,
IF(AND(EK$44&gt;1,DS365=$N365),1-SUM($EE365:EJ365),
IF($N365&lt;=1,
IF($N365&gt;0,1/$N365,0),
IF(EK$44=1,0,VDB(1,0,$N365,INT(EK$44-1-1),MIN($N365,INT(EK$44-1-1)+1),$DC365,IF($DD365="No",1,0))/
IF(DR365&gt;=INT($N365),$N365-INT($N365),1)))*
IF(EK$44=1,0,
IF(INT(DS365)=INT(DR365),DS365-DR365,INT(DS365)-DR365))+
IF($N365&lt;=1,
IF($N365&gt;0,1/$N365,0),VDB(1,0,$N365,INT(EK$44-1),MIN($N365,INT(EK$44-1)+1),$DC365,IF($DD365="No",1,0))/
IF(DS365&gt;INT($N365),$N365-INT($N365),1))*
IF(EK$44=1,DS365,
IF(INT(DS365)=INT(DR365),0,DS365-INT(DS365)))))</f>
        <v>0</v>
      </c>
      <c r="EL365" s="835">
        <f>+IF(DT365=DS365,0,
IF(AND(EL$44&gt;1,DT365=$N365),1-SUM($EE365:EK365),
IF($N365&lt;=1,
IF($N365&gt;0,1/$N365,0),
IF(EL$44=1,0,VDB(1,0,$N365,INT(EL$44-1-1),MIN($N365,INT(EL$44-1-1)+1),$DC365,IF($DD365="No",1,0))/
IF(DS365&gt;=INT($N365),$N365-INT($N365),1)))*
IF(EL$44=1,0,
IF(INT(DT365)=INT(DS365),DT365-DS365,INT(DT365)-DS365))+
IF($N365&lt;=1,
IF($N365&gt;0,1/$N365,0),VDB(1,0,$N365,INT(EL$44-1),MIN($N365,INT(EL$44-1)+1),$DC365,IF($DD365="No",1,0))/
IF(DT365&gt;INT($N365),$N365-INT($N365),1))*
IF(EL$44=1,DT365,
IF(INT(DT365)=INT(DS365),0,DT365-INT(DT365)))))</f>
        <v>0</v>
      </c>
      <c r="EM365" s="836">
        <f>+IF(DU365=DT365,0,
IF(AND(EM$44&gt;1,DU365=$N365),1-SUM($EE365:EL365),
IF($N365&lt;=1,
IF($N365&gt;0,1/$N365,0),
IF(EM$44=1,0,VDB(1,0,$N365,INT(EM$44-1-1),MIN($N365,INT(EM$44-1-1)+1),$DC365,IF($DD365="No",1,0))/
IF(DT365&gt;=INT($N365),$N365-INT($N365),1)))*
IF(EM$44=1,0,
IF(INT(DU365)=INT(DT365),DU365-DT365,INT(DU365)-DT365))+
IF($N365&lt;=1,
IF($N365&gt;0,1/$N365,0),VDB(1,0,$N365,INT(EM$44-1),MIN($N365,INT(EM$44-1)+1),$DC365,IF($DD365="No",1,0))/
IF(DU365&gt;INT($N365),$N365-INT($N365),1))*
IF(EM$44=1,DU365,
IF(INT(DU365)=INT(DT365),0,DU365-INT(DU365)))))</f>
        <v>0</v>
      </c>
      <c r="EN365" s="833"/>
      <c r="EO365" s="834">
        <f>+IF(OR(DW365=DV365,EO$44=1),0,
IF(AND(EO$44&gt;1,DW365=$N365),1-SUM($EN365:EN365),
IF($N365&lt;=1,
IF($N365&gt;0,1/$N365,0),
IF(EO$44=2,0,VDB(1,0,$N365,INT(EO$44-2-1),MIN($N365,INT(EO$44-2-1)+1),$DC365,IF($DD365="No",1,0))/
IF(DV365&gt;=INT($N365),$N365-INT($N365),1)))*
IF(EO$44=2,0,
IF(INT(DW365)=INT(DV365),DW365-DV365,INT(DW365)-DV365))+
IF($N365&lt;=1,
IF($N365&gt;0,1/$N365,0),VDB(1,0,$N365,INT(EO$44-2),MIN($N365,INT(EO$44-2)+1),$DC365,IF($DD365="No",1,0))/
IF(DW365&gt;INT($N365),$N365-INT($N365),1))*
IF(EO$44=2,DW365,
IF(INT(DW365)=INT(DV365),0,DW365-INT(DW365)))))</f>
        <v>0</v>
      </c>
      <c r="EP365" s="835">
        <f>+IF(OR(DX365=DW365,EP$44=1),0,
IF(AND(EP$44&gt;1,DX365=$N365),1-SUM($EN365:EO365),
IF($N365&lt;=1,
IF($N365&gt;0,1/$N365,0),
IF(EP$44=2,0,VDB(1,0,$N365,INT(EP$44-2-1),MIN($N365,INT(EP$44-2-1)+1),$DC365,IF($DD365="No",1,0))/
IF(DW365&gt;=INT($N365),$N365-INT($N365),1)))*
IF(EP$44=2,0,
IF(INT(DX365)=INT(DW365),DX365-DW365,INT(DX365)-DW365))+
IF($N365&lt;=1,
IF($N365&gt;0,1/$N365,0),VDB(1,0,$N365,INT(EP$44-2),MIN($N365,INT(EP$44-2)+1),$DC365,IF($DD365="No",1,0))/
IF(DX365&gt;INT($N365),$N365-INT($N365),1))*
IF(EP$44=2,DX365,
IF(INT(DX365)=INT(DW365),0,DX365-INT(DX365)))))</f>
        <v>0</v>
      </c>
      <c r="EQ365" s="836">
        <f>+IF(OR(DY365=DX365,EQ$44=1),0,
IF(AND(EQ$44&gt;1,DY365=$N365),1-SUM($EN365:EP365),
IF($N365&lt;=1,
IF($N365&gt;0,1/$N365,0),
IF(EQ$44=2,0,VDB(1,0,$N365,INT(EQ$44-2-1),MIN($N365,INT(EQ$44-2-1)+1),$DC365,IF($DD365="No",1,0))/
IF(DX365&gt;=INT($N365),$N365-INT($N365),1)))*
IF(EQ$44=2,0,
IF(INT(DY365)=INT(DX365),DY365-DX365,INT(DY365)-DX365))+
IF($N365&lt;=1,
IF($N365&gt;0,1/$N365,0),VDB(1,0,$N365,INT(EQ$44-2),MIN($N365,INT(EQ$44-2)+1),$DC365,IF($DD365="No",1,0))/
IF(DY365&gt;INT($N365),$N365-INT($N365),1))*
IF(EQ$44=2,DY365,
IF(INT(DY365)=INT(DX365),0,DY365-INT(DY365)))))</f>
        <v>0</v>
      </c>
      <c r="ER365" s="834">
        <f>+IF(OR(DZ365=DY365,ER$44=1),0,
IF(AND(ER$44&gt;1,DZ365=$N365),1-SUM($EN365:EQ365),
IF($N365&lt;=1,
IF($N365&gt;0,1/$N365,0),
IF(ER$44=2,0,VDB(1,0,$N365,INT(ER$44-2-1),MIN($N365,INT(ER$44-2-1)+1),$DC365,IF($DD365="No",1,0))/
IF(DY365&gt;=INT($N365),$N365-INT($N365),1)))*
IF(ER$44=2,0,
IF(INT(DZ365)=INT(DY365),DZ365-DY365,INT(DZ365)-DY365))+
IF($N365&lt;=1,
IF($N365&gt;0,1/$N365,0),VDB(1,0,$N365,INT(ER$44-2),MIN($N365,INT(ER$44-2)+1),$DC365,IF($DD365="No",1,0))/
IF(DZ365&gt;INT($N365),$N365-INT($N365),1))*
IF(ER$44=2,DZ365,
IF(INT(DZ365)=INT(DY365),0,DZ365-INT(DZ365)))))</f>
        <v>0</v>
      </c>
      <c r="ES365" s="835">
        <f>+IF(OR(EA365=DZ365,ES$44=1),0,
IF(AND(ES$44&gt;1,EA365=$N365),1-SUM($EN365:ER365),
IF($N365&lt;=1,
IF($N365&gt;0,1/$N365,0),
IF(ES$44=2,0,VDB(1,0,$N365,INT(ES$44-2-1),MIN($N365,INT(ES$44-2-1)+1),$DC365,IF($DD365="No",1,0))/
IF(DZ365&gt;=INT($N365),$N365-INT($N365),1)))*
IF(ES$44=2,0,
IF(INT(EA365)=INT(DZ365),EA365-DZ365,INT(EA365)-DZ365))+
IF($N365&lt;=1,
IF($N365&gt;0,1/$N365,0),VDB(1,0,$N365,INT(ES$44-2),MIN($N365,INT(ES$44-2)+1),$DC365,IF($DD365="No",1,0))/
IF(EA365&gt;INT($N365),$N365-INT($N365),1))*
IF(ES$44=2,EA365,
IF(INT(EA365)=INT(DZ365),0,EA365-INT(EA365)))))</f>
        <v>0</v>
      </c>
      <c r="ET365" s="835">
        <f>+IF(OR(EB365=EA365,ET$44=1),0,
IF(AND(ET$44&gt;1,EB365=$N365),1-SUM($EN365:ES365),
IF($N365&lt;=1,
IF($N365&gt;0,1/$N365,0),
IF(ET$44=2,0,VDB(1,0,$N365,INT(ET$44-2-1),MIN($N365,INT(ET$44-2-1)+1),$DC365,IF($DD365="No",1,0))/
IF(EA365&gt;=INT($N365),$N365-INT($N365),1)))*
IF(ET$44=2,0,
IF(INT(EB365)=INT(EA365),EB365-EA365,INT(EB365)-EA365))+
IF($N365&lt;=1,
IF($N365&gt;0,1/$N365,0),VDB(1,0,$N365,INT(ET$44-2),MIN($N365,INT(ET$44-2)+1),$DC365,IF($DD365="No",1,0))/
IF(EB365&gt;INT($N365),$N365-INT($N365),1))*
IF(ET$44=2,EB365,
IF(INT(EB365)=INT(EA365),0,EB365-INT(EB365)))))</f>
        <v>0</v>
      </c>
      <c r="EU365" s="835">
        <f>+IF(OR(EC365=EB365,EU$44=1),0,
IF(AND(EU$44&gt;1,EC365=$N365),1-SUM($EN365:ET365),
IF($N365&lt;=1,
IF($N365&gt;0,1/$N365,0),
IF(EU$44=2,0,VDB(1,0,$N365,INT(EU$44-2-1),MIN($N365,INT(EU$44-2-1)+1),$DC365,IF($DD365="No",1,0))/
IF(EB365&gt;=INT($N365),$N365-INT($N365),1)))*
IF(EU$44=2,0,
IF(INT(EC365)=INT(EB365),EC365-EB365,INT(EC365)-EB365))+
IF($N365&lt;=1,
IF($N365&gt;0,1/$N365,0),VDB(1,0,$N365,INT(EU$44-2),MIN($N365,INT(EU$44-2)+1),$DC365,IF($DD365="No",1,0))/
IF(EC365&gt;INT($N365),$N365-INT($N365),1))*
IF(EU$44=2,EC365,
IF(INT(EC365)=INT(EB365),0,EC365-INT(EC365)))))</f>
        <v>0</v>
      </c>
      <c r="EV365" s="836">
        <f>+IF(OR(ED365=EC365,EV$44=1),0,
IF(AND(EV$44&gt;1,ED365=$N365),1-SUM($EN365:EU365),
IF($N365&lt;=1,
IF($N365&gt;0,1/$N365,0),
IF(EV$44=2,0,VDB(1,0,$N365,INT(EV$44-2-1),MIN($N365,INT(EV$44-2-1)+1),$DC365,IF($DD365="No",1,0))/
IF(EC365&gt;=INT($N365),$N365-INT($N365),1)))*
IF(EV$44=2,0,
IF(INT(ED365)=INT(EC365),ED365-EC365,INT(ED365)-EC365))+
IF($N365&lt;=1,
IF($N365&gt;0,1/$N365,0),VDB(1,0,$N365,INT(EV$44-2),MIN($N365,INT(EV$44-2)+1),$DC365,IF($DD365="No",1,0))/
IF(ED365&gt;INT($N365),$N365-INT($N365),1))*
IF(EV$44=2,ED365,
IF(INT(ED365)=INT(EC365),0,ED365-INT(ED365)))))</f>
        <v>0</v>
      </c>
      <c r="EW365" s="833"/>
      <c r="EX365" s="834">
        <f t="shared" ca="1" si="570"/>
        <v>0</v>
      </c>
      <c r="EY365" s="835">
        <f t="shared" ca="1" si="570"/>
        <v>0</v>
      </c>
      <c r="EZ365" s="836">
        <f t="shared" ca="1" si="570"/>
        <v>0</v>
      </c>
      <c r="FA365" s="834">
        <f t="shared" ca="1" si="570"/>
        <v>0</v>
      </c>
      <c r="FB365" s="835">
        <f t="shared" ca="1" si="570"/>
        <v>0</v>
      </c>
      <c r="FC365" s="835">
        <f t="shared" ca="1" si="570"/>
        <v>0</v>
      </c>
      <c r="FD365" s="835">
        <f t="shared" ca="1" si="570"/>
        <v>0</v>
      </c>
      <c r="FE365" s="836">
        <f t="shared" ca="1" si="570"/>
        <v>0</v>
      </c>
      <c r="FG365" s="386">
        <f t="shared" ref="FG365:FN370" ca="1" si="631">-(-$DE365*(-ISBLANK($DE365)+1)*EF365-
IF(FG$44&gt;1,SUMPRODUCT(OFFSET($DF365,0,0,1,FG$44-1)*(-ISBLANK(OFFSET($DF365,0,0,1,FG$44-1))+1),OFFSET($EX365,0,MAX($FG$44:$HY$44)-FG$44,1,FG$44-1)),0))</f>
        <v>0</v>
      </c>
      <c r="FH365" s="387">
        <f t="shared" ca="1" si="631"/>
        <v>0</v>
      </c>
      <c r="FI365" s="388">
        <f t="shared" ca="1" si="631"/>
        <v>0</v>
      </c>
      <c r="FJ365" s="386">
        <f t="shared" ca="1" si="631"/>
        <v>0</v>
      </c>
      <c r="FK365" s="387">
        <f t="shared" ca="1" si="631"/>
        <v>0</v>
      </c>
      <c r="FL365" s="387">
        <f t="shared" ca="1" si="631"/>
        <v>0</v>
      </c>
      <c r="FM365" s="387">
        <f t="shared" ca="1" si="631"/>
        <v>0</v>
      </c>
      <c r="FN365" s="388">
        <f t="shared" ca="1" si="631"/>
        <v>0</v>
      </c>
      <c r="FR365" s="116"/>
    </row>
    <row r="366" spans="2:174">
      <c r="B366" s="1410">
        <f t="shared" si="556"/>
        <v>320</v>
      </c>
      <c r="C366" s="1602"/>
      <c r="D366" s="1603"/>
      <c r="E366" s="1604"/>
      <c r="F366" s="1604"/>
      <c r="G366" s="1602"/>
      <c r="H366" s="2088"/>
      <c r="I366" s="2089"/>
      <c r="J366" s="1605"/>
      <c r="K366" s="1606"/>
      <c r="L366" s="1606"/>
      <c r="M366" s="1606"/>
      <c r="N366" s="1606"/>
      <c r="O366" s="347"/>
      <c r="P366" s="347"/>
      <c r="Q366" s="1021"/>
      <c r="R366" s="1022"/>
      <c r="S366" s="1022"/>
      <c r="T366" s="1022"/>
      <c r="U366" s="1023"/>
      <c r="V366" s="1021"/>
      <c r="W366" s="1022"/>
      <c r="X366" s="1022"/>
      <c r="Y366" s="1022"/>
      <c r="Z366" s="1023"/>
      <c r="AA366" s="1024"/>
      <c r="AB366" s="1021"/>
      <c r="AC366" s="1022"/>
      <c r="AD366" s="1022"/>
      <c r="AE366" s="1022"/>
      <c r="AF366" s="1023"/>
      <c r="AG366" s="1021"/>
      <c r="AH366" s="1022"/>
      <c r="AI366" s="1022"/>
      <c r="AJ366" s="1022"/>
      <c r="AK366" s="1023"/>
      <c r="AL366" s="1024"/>
      <c r="AM366" s="1021"/>
      <c r="AN366" s="1022"/>
      <c r="AO366" s="1022"/>
      <c r="AP366" s="1022"/>
      <c r="AQ366" s="1023"/>
      <c r="AR366" s="1021"/>
      <c r="AS366" s="1022"/>
      <c r="AT366" s="1022"/>
      <c r="AU366" s="1022"/>
      <c r="AV366" s="1023"/>
      <c r="AW366" s="1025"/>
      <c r="AX366" s="1282">
        <f t="shared" si="532"/>
        <v>0</v>
      </c>
      <c r="AY366" s="387">
        <f t="shared" si="533"/>
        <v>0</v>
      </c>
      <c r="AZ366" s="387">
        <f t="shared" si="534"/>
        <v>0</v>
      </c>
      <c r="BA366" s="387">
        <f t="shared" si="535"/>
        <v>0</v>
      </c>
      <c r="BB366" s="1283">
        <f t="shared" si="536"/>
        <v>0</v>
      </c>
      <c r="BC366" s="386">
        <f t="shared" si="537"/>
        <v>0</v>
      </c>
      <c r="BD366" s="387">
        <f t="shared" si="538"/>
        <v>0</v>
      </c>
      <c r="BE366" s="1277">
        <f t="shared" si="626"/>
        <v>0</v>
      </c>
      <c r="BF366" s="1277">
        <f t="shared" si="626"/>
        <v>0</v>
      </c>
      <c r="BG366" s="388">
        <f t="shared" si="626"/>
        <v>0</v>
      </c>
      <c r="BH366" s="1025"/>
      <c r="BI366" s="1282">
        <f t="shared" ca="1" si="540"/>
        <v>0</v>
      </c>
      <c r="BJ366" s="387">
        <f t="shared" ca="1" si="541"/>
        <v>0</v>
      </c>
      <c r="BK366" s="387">
        <f t="shared" ca="1" si="542"/>
        <v>0</v>
      </c>
      <c r="BL366" s="387">
        <f t="shared" ca="1" si="543"/>
        <v>0</v>
      </c>
      <c r="BM366" s="1283">
        <f t="shared" ca="1" si="544"/>
        <v>0</v>
      </c>
      <c r="BN366" s="386">
        <f t="shared" ca="1" si="627"/>
        <v>0</v>
      </c>
      <c r="BO366" s="387">
        <f t="shared" ca="1" si="627"/>
        <v>0</v>
      </c>
      <c r="BP366" s="1277">
        <f t="shared" ca="1" si="627"/>
        <v>0</v>
      </c>
      <c r="BQ366" s="1277">
        <f t="shared" ca="1" si="627"/>
        <v>0</v>
      </c>
      <c r="BR366" s="388">
        <f t="shared" ca="1" si="627"/>
        <v>0</v>
      </c>
      <c r="BS366" s="1025"/>
      <c r="BT366" s="1282">
        <f>+IF($K366="Ongoing",AX366,IF(RIGHT($K366,2)=RIGHT(BT$43,2),SUM($AX366:AX366),0)+IF(RIGHT(BT$43,2)&gt;RIGHT($K366,2),AX366,0))</f>
        <v>0</v>
      </c>
      <c r="BU366" s="387">
        <f>+IF($K366="Ongoing",AY366,IF(RIGHT($K366,2)=RIGHT(BU$43,2),SUM($AX366:AY366),0)+IF(RIGHT(BU$43,2)&gt;RIGHT($K366,2),AY366,0))</f>
        <v>0</v>
      </c>
      <c r="BV366" s="387">
        <f>+IF($K366="Ongoing",AZ366,IF(RIGHT($K366,2)=RIGHT(BV$43,2),SUM($AX366:AZ366),0)+IF(RIGHT(BV$43,2)&gt;RIGHT($K366,2),AZ366,0))</f>
        <v>0</v>
      </c>
      <c r="BW366" s="387">
        <f>+IF($K366="Ongoing",BA366,IF(RIGHT($K366,2)=RIGHT(BW$43,2),SUM($AX366:BA366),0)+IF(RIGHT(BW$43,2)&gt;RIGHT($K366,2),BA366,0))</f>
        <v>0</v>
      </c>
      <c r="BX366" s="1283">
        <f>+IF($K366="Ongoing",BB366,IF(RIGHT($K366,2)=RIGHT(BX$43,2),SUM($AX366:BB366),0)+IF(RIGHT(BX$43,2)&gt;RIGHT($K366,2),BB366,0))</f>
        <v>0</v>
      </c>
      <c r="BY366" s="386">
        <f>+IF($K366="Ongoing",BC366,IF(RIGHT($K366,2)=RIGHT(BY$43,2),SUM($AX366:BC366),0)+IF(RIGHT(BY$43,2)&gt;RIGHT($K366,2),BC366,0))</f>
        <v>0</v>
      </c>
      <c r="BZ366" s="387">
        <f>+IF($K366="Ongoing",BD366,IF(RIGHT($K366,2)=RIGHT(BZ$43,2),SUM($AX366:BD366),0)+IF(RIGHT(BZ$43,2)&gt;RIGHT($K366,2),BD366,0))</f>
        <v>0</v>
      </c>
      <c r="CA366" s="1277">
        <f>+IF($K366="Ongoing",BE366,IF(RIGHT($K366,2)=RIGHT(CA$43,2),SUM($AX366:BE366),0)+IF(RIGHT(CA$43,2)&gt;RIGHT($K366,2),BE366,0))</f>
        <v>0</v>
      </c>
      <c r="CB366" s="1277">
        <f>+IF($K366="Ongoing",BF366,IF(RIGHT($K366,2)=RIGHT(CB$43,2),SUM($AX366:BF366),0)+IF(RIGHT(CB$43,2)&gt;RIGHT($K366,2),BF366,0))</f>
        <v>0</v>
      </c>
      <c r="CC366" s="388">
        <f>+IF($K366="Ongoing",BG366,IF(RIGHT($K366,2)=RIGHT(CC$43,2),SUM($AX366:BG366),0)+IF(RIGHT(CC$43,2)&gt;RIGHT($K366,2),BG366,0))</f>
        <v>0</v>
      </c>
      <c r="CD366" s="1025"/>
      <c r="CE366" s="1282">
        <f>+Q366*KeyAssumptionsPriceControl_FO!AF$15</f>
        <v>0</v>
      </c>
      <c r="CF366" s="387">
        <f>+R366*KeyAssumptionsPriceControl_FO!AG$15</f>
        <v>0</v>
      </c>
      <c r="CG366" s="387">
        <f>+S366*KeyAssumptionsPriceControl_FO!AH$15</f>
        <v>0</v>
      </c>
      <c r="CH366" s="387">
        <f>+T366*KeyAssumptionsPriceControl_FO!AI$15</f>
        <v>0</v>
      </c>
      <c r="CI366" s="1283">
        <f>+U366*KeyAssumptionsPriceControl_FO!AJ$15</f>
        <v>0</v>
      </c>
      <c r="CJ366" s="386">
        <f>+V366*KeyAssumptionsPriceControl_FO!AK$15</f>
        <v>0</v>
      </c>
      <c r="CK366" s="387">
        <f>+W366*KeyAssumptionsPriceControl_FO!AL$15</f>
        <v>0</v>
      </c>
      <c r="CL366" s="1277">
        <f>+X366*KeyAssumptionsPriceControl_FO!AM$15</f>
        <v>0</v>
      </c>
      <c r="CM366" s="1277">
        <f>+Y366*KeyAssumptionsPriceControl_FO!AN$15</f>
        <v>0</v>
      </c>
      <c r="CN366" s="388">
        <f>+Z366*KeyAssumptionsPriceControl_FO!AO$15</f>
        <v>0</v>
      </c>
      <c r="CO366" s="1025"/>
      <c r="CP366" s="1282">
        <f t="shared" ca="1" si="546"/>
        <v>0</v>
      </c>
      <c r="CQ366" s="387">
        <f t="shared" ca="1" si="547"/>
        <v>0</v>
      </c>
      <c r="CR366" s="387">
        <f t="shared" ca="1" si="548"/>
        <v>0</v>
      </c>
      <c r="CS366" s="387">
        <f t="shared" ca="1" si="628"/>
        <v>0</v>
      </c>
      <c r="CT366" s="1283">
        <f t="shared" ca="1" si="628"/>
        <v>0</v>
      </c>
      <c r="CU366" s="386">
        <f t="shared" ca="1" si="628"/>
        <v>0</v>
      </c>
      <c r="CV366" s="387">
        <f t="shared" ca="1" si="628"/>
        <v>0</v>
      </c>
      <c r="CW366" s="1277">
        <f t="shared" ca="1" si="628"/>
        <v>0</v>
      </c>
      <c r="CX366" s="1277">
        <f t="shared" ca="1" si="628"/>
        <v>0</v>
      </c>
      <c r="CY366" s="388">
        <f t="shared" ca="1" si="628"/>
        <v>0</v>
      </c>
      <c r="CZ366" s="347"/>
      <c r="DA366" s="852"/>
      <c r="DB366" s="347"/>
      <c r="DC366" s="1012" t="s">
        <v>517</v>
      </c>
      <c r="DD366" s="841" t="s">
        <v>518</v>
      </c>
      <c r="DE366" s="386">
        <f>+IF($K366="ongoing",CE366,IF(RIGHT($K366,2)=RIGHT(DE$43,2),SUM($CD366:CE366),0)+IF(RIGHT(DE$43,2)&gt;RIGHT($K366,2),CE366,0))</f>
        <v>0</v>
      </c>
      <c r="DF366" s="387">
        <f>+IF($K366="ongoing",CF366,IF(RIGHT($K366,2)=RIGHT(DF$43,2),SUM($CD366:CF366),0)+IF(RIGHT(DF$43,2)&gt;RIGHT($K366,2),CF366,0))</f>
        <v>0</v>
      </c>
      <c r="DG366" s="388">
        <f>+IF($K366="ongoing",CG366,IF(RIGHT($K366,2)=RIGHT(DG$43,2),SUM($CD366:CG366),0)+IF(RIGHT(DG$43,2)&gt;RIGHT($K366,2),CG366,0))</f>
        <v>0</v>
      </c>
      <c r="DH366" s="386">
        <f>+IF($K366="ongoing",CH366,IF(RIGHT($K366,2)=RIGHT(DH$43,2),SUM($CD366:CH366),0)+IF(RIGHT(DH$43,2)&gt;RIGHT($K366,2),CH366,0))</f>
        <v>0</v>
      </c>
      <c r="DI366" s="387">
        <f>+IF($K366="ongoing",CI366,IF(RIGHT($K366,2)=RIGHT(DI$43,2),SUM($CD366:CI366),0)+IF(RIGHT(DI$43,2)&gt;RIGHT($K366,2),CI366,0))</f>
        <v>0</v>
      </c>
      <c r="DJ366" s="387">
        <f>+IF($K366="ongoing",CJ366,IF(RIGHT($K366,2)=RIGHT(DJ$43,2),SUM($CD366:CJ366),0)+IF(RIGHT(DJ$43,2)&gt;RIGHT($K366,2),CJ366,0))</f>
        <v>0</v>
      </c>
      <c r="DK366" s="387">
        <f>+IF($K366="ongoing",CK366,IF(RIGHT($K366,2)=RIGHT(DK$43,2),SUM($CD366:CK366),0)+IF(RIGHT(DK$43,2)&gt;RIGHT($K366,2),CK366,0))</f>
        <v>0</v>
      </c>
      <c r="DL366" s="388">
        <f>+IF($K366="ongoing",CN366,IF(RIGHT($K366,2)=RIGHT(DL$43,2),SUM($CD366:CN366),0)+IF(RIGHT(DL$43,2)&gt;RIGHT($K366,2),CN366,0))</f>
        <v>0</v>
      </c>
      <c r="DM366" s="841"/>
      <c r="DN366" s="386">
        <f t="shared" si="629"/>
        <v>0.5</v>
      </c>
      <c r="DO366" s="387">
        <f t="shared" si="629"/>
        <v>1</v>
      </c>
      <c r="DP366" s="388">
        <f t="shared" si="629"/>
        <v>1</v>
      </c>
      <c r="DQ366" s="386">
        <f t="shared" si="629"/>
        <v>1</v>
      </c>
      <c r="DR366" s="387">
        <f t="shared" si="629"/>
        <v>1</v>
      </c>
      <c r="DS366" s="387">
        <f t="shared" si="629"/>
        <v>1</v>
      </c>
      <c r="DT366" s="387">
        <f t="shared" si="629"/>
        <v>1</v>
      </c>
      <c r="DU366" s="388">
        <f t="shared" si="629"/>
        <v>1</v>
      </c>
      <c r="DW366" s="386">
        <f t="shared" si="630"/>
        <v>0</v>
      </c>
      <c r="DX366" s="387">
        <f t="shared" si="630"/>
        <v>0.5</v>
      </c>
      <c r="DY366" s="388">
        <f t="shared" si="630"/>
        <v>1</v>
      </c>
      <c r="DZ366" s="386">
        <f t="shared" si="630"/>
        <v>1</v>
      </c>
      <c r="EA366" s="387">
        <f t="shared" si="630"/>
        <v>1</v>
      </c>
      <c r="EB366" s="387">
        <f t="shared" si="630"/>
        <v>1</v>
      </c>
      <c r="EC366" s="387">
        <f t="shared" si="630"/>
        <v>1</v>
      </c>
      <c r="ED366" s="388">
        <f t="shared" si="630"/>
        <v>1</v>
      </c>
      <c r="EF366" s="834">
        <f>+IF(DN366=DM366,0,
IF(AND(EF$44&gt;1,DN366=$N366),1-SUM($EE366:EE366),
IF($N366&lt;=1,
IF($N366&gt;0,1/$N366,0),
IF(EF$44=1,0,VDB(1,0,$N366,INT(EF$44-1-1),MIN($N366,INT(EF$44-1-1)+1),$DC366,IF($DD366="No",1,0))/
IF(DM366&gt;=INT($N366),$N366-INT($N366),1)))*
IF(EF$44=1,0,
IF(INT(DN366)=INT(DM366),DN366-DM366,INT(DN366)-DM366))+
IF($N366&lt;=1,
IF($N366&gt;0,1/$N366,0),VDB(1,0,$N366,INT(EF$44-1),MIN($N366,INT(EF$44-1)+1),$DC366,IF($DD366="No",1,0))/
IF(DN366&gt;INT($N366),$N366-INT($N366),1))*
IF(EF$44=1,DN366,
IF(INT(DN366)=INT(DM366),0,DN366-INT(DN366)))))</f>
        <v>0</v>
      </c>
      <c r="EG366" s="835">
        <f>+IF(DO366=DN366,0,
IF(AND(EG$44&gt;1,DO366=$N366),1-SUM($EE366:EF366),
IF($N366&lt;=1,
IF($N366&gt;0,1/$N366,0),
IF(EG$44=1,0,VDB(1,0,$N366,INT(EG$44-1-1),MIN($N366,INT(EG$44-1-1)+1),$DC366,IF($DD366="No",1,0))/
IF(DN366&gt;=INT($N366),$N366-INT($N366),1)))*
IF(EG$44=1,0,
IF(INT(DO366)=INT(DN366),DO366-DN366,INT(DO366)-DN366))+
IF($N366&lt;=1,
IF($N366&gt;0,1/$N366,0),VDB(1,0,$N366,INT(EG$44-1),MIN($N366,INT(EG$44-1)+1),$DC366,IF($DD366="No",1,0))/
IF(DO366&gt;INT($N366),$N366-INT($N366),1))*
IF(EG$44=1,DO366,
IF(INT(DO366)=INT(DN366),0,DO366-INT(DO366)))))</f>
        <v>0</v>
      </c>
      <c r="EH366" s="836">
        <f>+IF(DP366=DO366,0,
IF(AND(EH$44&gt;1,DP366=$N366),1-SUM($EE366:EG366),
IF($N366&lt;=1,
IF($N366&gt;0,1/$N366,0),
IF(EH$44=1,0,VDB(1,0,$N366,INT(EH$44-1-1),MIN($N366,INT(EH$44-1-1)+1),$DC366,IF($DD366="No",1,0))/
IF(DO366&gt;=INT($N366),$N366-INT($N366),1)))*
IF(EH$44=1,0,
IF(INT(DP366)=INT(DO366),DP366-DO366,INT(DP366)-DO366))+
IF($N366&lt;=1,
IF($N366&gt;0,1/$N366,0),VDB(1,0,$N366,INT(EH$44-1),MIN($N366,INT(EH$44-1)+1),$DC366,IF($DD366="No",1,0))/
IF(DP366&gt;INT($N366),$N366-INT($N366),1))*
IF(EH$44=1,DP366,
IF(INT(DP366)=INT(DO366),0,DP366-INT(DP366)))))</f>
        <v>0</v>
      </c>
      <c r="EI366" s="834">
        <f>+IF(DQ366=DP366,0,
IF(AND(EI$44&gt;1,DQ366=$N366),1-SUM($EE366:EH366),
IF($N366&lt;=1,
IF($N366&gt;0,1/$N366,0),
IF(EI$44=1,0,VDB(1,0,$N366,INT(EI$44-1-1),MIN($N366,INT(EI$44-1-1)+1),$DC366,IF($DD366="No",1,0))/
IF(DP366&gt;=INT($N366),$N366-INT($N366),1)))*
IF(EI$44=1,0,
IF(INT(DQ366)=INT(DP366),DQ366-DP366,INT(DQ366)-DP366))+
IF($N366&lt;=1,
IF($N366&gt;0,1/$N366,0),VDB(1,0,$N366,INT(EI$44-1),MIN($N366,INT(EI$44-1)+1),$DC366,IF($DD366="No",1,0))/
IF(DQ366&gt;INT($N366),$N366-INT($N366),1))*
IF(EI$44=1,DQ366,
IF(INT(DQ366)=INT(DP366),0,DQ366-INT(DQ366)))))</f>
        <v>0</v>
      </c>
      <c r="EJ366" s="835">
        <f>+IF(DR366=DQ366,0,
IF(AND(EJ$44&gt;1,DR366=$N366),1-SUM($EE366:EI366),
IF($N366&lt;=1,
IF($N366&gt;0,1/$N366,0),
IF(EJ$44=1,0,VDB(1,0,$N366,INT(EJ$44-1-1),MIN($N366,INT(EJ$44-1-1)+1),$DC366,IF($DD366="No",1,0))/
IF(DQ366&gt;=INT($N366),$N366-INT($N366),1)))*
IF(EJ$44=1,0,
IF(INT(DR366)=INT(DQ366),DR366-DQ366,INT(DR366)-DQ366))+
IF($N366&lt;=1,
IF($N366&gt;0,1/$N366,0),VDB(1,0,$N366,INT(EJ$44-1),MIN($N366,INT(EJ$44-1)+1),$DC366,IF($DD366="No",1,0))/
IF(DR366&gt;INT($N366),$N366-INT($N366),1))*
IF(EJ$44=1,DR366,
IF(INT(DR366)=INT(DQ366),0,DR366-INT(DR366)))))</f>
        <v>0</v>
      </c>
      <c r="EK366" s="835">
        <f>+IF(DS366=DR366,0,
IF(AND(EK$44&gt;1,DS366=$N366),1-SUM($EE366:EJ366),
IF($N366&lt;=1,
IF($N366&gt;0,1/$N366,0),
IF(EK$44=1,0,VDB(1,0,$N366,INT(EK$44-1-1),MIN($N366,INT(EK$44-1-1)+1),$DC366,IF($DD366="No",1,0))/
IF(DR366&gt;=INT($N366),$N366-INT($N366),1)))*
IF(EK$44=1,0,
IF(INT(DS366)=INT(DR366),DS366-DR366,INT(DS366)-DR366))+
IF($N366&lt;=1,
IF($N366&gt;0,1/$N366,0),VDB(1,0,$N366,INT(EK$44-1),MIN($N366,INT(EK$44-1)+1),$DC366,IF($DD366="No",1,0))/
IF(DS366&gt;INT($N366),$N366-INT($N366),1))*
IF(EK$44=1,DS366,
IF(INT(DS366)=INT(DR366),0,DS366-INT(DS366)))))</f>
        <v>0</v>
      </c>
      <c r="EL366" s="835">
        <f>+IF(DT366=DS366,0,
IF(AND(EL$44&gt;1,DT366=$N366),1-SUM($EE366:EK366),
IF($N366&lt;=1,
IF($N366&gt;0,1/$N366,0),
IF(EL$44=1,0,VDB(1,0,$N366,INT(EL$44-1-1),MIN($N366,INT(EL$44-1-1)+1),$DC366,IF($DD366="No",1,0))/
IF(DS366&gt;=INT($N366),$N366-INT($N366),1)))*
IF(EL$44=1,0,
IF(INT(DT366)=INT(DS366),DT366-DS366,INT(DT366)-DS366))+
IF($N366&lt;=1,
IF($N366&gt;0,1/$N366,0),VDB(1,0,$N366,INT(EL$44-1),MIN($N366,INT(EL$44-1)+1),$DC366,IF($DD366="No",1,0))/
IF(DT366&gt;INT($N366),$N366-INT($N366),1))*
IF(EL$44=1,DT366,
IF(INT(DT366)=INT(DS366),0,DT366-INT(DT366)))))</f>
        <v>0</v>
      </c>
      <c r="EM366" s="836">
        <f>+IF(DU366=DT366,0,
IF(AND(EM$44&gt;1,DU366=$N366),1-SUM($EE366:EL366),
IF($N366&lt;=1,
IF($N366&gt;0,1/$N366,0),
IF(EM$44=1,0,VDB(1,0,$N366,INT(EM$44-1-1),MIN($N366,INT(EM$44-1-1)+1),$DC366,IF($DD366="No",1,0))/
IF(DT366&gt;=INT($N366),$N366-INT($N366),1)))*
IF(EM$44=1,0,
IF(INT(DU366)=INT(DT366),DU366-DT366,INT(DU366)-DT366))+
IF($N366&lt;=1,
IF($N366&gt;0,1/$N366,0),VDB(1,0,$N366,INT(EM$44-1),MIN($N366,INT(EM$44-1)+1),$DC366,IF($DD366="No",1,0))/
IF(DU366&gt;INT($N366),$N366-INT($N366),1))*
IF(EM$44=1,DU366,
IF(INT(DU366)=INT(DT366),0,DU366-INT(DU366)))))</f>
        <v>0</v>
      </c>
      <c r="EN366" s="833"/>
      <c r="EO366" s="834">
        <f>+IF(OR(DW366=DV366,EO$44=1),0,
IF(AND(EO$44&gt;1,DW366=$N366),1-SUM($EN366:EN366),
IF($N366&lt;=1,
IF($N366&gt;0,1/$N366,0),
IF(EO$44=2,0,VDB(1,0,$N366,INT(EO$44-2-1),MIN($N366,INT(EO$44-2-1)+1),$DC366,IF($DD366="No",1,0))/
IF(DV366&gt;=INT($N366),$N366-INT($N366),1)))*
IF(EO$44=2,0,
IF(INT(DW366)=INT(DV366),DW366-DV366,INT(DW366)-DV366))+
IF($N366&lt;=1,
IF($N366&gt;0,1/$N366,0),VDB(1,0,$N366,INT(EO$44-2),MIN($N366,INT(EO$44-2)+1),$DC366,IF($DD366="No",1,0))/
IF(DW366&gt;INT($N366),$N366-INT($N366),1))*
IF(EO$44=2,DW366,
IF(INT(DW366)=INT(DV366),0,DW366-INT(DW366)))))</f>
        <v>0</v>
      </c>
      <c r="EP366" s="835">
        <f>+IF(OR(DX366=DW366,EP$44=1),0,
IF(AND(EP$44&gt;1,DX366=$N366),1-SUM($EN366:EO366),
IF($N366&lt;=1,
IF($N366&gt;0,1/$N366,0),
IF(EP$44=2,0,VDB(1,0,$N366,INT(EP$44-2-1),MIN($N366,INT(EP$44-2-1)+1),$DC366,IF($DD366="No",1,0))/
IF(DW366&gt;=INT($N366),$N366-INT($N366),1)))*
IF(EP$44=2,0,
IF(INT(DX366)=INT(DW366),DX366-DW366,INT(DX366)-DW366))+
IF($N366&lt;=1,
IF($N366&gt;0,1/$N366,0),VDB(1,0,$N366,INT(EP$44-2),MIN($N366,INT(EP$44-2)+1),$DC366,IF($DD366="No",1,0))/
IF(DX366&gt;INT($N366),$N366-INT($N366),1))*
IF(EP$44=2,DX366,
IF(INT(DX366)=INT(DW366),0,DX366-INT(DX366)))))</f>
        <v>0</v>
      </c>
      <c r="EQ366" s="836">
        <f>+IF(OR(DY366=DX366,EQ$44=1),0,
IF(AND(EQ$44&gt;1,DY366=$N366),1-SUM($EN366:EP366),
IF($N366&lt;=1,
IF($N366&gt;0,1/$N366,0),
IF(EQ$44=2,0,VDB(1,0,$N366,INT(EQ$44-2-1),MIN($N366,INT(EQ$44-2-1)+1),$DC366,IF($DD366="No",1,0))/
IF(DX366&gt;=INT($N366),$N366-INT($N366),1)))*
IF(EQ$44=2,0,
IF(INT(DY366)=INT(DX366),DY366-DX366,INT(DY366)-DX366))+
IF($N366&lt;=1,
IF($N366&gt;0,1/$N366,0),VDB(1,0,$N366,INT(EQ$44-2),MIN($N366,INT(EQ$44-2)+1),$DC366,IF($DD366="No",1,0))/
IF(DY366&gt;INT($N366),$N366-INT($N366),1))*
IF(EQ$44=2,DY366,
IF(INT(DY366)=INT(DX366),0,DY366-INT(DY366)))))</f>
        <v>0</v>
      </c>
      <c r="ER366" s="834">
        <f>+IF(OR(DZ366=DY366,ER$44=1),0,
IF(AND(ER$44&gt;1,DZ366=$N366),1-SUM($EN366:EQ366),
IF($N366&lt;=1,
IF($N366&gt;0,1/$N366,0),
IF(ER$44=2,0,VDB(1,0,$N366,INT(ER$44-2-1),MIN($N366,INT(ER$44-2-1)+1),$DC366,IF($DD366="No",1,0))/
IF(DY366&gt;=INT($N366),$N366-INT($N366),1)))*
IF(ER$44=2,0,
IF(INT(DZ366)=INT(DY366),DZ366-DY366,INT(DZ366)-DY366))+
IF($N366&lt;=1,
IF($N366&gt;0,1/$N366,0),VDB(1,0,$N366,INT(ER$44-2),MIN($N366,INT(ER$44-2)+1),$DC366,IF($DD366="No",1,0))/
IF(DZ366&gt;INT($N366),$N366-INT($N366),1))*
IF(ER$44=2,DZ366,
IF(INT(DZ366)=INT(DY366),0,DZ366-INT(DZ366)))))</f>
        <v>0</v>
      </c>
      <c r="ES366" s="835">
        <f>+IF(OR(EA366=DZ366,ES$44=1),0,
IF(AND(ES$44&gt;1,EA366=$N366),1-SUM($EN366:ER366),
IF($N366&lt;=1,
IF($N366&gt;0,1/$N366,0),
IF(ES$44=2,0,VDB(1,0,$N366,INT(ES$44-2-1),MIN($N366,INT(ES$44-2-1)+1),$DC366,IF($DD366="No",1,0))/
IF(DZ366&gt;=INT($N366),$N366-INT($N366),1)))*
IF(ES$44=2,0,
IF(INT(EA366)=INT(DZ366),EA366-DZ366,INT(EA366)-DZ366))+
IF($N366&lt;=1,
IF($N366&gt;0,1/$N366,0),VDB(1,0,$N366,INT(ES$44-2),MIN($N366,INT(ES$44-2)+1),$DC366,IF($DD366="No",1,0))/
IF(EA366&gt;INT($N366),$N366-INT($N366),1))*
IF(ES$44=2,EA366,
IF(INT(EA366)=INT(DZ366),0,EA366-INT(EA366)))))</f>
        <v>0</v>
      </c>
      <c r="ET366" s="835">
        <f>+IF(OR(EB366=EA366,ET$44=1),0,
IF(AND(ET$44&gt;1,EB366=$N366),1-SUM($EN366:ES366),
IF($N366&lt;=1,
IF($N366&gt;0,1/$N366,0),
IF(ET$44=2,0,VDB(1,0,$N366,INT(ET$44-2-1),MIN($N366,INT(ET$44-2-1)+1),$DC366,IF($DD366="No",1,0))/
IF(EA366&gt;=INT($N366),$N366-INT($N366),1)))*
IF(ET$44=2,0,
IF(INT(EB366)=INT(EA366),EB366-EA366,INT(EB366)-EA366))+
IF($N366&lt;=1,
IF($N366&gt;0,1/$N366,0),VDB(1,0,$N366,INT(ET$44-2),MIN($N366,INT(ET$44-2)+1),$DC366,IF($DD366="No",1,0))/
IF(EB366&gt;INT($N366),$N366-INT($N366),1))*
IF(ET$44=2,EB366,
IF(INT(EB366)=INT(EA366),0,EB366-INT(EB366)))))</f>
        <v>0</v>
      </c>
      <c r="EU366" s="835">
        <f>+IF(OR(EC366=EB366,EU$44=1),0,
IF(AND(EU$44&gt;1,EC366=$N366),1-SUM($EN366:ET366),
IF($N366&lt;=1,
IF($N366&gt;0,1/$N366,0),
IF(EU$44=2,0,VDB(1,0,$N366,INT(EU$44-2-1),MIN($N366,INT(EU$44-2-1)+1),$DC366,IF($DD366="No",1,0))/
IF(EB366&gt;=INT($N366),$N366-INT($N366),1)))*
IF(EU$44=2,0,
IF(INT(EC366)=INT(EB366),EC366-EB366,INT(EC366)-EB366))+
IF($N366&lt;=1,
IF($N366&gt;0,1/$N366,0),VDB(1,0,$N366,INT(EU$44-2),MIN($N366,INT(EU$44-2)+1),$DC366,IF($DD366="No",1,0))/
IF(EC366&gt;INT($N366),$N366-INT($N366),1))*
IF(EU$44=2,EC366,
IF(INT(EC366)=INT(EB366),0,EC366-INT(EC366)))))</f>
        <v>0</v>
      </c>
      <c r="EV366" s="836">
        <f>+IF(OR(ED366=EC366,EV$44=1),0,
IF(AND(EV$44&gt;1,ED366=$N366),1-SUM($EN366:EU366),
IF($N366&lt;=1,
IF($N366&gt;0,1/$N366,0),
IF(EV$44=2,0,VDB(1,0,$N366,INT(EV$44-2-1),MIN($N366,INT(EV$44-2-1)+1),$DC366,IF($DD366="No",1,0))/
IF(EC366&gt;=INT($N366),$N366-INT($N366),1)))*
IF(EV$44=2,0,
IF(INT(ED366)=INT(EC366),ED366-EC366,INT(ED366)-EC366))+
IF($N366&lt;=1,
IF($N366&gt;0,1/$N366,0),VDB(1,0,$N366,INT(EV$44-2),MIN($N366,INT(EV$44-2)+1),$DC366,IF($DD366="No",1,0))/
IF(ED366&gt;INT($N366),$N366-INT($N366),1))*
IF(EV$44=2,ED366,
IF(INT(ED366)=INT(EC366),0,ED366-INT(ED366)))))</f>
        <v>0</v>
      </c>
      <c r="EW366" s="833"/>
      <c r="EX366" s="834">
        <f t="shared" ca="1" si="570"/>
        <v>0</v>
      </c>
      <c r="EY366" s="835">
        <f t="shared" ca="1" si="570"/>
        <v>0</v>
      </c>
      <c r="EZ366" s="836">
        <f t="shared" ca="1" si="570"/>
        <v>0</v>
      </c>
      <c r="FA366" s="834">
        <f t="shared" ca="1" si="570"/>
        <v>0</v>
      </c>
      <c r="FB366" s="835">
        <f t="shared" ca="1" si="570"/>
        <v>0</v>
      </c>
      <c r="FC366" s="835">
        <f t="shared" ca="1" si="570"/>
        <v>0</v>
      </c>
      <c r="FD366" s="835">
        <f t="shared" ca="1" si="570"/>
        <v>0</v>
      </c>
      <c r="FE366" s="836">
        <f t="shared" ca="1" si="570"/>
        <v>0</v>
      </c>
      <c r="FG366" s="386">
        <f t="shared" ca="1" si="631"/>
        <v>0</v>
      </c>
      <c r="FH366" s="387">
        <f t="shared" ca="1" si="631"/>
        <v>0</v>
      </c>
      <c r="FI366" s="388">
        <f t="shared" ca="1" si="631"/>
        <v>0</v>
      </c>
      <c r="FJ366" s="386">
        <f t="shared" ca="1" si="631"/>
        <v>0</v>
      </c>
      <c r="FK366" s="387">
        <f t="shared" ca="1" si="631"/>
        <v>0</v>
      </c>
      <c r="FL366" s="387">
        <f t="shared" ca="1" si="631"/>
        <v>0</v>
      </c>
      <c r="FM366" s="387">
        <f t="shared" ca="1" si="631"/>
        <v>0</v>
      </c>
      <c r="FN366" s="388">
        <f t="shared" ca="1" si="631"/>
        <v>0</v>
      </c>
      <c r="FR366" s="116"/>
    </row>
    <row r="367" spans="2:174">
      <c r="B367" s="1410">
        <f t="shared" si="556"/>
        <v>321</v>
      </c>
      <c r="C367" s="400"/>
      <c r="D367" s="410"/>
      <c r="E367" s="402"/>
      <c r="F367" s="402"/>
      <c r="G367" s="400"/>
      <c r="H367" s="2088"/>
      <c r="I367" s="2089"/>
      <c r="J367" s="411"/>
      <c r="K367" s="403"/>
      <c r="L367" s="403"/>
      <c r="M367" s="403"/>
      <c r="N367" s="403"/>
      <c r="O367" s="347"/>
      <c r="P367" s="347"/>
      <c r="Q367" s="1021"/>
      <c r="R367" s="1022"/>
      <c r="S367" s="1022"/>
      <c r="T367" s="1022"/>
      <c r="U367" s="1023"/>
      <c r="V367" s="1021"/>
      <c r="W367" s="1022"/>
      <c r="X367" s="1022"/>
      <c r="Y367" s="1022"/>
      <c r="Z367" s="1023"/>
      <c r="AA367" s="1024"/>
      <c r="AB367" s="1021"/>
      <c r="AC367" s="1022"/>
      <c r="AD367" s="1022"/>
      <c r="AE367" s="1022"/>
      <c r="AF367" s="1023"/>
      <c r="AG367" s="1021"/>
      <c r="AH367" s="1022"/>
      <c r="AI367" s="1022"/>
      <c r="AJ367" s="1022"/>
      <c r="AK367" s="1023"/>
      <c r="AL367" s="1024"/>
      <c r="AM367" s="1021"/>
      <c r="AN367" s="1022"/>
      <c r="AO367" s="1022"/>
      <c r="AP367" s="1022"/>
      <c r="AQ367" s="1023"/>
      <c r="AR367" s="1021"/>
      <c r="AS367" s="1022"/>
      <c r="AT367" s="1022"/>
      <c r="AU367" s="1022"/>
      <c r="AV367" s="1023"/>
      <c r="AW367" s="1025"/>
      <c r="AX367" s="1282">
        <f t="shared" si="532"/>
        <v>0</v>
      </c>
      <c r="AY367" s="387">
        <f t="shared" si="533"/>
        <v>0</v>
      </c>
      <c r="AZ367" s="387">
        <f t="shared" si="534"/>
        <v>0</v>
      </c>
      <c r="BA367" s="387">
        <f t="shared" si="535"/>
        <v>0</v>
      </c>
      <c r="BB367" s="1283">
        <f t="shared" si="536"/>
        <v>0</v>
      </c>
      <c r="BC367" s="386">
        <f t="shared" si="537"/>
        <v>0</v>
      </c>
      <c r="BD367" s="387">
        <f t="shared" si="538"/>
        <v>0</v>
      </c>
      <c r="BE367" s="1277">
        <f t="shared" si="626"/>
        <v>0</v>
      </c>
      <c r="BF367" s="1277">
        <f t="shared" si="626"/>
        <v>0</v>
      </c>
      <c r="BG367" s="388">
        <f t="shared" si="626"/>
        <v>0</v>
      </c>
      <c r="BH367" s="1025"/>
      <c r="BI367" s="1282">
        <f t="shared" ca="1" si="540"/>
        <v>0</v>
      </c>
      <c r="BJ367" s="387">
        <f t="shared" ca="1" si="541"/>
        <v>0</v>
      </c>
      <c r="BK367" s="387">
        <f t="shared" ca="1" si="542"/>
        <v>0</v>
      </c>
      <c r="BL367" s="387">
        <f t="shared" ca="1" si="543"/>
        <v>0</v>
      </c>
      <c r="BM367" s="1283">
        <f t="shared" ca="1" si="544"/>
        <v>0</v>
      </c>
      <c r="BN367" s="386">
        <f t="shared" ca="1" si="627"/>
        <v>0</v>
      </c>
      <c r="BO367" s="387">
        <f t="shared" ca="1" si="627"/>
        <v>0</v>
      </c>
      <c r="BP367" s="1277">
        <f t="shared" ca="1" si="627"/>
        <v>0</v>
      </c>
      <c r="BQ367" s="1277">
        <f t="shared" ca="1" si="627"/>
        <v>0</v>
      </c>
      <c r="BR367" s="388">
        <f t="shared" ca="1" si="627"/>
        <v>0</v>
      </c>
      <c r="BS367" s="1025"/>
      <c r="BT367" s="1282">
        <f>+IF($K367="Ongoing",AX367,IF(RIGHT($K367,2)=RIGHT(BT$43,2),SUM($AX367:AX367),0)+IF(RIGHT(BT$43,2)&gt;RIGHT($K367,2),AX367,0))</f>
        <v>0</v>
      </c>
      <c r="BU367" s="387">
        <f>+IF($K367="Ongoing",AY367,IF(RIGHT($K367,2)=RIGHT(BU$43,2),SUM($AX367:AY367),0)+IF(RIGHT(BU$43,2)&gt;RIGHT($K367,2),AY367,0))</f>
        <v>0</v>
      </c>
      <c r="BV367" s="387">
        <f>+IF($K367="Ongoing",AZ367,IF(RIGHT($K367,2)=RIGHT(BV$43,2),SUM($AX367:AZ367),0)+IF(RIGHT(BV$43,2)&gt;RIGHT($K367,2),AZ367,0))</f>
        <v>0</v>
      </c>
      <c r="BW367" s="387">
        <f>+IF($K367="Ongoing",BA367,IF(RIGHT($K367,2)=RIGHT(BW$43,2),SUM($AX367:BA367),0)+IF(RIGHT(BW$43,2)&gt;RIGHT($K367,2),BA367,0))</f>
        <v>0</v>
      </c>
      <c r="BX367" s="1283">
        <f>+IF($K367="Ongoing",BB367,IF(RIGHT($K367,2)=RIGHT(BX$43,2),SUM($AX367:BB367),0)+IF(RIGHT(BX$43,2)&gt;RIGHT($K367,2),BB367,0))</f>
        <v>0</v>
      </c>
      <c r="BY367" s="386">
        <f>+IF($K367="Ongoing",BC367,IF(RIGHT($K367,2)=RIGHT(BY$43,2),SUM($AX367:BC367),0)+IF(RIGHT(BY$43,2)&gt;RIGHT($K367,2),BC367,0))</f>
        <v>0</v>
      </c>
      <c r="BZ367" s="387">
        <f>+IF($K367="Ongoing",BD367,IF(RIGHT($K367,2)=RIGHT(BZ$43,2),SUM($AX367:BD367),0)+IF(RIGHT(BZ$43,2)&gt;RIGHT($K367,2),BD367,0))</f>
        <v>0</v>
      </c>
      <c r="CA367" s="1277">
        <f>+IF($K367="Ongoing",BE367,IF(RIGHT($K367,2)=RIGHT(CA$43,2),SUM($AX367:BE367),0)+IF(RIGHT(CA$43,2)&gt;RIGHT($K367,2),BE367,0))</f>
        <v>0</v>
      </c>
      <c r="CB367" s="1277">
        <f>+IF($K367="Ongoing",BF367,IF(RIGHT($K367,2)=RIGHT(CB$43,2),SUM($AX367:BF367),0)+IF(RIGHT(CB$43,2)&gt;RIGHT($K367,2),BF367,0))</f>
        <v>0</v>
      </c>
      <c r="CC367" s="388">
        <f>+IF($K367="Ongoing",BG367,IF(RIGHT($K367,2)=RIGHT(CC$43,2),SUM($AX367:BG367),0)+IF(RIGHT(CC$43,2)&gt;RIGHT($K367,2),BG367,0))</f>
        <v>0</v>
      </c>
      <c r="CD367" s="1025"/>
      <c r="CE367" s="1282">
        <f>+Q367*KeyAssumptionsPriceControl_FO!AF$15</f>
        <v>0</v>
      </c>
      <c r="CF367" s="387">
        <f>+R367*KeyAssumptionsPriceControl_FO!AG$15</f>
        <v>0</v>
      </c>
      <c r="CG367" s="387">
        <f>+S367*KeyAssumptionsPriceControl_FO!AH$15</f>
        <v>0</v>
      </c>
      <c r="CH367" s="387">
        <f>+T367*KeyAssumptionsPriceControl_FO!AI$15</f>
        <v>0</v>
      </c>
      <c r="CI367" s="1283">
        <f>+U367*KeyAssumptionsPriceControl_FO!AJ$15</f>
        <v>0</v>
      </c>
      <c r="CJ367" s="386">
        <f>+V367*KeyAssumptionsPriceControl_FO!AK$15</f>
        <v>0</v>
      </c>
      <c r="CK367" s="387">
        <f>+W367*KeyAssumptionsPriceControl_FO!AL$15</f>
        <v>0</v>
      </c>
      <c r="CL367" s="1277">
        <f>+X367*KeyAssumptionsPriceControl_FO!AM$15</f>
        <v>0</v>
      </c>
      <c r="CM367" s="1277">
        <f>+Y367*KeyAssumptionsPriceControl_FO!AN$15</f>
        <v>0</v>
      </c>
      <c r="CN367" s="388">
        <f>+Z367*KeyAssumptionsPriceControl_FO!AO$15</f>
        <v>0</v>
      </c>
      <c r="CO367" s="1025"/>
      <c r="CP367" s="1282">
        <f t="shared" ca="1" si="546"/>
        <v>0</v>
      </c>
      <c r="CQ367" s="387">
        <f t="shared" ca="1" si="547"/>
        <v>0</v>
      </c>
      <c r="CR367" s="387">
        <f t="shared" ca="1" si="548"/>
        <v>0</v>
      </c>
      <c r="CS367" s="387">
        <f t="shared" ca="1" si="628"/>
        <v>0</v>
      </c>
      <c r="CT367" s="1283">
        <f t="shared" ca="1" si="628"/>
        <v>0</v>
      </c>
      <c r="CU367" s="386">
        <f t="shared" ca="1" si="628"/>
        <v>0</v>
      </c>
      <c r="CV367" s="387">
        <f t="shared" ca="1" si="628"/>
        <v>0</v>
      </c>
      <c r="CW367" s="1277">
        <f t="shared" ca="1" si="628"/>
        <v>0</v>
      </c>
      <c r="CX367" s="1277">
        <f t="shared" ca="1" si="628"/>
        <v>0</v>
      </c>
      <c r="CY367" s="388">
        <f t="shared" ca="1" si="628"/>
        <v>0</v>
      </c>
      <c r="CZ367" s="347"/>
      <c r="DA367" s="852"/>
      <c r="DB367" s="347"/>
      <c r="DC367" s="1012" t="s">
        <v>517</v>
      </c>
      <c r="DD367" s="841" t="s">
        <v>518</v>
      </c>
      <c r="DE367" s="386">
        <f>+IF($K367="ongoing",CE367,IF(RIGHT($K367,2)=RIGHT(DE$43,2),SUM($CD367:CE367),0)+IF(RIGHT(DE$43,2)&gt;RIGHT($K367,2),CE367,0))</f>
        <v>0</v>
      </c>
      <c r="DF367" s="387">
        <f>+IF($K367="ongoing",CF367,IF(RIGHT($K367,2)=RIGHT(DF$43,2),SUM($CD367:CF367),0)+IF(RIGHT(DF$43,2)&gt;RIGHT($K367,2),CF367,0))</f>
        <v>0</v>
      </c>
      <c r="DG367" s="388">
        <f>+IF($K367="ongoing",CG367,IF(RIGHT($K367,2)=RIGHT(DG$43,2),SUM($CD367:CG367),0)+IF(RIGHT(DG$43,2)&gt;RIGHT($K367,2),CG367,0))</f>
        <v>0</v>
      </c>
      <c r="DH367" s="386">
        <f>+IF($K367="ongoing",CH367,IF(RIGHT($K367,2)=RIGHT(DH$43,2),SUM($CD367:CH367),0)+IF(RIGHT(DH$43,2)&gt;RIGHT($K367,2),CH367,0))</f>
        <v>0</v>
      </c>
      <c r="DI367" s="387">
        <f>+IF($K367="ongoing",CI367,IF(RIGHT($K367,2)=RIGHT(DI$43,2),SUM($CD367:CI367),0)+IF(RIGHT(DI$43,2)&gt;RIGHT($K367,2),CI367,0))</f>
        <v>0</v>
      </c>
      <c r="DJ367" s="387">
        <f>+IF($K367="ongoing",CJ367,IF(RIGHT($K367,2)=RIGHT(DJ$43,2),SUM($CD367:CJ367),0)+IF(RIGHT(DJ$43,2)&gt;RIGHT($K367,2),CJ367,0))</f>
        <v>0</v>
      </c>
      <c r="DK367" s="387">
        <f>+IF($K367="ongoing",CK367,IF(RIGHT($K367,2)=RIGHT(DK$43,2),SUM($CD367:CK367),0)+IF(RIGHT(DK$43,2)&gt;RIGHT($K367,2),CK367,0))</f>
        <v>0</v>
      </c>
      <c r="DL367" s="388">
        <f>+IF($K367="ongoing",CN367,IF(RIGHT($K367,2)=RIGHT(DL$43,2),SUM($CD367:CN367),0)+IF(RIGHT(DL$43,2)&gt;RIGHT($K367,2),CN367,0))</f>
        <v>0</v>
      </c>
      <c r="DM367" s="841"/>
      <c r="DN367" s="386">
        <f t="shared" ref="DN367:DU376" si="632">+MIN(IF($N367&lt;=$DC367,MIN($N367,1),$N367),IF(DN$44=1,0.5,DM367+1))</f>
        <v>0.5</v>
      </c>
      <c r="DO367" s="387">
        <f t="shared" si="632"/>
        <v>1</v>
      </c>
      <c r="DP367" s="388">
        <f t="shared" si="632"/>
        <v>1</v>
      </c>
      <c r="DQ367" s="386">
        <f t="shared" si="632"/>
        <v>1</v>
      </c>
      <c r="DR367" s="387">
        <f t="shared" si="632"/>
        <v>1</v>
      </c>
      <c r="DS367" s="387">
        <f t="shared" si="632"/>
        <v>1</v>
      </c>
      <c r="DT367" s="387">
        <f t="shared" si="632"/>
        <v>1</v>
      </c>
      <c r="DU367" s="388">
        <f t="shared" si="632"/>
        <v>1</v>
      </c>
      <c r="DW367" s="386">
        <f t="shared" ref="DW367:ED376" si="633">+IF(DW$44=1,0,MIN(IF($N367&lt;=$DC367,MIN($N367,1),$N367),IF(DW$44=2,0.5,DV367+1)))</f>
        <v>0</v>
      </c>
      <c r="DX367" s="387">
        <f t="shared" si="633"/>
        <v>0.5</v>
      </c>
      <c r="DY367" s="388">
        <f t="shared" si="633"/>
        <v>1</v>
      </c>
      <c r="DZ367" s="386">
        <f t="shared" si="633"/>
        <v>1</v>
      </c>
      <c r="EA367" s="387">
        <f t="shared" si="633"/>
        <v>1</v>
      </c>
      <c r="EB367" s="387">
        <f t="shared" si="633"/>
        <v>1</v>
      </c>
      <c r="EC367" s="387">
        <f t="shared" si="633"/>
        <v>1</v>
      </c>
      <c r="ED367" s="388">
        <f t="shared" si="633"/>
        <v>1</v>
      </c>
      <c r="EF367" s="834">
        <f>+IF(DN367=DM367,0,
IF(AND(EF$44&gt;1,DN367=$N367),1-SUM($EE367:EE367),
IF($N367&lt;=1,
IF($N367&gt;0,1/$N367,0),
IF(EF$44=1,0,VDB(1,0,$N367,INT(EF$44-1-1),MIN($N367,INT(EF$44-1-1)+1),$DC367,IF($DD367="No",1,0))/
IF(DM367&gt;=INT($N367),$N367-INT($N367),1)))*
IF(EF$44=1,0,
IF(INT(DN367)=INT(DM367),DN367-DM367,INT(DN367)-DM367))+
IF($N367&lt;=1,
IF($N367&gt;0,1/$N367,0),VDB(1,0,$N367,INT(EF$44-1),MIN($N367,INT(EF$44-1)+1),$DC367,IF($DD367="No",1,0))/
IF(DN367&gt;INT($N367),$N367-INT($N367),1))*
IF(EF$44=1,DN367,
IF(INT(DN367)=INT(DM367),0,DN367-INT(DN367)))))</f>
        <v>0</v>
      </c>
      <c r="EG367" s="835">
        <f>+IF(DO367=DN367,0,
IF(AND(EG$44&gt;1,DO367=$N367),1-SUM($EE367:EF367),
IF($N367&lt;=1,
IF($N367&gt;0,1/$N367,0),
IF(EG$44=1,0,VDB(1,0,$N367,INT(EG$44-1-1),MIN($N367,INT(EG$44-1-1)+1),$DC367,IF($DD367="No",1,0))/
IF(DN367&gt;=INT($N367),$N367-INT($N367),1)))*
IF(EG$44=1,0,
IF(INT(DO367)=INT(DN367),DO367-DN367,INT(DO367)-DN367))+
IF($N367&lt;=1,
IF($N367&gt;0,1/$N367,0),VDB(1,0,$N367,INT(EG$44-1),MIN($N367,INT(EG$44-1)+1),$DC367,IF($DD367="No",1,0))/
IF(DO367&gt;INT($N367),$N367-INT($N367),1))*
IF(EG$44=1,DO367,
IF(INT(DO367)=INT(DN367),0,DO367-INT(DO367)))))</f>
        <v>0</v>
      </c>
      <c r="EH367" s="836">
        <f>+IF(DP367=DO367,0,
IF(AND(EH$44&gt;1,DP367=$N367),1-SUM($EE367:EG367),
IF($N367&lt;=1,
IF($N367&gt;0,1/$N367,0),
IF(EH$44=1,0,VDB(1,0,$N367,INT(EH$44-1-1),MIN($N367,INT(EH$44-1-1)+1),$DC367,IF($DD367="No",1,0))/
IF(DO367&gt;=INT($N367),$N367-INT($N367),1)))*
IF(EH$44=1,0,
IF(INT(DP367)=INT(DO367),DP367-DO367,INT(DP367)-DO367))+
IF($N367&lt;=1,
IF($N367&gt;0,1/$N367,0),VDB(1,0,$N367,INT(EH$44-1),MIN($N367,INT(EH$44-1)+1),$DC367,IF($DD367="No",1,0))/
IF(DP367&gt;INT($N367),$N367-INT($N367),1))*
IF(EH$44=1,DP367,
IF(INT(DP367)=INT(DO367),0,DP367-INT(DP367)))))</f>
        <v>0</v>
      </c>
      <c r="EI367" s="834">
        <f>+IF(DQ367=DP367,0,
IF(AND(EI$44&gt;1,DQ367=$N367),1-SUM($EE367:EH367),
IF($N367&lt;=1,
IF($N367&gt;0,1/$N367,0),
IF(EI$44=1,0,VDB(1,0,$N367,INT(EI$44-1-1),MIN($N367,INT(EI$44-1-1)+1),$DC367,IF($DD367="No",1,0))/
IF(DP367&gt;=INT($N367),$N367-INT($N367),1)))*
IF(EI$44=1,0,
IF(INT(DQ367)=INT(DP367),DQ367-DP367,INT(DQ367)-DP367))+
IF($N367&lt;=1,
IF($N367&gt;0,1/$N367,0),VDB(1,0,$N367,INT(EI$44-1),MIN($N367,INT(EI$44-1)+1),$DC367,IF($DD367="No",1,0))/
IF(DQ367&gt;INT($N367),$N367-INT($N367),1))*
IF(EI$44=1,DQ367,
IF(INT(DQ367)=INT(DP367),0,DQ367-INT(DQ367)))))</f>
        <v>0</v>
      </c>
      <c r="EJ367" s="835">
        <f>+IF(DR367=DQ367,0,
IF(AND(EJ$44&gt;1,DR367=$N367),1-SUM($EE367:EI367),
IF($N367&lt;=1,
IF($N367&gt;0,1/$N367,0),
IF(EJ$44=1,0,VDB(1,0,$N367,INT(EJ$44-1-1),MIN($N367,INT(EJ$44-1-1)+1),$DC367,IF($DD367="No",1,0))/
IF(DQ367&gt;=INT($N367),$N367-INT($N367),1)))*
IF(EJ$44=1,0,
IF(INT(DR367)=INT(DQ367),DR367-DQ367,INT(DR367)-DQ367))+
IF($N367&lt;=1,
IF($N367&gt;0,1/$N367,0),VDB(1,0,$N367,INT(EJ$44-1),MIN($N367,INT(EJ$44-1)+1),$DC367,IF($DD367="No",1,0))/
IF(DR367&gt;INT($N367),$N367-INT($N367),1))*
IF(EJ$44=1,DR367,
IF(INT(DR367)=INT(DQ367),0,DR367-INT(DR367)))))</f>
        <v>0</v>
      </c>
      <c r="EK367" s="835">
        <f>+IF(DS367=DR367,0,
IF(AND(EK$44&gt;1,DS367=$N367),1-SUM($EE367:EJ367),
IF($N367&lt;=1,
IF($N367&gt;0,1/$N367,0),
IF(EK$44=1,0,VDB(1,0,$N367,INT(EK$44-1-1),MIN($N367,INT(EK$44-1-1)+1),$DC367,IF($DD367="No",1,0))/
IF(DR367&gt;=INT($N367),$N367-INT($N367),1)))*
IF(EK$44=1,0,
IF(INT(DS367)=INT(DR367),DS367-DR367,INT(DS367)-DR367))+
IF($N367&lt;=1,
IF($N367&gt;0,1/$N367,0),VDB(1,0,$N367,INT(EK$44-1),MIN($N367,INT(EK$44-1)+1),$DC367,IF($DD367="No",1,0))/
IF(DS367&gt;INT($N367),$N367-INT($N367),1))*
IF(EK$44=1,DS367,
IF(INT(DS367)=INT(DR367),0,DS367-INT(DS367)))))</f>
        <v>0</v>
      </c>
      <c r="EL367" s="835">
        <f>+IF(DT367=DS367,0,
IF(AND(EL$44&gt;1,DT367=$N367),1-SUM($EE367:EK367),
IF($N367&lt;=1,
IF($N367&gt;0,1/$N367,0),
IF(EL$44=1,0,VDB(1,0,$N367,INT(EL$44-1-1),MIN($N367,INT(EL$44-1-1)+1),$DC367,IF($DD367="No",1,0))/
IF(DS367&gt;=INT($N367),$N367-INT($N367),1)))*
IF(EL$44=1,0,
IF(INT(DT367)=INT(DS367),DT367-DS367,INT(DT367)-DS367))+
IF($N367&lt;=1,
IF($N367&gt;0,1/$N367,0),VDB(1,0,$N367,INT(EL$44-1),MIN($N367,INT(EL$44-1)+1),$DC367,IF($DD367="No",1,0))/
IF(DT367&gt;INT($N367),$N367-INT($N367),1))*
IF(EL$44=1,DT367,
IF(INT(DT367)=INT(DS367),0,DT367-INT(DT367)))))</f>
        <v>0</v>
      </c>
      <c r="EM367" s="836">
        <f>+IF(DU367=DT367,0,
IF(AND(EM$44&gt;1,DU367=$N367),1-SUM($EE367:EL367),
IF($N367&lt;=1,
IF($N367&gt;0,1/$N367,0),
IF(EM$44=1,0,VDB(1,0,$N367,INT(EM$44-1-1),MIN($N367,INT(EM$44-1-1)+1),$DC367,IF($DD367="No",1,0))/
IF(DT367&gt;=INT($N367),$N367-INT($N367),1)))*
IF(EM$44=1,0,
IF(INT(DU367)=INT(DT367),DU367-DT367,INT(DU367)-DT367))+
IF($N367&lt;=1,
IF($N367&gt;0,1/$N367,0),VDB(1,0,$N367,INT(EM$44-1),MIN($N367,INT(EM$44-1)+1),$DC367,IF($DD367="No",1,0))/
IF(DU367&gt;INT($N367),$N367-INT($N367),1))*
IF(EM$44=1,DU367,
IF(INT(DU367)=INT(DT367),0,DU367-INT(DU367)))))</f>
        <v>0</v>
      </c>
      <c r="EN367" s="833"/>
      <c r="EO367" s="834">
        <f>+IF(OR(DW367=DV367,EO$44=1),0,
IF(AND(EO$44&gt;1,DW367=$N367),1-SUM($EN367:EN367),
IF($N367&lt;=1,
IF($N367&gt;0,1/$N367,0),
IF(EO$44=2,0,VDB(1,0,$N367,INT(EO$44-2-1),MIN($N367,INT(EO$44-2-1)+1),$DC367,IF($DD367="No",1,0))/
IF(DV367&gt;=INT($N367),$N367-INT($N367),1)))*
IF(EO$44=2,0,
IF(INT(DW367)=INT(DV367),DW367-DV367,INT(DW367)-DV367))+
IF($N367&lt;=1,
IF($N367&gt;0,1/$N367,0),VDB(1,0,$N367,INT(EO$44-2),MIN($N367,INT(EO$44-2)+1),$DC367,IF($DD367="No",1,0))/
IF(DW367&gt;INT($N367),$N367-INT($N367),1))*
IF(EO$44=2,DW367,
IF(INT(DW367)=INT(DV367),0,DW367-INT(DW367)))))</f>
        <v>0</v>
      </c>
      <c r="EP367" s="835">
        <f>+IF(OR(DX367=DW367,EP$44=1),0,
IF(AND(EP$44&gt;1,DX367=$N367),1-SUM($EN367:EO367),
IF($N367&lt;=1,
IF($N367&gt;0,1/$N367,0),
IF(EP$44=2,0,VDB(1,0,$N367,INT(EP$44-2-1),MIN($N367,INT(EP$44-2-1)+1),$DC367,IF($DD367="No",1,0))/
IF(DW367&gt;=INT($N367),$N367-INT($N367),1)))*
IF(EP$44=2,0,
IF(INT(DX367)=INT(DW367),DX367-DW367,INT(DX367)-DW367))+
IF($N367&lt;=1,
IF($N367&gt;0,1/$N367,0),VDB(1,0,$N367,INT(EP$44-2),MIN($N367,INT(EP$44-2)+1),$DC367,IF($DD367="No",1,0))/
IF(DX367&gt;INT($N367),$N367-INT($N367),1))*
IF(EP$44=2,DX367,
IF(INT(DX367)=INT(DW367),0,DX367-INT(DX367)))))</f>
        <v>0</v>
      </c>
      <c r="EQ367" s="836">
        <f>+IF(OR(DY367=DX367,EQ$44=1),0,
IF(AND(EQ$44&gt;1,DY367=$N367),1-SUM($EN367:EP367),
IF($N367&lt;=1,
IF($N367&gt;0,1/$N367,0),
IF(EQ$44=2,0,VDB(1,0,$N367,INT(EQ$44-2-1),MIN($N367,INT(EQ$44-2-1)+1),$DC367,IF($DD367="No",1,0))/
IF(DX367&gt;=INT($N367),$N367-INT($N367),1)))*
IF(EQ$44=2,0,
IF(INT(DY367)=INT(DX367),DY367-DX367,INT(DY367)-DX367))+
IF($N367&lt;=1,
IF($N367&gt;0,1/$N367,0),VDB(1,0,$N367,INT(EQ$44-2),MIN($N367,INT(EQ$44-2)+1),$DC367,IF($DD367="No",1,0))/
IF(DY367&gt;INT($N367),$N367-INT($N367),1))*
IF(EQ$44=2,DY367,
IF(INT(DY367)=INT(DX367),0,DY367-INT(DY367)))))</f>
        <v>0</v>
      </c>
      <c r="ER367" s="834">
        <f>+IF(OR(DZ367=DY367,ER$44=1),0,
IF(AND(ER$44&gt;1,DZ367=$N367),1-SUM($EN367:EQ367),
IF($N367&lt;=1,
IF($N367&gt;0,1/$N367,0),
IF(ER$44=2,0,VDB(1,0,$N367,INT(ER$44-2-1),MIN($N367,INT(ER$44-2-1)+1),$DC367,IF($DD367="No",1,0))/
IF(DY367&gt;=INT($N367),$N367-INT($N367),1)))*
IF(ER$44=2,0,
IF(INT(DZ367)=INT(DY367),DZ367-DY367,INT(DZ367)-DY367))+
IF($N367&lt;=1,
IF($N367&gt;0,1/$N367,0),VDB(1,0,$N367,INT(ER$44-2),MIN($N367,INT(ER$44-2)+1),$DC367,IF($DD367="No",1,0))/
IF(DZ367&gt;INT($N367),$N367-INT($N367),1))*
IF(ER$44=2,DZ367,
IF(INT(DZ367)=INT(DY367),0,DZ367-INT(DZ367)))))</f>
        <v>0</v>
      </c>
      <c r="ES367" s="835">
        <f>+IF(OR(EA367=DZ367,ES$44=1),0,
IF(AND(ES$44&gt;1,EA367=$N367),1-SUM($EN367:ER367),
IF($N367&lt;=1,
IF($N367&gt;0,1/$N367,0),
IF(ES$44=2,0,VDB(1,0,$N367,INT(ES$44-2-1),MIN($N367,INT(ES$44-2-1)+1),$DC367,IF($DD367="No",1,0))/
IF(DZ367&gt;=INT($N367),$N367-INT($N367),1)))*
IF(ES$44=2,0,
IF(INT(EA367)=INT(DZ367),EA367-DZ367,INT(EA367)-DZ367))+
IF($N367&lt;=1,
IF($N367&gt;0,1/$N367,0),VDB(1,0,$N367,INT(ES$44-2),MIN($N367,INT(ES$44-2)+1),$DC367,IF($DD367="No",1,0))/
IF(EA367&gt;INT($N367),$N367-INT($N367),1))*
IF(ES$44=2,EA367,
IF(INT(EA367)=INT(DZ367),0,EA367-INT(EA367)))))</f>
        <v>0</v>
      </c>
      <c r="ET367" s="835">
        <f>+IF(OR(EB367=EA367,ET$44=1),0,
IF(AND(ET$44&gt;1,EB367=$N367),1-SUM($EN367:ES367),
IF($N367&lt;=1,
IF($N367&gt;0,1/$N367,0),
IF(ET$44=2,0,VDB(1,0,$N367,INT(ET$44-2-1),MIN($N367,INT(ET$44-2-1)+1),$DC367,IF($DD367="No",1,0))/
IF(EA367&gt;=INT($N367),$N367-INT($N367),1)))*
IF(ET$44=2,0,
IF(INT(EB367)=INT(EA367),EB367-EA367,INT(EB367)-EA367))+
IF($N367&lt;=1,
IF($N367&gt;0,1/$N367,0),VDB(1,0,$N367,INT(ET$44-2),MIN($N367,INT(ET$44-2)+1),$DC367,IF($DD367="No",1,0))/
IF(EB367&gt;INT($N367),$N367-INT($N367),1))*
IF(ET$44=2,EB367,
IF(INT(EB367)=INT(EA367),0,EB367-INT(EB367)))))</f>
        <v>0</v>
      </c>
      <c r="EU367" s="835">
        <f>+IF(OR(EC367=EB367,EU$44=1),0,
IF(AND(EU$44&gt;1,EC367=$N367),1-SUM($EN367:ET367),
IF($N367&lt;=1,
IF($N367&gt;0,1/$N367,0),
IF(EU$44=2,0,VDB(1,0,$N367,INT(EU$44-2-1),MIN($N367,INT(EU$44-2-1)+1),$DC367,IF($DD367="No",1,0))/
IF(EB367&gt;=INT($N367),$N367-INT($N367),1)))*
IF(EU$44=2,0,
IF(INT(EC367)=INT(EB367),EC367-EB367,INT(EC367)-EB367))+
IF($N367&lt;=1,
IF($N367&gt;0,1/$N367,0),VDB(1,0,$N367,INT(EU$44-2),MIN($N367,INT(EU$44-2)+1),$DC367,IF($DD367="No",1,0))/
IF(EC367&gt;INT($N367),$N367-INT($N367),1))*
IF(EU$44=2,EC367,
IF(INT(EC367)=INT(EB367),0,EC367-INT(EC367)))))</f>
        <v>0</v>
      </c>
      <c r="EV367" s="836">
        <f>+IF(OR(ED367=EC367,EV$44=1),0,
IF(AND(EV$44&gt;1,ED367=$N367),1-SUM($EN367:EU367),
IF($N367&lt;=1,
IF($N367&gt;0,1/$N367,0),
IF(EV$44=2,0,VDB(1,0,$N367,INT(EV$44-2-1),MIN($N367,INT(EV$44-2-1)+1),$DC367,IF($DD367="No",1,0))/
IF(EC367&gt;=INT($N367),$N367-INT($N367),1)))*
IF(EV$44=2,0,
IF(INT(ED367)=INT(EC367),ED367-EC367,INT(ED367)-EC367))+
IF($N367&lt;=1,
IF($N367&gt;0,1/$N367,0),VDB(1,0,$N367,INT(EV$44-2),MIN($N367,INT(EV$44-2)+1),$DC367,IF($DD367="No",1,0))/
IF(ED367&gt;INT($N367),$N367-INT($N367),1))*
IF(EV$44=2,ED367,
IF(INT(ED367)=INT(EC367),0,ED367-INT(ED367)))))</f>
        <v>0</v>
      </c>
      <c r="EW367" s="833"/>
      <c r="EX367" s="834">
        <f t="shared" ref="EX367:FE376" ca="1" si="634">+OFFSET($EO367,0,MAX($EX$44:$HY$44)-EX$44)</f>
        <v>0</v>
      </c>
      <c r="EY367" s="835">
        <f t="shared" ca="1" si="634"/>
        <v>0</v>
      </c>
      <c r="EZ367" s="836">
        <f t="shared" ca="1" si="634"/>
        <v>0</v>
      </c>
      <c r="FA367" s="834">
        <f t="shared" ca="1" si="634"/>
        <v>0</v>
      </c>
      <c r="FB367" s="835">
        <f t="shared" ca="1" si="634"/>
        <v>0</v>
      </c>
      <c r="FC367" s="835">
        <f t="shared" ca="1" si="634"/>
        <v>0</v>
      </c>
      <c r="FD367" s="835">
        <f t="shared" ca="1" si="634"/>
        <v>0</v>
      </c>
      <c r="FE367" s="836">
        <f t="shared" ca="1" si="634"/>
        <v>0</v>
      </c>
      <c r="FG367" s="386">
        <f t="shared" ca="1" si="631"/>
        <v>0</v>
      </c>
      <c r="FH367" s="387">
        <f t="shared" ca="1" si="631"/>
        <v>0</v>
      </c>
      <c r="FI367" s="388">
        <f t="shared" ca="1" si="631"/>
        <v>0</v>
      </c>
      <c r="FJ367" s="386">
        <f t="shared" ca="1" si="631"/>
        <v>0</v>
      </c>
      <c r="FK367" s="387">
        <f t="shared" ca="1" si="631"/>
        <v>0</v>
      </c>
      <c r="FL367" s="387">
        <f t="shared" ca="1" si="631"/>
        <v>0</v>
      </c>
      <c r="FM367" s="387">
        <f t="shared" ca="1" si="631"/>
        <v>0</v>
      </c>
      <c r="FN367" s="388">
        <f t="shared" ca="1" si="631"/>
        <v>0</v>
      </c>
      <c r="FR367" s="116"/>
    </row>
    <row r="368" spans="2:174">
      <c r="B368" s="1410">
        <f t="shared" si="556"/>
        <v>322</v>
      </c>
      <c r="C368" s="1602"/>
      <c r="D368" s="1603"/>
      <c r="E368" s="1604"/>
      <c r="F368" s="1604"/>
      <c r="G368" s="1602"/>
      <c r="H368" s="2088"/>
      <c r="I368" s="2089"/>
      <c r="J368" s="1605"/>
      <c r="K368" s="1606"/>
      <c r="L368" s="1606"/>
      <c r="M368" s="1606"/>
      <c r="N368" s="1606"/>
      <c r="O368" s="347"/>
      <c r="P368" s="347"/>
      <c r="Q368" s="1021"/>
      <c r="R368" s="1022"/>
      <c r="S368" s="1022"/>
      <c r="T368" s="1022"/>
      <c r="U368" s="1023"/>
      <c r="V368" s="1021"/>
      <c r="W368" s="1022"/>
      <c r="X368" s="1022"/>
      <c r="Y368" s="1022"/>
      <c r="Z368" s="1023"/>
      <c r="AA368" s="1024"/>
      <c r="AB368" s="1021"/>
      <c r="AC368" s="1022"/>
      <c r="AD368" s="1022"/>
      <c r="AE368" s="1022"/>
      <c r="AF368" s="1023"/>
      <c r="AG368" s="1021"/>
      <c r="AH368" s="1022"/>
      <c r="AI368" s="1022"/>
      <c r="AJ368" s="1022"/>
      <c r="AK368" s="1023"/>
      <c r="AL368" s="1024"/>
      <c r="AM368" s="1021"/>
      <c r="AN368" s="1022"/>
      <c r="AO368" s="1022"/>
      <c r="AP368" s="1022"/>
      <c r="AQ368" s="1023"/>
      <c r="AR368" s="1021"/>
      <c r="AS368" s="1022"/>
      <c r="AT368" s="1022"/>
      <c r="AU368" s="1022"/>
      <c r="AV368" s="1023"/>
      <c r="AW368" s="1025"/>
      <c r="AX368" s="1282">
        <f t="shared" si="532"/>
        <v>0</v>
      </c>
      <c r="AY368" s="387">
        <f t="shared" si="533"/>
        <v>0</v>
      </c>
      <c r="AZ368" s="387">
        <f t="shared" si="534"/>
        <v>0</v>
      </c>
      <c r="BA368" s="387">
        <f t="shared" si="535"/>
        <v>0</v>
      </c>
      <c r="BB368" s="1283">
        <f t="shared" si="536"/>
        <v>0</v>
      </c>
      <c r="BC368" s="386">
        <f t="shared" si="537"/>
        <v>0</v>
      </c>
      <c r="BD368" s="387">
        <f t="shared" si="538"/>
        <v>0</v>
      </c>
      <c r="BE368" s="1277">
        <f t="shared" si="626"/>
        <v>0</v>
      </c>
      <c r="BF368" s="1277">
        <f t="shared" si="626"/>
        <v>0</v>
      </c>
      <c r="BG368" s="388">
        <f t="shared" si="626"/>
        <v>0</v>
      </c>
      <c r="BH368" s="1025"/>
      <c r="BI368" s="1282">
        <f t="shared" ca="1" si="540"/>
        <v>0</v>
      </c>
      <c r="BJ368" s="387">
        <f t="shared" ca="1" si="541"/>
        <v>0</v>
      </c>
      <c r="BK368" s="387">
        <f t="shared" ca="1" si="542"/>
        <v>0</v>
      </c>
      <c r="BL368" s="387">
        <f t="shared" ca="1" si="543"/>
        <v>0</v>
      </c>
      <c r="BM368" s="1283">
        <f t="shared" ca="1" si="544"/>
        <v>0</v>
      </c>
      <c r="BN368" s="386">
        <f t="shared" ca="1" si="627"/>
        <v>0</v>
      </c>
      <c r="BO368" s="387">
        <f t="shared" ca="1" si="627"/>
        <v>0</v>
      </c>
      <c r="BP368" s="1277">
        <f t="shared" ca="1" si="627"/>
        <v>0</v>
      </c>
      <c r="BQ368" s="1277">
        <f t="shared" ca="1" si="627"/>
        <v>0</v>
      </c>
      <c r="BR368" s="388">
        <f t="shared" ca="1" si="627"/>
        <v>0</v>
      </c>
      <c r="BS368" s="1025"/>
      <c r="BT368" s="1282">
        <f>+IF($K368="Ongoing",AX368,IF(RIGHT($K368,2)=RIGHT(BT$43,2),SUM($AX368:AX368),0)+IF(RIGHT(BT$43,2)&gt;RIGHT($K368,2),AX368,0))</f>
        <v>0</v>
      </c>
      <c r="BU368" s="387">
        <f>+IF($K368="Ongoing",AY368,IF(RIGHT($K368,2)=RIGHT(BU$43,2),SUM($AX368:AY368),0)+IF(RIGHT(BU$43,2)&gt;RIGHT($K368,2),AY368,0))</f>
        <v>0</v>
      </c>
      <c r="BV368" s="387">
        <f>+IF($K368="Ongoing",AZ368,IF(RIGHT($K368,2)=RIGHT(BV$43,2),SUM($AX368:AZ368),0)+IF(RIGHT(BV$43,2)&gt;RIGHT($K368,2),AZ368,0))</f>
        <v>0</v>
      </c>
      <c r="BW368" s="387">
        <f>+IF($K368="Ongoing",BA368,IF(RIGHT($K368,2)=RIGHT(BW$43,2),SUM($AX368:BA368),0)+IF(RIGHT(BW$43,2)&gt;RIGHT($K368,2),BA368,0))</f>
        <v>0</v>
      </c>
      <c r="BX368" s="1283">
        <f>+IF($K368="Ongoing",BB368,IF(RIGHT($K368,2)=RIGHT(BX$43,2),SUM($AX368:BB368),0)+IF(RIGHT(BX$43,2)&gt;RIGHT($K368,2),BB368,0))</f>
        <v>0</v>
      </c>
      <c r="BY368" s="386">
        <f>+IF($K368="Ongoing",BC368,IF(RIGHT($K368,2)=RIGHT(BY$43,2),SUM($AX368:BC368),0)+IF(RIGHT(BY$43,2)&gt;RIGHT($K368,2),BC368,0))</f>
        <v>0</v>
      </c>
      <c r="BZ368" s="387">
        <f>+IF($K368="Ongoing",BD368,IF(RIGHT($K368,2)=RIGHT(BZ$43,2),SUM($AX368:BD368),0)+IF(RIGHT(BZ$43,2)&gt;RIGHT($K368,2),BD368,0))</f>
        <v>0</v>
      </c>
      <c r="CA368" s="1277">
        <f>+IF($K368="Ongoing",BE368,IF(RIGHT($K368,2)=RIGHT(CA$43,2),SUM($AX368:BE368),0)+IF(RIGHT(CA$43,2)&gt;RIGHT($K368,2),BE368,0))</f>
        <v>0</v>
      </c>
      <c r="CB368" s="1277">
        <f>+IF($K368="Ongoing",BF368,IF(RIGHT($K368,2)=RIGHT(CB$43,2),SUM($AX368:BF368),0)+IF(RIGHT(CB$43,2)&gt;RIGHT($K368,2),BF368,0))</f>
        <v>0</v>
      </c>
      <c r="CC368" s="388">
        <f>+IF($K368="Ongoing",BG368,IF(RIGHT($K368,2)=RIGHT(CC$43,2),SUM($AX368:BG368),0)+IF(RIGHT(CC$43,2)&gt;RIGHT($K368,2),BG368,0))</f>
        <v>0</v>
      </c>
      <c r="CD368" s="1025"/>
      <c r="CE368" s="1282">
        <f>+Q368*KeyAssumptionsPriceControl_FO!AF$15</f>
        <v>0</v>
      </c>
      <c r="CF368" s="387">
        <f>+R368*KeyAssumptionsPriceControl_FO!AG$15</f>
        <v>0</v>
      </c>
      <c r="CG368" s="387">
        <f>+S368*KeyAssumptionsPriceControl_FO!AH$15</f>
        <v>0</v>
      </c>
      <c r="CH368" s="387">
        <f>+T368*KeyAssumptionsPriceControl_FO!AI$15</f>
        <v>0</v>
      </c>
      <c r="CI368" s="1283">
        <f>+U368*KeyAssumptionsPriceControl_FO!AJ$15</f>
        <v>0</v>
      </c>
      <c r="CJ368" s="386">
        <f>+V368*KeyAssumptionsPriceControl_FO!AK$15</f>
        <v>0</v>
      </c>
      <c r="CK368" s="387">
        <f>+W368*KeyAssumptionsPriceControl_FO!AL$15</f>
        <v>0</v>
      </c>
      <c r="CL368" s="1277">
        <f>+X368*KeyAssumptionsPriceControl_FO!AM$15</f>
        <v>0</v>
      </c>
      <c r="CM368" s="1277">
        <f>+Y368*KeyAssumptionsPriceControl_FO!AN$15</f>
        <v>0</v>
      </c>
      <c r="CN368" s="388">
        <f>+Z368*KeyAssumptionsPriceControl_FO!AO$15</f>
        <v>0</v>
      </c>
      <c r="CO368" s="1025"/>
      <c r="CP368" s="1282">
        <f t="shared" ca="1" si="546"/>
        <v>0</v>
      </c>
      <c r="CQ368" s="387">
        <f t="shared" ca="1" si="547"/>
        <v>0</v>
      </c>
      <c r="CR368" s="387">
        <f t="shared" ca="1" si="548"/>
        <v>0</v>
      </c>
      <c r="CS368" s="387">
        <f t="shared" ca="1" si="628"/>
        <v>0</v>
      </c>
      <c r="CT368" s="1283">
        <f t="shared" ca="1" si="628"/>
        <v>0</v>
      </c>
      <c r="CU368" s="386">
        <f t="shared" ca="1" si="628"/>
        <v>0</v>
      </c>
      <c r="CV368" s="387">
        <f t="shared" ca="1" si="628"/>
        <v>0</v>
      </c>
      <c r="CW368" s="1277">
        <f t="shared" ca="1" si="628"/>
        <v>0</v>
      </c>
      <c r="CX368" s="1277">
        <f t="shared" ca="1" si="628"/>
        <v>0</v>
      </c>
      <c r="CY368" s="388">
        <f t="shared" ca="1" si="628"/>
        <v>0</v>
      </c>
      <c r="CZ368" s="347"/>
      <c r="DA368" s="852"/>
      <c r="DB368" s="347"/>
      <c r="DC368" s="1012" t="s">
        <v>517</v>
      </c>
      <c r="DD368" s="841" t="s">
        <v>518</v>
      </c>
      <c r="DE368" s="386">
        <f>+IF($K368="ongoing",CE368,IF(RIGHT($K368,2)=RIGHT(DE$43,2),SUM($CD368:CE368),0)+IF(RIGHT(DE$43,2)&gt;RIGHT($K368,2),CE368,0))</f>
        <v>0</v>
      </c>
      <c r="DF368" s="387">
        <f>+IF($K368="ongoing",CF368,IF(RIGHT($K368,2)=RIGHT(DF$43,2),SUM($CD368:CF368),0)+IF(RIGHT(DF$43,2)&gt;RIGHT($K368,2),CF368,0))</f>
        <v>0</v>
      </c>
      <c r="DG368" s="388">
        <f>+IF($K368="ongoing",CG368,IF(RIGHT($K368,2)=RIGHT(DG$43,2),SUM($CD368:CG368),0)+IF(RIGHT(DG$43,2)&gt;RIGHT($K368,2),CG368,0))</f>
        <v>0</v>
      </c>
      <c r="DH368" s="386">
        <f>+IF($K368="ongoing",CH368,IF(RIGHT($K368,2)=RIGHT(DH$43,2),SUM($CD368:CH368),0)+IF(RIGHT(DH$43,2)&gt;RIGHT($K368,2),CH368,0))</f>
        <v>0</v>
      </c>
      <c r="DI368" s="387">
        <f>+IF($K368="ongoing",CI368,IF(RIGHT($K368,2)=RIGHT(DI$43,2),SUM($CD368:CI368),0)+IF(RIGHT(DI$43,2)&gt;RIGHT($K368,2),CI368,0))</f>
        <v>0</v>
      </c>
      <c r="DJ368" s="387">
        <f>+IF($K368="ongoing",CJ368,IF(RIGHT($K368,2)=RIGHT(DJ$43,2),SUM($CD368:CJ368),0)+IF(RIGHT(DJ$43,2)&gt;RIGHT($K368,2),CJ368,0))</f>
        <v>0</v>
      </c>
      <c r="DK368" s="387">
        <f>+IF($K368="ongoing",CK368,IF(RIGHT($K368,2)=RIGHT(DK$43,2),SUM($CD368:CK368),0)+IF(RIGHT(DK$43,2)&gt;RIGHT($K368,2),CK368,0))</f>
        <v>0</v>
      </c>
      <c r="DL368" s="388">
        <f>+IF($K368="ongoing",CN368,IF(RIGHT($K368,2)=RIGHT(DL$43,2),SUM($CD368:CN368),0)+IF(RIGHT(DL$43,2)&gt;RIGHT($K368,2),CN368,0))</f>
        <v>0</v>
      </c>
      <c r="DM368" s="841"/>
      <c r="DN368" s="386">
        <f t="shared" si="632"/>
        <v>0.5</v>
      </c>
      <c r="DO368" s="387">
        <f t="shared" si="632"/>
        <v>1</v>
      </c>
      <c r="DP368" s="388">
        <f t="shared" si="632"/>
        <v>1</v>
      </c>
      <c r="DQ368" s="386">
        <f t="shared" si="632"/>
        <v>1</v>
      </c>
      <c r="DR368" s="387">
        <f t="shared" si="632"/>
        <v>1</v>
      </c>
      <c r="DS368" s="387">
        <f t="shared" si="632"/>
        <v>1</v>
      </c>
      <c r="DT368" s="387">
        <f t="shared" si="632"/>
        <v>1</v>
      </c>
      <c r="DU368" s="388">
        <f t="shared" si="632"/>
        <v>1</v>
      </c>
      <c r="DW368" s="386">
        <f t="shared" si="633"/>
        <v>0</v>
      </c>
      <c r="DX368" s="387">
        <f t="shared" si="633"/>
        <v>0.5</v>
      </c>
      <c r="DY368" s="388">
        <f t="shared" si="633"/>
        <v>1</v>
      </c>
      <c r="DZ368" s="386">
        <f t="shared" si="633"/>
        <v>1</v>
      </c>
      <c r="EA368" s="387">
        <f t="shared" si="633"/>
        <v>1</v>
      </c>
      <c r="EB368" s="387">
        <f t="shared" si="633"/>
        <v>1</v>
      </c>
      <c r="EC368" s="387">
        <f t="shared" si="633"/>
        <v>1</v>
      </c>
      <c r="ED368" s="388">
        <f t="shared" si="633"/>
        <v>1</v>
      </c>
      <c r="EF368" s="834">
        <f>+IF(DN368=DM368,0,
IF(AND(EF$44&gt;1,DN368=$N368),1-SUM($EE368:EE368),
IF($N368&lt;=1,
IF($N368&gt;0,1/$N368,0),
IF(EF$44=1,0,VDB(1,0,$N368,INT(EF$44-1-1),MIN($N368,INT(EF$44-1-1)+1),$DC368,IF($DD368="No",1,0))/
IF(DM368&gt;=INT($N368),$N368-INT($N368),1)))*
IF(EF$44=1,0,
IF(INT(DN368)=INT(DM368),DN368-DM368,INT(DN368)-DM368))+
IF($N368&lt;=1,
IF($N368&gt;0,1/$N368,0),VDB(1,0,$N368,INT(EF$44-1),MIN($N368,INT(EF$44-1)+1),$DC368,IF($DD368="No",1,0))/
IF(DN368&gt;INT($N368),$N368-INT($N368),1))*
IF(EF$44=1,DN368,
IF(INT(DN368)=INT(DM368),0,DN368-INT(DN368)))))</f>
        <v>0</v>
      </c>
      <c r="EG368" s="835">
        <f>+IF(DO368=DN368,0,
IF(AND(EG$44&gt;1,DO368=$N368),1-SUM($EE368:EF368),
IF($N368&lt;=1,
IF($N368&gt;0,1/$N368,0),
IF(EG$44=1,0,VDB(1,0,$N368,INT(EG$44-1-1),MIN($N368,INT(EG$44-1-1)+1),$DC368,IF($DD368="No",1,0))/
IF(DN368&gt;=INT($N368),$N368-INT($N368),1)))*
IF(EG$44=1,0,
IF(INT(DO368)=INT(DN368),DO368-DN368,INT(DO368)-DN368))+
IF($N368&lt;=1,
IF($N368&gt;0,1/$N368,0),VDB(1,0,$N368,INT(EG$44-1),MIN($N368,INT(EG$44-1)+1),$DC368,IF($DD368="No",1,0))/
IF(DO368&gt;INT($N368),$N368-INT($N368),1))*
IF(EG$44=1,DO368,
IF(INT(DO368)=INT(DN368),0,DO368-INT(DO368)))))</f>
        <v>0</v>
      </c>
      <c r="EH368" s="836">
        <f>+IF(DP368=DO368,0,
IF(AND(EH$44&gt;1,DP368=$N368),1-SUM($EE368:EG368),
IF($N368&lt;=1,
IF($N368&gt;0,1/$N368,0),
IF(EH$44=1,0,VDB(1,0,$N368,INT(EH$44-1-1),MIN($N368,INT(EH$44-1-1)+1),$DC368,IF($DD368="No",1,0))/
IF(DO368&gt;=INT($N368),$N368-INT($N368),1)))*
IF(EH$44=1,0,
IF(INT(DP368)=INT(DO368),DP368-DO368,INT(DP368)-DO368))+
IF($N368&lt;=1,
IF($N368&gt;0,1/$N368,0),VDB(1,0,$N368,INT(EH$44-1),MIN($N368,INT(EH$44-1)+1),$DC368,IF($DD368="No",1,0))/
IF(DP368&gt;INT($N368),$N368-INT($N368),1))*
IF(EH$44=1,DP368,
IF(INT(DP368)=INT(DO368),0,DP368-INT(DP368)))))</f>
        <v>0</v>
      </c>
      <c r="EI368" s="834">
        <f>+IF(DQ368=DP368,0,
IF(AND(EI$44&gt;1,DQ368=$N368),1-SUM($EE368:EH368),
IF($N368&lt;=1,
IF($N368&gt;0,1/$N368,0),
IF(EI$44=1,0,VDB(1,0,$N368,INT(EI$44-1-1),MIN($N368,INT(EI$44-1-1)+1),$DC368,IF($DD368="No",1,0))/
IF(DP368&gt;=INT($N368),$N368-INT($N368),1)))*
IF(EI$44=1,0,
IF(INT(DQ368)=INT(DP368),DQ368-DP368,INT(DQ368)-DP368))+
IF($N368&lt;=1,
IF($N368&gt;0,1/$N368,0),VDB(1,0,$N368,INT(EI$44-1),MIN($N368,INT(EI$44-1)+1),$DC368,IF($DD368="No",1,0))/
IF(DQ368&gt;INT($N368),$N368-INT($N368),1))*
IF(EI$44=1,DQ368,
IF(INT(DQ368)=INT(DP368),0,DQ368-INT(DQ368)))))</f>
        <v>0</v>
      </c>
      <c r="EJ368" s="835">
        <f>+IF(DR368=DQ368,0,
IF(AND(EJ$44&gt;1,DR368=$N368),1-SUM($EE368:EI368),
IF($N368&lt;=1,
IF($N368&gt;0,1/$N368,0),
IF(EJ$44=1,0,VDB(1,0,$N368,INT(EJ$44-1-1),MIN($N368,INT(EJ$44-1-1)+1),$DC368,IF($DD368="No",1,0))/
IF(DQ368&gt;=INT($N368),$N368-INT($N368),1)))*
IF(EJ$44=1,0,
IF(INT(DR368)=INT(DQ368),DR368-DQ368,INT(DR368)-DQ368))+
IF($N368&lt;=1,
IF($N368&gt;0,1/$N368,0),VDB(1,0,$N368,INT(EJ$44-1),MIN($N368,INT(EJ$44-1)+1),$DC368,IF($DD368="No",1,0))/
IF(DR368&gt;INT($N368),$N368-INT($N368),1))*
IF(EJ$44=1,DR368,
IF(INT(DR368)=INT(DQ368),0,DR368-INT(DR368)))))</f>
        <v>0</v>
      </c>
      <c r="EK368" s="835">
        <f>+IF(DS368=DR368,0,
IF(AND(EK$44&gt;1,DS368=$N368),1-SUM($EE368:EJ368),
IF($N368&lt;=1,
IF($N368&gt;0,1/$N368,0),
IF(EK$44=1,0,VDB(1,0,$N368,INT(EK$44-1-1),MIN($N368,INT(EK$44-1-1)+1),$DC368,IF($DD368="No",1,0))/
IF(DR368&gt;=INT($N368),$N368-INT($N368),1)))*
IF(EK$44=1,0,
IF(INT(DS368)=INT(DR368),DS368-DR368,INT(DS368)-DR368))+
IF($N368&lt;=1,
IF($N368&gt;0,1/$N368,0),VDB(1,0,$N368,INT(EK$44-1),MIN($N368,INT(EK$44-1)+1),$DC368,IF($DD368="No",1,0))/
IF(DS368&gt;INT($N368),$N368-INT($N368),1))*
IF(EK$44=1,DS368,
IF(INT(DS368)=INT(DR368),0,DS368-INT(DS368)))))</f>
        <v>0</v>
      </c>
      <c r="EL368" s="835">
        <f>+IF(DT368=DS368,0,
IF(AND(EL$44&gt;1,DT368=$N368),1-SUM($EE368:EK368),
IF($N368&lt;=1,
IF($N368&gt;0,1/$N368,0),
IF(EL$44=1,0,VDB(1,0,$N368,INT(EL$44-1-1),MIN($N368,INT(EL$44-1-1)+1),$DC368,IF($DD368="No",1,0))/
IF(DS368&gt;=INT($N368),$N368-INT($N368),1)))*
IF(EL$44=1,0,
IF(INT(DT368)=INT(DS368),DT368-DS368,INT(DT368)-DS368))+
IF($N368&lt;=1,
IF($N368&gt;0,1/$N368,0),VDB(1,0,$N368,INT(EL$44-1),MIN($N368,INT(EL$44-1)+1),$DC368,IF($DD368="No",1,0))/
IF(DT368&gt;INT($N368),$N368-INT($N368),1))*
IF(EL$44=1,DT368,
IF(INT(DT368)=INT(DS368),0,DT368-INT(DT368)))))</f>
        <v>0</v>
      </c>
      <c r="EM368" s="836">
        <f>+IF(DU368=DT368,0,
IF(AND(EM$44&gt;1,DU368=$N368),1-SUM($EE368:EL368),
IF($N368&lt;=1,
IF($N368&gt;0,1/$N368,0),
IF(EM$44=1,0,VDB(1,0,$N368,INT(EM$44-1-1),MIN($N368,INT(EM$44-1-1)+1),$DC368,IF($DD368="No",1,0))/
IF(DT368&gt;=INT($N368),$N368-INT($N368),1)))*
IF(EM$44=1,0,
IF(INT(DU368)=INT(DT368),DU368-DT368,INT(DU368)-DT368))+
IF($N368&lt;=1,
IF($N368&gt;0,1/$N368,0),VDB(1,0,$N368,INT(EM$44-1),MIN($N368,INT(EM$44-1)+1),$DC368,IF($DD368="No",1,0))/
IF(DU368&gt;INT($N368),$N368-INT($N368),1))*
IF(EM$44=1,DU368,
IF(INT(DU368)=INT(DT368),0,DU368-INT(DU368)))))</f>
        <v>0</v>
      </c>
      <c r="EN368" s="833"/>
      <c r="EO368" s="834">
        <f>+IF(OR(DW368=DV368,EO$44=1),0,
IF(AND(EO$44&gt;1,DW368=$N368),1-SUM($EN368:EN368),
IF($N368&lt;=1,
IF($N368&gt;0,1/$N368,0),
IF(EO$44=2,0,VDB(1,0,$N368,INT(EO$44-2-1),MIN($N368,INT(EO$44-2-1)+1),$DC368,IF($DD368="No",1,0))/
IF(DV368&gt;=INT($N368),$N368-INT($N368),1)))*
IF(EO$44=2,0,
IF(INT(DW368)=INT(DV368),DW368-DV368,INT(DW368)-DV368))+
IF($N368&lt;=1,
IF($N368&gt;0,1/$N368,0),VDB(1,0,$N368,INT(EO$44-2),MIN($N368,INT(EO$44-2)+1),$DC368,IF($DD368="No",1,0))/
IF(DW368&gt;INT($N368),$N368-INT($N368),1))*
IF(EO$44=2,DW368,
IF(INT(DW368)=INT(DV368),0,DW368-INT(DW368)))))</f>
        <v>0</v>
      </c>
      <c r="EP368" s="835">
        <f>+IF(OR(DX368=DW368,EP$44=1),0,
IF(AND(EP$44&gt;1,DX368=$N368),1-SUM($EN368:EO368),
IF($N368&lt;=1,
IF($N368&gt;0,1/$N368,0),
IF(EP$44=2,0,VDB(1,0,$N368,INT(EP$44-2-1),MIN($N368,INT(EP$44-2-1)+1),$DC368,IF($DD368="No",1,0))/
IF(DW368&gt;=INT($N368),$N368-INT($N368),1)))*
IF(EP$44=2,0,
IF(INT(DX368)=INT(DW368),DX368-DW368,INT(DX368)-DW368))+
IF($N368&lt;=1,
IF($N368&gt;0,1/$N368,0),VDB(1,0,$N368,INT(EP$44-2),MIN($N368,INT(EP$44-2)+1),$DC368,IF($DD368="No",1,0))/
IF(DX368&gt;INT($N368),$N368-INT($N368),1))*
IF(EP$44=2,DX368,
IF(INT(DX368)=INT(DW368),0,DX368-INT(DX368)))))</f>
        <v>0</v>
      </c>
      <c r="EQ368" s="836">
        <f>+IF(OR(DY368=DX368,EQ$44=1),0,
IF(AND(EQ$44&gt;1,DY368=$N368),1-SUM($EN368:EP368),
IF($N368&lt;=1,
IF($N368&gt;0,1/$N368,0),
IF(EQ$44=2,0,VDB(1,0,$N368,INT(EQ$44-2-1),MIN($N368,INT(EQ$44-2-1)+1),$DC368,IF($DD368="No",1,0))/
IF(DX368&gt;=INT($N368),$N368-INT($N368),1)))*
IF(EQ$44=2,0,
IF(INT(DY368)=INT(DX368),DY368-DX368,INT(DY368)-DX368))+
IF($N368&lt;=1,
IF($N368&gt;0,1/$N368,0),VDB(1,0,$N368,INT(EQ$44-2),MIN($N368,INT(EQ$44-2)+1),$DC368,IF($DD368="No",1,0))/
IF(DY368&gt;INT($N368),$N368-INT($N368),1))*
IF(EQ$44=2,DY368,
IF(INT(DY368)=INT(DX368),0,DY368-INT(DY368)))))</f>
        <v>0</v>
      </c>
      <c r="ER368" s="834">
        <f>+IF(OR(DZ368=DY368,ER$44=1),0,
IF(AND(ER$44&gt;1,DZ368=$N368),1-SUM($EN368:EQ368),
IF($N368&lt;=1,
IF($N368&gt;0,1/$N368,0),
IF(ER$44=2,0,VDB(1,0,$N368,INT(ER$44-2-1),MIN($N368,INT(ER$44-2-1)+1),$DC368,IF($DD368="No",1,0))/
IF(DY368&gt;=INT($N368),$N368-INT($N368),1)))*
IF(ER$44=2,0,
IF(INT(DZ368)=INT(DY368),DZ368-DY368,INT(DZ368)-DY368))+
IF($N368&lt;=1,
IF($N368&gt;0,1/$N368,0),VDB(1,0,$N368,INT(ER$44-2),MIN($N368,INT(ER$44-2)+1),$DC368,IF($DD368="No",1,0))/
IF(DZ368&gt;INT($N368),$N368-INT($N368),1))*
IF(ER$44=2,DZ368,
IF(INT(DZ368)=INT(DY368),0,DZ368-INT(DZ368)))))</f>
        <v>0</v>
      </c>
      <c r="ES368" s="835">
        <f>+IF(OR(EA368=DZ368,ES$44=1),0,
IF(AND(ES$44&gt;1,EA368=$N368),1-SUM($EN368:ER368),
IF($N368&lt;=1,
IF($N368&gt;0,1/$N368,0),
IF(ES$44=2,0,VDB(1,0,$N368,INT(ES$44-2-1),MIN($N368,INT(ES$44-2-1)+1),$DC368,IF($DD368="No",1,0))/
IF(DZ368&gt;=INT($N368),$N368-INT($N368),1)))*
IF(ES$44=2,0,
IF(INT(EA368)=INT(DZ368),EA368-DZ368,INT(EA368)-DZ368))+
IF($N368&lt;=1,
IF($N368&gt;0,1/$N368,0),VDB(1,0,$N368,INT(ES$44-2),MIN($N368,INT(ES$44-2)+1),$DC368,IF($DD368="No",1,0))/
IF(EA368&gt;INT($N368),$N368-INT($N368),1))*
IF(ES$44=2,EA368,
IF(INT(EA368)=INT(DZ368),0,EA368-INT(EA368)))))</f>
        <v>0</v>
      </c>
      <c r="ET368" s="835">
        <f>+IF(OR(EB368=EA368,ET$44=1),0,
IF(AND(ET$44&gt;1,EB368=$N368),1-SUM($EN368:ES368),
IF($N368&lt;=1,
IF($N368&gt;0,1/$N368,0),
IF(ET$44=2,0,VDB(1,0,$N368,INT(ET$44-2-1),MIN($N368,INT(ET$44-2-1)+1),$DC368,IF($DD368="No",1,0))/
IF(EA368&gt;=INT($N368),$N368-INT($N368),1)))*
IF(ET$44=2,0,
IF(INT(EB368)=INT(EA368),EB368-EA368,INT(EB368)-EA368))+
IF($N368&lt;=1,
IF($N368&gt;0,1/$N368,0),VDB(1,0,$N368,INT(ET$44-2),MIN($N368,INT(ET$44-2)+1),$DC368,IF($DD368="No",1,0))/
IF(EB368&gt;INT($N368),$N368-INT($N368),1))*
IF(ET$44=2,EB368,
IF(INT(EB368)=INT(EA368),0,EB368-INT(EB368)))))</f>
        <v>0</v>
      </c>
      <c r="EU368" s="835">
        <f>+IF(OR(EC368=EB368,EU$44=1),0,
IF(AND(EU$44&gt;1,EC368=$N368),1-SUM($EN368:ET368),
IF($N368&lt;=1,
IF($N368&gt;0,1/$N368,0),
IF(EU$44=2,0,VDB(1,0,$N368,INT(EU$44-2-1),MIN($N368,INT(EU$44-2-1)+1),$DC368,IF($DD368="No",1,0))/
IF(EB368&gt;=INT($N368),$N368-INT($N368),1)))*
IF(EU$44=2,0,
IF(INT(EC368)=INT(EB368),EC368-EB368,INT(EC368)-EB368))+
IF($N368&lt;=1,
IF($N368&gt;0,1/$N368,0),VDB(1,0,$N368,INT(EU$44-2),MIN($N368,INT(EU$44-2)+1),$DC368,IF($DD368="No",1,0))/
IF(EC368&gt;INT($N368),$N368-INT($N368),1))*
IF(EU$44=2,EC368,
IF(INT(EC368)=INT(EB368),0,EC368-INT(EC368)))))</f>
        <v>0</v>
      </c>
      <c r="EV368" s="836">
        <f>+IF(OR(ED368=EC368,EV$44=1),0,
IF(AND(EV$44&gt;1,ED368=$N368),1-SUM($EN368:EU368),
IF($N368&lt;=1,
IF($N368&gt;0,1/$N368,0),
IF(EV$44=2,0,VDB(1,0,$N368,INT(EV$44-2-1),MIN($N368,INT(EV$44-2-1)+1),$DC368,IF($DD368="No",1,0))/
IF(EC368&gt;=INT($N368),$N368-INT($N368),1)))*
IF(EV$44=2,0,
IF(INT(ED368)=INT(EC368),ED368-EC368,INT(ED368)-EC368))+
IF($N368&lt;=1,
IF($N368&gt;0,1/$N368,0),VDB(1,0,$N368,INT(EV$44-2),MIN($N368,INT(EV$44-2)+1),$DC368,IF($DD368="No",1,0))/
IF(ED368&gt;INT($N368),$N368-INT($N368),1))*
IF(EV$44=2,ED368,
IF(INT(ED368)=INT(EC368),0,ED368-INT(ED368)))))</f>
        <v>0</v>
      </c>
      <c r="EW368" s="833"/>
      <c r="EX368" s="834">
        <f t="shared" ca="1" si="634"/>
        <v>0</v>
      </c>
      <c r="EY368" s="835">
        <f t="shared" ca="1" si="634"/>
        <v>0</v>
      </c>
      <c r="EZ368" s="836">
        <f t="shared" ca="1" si="634"/>
        <v>0</v>
      </c>
      <c r="FA368" s="834">
        <f t="shared" ca="1" si="634"/>
        <v>0</v>
      </c>
      <c r="FB368" s="835">
        <f t="shared" ca="1" si="634"/>
        <v>0</v>
      </c>
      <c r="FC368" s="835">
        <f t="shared" ca="1" si="634"/>
        <v>0</v>
      </c>
      <c r="FD368" s="835">
        <f t="shared" ca="1" si="634"/>
        <v>0</v>
      </c>
      <c r="FE368" s="836">
        <f t="shared" ca="1" si="634"/>
        <v>0</v>
      </c>
      <c r="FG368" s="386">
        <f t="shared" ca="1" si="631"/>
        <v>0</v>
      </c>
      <c r="FH368" s="387">
        <f t="shared" ca="1" si="631"/>
        <v>0</v>
      </c>
      <c r="FI368" s="388">
        <f t="shared" ca="1" si="631"/>
        <v>0</v>
      </c>
      <c r="FJ368" s="386">
        <f t="shared" ca="1" si="631"/>
        <v>0</v>
      </c>
      <c r="FK368" s="387">
        <f t="shared" ca="1" si="631"/>
        <v>0</v>
      </c>
      <c r="FL368" s="387">
        <f t="shared" ca="1" si="631"/>
        <v>0</v>
      </c>
      <c r="FM368" s="387">
        <f t="shared" ca="1" si="631"/>
        <v>0</v>
      </c>
      <c r="FN368" s="388">
        <f t="shared" ca="1" si="631"/>
        <v>0</v>
      </c>
      <c r="FR368" s="116"/>
    </row>
    <row r="369" spans="2:174">
      <c r="B369" s="1410">
        <f t="shared" si="556"/>
        <v>323</v>
      </c>
      <c r="C369" s="400"/>
      <c r="D369" s="410"/>
      <c r="E369" s="402"/>
      <c r="F369" s="402"/>
      <c r="G369" s="400"/>
      <c r="H369" s="2088"/>
      <c r="I369" s="2089"/>
      <c r="J369" s="411"/>
      <c r="K369" s="403"/>
      <c r="L369" s="403"/>
      <c r="M369" s="403"/>
      <c r="N369" s="403"/>
      <c r="O369" s="347"/>
      <c r="P369" s="347"/>
      <c r="Q369" s="1021"/>
      <c r="R369" s="1022"/>
      <c r="S369" s="1022"/>
      <c r="T369" s="1022"/>
      <c r="U369" s="1023"/>
      <c r="V369" s="1021"/>
      <c r="W369" s="1022"/>
      <c r="X369" s="1022"/>
      <c r="Y369" s="1022"/>
      <c r="Z369" s="1023"/>
      <c r="AA369" s="1024"/>
      <c r="AB369" s="1021"/>
      <c r="AC369" s="1022"/>
      <c r="AD369" s="1022"/>
      <c r="AE369" s="1022"/>
      <c r="AF369" s="1023"/>
      <c r="AG369" s="1021"/>
      <c r="AH369" s="1022"/>
      <c r="AI369" s="1022"/>
      <c r="AJ369" s="1022"/>
      <c r="AK369" s="1023"/>
      <c r="AL369" s="1024"/>
      <c r="AM369" s="1021"/>
      <c r="AN369" s="1022"/>
      <c r="AO369" s="1022"/>
      <c r="AP369" s="1022"/>
      <c r="AQ369" s="1023"/>
      <c r="AR369" s="1021"/>
      <c r="AS369" s="1022"/>
      <c r="AT369" s="1022"/>
      <c r="AU369" s="1022"/>
      <c r="AV369" s="1023"/>
      <c r="AW369" s="1025"/>
      <c r="AX369" s="1282">
        <f t="shared" si="532"/>
        <v>0</v>
      </c>
      <c r="AY369" s="387">
        <f t="shared" si="533"/>
        <v>0</v>
      </c>
      <c r="AZ369" s="387">
        <f t="shared" si="534"/>
        <v>0</v>
      </c>
      <c r="BA369" s="387">
        <f t="shared" si="535"/>
        <v>0</v>
      </c>
      <c r="BB369" s="1283">
        <f t="shared" si="536"/>
        <v>0</v>
      </c>
      <c r="BC369" s="386">
        <f t="shared" si="537"/>
        <v>0</v>
      </c>
      <c r="BD369" s="387">
        <f t="shared" si="538"/>
        <v>0</v>
      </c>
      <c r="BE369" s="1277">
        <f t="shared" si="626"/>
        <v>0</v>
      </c>
      <c r="BF369" s="1277">
        <f t="shared" si="626"/>
        <v>0</v>
      </c>
      <c r="BG369" s="388">
        <f t="shared" si="626"/>
        <v>0</v>
      </c>
      <c r="BH369" s="1025"/>
      <c r="BI369" s="1282">
        <f t="shared" ca="1" si="540"/>
        <v>0</v>
      </c>
      <c r="BJ369" s="387">
        <f t="shared" ca="1" si="541"/>
        <v>0</v>
      </c>
      <c r="BK369" s="387">
        <f t="shared" ca="1" si="542"/>
        <v>0</v>
      </c>
      <c r="BL369" s="387">
        <f t="shared" ca="1" si="543"/>
        <v>0</v>
      </c>
      <c r="BM369" s="1283">
        <f t="shared" ca="1" si="544"/>
        <v>0</v>
      </c>
      <c r="BN369" s="386">
        <f t="shared" ca="1" si="627"/>
        <v>0</v>
      </c>
      <c r="BO369" s="387">
        <f t="shared" ca="1" si="627"/>
        <v>0</v>
      </c>
      <c r="BP369" s="1277">
        <f t="shared" ca="1" si="627"/>
        <v>0</v>
      </c>
      <c r="BQ369" s="1277">
        <f t="shared" ca="1" si="627"/>
        <v>0</v>
      </c>
      <c r="BR369" s="388">
        <f t="shared" ca="1" si="627"/>
        <v>0</v>
      </c>
      <c r="BS369" s="1025"/>
      <c r="BT369" s="1282">
        <f>+IF($K369="Ongoing",AX369,IF(RIGHT($K369,2)=RIGHT(BT$43,2),SUM($AX369:AX369),0)+IF(RIGHT(BT$43,2)&gt;RIGHT($K369,2),AX369,0))</f>
        <v>0</v>
      </c>
      <c r="BU369" s="387">
        <f>+IF($K369="Ongoing",AY369,IF(RIGHT($K369,2)=RIGHT(BU$43,2),SUM($AX369:AY369),0)+IF(RIGHT(BU$43,2)&gt;RIGHT($K369,2),AY369,0))</f>
        <v>0</v>
      </c>
      <c r="BV369" s="387">
        <f>+IF($K369="Ongoing",AZ369,IF(RIGHT($K369,2)=RIGHT(BV$43,2),SUM($AX369:AZ369),0)+IF(RIGHT(BV$43,2)&gt;RIGHT($K369,2),AZ369,0))</f>
        <v>0</v>
      </c>
      <c r="BW369" s="387">
        <f>+IF($K369="Ongoing",BA369,IF(RIGHT($K369,2)=RIGHT(BW$43,2),SUM($AX369:BA369),0)+IF(RIGHT(BW$43,2)&gt;RIGHT($K369,2),BA369,0))</f>
        <v>0</v>
      </c>
      <c r="BX369" s="1283">
        <f>+IF($K369="Ongoing",BB369,IF(RIGHT($K369,2)=RIGHT(BX$43,2),SUM($AX369:BB369),0)+IF(RIGHT(BX$43,2)&gt;RIGHT($K369,2),BB369,0))</f>
        <v>0</v>
      </c>
      <c r="BY369" s="386">
        <f>+IF($K369="Ongoing",BC369,IF(RIGHT($K369,2)=RIGHT(BY$43,2),SUM($AX369:BC369),0)+IF(RIGHT(BY$43,2)&gt;RIGHT($K369,2),BC369,0))</f>
        <v>0</v>
      </c>
      <c r="BZ369" s="387">
        <f>+IF($K369="Ongoing",BD369,IF(RIGHT($K369,2)=RIGHT(BZ$43,2),SUM($AX369:BD369),0)+IF(RIGHT(BZ$43,2)&gt;RIGHT($K369,2),BD369,0))</f>
        <v>0</v>
      </c>
      <c r="CA369" s="1277">
        <f>+IF($K369="Ongoing",BE369,IF(RIGHT($K369,2)=RIGHT(CA$43,2),SUM($AX369:BE369),0)+IF(RIGHT(CA$43,2)&gt;RIGHT($K369,2),BE369,0))</f>
        <v>0</v>
      </c>
      <c r="CB369" s="1277">
        <f>+IF($K369="Ongoing",BF369,IF(RIGHT($K369,2)=RIGHT(CB$43,2),SUM($AX369:BF369),0)+IF(RIGHT(CB$43,2)&gt;RIGHT($K369,2),BF369,0))</f>
        <v>0</v>
      </c>
      <c r="CC369" s="388">
        <f>+IF($K369="Ongoing",BG369,IF(RIGHT($K369,2)=RIGHT(CC$43,2),SUM($AX369:BG369),0)+IF(RIGHT(CC$43,2)&gt;RIGHT($K369,2),BG369,0))</f>
        <v>0</v>
      </c>
      <c r="CD369" s="1025"/>
      <c r="CE369" s="1282">
        <f>+Q369*KeyAssumptionsPriceControl_FO!AF$15</f>
        <v>0</v>
      </c>
      <c r="CF369" s="387">
        <f>+R369*KeyAssumptionsPriceControl_FO!AG$15</f>
        <v>0</v>
      </c>
      <c r="CG369" s="387">
        <f>+S369*KeyAssumptionsPriceControl_FO!AH$15</f>
        <v>0</v>
      </c>
      <c r="CH369" s="387">
        <f>+T369*KeyAssumptionsPriceControl_FO!AI$15</f>
        <v>0</v>
      </c>
      <c r="CI369" s="1283">
        <f>+U369*KeyAssumptionsPriceControl_FO!AJ$15</f>
        <v>0</v>
      </c>
      <c r="CJ369" s="386">
        <f>+V369*KeyAssumptionsPriceControl_FO!AK$15</f>
        <v>0</v>
      </c>
      <c r="CK369" s="387">
        <f>+W369*KeyAssumptionsPriceControl_FO!AL$15</f>
        <v>0</v>
      </c>
      <c r="CL369" s="1277">
        <f>+X369*KeyAssumptionsPriceControl_FO!AM$15</f>
        <v>0</v>
      </c>
      <c r="CM369" s="1277">
        <f>+Y369*KeyAssumptionsPriceControl_FO!AN$15</f>
        <v>0</v>
      </c>
      <c r="CN369" s="388">
        <f>+Z369*KeyAssumptionsPriceControl_FO!AO$15</f>
        <v>0</v>
      </c>
      <c r="CO369" s="1025"/>
      <c r="CP369" s="1282">
        <f t="shared" ca="1" si="546"/>
        <v>0</v>
      </c>
      <c r="CQ369" s="387">
        <f t="shared" ca="1" si="547"/>
        <v>0</v>
      </c>
      <c r="CR369" s="387">
        <f t="shared" ca="1" si="548"/>
        <v>0</v>
      </c>
      <c r="CS369" s="387">
        <f t="shared" ca="1" si="628"/>
        <v>0</v>
      </c>
      <c r="CT369" s="1283">
        <f t="shared" ca="1" si="628"/>
        <v>0</v>
      </c>
      <c r="CU369" s="386">
        <f t="shared" ca="1" si="628"/>
        <v>0</v>
      </c>
      <c r="CV369" s="387">
        <f t="shared" ca="1" si="628"/>
        <v>0</v>
      </c>
      <c r="CW369" s="1277">
        <f t="shared" ca="1" si="628"/>
        <v>0</v>
      </c>
      <c r="CX369" s="1277">
        <f t="shared" ca="1" si="628"/>
        <v>0</v>
      </c>
      <c r="CY369" s="388">
        <f t="shared" ca="1" si="628"/>
        <v>0</v>
      </c>
      <c r="CZ369" s="347"/>
      <c r="DA369" s="852"/>
      <c r="DB369" s="347"/>
      <c r="DC369" s="1012" t="s">
        <v>517</v>
      </c>
      <c r="DD369" s="841" t="s">
        <v>518</v>
      </c>
      <c r="DE369" s="386">
        <f>+IF($K369="ongoing",CE369,IF(RIGHT($K369,2)=RIGHT(DE$43,2),SUM($CD369:CE369),0)+IF(RIGHT(DE$43,2)&gt;RIGHT($K369,2),CE369,0))</f>
        <v>0</v>
      </c>
      <c r="DF369" s="387">
        <f>+IF($K369="ongoing",CF369,IF(RIGHT($K369,2)=RIGHT(DF$43,2),SUM($CD369:CF369),0)+IF(RIGHT(DF$43,2)&gt;RIGHT($K369,2),CF369,0))</f>
        <v>0</v>
      </c>
      <c r="DG369" s="388">
        <f>+IF($K369="ongoing",CG369,IF(RIGHT($K369,2)=RIGHT(DG$43,2),SUM($CD369:CG369),0)+IF(RIGHT(DG$43,2)&gt;RIGHT($K369,2),CG369,0))</f>
        <v>0</v>
      </c>
      <c r="DH369" s="386">
        <f>+IF($K369="ongoing",CH369,IF(RIGHT($K369,2)=RIGHT(DH$43,2),SUM($CD369:CH369),0)+IF(RIGHT(DH$43,2)&gt;RIGHT($K369,2),CH369,0))</f>
        <v>0</v>
      </c>
      <c r="DI369" s="387">
        <f>+IF($K369="ongoing",CI369,IF(RIGHT($K369,2)=RIGHT(DI$43,2),SUM($CD369:CI369),0)+IF(RIGHT(DI$43,2)&gt;RIGHT($K369,2),CI369,0))</f>
        <v>0</v>
      </c>
      <c r="DJ369" s="387">
        <f>+IF($K369="ongoing",CJ369,IF(RIGHT($K369,2)=RIGHT(DJ$43,2),SUM($CD369:CJ369),0)+IF(RIGHT(DJ$43,2)&gt;RIGHT($K369,2),CJ369,0))</f>
        <v>0</v>
      </c>
      <c r="DK369" s="387">
        <f>+IF($K369="ongoing",CK369,IF(RIGHT($K369,2)=RIGHT(DK$43,2),SUM($CD369:CK369),0)+IF(RIGHT(DK$43,2)&gt;RIGHT($K369,2),CK369,0))</f>
        <v>0</v>
      </c>
      <c r="DL369" s="388">
        <f>+IF($K369="ongoing",CN369,IF(RIGHT($K369,2)=RIGHT(DL$43,2),SUM($CD369:CN369),0)+IF(RIGHT(DL$43,2)&gt;RIGHT($K369,2),CN369,0))</f>
        <v>0</v>
      </c>
      <c r="DM369" s="841"/>
      <c r="DN369" s="386">
        <f t="shared" si="632"/>
        <v>0.5</v>
      </c>
      <c r="DO369" s="387">
        <f t="shared" si="632"/>
        <v>1</v>
      </c>
      <c r="DP369" s="388">
        <f t="shared" si="632"/>
        <v>1</v>
      </c>
      <c r="DQ369" s="386">
        <f t="shared" si="632"/>
        <v>1</v>
      </c>
      <c r="DR369" s="387">
        <f t="shared" si="632"/>
        <v>1</v>
      </c>
      <c r="DS369" s="387">
        <f t="shared" si="632"/>
        <v>1</v>
      </c>
      <c r="DT369" s="387">
        <f t="shared" si="632"/>
        <v>1</v>
      </c>
      <c r="DU369" s="388">
        <f t="shared" si="632"/>
        <v>1</v>
      </c>
      <c r="DW369" s="386">
        <f t="shared" si="633"/>
        <v>0</v>
      </c>
      <c r="DX369" s="387">
        <f t="shared" si="633"/>
        <v>0.5</v>
      </c>
      <c r="DY369" s="388">
        <f t="shared" si="633"/>
        <v>1</v>
      </c>
      <c r="DZ369" s="386">
        <f t="shared" si="633"/>
        <v>1</v>
      </c>
      <c r="EA369" s="387">
        <f t="shared" si="633"/>
        <v>1</v>
      </c>
      <c r="EB369" s="387">
        <f t="shared" si="633"/>
        <v>1</v>
      </c>
      <c r="EC369" s="387">
        <f t="shared" si="633"/>
        <v>1</v>
      </c>
      <c r="ED369" s="388">
        <f t="shared" si="633"/>
        <v>1</v>
      </c>
      <c r="EF369" s="834">
        <f>+IF(DN369=DM369,0,
IF(AND(EF$44&gt;1,DN369=$N369),1-SUM($EE369:EE369),
IF($N369&lt;=1,
IF($N369&gt;0,1/$N369,0),
IF(EF$44=1,0,VDB(1,0,$N369,INT(EF$44-1-1),MIN($N369,INT(EF$44-1-1)+1),$DC369,IF($DD369="No",1,0))/
IF(DM369&gt;=INT($N369),$N369-INT($N369),1)))*
IF(EF$44=1,0,
IF(INT(DN369)=INT(DM369),DN369-DM369,INT(DN369)-DM369))+
IF($N369&lt;=1,
IF($N369&gt;0,1/$N369,0),VDB(1,0,$N369,INT(EF$44-1),MIN($N369,INT(EF$44-1)+1),$DC369,IF($DD369="No",1,0))/
IF(DN369&gt;INT($N369),$N369-INT($N369),1))*
IF(EF$44=1,DN369,
IF(INT(DN369)=INT(DM369),0,DN369-INT(DN369)))))</f>
        <v>0</v>
      </c>
      <c r="EG369" s="835">
        <f>+IF(DO369=DN369,0,
IF(AND(EG$44&gt;1,DO369=$N369),1-SUM($EE369:EF369),
IF($N369&lt;=1,
IF($N369&gt;0,1/$N369,0),
IF(EG$44=1,0,VDB(1,0,$N369,INT(EG$44-1-1),MIN($N369,INT(EG$44-1-1)+1),$DC369,IF($DD369="No",1,0))/
IF(DN369&gt;=INT($N369),$N369-INT($N369),1)))*
IF(EG$44=1,0,
IF(INT(DO369)=INT(DN369),DO369-DN369,INT(DO369)-DN369))+
IF($N369&lt;=1,
IF($N369&gt;0,1/$N369,0),VDB(1,0,$N369,INT(EG$44-1),MIN($N369,INT(EG$44-1)+1),$DC369,IF($DD369="No",1,0))/
IF(DO369&gt;INT($N369),$N369-INT($N369),1))*
IF(EG$44=1,DO369,
IF(INT(DO369)=INT(DN369),0,DO369-INT(DO369)))))</f>
        <v>0</v>
      </c>
      <c r="EH369" s="836">
        <f>+IF(DP369=DO369,0,
IF(AND(EH$44&gt;1,DP369=$N369),1-SUM($EE369:EG369),
IF($N369&lt;=1,
IF($N369&gt;0,1/$N369,0),
IF(EH$44=1,0,VDB(1,0,$N369,INT(EH$44-1-1),MIN($N369,INT(EH$44-1-1)+1),$DC369,IF($DD369="No",1,0))/
IF(DO369&gt;=INT($N369),$N369-INT($N369),1)))*
IF(EH$44=1,0,
IF(INT(DP369)=INT(DO369),DP369-DO369,INT(DP369)-DO369))+
IF($N369&lt;=1,
IF($N369&gt;0,1/$N369,0),VDB(1,0,$N369,INT(EH$44-1),MIN($N369,INT(EH$44-1)+1),$DC369,IF($DD369="No",1,0))/
IF(DP369&gt;INT($N369),$N369-INT($N369),1))*
IF(EH$44=1,DP369,
IF(INT(DP369)=INT(DO369),0,DP369-INT(DP369)))))</f>
        <v>0</v>
      </c>
      <c r="EI369" s="834">
        <f>+IF(DQ369=DP369,0,
IF(AND(EI$44&gt;1,DQ369=$N369),1-SUM($EE369:EH369),
IF($N369&lt;=1,
IF($N369&gt;0,1/$N369,0),
IF(EI$44=1,0,VDB(1,0,$N369,INT(EI$44-1-1),MIN($N369,INT(EI$44-1-1)+1),$DC369,IF($DD369="No",1,0))/
IF(DP369&gt;=INT($N369),$N369-INT($N369),1)))*
IF(EI$44=1,0,
IF(INT(DQ369)=INT(DP369),DQ369-DP369,INT(DQ369)-DP369))+
IF($N369&lt;=1,
IF($N369&gt;0,1/$N369,0),VDB(1,0,$N369,INT(EI$44-1),MIN($N369,INT(EI$44-1)+1),$DC369,IF($DD369="No",1,0))/
IF(DQ369&gt;INT($N369),$N369-INT($N369),1))*
IF(EI$44=1,DQ369,
IF(INT(DQ369)=INT(DP369),0,DQ369-INT(DQ369)))))</f>
        <v>0</v>
      </c>
      <c r="EJ369" s="835">
        <f>+IF(DR369=DQ369,0,
IF(AND(EJ$44&gt;1,DR369=$N369),1-SUM($EE369:EI369),
IF($N369&lt;=1,
IF($N369&gt;0,1/$N369,0),
IF(EJ$44=1,0,VDB(1,0,$N369,INT(EJ$44-1-1),MIN($N369,INT(EJ$44-1-1)+1),$DC369,IF($DD369="No",1,0))/
IF(DQ369&gt;=INT($N369),$N369-INT($N369),1)))*
IF(EJ$44=1,0,
IF(INT(DR369)=INT(DQ369),DR369-DQ369,INT(DR369)-DQ369))+
IF($N369&lt;=1,
IF($N369&gt;0,1/$N369,0),VDB(1,0,$N369,INT(EJ$44-1),MIN($N369,INT(EJ$44-1)+1),$DC369,IF($DD369="No",1,0))/
IF(DR369&gt;INT($N369),$N369-INT($N369),1))*
IF(EJ$44=1,DR369,
IF(INT(DR369)=INT(DQ369),0,DR369-INT(DR369)))))</f>
        <v>0</v>
      </c>
      <c r="EK369" s="835">
        <f>+IF(DS369=DR369,0,
IF(AND(EK$44&gt;1,DS369=$N369),1-SUM($EE369:EJ369),
IF($N369&lt;=1,
IF($N369&gt;0,1/$N369,0),
IF(EK$44=1,0,VDB(1,0,$N369,INT(EK$44-1-1),MIN($N369,INT(EK$44-1-1)+1),$DC369,IF($DD369="No",1,0))/
IF(DR369&gt;=INT($N369),$N369-INT($N369),1)))*
IF(EK$44=1,0,
IF(INT(DS369)=INT(DR369),DS369-DR369,INT(DS369)-DR369))+
IF($N369&lt;=1,
IF($N369&gt;0,1/$N369,0),VDB(1,0,$N369,INT(EK$44-1),MIN($N369,INT(EK$44-1)+1),$DC369,IF($DD369="No",1,0))/
IF(DS369&gt;INT($N369),$N369-INT($N369),1))*
IF(EK$44=1,DS369,
IF(INT(DS369)=INT(DR369),0,DS369-INT(DS369)))))</f>
        <v>0</v>
      </c>
      <c r="EL369" s="835">
        <f>+IF(DT369=DS369,0,
IF(AND(EL$44&gt;1,DT369=$N369),1-SUM($EE369:EK369),
IF($N369&lt;=1,
IF($N369&gt;0,1/$N369,0),
IF(EL$44=1,0,VDB(1,0,$N369,INT(EL$44-1-1),MIN($N369,INT(EL$44-1-1)+1),$DC369,IF($DD369="No",1,0))/
IF(DS369&gt;=INT($N369),$N369-INT($N369),1)))*
IF(EL$44=1,0,
IF(INT(DT369)=INT(DS369),DT369-DS369,INT(DT369)-DS369))+
IF($N369&lt;=1,
IF($N369&gt;0,1/$N369,0),VDB(1,0,$N369,INT(EL$44-1),MIN($N369,INT(EL$44-1)+1),$DC369,IF($DD369="No",1,0))/
IF(DT369&gt;INT($N369),$N369-INT($N369),1))*
IF(EL$44=1,DT369,
IF(INT(DT369)=INT(DS369),0,DT369-INT(DT369)))))</f>
        <v>0</v>
      </c>
      <c r="EM369" s="836">
        <f>+IF(DU369=DT369,0,
IF(AND(EM$44&gt;1,DU369=$N369),1-SUM($EE369:EL369),
IF($N369&lt;=1,
IF($N369&gt;0,1/$N369,0),
IF(EM$44=1,0,VDB(1,0,$N369,INT(EM$44-1-1),MIN($N369,INT(EM$44-1-1)+1),$DC369,IF($DD369="No",1,0))/
IF(DT369&gt;=INT($N369),$N369-INT($N369),1)))*
IF(EM$44=1,0,
IF(INT(DU369)=INT(DT369),DU369-DT369,INT(DU369)-DT369))+
IF($N369&lt;=1,
IF($N369&gt;0,1/$N369,0),VDB(1,0,$N369,INT(EM$44-1),MIN($N369,INT(EM$44-1)+1),$DC369,IF($DD369="No",1,0))/
IF(DU369&gt;INT($N369),$N369-INT($N369),1))*
IF(EM$44=1,DU369,
IF(INT(DU369)=INT(DT369),0,DU369-INT(DU369)))))</f>
        <v>0</v>
      </c>
      <c r="EN369" s="833"/>
      <c r="EO369" s="834">
        <f>+IF(OR(DW369=DV369,EO$44=1),0,
IF(AND(EO$44&gt;1,DW369=$N369),1-SUM($EN369:EN369),
IF($N369&lt;=1,
IF($N369&gt;0,1/$N369,0),
IF(EO$44=2,0,VDB(1,0,$N369,INT(EO$44-2-1),MIN($N369,INT(EO$44-2-1)+1),$DC369,IF($DD369="No",1,0))/
IF(DV369&gt;=INT($N369),$N369-INT($N369),1)))*
IF(EO$44=2,0,
IF(INT(DW369)=INT(DV369),DW369-DV369,INT(DW369)-DV369))+
IF($N369&lt;=1,
IF($N369&gt;0,1/$N369,0),VDB(1,0,$N369,INT(EO$44-2),MIN($N369,INT(EO$44-2)+1),$DC369,IF($DD369="No",1,0))/
IF(DW369&gt;INT($N369),$N369-INT($N369),1))*
IF(EO$44=2,DW369,
IF(INT(DW369)=INT(DV369),0,DW369-INT(DW369)))))</f>
        <v>0</v>
      </c>
      <c r="EP369" s="835">
        <f>+IF(OR(DX369=DW369,EP$44=1),0,
IF(AND(EP$44&gt;1,DX369=$N369),1-SUM($EN369:EO369),
IF($N369&lt;=1,
IF($N369&gt;0,1/$N369,0),
IF(EP$44=2,0,VDB(1,0,$N369,INT(EP$44-2-1),MIN($N369,INT(EP$44-2-1)+1),$DC369,IF($DD369="No",1,0))/
IF(DW369&gt;=INT($N369),$N369-INT($N369),1)))*
IF(EP$44=2,0,
IF(INT(DX369)=INT(DW369),DX369-DW369,INT(DX369)-DW369))+
IF($N369&lt;=1,
IF($N369&gt;0,1/$N369,0),VDB(1,0,$N369,INT(EP$44-2),MIN($N369,INT(EP$44-2)+1),$DC369,IF($DD369="No",1,0))/
IF(DX369&gt;INT($N369),$N369-INT($N369),1))*
IF(EP$44=2,DX369,
IF(INT(DX369)=INT(DW369),0,DX369-INT(DX369)))))</f>
        <v>0</v>
      </c>
      <c r="EQ369" s="836">
        <f>+IF(OR(DY369=DX369,EQ$44=1),0,
IF(AND(EQ$44&gt;1,DY369=$N369),1-SUM($EN369:EP369),
IF($N369&lt;=1,
IF($N369&gt;0,1/$N369,0),
IF(EQ$44=2,0,VDB(1,0,$N369,INT(EQ$44-2-1),MIN($N369,INT(EQ$44-2-1)+1),$DC369,IF($DD369="No",1,0))/
IF(DX369&gt;=INT($N369),$N369-INT($N369),1)))*
IF(EQ$44=2,0,
IF(INT(DY369)=INT(DX369),DY369-DX369,INT(DY369)-DX369))+
IF($N369&lt;=1,
IF($N369&gt;0,1/$N369,0),VDB(1,0,$N369,INT(EQ$44-2),MIN($N369,INT(EQ$44-2)+1),$DC369,IF($DD369="No",1,0))/
IF(DY369&gt;INT($N369),$N369-INT($N369),1))*
IF(EQ$44=2,DY369,
IF(INT(DY369)=INT(DX369),0,DY369-INT(DY369)))))</f>
        <v>0</v>
      </c>
      <c r="ER369" s="834">
        <f>+IF(OR(DZ369=DY369,ER$44=1),0,
IF(AND(ER$44&gt;1,DZ369=$N369),1-SUM($EN369:EQ369),
IF($N369&lt;=1,
IF($N369&gt;0,1/$N369,0),
IF(ER$44=2,0,VDB(1,0,$N369,INT(ER$44-2-1),MIN($N369,INT(ER$44-2-1)+1),$DC369,IF($DD369="No",1,0))/
IF(DY369&gt;=INT($N369),$N369-INT($N369),1)))*
IF(ER$44=2,0,
IF(INT(DZ369)=INT(DY369),DZ369-DY369,INT(DZ369)-DY369))+
IF($N369&lt;=1,
IF($N369&gt;0,1/$N369,0),VDB(1,0,$N369,INT(ER$44-2),MIN($N369,INT(ER$44-2)+1),$DC369,IF($DD369="No",1,0))/
IF(DZ369&gt;INT($N369),$N369-INT($N369),1))*
IF(ER$44=2,DZ369,
IF(INT(DZ369)=INT(DY369),0,DZ369-INT(DZ369)))))</f>
        <v>0</v>
      </c>
      <c r="ES369" s="835">
        <f>+IF(OR(EA369=DZ369,ES$44=1),0,
IF(AND(ES$44&gt;1,EA369=$N369),1-SUM($EN369:ER369),
IF($N369&lt;=1,
IF($N369&gt;0,1/$N369,0),
IF(ES$44=2,0,VDB(1,0,$N369,INT(ES$44-2-1),MIN($N369,INT(ES$44-2-1)+1),$DC369,IF($DD369="No",1,0))/
IF(DZ369&gt;=INT($N369),$N369-INT($N369),1)))*
IF(ES$44=2,0,
IF(INT(EA369)=INT(DZ369),EA369-DZ369,INT(EA369)-DZ369))+
IF($N369&lt;=1,
IF($N369&gt;0,1/$N369,0),VDB(1,0,$N369,INT(ES$44-2),MIN($N369,INT(ES$44-2)+1),$DC369,IF($DD369="No",1,0))/
IF(EA369&gt;INT($N369),$N369-INT($N369),1))*
IF(ES$44=2,EA369,
IF(INT(EA369)=INT(DZ369),0,EA369-INT(EA369)))))</f>
        <v>0</v>
      </c>
      <c r="ET369" s="835">
        <f>+IF(OR(EB369=EA369,ET$44=1),0,
IF(AND(ET$44&gt;1,EB369=$N369),1-SUM($EN369:ES369),
IF($N369&lt;=1,
IF($N369&gt;0,1/$N369,0),
IF(ET$44=2,0,VDB(1,0,$N369,INT(ET$44-2-1),MIN($N369,INT(ET$44-2-1)+1),$DC369,IF($DD369="No",1,0))/
IF(EA369&gt;=INT($N369),$N369-INT($N369),1)))*
IF(ET$44=2,0,
IF(INT(EB369)=INT(EA369),EB369-EA369,INT(EB369)-EA369))+
IF($N369&lt;=1,
IF($N369&gt;0,1/$N369,0),VDB(1,0,$N369,INT(ET$44-2),MIN($N369,INT(ET$44-2)+1),$DC369,IF($DD369="No",1,0))/
IF(EB369&gt;INT($N369),$N369-INT($N369),1))*
IF(ET$44=2,EB369,
IF(INT(EB369)=INT(EA369),0,EB369-INT(EB369)))))</f>
        <v>0</v>
      </c>
      <c r="EU369" s="835">
        <f>+IF(OR(EC369=EB369,EU$44=1),0,
IF(AND(EU$44&gt;1,EC369=$N369),1-SUM($EN369:ET369),
IF($N369&lt;=1,
IF($N369&gt;0,1/$N369,0),
IF(EU$44=2,0,VDB(1,0,$N369,INT(EU$44-2-1),MIN($N369,INT(EU$44-2-1)+1),$DC369,IF($DD369="No",1,0))/
IF(EB369&gt;=INT($N369),$N369-INT($N369),1)))*
IF(EU$44=2,0,
IF(INT(EC369)=INT(EB369),EC369-EB369,INT(EC369)-EB369))+
IF($N369&lt;=1,
IF($N369&gt;0,1/$N369,0),VDB(1,0,$N369,INT(EU$44-2),MIN($N369,INT(EU$44-2)+1),$DC369,IF($DD369="No",1,0))/
IF(EC369&gt;INT($N369),$N369-INT($N369),1))*
IF(EU$44=2,EC369,
IF(INT(EC369)=INT(EB369),0,EC369-INT(EC369)))))</f>
        <v>0</v>
      </c>
      <c r="EV369" s="836">
        <f>+IF(OR(ED369=EC369,EV$44=1),0,
IF(AND(EV$44&gt;1,ED369=$N369),1-SUM($EN369:EU369),
IF($N369&lt;=1,
IF($N369&gt;0,1/$N369,0),
IF(EV$44=2,0,VDB(1,0,$N369,INT(EV$44-2-1),MIN($N369,INT(EV$44-2-1)+1),$DC369,IF($DD369="No",1,0))/
IF(EC369&gt;=INT($N369),$N369-INT($N369),1)))*
IF(EV$44=2,0,
IF(INT(ED369)=INT(EC369),ED369-EC369,INT(ED369)-EC369))+
IF($N369&lt;=1,
IF($N369&gt;0,1/$N369,0),VDB(1,0,$N369,INT(EV$44-2),MIN($N369,INT(EV$44-2)+1),$DC369,IF($DD369="No",1,0))/
IF(ED369&gt;INT($N369),$N369-INT($N369),1))*
IF(EV$44=2,ED369,
IF(INT(ED369)=INT(EC369),0,ED369-INT(ED369)))))</f>
        <v>0</v>
      </c>
      <c r="EW369" s="833"/>
      <c r="EX369" s="834">
        <f t="shared" ca="1" si="634"/>
        <v>0</v>
      </c>
      <c r="EY369" s="835">
        <f t="shared" ca="1" si="634"/>
        <v>0</v>
      </c>
      <c r="EZ369" s="836">
        <f t="shared" ca="1" si="634"/>
        <v>0</v>
      </c>
      <c r="FA369" s="834">
        <f t="shared" ca="1" si="634"/>
        <v>0</v>
      </c>
      <c r="FB369" s="835">
        <f t="shared" ca="1" si="634"/>
        <v>0</v>
      </c>
      <c r="FC369" s="835">
        <f t="shared" ca="1" si="634"/>
        <v>0</v>
      </c>
      <c r="FD369" s="835">
        <f t="shared" ca="1" si="634"/>
        <v>0</v>
      </c>
      <c r="FE369" s="836">
        <f t="shared" ca="1" si="634"/>
        <v>0</v>
      </c>
      <c r="FG369" s="386">
        <f t="shared" ca="1" si="631"/>
        <v>0</v>
      </c>
      <c r="FH369" s="387">
        <f t="shared" ca="1" si="631"/>
        <v>0</v>
      </c>
      <c r="FI369" s="388">
        <f t="shared" ca="1" si="631"/>
        <v>0</v>
      </c>
      <c r="FJ369" s="386">
        <f t="shared" ca="1" si="631"/>
        <v>0</v>
      </c>
      <c r="FK369" s="387">
        <f t="shared" ca="1" si="631"/>
        <v>0</v>
      </c>
      <c r="FL369" s="387">
        <f t="shared" ca="1" si="631"/>
        <v>0</v>
      </c>
      <c r="FM369" s="387">
        <f t="shared" ca="1" si="631"/>
        <v>0</v>
      </c>
      <c r="FN369" s="388">
        <f t="shared" ca="1" si="631"/>
        <v>0</v>
      </c>
      <c r="FR369" s="116"/>
    </row>
    <row r="370" spans="2:174">
      <c r="B370" s="1410">
        <f t="shared" si="556"/>
        <v>324</v>
      </c>
      <c r="C370" s="400"/>
      <c r="D370" s="410"/>
      <c r="E370" s="402"/>
      <c r="F370" s="402"/>
      <c r="G370" s="400"/>
      <c r="H370" s="2088"/>
      <c r="I370" s="2089"/>
      <c r="J370" s="411"/>
      <c r="K370" s="403"/>
      <c r="L370" s="403"/>
      <c r="M370" s="403"/>
      <c r="N370" s="403"/>
      <c r="O370" s="347"/>
      <c r="P370" s="347"/>
      <c r="Q370" s="1021"/>
      <c r="R370" s="1022"/>
      <c r="S370" s="1022"/>
      <c r="T370" s="1022"/>
      <c r="U370" s="1023"/>
      <c r="V370" s="1021"/>
      <c r="W370" s="1022"/>
      <c r="X370" s="1022"/>
      <c r="Y370" s="1022"/>
      <c r="Z370" s="1023"/>
      <c r="AA370" s="1024"/>
      <c r="AB370" s="1021"/>
      <c r="AC370" s="1022"/>
      <c r="AD370" s="1022"/>
      <c r="AE370" s="1022"/>
      <c r="AF370" s="1023"/>
      <c r="AG370" s="1021"/>
      <c r="AH370" s="1022"/>
      <c r="AI370" s="1022"/>
      <c r="AJ370" s="1022"/>
      <c r="AK370" s="1023"/>
      <c r="AL370" s="1024"/>
      <c r="AM370" s="1021"/>
      <c r="AN370" s="1022"/>
      <c r="AO370" s="1022"/>
      <c r="AP370" s="1022"/>
      <c r="AQ370" s="1023"/>
      <c r="AR370" s="1021"/>
      <c r="AS370" s="1022"/>
      <c r="AT370" s="1022"/>
      <c r="AU370" s="1022"/>
      <c r="AV370" s="1023"/>
      <c r="AW370" s="1025"/>
      <c r="AX370" s="1282">
        <f t="shared" si="532"/>
        <v>0</v>
      </c>
      <c r="AY370" s="387">
        <f t="shared" si="533"/>
        <v>0</v>
      </c>
      <c r="AZ370" s="387">
        <f t="shared" si="534"/>
        <v>0</v>
      </c>
      <c r="BA370" s="387">
        <f t="shared" si="535"/>
        <v>0</v>
      </c>
      <c r="BB370" s="1283">
        <f t="shared" si="536"/>
        <v>0</v>
      </c>
      <c r="BC370" s="386">
        <f t="shared" si="537"/>
        <v>0</v>
      </c>
      <c r="BD370" s="387">
        <f t="shared" si="538"/>
        <v>0</v>
      </c>
      <c r="BE370" s="1277">
        <f t="shared" si="626"/>
        <v>0</v>
      </c>
      <c r="BF370" s="1277">
        <f t="shared" si="626"/>
        <v>0</v>
      </c>
      <c r="BG370" s="388">
        <f t="shared" si="626"/>
        <v>0</v>
      </c>
      <c r="BH370" s="1025"/>
      <c r="BI370" s="1282">
        <f t="shared" ca="1" si="540"/>
        <v>0</v>
      </c>
      <c r="BJ370" s="387">
        <f t="shared" ca="1" si="541"/>
        <v>0</v>
      </c>
      <c r="BK370" s="387">
        <f t="shared" ca="1" si="542"/>
        <v>0</v>
      </c>
      <c r="BL370" s="387">
        <f t="shared" ca="1" si="543"/>
        <v>0</v>
      </c>
      <c r="BM370" s="1283">
        <f t="shared" ca="1" si="544"/>
        <v>0</v>
      </c>
      <c r="BN370" s="386">
        <f t="shared" ca="1" si="627"/>
        <v>0</v>
      </c>
      <c r="BO370" s="387">
        <f t="shared" ca="1" si="627"/>
        <v>0</v>
      </c>
      <c r="BP370" s="1277">
        <f t="shared" ca="1" si="627"/>
        <v>0</v>
      </c>
      <c r="BQ370" s="1277">
        <f t="shared" ca="1" si="627"/>
        <v>0</v>
      </c>
      <c r="BR370" s="388">
        <f t="shared" ca="1" si="627"/>
        <v>0</v>
      </c>
      <c r="BS370" s="1025"/>
      <c r="BT370" s="1282">
        <f>+IF($K370="Ongoing",AX370,IF(RIGHT($K370,2)=RIGHT(BT$43,2),SUM($AX370:AX370),0)+IF(RIGHT(BT$43,2)&gt;RIGHT($K370,2),AX370,0))</f>
        <v>0</v>
      </c>
      <c r="BU370" s="387">
        <f>+IF($K370="Ongoing",AY370,IF(RIGHT($K370,2)=RIGHT(BU$43,2),SUM($AX370:AY370),0)+IF(RIGHT(BU$43,2)&gt;RIGHT($K370,2),AY370,0))</f>
        <v>0</v>
      </c>
      <c r="BV370" s="387">
        <f>+IF($K370="Ongoing",AZ370,IF(RIGHT($K370,2)=RIGHT(BV$43,2),SUM($AX370:AZ370),0)+IF(RIGHT(BV$43,2)&gt;RIGHT($K370,2),AZ370,0))</f>
        <v>0</v>
      </c>
      <c r="BW370" s="387">
        <f>+IF($K370="Ongoing",BA370,IF(RIGHT($K370,2)=RIGHT(BW$43,2),SUM($AX370:BA370),0)+IF(RIGHT(BW$43,2)&gt;RIGHT($K370,2),BA370,0))</f>
        <v>0</v>
      </c>
      <c r="BX370" s="1283">
        <f>+IF($K370="Ongoing",BB370,IF(RIGHT($K370,2)=RIGHT(BX$43,2),SUM($AX370:BB370),0)+IF(RIGHT(BX$43,2)&gt;RIGHT($K370,2),BB370,0))</f>
        <v>0</v>
      </c>
      <c r="BY370" s="386">
        <f>+IF($K370="Ongoing",BC370,IF(RIGHT($K370,2)=RIGHT(BY$43,2),SUM($AX370:BC370),0)+IF(RIGHT(BY$43,2)&gt;RIGHT($K370,2),BC370,0))</f>
        <v>0</v>
      </c>
      <c r="BZ370" s="387">
        <f>+IF($K370="Ongoing",BD370,IF(RIGHT($K370,2)=RIGHT(BZ$43,2),SUM($AX370:BD370),0)+IF(RIGHT(BZ$43,2)&gt;RIGHT($K370,2),BD370,0))</f>
        <v>0</v>
      </c>
      <c r="CA370" s="1277">
        <f>+IF($K370="Ongoing",BE370,IF(RIGHT($K370,2)=RIGHT(CA$43,2),SUM($AX370:BE370),0)+IF(RIGHT(CA$43,2)&gt;RIGHT($K370,2),BE370,0))</f>
        <v>0</v>
      </c>
      <c r="CB370" s="1277">
        <f>+IF($K370="Ongoing",BF370,IF(RIGHT($K370,2)=RIGHT(CB$43,2),SUM($AX370:BF370),0)+IF(RIGHT(CB$43,2)&gt;RIGHT($K370,2),BF370,0))</f>
        <v>0</v>
      </c>
      <c r="CC370" s="388">
        <f>+IF($K370="Ongoing",BG370,IF(RIGHT($K370,2)=RIGHT(CC$43,2),SUM($AX370:BG370),0)+IF(RIGHT(CC$43,2)&gt;RIGHT($K370,2),BG370,0))</f>
        <v>0</v>
      </c>
      <c r="CD370" s="1025"/>
      <c r="CE370" s="1282">
        <f>+Q370*KeyAssumptionsPriceControl_FO!AF$15</f>
        <v>0</v>
      </c>
      <c r="CF370" s="387">
        <f>+R370*KeyAssumptionsPriceControl_FO!AG$15</f>
        <v>0</v>
      </c>
      <c r="CG370" s="387">
        <f>+S370*KeyAssumptionsPriceControl_FO!AH$15</f>
        <v>0</v>
      </c>
      <c r="CH370" s="387">
        <f>+T370*KeyAssumptionsPriceControl_FO!AI$15</f>
        <v>0</v>
      </c>
      <c r="CI370" s="1283">
        <f>+U370*KeyAssumptionsPriceControl_FO!AJ$15</f>
        <v>0</v>
      </c>
      <c r="CJ370" s="386">
        <f>+V370*KeyAssumptionsPriceControl_FO!AK$15</f>
        <v>0</v>
      </c>
      <c r="CK370" s="387">
        <f>+W370*KeyAssumptionsPriceControl_FO!AL$15</f>
        <v>0</v>
      </c>
      <c r="CL370" s="1277">
        <f>+X370*KeyAssumptionsPriceControl_FO!AM$15</f>
        <v>0</v>
      </c>
      <c r="CM370" s="1277">
        <f>+Y370*KeyAssumptionsPriceControl_FO!AN$15</f>
        <v>0</v>
      </c>
      <c r="CN370" s="388">
        <f>+Z370*KeyAssumptionsPriceControl_FO!AO$15</f>
        <v>0</v>
      </c>
      <c r="CO370" s="1025"/>
      <c r="CP370" s="1282">
        <f t="shared" ca="1" si="546"/>
        <v>0</v>
      </c>
      <c r="CQ370" s="387">
        <f t="shared" ca="1" si="547"/>
        <v>0</v>
      </c>
      <c r="CR370" s="387">
        <f t="shared" ca="1" si="548"/>
        <v>0</v>
      </c>
      <c r="CS370" s="387">
        <f t="shared" ca="1" si="628"/>
        <v>0</v>
      </c>
      <c r="CT370" s="1283">
        <f t="shared" ca="1" si="628"/>
        <v>0</v>
      </c>
      <c r="CU370" s="386">
        <f t="shared" ca="1" si="628"/>
        <v>0</v>
      </c>
      <c r="CV370" s="387">
        <f t="shared" ca="1" si="628"/>
        <v>0</v>
      </c>
      <c r="CW370" s="1277">
        <f t="shared" ca="1" si="628"/>
        <v>0</v>
      </c>
      <c r="CX370" s="1277">
        <f t="shared" ca="1" si="628"/>
        <v>0</v>
      </c>
      <c r="CY370" s="388">
        <f t="shared" ca="1" si="628"/>
        <v>0</v>
      </c>
      <c r="CZ370" s="347"/>
      <c r="DA370" s="852"/>
      <c r="DB370" s="347"/>
      <c r="DC370" s="1012" t="s">
        <v>517</v>
      </c>
      <c r="DD370" s="841" t="s">
        <v>518</v>
      </c>
      <c r="DE370" s="386">
        <f>+IF($K370="ongoing",CE370,IF(RIGHT($K370,2)=RIGHT(DE$43,2),SUM($CD370:CE370),0)+IF(RIGHT(DE$43,2)&gt;RIGHT($K370,2),CE370,0))</f>
        <v>0</v>
      </c>
      <c r="DF370" s="387">
        <f>+IF($K370="ongoing",CF370,IF(RIGHT($K370,2)=RIGHT(DF$43,2),SUM($CD370:CF370),0)+IF(RIGHT(DF$43,2)&gt;RIGHT($K370,2),CF370,0))</f>
        <v>0</v>
      </c>
      <c r="DG370" s="388">
        <f>+IF($K370="ongoing",CG370,IF(RIGHT($K370,2)=RIGHT(DG$43,2),SUM($CD370:CG370),0)+IF(RIGHT(DG$43,2)&gt;RIGHT($K370,2),CG370,0))</f>
        <v>0</v>
      </c>
      <c r="DH370" s="386">
        <f>+IF($K370="ongoing",CH370,IF(RIGHT($K370,2)=RIGHT(DH$43,2),SUM($CD370:CH370),0)+IF(RIGHT(DH$43,2)&gt;RIGHT($K370,2),CH370,0))</f>
        <v>0</v>
      </c>
      <c r="DI370" s="387">
        <f>+IF($K370="ongoing",CI370,IF(RIGHT($K370,2)=RIGHT(DI$43,2),SUM($CD370:CI370),0)+IF(RIGHT(DI$43,2)&gt;RIGHT($K370,2),CI370,0))</f>
        <v>0</v>
      </c>
      <c r="DJ370" s="387">
        <f>+IF($K370="ongoing",CJ370,IF(RIGHT($K370,2)=RIGHT(DJ$43,2),SUM($CD370:CJ370),0)+IF(RIGHT(DJ$43,2)&gt;RIGHT($K370,2),CJ370,0))</f>
        <v>0</v>
      </c>
      <c r="DK370" s="387">
        <f>+IF($K370="ongoing",CK370,IF(RIGHT($K370,2)=RIGHT(DK$43,2),SUM($CD370:CK370),0)+IF(RIGHT(DK$43,2)&gt;RIGHT($K370,2),CK370,0))</f>
        <v>0</v>
      </c>
      <c r="DL370" s="388">
        <f>+IF($K370="ongoing",CN370,IF(RIGHT($K370,2)=RIGHT(DL$43,2),SUM($CD370:CN370),0)+IF(RIGHT(DL$43,2)&gt;RIGHT($K370,2),CN370,0))</f>
        <v>0</v>
      </c>
      <c r="DM370" s="841"/>
      <c r="DN370" s="386">
        <f t="shared" si="632"/>
        <v>0.5</v>
      </c>
      <c r="DO370" s="387">
        <f t="shared" si="632"/>
        <v>1</v>
      </c>
      <c r="DP370" s="388">
        <f t="shared" si="632"/>
        <v>1</v>
      </c>
      <c r="DQ370" s="386">
        <f t="shared" si="632"/>
        <v>1</v>
      </c>
      <c r="DR370" s="387">
        <f t="shared" si="632"/>
        <v>1</v>
      </c>
      <c r="DS370" s="387">
        <f t="shared" si="632"/>
        <v>1</v>
      </c>
      <c r="DT370" s="387">
        <f t="shared" si="632"/>
        <v>1</v>
      </c>
      <c r="DU370" s="388">
        <f t="shared" si="632"/>
        <v>1</v>
      </c>
      <c r="DW370" s="386">
        <f t="shared" si="633"/>
        <v>0</v>
      </c>
      <c r="DX370" s="387">
        <f t="shared" si="633"/>
        <v>0.5</v>
      </c>
      <c r="DY370" s="388">
        <f t="shared" si="633"/>
        <v>1</v>
      </c>
      <c r="DZ370" s="386">
        <f t="shared" si="633"/>
        <v>1</v>
      </c>
      <c r="EA370" s="387">
        <f t="shared" si="633"/>
        <v>1</v>
      </c>
      <c r="EB370" s="387">
        <f t="shared" si="633"/>
        <v>1</v>
      </c>
      <c r="EC370" s="387">
        <f t="shared" si="633"/>
        <v>1</v>
      </c>
      <c r="ED370" s="388">
        <f t="shared" si="633"/>
        <v>1</v>
      </c>
      <c r="EF370" s="834">
        <f>+IF(DN370=DM370,0,
IF(AND(EF$44&gt;1,DN370=$N370),1-SUM($EE370:EE370),
IF($N370&lt;=1,
IF($N370&gt;0,1/$N370,0),
IF(EF$44=1,0,VDB(1,0,$N370,INT(EF$44-1-1),MIN($N370,INT(EF$44-1-1)+1),$DC370,IF($DD370="No",1,0))/
IF(DM370&gt;=INT($N370),$N370-INT($N370),1)))*
IF(EF$44=1,0,
IF(INT(DN370)=INT(DM370),DN370-DM370,INT(DN370)-DM370))+
IF($N370&lt;=1,
IF($N370&gt;0,1/$N370,0),VDB(1,0,$N370,INT(EF$44-1),MIN($N370,INT(EF$44-1)+1),$DC370,IF($DD370="No",1,0))/
IF(DN370&gt;INT($N370),$N370-INT($N370),1))*
IF(EF$44=1,DN370,
IF(INT(DN370)=INT(DM370),0,DN370-INT(DN370)))))</f>
        <v>0</v>
      </c>
      <c r="EG370" s="835">
        <f>+IF(DO370=DN370,0,
IF(AND(EG$44&gt;1,DO370=$N370),1-SUM($EE370:EF370),
IF($N370&lt;=1,
IF($N370&gt;0,1/$N370,0),
IF(EG$44=1,0,VDB(1,0,$N370,INT(EG$44-1-1),MIN($N370,INT(EG$44-1-1)+1),$DC370,IF($DD370="No",1,0))/
IF(DN370&gt;=INT($N370),$N370-INT($N370),1)))*
IF(EG$44=1,0,
IF(INT(DO370)=INT(DN370),DO370-DN370,INT(DO370)-DN370))+
IF($N370&lt;=1,
IF($N370&gt;0,1/$N370,0),VDB(1,0,$N370,INT(EG$44-1),MIN($N370,INT(EG$44-1)+1),$DC370,IF($DD370="No",1,0))/
IF(DO370&gt;INT($N370),$N370-INT($N370),1))*
IF(EG$44=1,DO370,
IF(INT(DO370)=INT(DN370),0,DO370-INT(DO370)))))</f>
        <v>0</v>
      </c>
      <c r="EH370" s="836">
        <f>+IF(DP370=DO370,0,
IF(AND(EH$44&gt;1,DP370=$N370),1-SUM($EE370:EG370),
IF($N370&lt;=1,
IF($N370&gt;0,1/$N370,0),
IF(EH$44=1,0,VDB(1,0,$N370,INT(EH$44-1-1),MIN($N370,INT(EH$44-1-1)+1),$DC370,IF($DD370="No",1,0))/
IF(DO370&gt;=INT($N370),$N370-INT($N370),1)))*
IF(EH$44=1,0,
IF(INT(DP370)=INT(DO370),DP370-DO370,INT(DP370)-DO370))+
IF($N370&lt;=1,
IF($N370&gt;0,1/$N370,0),VDB(1,0,$N370,INT(EH$44-1),MIN($N370,INT(EH$44-1)+1),$DC370,IF($DD370="No",1,0))/
IF(DP370&gt;INT($N370),$N370-INT($N370),1))*
IF(EH$44=1,DP370,
IF(INT(DP370)=INT(DO370),0,DP370-INT(DP370)))))</f>
        <v>0</v>
      </c>
      <c r="EI370" s="834">
        <f>+IF(DQ370=DP370,0,
IF(AND(EI$44&gt;1,DQ370=$N370),1-SUM($EE370:EH370),
IF($N370&lt;=1,
IF($N370&gt;0,1/$N370,0),
IF(EI$44=1,0,VDB(1,0,$N370,INT(EI$44-1-1),MIN($N370,INT(EI$44-1-1)+1),$DC370,IF($DD370="No",1,0))/
IF(DP370&gt;=INT($N370),$N370-INT($N370),1)))*
IF(EI$44=1,0,
IF(INT(DQ370)=INT(DP370),DQ370-DP370,INT(DQ370)-DP370))+
IF($N370&lt;=1,
IF($N370&gt;0,1/$N370,0),VDB(1,0,$N370,INT(EI$44-1),MIN($N370,INT(EI$44-1)+1),$DC370,IF($DD370="No",1,0))/
IF(DQ370&gt;INT($N370),$N370-INT($N370),1))*
IF(EI$44=1,DQ370,
IF(INT(DQ370)=INT(DP370),0,DQ370-INT(DQ370)))))</f>
        <v>0</v>
      </c>
      <c r="EJ370" s="835">
        <f>+IF(DR370=DQ370,0,
IF(AND(EJ$44&gt;1,DR370=$N370),1-SUM($EE370:EI370),
IF($N370&lt;=1,
IF($N370&gt;0,1/$N370,0),
IF(EJ$44=1,0,VDB(1,0,$N370,INT(EJ$44-1-1),MIN($N370,INT(EJ$44-1-1)+1),$DC370,IF($DD370="No",1,0))/
IF(DQ370&gt;=INT($N370),$N370-INT($N370),1)))*
IF(EJ$44=1,0,
IF(INT(DR370)=INT(DQ370),DR370-DQ370,INT(DR370)-DQ370))+
IF($N370&lt;=1,
IF($N370&gt;0,1/$N370,0),VDB(1,0,$N370,INT(EJ$44-1),MIN($N370,INT(EJ$44-1)+1),$DC370,IF($DD370="No",1,0))/
IF(DR370&gt;INT($N370),$N370-INT($N370),1))*
IF(EJ$44=1,DR370,
IF(INT(DR370)=INT(DQ370),0,DR370-INT(DR370)))))</f>
        <v>0</v>
      </c>
      <c r="EK370" s="835">
        <f>+IF(DS370=DR370,0,
IF(AND(EK$44&gt;1,DS370=$N370),1-SUM($EE370:EJ370),
IF($N370&lt;=1,
IF($N370&gt;0,1/$N370,0),
IF(EK$44=1,0,VDB(1,0,$N370,INT(EK$44-1-1),MIN($N370,INT(EK$44-1-1)+1),$DC370,IF($DD370="No",1,0))/
IF(DR370&gt;=INT($N370),$N370-INT($N370),1)))*
IF(EK$44=1,0,
IF(INT(DS370)=INT(DR370),DS370-DR370,INT(DS370)-DR370))+
IF($N370&lt;=1,
IF($N370&gt;0,1/$N370,0),VDB(1,0,$N370,INT(EK$44-1),MIN($N370,INT(EK$44-1)+1),$DC370,IF($DD370="No",1,0))/
IF(DS370&gt;INT($N370),$N370-INT($N370),1))*
IF(EK$44=1,DS370,
IF(INT(DS370)=INT(DR370),0,DS370-INT(DS370)))))</f>
        <v>0</v>
      </c>
      <c r="EL370" s="835">
        <f>+IF(DT370=DS370,0,
IF(AND(EL$44&gt;1,DT370=$N370),1-SUM($EE370:EK370),
IF($N370&lt;=1,
IF($N370&gt;0,1/$N370,0),
IF(EL$44=1,0,VDB(1,0,$N370,INT(EL$44-1-1),MIN($N370,INT(EL$44-1-1)+1),$DC370,IF($DD370="No",1,0))/
IF(DS370&gt;=INT($N370),$N370-INT($N370),1)))*
IF(EL$44=1,0,
IF(INT(DT370)=INT(DS370),DT370-DS370,INT(DT370)-DS370))+
IF($N370&lt;=1,
IF($N370&gt;0,1/$N370,0),VDB(1,0,$N370,INT(EL$44-1),MIN($N370,INT(EL$44-1)+1),$DC370,IF($DD370="No",1,0))/
IF(DT370&gt;INT($N370),$N370-INT($N370),1))*
IF(EL$44=1,DT370,
IF(INT(DT370)=INT(DS370),0,DT370-INT(DT370)))))</f>
        <v>0</v>
      </c>
      <c r="EM370" s="836">
        <f>+IF(DU370=DT370,0,
IF(AND(EM$44&gt;1,DU370=$N370),1-SUM($EE370:EL370),
IF($N370&lt;=1,
IF($N370&gt;0,1/$N370,0),
IF(EM$44=1,0,VDB(1,0,$N370,INT(EM$44-1-1),MIN($N370,INT(EM$44-1-1)+1),$DC370,IF($DD370="No",1,0))/
IF(DT370&gt;=INT($N370),$N370-INT($N370),1)))*
IF(EM$44=1,0,
IF(INT(DU370)=INT(DT370),DU370-DT370,INT(DU370)-DT370))+
IF($N370&lt;=1,
IF($N370&gt;0,1/$N370,0),VDB(1,0,$N370,INT(EM$44-1),MIN($N370,INT(EM$44-1)+1),$DC370,IF($DD370="No",1,0))/
IF(DU370&gt;INT($N370),$N370-INT($N370),1))*
IF(EM$44=1,DU370,
IF(INT(DU370)=INT(DT370),0,DU370-INT(DU370)))))</f>
        <v>0</v>
      </c>
      <c r="EN370" s="833"/>
      <c r="EO370" s="834">
        <f>+IF(OR(DW370=DV370,EO$44=1),0,
IF(AND(EO$44&gt;1,DW370=$N370),1-SUM($EN370:EN370),
IF($N370&lt;=1,
IF($N370&gt;0,1/$N370,0),
IF(EO$44=2,0,VDB(1,0,$N370,INT(EO$44-2-1),MIN($N370,INT(EO$44-2-1)+1),$DC370,IF($DD370="No",1,0))/
IF(DV370&gt;=INT($N370),$N370-INT($N370),1)))*
IF(EO$44=2,0,
IF(INT(DW370)=INT(DV370),DW370-DV370,INT(DW370)-DV370))+
IF($N370&lt;=1,
IF($N370&gt;0,1/$N370,0),VDB(1,0,$N370,INT(EO$44-2),MIN($N370,INT(EO$44-2)+1),$DC370,IF($DD370="No",1,0))/
IF(DW370&gt;INT($N370),$N370-INT($N370),1))*
IF(EO$44=2,DW370,
IF(INT(DW370)=INT(DV370),0,DW370-INT(DW370)))))</f>
        <v>0</v>
      </c>
      <c r="EP370" s="835">
        <f>+IF(OR(DX370=DW370,EP$44=1),0,
IF(AND(EP$44&gt;1,DX370=$N370),1-SUM($EN370:EO370),
IF($N370&lt;=1,
IF($N370&gt;0,1/$N370,0),
IF(EP$44=2,0,VDB(1,0,$N370,INT(EP$44-2-1),MIN($N370,INT(EP$44-2-1)+1),$DC370,IF($DD370="No",1,0))/
IF(DW370&gt;=INT($N370),$N370-INT($N370),1)))*
IF(EP$44=2,0,
IF(INT(DX370)=INT(DW370),DX370-DW370,INT(DX370)-DW370))+
IF($N370&lt;=1,
IF($N370&gt;0,1/$N370,0),VDB(1,0,$N370,INT(EP$44-2),MIN($N370,INT(EP$44-2)+1),$DC370,IF($DD370="No",1,0))/
IF(DX370&gt;INT($N370),$N370-INT($N370),1))*
IF(EP$44=2,DX370,
IF(INT(DX370)=INT(DW370),0,DX370-INT(DX370)))))</f>
        <v>0</v>
      </c>
      <c r="EQ370" s="836">
        <f>+IF(OR(DY370=DX370,EQ$44=1),0,
IF(AND(EQ$44&gt;1,DY370=$N370),1-SUM($EN370:EP370),
IF($N370&lt;=1,
IF($N370&gt;0,1/$N370,0),
IF(EQ$44=2,0,VDB(1,0,$N370,INT(EQ$44-2-1),MIN($N370,INT(EQ$44-2-1)+1),$DC370,IF($DD370="No",1,0))/
IF(DX370&gt;=INT($N370),$N370-INT($N370),1)))*
IF(EQ$44=2,0,
IF(INT(DY370)=INT(DX370),DY370-DX370,INT(DY370)-DX370))+
IF($N370&lt;=1,
IF($N370&gt;0,1/$N370,0),VDB(1,0,$N370,INT(EQ$44-2),MIN($N370,INT(EQ$44-2)+1),$DC370,IF($DD370="No",1,0))/
IF(DY370&gt;INT($N370),$N370-INT($N370),1))*
IF(EQ$44=2,DY370,
IF(INT(DY370)=INT(DX370),0,DY370-INT(DY370)))))</f>
        <v>0</v>
      </c>
      <c r="ER370" s="834">
        <f>+IF(OR(DZ370=DY370,ER$44=1),0,
IF(AND(ER$44&gt;1,DZ370=$N370),1-SUM($EN370:EQ370),
IF($N370&lt;=1,
IF($N370&gt;0,1/$N370,0),
IF(ER$44=2,0,VDB(1,0,$N370,INT(ER$44-2-1),MIN($N370,INT(ER$44-2-1)+1),$DC370,IF($DD370="No",1,0))/
IF(DY370&gt;=INT($N370),$N370-INT($N370),1)))*
IF(ER$44=2,0,
IF(INT(DZ370)=INT(DY370),DZ370-DY370,INT(DZ370)-DY370))+
IF($N370&lt;=1,
IF($N370&gt;0,1/$N370,0),VDB(1,0,$N370,INT(ER$44-2),MIN($N370,INT(ER$44-2)+1),$DC370,IF($DD370="No",1,0))/
IF(DZ370&gt;INT($N370),$N370-INT($N370),1))*
IF(ER$44=2,DZ370,
IF(INT(DZ370)=INT(DY370),0,DZ370-INT(DZ370)))))</f>
        <v>0</v>
      </c>
      <c r="ES370" s="835">
        <f>+IF(OR(EA370=DZ370,ES$44=1),0,
IF(AND(ES$44&gt;1,EA370=$N370),1-SUM($EN370:ER370),
IF($N370&lt;=1,
IF($N370&gt;0,1/$N370,0),
IF(ES$44=2,0,VDB(1,0,$N370,INT(ES$44-2-1),MIN($N370,INT(ES$44-2-1)+1),$DC370,IF($DD370="No",1,0))/
IF(DZ370&gt;=INT($N370),$N370-INT($N370),1)))*
IF(ES$44=2,0,
IF(INT(EA370)=INT(DZ370),EA370-DZ370,INT(EA370)-DZ370))+
IF($N370&lt;=1,
IF($N370&gt;0,1/$N370,0),VDB(1,0,$N370,INT(ES$44-2),MIN($N370,INT(ES$44-2)+1),$DC370,IF($DD370="No",1,0))/
IF(EA370&gt;INT($N370),$N370-INT($N370),1))*
IF(ES$44=2,EA370,
IF(INT(EA370)=INT(DZ370),0,EA370-INT(EA370)))))</f>
        <v>0</v>
      </c>
      <c r="ET370" s="835">
        <f>+IF(OR(EB370=EA370,ET$44=1),0,
IF(AND(ET$44&gt;1,EB370=$N370),1-SUM($EN370:ES370),
IF($N370&lt;=1,
IF($N370&gt;0,1/$N370,0),
IF(ET$44=2,0,VDB(1,0,$N370,INT(ET$44-2-1),MIN($N370,INT(ET$44-2-1)+1),$DC370,IF($DD370="No",1,0))/
IF(EA370&gt;=INT($N370),$N370-INT($N370),1)))*
IF(ET$44=2,0,
IF(INT(EB370)=INT(EA370),EB370-EA370,INT(EB370)-EA370))+
IF($N370&lt;=1,
IF($N370&gt;0,1/$N370,0),VDB(1,0,$N370,INT(ET$44-2),MIN($N370,INT(ET$44-2)+1),$DC370,IF($DD370="No",1,0))/
IF(EB370&gt;INT($N370),$N370-INT($N370),1))*
IF(ET$44=2,EB370,
IF(INT(EB370)=INT(EA370),0,EB370-INT(EB370)))))</f>
        <v>0</v>
      </c>
      <c r="EU370" s="835">
        <f>+IF(OR(EC370=EB370,EU$44=1),0,
IF(AND(EU$44&gt;1,EC370=$N370),1-SUM($EN370:ET370),
IF($N370&lt;=1,
IF($N370&gt;0,1/$N370,0),
IF(EU$44=2,0,VDB(1,0,$N370,INT(EU$44-2-1),MIN($N370,INT(EU$44-2-1)+1),$DC370,IF($DD370="No",1,0))/
IF(EB370&gt;=INT($N370),$N370-INT($N370),1)))*
IF(EU$44=2,0,
IF(INT(EC370)=INT(EB370),EC370-EB370,INT(EC370)-EB370))+
IF($N370&lt;=1,
IF($N370&gt;0,1/$N370,0),VDB(1,0,$N370,INT(EU$44-2),MIN($N370,INT(EU$44-2)+1),$DC370,IF($DD370="No",1,0))/
IF(EC370&gt;INT($N370),$N370-INT($N370),1))*
IF(EU$44=2,EC370,
IF(INT(EC370)=INT(EB370),0,EC370-INT(EC370)))))</f>
        <v>0</v>
      </c>
      <c r="EV370" s="836">
        <f>+IF(OR(ED370=EC370,EV$44=1),0,
IF(AND(EV$44&gt;1,ED370=$N370),1-SUM($EN370:EU370),
IF($N370&lt;=1,
IF($N370&gt;0,1/$N370,0),
IF(EV$44=2,0,VDB(1,0,$N370,INT(EV$44-2-1),MIN($N370,INT(EV$44-2-1)+1),$DC370,IF($DD370="No",1,0))/
IF(EC370&gt;=INT($N370),$N370-INT($N370),1)))*
IF(EV$44=2,0,
IF(INT(ED370)=INT(EC370),ED370-EC370,INT(ED370)-EC370))+
IF($N370&lt;=1,
IF($N370&gt;0,1/$N370,0),VDB(1,0,$N370,INT(EV$44-2),MIN($N370,INT(EV$44-2)+1),$DC370,IF($DD370="No",1,0))/
IF(ED370&gt;INT($N370),$N370-INT($N370),1))*
IF(EV$44=2,ED370,
IF(INT(ED370)=INT(EC370),0,ED370-INT(ED370)))))</f>
        <v>0</v>
      </c>
      <c r="EW370" s="833"/>
      <c r="EX370" s="834">
        <f t="shared" ca="1" si="634"/>
        <v>0</v>
      </c>
      <c r="EY370" s="835">
        <f t="shared" ca="1" si="634"/>
        <v>0</v>
      </c>
      <c r="EZ370" s="836">
        <f t="shared" ca="1" si="634"/>
        <v>0</v>
      </c>
      <c r="FA370" s="834">
        <f t="shared" ca="1" si="634"/>
        <v>0</v>
      </c>
      <c r="FB370" s="835">
        <f t="shared" ca="1" si="634"/>
        <v>0</v>
      </c>
      <c r="FC370" s="835">
        <f t="shared" ca="1" si="634"/>
        <v>0</v>
      </c>
      <c r="FD370" s="835">
        <f t="shared" ca="1" si="634"/>
        <v>0</v>
      </c>
      <c r="FE370" s="836">
        <f t="shared" ca="1" si="634"/>
        <v>0</v>
      </c>
      <c r="FG370" s="386">
        <f t="shared" ca="1" si="631"/>
        <v>0</v>
      </c>
      <c r="FH370" s="387">
        <f t="shared" ca="1" si="631"/>
        <v>0</v>
      </c>
      <c r="FI370" s="388">
        <f t="shared" ca="1" si="631"/>
        <v>0</v>
      </c>
      <c r="FJ370" s="386">
        <f t="shared" ca="1" si="631"/>
        <v>0</v>
      </c>
      <c r="FK370" s="387">
        <f t="shared" ca="1" si="631"/>
        <v>0</v>
      </c>
      <c r="FL370" s="387">
        <f t="shared" ca="1" si="631"/>
        <v>0</v>
      </c>
      <c r="FM370" s="387">
        <f t="shared" ca="1" si="631"/>
        <v>0</v>
      </c>
      <c r="FN370" s="388">
        <f t="shared" ca="1" si="631"/>
        <v>0</v>
      </c>
      <c r="FR370" s="116"/>
    </row>
    <row r="371" spans="2:174">
      <c r="B371" s="1410">
        <f t="shared" si="556"/>
        <v>325</v>
      </c>
      <c r="C371" s="400"/>
      <c r="D371" s="410"/>
      <c r="E371" s="402"/>
      <c r="F371" s="402"/>
      <c r="G371" s="400"/>
      <c r="H371" s="2088"/>
      <c r="I371" s="2089"/>
      <c r="J371" s="411"/>
      <c r="K371" s="403"/>
      <c r="L371" s="403"/>
      <c r="M371" s="403"/>
      <c r="N371" s="403"/>
      <c r="O371" s="347"/>
      <c r="P371" s="347"/>
      <c r="Q371" s="1021"/>
      <c r="R371" s="1022"/>
      <c r="S371" s="1022"/>
      <c r="T371" s="1022"/>
      <c r="U371" s="1023"/>
      <c r="V371" s="1021"/>
      <c r="W371" s="1022"/>
      <c r="X371" s="1022"/>
      <c r="Y371" s="1022"/>
      <c r="Z371" s="1023"/>
      <c r="AA371" s="1024"/>
      <c r="AB371" s="1021"/>
      <c r="AC371" s="1022"/>
      <c r="AD371" s="1022"/>
      <c r="AE371" s="1022"/>
      <c r="AF371" s="1023"/>
      <c r="AG371" s="1021"/>
      <c r="AH371" s="1022"/>
      <c r="AI371" s="1022"/>
      <c r="AJ371" s="1022"/>
      <c r="AK371" s="1023"/>
      <c r="AL371" s="1024"/>
      <c r="AM371" s="1021"/>
      <c r="AN371" s="1022"/>
      <c r="AO371" s="1022"/>
      <c r="AP371" s="1022"/>
      <c r="AQ371" s="1023"/>
      <c r="AR371" s="1021"/>
      <c r="AS371" s="1022"/>
      <c r="AT371" s="1022"/>
      <c r="AU371" s="1022"/>
      <c r="AV371" s="1023"/>
      <c r="AW371" s="1025"/>
      <c r="AX371" s="1282">
        <f t="shared" ref="AX371:AX396" si="635">+Q371-AB371-AM371</f>
        <v>0</v>
      </c>
      <c r="AY371" s="387">
        <f t="shared" ref="AY371:AY396" si="636">+R371-AC371-AN371</f>
        <v>0</v>
      </c>
      <c r="AZ371" s="387">
        <f t="shared" ref="AZ371:AZ396" si="637">+S371-AD371-AO371</f>
        <v>0</v>
      </c>
      <c r="BA371" s="387">
        <f t="shared" ref="BA371:BA396" si="638">+T371-AE371-AP371</f>
        <v>0</v>
      </c>
      <c r="BB371" s="1283">
        <f t="shared" ref="BB371:BB396" si="639">+U371-AF371-AQ371</f>
        <v>0</v>
      </c>
      <c r="BC371" s="386">
        <f t="shared" ref="BC371:BC396" si="640">+V371-AG371-AR371</f>
        <v>0</v>
      </c>
      <c r="BD371" s="387">
        <f t="shared" ref="BD371:BD396" si="641">+W371-AH371-AS371</f>
        <v>0</v>
      </c>
      <c r="BE371" s="1277">
        <f t="shared" ref="BE371:BG386" si="642">+X371-AI371-AT371</f>
        <v>0</v>
      </c>
      <c r="BF371" s="1277">
        <f t="shared" si="642"/>
        <v>0</v>
      </c>
      <c r="BG371" s="388">
        <f t="shared" si="642"/>
        <v>0</v>
      </c>
      <c r="BH371" s="1025"/>
      <c r="BI371" s="1282">
        <f t="shared" ref="BI371:BI396" ca="1" si="643">IF($L371=0,0,
IF($L371&lt;=0.5,BT371,
IF($J371="straight line",
IF((LEFT(BI$43,4)*1)-INT($L371)&lt;LEFT($BI$43,4)*1,0,((OFFSET(BT371,0,-INT($L371+0.5),1,1))/$L371)*(IF($L371-INT($L371)&gt;0.5,$L371-0.5-INT($L371),IF($L371-INT($L371)&lt;=0.5,$L371-0.5-INT($L371)+1,0))))
+BT371/$L371*0.5,
IF($J371="Declining Balance",-$BI$42,0))))</f>
        <v>0</v>
      </c>
      <c r="BJ371" s="387">
        <f t="shared" ref="BJ371:BJ396" ca="1" si="644">IF($L371=0,0,
IF($L371&lt;=0.5,BU371,
IF(AND($J371="straight line",$L371&lt;1.51),(BT371-((BT371/$L371)*0.5))+BU371/$L371*0.5,
IF($J371="straight line",
IF((LEFT(BJ$43,4)*1)-INT($L371)&lt;LEFT($BI$43,4)*1,0,((OFFSET(BU371,0,-INT($L371+0.5),1,1))/$L371)*(IF($L371-INT($L371)&gt;0.5,$L371-0.5-INT($L371),IF($L371-INT($L371)&lt;=0.5,$L371-0.5-INT($L371)+1,0))))
+BU371/$L371*0.5
+SUM(OFFSET(BU371,0,MAX(-INT($L371+(0.5-(10^-12))),-BJ$44)+1,1,MIN(INT($L371+(0.5-(10^-12))),BJ$44)-1))*1/$L371,
IF($J371="Declining Balance",-$BI$42,0)))))</f>
        <v>0</v>
      </c>
      <c r="BK371" s="387">
        <f t="shared" ref="BK371:BK396" ca="1" si="645">IF($L371=0,0,
IF($L371&lt;=0.5,BV371,
IF(AND($J371="straight line",$L371&lt;1.51),(BU371-((BU371/$L371)*0.5))+BV371/$L371*0.5,
IF($J371="straight line",
IF((LEFT(BK$43,4)*1)-INT($L371)&lt;LEFT($BI$43,4)*1,0,((OFFSET(BV371,0,-INT($L371+0.5),1,1))/$L371)*(IF($L371-INT($L371)&gt;0.5,$L371-0.5-INT($L371),IF($L371-INT($L371)&lt;=0.5,$L371-0.5-INT($L371)+1,0))))
+BV371/$L371*0.5
+SUM(OFFSET(BV371,0,MAX(-INT($L371+(0.5-(10^-12))),-BK$44)+1,1,MIN(INT($L371+(0.5-(10^-12))),BK$44)-1))*1/$L371,
IF($J371="Declining Balance",-$BI$42,0)))))</f>
        <v>0</v>
      </c>
      <c r="BL371" s="387">
        <f t="shared" ref="BL371:BL396" ca="1" si="646">IF($L371=0,0,
IF($L371&lt;=0.5,BW371,
IF(AND($J371="straight line",$L371&lt;1.51),(BV371-((BV371/$L371)*0.5))+BW371/$L371*0.5,
IF($J371="straight line",
IF((LEFT(BL$43,4)*1)-INT($L371)&lt;LEFT($BI$43,4)*1,0,((OFFSET(BW371,0,-INT($L371+0.5),1,1))/$L371)*(IF($L371-INT($L371)&gt;0.5,$L371-0.5-INT($L371),IF($L371-INT($L371)&lt;=0.5,$L371-0.5-INT($L371)+1,0))))
+BW371/$L371*0.5
+SUM(OFFSET(BW371,0,MAX(-INT($L371+(0.5-(10^-12))),-BL$44)+1,1,MIN(INT($L371+(0.5-(10^-12))),BL$44)-1))*1/$L371,
IF($J371="Declining Balance",-$BI$42,0)))))</f>
        <v>0</v>
      </c>
      <c r="BM371" s="1283">
        <f t="shared" ref="BM371:BM396" ca="1" si="647">IF($L371=0,0,
IF($L371&lt;=0.5,BX371,
IF(AND($J371="straight line",$L371&lt;1.51),(BW371-((BW371/$L371)*0.5))+BX371/$L371*0.5,
IF($J371="straight line",
IF((LEFT(BM$43,4)*1)-INT($L371)&lt;LEFT($BI$43,4)*1,0,((OFFSET(BX371,0,-INT($L371+0.5),1,1))/$L371)*(IF($L371-INT($L371)&gt;0.5,$L371-0.5-INT($L371),IF($L371-INT($L371)&lt;=0.5,$L371-0.5-INT($L371)+1,0))))
+BX371/$L371*0.5
+SUM(OFFSET(BX371,0,MAX(-INT($L371+(0.5-(10^-12))),-BM$44)+1,1,MIN(INT($L371+(0.5-(10^-12))),BM$44)-1))*1/$L371,
IF($J371="Declining Balance",-$BI$42,0)))))</f>
        <v>0</v>
      </c>
      <c r="BN371" s="386">
        <f t="shared" ref="BN371:BR386" ca="1" si="648">IF($L371=0,0,
IF($L371&lt;=0.5,BY371,
IF(AND($J371="straight line",$L371&lt;1.51),(BX371-((BX371/$L371)*0.5))+BY371/$L371*0.5,
IF($J371="straight line",
IF((LEFT(BN$43,4)*1)-INT($L371)&lt;LEFT($BI$43,4)*1,0,((OFFSET(BY371,0,-INT($L371+0.5),1,1))/$L371)*(IF($L371-INT($L371)&gt;0.5,$L371-0.5-INT($L371),IF($L371-INT($L371)&lt;=0.5,$L371-0.5-INT($L371)+1,0))))
+BY371/$L371*0.5
+SUM(OFFSET(BY371,0,MAX(-INT($L371+(0.5-(10^-12))),-BN$44)+1,1,MIN(INT($L371+(0.5-(10^-12))),BN$44)-1))*1/$L371,
IF($J371="Declining Balance",-$BI$42,0)))))</f>
        <v>0</v>
      </c>
      <c r="BO371" s="387">
        <f t="shared" ca="1" si="648"/>
        <v>0</v>
      </c>
      <c r="BP371" s="1277">
        <f t="shared" ca="1" si="648"/>
        <v>0</v>
      </c>
      <c r="BQ371" s="1277">
        <f t="shared" ca="1" si="648"/>
        <v>0</v>
      </c>
      <c r="BR371" s="388">
        <f t="shared" ca="1" si="648"/>
        <v>0</v>
      </c>
      <c r="BS371" s="1025"/>
      <c r="BT371" s="1282">
        <f>+IF($K371="Ongoing",AX371,IF(RIGHT($K371,2)=RIGHT(BT$43,2),SUM($AX371:AX371),0)+IF(RIGHT(BT$43,2)&gt;RIGHT($K371,2),AX371,0))</f>
        <v>0</v>
      </c>
      <c r="BU371" s="387">
        <f>+IF($K371="Ongoing",AY371,IF(RIGHT($K371,2)=RIGHT(BU$43,2),SUM($AX371:AY371),0)+IF(RIGHT(BU$43,2)&gt;RIGHT($K371,2),AY371,0))</f>
        <v>0</v>
      </c>
      <c r="BV371" s="387">
        <f>+IF($K371="Ongoing",AZ371,IF(RIGHT($K371,2)=RIGHT(BV$43,2),SUM($AX371:AZ371),0)+IF(RIGHT(BV$43,2)&gt;RIGHT($K371,2),AZ371,0))</f>
        <v>0</v>
      </c>
      <c r="BW371" s="387">
        <f>+IF($K371="Ongoing",BA371,IF(RIGHT($K371,2)=RIGHT(BW$43,2),SUM($AX371:BA371),0)+IF(RIGHT(BW$43,2)&gt;RIGHT($K371,2),BA371,0))</f>
        <v>0</v>
      </c>
      <c r="BX371" s="1283">
        <f>+IF($K371="Ongoing",BB371,IF(RIGHT($K371,2)=RIGHT(BX$43,2),SUM($AX371:BB371),0)+IF(RIGHT(BX$43,2)&gt;RIGHT($K371,2),BB371,0))</f>
        <v>0</v>
      </c>
      <c r="BY371" s="386">
        <f>+IF($K371="Ongoing",BC371,IF(RIGHT($K371,2)=RIGHT(BY$43,2),SUM($AX371:BC371),0)+IF(RIGHT(BY$43,2)&gt;RIGHT($K371,2),BC371,0))</f>
        <v>0</v>
      </c>
      <c r="BZ371" s="387">
        <f>+IF($K371="Ongoing",BD371,IF(RIGHT($K371,2)=RIGHT(BZ$43,2),SUM($AX371:BD371),0)+IF(RIGHT(BZ$43,2)&gt;RIGHT($K371,2),BD371,0))</f>
        <v>0</v>
      </c>
      <c r="CA371" s="1277">
        <f>+IF($K371="Ongoing",BE371,IF(RIGHT($K371,2)=RIGHT(CA$43,2),SUM($AX371:BE371),0)+IF(RIGHT(CA$43,2)&gt;RIGHT($K371,2),BE371,0))</f>
        <v>0</v>
      </c>
      <c r="CB371" s="1277">
        <f>+IF($K371="Ongoing",BF371,IF(RIGHT($K371,2)=RIGHT(CB$43,2),SUM($AX371:BF371),0)+IF(RIGHT(CB$43,2)&gt;RIGHT($K371,2),BF371,0))</f>
        <v>0</v>
      </c>
      <c r="CC371" s="388">
        <f>+IF($K371="Ongoing",BG371,IF(RIGHT($K371,2)=RIGHT(CC$43,2),SUM($AX371:BG371),0)+IF(RIGHT(CC$43,2)&gt;RIGHT($K371,2),BG371,0))</f>
        <v>0</v>
      </c>
      <c r="CD371" s="1025"/>
      <c r="CE371" s="1282">
        <f>+Q371*KeyAssumptionsPriceControl_FO!AF$15</f>
        <v>0</v>
      </c>
      <c r="CF371" s="387">
        <f>+R371*KeyAssumptionsPriceControl_FO!AG$15</f>
        <v>0</v>
      </c>
      <c r="CG371" s="387">
        <f>+S371*KeyAssumptionsPriceControl_FO!AH$15</f>
        <v>0</v>
      </c>
      <c r="CH371" s="387">
        <f>+T371*KeyAssumptionsPriceControl_FO!AI$15</f>
        <v>0</v>
      </c>
      <c r="CI371" s="1283">
        <f>+U371*KeyAssumptionsPriceControl_FO!AJ$15</f>
        <v>0</v>
      </c>
      <c r="CJ371" s="386">
        <f>+V371*KeyAssumptionsPriceControl_FO!AK$15</f>
        <v>0</v>
      </c>
      <c r="CK371" s="387">
        <f>+W371*KeyAssumptionsPriceControl_FO!AL$15</f>
        <v>0</v>
      </c>
      <c r="CL371" s="1277">
        <f>+X371*KeyAssumptionsPriceControl_FO!AM$15</f>
        <v>0</v>
      </c>
      <c r="CM371" s="1277">
        <f>+Y371*KeyAssumptionsPriceControl_FO!AN$15</f>
        <v>0</v>
      </c>
      <c r="CN371" s="388">
        <f>+Z371*KeyAssumptionsPriceControl_FO!AO$15</f>
        <v>0</v>
      </c>
      <c r="CO371" s="1025"/>
      <c r="CP371" s="1282">
        <f t="shared" ref="CP371:CP396" ca="1" si="649">IF($M371="straight line",IF($N371=0,0,
IF($N371&lt;=0.5,CE371,
IF($J371="straight line",
IF((LEFT(CP$43,4)*1)-INT($N371)&lt;LEFT($CP$43,4)*1,0,((OFFSET(CE371,0,-INT($N371+0.5),1,1))/$N371)*(IF($N371-INT($N371)&gt;0.5,$N371-0.5-INT($N371),IF($N371-INT($N371)&lt;=0.5,$N371-0.5-INT($N371)+1,0))))
+CE371/$N371*0.5,
IF($J371="Declining Balance",-$CP$42,0)))),IFERROR(FG371,0))</f>
        <v>0</v>
      </c>
      <c r="CQ371" s="387">
        <f t="shared" ref="CQ371:CQ396" ca="1" si="650">IF($M371="straight line",IF($N371=0,0,
IF($N371&lt;=0.5,CF371,
IF($J371="straight line",
IF((LEFT(CQ$43,4)*1)-INT($N371)&lt;LEFT($CP$43,4)*1,0,((OFFSET(CF371,0,-INT($N371+0.5),1,1))/$N371)*(IF($N371-INT($N371)&gt;0.5,$N371-0.5-INT($N371),IF($N371-INT($N371)&lt;=0.5,$N371-0.5-INT($N371)+1,0))))
+CF371/$N371*0.5,
IF($J371="Declining Balance",-$CP$42,0)))),IFERROR(FH371,0))</f>
        <v>0</v>
      </c>
      <c r="CR371" s="387">
        <f t="shared" ref="CR371:CR396" ca="1" si="651">IF($M371="straight line",IF($N371=0,0,
IF($N371&lt;=0.5,CG371,
IF($J371="straight line",
IF((LEFT(CR$43,4)*1)-INT($N371)&lt;LEFT($CP$43,4)*1,0,((OFFSET(CG371,0,-INT($N371+0.5),1,1))/$N371)*(IF($N371-INT($N371)&gt;0.5,$N371-0.5-INT($N371),IF($N371-INT($N371)&lt;=0.5,$N371-0.5-INT($N371)+1,0))))
+CG371/$N371*0.5,
IF($J371="Declining Balance",-$CP$42,0)))),IFERROR(FI371,0))</f>
        <v>0</v>
      </c>
      <c r="CS371" s="387">
        <f t="shared" ref="CS371:CS396" ca="1" si="652">IF($M371="straight line",IF($N371=0,0,
IF($N371&lt;=0.5,CH371,
IF($J371="straight line",
IF((LEFT(CS$43,4)*1)-INT($N371)&lt;LEFT($CP$43,4)*1,0,((OFFSET(CH371,0,-INT($N371+0.5),1,1))/$N371)*(IF($N371-INT($N371)&gt;0.5,$N371-0.5-INT($N371),IF($N371-INT($N371)&lt;=0.5,$N371-0.5-INT($N371)+1,0))))
+CH371/$N371*0.5,
IF($J371="Declining Balance",-$CP$42,0)))),IFERROR(FJ371,0))</f>
        <v>0</v>
      </c>
      <c r="CT371" s="1283">
        <f t="shared" ref="CT371:CT396" ca="1" si="653">IF($M371="straight line",IF($N371=0,0,
IF($N371&lt;=0.5,CI371,
IF($J371="straight line",
IF((LEFT(CT$43,4)*1)-INT($N371)&lt;LEFT($CP$43,4)*1,0,((OFFSET(CI371,0,-INT($N371+0.5),1,1))/$N371)*(IF($N371-INT($N371)&gt;0.5,$N371-0.5-INT($N371),IF($N371-INT($N371)&lt;=0.5,$N371-0.5-INT($N371)+1,0))))
+CI371/$N371*0.5,
IF($J371="Declining Balance",-$CP$42,0)))),IFERROR(FK371,0))</f>
        <v>0</v>
      </c>
      <c r="CU371" s="386">
        <f t="shared" ref="CU371:CU396" ca="1" si="654">IF($M371="straight line",IF($N371=0,0,
IF($N371&lt;=0.5,CJ371,
IF($J371="straight line",
IF((LEFT(CU$43,4)*1)-INT($N371)&lt;LEFT($CP$43,4)*1,0,((OFFSET(CJ371,0,-INT($N371+0.5),1,1))/$N371)*(IF($N371-INT($N371)&gt;0.5,$N371-0.5-INT($N371),IF($N371-INT($N371)&lt;=0.5,$N371-0.5-INT($N371)+1,0))))
+CJ371/$N371*0.5,
IF($J371="Declining Balance",-$CP$42,0)))),IFERROR(FL371,0))</f>
        <v>0</v>
      </c>
      <c r="CV371" s="387">
        <f t="shared" ref="CV371:CV396" ca="1" si="655">IF($M371="straight line",IF($N371=0,0,
IF($N371&lt;=0.5,CK371,
IF($J371="straight line",
IF((LEFT(CV$43,4)*1)-INT($N371)&lt;LEFT($CP$43,4)*1,0,((OFFSET(CK371,0,-INT($N371+0.5),1,1))/$N371)*(IF($N371-INT($N371)&gt;0.5,$N371-0.5-INT($N371),IF($N371-INT($N371)&lt;=0.5,$N371-0.5-INT($N371)+1,0))))
+CK371/$N371*0.5,
IF($J371="Declining Balance",-$CP$42,0)))),IFERROR(FM371,0))</f>
        <v>0</v>
      </c>
      <c r="CW371" s="1277">
        <f t="shared" ref="CW371:CW396" ca="1" si="656">IF($M371="straight line",IF($N371=0,0,
IF($N371&lt;=0.5,CL371,
IF($J371="straight line",
IF((LEFT(CW$43,4)*1)-INT($N371)&lt;LEFT($CP$43,4)*1,0,((OFFSET(CL371,0,-INT($N371+0.5),1,1))/$N371)*(IF($N371-INT($N371)&gt;0.5,$N371-0.5-INT($N371),IF($N371-INT($N371)&lt;=0.5,$N371-0.5-INT($N371)+1,0))))
+CL371/$N371*0.5,
IF($J371="Declining Balance",-$CP$42,0)))),IFERROR(FN371,0))</f>
        <v>0</v>
      </c>
      <c r="CX371" s="1277">
        <f t="shared" ref="CX371:CX396" ca="1" si="657">IF($M371="straight line",IF($N371=0,0,
IF($N371&lt;=0.5,CM371,
IF($J371="straight line",
IF((LEFT(CX$43,4)*1)-INT($N371)&lt;LEFT($CP$43,4)*1,0,((OFFSET(CM371,0,-INT($N371+0.5),1,1))/$N371)*(IF($N371-INT($N371)&gt;0.5,$N371-0.5-INT($N371),IF($N371-INT($N371)&lt;=0.5,$N371-0.5-INT($N371)+1,0))))
+CM371/$N371*0.5,
IF($J371="Declining Balance",-$CP$42,0)))),IFERROR(FO371,0))</f>
        <v>0</v>
      </c>
      <c r="CY371" s="388">
        <f t="shared" ref="CY371:CY396" ca="1" si="658">IF($M371="straight line",IF($N371=0,0,
IF($N371&lt;=0.5,CN371,
IF($J371="straight line",
IF((LEFT(CY$43,4)*1)-INT($N371)&lt;LEFT($CP$43,4)*1,0,((OFFSET(CN371,0,-INT($N371+0.5),1,1))/$N371)*(IF($N371-INT($N371)&gt;0.5,$N371-0.5-INT($N371),IF($N371-INT($N371)&lt;=0.5,$N371-0.5-INT($N371)+1,0))))
+CN371/$N371*0.5,
IF($J371="Declining Balance",-$CP$42,0)))),IFERROR(FP371,0))</f>
        <v>0</v>
      </c>
      <c r="CZ371" s="347"/>
      <c r="DA371" s="852"/>
      <c r="DB371" s="347"/>
      <c r="DC371" s="1012" t="s">
        <v>517</v>
      </c>
      <c r="DD371" s="841" t="s">
        <v>518</v>
      </c>
      <c r="DE371" s="386">
        <f>+IF($K371="ongoing",CE371,IF(RIGHT($K371,2)=RIGHT(DE$43,2),SUM($CD371:CE371),0)+IF(RIGHT(DE$43,2)&gt;RIGHT($K371,2),CE371,0))</f>
        <v>0</v>
      </c>
      <c r="DF371" s="387">
        <f>+IF($K371="ongoing",CF371,IF(RIGHT($K371,2)=RIGHT(DF$43,2),SUM($CD371:CF371),0)+IF(RIGHT(DF$43,2)&gt;RIGHT($K371,2),CF371,0))</f>
        <v>0</v>
      </c>
      <c r="DG371" s="388">
        <f>+IF($K371="ongoing",CG371,IF(RIGHT($K371,2)=RIGHT(DG$43,2),SUM($CD371:CG371),0)+IF(RIGHT(DG$43,2)&gt;RIGHT($K371,2),CG371,0))</f>
        <v>0</v>
      </c>
      <c r="DH371" s="386">
        <f>+IF($K371="ongoing",CH371,IF(RIGHT($K371,2)=RIGHT(DH$43,2),SUM($CD371:CH371),0)+IF(RIGHT(DH$43,2)&gt;RIGHT($K371,2),CH371,0))</f>
        <v>0</v>
      </c>
      <c r="DI371" s="387">
        <f>+IF($K371="ongoing",CI371,IF(RIGHT($K371,2)=RIGHT(DI$43,2),SUM($CD371:CI371),0)+IF(RIGHT(DI$43,2)&gt;RIGHT($K371,2),CI371,0))</f>
        <v>0</v>
      </c>
      <c r="DJ371" s="387">
        <f>+IF($K371="ongoing",CJ371,IF(RIGHT($K371,2)=RIGHT(DJ$43,2),SUM($CD371:CJ371),0)+IF(RIGHT(DJ$43,2)&gt;RIGHT($K371,2),CJ371,0))</f>
        <v>0</v>
      </c>
      <c r="DK371" s="387">
        <f>+IF($K371="ongoing",CK371,IF(RIGHT($K371,2)=RIGHT(DK$43,2),SUM($CD371:CK371),0)+IF(RIGHT(DK$43,2)&gt;RIGHT($K371,2),CK371,0))</f>
        <v>0</v>
      </c>
      <c r="DL371" s="388">
        <f>+IF($K371="ongoing",CN371,IF(RIGHT($K371,2)=RIGHT(DL$43,2),SUM($CD371:CN371),0)+IF(RIGHT(DL$43,2)&gt;RIGHT($K371,2),CN371,0))</f>
        <v>0</v>
      </c>
      <c r="DM371" s="841"/>
      <c r="DN371" s="386">
        <f t="shared" si="632"/>
        <v>0.5</v>
      </c>
      <c r="DO371" s="387">
        <f t="shared" si="632"/>
        <v>1</v>
      </c>
      <c r="DP371" s="388">
        <f t="shared" si="632"/>
        <v>1</v>
      </c>
      <c r="DQ371" s="386">
        <f t="shared" si="632"/>
        <v>1</v>
      </c>
      <c r="DR371" s="387">
        <f t="shared" si="632"/>
        <v>1</v>
      </c>
      <c r="DS371" s="387">
        <f t="shared" si="632"/>
        <v>1</v>
      </c>
      <c r="DT371" s="387">
        <f t="shared" si="632"/>
        <v>1</v>
      </c>
      <c r="DU371" s="388">
        <f t="shared" si="632"/>
        <v>1</v>
      </c>
      <c r="DW371" s="386">
        <f t="shared" si="633"/>
        <v>0</v>
      </c>
      <c r="DX371" s="387">
        <f t="shared" si="633"/>
        <v>0.5</v>
      </c>
      <c r="DY371" s="388">
        <f t="shared" si="633"/>
        <v>1</v>
      </c>
      <c r="DZ371" s="386">
        <f t="shared" si="633"/>
        <v>1</v>
      </c>
      <c r="EA371" s="387">
        <f t="shared" si="633"/>
        <v>1</v>
      </c>
      <c r="EB371" s="387">
        <f t="shared" si="633"/>
        <v>1</v>
      </c>
      <c r="EC371" s="387">
        <f t="shared" si="633"/>
        <v>1</v>
      </c>
      <c r="ED371" s="388">
        <f t="shared" si="633"/>
        <v>1</v>
      </c>
      <c r="EF371" s="834">
        <f>+IF(DN371=DM371,0,
IF(AND(EF$44&gt;1,DN371=$N371),1-SUM($EE371:EE371),
IF($N371&lt;=1,
IF($N371&gt;0,1/$N371,0),
IF(EF$44=1,0,VDB(1,0,$N371,INT(EF$44-1-1),MIN($N371,INT(EF$44-1-1)+1),$DC371,IF($DD371="No",1,0))/
IF(DM371&gt;=INT($N371),$N371-INT($N371),1)))*
IF(EF$44=1,0,
IF(INT(DN371)=INT(DM371),DN371-DM371,INT(DN371)-DM371))+
IF($N371&lt;=1,
IF($N371&gt;0,1/$N371,0),VDB(1,0,$N371,INT(EF$44-1),MIN($N371,INT(EF$44-1)+1),$DC371,IF($DD371="No",1,0))/
IF(DN371&gt;INT($N371),$N371-INT($N371),1))*
IF(EF$44=1,DN371,
IF(INT(DN371)=INT(DM371),0,DN371-INT(DN371)))))</f>
        <v>0</v>
      </c>
      <c r="EG371" s="835">
        <f>+IF(DO371=DN371,0,
IF(AND(EG$44&gt;1,DO371=$N371),1-SUM($EE371:EF371),
IF($N371&lt;=1,
IF($N371&gt;0,1/$N371,0),
IF(EG$44=1,0,VDB(1,0,$N371,INT(EG$44-1-1),MIN($N371,INT(EG$44-1-1)+1),$DC371,IF($DD371="No",1,0))/
IF(DN371&gt;=INT($N371),$N371-INT($N371),1)))*
IF(EG$44=1,0,
IF(INT(DO371)=INT(DN371),DO371-DN371,INT(DO371)-DN371))+
IF($N371&lt;=1,
IF($N371&gt;0,1/$N371,0),VDB(1,0,$N371,INT(EG$44-1),MIN($N371,INT(EG$44-1)+1),$DC371,IF($DD371="No",1,0))/
IF(DO371&gt;INT($N371),$N371-INT($N371),1))*
IF(EG$44=1,DO371,
IF(INT(DO371)=INT(DN371),0,DO371-INT(DO371)))))</f>
        <v>0</v>
      </c>
      <c r="EH371" s="836">
        <f>+IF(DP371=DO371,0,
IF(AND(EH$44&gt;1,DP371=$N371),1-SUM($EE371:EG371),
IF($N371&lt;=1,
IF($N371&gt;0,1/$N371,0),
IF(EH$44=1,0,VDB(1,0,$N371,INT(EH$44-1-1),MIN($N371,INT(EH$44-1-1)+1),$DC371,IF($DD371="No",1,0))/
IF(DO371&gt;=INT($N371),$N371-INT($N371),1)))*
IF(EH$44=1,0,
IF(INT(DP371)=INT(DO371),DP371-DO371,INT(DP371)-DO371))+
IF($N371&lt;=1,
IF($N371&gt;0,1/$N371,0),VDB(1,0,$N371,INT(EH$44-1),MIN($N371,INT(EH$44-1)+1),$DC371,IF($DD371="No",1,0))/
IF(DP371&gt;INT($N371),$N371-INT($N371),1))*
IF(EH$44=1,DP371,
IF(INT(DP371)=INT(DO371),0,DP371-INT(DP371)))))</f>
        <v>0</v>
      </c>
      <c r="EI371" s="834">
        <f>+IF(DQ371=DP371,0,
IF(AND(EI$44&gt;1,DQ371=$N371),1-SUM($EE371:EH371),
IF($N371&lt;=1,
IF($N371&gt;0,1/$N371,0),
IF(EI$44=1,0,VDB(1,0,$N371,INT(EI$44-1-1),MIN($N371,INT(EI$44-1-1)+1),$DC371,IF($DD371="No",1,0))/
IF(DP371&gt;=INT($N371),$N371-INT($N371),1)))*
IF(EI$44=1,0,
IF(INT(DQ371)=INT(DP371),DQ371-DP371,INT(DQ371)-DP371))+
IF($N371&lt;=1,
IF($N371&gt;0,1/$N371,0),VDB(1,0,$N371,INT(EI$44-1),MIN($N371,INT(EI$44-1)+1),$DC371,IF($DD371="No",1,0))/
IF(DQ371&gt;INT($N371),$N371-INT($N371),1))*
IF(EI$44=1,DQ371,
IF(INT(DQ371)=INT(DP371),0,DQ371-INT(DQ371)))))</f>
        <v>0</v>
      </c>
      <c r="EJ371" s="835">
        <f>+IF(DR371=DQ371,0,
IF(AND(EJ$44&gt;1,DR371=$N371),1-SUM($EE371:EI371),
IF($N371&lt;=1,
IF($N371&gt;0,1/$N371,0),
IF(EJ$44=1,0,VDB(1,0,$N371,INT(EJ$44-1-1),MIN($N371,INT(EJ$44-1-1)+1),$DC371,IF($DD371="No",1,0))/
IF(DQ371&gt;=INT($N371),$N371-INT($N371),1)))*
IF(EJ$44=1,0,
IF(INT(DR371)=INT(DQ371),DR371-DQ371,INT(DR371)-DQ371))+
IF($N371&lt;=1,
IF($N371&gt;0,1/$N371,0),VDB(1,0,$N371,INT(EJ$44-1),MIN($N371,INT(EJ$44-1)+1),$DC371,IF($DD371="No",1,0))/
IF(DR371&gt;INT($N371),$N371-INT($N371),1))*
IF(EJ$44=1,DR371,
IF(INT(DR371)=INT(DQ371),0,DR371-INT(DR371)))))</f>
        <v>0</v>
      </c>
      <c r="EK371" s="835">
        <f>+IF(DS371=DR371,0,
IF(AND(EK$44&gt;1,DS371=$N371),1-SUM($EE371:EJ371),
IF($N371&lt;=1,
IF($N371&gt;0,1/$N371,0),
IF(EK$44=1,0,VDB(1,0,$N371,INT(EK$44-1-1),MIN($N371,INT(EK$44-1-1)+1),$DC371,IF($DD371="No",1,0))/
IF(DR371&gt;=INT($N371),$N371-INT($N371),1)))*
IF(EK$44=1,0,
IF(INT(DS371)=INT(DR371),DS371-DR371,INT(DS371)-DR371))+
IF($N371&lt;=1,
IF($N371&gt;0,1/$N371,0),VDB(1,0,$N371,INT(EK$44-1),MIN($N371,INT(EK$44-1)+1),$DC371,IF($DD371="No",1,0))/
IF(DS371&gt;INT($N371),$N371-INT($N371),1))*
IF(EK$44=1,DS371,
IF(INT(DS371)=INT(DR371),0,DS371-INT(DS371)))))</f>
        <v>0</v>
      </c>
      <c r="EL371" s="835">
        <f>+IF(DT371=DS371,0,
IF(AND(EL$44&gt;1,DT371=$N371),1-SUM($EE371:EK371),
IF($N371&lt;=1,
IF($N371&gt;0,1/$N371,0),
IF(EL$44=1,0,VDB(1,0,$N371,INT(EL$44-1-1),MIN($N371,INT(EL$44-1-1)+1),$DC371,IF($DD371="No",1,0))/
IF(DS371&gt;=INT($N371),$N371-INT($N371),1)))*
IF(EL$44=1,0,
IF(INT(DT371)=INT(DS371),DT371-DS371,INT(DT371)-DS371))+
IF($N371&lt;=1,
IF($N371&gt;0,1/$N371,0),VDB(1,0,$N371,INT(EL$44-1),MIN($N371,INT(EL$44-1)+1),$DC371,IF($DD371="No",1,0))/
IF(DT371&gt;INT($N371),$N371-INT($N371),1))*
IF(EL$44=1,DT371,
IF(INT(DT371)=INT(DS371),0,DT371-INT(DT371)))))</f>
        <v>0</v>
      </c>
      <c r="EM371" s="836">
        <f>+IF(DU371=DT371,0,
IF(AND(EM$44&gt;1,DU371=$N371),1-SUM($EE371:EL371),
IF($N371&lt;=1,
IF($N371&gt;0,1/$N371,0),
IF(EM$44=1,0,VDB(1,0,$N371,INT(EM$44-1-1),MIN($N371,INT(EM$44-1-1)+1),$DC371,IF($DD371="No",1,0))/
IF(DT371&gt;=INT($N371),$N371-INT($N371),1)))*
IF(EM$44=1,0,
IF(INT(DU371)=INT(DT371),DU371-DT371,INT(DU371)-DT371))+
IF($N371&lt;=1,
IF($N371&gt;0,1/$N371,0),VDB(1,0,$N371,INT(EM$44-1),MIN($N371,INT(EM$44-1)+1),$DC371,IF($DD371="No",1,0))/
IF(DU371&gt;INT($N371),$N371-INT($N371),1))*
IF(EM$44=1,DU371,
IF(INT(DU371)=INT(DT371),0,DU371-INT(DU371)))))</f>
        <v>0</v>
      </c>
      <c r="EN371" s="833"/>
      <c r="EO371" s="834">
        <f>+IF(OR(DW371=DV371,EO$44=1),0,
IF(AND(EO$44&gt;1,DW371=$N371),1-SUM($EN371:EN371),
IF($N371&lt;=1,
IF($N371&gt;0,1/$N371,0),
IF(EO$44=2,0,VDB(1,0,$N371,INT(EO$44-2-1),MIN($N371,INT(EO$44-2-1)+1),$DC371,IF($DD371="No",1,0))/
IF(DV371&gt;=INT($N371),$N371-INT($N371),1)))*
IF(EO$44=2,0,
IF(INT(DW371)=INT(DV371),DW371-DV371,INT(DW371)-DV371))+
IF($N371&lt;=1,
IF($N371&gt;0,1/$N371,0),VDB(1,0,$N371,INT(EO$44-2),MIN($N371,INT(EO$44-2)+1),$DC371,IF($DD371="No",1,0))/
IF(DW371&gt;INT($N371),$N371-INT($N371),1))*
IF(EO$44=2,DW371,
IF(INT(DW371)=INT(DV371),0,DW371-INT(DW371)))))</f>
        <v>0</v>
      </c>
      <c r="EP371" s="835">
        <f>+IF(OR(DX371=DW371,EP$44=1),0,
IF(AND(EP$44&gt;1,DX371=$N371),1-SUM($EN371:EO371),
IF($N371&lt;=1,
IF($N371&gt;0,1/$N371,0),
IF(EP$44=2,0,VDB(1,0,$N371,INT(EP$44-2-1),MIN($N371,INT(EP$44-2-1)+1),$DC371,IF($DD371="No",1,0))/
IF(DW371&gt;=INT($N371),$N371-INT($N371),1)))*
IF(EP$44=2,0,
IF(INT(DX371)=INT(DW371),DX371-DW371,INT(DX371)-DW371))+
IF($N371&lt;=1,
IF($N371&gt;0,1/$N371,0),VDB(1,0,$N371,INT(EP$44-2),MIN($N371,INT(EP$44-2)+1),$DC371,IF($DD371="No",1,0))/
IF(DX371&gt;INT($N371),$N371-INT($N371),1))*
IF(EP$44=2,DX371,
IF(INT(DX371)=INT(DW371),0,DX371-INT(DX371)))))</f>
        <v>0</v>
      </c>
      <c r="EQ371" s="836">
        <f>+IF(OR(DY371=DX371,EQ$44=1),0,
IF(AND(EQ$44&gt;1,DY371=$N371),1-SUM($EN371:EP371),
IF($N371&lt;=1,
IF($N371&gt;0,1/$N371,0),
IF(EQ$44=2,0,VDB(1,0,$N371,INT(EQ$44-2-1),MIN($N371,INT(EQ$44-2-1)+1),$DC371,IF($DD371="No",1,0))/
IF(DX371&gt;=INT($N371),$N371-INT($N371),1)))*
IF(EQ$44=2,0,
IF(INT(DY371)=INT(DX371),DY371-DX371,INT(DY371)-DX371))+
IF($N371&lt;=1,
IF($N371&gt;0,1/$N371,0),VDB(1,0,$N371,INT(EQ$44-2),MIN($N371,INT(EQ$44-2)+1),$DC371,IF($DD371="No",1,0))/
IF(DY371&gt;INT($N371),$N371-INT($N371),1))*
IF(EQ$44=2,DY371,
IF(INT(DY371)=INT(DX371),0,DY371-INT(DY371)))))</f>
        <v>0</v>
      </c>
      <c r="ER371" s="834">
        <f>+IF(OR(DZ371=DY371,ER$44=1),0,
IF(AND(ER$44&gt;1,DZ371=$N371),1-SUM($EN371:EQ371),
IF($N371&lt;=1,
IF($N371&gt;0,1/$N371,0),
IF(ER$44=2,0,VDB(1,0,$N371,INT(ER$44-2-1),MIN($N371,INT(ER$44-2-1)+1),$DC371,IF($DD371="No",1,0))/
IF(DY371&gt;=INT($N371),$N371-INT($N371),1)))*
IF(ER$44=2,0,
IF(INT(DZ371)=INT(DY371),DZ371-DY371,INT(DZ371)-DY371))+
IF($N371&lt;=1,
IF($N371&gt;0,1/$N371,0),VDB(1,0,$N371,INT(ER$44-2),MIN($N371,INT(ER$44-2)+1),$DC371,IF($DD371="No",1,0))/
IF(DZ371&gt;INT($N371),$N371-INT($N371),1))*
IF(ER$44=2,DZ371,
IF(INT(DZ371)=INT(DY371),0,DZ371-INT(DZ371)))))</f>
        <v>0</v>
      </c>
      <c r="ES371" s="835">
        <f>+IF(OR(EA371=DZ371,ES$44=1),0,
IF(AND(ES$44&gt;1,EA371=$N371),1-SUM($EN371:ER371),
IF($N371&lt;=1,
IF($N371&gt;0,1/$N371,0),
IF(ES$44=2,0,VDB(1,0,$N371,INT(ES$44-2-1),MIN($N371,INT(ES$44-2-1)+1),$DC371,IF($DD371="No",1,0))/
IF(DZ371&gt;=INT($N371),$N371-INT($N371),1)))*
IF(ES$44=2,0,
IF(INT(EA371)=INT(DZ371),EA371-DZ371,INT(EA371)-DZ371))+
IF($N371&lt;=1,
IF($N371&gt;0,1/$N371,0),VDB(1,0,$N371,INT(ES$44-2),MIN($N371,INT(ES$44-2)+1),$DC371,IF($DD371="No",1,0))/
IF(EA371&gt;INT($N371),$N371-INT($N371),1))*
IF(ES$44=2,EA371,
IF(INT(EA371)=INT(DZ371),0,EA371-INT(EA371)))))</f>
        <v>0</v>
      </c>
      <c r="ET371" s="835">
        <f>+IF(OR(EB371=EA371,ET$44=1),0,
IF(AND(ET$44&gt;1,EB371=$N371),1-SUM($EN371:ES371),
IF($N371&lt;=1,
IF($N371&gt;0,1/$N371,0),
IF(ET$44=2,0,VDB(1,0,$N371,INT(ET$44-2-1),MIN($N371,INT(ET$44-2-1)+1),$DC371,IF($DD371="No",1,0))/
IF(EA371&gt;=INT($N371),$N371-INT($N371),1)))*
IF(ET$44=2,0,
IF(INT(EB371)=INT(EA371),EB371-EA371,INT(EB371)-EA371))+
IF($N371&lt;=1,
IF($N371&gt;0,1/$N371,0),VDB(1,0,$N371,INT(ET$44-2),MIN($N371,INT(ET$44-2)+1),$DC371,IF($DD371="No",1,0))/
IF(EB371&gt;INT($N371),$N371-INT($N371),1))*
IF(ET$44=2,EB371,
IF(INT(EB371)=INT(EA371),0,EB371-INT(EB371)))))</f>
        <v>0</v>
      </c>
      <c r="EU371" s="835">
        <f>+IF(OR(EC371=EB371,EU$44=1),0,
IF(AND(EU$44&gt;1,EC371=$N371),1-SUM($EN371:ET371),
IF($N371&lt;=1,
IF($N371&gt;0,1/$N371,0),
IF(EU$44=2,0,VDB(1,0,$N371,INT(EU$44-2-1),MIN($N371,INT(EU$44-2-1)+1),$DC371,IF($DD371="No",1,0))/
IF(EB371&gt;=INT($N371),$N371-INT($N371),1)))*
IF(EU$44=2,0,
IF(INT(EC371)=INT(EB371),EC371-EB371,INT(EC371)-EB371))+
IF($N371&lt;=1,
IF($N371&gt;0,1/$N371,0),VDB(1,0,$N371,INT(EU$44-2),MIN($N371,INT(EU$44-2)+1),$DC371,IF($DD371="No",1,0))/
IF(EC371&gt;INT($N371),$N371-INT($N371),1))*
IF(EU$44=2,EC371,
IF(INT(EC371)=INT(EB371),0,EC371-INT(EC371)))))</f>
        <v>0</v>
      </c>
      <c r="EV371" s="836">
        <f>+IF(OR(ED371=EC371,EV$44=1),0,
IF(AND(EV$44&gt;1,ED371=$N371),1-SUM($EN371:EU371),
IF($N371&lt;=1,
IF($N371&gt;0,1/$N371,0),
IF(EV$44=2,0,VDB(1,0,$N371,INT(EV$44-2-1),MIN($N371,INT(EV$44-2-1)+1),$DC371,IF($DD371="No",1,0))/
IF(EC371&gt;=INT($N371),$N371-INT($N371),1)))*
IF(EV$44=2,0,
IF(INT(ED371)=INT(EC371),ED371-EC371,INT(ED371)-EC371))+
IF($N371&lt;=1,
IF($N371&gt;0,1/$N371,0),VDB(1,0,$N371,INT(EV$44-2),MIN($N371,INT(EV$44-2)+1),$DC371,IF($DD371="No",1,0))/
IF(ED371&gt;INT($N371),$N371-INT($N371),1))*
IF(EV$44=2,ED371,
IF(INT(ED371)=INT(EC371),0,ED371-INT(ED371)))))</f>
        <v>0</v>
      </c>
      <c r="EW371" s="833"/>
      <c r="EX371" s="834">
        <f t="shared" ca="1" si="634"/>
        <v>0</v>
      </c>
      <c r="EY371" s="835">
        <f t="shared" ca="1" si="634"/>
        <v>0</v>
      </c>
      <c r="EZ371" s="836">
        <f t="shared" ca="1" si="634"/>
        <v>0</v>
      </c>
      <c r="FA371" s="834">
        <f t="shared" ca="1" si="634"/>
        <v>0</v>
      </c>
      <c r="FB371" s="835">
        <f t="shared" ca="1" si="634"/>
        <v>0</v>
      </c>
      <c r="FC371" s="835">
        <f t="shared" ca="1" si="634"/>
        <v>0</v>
      </c>
      <c r="FD371" s="835">
        <f t="shared" ca="1" si="634"/>
        <v>0</v>
      </c>
      <c r="FE371" s="836">
        <f t="shared" ca="1" si="634"/>
        <v>0</v>
      </c>
      <c r="FG371" s="386">
        <f t="shared" ref="FG371:FG396" ca="1" si="659">-(-$DE371*(-ISBLANK($DE371)+1)*EF371-
IF(FG$44&gt;1,SUMPRODUCT(OFFSET($DF371,0,0,1,FG$44-1)*(-ISBLANK(OFFSET($DF371,0,0,1,FG$44-1))+1),OFFSET($EX371,0,MAX($FG$44:$HY$44)-FG$44,1,FG$44-1)),0))</f>
        <v>0</v>
      </c>
      <c r="FH371" s="387">
        <f t="shared" ref="FH371:FH396" ca="1" si="660">-(-$DE371*(-ISBLANK($DE371)+1)*EG371-
IF(FH$44&gt;1,SUMPRODUCT(OFFSET($DF371,0,0,1,FH$44-1)*(-ISBLANK(OFFSET($DF371,0,0,1,FH$44-1))+1),OFFSET($EX371,0,MAX($FG$44:$HY$44)-FH$44,1,FH$44-1)),0))</f>
        <v>0</v>
      </c>
      <c r="FI371" s="388">
        <f t="shared" ref="FI371:FI396" ca="1" si="661">-(-$DE371*(-ISBLANK($DE371)+1)*EH371-
IF(FI$44&gt;1,SUMPRODUCT(OFFSET($DF371,0,0,1,FI$44-1)*(-ISBLANK(OFFSET($DF371,0,0,1,FI$44-1))+1),OFFSET($EX371,0,MAX($FG$44:$HY$44)-FI$44,1,FI$44-1)),0))</f>
        <v>0</v>
      </c>
      <c r="FJ371" s="386">
        <f t="shared" ref="FJ371:FJ396" ca="1" si="662">-(-$DE371*(-ISBLANK($DE371)+1)*EI371-
IF(FJ$44&gt;1,SUMPRODUCT(OFFSET($DF371,0,0,1,FJ$44-1)*(-ISBLANK(OFFSET($DF371,0,0,1,FJ$44-1))+1),OFFSET($EX371,0,MAX($FG$44:$HY$44)-FJ$44,1,FJ$44-1)),0))</f>
        <v>0</v>
      </c>
      <c r="FK371" s="387">
        <f t="shared" ref="FK371:FK396" ca="1" si="663">-(-$DE371*(-ISBLANK($DE371)+1)*EJ371-
IF(FK$44&gt;1,SUMPRODUCT(OFFSET($DF371,0,0,1,FK$44-1)*(-ISBLANK(OFFSET($DF371,0,0,1,FK$44-1))+1),OFFSET($EX371,0,MAX($FG$44:$HY$44)-FK$44,1,FK$44-1)),0))</f>
        <v>0</v>
      </c>
      <c r="FL371" s="387">
        <f t="shared" ref="FL371:FL396" ca="1" si="664">-(-$DE371*(-ISBLANK($DE371)+1)*EK371-
IF(FL$44&gt;1,SUMPRODUCT(OFFSET($DF371,0,0,1,FL$44-1)*(-ISBLANK(OFFSET($DF371,0,0,1,FL$44-1))+1),OFFSET($EX371,0,MAX($FG$44:$HY$44)-FL$44,1,FL$44-1)),0))</f>
        <v>0</v>
      </c>
      <c r="FM371" s="387">
        <f t="shared" ref="FM371:FM396" ca="1" si="665">-(-$DE371*(-ISBLANK($DE371)+1)*EL371-
IF(FM$44&gt;1,SUMPRODUCT(OFFSET($DF371,0,0,1,FM$44-1)*(-ISBLANK(OFFSET($DF371,0,0,1,FM$44-1))+1),OFFSET($EX371,0,MAX($FG$44:$HY$44)-FM$44,1,FM$44-1)),0))</f>
        <v>0</v>
      </c>
      <c r="FN371" s="388">
        <f t="shared" ref="FN371:FN396" ca="1" si="666">-(-$DE371*(-ISBLANK($DE371)+1)*EM371-
IF(FN$44&gt;1,SUMPRODUCT(OFFSET($DF371,0,0,1,FN$44-1)*(-ISBLANK(OFFSET($DF371,0,0,1,FN$44-1))+1),OFFSET($EX371,0,MAX($FG$44:$HY$44)-FN$44,1,FN$44-1)),0))</f>
        <v>0</v>
      </c>
      <c r="FR371" s="116"/>
    </row>
    <row r="372" spans="2:174">
      <c r="B372" s="1410">
        <f t="shared" si="556"/>
        <v>326</v>
      </c>
      <c r="C372" s="400"/>
      <c r="D372" s="410"/>
      <c r="E372" s="402"/>
      <c r="F372" s="402"/>
      <c r="G372" s="400"/>
      <c r="H372" s="2088"/>
      <c r="I372" s="2089"/>
      <c r="J372" s="411"/>
      <c r="K372" s="403"/>
      <c r="L372" s="403"/>
      <c r="M372" s="403"/>
      <c r="N372" s="403"/>
      <c r="O372" s="347"/>
      <c r="P372" s="347"/>
      <c r="Q372" s="1021"/>
      <c r="R372" s="1022"/>
      <c r="S372" s="1022"/>
      <c r="T372" s="1022"/>
      <c r="U372" s="1023"/>
      <c r="V372" s="1021"/>
      <c r="W372" s="1022"/>
      <c r="X372" s="1022"/>
      <c r="Y372" s="1022"/>
      <c r="Z372" s="1023"/>
      <c r="AA372" s="1024"/>
      <c r="AB372" s="1021"/>
      <c r="AC372" s="1022"/>
      <c r="AD372" s="1022"/>
      <c r="AE372" s="1022"/>
      <c r="AF372" s="1023"/>
      <c r="AG372" s="1021"/>
      <c r="AH372" s="1022"/>
      <c r="AI372" s="1022"/>
      <c r="AJ372" s="1022"/>
      <c r="AK372" s="1023"/>
      <c r="AL372" s="1024"/>
      <c r="AM372" s="1021"/>
      <c r="AN372" s="1022"/>
      <c r="AO372" s="1022"/>
      <c r="AP372" s="1022"/>
      <c r="AQ372" s="1023"/>
      <c r="AR372" s="1021"/>
      <c r="AS372" s="1022"/>
      <c r="AT372" s="1022"/>
      <c r="AU372" s="1022"/>
      <c r="AV372" s="1023"/>
      <c r="AW372" s="1025"/>
      <c r="AX372" s="1282">
        <f t="shared" si="635"/>
        <v>0</v>
      </c>
      <c r="AY372" s="387">
        <f t="shared" si="636"/>
        <v>0</v>
      </c>
      <c r="AZ372" s="387">
        <f t="shared" si="637"/>
        <v>0</v>
      </c>
      <c r="BA372" s="387">
        <f t="shared" si="638"/>
        <v>0</v>
      </c>
      <c r="BB372" s="1283">
        <f t="shared" si="639"/>
        <v>0</v>
      </c>
      <c r="BC372" s="386">
        <f t="shared" si="640"/>
        <v>0</v>
      </c>
      <c r="BD372" s="387">
        <f t="shared" si="641"/>
        <v>0</v>
      </c>
      <c r="BE372" s="1277">
        <f t="shared" si="642"/>
        <v>0</v>
      </c>
      <c r="BF372" s="1277">
        <f t="shared" si="642"/>
        <v>0</v>
      </c>
      <c r="BG372" s="388">
        <f t="shared" si="642"/>
        <v>0</v>
      </c>
      <c r="BH372" s="1025"/>
      <c r="BI372" s="1282">
        <f t="shared" ca="1" si="643"/>
        <v>0</v>
      </c>
      <c r="BJ372" s="387">
        <f t="shared" ca="1" si="644"/>
        <v>0</v>
      </c>
      <c r="BK372" s="387">
        <f t="shared" ca="1" si="645"/>
        <v>0</v>
      </c>
      <c r="BL372" s="387">
        <f t="shared" ca="1" si="646"/>
        <v>0</v>
      </c>
      <c r="BM372" s="1283">
        <f t="shared" ca="1" si="647"/>
        <v>0</v>
      </c>
      <c r="BN372" s="386">
        <f t="shared" ca="1" si="648"/>
        <v>0</v>
      </c>
      <c r="BO372" s="387">
        <f t="shared" ca="1" si="648"/>
        <v>0</v>
      </c>
      <c r="BP372" s="1277">
        <f t="shared" ca="1" si="648"/>
        <v>0</v>
      </c>
      <c r="BQ372" s="1277">
        <f t="shared" ca="1" si="648"/>
        <v>0</v>
      </c>
      <c r="BR372" s="388">
        <f t="shared" ca="1" si="648"/>
        <v>0</v>
      </c>
      <c r="BS372" s="1025"/>
      <c r="BT372" s="1282">
        <f>+IF($K372="Ongoing",AX372,IF(RIGHT($K372,2)=RIGHT(BT$43,2),SUM($AX372:AX372),0)+IF(RIGHT(BT$43,2)&gt;RIGHT($K372,2),AX372,0))</f>
        <v>0</v>
      </c>
      <c r="BU372" s="387">
        <f>+IF($K372="Ongoing",AY372,IF(RIGHT($K372,2)=RIGHT(BU$43,2),SUM($AX372:AY372),0)+IF(RIGHT(BU$43,2)&gt;RIGHT($K372,2),AY372,0))</f>
        <v>0</v>
      </c>
      <c r="BV372" s="387">
        <f>+IF($K372="Ongoing",AZ372,IF(RIGHT($K372,2)=RIGHT(BV$43,2),SUM($AX372:AZ372),0)+IF(RIGHT(BV$43,2)&gt;RIGHT($K372,2),AZ372,0))</f>
        <v>0</v>
      </c>
      <c r="BW372" s="387">
        <f>+IF($K372="Ongoing",BA372,IF(RIGHT($K372,2)=RIGHT(BW$43,2),SUM($AX372:BA372),0)+IF(RIGHT(BW$43,2)&gt;RIGHT($K372,2),BA372,0))</f>
        <v>0</v>
      </c>
      <c r="BX372" s="1283">
        <f>+IF($K372="Ongoing",BB372,IF(RIGHT($K372,2)=RIGHT(BX$43,2),SUM($AX372:BB372),0)+IF(RIGHT(BX$43,2)&gt;RIGHT($K372,2),BB372,0))</f>
        <v>0</v>
      </c>
      <c r="BY372" s="386">
        <f>+IF($K372="Ongoing",BC372,IF(RIGHT($K372,2)=RIGHT(BY$43,2),SUM($AX372:BC372),0)+IF(RIGHT(BY$43,2)&gt;RIGHT($K372,2),BC372,0))</f>
        <v>0</v>
      </c>
      <c r="BZ372" s="387">
        <f>+IF($K372="Ongoing",BD372,IF(RIGHT($K372,2)=RIGHT(BZ$43,2),SUM($AX372:BD372),0)+IF(RIGHT(BZ$43,2)&gt;RIGHT($K372,2),BD372,0))</f>
        <v>0</v>
      </c>
      <c r="CA372" s="1277">
        <f>+IF($K372="Ongoing",BE372,IF(RIGHT($K372,2)=RIGHT(CA$43,2),SUM($AX372:BE372),0)+IF(RIGHT(CA$43,2)&gt;RIGHT($K372,2),BE372,0))</f>
        <v>0</v>
      </c>
      <c r="CB372" s="1277">
        <f>+IF($K372="Ongoing",BF372,IF(RIGHT($K372,2)=RIGHT(CB$43,2),SUM($AX372:BF372),0)+IF(RIGHT(CB$43,2)&gt;RIGHT($K372,2),BF372,0))</f>
        <v>0</v>
      </c>
      <c r="CC372" s="388">
        <f>+IF($K372="Ongoing",BG372,IF(RIGHT($K372,2)=RIGHT(CC$43,2),SUM($AX372:BG372),0)+IF(RIGHT(CC$43,2)&gt;RIGHT($K372,2),BG372,0))</f>
        <v>0</v>
      </c>
      <c r="CD372" s="1025"/>
      <c r="CE372" s="1282">
        <f>+Q372*KeyAssumptionsPriceControl_FO!AF$15</f>
        <v>0</v>
      </c>
      <c r="CF372" s="387">
        <f>+R372*KeyAssumptionsPriceControl_FO!AG$15</f>
        <v>0</v>
      </c>
      <c r="CG372" s="387">
        <f>+S372*KeyAssumptionsPriceControl_FO!AH$15</f>
        <v>0</v>
      </c>
      <c r="CH372" s="387">
        <f>+T372*KeyAssumptionsPriceControl_FO!AI$15</f>
        <v>0</v>
      </c>
      <c r="CI372" s="1283">
        <f>+U372*KeyAssumptionsPriceControl_FO!AJ$15</f>
        <v>0</v>
      </c>
      <c r="CJ372" s="386">
        <f>+V372*KeyAssumptionsPriceControl_FO!AK$15</f>
        <v>0</v>
      </c>
      <c r="CK372" s="387">
        <f>+W372*KeyAssumptionsPriceControl_FO!AL$15</f>
        <v>0</v>
      </c>
      <c r="CL372" s="1277">
        <f>+X372*KeyAssumptionsPriceControl_FO!AM$15</f>
        <v>0</v>
      </c>
      <c r="CM372" s="1277">
        <f>+Y372*KeyAssumptionsPriceControl_FO!AN$15</f>
        <v>0</v>
      </c>
      <c r="CN372" s="388">
        <f>+Z372*KeyAssumptionsPriceControl_FO!AO$15</f>
        <v>0</v>
      </c>
      <c r="CO372" s="1025"/>
      <c r="CP372" s="1282">
        <f t="shared" ca="1" si="649"/>
        <v>0</v>
      </c>
      <c r="CQ372" s="387">
        <f t="shared" ca="1" si="650"/>
        <v>0</v>
      </c>
      <c r="CR372" s="387">
        <f t="shared" ca="1" si="651"/>
        <v>0</v>
      </c>
      <c r="CS372" s="387">
        <f t="shared" ca="1" si="652"/>
        <v>0</v>
      </c>
      <c r="CT372" s="1283">
        <f t="shared" ca="1" si="653"/>
        <v>0</v>
      </c>
      <c r="CU372" s="386">
        <f t="shared" ca="1" si="654"/>
        <v>0</v>
      </c>
      <c r="CV372" s="387">
        <f t="shared" ca="1" si="655"/>
        <v>0</v>
      </c>
      <c r="CW372" s="1277">
        <f t="shared" ca="1" si="656"/>
        <v>0</v>
      </c>
      <c r="CX372" s="1277">
        <f t="shared" ca="1" si="657"/>
        <v>0</v>
      </c>
      <c r="CY372" s="388">
        <f t="shared" ca="1" si="658"/>
        <v>0</v>
      </c>
      <c r="CZ372" s="347"/>
      <c r="DA372" s="852"/>
      <c r="DB372" s="347"/>
      <c r="DC372" s="1012" t="s">
        <v>517</v>
      </c>
      <c r="DD372" s="841" t="s">
        <v>518</v>
      </c>
      <c r="DE372" s="386">
        <f>+IF($K372="ongoing",CE372,IF(RIGHT($K372,2)=RIGHT(DE$43,2),SUM($CD372:CE372),0)+IF(RIGHT(DE$43,2)&gt;RIGHT($K372,2),CE372,0))</f>
        <v>0</v>
      </c>
      <c r="DF372" s="387">
        <f>+IF($K372="ongoing",CF372,IF(RIGHT($K372,2)=RIGHT(DF$43,2),SUM($CD372:CF372),0)+IF(RIGHT(DF$43,2)&gt;RIGHT($K372,2),CF372,0))</f>
        <v>0</v>
      </c>
      <c r="DG372" s="388">
        <f>+IF($K372="ongoing",CG372,IF(RIGHT($K372,2)=RIGHT(DG$43,2),SUM($CD372:CG372),0)+IF(RIGHT(DG$43,2)&gt;RIGHT($K372,2),CG372,0))</f>
        <v>0</v>
      </c>
      <c r="DH372" s="386">
        <f>+IF($K372="ongoing",CH372,IF(RIGHT($K372,2)=RIGHT(DH$43,2),SUM($CD372:CH372),0)+IF(RIGHT(DH$43,2)&gt;RIGHT($K372,2),CH372,0))</f>
        <v>0</v>
      </c>
      <c r="DI372" s="387">
        <f>+IF($K372="ongoing",CI372,IF(RIGHT($K372,2)=RIGHT(DI$43,2),SUM($CD372:CI372),0)+IF(RIGHT(DI$43,2)&gt;RIGHT($K372,2),CI372,0))</f>
        <v>0</v>
      </c>
      <c r="DJ372" s="387">
        <f>+IF($K372="ongoing",CJ372,IF(RIGHT($K372,2)=RIGHT(DJ$43,2),SUM($CD372:CJ372),0)+IF(RIGHT(DJ$43,2)&gt;RIGHT($K372,2),CJ372,0))</f>
        <v>0</v>
      </c>
      <c r="DK372" s="387">
        <f>+IF($K372="ongoing",CK372,IF(RIGHT($K372,2)=RIGHT(DK$43,2),SUM($CD372:CK372),0)+IF(RIGHT(DK$43,2)&gt;RIGHT($K372,2),CK372,0))</f>
        <v>0</v>
      </c>
      <c r="DL372" s="388">
        <f>+IF($K372="ongoing",CN372,IF(RIGHT($K372,2)=RIGHT(DL$43,2),SUM($CD372:CN372),0)+IF(RIGHT(DL$43,2)&gt;RIGHT($K372,2),CN372,0))</f>
        <v>0</v>
      </c>
      <c r="DM372" s="841"/>
      <c r="DN372" s="386">
        <f t="shared" si="632"/>
        <v>0.5</v>
      </c>
      <c r="DO372" s="387">
        <f t="shared" si="632"/>
        <v>1</v>
      </c>
      <c r="DP372" s="388">
        <f t="shared" si="632"/>
        <v>1</v>
      </c>
      <c r="DQ372" s="386">
        <f t="shared" si="632"/>
        <v>1</v>
      </c>
      <c r="DR372" s="387">
        <f t="shared" si="632"/>
        <v>1</v>
      </c>
      <c r="DS372" s="387">
        <f t="shared" si="632"/>
        <v>1</v>
      </c>
      <c r="DT372" s="387">
        <f t="shared" si="632"/>
        <v>1</v>
      </c>
      <c r="DU372" s="388">
        <f t="shared" si="632"/>
        <v>1</v>
      </c>
      <c r="DW372" s="386">
        <f t="shared" si="633"/>
        <v>0</v>
      </c>
      <c r="DX372" s="387">
        <f t="shared" si="633"/>
        <v>0.5</v>
      </c>
      <c r="DY372" s="388">
        <f t="shared" si="633"/>
        <v>1</v>
      </c>
      <c r="DZ372" s="386">
        <f t="shared" si="633"/>
        <v>1</v>
      </c>
      <c r="EA372" s="387">
        <f t="shared" si="633"/>
        <v>1</v>
      </c>
      <c r="EB372" s="387">
        <f t="shared" si="633"/>
        <v>1</v>
      </c>
      <c r="EC372" s="387">
        <f t="shared" si="633"/>
        <v>1</v>
      </c>
      <c r="ED372" s="388">
        <f t="shared" si="633"/>
        <v>1</v>
      </c>
      <c r="EF372" s="834">
        <f>+IF(DN372=DM372,0,
IF(AND(EF$44&gt;1,DN372=$N372),1-SUM($EE372:EE372),
IF($N372&lt;=1,
IF($N372&gt;0,1/$N372,0),
IF(EF$44=1,0,VDB(1,0,$N372,INT(EF$44-1-1),MIN($N372,INT(EF$44-1-1)+1),$DC372,IF($DD372="No",1,0))/
IF(DM372&gt;=INT($N372),$N372-INT($N372),1)))*
IF(EF$44=1,0,
IF(INT(DN372)=INT(DM372),DN372-DM372,INT(DN372)-DM372))+
IF($N372&lt;=1,
IF($N372&gt;0,1/$N372,0),VDB(1,0,$N372,INT(EF$44-1),MIN($N372,INT(EF$44-1)+1),$DC372,IF($DD372="No",1,0))/
IF(DN372&gt;INT($N372),$N372-INT($N372),1))*
IF(EF$44=1,DN372,
IF(INT(DN372)=INT(DM372),0,DN372-INT(DN372)))))</f>
        <v>0</v>
      </c>
      <c r="EG372" s="835">
        <f>+IF(DO372=DN372,0,
IF(AND(EG$44&gt;1,DO372=$N372),1-SUM($EE372:EF372),
IF($N372&lt;=1,
IF($N372&gt;0,1/$N372,0),
IF(EG$44=1,0,VDB(1,0,$N372,INT(EG$44-1-1),MIN($N372,INT(EG$44-1-1)+1),$DC372,IF($DD372="No",1,0))/
IF(DN372&gt;=INT($N372),$N372-INT($N372),1)))*
IF(EG$44=1,0,
IF(INT(DO372)=INT(DN372),DO372-DN372,INT(DO372)-DN372))+
IF($N372&lt;=1,
IF($N372&gt;0,1/$N372,0),VDB(1,0,$N372,INT(EG$44-1),MIN($N372,INT(EG$44-1)+1),$DC372,IF($DD372="No",1,0))/
IF(DO372&gt;INT($N372),$N372-INT($N372),1))*
IF(EG$44=1,DO372,
IF(INT(DO372)=INT(DN372),0,DO372-INT(DO372)))))</f>
        <v>0</v>
      </c>
      <c r="EH372" s="836">
        <f>+IF(DP372=DO372,0,
IF(AND(EH$44&gt;1,DP372=$N372),1-SUM($EE372:EG372),
IF($N372&lt;=1,
IF($N372&gt;0,1/$N372,0),
IF(EH$44=1,0,VDB(1,0,$N372,INT(EH$44-1-1),MIN($N372,INT(EH$44-1-1)+1),$DC372,IF($DD372="No",1,0))/
IF(DO372&gt;=INT($N372),$N372-INT($N372),1)))*
IF(EH$44=1,0,
IF(INT(DP372)=INT(DO372),DP372-DO372,INT(DP372)-DO372))+
IF($N372&lt;=1,
IF($N372&gt;0,1/$N372,0),VDB(1,0,$N372,INT(EH$44-1),MIN($N372,INT(EH$44-1)+1),$DC372,IF($DD372="No",1,0))/
IF(DP372&gt;INT($N372),$N372-INT($N372),1))*
IF(EH$44=1,DP372,
IF(INT(DP372)=INT(DO372),0,DP372-INT(DP372)))))</f>
        <v>0</v>
      </c>
      <c r="EI372" s="834">
        <f>+IF(DQ372=DP372,0,
IF(AND(EI$44&gt;1,DQ372=$N372),1-SUM($EE372:EH372),
IF($N372&lt;=1,
IF($N372&gt;0,1/$N372,0),
IF(EI$44=1,0,VDB(1,0,$N372,INT(EI$44-1-1),MIN($N372,INT(EI$44-1-1)+1),$DC372,IF($DD372="No",1,0))/
IF(DP372&gt;=INT($N372),$N372-INT($N372),1)))*
IF(EI$44=1,0,
IF(INT(DQ372)=INT(DP372),DQ372-DP372,INT(DQ372)-DP372))+
IF($N372&lt;=1,
IF($N372&gt;0,1/$N372,0),VDB(1,0,$N372,INT(EI$44-1),MIN($N372,INT(EI$44-1)+1),$DC372,IF($DD372="No",1,0))/
IF(DQ372&gt;INT($N372),$N372-INT($N372),1))*
IF(EI$44=1,DQ372,
IF(INT(DQ372)=INT(DP372),0,DQ372-INT(DQ372)))))</f>
        <v>0</v>
      </c>
      <c r="EJ372" s="835">
        <f>+IF(DR372=DQ372,0,
IF(AND(EJ$44&gt;1,DR372=$N372),1-SUM($EE372:EI372),
IF($N372&lt;=1,
IF($N372&gt;0,1/$N372,0),
IF(EJ$44=1,0,VDB(1,0,$N372,INT(EJ$44-1-1),MIN($N372,INT(EJ$44-1-1)+1),$DC372,IF($DD372="No",1,0))/
IF(DQ372&gt;=INT($N372),$N372-INT($N372),1)))*
IF(EJ$44=1,0,
IF(INT(DR372)=INT(DQ372),DR372-DQ372,INT(DR372)-DQ372))+
IF($N372&lt;=1,
IF($N372&gt;0,1/$N372,0),VDB(1,0,$N372,INT(EJ$44-1),MIN($N372,INT(EJ$44-1)+1),$DC372,IF($DD372="No",1,0))/
IF(DR372&gt;INT($N372),$N372-INT($N372),1))*
IF(EJ$44=1,DR372,
IF(INT(DR372)=INT(DQ372),0,DR372-INT(DR372)))))</f>
        <v>0</v>
      </c>
      <c r="EK372" s="835">
        <f>+IF(DS372=DR372,0,
IF(AND(EK$44&gt;1,DS372=$N372),1-SUM($EE372:EJ372),
IF($N372&lt;=1,
IF($N372&gt;0,1/$N372,0),
IF(EK$44=1,0,VDB(1,0,$N372,INT(EK$44-1-1),MIN($N372,INT(EK$44-1-1)+1),$DC372,IF($DD372="No",1,0))/
IF(DR372&gt;=INT($N372),$N372-INT($N372),1)))*
IF(EK$44=1,0,
IF(INT(DS372)=INT(DR372),DS372-DR372,INT(DS372)-DR372))+
IF($N372&lt;=1,
IF($N372&gt;0,1/$N372,0),VDB(1,0,$N372,INT(EK$44-1),MIN($N372,INT(EK$44-1)+1),$DC372,IF($DD372="No",1,0))/
IF(DS372&gt;INT($N372),$N372-INT($N372),1))*
IF(EK$44=1,DS372,
IF(INT(DS372)=INT(DR372),0,DS372-INT(DS372)))))</f>
        <v>0</v>
      </c>
      <c r="EL372" s="835">
        <f>+IF(DT372=DS372,0,
IF(AND(EL$44&gt;1,DT372=$N372),1-SUM($EE372:EK372),
IF($N372&lt;=1,
IF($N372&gt;0,1/$N372,0),
IF(EL$44=1,0,VDB(1,0,$N372,INT(EL$44-1-1),MIN($N372,INT(EL$44-1-1)+1),$DC372,IF($DD372="No",1,0))/
IF(DS372&gt;=INT($N372),$N372-INT($N372),1)))*
IF(EL$44=1,0,
IF(INT(DT372)=INT(DS372),DT372-DS372,INT(DT372)-DS372))+
IF($N372&lt;=1,
IF($N372&gt;0,1/$N372,0),VDB(1,0,$N372,INT(EL$44-1),MIN($N372,INT(EL$44-1)+1),$DC372,IF($DD372="No",1,0))/
IF(DT372&gt;INT($N372),$N372-INT($N372),1))*
IF(EL$44=1,DT372,
IF(INT(DT372)=INT(DS372),0,DT372-INT(DT372)))))</f>
        <v>0</v>
      </c>
      <c r="EM372" s="836">
        <f>+IF(DU372=DT372,0,
IF(AND(EM$44&gt;1,DU372=$N372),1-SUM($EE372:EL372),
IF($N372&lt;=1,
IF($N372&gt;0,1/$N372,0),
IF(EM$44=1,0,VDB(1,0,$N372,INT(EM$44-1-1),MIN($N372,INT(EM$44-1-1)+1),$DC372,IF($DD372="No",1,0))/
IF(DT372&gt;=INT($N372),$N372-INT($N372),1)))*
IF(EM$44=1,0,
IF(INT(DU372)=INT(DT372),DU372-DT372,INT(DU372)-DT372))+
IF($N372&lt;=1,
IF($N372&gt;0,1/$N372,0),VDB(1,0,$N372,INT(EM$44-1),MIN($N372,INT(EM$44-1)+1),$DC372,IF($DD372="No",1,0))/
IF(DU372&gt;INT($N372),$N372-INT($N372),1))*
IF(EM$44=1,DU372,
IF(INT(DU372)=INT(DT372),0,DU372-INT(DU372)))))</f>
        <v>0</v>
      </c>
      <c r="EN372" s="833"/>
      <c r="EO372" s="834">
        <f>+IF(OR(DW372=DV372,EO$44=1),0,
IF(AND(EO$44&gt;1,DW372=$N372),1-SUM($EN372:EN372),
IF($N372&lt;=1,
IF($N372&gt;0,1/$N372,0),
IF(EO$44=2,0,VDB(1,0,$N372,INT(EO$44-2-1),MIN($N372,INT(EO$44-2-1)+1),$DC372,IF($DD372="No",1,0))/
IF(DV372&gt;=INT($N372),$N372-INT($N372),1)))*
IF(EO$44=2,0,
IF(INT(DW372)=INT(DV372),DW372-DV372,INT(DW372)-DV372))+
IF($N372&lt;=1,
IF($N372&gt;0,1/$N372,0),VDB(1,0,$N372,INT(EO$44-2),MIN($N372,INT(EO$44-2)+1),$DC372,IF($DD372="No",1,0))/
IF(DW372&gt;INT($N372),$N372-INT($N372),1))*
IF(EO$44=2,DW372,
IF(INT(DW372)=INT(DV372),0,DW372-INT(DW372)))))</f>
        <v>0</v>
      </c>
      <c r="EP372" s="835">
        <f>+IF(OR(DX372=DW372,EP$44=1),0,
IF(AND(EP$44&gt;1,DX372=$N372),1-SUM($EN372:EO372),
IF($N372&lt;=1,
IF($N372&gt;0,1/$N372,0),
IF(EP$44=2,0,VDB(1,0,$N372,INT(EP$44-2-1),MIN($N372,INT(EP$44-2-1)+1),$DC372,IF($DD372="No",1,0))/
IF(DW372&gt;=INT($N372),$N372-INT($N372),1)))*
IF(EP$44=2,0,
IF(INT(DX372)=INT(DW372),DX372-DW372,INT(DX372)-DW372))+
IF($N372&lt;=1,
IF($N372&gt;0,1/$N372,0),VDB(1,0,$N372,INT(EP$44-2),MIN($N372,INT(EP$44-2)+1),$DC372,IF($DD372="No",1,0))/
IF(DX372&gt;INT($N372),$N372-INT($N372),1))*
IF(EP$44=2,DX372,
IF(INT(DX372)=INT(DW372),0,DX372-INT(DX372)))))</f>
        <v>0</v>
      </c>
      <c r="EQ372" s="836">
        <f>+IF(OR(DY372=DX372,EQ$44=1),0,
IF(AND(EQ$44&gt;1,DY372=$N372),1-SUM($EN372:EP372),
IF($N372&lt;=1,
IF($N372&gt;0,1/$N372,0),
IF(EQ$44=2,0,VDB(1,0,$N372,INT(EQ$44-2-1),MIN($N372,INT(EQ$44-2-1)+1),$DC372,IF($DD372="No",1,0))/
IF(DX372&gt;=INT($N372),$N372-INT($N372),1)))*
IF(EQ$44=2,0,
IF(INT(DY372)=INT(DX372),DY372-DX372,INT(DY372)-DX372))+
IF($N372&lt;=1,
IF($N372&gt;0,1/$N372,0),VDB(1,0,$N372,INT(EQ$44-2),MIN($N372,INT(EQ$44-2)+1),$DC372,IF($DD372="No",1,0))/
IF(DY372&gt;INT($N372),$N372-INT($N372),1))*
IF(EQ$44=2,DY372,
IF(INT(DY372)=INT(DX372),0,DY372-INT(DY372)))))</f>
        <v>0</v>
      </c>
      <c r="ER372" s="834">
        <f>+IF(OR(DZ372=DY372,ER$44=1),0,
IF(AND(ER$44&gt;1,DZ372=$N372),1-SUM($EN372:EQ372),
IF($N372&lt;=1,
IF($N372&gt;0,1/$N372,0),
IF(ER$44=2,0,VDB(1,0,$N372,INT(ER$44-2-1),MIN($N372,INT(ER$44-2-1)+1),$DC372,IF($DD372="No",1,0))/
IF(DY372&gt;=INT($N372),$N372-INT($N372),1)))*
IF(ER$44=2,0,
IF(INT(DZ372)=INT(DY372),DZ372-DY372,INT(DZ372)-DY372))+
IF($N372&lt;=1,
IF($N372&gt;0,1/$N372,0),VDB(1,0,$N372,INT(ER$44-2),MIN($N372,INT(ER$44-2)+1),$DC372,IF($DD372="No",1,0))/
IF(DZ372&gt;INT($N372),$N372-INT($N372),1))*
IF(ER$44=2,DZ372,
IF(INT(DZ372)=INT(DY372),0,DZ372-INT(DZ372)))))</f>
        <v>0</v>
      </c>
      <c r="ES372" s="835">
        <f>+IF(OR(EA372=DZ372,ES$44=1),0,
IF(AND(ES$44&gt;1,EA372=$N372),1-SUM($EN372:ER372),
IF($N372&lt;=1,
IF($N372&gt;0,1/$N372,0),
IF(ES$44=2,0,VDB(1,0,$N372,INT(ES$44-2-1),MIN($N372,INT(ES$44-2-1)+1),$DC372,IF($DD372="No",1,0))/
IF(DZ372&gt;=INT($N372),$N372-INT($N372),1)))*
IF(ES$44=2,0,
IF(INT(EA372)=INT(DZ372),EA372-DZ372,INT(EA372)-DZ372))+
IF($N372&lt;=1,
IF($N372&gt;0,1/$N372,0),VDB(1,0,$N372,INT(ES$44-2),MIN($N372,INT(ES$44-2)+1),$DC372,IF($DD372="No",1,0))/
IF(EA372&gt;INT($N372),$N372-INT($N372),1))*
IF(ES$44=2,EA372,
IF(INT(EA372)=INT(DZ372),0,EA372-INT(EA372)))))</f>
        <v>0</v>
      </c>
      <c r="ET372" s="835">
        <f>+IF(OR(EB372=EA372,ET$44=1),0,
IF(AND(ET$44&gt;1,EB372=$N372),1-SUM($EN372:ES372),
IF($N372&lt;=1,
IF($N372&gt;0,1/$N372,0),
IF(ET$44=2,0,VDB(1,0,$N372,INT(ET$44-2-1),MIN($N372,INT(ET$44-2-1)+1),$DC372,IF($DD372="No",1,0))/
IF(EA372&gt;=INT($N372),$N372-INT($N372),1)))*
IF(ET$44=2,0,
IF(INT(EB372)=INT(EA372),EB372-EA372,INT(EB372)-EA372))+
IF($N372&lt;=1,
IF($N372&gt;0,1/$N372,0),VDB(1,0,$N372,INT(ET$44-2),MIN($N372,INT(ET$44-2)+1),$DC372,IF($DD372="No",1,0))/
IF(EB372&gt;INT($N372),$N372-INT($N372),1))*
IF(ET$44=2,EB372,
IF(INT(EB372)=INT(EA372),0,EB372-INT(EB372)))))</f>
        <v>0</v>
      </c>
      <c r="EU372" s="835">
        <f>+IF(OR(EC372=EB372,EU$44=1),0,
IF(AND(EU$44&gt;1,EC372=$N372),1-SUM($EN372:ET372),
IF($N372&lt;=1,
IF($N372&gt;0,1/$N372,0),
IF(EU$44=2,0,VDB(1,0,$N372,INT(EU$44-2-1),MIN($N372,INT(EU$44-2-1)+1),$DC372,IF($DD372="No",1,0))/
IF(EB372&gt;=INT($N372),$N372-INT($N372),1)))*
IF(EU$44=2,0,
IF(INT(EC372)=INT(EB372),EC372-EB372,INT(EC372)-EB372))+
IF($N372&lt;=1,
IF($N372&gt;0,1/$N372,0),VDB(1,0,$N372,INT(EU$44-2),MIN($N372,INT(EU$44-2)+1),$DC372,IF($DD372="No",1,0))/
IF(EC372&gt;INT($N372),$N372-INT($N372),1))*
IF(EU$44=2,EC372,
IF(INT(EC372)=INT(EB372),0,EC372-INT(EC372)))))</f>
        <v>0</v>
      </c>
      <c r="EV372" s="836">
        <f>+IF(OR(ED372=EC372,EV$44=1),0,
IF(AND(EV$44&gt;1,ED372=$N372),1-SUM($EN372:EU372),
IF($N372&lt;=1,
IF($N372&gt;0,1/$N372,0),
IF(EV$44=2,0,VDB(1,0,$N372,INT(EV$44-2-1),MIN($N372,INT(EV$44-2-1)+1),$DC372,IF($DD372="No",1,0))/
IF(EC372&gt;=INT($N372),$N372-INT($N372),1)))*
IF(EV$44=2,0,
IF(INT(ED372)=INT(EC372),ED372-EC372,INT(ED372)-EC372))+
IF($N372&lt;=1,
IF($N372&gt;0,1/$N372,0),VDB(1,0,$N372,INT(EV$44-2),MIN($N372,INT(EV$44-2)+1),$DC372,IF($DD372="No",1,0))/
IF(ED372&gt;INT($N372),$N372-INT($N372),1))*
IF(EV$44=2,ED372,
IF(INT(ED372)=INT(EC372),0,ED372-INT(ED372)))))</f>
        <v>0</v>
      </c>
      <c r="EW372" s="833"/>
      <c r="EX372" s="834">
        <f t="shared" ca="1" si="634"/>
        <v>0</v>
      </c>
      <c r="EY372" s="835">
        <f t="shared" ca="1" si="634"/>
        <v>0</v>
      </c>
      <c r="EZ372" s="836">
        <f t="shared" ca="1" si="634"/>
        <v>0</v>
      </c>
      <c r="FA372" s="834">
        <f t="shared" ca="1" si="634"/>
        <v>0</v>
      </c>
      <c r="FB372" s="835">
        <f t="shared" ca="1" si="634"/>
        <v>0</v>
      </c>
      <c r="FC372" s="835">
        <f t="shared" ca="1" si="634"/>
        <v>0</v>
      </c>
      <c r="FD372" s="835">
        <f t="shared" ca="1" si="634"/>
        <v>0</v>
      </c>
      <c r="FE372" s="836">
        <f t="shared" ca="1" si="634"/>
        <v>0</v>
      </c>
      <c r="FG372" s="386">
        <f t="shared" ca="1" si="659"/>
        <v>0</v>
      </c>
      <c r="FH372" s="387">
        <f t="shared" ca="1" si="660"/>
        <v>0</v>
      </c>
      <c r="FI372" s="388">
        <f t="shared" ca="1" si="661"/>
        <v>0</v>
      </c>
      <c r="FJ372" s="386">
        <f t="shared" ca="1" si="662"/>
        <v>0</v>
      </c>
      <c r="FK372" s="387">
        <f t="shared" ca="1" si="663"/>
        <v>0</v>
      </c>
      <c r="FL372" s="387">
        <f t="shared" ca="1" si="664"/>
        <v>0</v>
      </c>
      <c r="FM372" s="387">
        <f t="shared" ca="1" si="665"/>
        <v>0</v>
      </c>
      <c r="FN372" s="388">
        <f t="shared" ca="1" si="666"/>
        <v>0</v>
      </c>
      <c r="FR372" s="116"/>
    </row>
    <row r="373" spans="2:174">
      <c r="B373" s="1410">
        <f t="shared" si="556"/>
        <v>327</v>
      </c>
      <c r="C373" s="400"/>
      <c r="D373" s="410"/>
      <c r="E373" s="402"/>
      <c r="F373" s="402"/>
      <c r="G373" s="400"/>
      <c r="H373" s="2088"/>
      <c r="I373" s="2089"/>
      <c r="J373" s="411"/>
      <c r="K373" s="403"/>
      <c r="L373" s="403"/>
      <c r="M373" s="403"/>
      <c r="N373" s="403"/>
      <c r="O373" s="347"/>
      <c r="P373" s="347"/>
      <c r="Q373" s="1021"/>
      <c r="R373" s="1022"/>
      <c r="S373" s="1022"/>
      <c r="T373" s="1022"/>
      <c r="U373" s="1023"/>
      <c r="V373" s="1021"/>
      <c r="W373" s="1022"/>
      <c r="X373" s="1022"/>
      <c r="Y373" s="1022"/>
      <c r="Z373" s="1023"/>
      <c r="AA373" s="1024"/>
      <c r="AB373" s="1021"/>
      <c r="AC373" s="1022"/>
      <c r="AD373" s="1022"/>
      <c r="AE373" s="1022"/>
      <c r="AF373" s="1023"/>
      <c r="AG373" s="1021"/>
      <c r="AH373" s="1022"/>
      <c r="AI373" s="1022"/>
      <c r="AJ373" s="1022"/>
      <c r="AK373" s="1023"/>
      <c r="AL373" s="1024"/>
      <c r="AM373" s="1021"/>
      <c r="AN373" s="1022"/>
      <c r="AO373" s="1022"/>
      <c r="AP373" s="1022"/>
      <c r="AQ373" s="1023"/>
      <c r="AR373" s="1021"/>
      <c r="AS373" s="1022"/>
      <c r="AT373" s="1022"/>
      <c r="AU373" s="1022"/>
      <c r="AV373" s="1023"/>
      <c r="AW373" s="1025"/>
      <c r="AX373" s="1282">
        <f t="shared" si="635"/>
        <v>0</v>
      </c>
      <c r="AY373" s="387">
        <f t="shared" si="636"/>
        <v>0</v>
      </c>
      <c r="AZ373" s="387">
        <f t="shared" si="637"/>
        <v>0</v>
      </c>
      <c r="BA373" s="387">
        <f t="shared" si="638"/>
        <v>0</v>
      </c>
      <c r="BB373" s="1283">
        <f t="shared" si="639"/>
        <v>0</v>
      </c>
      <c r="BC373" s="386">
        <f t="shared" si="640"/>
        <v>0</v>
      </c>
      <c r="BD373" s="387">
        <f t="shared" si="641"/>
        <v>0</v>
      </c>
      <c r="BE373" s="1277">
        <f t="shared" si="642"/>
        <v>0</v>
      </c>
      <c r="BF373" s="1277">
        <f t="shared" si="642"/>
        <v>0</v>
      </c>
      <c r="BG373" s="388">
        <f t="shared" si="642"/>
        <v>0</v>
      </c>
      <c r="BH373" s="1025"/>
      <c r="BI373" s="1282">
        <f t="shared" ca="1" si="643"/>
        <v>0</v>
      </c>
      <c r="BJ373" s="387">
        <f t="shared" ca="1" si="644"/>
        <v>0</v>
      </c>
      <c r="BK373" s="387">
        <f t="shared" ca="1" si="645"/>
        <v>0</v>
      </c>
      <c r="BL373" s="387">
        <f t="shared" ca="1" si="646"/>
        <v>0</v>
      </c>
      <c r="BM373" s="1283">
        <f t="shared" ca="1" si="647"/>
        <v>0</v>
      </c>
      <c r="BN373" s="386">
        <f t="shared" ca="1" si="648"/>
        <v>0</v>
      </c>
      <c r="BO373" s="387">
        <f t="shared" ca="1" si="648"/>
        <v>0</v>
      </c>
      <c r="BP373" s="1277">
        <f t="shared" ca="1" si="648"/>
        <v>0</v>
      </c>
      <c r="BQ373" s="1277">
        <f t="shared" ca="1" si="648"/>
        <v>0</v>
      </c>
      <c r="BR373" s="388">
        <f t="shared" ca="1" si="648"/>
        <v>0</v>
      </c>
      <c r="BS373" s="1025"/>
      <c r="BT373" s="1282">
        <f>+IF($K373="Ongoing",AX373,IF(RIGHT($K373,2)=RIGHT(BT$43,2),SUM($AX373:AX373),0)+IF(RIGHT(BT$43,2)&gt;RIGHT($K373,2),AX373,0))</f>
        <v>0</v>
      </c>
      <c r="BU373" s="387">
        <f>+IF($K373="Ongoing",AY373,IF(RIGHT($K373,2)=RIGHT(BU$43,2),SUM($AX373:AY373),0)+IF(RIGHT(BU$43,2)&gt;RIGHT($K373,2),AY373,0))</f>
        <v>0</v>
      </c>
      <c r="BV373" s="387">
        <f>+IF($K373="Ongoing",AZ373,IF(RIGHT($K373,2)=RIGHT(BV$43,2),SUM($AX373:AZ373),0)+IF(RIGHT(BV$43,2)&gt;RIGHT($K373,2),AZ373,0))</f>
        <v>0</v>
      </c>
      <c r="BW373" s="387">
        <f>+IF($K373="Ongoing",BA373,IF(RIGHT($K373,2)=RIGHT(BW$43,2),SUM($AX373:BA373),0)+IF(RIGHT(BW$43,2)&gt;RIGHT($K373,2),BA373,0))</f>
        <v>0</v>
      </c>
      <c r="BX373" s="1283">
        <f>+IF($K373="Ongoing",BB373,IF(RIGHT($K373,2)=RIGHT(BX$43,2),SUM($AX373:BB373),0)+IF(RIGHT(BX$43,2)&gt;RIGHT($K373,2),BB373,0))</f>
        <v>0</v>
      </c>
      <c r="BY373" s="386">
        <f>+IF($K373="Ongoing",BC373,IF(RIGHT($K373,2)=RIGHT(BY$43,2),SUM($AX373:BC373),0)+IF(RIGHT(BY$43,2)&gt;RIGHT($K373,2),BC373,0))</f>
        <v>0</v>
      </c>
      <c r="BZ373" s="387">
        <f>+IF($K373="Ongoing",BD373,IF(RIGHT($K373,2)=RIGHT(BZ$43,2),SUM($AX373:BD373),0)+IF(RIGHT(BZ$43,2)&gt;RIGHT($K373,2),BD373,0))</f>
        <v>0</v>
      </c>
      <c r="CA373" s="1277">
        <f>+IF($K373="Ongoing",BE373,IF(RIGHT($K373,2)=RIGHT(CA$43,2),SUM($AX373:BE373),0)+IF(RIGHT(CA$43,2)&gt;RIGHT($K373,2),BE373,0))</f>
        <v>0</v>
      </c>
      <c r="CB373" s="1277">
        <f>+IF($K373="Ongoing",BF373,IF(RIGHT($K373,2)=RIGHT(CB$43,2),SUM($AX373:BF373),0)+IF(RIGHT(CB$43,2)&gt;RIGHT($K373,2),BF373,0))</f>
        <v>0</v>
      </c>
      <c r="CC373" s="388">
        <f>+IF($K373="Ongoing",BG373,IF(RIGHT($K373,2)=RIGHT(CC$43,2),SUM($AX373:BG373),0)+IF(RIGHT(CC$43,2)&gt;RIGHT($K373,2),BG373,0))</f>
        <v>0</v>
      </c>
      <c r="CD373" s="1025"/>
      <c r="CE373" s="1282">
        <f>+Q373*KeyAssumptionsPriceControl_FO!AF$15</f>
        <v>0</v>
      </c>
      <c r="CF373" s="387">
        <f>+R373*KeyAssumptionsPriceControl_FO!AG$15</f>
        <v>0</v>
      </c>
      <c r="CG373" s="387">
        <f>+S373*KeyAssumptionsPriceControl_FO!AH$15</f>
        <v>0</v>
      </c>
      <c r="CH373" s="387">
        <f>+T373*KeyAssumptionsPriceControl_FO!AI$15</f>
        <v>0</v>
      </c>
      <c r="CI373" s="1283">
        <f>+U373*KeyAssumptionsPriceControl_FO!AJ$15</f>
        <v>0</v>
      </c>
      <c r="CJ373" s="386">
        <f>+V373*KeyAssumptionsPriceControl_FO!AK$15</f>
        <v>0</v>
      </c>
      <c r="CK373" s="387">
        <f>+W373*KeyAssumptionsPriceControl_FO!AL$15</f>
        <v>0</v>
      </c>
      <c r="CL373" s="1277">
        <f>+X373*KeyAssumptionsPriceControl_FO!AM$15</f>
        <v>0</v>
      </c>
      <c r="CM373" s="1277">
        <f>+Y373*KeyAssumptionsPriceControl_FO!AN$15</f>
        <v>0</v>
      </c>
      <c r="CN373" s="388">
        <f>+Z373*KeyAssumptionsPriceControl_FO!AO$15</f>
        <v>0</v>
      </c>
      <c r="CO373" s="1025"/>
      <c r="CP373" s="1282">
        <f t="shared" ca="1" si="649"/>
        <v>0</v>
      </c>
      <c r="CQ373" s="387">
        <f t="shared" ca="1" si="650"/>
        <v>0</v>
      </c>
      <c r="CR373" s="387">
        <f t="shared" ca="1" si="651"/>
        <v>0</v>
      </c>
      <c r="CS373" s="387">
        <f t="shared" ca="1" si="652"/>
        <v>0</v>
      </c>
      <c r="CT373" s="1283">
        <f t="shared" ca="1" si="653"/>
        <v>0</v>
      </c>
      <c r="CU373" s="386">
        <f t="shared" ca="1" si="654"/>
        <v>0</v>
      </c>
      <c r="CV373" s="387">
        <f t="shared" ca="1" si="655"/>
        <v>0</v>
      </c>
      <c r="CW373" s="1277">
        <f t="shared" ca="1" si="656"/>
        <v>0</v>
      </c>
      <c r="CX373" s="1277">
        <f t="shared" ca="1" si="657"/>
        <v>0</v>
      </c>
      <c r="CY373" s="388">
        <f t="shared" ca="1" si="658"/>
        <v>0</v>
      </c>
      <c r="CZ373" s="347"/>
      <c r="DA373" s="852"/>
      <c r="DB373" s="347"/>
      <c r="DC373" s="1012" t="s">
        <v>517</v>
      </c>
      <c r="DD373" s="841" t="s">
        <v>518</v>
      </c>
      <c r="DE373" s="386">
        <f>+IF($K373="ongoing",CE373,IF(RIGHT($K373,2)=RIGHT(DE$43,2),SUM($CD373:CE373),0)+IF(RIGHT(DE$43,2)&gt;RIGHT($K373,2),CE373,0))</f>
        <v>0</v>
      </c>
      <c r="DF373" s="387">
        <f>+IF($K373="ongoing",CF373,IF(RIGHT($K373,2)=RIGHT(DF$43,2),SUM($CD373:CF373),0)+IF(RIGHT(DF$43,2)&gt;RIGHT($K373,2),CF373,0))</f>
        <v>0</v>
      </c>
      <c r="DG373" s="388">
        <f>+IF($K373="ongoing",CG373,IF(RIGHT($K373,2)=RIGHT(DG$43,2),SUM($CD373:CG373),0)+IF(RIGHT(DG$43,2)&gt;RIGHT($K373,2),CG373,0))</f>
        <v>0</v>
      </c>
      <c r="DH373" s="386">
        <f>+IF($K373="ongoing",CH373,IF(RIGHT($K373,2)=RIGHT(DH$43,2),SUM($CD373:CH373),0)+IF(RIGHT(DH$43,2)&gt;RIGHT($K373,2),CH373,0))</f>
        <v>0</v>
      </c>
      <c r="DI373" s="387">
        <f>+IF($K373="ongoing",CI373,IF(RIGHT($K373,2)=RIGHT(DI$43,2),SUM($CD373:CI373),0)+IF(RIGHT(DI$43,2)&gt;RIGHT($K373,2),CI373,0))</f>
        <v>0</v>
      </c>
      <c r="DJ373" s="387">
        <f>+IF($K373="ongoing",CJ373,IF(RIGHT($K373,2)=RIGHT(DJ$43,2),SUM($CD373:CJ373),0)+IF(RIGHT(DJ$43,2)&gt;RIGHT($K373,2),CJ373,0))</f>
        <v>0</v>
      </c>
      <c r="DK373" s="387">
        <f>+IF($K373="ongoing",CK373,IF(RIGHT($K373,2)=RIGHT(DK$43,2),SUM($CD373:CK373),0)+IF(RIGHT(DK$43,2)&gt;RIGHT($K373,2),CK373,0))</f>
        <v>0</v>
      </c>
      <c r="DL373" s="388">
        <f>+IF($K373="ongoing",CN373,IF(RIGHT($K373,2)=RIGHT(DL$43,2),SUM($CD373:CN373),0)+IF(RIGHT(DL$43,2)&gt;RIGHT($K373,2),CN373,0))</f>
        <v>0</v>
      </c>
      <c r="DM373" s="841"/>
      <c r="DN373" s="386">
        <f t="shared" si="632"/>
        <v>0.5</v>
      </c>
      <c r="DO373" s="387">
        <f t="shared" si="632"/>
        <v>1</v>
      </c>
      <c r="DP373" s="388">
        <f t="shared" si="632"/>
        <v>1</v>
      </c>
      <c r="DQ373" s="386">
        <f t="shared" si="632"/>
        <v>1</v>
      </c>
      <c r="DR373" s="387">
        <f t="shared" si="632"/>
        <v>1</v>
      </c>
      <c r="DS373" s="387">
        <f t="shared" si="632"/>
        <v>1</v>
      </c>
      <c r="DT373" s="387">
        <f t="shared" si="632"/>
        <v>1</v>
      </c>
      <c r="DU373" s="388">
        <f t="shared" si="632"/>
        <v>1</v>
      </c>
      <c r="DW373" s="386">
        <f t="shared" si="633"/>
        <v>0</v>
      </c>
      <c r="DX373" s="387">
        <f t="shared" si="633"/>
        <v>0.5</v>
      </c>
      <c r="DY373" s="388">
        <f t="shared" si="633"/>
        <v>1</v>
      </c>
      <c r="DZ373" s="386">
        <f t="shared" si="633"/>
        <v>1</v>
      </c>
      <c r="EA373" s="387">
        <f t="shared" si="633"/>
        <v>1</v>
      </c>
      <c r="EB373" s="387">
        <f t="shared" si="633"/>
        <v>1</v>
      </c>
      <c r="EC373" s="387">
        <f t="shared" si="633"/>
        <v>1</v>
      </c>
      <c r="ED373" s="388">
        <f t="shared" si="633"/>
        <v>1</v>
      </c>
      <c r="EF373" s="834">
        <f>+IF(DN373=DM373,0,
IF(AND(EF$44&gt;1,DN373=$N373),1-SUM($EE373:EE373),
IF($N373&lt;=1,
IF($N373&gt;0,1/$N373,0),
IF(EF$44=1,0,VDB(1,0,$N373,INT(EF$44-1-1),MIN($N373,INT(EF$44-1-1)+1),$DC373,IF($DD373="No",1,0))/
IF(DM373&gt;=INT($N373),$N373-INT($N373),1)))*
IF(EF$44=1,0,
IF(INT(DN373)=INT(DM373),DN373-DM373,INT(DN373)-DM373))+
IF($N373&lt;=1,
IF($N373&gt;0,1/$N373,0),VDB(1,0,$N373,INT(EF$44-1),MIN($N373,INT(EF$44-1)+1),$DC373,IF($DD373="No",1,0))/
IF(DN373&gt;INT($N373),$N373-INT($N373),1))*
IF(EF$44=1,DN373,
IF(INT(DN373)=INT(DM373),0,DN373-INT(DN373)))))</f>
        <v>0</v>
      </c>
      <c r="EG373" s="835">
        <f>+IF(DO373=DN373,0,
IF(AND(EG$44&gt;1,DO373=$N373),1-SUM($EE373:EF373),
IF($N373&lt;=1,
IF($N373&gt;0,1/$N373,0),
IF(EG$44=1,0,VDB(1,0,$N373,INT(EG$44-1-1),MIN($N373,INT(EG$44-1-1)+1),$DC373,IF($DD373="No",1,0))/
IF(DN373&gt;=INT($N373),$N373-INT($N373),1)))*
IF(EG$44=1,0,
IF(INT(DO373)=INT(DN373),DO373-DN373,INT(DO373)-DN373))+
IF($N373&lt;=1,
IF($N373&gt;0,1/$N373,0),VDB(1,0,$N373,INT(EG$44-1),MIN($N373,INT(EG$44-1)+1),$DC373,IF($DD373="No",1,0))/
IF(DO373&gt;INT($N373),$N373-INT($N373),1))*
IF(EG$44=1,DO373,
IF(INT(DO373)=INT(DN373),0,DO373-INT(DO373)))))</f>
        <v>0</v>
      </c>
      <c r="EH373" s="836">
        <f>+IF(DP373=DO373,0,
IF(AND(EH$44&gt;1,DP373=$N373),1-SUM($EE373:EG373),
IF($N373&lt;=1,
IF($N373&gt;0,1/$N373,0),
IF(EH$44=1,0,VDB(1,0,$N373,INT(EH$44-1-1),MIN($N373,INT(EH$44-1-1)+1),$DC373,IF($DD373="No",1,0))/
IF(DO373&gt;=INT($N373),$N373-INT($N373),1)))*
IF(EH$44=1,0,
IF(INT(DP373)=INT(DO373),DP373-DO373,INT(DP373)-DO373))+
IF($N373&lt;=1,
IF($N373&gt;0,1/$N373,0),VDB(1,0,$N373,INT(EH$44-1),MIN($N373,INT(EH$44-1)+1),$DC373,IF($DD373="No",1,0))/
IF(DP373&gt;INT($N373),$N373-INT($N373),1))*
IF(EH$44=1,DP373,
IF(INT(DP373)=INT(DO373),0,DP373-INT(DP373)))))</f>
        <v>0</v>
      </c>
      <c r="EI373" s="834">
        <f>+IF(DQ373=DP373,0,
IF(AND(EI$44&gt;1,DQ373=$N373),1-SUM($EE373:EH373),
IF($N373&lt;=1,
IF($N373&gt;0,1/$N373,0),
IF(EI$44=1,0,VDB(1,0,$N373,INT(EI$44-1-1),MIN($N373,INT(EI$44-1-1)+1),$DC373,IF($DD373="No",1,0))/
IF(DP373&gt;=INT($N373),$N373-INT($N373),1)))*
IF(EI$44=1,0,
IF(INT(DQ373)=INT(DP373),DQ373-DP373,INT(DQ373)-DP373))+
IF($N373&lt;=1,
IF($N373&gt;0,1/$N373,0),VDB(1,0,$N373,INT(EI$44-1),MIN($N373,INT(EI$44-1)+1),$DC373,IF($DD373="No",1,0))/
IF(DQ373&gt;INT($N373),$N373-INT($N373),1))*
IF(EI$44=1,DQ373,
IF(INT(DQ373)=INT(DP373),0,DQ373-INT(DQ373)))))</f>
        <v>0</v>
      </c>
      <c r="EJ373" s="835">
        <f>+IF(DR373=DQ373,0,
IF(AND(EJ$44&gt;1,DR373=$N373),1-SUM($EE373:EI373),
IF($N373&lt;=1,
IF($N373&gt;0,1/$N373,0),
IF(EJ$44=1,0,VDB(1,0,$N373,INT(EJ$44-1-1),MIN($N373,INT(EJ$44-1-1)+1),$DC373,IF($DD373="No",1,0))/
IF(DQ373&gt;=INT($N373),$N373-INT($N373),1)))*
IF(EJ$44=1,0,
IF(INT(DR373)=INT(DQ373),DR373-DQ373,INT(DR373)-DQ373))+
IF($N373&lt;=1,
IF($N373&gt;0,1/$N373,0),VDB(1,0,$N373,INT(EJ$44-1),MIN($N373,INT(EJ$44-1)+1),$DC373,IF($DD373="No",1,0))/
IF(DR373&gt;INT($N373),$N373-INT($N373),1))*
IF(EJ$44=1,DR373,
IF(INT(DR373)=INT(DQ373),0,DR373-INT(DR373)))))</f>
        <v>0</v>
      </c>
      <c r="EK373" s="835">
        <f>+IF(DS373=DR373,0,
IF(AND(EK$44&gt;1,DS373=$N373),1-SUM($EE373:EJ373),
IF($N373&lt;=1,
IF($N373&gt;0,1/$N373,0),
IF(EK$44=1,0,VDB(1,0,$N373,INT(EK$44-1-1),MIN($N373,INT(EK$44-1-1)+1),$DC373,IF($DD373="No",1,0))/
IF(DR373&gt;=INT($N373),$N373-INT($N373),1)))*
IF(EK$44=1,0,
IF(INT(DS373)=INT(DR373),DS373-DR373,INT(DS373)-DR373))+
IF($N373&lt;=1,
IF($N373&gt;0,1/$N373,0),VDB(1,0,$N373,INT(EK$44-1),MIN($N373,INT(EK$44-1)+1),$DC373,IF($DD373="No",1,0))/
IF(DS373&gt;INT($N373),$N373-INT($N373),1))*
IF(EK$44=1,DS373,
IF(INT(DS373)=INT(DR373),0,DS373-INT(DS373)))))</f>
        <v>0</v>
      </c>
      <c r="EL373" s="835">
        <f>+IF(DT373=DS373,0,
IF(AND(EL$44&gt;1,DT373=$N373),1-SUM($EE373:EK373),
IF($N373&lt;=1,
IF($N373&gt;0,1/$N373,0),
IF(EL$44=1,0,VDB(1,0,$N373,INT(EL$44-1-1),MIN($N373,INT(EL$44-1-1)+1),$DC373,IF($DD373="No",1,0))/
IF(DS373&gt;=INT($N373),$N373-INT($N373),1)))*
IF(EL$44=1,0,
IF(INT(DT373)=INT(DS373),DT373-DS373,INT(DT373)-DS373))+
IF($N373&lt;=1,
IF($N373&gt;0,1/$N373,0),VDB(1,0,$N373,INT(EL$44-1),MIN($N373,INT(EL$44-1)+1),$DC373,IF($DD373="No",1,0))/
IF(DT373&gt;INT($N373),$N373-INT($N373),1))*
IF(EL$44=1,DT373,
IF(INT(DT373)=INT(DS373),0,DT373-INT(DT373)))))</f>
        <v>0</v>
      </c>
      <c r="EM373" s="836">
        <f>+IF(DU373=DT373,0,
IF(AND(EM$44&gt;1,DU373=$N373),1-SUM($EE373:EL373),
IF($N373&lt;=1,
IF($N373&gt;0,1/$N373,0),
IF(EM$44=1,0,VDB(1,0,$N373,INT(EM$44-1-1),MIN($N373,INT(EM$44-1-1)+1),$DC373,IF($DD373="No",1,0))/
IF(DT373&gt;=INT($N373),$N373-INT($N373),1)))*
IF(EM$44=1,0,
IF(INT(DU373)=INT(DT373),DU373-DT373,INT(DU373)-DT373))+
IF($N373&lt;=1,
IF($N373&gt;0,1/$N373,0),VDB(1,0,$N373,INT(EM$44-1),MIN($N373,INT(EM$44-1)+1),$DC373,IF($DD373="No",1,0))/
IF(DU373&gt;INT($N373),$N373-INT($N373),1))*
IF(EM$44=1,DU373,
IF(INT(DU373)=INT(DT373),0,DU373-INT(DU373)))))</f>
        <v>0</v>
      </c>
      <c r="EN373" s="833"/>
      <c r="EO373" s="834">
        <f>+IF(OR(DW373=DV373,EO$44=1),0,
IF(AND(EO$44&gt;1,DW373=$N373),1-SUM($EN373:EN373),
IF($N373&lt;=1,
IF($N373&gt;0,1/$N373,0),
IF(EO$44=2,0,VDB(1,0,$N373,INT(EO$44-2-1),MIN($N373,INT(EO$44-2-1)+1),$DC373,IF($DD373="No",1,0))/
IF(DV373&gt;=INT($N373),$N373-INT($N373),1)))*
IF(EO$44=2,0,
IF(INT(DW373)=INT(DV373),DW373-DV373,INT(DW373)-DV373))+
IF($N373&lt;=1,
IF($N373&gt;0,1/$N373,0),VDB(1,0,$N373,INT(EO$44-2),MIN($N373,INT(EO$44-2)+1),$DC373,IF($DD373="No",1,0))/
IF(DW373&gt;INT($N373),$N373-INT($N373),1))*
IF(EO$44=2,DW373,
IF(INT(DW373)=INT(DV373),0,DW373-INT(DW373)))))</f>
        <v>0</v>
      </c>
      <c r="EP373" s="835">
        <f>+IF(OR(DX373=DW373,EP$44=1),0,
IF(AND(EP$44&gt;1,DX373=$N373),1-SUM($EN373:EO373),
IF($N373&lt;=1,
IF($N373&gt;0,1/$N373,0),
IF(EP$44=2,0,VDB(1,0,$N373,INT(EP$44-2-1),MIN($N373,INT(EP$44-2-1)+1),$DC373,IF($DD373="No",1,0))/
IF(DW373&gt;=INT($N373),$N373-INT($N373),1)))*
IF(EP$44=2,0,
IF(INT(DX373)=INT(DW373),DX373-DW373,INT(DX373)-DW373))+
IF($N373&lt;=1,
IF($N373&gt;0,1/$N373,0),VDB(1,0,$N373,INT(EP$44-2),MIN($N373,INT(EP$44-2)+1),$DC373,IF($DD373="No",1,0))/
IF(DX373&gt;INT($N373),$N373-INT($N373),1))*
IF(EP$44=2,DX373,
IF(INT(DX373)=INT(DW373),0,DX373-INT(DX373)))))</f>
        <v>0</v>
      </c>
      <c r="EQ373" s="836">
        <f>+IF(OR(DY373=DX373,EQ$44=1),0,
IF(AND(EQ$44&gt;1,DY373=$N373),1-SUM($EN373:EP373),
IF($N373&lt;=1,
IF($N373&gt;0,1/$N373,0),
IF(EQ$44=2,0,VDB(1,0,$N373,INT(EQ$44-2-1),MIN($N373,INT(EQ$44-2-1)+1),$DC373,IF($DD373="No",1,0))/
IF(DX373&gt;=INT($N373),$N373-INT($N373),1)))*
IF(EQ$44=2,0,
IF(INT(DY373)=INT(DX373),DY373-DX373,INT(DY373)-DX373))+
IF($N373&lt;=1,
IF($N373&gt;0,1/$N373,0),VDB(1,0,$N373,INT(EQ$44-2),MIN($N373,INT(EQ$44-2)+1),$DC373,IF($DD373="No",1,0))/
IF(DY373&gt;INT($N373),$N373-INT($N373),1))*
IF(EQ$44=2,DY373,
IF(INT(DY373)=INT(DX373),0,DY373-INT(DY373)))))</f>
        <v>0</v>
      </c>
      <c r="ER373" s="834">
        <f>+IF(OR(DZ373=DY373,ER$44=1),0,
IF(AND(ER$44&gt;1,DZ373=$N373),1-SUM($EN373:EQ373),
IF($N373&lt;=1,
IF($N373&gt;0,1/$N373,0),
IF(ER$44=2,0,VDB(1,0,$N373,INT(ER$44-2-1),MIN($N373,INT(ER$44-2-1)+1),$DC373,IF($DD373="No",1,0))/
IF(DY373&gt;=INT($N373),$N373-INT($N373),1)))*
IF(ER$44=2,0,
IF(INT(DZ373)=INT(DY373),DZ373-DY373,INT(DZ373)-DY373))+
IF($N373&lt;=1,
IF($N373&gt;0,1/$N373,0),VDB(1,0,$N373,INT(ER$44-2),MIN($N373,INT(ER$44-2)+1),$DC373,IF($DD373="No",1,0))/
IF(DZ373&gt;INT($N373),$N373-INT($N373),1))*
IF(ER$44=2,DZ373,
IF(INT(DZ373)=INT(DY373),0,DZ373-INT(DZ373)))))</f>
        <v>0</v>
      </c>
      <c r="ES373" s="835">
        <f>+IF(OR(EA373=DZ373,ES$44=1),0,
IF(AND(ES$44&gt;1,EA373=$N373),1-SUM($EN373:ER373),
IF($N373&lt;=1,
IF($N373&gt;0,1/$N373,0),
IF(ES$44=2,0,VDB(1,0,$N373,INT(ES$44-2-1),MIN($N373,INT(ES$44-2-1)+1),$DC373,IF($DD373="No",1,0))/
IF(DZ373&gt;=INT($N373),$N373-INT($N373),1)))*
IF(ES$44=2,0,
IF(INT(EA373)=INT(DZ373),EA373-DZ373,INT(EA373)-DZ373))+
IF($N373&lt;=1,
IF($N373&gt;0,1/$N373,0),VDB(1,0,$N373,INT(ES$44-2),MIN($N373,INT(ES$44-2)+1),$DC373,IF($DD373="No",1,0))/
IF(EA373&gt;INT($N373),$N373-INT($N373),1))*
IF(ES$44=2,EA373,
IF(INT(EA373)=INT(DZ373),0,EA373-INT(EA373)))))</f>
        <v>0</v>
      </c>
      <c r="ET373" s="835">
        <f>+IF(OR(EB373=EA373,ET$44=1),0,
IF(AND(ET$44&gt;1,EB373=$N373),1-SUM($EN373:ES373),
IF($N373&lt;=1,
IF($N373&gt;0,1/$N373,0),
IF(ET$44=2,0,VDB(1,0,$N373,INT(ET$44-2-1),MIN($N373,INT(ET$44-2-1)+1),$DC373,IF($DD373="No",1,0))/
IF(EA373&gt;=INT($N373),$N373-INT($N373),1)))*
IF(ET$44=2,0,
IF(INT(EB373)=INT(EA373),EB373-EA373,INT(EB373)-EA373))+
IF($N373&lt;=1,
IF($N373&gt;0,1/$N373,0),VDB(1,0,$N373,INT(ET$44-2),MIN($N373,INT(ET$44-2)+1),$DC373,IF($DD373="No",1,0))/
IF(EB373&gt;INT($N373),$N373-INT($N373),1))*
IF(ET$44=2,EB373,
IF(INT(EB373)=INT(EA373),0,EB373-INT(EB373)))))</f>
        <v>0</v>
      </c>
      <c r="EU373" s="835">
        <f>+IF(OR(EC373=EB373,EU$44=1),0,
IF(AND(EU$44&gt;1,EC373=$N373),1-SUM($EN373:ET373),
IF($N373&lt;=1,
IF($N373&gt;0,1/$N373,0),
IF(EU$44=2,0,VDB(1,0,$N373,INT(EU$44-2-1),MIN($N373,INT(EU$44-2-1)+1),$DC373,IF($DD373="No",1,0))/
IF(EB373&gt;=INT($N373),$N373-INT($N373),1)))*
IF(EU$44=2,0,
IF(INT(EC373)=INT(EB373),EC373-EB373,INT(EC373)-EB373))+
IF($N373&lt;=1,
IF($N373&gt;0,1/$N373,0),VDB(1,0,$N373,INT(EU$44-2),MIN($N373,INT(EU$44-2)+1),$DC373,IF($DD373="No",1,0))/
IF(EC373&gt;INT($N373),$N373-INT($N373),1))*
IF(EU$44=2,EC373,
IF(INT(EC373)=INT(EB373),0,EC373-INT(EC373)))))</f>
        <v>0</v>
      </c>
      <c r="EV373" s="836">
        <f>+IF(OR(ED373=EC373,EV$44=1),0,
IF(AND(EV$44&gt;1,ED373=$N373),1-SUM($EN373:EU373),
IF($N373&lt;=1,
IF($N373&gt;0,1/$N373,0),
IF(EV$44=2,0,VDB(1,0,$N373,INT(EV$44-2-1),MIN($N373,INT(EV$44-2-1)+1),$DC373,IF($DD373="No",1,0))/
IF(EC373&gt;=INT($N373),$N373-INT($N373),1)))*
IF(EV$44=2,0,
IF(INT(ED373)=INT(EC373),ED373-EC373,INT(ED373)-EC373))+
IF($N373&lt;=1,
IF($N373&gt;0,1/$N373,0),VDB(1,0,$N373,INT(EV$44-2),MIN($N373,INT(EV$44-2)+1),$DC373,IF($DD373="No",1,0))/
IF(ED373&gt;INT($N373),$N373-INT($N373),1))*
IF(EV$44=2,ED373,
IF(INT(ED373)=INT(EC373),0,ED373-INT(ED373)))))</f>
        <v>0</v>
      </c>
      <c r="EW373" s="833"/>
      <c r="EX373" s="834">
        <f t="shared" ca="1" si="634"/>
        <v>0</v>
      </c>
      <c r="EY373" s="835">
        <f t="shared" ca="1" si="634"/>
        <v>0</v>
      </c>
      <c r="EZ373" s="836">
        <f t="shared" ca="1" si="634"/>
        <v>0</v>
      </c>
      <c r="FA373" s="834">
        <f t="shared" ca="1" si="634"/>
        <v>0</v>
      </c>
      <c r="FB373" s="835">
        <f t="shared" ca="1" si="634"/>
        <v>0</v>
      </c>
      <c r="FC373" s="835">
        <f t="shared" ca="1" si="634"/>
        <v>0</v>
      </c>
      <c r="FD373" s="835">
        <f t="shared" ca="1" si="634"/>
        <v>0</v>
      </c>
      <c r="FE373" s="836">
        <f t="shared" ca="1" si="634"/>
        <v>0</v>
      </c>
      <c r="FG373" s="386">
        <f t="shared" ca="1" si="659"/>
        <v>0</v>
      </c>
      <c r="FH373" s="387">
        <f t="shared" ca="1" si="660"/>
        <v>0</v>
      </c>
      <c r="FI373" s="388">
        <f t="shared" ca="1" si="661"/>
        <v>0</v>
      </c>
      <c r="FJ373" s="386">
        <f t="shared" ca="1" si="662"/>
        <v>0</v>
      </c>
      <c r="FK373" s="387">
        <f t="shared" ca="1" si="663"/>
        <v>0</v>
      </c>
      <c r="FL373" s="387">
        <f t="shared" ca="1" si="664"/>
        <v>0</v>
      </c>
      <c r="FM373" s="387">
        <f t="shared" ca="1" si="665"/>
        <v>0</v>
      </c>
      <c r="FN373" s="388">
        <f t="shared" ca="1" si="666"/>
        <v>0</v>
      </c>
      <c r="FR373" s="116"/>
    </row>
    <row r="374" spans="2:174">
      <c r="B374" s="1410">
        <f t="shared" si="556"/>
        <v>328</v>
      </c>
      <c r="C374" s="400"/>
      <c r="D374" s="410"/>
      <c r="E374" s="402"/>
      <c r="F374" s="402"/>
      <c r="G374" s="400"/>
      <c r="H374" s="2088"/>
      <c r="I374" s="2089"/>
      <c r="J374" s="411"/>
      <c r="K374" s="403"/>
      <c r="L374" s="403"/>
      <c r="M374" s="403"/>
      <c r="N374" s="403"/>
      <c r="O374" s="347"/>
      <c r="P374" s="347"/>
      <c r="Q374" s="1021"/>
      <c r="R374" s="1022"/>
      <c r="S374" s="1022"/>
      <c r="T374" s="1022"/>
      <c r="U374" s="1023"/>
      <c r="V374" s="1021"/>
      <c r="W374" s="1022"/>
      <c r="X374" s="1022"/>
      <c r="Y374" s="1022"/>
      <c r="Z374" s="1023"/>
      <c r="AA374" s="1024"/>
      <c r="AB374" s="1021"/>
      <c r="AC374" s="1022"/>
      <c r="AD374" s="1022"/>
      <c r="AE374" s="1022"/>
      <c r="AF374" s="1023"/>
      <c r="AG374" s="1021"/>
      <c r="AH374" s="1022"/>
      <c r="AI374" s="1022"/>
      <c r="AJ374" s="1022"/>
      <c r="AK374" s="1023"/>
      <c r="AL374" s="1024"/>
      <c r="AM374" s="1021"/>
      <c r="AN374" s="1022"/>
      <c r="AO374" s="1022"/>
      <c r="AP374" s="1022"/>
      <c r="AQ374" s="1023"/>
      <c r="AR374" s="1021"/>
      <c r="AS374" s="1022"/>
      <c r="AT374" s="1022"/>
      <c r="AU374" s="1022"/>
      <c r="AV374" s="1023"/>
      <c r="AW374" s="1025"/>
      <c r="AX374" s="1282">
        <f t="shared" si="635"/>
        <v>0</v>
      </c>
      <c r="AY374" s="387">
        <f t="shared" si="636"/>
        <v>0</v>
      </c>
      <c r="AZ374" s="387">
        <f t="shared" si="637"/>
        <v>0</v>
      </c>
      <c r="BA374" s="387">
        <f t="shared" si="638"/>
        <v>0</v>
      </c>
      <c r="BB374" s="1283">
        <f t="shared" si="639"/>
        <v>0</v>
      </c>
      <c r="BC374" s="386">
        <f t="shared" si="640"/>
        <v>0</v>
      </c>
      <c r="BD374" s="387">
        <f t="shared" si="641"/>
        <v>0</v>
      </c>
      <c r="BE374" s="1277">
        <f t="shared" si="642"/>
        <v>0</v>
      </c>
      <c r="BF374" s="1277">
        <f t="shared" si="642"/>
        <v>0</v>
      </c>
      <c r="BG374" s="388">
        <f t="shared" si="642"/>
        <v>0</v>
      </c>
      <c r="BH374" s="1025"/>
      <c r="BI374" s="1282">
        <f t="shared" ca="1" si="643"/>
        <v>0</v>
      </c>
      <c r="BJ374" s="387">
        <f t="shared" ca="1" si="644"/>
        <v>0</v>
      </c>
      <c r="BK374" s="387">
        <f t="shared" ca="1" si="645"/>
        <v>0</v>
      </c>
      <c r="BL374" s="387">
        <f t="shared" ca="1" si="646"/>
        <v>0</v>
      </c>
      <c r="BM374" s="1283">
        <f t="shared" ca="1" si="647"/>
        <v>0</v>
      </c>
      <c r="BN374" s="386">
        <f t="shared" ca="1" si="648"/>
        <v>0</v>
      </c>
      <c r="BO374" s="387">
        <f t="shared" ca="1" si="648"/>
        <v>0</v>
      </c>
      <c r="BP374" s="1277">
        <f t="shared" ca="1" si="648"/>
        <v>0</v>
      </c>
      <c r="BQ374" s="1277">
        <f t="shared" ca="1" si="648"/>
        <v>0</v>
      </c>
      <c r="BR374" s="388">
        <f t="shared" ca="1" si="648"/>
        <v>0</v>
      </c>
      <c r="BS374" s="1025"/>
      <c r="BT374" s="1282">
        <f>+IF($K374="Ongoing",AX374,IF(RIGHT($K374,2)=RIGHT(BT$43,2),SUM($AX374:AX374),0)+IF(RIGHT(BT$43,2)&gt;RIGHT($K374,2),AX374,0))</f>
        <v>0</v>
      </c>
      <c r="BU374" s="387">
        <f>+IF($K374="Ongoing",AY374,IF(RIGHT($K374,2)=RIGHT(BU$43,2),SUM($AX374:AY374),0)+IF(RIGHT(BU$43,2)&gt;RIGHT($K374,2),AY374,0))</f>
        <v>0</v>
      </c>
      <c r="BV374" s="387">
        <f>+IF($K374="Ongoing",AZ374,IF(RIGHT($K374,2)=RIGHT(BV$43,2),SUM($AX374:AZ374),0)+IF(RIGHT(BV$43,2)&gt;RIGHT($K374,2),AZ374,0))</f>
        <v>0</v>
      </c>
      <c r="BW374" s="387">
        <f>+IF($K374="Ongoing",BA374,IF(RIGHT($K374,2)=RIGHT(BW$43,2),SUM($AX374:BA374),0)+IF(RIGHT(BW$43,2)&gt;RIGHT($K374,2),BA374,0))</f>
        <v>0</v>
      </c>
      <c r="BX374" s="1283">
        <f>+IF($K374="Ongoing",BB374,IF(RIGHT($K374,2)=RIGHT(BX$43,2),SUM($AX374:BB374),0)+IF(RIGHT(BX$43,2)&gt;RIGHT($K374,2),BB374,0))</f>
        <v>0</v>
      </c>
      <c r="BY374" s="386">
        <f>+IF($K374="Ongoing",BC374,IF(RIGHT($K374,2)=RIGHT(BY$43,2),SUM($AX374:BC374),0)+IF(RIGHT(BY$43,2)&gt;RIGHT($K374,2),BC374,0))</f>
        <v>0</v>
      </c>
      <c r="BZ374" s="387">
        <f>+IF($K374="Ongoing",BD374,IF(RIGHT($K374,2)=RIGHT(BZ$43,2),SUM($AX374:BD374),0)+IF(RIGHT(BZ$43,2)&gt;RIGHT($K374,2),BD374,0))</f>
        <v>0</v>
      </c>
      <c r="CA374" s="1277">
        <f>+IF($K374="Ongoing",BE374,IF(RIGHT($K374,2)=RIGHT(CA$43,2),SUM($AX374:BE374),0)+IF(RIGHT(CA$43,2)&gt;RIGHT($K374,2),BE374,0))</f>
        <v>0</v>
      </c>
      <c r="CB374" s="1277">
        <f>+IF($K374="Ongoing",BF374,IF(RIGHT($K374,2)=RIGHT(CB$43,2),SUM($AX374:BF374),0)+IF(RIGHT(CB$43,2)&gt;RIGHT($K374,2),BF374,0))</f>
        <v>0</v>
      </c>
      <c r="CC374" s="388">
        <f>+IF($K374="Ongoing",BG374,IF(RIGHT($K374,2)=RIGHT(CC$43,2),SUM($AX374:BG374),0)+IF(RIGHT(CC$43,2)&gt;RIGHT($K374,2),BG374,0))</f>
        <v>0</v>
      </c>
      <c r="CD374" s="1025"/>
      <c r="CE374" s="1282">
        <f>+Q374*KeyAssumptionsPriceControl_FO!AF$15</f>
        <v>0</v>
      </c>
      <c r="CF374" s="387">
        <f>+R374*KeyAssumptionsPriceControl_FO!AG$15</f>
        <v>0</v>
      </c>
      <c r="CG374" s="387">
        <f>+S374*KeyAssumptionsPriceControl_FO!AH$15</f>
        <v>0</v>
      </c>
      <c r="CH374" s="387">
        <f>+T374*KeyAssumptionsPriceControl_FO!AI$15</f>
        <v>0</v>
      </c>
      <c r="CI374" s="1283">
        <f>+U374*KeyAssumptionsPriceControl_FO!AJ$15</f>
        <v>0</v>
      </c>
      <c r="CJ374" s="386">
        <f>+V374*KeyAssumptionsPriceControl_FO!AK$15</f>
        <v>0</v>
      </c>
      <c r="CK374" s="387">
        <f>+W374*KeyAssumptionsPriceControl_FO!AL$15</f>
        <v>0</v>
      </c>
      <c r="CL374" s="1277">
        <f>+X374*KeyAssumptionsPriceControl_FO!AM$15</f>
        <v>0</v>
      </c>
      <c r="CM374" s="1277">
        <f>+Y374*KeyAssumptionsPriceControl_FO!AN$15</f>
        <v>0</v>
      </c>
      <c r="CN374" s="388">
        <f>+Z374*KeyAssumptionsPriceControl_FO!AO$15</f>
        <v>0</v>
      </c>
      <c r="CO374" s="1025"/>
      <c r="CP374" s="1282">
        <f t="shared" ca="1" si="649"/>
        <v>0</v>
      </c>
      <c r="CQ374" s="387">
        <f t="shared" ca="1" si="650"/>
        <v>0</v>
      </c>
      <c r="CR374" s="387">
        <f t="shared" ca="1" si="651"/>
        <v>0</v>
      </c>
      <c r="CS374" s="387">
        <f t="shared" ca="1" si="652"/>
        <v>0</v>
      </c>
      <c r="CT374" s="1283">
        <f t="shared" ca="1" si="653"/>
        <v>0</v>
      </c>
      <c r="CU374" s="386">
        <f t="shared" ca="1" si="654"/>
        <v>0</v>
      </c>
      <c r="CV374" s="387">
        <f t="shared" ca="1" si="655"/>
        <v>0</v>
      </c>
      <c r="CW374" s="1277">
        <f t="shared" ca="1" si="656"/>
        <v>0</v>
      </c>
      <c r="CX374" s="1277">
        <f t="shared" ca="1" si="657"/>
        <v>0</v>
      </c>
      <c r="CY374" s="388">
        <f t="shared" ca="1" si="658"/>
        <v>0</v>
      </c>
      <c r="CZ374" s="347"/>
      <c r="DA374" s="852"/>
      <c r="DB374" s="347"/>
      <c r="DC374" s="1012" t="s">
        <v>517</v>
      </c>
      <c r="DD374" s="841" t="s">
        <v>518</v>
      </c>
      <c r="DE374" s="386">
        <f>+IF($K374="ongoing",CE374,IF(RIGHT($K374,2)=RIGHT(DE$43,2),SUM($CD374:CE374),0)+IF(RIGHT(DE$43,2)&gt;RIGHT($K374,2),CE374,0))</f>
        <v>0</v>
      </c>
      <c r="DF374" s="387">
        <f>+IF($K374="ongoing",CF374,IF(RIGHT($K374,2)=RIGHT(DF$43,2),SUM($CD374:CF374),0)+IF(RIGHT(DF$43,2)&gt;RIGHT($K374,2),CF374,0))</f>
        <v>0</v>
      </c>
      <c r="DG374" s="388">
        <f>+IF($K374="ongoing",CG374,IF(RIGHT($K374,2)=RIGHT(DG$43,2),SUM($CD374:CG374),0)+IF(RIGHT(DG$43,2)&gt;RIGHT($K374,2),CG374,0))</f>
        <v>0</v>
      </c>
      <c r="DH374" s="386">
        <f>+IF($K374="ongoing",CH374,IF(RIGHT($K374,2)=RIGHT(DH$43,2),SUM($CD374:CH374),0)+IF(RIGHT(DH$43,2)&gt;RIGHT($K374,2),CH374,0))</f>
        <v>0</v>
      </c>
      <c r="DI374" s="387">
        <f>+IF($K374="ongoing",CI374,IF(RIGHT($K374,2)=RIGHT(DI$43,2),SUM($CD374:CI374),0)+IF(RIGHT(DI$43,2)&gt;RIGHT($K374,2),CI374,0))</f>
        <v>0</v>
      </c>
      <c r="DJ374" s="387">
        <f>+IF($K374="ongoing",CJ374,IF(RIGHT($K374,2)=RIGHT(DJ$43,2),SUM($CD374:CJ374),0)+IF(RIGHT(DJ$43,2)&gt;RIGHT($K374,2),CJ374,0))</f>
        <v>0</v>
      </c>
      <c r="DK374" s="387">
        <f>+IF($K374="ongoing",CK374,IF(RIGHT($K374,2)=RIGHT(DK$43,2),SUM($CD374:CK374),0)+IF(RIGHT(DK$43,2)&gt;RIGHT($K374,2),CK374,0))</f>
        <v>0</v>
      </c>
      <c r="DL374" s="388">
        <f>+IF($K374="ongoing",CN374,IF(RIGHT($K374,2)=RIGHT(DL$43,2),SUM($CD374:CN374),0)+IF(RIGHT(DL$43,2)&gt;RIGHT($K374,2),CN374,0))</f>
        <v>0</v>
      </c>
      <c r="DM374" s="841"/>
      <c r="DN374" s="386">
        <f t="shared" si="632"/>
        <v>0.5</v>
      </c>
      <c r="DO374" s="387">
        <f t="shared" si="632"/>
        <v>1</v>
      </c>
      <c r="DP374" s="388">
        <f t="shared" si="632"/>
        <v>1</v>
      </c>
      <c r="DQ374" s="386">
        <f t="shared" si="632"/>
        <v>1</v>
      </c>
      <c r="DR374" s="387">
        <f t="shared" si="632"/>
        <v>1</v>
      </c>
      <c r="DS374" s="387">
        <f t="shared" si="632"/>
        <v>1</v>
      </c>
      <c r="DT374" s="387">
        <f t="shared" si="632"/>
        <v>1</v>
      </c>
      <c r="DU374" s="388">
        <f t="shared" si="632"/>
        <v>1</v>
      </c>
      <c r="DW374" s="386">
        <f t="shared" si="633"/>
        <v>0</v>
      </c>
      <c r="DX374" s="387">
        <f t="shared" si="633"/>
        <v>0.5</v>
      </c>
      <c r="DY374" s="388">
        <f t="shared" si="633"/>
        <v>1</v>
      </c>
      <c r="DZ374" s="386">
        <f t="shared" si="633"/>
        <v>1</v>
      </c>
      <c r="EA374" s="387">
        <f t="shared" si="633"/>
        <v>1</v>
      </c>
      <c r="EB374" s="387">
        <f t="shared" si="633"/>
        <v>1</v>
      </c>
      <c r="EC374" s="387">
        <f t="shared" si="633"/>
        <v>1</v>
      </c>
      <c r="ED374" s="388">
        <f t="shared" si="633"/>
        <v>1</v>
      </c>
      <c r="EF374" s="834">
        <f>+IF(DN374=DM374,0,
IF(AND(EF$44&gt;1,DN374=$N374),1-SUM($EE374:EE374),
IF($N374&lt;=1,
IF($N374&gt;0,1/$N374,0),
IF(EF$44=1,0,VDB(1,0,$N374,INT(EF$44-1-1),MIN($N374,INT(EF$44-1-1)+1),$DC374,IF($DD374="No",1,0))/
IF(DM374&gt;=INT($N374),$N374-INT($N374),1)))*
IF(EF$44=1,0,
IF(INT(DN374)=INT(DM374),DN374-DM374,INT(DN374)-DM374))+
IF($N374&lt;=1,
IF($N374&gt;0,1/$N374,0),VDB(1,0,$N374,INT(EF$44-1),MIN($N374,INT(EF$44-1)+1),$DC374,IF($DD374="No",1,0))/
IF(DN374&gt;INT($N374),$N374-INT($N374),1))*
IF(EF$44=1,DN374,
IF(INT(DN374)=INT(DM374),0,DN374-INT(DN374)))))</f>
        <v>0</v>
      </c>
      <c r="EG374" s="835">
        <f>+IF(DO374=DN374,0,
IF(AND(EG$44&gt;1,DO374=$N374),1-SUM($EE374:EF374),
IF($N374&lt;=1,
IF($N374&gt;0,1/$N374,0),
IF(EG$44=1,0,VDB(1,0,$N374,INT(EG$44-1-1),MIN($N374,INT(EG$44-1-1)+1),$DC374,IF($DD374="No",1,0))/
IF(DN374&gt;=INT($N374),$N374-INT($N374),1)))*
IF(EG$44=1,0,
IF(INT(DO374)=INT(DN374),DO374-DN374,INT(DO374)-DN374))+
IF($N374&lt;=1,
IF($N374&gt;0,1/$N374,0),VDB(1,0,$N374,INT(EG$44-1),MIN($N374,INT(EG$44-1)+1),$DC374,IF($DD374="No",1,0))/
IF(DO374&gt;INT($N374),$N374-INT($N374),1))*
IF(EG$44=1,DO374,
IF(INT(DO374)=INT(DN374),0,DO374-INT(DO374)))))</f>
        <v>0</v>
      </c>
      <c r="EH374" s="836">
        <f>+IF(DP374=DO374,0,
IF(AND(EH$44&gt;1,DP374=$N374),1-SUM($EE374:EG374),
IF($N374&lt;=1,
IF($N374&gt;0,1/$N374,0),
IF(EH$44=1,0,VDB(1,0,$N374,INT(EH$44-1-1),MIN($N374,INT(EH$44-1-1)+1),$DC374,IF($DD374="No",1,0))/
IF(DO374&gt;=INT($N374),$N374-INT($N374),1)))*
IF(EH$44=1,0,
IF(INT(DP374)=INT(DO374),DP374-DO374,INT(DP374)-DO374))+
IF($N374&lt;=1,
IF($N374&gt;0,1/$N374,0),VDB(1,0,$N374,INT(EH$44-1),MIN($N374,INT(EH$44-1)+1),$DC374,IF($DD374="No",1,0))/
IF(DP374&gt;INT($N374),$N374-INT($N374),1))*
IF(EH$44=1,DP374,
IF(INT(DP374)=INT(DO374),0,DP374-INT(DP374)))))</f>
        <v>0</v>
      </c>
      <c r="EI374" s="834">
        <f>+IF(DQ374=DP374,0,
IF(AND(EI$44&gt;1,DQ374=$N374),1-SUM($EE374:EH374),
IF($N374&lt;=1,
IF($N374&gt;0,1/$N374,0),
IF(EI$44=1,0,VDB(1,0,$N374,INT(EI$44-1-1),MIN($N374,INT(EI$44-1-1)+1),$DC374,IF($DD374="No",1,0))/
IF(DP374&gt;=INT($N374),$N374-INT($N374),1)))*
IF(EI$44=1,0,
IF(INT(DQ374)=INT(DP374),DQ374-DP374,INT(DQ374)-DP374))+
IF($N374&lt;=1,
IF($N374&gt;0,1/$N374,0),VDB(1,0,$N374,INT(EI$44-1),MIN($N374,INT(EI$44-1)+1),$DC374,IF($DD374="No",1,0))/
IF(DQ374&gt;INT($N374),$N374-INT($N374),1))*
IF(EI$44=1,DQ374,
IF(INT(DQ374)=INT(DP374),0,DQ374-INT(DQ374)))))</f>
        <v>0</v>
      </c>
      <c r="EJ374" s="835">
        <f>+IF(DR374=DQ374,0,
IF(AND(EJ$44&gt;1,DR374=$N374),1-SUM($EE374:EI374),
IF($N374&lt;=1,
IF($N374&gt;0,1/$N374,0),
IF(EJ$44=1,0,VDB(1,0,$N374,INT(EJ$44-1-1),MIN($N374,INT(EJ$44-1-1)+1),$DC374,IF($DD374="No",1,0))/
IF(DQ374&gt;=INT($N374),$N374-INT($N374),1)))*
IF(EJ$44=1,0,
IF(INT(DR374)=INT(DQ374),DR374-DQ374,INT(DR374)-DQ374))+
IF($N374&lt;=1,
IF($N374&gt;0,1/$N374,0),VDB(1,0,$N374,INT(EJ$44-1),MIN($N374,INT(EJ$44-1)+1),$DC374,IF($DD374="No",1,0))/
IF(DR374&gt;INT($N374),$N374-INT($N374),1))*
IF(EJ$44=1,DR374,
IF(INT(DR374)=INT(DQ374),0,DR374-INT(DR374)))))</f>
        <v>0</v>
      </c>
      <c r="EK374" s="835">
        <f>+IF(DS374=DR374,0,
IF(AND(EK$44&gt;1,DS374=$N374),1-SUM($EE374:EJ374),
IF($N374&lt;=1,
IF($N374&gt;0,1/$N374,0),
IF(EK$44=1,0,VDB(1,0,$N374,INT(EK$44-1-1),MIN($N374,INT(EK$44-1-1)+1),$DC374,IF($DD374="No",1,0))/
IF(DR374&gt;=INT($N374),$N374-INT($N374),1)))*
IF(EK$44=1,0,
IF(INT(DS374)=INT(DR374),DS374-DR374,INT(DS374)-DR374))+
IF($N374&lt;=1,
IF($N374&gt;0,1/$N374,0),VDB(1,0,$N374,INT(EK$44-1),MIN($N374,INT(EK$44-1)+1),$DC374,IF($DD374="No",1,0))/
IF(DS374&gt;INT($N374),$N374-INT($N374),1))*
IF(EK$44=1,DS374,
IF(INT(DS374)=INT(DR374),0,DS374-INT(DS374)))))</f>
        <v>0</v>
      </c>
      <c r="EL374" s="835">
        <f>+IF(DT374=DS374,0,
IF(AND(EL$44&gt;1,DT374=$N374),1-SUM($EE374:EK374),
IF($N374&lt;=1,
IF($N374&gt;0,1/$N374,0),
IF(EL$44=1,0,VDB(1,0,$N374,INT(EL$44-1-1),MIN($N374,INT(EL$44-1-1)+1),$DC374,IF($DD374="No",1,0))/
IF(DS374&gt;=INT($N374),$N374-INT($N374),1)))*
IF(EL$44=1,0,
IF(INT(DT374)=INT(DS374),DT374-DS374,INT(DT374)-DS374))+
IF($N374&lt;=1,
IF($N374&gt;0,1/$N374,0),VDB(1,0,$N374,INT(EL$44-1),MIN($N374,INT(EL$44-1)+1),$DC374,IF($DD374="No",1,0))/
IF(DT374&gt;INT($N374),$N374-INT($N374),1))*
IF(EL$44=1,DT374,
IF(INT(DT374)=INT(DS374),0,DT374-INT(DT374)))))</f>
        <v>0</v>
      </c>
      <c r="EM374" s="836">
        <f>+IF(DU374=DT374,0,
IF(AND(EM$44&gt;1,DU374=$N374),1-SUM($EE374:EL374),
IF($N374&lt;=1,
IF($N374&gt;0,1/$N374,0),
IF(EM$44=1,0,VDB(1,0,$N374,INT(EM$44-1-1),MIN($N374,INT(EM$44-1-1)+1),$DC374,IF($DD374="No",1,0))/
IF(DT374&gt;=INT($N374),$N374-INT($N374),1)))*
IF(EM$44=1,0,
IF(INT(DU374)=INT(DT374),DU374-DT374,INT(DU374)-DT374))+
IF($N374&lt;=1,
IF($N374&gt;0,1/$N374,0),VDB(1,0,$N374,INT(EM$44-1),MIN($N374,INT(EM$44-1)+1),$DC374,IF($DD374="No",1,0))/
IF(DU374&gt;INT($N374),$N374-INT($N374),1))*
IF(EM$44=1,DU374,
IF(INT(DU374)=INT(DT374),0,DU374-INT(DU374)))))</f>
        <v>0</v>
      </c>
      <c r="EN374" s="833"/>
      <c r="EO374" s="834">
        <f>+IF(OR(DW374=DV374,EO$44=1),0,
IF(AND(EO$44&gt;1,DW374=$N374),1-SUM($EN374:EN374),
IF($N374&lt;=1,
IF($N374&gt;0,1/$N374,0),
IF(EO$44=2,0,VDB(1,0,$N374,INT(EO$44-2-1),MIN($N374,INT(EO$44-2-1)+1),$DC374,IF($DD374="No",1,0))/
IF(DV374&gt;=INT($N374),$N374-INT($N374),1)))*
IF(EO$44=2,0,
IF(INT(DW374)=INT(DV374),DW374-DV374,INT(DW374)-DV374))+
IF($N374&lt;=1,
IF($N374&gt;0,1/$N374,0),VDB(1,0,$N374,INT(EO$44-2),MIN($N374,INT(EO$44-2)+1),$DC374,IF($DD374="No",1,0))/
IF(DW374&gt;INT($N374),$N374-INT($N374),1))*
IF(EO$44=2,DW374,
IF(INT(DW374)=INT(DV374),0,DW374-INT(DW374)))))</f>
        <v>0</v>
      </c>
      <c r="EP374" s="835">
        <f>+IF(OR(DX374=DW374,EP$44=1),0,
IF(AND(EP$44&gt;1,DX374=$N374),1-SUM($EN374:EO374),
IF($N374&lt;=1,
IF($N374&gt;0,1/$N374,0),
IF(EP$44=2,0,VDB(1,0,$N374,INT(EP$44-2-1),MIN($N374,INT(EP$44-2-1)+1),$DC374,IF($DD374="No",1,0))/
IF(DW374&gt;=INT($N374),$N374-INT($N374),1)))*
IF(EP$44=2,0,
IF(INT(DX374)=INT(DW374),DX374-DW374,INT(DX374)-DW374))+
IF($N374&lt;=1,
IF($N374&gt;0,1/$N374,0),VDB(1,0,$N374,INT(EP$44-2),MIN($N374,INT(EP$44-2)+1),$DC374,IF($DD374="No",1,0))/
IF(DX374&gt;INT($N374),$N374-INT($N374),1))*
IF(EP$44=2,DX374,
IF(INT(DX374)=INT(DW374),0,DX374-INT(DX374)))))</f>
        <v>0</v>
      </c>
      <c r="EQ374" s="836">
        <f>+IF(OR(DY374=DX374,EQ$44=1),0,
IF(AND(EQ$44&gt;1,DY374=$N374),1-SUM($EN374:EP374),
IF($N374&lt;=1,
IF($N374&gt;0,1/$N374,0),
IF(EQ$44=2,0,VDB(1,0,$N374,INT(EQ$44-2-1),MIN($N374,INT(EQ$44-2-1)+1),$DC374,IF($DD374="No",1,0))/
IF(DX374&gt;=INT($N374),$N374-INT($N374),1)))*
IF(EQ$44=2,0,
IF(INT(DY374)=INT(DX374),DY374-DX374,INT(DY374)-DX374))+
IF($N374&lt;=1,
IF($N374&gt;0,1/$N374,0),VDB(1,0,$N374,INT(EQ$44-2),MIN($N374,INT(EQ$44-2)+1),$DC374,IF($DD374="No",1,0))/
IF(DY374&gt;INT($N374),$N374-INT($N374),1))*
IF(EQ$44=2,DY374,
IF(INT(DY374)=INT(DX374),0,DY374-INT(DY374)))))</f>
        <v>0</v>
      </c>
      <c r="ER374" s="834">
        <f>+IF(OR(DZ374=DY374,ER$44=1),0,
IF(AND(ER$44&gt;1,DZ374=$N374),1-SUM($EN374:EQ374),
IF($N374&lt;=1,
IF($N374&gt;0,1/$N374,0),
IF(ER$44=2,0,VDB(1,0,$N374,INT(ER$44-2-1),MIN($N374,INT(ER$44-2-1)+1),$DC374,IF($DD374="No",1,0))/
IF(DY374&gt;=INT($N374),$N374-INT($N374),1)))*
IF(ER$44=2,0,
IF(INT(DZ374)=INT(DY374),DZ374-DY374,INT(DZ374)-DY374))+
IF($N374&lt;=1,
IF($N374&gt;0,1/$N374,0),VDB(1,0,$N374,INT(ER$44-2),MIN($N374,INT(ER$44-2)+1),$DC374,IF($DD374="No",1,0))/
IF(DZ374&gt;INT($N374),$N374-INT($N374),1))*
IF(ER$44=2,DZ374,
IF(INT(DZ374)=INT(DY374),0,DZ374-INT(DZ374)))))</f>
        <v>0</v>
      </c>
      <c r="ES374" s="835">
        <f>+IF(OR(EA374=DZ374,ES$44=1),0,
IF(AND(ES$44&gt;1,EA374=$N374),1-SUM($EN374:ER374),
IF($N374&lt;=1,
IF($N374&gt;0,1/$N374,0),
IF(ES$44=2,0,VDB(1,0,$N374,INT(ES$44-2-1),MIN($N374,INT(ES$44-2-1)+1),$DC374,IF($DD374="No",1,0))/
IF(DZ374&gt;=INT($N374),$N374-INT($N374),1)))*
IF(ES$44=2,0,
IF(INT(EA374)=INT(DZ374),EA374-DZ374,INT(EA374)-DZ374))+
IF($N374&lt;=1,
IF($N374&gt;0,1/$N374,0),VDB(1,0,$N374,INT(ES$44-2),MIN($N374,INT(ES$44-2)+1),$DC374,IF($DD374="No",1,0))/
IF(EA374&gt;INT($N374),$N374-INT($N374),1))*
IF(ES$44=2,EA374,
IF(INT(EA374)=INT(DZ374),0,EA374-INT(EA374)))))</f>
        <v>0</v>
      </c>
      <c r="ET374" s="835">
        <f>+IF(OR(EB374=EA374,ET$44=1),0,
IF(AND(ET$44&gt;1,EB374=$N374),1-SUM($EN374:ES374),
IF($N374&lt;=1,
IF($N374&gt;0,1/$N374,0),
IF(ET$44=2,0,VDB(1,0,$N374,INT(ET$44-2-1),MIN($N374,INT(ET$44-2-1)+1),$DC374,IF($DD374="No",1,0))/
IF(EA374&gt;=INT($N374),$N374-INT($N374),1)))*
IF(ET$44=2,0,
IF(INT(EB374)=INT(EA374),EB374-EA374,INT(EB374)-EA374))+
IF($N374&lt;=1,
IF($N374&gt;0,1/$N374,0),VDB(1,0,$N374,INT(ET$44-2),MIN($N374,INT(ET$44-2)+1),$DC374,IF($DD374="No",1,0))/
IF(EB374&gt;INT($N374),$N374-INT($N374),1))*
IF(ET$44=2,EB374,
IF(INT(EB374)=INT(EA374),0,EB374-INT(EB374)))))</f>
        <v>0</v>
      </c>
      <c r="EU374" s="835">
        <f>+IF(OR(EC374=EB374,EU$44=1),0,
IF(AND(EU$44&gt;1,EC374=$N374),1-SUM($EN374:ET374),
IF($N374&lt;=1,
IF($N374&gt;0,1/$N374,0),
IF(EU$44=2,0,VDB(1,0,$N374,INT(EU$44-2-1),MIN($N374,INT(EU$44-2-1)+1),$DC374,IF($DD374="No",1,0))/
IF(EB374&gt;=INT($N374),$N374-INT($N374),1)))*
IF(EU$44=2,0,
IF(INT(EC374)=INT(EB374),EC374-EB374,INT(EC374)-EB374))+
IF($N374&lt;=1,
IF($N374&gt;0,1/$N374,0),VDB(1,0,$N374,INT(EU$44-2),MIN($N374,INT(EU$44-2)+1),$DC374,IF($DD374="No",1,0))/
IF(EC374&gt;INT($N374),$N374-INT($N374),1))*
IF(EU$44=2,EC374,
IF(INT(EC374)=INT(EB374),0,EC374-INT(EC374)))))</f>
        <v>0</v>
      </c>
      <c r="EV374" s="836">
        <f>+IF(OR(ED374=EC374,EV$44=1),0,
IF(AND(EV$44&gt;1,ED374=$N374),1-SUM($EN374:EU374),
IF($N374&lt;=1,
IF($N374&gt;0,1/$N374,0),
IF(EV$44=2,0,VDB(1,0,$N374,INT(EV$44-2-1),MIN($N374,INT(EV$44-2-1)+1),$DC374,IF($DD374="No",1,0))/
IF(EC374&gt;=INT($N374),$N374-INT($N374),1)))*
IF(EV$44=2,0,
IF(INT(ED374)=INT(EC374),ED374-EC374,INT(ED374)-EC374))+
IF($N374&lt;=1,
IF($N374&gt;0,1/$N374,0),VDB(1,0,$N374,INT(EV$44-2),MIN($N374,INT(EV$44-2)+1),$DC374,IF($DD374="No",1,0))/
IF(ED374&gt;INT($N374),$N374-INT($N374),1))*
IF(EV$44=2,ED374,
IF(INT(ED374)=INT(EC374),0,ED374-INT(ED374)))))</f>
        <v>0</v>
      </c>
      <c r="EW374" s="833"/>
      <c r="EX374" s="834">
        <f t="shared" ca="1" si="634"/>
        <v>0</v>
      </c>
      <c r="EY374" s="835">
        <f t="shared" ca="1" si="634"/>
        <v>0</v>
      </c>
      <c r="EZ374" s="836">
        <f t="shared" ca="1" si="634"/>
        <v>0</v>
      </c>
      <c r="FA374" s="834">
        <f t="shared" ca="1" si="634"/>
        <v>0</v>
      </c>
      <c r="FB374" s="835">
        <f t="shared" ca="1" si="634"/>
        <v>0</v>
      </c>
      <c r="FC374" s="835">
        <f t="shared" ca="1" si="634"/>
        <v>0</v>
      </c>
      <c r="FD374" s="835">
        <f t="shared" ca="1" si="634"/>
        <v>0</v>
      </c>
      <c r="FE374" s="836">
        <f t="shared" ca="1" si="634"/>
        <v>0</v>
      </c>
      <c r="FG374" s="386">
        <f t="shared" ca="1" si="659"/>
        <v>0</v>
      </c>
      <c r="FH374" s="387">
        <f t="shared" ca="1" si="660"/>
        <v>0</v>
      </c>
      <c r="FI374" s="388">
        <f t="shared" ca="1" si="661"/>
        <v>0</v>
      </c>
      <c r="FJ374" s="386">
        <f t="shared" ca="1" si="662"/>
        <v>0</v>
      </c>
      <c r="FK374" s="387">
        <f t="shared" ca="1" si="663"/>
        <v>0</v>
      </c>
      <c r="FL374" s="387">
        <f t="shared" ca="1" si="664"/>
        <v>0</v>
      </c>
      <c r="FM374" s="387">
        <f t="shared" ca="1" si="665"/>
        <v>0</v>
      </c>
      <c r="FN374" s="388">
        <f t="shared" ca="1" si="666"/>
        <v>0</v>
      </c>
      <c r="FR374" s="116"/>
    </row>
    <row r="375" spans="2:174">
      <c r="B375" s="1410">
        <f t="shared" si="556"/>
        <v>329</v>
      </c>
      <c r="C375" s="400"/>
      <c r="D375" s="410"/>
      <c r="E375" s="402"/>
      <c r="F375" s="402"/>
      <c r="G375" s="400"/>
      <c r="H375" s="2088"/>
      <c r="I375" s="2089"/>
      <c r="J375" s="411"/>
      <c r="K375" s="403"/>
      <c r="L375" s="403"/>
      <c r="M375" s="403"/>
      <c r="N375" s="403"/>
      <c r="O375" s="347"/>
      <c r="P375" s="347"/>
      <c r="Q375" s="1021"/>
      <c r="R375" s="1022"/>
      <c r="S375" s="1022"/>
      <c r="T375" s="1022"/>
      <c r="U375" s="1023"/>
      <c r="V375" s="1021"/>
      <c r="W375" s="1022"/>
      <c r="X375" s="1022"/>
      <c r="Y375" s="1022"/>
      <c r="Z375" s="1023"/>
      <c r="AA375" s="1024"/>
      <c r="AB375" s="1021"/>
      <c r="AC375" s="1022"/>
      <c r="AD375" s="1022"/>
      <c r="AE375" s="1022"/>
      <c r="AF375" s="1023"/>
      <c r="AG375" s="1021"/>
      <c r="AH375" s="1022"/>
      <c r="AI375" s="1022"/>
      <c r="AJ375" s="1022"/>
      <c r="AK375" s="1023"/>
      <c r="AL375" s="1024"/>
      <c r="AM375" s="1021"/>
      <c r="AN375" s="1022"/>
      <c r="AO375" s="1022"/>
      <c r="AP375" s="1022"/>
      <c r="AQ375" s="1023"/>
      <c r="AR375" s="1021"/>
      <c r="AS375" s="1022"/>
      <c r="AT375" s="1022"/>
      <c r="AU375" s="1022"/>
      <c r="AV375" s="1023"/>
      <c r="AW375" s="1025"/>
      <c r="AX375" s="1282">
        <f t="shared" si="635"/>
        <v>0</v>
      </c>
      <c r="AY375" s="387">
        <f t="shared" si="636"/>
        <v>0</v>
      </c>
      <c r="AZ375" s="387">
        <f t="shared" si="637"/>
        <v>0</v>
      </c>
      <c r="BA375" s="387">
        <f t="shared" si="638"/>
        <v>0</v>
      </c>
      <c r="BB375" s="1283">
        <f t="shared" si="639"/>
        <v>0</v>
      </c>
      <c r="BC375" s="386">
        <f t="shared" si="640"/>
        <v>0</v>
      </c>
      <c r="BD375" s="387">
        <f t="shared" si="641"/>
        <v>0</v>
      </c>
      <c r="BE375" s="1277">
        <f t="shared" si="642"/>
        <v>0</v>
      </c>
      <c r="BF375" s="1277">
        <f t="shared" si="642"/>
        <v>0</v>
      </c>
      <c r="BG375" s="388">
        <f t="shared" si="642"/>
        <v>0</v>
      </c>
      <c r="BH375" s="1025"/>
      <c r="BI375" s="1282">
        <f t="shared" ca="1" si="643"/>
        <v>0</v>
      </c>
      <c r="BJ375" s="387">
        <f t="shared" ca="1" si="644"/>
        <v>0</v>
      </c>
      <c r="BK375" s="387">
        <f t="shared" ca="1" si="645"/>
        <v>0</v>
      </c>
      <c r="BL375" s="387">
        <f t="shared" ca="1" si="646"/>
        <v>0</v>
      </c>
      <c r="BM375" s="1283">
        <f t="shared" ca="1" si="647"/>
        <v>0</v>
      </c>
      <c r="BN375" s="386">
        <f t="shared" ca="1" si="648"/>
        <v>0</v>
      </c>
      <c r="BO375" s="387">
        <f t="shared" ca="1" si="648"/>
        <v>0</v>
      </c>
      <c r="BP375" s="1277">
        <f t="shared" ca="1" si="648"/>
        <v>0</v>
      </c>
      <c r="BQ375" s="1277">
        <f t="shared" ca="1" si="648"/>
        <v>0</v>
      </c>
      <c r="BR375" s="388">
        <f t="shared" ca="1" si="648"/>
        <v>0</v>
      </c>
      <c r="BS375" s="1025"/>
      <c r="BT375" s="1282">
        <f>+IF($K375="Ongoing",AX375,IF(RIGHT($K375,2)=RIGHT(BT$43,2),SUM($AX375:AX375),0)+IF(RIGHT(BT$43,2)&gt;RIGHT($K375,2),AX375,0))</f>
        <v>0</v>
      </c>
      <c r="BU375" s="387">
        <f>+IF($K375="Ongoing",AY375,IF(RIGHT($K375,2)=RIGHT(BU$43,2),SUM($AX375:AY375),0)+IF(RIGHT(BU$43,2)&gt;RIGHT($K375,2),AY375,0))</f>
        <v>0</v>
      </c>
      <c r="BV375" s="387">
        <f>+IF($K375="Ongoing",AZ375,IF(RIGHT($K375,2)=RIGHT(BV$43,2),SUM($AX375:AZ375),0)+IF(RIGHT(BV$43,2)&gt;RIGHT($K375,2),AZ375,0))</f>
        <v>0</v>
      </c>
      <c r="BW375" s="387">
        <f>+IF($K375="Ongoing",BA375,IF(RIGHT($K375,2)=RIGHT(BW$43,2),SUM($AX375:BA375),0)+IF(RIGHT(BW$43,2)&gt;RIGHT($K375,2),BA375,0))</f>
        <v>0</v>
      </c>
      <c r="BX375" s="1283">
        <f>+IF($K375="Ongoing",BB375,IF(RIGHT($K375,2)=RIGHT(BX$43,2),SUM($AX375:BB375),0)+IF(RIGHT(BX$43,2)&gt;RIGHT($K375,2),BB375,0))</f>
        <v>0</v>
      </c>
      <c r="BY375" s="386">
        <f>+IF($K375="Ongoing",BC375,IF(RIGHT($K375,2)=RIGHT(BY$43,2),SUM($AX375:BC375),0)+IF(RIGHT(BY$43,2)&gt;RIGHT($K375,2),BC375,0))</f>
        <v>0</v>
      </c>
      <c r="BZ375" s="387">
        <f>+IF($K375="Ongoing",BD375,IF(RIGHT($K375,2)=RIGHT(BZ$43,2),SUM($AX375:BD375),0)+IF(RIGHT(BZ$43,2)&gt;RIGHT($K375,2),BD375,0))</f>
        <v>0</v>
      </c>
      <c r="CA375" s="1277">
        <f>+IF($K375="Ongoing",BE375,IF(RIGHT($K375,2)=RIGHT(CA$43,2),SUM($AX375:BE375),0)+IF(RIGHT(CA$43,2)&gt;RIGHT($K375,2),BE375,0))</f>
        <v>0</v>
      </c>
      <c r="CB375" s="1277">
        <f>+IF($K375="Ongoing",BF375,IF(RIGHT($K375,2)=RIGHT(CB$43,2),SUM($AX375:BF375),0)+IF(RIGHT(CB$43,2)&gt;RIGHT($K375,2),BF375,0))</f>
        <v>0</v>
      </c>
      <c r="CC375" s="388">
        <f>+IF($K375="Ongoing",BG375,IF(RIGHT($K375,2)=RIGHT(CC$43,2),SUM($AX375:BG375),0)+IF(RIGHT(CC$43,2)&gt;RIGHT($K375,2),BG375,0))</f>
        <v>0</v>
      </c>
      <c r="CD375" s="1025"/>
      <c r="CE375" s="1282">
        <f>+Q375*KeyAssumptionsPriceControl_FO!AF$15</f>
        <v>0</v>
      </c>
      <c r="CF375" s="387">
        <f>+R375*KeyAssumptionsPriceControl_FO!AG$15</f>
        <v>0</v>
      </c>
      <c r="CG375" s="387">
        <f>+S375*KeyAssumptionsPriceControl_FO!AH$15</f>
        <v>0</v>
      </c>
      <c r="CH375" s="387">
        <f>+T375*KeyAssumptionsPriceControl_FO!AI$15</f>
        <v>0</v>
      </c>
      <c r="CI375" s="1283">
        <f>+U375*KeyAssumptionsPriceControl_FO!AJ$15</f>
        <v>0</v>
      </c>
      <c r="CJ375" s="386">
        <f>+V375*KeyAssumptionsPriceControl_FO!AK$15</f>
        <v>0</v>
      </c>
      <c r="CK375" s="387">
        <f>+W375*KeyAssumptionsPriceControl_FO!AL$15</f>
        <v>0</v>
      </c>
      <c r="CL375" s="1277">
        <f>+X375*KeyAssumptionsPriceControl_FO!AM$15</f>
        <v>0</v>
      </c>
      <c r="CM375" s="1277">
        <f>+Y375*KeyAssumptionsPriceControl_FO!AN$15</f>
        <v>0</v>
      </c>
      <c r="CN375" s="388">
        <f>+Z375*KeyAssumptionsPriceControl_FO!AO$15</f>
        <v>0</v>
      </c>
      <c r="CO375" s="1025"/>
      <c r="CP375" s="1282">
        <f t="shared" ca="1" si="649"/>
        <v>0</v>
      </c>
      <c r="CQ375" s="387">
        <f t="shared" ca="1" si="650"/>
        <v>0</v>
      </c>
      <c r="CR375" s="387">
        <f t="shared" ca="1" si="651"/>
        <v>0</v>
      </c>
      <c r="CS375" s="387">
        <f t="shared" ca="1" si="652"/>
        <v>0</v>
      </c>
      <c r="CT375" s="1283">
        <f t="shared" ca="1" si="653"/>
        <v>0</v>
      </c>
      <c r="CU375" s="386">
        <f t="shared" ca="1" si="654"/>
        <v>0</v>
      </c>
      <c r="CV375" s="387">
        <f t="shared" ca="1" si="655"/>
        <v>0</v>
      </c>
      <c r="CW375" s="1277">
        <f t="shared" ca="1" si="656"/>
        <v>0</v>
      </c>
      <c r="CX375" s="1277">
        <f t="shared" ca="1" si="657"/>
        <v>0</v>
      </c>
      <c r="CY375" s="388">
        <f t="shared" ca="1" si="658"/>
        <v>0</v>
      </c>
      <c r="CZ375" s="347"/>
      <c r="DA375" s="852"/>
      <c r="DB375" s="347"/>
      <c r="DC375" s="1012" t="s">
        <v>517</v>
      </c>
      <c r="DD375" s="841" t="s">
        <v>518</v>
      </c>
      <c r="DE375" s="386">
        <f>+IF($K375="ongoing",CE375,IF(RIGHT($K375,2)=RIGHT(DE$43,2),SUM($CD375:CE375),0)+IF(RIGHT(DE$43,2)&gt;RIGHT($K375,2),CE375,0))</f>
        <v>0</v>
      </c>
      <c r="DF375" s="387">
        <f>+IF($K375="ongoing",CF375,IF(RIGHT($K375,2)=RIGHT(DF$43,2),SUM($CD375:CF375),0)+IF(RIGHT(DF$43,2)&gt;RIGHT($K375,2),CF375,0))</f>
        <v>0</v>
      </c>
      <c r="DG375" s="388">
        <f>+IF($K375="ongoing",CG375,IF(RIGHT($K375,2)=RIGHT(DG$43,2),SUM($CD375:CG375),0)+IF(RIGHT(DG$43,2)&gt;RIGHT($K375,2),CG375,0))</f>
        <v>0</v>
      </c>
      <c r="DH375" s="386">
        <f>+IF($K375="ongoing",CH375,IF(RIGHT($K375,2)=RIGHT(DH$43,2),SUM($CD375:CH375),0)+IF(RIGHT(DH$43,2)&gt;RIGHT($K375,2),CH375,0))</f>
        <v>0</v>
      </c>
      <c r="DI375" s="387">
        <f>+IF($K375="ongoing",CI375,IF(RIGHT($K375,2)=RIGHT(DI$43,2),SUM($CD375:CI375),0)+IF(RIGHT(DI$43,2)&gt;RIGHT($K375,2),CI375,0))</f>
        <v>0</v>
      </c>
      <c r="DJ375" s="387">
        <f>+IF($K375="ongoing",CJ375,IF(RIGHT($K375,2)=RIGHT(DJ$43,2),SUM($CD375:CJ375),0)+IF(RIGHT(DJ$43,2)&gt;RIGHT($K375,2),CJ375,0))</f>
        <v>0</v>
      </c>
      <c r="DK375" s="387">
        <f>+IF($K375="ongoing",CK375,IF(RIGHT($K375,2)=RIGHT(DK$43,2),SUM($CD375:CK375),0)+IF(RIGHT(DK$43,2)&gt;RIGHT($K375,2),CK375,0))</f>
        <v>0</v>
      </c>
      <c r="DL375" s="388">
        <f>+IF($K375="ongoing",CN375,IF(RIGHT($K375,2)=RIGHT(DL$43,2),SUM($CD375:CN375),0)+IF(RIGHT(DL$43,2)&gt;RIGHT($K375,2),CN375,0))</f>
        <v>0</v>
      </c>
      <c r="DM375" s="841"/>
      <c r="DN375" s="386">
        <f t="shared" si="632"/>
        <v>0.5</v>
      </c>
      <c r="DO375" s="387">
        <f t="shared" si="632"/>
        <v>1</v>
      </c>
      <c r="DP375" s="388">
        <f t="shared" si="632"/>
        <v>1</v>
      </c>
      <c r="DQ375" s="386">
        <f t="shared" si="632"/>
        <v>1</v>
      </c>
      <c r="DR375" s="387">
        <f t="shared" si="632"/>
        <v>1</v>
      </c>
      <c r="DS375" s="387">
        <f t="shared" si="632"/>
        <v>1</v>
      </c>
      <c r="DT375" s="387">
        <f t="shared" si="632"/>
        <v>1</v>
      </c>
      <c r="DU375" s="388">
        <f t="shared" si="632"/>
        <v>1</v>
      </c>
      <c r="DW375" s="386">
        <f t="shared" si="633"/>
        <v>0</v>
      </c>
      <c r="DX375" s="387">
        <f t="shared" si="633"/>
        <v>0.5</v>
      </c>
      <c r="DY375" s="388">
        <f t="shared" si="633"/>
        <v>1</v>
      </c>
      <c r="DZ375" s="386">
        <f t="shared" si="633"/>
        <v>1</v>
      </c>
      <c r="EA375" s="387">
        <f t="shared" si="633"/>
        <v>1</v>
      </c>
      <c r="EB375" s="387">
        <f t="shared" si="633"/>
        <v>1</v>
      </c>
      <c r="EC375" s="387">
        <f t="shared" si="633"/>
        <v>1</v>
      </c>
      <c r="ED375" s="388">
        <f t="shared" si="633"/>
        <v>1</v>
      </c>
      <c r="EF375" s="834">
        <f>+IF(DN375=DM375,0,
IF(AND(EF$44&gt;1,DN375=$N375),1-SUM($EE375:EE375),
IF($N375&lt;=1,
IF($N375&gt;0,1/$N375,0),
IF(EF$44=1,0,VDB(1,0,$N375,INT(EF$44-1-1),MIN($N375,INT(EF$44-1-1)+1),$DC375,IF($DD375="No",1,0))/
IF(DM375&gt;=INT($N375),$N375-INT($N375),1)))*
IF(EF$44=1,0,
IF(INT(DN375)=INT(DM375),DN375-DM375,INT(DN375)-DM375))+
IF($N375&lt;=1,
IF($N375&gt;0,1/$N375,0),VDB(1,0,$N375,INT(EF$44-1),MIN($N375,INT(EF$44-1)+1),$DC375,IF($DD375="No",1,0))/
IF(DN375&gt;INT($N375),$N375-INT($N375),1))*
IF(EF$44=1,DN375,
IF(INT(DN375)=INT(DM375),0,DN375-INT(DN375)))))</f>
        <v>0</v>
      </c>
      <c r="EG375" s="835">
        <f>+IF(DO375=DN375,0,
IF(AND(EG$44&gt;1,DO375=$N375),1-SUM($EE375:EF375),
IF($N375&lt;=1,
IF($N375&gt;0,1/$N375,0),
IF(EG$44=1,0,VDB(1,0,$N375,INT(EG$44-1-1),MIN($N375,INT(EG$44-1-1)+1),$DC375,IF($DD375="No",1,0))/
IF(DN375&gt;=INT($N375),$N375-INT($N375),1)))*
IF(EG$44=1,0,
IF(INT(DO375)=INT(DN375),DO375-DN375,INT(DO375)-DN375))+
IF($N375&lt;=1,
IF($N375&gt;0,1/$N375,0),VDB(1,0,$N375,INT(EG$44-1),MIN($N375,INT(EG$44-1)+1),$DC375,IF($DD375="No",1,0))/
IF(DO375&gt;INT($N375),$N375-INT($N375),1))*
IF(EG$44=1,DO375,
IF(INT(DO375)=INT(DN375),0,DO375-INT(DO375)))))</f>
        <v>0</v>
      </c>
      <c r="EH375" s="836">
        <f>+IF(DP375=DO375,0,
IF(AND(EH$44&gt;1,DP375=$N375),1-SUM($EE375:EG375),
IF($N375&lt;=1,
IF($N375&gt;0,1/$N375,0),
IF(EH$44=1,0,VDB(1,0,$N375,INT(EH$44-1-1),MIN($N375,INT(EH$44-1-1)+1),$DC375,IF($DD375="No",1,0))/
IF(DO375&gt;=INT($N375),$N375-INT($N375),1)))*
IF(EH$44=1,0,
IF(INT(DP375)=INT(DO375),DP375-DO375,INT(DP375)-DO375))+
IF($N375&lt;=1,
IF($N375&gt;0,1/$N375,0),VDB(1,0,$N375,INT(EH$44-1),MIN($N375,INT(EH$44-1)+1),$DC375,IF($DD375="No",1,0))/
IF(DP375&gt;INT($N375),$N375-INT($N375),1))*
IF(EH$44=1,DP375,
IF(INT(DP375)=INT(DO375),0,DP375-INT(DP375)))))</f>
        <v>0</v>
      </c>
      <c r="EI375" s="834">
        <f>+IF(DQ375=DP375,0,
IF(AND(EI$44&gt;1,DQ375=$N375),1-SUM($EE375:EH375),
IF($N375&lt;=1,
IF($N375&gt;0,1/$N375,0),
IF(EI$44=1,0,VDB(1,0,$N375,INT(EI$44-1-1),MIN($N375,INT(EI$44-1-1)+1),$DC375,IF($DD375="No",1,0))/
IF(DP375&gt;=INT($N375),$N375-INT($N375),1)))*
IF(EI$44=1,0,
IF(INT(DQ375)=INT(DP375),DQ375-DP375,INT(DQ375)-DP375))+
IF($N375&lt;=1,
IF($N375&gt;0,1/$N375,0),VDB(1,0,$N375,INT(EI$44-1),MIN($N375,INT(EI$44-1)+1),$DC375,IF($DD375="No",1,0))/
IF(DQ375&gt;INT($N375),$N375-INT($N375),1))*
IF(EI$44=1,DQ375,
IF(INT(DQ375)=INT(DP375),0,DQ375-INT(DQ375)))))</f>
        <v>0</v>
      </c>
      <c r="EJ375" s="835">
        <f>+IF(DR375=DQ375,0,
IF(AND(EJ$44&gt;1,DR375=$N375),1-SUM($EE375:EI375),
IF($N375&lt;=1,
IF($N375&gt;0,1/$N375,0),
IF(EJ$44=1,0,VDB(1,0,$N375,INT(EJ$44-1-1),MIN($N375,INT(EJ$44-1-1)+1),$DC375,IF($DD375="No",1,0))/
IF(DQ375&gt;=INT($N375),$N375-INT($N375),1)))*
IF(EJ$44=1,0,
IF(INT(DR375)=INT(DQ375),DR375-DQ375,INT(DR375)-DQ375))+
IF($N375&lt;=1,
IF($N375&gt;0,1/$N375,0),VDB(1,0,$N375,INT(EJ$44-1),MIN($N375,INT(EJ$44-1)+1),$DC375,IF($DD375="No",1,0))/
IF(DR375&gt;INT($N375),$N375-INT($N375),1))*
IF(EJ$44=1,DR375,
IF(INT(DR375)=INT(DQ375),0,DR375-INT(DR375)))))</f>
        <v>0</v>
      </c>
      <c r="EK375" s="835">
        <f>+IF(DS375=DR375,0,
IF(AND(EK$44&gt;1,DS375=$N375),1-SUM($EE375:EJ375),
IF($N375&lt;=1,
IF($N375&gt;0,1/$N375,0),
IF(EK$44=1,0,VDB(1,0,$N375,INT(EK$44-1-1),MIN($N375,INT(EK$44-1-1)+1),$DC375,IF($DD375="No",1,0))/
IF(DR375&gt;=INT($N375),$N375-INT($N375),1)))*
IF(EK$44=1,0,
IF(INT(DS375)=INT(DR375),DS375-DR375,INT(DS375)-DR375))+
IF($N375&lt;=1,
IF($N375&gt;0,1/$N375,0),VDB(1,0,$N375,INT(EK$44-1),MIN($N375,INT(EK$44-1)+1),$DC375,IF($DD375="No",1,0))/
IF(DS375&gt;INT($N375),$N375-INT($N375),1))*
IF(EK$44=1,DS375,
IF(INT(DS375)=INT(DR375),0,DS375-INT(DS375)))))</f>
        <v>0</v>
      </c>
      <c r="EL375" s="835">
        <f>+IF(DT375=DS375,0,
IF(AND(EL$44&gt;1,DT375=$N375),1-SUM($EE375:EK375),
IF($N375&lt;=1,
IF($N375&gt;0,1/$N375,0),
IF(EL$44=1,0,VDB(1,0,$N375,INT(EL$44-1-1),MIN($N375,INT(EL$44-1-1)+1),$DC375,IF($DD375="No",1,0))/
IF(DS375&gt;=INT($N375),$N375-INT($N375),1)))*
IF(EL$44=1,0,
IF(INT(DT375)=INT(DS375),DT375-DS375,INT(DT375)-DS375))+
IF($N375&lt;=1,
IF($N375&gt;0,1/$N375,0),VDB(1,0,$N375,INT(EL$44-1),MIN($N375,INT(EL$44-1)+1),$DC375,IF($DD375="No",1,0))/
IF(DT375&gt;INT($N375),$N375-INT($N375),1))*
IF(EL$44=1,DT375,
IF(INT(DT375)=INT(DS375),0,DT375-INT(DT375)))))</f>
        <v>0</v>
      </c>
      <c r="EM375" s="836">
        <f>+IF(DU375=DT375,0,
IF(AND(EM$44&gt;1,DU375=$N375),1-SUM($EE375:EL375),
IF($N375&lt;=1,
IF($N375&gt;0,1/$N375,0),
IF(EM$44=1,0,VDB(1,0,$N375,INT(EM$44-1-1),MIN($N375,INT(EM$44-1-1)+1),$DC375,IF($DD375="No",1,0))/
IF(DT375&gt;=INT($N375),$N375-INT($N375),1)))*
IF(EM$44=1,0,
IF(INT(DU375)=INT(DT375),DU375-DT375,INT(DU375)-DT375))+
IF($N375&lt;=1,
IF($N375&gt;0,1/$N375,0),VDB(1,0,$N375,INT(EM$44-1),MIN($N375,INT(EM$44-1)+1),$DC375,IF($DD375="No",1,0))/
IF(DU375&gt;INT($N375),$N375-INT($N375),1))*
IF(EM$44=1,DU375,
IF(INT(DU375)=INT(DT375),0,DU375-INT(DU375)))))</f>
        <v>0</v>
      </c>
      <c r="EN375" s="833"/>
      <c r="EO375" s="834">
        <f>+IF(OR(DW375=DV375,EO$44=1),0,
IF(AND(EO$44&gt;1,DW375=$N375),1-SUM($EN375:EN375),
IF($N375&lt;=1,
IF($N375&gt;0,1/$N375,0),
IF(EO$44=2,0,VDB(1,0,$N375,INT(EO$44-2-1),MIN($N375,INT(EO$44-2-1)+1),$DC375,IF($DD375="No",1,0))/
IF(DV375&gt;=INT($N375),$N375-INT($N375),1)))*
IF(EO$44=2,0,
IF(INT(DW375)=INT(DV375),DW375-DV375,INT(DW375)-DV375))+
IF($N375&lt;=1,
IF($N375&gt;0,1/$N375,0),VDB(1,0,$N375,INT(EO$44-2),MIN($N375,INT(EO$44-2)+1),$DC375,IF($DD375="No",1,0))/
IF(DW375&gt;INT($N375),$N375-INT($N375),1))*
IF(EO$44=2,DW375,
IF(INT(DW375)=INT(DV375),0,DW375-INT(DW375)))))</f>
        <v>0</v>
      </c>
      <c r="EP375" s="835">
        <f>+IF(OR(DX375=DW375,EP$44=1),0,
IF(AND(EP$44&gt;1,DX375=$N375),1-SUM($EN375:EO375),
IF($N375&lt;=1,
IF($N375&gt;0,1/$N375,0),
IF(EP$44=2,0,VDB(1,0,$N375,INT(EP$44-2-1),MIN($N375,INT(EP$44-2-1)+1),$DC375,IF($DD375="No",1,0))/
IF(DW375&gt;=INT($N375),$N375-INT($N375),1)))*
IF(EP$44=2,0,
IF(INT(DX375)=INT(DW375),DX375-DW375,INT(DX375)-DW375))+
IF($N375&lt;=1,
IF($N375&gt;0,1/$N375,0),VDB(1,0,$N375,INT(EP$44-2),MIN($N375,INT(EP$44-2)+1),$DC375,IF($DD375="No",1,0))/
IF(DX375&gt;INT($N375),$N375-INT($N375),1))*
IF(EP$44=2,DX375,
IF(INT(DX375)=INT(DW375),0,DX375-INT(DX375)))))</f>
        <v>0</v>
      </c>
      <c r="EQ375" s="836">
        <f>+IF(OR(DY375=DX375,EQ$44=1),0,
IF(AND(EQ$44&gt;1,DY375=$N375),1-SUM($EN375:EP375),
IF($N375&lt;=1,
IF($N375&gt;0,1/$N375,0),
IF(EQ$44=2,0,VDB(1,0,$N375,INT(EQ$44-2-1),MIN($N375,INT(EQ$44-2-1)+1),$DC375,IF($DD375="No",1,0))/
IF(DX375&gt;=INT($N375),$N375-INT($N375),1)))*
IF(EQ$44=2,0,
IF(INT(DY375)=INT(DX375),DY375-DX375,INT(DY375)-DX375))+
IF($N375&lt;=1,
IF($N375&gt;0,1/$N375,0),VDB(1,0,$N375,INT(EQ$44-2),MIN($N375,INT(EQ$44-2)+1),$DC375,IF($DD375="No",1,0))/
IF(DY375&gt;INT($N375),$N375-INT($N375),1))*
IF(EQ$44=2,DY375,
IF(INT(DY375)=INT(DX375),0,DY375-INT(DY375)))))</f>
        <v>0</v>
      </c>
      <c r="ER375" s="834">
        <f>+IF(OR(DZ375=DY375,ER$44=1),0,
IF(AND(ER$44&gt;1,DZ375=$N375),1-SUM($EN375:EQ375),
IF($N375&lt;=1,
IF($N375&gt;0,1/$N375,0),
IF(ER$44=2,0,VDB(1,0,$N375,INT(ER$44-2-1),MIN($N375,INT(ER$44-2-1)+1),$DC375,IF($DD375="No",1,0))/
IF(DY375&gt;=INT($N375),$N375-INT($N375),1)))*
IF(ER$44=2,0,
IF(INT(DZ375)=INT(DY375),DZ375-DY375,INT(DZ375)-DY375))+
IF($N375&lt;=1,
IF($N375&gt;0,1/$N375,0),VDB(1,0,$N375,INT(ER$44-2),MIN($N375,INT(ER$44-2)+1),$DC375,IF($DD375="No",1,0))/
IF(DZ375&gt;INT($N375),$N375-INT($N375),1))*
IF(ER$44=2,DZ375,
IF(INT(DZ375)=INT(DY375),0,DZ375-INT(DZ375)))))</f>
        <v>0</v>
      </c>
      <c r="ES375" s="835">
        <f>+IF(OR(EA375=DZ375,ES$44=1),0,
IF(AND(ES$44&gt;1,EA375=$N375),1-SUM($EN375:ER375),
IF($N375&lt;=1,
IF($N375&gt;0,1/$N375,0),
IF(ES$44=2,0,VDB(1,0,$N375,INT(ES$44-2-1),MIN($N375,INT(ES$44-2-1)+1),$DC375,IF($DD375="No",1,0))/
IF(DZ375&gt;=INT($N375),$N375-INT($N375),1)))*
IF(ES$44=2,0,
IF(INT(EA375)=INT(DZ375),EA375-DZ375,INT(EA375)-DZ375))+
IF($N375&lt;=1,
IF($N375&gt;0,1/$N375,0),VDB(1,0,$N375,INT(ES$44-2),MIN($N375,INT(ES$44-2)+1),$DC375,IF($DD375="No",1,0))/
IF(EA375&gt;INT($N375),$N375-INT($N375),1))*
IF(ES$44=2,EA375,
IF(INT(EA375)=INT(DZ375),0,EA375-INT(EA375)))))</f>
        <v>0</v>
      </c>
      <c r="ET375" s="835">
        <f>+IF(OR(EB375=EA375,ET$44=1),0,
IF(AND(ET$44&gt;1,EB375=$N375),1-SUM($EN375:ES375),
IF($N375&lt;=1,
IF($N375&gt;0,1/$N375,0),
IF(ET$44=2,0,VDB(1,0,$N375,INT(ET$44-2-1),MIN($N375,INT(ET$44-2-1)+1),$DC375,IF($DD375="No",1,0))/
IF(EA375&gt;=INT($N375),$N375-INT($N375),1)))*
IF(ET$44=2,0,
IF(INT(EB375)=INT(EA375),EB375-EA375,INT(EB375)-EA375))+
IF($N375&lt;=1,
IF($N375&gt;0,1/$N375,0),VDB(1,0,$N375,INT(ET$44-2),MIN($N375,INT(ET$44-2)+1),$DC375,IF($DD375="No",1,0))/
IF(EB375&gt;INT($N375),$N375-INT($N375),1))*
IF(ET$44=2,EB375,
IF(INT(EB375)=INT(EA375),0,EB375-INT(EB375)))))</f>
        <v>0</v>
      </c>
      <c r="EU375" s="835">
        <f>+IF(OR(EC375=EB375,EU$44=1),0,
IF(AND(EU$44&gt;1,EC375=$N375),1-SUM($EN375:ET375),
IF($N375&lt;=1,
IF($N375&gt;0,1/$N375,0),
IF(EU$44=2,0,VDB(1,0,$N375,INT(EU$44-2-1),MIN($N375,INT(EU$44-2-1)+1),$DC375,IF($DD375="No",1,0))/
IF(EB375&gt;=INT($N375),$N375-INT($N375),1)))*
IF(EU$44=2,0,
IF(INT(EC375)=INT(EB375),EC375-EB375,INT(EC375)-EB375))+
IF($N375&lt;=1,
IF($N375&gt;0,1/$N375,0),VDB(1,0,$N375,INT(EU$44-2),MIN($N375,INT(EU$44-2)+1),$DC375,IF($DD375="No",1,0))/
IF(EC375&gt;INT($N375),$N375-INT($N375),1))*
IF(EU$44=2,EC375,
IF(INT(EC375)=INT(EB375),0,EC375-INT(EC375)))))</f>
        <v>0</v>
      </c>
      <c r="EV375" s="836">
        <f>+IF(OR(ED375=EC375,EV$44=1),0,
IF(AND(EV$44&gt;1,ED375=$N375),1-SUM($EN375:EU375),
IF($N375&lt;=1,
IF($N375&gt;0,1/$N375,0),
IF(EV$44=2,0,VDB(1,0,$N375,INT(EV$44-2-1),MIN($N375,INT(EV$44-2-1)+1),$DC375,IF($DD375="No",1,0))/
IF(EC375&gt;=INT($N375),$N375-INT($N375),1)))*
IF(EV$44=2,0,
IF(INT(ED375)=INT(EC375),ED375-EC375,INT(ED375)-EC375))+
IF($N375&lt;=1,
IF($N375&gt;0,1/$N375,0),VDB(1,0,$N375,INT(EV$44-2),MIN($N375,INT(EV$44-2)+1),$DC375,IF($DD375="No",1,0))/
IF(ED375&gt;INT($N375),$N375-INT($N375),1))*
IF(EV$44=2,ED375,
IF(INT(ED375)=INT(EC375),0,ED375-INT(ED375)))))</f>
        <v>0</v>
      </c>
      <c r="EW375" s="833"/>
      <c r="EX375" s="834">
        <f t="shared" ca="1" si="634"/>
        <v>0</v>
      </c>
      <c r="EY375" s="835">
        <f t="shared" ca="1" si="634"/>
        <v>0</v>
      </c>
      <c r="EZ375" s="836">
        <f t="shared" ca="1" si="634"/>
        <v>0</v>
      </c>
      <c r="FA375" s="834">
        <f t="shared" ca="1" si="634"/>
        <v>0</v>
      </c>
      <c r="FB375" s="835">
        <f t="shared" ca="1" si="634"/>
        <v>0</v>
      </c>
      <c r="FC375" s="835">
        <f t="shared" ca="1" si="634"/>
        <v>0</v>
      </c>
      <c r="FD375" s="835">
        <f t="shared" ca="1" si="634"/>
        <v>0</v>
      </c>
      <c r="FE375" s="836">
        <f t="shared" ca="1" si="634"/>
        <v>0</v>
      </c>
      <c r="FG375" s="386">
        <f t="shared" ca="1" si="659"/>
        <v>0</v>
      </c>
      <c r="FH375" s="387">
        <f t="shared" ca="1" si="660"/>
        <v>0</v>
      </c>
      <c r="FI375" s="388">
        <f t="shared" ca="1" si="661"/>
        <v>0</v>
      </c>
      <c r="FJ375" s="386">
        <f t="shared" ca="1" si="662"/>
        <v>0</v>
      </c>
      <c r="FK375" s="387">
        <f t="shared" ca="1" si="663"/>
        <v>0</v>
      </c>
      <c r="FL375" s="387">
        <f t="shared" ca="1" si="664"/>
        <v>0</v>
      </c>
      <c r="FM375" s="387">
        <f t="shared" ca="1" si="665"/>
        <v>0</v>
      </c>
      <c r="FN375" s="388">
        <f t="shared" ca="1" si="666"/>
        <v>0</v>
      </c>
      <c r="FR375" s="116"/>
    </row>
    <row r="376" spans="2:174">
      <c r="B376" s="1410">
        <f t="shared" si="556"/>
        <v>330</v>
      </c>
      <c r="C376" s="400"/>
      <c r="D376" s="410"/>
      <c r="E376" s="402"/>
      <c r="F376" s="402"/>
      <c r="G376" s="400"/>
      <c r="H376" s="2088"/>
      <c r="I376" s="2089"/>
      <c r="J376" s="411"/>
      <c r="K376" s="403"/>
      <c r="L376" s="403"/>
      <c r="M376" s="403"/>
      <c r="N376" s="403"/>
      <c r="O376" s="347"/>
      <c r="P376" s="347"/>
      <c r="Q376" s="1021"/>
      <c r="R376" s="1022"/>
      <c r="S376" s="1022"/>
      <c r="T376" s="1022"/>
      <c r="U376" s="1023"/>
      <c r="V376" s="1021"/>
      <c r="W376" s="1022"/>
      <c r="X376" s="1022"/>
      <c r="Y376" s="1022"/>
      <c r="Z376" s="1023"/>
      <c r="AA376" s="1024"/>
      <c r="AB376" s="1021"/>
      <c r="AC376" s="1022"/>
      <c r="AD376" s="1022"/>
      <c r="AE376" s="1022"/>
      <c r="AF376" s="1023"/>
      <c r="AG376" s="1021"/>
      <c r="AH376" s="1022"/>
      <c r="AI376" s="1022"/>
      <c r="AJ376" s="1022"/>
      <c r="AK376" s="1023"/>
      <c r="AL376" s="1024"/>
      <c r="AM376" s="1021"/>
      <c r="AN376" s="1022"/>
      <c r="AO376" s="1022"/>
      <c r="AP376" s="1022"/>
      <c r="AQ376" s="1023"/>
      <c r="AR376" s="1021"/>
      <c r="AS376" s="1022"/>
      <c r="AT376" s="1022"/>
      <c r="AU376" s="1022"/>
      <c r="AV376" s="1023"/>
      <c r="AW376" s="1025"/>
      <c r="AX376" s="1282">
        <f t="shared" si="635"/>
        <v>0</v>
      </c>
      <c r="AY376" s="387">
        <f t="shared" si="636"/>
        <v>0</v>
      </c>
      <c r="AZ376" s="387">
        <f t="shared" si="637"/>
        <v>0</v>
      </c>
      <c r="BA376" s="387">
        <f t="shared" si="638"/>
        <v>0</v>
      </c>
      <c r="BB376" s="1283">
        <f t="shared" si="639"/>
        <v>0</v>
      </c>
      <c r="BC376" s="386">
        <f t="shared" si="640"/>
        <v>0</v>
      </c>
      <c r="BD376" s="387">
        <f t="shared" si="641"/>
        <v>0</v>
      </c>
      <c r="BE376" s="1277">
        <f t="shared" si="642"/>
        <v>0</v>
      </c>
      <c r="BF376" s="1277">
        <f t="shared" si="642"/>
        <v>0</v>
      </c>
      <c r="BG376" s="388">
        <f t="shared" si="642"/>
        <v>0</v>
      </c>
      <c r="BH376" s="1025"/>
      <c r="BI376" s="1282">
        <f t="shared" ca="1" si="643"/>
        <v>0</v>
      </c>
      <c r="BJ376" s="387">
        <f t="shared" ca="1" si="644"/>
        <v>0</v>
      </c>
      <c r="BK376" s="387">
        <f t="shared" ca="1" si="645"/>
        <v>0</v>
      </c>
      <c r="BL376" s="387">
        <f t="shared" ca="1" si="646"/>
        <v>0</v>
      </c>
      <c r="BM376" s="1283">
        <f t="shared" ca="1" si="647"/>
        <v>0</v>
      </c>
      <c r="BN376" s="386">
        <f t="shared" ca="1" si="648"/>
        <v>0</v>
      </c>
      <c r="BO376" s="387">
        <f t="shared" ca="1" si="648"/>
        <v>0</v>
      </c>
      <c r="BP376" s="1277">
        <f t="shared" ca="1" si="648"/>
        <v>0</v>
      </c>
      <c r="BQ376" s="1277">
        <f t="shared" ca="1" si="648"/>
        <v>0</v>
      </c>
      <c r="BR376" s="388">
        <f t="shared" ca="1" si="648"/>
        <v>0</v>
      </c>
      <c r="BS376" s="1025"/>
      <c r="BT376" s="1282">
        <f>+IF($K376="Ongoing",AX376,IF(RIGHT($K376,2)=RIGHT(BT$43,2),SUM($AX376:AX376),0)+IF(RIGHT(BT$43,2)&gt;RIGHT($K376,2),AX376,0))</f>
        <v>0</v>
      </c>
      <c r="BU376" s="387">
        <f>+IF($K376="Ongoing",AY376,IF(RIGHT($K376,2)=RIGHT(BU$43,2),SUM($AX376:AY376),0)+IF(RIGHT(BU$43,2)&gt;RIGHT($K376,2),AY376,0))</f>
        <v>0</v>
      </c>
      <c r="BV376" s="387">
        <f>+IF($K376="Ongoing",AZ376,IF(RIGHT($K376,2)=RIGHT(BV$43,2),SUM($AX376:AZ376),0)+IF(RIGHT(BV$43,2)&gt;RIGHT($K376,2),AZ376,0))</f>
        <v>0</v>
      </c>
      <c r="BW376" s="387">
        <f>+IF($K376="Ongoing",BA376,IF(RIGHT($K376,2)=RIGHT(BW$43,2),SUM($AX376:BA376),0)+IF(RIGHT(BW$43,2)&gt;RIGHT($K376,2),BA376,0))</f>
        <v>0</v>
      </c>
      <c r="BX376" s="1283">
        <f>+IF($K376="Ongoing",BB376,IF(RIGHT($K376,2)=RIGHT(BX$43,2),SUM($AX376:BB376),0)+IF(RIGHT(BX$43,2)&gt;RIGHT($K376,2),BB376,0))</f>
        <v>0</v>
      </c>
      <c r="BY376" s="386">
        <f>+IF($K376="Ongoing",BC376,IF(RIGHT($K376,2)=RIGHT(BY$43,2),SUM($AX376:BC376),0)+IF(RIGHT(BY$43,2)&gt;RIGHT($K376,2),BC376,0))</f>
        <v>0</v>
      </c>
      <c r="BZ376" s="387">
        <f>+IF($K376="Ongoing",BD376,IF(RIGHT($K376,2)=RIGHT(BZ$43,2),SUM($AX376:BD376),0)+IF(RIGHT(BZ$43,2)&gt;RIGHT($K376,2),BD376,0))</f>
        <v>0</v>
      </c>
      <c r="CA376" s="1277">
        <f>+IF($K376="Ongoing",BE376,IF(RIGHT($K376,2)=RIGHT(CA$43,2),SUM($AX376:BE376),0)+IF(RIGHT(CA$43,2)&gt;RIGHT($K376,2),BE376,0))</f>
        <v>0</v>
      </c>
      <c r="CB376" s="1277">
        <f>+IF($K376="Ongoing",BF376,IF(RIGHT($K376,2)=RIGHT(CB$43,2),SUM($AX376:BF376),0)+IF(RIGHT(CB$43,2)&gt;RIGHT($K376,2),BF376,0))</f>
        <v>0</v>
      </c>
      <c r="CC376" s="388">
        <f>+IF($K376="Ongoing",BG376,IF(RIGHT($K376,2)=RIGHT(CC$43,2),SUM($AX376:BG376),0)+IF(RIGHT(CC$43,2)&gt;RIGHT($K376,2),BG376,0))</f>
        <v>0</v>
      </c>
      <c r="CD376" s="1025"/>
      <c r="CE376" s="1282">
        <f>+Q376*KeyAssumptionsPriceControl_FO!AF$15</f>
        <v>0</v>
      </c>
      <c r="CF376" s="387">
        <f>+R376*KeyAssumptionsPriceControl_FO!AG$15</f>
        <v>0</v>
      </c>
      <c r="CG376" s="387">
        <f>+S376*KeyAssumptionsPriceControl_FO!AH$15</f>
        <v>0</v>
      </c>
      <c r="CH376" s="387">
        <f>+T376*KeyAssumptionsPriceControl_FO!AI$15</f>
        <v>0</v>
      </c>
      <c r="CI376" s="1283">
        <f>+U376*KeyAssumptionsPriceControl_FO!AJ$15</f>
        <v>0</v>
      </c>
      <c r="CJ376" s="386">
        <f>+V376*KeyAssumptionsPriceControl_FO!AK$15</f>
        <v>0</v>
      </c>
      <c r="CK376" s="387">
        <f>+W376*KeyAssumptionsPriceControl_FO!AL$15</f>
        <v>0</v>
      </c>
      <c r="CL376" s="1277">
        <f>+X376*KeyAssumptionsPriceControl_FO!AM$15</f>
        <v>0</v>
      </c>
      <c r="CM376" s="1277">
        <f>+Y376*KeyAssumptionsPriceControl_FO!AN$15</f>
        <v>0</v>
      </c>
      <c r="CN376" s="388">
        <f>+Z376*KeyAssumptionsPriceControl_FO!AO$15</f>
        <v>0</v>
      </c>
      <c r="CO376" s="1025"/>
      <c r="CP376" s="1282">
        <f t="shared" ca="1" si="649"/>
        <v>0</v>
      </c>
      <c r="CQ376" s="387">
        <f t="shared" ca="1" si="650"/>
        <v>0</v>
      </c>
      <c r="CR376" s="387">
        <f t="shared" ca="1" si="651"/>
        <v>0</v>
      </c>
      <c r="CS376" s="387">
        <f t="shared" ca="1" si="652"/>
        <v>0</v>
      </c>
      <c r="CT376" s="1283">
        <f t="shared" ca="1" si="653"/>
        <v>0</v>
      </c>
      <c r="CU376" s="386">
        <f t="shared" ca="1" si="654"/>
        <v>0</v>
      </c>
      <c r="CV376" s="387">
        <f t="shared" ca="1" si="655"/>
        <v>0</v>
      </c>
      <c r="CW376" s="1277">
        <f t="shared" ca="1" si="656"/>
        <v>0</v>
      </c>
      <c r="CX376" s="1277">
        <f t="shared" ca="1" si="657"/>
        <v>0</v>
      </c>
      <c r="CY376" s="388">
        <f t="shared" ca="1" si="658"/>
        <v>0</v>
      </c>
      <c r="CZ376" s="347"/>
      <c r="DA376" s="852"/>
      <c r="DB376" s="347"/>
      <c r="DC376" s="1012" t="s">
        <v>517</v>
      </c>
      <c r="DD376" s="841" t="s">
        <v>518</v>
      </c>
      <c r="DE376" s="386">
        <f>+IF($K376="ongoing",CE376,IF(RIGHT($K376,2)=RIGHT(DE$43,2),SUM($CD376:CE376),0)+IF(RIGHT(DE$43,2)&gt;RIGHT($K376,2),CE376,0))</f>
        <v>0</v>
      </c>
      <c r="DF376" s="387">
        <f>+IF($K376="ongoing",CF376,IF(RIGHT($K376,2)=RIGHT(DF$43,2),SUM($CD376:CF376),0)+IF(RIGHT(DF$43,2)&gt;RIGHT($K376,2),CF376,0))</f>
        <v>0</v>
      </c>
      <c r="DG376" s="388">
        <f>+IF($K376="ongoing",CG376,IF(RIGHT($K376,2)=RIGHT(DG$43,2),SUM($CD376:CG376),0)+IF(RIGHT(DG$43,2)&gt;RIGHT($K376,2),CG376,0))</f>
        <v>0</v>
      </c>
      <c r="DH376" s="386">
        <f>+IF($K376="ongoing",CH376,IF(RIGHT($K376,2)=RIGHT(DH$43,2),SUM($CD376:CH376),0)+IF(RIGHT(DH$43,2)&gt;RIGHT($K376,2),CH376,0))</f>
        <v>0</v>
      </c>
      <c r="DI376" s="387">
        <f>+IF($K376="ongoing",CI376,IF(RIGHT($K376,2)=RIGHT(DI$43,2),SUM($CD376:CI376),0)+IF(RIGHT(DI$43,2)&gt;RIGHT($K376,2),CI376,0))</f>
        <v>0</v>
      </c>
      <c r="DJ376" s="387">
        <f>+IF($K376="ongoing",CJ376,IF(RIGHT($K376,2)=RIGHT(DJ$43,2),SUM($CD376:CJ376),0)+IF(RIGHT(DJ$43,2)&gt;RIGHT($K376,2),CJ376,0))</f>
        <v>0</v>
      </c>
      <c r="DK376" s="387">
        <f>+IF($K376="ongoing",CK376,IF(RIGHT($K376,2)=RIGHT(DK$43,2),SUM($CD376:CK376),0)+IF(RIGHT(DK$43,2)&gt;RIGHT($K376,2),CK376,0))</f>
        <v>0</v>
      </c>
      <c r="DL376" s="388">
        <f>+IF($K376="ongoing",CN376,IF(RIGHT($K376,2)=RIGHT(DL$43,2),SUM($CD376:CN376),0)+IF(RIGHT(DL$43,2)&gt;RIGHT($K376,2),CN376,0))</f>
        <v>0</v>
      </c>
      <c r="DM376" s="841"/>
      <c r="DN376" s="386">
        <f t="shared" si="632"/>
        <v>0.5</v>
      </c>
      <c r="DO376" s="387">
        <f t="shared" si="632"/>
        <v>1</v>
      </c>
      <c r="DP376" s="388">
        <f t="shared" si="632"/>
        <v>1</v>
      </c>
      <c r="DQ376" s="386">
        <f t="shared" si="632"/>
        <v>1</v>
      </c>
      <c r="DR376" s="387">
        <f t="shared" si="632"/>
        <v>1</v>
      </c>
      <c r="DS376" s="387">
        <f t="shared" si="632"/>
        <v>1</v>
      </c>
      <c r="DT376" s="387">
        <f t="shared" si="632"/>
        <v>1</v>
      </c>
      <c r="DU376" s="388">
        <f t="shared" si="632"/>
        <v>1</v>
      </c>
      <c r="DW376" s="386">
        <f t="shared" si="633"/>
        <v>0</v>
      </c>
      <c r="DX376" s="387">
        <f t="shared" si="633"/>
        <v>0.5</v>
      </c>
      <c r="DY376" s="388">
        <f t="shared" si="633"/>
        <v>1</v>
      </c>
      <c r="DZ376" s="386">
        <f t="shared" si="633"/>
        <v>1</v>
      </c>
      <c r="EA376" s="387">
        <f t="shared" si="633"/>
        <v>1</v>
      </c>
      <c r="EB376" s="387">
        <f t="shared" si="633"/>
        <v>1</v>
      </c>
      <c r="EC376" s="387">
        <f t="shared" si="633"/>
        <v>1</v>
      </c>
      <c r="ED376" s="388">
        <f t="shared" si="633"/>
        <v>1</v>
      </c>
      <c r="EF376" s="834">
        <f>+IF(DN376=DM376,0,
IF(AND(EF$44&gt;1,DN376=$N376),1-SUM($EE376:EE376),
IF($N376&lt;=1,
IF($N376&gt;0,1/$N376,0),
IF(EF$44=1,0,VDB(1,0,$N376,INT(EF$44-1-1),MIN($N376,INT(EF$44-1-1)+1),$DC376,IF($DD376="No",1,0))/
IF(DM376&gt;=INT($N376),$N376-INT($N376),1)))*
IF(EF$44=1,0,
IF(INT(DN376)=INT(DM376),DN376-DM376,INT(DN376)-DM376))+
IF($N376&lt;=1,
IF($N376&gt;0,1/$N376,0),VDB(1,0,$N376,INT(EF$44-1),MIN($N376,INT(EF$44-1)+1),$DC376,IF($DD376="No",1,0))/
IF(DN376&gt;INT($N376),$N376-INT($N376),1))*
IF(EF$44=1,DN376,
IF(INT(DN376)=INT(DM376),0,DN376-INT(DN376)))))</f>
        <v>0</v>
      </c>
      <c r="EG376" s="835">
        <f>+IF(DO376=DN376,0,
IF(AND(EG$44&gt;1,DO376=$N376),1-SUM($EE376:EF376),
IF($N376&lt;=1,
IF($N376&gt;0,1/$N376,0),
IF(EG$44=1,0,VDB(1,0,$N376,INT(EG$44-1-1),MIN($N376,INT(EG$44-1-1)+1),$DC376,IF($DD376="No",1,0))/
IF(DN376&gt;=INT($N376),$N376-INT($N376),1)))*
IF(EG$44=1,0,
IF(INT(DO376)=INT(DN376),DO376-DN376,INT(DO376)-DN376))+
IF($N376&lt;=1,
IF($N376&gt;0,1/$N376,0),VDB(1,0,$N376,INT(EG$44-1),MIN($N376,INT(EG$44-1)+1),$DC376,IF($DD376="No",1,0))/
IF(DO376&gt;INT($N376),$N376-INT($N376),1))*
IF(EG$44=1,DO376,
IF(INT(DO376)=INT(DN376),0,DO376-INT(DO376)))))</f>
        <v>0</v>
      </c>
      <c r="EH376" s="836">
        <f>+IF(DP376=DO376,0,
IF(AND(EH$44&gt;1,DP376=$N376),1-SUM($EE376:EG376),
IF($N376&lt;=1,
IF($N376&gt;0,1/$N376,0),
IF(EH$44=1,0,VDB(1,0,$N376,INT(EH$44-1-1),MIN($N376,INT(EH$44-1-1)+1),$DC376,IF($DD376="No",1,0))/
IF(DO376&gt;=INT($N376),$N376-INT($N376),1)))*
IF(EH$44=1,0,
IF(INT(DP376)=INT(DO376),DP376-DO376,INT(DP376)-DO376))+
IF($N376&lt;=1,
IF($N376&gt;0,1/$N376,0),VDB(1,0,$N376,INT(EH$44-1),MIN($N376,INT(EH$44-1)+1),$DC376,IF($DD376="No",1,0))/
IF(DP376&gt;INT($N376),$N376-INT($N376),1))*
IF(EH$44=1,DP376,
IF(INT(DP376)=INT(DO376),0,DP376-INT(DP376)))))</f>
        <v>0</v>
      </c>
      <c r="EI376" s="834">
        <f>+IF(DQ376=DP376,0,
IF(AND(EI$44&gt;1,DQ376=$N376),1-SUM($EE376:EH376),
IF($N376&lt;=1,
IF($N376&gt;0,1/$N376,0),
IF(EI$44=1,0,VDB(1,0,$N376,INT(EI$44-1-1),MIN($N376,INT(EI$44-1-1)+1),$DC376,IF($DD376="No",1,0))/
IF(DP376&gt;=INT($N376),$N376-INT($N376),1)))*
IF(EI$44=1,0,
IF(INT(DQ376)=INT(DP376),DQ376-DP376,INT(DQ376)-DP376))+
IF($N376&lt;=1,
IF($N376&gt;0,1/$N376,0),VDB(1,0,$N376,INT(EI$44-1),MIN($N376,INT(EI$44-1)+1),$DC376,IF($DD376="No",1,0))/
IF(DQ376&gt;INT($N376),$N376-INT($N376),1))*
IF(EI$44=1,DQ376,
IF(INT(DQ376)=INT(DP376),0,DQ376-INT(DQ376)))))</f>
        <v>0</v>
      </c>
      <c r="EJ376" s="835">
        <f>+IF(DR376=DQ376,0,
IF(AND(EJ$44&gt;1,DR376=$N376),1-SUM($EE376:EI376),
IF($N376&lt;=1,
IF($N376&gt;0,1/$N376,0),
IF(EJ$44=1,0,VDB(1,0,$N376,INT(EJ$44-1-1),MIN($N376,INT(EJ$44-1-1)+1),$DC376,IF($DD376="No",1,0))/
IF(DQ376&gt;=INT($N376),$N376-INT($N376),1)))*
IF(EJ$44=1,0,
IF(INT(DR376)=INT(DQ376),DR376-DQ376,INT(DR376)-DQ376))+
IF($N376&lt;=1,
IF($N376&gt;0,1/$N376,0),VDB(1,0,$N376,INT(EJ$44-1),MIN($N376,INT(EJ$44-1)+1),$DC376,IF($DD376="No",1,0))/
IF(DR376&gt;INT($N376),$N376-INT($N376),1))*
IF(EJ$44=1,DR376,
IF(INT(DR376)=INT(DQ376),0,DR376-INT(DR376)))))</f>
        <v>0</v>
      </c>
      <c r="EK376" s="835">
        <f>+IF(DS376=DR376,0,
IF(AND(EK$44&gt;1,DS376=$N376),1-SUM($EE376:EJ376),
IF($N376&lt;=1,
IF($N376&gt;0,1/$N376,0),
IF(EK$44=1,0,VDB(1,0,$N376,INT(EK$44-1-1),MIN($N376,INT(EK$44-1-1)+1),$DC376,IF($DD376="No",1,0))/
IF(DR376&gt;=INT($N376),$N376-INT($N376),1)))*
IF(EK$44=1,0,
IF(INT(DS376)=INT(DR376),DS376-DR376,INT(DS376)-DR376))+
IF($N376&lt;=1,
IF($N376&gt;0,1/$N376,0),VDB(1,0,$N376,INT(EK$44-1),MIN($N376,INT(EK$44-1)+1),$DC376,IF($DD376="No",1,0))/
IF(DS376&gt;INT($N376),$N376-INT($N376),1))*
IF(EK$44=1,DS376,
IF(INT(DS376)=INT(DR376),0,DS376-INT(DS376)))))</f>
        <v>0</v>
      </c>
      <c r="EL376" s="835">
        <f>+IF(DT376=DS376,0,
IF(AND(EL$44&gt;1,DT376=$N376),1-SUM($EE376:EK376),
IF($N376&lt;=1,
IF($N376&gt;0,1/$N376,0),
IF(EL$44=1,0,VDB(1,0,$N376,INT(EL$44-1-1),MIN($N376,INT(EL$44-1-1)+1),$DC376,IF($DD376="No",1,0))/
IF(DS376&gt;=INT($N376),$N376-INT($N376),1)))*
IF(EL$44=1,0,
IF(INT(DT376)=INT(DS376),DT376-DS376,INT(DT376)-DS376))+
IF($N376&lt;=1,
IF($N376&gt;0,1/$N376,0),VDB(1,0,$N376,INT(EL$44-1),MIN($N376,INT(EL$44-1)+1),$DC376,IF($DD376="No",1,0))/
IF(DT376&gt;INT($N376),$N376-INT($N376),1))*
IF(EL$44=1,DT376,
IF(INT(DT376)=INT(DS376),0,DT376-INT(DT376)))))</f>
        <v>0</v>
      </c>
      <c r="EM376" s="836">
        <f>+IF(DU376=DT376,0,
IF(AND(EM$44&gt;1,DU376=$N376),1-SUM($EE376:EL376),
IF($N376&lt;=1,
IF($N376&gt;0,1/$N376,0),
IF(EM$44=1,0,VDB(1,0,$N376,INT(EM$44-1-1),MIN($N376,INT(EM$44-1-1)+1),$DC376,IF($DD376="No",1,0))/
IF(DT376&gt;=INT($N376),$N376-INT($N376),1)))*
IF(EM$44=1,0,
IF(INT(DU376)=INT(DT376),DU376-DT376,INT(DU376)-DT376))+
IF($N376&lt;=1,
IF($N376&gt;0,1/$N376,0),VDB(1,0,$N376,INT(EM$44-1),MIN($N376,INT(EM$44-1)+1),$DC376,IF($DD376="No",1,0))/
IF(DU376&gt;INT($N376),$N376-INT($N376),1))*
IF(EM$44=1,DU376,
IF(INT(DU376)=INT(DT376),0,DU376-INT(DU376)))))</f>
        <v>0</v>
      </c>
      <c r="EN376" s="833"/>
      <c r="EO376" s="834">
        <f>+IF(OR(DW376=DV376,EO$44=1),0,
IF(AND(EO$44&gt;1,DW376=$N376),1-SUM($EN376:EN376),
IF($N376&lt;=1,
IF($N376&gt;0,1/$N376,0),
IF(EO$44=2,0,VDB(1,0,$N376,INT(EO$44-2-1),MIN($N376,INT(EO$44-2-1)+1),$DC376,IF($DD376="No",1,0))/
IF(DV376&gt;=INT($N376),$N376-INT($N376),1)))*
IF(EO$44=2,0,
IF(INT(DW376)=INT(DV376),DW376-DV376,INT(DW376)-DV376))+
IF($N376&lt;=1,
IF($N376&gt;0,1/$N376,0),VDB(1,0,$N376,INT(EO$44-2),MIN($N376,INT(EO$44-2)+1),$DC376,IF($DD376="No",1,0))/
IF(DW376&gt;INT($N376),$N376-INT($N376),1))*
IF(EO$44=2,DW376,
IF(INT(DW376)=INT(DV376),0,DW376-INT(DW376)))))</f>
        <v>0</v>
      </c>
      <c r="EP376" s="835">
        <f>+IF(OR(DX376=DW376,EP$44=1),0,
IF(AND(EP$44&gt;1,DX376=$N376),1-SUM($EN376:EO376),
IF($N376&lt;=1,
IF($N376&gt;0,1/$N376,0),
IF(EP$44=2,0,VDB(1,0,$N376,INT(EP$44-2-1),MIN($N376,INT(EP$44-2-1)+1),$DC376,IF($DD376="No",1,0))/
IF(DW376&gt;=INT($N376),$N376-INT($N376),1)))*
IF(EP$44=2,0,
IF(INT(DX376)=INT(DW376),DX376-DW376,INT(DX376)-DW376))+
IF($N376&lt;=1,
IF($N376&gt;0,1/$N376,0),VDB(1,0,$N376,INT(EP$44-2),MIN($N376,INT(EP$44-2)+1),$DC376,IF($DD376="No",1,0))/
IF(DX376&gt;INT($N376),$N376-INT($N376),1))*
IF(EP$44=2,DX376,
IF(INT(DX376)=INT(DW376),0,DX376-INT(DX376)))))</f>
        <v>0</v>
      </c>
      <c r="EQ376" s="836">
        <f>+IF(OR(DY376=DX376,EQ$44=1),0,
IF(AND(EQ$44&gt;1,DY376=$N376),1-SUM($EN376:EP376),
IF($N376&lt;=1,
IF($N376&gt;0,1/$N376,0),
IF(EQ$44=2,0,VDB(1,0,$N376,INT(EQ$44-2-1),MIN($N376,INT(EQ$44-2-1)+1),$DC376,IF($DD376="No",1,0))/
IF(DX376&gt;=INT($N376),$N376-INT($N376),1)))*
IF(EQ$44=2,0,
IF(INT(DY376)=INT(DX376),DY376-DX376,INT(DY376)-DX376))+
IF($N376&lt;=1,
IF($N376&gt;0,1/$N376,0),VDB(1,0,$N376,INT(EQ$44-2),MIN($N376,INT(EQ$44-2)+1),$DC376,IF($DD376="No",1,0))/
IF(DY376&gt;INT($N376),$N376-INT($N376),1))*
IF(EQ$44=2,DY376,
IF(INT(DY376)=INT(DX376),0,DY376-INT(DY376)))))</f>
        <v>0</v>
      </c>
      <c r="ER376" s="834">
        <f>+IF(OR(DZ376=DY376,ER$44=1),0,
IF(AND(ER$44&gt;1,DZ376=$N376),1-SUM($EN376:EQ376),
IF($N376&lt;=1,
IF($N376&gt;0,1/$N376,0),
IF(ER$44=2,0,VDB(1,0,$N376,INT(ER$44-2-1),MIN($N376,INT(ER$44-2-1)+1),$DC376,IF($DD376="No",1,0))/
IF(DY376&gt;=INT($N376),$N376-INT($N376),1)))*
IF(ER$44=2,0,
IF(INT(DZ376)=INT(DY376),DZ376-DY376,INT(DZ376)-DY376))+
IF($N376&lt;=1,
IF($N376&gt;0,1/$N376,0),VDB(1,0,$N376,INT(ER$44-2),MIN($N376,INT(ER$44-2)+1),$DC376,IF($DD376="No",1,0))/
IF(DZ376&gt;INT($N376),$N376-INT($N376),1))*
IF(ER$44=2,DZ376,
IF(INT(DZ376)=INT(DY376),0,DZ376-INT(DZ376)))))</f>
        <v>0</v>
      </c>
      <c r="ES376" s="835">
        <f>+IF(OR(EA376=DZ376,ES$44=1),0,
IF(AND(ES$44&gt;1,EA376=$N376),1-SUM($EN376:ER376),
IF($N376&lt;=1,
IF($N376&gt;0,1/$N376,0),
IF(ES$44=2,0,VDB(1,0,$N376,INT(ES$44-2-1),MIN($N376,INT(ES$44-2-1)+1),$DC376,IF($DD376="No",1,0))/
IF(DZ376&gt;=INT($N376),$N376-INT($N376),1)))*
IF(ES$44=2,0,
IF(INT(EA376)=INT(DZ376),EA376-DZ376,INT(EA376)-DZ376))+
IF($N376&lt;=1,
IF($N376&gt;0,1/$N376,0),VDB(1,0,$N376,INT(ES$44-2),MIN($N376,INT(ES$44-2)+1),$DC376,IF($DD376="No",1,0))/
IF(EA376&gt;INT($N376),$N376-INT($N376),1))*
IF(ES$44=2,EA376,
IF(INT(EA376)=INT(DZ376),0,EA376-INT(EA376)))))</f>
        <v>0</v>
      </c>
      <c r="ET376" s="835">
        <f>+IF(OR(EB376=EA376,ET$44=1),0,
IF(AND(ET$44&gt;1,EB376=$N376),1-SUM($EN376:ES376),
IF($N376&lt;=1,
IF($N376&gt;0,1/$N376,0),
IF(ET$44=2,0,VDB(1,0,$N376,INT(ET$44-2-1),MIN($N376,INT(ET$44-2-1)+1),$DC376,IF($DD376="No",1,0))/
IF(EA376&gt;=INT($N376),$N376-INT($N376),1)))*
IF(ET$44=2,0,
IF(INT(EB376)=INT(EA376),EB376-EA376,INT(EB376)-EA376))+
IF($N376&lt;=1,
IF($N376&gt;0,1/$N376,0),VDB(1,0,$N376,INT(ET$44-2),MIN($N376,INT(ET$44-2)+1),$DC376,IF($DD376="No",1,0))/
IF(EB376&gt;INT($N376),$N376-INT($N376),1))*
IF(ET$44=2,EB376,
IF(INT(EB376)=INT(EA376),0,EB376-INT(EB376)))))</f>
        <v>0</v>
      </c>
      <c r="EU376" s="835">
        <f>+IF(OR(EC376=EB376,EU$44=1),0,
IF(AND(EU$44&gt;1,EC376=$N376),1-SUM($EN376:ET376),
IF($N376&lt;=1,
IF($N376&gt;0,1/$N376,0),
IF(EU$44=2,0,VDB(1,0,$N376,INT(EU$44-2-1),MIN($N376,INT(EU$44-2-1)+1),$DC376,IF($DD376="No",1,0))/
IF(EB376&gt;=INT($N376),$N376-INT($N376),1)))*
IF(EU$44=2,0,
IF(INT(EC376)=INT(EB376),EC376-EB376,INT(EC376)-EB376))+
IF($N376&lt;=1,
IF($N376&gt;0,1/$N376,0),VDB(1,0,$N376,INT(EU$44-2),MIN($N376,INT(EU$44-2)+1),$DC376,IF($DD376="No",1,0))/
IF(EC376&gt;INT($N376),$N376-INT($N376),1))*
IF(EU$44=2,EC376,
IF(INT(EC376)=INT(EB376),0,EC376-INT(EC376)))))</f>
        <v>0</v>
      </c>
      <c r="EV376" s="836">
        <f>+IF(OR(ED376=EC376,EV$44=1),0,
IF(AND(EV$44&gt;1,ED376=$N376),1-SUM($EN376:EU376),
IF($N376&lt;=1,
IF($N376&gt;0,1/$N376,0),
IF(EV$44=2,0,VDB(1,0,$N376,INT(EV$44-2-1),MIN($N376,INT(EV$44-2-1)+1),$DC376,IF($DD376="No",1,0))/
IF(EC376&gt;=INT($N376),$N376-INT($N376),1)))*
IF(EV$44=2,0,
IF(INT(ED376)=INT(EC376),ED376-EC376,INT(ED376)-EC376))+
IF($N376&lt;=1,
IF($N376&gt;0,1/$N376,0),VDB(1,0,$N376,INT(EV$44-2),MIN($N376,INT(EV$44-2)+1),$DC376,IF($DD376="No",1,0))/
IF(ED376&gt;INT($N376),$N376-INT($N376),1))*
IF(EV$44=2,ED376,
IF(INT(ED376)=INT(EC376),0,ED376-INT(ED376)))))</f>
        <v>0</v>
      </c>
      <c r="EW376" s="833"/>
      <c r="EX376" s="834">
        <f t="shared" ca="1" si="634"/>
        <v>0</v>
      </c>
      <c r="EY376" s="835">
        <f t="shared" ca="1" si="634"/>
        <v>0</v>
      </c>
      <c r="EZ376" s="836">
        <f t="shared" ca="1" si="634"/>
        <v>0</v>
      </c>
      <c r="FA376" s="834">
        <f t="shared" ca="1" si="634"/>
        <v>0</v>
      </c>
      <c r="FB376" s="835">
        <f t="shared" ca="1" si="634"/>
        <v>0</v>
      </c>
      <c r="FC376" s="835">
        <f t="shared" ca="1" si="634"/>
        <v>0</v>
      </c>
      <c r="FD376" s="835">
        <f t="shared" ca="1" si="634"/>
        <v>0</v>
      </c>
      <c r="FE376" s="836">
        <f t="shared" ca="1" si="634"/>
        <v>0</v>
      </c>
      <c r="FG376" s="386">
        <f t="shared" ca="1" si="659"/>
        <v>0</v>
      </c>
      <c r="FH376" s="387">
        <f t="shared" ca="1" si="660"/>
        <v>0</v>
      </c>
      <c r="FI376" s="388">
        <f t="shared" ca="1" si="661"/>
        <v>0</v>
      </c>
      <c r="FJ376" s="386">
        <f t="shared" ca="1" si="662"/>
        <v>0</v>
      </c>
      <c r="FK376" s="387">
        <f t="shared" ca="1" si="663"/>
        <v>0</v>
      </c>
      <c r="FL376" s="387">
        <f t="shared" ca="1" si="664"/>
        <v>0</v>
      </c>
      <c r="FM376" s="387">
        <f t="shared" ca="1" si="665"/>
        <v>0</v>
      </c>
      <c r="FN376" s="388">
        <f t="shared" ca="1" si="666"/>
        <v>0</v>
      </c>
      <c r="FR376" s="116"/>
    </row>
    <row r="377" spans="2:174">
      <c r="B377" s="1410">
        <f t="shared" si="556"/>
        <v>331</v>
      </c>
      <c r="C377" s="400"/>
      <c r="D377" s="410"/>
      <c r="E377" s="402"/>
      <c r="F377" s="402"/>
      <c r="G377" s="400"/>
      <c r="H377" s="2088"/>
      <c r="I377" s="2089"/>
      <c r="J377" s="411"/>
      <c r="K377" s="403"/>
      <c r="L377" s="403"/>
      <c r="M377" s="403"/>
      <c r="N377" s="403"/>
      <c r="O377" s="347"/>
      <c r="P377" s="347"/>
      <c r="Q377" s="1021"/>
      <c r="R377" s="1022"/>
      <c r="S377" s="1022"/>
      <c r="T377" s="1022"/>
      <c r="U377" s="1023"/>
      <c r="V377" s="1021"/>
      <c r="W377" s="1022"/>
      <c r="X377" s="1022"/>
      <c r="Y377" s="1022"/>
      <c r="Z377" s="1023"/>
      <c r="AA377" s="1024"/>
      <c r="AB377" s="1021"/>
      <c r="AC377" s="1022"/>
      <c r="AD377" s="1022"/>
      <c r="AE377" s="1022"/>
      <c r="AF377" s="1023"/>
      <c r="AG377" s="1021"/>
      <c r="AH377" s="1022"/>
      <c r="AI377" s="1022"/>
      <c r="AJ377" s="1022"/>
      <c r="AK377" s="1023"/>
      <c r="AL377" s="1024"/>
      <c r="AM377" s="1021"/>
      <c r="AN377" s="1022"/>
      <c r="AO377" s="1022"/>
      <c r="AP377" s="1022"/>
      <c r="AQ377" s="1023"/>
      <c r="AR377" s="1021"/>
      <c r="AS377" s="1022"/>
      <c r="AT377" s="1022"/>
      <c r="AU377" s="1022"/>
      <c r="AV377" s="1023"/>
      <c r="AW377" s="1025"/>
      <c r="AX377" s="1282">
        <f t="shared" si="635"/>
        <v>0</v>
      </c>
      <c r="AY377" s="387">
        <f t="shared" si="636"/>
        <v>0</v>
      </c>
      <c r="AZ377" s="387">
        <f t="shared" si="637"/>
        <v>0</v>
      </c>
      <c r="BA377" s="387">
        <f t="shared" si="638"/>
        <v>0</v>
      </c>
      <c r="BB377" s="1283">
        <f t="shared" si="639"/>
        <v>0</v>
      </c>
      <c r="BC377" s="386">
        <f t="shared" si="640"/>
        <v>0</v>
      </c>
      <c r="BD377" s="387">
        <f t="shared" si="641"/>
        <v>0</v>
      </c>
      <c r="BE377" s="1277">
        <f t="shared" si="642"/>
        <v>0</v>
      </c>
      <c r="BF377" s="1277">
        <f t="shared" si="642"/>
        <v>0</v>
      </c>
      <c r="BG377" s="388">
        <f t="shared" si="642"/>
        <v>0</v>
      </c>
      <c r="BH377" s="1025"/>
      <c r="BI377" s="1282">
        <f t="shared" ca="1" si="643"/>
        <v>0</v>
      </c>
      <c r="BJ377" s="387">
        <f t="shared" ca="1" si="644"/>
        <v>0</v>
      </c>
      <c r="BK377" s="387">
        <f t="shared" ca="1" si="645"/>
        <v>0</v>
      </c>
      <c r="BL377" s="387">
        <f t="shared" ca="1" si="646"/>
        <v>0</v>
      </c>
      <c r="BM377" s="1283">
        <f t="shared" ca="1" si="647"/>
        <v>0</v>
      </c>
      <c r="BN377" s="386">
        <f t="shared" ca="1" si="648"/>
        <v>0</v>
      </c>
      <c r="BO377" s="387">
        <f t="shared" ca="1" si="648"/>
        <v>0</v>
      </c>
      <c r="BP377" s="1277">
        <f t="shared" ca="1" si="648"/>
        <v>0</v>
      </c>
      <c r="BQ377" s="1277">
        <f t="shared" ca="1" si="648"/>
        <v>0</v>
      </c>
      <c r="BR377" s="388">
        <f t="shared" ca="1" si="648"/>
        <v>0</v>
      </c>
      <c r="BS377" s="1025"/>
      <c r="BT377" s="1282">
        <f>+IF($K377="Ongoing",AX377,IF(RIGHT($K377,2)=RIGHT(BT$43,2),SUM($AX377:AX377),0)+IF(RIGHT(BT$43,2)&gt;RIGHT($K377,2),AX377,0))</f>
        <v>0</v>
      </c>
      <c r="BU377" s="387">
        <f>+IF($K377="Ongoing",AY377,IF(RIGHT($K377,2)=RIGHT(BU$43,2),SUM($AX377:AY377),0)+IF(RIGHT(BU$43,2)&gt;RIGHT($K377,2),AY377,0))</f>
        <v>0</v>
      </c>
      <c r="BV377" s="387">
        <f>+IF($K377="Ongoing",AZ377,IF(RIGHT($K377,2)=RIGHT(BV$43,2),SUM($AX377:AZ377),0)+IF(RIGHT(BV$43,2)&gt;RIGHT($K377,2),AZ377,0))</f>
        <v>0</v>
      </c>
      <c r="BW377" s="387">
        <f>+IF($K377="Ongoing",BA377,IF(RIGHT($K377,2)=RIGHT(BW$43,2),SUM($AX377:BA377),0)+IF(RIGHT(BW$43,2)&gt;RIGHT($K377,2),BA377,0))</f>
        <v>0</v>
      </c>
      <c r="BX377" s="1283">
        <f>+IF($K377="Ongoing",BB377,IF(RIGHT($K377,2)=RIGHT(BX$43,2),SUM($AX377:BB377),0)+IF(RIGHT(BX$43,2)&gt;RIGHT($K377,2),BB377,0))</f>
        <v>0</v>
      </c>
      <c r="BY377" s="386">
        <f>+IF($K377="Ongoing",BC377,IF(RIGHT($K377,2)=RIGHT(BY$43,2),SUM($AX377:BC377),0)+IF(RIGHT(BY$43,2)&gt;RIGHT($K377,2),BC377,0))</f>
        <v>0</v>
      </c>
      <c r="BZ377" s="387">
        <f>+IF($K377="Ongoing",BD377,IF(RIGHT($K377,2)=RIGHT(BZ$43,2),SUM($AX377:BD377),0)+IF(RIGHT(BZ$43,2)&gt;RIGHT($K377,2),BD377,0))</f>
        <v>0</v>
      </c>
      <c r="CA377" s="1277">
        <f>+IF($K377="Ongoing",BE377,IF(RIGHT($K377,2)=RIGHT(CA$43,2),SUM($AX377:BE377),0)+IF(RIGHT(CA$43,2)&gt;RIGHT($K377,2),BE377,0))</f>
        <v>0</v>
      </c>
      <c r="CB377" s="1277">
        <f>+IF($K377="Ongoing",BF377,IF(RIGHT($K377,2)=RIGHT(CB$43,2),SUM($AX377:BF377),0)+IF(RIGHT(CB$43,2)&gt;RIGHT($K377,2),BF377,0))</f>
        <v>0</v>
      </c>
      <c r="CC377" s="388">
        <f>+IF($K377="Ongoing",BG377,IF(RIGHT($K377,2)=RIGHT(CC$43,2),SUM($AX377:BG377),0)+IF(RIGHT(CC$43,2)&gt;RIGHT($K377,2),BG377,0))</f>
        <v>0</v>
      </c>
      <c r="CD377" s="1025"/>
      <c r="CE377" s="1282">
        <f>+Q377*KeyAssumptionsPriceControl_FO!AF$15</f>
        <v>0</v>
      </c>
      <c r="CF377" s="387">
        <f>+R377*KeyAssumptionsPriceControl_FO!AG$15</f>
        <v>0</v>
      </c>
      <c r="CG377" s="387">
        <f>+S377*KeyAssumptionsPriceControl_FO!AH$15</f>
        <v>0</v>
      </c>
      <c r="CH377" s="387">
        <f>+T377*KeyAssumptionsPriceControl_FO!AI$15</f>
        <v>0</v>
      </c>
      <c r="CI377" s="1283">
        <f>+U377*KeyAssumptionsPriceControl_FO!AJ$15</f>
        <v>0</v>
      </c>
      <c r="CJ377" s="386">
        <f>+V377*KeyAssumptionsPriceControl_FO!AK$15</f>
        <v>0</v>
      </c>
      <c r="CK377" s="387">
        <f>+W377*KeyAssumptionsPriceControl_FO!AL$15</f>
        <v>0</v>
      </c>
      <c r="CL377" s="1277">
        <f>+X377*KeyAssumptionsPriceControl_FO!AM$15</f>
        <v>0</v>
      </c>
      <c r="CM377" s="1277">
        <f>+Y377*KeyAssumptionsPriceControl_FO!AN$15</f>
        <v>0</v>
      </c>
      <c r="CN377" s="388">
        <f>+Z377*KeyAssumptionsPriceControl_FO!AO$15</f>
        <v>0</v>
      </c>
      <c r="CO377" s="1025"/>
      <c r="CP377" s="1282">
        <f t="shared" ca="1" si="649"/>
        <v>0</v>
      </c>
      <c r="CQ377" s="387">
        <f t="shared" ca="1" si="650"/>
        <v>0</v>
      </c>
      <c r="CR377" s="387">
        <f t="shared" ca="1" si="651"/>
        <v>0</v>
      </c>
      <c r="CS377" s="387">
        <f t="shared" ca="1" si="652"/>
        <v>0</v>
      </c>
      <c r="CT377" s="1283">
        <f t="shared" ca="1" si="653"/>
        <v>0</v>
      </c>
      <c r="CU377" s="386">
        <f t="shared" ca="1" si="654"/>
        <v>0</v>
      </c>
      <c r="CV377" s="387">
        <f t="shared" ca="1" si="655"/>
        <v>0</v>
      </c>
      <c r="CW377" s="1277">
        <f t="shared" ca="1" si="656"/>
        <v>0</v>
      </c>
      <c r="CX377" s="1277">
        <f t="shared" ca="1" si="657"/>
        <v>0</v>
      </c>
      <c r="CY377" s="388">
        <f t="shared" ca="1" si="658"/>
        <v>0</v>
      </c>
      <c r="CZ377" s="347"/>
      <c r="DA377" s="852"/>
      <c r="DB377" s="347"/>
      <c r="DC377" s="1012" t="s">
        <v>517</v>
      </c>
      <c r="DD377" s="841" t="s">
        <v>518</v>
      </c>
      <c r="DE377" s="386">
        <f>+IF($K377="ongoing",CE377,IF(RIGHT($K377,2)=RIGHT(DE$43,2),SUM($CD377:CE377),0)+IF(RIGHT(DE$43,2)&gt;RIGHT($K377,2),CE377,0))</f>
        <v>0</v>
      </c>
      <c r="DF377" s="387">
        <f>+IF($K377="ongoing",CF377,IF(RIGHT($K377,2)=RIGHT(DF$43,2),SUM($CD377:CF377),0)+IF(RIGHT(DF$43,2)&gt;RIGHT($K377,2),CF377,0))</f>
        <v>0</v>
      </c>
      <c r="DG377" s="388">
        <f>+IF($K377="ongoing",CG377,IF(RIGHT($K377,2)=RIGHT(DG$43,2),SUM($CD377:CG377),0)+IF(RIGHT(DG$43,2)&gt;RIGHT($K377,2),CG377,0))</f>
        <v>0</v>
      </c>
      <c r="DH377" s="386">
        <f>+IF($K377="ongoing",CH377,IF(RIGHT($K377,2)=RIGHT(DH$43,2),SUM($CD377:CH377),0)+IF(RIGHT(DH$43,2)&gt;RIGHT($K377,2),CH377,0))</f>
        <v>0</v>
      </c>
      <c r="DI377" s="387">
        <f>+IF($K377="ongoing",CI377,IF(RIGHT($K377,2)=RIGHT(DI$43,2),SUM($CD377:CI377),0)+IF(RIGHT(DI$43,2)&gt;RIGHT($K377,2),CI377,0))</f>
        <v>0</v>
      </c>
      <c r="DJ377" s="387">
        <f>+IF($K377="ongoing",CJ377,IF(RIGHT($K377,2)=RIGHT(DJ$43,2),SUM($CD377:CJ377),0)+IF(RIGHT(DJ$43,2)&gt;RIGHT($K377,2),CJ377,0))</f>
        <v>0</v>
      </c>
      <c r="DK377" s="387">
        <f>+IF($K377="ongoing",CK377,IF(RIGHT($K377,2)=RIGHT(DK$43,2),SUM($CD377:CK377),0)+IF(RIGHT(DK$43,2)&gt;RIGHT($K377,2),CK377,0))</f>
        <v>0</v>
      </c>
      <c r="DL377" s="388">
        <f>+IF($K377="ongoing",CN377,IF(RIGHT($K377,2)=RIGHT(DL$43,2),SUM($CD377:CN377),0)+IF(RIGHT(DL$43,2)&gt;RIGHT($K377,2),CN377,0))</f>
        <v>0</v>
      </c>
      <c r="DM377" s="841"/>
      <c r="DN377" s="386">
        <f t="shared" ref="DN377:DU386" si="667">+MIN(IF($N377&lt;=$DC377,MIN($N377,1),$N377),IF(DN$44=1,0.5,DM377+1))</f>
        <v>0.5</v>
      </c>
      <c r="DO377" s="387">
        <f t="shared" si="667"/>
        <v>1</v>
      </c>
      <c r="DP377" s="388">
        <f t="shared" si="667"/>
        <v>1</v>
      </c>
      <c r="DQ377" s="386">
        <f t="shared" si="667"/>
        <v>1</v>
      </c>
      <c r="DR377" s="387">
        <f t="shared" si="667"/>
        <v>1</v>
      </c>
      <c r="DS377" s="387">
        <f t="shared" si="667"/>
        <v>1</v>
      </c>
      <c r="DT377" s="387">
        <f t="shared" si="667"/>
        <v>1</v>
      </c>
      <c r="DU377" s="388">
        <f t="shared" si="667"/>
        <v>1</v>
      </c>
      <c r="DW377" s="386">
        <f t="shared" ref="DW377:ED386" si="668">+IF(DW$44=1,0,MIN(IF($N377&lt;=$DC377,MIN($N377,1),$N377),IF(DW$44=2,0.5,DV377+1)))</f>
        <v>0</v>
      </c>
      <c r="DX377" s="387">
        <f t="shared" si="668"/>
        <v>0.5</v>
      </c>
      <c r="DY377" s="388">
        <f t="shared" si="668"/>
        <v>1</v>
      </c>
      <c r="DZ377" s="386">
        <f t="shared" si="668"/>
        <v>1</v>
      </c>
      <c r="EA377" s="387">
        <f t="shared" si="668"/>
        <v>1</v>
      </c>
      <c r="EB377" s="387">
        <f t="shared" si="668"/>
        <v>1</v>
      </c>
      <c r="EC377" s="387">
        <f t="shared" si="668"/>
        <v>1</v>
      </c>
      <c r="ED377" s="388">
        <f t="shared" si="668"/>
        <v>1</v>
      </c>
      <c r="EF377" s="834">
        <f>+IF(DN377=DM377,0,
IF(AND(EF$44&gt;1,DN377=$N377),1-SUM($EE377:EE377),
IF($N377&lt;=1,
IF($N377&gt;0,1/$N377,0),
IF(EF$44=1,0,VDB(1,0,$N377,INT(EF$44-1-1),MIN($N377,INT(EF$44-1-1)+1),$DC377,IF($DD377="No",1,0))/
IF(DM377&gt;=INT($N377),$N377-INT($N377),1)))*
IF(EF$44=1,0,
IF(INT(DN377)=INT(DM377),DN377-DM377,INT(DN377)-DM377))+
IF($N377&lt;=1,
IF($N377&gt;0,1/$N377,0),VDB(1,0,$N377,INT(EF$44-1),MIN($N377,INT(EF$44-1)+1),$DC377,IF($DD377="No",1,0))/
IF(DN377&gt;INT($N377),$N377-INT($N377),1))*
IF(EF$44=1,DN377,
IF(INT(DN377)=INT(DM377),0,DN377-INT(DN377)))))</f>
        <v>0</v>
      </c>
      <c r="EG377" s="835">
        <f>+IF(DO377=DN377,0,
IF(AND(EG$44&gt;1,DO377=$N377),1-SUM($EE377:EF377),
IF($N377&lt;=1,
IF($N377&gt;0,1/$N377,0),
IF(EG$44=1,0,VDB(1,0,$N377,INT(EG$44-1-1),MIN($N377,INT(EG$44-1-1)+1),$DC377,IF($DD377="No",1,0))/
IF(DN377&gt;=INT($N377),$N377-INT($N377),1)))*
IF(EG$44=1,0,
IF(INT(DO377)=INT(DN377),DO377-DN377,INT(DO377)-DN377))+
IF($N377&lt;=1,
IF($N377&gt;0,1/$N377,0),VDB(1,0,$N377,INT(EG$44-1),MIN($N377,INT(EG$44-1)+1),$DC377,IF($DD377="No",1,0))/
IF(DO377&gt;INT($N377),$N377-INT($N377),1))*
IF(EG$44=1,DO377,
IF(INT(DO377)=INT(DN377),0,DO377-INT(DO377)))))</f>
        <v>0</v>
      </c>
      <c r="EH377" s="836">
        <f>+IF(DP377=DO377,0,
IF(AND(EH$44&gt;1,DP377=$N377),1-SUM($EE377:EG377),
IF($N377&lt;=1,
IF($N377&gt;0,1/$N377,0),
IF(EH$44=1,0,VDB(1,0,$N377,INT(EH$44-1-1),MIN($N377,INT(EH$44-1-1)+1),$DC377,IF($DD377="No",1,0))/
IF(DO377&gt;=INT($N377),$N377-INT($N377),1)))*
IF(EH$44=1,0,
IF(INT(DP377)=INT(DO377),DP377-DO377,INT(DP377)-DO377))+
IF($N377&lt;=1,
IF($N377&gt;0,1/$N377,0),VDB(1,0,$N377,INT(EH$44-1),MIN($N377,INT(EH$44-1)+1),$DC377,IF($DD377="No",1,0))/
IF(DP377&gt;INT($N377),$N377-INT($N377),1))*
IF(EH$44=1,DP377,
IF(INT(DP377)=INT(DO377),0,DP377-INT(DP377)))))</f>
        <v>0</v>
      </c>
      <c r="EI377" s="834">
        <f>+IF(DQ377=DP377,0,
IF(AND(EI$44&gt;1,DQ377=$N377),1-SUM($EE377:EH377),
IF($N377&lt;=1,
IF($N377&gt;0,1/$N377,0),
IF(EI$44=1,0,VDB(1,0,$N377,INT(EI$44-1-1),MIN($N377,INT(EI$44-1-1)+1),$DC377,IF($DD377="No",1,0))/
IF(DP377&gt;=INT($N377),$N377-INT($N377),1)))*
IF(EI$44=1,0,
IF(INT(DQ377)=INT(DP377),DQ377-DP377,INT(DQ377)-DP377))+
IF($N377&lt;=1,
IF($N377&gt;0,1/$N377,0),VDB(1,0,$N377,INT(EI$44-1),MIN($N377,INT(EI$44-1)+1),$DC377,IF($DD377="No",1,0))/
IF(DQ377&gt;INT($N377),$N377-INT($N377),1))*
IF(EI$44=1,DQ377,
IF(INT(DQ377)=INT(DP377),0,DQ377-INT(DQ377)))))</f>
        <v>0</v>
      </c>
      <c r="EJ377" s="835">
        <f>+IF(DR377=DQ377,0,
IF(AND(EJ$44&gt;1,DR377=$N377),1-SUM($EE377:EI377),
IF($N377&lt;=1,
IF($N377&gt;0,1/$N377,0),
IF(EJ$44=1,0,VDB(1,0,$N377,INT(EJ$44-1-1),MIN($N377,INT(EJ$44-1-1)+1),$DC377,IF($DD377="No",1,0))/
IF(DQ377&gt;=INT($N377),$N377-INT($N377),1)))*
IF(EJ$44=1,0,
IF(INT(DR377)=INT(DQ377),DR377-DQ377,INT(DR377)-DQ377))+
IF($N377&lt;=1,
IF($N377&gt;0,1/$N377,0),VDB(1,0,$N377,INT(EJ$44-1),MIN($N377,INT(EJ$44-1)+1),$DC377,IF($DD377="No",1,0))/
IF(DR377&gt;INT($N377),$N377-INT($N377),1))*
IF(EJ$44=1,DR377,
IF(INT(DR377)=INT(DQ377),0,DR377-INT(DR377)))))</f>
        <v>0</v>
      </c>
      <c r="EK377" s="835">
        <f>+IF(DS377=DR377,0,
IF(AND(EK$44&gt;1,DS377=$N377),1-SUM($EE377:EJ377),
IF($N377&lt;=1,
IF($N377&gt;0,1/$N377,0),
IF(EK$44=1,0,VDB(1,0,$N377,INT(EK$44-1-1),MIN($N377,INT(EK$44-1-1)+1),$DC377,IF($DD377="No",1,0))/
IF(DR377&gt;=INT($N377),$N377-INT($N377),1)))*
IF(EK$44=1,0,
IF(INT(DS377)=INT(DR377),DS377-DR377,INT(DS377)-DR377))+
IF($N377&lt;=1,
IF($N377&gt;0,1/$N377,0),VDB(1,0,$N377,INT(EK$44-1),MIN($N377,INT(EK$44-1)+1),$DC377,IF($DD377="No",1,0))/
IF(DS377&gt;INT($N377),$N377-INT($N377),1))*
IF(EK$44=1,DS377,
IF(INT(DS377)=INT(DR377),0,DS377-INT(DS377)))))</f>
        <v>0</v>
      </c>
      <c r="EL377" s="835">
        <f>+IF(DT377=DS377,0,
IF(AND(EL$44&gt;1,DT377=$N377),1-SUM($EE377:EK377),
IF($N377&lt;=1,
IF($N377&gt;0,1/$N377,0),
IF(EL$44=1,0,VDB(1,0,$N377,INT(EL$44-1-1),MIN($N377,INT(EL$44-1-1)+1),$DC377,IF($DD377="No",1,0))/
IF(DS377&gt;=INT($N377),$N377-INT($N377),1)))*
IF(EL$44=1,0,
IF(INT(DT377)=INT(DS377),DT377-DS377,INT(DT377)-DS377))+
IF($N377&lt;=1,
IF($N377&gt;0,1/$N377,0),VDB(1,0,$N377,INT(EL$44-1),MIN($N377,INT(EL$44-1)+1),$DC377,IF($DD377="No",1,0))/
IF(DT377&gt;INT($N377),$N377-INT($N377),1))*
IF(EL$44=1,DT377,
IF(INT(DT377)=INT(DS377),0,DT377-INT(DT377)))))</f>
        <v>0</v>
      </c>
      <c r="EM377" s="836">
        <f>+IF(DU377=DT377,0,
IF(AND(EM$44&gt;1,DU377=$N377),1-SUM($EE377:EL377),
IF($N377&lt;=1,
IF($N377&gt;0,1/$N377,0),
IF(EM$44=1,0,VDB(1,0,$N377,INT(EM$44-1-1),MIN($N377,INT(EM$44-1-1)+1),$DC377,IF($DD377="No",1,0))/
IF(DT377&gt;=INT($N377),$N377-INT($N377),1)))*
IF(EM$44=1,0,
IF(INT(DU377)=INT(DT377),DU377-DT377,INT(DU377)-DT377))+
IF($N377&lt;=1,
IF($N377&gt;0,1/$N377,0),VDB(1,0,$N377,INT(EM$44-1),MIN($N377,INT(EM$44-1)+1),$DC377,IF($DD377="No",1,0))/
IF(DU377&gt;INT($N377),$N377-INT($N377),1))*
IF(EM$44=1,DU377,
IF(INT(DU377)=INT(DT377),0,DU377-INT(DU377)))))</f>
        <v>0</v>
      </c>
      <c r="EN377" s="833"/>
      <c r="EO377" s="834">
        <f>+IF(OR(DW377=DV377,EO$44=1),0,
IF(AND(EO$44&gt;1,DW377=$N377),1-SUM($EN377:EN377),
IF($N377&lt;=1,
IF($N377&gt;0,1/$N377,0),
IF(EO$44=2,0,VDB(1,0,$N377,INT(EO$44-2-1),MIN($N377,INT(EO$44-2-1)+1),$DC377,IF($DD377="No",1,0))/
IF(DV377&gt;=INT($N377),$N377-INT($N377),1)))*
IF(EO$44=2,0,
IF(INT(DW377)=INT(DV377),DW377-DV377,INT(DW377)-DV377))+
IF($N377&lt;=1,
IF($N377&gt;0,1/$N377,0),VDB(1,0,$N377,INT(EO$44-2),MIN($N377,INT(EO$44-2)+1),$DC377,IF($DD377="No",1,0))/
IF(DW377&gt;INT($N377),$N377-INT($N377),1))*
IF(EO$44=2,DW377,
IF(INT(DW377)=INT(DV377),0,DW377-INT(DW377)))))</f>
        <v>0</v>
      </c>
      <c r="EP377" s="835">
        <f>+IF(OR(DX377=DW377,EP$44=1),0,
IF(AND(EP$44&gt;1,DX377=$N377),1-SUM($EN377:EO377),
IF($N377&lt;=1,
IF($N377&gt;0,1/$N377,0),
IF(EP$44=2,0,VDB(1,0,$N377,INT(EP$44-2-1),MIN($N377,INT(EP$44-2-1)+1),$DC377,IF($DD377="No",1,0))/
IF(DW377&gt;=INT($N377),$N377-INT($N377),1)))*
IF(EP$44=2,0,
IF(INT(DX377)=INT(DW377),DX377-DW377,INT(DX377)-DW377))+
IF($N377&lt;=1,
IF($N377&gt;0,1/$N377,0),VDB(1,0,$N377,INT(EP$44-2),MIN($N377,INT(EP$44-2)+1),$DC377,IF($DD377="No",1,0))/
IF(DX377&gt;INT($N377),$N377-INT($N377),1))*
IF(EP$44=2,DX377,
IF(INT(DX377)=INT(DW377),0,DX377-INT(DX377)))))</f>
        <v>0</v>
      </c>
      <c r="EQ377" s="836">
        <f>+IF(OR(DY377=DX377,EQ$44=1),0,
IF(AND(EQ$44&gt;1,DY377=$N377),1-SUM($EN377:EP377),
IF($N377&lt;=1,
IF($N377&gt;0,1/$N377,0),
IF(EQ$44=2,0,VDB(1,0,$N377,INT(EQ$44-2-1),MIN($N377,INT(EQ$44-2-1)+1),$DC377,IF($DD377="No",1,0))/
IF(DX377&gt;=INT($N377),$N377-INT($N377),1)))*
IF(EQ$44=2,0,
IF(INT(DY377)=INT(DX377),DY377-DX377,INT(DY377)-DX377))+
IF($N377&lt;=1,
IF($N377&gt;0,1/$N377,0),VDB(1,0,$N377,INT(EQ$44-2),MIN($N377,INT(EQ$44-2)+1),$DC377,IF($DD377="No",1,0))/
IF(DY377&gt;INT($N377),$N377-INT($N377),1))*
IF(EQ$44=2,DY377,
IF(INT(DY377)=INT(DX377),0,DY377-INT(DY377)))))</f>
        <v>0</v>
      </c>
      <c r="ER377" s="834">
        <f>+IF(OR(DZ377=DY377,ER$44=1),0,
IF(AND(ER$44&gt;1,DZ377=$N377),1-SUM($EN377:EQ377),
IF($N377&lt;=1,
IF($N377&gt;0,1/$N377,0),
IF(ER$44=2,0,VDB(1,0,$N377,INT(ER$44-2-1),MIN($N377,INT(ER$44-2-1)+1),$DC377,IF($DD377="No",1,0))/
IF(DY377&gt;=INT($N377),$N377-INT($N377),1)))*
IF(ER$44=2,0,
IF(INT(DZ377)=INT(DY377),DZ377-DY377,INT(DZ377)-DY377))+
IF($N377&lt;=1,
IF($N377&gt;0,1/$N377,0),VDB(1,0,$N377,INT(ER$44-2),MIN($N377,INT(ER$44-2)+1),$DC377,IF($DD377="No",1,0))/
IF(DZ377&gt;INT($N377),$N377-INT($N377),1))*
IF(ER$44=2,DZ377,
IF(INT(DZ377)=INT(DY377),0,DZ377-INT(DZ377)))))</f>
        <v>0</v>
      </c>
      <c r="ES377" s="835">
        <f>+IF(OR(EA377=DZ377,ES$44=1),0,
IF(AND(ES$44&gt;1,EA377=$N377),1-SUM($EN377:ER377),
IF($N377&lt;=1,
IF($N377&gt;0,1/$N377,0),
IF(ES$44=2,0,VDB(1,0,$N377,INT(ES$44-2-1),MIN($N377,INT(ES$44-2-1)+1),$DC377,IF($DD377="No",1,0))/
IF(DZ377&gt;=INT($N377),$N377-INT($N377),1)))*
IF(ES$44=2,0,
IF(INT(EA377)=INT(DZ377),EA377-DZ377,INT(EA377)-DZ377))+
IF($N377&lt;=1,
IF($N377&gt;0,1/$N377,0),VDB(1,0,$N377,INT(ES$44-2),MIN($N377,INT(ES$44-2)+1),$DC377,IF($DD377="No",1,0))/
IF(EA377&gt;INT($N377),$N377-INT($N377),1))*
IF(ES$44=2,EA377,
IF(INT(EA377)=INT(DZ377),0,EA377-INT(EA377)))))</f>
        <v>0</v>
      </c>
      <c r="ET377" s="835">
        <f>+IF(OR(EB377=EA377,ET$44=1),0,
IF(AND(ET$44&gt;1,EB377=$N377),1-SUM($EN377:ES377),
IF($N377&lt;=1,
IF($N377&gt;0,1/$N377,0),
IF(ET$44=2,0,VDB(1,0,$N377,INT(ET$44-2-1),MIN($N377,INT(ET$44-2-1)+1),$DC377,IF($DD377="No",1,0))/
IF(EA377&gt;=INT($N377),$N377-INT($N377),1)))*
IF(ET$44=2,0,
IF(INT(EB377)=INT(EA377),EB377-EA377,INT(EB377)-EA377))+
IF($N377&lt;=1,
IF($N377&gt;0,1/$N377,0),VDB(1,0,$N377,INT(ET$44-2),MIN($N377,INT(ET$44-2)+1),$DC377,IF($DD377="No",1,0))/
IF(EB377&gt;INT($N377),$N377-INT($N377),1))*
IF(ET$44=2,EB377,
IF(INT(EB377)=INT(EA377),0,EB377-INT(EB377)))))</f>
        <v>0</v>
      </c>
      <c r="EU377" s="835">
        <f>+IF(OR(EC377=EB377,EU$44=1),0,
IF(AND(EU$44&gt;1,EC377=$N377),1-SUM($EN377:ET377),
IF($N377&lt;=1,
IF($N377&gt;0,1/$N377,0),
IF(EU$44=2,0,VDB(1,0,$N377,INT(EU$44-2-1),MIN($N377,INT(EU$44-2-1)+1),$DC377,IF($DD377="No",1,0))/
IF(EB377&gt;=INT($N377),$N377-INT($N377),1)))*
IF(EU$44=2,0,
IF(INT(EC377)=INT(EB377),EC377-EB377,INT(EC377)-EB377))+
IF($N377&lt;=1,
IF($N377&gt;0,1/$N377,0),VDB(1,0,$N377,INT(EU$44-2),MIN($N377,INT(EU$44-2)+1),$DC377,IF($DD377="No",1,0))/
IF(EC377&gt;INT($N377),$N377-INT($N377),1))*
IF(EU$44=2,EC377,
IF(INT(EC377)=INT(EB377),0,EC377-INT(EC377)))))</f>
        <v>0</v>
      </c>
      <c r="EV377" s="836">
        <f>+IF(OR(ED377=EC377,EV$44=1),0,
IF(AND(EV$44&gt;1,ED377=$N377),1-SUM($EN377:EU377),
IF($N377&lt;=1,
IF($N377&gt;0,1/$N377,0),
IF(EV$44=2,0,VDB(1,0,$N377,INT(EV$44-2-1),MIN($N377,INT(EV$44-2-1)+1),$DC377,IF($DD377="No",1,0))/
IF(EC377&gt;=INT($N377),$N377-INT($N377),1)))*
IF(EV$44=2,0,
IF(INT(ED377)=INT(EC377),ED377-EC377,INT(ED377)-EC377))+
IF($N377&lt;=1,
IF($N377&gt;0,1/$N377,0),VDB(1,0,$N377,INT(EV$44-2),MIN($N377,INT(EV$44-2)+1),$DC377,IF($DD377="No",1,0))/
IF(ED377&gt;INT($N377),$N377-INT($N377),1))*
IF(EV$44=2,ED377,
IF(INT(ED377)=INT(EC377),0,ED377-INT(ED377)))))</f>
        <v>0</v>
      </c>
      <c r="EW377" s="833"/>
      <c r="EX377" s="834">
        <f t="shared" ref="EX377:FE386" ca="1" si="669">+OFFSET($EO377,0,MAX($EX$44:$HY$44)-EX$44)</f>
        <v>0</v>
      </c>
      <c r="EY377" s="835">
        <f t="shared" ca="1" si="669"/>
        <v>0</v>
      </c>
      <c r="EZ377" s="836">
        <f t="shared" ca="1" si="669"/>
        <v>0</v>
      </c>
      <c r="FA377" s="834">
        <f t="shared" ca="1" si="669"/>
        <v>0</v>
      </c>
      <c r="FB377" s="835">
        <f t="shared" ca="1" si="669"/>
        <v>0</v>
      </c>
      <c r="FC377" s="835">
        <f t="shared" ca="1" si="669"/>
        <v>0</v>
      </c>
      <c r="FD377" s="835">
        <f t="shared" ca="1" si="669"/>
        <v>0</v>
      </c>
      <c r="FE377" s="836">
        <f t="shared" ca="1" si="669"/>
        <v>0</v>
      </c>
      <c r="FG377" s="386">
        <f t="shared" ca="1" si="659"/>
        <v>0</v>
      </c>
      <c r="FH377" s="387">
        <f t="shared" ca="1" si="660"/>
        <v>0</v>
      </c>
      <c r="FI377" s="388">
        <f t="shared" ca="1" si="661"/>
        <v>0</v>
      </c>
      <c r="FJ377" s="386">
        <f t="shared" ca="1" si="662"/>
        <v>0</v>
      </c>
      <c r="FK377" s="387">
        <f t="shared" ca="1" si="663"/>
        <v>0</v>
      </c>
      <c r="FL377" s="387">
        <f t="shared" ca="1" si="664"/>
        <v>0</v>
      </c>
      <c r="FM377" s="387">
        <f t="shared" ca="1" si="665"/>
        <v>0</v>
      </c>
      <c r="FN377" s="388">
        <f t="shared" ca="1" si="666"/>
        <v>0</v>
      </c>
      <c r="FR377" s="116"/>
    </row>
    <row r="378" spans="2:174">
      <c r="B378" s="1410">
        <f t="shared" si="556"/>
        <v>332</v>
      </c>
      <c r="C378" s="400"/>
      <c r="D378" s="410"/>
      <c r="E378" s="402"/>
      <c r="F378" s="402"/>
      <c r="G378" s="400"/>
      <c r="H378" s="2088"/>
      <c r="I378" s="2089"/>
      <c r="J378" s="411"/>
      <c r="K378" s="403"/>
      <c r="L378" s="403"/>
      <c r="M378" s="403"/>
      <c r="N378" s="403"/>
      <c r="O378" s="347"/>
      <c r="P378" s="347"/>
      <c r="Q378" s="1021"/>
      <c r="R378" s="1022"/>
      <c r="S378" s="1022"/>
      <c r="T378" s="1022"/>
      <c r="U378" s="1023"/>
      <c r="V378" s="1021"/>
      <c r="W378" s="1022"/>
      <c r="X378" s="1022"/>
      <c r="Y378" s="1022"/>
      <c r="Z378" s="1023"/>
      <c r="AA378" s="1024"/>
      <c r="AB378" s="1021"/>
      <c r="AC378" s="1022"/>
      <c r="AD378" s="1022"/>
      <c r="AE378" s="1022"/>
      <c r="AF378" s="1023"/>
      <c r="AG378" s="1021"/>
      <c r="AH378" s="1022"/>
      <c r="AI378" s="1022"/>
      <c r="AJ378" s="1022"/>
      <c r="AK378" s="1023"/>
      <c r="AL378" s="1024"/>
      <c r="AM378" s="1021"/>
      <c r="AN378" s="1022"/>
      <c r="AO378" s="1022"/>
      <c r="AP378" s="1022"/>
      <c r="AQ378" s="1023"/>
      <c r="AR378" s="1021"/>
      <c r="AS378" s="1022"/>
      <c r="AT378" s="1022"/>
      <c r="AU378" s="1022"/>
      <c r="AV378" s="1023"/>
      <c r="AW378" s="1025"/>
      <c r="AX378" s="1282">
        <f t="shared" si="635"/>
        <v>0</v>
      </c>
      <c r="AY378" s="387">
        <f t="shared" si="636"/>
        <v>0</v>
      </c>
      <c r="AZ378" s="387">
        <f t="shared" si="637"/>
        <v>0</v>
      </c>
      <c r="BA378" s="387">
        <f t="shared" si="638"/>
        <v>0</v>
      </c>
      <c r="BB378" s="1283">
        <f t="shared" si="639"/>
        <v>0</v>
      </c>
      <c r="BC378" s="386">
        <f t="shared" si="640"/>
        <v>0</v>
      </c>
      <c r="BD378" s="387">
        <f t="shared" si="641"/>
        <v>0</v>
      </c>
      <c r="BE378" s="1277">
        <f t="shared" si="642"/>
        <v>0</v>
      </c>
      <c r="BF378" s="1277">
        <f t="shared" si="642"/>
        <v>0</v>
      </c>
      <c r="BG378" s="388">
        <f t="shared" si="642"/>
        <v>0</v>
      </c>
      <c r="BH378" s="1025"/>
      <c r="BI378" s="1282">
        <f t="shared" ca="1" si="643"/>
        <v>0</v>
      </c>
      <c r="BJ378" s="387">
        <f t="shared" ca="1" si="644"/>
        <v>0</v>
      </c>
      <c r="BK378" s="387">
        <f t="shared" ca="1" si="645"/>
        <v>0</v>
      </c>
      <c r="BL378" s="387">
        <f t="shared" ca="1" si="646"/>
        <v>0</v>
      </c>
      <c r="BM378" s="1283">
        <f t="shared" ca="1" si="647"/>
        <v>0</v>
      </c>
      <c r="BN378" s="386">
        <f t="shared" ca="1" si="648"/>
        <v>0</v>
      </c>
      <c r="BO378" s="387">
        <f t="shared" ca="1" si="648"/>
        <v>0</v>
      </c>
      <c r="BP378" s="1277">
        <f t="shared" ca="1" si="648"/>
        <v>0</v>
      </c>
      <c r="BQ378" s="1277">
        <f t="shared" ca="1" si="648"/>
        <v>0</v>
      </c>
      <c r="BR378" s="388">
        <f t="shared" ca="1" si="648"/>
        <v>0</v>
      </c>
      <c r="BS378" s="1025"/>
      <c r="BT378" s="1282">
        <f>+IF($K378="Ongoing",AX378,IF(RIGHT($K378,2)=RIGHT(BT$43,2),SUM($AX378:AX378),0)+IF(RIGHT(BT$43,2)&gt;RIGHT($K378,2),AX378,0))</f>
        <v>0</v>
      </c>
      <c r="BU378" s="387">
        <f>+IF($K378="Ongoing",AY378,IF(RIGHT($K378,2)=RIGHT(BU$43,2),SUM($AX378:AY378),0)+IF(RIGHT(BU$43,2)&gt;RIGHT($K378,2),AY378,0))</f>
        <v>0</v>
      </c>
      <c r="BV378" s="387">
        <f>+IF($K378="Ongoing",AZ378,IF(RIGHT($K378,2)=RIGHT(BV$43,2),SUM($AX378:AZ378),0)+IF(RIGHT(BV$43,2)&gt;RIGHT($K378,2),AZ378,0))</f>
        <v>0</v>
      </c>
      <c r="BW378" s="387">
        <f>+IF($K378="Ongoing",BA378,IF(RIGHT($K378,2)=RIGHT(BW$43,2),SUM($AX378:BA378),0)+IF(RIGHT(BW$43,2)&gt;RIGHT($K378,2),BA378,0))</f>
        <v>0</v>
      </c>
      <c r="BX378" s="1283">
        <f>+IF($K378="Ongoing",BB378,IF(RIGHT($K378,2)=RIGHT(BX$43,2),SUM($AX378:BB378),0)+IF(RIGHT(BX$43,2)&gt;RIGHT($K378,2),BB378,0))</f>
        <v>0</v>
      </c>
      <c r="BY378" s="386">
        <f>+IF($K378="Ongoing",BC378,IF(RIGHT($K378,2)=RIGHT(BY$43,2),SUM($AX378:BC378),0)+IF(RIGHT(BY$43,2)&gt;RIGHT($K378,2),BC378,0))</f>
        <v>0</v>
      </c>
      <c r="BZ378" s="387">
        <f>+IF($K378="Ongoing",BD378,IF(RIGHT($K378,2)=RIGHT(BZ$43,2),SUM($AX378:BD378),0)+IF(RIGHT(BZ$43,2)&gt;RIGHT($K378,2),BD378,0))</f>
        <v>0</v>
      </c>
      <c r="CA378" s="1277">
        <f>+IF($K378="Ongoing",BE378,IF(RIGHT($K378,2)=RIGHT(CA$43,2),SUM($AX378:BE378),0)+IF(RIGHT(CA$43,2)&gt;RIGHT($K378,2),BE378,0))</f>
        <v>0</v>
      </c>
      <c r="CB378" s="1277">
        <f>+IF($K378="Ongoing",BF378,IF(RIGHT($K378,2)=RIGHT(CB$43,2),SUM($AX378:BF378),0)+IF(RIGHT(CB$43,2)&gt;RIGHT($K378,2),BF378,0))</f>
        <v>0</v>
      </c>
      <c r="CC378" s="388">
        <f>+IF($K378="Ongoing",BG378,IF(RIGHT($K378,2)=RIGHT(CC$43,2),SUM($AX378:BG378),0)+IF(RIGHT(CC$43,2)&gt;RIGHT($K378,2),BG378,0))</f>
        <v>0</v>
      </c>
      <c r="CD378" s="1025"/>
      <c r="CE378" s="1282">
        <f>+Q378*KeyAssumptionsPriceControl_FO!AF$15</f>
        <v>0</v>
      </c>
      <c r="CF378" s="387">
        <f>+R378*KeyAssumptionsPriceControl_FO!AG$15</f>
        <v>0</v>
      </c>
      <c r="CG378" s="387">
        <f>+S378*KeyAssumptionsPriceControl_FO!AH$15</f>
        <v>0</v>
      </c>
      <c r="CH378" s="387">
        <f>+T378*KeyAssumptionsPriceControl_FO!AI$15</f>
        <v>0</v>
      </c>
      <c r="CI378" s="1283">
        <f>+U378*KeyAssumptionsPriceControl_FO!AJ$15</f>
        <v>0</v>
      </c>
      <c r="CJ378" s="386">
        <f>+V378*KeyAssumptionsPriceControl_FO!AK$15</f>
        <v>0</v>
      </c>
      <c r="CK378" s="387">
        <f>+W378*KeyAssumptionsPriceControl_FO!AL$15</f>
        <v>0</v>
      </c>
      <c r="CL378" s="1277">
        <f>+X378*KeyAssumptionsPriceControl_FO!AM$15</f>
        <v>0</v>
      </c>
      <c r="CM378" s="1277">
        <f>+Y378*KeyAssumptionsPriceControl_FO!AN$15</f>
        <v>0</v>
      </c>
      <c r="CN378" s="388">
        <f>+Z378*KeyAssumptionsPriceControl_FO!AO$15</f>
        <v>0</v>
      </c>
      <c r="CO378" s="1025"/>
      <c r="CP378" s="1282">
        <f t="shared" ca="1" si="649"/>
        <v>0</v>
      </c>
      <c r="CQ378" s="387">
        <f t="shared" ca="1" si="650"/>
        <v>0</v>
      </c>
      <c r="CR378" s="387">
        <f t="shared" ca="1" si="651"/>
        <v>0</v>
      </c>
      <c r="CS378" s="387">
        <f t="shared" ca="1" si="652"/>
        <v>0</v>
      </c>
      <c r="CT378" s="1283">
        <f t="shared" ca="1" si="653"/>
        <v>0</v>
      </c>
      <c r="CU378" s="386">
        <f t="shared" ca="1" si="654"/>
        <v>0</v>
      </c>
      <c r="CV378" s="387">
        <f t="shared" ca="1" si="655"/>
        <v>0</v>
      </c>
      <c r="CW378" s="1277">
        <f t="shared" ca="1" si="656"/>
        <v>0</v>
      </c>
      <c r="CX378" s="1277">
        <f t="shared" ca="1" si="657"/>
        <v>0</v>
      </c>
      <c r="CY378" s="388">
        <f t="shared" ca="1" si="658"/>
        <v>0</v>
      </c>
      <c r="CZ378" s="347"/>
      <c r="DA378" s="852"/>
      <c r="DB378" s="347"/>
      <c r="DC378" s="1012" t="s">
        <v>517</v>
      </c>
      <c r="DD378" s="841" t="s">
        <v>518</v>
      </c>
      <c r="DE378" s="386">
        <f>+IF($K378="ongoing",CE378,IF(RIGHT($K378,2)=RIGHT(DE$43,2),SUM($CD378:CE378),0)+IF(RIGHT(DE$43,2)&gt;RIGHT($K378,2),CE378,0))</f>
        <v>0</v>
      </c>
      <c r="DF378" s="387">
        <f>+IF($K378="ongoing",CF378,IF(RIGHT($K378,2)=RIGHT(DF$43,2),SUM($CD378:CF378),0)+IF(RIGHT(DF$43,2)&gt;RIGHT($K378,2),CF378,0))</f>
        <v>0</v>
      </c>
      <c r="DG378" s="388">
        <f>+IF($K378="ongoing",CG378,IF(RIGHT($K378,2)=RIGHT(DG$43,2),SUM($CD378:CG378),0)+IF(RIGHT(DG$43,2)&gt;RIGHT($K378,2),CG378,0))</f>
        <v>0</v>
      </c>
      <c r="DH378" s="386">
        <f>+IF($K378="ongoing",CH378,IF(RIGHT($K378,2)=RIGHT(DH$43,2),SUM($CD378:CH378),0)+IF(RIGHT(DH$43,2)&gt;RIGHT($K378,2),CH378,0))</f>
        <v>0</v>
      </c>
      <c r="DI378" s="387">
        <f>+IF($K378="ongoing",CI378,IF(RIGHT($K378,2)=RIGHT(DI$43,2),SUM($CD378:CI378),0)+IF(RIGHT(DI$43,2)&gt;RIGHT($K378,2),CI378,0))</f>
        <v>0</v>
      </c>
      <c r="DJ378" s="387">
        <f>+IF($K378="ongoing",CJ378,IF(RIGHT($K378,2)=RIGHT(DJ$43,2),SUM($CD378:CJ378),0)+IF(RIGHT(DJ$43,2)&gt;RIGHT($K378,2),CJ378,0))</f>
        <v>0</v>
      </c>
      <c r="DK378" s="387">
        <f>+IF($K378="ongoing",CK378,IF(RIGHT($K378,2)=RIGHT(DK$43,2),SUM($CD378:CK378),0)+IF(RIGHT(DK$43,2)&gt;RIGHT($K378,2),CK378,0))</f>
        <v>0</v>
      </c>
      <c r="DL378" s="388">
        <f>+IF($K378="ongoing",CN378,IF(RIGHT($K378,2)=RIGHT(DL$43,2),SUM($CD378:CN378),0)+IF(RIGHT(DL$43,2)&gt;RIGHT($K378,2),CN378,0))</f>
        <v>0</v>
      </c>
      <c r="DM378" s="841"/>
      <c r="DN378" s="386">
        <f t="shared" si="667"/>
        <v>0.5</v>
      </c>
      <c r="DO378" s="387">
        <f t="shared" si="667"/>
        <v>1</v>
      </c>
      <c r="DP378" s="388">
        <f t="shared" si="667"/>
        <v>1</v>
      </c>
      <c r="DQ378" s="386">
        <f t="shared" si="667"/>
        <v>1</v>
      </c>
      <c r="DR378" s="387">
        <f t="shared" si="667"/>
        <v>1</v>
      </c>
      <c r="DS378" s="387">
        <f t="shared" si="667"/>
        <v>1</v>
      </c>
      <c r="DT378" s="387">
        <f t="shared" si="667"/>
        <v>1</v>
      </c>
      <c r="DU378" s="388">
        <f t="shared" si="667"/>
        <v>1</v>
      </c>
      <c r="DW378" s="386">
        <f t="shared" si="668"/>
        <v>0</v>
      </c>
      <c r="DX378" s="387">
        <f t="shared" si="668"/>
        <v>0.5</v>
      </c>
      <c r="DY378" s="388">
        <f t="shared" si="668"/>
        <v>1</v>
      </c>
      <c r="DZ378" s="386">
        <f t="shared" si="668"/>
        <v>1</v>
      </c>
      <c r="EA378" s="387">
        <f t="shared" si="668"/>
        <v>1</v>
      </c>
      <c r="EB378" s="387">
        <f t="shared" si="668"/>
        <v>1</v>
      </c>
      <c r="EC378" s="387">
        <f t="shared" si="668"/>
        <v>1</v>
      </c>
      <c r="ED378" s="388">
        <f t="shared" si="668"/>
        <v>1</v>
      </c>
      <c r="EF378" s="834">
        <f>+IF(DN378=DM378,0,
IF(AND(EF$44&gt;1,DN378=$N378),1-SUM($EE378:EE378),
IF($N378&lt;=1,
IF($N378&gt;0,1/$N378,0),
IF(EF$44=1,0,VDB(1,0,$N378,INT(EF$44-1-1),MIN($N378,INT(EF$44-1-1)+1),$DC378,IF($DD378="No",1,0))/
IF(DM378&gt;=INT($N378),$N378-INT($N378),1)))*
IF(EF$44=1,0,
IF(INT(DN378)=INT(DM378),DN378-DM378,INT(DN378)-DM378))+
IF($N378&lt;=1,
IF($N378&gt;0,1/$N378,0),VDB(1,0,$N378,INT(EF$44-1),MIN($N378,INT(EF$44-1)+1),$DC378,IF($DD378="No",1,0))/
IF(DN378&gt;INT($N378),$N378-INT($N378),1))*
IF(EF$44=1,DN378,
IF(INT(DN378)=INT(DM378),0,DN378-INT(DN378)))))</f>
        <v>0</v>
      </c>
      <c r="EG378" s="835">
        <f>+IF(DO378=DN378,0,
IF(AND(EG$44&gt;1,DO378=$N378),1-SUM($EE378:EF378),
IF($N378&lt;=1,
IF($N378&gt;0,1/$N378,0),
IF(EG$44=1,0,VDB(1,0,$N378,INT(EG$44-1-1),MIN($N378,INT(EG$44-1-1)+1),$DC378,IF($DD378="No",1,0))/
IF(DN378&gt;=INT($N378),$N378-INT($N378),1)))*
IF(EG$44=1,0,
IF(INT(DO378)=INT(DN378),DO378-DN378,INT(DO378)-DN378))+
IF($N378&lt;=1,
IF($N378&gt;0,1/$N378,0),VDB(1,0,$N378,INT(EG$44-1),MIN($N378,INT(EG$44-1)+1),$DC378,IF($DD378="No",1,0))/
IF(DO378&gt;INT($N378),$N378-INT($N378),1))*
IF(EG$44=1,DO378,
IF(INT(DO378)=INT(DN378),0,DO378-INT(DO378)))))</f>
        <v>0</v>
      </c>
      <c r="EH378" s="836">
        <f>+IF(DP378=DO378,0,
IF(AND(EH$44&gt;1,DP378=$N378),1-SUM($EE378:EG378),
IF($N378&lt;=1,
IF($N378&gt;0,1/$N378,0),
IF(EH$44=1,0,VDB(1,0,$N378,INT(EH$44-1-1),MIN($N378,INT(EH$44-1-1)+1),$DC378,IF($DD378="No",1,0))/
IF(DO378&gt;=INT($N378),$N378-INT($N378),1)))*
IF(EH$44=1,0,
IF(INT(DP378)=INT(DO378),DP378-DO378,INT(DP378)-DO378))+
IF($N378&lt;=1,
IF($N378&gt;0,1/$N378,0),VDB(1,0,$N378,INT(EH$44-1),MIN($N378,INT(EH$44-1)+1),$DC378,IF($DD378="No",1,0))/
IF(DP378&gt;INT($N378),$N378-INT($N378),1))*
IF(EH$44=1,DP378,
IF(INT(DP378)=INT(DO378),0,DP378-INT(DP378)))))</f>
        <v>0</v>
      </c>
      <c r="EI378" s="834">
        <f>+IF(DQ378=DP378,0,
IF(AND(EI$44&gt;1,DQ378=$N378),1-SUM($EE378:EH378),
IF($N378&lt;=1,
IF($N378&gt;0,1/$N378,0),
IF(EI$44=1,0,VDB(1,0,$N378,INT(EI$44-1-1),MIN($N378,INT(EI$44-1-1)+1),$DC378,IF($DD378="No",1,0))/
IF(DP378&gt;=INT($N378),$N378-INT($N378),1)))*
IF(EI$44=1,0,
IF(INT(DQ378)=INT(DP378),DQ378-DP378,INT(DQ378)-DP378))+
IF($N378&lt;=1,
IF($N378&gt;0,1/$N378,0),VDB(1,0,$N378,INT(EI$44-1),MIN($N378,INT(EI$44-1)+1),$DC378,IF($DD378="No",1,0))/
IF(DQ378&gt;INT($N378),$N378-INT($N378),1))*
IF(EI$44=1,DQ378,
IF(INT(DQ378)=INT(DP378),0,DQ378-INT(DQ378)))))</f>
        <v>0</v>
      </c>
      <c r="EJ378" s="835">
        <f>+IF(DR378=DQ378,0,
IF(AND(EJ$44&gt;1,DR378=$N378),1-SUM($EE378:EI378),
IF($N378&lt;=1,
IF($N378&gt;0,1/$N378,0),
IF(EJ$44=1,0,VDB(1,0,$N378,INT(EJ$44-1-1),MIN($N378,INT(EJ$44-1-1)+1),$DC378,IF($DD378="No",1,0))/
IF(DQ378&gt;=INT($N378),$N378-INT($N378),1)))*
IF(EJ$44=1,0,
IF(INT(DR378)=INT(DQ378),DR378-DQ378,INT(DR378)-DQ378))+
IF($N378&lt;=1,
IF($N378&gt;0,1/$N378,0),VDB(1,0,$N378,INT(EJ$44-1),MIN($N378,INT(EJ$44-1)+1),$DC378,IF($DD378="No",1,0))/
IF(DR378&gt;INT($N378),$N378-INT($N378),1))*
IF(EJ$44=1,DR378,
IF(INT(DR378)=INT(DQ378),0,DR378-INT(DR378)))))</f>
        <v>0</v>
      </c>
      <c r="EK378" s="835">
        <f>+IF(DS378=DR378,0,
IF(AND(EK$44&gt;1,DS378=$N378),1-SUM($EE378:EJ378),
IF($N378&lt;=1,
IF($N378&gt;0,1/$N378,0),
IF(EK$44=1,0,VDB(1,0,$N378,INT(EK$44-1-1),MIN($N378,INT(EK$44-1-1)+1),$DC378,IF($DD378="No",1,0))/
IF(DR378&gt;=INT($N378),$N378-INT($N378),1)))*
IF(EK$44=1,0,
IF(INT(DS378)=INT(DR378),DS378-DR378,INT(DS378)-DR378))+
IF($N378&lt;=1,
IF($N378&gt;0,1/$N378,0),VDB(1,0,$N378,INT(EK$44-1),MIN($N378,INT(EK$44-1)+1),$DC378,IF($DD378="No",1,0))/
IF(DS378&gt;INT($N378),$N378-INT($N378),1))*
IF(EK$44=1,DS378,
IF(INT(DS378)=INT(DR378),0,DS378-INT(DS378)))))</f>
        <v>0</v>
      </c>
      <c r="EL378" s="835">
        <f>+IF(DT378=DS378,0,
IF(AND(EL$44&gt;1,DT378=$N378),1-SUM($EE378:EK378),
IF($N378&lt;=1,
IF($N378&gt;0,1/$N378,0),
IF(EL$44=1,0,VDB(1,0,$N378,INT(EL$44-1-1),MIN($N378,INT(EL$44-1-1)+1),$DC378,IF($DD378="No",1,0))/
IF(DS378&gt;=INT($N378),$N378-INT($N378),1)))*
IF(EL$44=1,0,
IF(INT(DT378)=INT(DS378),DT378-DS378,INT(DT378)-DS378))+
IF($N378&lt;=1,
IF($N378&gt;0,1/$N378,0),VDB(1,0,$N378,INT(EL$44-1),MIN($N378,INT(EL$44-1)+1),$DC378,IF($DD378="No",1,0))/
IF(DT378&gt;INT($N378),$N378-INT($N378),1))*
IF(EL$44=1,DT378,
IF(INT(DT378)=INT(DS378),0,DT378-INT(DT378)))))</f>
        <v>0</v>
      </c>
      <c r="EM378" s="836">
        <f>+IF(DU378=DT378,0,
IF(AND(EM$44&gt;1,DU378=$N378),1-SUM($EE378:EL378),
IF($N378&lt;=1,
IF($N378&gt;0,1/$N378,0),
IF(EM$44=1,0,VDB(1,0,$N378,INT(EM$44-1-1),MIN($N378,INT(EM$44-1-1)+1),$DC378,IF($DD378="No",1,0))/
IF(DT378&gt;=INT($N378),$N378-INT($N378),1)))*
IF(EM$44=1,0,
IF(INT(DU378)=INT(DT378),DU378-DT378,INT(DU378)-DT378))+
IF($N378&lt;=1,
IF($N378&gt;0,1/$N378,0),VDB(1,0,$N378,INT(EM$44-1),MIN($N378,INT(EM$44-1)+1),$DC378,IF($DD378="No",1,0))/
IF(DU378&gt;INT($N378),$N378-INT($N378),1))*
IF(EM$44=1,DU378,
IF(INT(DU378)=INT(DT378),0,DU378-INT(DU378)))))</f>
        <v>0</v>
      </c>
      <c r="EN378" s="833"/>
      <c r="EO378" s="834">
        <f>+IF(OR(DW378=DV378,EO$44=1),0,
IF(AND(EO$44&gt;1,DW378=$N378),1-SUM($EN378:EN378),
IF($N378&lt;=1,
IF($N378&gt;0,1/$N378,0),
IF(EO$44=2,0,VDB(1,0,$N378,INT(EO$44-2-1),MIN($N378,INT(EO$44-2-1)+1),$DC378,IF($DD378="No",1,0))/
IF(DV378&gt;=INT($N378),$N378-INT($N378),1)))*
IF(EO$44=2,0,
IF(INT(DW378)=INT(DV378),DW378-DV378,INT(DW378)-DV378))+
IF($N378&lt;=1,
IF($N378&gt;0,1/$N378,0),VDB(1,0,$N378,INT(EO$44-2),MIN($N378,INT(EO$44-2)+1),$DC378,IF($DD378="No",1,0))/
IF(DW378&gt;INT($N378),$N378-INT($N378),1))*
IF(EO$44=2,DW378,
IF(INT(DW378)=INT(DV378),0,DW378-INT(DW378)))))</f>
        <v>0</v>
      </c>
      <c r="EP378" s="835">
        <f>+IF(OR(DX378=DW378,EP$44=1),0,
IF(AND(EP$44&gt;1,DX378=$N378),1-SUM($EN378:EO378),
IF($N378&lt;=1,
IF($N378&gt;0,1/$N378,0),
IF(EP$44=2,0,VDB(1,0,$N378,INT(EP$44-2-1),MIN($N378,INT(EP$44-2-1)+1),$DC378,IF($DD378="No",1,0))/
IF(DW378&gt;=INT($N378),$N378-INT($N378),1)))*
IF(EP$44=2,0,
IF(INT(DX378)=INT(DW378),DX378-DW378,INT(DX378)-DW378))+
IF($N378&lt;=1,
IF($N378&gt;0,1/$N378,0),VDB(1,0,$N378,INT(EP$44-2),MIN($N378,INT(EP$44-2)+1),$DC378,IF($DD378="No",1,0))/
IF(DX378&gt;INT($N378),$N378-INT($N378),1))*
IF(EP$44=2,DX378,
IF(INT(DX378)=INT(DW378),0,DX378-INT(DX378)))))</f>
        <v>0</v>
      </c>
      <c r="EQ378" s="836">
        <f>+IF(OR(DY378=DX378,EQ$44=1),0,
IF(AND(EQ$44&gt;1,DY378=$N378),1-SUM($EN378:EP378),
IF($N378&lt;=1,
IF($N378&gt;0,1/$N378,0),
IF(EQ$44=2,0,VDB(1,0,$N378,INT(EQ$44-2-1),MIN($N378,INT(EQ$44-2-1)+1),$DC378,IF($DD378="No",1,0))/
IF(DX378&gt;=INT($N378),$N378-INT($N378),1)))*
IF(EQ$44=2,0,
IF(INT(DY378)=INT(DX378),DY378-DX378,INT(DY378)-DX378))+
IF($N378&lt;=1,
IF($N378&gt;0,1/$N378,0),VDB(1,0,$N378,INT(EQ$44-2),MIN($N378,INT(EQ$44-2)+1),$DC378,IF($DD378="No",1,0))/
IF(DY378&gt;INT($N378),$N378-INT($N378),1))*
IF(EQ$44=2,DY378,
IF(INT(DY378)=INT(DX378),0,DY378-INT(DY378)))))</f>
        <v>0</v>
      </c>
      <c r="ER378" s="834">
        <f>+IF(OR(DZ378=DY378,ER$44=1),0,
IF(AND(ER$44&gt;1,DZ378=$N378),1-SUM($EN378:EQ378),
IF($N378&lt;=1,
IF($N378&gt;0,1/$N378,0),
IF(ER$44=2,0,VDB(1,0,$N378,INT(ER$44-2-1),MIN($N378,INT(ER$44-2-1)+1),$DC378,IF($DD378="No",1,0))/
IF(DY378&gt;=INT($N378),$N378-INT($N378),1)))*
IF(ER$44=2,0,
IF(INT(DZ378)=INT(DY378),DZ378-DY378,INT(DZ378)-DY378))+
IF($N378&lt;=1,
IF($N378&gt;0,1/$N378,0),VDB(1,0,$N378,INT(ER$44-2),MIN($N378,INT(ER$44-2)+1),$DC378,IF($DD378="No",1,0))/
IF(DZ378&gt;INT($N378),$N378-INT($N378),1))*
IF(ER$44=2,DZ378,
IF(INT(DZ378)=INT(DY378),0,DZ378-INT(DZ378)))))</f>
        <v>0</v>
      </c>
      <c r="ES378" s="835">
        <f>+IF(OR(EA378=DZ378,ES$44=1),0,
IF(AND(ES$44&gt;1,EA378=$N378),1-SUM($EN378:ER378),
IF($N378&lt;=1,
IF($N378&gt;0,1/$N378,0),
IF(ES$44=2,0,VDB(1,0,$N378,INT(ES$44-2-1),MIN($N378,INT(ES$44-2-1)+1),$DC378,IF($DD378="No",1,0))/
IF(DZ378&gt;=INT($N378),$N378-INT($N378),1)))*
IF(ES$44=2,0,
IF(INT(EA378)=INT(DZ378),EA378-DZ378,INT(EA378)-DZ378))+
IF($N378&lt;=1,
IF($N378&gt;0,1/$N378,0),VDB(1,0,$N378,INT(ES$44-2),MIN($N378,INT(ES$44-2)+1),$DC378,IF($DD378="No",1,0))/
IF(EA378&gt;INT($N378),$N378-INT($N378),1))*
IF(ES$44=2,EA378,
IF(INT(EA378)=INT(DZ378),0,EA378-INT(EA378)))))</f>
        <v>0</v>
      </c>
      <c r="ET378" s="835">
        <f>+IF(OR(EB378=EA378,ET$44=1),0,
IF(AND(ET$44&gt;1,EB378=$N378),1-SUM($EN378:ES378),
IF($N378&lt;=1,
IF($N378&gt;0,1/$N378,0),
IF(ET$44=2,0,VDB(1,0,$N378,INT(ET$44-2-1),MIN($N378,INT(ET$44-2-1)+1),$DC378,IF($DD378="No",1,0))/
IF(EA378&gt;=INT($N378),$N378-INT($N378),1)))*
IF(ET$44=2,0,
IF(INT(EB378)=INT(EA378),EB378-EA378,INT(EB378)-EA378))+
IF($N378&lt;=1,
IF($N378&gt;0,1/$N378,0),VDB(1,0,$N378,INT(ET$44-2),MIN($N378,INT(ET$44-2)+1),$DC378,IF($DD378="No",1,0))/
IF(EB378&gt;INT($N378),$N378-INT($N378),1))*
IF(ET$44=2,EB378,
IF(INT(EB378)=INT(EA378),0,EB378-INT(EB378)))))</f>
        <v>0</v>
      </c>
      <c r="EU378" s="835">
        <f>+IF(OR(EC378=EB378,EU$44=1),0,
IF(AND(EU$44&gt;1,EC378=$N378),1-SUM($EN378:ET378),
IF($N378&lt;=1,
IF($N378&gt;0,1/$N378,0),
IF(EU$44=2,0,VDB(1,0,$N378,INT(EU$44-2-1),MIN($N378,INT(EU$44-2-1)+1),$DC378,IF($DD378="No",1,0))/
IF(EB378&gt;=INT($N378),$N378-INT($N378),1)))*
IF(EU$44=2,0,
IF(INT(EC378)=INT(EB378),EC378-EB378,INT(EC378)-EB378))+
IF($N378&lt;=1,
IF($N378&gt;0,1/$N378,0),VDB(1,0,$N378,INT(EU$44-2),MIN($N378,INT(EU$44-2)+1),$DC378,IF($DD378="No",1,0))/
IF(EC378&gt;INT($N378),$N378-INT($N378),1))*
IF(EU$44=2,EC378,
IF(INT(EC378)=INT(EB378),0,EC378-INT(EC378)))))</f>
        <v>0</v>
      </c>
      <c r="EV378" s="836">
        <f>+IF(OR(ED378=EC378,EV$44=1),0,
IF(AND(EV$44&gt;1,ED378=$N378),1-SUM($EN378:EU378),
IF($N378&lt;=1,
IF($N378&gt;0,1/$N378,0),
IF(EV$44=2,0,VDB(1,0,$N378,INT(EV$44-2-1),MIN($N378,INT(EV$44-2-1)+1),$DC378,IF($DD378="No",1,0))/
IF(EC378&gt;=INT($N378),$N378-INT($N378),1)))*
IF(EV$44=2,0,
IF(INT(ED378)=INT(EC378),ED378-EC378,INT(ED378)-EC378))+
IF($N378&lt;=1,
IF($N378&gt;0,1/$N378,0),VDB(1,0,$N378,INT(EV$44-2),MIN($N378,INT(EV$44-2)+1),$DC378,IF($DD378="No",1,0))/
IF(ED378&gt;INT($N378),$N378-INT($N378),1))*
IF(EV$44=2,ED378,
IF(INT(ED378)=INT(EC378),0,ED378-INT(ED378)))))</f>
        <v>0</v>
      </c>
      <c r="EW378" s="833"/>
      <c r="EX378" s="834">
        <f t="shared" ca="1" si="669"/>
        <v>0</v>
      </c>
      <c r="EY378" s="835">
        <f t="shared" ca="1" si="669"/>
        <v>0</v>
      </c>
      <c r="EZ378" s="836">
        <f t="shared" ca="1" si="669"/>
        <v>0</v>
      </c>
      <c r="FA378" s="834">
        <f t="shared" ca="1" si="669"/>
        <v>0</v>
      </c>
      <c r="FB378" s="835">
        <f t="shared" ca="1" si="669"/>
        <v>0</v>
      </c>
      <c r="FC378" s="835">
        <f t="shared" ca="1" si="669"/>
        <v>0</v>
      </c>
      <c r="FD378" s="835">
        <f t="shared" ca="1" si="669"/>
        <v>0</v>
      </c>
      <c r="FE378" s="836">
        <f t="shared" ca="1" si="669"/>
        <v>0</v>
      </c>
      <c r="FG378" s="386">
        <f t="shared" ca="1" si="659"/>
        <v>0</v>
      </c>
      <c r="FH378" s="387">
        <f t="shared" ca="1" si="660"/>
        <v>0</v>
      </c>
      <c r="FI378" s="388">
        <f t="shared" ca="1" si="661"/>
        <v>0</v>
      </c>
      <c r="FJ378" s="386">
        <f t="shared" ca="1" si="662"/>
        <v>0</v>
      </c>
      <c r="FK378" s="387">
        <f t="shared" ca="1" si="663"/>
        <v>0</v>
      </c>
      <c r="FL378" s="387">
        <f t="shared" ca="1" si="664"/>
        <v>0</v>
      </c>
      <c r="FM378" s="387">
        <f t="shared" ca="1" si="665"/>
        <v>0</v>
      </c>
      <c r="FN378" s="388">
        <f t="shared" ca="1" si="666"/>
        <v>0</v>
      </c>
      <c r="FR378" s="116"/>
    </row>
    <row r="379" spans="2:174">
      <c r="B379" s="1410">
        <f t="shared" si="556"/>
        <v>333</v>
      </c>
      <c r="C379" s="400"/>
      <c r="D379" s="410"/>
      <c r="E379" s="402"/>
      <c r="F379" s="402"/>
      <c r="G379" s="400"/>
      <c r="H379" s="2088"/>
      <c r="I379" s="2089"/>
      <c r="J379" s="411"/>
      <c r="K379" s="403"/>
      <c r="L379" s="403"/>
      <c r="M379" s="403"/>
      <c r="N379" s="403"/>
      <c r="O379" s="347"/>
      <c r="P379" s="347"/>
      <c r="Q379" s="1021"/>
      <c r="R379" s="1022"/>
      <c r="S379" s="1022"/>
      <c r="T379" s="1022"/>
      <c r="U379" s="1023"/>
      <c r="V379" s="1021"/>
      <c r="W379" s="1022"/>
      <c r="X379" s="1022"/>
      <c r="Y379" s="1022"/>
      <c r="Z379" s="1023"/>
      <c r="AA379" s="1024"/>
      <c r="AB379" s="1021"/>
      <c r="AC379" s="1022"/>
      <c r="AD379" s="1022"/>
      <c r="AE379" s="1022"/>
      <c r="AF379" s="1023"/>
      <c r="AG379" s="1021"/>
      <c r="AH379" s="1022"/>
      <c r="AI379" s="1022"/>
      <c r="AJ379" s="1022"/>
      <c r="AK379" s="1023"/>
      <c r="AL379" s="1024"/>
      <c r="AM379" s="1021"/>
      <c r="AN379" s="1022"/>
      <c r="AO379" s="1022"/>
      <c r="AP379" s="1022"/>
      <c r="AQ379" s="1023"/>
      <c r="AR379" s="1021"/>
      <c r="AS379" s="1022"/>
      <c r="AT379" s="1022"/>
      <c r="AU379" s="1022"/>
      <c r="AV379" s="1023"/>
      <c r="AW379" s="1025"/>
      <c r="AX379" s="1282">
        <f t="shared" si="635"/>
        <v>0</v>
      </c>
      <c r="AY379" s="387">
        <f t="shared" si="636"/>
        <v>0</v>
      </c>
      <c r="AZ379" s="387">
        <f t="shared" si="637"/>
        <v>0</v>
      </c>
      <c r="BA379" s="387">
        <f t="shared" si="638"/>
        <v>0</v>
      </c>
      <c r="BB379" s="1283">
        <f t="shared" si="639"/>
        <v>0</v>
      </c>
      <c r="BC379" s="386">
        <f t="shared" si="640"/>
        <v>0</v>
      </c>
      <c r="BD379" s="387">
        <f t="shared" si="641"/>
        <v>0</v>
      </c>
      <c r="BE379" s="1277">
        <f t="shared" si="642"/>
        <v>0</v>
      </c>
      <c r="BF379" s="1277">
        <f t="shared" si="642"/>
        <v>0</v>
      </c>
      <c r="BG379" s="388">
        <f t="shared" si="642"/>
        <v>0</v>
      </c>
      <c r="BH379" s="1025"/>
      <c r="BI379" s="1282">
        <f t="shared" ca="1" si="643"/>
        <v>0</v>
      </c>
      <c r="BJ379" s="387">
        <f t="shared" ca="1" si="644"/>
        <v>0</v>
      </c>
      <c r="BK379" s="387">
        <f t="shared" ca="1" si="645"/>
        <v>0</v>
      </c>
      <c r="BL379" s="387">
        <f t="shared" ca="1" si="646"/>
        <v>0</v>
      </c>
      <c r="BM379" s="1283">
        <f t="shared" ca="1" si="647"/>
        <v>0</v>
      </c>
      <c r="BN379" s="386">
        <f t="shared" ca="1" si="648"/>
        <v>0</v>
      </c>
      <c r="BO379" s="387">
        <f t="shared" ca="1" si="648"/>
        <v>0</v>
      </c>
      <c r="BP379" s="1277">
        <f t="shared" ca="1" si="648"/>
        <v>0</v>
      </c>
      <c r="BQ379" s="1277">
        <f t="shared" ca="1" si="648"/>
        <v>0</v>
      </c>
      <c r="BR379" s="388">
        <f t="shared" ca="1" si="648"/>
        <v>0</v>
      </c>
      <c r="BS379" s="1025"/>
      <c r="BT379" s="1282">
        <f>+IF($K379="Ongoing",AX379,IF(RIGHT($K379,2)=RIGHT(BT$43,2),SUM($AX379:AX379),0)+IF(RIGHT(BT$43,2)&gt;RIGHT($K379,2),AX379,0))</f>
        <v>0</v>
      </c>
      <c r="BU379" s="387">
        <f>+IF($K379="Ongoing",AY379,IF(RIGHT($K379,2)=RIGHT(BU$43,2),SUM($AX379:AY379),0)+IF(RIGHT(BU$43,2)&gt;RIGHT($K379,2),AY379,0))</f>
        <v>0</v>
      </c>
      <c r="BV379" s="387">
        <f>+IF($K379="Ongoing",AZ379,IF(RIGHT($K379,2)=RIGHT(BV$43,2),SUM($AX379:AZ379),0)+IF(RIGHT(BV$43,2)&gt;RIGHT($K379,2),AZ379,0))</f>
        <v>0</v>
      </c>
      <c r="BW379" s="387">
        <f>+IF($K379="Ongoing",BA379,IF(RIGHT($K379,2)=RIGHT(BW$43,2),SUM($AX379:BA379),0)+IF(RIGHT(BW$43,2)&gt;RIGHT($K379,2),BA379,0))</f>
        <v>0</v>
      </c>
      <c r="BX379" s="1283">
        <f>+IF($K379="Ongoing",BB379,IF(RIGHT($K379,2)=RIGHT(BX$43,2),SUM($AX379:BB379),0)+IF(RIGHT(BX$43,2)&gt;RIGHT($K379,2),BB379,0))</f>
        <v>0</v>
      </c>
      <c r="BY379" s="386">
        <f>+IF($K379="Ongoing",BC379,IF(RIGHT($K379,2)=RIGHT(BY$43,2),SUM($AX379:BC379),0)+IF(RIGHT(BY$43,2)&gt;RIGHT($K379,2),BC379,0))</f>
        <v>0</v>
      </c>
      <c r="BZ379" s="387">
        <f>+IF($K379="Ongoing",BD379,IF(RIGHT($K379,2)=RIGHT(BZ$43,2),SUM($AX379:BD379),0)+IF(RIGHT(BZ$43,2)&gt;RIGHT($K379,2),BD379,0))</f>
        <v>0</v>
      </c>
      <c r="CA379" s="1277">
        <f>+IF($K379="Ongoing",BE379,IF(RIGHT($K379,2)=RIGHT(CA$43,2),SUM($AX379:BE379),0)+IF(RIGHT(CA$43,2)&gt;RIGHT($K379,2),BE379,0))</f>
        <v>0</v>
      </c>
      <c r="CB379" s="1277">
        <f>+IF($K379="Ongoing",BF379,IF(RIGHT($K379,2)=RIGHT(CB$43,2),SUM($AX379:BF379),0)+IF(RIGHT(CB$43,2)&gt;RIGHT($K379,2),BF379,0))</f>
        <v>0</v>
      </c>
      <c r="CC379" s="388">
        <f>+IF($K379="Ongoing",BG379,IF(RIGHT($K379,2)=RIGHT(CC$43,2),SUM($AX379:BG379),0)+IF(RIGHT(CC$43,2)&gt;RIGHT($K379,2),BG379,0))</f>
        <v>0</v>
      </c>
      <c r="CD379" s="1025"/>
      <c r="CE379" s="1282">
        <f>+Q379*KeyAssumptionsPriceControl_FO!AF$15</f>
        <v>0</v>
      </c>
      <c r="CF379" s="387">
        <f>+R379*KeyAssumptionsPriceControl_FO!AG$15</f>
        <v>0</v>
      </c>
      <c r="CG379" s="387">
        <f>+S379*KeyAssumptionsPriceControl_FO!AH$15</f>
        <v>0</v>
      </c>
      <c r="CH379" s="387">
        <f>+T379*KeyAssumptionsPriceControl_FO!AI$15</f>
        <v>0</v>
      </c>
      <c r="CI379" s="1283">
        <f>+U379*KeyAssumptionsPriceControl_FO!AJ$15</f>
        <v>0</v>
      </c>
      <c r="CJ379" s="386">
        <f>+V379*KeyAssumptionsPriceControl_FO!AK$15</f>
        <v>0</v>
      </c>
      <c r="CK379" s="387">
        <f>+W379*KeyAssumptionsPriceControl_FO!AL$15</f>
        <v>0</v>
      </c>
      <c r="CL379" s="1277">
        <f>+X379*KeyAssumptionsPriceControl_FO!AM$15</f>
        <v>0</v>
      </c>
      <c r="CM379" s="1277">
        <f>+Y379*KeyAssumptionsPriceControl_FO!AN$15</f>
        <v>0</v>
      </c>
      <c r="CN379" s="388">
        <f>+Z379*KeyAssumptionsPriceControl_FO!AO$15</f>
        <v>0</v>
      </c>
      <c r="CO379" s="1025"/>
      <c r="CP379" s="1282">
        <f t="shared" ca="1" si="649"/>
        <v>0</v>
      </c>
      <c r="CQ379" s="387">
        <f t="shared" ca="1" si="650"/>
        <v>0</v>
      </c>
      <c r="CR379" s="387">
        <f t="shared" ca="1" si="651"/>
        <v>0</v>
      </c>
      <c r="CS379" s="387">
        <f t="shared" ca="1" si="652"/>
        <v>0</v>
      </c>
      <c r="CT379" s="1283">
        <f t="shared" ca="1" si="653"/>
        <v>0</v>
      </c>
      <c r="CU379" s="386">
        <f t="shared" ca="1" si="654"/>
        <v>0</v>
      </c>
      <c r="CV379" s="387">
        <f t="shared" ca="1" si="655"/>
        <v>0</v>
      </c>
      <c r="CW379" s="1277">
        <f t="shared" ca="1" si="656"/>
        <v>0</v>
      </c>
      <c r="CX379" s="1277">
        <f t="shared" ca="1" si="657"/>
        <v>0</v>
      </c>
      <c r="CY379" s="388">
        <f t="shared" ca="1" si="658"/>
        <v>0</v>
      </c>
      <c r="CZ379" s="347"/>
      <c r="DA379" s="852"/>
      <c r="DB379" s="347"/>
      <c r="DC379" s="1012" t="s">
        <v>517</v>
      </c>
      <c r="DD379" s="841" t="s">
        <v>518</v>
      </c>
      <c r="DE379" s="386">
        <f>+IF($K379="ongoing",CE379,IF(RIGHT($K379,2)=RIGHT(DE$43,2),SUM($CD379:CE379),0)+IF(RIGHT(DE$43,2)&gt;RIGHT($K379,2),CE379,0))</f>
        <v>0</v>
      </c>
      <c r="DF379" s="387">
        <f>+IF($K379="ongoing",CF379,IF(RIGHT($K379,2)=RIGHT(DF$43,2),SUM($CD379:CF379),0)+IF(RIGHT(DF$43,2)&gt;RIGHT($K379,2),CF379,0))</f>
        <v>0</v>
      </c>
      <c r="DG379" s="388">
        <f>+IF($K379="ongoing",CG379,IF(RIGHT($K379,2)=RIGHT(DG$43,2),SUM($CD379:CG379),0)+IF(RIGHT(DG$43,2)&gt;RIGHT($K379,2),CG379,0))</f>
        <v>0</v>
      </c>
      <c r="DH379" s="386">
        <f>+IF($K379="ongoing",CH379,IF(RIGHT($K379,2)=RIGHT(DH$43,2),SUM($CD379:CH379),0)+IF(RIGHT(DH$43,2)&gt;RIGHT($K379,2),CH379,0))</f>
        <v>0</v>
      </c>
      <c r="DI379" s="387">
        <f>+IF($K379="ongoing",CI379,IF(RIGHT($K379,2)=RIGHT(DI$43,2),SUM($CD379:CI379),0)+IF(RIGHT(DI$43,2)&gt;RIGHT($K379,2),CI379,0))</f>
        <v>0</v>
      </c>
      <c r="DJ379" s="387">
        <f>+IF($K379="ongoing",CJ379,IF(RIGHT($K379,2)=RIGHT(DJ$43,2),SUM($CD379:CJ379),0)+IF(RIGHT(DJ$43,2)&gt;RIGHT($K379,2),CJ379,0))</f>
        <v>0</v>
      </c>
      <c r="DK379" s="387">
        <f>+IF($K379="ongoing",CK379,IF(RIGHT($K379,2)=RIGHT(DK$43,2),SUM($CD379:CK379),0)+IF(RIGHT(DK$43,2)&gt;RIGHT($K379,2),CK379,0))</f>
        <v>0</v>
      </c>
      <c r="DL379" s="388">
        <f>+IF($K379="ongoing",CN379,IF(RIGHT($K379,2)=RIGHT(DL$43,2),SUM($CD379:CN379),0)+IF(RIGHT(DL$43,2)&gt;RIGHT($K379,2),CN379,0))</f>
        <v>0</v>
      </c>
      <c r="DM379" s="841"/>
      <c r="DN379" s="386">
        <f t="shared" si="667"/>
        <v>0.5</v>
      </c>
      <c r="DO379" s="387">
        <f t="shared" si="667"/>
        <v>1</v>
      </c>
      <c r="DP379" s="388">
        <f t="shared" si="667"/>
        <v>1</v>
      </c>
      <c r="DQ379" s="386">
        <f t="shared" si="667"/>
        <v>1</v>
      </c>
      <c r="DR379" s="387">
        <f t="shared" si="667"/>
        <v>1</v>
      </c>
      <c r="DS379" s="387">
        <f t="shared" si="667"/>
        <v>1</v>
      </c>
      <c r="DT379" s="387">
        <f t="shared" si="667"/>
        <v>1</v>
      </c>
      <c r="DU379" s="388">
        <f t="shared" si="667"/>
        <v>1</v>
      </c>
      <c r="DW379" s="386">
        <f t="shared" si="668"/>
        <v>0</v>
      </c>
      <c r="DX379" s="387">
        <f t="shared" si="668"/>
        <v>0.5</v>
      </c>
      <c r="DY379" s="388">
        <f t="shared" si="668"/>
        <v>1</v>
      </c>
      <c r="DZ379" s="386">
        <f t="shared" si="668"/>
        <v>1</v>
      </c>
      <c r="EA379" s="387">
        <f t="shared" si="668"/>
        <v>1</v>
      </c>
      <c r="EB379" s="387">
        <f t="shared" si="668"/>
        <v>1</v>
      </c>
      <c r="EC379" s="387">
        <f t="shared" si="668"/>
        <v>1</v>
      </c>
      <c r="ED379" s="388">
        <f t="shared" si="668"/>
        <v>1</v>
      </c>
      <c r="EF379" s="834">
        <f>+IF(DN379=DM379,0,
IF(AND(EF$44&gt;1,DN379=$N379),1-SUM($EE379:EE379),
IF($N379&lt;=1,
IF($N379&gt;0,1/$N379,0),
IF(EF$44=1,0,VDB(1,0,$N379,INT(EF$44-1-1),MIN($N379,INT(EF$44-1-1)+1),$DC379,IF($DD379="No",1,0))/
IF(DM379&gt;=INT($N379),$N379-INT($N379),1)))*
IF(EF$44=1,0,
IF(INT(DN379)=INT(DM379),DN379-DM379,INT(DN379)-DM379))+
IF($N379&lt;=1,
IF($N379&gt;0,1/$N379,0),VDB(1,0,$N379,INT(EF$44-1),MIN($N379,INT(EF$44-1)+1),$DC379,IF($DD379="No",1,0))/
IF(DN379&gt;INT($N379),$N379-INT($N379),1))*
IF(EF$44=1,DN379,
IF(INT(DN379)=INT(DM379),0,DN379-INT(DN379)))))</f>
        <v>0</v>
      </c>
      <c r="EG379" s="835">
        <f>+IF(DO379=DN379,0,
IF(AND(EG$44&gt;1,DO379=$N379),1-SUM($EE379:EF379),
IF($N379&lt;=1,
IF($N379&gt;0,1/$N379,0),
IF(EG$44=1,0,VDB(1,0,$N379,INT(EG$44-1-1),MIN($N379,INT(EG$44-1-1)+1),$DC379,IF($DD379="No",1,0))/
IF(DN379&gt;=INT($N379),$N379-INT($N379),1)))*
IF(EG$44=1,0,
IF(INT(DO379)=INT(DN379),DO379-DN379,INT(DO379)-DN379))+
IF($N379&lt;=1,
IF($N379&gt;0,1/$N379,0),VDB(1,0,$N379,INT(EG$44-1),MIN($N379,INT(EG$44-1)+1),$DC379,IF($DD379="No",1,0))/
IF(DO379&gt;INT($N379),$N379-INT($N379),1))*
IF(EG$44=1,DO379,
IF(INT(DO379)=INT(DN379),0,DO379-INT(DO379)))))</f>
        <v>0</v>
      </c>
      <c r="EH379" s="836">
        <f>+IF(DP379=DO379,0,
IF(AND(EH$44&gt;1,DP379=$N379),1-SUM($EE379:EG379),
IF($N379&lt;=1,
IF($N379&gt;0,1/$N379,0),
IF(EH$44=1,0,VDB(1,0,$N379,INT(EH$44-1-1),MIN($N379,INT(EH$44-1-1)+1),$DC379,IF($DD379="No",1,0))/
IF(DO379&gt;=INT($N379),$N379-INT($N379),1)))*
IF(EH$44=1,0,
IF(INT(DP379)=INT(DO379),DP379-DO379,INT(DP379)-DO379))+
IF($N379&lt;=1,
IF($N379&gt;0,1/$N379,0),VDB(1,0,$N379,INT(EH$44-1),MIN($N379,INT(EH$44-1)+1),$DC379,IF($DD379="No",1,0))/
IF(DP379&gt;INT($N379),$N379-INT($N379),1))*
IF(EH$44=1,DP379,
IF(INT(DP379)=INT(DO379),0,DP379-INT(DP379)))))</f>
        <v>0</v>
      </c>
      <c r="EI379" s="834">
        <f>+IF(DQ379=DP379,0,
IF(AND(EI$44&gt;1,DQ379=$N379),1-SUM($EE379:EH379),
IF($N379&lt;=1,
IF($N379&gt;0,1/$N379,0),
IF(EI$44=1,0,VDB(1,0,$N379,INT(EI$44-1-1),MIN($N379,INT(EI$44-1-1)+1),$DC379,IF($DD379="No",1,0))/
IF(DP379&gt;=INT($N379),$N379-INT($N379),1)))*
IF(EI$44=1,0,
IF(INT(DQ379)=INT(DP379),DQ379-DP379,INT(DQ379)-DP379))+
IF($N379&lt;=1,
IF($N379&gt;0,1/$N379,0),VDB(1,0,$N379,INT(EI$44-1),MIN($N379,INT(EI$44-1)+1),$DC379,IF($DD379="No",1,0))/
IF(DQ379&gt;INT($N379),$N379-INT($N379),1))*
IF(EI$44=1,DQ379,
IF(INT(DQ379)=INT(DP379),0,DQ379-INT(DQ379)))))</f>
        <v>0</v>
      </c>
      <c r="EJ379" s="835">
        <f>+IF(DR379=DQ379,0,
IF(AND(EJ$44&gt;1,DR379=$N379),1-SUM($EE379:EI379),
IF($N379&lt;=1,
IF($N379&gt;0,1/$N379,0),
IF(EJ$44=1,0,VDB(1,0,$N379,INT(EJ$44-1-1),MIN($N379,INT(EJ$44-1-1)+1),$DC379,IF($DD379="No",1,0))/
IF(DQ379&gt;=INT($N379),$N379-INT($N379),1)))*
IF(EJ$44=1,0,
IF(INT(DR379)=INT(DQ379),DR379-DQ379,INT(DR379)-DQ379))+
IF($N379&lt;=1,
IF($N379&gt;0,1/$N379,0),VDB(1,0,$N379,INT(EJ$44-1),MIN($N379,INT(EJ$44-1)+1),$DC379,IF($DD379="No",1,0))/
IF(DR379&gt;INT($N379),$N379-INT($N379),1))*
IF(EJ$44=1,DR379,
IF(INT(DR379)=INT(DQ379),0,DR379-INT(DR379)))))</f>
        <v>0</v>
      </c>
      <c r="EK379" s="835">
        <f>+IF(DS379=DR379,0,
IF(AND(EK$44&gt;1,DS379=$N379),1-SUM($EE379:EJ379),
IF($N379&lt;=1,
IF($N379&gt;0,1/$N379,0),
IF(EK$44=1,0,VDB(1,0,$N379,INT(EK$44-1-1),MIN($N379,INT(EK$44-1-1)+1),$DC379,IF($DD379="No",1,0))/
IF(DR379&gt;=INT($N379),$N379-INT($N379),1)))*
IF(EK$44=1,0,
IF(INT(DS379)=INT(DR379),DS379-DR379,INT(DS379)-DR379))+
IF($N379&lt;=1,
IF($N379&gt;0,1/$N379,0),VDB(1,0,$N379,INT(EK$44-1),MIN($N379,INT(EK$44-1)+1),$DC379,IF($DD379="No",1,0))/
IF(DS379&gt;INT($N379),$N379-INT($N379),1))*
IF(EK$44=1,DS379,
IF(INT(DS379)=INT(DR379),0,DS379-INT(DS379)))))</f>
        <v>0</v>
      </c>
      <c r="EL379" s="835">
        <f>+IF(DT379=DS379,0,
IF(AND(EL$44&gt;1,DT379=$N379),1-SUM($EE379:EK379),
IF($N379&lt;=1,
IF($N379&gt;0,1/$N379,0),
IF(EL$44=1,0,VDB(1,0,$N379,INT(EL$44-1-1),MIN($N379,INT(EL$44-1-1)+1),$DC379,IF($DD379="No",1,0))/
IF(DS379&gt;=INT($N379),$N379-INT($N379),1)))*
IF(EL$44=1,0,
IF(INT(DT379)=INT(DS379),DT379-DS379,INT(DT379)-DS379))+
IF($N379&lt;=1,
IF($N379&gt;0,1/$N379,0),VDB(1,0,$N379,INT(EL$44-1),MIN($N379,INT(EL$44-1)+1),$DC379,IF($DD379="No",1,0))/
IF(DT379&gt;INT($N379),$N379-INT($N379),1))*
IF(EL$44=1,DT379,
IF(INT(DT379)=INT(DS379),0,DT379-INT(DT379)))))</f>
        <v>0</v>
      </c>
      <c r="EM379" s="836">
        <f>+IF(DU379=DT379,0,
IF(AND(EM$44&gt;1,DU379=$N379),1-SUM($EE379:EL379),
IF($N379&lt;=1,
IF($N379&gt;0,1/$N379,0),
IF(EM$44=1,0,VDB(1,0,$N379,INT(EM$44-1-1),MIN($N379,INT(EM$44-1-1)+1),$DC379,IF($DD379="No",1,0))/
IF(DT379&gt;=INT($N379),$N379-INT($N379),1)))*
IF(EM$44=1,0,
IF(INT(DU379)=INT(DT379),DU379-DT379,INT(DU379)-DT379))+
IF($N379&lt;=1,
IF($N379&gt;0,1/$N379,0),VDB(1,0,$N379,INT(EM$44-1),MIN($N379,INT(EM$44-1)+1),$DC379,IF($DD379="No",1,0))/
IF(DU379&gt;INT($N379),$N379-INT($N379),1))*
IF(EM$44=1,DU379,
IF(INT(DU379)=INT(DT379),0,DU379-INT(DU379)))))</f>
        <v>0</v>
      </c>
      <c r="EN379" s="833"/>
      <c r="EO379" s="834">
        <f>+IF(OR(DW379=DV379,EO$44=1),0,
IF(AND(EO$44&gt;1,DW379=$N379),1-SUM($EN379:EN379),
IF($N379&lt;=1,
IF($N379&gt;0,1/$N379,0),
IF(EO$44=2,0,VDB(1,0,$N379,INT(EO$44-2-1),MIN($N379,INT(EO$44-2-1)+1),$DC379,IF($DD379="No",1,0))/
IF(DV379&gt;=INT($N379),$N379-INT($N379),1)))*
IF(EO$44=2,0,
IF(INT(DW379)=INT(DV379),DW379-DV379,INT(DW379)-DV379))+
IF($N379&lt;=1,
IF($N379&gt;0,1/$N379,0),VDB(1,0,$N379,INT(EO$44-2),MIN($N379,INT(EO$44-2)+1),$DC379,IF($DD379="No",1,0))/
IF(DW379&gt;INT($N379),$N379-INT($N379),1))*
IF(EO$44=2,DW379,
IF(INT(DW379)=INT(DV379),0,DW379-INT(DW379)))))</f>
        <v>0</v>
      </c>
      <c r="EP379" s="835">
        <f>+IF(OR(DX379=DW379,EP$44=1),0,
IF(AND(EP$44&gt;1,DX379=$N379),1-SUM($EN379:EO379),
IF($N379&lt;=1,
IF($N379&gt;0,1/$N379,0),
IF(EP$44=2,0,VDB(1,0,$N379,INT(EP$44-2-1),MIN($N379,INT(EP$44-2-1)+1),$DC379,IF($DD379="No",1,0))/
IF(DW379&gt;=INT($N379),$N379-INT($N379),1)))*
IF(EP$44=2,0,
IF(INT(DX379)=INT(DW379),DX379-DW379,INT(DX379)-DW379))+
IF($N379&lt;=1,
IF($N379&gt;0,1/$N379,0),VDB(1,0,$N379,INT(EP$44-2),MIN($N379,INT(EP$44-2)+1),$DC379,IF($DD379="No",1,0))/
IF(DX379&gt;INT($N379),$N379-INT($N379),1))*
IF(EP$44=2,DX379,
IF(INT(DX379)=INT(DW379),0,DX379-INT(DX379)))))</f>
        <v>0</v>
      </c>
      <c r="EQ379" s="836">
        <f>+IF(OR(DY379=DX379,EQ$44=1),0,
IF(AND(EQ$44&gt;1,DY379=$N379),1-SUM($EN379:EP379),
IF($N379&lt;=1,
IF($N379&gt;0,1/$N379,0),
IF(EQ$44=2,0,VDB(1,0,$N379,INT(EQ$44-2-1),MIN($N379,INT(EQ$44-2-1)+1),$DC379,IF($DD379="No",1,0))/
IF(DX379&gt;=INT($N379),$N379-INT($N379),1)))*
IF(EQ$44=2,0,
IF(INT(DY379)=INT(DX379),DY379-DX379,INT(DY379)-DX379))+
IF($N379&lt;=1,
IF($N379&gt;0,1/$N379,0),VDB(1,0,$N379,INT(EQ$44-2),MIN($N379,INT(EQ$44-2)+1),$DC379,IF($DD379="No",1,0))/
IF(DY379&gt;INT($N379),$N379-INT($N379),1))*
IF(EQ$44=2,DY379,
IF(INT(DY379)=INT(DX379),0,DY379-INT(DY379)))))</f>
        <v>0</v>
      </c>
      <c r="ER379" s="834">
        <f>+IF(OR(DZ379=DY379,ER$44=1),0,
IF(AND(ER$44&gt;1,DZ379=$N379),1-SUM($EN379:EQ379),
IF($N379&lt;=1,
IF($N379&gt;0,1/$N379,0),
IF(ER$44=2,0,VDB(1,0,$N379,INT(ER$44-2-1),MIN($N379,INT(ER$44-2-1)+1),$DC379,IF($DD379="No",1,0))/
IF(DY379&gt;=INT($N379),$N379-INT($N379),1)))*
IF(ER$44=2,0,
IF(INT(DZ379)=INT(DY379),DZ379-DY379,INT(DZ379)-DY379))+
IF($N379&lt;=1,
IF($N379&gt;0,1/$N379,0),VDB(1,0,$N379,INT(ER$44-2),MIN($N379,INT(ER$44-2)+1),$DC379,IF($DD379="No",1,0))/
IF(DZ379&gt;INT($N379),$N379-INT($N379),1))*
IF(ER$44=2,DZ379,
IF(INT(DZ379)=INT(DY379),0,DZ379-INT(DZ379)))))</f>
        <v>0</v>
      </c>
      <c r="ES379" s="835">
        <f>+IF(OR(EA379=DZ379,ES$44=1),0,
IF(AND(ES$44&gt;1,EA379=$N379),1-SUM($EN379:ER379),
IF($N379&lt;=1,
IF($N379&gt;0,1/$N379,0),
IF(ES$44=2,0,VDB(1,0,$N379,INT(ES$44-2-1),MIN($N379,INT(ES$44-2-1)+1),$DC379,IF($DD379="No",1,0))/
IF(DZ379&gt;=INT($N379),$N379-INT($N379),1)))*
IF(ES$44=2,0,
IF(INT(EA379)=INT(DZ379),EA379-DZ379,INT(EA379)-DZ379))+
IF($N379&lt;=1,
IF($N379&gt;0,1/$N379,0),VDB(1,0,$N379,INT(ES$44-2),MIN($N379,INT(ES$44-2)+1),$DC379,IF($DD379="No",1,0))/
IF(EA379&gt;INT($N379),$N379-INT($N379),1))*
IF(ES$44=2,EA379,
IF(INT(EA379)=INT(DZ379),0,EA379-INT(EA379)))))</f>
        <v>0</v>
      </c>
      <c r="ET379" s="835">
        <f>+IF(OR(EB379=EA379,ET$44=1),0,
IF(AND(ET$44&gt;1,EB379=$N379),1-SUM($EN379:ES379),
IF($N379&lt;=1,
IF($N379&gt;0,1/$N379,0),
IF(ET$44=2,0,VDB(1,0,$N379,INT(ET$44-2-1),MIN($N379,INT(ET$44-2-1)+1),$DC379,IF($DD379="No",1,0))/
IF(EA379&gt;=INT($N379),$N379-INT($N379),1)))*
IF(ET$44=2,0,
IF(INT(EB379)=INT(EA379),EB379-EA379,INT(EB379)-EA379))+
IF($N379&lt;=1,
IF($N379&gt;0,1/$N379,0),VDB(1,0,$N379,INT(ET$44-2),MIN($N379,INT(ET$44-2)+1),$DC379,IF($DD379="No",1,0))/
IF(EB379&gt;INT($N379),$N379-INT($N379),1))*
IF(ET$44=2,EB379,
IF(INT(EB379)=INT(EA379),0,EB379-INT(EB379)))))</f>
        <v>0</v>
      </c>
      <c r="EU379" s="835">
        <f>+IF(OR(EC379=EB379,EU$44=1),0,
IF(AND(EU$44&gt;1,EC379=$N379),1-SUM($EN379:ET379),
IF($N379&lt;=1,
IF($N379&gt;0,1/$N379,0),
IF(EU$44=2,0,VDB(1,0,$N379,INT(EU$44-2-1),MIN($N379,INT(EU$44-2-1)+1),$DC379,IF($DD379="No",1,0))/
IF(EB379&gt;=INT($N379),$N379-INT($N379),1)))*
IF(EU$44=2,0,
IF(INT(EC379)=INT(EB379),EC379-EB379,INT(EC379)-EB379))+
IF($N379&lt;=1,
IF($N379&gt;0,1/$N379,0),VDB(1,0,$N379,INT(EU$44-2),MIN($N379,INT(EU$44-2)+1),$DC379,IF($DD379="No",1,0))/
IF(EC379&gt;INT($N379),$N379-INT($N379),1))*
IF(EU$44=2,EC379,
IF(INT(EC379)=INT(EB379),0,EC379-INT(EC379)))))</f>
        <v>0</v>
      </c>
      <c r="EV379" s="836">
        <f>+IF(OR(ED379=EC379,EV$44=1),0,
IF(AND(EV$44&gt;1,ED379=$N379),1-SUM($EN379:EU379),
IF($N379&lt;=1,
IF($N379&gt;0,1/$N379,0),
IF(EV$44=2,0,VDB(1,0,$N379,INT(EV$44-2-1),MIN($N379,INT(EV$44-2-1)+1),$DC379,IF($DD379="No",1,0))/
IF(EC379&gt;=INT($N379),$N379-INT($N379),1)))*
IF(EV$44=2,0,
IF(INT(ED379)=INT(EC379),ED379-EC379,INT(ED379)-EC379))+
IF($N379&lt;=1,
IF($N379&gt;0,1/$N379,0),VDB(1,0,$N379,INT(EV$44-2),MIN($N379,INT(EV$44-2)+1),$DC379,IF($DD379="No",1,0))/
IF(ED379&gt;INT($N379),$N379-INT($N379),1))*
IF(EV$44=2,ED379,
IF(INT(ED379)=INT(EC379),0,ED379-INT(ED379)))))</f>
        <v>0</v>
      </c>
      <c r="EW379" s="833"/>
      <c r="EX379" s="834">
        <f t="shared" ca="1" si="669"/>
        <v>0</v>
      </c>
      <c r="EY379" s="835">
        <f t="shared" ca="1" si="669"/>
        <v>0</v>
      </c>
      <c r="EZ379" s="836">
        <f t="shared" ca="1" si="669"/>
        <v>0</v>
      </c>
      <c r="FA379" s="834">
        <f t="shared" ca="1" si="669"/>
        <v>0</v>
      </c>
      <c r="FB379" s="835">
        <f t="shared" ca="1" si="669"/>
        <v>0</v>
      </c>
      <c r="FC379" s="835">
        <f t="shared" ca="1" si="669"/>
        <v>0</v>
      </c>
      <c r="FD379" s="835">
        <f t="shared" ca="1" si="669"/>
        <v>0</v>
      </c>
      <c r="FE379" s="836">
        <f t="shared" ca="1" si="669"/>
        <v>0</v>
      </c>
      <c r="FG379" s="386">
        <f t="shared" ca="1" si="659"/>
        <v>0</v>
      </c>
      <c r="FH379" s="387">
        <f t="shared" ca="1" si="660"/>
        <v>0</v>
      </c>
      <c r="FI379" s="388">
        <f t="shared" ca="1" si="661"/>
        <v>0</v>
      </c>
      <c r="FJ379" s="386">
        <f t="shared" ca="1" si="662"/>
        <v>0</v>
      </c>
      <c r="FK379" s="387">
        <f t="shared" ca="1" si="663"/>
        <v>0</v>
      </c>
      <c r="FL379" s="387">
        <f t="shared" ca="1" si="664"/>
        <v>0</v>
      </c>
      <c r="FM379" s="387">
        <f t="shared" ca="1" si="665"/>
        <v>0</v>
      </c>
      <c r="FN379" s="388">
        <f t="shared" ca="1" si="666"/>
        <v>0</v>
      </c>
      <c r="FR379" s="116"/>
    </row>
    <row r="380" spans="2:174">
      <c r="B380" s="1410">
        <f t="shared" si="556"/>
        <v>334</v>
      </c>
      <c r="C380" s="400"/>
      <c r="D380" s="410"/>
      <c r="E380" s="402"/>
      <c r="F380" s="402"/>
      <c r="G380" s="400"/>
      <c r="H380" s="2088"/>
      <c r="I380" s="2089"/>
      <c r="J380" s="411"/>
      <c r="K380" s="403"/>
      <c r="L380" s="403"/>
      <c r="M380" s="403"/>
      <c r="N380" s="403"/>
      <c r="O380" s="347"/>
      <c r="P380" s="347"/>
      <c r="Q380" s="1021"/>
      <c r="R380" s="1022"/>
      <c r="S380" s="1022"/>
      <c r="T380" s="1022"/>
      <c r="U380" s="1023"/>
      <c r="V380" s="1021"/>
      <c r="W380" s="1022"/>
      <c r="X380" s="1022"/>
      <c r="Y380" s="1022"/>
      <c r="Z380" s="1023"/>
      <c r="AA380" s="1024"/>
      <c r="AB380" s="1021"/>
      <c r="AC380" s="1022"/>
      <c r="AD380" s="1022"/>
      <c r="AE380" s="1022"/>
      <c r="AF380" s="1023"/>
      <c r="AG380" s="1021"/>
      <c r="AH380" s="1022"/>
      <c r="AI380" s="1022"/>
      <c r="AJ380" s="1022"/>
      <c r="AK380" s="1023"/>
      <c r="AL380" s="1024"/>
      <c r="AM380" s="1021"/>
      <c r="AN380" s="1022"/>
      <c r="AO380" s="1022"/>
      <c r="AP380" s="1022"/>
      <c r="AQ380" s="1023"/>
      <c r="AR380" s="1021"/>
      <c r="AS380" s="1022"/>
      <c r="AT380" s="1022"/>
      <c r="AU380" s="1022"/>
      <c r="AV380" s="1023"/>
      <c r="AW380" s="1025"/>
      <c r="AX380" s="1282">
        <f t="shared" si="635"/>
        <v>0</v>
      </c>
      <c r="AY380" s="387">
        <f t="shared" si="636"/>
        <v>0</v>
      </c>
      <c r="AZ380" s="387">
        <f t="shared" si="637"/>
        <v>0</v>
      </c>
      <c r="BA380" s="387">
        <f t="shared" si="638"/>
        <v>0</v>
      </c>
      <c r="BB380" s="1283">
        <f t="shared" si="639"/>
        <v>0</v>
      </c>
      <c r="BC380" s="386">
        <f t="shared" si="640"/>
        <v>0</v>
      </c>
      <c r="BD380" s="387">
        <f t="shared" si="641"/>
        <v>0</v>
      </c>
      <c r="BE380" s="1277">
        <f t="shared" si="642"/>
        <v>0</v>
      </c>
      <c r="BF380" s="1277">
        <f t="shared" si="642"/>
        <v>0</v>
      </c>
      <c r="BG380" s="388">
        <f t="shared" si="642"/>
        <v>0</v>
      </c>
      <c r="BH380" s="1025"/>
      <c r="BI380" s="1282">
        <f t="shared" ca="1" si="643"/>
        <v>0</v>
      </c>
      <c r="BJ380" s="387">
        <f t="shared" ca="1" si="644"/>
        <v>0</v>
      </c>
      <c r="BK380" s="387">
        <f t="shared" ca="1" si="645"/>
        <v>0</v>
      </c>
      <c r="BL380" s="387">
        <f t="shared" ca="1" si="646"/>
        <v>0</v>
      </c>
      <c r="BM380" s="1283">
        <f t="shared" ca="1" si="647"/>
        <v>0</v>
      </c>
      <c r="BN380" s="386">
        <f t="shared" ca="1" si="648"/>
        <v>0</v>
      </c>
      <c r="BO380" s="387">
        <f t="shared" ca="1" si="648"/>
        <v>0</v>
      </c>
      <c r="BP380" s="1277">
        <f t="shared" ca="1" si="648"/>
        <v>0</v>
      </c>
      <c r="BQ380" s="1277">
        <f t="shared" ca="1" si="648"/>
        <v>0</v>
      </c>
      <c r="BR380" s="388">
        <f t="shared" ca="1" si="648"/>
        <v>0</v>
      </c>
      <c r="BS380" s="1025"/>
      <c r="BT380" s="1282">
        <f>+IF($K380="Ongoing",AX380,IF(RIGHT($K380,2)=RIGHT(BT$43,2),SUM($AX380:AX380),0)+IF(RIGHT(BT$43,2)&gt;RIGHT($K380,2),AX380,0))</f>
        <v>0</v>
      </c>
      <c r="BU380" s="387">
        <f>+IF($K380="Ongoing",AY380,IF(RIGHT($K380,2)=RIGHT(BU$43,2),SUM($AX380:AY380),0)+IF(RIGHT(BU$43,2)&gt;RIGHT($K380,2),AY380,0))</f>
        <v>0</v>
      </c>
      <c r="BV380" s="387">
        <f>+IF($K380="Ongoing",AZ380,IF(RIGHT($K380,2)=RIGHT(BV$43,2),SUM($AX380:AZ380),0)+IF(RIGHT(BV$43,2)&gt;RIGHT($K380,2),AZ380,0))</f>
        <v>0</v>
      </c>
      <c r="BW380" s="387">
        <f>+IF($K380="Ongoing",BA380,IF(RIGHT($K380,2)=RIGHT(BW$43,2),SUM($AX380:BA380),0)+IF(RIGHT(BW$43,2)&gt;RIGHT($K380,2),BA380,0))</f>
        <v>0</v>
      </c>
      <c r="BX380" s="1283">
        <f>+IF($K380="Ongoing",BB380,IF(RIGHT($K380,2)=RIGHT(BX$43,2),SUM($AX380:BB380),0)+IF(RIGHT(BX$43,2)&gt;RIGHT($K380,2),BB380,0))</f>
        <v>0</v>
      </c>
      <c r="BY380" s="386">
        <f>+IF($K380="Ongoing",BC380,IF(RIGHT($K380,2)=RIGHT(BY$43,2),SUM($AX380:BC380),0)+IF(RIGHT(BY$43,2)&gt;RIGHT($K380,2),BC380,0))</f>
        <v>0</v>
      </c>
      <c r="BZ380" s="387">
        <f>+IF($K380="Ongoing",BD380,IF(RIGHT($K380,2)=RIGHT(BZ$43,2),SUM($AX380:BD380),0)+IF(RIGHT(BZ$43,2)&gt;RIGHT($K380,2),BD380,0))</f>
        <v>0</v>
      </c>
      <c r="CA380" s="1277">
        <f>+IF($K380="Ongoing",BE380,IF(RIGHT($K380,2)=RIGHT(CA$43,2),SUM($AX380:BE380),0)+IF(RIGHT(CA$43,2)&gt;RIGHT($K380,2),BE380,0))</f>
        <v>0</v>
      </c>
      <c r="CB380" s="1277">
        <f>+IF($K380="Ongoing",BF380,IF(RIGHT($K380,2)=RIGHT(CB$43,2),SUM($AX380:BF380),0)+IF(RIGHT(CB$43,2)&gt;RIGHT($K380,2),BF380,0))</f>
        <v>0</v>
      </c>
      <c r="CC380" s="388">
        <f>+IF($K380="Ongoing",BG380,IF(RIGHT($K380,2)=RIGHT(CC$43,2),SUM($AX380:BG380),0)+IF(RIGHT(CC$43,2)&gt;RIGHT($K380,2),BG380,0))</f>
        <v>0</v>
      </c>
      <c r="CD380" s="1025"/>
      <c r="CE380" s="1282">
        <f>+Q380*KeyAssumptionsPriceControl_FO!AF$15</f>
        <v>0</v>
      </c>
      <c r="CF380" s="387">
        <f>+R380*KeyAssumptionsPriceControl_FO!AG$15</f>
        <v>0</v>
      </c>
      <c r="CG380" s="387">
        <f>+S380*KeyAssumptionsPriceControl_FO!AH$15</f>
        <v>0</v>
      </c>
      <c r="CH380" s="387">
        <f>+T380*KeyAssumptionsPriceControl_FO!AI$15</f>
        <v>0</v>
      </c>
      <c r="CI380" s="1283">
        <f>+U380*KeyAssumptionsPriceControl_FO!AJ$15</f>
        <v>0</v>
      </c>
      <c r="CJ380" s="386">
        <f>+V380*KeyAssumptionsPriceControl_FO!AK$15</f>
        <v>0</v>
      </c>
      <c r="CK380" s="387">
        <f>+W380*KeyAssumptionsPriceControl_FO!AL$15</f>
        <v>0</v>
      </c>
      <c r="CL380" s="1277">
        <f>+X380*KeyAssumptionsPriceControl_FO!AM$15</f>
        <v>0</v>
      </c>
      <c r="CM380" s="1277">
        <f>+Y380*KeyAssumptionsPriceControl_FO!AN$15</f>
        <v>0</v>
      </c>
      <c r="CN380" s="388">
        <f>+Z380*KeyAssumptionsPriceControl_FO!AO$15</f>
        <v>0</v>
      </c>
      <c r="CO380" s="1025"/>
      <c r="CP380" s="1282">
        <f t="shared" ca="1" si="649"/>
        <v>0</v>
      </c>
      <c r="CQ380" s="387">
        <f t="shared" ca="1" si="650"/>
        <v>0</v>
      </c>
      <c r="CR380" s="387">
        <f t="shared" ca="1" si="651"/>
        <v>0</v>
      </c>
      <c r="CS380" s="387">
        <f t="shared" ca="1" si="652"/>
        <v>0</v>
      </c>
      <c r="CT380" s="1283">
        <f t="shared" ca="1" si="653"/>
        <v>0</v>
      </c>
      <c r="CU380" s="386">
        <f t="shared" ca="1" si="654"/>
        <v>0</v>
      </c>
      <c r="CV380" s="387">
        <f t="shared" ca="1" si="655"/>
        <v>0</v>
      </c>
      <c r="CW380" s="1277">
        <f t="shared" ca="1" si="656"/>
        <v>0</v>
      </c>
      <c r="CX380" s="1277">
        <f t="shared" ca="1" si="657"/>
        <v>0</v>
      </c>
      <c r="CY380" s="388">
        <f t="shared" ca="1" si="658"/>
        <v>0</v>
      </c>
      <c r="CZ380" s="347"/>
      <c r="DA380" s="852"/>
      <c r="DB380" s="347"/>
      <c r="DC380" s="1012" t="s">
        <v>517</v>
      </c>
      <c r="DD380" s="841" t="s">
        <v>518</v>
      </c>
      <c r="DE380" s="386">
        <f>+IF($K380="ongoing",CE380,IF(RIGHT($K380,2)=RIGHT(DE$43,2),SUM($CD380:CE380),0)+IF(RIGHT(DE$43,2)&gt;RIGHT($K380,2),CE380,0))</f>
        <v>0</v>
      </c>
      <c r="DF380" s="387">
        <f>+IF($K380="ongoing",CF380,IF(RIGHT($K380,2)=RIGHT(DF$43,2),SUM($CD380:CF380),0)+IF(RIGHT(DF$43,2)&gt;RIGHT($K380,2),CF380,0))</f>
        <v>0</v>
      </c>
      <c r="DG380" s="388">
        <f>+IF($K380="ongoing",CG380,IF(RIGHT($K380,2)=RIGHT(DG$43,2),SUM($CD380:CG380),0)+IF(RIGHT(DG$43,2)&gt;RIGHT($K380,2),CG380,0))</f>
        <v>0</v>
      </c>
      <c r="DH380" s="386">
        <f>+IF($K380="ongoing",CH380,IF(RIGHT($K380,2)=RIGHT(DH$43,2),SUM($CD380:CH380),0)+IF(RIGHT(DH$43,2)&gt;RIGHT($K380,2),CH380,0))</f>
        <v>0</v>
      </c>
      <c r="DI380" s="387">
        <f>+IF($K380="ongoing",CI380,IF(RIGHT($K380,2)=RIGHT(DI$43,2),SUM($CD380:CI380),0)+IF(RIGHT(DI$43,2)&gt;RIGHT($K380,2),CI380,0))</f>
        <v>0</v>
      </c>
      <c r="DJ380" s="387">
        <f>+IF($K380="ongoing",CJ380,IF(RIGHT($K380,2)=RIGHT(DJ$43,2),SUM($CD380:CJ380),0)+IF(RIGHT(DJ$43,2)&gt;RIGHT($K380,2),CJ380,0))</f>
        <v>0</v>
      </c>
      <c r="DK380" s="387">
        <f>+IF($K380="ongoing",CK380,IF(RIGHT($K380,2)=RIGHT(DK$43,2),SUM($CD380:CK380),0)+IF(RIGHT(DK$43,2)&gt;RIGHT($K380,2),CK380,0))</f>
        <v>0</v>
      </c>
      <c r="DL380" s="388">
        <f>+IF($K380="ongoing",CN380,IF(RIGHT($K380,2)=RIGHT(DL$43,2),SUM($CD380:CN380),0)+IF(RIGHT(DL$43,2)&gt;RIGHT($K380,2),CN380,0))</f>
        <v>0</v>
      </c>
      <c r="DM380" s="841"/>
      <c r="DN380" s="386">
        <f t="shared" si="667"/>
        <v>0.5</v>
      </c>
      <c r="DO380" s="387">
        <f t="shared" si="667"/>
        <v>1</v>
      </c>
      <c r="DP380" s="388">
        <f t="shared" si="667"/>
        <v>1</v>
      </c>
      <c r="DQ380" s="386">
        <f t="shared" si="667"/>
        <v>1</v>
      </c>
      <c r="DR380" s="387">
        <f t="shared" si="667"/>
        <v>1</v>
      </c>
      <c r="DS380" s="387">
        <f t="shared" si="667"/>
        <v>1</v>
      </c>
      <c r="DT380" s="387">
        <f t="shared" si="667"/>
        <v>1</v>
      </c>
      <c r="DU380" s="388">
        <f t="shared" si="667"/>
        <v>1</v>
      </c>
      <c r="DW380" s="386">
        <f t="shared" si="668"/>
        <v>0</v>
      </c>
      <c r="DX380" s="387">
        <f t="shared" si="668"/>
        <v>0.5</v>
      </c>
      <c r="DY380" s="388">
        <f t="shared" si="668"/>
        <v>1</v>
      </c>
      <c r="DZ380" s="386">
        <f t="shared" si="668"/>
        <v>1</v>
      </c>
      <c r="EA380" s="387">
        <f t="shared" si="668"/>
        <v>1</v>
      </c>
      <c r="EB380" s="387">
        <f t="shared" si="668"/>
        <v>1</v>
      </c>
      <c r="EC380" s="387">
        <f t="shared" si="668"/>
        <v>1</v>
      </c>
      <c r="ED380" s="388">
        <f t="shared" si="668"/>
        <v>1</v>
      </c>
      <c r="EF380" s="834">
        <f>+IF(DN380=DM380,0,
IF(AND(EF$44&gt;1,DN380=$N380),1-SUM($EE380:EE380),
IF($N380&lt;=1,
IF($N380&gt;0,1/$N380,0),
IF(EF$44=1,0,VDB(1,0,$N380,INT(EF$44-1-1),MIN($N380,INT(EF$44-1-1)+1),$DC380,IF($DD380="No",1,0))/
IF(DM380&gt;=INT($N380),$N380-INT($N380),1)))*
IF(EF$44=1,0,
IF(INT(DN380)=INT(DM380),DN380-DM380,INT(DN380)-DM380))+
IF($N380&lt;=1,
IF($N380&gt;0,1/$N380,0),VDB(1,0,$N380,INT(EF$44-1),MIN($N380,INT(EF$44-1)+1),$DC380,IF($DD380="No",1,0))/
IF(DN380&gt;INT($N380),$N380-INT($N380),1))*
IF(EF$44=1,DN380,
IF(INT(DN380)=INT(DM380),0,DN380-INT(DN380)))))</f>
        <v>0</v>
      </c>
      <c r="EG380" s="835">
        <f>+IF(DO380=DN380,0,
IF(AND(EG$44&gt;1,DO380=$N380),1-SUM($EE380:EF380),
IF($N380&lt;=1,
IF($N380&gt;0,1/$N380,0),
IF(EG$44=1,0,VDB(1,0,$N380,INT(EG$44-1-1),MIN($N380,INT(EG$44-1-1)+1),$DC380,IF($DD380="No",1,0))/
IF(DN380&gt;=INT($N380),$N380-INT($N380),1)))*
IF(EG$44=1,0,
IF(INT(DO380)=INT(DN380),DO380-DN380,INT(DO380)-DN380))+
IF($N380&lt;=1,
IF($N380&gt;0,1/$N380,0),VDB(1,0,$N380,INT(EG$44-1),MIN($N380,INT(EG$44-1)+1),$DC380,IF($DD380="No",1,0))/
IF(DO380&gt;INT($N380),$N380-INT($N380),1))*
IF(EG$44=1,DO380,
IF(INT(DO380)=INT(DN380),0,DO380-INT(DO380)))))</f>
        <v>0</v>
      </c>
      <c r="EH380" s="836">
        <f>+IF(DP380=DO380,0,
IF(AND(EH$44&gt;1,DP380=$N380),1-SUM($EE380:EG380),
IF($N380&lt;=1,
IF($N380&gt;0,1/$N380,0),
IF(EH$44=1,0,VDB(1,0,$N380,INT(EH$44-1-1),MIN($N380,INT(EH$44-1-1)+1),$DC380,IF($DD380="No",1,0))/
IF(DO380&gt;=INT($N380),$N380-INT($N380),1)))*
IF(EH$44=1,0,
IF(INT(DP380)=INT(DO380),DP380-DO380,INT(DP380)-DO380))+
IF($N380&lt;=1,
IF($N380&gt;0,1/$N380,0),VDB(1,0,$N380,INT(EH$44-1),MIN($N380,INT(EH$44-1)+1),$DC380,IF($DD380="No",1,0))/
IF(DP380&gt;INT($N380),$N380-INT($N380),1))*
IF(EH$44=1,DP380,
IF(INT(DP380)=INT(DO380),0,DP380-INT(DP380)))))</f>
        <v>0</v>
      </c>
      <c r="EI380" s="834">
        <f>+IF(DQ380=DP380,0,
IF(AND(EI$44&gt;1,DQ380=$N380),1-SUM($EE380:EH380),
IF($N380&lt;=1,
IF($N380&gt;0,1/$N380,0),
IF(EI$44=1,0,VDB(1,0,$N380,INT(EI$44-1-1),MIN($N380,INT(EI$44-1-1)+1),$DC380,IF($DD380="No",1,0))/
IF(DP380&gt;=INT($N380),$N380-INT($N380),1)))*
IF(EI$44=1,0,
IF(INT(DQ380)=INT(DP380),DQ380-DP380,INT(DQ380)-DP380))+
IF($N380&lt;=1,
IF($N380&gt;0,1/$N380,0),VDB(1,0,$N380,INT(EI$44-1),MIN($N380,INT(EI$44-1)+1),$DC380,IF($DD380="No",1,0))/
IF(DQ380&gt;INT($N380),$N380-INT($N380),1))*
IF(EI$44=1,DQ380,
IF(INT(DQ380)=INT(DP380),0,DQ380-INT(DQ380)))))</f>
        <v>0</v>
      </c>
      <c r="EJ380" s="835">
        <f>+IF(DR380=DQ380,0,
IF(AND(EJ$44&gt;1,DR380=$N380),1-SUM($EE380:EI380),
IF($N380&lt;=1,
IF($N380&gt;0,1/$N380,0),
IF(EJ$44=1,0,VDB(1,0,$N380,INT(EJ$44-1-1),MIN($N380,INT(EJ$44-1-1)+1),$DC380,IF($DD380="No",1,0))/
IF(DQ380&gt;=INT($N380),$N380-INT($N380),1)))*
IF(EJ$44=1,0,
IF(INT(DR380)=INT(DQ380),DR380-DQ380,INT(DR380)-DQ380))+
IF($N380&lt;=1,
IF($N380&gt;0,1/$N380,0),VDB(1,0,$N380,INT(EJ$44-1),MIN($N380,INT(EJ$44-1)+1),$DC380,IF($DD380="No",1,0))/
IF(DR380&gt;INT($N380),$N380-INT($N380),1))*
IF(EJ$44=1,DR380,
IF(INT(DR380)=INT(DQ380),0,DR380-INT(DR380)))))</f>
        <v>0</v>
      </c>
      <c r="EK380" s="835">
        <f>+IF(DS380=DR380,0,
IF(AND(EK$44&gt;1,DS380=$N380),1-SUM($EE380:EJ380),
IF($N380&lt;=1,
IF($N380&gt;0,1/$N380,0),
IF(EK$44=1,0,VDB(1,0,$N380,INT(EK$44-1-1),MIN($N380,INT(EK$44-1-1)+1),$DC380,IF($DD380="No",1,0))/
IF(DR380&gt;=INT($N380),$N380-INT($N380),1)))*
IF(EK$44=1,0,
IF(INT(DS380)=INT(DR380),DS380-DR380,INT(DS380)-DR380))+
IF($N380&lt;=1,
IF($N380&gt;0,1/$N380,0),VDB(1,0,$N380,INT(EK$44-1),MIN($N380,INT(EK$44-1)+1),$DC380,IF($DD380="No",1,0))/
IF(DS380&gt;INT($N380),$N380-INT($N380),1))*
IF(EK$44=1,DS380,
IF(INT(DS380)=INT(DR380),0,DS380-INT(DS380)))))</f>
        <v>0</v>
      </c>
      <c r="EL380" s="835">
        <f>+IF(DT380=DS380,0,
IF(AND(EL$44&gt;1,DT380=$N380),1-SUM($EE380:EK380),
IF($N380&lt;=1,
IF($N380&gt;0,1/$N380,0),
IF(EL$44=1,0,VDB(1,0,$N380,INT(EL$44-1-1),MIN($N380,INT(EL$44-1-1)+1),$DC380,IF($DD380="No",1,0))/
IF(DS380&gt;=INT($N380),$N380-INT($N380),1)))*
IF(EL$44=1,0,
IF(INT(DT380)=INT(DS380),DT380-DS380,INT(DT380)-DS380))+
IF($N380&lt;=1,
IF($N380&gt;0,1/$N380,0),VDB(1,0,$N380,INT(EL$44-1),MIN($N380,INT(EL$44-1)+1),$DC380,IF($DD380="No",1,0))/
IF(DT380&gt;INT($N380),$N380-INT($N380),1))*
IF(EL$44=1,DT380,
IF(INT(DT380)=INT(DS380),0,DT380-INT(DT380)))))</f>
        <v>0</v>
      </c>
      <c r="EM380" s="836">
        <f>+IF(DU380=DT380,0,
IF(AND(EM$44&gt;1,DU380=$N380),1-SUM($EE380:EL380),
IF($N380&lt;=1,
IF($N380&gt;0,1/$N380,0),
IF(EM$44=1,0,VDB(1,0,$N380,INT(EM$44-1-1),MIN($N380,INT(EM$44-1-1)+1),$DC380,IF($DD380="No",1,0))/
IF(DT380&gt;=INT($N380),$N380-INT($N380),1)))*
IF(EM$44=1,0,
IF(INT(DU380)=INT(DT380),DU380-DT380,INT(DU380)-DT380))+
IF($N380&lt;=1,
IF($N380&gt;0,1/$N380,0),VDB(1,0,$N380,INT(EM$44-1),MIN($N380,INT(EM$44-1)+1),$DC380,IF($DD380="No",1,0))/
IF(DU380&gt;INT($N380),$N380-INT($N380),1))*
IF(EM$44=1,DU380,
IF(INT(DU380)=INT(DT380),0,DU380-INT(DU380)))))</f>
        <v>0</v>
      </c>
      <c r="EN380" s="833"/>
      <c r="EO380" s="834">
        <f>+IF(OR(DW380=DV380,EO$44=1),0,
IF(AND(EO$44&gt;1,DW380=$N380),1-SUM($EN380:EN380),
IF($N380&lt;=1,
IF($N380&gt;0,1/$N380,0),
IF(EO$44=2,0,VDB(1,0,$N380,INT(EO$44-2-1),MIN($N380,INT(EO$44-2-1)+1),$DC380,IF($DD380="No",1,0))/
IF(DV380&gt;=INT($N380),$N380-INT($N380),1)))*
IF(EO$44=2,0,
IF(INT(DW380)=INT(DV380),DW380-DV380,INT(DW380)-DV380))+
IF($N380&lt;=1,
IF($N380&gt;0,1/$N380,0),VDB(1,0,$N380,INT(EO$44-2),MIN($N380,INT(EO$44-2)+1),$DC380,IF($DD380="No",1,0))/
IF(DW380&gt;INT($N380),$N380-INT($N380),1))*
IF(EO$44=2,DW380,
IF(INT(DW380)=INT(DV380),0,DW380-INT(DW380)))))</f>
        <v>0</v>
      </c>
      <c r="EP380" s="835">
        <f>+IF(OR(DX380=DW380,EP$44=1),0,
IF(AND(EP$44&gt;1,DX380=$N380),1-SUM($EN380:EO380),
IF($N380&lt;=1,
IF($N380&gt;0,1/$N380,0),
IF(EP$44=2,0,VDB(1,0,$N380,INT(EP$44-2-1),MIN($N380,INT(EP$44-2-1)+1),$DC380,IF($DD380="No",1,0))/
IF(DW380&gt;=INT($N380),$N380-INT($N380),1)))*
IF(EP$44=2,0,
IF(INT(DX380)=INT(DW380),DX380-DW380,INT(DX380)-DW380))+
IF($N380&lt;=1,
IF($N380&gt;0,1/$N380,0),VDB(1,0,$N380,INT(EP$44-2),MIN($N380,INT(EP$44-2)+1),$DC380,IF($DD380="No",1,0))/
IF(DX380&gt;INT($N380),$N380-INT($N380),1))*
IF(EP$44=2,DX380,
IF(INT(DX380)=INT(DW380),0,DX380-INT(DX380)))))</f>
        <v>0</v>
      </c>
      <c r="EQ380" s="836">
        <f>+IF(OR(DY380=DX380,EQ$44=1),0,
IF(AND(EQ$44&gt;1,DY380=$N380),1-SUM($EN380:EP380),
IF($N380&lt;=1,
IF($N380&gt;0,1/$N380,0),
IF(EQ$44=2,0,VDB(1,0,$N380,INT(EQ$44-2-1),MIN($N380,INT(EQ$44-2-1)+1),$DC380,IF($DD380="No",1,0))/
IF(DX380&gt;=INT($N380),$N380-INT($N380),1)))*
IF(EQ$44=2,0,
IF(INT(DY380)=INT(DX380),DY380-DX380,INT(DY380)-DX380))+
IF($N380&lt;=1,
IF($N380&gt;0,1/$N380,0),VDB(1,0,$N380,INT(EQ$44-2),MIN($N380,INT(EQ$44-2)+1),$DC380,IF($DD380="No",1,0))/
IF(DY380&gt;INT($N380),$N380-INT($N380),1))*
IF(EQ$44=2,DY380,
IF(INT(DY380)=INT(DX380),0,DY380-INT(DY380)))))</f>
        <v>0</v>
      </c>
      <c r="ER380" s="834">
        <f>+IF(OR(DZ380=DY380,ER$44=1),0,
IF(AND(ER$44&gt;1,DZ380=$N380),1-SUM($EN380:EQ380),
IF($N380&lt;=1,
IF($N380&gt;0,1/$N380,0),
IF(ER$44=2,0,VDB(1,0,$N380,INT(ER$44-2-1),MIN($N380,INT(ER$44-2-1)+1),$DC380,IF($DD380="No",1,0))/
IF(DY380&gt;=INT($N380),$N380-INT($N380),1)))*
IF(ER$44=2,0,
IF(INT(DZ380)=INT(DY380),DZ380-DY380,INT(DZ380)-DY380))+
IF($N380&lt;=1,
IF($N380&gt;0,1/$N380,0),VDB(1,0,$N380,INT(ER$44-2),MIN($N380,INT(ER$44-2)+1),$DC380,IF($DD380="No",1,0))/
IF(DZ380&gt;INT($N380),$N380-INT($N380),1))*
IF(ER$44=2,DZ380,
IF(INT(DZ380)=INT(DY380),0,DZ380-INT(DZ380)))))</f>
        <v>0</v>
      </c>
      <c r="ES380" s="835">
        <f>+IF(OR(EA380=DZ380,ES$44=1),0,
IF(AND(ES$44&gt;1,EA380=$N380),1-SUM($EN380:ER380),
IF($N380&lt;=1,
IF($N380&gt;0,1/$N380,0),
IF(ES$44=2,0,VDB(1,0,$N380,INT(ES$44-2-1),MIN($N380,INT(ES$44-2-1)+1),$DC380,IF($DD380="No",1,0))/
IF(DZ380&gt;=INT($N380),$N380-INT($N380),1)))*
IF(ES$44=2,0,
IF(INT(EA380)=INT(DZ380),EA380-DZ380,INT(EA380)-DZ380))+
IF($N380&lt;=1,
IF($N380&gt;0,1/$N380,0),VDB(1,0,$N380,INT(ES$44-2),MIN($N380,INT(ES$44-2)+1),$DC380,IF($DD380="No",1,0))/
IF(EA380&gt;INT($N380),$N380-INT($N380),1))*
IF(ES$44=2,EA380,
IF(INT(EA380)=INT(DZ380),0,EA380-INT(EA380)))))</f>
        <v>0</v>
      </c>
      <c r="ET380" s="835">
        <f>+IF(OR(EB380=EA380,ET$44=1),0,
IF(AND(ET$44&gt;1,EB380=$N380),1-SUM($EN380:ES380),
IF($N380&lt;=1,
IF($N380&gt;0,1/$N380,0),
IF(ET$44=2,0,VDB(1,0,$N380,INT(ET$44-2-1),MIN($N380,INT(ET$44-2-1)+1),$DC380,IF($DD380="No",1,0))/
IF(EA380&gt;=INT($N380),$N380-INT($N380),1)))*
IF(ET$44=2,0,
IF(INT(EB380)=INT(EA380),EB380-EA380,INT(EB380)-EA380))+
IF($N380&lt;=1,
IF($N380&gt;0,1/$N380,0),VDB(1,0,$N380,INT(ET$44-2),MIN($N380,INT(ET$44-2)+1),$DC380,IF($DD380="No",1,0))/
IF(EB380&gt;INT($N380),$N380-INT($N380),1))*
IF(ET$44=2,EB380,
IF(INT(EB380)=INT(EA380),0,EB380-INT(EB380)))))</f>
        <v>0</v>
      </c>
      <c r="EU380" s="835">
        <f>+IF(OR(EC380=EB380,EU$44=1),0,
IF(AND(EU$44&gt;1,EC380=$N380),1-SUM($EN380:ET380),
IF($N380&lt;=1,
IF($N380&gt;0,1/$N380,0),
IF(EU$44=2,0,VDB(1,0,$N380,INT(EU$44-2-1),MIN($N380,INT(EU$44-2-1)+1),$DC380,IF($DD380="No",1,0))/
IF(EB380&gt;=INT($N380),$N380-INT($N380),1)))*
IF(EU$44=2,0,
IF(INT(EC380)=INT(EB380),EC380-EB380,INT(EC380)-EB380))+
IF($N380&lt;=1,
IF($N380&gt;0,1/$N380,0),VDB(1,0,$N380,INT(EU$44-2),MIN($N380,INT(EU$44-2)+1),$DC380,IF($DD380="No",1,0))/
IF(EC380&gt;INT($N380),$N380-INT($N380),1))*
IF(EU$44=2,EC380,
IF(INT(EC380)=INT(EB380),0,EC380-INT(EC380)))))</f>
        <v>0</v>
      </c>
      <c r="EV380" s="836">
        <f>+IF(OR(ED380=EC380,EV$44=1),0,
IF(AND(EV$44&gt;1,ED380=$N380),1-SUM($EN380:EU380),
IF($N380&lt;=1,
IF($N380&gt;0,1/$N380,0),
IF(EV$44=2,0,VDB(1,0,$N380,INT(EV$44-2-1),MIN($N380,INT(EV$44-2-1)+1),$DC380,IF($DD380="No",1,0))/
IF(EC380&gt;=INT($N380),$N380-INT($N380),1)))*
IF(EV$44=2,0,
IF(INT(ED380)=INT(EC380),ED380-EC380,INT(ED380)-EC380))+
IF($N380&lt;=1,
IF($N380&gt;0,1/$N380,0),VDB(1,0,$N380,INT(EV$44-2),MIN($N380,INT(EV$44-2)+1),$DC380,IF($DD380="No",1,0))/
IF(ED380&gt;INT($N380),$N380-INT($N380),1))*
IF(EV$44=2,ED380,
IF(INT(ED380)=INT(EC380),0,ED380-INT(ED380)))))</f>
        <v>0</v>
      </c>
      <c r="EW380" s="833"/>
      <c r="EX380" s="834">
        <f t="shared" ca="1" si="669"/>
        <v>0</v>
      </c>
      <c r="EY380" s="835">
        <f t="shared" ca="1" si="669"/>
        <v>0</v>
      </c>
      <c r="EZ380" s="836">
        <f t="shared" ca="1" si="669"/>
        <v>0</v>
      </c>
      <c r="FA380" s="834">
        <f t="shared" ca="1" si="669"/>
        <v>0</v>
      </c>
      <c r="FB380" s="835">
        <f t="shared" ca="1" si="669"/>
        <v>0</v>
      </c>
      <c r="FC380" s="835">
        <f t="shared" ca="1" si="669"/>
        <v>0</v>
      </c>
      <c r="FD380" s="835">
        <f t="shared" ca="1" si="669"/>
        <v>0</v>
      </c>
      <c r="FE380" s="836">
        <f t="shared" ca="1" si="669"/>
        <v>0</v>
      </c>
      <c r="FG380" s="386">
        <f t="shared" ca="1" si="659"/>
        <v>0</v>
      </c>
      <c r="FH380" s="387">
        <f t="shared" ca="1" si="660"/>
        <v>0</v>
      </c>
      <c r="FI380" s="388">
        <f t="shared" ca="1" si="661"/>
        <v>0</v>
      </c>
      <c r="FJ380" s="386">
        <f t="shared" ca="1" si="662"/>
        <v>0</v>
      </c>
      <c r="FK380" s="387">
        <f t="shared" ca="1" si="663"/>
        <v>0</v>
      </c>
      <c r="FL380" s="387">
        <f t="shared" ca="1" si="664"/>
        <v>0</v>
      </c>
      <c r="FM380" s="387">
        <f t="shared" ca="1" si="665"/>
        <v>0</v>
      </c>
      <c r="FN380" s="388">
        <f t="shared" ca="1" si="666"/>
        <v>0</v>
      </c>
      <c r="FR380" s="116"/>
    </row>
    <row r="381" spans="2:174">
      <c r="B381" s="1410">
        <f t="shared" si="556"/>
        <v>335</v>
      </c>
      <c r="C381" s="400"/>
      <c r="D381" s="410"/>
      <c r="E381" s="402"/>
      <c r="F381" s="402"/>
      <c r="G381" s="400"/>
      <c r="H381" s="2088"/>
      <c r="I381" s="2089"/>
      <c r="J381" s="411"/>
      <c r="K381" s="403"/>
      <c r="L381" s="403"/>
      <c r="M381" s="403"/>
      <c r="N381" s="403"/>
      <c r="O381" s="347"/>
      <c r="P381" s="347"/>
      <c r="Q381" s="1021"/>
      <c r="R381" s="1022"/>
      <c r="S381" s="1022"/>
      <c r="T381" s="1022"/>
      <c r="U381" s="1023"/>
      <c r="V381" s="1021"/>
      <c r="W381" s="1022"/>
      <c r="X381" s="1022"/>
      <c r="Y381" s="1022"/>
      <c r="Z381" s="1023"/>
      <c r="AA381" s="1024"/>
      <c r="AB381" s="1021"/>
      <c r="AC381" s="1022"/>
      <c r="AD381" s="1022"/>
      <c r="AE381" s="1022"/>
      <c r="AF381" s="1023"/>
      <c r="AG381" s="1021"/>
      <c r="AH381" s="1022"/>
      <c r="AI381" s="1022"/>
      <c r="AJ381" s="1022"/>
      <c r="AK381" s="1023"/>
      <c r="AL381" s="1024"/>
      <c r="AM381" s="1021"/>
      <c r="AN381" s="1022"/>
      <c r="AO381" s="1022"/>
      <c r="AP381" s="1022"/>
      <c r="AQ381" s="1023"/>
      <c r="AR381" s="1021"/>
      <c r="AS381" s="1022"/>
      <c r="AT381" s="1022"/>
      <c r="AU381" s="1022"/>
      <c r="AV381" s="1023"/>
      <c r="AW381" s="1025"/>
      <c r="AX381" s="1282">
        <f t="shared" si="635"/>
        <v>0</v>
      </c>
      <c r="AY381" s="387">
        <f t="shared" si="636"/>
        <v>0</v>
      </c>
      <c r="AZ381" s="387">
        <f t="shared" si="637"/>
        <v>0</v>
      </c>
      <c r="BA381" s="387">
        <f t="shared" si="638"/>
        <v>0</v>
      </c>
      <c r="BB381" s="1283">
        <f t="shared" si="639"/>
        <v>0</v>
      </c>
      <c r="BC381" s="386">
        <f t="shared" si="640"/>
        <v>0</v>
      </c>
      <c r="BD381" s="387">
        <f t="shared" si="641"/>
        <v>0</v>
      </c>
      <c r="BE381" s="1277">
        <f t="shared" si="642"/>
        <v>0</v>
      </c>
      <c r="BF381" s="1277">
        <f t="shared" si="642"/>
        <v>0</v>
      </c>
      <c r="BG381" s="388">
        <f t="shared" si="642"/>
        <v>0</v>
      </c>
      <c r="BH381" s="1025"/>
      <c r="BI381" s="1282">
        <f t="shared" ca="1" si="643"/>
        <v>0</v>
      </c>
      <c r="BJ381" s="387">
        <f t="shared" ca="1" si="644"/>
        <v>0</v>
      </c>
      <c r="BK381" s="387">
        <f t="shared" ca="1" si="645"/>
        <v>0</v>
      </c>
      <c r="BL381" s="387">
        <f t="shared" ca="1" si="646"/>
        <v>0</v>
      </c>
      <c r="BM381" s="1283">
        <f t="shared" ca="1" si="647"/>
        <v>0</v>
      </c>
      <c r="BN381" s="386">
        <f t="shared" ca="1" si="648"/>
        <v>0</v>
      </c>
      <c r="BO381" s="387">
        <f t="shared" ca="1" si="648"/>
        <v>0</v>
      </c>
      <c r="BP381" s="1277">
        <f t="shared" ca="1" si="648"/>
        <v>0</v>
      </c>
      <c r="BQ381" s="1277">
        <f t="shared" ca="1" si="648"/>
        <v>0</v>
      </c>
      <c r="BR381" s="388">
        <f t="shared" ca="1" si="648"/>
        <v>0</v>
      </c>
      <c r="BS381" s="1025"/>
      <c r="BT381" s="1282">
        <f>+IF($K381="Ongoing",AX381,IF(RIGHT($K381,2)=RIGHT(BT$43,2),SUM($AX381:AX381),0)+IF(RIGHT(BT$43,2)&gt;RIGHT($K381,2),AX381,0))</f>
        <v>0</v>
      </c>
      <c r="BU381" s="387">
        <f>+IF($K381="Ongoing",AY381,IF(RIGHT($K381,2)=RIGHT(BU$43,2),SUM($AX381:AY381),0)+IF(RIGHT(BU$43,2)&gt;RIGHT($K381,2),AY381,0))</f>
        <v>0</v>
      </c>
      <c r="BV381" s="387">
        <f>+IF($K381="Ongoing",AZ381,IF(RIGHT($K381,2)=RIGHT(BV$43,2),SUM($AX381:AZ381),0)+IF(RIGHT(BV$43,2)&gt;RIGHT($K381,2),AZ381,0))</f>
        <v>0</v>
      </c>
      <c r="BW381" s="387">
        <f>+IF($K381="Ongoing",BA381,IF(RIGHT($K381,2)=RIGHT(BW$43,2),SUM($AX381:BA381),0)+IF(RIGHT(BW$43,2)&gt;RIGHT($K381,2),BA381,0))</f>
        <v>0</v>
      </c>
      <c r="BX381" s="1283">
        <f>+IF($K381="Ongoing",BB381,IF(RIGHT($K381,2)=RIGHT(BX$43,2),SUM($AX381:BB381),0)+IF(RIGHT(BX$43,2)&gt;RIGHT($K381,2),BB381,0))</f>
        <v>0</v>
      </c>
      <c r="BY381" s="386">
        <f>+IF($K381="Ongoing",BC381,IF(RIGHT($K381,2)=RIGHT(BY$43,2),SUM($AX381:BC381),0)+IF(RIGHT(BY$43,2)&gt;RIGHT($K381,2),BC381,0))</f>
        <v>0</v>
      </c>
      <c r="BZ381" s="387">
        <f>+IF($K381="Ongoing",BD381,IF(RIGHT($K381,2)=RIGHT(BZ$43,2),SUM($AX381:BD381),0)+IF(RIGHT(BZ$43,2)&gt;RIGHT($K381,2),BD381,0))</f>
        <v>0</v>
      </c>
      <c r="CA381" s="1277">
        <f>+IF($K381="Ongoing",BE381,IF(RIGHT($K381,2)=RIGHT(CA$43,2),SUM($AX381:BE381),0)+IF(RIGHT(CA$43,2)&gt;RIGHT($K381,2),BE381,0))</f>
        <v>0</v>
      </c>
      <c r="CB381" s="1277">
        <f>+IF($K381="Ongoing",BF381,IF(RIGHT($K381,2)=RIGHT(CB$43,2),SUM($AX381:BF381),0)+IF(RIGHT(CB$43,2)&gt;RIGHT($K381,2),BF381,0))</f>
        <v>0</v>
      </c>
      <c r="CC381" s="388">
        <f>+IF($K381="Ongoing",BG381,IF(RIGHT($K381,2)=RIGHT(CC$43,2),SUM($AX381:BG381),0)+IF(RIGHT(CC$43,2)&gt;RIGHT($K381,2),BG381,0))</f>
        <v>0</v>
      </c>
      <c r="CD381" s="1025"/>
      <c r="CE381" s="1282">
        <f>+Q381*KeyAssumptionsPriceControl_FO!AF$15</f>
        <v>0</v>
      </c>
      <c r="CF381" s="387">
        <f>+R381*KeyAssumptionsPriceControl_FO!AG$15</f>
        <v>0</v>
      </c>
      <c r="CG381" s="387">
        <f>+S381*KeyAssumptionsPriceControl_FO!AH$15</f>
        <v>0</v>
      </c>
      <c r="CH381" s="387">
        <f>+T381*KeyAssumptionsPriceControl_FO!AI$15</f>
        <v>0</v>
      </c>
      <c r="CI381" s="1283">
        <f>+U381*KeyAssumptionsPriceControl_FO!AJ$15</f>
        <v>0</v>
      </c>
      <c r="CJ381" s="386">
        <f>+V381*KeyAssumptionsPriceControl_FO!AK$15</f>
        <v>0</v>
      </c>
      <c r="CK381" s="387">
        <f>+W381*KeyAssumptionsPriceControl_FO!AL$15</f>
        <v>0</v>
      </c>
      <c r="CL381" s="1277">
        <f>+X381*KeyAssumptionsPriceControl_FO!AM$15</f>
        <v>0</v>
      </c>
      <c r="CM381" s="1277">
        <f>+Y381*KeyAssumptionsPriceControl_FO!AN$15</f>
        <v>0</v>
      </c>
      <c r="CN381" s="388">
        <f>+Z381*KeyAssumptionsPriceControl_FO!AO$15</f>
        <v>0</v>
      </c>
      <c r="CO381" s="1025"/>
      <c r="CP381" s="1282">
        <f t="shared" ca="1" si="649"/>
        <v>0</v>
      </c>
      <c r="CQ381" s="387">
        <f t="shared" ca="1" si="650"/>
        <v>0</v>
      </c>
      <c r="CR381" s="387">
        <f t="shared" ca="1" si="651"/>
        <v>0</v>
      </c>
      <c r="CS381" s="387">
        <f t="shared" ca="1" si="652"/>
        <v>0</v>
      </c>
      <c r="CT381" s="1283">
        <f t="shared" ca="1" si="653"/>
        <v>0</v>
      </c>
      <c r="CU381" s="386">
        <f t="shared" ca="1" si="654"/>
        <v>0</v>
      </c>
      <c r="CV381" s="387">
        <f t="shared" ca="1" si="655"/>
        <v>0</v>
      </c>
      <c r="CW381" s="1277">
        <f t="shared" ca="1" si="656"/>
        <v>0</v>
      </c>
      <c r="CX381" s="1277">
        <f t="shared" ca="1" si="657"/>
        <v>0</v>
      </c>
      <c r="CY381" s="388">
        <f t="shared" ca="1" si="658"/>
        <v>0</v>
      </c>
      <c r="CZ381" s="347"/>
      <c r="DA381" s="852"/>
      <c r="DB381" s="347"/>
      <c r="DC381" s="1012" t="s">
        <v>517</v>
      </c>
      <c r="DD381" s="841" t="s">
        <v>518</v>
      </c>
      <c r="DE381" s="386">
        <f>+IF($K381="ongoing",CE381,IF(RIGHT($K381,2)=RIGHT(DE$43,2),SUM($CD381:CE381),0)+IF(RIGHT(DE$43,2)&gt;RIGHT($K381,2),CE381,0))</f>
        <v>0</v>
      </c>
      <c r="DF381" s="387">
        <f>+IF($K381="ongoing",CF381,IF(RIGHT($K381,2)=RIGHT(DF$43,2),SUM($CD381:CF381),0)+IF(RIGHT(DF$43,2)&gt;RIGHT($K381,2),CF381,0))</f>
        <v>0</v>
      </c>
      <c r="DG381" s="388">
        <f>+IF($K381="ongoing",CG381,IF(RIGHT($K381,2)=RIGHT(DG$43,2),SUM($CD381:CG381),0)+IF(RIGHT(DG$43,2)&gt;RIGHT($K381,2),CG381,0))</f>
        <v>0</v>
      </c>
      <c r="DH381" s="386">
        <f>+IF($K381="ongoing",CH381,IF(RIGHT($K381,2)=RIGHT(DH$43,2),SUM($CD381:CH381),0)+IF(RIGHT(DH$43,2)&gt;RIGHT($K381,2),CH381,0))</f>
        <v>0</v>
      </c>
      <c r="DI381" s="387">
        <f>+IF($K381="ongoing",CI381,IF(RIGHT($K381,2)=RIGHT(DI$43,2),SUM($CD381:CI381),0)+IF(RIGHT(DI$43,2)&gt;RIGHT($K381,2),CI381,0))</f>
        <v>0</v>
      </c>
      <c r="DJ381" s="387">
        <f>+IF($K381="ongoing",CJ381,IF(RIGHT($K381,2)=RIGHT(DJ$43,2),SUM($CD381:CJ381),0)+IF(RIGHT(DJ$43,2)&gt;RIGHT($K381,2),CJ381,0))</f>
        <v>0</v>
      </c>
      <c r="DK381" s="387">
        <f>+IF($K381="ongoing",CK381,IF(RIGHT($K381,2)=RIGHT(DK$43,2),SUM($CD381:CK381),0)+IF(RIGHT(DK$43,2)&gt;RIGHT($K381,2),CK381,0))</f>
        <v>0</v>
      </c>
      <c r="DL381" s="388">
        <f>+IF($K381="ongoing",CN381,IF(RIGHT($K381,2)=RIGHT(DL$43,2),SUM($CD381:CN381),0)+IF(RIGHT(DL$43,2)&gt;RIGHT($K381,2),CN381,0))</f>
        <v>0</v>
      </c>
      <c r="DM381" s="841"/>
      <c r="DN381" s="386">
        <f t="shared" si="667"/>
        <v>0.5</v>
      </c>
      <c r="DO381" s="387">
        <f t="shared" si="667"/>
        <v>1</v>
      </c>
      <c r="DP381" s="388">
        <f t="shared" si="667"/>
        <v>1</v>
      </c>
      <c r="DQ381" s="386">
        <f t="shared" si="667"/>
        <v>1</v>
      </c>
      <c r="DR381" s="387">
        <f t="shared" si="667"/>
        <v>1</v>
      </c>
      <c r="DS381" s="387">
        <f t="shared" si="667"/>
        <v>1</v>
      </c>
      <c r="DT381" s="387">
        <f t="shared" si="667"/>
        <v>1</v>
      </c>
      <c r="DU381" s="388">
        <f t="shared" si="667"/>
        <v>1</v>
      </c>
      <c r="DW381" s="386">
        <f t="shared" si="668"/>
        <v>0</v>
      </c>
      <c r="DX381" s="387">
        <f t="shared" si="668"/>
        <v>0.5</v>
      </c>
      <c r="DY381" s="388">
        <f t="shared" si="668"/>
        <v>1</v>
      </c>
      <c r="DZ381" s="386">
        <f t="shared" si="668"/>
        <v>1</v>
      </c>
      <c r="EA381" s="387">
        <f t="shared" si="668"/>
        <v>1</v>
      </c>
      <c r="EB381" s="387">
        <f t="shared" si="668"/>
        <v>1</v>
      </c>
      <c r="EC381" s="387">
        <f t="shared" si="668"/>
        <v>1</v>
      </c>
      <c r="ED381" s="388">
        <f t="shared" si="668"/>
        <v>1</v>
      </c>
      <c r="EF381" s="834">
        <f>+IF(DN381=DM381,0,
IF(AND(EF$44&gt;1,DN381=$N381),1-SUM($EE381:EE381),
IF($N381&lt;=1,
IF($N381&gt;0,1/$N381,0),
IF(EF$44=1,0,VDB(1,0,$N381,INT(EF$44-1-1),MIN($N381,INT(EF$44-1-1)+1),$DC381,IF($DD381="No",1,0))/
IF(DM381&gt;=INT($N381),$N381-INT($N381),1)))*
IF(EF$44=1,0,
IF(INT(DN381)=INT(DM381),DN381-DM381,INT(DN381)-DM381))+
IF($N381&lt;=1,
IF($N381&gt;0,1/$N381,0),VDB(1,0,$N381,INT(EF$44-1),MIN($N381,INT(EF$44-1)+1),$DC381,IF($DD381="No",1,0))/
IF(DN381&gt;INT($N381),$N381-INT($N381),1))*
IF(EF$44=1,DN381,
IF(INT(DN381)=INT(DM381),0,DN381-INT(DN381)))))</f>
        <v>0</v>
      </c>
      <c r="EG381" s="835">
        <f>+IF(DO381=DN381,0,
IF(AND(EG$44&gt;1,DO381=$N381),1-SUM($EE381:EF381),
IF($N381&lt;=1,
IF($N381&gt;0,1/$N381,0),
IF(EG$44=1,0,VDB(1,0,$N381,INT(EG$44-1-1),MIN($N381,INT(EG$44-1-1)+1),$DC381,IF($DD381="No",1,0))/
IF(DN381&gt;=INT($N381),$N381-INT($N381),1)))*
IF(EG$44=1,0,
IF(INT(DO381)=INT(DN381),DO381-DN381,INT(DO381)-DN381))+
IF($N381&lt;=1,
IF($N381&gt;0,1/$N381,0),VDB(1,0,$N381,INT(EG$44-1),MIN($N381,INT(EG$44-1)+1),$DC381,IF($DD381="No",1,0))/
IF(DO381&gt;INT($N381),$N381-INT($N381),1))*
IF(EG$44=1,DO381,
IF(INT(DO381)=INT(DN381),0,DO381-INT(DO381)))))</f>
        <v>0</v>
      </c>
      <c r="EH381" s="836">
        <f>+IF(DP381=DO381,0,
IF(AND(EH$44&gt;1,DP381=$N381),1-SUM($EE381:EG381),
IF($N381&lt;=1,
IF($N381&gt;0,1/$N381,0),
IF(EH$44=1,0,VDB(1,0,$N381,INT(EH$44-1-1),MIN($N381,INT(EH$44-1-1)+1),$DC381,IF($DD381="No",1,0))/
IF(DO381&gt;=INT($N381),$N381-INT($N381),1)))*
IF(EH$44=1,0,
IF(INT(DP381)=INT(DO381),DP381-DO381,INT(DP381)-DO381))+
IF($N381&lt;=1,
IF($N381&gt;0,1/$N381,0),VDB(1,0,$N381,INT(EH$44-1),MIN($N381,INT(EH$44-1)+1),$DC381,IF($DD381="No",1,0))/
IF(DP381&gt;INT($N381),$N381-INT($N381),1))*
IF(EH$44=1,DP381,
IF(INT(DP381)=INT(DO381),0,DP381-INT(DP381)))))</f>
        <v>0</v>
      </c>
      <c r="EI381" s="834">
        <f>+IF(DQ381=DP381,0,
IF(AND(EI$44&gt;1,DQ381=$N381),1-SUM($EE381:EH381),
IF($N381&lt;=1,
IF($N381&gt;0,1/$N381,0),
IF(EI$44=1,0,VDB(1,0,$N381,INT(EI$44-1-1),MIN($N381,INT(EI$44-1-1)+1),$DC381,IF($DD381="No",1,0))/
IF(DP381&gt;=INT($N381),$N381-INT($N381),1)))*
IF(EI$44=1,0,
IF(INT(DQ381)=INT(DP381),DQ381-DP381,INT(DQ381)-DP381))+
IF($N381&lt;=1,
IF($N381&gt;0,1/$N381,0),VDB(1,0,$N381,INT(EI$44-1),MIN($N381,INT(EI$44-1)+1),$DC381,IF($DD381="No",1,0))/
IF(DQ381&gt;INT($N381),$N381-INT($N381),1))*
IF(EI$44=1,DQ381,
IF(INT(DQ381)=INT(DP381),0,DQ381-INT(DQ381)))))</f>
        <v>0</v>
      </c>
      <c r="EJ381" s="835">
        <f>+IF(DR381=DQ381,0,
IF(AND(EJ$44&gt;1,DR381=$N381),1-SUM($EE381:EI381),
IF($N381&lt;=1,
IF($N381&gt;0,1/$N381,0),
IF(EJ$44=1,0,VDB(1,0,$N381,INT(EJ$44-1-1),MIN($N381,INT(EJ$44-1-1)+1),$DC381,IF($DD381="No",1,0))/
IF(DQ381&gt;=INT($N381),$N381-INT($N381),1)))*
IF(EJ$44=1,0,
IF(INT(DR381)=INT(DQ381),DR381-DQ381,INT(DR381)-DQ381))+
IF($N381&lt;=1,
IF($N381&gt;0,1/$N381,0),VDB(1,0,$N381,INT(EJ$44-1),MIN($N381,INT(EJ$44-1)+1),$DC381,IF($DD381="No",1,0))/
IF(DR381&gt;INT($N381),$N381-INT($N381),1))*
IF(EJ$44=1,DR381,
IF(INT(DR381)=INT(DQ381),0,DR381-INT(DR381)))))</f>
        <v>0</v>
      </c>
      <c r="EK381" s="835">
        <f>+IF(DS381=DR381,0,
IF(AND(EK$44&gt;1,DS381=$N381),1-SUM($EE381:EJ381),
IF($N381&lt;=1,
IF($N381&gt;0,1/$N381,0),
IF(EK$44=1,0,VDB(1,0,$N381,INT(EK$44-1-1),MIN($N381,INT(EK$44-1-1)+1),$DC381,IF($DD381="No",1,0))/
IF(DR381&gt;=INT($N381),$N381-INT($N381),1)))*
IF(EK$44=1,0,
IF(INT(DS381)=INT(DR381),DS381-DR381,INT(DS381)-DR381))+
IF($N381&lt;=1,
IF($N381&gt;0,1/$N381,0),VDB(1,0,$N381,INT(EK$44-1),MIN($N381,INT(EK$44-1)+1),$DC381,IF($DD381="No",1,0))/
IF(DS381&gt;INT($N381),$N381-INT($N381),1))*
IF(EK$44=1,DS381,
IF(INT(DS381)=INT(DR381),0,DS381-INT(DS381)))))</f>
        <v>0</v>
      </c>
      <c r="EL381" s="835">
        <f>+IF(DT381=DS381,0,
IF(AND(EL$44&gt;1,DT381=$N381),1-SUM($EE381:EK381),
IF($N381&lt;=1,
IF($N381&gt;0,1/$N381,0),
IF(EL$44=1,0,VDB(1,0,$N381,INT(EL$44-1-1),MIN($N381,INT(EL$44-1-1)+1),$DC381,IF($DD381="No",1,0))/
IF(DS381&gt;=INT($N381),$N381-INT($N381),1)))*
IF(EL$44=1,0,
IF(INT(DT381)=INT(DS381),DT381-DS381,INT(DT381)-DS381))+
IF($N381&lt;=1,
IF($N381&gt;0,1/$N381,0),VDB(1,0,$N381,INT(EL$44-1),MIN($N381,INT(EL$44-1)+1),$DC381,IF($DD381="No",1,0))/
IF(DT381&gt;INT($N381),$N381-INT($N381),1))*
IF(EL$44=1,DT381,
IF(INT(DT381)=INT(DS381),0,DT381-INT(DT381)))))</f>
        <v>0</v>
      </c>
      <c r="EM381" s="836">
        <f>+IF(DU381=DT381,0,
IF(AND(EM$44&gt;1,DU381=$N381),1-SUM($EE381:EL381),
IF($N381&lt;=1,
IF($N381&gt;0,1/$N381,0),
IF(EM$44=1,0,VDB(1,0,$N381,INT(EM$44-1-1),MIN($N381,INT(EM$44-1-1)+1),$DC381,IF($DD381="No",1,0))/
IF(DT381&gt;=INT($N381),$N381-INT($N381),1)))*
IF(EM$44=1,0,
IF(INT(DU381)=INT(DT381),DU381-DT381,INT(DU381)-DT381))+
IF($N381&lt;=1,
IF($N381&gt;0,1/$N381,0),VDB(1,0,$N381,INT(EM$44-1),MIN($N381,INT(EM$44-1)+1),$DC381,IF($DD381="No",1,0))/
IF(DU381&gt;INT($N381),$N381-INT($N381),1))*
IF(EM$44=1,DU381,
IF(INT(DU381)=INT(DT381),0,DU381-INT(DU381)))))</f>
        <v>0</v>
      </c>
      <c r="EN381" s="833"/>
      <c r="EO381" s="834">
        <f>+IF(OR(DW381=DV381,EO$44=1),0,
IF(AND(EO$44&gt;1,DW381=$N381),1-SUM($EN381:EN381),
IF($N381&lt;=1,
IF($N381&gt;0,1/$N381,0),
IF(EO$44=2,0,VDB(1,0,$N381,INT(EO$44-2-1),MIN($N381,INT(EO$44-2-1)+1),$DC381,IF($DD381="No",1,0))/
IF(DV381&gt;=INT($N381),$N381-INT($N381),1)))*
IF(EO$44=2,0,
IF(INT(DW381)=INT(DV381),DW381-DV381,INT(DW381)-DV381))+
IF($N381&lt;=1,
IF($N381&gt;0,1/$N381,0),VDB(1,0,$N381,INT(EO$44-2),MIN($N381,INT(EO$44-2)+1),$DC381,IF($DD381="No",1,0))/
IF(DW381&gt;INT($N381),$N381-INT($N381),1))*
IF(EO$44=2,DW381,
IF(INT(DW381)=INT(DV381),0,DW381-INT(DW381)))))</f>
        <v>0</v>
      </c>
      <c r="EP381" s="835">
        <f>+IF(OR(DX381=DW381,EP$44=1),0,
IF(AND(EP$44&gt;1,DX381=$N381),1-SUM($EN381:EO381),
IF($N381&lt;=1,
IF($N381&gt;0,1/$N381,0),
IF(EP$44=2,0,VDB(1,0,$N381,INT(EP$44-2-1),MIN($N381,INT(EP$44-2-1)+1),$DC381,IF($DD381="No",1,0))/
IF(DW381&gt;=INT($N381),$N381-INT($N381),1)))*
IF(EP$44=2,0,
IF(INT(DX381)=INT(DW381),DX381-DW381,INT(DX381)-DW381))+
IF($N381&lt;=1,
IF($N381&gt;0,1/$N381,0),VDB(1,0,$N381,INT(EP$44-2),MIN($N381,INT(EP$44-2)+1),$DC381,IF($DD381="No",1,0))/
IF(DX381&gt;INT($N381),$N381-INT($N381),1))*
IF(EP$44=2,DX381,
IF(INT(DX381)=INT(DW381),0,DX381-INT(DX381)))))</f>
        <v>0</v>
      </c>
      <c r="EQ381" s="836">
        <f>+IF(OR(DY381=DX381,EQ$44=1),0,
IF(AND(EQ$44&gt;1,DY381=$N381),1-SUM($EN381:EP381),
IF($N381&lt;=1,
IF($N381&gt;0,1/$N381,0),
IF(EQ$44=2,0,VDB(1,0,$N381,INT(EQ$44-2-1),MIN($N381,INT(EQ$44-2-1)+1),$DC381,IF($DD381="No",1,0))/
IF(DX381&gt;=INT($N381),$N381-INT($N381),1)))*
IF(EQ$44=2,0,
IF(INT(DY381)=INT(DX381),DY381-DX381,INT(DY381)-DX381))+
IF($N381&lt;=1,
IF($N381&gt;0,1/$N381,0),VDB(1,0,$N381,INT(EQ$44-2),MIN($N381,INT(EQ$44-2)+1),$DC381,IF($DD381="No",1,0))/
IF(DY381&gt;INT($N381),$N381-INT($N381),1))*
IF(EQ$44=2,DY381,
IF(INT(DY381)=INT(DX381),0,DY381-INT(DY381)))))</f>
        <v>0</v>
      </c>
      <c r="ER381" s="834">
        <f>+IF(OR(DZ381=DY381,ER$44=1),0,
IF(AND(ER$44&gt;1,DZ381=$N381),1-SUM($EN381:EQ381),
IF($N381&lt;=1,
IF($N381&gt;0,1/$N381,0),
IF(ER$44=2,0,VDB(1,0,$N381,INT(ER$44-2-1),MIN($N381,INT(ER$44-2-1)+1),$DC381,IF($DD381="No",1,0))/
IF(DY381&gt;=INT($N381),$N381-INT($N381),1)))*
IF(ER$44=2,0,
IF(INT(DZ381)=INT(DY381),DZ381-DY381,INT(DZ381)-DY381))+
IF($N381&lt;=1,
IF($N381&gt;0,1/$N381,0),VDB(1,0,$N381,INT(ER$44-2),MIN($N381,INT(ER$44-2)+1),$DC381,IF($DD381="No",1,0))/
IF(DZ381&gt;INT($N381),$N381-INT($N381),1))*
IF(ER$44=2,DZ381,
IF(INT(DZ381)=INT(DY381),0,DZ381-INT(DZ381)))))</f>
        <v>0</v>
      </c>
      <c r="ES381" s="835">
        <f>+IF(OR(EA381=DZ381,ES$44=1),0,
IF(AND(ES$44&gt;1,EA381=$N381),1-SUM($EN381:ER381),
IF($N381&lt;=1,
IF($N381&gt;0,1/$N381,0),
IF(ES$44=2,0,VDB(1,0,$N381,INT(ES$44-2-1),MIN($N381,INT(ES$44-2-1)+1),$DC381,IF($DD381="No",1,0))/
IF(DZ381&gt;=INT($N381),$N381-INT($N381),1)))*
IF(ES$44=2,0,
IF(INT(EA381)=INT(DZ381),EA381-DZ381,INT(EA381)-DZ381))+
IF($N381&lt;=1,
IF($N381&gt;0,1/$N381,0),VDB(1,0,$N381,INT(ES$44-2),MIN($N381,INT(ES$44-2)+1),$DC381,IF($DD381="No",1,0))/
IF(EA381&gt;INT($N381),$N381-INT($N381),1))*
IF(ES$44=2,EA381,
IF(INT(EA381)=INT(DZ381),0,EA381-INT(EA381)))))</f>
        <v>0</v>
      </c>
      <c r="ET381" s="835">
        <f>+IF(OR(EB381=EA381,ET$44=1),0,
IF(AND(ET$44&gt;1,EB381=$N381),1-SUM($EN381:ES381),
IF($N381&lt;=1,
IF($N381&gt;0,1/$N381,0),
IF(ET$44=2,0,VDB(1,0,$N381,INT(ET$44-2-1),MIN($N381,INT(ET$44-2-1)+1),$DC381,IF($DD381="No",1,0))/
IF(EA381&gt;=INT($N381),$N381-INT($N381),1)))*
IF(ET$44=2,0,
IF(INT(EB381)=INT(EA381),EB381-EA381,INT(EB381)-EA381))+
IF($N381&lt;=1,
IF($N381&gt;0,1/$N381,0),VDB(1,0,$N381,INT(ET$44-2),MIN($N381,INT(ET$44-2)+1),$DC381,IF($DD381="No",1,0))/
IF(EB381&gt;INT($N381),$N381-INT($N381),1))*
IF(ET$44=2,EB381,
IF(INT(EB381)=INT(EA381),0,EB381-INT(EB381)))))</f>
        <v>0</v>
      </c>
      <c r="EU381" s="835">
        <f>+IF(OR(EC381=EB381,EU$44=1),0,
IF(AND(EU$44&gt;1,EC381=$N381),1-SUM($EN381:ET381),
IF($N381&lt;=1,
IF($N381&gt;0,1/$N381,0),
IF(EU$44=2,0,VDB(1,0,$N381,INT(EU$44-2-1),MIN($N381,INT(EU$44-2-1)+1),$DC381,IF($DD381="No",1,0))/
IF(EB381&gt;=INT($N381),$N381-INT($N381),1)))*
IF(EU$44=2,0,
IF(INT(EC381)=INT(EB381),EC381-EB381,INT(EC381)-EB381))+
IF($N381&lt;=1,
IF($N381&gt;0,1/$N381,0),VDB(1,0,$N381,INT(EU$44-2),MIN($N381,INT(EU$44-2)+1),$DC381,IF($DD381="No",1,0))/
IF(EC381&gt;INT($N381),$N381-INT($N381),1))*
IF(EU$44=2,EC381,
IF(INT(EC381)=INT(EB381),0,EC381-INT(EC381)))))</f>
        <v>0</v>
      </c>
      <c r="EV381" s="836">
        <f>+IF(OR(ED381=EC381,EV$44=1),0,
IF(AND(EV$44&gt;1,ED381=$N381),1-SUM($EN381:EU381),
IF($N381&lt;=1,
IF($N381&gt;0,1/$N381,0),
IF(EV$44=2,0,VDB(1,0,$N381,INT(EV$44-2-1),MIN($N381,INT(EV$44-2-1)+1),$DC381,IF($DD381="No",1,0))/
IF(EC381&gt;=INT($N381),$N381-INT($N381),1)))*
IF(EV$44=2,0,
IF(INT(ED381)=INT(EC381),ED381-EC381,INT(ED381)-EC381))+
IF($N381&lt;=1,
IF($N381&gt;0,1/$N381,0),VDB(1,0,$N381,INT(EV$44-2),MIN($N381,INT(EV$44-2)+1),$DC381,IF($DD381="No",1,0))/
IF(ED381&gt;INT($N381),$N381-INT($N381),1))*
IF(EV$44=2,ED381,
IF(INT(ED381)=INT(EC381),0,ED381-INT(ED381)))))</f>
        <v>0</v>
      </c>
      <c r="EW381" s="833"/>
      <c r="EX381" s="834">
        <f t="shared" ca="1" si="669"/>
        <v>0</v>
      </c>
      <c r="EY381" s="835">
        <f t="shared" ca="1" si="669"/>
        <v>0</v>
      </c>
      <c r="EZ381" s="836">
        <f t="shared" ca="1" si="669"/>
        <v>0</v>
      </c>
      <c r="FA381" s="834">
        <f t="shared" ca="1" si="669"/>
        <v>0</v>
      </c>
      <c r="FB381" s="835">
        <f t="shared" ca="1" si="669"/>
        <v>0</v>
      </c>
      <c r="FC381" s="835">
        <f t="shared" ca="1" si="669"/>
        <v>0</v>
      </c>
      <c r="FD381" s="835">
        <f t="shared" ca="1" si="669"/>
        <v>0</v>
      </c>
      <c r="FE381" s="836">
        <f t="shared" ca="1" si="669"/>
        <v>0</v>
      </c>
      <c r="FG381" s="386">
        <f t="shared" ca="1" si="659"/>
        <v>0</v>
      </c>
      <c r="FH381" s="387">
        <f t="shared" ca="1" si="660"/>
        <v>0</v>
      </c>
      <c r="FI381" s="388">
        <f t="shared" ca="1" si="661"/>
        <v>0</v>
      </c>
      <c r="FJ381" s="386">
        <f t="shared" ca="1" si="662"/>
        <v>0</v>
      </c>
      <c r="FK381" s="387">
        <f t="shared" ca="1" si="663"/>
        <v>0</v>
      </c>
      <c r="FL381" s="387">
        <f t="shared" ca="1" si="664"/>
        <v>0</v>
      </c>
      <c r="FM381" s="387">
        <f t="shared" ca="1" si="665"/>
        <v>0</v>
      </c>
      <c r="FN381" s="388">
        <f t="shared" ca="1" si="666"/>
        <v>0</v>
      </c>
      <c r="FR381" s="116"/>
    </row>
    <row r="382" spans="2:174">
      <c r="B382" s="1410">
        <f t="shared" si="556"/>
        <v>336</v>
      </c>
      <c r="C382" s="400"/>
      <c r="D382" s="410"/>
      <c r="E382" s="402"/>
      <c r="F382" s="402"/>
      <c r="G382" s="400"/>
      <c r="H382" s="2088"/>
      <c r="I382" s="2089"/>
      <c r="J382" s="411"/>
      <c r="K382" s="403"/>
      <c r="L382" s="403"/>
      <c r="M382" s="403"/>
      <c r="N382" s="403"/>
      <c r="O382" s="347"/>
      <c r="P382" s="347"/>
      <c r="Q382" s="1021"/>
      <c r="R382" s="1022"/>
      <c r="S382" s="1022"/>
      <c r="T382" s="1022"/>
      <c r="U382" s="1023"/>
      <c r="V382" s="1021"/>
      <c r="W382" s="1022"/>
      <c r="X382" s="1022"/>
      <c r="Y382" s="1022"/>
      <c r="Z382" s="1023"/>
      <c r="AA382" s="1024"/>
      <c r="AB382" s="1021"/>
      <c r="AC382" s="1022"/>
      <c r="AD382" s="1022"/>
      <c r="AE382" s="1022"/>
      <c r="AF382" s="1023"/>
      <c r="AG382" s="1021"/>
      <c r="AH382" s="1022"/>
      <c r="AI382" s="1022"/>
      <c r="AJ382" s="1022"/>
      <c r="AK382" s="1023"/>
      <c r="AL382" s="1024"/>
      <c r="AM382" s="1021"/>
      <c r="AN382" s="1022"/>
      <c r="AO382" s="1022"/>
      <c r="AP382" s="1022"/>
      <c r="AQ382" s="1023"/>
      <c r="AR382" s="1021"/>
      <c r="AS382" s="1022"/>
      <c r="AT382" s="1022"/>
      <c r="AU382" s="1022"/>
      <c r="AV382" s="1023"/>
      <c r="AW382" s="1025"/>
      <c r="AX382" s="1282">
        <f t="shared" si="635"/>
        <v>0</v>
      </c>
      <c r="AY382" s="387">
        <f t="shared" si="636"/>
        <v>0</v>
      </c>
      <c r="AZ382" s="387">
        <f t="shared" si="637"/>
        <v>0</v>
      </c>
      <c r="BA382" s="387">
        <f t="shared" si="638"/>
        <v>0</v>
      </c>
      <c r="BB382" s="1283">
        <f t="shared" si="639"/>
        <v>0</v>
      </c>
      <c r="BC382" s="386">
        <f t="shared" si="640"/>
        <v>0</v>
      </c>
      <c r="BD382" s="387">
        <f t="shared" si="641"/>
        <v>0</v>
      </c>
      <c r="BE382" s="1277">
        <f t="shared" si="642"/>
        <v>0</v>
      </c>
      <c r="BF382" s="1277">
        <f t="shared" si="642"/>
        <v>0</v>
      </c>
      <c r="BG382" s="388">
        <f t="shared" si="642"/>
        <v>0</v>
      </c>
      <c r="BH382" s="1025"/>
      <c r="BI382" s="1282">
        <f t="shared" ca="1" si="643"/>
        <v>0</v>
      </c>
      <c r="BJ382" s="387">
        <f t="shared" ca="1" si="644"/>
        <v>0</v>
      </c>
      <c r="BK382" s="387">
        <f t="shared" ca="1" si="645"/>
        <v>0</v>
      </c>
      <c r="BL382" s="387">
        <f t="shared" ca="1" si="646"/>
        <v>0</v>
      </c>
      <c r="BM382" s="1283">
        <f t="shared" ca="1" si="647"/>
        <v>0</v>
      </c>
      <c r="BN382" s="386">
        <f t="shared" ca="1" si="648"/>
        <v>0</v>
      </c>
      <c r="BO382" s="387">
        <f t="shared" ca="1" si="648"/>
        <v>0</v>
      </c>
      <c r="BP382" s="1277">
        <f t="shared" ca="1" si="648"/>
        <v>0</v>
      </c>
      <c r="BQ382" s="1277">
        <f t="shared" ca="1" si="648"/>
        <v>0</v>
      </c>
      <c r="BR382" s="388">
        <f t="shared" ca="1" si="648"/>
        <v>0</v>
      </c>
      <c r="BS382" s="1025"/>
      <c r="BT382" s="1282">
        <f>+IF($K382="Ongoing",AX382,IF(RIGHT($K382,2)=RIGHT(BT$43,2),SUM($AX382:AX382),0)+IF(RIGHT(BT$43,2)&gt;RIGHT($K382,2),AX382,0))</f>
        <v>0</v>
      </c>
      <c r="BU382" s="387">
        <f>+IF($K382="Ongoing",AY382,IF(RIGHT($K382,2)=RIGHT(BU$43,2),SUM($AX382:AY382),0)+IF(RIGHT(BU$43,2)&gt;RIGHT($K382,2),AY382,0))</f>
        <v>0</v>
      </c>
      <c r="BV382" s="387">
        <f>+IF($K382="Ongoing",AZ382,IF(RIGHT($K382,2)=RIGHT(BV$43,2),SUM($AX382:AZ382),0)+IF(RIGHT(BV$43,2)&gt;RIGHT($K382,2),AZ382,0))</f>
        <v>0</v>
      </c>
      <c r="BW382" s="387">
        <f>+IF($K382="Ongoing",BA382,IF(RIGHT($K382,2)=RIGHT(BW$43,2),SUM($AX382:BA382),0)+IF(RIGHT(BW$43,2)&gt;RIGHT($K382,2),BA382,0))</f>
        <v>0</v>
      </c>
      <c r="BX382" s="1283">
        <f>+IF($K382="Ongoing",BB382,IF(RIGHT($K382,2)=RIGHT(BX$43,2),SUM($AX382:BB382),0)+IF(RIGHT(BX$43,2)&gt;RIGHT($K382,2),BB382,0))</f>
        <v>0</v>
      </c>
      <c r="BY382" s="386">
        <f>+IF($K382="Ongoing",BC382,IF(RIGHT($K382,2)=RIGHT(BY$43,2),SUM($AX382:BC382),0)+IF(RIGHT(BY$43,2)&gt;RIGHT($K382,2),BC382,0))</f>
        <v>0</v>
      </c>
      <c r="BZ382" s="387">
        <f>+IF($K382="Ongoing",BD382,IF(RIGHT($K382,2)=RIGHT(BZ$43,2),SUM($AX382:BD382),0)+IF(RIGHT(BZ$43,2)&gt;RIGHT($K382,2),BD382,0))</f>
        <v>0</v>
      </c>
      <c r="CA382" s="1277">
        <f>+IF($K382="Ongoing",BE382,IF(RIGHT($K382,2)=RIGHT(CA$43,2),SUM($AX382:BE382),0)+IF(RIGHT(CA$43,2)&gt;RIGHT($K382,2),BE382,0))</f>
        <v>0</v>
      </c>
      <c r="CB382" s="1277">
        <f>+IF($K382="Ongoing",BF382,IF(RIGHT($K382,2)=RIGHT(CB$43,2),SUM($AX382:BF382),0)+IF(RIGHT(CB$43,2)&gt;RIGHT($K382,2),BF382,0))</f>
        <v>0</v>
      </c>
      <c r="CC382" s="388">
        <f>+IF($K382="Ongoing",BG382,IF(RIGHT($K382,2)=RIGHT(CC$43,2),SUM($AX382:BG382),0)+IF(RIGHT(CC$43,2)&gt;RIGHT($K382,2),BG382,0))</f>
        <v>0</v>
      </c>
      <c r="CD382" s="1025"/>
      <c r="CE382" s="1282">
        <f>+Q382*KeyAssumptionsPriceControl_FO!AF$15</f>
        <v>0</v>
      </c>
      <c r="CF382" s="387">
        <f>+R382*KeyAssumptionsPriceControl_FO!AG$15</f>
        <v>0</v>
      </c>
      <c r="CG382" s="387">
        <f>+S382*KeyAssumptionsPriceControl_FO!AH$15</f>
        <v>0</v>
      </c>
      <c r="CH382" s="387">
        <f>+T382*KeyAssumptionsPriceControl_FO!AI$15</f>
        <v>0</v>
      </c>
      <c r="CI382" s="1283">
        <f>+U382*KeyAssumptionsPriceControl_FO!AJ$15</f>
        <v>0</v>
      </c>
      <c r="CJ382" s="386">
        <f>+V382*KeyAssumptionsPriceControl_FO!AK$15</f>
        <v>0</v>
      </c>
      <c r="CK382" s="387">
        <f>+W382*KeyAssumptionsPriceControl_FO!AL$15</f>
        <v>0</v>
      </c>
      <c r="CL382" s="1277">
        <f>+X382*KeyAssumptionsPriceControl_FO!AM$15</f>
        <v>0</v>
      </c>
      <c r="CM382" s="1277">
        <f>+Y382*KeyAssumptionsPriceControl_FO!AN$15</f>
        <v>0</v>
      </c>
      <c r="CN382" s="388">
        <f>+Z382*KeyAssumptionsPriceControl_FO!AO$15</f>
        <v>0</v>
      </c>
      <c r="CO382" s="1025"/>
      <c r="CP382" s="1282">
        <f t="shared" ca="1" si="649"/>
        <v>0</v>
      </c>
      <c r="CQ382" s="387">
        <f t="shared" ca="1" si="650"/>
        <v>0</v>
      </c>
      <c r="CR382" s="387">
        <f t="shared" ca="1" si="651"/>
        <v>0</v>
      </c>
      <c r="CS382" s="387">
        <f t="shared" ca="1" si="652"/>
        <v>0</v>
      </c>
      <c r="CT382" s="1283">
        <f t="shared" ca="1" si="653"/>
        <v>0</v>
      </c>
      <c r="CU382" s="386">
        <f t="shared" ca="1" si="654"/>
        <v>0</v>
      </c>
      <c r="CV382" s="387">
        <f t="shared" ca="1" si="655"/>
        <v>0</v>
      </c>
      <c r="CW382" s="1277">
        <f t="shared" ca="1" si="656"/>
        <v>0</v>
      </c>
      <c r="CX382" s="1277">
        <f t="shared" ca="1" si="657"/>
        <v>0</v>
      </c>
      <c r="CY382" s="388">
        <f t="shared" ca="1" si="658"/>
        <v>0</v>
      </c>
      <c r="CZ382" s="347"/>
      <c r="DA382" s="852"/>
      <c r="DB382" s="347"/>
      <c r="DC382" s="1012" t="s">
        <v>517</v>
      </c>
      <c r="DD382" s="841" t="s">
        <v>518</v>
      </c>
      <c r="DE382" s="386">
        <f>+IF($K382="ongoing",CE382,IF(RIGHT($K382,2)=RIGHT(DE$43,2),SUM($CD382:CE382),0)+IF(RIGHT(DE$43,2)&gt;RIGHT($K382,2),CE382,0))</f>
        <v>0</v>
      </c>
      <c r="DF382" s="387">
        <f>+IF($K382="ongoing",CF382,IF(RIGHT($K382,2)=RIGHT(DF$43,2),SUM($CD382:CF382),0)+IF(RIGHT(DF$43,2)&gt;RIGHT($K382,2),CF382,0))</f>
        <v>0</v>
      </c>
      <c r="DG382" s="388">
        <f>+IF($K382="ongoing",CG382,IF(RIGHT($K382,2)=RIGHT(DG$43,2),SUM($CD382:CG382),0)+IF(RIGHT(DG$43,2)&gt;RIGHT($K382,2),CG382,0))</f>
        <v>0</v>
      </c>
      <c r="DH382" s="386">
        <f>+IF($K382="ongoing",CH382,IF(RIGHT($K382,2)=RIGHT(DH$43,2),SUM($CD382:CH382),0)+IF(RIGHT(DH$43,2)&gt;RIGHT($K382,2),CH382,0))</f>
        <v>0</v>
      </c>
      <c r="DI382" s="387">
        <f>+IF($K382="ongoing",CI382,IF(RIGHT($K382,2)=RIGHT(DI$43,2),SUM($CD382:CI382),0)+IF(RIGHT(DI$43,2)&gt;RIGHT($K382,2),CI382,0))</f>
        <v>0</v>
      </c>
      <c r="DJ382" s="387">
        <f>+IF($K382="ongoing",CJ382,IF(RIGHT($K382,2)=RIGHT(DJ$43,2),SUM($CD382:CJ382),0)+IF(RIGHT(DJ$43,2)&gt;RIGHT($K382,2),CJ382,0))</f>
        <v>0</v>
      </c>
      <c r="DK382" s="387">
        <f>+IF($K382="ongoing",CK382,IF(RIGHT($K382,2)=RIGHT(DK$43,2),SUM($CD382:CK382),0)+IF(RIGHT(DK$43,2)&gt;RIGHT($K382,2),CK382,0))</f>
        <v>0</v>
      </c>
      <c r="DL382" s="388">
        <f>+IF($K382="ongoing",CN382,IF(RIGHT($K382,2)=RIGHT(DL$43,2),SUM($CD382:CN382),0)+IF(RIGHT(DL$43,2)&gt;RIGHT($K382,2),CN382,0))</f>
        <v>0</v>
      </c>
      <c r="DM382" s="841"/>
      <c r="DN382" s="386">
        <f t="shared" si="667"/>
        <v>0.5</v>
      </c>
      <c r="DO382" s="387">
        <f t="shared" si="667"/>
        <v>1</v>
      </c>
      <c r="DP382" s="388">
        <f t="shared" si="667"/>
        <v>1</v>
      </c>
      <c r="DQ382" s="386">
        <f t="shared" si="667"/>
        <v>1</v>
      </c>
      <c r="DR382" s="387">
        <f t="shared" si="667"/>
        <v>1</v>
      </c>
      <c r="DS382" s="387">
        <f t="shared" si="667"/>
        <v>1</v>
      </c>
      <c r="DT382" s="387">
        <f t="shared" si="667"/>
        <v>1</v>
      </c>
      <c r="DU382" s="388">
        <f t="shared" si="667"/>
        <v>1</v>
      </c>
      <c r="DW382" s="386">
        <f t="shared" si="668"/>
        <v>0</v>
      </c>
      <c r="DX382" s="387">
        <f t="shared" si="668"/>
        <v>0.5</v>
      </c>
      <c r="DY382" s="388">
        <f t="shared" si="668"/>
        <v>1</v>
      </c>
      <c r="DZ382" s="386">
        <f t="shared" si="668"/>
        <v>1</v>
      </c>
      <c r="EA382" s="387">
        <f t="shared" si="668"/>
        <v>1</v>
      </c>
      <c r="EB382" s="387">
        <f t="shared" si="668"/>
        <v>1</v>
      </c>
      <c r="EC382" s="387">
        <f t="shared" si="668"/>
        <v>1</v>
      </c>
      <c r="ED382" s="388">
        <f t="shared" si="668"/>
        <v>1</v>
      </c>
      <c r="EF382" s="834">
        <f>+IF(DN382=DM382,0,
IF(AND(EF$44&gt;1,DN382=$N382),1-SUM($EE382:EE382),
IF($N382&lt;=1,
IF($N382&gt;0,1/$N382,0),
IF(EF$44=1,0,VDB(1,0,$N382,INT(EF$44-1-1),MIN($N382,INT(EF$44-1-1)+1),$DC382,IF($DD382="No",1,0))/
IF(DM382&gt;=INT($N382),$N382-INT($N382),1)))*
IF(EF$44=1,0,
IF(INT(DN382)=INT(DM382),DN382-DM382,INT(DN382)-DM382))+
IF($N382&lt;=1,
IF($N382&gt;0,1/$N382,0),VDB(1,0,$N382,INT(EF$44-1),MIN($N382,INT(EF$44-1)+1),$DC382,IF($DD382="No",1,0))/
IF(DN382&gt;INT($N382),$N382-INT($N382),1))*
IF(EF$44=1,DN382,
IF(INT(DN382)=INT(DM382),0,DN382-INT(DN382)))))</f>
        <v>0</v>
      </c>
      <c r="EG382" s="835">
        <f>+IF(DO382=DN382,0,
IF(AND(EG$44&gt;1,DO382=$N382),1-SUM($EE382:EF382),
IF($N382&lt;=1,
IF($N382&gt;0,1/$N382,0),
IF(EG$44=1,0,VDB(1,0,$N382,INT(EG$44-1-1),MIN($N382,INT(EG$44-1-1)+1),$DC382,IF($DD382="No",1,0))/
IF(DN382&gt;=INT($N382),$N382-INT($N382),1)))*
IF(EG$44=1,0,
IF(INT(DO382)=INT(DN382),DO382-DN382,INT(DO382)-DN382))+
IF($N382&lt;=1,
IF($N382&gt;0,1/$N382,0),VDB(1,0,$N382,INT(EG$44-1),MIN($N382,INT(EG$44-1)+1),$DC382,IF($DD382="No",1,0))/
IF(DO382&gt;INT($N382),$N382-INT($N382),1))*
IF(EG$44=1,DO382,
IF(INT(DO382)=INT(DN382),0,DO382-INT(DO382)))))</f>
        <v>0</v>
      </c>
      <c r="EH382" s="836">
        <f>+IF(DP382=DO382,0,
IF(AND(EH$44&gt;1,DP382=$N382),1-SUM($EE382:EG382),
IF($N382&lt;=1,
IF($N382&gt;0,1/$N382,0),
IF(EH$44=1,0,VDB(1,0,$N382,INT(EH$44-1-1),MIN($N382,INT(EH$44-1-1)+1),$DC382,IF($DD382="No",1,0))/
IF(DO382&gt;=INT($N382),$N382-INT($N382),1)))*
IF(EH$44=1,0,
IF(INT(DP382)=INT(DO382),DP382-DO382,INT(DP382)-DO382))+
IF($N382&lt;=1,
IF($N382&gt;0,1/$N382,0),VDB(1,0,$N382,INT(EH$44-1),MIN($N382,INT(EH$44-1)+1),$DC382,IF($DD382="No",1,0))/
IF(DP382&gt;INT($N382),$N382-INT($N382),1))*
IF(EH$44=1,DP382,
IF(INT(DP382)=INT(DO382),0,DP382-INT(DP382)))))</f>
        <v>0</v>
      </c>
      <c r="EI382" s="834">
        <f>+IF(DQ382=DP382,0,
IF(AND(EI$44&gt;1,DQ382=$N382),1-SUM($EE382:EH382),
IF($N382&lt;=1,
IF($N382&gt;0,1/$N382,0),
IF(EI$44=1,0,VDB(1,0,$N382,INT(EI$44-1-1),MIN($N382,INT(EI$44-1-1)+1),$DC382,IF($DD382="No",1,0))/
IF(DP382&gt;=INT($N382),$N382-INT($N382),1)))*
IF(EI$44=1,0,
IF(INT(DQ382)=INT(DP382),DQ382-DP382,INT(DQ382)-DP382))+
IF($N382&lt;=1,
IF($N382&gt;0,1/$N382,0),VDB(1,0,$N382,INT(EI$44-1),MIN($N382,INT(EI$44-1)+1),$DC382,IF($DD382="No",1,0))/
IF(DQ382&gt;INT($N382),$N382-INT($N382),1))*
IF(EI$44=1,DQ382,
IF(INT(DQ382)=INT(DP382),0,DQ382-INT(DQ382)))))</f>
        <v>0</v>
      </c>
      <c r="EJ382" s="835">
        <f>+IF(DR382=DQ382,0,
IF(AND(EJ$44&gt;1,DR382=$N382),1-SUM($EE382:EI382),
IF($N382&lt;=1,
IF($N382&gt;0,1/$N382,0),
IF(EJ$44=1,0,VDB(1,0,$N382,INT(EJ$44-1-1),MIN($N382,INT(EJ$44-1-1)+1),$DC382,IF($DD382="No",1,0))/
IF(DQ382&gt;=INT($N382),$N382-INT($N382),1)))*
IF(EJ$44=1,0,
IF(INT(DR382)=INT(DQ382),DR382-DQ382,INT(DR382)-DQ382))+
IF($N382&lt;=1,
IF($N382&gt;0,1/$N382,0),VDB(1,0,$N382,INT(EJ$44-1),MIN($N382,INT(EJ$44-1)+1),$DC382,IF($DD382="No",1,0))/
IF(DR382&gt;INT($N382),$N382-INT($N382),1))*
IF(EJ$44=1,DR382,
IF(INT(DR382)=INT(DQ382),0,DR382-INT(DR382)))))</f>
        <v>0</v>
      </c>
      <c r="EK382" s="835">
        <f>+IF(DS382=DR382,0,
IF(AND(EK$44&gt;1,DS382=$N382),1-SUM($EE382:EJ382),
IF($N382&lt;=1,
IF($N382&gt;0,1/$N382,0),
IF(EK$44=1,0,VDB(1,0,$N382,INT(EK$44-1-1),MIN($N382,INT(EK$44-1-1)+1),$DC382,IF($DD382="No",1,0))/
IF(DR382&gt;=INT($N382),$N382-INT($N382),1)))*
IF(EK$44=1,0,
IF(INT(DS382)=INT(DR382),DS382-DR382,INT(DS382)-DR382))+
IF($N382&lt;=1,
IF($N382&gt;0,1/$N382,0),VDB(1,0,$N382,INT(EK$44-1),MIN($N382,INT(EK$44-1)+1),$DC382,IF($DD382="No",1,0))/
IF(DS382&gt;INT($N382),$N382-INT($N382),1))*
IF(EK$44=1,DS382,
IF(INT(DS382)=INT(DR382),0,DS382-INT(DS382)))))</f>
        <v>0</v>
      </c>
      <c r="EL382" s="835">
        <f>+IF(DT382=DS382,0,
IF(AND(EL$44&gt;1,DT382=$N382),1-SUM($EE382:EK382),
IF($N382&lt;=1,
IF($N382&gt;0,1/$N382,0),
IF(EL$44=1,0,VDB(1,0,$N382,INT(EL$44-1-1),MIN($N382,INT(EL$44-1-1)+1),$DC382,IF($DD382="No",1,0))/
IF(DS382&gt;=INT($N382),$N382-INT($N382),1)))*
IF(EL$44=1,0,
IF(INT(DT382)=INT(DS382),DT382-DS382,INT(DT382)-DS382))+
IF($N382&lt;=1,
IF($N382&gt;0,1/$N382,0),VDB(1,0,$N382,INT(EL$44-1),MIN($N382,INT(EL$44-1)+1),$DC382,IF($DD382="No",1,0))/
IF(DT382&gt;INT($N382),$N382-INT($N382),1))*
IF(EL$44=1,DT382,
IF(INT(DT382)=INT(DS382),0,DT382-INT(DT382)))))</f>
        <v>0</v>
      </c>
      <c r="EM382" s="836">
        <f>+IF(DU382=DT382,0,
IF(AND(EM$44&gt;1,DU382=$N382),1-SUM($EE382:EL382),
IF($N382&lt;=1,
IF($N382&gt;0,1/$N382,0),
IF(EM$44=1,0,VDB(1,0,$N382,INT(EM$44-1-1),MIN($N382,INT(EM$44-1-1)+1),$DC382,IF($DD382="No",1,0))/
IF(DT382&gt;=INT($N382),$N382-INT($N382),1)))*
IF(EM$44=1,0,
IF(INT(DU382)=INT(DT382),DU382-DT382,INT(DU382)-DT382))+
IF($N382&lt;=1,
IF($N382&gt;0,1/$N382,0),VDB(1,0,$N382,INT(EM$44-1),MIN($N382,INT(EM$44-1)+1),$DC382,IF($DD382="No",1,0))/
IF(DU382&gt;INT($N382),$N382-INT($N382),1))*
IF(EM$44=1,DU382,
IF(INT(DU382)=INT(DT382),0,DU382-INT(DU382)))))</f>
        <v>0</v>
      </c>
      <c r="EN382" s="833"/>
      <c r="EO382" s="834">
        <f>+IF(OR(DW382=DV382,EO$44=1),0,
IF(AND(EO$44&gt;1,DW382=$N382),1-SUM($EN382:EN382),
IF($N382&lt;=1,
IF($N382&gt;0,1/$N382,0),
IF(EO$44=2,0,VDB(1,0,$N382,INT(EO$44-2-1),MIN($N382,INT(EO$44-2-1)+1),$DC382,IF($DD382="No",1,0))/
IF(DV382&gt;=INT($N382),$N382-INT($N382),1)))*
IF(EO$44=2,0,
IF(INT(DW382)=INT(DV382),DW382-DV382,INT(DW382)-DV382))+
IF($N382&lt;=1,
IF($N382&gt;0,1/$N382,0),VDB(1,0,$N382,INT(EO$44-2),MIN($N382,INT(EO$44-2)+1),$DC382,IF($DD382="No",1,0))/
IF(DW382&gt;INT($N382),$N382-INT($N382),1))*
IF(EO$44=2,DW382,
IF(INT(DW382)=INT(DV382),0,DW382-INT(DW382)))))</f>
        <v>0</v>
      </c>
      <c r="EP382" s="835">
        <f>+IF(OR(DX382=DW382,EP$44=1),0,
IF(AND(EP$44&gt;1,DX382=$N382),1-SUM($EN382:EO382),
IF($N382&lt;=1,
IF($N382&gt;0,1/$N382,0),
IF(EP$44=2,0,VDB(1,0,$N382,INT(EP$44-2-1),MIN($N382,INT(EP$44-2-1)+1),$DC382,IF($DD382="No",1,0))/
IF(DW382&gt;=INT($N382),$N382-INT($N382),1)))*
IF(EP$44=2,0,
IF(INT(DX382)=INT(DW382),DX382-DW382,INT(DX382)-DW382))+
IF($N382&lt;=1,
IF($N382&gt;0,1/$N382,0),VDB(1,0,$N382,INT(EP$44-2),MIN($N382,INT(EP$44-2)+1),$DC382,IF($DD382="No",1,0))/
IF(DX382&gt;INT($N382),$N382-INT($N382),1))*
IF(EP$44=2,DX382,
IF(INT(DX382)=INT(DW382),0,DX382-INT(DX382)))))</f>
        <v>0</v>
      </c>
      <c r="EQ382" s="836">
        <f>+IF(OR(DY382=DX382,EQ$44=1),0,
IF(AND(EQ$44&gt;1,DY382=$N382),1-SUM($EN382:EP382),
IF($N382&lt;=1,
IF($N382&gt;0,1/$N382,0),
IF(EQ$44=2,0,VDB(1,0,$N382,INT(EQ$44-2-1),MIN($N382,INT(EQ$44-2-1)+1),$DC382,IF($DD382="No",1,0))/
IF(DX382&gt;=INT($N382),$N382-INT($N382),1)))*
IF(EQ$44=2,0,
IF(INT(DY382)=INT(DX382),DY382-DX382,INT(DY382)-DX382))+
IF($N382&lt;=1,
IF($N382&gt;0,1/$N382,0),VDB(1,0,$N382,INT(EQ$44-2),MIN($N382,INT(EQ$44-2)+1),$DC382,IF($DD382="No",1,0))/
IF(DY382&gt;INT($N382),$N382-INT($N382),1))*
IF(EQ$44=2,DY382,
IF(INT(DY382)=INT(DX382),0,DY382-INT(DY382)))))</f>
        <v>0</v>
      </c>
      <c r="ER382" s="834">
        <f>+IF(OR(DZ382=DY382,ER$44=1),0,
IF(AND(ER$44&gt;1,DZ382=$N382),1-SUM($EN382:EQ382),
IF($N382&lt;=1,
IF($N382&gt;0,1/$N382,0),
IF(ER$44=2,0,VDB(1,0,$N382,INT(ER$44-2-1),MIN($N382,INT(ER$44-2-1)+1),$DC382,IF($DD382="No",1,0))/
IF(DY382&gt;=INT($N382),$N382-INT($N382),1)))*
IF(ER$44=2,0,
IF(INT(DZ382)=INT(DY382),DZ382-DY382,INT(DZ382)-DY382))+
IF($N382&lt;=1,
IF($N382&gt;0,1/$N382,0),VDB(1,0,$N382,INT(ER$44-2),MIN($N382,INT(ER$44-2)+1),$DC382,IF($DD382="No",1,0))/
IF(DZ382&gt;INT($N382),$N382-INT($N382),1))*
IF(ER$44=2,DZ382,
IF(INT(DZ382)=INT(DY382),0,DZ382-INT(DZ382)))))</f>
        <v>0</v>
      </c>
      <c r="ES382" s="835">
        <f>+IF(OR(EA382=DZ382,ES$44=1),0,
IF(AND(ES$44&gt;1,EA382=$N382),1-SUM($EN382:ER382),
IF($N382&lt;=1,
IF($N382&gt;0,1/$N382,0),
IF(ES$44=2,0,VDB(1,0,$N382,INT(ES$44-2-1),MIN($N382,INT(ES$44-2-1)+1),$DC382,IF($DD382="No",1,0))/
IF(DZ382&gt;=INT($N382),$N382-INT($N382),1)))*
IF(ES$44=2,0,
IF(INT(EA382)=INT(DZ382),EA382-DZ382,INT(EA382)-DZ382))+
IF($N382&lt;=1,
IF($N382&gt;0,1/$N382,0),VDB(1,0,$N382,INT(ES$44-2),MIN($N382,INT(ES$44-2)+1),$DC382,IF($DD382="No",1,0))/
IF(EA382&gt;INT($N382),$N382-INT($N382),1))*
IF(ES$44=2,EA382,
IF(INT(EA382)=INT(DZ382),0,EA382-INT(EA382)))))</f>
        <v>0</v>
      </c>
      <c r="ET382" s="835">
        <f>+IF(OR(EB382=EA382,ET$44=1),0,
IF(AND(ET$44&gt;1,EB382=$N382),1-SUM($EN382:ES382),
IF($N382&lt;=1,
IF($N382&gt;0,1/$N382,0),
IF(ET$44=2,0,VDB(1,0,$N382,INT(ET$44-2-1),MIN($N382,INT(ET$44-2-1)+1),$DC382,IF($DD382="No",1,0))/
IF(EA382&gt;=INT($N382),$N382-INT($N382),1)))*
IF(ET$44=2,0,
IF(INT(EB382)=INT(EA382),EB382-EA382,INT(EB382)-EA382))+
IF($N382&lt;=1,
IF($N382&gt;0,1/$N382,0),VDB(1,0,$N382,INT(ET$44-2),MIN($N382,INT(ET$44-2)+1),$DC382,IF($DD382="No",1,0))/
IF(EB382&gt;INT($N382),$N382-INT($N382),1))*
IF(ET$44=2,EB382,
IF(INT(EB382)=INT(EA382),0,EB382-INT(EB382)))))</f>
        <v>0</v>
      </c>
      <c r="EU382" s="835">
        <f>+IF(OR(EC382=EB382,EU$44=1),0,
IF(AND(EU$44&gt;1,EC382=$N382),1-SUM($EN382:ET382),
IF($N382&lt;=1,
IF($N382&gt;0,1/$N382,0),
IF(EU$44=2,0,VDB(1,0,$N382,INT(EU$44-2-1),MIN($N382,INT(EU$44-2-1)+1),$DC382,IF($DD382="No",1,0))/
IF(EB382&gt;=INT($N382),$N382-INT($N382),1)))*
IF(EU$44=2,0,
IF(INT(EC382)=INT(EB382),EC382-EB382,INT(EC382)-EB382))+
IF($N382&lt;=1,
IF($N382&gt;0,1/$N382,0),VDB(1,0,$N382,INT(EU$44-2),MIN($N382,INT(EU$44-2)+1),$DC382,IF($DD382="No",1,0))/
IF(EC382&gt;INT($N382),$N382-INT($N382),1))*
IF(EU$44=2,EC382,
IF(INT(EC382)=INT(EB382),0,EC382-INT(EC382)))))</f>
        <v>0</v>
      </c>
      <c r="EV382" s="836">
        <f>+IF(OR(ED382=EC382,EV$44=1),0,
IF(AND(EV$44&gt;1,ED382=$N382),1-SUM($EN382:EU382),
IF($N382&lt;=1,
IF($N382&gt;0,1/$N382,0),
IF(EV$44=2,0,VDB(1,0,$N382,INT(EV$44-2-1),MIN($N382,INT(EV$44-2-1)+1),$DC382,IF($DD382="No",1,0))/
IF(EC382&gt;=INT($N382),$N382-INT($N382),1)))*
IF(EV$44=2,0,
IF(INT(ED382)=INT(EC382),ED382-EC382,INT(ED382)-EC382))+
IF($N382&lt;=1,
IF($N382&gt;0,1/$N382,0),VDB(1,0,$N382,INT(EV$44-2),MIN($N382,INT(EV$44-2)+1),$DC382,IF($DD382="No",1,0))/
IF(ED382&gt;INT($N382),$N382-INT($N382),1))*
IF(EV$44=2,ED382,
IF(INT(ED382)=INT(EC382),0,ED382-INT(ED382)))))</f>
        <v>0</v>
      </c>
      <c r="EW382" s="833"/>
      <c r="EX382" s="834">
        <f t="shared" ca="1" si="669"/>
        <v>0</v>
      </c>
      <c r="EY382" s="835">
        <f t="shared" ca="1" si="669"/>
        <v>0</v>
      </c>
      <c r="EZ382" s="836">
        <f t="shared" ca="1" si="669"/>
        <v>0</v>
      </c>
      <c r="FA382" s="834">
        <f t="shared" ca="1" si="669"/>
        <v>0</v>
      </c>
      <c r="FB382" s="835">
        <f t="shared" ca="1" si="669"/>
        <v>0</v>
      </c>
      <c r="FC382" s="835">
        <f t="shared" ca="1" si="669"/>
        <v>0</v>
      </c>
      <c r="FD382" s="835">
        <f t="shared" ca="1" si="669"/>
        <v>0</v>
      </c>
      <c r="FE382" s="836">
        <f t="shared" ca="1" si="669"/>
        <v>0</v>
      </c>
      <c r="FG382" s="386">
        <f t="shared" ca="1" si="659"/>
        <v>0</v>
      </c>
      <c r="FH382" s="387">
        <f t="shared" ca="1" si="660"/>
        <v>0</v>
      </c>
      <c r="FI382" s="388">
        <f t="shared" ca="1" si="661"/>
        <v>0</v>
      </c>
      <c r="FJ382" s="386">
        <f t="shared" ca="1" si="662"/>
        <v>0</v>
      </c>
      <c r="FK382" s="387">
        <f t="shared" ca="1" si="663"/>
        <v>0</v>
      </c>
      <c r="FL382" s="387">
        <f t="shared" ca="1" si="664"/>
        <v>0</v>
      </c>
      <c r="FM382" s="387">
        <f t="shared" ca="1" si="665"/>
        <v>0</v>
      </c>
      <c r="FN382" s="388">
        <f t="shared" ca="1" si="666"/>
        <v>0</v>
      </c>
      <c r="FR382" s="116"/>
    </row>
    <row r="383" spans="2:174">
      <c r="B383" s="1410">
        <f t="shared" si="556"/>
        <v>337</v>
      </c>
      <c r="C383" s="400"/>
      <c r="D383" s="410"/>
      <c r="E383" s="402"/>
      <c r="F383" s="402"/>
      <c r="G383" s="400"/>
      <c r="H383" s="2088"/>
      <c r="I383" s="2089"/>
      <c r="J383" s="411"/>
      <c r="K383" s="403"/>
      <c r="L383" s="403"/>
      <c r="M383" s="403"/>
      <c r="N383" s="403"/>
      <c r="O383" s="347"/>
      <c r="P383" s="347"/>
      <c r="Q383" s="1021"/>
      <c r="R383" s="1022"/>
      <c r="S383" s="1022"/>
      <c r="T383" s="1022"/>
      <c r="U383" s="1023"/>
      <c r="V383" s="1021"/>
      <c r="W383" s="1022"/>
      <c r="X383" s="1022"/>
      <c r="Y383" s="1022"/>
      <c r="Z383" s="1023"/>
      <c r="AA383" s="1024"/>
      <c r="AB383" s="1021"/>
      <c r="AC383" s="1022"/>
      <c r="AD383" s="1022"/>
      <c r="AE383" s="1022"/>
      <c r="AF383" s="1023"/>
      <c r="AG383" s="1021"/>
      <c r="AH383" s="1022"/>
      <c r="AI383" s="1022"/>
      <c r="AJ383" s="1022"/>
      <c r="AK383" s="1023"/>
      <c r="AL383" s="1024"/>
      <c r="AM383" s="1021"/>
      <c r="AN383" s="1022"/>
      <c r="AO383" s="1022"/>
      <c r="AP383" s="1022"/>
      <c r="AQ383" s="1023"/>
      <c r="AR383" s="1021"/>
      <c r="AS383" s="1022"/>
      <c r="AT383" s="1022"/>
      <c r="AU383" s="1022"/>
      <c r="AV383" s="1023"/>
      <c r="AW383" s="1025"/>
      <c r="AX383" s="1282">
        <f t="shared" si="635"/>
        <v>0</v>
      </c>
      <c r="AY383" s="387">
        <f t="shared" si="636"/>
        <v>0</v>
      </c>
      <c r="AZ383" s="387">
        <f t="shared" si="637"/>
        <v>0</v>
      </c>
      <c r="BA383" s="387">
        <f t="shared" si="638"/>
        <v>0</v>
      </c>
      <c r="BB383" s="1283">
        <f t="shared" si="639"/>
        <v>0</v>
      </c>
      <c r="BC383" s="386">
        <f t="shared" si="640"/>
        <v>0</v>
      </c>
      <c r="BD383" s="387">
        <f t="shared" si="641"/>
        <v>0</v>
      </c>
      <c r="BE383" s="1277">
        <f t="shared" si="642"/>
        <v>0</v>
      </c>
      <c r="BF383" s="1277">
        <f t="shared" si="642"/>
        <v>0</v>
      </c>
      <c r="BG383" s="388">
        <f t="shared" si="642"/>
        <v>0</v>
      </c>
      <c r="BH383" s="1025"/>
      <c r="BI383" s="1282">
        <f t="shared" ca="1" si="643"/>
        <v>0</v>
      </c>
      <c r="BJ383" s="387">
        <f t="shared" ca="1" si="644"/>
        <v>0</v>
      </c>
      <c r="BK383" s="387">
        <f t="shared" ca="1" si="645"/>
        <v>0</v>
      </c>
      <c r="BL383" s="387">
        <f t="shared" ca="1" si="646"/>
        <v>0</v>
      </c>
      <c r="BM383" s="1283">
        <f t="shared" ca="1" si="647"/>
        <v>0</v>
      </c>
      <c r="BN383" s="386">
        <f t="shared" ca="1" si="648"/>
        <v>0</v>
      </c>
      <c r="BO383" s="387">
        <f t="shared" ca="1" si="648"/>
        <v>0</v>
      </c>
      <c r="BP383" s="1277">
        <f t="shared" ca="1" si="648"/>
        <v>0</v>
      </c>
      <c r="BQ383" s="1277">
        <f t="shared" ca="1" si="648"/>
        <v>0</v>
      </c>
      <c r="BR383" s="388">
        <f t="shared" ca="1" si="648"/>
        <v>0</v>
      </c>
      <c r="BS383" s="1025"/>
      <c r="BT383" s="1282">
        <f>+IF($K383="Ongoing",AX383,IF(RIGHT($K383,2)=RIGHT(BT$43,2),SUM($AX383:AX383),0)+IF(RIGHT(BT$43,2)&gt;RIGHT($K383,2),AX383,0))</f>
        <v>0</v>
      </c>
      <c r="BU383" s="387">
        <f>+IF($K383="Ongoing",AY383,IF(RIGHT($K383,2)=RIGHT(BU$43,2),SUM($AX383:AY383),0)+IF(RIGHT(BU$43,2)&gt;RIGHT($K383,2),AY383,0))</f>
        <v>0</v>
      </c>
      <c r="BV383" s="387">
        <f>+IF($K383="Ongoing",AZ383,IF(RIGHT($K383,2)=RIGHT(BV$43,2),SUM($AX383:AZ383),0)+IF(RIGHT(BV$43,2)&gt;RIGHT($K383,2),AZ383,0))</f>
        <v>0</v>
      </c>
      <c r="BW383" s="387">
        <f>+IF($K383="Ongoing",BA383,IF(RIGHT($K383,2)=RIGHT(BW$43,2),SUM($AX383:BA383),0)+IF(RIGHT(BW$43,2)&gt;RIGHT($K383,2),BA383,0))</f>
        <v>0</v>
      </c>
      <c r="BX383" s="1283">
        <f>+IF($K383="Ongoing",BB383,IF(RIGHT($K383,2)=RIGHT(BX$43,2),SUM($AX383:BB383),0)+IF(RIGHT(BX$43,2)&gt;RIGHT($K383,2),BB383,0))</f>
        <v>0</v>
      </c>
      <c r="BY383" s="386">
        <f>+IF($K383="Ongoing",BC383,IF(RIGHT($K383,2)=RIGHT(BY$43,2),SUM($AX383:BC383),0)+IF(RIGHT(BY$43,2)&gt;RIGHT($K383,2),BC383,0))</f>
        <v>0</v>
      </c>
      <c r="BZ383" s="387">
        <f>+IF($K383="Ongoing",BD383,IF(RIGHT($K383,2)=RIGHT(BZ$43,2),SUM($AX383:BD383),0)+IF(RIGHT(BZ$43,2)&gt;RIGHT($K383,2),BD383,0))</f>
        <v>0</v>
      </c>
      <c r="CA383" s="1277">
        <f>+IF($K383="Ongoing",BE383,IF(RIGHT($K383,2)=RIGHT(CA$43,2),SUM($AX383:BE383),0)+IF(RIGHT(CA$43,2)&gt;RIGHT($K383,2),BE383,0))</f>
        <v>0</v>
      </c>
      <c r="CB383" s="1277">
        <f>+IF($K383="Ongoing",BF383,IF(RIGHT($K383,2)=RIGHT(CB$43,2),SUM($AX383:BF383),0)+IF(RIGHT(CB$43,2)&gt;RIGHT($K383,2),BF383,0))</f>
        <v>0</v>
      </c>
      <c r="CC383" s="388">
        <f>+IF($K383="Ongoing",BG383,IF(RIGHT($K383,2)=RIGHT(CC$43,2),SUM($AX383:BG383),0)+IF(RIGHT(CC$43,2)&gt;RIGHT($K383,2),BG383,0))</f>
        <v>0</v>
      </c>
      <c r="CD383" s="1025"/>
      <c r="CE383" s="1282">
        <f>+Q383*KeyAssumptionsPriceControl_FO!AF$15</f>
        <v>0</v>
      </c>
      <c r="CF383" s="387">
        <f>+R383*KeyAssumptionsPriceControl_FO!AG$15</f>
        <v>0</v>
      </c>
      <c r="CG383" s="387">
        <f>+S383*KeyAssumptionsPriceControl_FO!AH$15</f>
        <v>0</v>
      </c>
      <c r="CH383" s="387">
        <f>+T383*KeyAssumptionsPriceControl_FO!AI$15</f>
        <v>0</v>
      </c>
      <c r="CI383" s="1283">
        <f>+U383*KeyAssumptionsPriceControl_FO!AJ$15</f>
        <v>0</v>
      </c>
      <c r="CJ383" s="386">
        <f>+V383*KeyAssumptionsPriceControl_FO!AK$15</f>
        <v>0</v>
      </c>
      <c r="CK383" s="387">
        <f>+W383*KeyAssumptionsPriceControl_FO!AL$15</f>
        <v>0</v>
      </c>
      <c r="CL383" s="1277">
        <f>+X383*KeyAssumptionsPriceControl_FO!AM$15</f>
        <v>0</v>
      </c>
      <c r="CM383" s="1277">
        <f>+Y383*KeyAssumptionsPriceControl_FO!AN$15</f>
        <v>0</v>
      </c>
      <c r="CN383" s="388">
        <f>+Z383*KeyAssumptionsPriceControl_FO!AO$15</f>
        <v>0</v>
      </c>
      <c r="CO383" s="1025"/>
      <c r="CP383" s="1282">
        <f t="shared" ca="1" si="649"/>
        <v>0</v>
      </c>
      <c r="CQ383" s="387">
        <f t="shared" ca="1" si="650"/>
        <v>0</v>
      </c>
      <c r="CR383" s="387">
        <f t="shared" ca="1" si="651"/>
        <v>0</v>
      </c>
      <c r="CS383" s="387">
        <f t="shared" ca="1" si="652"/>
        <v>0</v>
      </c>
      <c r="CT383" s="1283">
        <f t="shared" ca="1" si="653"/>
        <v>0</v>
      </c>
      <c r="CU383" s="386">
        <f t="shared" ca="1" si="654"/>
        <v>0</v>
      </c>
      <c r="CV383" s="387">
        <f t="shared" ca="1" si="655"/>
        <v>0</v>
      </c>
      <c r="CW383" s="1277">
        <f t="shared" ca="1" si="656"/>
        <v>0</v>
      </c>
      <c r="CX383" s="1277">
        <f t="shared" ca="1" si="657"/>
        <v>0</v>
      </c>
      <c r="CY383" s="388">
        <f t="shared" ca="1" si="658"/>
        <v>0</v>
      </c>
      <c r="CZ383" s="347"/>
      <c r="DA383" s="852"/>
      <c r="DB383" s="347"/>
      <c r="DC383" s="1012" t="s">
        <v>517</v>
      </c>
      <c r="DD383" s="841" t="s">
        <v>518</v>
      </c>
      <c r="DE383" s="386">
        <f>+IF($K383="ongoing",CE383,IF(RIGHT($K383,2)=RIGHT(DE$43,2),SUM($CD383:CE383),0)+IF(RIGHT(DE$43,2)&gt;RIGHT($K383,2),CE383,0))</f>
        <v>0</v>
      </c>
      <c r="DF383" s="387">
        <f>+IF($K383="ongoing",CF383,IF(RIGHT($K383,2)=RIGHT(DF$43,2),SUM($CD383:CF383),0)+IF(RIGHT(DF$43,2)&gt;RIGHT($K383,2),CF383,0))</f>
        <v>0</v>
      </c>
      <c r="DG383" s="388">
        <f>+IF($K383="ongoing",CG383,IF(RIGHT($K383,2)=RIGHT(DG$43,2),SUM($CD383:CG383),0)+IF(RIGHT(DG$43,2)&gt;RIGHT($K383,2),CG383,0))</f>
        <v>0</v>
      </c>
      <c r="DH383" s="386">
        <f>+IF($K383="ongoing",CH383,IF(RIGHT($K383,2)=RIGHT(DH$43,2),SUM($CD383:CH383),0)+IF(RIGHT(DH$43,2)&gt;RIGHT($K383,2),CH383,0))</f>
        <v>0</v>
      </c>
      <c r="DI383" s="387">
        <f>+IF($K383="ongoing",CI383,IF(RIGHT($K383,2)=RIGHT(DI$43,2),SUM($CD383:CI383),0)+IF(RIGHT(DI$43,2)&gt;RIGHT($K383,2),CI383,0))</f>
        <v>0</v>
      </c>
      <c r="DJ383" s="387">
        <f>+IF($K383="ongoing",CJ383,IF(RIGHT($K383,2)=RIGHT(DJ$43,2),SUM($CD383:CJ383),0)+IF(RIGHT(DJ$43,2)&gt;RIGHT($K383,2),CJ383,0))</f>
        <v>0</v>
      </c>
      <c r="DK383" s="387">
        <f>+IF($K383="ongoing",CK383,IF(RIGHT($K383,2)=RIGHT(DK$43,2),SUM($CD383:CK383),0)+IF(RIGHT(DK$43,2)&gt;RIGHT($K383,2),CK383,0))</f>
        <v>0</v>
      </c>
      <c r="DL383" s="388">
        <f>+IF($K383="ongoing",CN383,IF(RIGHT($K383,2)=RIGHT(DL$43,2),SUM($CD383:CN383),0)+IF(RIGHT(DL$43,2)&gt;RIGHT($K383,2),CN383,0))</f>
        <v>0</v>
      </c>
      <c r="DM383" s="841"/>
      <c r="DN383" s="386">
        <f t="shared" si="667"/>
        <v>0.5</v>
      </c>
      <c r="DO383" s="387">
        <f t="shared" si="667"/>
        <v>1</v>
      </c>
      <c r="DP383" s="388">
        <f t="shared" si="667"/>
        <v>1</v>
      </c>
      <c r="DQ383" s="386">
        <f t="shared" si="667"/>
        <v>1</v>
      </c>
      <c r="DR383" s="387">
        <f t="shared" si="667"/>
        <v>1</v>
      </c>
      <c r="DS383" s="387">
        <f t="shared" si="667"/>
        <v>1</v>
      </c>
      <c r="DT383" s="387">
        <f t="shared" si="667"/>
        <v>1</v>
      </c>
      <c r="DU383" s="388">
        <f t="shared" si="667"/>
        <v>1</v>
      </c>
      <c r="DW383" s="386">
        <f t="shared" si="668"/>
        <v>0</v>
      </c>
      <c r="DX383" s="387">
        <f t="shared" si="668"/>
        <v>0.5</v>
      </c>
      <c r="DY383" s="388">
        <f t="shared" si="668"/>
        <v>1</v>
      </c>
      <c r="DZ383" s="386">
        <f t="shared" si="668"/>
        <v>1</v>
      </c>
      <c r="EA383" s="387">
        <f t="shared" si="668"/>
        <v>1</v>
      </c>
      <c r="EB383" s="387">
        <f t="shared" si="668"/>
        <v>1</v>
      </c>
      <c r="EC383" s="387">
        <f t="shared" si="668"/>
        <v>1</v>
      </c>
      <c r="ED383" s="388">
        <f t="shared" si="668"/>
        <v>1</v>
      </c>
      <c r="EF383" s="834">
        <f>+IF(DN383=DM383,0,
IF(AND(EF$44&gt;1,DN383=$N383),1-SUM($EE383:EE383),
IF($N383&lt;=1,
IF($N383&gt;0,1/$N383,0),
IF(EF$44=1,0,VDB(1,0,$N383,INT(EF$44-1-1),MIN($N383,INT(EF$44-1-1)+1),$DC383,IF($DD383="No",1,0))/
IF(DM383&gt;=INT($N383),$N383-INT($N383),1)))*
IF(EF$44=1,0,
IF(INT(DN383)=INT(DM383),DN383-DM383,INT(DN383)-DM383))+
IF($N383&lt;=1,
IF($N383&gt;0,1/$N383,0),VDB(1,0,$N383,INT(EF$44-1),MIN($N383,INT(EF$44-1)+1),$DC383,IF($DD383="No",1,0))/
IF(DN383&gt;INT($N383),$N383-INT($N383),1))*
IF(EF$44=1,DN383,
IF(INT(DN383)=INT(DM383),0,DN383-INT(DN383)))))</f>
        <v>0</v>
      </c>
      <c r="EG383" s="835">
        <f>+IF(DO383=DN383,0,
IF(AND(EG$44&gt;1,DO383=$N383),1-SUM($EE383:EF383),
IF($N383&lt;=1,
IF($N383&gt;0,1/$N383,0),
IF(EG$44=1,0,VDB(1,0,$N383,INT(EG$44-1-1),MIN($N383,INT(EG$44-1-1)+1),$DC383,IF($DD383="No",1,0))/
IF(DN383&gt;=INT($N383),$N383-INT($N383),1)))*
IF(EG$44=1,0,
IF(INT(DO383)=INT(DN383),DO383-DN383,INT(DO383)-DN383))+
IF($N383&lt;=1,
IF($N383&gt;0,1/$N383,0),VDB(1,0,$N383,INT(EG$44-1),MIN($N383,INT(EG$44-1)+1),$DC383,IF($DD383="No",1,0))/
IF(DO383&gt;INT($N383),$N383-INT($N383),1))*
IF(EG$44=1,DO383,
IF(INT(DO383)=INT(DN383),0,DO383-INT(DO383)))))</f>
        <v>0</v>
      </c>
      <c r="EH383" s="836">
        <f>+IF(DP383=DO383,0,
IF(AND(EH$44&gt;1,DP383=$N383),1-SUM($EE383:EG383),
IF($N383&lt;=1,
IF($N383&gt;0,1/$N383,0),
IF(EH$44=1,0,VDB(1,0,$N383,INT(EH$44-1-1),MIN($N383,INT(EH$44-1-1)+1),$DC383,IF($DD383="No",1,0))/
IF(DO383&gt;=INT($N383),$N383-INT($N383),1)))*
IF(EH$44=1,0,
IF(INT(DP383)=INT(DO383),DP383-DO383,INT(DP383)-DO383))+
IF($N383&lt;=1,
IF($N383&gt;0,1/$N383,0),VDB(1,0,$N383,INT(EH$44-1),MIN($N383,INT(EH$44-1)+1),$DC383,IF($DD383="No",1,0))/
IF(DP383&gt;INT($N383),$N383-INT($N383),1))*
IF(EH$44=1,DP383,
IF(INT(DP383)=INT(DO383),0,DP383-INT(DP383)))))</f>
        <v>0</v>
      </c>
      <c r="EI383" s="834">
        <f>+IF(DQ383=DP383,0,
IF(AND(EI$44&gt;1,DQ383=$N383),1-SUM($EE383:EH383),
IF($N383&lt;=1,
IF($N383&gt;0,1/$N383,0),
IF(EI$44=1,0,VDB(1,0,$N383,INT(EI$44-1-1),MIN($N383,INT(EI$44-1-1)+1),$DC383,IF($DD383="No",1,0))/
IF(DP383&gt;=INT($N383),$N383-INT($N383),1)))*
IF(EI$44=1,0,
IF(INT(DQ383)=INT(DP383),DQ383-DP383,INT(DQ383)-DP383))+
IF($N383&lt;=1,
IF($N383&gt;0,1/$N383,0),VDB(1,0,$N383,INT(EI$44-1),MIN($N383,INT(EI$44-1)+1),$DC383,IF($DD383="No",1,0))/
IF(DQ383&gt;INT($N383),$N383-INT($N383),1))*
IF(EI$44=1,DQ383,
IF(INT(DQ383)=INT(DP383),0,DQ383-INT(DQ383)))))</f>
        <v>0</v>
      </c>
      <c r="EJ383" s="835">
        <f>+IF(DR383=DQ383,0,
IF(AND(EJ$44&gt;1,DR383=$N383),1-SUM($EE383:EI383),
IF($N383&lt;=1,
IF($N383&gt;0,1/$N383,0),
IF(EJ$44=1,0,VDB(1,0,$N383,INT(EJ$44-1-1),MIN($N383,INT(EJ$44-1-1)+1),$DC383,IF($DD383="No",1,0))/
IF(DQ383&gt;=INT($N383),$N383-INT($N383),1)))*
IF(EJ$44=1,0,
IF(INT(DR383)=INT(DQ383),DR383-DQ383,INT(DR383)-DQ383))+
IF($N383&lt;=1,
IF($N383&gt;0,1/$N383,0),VDB(1,0,$N383,INT(EJ$44-1),MIN($N383,INT(EJ$44-1)+1),$DC383,IF($DD383="No",1,0))/
IF(DR383&gt;INT($N383),$N383-INT($N383),1))*
IF(EJ$44=1,DR383,
IF(INT(DR383)=INT(DQ383),0,DR383-INT(DR383)))))</f>
        <v>0</v>
      </c>
      <c r="EK383" s="835">
        <f>+IF(DS383=DR383,0,
IF(AND(EK$44&gt;1,DS383=$N383),1-SUM($EE383:EJ383),
IF($N383&lt;=1,
IF($N383&gt;0,1/$N383,0),
IF(EK$44=1,0,VDB(1,0,$N383,INT(EK$44-1-1),MIN($N383,INT(EK$44-1-1)+1),$DC383,IF($DD383="No",1,0))/
IF(DR383&gt;=INT($N383),$N383-INT($N383),1)))*
IF(EK$44=1,0,
IF(INT(DS383)=INT(DR383),DS383-DR383,INT(DS383)-DR383))+
IF($N383&lt;=1,
IF($N383&gt;0,1/$N383,0),VDB(1,0,$N383,INT(EK$44-1),MIN($N383,INT(EK$44-1)+1),$DC383,IF($DD383="No",1,0))/
IF(DS383&gt;INT($N383),$N383-INT($N383),1))*
IF(EK$44=1,DS383,
IF(INT(DS383)=INT(DR383),0,DS383-INT(DS383)))))</f>
        <v>0</v>
      </c>
      <c r="EL383" s="835">
        <f>+IF(DT383=DS383,0,
IF(AND(EL$44&gt;1,DT383=$N383),1-SUM($EE383:EK383),
IF($N383&lt;=1,
IF($N383&gt;0,1/$N383,0),
IF(EL$44=1,0,VDB(1,0,$N383,INT(EL$44-1-1),MIN($N383,INT(EL$44-1-1)+1),$DC383,IF($DD383="No",1,0))/
IF(DS383&gt;=INT($N383),$N383-INT($N383),1)))*
IF(EL$44=1,0,
IF(INT(DT383)=INT(DS383),DT383-DS383,INT(DT383)-DS383))+
IF($N383&lt;=1,
IF($N383&gt;0,1/$N383,0),VDB(1,0,$N383,INT(EL$44-1),MIN($N383,INT(EL$44-1)+1),$DC383,IF($DD383="No",1,0))/
IF(DT383&gt;INT($N383),$N383-INT($N383),1))*
IF(EL$44=1,DT383,
IF(INT(DT383)=INT(DS383),0,DT383-INT(DT383)))))</f>
        <v>0</v>
      </c>
      <c r="EM383" s="836">
        <f>+IF(DU383=DT383,0,
IF(AND(EM$44&gt;1,DU383=$N383),1-SUM($EE383:EL383),
IF($N383&lt;=1,
IF($N383&gt;0,1/$N383,0),
IF(EM$44=1,0,VDB(1,0,$N383,INT(EM$44-1-1),MIN($N383,INT(EM$44-1-1)+1),$DC383,IF($DD383="No",1,0))/
IF(DT383&gt;=INT($N383),$N383-INT($N383),1)))*
IF(EM$44=1,0,
IF(INT(DU383)=INT(DT383),DU383-DT383,INT(DU383)-DT383))+
IF($N383&lt;=1,
IF($N383&gt;0,1/$N383,0),VDB(1,0,$N383,INT(EM$44-1),MIN($N383,INT(EM$44-1)+1),$DC383,IF($DD383="No",1,0))/
IF(DU383&gt;INT($N383),$N383-INT($N383),1))*
IF(EM$44=1,DU383,
IF(INT(DU383)=INT(DT383),0,DU383-INT(DU383)))))</f>
        <v>0</v>
      </c>
      <c r="EN383" s="833"/>
      <c r="EO383" s="834">
        <f>+IF(OR(DW383=DV383,EO$44=1),0,
IF(AND(EO$44&gt;1,DW383=$N383),1-SUM($EN383:EN383),
IF($N383&lt;=1,
IF($N383&gt;0,1/$N383,0),
IF(EO$44=2,0,VDB(1,0,$N383,INT(EO$44-2-1),MIN($N383,INT(EO$44-2-1)+1),$DC383,IF($DD383="No",1,0))/
IF(DV383&gt;=INT($N383),$N383-INT($N383),1)))*
IF(EO$44=2,0,
IF(INT(DW383)=INT(DV383),DW383-DV383,INT(DW383)-DV383))+
IF($N383&lt;=1,
IF($N383&gt;0,1/$N383,0),VDB(1,0,$N383,INT(EO$44-2),MIN($N383,INT(EO$44-2)+1),$DC383,IF($DD383="No",1,0))/
IF(DW383&gt;INT($N383),$N383-INT($N383),1))*
IF(EO$44=2,DW383,
IF(INT(DW383)=INT(DV383),0,DW383-INT(DW383)))))</f>
        <v>0</v>
      </c>
      <c r="EP383" s="835">
        <f>+IF(OR(DX383=DW383,EP$44=1),0,
IF(AND(EP$44&gt;1,DX383=$N383),1-SUM($EN383:EO383),
IF($N383&lt;=1,
IF($N383&gt;0,1/$N383,0),
IF(EP$44=2,0,VDB(1,0,$N383,INT(EP$44-2-1),MIN($N383,INT(EP$44-2-1)+1),$DC383,IF($DD383="No",1,0))/
IF(DW383&gt;=INT($N383),$N383-INT($N383),1)))*
IF(EP$44=2,0,
IF(INT(DX383)=INT(DW383),DX383-DW383,INT(DX383)-DW383))+
IF($N383&lt;=1,
IF($N383&gt;0,1/$N383,0),VDB(1,0,$N383,INT(EP$44-2),MIN($N383,INT(EP$44-2)+1),$DC383,IF($DD383="No",1,0))/
IF(DX383&gt;INT($N383),$N383-INT($N383),1))*
IF(EP$44=2,DX383,
IF(INT(DX383)=INT(DW383),0,DX383-INT(DX383)))))</f>
        <v>0</v>
      </c>
      <c r="EQ383" s="836">
        <f>+IF(OR(DY383=DX383,EQ$44=1),0,
IF(AND(EQ$44&gt;1,DY383=$N383),1-SUM($EN383:EP383),
IF($N383&lt;=1,
IF($N383&gt;0,1/$N383,0),
IF(EQ$44=2,0,VDB(1,0,$N383,INT(EQ$44-2-1),MIN($N383,INT(EQ$44-2-1)+1),$DC383,IF($DD383="No",1,0))/
IF(DX383&gt;=INT($N383),$N383-INT($N383),1)))*
IF(EQ$44=2,0,
IF(INT(DY383)=INT(DX383),DY383-DX383,INT(DY383)-DX383))+
IF($N383&lt;=1,
IF($N383&gt;0,1/$N383,0),VDB(1,0,$N383,INT(EQ$44-2),MIN($N383,INT(EQ$44-2)+1),$DC383,IF($DD383="No",1,0))/
IF(DY383&gt;INT($N383),$N383-INT($N383),1))*
IF(EQ$44=2,DY383,
IF(INT(DY383)=INT(DX383),0,DY383-INT(DY383)))))</f>
        <v>0</v>
      </c>
      <c r="ER383" s="834">
        <f>+IF(OR(DZ383=DY383,ER$44=1),0,
IF(AND(ER$44&gt;1,DZ383=$N383),1-SUM($EN383:EQ383),
IF($N383&lt;=1,
IF($N383&gt;0,1/$N383,0),
IF(ER$44=2,0,VDB(1,0,$N383,INT(ER$44-2-1),MIN($N383,INT(ER$44-2-1)+1),$DC383,IF($DD383="No",1,0))/
IF(DY383&gt;=INT($N383),$N383-INT($N383),1)))*
IF(ER$44=2,0,
IF(INT(DZ383)=INT(DY383),DZ383-DY383,INT(DZ383)-DY383))+
IF($N383&lt;=1,
IF($N383&gt;0,1/$N383,0),VDB(1,0,$N383,INT(ER$44-2),MIN($N383,INT(ER$44-2)+1),$DC383,IF($DD383="No",1,0))/
IF(DZ383&gt;INT($N383),$N383-INT($N383),1))*
IF(ER$44=2,DZ383,
IF(INT(DZ383)=INT(DY383),0,DZ383-INT(DZ383)))))</f>
        <v>0</v>
      </c>
      <c r="ES383" s="835">
        <f>+IF(OR(EA383=DZ383,ES$44=1),0,
IF(AND(ES$44&gt;1,EA383=$N383),1-SUM($EN383:ER383),
IF($N383&lt;=1,
IF($N383&gt;0,1/$N383,0),
IF(ES$44=2,0,VDB(1,0,$N383,INT(ES$44-2-1),MIN($N383,INT(ES$44-2-1)+1),$DC383,IF($DD383="No",1,0))/
IF(DZ383&gt;=INT($N383),$N383-INT($N383),1)))*
IF(ES$44=2,0,
IF(INT(EA383)=INT(DZ383),EA383-DZ383,INT(EA383)-DZ383))+
IF($N383&lt;=1,
IF($N383&gt;0,1/$N383,0),VDB(1,0,$N383,INT(ES$44-2),MIN($N383,INT(ES$44-2)+1),$DC383,IF($DD383="No",1,0))/
IF(EA383&gt;INT($N383),$N383-INT($N383),1))*
IF(ES$44=2,EA383,
IF(INT(EA383)=INT(DZ383),0,EA383-INT(EA383)))))</f>
        <v>0</v>
      </c>
      <c r="ET383" s="835">
        <f>+IF(OR(EB383=EA383,ET$44=1),0,
IF(AND(ET$44&gt;1,EB383=$N383),1-SUM($EN383:ES383),
IF($N383&lt;=1,
IF($N383&gt;0,1/$N383,0),
IF(ET$44=2,0,VDB(1,0,$N383,INT(ET$44-2-1),MIN($N383,INT(ET$44-2-1)+1),$DC383,IF($DD383="No",1,0))/
IF(EA383&gt;=INT($N383),$N383-INT($N383),1)))*
IF(ET$44=2,0,
IF(INT(EB383)=INT(EA383),EB383-EA383,INT(EB383)-EA383))+
IF($N383&lt;=1,
IF($N383&gt;0,1/$N383,0),VDB(1,0,$N383,INT(ET$44-2),MIN($N383,INT(ET$44-2)+1),$DC383,IF($DD383="No",1,0))/
IF(EB383&gt;INT($N383),$N383-INT($N383),1))*
IF(ET$44=2,EB383,
IF(INT(EB383)=INT(EA383),0,EB383-INT(EB383)))))</f>
        <v>0</v>
      </c>
      <c r="EU383" s="835">
        <f>+IF(OR(EC383=EB383,EU$44=1),0,
IF(AND(EU$44&gt;1,EC383=$N383),1-SUM($EN383:ET383),
IF($N383&lt;=1,
IF($N383&gt;0,1/$N383,0),
IF(EU$44=2,0,VDB(1,0,$N383,INT(EU$44-2-1),MIN($N383,INT(EU$44-2-1)+1),$DC383,IF($DD383="No",1,0))/
IF(EB383&gt;=INT($N383),$N383-INT($N383),1)))*
IF(EU$44=2,0,
IF(INT(EC383)=INT(EB383),EC383-EB383,INT(EC383)-EB383))+
IF($N383&lt;=1,
IF($N383&gt;0,1/$N383,0),VDB(1,0,$N383,INT(EU$44-2),MIN($N383,INT(EU$44-2)+1),$DC383,IF($DD383="No",1,0))/
IF(EC383&gt;INT($N383),$N383-INT($N383),1))*
IF(EU$44=2,EC383,
IF(INT(EC383)=INT(EB383),0,EC383-INT(EC383)))))</f>
        <v>0</v>
      </c>
      <c r="EV383" s="836">
        <f>+IF(OR(ED383=EC383,EV$44=1),0,
IF(AND(EV$44&gt;1,ED383=$N383),1-SUM($EN383:EU383),
IF($N383&lt;=1,
IF($N383&gt;0,1/$N383,0),
IF(EV$44=2,0,VDB(1,0,$N383,INT(EV$44-2-1),MIN($N383,INT(EV$44-2-1)+1),$DC383,IF($DD383="No",1,0))/
IF(EC383&gt;=INT($N383),$N383-INT($N383),1)))*
IF(EV$44=2,0,
IF(INT(ED383)=INT(EC383),ED383-EC383,INT(ED383)-EC383))+
IF($N383&lt;=1,
IF($N383&gt;0,1/$N383,0),VDB(1,0,$N383,INT(EV$44-2),MIN($N383,INT(EV$44-2)+1),$DC383,IF($DD383="No",1,0))/
IF(ED383&gt;INT($N383),$N383-INT($N383),1))*
IF(EV$44=2,ED383,
IF(INT(ED383)=INT(EC383),0,ED383-INT(ED383)))))</f>
        <v>0</v>
      </c>
      <c r="EW383" s="833"/>
      <c r="EX383" s="834">
        <f t="shared" ca="1" si="669"/>
        <v>0</v>
      </c>
      <c r="EY383" s="835">
        <f t="shared" ca="1" si="669"/>
        <v>0</v>
      </c>
      <c r="EZ383" s="836">
        <f t="shared" ca="1" si="669"/>
        <v>0</v>
      </c>
      <c r="FA383" s="834">
        <f t="shared" ca="1" si="669"/>
        <v>0</v>
      </c>
      <c r="FB383" s="835">
        <f t="shared" ca="1" si="669"/>
        <v>0</v>
      </c>
      <c r="FC383" s="835">
        <f t="shared" ca="1" si="669"/>
        <v>0</v>
      </c>
      <c r="FD383" s="835">
        <f t="shared" ca="1" si="669"/>
        <v>0</v>
      </c>
      <c r="FE383" s="836">
        <f t="shared" ca="1" si="669"/>
        <v>0</v>
      </c>
      <c r="FG383" s="386">
        <f t="shared" ca="1" si="659"/>
        <v>0</v>
      </c>
      <c r="FH383" s="387">
        <f t="shared" ca="1" si="660"/>
        <v>0</v>
      </c>
      <c r="FI383" s="388">
        <f t="shared" ca="1" si="661"/>
        <v>0</v>
      </c>
      <c r="FJ383" s="386">
        <f t="shared" ca="1" si="662"/>
        <v>0</v>
      </c>
      <c r="FK383" s="387">
        <f t="shared" ca="1" si="663"/>
        <v>0</v>
      </c>
      <c r="FL383" s="387">
        <f t="shared" ca="1" si="664"/>
        <v>0</v>
      </c>
      <c r="FM383" s="387">
        <f t="shared" ca="1" si="665"/>
        <v>0</v>
      </c>
      <c r="FN383" s="388">
        <f t="shared" ca="1" si="666"/>
        <v>0</v>
      </c>
      <c r="FR383" s="116"/>
    </row>
    <row r="384" spans="2:174">
      <c r="B384" s="1410">
        <f t="shared" ref="B384:B396" si="670">B383+1</f>
        <v>338</v>
      </c>
      <c r="C384" s="400"/>
      <c r="D384" s="410"/>
      <c r="E384" s="402"/>
      <c r="F384" s="402"/>
      <c r="G384" s="400"/>
      <c r="H384" s="2088"/>
      <c r="I384" s="2089"/>
      <c r="J384" s="411"/>
      <c r="K384" s="403"/>
      <c r="L384" s="403"/>
      <c r="M384" s="403"/>
      <c r="N384" s="403"/>
      <c r="O384" s="347"/>
      <c r="P384" s="347"/>
      <c r="Q384" s="1021"/>
      <c r="R384" s="1022"/>
      <c r="S384" s="1022"/>
      <c r="T384" s="1022"/>
      <c r="U384" s="1023"/>
      <c r="V384" s="1021"/>
      <c r="W384" s="1022"/>
      <c r="X384" s="1022"/>
      <c r="Y384" s="1022"/>
      <c r="Z384" s="1023"/>
      <c r="AA384" s="1024"/>
      <c r="AB384" s="1021"/>
      <c r="AC384" s="1022"/>
      <c r="AD384" s="1022"/>
      <c r="AE384" s="1022"/>
      <c r="AF384" s="1023"/>
      <c r="AG384" s="1021"/>
      <c r="AH384" s="1022"/>
      <c r="AI384" s="1022"/>
      <c r="AJ384" s="1022"/>
      <c r="AK384" s="1023"/>
      <c r="AL384" s="1024"/>
      <c r="AM384" s="1021"/>
      <c r="AN384" s="1022"/>
      <c r="AO384" s="1022"/>
      <c r="AP384" s="1022"/>
      <c r="AQ384" s="1023"/>
      <c r="AR384" s="1021"/>
      <c r="AS384" s="1022"/>
      <c r="AT384" s="1022"/>
      <c r="AU384" s="1022"/>
      <c r="AV384" s="1023"/>
      <c r="AW384" s="1025"/>
      <c r="AX384" s="1282">
        <f t="shared" si="635"/>
        <v>0</v>
      </c>
      <c r="AY384" s="387">
        <f t="shared" si="636"/>
        <v>0</v>
      </c>
      <c r="AZ384" s="387">
        <f t="shared" si="637"/>
        <v>0</v>
      </c>
      <c r="BA384" s="387">
        <f t="shared" si="638"/>
        <v>0</v>
      </c>
      <c r="BB384" s="1283">
        <f t="shared" si="639"/>
        <v>0</v>
      </c>
      <c r="BC384" s="386">
        <f t="shared" si="640"/>
        <v>0</v>
      </c>
      <c r="BD384" s="387">
        <f t="shared" si="641"/>
        <v>0</v>
      </c>
      <c r="BE384" s="1277">
        <f t="shared" si="642"/>
        <v>0</v>
      </c>
      <c r="BF384" s="1277">
        <f t="shared" si="642"/>
        <v>0</v>
      </c>
      <c r="BG384" s="388">
        <f t="shared" si="642"/>
        <v>0</v>
      </c>
      <c r="BH384" s="1025"/>
      <c r="BI384" s="1282">
        <f t="shared" ca="1" si="643"/>
        <v>0</v>
      </c>
      <c r="BJ384" s="387">
        <f t="shared" ca="1" si="644"/>
        <v>0</v>
      </c>
      <c r="BK384" s="387">
        <f t="shared" ca="1" si="645"/>
        <v>0</v>
      </c>
      <c r="BL384" s="387">
        <f t="shared" ca="1" si="646"/>
        <v>0</v>
      </c>
      <c r="BM384" s="1283">
        <f t="shared" ca="1" si="647"/>
        <v>0</v>
      </c>
      <c r="BN384" s="386">
        <f t="shared" ca="1" si="648"/>
        <v>0</v>
      </c>
      <c r="BO384" s="387">
        <f t="shared" ca="1" si="648"/>
        <v>0</v>
      </c>
      <c r="BP384" s="1277">
        <f t="shared" ca="1" si="648"/>
        <v>0</v>
      </c>
      <c r="BQ384" s="1277">
        <f t="shared" ca="1" si="648"/>
        <v>0</v>
      </c>
      <c r="BR384" s="388">
        <f t="shared" ca="1" si="648"/>
        <v>0</v>
      </c>
      <c r="BS384" s="1025"/>
      <c r="BT384" s="1282">
        <f>+IF($K384="Ongoing",AX384,IF(RIGHT($K384,2)=RIGHT(BT$43,2),SUM($AX384:AX384),0)+IF(RIGHT(BT$43,2)&gt;RIGHT($K384,2),AX384,0))</f>
        <v>0</v>
      </c>
      <c r="BU384" s="387">
        <f>+IF($K384="Ongoing",AY384,IF(RIGHT($K384,2)=RIGHT(BU$43,2),SUM($AX384:AY384),0)+IF(RIGHT(BU$43,2)&gt;RIGHT($K384,2),AY384,0))</f>
        <v>0</v>
      </c>
      <c r="BV384" s="387">
        <f>+IF($K384="Ongoing",AZ384,IF(RIGHT($K384,2)=RIGHT(BV$43,2),SUM($AX384:AZ384),0)+IF(RIGHT(BV$43,2)&gt;RIGHT($K384,2),AZ384,0))</f>
        <v>0</v>
      </c>
      <c r="BW384" s="387">
        <f>+IF($K384="Ongoing",BA384,IF(RIGHT($K384,2)=RIGHT(BW$43,2),SUM($AX384:BA384),0)+IF(RIGHT(BW$43,2)&gt;RIGHT($K384,2),BA384,0))</f>
        <v>0</v>
      </c>
      <c r="BX384" s="1283">
        <f>+IF($K384="Ongoing",BB384,IF(RIGHT($K384,2)=RIGHT(BX$43,2),SUM($AX384:BB384),0)+IF(RIGHT(BX$43,2)&gt;RIGHT($K384,2),BB384,0))</f>
        <v>0</v>
      </c>
      <c r="BY384" s="386">
        <f>+IF($K384="Ongoing",BC384,IF(RIGHT($K384,2)=RIGHT(BY$43,2),SUM($AX384:BC384),0)+IF(RIGHT(BY$43,2)&gt;RIGHT($K384,2),BC384,0))</f>
        <v>0</v>
      </c>
      <c r="BZ384" s="387">
        <f>+IF($K384="Ongoing",BD384,IF(RIGHT($K384,2)=RIGHT(BZ$43,2),SUM($AX384:BD384),0)+IF(RIGHT(BZ$43,2)&gt;RIGHT($K384,2),BD384,0))</f>
        <v>0</v>
      </c>
      <c r="CA384" s="1277">
        <f>+IF($K384="Ongoing",BE384,IF(RIGHT($K384,2)=RIGHT(CA$43,2),SUM($AX384:BE384),0)+IF(RIGHT(CA$43,2)&gt;RIGHT($K384,2),BE384,0))</f>
        <v>0</v>
      </c>
      <c r="CB384" s="1277">
        <f>+IF($K384="Ongoing",BF384,IF(RIGHT($K384,2)=RIGHT(CB$43,2),SUM($AX384:BF384),0)+IF(RIGHT(CB$43,2)&gt;RIGHT($K384,2),BF384,0))</f>
        <v>0</v>
      </c>
      <c r="CC384" s="388">
        <f>+IF($K384="Ongoing",BG384,IF(RIGHT($K384,2)=RIGHT(CC$43,2),SUM($AX384:BG384),0)+IF(RIGHT(CC$43,2)&gt;RIGHT($K384,2),BG384,0))</f>
        <v>0</v>
      </c>
      <c r="CD384" s="1025"/>
      <c r="CE384" s="1282">
        <f>+Q384*KeyAssumptionsPriceControl_FO!AF$15</f>
        <v>0</v>
      </c>
      <c r="CF384" s="387">
        <f>+R384*KeyAssumptionsPriceControl_FO!AG$15</f>
        <v>0</v>
      </c>
      <c r="CG384" s="387">
        <f>+S384*KeyAssumptionsPriceControl_FO!AH$15</f>
        <v>0</v>
      </c>
      <c r="CH384" s="387">
        <f>+T384*KeyAssumptionsPriceControl_FO!AI$15</f>
        <v>0</v>
      </c>
      <c r="CI384" s="1283">
        <f>+U384*KeyAssumptionsPriceControl_FO!AJ$15</f>
        <v>0</v>
      </c>
      <c r="CJ384" s="386">
        <f>+V384*KeyAssumptionsPriceControl_FO!AK$15</f>
        <v>0</v>
      </c>
      <c r="CK384" s="387">
        <f>+W384*KeyAssumptionsPriceControl_FO!AL$15</f>
        <v>0</v>
      </c>
      <c r="CL384" s="1277">
        <f>+X384*KeyAssumptionsPriceControl_FO!AM$15</f>
        <v>0</v>
      </c>
      <c r="CM384" s="1277">
        <f>+Y384*KeyAssumptionsPriceControl_FO!AN$15</f>
        <v>0</v>
      </c>
      <c r="CN384" s="388">
        <f>+Z384*KeyAssumptionsPriceControl_FO!AO$15</f>
        <v>0</v>
      </c>
      <c r="CO384" s="1025"/>
      <c r="CP384" s="1282">
        <f t="shared" ca="1" si="649"/>
        <v>0</v>
      </c>
      <c r="CQ384" s="387">
        <f t="shared" ca="1" si="650"/>
        <v>0</v>
      </c>
      <c r="CR384" s="387">
        <f t="shared" ca="1" si="651"/>
        <v>0</v>
      </c>
      <c r="CS384" s="387">
        <f t="shared" ca="1" si="652"/>
        <v>0</v>
      </c>
      <c r="CT384" s="1283">
        <f t="shared" ca="1" si="653"/>
        <v>0</v>
      </c>
      <c r="CU384" s="386">
        <f t="shared" ca="1" si="654"/>
        <v>0</v>
      </c>
      <c r="CV384" s="387">
        <f t="shared" ca="1" si="655"/>
        <v>0</v>
      </c>
      <c r="CW384" s="1277">
        <f t="shared" ca="1" si="656"/>
        <v>0</v>
      </c>
      <c r="CX384" s="1277">
        <f t="shared" ca="1" si="657"/>
        <v>0</v>
      </c>
      <c r="CY384" s="388">
        <f t="shared" ca="1" si="658"/>
        <v>0</v>
      </c>
      <c r="CZ384" s="347"/>
      <c r="DA384" s="852"/>
      <c r="DB384" s="347"/>
      <c r="DC384" s="1012" t="s">
        <v>517</v>
      </c>
      <c r="DD384" s="841" t="s">
        <v>518</v>
      </c>
      <c r="DE384" s="386">
        <f>+IF($K384="ongoing",CE384,IF(RIGHT($K384,2)=RIGHT(DE$43,2),SUM($CD384:CE384),0)+IF(RIGHT(DE$43,2)&gt;RIGHT($K384,2),CE384,0))</f>
        <v>0</v>
      </c>
      <c r="DF384" s="387">
        <f>+IF($K384="ongoing",CF384,IF(RIGHT($K384,2)=RIGHT(DF$43,2),SUM($CD384:CF384),0)+IF(RIGHT(DF$43,2)&gt;RIGHT($K384,2),CF384,0))</f>
        <v>0</v>
      </c>
      <c r="DG384" s="388">
        <f>+IF($K384="ongoing",CG384,IF(RIGHT($K384,2)=RIGHT(DG$43,2),SUM($CD384:CG384),0)+IF(RIGHT(DG$43,2)&gt;RIGHT($K384,2),CG384,0))</f>
        <v>0</v>
      </c>
      <c r="DH384" s="386">
        <f>+IF($K384="ongoing",CH384,IF(RIGHT($K384,2)=RIGHT(DH$43,2),SUM($CD384:CH384),0)+IF(RIGHT(DH$43,2)&gt;RIGHT($K384,2),CH384,0))</f>
        <v>0</v>
      </c>
      <c r="DI384" s="387">
        <f>+IF($K384="ongoing",CI384,IF(RIGHT($K384,2)=RIGHT(DI$43,2),SUM($CD384:CI384),0)+IF(RIGHT(DI$43,2)&gt;RIGHT($K384,2),CI384,0))</f>
        <v>0</v>
      </c>
      <c r="DJ384" s="387">
        <f>+IF($K384="ongoing",CJ384,IF(RIGHT($K384,2)=RIGHT(DJ$43,2),SUM($CD384:CJ384),0)+IF(RIGHT(DJ$43,2)&gt;RIGHT($K384,2),CJ384,0))</f>
        <v>0</v>
      </c>
      <c r="DK384" s="387">
        <f>+IF($K384="ongoing",CK384,IF(RIGHT($K384,2)=RIGHT(DK$43,2),SUM($CD384:CK384),0)+IF(RIGHT(DK$43,2)&gt;RIGHT($K384,2),CK384,0))</f>
        <v>0</v>
      </c>
      <c r="DL384" s="388">
        <f>+IF($K384="ongoing",CN384,IF(RIGHT($K384,2)=RIGHT(DL$43,2),SUM($CD384:CN384),0)+IF(RIGHT(DL$43,2)&gt;RIGHT($K384,2),CN384,0))</f>
        <v>0</v>
      </c>
      <c r="DM384" s="841"/>
      <c r="DN384" s="386">
        <f t="shared" si="667"/>
        <v>0.5</v>
      </c>
      <c r="DO384" s="387">
        <f t="shared" si="667"/>
        <v>1</v>
      </c>
      <c r="DP384" s="388">
        <f t="shared" si="667"/>
        <v>1</v>
      </c>
      <c r="DQ384" s="386">
        <f t="shared" si="667"/>
        <v>1</v>
      </c>
      <c r="DR384" s="387">
        <f t="shared" si="667"/>
        <v>1</v>
      </c>
      <c r="DS384" s="387">
        <f t="shared" si="667"/>
        <v>1</v>
      </c>
      <c r="DT384" s="387">
        <f t="shared" si="667"/>
        <v>1</v>
      </c>
      <c r="DU384" s="388">
        <f t="shared" si="667"/>
        <v>1</v>
      </c>
      <c r="DW384" s="386">
        <f t="shared" si="668"/>
        <v>0</v>
      </c>
      <c r="DX384" s="387">
        <f t="shared" si="668"/>
        <v>0.5</v>
      </c>
      <c r="DY384" s="388">
        <f t="shared" si="668"/>
        <v>1</v>
      </c>
      <c r="DZ384" s="386">
        <f t="shared" si="668"/>
        <v>1</v>
      </c>
      <c r="EA384" s="387">
        <f t="shared" si="668"/>
        <v>1</v>
      </c>
      <c r="EB384" s="387">
        <f t="shared" si="668"/>
        <v>1</v>
      </c>
      <c r="EC384" s="387">
        <f t="shared" si="668"/>
        <v>1</v>
      </c>
      <c r="ED384" s="388">
        <f t="shared" si="668"/>
        <v>1</v>
      </c>
      <c r="EF384" s="834">
        <f>+IF(DN384=DM384,0,
IF(AND(EF$44&gt;1,DN384=$N384),1-SUM($EE384:EE384),
IF($N384&lt;=1,
IF($N384&gt;0,1/$N384,0),
IF(EF$44=1,0,VDB(1,0,$N384,INT(EF$44-1-1),MIN($N384,INT(EF$44-1-1)+1),$DC384,IF($DD384="No",1,0))/
IF(DM384&gt;=INT($N384),$N384-INT($N384),1)))*
IF(EF$44=1,0,
IF(INT(DN384)=INT(DM384),DN384-DM384,INT(DN384)-DM384))+
IF($N384&lt;=1,
IF($N384&gt;0,1/$N384,0),VDB(1,0,$N384,INT(EF$44-1),MIN($N384,INT(EF$44-1)+1),$DC384,IF($DD384="No",1,0))/
IF(DN384&gt;INT($N384),$N384-INT($N384),1))*
IF(EF$44=1,DN384,
IF(INT(DN384)=INT(DM384),0,DN384-INT(DN384)))))</f>
        <v>0</v>
      </c>
      <c r="EG384" s="835">
        <f>+IF(DO384=DN384,0,
IF(AND(EG$44&gt;1,DO384=$N384),1-SUM($EE384:EF384),
IF($N384&lt;=1,
IF($N384&gt;0,1/$N384,0),
IF(EG$44=1,0,VDB(1,0,$N384,INT(EG$44-1-1),MIN($N384,INT(EG$44-1-1)+1),$DC384,IF($DD384="No",1,0))/
IF(DN384&gt;=INT($N384),$N384-INT($N384),1)))*
IF(EG$44=1,0,
IF(INT(DO384)=INT(DN384),DO384-DN384,INT(DO384)-DN384))+
IF($N384&lt;=1,
IF($N384&gt;0,1/$N384,0),VDB(1,0,$N384,INT(EG$44-1),MIN($N384,INT(EG$44-1)+1),$DC384,IF($DD384="No",1,0))/
IF(DO384&gt;INT($N384),$N384-INT($N384),1))*
IF(EG$44=1,DO384,
IF(INT(DO384)=INT(DN384),0,DO384-INT(DO384)))))</f>
        <v>0</v>
      </c>
      <c r="EH384" s="836">
        <f>+IF(DP384=DO384,0,
IF(AND(EH$44&gt;1,DP384=$N384),1-SUM($EE384:EG384),
IF($N384&lt;=1,
IF($N384&gt;0,1/$N384,0),
IF(EH$44=1,0,VDB(1,0,$N384,INT(EH$44-1-1),MIN($N384,INT(EH$44-1-1)+1),$DC384,IF($DD384="No",1,0))/
IF(DO384&gt;=INT($N384),$N384-INT($N384),1)))*
IF(EH$44=1,0,
IF(INT(DP384)=INT(DO384),DP384-DO384,INT(DP384)-DO384))+
IF($N384&lt;=1,
IF($N384&gt;0,1/$N384,0),VDB(1,0,$N384,INT(EH$44-1),MIN($N384,INT(EH$44-1)+1),$DC384,IF($DD384="No",1,0))/
IF(DP384&gt;INT($N384),$N384-INT($N384),1))*
IF(EH$44=1,DP384,
IF(INT(DP384)=INT(DO384),0,DP384-INT(DP384)))))</f>
        <v>0</v>
      </c>
      <c r="EI384" s="834">
        <f>+IF(DQ384=DP384,0,
IF(AND(EI$44&gt;1,DQ384=$N384),1-SUM($EE384:EH384),
IF($N384&lt;=1,
IF($N384&gt;0,1/$N384,0),
IF(EI$44=1,0,VDB(1,0,$N384,INT(EI$44-1-1),MIN($N384,INT(EI$44-1-1)+1),$DC384,IF($DD384="No",1,0))/
IF(DP384&gt;=INT($N384),$N384-INT($N384),1)))*
IF(EI$44=1,0,
IF(INT(DQ384)=INT(DP384),DQ384-DP384,INT(DQ384)-DP384))+
IF($N384&lt;=1,
IF($N384&gt;0,1/$N384,0),VDB(1,0,$N384,INT(EI$44-1),MIN($N384,INT(EI$44-1)+1),$DC384,IF($DD384="No",1,0))/
IF(DQ384&gt;INT($N384),$N384-INT($N384),1))*
IF(EI$44=1,DQ384,
IF(INT(DQ384)=INT(DP384),0,DQ384-INT(DQ384)))))</f>
        <v>0</v>
      </c>
      <c r="EJ384" s="835">
        <f>+IF(DR384=DQ384,0,
IF(AND(EJ$44&gt;1,DR384=$N384),1-SUM($EE384:EI384),
IF($N384&lt;=1,
IF($N384&gt;0,1/$N384,0),
IF(EJ$44=1,0,VDB(1,0,$N384,INT(EJ$44-1-1),MIN($N384,INT(EJ$44-1-1)+1),$DC384,IF($DD384="No",1,0))/
IF(DQ384&gt;=INT($N384),$N384-INT($N384),1)))*
IF(EJ$44=1,0,
IF(INT(DR384)=INT(DQ384),DR384-DQ384,INT(DR384)-DQ384))+
IF($N384&lt;=1,
IF($N384&gt;0,1/$N384,0),VDB(1,0,$N384,INT(EJ$44-1),MIN($N384,INT(EJ$44-1)+1),$DC384,IF($DD384="No",1,0))/
IF(DR384&gt;INT($N384),$N384-INT($N384),1))*
IF(EJ$44=1,DR384,
IF(INT(DR384)=INT(DQ384),0,DR384-INT(DR384)))))</f>
        <v>0</v>
      </c>
      <c r="EK384" s="835">
        <f>+IF(DS384=DR384,0,
IF(AND(EK$44&gt;1,DS384=$N384),1-SUM($EE384:EJ384),
IF($N384&lt;=1,
IF($N384&gt;0,1/$N384,0),
IF(EK$44=1,0,VDB(1,0,$N384,INT(EK$44-1-1),MIN($N384,INT(EK$44-1-1)+1),$DC384,IF($DD384="No",1,0))/
IF(DR384&gt;=INT($N384),$N384-INT($N384),1)))*
IF(EK$44=1,0,
IF(INT(DS384)=INT(DR384),DS384-DR384,INT(DS384)-DR384))+
IF($N384&lt;=1,
IF($N384&gt;0,1/$N384,0),VDB(1,0,$N384,INT(EK$44-1),MIN($N384,INT(EK$44-1)+1),$DC384,IF($DD384="No",1,0))/
IF(DS384&gt;INT($N384),$N384-INT($N384),1))*
IF(EK$44=1,DS384,
IF(INT(DS384)=INT(DR384),0,DS384-INT(DS384)))))</f>
        <v>0</v>
      </c>
      <c r="EL384" s="835">
        <f>+IF(DT384=DS384,0,
IF(AND(EL$44&gt;1,DT384=$N384),1-SUM($EE384:EK384),
IF($N384&lt;=1,
IF($N384&gt;0,1/$N384,0),
IF(EL$44=1,0,VDB(1,0,$N384,INT(EL$44-1-1),MIN($N384,INT(EL$44-1-1)+1),$DC384,IF($DD384="No",1,0))/
IF(DS384&gt;=INT($N384),$N384-INT($N384),1)))*
IF(EL$44=1,0,
IF(INT(DT384)=INT(DS384),DT384-DS384,INT(DT384)-DS384))+
IF($N384&lt;=1,
IF($N384&gt;0,1/$N384,0),VDB(1,0,$N384,INT(EL$44-1),MIN($N384,INT(EL$44-1)+1),$DC384,IF($DD384="No",1,0))/
IF(DT384&gt;INT($N384),$N384-INT($N384),1))*
IF(EL$44=1,DT384,
IF(INT(DT384)=INT(DS384),0,DT384-INT(DT384)))))</f>
        <v>0</v>
      </c>
      <c r="EM384" s="836">
        <f>+IF(DU384=DT384,0,
IF(AND(EM$44&gt;1,DU384=$N384),1-SUM($EE384:EL384),
IF($N384&lt;=1,
IF($N384&gt;0,1/$N384,0),
IF(EM$44=1,0,VDB(1,0,$N384,INT(EM$44-1-1),MIN($N384,INT(EM$44-1-1)+1),$DC384,IF($DD384="No",1,0))/
IF(DT384&gt;=INT($N384),$N384-INT($N384),1)))*
IF(EM$44=1,0,
IF(INT(DU384)=INT(DT384),DU384-DT384,INT(DU384)-DT384))+
IF($N384&lt;=1,
IF($N384&gt;0,1/$N384,0),VDB(1,0,$N384,INT(EM$44-1),MIN($N384,INT(EM$44-1)+1),$DC384,IF($DD384="No",1,0))/
IF(DU384&gt;INT($N384),$N384-INT($N384),1))*
IF(EM$44=1,DU384,
IF(INT(DU384)=INT(DT384),0,DU384-INT(DU384)))))</f>
        <v>0</v>
      </c>
      <c r="EN384" s="833"/>
      <c r="EO384" s="834">
        <f>+IF(OR(DW384=DV384,EO$44=1),0,
IF(AND(EO$44&gt;1,DW384=$N384),1-SUM($EN384:EN384),
IF($N384&lt;=1,
IF($N384&gt;0,1/$N384,0),
IF(EO$44=2,0,VDB(1,0,$N384,INT(EO$44-2-1),MIN($N384,INT(EO$44-2-1)+1),$DC384,IF($DD384="No",1,0))/
IF(DV384&gt;=INT($N384),$N384-INT($N384),1)))*
IF(EO$44=2,0,
IF(INT(DW384)=INT(DV384),DW384-DV384,INT(DW384)-DV384))+
IF($N384&lt;=1,
IF($N384&gt;0,1/$N384,0),VDB(1,0,$N384,INT(EO$44-2),MIN($N384,INT(EO$44-2)+1),$DC384,IF($DD384="No",1,0))/
IF(DW384&gt;INT($N384),$N384-INT($N384),1))*
IF(EO$44=2,DW384,
IF(INT(DW384)=INT(DV384),0,DW384-INT(DW384)))))</f>
        <v>0</v>
      </c>
      <c r="EP384" s="835">
        <f>+IF(OR(DX384=DW384,EP$44=1),0,
IF(AND(EP$44&gt;1,DX384=$N384),1-SUM($EN384:EO384),
IF($N384&lt;=1,
IF($N384&gt;0,1/$N384,0),
IF(EP$44=2,0,VDB(1,0,$N384,INT(EP$44-2-1),MIN($N384,INT(EP$44-2-1)+1),$DC384,IF($DD384="No",1,0))/
IF(DW384&gt;=INT($N384),$N384-INT($N384),1)))*
IF(EP$44=2,0,
IF(INT(DX384)=INT(DW384),DX384-DW384,INT(DX384)-DW384))+
IF($N384&lt;=1,
IF($N384&gt;0,1/$N384,0),VDB(1,0,$N384,INT(EP$44-2),MIN($N384,INT(EP$44-2)+1),$DC384,IF($DD384="No",1,0))/
IF(DX384&gt;INT($N384),$N384-INT($N384),1))*
IF(EP$44=2,DX384,
IF(INT(DX384)=INT(DW384),0,DX384-INT(DX384)))))</f>
        <v>0</v>
      </c>
      <c r="EQ384" s="836">
        <f>+IF(OR(DY384=DX384,EQ$44=1),0,
IF(AND(EQ$44&gt;1,DY384=$N384),1-SUM($EN384:EP384),
IF($N384&lt;=1,
IF($N384&gt;0,1/$N384,0),
IF(EQ$44=2,0,VDB(1,0,$N384,INT(EQ$44-2-1),MIN($N384,INT(EQ$44-2-1)+1),$DC384,IF($DD384="No",1,0))/
IF(DX384&gt;=INT($N384),$N384-INT($N384),1)))*
IF(EQ$44=2,0,
IF(INT(DY384)=INT(DX384),DY384-DX384,INT(DY384)-DX384))+
IF($N384&lt;=1,
IF($N384&gt;0,1/$N384,0),VDB(1,0,$N384,INT(EQ$44-2),MIN($N384,INT(EQ$44-2)+1),$DC384,IF($DD384="No",1,0))/
IF(DY384&gt;INT($N384),$N384-INT($N384),1))*
IF(EQ$44=2,DY384,
IF(INT(DY384)=INT(DX384),0,DY384-INT(DY384)))))</f>
        <v>0</v>
      </c>
      <c r="ER384" s="834">
        <f>+IF(OR(DZ384=DY384,ER$44=1),0,
IF(AND(ER$44&gt;1,DZ384=$N384),1-SUM($EN384:EQ384),
IF($N384&lt;=1,
IF($N384&gt;0,1/$N384,0),
IF(ER$44=2,0,VDB(1,0,$N384,INT(ER$44-2-1),MIN($N384,INT(ER$44-2-1)+1),$DC384,IF($DD384="No",1,0))/
IF(DY384&gt;=INT($N384),$N384-INT($N384),1)))*
IF(ER$44=2,0,
IF(INT(DZ384)=INT(DY384),DZ384-DY384,INT(DZ384)-DY384))+
IF($N384&lt;=1,
IF($N384&gt;0,1/$N384,0),VDB(1,0,$N384,INT(ER$44-2),MIN($N384,INT(ER$44-2)+1),$DC384,IF($DD384="No",1,0))/
IF(DZ384&gt;INT($N384),$N384-INT($N384),1))*
IF(ER$44=2,DZ384,
IF(INT(DZ384)=INT(DY384),0,DZ384-INT(DZ384)))))</f>
        <v>0</v>
      </c>
      <c r="ES384" s="835">
        <f>+IF(OR(EA384=DZ384,ES$44=1),0,
IF(AND(ES$44&gt;1,EA384=$N384),1-SUM($EN384:ER384),
IF($N384&lt;=1,
IF($N384&gt;0,1/$N384,0),
IF(ES$44=2,0,VDB(1,0,$N384,INT(ES$44-2-1),MIN($N384,INT(ES$44-2-1)+1),$DC384,IF($DD384="No",1,0))/
IF(DZ384&gt;=INT($N384),$N384-INT($N384),1)))*
IF(ES$44=2,0,
IF(INT(EA384)=INT(DZ384),EA384-DZ384,INT(EA384)-DZ384))+
IF($N384&lt;=1,
IF($N384&gt;0,1/$N384,0),VDB(1,0,$N384,INT(ES$44-2),MIN($N384,INT(ES$44-2)+1),$DC384,IF($DD384="No",1,0))/
IF(EA384&gt;INT($N384),$N384-INT($N384),1))*
IF(ES$44=2,EA384,
IF(INT(EA384)=INT(DZ384),0,EA384-INT(EA384)))))</f>
        <v>0</v>
      </c>
      <c r="ET384" s="835">
        <f>+IF(OR(EB384=EA384,ET$44=1),0,
IF(AND(ET$44&gt;1,EB384=$N384),1-SUM($EN384:ES384),
IF($N384&lt;=1,
IF($N384&gt;0,1/$N384,0),
IF(ET$44=2,0,VDB(1,0,$N384,INT(ET$44-2-1),MIN($N384,INT(ET$44-2-1)+1),$DC384,IF($DD384="No",1,0))/
IF(EA384&gt;=INT($N384),$N384-INT($N384),1)))*
IF(ET$44=2,0,
IF(INT(EB384)=INT(EA384),EB384-EA384,INT(EB384)-EA384))+
IF($N384&lt;=1,
IF($N384&gt;0,1/$N384,0),VDB(1,0,$N384,INT(ET$44-2),MIN($N384,INT(ET$44-2)+1),$DC384,IF($DD384="No",1,0))/
IF(EB384&gt;INT($N384),$N384-INT($N384),1))*
IF(ET$44=2,EB384,
IF(INT(EB384)=INT(EA384),0,EB384-INT(EB384)))))</f>
        <v>0</v>
      </c>
      <c r="EU384" s="835">
        <f>+IF(OR(EC384=EB384,EU$44=1),0,
IF(AND(EU$44&gt;1,EC384=$N384),1-SUM($EN384:ET384),
IF($N384&lt;=1,
IF($N384&gt;0,1/$N384,0),
IF(EU$44=2,0,VDB(1,0,$N384,INT(EU$44-2-1),MIN($N384,INT(EU$44-2-1)+1),$DC384,IF($DD384="No",1,0))/
IF(EB384&gt;=INT($N384),$N384-INT($N384),1)))*
IF(EU$44=2,0,
IF(INT(EC384)=INT(EB384),EC384-EB384,INT(EC384)-EB384))+
IF($N384&lt;=1,
IF($N384&gt;0,1/$N384,0),VDB(1,0,$N384,INT(EU$44-2),MIN($N384,INT(EU$44-2)+1),$DC384,IF($DD384="No",1,0))/
IF(EC384&gt;INT($N384),$N384-INT($N384),1))*
IF(EU$44=2,EC384,
IF(INT(EC384)=INT(EB384),0,EC384-INT(EC384)))))</f>
        <v>0</v>
      </c>
      <c r="EV384" s="836">
        <f>+IF(OR(ED384=EC384,EV$44=1),0,
IF(AND(EV$44&gt;1,ED384=$N384),1-SUM($EN384:EU384),
IF($N384&lt;=1,
IF($N384&gt;0,1/$N384,0),
IF(EV$44=2,0,VDB(1,0,$N384,INT(EV$44-2-1),MIN($N384,INT(EV$44-2-1)+1),$DC384,IF($DD384="No",1,0))/
IF(EC384&gt;=INT($N384),$N384-INT($N384),1)))*
IF(EV$44=2,0,
IF(INT(ED384)=INT(EC384),ED384-EC384,INT(ED384)-EC384))+
IF($N384&lt;=1,
IF($N384&gt;0,1/$N384,0),VDB(1,0,$N384,INT(EV$44-2),MIN($N384,INT(EV$44-2)+1),$DC384,IF($DD384="No",1,0))/
IF(ED384&gt;INT($N384),$N384-INT($N384),1))*
IF(EV$44=2,ED384,
IF(INT(ED384)=INT(EC384),0,ED384-INT(ED384)))))</f>
        <v>0</v>
      </c>
      <c r="EW384" s="833"/>
      <c r="EX384" s="834">
        <f t="shared" ca="1" si="669"/>
        <v>0</v>
      </c>
      <c r="EY384" s="835">
        <f t="shared" ca="1" si="669"/>
        <v>0</v>
      </c>
      <c r="EZ384" s="836">
        <f t="shared" ca="1" si="669"/>
        <v>0</v>
      </c>
      <c r="FA384" s="834">
        <f t="shared" ca="1" si="669"/>
        <v>0</v>
      </c>
      <c r="FB384" s="835">
        <f t="shared" ca="1" si="669"/>
        <v>0</v>
      </c>
      <c r="FC384" s="835">
        <f t="shared" ca="1" si="669"/>
        <v>0</v>
      </c>
      <c r="FD384" s="835">
        <f t="shared" ca="1" si="669"/>
        <v>0</v>
      </c>
      <c r="FE384" s="836">
        <f t="shared" ca="1" si="669"/>
        <v>0</v>
      </c>
      <c r="FG384" s="386">
        <f t="shared" ca="1" si="659"/>
        <v>0</v>
      </c>
      <c r="FH384" s="387">
        <f t="shared" ca="1" si="660"/>
        <v>0</v>
      </c>
      <c r="FI384" s="388">
        <f t="shared" ca="1" si="661"/>
        <v>0</v>
      </c>
      <c r="FJ384" s="386">
        <f t="shared" ca="1" si="662"/>
        <v>0</v>
      </c>
      <c r="FK384" s="387">
        <f t="shared" ca="1" si="663"/>
        <v>0</v>
      </c>
      <c r="FL384" s="387">
        <f t="shared" ca="1" si="664"/>
        <v>0</v>
      </c>
      <c r="FM384" s="387">
        <f t="shared" ca="1" si="665"/>
        <v>0</v>
      </c>
      <c r="FN384" s="388">
        <f t="shared" ca="1" si="666"/>
        <v>0</v>
      </c>
      <c r="FR384" s="116"/>
    </row>
    <row r="385" spans="2:174">
      <c r="B385" s="1410">
        <f t="shared" si="670"/>
        <v>339</v>
      </c>
      <c r="C385" s="400"/>
      <c r="D385" s="410"/>
      <c r="E385" s="402"/>
      <c r="F385" s="402"/>
      <c r="G385" s="400"/>
      <c r="H385" s="2088"/>
      <c r="I385" s="2089"/>
      <c r="J385" s="411"/>
      <c r="K385" s="403"/>
      <c r="L385" s="403"/>
      <c r="M385" s="403"/>
      <c r="N385" s="403"/>
      <c r="O385" s="347"/>
      <c r="P385" s="347"/>
      <c r="Q385" s="1021"/>
      <c r="R385" s="1022"/>
      <c r="S385" s="1022"/>
      <c r="T385" s="1022"/>
      <c r="U385" s="1023"/>
      <c r="V385" s="1021"/>
      <c r="W385" s="1022"/>
      <c r="X385" s="1022"/>
      <c r="Y385" s="1022"/>
      <c r="Z385" s="1023"/>
      <c r="AA385" s="1024"/>
      <c r="AB385" s="1021"/>
      <c r="AC385" s="1022"/>
      <c r="AD385" s="1022"/>
      <c r="AE385" s="1022"/>
      <c r="AF385" s="1023"/>
      <c r="AG385" s="1021"/>
      <c r="AH385" s="1022"/>
      <c r="AI385" s="1022"/>
      <c r="AJ385" s="1022"/>
      <c r="AK385" s="1023"/>
      <c r="AL385" s="1024"/>
      <c r="AM385" s="1021"/>
      <c r="AN385" s="1022"/>
      <c r="AO385" s="1022"/>
      <c r="AP385" s="1022"/>
      <c r="AQ385" s="1023"/>
      <c r="AR385" s="1021"/>
      <c r="AS385" s="1022"/>
      <c r="AT385" s="1022"/>
      <c r="AU385" s="1022"/>
      <c r="AV385" s="1023"/>
      <c r="AW385" s="1025"/>
      <c r="AX385" s="1282">
        <f t="shared" si="635"/>
        <v>0</v>
      </c>
      <c r="AY385" s="387">
        <f t="shared" si="636"/>
        <v>0</v>
      </c>
      <c r="AZ385" s="387">
        <f t="shared" si="637"/>
        <v>0</v>
      </c>
      <c r="BA385" s="387">
        <f t="shared" si="638"/>
        <v>0</v>
      </c>
      <c r="BB385" s="1283">
        <f t="shared" si="639"/>
        <v>0</v>
      </c>
      <c r="BC385" s="386">
        <f t="shared" si="640"/>
        <v>0</v>
      </c>
      <c r="BD385" s="387">
        <f t="shared" si="641"/>
        <v>0</v>
      </c>
      <c r="BE385" s="1277">
        <f t="shared" si="642"/>
        <v>0</v>
      </c>
      <c r="BF385" s="1277">
        <f t="shared" si="642"/>
        <v>0</v>
      </c>
      <c r="BG385" s="388">
        <f t="shared" si="642"/>
        <v>0</v>
      </c>
      <c r="BH385" s="1025"/>
      <c r="BI385" s="1282">
        <f t="shared" ca="1" si="643"/>
        <v>0</v>
      </c>
      <c r="BJ385" s="387">
        <f t="shared" ca="1" si="644"/>
        <v>0</v>
      </c>
      <c r="BK385" s="387">
        <f t="shared" ca="1" si="645"/>
        <v>0</v>
      </c>
      <c r="BL385" s="387">
        <f t="shared" ca="1" si="646"/>
        <v>0</v>
      </c>
      <c r="BM385" s="1283">
        <f t="shared" ca="1" si="647"/>
        <v>0</v>
      </c>
      <c r="BN385" s="386">
        <f t="shared" ca="1" si="648"/>
        <v>0</v>
      </c>
      <c r="BO385" s="387">
        <f t="shared" ca="1" si="648"/>
        <v>0</v>
      </c>
      <c r="BP385" s="1277">
        <f t="shared" ca="1" si="648"/>
        <v>0</v>
      </c>
      <c r="BQ385" s="1277">
        <f t="shared" ca="1" si="648"/>
        <v>0</v>
      </c>
      <c r="BR385" s="388">
        <f t="shared" ca="1" si="648"/>
        <v>0</v>
      </c>
      <c r="BS385" s="1025"/>
      <c r="BT385" s="1282">
        <f>+IF($K385="Ongoing",AX385,IF(RIGHT($K385,2)=RIGHT(BT$43,2),SUM($AX385:AX385),0)+IF(RIGHT(BT$43,2)&gt;RIGHT($K385,2),AX385,0))</f>
        <v>0</v>
      </c>
      <c r="BU385" s="387">
        <f>+IF($K385="Ongoing",AY385,IF(RIGHT($K385,2)=RIGHT(BU$43,2),SUM($AX385:AY385),0)+IF(RIGHT(BU$43,2)&gt;RIGHT($K385,2),AY385,0))</f>
        <v>0</v>
      </c>
      <c r="BV385" s="387">
        <f>+IF($K385="Ongoing",AZ385,IF(RIGHT($K385,2)=RIGHT(BV$43,2),SUM($AX385:AZ385),0)+IF(RIGHT(BV$43,2)&gt;RIGHT($K385,2),AZ385,0))</f>
        <v>0</v>
      </c>
      <c r="BW385" s="387">
        <f>+IF($K385="Ongoing",BA385,IF(RIGHT($K385,2)=RIGHT(BW$43,2),SUM($AX385:BA385),0)+IF(RIGHT(BW$43,2)&gt;RIGHT($K385,2),BA385,0))</f>
        <v>0</v>
      </c>
      <c r="BX385" s="1283">
        <f>+IF($K385="Ongoing",BB385,IF(RIGHT($K385,2)=RIGHT(BX$43,2),SUM($AX385:BB385),0)+IF(RIGHT(BX$43,2)&gt;RIGHT($K385,2),BB385,0))</f>
        <v>0</v>
      </c>
      <c r="BY385" s="386">
        <f>+IF($K385="Ongoing",BC385,IF(RIGHT($K385,2)=RIGHT(BY$43,2),SUM($AX385:BC385),0)+IF(RIGHT(BY$43,2)&gt;RIGHT($K385,2),BC385,0))</f>
        <v>0</v>
      </c>
      <c r="BZ385" s="387">
        <f>+IF($K385="Ongoing",BD385,IF(RIGHT($K385,2)=RIGHT(BZ$43,2),SUM($AX385:BD385),0)+IF(RIGHT(BZ$43,2)&gt;RIGHT($K385,2),BD385,0))</f>
        <v>0</v>
      </c>
      <c r="CA385" s="1277">
        <f>+IF($K385="Ongoing",BE385,IF(RIGHT($K385,2)=RIGHT(CA$43,2),SUM($AX385:BE385),0)+IF(RIGHT(CA$43,2)&gt;RIGHT($K385,2),BE385,0))</f>
        <v>0</v>
      </c>
      <c r="CB385" s="1277">
        <f>+IF($K385="Ongoing",BF385,IF(RIGHT($K385,2)=RIGHT(CB$43,2),SUM($AX385:BF385),0)+IF(RIGHT(CB$43,2)&gt;RIGHT($K385,2),BF385,0))</f>
        <v>0</v>
      </c>
      <c r="CC385" s="388">
        <f>+IF($K385="Ongoing",BG385,IF(RIGHT($K385,2)=RIGHT(CC$43,2),SUM($AX385:BG385),0)+IF(RIGHT(CC$43,2)&gt;RIGHT($K385,2),BG385,0))</f>
        <v>0</v>
      </c>
      <c r="CD385" s="1025"/>
      <c r="CE385" s="1282">
        <f>+Q385*KeyAssumptionsPriceControl_FO!AF$15</f>
        <v>0</v>
      </c>
      <c r="CF385" s="387">
        <f>+R385*KeyAssumptionsPriceControl_FO!AG$15</f>
        <v>0</v>
      </c>
      <c r="CG385" s="387">
        <f>+S385*KeyAssumptionsPriceControl_FO!AH$15</f>
        <v>0</v>
      </c>
      <c r="CH385" s="387">
        <f>+T385*KeyAssumptionsPriceControl_FO!AI$15</f>
        <v>0</v>
      </c>
      <c r="CI385" s="1283">
        <f>+U385*KeyAssumptionsPriceControl_FO!AJ$15</f>
        <v>0</v>
      </c>
      <c r="CJ385" s="386">
        <f>+V385*KeyAssumptionsPriceControl_FO!AK$15</f>
        <v>0</v>
      </c>
      <c r="CK385" s="387">
        <f>+W385*KeyAssumptionsPriceControl_FO!AL$15</f>
        <v>0</v>
      </c>
      <c r="CL385" s="1277">
        <f>+X385*KeyAssumptionsPriceControl_FO!AM$15</f>
        <v>0</v>
      </c>
      <c r="CM385" s="1277">
        <f>+Y385*KeyAssumptionsPriceControl_FO!AN$15</f>
        <v>0</v>
      </c>
      <c r="CN385" s="388">
        <f>+Z385*KeyAssumptionsPriceControl_FO!AO$15</f>
        <v>0</v>
      </c>
      <c r="CO385" s="1025"/>
      <c r="CP385" s="1282">
        <f t="shared" ca="1" si="649"/>
        <v>0</v>
      </c>
      <c r="CQ385" s="387">
        <f t="shared" ca="1" si="650"/>
        <v>0</v>
      </c>
      <c r="CR385" s="387">
        <f t="shared" ca="1" si="651"/>
        <v>0</v>
      </c>
      <c r="CS385" s="387">
        <f t="shared" ca="1" si="652"/>
        <v>0</v>
      </c>
      <c r="CT385" s="1283">
        <f t="shared" ca="1" si="653"/>
        <v>0</v>
      </c>
      <c r="CU385" s="386">
        <f t="shared" ca="1" si="654"/>
        <v>0</v>
      </c>
      <c r="CV385" s="387">
        <f t="shared" ca="1" si="655"/>
        <v>0</v>
      </c>
      <c r="CW385" s="1277">
        <f t="shared" ca="1" si="656"/>
        <v>0</v>
      </c>
      <c r="CX385" s="1277">
        <f t="shared" ca="1" si="657"/>
        <v>0</v>
      </c>
      <c r="CY385" s="388">
        <f t="shared" ca="1" si="658"/>
        <v>0</v>
      </c>
      <c r="CZ385" s="347"/>
      <c r="DA385" s="852"/>
      <c r="DB385" s="347"/>
      <c r="DC385" s="1012" t="s">
        <v>517</v>
      </c>
      <c r="DD385" s="841" t="s">
        <v>518</v>
      </c>
      <c r="DE385" s="386">
        <f>+IF($K385="ongoing",CE385,IF(RIGHT($K385,2)=RIGHT(DE$43,2),SUM($CD385:CE385),0)+IF(RIGHT(DE$43,2)&gt;RIGHT($K385,2),CE385,0))</f>
        <v>0</v>
      </c>
      <c r="DF385" s="387">
        <f>+IF($K385="ongoing",CF385,IF(RIGHT($K385,2)=RIGHT(DF$43,2),SUM($CD385:CF385),0)+IF(RIGHT(DF$43,2)&gt;RIGHT($K385,2),CF385,0))</f>
        <v>0</v>
      </c>
      <c r="DG385" s="388">
        <f>+IF($K385="ongoing",CG385,IF(RIGHT($K385,2)=RIGHT(DG$43,2),SUM($CD385:CG385),0)+IF(RIGHT(DG$43,2)&gt;RIGHT($K385,2),CG385,0))</f>
        <v>0</v>
      </c>
      <c r="DH385" s="386">
        <f>+IF($K385="ongoing",CH385,IF(RIGHT($K385,2)=RIGHT(DH$43,2),SUM($CD385:CH385),0)+IF(RIGHT(DH$43,2)&gt;RIGHT($K385,2),CH385,0))</f>
        <v>0</v>
      </c>
      <c r="DI385" s="387">
        <f>+IF($K385="ongoing",CI385,IF(RIGHT($K385,2)=RIGHT(DI$43,2),SUM($CD385:CI385),0)+IF(RIGHT(DI$43,2)&gt;RIGHT($K385,2),CI385,0))</f>
        <v>0</v>
      </c>
      <c r="DJ385" s="387">
        <f>+IF($K385="ongoing",CJ385,IF(RIGHT($K385,2)=RIGHT(DJ$43,2),SUM($CD385:CJ385),0)+IF(RIGHT(DJ$43,2)&gt;RIGHT($K385,2),CJ385,0))</f>
        <v>0</v>
      </c>
      <c r="DK385" s="387">
        <f>+IF($K385="ongoing",CK385,IF(RIGHT($K385,2)=RIGHT(DK$43,2),SUM($CD385:CK385),0)+IF(RIGHT(DK$43,2)&gt;RIGHT($K385,2),CK385,0))</f>
        <v>0</v>
      </c>
      <c r="DL385" s="388">
        <f>+IF($K385="ongoing",CN385,IF(RIGHT($K385,2)=RIGHT(DL$43,2),SUM($CD385:CN385),0)+IF(RIGHT(DL$43,2)&gt;RIGHT($K385,2),CN385,0))</f>
        <v>0</v>
      </c>
      <c r="DM385" s="841"/>
      <c r="DN385" s="386">
        <f t="shared" si="667"/>
        <v>0.5</v>
      </c>
      <c r="DO385" s="387">
        <f t="shared" si="667"/>
        <v>1</v>
      </c>
      <c r="DP385" s="388">
        <f t="shared" si="667"/>
        <v>1</v>
      </c>
      <c r="DQ385" s="386">
        <f t="shared" si="667"/>
        <v>1</v>
      </c>
      <c r="DR385" s="387">
        <f t="shared" si="667"/>
        <v>1</v>
      </c>
      <c r="DS385" s="387">
        <f t="shared" si="667"/>
        <v>1</v>
      </c>
      <c r="DT385" s="387">
        <f t="shared" si="667"/>
        <v>1</v>
      </c>
      <c r="DU385" s="388">
        <f t="shared" si="667"/>
        <v>1</v>
      </c>
      <c r="DW385" s="386">
        <f t="shared" si="668"/>
        <v>0</v>
      </c>
      <c r="DX385" s="387">
        <f t="shared" si="668"/>
        <v>0.5</v>
      </c>
      <c r="DY385" s="388">
        <f t="shared" si="668"/>
        <v>1</v>
      </c>
      <c r="DZ385" s="386">
        <f t="shared" si="668"/>
        <v>1</v>
      </c>
      <c r="EA385" s="387">
        <f t="shared" si="668"/>
        <v>1</v>
      </c>
      <c r="EB385" s="387">
        <f t="shared" si="668"/>
        <v>1</v>
      </c>
      <c r="EC385" s="387">
        <f t="shared" si="668"/>
        <v>1</v>
      </c>
      <c r="ED385" s="388">
        <f t="shared" si="668"/>
        <v>1</v>
      </c>
      <c r="EF385" s="834">
        <f>+IF(DN385=DM385,0,
IF(AND(EF$44&gt;1,DN385=$N385),1-SUM($EE385:EE385),
IF($N385&lt;=1,
IF($N385&gt;0,1/$N385,0),
IF(EF$44=1,0,VDB(1,0,$N385,INT(EF$44-1-1),MIN($N385,INT(EF$44-1-1)+1),$DC385,IF($DD385="No",1,0))/
IF(DM385&gt;=INT($N385),$N385-INT($N385),1)))*
IF(EF$44=1,0,
IF(INT(DN385)=INT(DM385),DN385-DM385,INT(DN385)-DM385))+
IF($N385&lt;=1,
IF($N385&gt;0,1/$N385,0),VDB(1,0,$N385,INT(EF$44-1),MIN($N385,INT(EF$44-1)+1),$DC385,IF($DD385="No",1,0))/
IF(DN385&gt;INT($N385),$N385-INT($N385),1))*
IF(EF$44=1,DN385,
IF(INT(DN385)=INT(DM385),0,DN385-INT(DN385)))))</f>
        <v>0</v>
      </c>
      <c r="EG385" s="835">
        <f>+IF(DO385=DN385,0,
IF(AND(EG$44&gt;1,DO385=$N385),1-SUM($EE385:EF385),
IF($N385&lt;=1,
IF($N385&gt;0,1/$N385,0),
IF(EG$44=1,0,VDB(1,0,$N385,INT(EG$44-1-1),MIN($N385,INT(EG$44-1-1)+1),$DC385,IF($DD385="No",1,0))/
IF(DN385&gt;=INT($N385),$N385-INT($N385),1)))*
IF(EG$44=1,0,
IF(INT(DO385)=INT(DN385),DO385-DN385,INT(DO385)-DN385))+
IF($N385&lt;=1,
IF($N385&gt;0,1/$N385,0),VDB(1,0,$N385,INT(EG$44-1),MIN($N385,INT(EG$44-1)+1),$DC385,IF($DD385="No",1,0))/
IF(DO385&gt;INT($N385),$N385-INT($N385),1))*
IF(EG$44=1,DO385,
IF(INT(DO385)=INT(DN385),0,DO385-INT(DO385)))))</f>
        <v>0</v>
      </c>
      <c r="EH385" s="836">
        <f>+IF(DP385=DO385,0,
IF(AND(EH$44&gt;1,DP385=$N385),1-SUM($EE385:EG385),
IF($N385&lt;=1,
IF($N385&gt;0,1/$N385,0),
IF(EH$44=1,0,VDB(1,0,$N385,INT(EH$44-1-1),MIN($N385,INT(EH$44-1-1)+1),$DC385,IF($DD385="No",1,0))/
IF(DO385&gt;=INT($N385),$N385-INT($N385),1)))*
IF(EH$44=1,0,
IF(INT(DP385)=INT(DO385),DP385-DO385,INT(DP385)-DO385))+
IF($N385&lt;=1,
IF($N385&gt;0,1/$N385,0),VDB(1,0,$N385,INT(EH$44-1),MIN($N385,INT(EH$44-1)+1),$DC385,IF($DD385="No",1,0))/
IF(DP385&gt;INT($N385),$N385-INT($N385),1))*
IF(EH$44=1,DP385,
IF(INT(DP385)=INT(DO385),0,DP385-INT(DP385)))))</f>
        <v>0</v>
      </c>
      <c r="EI385" s="834">
        <f>+IF(DQ385=DP385,0,
IF(AND(EI$44&gt;1,DQ385=$N385),1-SUM($EE385:EH385),
IF($N385&lt;=1,
IF($N385&gt;0,1/$N385,0),
IF(EI$44=1,0,VDB(1,0,$N385,INT(EI$44-1-1),MIN($N385,INT(EI$44-1-1)+1),$DC385,IF($DD385="No",1,0))/
IF(DP385&gt;=INT($N385),$N385-INT($N385),1)))*
IF(EI$44=1,0,
IF(INT(DQ385)=INT(DP385),DQ385-DP385,INT(DQ385)-DP385))+
IF($N385&lt;=1,
IF($N385&gt;0,1/$N385,0),VDB(1,0,$N385,INT(EI$44-1),MIN($N385,INT(EI$44-1)+1),$DC385,IF($DD385="No",1,0))/
IF(DQ385&gt;INT($N385),$N385-INT($N385),1))*
IF(EI$44=1,DQ385,
IF(INT(DQ385)=INT(DP385),0,DQ385-INT(DQ385)))))</f>
        <v>0</v>
      </c>
      <c r="EJ385" s="835">
        <f>+IF(DR385=DQ385,0,
IF(AND(EJ$44&gt;1,DR385=$N385),1-SUM($EE385:EI385),
IF($N385&lt;=1,
IF($N385&gt;0,1/$N385,0),
IF(EJ$44=1,0,VDB(1,0,$N385,INT(EJ$44-1-1),MIN($N385,INT(EJ$44-1-1)+1),$DC385,IF($DD385="No",1,0))/
IF(DQ385&gt;=INT($N385),$N385-INT($N385),1)))*
IF(EJ$44=1,0,
IF(INT(DR385)=INT(DQ385),DR385-DQ385,INT(DR385)-DQ385))+
IF($N385&lt;=1,
IF($N385&gt;0,1/$N385,0),VDB(1,0,$N385,INT(EJ$44-1),MIN($N385,INT(EJ$44-1)+1),$DC385,IF($DD385="No",1,0))/
IF(DR385&gt;INT($N385),$N385-INT($N385),1))*
IF(EJ$44=1,DR385,
IF(INT(DR385)=INT(DQ385),0,DR385-INT(DR385)))))</f>
        <v>0</v>
      </c>
      <c r="EK385" s="835">
        <f>+IF(DS385=DR385,0,
IF(AND(EK$44&gt;1,DS385=$N385),1-SUM($EE385:EJ385),
IF($N385&lt;=1,
IF($N385&gt;0,1/$N385,0),
IF(EK$44=1,0,VDB(1,0,$N385,INT(EK$44-1-1),MIN($N385,INT(EK$44-1-1)+1),$DC385,IF($DD385="No",1,0))/
IF(DR385&gt;=INT($N385),$N385-INT($N385),1)))*
IF(EK$44=1,0,
IF(INT(DS385)=INT(DR385),DS385-DR385,INT(DS385)-DR385))+
IF($N385&lt;=1,
IF($N385&gt;0,1/$N385,0),VDB(1,0,$N385,INT(EK$44-1),MIN($N385,INT(EK$44-1)+1),$DC385,IF($DD385="No",1,0))/
IF(DS385&gt;INT($N385),$N385-INT($N385),1))*
IF(EK$44=1,DS385,
IF(INT(DS385)=INT(DR385),0,DS385-INT(DS385)))))</f>
        <v>0</v>
      </c>
      <c r="EL385" s="835">
        <f>+IF(DT385=DS385,0,
IF(AND(EL$44&gt;1,DT385=$N385),1-SUM($EE385:EK385),
IF($N385&lt;=1,
IF($N385&gt;0,1/$N385,0),
IF(EL$44=1,0,VDB(1,0,$N385,INT(EL$44-1-1),MIN($N385,INT(EL$44-1-1)+1),$DC385,IF($DD385="No",1,0))/
IF(DS385&gt;=INT($N385),$N385-INT($N385),1)))*
IF(EL$44=1,0,
IF(INT(DT385)=INT(DS385),DT385-DS385,INT(DT385)-DS385))+
IF($N385&lt;=1,
IF($N385&gt;0,1/$N385,0),VDB(1,0,$N385,INT(EL$44-1),MIN($N385,INT(EL$44-1)+1),$DC385,IF($DD385="No",1,0))/
IF(DT385&gt;INT($N385),$N385-INT($N385),1))*
IF(EL$44=1,DT385,
IF(INT(DT385)=INT(DS385),0,DT385-INT(DT385)))))</f>
        <v>0</v>
      </c>
      <c r="EM385" s="836">
        <f>+IF(DU385=DT385,0,
IF(AND(EM$44&gt;1,DU385=$N385),1-SUM($EE385:EL385),
IF($N385&lt;=1,
IF($N385&gt;0,1/$N385,0),
IF(EM$44=1,0,VDB(1,0,$N385,INT(EM$44-1-1),MIN($N385,INT(EM$44-1-1)+1),$DC385,IF($DD385="No",1,0))/
IF(DT385&gt;=INT($N385),$N385-INT($N385),1)))*
IF(EM$44=1,0,
IF(INT(DU385)=INT(DT385),DU385-DT385,INT(DU385)-DT385))+
IF($N385&lt;=1,
IF($N385&gt;0,1/$N385,0),VDB(1,0,$N385,INT(EM$44-1),MIN($N385,INT(EM$44-1)+1),$DC385,IF($DD385="No",1,0))/
IF(DU385&gt;INT($N385),$N385-INT($N385),1))*
IF(EM$44=1,DU385,
IF(INT(DU385)=INT(DT385),0,DU385-INT(DU385)))))</f>
        <v>0</v>
      </c>
      <c r="EN385" s="833"/>
      <c r="EO385" s="834">
        <f>+IF(OR(DW385=DV385,EO$44=1),0,
IF(AND(EO$44&gt;1,DW385=$N385),1-SUM($EN385:EN385),
IF($N385&lt;=1,
IF($N385&gt;0,1/$N385,0),
IF(EO$44=2,0,VDB(1,0,$N385,INT(EO$44-2-1),MIN($N385,INT(EO$44-2-1)+1),$DC385,IF($DD385="No",1,0))/
IF(DV385&gt;=INT($N385),$N385-INT($N385),1)))*
IF(EO$44=2,0,
IF(INT(DW385)=INT(DV385),DW385-DV385,INT(DW385)-DV385))+
IF($N385&lt;=1,
IF($N385&gt;0,1/$N385,0),VDB(1,0,$N385,INT(EO$44-2),MIN($N385,INT(EO$44-2)+1),$DC385,IF($DD385="No",1,0))/
IF(DW385&gt;INT($N385),$N385-INT($N385),1))*
IF(EO$44=2,DW385,
IF(INT(DW385)=INT(DV385),0,DW385-INT(DW385)))))</f>
        <v>0</v>
      </c>
      <c r="EP385" s="835">
        <f>+IF(OR(DX385=DW385,EP$44=1),0,
IF(AND(EP$44&gt;1,DX385=$N385),1-SUM($EN385:EO385),
IF($N385&lt;=1,
IF($N385&gt;0,1/$N385,0),
IF(EP$44=2,0,VDB(1,0,$N385,INT(EP$44-2-1),MIN($N385,INT(EP$44-2-1)+1),$DC385,IF($DD385="No",1,0))/
IF(DW385&gt;=INT($N385),$N385-INT($N385),1)))*
IF(EP$44=2,0,
IF(INT(DX385)=INT(DW385),DX385-DW385,INT(DX385)-DW385))+
IF($N385&lt;=1,
IF($N385&gt;0,1/$N385,0),VDB(1,0,$N385,INT(EP$44-2),MIN($N385,INT(EP$44-2)+1),$DC385,IF($DD385="No",1,0))/
IF(DX385&gt;INT($N385),$N385-INT($N385),1))*
IF(EP$44=2,DX385,
IF(INT(DX385)=INT(DW385),0,DX385-INT(DX385)))))</f>
        <v>0</v>
      </c>
      <c r="EQ385" s="836">
        <f>+IF(OR(DY385=DX385,EQ$44=1),0,
IF(AND(EQ$44&gt;1,DY385=$N385),1-SUM($EN385:EP385),
IF($N385&lt;=1,
IF($N385&gt;0,1/$N385,0),
IF(EQ$44=2,0,VDB(1,0,$N385,INT(EQ$44-2-1),MIN($N385,INT(EQ$44-2-1)+1),$DC385,IF($DD385="No",1,0))/
IF(DX385&gt;=INT($N385),$N385-INT($N385),1)))*
IF(EQ$44=2,0,
IF(INT(DY385)=INT(DX385),DY385-DX385,INT(DY385)-DX385))+
IF($N385&lt;=1,
IF($N385&gt;0,1/$N385,0),VDB(1,0,$N385,INT(EQ$44-2),MIN($N385,INT(EQ$44-2)+1),$DC385,IF($DD385="No",1,0))/
IF(DY385&gt;INT($N385),$N385-INT($N385),1))*
IF(EQ$44=2,DY385,
IF(INT(DY385)=INT(DX385),0,DY385-INT(DY385)))))</f>
        <v>0</v>
      </c>
      <c r="ER385" s="834">
        <f>+IF(OR(DZ385=DY385,ER$44=1),0,
IF(AND(ER$44&gt;1,DZ385=$N385),1-SUM($EN385:EQ385),
IF($N385&lt;=1,
IF($N385&gt;0,1/$N385,0),
IF(ER$44=2,0,VDB(1,0,$N385,INT(ER$44-2-1),MIN($N385,INT(ER$44-2-1)+1),$DC385,IF($DD385="No",1,0))/
IF(DY385&gt;=INT($N385),$N385-INT($N385),1)))*
IF(ER$44=2,0,
IF(INT(DZ385)=INT(DY385),DZ385-DY385,INT(DZ385)-DY385))+
IF($N385&lt;=1,
IF($N385&gt;0,1/$N385,0),VDB(1,0,$N385,INT(ER$44-2),MIN($N385,INT(ER$44-2)+1),$DC385,IF($DD385="No",1,0))/
IF(DZ385&gt;INT($N385),$N385-INT($N385),1))*
IF(ER$44=2,DZ385,
IF(INT(DZ385)=INT(DY385),0,DZ385-INT(DZ385)))))</f>
        <v>0</v>
      </c>
      <c r="ES385" s="835">
        <f>+IF(OR(EA385=DZ385,ES$44=1),0,
IF(AND(ES$44&gt;1,EA385=$N385),1-SUM($EN385:ER385),
IF($N385&lt;=1,
IF($N385&gt;0,1/$N385,0),
IF(ES$44=2,0,VDB(1,0,$N385,INT(ES$44-2-1),MIN($N385,INT(ES$44-2-1)+1),$DC385,IF($DD385="No",1,0))/
IF(DZ385&gt;=INT($N385),$N385-INT($N385),1)))*
IF(ES$44=2,0,
IF(INT(EA385)=INT(DZ385),EA385-DZ385,INT(EA385)-DZ385))+
IF($N385&lt;=1,
IF($N385&gt;0,1/$N385,0),VDB(1,0,$N385,INT(ES$44-2),MIN($N385,INT(ES$44-2)+1),$DC385,IF($DD385="No",1,0))/
IF(EA385&gt;INT($N385),$N385-INT($N385),1))*
IF(ES$44=2,EA385,
IF(INT(EA385)=INT(DZ385),0,EA385-INT(EA385)))))</f>
        <v>0</v>
      </c>
      <c r="ET385" s="835">
        <f>+IF(OR(EB385=EA385,ET$44=1),0,
IF(AND(ET$44&gt;1,EB385=$N385),1-SUM($EN385:ES385),
IF($N385&lt;=1,
IF($N385&gt;0,1/$N385,0),
IF(ET$44=2,0,VDB(1,0,$N385,INT(ET$44-2-1),MIN($N385,INT(ET$44-2-1)+1),$DC385,IF($DD385="No",1,0))/
IF(EA385&gt;=INT($N385),$N385-INT($N385),1)))*
IF(ET$44=2,0,
IF(INT(EB385)=INT(EA385),EB385-EA385,INT(EB385)-EA385))+
IF($N385&lt;=1,
IF($N385&gt;0,1/$N385,0),VDB(1,0,$N385,INT(ET$44-2),MIN($N385,INT(ET$44-2)+1),$DC385,IF($DD385="No",1,0))/
IF(EB385&gt;INT($N385),$N385-INT($N385),1))*
IF(ET$44=2,EB385,
IF(INT(EB385)=INT(EA385),0,EB385-INT(EB385)))))</f>
        <v>0</v>
      </c>
      <c r="EU385" s="835">
        <f>+IF(OR(EC385=EB385,EU$44=1),0,
IF(AND(EU$44&gt;1,EC385=$N385),1-SUM($EN385:ET385),
IF($N385&lt;=1,
IF($N385&gt;0,1/$N385,0),
IF(EU$44=2,0,VDB(1,0,$N385,INT(EU$44-2-1),MIN($N385,INT(EU$44-2-1)+1),$DC385,IF($DD385="No",1,0))/
IF(EB385&gt;=INT($N385),$N385-INT($N385),1)))*
IF(EU$44=2,0,
IF(INT(EC385)=INT(EB385),EC385-EB385,INT(EC385)-EB385))+
IF($N385&lt;=1,
IF($N385&gt;0,1/$N385,0),VDB(1,0,$N385,INT(EU$44-2),MIN($N385,INT(EU$44-2)+1),$DC385,IF($DD385="No",1,0))/
IF(EC385&gt;INT($N385),$N385-INT($N385),1))*
IF(EU$44=2,EC385,
IF(INT(EC385)=INT(EB385),0,EC385-INT(EC385)))))</f>
        <v>0</v>
      </c>
      <c r="EV385" s="836">
        <f>+IF(OR(ED385=EC385,EV$44=1),0,
IF(AND(EV$44&gt;1,ED385=$N385),1-SUM($EN385:EU385),
IF($N385&lt;=1,
IF($N385&gt;0,1/$N385,0),
IF(EV$44=2,0,VDB(1,0,$N385,INT(EV$44-2-1),MIN($N385,INT(EV$44-2-1)+1),$DC385,IF($DD385="No",1,0))/
IF(EC385&gt;=INT($N385),$N385-INT($N385),1)))*
IF(EV$44=2,0,
IF(INT(ED385)=INT(EC385),ED385-EC385,INT(ED385)-EC385))+
IF($N385&lt;=1,
IF($N385&gt;0,1/$N385,0),VDB(1,0,$N385,INT(EV$44-2),MIN($N385,INT(EV$44-2)+1),$DC385,IF($DD385="No",1,0))/
IF(ED385&gt;INT($N385),$N385-INT($N385),1))*
IF(EV$44=2,ED385,
IF(INT(ED385)=INT(EC385),0,ED385-INT(ED385)))))</f>
        <v>0</v>
      </c>
      <c r="EW385" s="833"/>
      <c r="EX385" s="834">
        <f t="shared" ca="1" si="669"/>
        <v>0</v>
      </c>
      <c r="EY385" s="835">
        <f t="shared" ca="1" si="669"/>
        <v>0</v>
      </c>
      <c r="EZ385" s="836">
        <f t="shared" ca="1" si="669"/>
        <v>0</v>
      </c>
      <c r="FA385" s="834">
        <f t="shared" ca="1" si="669"/>
        <v>0</v>
      </c>
      <c r="FB385" s="835">
        <f t="shared" ca="1" si="669"/>
        <v>0</v>
      </c>
      <c r="FC385" s="835">
        <f t="shared" ca="1" si="669"/>
        <v>0</v>
      </c>
      <c r="FD385" s="835">
        <f t="shared" ca="1" si="669"/>
        <v>0</v>
      </c>
      <c r="FE385" s="836">
        <f t="shared" ca="1" si="669"/>
        <v>0</v>
      </c>
      <c r="FG385" s="386">
        <f t="shared" ca="1" si="659"/>
        <v>0</v>
      </c>
      <c r="FH385" s="387">
        <f t="shared" ca="1" si="660"/>
        <v>0</v>
      </c>
      <c r="FI385" s="388">
        <f t="shared" ca="1" si="661"/>
        <v>0</v>
      </c>
      <c r="FJ385" s="386">
        <f t="shared" ca="1" si="662"/>
        <v>0</v>
      </c>
      <c r="FK385" s="387">
        <f t="shared" ca="1" si="663"/>
        <v>0</v>
      </c>
      <c r="FL385" s="387">
        <f t="shared" ca="1" si="664"/>
        <v>0</v>
      </c>
      <c r="FM385" s="387">
        <f t="shared" ca="1" si="665"/>
        <v>0</v>
      </c>
      <c r="FN385" s="388">
        <f t="shared" ca="1" si="666"/>
        <v>0</v>
      </c>
      <c r="FR385" s="116"/>
    </row>
    <row r="386" spans="2:174">
      <c r="B386" s="1410">
        <f t="shared" si="670"/>
        <v>340</v>
      </c>
      <c r="C386" s="400"/>
      <c r="D386" s="410"/>
      <c r="E386" s="402"/>
      <c r="F386" s="402"/>
      <c r="G386" s="400"/>
      <c r="H386" s="2088"/>
      <c r="I386" s="2089"/>
      <c r="J386" s="411"/>
      <c r="K386" s="403"/>
      <c r="L386" s="403"/>
      <c r="M386" s="403"/>
      <c r="N386" s="403"/>
      <c r="O386" s="347"/>
      <c r="P386" s="347"/>
      <c r="Q386" s="1021"/>
      <c r="R386" s="1022"/>
      <c r="S386" s="1022"/>
      <c r="T386" s="1022"/>
      <c r="U386" s="1023"/>
      <c r="V386" s="1021"/>
      <c r="W386" s="1022"/>
      <c r="X386" s="1022"/>
      <c r="Y386" s="1022"/>
      <c r="Z386" s="1023"/>
      <c r="AA386" s="1024"/>
      <c r="AB386" s="1021"/>
      <c r="AC386" s="1022"/>
      <c r="AD386" s="1022"/>
      <c r="AE386" s="1022"/>
      <c r="AF386" s="1023"/>
      <c r="AG386" s="1021"/>
      <c r="AH386" s="1022"/>
      <c r="AI386" s="1022"/>
      <c r="AJ386" s="1022"/>
      <c r="AK386" s="1023"/>
      <c r="AL386" s="1024"/>
      <c r="AM386" s="1021"/>
      <c r="AN386" s="1022"/>
      <c r="AO386" s="1022"/>
      <c r="AP386" s="1022"/>
      <c r="AQ386" s="1023"/>
      <c r="AR386" s="1021"/>
      <c r="AS386" s="1022"/>
      <c r="AT386" s="1022"/>
      <c r="AU386" s="1022"/>
      <c r="AV386" s="1023"/>
      <c r="AW386" s="1025"/>
      <c r="AX386" s="1282">
        <f t="shared" si="635"/>
        <v>0</v>
      </c>
      <c r="AY386" s="387">
        <f t="shared" si="636"/>
        <v>0</v>
      </c>
      <c r="AZ386" s="387">
        <f t="shared" si="637"/>
        <v>0</v>
      </c>
      <c r="BA386" s="387">
        <f t="shared" si="638"/>
        <v>0</v>
      </c>
      <c r="BB386" s="1283">
        <f t="shared" si="639"/>
        <v>0</v>
      </c>
      <c r="BC386" s="386">
        <f t="shared" si="640"/>
        <v>0</v>
      </c>
      <c r="BD386" s="387">
        <f t="shared" si="641"/>
        <v>0</v>
      </c>
      <c r="BE386" s="1277">
        <f t="shared" si="642"/>
        <v>0</v>
      </c>
      <c r="BF386" s="1277">
        <f t="shared" si="642"/>
        <v>0</v>
      </c>
      <c r="BG386" s="388">
        <f t="shared" si="642"/>
        <v>0</v>
      </c>
      <c r="BH386" s="1025"/>
      <c r="BI386" s="1282">
        <f t="shared" ca="1" si="643"/>
        <v>0</v>
      </c>
      <c r="BJ386" s="387">
        <f t="shared" ca="1" si="644"/>
        <v>0</v>
      </c>
      <c r="BK386" s="387">
        <f t="shared" ca="1" si="645"/>
        <v>0</v>
      </c>
      <c r="BL386" s="387">
        <f t="shared" ca="1" si="646"/>
        <v>0</v>
      </c>
      <c r="BM386" s="1283">
        <f t="shared" ca="1" si="647"/>
        <v>0</v>
      </c>
      <c r="BN386" s="386">
        <f t="shared" ca="1" si="648"/>
        <v>0</v>
      </c>
      <c r="BO386" s="387">
        <f t="shared" ca="1" si="648"/>
        <v>0</v>
      </c>
      <c r="BP386" s="1277">
        <f t="shared" ca="1" si="648"/>
        <v>0</v>
      </c>
      <c r="BQ386" s="1277">
        <f t="shared" ca="1" si="648"/>
        <v>0</v>
      </c>
      <c r="BR386" s="388">
        <f t="shared" ca="1" si="648"/>
        <v>0</v>
      </c>
      <c r="BS386" s="1025"/>
      <c r="BT386" s="1282">
        <f>+IF($K386="Ongoing",AX386,IF(RIGHT($K386,2)=RIGHT(BT$43,2),SUM($AX386:AX386),0)+IF(RIGHT(BT$43,2)&gt;RIGHT($K386,2),AX386,0))</f>
        <v>0</v>
      </c>
      <c r="BU386" s="387">
        <f>+IF($K386="Ongoing",AY386,IF(RIGHT($K386,2)=RIGHT(BU$43,2),SUM($AX386:AY386),0)+IF(RIGHT(BU$43,2)&gt;RIGHT($K386,2),AY386,0))</f>
        <v>0</v>
      </c>
      <c r="BV386" s="387">
        <f>+IF($K386="Ongoing",AZ386,IF(RIGHT($K386,2)=RIGHT(BV$43,2),SUM($AX386:AZ386),0)+IF(RIGHT(BV$43,2)&gt;RIGHT($K386,2),AZ386,0))</f>
        <v>0</v>
      </c>
      <c r="BW386" s="387">
        <f>+IF($K386="Ongoing",BA386,IF(RIGHT($K386,2)=RIGHT(BW$43,2),SUM($AX386:BA386),0)+IF(RIGHT(BW$43,2)&gt;RIGHT($K386,2),BA386,0))</f>
        <v>0</v>
      </c>
      <c r="BX386" s="1283">
        <f>+IF($K386="Ongoing",BB386,IF(RIGHT($K386,2)=RIGHT(BX$43,2),SUM($AX386:BB386),0)+IF(RIGHT(BX$43,2)&gt;RIGHT($K386,2),BB386,0))</f>
        <v>0</v>
      </c>
      <c r="BY386" s="386">
        <f>+IF($K386="Ongoing",BC386,IF(RIGHT($K386,2)=RIGHT(BY$43,2),SUM($AX386:BC386),0)+IF(RIGHT(BY$43,2)&gt;RIGHT($K386,2),BC386,0))</f>
        <v>0</v>
      </c>
      <c r="BZ386" s="387">
        <f>+IF($K386="Ongoing",BD386,IF(RIGHT($K386,2)=RIGHT(BZ$43,2),SUM($AX386:BD386),0)+IF(RIGHT(BZ$43,2)&gt;RIGHT($K386,2),BD386,0))</f>
        <v>0</v>
      </c>
      <c r="CA386" s="1277">
        <f>+IF($K386="Ongoing",BE386,IF(RIGHT($K386,2)=RIGHT(CA$43,2),SUM($AX386:BE386),0)+IF(RIGHT(CA$43,2)&gt;RIGHT($K386,2),BE386,0))</f>
        <v>0</v>
      </c>
      <c r="CB386" s="1277">
        <f>+IF($K386="Ongoing",BF386,IF(RIGHT($K386,2)=RIGHT(CB$43,2),SUM($AX386:BF386),0)+IF(RIGHT(CB$43,2)&gt;RIGHT($K386,2),BF386,0))</f>
        <v>0</v>
      </c>
      <c r="CC386" s="388">
        <f>+IF($K386="Ongoing",BG386,IF(RIGHT($K386,2)=RIGHT(CC$43,2),SUM($AX386:BG386),0)+IF(RIGHT(CC$43,2)&gt;RIGHT($K386,2),BG386,0))</f>
        <v>0</v>
      </c>
      <c r="CD386" s="1025"/>
      <c r="CE386" s="1282">
        <f>+Q386*KeyAssumptionsPriceControl_FO!AF$15</f>
        <v>0</v>
      </c>
      <c r="CF386" s="387">
        <f>+R386*KeyAssumptionsPriceControl_FO!AG$15</f>
        <v>0</v>
      </c>
      <c r="CG386" s="387">
        <f>+S386*KeyAssumptionsPriceControl_FO!AH$15</f>
        <v>0</v>
      </c>
      <c r="CH386" s="387">
        <f>+T386*KeyAssumptionsPriceControl_FO!AI$15</f>
        <v>0</v>
      </c>
      <c r="CI386" s="1283">
        <f>+U386*KeyAssumptionsPriceControl_FO!AJ$15</f>
        <v>0</v>
      </c>
      <c r="CJ386" s="386">
        <f>+V386*KeyAssumptionsPriceControl_FO!AK$15</f>
        <v>0</v>
      </c>
      <c r="CK386" s="387">
        <f>+W386*KeyAssumptionsPriceControl_FO!AL$15</f>
        <v>0</v>
      </c>
      <c r="CL386" s="1277">
        <f>+X386*KeyAssumptionsPriceControl_FO!AM$15</f>
        <v>0</v>
      </c>
      <c r="CM386" s="1277">
        <f>+Y386*KeyAssumptionsPriceControl_FO!AN$15</f>
        <v>0</v>
      </c>
      <c r="CN386" s="388">
        <f>+Z386*KeyAssumptionsPriceControl_FO!AO$15</f>
        <v>0</v>
      </c>
      <c r="CO386" s="1025"/>
      <c r="CP386" s="1282">
        <f t="shared" ca="1" si="649"/>
        <v>0</v>
      </c>
      <c r="CQ386" s="387">
        <f t="shared" ca="1" si="650"/>
        <v>0</v>
      </c>
      <c r="CR386" s="387">
        <f t="shared" ca="1" si="651"/>
        <v>0</v>
      </c>
      <c r="CS386" s="387">
        <f t="shared" ca="1" si="652"/>
        <v>0</v>
      </c>
      <c r="CT386" s="1283">
        <f t="shared" ca="1" si="653"/>
        <v>0</v>
      </c>
      <c r="CU386" s="386">
        <f t="shared" ca="1" si="654"/>
        <v>0</v>
      </c>
      <c r="CV386" s="387">
        <f t="shared" ca="1" si="655"/>
        <v>0</v>
      </c>
      <c r="CW386" s="1277">
        <f t="shared" ca="1" si="656"/>
        <v>0</v>
      </c>
      <c r="CX386" s="1277">
        <f t="shared" ca="1" si="657"/>
        <v>0</v>
      </c>
      <c r="CY386" s="388">
        <f t="shared" ca="1" si="658"/>
        <v>0</v>
      </c>
      <c r="CZ386" s="347"/>
      <c r="DA386" s="852"/>
      <c r="DB386" s="347"/>
      <c r="DC386" s="1012" t="s">
        <v>517</v>
      </c>
      <c r="DD386" s="841" t="s">
        <v>518</v>
      </c>
      <c r="DE386" s="386">
        <f>+IF($K386="ongoing",CE386,IF(RIGHT($K386,2)=RIGHT(DE$43,2),SUM($CD386:CE386),0)+IF(RIGHT(DE$43,2)&gt;RIGHT($K386,2),CE386,0))</f>
        <v>0</v>
      </c>
      <c r="DF386" s="387">
        <f>+IF($K386="ongoing",CF386,IF(RIGHT($K386,2)=RIGHT(DF$43,2),SUM($CD386:CF386),0)+IF(RIGHT(DF$43,2)&gt;RIGHT($K386,2),CF386,0))</f>
        <v>0</v>
      </c>
      <c r="DG386" s="388">
        <f>+IF($K386="ongoing",CG386,IF(RIGHT($K386,2)=RIGHT(DG$43,2),SUM($CD386:CG386),0)+IF(RIGHT(DG$43,2)&gt;RIGHT($K386,2),CG386,0))</f>
        <v>0</v>
      </c>
      <c r="DH386" s="386">
        <f>+IF($K386="ongoing",CH386,IF(RIGHT($K386,2)=RIGHT(DH$43,2),SUM($CD386:CH386),0)+IF(RIGHT(DH$43,2)&gt;RIGHT($K386,2),CH386,0))</f>
        <v>0</v>
      </c>
      <c r="DI386" s="387">
        <f>+IF($K386="ongoing",CI386,IF(RIGHT($K386,2)=RIGHT(DI$43,2),SUM($CD386:CI386),0)+IF(RIGHT(DI$43,2)&gt;RIGHT($K386,2),CI386,0))</f>
        <v>0</v>
      </c>
      <c r="DJ386" s="387">
        <f>+IF($K386="ongoing",CJ386,IF(RIGHT($K386,2)=RIGHT(DJ$43,2),SUM($CD386:CJ386),0)+IF(RIGHT(DJ$43,2)&gt;RIGHT($K386,2),CJ386,0))</f>
        <v>0</v>
      </c>
      <c r="DK386" s="387">
        <f>+IF($K386="ongoing",CK386,IF(RIGHT($K386,2)=RIGHT(DK$43,2),SUM($CD386:CK386),0)+IF(RIGHT(DK$43,2)&gt;RIGHT($K386,2),CK386,0))</f>
        <v>0</v>
      </c>
      <c r="DL386" s="388">
        <f>+IF($K386="ongoing",CN386,IF(RIGHT($K386,2)=RIGHT(DL$43,2),SUM($CD386:CN386),0)+IF(RIGHT(DL$43,2)&gt;RIGHT($K386,2),CN386,0))</f>
        <v>0</v>
      </c>
      <c r="DM386" s="841"/>
      <c r="DN386" s="386">
        <f t="shared" si="667"/>
        <v>0.5</v>
      </c>
      <c r="DO386" s="387">
        <f t="shared" si="667"/>
        <v>1</v>
      </c>
      <c r="DP386" s="388">
        <f t="shared" si="667"/>
        <v>1</v>
      </c>
      <c r="DQ386" s="386">
        <f t="shared" si="667"/>
        <v>1</v>
      </c>
      <c r="DR386" s="387">
        <f t="shared" si="667"/>
        <v>1</v>
      </c>
      <c r="DS386" s="387">
        <f t="shared" si="667"/>
        <v>1</v>
      </c>
      <c r="DT386" s="387">
        <f t="shared" si="667"/>
        <v>1</v>
      </c>
      <c r="DU386" s="388">
        <f t="shared" si="667"/>
        <v>1</v>
      </c>
      <c r="DW386" s="386">
        <f t="shared" si="668"/>
        <v>0</v>
      </c>
      <c r="DX386" s="387">
        <f t="shared" si="668"/>
        <v>0.5</v>
      </c>
      <c r="DY386" s="388">
        <f t="shared" si="668"/>
        <v>1</v>
      </c>
      <c r="DZ386" s="386">
        <f t="shared" si="668"/>
        <v>1</v>
      </c>
      <c r="EA386" s="387">
        <f t="shared" si="668"/>
        <v>1</v>
      </c>
      <c r="EB386" s="387">
        <f t="shared" si="668"/>
        <v>1</v>
      </c>
      <c r="EC386" s="387">
        <f t="shared" si="668"/>
        <v>1</v>
      </c>
      <c r="ED386" s="388">
        <f t="shared" si="668"/>
        <v>1</v>
      </c>
      <c r="EF386" s="834">
        <f>+IF(DN386=DM386,0,
IF(AND(EF$44&gt;1,DN386=$N386),1-SUM($EE386:EE386),
IF($N386&lt;=1,
IF($N386&gt;0,1/$N386,0),
IF(EF$44=1,0,VDB(1,0,$N386,INT(EF$44-1-1),MIN($N386,INT(EF$44-1-1)+1),$DC386,IF($DD386="No",1,0))/
IF(DM386&gt;=INT($N386),$N386-INT($N386),1)))*
IF(EF$44=1,0,
IF(INT(DN386)=INT(DM386),DN386-DM386,INT(DN386)-DM386))+
IF($N386&lt;=1,
IF($N386&gt;0,1/$N386,0),VDB(1,0,$N386,INT(EF$44-1),MIN($N386,INT(EF$44-1)+1),$DC386,IF($DD386="No",1,0))/
IF(DN386&gt;INT($N386),$N386-INT($N386),1))*
IF(EF$44=1,DN386,
IF(INT(DN386)=INT(DM386),0,DN386-INT(DN386)))))</f>
        <v>0</v>
      </c>
      <c r="EG386" s="835">
        <f>+IF(DO386=DN386,0,
IF(AND(EG$44&gt;1,DO386=$N386),1-SUM($EE386:EF386),
IF($N386&lt;=1,
IF($N386&gt;0,1/$N386,0),
IF(EG$44=1,0,VDB(1,0,$N386,INT(EG$44-1-1),MIN($N386,INT(EG$44-1-1)+1),$DC386,IF($DD386="No",1,0))/
IF(DN386&gt;=INT($N386),$N386-INT($N386),1)))*
IF(EG$44=1,0,
IF(INT(DO386)=INT(DN386),DO386-DN386,INT(DO386)-DN386))+
IF($N386&lt;=1,
IF($N386&gt;0,1/$N386,0),VDB(1,0,$N386,INT(EG$44-1),MIN($N386,INT(EG$44-1)+1),$DC386,IF($DD386="No",1,0))/
IF(DO386&gt;INT($N386),$N386-INT($N386),1))*
IF(EG$44=1,DO386,
IF(INT(DO386)=INT(DN386),0,DO386-INT(DO386)))))</f>
        <v>0</v>
      </c>
      <c r="EH386" s="836">
        <f>+IF(DP386=DO386,0,
IF(AND(EH$44&gt;1,DP386=$N386),1-SUM($EE386:EG386),
IF($N386&lt;=1,
IF($N386&gt;0,1/$N386,0),
IF(EH$44=1,0,VDB(1,0,$N386,INT(EH$44-1-1),MIN($N386,INT(EH$44-1-1)+1),$DC386,IF($DD386="No",1,0))/
IF(DO386&gt;=INT($N386),$N386-INT($N386),1)))*
IF(EH$44=1,0,
IF(INT(DP386)=INT(DO386),DP386-DO386,INT(DP386)-DO386))+
IF($N386&lt;=1,
IF($N386&gt;0,1/$N386,0),VDB(1,0,$N386,INT(EH$44-1),MIN($N386,INT(EH$44-1)+1),$DC386,IF($DD386="No",1,0))/
IF(DP386&gt;INT($N386),$N386-INT($N386),1))*
IF(EH$44=1,DP386,
IF(INT(DP386)=INT(DO386),0,DP386-INT(DP386)))))</f>
        <v>0</v>
      </c>
      <c r="EI386" s="834">
        <f>+IF(DQ386=DP386,0,
IF(AND(EI$44&gt;1,DQ386=$N386),1-SUM($EE386:EH386),
IF($N386&lt;=1,
IF($N386&gt;0,1/$N386,0),
IF(EI$44=1,0,VDB(1,0,$N386,INT(EI$44-1-1),MIN($N386,INT(EI$44-1-1)+1),$DC386,IF($DD386="No",1,0))/
IF(DP386&gt;=INT($N386),$N386-INT($N386),1)))*
IF(EI$44=1,0,
IF(INT(DQ386)=INT(DP386),DQ386-DP386,INT(DQ386)-DP386))+
IF($N386&lt;=1,
IF($N386&gt;0,1/$N386,0),VDB(1,0,$N386,INT(EI$44-1),MIN($N386,INT(EI$44-1)+1),$DC386,IF($DD386="No",1,0))/
IF(DQ386&gt;INT($N386),$N386-INT($N386),1))*
IF(EI$44=1,DQ386,
IF(INT(DQ386)=INT(DP386),0,DQ386-INT(DQ386)))))</f>
        <v>0</v>
      </c>
      <c r="EJ386" s="835">
        <f>+IF(DR386=DQ386,0,
IF(AND(EJ$44&gt;1,DR386=$N386),1-SUM($EE386:EI386),
IF($N386&lt;=1,
IF($N386&gt;0,1/$N386,0),
IF(EJ$44=1,0,VDB(1,0,$N386,INT(EJ$44-1-1),MIN($N386,INT(EJ$44-1-1)+1),$DC386,IF($DD386="No",1,0))/
IF(DQ386&gt;=INT($N386),$N386-INT($N386),1)))*
IF(EJ$44=1,0,
IF(INT(DR386)=INT(DQ386),DR386-DQ386,INT(DR386)-DQ386))+
IF($N386&lt;=1,
IF($N386&gt;0,1/$N386,0),VDB(1,0,$N386,INT(EJ$44-1),MIN($N386,INT(EJ$44-1)+1),$DC386,IF($DD386="No",1,0))/
IF(DR386&gt;INT($N386),$N386-INT($N386),1))*
IF(EJ$44=1,DR386,
IF(INT(DR386)=INT(DQ386),0,DR386-INT(DR386)))))</f>
        <v>0</v>
      </c>
      <c r="EK386" s="835">
        <f>+IF(DS386=DR386,0,
IF(AND(EK$44&gt;1,DS386=$N386),1-SUM($EE386:EJ386),
IF($N386&lt;=1,
IF($N386&gt;0,1/$N386,0),
IF(EK$44=1,0,VDB(1,0,$N386,INT(EK$44-1-1),MIN($N386,INT(EK$44-1-1)+1),$DC386,IF($DD386="No",1,0))/
IF(DR386&gt;=INT($N386),$N386-INT($N386),1)))*
IF(EK$44=1,0,
IF(INT(DS386)=INT(DR386),DS386-DR386,INT(DS386)-DR386))+
IF($N386&lt;=1,
IF($N386&gt;0,1/$N386,0),VDB(1,0,$N386,INT(EK$44-1),MIN($N386,INT(EK$44-1)+1),$DC386,IF($DD386="No",1,0))/
IF(DS386&gt;INT($N386),$N386-INT($N386),1))*
IF(EK$44=1,DS386,
IF(INT(DS386)=INT(DR386),0,DS386-INT(DS386)))))</f>
        <v>0</v>
      </c>
      <c r="EL386" s="835">
        <f>+IF(DT386=DS386,0,
IF(AND(EL$44&gt;1,DT386=$N386),1-SUM($EE386:EK386),
IF($N386&lt;=1,
IF($N386&gt;0,1/$N386,0),
IF(EL$44=1,0,VDB(1,0,$N386,INT(EL$44-1-1),MIN($N386,INT(EL$44-1-1)+1),$DC386,IF($DD386="No",1,0))/
IF(DS386&gt;=INT($N386),$N386-INT($N386),1)))*
IF(EL$44=1,0,
IF(INT(DT386)=INT(DS386),DT386-DS386,INT(DT386)-DS386))+
IF($N386&lt;=1,
IF($N386&gt;0,1/$N386,0),VDB(1,0,$N386,INT(EL$44-1),MIN($N386,INT(EL$44-1)+1),$DC386,IF($DD386="No",1,0))/
IF(DT386&gt;INT($N386),$N386-INT($N386),1))*
IF(EL$44=1,DT386,
IF(INT(DT386)=INT(DS386),0,DT386-INT(DT386)))))</f>
        <v>0</v>
      </c>
      <c r="EM386" s="836">
        <f>+IF(DU386=DT386,0,
IF(AND(EM$44&gt;1,DU386=$N386),1-SUM($EE386:EL386),
IF($N386&lt;=1,
IF($N386&gt;0,1/$N386,0),
IF(EM$44=1,0,VDB(1,0,$N386,INT(EM$44-1-1),MIN($N386,INT(EM$44-1-1)+1),$DC386,IF($DD386="No",1,0))/
IF(DT386&gt;=INT($N386),$N386-INT($N386),1)))*
IF(EM$44=1,0,
IF(INT(DU386)=INT(DT386),DU386-DT386,INT(DU386)-DT386))+
IF($N386&lt;=1,
IF($N386&gt;0,1/$N386,0),VDB(1,0,$N386,INT(EM$44-1),MIN($N386,INT(EM$44-1)+1),$DC386,IF($DD386="No",1,0))/
IF(DU386&gt;INT($N386),$N386-INT($N386),1))*
IF(EM$44=1,DU386,
IF(INT(DU386)=INT(DT386),0,DU386-INT(DU386)))))</f>
        <v>0</v>
      </c>
      <c r="EN386" s="833"/>
      <c r="EO386" s="834">
        <f>+IF(OR(DW386=DV386,EO$44=1),0,
IF(AND(EO$44&gt;1,DW386=$N386),1-SUM($EN386:EN386),
IF($N386&lt;=1,
IF($N386&gt;0,1/$N386,0),
IF(EO$44=2,0,VDB(1,0,$N386,INT(EO$44-2-1),MIN($N386,INT(EO$44-2-1)+1),$DC386,IF($DD386="No",1,0))/
IF(DV386&gt;=INT($N386),$N386-INT($N386),1)))*
IF(EO$44=2,0,
IF(INT(DW386)=INT(DV386),DW386-DV386,INT(DW386)-DV386))+
IF($N386&lt;=1,
IF($N386&gt;0,1/$N386,0),VDB(1,0,$N386,INT(EO$44-2),MIN($N386,INT(EO$44-2)+1),$DC386,IF($DD386="No",1,0))/
IF(DW386&gt;INT($N386),$N386-INT($N386),1))*
IF(EO$44=2,DW386,
IF(INT(DW386)=INT(DV386),0,DW386-INT(DW386)))))</f>
        <v>0</v>
      </c>
      <c r="EP386" s="835">
        <f>+IF(OR(DX386=DW386,EP$44=1),0,
IF(AND(EP$44&gt;1,DX386=$N386),1-SUM($EN386:EO386),
IF($N386&lt;=1,
IF($N386&gt;0,1/$N386,0),
IF(EP$44=2,0,VDB(1,0,$N386,INT(EP$44-2-1),MIN($N386,INT(EP$44-2-1)+1),$DC386,IF($DD386="No",1,0))/
IF(DW386&gt;=INT($N386),$N386-INT($N386),1)))*
IF(EP$44=2,0,
IF(INT(DX386)=INT(DW386),DX386-DW386,INT(DX386)-DW386))+
IF($N386&lt;=1,
IF($N386&gt;0,1/$N386,0),VDB(1,0,$N386,INT(EP$44-2),MIN($N386,INT(EP$44-2)+1),$DC386,IF($DD386="No",1,0))/
IF(DX386&gt;INT($N386),$N386-INT($N386),1))*
IF(EP$44=2,DX386,
IF(INT(DX386)=INT(DW386),0,DX386-INT(DX386)))))</f>
        <v>0</v>
      </c>
      <c r="EQ386" s="836">
        <f>+IF(OR(DY386=DX386,EQ$44=1),0,
IF(AND(EQ$44&gt;1,DY386=$N386),1-SUM($EN386:EP386),
IF($N386&lt;=1,
IF($N386&gt;0,1/$N386,0),
IF(EQ$44=2,0,VDB(1,0,$N386,INT(EQ$44-2-1),MIN($N386,INT(EQ$44-2-1)+1),$DC386,IF($DD386="No",1,0))/
IF(DX386&gt;=INT($N386),$N386-INT($N386),1)))*
IF(EQ$44=2,0,
IF(INT(DY386)=INT(DX386),DY386-DX386,INT(DY386)-DX386))+
IF($N386&lt;=1,
IF($N386&gt;0,1/$N386,0),VDB(1,0,$N386,INT(EQ$44-2),MIN($N386,INT(EQ$44-2)+1),$DC386,IF($DD386="No",1,0))/
IF(DY386&gt;INT($N386),$N386-INT($N386),1))*
IF(EQ$44=2,DY386,
IF(INT(DY386)=INT(DX386),0,DY386-INT(DY386)))))</f>
        <v>0</v>
      </c>
      <c r="ER386" s="834">
        <f>+IF(OR(DZ386=DY386,ER$44=1),0,
IF(AND(ER$44&gt;1,DZ386=$N386),1-SUM($EN386:EQ386),
IF($N386&lt;=1,
IF($N386&gt;0,1/$N386,0),
IF(ER$44=2,0,VDB(1,0,$N386,INT(ER$44-2-1),MIN($N386,INT(ER$44-2-1)+1),$DC386,IF($DD386="No",1,0))/
IF(DY386&gt;=INT($N386),$N386-INT($N386),1)))*
IF(ER$44=2,0,
IF(INT(DZ386)=INT(DY386),DZ386-DY386,INT(DZ386)-DY386))+
IF($N386&lt;=1,
IF($N386&gt;0,1/$N386,0),VDB(1,0,$N386,INT(ER$44-2),MIN($N386,INT(ER$44-2)+1),$DC386,IF($DD386="No",1,0))/
IF(DZ386&gt;INT($N386),$N386-INT($N386),1))*
IF(ER$44=2,DZ386,
IF(INT(DZ386)=INT(DY386),0,DZ386-INT(DZ386)))))</f>
        <v>0</v>
      </c>
      <c r="ES386" s="835">
        <f>+IF(OR(EA386=DZ386,ES$44=1),0,
IF(AND(ES$44&gt;1,EA386=$N386),1-SUM($EN386:ER386),
IF($N386&lt;=1,
IF($N386&gt;0,1/$N386,0),
IF(ES$44=2,0,VDB(1,0,$N386,INT(ES$44-2-1),MIN($N386,INT(ES$44-2-1)+1),$DC386,IF($DD386="No",1,0))/
IF(DZ386&gt;=INT($N386),$N386-INT($N386),1)))*
IF(ES$44=2,0,
IF(INT(EA386)=INT(DZ386),EA386-DZ386,INT(EA386)-DZ386))+
IF($N386&lt;=1,
IF($N386&gt;0,1/$N386,0),VDB(1,0,$N386,INT(ES$44-2),MIN($N386,INT(ES$44-2)+1),$DC386,IF($DD386="No",1,0))/
IF(EA386&gt;INT($N386),$N386-INT($N386),1))*
IF(ES$44=2,EA386,
IF(INT(EA386)=INT(DZ386),0,EA386-INT(EA386)))))</f>
        <v>0</v>
      </c>
      <c r="ET386" s="835">
        <f>+IF(OR(EB386=EA386,ET$44=1),0,
IF(AND(ET$44&gt;1,EB386=$N386),1-SUM($EN386:ES386),
IF($N386&lt;=1,
IF($N386&gt;0,1/$N386,0),
IF(ET$44=2,0,VDB(1,0,$N386,INT(ET$44-2-1),MIN($N386,INT(ET$44-2-1)+1),$DC386,IF($DD386="No",1,0))/
IF(EA386&gt;=INT($N386),$N386-INT($N386),1)))*
IF(ET$44=2,0,
IF(INT(EB386)=INT(EA386),EB386-EA386,INT(EB386)-EA386))+
IF($N386&lt;=1,
IF($N386&gt;0,1/$N386,0),VDB(1,0,$N386,INT(ET$44-2),MIN($N386,INT(ET$44-2)+1),$DC386,IF($DD386="No",1,0))/
IF(EB386&gt;INT($N386),$N386-INT($N386),1))*
IF(ET$44=2,EB386,
IF(INT(EB386)=INT(EA386),0,EB386-INT(EB386)))))</f>
        <v>0</v>
      </c>
      <c r="EU386" s="835">
        <f>+IF(OR(EC386=EB386,EU$44=1),0,
IF(AND(EU$44&gt;1,EC386=$N386),1-SUM($EN386:ET386),
IF($N386&lt;=1,
IF($N386&gt;0,1/$N386,0),
IF(EU$44=2,0,VDB(1,0,$N386,INT(EU$44-2-1),MIN($N386,INT(EU$44-2-1)+1),$DC386,IF($DD386="No",1,0))/
IF(EB386&gt;=INT($N386),$N386-INT($N386),1)))*
IF(EU$44=2,0,
IF(INT(EC386)=INT(EB386),EC386-EB386,INT(EC386)-EB386))+
IF($N386&lt;=1,
IF($N386&gt;0,1/$N386,0),VDB(1,0,$N386,INT(EU$44-2),MIN($N386,INT(EU$44-2)+1),$DC386,IF($DD386="No",1,0))/
IF(EC386&gt;INT($N386),$N386-INT($N386),1))*
IF(EU$44=2,EC386,
IF(INT(EC386)=INT(EB386),0,EC386-INT(EC386)))))</f>
        <v>0</v>
      </c>
      <c r="EV386" s="836">
        <f>+IF(OR(ED386=EC386,EV$44=1),0,
IF(AND(EV$44&gt;1,ED386=$N386),1-SUM($EN386:EU386),
IF($N386&lt;=1,
IF($N386&gt;0,1/$N386,0),
IF(EV$44=2,0,VDB(1,0,$N386,INT(EV$44-2-1),MIN($N386,INT(EV$44-2-1)+1),$DC386,IF($DD386="No",1,0))/
IF(EC386&gt;=INT($N386),$N386-INT($N386),1)))*
IF(EV$44=2,0,
IF(INT(ED386)=INT(EC386),ED386-EC386,INT(ED386)-EC386))+
IF($N386&lt;=1,
IF($N386&gt;0,1/$N386,0),VDB(1,0,$N386,INT(EV$44-2),MIN($N386,INT(EV$44-2)+1),$DC386,IF($DD386="No",1,0))/
IF(ED386&gt;INT($N386),$N386-INT($N386),1))*
IF(EV$44=2,ED386,
IF(INT(ED386)=INT(EC386),0,ED386-INT(ED386)))))</f>
        <v>0</v>
      </c>
      <c r="EW386" s="833"/>
      <c r="EX386" s="834">
        <f t="shared" ca="1" si="669"/>
        <v>0</v>
      </c>
      <c r="EY386" s="835">
        <f t="shared" ca="1" si="669"/>
        <v>0</v>
      </c>
      <c r="EZ386" s="836">
        <f t="shared" ca="1" si="669"/>
        <v>0</v>
      </c>
      <c r="FA386" s="834">
        <f t="shared" ca="1" si="669"/>
        <v>0</v>
      </c>
      <c r="FB386" s="835">
        <f t="shared" ca="1" si="669"/>
        <v>0</v>
      </c>
      <c r="FC386" s="835">
        <f t="shared" ca="1" si="669"/>
        <v>0</v>
      </c>
      <c r="FD386" s="835">
        <f t="shared" ca="1" si="669"/>
        <v>0</v>
      </c>
      <c r="FE386" s="836">
        <f t="shared" ca="1" si="669"/>
        <v>0</v>
      </c>
      <c r="FG386" s="386">
        <f t="shared" ca="1" si="659"/>
        <v>0</v>
      </c>
      <c r="FH386" s="387">
        <f t="shared" ca="1" si="660"/>
        <v>0</v>
      </c>
      <c r="FI386" s="388">
        <f t="shared" ca="1" si="661"/>
        <v>0</v>
      </c>
      <c r="FJ386" s="386">
        <f t="shared" ca="1" si="662"/>
        <v>0</v>
      </c>
      <c r="FK386" s="387">
        <f t="shared" ca="1" si="663"/>
        <v>0</v>
      </c>
      <c r="FL386" s="387">
        <f t="shared" ca="1" si="664"/>
        <v>0</v>
      </c>
      <c r="FM386" s="387">
        <f t="shared" ca="1" si="665"/>
        <v>0</v>
      </c>
      <c r="FN386" s="388">
        <f t="shared" ca="1" si="666"/>
        <v>0</v>
      </c>
    </row>
    <row r="387" spans="2:174">
      <c r="B387" s="1410">
        <f t="shared" si="670"/>
        <v>341</v>
      </c>
      <c r="C387" s="400"/>
      <c r="D387" s="410"/>
      <c r="E387" s="402"/>
      <c r="F387" s="402"/>
      <c r="G387" s="400"/>
      <c r="H387" s="2088"/>
      <c r="I387" s="2089"/>
      <c r="J387" s="411"/>
      <c r="K387" s="403"/>
      <c r="L387" s="403"/>
      <c r="M387" s="403"/>
      <c r="N387" s="403"/>
      <c r="O387" s="347"/>
      <c r="P387" s="347"/>
      <c r="Q387" s="1021"/>
      <c r="R387" s="1022"/>
      <c r="S387" s="1022"/>
      <c r="T387" s="1022"/>
      <c r="U387" s="1023"/>
      <c r="V387" s="1021"/>
      <c r="W387" s="1022"/>
      <c r="X387" s="1022"/>
      <c r="Y387" s="1022"/>
      <c r="Z387" s="1023"/>
      <c r="AA387" s="1024"/>
      <c r="AB387" s="1021"/>
      <c r="AC387" s="1022"/>
      <c r="AD387" s="1022"/>
      <c r="AE387" s="1022"/>
      <c r="AF387" s="1023"/>
      <c r="AG387" s="1021"/>
      <c r="AH387" s="1022"/>
      <c r="AI387" s="1022"/>
      <c r="AJ387" s="1022"/>
      <c r="AK387" s="1023"/>
      <c r="AL387" s="1024"/>
      <c r="AM387" s="1021"/>
      <c r="AN387" s="1022"/>
      <c r="AO387" s="1022"/>
      <c r="AP387" s="1022"/>
      <c r="AQ387" s="1023"/>
      <c r="AR387" s="1021"/>
      <c r="AS387" s="1022"/>
      <c r="AT387" s="1022"/>
      <c r="AU387" s="1022"/>
      <c r="AV387" s="1023"/>
      <c r="AW387" s="1025"/>
      <c r="AX387" s="1282">
        <f t="shared" si="635"/>
        <v>0</v>
      </c>
      <c r="AY387" s="387">
        <f t="shared" si="636"/>
        <v>0</v>
      </c>
      <c r="AZ387" s="387">
        <f t="shared" si="637"/>
        <v>0</v>
      </c>
      <c r="BA387" s="387">
        <f t="shared" si="638"/>
        <v>0</v>
      </c>
      <c r="BB387" s="1283">
        <f t="shared" si="639"/>
        <v>0</v>
      </c>
      <c r="BC387" s="386">
        <f t="shared" si="640"/>
        <v>0</v>
      </c>
      <c r="BD387" s="387">
        <f t="shared" si="641"/>
        <v>0</v>
      </c>
      <c r="BE387" s="1277">
        <f t="shared" ref="BE387:BG396" si="671">+X387-AI387-AT387</f>
        <v>0</v>
      </c>
      <c r="BF387" s="1277">
        <f t="shared" si="671"/>
        <v>0</v>
      </c>
      <c r="BG387" s="388">
        <f t="shared" si="671"/>
        <v>0</v>
      </c>
      <c r="BH387" s="1025"/>
      <c r="BI387" s="1282">
        <f t="shared" ca="1" si="643"/>
        <v>0</v>
      </c>
      <c r="BJ387" s="387">
        <f t="shared" ca="1" si="644"/>
        <v>0</v>
      </c>
      <c r="BK387" s="387">
        <f t="shared" ca="1" si="645"/>
        <v>0</v>
      </c>
      <c r="BL387" s="387">
        <f t="shared" ca="1" si="646"/>
        <v>0</v>
      </c>
      <c r="BM387" s="1283">
        <f t="shared" ca="1" si="647"/>
        <v>0</v>
      </c>
      <c r="BN387" s="386">
        <f t="shared" ref="BN387:BR396" ca="1" si="672">IF($L387=0,0,
IF($L387&lt;=0.5,BY387,
IF(AND($J387="straight line",$L387&lt;1.51),(BX387-((BX387/$L387)*0.5))+BY387/$L387*0.5,
IF($J387="straight line",
IF((LEFT(BN$43,4)*1)-INT($L387)&lt;LEFT($BI$43,4)*1,0,((OFFSET(BY387,0,-INT($L387+0.5),1,1))/$L387)*(IF($L387-INT($L387)&gt;0.5,$L387-0.5-INT($L387),IF($L387-INT($L387)&lt;=0.5,$L387-0.5-INT($L387)+1,0))))
+BY387/$L387*0.5
+SUM(OFFSET(BY387,0,MAX(-INT($L387+(0.5-(10^-12))),-BN$44)+1,1,MIN(INT($L387+(0.5-(10^-12))),BN$44)-1))*1/$L387,
IF($J387="Declining Balance",-$BI$42,0)))))</f>
        <v>0</v>
      </c>
      <c r="BO387" s="387">
        <f t="shared" ca="1" si="672"/>
        <v>0</v>
      </c>
      <c r="BP387" s="1277">
        <f t="shared" ca="1" si="672"/>
        <v>0</v>
      </c>
      <c r="BQ387" s="1277">
        <f t="shared" ca="1" si="672"/>
        <v>0</v>
      </c>
      <c r="BR387" s="388">
        <f t="shared" ca="1" si="672"/>
        <v>0</v>
      </c>
      <c r="BS387" s="1025"/>
      <c r="BT387" s="1282">
        <f>+IF($K387="Ongoing",AX387,IF(RIGHT($K387,2)=RIGHT(BT$43,2),SUM($AX387:AX387),0)+IF(RIGHT(BT$43,2)&gt;RIGHT($K387,2),AX387,0))</f>
        <v>0</v>
      </c>
      <c r="BU387" s="387">
        <f>+IF($K387="Ongoing",AY387,IF(RIGHT($K387,2)=RIGHT(BU$43,2),SUM($AX387:AY387),0)+IF(RIGHT(BU$43,2)&gt;RIGHT($K387,2),AY387,0))</f>
        <v>0</v>
      </c>
      <c r="BV387" s="387">
        <f>+IF($K387="Ongoing",AZ387,IF(RIGHT($K387,2)=RIGHT(BV$43,2),SUM($AX387:AZ387),0)+IF(RIGHT(BV$43,2)&gt;RIGHT($K387,2),AZ387,0))</f>
        <v>0</v>
      </c>
      <c r="BW387" s="387">
        <f>+IF($K387="Ongoing",BA387,IF(RIGHT($K387,2)=RIGHT(BW$43,2),SUM($AX387:BA387),0)+IF(RIGHT(BW$43,2)&gt;RIGHT($K387,2),BA387,0))</f>
        <v>0</v>
      </c>
      <c r="BX387" s="1283">
        <f>+IF($K387="Ongoing",BB387,IF(RIGHT($K387,2)=RIGHT(BX$43,2),SUM($AX387:BB387),0)+IF(RIGHT(BX$43,2)&gt;RIGHT($K387,2),BB387,0))</f>
        <v>0</v>
      </c>
      <c r="BY387" s="386">
        <f>+IF($K387="Ongoing",BC387,IF(RIGHT($K387,2)=RIGHT(BY$43,2),SUM($AX387:BC387),0)+IF(RIGHT(BY$43,2)&gt;RIGHT($K387,2),BC387,0))</f>
        <v>0</v>
      </c>
      <c r="BZ387" s="387">
        <f>+IF($K387="Ongoing",BD387,IF(RIGHT($K387,2)=RIGHT(BZ$43,2),SUM($AX387:BD387),0)+IF(RIGHT(BZ$43,2)&gt;RIGHT($K387,2),BD387,0))</f>
        <v>0</v>
      </c>
      <c r="CA387" s="1277">
        <f>+IF($K387="Ongoing",BE387,IF(RIGHT($K387,2)=RIGHT(CA$43,2),SUM($AX387:BE387),0)+IF(RIGHT(CA$43,2)&gt;RIGHT($K387,2),BE387,0))</f>
        <v>0</v>
      </c>
      <c r="CB387" s="1277">
        <f>+IF($K387="Ongoing",BF387,IF(RIGHT($K387,2)=RIGHT(CB$43,2),SUM($AX387:BF387),0)+IF(RIGHT(CB$43,2)&gt;RIGHT($K387,2),BF387,0))</f>
        <v>0</v>
      </c>
      <c r="CC387" s="388">
        <f>+IF($K387="Ongoing",BG387,IF(RIGHT($K387,2)=RIGHT(CC$43,2),SUM($AX387:BG387),0)+IF(RIGHT(CC$43,2)&gt;RIGHT($K387,2),BG387,0))</f>
        <v>0</v>
      </c>
      <c r="CD387" s="1025"/>
      <c r="CE387" s="1282">
        <f>+Q387*KeyAssumptionsPriceControl_FO!AF$15</f>
        <v>0</v>
      </c>
      <c r="CF387" s="387">
        <f>+R387*KeyAssumptionsPriceControl_FO!AG$15</f>
        <v>0</v>
      </c>
      <c r="CG387" s="387">
        <f>+S387*KeyAssumptionsPriceControl_FO!AH$15</f>
        <v>0</v>
      </c>
      <c r="CH387" s="387">
        <f>+T387*KeyAssumptionsPriceControl_FO!AI$15</f>
        <v>0</v>
      </c>
      <c r="CI387" s="1283">
        <f>+U387*KeyAssumptionsPriceControl_FO!AJ$15</f>
        <v>0</v>
      </c>
      <c r="CJ387" s="386">
        <f>+V387*KeyAssumptionsPriceControl_FO!AK$15</f>
        <v>0</v>
      </c>
      <c r="CK387" s="387">
        <f>+W387*KeyAssumptionsPriceControl_FO!AL$15</f>
        <v>0</v>
      </c>
      <c r="CL387" s="1277">
        <f>+X387*KeyAssumptionsPriceControl_FO!AM$15</f>
        <v>0</v>
      </c>
      <c r="CM387" s="1277">
        <f>+Y387*KeyAssumptionsPriceControl_FO!AN$15</f>
        <v>0</v>
      </c>
      <c r="CN387" s="388">
        <f>+Z387*KeyAssumptionsPriceControl_FO!AO$15</f>
        <v>0</v>
      </c>
      <c r="CO387" s="1025"/>
      <c r="CP387" s="1282">
        <f t="shared" ca="1" si="649"/>
        <v>0</v>
      </c>
      <c r="CQ387" s="387">
        <f t="shared" ca="1" si="650"/>
        <v>0</v>
      </c>
      <c r="CR387" s="387">
        <f t="shared" ca="1" si="651"/>
        <v>0</v>
      </c>
      <c r="CS387" s="387">
        <f t="shared" ca="1" si="652"/>
        <v>0</v>
      </c>
      <c r="CT387" s="1283">
        <f t="shared" ca="1" si="653"/>
        <v>0</v>
      </c>
      <c r="CU387" s="386">
        <f t="shared" ca="1" si="654"/>
        <v>0</v>
      </c>
      <c r="CV387" s="387">
        <f t="shared" ca="1" si="655"/>
        <v>0</v>
      </c>
      <c r="CW387" s="1277">
        <f t="shared" ca="1" si="656"/>
        <v>0</v>
      </c>
      <c r="CX387" s="1277">
        <f t="shared" ca="1" si="657"/>
        <v>0</v>
      </c>
      <c r="CY387" s="388">
        <f t="shared" ca="1" si="658"/>
        <v>0</v>
      </c>
      <c r="CZ387" s="347"/>
      <c r="DA387" s="852"/>
      <c r="DB387" s="347"/>
      <c r="DC387" s="1012" t="s">
        <v>517</v>
      </c>
      <c r="DD387" s="841" t="s">
        <v>518</v>
      </c>
      <c r="DE387" s="386">
        <f>+IF($K387="ongoing",CE387,IF(RIGHT($K387,2)=RIGHT(DE$43,2),SUM($CD387:CE387),0)+IF(RIGHT(DE$43,2)&gt;RIGHT($K387,2),CE387,0))</f>
        <v>0</v>
      </c>
      <c r="DF387" s="387">
        <f>+IF($K387="ongoing",CF387,IF(RIGHT($K387,2)=RIGHT(DF$43,2),SUM($CD387:CF387),0)+IF(RIGHT(DF$43,2)&gt;RIGHT($K387,2),CF387,0))</f>
        <v>0</v>
      </c>
      <c r="DG387" s="388">
        <f>+IF($K387="ongoing",CG387,IF(RIGHT($K387,2)=RIGHT(DG$43,2),SUM($CD387:CG387),0)+IF(RIGHT(DG$43,2)&gt;RIGHT($K387,2),CG387,0))</f>
        <v>0</v>
      </c>
      <c r="DH387" s="386">
        <f>+IF($K387="ongoing",CH387,IF(RIGHT($K387,2)=RIGHT(DH$43,2),SUM($CD387:CH387),0)+IF(RIGHT(DH$43,2)&gt;RIGHT($K387,2),CH387,0))</f>
        <v>0</v>
      </c>
      <c r="DI387" s="387">
        <f>+IF($K387="ongoing",CI387,IF(RIGHT($K387,2)=RIGHT(DI$43,2),SUM($CD387:CI387),0)+IF(RIGHT(DI$43,2)&gt;RIGHT($K387,2),CI387,0))</f>
        <v>0</v>
      </c>
      <c r="DJ387" s="387">
        <f>+IF($K387="ongoing",CJ387,IF(RIGHT($K387,2)=RIGHT(DJ$43,2),SUM($CD387:CJ387),0)+IF(RIGHT(DJ$43,2)&gt;RIGHT($K387,2),CJ387,0))</f>
        <v>0</v>
      </c>
      <c r="DK387" s="387">
        <f>+IF($K387="ongoing",CK387,IF(RIGHT($K387,2)=RIGHT(DK$43,2),SUM($CD387:CK387),0)+IF(RIGHT(DK$43,2)&gt;RIGHT($K387,2),CK387,0))</f>
        <v>0</v>
      </c>
      <c r="DL387" s="388">
        <f>+IF($K387="ongoing",CN387,IF(RIGHT($K387,2)=RIGHT(DL$43,2),SUM($CD387:CN387),0)+IF(RIGHT(DL$43,2)&gt;RIGHT($K387,2),CN387,0))</f>
        <v>0</v>
      </c>
      <c r="DM387" s="841"/>
      <c r="DN387" s="386">
        <f t="shared" ref="DN387:DU396" si="673">+MIN(IF($N387&lt;=$DC387,MIN($N387,1),$N387),IF(DN$44=1,0.5,DM387+1))</f>
        <v>0.5</v>
      </c>
      <c r="DO387" s="387">
        <f t="shared" si="673"/>
        <v>1</v>
      </c>
      <c r="DP387" s="388">
        <f t="shared" si="673"/>
        <v>1</v>
      </c>
      <c r="DQ387" s="386">
        <f t="shared" si="673"/>
        <v>1</v>
      </c>
      <c r="DR387" s="387">
        <f t="shared" si="673"/>
        <v>1</v>
      </c>
      <c r="DS387" s="387">
        <f t="shared" si="673"/>
        <v>1</v>
      </c>
      <c r="DT387" s="387">
        <f t="shared" si="673"/>
        <v>1</v>
      </c>
      <c r="DU387" s="388">
        <f t="shared" si="673"/>
        <v>1</v>
      </c>
      <c r="DW387" s="386">
        <f t="shared" ref="DW387:ED396" si="674">+IF(DW$44=1,0,MIN(IF($N387&lt;=$DC387,MIN($N387,1),$N387),IF(DW$44=2,0.5,DV387+1)))</f>
        <v>0</v>
      </c>
      <c r="DX387" s="387">
        <f t="shared" si="674"/>
        <v>0.5</v>
      </c>
      <c r="DY387" s="388">
        <f t="shared" si="674"/>
        <v>1</v>
      </c>
      <c r="DZ387" s="386">
        <f t="shared" si="674"/>
        <v>1</v>
      </c>
      <c r="EA387" s="387">
        <f t="shared" si="674"/>
        <v>1</v>
      </c>
      <c r="EB387" s="387">
        <f t="shared" si="674"/>
        <v>1</v>
      </c>
      <c r="EC387" s="387">
        <f t="shared" si="674"/>
        <v>1</v>
      </c>
      <c r="ED387" s="388">
        <f t="shared" si="674"/>
        <v>1</v>
      </c>
      <c r="EF387" s="834">
        <f>+IF(DN387=DM387,0,
IF(AND(EF$44&gt;1,DN387=$N387),1-SUM($EE387:EE387),
IF($N387&lt;=1,
IF($N387&gt;0,1/$N387,0),
IF(EF$44=1,0,VDB(1,0,$N387,INT(EF$44-1-1),MIN($N387,INT(EF$44-1-1)+1),$DC387,IF($DD387="No",1,0))/
IF(DM387&gt;=INT($N387),$N387-INT($N387),1)))*
IF(EF$44=1,0,
IF(INT(DN387)=INT(DM387),DN387-DM387,INT(DN387)-DM387))+
IF($N387&lt;=1,
IF($N387&gt;0,1/$N387,0),VDB(1,0,$N387,INT(EF$44-1),MIN($N387,INT(EF$44-1)+1),$DC387,IF($DD387="No",1,0))/
IF(DN387&gt;INT($N387),$N387-INT($N387),1))*
IF(EF$44=1,DN387,
IF(INT(DN387)=INT(DM387),0,DN387-INT(DN387)))))</f>
        <v>0</v>
      </c>
      <c r="EG387" s="835">
        <f>+IF(DO387=DN387,0,
IF(AND(EG$44&gt;1,DO387=$N387),1-SUM($EE387:EF387),
IF($N387&lt;=1,
IF($N387&gt;0,1/$N387,0),
IF(EG$44=1,0,VDB(1,0,$N387,INT(EG$44-1-1),MIN($N387,INT(EG$44-1-1)+1),$DC387,IF($DD387="No",1,0))/
IF(DN387&gt;=INT($N387),$N387-INT($N387),1)))*
IF(EG$44=1,0,
IF(INT(DO387)=INT(DN387),DO387-DN387,INT(DO387)-DN387))+
IF($N387&lt;=1,
IF($N387&gt;0,1/$N387,0),VDB(1,0,$N387,INT(EG$44-1),MIN($N387,INT(EG$44-1)+1),$DC387,IF($DD387="No",1,0))/
IF(DO387&gt;INT($N387),$N387-INT($N387),1))*
IF(EG$44=1,DO387,
IF(INT(DO387)=INT(DN387),0,DO387-INT(DO387)))))</f>
        <v>0</v>
      </c>
      <c r="EH387" s="836">
        <f>+IF(DP387=DO387,0,
IF(AND(EH$44&gt;1,DP387=$N387),1-SUM($EE387:EG387),
IF($N387&lt;=1,
IF($N387&gt;0,1/$N387,0),
IF(EH$44=1,0,VDB(1,0,$N387,INT(EH$44-1-1),MIN($N387,INT(EH$44-1-1)+1),$DC387,IF($DD387="No",1,0))/
IF(DO387&gt;=INT($N387),$N387-INT($N387),1)))*
IF(EH$44=1,0,
IF(INT(DP387)=INT(DO387),DP387-DO387,INT(DP387)-DO387))+
IF($N387&lt;=1,
IF($N387&gt;0,1/$N387,0),VDB(1,0,$N387,INT(EH$44-1),MIN($N387,INT(EH$44-1)+1),$DC387,IF($DD387="No",1,0))/
IF(DP387&gt;INT($N387),$N387-INT($N387),1))*
IF(EH$44=1,DP387,
IF(INT(DP387)=INT(DO387),0,DP387-INT(DP387)))))</f>
        <v>0</v>
      </c>
      <c r="EI387" s="834">
        <f>+IF(DQ387=DP387,0,
IF(AND(EI$44&gt;1,DQ387=$N387),1-SUM($EE387:EH387),
IF($N387&lt;=1,
IF($N387&gt;0,1/$N387,0),
IF(EI$44=1,0,VDB(1,0,$N387,INT(EI$44-1-1),MIN($N387,INT(EI$44-1-1)+1),$DC387,IF($DD387="No",1,0))/
IF(DP387&gt;=INT($N387),$N387-INT($N387),1)))*
IF(EI$44=1,0,
IF(INT(DQ387)=INT(DP387),DQ387-DP387,INT(DQ387)-DP387))+
IF($N387&lt;=1,
IF($N387&gt;0,1/$N387,0),VDB(1,0,$N387,INT(EI$44-1),MIN($N387,INT(EI$44-1)+1),$DC387,IF($DD387="No",1,0))/
IF(DQ387&gt;INT($N387),$N387-INT($N387),1))*
IF(EI$44=1,DQ387,
IF(INT(DQ387)=INT(DP387),0,DQ387-INT(DQ387)))))</f>
        <v>0</v>
      </c>
      <c r="EJ387" s="835">
        <f>+IF(DR387=DQ387,0,
IF(AND(EJ$44&gt;1,DR387=$N387),1-SUM($EE387:EI387),
IF($N387&lt;=1,
IF($N387&gt;0,1/$N387,0),
IF(EJ$44=1,0,VDB(1,0,$N387,INT(EJ$44-1-1),MIN($N387,INT(EJ$44-1-1)+1),$DC387,IF($DD387="No",1,0))/
IF(DQ387&gt;=INT($N387),$N387-INT($N387),1)))*
IF(EJ$44=1,0,
IF(INT(DR387)=INT(DQ387),DR387-DQ387,INT(DR387)-DQ387))+
IF($N387&lt;=1,
IF($N387&gt;0,1/$N387,0),VDB(1,0,$N387,INT(EJ$44-1),MIN($N387,INT(EJ$44-1)+1),$DC387,IF($DD387="No",1,0))/
IF(DR387&gt;INT($N387),$N387-INT($N387),1))*
IF(EJ$44=1,DR387,
IF(INT(DR387)=INT(DQ387),0,DR387-INT(DR387)))))</f>
        <v>0</v>
      </c>
      <c r="EK387" s="835">
        <f>+IF(DS387=DR387,0,
IF(AND(EK$44&gt;1,DS387=$N387),1-SUM($EE387:EJ387),
IF($N387&lt;=1,
IF($N387&gt;0,1/$N387,0),
IF(EK$44=1,0,VDB(1,0,$N387,INT(EK$44-1-1),MIN($N387,INT(EK$44-1-1)+1),$DC387,IF($DD387="No",1,0))/
IF(DR387&gt;=INT($N387),$N387-INT($N387),1)))*
IF(EK$44=1,0,
IF(INT(DS387)=INT(DR387),DS387-DR387,INT(DS387)-DR387))+
IF($N387&lt;=1,
IF($N387&gt;0,1/$N387,0),VDB(1,0,$N387,INT(EK$44-1),MIN($N387,INT(EK$44-1)+1),$DC387,IF($DD387="No",1,0))/
IF(DS387&gt;INT($N387),$N387-INT($N387),1))*
IF(EK$44=1,DS387,
IF(INT(DS387)=INT(DR387),0,DS387-INT(DS387)))))</f>
        <v>0</v>
      </c>
      <c r="EL387" s="835">
        <f>+IF(DT387=DS387,0,
IF(AND(EL$44&gt;1,DT387=$N387),1-SUM($EE387:EK387),
IF($N387&lt;=1,
IF($N387&gt;0,1/$N387,0),
IF(EL$44=1,0,VDB(1,0,$N387,INT(EL$44-1-1),MIN($N387,INT(EL$44-1-1)+1),$DC387,IF($DD387="No",1,0))/
IF(DS387&gt;=INT($N387),$N387-INT($N387),1)))*
IF(EL$44=1,0,
IF(INT(DT387)=INT(DS387),DT387-DS387,INT(DT387)-DS387))+
IF($N387&lt;=1,
IF($N387&gt;0,1/$N387,0),VDB(1,0,$N387,INT(EL$44-1),MIN($N387,INT(EL$44-1)+1),$DC387,IF($DD387="No",1,0))/
IF(DT387&gt;INT($N387),$N387-INT($N387),1))*
IF(EL$44=1,DT387,
IF(INT(DT387)=INT(DS387),0,DT387-INT(DT387)))))</f>
        <v>0</v>
      </c>
      <c r="EM387" s="836">
        <f>+IF(DU387=DT387,0,
IF(AND(EM$44&gt;1,DU387=$N387),1-SUM($EE387:EL387),
IF($N387&lt;=1,
IF($N387&gt;0,1/$N387,0),
IF(EM$44=1,0,VDB(1,0,$N387,INT(EM$44-1-1),MIN($N387,INT(EM$44-1-1)+1),$DC387,IF($DD387="No",1,0))/
IF(DT387&gt;=INT($N387),$N387-INT($N387),1)))*
IF(EM$44=1,0,
IF(INT(DU387)=INT(DT387),DU387-DT387,INT(DU387)-DT387))+
IF($N387&lt;=1,
IF($N387&gt;0,1/$N387,0),VDB(1,0,$N387,INT(EM$44-1),MIN($N387,INT(EM$44-1)+1),$DC387,IF($DD387="No",1,0))/
IF(DU387&gt;INT($N387),$N387-INT($N387),1))*
IF(EM$44=1,DU387,
IF(INT(DU387)=INT(DT387),0,DU387-INT(DU387)))))</f>
        <v>0</v>
      </c>
      <c r="EN387" s="833"/>
      <c r="EO387" s="834">
        <f>+IF(OR(DW387=DV387,EO$44=1),0,
IF(AND(EO$44&gt;1,DW387=$N387),1-SUM($EN387:EN387),
IF($N387&lt;=1,
IF($N387&gt;0,1/$N387,0),
IF(EO$44=2,0,VDB(1,0,$N387,INT(EO$44-2-1),MIN($N387,INT(EO$44-2-1)+1),$DC387,IF($DD387="No",1,0))/
IF(DV387&gt;=INT($N387),$N387-INT($N387),1)))*
IF(EO$44=2,0,
IF(INT(DW387)=INT(DV387),DW387-DV387,INT(DW387)-DV387))+
IF($N387&lt;=1,
IF($N387&gt;0,1/$N387,0),VDB(1,0,$N387,INT(EO$44-2),MIN($N387,INT(EO$44-2)+1),$DC387,IF($DD387="No",1,0))/
IF(DW387&gt;INT($N387),$N387-INT($N387),1))*
IF(EO$44=2,DW387,
IF(INT(DW387)=INT(DV387),0,DW387-INT(DW387)))))</f>
        <v>0</v>
      </c>
      <c r="EP387" s="835">
        <f>+IF(OR(DX387=DW387,EP$44=1),0,
IF(AND(EP$44&gt;1,DX387=$N387),1-SUM($EN387:EO387),
IF($N387&lt;=1,
IF($N387&gt;0,1/$N387,0),
IF(EP$44=2,0,VDB(1,0,$N387,INT(EP$44-2-1),MIN($N387,INT(EP$44-2-1)+1),$DC387,IF($DD387="No",1,0))/
IF(DW387&gt;=INT($N387),$N387-INT($N387),1)))*
IF(EP$44=2,0,
IF(INT(DX387)=INT(DW387),DX387-DW387,INT(DX387)-DW387))+
IF($N387&lt;=1,
IF($N387&gt;0,1/$N387,0),VDB(1,0,$N387,INT(EP$44-2),MIN($N387,INT(EP$44-2)+1),$DC387,IF($DD387="No",1,0))/
IF(DX387&gt;INT($N387),$N387-INT($N387),1))*
IF(EP$44=2,DX387,
IF(INT(DX387)=INT(DW387),0,DX387-INT(DX387)))))</f>
        <v>0</v>
      </c>
      <c r="EQ387" s="836">
        <f>+IF(OR(DY387=DX387,EQ$44=1),0,
IF(AND(EQ$44&gt;1,DY387=$N387),1-SUM($EN387:EP387),
IF($N387&lt;=1,
IF($N387&gt;0,1/$N387,0),
IF(EQ$44=2,0,VDB(1,0,$N387,INT(EQ$44-2-1),MIN($N387,INT(EQ$44-2-1)+1),$DC387,IF($DD387="No",1,0))/
IF(DX387&gt;=INT($N387),$N387-INT($N387),1)))*
IF(EQ$44=2,0,
IF(INT(DY387)=INT(DX387),DY387-DX387,INT(DY387)-DX387))+
IF($N387&lt;=1,
IF($N387&gt;0,1/$N387,0),VDB(1,0,$N387,INT(EQ$44-2),MIN($N387,INT(EQ$44-2)+1),$DC387,IF($DD387="No",1,0))/
IF(DY387&gt;INT($N387),$N387-INT($N387),1))*
IF(EQ$44=2,DY387,
IF(INT(DY387)=INT(DX387),0,DY387-INT(DY387)))))</f>
        <v>0</v>
      </c>
      <c r="ER387" s="834">
        <f>+IF(OR(DZ387=DY387,ER$44=1),0,
IF(AND(ER$44&gt;1,DZ387=$N387),1-SUM($EN387:EQ387),
IF($N387&lt;=1,
IF($N387&gt;0,1/$N387,0),
IF(ER$44=2,0,VDB(1,0,$N387,INT(ER$44-2-1),MIN($N387,INT(ER$44-2-1)+1),$DC387,IF($DD387="No",1,0))/
IF(DY387&gt;=INT($N387),$N387-INT($N387),1)))*
IF(ER$44=2,0,
IF(INT(DZ387)=INT(DY387),DZ387-DY387,INT(DZ387)-DY387))+
IF($N387&lt;=1,
IF($N387&gt;0,1/$N387,0),VDB(1,0,$N387,INT(ER$44-2),MIN($N387,INT(ER$44-2)+1),$DC387,IF($DD387="No",1,0))/
IF(DZ387&gt;INT($N387),$N387-INT($N387),1))*
IF(ER$44=2,DZ387,
IF(INT(DZ387)=INT(DY387),0,DZ387-INT(DZ387)))))</f>
        <v>0</v>
      </c>
      <c r="ES387" s="835">
        <f>+IF(OR(EA387=DZ387,ES$44=1),0,
IF(AND(ES$44&gt;1,EA387=$N387),1-SUM($EN387:ER387),
IF($N387&lt;=1,
IF($N387&gt;0,1/$N387,0),
IF(ES$44=2,0,VDB(1,0,$N387,INT(ES$44-2-1),MIN($N387,INT(ES$44-2-1)+1),$DC387,IF($DD387="No",1,0))/
IF(DZ387&gt;=INT($N387),$N387-INT($N387),1)))*
IF(ES$44=2,0,
IF(INT(EA387)=INT(DZ387),EA387-DZ387,INT(EA387)-DZ387))+
IF($N387&lt;=1,
IF($N387&gt;0,1/$N387,0),VDB(1,0,$N387,INT(ES$44-2),MIN($N387,INT(ES$44-2)+1),$DC387,IF($DD387="No",1,0))/
IF(EA387&gt;INT($N387),$N387-INT($N387),1))*
IF(ES$44=2,EA387,
IF(INT(EA387)=INT(DZ387),0,EA387-INT(EA387)))))</f>
        <v>0</v>
      </c>
      <c r="ET387" s="835">
        <f>+IF(OR(EB387=EA387,ET$44=1),0,
IF(AND(ET$44&gt;1,EB387=$N387),1-SUM($EN387:ES387),
IF($N387&lt;=1,
IF($N387&gt;0,1/$N387,0),
IF(ET$44=2,0,VDB(1,0,$N387,INT(ET$44-2-1),MIN($N387,INT(ET$44-2-1)+1),$DC387,IF($DD387="No",1,0))/
IF(EA387&gt;=INT($N387),$N387-INT($N387),1)))*
IF(ET$44=2,0,
IF(INT(EB387)=INT(EA387),EB387-EA387,INT(EB387)-EA387))+
IF($N387&lt;=1,
IF($N387&gt;0,1/$N387,0),VDB(1,0,$N387,INT(ET$44-2),MIN($N387,INT(ET$44-2)+1),$DC387,IF($DD387="No",1,0))/
IF(EB387&gt;INT($N387),$N387-INT($N387),1))*
IF(ET$44=2,EB387,
IF(INT(EB387)=INT(EA387),0,EB387-INT(EB387)))))</f>
        <v>0</v>
      </c>
      <c r="EU387" s="835">
        <f>+IF(OR(EC387=EB387,EU$44=1),0,
IF(AND(EU$44&gt;1,EC387=$N387),1-SUM($EN387:ET387),
IF($N387&lt;=1,
IF($N387&gt;0,1/$N387,0),
IF(EU$44=2,0,VDB(1,0,$N387,INT(EU$44-2-1),MIN($N387,INT(EU$44-2-1)+1),$DC387,IF($DD387="No",1,0))/
IF(EB387&gt;=INT($N387),$N387-INT($N387),1)))*
IF(EU$44=2,0,
IF(INT(EC387)=INT(EB387),EC387-EB387,INT(EC387)-EB387))+
IF($N387&lt;=1,
IF($N387&gt;0,1/$N387,0),VDB(1,0,$N387,INT(EU$44-2),MIN($N387,INT(EU$44-2)+1),$DC387,IF($DD387="No",1,0))/
IF(EC387&gt;INT($N387),$N387-INT($N387),1))*
IF(EU$44=2,EC387,
IF(INT(EC387)=INT(EB387),0,EC387-INT(EC387)))))</f>
        <v>0</v>
      </c>
      <c r="EV387" s="836">
        <f>+IF(OR(ED387=EC387,EV$44=1),0,
IF(AND(EV$44&gt;1,ED387=$N387),1-SUM($EN387:EU387),
IF($N387&lt;=1,
IF($N387&gt;0,1/$N387,0),
IF(EV$44=2,0,VDB(1,0,$N387,INT(EV$44-2-1),MIN($N387,INT(EV$44-2-1)+1),$DC387,IF($DD387="No",1,0))/
IF(EC387&gt;=INT($N387),$N387-INT($N387),1)))*
IF(EV$44=2,0,
IF(INT(ED387)=INT(EC387),ED387-EC387,INT(ED387)-EC387))+
IF($N387&lt;=1,
IF($N387&gt;0,1/$N387,0),VDB(1,0,$N387,INT(EV$44-2),MIN($N387,INT(EV$44-2)+1),$DC387,IF($DD387="No",1,0))/
IF(ED387&gt;INT($N387),$N387-INT($N387),1))*
IF(EV$44=2,ED387,
IF(INT(ED387)=INT(EC387),0,ED387-INT(ED387)))))</f>
        <v>0</v>
      </c>
      <c r="EW387" s="833"/>
      <c r="EX387" s="834">
        <f t="shared" ref="EX387:FE396" ca="1" si="675">+OFFSET($EO387,0,MAX($EX$44:$HY$44)-EX$44)</f>
        <v>0</v>
      </c>
      <c r="EY387" s="835">
        <f t="shared" ca="1" si="675"/>
        <v>0</v>
      </c>
      <c r="EZ387" s="836">
        <f t="shared" ca="1" si="675"/>
        <v>0</v>
      </c>
      <c r="FA387" s="834">
        <f t="shared" ca="1" si="675"/>
        <v>0</v>
      </c>
      <c r="FB387" s="835">
        <f t="shared" ca="1" si="675"/>
        <v>0</v>
      </c>
      <c r="FC387" s="835">
        <f t="shared" ca="1" si="675"/>
        <v>0</v>
      </c>
      <c r="FD387" s="835">
        <f t="shared" ca="1" si="675"/>
        <v>0</v>
      </c>
      <c r="FE387" s="836">
        <f t="shared" ca="1" si="675"/>
        <v>0</v>
      </c>
      <c r="FG387" s="386">
        <f t="shared" ca="1" si="659"/>
        <v>0</v>
      </c>
      <c r="FH387" s="387">
        <f t="shared" ca="1" si="660"/>
        <v>0</v>
      </c>
      <c r="FI387" s="388">
        <f t="shared" ca="1" si="661"/>
        <v>0</v>
      </c>
      <c r="FJ387" s="386">
        <f t="shared" ca="1" si="662"/>
        <v>0</v>
      </c>
      <c r="FK387" s="387">
        <f t="shared" ca="1" si="663"/>
        <v>0</v>
      </c>
      <c r="FL387" s="387">
        <f t="shared" ca="1" si="664"/>
        <v>0</v>
      </c>
      <c r="FM387" s="387">
        <f t="shared" ca="1" si="665"/>
        <v>0</v>
      </c>
      <c r="FN387" s="388">
        <f t="shared" ca="1" si="666"/>
        <v>0</v>
      </c>
    </row>
    <row r="388" spans="2:174">
      <c r="B388" s="1410">
        <f t="shared" si="670"/>
        <v>342</v>
      </c>
      <c r="C388" s="400"/>
      <c r="D388" s="410"/>
      <c r="E388" s="402"/>
      <c r="F388" s="402"/>
      <c r="G388" s="400"/>
      <c r="H388" s="2088"/>
      <c r="I388" s="2089"/>
      <c r="J388" s="411"/>
      <c r="K388" s="403"/>
      <c r="L388" s="403"/>
      <c r="M388" s="403"/>
      <c r="N388" s="403"/>
      <c r="O388" s="347"/>
      <c r="P388" s="347"/>
      <c r="Q388" s="1021"/>
      <c r="R388" s="1022"/>
      <c r="S388" s="1022"/>
      <c r="T388" s="1022"/>
      <c r="U388" s="1023"/>
      <c r="V388" s="1021"/>
      <c r="W388" s="1022"/>
      <c r="X388" s="1022"/>
      <c r="Y388" s="1022"/>
      <c r="Z388" s="1023"/>
      <c r="AA388" s="1024"/>
      <c r="AB388" s="1021"/>
      <c r="AC388" s="1022"/>
      <c r="AD388" s="1022"/>
      <c r="AE388" s="1022"/>
      <c r="AF388" s="1023"/>
      <c r="AG388" s="1021"/>
      <c r="AH388" s="1022"/>
      <c r="AI388" s="1022"/>
      <c r="AJ388" s="1022"/>
      <c r="AK388" s="1023"/>
      <c r="AL388" s="1024"/>
      <c r="AM388" s="1021"/>
      <c r="AN388" s="1022"/>
      <c r="AO388" s="1022"/>
      <c r="AP388" s="1022"/>
      <c r="AQ388" s="1023"/>
      <c r="AR388" s="1021"/>
      <c r="AS388" s="1022"/>
      <c r="AT388" s="1022"/>
      <c r="AU388" s="1022"/>
      <c r="AV388" s="1023"/>
      <c r="AW388" s="1025"/>
      <c r="AX388" s="1282">
        <f t="shared" si="635"/>
        <v>0</v>
      </c>
      <c r="AY388" s="387">
        <f t="shared" si="636"/>
        <v>0</v>
      </c>
      <c r="AZ388" s="387">
        <f t="shared" si="637"/>
        <v>0</v>
      </c>
      <c r="BA388" s="387">
        <f t="shared" si="638"/>
        <v>0</v>
      </c>
      <c r="BB388" s="1283">
        <f t="shared" si="639"/>
        <v>0</v>
      </c>
      <c r="BC388" s="386">
        <f t="shared" si="640"/>
        <v>0</v>
      </c>
      <c r="BD388" s="387">
        <f t="shared" si="641"/>
        <v>0</v>
      </c>
      <c r="BE388" s="1277">
        <f t="shared" si="671"/>
        <v>0</v>
      </c>
      <c r="BF388" s="1277">
        <f t="shared" si="671"/>
        <v>0</v>
      </c>
      <c r="BG388" s="388">
        <f t="shared" si="671"/>
        <v>0</v>
      </c>
      <c r="BH388" s="1025"/>
      <c r="BI388" s="1282">
        <f t="shared" ca="1" si="643"/>
        <v>0</v>
      </c>
      <c r="BJ388" s="387">
        <f t="shared" ca="1" si="644"/>
        <v>0</v>
      </c>
      <c r="BK388" s="387">
        <f t="shared" ca="1" si="645"/>
        <v>0</v>
      </c>
      <c r="BL388" s="387">
        <f t="shared" ca="1" si="646"/>
        <v>0</v>
      </c>
      <c r="BM388" s="1283">
        <f t="shared" ca="1" si="647"/>
        <v>0</v>
      </c>
      <c r="BN388" s="386">
        <f t="shared" ca="1" si="672"/>
        <v>0</v>
      </c>
      <c r="BO388" s="387">
        <f t="shared" ca="1" si="672"/>
        <v>0</v>
      </c>
      <c r="BP388" s="1277">
        <f t="shared" ca="1" si="672"/>
        <v>0</v>
      </c>
      <c r="BQ388" s="1277">
        <f t="shared" ca="1" si="672"/>
        <v>0</v>
      </c>
      <c r="BR388" s="388">
        <f t="shared" ca="1" si="672"/>
        <v>0</v>
      </c>
      <c r="BS388" s="1025"/>
      <c r="BT388" s="1282">
        <f>+IF($K388="Ongoing",AX388,IF(RIGHT($K388,2)=RIGHT(BT$43,2),SUM($AX388:AX388),0)+IF(RIGHT(BT$43,2)&gt;RIGHT($K388,2),AX388,0))</f>
        <v>0</v>
      </c>
      <c r="BU388" s="387">
        <f>+IF($K388="Ongoing",AY388,IF(RIGHT($K388,2)=RIGHT(BU$43,2),SUM($AX388:AY388),0)+IF(RIGHT(BU$43,2)&gt;RIGHT($K388,2),AY388,0))</f>
        <v>0</v>
      </c>
      <c r="BV388" s="387">
        <f>+IF($K388="Ongoing",AZ388,IF(RIGHT($K388,2)=RIGHT(BV$43,2),SUM($AX388:AZ388),0)+IF(RIGHT(BV$43,2)&gt;RIGHT($K388,2),AZ388,0))</f>
        <v>0</v>
      </c>
      <c r="BW388" s="387">
        <f>+IF($K388="Ongoing",BA388,IF(RIGHT($K388,2)=RIGHT(BW$43,2),SUM($AX388:BA388),0)+IF(RIGHT(BW$43,2)&gt;RIGHT($K388,2),BA388,0))</f>
        <v>0</v>
      </c>
      <c r="BX388" s="1283">
        <f>+IF($K388="Ongoing",BB388,IF(RIGHT($K388,2)=RIGHT(BX$43,2),SUM($AX388:BB388),0)+IF(RIGHT(BX$43,2)&gt;RIGHT($K388,2),BB388,0))</f>
        <v>0</v>
      </c>
      <c r="BY388" s="386">
        <f>+IF($K388="Ongoing",BC388,IF(RIGHT($K388,2)=RIGHT(BY$43,2),SUM($AX388:BC388),0)+IF(RIGHT(BY$43,2)&gt;RIGHT($K388,2),BC388,0))</f>
        <v>0</v>
      </c>
      <c r="BZ388" s="387">
        <f>+IF($K388="Ongoing",BD388,IF(RIGHT($K388,2)=RIGHT(BZ$43,2),SUM($AX388:BD388),0)+IF(RIGHT(BZ$43,2)&gt;RIGHT($K388,2),BD388,0))</f>
        <v>0</v>
      </c>
      <c r="CA388" s="1277">
        <f>+IF($K388="Ongoing",BE388,IF(RIGHT($K388,2)=RIGHT(CA$43,2),SUM($AX388:BE388),0)+IF(RIGHT(CA$43,2)&gt;RIGHT($K388,2),BE388,0))</f>
        <v>0</v>
      </c>
      <c r="CB388" s="1277">
        <f>+IF($K388="Ongoing",BF388,IF(RIGHT($K388,2)=RIGHT(CB$43,2),SUM($AX388:BF388),0)+IF(RIGHT(CB$43,2)&gt;RIGHT($K388,2),BF388,0))</f>
        <v>0</v>
      </c>
      <c r="CC388" s="388">
        <f>+IF($K388="Ongoing",BG388,IF(RIGHT($K388,2)=RIGHT(CC$43,2),SUM($AX388:BG388),0)+IF(RIGHT(CC$43,2)&gt;RIGHT($K388,2),BG388,0))</f>
        <v>0</v>
      </c>
      <c r="CD388" s="1025"/>
      <c r="CE388" s="1282">
        <f>+Q388*KeyAssumptionsPriceControl_FO!AF$15</f>
        <v>0</v>
      </c>
      <c r="CF388" s="387">
        <f>+R388*KeyAssumptionsPriceControl_FO!AG$15</f>
        <v>0</v>
      </c>
      <c r="CG388" s="387">
        <f>+S388*KeyAssumptionsPriceControl_FO!AH$15</f>
        <v>0</v>
      </c>
      <c r="CH388" s="387">
        <f>+T388*KeyAssumptionsPriceControl_FO!AI$15</f>
        <v>0</v>
      </c>
      <c r="CI388" s="1283">
        <f>+U388*KeyAssumptionsPriceControl_FO!AJ$15</f>
        <v>0</v>
      </c>
      <c r="CJ388" s="386">
        <f>+V388*KeyAssumptionsPriceControl_FO!AK$15</f>
        <v>0</v>
      </c>
      <c r="CK388" s="387">
        <f>+W388*KeyAssumptionsPriceControl_FO!AL$15</f>
        <v>0</v>
      </c>
      <c r="CL388" s="1277">
        <f>+X388*KeyAssumptionsPriceControl_FO!AM$15</f>
        <v>0</v>
      </c>
      <c r="CM388" s="1277">
        <f>+Y388*KeyAssumptionsPriceControl_FO!AN$15</f>
        <v>0</v>
      </c>
      <c r="CN388" s="388">
        <f>+Z388*KeyAssumptionsPriceControl_FO!AO$15</f>
        <v>0</v>
      </c>
      <c r="CO388" s="1025"/>
      <c r="CP388" s="1282">
        <f t="shared" ca="1" si="649"/>
        <v>0</v>
      </c>
      <c r="CQ388" s="387">
        <f t="shared" ca="1" si="650"/>
        <v>0</v>
      </c>
      <c r="CR388" s="387">
        <f t="shared" ca="1" si="651"/>
        <v>0</v>
      </c>
      <c r="CS388" s="387">
        <f t="shared" ca="1" si="652"/>
        <v>0</v>
      </c>
      <c r="CT388" s="1283">
        <f t="shared" ca="1" si="653"/>
        <v>0</v>
      </c>
      <c r="CU388" s="386">
        <f t="shared" ca="1" si="654"/>
        <v>0</v>
      </c>
      <c r="CV388" s="387">
        <f t="shared" ca="1" si="655"/>
        <v>0</v>
      </c>
      <c r="CW388" s="1277">
        <f t="shared" ca="1" si="656"/>
        <v>0</v>
      </c>
      <c r="CX388" s="1277">
        <f t="shared" ca="1" si="657"/>
        <v>0</v>
      </c>
      <c r="CY388" s="388">
        <f t="shared" ca="1" si="658"/>
        <v>0</v>
      </c>
      <c r="CZ388" s="347"/>
      <c r="DA388" s="852"/>
      <c r="DB388" s="347"/>
      <c r="DC388" s="1012" t="s">
        <v>517</v>
      </c>
      <c r="DD388" s="841" t="s">
        <v>518</v>
      </c>
      <c r="DE388" s="386">
        <f>+IF($K388="ongoing",CE388,IF(RIGHT($K388,2)=RIGHT(DE$43,2),SUM($CD388:CE388),0)+IF(RIGHT(DE$43,2)&gt;RIGHT($K388,2),CE388,0))</f>
        <v>0</v>
      </c>
      <c r="DF388" s="387">
        <f>+IF($K388="ongoing",CF388,IF(RIGHT($K388,2)=RIGHT(DF$43,2),SUM($CD388:CF388),0)+IF(RIGHT(DF$43,2)&gt;RIGHT($K388,2),CF388,0))</f>
        <v>0</v>
      </c>
      <c r="DG388" s="388">
        <f>+IF($K388="ongoing",CG388,IF(RIGHT($K388,2)=RIGHT(DG$43,2),SUM($CD388:CG388),0)+IF(RIGHT(DG$43,2)&gt;RIGHT($K388,2),CG388,0))</f>
        <v>0</v>
      </c>
      <c r="DH388" s="386">
        <f>+IF($K388="ongoing",CH388,IF(RIGHT($K388,2)=RIGHT(DH$43,2),SUM($CD388:CH388),0)+IF(RIGHT(DH$43,2)&gt;RIGHT($K388,2),CH388,0))</f>
        <v>0</v>
      </c>
      <c r="DI388" s="387">
        <f>+IF($K388="ongoing",CI388,IF(RIGHT($K388,2)=RIGHT(DI$43,2),SUM($CD388:CI388),0)+IF(RIGHT(DI$43,2)&gt;RIGHT($K388,2),CI388,0))</f>
        <v>0</v>
      </c>
      <c r="DJ388" s="387">
        <f>+IF($K388="ongoing",CJ388,IF(RIGHT($K388,2)=RIGHT(DJ$43,2),SUM($CD388:CJ388),0)+IF(RIGHT(DJ$43,2)&gt;RIGHT($K388,2),CJ388,0))</f>
        <v>0</v>
      </c>
      <c r="DK388" s="387">
        <f>+IF($K388="ongoing",CK388,IF(RIGHT($K388,2)=RIGHT(DK$43,2),SUM($CD388:CK388),0)+IF(RIGHT(DK$43,2)&gt;RIGHT($K388,2),CK388,0))</f>
        <v>0</v>
      </c>
      <c r="DL388" s="388">
        <f>+IF($K388="ongoing",CN388,IF(RIGHT($K388,2)=RIGHT(DL$43,2),SUM($CD388:CN388),0)+IF(RIGHT(DL$43,2)&gt;RIGHT($K388,2),CN388,0))</f>
        <v>0</v>
      </c>
      <c r="DM388" s="841"/>
      <c r="DN388" s="386">
        <f t="shared" si="673"/>
        <v>0.5</v>
      </c>
      <c r="DO388" s="387">
        <f t="shared" si="673"/>
        <v>1</v>
      </c>
      <c r="DP388" s="388">
        <f t="shared" si="673"/>
        <v>1</v>
      </c>
      <c r="DQ388" s="386">
        <f t="shared" si="673"/>
        <v>1</v>
      </c>
      <c r="DR388" s="387">
        <f t="shared" si="673"/>
        <v>1</v>
      </c>
      <c r="DS388" s="387">
        <f t="shared" si="673"/>
        <v>1</v>
      </c>
      <c r="DT388" s="387">
        <f t="shared" si="673"/>
        <v>1</v>
      </c>
      <c r="DU388" s="388">
        <f t="shared" si="673"/>
        <v>1</v>
      </c>
      <c r="DW388" s="386">
        <f t="shared" si="674"/>
        <v>0</v>
      </c>
      <c r="DX388" s="387">
        <f t="shared" si="674"/>
        <v>0.5</v>
      </c>
      <c r="DY388" s="388">
        <f t="shared" si="674"/>
        <v>1</v>
      </c>
      <c r="DZ388" s="386">
        <f t="shared" si="674"/>
        <v>1</v>
      </c>
      <c r="EA388" s="387">
        <f t="shared" si="674"/>
        <v>1</v>
      </c>
      <c r="EB388" s="387">
        <f t="shared" si="674"/>
        <v>1</v>
      </c>
      <c r="EC388" s="387">
        <f t="shared" si="674"/>
        <v>1</v>
      </c>
      <c r="ED388" s="388">
        <f t="shared" si="674"/>
        <v>1</v>
      </c>
      <c r="EF388" s="834">
        <f>+IF(DN388=DM388,0,
IF(AND(EF$44&gt;1,DN388=$N388),1-SUM($EE388:EE388),
IF($N388&lt;=1,
IF($N388&gt;0,1/$N388,0),
IF(EF$44=1,0,VDB(1,0,$N388,INT(EF$44-1-1),MIN($N388,INT(EF$44-1-1)+1),$DC388,IF($DD388="No",1,0))/
IF(DM388&gt;=INT($N388),$N388-INT($N388),1)))*
IF(EF$44=1,0,
IF(INT(DN388)=INT(DM388),DN388-DM388,INT(DN388)-DM388))+
IF($N388&lt;=1,
IF($N388&gt;0,1/$N388,0),VDB(1,0,$N388,INT(EF$44-1),MIN($N388,INT(EF$44-1)+1),$DC388,IF($DD388="No",1,0))/
IF(DN388&gt;INT($N388),$N388-INT($N388),1))*
IF(EF$44=1,DN388,
IF(INT(DN388)=INT(DM388),0,DN388-INT(DN388)))))</f>
        <v>0</v>
      </c>
      <c r="EG388" s="835">
        <f>+IF(DO388=DN388,0,
IF(AND(EG$44&gt;1,DO388=$N388),1-SUM($EE388:EF388),
IF($N388&lt;=1,
IF($N388&gt;0,1/$N388,0),
IF(EG$44=1,0,VDB(1,0,$N388,INT(EG$44-1-1),MIN($N388,INT(EG$44-1-1)+1),$DC388,IF($DD388="No",1,0))/
IF(DN388&gt;=INT($N388),$N388-INT($N388),1)))*
IF(EG$44=1,0,
IF(INT(DO388)=INT(DN388),DO388-DN388,INT(DO388)-DN388))+
IF($N388&lt;=1,
IF($N388&gt;0,1/$N388,0),VDB(1,0,$N388,INT(EG$44-1),MIN($N388,INT(EG$44-1)+1),$DC388,IF($DD388="No",1,0))/
IF(DO388&gt;INT($N388),$N388-INT($N388),1))*
IF(EG$44=1,DO388,
IF(INT(DO388)=INT(DN388),0,DO388-INT(DO388)))))</f>
        <v>0</v>
      </c>
      <c r="EH388" s="836">
        <f>+IF(DP388=DO388,0,
IF(AND(EH$44&gt;1,DP388=$N388),1-SUM($EE388:EG388),
IF($N388&lt;=1,
IF($N388&gt;0,1/$N388,0),
IF(EH$44=1,0,VDB(1,0,$N388,INT(EH$44-1-1),MIN($N388,INT(EH$44-1-1)+1),$DC388,IF($DD388="No",1,0))/
IF(DO388&gt;=INT($N388),$N388-INT($N388),1)))*
IF(EH$44=1,0,
IF(INT(DP388)=INT(DO388),DP388-DO388,INT(DP388)-DO388))+
IF($N388&lt;=1,
IF($N388&gt;0,1/$N388,0),VDB(1,0,$N388,INT(EH$44-1),MIN($N388,INT(EH$44-1)+1),$DC388,IF($DD388="No",1,0))/
IF(DP388&gt;INT($N388),$N388-INT($N388),1))*
IF(EH$44=1,DP388,
IF(INT(DP388)=INT(DO388),0,DP388-INT(DP388)))))</f>
        <v>0</v>
      </c>
      <c r="EI388" s="834">
        <f>+IF(DQ388=DP388,0,
IF(AND(EI$44&gt;1,DQ388=$N388),1-SUM($EE388:EH388),
IF($N388&lt;=1,
IF($N388&gt;0,1/$N388,0),
IF(EI$44=1,0,VDB(1,0,$N388,INT(EI$44-1-1),MIN($N388,INT(EI$44-1-1)+1),$DC388,IF($DD388="No",1,0))/
IF(DP388&gt;=INT($N388),$N388-INT($N388),1)))*
IF(EI$44=1,0,
IF(INT(DQ388)=INT(DP388),DQ388-DP388,INT(DQ388)-DP388))+
IF($N388&lt;=1,
IF($N388&gt;0,1/$N388,0),VDB(1,0,$N388,INT(EI$44-1),MIN($N388,INT(EI$44-1)+1),$DC388,IF($DD388="No",1,0))/
IF(DQ388&gt;INT($N388),$N388-INT($N388),1))*
IF(EI$44=1,DQ388,
IF(INT(DQ388)=INT(DP388),0,DQ388-INT(DQ388)))))</f>
        <v>0</v>
      </c>
      <c r="EJ388" s="835">
        <f>+IF(DR388=DQ388,0,
IF(AND(EJ$44&gt;1,DR388=$N388),1-SUM($EE388:EI388),
IF($N388&lt;=1,
IF($N388&gt;0,1/$N388,0),
IF(EJ$44=1,0,VDB(1,0,$N388,INT(EJ$44-1-1),MIN($N388,INT(EJ$44-1-1)+1),$DC388,IF($DD388="No",1,0))/
IF(DQ388&gt;=INT($N388),$N388-INT($N388),1)))*
IF(EJ$44=1,0,
IF(INT(DR388)=INT(DQ388),DR388-DQ388,INT(DR388)-DQ388))+
IF($N388&lt;=1,
IF($N388&gt;0,1/$N388,0),VDB(1,0,$N388,INT(EJ$44-1),MIN($N388,INT(EJ$44-1)+1),$DC388,IF($DD388="No",1,0))/
IF(DR388&gt;INT($N388),$N388-INT($N388),1))*
IF(EJ$44=1,DR388,
IF(INT(DR388)=INT(DQ388),0,DR388-INT(DR388)))))</f>
        <v>0</v>
      </c>
      <c r="EK388" s="835">
        <f>+IF(DS388=DR388,0,
IF(AND(EK$44&gt;1,DS388=$N388),1-SUM($EE388:EJ388),
IF($N388&lt;=1,
IF($N388&gt;0,1/$N388,0),
IF(EK$44=1,0,VDB(1,0,$N388,INT(EK$44-1-1),MIN($N388,INT(EK$44-1-1)+1),$DC388,IF($DD388="No",1,0))/
IF(DR388&gt;=INT($N388),$N388-INT($N388),1)))*
IF(EK$44=1,0,
IF(INT(DS388)=INT(DR388),DS388-DR388,INT(DS388)-DR388))+
IF($N388&lt;=1,
IF($N388&gt;0,1/$N388,0),VDB(1,0,$N388,INT(EK$44-1),MIN($N388,INT(EK$44-1)+1),$DC388,IF($DD388="No",1,0))/
IF(DS388&gt;INT($N388),$N388-INT($N388),1))*
IF(EK$44=1,DS388,
IF(INT(DS388)=INT(DR388),0,DS388-INT(DS388)))))</f>
        <v>0</v>
      </c>
      <c r="EL388" s="835">
        <f>+IF(DT388=DS388,0,
IF(AND(EL$44&gt;1,DT388=$N388),1-SUM($EE388:EK388),
IF($N388&lt;=1,
IF($N388&gt;0,1/$N388,0),
IF(EL$44=1,0,VDB(1,0,$N388,INT(EL$44-1-1),MIN($N388,INT(EL$44-1-1)+1),$DC388,IF($DD388="No",1,0))/
IF(DS388&gt;=INT($N388),$N388-INT($N388),1)))*
IF(EL$44=1,0,
IF(INT(DT388)=INT(DS388),DT388-DS388,INT(DT388)-DS388))+
IF($N388&lt;=1,
IF($N388&gt;0,1/$N388,0),VDB(1,0,$N388,INT(EL$44-1),MIN($N388,INT(EL$44-1)+1),$DC388,IF($DD388="No",1,0))/
IF(DT388&gt;INT($N388),$N388-INT($N388),1))*
IF(EL$44=1,DT388,
IF(INT(DT388)=INT(DS388),0,DT388-INT(DT388)))))</f>
        <v>0</v>
      </c>
      <c r="EM388" s="836">
        <f>+IF(DU388=DT388,0,
IF(AND(EM$44&gt;1,DU388=$N388),1-SUM($EE388:EL388),
IF($N388&lt;=1,
IF($N388&gt;0,1/$N388,0),
IF(EM$44=1,0,VDB(1,0,$N388,INT(EM$44-1-1),MIN($N388,INT(EM$44-1-1)+1),$DC388,IF($DD388="No",1,0))/
IF(DT388&gt;=INT($N388),$N388-INT($N388),1)))*
IF(EM$44=1,0,
IF(INT(DU388)=INT(DT388),DU388-DT388,INT(DU388)-DT388))+
IF($N388&lt;=1,
IF($N388&gt;0,1/$N388,0),VDB(1,0,$N388,INT(EM$44-1),MIN($N388,INT(EM$44-1)+1),$DC388,IF($DD388="No",1,0))/
IF(DU388&gt;INT($N388),$N388-INT($N388),1))*
IF(EM$44=1,DU388,
IF(INT(DU388)=INT(DT388),0,DU388-INT(DU388)))))</f>
        <v>0</v>
      </c>
      <c r="EN388" s="833"/>
      <c r="EO388" s="834">
        <f>+IF(OR(DW388=DV388,EO$44=1),0,
IF(AND(EO$44&gt;1,DW388=$N388),1-SUM($EN388:EN388),
IF($N388&lt;=1,
IF($N388&gt;0,1/$N388,0),
IF(EO$44=2,0,VDB(1,0,$N388,INT(EO$44-2-1),MIN($N388,INT(EO$44-2-1)+1),$DC388,IF($DD388="No",1,0))/
IF(DV388&gt;=INT($N388),$N388-INT($N388),1)))*
IF(EO$44=2,0,
IF(INT(DW388)=INT(DV388),DW388-DV388,INT(DW388)-DV388))+
IF($N388&lt;=1,
IF($N388&gt;0,1/$N388,0),VDB(1,0,$N388,INT(EO$44-2),MIN($N388,INT(EO$44-2)+1),$DC388,IF($DD388="No",1,0))/
IF(DW388&gt;INT($N388),$N388-INT($N388),1))*
IF(EO$44=2,DW388,
IF(INT(DW388)=INT(DV388),0,DW388-INT(DW388)))))</f>
        <v>0</v>
      </c>
      <c r="EP388" s="835">
        <f>+IF(OR(DX388=DW388,EP$44=1),0,
IF(AND(EP$44&gt;1,DX388=$N388),1-SUM($EN388:EO388),
IF($N388&lt;=1,
IF($N388&gt;0,1/$N388,0),
IF(EP$44=2,0,VDB(1,0,$N388,INT(EP$44-2-1),MIN($N388,INT(EP$44-2-1)+1),$DC388,IF($DD388="No",1,0))/
IF(DW388&gt;=INT($N388),$N388-INT($N388),1)))*
IF(EP$44=2,0,
IF(INT(DX388)=INT(DW388),DX388-DW388,INT(DX388)-DW388))+
IF($N388&lt;=1,
IF($N388&gt;0,1/$N388,0),VDB(1,0,$N388,INT(EP$44-2),MIN($N388,INT(EP$44-2)+1),$DC388,IF($DD388="No",1,0))/
IF(DX388&gt;INT($N388),$N388-INT($N388),1))*
IF(EP$44=2,DX388,
IF(INT(DX388)=INT(DW388),0,DX388-INT(DX388)))))</f>
        <v>0</v>
      </c>
      <c r="EQ388" s="836">
        <f>+IF(OR(DY388=DX388,EQ$44=1),0,
IF(AND(EQ$44&gt;1,DY388=$N388),1-SUM($EN388:EP388),
IF($N388&lt;=1,
IF($N388&gt;0,1/$N388,0),
IF(EQ$44=2,0,VDB(1,0,$N388,INT(EQ$44-2-1),MIN($N388,INT(EQ$44-2-1)+1),$DC388,IF($DD388="No",1,0))/
IF(DX388&gt;=INT($N388),$N388-INT($N388),1)))*
IF(EQ$44=2,0,
IF(INT(DY388)=INT(DX388),DY388-DX388,INT(DY388)-DX388))+
IF($N388&lt;=1,
IF($N388&gt;0,1/$N388,0),VDB(1,0,$N388,INT(EQ$44-2),MIN($N388,INT(EQ$44-2)+1),$DC388,IF($DD388="No",1,0))/
IF(DY388&gt;INT($N388),$N388-INT($N388),1))*
IF(EQ$44=2,DY388,
IF(INT(DY388)=INT(DX388),0,DY388-INT(DY388)))))</f>
        <v>0</v>
      </c>
      <c r="ER388" s="834">
        <f>+IF(OR(DZ388=DY388,ER$44=1),0,
IF(AND(ER$44&gt;1,DZ388=$N388),1-SUM($EN388:EQ388),
IF($N388&lt;=1,
IF($N388&gt;0,1/$N388,0),
IF(ER$44=2,0,VDB(1,0,$N388,INT(ER$44-2-1),MIN($N388,INT(ER$44-2-1)+1),$DC388,IF($DD388="No",1,0))/
IF(DY388&gt;=INT($N388),$N388-INT($N388),1)))*
IF(ER$44=2,0,
IF(INT(DZ388)=INT(DY388),DZ388-DY388,INT(DZ388)-DY388))+
IF($N388&lt;=1,
IF($N388&gt;0,1/$N388,0),VDB(1,0,$N388,INT(ER$44-2),MIN($N388,INT(ER$44-2)+1),$DC388,IF($DD388="No",1,0))/
IF(DZ388&gt;INT($N388),$N388-INT($N388),1))*
IF(ER$44=2,DZ388,
IF(INT(DZ388)=INT(DY388),0,DZ388-INT(DZ388)))))</f>
        <v>0</v>
      </c>
      <c r="ES388" s="835">
        <f>+IF(OR(EA388=DZ388,ES$44=1),0,
IF(AND(ES$44&gt;1,EA388=$N388),1-SUM($EN388:ER388),
IF($N388&lt;=1,
IF($N388&gt;0,1/$N388,0),
IF(ES$44=2,0,VDB(1,0,$N388,INT(ES$44-2-1),MIN($N388,INT(ES$44-2-1)+1),$DC388,IF($DD388="No",1,0))/
IF(DZ388&gt;=INT($N388),$N388-INT($N388),1)))*
IF(ES$44=2,0,
IF(INT(EA388)=INT(DZ388),EA388-DZ388,INT(EA388)-DZ388))+
IF($N388&lt;=1,
IF($N388&gt;0,1/$N388,0),VDB(1,0,$N388,INT(ES$44-2),MIN($N388,INT(ES$44-2)+1),$DC388,IF($DD388="No",1,0))/
IF(EA388&gt;INT($N388),$N388-INT($N388),1))*
IF(ES$44=2,EA388,
IF(INT(EA388)=INT(DZ388),0,EA388-INT(EA388)))))</f>
        <v>0</v>
      </c>
      <c r="ET388" s="835">
        <f>+IF(OR(EB388=EA388,ET$44=1),0,
IF(AND(ET$44&gt;1,EB388=$N388),1-SUM($EN388:ES388),
IF($N388&lt;=1,
IF($N388&gt;0,1/$N388,0),
IF(ET$44=2,0,VDB(1,0,$N388,INT(ET$44-2-1),MIN($N388,INT(ET$44-2-1)+1),$DC388,IF($DD388="No",1,0))/
IF(EA388&gt;=INT($N388),$N388-INT($N388),1)))*
IF(ET$44=2,0,
IF(INT(EB388)=INT(EA388),EB388-EA388,INT(EB388)-EA388))+
IF($N388&lt;=1,
IF($N388&gt;0,1/$N388,0),VDB(1,0,$N388,INT(ET$44-2),MIN($N388,INT(ET$44-2)+1),$DC388,IF($DD388="No",1,0))/
IF(EB388&gt;INT($N388),$N388-INT($N388),1))*
IF(ET$44=2,EB388,
IF(INT(EB388)=INT(EA388),0,EB388-INT(EB388)))))</f>
        <v>0</v>
      </c>
      <c r="EU388" s="835">
        <f>+IF(OR(EC388=EB388,EU$44=1),0,
IF(AND(EU$44&gt;1,EC388=$N388),1-SUM($EN388:ET388),
IF($N388&lt;=1,
IF($N388&gt;0,1/$N388,0),
IF(EU$44=2,0,VDB(1,0,$N388,INT(EU$44-2-1),MIN($N388,INT(EU$44-2-1)+1),$DC388,IF($DD388="No",1,0))/
IF(EB388&gt;=INT($N388),$N388-INT($N388),1)))*
IF(EU$44=2,0,
IF(INT(EC388)=INT(EB388),EC388-EB388,INT(EC388)-EB388))+
IF($N388&lt;=1,
IF($N388&gt;0,1/$N388,0),VDB(1,0,$N388,INT(EU$44-2),MIN($N388,INT(EU$44-2)+1),$DC388,IF($DD388="No",1,0))/
IF(EC388&gt;INT($N388),$N388-INT($N388),1))*
IF(EU$44=2,EC388,
IF(INT(EC388)=INT(EB388),0,EC388-INT(EC388)))))</f>
        <v>0</v>
      </c>
      <c r="EV388" s="836">
        <f>+IF(OR(ED388=EC388,EV$44=1),0,
IF(AND(EV$44&gt;1,ED388=$N388),1-SUM($EN388:EU388),
IF($N388&lt;=1,
IF($N388&gt;0,1/$N388,0),
IF(EV$44=2,0,VDB(1,0,$N388,INT(EV$44-2-1),MIN($N388,INT(EV$44-2-1)+1),$DC388,IF($DD388="No",1,0))/
IF(EC388&gt;=INT($N388),$N388-INT($N388),1)))*
IF(EV$44=2,0,
IF(INT(ED388)=INT(EC388),ED388-EC388,INT(ED388)-EC388))+
IF($N388&lt;=1,
IF($N388&gt;0,1/$N388,0),VDB(1,0,$N388,INT(EV$44-2),MIN($N388,INT(EV$44-2)+1),$DC388,IF($DD388="No",1,0))/
IF(ED388&gt;INT($N388),$N388-INT($N388),1))*
IF(EV$44=2,ED388,
IF(INT(ED388)=INT(EC388),0,ED388-INT(ED388)))))</f>
        <v>0</v>
      </c>
      <c r="EW388" s="833"/>
      <c r="EX388" s="834">
        <f t="shared" ca="1" si="675"/>
        <v>0</v>
      </c>
      <c r="EY388" s="835">
        <f t="shared" ca="1" si="675"/>
        <v>0</v>
      </c>
      <c r="EZ388" s="836">
        <f t="shared" ca="1" si="675"/>
        <v>0</v>
      </c>
      <c r="FA388" s="834">
        <f t="shared" ca="1" si="675"/>
        <v>0</v>
      </c>
      <c r="FB388" s="835">
        <f t="shared" ca="1" si="675"/>
        <v>0</v>
      </c>
      <c r="FC388" s="835">
        <f t="shared" ca="1" si="675"/>
        <v>0</v>
      </c>
      <c r="FD388" s="835">
        <f t="shared" ca="1" si="675"/>
        <v>0</v>
      </c>
      <c r="FE388" s="836">
        <f t="shared" ca="1" si="675"/>
        <v>0</v>
      </c>
      <c r="FG388" s="386">
        <f t="shared" ca="1" si="659"/>
        <v>0</v>
      </c>
      <c r="FH388" s="387">
        <f t="shared" ca="1" si="660"/>
        <v>0</v>
      </c>
      <c r="FI388" s="388">
        <f t="shared" ca="1" si="661"/>
        <v>0</v>
      </c>
      <c r="FJ388" s="386">
        <f t="shared" ca="1" si="662"/>
        <v>0</v>
      </c>
      <c r="FK388" s="387">
        <f t="shared" ca="1" si="663"/>
        <v>0</v>
      </c>
      <c r="FL388" s="387">
        <f t="shared" ca="1" si="664"/>
        <v>0</v>
      </c>
      <c r="FM388" s="387">
        <f t="shared" ca="1" si="665"/>
        <v>0</v>
      </c>
      <c r="FN388" s="388">
        <f t="shared" ca="1" si="666"/>
        <v>0</v>
      </c>
    </row>
    <row r="389" spans="2:174">
      <c r="B389" s="1410">
        <f t="shared" si="670"/>
        <v>343</v>
      </c>
      <c r="C389" s="400"/>
      <c r="D389" s="410"/>
      <c r="E389" s="402"/>
      <c r="F389" s="402"/>
      <c r="G389" s="400"/>
      <c r="H389" s="2088"/>
      <c r="I389" s="2089"/>
      <c r="J389" s="411"/>
      <c r="K389" s="403"/>
      <c r="L389" s="403"/>
      <c r="M389" s="403"/>
      <c r="N389" s="403"/>
      <c r="O389" s="347"/>
      <c r="P389" s="347"/>
      <c r="Q389" s="1021"/>
      <c r="R389" s="1022"/>
      <c r="S389" s="1022"/>
      <c r="T389" s="1022"/>
      <c r="U389" s="1023"/>
      <c r="V389" s="1021"/>
      <c r="W389" s="1022"/>
      <c r="X389" s="1022"/>
      <c r="Y389" s="1022"/>
      <c r="Z389" s="1023"/>
      <c r="AA389" s="1024"/>
      <c r="AB389" s="1021"/>
      <c r="AC389" s="1022"/>
      <c r="AD389" s="1022"/>
      <c r="AE389" s="1022"/>
      <c r="AF389" s="1023"/>
      <c r="AG389" s="1021"/>
      <c r="AH389" s="1022"/>
      <c r="AI389" s="1022"/>
      <c r="AJ389" s="1022"/>
      <c r="AK389" s="1023"/>
      <c r="AL389" s="1024"/>
      <c r="AM389" s="1021"/>
      <c r="AN389" s="1022"/>
      <c r="AO389" s="1022"/>
      <c r="AP389" s="1022"/>
      <c r="AQ389" s="1023"/>
      <c r="AR389" s="1021"/>
      <c r="AS389" s="1022"/>
      <c r="AT389" s="1022"/>
      <c r="AU389" s="1022"/>
      <c r="AV389" s="1023"/>
      <c r="AW389" s="1025"/>
      <c r="AX389" s="1282">
        <f t="shared" si="635"/>
        <v>0</v>
      </c>
      <c r="AY389" s="387">
        <f t="shared" si="636"/>
        <v>0</v>
      </c>
      <c r="AZ389" s="387">
        <f t="shared" si="637"/>
        <v>0</v>
      </c>
      <c r="BA389" s="387">
        <f t="shared" si="638"/>
        <v>0</v>
      </c>
      <c r="BB389" s="1283">
        <f t="shared" si="639"/>
        <v>0</v>
      </c>
      <c r="BC389" s="386">
        <f t="shared" si="640"/>
        <v>0</v>
      </c>
      <c r="BD389" s="387">
        <f t="shared" si="641"/>
        <v>0</v>
      </c>
      <c r="BE389" s="1277">
        <f t="shared" si="671"/>
        <v>0</v>
      </c>
      <c r="BF389" s="1277">
        <f t="shared" si="671"/>
        <v>0</v>
      </c>
      <c r="BG389" s="388">
        <f t="shared" si="671"/>
        <v>0</v>
      </c>
      <c r="BH389" s="1025"/>
      <c r="BI389" s="1282">
        <f t="shared" ca="1" si="643"/>
        <v>0</v>
      </c>
      <c r="BJ389" s="387">
        <f t="shared" ca="1" si="644"/>
        <v>0</v>
      </c>
      <c r="BK389" s="387">
        <f t="shared" ca="1" si="645"/>
        <v>0</v>
      </c>
      <c r="BL389" s="387">
        <f t="shared" ca="1" si="646"/>
        <v>0</v>
      </c>
      <c r="BM389" s="1283">
        <f t="shared" ca="1" si="647"/>
        <v>0</v>
      </c>
      <c r="BN389" s="386">
        <f t="shared" ca="1" si="672"/>
        <v>0</v>
      </c>
      <c r="BO389" s="387">
        <f t="shared" ca="1" si="672"/>
        <v>0</v>
      </c>
      <c r="BP389" s="1277">
        <f t="shared" ca="1" si="672"/>
        <v>0</v>
      </c>
      <c r="BQ389" s="1277">
        <f t="shared" ca="1" si="672"/>
        <v>0</v>
      </c>
      <c r="BR389" s="388">
        <f t="shared" ca="1" si="672"/>
        <v>0</v>
      </c>
      <c r="BS389" s="1025"/>
      <c r="BT389" s="1282">
        <f>+IF($K389="Ongoing",AX389,IF(RIGHT($K389,2)=RIGHT(BT$43,2),SUM($AX389:AX389),0)+IF(RIGHT(BT$43,2)&gt;RIGHT($K389,2),AX389,0))</f>
        <v>0</v>
      </c>
      <c r="BU389" s="387">
        <f>+IF($K389="Ongoing",AY389,IF(RIGHT($K389,2)=RIGHT(BU$43,2),SUM($AX389:AY389),0)+IF(RIGHT(BU$43,2)&gt;RIGHT($K389,2),AY389,0))</f>
        <v>0</v>
      </c>
      <c r="BV389" s="387">
        <f>+IF($K389="Ongoing",AZ389,IF(RIGHT($K389,2)=RIGHT(BV$43,2),SUM($AX389:AZ389),0)+IF(RIGHT(BV$43,2)&gt;RIGHT($K389,2),AZ389,0))</f>
        <v>0</v>
      </c>
      <c r="BW389" s="387">
        <f>+IF($K389="Ongoing",BA389,IF(RIGHT($K389,2)=RIGHT(BW$43,2),SUM($AX389:BA389),0)+IF(RIGHT(BW$43,2)&gt;RIGHT($K389,2),BA389,0))</f>
        <v>0</v>
      </c>
      <c r="BX389" s="1283">
        <f>+IF($K389="Ongoing",BB389,IF(RIGHT($K389,2)=RIGHT(BX$43,2),SUM($AX389:BB389),0)+IF(RIGHT(BX$43,2)&gt;RIGHT($K389,2),BB389,0))</f>
        <v>0</v>
      </c>
      <c r="BY389" s="386">
        <f>+IF($K389="Ongoing",BC389,IF(RIGHT($K389,2)=RIGHT(BY$43,2),SUM($AX389:BC389),0)+IF(RIGHT(BY$43,2)&gt;RIGHT($K389,2),BC389,0))</f>
        <v>0</v>
      </c>
      <c r="BZ389" s="387">
        <f>+IF($K389="Ongoing",BD389,IF(RIGHT($K389,2)=RIGHT(BZ$43,2),SUM($AX389:BD389),0)+IF(RIGHT(BZ$43,2)&gt;RIGHT($K389,2),BD389,0))</f>
        <v>0</v>
      </c>
      <c r="CA389" s="1277">
        <f>+IF($K389="Ongoing",BE389,IF(RIGHT($K389,2)=RIGHT(CA$43,2),SUM($AX389:BE389),0)+IF(RIGHT(CA$43,2)&gt;RIGHT($K389,2),BE389,0))</f>
        <v>0</v>
      </c>
      <c r="CB389" s="1277">
        <f>+IF($K389="Ongoing",BF389,IF(RIGHT($K389,2)=RIGHT(CB$43,2),SUM($AX389:BF389),0)+IF(RIGHT(CB$43,2)&gt;RIGHT($K389,2),BF389,0))</f>
        <v>0</v>
      </c>
      <c r="CC389" s="388">
        <f>+IF($K389="Ongoing",BG389,IF(RIGHT($K389,2)=RIGHT(CC$43,2),SUM($AX389:BG389),0)+IF(RIGHT(CC$43,2)&gt;RIGHT($K389,2),BG389,0))</f>
        <v>0</v>
      </c>
      <c r="CD389" s="1025"/>
      <c r="CE389" s="1282">
        <f>+Q389*KeyAssumptionsPriceControl_FO!AF$15</f>
        <v>0</v>
      </c>
      <c r="CF389" s="387">
        <f>+R389*KeyAssumptionsPriceControl_FO!AG$15</f>
        <v>0</v>
      </c>
      <c r="CG389" s="387">
        <f>+S389*KeyAssumptionsPriceControl_FO!AH$15</f>
        <v>0</v>
      </c>
      <c r="CH389" s="387">
        <f>+T389*KeyAssumptionsPriceControl_FO!AI$15</f>
        <v>0</v>
      </c>
      <c r="CI389" s="1283">
        <f>+U389*KeyAssumptionsPriceControl_FO!AJ$15</f>
        <v>0</v>
      </c>
      <c r="CJ389" s="386">
        <f>+V389*KeyAssumptionsPriceControl_FO!AK$15</f>
        <v>0</v>
      </c>
      <c r="CK389" s="387">
        <f>+W389*KeyAssumptionsPriceControl_FO!AL$15</f>
        <v>0</v>
      </c>
      <c r="CL389" s="1277">
        <f>+X389*KeyAssumptionsPriceControl_FO!AM$15</f>
        <v>0</v>
      </c>
      <c r="CM389" s="1277">
        <f>+Y389*KeyAssumptionsPriceControl_FO!AN$15</f>
        <v>0</v>
      </c>
      <c r="CN389" s="388">
        <f>+Z389*KeyAssumptionsPriceControl_FO!AO$15</f>
        <v>0</v>
      </c>
      <c r="CO389" s="1025"/>
      <c r="CP389" s="1282">
        <f t="shared" ca="1" si="649"/>
        <v>0</v>
      </c>
      <c r="CQ389" s="387">
        <f t="shared" ca="1" si="650"/>
        <v>0</v>
      </c>
      <c r="CR389" s="387">
        <f t="shared" ca="1" si="651"/>
        <v>0</v>
      </c>
      <c r="CS389" s="387">
        <f t="shared" ca="1" si="652"/>
        <v>0</v>
      </c>
      <c r="CT389" s="1283">
        <f t="shared" ca="1" si="653"/>
        <v>0</v>
      </c>
      <c r="CU389" s="386">
        <f t="shared" ca="1" si="654"/>
        <v>0</v>
      </c>
      <c r="CV389" s="387">
        <f t="shared" ca="1" si="655"/>
        <v>0</v>
      </c>
      <c r="CW389" s="1277">
        <f t="shared" ca="1" si="656"/>
        <v>0</v>
      </c>
      <c r="CX389" s="1277">
        <f t="shared" ca="1" si="657"/>
        <v>0</v>
      </c>
      <c r="CY389" s="388">
        <f t="shared" ca="1" si="658"/>
        <v>0</v>
      </c>
      <c r="CZ389" s="347"/>
      <c r="DA389" s="852"/>
      <c r="DB389" s="347"/>
      <c r="DC389" s="1012" t="s">
        <v>517</v>
      </c>
      <c r="DD389" s="841" t="s">
        <v>518</v>
      </c>
      <c r="DE389" s="386">
        <f>+IF($K389="ongoing",CE389,IF(RIGHT($K389,2)=RIGHT(DE$43,2),SUM($CD389:CE389),0)+IF(RIGHT(DE$43,2)&gt;RIGHT($K389,2),CE389,0))</f>
        <v>0</v>
      </c>
      <c r="DF389" s="387">
        <f>+IF($K389="ongoing",CF389,IF(RIGHT($K389,2)=RIGHT(DF$43,2),SUM($CD389:CF389),0)+IF(RIGHT(DF$43,2)&gt;RIGHT($K389,2),CF389,0))</f>
        <v>0</v>
      </c>
      <c r="DG389" s="388">
        <f>+IF($K389="ongoing",CG389,IF(RIGHT($K389,2)=RIGHT(DG$43,2),SUM($CD389:CG389),0)+IF(RIGHT(DG$43,2)&gt;RIGHT($K389,2),CG389,0))</f>
        <v>0</v>
      </c>
      <c r="DH389" s="386">
        <f>+IF($K389="ongoing",CH389,IF(RIGHT($K389,2)=RIGHT(DH$43,2),SUM($CD389:CH389),0)+IF(RIGHT(DH$43,2)&gt;RIGHT($K389,2),CH389,0))</f>
        <v>0</v>
      </c>
      <c r="DI389" s="387">
        <f>+IF($K389="ongoing",CI389,IF(RIGHT($K389,2)=RIGHT(DI$43,2),SUM($CD389:CI389),0)+IF(RIGHT(DI$43,2)&gt;RIGHT($K389,2),CI389,0))</f>
        <v>0</v>
      </c>
      <c r="DJ389" s="387">
        <f>+IF($K389="ongoing",CJ389,IF(RIGHT($K389,2)=RIGHT(DJ$43,2),SUM($CD389:CJ389),0)+IF(RIGHT(DJ$43,2)&gt;RIGHT($K389,2),CJ389,0))</f>
        <v>0</v>
      </c>
      <c r="DK389" s="387">
        <f>+IF($K389="ongoing",CK389,IF(RIGHT($K389,2)=RIGHT(DK$43,2),SUM($CD389:CK389),0)+IF(RIGHT(DK$43,2)&gt;RIGHT($K389,2),CK389,0))</f>
        <v>0</v>
      </c>
      <c r="DL389" s="388">
        <f>+IF($K389="ongoing",CN389,IF(RIGHT($K389,2)=RIGHT(DL$43,2),SUM($CD389:CN389),0)+IF(RIGHT(DL$43,2)&gt;RIGHT($K389,2),CN389,0))</f>
        <v>0</v>
      </c>
      <c r="DM389" s="841"/>
      <c r="DN389" s="386">
        <f t="shared" si="673"/>
        <v>0.5</v>
      </c>
      <c r="DO389" s="387">
        <f t="shared" si="673"/>
        <v>1</v>
      </c>
      <c r="DP389" s="388">
        <f t="shared" si="673"/>
        <v>1</v>
      </c>
      <c r="DQ389" s="386">
        <f t="shared" si="673"/>
        <v>1</v>
      </c>
      <c r="DR389" s="387">
        <f t="shared" si="673"/>
        <v>1</v>
      </c>
      <c r="DS389" s="387">
        <f t="shared" si="673"/>
        <v>1</v>
      </c>
      <c r="DT389" s="387">
        <f t="shared" si="673"/>
        <v>1</v>
      </c>
      <c r="DU389" s="388">
        <f t="shared" si="673"/>
        <v>1</v>
      </c>
      <c r="DW389" s="386">
        <f t="shared" si="674"/>
        <v>0</v>
      </c>
      <c r="DX389" s="387">
        <f t="shared" si="674"/>
        <v>0.5</v>
      </c>
      <c r="DY389" s="388">
        <f t="shared" si="674"/>
        <v>1</v>
      </c>
      <c r="DZ389" s="386">
        <f t="shared" si="674"/>
        <v>1</v>
      </c>
      <c r="EA389" s="387">
        <f t="shared" si="674"/>
        <v>1</v>
      </c>
      <c r="EB389" s="387">
        <f t="shared" si="674"/>
        <v>1</v>
      </c>
      <c r="EC389" s="387">
        <f t="shared" si="674"/>
        <v>1</v>
      </c>
      <c r="ED389" s="388">
        <f t="shared" si="674"/>
        <v>1</v>
      </c>
      <c r="EF389" s="834">
        <f>+IF(DN389=DM389,0,
IF(AND(EF$44&gt;1,DN389=$N389),1-SUM($EE389:EE389),
IF($N389&lt;=1,
IF($N389&gt;0,1/$N389,0),
IF(EF$44=1,0,VDB(1,0,$N389,INT(EF$44-1-1),MIN($N389,INT(EF$44-1-1)+1),$DC389,IF($DD389="No",1,0))/
IF(DM389&gt;=INT($N389),$N389-INT($N389),1)))*
IF(EF$44=1,0,
IF(INT(DN389)=INT(DM389),DN389-DM389,INT(DN389)-DM389))+
IF($N389&lt;=1,
IF($N389&gt;0,1/$N389,0),VDB(1,0,$N389,INT(EF$44-1),MIN($N389,INT(EF$44-1)+1),$DC389,IF($DD389="No",1,0))/
IF(DN389&gt;INT($N389),$N389-INT($N389),1))*
IF(EF$44=1,DN389,
IF(INT(DN389)=INT(DM389),0,DN389-INT(DN389)))))</f>
        <v>0</v>
      </c>
      <c r="EG389" s="835">
        <f>+IF(DO389=DN389,0,
IF(AND(EG$44&gt;1,DO389=$N389),1-SUM($EE389:EF389),
IF($N389&lt;=1,
IF($N389&gt;0,1/$N389,0),
IF(EG$44=1,0,VDB(1,0,$N389,INT(EG$44-1-1),MIN($N389,INT(EG$44-1-1)+1),$DC389,IF($DD389="No",1,0))/
IF(DN389&gt;=INT($N389),$N389-INT($N389),1)))*
IF(EG$44=1,0,
IF(INT(DO389)=INT(DN389),DO389-DN389,INT(DO389)-DN389))+
IF($N389&lt;=1,
IF($N389&gt;0,1/$N389,0),VDB(1,0,$N389,INT(EG$44-1),MIN($N389,INT(EG$44-1)+1),$DC389,IF($DD389="No",1,0))/
IF(DO389&gt;INT($N389),$N389-INT($N389),1))*
IF(EG$44=1,DO389,
IF(INT(DO389)=INT(DN389),0,DO389-INT(DO389)))))</f>
        <v>0</v>
      </c>
      <c r="EH389" s="836">
        <f>+IF(DP389=DO389,0,
IF(AND(EH$44&gt;1,DP389=$N389),1-SUM($EE389:EG389),
IF($N389&lt;=1,
IF($N389&gt;0,1/$N389,0),
IF(EH$44=1,0,VDB(1,0,$N389,INT(EH$44-1-1),MIN($N389,INT(EH$44-1-1)+1),$DC389,IF($DD389="No",1,0))/
IF(DO389&gt;=INT($N389),$N389-INT($N389),1)))*
IF(EH$44=1,0,
IF(INT(DP389)=INT(DO389),DP389-DO389,INT(DP389)-DO389))+
IF($N389&lt;=1,
IF($N389&gt;0,1/$N389,0),VDB(1,0,$N389,INT(EH$44-1),MIN($N389,INT(EH$44-1)+1),$DC389,IF($DD389="No",1,0))/
IF(DP389&gt;INT($N389),$N389-INT($N389),1))*
IF(EH$44=1,DP389,
IF(INT(DP389)=INT(DO389),0,DP389-INT(DP389)))))</f>
        <v>0</v>
      </c>
      <c r="EI389" s="834">
        <f>+IF(DQ389=DP389,0,
IF(AND(EI$44&gt;1,DQ389=$N389),1-SUM($EE389:EH389),
IF($N389&lt;=1,
IF($N389&gt;0,1/$N389,0),
IF(EI$44=1,0,VDB(1,0,$N389,INT(EI$44-1-1),MIN($N389,INT(EI$44-1-1)+1),$DC389,IF($DD389="No",1,0))/
IF(DP389&gt;=INT($N389),$N389-INT($N389),1)))*
IF(EI$44=1,0,
IF(INT(DQ389)=INT(DP389),DQ389-DP389,INT(DQ389)-DP389))+
IF($N389&lt;=1,
IF($N389&gt;0,1/$N389,0),VDB(1,0,$N389,INT(EI$44-1),MIN($N389,INT(EI$44-1)+1),$DC389,IF($DD389="No",1,0))/
IF(DQ389&gt;INT($N389),$N389-INT($N389),1))*
IF(EI$44=1,DQ389,
IF(INT(DQ389)=INT(DP389),0,DQ389-INT(DQ389)))))</f>
        <v>0</v>
      </c>
      <c r="EJ389" s="835">
        <f>+IF(DR389=DQ389,0,
IF(AND(EJ$44&gt;1,DR389=$N389),1-SUM($EE389:EI389),
IF($N389&lt;=1,
IF($N389&gt;0,1/$N389,0),
IF(EJ$44=1,0,VDB(1,0,$N389,INT(EJ$44-1-1),MIN($N389,INT(EJ$44-1-1)+1),$DC389,IF($DD389="No",1,0))/
IF(DQ389&gt;=INT($N389),$N389-INT($N389),1)))*
IF(EJ$44=1,0,
IF(INT(DR389)=INT(DQ389),DR389-DQ389,INT(DR389)-DQ389))+
IF($N389&lt;=1,
IF($N389&gt;0,1/$N389,0),VDB(1,0,$N389,INT(EJ$44-1),MIN($N389,INT(EJ$44-1)+1),$DC389,IF($DD389="No",1,0))/
IF(DR389&gt;INT($N389),$N389-INT($N389),1))*
IF(EJ$44=1,DR389,
IF(INT(DR389)=INT(DQ389),0,DR389-INT(DR389)))))</f>
        <v>0</v>
      </c>
      <c r="EK389" s="835">
        <f>+IF(DS389=DR389,0,
IF(AND(EK$44&gt;1,DS389=$N389),1-SUM($EE389:EJ389),
IF($N389&lt;=1,
IF($N389&gt;0,1/$N389,0),
IF(EK$44=1,0,VDB(1,0,$N389,INT(EK$44-1-1),MIN($N389,INT(EK$44-1-1)+1),$DC389,IF($DD389="No",1,0))/
IF(DR389&gt;=INT($N389),$N389-INT($N389),1)))*
IF(EK$44=1,0,
IF(INT(DS389)=INT(DR389),DS389-DR389,INT(DS389)-DR389))+
IF($N389&lt;=1,
IF($N389&gt;0,1/$N389,0),VDB(1,0,$N389,INT(EK$44-1),MIN($N389,INT(EK$44-1)+1),$DC389,IF($DD389="No",1,0))/
IF(DS389&gt;INT($N389),$N389-INT($N389),1))*
IF(EK$44=1,DS389,
IF(INT(DS389)=INT(DR389),0,DS389-INT(DS389)))))</f>
        <v>0</v>
      </c>
      <c r="EL389" s="835">
        <f>+IF(DT389=DS389,0,
IF(AND(EL$44&gt;1,DT389=$N389),1-SUM($EE389:EK389),
IF($N389&lt;=1,
IF($N389&gt;0,1/$N389,0),
IF(EL$44=1,0,VDB(1,0,$N389,INT(EL$44-1-1),MIN($N389,INT(EL$44-1-1)+1),$DC389,IF($DD389="No",1,0))/
IF(DS389&gt;=INT($N389),$N389-INT($N389),1)))*
IF(EL$44=1,0,
IF(INT(DT389)=INT(DS389),DT389-DS389,INT(DT389)-DS389))+
IF($N389&lt;=1,
IF($N389&gt;0,1/$N389,0),VDB(1,0,$N389,INT(EL$44-1),MIN($N389,INT(EL$44-1)+1),$DC389,IF($DD389="No",1,0))/
IF(DT389&gt;INT($N389),$N389-INT($N389),1))*
IF(EL$44=1,DT389,
IF(INT(DT389)=INT(DS389),0,DT389-INT(DT389)))))</f>
        <v>0</v>
      </c>
      <c r="EM389" s="836">
        <f>+IF(DU389=DT389,0,
IF(AND(EM$44&gt;1,DU389=$N389),1-SUM($EE389:EL389),
IF($N389&lt;=1,
IF($N389&gt;0,1/$N389,0),
IF(EM$44=1,0,VDB(1,0,$N389,INT(EM$44-1-1),MIN($N389,INT(EM$44-1-1)+1),$DC389,IF($DD389="No",1,0))/
IF(DT389&gt;=INT($N389),$N389-INT($N389),1)))*
IF(EM$44=1,0,
IF(INT(DU389)=INT(DT389),DU389-DT389,INT(DU389)-DT389))+
IF($N389&lt;=1,
IF($N389&gt;0,1/$N389,0),VDB(1,0,$N389,INT(EM$44-1),MIN($N389,INT(EM$44-1)+1),$DC389,IF($DD389="No",1,0))/
IF(DU389&gt;INT($N389),$N389-INT($N389),1))*
IF(EM$44=1,DU389,
IF(INT(DU389)=INT(DT389),0,DU389-INT(DU389)))))</f>
        <v>0</v>
      </c>
      <c r="EN389" s="833"/>
      <c r="EO389" s="834">
        <f>+IF(OR(DW389=DV389,EO$44=1),0,
IF(AND(EO$44&gt;1,DW389=$N389),1-SUM($EN389:EN389),
IF($N389&lt;=1,
IF($N389&gt;0,1/$N389,0),
IF(EO$44=2,0,VDB(1,0,$N389,INT(EO$44-2-1),MIN($N389,INT(EO$44-2-1)+1),$DC389,IF($DD389="No",1,0))/
IF(DV389&gt;=INT($N389),$N389-INT($N389),1)))*
IF(EO$44=2,0,
IF(INT(DW389)=INT(DV389),DW389-DV389,INT(DW389)-DV389))+
IF($N389&lt;=1,
IF($N389&gt;0,1/$N389,0),VDB(1,0,$N389,INT(EO$44-2),MIN($N389,INT(EO$44-2)+1),$DC389,IF($DD389="No",1,0))/
IF(DW389&gt;INT($N389),$N389-INT($N389),1))*
IF(EO$44=2,DW389,
IF(INT(DW389)=INT(DV389),0,DW389-INT(DW389)))))</f>
        <v>0</v>
      </c>
      <c r="EP389" s="835">
        <f>+IF(OR(DX389=DW389,EP$44=1),0,
IF(AND(EP$44&gt;1,DX389=$N389),1-SUM($EN389:EO389),
IF($N389&lt;=1,
IF($N389&gt;0,1/$N389,0),
IF(EP$44=2,0,VDB(1,0,$N389,INT(EP$44-2-1),MIN($N389,INT(EP$44-2-1)+1),$DC389,IF($DD389="No",1,0))/
IF(DW389&gt;=INT($N389),$N389-INT($N389),1)))*
IF(EP$44=2,0,
IF(INT(DX389)=INT(DW389),DX389-DW389,INT(DX389)-DW389))+
IF($N389&lt;=1,
IF($N389&gt;0,1/$N389,0),VDB(1,0,$N389,INT(EP$44-2),MIN($N389,INT(EP$44-2)+1),$DC389,IF($DD389="No",1,0))/
IF(DX389&gt;INT($N389),$N389-INT($N389),1))*
IF(EP$44=2,DX389,
IF(INT(DX389)=INT(DW389),0,DX389-INT(DX389)))))</f>
        <v>0</v>
      </c>
      <c r="EQ389" s="836">
        <f>+IF(OR(DY389=DX389,EQ$44=1),0,
IF(AND(EQ$44&gt;1,DY389=$N389),1-SUM($EN389:EP389),
IF($N389&lt;=1,
IF($N389&gt;0,1/$N389,0),
IF(EQ$44=2,0,VDB(1,0,$N389,INT(EQ$44-2-1),MIN($N389,INT(EQ$44-2-1)+1),$DC389,IF($DD389="No",1,0))/
IF(DX389&gt;=INT($N389),$N389-INT($N389),1)))*
IF(EQ$44=2,0,
IF(INT(DY389)=INT(DX389),DY389-DX389,INT(DY389)-DX389))+
IF($N389&lt;=1,
IF($N389&gt;0,1/$N389,0),VDB(1,0,$N389,INT(EQ$44-2),MIN($N389,INT(EQ$44-2)+1),$DC389,IF($DD389="No",1,0))/
IF(DY389&gt;INT($N389),$N389-INT($N389),1))*
IF(EQ$44=2,DY389,
IF(INT(DY389)=INT(DX389),0,DY389-INT(DY389)))))</f>
        <v>0</v>
      </c>
      <c r="ER389" s="834">
        <f>+IF(OR(DZ389=DY389,ER$44=1),0,
IF(AND(ER$44&gt;1,DZ389=$N389),1-SUM($EN389:EQ389),
IF($N389&lt;=1,
IF($N389&gt;0,1/$N389,0),
IF(ER$44=2,0,VDB(1,0,$N389,INT(ER$44-2-1),MIN($N389,INT(ER$44-2-1)+1),$DC389,IF($DD389="No",1,0))/
IF(DY389&gt;=INT($N389),$N389-INT($N389),1)))*
IF(ER$44=2,0,
IF(INT(DZ389)=INT(DY389),DZ389-DY389,INT(DZ389)-DY389))+
IF($N389&lt;=1,
IF($N389&gt;0,1/$N389,0),VDB(1,0,$N389,INT(ER$44-2),MIN($N389,INT(ER$44-2)+1),$DC389,IF($DD389="No",1,0))/
IF(DZ389&gt;INT($N389),$N389-INT($N389),1))*
IF(ER$44=2,DZ389,
IF(INT(DZ389)=INT(DY389),0,DZ389-INT(DZ389)))))</f>
        <v>0</v>
      </c>
      <c r="ES389" s="835">
        <f>+IF(OR(EA389=DZ389,ES$44=1),0,
IF(AND(ES$44&gt;1,EA389=$N389),1-SUM($EN389:ER389),
IF($N389&lt;=1,
IF($N389&gt;0,1/$N389,0),
IF(ES$44=2,0,VDB(1,0,$N389,INT(ES$44-2-1),MIN($N389,INT(ES$44-2-1)+1),$DC389,IF($DD389="No",1,0))/
IF(DZ389&gt;=INT($N389),$N389-INT($N389),1)))*
IF(ES$44=2,0,
IF(INT(EA389)=INT(DZ389),EA389-DZ389,INT(EA389)-DZ389))+
IF($N389&lt;=1,
IF($N389&gt;0,1/$N389,0),VDB(1,0,$N389,INT(ES$44-2),MIN($N389,INT(ES$44-2)+1),$DC389,IF($DD389="No",1,0))/
IF(EA389&gt;INT($N389),$N389-INT($N389),1))*
IF(ES$44=2,EA389,
IF(INT(EA389)=INT(DZ389),0,EA389-INT(EA389)))))</f>
        <v>0</v>
      </c>
      <c r="ET389" s="835">
        <f>+IF(OR(EB389=EA389,ET$44=1),0,
IF(AND(ET$44&gt;1,EB389=$N389),1-SUM($EN389:ES389),
IF($N389&lt;=1,
IF($N389&gt;0,1/$N389,0),
IF(ET$44=2,0,VDB(1,0,$N389,INT(ET$44-2-1),MIN($N389,INT(ET$44-2-1)+1),$DC389,IF($DD389="No",1,0))/
IF(EA389&gt;=INT($N389),$N389-INT($N389),1)))*
IF(ET$44=2,0,
IF(INT(EB389)=INT(EA389),EB389-EA389,INT(EB389)-EA389))+
IF($N389&lt;=1,
IF($N389&gt;0,1/$N389,0),VDB(1,0,$N389,INT(ET$44-2),MIN($N389,INT(ET$44-2)+1),$DC389,IF($DD389="No",1,0))/
IF(EB389&gt;INT($N389),$N389-INT($N389),1))*
IF(ET$44=2,EB389,
IF(INT(EB389)=INT(EA389),0,EB389-INT(EB389)))))</f>
        <v>0</v>
      </c>
      <c r="EU389" s="835">
        <f>+IF(OR(EC389=EB389,EU$44=1),0,
IF(AND(EU$44&gt;1,EC389=$N389),1-SUM($EN389:ET389),
IF($N389&lt;=1,
IF($N389&gt;0,1/$N389,0),
IF(EU$44=2,0,VDB(1,0,$N389,INT(EU$44-2-1),MIN($N389,INT(EU$44-2-1)+1),$DC389,IF($DD389="No",1,0))/
IF(EB389&gt;=INT($N389),$N389-INT($N389),1)))*
IF(EU$44=2,0,
IF(INT(EC389)=INT(EB389),EC389-EB389,INT(EC389)-EB389))+
IF($N389&lt;=1,
IF($N389&gt;0,1/$N389,0),VDB(1,0,$N389,INT(EU$44-2),MIN($N389,INT(EU$44-2)+1),$DC389,IF($DD389="No",1,0))/
IF(EC389&gt;INT($N389),$N389-INT($N389),1))*
IF(EU$44=2,EC389,
IF(INT(EC389)=INT(EB389),0,EC389-INT(EC389)))))</f>
        <v>0</v>
      </c>
      <c r="EV389" s="836">
        <f>+IF(OR(ED389=EC389,EV$44=1),0,
IF(AND(EV$44&gt;1,ED389=$N389),1-SUM($EN389:EU389),
IF($N389&lt;=1,
IF($N389&gt;0,1/$N389,0),
IF(EV$44=2,0,VDB(1,0,$N389,INT(EV$44-2-1),MIN($N389,INT(EV$44-2-1)+1),$DC389,IF($DD389="No",1,0))/
IF(EC389&gt;=INT($N389),$N389-INT($N389),1)))*
IF(EV$44=2,0,
IF(INT(ED389)=INT(EC389),ED389-EC389,INT(ED389)-EC389))+
IF($N389&lt;=1,
IF($N389&gt;0,1/$N389,0),VDB(1,0,$N389,INT(EV$44-2),MIN($N389,INT(EV$44-2)+1),$DC389,IF($DD389="No",1,0))/
IF(ED389&gt;INT($N389),$N389-INT($N389),1))*
IF(EV$44=2,ED389,
IF(INT(ED389)=INT(EC389),0,ED389-INT(ED389)))))</f>
        <v>0</v>
      </c>
      <c r="EW389" s="833"/>
      <c r="EX389" s="834">
        <f t="shared" ca="1" si="675"/>
        <v>0</v>
      </c>
      <c r="EY389" s="835">
        <f t="shared" ca="1" si="675"/>
        <v>0</v>
      </c>
      <c r="EZ389" s="836">
        <f t="shared" ca="1" si="675"/>
        <v>0</v>
      </c>
      <c r="FA389" s="834">
        <f t="shared" ca="1" si="675"/>
        <v>0</v>
      </c>
      <c r="FB389" s="835">
        <f t="shared" ca="1" si="675"/>
        <v>0</v>
      </c>
      <c r="FC389" s="835">
        <f t="shared" ca="1" si="675"/>
        <v>0</v>
      </c>
      <c r="FD389" s="835">
        <f t="shared" ca="1" si="675"/>
        <v>0</v>
      </c>
      <c r="FE389" s="836">
        <f t="shared" ca="1" si="675"/>
        <v>0</v>
      </c>
      <c r="FG389" s="386">
        <f t="shared" ca="1" si="659"/>
        <v>0</v>
      </c>
      <c r="FH389" s="387">
        <f t="shared" ca="1" si="660"/>
        <v>0</v>
      </c>
      <c r="FI389" s="388">
        <f t="shared" ca="1" si="661"/>
        <v>0</v>
      </c>
      <c r="FJ389" s="386">
        <f t="shared" ca="1" si="662"/>
        <v>0</v>
      </c>
      <c r="FK389" s="387">
        <f t="shared" ca="1" si="663"/>
        <v>0</v>
      </c>
      <c r="FL389" s="387">
        <f t="shared" ca="1" si="664"/>
        <v>0</v>
      </c>
      <c r="FM389" s="387">
        <f t="shared" ca="1" si="665"/>
        <v>0</v>
      </c>
      <c r="FN389" s="388">
        <f t="shared" ca="1" si="666"/>
        <v>0</v>
      </c>
    </row>
    <row r="390" spans="2:174">
      <c r="B390" s="1410">
        <f t="shared" si="670"/>
        <v>344</v>
      </c>
      <c r="C390" s="400"/>
      <c r="D390" s="410"/>
      <c r="E390" s="402"/>
      <c r="F390" s="402"/>
      <c r="G390" s="400"/>
      <c r="H390" s="2088"/>
      <c r="I390" s="2089"/>
      <c r="J390" s="411"/>
      <c r="K390" s="403"/>
      <c r="L390" s="403"/>
      <c r="M390" s="403"/>
      <c r="N390" s="403"/>
      <c r="O390" s="347"/>
      <c r="P390" s="347"/>
      <c r="Q390" s="1021"/>
      <c r="R390" s="1022"/>
      <c r="S390" s="1022"/>
      <c r="T390" s="1022"/>
      <c r="U390" s="1023"/>
      <c r="V390" s="1021"/>
      <c r="W390" s="1022"/>
      <c r="X390" s="1022"/>
      <c r="Y390" s="1022"/>
      <c r="Z390" s="1023"/>
      <c r="AA390" s="1024"/>
      <c r="AB390" s="1021"/>
      <c r="AC390" s="1022"/>
      <c r="AD390" s="1022"/>
      <c r="AE390" s="1022"/>
      <c r="AF390" s="1023"/>
      <c r="AG390" s="1021"/>
      <c r="AH390" s="1022"/>
      <c r="AI390" s="1022"/>
      <c r="AJ390" s="1022"/>
      <c r="AK390" s="1023"/>
      <c r="AL390" s="1024"/>
      <c r="AM390" s="1021"/>
      <c r="AN390" s="1022"/>
      <c r="AO390" s="1022"/>
      <c r="AP390" s="1022"/>
      <c r="AQ390" s="1023"/>
      <c r="AR390" s="1021"/>
      <c r="AS390" s="1022"/>
      <c r="AT390" s="1022"/>
      <c r="AU390" s="1022"/>
      <c r="AV390" s="1023"/>
      <c r="AW390" s="1025"/>
      <c r="AX390" s="1282">
        <f t="shared" si="635"/>
        <v>0</v>
      </c>
      <c r="AY390" s="387">
        <f t="shared" si="636"/>
        <v>0</v>
      </c>
      <c r="AZ390" s="387">
        <f t="shared" si="637"/>
        <v>0</v>
      </c>
      <c r="BA390" s="387">
        <f t="shared" si="638"/>
        <v>0</v>
      </c>
      <c r="BB390" s="1283">
        <f t="shared" si="639"/>
        <v>0</v>
      </c>
      <c r="BC390" s="386">
        <f t="shared" si="640"/>
        <v>0</v>
      </c>
      <c r="BD390" s="387">
        <f t="shared" si="641"/>
        <v>0</v>
      </c>
      <c r="BE390" s="1277">
        <f t="shared" si="671"/>
        <v>0</v>
      </c>
      <c r="BF390" s="1277">
        <f t="shared" si="671"/>
        <v>0</v>
      </c>
      <c r="BG390" s="388">
        <f t="shared" si="671"/>
        <v>0</v>
      </c>
      <c r="BH390" s="1025"/>
      <c r="BI390" s="1282">
        <f t="shared" ca="1" si="643"/>
        <v>0</v>
      </c>
      <c r="BJ390" s="387">
        <f t="shared" ca="1" si="644"/>
        <v>0</v>
      </c>
      <c r="BK390" s="387">
        <f t="shared" ca="1" si="645"/>
        <v>0</v>
      </c>
      <c r="BL390" s="387">
        <f t="shared" ca="1" si="646"/>
        <v>0</v>
      </c>
      <c r="BM390" s="1283">
        <f t="shared" ca="1" si="647"/>
        <v>0</v>
      </c>
      <c r="BN390" s="386">
        <f t="shared" ca="1" si="672"/>
        <v>0</v>
      </c>
      <c r="BO390" s="387">
        <f t="shared" ca="1" si="672"/>
        <v>0</v>
      </c>
      <c r="BP390" s="1277">
        <f t="shared" ca="1" si="672"/>
        <v>0</v>
      </c>
      <c r="BQ390" s="1277">
        <f t="shared" ca="1" si="672"/>
        <v>0</v>
      </c>
      <c r="BR390" s="388">
        <f t="shared" ca="1" si="672"/>
        <v>0</v>
      </c>
      <c r="BS390" s="1025"/>
      <c r="BT390" s="1282">
        <f>+IF($K390="Ongoing",AX390,IF(RIGHT($K390,2)=RIGHT(BT$43,2),SUM($AX390:AX390),0)+IF(RIGHT(BT$43,2)&gt;RIGHT($K390,2),AX390,0))</f>
        <v>0</v>
      </c>
      <c r="BU390" s="387">
        <f>+IF($K390="Ongoing",AY390,IF(RIGHT($K390,2)=RIGHT(BU$43,2),SUM($AX390:AY390),0)+IF(RIGHT(BU$43,2)&gt;RIGHT($K390,2),AY390,0))</f>
        <v>0</v>
      </c>
      <c r="BV390" s="387">
        <f>+IF($K390="Ongoing",AZ390,IF(RIGHT($K390,2)=RIGHT(BV$43,2),SUM($AX390:AZ390),0)+IF(RIGHT(BV$43,2)&gt;RIGHT($K390,2),AZ390,0))</f>
        <v>0</v>
      </c>
      <c r="BW390" s="387">
        <f>+IF($K390="Ongoing",BA390,IF(RIGHT($K390,2)=RIGHT(BW$43,2),SUM($AX390:BA390),0)+IF(RIGHT(BW$43,2)&gt;RIGHT($K390,2),BA390,0))</f>
        <v>0</v>
      </c>
      <c r="BX390" s="1283">
        <f>+IF($K390="Ongoing",BB390,IF(RIGHT($K390,2)=RIGHT(BX$43,2),SUM($AX390:BB390),0)+IF(RIGHT(BX$43,2)&gt;RIGHT($K390,2),BB390,0))</f>
        <v>0</v>
      </c>
      <c r="BY390" s="386">
        <f>+IF($K390="Ongoing",BC390,IF(RIGHT($K390,2)=RIGHT(BY$43,2),SUM($AX390:BC390),0)+IF(RIGHT(BY$43,2)&gt;RIGHT($K390,2),BC390,0))</f>
        <v>0</v>
      </c>
      <c r="BZ390" s="387">
        <f>+IF($K390="Ongoing",BD390,IF(RIGHT($K390,2)=RIGHT(BZ$43,2),SUM($AX390:BD390),0)+IF(RIGHT(BZ$43,2)&gt;RIGHT($K390,2),BD390,0))</f>
        <v>0</v>
      </c>
      <c r="CA390" s="1277">
        <f>+IF($K390="Ongoing",BE390,IF(RIGHT($K390,2)=RIGHT(CA$43,2),SUM($AX390:BE390),0)+IF(RIGHT(CA$43,2)&gt;RIGHT($K390,2),BE390,0))</f>
        <v>0</v>
      </c>
      <c r="CB390" s="1277">
        <f>+IF($K390="Ongoing",BF390,IF(RIGHT($K390,2)=RIGHT(CB$43,2),SUM($AX390:BF390),0)+IF(RIGHT(CB$43,2)&gt;RIGHT($K390,2),BF390,0))</f>
        <v>0</v>
      </c>
      <c r="CC390" s="388">
        <f>+IF($K390="Ongoing",BG390,IF(RIGHT($K390,2)=RIGHT(CC$43,2),SUM($AX390:BG390),0)+IF(RIGHT(CC$43,2)&gt;RIGHT($K390,2),BG390,0))</f>
        <v>0</v>
      </c>
      <c r="CD390" s="1025"/>
      <c r="CE390" s="1282">
        <f>+Q390*KeyAssumptionsPriceControl_FO!AF$15</f>
        <v>0</v>
      </c>
      <c r="CF390" s="387">
        <f>+R390*KeyAssumptionsPriceControl_FO!AG$15</f>
        <v>0</v>
      </c>
      <c r="CG390" s="387">
        <f>+S390*KeyAssumptionsPriceControl_FO!AH$15</f>
        <v>0</v>
      </c>
      <c r="CH390" s="387">
        <f>+T390*KeyAssumptionsPriceControl_FO!AI$15</f>
        <v>0</v>
      </c>
      <c r="CI390" s="1283">
        <f>+U390*KeyAssumptionsPriceControl_FO!AJ$15</f>
        <v>0</v>
      </c>
      <c r="CJ390" s="386">
        <f>+V390*KeyAssumptionsPriceControl_FO!AK$15</f>
        <v>0</v>
      </c>
      <c r="CK390" s="387">
        <f>+W390*KeyAssumptionsPriceControl_FO!AL$15</f>
        <v>0</v>
      </c>
      <c r="CL390" s="1277">
        <f>+X390*KeyAssumptionsPriceControl_FO!AM$15</f>
        <v>0</v>
      </c>
      <c r="CM390" s="1277">
        <f>+Y390*KeyAssumptionsPriceControl_FO!AN$15</f>
        <v>0</v>
      </c>
      <c r="CN390" s="388">
        <f>+Z390*KeyAssumptionsPriceControl_FO!AO$15</f>
        <v>0</v>
      </c>
      <c r="CO390" s="1025"/>
      <c r="CP390" s="1282">
        <f t="shared" ca="1" si="649"/>
        <v>0</v>
      </c>
      <c r="CQ390" s="387">
        <f t="shared" ca="1" si="650"/>
        <v>0</v>
      </c>
      <c r="CR390" s="387">
        <f t="shared" ca="1" si="651"/>
        <v>0</v>
      </c>
      <c r="CS390" s="387">
        <f t="shared" ca="1" si="652"/>
        <v>0</v>
      </c>
      <c r="CT390" s="1283">
        <f t="shared" ca="1" si="653"/>
        <v>0</v>
      </c>
      <c r="CU390" s="386">
        <f t="shared" ca="1" si="654"/>
        <v>0</v>
      </c>
      <c r="CV390" s="387">
        <f t="shared" ca="1" si="655"/>
        <v>0</v>
      </c>
      <c r="CW390" s="1277">
        <f t="shared" ca="1" si="656"/>
        <v>0</v>
      </c>
      <c r="CX390" s="1277">
        <f t="shared" ca="1" si="657"/>
        <v>0</v>
      </c>
      <c r="CY390" s="388">
        <f t="shared" ca="1" si="658"/>
        <v>0</v>
      </c>
      <c r="CZ390" s="347"/>
      <c r="DA390" s="852"/>
      <c r="DB390" s="347"/>
      <c r="DC390" s="1012" t="s">
        <v>517</v>
      </c>
      <c r="DD390" s="841" t="s">
        <v>518</v>
      </c>
      <c r="DE390" s="386">
        <f>+IF($K390="ongoing",CE390,IF(RIGHT($K390,2)=RIGHT(DE$43,2),SUM($CD390:CE390),0)+IF(RIGHT(DE$43,2)&gt;RIGHT($K390,2),CE390,0))</f>
        <v>0</v>
      </c>
      <c r="DF390" s="387">
        <f>+IF($K390="ongoing",CF390,IF(RIGHT($K390,2)=RIGHT(DF$43,2),SUM($CD390:CF390),0)+IF(RIGHT(DF$43,2)&gt;RIGHT($K390,2),CF390,0))</f>
        <v>0</v>
      </c>
      <c r="DG390" s="388">
        <f>+IF($K390="ongoing",CG390,IF(RIGHT($K390,2)=RIGHT(DG$43,2),SUM($CD390:CG390),0)+IF(RIGHT(DG$43,2)&gt;RIGHT($K390,2),CG390,0))</f>
        <v>0</v>
      </c>
      <c r="DH390" s="386">
        <f>+IF($K390="ongoing",CH390,IF(RIGHT($K390,2)=RIGHT(DH$43,2),SUM($CD390:CH390),0)+IF(RIGHT(DH$43,2)&gt;RIGHT($K390,2),CH390,0))</f>
        <v>0</v>
      </c>
      <c r="DI390" s="387">
        <f>+IF($K390="ongoing",CI390,IF(RIGHT($K390,2)=RIGHT(DI$43,2),SUM($CD390:CI390),0)+IF(RIGHT(DI$43,2)&gt;RIGHT($K390,2),CI390,0))</f>
        <v>0</v>
      </c>
      <c r="DJ390" s="387">
        <f>+IF($K390="ongoing",CJ390,IF(RIGHT($K390,2)=RIGHT(DJ$43,2),SUM($CD390:CJ390),0)+IF(RIGHT(DJ$43,2)&gt;RIGHT($K390,2),CJ390,0))</f>
        <v>0</v>
      </c>
      <c r="DK390" s="387">
        <f>+IF($K390="ongoing",CK390,IF(RIGHT($K390,2)=RIGHT(DK$43,2),SUM($CD390:CK390),0)+IF(RIGHT(DK$43,2)&gt;RIGHT($K390,2),CK390,0))</f>
        <v>0</v>
      </c>
      <c r="DL390" s="388">
        <f>+IF($K390="ongoing",CN390,IF(RIGHT($K390,2)=RIGHT(DL$43,2),SUM($CD390:CN390),0)+IF(RIGHT(DL$43,2)&gt;RIGHT($K390,2),CN390,0))</f>
        <v>0</v>
      </c>
      <c r="DM390" s="841"/>
      <c r="DN390" s="386">
        <f t="shared" si="673"/>
        <v>0.5</v>
      </c>
      <c r="DO390" s="387">
        <f t="shared" si="673"/>
        <v>1</v>
      </c>
      <c r="DP390" s="388">
        <f t="shared" si="673"/>
        <v>1</v>
      </c>
      <c r="DQ390" s="386">
        <f t="shared" si="673"/>
        <v>1</v>
      </c>
      <c r="DR390" s="387">
        <f t="shared" si="673"/>
        <v>1</v>
      </c>
      <c r="DS390" s="387">
        <f t="shared" si="673"/>
        <v>1</v>
      </c>
      <c r="DT390" s="387">
        <f t="shared" si="673"/>
        <v>1</v>
      </c>
      <c r="DU390" s="388">
        <f t="shared" si="673"/>
        <v>1</v>
      </c>
      <c r="DW390" s="386">
        <f t="shared" si="674"/>
        <v>0</v>
      </c>
      <c r="DX390" s="387">
        <f t="shared" si="674"/>
        <v>0.5</v>
      </c>
      <c r="DY390" s="388">
        <f t="shared" si="674"/>
        <v>1</v>
      </c>
      <c r="DZ390" s="386">
        <f t="shared" si="674"/>
        <v>1</v>
      </c>
      <c r="EA390" s="387">
        <f t="shared" si="674"/>
        <v>1</v>
      </c>
      <c r="EB390" s="387">
        <f t="shared" si="674"/>
        <v>1</v>
      </c>
      <c r="EC390" s="387">
        <f t="shared" si="674"/>
        <v>1</v>
      </c>
      <c r="ED390" s="388">
        <f t="shared" si="674"/>
        <v>1</v>
      </c>
      <c r="EF390" s="834">
        <f>+IF(DN390=DM390,0,
IF(AND(EF$44&gt;1,DN390=$N390),1-SUM($EE390:EE390),
IF($N390&lt;=1,
IF($N390&gt;0,1/$N390,0),
IF(EF$44=1,0,VDB(1,0,$N390,INT(EF$44-1-1),MIN($N390,INT(EF$44-1-1)+1),$DC390,IF($DD390="No",1,0))/
IF(DM390&gt;=INT($N390),$N390-INT($N390),1)))*
IF(EF$44=1,0,
IF(INT(DN390)=INT(DM390),DN390-DM390,INT(DN390)-DM390))+
IF($N390&lt;=1,
IF($N390&gt;0,1/$N390,0),VDB(1,0,$N390,INT(EF$44-1),MIN($N390,INT(EF$44-1)+1),$DC390,IF($DD390="No",1,0))/
IF(DN390&gt;INT($N390),$N390-INT($N390),1))*
IF(EF$44=1,DN390,
IF(INT(DN390)=INT(DM390),0,DN390-INT(DN390)))))</f>
        <v>0</v>
      </c>
      <c r="EG390" s="835">
        <f>+IF(DO390=DN390,0,
IF(AND(EG$44&gt;1,DO390=$N390),1-SUM($EE390:EF390),
IF($N390&lt;=1,
IF($N390&gt;0,1/$N390,0),
IF(EG$44=1,0,VDB(1,0,$N390,INT(EG$44-1-1),MIN($N390,INT(EG$44-1-1)+1),$DC390,IF($DD390="No",1,0))/
IF(DN390&gt;=INT($N390),$N390-INT($N390),1)))*
IF(EG$44=1,0,
IF(INT(DO390)=INT(DN390),DO390-DN390,INT(DO390)-DN390))+
IF($N390&lt;=1,
IF($N390&gt;0,1/$N390,0),VDB(1,0,$N390,INT(EG$44-1),MIN($N390,INT(EG$44-1)+1),$DC390,IF($DD390="No",1,0))/
IF(DO390&gt;INT($N390),$N390-INT($N390),1))*
IF(EG$44=1,DO390,
IF(INT(DO390)=INT(DN390),0,DO390-INT(DO390)))))</f>
        <v>0</v>
      </c>
      <c r="EH390" s="836">
        <f>+IF(DP390=DO390,0,
IF(AND(EH$44&gt;1,DP390=$N390),1-SUM($EE390:EG390),
IF($N390&lt;=1,
IF($N390&gt;0,1/$N390,0),
IF(EH$44=1,0,VDB(1,0,$N390,INT(EH$44-1-1),MIN($N390,INT(EH$44-1-1)+1),$DC390,IF($DD390="No",1,0))/
IF(DO390&gt;=INT($N390),$N390-INT($N390),1)))*
IF(EH$44=1,0,
IF(INT(DP390)=INT(DO390),DP390-DO390,INT(DP390)-DO390))+
IF($N390&lt;=1,
IF($N390&gt;0,1/$N390,0),VDB(1,0,$N390,INT(EH$44-1),MIN($N390,INT(EH$44-1)+1),$DC390,IF($DD390="No",1,0))/
IF(DP390&gt;INT($N390),$N390-INT($N390),1))*
IF(EH$44=1,DP390,
IF(INT(DP390)=INT(DO390),0,DP390-INT(DP390)))))</f>
        <v>0</v>
      </c>
      <c r="EI390" s="834">
        <f>+IF(DQ390=DP390,0,
IF(AND(EI$44&gt;1,DQ390=$N390),1-SUM($EE390:EH390),
IF($N390&lt;=1,
IF($N390&gt;0,1/$N390,0),
IF(EI$44=1,0,VDB(1,0,$N390,INT(EI$44-1-1),MIN($N390,INT(EI$44-1-1)+1),$DC390,IF($DD390="No",1,0))/
IF(DP390&gt;=INT($N390),$N390-INT($N390),1)))*
IF(EI$44=1,0,
IF(INT(DQ390)=INT(DP390),DQ390-DP390,INT(DQ390)-DP390))+
IF($N390&lt;=1,
IF($N390&gt;0,1/$N390,0),VDB(1,0,$N390,INT(EI$44-1),MIN($N390,INT(EI$44-1)+1),$DC390,IF($DD390="No",1,0))/
IF(DQ390&gt;INT($N390),$N390-INT($N390),1))*
IF(EI$44=1,DQ390,
IF(INT(DQ390)=INT(DP390),0,DQ390-INT(DQ390)))))</f>
        <v>0</v>
      </c>
      <c r="EJ390" s="835">
        <f>+IF(DR390=DQ390,0,
IF(AND(EJ$44&gt;1,DR390=$N390),1-SUM($EE390:EI390),
IF($N390&lt;=1,
IF($N390&gt;0,1/$N390,0),
IF(EJ$44=1,0,VDB(1,0,$N390,INT(EJ$44-1-1),MIN($N390,INT(EJ$44-1-1)+1),$DC390,IF($DD390="No",1,0))/
IF(DQ390&gt;=INT($N390),$N390-INT($N390),1)))*
IF(EJ$44=1,0,
IF(INT(DR390)=INT(DQ390),DR390-DQ390,INT(DR390)-DQ390))+
IF($N390&lt;=1,
IF($N390&gt;0,1/$N390,0),VDB(1,0,$N390,INT(EJ$44-1),MIN($N390,INT(EJ$44-1)+1),$DC390,IF($DD390="No",1,0))/
IF(DR390&gt;INT($N390),$N390-INT($N390),1))*
IF(EJ$44=1,DR390,
IF(INT(DR390)=INT(DQ390),0,DR390-INT(DR390)))))</f>
        <v>0</v>
      </c>
      <c r="EK390" s="835">
        <f>+IF(DS390=DR390,0,
IF(AND(EK$44&gt;1,DS390=$N390),1-SUM($EE390:EJ390),
IF($N390&lt;=1,
IF($N390&gt;0,1/$N390,0),
IF(EK$44=1,0,VDB(1,0,$N390,INT(EK$44-1-1),MIN($N390,INT(EK$44-1-1)+1),$DC390,IF($DD390="No",1,0))/
IF(DR390&gt;=INT($N390),$N390-INT($N390),1)))*
IF(EK$44=1,0,
IF(INT(DS390)=INT(DR390),DS390-DR390,INT(DS390)-DR390))+
IF($N390&lt;=1,
IF($N390&gt;0,1/$N390,0),VDB(1,0,$N390,INT(EK$44-1),MIN($N390,INT(EK$44-1)+1),$DC390,IF($DD390="No",1,0))/
IF(DS390&gt;INT($N390),$N390-INT($N390),1))*
IF(EK$44=1,DS390,
IF(INT(DS390)=INT(DR390),0,DS390-INT(DS390)))))</f>
        <v>0</v>
      </c>
      <c r="EL390" s="835">
        <f>+IF(DT390=DS390,0,
IF(AND(EL$44&gt;1,DT390=$N390),1-SUM($EE390:EK390),
IF($N390&lt;=1,
IF($N390&gt;0,1/$N390,0),
IF(EL$44=1,0,VDB(1,0,$N390,INT(EL$44-1-1),MIN($N390,INT(EL$44-1-1)+1),$DC390,IF($DD390="No",1,0))/
IF(DS390&gt;=INT($N390),$N390-INT($N390),1)))*
IF(EL$44=1,0,
IF(INT(DT390)=INT(DS390),DT390-DS390,INT(DT390)-DS390))+
IF($N390&lt;=1,
IF($N390&gt;0,1/$N390,0),VDB(1,0,$N390,INT(EL$44-1),MIN($N390,INT(EL$44-1)+1),$DC390,IF($DD390="No",1,0))/
IF(DT390&gt;INT($N390),$N390-INT($N390),1))*
IF(EL$44=1,DT390,
IF(INT(DT390)=INT(DS390),0,DT390-INT(DT390)))))</f>
        <v>0</v>
      </c>
      <c r="EM390" s="836">
        <f>+IF(DU390=DT390,0,
IF(AND(EM$44&gt;1,DU390=$N390),1-SUM($EE390:EL390),
IF($N390&lt;=1,
IF($N390&gt;0,1/$N390,0),
IF(EM$44=1,0,VDB(1,0,$N390,INT(EM$44-1-1),MIN($N390,INT(EM$44-1-1)+1),$DC390,IF($DD390="No",1,0))/
IF(DT390&gt;=INT($N390),$N390-INT($N390),1)))*
IF(EM$44=1,0,
IF(INT(DU390)=INT(DT390),DU390-DT390,INT(DU390)-DT390))+
IF($N390&lt;=1,
IF($N390&gt;0,1/$N390,0),VDB(1,0,$N390,INT(EM$44-1),MIN($N390,INT(EM$44-1)+1),$DC390,IF($DD390="No",1,0))/
IF(DU390&gt;INT($N390),$N390-INT($N390),1))*
IF(EM$44=1,DU390,
IF(INT(DU390)=INT(DT390),0,DU390-INT(DU390)))))</f>
        <v>0</v>
      </c>
      <c r="EN390" s="833"/>
      <c r="EO390" s="834">
        <f>+IF(OR(DW390=DV390,EO$44=1),0,
IF(AND(EO$44&gt;1,DW390=$N390),1-SUM($EN390:EN390),
IF($N390&lt;=1,
IF($N390&gt;0,1/$N390,0),
IF(EO$44=2,0,VDB(1,0,$N390,INT(EO$44-2-1),MIN($N390,INT(EO$44-2-1)+1),$DC390,IF($DD390="No",1,0))/
IF(DV390&gt;=INT($N390),$N390-INT($N390),1)))*
IF(EO$44=2,0,
IF(INT(DW390)=INT(DV390),DW390-DV390,INT(DW390)-DV390))+
IF($N390&lt;=1,
IF($N390&gt;0,1/$N390,0),VDB(1,0,$N390,INT(EO$44-2),MIN($N390,INT(EO$44-2)+1),$DC390,IF($DD390="No",1,0))/
IF(DW390&gt;INT($N390),$N390-INT($N390),1))*
IF(EO$44=2,DW390,
IF(INT(DW390)=INT(DV390),0,DW390-INT(DW390)))))</f>
        <v>0</v>
      </c>
      <c r="EP390" s="835">
        <f>+IF(OR(DX390=DW390,EP$44=1),0,
IF(AND(EP$44&gt;1,DX390=$N390),1-SUM($EN390:EO390),
IF($N390&lt;=1,
IF($N390&gt;0,1/$N390,0),
IF(EP$44=2,0,VDB(1,0,$N390,INT(EP$44-2-1),MIN($N390,INT(EP$44-2-1)+1),$DC390,IF($DD390="No",1,0))/
IF(DW390&gt;=INT($N390),$N390-INT($N390),1)))*
IF(EP$44=2,0,
IF(INT(DX390)=INT(DW390),DX390-DW390,INT(DX390)-DW390))+
IF($N390&lt;=1,
IF($N390&gt;0,1/$N390,0),VDB(1,0,$N390,INT(EP$44-2),MIN($N390,INT(EP$44-2)+1),$DC390,IF($DD390="No",1,0))/
IF(DX390&gt;INT($N390),$N390-INT($N390),1))*
IF(EP$44=2,DX390,
IF(INT(DX390)=INT(DW390),0,DX390-INT(DX390)))))</f>
        <v>0</v>
      </c>
      <c r="EQ390" s="836">
        <f>+IF(OR(DY390=DX390,EQ$44=1),0,
IF(AND(EQ$44&gt;1,DY390=$N390),1-SUM($EN390:EP390),
IF($N390&lt;=1,
IF($N390&gt;0,1/$N390,0),
IF(EQ$44=2,0,VDB(1,0,$N390,INT(EQ$44-2-1),MIN($N390,INT(EQ$44-2-1)+1),$DC390,IF($DD390="No",1,0))/
IF(DX390&gt;=INT($N390),$N390-INT($N390),1)))*
IF(EQ$44=2,0,
IF(INT(DY390)=INT(DX390),DY390-DX390,INT(DY390)-DX390))+
IF($N390&lt;=1,
IF($N390&gt;0,1/$N390,0),VDB(1,0,$N390,INT(EQ$44-2),MIN($N390,INT(EQ$44-2)+1),$DC390,IF($DD390="No",1,0))/
IF(DY390&gt;INT($N390),$N390-INT($N390),1))*
IF(EQ$44=2,DY390,
IF(INT(DY390)=INT(DX390),0,DY390-INT(DY390)))))</f>
        <v>0</v>
      </c>
      <c r="ER390" s="834">
        <f>+IF(OR(DZ390=DY390,ER$44=1),0,
IF(AND(ER$44&gt;1,DZ390=$N390),1-SUM($EN390:EQ390),
IF($N390&lt;=1,
IF($N390&gt;0,1/$N390,0),
IF(ER$44=2,0,VDB(1,0,$N390,INT(ER$44-2-1),MIN($N390,INT(ER$44-2-1)+1),$DC390,IF($DD390="No",1,0))/
IF(DY390&gt;=INT($N390),$N390-INT($N390),1)))*
IF(ER$44=2,0,
IF(INT(DZ390)=INT(DY390),DZ390-DY390,INT(DZ390)-DY390))+
IF($N390&lt;=1,
IF($N390&gt;0,1/$N390,0),VDB(1,0,$N390,INT(ER$44-2),MIN($N390,INT(ER$44-2)+1),$DC390,IF($DD390="No",1,0))/
IF(DZ390&gt;INT($N390),$N390-INT($N390),1))*
IF(ER$44=2,DZ390,
IF(INT(DZ390)=INT(DY390),0,DZ390-INT(DZ390)))))</f>
        <v>0</v>
      </c>
      <c r="ES390" s="835">
        <f>+IF(OR(EA390=DZ390,ES$44=1),0,
IF(AND(ES$44&gt;1,EA390=$N390),1-SUM($EN390:ER390),
IF($N390&lt;=1,
IF($N390&gt;0,1/$N390,0),
IF(ES$44=2,0,VDB(1,0,$N390,INT(ES$44-2-1),MIN($N390,INT(ES$44-2-1)+1),$DC390,IF($DD390="No",1,0))/
IF(DZ390&gt;=INT($N390),$N390-INT($N390),1)))*
IF(ES$44=2,0,
IF(INT(EA390)=INT(DZ390),EA390-DZ390,INT(EA390)-DZ390))+
IF($N390&lt;=1,
IF($N390&gt;0,1/$N390,0),VDB(1,0,$N390,INT(ES$44-2),MIN($N390,INT(ES$44-2)+1),$DC390,IF($DD390="No",1,0))/
IF(EA390&gt;INT($N390),$N390-INT($N390),1))*
IF(ES$44=2,EA390,
IF(INT(EA390)=INT(DZ390),0,EA390-INT(EA390)))))</f>
        <v>0</v>
      </c>
      <c r="ET390" s="835">
        <f>+IF(OR(EB390=EA390,ET$44=1),0,
IF(AND(ET$44&gt;1,EB390=$N390),1-SUM($EN390:ES390),
IF($N390&lt;=1,
IF($N390&gt;0,1/$N390,0),
IF(ET$44=2,0,VDB(1,0,$N390,INT(ET$44-2-1),MIN($N390,INT(ET$44-2-1)+1),$DC390,IF($DD390="No",1,0))/
IF(EA390&gt;=INT($N390),$N390-INT($N390),1)))*
IF(ET$44=2,0,
IF(INT(EB390)=INT(EA390),EB390-EA390,INT(EB390)-EA390))+
IF($N390&lt;=1,
IF($N390&gt;0,1/$N390,0),VDB(1,0,$N390,INT(ET$44-2),MIN($N390,INT(ET$44-2)+1),$DC390,IF($DD390="No",1,0))/
IF(EB390&gt;INT($N390),$N390-INT($N390),1))*
IF(ET$44=2,EB390,
IF(INT(EB390)=INT(EA390),0,EB390-INT(EB390)))))</f>
        <v>0</v>
      </c>
      <c r="EU390" s="835">
        <f>+IF(OR(EC390=EB390,EU$44=1),0,
IF(AND(EU$44&gt;1,EC390=$N390),1-SUM($EN390:ET390),
IF($N390&lt;=1,
IF($N390&gt;0,1/$N390,0),
IF(EU$44=2,0,VDB(1,0,$N390,INT(EU$44-2-1),MIN($N390,INT(EU$44-2-1)+1),$DC390,IF($DD390="No",1,0))/
IF(EB390&gt;=INT($N390),$N390-INT($N390),1)))*
IF(EU$44=2,0,
IF(INT(EC390)=INT(EB390),EC390-EB390,INT(EC390)-EB390))+
IF($N390&lt;=1,
IF($N390&gt;0,1/$N390,0),VDB(1,0,$N390,INT(EU$44-2),MIN($N390,INT(EU$44-2)+1),$DC390,IF($DD390="No",1,0))/
IF(EC390&gt;INT($N390),$N390-INT($N390),1))*
IF(EU$44=2,EC390,
IF(INT(EC390)=INT(EB390),0,EC390-INT(EC390)))))</f>
        <v>0</v>
      </c>
      <c r="EV390" s="836">
        <f>+IF(OR(ED390=EC390,EV$44=1),0,
IF(AND(EV$44&gt;1,ED390=$N390),1-SUM($EN390:EU390),
IF($N390&lt;=1,
IF($N390&gt;0,1/$N390,0),
IF(EV$44=2,0,VDB(1,0,$N390,INT(EV$44-2-1),MIN($N390,INT(EV$44-2-1)+1),$DC390,IF($DD390="No",1,0))/
IF(EC390&gt;=INT($N390),$N390-INT($N390),1)))*
IF(EV$44=2,0,
IF(INT(ED390)=INT(EC390),ED390-EC390,INT(ED390)-EC390))+
IF($N390&lt;=1,
IF($N390&gt;0,1/$N390,0),VDB(1,0,$N390,INT(EV$44-2),MIN($N390,INT(EV$44-2)+1),$DC390,IF($DD390="No",1,0))/
IF(ED390&gt;INT($N390),$N390-INT($N390),1))*
IF(EV$44=2,ED390,
IF(INT(ED390)=INT(EC390),0,ED390-INT(ED390)))))</f>
        <v>0</v>
      </c>
      <c r="EW390" s="833"/>
      <c r="EX390" s="834">
        <f t="shared" ca="1" si="675"/>
        <v>0</v>
      </c>
      <c r="EY390" s="835">
        <f t="shared" ca="1" si="675"/>
        <v>0</v>
      </c>
      <c r="EZ390" s="836">
        <f t="shared" ca="1" si="675"/>
        <v>0</v>
      </c>
      <c r="FA390" s="834">
        <f t="shared" ca="1" si="675"/>
        <v>0</v>
      </c>
      <c r="FB390" s="835">
        <f t="shared" ca="1" si="675"/>
        <v>0</v>
      </c>
      <c r="FC390" s="835">
        <f t="shared" ca="1" si="675"/>
        <v>0</v>
      </c>
      <c r="FD390" s="835">
        <f t="shared" ca="1" si="675"/>
        <v>0</v>
      </c>
      <c r="FE390" s="836">
        <f t="shared" ca="1" si="675"/>
        <v>0</v>
      </c>
      <c r="FG390" s="386">
        <f t="shared" ca="1" si="659"/>
        <v>0</v>
      </c>
      <c r="FH390" s="387">
        <f t="shared" ca="1" si="660"/>
        <v>0</v>
      </c>
      <c r="FI390" s="388">
        <f t="shared" ca="1" si="661"/>
        <v>0</v>
      </c>
      <c r="FJ390" s="386">
        <f t="shared" ca="1" si="662"/>
        <v>0</v>
      </c>
      <c r="FK390" s="387">
        <f t="shared" ca="1" si="663"/>
        <v>0</v>
      </c>
      <c r="FL390" s="387">
        <f t="shared" ca="1" si="664"/>
        <v>0</v>
      </c>
      <c r="FM390" s="387">
        <f t="shared" ca="1" si="665"/>
        <v>0</v>
      </c>
      <c r="FN390" s="388">
        <f t="shared" ca="1" si="666"/>
        <v>0</v>
      </c>
    </row>
    <row r="391" spans="2:174">
      <c r="B391" s="1410">
        <f t="shared" si="670"/>
        <v>345</v>
      </c>
      <c r="C391" s="400"/>
      <c r="D391" s="410"/>
      <c r="E391" s="402"/>
      <c r="F391" s="402"/>
      <c r="G391" s="400"/>
      <c r="H391" s="2088"/>
      <c r="I391" s="2089"/>
      <c r="J391" s="411"/>
      <c r="K391" s="403"/>
      <c r="L391" s="403"/>
      <c r="M391" s="403"/>
      <c r="N391" s="403"/>
      <c r="O391" s="347"/>
      <c r="P391" s="347"/>
      <c r="Q391" s="1021"/>
      <c r="R391" s="1022"/>
      <c r="S391" s="1022"/>
      <c r="T391" s="1022"/>
      <c r="U391" s="1023"/>
      <c r="V391" s="1021"/>
      <c r="W391" s="1022"/>
      <c r="X391" s="1022"/>
      <c r="Y391" s="1022"/>
      <c r="Z391" s="1023"/>
      <c r="AA391" s="1024"/>
      <c r="AB391" s="1021"/>
      <c r="AC391" s="1022"/>
      <c r="AD391" s="1022"/>
      <c r="AE391" s="1022"/>
      <c r="AF391" s="1023"/>
      <c r="AG391" s="1021"/>
      <c r="AH391" s="1022"/>
      <c r="AI391" s="1022"/>
      <c r="AJ391" s="1022"/>
      <c r="AK391" s="1023"/>
      <c r="AL391" s="1024"/>
      <c r="AM391" s="1021"/>
      <c r="AN391" s="1022"/>
      <c r="AO391" s="1022"/>
      <c r="AP391" s="1022"/>
      <c r="AQ391" s="1023"/>
      <c r="AR391" s="1021"/>
      <c r="AS391" s="1022"/>
      <c r="AT391" s="1022"/>
      <c r="AU391" s="1022"/>
      <c r="AV391" s="1023"/>
      <c r="AW391" s="1025"/>
      <c r="AX391" s="1282">
        <f t="shared" si="635"/>
        <v>0</v>
      </c>
      <c r="AY391" s="387">
        <f t="shared" si="636"/>
        <v>0</v>
      </c>
      <c r="AZ391" s="387">
        <f t="shared" si="637"/>
        <v>0</v>
      </c>
      <c r="BA391" s="387">
        <f t="shared" si="638"/>
        <v>0</v>
      </c>
      <c r="BB391" s="1283">
        <f t="shared" si="639"/>
        <v>0</v>
      </c>
      <c r="BC391" s="386">
        <f t="shared" si="640"/>
        <v>0</v>
      </c>
      <c r="BD391" s="387">
        <f t="shared" si="641"/>
        <v>0</v>
      </c>
      <c r="BE391" s="1277">
        <f t="shared" si="671"/>
        <v>0</v>
      </c>
      <c r="BF391" s="1277">
        <f t="shared" si="671"/>
        <v>0</v>
      </c>
      <c r="BG391" s="388">
        <f t="shared" si="671"/>
        <v>0</v>
      </c>
      <c r="BH391" s="1025"/>
      <c r="BI391" s="1282">
        <f t="shared" ca="1" si="643"/>
        <v>0</v>
      </c>
      <c r="BJ391" s="387">
        <f t="shared" ca="1" si="644"/>
        <v>0</v>
      </c>
      <c r="BK391" s="387">
        <f t="shared" ca="1" si="645"/>
        <v>0</v>
      </c>
      <c r="BL391" s="387">
        <f t="shared" ca="1" si="646"/>
        <v>0</v>
      </c>
      <c r="BM391" s="1283">
        <f t="shared" ca="1" si="647"/>
        <v>0</v>
      </c>
      <c r="BN391" s="386">
        <f t="shared" ca="1" si="672"/>
        <v>0</v>
      </c>
      <c r="BO391" s="387">
        <f t="shared" ca="1" si="672"/>
        <v>0</v>
      </c>
      <c r="BP391" s="1277">
        <f t="shared" ca="1" si="672"/>
        <v>0</v>
      </c>
      <c r="BQ391" s="1277">
        <f t="shared" ca="1" si="672"/>
        <v>0</v>
      </c>
      <c r="BR391" s="388">
        <f t="shared" ca="1" si="672"/>
        <v>0</v>
      </c>
      <c r="BS391" s="1025"/>
      <c r="BT391" s="1282">
        <f>+IF($K391="Ongoing",AX391,IF(RIGHT($K391,2)=RIGHT(BT$43,2),SUM($AX391:AX391),0)+IF(RIGHT(BT$43,2)&gt;RIGHT($K391,2),AX391,0))</f>
        <v>0</v>
      </c>
      <c r="BU391" s="387">
        <f>+IF($K391="Ongoing",AY391,IF(RIGHT($K391,2)=RIGHT(BU$43,2),SUM($AX391:AY391),0)+IF(RIGHT(BU$43,2)&gt;RIGHT($K391,2),AY391,0))</f>
        <v>0</v>
      </c>
      <c r="BV391" s="387">
        <f>+IF($K391="Ongoing",AZ391,IF(RIGHT($K391,2)=RIGHT(BV$43,2),SUM($AX391:AZ391),0)+IF(RIGHT(BV$43,2)&gt;RIGHT($K391,2),AZ391,0))</f>
        <v>0</v>
      </c>
      <c r="BW391" s="387">
        <f>+IF($K391="Ongoing",BA391,IF(RIGHT($K391,2)=RIGHT(BW$43,2),SUM($AX391:BA391),0)+IF(RIGHT(BW$43,2)&gt;RIGHT($K391,2),BA391,0))</f>
        <v>0</v>
      </c>
      <c r="BX391" s="1283">
        <f>+IF($K391="Ongoing",BB391,IF(RIGHT($K391,2)=RIGHT(BX$43,2),SUM($AX391:BB391),0)+IF(RIGHT(BX$43,2)&gt;RIGHT($K391,2),BB391,0))</f>
        <v>0</v>
      </c>
      <c r="BY391" s="386">
        <f>+IF($K391="Ongoing",BC391,IF(RIGHT($K391,2)=RIGHT(BY$43,2),SUM($AX391:BC391),0)+IF(RIGHT(BY$43,2)&gt;RIGHT($K391,2),BC391,0))</f>
        <v>0</v>
      </c>
      <c r="BZ391" s="387">
        <f>+IF($K391="Ongoing",BD391,IF(RIGHT($K391,2)=RIGHT(BZ$43,2),SUM($AX391:BD391),0)+IF(RIGHT(BZ$43,2)&gt;RIGHT($K391,2),BD391,0))</f>
        <v>0</v>
      </c>
      <c r="CA391" s="1277">
        <f>+IF($K391="Ongoing",BE391,IF(RIGHT($K391,2)=RIGHT(CA$43,2),SUM($AX391:BE391),0)+IF(RIGHT(CA$43,2)&gt;RIGHT($K391,2),BE391,0))</f>
        <v>0</v>
      </c>
      <c r="CB391" s="1277">
        <f>+IF($K391="Ongoing",BF391,IF(RIGHT($K391,2)=RIGHT(CB$43,2),SUM($AX391:BF391),0)+IF(RIGHT(CB$43,2)&gt;RIGHT($K391,2),BF391,0))</f>
        <v>0</v>
      </c>
      <c r="CC391" s="388">
        <f>+IF($K391="Ongoing",BG391,IF(RIGHT($K391,2)=RIGHT(CC$43,2),SUM($AX391:BG391),0)+IF(RIGHT(CC$43,2)&gt;RIGHT($K391,2),BG391,0))</f>
        <v>0</v>
      </c>
      <c r="CD391" s="1025"/>
      <c r="CE391" s="1282">
        <f>+Q391*KeyAssumptionsPriceControl_FO!AF$15</f>
        <v>0</v>
      </c>
      <c r="CF391" s="387">
        <f>+R391*KeyAssumptionsPriceControl_FO!AG$15</f>
        <v>0</v>
      </c>
      <c r="CG391" s="387">
        <f>+S391*KeyAssumptionsPriceControl_FO!AH$15</f>
        <v>0</v>
      </c>
      <c r="CH391" s="387">
        <f>+T391*KeyAssumptionsPriceControl_FO!AI$15</f>
        <v>0</v>
      </c>
      <c r="CI391" s="1283">
        <f>+U391*KeyAssumptionsPriceControl_FO!AJ$15</f>
        <v>0</v>
      </c>
      <c r="CJ391" s="386">
        <f>+V391*KeyAssumptionsPriceControl_FO!AK$15</f>
        <v>0</v>
      </c>
      <c r="CK391" s="387">
        <f>+W391*KeyAssumptionsPriceControl_FO!AL$15</f>
        <v>0</v>
      </c>
      <c r="CL391" s="1277">
        <f>+X391*KeyAssumptionsPriceControl_FO!AM$15</f>
        <v>0</v>
      </c>
      <c r="CM391" s="1277">
        <f>+Y391*KeyAssumptionsPriceControl_FO!AN$15</f>
        <v>0</v>
      </c>
      <c r="CN391" s="388">
        <f>+Z391*KeyAssumptionsPriceControl_FO!AO$15</f>
        <v>0</v>
      </c>
      <c r="CO391" s="1025"/>
      <c r="CP391" s="1282">
        <f t="shared" ca="1" si="649"/>
        <v>0</v>
      </c>
      <c r="CQ391" s="387">
        <f t="shared" ca="1" si="650"/>
        <v>0</v>
      </c>
      <c r="CR391" s="387">
        <f t="shared" ca="1" si="651"/>
        <v>0</v>
      </c>
      <c r="CS391" s="387">
        <f t="shared" ca="1" si="652"/>
        <v>0</v>
      </c>
      <c r="CT391" s="1283">
        <f t="shared" ca="1" si="653"/>
        <v>0</v>
      </c>
      <c r="CU391" s="386">
        <f t="shared" ca="1" si="654"/>
        <v>0</v>
      </c>
      <c r="CV391" s="387">
        <f t="shared" ca="1" si="655"/>
        <v>0</v>
      </c>
      <c r="CW391" s="1277">
        <f t="shared" ca="1" si="656"/>
        <v>0</v>
      </c>
      <c r="CX391" s="1277">
        <f t="shared" ca="1" si="657"/>
        <v>0</v>
      </c>
      <c r="CY391" s="388">
        <f t="shared" ca="1" si="658"/>
        <v>0</v>
      </c>
      <c r="CZ391" s="347"/>
      <c r="DA391" s="852"/>
      <c r="DB391" s="347"/>
      <c r="DC391" s="1012" t="s">
        <v>517</v>
      </c>
      <c r="DD391" s="841" t="s">
        <v>518</v>
      </c>
      <c r="DE391" s="386">
        <f>+IF($K391="ongoing",CE391,IF(RIGHT($K391,2)=RIGHT(DE$43,2),SUM($CD391:CE391),0)+IF(RIGHT(DE$43,2)&gt;RIGHT($K391,2),CE391,0))</f>
        <v>0</v>
      </c>
      <c r="DF391" s="387">
        <f>+IF($K391="ongoing",CF391,IF(RIGHT($K391,2)=RIGHT(DF$43,2),SUM($CD391:CF391),0)+IF(RIGHT(DF$43,2)&gt;RIGHT($K391,2),CF391,0))</f>
        <v>0</v>
      </c>
      <c r="DG391" s="388">
        <f>+IF($K391="ongoing",CG391,IF(RIGHT($K391,2)=RIGHT(DG$43,2),SUM($CD391:CG391),0)+IF(RIGHT(DG$43,2)&gt;RIGHT($K391,2),CG391,0))</f>
        <v>0</v>
      </c>
      <c r="DH391" s="386">
        <f>+IF($K391="ongoing",CH391,IF(RIGHT($K391,2)=RIGHT(DH$43,2),SUM($CD391:CH391),0)+IF(RIGHT(DH$43,2)&gt;RIGHT($K391,2),CH391,0))</f>
        <v>0</v>
      </c>
      <c r="DI391" s="387">
        <f>+IF($K391="ongoing",CI391,IF(RIGHT($K391,2)=RIGHT(DI$43,2),SUM($CD391:CI391),0)+IF(RIGHT(DI$43,2)&gt;RIGHT($K391,2),CI391,0))</f>
        <v>0</v>
      </c>
      <c r="DJ391" s="387">
        <f>+IF($K391="ongoing",CJ391,IF(RIGHT($K391,2)=RIGHT(DJ$43,2),SUM($CD391:CJ391),0)+IF(RIGHT(DJ$43,2)&gt;RIGHT($K391,2),CJ391,0))</f>
        <v>0</v>
      </c>
      <c r="DK391" s="387">
        <f>+IF($K391="ongoing",CK391,IF(RIGHT($K391,2)=RIGHT(DK$43,2),SUM($CD391:CK391),0)+IF(RIGHT(DK$43,2)&gt;RIGHT($K391,2),CK391,0))</f>
        <v>0</v>
      </c>
      <c r="DL391" s="388">
        <f>+IF($K391="ongoing",CN391,IF(RIGHT($K391,2)=RIGHT(DL$43,2),SUM($CD391:CN391),0)+IF(RIGHT(DL$43,2)&gt;RIGHT($K391,2),CN391,0))</f>
        <v>0</v>
      </c>
      <c r="DM391" s="841"/>
      <c r="DN391" s="386">
        <f t="shared" si="673"/>
        <v>0.5</v>
      </c>
      <c r="DO391" s="387">
        <f t="shared" si="673"/>
        <v>1</v>
      </c>
      <c r="DP391" s="388">
        <f t="shared" si="673"/>
        <v>1</v>
      </c>
      <c r="DQ391" s="386">
        <f t="shared" si="673"/>
        <v>1</v>
      </c>
      <c r="DR391" s="387">
        <f t="shared" si="673"/>
        <v>1</v>
      </c>
      <c r="DS391" s="387">
        <f t="shared" si="673"/>
        <v>1</v>
      </c>
      <c r="DT391" s="387">
        <f t="shared" si="673"/>
        <v>1</v>
      </c>
      <c r="DU391" s="388">
        <f t="shared" si="673"/>
        <v>1</v>
      </c>
      <c r="DW391" s="386">
        <f t="shared" si="674"/>
        <v>0</v>
      </c>
      <c r="DX391" s="387">
        <f t="shared" si="674"/>
        <v>0.5</v>
      </c>
      <c r="DY391" s="388">
        <f t="shared" si="674"/>
        <v>1</v>
      </c>
      <c r="DZ391" s="386">
        <f t="shared" si="674"/>
        <v>1</v>
      </c>
      <c r="EA391" s="387">
        <f t="shared" si="674"/>
        <v>1</v>
      </c>
      <c r="EB391" s="387">
        <f t="shared" si="674"/>
        <v>1</v>
      </c>
      <c r="EC391" s="387">
        <f t="shared" si="674"/>
        <v>1</v>
      </c>
      <c r="ED391" s="388">
        <f t="shared" si="674"/>
        <v>1</v>
      </c>
      <c r="EF391" s="834">
        <f>+IF(DN391=DM391,0,
IF(AND(EF$44&gt;1,DN391=$N391),1-SUM($EE391:EE391),
IF($N391&lt;=1,
IF($N391&gt;0,1/$N391,0),
IF(EF$44=1,0,VDB(1,0,$N391,INT(EF$44-1-1),MIN($N391,INT(EF$44-1-1)+1),$DC391,IF($DD391="No",1,0))/
IF(DM391&gt;=INT($N391),$N391-INT($N391),1)))*
IF(EF$44=1,0,
IF(INT(DN391)=INT(DM391),DN391-DM391,INT(DN391)-DM391))+
IF($N391&lt;=1,
IF($N391&gt;0,1/$N391,0),VDB(1,0,$N391,INT(EF$44-1),MIN($N391,INT(EF$44-1)+1),$DC391,IF($DD391="No",1,0))/
IF(DN391&gt;INT($N391),$N391-INT($N391),1))*
IF(EF$44=1,DN391,
IF(INT(DN391)=INT(DM391),0,DN391-INT(DN391)))))</f>
        <v>0</v>
      </c>
      <c r="EG391" s="835">
        <f>+IF(DO391=DN391,0,
IF(AND(EG$44&gt;1,DO391=$N391),1-SUM($EE391:EF391),
IF($N391&lt;=1,
IF($N391&gt;0,1/$N391,0),
IF(EG$44=1,0,VDB(1,0,$N391,INT(EG$44-1-1),MIN($N391,INT(EG$44-1-1)+1),$DC391,IF($DD391="No",1,0))/
IF(DN391&gt;=INT($N391),$N391-INT($N391),1)))*
IF(EG$44=1,0,
IF(INT(DO391)=INT(DN391),DO391-DN391,INT(DO391)-DN391))+
IF($N391&lt;=1,
IF($N391&gt;0,1/$N391,0),VDB(1,0,$N391,INT(EG$44-1),MIN($N391,INT(EG$44-1)+1),$DC391,IF($DD391="No",1,0))/
IF(DO391&gt;INT($N391),$N391-INT($N391),1))*
IF(EG$44=1,DO391,
IF(INT(DO391)=INT(DN391),0,DO391-INT(DO391)))))</f>
        <v>0</v>
      </c>
      <c r="EH391" s="836">
        <f>+IF(DP391=DO391,0,
IF(AND(EH$44&gt;1,DP391=$N391),1-SUM($EE391:EG391),
IF($N391&lt;=1,
IF($N391&gt;0,1/$N391,0),
IF(EH$44=1,0,VDB(1,0,$N391,INT(EH$44-1-1),MIN($N391,INT(EH$44-1-1)+1),$DC391,IF($DD391="No",1,0))/
IF(DO391&gt;=INT($N391),$N391-INT($N391),1)))*
IF(EH$44=1,0,
IF(INT(DP391)=INT(DO391),DP391-DO391,INT(DP391)-DO391))+
IF($N391&lt;=1,
IF($N391&gt;0,1/$N391,0),VDB(1,0,$N391,INT(EH$44-1),MIN($N391,INT(EH$44-1)+1),$DC391,IF($DD391="No",1,0))/
IF(DP391&gt;INT($N391),$N391-INT($N391),1))*
IF(EH$44=1,DP391,
IF(INT(DP391)=INT(DO391),0,DP391-INT(DP391)))))</f>
        <v>0</v>
      </c>
      <c r="EI391" s="834">
        <f>+IF(DQ391=DP391,0,
IF(AND(EI$44&gt;1,DQ391=$N391),1-SUM($EE391:EH391),
IF($N391&lt;=1,
IF($N391&gt;0,1/$N391,0),
IF(EI$44=1,0,VDB(1,0,$N391,INT(EI$44-1-1),MIN($N391,INT(EI$44-1-1)+1),$DC391,IF($DD391="No",1,0))/
IF(DP391&gt;=INT($N391),$N391-INT($N391),1)))*
IF(EI$44=1,0,
IF(INT(DQ391)=INT(DP391),DQ391-DP391,INT(DQ391)-DP391))+
IF($N391&lt;=1,
IF($N391&gt;0,1/$N391,0),VDB(1,0,$N391,INT(EI$44-1),MIN($N391,INT(EI$44-1)+1),$DC391,IF($DD391="No",1,0))/
IF(DQ391&gt;INT($N391),$N391-INT($N391),1))*
IF(EI$44=1,DQ391,
IF(INT(DQ391)=INT(DP391),0,DQ391-INT(DQ391)))))</f>
        <v>0</v>
      </c>
      <c r="EJ391" s="835">
        <f>+IF(DR391=DQ391,0,
IF(AND(EJ$44&gt;1,DR391=$N391),1-SUM($EE391:EI391),
IF($N391&lt;=1,
IF($N391&gt;0,1/$N391,0),
IF(EJ$44=1,0,VDB(1,0,$N391,INT(EJ$44-1-1),MIN($N391,INT(EJ$44-1-1)+1),$DC391,IF($DD391="No",1,0))/
IF(DQ391&gt;=INT($N391),$N391-INT($N391),1)))*
IF(EJ$44=1,0,
IF(INT(DR391)=INT(DQ391),DR391-DQ391,INT(DR391)-DQ391))+
IF($N391&lt;=1,
IF($N391&gt;0,1/$N391,0),VDB(1,0,$N391,INT(EJ$44-1),MIN($N391,INT(EJ$44-1)+1),$DC391,IF($DD391="No",1,0))/
IF(DR391&gt;INT($N391),$N391-INT($N391),1))*
IF(EJ$44=1,DR391,
IF(INT(DR391)=INT(DQ391),0,DR391-INT(DR391)))))</f>
        <v>0</v>
      </c>
      <c r="EK391" s="835">
        <f>+IF(DS391=DR391,0,
IF(AND(EK$44&gt;1,DS391=$N391),1-SUM($EE391:EJ391),
IF($N391&lt;=1,
IF($N391&gt;0,1/$N391,0),
IF(EK$44=1,0,VDB(1,0,$N391,INT(EK$44-1-1),MIN($N391,INT(EK$44-1-1)+1),$DC391,IF($DD391="No",1,0))/
IF(DR391&gt;=INT($N391),$N391-INT($N391),1)))*
IF(EK$44=1,0,
IF(INT(DS391)=INT(DR391),DS391-DR391,INT(DS391)-DR391))+
IF($N391&lt;=1,
IF($N391&gt;0,1/$N391,0),VDB(1,0,$N391,INT(EK$44-1),MIN($N391,INT(EK$44-1)+1),$DC391,IF($DD391="No",1,0))/
IF(DS391&gt;INT($N391),$N391-INT($N391),1))*
IF(EK$44=1,DS391,
IF(INT(DS391)=INT(DR391),0,DS391-INT(DS391)))))</f>
        <v>0</v>
      </c>
      <c r="EL391" s="835">
        <f>+IF(DT391=DS391,0,
IF(AND(EL$44&gt;1,DT391=$N391),1-SUM($EE391:EK391),
IF($N391&lt;=1,
IF($N391&gt;0,1/$N391,0),
IF(EL$44=1,0,VDB(1,0,$N391,INT(EL$44-1-1),MIN($N391,INT(EL$44-1-1)+1),$DC391,IF($DD391="No",1,0))/
IF(DS391&gt;=INT($N391),$N391-INT($N391),1)))*
IF(EL$44=1,0,
IF(INT(DT391)=INT(DS391),DT391-DS391,INT(DT391)-DS391))+
IF($N391&lt;=1,
IF($N391&gt;0,1/$N391,0),VDB(1,0,$N391,INT(EL$44-1),MIN($N391,INT(EL$44-1)+1),$DC391,IF($DD391="No",1,0))/
IF(DT391&gt;INT($N391),$N391-INT($N391),1))*
IF(EL$44=1,DT391,
IF(INT(DT391)=INT(DS391),0,DT391-INT(DT391)))))</f>
        <v>0</v>
      </c>
      <c r="EM391" s="836">
        <f>+IF(DU391=DT391,0,
IF(AND(EM$44&gt;1,DU391=$N391),1-SUM($EE391:EL391),
IF($N391&lt;=1,
IF($N391&gt;0,1/$N391,0),
IF(EM$44=1,0,VDB(1,0,$N391,INT(EM$44-1-1),MIN($N391,INT(EM$44-1-1)+1),$DC391,IF($DD391="No",1,0))/
IF(DT391&gt;=INT($N391),$N391-INT($N391),1)))*
IF(EM$44=1,0,
IF(INT(DU391)=INT(DT391),DU391-DT391,INT(DU391)-DT391))+
IF($N391&lt;=1,
IF($N391&gt;0,1/$N391,0),VDB(1,0,$N391,INT(EM$44-1),MIN($N391,INT(EM$44-1)+1),$DC391,IF($DD391="No",1,0))/
IF(DU391&gt;INT($N391),$N391-INT($N391),1))*
IF(EM$44=1,DU391,
IF(INT(DU391)=INT(DT391),0,DU391-INT(DU391)))))</f>
        <v>0</v>
      </c>
      <c r="EN391" s="833"/>
      <c r="EO391" s="834">
        <f>+IF(OR(DW391=DV391,EO$44=1),0,
IF(AND(EO$44&gt;1,DW391=$N391),1-SUM($EN391:EN391),
IF($N391&lt;=1,
IF($N391&gt;0,1/$N391,0),
IF(EO$44=2,0,VDB(1,0,$N391,INT(EO$44-2-1),MIN($N391,INT(EO$44-2-1)+1),$DC391,IF($DD391="No",1,0))/
IF(DV391&gt;=INT($N391),$N391-INT($N391),1)))*
IF(EO$44=2,0,
IF(INT(DW391)=INT(DV391),DW391-DV391,INT(DW391)-DV391))+
IF($N391&lt;=1,
IF($N391&gt;0,1/$N391,0),VDB(1,0,$N391,INT(EO$44-2),MIN($N391,INT(EO$44-2)+1),$DC391,IF($DD391="No",1,0))/
IF(DW391&gt;INT($N391),$N391-INT($N391),1))*
IF(EO$44=2,DW391,
IF(INT(DW391)=INT(DV391),0,DW391-INT(DW391)))))</f>
        <v>0</v>
      </c>
      <c r="EP391" s="835">
        <f>+IF(OR(DX391=DW391,EP$44=1),0,
IF(AND(EP$44&gt;1,DX391=$N391),1-SUM($EN391:EO391),
IF($N391&lt;=1,
IF($N391&gt;0,1/$N391,0),
IF(EP$44=2,0,VDB(1,0,$N391,INT(EP$44-2-1),MIN($N391,INT(EP$44-2-1)+1),$DC391,IF($DD391="No",1,0))/
IF(DW391&gt;=INT($N391),$N391-INT($N391),1)))*
IF(EP$44=2,0,
IF(INT(DX391)=INT(DW391),DX391-DW391,INT(DX391)-DW391))+
IF($N391&lt;=1,
IF($N391&gt;0,1/$N391,0),VDB(1,0,$N391,INT(EP$44-2),MIN($N391,INT(EP$44-2)+1),$DC391,IF($DD391="No",1,0))/
IF(DX391&gt;INT($N391),$N391-INT($N391),1))*
IF(EP$44=2,DX391,
IF(INT(DX391)=INT(DW391),0,DX391-INT(DX391)))))</f>
        <v>0</v>
      </c>
      <c r="EQ391" s="836">
        <f>+IF(OR(DY391=DX391,EQ$44=1),0,
IF(AND(EQ$44&gt;1,DY391=$N391),1-SUM($EN391:EP391),
IF($N391&lt;=1,
IF($N391&gt;0,1/$N391,0),
IF(EQ$44=2,0,VDB(1,0,$N391,INT(EQ$44-2-1),MIN($N391,INT(EQ$44-2-1)+1),$DC391,IF($DD391="No",1,0))/
IF(DX391&gt;=INT($N391),$N391-INT($N391),1)))*
IF(EQ$44=2,0,
IF(INT(DY391)=INT(DX391),DY391-DX391,INT(DY391)-DX391))+
IF($N391&lt;=1,
IF($N391&gt;0,1/$N391,0),VDB(1,0,$N391,INT(EQ$44-2),MIN($N391,INT(EQ$44-2)+1),$DC391,IF($DD391="No",1,0))/
IF(DY391&gt;INT($N391),$N391-INT($N391),1))*
IF(EQ$44=2,DY391,
IF(INT(DY391)=INT(DX391),0,DY391-INT(DY391)))))</f>
        <v>0</v>
      </c>
      <c r="ER391" s="834">
        <f>+IF(OR(DZ391=DY391,ER$44=1),0,
IF(AND(ER$44&gt;1,DZ391=$N391),1-SUM($EN391:EQ391),
IF($N391&lt;=1,
IF($N391&gt;0,1/$N391,0),
IF(ER$44=2,0,VDB(1,0,$N391,INT(ER$44-2-1),MIN($N391,INT(ER$44-2-1)+1),$DC391,IF($DD391="No",1,0))/
IF(DY391&gt;=INT($N391),$N391-INT($N391),1)))*
IF(ER$44=2,0,
IF(INT(DZ391)=INT(DY391),DZ391-DY391,INT(DZ391)-DY391))+
IF($N391&lt;=1,
IF($N391&gt;0,1/$N391,0),VDB(1,0,$N391,INT(ER$44-2),MIN($N391,INT(ER$44-2)+1),$DC391,IF($DD391="No",1,0))/
IF(DZ391&gt;INT($N391),$N391-INT($N391),1))*
IF(ER$44=2,DZ391,
IF(INT(DZ391)=INT(DY391),0,DZ391-INT(DZ391)))))</f>
        <v>0</v>
      </c>
      <c r="ES391" s="835">
        <f>+IF(OR(EA391=DZ391,ES$44=1),0,
IF(AND(ES$44&gt;1,EA391=$N391),1-SUM($EN391:ER391),
IF($N391&lt;=1,
IF($N391&gt;0,1/$N391,0),
IF(ES$44=2,0,VDB(1,0,$N391,INT(ES$44-2-1),MIN($N391,INT(ES$44-2-1)+1),$DC391,IF($DD391="No",1,0))/
IF(DZ391&gt;=INT($N391),$N391-INT($N391),1)))*
IF(ES$44=2,0,
IF(INT(EA391)=INT(DZ391),EA391-DZ391,INT(EA391)-DZ391))+
IF($N391&lt;=1,
IF($N391&gt;0,1/$N391,0),VDB(1,0,$N391,INT(ES$44-2),MIN($N391,INT(ES$44-2)+1),$DC391,IF($DD391="No",1,0))/
IF(EA391&gt;INT($N391),$N391-INT($N391),1))*
IF(ES$44=2,EA391,
IF(INT(EA391)=INT(DZ391),0,EA391-INT(EA391)))))</f>
        <v>0</v>
      </c>
      <c r="ET391" s="835">
        <f>+IF(OR(EB391=EA391,ET$44=1),0,
IF(AND(ET$44&gt;1,EB391=$N391),1-SUM($EN391:ES391),
IF($N391&lt;=1,
IF($N391&gt;0,1/$N391,0),
IF(ET$44=2,0,VDB(1,0,$N391,INT(ET$44-2-1),MIN($N391,INT(ET$44-2-1)+1),$DC391,IF($DD391="No",1,0))/
IF(EA391&gt;=INT($N391),$N391-INT($N391),1)))*
IF(ET$44=2,0,
IF(INT(EB391)=INT(EA391),EB391-EA391,INT(EB391)-EA391))+
IF($N391&lt;=1,
IF($N391&gt;0,1/$N391,0),VDB(1,0,$N391,INT(ET$44-2),MIN($N391,INT(ET$44-2)+1),$DC391,IF($DD391="No",1,0))/
IF(EB391&gt;INT($N391),$N391-INT($N391),1))*
IF(ET$44=2,EB391,
IF(INT(EB391)=INT(EA391),0,EB391-INT(EB391)))))</f>
        <v>0</v>
      </c>
      <c r="EU391" s="835">
        <f>+IF(OR(EC391=EB391,EU$44=1),0,
IF(AND(EU$44&gt;1,EC391=$N391),1-SUM($EN391:ET391),
IF($N391&lt;=1,
IF($N391&gt;0,1/$N391,0),
IF(EU$44=2,0,VDB(1,0,$N391,INT(EU$44-2-1),MIN($N391,INT(EU$44-2-1)+1),$DC391,IF($DD391="No",1,0))/
IF(EB391&gt;=INT($N391),$N391-INT($N391),1)))*
IF(EU$44=2,0,
IF(INT(EC391)=INT(EB391),EC391-EB391,INT(EC391)-EB391))+
IF($N391&lt;=1,
IF($N391&gt;0,1/$N391,0),VDB(1,0,$N391,INT(EU$44-2),MIN($N391,INT(EU$44-2)+1),$DC391,IF($DD391="No",1,0))/
IF(EC391&gt;INT($N391),$N391-INT($N391),1))*
IF(EU$44=2,EC391,
IF(INT(EC391)=INT(EB391),0,EC391-INT(EC391)))))</f>
        <v>0</v>
      </c>
      <c r="EV391" s="836">
        <f>+IF(OR(ED391=EC391,EV$44=1),0,
IF(AND(EV$44&gt;1,ED391=$N391),1-SUM($EN391:EU391),
IF($N391&lt;=1,
IF($N391&gt;0,1/$N391,0),
IF(EV$44=2,0,VDB(1,0,$N391,INT(EV$44-2-1),MIN($N391,INT(EV$44-2-1)+1),$DC391,IF($DD391="No",1,0))/
IF(EC391&gt;=INT($N391),$N391-INT($N391),1)))*
IF(EV$44=2,0,
IF(INT(ED391)=INT(EC391),ED391-EC391,INT(ED391)-EC391))+
IF($N391&lt;=1,
IF($N391&gt;0,1/$N391,0),VDB(1,0,$N391,INT(EV$44-2),MIN($N391,INT(EV$44-2)+1),$DC391,IF($DD391="No",1,0))/
IF(ED391&gt;INT($N391),$N391-INT($N391),1))*
IF(EV$44=2,ED391,
IF(INT(ED391)=INT(EC391),0,ED391-INT(ED391)))))</f>
        <v>0</v>
      </c>
      <c r="EW391" s="833"/>
      <c r="EX391" s="834">
        <f t="shared" ca="1" si="675"/>
        <v>0</v>
      </c>
      <c r="EY391" s="835">
        <f t="shared" ca="1" si="675"/>
        <v>0</v>
      </c>
      <c r="EZ391" s="836">
        <f t="shared" ca="1" si="675"/>
        <v>0</v>
      </c>
      <c r="FA391" s="834">
        <f t="shared" ca="1" si="675"/>
        <v>0</v>
      </c>
      <c r="FB391" s="835">
        <f t="shared" ca="1" si="675"/>
        <v>0</v>
      </c>
      <c r="FC391" s="835">
        <f t="shared" ca="1" si="675"/>
        <v>0</v>
      </c>
      <c r="FD391" s="835">
        <f t="shared" ca="1" si="675"/>
        <v>0</v>
      </c>
      <c r="FE391" s="836">
        <f t="shared" ca="1" si="675"/>
        <v>0</v>
      </c>
      <c r="FG391" s="386">
        <f t="shared" ca="1" si="659"/>
        <v>0</v>
      </c>
      <c r="FH391" s="387">
        <f t="shared" ca="1" si="660"/>
        <v>0</v>
      </c>
      <c r="FI391" s="388">
        <f t="shared" ca="1" si="661"/>
        <v>0</v>
      </c>
      <c r="FJ391" s="386">
        <f t="shared" ca="1" si="662"/>
        <v>0</v>
      </c>
      <c r="FK391" s="387">
        <f t="shared" ca="1" si="663"/>
        <v>0</v>
      </c>
      <c r="FL391" s="387">
        <f t="shared" ca="1" si="664"/>
        <v>0</v>
      </c>
      <c r="FM391" s="387">
        <f t="shared" ca="1" si="665"/>
        <v>0</v>
      </c>
      <c r="FN391" s="388">
        <f t="shared" ca="1" si="666"/>
        <v>0</v>
      </c>
    </row>
    <row r="392" spans="2:174">
      <c r="B392" s="1410">
        <f t="shared" si="670"/>
        <v>346</v>
      </c>
      <c r="C392" s="400"/>
      <c r="D392" s="410"/>
      <c r="E392" s="402"/>
      <c r="F392" s="402"/>
      <c r="G392" s="400"/>
      <c r="H392" s="2088"/>
      <c r="I392" s="2089"/>
      <c r="J392" s="411"/>
      <c r="K392" s="403"/>
      <c r="L392" s="403"/>
      <c r="M392" s="403"/>
      <c r="N392" s="403"/>
      <c r="O392" s="347"/>
      <c r="P392" s="347"/>
      <c r="Q392" s="1021"/>
      <c r="R392" s="1022"/>
      <c r="S392" s="1022"/>
      <c r="T392" s="1022"/>
      <c r="U392" s="1023"/>
      <c r="V392" s="1021"/>
      <c r="W392" s="1022"/>
      <c r="X392" s="1022"/>
      <c r="Y392" s="1022"/>
      <c r="Z392" s="1023"/>
      <c r="AA392" s="1024"/>
      <c r="AB392" s="1021"/>
      <c r="AC392" s="1022"/>
      <c r="AD392" s="1022"/>
      <c r="AE392" s="1022"/>
      <c r="AF392" s="1023"/>
      <c r="AG392" s="1021"/>
      <c r="AH392" s="1022"/>
      <c r="AI392" s="1022"/>
      <c r="AJ392" s="1022"/>
      <c r="AK392" s="1023"/>
      <c r="AL392" s="1024"/>
      <c r="AM392" s="1021"/>
      <c r="AN392" s="1022"/>
      <c r="AO392" s="1022"/>
      <c r="AP392" s="1022"/>
      <c r="AQ392" s="1023"/>
      <c r="AR392" s="1021"/>
      <c r="AS392" s="1022"/>
      <c r="AT392" s="1022"/>
      <c r="AU392" s="1022"/>
      <c r="AV392" s="1023"/>
      <c r="AW392" s="1025"/>
      <c r="AX392" s="1282">
        <f t="shared" si="635"/>
        <v>0</v>
      </c>
      <c r="AY392" s="387">
        <f t="shared" si="636"/>
        <v>0</v>
      </c>
      <c r="AZ392" s="387">
        <f t="shared" si="637"/>
        <v>0</v>
      </c>
      <c r="BA392" s="387">
        <f t="shared" si="638"/>
        <v>0</v>
      </c>
      <c r="BB392" s="1283">
        <f t="shared" si="639"/>
        <v>0</v>
      </c>
      <c r="BC392" s="386">
        <f t="shared" si="640"/>
        <v>0</v>
      </c>
      <c r="BD392" s="387">
        <f t="shared" si="641"/>
        <v>0</v>
      </c>
      <c r="BE392" s="1277">
        <f t="shared" si="671"/>
        <v>0</v>
      </c>
      <c r="BF392" s="1277">
        <f t="shared" si="671"/>
        <v>0</v>
      </c>
      <c r="BG392" s="388">
        <f t="shared" si="671"/>
        <v>0</v>
      </c>
      <c r="BH392" s="1025"/>
      <c r="BI392" s="1282">
        <f t="shared" ca="1" si="643"/>
        <v>0</v>
      </c>
      <c r="BJ392" s="387">
        <f t="shared" ca="1" si="644"/>
        <v>0</v>
      </c>
      <c r="BK392" s="387">
        <f t="shared" ca="1" si="645"/>
        <v>0</v>
      </c>
      <c r="BL392" s="387">
        <f t="shared" ca="1" si="646"/>
        <v>0</v>
      </c>
      <c r="BM392" s="1283">
        <f t="shared" ca="1" si="647"/>
        <v>0</v>
      </c>
      <c r="BN392" s="386">
        <f t="shared" ca="1" si="672"/>
        <v>0</v>
      </c>
      <c r="BO392" s="387">
        <f t="shared" ca="1" si="672"/>
        <v>0</v>
      </c>
      <c r="BP392" s="1277">
        <f t="shared" ca="1" si="672"/>
        <v>0</v>
      </c>
      <c r="BQ392" s="1277">
        <f t="shared" ca="1" si="672"/>
        <v>0</v>
      </c>
      <c r="BR392" s="388">
        <f t="shared" ca="1" si="672"/>
        <v>0</v>
      </c>
      <c r="BS392" s="1025"/>
      <c r="BT392" s="1282">
        <f>+IF($K392="Ongoing",AX392,IF(RIGHT($K392,2)=RIGHT(BT$43,2),SUM($AX392:AX392),0)+IF(RIGHT(BT$43,2)&gt;RIGHT($K392,2),AX392,0))</f>
        <v>0</v>
      </c>
      <c r="BU392" s="387">
        <f>+IF($K392="Ongoing",AY392,IF(RIGHT($K392,2)=RIGHT(BU$43,2),SUM($AX392:AY392),0)+IF(RIGHT(BU$43,2)&gt;RIGHT($K392,2),AY392,0))</f>
        <v>0</v>
      </c>
      <c r="BV392" s="387">
        <f>+IF($K392="Ongoing",AZ392,IF(RIGHT($K392,2)=RIGHT(BV$43,2),SUM($AX392:AZ392),0)+IF(RIGHT(BV$43,2)&gt;RIGHT($K392,2),AZ392,0))</f>
        <v>0</v>
      </c>
      <c r="BW392" s="387">
        <f>+IF($K392="Ongoing",BA392,IF(RIGHT($K392,2)=RIGHT(BW$43,2),SUM($AX392:BA392),0)+IF(RIGHT(BW$43,2)&gt;RIGHT($K392,2),BA392,0))</f>
        <v>0</v>
      </c>
      <c r="BX392" s="1283">
        <f>+IF($K392="Ongoing",BB392,IF(RIGHT($K392,2)=RIGHT(BX$43,2),SUM($AX392:BB392),0)+IF(RIGHT(BX$43,2)&gt;RIGHT($K392,2),BB392,0))</f>
        <v>0</v>
      </c>
      <c r="BY392" s="386">
        <f>+IF($K392="Ongoing",BC392,IF(RIGHT($K392,2)=RIGHT(BY$43,2),SUM($AX392:BC392),0)+IF(RIGHT(BY$43,2)&gt;RIGHT($K392,2),BC392,0))</f>
        <v>0</v>
      </c>
      <c r="BZ392" s="387">
        <f>+IF($K392="Ongoing",BD392,IF(RIGHT($K392,2)=RIGHT(BZ$43,2),SUM($AX392:BD392),0)+IF(RIGHT(BZ$43,2)&gt;RIGHT($K392,2),BD392,0))</f>
        <v>0</v>
      </c>
      <c r="CA392" s="1277">
        <f>+IF($K392="Ongoing",BE392,IF(RIGHT($K392,2)=RIGHT(CA$43,2),SUM($AX392:BE392),0)+IF(RIGHT(CA$43,2)&gt;RIGHT($K392,2),BE392,0))</f>
        <v>0</v>
      </c>
      <c r="CB392" s="1277">
        <f>+IF($K392="Ongoing",BF392,IF(RIGHT($K392,2)=RIGHT(CB$43,2),SUM($AX392:BF392),0)+IF(RIGHT(CB$43,2)&gt;RIGHT($K392,2),BF392,0))</f>
        <v>0</v>
      </c>
      <c r="CC392" s="388">
        <f>+IF($K392="Ongoing",BG392,IF(RIGHT($K392,2)=RIGHT(CC$43,2),SUM($AX392:BG392),0)+IF(RIGHT(CC$43,2)&gt;RIGHT($K392,2),BG392,0))</f>
        <v>0</v>
      </c>
      <c r="CD392" s="1025"/>
      <c r="CE392" s="1282">
        <f>+Q392*KeyAssumptionsPriceControl_FO!AF$15</f>
        <v>0</v>
      </c>
      <c r="CF392" s="387">
        <f>+R392*KeyAssumptionsPriceControl_FO!AG$15</f>
        <v>0</v>
      </c>
      <c r="CG392" s="387">
        <f>+S392*KeyAssumptionsPriceControl_FO!AH$15</f>
        <v>0</v>
      </c>
      <c r="CH392" s="387">
        <f>+T392*KeyAssumptionsPriceControl_FO!AI$15</f>
        <v>0</v>
      </c>
      <c r="CI392" s="1283">
        <f>+U392*KeyAssumptionsPriceControl_FO!AJ$15</f>
        <v>0</v>
      </c>
      <c r="CJ392" s="386">
        <f>+V392*KeyAssumptionsPriceControl_FO!AK$15</f>
        <v>0</v>
      </c>
      <c r="CK392" s="387">
        <f>+W392*KeyAssumptionsPriceControl_FO!AL$15</f>
        <v>0</v>
      </c>
      <c r="CL392" s="1277">
        <f>+X392*KeyAssumptionsPriceControl_FO!AM$15</f>
        <v>0</v>
      </c>
      <c r="CM392" s="1277">
        <f>+Y392*KeyAssumptionsPriceControl_FO!AN$15</f>
        <v>0</v>
      </c>
      <c r="CN392" s="388">
        <f>+Z392*KeyAssumptionsPriceControl_FO!AO$15</f>
        <v>0</v>
      </c>
      <c r="CO392" s="1025"/>
      <c r="CP392" s="1282">
        <f t="shared" ca="1" si="649"/>
        <v>0</v>
      </c>
      <c r="CQ392" s="387">
        <f t="shared" ca="1" si="650"/>
        <v>0</v>
      </c>
      <c r="CR392" s="387">
        <f t="shared" ca="1" si="651"/>
        <v>0</v>
      </c>
      <c r="CS392" s="387">
        <f t="shared" ca="1" si="652"/>
        <v>0</v>
      </c>
      <c r="CT392" s="1283">
        <f t="shared" ca="1" si="653"/>
        <v>0</v>
      </c>
      <c r="CU392" s="386">
        <f t="shared" ca="1" si="654"/>
        <v>0</v>
      </c>
      <c r="CV392" s="387">
        <f t="shared" ca="1" si="655"/>
        <v>0</v>
      </c>
      <c r="CW392" s="1277">
        <f t="shared" ca="1" si="656"/>
        <v>0</v>
      </c>
      <c r="CX392" s="1277">
        <f t="shared" ca="1" si="657"/>
        <v>0</v>
      </c>
      <c r="CY392" s="388">
        <f t="shared" ca="1" si="658"/>
        <v>0</v>
      </c>
      <c r="CZ392" s="347"/>
      <c r="DA392" s="852"/>
      <c r="DB392" s="347"/>
      <c r="DC392" s="1012" t="s">
        <v>517</v>
      </c>
      <c r="DD392" s="841" t="s">
        <v>518</v>
      </c>
      <c r="DE392" s="386">
        <f>+IF($K392="ongoing",CE392,IF(RIGHT($K392,2)=RIGHT(DE$43,2),SUM($CD392:CE392),0)+IF(RIGHT(DE$43,2)&gt;RIGHT($K392,2),CE392,0))</f>
        <v>0</v>
      </c>
      <c r="DF392" s="387">
        <f>+IF($K392="ongoing",CF392,IF(RIGHT($K392,2)=RIGHT(DF$43,2),SUM($CD392:CF392),0)+IF(RIGHT(DF$43,2)&gt;RIGHT($K392,2),CF392,0))</f>
        <v>0</v>
      </c>
      <c r="DG392" s="388">
        <f>+IF($K392="ongoing",CG392,IF(RIGHT($K392,2)=RIGHT(DG$43,2),SUM($CD392:CG392),0)+IF(RIGHT(DG$43,2)&gt;RIGHT($K392,2),CG392,0))</f>
        <v>0</v>
      </c>
      <c r="DH392" s="386">
        <f>+IF($K392="ongoing",CH392,IF(RIGHT($K392,2)=RIGHT(DH$43,2),SUM($CD392:CH392),0)+IF(RIGHT(DH$43,2)&gt;RIGHT($K392,2),CH392,0))</f>
        <v>0</v>
      </c>
      <c r="DI392" s="387">
        <f>+IF($K392="ongoing",CI392,IF(RIGHT($K392,2)=RIGHT(DI$43,2),SUM($CD392:CI392),0)+IF(RIGHT(DI$43,2)&gt;RIGHT($K392,2),CI392,0))</f>
        <v>0</v>
      </c>
      <c r="DJ392" s="387">
        <f>+IF($K392="ongoing",CJ392,IF(RIGHT($K392,2)=RIGHT(DJ$43,2),SUM($CD392:CJ392),0)+IF(RIGHT(DJ$43,2)&gt;RIGHT($K392,2),CJ392,0))</f>
        <v>0</v>
      </c>
      <c r="DK392" s="387">
        <f>+IF($K392="ongoing",CK392,IF(RIGHT($K392,2)=RIGHT(DK$43,2),SUM($CD392:CK392),0)+IF(RIGHT(DK$43,2)&gt;RIGHT($K392,2),CK392,0))</f>
        <v>0</v>
      </c>
      <c r="DL392" s="388">
        <f>+IF($K392="ongoing",CN392,IF(RIGHT($K392,2)=RIGHT(DL$43,2),SUM($CD392:CN392),0)+IF(RIGHT(DL$43,2)&gt;RIGHT($K392,2),CN392,0))</f>
        <v>0</v>
      </c>
      <c r="DM392" s="841"/>
      <c r="DN392" s="386">
        <f t="shared" si="673"/>
        <v>0.5</v>
      </c>
      <c r="DO392" s="387">
        <f t="shared" si="673"/>
        <v>1</v>
      </c>
      <c r="DP392" s="388">
        <f t="shared" si="673"/>
        <v>1</v>
      </c>
      <c r="DQ392" s="386">
        <f t="shared" si="673"/>
        <v>1</v>
      </c>
      <c r="DR392" s="387">
        <f t="shared" si="673"/>
        <v>1</v>
      </c>
      <c r="DS392" s="387">
        <f t="shared" si="673"/>
        <v>1</v>
      </c>
      <c r="DT392" s="387">
        <f t="shared" si="673"/>
        <v>1</v>
      </c>
      <c r="DU392" s="388">
        <f t="shared" si="673"/>
        <v>1</v>
      </c>
      <c r="DW392" s="386">
        <f t="shared" si="674"/>
        <v>0</v>
      </c>
      <c r="DX392" s="387">
        <f t="shared" si="674"/>
        <v>0.5</v>
      </c>
      <c r="DY392" s="388">
        <f t="shared" si="674"/>
        <v>1</v>
      </c>
      <c r="DZ392" s="386">
        <f t="shared" si="674"/>
        <v>1</v>
      </c>
      <c r="EA392" s="387">
        <f t="shared" si="674"/>
        <v>1</v>
      </c>
      <c r="EB392" s="387">
        <f t="shared" si="674"/>
        <v>1</v>
      </c>
      <c r="EC392" s="387">
        <f t="shared" si="674"/>
        <v>1</v>
      </c>
      <c r="ED392" s="388">
        <f t="shared" si="674"/>
        <v>1</v>
      </c>
      <c r="EF392" s="834">
        <f>+IF(DN392=DM392,0,
IF(AND(EF$44&gt;1,DN392=$N392),1-SUM($EE392:EE392),
IF($N392&lt;=1,
IF($N392&gt;0,1/$N392,0),
IF(EF$44=1,0,VDB(1,0,$N392,INT(EF$44-1-1),MIN($N392,INT(EF$44-1-1)+1),$DC392,IF($DD392="No",1,0))/
IF(DM392&gt;=INT($N392),$N392-INT($N392),1)))*
IF(EF$44=1,0,
IF(INT(DN392)=INT(DM392),DN392-DM392,INT(DN392)-DM392))+
IF($N392&lt;=1,
IF($N392&gt;0,1/$N392,0),VDB(1,0,$N392,INT(EF$44-1),MIN($N392,INT(EF$44-1)+1),$DC392,IF($DD392="No",1,0))/
IF(DN392&gt;INT($N392),$N392-INT($N392),1))*
IF(EF$44=1,DN392,
IF(INT(DN392)=INT(DM392),0,DN392-INT(DN392)))))</f>
        <v>0</v>
      </c>
      <c r="EG392" s="835">
        <f>+IF(DO392=DN392,0,
IF(AND(EG$44&gt;1,DO392=$N392),1-SUM($EE392:EF392),
IF($N392&lt;=1,
IF($N392&gt;0,1/$N392,0),
IF(EG$44=1,0,VDB(1,0,$N392,INT(EG$44-1-1),MIN($N392,INT(EG$44-1-1)+1),$DC392,IF($DD392="No",1,0))/
IF(DN392&gt;=INT($N392),$N392-INT($N392),1)))*
IF(EG$44=1,0,
IF(INT(DO392)=INT(DN392),DO392-DN392,INT(DO392)-DN392))+
IF($N392&lt;=1,
IF($N392&gt;0,1/$N392,0),VDB(1,0,$N392,INT(EG$44-1),MIN($N392,INT(EG$44-1)+1),$DC392,IF($DD392="No",1,0))/
IF(DO392&gt;INT($N392),$N392-INT($N392),1))*
IF(EG$44=1,DO392,
IF(INT(DO392)=INT(DN392),0,DO392-INT(DO392)))))</f>
        <v>0</v>
      </c>
      <c r="EH392" s="836">
        <f>+IF(DP392=DO392,0,
IF(AND(EH$44&gt;1,DP392=$N392),1-SUM($EE392:EG392),
IF($N392&lt;=1,
IF($N392&gt;0,1/$N392,0),
IF(EH$44=1,0,VDB(1,0,$N392,INT(EH$44-1-1),MIN($N392,INT(EH$44-1-1)+1),$DC392,IF($DD392="No",1,0))/
IF(DO392&gt;=INT($N392),$N392-INT($N392),1)))*
IF(EH$44=1,0,
IF(INT(DP392)=INT(DO392),DP392-DO392,INT(DP392)-DO392))+
IF($N392&lt;=1,
IF($N392&gt;0,1/$N392,0),VDB(1,0,$N392,INT(EH$44-1),MIN($N392,INT(EH$44-1)+1),$DC392,IF($DD392="No",1,0))/
IF(DP392&gt;INT($N392),$N392-INT($N392),1))*
IF(EH$44=1,DP392,
IF(INT(DP392)=INT(DO392),0,DP392-INT(DP392)))))</f>
        <v>0</v>
      </c>
      <c r="EI392" s="834">
        <f>+IF(DQ392=DP392,0,
IF(AND(EI$44&gt;1,DQ392=$N392),1-SUM($EE392:EH392),
IF($N392&lt;=1,
IF($N392&gt;0,1/$N392,0),
IF(EI$44=1,0,VDB(1,0,$N392,INT(EI$44-1-1),MIN($N392,INT(EI$44-1-1)+1),$DC392,IF($DD392="No",1,0))/
IF(DP392&gt;=INT($N392),$N392-INT($N392),1)))*
IF(EI$44=1,0,
IF(INT(DQ392)=INT(DP392),DQ392-DP392,INT(DQ392)-DP392))+
IF($N392&lt;=1,
IF($N392&gt;0,1/$N392,0),VDB(1,0,$N392,INT(EI$44-1),MIN($N392,INT(EI$44-1)+1),$DC392,IF($DD392="No",1,0))/
IF(DQ392&gt;INT($N392),$N392-INT($N392),1))*
IF(EI$44=1,DQ392,
IF(INT(DQ392)=INT(DP392),0,DQ392-INT(DQ392)))))</f>
        <v>0</v>
      </c>
      <c r="EJ392" s="835">
        <f>+IF(DR392=DQ392,0,
IF(AND(EJ$44&gt;1,DR392=$N392),1-SUM($EE392:EI392),
IF($N392&lt;=1,
IF($N392&gt;0,1/$N392,0),
IF(EJ$44=1,0,VDB(1,0,$N392,INT(EJ$44-1-1),MIN($N392,INT(EJ$44-1-1)+1),$DC392,IF($DD392="No",1,0))/
IF(DQ392&gt;=INT($N392),$N392-INT($N392),1)))*
IF(EJ$44=1,0,
IF(INT(DR392)=INT(DQ392),DR392-DQ392,INT(DR392)-DQ392))+
IF($N392&lt;=1,
IF($N392&gt;0,1/$N392,0),VDB(1,0,$N392,INT(EJ$44-1),MIN($N392,INT(EJ$44-1)+1),$DC392,IF($DD392="No",1,0))/
IF(DR392&gt;INT($N392),$N392-INT($N392),1))*
IF(EJ$44=1,DR392,
IF(INT(DR392)=INT(DQ392),0,DR392-INT(DR392)))))</f>
        <v>0</v>
      </c>
      <c r="EK392" s="835">
        <f>+IF(DS392=DR392,0,
IF(AND(EK$44&gt;1,DS392=$N392),1-SUM($EE392:EJ392),
IF($N392&lt;=1,
IF($N392&gt;0,1/$N392,0),
IF(EK$44=1,0,VDB(1,0,$N392,INT(EK$44-1-1),MIN($N392,INT(EK$44-1-1)+1),$DC392,IF($DD392="No",1,0))/
IF(DR392&gt;=INT($N392),$N392-INT($N392),1)))*
IF(EK$44=1,0,
IF(INT(DS392)=INT(DR392),DS392-DR392,INT(DS392)-DR392))+
IF($N392&lt;=1,
IF($N392&gt;0,1/$N392,0),VDB(1,0,$N392,INT(EK$44-1),MIN($N392,INT(EK$44-1)+1),$DC392,IF($DD392="No",1,0))/
IF(DS392&gt;INT($N392),$N392-INT($N392),1))*
IF(EK$44=1,DS392,
IF(INT(DS392)=INT(DR392),0,DS392-INT(DS392)))))</f>
        <v>0</v>
      </c>
      <c r="EL392" s="835">
        <f>+IF(DT392=DS392,0,
IF(AND(EL$44&gt;1,DT392=$N392),1-SUM($EE392:EK392),
IF($N392&lt;=1,
IF($N392&gt;0,1/$N392,0),
IF(EL$44=1,0,VDB(1,0,$N392,INT(EL$44-1-1),MIN($N392,INT(EL$44-1-1)+1),$DC392,IF($DD392="No",1,0))/
IF(DS392&gt;=INT($N392),$N392-INT($N392),1)))*
IF(EL$44=1,0,
IF(INT(DT392)=INT(DS392),DT392-DS392,INT(DT392)-DS392))+
IF($N392&lt;=1,
IF($N392&gt;0,1/$N392,0),VDB(1,0,$N392,INT(EL$44-1),MIN($N392,INT(EL$44-1)+1),$DC392,IF($DD392="No",1,0))/
IF(DT392&gt;INT($N392),$N392-INT($N392),1))*
IF(EL$44=1,DT392,
IF(INT(DT392)=INT(DS392),0,DT392-INT(DT392)))))</f>
        <v>0</v>
      </c>
      <c r="EM392" s="836">
        <f>+IF(DU392=DT392,0,
IF(AND(EM$44&gt;1,DU392=$N392),1-SUM($EE392:EL392),
IF($N392&lt;=1,
IF($N392&gt;0,1/$N392,0),
IF(EM$44=1,0,VDB(1,0,$N392,INT(EM$44-1-1),MIN($N392,INT(EM$44-1-1)+1),$DC392,IF($DD392="No",1,0))/
IF(DT392&gt;=INT($N392),$N392-INT($N392),1)))*
IF(EM$44=1,0,
IF(INT(DU392)=INT(DT392),DU392-DT392,INT(DU392)-DT392))+
IF($N392&lt;=1,
IF($N392&gt;0,1/$N392,0),VDB(1,0,$N392,INT(EM$44-1),MIN($N392,INT(EM$44-1)+1),$DC392,IF($DD392="No",1,0))/
IF(DU392&gt;INT($N392),$N392-INT($N392),1))*
IF(EM$44=1,DU392,
IF(INT(DU392)=INT(DT392),0,DU392-INT(DU392)))))</f>
        <v>0</v>
      </c>
      <c r="EN392" s="833"/>
      <c r="EO392" s="834">
        <f>+IF(OR(DW392=DV392,EO$44=1),0,
IF(AND(EO$44&gt;1,DW392=$N392),1-SUM($EN392:EN392),
IF($N392&lt;=1,
IF($N392&gt;0,1/$N392,0),
IF(EO$44=2,0,VDB(1,0,$N392,INT(EO$44-2-1),MIN($N392,INT(EO$44-2-1)+1),$DC392,IF($DD392="No",1,0))/
IF(DV392&gt;=INT($N392),$N392-INT($N392),1)))*
IF(EO$44=2,0,
IF(INT(DW392)=INT(DV392),DW392-DV392,INT(DW392)-DV392))+
IF($N392&lt;=1,
IF($N392&gt;0,1/$N392,0),VDB(1,0,$N392,INT(EO$44-2),MIN($N392,INT(EO$44-2)+1),$DC392,IF($DD392="No",1,0))/
IF(DW392&gt;INT($N392),$N392-INT($N392),1))*
IF(EO$44=2,DW392,
IF(INT(DW392)=INT(DV392),0,DW392-INT(DW392)))))</f>
        <v>0</v>
      </c>
      <c r="EP392" s="835">
        <f>+IF(OR(DX392=DW392,EP$44=1),0,
IF(AND(EP$44&gt;1,DX392=$N392),1-SUM($EN392:EO392),
IF($N392&lt;=1,
IF($N392&gt;0,1/$N392,0),
IF(EP$44=2,0,VDB(1,0,$N392,INT(EP$44-2-1),MIN($N392,INT(EP$44-2-1)+1),$DC392,IF($DD392="No",1,0))/
IF(DW392&gt;=INT($N392),$N392-INT($N392),1)))*
IF(EP$44=2,0,
IF(INT(DX392)=INT(DW392),DX392-DW392,INT(DX392)-DW392))+
IF($N392&lt;=1,
IF($N392&gt;0,1/$N392,0),VDB(1,0,$N392,INT(EP$44-2),MIN($N392,INT(EP$44-2)+1),$DC392,IF($DD392="No",1,0))/
IF(DX392&gt;INT($N392),$N392-INT($N392),1))*
IF(EP$44=2,DX392,
IF(INT(DX392)=INT(DW392),0,DX392-INT(DX392)))))</f>
        <v>0</v>
      </c>
      <c r="EQ392" s="836">
        <f>+IF(OR(DY392=DX392,EQ$44=1),0,
IF(AND(EQ$44&gt;1,DY392=$N392),1-SUM($EN392:EP392),
IF($N392&lt;=1,
IF($N392&gt;0,1/$N392,0),
IF(EQ$44=2,0,VDB(1,0,$N392,INT(EQ$44-2-1),MIN($N392,INT(EQ$44-2-1)+1),$DC392,IF($DD392="No",1,0))/
IF(DX392&gt;=INT($N392),$N392-INT($N392),1)))*
IF(EQ$44=2,0,
IF(INT(DY392)=INT(DX392),DY392-DX392,INT(DY392)-DX392))+
IF($N392&lt;=1,
IF($N392&gt;0,1/$N392,0),VDB(1,0,$N392,INT(EQ$44-2),MIN($N392,INT(EQ$44-2)+1),$DC392,IF($DD392="No",1,0))/
IF(DY392&gt;INT($N392),$N392-INT($N392),1))*
IF(EQ$44=2,DY392,
IF(INT(DY392)=INT(DX392),0,DY392-INT(DY392)))))</f>
        <v>0</v>
      </c>
      <c r="ER392" s="834">
        <f>+IF(OR(DZ392=DY392,ER$44=1),0,
IF(AND(ER$44&gt;1,DZ392=$N392),1-SUM($EN392:EQ392),
IF($N392&lt;=1,
IF($N392&gt;0,1/$N392,0),
IF(ER$44=2,0,VDB(1,0,$N392,INT(ER$44-2-1),MIN($N392,INT(ER$44-2-1)+1),$DC392,IF($DD392="No",1,0))/
IF(DY392&gt;=INT($N392),$N392-INT($N392),1)))*
IF(ER$44=2,0,
IF(INT(DZ392)=INT(DY392),DZ392-DY392,INT(DZ392)-DY392))+
IF($N392&lt;=1,
IF($N392&gt;0,1/$N392,0),VDB(1,0,$N392,INT(ER$44-2),MIN($N392,INT(ER$44-2)+1),$DC392,IF($DD392="No",1,0))/
IF(DZ392&gt;INT($N392),$N392-INT($N392),1))*
IF(ER$44=2,DZ392,
IF(INT(DZ392)=INT(DY392),0,DZ392-INT(DZ392)))))</f>
        <v>0</v>
      </c>
      <c r="ES392" s="835">
        <f>+IF(OR(EA392=DZ392,ES$44=1),0,
IF(AND(ES$44&gt;1,EA392=$N392),1-SUM($EN392:ER392),
IF($N392&lt;=1,
IF($N392&gt;0,1/$N392,0),
IF(ES$44=2,0,VDB(1,0,$N392,INT(ES$44-2-1),MIN($N392,INT(ES$44-2-1)+1),$DC392,IF($DD392="No",1,0))/
IF(DZ392&gt;=INT($N392),$N392-INT($N392),1)))*
IF(ES$44=2,0,
IF(INT(EA392)=INT(DZ392),EA392-DZ392,INT(EA392)-DZ392))+
IF($N392&lt;=1,
IF($N392&gt;0,1/$N392,0),VDB(1,0,$N392,INT(ES$44-2),MIN($N392,INT(ES$44-2)+1),$DC392,IF($DD392="No",1,0))/
IF(EA392&gt;INT($N392),$N392-INT($N392),1))*
IF(ES$44=2,EA392,
IF(INT(EA392)=INT(DZ392),0,EA392-INT(EA392)))))</f>
        <v>0</v>
      </c>
      <c r="ET392" s="835">
        <f>+IF(OR(EB392=EA392,ET$44=1),0,
IF(AND(ET$44&gt;1,EB392=$N392),1-SUM($EN392:ES392),
IF($N392&lt;=1,
IF($N392&gt;0,1/$N392,0),
IF(ET$44=2,0,VDB(1,0,$N392,INT(ET$44-2-1),MIN($N392,INT(ET$44-2-1)+1),$DC392,IF($DD392="No",1,0))/
IF(EA392&gt;=INT($N392),$N392-INT($N392),1)))*
IF(ET$44=2,0,
IF(INT(EB392)=INT(EA392),EB392-EA392,INT(EB392)-EA392))+
IF($N392&lt;=1,
IF($N392&gt;0,1/$N392,0),VDB(1,0,$N392,INT(ET$44-2),MIN($N392,INT(ET$44-2)+1),$DC392,IF($DD392="No",1,0))/
IF(EB392&gt;INT($N392),$N392-INT($N392),1))*
IF(ET$44=2,EB392,
IF(INT(EB392)=INT(EA392),0,EB392-INT(EB392)))))</f>
        <v>0</v>
      </c>
      <c r="EU392" s="835">
        <f>+IF(OR(EC392=EB392,EU$44=1),0,
IF(AND(EU$44&gt;1,EC392=$N392),1-SUM($EN392:ET392),
IF($N392&lt;=1,
IF($N392&gt;0,1/$N392,0),
IF(EU$44=2,0,VDB(1,0,$N392,INT(EU$44-2-1),MIN($N392,INT(EU$44-2-1)+1),$DC392,IF($DD392="No",1,0))/
IF(EB392&gt;=INT($N392),$N392-INT($N392),1)))*
IF(EU$44=2,0,
IF(INT(EC392)=INT(EB392),EC392-EB392,INT(EC392)-EB392))+
IF($N392&lt;=1,
IF($N392&gt;0,1/$N392,0),VDB(1,0,$N392,INT(EU$44-2),MIN($N392,INT(EU$44-2)+1),$DC392,IF($DD392="No",1,0))/
IF(EC392&gt;INT($N392),$N392-INT($N392),1))*
IF(EU$44=2,EC392,
IF(INT(EC392)=INT(EB392),0,EC392-INT(EC392)))))</f>
        <v>0</v>
      </c>
      <c r="EV392" s="836">
        <f>+IF(OR(ED392=EC392,EV$44=1),0,
IF(AND(EV$44&gt;1,ED392=$N392),1-SUM($EN392:EU392),
IF($N392&lt;=1,
IF($N392&gt;0,1/$N392,0),
IF(EV$44=2,0,VDB(1,0,$N392,INT(EV$44-2-1),MIN($N392,INT(EV$44-2-1)+1),$DC392,IF($DD392="No",1,0))/
IF(EC392&gt;=INT($N392),$N392-INT($N392),1)))*
IF(EV$44=2,0,
IF(INT(ED392)=INT(EC392),ED392-EC392,INT(ED392)-EC392))+
IF($N392&lt;=1,
IF($N392&gt;0,1/$N392,0),VDB(1,0,$N392,INT(EV$44-2),MIN($N392,INT(EV$44-2)+1),$DC392,IF($DD392="No",1,0))/
IF(ED392&gt;INT($N392),$N392-INT($N392),1))*
IF(EV$44=2,ED392,
IF(INT(ED392)=INT(EC392),0,ED392-INT(ED392)))))</f>
        <v>0</v>
      </c>
      <c r="EW392" s="833"/>
      <c r="EX392" s="834">
        <f t="shared" ca="1" si="675"/>
        <v>0</v>
      </c>
      <c r="EY392" s="835">
        <f t="shared" ca="1" si="675"/>
        <v>0</v>
      </c>
      <c r="EZ392" s="836">
        <f t="shared" ca="1" si="675"/>
        <v>0</v>
      </c>
      <c r="FA392" s="834">
        <f t="shared" ca="1" si="675"/>
        <v>0</v>
      </c>
      <c r="FB392" s="835">
        <f t="shared" ca="1" si="675"/>
        <v>0</v>
      </c>
      <c r="FC392" s="835">
        <f t="shared" ca="1" si="675"/>
        <v>0</v>
      </c>
      <c r="FD392" s="835">
        <f t="shared" ca="1" si="675"/>
        <v>0</v>
      </c>
      <c r="FE392" s="836">
        <f t="shared" ca="1" si="675"/>
        <v>0</v>
      </c>
      <c r="FG392" s="386">
        <f t="shared" ca="1" si="659"/>
        <v>0</v>
      </c>
      <c r="FH392" s="387">
        <f t="shared" ca="1" si="660"/>
        <v>0</v>
      </c>
      <c r="FI392" s="388">
        <f t="shared" ca="1" si="661"/>
        <v>0</v>
      </c>
      <c r="FJ392" s="386">
        <f t="shared" ca="1" si="662"/>
        <v>0</v>
      </c>
      <c r="FK392" s="387">
        <f t="shared" ca="1" si="663"/>
        <v>0</v>
      </c>
      <c r="FL392" s="387">
        <f t="shared" ca="1" si="664"/>
        <v>0</v>
      </c>
      <c r="FM392" s="387">
        <f t="shared" ca="1" si="665"/>
        <v>0</v>
      </c>
      <c r="FN392" s="388">
        <f t="shared" ca="1" si="666"/>
        <v>0</v>
      </c>
    </row>
    <row r="393" spans="2:174">
      <c r="B393" s="1410">
        <f t="shared" si="670"/>
        <v>347</v>
      </c>
      <c r="C393" s="400"/>
      <c r="D393" s="410"/>
      <c r="E393" s="402"/>
      <c r="F393" s="402"/>
      <c r="G393" s="400"/>
      <c r="H393" s="2088"/>
      <c r="I393" s="2089"/>
      <c r="J393" s="411"/>
      <c r="K393" s="403"/>
      <c r="L393" s="403"/>
      <c r="M393" s="403"/>
      <c r="N393" s="403"/>
      <c r="O393" s="347"/>
      <c r="P393" s="347"/>
      <c r="Q393" s="1021"/>
      <c r="R393" s="1022"/>
      <c r="S393" s="1022"/>
      <c r="T393" s="1022"/>
      <c r="U393" s="1023"/>
      <c r="V393" s="1021"/>
      <c r="W393" s="1022"/>
      <c r="X393" s="1022"/>
      <c r="Y393" s="1022"/>
      <c r="Z393" s="1023"/>
      <c r="AA393" s="1024"/>
      <c r="AB393" s="1021"/>
      <c r="AC393" s="1022"/>
      <c r="AD393" s="1022"/>
      <c r="AE393" s="1022"/>
      <c r="AF393" s="1023"/>
      <c r="AG393" s="1021"/>
      <c r="AH393" s="1022"/>
      <c r="AI393" s="1022"/>
      <c r="AJ393" s="1022"/>
      <c r="AK393" s="1023"/>
      <c r="AL393" s="1024"/>
      <c r="AM393" s="1021"/>
      <c r="AN393" s="1022"/>
      <c r="AO393" s="1022"/>
      <c r="AP393" s="1022"/>
      <c r="AQ393" s="1023"/>
      <c r="AR393" s="1021"/>
      <c r="AS393" s="1022"/>
      <c r="AT393" s="1022"/>
      <c r="AU393" s="1022"/>
      <c r="AV393" s="1023"/>
      <c r="AW393" s="1025"/>
      <c r="AX393" s="1282">
        <f t="shared" si="635"/>
        <v>0</v>
      </c>
      <c r="AY393" s="387">
        <f t="shared" si="636"/>
        <v>0</v>
      </c>
      <c r="AZ393" s="387">
        <f t="shared" si="637"/>
        <v>0</v>
      </c>
      <c r="BA393" s="387">
        <f t="shared" si="638"/>
        <v>0</v>
      </c>
      <c r="BB393" s="1283">
        <f t="shared" si="639"/>
        <v>0</v>
      </c>
      <c r="BC393" s="386">
        <f t="shared" si="640"/>
        <v>0</v>
      </c>
      <c r="BD393" s="387">
        <f t="shared" si="641"/>
        <v>0</v>
      </c>
      <c r="BE393" s="1277">
        <f t="shared" si="671"/>
        <v>0</v>
      </c>
      <c r="BF393" s="1277">
        <f t="shared" si="671"/>
        <v>0</v>
      </c>
      <c r="BG393" s="388">
        <f t="shared" si="671"/>
        <v>0</v>
      </c>
      <c r="BH393" s="1025"/>
      <c r="BI393" s="1282">
        <f t="shared" ca="1" si="643"/>
        <v>0</v>
      </c>
      <c r="BJ393" s="387">
        <f t="shared" ca="1" si="644"/>
        <v>0</v>
      </c>
      <c r="BK393" s="387">
        <f t="shared" ca="1" si="645"/>
        <v>0</v>
      </c>
      <c r="BL393" s="387">
        <f t="shared" ca="1" si="646"/>
        <v>0</v>
      </c>
      <c r="BM393" s="1283">
        <f t="shared" ca="1" si="647"/>
        <v>0</v>
      </c>
      <c r="BN393" s="386">
        <f t="shared" ca="1" si="672"/>
        <v>0</v>
      </c>
      <c r="BO393" s="387">
        <f t="shared" ca="1" si="672"/>
        <v>0</v>
      </c>
      <c r="BP393" s="1277">
        <f t="shared" ca="1" si="672"/>
        <v>0</v>
      </c>
      <c r="BQ393" s="1277">
        <f t="shared" ca="1" si="672"/>
        <v>0</v>
      </c>
      <c r="BR393" s="388">
        <f t="shared" ca="1" si="672"/>
        <v>0</v>
      </c>
      <c r="BS393" s="1025"/>
      <c r="BT393" s="1282">
        <f>+IF($K393="Ongoing",AX393,IF(RIGHT($K393,2)=RIGHT(BT$43,2),SUM($AX393:AX393),0)+IF(RIGHT(BT$43,2)&gt;RIGHT($K393,2),AX393,0))</f>
        <v>0</v>
      </c>
      <c r="BU393" s="387">
        <f>+IF($K393="Ongoing",AY393,IF(RIGHT($K393,2)=RIGHT(BU$43,2),SUM($AX393:AY393),0)+IF(RIGHT(BU$43,2)&gt;RIGHT($K393,2),AY393,0))</f>
        <v>0</v>
      </c>
      <c r="BV393" s="387">
        <f>+IF($K393="Ongoing",AZ393,IF(RIGHT($K393,2)=RIGHT(BV$43,2),SUM($AX393:AZ393),0)+IF(RIGHT(BV$43,2)&gt;RIGHT($K393,2),AZ393,0))</f>
        <v>0</v>
      </c>
      <c r="BW393" s="387">
        <f>+IF($K393="Ongoing",BA393,IF(RIGHT($K393,2)=RIGHT(BW$43,2),SUM($AX393:BA393),0)+IF(RIGHT(BW$43,2)&gt;RIGHT($K393,2),BA393,0))</f>
        <v>0</v>
      </c>
      <c r="BX393" s="1283">
        <f>+IF($K393="Ongoing",BB393,IF(RIGHT($K393,2)=RIGHT(BX$43,2),SUM($AX393:BB393),0)+IF(RIGHT(BX$43,2)&gt;RIGHT($K393,2),BB393,0))</f>
        <v>0</v>
      </c>
      <c r="BY393" s="386">
        <f>+IF($K393="Ongoing",BC393,IF(RIGHT($K393,2)=RIGHT(BY$43,2),SUM($AX393:BC393),0)+IF(RIGHT(BY$43,2)&gt;RIGHT($K393,2),BC393,0))</f>
        <v>0</v>
      </c>
      <c r="BZ393" s="387">
        <f>+IF($K393="Ongoing",BD393,IF(RIGHT($K393,2)=RIGHT(BZ$43,2),SUM($AX393:BD393),0)+IF(RIGHT(BZ$43,2)&gt;RIGHT($K393,2),BD393,0))</f>
        <v>0</v>
      </c>
      <c r="CA393" s="1277">
        <f>+IF($K393="Ongoing",BE393,IF(RIGHT($K393,2)=RIGHT(CA$43,2),SUM($AX393:BE393),0)+IF(RIGHT(CA$43,2)&gt;RIGHT($K393,2),BE393,0))</f>
        <v>0</v>
      </c>
      <c r="CB393" s="1277">
        <f>+IF($K393="Ongoing",BF393,IF(RIGHT($K393,2)=RIGHT(CB$43,2),SUM($AX393:BF393),0)+IF(RIGHT(CB$43,2)&gt;RIGHT($K393,2),BF393,0))</f>
        <v>0</v>
      </c>
      <c r="CC393" s="388">
        <f>+IF($K393="Ongoing",BG393,IF(RIGHT($K393,2)=RIGHT(CC$43,2),SUM($AX393:BG393),0)+IF(RIGHT(CC$43,2)&gt;RIGHT($K393,2),BG393,0))</f>
        <v>0</v>
      </c>
      <c r="CD393" s="1025"/>
      <c r="CE393" s="1282">
        <f>+Q393*KeyAssumptionsPriceControl_FO!AF$15</f>
        <v>0</v>
      </c>
      <c r="CF393" s="387">
        <f>+R393*KeyAssumptionsPriceControl_FO!AG$15</f>
        <v>0</v>
      </c>
      <c r="CG393" s="387">
        <f>+S393*KeyAssumptionsPriceControl_FO!AH$15</f>
        <v>0</v>
      </c>
      <c r="CH393" s="387">
        <f>+T393*KeyAssumptionsPriceControl_FO!AI$15</f>
        <v>0</v>
      </c>
      <c r="CI393" s="1283">
        <f>+U393*KeyAssumptionsPriceControl_FO!AJ$15</f>
        <v>0</v>
      </c>
      <c r="CJ393" s="386">
        <f>+V393*KeyAssumptionsPriceControl_FO!AK$15</f>
        <v>0</v>
      </c>
      <c r="CK393" s="387">
        <f>+W393*KeyAssumptionsPriceControl_FO!AL$15</f>
        <v>0</v>
      </c>
      <c r="CL393" s="1277">
        <f>+X393*KeyAssumptionsPriceControl_FO!AM$15</f>
        <v>0</v>
      </c>
      <c r="CM393" s="1277">
        <f>+Y393*KeyAssumptionsPriceControl_FO!AN$15</f>
        <v>0</v>
      </c>
      <c r="CN393" s="388">
        <f>+Z393*KeyAssumptionsPriceControl_FO!AO$15</f>
        <v>0</v>
      </c>
      <c r="CO393" s="1025"/>
      <c r="CP393" s="1282">
        <f t="shared" ca="1" si="649"/>
        <v>0</v>
      </c>
      <c r="CQ393" s="387">
        <f t="shared" ca="1" si="650"/>
        <v>0</v>
      </c>
      <c r="CR393" s="387">
        <f t="shared" ca="1" si="651"/>
        <v>0</v>
      </c>
      <c r="CS393" s="387">
        <f t="shared" ca="1" si="652"/>
        <v>0</v>
      </c>
      <c r="CT393" s="1283">
        <f t="shared" ca="1" si="653"/>
        <v>0</v>
      </c>
      <c r="CU393" s="386">
        <f t="shared" ca="1" si="654"/>
        <v>0</v>
      </c>
      <c r="CV393" s="387">
        <f t="shared" ca="1" si="655"/>
        <v>0</v>
      </c>
      <c r="CW393" s="1277">
        <f t="shared" ca="1" si="656"/>
        <v>0</v>
      </c>
      <c r="CX393" s="1277">
        <f t="shared" ca="1" si="657"/>
        <v>0</v>
      </c>
      <c r="CY393" s="388">
        <f t="shared" ca="1" si="658"/>
        <v>0</v>
      </c>
      <c r="CZ393" s="347"/>
      <c r="DA393" s="852"/>
      <c r="DB393" s="347"/>
      <c r="DC393" s="1012" t="s">
        <v>517</v>
      </c>
      <c r="DD393" s="841" t="s">
        <v>518</v>
      </c>
      <c r="DE393" s="386">
        <f>+IF($K393="ongoing",CE393,IF(RIGHT($K393,2)=RIGHT(DE$43,2),SUM($CD393:CE393),0)+IF(RIGHT(DE$43,2)&gt;RIGHT($K393,2),CE393,0))</f>
        <v>0</v>
      </c>
      <c r="DF393" s="387">
        <f>+IF($K393="ongoing",CF393,IF(RIGHT($K393,2)=RIGHT(DF$43,2),SUM($CD393:CF393),0)+IF(RIGHT(DF$43,2)&gt;RIGHT($K393,2),CF393,0))</f>
        <v>0</v>
      </c>
      <c r="DG393" s="388">
        <f>+IF($K393="ongoing",CG393,IF(RIGHT($K393,2)=RIGHT(DG$43,2),SUM($CD393:CG393),0)+IF(RIGHT(DG$43,2)&gt;RIGHT($K393,2),CG393,0))</f>
        <v>0</v>
      </c>
      <c r="DH393" s="386">
        <f>+IF($K393="ongoing",CH393,IF(RIGHT($K393,2)=RIGHT(DH$43,2),SUM($CD393:CH393),0)+IF(RIGHT(DH$43,2)&gt;RIGHT($K393,2),CH393,0))</f>
        <v>0</v>
      </c>
      <c r="DI393" s="387">
        <f>+IF($K393="ongoing",CI393,IF(RIGHT($K393,2)=RIGHT(DI$43,2),SUM($CD393:CI393),0)+IF(RIGHT(DI$43,2)&gt;RIGHT($K393,2),CI393,0))</f>
        <v>0</v>
      </c>
      <c r="DJ393" s="387">
        <f>+IF($K393="ongoing",CJ393,IF(RIGHT($K393,2)=RIGHT(DJ$43,2),SUM($CD393:CJ393),0)+IF(RIGHT(DJ$43,2)&gt;RIGHT($K393,2),CJ393,0))</f>
        <v>0</v>
      </c>
      <c r="DK393" s="387">
        <f>+IF($K393="ongoing",CK393,IF(RIGHT($K393,2)=RIGHT(DK$43,2),SUM($CD393:CK393),0)+IF(RIGHT(DK$43,2)&gt;RIGHT($K393,2),CK393,0))</f>
        <v>0</v>
      </c>
      <c r="DL393" s="388">
        <f>+IF($K393="ongoing",CN393,IF(RIGHT($K393,2)=RIGHT(DL$43,2),SUM($CD393:CN393),0)+IF(RIGHT(DL$43,2)&gt;RIGHT($K393,2),CN393,0))</f>
        <v>0</v>
      </c>
      <c r="DM393" s="841"/>
      <c r="DN393" s="386">
        <f t="shared" si="673"/>
        <v>0.5</v>
      </c>
      <c r="DO393" s="387">
        <f t="shared" si="673"/>
        <v>1</v>
      </c>
      <c r="DP393" s="388">
        <f t="shared" si="673"/>
        <v>1</v>
      </c>
      <c r="DQ393" s="386">
        <f t="shared" si="673"/>
        <v>1</v>
      </c>
      <c r="DR393" s="387">
        <f t="shared" si="673"/>
        <v>1</v>
      </c>
      <c r="DS393" s="387">
        <f t="shared" si="673"/>
        <v>1</v>
      </c>
      <c r="DT393" s="387">
        <f t="shared" si="673"/>
        <v>1</v>
      </c>
      <c r="DU393" s="388">
        <f t="shared" si="673"/>
        <v>1</v>
      </c>
      <c r="DW393" s="386">
        <f t="shared" si="674"/>
        <v>0</v>
      </c>
      <c r="DX393" s="387">
        <f t="shared" si="674"/>
        <v>0.5</v>
      </c>
      <c r="DY393" s="388">
        <f t="shared" si="674"/>
        <v>1</v>
      </c>
      <c r="DZ393" s="386">
        <f t="shared" si="674"/>
        <v>1</v>
      </c>
      <c r="EA393" s="387">
        <f t="shared" si="674"/>
        <v>1</v>
      </c>
      <c r="EB393" s="387">
        <f t="shared" si="674"/>
        <v>1</v>
      </c>
      <c r="EC393" s="387">
        <f t="shared" si="674"/>
        <v>1</v>
      </c>
      <c r="ED393" s="388">
        <f t="shared" si="674"/>
        <v>1</v>
      </c>
      <c r="EF393" s="834">
        <f>+IF(DN393=DM393,0,
IF(AND(EF$44&gt;1,DN393=$N393),1-SUM($EE393:EE393),
IF($N393&lt;=1,
IF($N393&gt;0,1/$N393,0),
IF(EF$44=1,0,VDB(1,0,$N393,INT(EF$44-1-1),MIN($N393,INT(EF$44-1-1)+1),$DC393,IF($DD393="No",1,0))/
IF(DM393&gt;=INT($N393),$N393-INT($N393),1)))*
IF(EF$44=1,0,
IF(INT(DN393)=INT(DM393),DN393-DM393,INT(DN393)-DM393))+
IF($N393&lt;=1,
IF($N393&gt;0,1/$N393,0),VDB(1,0,$N393,INT(EF$44-1),MIN($N393,INT(EF$44-1)+1),$DC393,IF($DD393="No",1,0))/
IF(DN393&gt;INT($N393),$N393-INT($N393),1))*
IF(EF$44=1,DN393,
IF(INT(DN393)=INT(DM393),0,DN393-INT(DN393)))))</f>
        <v>0</v>
      </c>
      <c r="EG393" s="835">
        <f>+IF(DO393=DN393,0,
IF(AND(EG$44&gt;1,DO393=$N393),1-SUM($EE393:EF393),
IF($N393&lt;=1,
IF($N393&gt;0,1/$N393,0),
IF(EG$44=1,0,VDB(1,0,$N393,INT(EG$44-1-1),MIN($N393,INT(EG$44-1-1)+1),$DC393,IF($DD393="No",1,0))/
IF(DN393&gt;=INT($N393),$N393-INT($N393),1)))*
IF(EG$44=1,0,
IF(INT(DO393)=INT(DN393),DO393-DN393,INT(DO393)-DN393))+
IF($N393&lt;=1,
IF($N393&gt;0,1/$N393,0),VDB(1,0,$N393,INT(EG$44-1),MIN($N393,INT(EG$44-1)+1),$DC393,IF($DD393="No",1,0))/
IF(DO393&gt;INT($N393),$N393-INT($N393),1))*
IF(EG$44=1,DO393,
IF(INT(DO393)=INT(DN393),0,DO393-INT(DO393)))))</f>
        <v>0</v>
      </c>
      <c r="EH393" s="836">
        <f>+IF(DP393=DO393,0,
IF(AND(EH$44&gt;1,DP393=$N393),1-SUM($EE393:EG393),
IF($N393&lt;=1,
IF($N393&gt;0,1/$N393,0),
IF(EH$44=1,0,VDB(1,0,$N393,INT(EH$44-1-1),MIN($N393,INT(EH$44-1-1)+1),$DC393,IF($DD393="No",1,0))/
IF(DO393&gt;=INT($N393),$N393-INT($N393),1)))*
IF(EH$44=1,0,
IF(INT(DP393)=INT(DO393),DP393-DO393,INT(DP393)-DO393))+
IF($N393&lt;=1,
IF($N393&gt;0,1/$N393,0),VDB(1,0,$N393,INT(EH$44-1),MIN($N393,INT(EH$44-1)+1),$DC393,IF($DD393="No",1,0))/
IF(DP393&gt;INT($N393),$N393-INT($N393),1))*
IF(EH$44=1,DP393,
IF(INT(DP393)=INT(DO393),0,DP393-INT(DP393)))))</f>
        <v>0</v>
      </c>
      <c r="EI393" s="834">
        <f>+IF(DQ393=DP393,0,
IF(AND(EI$44&gt;1,DQ393=$N393),1-SUM($EE393:EH393),
IF($N393&lt;=1,
IF($N393&gt;0,1/$N393,0),
IF(EI$44=1,0,VDB(1,0,$N393,INT(EI$44-1-1),MIN($N393,INT(EI$44-1-1)+1),$DC393,IF($DD393="No",1,0))/
IF(DP393&gt;=INT($N393),$N393-INT($N393),1)))*
IF(EI$44=1,0,
IF(INT(DQ393)=INT(DP393),DQ393-DP393,INT(DQ393)-DP393))+
IF($N393&lt;=1,
IF($N393&gt;0,1/$N393,0),VDB(1,0,$N393,INT(EI$44-1),MIN($N393,INT(EI$44-1)+1),$DC393,IF($DD393="No",1,0))/
IF(DQ393&gt;INT($N393),$N393-INT($N393),1))*
IF(EI$44=1,DQ393,
IF(INT(DQ393)=INT(DP393),0,DQ393-INT(DQ393)))))</f>
        <v>0</v>
      </c>
      <c r="EJ393" s="835">
        <f>+IF(DR393=DQ393,0,
IF(AND(EJ$44&gt;1,DR393=$N393),1-SUM($EE393:EI393),
IF($N393&lt;=1,
IF($N393&gt;0,1/$N393,0),
IF(EJ$44=1,0,VDB(1,0,$N393,INT(EJ$44-1-1),MIN($N393,INT(EJ$44-1-1)+1),$DC393,IF($DD393="No",1,0))/
IF(DQ393&gt;=INT($N393),$N393-INT($N393),1)))*
IF(EJ$44=1,0,
IF(INT(DR393)=INT(DQ393),DR393-DQ393,INT(DR393)-DQ393))+
IF($N393&lt;=1,
IF($N393&gt;0,1/$N393,0),VDB(1,0,$N393,INT(EJ$44-1),MIN($N393,INT(EJ$44-1)+1),$DC393,IF($DD393="No",1,0))/
IF(DR393&gt;INT($N393),$N393-INT($N393),1))*
IF(EJ$44=1,DR393,
IF(INT(DR393)=INT(DQ393),0,DR393-INT(DR393)))))</f>
        <v>0</v>
      </c>
      <c r="EK393" s="835">
        <f>+IF(DS393=DR393,0,
IF(AND(EK$44&gt;1,DS393=$N393),1-SUM($EE393:EJ393),
IF($N393&lt;=1,
IF($N393&gt;0,1/$N393,0),
IF(EK$44=1,0,VDB(1,0,$N393,INT(EK$44-1-1),MIN($N393,INT(EK$44-1-1)+1),$DC393,IF($DD393="No",1,0))/
IF(DR393&gt;=INT($N393),$N393-INT($N393),1)))*
IF(EK$44=1,0,
IF(INT(DS393)=INT(DR393),DS393-DR393,INT(DS393)-DR393))+
IF($N393&lt;=1,
IF($N393&gt;0,1/$N393,0),VDB(1,0,$N393,INT(EK$44-1),MIN($N393,INT(EK$44-1)+1),$DC393,IF($DD393="No",1,0))/
IF(DS393&gt;INT($N393),$N393-INT($N393),1))*
IF(EK$44=1,DS393,
IF(INT(DS393)=INT(DR393),0,DS393-INT(DS393)))))</f>
        <v>0</v>
      </c>
      <c r="EL393" s="835">
        <f>+IF(DT393=DS393,0,
IF(AND(EL$44&gt;1,DT393=$N393),1-SUM($EE393:EK393),
IF($N393&lt;=1,
IF($N393&gt;0,1/$N393,0),
IF(EL$44=1,0,VDB(1,0,$N393,INT(EL$44-1-1),MIN($N393,INT(EL$44-1-1)+1),$DC393,IF($DD393="No",1,0))/
IF(DS393&gt;=INT($N393),$N393-INT($N393),1)))*
IF(EL$44=1,0,
IF(INT(DT393)=INT(DS393),DT393-DS393,INT(DT393)-DS393))+
IF($N393&lt;=1,
IF($N393&gt;0,1/$N393,0),VDB(1,0,$N393,INT(EL$44-1),MIN($N393,INT(EL$44-1)+1),$DC393,IF($DD393="No",1,0))/
IF(DT393&gt;INT($N393),$N393-INT($N393),1))*
IF(EL$44=1,DT393,
IF(INT(DT393)=INT(DS393),0,DT393-INT(DT393)))))</f>
        <v>0</v>
      </c>
      <c r="EM393" s="836">
        <f>+IF(DU393=DT393,0,
IF(AND(EM$44&gt;1,DU393=$N393),1-SUM($EE393:EL393),
IF($N393&lt;=1,
IF($N393&gt;0,1/$N393,0),
IF(EM$44=1,0,VDB(1,0,$N393,INT(EM$44-1-1),MIN($N393,INT(EM$44-1-1)+1),$DC393,IF($DD393="No",1,0))/
IF(DT393&gt;=INT($N393),$N393-INT($N393),1)))*
IF(EM$44=1,0,
IF(INT(DU393)=INT(DT393),DU393-DT393,INT(DU393)-DT393))+
IF($N393&lt;=1,
IF($N393&gt;0,1/$N393,0),VDB(1,0,$N393,INT(EM$44-1),MIN($N393,INT(EM$44-1)+1),$DC393,IF($DD393="No",1,0))/
IF(DU393&gt;INT($N393),$N393-INT($N393),1))*
IF(EM$44=1,DU393,
IF(INT(DU393)=INT(DT393),0,DU393-INT(DU393)))))</f>
        <v>0</v>
      </c>
      <c r="EN393" s="833"/>
      <c r="EO393" s="834">
        <f>+IF(OR(DW393=DV393,EO$44=1),0,
IF(AND(EO$44&gt;1,DW393=$N393),1-SUM($EN393:EN393),
IF($N393&lt;=1,
IF($N393&gt;0,1/$N393,0),
IF(EO$44=2,0,VDB(1,0,$N393,INT(EO$44-2-1),MIN($N393,INT(EO$44-2-1)+1),$DC393,IF($DD393="No",1,0))/
IF(DV393&gt;=INT($N393),$N393-INT($N393),1)))*
IF(EO$44=2,0,
IF(INT(DW393)=INT(DV393),DW393-DV393,INT(DW393)-DV393))+
IF($N393&lt;=1,
IF($N393&gt;0,1/$N393,0),VDB(1,0,$N393,INT(EO$44-2),MIN($N393,INT(EO$44-2)+1),$DC393,IF($DD393="No",1,0))/
IF(DW393&gt;INT($N393),$N393-INT($N393),1))*
IF(EO$44=2,DW393,
IF(INT(DW393)=INT(DV393),0,DW393-INT(DW393)))))</f>
        <v>0</v>
      </c>
      <c r="EP393" s="835">
        <f>+IF(OR(DX393=DW393,EP$44=1),0,
IF(AND(EP$44&gt;1,DX393=$N393),1-SUM($EN393:EO393),
IF($N393&lt;=1,
IF($N393&gt;0,1/$N393,0),
IF(EP$44=2,0,VDB(1,0,$N393,INT(EP$44-2-1),MIN($N393,INT(EP$44-2-1)+1),$DC393,IF($DD393="No",1,0))/
IF(DW393&gt;=INT($N393),$N393-INT($N393),1)))*
IF(EP$44=2,0,
IF(INT(DX393)=INT(DW393),DX393-DW393,INT(DX393)-DW393))+
IF($N393&lt;=1,
IF($N393&gt;0,1/$N393,0),VDB(1,0,$N393,INT(EP$44-2),MIN($N393,INT(EP$44-2)+1),$DC393,IF($DD393="No",1,0))/
IF(DX393&gt;INT($N393),$N393-INT($N393),1))*
IF(EP$44=2,DX393,
IF(INT(DX393)=INT(DW393),0,DX393-INT(DX393)))))</f>
        <v>0</v>
      </c>
      <c r="EQ393" s="836">
        <f>+IF(OR(DY393=DX393,EQ$44=1),0,
IF(AND(EQ$44&gt;1,DY393=$N393),1-SUM($EN393:EP393),
IF($N393&lt;=1,
IF($N393&gt;0,1/$N393,0),
IF(EQ$44=2,0,VDB(1,0,$N393,INT(EQ$44-2-1),MIN($N393,INT(EQ$44-2-1)+1),$DC393,IF($DD393="No",1,0))/
IF(DX393&gt;=INT($N393),$N393-INT($N393),1)))*
IF(EQ$44=2,0,
IF(INT(DY393)=INT(DX393),DY393-DX393,INT(DY393)-DX393))+
IF($N393&lt;=1,
IF($N393&gt;0,1/$N393,0),VDB(1,0,$N393,INT(EQ$44-2),MIN($N393,INT(EQ$44-2)+1),$DC393,IF($DD393="No",1,0))/
IF(DY393&gt;INT($N393),$N393-INT($N393),1))*
IF(EQ$44=2,DY393,
IF(INT(DY393)=INT(DX393),0,DY393-INT(DY393)))))</f>
        <v>0</v>
      </c>
      <c r="ER393" s="834">
        <f>+IF(OR(DZ393=DY393,ER$44=1),0,
IF(AND(ER$44&gt;1,DZ393=$N393),1-SUM($EN393:EQ393),
IF($N393&lt;=1,
IF($N393&gt;0,1/$N393,0),
IF(ER$44=2,0,VDB(1,0,$N393,INT(ER$44-2-1),MIN($N393,INT(ER$44-2-1)+1),$DC393,IF($DD393="No",1,0))/
IF(DY393&gt;=INT($N393),$N393-INT($N393),1)))*
IF(ER$44=2,0,
IF(INT(DZ393)=INT(DY393),DZ393-DY393,INT(DZ393)-DY393))+
IF($N393&lt;=1,
IF($N393&gt;0,1/$N393,0),VDB(1,0,$N393,INT(ER$44-2),MIN($N393,INT(ER$44-2)+1),$DC393,IF($DD393="No",1,0))/
IF(DZ393&gt;INT($N393),$N393-INT($N393),1))*
IF(ER$44=2,DZ393,
IF(INT(DZ393)=INT(DY393),0,DZ393-INT(DZ393)))))</f>
        <v>0</v>
      </c>
      <c r="ES393" s="835">
        <f>+IF(OR(EA393=DZ393,ES$44=1),0,
IF(AND(ES$44&gt;1,EA393=$N393),1-SUM($EN393:ER393),
IF($N393&lt;=1,
IF($N393&gt;0,1/$N393,0),
IF(ES$44=2,0,VDB(1,0,$N393,INT(ES$44-2-1),MIN($N393,INT(ES$44-2-1)+1),$DC393,IF($DD393="No",1,0))/
IF(DZ393&gt;=INT($N393),$N393-INT($N393),1)))*
IF(ES$44=2,0,
IF(INT(EA393)=INT(DZ393),EA393-DZ393,INT(EA393)-DZ393))+
IF($N393&lt;=1,
IF($N393&gt;0,1/$N393,0),VDB(1,0,$N393,INT(ES$44-2),MIN($N393,INT(ES$44-2)+1),$DC393,IF($DD393="No",1,0))/
IF(EA393&gt;INT($N393),$N393-INT($N393),1))*
IF(ES$44=2,EA393,
IF(INT(EA393)=INT(DZ393),0,EA393-INT(EA393)))))</f>
        <v>0</v>
      </c>
      <c r="ET393" s="835">
        <f>+IF(OR(EB393=EA393,ET$44=1),0,
IF(AND(ET$44&gt;1,EB393=$N393),1-SUM($EN393:ES393),
IF($N393&lt;=1,
IF($N393&gt;0,1/$N393,0),
IF(ET$44=2,0,VDB(1,0,$N393,INT(ET$44-2-1),MIN($N393,INT(ET$44-2-1)+1),$DC393,IF($DD393="No",1,0))/
IF(EA393&gt;=INT($N393),$N393-INT($N393),1)))*
IF(ET$44=2,0,
IF(INT(EB393)=INT(EA393),EB393-EA393,INT(EB393)-EA393))+
IF($N393&lt;=1,
IF($N393&gt;0,1/$N393,0),VDB(1,0,$N393,INT(ET$44-2),MIN($N393,INT(ET$44-2)+1),$DC393,IF($DD393="No",1,0))/
IF(EB393&gt;INT($N393),$N393-INT($N393),1))*
IF(ET$44=2,EB393,
IF(INT(EB393)=INT(EA393),0,EB393-INT(EB393)))))</f>
        <v>0</v>
      </c>
      <c r="EU393" s="835">
        <f>+IF(OR(EC393=EB393,EU$44=1),0,
IF(AND(EU$44&gt;1,EC393=$N393),1-SUM($EN393:ET393),
IF($N393&lt;=1,
IF($N393&gt;0,1/$N393,0),
IF(EU$44=2,0,VDB(1,0,$N393,INT(EU$44-2-1),MIN($N393,INT(EU$44-2-1)+1),$DC393,IF($DD393="No",1,0))/
IF(EB393&gt;=INT($N393),$N393-INT($N393),1)))*
IF(EU$44=2,0,
IF(INT(EC393)=INT(EB393),EC393-EB393,INT(EC393)-EB393))+
IF($N393&lt;=1,
IF($N393&gt;0,1/$N393,0),VDB(1,0,$N393,INT(EU$44-2),MIN($N393,INT(EU$44-2)+1),$DC393,IF($DD393="No",1,0))/
IF(EC393&gt;INT($N393),$N393-INT($N393),1))*
IF(EU$44=2,EC393,
IF(INT(EC393)=INT(EB393),0,EC393-INT(EC393)))))</f>
        <v>0</v>
      </c>
      <c r="EV393" s="836">
        <f>+IF(OR(ED393=EC393,EV$44=1),0,
IF(AND(EV$44&gt;1,ED393=$N393),1-SUM($EN393:EU393),
IF($N393&lt;=1,
IF($N393&gt;0,1/$N393,0),
IF(EV$44=2,0,VDB(1,0,$N393,INT(EV$44-2-1),MIN($N393,INT(EV$44-2-1)+1),$DC393,IF($DD393="No",1,0))/
IF(EC393&gt;=INT($N393),$N393-INT($N393),1)))*
IF(EV$44=2,0,
IF(INT(ED393)=INT(EC393),ED393-EC393,INT(ED393)-EC393))+
IF($N393&lt;=1,
IF($N393&gt;0,1/$N393,0),VDB(1,0,$N393,INT(EV$44-2),MIN($N393,INT(EV$44-2)+1),$DC393,IF($DD393="No",1,0))/
IF(ED393&gt;INT($N393),$N393-INT($N393),1))*
IF(EV$44=2,ED393,
IF(INT(ED393)=INT(EC393),0,ED393-INT(ED393)))))</f>
        <v>0</v>
      </c>
      <c r="EW393" s="833"/>
      <c r="EX393" s="834">
        <f t="shared" ca="1" si="675"/>
        <v>0</v>
      </c>
      <c r="EY393" s="835">
        <f t="shared" ca="1" si="675"/>
        <v>0</v>
      </c>
      <c r="EZ393" s="836">
        <f t="shared" ca="1" si="675"/>
        <v>0</v>
      </c>
      <c r="FA393" s="834">
        <f t="shared" ca="1" si="675"/>
        <v>0</v>
      </c>
      <c r="FB393" s="835">
        <f t="shared" ca="1" si="675"/>
        <v>0</v>
      </c>
      <c r="FC393" s="835">
        <f t="shared" ca="1" si="675"/>
        <v>0</v>
      </c>
      <c r="FD393" s="835">
        <f t="shared" ca="1" si="675"/>
        <v>0</v>
      </c>
      <c r="FE393" s="836">
        <f t="shared" ca="1" si="675"/>
        <v>0</v>
      </c>
      <c r="FG393" s="386">
        <f t="shared" ca="1" si="659"/>
        <v>0</v>
      </c>
      <c r="FH393" s="387">
        <f t="shared" ca="1" si="660"/>
        <v>0</v>
      </c>
      <c r="FI393" s="388">
        <f t="shared" ca="1" si="661"/>
        <v>0</v>
      </c>
      <c r="FJ393" s="386">
        <f t="shared" ca="1" si="662"/>
        <v>0</v>
      </c>
      <c r="FK393" s="387">
        <f t="shared" ca="1" si="663"/>
        <v>0</v>
      </c>
      <c r="FL393" s="387">
        <f t="shared" ca="1" si="664"/>
        <v>0</v>
      </c>
      <c r="FM393" s="387">
        <f t="shared" ca="1" si="665"/>
        <v>0</v>
      </c>
      <c r="FN393" s="388">
        <f t="shared" ca="1" si="666"/>
        <v>0</v>
      </c>
    </row>
    <row r="394" spans="2:174">
      <c r="B394" s="1410">
        <f t="shared" si="670"/>
        <v>348</v>
      </c>
      <c r="C394" s="400"/>
      <c r="D394" s="410"/>
      <c r="E394" s="402"/>
      <c r="F394" s="402"/>
      <c r="G394" s="400"/>
      <c r="H394" s="2088"/>
      <c r="I394" s="2089"/>
      <c r="J394" s="411"/>
      <c r="K394" s="403"/>
      <c r="L394" s="403"/>
      <c r="M394" s="403"/>
      <c r="N394" s="403"/>
      <c r="O394" s="347"/>
      <c r="P394" s="347"/>
      <c r="Q394" s="1021"/>
      <c r="R394" s="1022"/>
      <c r="S394" s="1022"/>
      <c r="T394" s="1022"/>
      <c r="U394" s="1023"/>
      <c r="V394" s="1021"/>
      <c r="W394" s="1022"/>
      <c r="X394" s="1022"/>
      <c r="Y394" s="1022"/>
      <c r="Z394" s="1023"/>
      <c r="AA394" s="1024"/>
      <c r="AB394" s="1021"/>
      <c r="AC394" s="1022"/>
      <c r="AD394" s="1022"/>
      <c r="AE394" s="1022"/>
      <c r="AF394" s="1023"/>
      <c r="AG394" s="1021"/>
      <c r="AH394" s="1022"/>
      <c r="AI394" s="1022"/>
      <c r="AJ394" s="1022"/>
      <c r="AK394" s="1023"/>
      <c r="AL394" s="1024"/>
      <c r="AM394" s="1021"/>
      <c r="AN394" s="1022"/>
      <c r="AO394" s="1022"/>
      <c r="AP394" s="1022"/>
      <c r="AQ394" s="1023"/>
      <c r="AR394" s="1021"/>
      <c r="AS394" s="1022"/>
      <c r="AT394" s="1022"/>
      <c r="AU394" s="1022"/>
      <c r="AV394" s="1023"/>
      <c r="AW394" s="1025"/>
      <c r="AX394" s="1282">
        <f t="shared" si="635"/>
        <v>0</v>
      </c>
      <c r="AY394" s="387">
        <f t="shared" si="636"/>
        <v>0</v>
      </c>
      <c r="AZ394" s="387">
        <f t="shared" si="637"/>
        <v>0</v>
      </c>
      <c r="BA394" s="387">
        <f t="shared" si="638"/>
        <v>0</v>
      </c>
      <c r="BB394" s="1283">
        <f t="shared" si="639"/>
        <v>0</v>
      </c>
      <c r="BC394" s="386">
        <f t="shared" si="640"/>
        <v>0</v>
      </c>
      <c r="BD394" s="387">
        <f t="shared" si="641"/>
        <v>0</v>
      </c>
      <c r="BE394" s="1277">
        <f t="shared" si="671"/>
        <v>0</v>
      </c>
      <c r="BF394" s="1277">
        <f t="shared" si="671"/>
        <v>0</v>
      </c>
      <c r="BG394" s="388">
        <f t="shared" si="671"/>
        <v>0</v>
      </c>
      <c r="BH394" s="1025"/>
      <c r="BI394" s="1282">
        <f t="shared" ca="1" si="643"/>
        <v>0</v>
      </c>
      <c r="BJ394" s="387">
        <f t="shared" ca="1" si="644"/>
        <v>0</v>
      </c>
      <c r="BK394" s="387">
        <f t="shared" ca="1" si="645"/>
        <v>0</v>
      </c>
      <c r="BL394" s="387">
        <f t="shared" ca="1" si="646"/>
        <v>0</v>
      </c>
      <c r="BM394" s="1283">
        <f t="shared" ca="1" si="647"/>
        <v>0</v>
      </c>
      <c r="BN394" s="386">
        <f t="shared" ca="1" si="672"/>
        <v>0</v>
      </c>
      <c r="BO394" s="387">
        <f t="shared" ca="1" si="672"/>
        <v>0</v>
      </c>
      <c r="BP394" s="1277">
        <f t="shared" ca="1" si="672"/>
        <v>0</v>
      </c>
      <c r="BQ394" s="1277">
        <f t="shared" ca="1" si="672"/>
        <v>0</v>
      </c>
      <c r="BR394" s="388">
        <f t="shared" ca="1" si="672"/>
        <v>0</v>
      </c>
      <c r="BS394" s="1025"/>
      <c r="BT394" s="1282">
        <f>+IF($K394="Ongoing",AX394,IF(RIGHT($K394,2)=RIGHT(BT$43,2),SUM($AX394:AX394),0)+IF(RIGHT(BT$43,2)&gt;RIGHT($K394,2),AX394,0))</f>
        <v>0</v>
      </c>
      <c r="BU394" s="387">
        <f>+IF($K394="Ongoing",AY394,IF(RIGHT($K394,2)=RIGHT(BU$43,2),SUM($AX394:AY394),0)+IF(RIGHT(BU$43,2)&gt;RIGHT($K394,2),AY394,0))</f>
        <v>0</v>
      </c>
      <c r="BV394" s="387">
        <f>+IF($K394="Ongoing",AZ394,IF(RIGHT($K394,2)=RIGHT(BV$43,2),SUM($AX394:AZ394),0)+IF(RIGHT(BV$43,2)&gt;RIGHT($K394,2),AZ394,0))</f>
        <v>0</v>
      </c>
      <c r="BW394" s="387">
        <f>+IF($K394="Ongoing",BA394,IF(RIGHT($K394,2)=RIGHT(BW$43,2),SUM($AX394:BA394),0)+IF(RIGHT(BW$43,2)&gt;RIGHT($K394,2),BA394,0))</f>
        <v>0</v>
      </c>
      <c r="BX394" s="1283">
        <f>+IF($K394="Ongoing",BB394,IF(RIGHT($K394,2)=RIGHT(BX$43,2),SUM($AX394:BB394),0)+IF(RIGHT(BX$43,2)&gt;RIGHT($K394,2),BB394,0))</f>
        <v>0</v>
      </c>
      <c r="BY394" s="386">
        <f>+IF($K394="Ongoing",BC394,IF(RIGHT($K394,2)=RIGHT(BY$43,2),SUM($AX394:BC394),0)+IF(RIGHT(BY$43,2)&gt;RIGHT($K394,2),BC394,0))</f>
        <v>0</v>
      </c>
      <c r="BZ394" s="387">
        <f>+IF($K394="Ongoing",BD394,IF(RIGHT($K394,2)=RIGHT(BZ$43,2),SUM($AX394:BD394),0)+IF(RIGHT(BZ$43,2)&gt;RIGHT($K394,2),BD394,0))</f>
        <v>0</v>
      </c>
      <c r="CA394" s="1277">
        <f>+IF($K394="Ongoing",BE394,IF(RIGHT($K394,2)=RIGHT(CA$43,2),SUM($AX394:BE394),0)+IF(RIGHT(CA$43,2)&gt;RIGHT($K394,2),BE394,0))</f>
        <v>0</v>
      </c>
      <c r="CB394" s="1277">
        <f>+IF($K394="Ongoing",BF394,IF(RIGHT($K394,2)=RIGHT(CB$43,2),SUM($AX394:BF394),0)+IF(RIGHT(CB$43,2)&gt;RIGHT($K394,2),BF394,0))</f>
        <v>0</v>
      </c>
      <c r="CC394" s="388">
        <f>+IF($K394="Ongoing",BG394,IF(RIGHT($K394,2)=RIGHT(CC$43,2),SUM($AX394:BG394),0)+IF(RIGHT(CC$43,2)&gt;RIGHT($K394,2),BG394,0))</f>
        <v>0</v>
      </c>
      <c r="CD394" s="1025"/>
      <c r="CE394" s="1282">
        <f>+Q394*KeyAssumptionsPriceControl_FO!AF$15</f>
        <v>0</v>
      </c>
      <c r="CF394" s="387">
        <f>+R394*KeyAssumptionsPriceControl_FO!AG$15</f>
        <v>0</v>
      </c>
      <c r="CG394" s="387">
        <f>+S394*KeyAssumptionsPriceControl_FO!AH$15</f>
        <v>0</v>
      </c>
      <c r="CH394" s="387">
        <f>+T394*KeyAssumptionsPriceControl_FO!AI$15</f>
        <v>0</v>
      </c>
      <c r="CI394" s="1283">
        <f>+U394*KeyAssumptionsPriceControl_FO!AJ$15</f>
        <v>0</v>
      </c>
      <c r="CJ394" s="386">
        <f>+V394*KeyAssumptionsPriceControl_FO!AK$15</f>
        <v>0</v>
      </c>
      <c r="CK394" s="387">
        <f>+W394*KeyAssumptionsPriceControl_FO!AL$15</f>
        <v>0</v>
      </c>
      <c r="CL394" s="1277">
        <f>+X394*KeyAssumptionsPriceControl_FO!AM$15</f>
        <v>0</v>
      </c>
      <c r="CM394" s="1277">
        <f>+Y394*KeyAssumptionsPriceControl_FO!AN$15</f>
        <v>0</v>
      </c>
      <c r="CN394" s="388">
        <f>+Z394*KeyAssumptionsPriceControl_FO!AO$15</f>
        <v>0</v>
      </c>
      <c r="CO394" s="1025"/>
      <c r="CP394" s="1282">
        <f t="shared" ca="1" si="649"/>
        <v>0</v>
      </c>
      <c r="CQ394" s="387">
        <f t="shared" ca="1" si="650"/>
        <v>0</v>
      </c>
      <c r="CR394" s="387">
        <f t="shared" ca="1" si="651"/>
        <v>0</v>
      </c>
      <c r="CS394" s="387">
        <f t="shared" ca="1" si="652"/>
        <v>0</v>
      </c>
      <c r="CT394" s="1283">
        <f t="shared" ca="1" si="653"/>
        <v>0</v>
      </c>
      <c r="CU394" s="386">
        <f t="shared" ca="1" si="654"/>
        <v>0</v>
      </c>
      <c r="CV394" s="387">
        <f t="shared" ca="1" si="655"/>
        <v>0</v>
      </c>
      <c r="CW394" s="1277">
        <f t="shared" ca="1" si="656"/>
        <v>0</v>
      </c>
      <c r="CX394" s="1277">
        <f t="shared" ca="1" si="657"/>
        <v>0</v>
      </c>
      <c r="CY394" s="388">
        <f t="shared" ca="1" si="658"/>
        <v>0</v>
      </c>
      <c r="CZ394" s="347"/>
      <c r="DA394" s="852"/>
      <c r="DB394" s="347"/>
      <c r="DC394" s="1012" t="s">
        <v>517</v>
      </c>
      <c r="DD394" s="841" t="s">
        <v>518</v>
      </c>
      <c r="DE394" s="386">
        <f>+IF($K394="ongoing",CE394,IF(RIGHT($K394,2)=RIGHT(DE$43,2),SUM($CD394:CE394),0)+IF(RIGHT(DE$43,2)&gt;RIGHT($K394,2),CE394,0))</f>
        <v>0</v>
      </c>
      <c r="DF394" s="387">
        <f>+IF($K394="ongoing",CF394,IF(RIGHT($K394,2)=RIGHT(DF$43,2),SUM($CD394:CF394),0)+IF(RIGHT(DF$43,2)&gt;RIGHT($K394,2),CF394,0))</f>
        <v>0</v>
      </c>
      <c r="DG394" s="388">
        <f>+IF($K394="ongoing",CG394,IF(RIGHT($K394,2)=RIGHT(DG$43,2),SUM($CD394:CG394),0)+IF(RIGHT(DG$43,2)&gt;RIGHT($K394,2),CG394,0))</f>
        <v>0</v>
      </c>
      <c r="DH394" s="386">
        <f>+IF($K394="ongoing",CH394,IF(RIGHT($K394,2)=RIGHT(DH$43,2),SUM($CD394:CH394),0)+IF(RIGHT(DH$43,2)&gt;RIGHT($K394,2),CH394,0))</f>
        <v>0</v>
      </c>
      <c r="DI394" s="387">
        <f>+IF($K394="ongoing",CI394,IF(RIGHT($K394,2)=RIGHT(DI$43,2),SUM($CD394:CI394),0)+IF(RIGHT(DI$43,2)&gt;RIGHT($K394,2),CI394,0))</f>
        <v>0</v>
      </c>
      <c r="DJ394" s="387">
        <f>+IF($K394="ongoing",CJ394,IF(RIGHT($K394,2)=RIGHT(DJ$43,2),SUM($CD394:CJ394),0)+IF(RIGHT(DJ$43,2)&gt;RIGHT($K394,2),CJ394,0))</f>
        <v>0</v>
      </c>
      <c r="DK394" s="387">
        <f>+IF($K394="ongoing",CK394,IF(RIGHT($K394,2)=RIGHT(DK$43,2),SUM($CD394:CK394),0)+IF(RIGHT(DK$43,2)&gt;RIGHT($K394,2),CK394,0))</f>
        <v>0</v>
      </c>
      <c r="DL394" s="388">
        <f>+IF($K394="ongoing",CN394,IF(RIGHT($K394,2)=RIGHT(DL$43,2),SUM($CD394:CN394),0)+IF(RIGHT(DL$43,2)&gt;RIGHT($K394,2),CN394,0))</f>
        <v>0</v>
      </c>
      <c r="DM394" s="841"/>
      <c r="DN394" s="386">
        <f t="shared" si="673"/>
        <v>0.5</v>
      </c>
      <c r="DO394" s="387">
        <f t="shared" si="673"/>
        <v>1</v>
      </c>
      <c r="DP394" s="388">
        <f t="shared" si="673"/>
        <v>1</v>
      </c>
      <c r="DQ394" s="386">
        <f t="shared" si="673"/>
        <v>1</v>
      </c>
      <c r="DR394" s="387">
        <f t="shared" si="673"/>
        <v>1</v>
      </c>
      <c r="DS394" s="387">
        <f t="shared" si="673"/>
        <v>1</v>
      </c>
      <c r="DT394" s="387">
        <f t="shared" si="673"/>
        <v>1</v>
      </c>
      <c r="DU394" s="388">
        <f t="shared" si="673"/>
        <v>1</v>
      </c>
      <c r="DW394" s="386">
        <f t="shared" si="674"/>
        <v>0</v>
      </c>
      <c r="DX394" s="387">
        <f t="shared" si="674"/>
        <v>0.5</v>
      </c>
      <c r="DY394" s="388">
        <f t="shared" si="674"/>
        <v>1</v>
      </c>
      <c r="DZ394" s="386">
        <f t="shared" si="674"/>
        <v>1</v>
      </c>
      <c r="EA394" s="387">
        <f t="shared" si="674"/>
        <v>1</v>
      </c>
      <c r="EB394" s="387">
        <f t="shared" si="674"/>
        <v>1</v>
      </c>
      <c r="EC394" s="387">
        <f t="shared" si="674"/>
        <v>1</v>
      </c>
      <c r="ED394" s="388">
        <f t="shared" si="674"/>
        <v>1</v>
      </c>
      <c r="EF394" s="834">
        <f>+IF(DN394=DM394,0,
IF(AND(EF$44&gt;1,DN394=$N394),1-SUM($EE394:EE394),
IF($N394&lt;=1,
IF($N394&gt;0,1/$N394,0),
IF(EF$44=1,0,VDB(1,0,$N394,INT(EF$44-1-1),MIN($N394,INT(EF$44-1-1)+1),$DC394,IF($DD394="No",1,0))/
IF(DM394&gt;=INT($N394),$N394-INT($N394),1)))*
IF(EF$44=1,0,
IF(INT(DN394)=INT(DM394),DN394-DM394,INT(DN394)-DM394))+
IF($N394&lt;=1,
IF($N394&gt;0,1/$N394,0),VDB(1,0,$N394,INT(EF$44-1),MIN($N394,INT(EF$44-1)+1),$DC394,IF($DD394="No",1,0))/
IF(DN394&gt;INT($N394),$N394-INT($N394),1))*
IF(EF$44=1,DN394,
IF(INT(DN394)=INT(DM394),0,DN394-INT(DN394)))))</f>
        <v>0</v>
      </c>
      <c r="EG394" s="835">
        <f>+IF(DO394=DN394,0,
IF(AND(EG$44&gt;1,DO394=$N394),1-SUM($EE394:EF394),
IF($N394&lt;=1,
IF($N394&gt;0,1/$N394,0),
IF(EG$44=1,0,VDB(1,0,$N394,INT(EG$44-1-1),MIN($N394,INT(EG$44-1-1)+1),$DC394,IF($DD394="No",1,0))/
IF(DN394&gt;=INT($N394),$N394-INT($N394),1)))*
IF(EG$44=1,0,
IF(INT(DO394)=INT(DN394),DO394-DN394,INT(DO394)-DN394))+
IF($N394&lt;=1,
IF($N394&gt;0,1/$N394,0),VDB(1,0,$N394,INT(EG$44-1),MIN($N394,INT(EG$44-1)+1),$DC394,IF($DD394="No",1,0))/
IF(DO394&gt;INT($N394),$N394-INT($N394),1))*
IF(EG$44=1,DO394,
IF(INT(DO394)=INT(DN394),0,DO394-INT(DO394)))))</f>
        <v>0</v>
      </c>
      <c r="EH394" s="836">
        <f>+IF(DP394=DO394,0,
IF(AND(EH$44&gt;1,DP394=$N394),1-SUM($EE394:EG394),
IF($N394&lt;=1,
IF($N394&gt;0,1/$N394,0),
IF(EH$44=1,0,VDB(1,0,$N394,INT(EH$44-1-1),MIN($N394,INT(EH$44-1-1)+1),$DC394,IF($DD394="No",1,0))/
IF(DO394&gt;=INT($N394),$N394-INT($N394),1)))*
IF(EH$44=1,0,
IF(INT(DP394)=INT(DO394),DP394-DO394,INT(DP394)-DO394))+
IF($N394&lt;=1,
IF($N394&gt;0,1/$N394,0),VDB(1,0,$N394,INT(EH$44-1),MIN($N394,INT(EH$44-1)+1),$DC394,IF($DD394="No",1,0))/
IF(DP394&gt;INT($N394),$N394-INT($N394),1))*
IF(EH$44=1,DP394,
IF(INT(DP394)=INT(DO394),0,DP394-INT(DP394)))))</f>
        <v>0</v>
      </c>
      <c r="EI394" s="834">
        <f>+IF(DQ394=DP394,0,
IF(AND(EI$44&gt;1,DQ394=$N394),1-SUM($EE394:EH394),
IF($N394&lt;=1,
IF($N394&gt;0,1/$N394,0),
IF(EI$44=1,0,VDB(1,0,$N394,INT(EI$44-1-1),MIN($N394,INT(EI$44-1-1)+1),$DC394,IF($DD394="No",1,0))/
IF(DP394&gt;=INT($N394),$N394-INT($N394),1)))*
IF(EI$44=1,0,
IF(INT(DQ394)=INT(DP394),DQ394-DP394,INT(DQ394)-DP394))+
IF($N394&lt;=1,
IF($N394&gt;0,1/$N394,0),VDB(1,0,$N394,INT(EI$44-1),MIN($N394,INT(EI$44-1)+1),$DC394,IF($DD394="No",1,0))/
IF(DQ394&gt;INT($N394),$N394-INT($N394),1))*
IF(EI$44=1,DQ394,
IF(INT(DQ394)=INT(DP394),0,DQ394-INT(DQ394)))))</f>
        <v>0</v>
      </c>
      <c r="EJ394" s="835">
        <f>+IF(DR394=DQ394,0,
IF(AND(EJ$44&gt;1,DR394=$N394),1-SUM($EE394:EI394),
IF($N394&lt;=1,
IF($N394&gt;0,1/$N394,0),
IF(EJ$44=1,0,VDB(1,0,$N394,INT(EJ$44-1-1),MIN($N394,INT(EJ$44-1-1)+1),$DC394,IF($DD394="No",1,0))/
IF(DQ394&gt;=INT($N394),$N394-INT($N394),1)))*
IF(EJ$44=1,0,
IF(INT(DR394)=INT(DQ394),DR394-DQ394,INT(DR394)-DQ394))+
IF($N394&lt;=1,
IF($N394&gt;0,1/$N394,0),VDB(1,0,$N394,INT(EJ$44-1),MIN($N394,INT(EJ$44-1)+1),$DC394,IF($DD394="No",1,0))/
IF(DR394&gt;INT($N394),$N394-INT($N394),1))*
IF(EJ$44=1,DR394,
IF(INT(DR394)=INT(DQ394),0,DR394-INT(DR394)))))</f>
        <v>0</v>
      </c>
      <c r="EK394" s="835">
        <f>+IF(DS394=DR394,0,
IF(AND(EK$44&gt;1,DS394=$N394),1-SUM($EE394:EJ394),
IF($N394&lt;=1,
IF($N394&gt;0,1/$N394,0),
IF(EK$44=1,0,VDB(1,0,$N394,INT(EK$44-1-1),MIN($N394,INT(EK$44-1-1)+1),$DC394,IF($DD394="No",1,0))/
IF(DR394&gt;=INT($N394),$N394-INT($N394),1)))*
IF(EK$44=1,0,
IF(INT(DS394)=INT(DR394),DS394-DR394,INT(DS394)-DR394))+
IF($N394&lt;=1,
IF($N394&gt;0,1/$N394,0),VDB(1,0,$N394,INT(EK$44-1),MIN($N394,INT(EK$44-1)+1),$DC394,IF($DD394="No",1,0))/
IF(DS394&gt;INT($N394),$N394-INT($N394),1))*
IF(EK$44=1,DS394,
IF(INT(DS394)=INT(DR394),0,DS394-INT(DS394)))))</f>
        <v>0</v>
      </c>
      <c r="EL394" s="835">
        <f>+IF(DT394=DS394,0,
IF(AND(EL$44&gt;1,DT394=$N394),1-SUM($EE394:EK394),
IF($N394&lt;=1,
IF($N394&gt;0,1/$N394,0),
IF(EL$44=1,0,VDB(1,0,$N394,INT(EL$44-1-1),MIN($N394,INT(EL$44-1-1)+1),$DC394,IF($DD394="No",1,0))/
IF(DS394&gt;=INT($N394),$N394-INT($N394),1)))*
IF(EL$44=1,0,
IF(INT(DT394)=INT(DS394),DT394-DS394,INT(DT394)-DS394))+
IF($N394&lt;=1,
IF($N394&gt;0,1/$N394,0),VDB(1,0,$N394,INT(EL$44-1),MIN($N394,INT(EL$44-1)+1),$DC394,IF($DD394="No",1,0))/
IF(DT394&gt;INT($N394),$N394-INT($N394),1))*
IF(EL$44=1,DT394,
IF(INT(DT394)=INT(DS394),0,DT394-INT(DT394)))))</f>
        <v>0</v>
      </c>
      <c r="EM394" s="836">
        <f>+IF(DU394=DT394,0,
IF(AND(EM$44&gt;1,DU394=$N394),1-SUM($EE394:EL394),
IF($N394&lt;=1,
IF($N394&gt;0,1/$N394,0),
IF(EM$44=1,0,VDB(1,0,$N394,INT(EM$44-1-1),MIN($N394,INT(EM$44-1-1)+1),$DC394,IF($DD394="No",1,0))/
IF(DT394&gt;=INT($N394),$N394-INT($N394),1)))*
IF(EM$44=1,0,
IF(INT(DU394)=INT(DT394),DU394-DT394,INT(DU394)-DT394))+
IF($N394&lt;=1,
IF($N394&gt;0,1/$N394,0),VDB(1,0,$N394,INT(EM$44-1),MIN($N394,INT(EM$44-1)+1),$DC394,IF($DD394="No",1,0))/
IF(DU394&gt;INT($N394),$N394-INT($N394),1))*
IF(EM$44=1,DU394,
IF(INT(DU394)=INT(DT394),0,DU394-INT(DU394)))))</f>
        <v>0</v>
      </c>
      <c r="EN394" s="833"/>
      <c r="EO394" s="834">
        <f>+IF(OR(DW394=DV394,EO$44=1),0,
IF(AND(EO$44&gt;1,DW394=$N394),1-SUM($EN394:EN394),
IF($N394&lt;=1,
IF($N394&gt;0,1/$N394,0),
IF(EO$44=2,0,VDB(1,0,$N394,INT(EO$44-2-1),MIN($N394,INT(EO$44-2-1)+1),$DC394,IF($DD394="No",1,0))/
IF(DV394&gt;=INT($N394),$N394-INT($N394),1)))*
IF(EO$44=2,0,
IF(INT(DW394)=INT(DV394),DW394-DV394,INT(DW394)-DV394))+
IF($N394&lt;=1,
IF($N394&gt;0,1/$N394,0),VDB(1,0,$N394,INT(EO$44-2),MIN($N394,INT(EO$44-2)+1),$DC394,IF($DD394="No",1,0))/
IF(DW394&gt;INT($N394),$N394-INT($N394),1))*
IF(EO$44=2,DW394,
IF(INT(DW394)=INT(DV394),0,DW394-INT(DW394)))))</f>
        <v>0</v>
      </c>
      <c r="EP394" s="835">
        <f>+IF(OR(DX394=DW394,EP$44=1),0,
IF(AND(EP$44&gt;1,DX394=$N394),1-SUM($EN394:EO394),
IF($N394&lt;=1,
IF($N394&gt;0,1/$N394,0),
IF(EP$44=2,0,VDB(1,0,$N394,INT(EP$44-2-1),MIN($N394,INT(EP$44-2-1)+1),$DC394,IF($DD394="No",1,0))/
IF(DW394&gt;=INT($N394),$N394-INT($N394),1)))*
IF(EP$44=2,0,
IF(INT(DX394)=INT(DW394),DX394-DW394,INT(DX394)-DW394))+
IF($N394&lt;=1,
IF($N394&gt;0,1/$N394,0),VDB(1,0,$N394,INT(EP$44-2),MIN($N394,INT(EP$44-2)+1),$DC394,IF($DD394="No",1,0))/
IF(DX394&gt;INT($N394),$N394-INT($N394),1))*
IF(EP$44=2,DX394,
IF(INT(DX394)=INT(DW394),0,DX394-INT(DX394)))))</f>
        <v>0</v>
      </c>
      <c r="EQ394" s="836">
        <f>+IF(OR(DY394=DX394,EQ$44=1),0,
IF(AND(EQ$44&gt;1,DY394=$N394),1-SUM($EN394:EP394),
IF($N394&lt;=1,
IF($N394&gt;0,1/$N394,0),
IF(EQ$44=2,0,VDB(1,0,$N394,INT(EQ$44-2-1),MIN($N394,INT(EQ$44-2-1)+1),$DC394,IF($DD394="No",1,0))/
IF(DX394&gt;=INT($N394),$N394-INT($N394),1)))*
IF(EQ$44=2,0,
IF(INT(DY394)=INT(DX394),DY394-DX394,INT(DY394)-DX394))+
IF($N394&lt;=1,
IF($N394&gt;0,1/$N394,0),VDB(1,0,$N394,INT(EQ$44-2),MIN($N394,INT(EQ$44-2)+1),$DC394,IF($DD394="No",1,0))/
IF(DY394&gt;INT($N394),$N394-INT($N394),1))*
IF(EQ$44=2,DY394,
IF(INT(DY394)=INT(DX394),0,DY394-INT(DY394)))))</f>
        <v>0</v>
      </c>
      <c r="ER394" s="834">
        <f>+IF(OR(DZ394=DY394,ER$44=1),0,
IF(AND(ER$44&gt;1,DZ394=$N394),1-SUM($EN394:EQ394),
IF($N394&lt;=1,
IF($N394&gt;0,1/$N394,0),
IF(ER$44=2,0,VDB(1,0,$N394,INT(ER$44-2-1),MIN($N394,INT(ER$44-2-1)+1),$DC394,IF($DD394="No",1,0))/
IF(DY394&gt;=INT($N394),$N394-INT($N394),1)))*
IF(ER$44=2,0,
IF(INT(DZ394)=INT(DY394),DZ394-DY394,INT(DZ394)-DY394))+
IF($N394&lt;=1,
IF($N394&gt;0,1/$N394,0),VDB(1,0,$N394,INT(ER$44-2),MIN($N394,INT(ER$44-2)+1),$DC394,IF($DD394="No",1,0))/
IF(DZ394&gt;INT($N394),$N394-INT($N394),1))*
IF(ER$44=2,DZ394,
IF(INT(DZ394)=INT(DY394),0,DZ394-INT(DZ394)))))</f>
        <v>0</v>
      </c>
      <c r="ES394" s="835">
        <f>+IF(OR(EA394=DZ394,ES$44=1),0,
IF(AND(ES$44&gt;1,EA394=$N394),1-SUM($EN394:ER394),
IF($N394&lt;=1,
IF($N394&gt;0,1/$N394,0),
IF(ES$44=2,0,VDB(1,0,$N394,INT(ES$44-2-1),MIN($N394,INT(ES$44-2-1)+1),$DC394,IF($DD394="No",1,0))/
IF(DZ394&gt;=INT($N394),$N394-INT($N394),1)))*
IF(ES$44=2,0,
IF(INT(EA394)=INT(DZ394),EA394-DZ394,INT(EA394)-DZ394))+
IF($N394&lt;=1,
IF($N394&gt;0,1/$N394,0),VDB(1,0,$N394,INT(ES$44-2),MIN($N394,INT(ES$44-2)+1),$DC394,IF($DD394="No",1,0))/
IF(EA394&gt;INT($N394),$N394-INT($N394),1))*
IF(ES$44=2,EA394,
IF(INT(EA394)=INT(DZ394),0,EA394-INT(EA394)))))</f>
        <v>0</v>
      </c>
      <c r="ET394" s="835">
        <f>+IF(OR(EB394=EA394,ET$44=1),0,
IF(AND(ET$44&gt;1,EB394=$N394),1-SUM($EN394:ES394),
IF($N394&lt;=1,
IF($N394&gt;0,1/$N394,0),
IF(ET$44=2,0,VDB(1,0,$N394,INT(ET$44-2-1),MIN($N394,INT(ET$44-2-1)+1),$DC394,IF($DD394="No",1,0))/
IF(EA394&gt;=INT($N394),$N394-INT($N394),1)))*
IF(ET$44=2,0,
IF(INT(EB394)=INT(EA394),EB394-EA394,INT(EB394)-EA394))+
IF($N394&lt;=1,
IF($N394&gt;0,1/$N394,0),VDB(1,0,$N394,INT(ET$44-2),MIN($N394,INT(ET$44-2)+1),$DC394,IF($DD394="No",1,0))/
IF(EB394&gt;INT($N394),$N394-INT($N394),1))*
IF(ET$44=2,EB394,
IF(INT(EB394)=INT(EA394),0,EB394-INT(EB394)))))</f>
        <v>0</v>
      </c>
      <c r="EU394" s="835">
        <f>+IF(OR(EC394=EB394,EU$44=1),0,
IF(AND(EU$44&gt;1,EC394=$N394),1-SUM($EN394:ET394),
IF($N394&lt;=1,
IF($N394&gt;0,1/$N394,0),
IF(EU$44=2,0,VDB(1,0,$N394,INT(EU$44-2-1),MIN($N394,INT(EU$44-2-1)+1),$DC394,IF($DD394="No",1,0))/
IF(EB394&gt;=INT($N394),$N394-INT($N394),1)))*
IF(EU$44=2,0,
IF(INT(EC394)=INT(EB394),EC394-EB394,INT(EC394)-EB394))+
IF($N394&lt;=1,
IF($N394&gt;0,1/$N394,0),VDB(1,0,$N394,INT(EU$44-2),MIN($N394,INT(EU$44-2)+1),$DC394,IF($DD394="No",1,0))/
IF(EC394&gt;INT($N394),$N394-INT($N394),1))*
IF(EU$44=2,EC394,
IF(INT(EC394)=INT(EB394),0,EC394-INT(EC394)))))</f>
        <v>0</v>
      </c>
      <c r="EV394" s="836">
        <f>+IF(OR(ED394=EC394,EV$44=1),0,
IF(AND(EV$44&gt;1,ED394=$N394),1-SUM($EN394:EU394),
IF($N394&lt;=1,
IF($N394&gt;0,1/$N394,0),
IF(EV$44=2,0,VDB(1,0,$N394,INT(EV$44-2-1),MIN($N394,INT(EV$44-2-1)+1),$DC394,IF($DD394="No",1,0))/
IF(EC394&gt;=INT($N394),$N394-INT($N394),1)))*
IF(EV$44=2,0,
IF(INT(ED394)=INT(EC394),ED394-EC394,INT(ED394)-EC394))+
IF($N394&lt;=1,
IF($N394&gt;0,1/$N394,0),VDB(1,0,$N394,INT(EV$44-2),MIN($N394,INT(EV$44-2)+1),$DC394,IF($DD394="No",1,0))/
IF(ED394&gt;INT($N394),$N394-INT($N394),1))*
IF(EV$44=2,ED394,
IF(INT(ED394)=INT(EC394),0,ED394-INT(ED394)))))</f>
        <v>0</v>
      </c>
      <c r="EW394" s="833"/>
      <c r="EX394" s="834">
        <f t="shared" ca="1" si="675"/>
        <v>0</v>
      </c>
      <c r="EY394" s="835">
        <f t="shared" ca="1" si="675"/>
        <v>0</v>
      </c>
      <c r="EZ394" s="836">
        <f t="shared" ca="1" si="675"/>
        <v>0</v>
      </c>
      <c r="FA394" s="834">
        <f t="shared" ca="1" si="675"/>
        <v>0</v>
      </c>
      <c r="FB394" s="835">
        <f t="shared" ca="1" si="675"/>
        <v>0</v>
      </c>
      <c r="FC394" s="835">
        <f t="shared" ca="1" si="675"/>
        <v>0</v>
      </c>
      <c r="FD394" s="835">
        <f t="shared" ca="1" si="675"/>
        <v>0</v>
      </c>
      <c r="FE394" s="836">
        <f t="shared" ca="1" si="675"/>
        <v>0</v>
      </c>
      <c r="FG394" s="386">
        <f t="shared" ca="1" si="659"/>
        <v>0</v>
      </c>
      <c r="FH394" s="387">
        <f t="shared" ca="1" si="660"/>
        <v>0</v>
      </c>
      <c r="FI394" s="388">
        <f t="shared" ca="1" si="661"/>
        <v>0</v>
      </c>
      <c r="FJ394" s="386">
        <f t="shared" ca="1" si="662"/>
        <v>0</v>
      </c>
      <c r="FK394" s="387">
        <f t="shared" ca="1" si="663"/>
        <v>0</v>
      </c>
      <c r="FL394" s="387">
        <f t="shared" ca="1" si="664"/>
        <v>0</v>
      </c>
      <c r="FM394" s="387">
        <f t="shared" ca="1" si="665"/>
        <v>0</v>
      </c>
      <c r="FN394" s="388">
        <f t="shared" ca="1" si="666"/>
        <v>0</v>
      </c>
    </row>
    <row r="395" spans="2:174">
      <c r="B395" s="1410">
        <f t="shared" si="670"/>
        <v>349</v>
      </c>
      <c r="C395" s="400"/>
      <c r="D395" s="410"/>
      <c r="E395" s="402"/>
      <c r="F395" s="402"/>
      <c r="G395" s="400"/>
      <c r="H395" s="2088"/>
      <c r="I395" s="2089"/>
      <c r="J395" s="411"/>
      <c r="K395" s="403"/>
      <c r="L395" s="403"/>
      <c r="M395" s="403"/>
      <c r="N395" s="403"/>
      <c r="O395" s="347"/>
      <c r="P395" s="347"/>
      <c r="Q395" s="1021"/>
      <c r="R395" s="1022"/>
      <c r="S395" s="1022"/>
      <c r="T395" s="1022"/>
      <c r="U395" s="1023"/>
      <c r="V395" s="1021"/>
      <c r="W395" s="1022"/>
      <c r="X395" s="1022"/>
      <c r="Y395" s="1022"/>
      <c r="Z395" s="1023"/>
      <c r="AA395" s="1024"/>
      <c r="AB395" s="1021"/>
      <c r="AC395" s="1022"/>
      <c r="AD395" s="1022"/>
      <c r="AE395" s="1022"/>
      <c r="AF395" s="1023"/>
      <c r="AG395" s="1021"/>
      <c r="AH395" s="1022"/>
      <c r="AI395" s="1022"/>
      <c r="AJ395" s="1022"/>
      <c r="AK395" s="1023"/>
      <c r="AL395" s="1024"/>
      <c r="AM395" s="1021"/>
      <c r="AN395" s="1022"/>
      <c r="AO395" s="1022"/>
      <c r="AP395" s="1022"/>
      <c r="AQ395" s="1023"/>
      <c r="AR395" s="1021"/>
      <c r="AS395" s="1022"/>
      <c r="AT395" s="1022"/>
      <c r="AU395" s="1022"/>
      <c r="AV395" s="1023"/>
      <c r="AW395" s="1025"/>
      <c r="AX395" s="1282">
        <f t="shared" si="635"/>
        <v>0</v>
      </c>
      <c r="AY395" s="387">
        <f t="shared" si="636"/>
        <v>0</v>
      </c>
      <c r="AZ395" s="387">
        <f t="shared" si="637"/>
        <v>0</v>
      </c>
      <c r="BA395" s="387">
        <f t="shared" si="638"/>
        <v>0</v>
      </c>
      <c r="BB395" s="1283">
        <f t="shared" si="639"/>
        <v>0</v>
      </c>
      <c r="BC395" s="386">
        <f t="shared" si="640"/>
        <v>0</v>
      </c>
      <c r="BD395" s="387">
        <f t="shared" si="641"/>
        <v>0</v>
      </c>
      <c r="BE395" s="1277">
        <f t="shared" si="671"/>
        <v>0</v>
      </c>
      <c r="BF395" s="1277">
        <f t="shared" si="671"/>
        <v>0</v>
      </c>
      <c r="BG395" s="388">
        <f t="shared" si="671"/>
        <v>0</v>
      </c>
      <c r="BH395" s="1025"/>
      <c r="BI395" s="1282">
        <f t="shared" ca="1" si="643"/>
        <v>0</v>
      </c>
      <c r="BJ395" s="387">
        <f t="shared" ca="1" si="644"/>
        <v>0</v>
      </c>
      <c r="BK395" s="387">
        <f t="shared" ca="1" si="645"/>
        <v>0</v>
      </c>
      <c r="BL395" s="387">
        <f t="shared" ca="1" si="646"/>
        <v>0</v>
      </c>
      <c r="BM395" s="1283">
        <f t="shared" ca="1" si="647"/>
        <v>0</v>
      </c>
      <c r="BN395" s="386">
        <f t="shared" ca="1" si="672"/>
        <v>0</v>
      </c>
      <c r="BO395" s="387">
        <f t="shared" ca="1" si="672"/>
        <v>0</v>
      </c>
      <c r="BP395" s="1277">
        <f t="shared" ca="1" si="672"/>
        <v>0</v>
      </c>
      <c r="BQ395" s="1277">
        <f t="shared" ca="1" si="672"/>
        <v>0</v>
      </c>
      <c r="BR395" s="388">
        <f t="shared" ca="1" si="672"/>
        <v>0</v>
      </c>
      <c r="BS395" s="1025"/>
      <c r="BT395" s="1282">
        <f>+IF($K395="Ongoing",AX395,IF(RIGHT($K395,2)=RIGHT(BT$43,2),SUM($AX395:AX395),0)+IF(RIGHT(BT$43,2)&gt;RIGHT($K395,2),AX395,0))</f>
        <v>0</v>
      </c>
      <c r="BU395" s="387">
        <f>+IF($K395="Ongoing",AY395,IF(RIGHT($K395,2)=RIGHT(BU$43,2),SUM($AX395:AY395),0)+IF(RIGHT(BU$43,2)&gt;RIGHT($K395,2),AY395,0))</f>
        <v>0</v>
      </c>
      <c r="BV395" s="387">
        <f>+IF($K395="Ongoing",AZ395,IF(RIGHT($K395,2)=RIGHT(BV$43,2),SUM($AX395:AZ395),0)+IF(RIGHT(BV$43,2)&gt;RIGHT($K395,2),AZ395,0))</f>
        <v>0</v>
      </c>
      <c r="BW395" s="387">
        <f>+IF($K395="Ongoing",BA395,IF(RIGHT($K395,2)=RIGHT(BW$43,2),SUM($AX395:BA395),0)+IF(RIGHT(BW$43,2)&gt;RIGHT($K395,2),BA395,0))</f>
        <v>0</v>
      </c>
      <c r="BX395" s="1283">
        <f>+IF($K395="Ongoing",BB395,IF(RIGHT($K395,2)=RIGHT(BX$43,2),SUM($AX395:BB395),0)+IF(RIGHT(BX$43,2)&gt;RIGHT($K395,2),BB395,0))</f>
        <v>0</v>
      </c>
      <c r="BY395" s="386">
        <f>+IF($K395="Ongoing",BC395,IF(RIGHT($K395,2)=RIGHT(BY$43,2),SUM($AX395:BC395),0)+IF(RIGHT(BY$43,2)&gt;RIGHT($K395,2),BC395,0))</f>
        <v>0</v>
      </c>
      <c r="BZ395" s="387">
        <f>+IF($K395="Ongoing",BD395,IF(RIGHT($K395,2)=RIGHT(BZ$43,2),SUM($AX395:BD395),0)+IF(RIGHT(BZ$43,2)&gt;RIGHT($K395,2),BD395,0))</f>
        <v>0</v>
      </c>
      <c r="CA395" s="1277">
        <f>+IF($K395="Ongoing",BE395,IF(RIGHT($K395,2)=RIGHT(CA$43,2),SUM($AX395:BE395),0)+IF(RIGHT(CA$43,2)&gt;RIGHT($K395,2),BE395,0))</f>
        <v>0</v>
      </c>
      <c r="CB395" s="1277">
        <f>+IF($K395="Ongoing",BF395,IF(RIGHT($K395,2)=RIGHT(CB$43,2),SUM($AX395:BF395),0)+IF(RIGHT(CB$43,2)&gt;RIGHT($K395,2),BF395,0))</f>
        <v>0</v>
      </c>
      <c r="CC395" s="388">
        <f>+IF($K395="Ongoing",BG395,IF(RIGHT($K395,2)=RIGHT(CC$43,2),SUM($AX395:BG395),0)+IF(RIGHT(CC$43,2)&gt;RIGHT($K395,2),BG395,0))</f>
        <v>0</v>
      </c>
      <c r="CD395" s="1025"/>
      <c r="CE395" s="1282">
        <f>+Q395*KeyAssumptionsPriceControl_FO!AF$15</f>
        <v>0</v>
      </c>
      <c r="CF395" s="387">
        <f>+R395*KeyAssumptionsPriceControl_FO!AG$15</f>
        <v>0</v>
      </c>
      <c r="CG395" s="387">
        <f>+S395*KeyAssumptionsPriceControl_FO!AH$15</f>
        <v>0</v>
      </c>
      <c r="CH395" s="387">
        <f>+T395*KeyAssumptionsPriceControl_FO!AI$15</f>
        <v>0</v>
      </c>
      <c r="CI395" s="1283">
        <f>+U395*KeyAssumptionsPriceControl_FO!AJ$15</f>
        <v>0</v>
      </c>
      <c r="CJ395" s="386">
        <f>+V395*KeyAssumptionsPriceControl_FO!AK$15</f>
        <v>0</v>
      </c>
      <c r="CK395" s="387">
        <f>+W395*KeyAssumptionsPriceControl_FO!AL$15</f>
        <v>0</v>
      </c>
      <c r="CL395" s="1277">
        <f>+X395*KeyAssumptionsPriceControl_FO!AM$15</f>
        <v>0</v>
      </c>
      <c r="CM395" s="1277">
        <f>+Y395*KeyAssumptionsPriceControl_FO!AN$15</f>
        <v>0</v>
      </c>
      <c r="CN395" s="388">
        <f>+Z395*KeyAssumptionsPriceControl_FO!AO$15</f>
        <v>0</v>
      </c>
      <c r="CO395" s="1025"/>
      <c r="CP395" s="1282">
        <f t="shared" ca="1" si="649"/>
        <v>0</v>
      </c>
      <c r="CQ395" s="387">
        <f t="shared" ca="1" si="650"/>
        <v>0</v>
      </c>
      <c r="CR395" s="387">
        <f t="shared" ca="1" si="651"/>
        <v>0</v>
      </c>
      <c r="CS395" s="387">
        <f t="shared" ca="1" si="652"/>
        <v>0</v>
      </c>
      <c r="CT395" s="1283">
        <f t="shared" ca="1" si="653"/>
        <v>0</v>
      </c>
      <c r="CU395" s="386">
        <f t="shared" ca="1" si="654"/>
        <v>0</v>
      </c>
      <c r="CV395" s="387">
        <f t="shared" ca="1" si="655"/>
        <v>0</v>
      </c>
      <c r="CW395" s="1277">
        <f t="shared" ca="1" si="656"/>
        <v>0</v>
      </c>
      <c r="CX395" s="1277">
        <f t="shared" ca="1" si="657"/>
        <v>0</v>
      </c>
      <c r="CY395" s="388">
        <f t="shared" ca="1" si="658"/>
        <v>0</v>
      </c>
      <c r="CZ395" s="347"/>
      <c r="DA395" s="852"/>
      <c r="DB395" s="347"/>
      <c r="DC395" s="1012" t="s">
        <v>517</v>
      </c>
      <c r="DD395" s="841" t="s">
        <v>518</v>
      </c>
      <c r="DE395" s="386">
        <f>+IF($K395="ongoing",CE395,IF(RIGHT($K395,2)=RIGHT(DE$43,2),SUM($CD395:CE395),0)+IF(RIGHT(DE$43,2)&gt;RIGHT($K395,2),CE395,0))</f>
        <v>0</v>
      </c>
      <c r="DF395" s="387">
        <f>+IF($K395="ongoing",CF395,IF(RIGHT($K395,2)=RIGHT(DF$43,2),SUM($CD395:CF395),0)+IF(RIGHT(DF$43,2)&gt;RIGHT($K395,2),CF395,0))</f>
        <v>0</v>
      </c>
      <c r="DG395" s="388">
        <f>+IF($K395="ongoing",CG395,IF(RIGHT($K395,2)=RIGHT(DG$43,2),SUM($CD395:CG395),0)+IF(RIGHT(DG$43,2)&gt;RIGHT($K395,2),CG395,0))</f>
        <v>0</v>
      </c>
      <c r="DH395" s="386">
        <f>+IF($K395="ongoing",CH395,IF(RIGHT($K395,2)=RIGHT(DH$43,2),SUM($CD395:CH395),0)+IF(RIGHT(DH$43,2)&gt;RIGHT($K395,2),CH395,0))</f>
        <v>0</v>
      </c>
      <c r="DI395" s="387">
        <f>+IF($K395="ongoing",CI395,IF(RIGHT($K395,2)=RIGHT(DI$43,2),SUM($CD395:CI395),0)+IF(RIGHT(DI$43,2)&gt;RIGHT($K395,2),CI395,0))</f>
        <v>0</v>
      </c>
      <c r="DJ395" s="387">
        <f>+IF($K395="ongoing",CJ395,IF(RIGHT($K395,2)=RIGHT(DJ$43,2),SUM($CD395:CJ395),0)+IF(RIGHT(DJ$43,2)&gt;RIGHT($K395,2),CJ395,0))</f>
        <v>0</v>
      </c>
      <c r="DK395" s="387">
        <f>+IF($K395="ongoing",CK395,IF(RIGHT($K395,2)=RIGHT(DK$43,2),SUM($CD395:CK395),0)+IF(RIGHT(DK$43,2)&gt;RIGHT($K395,2),CK395,0))</f>
        <v>0</v>
      </c>
      <c r="DL395" s="388">
        <f>+IF($K395="ongoing",CN395,IF(RIGHT($K395,2)=RIGHT(DL$43,2),SUM($CD395:CN395),0)+IF(RIGHT(DL$43,2)&gt;RIGHT($K395,2),CN395,0))</f>
        <v>0</v>
      </c>
      <c r="DM395" s="841"/>
      <c r="DN395" s="386">
        <f t="shared" si="673"/>
        <v>0.5</v>
      </c>
      <c r="DO395" s="387">
        <f t="shared" si="673"/>
        <v>1</v>
      </c>
      <c r="DP395" s="388">
        <f t="shared" si="673"/>
        <v>1</v>
      </c>
      <c r="DQ395" s="386">
        <f t="shared" si="673"/>
        <v>1</v>
      </c>
      <c r="DR395" s="387">
        <f t="shared" si="673"/>
        <v>1</v>
      </c>
      <c r="DS395" s="387">
        <f t="shared" si="673"/>
        <v>1</v>
      </c>
      <c r="DT395" s="387">
        <f t="shared" si="673"/>
        <v>1</v>
      </c>
      <c r="DU395" s="388">
        <f t="shared" si="673"/>
        <v>1</v>
      </c>
      <c r="DW395" s="386">
        <f t="shared" si="674"/>
        <v>0</v>
      </c>
      <c r="DX395" s="387">
        <f t="shared" si="674"/>
        <v>0.5</v>
      </c>
      <c r="DY395" s="388">
        <f t="shared" si="674"/>
        <v>1</v>
      </c>
      <c r="DZ395" s="386">
        <f t="shared" si="674"/>
        <v>1</v>
      </c>
      <c r="EA395" s="387">
        <f t="shared" si="674"/>
        <v>1</v>
      </c>
      <c r="EB395" s="387">
        <f t="shared" si="674"/>
        <v>1</v>
      </c>
      <c r="EC395" s="387">
        <f t="shared" si="674"/>
        <v>1</v>
      </c>
      <c r="ED395" s="388">
        <f t="shared" si="674"/>
        <v>1</v>
      </c>
      <c r="EF395" s="834">
        <f>+IF(DN395=DM395,0,
IF(AND(EF$44&gt;1,DN395=$N395),1-SUM($EE395:EE395),
IF($N395&lt;=1,
IF($N395&gt;0,1/$N395,0),
IF(EF$44=1,0,VDB(1,0,$N395,INT(EF$44-1-1),MIN($N395,INT(EF$44-1-1)+1),$DC395,IF($DD395="No",1,0))/
IF(DM395&gt;=INT($N395),$N395-INT($N395),1)))*
IF(EF$44=1,0,
IF(INT(DN395)=INT(DM395),DN395-DM395,INT(DN395)-DM395))+
IF($N395&lt;=1,
IF($N395&gt;0,1/$N395,0),VDB(1,0,$N395,INT(EF$44-1),MIN($N395,INT(EF$44-1)+1),$DC395,IF($DD395="No",1,0))/
IF(DN395&gt;INT($N395),$N395-INT($N395),1))*
IF(EF$44=1,DN395,
IF(INT(DN395)=INT(DM395),0,DN395-INT(DN395)))))</f>
        <v>0</v>
      </c>
      <c r="EG395" s="835">
        <f>+IF(DO395=DN395,0,
IF(AND(EG$44&gt;1,DO395=$N395),1-SUM($EE395:EF395),
IF($N395&lt;=1,
IF($N395&gt;0,1/$N395,0),
IF(EG$44=1,0,VDB(1,0,$N395,INT(EG$44-1-1),MIN($N395,INT(EG$44-1-1)+1),$DC395,IF($DD395="No",1,0))/
IF(DN395&gt;=INT($N395),$N395-INT($N395),1)))*
IF(EG$44=1,0,
IF(INT(DO395)=INT(DN395),DO395-DN395,INT(DO395)-DN395))+
IF($N395&lt;=1,
IF($N395&gt;0,1/$N395,0),VDB(1,0,$N395,INT(EG$44-1),MIN($N395,INT(EG$44-1)+1),$DC395,IF($DD395="No",1,0))/
IF(DO395&gt;INT($N395),$N395-INT($N395),1))*
IF(EG$44=1,DO395,
IF(INT(DO395)=INT(DN395),0,DO395-INT(DO395)))))</f>
        <v>0</v>
      </c>
      <c r="EH395" s="836">
        <f>+IF(DP395=DO395,0,
IF(AND(EH$44&gt;1,DP395=$N395),1-SUM($EE395:EG395),
IF($N395&lt;=1,
IF($N395&gt;0,1/$N395,0),
IF(EH$44=1,0,VDB(1,0,$N395,INT(EH$44-1-1),MIN($N395,INT(EH$44-1-1)+1),$DC395,IF($DD395="No",1,0))/
IF(DO395&gt;=INT($N395),$N395-INT($N395),1)))*
IF(EH$44=1,0,
IF(INT(DP395)=INT(DO395),DP395-DO395,INT(DP395)-DO395))+
IF($N395&lt;=1,
IF($N395&gt;0,1/$N395,0),VDB(1,0,$N395,INT(EH$44-1),MIN($N395,INT(EH$44-1)+1),$DC395,IF($DD395="No",1,0))/
IF(DP395&gt;INT($N395),$N395-INT($N395),1))*
IF(EH$44=1,DP395,
IF(INT(DP395)=INT(DO395),0,DP395-INT(DP395)))))</f>
        <v>0</v>
      </c>
      <c r="EI395" s="834">
        <f>+IF(DQ395=DP395,0,
IF(AND(EI$44&gt;1,DQ395=$N395),1-SUM($EE395:EH395),
IF($N395&lt;=1,
IF($N395&gt;0,1/$N395,0),
IF(EI$44=1,0,VDB(1,0,$N395,INT(EI$44-1-1),MIN($N395,INT(EI$44-1-1)+1),$DC395,IF($DD395="No",1,0))/
IF(DP395&gt;=INT($N395),$N395-INT($N395),1)))*
IF(EI$44=1,0,
IF(INT(DQ395)=INT(DP395),DQ395-DP395,INT(DQ395)-DP395))+
IF($N395&lt;=1,
IF($N395&gt;0,1/$N395,0),VDB(1,0,$N395,INT(EI$44-1),MIN($N395,INT(EI$44-1)+1),$DC395,IF($DD395="No",1,0))/
IF(DQ395&gt;INT($N395),$N395-INT($N395),1))*
IF(EI$44=1,DQ395,
IF(INT(DQ395)=INT(DP395),0,DQ395-INT(DQ395)))))</f>
        <v>0</v>
      </c>
      <c r="EJ395" s="835">
        <f>+IF(DR395=DQ395,0,
IF(AND(EJ$44&gt;1,DR395=$N395),1-SUM($EE395:EI395),
IF($N395&lt;=1,
IF($N395&gt;0,1/$N395,0),
IF(EJ$44=1,0,VDB(1,0,$N395,INT(EJ$44-1-1),MIN($N395,INT(EJ$44-1-1)+1),$DC395,IF($DD395="No",1,0))/
IF(DQ395&gt;=INT($N395),$N395-INT($N395),1)))*
IF(EJ$44=1,0,
IF(INT(DR395)=INT(DQ395),DR395-DQ395,INT(DR395)-DQ395))+
IF($N395&lt;=1,
IF($N395&gt;0,1/$N395,0),VDB(1,0,$N395,INT(EJ$44-1),MIN($N395,INT(EJ$44-1)+1),$DC395,IF($DD395="No",1,0))/
IF(DR395&gt;INT($N395),$N395-INT($N395),1))*
IF(EJ$44=1,DR395,
IF(INT(DR395)=INT(DQ395),0,DR395-INT(DR395)))))</f>
        <v>0</v>
      </c>
      <c r="EK395" s="835">
        <f>+IF(DS395=DR395,0,
IF(AND(EK$44&gt;1,DS395=$N395),1-SUM($EE395:EJ395),
IF($N395&lt;=1,
IF($N395&gt;0,1/$N395,0),
IF(EK$44=1,0,VDB(1,0,$N395,INT(EK$44-1-1),MIN($N395,INT(EK$44-1-1)+1),$DC395,IF($DD395="No",1,0))/
IF(DR395&gt;=INT($N395),$N395-INT($N395),1)))*
IF(EK$44=1,0,
IF(INT(DS395)=INT(DR395),DS395-DR395,INT(DS395)-DR395))+
IF($N395&lt;=1,
IF($N395&gt;0,1/$N395,0),VDB(1,0,$N395,INT(EK$44-1),MIN($N395,INT(EK$44-1)+1),$DC395,IF($DD395="No",1,0))/
IF(DS395&gt;INT($N395),$N395-INT($N395),1))*
IF(EK$44=1,DS395,
IF(INT(DS395)=INT(DR395),0,DS395-INT(DS395)))))</f>
        <v>0</v>
      </c>
      <c r="EL395" s="835">
        <f>+IF(DT395=DS395,0,
IF(AND(EL$44&gt;1,DT395=$N395),1-SUM($EE395:EK395),
IF($N395&lt;=1,
IF($N395&gt;0,1/$N395,0),
IF(EL$44=1,0,VDB(1,0,$N395,INT(EL$44-1-1),MIN($N395,INT(EL$44-1-1)+1),$DC395,IF($DD395="No",1,0))/
IF(DS395&gt;=INT($N395),$N395-INT($N395),1)))*
IF(EL$44=1,0,
IF(INT(DT395)=INT(DS395),DT395-DS395,INT(DT395)-DS395))+
IF($N395&lt;=1,
IF($N395&gt;0,1/$N395,0),VDB(1,0,$N395,INT(EL$44-1),MIN($N395,INT(EL$44-1)+1),$DC395,IF($DD395="No",1,0))/
IF(DT395&gt;INT($N395),$N395-INT($N395),1))*
IF(EL$44=1,DT395,
IF(INT(DT395)=INT(DS395),0,DT395-INT(DT395)))))</f>
        <v>0</v>
      </c>
      <c r="EM395" s="836">
        <f>+IF(DU395=DT395,0,
IF(AND(EM$44&gt;1,DU395=$N395),1-SUM($EE395:EL395),
IF($N395&lt;=1,
IF($N395&gt;0,1/$N395,0),
IF(EM$44=1,0,VDB(1,0,$N395,INT(EM$44-1-1),MIN($N395,INT(EM$44-1-1)+1),$DC395,IF($DD395="No",1,0))/
IF(DT395&gt;=INT($N395),$N395-INT($N395),1)))*
IF(EM$44=1,0,
IF(INT(DU395)=INT(DT395),DU395-DT395,INT(DU395)-DT395))+
IF($N395&lt;=1,
IF($N395&gt;0,1/$N395,0),VDB(1,0,$N395,INT(EM$44-1),MIN($N395,INT(EM$44-1)+1),$DC395,IF($DD395="No",1,0))/
IF(DU395&gt;INT($N395),$N395-INT($N395),1))*
IF(EM$44=1,DU395,
IF(INT(DU395)=INT(DT395),0,DU395-INT(DU395)))))</f>
        <v>0</v>
      </c>
      <c r="EN395" s="833"/>
      <c r="EO395" s="834">
        <f>+IF(OR(DW395=DV395,EO$44=1),0,
IF(AND(EO$44&gt;1,DW395=$N395),1-SUM($EN395:EN395),
IF($N395&lt;=1,
IF($N395&gt;0,1/$N395,0),
IF(EO$44=2,0,VDB(1,0,$N395,INT(EO$44-2-1),MIN($N395,INT(EO$44-2-1)+1),$DC395,IF($DD395="No",1,0))/
IF(DV395&gt;=INT($N395),$N395-INT($N395),1)))*
IF(EO$44=2,0,
IF(INT(DW395)=INT(DV395),DW395-DV395,INT(DW395)-DV395))+
IF($N395&lt;=1,
IF($N395&gt;0,1/$N395,0),VDB(1,0,$N395,INT(EO$44-2),MIN($N395,INT(EO$44-2)+1),$DC395,IF($DD395="No",1,0))/
IF(DW395&gt;INT($N395),$N395-INT($N395),1))*
IF(EO$44=2,DW395,
IF(INT(DW395)=INT(DV395),0,DW395-INT(DW395)))))</f>
        <v>0</v>
      </c>
      <c r="EP395" s="835">
        <f>+IF(OR(DX395=DW395,EP$44=1),0,
IF(AND(EP$44&gt;1,DX395=$N395),1-SUM($EN395:EO395),
IF($N395&lt;=1,
IF($N395&gt;0,1/$N395,0),
IF(EP$44=2,0,VDB(1,0,$N395,INT(EP$44-2-1),MIN($N395,INT(EP$44-2-1)+1),$DC395,IF($DD395="No",1,0))/
IF(DW395&gt;=INT($N395),$N395-INT($N395),1)))*
IF(EP$44=2,0,
IF(INT(DX395)=INT(DW395),DX395-DW395,INT(DX395)-DW395))+
IF($N395&lt;=1,
IF($N395&gt;0,1/$N395,0),VDB(1,0,$N395,INT(EP$44-2),MIN($N395,INT(EP$44-2)+1),$DC395,IF($DD395="No",1,0))/
IF(DX395&gt;INT($N395),$N395-INT($N395),1))*
IF(EP$44=2,DX395,
IF(INT(DX395)=INT(DW395),0,DX395-INT(DX395)))))</f>
        <v>0</v>
      </c>
      <c r="EQ395" s="836">
        <f>+IF(OR(DY395=DX395,EQ$44=1),0,
IF(AND(EQ$44&gt;1,DY395=$N395),1-SUM($EN395:EP395),
IF($N395&lt;=1,
IF($N395&gt;0,1/$N395,0),
IF(EQ$44=2,0,VDB(1,0,$N395,INT(EQ$44-2-1),MIN($N395,INT(EQ$44-2-1)+1),$DC395,IF($DD395="No",1,0))/
IF(DX395&gt;=INT($N395),$N395-INT($N395),1)))*
IF(EQ$44=2,0,
IF(INT(DY395)=INT(DX395),DY395-DX395,INT(DY395)-DX395))+
IF($N395&lt;=1,
IF($N395&gt;0,1/$N395,0),VDB(1,0,$N395,INT(EQ$44-2),MIN($N395,INT(EQ$44-2)+1),$DC395,IF($DD395="No",1,0))/
IF(DY395&gt;INT($N395),$N395-INT($N395),1))*
IF(EQ$44=2,DY395,
IF(INT(DY395)=INT(DX395),0,DY395-INT(DY395)))))</f>
        <v>0</v>
      </c>
      <c r="ER395" s="834">
        <f>+IF(OR(DZ395=DY395,ER$44=1),0,
IF(AND(ER$44&gt;1,DZ395=$N395),1-SUM($EN395:EQ395),
IF($N395&lt;=1,
IF($N395&gt;0,1/$N395,0),
IF(ER$44=2,0,VDB(1,0,$N395,INT(ER$44-2-1),MIN($N395,INT(ER$44-2-1)+1),$DC395,IF($DD395="No",1,0))/
IF(DY395&gt;=INT($N395),$N395-INT($N395),1)))*
IF(ER$44=2,0,
IF(INT(DZ395)=INT(DY395),DZ395-DY395,INT(DZ395)-DY395))+
IF($N395&lt;=1,
IF($N395&gt;0,1/$N395,0),VDB(1,0,$N395,INT(ER$44-2),MIN($N395,INT(ER$44-2)+1),$DC395,IF($DD395="No",1,0))/
IF(DZ395&gt;INT($N395),$N395-INT($N395),1))*
IF(ER$44=2,DZ395,
IF(INT(DZ395)=INT(DY395),0,DZ395-INT(DZ395)))))</f>
        <v>0</v>
      </c>
      <c r="ES395" s="835">
        <f>+IF(OR(EA395=DZ395,ES$44=1),0,
IF(AND(ES$44&gt;1,EA395=$N395),1-SUM($EN395:ER395),
IF($N395&lt;=1,
IF($N395&gt;0,1/$N395,0),
IF(ES$44=2,0,VDB(1,0,$N395,INT(ES$44-2-1),MIN($N395,INT(ES$44-2-1)+1),$DC395,IF($DD395="No",1,0))/
IF(DZ395&gt;=INT($N395),$N395-INT($N395),1)))*
IF(ES$44=2,0,
IF(INT(EA395)=INT(DZ395),EA395-DZ395,INT(EA395)-DZ395))+
IF($N395&lt;=1,
IF($N395&gt;0,1/$N395,0),VDB(1,0,$N395,INT(ES$44-2),MIN($N395,INT(ES$44-2)+1),$DC395,IF($DD395="No",1,0))/
IF(EA395&gt;INT($N395),$N395-INT($N395),1))*
IF(ES$44=2,EA395,
IF(INT(EA395)=INT(DZ395),0,EA395-INT(EA395)))))</f>
        <v>0</v>
      </c>
      <c r="ET395" s="835">
        <f>+IF(OR(EB395=EA395,ET$44=1),0,
IF(AND(ET$44&gt;1,EB395=$N395),1-SUM($EN395:ES395),
IF($N395&lt;=1,
IF($N395&gt;0,1/$N395,0),
IF(ET$44=2,0,VDB(1,0,$N395,INT(ET$44-2-1),MIN($N395,INT(ET$44-2-1)+1),$DC395,IF($DD395="No",1,0))/
IF(EA395&gt;=INT($N395),$N395-INT($N395),1)))*
IF(ET$44=2,0,
IF(INT(EB395)=INT(EA395),EB395-EA395,INT(EB395)-EA395))+
IF($N395&lt;=1,
IF($N395&gt;0,1/$N395,0),VDB(1,0,$N395,INT(ET$44-2),MIN($N395,INT(ET$44-2)+1),$DC395,IF($DD395="No",1,0))/
IF(EB395&gt;INT($N395),$N395-INT($N395),1))*
IF(ET$44=2,EB395,
IF(INT(EB395)=INT(EA395),0,EB395-INT(EB395)))))</f>
        <v>0</v>
      </c>
      <c r="EU395" s="835">
        <f>+IF(OR(EC395=EB395,EU$44=1),0,
IF(AND(EU$44&gt;1,EC395=$N395),1-SUM($EN395:ET395),
IF($N395&lt;=1,
IF($N395&gt;0,1/$N395,0),
IF(EU$44=2,0,VDB(1,0,$N395,INT(EU$44-2-1),MIN($N395,INT(EU$44-2-1)+1),$DC395,IF($DD395="No",1,0))/
IF(EB395&gt;=INT($N395),$N395-INT($N395),1)))*
IF(EU$44=2,0,
IF(INT(EC395)=INT(EB395),EC395-EB395,INT(EC395)-EB395))+
IF($N395&lt;=1,
IF($N395&gt;0,1/$N395,0),VDB(1,0,$N395,INT(EU$44-2),MIN($N395,INT(EU$44-2)+1),$DC395,IF($DD395="No",1,0))/
IF(EC395&gt;INT($N395),$N395-INT($N395),1))*
IF(EU$44=2,EC395,
IF(INT(EC395)=INT(EB395),0,EC395-INT(EC395)))))</f>
        <v>0</v>
      </c>
      <c r="EV395" s="836">
        <f>+IF(OR(ED395=EC395,EV$44=1),0,
IF(AND(EV$44&gt;1,ED395=$N395),1-SUM($EN395:EU395),
IF($N395&lt;=1,
IF($N395&gt;0,1/$N395,0),
IF(EV$44=2,0,VDB(1,0,$N395,INT(EV$44-2-1),MIN($N395,INT(EV$44-2-1)+1),$DC395,IF($DD395="No",1,0))/
IF(EC395&gt;=INT($N395),$N395-INT($N395),1)))*
IF(EV$44=2,0,
IF(INT(ED395)=INT(EC395),ED395-EC395,INT(ED395)-EC395))+
IF($N395&lt;=1,
IF($N395&gt;0,1/$N395,0),VDB(1,0,$N395,INT(EV$44-2),MIN($N395,INT(EV$44-2)+1),$DC395,IF($DD395="No",1,0))/
IF(ED395&gt;INT($N395),$N395-INT($N395),1))*
IF(EV$44=2,ED395,
IF(INT(ED395)=INT(EC395),0,ED395-INT(ED395)))))</f>
        <v>0</v>
      </c>
      <c r="EW395" s="833"/>
      <c r="EX395" s="834">
        <f t="shared" ca="1" si="675"/>
        <v>0</v>
      </c>
      <c r="EY395" s="835">
        <f t="shared" ca="1" si="675"/>
        <v>0</v>
      </c>
      <c r="EZ395" s="836">
        <f t="shared" ca="1" si="675"/>
        <v>0</v>
      </c>
      <c r="FA395" s="834">
        <f t="shared" ca="1" si="675"/>
        <v>0</v>
      </c>
      <c r="FB395" s="835">
        <f t="shared" ca="1" si="675"/>
        <v>0</v>
      </c>
      <c r="FC395" s="835">
        <f t="shared" ca="1" si="675"/>
        <v>0</v>
      </c>
      <c r="FD395" s="835">
        <f t="shared" ca="1" si="675"/>
        <v>0</v>
      </c>
      <c r="FE395" s="836">
        <f t="shared" ca="1" si="675"/>
        <v>0</v>
      </c>
      <c r="FG395" s="386">
        <f t="shared" ca="1" si="659"/>
        <v>0</v>
      </c>
      <c r="FH395" s="387">
        <f t="shared" ca="1" si="660"/>
        <v>0</v>
      </c>
      <c r="FI395" s="388">
        <f t="shared" ca="1" si="661"/>
        <v>0</v>
      </c>
      <c r="FJ395" s="386">
        <f t="shared" ca="1" si="662"/>
        <v>0</v>
      </c>
      <c r="FK395" s="387">
        <f t="shared" ca="1" si="663"/>
        <v>0</v>
      </c>
      <c r="FL395" s="387">
        <f t="shared" ca="1" si="664"/>
        <v>0</v>
      </c>
      <c r="FM395" s="387">
        <f t="shared" ca="1" si="665"/>
        <v>0</v>
      </c>
      <c r="FN395" s="388">
        <f t="shared" ca="1" si="666"/>
        <v>0</v>
      </c>
    </row>
    <row r="396" spans="2:174" ht="12.75" thickBot="1">
      <c r="B396" s="1410">
        <f t="shared" si="670"/>
        <v>350</v>
      </c>
      <c r="C396" s="404"/>
      <c r="D396" s="412"/>
      <c r="E396" s="406"/>
      <c r="F396" s="406"/>
      <c r="G396" s="404"/>
      <c r="H396" s="2092"/>
      <c r="I396" s="2093"/>
      <c r="J396" s="413"/>
      <c r="K396" s="407"/>
      <c r="L396" s="407"/>
      <c r="M396" s="407"/>
      <c r="N396" s="407"/>
      <c r="O396" s="347"/>
      <c r="P396" s="347"/>
      <c r="Q396" s="1026"/>
      <c r="R396" s="1027"/>
      <c r="S396" s="1027"/>
      <c r="T396" s="1027"/>
      <c r="U396" s="1028"/>
      <c r="V396" s="1026"/>
      <c r="W396" s="1027"/>
      <c r="X396" s="1027"/>
      <c r="Y396" s="1027"/>
      <c r="Z396" s="1028"/>
      <c r="AA396" s="1024"/>
      <c r="AB396" s="1026"/>
      <c r="AC396" s="1027"/>
      <c r="AD396" s="1027"/>
      <c r="AE396" s="1027"/>
      <c r="AF396" s="1028"/>
      <c r="AG396" s="1026"/>
      <c r="AH396" s="1027"/>
      <c r="AI396" s="1027"/>
      <c r="AJ396" s="1027"/>
      <c r="AK396" s="1028"/>
      <c r="AL396" s="1024"/>
      <c r="AM396" s="1026"/>
      <c r="AN396" s="1027"/>
      <c r="AO396" s="1027"/>
      <c r="AP396" s="1027"/>
      <c r="AQ396" s="1028"/>
      <c r="AR396" s="1026"/>
      <c r="AS396" s="1027"/>
      <c r="AT396" s="1027"/>
      <c r="AU396" s="1027"/>
      <c r="AV396" s="1028"/>
      <c r="AW396" s="1025"/>
      <c r="AX396" s="1284">
        <f t="shared" si="635"/>
        <v>0</v>
      </c>
      <c r="AY396" s="390">
        <f t="shared" si="636"/>
        <v>0</v>
      </c>
      <c r="AZ396" s="390">
        <f t="shared" si="637"/>
        <v>0</v>
      </c>
      <c r="BA396" s="390">
        <f t="shared" si="638"/>
        <v>0</v>
      </c>
      <c r="BB396" s="1285">
        <f t="shared" si="639"/>
        <v>0</v>
      </c>
      <c r="BC396" s="389">
        <f t="shared" si="640"/>
        <v>0</v>
      </c>
      <c r="BD396" s="390">
        <f t="shared" si="641"/>
        <v>0</v>
      </c>
      <c r="BE396" s="1278">
        <f t="shared" si="671"/>
        <v>0</v>
      </c>
      <c r="BF396" s="1278">
        <f t="shared" si="671"/>
        <v>0</v>
      </c>
      <c r="BG396" s="391">
        <f t="shared" si="671"/>
        <v>0</v>
      </c>
      <c r="BH396" s="1025"/>
      <c r="BI396" s="1284">
        <f t="shared" ca="1" si="643"/>
        <v>0</v>
      </c>
      <c r="BJ396" s="390">
        <f t="shared" ca="1" si="644"/>
        <v>0</v>
      </c>
      <c r="BK396" s="390">
        <f t="shared" ca="1" si="645"/>
        <v>0</v>
      </c>
      <c r="BL396" s="390">
        <f t="shared" ca="1" si="646"/>
        <v>0</v>
      </c>
      <c r="BM396" s="1285">
        <f t="shared" ca="1" si="647"/>
        <v>0</v>
      </c>
      <c r="BN396" s="389">
        <f t="shared" ca="1" si="672"/>
        <v>0</v>
      </c>
      <c r="BO396" s="390">
        <f t="shared" ca="1" si="672"/>
        <v>0</v>
      </c>
      <c r="BP396" s="1278">
        <f t="shared" ca="1" si="672"/>
        <v>0</v>
      </c>
      <c r="BQ396" s="1278">
        <f t="shared" ca="1" si="672"/>
        <v>0</v>
      </c>
      <c r="BR396" s="391">
        <f t="shared" ca="1" si="672"/>
        <v>0</v>
      </c>
      <c r="BS396" s="1025"/>
      <c r="BT396" s="1284">
        <f>+IF($K396="Ongoing",AX396,IF(RIGHT($K396,2)=RIGHT(BT$43,2),SUM($AX396:AX396),0)+IF(RIGHT(BT$43,2)&gt;RIGHT($K396,2),AX396,0))</f>
        <v>0</v>
      </c>
      <c r="BU396" s="390">
        <f>+IF($K396="Ongoing",AY396,IF(RIGHT($K396,2)=RIGHT(BU$43,2),SUM($AX396:AY396),0)+IF(RIGHT(BU$43,2)&gt;RIGHT($K396,2),AY396,0))</f>
        <v>0</v>
      </c>
      <c r="BV396" s="390">
        <f>+IF($K396="Ongoing",AZ396,IF(RIGHT($K396,2)=RIGHT(BV$43,2),SUM($AX396:AZ396),0)+IF(RIGHT(BV$43,2)&gt;RIGHT($K396,2),AZ396,0))</f>
        <v>0</v>
      </c>
      <c r="BW396" s="390">
        <f>+IF($K396="Ongoing",BA396,IF(RIGHT($K396,2)=RIGHT(BW$43,2),SUM($AX396:BA396),0)+IF(RIGHT(BW$43,2)&gt;RIGHT($K396,2),BA396,0))</f>
        <v>0</v>
      </c>
      <c r="BX396" s="1285">
        <f>+IF($K396="Ongoing",BB396,IF(RIGHT($K396,2)=RIGHT(BX$43,2),SUM($AX396:BB396),0)+IF(RIGHT(BX$43,2)&gt;RIGHT($K396,2),BB396,0))</f>
        <v>0</v>
      </c>
      <c r="BY396" s="389">
        <f>+IF($K396="Ongoing",BC396,IF(RIGHT($K396,2)=RIGHT(BY$43,2),SUM($AX396:BC396),0)+IF(RIGHT(BY$43,2)&gt;RIGHT($K396,2),BC396,0))</f>
        <v>0</v>
      </c>
      <c r="BZ396" s="390">
        <f>+IF($K396="Ongoing",BD396,IF(RIGHT($K396,2)=RIGHT(BZ$43,2),SUM($AX396:BD396),0)+IF(RIGHT(BZ$43,2)&gt;RIGHT($K396,2),BD396,0))</f>
        <v>0</v>
      </c>
      <c r="CA396" s="1278">
        <f>+IF($K396="Ongoing",BE396,IF(RIGHT($K396,2)=RIGHT(CA$43,2),SUM($AX396:BE396),0)+IF(RIGHT(CA$43,2)&gt;RIGHT($K396,2),BE396,0))</f>
        <v>0</v>
      </c>
      <c r="CB396" s="1278">
        <f>+IF($K396="Ongoing",BF396,IF(RIGHT($K396,2)=RIGHT(CB$43,2),SUM($AX396:BF396),0)+IF(RIGHT(CB$43,2)&gt;RIGHT($K396,2),BF396,0))</f>
        <v>0</v>
      </c>
      <c r="CC396" s="391">
        <f>+IF($K396="Ongoing",BG396,IF(RIGHT($K396,2)=RIGHT(CC$43,2),SUM($AX396:BG396),0)+IF(RIGHT(CC$43,2)&gt;RIGHT($K396,2),BG396,0))</f>
        <v>0</v>
      </c>
      <c r="CD396" s="1025"/>
      <c r="CE396" s="1284">
        <f>+Q396*KeyAssumptionsPriceControl_FO!AF$15</f>
        <v>0</v>
      </c>
      <c r="CF396" s="390">
        <f>+R396*KeyAssumptionsPriceControl_FO!AG$15</f>
        <v>0</v>
      </c>
      <c r="CG396" s="390">
        <f>+S396*KeyAssumptionsPriceControl_FO!AH$15</f>
        <v>0</v>
      </c>
      <c r="CH396" s="390">
        <f>+T396*KeyAssumptionsPriceControl_FO!AI$15</f>
        <v>0</v>
      </c>
      <c r="CI396" s="1285">
        <f>+U396*KeyAssumptionsPriceControl_FO!AJ$15</f>
        <v>0</v>
      </c>
      <c r="CJ396" s="389">
        <f>+V396*KeyAssumptionsPriceControl_FO!AK$15</f>
        <v>0</v>
      </c>
      <c r="CK396" s="390">
        <f>+W396*KeyAssumptionsPriceControl_FO!AL$15</f>
        <v>0</v>
      </c>
      <c r="CL396" s="1278">
        <f>+X396*KeyAssumptionsPriceControl_FO!AM$15</f>
        <v>0</v>
      </c>
      <c r="CM396" s="1278">
        <f>+Y396*KeyAssumptionsPriceControl_FO!AN$15</f>
        <v>0</v>
      </c>
      <c r="CN396" s="391">
        <f>+Z396*KeyAssumptionsPriceControl_FO!AO$15</f>
        <v>0</v>
      </c>
      <c r="CO396" s="1025"/>
      <c r="CP396" s="1284">
        <f t="shared" ca="1" si="649"/>
        <v>0</v>
      </c>
      <c r="CQ396" s="390">
        <f t="shared" ca="1" si="650"/>
        <v>0</v>
      </c>
      <c r="CR396" s="390">
        <f t="shared" ca="1" si="651"/>
        <v>0</v>
      </c>
      <c r="CS396" s="390">
        <f t="shared" ca="1" si="652"/>
        <v>0</v>
      </c>
      <c r="CT396" s="1285">
        <f t="shared" ca="1" si="653"/>
        <v>0</v>
      </c>
      <c r="CU396" s="389">
        <f t="shared" ca="1" si="654"/>
        <v>0</v>
      </c>
      <c r="CV396" s="390">
        <f t="shared" ca="1" si="655"/>
        <v>0</v>
      </c>
      <c r="CW396" s="1278">
        <f t="shared" ca="1" si="656"/>
        <v>0</v>
      </c>
      <c r="CX396" s="1278">
        <f t="shared" ca="1" si="657"/>
        <v>0</v>
      </c>
      <c r="CY396" s="391">
        <f t="shared" ca="1" si="658"/>
        <v>0</v>
      </c>
      <c r="CZ396" s="347"/>
      <c r="DA396" s="852"/>
      <c r="DB396" s="347"/>
      <c r="DC396" s="1013" t="s">
        <v>517</v>
      </c>
      <c r="DD396" s="841" t="s">
        <v>518</v>
      </c>
      <c r="DE396" s="389">
        <f>+IF($K396="ongoing",CE396,IF(RIGHT($K396,2)=RIGHT(DE$43,2),SUM($CD396:CE396),0)+IF(RIGHT(DE$43,2)&gt;RIGHT($K396,2),CE396,0))</f>
        <v>0</v>
      </c>
      <c r="DF396" s="390">
        <f>+IF($K396="ongoing",CF396,IF(RIGHT($K396,2)=RIGHT(DF$43,2),SUM($CD396:CF396),0)+IF(RIGHT(DF$43,2)&gt;RIGHT($K396,2),CF396,0))</f>
        <v>0</v>
      </c>
      <c r="DG396" s="391">
        <f>+IF($K396="ongoing",CG396,IF(RIGHT($K396,2)=RIGHT(DG$43,2),SUM($CD396:CG396),0)+IF(RIGHT(DG$43,2)&gt;RIGHT($K396,2),CG396,0))</f>
        <v>0</v>
      </c>
      <c r="DH396" s="389">
        <f>+IF($K396="ongoing",CH396,IF(RIGHT($K396,2)=RIGHT(DH$43,2),SUM($CD396:CH396),0)+IF(RIGHT(DH$43,2)&gt;RIGHT($K396,2),CH396,0))</f>
        <v>0</v>
      </c>
      <c r="DI396" s="390">
        <f>+IF($K396="ongoing",CI396,IF(RIGHT($K396,2)=RIGHT(DI$43,2),SUM($CD396:CI396),0)+IF(RIGHT(DI$43,2)&gt;RIGHT($K396,2),CI396,0))</f>
        <v>0</v>
      </c>
      <c r="DJ396" s="390">
        <f>+IF($K396="ongoing",CJ396,IF(RIGHT($K396,2)=RIGHT(DJ$43,2),SUM($CD396:CJ396),0)+IF(RIGHT(DJ$43,2)&gt;RIGHT($K396,2),CJ396,0))</f>
        <v>0</v>
      </c>
      <c r="DK396" s="390">
        <f>+IF($K396="ongoing",CK396,IF(RIGHT($K396,2)=RIGHT(DK$43,2),SUM($CD396:CK396),0)+IF(RIGHT(DK$43,2)&gt;RIGHT($K396,2),CK396,0))</f>
        <v>0</v>
      </c>
      <c r="DL396" s="391">
        <f>+IF($K396="ongoing",CN396,IF(RIGHT($K396,2)=RIGHT(DL$43,2),SUM($CD396:CN396),0)+IF(RIGHT(DL$43,2)&gt;RIGHT($K396,2),CN396,0))</f>
        <v>0</v>
      </c>
      <c r="DM396" s="841"/>
      <c r="DN396" s="389">
        <f t="shared" si="673"/>
        <v>0.5</v>
      </c>
      <c r="DO396" s="390">
        <f t="shared" si="673"/>
        <v>1</v>
      </c>
      <c r="DP396" s="391">
        <f t="shared" si="673"/>
        <v>1</v>
      </c>
      <c r="DQ396" s="389">
        <f t="shared" si="673"/>
        <v>1</v>
      </c>
      <c r="DR396" s="390">
        <f t="shared" si="673"/>
        <v>1</v>
      </c>
      <c r="DS396" s="390">
        <f t="shared" si="673"/>
        <v>1</v>
      </c>
      <c r="DT396" s="390">
        <f t="shared" si="673"/>
        <v>1</v>
      </c>
      <c r="DU396" s="391">
        <f t="shared" si="673"/>
        <v>1</v>
      </c>
      <c r="DW396" s="389">
        <f t="shared" si="674"/>
        <v>0</v>
      </c>
      <c r="DX396" s="390">
        <f t="shared" si="674"/>
        <v>0.5</v>
      </c>
      <c r="DY396" s="391">
        <f t="shared" si="674"/>
        <v>1</v>
      </c>
      <c r="DZ396" s="389">
        <f t="shared" si="674"/>
        <v>1</v>
      </c>
      <c r="EA396" s="390">
        <f t="shared" si="674"/>
        <v>1</v>
      </c>
      <c r="EB396" s="390">
        <f t="shared" si="674"/>
        <v>1</v>
      </c>
      <c r="EC396" s="390">
        <f t="shared" si="674"/>
        <v>1</v>
      </c>
      <c r="ED396" s="391">
        <f t="shared" si="674"/>
        <v>1</v>
      </c>
      <c r="EF396" s="837">
        <f>+IF(DN396=DM396,0,
IF(AND(EF$44&gt;1,DN396=$N396),1-SUM($EE396:EE396),
IF($N396&lt;=1,
IF($N396&gt;0,1/$N396,0),
IF(EF$44=1,0,VDB(1,0,$N396,INT(EF$44-1-1),MIN($N396,INT(EF$44-1-1)+1),$DC396,IF($DD396="No",1,0))/
IF(DM396&gt;=INT($N396),$N396-INT($N396),1)))*
IF(EF$44=1,0,
IF(INT(DN396)=INT(DM396),DN396-DM396,INT(DN396)-DM396))+
IF($N396&lt;=1,
IF($N396&gt;0,1/$N396,0),VDB(1,0,$N396,INT(EF$44-1),MIN($N396,INT(EF$44-1)+1),$DC396,IF($DD396="No",1,0))/
IF(DN396&gt;INT($N396),$N396-INT($N396),1))*
IF(EF$44=1,DN396,
IF(INT(DN396)=INT(DM396),0,DN396-INT(DN396)))))</f>
        <v>0</v>
      </c>
      <c r="EG396" s="838">
        <f>+IF(DO396=DN396,0,
IF(AND(EG$44&gt;1,DO396=$N396),1-SUM($EE396:EF396),
IF($N396&lt;=1,
IF($N396&gt;0,1/$N396,0),
IF(EG$44=1,0,VDB(1,0,$N396,INT(EG$44-1-1),MIN($N396,INT(EG$44-1-1)+1),$DC396,IF($DD396="No",1,0))/
IF(DN396&gt;=INT($N396),$N396-INT($N396),1)))*
IF(EG$44=1,0,
IF(INT(DO396)=INT(DN396),DO396-DN396,INT(DO396)-DN396))+
IF($N396&lt;=1,
IF($N396&gt;0,1/$N396,0),VDB(1,0,$N396,INT(EG$44-1),MIN($N396,INT(EG$44-1)+1),$DC396,IF($DD396="No",1,0))/
IF(DO396&gt;INT($N396),$N396-INT($N396),1))*
IF(EG$44=1,DO396,
IF(INT(DO396)=INT(DN396),0,DO396-INT(DO396)))))</f>
        <v>0</v>
      </c>
      <c r="EH396" s="839">
        <f>+IF(DP396=DO396,0,
IF(AND(EH$44&gt;1,DP396=$N396),1-SUM($EE396:EG396),
IF($N396&lt;=1,
IF($N396&gt;0,1/$N396,0),
IF(EH$44=1,0,VDB(1,0,$N396,INT(EH$44-1-1),MIN($N396,INT(EH$44-1-1)+1),$DC396,IF($DD396="No",1,0))/
IF(DO396&gt;=INT($N396),$N396-INT($N396),1)))*
IF(EH$44=1,0,
IF(INT(DP396)=INT(DO396),DP396-DO396,INT(DP396)-DO396))+
IF($N396&lt;=1,
IF($N396&gt;0,1/$N396,0),VDB(1,0,$N396,INT(EH$44-1),MIN($N396,INT(EH$44-1)+1),$DC396,IF($DD396="No",1,0))/
IF(DP396&gt;INT($N396),$N396-INT($N396),1))*
IF(EH$44=1,DP396,
IF(INT(DP396)=INT(DO396),0,DP396-INT(DP396)))))</f>
        <v>0</v>
      </c>
      <c r="EI396" s="837">
        <f>+IF(DQ396=DP396,0,
IF(AND(EI$44&gt;1,DQ396=$N396),1-SUM($EE396:EH396),
IF($N396&lt;=1,
IF($N396&gt;0,1/$N396,0),
IF(EI$44=1,0,VDB(1,0,$N396,INT(EI$44-1-1),MIN($N396,INT(EI$44-1-1)+1),$DC396,IF($DD396="No",1,0))/
IF(DP396&gt;=INT($N396),$N396-INT($N396),1)))*
IF(EI$44=1,0,
IF(INT(DQ396)=INT(DP396),DQ396-DP396,INT(DQ396)-DP396))+
IF($N396&lt;=1,
IF($N396&gt;0,1/$N396,0),VDB(1,0,$N396,INT(EI$44-1),MIN($N396,INT(EI$44-1)+1),$DC396,IF($DD396="No",1,0))/
IF(DQ396&gt;INT($N396),$N396-INT($N396),1))*
IF(EI$44=1,DQ396,
IF(INT(DQ396)=INT(DP396),0,DQ396-INT(DQ396)))))</f>
        <v>0</v>
      </c>
      <c r="EJ396" s="838">
        <f>+IF(DR396=DQ396,0,
IF(AND(EJ$44&gt;1,DR396=$N396),1-SUM($EE396:EI396),
IF($N396&lt;=1,
IF($N396&gt;0,1/$N396,0),
IF(EJ$44=1,0,VDB(1,0,$N396,INT(EJ$44-1-1),MIN($N396,INT(EJ$44-1-1)+1),$DC396,IF($DD396="No",1,0))/
IF(DQ396&gt;=INT($N396),$N396-INT($N396),1)))*
IF(EJ$44=1,0,
IF(INT(DR396)=INT(DQ396),DR396-DQ396,INT(DR396)-DQ396))+
IF($N396&lt;=1,
IF($N396&gt;0,1/$N396,0),VDB(1,0,$N396,INT(EJ$44-1),MIN($N396,INT(EJ$44-1)+1),$DC396,IF($DD396="No",1,0))/
IF(DR396&gt;INT($N396),$N396-INT($N396),1))*
IF(EJ$44=1,DR396,
IF(INT(DR396)=INT(DQ396),0,DR396-INT(DR396)))))</f>
        <v>0</v>
      </c>
      <c r="EK396" s="838">
        <f>+IF(DS396=DR396,0,
IF(AND(EK$44&gt;1,DS396=$N396),1-SUM($EE396:EJ396),
IF($N396&lt;=1,
IF($N396&gt;0,1/$N396,0),
IF(EK$44=1,0,VDB(1,0,$N396,INT(EK$44-1-1),MIN($N396,INT(EK$44-1-1)+1),$DC396,IF($DD396="No",1,0))/
IF(DR396&gt;=INT($N396),$N396-INT($N396),1)))*
IF(EK$44=1,0,
IF(INT(DS396)=INT(DR396),DS396-DR396,INT(DS396)-DR396))+
IF($N396&lt;=1,
IF($N396&gt;0,1/$N396,0),VDB(1,0,$N396,INT(EK$44-1),MIN($N396,INT(EK$44-1)+1),$DC396,IF($DD396="No",1,0))/
IF(DS396&gt;INT($N396),$N396-INT($N396),1))*
IF(EK$44=1,DS396,
IF(INT(DS396)=INT(DR396),0,DS396-INT(DS396)))))</f>
        <v>0</v>
      </c>
      <c r="EL396" s="838">
        <f>+IF(DT396=DS396,0,
IF(AND(EL$44&gt;1,DT396=$N396),1-SUM($EE396:EK396),
IF($N396&lt;=1,
IF($N396&gt;0,1/$N396,0),
IF(EL$44=1,0,VDB(1,0,$N396,INT(EL$44-1-1),MIN($N396,INT(EL$44-1-1)+1),$DC396,IF($DD396="No",1,0))/
IF(DS396&gt;=INT($N396),$N396-INT($N396),1)))*
IF(EL$44=1,0,
IF(INT(DT396)=INT(DS396),DT396-DS396,INT(DT396)-DS396))+
IF($N396&lt;=1,
IF($N396&gt;0,1/$N396,0),VDB(1,0,$N396,INT(EL$44-1),MIN($N396,INT(EL$44-1)+1),$DC396,IF($DD396="No",1,0))/
IF(DT396&gt;INT($N396),$N396-INT($N396),1))*
IF(EL$44=1,DT396,
IF(INT(DT396)=INT(DS396),0,DT396-INT(DT396)))))</f>
        <v>0</v>
      </c>
      <c r="EM396" s="839">
        <f>+IF(DU396=DT396,0,
IF(AND(EM$44&gt;1,DU396=$N396),1-SUM($EE396:EL396),
IF($N396&lt;=1,
IF($N396&gt;0,1/$N396,0),
IF(EM$44=1,0,VDB(1,0,$N396,INT(EM$44-1-1),MIN($N396,INT(EM$44-1-1)+1),$DC396,IF($DD396="No",1,0))/
IF(DT396&gt;=INT($N396),$N396-INT($N396),1)))*
IF(EM$44=1,0,
IF(INT(DU396)=INT(DT396),DU396-DT396,INT(DU396)-DT396))+
IF($N396&lt;=1,
IF($N396&gt;0,1/$N396,0),VDB(1,0,$N396,INT(EM$44-1),MIN($N396,INT(EM$44-1)+1),$DC396,IF($DD396="No",1,0))/
IF(DU396&gt;INT($N396),$N396-INT($N396),1))*
IF(EM$44=1,DU396,
IF(INT(DU396)=INT(DT396),0,DU396-INT(DU396)))))</f>
        <v>0</v>
      </c>
      <c r="EN396" s="833"/>
      <c r="EO396" s="837">
        <f>+IF(OR(DW396=DV396,EO$44=1),0,
IF(AND(EO$44&gt;1,DW396=$N396),1-SUM($EN396:EN396),
IF($N396&lt;=1,
IF($N396&gt;0,1/$N396,0),
IF(EO$44=2,0,VDB(1,0,$N396,INT(EO$44-2-1),MIN($N396,INT(EO$44-2-1)+1),$DC396,IF($DD396="No",1,0))/
IF(DV396&gt;=INT($N396),$N396-INT($N396),1)))*
IF(EO$44=2,0,
IF(INT(DW396)=INT(DV396),DW396-DV396,INT(DW396)-DV396))+
IF($N396&lt;=1,
IF($N396&gt;0,1/$N396,0),VDB(1,0,$N396,INT(EO$44-2),MIN($N396,INT(EO$44-2)+1),$DC396,IF($DD396="No",1,0))/
IF(DW396&gt;INT($N396),$N396-INT($N396),1))*
IF(EO$44=2,DW396,
IF(INT(DW396)=INT(DV396),0,DW396-INT(DW396)))))</f>
        <v>0</v>
      </c>
      <c r="EP396" s="838">
        <f>+IF(OR(DX396=DW396,EP$44=1),0,
IF(AND(EP$44&gt;1,DX396=$N396),1-SUM($EN396:EO396),
IF($N396&lt;=1,
IF($N396&gt;0,1/$N396,0),
IF(EP$44=2,0,VDB(1,0,$N396,INT(EP$44-2-1),MIN($N396,INT(EP$44-2-1)+1),$DC396,IF($DD396="No",1,0))/
IF(DW396&gt;=INT($N396),$N396-INT($N396),1)))*
IF(EP$44=2,0,
IF(INT(DX396)=INT(DW396),DX396-DW396,INT(DX396)-DW396))+
IF($N396&lt;=1,
IF($N396&gt;0,1/$N396,0),VDB(1,0,$N396,INT(EP$44-2),MIN($N396,INT(EP$44-2)+1),$DC396,IF($DD396="No",1,0))/
IF(DX396&gt;INT($N396),$N396-INT($N396),1))*
IF(EP$44=2,DX396,
IF(INT(DX396)=INT(DW396),0,DX396-INT(DX396)))))</f>
        <v>0</v>
      </c>
      <c r="EQ396" s="839">
        <f>+IF(OR(DY396=DX396,EQ$44=1),0,
IF(AND(EQ$44&gt;1,DY396=$N396),1-SUM($EN396:EP396),
IF($N396&lt;=1,
IF($N396&gt;0,1/$N396,0),
IF(EQ$44=2,0,VDB(1,0,$N396,INT(EQ$44-2-1),MIN($N396,INT(EQ$44-2-1)+1),$DC396,IF($DD396="No",1,0))/
IF(DX396&gt;=INT($N396),$N396-INT($N396),1)))*
IF(EQ$44=2,0,
IF(INT(DY396)=INT(DX396),DY396-DX396,INT(DY396)-DX396))+
IF($N396&lt;=1,
IF($N396&gt;0,1/$N396,0),VDB(1,0,$N396,INT(EQ$44-2),MIN($N396,INT(EQ$44-2)+1),$DC396,IF($DD396="No",1,0))/
IF(DY396&gt;INT($N396),$N396-INT($N396),1))*
IF(EQ$44=2,DY396,
IF(INT(DY396)=INT(DX396),0,DY396-INT(DY396)))))</f>
        <v>0</v>
      </c>
      <c r="ER396" s="837">
        <f>+IF(OR(DZ396=DY396,ER$44=1),0,
IF(AND(ER$44&gt;1,DZ396=$N396),1-SUM($EN396:EQ396),
IF($N396&lt;=1,
IF($N396&gt;0,1/$N396,0),
IF(ER$44=2,0,VDB(1,0,$N396,INT(ER$44-2-1),MIN($N396,INT(ER$44-2-1)+1),$DC396,IF($DD396="No",1,0))/
IF(DY396&gt;=INT($N396),$N396-INT($N396),1)))*
IF(ER$44=2,0,
IF(INT(DZ396)=INT(DY396),DZ396-DY396,INT(DZ396)-DY396))+
IF($N396&lt;=1,
IF($N396&gt;0,1/$N396,0),VDB(1,0,$N396,INT(ER$44-2),MIN($N396,INT(ER$44-2)+1),$DC396,IF($DD396="No",1,0))/
IF(DZ396&gt;INT($N396),$N396-INT($N396),1))*
IF(ER$44=2,DZ396,
IF(INT(DZ396)=INT(DY396),0,DZ396-INT(DZ396)))))</f>
        <v>0</v>
      </c>
      <c r="ES396" s="838">
        <f>+IF(OR(EA396=DZ396,ES$44=1),0,
IF(AND(ES$44&gt;1,EA396=$N396),1-SUM($EN396:ER396),
IF($N396&lt;=1,
IF($N396&gt;0,1/$N396,0),
IF(ES$44=2,0,VDB(1,0,$N396,INT(ES$44-2-1),MIN($N396,INT(ES$44-2-1)+1),$DC396,IF($DD396="No",1,0))/
IF(DZ396&gt;=INT($N396),$N396-INT($N396),1)))*
IF(ES$44=2,0,
IF(INT(EA396)=INT(DZ396),EA396-DZ396,INT(EA396)-DZ396))+
IF($N396&lt;=1,
IF($N396&gt;0,1/$N396,0),VDB(1,0,$N396,INT(ES$44-2),MIN($N396,INT(ES$44-2)+1),$DC396,IF($DD396="No",1,0))/
IF(EA396&gt;INT($N396),$N396-INT($N396),1))*
IF(ES$44=2,EA396,
IF(INT(EA396)=INT(DZ396),0,EA396-INT(EA396)))))</f>
        <v>0</v>
      </c>
      <c r="ET396" s="838">
        <f>+IF(OR(EB396=EA396,ET$44=1),0,
IF(AND(ET$44&gt;1,EB396=$N396),1-SUM($EN396:ES396),
IF($N396&lt;=1,
IF($N396&gt;0,1/$N396,0),
IF(ET$44=2,0,VDB(1,0,$N396,INT(ET$44-2-1),MIN($N396,INT(ET$44-2-1)+1),$DC396,IF($DD396="No",1,0))/
IF(EA396&gt;=INT($N396),$N396-INT($N396),1)))*
IF(ET$44=2,0,
IF(INT(EB396)=INT(EA396),EB396-EA396,INT(EB396)-EA396))+
IF($N396&lt;=1,
IF($N396&gt;0,1/$N396,0),VDB(1,0,$N396,INT(ET$44-2),MIN($N396,INT(ET$44-2)+1),$DC396,IF($DD396="No",1,0))/
IF(EB396&gt;INT($N396),$N396-INT($N396),1))*
IF(ET$44=2,EB396,
IF(INT(EB396)=INT(EA396),0,EB396-INT(EB396)))))</f>
        <v>0</v>
      </c>
      <c r="EU396" s="838">
        <f>+IF(OR(EC396=EB396,EU$44=1),0,
IF(AND(EU$44&gt;1,EC396=$N396),1-SUM($EN396:ET396),
IF($N396&lt;=1,
IF($N396&gt;0,1/$N396,0),
IF(EU$44=2,0,VDB(1,0,$N396,INT(EU$44-2-1),MIN($N396,INT(EU$44-2-1)+1),$DC396,IF($DD396="No",1,0))/
IF(EB396&gt;=INT($N396),$N396-INT($N396),1)))*
IF(EU$44=2,0,
IF(INT(EC396)=INT(EB396),EC396-EB396,INT(EC396)-EB396))+
IF($N396&lt;=1,
IF($N396&gt;0,1/$N396,0),VDB(1,0,$N396,INT(EU$44-2),MIN($N396,INT(EU$44-2)+1),$DC396,IF($DD396="No",1,0))/
IF(EC396&gt;INT($N396),$N396-INT($N396),1))*
IF(EU$44=2,EC396,
IF(INT(EC396)=INT(EB396),0,EC396-INT(EC396)))))</f>
        <v>0</v>
      </c>
      <c r="EV396" s="839">
        <f>+IF(OR(ED396=EC396,EV$44=1),0,
IF(AND(EV$44&gt;1,ED396=$N396),1-SUM($EN396:EU396),
IF($N396&lt;=1,
IF($N396&gt;0,1/$N396,0),
IF(EV$44=2,0,VDB(1,0,$N396,INT(EV$44-2-1),MIN($N396,INT(EV$44-2-1)+1),$DC396,IF($DD396="No",1,0))/
IF(EC396&gt;=INT($N396),$N396-INT($N396),1)))*
IF(EV$44=2,0,
IF(INT(ED396)=INT(EC396),ED396-EC396,INT(ED396)-EC396))+
IF($N396&lt;=1,
IF($N396&gt;0,1/$N396,0),VDB(1,0,$N396,INT(EV$44-2),MIN($N396,INT(EV$44-2)+1),$DC396,IF($DD396="No",1,0))/
IF(ED396&gt;INT($N396),$N396-INT($N396),1))*
IF(EV$44=2,ED396,
IF(INT(ED396)=INT(EC396),0,ED396-INT(ED396)))))</f>
        <v>0</v>
      </c>
      <c r="EW396" s="833"/>
      <c r="EX396" s="837">
        <f t="shared" ca="1" si="675"/>
        <v>0</v>
      </c>
      <c r="EY396" s="838">
        <f t="shared" ca="1" si="675"/>
        <v>0</v>
      </c>
      <c r="EZ396" s="839">
        <f t="shared" ca="1" si="675"/>
        <v>0</v>
      </c>
      <c r="FA396" s="837">
        <f t="shared" ca="1" si="675"/>
        <v>0</v>
      </c>
      <c r="FB396" s="838">
        <f t="shared" ca="1" si="675"/>
        <v>0</v>
      </c>
      <c r="FC396" s="838">
        <f t="shared" ca="1" si="675"/>
        <v>0</v>
      </c>
      <c r="FD396" s="838">
        <f t="shared" ca="1" si="675"/>
        <v>0</v>
      </c>
      <c r="FE396" s="839">
        <f t="shared" ca="1" si="675"/>
        <v>0</v>
      </c>
      <c r="FG396" s="389">
        <f t="shared" ca="1" si="659"/>
        <v>0</v>
      </c>
      <c r="FH396" s="390">
        <f t="shared" ca="1" si="660"/>
        <v>0</v>
      </c>
      <c r="FI396" s="391">
        <f t="shared" ca="1" si="661"/>
        <v>0</v>
      </c>
      <c r="FJ396" s="389">
        <f t="shared" ca="1" si="662"/>
        <v>0</v>
      </c>
      <c r="FK396" s="390">
        <f t="shared" ca="1" si="663"/>
        <v>0</v>
      </c>
      <c r="FL396" s="390">
        <f t="shared" ca="1" si="664"/>
        <v>0</v>
      </c>
      <c r="FM396" s="390">
        <f t="shared" ca="1" si="665"/>
        <v>0</v>
      </c>
      <c r="FN396" s="391">
        <f t="shared" ca="1" si="666"/>
        <v>0</v>
      </c>
    </row>
    <row r="397" spans="2:174">
      <c r="B397" s="1409"/>
      <c r="C397" s="414"/>
      <c r="D397" s="414"/>
      <c r="E397" s="414"/>
      <c r="F397" s="414"/>
      <c r="G397" s="414"/>
      <c r="H397" s="414"/>
      <c r="I397" s="414"/>
      <c r="J397" s="414"/>
      <c r="K397" s="414"/>
      <c r="L397" s="414"/>
      <c r="M397" s="414"/>
      <c r="N397" s="414"/>
      <c r="O397" s="347"/>
      <c r="P397" s="347"/>
      <c r="Q397" s="414"/>
      <c r="R397" s="414"/>
      <c r="S397" s="414"/>
      <c r="T397" s="414"/>
      <c r="U397" s="414"/>
      <c r="V397" s="414"/>
      <c r="W397" s="414"/>
      <c r="X397" s="414"/>
      <c r="Y397" s="414"/>
      <c r="Z397" s="414"/>
      <c r="AA397" s="414"/>
      <c r="AB397" s="414"/>
      <c r="AC397" s="414"/>
      <c r="AD397" s="414"/>
      <c r="AE397" s="414"/>
      <c r="AF397" s="414"/>
      <c r="AG397" s="414"/>
      <c r="AH397" s="414"/>
      <c r="AI397" s="414"/>
      <c r="AJ397" s="414"/>
      <c r="AK397" s="414"/>
      <c r="AL397" s="414"/>
      <c r="AM397" s="414"/>
      <c r="AN397" s="414"/>
      <c r="AO397" s="414"/>
      <c r="AP397" s="414"/>
      <c r="AQ397" s="414"/>
      <c r="AR397" s="414"/>
      <c r="AS397" s="414"/>
      <c r="AT397" s="414"/>
      <c r="AU397" s="414"/>
      <c r="AV397" s="414"/>
      <c r="AW397" s="414"/>
      <c r="AX397" s="414"/>
      <c r="AY397" s="414"/>
      <c r="AZ397" s="414"/>
      <c r="BA397" s="414"/>
      <c r="BB397" s="414"/>
      <c r="BC397" s="414"/>
      <c r="BD397" s="414"/>
      <c r="BE397" s="414"/>
      <c r="BF397" s="414"/>
      <c r="BG397" s="414"/>
      <c r="BH397" s="414"/>
      <c r="BI397" s="414"/>
      <c r="BJ397" s="414"/>
      <c r="BK397" s="347"/>
      <c r="BL397" s="347"/>
      <c r="BM397" s="347"/>
      <c r="BN397" s="347"/>
      <c r="BO397" s="347"/>
      <c r="BP397" s="347"/>
      <c r="BQ397" s="347"/>
      <c r="BR397" s="347"/>
      <c r="BS397" s="347"/>
      <c r="BT397" s="347"/>
      <c r="BU397" s="347"/>
      <c r="BV397" s="347"/>
      <c r="BW397" s="347"/>
      <c r="BX397" s="347"/>
      <c r="BY397" s="347"/>
      <c r="BZ397" s="347"/>
      <c r="CA397" s="347"/>
      <c r="CB397" s="347"/>
      <c r="CC397" s="347"/>
      <c r="CD397" s="347"/>
      <c r="CE397" s="347"/>
      <c r="CF397" s="347"/>
      <c r="CG397" s="347"/>
      <c r="CH397" s="347"/>
      <c r="CI397" s="347"/>
      <c r="CJ397" s="347"/>
      <c r="CK397" s="347"/>
      <c r="CL397" s="347"/>
      <c r="CM397" s="347"/>
      <c r="CN397" s="347"/>
      <c r="CO397" s="347"/>
      <c r="CP397" s="347"/>
      <c r="CQ397" s="347"/>
      <c r="CR397" s="347"/>
      <c r="CS397" s="347"/>
      <c r="CT397" s="347"/>
      <c r="CU397" s="347"/>
      <c r="CV397" s="347"/>
      <c r="CW397" s="347"/>
      <c r="CX397" s="347"/>
      <c r="CY397" s="347"/>
      <c r="CZ397" s="347"/>
      <c r="DA397" s="852"/>
      <c r="DB397" s="347"/>
      <c r="DD397" s="347"/>
      <c r="DM397" s="347"/>
    </row>
    <row r="398" spans="2:174">
      <c r="B398" s="1409"/>
      <c r="C398" s="369"/>
      <c r="D398" s="347"/>
      <c r="E398" s="347"/>
      <c r="F398" s="347"/>
      <c r="G398" s="347"/>
      <c r="H398" s="347"/>
      <c r="I398" s="347"/>
      <c r="J398" s="347"/>
      <c r="K398" s="347"/>
      <c r="L398" s="347"/>
      <c r="M398" s="347"/>
      <c r="N398" s="347"/>
      <c r="O398" s="347"/>
      <c r="P398" s="347"/>
      <c r="Q398" s="347"/>
      <c r="R398" s="347"/>
      <c r="S398" s="347"/>
      <c r="T398" s="347"/>
      <c r="U398" s="347"/>
      <c r="V398" s="347"/>
      <c r="W398" s="347"/>
      <c r="X398" s="347"/>
      <c r="Y398" s="347"/>
      <c r="Z398" s="347"/>
      <c r="AA398" s="347"/>
      <c r="AB398" s="347"/>
      <c r="AC398" s="347"/>
      <c r="AD398" s="347"/>
      <c r="AE398" s="347"/>
      <c r="AF398" s="347"/>
      <c r="AG398" s="347"/>
      <c r="AH398" s="347"/>
      <c r="AI398" s="347"/>
      <c r="AJ398" s="347"/>
      <c r="AK398" s="347"/>
      <c r="AL398" s="347"/>
      <c r="AM398" s="347"/>
      <c r="AN398" s="347"/>
      <c r="AO398" s="347"/>
      <c r="AP398" s="347"/>
      <c r="AQ398" s="347"/>
      <c r="AR398" s="347"/>
      <c r="AS398" s="347"/>
      <c r="AT398" s="347"/>
      <c r="AU398" s="347"/>
      <c r="AV398" s="347"/>
      <c r="AW398" s="347"/>
      <c r="AX398" s="347"/>
      <c r="AY398" s="347"/>
      <c r="AZ398" s="347"/>
      <c r="BA398" s="347"/>
      <c r="BB398" s="347"/>
      <c r="BC398" s="347"/>
      <c r="BD398" s="347"/>
      <c r="BE398" s="347"/>
      <c r="BF398" s="347"/>
      <c r="BG398" s="347"/>
      <c r="BH398" s="347"/>
      <c r="BI398" s="347"/>
      <c r="BJ398" s="347"/>
      <c r="BK398" s="347"/>
      <c r="BL398" s="347"/>
      <c r="BM398" s="347"/>
      <c r="BN398" s="347"/>
      <c r="BO398" s="347"/>
      <c r="BP398" s="347"/>
      <c r="BQ398" s="347"/>
      <c r="BR398" s="347"/>
      <c r="BS398" s="347"/>
      <c r="BT398" s="347"/>
      <c r="BU398" s="347"/>
      <c r="BV398" s="347"/>
      <c r="BW398" s="347"/>
      <c r="BX398" s="347"/>
      <c r="BY398" s="347"/>
      <c r="BZ398" s="347"/>
      <c r="CA398" s="347"/>
      <c r="CB398" s="347"/>
      <c r="CC398" s="347"/>
      <c r="CD398" s="347"/>
      <c r="CE398" s="347"/>
      <c r="CF398" s="347"/>
      <c r="CG398" s="347"/>
      <c r="CH398" s="347"/>
      <c r="CI398" s="347"/>
      <c r="CJ398" s="347"/>
      <c r="CK398" s="347"/>
      <c r="CL398" s="347"/>
      <c r="CM398" s="347"/>
      <c r="CN398" s="347"/>
      <c r="CO398" s="347"/>
      <c r="CP398" s="347"/>
      <c r="CQ398" s="347"/>
      <c r="CR398" s="347"/>
      <c r="CS398" s="347"/>
      <c r="CT398" s="347"/>
      <c r="CU398" s="347"/>
      <c r="CV398" s="347"/>
      <c r="CW398" s="347"/>
      <c r="CX398" s="347"/>
      <c r="CY398" s="347"/>
      <c r="CZ398" s="347"/>
      <c r="DA398" s="852"/>
      <c r="DB398" s="347"/>
      <c r="DD398" s="347"/>
      <c r="DM398" s="347"/>
    </row>
    <row r="399" spans="2:174">
      <c r="B399" s="1409"/>
      <c r="C399" s="347"/>
      <c r="D399" s="347"/>
      <c r="E399" s="347"/>
      <c r="F399" s="347"/>
      <c r="G399" s="347"/>
      <c r="H399" s="347"/>
      <c r="I399" s="347"/>
      <c r="J399" s="347"/>
      <c r="K399" s="347"/>
      <c r="L399" s="347"/>
      <c r="M399" s="347"/>
      <c r="N399" s="347"/>
      <c r="O399" s="347"/>
      <c r="P399" s="347"/>
      <c r="Q399" s="347"/>
      <c r="R399" s="347"/>
      <c r="S399" s="347"/>
      <c r="T399" s="347"/>
      <c r="U399" s="347"/>
      <c r="V399" s="347"/>
      <c r="W399" s="347"/>
      <c r="X399" s="347"/>
      <c r="Y399" s="347"/>
      <c r="Z399" s="347"/>
      <c r="AA399" s="347"/>
      <c r="AB399" s="347"/>
      <c r="AC399" s="347"/>
      <c r="AD399" s="347"/>
      <c r="AE399" s="347"/>
      <c r="AF399" s="347"/>
      <c r="AG399" s="347"/>
      <c r="AH399" s="347"/>
      <c r="AI399" s="347"/>
      <c r="AJ399" s="347"/>
      <c r="AK399" s="347"/>
      <c r="AL399" s="347"/>
      <c r="AM399" s="347"/>
      <c r="AN399" s="347"/>
      <c r="AO399" s="347"/>
      <c r="AP399" s="347"/>
      <c r="AQ399" s="347"/>
      <c r="AR399" s="347"/>
      <c r="AS399" s="347"/>
      <c r="AT399" s="347"/>
      <c r="AU399" s="347"/>
      <c r="AV399" s="347"/>
      <c r="AW399" s="347"/>
      <c r="AX399" s="347"/>
      <c r="AY399" s="347"/>
      <c r="AZ399" s="347"/>
      <c r="BA399" s="347"/>
      <c r="BB399" s="347"/>
      <c r="BC399" s="347"/>
      <c r="BD399" s="347"/>
      <c r="BE399" s="347"/>
      <c r="BF399" s="347"/>
      <c r="BG399" s="347"/>
      <c r="BH399" s="347"/>
      <c r="BI399" s="347"/>
      <c r="BJ399" s="347"/>
      <c r="BK399" s="347"/>
      <c r="BL399" s="347"/>
      <c r="BM399" s="347"/>
      <c r="BN399" s="347"/>
      <c r="BO399" s="347"/>
      <c r="BP399" s="347"/>
      <c r="BQ399" s="347"/>
      <c r="BR399" s="347"/>
      <c r="BS399" s="347"/>
      <c r="BT399" s="347"/>
      <c r="BU399" s="347"/>
      <c r="BV399" s="347"/>
      <c r="BW399" s="347"/>
      <c r="BX399" s="347"/>
      <c r="BY399" s="347"/>
      <c r="BZ399" s="347"/>
      <c r="CA399" s="347"/>
      <c r="CB399" s="347"/>
      <c r="CC399" s="347"/>
      <c r="CD399" s="347"/>
      <c r="CE399" s="347"/>
      <c r="CF399" s="347"/>
      <c r="CG399" s="347"/>
      <c r="CH399" s="347"/>
      <c r="CI399" s="347"/>
      <c r="CJ399" s="347"/>
      <c r="CK399" s="347"/>
      <c r="CL399" s="347"/>
      <c r="CM399" s="347"/>
      <c r="CN399" s="347"/>
      <c r="CO399" s="347"/>
      <c r="CP399" s="347"/>
      <c r="CQ399" s="347"/>
      <c r="CR399" s="347"/>
      <c r="CS399" s="347"/>
      <c r="CT399" s="347"/>
      <c r="CU399" s="347"/>
      <c r="CV399" s="347"/>
      <c r="CW399" s="347"/>
      <c r="CX399" s="347"/>
      <c r="CY399" s="347"/>
      <c r="CZ399" s="347"/>
      <c r="DA399" s="852"/>
      <c r="DB399" s="347"/>
      <c r="DD399" s="347"/>
      <c r="DM399" s="347"/>
    </row>
  </sheetData>
  <autoFilter ref="B45:FR45" xr:uid="{00000000-0001-0000-0600-000000000000}"/>
  <mergeCells count="350">
    <mergeCell ref="H395:I395"/>
    <mergeCell ref="H396:I396"/>
    <mergeCell ref="H389:I389"/>
    <mergeCell ref="H390:I390"/>
    <mergeCell ref="H391:I391"/>
    <mergeCell ref="H392:I392"/>
    <mergeCell ref="H393:I393"/>
    <mergeCell ref="H394:I394"/>
    <mergeCell ref="H383:I383"/>
    <mergeCell ref="H384:I384"/>
    <mergeCell ref="H385:I385"/>
    <mergeCell ref="H386:I386"/>
    <mergeCell ref="H387:I387"/>
    <mergeCell ref="H388:I388"/>
    <mergeCell ref="H377:I377"/>
    <mergeCell ref="H378:I378"/>
    <mergeCell ref="H379:I379"/>
    <mergeCell ref="H380:I380"/>
    <mergeCell ref="H381:I381"/>
    <mergeCell ref="H382:I382"/>
    <mergeCell ref="H371:I371"/>
    <mergeCell ref="H372:I372"/>
    <mergeCell ref="H373:I373"/>
    <mergeCell ref="H374:I374"/>
    <mergeCell ref="H375:I375"/>
    <mergeCell ref="H376:I376"/>
    <mergeCell ref="H365:I365"/>
    <mergeCell ref="H366:I366"/>
    <mergeCell ref="H367:I367"/>
    <mergeCell ref="H368:I368"/>
    <mergeCell ref="H369:I369"/>
    <mergeCell ref="H370:I370"/>
    <mergeCell ref="H359:I359"/>
    <mergeCell ref="H360:I360"/>
    <mergeCell ref="H361:I361"/>
    <mergeCell ref="H362:I362"/>
    <mergeCell ref="H363:I363"/>
    <mergeCell ref="H364:I364"/>
    <mergeCell ref="H353:I353"/>
    <mergeCell ref="H354:I354"/>
    <mergeCell ref="H355:I355"/>
    <mergeCell ref="H356:I356"/>
    <mergeCell ref="H357:I357"/>
    <mergeCell ref="H358:I358"/>
    <mergeCell ref="H347:I347"/>
    <mergeCell ref="H348:I348"/>
    <mergeCell ref="H349:I349"/>
    <mergeCell ref="H350:I350"/>
    <mergeCell ref="H351:I351"/>
    <mergeCell ref="H352:I352"/>
    <mergeCell ref="H341:I341"/>
    <mergeCell ref="H342:I342"/>
    <mergeCell ref="H343:I343"/>
    <mergeCell ref="H344:I344"/>
    <mergeCell ref="H345:I345"/>
    <mergeCell ref="H346:I346"/>
    <mergeCell ref="H335:I335"/>
    <mergeCell ref="H336:I336"/>
    <mergeCell ref="H337:I337"/>
    <mergeCell ref="H338:I338"/>
    <mergeCell ref="H339:I339"/>
    <mergeCell ref="H340:I340"/>
    <mergeCell ref="H329:I329"/>
    <mergeCell ref="H330:I330"/>
    <mergeCell ref="H331:I331"/>
    <mergeCell ref="H332:I332"/>
    <mergeCell ref="H333:I333"/>
    <mergeCell ref="H334:I334"/>
    <mergeCell ref="H323:I323"/>
    <mergeCell ref="H324:I324"/>
    <mergeCell ref="H325:I325"/>
    <mergeCell ref="H326:I326"/>
    <mergeCell ref="H327:I327"/>
    <mergeCell ref="H328:I328"/>
    <mergeCell ref="H317:I317"/>
    <mergeCell ref="H318:I318"/>
    <mergeCell ref="H319:I319"/>
    <mergeCell ref="H320:I320"/>
    <mergeCell ref="H321:I321"/>
    <mergeCell ref="H322:I322"/>
    <mergeCell ref="H311:I311"/>
    <mergeCell ref="H312:I312"/>
    <mergeCell ref="H313:I313"/>
    <mergeCell ref="H314:I314"/>
    <mergeCell ref="H315:I315"/>
    <mergeCell ref="H316:I316"/>
    <mergeCell ref="H305:I305"/>
    <mergeCell ref="H306:I306"/>
    <mergeCell ref="H307:I307"/>
    <mergeCell ref="H308:I308"/>
    <mergeCell ref="H309:I309"/>
    <mergeCell ref="H310:I310"/>
    <mergeCell ref="H299:I299"/>
    <mergeCell ref="H300:I300"/>
    <mergeCell ref="H301:I301"/>
    <mergeCell ref="H302:I302"/>
    <mergeCell ref="H303:I303"/>
    <mergeCell ref="H304:I304"/>
    <mergeCell ref="H293:I293"/>
    <mergeCell ref="H294:I294"/>
    <mergeCell ref="H295:I295"/>
    <mergeCell ref="H296:I296"/>
    <mergeCell ref="H297:I297"/>
    <mergeCell ref="H298:I298"/>
    <mergeCell ref="H287:I287"/>
    <mergeCell ref="H288:I288"/>
    <mergeCell ref="H289:I289"/>
    <mergeCell ref="H290:I290"/>
    <mergeCell ref="H291:I291"/>
    <mergeCell ref="H292:I292"/>
    <mergeCell ref="H281:I281"/>
    <mergeCell ref="H282:I282"/>
    <mergeCell ref="H283:I283"/>
    <mergeCell ref="H284:I284"/>
    <mergeCell ref="H285:I285"/>
    <mergeCell ref="H286:I286"/>
    <mergeCell ref="H275:I275"/>
    <mergeCell ref="H276:I276"/>
    <mergeCell ref="H277:I277"/>
    <mergeCell ref="H278:I278"/>
    <mergeCell ref="H279:I279"/>
    <mergeCell ref="H280:I280"/>
    <mergeCell ref="H269:I269"/>
    <mergeCell ref="H270:I270"/>
    <mergeCell ref="H271:I271"/>
    <mergeCell ref="H272:I272"/>
    <mergeCell ref="H273:I273"/>
    <mergeCell ref="H274:I274"/>
    <mergeCell ref="H263:I263"/>
    <mergeCell ref="H264:I264"/>
    <mergeCell ref="H265:I265"/>
    <mergeCell ref="H266:I266"/>
    <mergeCell ref="H267:I267"/>
    <mergeCell ref="H268:I268"/>
    <mergeCell ref="H257:I257"/>
    <mergeCell ref="H258:I258"/>
    <mergeCell ref="H259:I259"/>
    <mergeCell ref="H260:I260"/>
    <mergeCell ref="H261:I261"/>
    <mergeCell ref="H262:I262"/>
    <mergeCell ref="H251:I251"/>
    <mergeCell ref="H252:I252"/>
    <mergeCell ref="H253:I253"/>
    <mergeCell ref="H254:I254"/>
    <mergeCell ref="H255:I255"/>
    <mergeCell ref="H256:I256"/>
    <mergeCell ref="H245:I245"/>
    <mergeCell ref="H246:I246"/>
    <mergeCell ref="H247:I247"/>
    <mergeCell ref="H248:I248"/>
    <mergeCell ref="H249:I249"/>
    <mergeCell ref="H250:I250"/>
    <mergeCell ref="H239:I239"/>
    <mergeCell ref="H240:I240"/>
    <mergeCell ref="H241:I241"/>
    <mergeCell ref="H242:I242"/>
    <mergeCell ref="H243:I243"/>
    <mergeCell ref="H244:I244"/>
    <mergeCell ref="H233:I233"/>
    <mergeCell ref="H234:I234"/>
    <mergeCell ref="H235:I235"/>
    <mergeCell ref="H236:I236"/>
    <mergeCell ref="H237:I237"/>
    <mergeCell ref="H238:I238"/>
    <mergeCell ref="H227:I227"/>
    <mergeCell ref="H228:I228"/>
    <mergeCell ref="H229:I229"/>
    <mergeCell ref="H230:I230"/>
    <mergeCell ref="H231:I231"/>
    <mergeCell ref="H232:I232"/>
    <mergeCell ref="H221:I221"/>
    <mergeCell ref="H222:I222"/>
    <mergeCell ref="H223:I223"/>
    <mergeCell ref="H224:I224"/>
    <mergeCell ref="H225:I225"/>
    <mergeCell ref="H226:I226"/>
    <mergeCell ref="H215:I215"/>
    <mergeCell ref="H216:I216"/>
    <mergeCell ref="H217:I217"/>
    <mergeCell ref="H218:I218"/>
    <mergeCell ref="H219:I219"/>
    <mergeCell ref="H220:I220"/>
    <mergeCell ref="H209:I209"/>
    <mergeCell ref="H210:I210"/>
    <mergeCell ref="H211:I211"/>
    <mergeCell ref="H212:I212"/>
    <mergeCell ref="H213:I213"/>
    <mergeCell ref="H214:I214"/>
    <mergeCell ref="H203:I203"/>
    <mergeCell ref="H204:I204"/>
    <mergeCell ref="H205:I205"/>
    <mergeCell ref="H206:I206"/>
    <mergeCell ref="H207:I207"/>
    <mergeCell ref="H208:I208"/>
    <mergeCell ref="H197:I197"/>
    <mergeCell ref="H198:I198"/>
    <mergeCell ref="H199:I199"/>
    <mergeCell ref="H200:I200"/>
    <mergeCell ref="H201:I201"/>
    <mergeCell ref="H202:I202"/>
    <mergeCell ref="H191:I191"/>
    <mergeCell ref="H192:I192"/>
    <mergeCell ref="H193:I193"/>
    <mergeCell ref="H194:I194"/>
    <mergeCell ref="H195:I195"/>
    <mergeCell ref="H196:I196"/>
    <mergeCell ref="H185:I185"/>
    <mergeCell ref="H186:I186"/>
    <mergeCell ref="H187:I187"/>
    <mergeCell ref="H188:I188"/>
    <mergeCell ref="H189:I189"/>
    <mergeCell ref="H190:I190"/>
    <mergeCell ref="H179:I179"/>
    <mergeCell ref="H180:I180"/>
    <mergeCell ref="H181:I181"/>
    <mergeCell ref="H182:I182"/>
    <mergeCell ref="H183:I183"/>
    <mergeCell ref="H184:I184"/>
    <mergeCell ref="H173:I173"/>
    <mergeCell ref="H174:I174"/>
    <mergeCell ref="H175:I175"/>
    <mergeCell ref="H176:I176"/>
    <mergeCell ref="H177:I177"/>
    <mergeCell ref="H178:I178"/>
    <mergeCell ref="H167:I167"/>
    <mergeCell ref="H168:I168"/>
    <mergeCell ref="H169:I169"/>
    <mergeCell ref="H170:I170"/>
    <mergeCell ref="H171:I171"/>
    <mergeCell ref="H172:I172"/>
    <mergeCell ref="H161:I161"/>
    <mergeCell ref="H162:I162"/>
    <mergeCell ref="H163:I163"/>
    <mergeCell ref="H164:I164"/>
    <mergeCell ref="H165:I165"/>
    <mergeCell ref="H166:I166"/>
    <mergeCell ref="H155:I155"/>
    <mergeCell ref="H156:I156"/>
    <mergeCell ref="H157:I157"/>
    <mergeCell ref="H158:I158"/>
    <mergeCell ref="H159:I159"/>
    <mergeCell ref="H160:I160"/>
    <mergeCell ref="H149:I149"/>
    <mergeCell ref="H150:I150"/>
    <mergeCell ref="H151:I151"/>
    <mergeCell ref="H152:I152"/>
    <mergeCell ref="H153:I153"/>
    <mergeCell ref="H154:I154"/>
    <mergeCell ref="H143:I143"/>
    <mergeCell ref="H144:I144"/>
    <mergeCell ref="H145:I145"/>
    <mergeCell ref="H146:I146"/>
    <mergeCell ref="H147:I147"/>
    <mergeCell ref="H148:I148"/>
    <mergeCell ref="H137:I137"/>
    <mergeCell ref="H138:I138"/>
    <mergeCell ref="H139:I139"/>
    <mergeCell ref="H140:I140"/>
    <mergeCell ref="H141:I141"/>
    <mergeCell ref="H142:I142"/>
    <mergeCell ref="H131:I131"/>
    <mergeCell ref="H132:I132"/>
    <mergeCell ref="H133:I133"/>
    <mergeCell ref="H134:I134"/>
    <mergeCell ref="H135:I135"/>
    <mergeCell ref="H136:I136"/>
    <mergeCell ref="H125:I125"/>
    <mergeCell ref="H126:I126"/>
    <mergeCell ref="H127:I127"/>
    <mergeCell ref="H128:I128"/>
    <mergeCell ref="H129:I129"/>
    <mergeCell ref="H130:I130"/>
    <mergeCell ref="H119:I119"/>
    <mergeCell ref="H120:I120"/>
    <mergeCell ref="H121:I121"/>
    <mergeCell ref="H122:I122"/>
    <mergeCell ref="H123:I123"/>
    <mergeCell ref="H124:I124"/>
    <mergeCell ref="H113:I113"/>
    <mergeCell ref="H114:I114"/>
    <mergeCell ref="H115:I115"/>
    <mergeCell ref="H116:I116"/>
    <mergeCell ref="H117:I117"/>
    <mergeCell ref="H118:I118"/>
    <mergeCell ref="H107:I107"/>
    <mergeCell ref="H108:I108"/>
    <mergeCell ref="H109:I109"/>
    <mergeCell ref="H110:I110"/>
    <mergeCell ref="H111:I111"/>
    <mergeCell ref="H112:I112"/>
    <mergeCell ref="H101:I101"/>
    <mergeCell ref="H102:I102"/>
    <mergeCell ref="H103:I103"/>
    <mergeCell ref="H104:I104"/>
    <mergeCell ref="H105:I105"/>
    <mergeCell ref="H106:I106"/>
    <mergeCell ref="H95:I95"/>
    <mergeCell ref="H96:I96"/>
    <mergeCell ref="H97:I97"/>
    <mergeCell ref="H98:I98"/>
    <mergeCell ref="H99:I99"/>
    <mergeCell ref="H100:I100"/>
    <mergeCell ref="H89:I89"/>
    <mergeCell ref="H90:I90"/>
    <mergeCell ref="H91:I91"/>
    <mergeCell ref="H92:I92"/>
    <mergeCell ref="H93:I93"/>
    <mergeCell ref="H94:I94"/>
    <mergeCell ref="H83:I83"/>
    <mergeCell ref="H84:I84"/>
    <mergeCell ref="H85:I85"/>
    <mergeCell ref="H86:I86"/>
    <mergeCell ref="H87:I87"/>
    <mergeCell ref="H88:I88"/>
    <mergeCell ref="H77:I77"/>
    <mergeCell ref="H78:I78"/>
    <mergeCell ref="H79:I79"/>
    <mergeCell ref="H80:I80"/>
    <mergeCell ref="H81:I81"/>
    <mergeCell ref="H82:I82"/>
    <mergeCell ref="H71:I71"/>
    <mergeCell ref="H72:I72"/>
    <mergeCell ref="H73:I73"/>
    <mergeCell ref="H74:I74"/>
    <mergeCell ref="H75:I75"/>
    <mergeCell ref="H76:I76"/>
    <mergeCell ref="H65:I65"/>
    <mergeCell ref="H66:I66"/>
    <mergeCell ref="H67:I67"/>
    <mergeCell ref="H68:I68"/>
    <mergeCell ref="H69:I69"/>
    <mergeCell ref="H70:I70"/>
    <mergeCell ref="H58:I58"/>
    <mergeCell ref="H59:I59"/>
    <mergeCell ref="H60:I60"/>
    <mergeCell ref="H62:I62"/>
    <mergeCell ref="H63:I63"/>
    <mergeCell ref="H64:I64"/>
    <mergeCell ref="H52:I52"/>
    <mergeCell ref="H53:I53"/>
    <mergeCell ref="H54:I54"/>
    <mergeCell ref="H55:I55"/>
    <mergeCell ref="H56:I56"/>
    <mergeCell ref="H57:I57"/>
    <mergeCell ref="H46:I46"/>
    <mergeCell ref="H47:I47"/>
    <mergeCell ref="H48:I48"/>
    <mergeCell ref="H49:I49"/>
    <mergeCell ref="H50:I50"/>
    <mergeCell ref="H51:I51"/>
  </mergeCells>
  <phoneticPr fontId="4" type="noConversion"/>
  <conditionalFormatting sqref="J28:M28 D29:M30 D32:M32 D31:G31">
    <cfRule type="containsText" dxfId="131" priority="80" operator="containsText" text="FALSE">
      <formula>NOT(ISERROR(SEARCH("FALSE",D28)))</formula>
    </cfRule>
  </conditionalFormatting>
  <conditionalFormatting sqref="E369:E396 E62:E335">
    <cfRule type="containsText" dxfId="130" priority="79" operator="containsText" text="[Service]">
      <formula>NOT(ISERROR(SEARCH("[Service]",E62)))</formula>
    </cfRule>
  </conditionalFormatting>
  <conditionalFormatting sqref="F369:F396 F62:F335">
    <cfRule type="containsText" dxfId="129" priority="78" operator="containsText" text="[Major Cost Driver]">
      <formula>NOT(ISERROR(SEARCH("[Major Cost Driver]",F62)))</formula>
    </cfRule>
  </conditionalFormatting>
  <conditionalFormatting sqref="G369:G396 G62:G335">
    <cfRule type="containsText" dxfId="128" priority="77" operator="containsText" text="[Asset category]">
      <formula>NOT(ISERROR(SEARCH("[Asset category]",G62)))</formula>
    </cfRule>
  </conditionalFormatting>
  <conditionalFormatting sqref="C369:C396 C62:C335">
    <cfRule type="containsText" dxfId="127" priority="75" operator="containsText" text="[Capex Item - Significant Project / Capital Program / Other Capex]">
      <formula>NOT(ISERROR(SEARCH("[Capex Item - Significant Project / Capital Program / Other Capex]",C62)))</formula>
    </cfRule>
  </conditionalFormatting>
  <conditionalFormatting sqref="K369:K396 K62:K335">
    <cfRule type="containsText" dxfId="126" priority="73" operator="containsText" text="[Year finalised?]">
      <formula>NOT(ISERROR(SEARCH("[Year finalised?]",K62)))</formula>
    </cfRule>
  </conditionalFormatting>
  <conditionalFormatting sqref="E46:E60">
    <cfRule type="containsText" dxfId="125" priority="61" operator="containsText" text="[Service]">
      <formula>NOT(ISERROR(SEARCH("[Service]",E46)))</formula>
    </cfRule>
  </conditionalFormatting>
  <conditionalFormatting sqref="F46:F60">
    <cfRule type="containsText" dxfId="124" priority="60" operator="containsText" text="[Major Cost Driver]">
      <formula>NOT(ISERROR(SEARCH("[Major Cost Driver]",F46)))</formula>
    </cfRule>
  </conditionalFormatting>
  <conditionalFormatting sqref="G46:G60">
    <cfRule type="containsText" dxfId="123" priority="59" operator="containsText" text="[Asset category]">
      <formula>NOT(ISERROR(SEARCH("[Asset category]",G46)))</formula>
    </cfRule>
  </conditionalFormatting>
  <conditionalFormatting sqref="H46:H60">
    <cfRule type="containsText" dxfId="122" priority="58" operator="containsText" text="[Capital type]">
      <formula>NOT(ISERROR(SEARCH("[Capital type]",H46)))</formula>
    </cfRule>
  </conditionalFormatting>
  <conditionalFormatting sqref="K46:K60">
    <cfRule type="containsText" dxfId="121" priority="57" operator="containsText" text="[Year finalised?]">
      <formula>NOT(ISERROR(SEARCH("[Year finalised?]",K46)))</formula>
    </cfRule>
  </conditionalFormatting>
  <conditionalFormatting sqref="E336:E359">
    <cfRule type="containsText" dxfId="120" priority="56" operator="containsText" text="[Service]">
      <formula>NOT(ISERROR(SEARCH("[Service]",E336)))</formula>
    </cfRule>
  </conditionalFormatting>
  <conditionalFormatting sqref="F336:F359">
    <cfRule type="containsText" dxfId="119" priority="55" operator="containsText" text="[Major Cost Driver]">
      <formula>NOT(ISERROR(SEARCH("[Major Cost Driver]",F336)))</formula>
    </cfRule>
  </conditionalFormatting>
  <conditionalFormatting sqref="G336:G359">
    <cfRule type="containsText" dxfId="118" priority="54" operator="containsText" text="[Asset category]">
      <formula>NOT(ISERROR(SEARCH("[Asset category]",G336)))</formula>
    </cfRule>
  </conditionalFormatting>
  <conditionalFormatting sqref="C336:C359">
    <cfRule type="containsText" dxfId="117" priority="52" operator="containsText" text="[Capex Item - Significant Project / Capital Program / Other Capex]">
      <formula>NOT(ISERROR(SEARCH("[Capex Item - Significant Project / Capital Program / Other Capex]",C336)))</formula>
    </cfRule>
  </conditionalFormatting>
  <conditionalFormatting sqref="K336:K359">
    <cfRule type="containsText" dxfId="116" priority="51" operator="containsText" text="[Year finalised?]">
      <formula>NOT(ISERROR(SEARCH("[Year finalised?]",K336)))</formula>
    </cfRule>
  </conditionalFormatting>
  <conditionalFormatting sqref="E366 E368">
    <cfRule type="containsText" dxfId="115" priority="49" operator="containsText" text="[Service]">
      <formula>NOT(ISERROR(SEARCH("[Service]",E366)))</formula>
    </cfRule>
  </conditionalFormatting>
  <conditionalFormatting sqref="F366 F368">
    <cfRule type="containsText" dxfId="114" priority="48" operator="containsText" text="[Major Cost Driver]">
      <formula>NOT(ISERROR(SEARCH("[Major Cost Driver]",F366)))</formula>
    </cfRule>
  </conditionalFormatting>
  <conditionalFormatting sqref="G366 G368">
    <cfRule type="containsText" dxfId="113" priority="47" operator="containsText" text="[Asset category]">
      <formula>NOT(ISERROR(SEARCH("[Asset category]",G366)))</formula>
    </cfRule>
  </conditionalFormatting>
  <conditionalFormatting sqref="C366 C368">
    <cfRule type="containsText" dxfId="112" priority="45" operator="containsText" text="[Capex Item - Significant Project / Capital Program / Other Capex]">
      <formula>NOT(ISERROR(SEARCH("[Capex Item - Significant Project / Capital Program / Other Capex]",C366)))</formula>
    </cfRule>
  </conditionalFormatting>
  <conditionalFormatting sqref="K366 K368">
    <cfRule type="containsText" dxfId="111" priority="44" operator="containsText" text="[Year finalised?]">
      <formula>NOT(ISERROR(SEARCH("[Year finalised?]",K366)))</formula>
    </cfRule>
  </conditionalFormatting>
  <conditionalFormatting sqref="E360:E361 E365">
    <cfRule type="containsText" dxfId="110" priority="43" operator="containsText" text="[Service]">
      <formula>NOT(ISERROR(SEARCH("[Service]",E360)))</formula>
    </cfRule>
  </conditionalFormatting>
  <conditionalFormatting sqref="F360:F361 F365">
    <cfRule type="containsText" dxfId="109" priority="42" operator="containsText" text="[Major Cost Driver]">
      <formula>NOT(ISERROR(SEARCH("[Major Cost Driver]",F360)))</formula>
    </cfRule>
  </conditionalFormatting>
  <conditionalFormatting sqref="C360:C361 C365">
    <cfRule type="containsText" dxfId="108" priority="39" operator="containsText" text="[Capex Item - Significant Project / Capital Program / Other Capex]">
      <formula>NOT(ISERROR(SEARCH("[Capex Item - Significant Project / Capital Program / Other Capex]",C360)))</formula>
    </cfRule>
  </conditionalFormatting>
  <conditionalFormatting sqref="K360:K361 K365">
    <cfRule type="containsText" dxfId="107" priority="38" operator="containsText" text="[Year finalised?]">
      <formula>NOT(ISERROR(SEARCH("[Year finalised?]",K360)))</formula>
    </cfRule>
  </conditionalFormatting>
  <conditionalFormatting sqref="G365">
    <cfRule type="containsText" dxfId="106" priority="33" operator="containsText" text="[Asset category]">
      <formula>NOT(ISERROR(SEARCH("[Asset category]",G365)))</formula>
    </cfRule>
  </conditionalFormatting>
  <conditionalFormatting sqref="G364">
    <cfRule type="containsText" dxfId="105" priority="14" operator="containsText" text="[Asset category]">
      <formula>NOT(ISERROR(SEARCH("[Asset category]",G364)))</formula>
    </cfRule>
  </conditionalFormatting>
  <conditionalFormatting sqref="G360">
    <cfRule type="containsText" dxfId="104" priority="31" operator="containsText" text="[Asset category]">
      <formula>NOT(ISERROR(SEARCH("[Asset category]",G360)))</formula>
    </cfRule>
  </conditionalFormatting>
  <conditionalFormatting sqref="G361">
    <cfRule type="containsText" dxfId="103" priority="30" operator="containsText" text="[Asset category]">
      <formula>NOT(ISERROR(SEARCH("[Asset category]",G361)))</formula>
    </cfRule>
  </conditionalFormatting>
  <conditionalFormatting sqref="K367">
    <cfRule type="containsText" dxfId="102" priority="5" operator="containsText" text="[Year finalised?]">
      <formula>NOT(ISERROR(SEARCH("[Year finalised?]",K367)))</formula>
    </cfRule>
  </conditionalFormatting>
  <conditionalFormatting sqref="E362">
    <cfRule type="containsText" dxfId="101" priority="28" operator="containsText" text="[Service]">
      <formula>NOT(ISERROR(SEARCH("[Service]",E362)))</formula>
    </cfRule>
  </conditionalFormatting>
  <conditionalFormatting sqref="F362">
    <cfRule type="containsText" dxfId="100" priority="27" operator="containsText" text="[Major Cost Driver]">
      <formula>NOT(ISERROR(SEARCH("[Major Cost Driver]",F362)))</formula>
    </cfRule>
  </conditionalFormatting>
  <conditionalFormatting sqref="G362">
    <cfRule type="containsText" dxfId="99" priority="26" operator="containsText" text="[Asset category]">
      <formula>NOT(ISERROR(SEARCH("[Asset category]",G362)))</formula>
    </cfRule>
  </conditionalFormatting>
  <conditionalFormatting sqref="C362">
    <cfRule type="containsText" dxfId="98" priority="24" operator="containsText" text="[Capex Item - Significant Project / Capital Program / Other Capex]">
      <formula>NOT(ISERROR(SEARCH("[Capex Item - Significant Project / Capital Program / Other Capex]",C362)))</formula>
    </cfRule>
  </conditionalFormatting>
  <conditionalFormatting sqref="K362">
    <cfRule type="containsText" dxfId="97" priority="23" operator="containsText" text="[Year finalised?]">
      <formula>NOT(ISERROR(SEARCH("[Year finalised?]",K362)))</formula>
    </cfRule>
  </conditionalFormatting>
  <conditionalFormatting sqref="E363">
    <cfRule type="containsText" dxfId="96" priority="22" operator="containsText" text="[Service]">
      <formula>NOT(ISERROR(SEARCH("[Service]",E363)))</formula>
    </cfRule>
  </conditionalFormatting>
  <conditionalFormatting sqref="F363">
    <cfRule type="containsText" dxfId="95" priority="21" operator="containsText" text="[Major Cost Driver]">
      <formula>NOT(ISERROR(SEARCH("[Major Cost Driver]",F363)))</formula>
    </cfRule>
  </conditionalFormatting>
  <conditionalFormatting sqref="G363">
    <cfRule type="containsText" dxfId="94" priority="20" operator="containsText" text="[Asset category]">
      <formula>NOT(ISERROR(SEARCH("[Asset category]",G363)))</formula>
    </cfRule>
  </conditionalFormatting>
  <conditionalFormatting sqref="C363">
    <cfRule type="containsText" dxfId="93" priority="18" operator="containsText" text="[Capex Item - Significant Project / Capital Program / Other Capex]">
      <formula>NOT(ISERROR(SEARCH("[Capex Item - Significant Project / Capital Program / Other Capex]",C363)))</formula>
    </cfRule>
  </conditionalFormatting>
  <conditionalFormatting sqref="K363">
    <cfRule type="containsText" dxfId="92" priority="17" operator="containsText" text="[Year finalised?]">
      <formula>NOT(ISERROR(SEARCH("[Year finalised?]",K363)))</formula>
    </cfRule>
  </conditionalFormatting>
  <conditionalFormatting sqref="E364">
    <cfRule type="containsText" dxfId="91" priority="16" operator="containsText" text="[Service]">
      <formula>NOT(ISERROR(SEARCH("[Service]",E364)))</formula>
    </cfRule>
  </conditionalFormatting>
  <conditionalFormatting sqref="F364">
    <cfRule type="containsText" dxfId="90" priority="15" operator="containsText" text="[Major Cost Driver]">
      <formula>NOT(ISERROR(SEARCH("[Major Cost Driver]",F364)))</formula>
    </cfRule>
  </conditionalFormatting>
  <conditionalFormatting sqref="C364">
    <cfRule type="containsText" dxfId="89" priority="12" operator="containsText" text="[Capex Item - Significant Project / Capital Program / Other Capex]">
      <formula>NOT(ISERROR(SEARCH("[Capex Item - Significant Project / Capital Program / Other Capex]",C364)))</formula>
    </cfRule>
  </conditionalFormatting>
  <conditionalFormatting sqref="K364">
    <cfRule type="containsText" dxfId="88" priority="11" operator="containsText" text="[Year finalised?]">
      <formula>NOT(ISERROR(SEARCH("[Year finalised?]",K364)))</formula>
    </cfRule>
  </conditionalFormatting>
  <conditionalFormatting sqref="E367">
    <cfRule type="containsText" dxfId="87" priority="10" operator="containsText" text="[Service]">
      <formula>NOT(ISERROR(SEARCH("[Service]",E367)))</formula>
    </cfRule>
  </conditionalFormatting>
  <conditionalFormatting sqref="F367">
    <cfRule type="containsText" dxfId="86" priority="9" operator="containsText" text="[Major Cost Driver]">
      <formula>NOT(ISERROR(SEARCH("[Major Cost Driver]",F367)))</formula>
    </cfRule>
  </conditionalFormatting>
  <conditionalFormatting sqref="G367">
    <cfRule type="containsText" dxfId="85" priority="8" operator="containsText" text="[Asset category]">
      <formula>NOT(ISERROR(SEARCH("[Asset category]",G367)))</formula>
    </cfRule>
  </conditionalFormatting>
  <conditionalFormatting sqref="C367">
    <cfRule type="containsText" dxfId="84" priority="6" operator="containsText" text="[Capex Item - Significant Project / Capital Program / Other Capex]">
      <formula>NOT(ISERROR(SEARCH("[Capex Item - Significant Project / Capital Program / Other Capex]",C367)))</formula>
    </cfRule>
  </conditionalFormatting>
  <conditionalFormatting sqref="D27:M27">
    <cfRule type="containsText" dxfId="83" priority="4" operator="containsText" text="FALSE">
      <formula>NOT(ISERROR(SEARCH("FALSE",D27)))</formula>
    </cfRule>
  </conditionalFormatting>
  <conditionalFormatting sqref="D27:M27">
    <cfRule type="cellIs" dxfId="82" priority="3" operator="equal">
      <formula>0</formula>
    </cfRule>
  </conditionalFormatting>
  <conditionalFormatting sqref="H62:H396">
    <cfRule type="containsText" dxfId="81" priority="1" operator="containsText" text="[Capital type]">
      <formula>NOT(ISERROR(SEARCH("[Capital type]",H62)))</formula>
    </cfRule>
  </conditionalFormatting>
  <dataValidations count="6">
    <dataValidation type="list" allowBlank="1" showInputMessage="1" showErrorMessage="1" sqref="K46:K60 K62:K396" xr:uid="{00000000-0002-0000-0600-000000000000}">
      <formula1>Depr_Deferral</formula1>
    </dataValidation>
    <dataValidation type="list" allowBlank="1" showInputMessage="1" showErrorMessage="1" sqref="E46:E60 E62:E396" xr:uid="{00000000-0002-0000-0600-000001000000}">
      <formula1>Asset_Class</formula1>
    </dataValidation>
    <dataValidation type="list" allowBlank="1" showInputMessage="1" showErrorMessage="1" sqref="F46:F60 F62:F396" xr:uid="{00000000-0002-0000-0600-000002000000}">
      <formula1>Cost_Driver</formula1>
    </dataValidation>
    <dataValidation type="list" allowBlank="1" showInputMessage="1" showErrorMessage="1" sqref="J46:J60 J62:J396" xr:uid="{00000000-0002-0000-0600-000003000000}">
      <formula1>Depreciation_Method</formula1>
    </dataValidation>
    <dataValidation type="list" allowBlank="1" showInputMessage="1" showErrorMessage="1" sqref="H46:H60 H62:H396" xr:uid="{00000000-0002-0000-0600-000004000000}">
      <formula1>Capital_type</formula1>
    </dataValidation>
    <dataValidation type="list" allowBlank="1" showInputMessage="1" showErrorMessage="1" sqref="G46:G60 G62:G396" xr:uid="{00000000-0002-0000-0600-000005000000}">
      <formula1>Asset_category</formula1>
    </dataValidation>
  </dataValidations>
  <hyperlinks>
    <hyperlink ref="B3" location="HL_Home" tooltip="Go to Table of Contents" display="HL_Home" xr:uid="{00000000-0004-0000-0600-000000000000}"/>
  </hyperlinks>
  <pageMargins left="0.7" right="0.7" top="0.75" bottom="0.75" header="0.3" footer="0.3"/>
  <pageSetup paperSize="9" orientation="portrait" r:id="rId1"/>
  <headerFooter>
    <oddHeader>&amp;C&amp;"Calibri"&amp;14&amp;KFF0000 OFFICIAL&amp;1#_x000D_&amp;"Arial"&amp;8&amp;K000000&amp;"Arial"&amp;8&amp;K000000&amp;B&amp;"Arial"&amp;12&amp;Kff0000​‌OFFICIAL‌​</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6000000}">
          <x14:formula1>
            <xm:f>General_BL!$C$10:$C$11</xm:f>
          </x14:formula1>
          <xm:sqref>M46:M60 M369:M396 M62:M359 M362:M364 M367</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pageSetUpPr autoPageBreaks="0"/>
  </sheetPr>
  <dimension ref="A1:BC120"/>
  <sheetViews>
    <sheetView showGridLines="0" zoomScaleNormal="100" workbookViewId="0">
      <pane xSplit="8" ySplit="7" topLeftCell="I10" activePane="bottomRight" state="frozen"/>
      <selection pane="topRight" activeCell="L16" sqref="L16"/>
      <selection pane="bottomLeft" activeCell="L16" sqref="L16"/>
      <selection pane="bottomRight" activeCell="U103" sqref="U103"/>
    </sheetView>
  </sheetViews>
  <sheetFormatPr defaultColWidth="10.83203125" defaultRowHeight="12" outlineLevelCol="1"/>
  <cols>
    <col min="1" max="5" width="3.83203125" style="63" customWidth="1"/>
    <col min="6" max="9" width="10.83203125" style="63" customWidth="1"/>
    <col min="10" max="20" width="10.83203125" style="63" hidden="1" customWidth="1" outlineLevel="1"/>
    <col min="21" max="21" width="10.83203125" style="63" customWidth="1" collapsed="1"/>
    <col min="22" max="22" width="10.83203125" style="63" customWidth="1"/>
    <col min="23" max="23" width="11.5" style="63" customWidth="1"/>
    <col min="24" max="28" width="10.83203125" style="63" customWidth="1"/>
    <col min="29" max="30" width="9.83203125" style="63" customWidth="1"/>
    <col min="31" max="36" width="10.83203125" style="63" customWidth="1"/>
    <col min="37" max="37" width="5.83203125" style="63" customWidth="1"/>
    <col min="38" max="38" width="3.5" style="63" customWidth="1"/>
    <col min="39" max="39" width="10.83203125" style="63"/>
    <col min="40" max="40" width="16.33203125" style="63" customWidth="1"/>
    <col min="41" max="16384" width="10.83203125" style="63"/>
  </cols>
  <sheetData>
    <row r="1" spans="1:55" ht="15">
      <c r="A1" s="139">
        <v>80</v>
      </c>
      <c r="B1" s="140" t="s">
        <v>758</v>
      </c>
      <c r="R1" s="296"/>
      <c r="Y1" s="415"/>
    </row>
    <row r="2" spans="1:55" ht="12.75">
      <c r="B2" s="142" t="str">
        <f>+Contents!H7</f>
        <v>Melbourne Water</v>
      </c>
      <c r="N2" s="416"/>
      <c r="R2" s="296"/>
    </row>
    <row r="3" spans="1:55">
      <c r="B3" s="2075" t="s">
        <v>138</v>
      </c>
      <c r="C3" s="2075"/>
      <c r="D3" s="2075"/>
      <c r="E3" s="2075"/>
      <c r="F3" s="2075"/>
      <c r="G3" s="64"/>
      <c r="W3" s="417"/>
    </row>
    <row r="4" spans="1:55">
      <c r="A4" s="147"/>
      <c r="B4" s="65"/>
      <c r="C4" s="66"/>
      <c r="F4" s="57"/>
      <c r="K4" s="1208"/>
      <c r="L4" s="1209"/>
      <c r="M4" s="1210"/>
      <c r="N4" s="1208"/>
      <c r="O4" s="1211"/>
      <c r="P4" s="1209"/>
      <c r="Q4" s="1211"/>
      <c r="R4" s="1210"/>
      <c r="S4" s="1208"/>
      <c r="T4" s="1209"/>
      <c r="U4" s="1211"/>
      <c r="V4" s="1208"/>
      <c r="W4" s="1211"/>
      <c r="X4" s="1209" t="s">
        <v>139</v>
      </c>
      <c r="Y4" s="1213"/>
      <c r="Z4" s="1210"/>
      <c r="AA4" s="1208"/>
      <c r="AB4" s="1209"/>
      <c r="AC4" s="1209" t="s">
        <v>140</v>
      </c>
      <c r="AD4" s="1211"/>
      <c r="AE4" s="1210"/>
      <c r="AF4" s="1287"/>
      <c r="AG4" s="721"/>
      <c r="AH4" s="1209" t="s">
        <v>141</v>
      </c>
      <c r="AI4" s="721"/>
      <c r="AJ4" s="1207"/>
    </row>
    <row r="6" spans="1:55">
      <c r="B6" s="148"/>
      <c r="J6" s="59"/>
      <c r="K6" s="59"/>
      <c r="L6" s="59"/>
      <c r="M6" s="59"/>
      <c r="N6" s="59"/>
      <c r="O6" s="59"/>
      <c r="P6" s="59"/>
      <c r="Q6" s="59"/>
      <c r="R6" s="59"/>
      <c r="S6" s="59"/>
      <c r="T6" s="59"/>
      <c r="U6" s="59">
        <v>2021</v>
      </c>
      <c r="V6" s="59">
        <v>2022</v>
      </c>
      <c r="W6" s="59">
        <v>2023</v>
      </c>
      <c r="X6" s="60">
        <v>2024</v>
      </c>
      <c r="Y6" s="60">
        <v>2025</v>
      </c>
      <c r="Z6" s="60">
        <v>2026</v>
      </c>
      <c r="AA6" s="60">
        <v>2027</v>
      </c>
      <c r="AB6" s="60">
        <v>2028</v>
      </c>
      <c r="AC6" s="60">
        <v>2029</v>
      </c>
      <c r="AD6" s="60">
        <v>2030</v>
      </c>
      <c r="AE6" s="60">
        <v>2031</v>
      </c>
      <c r="AF6" s="60">
        <v>2032</v>
      </c>
      <c r="AG6" s="60">
        <v>2033</v>
      </c>
      <c r="AH6" s="60">
        <v>2034</v>
      </c>
      <c r="AI6" s="60">
        <v>2035</v>
      </c>
      <c r="AJ6" s="60">
        <v>2036</v>
      </c>
    </row>
    <row r="7" spans="1:55">
      <c r="B7" s="63" t="str">
        <f>Expenditure_Detail!$B$6</f>
        <v>$m, 01/01/26</v>
      </c>
      <c r="C7" s="68"/>
      <c r="D7" s="68"/>
      <c r="E7" s="68"/>
      <c r="F7" s="68"/>
      <c r="G7" s="68"/>
      <c r="H7" s="68"/>
      <c r="I7" s="418"/>
      <c r="J7" s="61"/>
      <c r="K7" s="61"/>
      <c r="L7" s="61"/>
      <c r="M7" s="61"/>
      <c r="N7" s="61"/>
      <c r="O7" s="61"/>
      <c r="P7" s="61"/>
      <c r="Q7" s="61"/>
      <c r="R7" s="61"/>
      <c r="S7" s="61"/>
      <c r="T7" s="61"/>
      <c r="U7" s="61" t="str">
        <f>+CONCATENATE(U6-1,"-",RIGHT(U6,2))</f>
        <v>2020-21</v>
      </c>
      <c r="V7" s="61" t="str">
        <f>+CONCATENATE(V6-1,"-",RIGHT(V6,2))</f>
        <v>2021-22</v>
      </c>
      <c r="W7" s="61" t="str">
        <f>+CONCATENATE(W6-1,"-",RIGHT(W6,2))</f>
        <v>2022-23</v>
      </c>
      <c r="X7" s="61" t="str">
        <f>+CONCATENATE(X6-1,"-",RIGHT(X6,2))</f>
        <v>2023-24</v>
      </c>
      <c r="Y7" s="61" t="str">
        <f t="shared" ref="Y7:AE7" si="0">+CONCATENATE(Y6-1,"-",RIGHT(Y6,2))</f>
        <v>2024-25</v>
      </c>
      <c r="Z7" s="61" t="str">
        <f t="shared" si="0"/>
        <v>2025-26</v>
      </c>
      <c r="AA7" s="61" t="str">
        <f t="shared" si="0"/>
        <v>2026-27</v>
      </c>
      <c r="AB7" s="61" t="str">
        <f t="shared" si="0"/>
        <v>2027-28</v>
      </c>
      <c r="AC7" s="61" t="str">
        <f t="shared" si="0"/>
        <v>2028-29</v>
      </c>
      <c r="AD7" s="61" t="str">
        <f t="shared" si="0"/>
        <v>2029-30</v>
      </c>
      <c r="AE7" s="61" t="str">
        <f t="shared" si="0"/>
        <v>2030-31</v>
      </c>
      <c r="AF7" s="61" t="str">
        <f>+CONCATENATE(AF6-1,"-",RIGHT(AF6,2))</f>
        <v>2031-32</v>
      </c>
      <c r="AG7" s="61" t="str">
        <f>+CONCATENATE(AG6-1,"-",RIGHT(AG6,2))</f>
        <v>2032-33</v>
      </c>
      <c r="AH7" s="61" t="str">
        <f>+CONCATENATE(AH6-1,"-",RIGHT(AH6,2))</f>
        <v>2033-34</v>
      </c>
      <c r="AI7" s="61" t="str">
        <f>+CONCATENATE(AI6-1,"-",RIGHT(AI6,2))</f>
        <v>2034-35</v>
      </c>
      <c r="AJ7" s="61" t="str">
        <f>+CONCATENATE(AJ6-1,"-",RIGHT(AJ6,2))</f>
        <v>2035-36</v>
      </c>
    </row>
    <row r="8" spans="1:55" ht="12.75" thickBot="1"/>
    <row r="9" spans="1:55">
      <c r="C9" s="152"/>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4"/>
      <c r="AM9" s="1622" t="s">
        <v>759</v>
      </c>
    </row>
    <row r="10" spans="1:55" ht="12.75" customHeight="1" thickBot="1">
      <c r="C10" s="155"/>
      <c r="D10" s="156" t="s">
        <v>760</v>
      </c>
      <c r="R10" s="116"/>
      <c r="AI10" s="67"/>
      <c r="AJ10" s="67"/>
      <c r="AK10" s="157"/>
      <c r="AM10" s="1623" t="s">
        <v>761</v>
      </c>
      <c r="AU10" s="63">
        <v>1</v>
      </c>
    </row>
    <row r="11" spans="1:55" ht="11.25" customHeight="1">
      <c r="C11" s="155"/>
      <c r="D11" s="67"/>
      <c r="E11" s="67"/>
      <c r="F11" s="67"/>
      <c r="G11" s="67"/>
      <c r="H11" s="67"/>
      <c r="I11" s="67"/>
      <c r="K11" s="67"/>
      <c r="L11" s="67"/>
      <c r="M11" s="67"/>
      <c r="N11" s="67"/>
      <c r="O11" s="67"/>
      <c r="P11" s="67"/>
      <c r="Q11" s="67"/>
      <c r="R11" s="67"/>
      <c r="S11" s="67"/>
      <c r="T11" s="67"/>
      <c r="U11" s="67"/>
      <c r="V11" s="67"/>
      <c r="X11" s="67"/>
      <c r="Y11" s="67"/>
      <c r="Z11" s="67"/>
      <c r="AA11" s="67"/>
      <c r="AB11" s="67"/>
      <c r="AC11" s="67"/>
      <c r="AD11" s="67"/>
      <c r="AE11" s="67"/>
      <c r="AF11" s="67"/>
      <c r="AG11" s="67"/>
      <c r="AH11" s="67"/>
      <c r="AI11" s="67"/>
      <c r="AJ11" s="67"/>
      <c r="AK11" s="157"/>
      <c r="AM11" s="1624" t="s">
        <v>762</v>
      </c>
      <c r="AN11" s="1625"/>
      <c r="AO11" s="1625"/>
      <c r="AP11" s="1625"/>
      <c r="AQ11" s="1626"/>
    </row>
    <row r="12" spans="1:55">
      <c r="C12" s="155"/>
      <c r="D12" s="67"/>
      <c r="E12" s="67" t="s">
        <v>401</v>
      </c>
      <c r="F12" s="67"/>
      <c r="G12" s="67"/>
      <c r="H12" s="67"/>
      <c r="I12" s="67"/>
      <c r="K12" s="270">
        <f t="shared" ref="K12:R12" si="1">+K44</f>
        <v>0</v>
      </c>
      <c r="L12" s="270">
        <f t="shared" si="1"/>
        <v>0</v>
      </c>
      <c r="M12" s="270">
        <f t="shared" si="1"/>
        <v>0</v>
      </c>
      <c r="N12" s="270">
        <f t="shared" si="1"/>
        <v>0</v>
      </c>
      <c r="O12" s="270">
        <f t="shared" si="1"/>
        <v>0</v>
      </c>
      <c r="P12" s="270">
        <f t="shared" si="1"/>
        <v>0</v>
      </c>
      <c r="Q12" s="270">
        <f t="shared" si="1"/>
        <v>0</v>
      </c>
      <c r="R12" s="270">
        <f t="shared" si="1"/>
        <v>0</v>
      </c>
      <c r="S12" s="270">
        <f t="shared" ref="S12:Y12" si="2">+S44</f>
        <v>0</v>
      </c>
      <c r="T12" s="270">
        <f t="shared" si="2"/>
        <v>0</v>
      </c>
      <c r="U12" s="270">
        <f t="shared" si="2"/>
        <v>190.92996743982684</v>
      </c>
      <c r="V12" s="270">
        <f t="shared" si="2"/>
        <v>160.58106018646654</v>
      </c>
      <c r="W12" s="270">
        <f t="shared" si="2"/>
        <v>220.50499895080904</v>
      </c>
      <c r="X12" s="270">
        <f t="shared" si="2"/>
        <v>252.99562358098612</v>
      </c>
      <c r="Y12" s="270">
        <f t="shared" si="2"/>
        <v>213.81725434633634</v>
      </c>
      <c r="Z12" s="270">
        <f>+Z44</f>
        <v>195.66018431652603</v>
      </c>
      <c r="AA12" s="211">
        <f t="shared" ref="AA12:AJ12" si="3">+AA44</f>
        <v>238.35409665567732</v>
      </c>
      <c r="AB12" s="211">
        <f t="shared" si="3"/>
        <v>427.9467740890334</v>
      </c>
      <c r="AC12" s="211">
        <f t="shared" si="3"/>
        <v>544.92121023433981</v>
      </c>
      <c r="AD12" s="211">
        <f t="shared" si="3"/>
        <v>508.33385109977695</v>
      </c>
      <c r="AE12" s="211">
        <f t="shared" si="3"/>
        <v>553.51477434246692</v>
      </c>
      <c r="AF12" s="270">
        <f t="shared" si="3"/>
        <v>557.29577419724069</v>
      </c>
      <c r="AG12" s="270">
        <f t="shared" si="3"/>
        <v>765.99040897459759</v>
      </c>
      <c r="AH12" s="270">
        <f t="shared" si="3"/>
        <v>839.71302273238746</v>
      </c>
      <c r="AI12" s="270">
        <f t="shared" si="3"/>
        <v>873.45183130946896</v>
      </c>
      <c r="AJ12" s="270">
        <f t="shared" si="3"/>
        <v>735.74152732830646</v>
      </c>
      <c r="AK12" s="157"/>
      <c r="AM12" s="1627"/>
      <c r="AN12" s="322"/>
      <c r="AO12" s="322"/>
      <c r="AP12" s="322"/>
      <c r="AQ12" s="1628"/>
      <c r="AR12" s="842"/>
      <c r="AS12" s="842"/>
      <c r="AT12" s="842"/>
      <c r="AU12" s="842"/>
      <c r="AV12" s="842"/>
      <c r="AW12" s="842"/>
      <c r="AX12" s="842"/>
      <c r="AY12" s="842"/>
      <c r="AZ12" s="842"/>
      <c r="BA12" s="842"/>
      <c r="BB12" s="842"/>
      <c r="BC12" s="842"/>
    </row>
    <row r="13" spans="1:55">
      <c r="C13" s="155"/>
      <c r="D13" s="67"/>
      <c r="E13" s="67" t="s">
        <v>402</v>
      </c>
      <c r="F13" s="67"/>
      <c r="G13" s="67"/>
      <c r="H13" s="67"/>
      <c r="I13" s="67"/>
      <c r="K13" s="270">
        <f t="shared" ref="K13:R13" si="4">+K51</f>
        <v>0</v>
      </c>
      <c r="L13" s="270">
        <f t="shared" si="4"/>
        <v>0</v>
      </c>
      <c r="M13" s="270">
        <f t="shared" si="4"/>
        <v>0</v>
      </c>
      <c r="N13" s="270">
        <f t="shared" si="4"/>
        <v>0</v>
      </c>
      <c r="O13" s="270">
        <f t="shared" si="4"/>
        <v>0</v>
      </c>
      <c r="P13" s="270">
        <f t="shared" si="4"/>
        <v>0</v>
      </c>
      <c r="Q13" s="270">
        <f t="shared" si="4"/>
        <v>0</v>
      </c>
      <c r="R13" s="270">
        <f t="shared" si="4"/>
        <v>0</v>
      </c>
      <c r="S13" s="270">
        <f t="shared" ref="S13:Y13" si="5">+S51</f>
        <v>0</v>
      </c>
      <c r="T13" s="270">
        <f t="shared" si="5"/>
        <v>0</v>
      </c>
      <c r="U13" s="270">
        <f t="shared" si="5"/>
        <v>246.88667779140309</v>
      </c>
      <c r="V13" s="270">
        <f t="shared" si="5"/>
        <v>309.11093404552605</v>
      </c>
      <c r="W13" s="270">
        <f t="shared" si="5"/>
        <v>350.73801118076074</v>
      </c>
      <c r="X13" s="270">
        <f t="shared" si="5"/>
        <v>428.25333241749422</v>
      </c>
      <c r="Y13" s="270">
        <f t="shared" si="5"/>
        <v>416.95984200084467</v>
      </c>
      <c r="Z13" s="270">
        <f>+Z51</f>
        <v>433.93458881100798</v>
      </c>
      <c r="AA13" s="211">
        <f t="shared" ref="AA13:AJ13" si="6">+AA51</f>
        <v>551.51807250819627</v>
      </c>
      <c r="AB13" s="211">
        <f t="shared" si="6"/>
        <v>493.92685339452834</v>
      </c>
      <c r="AC13" s="211">
        <f t="shared" si="6"/>
        <v>548.94011845555701</v>
      </c>
      <c r="AD13" s="211">
        <f t="shared" si="6"/>
        <v>612.73341221888086</v>
      </c>
      <c r="AE13" s="211">
        <f t="shared" si="6"/>
        <v>530.49166560593574</v>
      </c>
      <c r="AF13" s="270">
        <f t="shared" si="6"/>
        <v>636.15282948604147</v>
      </c>
      <c r="AG13" s="270">
        <f t="shared" si="6"/>
        <v>494.31935722932718</v>
      </c>
      <c r="AH13" s="270">
        <f t="shared" si="6"/>
        <v>226.21620908625147</v>
      </c>
      <c r="AI13" s="270">
        <f t="shared" si="6"/>
        <v>429.92037276851232</v>
      </c>
      <c r="AJ13" s="270">
        <f t="shared" si="6"/>
        <v>660.68827196773452</v>
      </c>
      <c r="AK13" s="157"/>
      <c r="AM13" s="1629"/>
      <c r="AN13" s="1630"/>
      <c r="AO13" s="1630"/>
      <c r="AP13" s="1630"/>
      <c r="AQ13" s="1631"/>
      <c r="AR13" s="842"/>
      <c r="AS13" s="842"/>
      <c r="AT13" s="842"/>
      <c r="AU13" s="842"/>
      <c r="AV13" s="842"/>
      <c r="AW13" s="842"/>
      <c r="AX13" s="842"/>
      <c r="AY13" s="842"/>
      <c r="AZ13" s="842"/>
      <c r="BA13" s="842"/>
      <c r="BB13" s="842"/>
      <c r="BC13" s="842"/>
    </row>
    <row r="14" spans="1:55">
      <c r="C14" s="155"/>
      <c r="D14" s="67"/>
      <c r="E14" s="67" t="s">
        <v>411</v>
      </c>
      <c r="F14" s="67"/>
      <c r="G14" s="67"/>
      <c r="H14" s="67"/>
      <c r="I14" s="67"/>
      <c r="K14" s="270">
        <f t="shared" ref="K14:R14" si="7">+K58</f>
        <v>0</v>
      </c>
      <c r="L14" s="270">
        <f t="shared" si="7"/>
        <v>0</v>
      </c>
      <c r="M14" s="270">
        <f t="shared" si="7"/>
        <v>0</v>
      </c>
      <c r="N14" s="270">
        <f t="shared" si="7"/>
        <v>0</v>
      </c>
      <c r="O14" s="270">
        <f t="shared" si="7"/>
        <v>0</v>
      </c>
      <c r="P14" s="270">
        <f t="shared" si="7"/>
        <v>0</v>
      </c>
      <c r="Q14" s="270">
        <f t="shared" si="7"/>
        <v>0</v>
      </c>
      <c r="R14" s="270">
        <f t="shared" si="7"/>
        <v>0</v>
      </c>
      <c r="S14" s="270">
        <f t="shared" ref="S14:Y14" si="8">+S58</f>
        <v>0</v>
      </c>
      <c r="T14" s="270">
        <f t="shared" si="8"/>
        <v>0</v>
      </c>
      <c r="U14" s="270">
        <f t="shared" si="8"/>
        <v>0.10677649920468267</v>
      </c>
      <c r="V14" s="270">
        <f t="shared" si="8"/>
        <v>0.12723309171601016</v>
      </c>
      <c r="W14" s="270">
        <f t="shared" si="8"/>
        <v>8.0920574624067751E-2</v>
      </c>
      <c r="X14" s="270">
        <f t="shared" si="8"/>
        <v>0.11153135236333934</v>
      </c>
      <c r="Y14" s="270">
        <f t="shared" si="8"/>
        <v>0.19871305666035805</v>
      </c>
      <c r="Z14" s="270">
        <f>+Z58</f>
        <v>0.18036526631200003</v>
      </c>
      <c r="AA14" s="211">
        <f t="shared" ref="AA14:AJ14" si="9">+AA58</f>
        <v>1.2900821579531556</v>
      </c>
      <c r="AB14" s="211">
        <f t="shared" si="9"/>
        <v>2.2504586598816543</v>
      </c>
      <c r="AC14" s="211">
        <f t="shared" si="9"/>
        <v>4.9454212327565292</v>
      </c>
      <c r="AD14" s="211">
        <f t="shared" si="9"/>
        <v>4.7962078474367669</v>
      </c>
      <c r="AE14" s="211">
        <f t="shared" si="9"/>
        <v>4.6625624939347698</v>
      </c>
      <c r="AF14" s="270">
        <f t="shared" si="9"/>
        <v>2.8123650217485552</v>
      </c>
      <c r="AG14" s="270">
        <f t="shared" si="9"/>
        <v>12.852377748895282</v>
      </c>
      <c r="AH14" s="270">
        <f t="shared" si="9"/>
        <v>20.763473246376336</v>
      </c>
      <c r="AI14" s="270">
        <f t="shared" si="9"/>
        <v>16.250643162416068</v>
      </c>
      <c r="AJ14" s="270">
        <f t="shared" si="9"/>
        <v>27.109203137127032</v>
      </c>
      <c r="AK14" s="157"/>
      <c r="AM14" s="1629"/>
      <c r="AN14" s="322"/>
      <c r="AO14" s="322"/>
      <c r="AP14" s="322"/>
      <c r="AQ14" s="1628"/>
      <c r="AR14" s="842"/>
      <c r="AS14" s="842"/>
      <c r="AT14" s="842"/>
      <c r="AU14" s="842"/>
      <c r="AV14" s="842"/>
      <c r="AW14" s="842"/>
      <c r="AX14" s="842"/>
      <c r="AY14" s="842"/>
      <c r="AZ14" s="842"/>
      <c r="BA14" s="842"/>
      <c r="BB14" s="842"/>
      <c r="BC14" s="842"/>
    </row>
    <row r="15" spans="1:55">
      <c r="C15" s="155"/>
      <c r="D15" s="67"/>
      <c r="E15" s="67" t="s">
        <v>420</v>
      </c>
      <c r="F15" s="67"/>
      <c r="G15" s="67"/>
      <c r="H15" s="67"/>
      <c r="I15" s="67"/>
      <c r="K15" s="270">
        <f t="shared" ref="K15:R15" si="10">+K65</f>
        <v>0</v>
      </c>
      <c r="L15" s="270">
        <f t="shared" si="10"/>
        <v>0</v>
      </c>
      <c r="M15" s="270">
        <f t="shared" si="10"/>
        <v>0</v>
      </c>
      <c r="N15" s="270">
        <f t="shared" si="10"/>
        <v>0</v>
      </c>
      <c r="O15" s="270">
        <f t="shared" si="10"/>
        <v>0</v>
      </c>
      <c r="P15" s="270">
        <f t="shared" si="10"/>
        <v>0</v>
      </c>
      <c r="Q15" s="270">
        <f t="shared" si="10"/>
        <v>0</v>
      </c>
      <c r="R15" s="270">
        <f t="shared" si="10"/>
        <v>0</v>
      </c>
      <c r="S15" s="270">
        <f t="shared" ref="S15:Y15" si="11">+S65</f>
        <v>0</v>
      </c>
      <c r="T15" s="270">
        <f t="shared" si="11"/>
        <v>0</v>
      </c>
      <c r="U15" s="270">
        <f t="shared" si="11"/>
        <v>319.1120714475926</v>
      </c>
      <c r="V15" s="270">
        <f t="shared" si="11"/>
        <v>256.73197407608779</v>
      </c>
      <c r="W15" s="270">
        <f t="shared" si="11"/>
        <v>275.02814930075527</v>
      </c>
      <c r="X15" s="270">
        <f t="shared" si="11"/>
        <v>239.41018117942784</v>
      </c>
      <c r="Y15" s="270">
        <f t="shared" si="11"/>
        <v>361.26719718120216</v>
      </c>
      <c r="Z15" s="270">
        <f>+Z65</f>
        <v>463.470747296154</v>
      </c>
      <c r="AA15" s="211">
        <f t="shared" ref="AA15:AJ15" si="12">+AA65</f>
        <v>555.67932538182436</v>
      </c>
      <c r="AB15" s="211">
        <f t="shared" si="12"/>
        <v>533.33733456169023</v>
      </c>
      <c r="AC15" s="211">
        <f t="shared" si="12"/>
        <v>378.27118645961377</v>
      </c>
      <c r="AD15" s="211">
        <f t="shared" si="12"/>
        <v>384.02327605403127</v>
      </c>
      <c r="AE15" s="211">
        <f t="shared" si="12"/>
        <v>353.14795033900714</v>
      </c>
      <c r="AF15" s="270">
        <f t="shared" si="12"/>
        <v>449.87763170151476</v>
      </c>
      <c r="AG15" s="270">
        <f t="shared" si="12"/>
        <v>425.59018479164865</v>
      </c>
      <c r="AH15" s="270">
        <f t="shared" si="12"/>
        <v>427.56908429741759</v>
      </c>
      <c r="AI15" s="270">
        <f t="shared" si="12"/>
        <v>416.60425890024231</v>
      </c>
      <c r="AJ15" s="270">
        <f t="shared" si="12"/>
        <v>415.76199608318598</v>
      </c>
      <c r="AK15" s="157"/>
      <c r="AM15" s="1629"/>
      <c r="AN15" s="322"/>
      <c r="AO15" s="1632" t="s">
        <v>763</v>
      </c>
      <c r="AP15" s="1633">
        <f>IF(Pre_RP_Estimate = 1,Z23,Z18)</f>
        <v>678.85510206620143</v>
      </c>
      <c r="AQ15" s="1628"/>
      <c r="AR15" s="842"/>
      <c r="AS15" s="842"/>
      <c r="AT15" s="842"/>
      <c r="AU15" s="842"/>
      <c r="AV15" s="842"/>
      <c r="AW15" s="842"/>
      <c r="AX15" s="842"/>
      <c r="AY15" s="842"/>
      <c r="AZ15" s="842"/>
      <c r="BA15" s="842"/>
      <c r="BB15" s="842"/>
      <c r="BC15" s="842"/>
    </row>
    <row r="16" spans="1:55" ht="12.75" thickBot="1">
      <c r="C16" s="155"/>
      <c r="D16" s="67"/>
      <c r="E16" s="67" t="s">
        <v>427</v>
      </c>
      <c r="F16" s="67"/>
      <c r="G16" s="67"/>
      <c r="H16" s="67"/>
      <c r="I16" s="67"/>
      <c r="K16" s="270">
        <f t="shared" ref="K16:R16" si="13">+K72</f>
        <v>0</v>
      </c>
      <c r="L16" s="270">
        <f t="shared" si="13"/>
        <v>0</v>
      </c>
      <c r="M16" s="270">
        <f t="shared" si="13"/>
        <v>0</v>
      </c>
      <c r="N16" s="270">
        <f t="shared" si="13"/>
        <v>0</v>
      </c>
      <c r="O16" s="270">
        <f t="shared" si="13"/>
        <v>0</v>
      </c>
      <c r="P16" s="270">
        <f t="shared" si="13"/>
        <v>0</v>
      </c>
      <c r="Q16" s="270">
        <f t="shared" si="13"/>
        <v>0</v>
      </c>
      <c r="R16" s="270">
        <f t="shared" si="13"/>
        <v>0</v>
      </c>
      <c r="S16" s="270">
        <f t="shared" ref="S16:Y16" si="14">+S72</f>
        <v>0</v>
      </c>
      <c r="T16" s="270">
        <f t="shared" si="14"/>
        <v>0</v>
      </c>
      <c r="U16" s="270">
        <f t="shared" si="14"/>
        <v>0.46644418731560888</v>
      </c>
      <c r="V16" s="270">
        <f t="shared" si="14"/>
        <v>0.83045111582697206</v>
      </c>
      <c r="W16" s="270">
        <f t="shared" si="14"/>
        <v>0.87602266067796575</v>
      </c>
      <c r="X16" s="270">
        <f t="shared" si="14"/>
        <v>0.20945219552036198</v>
      </c>
      <c r="Y16" s="270">
        <f t="shared" si="14"/>
        <v>0.5102891113318776</v>
      </c>
      <c r="Z16" s="270">
        <f>+Z72</f>
        <v>1.0902278000000001</v>
      </c>
      <c r="AA16" s="211">
        <f t="shared" ref="AA16:AJ16" si="15">+AA72</f>
        <v>0.3902439024390244</v>
      </c>
      <c r="AB16" s="211">
        <f t="shared" si="15"/>
        <v>0.38072575847709705</v>
      </c>
      <c r="AC16" s="211">
        <f t="shared" si="15"/>
        <v>0.37143976436789955</v>
      </c>
      <c r="AD16" s="211">
        <f t="shared" si="15"/>
        <v>0.36238025791990203</v>
      </c>
      <c r="AE16" s="211">
        <f t="shared" si="15"/>
        <v>0.35354171504380694</v>
      </c>
      <c r="AF16" s="270">
        <f t="shared" si="15"/>
        <v>0.34491874638420195</v>
      </c>
      <c r="AG16" s="270">
        <f t="shared" si="15"/>
        <v>0.33650609403336773</v>
      </c>
      <c r="AH16" s="270">
        <f t="shared" si="15"/>
        <v>0.32829862832523693</v>
      </c>
      <c r="AI16" s="270">
        <f t="shared" si="15"/>
        <v>0.32029134470754822</v>
      </c>
      <c r="AJ16" s="270">
        <f t="shared" si="15"/>
        <v>0.15623968034514546</v>
      </c>
      <c r="AK16" s="157"/>
      <c r="AM16" s="1634"/>
      <c r="AN16" s="1635"/>
      <c r="AO16" s="1635"/>
      <c r="AP16" s="1635"/>
      <c r="AQ16" s="1636"/>
      <c r="AR16" s="842"/>
      <c r="AS16" s="842"/>
      <c r="AT16" s="842"/>
      <c r="AU16" s="842"/>
      <c r="AV16" s="842"/>
      <c r="AW16" s="842"/>
      <c r="AX16" s="842"/>
      <c r="AY16" s="842"/>
      <c r="AZ16" s="842"/>
      <c r="BA16" s="842"/>
      <c r="BB16" s="842"/>
      <c r="BC16" s="842"/>
    </row>
    <row r="17" spans="3:55">
      <c r="C17" s="155"/>
      <c r="D17" s="67"/>
      <c r="E17" s="67" t="s">
        <v>485</v>
      </c>
      <c r="F17" s="67"/>
      <c r="G17" s="67"/>
      <c r="H17" s="67"/>
      <c r="I17" s="67"/>
      <c r="K17" s="270">
        <f>K75</f>
        <v>0</v>
      </c>
      <c r="L17" s="270">
        <f t="shared" ref="L17:AJ17" si="16">L75</f>
        <v>0</v>
      </c>
      <c r="M17" s="270">
        <f t="shared" si="16"/>
        <v>0</v>
      </c>
      <c r="N17" s="270">
        <f t="shared" si="16"/>
        <v>0</v>
      </c>
      <c r="O17" s="270">
        <f t="shared" si="16"/>
        <v>0</v>
      </c>
      <c r="P17" s="270">
        <f t="shared" si="16"/>
        <v>0</v>
      </c>
      <c r="Q17" s="270">
        <f t="shared" si="16"/>
        <v>0</v>
      </c>
      <c r="R17" s="270">
        <f t="shared" si="16"/>
        <v>0</v>
      </c>
      <c r="S17" s="270">
        <f t="shared" si="16"/>
        <v>0</v>
      </c>
      <c r="T17" s="270">
        <f t="shared" si="16"/>
        <v>0</v>
      </c>
      <c r="U17" s="270">
        <f t="shared" si="16"/>
        <v>39.522471910112358</v>
      </c>
      <c r="V17" s="270">
        <f t="shared" si="16"/>
        <v>24.480184262952481</v>
      </c>
      <c r="W17" s="270">
        <f t="shared" si="16"/>
        <v>36.103751559430009</v>
      </c>
      <c r="X17" s="270">
        <f t="shared" si="16"/>
        <v>54.504723216255655</v>
      </c>
      <c r="Y17" s="270">
        <f t="shared" si="16"/>
        <v>65.979940791036981</v>
      </c>
      <c r="Z17" s="270">
        <f>Z75</f>
        <v>75.920242215512587</v>
      </c>
      <c r="AA17" s="211">
        <f t="shared" si="16"/>
        <v>80.635863641761844</v>
      </c>
      <c r="AB17" s="211">
        <f t="shared" si="16"/>
        <v>112.3221039301982</v>
      </c>
      <c r="AC17" s="211">
        <f t="shared" si="16"/>
        <v>129.96682378290575</v>
      </c>
      <c r="AD17" s="211">
        <f t="shared" si="16"/>
        <v>140.29860512110415</v>
      </c>
      <c r="AE17" s="211">
        <f t="shared" si="16"/>
        <v>157.91655740021756</v>
      </c>
      <c r="AF17" s="270">
        <f t="shared" si="16"/>
        <v>175.94832753327148</v>
      </c>
      <c r="AG17" s="270">
        <f t="shared" si="16"/>
        <v>195.49751441483352</v>
      </c>
      <c r="AH17" s="270">
        <f t="shared" si="16"/>
        <v>215.22256214434148</v>
      </c>
      <c r="AI17" s="270">
        <f t="shared" si="16"/>
        <v>234.92707998494794</v>
      </c>
      <c r="AJ17" s="270">
        <f t="shared" si="16"/>
        <v>255.51406739517921</v>
      </c>
      <c r="AK17" s="157"/>
      <c r="AL17" s="860"/>
      <c r="AM17" s="1519" t="str">
        <f>IF(Pre_RP_Estimate=2,"^Please contact ESC to explain the reasons for this selection","")</f>
        <v/>
      </c>
      <c r="AR17" s="842"/>
      <c r="AS17" s="842"/>
      <c r="AT17" s="842"/>
      <c r="AU17" s="842"/>
      <c r="AV17" s="842"/>
      <c r="AW17" s="842"/>
      <c r="AX17" s="842"/>
      <c r="AY17" s="842"/>
      <c r="AZ17" s="842"/>
      <c r="BA17" s="842"/>
      <c r="BB17" s="842"/>
      <c r="BC17" s="842"/>
    </row>
    <row r="18" spans="3:55" ht="12.75" thickBot="1">
      <c r="C18" s="155"/>
      <c r="D18" s="67"/>
      <c r="E18" s="93" t="s">
        <v>479</v>
      </c>
      <c r="F18" s="93"/>
      <c r="G18" s="93"/>
      <c r="H18" s="93"/>
      <c r="I18" s="93"/>
      <c r="K18" s="271">
        <f>+SUM(K12:K17)</f>
        <v>0</v>
      </c>
      <c r="L18" s="271">
        <f t="shared" ref="L18:AJ18" si="17">+SUM(L12:L17)</f>
        <v>0</v>
      </c>
      <c r="M18" s="271">
        <f t="shared" si="17"/>
        <v>0</v>
      </c>
      <c r="N18" s="271">
        <f t="shared" si="17"/>
        <v>0</v>
      </c>
      <c r="O18" s="271">
        <f t="shared" si="17"/>
        <v>0</v>
      </c>
      <c r="P18" s="271">
        <f t="shared" si="17"/>
        <v>0</v>
      </c>
      <c r="Q18" s="271">
        <f t="shared" si="17"/>
        <v>0</v>
      </c>
      <c r="R18" s="271">
        <f t="shared" si="17"/>
        <v>0</v>
      </c>
      <c r="S18" s="271">
        <f t="shared" si="17"/>
        <v>0</v>
      </c>
      <c r="T18" s="271">
        <f t="shared" si="17"/>
        <v>0</v>
      </c>
      <c r="U18" s="271">
        <f t="shared" si="17"/>
        <v>797.02440927545513</v>
      </c>
      <c r="V18" s="271">
        <f t="shared" si="17"/>
        <v>751.86183677857571</v>
      </c>
      <c r="W18" s="271">
        <f t="shared" si="17"/>
        <v>883.33185422705719</v>
      </c>
      <c r="X18" s="271">
        <f t="shared" si="17"/>
        <v>975.48484394204763</v>
      </c>
      <c r="Y18" s="271">
        <f t="shared" si="17"/>
        <v>1058.7332364874123</v>
      </c>
      <c r="Z18" s="271">
        <f t="shared" si="17"/>
        <v>1170.2563557055128</v>
      </c>
      <c r="AA18" s="1521">
        <f t="shared" si="17"/>
        <v>1427.8676842478524</v>
      </c>
      <c r="AB18" s="1521">
        <f t="shared" si="17"/>
        <v>1570.164250393809</v>
      </c>
      <c r="AC18" s="1521">
        <f t="shared" si="17"/>
        <v>1607.4161999295407</v>
      </c>
      <c r="AD18" s="1521">
        <f t="shared" si="17"/>
        <v>1650.5477325991501</v>
      </c>
      <c r="AE18" s="1521">
        <f t="shared" si="17"/>
        <v>1600.0870518966058</v>
      </c>
      <c r="AF18" s="271">
        <f t="shared" si="17"/>
        <v>1822.431846686201</v>
      </c>
      <c r="AG18" s="271">
        <f t="shared" si="17"/>
        <v>1894.5863492533358</v>
      </c>
      <c r="AH18" s="271">
        <f t="shared" si="17"/>
        <v>1729.8126501350996</v>
      </c>
      <c r="AI18" s="271">
        <f t="shared" si="17"/>
        <v>1971.4744774702951</v>
      </c>
      <c r="AJ18" s="271">
        <f t="shared" si="17"/>
        <v>2094.9713055918783</v>
      </c>
      <c r="AK18" s="157"/>
      <c r="AR18" s="842"/>
      <c r="AS18" s="842"/>
      <c r="AT18" s="842"/>
      <c r="AU18" s="842"/>
      <c r="AV18" s="842"/>
      <c r="AW18" s="842"/>
      <c r="AX18" s="842"/>
      <c r="AY18" s="842"/>
      <c r="AZ18" s="842"/>
      <c r="BA18" s="842"/>
      <c r="BB18" s="842"/>
      <c r="BC18" s="842"/>
    </row>
    <row r="19" spans="3:55" ht="13.5" thickBot="1">
      <c r="C19" s="155"/>
      <c r="D19" s="67"/>
      <c r="E19" s="93"/>
      <c r="F19" s="93"/>
      <c r="G19" s="93"/>
      <c r="H19" s="93"/>
      <c r="I19" s="93"/>
      <c r="K19" s="270"/>
      <c r="L19" s="270"/>
      <c r="M19" s="270"/>
      <c r="N19" s="270"/>
      <c r="O19" s="270"/>
      <c r="P19" s="270"/>
      <c r="Q19" s="270"/>
      <c r="R19" s="270"/>
      <c r="S19" s="270"/>
      <c r="T19" s="270"/>
      <c r="U19" s="270"/>
      <c r="V19" s="270"/>
      <c r="W19" s="270"/>
      <c r="X19" s="270"/>
      <c r="Y19" s="270"/>
      <c r="Z19" s="270"/>
      <c r="AA19" s="211"/>
      <c r="AB19" s="211"/>
      <c r="AC19" s="211"/>
      <c r="AD19" s="211"/>
      <c r="AE19" s="211"/>
      <c r="AF19" s="270"/>
      <c r="AG19" s="270"/>
      <c r="AH19" s="270"/>
      <c r="AI19" s="270"/>
      <c r="AJ19" s="270"/>
      <c r="AK19" s="157"/>
      <c r="AM19" s="1623" t="s">
        <v>764</v>
      </c>
      <c r="AQ19" s="1637"/>
      <c r="AR19" s="842"/>
      <c r="AS19" s="842"/>
      <c r="AT19" s="842"/>
      <c r="AU19" s="842"/>
      <c r="AV19" s="842"/>
      <c r="AW19" s="842"/>
      <c r="AX19" s="842"/>
      <c r="AY19" s="842"/>
      <c r="AZ19" s="842"/>
      <c r="BA19" s="842"/>
      <c r="BB19" s="842"/>
      <c r="BC19" s="842"/>
    </row>
    <row r="20" spans="3:55">
      <c r="C20" s="155"/>
      <c r="D20" s="67"/>
      <c r="E20" s="93"/>
      <c r="F20" s="93"/>
      <c r="G20" s="93"/>
      <c r="H20" s="93"/>
      <c r="I20" s="93"/>
      <c r="K20" s="270"/>
      <c r="L20" s="270"/>
      <c r="M20" s="270"/>
      <c r="N20" s="270"/>
      <c r="O20" s="270"/>
      <c r="P20" s="270"/>
      <c r="Q20" s="270"/>
      <c r="R20" s="270"/>
      <c r="S20" s="270"/>
      <c r="T20" s="270"/>
      <c r="U20" s="270"/>
      <c r="V20" s="270"/>
      <c r="W20" s="270"/>
      <c r="Y20" s="296" t="s">
        <v>765</v>
      </c>
      <c r="Z20" s="1655">
        <f>SUM(V18:Z18)</f>
        <v>4839.6681271406051</v>
      </c>
      <c r="AA20" s="1656" t="s">
        <v>231</v>
      </c>
      <c r="AB20" s="296"/>
      <c r="AD20" s="296" t="s">
        <v>766</v>
      </c>
      <c r="AE20" s="1655">
        <f>SUM(AA18:AE18)</f>
        <v>7856.0829190669574</v>
      </c>
      <c r="AF20" s="1656" t="s">
        <v>231</v>
      </c>
      <c r="AG20" s="270"/>
      <c r="AH20" s="270"/>
      <c r="AI20" s="270"/>
      <c r="AJ20" s="270"/>
      <c r="AK20" s="157"/>
      <c r="AM20" s="1638"/>
      <c r="AN20" s="1639"/>
      <c r="AO20" s="1639"/>
      <c r="AP20" s="1640"/>
      <c r="AQ20" s="1641"/>
      <c r="AR20" s="842"/>
      <c r="AS20" s="842"/>
      <c r="AT20" s="842"/>
      <c r="AU20" s="842"/>
      <c r="AV20" s="842"/>
      <c r="AW20" s="842"/>
      <c r="AX20" s="842"/>
      <c r="AY20" s="842"/>
      <c r="AZ20" s="842"/>
      <c r="BA20" s="842"/>
      <c r="BB20" s="842"/>
      <c r="BC20" s="842"/>
    </row>
    <row r="21" spans="3:55">
      <c r="C21" s="155"/>
      <c r="D21" s="67"/>
      <c r="E21" s="93"/>
      <c r="F21" s="93"/>
      <c r="G21" s="93"/>
      <c r="H21" s="93"/>
      <c r="I21" s="93"/>
      <c r="K21" s="270"/>
      <c r="L21" s="270"/>
      <c r="M21" s="270"/>
      <c r="N21" s="270"/>
      <c r="O21" s="270"/>
      <c r="P21" s="270"/>
      <c r="Q21" s="270"/>
      <c r="R21" s="270"/>
      <c r="S21" s="270"/>
      <c r="T21" s="270"/>
      <c r="U21" s="270"/>
      <c r="V21" s="270"/>
      <c r="W21" s="270"/>
      <c r="Y21" s="296" t="s">
        <v>767</v>
      </c>
      <c r="Z21" s="1658">
        <f>SUM(V23:Z23)</f>
        <v>4376.5871227037615</v>
      </c>
      <c r="AA21" s="1657">
        <f>Z20/Z21-1</f>
        <v>0.10580870240982709</v>
      </c>
      <c r="AB21" s="296"/>
      <c r="AD21" s="296" t="s">
        <v>768</v>
      </c>
      <c r="AE21" s="1658">
        <f>SUM(AA23:AE23)</f>
        <v>3963.3178126084963</v>
      </c>
      <c r="AF21" s="1657">
        <f>AE20/AE21-1</f>
        <v>0.98219857465742821</v>
      </c>
      <c r="AG21" s="270"/>
      <c r="AH21" s="270"/>
      <c r="AI21" s="270"/>
      <c r="AJ21" s="270"/>
      <c r="AK21" s="157"/>
      <c r="AM21" s="1642"/>
      <c r="AN21" s="1643" t="s">
        <v>769</v>
      </c>
      <c r="AO21" s="233"/>
      <c r="AP21" s="1644">
        <f>SUM(U18:Y18)</f>
        <v>4466.4361807105479</v>
      </c>
      <c r="AQ21" s="1645"/>
      <c r="AR21" s="842"/>
      <c r="AS21" s="842"/>
      <c r="AT21" s="842"/>
      <c r="AU21" s="842"/>
      <c r="AV21" s="842"/>
      <c r="AW21" s="842"/>
      <c r="AX21" s="842"/>
      <c r="AY21" s="842"/>
      <c r="AZ21" s="842"/>
      <c r="BA21" s="842"/>
      <c r="BB21" s="842"/>
      <c r="BC21" s="842"/>
    </row>
    <row r="22" spans="3:55">
      <c r="C22" s="155"/>
      <c r="D22" s="67"/>
      <c r="E22" s="93"/>
      <c r="F22" s="93"/>
      <c r="G22" s="93"/>
      <c r="H22" s="93"/>
      <c r="I22" s="93"/>
      <c r="K22" s="270"/>
      <c r="L22" s="270"/>
      <c r="M22" s="270"/>
      <c r="N22" s="270"/>
      <c r="O22" s="270"/>
      <c r="P22" s="270"/>
      <c r="Q22" s="270"/>
      <c r="R22" s="270"/>
      <c r="S22" s="270"/>
      <c r="T22" s="270"/>
      <c r="U22" s="270"/>
      <c r="V22" s="270"/>
      <c r="W22" s="270"/>
      <c r="Y22" s="296"/>
      <c r="Z22" s="296"/>
      <c r="AA22" s="1657"/>
      <c r="AB22" s="296"/>
      <c r="AD22" s="296"/>
      <c r="AE22" s="296"/>
      <c r="AF22" s="1657"/>
      <c r="AG22" s="270"/>
      <c r="AH22" s="270"/>
      <c r="AI22" s="270"/>
      <c r="AJ22" s="270"/>
      <c r="AK22" s="157"/>
      <c r="AM22" s="1642"/>
      <c r="AN22" s="1643" t="s">
        <v>770</v>
      </c>
      <c r="AO22" s="233"/>
      <c r="AP22" s="1646">
        <f>SUM(U23:Y23)</f>
        <v>4248.077003794795</v>
      </c>
      <c r="AQ22" s="1628"/>
      <c r="AR22" s="842"/>
      <c r="AS22" s="842"/>
      <c r="AT22" s="842"/>
      <c r="AU22" s="842"/>
      <c r="AV22" s="842"/>
      <c r="AW22" s="842"/>
      <c r="AX22" s="842"/>
      <c r="AY22" s="842"/>
      <c r="AZ22" s="842"/>
      <c r="BA22" s="842"/>
      <c r="BB22" s="842"/>
      <c r="BC22" s="842"/>
    </row>
    <row r="23" spans="3:55">
      <c r="C23" s="155"/>
      <c r="D23" s="67"/>
      <c r="E23" s="89" t="s">
        <v>771</v>
      </c>
      <c r="F23" s="89"/>
      <c r="G23" s="89"/>
      <c r="H23" s="89"/>
      <c r="I23" s="89"/>
      <c r="J23" s="296"/>
      <c r="K23" s="296"/>
      <c r="L23" s="296"/>
      <c r="M23" s="296"/>
      <c r="N23" s="296"/>
      <c r="O23" s="296"/>
      <c r="P23" s="296"/>
      <c r="Q23" s="296"/>
      <c r="R23" s="296"/>
      <c r="S23" s="296"/>
      <c r="T23" s="296"/>
      <c r="U23" s="1788">
        <f>SUM('Determination Lookup'!N13:N18)</f>
        <v>550.34498315723476</v>
      </c>
      <c r="V23" s="1788">
        <f>SUM('Determination Lookup'!O13:O18)</f>
        <v>927.06243643349524</v>
      </c>
      <c r="W23" s="1788">
        <f>SUM('Determination Lookup'!P13:P18)</f>
        <v>1109.5112280953947</v>
      </c>
      <c r="X23" s="1788">
        <f>SUM('Determination Lookup'!Q13:Q18)</f>
        <v>829.31472941982076</v>
      </c>
      <c r="Y23" s="1788">
        <f>SUM('Determination Lookup'!R13:R18)</f>
        <v>831.8436266888491</v>
      </c>
      <c r="Z23" s="1788">
        <f>SUM('Determination Lookup'!S13:S18)</f>
        <v>678.85510206620143</v>
      </c>
      <c r="AA23" s="1788">
        <f>SUM('Determination Lookup'!T13:T18)</f>
        <v>807.53216060687657</v>
      </c>
      <c r="AB23" s="1788">
        <f>SUM('Determination Lookup'!U13:U18)</f>
        <v>770.44178331775004</v>
      </c>
      <c r="AC23" s="1788">
        <f>SUM('Determination Lookup'!V13:V18)</f>
        <v>784.80776674452045</v>
      </c>
      <c r="AD23" s="1788">
        <f>SUM('Determination Lookup'!W13:W18)</f>
        <v>814.24641575700412</v>
      </c>
      <c r="AE23" s="1788">
        <f>SUM('Determination Lookup'!X13:X18)</f>
        <v>786.28968618234512</v>
      </c>
      <c r="AF23" s="1321"/>
      <c r="AG23" s="1321"/>
      <c r="AH23" s="1321"/>
      <c r="AI23" s="1321"/>
      <c r="AJ23" s="1321"/>
      <c r="AK23" s="157"/>
      <c r="AM23" s="1642"/>
      <c r="AN23" s="1647" t="s">
        <v>772</v>
      </c>
      <c r="AO23" s="233"/>
      <c r="AP23" s="1648">
        <f>AP21-AP22</f>
        <v>218.35917691575287</v>
      </c>
      <c r="AQ23" s="1628"/>
      <c r="AR23" s="842"/>
      <c r="AS23" s="842"/>
      <c r="AT23" s="842"/>
      <c r="AU23" s="842"/>
      <c r="AV23" s="842"/>
      <c r="AW23" s="842"/>
      <c r="AX23" s="842"/>
      <c r="AY23" s="842"/>
      <c r="AZ23" s="842"/>
      <c r="BA23" s="842"/>
      <c r="BB23" s="842"/>
      <c r="BC23" s="842"/>
    </row>
    <row r="24" spans="3:55" ht="12.75" thickBot="1">
      <c r="C24" s="155"/>
      <c r="D24" s="67"/>
      <c r="E24" s="76" t="s">
        <v>773</v>
      </c>
      <c r="F24" s="89"/>
      <c r="G24" s="89"/>
      <c r="H24" s="89"/>
      <c r="I24" s="89"/>
      <c r="J24" s="296"/>
      <c r="K24" s="296"/>
      <c r="L24" s="296"/>
      <c r="M24" s="296"/>
      <c r="N24" s="296"/>
      <c r="O24" s="296"/>
      <c r="P24" s="296"/>
      <c r="Q24" s="296"/>
      <c r="R24" s="296"/>
      <c r="S24" s="296"/>
      <c r="T24" s="296"/>
      <c r="U24" s="1659">
        <f>U18/U23-1</f>
        <v>0.44822690070337856</v>
      </c>
      <c r="V24" s="1659">
        <f t="shared" ref="V24:AE24" si="18">V18/V23-1</f>
        <v>-0.18898468190441875</v>
      </c>
      <c r="W24" s="1659">
        <f t="shared" si="18"/>
        <v>-0.20385496616974375</v>
      </c>
      <c r="X24" s="1659">
        <f t="shared" si="18"/>
        <v>0.17625409188678676</v>
      </c>
      <c r="Y24" s="1659">
        <f t="shared" si="18"/>
        <v>0.27275512189916817</v>
      </c>
      <c r="Z24" s="1659">
        <f t="shared" si="18"/>
        <v>0.7238676591567994</v>
      </c>
      <c r="AA24" s="1659">
        <f t="shared" si="18"/>
        <v>0.76818677187392903</v>
      </c>
      <c r="AB24" s="1659">
        <f t="shared" si="18"/>
        <v>1.0380050568288466</v>
      </c>
      <c r="AC24" s="1659">
        <f t="shared" si="18"/>
        <v>1.0481655101316103</v>
      </c>
      <c r="AD24" s="1659">
        <f t="shared" si="18"/>
        <v>1.0270862734650632</v>
      </c>
      <c r="AE24" s="1659">
        <f t="shared" si="18"/>
        <v>1.034984154078725</v>
      </c>
      <c r="AF24" s="1659"/>
      <c r="AG24" s="1659"/>
      <c r="AH24" s="1659"/>
      <c r="AI24" s="1659"/>
      <c r="AJ24" s="1659"/>
      <c r="AK24" s="157"/>
      <c r="AM24" s="1649"/>
      <c r="AN24" s="1643" t="s">
        <v>774</v>
      </c>
      <c r="AO24" s="233"/>
      <c r="AP24" s="1650">
        <f>AP23/AP22</f>
        <v>5.140188765897917E-2</v>
      </c>
      <c r="AQ24" s="1651"/>
      <c r="AR24" s="842"/>
      <c r="AS24" s="842"/>
      <c r="AT24" s="842"/>
      <c r="AU24" s="842"/>
      <c r="AV24" s="842"/>
      <c r="AW24" s="842"/>
      <c r="AX24" s="842"/>
      <c r="AY24" s="842"/>
      <c r="AZ24" s="842"/>
      <c r="BA24" s="842"/>
      <c r="BB24" s="842"/>
      <c r="BC24" s="842"/>
    </row>
    <row r="25" spans="3:55" s="76" customFormat="1" ht="12.75" thickBot="1">
      <c r="C25" s="419"/>
      <c r="D25" s="278"/>
      <c r="E25" s="67"/>
      <c r="F25" s="67"/>
      <c r="G25" s="67"/>
      <c r="H25" s="67"/>
      <c r="I25" s="67"/>
      <c r="J25" s="63"/>
      <c r="K25" s="67"/>
      <c r="L25" s="67"/>
      <c r="M25" s="420"/>
      <c r="N25" s="421"/>
      <c r="O25" s="421"/>
      <c r="P25" s="421"/>
      <c r="Q25" s="421"/>
      <c r="R25" s="1135"/>
      <c r="S25" s="1135"/>
      <c r="T25" s="1135"/>
      <c r="U25" s="1135"/>
      <c r="V25" s="1135"/>
      <c r="W25" s="1135"/>
      <c r="X25" s="1135"/>
      <c r="Y25" s="1135"/>
      <c r="Z25" s="1135"/>
      <c r="AA25" s="1135"/>
      <c r="AB25" s="1135"/>
      <c r="AC25" s="1135"/>
      <c r="AD25" s="1135"/>
      <c r="AE25" s="1135"/>
      <c r="AF25" s="1135"/>
      <c r="AG25" s="1135"/>
      <c r="AH25" s="1135"/>
      <c r="AI25" s="1135"/>
      <c r="AJ25" s="1135"/>
      <c r="AK25" s="422"/>
      <c r="AM25" s="1652"/>
      <c r="AN25" s="1653"/>
      <c r="AO25" s="1653"/>
      <c r="AP25" s="1653"/>
      <c r="AQ25" s="1654"/>
      <c r="AR25" s="842"/>
      <c r="AS25" s="842"/>
      <c r="AT25" s="842"/>
      <c r="AU25" s="842"/>
      <c r="AV25" s="842"/>
      <c r="AW25" s="842"/>
      <c r="AX25" s="842"/>
      <c r="AY25" s="842"/>
      <c r="AZ25" s="842"/>
      <c r="BA25" s="842"/>
      <c r="BB25" s="842"/>
      <c r="BC25" s="842"/>
    </row>
    <row r="26" spans="3:55">
      <c r="C26" s="155"/>
      <c r="D26" s="67"/>
      <c r="E26" s="67"/>
      <c r="F26" s="67"/>
      <c r="G26" s="67"/>
      <c r="H26" s="67"/>
      <c r="I26" s="67"/>
      <c r="K26" s="270"/>
      <c r="L26" s="270"/>
      <c r="M26" s="270"/>
      <c r="N26" s="270"/>
      <c r="O26" s="270"/>
      <c r="P26" s="270"/>
      <c r="Q26" s="270"/>
      <c r="R26" s="296"/>
      <c r="S26" s="296"/>
      <c r="T26" s="296"/>
      <c r="U26" s="296"/>
      <c r="V26" s="296"/>
      <c r="W26" s="296"/>
      <c r="X26" s="296"/>
      <c r="Y26" s="296"/>
      <c r="Z26" s="296"/>
      <c r="AA26" s="1006"/>
      <c r="AB26" s="1136"/>
      <c r="AC26" s="296"/>
      <c r="AD26" s="270"/>
      <c r="AE26" s="270"/>
      <c r="AF26" s="270"/>
      <c r="AG26" s="270"/>
      <c r="AH26" s="270"/>
      <c r="AI26" s="270"/>
      <c r="AJ26" s="270"/>
      <c r="AK26" s="1119"/>
      <c r="AN26" s="842"/>
      <c r="AO26" s="842"/>
      <c r="AP26" s="842"/>
      <c r="AQ26" s="842"/>
      <c r="AR26" s="842"/>
      <c r="AS26" s="842"/>
      <c r="AT26" s="842"/>
      <c r="AU26" s="842"/>
      <c r="AV26" s="842"/>
      <c r="AW26" s="842"/>
      <c r="AX26" s="842"/>
      <c r="AY26" s="842"/>
      <c r="AZ26" s="842"/>
      <c r="BA26" s="842"/>
      <c r="BB26" s="842"/>
      <c r="BC26" s="842"/>
    </row>
    <row r="27" spans="3:55">
      <c r="C27" s="155"/>
      <c r="D27" s="67"/>
      <c r="E27" s="67" t="s">
        <v>488</v>
      </c>
      <c r="F27" s="67"/>
      <c r="G27" s="67"/>
      <c r="H27" s="67"/>
      <c r="I27" s="67"/>
      <c r="K27" s="270">
        <f t="shared" ref="K27:S27" si="19">+K87</f>
        <v>0</v>
      </c>
      <c r="L27" s="270">
        <f t="shared" si="19"/>
        <v>0</v>
      </c>
      <c r="M27" s="270">
        <f t="shared" si="19"/>
        <v>0</v>
      </c>
      <c r="N27" s="270">
        <f t="shared" si="19"/>
        <v>0</v>
      </c>
      <c r="O27" s="270">
        <f t="shared" si="19"/>
        <v>0</v>
      </c>
      <c r="P27" s="270">
        <f t="shared" si="19"/>
        <v>0</v>
      </c>
      <c r="Q27" s="270">
        <f t="shared" si="19"/>
        <v>0</v>
      </c>
      <c r="R27" s="270">
        <f t="shared" si="19"/>
        <v>0</v>
      </c>
      <c r="S27" s="270">
        <f t="shared" si="19"/>
        <v>0</v>
      </c>
      <c r="T27" s="270">
        <f>+T87</f>
        <v>0</v>
      </c>
      <c r="U27" s="270">
        <f t="shared" ref="U27:Z27" si="20">+U87</f>
        <v>0</v>
      </c>
      <c r="V27" s="270">
        <f t="shared" si="20"/>
        <v>0</v>
      </c>
      <c r="W27" s="270">
        <f t="shared" si="20"/>
        <v>0</v>
      </c>
      <c r="X27" s="270">
        <f t="shared" si="20"/>
        <v>0</v>
      </c>
      <c r="Y27" s="270">
        <f t="shared" si="20"/>
        <v>0</v>
      </c>
      <c r="Z27" s="270">
        <f t="shared" si="20"/>
        <v>0</v>
      </c>
      <c r="AA27" s="270">
        <f t="shared" ref="AA27:AJ27" si="21">+AA87</f>
        <v>9.3121997121680415</v>
      </c>
      <c r="AB27" s="270">
        <f t="shared" si="21"/>
        <v>14.957255803937155</v>
      </c>
      <c r="AC27" s="270">
        <f t="shared" si="21"/>
        <v>2.3374750439277121E-2</v>
      </c>
      <c r="AD27" s="270">
        <f t="shared" si="21"/>
        <v>1.5203089716603002E-2</v>
      </c>
      <c r="AE27" s="270">
        <f t="shared" si="21"/>
        <v>0</v>
      </c>
      <c r="AF27" s="270">
        <f t="shared" si="21"/>
        <v>0</v>
      </c>
      <c r="AG27" s="270">
        <f t="shared" si="21"/>
        <v>0</v>
      </c>
      <c r="AH27" s="270">
        <f t="shared" si="21"/>
        <v>0</v>
      </c>
      <c r="AI27" s="270">
        <f t="shared" si="21"/>
        <v>0</v>
      </c>
      <c r="AJ27" s="270">
        <f t="shared" si="21"/>
        <v>0</v>
      </c>
      <c r="AK27" s="157"/>
      <c r="AN27" s="842"/>
      <c r="AO27" s="842"/>
      <c r="AP27" s="842"/>
      <c r="AQ27" s="842"/>
      <c r="AR27" s="842"/>
      <c r="AS27" s="842"/>
      <c r="AT27" s="842"/>
      <c r="AU27" s="842"/>
      <c r="AV27" s="842"/>
      <c r="AW27" s="842"/>
      <c r="AX27" s="842"/>
      <c r="AY27" s="842"/>
      <c r="AZ27" s="842"/>
      <c r="BA27" s="842"/>
      <c r="BB27" s="842"/>
      <c r="BC27" s="842"/>
    </row>
    <row r="28" spans="3:55">
      <c r="C28" s="155"/>
      <c r="D28" s="67"/>
      <c r="E28" s="67" t="s">
        <v>489</v>
      </c>
      <c r="F28" s="67"/>
      <c r="G28" s="67"/>
      <c r="H28" s="67"/>
      <c r="I28" s="67"/>
      <c r="K28" s="270">
        <f t="shared" ref="K28:S28" si="22">+K95</f>
        <v>0</v>
      </c>
      <c r="L28" s="270">
        <f t="shared" si="22"/>
        <v>0</v>
      </c>
      <c r="M28" s="270">
        <f t="shared" si="22"/>
        <v>0</v>
      </c>
      <c r="N28" s="270">
        <f t="shared" si="22"/>
        <v>0</v>
      </c>
      <c r="O28" s="270">
        <f t="shared" si="22"/>
        <v>0</v>
      </c>
      <c r="P28" s="270">
        <f t="shared" si="22"/>
        <v>0</v>
      </c>
      <c r="Q28" s="270">
        <f t="shared" si="22"/>
        <v>0</v>
      </c>
      <c r="R28" s="270">
        <f t="shared" si="22"/>
        <v>0</v>
      </c>
      <c r="S28" s="270">
        <f t="shared" si="22"/>
        <v>0</v>
      </c>
      <c r="T28" s="270">
        <f>+T95</f>
        <v>0</v>
      </c>
      <c r="U28" s="270">
        <f t="shared" ref="U28:Z28" si="23">+U95</f>
        <v>210.8960332453432</v>
      </c>
      <c r="V28" s="270">
        <f t="shared" si="23"/>
        <v>230.07077214842749</v>
      </c>
      <c r="W28" s="270">
        <f t="shared" si="23"/>
        <v>244.47369722033895</v>
      </c>
      <c r="X28" s="270">
        <f t="shared" si="23"/>
        <v>229.85439754180234</v>
      </c>
      <c r="Y28" s="270">
        <f t="shared" si="23"/>
        <v>222.79739963284294</v>
      </c>
      <c r="Z28" s="270">
        <f t="shared" si="23"/>
        <v>244.65017134288519</v>
      </c>
      <c r="AA28" s="270">
        <f t="shared" ref="AA28:AJ28" si="24">+AA95</f>
        <v>256.68418674331554</v>
      </c>
      <c r="AB28" s="270">
        <f t="shared" si="24"/>
        <v>265.82094960941134</v>
      </c>
      <c r="AC28" s="270">
        <f t="shared" si="24"/>
        <v>266.89260337450156</v>
      </c>
      <c r="AD28" s="270">
        <f t="shared" si="24"/>
        <v>265.83725314288654</v>
      </c>
      <c r="AE28" s="270">
        <f t="shared" si="24"/>
        <v>261.75654907461649</v>
      </c>
      <c r="AF28" s="270">
        <f t="shared" si="24"/>
        <v>266.29183409691552</v>
      </c>
      <c r="AG28" s="270">
        <f t="shared" si="24"/>
        <v>259.09270600770168</v>
      </c>
      <c r="AH28" s="270">
        <f t="shared" si="24"/>
        <v>250.01787257304056</v>
      </c>
      <c r="AI28" s="270">
        <f t="shared" si="24"/>
        <v>241.27074037515396</v>
      </c>
      <c r="AJ28" s="270">
        <f t="shared" si="24"/>
        <v>232.83938317900669</v>
      </c>
      <c r="AK28" s="157"/>
      <c r="AN28" s="842"/>
      <c r="AO28" s="842"/>
      <c r="AP28" s="842"/>
      <c r="AQ28" s="842"/>
      <c r="AR28" s="842"/>
      <c r="AS28" s="842"/>
      <c r="AT28" s="842"/>
      <c r="AU28" s="842"/>
      <c r="AV28" s="842"/>
      <c r="AW28" s="842"/>
      <c r="AX28" s="842"/>
      <c r="AY28" s="842"/>
      <c r="AZ28" s="842"/>
      <c r="BA28" s="842"/>
      <c r="BB28" s="842"/>
      <c r="BC28" s="842"/>
    </row>
    <row r="29" spans="3:55">
      <c r="C29" s="155"/>
      <c r="D29" s="67"/>
      <c r="E29" s="67"/>
      <c r="F29" s="67"/>
      <c r="G29" s="67"/>
      <c r="H29" s="67"/>
      <c r="I29" s="67"/>
      <c r="K29" s="270"/>
      <c r="L29" s="270"/>
      <c r="M29" s="270"/>
      <c r="N29" s="270"/>
      <c r="O29" s="270"/>
      <c r="P29" s="270"/>
      <c r="Q29" s="270"/>
      <c r="R29" s="270"/>
      <c r="S29" s="270"/>
      <c r="T29" s="270"/>
      <c r="U29" s="270"/>
      <c r="V29" s="270"/>
      <c r="W29" s="270"/>
      <c r="X29" s="270"/>
      <c r="Y29" s="270"/>
      <c r="Z29" s="270"/>
      <c r="AA29" s="270"/>
      <c r="AB29" s="270"/>
      <c r="AC29" s="270"/>
      <c r="AD29" s="270"/>
      <c r="AE29" s="270"/>
      <c r="AF29" s="270"/>
      <c r="AG29" s="270"/>
      <c r="AH29" s="270"/>
      <c r="AI29" s="270"/>
      <c r="AJ29" s="270"/>
      <c r="AK29" s="157"/>
      <c r="AN29" s="842"/>
      <c r="AO29" s="842"/>
      <c r="AP29" s="842"/>
      <c r="AQ29" s="842"/>
      <c r="AR29" s="842"/>
      <c r="AS29" s="842"/>
      <c r="AT29" s="842"/>
      <c r="AU29" s="842"/>
      <c r="AV29" s="842"/>
      <c r="AW29" s="842"/>
      <c r="AX29" s="842"/>
      <c r="AY29" s="842"/>
      <c r="AZ29" s="842"/>
      <c r="BA29" s="842"/>
      <c r="BB29" s="842"/>
      <c r="BC29" s="842"/>
    </row>
    <row r="30" spans="3:55">
      <c r="C30" s="155"/>
      <c r="D30" s="67"/>
      <c r="E30" s="67" t="s">
        <v>272</v>
      </c>
      <c r="F30" s="67"/>
      <c r="G30" s="67"/>
      <c r="H30" s="67"/>
      <c r="I30" s="67"/>
      <c r="K30" s="270">
        <f>+K100</f>
        <v>0</v>
      </c>
      <c r="L30" s="270">
        <f t="shared" ref="L30:W30" si="25">+L100</f>
        <v>0</v>
      </c>
      <c r="M30" s="270">
        <f t="shared" si="25"/>
        <v>0</v>
      </c>
      <c r="N30" s="270">
        <f t="shared" si="25"/>
        <v>0</v>
      </c>
      <c r="O30" s="270">
        <f t="shared" si="25"/>
        <v>0</v>
      </c>
      <c r="P30" s="270">
        <f t="shared" si="25"/>
        <v>0</v>
      </c>
      <c r="Q30" s="270">
        <f t="shared" si="25"/>
        <v>0</v>
      </c>
      <c r="R30" s="270">
        <f>+R100</f>
        <v>0</v>
      </c>
      <c r="S30" s="270">
        <f t="shared" si="25"/>
        <v>0</v>
      </c>
      <c r="T30" s="270">
        <f t="shared" si="25"/>
        <v>0</v>
      </c>
      <c r="U30" s="270">
        <f t="shared" si="25"/>
        <v>46.438491152778724</v>
      </c>
      <c r="V30" s="270">
        <f t="shared" si="25"/>
        <v>33.270578373256996</v>
      </c>
      <c r="W30" s="270">
        <f t="shared" si="25"/>
        <v>11.629937299830507</v>
      </c>
      <c r="X30" s="270">
        <f>+X100</f>
        <v>16.459277557850676</v>
      </c>
      <c r="Y30" s="270">
        <f>+Y100</f>
        <v>10.622503984497815</v>
      </c>
      <c r="Z30" s="270">
        <f>+Z100</f>
        <v>12</v>
      </c>
      <c r="AA30" s="270">
        <f t="shared" ref="AA30:AJ30" si="26">+AA100</f>
        <v>11.707317073170733</v>
      </c>
      <c r="AB30" s="270">
        <f t="shared" si="26"/>
        <v>11.42177275431291</v>
      </c>
      <c r="AC30" s="270">
        <f t="shared" si="26"/>
        <v>11.143192931036989</v>
      </c>
      <c r="AD30" s="270">
        <f t="shared" si="26"/>
        <v>11.143192931036987</v>
      </c>
      <c r="AE30" s="270">
        <f t="shared" si="26"/>
        <v>11.143192931036987</v>
      </c>
      <c r="AF30" s="270">
        <f t="shared" si="26"/>
        <v>11.143192931036987</v>
      </c>
      <c r="AG30" s="270">
        <f t="shared" si="26"/>
        <v>11.143192931036985</v>
      </c>
      <c r="AH30" s="270">
        <f t="shared" si="26"/>
        <v>11.143192931036987</v>
      </c>
      <c r="AI30" s="270">
        <f t="shared" si="26"/>
        <v>11.143192931036987</v>
      </c>
      <c r="AJ30" s="270">
        <f t="shared" si="26"/>
        <v>11.143192931036985</v>
      </c>
      <c r="AK30" s="157"/>
      <c r="AN30" s="842"/>
      <c r="AO30" s="842"/>
      <c r="AP30" s="842"/>
      <c r="AQ30" s="842"/>
      <c r="AR30" s="842"/>
      <c r="AS30" s="842"/>
      <c r="AT30" s="842"/>
      <c r="AU30" s="842"/>
      <c r="AV30" s="842"/>
      <c r="AW30" s="842"/>
      <c r="AX30" s="842"/>
      <c r="AY30" s="842"/>
      <c r="AZ30" s="842"/>
      <c r="BA30" s="842"/>
      <c r="BB30" s="842"/>
      <c r="BC30" s="842"/>
    </row>
    <row r="31" spans="3:55">
      <c r="C31" s="155"/>
      <c r="D31" s="67"/>
      <c r="E31" s="67" t="s">
        <v>775</v>
      </c>
      <c r="F31" s="67"/>
      <c r="G31" s="67"/>
      <c r="H31" s="67"/>
      <c r="I31" s="67"/>
      <c r="K31" s="270">
        <f t="shared" ref="K31:W31" si="27">+K103</f>
        <v>0</v>
      </c>
      <c r="L31" s="270">
        <f t="shared" si="27"/>
        <v>0</v>
      </c>
      <c r="M31" s="270">
        <f t="shared" si="27"/>
        <v>0</v>
      </c>
      <c r="N31" s="270">
        <f t="shared" si="27"/>
        <v>0</v>
      </c>
      <c r="O31" s="270">
        <f t="shared" si="27"/>
        <v>0</v>
      </c>
      <c r="P31" s="270">
        <f t="shared" si="27"/>
        <v>0</v>
      </c>
      <c r="Q31" s="270">
        <f t="shared" si="27"/>
        <v>0</v>
      </c>
      <c r="R31" s="270">
        <f>+R103</f>
        <v>0</v>
      </c>
      <c r="S31" s="270">
        <f t="shared" si="27"/>
        <v>0</v>
      </c>
      <c r="T31" s="270">
        <f t="shared" si="27"/>
        <v>0</v>
      </c>
      <c r="U31" s="270">
        <f t="shared" si="27"/>
        <v>4.0797410681779471</v>
      </c>
      <c r="V31" s="270">
        <f t="shared" si="27"/>
        <v>13.816323091221374</v>
      </c>
      <c r="W31" s="270">
        <f t="shared" si="27"/>
        <v>4.7248043083050844</v>
      </c>
      <c r="X31" s="270">
        <f>+X103</f>
        <v>2.6868357113800907</v>
      </c>
      <c r="Y31" s="270">
        <f>+Y103</f>
        <v>1.6683508132096068</v>
      </c>
      <c r="Z31" s="270">
        <f>+Z103</f>
        <v>2.545877468891403</v>
      </c>
      <c r="AA31" s="270">
        <f t="shared" ref="AA31:AJ31" si="28">+AA103</f>
        <v>7.6385603957206714</v>
      </c>
      <c r="AB31" s="270">
        <f t="shared" si="28"/>
        <v>6.2144081054172808</v>
      </c>
      <c r="AC31" s="270">
        <f t="shared" si="28"/>
        <v>5.617434759122248</v>
      </c>
      <c r="AD31" s="270">
        <f t="shared" si="28"/>
        <v>5.617434759122248</v>
      </c>
      <c r="AE31" s="270">
        <f t="shared" si="28"/>
        <v>4.168131235919085</v>
      </c>
      <c r="AF31" s="270">
        <f t="shared" si="28"/>
        <v>4.168131235919085</v>
      </c>
      <c r="AG31" s="270">
        <f t="shared" si="28"/>
        <v>4.168131235919085</v>
      </c>
      <c r="AH31" s="270">
        <f t="shared" si="28"/>
        <v>4.168131235919085</v>
      </c>
      <c r="AI31" s="270">
        <f t="shared" si="28"/>
        <v>4.168131235919085</v>
      </c>
      <c r="AJ31" s="270">
        <f t="shared" si="28"/>
        <v>4.168131235919085</v>
      </c>
      <c r="AK31" s="157"/>
      <c r="AN31" s="842"/>
      <c r="AO31" s="842"/>
      <c r="AP31" s="842"/>
      <c r="AQ31" s="842"/>
      <c r="AR31" s="842"/>
      <c r="AS31" s="842"/>
      <c r="AT31" s="842"/>
      <c r="AU31" s="842"/>
      <c r="AV31" s="842"/>
      <c r="AW31" s="842"/>
      <c r="AX31" s="842"/>
      <c r="AY31" s="842"/>
      <c r="AZ31" s="842"/>
      <c r="BA31" s="842"/>
      <c r="BB31" s="842"/>
      <c r="BC31" s="842"/>
    </row>
    <row r="32" spans="3:55">
      <c r="C32" s="155"/>
      <c r="D32" s="67"/>
      <c r="E32" s="67" t="s">
        <v>776</v>
      </c>
      <c r="F32" s="67"/>
      <c r="G32" s="67"/>
      <c r="H32" s="67"/>
      <c r="I32" s="67"/>
      <c r="K32" s="270">
        <f t="shared" ref="K32:W32" si="29">K104</f>
        <v>0</v>
      </c>
      <c r="L32" s="270">
        <f t="shared" si="29"/>
        <v>0</v>
      </c>
      <c r="M32" s="270">
        <f t="shared" si="29"/>
        <v>0</v>
      </c>
      <c r="N32" s="270">
        <f t="shared" si="29"/>
        <v>0</v>
      </c>
      <c r="O32" s="270">
        <f t="shared" si="29"/>
        <v>0</v>
      </c>
      <c r="P32" s="270">
        <f t="shared" si="29"/>
        <v>0</v>
      </c>
      <c r="Q32" s="270">
        <f t="shared" si="29"/>
        <v>0</v>
      </c>
      <c r="R32" s="270">
        <f>R104</f>
        <v>0</v>
      </c>
      <c r="S32" s="270">
        <f t="shared" si="29"/>
        <v>0</v>
      </c>
      <c r="T32" s="270">
        <f t="shared" si="29"/>
        <v>0</v>
      </c>
      <c r="U32" s="270">
        <f t="shared" si="29"/>
        <v>0</v>
      </c>
      <c r="V32" s="270">
        <f t="shared" si="29"/>
        <v>0</v>
      </c>
      <c r="W32" s="270">
        <f t="shared" si="29"/>
        <v>0</v>
      </c>
      <c r="X32" s="270">
        <f>X104</f>
        <v>0</v>
      </c>
      <c r="Y32" s="270">
        <f>Y104</f>
        <v>0</v>
      </c>
      <c r="Z32" s="270">
        <f>Z104</f>
        <v>0</v>
      </c>
      <c r="AA32" s="270">
        <f t="shared" ref="AA32:AJ32" si="30">AA104</f>
        <v>0</v>
      </c>
      <c r="AB32" s="270">
        <f t="shared" si="30"/>
        <v>0</v>
      </c>
      <c r="AC32" s="270">
        <f t="shared" si="30"/>
        <v>0</v>
      </c>
      <c r="AD32" s="270">
        <f t="shared" si="30"/>
        <v>0</v>
      </c>
      <c r="AE32" s="270">
        <f t="shared" si="30"/>
        <v>0</v>
      </c>
      <c r="AF32" s="270">
        <f t="shared" si="30"/>
        <v>0</v>
      </c>
      <c r="AG32" s="270">
        <f t="shared" si="30"/>
        <v>0</v>
      </c>
      <c r="AH32" s="270">
        <f t="shared" si="30"/>
        <v>0</v>
      </c>
      <c r="AI32" s="270">
        <f t="shared" si="30"/>
        <v>0</v>
      </c>
      <c r="AJ32" s="270">
        <f t="shared" si="30"/>
        <v>0</v>
      </c>
      <c r="AK32" s="157"/>
      <c r="AN32" s="842"/>
      <c r="AO32" s="842"/>
      <c r="AP32" s="842"/>
      <c r="AQ32" s="842"/>
      <c r="AR32" s="842"/>
      <c r="AS32" s="842"/>
      <c r="AT32" s="842"/>
      <c r="AU32" s="842"/>
      <c r="AV32" s="842"/>
      <c r="AW32" s="842"/>
      <c r="AX32" s="842"/>
      <c r="AY32" s="842"/>
      <c r="AZ32" s="842"/>
      <c r="BA32" s="842"/>
      <c r="BB32" s="842"/>
      <c r="BC32" s="842"/>
    </row>
    <row r="33" spans="2:55" ht="12.75" thickBot="1">
      <c r="C33" s="167"/>
      <c r="D33" s="181"/>
      <c r="E33" s="181"/>
      <c r="F33" s="181"/>
      <c r="G33" s="181"/>
      <c r="H33" s="181"/>
      <c r="I33" s="181"/>
      <c r="J33" s="423"/>
      <c r="K33" s="423"/>
      <c r="L33" s="423"/>
      <c r="M33" s="423"/>
      <c r="N33" s="423"/>
      <c r="O33" s="423"/>
      <c r="P33" s="423"/>
      <c r="Q33" s="423"/>
      <c r="R33" s="423"/>
      <c r="S33" s="423"/>
      <c r="T33" s="423"/>
      <c r="U33" s="423"/>
      <c r="V33" s="423"/>
      <c r="W33" s="423"/>
      <c r="X33" s="423"/>
      <c r="Y33" s="423"/>
      <c r="Z33" s="423"/>
      <c r="AA33" s="423"/>
      <c r="AB33" s="423"/>
      <c r="AC33" s="423"/>
      <c r="AD33" s="423"/>
      <c r="AE33" s="423"/>
      <c r="AF33" s="423"/>
      <c r="AG33" s="423"/>
      <c r="AH33" s="423"/>
      <c r="AI33" s="423"/>
      <c r="AJ33" s="423"/>
      <c r="AK33" s="170"/>
      <c r="AN33" s="842"/>
      <c r="AO33" s="842"/>
      <c r="AP33" s="842"/>
      <c r="AQ33" s="842"/>
      <c r="AR33" s="842"/>
      <c r="AS33" s="842"/>
      <c r="AT33" s="842"/>
      <c r="AU33" s="842"/>
      <c r="AV33" s="842"/>
      <c r="AW33" s="842"/>
      <c r="AX33" s="842"/>
      <c r="AY33" s="842"/>
      <c r="AZ33" s="842"/>
      <c r="BA33" s="842"/>
      <c r="BB33" s="842"/>
      <c r="BC33" s="842"/>
    </row>
    <row r="34" spans="2:55">
      <c r="C34" s="67"/>
      <c r="D34" s="67"/>
      <c r="E34" s="67"/>
      <c r="F34" s="67"/>
      <c r="G34" s="67"/>
      <c r="H34" s="67"/>
      <c r="I34" s="67"/>
      <c r="J34" s="293"/>
      <c r="K34" s="293"/>
      <c r="L34" s="293"/>
      <c r="M34" s="293"/>
      <c r="N34" s="293"/>
      <c r="O34" s="293"/>
      <c r="P34" s="293"/>
      <c r="Q34" s="293"/>
      <c r="R34" s="293"/>
      <c r="S34" s="293"/>
      <c r="T34" s="293"/>
      <c r="U34" s="293"/>
      <c r="V34" s="424"/>
      <c r="W34" s="424"/>
      <c r="X34" s="293"/>
      <c r="Y34" s="293"/>
      <c r="Z34" s="293"/>
      <c r="AA34" s="293"/>
      <c r="AB34" s="293"/>
      <c r="AN34" s="842"/>
      <c r="AO34" s="842"/>
      <c r="AP34" s="842"/>
      <c r="AQ34" s="842"/>
      <c r="AR34" s="842"/>
      <c r="AS34" s="842"/>
      <c r="AT34" s="842"/>
      <c r="AU34" s="842"/>
      <c r="AV34" s="842"/>
      <c r="AW34" s="842"/>
      <c r="AX34" s="842"/>
      <c r="AY34" s="842"/>
      <c r="AZ34" s="842"/>
      <c r="BA34" s="842"/>
      <c r="BB34" s="842"/>
      <c r="BC34" s="842"/>
    </row>
    <row r="35" spans="2:55">
      <c r="D35" s="67"/>
      <c r="E35" s="67"/>
      <c r="F35" s="67"/>
      <c r="G35" s="67"/>
      <c r="H35" s="67"/>
      <c r="I35" s="67"/>
      <c r="J35" s="293"/>
      <c r="K35" s="293"/>
      <c r="L35" s="293"/>
      <c r="M35" s="293"/>
      <c r="N35" s="415"/>
      <c r="O35" s="310"/>
      <c r="P35" s="310"/>
      <c r="Q35" s="310"/>
      <c r="R35" s="293"/>
      <c r="S35" s="293"/>
      <c r="T35" s="293"/>
      <c r="U35" s="293"/>
      <c r="X35" s="293"/>
      <c r="Z35" s="277" t="s">
        <v>256</v>
      </c>
      <c r="AA35" s="425">
        <f>+'Capex_FO input'!D33</f>
        <v>1427.8676842478521</v>
      </c>
      <c r="AB35" s="426">
        <f>+'Capex_FO input'!E33</f>
        <v>1570.1642503938085</v>
      </c>
      <c r="AC35" s="426">
        <f>+'Capex_FO input'!F33</f>
        <v>1607.4161999295402</v>
      </c>
      <c r="AD35" s="426">
        <f>+'Capex_FO input'!G33</f>
        <v>1650.5477325991496</v>
      </c>
      <c r="AE35" s="427">
        <f>+'Capex_FO input'!H33</f>
        <v>1600.0870518966058</v>
      </c>
      <c r="AF35" s="425">
        <f>+'Capex_FO input'!I33</f>
        <v>1822.431846686201</v>
      </c>
      <c r="AG35" s="426">
        <f>+'Capex_FO input'!J33</f>
        <v>1894.5863492533363</v>
      </c>
      <c r="AH35" s="426">
        <f>+'Capex_FO input'!K33</f>
        <v>1729.8126501350996</v>
      </c>
      <c r="AI35" s="426">
        <f>+'Capex_FO input'!L33</f>
        <v>1971.4744774702956</v>
      </c>
      <c r="AJ35" s="427">
        <f>+'Capex_FO input'!M33</f>
        <v>2094.9713055918778</v>
      </c>
      <c r="AN35" s="842"/>
      <c r="AO35" s="842"/>
      <c r="AP35" s="842"/>
      <c r="AQ35" s="842"/>
      <c r="AR35" s="842"/>
      <c r="AS35" s="842"/>
      <c r="AT35" s="842"/>
      <c r="AU35" s="842"/>
      <c r="AV35" s="842"/>
      <c r="AW35" s="842"/>
      <c r="AX35" s="842"/>
      <c r="AY35" s="842"/>
      <c r="AZ35" s="842"/>
      <c r="BA35" s="842"/>
      <c r="BB35" s="842"/>
      <c r="BC35" s="842"/>
    </row>
    <row r="36" spans="2:55">
      <c r="L36" s="293"/>
      <c r="M36" s="293"/>
      <c r="N36" s="310"/>
      <c r="O36" s="310"/>
      <c r="P36" s="310"/>
      <c r="Q36" s="310"/>
      <c r="R36" s="293"/>
      <c r="S36" s="293"/>
      <c r="T36" s="293"/>
      <c r="U36" s="293"/>
      <c r="X36" s="293"/>
      <c r="Z36" s="277" t="s">
        <v>777</v>
      </c>
      <c r="AA36" s="428">
        <f t="shared" ref="AA36:AJ36" si="31">+AA35-AA18</f>
        <v>0</v>
      </c>
      <c r="AB36" s="429">
        <f t="shared" si="31"/>
        <v>0</v>
      </c>
      <c r="AC36" s="429">
        <f t="shared" si="31"/>
        <v>0</v>
      </c>
      <c r="AD36" s="429">
        <f t="shared" si="31"/>
        <v>0</v>
      </c>
      <c r="AE36" s="430">
        <f t="shared" si="31"/>
        <v>0</v>
      </c>
      <c r="AF36" s="428">
        <f t="shared" si="31"/>
        <v>0</v>
      </c>
      <c r="AG36" s="429">
        <f t="shared" si="31"/>
        <v>0</v>
      </c>
      <c r="AH36" s="429">
        <f t="shared" si="31"/>
        <v>0</v>
      </c>
      <c r="AI36" s="429">
        <f t="shared" si="31"/>
        <v>0</v>
      </c>
      <c r="AJ36" s="430">
        <f t="shared" si="31"/>
        <v>0</v>
      </c>
      <c r="AN36" s="842"/>
      <c r="AO36" s="842"/>
      <c r="AP36" s="842"/>
      <c r="AQ36" s="842"/>
      <c r="AR36" s="842"/>
      <c r="AS36" s="842"/>
      <c r="AT36" s="842"/>
      <c r="AU36" s="842"/>
      <c r="AV36" s="842"/>
      <c r="AW36" s="842"/>
      <c r="AX36" s="842"/>
      <c r="AY36" s="842"/>
      <c r="AZ36" s="842"/>
      <c r="BA36" s="842"/>
      <c r="BB36" s="842"/>
      <c r="BC36" s="842"/>
    </row>
    <row r="37" spans="2:55">
      <c r="B37" s="295" t="s">
        <v>778</v>
      </c>
      <c r="L37" s="293"/>
      <c r="M37" s="293"/>
      <c r="N37" s="293"/>
      <c r="O37" s="293"/>
      <c r="P37" s="293"/>
      <c r="Q37" s="293"/>
      <c r="R37" s="293"/>
      <c r="S37" s="293"/>
      <c r="T37" s="293"/>
      <c r="U37" s="293"/>
      <c r="V37" s="424"/>
      <c r="X37" s="293"/>
      <c r="Z37" s="277" t="s">
        <v>779</v>
      </c>
      <c r="AA37" s="1660">
        <f>IF(AA35=AA18,0,1)</f>
        <v>0</v>
      </c>
      <c r="AB37" s="1660">
        <f t="shared" ref="AB37:AJ37" si="32">IF(AB35=AB18,0,1)</f>
        <v>0</v>
      </c>
      <c r="AC37" s="1660">
        <f t="shared" si="32"/>
        <v>0</v>
      </c>
      <c r="AD37" s="1660">
        <f t="shared" si="32"/>
        <v>0</v>
      </c>
      <c r="AE37" s="1660">
        <f t="shared" si="32"/>
        <v>0</v>
      </c>
      <c r="AF37" s="1660">
        <f t="shared" si="32"/>
        <v>0</v>
      </c>
      <c r="AG37" s="1660">
        <f t="shared" si="32"/>
        <v>0</v>
      </c>
      <c r="AH37" s="1660">
        <f t="shared" si="32"/>
        <v>0</v>
      </c>
      <c r="AI37" s="1660">
        <f t="shared" si="32"/>
        <v>0</v>
      </c>
      <c r="AJ37" s="1660">
        <f t="shared" si="32"/>
        <v>0</v>
      </c>
      <c r="AK37" s="242"/>
      <c r="AN37" s="842"/>
      <c r="AO37" s="842"/>
      <c r="AP37" s="842"/>
      <c r="AQ37" s="842"/>
      <c r="AR37" s="842"/>
      <c r="AS37" s="842"/>
      <c r="AT37" s="842"/>
      <c r="AU37" s="842"/>
      <c r="AV37" s="842"/>
      <c r="AW37" s="842"/>
      <c r="AX37" s="842"/>
      <c r="AY37" s="842"/>
      <c r="AZ37" s="842"/>
      <c r="BA37" s="842"/>
      <c r="BB37" s="842"/>
      <c r="BC37" s="842"/>
    </row>
    <row r="38" spans="2:55">
      <c r="J38" s="293"/>
      <c r="K38" s="293"/>
      <c r="L38" s="293"/>
      <c r="M38" s="293"/>
      <c r="N38" s="293"/>
      <c r="O38" s="293"/>
      <c r="P38" s="293"/>
      <c r="Q38" s="293"/>
      <c r="R38" s="293"/>
      <c r="S38" s="293"/>
      <c r="T38" s="293"/>
      <c r="U38" s="293"/>
      <c r="V38" s="293"/>
      <c r="W38" s="293"/>
      <c r="X38" s="293"/>
      <c r="Y38" s="1192"/>
      <c r="Z38" s="1192"/>
      <c r="AB38" s="293"/>
      <c r="AF38" s="842"/>
      <c r="AN38" s="842"/>
      <c r="AO38" s="842"/>
      <c r="AP38" s="842"/>
      <c r="AQ38" s="842"/>
      <c r="AR38" s="842"/>
      <c r="AS38" s="842"/>
      <c r="AT38" s="842"/>
      <c r="AU38" s="842"/>
      <c r="AV38" s="842"/>
      <c r="AW38" s="842"/>
      <c r="AX38" s="842"/>
      <c r="AY38" s="842"/>
      <c r="AZ38" s="842"/>
      <c r="BA38" s="842"/>
      <c r="BB38" s="842"/>
      <c r="BC38" s="842"/>
    </row>
    <row r="39" spans="2:55">
      <c r="C39" s="298" t="str">
        <f>E12</f>
        <v>Water</v>
      </c>
      <c r="J39" s="293"/>
      <c r="K39" s="431"/>
      <c r="L39" s="431"/>
      <c r="M39" s="431"/>
      <c r="N39" s="300"/>
      <c r="O39" s="300"/>
      <c r="P39" s="300"/>
      <c r="Q39" s="300"/>
      <c r="R39" s="431"/>
      <c r="S39" s="300"/>
      <c r="T39" s="300"/>
      <c r="U39" s="300"/>
      <c r="V39" s="300"/>
      <c r="W39" s="300"/>
      <c r="X39" s="300"/>
      <c r="Y39" s="300"/>
      <c r="Z39" s="300"/>
      <c r="AN39" s="842"/>
      <c r="AO39" s="842"/>
      <c r="AP39" s="842"/>
      <c r="AQ39" s="842"/>
      <c r="AR39" s="842"/>
      <c r="AS39" s="842"/>
      <c r="AT39" s="842"/>
      <c r="AU39" s="842"/>
      <c r="AV39" s="842"/>
      <c r="AW39" s="842"/>
      <c r="AX39" s="842"/>
      <c r="AY39" s="842"/>
      <c r="AZ39" s="842"/>
      <c r="BA39" s="842"/>
      <c r="BB39" s="842"/>
      <c r="BC39" s="842"/>
    </row>
    <row r="40" spans="2:55">
      <c r="D40" s="301" t="s">
        <v>515</v>
      </c>
      <c r="J40" s="293"/>
      <c r="K40" s="324"/>
      <c r="L40" s="325"/>
      <c r="M40" s="326"/>
      <c r="N40" s="324"/>
      <c r="O40" s="325"/>
      <c r="P40" s="325"/>
      <c r="Q40" s="325"/>
      <c r="R40" s="326"/>
      <c r="S40" s="324"/>
      <c r="T40" s="325"/>
      <c r="U40" s="449">
        <v>70.381323765874797</v>
      </c>
      <c r="V40" s="324">
        <v>43.876452506539437</v>
      </c>
      <c r="W40" s="325">
        <v>24.465014206101685</v>
      </c>
      <c r="X40" s="325">
        <v>11.339210001221721</v>
      </c>
      <c r="Y40" s="325">
        <v>26.216635229192136</v>
      </c>
      <c r="Z40" s="326">
        <v>58.116880600000002</v>
      </c>
      <c r="AA40" s="432">
        <f>+SUMIFS('Capex_FO input'!Q$46:Q$1268,'Capex_FO input'!$E$46:$E$1268,Capex_FO_AC!$C$39,'Capex_FO input'!$G$46:$G$1268,Capex_FO_AC!$D40)</f>
        <v>108.22844485853659</v>
      </c>
      <c r="AB40" s="433">
        <f>+SUMIFS('Capex_FO input'!R$46:R$1268,'Capex_FO input'!$E$46:$E$1268,Capex_FO_AC!$C$39,'Capex_FO input'!$G$46:$G$1268,Capex_FO_AC!$D40)</f>
        <v>176.46157128947058</v>
      </c>
      <c r="AC40" s="433">
        <f>+SUMIFS('Capex_FO input'!S$46:S$1268,'Capex_FO input'!$E$46:$E$1268,Capex_FO_AC!$C$39,'Capex_FO input'!$G$46:$G$1268,Capex_FO_AC!$D40)</f>
        <v>164.09349782834266</v>
      </c>
      <c r="AD40" s="433">
        <f>+SUMIFS('Capex_FO input'!T$46:T$1268,'Capex_FO input'!$E$46:$E$1268,Capex_FO_AC!$C$39,'Capex_FO input'!$G$46:$G$1268,Capex_FO_AC!$D40)</f>
        <v>215.3439460372764</v>
      </c>
      <c r="AE40" s="434">
        <f>+SUMIFS('Capex_FO input'!U$46:U$1268,'Capex_FO input'!$E$46:$E$1268,Capex_FO_AC!$C$39,'Capex_FO input'!$G$46:$G$1268,Capex_FO_AC!$D40)</f>
        <v>224.190655773966</v>
      </c>
      <c r="AF40" s="432">
        <f>+SUMIFS('Capex_FO input'!V$46:V$1268,'Capex_FO input'!$E$46:$E$1268,Capex_FO_AC!$C$39,'Capex_FO input'!$G$46:$G$1268,Capex_FO_AC!$D40)</f>
        <v>244.7864069431904</v>
      </c>
      <c r="AG40" s="433">
        <f>+SUMIFS('Capex_FO input'!W$46:W$1268,'Capex_FO input'!$E$46:$E$1268,Capex_FO_AC!$C$39,'Capex_FO input'!$G$46:$G$1268,Capex_FO_AC!$D40)</f>
        <v>239.7359075942467</v>
      </c>
      <c r="AH40" s="433">
        <f>+SUMIFS('Capex_FO input'!X$46:X$1268,'Capex_FO input'!$E$46:$E$1268,Capex_FO_AC!$C$39,'Capex_FO input'!$G$46:$G$1268,Capex_FO_AC!$D40)</f>
        <v>317.92263981642742</v>
      </c>
      <c r="AI40" s="433">
        <f>+SUMIFS('Capex_FO input'!Y$46:Y$1268,'Capex_FO input'!$E$46:$E$1268,Capex_FO_AC!$C$39,'Capex_FO input'!$G$46:$G$1268,Capex_FO_AC!$D40)</f>
        <v>352.3626365493684</v>
      </c>
      <c r="AJ40" s="434">
        <f>+SUMIFS('Capex_FO input'!Z$46:Z$1268,'Capex_FO input'!$E$46:$E$1268,Capex_FO_AC!$C$39,'Capex_FO input'!$G$46:$G$1268,Capex_FO_AC!$D40)</f>
        <v>343.87162187766478</v>
      </c>
      <c r="AN40" s="842"/>
      <c r="AO40" s="842"/>
      <c r="AP40" s="842"/>
      <c r="AQ40" s="842"/>
      <c r="AR40" s="842"/>
      <c r="AS40" s="842"/>
      <c r="AT40" s="842"/>
      <c r="AU40" s="842"/>
      <c r="AV40" s="842"/>
      <c r="AW40" s="842"/>
      <c r="AX40" s="842"/>
      <c r="AY40" s="842"/>
      <c r="AZ40" s="842"/>
      <c r="BA40" s="842"/>
      <c r="BB40" s="842"/>
      <c r="BC40" s="842"/>
    </row>
    <row r="41" spans="2:55">
      <c r="D41" s="301" t="s">
        <v>525</v>
      </c>
      <c r="J41" s="293"/>
      <c r="K41" s="327"/>
      <c r="L41" s="328"/>
      <c r="M41" s="329"/>
      <c r="N41" s="327"/>
      <c r="O41" s="328"/>
      <c r="P41" s="328"/>
      <c r="Q41" s="328"/>
      <c r="R41" s="329"/>
      <c r="S41" s="327"/>
      <c r="T41" s="328"/>
      <c r="U41" s="450">
        <v>66.029537311698093</v>
      </c>
      <c r="V41" s="327">
        <v>61.567640613740458</v>
      </c>
      <c r="W41" s="328">
        <v>126.08021009406778</v>
      </c>
      <c r="X41" s="328">
        <v>183.70522135380088</v>
      </c>
      <c r="Y41" s="328">
        <v>115.77748247155026</v>
      </c>
      <c r="Z41" s="329">
        <v>44.083159500000008</v>
      </c>
      <c r="AA41" s="435">
        <f>+SUMIFS('Capex_FO input'!Q$46:Q$1268,'Capex_FO input'!$E$46:$E$1268,Capex_FO_AC!$C$39,'Capex_FO input'!$G$46:$G$1268,Capex_FO_AC!$D41)</f>
        <v>50.84014039024391</v>
      </c>
      <c r="AB41" s="436">
        <f>+SUMIFS('Capex_FO input'!R$46:R$1268,'Capex_FO input'!$E$46:$E$1268,Capex_FO_AC!$C$39,'Capex_FO input'!$G$46:$G$1268,Capex_FO_AC!$D41)</f>
        <v>96.857709458655577</v>
      </c>
      <c r="AC41" s="436">
        <f>+SUMIFS('Capex_FO input'!S$46:S$1268,'Capex_FO input'!$E$46:$E$1268,Capex_FO_AC!$C$39,'Capex_FO input'!$G$46:$G$1268,Capex_FO_AC!$D41)</f>
        <v>209.64402366303449</v>
      </c>
      <c r="AD41" s="436">
        <f>+SUMIFS('Capex_FO input'!T$46:T$1268,'Capex_FO input'!$E$46:$E$1268,Capex_FO_AC!$C$39,'Capex_FO input'!$G$46:$G$1268,Capex_FO_AC!$D41)</f>
        <v>165.88028187850284</v>
      </c>
      <c r="AE41" s="437">
        <f>+SUMIFS('Capex_FO input'!U$46:U$1268,'Capex_FO input'!$E$46:$E$1268,Capex_FO_AC!$C$39,'Capex_FO input'!$G$46:$G$1268,Capex_FO_AC!$D41)</f>
        <v>228.94832161258265</v>
      </c>
      <c r="AF41" s="435">
        <f>+SUMIFS('Capex_FO input'!V$46:V$1268,'Capex_FO input'!$E$46:$E$1268,Capex_FO_AC!$C$39,'Capex_FO input'!$G$46:$G$1268,Capex_FO_AC!$D41)</f>
        <v>141.33615189388439</v>
      </c>
      <c r="AG41" s="436">
        <f>+SUMIFS('Capex_FO input'!W$46:W$1268,'Capex_FO input'!$E$46:$E$1268,Capex_FO_AC!$C$39,'Capex_FO input'!$G$46:$G$1268,Capex_FO_AC!$D41)</f>
        <v>186.95898996114738</v>
      </c>
      <c r="AH41" s="436">
        <f>+SUMIFS('Capex_FO input'!X$46:X$1268,'Capex_FO input'!$E$46:$E$1268,Capex_FO_AC!$C$39,'Capex_FO input'!$G$46:$G$1268,Capex_FO_AC!$D41)</f>
        <v>211.32191975435299</v>
      </c>
      <c r="AI41" s="436">
        <f>+SUMIFS('Capex_FO input'!Y$46:Y$1268,'Capex_FO input'!$E$46:$E$1268,Capex_FO_AC!$C$39,'Capex_FO input'!$G$46:$G$1268,Capex_FO_AC!$D41)</f>
        <v>317.29522237359265</v>
      </c>
      <c r="AJ41" s="437">
        <f>+SUMIFS('Capex_FO input'!Z$46:Z$1268,'Capex_FO input'!$E$46:$E$1268,Capex_FO_AC!$C$39,'Capex_FO input'!$G$46:$G$1268,Capex_FO_AC!$D41)</f>
        <v>235.59664482830465</v>
      </c>
      <c r="AN41" s="842"/>
      <c r="AO41" s="842"/>
      <c r="AP41" s="842"/>
      <c r="AQ41" s="842"/>
      <c r="AR41" s="842"/>
      <c r="AS41" s="842"/>
      <c r="AT41" s="842"/>
      <c r="AU41" s="842"/>
      <c r="AV41" s="842"/>
      <c r="AW41" s="842"/>
      <c r="AX41" s="842"/>
      <c r="AY41" s="842"/>
      <c r="AZ41" s="842"/>
      <c r="BA41" s="842"/>
      <c r="BB41" s="842"/>
      <c r="BC41" s="842"/>
    </row>
    <row r="42" spans="2:55">
      <c r="D42" s="301" t="s">
        <v>522</v>
      </c>
      <c r="J42" s="293"/>
      <c r="K42" s="327"/>
      <c r="L42" s="328"/>
      <c r="M42" s="329"/>
      <c r="N42" s="327"/>
      <c r="O42" s="328"/>
      <c r="P42" s="328"/>
      <c r="Q42" s="328"/>
      <c r="R42" s="329"/>
      <c r="S42" s="327"/>
      <c r="T42" s="328"/>
      <c r="U42" s="450">
        <v>41.883887289699821</v>
      </c>
      <c r="V42" s="327">
        <v>46.933324311679378</v>
      </c>
      <c r="W42" s="328">
        <v>64.742236691355927</v>
      </c>
      <c r="X42" s="328">
        <v>50.759954801990951</v>
      </c>
      <c r="Y42" s="328">
        <v>59.010660696834051</v>
      </c>
      <c r="Z42" s="329">
        <v>81.83068375000002</v>
      </c>
      <c r="AA42" s="435">
        <f>+SUMIFS('Capex_FO input'!Q$46:Q$1268,'Capex_FO input'!$E$46:$E$1268,Capex_FO_AC!$C$39,'Capex_FO input'!$G$46:$G$1268,Capex_FO_AC!$D42)</f>
        <v>59.888984975609759</v>
      </c>
      <c r="AB42" s="436">
        <f>+SUMIFS('Capex_FO input'!R$46:R$1268,'Capex_FO input'!$E$46:$E$1268,Capex_FO_AC!$C$39,'Capex_FO input'!$G$46:$G$1268,Capex_FO_AC!$D42)</f>
        <v>133.23517194051163</v>
      </c>
      <c r="AC42" s="436">
        <f>+SUMIFS('Capex_FO input'!S$46:S$1268,'Capex_FO input'!$E$46:$E$1268,Capex_FO_AC!$C$39,'Capex_FO input'!$G$46:$G$1268,Capex_FO_AC!$D42)</f>
        <v>152.53029171834424</v>
      </c>
      <c r="AD42" s="436">
        <f>+SUMIFS('Capex_FO input'!T$46:T$1268,'Capex_FO input'!$E$46:$E$1268,Capex_FO_AC!$C$39,'Capex_FO input'!$G$46:$G$1268,Capex_FO_AC!$D42)</f>
        <v>110.6748132745834</v>
      </c>
      <c r="AE42" s="437">
        <f>+SUMIFS('Capex_FO input'!U$46:U$1268,'Capex_FO input'!$E$46:$E$1268,Capex_FO_AC!$C$39,'Capex_FO input'!$G$46:$G$1268,Capex_FO_AC!$D42)</f>
        <v>85.369706220558754</v>
      </c>
      <c r="AF42" s="435">
        <f>+SUMIFS('Capex_FO input'!V$46:V$1268,'Capex_FO input'!$E$46:$E$1268,Capex_FO_AC!$C$39,'Capex_FO input'!$G$46:$G$1268,Capex_FO_AC!$D42)</f>
        <v>157.2660470480653</v>
      </c>
      <c r="AG42" s="436">
        <f>+SUMIFS('Capex_FO input'!W$46:W$1268,'Capex_FO input'!$E$46:$E$1268,Capex_FO_AC!$C$39,'Capex_FO input'!$G$46:$G$1268,Capex_FO_AC!$D42)</f>
        <v>324.89954482772214</v>
      </c>
      <c r="AH42" s="436">
        <f>+SUMIFS('Capex_FO input'!X$46:X$1268,'Capex_FO input'!$E$46:$E$1268,Capex_FO_AC!$C$39,'Capex_FO input'!$G$46:$G$1268,Capex_FO_AC!$D42)</f>
        <v>295.36874774450706</v>
      </c>
      <c r="AI42" s="436">
        <f>+SUMIFS('Capex_FO input'!Y$46:Y$1268,'Capex_FO input'!$E$46:$E$1268,Capex_FO_AC!$C$39,'Capex_FO input'!$G$46:$G$1268,Capex_FO_AC!$D42)</f>
        <v>189.23290778568287</v>
      </c>
      <c r="AJ42" s="437">
        <f>+SUMIFS('Capex_FO input'!Z$46:Z$1268,'Capex_FO input'!$E$46:$E$1268,Capex_FO_AC!$C$39,'Capex_FO input'!$G$46:$G$1268,Capex_FO_AC!$D42)</f>
        <v>141.7182288568529</v>
      </c>
      <c r="AN42" s="842"/>
      <c r="AO42" s="842"/>
      <c r="AP42" s="842"/>
      <c r="AQ42" s="842"/>
      <c r="AR42" s="842"/>
      <c r="AS42" s="842"/>
      <c r="AT42" s="842"/>
      <c r="AU42" s="842"/>
      <c r="AV42" s="842"/>
      <c r="AW42" s="842"/>
      <c r="AX42" s="842"/>
      <c r="AY42" s="842"/>
      <c r="AZ42" s="842"/>
      <c r="BA42" s="842"/>
      <c r="BB42" s="842"/>
      <c r="BC42" s="842"/>
    </row>
    <row r="43" spans="2:55">
      <c r="D43" s="301" t="s">
        <v>437</v>
      </c>
      <c r="J43" s="293"/>
      <c r="K43" s="330"/>
      <c r="L43" s="331"/>
      <c r="M43" s="332"/>
      <c r="N43" s="330"/>
      <c r="O43" s="331"/>
      <c r="P43" s="331"/>
      <c r="Q43" s="331"/>
      <c r="R43" s="332"/>
      <c r="S43" s="330"/>
      <c r="T43" s="331"/>
      <c r="U43" s="451">
        <v>12.635219072554115</v>
      </c>
      <c r="V43" s="330">
        <v>8.2036427545072925</v>
      </c>
      <c r="W43" s="331">
        <v>5.2175379592836446</v>
      </c>
      <c r="X43" s="331">
        <v>7.1912374239725851</v>
      </c>
      <c r="Y43" s="331">
        <v>12.812475948759905</v>
      </c>
      <c r="Z43" s="332">
        <v>11.629460466526002</v>
      </c>
      <c r="AA43" s="438">
        <f>+SUMIFS('Capex_FO input'!Q$46:Q$1268,'Capex_FO input'!$E$46:$E$1268,Capex_FO_AC!$C$39,'Capex_FO input'!$G$46:$G$1268,Capex_FO_AC!$D43)</f>
        <v>19.396526431287068</v>
      </c>
      <c r="AB43" s="439">
        <f>+SUMIFS('Capex_FO input'!R$46:R$1268,'Capex_FO input'!$E$46:$E$1268,Capex_FO_AC!$C$39,'Capex_FO input'!$G$46:$G$1268,Capex_FO_AC!$D43)</f>
        <v>21.392321400395584</v>
      </c>
      <c r="AC43" s="439">
        <f>+SUMIFS('Capex_FO input'!S$46:S$1268,'Capex_FO input'!$E$46:$E$1268,Capex_FO_AC!$C$39,'Capex_FO input'!$G$46:$G$1268,Capex_FO_AC!$D43)</f>
        <v>18.653397024618304</v>
      </c>
      <c r="AD43" s="439">
        <f>+SUMIFS('Capex_FO input'!T$46:T$1268,'Capex_FO input'!$E$46:$E$1268,Capex_FO_AC!$C$39,'Capex_FO input'!$G$46:$G$1268,Capex_FO_AC!$D43)</f>
        <v>16.434809909414323</v>
      </c>
      <c r="AE43" s="440">
        <f>+SUMIFS('Capex_FO input'!U$46:U$1268,'Capex_FO input'!$E$46:$E$1268,Capex_FO_AC!$C$39,'Capex_FO input'!$G$46:$G$1268,Capex_FO_AC!$D43)</f>
        <v>15.006090735359496</v>
      </c>
      <c r="AF43" s="438">
        <f>+SUMIFS('Capex_FO input'!V$46:V$1268,'Capex_FO input'!$E$46:$E$1268,Capex_FO_AC!$C$39,'Capex_FO input'!$G$46:$G$1268,Capex_FO_AC!$D43)</f>
        <v>13.907168312100556</v>
      </c>
      <c r="AG43" s="439">
        <f>+SUMIFS('Capex_FO input'!W$46:W$1268,'Capex_FO input'!$E$46:$E$1268,Capex_FO_AC!$C$39,'Capex_FO input'!$G$46:$G$1268,Capex_FO_AC!$D43)</f>
        <v>14.395966591481438</v>
      </c>
      <c r="AH43" s="439">
        <f>+SUMIFS('Capex_FO input'!X$46:X$1268,'Capex_FO input'!$E$46:$E$1268,Capex_FO_AC!$C$39,'Capex_FO input'!$G$46:$G$1268,Capex_FO_AC!$D43)</f>
        <v>15.099715417099894</v>
      </c>
      <c r="AI43" s="439">
        <f>+SUMIFS('Capex_FO input'!Y$46:Y$1268,'Capex_FO input'!$E$46:$E$1268,Capex_FO_AC!$C$39,'Capex_FO input'!$G$46:$G$1268,Capex_FO_AC!$D43)</f>
        <v>14.561064600824999</v>
      </c>
      <c r="AJ43" s="440">
        <f>+SUMIFS('Capex_FO input'!Z$46:Z$1268,'Capex_FO input'!$E$46:$E$1268,Capex_FO_AC!$C$39,'Capex_FO input'!$G$46:$G$1268,Capex_FO_AC!$D43)</f>
        <v>14.555031765484125</v>
      </c>
      <c r="AN43" s="842"/>
      <c r="AO43" s="842"/>
      <c r="AP43" s="842"/>
      <c r="AQ43" s="842"/>
      <c r="AR43" s="842"/>
      <c r="AS43" s="842"/>
      <c r="AT43" s="842"/>
      <c r="AU43" s="842"/>
      <c r="AV43" s="842"/>
      <c r="AW43" s="842"/>
      <c r="AX43" s="842"/>
      <c r="AY43" s="842"/>
      <c r="AZ43" s="842"/>
      <c r="BA43" s="842"/>
      <c r="BB43" s="842"/>
      <c r="BC43" s="842"/>
    </row>
    <row r="44" spans="2:55">
      <c r="C44" s="298" t="str">
        <f>+CONCATENATE("Total ",C39)</f>
        <v>Total Water</v>
      </c>
      <c r="J44" s="293"/>
      <c r="K44" s="270">
        <f>+SUM(K40:K43)</f>
        <v>0</v>
      </c>
      <c r="L44" s="270">
        <f t="shared" ref="L44:W44" si="33">+SUM(L40:L43)</f>
        <v>0</v>
      </c>
      <c r="M44" s="270">
        <f t="shared" si="33"/>
        <v>0</v>
      </c>
      <c r="N44" s="270">
        <f t="shared" si="33"/>
        <v>0</v>
      </c>
      <c r="O44" s="270">
        <f t="shared" si="33"/>
        <v>0</v>
      </c>
      <c r="P44" s="270">
        <f t="shared" si="33"/>
        <v>0</v>
      </c>
      <c r="Q44" s="270">
        <f t="shared" si="33"/>
        <v>0</v>
      </c>
      <c r="R44" s="296">
        <f t="shared" si="33"/>
        <v>0</v>
      </c>
      <c r="S44" s="296">
        <f t="shared" si="33"/>
        <v>0</v>
      </c>
      <c r="T44" s="296">
        <f t="shared" si="33"/>
        <v>0</v>
      </c>
      <c r="U44" s="296">
        <f t="shared" si="33"/>
        <v>190.92996743982684</v>
      </c>
      <c r="V44" s="296">
        <f t="shared" si="33"/>
        <v>160.58106018646654</v>
      </c>
      <c r="W44" s="296">
        <f t="shared" si="33"/>
        <v>220.50499895080904</v>
      </c>
      <c r="X44" s="296">
        <f>+SUM(X40:X43)</f>
        <v>252.99562358098612</v>
      </c>
      <c r="Y44" s="296">
        <f>+SUM(Y40:Y43)</f>
        <v>213.81725434633634</v>
      </c>
      <c r="Z44" s="296">
        <f>+SUM(Z40:Z43)</f>
        <v>195.66018431652603</v>
      </c>
      <c r="AA44" s="296">
        <f t="shared" ref="AA44:AJ44" si="34">+SUM(AA40:AA43)</f>
        <v>238.35409665567732</v>
      </c>
      <c r="AB44" s="296">
        <f t="shared" si="34"/>
        <v>427.9467740890334</v>
      </c>
      <c r="AC44" s="296">
        <f t="shared" si="34"/>
        <v>544.92121023433981</v>
      </c>
      <c r="AD44" s="296">
        <f t="shared" si="34"/>
        <v>508.33385109977695</v>
      </c>
      <c r="AE44" s="296">
        <f t="shared" si="34"/>
        <v>553.51477434246692</v>
      </c>
      <c r="AF44" s="296">
        <f t="shared" si="34"/>
        <v>557.29577419724069</v>
      </c>
      <c r="AG44" s="296">
        <f t="shared" si="34"/>
        <v>765.99040897459759</v>
      </c>
      <c r="AH44" s="296">
        <f t="shared" si="34"/>
        <v>839.71302273238746</v>
      </c>
      <c r="AI44" s="296">
        <f t="shared" si="34"/>
        <v>873.45183130946896</v>
      </c>
      <c r="AJ44" s="296">
        <f t="shared" si="34"/>
        <v>735.74152732830646</v>
      </c>
      <c r="AN44" s="842"/>
      <c r="AO44" s="842"/>
      <c r="AP44" s="842"/>
      <c r="AQ44" s="842"/>
      <c r="AR44" s="842"/>
      <c r="AS44" s="842"/>
      <c r="AT44" s="842"/>
      <c r="AU44" s="842"/>
      <c r="AV44" s="842"/>
      <c r="AW44" s="842"/>
      <c r="AX44" s="842"/>
      <c r="AY44" s="842"/>
      <c r="AZ44" s="842"/>
      <c r="BA44" s="842"/>
      <c r="BB44" s="842"/>
      <c r="BC44" s="842"/>
    </row>
    <row r="45" spans="2:55">
      <c r="J45" s="293"/>
      <c r="K45" s="270"/>
      <c r="L45" s="270"/>
      <c r="M45" s="270"/>
      <c r="N45" s="270"/>
      <c r="O45" s="270"/>
      <c r="P45" s="270"/>
      <c r="Q45" s="270"/>
      <c r="R45" s="270"/>
      <c r="S45" s="296"/>
      <c r="T45" s="296"/>
      <c r="U45" s="296"/>
      <c r="V45" s="296"/>
      <c r="W45" s="296"/>
      <c r="X45" s="296"/>
      <c r="Y45" s="296"/>
      <c r="Z45" s="1655">
        <f>SUM(V44:Z44)</f>
        <v>1043.559121381124</v>
      </c>
      <c r="AA45" s="296"/>
      <c r="AB45" s="296"/>
      <c r="AC45" s="296"/>
      <c r="AD45" s="296"/>
      <c r="AE45" s="1655">
        <f>SUM(AA44:AE44)</f>
        <v>2273.0707064212943</v>
      </c>
      <c r="AF45" s="296"/>
      <c r="AG45" s="296"/>
      <c r="AH45" s="296"/>
      <c r="AI45" s="296"/>
      <c r="AJ45" s="1655">
        <f>SUM(AF44:AJ44)</f>
        <v>3772.192564542001</v>
      </c>
      <c r="AN45" s="842"/>
      <c r="AO45" s="842"/>
      <c r="AP45" s="842"/>
      <c r="AQ45" s="842"/>
      <c r="AR45" s="842"/>
      <c r="AS45" s="842"/>
      <c r="AT45" s="842"/>
      <c r="AU45" s="842"/>
      <c r="AV45" s="842"/>
      <c r="AW45" s="842"/>
      <c r="AX45" s="842"/>
      <c r="AY45" s="842"/>
      <c r="AZ45" s="842"/>
      <c r="BA45" s="842"/>
      <c r="BB45" s="842"/>
      <c r="BC45" s="842"/>
    </row>
    <row r="46" spans="2:55">
      <c r="C46" s="298" t="str">
        <f>E13</f>
        <v>Sewerage</v>
      </c>
      <c r="J46" s="293"/>
      <c r="K46" s="270"/>
      <c r="L46" s="270"/>
      <c r="M46" s="270"/>
      <c r="N46" s="270"/>
      <c r="O46" s="270"/>
      <c r="P46" s="270"/>
      <c r="Q46" s="270"/>
      <c r="R46" s="270"/>
      <c r="S46" s="296"/>
      <c r="T46" s="296"/>
      <c r="U46" s="296"/>
      <c r="V46" s="296"/>
      <c r="W46" s="296"/>
      <c r="X46" s="296"/>
      <c r="Y46" s="296"/>
      <c r="Z46" s="296"/>
      <c r="AA46" s="296"/>
      <c r="AB46" s="296"/>
      <c r="AC46" s="296"/>
      <c r="AD46" s="296"/>
      <c r="AE46" s="296"/>
      <c r="AF46" s="296"/>
      <c r="AG46" s="296"/>
      <c r="AH46" s="296"/>
      <c r="AI46" s="296"/>
      <c r="AJ46" s="296"/>
      <c r="AN46" s="842"/>
      <c r="AO46" s="842"/>
      <c r="AP46" s="842"/>
      <c r="AQ46" s="842"/>
      <c r="AR46" s="842"/>
      <c r="AS46" s="842"/>
      <c r="AT46" s="842"/>
      <c r="AU46" s="842"/>
      <c r="AV46" s="842"/>
      <c r="AW46" s="842"/>
      <c r="AX46" s="842"/>
      <c r="AY46" s="842"/>
      <c r="AZ46" s="842"/>
      <c r="BA46" s="842"/>
      <c r="BB46" s="842"/>
      <c r="BC46" s="842"/>
    </row>
    <row r="47" spans="2:55">
      <c r="D47" s="301" t="str">
        <f>+D40</f>
        <v>Headworks</v>
      </c>
      <c r="J47" s="293"/>
      <c r="K47" s="324"/>
      <c r="L47" s="325"/>
      <c r="M47" s="326"/>
      <c r="N47" s="324"/>
      <c r="O47" s="325"/>
      <c r="P47" s="325"/>
      <c r="Q47" s="325"/>
      <c r="R47" s="326"/>
      <c r="S47" s="324"/>
      <c r="T47" s="325"/>
      <c r="U47" s="449"/>
      <c r="V47" s="324"/>
      <c r="W47" s="325"/>
      <c r="X47" s="325"/>
      <c r="Y47" s="325"/>
      <c r="Z47" s="326">
        <v>0</v>
      </c>
      <c r="AA47" s="432">
        <f>+SUMIFS('Capex_FO input'!Q$46:Q$1268,'Capex_FO input'!$E$46:$E$1268,Capex_FO_AC!$C$46,'Capex_FO input'!$G$46:$G$1268,Capex_FO_AC!$D47)</f>
        <v>0</v>
      </c>
      <c r="AB47" s="433">
        <f>+SUMIFS('Capex_FO input'!R$46:R$1268,'Capex_FO input'!$E$46:$E$1268,Capex_FO_AC!$C$46,'Capex_FO input'!$G$46:$G$1268,Capex_FO_AC!$D47)</f>
        <v>0</v>
      </c>
      <c r="AC47" s="433">
        <f>+SUMIFS('Capex_FO input'!S$46:S$1268,'Capex_FO input'!$E$46:$E$1268,Capex_FO_AC!$C$46,'Capex_FO input'!$G$46:$G$1268,Capex_FO_AC!$D47)</f>
        <v>0</v>
      </c>
      <c r="AD47" s="433">
        <f>+SUMIFS('Capex_FO input'!T$46:T$1268,'Capex_FO input'!$E$46:$E$1268,Capex_FO_AC!$C$46,'Capex_FO input'!$G$46:$G$1268,Capex_FO_AC!$D47)</f>
        <v>0</v>
      </c>
      <c r="AE47" s="434">
        <f>+SUMIFS('Capex_FO input'!U$46:U$1268,'Capex_FO input'!$E$46:$E$1268,Capex_FO_AC!$C$46,'Capex_FO input'!$G$46:$G$1268,Capex_FO_AC!$D47)</f>
        <v>0</v>
      </c>
      <c r="AF47" s="432">
        <f>+SUMIFS('Capex_FO input'!V$46:V$1268,'Capex_FO input'!$E$46:$E$1268,Capex_FO_AC!$C$46,'Capex_FO input'!$G$46:$G$1268,Capex_FO_AC!$D47)</f>
        <v>0</v>
      </c>
      <c r="AG47" s="433">
        <f>+SUMIFS('Capex_FO input'!W$46:W$1268,'Capex_FO input'!$E$46:$E$1268,Capex_FO_AC!$C$46,'Capex_FO input'!$G$46:$G$1268,Capex_FO_AC!$D47)</f>
        <v>0</v>
      </c>
      <c r="AH47" s="433">
        <f>+SUMIFS('Capex_FO input'!X$46:X$1268,'Capex_FO input'!$E$46:$E$1268,Capex_FO_AC!$C$46,'Capex_FO input'!$G$46:$G$1268,Capex_FO_AC!$D47)</f>
        <v>0</v>
      </c>
      <c r="AI47" s="433">
        <f>+SUMIFS('Capex_FO input'!Y$46:Y$1268,'Capex_FO input'!$E$46:$E$1268,Capex_FO_AC!$C$46,'Capex_FO input'!$G$46:$G$1268,Capex_FO_AC!$D47)</f>
        <v>0</v>
      </c>
      <c r="AJ47" s="434">
        <f>+SUMIFS('Capex_FO input'!Z$46:Z$1268,'Capex_FO input'!$E$46:$E$1268,Capex_FO_AC!$C$46,'Capex_FO input'!$G$46:$G$1268,Capex_FO_AC!$D47)</f>
        <v>0</v>
      </c>
      <c r="AN47" s="842"/>
      <c r="AO47" s="842"/>
      <c r="AP47" s="842"/>
      <c r="AQ47" s="842"/>
      <c r="AR47" s="842"/>
      <c r="AS47" s="842"/>
      <c r="AT47" s="842"/>
      <c r="AU47" s="842"/>
      <c r="AV47" s="842"/>
      <c r="AW47" s="842"/>
      <c r="AX47" s="842"/>
      <c r="AY47" s="842"/>
      <c r="AZ47" s="842"/>
      <c r="BA47" s="842"/>
      <c r="BB47" s="842"/>
      <c r="BC47" s="842"/>
    </row>
    <row r="48" spans="2:55">
      <c r="D48" s="301" t="str">
        <f>+D41</f>
        <v>Pipelines/network</v>
      </c>
      <c r="J48" s="293"/>
      <c r="K48" s="327"/>
      <c r="L48" s="328"/>
      <c r="M48" s="329"/>
      <c r="N48" s="327"/>
      <c r="O48" s="328"/>
      <c r="P48" s="328"/>
      <c r="Q48" s="328"/>
      <c r="R48" s="329"/>
      <c r="S48" s="327"/>
      <c r="T48" s="328"/>
      <c r="U48" s="450">
        <v>38.589416929348204</v>
      </c>
      <c r="V48" s="327">
        <v>122.83037806221375</v>
      </c>
      <c r="W48" s="328">
        <v>164.6727499437288</v>
      </c>
      <c r="X48" s="328">
        <v>109.17212342963803</v>
      </c>
      <c r="Y48" s="328">
        <v>75.746422699454143</v>
      </c>
      <c r="Z48" s="329">
        <v>115.01112115999999</v>
      </c>
      <c r="AA48" s="435">
        <f>+SUMIFS('Capex_FO input'!Q$46:Q$1268,'Capex_FO input'!$E$46:$E$1268,Capex_FO_AC!$C$46,'Capex_FO input'!$G$46:$G$1268,Capex_FO_AC!$D48)</f>
        <v>184.70953647811709</v>
      </c>
      <c r="AB48" s="436">
        <f>+SUMIFS('Capex_FO input'!R$46:R$1268,'Capex_FO input'!$E$46:$E$1268,Capex_FO_AC!$C$46,'Capex_FO input'!$G$46:$G$1268,Capex_FO_AC!$D48)</f>
        <v>189.55053420486661</v>
      </c>
      <c r="AC48" s="436">
        <f>+SUMIFS('Capex_FO input'!S$46:S$1268,'Capex_FO input'!$E$46:$E$1268,Capex_FO_AC!$C$46,'Capex_FO input'!$G$46:$G$1268,Capex_FO_AC!$D48)</f>
        <v>109.73007142605596</v>
      </c>
      <c r="AD48" s="436">
        <f>+SUMIFS('Capex_FO input'!T$46:T$1268,'Capex_FO input'!$E$46:$E$1268,Capex_FO_AC!$C$46,'Capex_FO input'!$G$46:$G$1268,Capex_FO_AC!$D48)</f>
        <v>116.06310569390122</v>
      </c>
      <c r="AE48" s="437">
        <f>+SUMIFS('Capex_FO input'!U$46:U$1268,'Capex_FO input'!$E$46:$E$1268,Capex_FO_AC!$C$46,'Capex_FO input'!$G$46:$G$1268,Capex_FO_AC!$D48)</f>
        <v>141.16514172550032</v>
      </c>
      <c r="AF48" s="435">
        <f>+SUMIFS('Capex_FO input'!V$46:V$1268,'Capex_FO input'!$E$46:$E$1268,Capex_FO_AC!$C$46,'Capex_FO input'!$G$46:$G$1268,Capex_FO_AC!$D48)</f>
        <v>300.48209174305686</v>
      </c>
      <c r="AG48" s="436">
        <f>+SUMIFS('Capex_FO input'!W$46:W$1268,'Capex_FO input'!$E$46:$E$1268,Capex_FO_AC!$C$46,'Capex_FO input'!$G$46:$G$1268,Capex_FO_AC!$D48)</f>
        <v>276.82496029671785</v>
      </c>
      <c r="AH48" s="436">
        <f>+SUMIFS('Capex_FO input'!X$46:X$1268,'Capex_FO input'!$E$46:$E$1268,Capex_FO_AC!$C$46,'Capex_FO input'!$G$46:$G$1268,Capex_FO_AC!$D48)</f>
        <v>79.119882703942551</v>
      </c>
      <c r="AI48" s="436">
        <f>+SUMIFS('Capex_FO input'!Y$46:Y$1268,'Capex_FO input'!$E$46:$E$1268,Capex_FO_AC!$C$46,'Capex_FO input'!$G$46:$G$1268,Capex_FO_AC!$D48)</f>
        <v>213.49720308007676</v>
      </c>
      <c r="AJ48" s="437">
        <f>+SUMIFS('Capex_FO input'!Z$46:Z$1268,'Capex_FO input'!$E$46:$E$1268,Capex_FO_AC!$C$46,'Capex_FO input'!$G$46:$G$1268,Capex_FO_AC!$D48)</f>
        <v>202.97324859476933</v>
      </c>
      <c r="AN48" s="842"/>
      <c r="AO48" s="842"/>
      <c r="AP48" s="842"/>
      <c r="AQ48" s="842"/>
      <c r="AR48" s="842"/>
      <c r="AS48" s="842"/>
      <c r="AT48" s="842"/>
      <c r="AU48" s="842"/>
      <c r="AV48" s="842"/>
      <c r="AW48" s="842"/>
      <c r="AX48" s="842"/>
      <c r="AY48" s="842"/>
      <c r="AZ48" s="842"/>
      <c r="BA48" s="842"/>
      <c r="BB48" s="842"/>
      <c r="BC48" s="842"/>
    </row>
    <row r="49" spans="3:55">
      <c r="D49" s="301" t="str">
        <f>+D42</f>
        <v>Treatment</v>
      </c>
      <c r="J49" s="293"/>
      <c r="K49" s="327"/>
      <c r="L49" s="328"/>
      <c r="M49" s="329"/>
      <c r="N49" s="327"/>
      <c r="O49" s="328"/>
      <c r="P49" s="328"/>
      <c r="Q49" s="328"/>
      <c r="R49" s="329"/>
      <c r="S49" s="327"/>
      <c r="T49" s="328"/>
      <c r="U49" s="450">
        <v>197.61961094158661</v>
      </c>
      <c r="V49" s="327">
        <v>176.74964074931299</v>
      </c>
      <c r="W49" s="328">
        <v>180.00357455610174</v>
      </c>
      <c r="X49" s="328">
        <v>310.72649677445696</v>
      </c>
      <c r="Y49" s="328">
        <v>326.32800487519648</v>
      </c>
      <c r="Z49" s="329">
        <v>305.41246952</v>
      </c>
      <c r="AA49" s="435">
        <f>+SUMIFS('Capex_FO input'!Q$46:Q$1268,'Capex_FO input'!$E$46:$E$1268,Capex_FO_AC!$C$46,'Capex_FO input'!$G$46:$G$1268,Capex_FO_AC!$D49)</f>
        <v>341.02167522068299</v>
      </c>
      <c r="AB49" s="436">
        <f>+SUMIFS('Capex_FO input'!R$46:R$1268,'Capex_FO input'!$E$46:$E$1268,Capex_FO_AC!$C$46,'Capex_FO input'!$G$46:$G$1268,Capex_FO_AC!$D49)</f>
        <v>275.93613345351577</v>
      </c>
      <c r="AC49" s="436">
        <f>+SUMIFS('Capex_FO input'!S$46:S$1268,'Capex_FO input'!$E$46:$E$1268,Capex_FO_AC!$C$46,'Capex_FO input'!$G$46:$G$1268,Capex_FO_AC!$D49)</f>
        <v>414.41114530860563</v>
      </c>
      <c r="AD49" s="436">
        <f>+SUMIFS('Capex_FO input'!T$46:T$1268,'Capex_FO input'!$E$46:$E$1268,Capex_FO_AC!$C$46,'Capex_FO input'!$G$46:$G$1268,Capex_FO_AC!$D49)</f>
        <v>474.82092245797725</v>
      </c>
      <c r="AE49" s="437">
        <f>+SUMIFS('Capex_FO input'!U$46:U$1268,'Capex_FO input'!$E$46:$E$1268,Capex_FO_AC!$C$46,'Capex_FO input'!$G$46:$G$1268,Capex_FO_AC!$D49)</f>
        <v>369.37656147573853</v>
      </c>
      <c r="AF49" s="435">
        <f>+SUMIFS('Capex_FO input'!V$46:V$1268,'Capex_FO input'!$E$46:$E$1268,Capex_FO_AC!$C$46,'Capex_FO input'!$G$46:$G$1268,Capex_FO_AC!$D49)</f>
        <v>317.18174618114932</v>
      </c>
      <c r="AG49" s="436">
        <f>+SUMIFS('Capex_FO input'!W$46:W$1268,'Capex_FO input'!$E$46:$E$1268,Capex_FO_AC!$C$46,'Capex_FO input'!$G$46:$G$1268,Capex_FO_AC!$D49)</f>
        <v>198.35556874982436</v>
      </c>
      <c r="AH49" s="436">
        <f>+SUMIFS('Capex_FO input'!X$46:X$1268,'Capex_FO input'!$E$46:$E$1268,Capex_FO_AC!$C$46,'Capex_FO input'!$G$46:$G$1268,Capex_FO_AC!$D49)</f>
        <v>127.02189392649666</v>
      </c>
      <c r="AI49" s="436">
        <f>+SUMIFS('Capex_FO input'!Y$46:Y$1268,'Capex_FO input'!$E$46:$E$1268,Capex_FO_AC!$C$46,'Capex_FO input'!$G$46:$G$1268,Capex_FO_AC!$D49)</f>
        <v>197.06485069104872</v>
      </c>
      <c r="AJ49" s="437">
        <f>+SUMIFS('Capex_FO input'!Z$46:Z$1268,'Capex_FO input'!$E$46:$E$1268,Capex_FO_AC!$C$46,'Capex_FO input'!$G$46:$G$1268,Capex_FO_AC!$D49)</f>
        <v>438.364724774786</v>
      </c>
      <c r="AN49" s="842"/>
      <c r="AO49" s="842"/>
      <c r="AP49" s="842"/>
      <c r="AQ49" s="842"/>
      <c r="AR49" s="842"/>
      <c r="AS49" s="842"/>
      <c r="AT49" s="842"/>
      <c r="AU49" s="842"/>
      <c r="AV49" s="842"/>
      <c r="AW49" s="842"/>
      <c r="AX49" s="842"/>
      <c r="AY49" s="842"/>
      <c r="AZ49" s="842"/>
      <c r="BA49" s="842"/>
      <c r="BB49" s="842"/>
      <c r="BC49" s="842"/>
    </row>
    <row r="50" spans="3:55">
      <c r="D50" s="301" t="str">
        <f>+D43</f>
        <v>Corporate</v>
      </c>
      <c r="J50" s="293"/>
      <c r="K50" s="330"/>
      <c r="L50" s="331"/>
      <c r="M50" s="332"/>
      <c r="N50" s="330"/>
      <c r="O50" s="331"/>
      <c r="P50" s="331"/>
      <c r="Q50" s="331"/>
      <c r="R50" s="332"/>
      <c r="S50" s="330"/>
      <c r="T50" s="331"/>
      <c r="U50" s="451">
        <v>10.677649920468269</v>
      </c>
      <c r="V50" s="330">
        <v>9.5309152339993055</v>
      </c>
      <c r="W50" s="331">
        <v>6.061686680930169</v>
      </c>
      <c r="X50" s="331">
        <v>8.3547122133992406</v>
      </c>
      <c r="Y50" s="331">
        <v>14.885414426194092</v>
      </c>
      <c r="Z50" s="332">
        <v>13.510998131008003</v>
      </c>
      <c r="AA50" s="438">
        <f>+SUMIFS('Capex_FO input'!Q$46:Q$1268,'Capex_FO input'!$E$46:$E$1268,Capex_FO_AC!$C$46,'Capex_FO input'!$G$46:$G$1268,Capex_FO_AC!$D50)</f>
        <v>25.78686080939621</v>
      </c>
      <c r="AB50" s="439">
        <f>+SUMIFS('Capex_FO input'!R$46:R$1268,'Capex_FO input'!$E$46:$E$1268,Capex_FO_AC!$C$46,'Capex_FO input'!$G$46:$G$1268,Capex_FO_AC!$D50)</f>
        <v>28.440185736145974</v>
      </c>
      <c r="AC50" s="439">
        <f>+SUMIFS('Capex_FO input'!S$46:S$1268,'Capex_FO input'!$E$46:$E$1268,Capex_FO_AC!$C$46,'Capex_FO input'!$G$46:$G$1268,Capex_FO_AC!$D50)</f>
        <v>24.798901720895387</v>
      </c>
      <c r="AD50" s="439">
        <f>+SUMIFS('Capex_FO input'!T$46:T$1268,'Capex_FO input'!$E$46:$E$1268,Capex_FO_AC!$C$46,'Capex_FO input'!$G$46:$G$1268,Capex_FO_AC!$D50)</f>
        <v>21.849384067002305</v>
      </c>
      <c r="AE50" s="440">
        <f>+SUMIFS('Capex_FO input'!U$46:U$1268,'Capex_FO input'!$E$46:$E$1268,Capex_FO_AC!$C$46,'Capex_FO input'!$G$46:$G$1268,Capex_FO_AC!$D50)</f>
        <v>19.949962404696834</v>
      </c>
      <c r="AF50" s="438">
        <f>+SUMIFS('Capex_FO input'!V$46:V$1268,'Capex_FO input'!$E$46:$E$1268,Capex_FO_AC!$C$46,'Capex_FO input'!$G$46:$G$1268,Capex_FO_AC!$D50)</f>
        <v>18.488991561835338</v>
      </c>
      <c r="AG50" s="439">
        <f>+SUMIFS('Capex_FO input'!W$46:W$1268,'Capex_FO input'!$E$46:$E$1268,Capex_FO_AC!$C$46,'Capex_FO input'!$G$46:$G$1268,Capex_FO_AC!$D50)</f>
        <v>19.138828182784938</v>
      </c>
      <c r="AH50" s="439">
        <f>+SUMIFS('Capex_FO input'!X$46:X$1268,'Capex_FO input'!$E$46:$E$1268,Capex_FO_AC!$C$46,'Capex_FO input'!$G$46:$G$1268,Capex_FO_AC!$D50)</f>
        <v>20.074432455812243</v>
      </c>
      <c r="AI50" s="439">
        <f>+SUMIFS('Capex_FO input'!Y$46:Y$1268,'Capex_FO input'!$E$46:$E$1268,Capex_FO_AC!$C$46,'Capex_FO input'!$G$46:$G$1268,Capex_FO_AC!$D50)</f>
        <v>19.35831899738686</v>
      </c>
      <c r="AJ50" s="440">
        <f>+SUMIFS('Capex_FO input'!Z$46:Z$1268,'Capex_FO input'!$E$46:$E$1268,Capex_FO_AC!$C$46,'Capex_FO input'!$G$46:$G$1268,Capex_FO_AC!$D50)</f>
        <v>19.35029859817918</v>
      </c>
      <c r="AN50" s="842"/>
      <c r="AO50" s="842"/>
      <c r="AP50" s="842"/>
      <c r="AQ50" s="842"/>
      <c r="AR50" s="842"/>
      <c r="AS50" s="842"/>
      <c r="AT50" s="842"/>
      <c r="AU50" s="842"/>
      <c r="AV50" s="842"/>
      <c r="AW50" s="842"/>
      <c r="AX50" s="842"/>
      <c r="AY50" s="842"/>
      <c r="AZ50" s="842"/>
      <c r="BA50" s="842"/>
      <c r="BB50" s="842"/>
      <c r="BC50" s="842"/>
    </row>
    <row r="51" spans="3:55">
      <c r="C51" s="298" t="str">
        <f>+CONCATENATE("Total ",C46)</f>
        <v>Total Sewerage</v>
      </c>
      <c r="J51" s="293"/>
      <c r="K51" s="270">
        <f t="shared" ref="K51:W51" si="35">+SUM(K47:K50)</f>
        <v>0</v>
      </c>
      <c r="L51" s="270">
        <f t="shared" si="35"/>
        <v>0</v>
      </c>
      <c r="M51" s="270">
        <f t="shared" si="35"/>
        <v>0</v>
      </c>
      <c r="N51" s="270">
        <f t="shared" si="35"/>
        <v>0</v>
      </c>
      <c r="O51" s="270">
        <f t="shared" si="35"/>
        <v>0</v>
      </c>
      <c r="P51" s="270">
        <f t="shared" si="35"/>
        <v>0</v>
      </c>
      <c r="Q51" s="270">
        <f t="shared" si="35"/>
        <v>0</v>
      </c>
      <c r="R51" s="296">
        <f t="shared" si="35"/>
        <v>0</v>
      </c>
      <c r="S51" s="296">
        <f t="shared" si="35"/>
        <v>0</v>
      </c>
      <c r="T51" s="296">
        <f t="shared" si="35"/>
        <v>0</v>
      </c>
      <c r="U51" s="296">
        <f t="shared" si="35"/>
        <v>246.88667779140309</v>
      </c>
      <c r="V51" s="296">
        <f t="shared" si="35"/>
        <v>309.11093404552605</v>
      </c>
      <c r="W51" s="296">
        <f t="shared" si="35"/>
        <v>350.73801118076074</v>
      </c>
      <c r="X51" s="296">
        <f>+SUM(X47:X50)</f>
        <v>428.25333241749422</v>
      </c>
      <c r="Y51" s="296">
        <f>+SUM(Y47:Y50)</f>
        <v>416.95984200084467</v>
      </c>
      <c r="Z51" s="296">
        <f>+SUM(Z47:Z50)</f>
        <v>433.93458881100798</v>
      </c>
      <c r="AA51" s="296">
        <f t="shared" ref="AA51:AJ51" si="36">+SUM(AA47:AA50)</f>
        <v>551.51807250819627</v>
      </c>
      <c r="AB51" s="296">
        <f t="shared" si="36"/>
        <v>493.92685339452834</v>
      </c>
      <c r="AC51" s="296">
        <f t="shared" si="36"/>
        <v>548.94011845555701</v>
      </c>
      <c r="AD51" s="296">
        <f t="shared" si="36"/>
        <v>612.73341221888086</v>
      </c>
      <c r="AE51" s="296">
        <f t="shared" si="36"/>
        <v>530.49166560593574</v>
      </c>
      <c r="AF51" s="296">
        <f t="shared" si="36"/>
        <v>636.15282948604147</v>
      </c>
      <c r="AG51" s="296">
        <f t="shared" si="36"/>
        <v>494.31935722932718</v>
      </c>
      <c r="AH51" s="296">
        <f t="shared" si="36"/>
        <v>226.21620908625147</v>
      </c>
      <c r="AI51" s="296">
        <f t="shared" si="36"/>
        <v>429.92037276851232</v>
      </c>
      <c r="AJ51" s="296">
        <f t="shared" si="36"/>
        <v>660.68827196773452</v>
      </c>
      <c r="AN51" s="842"/>
      <c r="AO51" s="842"/>
      <c r="AP51" s="842"/>
      <c r="AQ51" s="842"/>
      <c r="AR51" s="842"/>
      <c r="AS51" s="842"/>
      <c r="AT51" s="842"/>
      <c r="AU51" s="842"/>
      <c r="AV51" s="842"/>
      <c r="AW51" s="842"/>
      <c r="AX51" s="842"/>
      <c r="AY51" s="842"/>
      <c r="AZ51" s="842"/>
      <c r="BA51" s="842"/>
      <c r="BB51" s="842"/>
      <c r="BC51" s="842"/>
    </row>
    <row r="52" spans="3:55">
      <c r="J52" s="293"/>
      <c r="K52" s="270"/>
      <c r="L52" s="270"/>
      <c r="M52" s="270"/>
      <c r="N52" s="270"/>
      <c r="O52" s="270"/>
      <c r="P52" s="270"/>
      <c r="Q52" s="270"/>
      <c r="R52" s="270"/>
      <c r="S52" s="296"/>
      <c r="T52" s="296"/>
      <c r="U52" s="296"/>
      <c r="V52" s="296"/>
      <c r="W52" s="296"/>
      <c r="X52" s="296"/>
      <c r="Y52" s="296"/>
      <c r="Z52" s="1655">
        <f>SUM(V51:Z51)</f>
        <v>1938.9967084556338</v>
      </c>
      <c r="AA52" s="296"/>
      <c r="AB52" s="296"/>
      <c r="AC52" s="296"/>
      <c r="AD52" s="296"/>
      <c r="AE52" s="1655">
        <f>SUM(AA51:AE51)</f>
        <v>2737.6101221830986</v>
      </c>
      <c r="AF52" s="296"/>
      <c r="AG52" s="296"/>
      <c r="AH52" s="296"/>
      <c r="AI52" s="296"/>
      <c r="AJ52" s="1655">
        <f>SUM(AF51:AJ51)</f>
        <v>2447.2970405378669</v>
      </c>
      <c r="AN52" s="842"/>
      <c r="AO52" s="842"/>
      <c r="AP52" s="842"/>
      <c r="AQ52" s="842"/>
      <c r="AR52" s="842"/>
      <c r="AS52" s="842"/>
      <c r="AT52" s="842"/>
      <c r="AU52" s="842"/>
      <c r="AV52" s="842"/>
      <c r="AW52" s="842"/>
      <c r="AX52" s="842"/>
      <c r="AY52" s="842"/>
      <c r="AZ52" s="842"/>
      <c r="BA52" s="842"/>
      <c r="BB52" s="842"/>
      <c r="BC52" s="842"/>
    </row>
    <row r="53" spans="3:55">
      <c r="C53" s="298" t="str">
        <f>E14</f>
        <v>Recycled Water</v>
      </c>
      <c r="J53" s="293"/>
      <c r="K53" s="270"/>
      <c r="L53" s="270"/>
      <c r="M53" s="270"/>
      <c r="N53" s="270"/>
      <c r="O53" s="270"/>
      <c r="P53" s="270"/>
      <c r="Q53" s="270"/>
      <c r="R53" s="270"/>
      <c r="S53" s="296"/>
      <c r="T53" s="296"/>
      <c r="U53" s="296"/>
      <c r="V53" s="296"/>
      <c r="W53" s="296"/>
      <c r="X53" s="296"/>
      <c r="Y53" s="296"/>
      <c r="Z53" s="296"/>
      <c r="AA53" s="296"/>
      <c r="AB53" s="296"/>
      <c r="AC53" s="296"/>
      <c r="AD53" s="296"/>
      <c r="AE53" s="296"/>
      <c r="AF53" s="296"/>
      <c r="AG53" s="296"/>
      <c r="AH53" s="296"/>
      <c r="AI53" s="296"/>
      <c r="AJ53" s="296"/>
      <c r="AN53" s="842"/>
      <c r="AO53" s="842"/>
      <c r="AP53" s="842"/>
      <c r="AQ53" s="842"/>
      <c r="AR53" s="842"/>
      <c r="AS53" s="842"/>
      <c r="AT53" s="842"/>
      <c r="AU53" s="842"/>
      <c r="AV53" s="842"/>
      <c r="AW53" s="842"/>
      <c r="AX53" s="842"/>
      <c r="AY53" s="842"/>
      <c r="AZ53" s="842"/>
      <c r="BA53" s="842"/>
      <c r="BB53" s="842"/>
      <c r="BC53" s="842"/>
    </row>
    <row r="54" spans="3:55">
      <c r="D54" s="301" t="str">
        <f>+D47</f>
        <v>Headworks</v>
      </c>
      <c r="J54" s="293"/>
      <c r="K54" s="324"/>
      <c r="L54" s="325"/>
      <c r="M54" s="326"/>
      <c r="N54" s="324"/>
      <c r="O54" s="325"/>
      <c r="P54" s="325"/>
      <c r="Q54" s="325"/>
      <c r="R54" s="326"/>
      <c r="S54" s="324"/>
      <c r="T54" s="325"/>
      <c r="U54" s="449"/>
      <c r="V54" s="324"/>
      <c r="W54" s="325"/>
      <c r="X54" s="325"/>
      <c r="Y54" s="325"/>
      <c r="Z54" s="326"/>
      <c r="AA54" s="432">
        <f>+SUMIFS('Capex_FO input'!Q$46:Q$1268,'Capex_FO input'!$E$46:$E$1268,Capex_FO_AC!$C$53,'Capex_FO input'!$G$46:$G$1268,Capex_FO_AC!$D54)</f>
        <v>0</v>
      </c>
      <c r="AB54" s="433">
        <f>+SUMIFS('Capex_FO input'!R$46:R$1268,'Capex_FO input'!$E$46:$E$1268,Capex_FO_AC!$C$53,'Capex_FO input'!$G$46:$G$1268,Capex_FO_AC!$D54)</f>
        <v>0</v>
      </c>
      <c r="AC54" s="433">
        <f>+SUMIFS('Capex_FO input'!S$46:S$1268,'Capex_FO input'!$E$46:$E$1268,Capex_FO_AC!$C$53,'Capex_FO input'!$G$46:$G$1268,Capex_FO_AC!$D54)</f>
        <v>0</v>
      </c>
      <c r="AD54" s="433">
        <f>+SUMIFS('Capex_FO input'!T$46:T$1268,'Capex_FO input'!$E$46:$E$1268,Capex_FO_AC!$C$53,'Capex_FO input'!$G$46:$G$1268,Capex_FO_AC!$D54)</f>
        <v>0</v>
      </c>
      <c r="AE54" s="434">
        <f>+SUMIFS('Capex_FO input'!U$46:U$1268,'Capex_FO input'!$E$46:$E$1268,Capex_FO_AC!$C$53,'Capex_FO input'!$G$46:$G$1268,Capex_FO_AC!$D54)</f>
        <v>0</v>
      </c>
      <c r="AF54" s="432">
        <f>+SUMIFS('Capex_FO input'!V$46:V$1268,'Capex_FO input'!$E$46:$E$1268,Capex_FO_AC!$C$53,'Capex_FO input'!$G$46:$G$1268,Capex_FO_AC!$D54)</f>
        <v>0</v>
      </c>
      <c r="AG54" s="433">
        <f>+SUMIFS('Capex_FO input'!W$46:W$1268,'Capex_FO input'!$E$46:$E$1268,Capex_FO_AC!$C$53,'Capex_FO input'!$G$46:$G$1268,Capex_FO_AC!$D54)</f>
        <v>0</v>
      </c>
      <c r="AH54" s="433">
        <f>+SUMIFS('Capex_FO input'!X$46:X$1268,'Capex_FO input'!$E$46:$E$1268,Capex_FO_AC!$C$53,'Capex_FO input'!$G$46:$G$1268,Capex_FO_AC!$D54)</f>
        <v>0</v>
      </c>
      <c r="AI54" s="433">
        <f>+SUMIFS('Capex_FO input'!Y$46:Y$1268,'Capex_FO input'!$E$46:$E$1268,Capex_FO_AC!$C$53,'Capex_FO input'!$G$46:$G$1268,Capex_FO_AC!$D54)</f>
        <v>0</v>
      </c>
      <c r="AJ54" s="434">
        <f>+SUMIFS('Capex_FO input'!Z$46:Z$1268,'Capex_FO input'!$E$46:$E$1268,Capex_FO_AC!$C$53,'Capex_FO input'!$G$46:$G$1268,Capex_FO_AC!$D54)</f>
        <v>0</v>
      </c>
      <c r="AN54" s="842"/>
      <c r="AO54" s="842"/>
      <c r="AP54" s="842"/>
      <c r="AQ54" s="842"/>
      <c r="AR54" s="842"/>
      <c r="AS54" s="842"/>
      <c r="AT54" s="842"/>
      <c r="AU54" s="842"/>
      <c r="AV54" s="842"/>
      <c r="AW54" s="842"/>
      <c r="AX54" s="842"/>
      <c r="AY54" s="842"/>
      <c r="AZ54" s="842"/>
      <c r="BA54" s="842"/>
      <c r="BB54" s="842"/>
      <c r="BC54" s="842"/>
    </row>
    <row r="55" spans="3:55">
      <c r="D55" s="301" t="str">
        <f>+D48</f>
        <v>Pipelines/network</v>
      </c>
      <c r="J55" s="293"/>
      <c r="K55" s="327"/>
      <c r="L55" s="328"/>
      <c r="M55" s="329"/>
      <c r="N55" s="327"/>
      <c r="O55" s="328"/>
      <c r="P55" s="328"/>
      <c r="Q55" s="328"/>
      <c r="R55" s="329"/>
      <c r="S55" s="327"/>
      <c r="T55" s="328"/>
      <c r="U55" s="450"/>
      <c r="V55" s="327"/>
      <c r="W55" s="328"/>
      <c r="X55" s="328"/>
      <c r="Y55" s="328"/>
      <c r="Z55" s="329"/>
      <c r="AA55" s="435">
        <f>+SUMIFS('Capex_FO input'!Q$46:Q$1268,'Capex_FO input'!$E$46:$E$1268,Capex_FO_AC!$C$53,'Capex_FO input'!$G$46:$G$1268,Capex_FO_AC!$D55)</f>
        <v>0</v>
      </c>
      <c r="AB55" s="436">
        <f>+SUMIFS('Capex_FO input'!R$46:R$1268,'Capex_FO input'!$E$46:$E$1268,Capex_FO_AC!$C$53,'Capex_FO input'!$G$46:$G$1268,Capex_FO_AC!$D55)</f>
        <v>0</v>
      </c>
      <c r="AC55" s="436">
        <f>+SUMIFS('Capex_FO input'!S$46:S$1268,'Capex_FO input'!$E$46:$E$1268,Capex_FO_AC!$C$53,'Capex_FO input'!$G$46:$G$1268,Capex_FO_AC!$D55)</f>
        <v>0</v>
      </c>
      <c r="AD55" s="436">
        <f>+SUMIFS('Capex_FO input'!T$46:T$1268,'Capex_FO input'!$E$46:$E$1268,Capex_FO_AC!$C$53,'Capex_FO input'!$G$46:$G$1268,Capex_FO_AC!$D55)</f>
        <v>0</v>
      </c>
      <c r="AE55" s="437">
        <f>+SUMIFS('Capex_FO input'!U$46:U$1268,'Capex_FO input'!$E$46:$E$1268,Capex_FO_AC!$C$53,'Capex_FO input'!$G$46:$G$1268,Capex_FO_AC!$D55)</f>
        <v>0</v>
      </c>
      <c r="AF55" s="435">
        <f>+SUMIFS('Capex_FO input'!V$46:V$1268,'Capex_FO input'!$E$46:$E$1268,Capex_FO_AC!$C$53,'Capex_FO input'!$G$46:$G$1268,Capex_FO_AC!$D55)</f>
        <v>0</v>
      </c>
      <c r="AG55" s="436">
        <f>+SUMIFS('Capex_FO input'!W$46:W$1268,'Capex_FO input'!$E$46:$E$1268,Capex_FO_AC!$C$53,'Capex_FO input'!$G$46:$G$1268,Capex_FO_AC!$D55)</f>
        <v>0</v>
      </c>
      <c r="AH55" s="436">
        <f>+SUMIFS('Capex_FO input'!X$46:X$1268,'Capex_FO input'!$E$46:$E$1268,Capex_FO_AC!$C$53,'Capex_FO input'!$G$46:$G$1268,Capex_FO_AC!$D55)</f>
        <v>0</v>
      </c>
      <c r="AI55" s="436">
        <f>+SUMIFS('Capex_FO input'!Y$46:Y$1268,'Capex_FO input'!$E$46:$E$1268,Capex_FO_AC!$C$53,'Capex_FO input'!$G$46:$G$1268,Capex_FO_AC!$D55)</f>
        <v>0</v>
      </c>
      <c r="AJ55" s="437">
        <f>+SUMIFS('Capex_FO input'!Z$46:Z$1268,'Capex_FO input'!$E$46:$E$1268,Capex_FO_AC!$C$53,'Capex_FO input'!$G$46:$G$1268,Capex_FO_AC!$D55)</f>
        <v>0</v>
      </c>
      <c r="AN55" s="842"/>
      <c r="AO55" s="842"/>
      <c r="AP55" s="842"/>
      <c r="AQ55" s="842"/>
      <c r="AR55" s="842"/>
      <c r="AS55" s="842"/>
      <c r="AT55" s="842"/>
      <c r="AU55" s="842"/>
      <c r="AV55" s="842"/>
      <c r="AW55" s="842"/>
      <c r="AX55" s="842"/>
      <c r="AY55" s="842"/>
      <c r="AZ55" s="842"/>
      <c r="BA55" s="842"/>
      <c r="BB55" s="842"/>
      <c r="BC55" s="842"/>
    </row>
    <row r="56" spans="3:55">
      <c r="D56" s="301" t="str">
        <f>+D49</f>
        <v>Treatment</v>
      </c>
      <c r="J56" s="293"/>
      <c r="K56" s="327"/>
      <c r="L56" s="328"/>
      <c r="M56" s="329"/>
      <c r="N56" s="327"/>
      <c r="O56" s="328"/>
      <c r="P56" s="328"/>
      <c r="Q56" s="328"/>
      <c r="R56" s="329"/>
      <c r="S56" s="327"/>
      <c r="T56" s="328"/>
      <c r="U56" s="450"/>
      <c r="V56" s="327"/>
      <c r="W56" s="328"/>
      <c r="X56" s="328"/>
      <c r="Y56" s="328"/>
      <c r="Z56" s="329"/>
      <c r="AA56" s="435">
        <f>+SUMIFS('Capex_FO input'!Q$46:Q$1268,'Capex_FO input'!$E$46:$E$1268,Capex_FO_AC!$C$53,'Capex_FO input'!$G$46:$G$1268,Capex_FO_AC!$D56)</f>
        <v>0.97560975609756106</v>
      </c>
      <c r="AB56" s="436">
        <f>+SUMIFS('Capex_FO input'!R$46:R$1268,'Capex_FO input'!$E$46:$E$1268,Capex_FO_AC!$C$53,'Capex_FO input'!$G$46:$G$1268,Capex_FO_AC!$D56)</f>
        <v>1.9036287923854851</v>
      </c>
      <c r="AC56" s="436">
        <f>+SUMIFS('Capex_FO input'!S$46:S$1268,'Capex_FO input'!$E$46:$E$1268,Capex_FO_AC!$C$53,'Capex_FO input'!$G$46:$G$1268,Capex_FO_AC!$D56)</f>
        <v>4.6429970545987453</v>
      </c>
      <c r="AD56" s="436">
        <f>+SUMIFS('Capex_FO input'!T$46:T$1268,'Capex_FO input'!$E$46:$E$1268,Capex_FO_AC!$C$53,'Capex_FO input'!$G$46:$G$1268,Capex_FO_AC!$D56)</f>
        <v>4.5297532239987754</v>
      </c>
      <c r="AE56" s="437">
        <f>+SUMIFS('Capex_FO input'!U$46:U$1268,'Capex_FO input'!$E$46:$E$1268,Capex_FO_AC!$C$53,'Capex_FO input'!$G$46:$G$1268,Capex_FO_AC!$D56)</f>
        <v>4.4192714380475868</v>
      </c>
      <c r="AF56" s="435">
        <f>+SUMIFS('Capex_FO input'!V$46:V$1268,'Capex_FO input'!$E$46:$E$1268,Capex_FO_AC!$C$53,'Capex_FO input'!$G$46:$G$1268,Capex_FO_AC!$D56)</f>
        <v>2.5868905978815144</v>
      </c>
      <c r="AG56" s="436">
        <f>+SUMIFS('Capex_FO input'!W$46:W$1268,'Capex_FO input'!$E$46:$E$1268,Capex_FO_AC!$C$53,'Capex_FO input'!$G$46:$G$1268,Capex_FO_AC!$D56)</f>
        <v>12.61897852625129</v>
      </c>
      <c r="AH56" s="436">
        <f>+SUMIFS('Capex_FO input'!X$46:X$1268,'Capex_FO input'!$E$46:$E$1268,Capex_FO_AC!$C$53,'Capex_FO input'!$G$46:$G$1268,Capex_FO_AC!$D56)</f>
        <v>20.518664270327303</v>
      </c>
      <c r="AI56" s="436">
        <f>+SUMIFS('Capex_FO input'!Y$46:Y$1268,'Capex_FO input'!$E$46:$E$1268,Capex_FO_AC!$C$53,'Capex_FO input'!$G$46:$G$1268,Capex_FO_AC!$D56)</f>
        <v>16.01456723537741</v>
      </c>
      <c r="AJ56" s="437">
        <f>+SUMIFS('Capex_FO input'!Z$46:Z$1268,'Capex_FO input'!$E$46:$E$1268,Capex_FO_AC!$C$53,'Capex_FO input'!$G$46:$G$1268,Capex_FO_AC!$D56)</f>
        <v>26.87322501936502</v>
      </c>
      <c r="AN56" s="842"/>
      <c r="AO56" s="842"/>
      <c r="AP56" s="842"/>
      <c r="AQ56" s="842"/>
      <c r="AR56" s="842"/>
      <c r="AS56" s="842"/>
      <c r="AT56" s="842"/>
      <c r="AU56" s="842"/>
      <c r="AV56" s="842"/>
      <c r="AW56" s="842"/>
      <c r="AX56" s="842"/>
      <c r="AY56" s="842"/>
      <c r="AZ56" s="842"/>
      <c r="BA56" s="842"/>
      <c r="BB56" s="842"/>
      <c r="BC56" s="842"/>
    </row>
    <row r="57" spans="3:55">
      <c r="D57" s="301" t="str">
        <f>+D50</f>
        <v>Corporate</v>
      </c>
      <c r="J57" s="293"/>
      <c r="K57" s="330"/>
      <c r="L57" s="331"/>
      <c r="M57" s="332"/>
      <c r="N57" s="330"/>
      <c r="O57" s="331"/>
      <c r="P57" s="331"/>
      <c r="Q57" s="331"/>
      <c r="R57" s="332"/>
      <c r="S57" s="330"/>
      <c r="T57" s="331"/>
      <c r="U57" s="451">
        <v>0.10677649920468267</v>
      </c>
      <c r="V57" s="330">
        <v>0.12723309171601016</v>
      </c>
      <c r="W57" s="331">
        <v>8.0920574624067751E-2</v>
      </c>
      <c r="X57" s="331">
        <v>0.11153135236333934</v>
      </c>
      <c r="Y57" s="331">
        <v>0.19871305666035805</v>
      </c>
      <c r="Z57" s="332">
        <v>0.18036526631200003</v>
      </c>
      <c r="AA57" s="438">
        <f>+SUMIFS('Capex_FO input'!Q$46:Q$1268,'Capex_FO input'!$E$46:$E$1268,Capex_FO_AC!$C$53,'Capex_FO input'!$G$46:$G$1268,Capex_FO_AC!$D57)</f>
        <v>0.31447240185559461</v>
      </c>
      <c r="AB57" s="439">
        <f>+SUMIFS('Capex_FO input'!R$46:R$1268,'Capex_FO input'!$E$46:$E$1268,Capex_FO_AC!$C$53,'Capex_FO input'!$G$46:$G$1268,Capex_FO_AC!$D57)</f>
        <v>0.34682986749616923</v>
      </c>
      <c r="AC57" s="439">
        <f>+SUMIFS('Capex_FO input'!S$46:S$1268,'Capex_FO input'!$E$46:$E$1268,Capex_FO_AC!$C$53,'Capex_FO input'!$G$46:$G$1268,Capex_FO_AC!$D57)</f>
        <v>0.30242417815778372</v>
      </c>
      <c r="AD57" s="439">
        <f>+SUMIFS('Capex_FO input'!T$46:T$1268,'Capex_FO input'!$E$46:$E$1268,Capex_FO_AC!$C$53,'Capex_FO input'!$G$46:$G$1268,Capex_FO_AC!$D57)</f>
        <v>0.26645462343799181</v>
      </c>
      <c r="AE57" s="440">
        <f>+SUMIFS('Capex_FO input'!U$46:U$1268,'Capex_FO input'!$E$46:$E$1268,Capex_FO_AC!$C$53,'Capex_FO input'!$G$46:$G$1268,Capex_FO_AC!$D57)</f>
        <v>0.24329105588718317</v>
      </c>
      <c r="AF57" s="438">
        <f>+SUMIFS('Capex_FO input'!V$46:V$1268,'Capex_FO input'!$E$46:$E$1268,Capex_FO_AC!$C$53,'Capex_FO input'!$G$46:$G$1268,Capex_FO_AC!$D57)</f>
        <v>0.2254744238670407</v>
      </c>
      <c r="AG57" s="439">
        <f>+SUMIFS('Capex_FO input'!W$46:W$1268,'Capex_FO input'!$E$46:$E$1268,Capex_FO_AC!$C$53,'Capex_FO input'!$G$46:$G$1268,Capex_FO_AC!$D57)</f>
        <v>0.23339922264399304</v>
      </c>
      <c r="AH57" s="439">
        <f>+SUMIFS('Capex_FO input'!X$46:X$1268,'Capex_FO input'!$E$46:$E$1268,Capex_FO_AC!$C$53,'Capex_FO input'!$G$46:$G$1268,Capex_FO_AC!$D57)</f>
        <v>0.24480897604903118</v>
      </c>
      <c r="AI57" s="439">
        <f>+SUMIFS('Capex_FO input'!Y$46:Y$1268,'Capex_FO input'!$E$46:$E$1268,Capex_FO_AC!$C$53,'Capex_FO input'!$G$46:$G$1268,Capex_FO_AC!$D57)</f>
        <v>0.23607592703865726</v>
      </c>
      <c r="AJ57" s="440">
        <f>+SUMIFS('Capex_FO input'!Z$46:Z$1268,'Capex_FO input'!$E$46:$E$1268,Capex_FO_AC!$C$53,'Capex_FO input'!$G$46:$G$1268,Capex_FO_AC!$D57)</f>
        <v>0.23597811776201361</v>
      </c>
      <c r="AN57" s="842"/>
      <c r="AO57" s="842"/>
      <c r="AP57" s="842"/>
      <c r="AQ57" s="842"/>
      <c r="AR57" s="842"/>
      <c r="AS57" s="842"/>
      <c r="AT57" s="842"/>
      <c r="AU57" s="842"/>
      <c r="AV57" s="842"/>
      <c r="AW57" s="842"/>
      <c r="AX57" s="842"/>
      <c r="AY57" s="842"/>
      <c r="AZ57" s="842"/>
      <c r="BA57" s="842"/>
      <c r="BB57" s="842"/>
      <c r="BC57" s="842"/>
    </row>
    <row r="58" spans="3:55">
      <c r="C58" s="298" t="str">
        <f>+CONCATENATE("Total ",C53)</f>
        <v>Total Recycled Water</v>
      </c>
      <c r="J58" s="293"/>
      <c r="K58" s="270">
        <f>+SUM(K54:K57)</f>
        <v>0</v>
      </c>
      <c r="L58" s="270">
        <f>+SUM(L54:L57)</f>
        <v>0</v>
      </c>
      <c r="M58" s="270">
        <f>+SUM(M54:M57)</f>
        <v>0</v>
      </c>
      <c r="N58" s="270">
        <f t="shared" ref="N58:W58" si="37">+SUM(N54:N57)</f>
        <v>0</v>
      </c>
      <c r="O58" s="270">
        <f t="shared" si="37"/>
        <v>0</v>
      </c>
      <c r="P58" s="270">
        <f t="shared" si="37"/>
        <v>0</v>
      </c>
      <c r="Q58" s="270">
        <f t="shared" si="37"/>
        <v>0</v>
      </c>
      <c r="R58" s="296">
        <f t="shared" si="37"/>
        <v>0</v>
      </c>
      <c r="S58" s="296">
        <f t="shared" si="37"/>
        <v>0</v>
      </c>
      <c r="T58" s="296">
        <f t="shared" si="37"/>
        <v>0</v>
      </c>
      <c r="U58" s="296">
        <f t="shared" si="37"/>
        <v>0.10677649920468267</v>
      </c>
      <c r="V58" s="296">
        <f t="shared" si="37"/>
        <v>0.12723309171601016</v>
      </c>
      <c r="W58" s="296">
        <f t="shared" si="37"/>
        <v>8.0920574624067751E-2</v>
      </c>
      <c r="X58" s="296">
        <f>+SUM(X54:X57)</f>
        <v>0.11153135236333934</v>
      </c>
      <c r="Y58" s="296">
        <f>+SUM(Y54:Y57)</f>
        <v>0.19871305666035805</v>
      </c>
      <c r="Z58" s="296">
        <f>+SUM(Z54:Z57)</f>
        <v>0.18036526631200003</v>
      </c>
      <c r="AA58" s="296">
        <f t="shared" ref="AA58:AJ58" si="38">+SUM(AA54:AA57)</f>
        <v>1.2900821579531556</v>
      </c>
      <c r="AB58" s="296">
        <f t="shared" si="38"/>
        <v>2.2504586598816543</v>
      </c>
      <c r="AC58" s="296">
        <f t="shared" si="38"/>
        <v>4.9454212327565292</v>
      </c>
      <c r="AD58" s="296">
        <f t="shared" si="38"/>
        <v>4.7962078474367669</v>
      </c>
      <c r="AE58" s="296">
        <f t="shared" si="38"/>
        <v>4.6625624939347698</v>
      </c>
      <c r="AF58" s="296">
        <f t="shared" si="38"/>
        <v>2.8123650217485552</v>
      </c>
      <c r="AG58" s="296">
        <f t="shared" si="38"/>
        <v>12.852377748895282</v>
      </c>
      <c r="AH58" s="296">
        <f t="shared" si="38"/>
        <v>20.763473246376336</v>
      </c>
      <c r="AI58" s="296">
        <f t="shared" si="38"/>
        <v>16.250643162416068</v>
      </c>
      <c r="AJ58" s="296">
        <f t="shared" si="38"/>
        <v>27.109203137127032</v>
      </c>
      <c r="AN58" s="842"/>
      <c r="AO58" s="842"/>
      <c r="AP58" s="842"/>
      <c r="AQ58" s="842"/>
      <c r="AR58" s="842"/>
      <c r="AS58" s="842"/>
      <c r="AT58" s="842"/>
      <c r="AU58" s="842"/>
      <c r="AV58" s="842"/>
      <c r="AW58" s="842"/>
      <c r="AX58" s="842"/>
      <c r="AY58" s="842"/>
      <c r="AZ58" s="842"/>
      <c r="BA58" s="842"/>
      <c r="BB58" s="842"/>
      <c r="BC58" s="842"/>
    </row>
    <row r="59" spans="3:55">
      <c r="C59" s="307"/>
      <c r="J59" s="293"/>
      <c r="K59" s="270"/>
      <c r="L59" s="270"/>
      <c r="M59" s="270"/>
      <c r="N59" s="270"/>
      <c r="O59" s="270"/>
      <c r="P59" s="270"/>
      <c r="Q59" s="270"/>
      <c r="R59" s="270"/>
      <c r="S59" s="296"/>
      <c r="T59" s="296"/>
      <c r="U59" s="296"/>
      <c r="V59" s="296"/>
      <c r="W59" s="296"/>
      <c r="X59" s="296"/>
      <c r="Y59" s="296"/>
      <c r="Z59" s="1655">
        <f>SUM(V58:Z58)</f>
        <v>0.69876334167577536</v>
      </c>
      <c r="AA59" s="296"/>
      <c r="AB59" s="296"/>
      <c r="AC59" s="296"/>
      <c r="AD59" s="296"/>
      <c r="AE59" s="1655">
        <f>SUM(AA58:AE58)</f>
        <v>17.944732391962877</v>
      </c>
      <c r="AF59" s="296"/>
      <c r="AG59" s="296"/>
      <c r="AH59" s="296"/>
      <c r="AI59" s="296"/>
      <c r="AJ59" s="1655">
        <f>SUM(AF58:AJ58)</f>
        <v>79.78806231656327</v>
      </c>
      <c r="AN59" s="842"/>
      <c r="AO59" s="842"/>
      <c r="AP59" s="842"/>
      <c r="AQ59" s="842"/>
      <c r="AR59" s="842"/>
      <c r="AS59" s="842"/>
      <c r="AT59" s="842"/>
      <c r="AU59" s="842"/>
      <c r="AV59" s="842"/>
      <c r="AW59" s="842"/>
      <c r="AX59" s="842"/>
      <c r="AY59" s="842"/>
      <c r="AZ59" s="842"/>
      <c r="BA59" s="842"/>
      <c r="BB59" s="842"/>
      <c r="BC59" s="842"/>
    </row>
    <row r="60" spans="3:55">
      <c r="C60" s="298" t="str">
        <f>E15</f>
        <v>Waterways and Drainage</v>
      </c>
      <c r="J60" s="293"/>
      <c r="K60" s="270"/>
      <c r="L60" s="270"/>
      <c r="M60" s="270"/>
      <c r="N60" s="270"/>
      <c r="O60" s="270"/>
      <c r="P60" s="270"/>
      <c r="Q60" s="270"/>
      <c r="R60" s="270"/>
      <c r="S60" s="296"/>
      <c r="T60" s="296"/>
      <c r="U60" s="296"/>
      <c r="V60" s="296"/>
      <c r="W60" s="296"/>
      <c r="X60" s="296"/>
      <c r="Y60" s="296"/>
      <c r="Z60" s="296"/>
      <c r="AA60" s="296"/>
      <c r="AB60" s="296"/>
      <c r="AC60" s="296"/>
      <c r="AD60" s="296"/>
      <c r="AE60" s="296"/>
      <c r="AF60" s="296"/>
      <c r="AG60" s="296"/>
      <c r="AH60" s="296"/>
      <c r="AI60" s="296"/>
      <c r="AJ60" s="296"/>
      <c r="AN60" s="842"/>
      <c r="AO60" s="842"/>
      <c r="AP60" s="842"/>
      <c r="AQ60" s="842"/>
      <c r="AR60" s="842"/>
      <c r="AS60" s="842"/>
      <c r="AT60" s="842"/>
      <c r="AU60" s="842"/>
      <c r="AV60" s="842"/>
      <c r="AW60" s="842"/>
      <c r="AX60" s="842"/>
      <c r="AY60" s="842"/>
      <c r="AZ60" s="842"/>
      <c r="BA60" s="842"/>
      <c r="BB60" s="842"/>
      <c r="BC60" s="842"/>
    </row>
    <row r="61" spans="3:55">
      <c r="D61" s="301" t="str">
        <f>+D54</f>
        <v>Headworks</v>
      </c>
      <c r="J61" s="293"/>
      <c r="K61" s="324"/>
      <c r="L61" s="325"/>
      <c r="M61" s="326"/>
      <c r="N61" s="324"/>
      <c r="O61" s="325"/>
      <c r="P61" s="325"/>
      <c r="Q61" s="325"/>
      <c r="R61" s="326"/>
      <c r="S61" s="324"/>
      <c r="T61" s="325"/>
      <c r="U61" s="449"/>
      <c r="V61" s="324"/>
      <c r="W61" s="325"/>
      <c r="X61" s="325"/>
      <c r="Y61" s="325"/>
      <c r="Z61" s="326">
        <v>0</v>
      </c>
      <c r="AA61" s="432">
        <f>+SUMIFS('Capex_FO input'!Q$46:Q$1268,'Capex_FO input'!$E$46:$E$1268,Capex_FO_AC!$C$60,'Capex_FO input'!$G$46:$G$1268,Capex_FO_AC!$D61)</f>
        <v>0</v>
      </c>
      <c r="AB61" s="433">
        <f>+SUMIFS('Capex_FO input'!R$46:R$1268,'Capex_FO input'!$E$46:$E$1268,Capex_FO_AC!$C$60,'Capex_FO input'!$G$46:$G$1268,Capex_FO_AC!$D61)</f>
        <v>0</v>
      </c>
      <c r="AC61" s="433">
        <f>+SUMIFS('Capex_FO input'!S$46:S$1268,'Capex_FO input'!$E$46:$E$1268,Capex_FO_AC!$C$60,'Capex_FO input'!$G$46:$G$1268,Capex_FO_AC!$D61)</f>
        <v>0</v>
      </c>
      <c r="AD61" s="433">
        <f>+SUMIFS('Capex_FO input'!T$46:T$1268,'Capex_FO input'!$E$46:$E$1268,Capex_FO_AC!$C$60,'Capex_FO input'!$G$46:$G$1268,Capex_FO_AC!$D61)</f>
        <v>0</v>
      </c>
      <c r="AE61" s="434">
        <f>+SUMIFS('Capex_FO input'!U$46:U$1268,'Capex_FO input'!$E$46:$E$1268,Capex_FO_AC!$C$60,'Capex_FO input'!$G$46:$G$1268,Capex_FO_AC!$D61)</f>
        <v>0</v>
      </c>
      <c r="AF61" s="432">
        <f>+SUMIFS('Capex_FO input'!V$46:V$1268,'Capex_FO input'!$E$46:$E$1268,Capex_FO_AC!$C$60,'Capex_FO input'!$G$46:$G$1268,Capex_FO_AC!$D61)</f>
        <v>0</v>
      </c>
      <c r="AG61" s="433">
        <f>+SUMIFS('Capex_FO input'!W$46:W$1268,'Capex_FO input'!$E$46:$E$1268,Capex_FO_AC!$C$60,'Capex_FO input'!$G$46:$G$1268,Capex_FO_AC!$D61)</f>
        <v>0</v>
      </c>
      <c r="AH61" s="433">
        <f>+SUMIFS('Capex_FO input'!X$46:X$1268,'Capex_FO input'!$E$46:$E$1268,Capex_FO_AC!$C$60,'Capex_FO input'!$G$46:$G$1268,Capex_FO_AC!$D61)</f>
        <v>0</v>
      </c>
      <c r="AI61" s="433">
        <f>+SUMIFS('Capex_FO input'!Y$46:Y$1268,'Capex_FO input'!$E$46:$E$1268,Capex_FO_AC!$C$60,'Capex_FO input'!$G$46:$G$1268,Capex_FO_AC!$D61)</f>
        <v>0</v>
      </c>
      <c r="AJ61" s="434">
        <f>+SUMIFS('Capex_FO input'!Z$46:Z$1268,'Capex_FO input'!$E$46:$E$1268,Capex_FO_AC!$C$60,'Capex_FO input'!$G$46:$G$1268,Capex_FO_AC!$D61)</f>
        <v>0</v>
      </c>
      <c r="AN61" s="842"/>
      <c r="AO61" s="842"/>
      <c r="AP61" s="842"/>
      <c r="AQ61" s="842"/>
      <c r="AR61" s="842"/>
      <c r="AS61" s="842"/>
      <c r="AT61" s="842"/>
      <c r="AU61" s="842"/>
      <c r="AV61" s="842"/>
      <c r="AW61" s="842"/>
      <c r="AX61" s="842"/>
      <c r="AY61" s="842"/>
      <c r="AZ61" s="842"/>
      <c r="BA61" s="842"/>
      <c r="BB61" s="842"/>
      <c r="BC61" s="842"/>
    </row>
    <row r="62" spans="3:55">
      <c r="D62" s="301" t="str">
        <f>+D55</f>
        <v>Pipelines/network</v>
      </c>
      <c r="J62" s="293"/>
      <c r="K62" s="327"/>
      <c r="L62" s="328"/>
      <c r="M62" s="329"/>
      <c r="N62" s="327"/>
      <c r="O62" s="328"/>
      <c r="P62" s="328"/>
      <c r="Q62" s="328"/>
      <c r="R62" s="329"/>
      <c r="S62" s="327"/>
      <c r="T62" s="328"/>
      <c r="U62" s="450"/>
      <c r="V62" s="327"/>
      <c r="W62" s="328"/>
      <c r="X62" s="328"/>
      <c r="Y62" s="328"/>
      <c r="Z62" s="329">
        <v>0</v>
      </c>
      <c r="AA62" s="435">
        <f>+SUMIFS('Capex_FO input'!Q$46:Q$1268,'Capex_FO input'!$E$46:$E$1268,Capex_FO_AC!$C$60,'Capex_FO input'!$G$46:$G$1268,Capex_FO_AC!$D62)</f>
        <v>0</v>
      </c>
      <c r="AB62" s="436">
        <f>+SUMIFS('Capex_FO input'!R$46:R$1268,'Capex_FO input'!$E$46:$E$1268,Capex_FO_AC!$C$60,'Capex_FO input'!$G$46:$G$1268,Capex_FO_AC!$D62)</f>
        <v>0</v>
      </c>
      <c r="AC62" s="436">
        <f>+SUMIFS('Capex_FO input'!S$46:S$1268,'Capex_FO input'!$E$46:$E$1268,Capex_FO_AC!$C$60,'Capex_FO input'!$G$46:$G$1268,Capex_FO_AC!$D62)</f>
        <v>0</v>
      </c>
      <c r="AD62" s="436">
        <f>+SUMIFS('Capex_FO input'!T$46:T$1268,'Capex_FO input'!$E$46:$E$1268,Capex_FO_AC!$C$60,'Capex_FO input'!$G$46:$G$1268,Capex_FO_AC!$D62)</f>
        <v>0</v>
      </c>
      <c r="AE62" s="437">
        <f>+SUMIFS('Capex_FO input'!U$46:U$1268,'Capex_FO input'!$E$46:$E$1268,Capex_FO_AC!$C$60,'Capex_FO input'!$G$46:$G$1268,Capex_FO_AC!$D62)</f>
        <v>0</v>
      </c>
      <c r="AF62" s="435">
        <f>+SUMIFS('Capex_FO input'!V$46:V$1268,'Capex_FO input'!$E$46:$E$1268,Capex_FO_AC!$C$60,'Capex_FO input'!$G$46:$G$1268,Capex_FO_AC!$D62)</f>
        <v>0</v>
      </c>
      <c r="AG62" s="436">
        <f>+SUMIFS('Capex_FO input'!W$46:W$1268,'Capex_FO input'!$E$46:$E$1268,Capex_FO_AC!$C$60,'Capex_FO input'!$G$46:$G$1268,Capex_FO_AC!$D62)</f>
        <v>0</v>
      </c>
      <c r="AH62" s="436">
        <f>+SUMIFS('Capex_FO input'!X$46:X$1268,'Capex_FO input'!$E$46:$E$1268,Capex_FO_AC!$C$60,'Capex_FO input'!$G$46:$G$1268,Capex_FO_AC!$D62)</f>
        <v>0</v>
      </c>
      <c r="AI62" s="436">
        <f>+SUMIFS('Capex_FO input'!Y$46:Y$1268,'Capex_FO input'!$E$46:$E$1268,Capex_FO_AC!$C$60,'Capex_FO input'!$G$46:$G$1268,Capex_FO_AC!$D62)</f>
        <v>0</v>
      </c>
      <c r="AJ62" s="437">
        <f>+SUMIFS('Capex_FO input'!Z$46:Z$1268,'Capex_FO input'!$E$46:$E$1268,Capex_FO_AC!$C$60,'Capex_FO input'!$G$46:$G$1268,Capex_FO_AC!$D62)</f>
        <v>0</v>
      </c>
      <c r="AN62" s="842"/>
      <c r="AO62" s="842"/>
      <c r="AP62" s="842"/>
      <c r="AQ62" s="842"/>
      <c r="AR62" s="842"/>
      <c r="AS62" s="842"/>
      <c r="AT62" s="842"/>
      <c r="AU62" s="842"/>
      <c r="AV62" s="842"/>
      <c r="AW62" s="842"/>
      <c r="AX62" s="842"/>
      <c r="AY62" s="842"/>
      <c r="AZ62" s="842"/>
      <c r="BA62" s="842"/>
      <c r="BB62" s="842"/>
      <c r="BC62" s="842"/>
    </row>
    <row r="63" spans="3:55">
      <c r="D63" s="301" t="str">
        <f>+D56</f>
        <v>Treatment</v>
      </c>
      <c r="J63" s="293"/>
      <c r="K63" s="327"/>
      <c r="L63" s="328"/>
      <c r="M63" s="329"/>
      <c r="N63" s="327"/>
      <c r="O63" s="328"/>
      <c r="P63" s="328"/>
      <c r="Q63" s="328"/>
      <c r="R63" s="329"/>
      <c r="S63" s="327"/>
      <c r="T63" s="328"/>
      <c r="U63" s="450">
        <v>306.9395505382588</v>
      </c>
      <c r="V63" s="327">
        <v>245.67715340267173</v>
      </c>
      <c r="W63" s="328">
        <v>267.99725482830502</v>
      </c>
      <c r="X63" s="328">
        <v>229.71962754113133</v>
      </c>
      <c r="Y63" s="328">
        <v>344.00174228091697</v>
      </c>
      <c r="Z63" s="329">
        <v>447.79946518000003</v>
      </c>
      <c r="AA63" s="435">
        <f>+SUMIFS('Capex_FO input'!Q$46:Q$1268,'Capex_FO input'!$E$46:$E$1268,Capex_FO_AC!$C$60,'Capex_FO input'!$G$46:$G$1268,Capex_FO_AC!$D63)</f>
        <v>543.47395770729008</v>
      </c>
      <c r="AB63" s="436">
        <f>+SUMIFS('Capex_FO input'!R$46:R$1268,'Capex_FO input'!$E$46:$E$1268,Capex_FO_AC!$C$60,'Capex_FO input'!$G$46:$G$1268,Capex_FO_AC!$D63)</f>
        <v>519.87610226174218</v>
      </c>
      <c r="AC63" s="436">
        <f>+SUMIFS('Capex_FO input'!S$46:S$1268,'Capex_FO input'!$E$46:$E$1268,Capex_FO_AC!$C$60,'Capex_FO input'!$G$46:$G$1268,Capex_FO_AC!$D63)</f>
        <v>366.53343692641431</v>
      </c>
      <c r="AD63" s="436">
        <f>+SUMIFS('Capex_FO input'!T$46:T$1268,'Capex_FO input'!$E$46:$E$1268,Capex_FO_AC!$C$60,'Capex_FO input'!$G$46:$G$1268,Capex_FO_AC!$D63)</f>
        <v>373.68158429205062</v>
      </c>
      <c r="AE63" s="437">
        <f>+SUMIFS('Capex_FO input'!U$46:U$1268,'Capex_FO input'!$E$46:$E$1268,Capex_FO_AC!$C$60,'Capex_FO input'!$G$46:$G$1268,Capex_FO_AC!$D63)</f>
        <v>343.70528773488991</v>
      </c>
      <c r="AF63" s="435">
        <f>+SUMIFS('Capex_FO input'!V$46:V$1268,'Capex_FO input'!$E$46:$E$1268,Capex_FO_AC!$C$60,'Capex_FO input'!$G$46:$G$1268,Capex_FO_AC!$D63)</f>
        <v>441.12647189142518</v>
      </c>
      <c r="AG63" s="436">
        <f>+SUMIFS('Capex_FO input'!W$46:W$1268,'Capex_FO input'!$E$46:$E$1268,Capex_FO_AC!$C$60,'Capex_FO input'!$G$46:$G$1268,Capex_FO_AC!$D63)</f>
        <v>416.53144605810297</v>
      </c>
      <c r="AH63" s="436">
        <f>+SUMIFS('Capex_FO input'!X$46:X$1268,'Capex_FO input'!$E$46:$E$1268,Capex_FO_AC!$C$60,'Capex_FO input'!$G$46:$G$1268,Capex_FO_AC!$D63)</f>
        <v>418.0675078631308</v>
      </c>
      <c r="AI63" s="436">
        <f>+SUMIFS('Capex_FO input'!Y$46:Y$1268,'Capex_FO input'!$E$46:$E$1268,Capex_FO_AC!$C$60,'Capex_FO input'!$G$46:$G$1268,Capex_FO_AC!$D63)</f>
        <v>407.44163136405399</v>
      </c>
      <c r="AJ63" s="437">
        <f>+SUMIFS('Capex_FO input'!Z$46:Z$1268,'Capex_FO input'!$E$46:$E$1268,Capex_FO_AC!$C$60,'Capex_FO input'!$G$46:$G$1268,Capex_FO_AC!$D63)</f>
        <v>406.60316474080156</v>
      </c>
      <c r="AN63" s="842"/>
      <c r="AO63" s="842"/>
      <c r="AP63" s="842"/>
      <c r="AQ63" s="842"/>
      <c r="AR63" s="842"/>
      <c r="AS63" s="842"/>
      <c r="AT63" s="842"/>
      <c r="AU63" s="842"/>
      <c r="AV63" s="842"/>
      <c r="AW63" s="842"/>
      <c r="AX63" s="842"/>
      <c r="AY63" s="842"/>
      <c r="AZ63" s="842"/>
      <c r="BA63" s="842"/>
      <c r="BB63" s="842"/>
      <c r="BC63" s="842"/>
    </row>
    <row r="64" spans="3:55">
      <c r="D64" s="301" t="str">
        <f>+D57</f>
        <v>Corporate</v>
      </c>
      <c r="J64" s="293"/>
      <c r="K64" s="330"/>
      <c r="L64" s="331"/>
      <c r="M64" s="332"/>
      <c r="N64" s="330"/>
      <c r="O64" s="331"/>
      <c r="P64" s="331"/>
      <c r="Q64" s="331"/>
      <c r="R64" s="332"/>
      <c r="S64" s="330"/>
      <c r="T64" s="331"/>
      <c r="U64" s="451">
        <v>12.172520909333819</v>
      </c>
      <c r="V64" s="330">
        <v>11.054820673416069</v>
      </c>
      <c r="W64" s="331">
        <v>7.0308944724502513</v>
      </c>
      <c r="X64" s="331">
        <v>9.6905536382965085</v>
      </c>
      <c r="Y64" s="331">
        <v>17.265454900285199</v>
      </c>
      <c r="Z64" s="332">
        <v>15.671282116154</v>
      </c>
      <c r="AA64" s="438">
        <f>+SUMIFS('Capex_FO input'!Q$46:Q$1268,'Capex_FO input'!$E$46:$E$1268,Capex_FO_AC!$C$60,'Capex_FO input'!$G$46:$G$1268,Capex_FO_AC!$D64)</f>
        <v>12.205367674534298</v>
      </c>
      <c r="AB64" s="439">
        <f>+SUMIFS('Capex_FO input'!R$46:R$1268,'Capex_FO input'!$E$46:$E$1268,Capex_FO_AC!$C$60,'Capex_FO input'!$G$46:$G$1268,Capex_FO_AC!$D64)</f>
        <v>13.461232299947998</v>
      </c>
      <c r="AC64" s="439">
        <f>+SUMIFS('Capex_FO input'!S$46:S$1268,'Capex_FO input'!$E$46:$E$1268,Capex_FO_AC!$C$60,'Capex_FO input'!$G$46:$G$1268,Capex_FO_AC!$D64)</f>
        <v>11.737749533199446</v>
      </c>
      <c r="AD64" s="439">
        <f>+SUMIFS('Capex_FO input'!T$46:T$1268,'Capex_FO input'!$E$46:$E$1268,Capex_FO_AC!$C$60,'Capex_FO input'!$G$46:$G$1268,Capex_FO_AC!$D64)</f>
        <v>10.341691761980657</v>
      </c>
      <c r="AE64" s="440">
        <f>+SUMIFS('Capex_FO input'!U$46:U$1268,'Capex_FO input'!$E$46:$E$1268,Capex_FO_AC!$C$60,'Capex_FO input'!$G$46:$G$1268,Capex_FO_AC!$D64)</f>
        <v>9.4426626041172081</v>
      </c>
      <c r="AF64" s="438">
        <f>+SUMIFS('Capex_FO input'!V$46:V$1268,'Capex_FO input'!$E$46:$E$1268,Capex_FO_AC!$C$60,'Capex_FO input'!$G$46:$G$1268,Capex_FO_AC!$D64)</f>
        <v>8.7511598100895895</v>
      </c>
      <c r="AG64" s="439">
        <f>+SUMIFS('Capex_FO input'!W$46:W$1268,'Capex_FO input'!$E$46:$E$1268,Capex_FO_AC!$C$60,'Capex_FO input'!$G$46:$G$1268,Capex_FO_AC!$D64)</f>
        <v>9.0587387335457059</v>
      </c>
      <c r="AH64" s="439">
        <f>+SUMIFS('Capex_FO input'!X$46:X$1268,'Capex_FO input'!$E$46:$E$1268,Capex_FO_AC!$C$60,'Capex_FO input'!$G$46:$G$1268,Capex_FO_AC!$D64)</f>
        <v>9.5015764342868003</v>
      </c>
      <c r="AI64" s="439">
        <f>+SUMIFS('Capex_FO input'!Y$46:Y$1268,'Capex_FO input'!$E$46:$E$1268,Capex_FO_AC!$C$60,'Capex_FO input'!$G$46:$G$1268,Capex_FO_AC!$D64)</f>
        <v>9.1626275361883032</v>
      </c>
      <c r="AJ64" s="440">
        <f>+SUMIFS('Capex_FO input'!Z$46:Z$1268,'Capex_FO input'!$E$46:$E$1268,Capex_FO_AC!$C$60,'Capex_FO input'!$G$46:$G$1268,Capex_FO_AC!$D64)</f>
        <v>9.1588313423844188</v>
      </c>
      <c r="AN64" s="842"/>
      <c r="AO64" s="842"/>
      <c r="AP64" s="842"/>
      <c r="AQ64" s="842"/>
      <c r="AR64" s="842"/>
      <c r="AS64" s="842"/>
      <c r="AT64" s="842"/>
      <c r="AU64" s="842"/>
      <c r="AV64" s="842"/>
      <c r="AW64" s="842"/>
      <c r="AX64" s="842"/>
      <c r="AY64" s="842"/>
      <c r="AZ64" s="842"/>
      <c r="BA64" s="842"/>
      <c r="BB64" s="842"/>
      <c r="BC64" s="842"/>
    </row>
    <row r="65" spans="3:55">
      <c r="C65" s="298" t="str">
        <f>+CONCATENATE("Total ",C60)</f>
        <v>Total Waterways and Drainage</v>
      </c>
      <c r="J65" s="293"/>
      <c r="K65" s="270">
        <f t="shared" ref="K65:W65" si="39">+SUM(K61:K64)</f>
        <v>0</v>
      </c>
      <c r="L65" s="270">
        <f t="shared" si="39"/>
        <v>0</v>
      </c>
      <c r="M65" s="270">
        <f t="shared" si="39"/>
        <v>0</v>
      </c>
      <c r="N65" s="270">
        <f t="shared" si="39"/>
        <v>0</v>
      </c>
      <c r="O65" s="270">
        <f t="shared" si="39"/>
        <v>0</v>
      </c>
      <c r="P65" s="270">
        <f t="shared" si="39"/>
        <v>0</v>
      </c>
      <c r="Q65" s="270">
        <f t="shared" si="39"/>
        <v>0</v>
      </c>
      <c r="R65" s="296">
        <f t="shared" si="39"/>
        <v>0</v>
      </c>
      <c r="S65" s="296">
        <f t="shared" si="39"/>
        <v>0</v>
      </c>
      <c r="T65" s="296">
        <f t="shared" si="39"/>
        <v>0</v>
      </c>
      <c r="U65" s="296">
        <f t="shared" si="39"/>
        <v>319.1120714475926</v>
      </c>
      <c r="V65" s="296">
        <f t="shared" si="39"/>
        <v>256.73197407608779</v>
      </c>
      <c r="W65" s="296">
        <f t="shared" si="39"/>
        <v>275.02814930075527</v>
      </c>
      <c r="X65" s="296">
        <f>+SUM(X61:X64)</f>
        <v>239.41018117942784</v>
      </c>
      <c r="Y65" s="296">
        <f>+SUM(Y61:Y64)</f>
        <v>361.26719718120216</v>
      </c>
      <c r="Z65" s="296">
        <f>+SUM(Z61:Z64)</f>
        <v>463.470747296154</v>
      </c>
      <c r="AA65" s="296">
        <f t="shared" ref="AA65:AJ65" si="40">+SUM(AA61:AA64)</f>
        <v>555.67932538182436</v>
      </c>
      <c r="AB65" s="296">
        <f t="shared" si="40"/>
        <v>533.33733456169023</v>
      </c>
      <c r="AC65" s="296">
        <f t="shared" si="40"/>
        <v>378.27118645961377</v>
      </c>
      <c r="AD65" s="296">
        <f t="shared" si="40"/>
        <v>384.02327605403127</v>
      </c>
      <c r="AE65" s="296">
        <f t="shared" si="40"/>
        <v>353.14795033900714</v>
      </c>
      <c r="AF65" s="296">
        <f t="shared" si="40"/>
        <v>449.87763170151476</v>
      </c>
      <c r="AG65" s="296">
        <f t="shared" si="40"/>
        <v>425.59018479164865</v>
      </c>
      <c r="AH65" s="296">
        <f t="shared" si="40"/>
        <v>427.56908429741759</v>
      </c>
      <c r="AI65" s="296">
        <f t="shared" si="40"/>
        <v>416.60425890024231</v>
      </c>
      <c r="AJ65" s="296">
        <f t="shared" si="40"/>
        <v>415.76199608318598</v>
      </c>
      <c r="AN65" s="842"/>
      <c r="AO65" s="842"/>
      <c r="AP65" s="842"/>
      <c r="AQ65" s="842"/>
      <c r="AR65" s="842"/>
      <c r="AS65" s="842"/>
      <c r="AT65" s="842"/>
      <c r="AU65" s="842"/>
      <c r="AV65" s="842"/>
      <c r="AW65" s="842"/>
      <c r="AX65" s="842"/>
      <c r="AY65" s="842"/>
      <c r="AZ65" s="842"/>
      <c r="BA65" s="842"/>
      <c r="BB65" s="842"/>
      <c r="BC65" s="842"/>
    </row>
    <row r="66" spans="3:55">
      <c r="C66" s="307"/>
      <c r="J66" s="293"/>
      <c r="K66" s="270"/>
      <c r="L66" s="270"/>
      <c r="M66" s="270"/>
      <c r="N66" s="270"/>
      <c r="O66" s="270"/>
      <c r="P66" s="270"/>
      <c r="Q66" s="270"/>
      <c r="R66" s="270"/>
      <c r="S66" s="296"/>
      <c r="T66" s="296"/>
      <c r="U66" s="296"/>
      <c r="V66" s="296"/>
      <c r="W66" s="296"/>
      <c r="X66" s="296"/>
      <c r="Y66" s="296"/>
      <c r="Z66" s="1655">
        <f>SUM(V65:Z65)</f>
        <v>1595.908249033627</v>
      </c>
      <c r="AA66" s="296"/>
      <c r="AB66" s="296"/>
      <c r="AC66" s="296"/>
      <c r="AD66" s="296"/>
      <c r="AE66" s="1655">
        <f>SUM(AA65:AE65)</f>
        <v>2204.4590727961668</v>
      </c>
      <c r="AF66" s="296"/>
      <c r="AG66" s="296"/>
      <c r="AH66" s="296"/>
      <c r="AI66" s="296"/>
      <c r="AJ66" s="1655">
        <f>SUM(AF65:AJ65)</f>
        <v>2135.4031557740091</v>
      </c>
      <c r="AN66" s="842"/>
      <c r="AO66" s="842"/>
      <c r="AP66" s="842"/>
      <c r="AQ66" s="842"/>
      <c r="AR66" s="842"/>
      <c r="AS66" s="842"/>
      <c r="AT66" s="842"/>
      <c r="AU66" s="842"/>
      <c r="AV66" s="842"/>
      <c r="AW66" s="842"/>
      <c r="AX66" s="842"/>
      <c r="AY66" s="842"/>
      <c r="AZ66" s="842"/>
      <c r="BA66" s="842"/>
      <c r="BB66" s="842"/>
      <c r="BC66" s="842"/>
    </row>
    <row r="67" spans="3:55">
      <c r="C67" s="298" t="str">
        <f>E16</f>
        <v>Diversions</v>
      </c>
      <c r="J67" s="293"/>
      <c r="K67" s="270"/>
      <c r="L67" s="270"/>
      <c r="M67" s="270"/>
      <c r="N67" s="270"/>
      <c r="O67" s="270"/>
      <c r="P67" s="270"/>
      <c r="Q67" s="270"/>
      <c r="R67" s="270"/>
      <c r="S67" s="296"/>
      <c r="T67" s="296"/>
      <c r="U67" s="296"/>
      <c r="V67" s="296"/>
      <c r="W67" s="296"/>
      <c r="X67" s="296"/>
      <c r="Y67" s="296"/>
      <c r="Z67" s="296"/>
      <c r="AA67" s="296"/>
      <c r="AB67" s="296"/>
      <c r="AC67" s="296"/>
      <c r="AD67" s="296"/>
      <c r="AE67" s="296"/>
      <c r="AF67" s="296"/>
      <c r="AG67" s="296"/>
      <c r="AH67" s="296"/>
      <c r="AI67" s="296"/>
      <c r="AJ67" s="296"/>
      <c r="AN67" s="842"/>
      <c r="AO67" s="842"/>
      <c r="AP67" s="842"/>
      <c r="AQ67" s="842"/>
      <c r="AR67" s="842"/>
      <c r="AS67" s="842"/>
      <c r="AT67" s="842"/>
      <c r="AU67" s="842"/>
      <c r="AV67" s="842"/>
      <c r="AW67" s="842"/>
      <c r="AX67" s="842"/>
      <c r="AY67" s="842"/>
      <c r="AZ67" s="842"/>
      <c r="BA67" s="842"/>
      <c r="BB67" s="842"/>
      <c r="BC67" s="842"/>
    </row>
    <row r="68" spans="3:55">
      <c r="D68" s="301" t="str">
        <f>+D61</f>
        <v>Headworks</v>
      </c>
      <c r="J68" s="293"/>
      <c r="K68" s="324"/>
      <c r="L68" s="325"/>
      <c r="M68" s="326"/>
      <c r="N68" s="324"/>
      <c r="O68" s="325"/>
      <c r="P68" s="325"/>
      <c r="Q68" s="325"/>
      <c r="R68" s="326"/>
      <c r="S68" s="324"/>
      <c r="T68" s="325"/>
      <c r="U68" s="449"/>
      <c r="V68" s="324"/>
      <c r="W68" s="325"/>
      <c r="X68" s="325"/>
      <c r="Y68" s="325"/>
      <c r="Z68" s="326"/>
      <c r="AA68" s="432">
        <f>+SUMIFS('Capex_FO input'!Q$46:Q$1268,'Capex_FO input'!$E$46:$E$1268,Capex_FO_AC!$C$67,'Capex_FO input'!$G$46:$G$1268,Capex_FO_AC!$D68)</f>
        <v>0</v>
      </c>
      <c r="AB68" s="433">
        <f>+SUMIFS('Capex_FO input'!R$46:R$1268,'Capex_FO input'!$E$46:$E$1268,Capex_FO_AC!$C$67,'Capex_FO input'!$G$46:$G$1268,Capex_FO_AC!$D68)</f>
        <v>0</v>
      </c>
      <c r="AC68" s="433">
        <f>+SUMIFS('Capex_FO input'!S$46:S$1268,'Capex_FO input'!$E$46:$E$1268,Capex_FO_AC!$C$67,'Capex_FO input'!$G$46:$G$1268,Capex_FO_AC!$D68)</f>
        <v>0</v>
      </c>
      <c r="AD68" s="433">
        <f>+SUMIFS('Capex_FO input'!T$46:T$1268,'Capex_FO input'!$E$46:$E$1268,Capex_FO_AC!$C$67,'Capex_FO input'!$G$46:$G$1268,Capex_FO_AC!$D68)</f>
        <v>0</v>
      </c>
      <c r="AE68" s="434">
        <f>+SUMIFS('Capex_FO input'!U$46:U$1268,'Capex_FO input'!$E$46:$E$1268,Capex_FO_AC!$C$67,'Capex_FO input'!$G$46:$G$1268,Capex_FO_AC!$D68)</f>
        <v>0</v>
      </c>
      <c r="AF68" s="432">
        <f>+SUMIFS('Capex_FO input'!V$46:V$1268,'Capex_FO input'!$E$46:$E$1268,Capex_FO_AC!$C$67,'Capex_FO input'!$G$46:$G$1268,Capex_FO_AC!$D68)</f>
        <v>0</v>
      </c>
      <c r="AG68" s="433">
        <f>+SUMIFS('Capex_FO input'!W$46:W$1268,'Capex_FO input'!$E$46:$E$1268,Capex_FO_AC!$C$67,'Capex_FO input'!$G$46:$G$1268,Capex_FO_AC!$D68)</f>
        <v>0</v>
      </c>
      <c r="AH68" s="433">
        <f>+SUMIFS('Capex_FO input'!X$46:X$1268,'Capex_FO input'!$E$46:$E$1268,Capex_FO_AC!$C$67,'Capex_FO input'!$G$46:$G$1268,Capex_FO_AC!$D68)</f>
        <v>0</v>
      </c>
      <c r="AI68" s="433">
        <f>+SUMIFS('Capex_FO input'!Y$46:Y$1268,'Capex_FO input'!$E$46:$E$1268,Capex_FO_AC!$C$67,'Capex_FO input'!$G$46:$G$1268,Capex_FO_AC!$D68)</f>
        <v>0</v>
      </c>
      <c r="AJ68" s="434">
        <f>+SUMIFS('Capex_FO input'!Z$46:Z$1268,'Capex_FO input'!$E$46:$E$1268,Capex_FO_AC!$C$67,'Capex_FO input'!$G$46:$G$1268,Capex_FO_AC!$D68)</f>
        <v>0</v>
      </c>
      <c r="AN68" s="842"/>
      <c r="AO68" s="842"/>
      <c r="AP68" s="842"/>
      <c r="AQ68" s="842"/>
      <c r="AR68" s="842"/>
      <c r="AS68" s="842"/>
      <c r="AT68" s="842"/>
      <c r="AU68" s="842"/>
      <c r="AV68" s="842"/>
      <c r="AW68" s="842"/>
      <c r="AX68" s="842"/>
      <c r="AY68" s="842"/>
      <c r="AZ68" s="842"/>
      <c r="BA68" s="842"/>
      <c r="BB68" s="842"/>
      <c r="BC68" s="842"/>
    </row>
    <row r="69" spans="3:55">
      <c r="D69" s="301" t="str">
        <f>+D62</f>
        <v>Pipelines/network</v>
      </c>
      <c r="J69" s="293"/>
      <c r="K69" s="327"/>
      <c r="L69" s="328"/>
      <c r="M69" s="329"/>
      <c r="N69" s="327"/>
      <c r="O69" s="328"/>
      <c r="P69" s="328"/>
      <c r="Q69" s="328"/>
      <c r="R69" s="329"/>
      <c r="S69" s="327"/>
      <c r="T69" s="328"/>
      <c r="U69" s="450">
        <v>0.46644418731560888</v>
      </c>
      <c r="V69" s="327">
        <v>0.83045111582697206</v>
      </c>
      <c r="W69" s="328">
        <v>0.87602266067796575</v>
      </c>
      <c r="X69" s="328">
        <v>0.20945219552036198</v>
      </c>
      <c r="Y69" s="328">
        <v>0.5102891113318776</v>
      </c>
      <c r="Z69" s="329">
        <v>1.0902278000000001</v>
      </c>
      <c r="AA69" s="435">
        <f>+SUMIFS('Capex_FO input'!Q$46:Q$1268,'Capex_FO input'!$E$46:$E$1268,Capex_FO_AC!$C$67,'Capex_FO input'!$G$46:$G$1268,Capex_FO_AC!$D69)</f>
        <v>0.3902439024390244</v>
      </c>
      <c r="AB69" s="436">
        <f>+SUMIFS('Capex_FO input'!R$46:R$1268,'Capex_FO input'!$E$46:$E$1268,Capex_FO_AC!$C$67,'Capex_FO input'!$G$46:$G$1268,Capex_FO_AC!$D69)</f>
        <v>0.38072575847709705</v>
      </c>
      <c r="AC69" s="436">
        <f>+SUMIFS('Capex_FO input'!S$46:S$1268,'Capex_FO input'!$E$46:$E$1268,Capex_FO_AC!$C$67,'Capex_FO input'!$G$46:$G$1268,Capex_FO_AC!$D69)</f>
        <v>0.37143976436789955</v>
      </c>
      <c r="AD69" s="436">
        <f>+SUMIFS('Capex_FO input'!T$46:T$1268,'Capex_FO input'!$E$46:$E$1268,Capex_FO_AC!$C$67,'Capex_FO input'!$G$46:$G$1268,Capex_FO_AC!$D69)</f>
        <v>0.36238025791990203</v>
      </c>
      <c r="AE69" s="437">
        <f>+SUMIFS('Capex_FO input'!U$46:U$1268,'Capex_FO input'!$E$46:$E$1268,Capex_FO_AC!$C$67,'Capex_FO input'!$G$46:$G$1268,Capex_FO_AC!$D69)</f>
        <v>0.35354171504380694</v>
      </c>
      <c r="AF69" s="435">
        <f>+SUMIFS('Capex_FO input'!V$46:V$1268,'Capex_FO input'!$E$46:$E$1268,Capex_FO_AC!$C$67,'Capex_FO input'!$G$46:$G$1268,Capex_FO_AC!$D69)</f>
        <v>0.34491874638420195</v>
      </c>
      <c r="AG69" s="436">
        <f>+SUMIFS('Capex_FO input'!W$46:W$1268,'Capex_FO input'!$E$46:$E$1268,Capex_FO_AC!$C$67,'Capex_FO input'!$G$46:$G$1268,Capex_FO_AC!$D69)</f>
        <v>0.33650609403336773</v>
      </c>
      <c r="AH69" s="436">
        <f>+SUMIFS('Capex_FO input'!X$46:X$1268,'Capex_FO input'!$E$46:$E$1268,Capex_FO_AC!$C$67,'Capex_FO input'!$G$46:$G$1268,Capex_FO_AC!$D69)</f>
        <v>0.32829862832523693</v>
      </c>
      <c r="AI69" s="436">
        <f>+SUMIFS('Capex_FO input'!Y$46:Y$1268,'Capex_FO input'!$E$46:$E$1268,Capex_FO_AC!$C$67,'Capex_FO input'!$G$46:$G$1268,Capex_FO_AC!$D69)</f>
        <v>0.32029134470754822</v>
      </c>
      <c r="AJ69" s="437">
        <f>+SUMIFS('Capex_FO input'!Z$46:Z$1268,'Capex_FO input'!$E$46:$E$1268,Capex_FO_AC!$C$67,'Capex_FO input'!$G$46:$G$1268,Capex_FO_AC!$D69)</f>
        <v>0.15623968034514546</v>
      </c>
      <c r="AN69" s="842"/>
      <c r="AO69" s="842"/>
      <c r="AP69" s="842"/>
      <c r="AQ69" s="842"/>
      <c r="AR69" s="842"/>
      <c r="AS69" s="842"/>
      <c r="AT69" s="842"/>
      <c r="AU69" s="842"/>
      <c r="AV69" s="842"/>
      <c r="AW69" s="842"/>
      <c r="AX69" s="842"/>
      <c r="AY69" s="842"/>
      <c r="AZ69" s="842"/>
      <c r="BA69" s="842"/>
      <c r="BB69" s="842"/>
      <c r="BC69" s="842"/>
    </row>
    <row r="70" spans="3:55">
      <c r="D70" s="301" t="str">
        <f>+D63</f>
        <v>Treatment</v>
      </c>
      <c r="J70" s="293"/>
      <c r="K70" s="327"/>
      <c r="L70" s="328"/>
      <c r="M70" s="329"/>
      <c r="N70" s="327"/>
      <c r="O70" s="328"/>
      <c r="P70" s="328"/>
      <c r="Q70" s="328"/>
      <c r="R70" s="329"/>
      <c r="S70" s="327"/>
      <c r="T70" s="328"/>
      <c r="U70" s="450"/>
      <c r="V70" s="327"/>
      <c r="W70" s="328"/>
      <c r="X70" s="328"/>
      <c r="Y70" s="328"/>
      <c r="Z70" s="329"/>
      <c r="AA70" s="435">
        <f>+SUMIFS('Capex_FO input'!Q$46:Q$1268,'Capex_FO input'!$E$46:$E$1268,Capex_FO_AC!$C$67,'Capex_FO input'!$G$46:$G$1268,Capex_FO_AC!$D70)</f>
        <v>0</v>
      </c>
      <c r="AB70" s="436">
        <f>+SUMIFS('Capex_FO input'!R$46:R$1268,'Capex_FO input'!$E$46:$E$1268,Capex_FO_AC!$C$67,'Capex_FO input'!$G$46:$G$1268,Capex_FO_AC!$D70)</f>
        <v>0</v>
      </c>
      <c r="AC70" s="436">
        <f>+SUMIFS('Capex_FO input'!S$46:S$1268,'Capex_FO input'!$E$46:$E$1268,Capex_FO_AC!$C$67,'Capex_FO input'!$G$46:$G$1268,Capex_FO_AC!$D70)</f>
        <v>0</v>
      </c>
      <c r="AD70" s="436">
        <f>+SUMIFS('Capex_FO input'!T$46:T$1268,'Capex_FO input'!$E$46:$E$1268,Capex_FO_AC!$C$67,'Capex_FO input'!$G$46:$G$1268,Capex_FO_AC!$D70)</f>
        <v>0</v>
      </c>
      <c r="AE70" s="437">
        <f>+SUMIFS('Capex_FO input'!U$46:U$1268,'Capex_FO input'!$E$46:$E$1268,Capex_FO_AC!$C$67,'Capex_FO input'!$G$46:$G$1268,Capex_FO_AC!$D70)</f>
        <v>0</v>
      </c>
      <c r="AF70" s="435">
        <f>+SUMIFS('Capex_FO input'!V$46:V$1268,'Capex_FO input'!$E$46:$E$1268,Capex_FO_AC!$C$67,'Capex_FO input'!$G$46:$G$1268,Capex_FO_AC!$D70)</f>
        <v>0</v>
      </c>
      <c r="AG70" s="436">
        <f>+SUMIFS('Capex_FO input'!W$46:W$1268,'Capex_FO input'!$E$46:$E$1268,Capex_FO_AC!$C$67,'Capex_FO input'!$G$46:$G$1268,Capex_FO_AC!$D70)</f>
        <v>0</v>
      </c>
      <c r="AH70" s="436">
        <f>+SUMIFS('Capex_FO input'!X$46:X$1268,'Capex_FO input'!$E$46:$E$1268,Capex_FO_AC!$C$67,'Capex_FO input'!$G$46:$G$1268,Capex_FO_AC!$D70)</f>
        <v>0</v>
      </c>
      <c r="AI70" s="436">
        <f>+SUMIFS('Capex_FO input'!Y$46:Y$1268,'Capex_FO input'!$E$46:$E$1268,Capex_FO_AC!$C$67,'Capex_FO input'!$G$46:$G$1268,Capex_FO_AC!$D70)</f>
        <v>0</v>
      </c>
      <c r="AJ70" s="437">
        <f>+SUMIFS('Capex_FO input'!Z$46:Z$1268,'Capex_FO input'!$E$46:$E$1268,Capex_FO_AC!$C$67,'Capex_FO input'!$G$46:$G$1268,Capex_FO_AC!$D70)</f>
        <v>0</v>
      </c>
      <c r="AN70" s="842"/>
      <c r="AO70" s="842"/>
      <c r="AP70" s="842"/>
      <c r="AQ70" s="842"/>
      <c r="AR70" s="842"/>
      <c r="AS70" s="842"/>
      <c r="AT70" s="842"/>
      <c r="AU70" s="842"/>
      <c r="AV70" s="842"/>
      <c r="AW70" s="842"/>
      <c r="AX70" s="842"/>
      <c r="AY70" s="842"/>
      <c r="AZ70" s="842"/>
      <c r="BA70" s="842"/>
      <c r="BB70" s="842"/>
      <c r="BC70" s="842"/>
    </row>
    <row r="71" spans="3:55">
      <c r="D71" s="301" t="str">
        <f>+D64</f>
        <v>Corporate</v>
      </c>
      <c r="J71" s="293"/>
      <c r="K71" s="330"/>
      <c r="L71" s="331"/>
      <c r="M71" s="332"/>
      <c r="N71" s="330"/>
      <c r="O71" s="331"/>
      <c r="P71" s="331"/>
      <c r="Q71" s="331"/>
      <c r="R71" s="332"/>
      <c r="S71" s="330"/>
      <c r="T71" s="331"/>
      <c r="U71" s="451"/>
      <c r="V71" s="330"/>
      <c r="W71" s="331"/>
      <c r="X71" s="331"/>
      <c r="Y71" s="331"/>
      <c r="Z71" s="332"/>
      <c r="AA71" s="438">
        <f>+SUMIFS('Capex_FO input'!Q$46:Q$1268,'Capex_FO input'!$E$46:$E$1268,Capex_FO_AC!$C$67,'Capex_FO input'!$G$46:$G$1268,Capex_FO_AC!$D71)</f>
        <v>0</v>
      </c>
      <c r="AB71" s="439">
        <f>+SUMIFS('Capex_FO input'!R$46:R$1268,'Capex_FO input'!$E$46:$E$1268,Capex_FO_AC!$C$67,'Capex_FO input'!$G$46:$G$1268,Capex_FO_AC!$D71)</f>
        <v>0</v>
      </c>
      <c r="AC71" s="439">
        <f>+SUMIFS('Capex_FO input'!S$46:S$1268,'Capex_FO input'!$E$46:$E$1268,Capex_FO_AC!$C$67,'Capex_FO input'!$G$46:$G$1268,Capex_FO_AC!$D71)</f>
        <v>0</v>
      </c>
      <c r="AD71" s="439">
        <f>+SUMIFS('Capex_FO input'!T$46:T$1268,'Capex_FO input'!$E$46:$E$1268,Capex_FO_AC!$C$67,'Capex_FO input'!$G$46:$G$1268,Capex_FO_AC!$D71)</f>
        <v>0</v>
      </c>
      <c r="AE71" s="440">
        <f>+SUMIFS('Capex_FO input'!U$46:U$1268,'Capex_FO input'!$E$46:$E$1268,Capex_FO_AC!$C$67,'Capex_FO input'!$G$46:$G$1268,Capex_FO_AC!$D71)</f>
        <v>0</v>
      </c>
      <c r="AF71" s="438">
        <f>+SUMIFS('Capex_FO input'!V$46:V$1268,'Capex_FO input'!$E$46:$E$1268,Capex_FO_AC!$C$67,'Capex_FO input'!$G$46:$G$1268,Capex_FO_AC!$D71)</f>
        <v>0</v>
      </c>
      <c r="AG71" s="439">
        <f>+SUMIFS('Capex_FO input'!W$46:W$1268,'Capex_FO input'!$E$46:$E$1268,Capex_FO_AC!$C$67,'Capex_FO input'!$G$46:$G$1268,Capex_FO_AC!$D71)</f>
        <v>0</v>
      </c>
      <c r="AH71" s="439">
        <f>+SUMIFS('Capex_FO input'!X$46:X$1268,'Capex_FO input'!$E$46:$E$1268,Capex_FO_AC!$C$67,'Capex_FO input'!$G$46:$G$1268,Capex_FO_AC!$D71)</f>
        <v>0</v>
      </c>
      <c r="AI71" s="439">
        <f>+SUMIFS('Capex_FO input'!Y$46:Y$1268,'Capex_FO input'!$E$46:$E$1268,Capex_FO_AC!$C$67,'Capex_FO input'!$G$46:$G$1268,Capex_FO_AC!$D71)</f>
        <v>0</v>
      </c>
      <c r="AJ71" s="440">
        <f>+SUMIFS('Capex_FO input'!Z$46:Z$1268,'Capex_FO input'!$E$46:$E$1268,Capex_FO_AC!$C$67,'Capex_FO input'!$G$46:$G$1268,Capex_FO_AC!$D71)</f>
        <v>0</v>
      </c>
      <c r="AN71" s="842"/>
      <c r="AO71" s="842"/>
      <c r="AP71" s="842"/>
      <c r="AQ71" s="842"/>
      <c r="AR71" s="842"/>
      <c r="AS71" s="842"/>
      <c r="AT71" s="842"/>
      <c r="AU71" s="842"/>
      <c r="AV71" s="842"/>
      <c r="AW71" s="842"/>
      <c r="AX71" s="842"/>
      <c r="AY71" s="842"/>
      <c r="AZ71" s="842"/>
      <c r="BA71" s="842"/>
      <c r="BB71" s="842"/>
      <c r="BC71" s="842"/>
    </row>
    <row r="72" spans="3:55">
      <c r="C72" s="298" t="str">
        <f>+CONCATENATE("Total ",C67)</f>
        <v>Total Diversions</v>
      </c>
      <c r="J72" s="293"/>
      <c r="K72" s="270">
        <f t="shared" ref="K72:W72" si="41">+SUM(K68:K71)</f>
        <v>0</v>
      </c>
      <c r="L72" s="270">
        <f t="shared" si="41"/>
        <v>0</v>
      </c>
      <c r="M72" s="270">
        <f t="shared" si="41"/>
        <v>0</v>
      </c>
      <c r="N72" s="270">
        <f t="shared" si="41"/>
        <v>0</v>
      </c>
      <c r="O72" s="270">
        <f t="shared" si="41"/>
        <v>0</v>
      </c>
      <c r="P72" s="270">
        <f t="shared" si="41"/>
        <v>0</v>
      </c>
      <c r="Q72" s="270">
        <f t="shared" si="41"/>
        <v>0</v>
      </c>
      <c r="R72" s="296">
        <f t="shared" si="41"/>
        <v>0</v>
      </c>
      <c r="S72" s="296">
        <f t="shared" si="41"/>
        <v>0</v>
      </c>
      <c r="T72" s="296">
        <f t="shared" si="41"/>
        <v>0</v>
      </c>
      <c r="U72" s="296">
        <f t="shared" si="41"/>
        <v>0.46644418731560888</v>
      </c>
      <c r="V72" s="296">
        <f t="shared" si="41"/>
        <v>0.83045111582697206</v>
      </c>
      <c r="W72" s="296">
        <f t="shared" si="41"/>
        <v>0.87602266067796575</v>
      </c>
      <c r="X72" s="296">
        <f>+SUM(X68:X71)</f>
        <v>0.20945219552036198</v>
      </c>
      <c r="Y72" s="296">
        <f>+SUM(Y68:Y71)</f>
        <v>0.5102891113318776</v>
      </c>
      <c r="Z72" s="296">
        <f>+SUM(Z68:Z71)</f>
        <v>1.0902278000000001</v>
      </c>
      <c r="AA72" s="296">
        <f t="shared" ref="AA72:AJ72" si="42">+SUM(AA68:AA71)</f>
        <v>0.3902439024390244</v>
      </c>
      <c r="AB72" s="296">
        <f t="shared" si="42"/>
        <v>0.38072575847709705</v>
      </c>
      <c r="AC72" s="296">
        <f t="shared" si="42"/>
        <v>0.37143976436789955</v>
      </c>
      <c r="AD72" s="296">
        <f t="shared" si="42"/>
        <v>0.36238025791990203</v>
      </c>
      <c r="AE72" s="296">
        <f t="shared" si="42"/>
        <v>0.35354171504380694</v>
      </c>
      <c r="AF72" s="296">
        <f t="shared" si="42"/>
        <v>0.34491874638420195</v>
      </c>
      <c r="AG72" s="296">
        <f t="shared" si="42"/>
        <v>0.33650609403336773</v>
      </c>
      <c r="AH72" s="296">
        <f t="shared" si="42"/>
        <v>0.32829862832523693</v>
      </c>
      <c r="AI72" s="296">
        <f t="shared" si="42"/>
        <v>0.32029134470754822</v>
      </c>
      <c r="AJ72" s="296">
        <f t="shared" si="42"/>
        <v>0.15623968034514546</v>
      </c>
      <c r="AN72" s="842"/>
      <c r="AO72" s="842"/>
      <c r="AP72" s="842"/>
      <c r="AQ72" s="842"/>
      <c r="AR72" s="842"/>
      <c r="AS72" s="842"/>
      <c r="AT72" s="842"/>
      <c r="AU72" s="842"/>
      <c r="AV72" s="842"/>
      <c r="AW72" s="842"/>
      <c r="AX72" s="842"/>
      <c r="AY72" s="842"/>
      <c r="AZ72" s="842"/>
      <c r="BA72" s="842"/>
      <c r="BB72" s="842"/>
      <c r="BC72" s="842"/>
    </row>
    <row r="73" spans="3:55">
      <c r="C73" s="307"/>
      <c r="J73" s="270"/>
      <c r="K73" s="270"/>
      <c r="L73" s="270"/>
      <c r="M73" s="270"/>
      <c r="N73" s="296"/>
      <c r="O73" s="296"/>
      <c r="P73" s="296"/>
      <c r="Q73" s="296"/>
      <c r="R73" s="270"/>
      <c r="S73" s="296"/>
      <c r="T73" s="296"/>
      <c r="U73" s="296"/>
      <c r="V73" s="296"/>
      <c r="W73" s="296"/>
      <c r="X73" s="296"/>
      <c r="Y73" s="296"/>
      <c r="Z73" s="1655">
        <f>SUM(V72:Z72)</f>
        <v>3.5164428833571777</v>
      </c>
      <c r="AA73" s="296"/>
      <c r="AB73" s="296"/>
      <c r="AC73" s="296"/>
      <c r="AD73" s="296"/>
      <c r="AE73" s="1655">
        <f>SUM(AA72:AE72)</f>
        <v>1.8583313982477299</v>
      </c>
      <c r="AF73" s="296"/>
      <c r="AG73" s="296"/>
      <c r="AH73" s="296"/>
      <c r="AI73" s="296"/>
      <c r="AJ73" s="1655">
        <f>SUM(AF72:AJ72)</f>
        <v>1.4862544937955002</v>
      </c>
      <c r="AN73" s="842"/>
      <c r="AO73" s="842"/>
      <c r="AP73" s="842"/>
      <c r="AQ73" s="842"/>
      <c r="AR73" s="842"/>
      <c r="AS73" s="842"/>
      <c r="AT73" s="842"/>
      <c r="AU73" s="842"/>
      <c r="AV73" s="842"/>
      <c r="AW73" s="842"/>
      <c r="AX73" s="842"/>
      <c r="AY73" s="842"/>
      <c r="AZ73" s="842"/>
      <c r="BA73" s="842"/>
      <c r="BB73" s="842"/>
      <c r="BC73" s="842"/>
    </row>
    <row r="74" spans="3:55">
      <c r="C74" s="307"/>
      <c r="J74" s="270"/>
      <c r="K74" s="270"/>
      <c r="L74" s="270"/>
      <c r="M74" s="270"/>
      <c r="N74" s="296"/>
      <c r="O74" s="296"/>
      <c r="P74" s="296"/>
      <c r="Q74" s="296"/>
      <c r="R74" s="270"/>
      <c r="S74" s="296"/>
      <c r="T74" s="296"/>
      <c r="U74" s="296"/>
      <c r="V74" s="296"/>
      <c r="W74" s="296"/>
      <c r="X74" s="296"/>
      <c r="Y74" s="296"/>
      <c r="Z74" s="296"/>
      <c r="AA74" s="296"/>
      <c r="AB74" s="296"/>
      <c r="AN74" s="842"/>
      <c r="AO74" s="842"/>
      <c r="AP74" s="842"/>
      <c r="AQ74" s="842"/>
      <c r="AR74" s="842"/>
      <c r="AS74" s="842"/>
      <c r="AT74" s="842"/>
      <c r="AU74" s="842"/>
      <c r="AV74" s="842"/>
      <c r="AW74" s="842"/>
      <c r="AX74" s="842"/>
      <c r="AY74" s="842"/>
      <c r="AZ74" s="842"/>
      <c r="BA74" s="842"/>
      <c r="BB74" s="842"/>
      <c r="BC74" s="842"/>
    </row>
    <row r="75" spans="3:55">
      <c r="C75" s="356" t="s">
        <v>485</v>
      </c>
      <c r="K75" s="333"/>
      <c r="L75" s="334"/>
      <c r="M75" s="335"/>
      <c r="N75" s="333"/>
      <c r="O75" s="334"/>
      <c r="P75" s="334"/>
      <c r="Q75" s="334"/>
      <c r="R75" s="335"/>
      <c r="S75" s="333"/>
      <c r="T75" s="335"/>
      <c r="U75" s="336">
        <v>39.522471910112358</v>
      </c>
      <c r="V75" s="333">
        <v>24.480184262952481</v>
      </c>
      <c r="W75" s="334">
        <v>36.103751559430009</v>
      </c>
      <c r="X75" s="334">
        <v>54.504723216255655</v>
      </c>
      <c r="Y75" s="334">
        <v>65.979940791036981</v>
      </c>
      <c r="Z75" s="335">
        <v>75.920242215512587</v>
      </c>
      <c r="AA75" s="1411">
        <f>'Capex_FO input'!D30</f>
        <v>80.635863641761844</v>
      </c>
      <c r="AB75" s="1412">
        <f>'Capex_FO input'!E30</f>
        <v>112.3221039301982</v>
      </c>
      <c r="AC75" s="1412">
        <f>'Capex_FO input'!F30</f>
        <v>129.96682378290575</v>
      </c>
      <c r="AD75" s="1412">
        <f>'Capex_FO input'!G30</f>
        <v>140.29860512110415</v>
      </c>
      <c r="AE75" s="1413">
        <f>'Capex_FO input'!H30</f>
        <v>157.91655740021756</v>
      </c>
      <c r="AF75" s="1411">
        <f>'Capex_FO input'!I30</f>
        <v>175.94832753327148</v>
      </c>
      <c r="AG75" s="1412">
        <f>'Capex_FO input'!J30</f>
        <v>195.49751441483352</v>
      </c>
      <c r="AH75" s="1412">
        <f>'Capex_FO input'!K30</f>
        <v>215.22256214434148</v>
      </c>
      <c r="AI75" s="1412">
        <f>'Capex_FO input'!L30</f>
        <v>234.92707998494794</v>
      </c>
      <c r="AJ75" s="1413">
        <f>'Capex_FO input'!M30</f>
        <v>255.51406739517921</v>
      </c>
      <c r="AK75" s="860"/>
      <c r="AN75" s="842"/>
      <c r="AO75" s="842"/>
      <c r="AP75" s="842"/>
      <c r="AQ75" s="842"/>
      <c r="AR75" s="842"/>
      <c r="AS75" s="842"/>
      <c r="AT75" s="842"/>
      <c r="AU75" s="842"/>
      <c r="AV75" s="842"/>
      <c r="AW75" s="842"/>
      <c r="AX75" s="842"/>
      <c r="AY75" s="842"/>
      <c r="AZ75" s="842"/>
      <c r="BA75" s="842"/>
      <c r="BB75" s="842"/>
      <c r="BC75" s="842"/>
    </row>
    <row r="76" spans="3:55">
      <c r="C76" s="307"/>
      <c r="J76" s="270"/>
      <c r="K76" s="270"/>
      <c r="L76" s="270"/>
      <c r="M76" s="270"/>
      <c r="N76" s="296"/>
      <c r="O76" s="296"/>
      <c r="P76" s="296"/>
      <c r="Q76" s="296"/>
      <c r="R76" s="270"/>
      <c r="S76" s="296"/>
      <c r="T76" s="296"/>
      <c r="U76" s="296"/>
      <c r="V76" s="296"/>
      <c r="W76" s="296"/>
      <c r="X76" s="296"/>
      <c r="Y76" s="296"/>
      <c r="Z76" s="1655">
        <f>SUM(V75:Z75)</f>
        <v>256.98884204518771</v>
      </c>
      <c r="AA76" s="296"/>
      <c r="AB76" s="296"/>
      <c r="AC76" s="296"/>
      <c r="AD76" s="296"/>
      <c r="AE76" s="1655">
        <f>SUM(AA75:AE75)</f>
        <v>621.13995387618752</v>
      </c>
      <c r="AF76" s="296"/>
      <c r="AG76" s="296"/>
      <c r="AH76" s="296"/>
      <c r="AI76" s="296"/>
      <c r="AJ76" s="1655">
        <f>SUM(AF75:AJ75)</f>
        <v>1077.1095514725737</v>
      </c>
      <c r="AN76" s="842"/>
      <c r="AO76" s="842"/>
      <c r="AP76" s="842"/>
      <c r="AQ76" s="842"/>
      <c r="AR76" s="842"/>
      <c r="AS76" s="842"/>
      <c r="AT76" s="842"/>
      <c r="AU76" s="842"/>
      <c r="AV76" s="842"/>
      <c r="AW76" s="842"/>
      <c r="AX76" s="842"/>
      <c r="AY76" s="842"/>
      <c r="AZ76" s="842"/>
      <c r="BA76" s="842"/>
      <c r="BB76" s="842"/>
      <c r="BC76" s="842"/>
    </row>
    <row r="77" spans="3:55">
      <c r="C77" s="307"/>
      <c r="J77" s="270"/>
      <c r="K77" s="270"/>
      <c r="L77" s="270"/>
      <c r="M77" s="270"/>
      <c r="N77" s="296"/>
      <c r="O77" s="296"/>
      <c r="P77" s="296"/>
      <c r="Q77" s="296"/>
      <c r="R77" s="270"/>
      <c r="S77" s="296"/>
      <c r="T77" s="296"/>
      <c r="U77" s="296"/>
      <c r="V77" s="296"/>
      <c r="W77" s="296"/>
      <c r="X77" s="296"/>
      <c r="Y77" s="296"/>
      <c r="Z77" s="296"/>
      <c r="AA77" s="296"/>
      <c r="AB77" s="296"/>
      <c r="AN77" s="842"/>
      <c r="AO77" s="842"/>
      <c r="AP77" s="842"/>
      <c r="AQ77" s="842"/>
      <c r="AR77" s="842"/>
      <c r="AS77" s="842"/>
      <c r="AT77" s="842"/>
      <c r="AU77" s="842"/>
      <c r="AV77" s="842"/>
      <c r="AW77" s="842"/>
      <c r="AX77" s="842"/>
      <c r="AY77" s="842"/>
      <c r="AZ77" s="842"/>
      <c r="BA77" s="842"/>
      <c r="BB77" s="842"/>
      <c r="BC77" s="842"/>
    </row>
    <row r="78" spans="3:55">
      <c r="C78" s="441"/>
      <c r="D78" s="72"/>
      <c r="E78" s="72"/>
      <c r="F78" s="72"/>
      <c r="G78" s="72"/>
      <c r="H78" s="72"/>
      <c r="I78" s="72"/>
      <c r="J78" s="303"/>
      <c r="K78" s="303"/>
      <c r="L78" s="303"/>
      <c r="M78" s="303"/>
      <c r="N78" s="303"/>
      <c r="O78" s="303"/>
      <c r="P78" s="303"/>
      <c r="Q78" s="303"/>
      <c r="R78" s="303"/>
      <c r="S78" s="303"/>
      <c r="T78" s="303"/>
      <c r="U78" s="303"/>
      <c r="V78" s="303"/>
      <c r="W78" s="303"/>
      <c r="X78" s="303"/>
      <c r="Y78" s="303"/>
      <c r="Z78" s="303"/>
      <c r="AA78" s="303"/>
      <c r="AB78" s="303"/>
      <c r="AC78" s="303"/>
      <c r="AD78" s="303"/>
      <c r="AE78" s="303"/>
      <c r="AF78" s="303"/>
      <c r="AG78" s="303"/>
      <c r="AH78" s="303"/>
      <c r="AI78" s="303"/>
      <c r="AJ78" s="303"/>
      <c r="AK78" s="317"/>
      <c r="AN78" s="842"/>
      <c r="AO78" s="842"/>
      <c r="AP78" s="842"/>
      <c r="AQ78" s="842"/>
      <c r="AR78" s="842"/>
      <c r="AS78" s="842"/>
      <c r="AT78" s="842"/>
      <c r="AU78" s="842"/>
      <c r="AV78" s="842"/>
      <c r="AW78" s="842"/>
      <c r="AX78" s="842"/>
      <c r="AY78" s="842"/>
      <c r="AZ78" s="842"/>
      <c r="BA78" s="842"/>
      <c r="BB78" s="842"/>
      <c r="BC78" s="842"/>
    </row>
    <row r="79" spans="3:55">
      <c r="C79" s="138"/>
      <c r="D79" s="320" t="s">
        <v>780</v>
      </c>
      <c r="E79" s="67"/>
      <c r="F79" s="67"/>
      <c r="G79" s="67"/>
      <c r="H79" s="67"/>
      <c r="I79" s="67"/>
      <c r="J79" s="270"/>
      <c r="K79" s="270"/>
      <c r="L79" s="270"/>
      <c r="M79" s="270"/>
      <c r="N79" s="270"/>
      <c r="O79" s="270"/>
      <c r="P79" s="270"/>
      <c r="Q79" s="270"/>
      <c r="R79" s="270"/>
      <c r="S79" s="270"/>
      <c r="T79" s="270"/>
      <c r="U79" s="270"/>
      <c r="V79" s="270"/>
      <c r="W79" s="270"/>
      <c r="X79" s="270"/>
      <c r="Y79" s="270"/>
      <c r="Z79" s="270"/>
      <c r="AA79" s="270"/>
      <c r="AB79" s="270"/>
      <c r="AC79" s="270"/>
      <c r="AD79" s="270"/>
      <c r="AE79" s="270"/>
      <c r="AF79" s="270"/>
      <c r="AG79" s="270"/>
      <c r="AH79" s="270"/>
      <c r="AI79" s="270"/>
      <c r="AJ79" s="270"/>
      <c r="AK79" s="91"/>
      <c r="AN79" s="842"/>
      <c r="AO79" s="842"/>
      <c r="AP79" s="842"/>
      <c r="AQ79" s="842"/>
      <c r="AR79" s="842"/>
      <c r="AS79" s="842"/>
      <c r="AT79" s="842"/>
      <c r="AU79" s="842"/>
      <c r="AV79" s="842"/>
      <c r="AW79" s="842"/>
      <c r="AX79" s="842"/>
      <c r="AY79" s="842"/>
      <c r="AZ79" s="842"/>
      <c r="BA79" s="842"/>
      <c r="BB79" s="842"/>
      <c r="BC79" s="842"/>
    </row>
    <row r="80" spans="3:55">
      <c r="C80" s="138"/>
      <c r="D80" s="67"/>
      <c r="E80" s="67"/>
      <c r="F80" s="67"/>
      <c r="G80" s="67"/>
      <c r="H80" s="67"/>
      <c r="I80" s="67"/>
      <c r="J80" s="270"/>
      <c r="K80" s="270"/>
      <c r="L80" s="270"/>
      <c r="M80" s="270"/>
      <c r="N80" s="270"/>
      <c r="O80" s="270"/>
      <c r="P80" s="270"/>
      <c r="Q80" s="270"/>
      <c r="R80" s="270"/>
      <c r="S80" s="270"/>
      <c r="T80" s="270"/>
      <c r="U80" s="270"/>
      <c r="V80" s="270"/>
      <c r="W80" s="270"/>
      <c r="X80" s="270"/>
      <c r="Y80" s="270"/>
      <c r="Z80" s="270"/>
      <c r="AA80" s="270"/>
      <c r="AB80" s="270"/>
      <c r="AC80" s="270"/>
      <c r="AD80" s="270"/>
      <c r="AE80" s="270"/>
      <c r="AF80" s="270"/>
      <c r="AG80" s="270"/>
      <c r="AH80" s="270"/>
      <c r="AI80" s="270"/>
      <c r="AJ80" s="270"/>
      <c r="AK80" s="91"/>
      <c r="AN80" s="842"/>
      <c r="AO80" s="842"/>
      <c r="AP80" s="842"/>
      <c r="AQ80" s="842"/>
      <c r="AR80" s="842"/>
      <c r="AS80" s="842"/>
      <c r="AT80" s="842"/>
      <c r="AU80" s="842"/>
      <c r="AV80" s="842"/>
      <c r="AW80" s="842"/>
      <c r="AX80" s="842"/>
      <c r="AY80" s="842"/>
      <c r="AZ80" s="842"/>
      <c r="BA80" s="842"/>
      <c r="BB80" s="842"/>
      <c r="BC80" s="842"/>
    </row>
    <row r="81" spans="3:55">
      <c r="C81" s="138"/>
      <c r="D81" s="67"/>
      <c r="E81" s="442" t="s">
        <v>488</v>
      </c>
      <c r="F81" s="67"/>
      <c r="G81" s="67"/>
      <c r="H81" s="67"/>
      <c r="I81" s="67"/>
      <c r="J81" s="270"/>
      <c r="K81" s="270"/>
      <c r="L81" s="270"/>
      <c r="M81" s="270"/>
      <c r="N81" s="270"/>
      <c r="O81" s="270"/>
      <c r="P81" s="270"/>
      <c r="Q81" s="270"/>
      <c r="R81" s="270"/>
      <c r="S81" s="270"/>
      <c r="T81" s="270"/>
      <c r="U81" s="270"/>
      <c r="V81" s="270"/>
      <c r="W81" s="270"/>
      <c r="X81" s="270"/>
      <c r="Y81" s="270"/>
      <c r="Z81" s="270"/>
      <c r="AA81" s="270"/>
      <c r="AB81" s="270"/>
      <c r="AC81" s="270"/>
      <c r="AD81" s="270"/>
      <c r="AE81" s="270"/>
      <c r="AF81" s="270"/>
      <c r="AG81" s="270"/>
      <c r="AH81" s="270"/>
      <c r="AI81" s="270"/>
      <c r="AJ81" s="270"/>
      <c r="AK81" s="91"/>
      <c r="AN81" s="842"/>
      <c r="AO81" s="842"/>
      <c r="AP81" s="842"/>
      <c r="AQ81" s="842"/>
      <c r="AR81" s="842"/>
      <c r="AS81" s="842"/>
      <c r="AT81" s="842"/>
      <c r="AU81" s="842"/>
      <c r="AV81" s="842"/>
      <c r="AW81" s="842"/>
      <c r="AX81" s="842"/>
      <c r="AY81" s="842"/>
      <c r="AZ81" s="842"/>
      <c r="BA81" s="842"/>
      <c r="BB81" s="842"/>
      <c r="BC81" s="842"/>
    </row>
    <row r="82" spans="3:55">
      <c r="C82" s="138"/>
      <c r="D82" s="67"/>
      <c r="E82" s="443"/>
      <c r="F82" s="444" t="str">
        <f>C39</f>
        <v>Water</v>
      </c>
      <c r="G82" s="67"/>
      <c r="H82" s="67"/>
      <c r="I82" s="67"/>
      <c r="J82" s="270"/>
      <c r="K82" s="324"/>
      <c r="L82" s="325"/>
      <c r="M82" s="326"/>
      <c r="N82" s="324"/>
      <c r="O82" s="325"/>
      <c r="P82" s="325"/>
      <c r="Q82" s="325"/>
      <c r="R82" s="326"/>
      <c r="S82" s="324"/>
      <c r="T82" s="325"/>
      <c r="U82" s="449"/>
      <c r="V82" s="324"/>
      <c r="W82" s="325"/>
      <c r="X82" s="325"/>
      <c r="Y82" s="325"/>
      <c r="Z82" s="326"/>
      <c r="AA82" s="432">
        <f>+SUMIF('Capex_FO input'!$E$46:$E$1268,Capex_FO_AC!$F82,'Capex_FO input'!AB$46:AB$1268)</f>
        <v>0</v>
      </c>
      <c r="AB82" s="433">
        <f>+SUMIF('Capex_FO input'!$E$46:$E$1268,Capex_FO_AC!$F82,'Capex_FO input'!AC$46:AC$1268)</f>
        <v>0</v>
      </c>
      <c r="AC82" s="433">
        <f>+SUMIF('Capex_FO input'!$E$46:$E$1268,Capex_FO_AC!$F82,'Capex_FO input'!AD$46:AD$1268)</f>
        <v>0</v>
      </c>
      <c r="AD82" s="433">
        <f>+SUMIF('Capex_FO input'!$E$46:$E$1268,Capex_FO_AC!$F82,'Capex_FO input'!AE$46:AE$1268)</f>
        <v>0</v>
      </c>
      <c r="AE82" s="434">
        <f>+SUMIF('Capex_FO input'!$E$46:$E$1268,Capex_FO_AC!$F82,'Capex_FO input'!AF$46:AF$1268)</f>
        <v>0</v>
      </c>
      <c r="AF82" s="432">
        <f>+SUMIF('Capex_FO input'!$E$46:$E$1268,Capex_FO_AC!$F82,'Capex_FO input'!AG$46:AG$1268)</f>
        <v>0</v>
      </c>
      <c r="AG82" s="433">
        <f>+SUMIF('Capex_FO input'!$E$46:$E$1268,Capex_FO_AC!$F82,'Capex_FO input'!AH$46:AH$1268)</f>
        <v>0</v>
      </c>
      <c r="AH82" s="433">
        <f>+SUMIF('Capex_FO input'!$E$46:$E$1268,Capex_FO_AC!$F82,'Capex_FO input'!AI$46:AI$1268)</f>
        <v>0</v>
      </c>
      <c r="AI82" s="433">
        <f>+SUMIF('Capex_FO input'!$E$46:$E$1268,Capex_FO_AC!$F82,'Capex_FO input'!AJ$46:AJ$1268)</f>
        <v>0</v>
      </c>
      <c r="AJ82" s="434">
        <f>+SUMIF('Capex_FO input'!$E$46:$E$1268,Capex_FO_AC!$F82,'Capex_FO input'!AK$46:AK$1268)</f>
        <v>0</v>
      </c>
      <c r="AK82" s="91"/>
      <c r="AN82" s="842"/>
      <c r="AO82" s="842"/>
      <c r="AP82" s="842"/>
      <c r="AQ82" s="842"/>
      <c r="AR82" s="842"/>
      <c r="AS82" s="842"/>
      <c r="AT82" s="842"/>
      <c r="AU82" s="842"/>
      <c r="AV82" s="842"/>
      <c r="AW82" s="842"/>
      <c r="AX82" s="842"/>
      <c r="AY82" s="842"/>
      <c r="AZ82" s="842"/>
      <c r="BA82" s="842"/>
      <c r="BB82" s="842"/>
      <c r="BC82" s="842"/>
    </row>
    <row r="83" spans="3:55">
      <c r="C83" s="138"/>
      <c r="D83" s="67"/>
      <c r="E83" s="443"/>
      <c r="F83" s="444" t="str">
        <f>C46</f>
        <v>Sewerage</v>
      </c>
      <c r="G83" s="67"/>
      <c r="H83" s="67"/>
      <c r="I83" s="67"/>
      <c r="J83" s="270"/>
      <c r="K83" s="327"/>
      <c r="L83" s="328"/>
      <c r="M83" s="329"/>
      <c r="N83" s="327"/>
      <c r="O83" s="328"/>
      <c r="P83" s="328"/>
      <c r="Q83" s="328"/>
      <c r="R83" s="329"/>
      <c r="S83" s="327"/>
      <c r="T83" s="328"/>
      <c r="U83" s="450"/>
      <c r="V83" s="327"/>
      <c r="W83" s="328"/>
      <c r="X83" s="328"/>
      <c r="Y83" s="328"/>
      <c r="Z83" s="329"/>
      <c r="AA83" s="435">
        <f>+SUMIF('Capex_FO input'!$E$46:$E$1268,Capex_FO_AC!$F83,'Capex_FO input'!AB$46:AB$1268)</f>
        <v>0</v>
      </c>
      <c r="AB83" s="436">
        <f>+SUMIF('Capex_FO input'!$E$46:$E$1268,Capex_FO_AC!$F83,'Capex_FO input'!AC$46:AC$1268)</f>
        <v>0</v>
      </c>
      <c r="AC83" s="436">
        <f>+SUMIF('Capex_FO input'!$E$46:$E$1268,Capex_FO_AC!$F83,'Capex_FO input'!AD$46:AD$1268)</f>
        <v>0</v>
      </c>
      <c r="AD83" s="436">
        <f>+SUMIF('Capex_FO input'!$E$46:$E$1268,Capex_FO_AC!$F83,'Capex_FO input'!AE$46:AE$1268)</f>
        <v>0</v>
      </c>
      <c r="AE83" s="437">
        <f>+SUMIF('Capex_FO input'!$E$46:$E$1268,Capex_FO_AC!$F83,'Capex_FO input'!AF$46:AF$1268)</f>
        <v>0</v>
      </c>
      <c r="AF83" s="435">
        <f>+SUMIF('Capex_FO input'!$E$46:$E$1268,Capex_FO_AC!$F83,'Capex_FO input'!AG$46:AG$1268)</f>
        <v>0</v>
      </c>
      <c r="AG83" s="436">
        <f>+SUMIF('Capex_FO input'!$E$46:$E$1268,Capex_FO_AC!$F83,'Capex_FO input'!AH$46:AH$1268)</f>
        <v>0</v>
      </c>
      <c r="AH83" s="436">
        <f>+SUMIF('Capex_FO input'!$E$46:$E$1268,Capex_FO_AC!$F83,'Capex_FO input'!AI$46:AI$1268)</f>
        <v>0</v>
      </c>
      <c r="AI83" s="436">
        <f>+SUMIF('Capex_FO input'!$E$46:$E$1268,Capex_FO_AC!$F83,'Capex_FO input'!AJ$46:AJ$1268)</f>
        <v>0</v>
      </c>
      <c r="AJ83" s="437">
        <f>+SUMIF('Capex_FO input'!$E$46:$E$1268,Capex_FO_AC!$F83,'Capex_FO input'!AK$46:AK$1268)</f>
        <v>0</v>
      </c>
      <c r="AK83" s="91"/>
      <c r="AN83" s="842"/>
      <c r="AO83" s="842"/>
      <c r="AP83" s="842"/>
      <c r="AQ83" s="842"/>
      <c r="AR83" s="842"/>
      <c r="AS83" s="842"/>
      <c r="AT83" s="842"/>
      <c r="AU83" s="842"/>
      <c r="AV83" s="842"/>
      <c r="AW83" s="842"/>
      <c r="AX83" s="842"/>
      <c r="AY83" s="842"/>
      <c r="AZ83" s="842"/>
      <c r="BA83" s="842"/>
      <c r="BB83" s="842"/>
      <c r="BC83" s="842"/>
    </row>
    <row r="84" spans="3:55">
      <c r="C84" s="138"/>
      <c r="D84" s="67"/>
      <c r="E84" s="443"/>
      <c r="F84" s="444" t="str">
        <f>C53</f>
        <v>Recycled Water</v>
      </c>
      <c r="G84" s="67"/>
      <c r="H84" s="67"/>
      <c r="I84" s="67"/>
      <c r="J84" s="270"/>
      <c r="K84" s="327"/>
      <c r="L84" s="328"/>
      <c r="M84" s="329"/>
      <c r="N84" s="327"/>
      <c r="O84" s="328"/>
      <c r="P84" s="328"/>
      <c r="Q84" s="328"/>
      <c r="R84" s="329"/>
      <c r="S84" s="327"/>
      <c r="T84" s="328"/>
      <c r="U84" s="450"/>
      <c r="V84" s="327"/>
      <c r="W84" s="328"/>
      <c r="X84" s="328"/>
      <c r="Y84" s="328"/>
      <c r="Z84" s="329"/>
      <c r="AA84" s="435">
        <f>+SUMIF('Capex_FO input'!$E$46:$E$1268,Capex_FO_AC!$F84,'Capex_FO input'!AB$46:AB$1268)</f>
        <v>0</v>
      </c>
      <c r="AB84" s="436">
        <f>+SUMIF('Capex_FO input'!$E$46:$E$1268,Capex_FO_AC!$F84,'Capex_FO input'!AC$46:AC$1268)</f>
        <v>0</v>
      </c>
      <c r="AC84" s="436">
        <f>+SUMIF('Capex_FO input'!$E$46:$E$1268,Capex_FO_AC!$F84,'Capex_FO input'!AD$46:AD$1268)</f>
        <v>0</v>
      </c>
      <c r="AD84" s="436">
        <f>+SUMIF('Capex_FO input'!$E$46:$E$1268,Capex_FO_AC!$F84,'Capex_FO input'!AE$46:AE$1268)</f>
        <v>0</v>
      </c>
      <c r="AE84" s="437">
        <f>+SUMIF('Capex_FO input'!$E$46:$E$1268,Capex_FO_AC!$F84,'Capex_FO input'!AF$46:AF$1268)</f>
        <v>0</v>
      </c>
      <c r="AF84" s="435">
        <f>+SUMIF('Capex_FO input'!$E$46:$E$1268,Capex_FO_AC!$F84,'Capex_FO input'!AG$46:AG$1268)</f>
        <v>0</v>
      </c>
      <c r="AG84" s="436">
        <f>+SUMIF('Capex_FO input'!$E$46:$E$1268,Capex_FO_AC!$F84,'Capex_FO input'!AH$46:AH$1268)</f>
        <v>0</v>
      </c>
      <c r="AH84" s="436">
        <f>+SUMIF('Capex_FO input'!$E$46:$E$1268,Capex_FO_AC!$F84,'Capex_FO input'!AI$46:AI$1268)</f>
        <v>0</v>
      </c>
      <c r="AI84" s="436">
        <f>+SUMIF('Capex_FO input'!$E$46:$E$1268,Capex_FO_AC!$F84,'Capex_FO input'!AJ$46:AJ$1268)</f>
        <v>0</v>
      </c>
      <c r="AJ84" s="437">
        <f>+SUMIF('Capex_FO input'!$E$46:$E$1268,Capex_FO_AC!$F84,'Capex_FO input'!AK$46:AK$1268)</f>
        <v>0</v>
      </c>
      <c r="AK84" s="91"/>
      <c r="AN84" s="842"/>
      <c r="AO84" s="842"/>
      <c r="AP84" s="842"/>
      <c r="AQ84" s="842"/>
      <c r="AR84" s="842"/>
      <c r="AS84" s="842"/>
      <c r="AT84" s="842"/>
      <c r="AU84" s="842"/>
      <c r="AV84" s="842"/>
      <c r="AW84" s="842"/>
      <c r="AX84" s="842"/>
      <c r="AY84" s="842"/>
      <c r="AZ84" s="842"/>
      <c r="BA84" s="842"/>
      <c r="BB84" s="842"/>
      <c r="BC84" s="842"/>
    </row>
    <row r="85" spans="3:55">
      <c r="C85" s="138"/>
      <c r="D85" s="67"/>
      <c r="E85" s="443"/>
      <c r="F85" s="444" t="str">
        <f>C60</f>
        <v>Waterways and Drainage</v>
      </c>
      <c r="G85" s="67"/>
      <c r="H85" s="67"/>
      <c r="I85" s="67"/>
      <c r="J85" s="270"/>
      <c r="K85" s="327"/>
      <c r="L85" s="328"/>
      <c r="M85" s="329"/>
      <c r="N85" s="327"/>
      <c r="O85" s="328"/>
      <c r="P85" s="328"/>
      <c r="Q85" s="328"/>
      <c r="R85" s="329"/>
      <c r="S85" s="327"/>
      <c r="T85" s="328"/>
      <c r="U85" s="450"/>
      <c r="V85" s="327"/>
      <c r="W85" s="328"/>
      <c r="X85" s="328"/>
      <c r="Y85" s="328"/>
      <c r="Z85" s="329"/>
      <c r="AA85" s="435">
        <f>+SUMIF('Capex_FO input'!$E$46:$E$1268,Capex_FO_AC!$F85,'Capex_FO input'!AB$46:AB$1268)</f>
        <v>9.3121997121680415</v>
      </c>
      <c r="AB85" s="436">
        <f>+SUMIF('Capex_FO input'!$E$46:$E$1268,Capex_FO_AC!$F85,'Capex_FO input'!AC$46:AC$1268)</f>
        <v>14.957255803937155</v>
      </c>
      <c r="AC85" s="436">
        <f>+SUMIF('Capex_FO input'!$E$46:$E$1268,Capex_FO_AC!$F85,'Capex_FO input'!AD$46:AD$1268)</f>
        <v>2.3374750439277121E-2</v>
      </c>
      <c r="AD85" s="436">
        <f>+SUMIF('Capex_FO input'!$E$46:$E$1268,Capex_FO_AC!$F85,'Capex_FO input'!AE$46:AE$1268)</f>
        <v>1.5203089716603002E-2</v>
      </c>
      <c r="AE85" s="437">
        <f>+SUMIF('Capex_FO input'!$E$46:$E$1268,Capex_FO_AC!$F85,'Capex_FO input'!AF$46:AF$1268)</f>
        <v>0</v>
      </c>
      <c r="AF85" s="435">
        <f>+SUMIF('Capex_FO input'!$E$46:$E$1268,Capex_FO_AC!$F85,'Capex_FO input'!AG$46:AG$1268)</f>
        <v>0</v>
      </c>
      <c r="AG85" s="436">
        <f>+SUMIF('Capex_FO input'!$E$46:$E$1268,Capex_FO_AC!$F85,'Capex_FO input'!AH$46:AH$1268)</f>
        <v>0</v>
      </c>
      <c r="AH85" s="436">
        <f>+SUMIF('Capex_FO input'!$E$46:$E$1268,Capex_FO_AC!$F85,'Capex_FO input'!AI$46:AI$1268)</f>
        <v>0</v>
      </c>
      <c r="AI85" s="436">
        <f>+SUMIF('Capex_FO input'!$E$46:$E$1268,Capex_FO_AC!$F85,'Capex_FO input'!AJ$46:AJ$1268)</f>
        <v>0</v>
      </c>
      <c r="AJ85" s="437">
        <f>+SUMIF('Capex_FO input'!$E$46:$E$1268,Capex_FO_AC!$F85,'Capex_FO input'!AK$46:AK$1268)</f>
        <v>0</v>
      </c>
      <c r="AK85" s="91"/>
      <c r="AN85" s="842"/>
      <c r="AO85" s="842"/>
      <c r="AP85" s="842"/>
      <c r="AQ85" s="842"/>
      <c r="AR85" s="842"/>
      <c r="AS85" s="842"/>
      <c r="AT85" s="842"/>
      <c r="AU85" s="842"/>
      <c r="AV85" s="842"/>
      <c r="AW85" s="842"/>
      <c r="AX85" s="842"/>
      <c r="AY85" s="842"/>
      <c r="AZ85" s="842"/>
      <c r="BA85" s="842"/>
      <c r="BB85" s="842"/>
      <c r="BC85" s="842"/>
    </row>
    <row r="86" spans="3:55">
      <c r="C86" s="138"/>
      <c r="D86" s="67"/>
      <c r="E86" s="443"/>
      <c r="F86" s="444" t="str">
        <f>C67</f>
        <v>Diversions</v>
      </c>
      <c r="G86" s="67"/>
      <c r="H86" s="67"/>
      <c r="I86" s="67"/>
      <c r="J86" s="270"/>
      <c r="K86" s="330"/>
      <c r="L86" s="331"/>
      <c r="M86" s="332"/>
      <c r="N86" s="330"/>
      <c r="O86" s="331"/>
      <c r="P86" s="331"/>
      <c r="Q86" s="331"/>
      <c r="R86" s="332"/>
      <c r="S86" s="330"/>
      <c r="T86" s="331"/>
      <c r="U86" s="451"/>
      <c r="V86" s="330"/>
      <c r="W86" s="331"/>
      <c r="X86" s="331"/>
      <c r="Y86" s="331"/>
      <c r="Z86" s="332"/>
      <c r="AA86" s="438">
        <f>+SUMIF('Capex_FO input'!$E$46:$E$1268,Capex_FO_AC!$F86,'Capex_FO input'!AB$46:AB$1268)</f>
        <v>0</v>
      </c>
      <c r="AB86" s="439">
        <f>+SUMIF('Capex_FO input'!$E$46:$E$1268,Capex_FO_AC!$F86,'Capex_FO input'!AC$46:AC$1268)</f>
        <v>0</v>
      </c>
      <c r="AC86" s="439">
        <f>+SUMIF('Capex_FO input'!$E$46:$E$1268,Capex_FO_AC!$F86,'Capex_FO input'!AD$46:AD$1268)</f>
        <v>0</v>
      </c>
      <c r="AD86" s="439">
        <f>+SUMIF('Capex_FO input'!$E$46:$E$1268,Capex_FO_AC!$F86,'Capex_FO input'!AE$46:AE$1268)</f>
        <v>0</v>
      </c>
      <c r="AE86" s="440">
        <f>+SUMIF('Capex_FO input'!$E$46:$E$1268,Capex_FO_AC!$F86,'Capex_FO input'!AF$46:AF$1268)</f>
        <v>0</v>
      </c>
      <c r="AF86" s="438">
        <f>+SUMIF('Capex_FO input'!$E$46:$E$1268,Capex_FO_AC!$F86,'Capex_FO input'!AG$46:AG$1268)</f>
        <v>0</v>
      </c>
      <c r="AG86" s="439">
        <f>+SUMIF('Capex_FO input'!$E$46:$E$1268,Capex_FO_AC!$F86,'Capex_FO input'!AH$46:AH$1268)</f>
        <v>0</v>
      </c>
      <c r="AH86" s="439">
        <f>+SUMIF('Capex_FO input'!$E$46:$E$1268,Capex_FO_AC!$F86,'Capex_FO input'!AI$46:AI$1268)</f>
        <v>0</v>
      </c>
      <c r="AI86" s="439">
        <f>+SUMIF('Capex_FO input'!$E$46:$E$1268,Capex_FO_AC!$F86,'Capex_FO input'!AJ$46:AJ$1268)</f>
        <v>0</v>
      </c>
      <c r="AJ86" s="440">
        <f>+SUMIF('Capex_FO input'!$E$46:$E$1268,Capex_FO_AC!$F86,'Capex_FO input'!AK$46:AK$1268)</f>
        <v>0</v>
      </c>
      <c r="AK86" s="91"/>
      <c r="AN86" s="842"/>
      <c r="AO86" s="842"/>
      <c r="AP86" s="842"/>
      <c r="AQ86" s="842"/>
      <c r="AR86" s="842"/>
      <c r="AS86" s="842"/>
      <c r="AT86" s="842"/>
      <c r="AU86" s="842"/>
      <c r="AV86" s="842"/>
      <c r="AW86" s="842"/>
      <c r="AX86" s="842"/>
      <c r="AY86" s="842"/>
      <c r="AZ86" s="842"/>
      <c r="BA86" s="842"/>
      <c r="BB86" s="842"/>
      <c r="BC86" s="842"/>
    </row>
    <row r="87" spans="3:55">
      <c r="C87" s="138"/>
      <c r="D87" s="67"/>
      <c r="E87" s="442" t="str">
        <f>+CONCATENATE("Total ",E81)</f>
        <v>Total Government contributions</v>
      </c>
      <c r="F87" s="445"/>
      <c r="G87" s="67"/>
      <c r="H87" s="67"/>
      <c r="I87" s="67"/>
      <c r="J87" s="270"/>
      <c r="K87" s="270">
        <f>SUM(K82:K86)</f>
        <v>0</v>
      </c>
      <c r="L87" s="270">
        <f>SUM(L82:L86)</f>
        <v>0</v>
      </c>
      <c r="M87" s="270">
        <f>SUM(M82:M86)</f>
        <v>0</v>
      </c>
      <c r="N87" s="270">
        <f t="shared" ref="N87:Z87" si="43">+SUM(N82:N86)</f>
        <v>0</v>
      </c>
      <c r="O87" s="270">
        <f t="shared" si="43"/>
        <v>0</v>
      </c>
      <c r="P87" s="270">
        <f t="shared" si="43"/>
        <v>0</v>
      </c>
      <c r="Q87" s="270">
        <f t="shared" si="43"/>
        <v>0</v>
      </c>
      <c r="R87" s="270">
        <f t="shared" si="43"/>
        <v>0</v>
      </c>
      <c r="S87" s="270">
        <f t="shared" si="43"/>
        <v>0</v>
      </c>
      <c r="T87" s="270">
        <f t="shared" si="43"/>
        <v>0</v>
      </c>
      <c r="U87" s="270">
        <f t="shared" si="43"/>
        <v>0</v>
      </c>
      <c r="V87" s="270">
        <f t="shared" si="43"/>
        <v>0</v>
      </c>
      <c r="W87" s="270">
        <f t="shared" si="43"/>
        <v>0</v>
      </c>
      <c r="X87" s="270">
        <f>+SUM(X82:X86)</f>
        <v>0</v>
      </c>
      <c r="Y87" s="270">
        <f>+SUM(Y82:Y86)</f>
        <v>0</v>
      </c>
      <c r="Z87" s="270">
        <f t="shared" si="43"/>
        <v>0</v>
      </c>
      <c r="AA87" s="270">
        <f t="shared" ref="AA87:AJ87" si="44">+SUM(AA82:AA86)</f>
        <v>9.3121997121680415</v>
      </c>
      <c r="AB87" s="270">
        <f t="shared" si="44"/>
        <v>14.957255803937155</v>
      </c>
      <c r="AC87" s="270">
        <f t="shared" si="44"/>
        <v>2.3374750439277121E-2</v>
      </c>
      <c r="AD87" s="270">
        <f t="shared" si="44"/>
        <v>1.5203089716603002E-2</v>
      </c>
      <c r="AE87" s="270">
        <f t="shared" si="44"/>
        <v>0</v>
      </c>
      <c r="AF87" s="270">
        <f t="shared" si="44"/>
        <v>0</v>
      </c>
      <c r="AG87" s="270">
        <f t="shared" si="44"/>
        <v>0</v>
      </c>
      <c r="AH87" s="270">
        <f t="shared" si="44"/>
        <v>0</v>
      </c>
      <c r="AI87" s="270">
        <f t="shared" si="44"/>
        <v>0</v>
      </c>
      <c r="AJ87" s="270">
        <f t="shared" si="44"/>
        <v>0</v>
      </c>
      <c r="AK87" s="91"/>
      <c r="AN87" s="842"/>
      <c r="AO87" s="842"/>
      <c r="AP87" s="842"/>
      <c r="AQ87" s="842"/>
      <c r="AR87" s="842"/>
      <c r="AS87" s="842"/>
      <c r="AT87" s="842"/>
      <c r="AU87" s="842"/>
      <c r="AV87" s="842"/>
      <c r="AW87" s="842"/>
      <c r="AX87" s="842"/>
      <c r="AY87" s="842"/>
      <c r="AZ87" s="842"/>
      <c r="BA87" s="842"/>
      <c r="BB87" s="842"/>
      <c r="BC87" s="842"/>
    </row>
    <row r="88" spans="3:55">
      <c r="C88" s="138"/>
      <c r="D88" s="67"/>
      <c r="E88" s="67"/>
      <c r="F88" s="67"/>
      <c r="G88" s="67"/>
      <c r="H88" s="67"/>
      <c r="I88" s="67"/>
      <c r="J88" s="270"/>
      <c r="K88" s="270"/>
      <c r="L88" s="270"/>
      <c r="M88" s="270"/>
      <c r="N88" s="270"/>
      <c r="O88" s="270"/>
      <c r="P88" s="270"/>
      <c r="Q88" s="270"/>
      <c r="R88" s="270"/>
      <c r="S88" s="270"/>
      <c r="T88" s="270"/>
      <c r="U88" s="270"/>
      <c r="V88" s="270"/>
      <c r="W88" s="270"/>
      <c r="X88" s="270"/>
      <c r="Y88" s="270"/>
      <c r="Z88" s="1655">
        <f>SUM(V87:Z87)</f>
        <v>0</v>
      </c>
      <c r="AA88" s="296"/>
      <c r="AB88" s="296"/>
      <c r="AC88" s="296"/>
      <c r="AD88" s="296"/>
      <c r="AE88" s="1655">
        <f>SUM(AA87:AE87)</f>
        <v>24.308033356261078</v>
      </c>
      <c r="AF88" s="296"/>
      <c r="AG88" s="296"/>
      <c r="AH88" s="296"/>
      <c r="AI88" s="296"/>
      <c r="AJ88" s="1655">
        <f>SUM(AF87:AJ87)</f>
        <v>0</v>
      </c>
      <c r="AK88" s="91"/>
      <c r="AN88" s="842"/>
      <c r="AO88" s="842"/>
      <c r="AP88" s="842"/>
      <c r="AQ88" s="842"/>
      <c r="AR88" s="842"/>
      <c r="AS88" s="842"/>
      <c r="AT88" s="842"/>
      <c r="AU88" s="842"/>
      <c r="AV88" s="842"/>
      <c r="AW88" s="842"/>
      <c r="AX88" s="842"/>
      <c r="AY88" s="842"/>
      <c r="AZ88" s="842"/>
      <c r="BA88" s="842"/>
      <c r="BB88" s="842"/>
      <c r="BC88" s="842"/>
    </row>
    <row r="89" spans="3:55">
      <c r="C89" s="138"/>
      <c r="D89" s="67"/>
      <c r="E89" s="442" t="s">
        <v>489</v>
      </c>
      <c r="F89" s="67"/>
      <c r="G89" s="67"/>
      <c r="H89" s="67"/>
      <c r="I89" s="67"/>
      <c r="J89" s="270"/>
      <c r="K89" s="270"/>
      <c r="L89" s="270"/>
      <c r="M89" s="270"/>
      <c r="N89" s="270"/>
      <c r="O89" s="270"/>
      <c r="P89" s="270"/>
      <c r="Q89" s="270"/>
      <c r="R89" s="270"/>
      <c r="S89" s="270"/>
      <c r="T89" s="270"/>
      <c r="U89" s="270"/>
      <c r="V89" s="270"/>
      <c r="W89" s="270"/>
      <c r="X89" s="270"/>
      <c r="Y89" s="270"/>
      <c r="Z89" s="270"/>
      <c r="AA89" s="270"/>
      <c r="AB89" s="270"/>
      <c r="AC89" s="270"/>
      <c r="AD89" s="270"/>
      <c r="AE89" s="270"/>
      <c r="AF89" s="270"/>
      <c r="AG89" s="270"/>
      <c r="AH89" s="270"/>
      <c r="AI89" s="270"/>
      <c r="AJ89" s="270"/>
      <c r="AK89" s="91"/>
      <c r="AN89" s="842"/>
      <c r="AO89" s="842"/>
      <c r="AP89" s="842"/>
      <c r="AQ89" s="842"/>
      <c r="AR89" s="842"/>
      <c r="AS89" s="842"/>
      <c r="AT89" s="842"/>
      <c r="AU89" s="842"/>
      <c r="AV89" s="842"/>
      <c r="AW89" s="842"/>
      <c r="AX89" s="842"/>
      <c r="AY89" s="842"/>
      <c r="AZ89" s="842"/>
      <c r="BA89" s="842"/>
      <c r="BB89" s="842"/>
      <c r="BC89" s="842"/>
    </row>
    <row r="90" spans="3:55">
      <c r="C90" s="138"/>
      <c r="D90" s="67"/>
      <c r="E90" s="443"/>
      <c r="F90" s="444" t="str">
        <f>+F82</f>
        <v>Water</v>
      </c>
      <c r="G90" s="67"/>
      <c r="H90" s="67"/>
      <c r="I90" s="67"/>
      <c r="J90" s="270"/>
      <c r="K90" s="324"/>
      <c r="L90" s="325"/>
      <c r="M90" s="326"/>
      <c r="N90" s="324"/>
      <c r="O90" s="325"/>
      <c r="P90" s="325"/>
      <c r="Q90" s="325"/>
      <c r="R90" s="326"/>
      <c r="S90" s="324"/>
      <c r="T90" s="325"/>
      <c r="U90" s="449"/>
      <c r="V90" s="324"/>
      <c r="W90" s="325"/>
      <c r="X90" s="325"/>
      <c r="Y90" s="325"/>
      <c r="Z90" s="326"/>
      <c r="AA90" s="432">
        <f>+SUMIF('Capex_FO input'!$E$46:$E$1268,Capex_FO_AC!$F90,'Capex_FO input'!AM$46:AM$1268)</f>
        <v>0</v>
      </c>
      <c r="AB90" s="433">
        <f>+SUMIF('Capex_FO input'!$E$46:$E$1268,Capex_FO_AC!$F90,'Capex_FO input'!AN$46:AN$1268)</f>
        <v>0</v>
      </c>
      <c r="AC90" s="433">
        <f>+SUMIF('Capex_FO input'!$E$46:$E$1268,Capex_FO_AC!$F90,'Capex_FO input'!AO$46:AO$1268)</f>
        <v>0</v>
      </c>
      <c r="AD90" s="433">
        <f>+SUMIF('Capex_FO input'!$E$46:$E$1268,Capex_FO_AC!$F90,'Capex_FO input'!AP$46:AP$1268)</f>
        <v>0</v>
      </c>
      <c r="AE90" s="434">
        <f>+SUMIF('Capex_FO input'!$E$46:$E$1268,Capex_FO_AC!$F90,'Capex_FO input'!AQ$46:AQ$1268)</f>
        <v>0</v>
      </c>
      <c r="AF90" s="432">
        <f>+SUMIF('Capex_FO input'!$E$46:$E$1268,Capex_FO_AC!$F90,'Capex_FO input'!AR$46:AR$1268)</f>
        <v>0</v>
      </c>
      <c r="AG90" s="433">
        <f>+SUMIF('Capex_FO input'!$E$46:$E$1268,Capex_FO_AC!$F90,'Capex_FO input'!AS$46:AS$1268)</f>
        <v>0</v>
      </c>
      <c r="AH90" s="433">
        <f>+SUMIF('Capex_FO input'!$E$46:$E$1268,Capex_FO_AC!$F90,'Capex_FO input'!AT$46:AT$1268)</f>
        <v>0</v>
      </c>
      <c r="AI90" s="433">
        <f>+SUMIF('Capex_FO input'!$E$46:$E$1268,Capex_FO_AC!$F90,'Capex_FO input'!AU$46:AU$1268)</f>
        <v>0</v>
      </c>
      <c r="AJ90" s="434">
        <f>+SUMIF('Capex_FO input'!$E$46:$E$1268,Capex_FO_AC!$F90,'Capex_FO input'!AV$46:AV$1268)</f>
        <v>0</v>
      </c>
      <c r="AK90" s="91"/>
      <c r="AN90" s="842"/>
      <c r="AO90" s="842"/>
      <c r="AP90" s="842"/>
      <c r="AQ90" s="842"/>
      <c r="AR90" s="842"/>
      <c r="AS90" s="842"/>
      <c r="AT90" s="842"/>
      <c r="AU90" s="842"/>
      <c r="AV90" s="842"/>
      <c r="AW90" s="842"/>
      <c r="AX90" s="842"/>
      <c r="AY90" s="842"/>
      <c r="AZ90" s="842"/>
      <c r="BA90" s="842"/>
      <c r="BB90" s="842"/>
      <c r="BC90" s="842"/>
    </row>
    <row r="91" spans="3:55">
      <c r="C91" s="138"/>
      <c r="D91" s="67"/>
      <c r="E91" s="443"/>
      <c r="F91" s="444" t="str">
        <f>+F83</f>
        <v>Sewerage</v>
      </c>
      <c r="G91" s="67"/>
      <c r="H91" s="67"/>
      <c r="I91" s="67"/>
      <c r="J91" s="270"/>
      <c r="K91" s="327"/>
      <c r="L91" s="328"/>
      <c r="M91" s="329"/>
      <c r="N91" s="327"/>
      <c r="O91" s="328"/>
      <c r="P91" s="328"/>
      <c r="Q91" s="328"/>
      <c r="R91" s="329"/>
      <c r="S91" s="327"/>
      <c r="T91" s="328"/>
      <c r="U91" s="450"/>
      <c r="V91" s="327"/>
      <c r="W91" s="328"/>
      <c r="X91" s="328"/>
      <c r="Y91" s="328"/>
      <c r="Z91" s="329"/>
      <c r="AA91" s="435">
        <f>+SUMIF('Capex_FO input'!$E$46:$E$1268,Capex_FO_AC!$F91,'Capex_FO input'!AM$46:AM$1268)</f>
        <v>0</v>
      </c>
      <c r="AB91" s="436">
        <f>+SUMIF('Capex_FO input'!$E$46:$E$1268,Capex_FO_AC!$F91,'Capex_FO input'!AN$46:AN$1268)</f>
        <v>0</v>
      </c>
      <c r="AC91" s="436">
        <f>+SUMIF('Capex_FO input'!$E$46:$E$1268,Capex_FO_AC!$F91,'Capex_FO input'!AO$46:AO$1268)</f>
        <v>0</v>
      </c>
      <c r="AD91" s="436">
        <f>+SUMIF('Capex_FO input'!$E$46:$E$1268,Capex_FO_AC!$F91,'Capex_FO input'!AP$46:AP$1268)</f>
        <v>0</v>
      </c>
      <c r="AE91" s="437">
        <f>+SUMIF('Capex_FO input'!$E$46:$E$1268,Capex_FO_AC!$F91,'Capex_FO input'!AQ$46:AQ$1268)</f>
        <v>0</v>
      </c>
      <c r="AF91" s="435">
        <f>+SUMIF('Capex_FO input'!$E$46:$E$1268,Capex_FO_AC!$F91,'Capex_FO input'!AR$46:AR$1268)</f>
        <v>0</v>
      </c>
      <c r="AG91" s="436">
        <f>+SUMIF('Capex_FO input'!$E$46:$E$1268,Capex_FO_AC!$F91,'Capex_FO input'!AS$46:AS$1268)</f>
        <v>0</v>
      </c>
      <c r="AH91" s="436">
        <f>+SUMIF('Capex_FO input'!$E$46:$E$1268,Capex_FO_AC!$F91,'Capex_FO input'!AT$46:AT$1268)</f>
        <v>0</v>
      </c>
      <c r="AI91" s="436">
        <f>+SUMIF('Capex_FO input'!$E$46:$E$1268,Capex_FO_AC!$F91,'Capex_FO input'!AU$46:AU$1268)</f>
        <v>0</v>
      </c>
      <c r="AJ91" s="437">
        <f>+SUMIF('Capex_FO input'!$E$46:$E$1268,Capex_FO_AC!$F91,'Capex_FO input'!AV$46:AV$1268)</f>
        <v>0</v>
      </c>
      <c r="AK91" s="91"/>
      <c r="AN91" s="842"/>
      <c r="AO91" s="842"/>
      <c r="AP91" s="842"/>
      <c r="AQ91" s="842"/>
      <c r="AR91" s="842"/>
      <c r="AS91" s="842"/>
      <c r="AT91" s="842"/>
      <c r="AU91" s="842"/>
      <c r="AV91" s="842"/>
      <c r="AW91" s="842"/>
      <c r="AX91" s="842"/>
      <c r="AY91" s="842"/>
      <c r="AZ91" s="842"/>
      <c r="BA91" s="842"/>
      <c r="BB91" s="842"/>
      <c r="BC91" s="842"/>
    </row>
    <row r="92" spans="3:55">
      <c r="C92" s="138"/>
      <c r="D92" s="67"/>
      <c r="E92" s="443"/>
      <c r="F92" s="444" t="str">
        <f>+F84</f>
        <v>Recycled Water</v>
      </c>
      <c r="G92" s="67"/>
      <c r="H92" s="67"/>
      <c r="I92" s="67"/>
      <c r="J92" s="270"/>
      <c r="K92" s="327"/>
      <c r="L92" s="328"/>
      <c r="M92" s="329"/>
      <c r="N92" s="327"/>
      <c r="O92" s="328"/>
      <c r="P92" s="328"/>
      <c r="Q92" s="328"/>
      <c r="R92" s="329"/>
      <c r="S92" s="327"/>
      <c r="T92" s="328"/>
      <c r="U92" s="450"/>
      <c r="V92" s="327"/>
      <c r="W92" s="328"/>
      <c r="X92" s="328"/>
      <c r="Y92" s="328"/>
      <c r="Z92" s="329"/>
      <c r="AA92" s="435">
        <f>+SUMIF('Capex_FO input'!$E$46:$E$1268,Capex_FO_AC!$F92,'Capex_FO input'!AM$46:AM$1268)</f>
        <v>0</v>
      </c>
      <c r="AB92" s="436">
        <f>+SUMIF('Capex_FO input'!$E$46:$E$1268,Capex_FO_AC!$F92,'Capex_FO input'!AN$46:AN$1268)</f>
        <v>0</v>
      </c>
      <c r="AC92" s="436">
        <f>+SUMIF('Capex_FO input'!$E$46:$E$1268,Capex_FO_AC!$F92,'Capex_FO input'!AO$46:AO$1268)</f>
        <v>0</v>
      </c>
      <c r="AD92" s="436">
        <f>+SUMIF('Capex_FO input'!$E$46:$E$1268,Capex_FO_AC!$F92,'Capex_FO input'!AP$46:AP$1268)</f>
        <v>0</v>
      </c>
      <c r="AE92" s="437">
        <f>+SUMIF('Capex_FO input'!$E$46:$E$1268,Capex_FO_AC!$F92,'Capex_FO input'!AQ$46:AQ$1268)</f>
        <v>0</v>
      </c>
      <c r="AF92" s="435">
        <f>+SUMIF('Capex_FO input'!$E$46:$E$1268,Capex_FO_AC!$F92,'Capex_FO input'!AR$46:AR$1268)</f>
        <v>0</v>
      </c>
      <c r="AG92" s="436">
        <f>+SUMIF('Capex_FO input'!$E$46:$E$1268,Capex_FO_AC!$F92,'Capex_FO input'!AS$46:AS$1268)</f>
        <v>0</v>
      </c>
      <c r="AH92" s="436">
        <f>+SUMIF('Capex_FO input'!$E$46:$E$1268,Capex_FO_AC!$F92,'Capex_FO input'!AT$46:AT$1268)</f>
        <v>0</v>
      </c>
      <c r="AI92" s="436">
        <f>+SUMIF('Capex_FO input'!$E$46:$E$1268,Capex_FO_AC!$F92,'Capex_FO input'!AU$46:AU$1268)</f>
        <v>0</v>
      </c>
      <c r="AJ92" s="437">
        <f>+SUMIF('Capex_FO input'!$E$46:$E$1268,Capex_FO_AC!$F92,'Capex_FO input'!AV$46:AV$1268)</f>
        <v>0</v>
      </c>
      <c r="AK92" s="91"/>
      <c r="AN92" s="842"/>
      <c r="AO92" s="842"/>
      <c r="AP92" s="842"/>
      <c r="AQ92" s="842"/>
      <c r="AR92" s="842"/>
      <c r="AS92" s="842"/>
      <c r="AT92" s="842"/>
      <c r="AU92" s="842"/>
      <c r="AV92" s="842"/>
      <c r="AW92" s="842"/>
      <c r="AX92" s="842"/>
      <c r="AY92" s="842"/>
      <c r="AZ92" s="842"/>
      <c r="BA92" s="842"/>
      <c r="BB92" s="842"/>
      <c r="BC92" s="842"/>
    </row>
    <row r="93" spans="3:55">
      <c r="C93" s="138"/>
      <c r="D93" s="67"/>
      <c r="E93" s="443"/>
      <c r="F93" s="444" t="str">
        <f>+F85</f>
        <v>Waterways and Drainage</v>
      </c>
      <c r="G93" s="67"/>
      <c r="H93" s="67"/>
      <c r="I93" s="67"/>
      <c r="J93" s="270"/>
      <c r="K93" s="327"/>
      <c r="L93" s="328"/>
      <c r="M93" s="329"/>
      <c r="N93" s="327"/>
      <c r="O93" s="328"/>
      <c r="P93" s="328"/>
      <c r="Q93" s="328"/>
      <c r="R93" s="329"/>
      <c r="S93" s="327"/>
      <c r="T93" s="328"/>
      <c r="U93" s="450">
        <v>210.8960332453432</v>
      </c>
      <c r="V93" s="327">
        <v>230.07077214842749</v>
      </c>
      <c r="W93" s="328">
        <v>244.47369722033895</v>
      </c>
      <c r="X93" s="328">
        <v>229.85439754180234</v>
      </c>
      <c r="Y93" s="328">
        <v>222.79739963284294</v>
      </c>
      <c r="Z93" s="329">
        <v>244.65017134288519</v>
      </c>
      <c r="AA93" s="435">
        <f>+SUMIF('Capex_FO input'!$E$46:$E$1268,Capex_FO_AC!$F93,'Capex_FO input'!AM$46:AM$1268)</f>
        <v>256.68418674331554</v>
      </c>
      <c r="AB93" s="436">
        <f>+SUMIF('Capex_FO input'!$E$46:$E$1268,Capex_FO_AC!$F93,'Capex_FO input'!AN$46:AN$1268)</f>
        <v>265.82094960941134</v>
      </c>
      <c r="AC93" s="436">
        <f>+SUMIF('Capex_FO input'!$E$46:$E$1268,Capex_FO_AC!$F93,'Capex_FO input'!AO$46:AO$1268)</f>
        <v>266.89260337450156</v>
      </c>
      <c r="AD93" s="436">
        <f>+SUMIF('Capex_FO input'!$E$46:$E$1268,Capex_FO_AC!$F93,'Capex_FO input'!AP$46:AP$1268)</f>
        <v>265.83725314288654</v>
      </c>
      <c r="AE93" s="437">
        <f>+SUMIF('Capex_FO input'!$E$46:$E$1268,Capex_FO_AC!$F93,'Capex_FO input'!AQ$46:AQ$1268)</f>
        <v>261.75654907461649</v>
      </c>
      <c r="AF93" s="435">
        <f>+SUMIF('Capex_FO input'!$E$46:$E$1268,Capex_FO_AC!$F93,'Capex_FO input'!AR$46:AR$1268)</f>
        <v>266.29183409691552</v>
      </c>
      <c r="AG93" s="436">
        <f>+SUMIF('Capex_FO input'!$E$46:$E$1268,Capex_FO_AC!$F93,'Capex_FO input'!AS$46:AS$1268)</f>
        <v>259.09270600770168</v>
      </c>
      <c r="AH93" s="436">
        <f>+SUMIF('Capex_FO input'!$E$46:$E$1268,Capex_FO_AC!$F93,'Capex_FO input'!AT$46:AT$1268)</f>
        <v>250.01787257304056</v>
      </c>
      <c r="AI93" s="436">
        <f>+SUMIF('Capex_FO input'!$E$46:$E$1268,Capex_FO_AC!$F93,'Capex_FO input'!AU$46:AU$1268)</f>
        <v>241.27074037515396</v>
      </c>
      <c r="AJ93" s="437">
        <f>+SUMIF('Capex_FO input'!$E$46:$E$1268,Capex_FO_AC!$F93,'Capex_FO input'!AV$46:AV$1268)</f>
        <v>232.83938317900669</v>
      </c>
      <c r="AK93" s="91"/>
      <c r="AN93" s="842"/>
      <c r="AO93" s="842"/>
      <c r="AP93" s="842"/>
      <c r="AQ93" s="842"/>
      <c r="AR93" s="842"/>
      <c r="AS93" s="842"/>
      <c r="AT93" s="842"/>
      <c r="AU93" s="842"/>
      <c r="AV93" s="842"/>
      <c r="AW93" s="842"/>
      <c r="AX93" s="842"/>
      <c r="AY93" s="842"/>
      <c r="AZ93" s="842"/>
      <c r="BA93" s="842"/>
      <c r="BB93" s="842"/>
      <c r="BC93" s="842"/>
    </row>
    <row r="94" spans="3:55">
      <c r="C94" s="138"/>
      <c r="D94" s="67"/>
      <c r="E94" s="443"/>
      <c r="F94" s="444" t="str">
        <f>F86</f>
        <v>Diversions</v>
      </c>
      <c r="G94" s="67"/>
      <c r="H94" s="67"/>
      <c r="I94" s="67"/>
      <c r="J94" s="270"/>
      <c r="K94" s="330"/>
      <c r="L94" s="331"/>
      <c r="M94" s="332"/>
      <c r="N94" s="330"/>
      <c r="O94" s="331"/>
      <c r="P94" s="331"/>
      <c r="Q94" s="331"/>
      <c r="R94" s="332"/>
      <c r="S94" s="330"/>
      <c r="T94" s="331"/>
      <c r="U94" s="451"/>
      <c r="V94" s="330"/>
      <c r="W94" s="331"/>
      <c r="X94" s="331"/>
      <c r="Y94" s="331"/>
      <c r="Z94" s="332"/>
      <c r="AA94" s="438">
        <f>+SUMIF('Capex_FO input'!$E$46:$E$1268,Capex_FO_AC!$F94,'Capex_FO input'!AM$46:AM$1268)</f>
        <v>0</v>
      </c>
      <c r="AB94" s="439">
        <f>+SUMIF('Capex_FO input'!$E$46:$E$1268,Capex_FO_AC!$F94,'Capex_FO input'!AN$46:AN$1268)</f>
        <v>0</v>
      </c>
      <c r="AC94" s="439">
        <f>+SUMIF('Capex_FO input'!$E$46:$E$1268,Capex_FO_AC!$F94,'Capex_FO input'!AO$46:AO$1268)</f>
        <v>0</v>
      </c>
      <c r="AD94" s="439">
        <f>+SUMIF('Capex_FO input'!$E$46:$E$1268,Capex_FO_AC!$F94,'Capex_FO input'!AP$46:AP$1268)</f>
        <v>0</v>
      </c>
      <c r="AE94" s="440">
        <f>+SUMIF('Capex_FO input'!$E$46:$E$1268,Capex_FO_AC!$F94,'Capex_FO input'!AQ$46:AQ$1268)</f>
        <v>0</v>
      </c>
      <c r="AF94" s="438">
        <f>+SUMIF('Capex_FO input'!$E$46:$E$1268,Capex_FO_AC!$F94,'Capex_FO input'!AR$46:AR$1268)</f>
        <v>0</v>
      </c>
      <c r="AG94" s="439">
        <f>+SUMIF('Capex_FO input'!$E$46:$E$1268,Capex_FO_AC!$F94,'Capex_FO input'!AS$46:AS$1268)</f>
        <v>0</v>
      </c>
      <c r="AH94" s="439">
        <f>+SUMIF('Capex_FO input'!$E$46:$E$1268,Capex_FO_AC!$F94,'Capex_FO input'!AT$46:AT$1268)</f>
        <v>0</v>
      </c>
      <c r="AI94" s="439">
        <f>+SUMIF('Capex_FO input'!$E$46:$E$1268,Capex_FO_AC!$F94,'Capex_FO input'!AU$46:AU$1268)</f>
        <v>0</v>
      </c>
      <c r="AJ94" s="440">
        <f>+SUMIF('Capex_FO input'!$E$46:$E$1268,Capex_FO_AC!$F94,'Capex_FO input'!AV$46:AV$1268)</f>
        <v>0</v>
      </c>
      <c r="AK94" s="91"/>
      <c r="AN94" s="842"/>
      <c r="AO94" s="842"/>
      <c r="AP94" s="842"/>
      <c r="AQ94" s="842"/>
      <c r="AR94" s="842"/>
      <c r="AS94" s="842"/>
      <c r="AT94" s="842"/>
      <c r="AU94" s="842"/>
      <c r="AV94" s="842"/>
      <c r="AW94" s="842"/>
      <c r="AX94" s="842"/>
      <c r="AY94" s="842"/>
      <c r="AZ94" s="842"/>
      <c r="BA94" s="842"/>
      <c r="BB94" s="842"/>
      <c r="BC94" s="842"/>
    </row>
    <row r="95" spans="3:55">
      <c r="C95" s="138"/>
      <c r="D95" s="67"/>
      <c r="E95" s="442" t="str">
        <f>+CONCATENATE("Total ",E89)</f>
        <v>Total Customer contributions</v>
      </c>
      <c r="F95" s="67"/>
      <c r="G95" s="67"/>
      <c r="H95" s="67"/>
      <c r="I95" s="67"/>
      <c r="J95" s="270"/>
      <c r="K95" s="270">
        <f>SUM(K90:K94)</f>
        <v>0</v>
      </c>
      <c r="L95" s="270">
        <f>SUM(L90:L94)</f>
        <v>0</v>
      </c>
      <c r="M95" s="270">
        <f>SUM(M90:M94)</f>
        <v>0</v>
      </c>
      <c r="N95" s="270">
        <f t="shared" ref="N95:Z95" si="45">+SUM(N90:N94)</f>
        <v>0</v>
      </c>
      <c r="O95" s="270">
        <f t="shared" si="45"/>
        <v>0</v>
      </c>
      <c r="P95" s="270">
        <f t="shared" si="45"/>
        <v>0</v>
      </c>
      <c r="Q95" s="270">
        <f t="shared" si="45"/>
        <v>0</v>
      </c>
      <c r="R95" s="270">
        <f t="shared" si="45"/>
        <v>0</v>
      </c>
      <c r="S95" s="270">
        <f t="shared" si="45"/>
        <v>0</v>
      </c>
      <c r="T95" s="270">
        <f t="shared" si="45"/>
        <v>0</v>
      </c>
      <c r="U95" s="270">
        <f t="shared" si="45"/>
        <v>210.8960332453432</v>
      </c>
      <c r="V95" s="270">
        <f t="shared" si="45"/>
        <v>230.07077214842749</v>
      </c>
      <c r="W95" s="270">
        <f t="shared" si="45"/>
        <v>244.47369722033895</v>
      </c>
      <c r="X95" s="270">
        <f>+SUM(X90:X94)</f>
        <v>229.85439754180234</v>
      </c>
      <c r="Y95" s="270">
        <f>+SUM(Y90:Y94)</f>
        <v>222.79739963284294</v>
      </c>
      <c r="Z95" s="270">
        <f t="shared" si="45"/>
        <v>244.65017134288519</v>
      </c>
      <c r="AA95" s="270">
        <f t="shared" ref="AA95:AJ95" si="46">+SUM(AA90:AA94)</f>
        <v>256.68418674331554</v>
      </c>
      <c r="AB95" s="270">
        <f t="shared" si="46"/>
        <v>265.82094960941134</v>
      </c>
      <c r="AC95" s="270">
        <f t="shared" si="46"/>
        <v>266.89260337450156</v>
      </c>
      <c r="AD95" s="270">
        <f t="shared" si="46"/>
        <v>265.83725314288654</v>
      </c>
      <c r="AE95" s="270">
        <f t="shared" si="46"/>
        <v>261.75654907461649</v>
      </c>
      <c r="AF95" s="270">
        <f t="shared" si="46"/>
        <v>266.29183409691552</v>
      </c>
      <c r="AG95" s="270">
        <f t="shared" si="46"/>
        <v>259.09270600770168</v>
      </c>
      <c r="AH95" s="270">
        <f t="shared" si="46"/>
        <v>250.01787257304056</v>
      </c>
      <c r="AI95" s="270">
        <f t="shared" si="46"/>
        <v>241.27074037515396</v>
      </c>
      <c r="AJ95" s="270">
        <f t="shared" si="46"/>
        <v>232.83938317900669</v>
      </c>
      <c r="AK95" s="91"/>
      <c r="AN95" s="842"/>
      <c r="AO95" s="842"/>
      <c r="AP95" s="842"/>
      <c r="AQ95" s="842"/>
      <c r="AR95" s="842"/>
      <c r="AS95" s="842"/>
      <c r="AT95" s="842"/>
      <c r="AU95" s="842"/>
      <c r="AV95" s="842"/>
      <c r="AW95" s="842"/>
      <c r="AX95" s="842"/>
      <c r="AY95" s="842"/>
      <c r="AZ95" s="842"/>
      <c r="BA95" s="842"/>
      <c r="BB95" s="842"/>
      <c r="BC95" s="842"/>
    </row>
    <row r="96" spans="3:55">
      <c r="C96" s="138"/>
      <c r="D96" s="67"/>
      <c r="E96" s="442"/>
      <c r="F96" s="67"/>
      <c r="G96" s="67"/>
      <c r="H96" s="67"/>
      <c r="I96" s="67"/>
      <c r="J96" s="270"/>
      <c r="K96" s="270"/>
      <c r="L96" s="270"/>
      <c r="M96" s="270"/>
      <c r="N96" s="270"/>
      <c r="O96" s="270"/>
      <c r="P96" s="270"/>
      <c r="Q96" s="270"/>
      <c r="R96" s="270"/>
      <c r="S96" s="270"/>
      <c r="T96" s="270"/>
      <c r="U96" s="270"/>
      <c r="V96" s="270"/>
      <c r="W96" s="270"/>
      <c r="X96" s="270"/>
      <c r="Y96" s="270"/>
      <c r="Z96" s="1655">
        <f>SUM(V95:Z95)</f>
        <v>1171.8464378862968</v>
      </c>
      <c r="AA96" s="296"/>
      <c r="AB96" s="296"/>
      <c r="AC96" s="296"/>
      <c r="AD96" s="296"/>
      <c r="AE96" s="1655">
        <f>SUM(AA95:AE95)</f>
        <v>1316.9915419447314</v>
      </c>
      <c r="AF96" s="296"/>
      <c r="AG96" s="296"/>
      <c r="AH96" s="296"/>
      <c r="AI96" s="296"/>
      <c r="AJ96" s="1655">
        <f>SUM(AF95:AJ95)</f>
        <v>1249.5125362318183</v>
      </c>
      <c r="AK96" s="91"/>
      <c r="AN96" s="842"/>
      <c r="AO96" s="842"/>
      <c r="AP96" s="842"/>
      <c r="AQ96" s="842"/>
      <c r="AR96" s="842"/>
      <c r="AS96" s="842"/>
      <c r="AT96" s="842"/>
      <c r="AU96" s="842"/>
      <c r="AV96" s="842"/>
      <c r="AW96" s="842"/>
      <c r="AX96" s="842"/>
      <c r="AY96" s="842"/>
      <c r="AZ96" s="842"/>
      <c r="BA96" s="842"/>
      <c r="BB96" s="842"/>
      <c r="BC96" s="842"/>
    </row>
    <row r="97" spans="3:55">
      <c r="C97" s="446"/>
      <c r="D97" s="318"/>
      <c r="E97" s="318"/>
      <c r="F97" s="318"/>
      <c r="G97" s="318"/>
      <c r="H97" s="318"/>
      <c r="I97" s="318"/>
      <c r="J97" s="306"/>
      <c r="K97" s="306"/>
      <c r="L97" s="306"/>
      <c r="M97" s="306"/>
      <c r="N97" s="306"/>
      <c r="O97" s="306"/>
      <c r="P97" s="306"/>
      <c r="Q97" s="306"/>
      <c r="R97" s="306"/>
      <c r="S97" s="306"/>
      <c r="T97" s="306"/>
      <c r="U97" s="306"/>
      <c r="V97" s="306"/>
      <c r="W97" s="306"/>
      <c r="X97" s="306"/>
      <c r="Y97" s="306"/>
      <c r="Z97" s="306"/>
      <c r="AA97" s="306"/>
      <c r="AB97" s="306"/>
      <c r="AC97" s="306"/>
      <c r="AD97" s="306"/>
      <c r="AE97" s="306"/>
      <c r="AF97" s="306"/>
      <c r="AG97" s="306"/>
      <c r="AH97" s="306"/>
      <c r="AI97" s="306"/>
      <c r="AJ97" s="306"/>
      <c r="AK97" s="319"/>
      <c r="AN97" s="842"/>
      <c r="AO97" s="842"/>
      <c r="AP97" s="842"/>
      <c r="AQ97" s="842"/>
      <c r="AR97" s="842"/>
      <c r="AS97" s="842"/>
      <c r="AT97" s="842"/>
      <c r="AU97" s="842"/>
      <c r="AV97" s="842"/>
      <c r="AW97" s="842"/>
      <c r="AX97" s="842"/>
      <c r="AY97" s="842"/>
      <c r="AZ97" s="842"/>
      <c r="BA97" s="842"/>
      <c r="BB97" s="842"/>
      <c r="BC97" s="842"/>
    </row>
    <row r="98" spans="3:55">
      <c r="J98" s="431"/>
      <c r="K98" s="431"/>
      <c r="L98" s="431"/>
      <c r="M98" s="431"/>
      <c r="N98" s="293"/>
      <c r="O98" s="293"/>
      <c r="P98" s="293"/>
      <c r="Q98" s="293"/>
      <c r="R98" s="431"/>
      <c r="S98" s="431"/>
      <c r="T98" s="431"/>
      <c r="U98" s="431"/>
      <c r="V98" s="431"/>
      <c r="W98" s="431"/>
      <c r="X98" s="431"/>
      <c r="Y98" s="431"/>
      <c r="Z98" s="431"/>
      <c r="AA98" s="431"/>
      <c r="AB98" s="431"/>
      <c r="AC98" s="431"/>
      <c r="AN98" s="842"/>
      <c r="AO98" s="842"/>
      <c r="AP98" s="842"/>
      <c r="AQ98" s="842"/>
      <c r="AR98" s="842"/>
      <c r="AS98" s="842"/>
      <c r="AT98" s="842"/>
      <c r="AU98" s="842"/>
      <c r="AV98" s="842"/>
      <c r="AW98" s="842"/>
      <c r="AX98" s="842"/>
      <c r="AY98" s="842"/>
      <c r="AZ98" s="842"/>
      <c r="BA98" s="842"/>
      <c r="BB98" s="842"/>
      <c r="BC98" s="842"/>
    </row>
    <row r="99" spans="3:55">
      <c r="K99" s="431"/>
      <c r="L99" s="431"/>
      <c r="M99" s="431"/>
      <c r="N99" s="293"/>
      <c r="O99" s="293"/>
      <c r="P99" s="293"/>
      <c r="Q99" s="293"/>
      <c r="R99" s="431"/>
      <c r="S99" s="293"/>
      <c r="T99" s="293"/>
      <c r="U99" s="293"/>
      <c r="V99" s="293"/>
      <c r="W99" s="293"/>
      <c r="X99" s="293"/>
      <c r="Y99" s="293"/>
      <c r="Z99" s="293"/>
      <c r="AA99" s="293"/>
      <c r="AB99" s="293"/>
      <c r="AN99" s="842"/>
      <c r="AO99" s="842"/>
      <c r="AP99" s="842"/>
      <c r="AQ99" s="842"/>
      <c r="AR99" s="842"/>
      <c r="AS99" s="842"/>
      <c r="AT99" s="842"/>
      <c r="AU99" s="842"/>
      <c r="AV99" s="842"/>
      <c r="AW99" s="842"/>
      <c r="AX99" s="842"/>
      <c r="AY99" s="842"/>
      <c r="AZ99" s="842"/>
      <c r="BA99" s="842"/>
      <c r="BB99" s="842"/>
      <c r="BC99" s="842"/>
    </row>
    <row r="100" spans="3:55">
      <c r="C100" s="298" t="s">
        <v>272</v>
      </c>
      <c r="K100" s="333"/>
      <c r="L100" s="334"/>
      <c r="M100" s="335"/>
      <c r="N100" s="333"/>
      <c r="O100" s="334"/>
      <c r="P100" s="334"/>
      <c r="Q100" s="334"/>
      <c r="R100" s="335"/>
      <c r="S100" s="333"/>
      <c r="T100" s="334"/>
      <c r="U100" s="336">
        <v>46.438491152778724</v>
      </c>
      <c r="V100" s="333">
        <v>33.270578373256996</v>
      </c>
      <c r="W100" s="334">
        <v>11.629937299830507</v>
      </c>
      <c r="X100" s="334">
        <v>16.459277557850676</v>
      </c>
      <c r="Y100" s="334">
        <v>10.622503984497815</v>
      </c>
      <c r="Z100" s="335">
        <v>12</v>
      </c>
      <c r="AA100" s="333">
        <v>11.707317073170733</v>
      </c>
      <c r="AB100" s="334">
        <v>11.42177275431291</v>
      </c>
      <c r="AC100" s="334">
        <v>11.143192931036989</v>
      </c>
      <c r="AD100" s="334">
        <v>11.143192931036987</v>
      </c>
      <c r="AE100" s="335">
        <v>11.143192931036987</v>
      </c>
      <c r="AF100" s="333">
        <v>11.143192931036987</v>
      </c>
      <c r="AG100" s="334">
        <v>11.143192931036985</v>
      </c>
      <c r="AH100" s="334">
        <v>11.143192931036987</v>
      </c>
      <c r="AI100" s="334">
        <v>11.143192931036987</v>
      </c>
      <c r="AJ100" s="335">
        <v>11.143192931036985</v>
      </c>
      <c r="AN100" s="842"/>
      <c r="AO100" s="842"/>
      <c r="AP100" s="842"/>
      <c r="AQ100" s="842"/>
      <c r="AR100" s="842"/>
      <c r="AS100" s="842"/>
      <c r="AT100" s="842"/>
      <c r="AU100" s="842"/>
      <c r="AV100" s="842"/>
      <c r="AW100" s="842"/>
      <c r="AX100" s="842"/>
      <c r="AY100" s="842"/>
      <c r="AZ100" s="842"/>
      <c r="BA100" s="842"/>
      <c r="BB100" s="842"/>
      <c r="BC100" s="842"/>
    </row>
    <row r="101" spans="3:55">
      <c r="C101" s="307"/>
      <c r="K101" s="270"/>
      <c r="L101" s="270"/>
      <c r="M101" s="270"/>
      <c r="N101" s="296"/>
      <c r="O101" s="296"/>
      <c r="P101" s="296"/>
      <c r="Q101" s="296"/>
      <c r="R101" s="270"/>
      <c r="S101" s="296"/>
      <c r="T101" s="296"/>
      <c r="U101" s="296"/>
      <c r="V101" s="296"/>
      <c r="W101" s="296"/>
      <c r="X101" s="296"/>
      <c r="Y101" s="296"/>
      <c r="Z101" s="1655">
        <f>SUM(V100:Z100)</f>
        <v>83.982297215435992</v>
      </c>
      <c r="AA101" s="296"/>
      <c r="AB101" s="296"/>
      <c r="AC101" s="296"/>
      <c r="AD101" s="296"/>
      <c r="AE101" s="1655">
        <f>SUM(AA100:AE100)</f>
        <v>56.558668620594602</v>
      </c>
      <c r="AF101" s="296"/>
      <c r="AG101" s="296"/>
      <c r="AH101" s="296"/>
      <c r="AI101" s="296"/>
      <c r="AJ101" s="1655">
        <f>SUM(AF100:AJ100)</f>
        <v>55.715964655184926</v>
      </c>
      <c r="AN101" s="842"/>
      <c r="AO101" s="842"/>
      <c r="AP101" s="842"/>
      <c r="AQ101" s="842"/>
      <c r="AR101" s="842"/>
      <c r="AS101" s="842"/>
      <c r="AT101" s="842"/>
      <c r="AU101" s="842"/>
      <c r="AV101" s="842"/>
      <c r="AW101" s="842"/>
      <c r="AX101" s="842"/>
      <c r="AY101" s="842"/>
      <c r="AZ101" s="842"/>
      <c r="BA101" s="842"/>
      <c r="BB101" s="842"/>
      <c r="BC101" s="842"/>
    </row>
    <row r="102" spans="3:55">
      <c r="C102" s="298" t="s">
        <v>781</v>
      </c>
      <c r="K102" s="270"/>
      <c r="L102" s="270"/>
      <c r="M102" s="296"/>
      <c r="N102" s="296"/>
      <c r="O102" s="296"/>
      <c r="P102" s="296"/>
      <c r="Q102" s="296"/>
      <c r="R102" s="296"/>
      <c r="S102" s="296"/>
      <c r="T102" s="296"/>
      <c r="U102" s="296"/>
      <c r="V102" s="296"/>
      <c r="W102" s="296"/>
      <c r="X102" s="296"/>
      <c r="Y102" s="296"/>
      <c r="Z102" s="296"/>
      <c r="AA102" s="296"/>
      <c r="AB102" s="296"/>
      <c r="AN102" s="842"/>
      <c r="AO102" s="842"/>
      <c r="AP102" s="842"/>
      <c r="AQ102" s="842"/>
      <c r="AR102" s="842"/>
      <c r="AS102" s="842"/>
      <c r="AT102" s="842"/>
      <c r="AU102" s="842"/>
      <c r="AV102" s="842"/>
      <c r="AW102" s="842"/>
      <c r="AX102" s="842"/>
      <c r="AY102" s="842"/>
      <c r="AZ102" s="842"/>
      <c r="BA102" s="842"/>
      <c r="BB102" s="842"/>
      <c r="BC102" s="842"/>
    </row>
    <row r="103" spans="3:55">
      <c r="D103" s="301" t="s">
        <v>775</v>
      </c>
      <c r="K103" s="324"/>
      <c r="L103" s="325"/>
      <c r="M103" s="326"/>
      <c r="N103" s="324"/>
      <c r="O103" s="325"/>
      <c r="P103" s="325"/>
      <c r="Q103" s="325"/>
      <c r="R103" s="326"/>
      <c r="S103" s="324"/>
      <c r="T103" s="325"/>
      <c r="U103" s="449">
        <v>4.0797410681779471</v>
      </c>
      <c r="V103" s="324">
        <v>13.816323091221374</v>
      </c>
      <c r="W103" s="325">
        <v>4.7248043083050844</v>
      </c>
      <c r="X103" s="325">
        <v>2.6868357113800907</v>
      </c>
      <c r="Y103" s="325">
        <v>1.6683508132096068</v>
      </c>
      <c r="Z103" s="326">
        <v>2.545877468891403</v>
      </c>
      <c r="AA103" s="324">
        <v>7.6385603957206714</v>
      </c>
      <c r="AB103" s="325">
        <v>6.2144081054172808</v>
      </c>
      <c r="AC103" s="325">
        <v>5.617434759122248</v>
      </c>
      <c r="AD103" s="325">
        <v>5.617434759122248</v>
      </c>
      <c r="AE103" s="326">
        <v>4.168131235919085</v>
      </c>
      <c r="AF103" s="324">
        <v>4.168131235919085</v>
      </c>
      <c r="AG103" s="325">
        <v>4.168131235919085</v>
      </c>
      <c r="AH103" s="325">
        <v>4.168131235919085</v>
      </c>
      <c r="AI103" s="325">
        <v>4.168131235919085</v>
      </c>
      <c r="AJ103" s="326">
        <v>4.168131235919085</v>
      </c>
      <c r="AN103" s="842"/>
      <c r="AO103" s="842"/>
      <c r="AP103" s="842"/>
      <c r="AQ103" s="842"/>
      <c r="AR103" s="842"/>
      <c r="AS103" s="842"/>
      <c r="AT103" s="842"/>
      <c r="AU103" s="842"/>
      <c r="AV103" s="842"/>
      <c r="AW103" s="842"/>
      <c r="AX103" s="842"/>
      <c r="AY103" s="842"/>
      <c r="AZ103" s="842"/>
      <c r="BA103" s="842"/>
      <c r="BB103" s="842"/>
      <c r="BC103" s="842"/>
    </row>
    <row r="104" spans="3:55">
      <c r="D104" s="448" t="s">
        <v>776</v>
      </c>
      <c r="K104" s="330"/>
      <c r="L104" s="331"/>
      <c r="M104" s="332"/>
      <c r="N104" s="330"/>
      <c r="O104" s="331"/>
      <c r="P104" s="331"/>
      <c r="Q104" s="331"/>
      <c r="R104" s="332"/>
      <c r="S104" s="330"/>
      <c r="T104" s="331"/>
      <c r="U104" s="451"/>
      <c r="V104" s="330"/>
      <c r="W104" s="331"/>
      <c r="X104" s="331"/>
      <c r="Y104" s="331"/>
      <c r="Z104" s="332"/>
      <c r="AA104" s="330"/>
      <c r="AB104" s="331"/>
      <c r="AC104" s="331"/>
      <c r="AD104" s="331"/>
      <c r="AE104" s="332"/>
      <c r="AF104" s="330"/>
      <c r="AG104" s="331"/>
      <c r="AH104" s="331"/>
      <c r="AI104" s="331"/>
      <c r="AJ104" s="332"/>
      <c r="AN104" s="842"/>
      <c r="AO104" s="842"/>
      <c r="AP104" s="842"/>
      <c r="AQ104" s="842"/>
      <c r="AR104" s="842"/>
      <c r="AS104" s="842"/>
      <c r="AT104" s="842"/>
      <c r="AU104" s="842"/>
      <c r="AV104" s="842"/>
      <c r="AW104" s="842"/>
      <c r="AX104" s="842"/>
      <c r="AY104" s="842"/>
      <c r="AZ104" s="842"/>
      <c r="BA104" s="842"/>
      <c r="BB104" s="842"/>
      <c r="BC104" s="842"/>
    </row>
    <row r="105" spans="3:55">
      <c r="K105" s="270"/>
      <c r="L105" s="270"/>
      <c r="M105" s="270"/>
      <c r="N105" s="293"/>
      <c r="O105" s="293"/>
      <c r="P105" s="293"/>
      <c r="Q105" s="293"/>
      <c r="R105" s="431"/>
      <c r="S105" s="431"/>
      <c r="T105" s="431"/>
      <c r="U105" s="293">
        <f t="shared" ref="U105:Z105" si="47">SUM(U103:U104)</f>
        <v>4.0797410681779471</v>
      </c>
      <c r="V105" s="293">
        <f t="shared" si="47"/>
        <v>13.816323091221374</v>
      </c>
      <c r="W105" s="293">
        <f t="shared" si="47"/>
        <v>4.7248043083050844</v>
      </c>
      <c r="X105" s="293">
        <f t="shared" si="47"/>
        <v>2.6868357113800907</v>
      </c>
      <c r="Y105" s="293">
        <f t="shared" si="47"/>
        <v>1.6683508132096068</v>
      </c>
      <c r="Z105" s="293">
        <f t="shared" si="47"/>
        <v>2.545877468891403</v>
      </c>
      <c r="AA105" s="293">
        <f t="shared" ref="AA105:AJ105" si="48">SUM(AA103:AA104)</f>
        <v>7.6385603957206714</v>
      </c>
      <c r="AB105" s="293">
        <f t="shared" si="48"/>
        <v>6.2144081054172808</v>
      </c>
      <c r="AC105" s="293">
        <f t="shared" si="48"/>
        <v>5.617434759122248</v>
      </c>
      <c r="AD105" s="293">
        <f t="shared" si="48"/>
        <v>5.617434759122248</v>
      </c>
      <c r="AE105" s="293">
        <f t="shared" si="48"/>
        <v>4.168131235919085</v>
      </c>
      <c r="AF105" s="293">
        <f t="shared" si="48"/>
        <v>4.168131235919085</v>
      </c>
      <c r="AG105" s="293">
        <f t="shared" si="48"/>
        <v>4.168131235919085</v>
      </c>
      <c r="AH105" s="293">
        <f t="shared" si="48"/>
        <v>4.168131235919085</v>
      </c>
      <c r="AI105" s="293">
        <f t="shared" si="48"/>
        <v>4.168131235919085</v>
      </c>
      <c r="AJ105" s="293">
        <f t="shared" si="48"/>
        <v>4.168131235919085</v>
      </c>
    </row>
    <row r="106" spans="3:55">
      <c r="K106" s="67"/>
      <c r="L106" s="67"/>
      <c r="M106" s="67"/>
      <c r="R106" s="67"/>
      <c r="S106" s="431"/>
      <c r="T106" s="431"/>
      <c r="U106" s="431"/>
      <c r="V106" s="431"/>
      <c r="W106" s="431"/>
      <c r="X106" s="431"/>
      <c r="Y106" s="431"/>
      <c r="Z106" s="1655">
        <f>SUM(V105:Z105)</f>
        <v>25.442191393007562</v>
      </c>
      <c r="AA106" s="296"/>
      <c r="AB106" s="296"/>
      <c r="AC106" s="296"/>
      <c r="AD106" s="296"/>
      <c r="AE106" s="1655">
        <f>SUM(AA105:AE105)</f>
        <v>29.25596925530153</v>
      </c>
      <c r="AF106" s="296"/>
      <c r="AG106" s="296"/>
      <c r="AH106" s="296"/>
      <c r="AI106" s="296"/>
      <c r="AJ106" s="1655">
        <f>SUM(AF105:AJ105)</f>
        <v>20.840656179595424</v>
      </c>
    </row>
    <row r="108" spans="3:55">
      <c r="K108" s="196"/>
      <c r="L108" s="196"/>
      <c r="M108" s="196"/>
      <c r="R108" s="67"/>
    </row>
    <row r="109" spans="3:55">
      <c r="K109" s="196"/>
      <c r="L109" s="196"/>
      <c r="M109" s="196"/>
      <c r="R109" s="67"/>
    </row>
    <row r="110" spans="3:55">
      <c r="K110" s="196"/>
      <c r="L110" s="196"/>
      <c r="M110" s="196"/>
    </row>
    <row r="111" spans="3:55">
      <c r="K111" s="196"/>
      <c r="L111" s="196"/>
      <c r="M111" s="196"/>
    </row>
    <row r="112" spans="3:55">
      <c r="K112" s="196"/>
      <c r="L112" s="196"/>
      <c r="M112" s="196"/>
    </row>
    <row r="113" spans="11:13">
      <c r="K113" s="196"/>
      <c r="L113" s="196"/>
      <c r="M113" s="196"/>
    </row>
    <row r="114" spans="11:13">
      <c r="K114" s="196"/>
      <c r="L114" s="196"/>
      <c r="M114" s="196"/>
    </row>
    <row r="115" spans="11:13">
      <c r="K115" s="196"/>
      <c r="L115" s="196"/>
      <c r="M115" s="196"/>
    </row>
    <row r="116" spans="11:13">
      <c r="K116" s="196"/>
      <c r="L116" s="196"/>
      <c r="M116" s="196"/>
    </row>
    <row r="117" spans="11:13">
      <c r="K117" s="196"/>
      <c r="L117" s="196"/>
      <c r="M117" s="196"/>
    </row>
    <row r="118" spans="11:13">
      <c r="K118" s="196"/>
      <c r="L118" s="196"/>
      <c r="M118" s="196"/>
    </row>
    <row r="119" spans="11:13">
      <c r="K119" s="196"/>
      <c r="L119" s="196"/>
      <c r="M119" s="196"/>
    </row>
    <row r="120" spans="11:13">
      <c r="K120" s="196"/>
      <c r="L120" s="196"/>
      <c r="M120" s="196"/>
    </row>
  </sheetData>
  <mergeCells count="1">
    <mergeCell ref="B3:F3"/>
  </mergeCells>
  <phoneticPr fontId="0" type="noConversion"/>
  <conditionalFormatting sqref="AK37">
    <cfRule type="containsText" dxfId="80" priority="9" operator="containsText" text="FALSE">
      <formula>NOT(ISERROR(SEARCH("FALSE",AK37)))</formula>
    </cfRule>
  </conditionalFormatting>
  <conditionalFormatting sqref="Z37:AJ37">
    <cfRule type="containsText" dxfId="79" priority="7" operator="containsText" text="FALSE">
      <formula>NOT(ISERROR(SEARCH("FALSE",Z37)))</formula>
    </cfRule>
  </conditionalFormatting>
  <conditionalFormatting sqref="Z37:AJ37">
    <cfRule type="cellIs" dxfId="78" priority="6" operator="equal">
      <formula>0</formula>
    </cfRule>
  </conditionalFormatting>
  <conditionalFormatting sqref="AP24">
    <cfRule type="cellIs" dxfId="77" priority="5" operator="greaterThan">
      <formula>0.1</formula>
    </cfRule>
  </conditionalFormatting>
  <hyperlinks>
    <hyperlink ref="B3" location="HL_Home" tooltip="Go to Table of Contents" display="HL_Home" xr:uid="{00000000-0004-0000-0700-000000000000}"/>
  </hyperlinks>
  <pageMargins left="0.39370078740157499" right="0.39370078740157499" top="0.59055118110236249" bottom="0.98425196850393748" header="0" footer="0.31496062992125973"/>
  <pageSetup paperSize="9" scale="61" fitToHeight="2" orientation="landscape" r:id="rId1"/>
  <headerFooter alignWithMargins="0">
    <oddHeader>&amp;C&amp;"Calibri"&amp;14&amp;KFF0000 OFFICIAL&amp;1#_x000D_&amp;"Arial"&amp;8&amp;K000000&amp;"Arial"&amp;8&amp;K000000&amp;B&amp;"Arial"&amp;12&amp;Kff0000​‌OFFICIAL‌​</oddHeader>
    <oddFooter>&amp;C&amp;"Arial,Bold"&amp;8Sheet d.
Page &amp;P of &amp;N&amp;L&amp;"Arial,Bold"&amp;7&amp;F
&amp;A
Printed: &amp;T on &amp;D</oddFooter>
  </headerFooter>
  <rowBreaks count="1" manualBreakCount="1">
    <brk id="78" min="1"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134156" r:id="rId4" name="Option Button 12">
              <controlPr defaultSize="0" autoFill="0" autoLine="0" autoPict="0" altText="FD 2020/21's 25-26 Outlook">
                <anchor moveWithCells="1">
                  <from>
                    <xdr:col>38</xdr:col>
                    <xdr:colOff>76200</xdr:colOff>
                    <xdr:row>10</xdr:row>
                    <xdr:rowOff>85725</xdr:rowOff>
                  </from>
                  <to>
                    <xdr:col>40</xdr:col>
                    <xdr:colOff>238125</xdr:colOff>
                    <xdr:row>13</xdr:row>
                    <xdr:rowOff>9525</xdr:rowOff>
                  </to>
                </anchor>
              </controlPr>
            </control>
          </mc:Choice>
        </mc:AlternateContent>
        <mc:AlternateContent xmlns:mc="http://schemas.openxmlformats.org/markup-compatibility/2006">
          <mc:Choice Requires="x14">
            <control shapeId="134157" r:id="rId5" name="Option Button 13">
              <controlPr defaultSize="0" autoFill="0" autoLine="0" autoPict="0">
                <anchor moveWithCells="1">
                  <from>
                    <xdr:col>40</xdr:col>
                    <xdr:colOff>209550</xdr:colOff>
                    <xdr:row>10</xdr:row>
                    <xdr:rowOff>76200</xdr:rowOff>
                  </from>
                  <to>
                    <xdr:col>42</xdr:col>
                    <xdr:colOff>161925</xdr:colOff>
                    <xdr:row>13</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9">
    <pageSetUpPr autoPageBreaks="0"/>
  </sheetPr>
  <dimension ref="A1:BB86"/>
  <sheetViews>
    <sheetView showGridLines="0" zoomScaleNormal="100" workbookViewId="0">
      <pane ySplit="7" topLeftCell="A44" activePane="bottomLeft" state="frozen"/>
      <selection activeCell="L16" sqref="L16"/>
      <selection pane="bottomLeft" activeCell="G46" activeCellId="1" sqref="G56 G46"/>
    </sheetView>
  </sheetViews>
  <sheetFormatPr defaultColWidth="10.83203125" defaultRowHeight="12" outlineLevelRow="1" outlineLevelCol="1"/>
  <cols>
    <col min="1" max="1" width="5.5" style="63" customWidth="1"/>
    <col min="2" max="3" width="3.83203125" style="63" customWidth="1"/>
    <col min="4" max="4" width="17.83203125" style="63" customWidth="1"/>
    <col min="5" max="5" width="17.1640625" style="63" customWidth="1"/>
    <col min="6" max="9" width="11.83203125" style="63" customWidth="1"/>
    <col min="10" max="10" width="12.1640625" style="63" hidden="1" customWidth="1" outlineLevel="1"/>
    <col min="11" max="11" width="11.5" style="63" hidden="1" customWidth="1" outlineLevel="1"/>
    <col min="12" max="18" width="11.6640625" style="63" hidden="1" customWidth="1" outlineLevel="1"/>
    <col min="19" max="20" width="10.83203125" style="63" hidden="1" customWidth="1" outlineLevel="1"/>
    <col min="21" max="21" width="10.83203125" style="63" customWidth="1" collapsed="1"/>
    <col min="22" max="22" width="10.83203125" style="63" customWidth="1"/>
    <col min="23" max="23" width="11.6640625" style="63" customWidth="1"/>
    <col min="24" max="27" width="10.83203125" style="63" customWidth="1"/>
    <col min="28" max="28" width="11.6640625" style="63" customWidth="1"/>
    <col min="29" max="30" width="11.33203125" style="63" customWidth="1"/>
    <col min="31" max="36" width="10.83203125" style="63" customWidth="1"/>
    <col min="37" max="37" width="4.5" style="63" customWidth="1"/>
    <col min="38" max="16384" width="10.83203125" style="63"/>
  </cols>
  <sheetData>
    <row r="1" spans="1:54" ht="15">
      <c r="A1" s="139">
        <v>80</v>
      </c>
      <c r="B1" s="140" t="s">
        <v>782</v>
      </c>
    </row>
    <row r="2" spans="1:54" ht="12.75">
      <c r="A2" s="88"/>
      <c r="B2" s="142" t="str">
        <f>+Contents!H7</f>
        <v>Melbourne Water</v>
      </c>
      <c r="N2" s="196"/>
    </row>
    <row r="3" spans="1:54">
      <c r="A3" s="88"/>
      <c r="B3" s="2075" t="s">
        <v>138</v>
      </c>
      <c r="C3" s="2075"/>
      <c r="D3" s="2075"/>
      <c r="E3" s="2075"/>
      <c r="F3" s="2075"/>
      <c r="G3" s="146"/>
    </row>
    <row r="4" spans="1:54">
      <c r="A4" s="147"/>
      <c r="B4" s="65"/>
      <c r="C4" s="66"/>
      <c r="F4" s="57"/>
      <c r="K4" s="1208"/>
      <c r="L4" s="1209"/>
      <c r="M4" s="1210"/>
      <c r="N4" s="1208"/>
      <c r="O4" s="1211"/>
      <c r="P4" s="1209"/>
      <c r="Q4" s="1211"/>
      <c r="R4" s="1210"/>
      <c r="S4" s="1208"/>
      <c r="T4" s="1209"/>
      <c r="U4" s="1211"/>
      <c r="V4" s="1208"/>
      <c r="W4" s="1211"/>
      <c r="X4" s="1209" t="str">
        <f>Capex_FO_AC!X4</f>
        <v>FIFTH REG PERIOD</v>
      </c>
      <c r="Y4" s="1213"/>
      <c r="Z4" s="1210"/>
      <c r="AA4" s="1208"/>
      <c r="AB4" s="1211"/>
      <c r="AC4" s="1209" t="str">
        <f>Capex_FO_AC!AC4</f>
        <v>SIXTH REG PERIOD</v>
      </c>
      <c r="AD4" s="1211"/>
      <c r="AE4" s="1210"/>
      <c r="AF4" s="1287"/>
      <c r="AG4" s="721"/>
      <c r="AH4" s="1209" t="str">
        <f>Capex_FO_AC!AH4</f>
        <v>SEVENTH REG PERIOD</v>
      </c>
      <c r="AI4" s="721"/>
      <c r="AJ4" s="1207"/>
    </row>
    <row r="6" spans="1:54">
      <c r="B6" s="148"/>
      <c r="F6" s="149" t="s">
        <v>142</v>
      </c>
      <c r="K6" s="59">
        <v>2006</v>
      </c>
      <c r="L6" s="59"/>
      <c r="M6" s="59"/>
      <c r="N6" s="59"/>
      <c r="O6" s="59"/>
      <c r="P6" s="59"/>
      <c r="Q6" s="59"/>
      <c r="R6" s="59"/>
      <c r="S6" s="59"/>
      <c r="T6" s="59"/>
      <c r="U6" s="59">
        <v>2021</v>
      </c>
      <c r="V6" s="59">
        <v>2022</v>
      </c>
      <c r="W6" s="59">
        <v>2023</v>
      </c>
      <c r="X6" s="60">
        <v>2024</v>
      </c>
      <c r="Y6" s="60">
        <v>2025</v>
      </c>
      <c r="Z6" s="60">
        <v>2026</v>
      </c>
      <c r="AA6" s="60">
        <v>2027</v>
      </c>
      <c r="AB6" s="60">
        <v>2028</v>
      </c>
      <c r="AC6" s="60">
        <v>2029</v>
      </c>
      <c r="AD6" s="60">
        <v>2030</v>
      </c>
      <c r="AE6" s="60">
        <v>2031</v>
      </c>
      <c r="AF6" s="60">
        <v>2032</v>
      </c>
      <c r="AG6" s="60">
        <v>2033</v>
      </c>
      <c r="AH6" s="60">
        <v>2034</v>
      </c>
      <c r="AI6" s="60">
        <v>2035</v>
      </c>
      <c r="AJ6" s="60">
        <v>2036</v>
      </c>
    </row>
    <row r="7" spans="1:54">
      <c r="B7" s="63" t="str">
        <f>Expenditure_Detail!$B$6</f>
        <v>$m, 01/01/26</v>
      </c>
      <c r="C7" s="68"/>
      <c r="D7" s="68"/>
      <c r="E7" s="68"/>
      <c r="F7" s="151" t="s">
        <v>143</v>
      </c>
      <c r="G7" s="68"/>
      <c r="H7" s="68"/>
      <c r="I7" s="68"/>
      <c r="K7" s="61" t="str">
        <f>+CONCATENATE(K6-1,"-",RIGHT(K6,2))</f>
        <v>2005-06</v>
      </c>
      <c r="L7" s="61"/>
      <c r="M7" s="61"/>
      <c r="N7" s="61"/>
      <c r="O7" s="61"/>
      <c r="P7" s="61"/>
      <c r="Q7" s="61"/>
      <c r="R7" s="61"/>
      <c r="S7" s="61"/>
      <c r="T7" s="61"/>
      <c r="U7" s="61" t="str">
        <f t="shared" ref="U7:AJ7" si="0">+CONCATENATE(U6-1,"-",RIGHT(U6,2))</f>
        <v>2020-21</v>
      </c>
      <c r="V7" s="61" t="str">
        <f t="shared" si="0"/>
        <v>2021-22</v>
      </c>
      <c r="W7" s="61" t="str">
        <f t="shared" si="0"/>
        <v>2022-23</v>
      </c>
      <c r="X7" s="61" t="str">
        <f t="shared" si="0"/>
        <v>2023-24</v>
      </c>
      <c r="Y7" s="61" t="str">
        <f t="shared" si="0"/>
        <v>2024-25</v>
      </c>
      <c r="Z7" s="61" t="str">
        <f t="shared" si="0"/>
        <v>2025-26</v>
      </c>
      <c r="AA7" s="61" t="str">
        <f t="shared" si="0"/>
        <v>2026-27</v>
      </c>
      <c r="AB7" s="61" t="str">
        <f t="shared" si="0"/>
        <v>2027-28</v>
      </c>
      <c r="AC7" s="61" t="str">
        <f t="shared" si="0"/>
        <v>2028-29</v>
      </c>
      <c r="AD7" s="61" t="str">
        <f t="shared" si="0"/>
        <v>2029-30</v>
      </c>
      <c r="AE7" s="61" t="str">
        <f t="shared" si="0"/>
        <v>2030-31</v>
      </c>
      <c r="AF7" s="61" t="str">
        <f t="shared" si="0"/>
        <v>2031-32</v>
      </c>
      <c r="AG7" s="61" t="str">
        <f t="shared" si="0"/>
        <v>2032-33</v>
      </c>
      <c r="AH7" s="61" t="str">
        <f t="shared" si="0"/>
        <v>2033-34</v>
      </c>
      <c r="AI7" s="61" t="str">
        <f t="shared" si="0"/>
        <v>2034-35</v>
      </c>
      <c r="AJ7" s="61" t="str">
        <f t="shared" si="0"/>
        <v>2035-36</v>
      </c>
    </row>
    <row r="8" spans="1:54" ht="12.75" thickBot="1">
      <c r="N8" s="466"/>
      <c r="O8" s="466"/>
      <c r="P8" s="466"/>
      <c r="Q8" s="466"/>
      <c r="R8" s="466"/>
      <c r="S8" s="466"/>
      <c r="T8" s="466"/>
      <c r="U8" s="466"/>
      <c r="V8" s="466"/>
      <c r="W8" s="466"/>
      <c r="X8" s="466"/>
      <c r="Y8" s="466"/>
      <c r="Z8" s="466"/>
      <c r="AA8" s="466"/>
      <c r="AB8" s="466"/>
      <c r="AC8" s="466"/>
      <c r="AD8" s="466"/>
      <c r="AE8" s="466"/>
      <c r="AF8" s="466"/>
      <c r="AG8" s="466"/>
      <c r="AH8" s="466"/>
      <c r="AI8" s="466"/>
      <c r="AJ8" s="466"/>
    </row>
    <row r="9" spans="1:54">
      <c r="C9" s="152"/>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4"/>
    </row>
    <row r="10" spans="1:54">
      <c r="C10" s="155"/>
      <c r="D10" s="156" t="s">
        <v>783</v>
      </c>
      <c r="AK10" s="157"/>
    </row>
    <row r="11" spans="1:54">
      <c r="C11" s="155"/>
      <c r="K11" s="67"/>
      <c r="L11" s="67"/>
      <c r="M11" s="67"/>
      <c r="N11" s="67"/>
      <c r="O11" s="67"/>
      <c r="P11" s="67"/>
      <c r="Q11" s="67"/>
      <c r="AK11" s="157"/>
    </row>
    <row r="12" spans="1:54">
      <c r="C12" s="155"/>
      <c r="E12" s="63" t="s">
        <v>784</v>
      </c>
      <c r="K12" s="270"/>
      <c r="L12" s="270"/>
      <c r="M12" s="270"/>
      <c r="N12" s="270"/>
      <c r="O12" s="270"/>
      <c r="P12" s="270"/>
      <c r="Q12" s="270"/>
      <c r="U12" s="270">
        <f t="shared" ref="U12:AB12" si="1">+U24</f>
        <v>13681.353036332999</v>
      </c>
      <c r="V12" s="270">
        <f t="shared" si="1"/>
        <v>13974.996721133981</v>
      </c>
      <c r="W12" s="270">
        <f t="shared" si="1"/>
        <v>14252.112733443315</v>
      </c>
      <c r="X12" s="270">
        <f t="shared" si="1"/>
        <v>14629.706817244683</v>
      </c>
      <c r="Y12" s="270">
        <f t="shared" si="1"/>
        <v>15089.678563567777</v>
      </c>
      <c r="Z12" s="270">
        <f t="shared" si="1"/>
        <v>15621.166079286351</v>
      </c>
      <c r="AA12" s="270">
        <f t="shared" si="1"/>
        <v>15733.028038124707</v>
      </c>
      <c r="AB12" s="270">
        <f t="shared" ca="1" si="1"/>
        <v>16554.876473436609</v>
      </c>
      <c r="AC12" s="270">
        <f t="shared" ref="AC12:AJ12" ca="1" si="2">+AC24</f>
        <v>17481.722957370323</v>
      </c>
      <c r="AD12" s="270">
        <f t="shared" ca="1" si="2"/>
        <v>18439.565260998861</v>
      </c>
      <c r="AE12" s="270">
        <f t="shared" ca="1" si="2"/>
        <v>19441.831961511762</v>
      </c>
      <c r="AF12" s="270">
        <f t="shared" ca="1" si="2"/>
        <v>20390.875086484059</v>
      </c>
      <c r="AG12" s="270">
        <f t="shared" ca="1" si="2"/>
        <v>21537.369820147083</v>
      </c>
      <c r="AH12" s="270">
        <f t="shared" ca="1" si="2"/>
        <v>22727.911581394106</v>
      </c>
      <c r="AI12" s="270">
        <f t="shared" ca="1" si="2"/>
        <v>23725.607383012022</v>
      </c>
      <c r="AJ12" s="270">
        <f t="shared" ca="1" si="2"/>
        <v>24939.411854591519</v>
      </c>
      <c r="AK12" s="157"/>
      <c r="AM12" s="842"/>
      <c r="AN12" s="842"/>
      <c r="AO12" s="842"/>
      <c r="AP12" s="842"/>
      <c r="AQ12" s="842"/>
      <c r="AR12" s="842"/>
      <c r="AS12" s="842"/>
      <c r="AT12" s="842"/>
      <c r="AU12" s="842"/>
      <c r="AV12" s="842"/>
      <c r="AW12" s="842"/>
      <c r="AX12" s="842"/>
      <c r="AY12" s="842"/>
      <c r="AZ12" s="842"/>
      <c r="BA12" s="842"/>
      <c r="BB12" s="842"/>
    </row>
    <row r="13" spans="1:54">
      <c r="C13" s="155"/>
      <c r="E13" s="63" t="s">
        <v>785</v>
      </c>
      <c r="K13" s="270"/>
      <c r="L13" s="270"/>
      <c r="M13" s="270"/>
      <c r="N13" s="270"/>
      <c r="O13" s="270"/>
      <c r="P13" s="270"/>
      <c r="Q13" s="270"/>
      <c r="U13" s="270">
        <f t="shared" ref="U13:AB13" si="3">+U30</f>
        <v>13974.996721133981</v>
      </c>
      <c r="V13" s="270">
        <f t="shared" si="3"/>
        <v>14252.112733443315</v>
      </c>
      <c r="W13" s="270">
        <f t="shared" si="3"/>
        <v>14629.706817244683</v>
      </c>
      <c r="X13" s="270">
        <f t="shared" si="3"/>
        <v>15089.678563567777</v>
      </c>
      <c r="Y13" s="270">
        <f t="shared" si="3"/>
        <v>15621.166079286351</v>
      </c>
      <c r="Z13" s="270">
        <f t="shared" si="3"/>
        <v>15733.028038124707</v>
      </c>
      <c r="AA13" s="270">
        <f t="shared" ca="1" si="3"/>
        <v>16554.876473436609</v>
      </c>
      <c r="AB13" s="270">
        <f t="shared" ca="1" si="3"/>
        <v>17481.722957370323</v>
      </c>
      <c r="AC13" s="270">
        <f t="shared" ref="AC13:AJ13" ca="1" si="4">+AC30</f>
        <v>18439.565260998861</v>
      </c>
      <c r="AD13" s="270">
        <f t="shared" ca="1" si="4"/>
        <v>19441.831961511762</v>
      </c>
      <c r="AE13" s="270">
        <f t="shared" ca="1" si="4"/>
        <v>20390.875086484059</v>
      </c>
      <c r="AF13" s="270">
        <f t="shared" ca="1" si="4"/>
        <v>21537.369820147083</v>
      </c>
      <c r="AG13" s="270">
        <f t="shared" ca="1" si="4"/>
        <v>22727.911581394106</v>
      </c>
      <c r="AH13" s="270">
        <f t="shared" ca="1" si="4"/>
        <v>23725.607383012022</v>
      </c>
      <c r="AI13" s="270">
        <f t="shared" ca="1" si="4"/>
        <v>24939.411854591519</v>
      </c>
      <c r="AJ13" s="270">
        <f t="shared" ca="1" si="4"/>
        <v>26251.321459509651</v>
      </c>
      <c r="AK13" s="157"/>
      <c r="AM13" s="842"/>
      <c r="AN13" s="842"/>
      <c r="AO13" s="842"/>
      <c r="AP13" s="842"/>
      <c r="AQ13" s="842"/>
      <c r="AR13" s="842"/>
      <c r="AS13" s="842"/>
      <c r="AT13" s="842"/>
      <c r="AU13" s="842"/>
      <c r="AV13" s="842"/>
      <c r="AW13" s="842"/>
      <c r="AX13" s="842"/>
      <c r="AY13" s="842"/>
      <c r="AZ13" s="842"/>
      <c r="BA13" s="842"/>
      <c r="BB13" s="842"/>
    </row>
    <row r="14" spans="1:54">
      <c r="C14" s="155"/>
      <c r="K14" s="67"/>
      <c r="L14" s="67"/>
      <c r="M14" s="67"/>
      <c r="N14" s="67"/>
      <c r="O14" s="67"/>
      <c r="P14" s="67"/>
      <c r="Q14" s="67"/>
      <c r="AK14" s="157"/>
      <c r="AM14" s="842"/>
      <c r="AN14" s="842"/>
      <c r="AO14" s="842"/>
      <c r="AP14" s="842"/>
      <c r="AQ14" s="842"/>
      <c r="AR14" s="842"/>
      <c r="AS14" s="842"/>
      <c r="AT14" s="842"/>
      <c r="AU14" s="842"/>
      <c r="AV14" s="842"/>
      <c r="AW14" s="842"/>
      <c r="AX14" s="842"/>
      <c r="AY14" s="842"/>
      <c r="AZ14" s="842"/>
      <c r="BA14" s="842"/>
      <c r="BB14" s="842"/>
    </row>
    <row r="15" spans="1:54">
      <c r="C15" s="155"/>
      <c r="E15" s="63" t="s">
        <v>786</v>
      </c>
      <c r="K15" s="67"/>
      <c r="L15" s="67"/>
      <c r="M15" s="67"/>
      <c r="N15" s="67"/>
      <c r="O15" s="67"/>
      <c r="P15" s="67"/>
      <c r="Q15" s="67"/>
      <c r="U15" s="467">
        <f>'Determination Lookup'!N11</f>
        <v>205.03232050827293</v>
      </c>
      <c r="V15" s="467">
        <f>'Determination Lookup'!O11</f>
        <v>219.04601149638972</v>
      </c>
      <c r="W15" s="467">
        <f>'Determination Lookup'!P11</f>
        <v>219.04601149638972</v>
      </c>
      <c r="X15" s="467">
        <f>'Determination Lookup'!Q11</f>
        <v>219.04601149638972</v>
      </c>
      <c r="Y15" s="467">
        <f>'Determination Lookup'!R11</f>
        <v>219.04601149638972</v>
      </c>
      <c r="Z15" s="467">
        <f>'Determination Lookup'!S11</f>
        <v>219.04601149638972</v>
      </c>
      <c r="AA15" s="468">
        <f t="shared" ref="AA15:AF15" si="5">IF(AA37="",AA82,AA37)</f>
        <v>320.6074143518594</v>
      </c>
      <c r="AB15" s="468">
        <f t="shared" si="5"/>
        <v>320.6074143518594</v>
      </c>
      <c r="AC15" s="468">
        <f t="shared" si="5"/>
        <v>315.18775144704836</v>
      </c>
      <c r="AD15" s="468">
        <f t="shared" si="5"/>
        <v>284.1808630860516</v>
      </c>
      <c r="AE15" s="468">
        <f t="shared" si="5"/>
        <v>262.35880673737984</v>
      </c>
      <c r="AF15" s="468">
        <f t="shared" si="5"/>
        <v>251.95297796273093</v>
      </c>
      <c r="AG15" s="468">
        <f>IF(AG37="",AG82,AG37)</f>
        <v>251.95297796273093</v>
      </c>
      <c r="AH15" s="468">
        <f>IF(AH37="",AH82,AH37)</f>
        <v>251.95297796273093</v>
      </c>
      <c r="AI15" s="468">
        <f>IF(AI37="",AI82,AI37)</f>
        <v>251.95297796273093</v>
      </c>
      <c r="AJ15" s="468">
        <f>IF(AJ37="",AJ82,AJ37)</f>
        <v>251.95297796273093</v>
      </c>
      <c r="AK15" s="157"/>
      <c r="AL15" s="842"/>
      <c r="AM15" s="842"/>
      <c r="AN15" s="842"/>
      <c r="AO15" s="842"/>
      <c r="AP15" s="842"/>
      <c r="AQ15" s="842"/>
      <c r="AR15" s="842"/>
      <c r="AS15" s="842"/>
      <c r="AT15" s="842"/>
      <c r="AU15" s="842"/>
      <c r="AV15" s="842"/>
      <c r="AW15" s="842"/>
      <c r="AX15" s="842"/>
      <c r="AY15" s="842"/>
      <c r="AZ15" s="842"/>
      <c r="BA15" s="842"/>
      <c r="BB15" s="842"/>
    </row>
    <row r="16" spans="1:54">
      <c r="C16" s="155"/>
      <c r="E16" s="63" t="s">
        <v>787</v>
      </c>
      <c r="K16" s="67"/>
      <c r="L16" s="67"/>
      <c r="M16" s="67"/>
      <c r="N16" s="67"/>
      <c r="O16" s="67"/>
      <c r="P16" s="67"/>
      <c r="Q16" s="67"/>
      <c r="U16" s="467">
        <f>'Determination Lookup'!N12</f>
        <v>83.372629652678157</v>
      </c>
      <c r="V16" s="467">
        <f>'Determination Lookup'!O12</f>
        <v>11.812717733204444</v>
      </c>
      <c r="W16" s="467">
        <f>'Determination Lookup'!P12</f>
        <v>37.493257400655338</v>
      </c>
      <c r="X16" s="467">
        <f>'Determination Lookup'!Q12</f>
        <v>63.925852869381814</v>
      </c>
      <c r="Y16" s="467">
        <f>'Determination Lookup'!R12</f>
        <v>83.733958826397071</v>
      </c>
      <c r="Z16" s="467">
        <f>'Determination Lookup'!S12</f>
        <v>100.75108291968075</v>
      </c>
      <c r="AA16" s="468">
        <f ca="1">IF(AA34="",'Capex_FO input'!D36,AA34)</f>
        <v>11.776887732885603</v>
      </c>
      <c r="AB16" s="468">
        <f ca="1">IF(AB34="",'Capex_FO input'!E36,AB34)</f>
        <v>35.7177385894719</v>
      </c>
      <c r="AC16" s="468">
        <f ca="1">IF(AC34="",'Capex_FO input'!F36,AC34)</f>
        <v>61.852731969888538</v>
      </c>
      <c r="AD16" s="468">
        <f ca="1">IF(AD34="",'Capex_FO input'!G36,AD34)</f>
        <v>92.630278008470199</v>
      </c>
      <c r="AE16" s="468">
        <f ca="1">IF(AE34="",'Capex_FO input'!H36,AE34)</f>
        <v>122.76043987639608</v>
      </c>
      <c r="AF16" s="468">
        <f ca="1">IF(AF34="",'Capex_FO input'!I36,AF34)</f>
        <v>153.52416972761156</v>
      </c>
      <c r="AG16" s="468">
        <f ca="1">IF(AG34="",'Capex_FO input'!J36,AG34)</f>
        <v>188.83077279996027</v>
      </c>
      <c r="AH16" s="468">
        <f ca="1">IF(AH34="",'Capex_FO input'!K36,AH34)</f>
        <v>225.97786674549153</v>
      </c>
      <c r="AI16" s="468">
        <f ca="1">IF(AI34="",'Capex_FO input'!L36,AI34)</f>
        <v>260.27815631699474</v>
      </c>
      <c r="AJ16" s="468">
        <f ca="1">IF(AJ34="",'Capex_FO input'!M36,AJ34)</f>
        <v>294.10120829608911</v>
      </c>
      <c r="AK16" s="157"/>
      <c r="AL16" s="842"/>
      <c r="AM16" s="842"/>
      <c r="AN16" s="842"/>
      <c r="AO16" s="842"/>
      <c r="AP16" s="842"/>
      <c r="AQ16" s="842"/>
      <c r="AR16" s="842"/>
      <c r="AS16" s="842"/>
      <c r="AT16" s="842"/>
      <c r="AU16" s="842"/>
      <c r="AV16" s="842"/>
      <c r="AW16" s="842"/>
      <c r="AX16" s="842"/>
      <c r="AY16" s="842"/>
      <c r="AZ16" s="842"/>
      <c r="BA16" s="842"/>
      <c r="BB16" s="842"/>
    </row>
    <row r="17" spans="3:54">
      <c r="C17" s="155"/>
      <c r="E17" s="89" t="s">
        <v>788</v>
      </c>
      <c r="K17" s="67"/>
      <c r="L17" s="67"/>
      <c r="M17" s="67"/>
      <c r="N17" s="67"/>
      <c r="O17" s="67"/>
      <c r="P17" s="67"/>
      <c r="Q17" s="67"/>
      <c r="U17" s="469">
        <f t="shared" ref="U17:AB17" si="6">SUM(U15:U16)</f>
        <v>288.4049501609511</v>
      </c>
      <c r="V17" s="469">
        <f t="shared" si="6"/>
        <v>230.85872922959416</v>
      </c>
      <c r="W17" s="469">
        <f t="shared" si="6"/>
        <v>256.53926889704508</v>
      </c>
      <c r="X17" s="469">
        <f>SUM(X15:X16)</f>
        <v>282.97186436577152</v>
      </c>
      <c r="Y17" s="469">
        <f>SUM(Y15:Y16)</f>
        <v>302.77997032278677</v>
      </c>
      <c r="Z17" s="469">
        <f t="shared" si="6"/>
        <v>319.79709441607048</v>
      </c>
      <c r="AA17" s="469">
        <f t="shared" ca="1" si="6"/>
        <v>332.384302084745</v>
      </c>
      <c r="AB17" s="469">
        <f t="shared" ca="1" si="6"/>
        <v>356.32515294133128</v>
      </c>
      <c r="AC17" s="469">
        <f t="shared" ref="AC17:AJ17" ca="1" si="7">SUM(AC15:AC16)</f>
        <v>377.04048341693692</v>
      </c>
      <c r="AD17" s="469">
        <f t="shared" ca="1" si="7"/>
        <v>376.81114109452182</v>
      </c>
      <c r="AE17" s="469">
        <f t="shared" ca="1" si="7"/>
        <v>385.11924661377589</v>
      </c>
      <c r="AF17" s="469">
        <f t="shared" ca="1" si="7"/>
        <v>405.47714769034246</v>
      </c>
      <c r="AG17" s="469">
        <f t="shared" ca="1" si="7"/>
        <v>440.78375076269117</v>
      </c>
      <c r="AH17" s="469">
        <f t="shared" ca="1" si="7"/>
        <v>477.93084470822248</v>
      </c>
      <c r="AI17" s="469">
        <f t="shared" ca="1" si="7"/>
        <v>512.23113427972567</v>
      </c>
      <c r="AJ17" s="469">
        <f t="shared" ca="1" si="7"/>
        <v>546.05418625881998</v>
      </c>
      <c r="AK17" s="157"/>
      <c r="AL17" s="842"/>
      <c r="AM17" s="842"/>
      <c r="AN17" s="842"/>
      <c r="AO17" s="842"/>
      <c r="AP17" s="842"/>
      <c r="AQ17" s="842"/>
      <c r="AR17" s="842"/>
      <c r="AS17" s="842"/>
      <c r="AT17" s="842"/>
      <c r="AU17" s="842"/>
      <c r="AV17" s="842"/>
      <c r="AW17" s="842"/>
      <c r="AX17" s="842"/>
      <c r="AY17" s="842"/>
      <c r="AZ17" s="842"/>
      <c r="BA17" s="842"/>
      <c r="BB17" s="842"/>
    </row>
    <row r="18" spans="3:54" ht="12.75" thickBot="1">
      <c r="C18" s="167"/>
      <c r="D18" s="168"/>
      <c r="E18" s="168"/>
      <c r="F18" s="168"/>
      <c r="G18" s="168"/>
      <c r="H18" s="168"/>
      <c r="I18" s="168"/>
      <c r="J18" s="168"/>
      <c r="K18" s="292"/>
      <c r="L18" s="292"/>
      <c r="M18" s="292"/>
      <c r="N18" s="292"/>
      <c r="O18" s="292"/>
      <c r="P18" s="292"/>
      <c r="Q18" s="292"/>
      <c r="R18" s="423"/>
      <c r="S18" s="423"/>
      <c r="T18" s="423"/>
      <c r="U18" s="423"/>
      <c r="V18" s="423"/>
      <c r="W18" s="423"/>
      <c r="X18" s="423"/>
      <c r="Y18" s="423"/>
      <c r="Z18" s="423"/>
      <c r="AA18" s="423"/>
      <c r="AB18" s="423"/>
      <c r="AC18" s="423"/>
      <c r="AD18" s="423"/>
      <c r="AE18" s="423"/>
      <c r="AF18" s="423"/>
      <c r="AG18" s="423"/>
      <c r="AH18" s="423"/>
      <c r="AI18" s="423"/>
      <c r="AJ18" s="423"/>
      <c r="AK18" s="170"/>
      <c r="AM18" s="842"/>
      <c r="AN18" s="842"/>
      <c r="AO18" s="842"/>
      <c r="AP18" s="842"/>
      <c r="AQ18" s="842"/>
      <c r="AR18" s="842"/>
      <c r="AS18" s="842"/>
      <c r="AT18" s="842"/>
      <c r="AU18" s="842"/>
      <c r="AV18" s="842"/>
      <c r="AW18" s="842"/>
      <c r="AX18" s="842"/>
      <c r="AY18" s="842"/>
      <c r="AZ18" s="842"/>
      <c r="BA18" s="842"/>
      <c r="BB18" s="842"/>
    </row>
    <row r="19" spans="3:54">
      <c r="C19" s="67"/>
      <c r="K19" s="470"/>
      <c r="L19" s="470"/>
      <c r="M19" s="470"/>
      <c r="N19" s="431"/>
      <c r="O19" s="431"/>
      <c r="P19" s="431"/>
      <c r="Q19" s="431"/>
      <c r="R19" s="293"/>
      <c r="S19" s="293"/>
      <c r="T19" s="293"/>
      <c r="U19" s="293"/>
      <c r="V19" s="293"/>
      <c r="W19" s="293"/>
      <c r="X19" s="293"/>
      <c r="Y19" s="293"/>
      <c r="Z19" s="293"/>
      <c r="AA19" s="293"/>
      <c r="AB19" s="293"/>
      <c r="AM19" s="842"/>
      <c r="AN19" s="842"/>
      <c r="AO19" s="842"/>
      <c r="AP19" s="842"/>
      <c r="AQ19" s="842"/>
      <c r="AR19" s="842"/>
      <c r="AS19" s="842"/>
      <c r="AT19" s="842"/>
      <c r="AU19" s="842"/>
      <c r="AV19" s="842"/>
      <c r="AW19" s="842"/>
      <c r="AX19" s="842"/>
      <c r="AY19" s="842"/>
      <c r="AZ19" s="842"/>
      <c r="BA19" s="842"/>
      <c r="BB19" s="842"/>
    </row>
    <row r="20" spans="3:54">
      <c r="C20" s="471"/>
      <c r="V20" s="77"/>
      <c r="W20" s="77"/>
      <c r="AM20" s="842"/>
      <c r="AN20" s="842"/>
      <c r="AO20" s="842"/>
      <c r="AP20" s="842"/>
      <c r="AQ20" s="842"/>
      <c r="AR20" s="842"/>
      <c r="AS20" s="842"/>
      <c r="AT20" s="842"/>
      <c r="AU20" s="842"/>
      <c r="AV20" s="842"/>
      <c r="AW20" s="842"/>
      <c r="AX20" s="842"/>
      <c r="AY20" s="842"/>
      <c r="AZ20" s="842"/>
      <c r="BA20" s="842"/>
      <c r="BB20" s="842"/>
    </row>
    <row r="21" spans="3:54">
      <c r="AM21" s="842"/>
      <c r="AN21" s="842"/>
      <c r="AO21" s="842"/>
      <c r="AP21" s="842"/>
      <c r="AQ21" s="842"/>
      <c r="AR21" s="842"/>
      <c r="AS21" s="842"/>
      <c r="AT21" s="842"/>
      <c r="AU21" s="842"/>
      <c r="AV21" s="842"/>
      <c r="AW21" s="842"/>
      <c r="AX21" s="842"/>
      <c r="AY21" s="842"/>
      <c r="AZ21" s="842"/>
      <c r="BA21" s="842"/>
      <c r="BB21" s="842"/>
    </row>
    <row r="22" spans="3:54">
      <c r="C22" s="295" t="s">
        <v>783</v>
      </c>
      <c r="K22" s="67"/>
      <c r="L22" s="67"/>
      <c r="M22" s="67"/>
      <c r="N22" s="67"/>
      <c r="O22" s="67"/>
      <c r="P22" s="67"/>
      <c r="Q22" s="67"/>
      <c r="U22" s="368"/>
      <c r="Y22" s="368"/>
      <c r="Z22" s="368"/>
      <c r="AA22" s="368"/>
      <c r="AB22" s="368"/>
      <c r="AM22" s="842"/>
      <c r="AN22" s="842"/>
      <c r="AO22" s="842"/>
      <c r="AP22" s="842"/>
      <c r="AQ22" s="842"/>
      <c r="AR22" s="842"/>
      <c r="AS22" s="842"/>
      <c r="AT22" s="842"/>
      <c r="AU22" s="842"/>
      <c r="AV22" s="842"/>
      <c r="AW22" s="842"/>
      <c r="AX22" s="842"/>
      <c r="AY22" s="842"/>
      <c r="AZ22" s="842"/>
      <c r="BA22" s="842"/>
      <c r="BB22" s="842"/>
    </row>
    <row r="23" spans="3:54" ht="12.75" thickBot="1">
      <c r="J23" s="67"/>
      <c r="K23" s="67"/>
      <c r="L23" s="67"/>
      <c r="M23" s="67"/>
      <c r="N23" s="67"/>
      <c r="O23" s="67"/>
      <c r="P23" s="67"/>
      <c r="Q23" s="67"/>
      <c r="U23" s="293"/>
      <c r="V23" s="293"/>
      <c r="Y23" s="293"/>
      <c r="Z23" s="293"/>
      <c r="AA23" s="293"/>
      <c r="AB23" s="293"/>
      <c r="AM23" s="842"/>
      <c r="AN23" s="842"/>
      <c r="AO23" s="842"/>
      <c r="AP23" s="842"/>
      <c r="AQ23" s="842"/>
      <c r="AR23" s="842"/>
      <c r="AS23" s="842"/>
      <c r="AT23" s="842"/>
      <c r="AU23" s="842"/>
      <c r="AV23" s="842"/>
      <c r="AW23" s="842"/>
      <c r="AX23" s="842"/>
      <c r="AY23" s="842"/>
      <c r="AZ23" s="842"/>
      <c r="BA23" s="842"/>
      <c r="BB23" s="842"/>
    </row>
    <row r="24" spans="3:54" ht="12.75" thickBot="1">
      <c r="D24" s="63" t="s">
        <v>784</v>
      </c>
      <c r="J24" s="67"/>
      <c r="K24" s="67"/>
      <c r="L24" s="67"/>
      <c r="M24" s="67"/>
      <c r="N24" s="67"/>
      <c r="O24" s="67"/>
      <c r="P24" s="67"/>
      <c r="Q24" s="67"/>
      <c r="U24" s="1075">
        <f>'Determination Lookup'!N8</f>
        <v>13681.353036332999</v>
      </c>
      <c r="V24" s="468">
        <f t="shared" ref="V24:AJ24" si="8">+U30</f>
        <v>13974.996721133981</v>
      </c>
      <c r="W24" s="468">
        <f t="shared" si="8"/>
        <v>14252.112733443315</v>
      </c>
      <c r="X24" s="468">
        <f t="shared" si="8"/>
        <v>14629.706817244683</v>
      </c>
      <c r="Y24" s="468">
        <f t="shared" si="8"/>
        <v>15089.678563567777</v>
      </c>
      <c r="Z24" s="468">
        <f t="shared" si="8"/>
        <v>15621.166079286351</v>
      </c>
      <c r="AA24" s="468">
        <f t="shared" si="8"/>
        <v>15733.028038124707</v>
      </c>
      <c r="AB24" s="468">
        <f t="shared" ca="1" si="8"/>
        <v>16554.876473436609</v>
      </c>
      <c r="AC24" s="468">
        <f t="shared" ca="1" si="8"/>
        <v>17481.722957370323</v>
      </c>
      <c r="AD24" s="468">
        <f t="shared" ca="1" si="8"/>
        <v>18439.565260998861</v>
      </c>
      <c r="AE24" s="468">
        <f t="shared" ca="1" si="8"/>
        <v>19441.831961511762</v>
      </c>
      <c r="AF24" s="468">
        <f t="shared" ca="1" si="8"/>
        <v>20390.875086484059</v>
      </c>
      <c r="AG24" s="468">
        <f t="shared" ca="1" si="8"/>
        <v>21537.369820147083</v>
      </c>
      <c r="AH24" s="468">
        <f t="shared" ca="1" si="8"/>
        <v>22727.911581394106</v>
      </c>
      <c r="AI24" s="468">
        <f t="shared" ca="1" si="8"/>
        <v>23725.607383012022</v>
      </c>
      <c r="AJ24" s="468">
        <f t="shared" ca="1" si="8"/>
        <v>24939.411854591519</v>
      </c>
      <c r="AL24" s="842"/>
      <c r="AM24" s="842"/>
      <c r="AN24" s="842"/>
      <c r="AO24" s="842"/>
      <c r="AP24" s="842"/>
      <c r="AQ24" s="842"/>
      <c r="AR24" s="842"/>
      <c r="AS24" s="842"/>
      <c r="AT24" s="842"/>
      <c r="AU24" s="842"/>
      <c r="AV24" s="842"/>
      <c r="AW24" s="842"/>
      <c r="AX24" s="842"/>
      <c r="AY24" s="842"/>
      <c r="AZ24" s="842"/>
      <c r="BA24" s="842"/>
      <c r="BB24" s="842"/>
    </row>
    <row r="25" spans="3:54">
      <c r="D25" s="63" t="s">
        <v>789</v>
      </c>
      <c r="J25" s="67"/>
      <c r="K25" s="67"/>
      <c r="L25" s="67"/>
      <c r="M25" s="67"/>
      <c r="N25" s="67"/>
      <c r="O25" s="67"/>
      <c r="P25" s="67"/>
      <c r="Q25" s="67"/>
      <c r="U25" s="296">
        <f>Summary_FO!Z19</f>
        <v>797.02440927545513</v>
      </c>
      <c r="V25" s="296">
        <f>Summary_FO!AA19</f>
        <v>751.86183677857571</v>
      </c>
      <c r="W25" s="296">
        <f>Summary_FO!AB19</f>
        <v>883.33185422705719</v>
      </c>
      <c r="X25" s="296">
        <f>Summary_FO!AC19</f>
        <v>975.48484394204763</v>
      </c>
      <c r="Y25" s="296">
        <f>Summary_FO!AD19</f>
        <v>1058.7332364874123</v>
      </c>
      <c r="Z25" s="296">
        <f>Summary_FO!AE19</f>
        <v>678.85510206620143</v>
      </c>
      <c r="AA25" s="296">
        <f>Summary_FO!AF19</f>
        <v>1427.8676842478524</v>
      </c>
      <c r="AB25" s="296">
        <f>Summary_FO!AG19</f>
        <v>1570.164250393809</v>
      </c>
      <c r="AC25" s="296">
        <f>Summary_FO!AH19</f>
        <v>1607.4161999295407</v>
      </c>
      <c r="AD25" s="296">
        <f>Summary_FO!AI19</f>
        <v>1650.5477325991501</v>
      </c>
      <c r="AE25" s="296">
        <f>Summary_FO!AJ19</f>
        <v>1600.0870518966058</v>
      </c>
      <c r="AF25" s="296">
        <f>Summary_FO!AK19</f>
        <v>1822.431846686201</v>
      </c>
      <c r="AG25" s="296">
        <f>Summary_FO!AL19</f>
        <v>1894.5863492533358</v>
      </c>
      <c r="AH25" s="296">
        <f>Summary_FO!AM19</f>
        <v>1729.8126501350996</v>
      </c>
      <c r="AI25" s="296">
        <f>Summary_FO!AN19</f>
        <v>1971.4744774702951</v>
      </c>
      <c r="AJ25" s="296">
        <f>Summary_FO!AO19</f>
        <v>2094.9713055918783</v>
      </c>
      <c r="AL25" s="842"/>
      <c r="AM25" s="842"/>
      <c r="AN25" s="842"/>
      <c r="AO25" s="842"/>
      <c r="AP25" s="842"/>
      <c r="AQ25" s="842"/>
      <c r="AR25" s="842"/>
      <c r="AS25" s="842"/>
      <c r="AT25" s="842"/>
      <c r="AU25" s="842"/>
      <c r="AV25" s="842"/>
      <c r="AW25" s="842"/>
      <c r="AX25" s="842"/>
      <c r="AY25" s="842"/>
      <c r="AZ25" s="842"/>
      <c r="BA25" s="842"/>
      <c r="BB25" s="842"/>
    </row>
    <row r="26" spans="3:54">
      <c r="D26" s="448" t="s">
        <v>790</v>
      </c>
      <c r="J26" s="67"/>
      <c r="K26" s="67"/>
      <c r="L26" s="67"/>
      <c r="M26" s="67"/>
      <c r="N26" s="67"/>
      <c r="O26" s="67"/>
      <c r="P26" s="67"/>
      <c r="Q26" s="67"/>
      <c r="U26" s="296">
        <f>Summary_FO!Z20</f>
        <v>0</v>
      </c>
      <c r="V26" s="296">
        <f>Summary_FO!AA20</f>
        <v>0</v>
      </c>
      <c r="W26" s="296">
        <f>Summary_FO!AB20</f>
        <v>0</v>
      </c>
      <c r="X26" s="296">
        <f>Summary_FO!AC20</f>
        <v>0</v>
      </c>
      <c r="Y26" s="296">
        <f>Summary_FO!AD20</f>
        <v>0</v>
      </c>
      <c r="Z26" s="296">
        <f>Summary_FO!AE20</f>
        <v>0</v>
      </c>
      <c r="AA26" s="296">
        <f>Summary_FO!AF20</f>
        <v>9.3121997121680415</v>
      </c>
      <c r="AB26" s="296">
        <f>Summary_FO!AG20</f>
        <v>14.957255803937155</v>
      </c>
      <c r="AC26" s="296">
        <f>Summary_FO!AH20</f>
        <v>2.3374750439277121E-2</v>
      </c>
      <c r="AD26" s="296">
        <f>Summary_FO!AI20</f>
        <v>1.5203089716603002E-2</v>
      </c>
      <c r="AE26" s="296">
        <f>Summary_FO!AJ20</f>
        <v>0</v>
      </c>
      <c r="AF26" s="296">
        <f>Summary_FO!AK20</f>
        <v>0</v>
      </c>
      <c r="AG26" s="296">
        <f>Summary_FO!AL20</f>
        <v>0</v>
      </c>
      <c r="AH26" s="296">
        <f>Summary_FO!AM20</f>
        <v>0</v>
      </c>
      <c r="AI26" s="296">
        <f>Summary_FO!AN20</f>
        <v>0</v>
      </c>
      <c r="AJ26" s="296">
        <f>Summary_FO!AO20</f>
        <v>0</v>
      </c>
      <c r="AL26" s="842"/>
      <c r="AM26" s="842"/>
      <c r="AN26" s="842"/>
      <c r="AO26" s="842"/>
      <c r="AP26" s="842"/>
      <c r="AQ26" s="842"/>
      <c r="AR26" s="842"/>
      <c r="AS26" s="842"/>
      <c r="AT26" s="842"/>
      <c r="AU26" s="842"/>
      <c r="AV26" s="842"/>
      <c r="AW26" s="842"/>
      <c r="AX26" s="842"/>
      <c r="AY26" s="842"/>
      <c r="AZ26" s="842"/>
      <c r="BA26" s="842"/>
      <c r="BB26" s="842"/>
    </row>
    <row r="27" spans="3:54">
      <c r="D27" s="448" t="s">
        <v>791</v>
      </c>
      <c r="J27" s="67"/>
      <c r="K27" s="67"/>
      <c r="L27" s="67"/>
      <c r="M27" s="67"/>
      <c r="N27" s="67"/>
      <c r="O27" s="67"/>
      <c r="P27" s="67"/>
      <c r="Q27" s="67"/>
      <c r="U27" s="296">
        <f>Summary_FO!Z21</f>
        <v>210.8960332453432</v>
      </c>
      <c r="V27" s="296">
        <f>Summary_FO!AA21</f>
        <v>230.07077214842749</v>
      </c>
      <c r="W27" s="296">
        <f>Summary_FO!AB21</f>
        <v>244.47369722033895</v>
      </c>
      <c r="X27" s="296">
        <f>Summary_FO!AC21</f>
        <v>229.85439754180234</v>
      </c>
      <c r="Y27" s="296">
        <f>Summary_FO!AD21</f>
        <v>222.79739963284294</v>
      </c>
      <c r="Z27" s="296">
        <f>Summary_FO!AE21</f>
        <v>244.65017134288519</v>
      </c>
      <c r="AA27" s="296">
        <f>Summary_FO!AF21</f>
        <v>256.68418674331554</v>
      </c>
      <c r="AB27" s="296">
        <f>Summary_FO!AG21</f>
        <v>265.82094960941134</v>
      </c>
      <c r="AC27" s="296">
        <f>Summary_FO!AH21</f>
        <v>266.89260337450156</v>
      </c>
      <c r="AD27" s="296">
        <f>Summary_FO!AI21</f>
        <v>265.83725314288654</v>
      </c>
      <c r="AE27" s="296">
        <f>Summary_FO!AJ21</f>
        <v>261.75654907461649</v>
      </c>
      <c r="AF27" s="296">
        <f>Summary_FO!AK21</f>
        <v>266.29183409691552</v>
      </c>
      <c r="AG27" s="296">
        <f>Summary_FO!AL21</f>
        <v>259.09270600770168</v>
      </c>
      <c r="AH27" s="296">
        <f>Summary_FO!AM21</f>
        <v>250.01787257304056</v>
      </c>
      <c r="AI27" s="296">
        <f>Summary_FO!AN21</f>
        <v>241.27074037515396</v>
      </c>
      <c r="AJ27" s="296">
        <f>Summary_FO!AO21</f>
        <v>232.83938317900669</v>
      </c>
      <c r="AL27" s="842"/>
      <c r="AM27" s="842"/>
      <c r="AN27" s="842"/>
      <c r="AO27" s="842"/>
      <c r="AP27" s="842"/>
      <c r="AQ27" s="842"/>
      <c r="AR27" s="842"/>
      <c r="AS27" s="842"/>
      <c r="AT27" s="842"/>
      <c r="AU27" s="842"/>
      <c r="AV27" s="842"/>
      <c r="AW27" s="842"/>
      <c r="AX27" s="842"/>
      <c r="AY27" s="842"/>
      <c r="AZ27" s="842"/>
      <c r="BA27" s="842"/>
      <c r="BB27" s="842"/>
    </row>
    <row r="28" spans="3:54">
      <c r="D28" s="448" t="s">
        <v>792</v>
      </c>
      <c r="J28" s="67"/>
      <c r="K28" s="67"/>
      <c r="L28" s="67"/>
      <c r="M28" s="67"/>
      <c r="N28" s="67"/>
      <c r="O28" s="67"/>
      <c r="P28" s="67"/>
      <c r="Q28" s="67"/>
      <c r="U28" s="296">
        <f>Summary_FO!Z25</f>
        <v>4.0797410681779471</v>
      </c>
      <c r="V28" s="296">
        <f>Summary_FO!AA25</f>
        <v>13.816323091221374</v>
      </c>
      <c r="W28" s="296">
        <f>Summary_FO!AB25</f>
        <v>4.7248043083050844</v>
      </c>
      <c r="X28" s="296">
        <f>Summary_FO!AC25</f>
        <v>2.6868357113800907</v>
      </c>
      <c r="Y28" s="296">
        <f>Summary_FO!AD25</f>
        <v>1.6683508132096068</v>
      </c>
      <c r="Z28" s="296">
        <f>Summary_FO!AE25</f>
        <v>2.545877468891403</v>
      </c>
      <c r="AA28" s="296">
        <f>Summary_FO!AF25</f>
        <v>7.6385603957206714</v>
      </c>
      <c r="AB28" s="296">
        <f>Summary_FO!AG25</f>
        <v>6.2144081054172808</v>
      </c>
      <c r="AC28" s="296">
        <f>Summary_FO!AH25</f>
        <v>5.617434759122248</v>
      </c>
      <c r="AD28" s="296">
        <f>Summary_FO!AI25</f>
        <v>5.617434759122248</v>
      </c>
      <c r="AE28" s="296">
        <f>Summary_FO!AJ25</f>
        <v>4.168131235919085</v>
      </c>
      <c r="AF28" s="296">
        <f>Summary_FO!AK25</f>
        <v>4.168131235919085</v>
      </c>
      <c r="AG28" s="296">
        <f>Summary_FO!AL25</f>
        <v>4.168131235919085</v>
      </c>
      <c r="AH28" s="296">
        <f>Summary_FO!AM25</f>
        <v>4.168131235919085</v>
      </c>
      <c r="AI28" s="296">
        <f>Summary_FO!AN25</f>
        <v>4.168131235919085</v>
      </c>
      <c r="AJ28" s="296">
        <f>Summary_FO!AO25</f>
        <v>4.168131235919085</v>
      </c>
      <c r="AL28" s="842"/>
      <c r="AM28" s="842"/>
      <c r="AN28" s="842"/>
      <c r="AO28" s="842"/>
      <c r="AP28" s="842"/>
      <c r="AQ28" s="842"/>
      <c r="AR28" s="842"/>
      <c r="AS28" s="842"/>
      <c r="AT28" s="842"/>
      <c r="AU28" s="842"/>
      <c r="AV28" s="842"/>
      <c r="AW28" s="842"/>
      <c r="AX28" s="842"/>
      <c r="AY28" s="842"/>
      <c r="AZ28" s="842"/>
      <c r="BA28" s="842"/>
      <c r="BB28" s="842"/>
    </row>
    <row r="29" spans="3:54">
      <c r="D29" s="448" t="s">
        <v>793</v>
      </c>
      <c r="J29" s="67"/>
      <c r="K29" s="67"/>
      <c r="L29" s="67"/>
      <c r="M29" s="67"/>
      <c r="N29" s="67"/>
      <c r="O29" s="67"/>
      <c r="P29" s="67"/>
      <c r="Q29" s="67"/>
      <c r="U29" s="116">
        <f t="shared" ref="U29:AJ29" si="9">U17</f>
        <v>288.4049501609511</v>
      </c>
      <c r="V29" s="116">
        <f t="shared" si="9"/>
        <v>230.85872922959416</v>
      </c>
      <c r="W29" s="116">
        <f t="shared" si="9"/>
        <v>256.53926889704508</v>
      </c>
      <c r="X29" s="116">
        <f t="shared" si="9"/>
        <v>282.97186436577152</v>
      </c>
      <c r="Y29" s="116">
        <f t="shared" si="9"/>
        <v>302.77997032278677</v>
      </c>
      <c r="Z29" s="116">
        <f t="shared" si="9"/>
        <v>319.79709441607048</v>
      </c>
      <c r="AA29" s="116">
        <f t="shared" ca="1" si="9"/>
        <v>332.384302084745</v>
      </c>
      <c r="AB29" s="116">
        <f t="shared" ca="1" si="9"/>
        <v>356.32515294133128</v>
      </c>
      <c r="AC29" s="116">
        <f t="shared" ca="1" si="9"/>
        <v>377.04048341693692</v>
      </c>
      <c r="AD29" s="116">
        <f t="shared" ca="1" si="9"/>
        <v>376.81114109452182</v>
      </c>
      <c r="AE29" s="116">
        <f t="shared" ca="1" si="9"/>
        <v>385.11924661377589</v>
      </c>
      <c r="AF29" s="116">
        <f t="shared" ca="1" si="9"/>
        <v>405.47714769034246</v>
      </c>
      <c r="AG29" s="116">
        <f t="shared" ca="1" si="9"/>
        <v>440.78375076269117</v>
      </c>
      <c r="AH29" s="116">
        <f t="shared" ca="1" si="9"/>
        <v>477.93084470822248</v>
      </c>
      <c r="AI29" s="116">
        <f t="shared" ca="1" si="9"/>
        <v>512.23113427972567</v>
      </c>
      <c r="AJ29" s="116">
        <f t="shared" ca="1" si="9"/>
        <v>546.05418625881998</v>
      </c>
      <c r="AL29" s="842"/>
      <c r="AM29" s="842"/>
      <c r="AN29" s="842"/>
      <c r="AO29" s="842"/>
      <c r="AP29" s="842"/>
      <c r="AQ29" s="842"/>
      <c r="AR29" s="842"/>
      <c r="AS29" s="842"/>
      <c r="AT29" s="842"/>
      <c r="AU29" s="842"/>
      <c r="AV29" s="842"/>
      <c r="AW29" s="842"/>
      <c r="AX29" s="842"/>
      <c r="AY29" s="842"/>
      <c r="AZ29" s="842"/>
      <c r="BA29" s="842"/>
      <c r="BB29" s="842"/>
    </row>
    <row r="30" spans="3:54" ht="12.75" thickBot="1">
      <c r="D30" s="472" t="s">
        <v>785</v>
      </c>
      <c r="J30" s="67"/>
      <c r="K30" s="67"/>
      <c r="L30" s="67"/>
      <c r="M30" s="67"/>
      <c r="N30" s="67"/>
      <c r="O30" s="67"/>
      <c r="P30" s="67"/>
      <c r="Q30" s="67"/>
      <c r="U30" s="473">
        <f t="shared" ref="U30:AJ30" si="10">+SUM(U24:U25)-SUM(U26:U29)</f>
        <v>13974.996721133981</v>
      </c>
      <c r="V30" s="473">
        <f t="shared" si="10"/>
        <v>14252.112733443315</v>
      </c>
      <c r="W30" s="473">
        <f t="shared" si="10"/>
        <v>14629.706817244683</v>
      </c>
      <c r="X30" s="473">
        <f t="shared" si="10"/>
        <v>15089.678563567777</v>
      </c>
      <c r="Y30" s="473">
        <f t="shared" si="10"/>
        <v>15621.166079286351</v>
      </c>
      <c r="Z30" s="473">
        <f t="shared" si="10"/>
        <v>15733.028038124707</v>
      </c>
      <c r="AA30" s="473">
        <f t="shared" ca="1" si="10"/>
        <v>16554.876473436609</v>
      </c>
      <c r="AB30" s="473">
        <f t="shared" ca="1" si="10"/>
        <v>17481.722957370323</v>
      </c>
      <c r="AC30" s="473">
        <f t="shared" ca="1" si="10"/>
        <v>18439.565260998861</v>
      </c>
      <c r="AD30" s="473">
        <f t="shared" ca="1" si="10"/>
        <v>19441.831961511762</v>
      </c>
      <c r="AE30" s="473">
        <f t="shared" ca="1" si="10"/>
        <v>20390.875086484059</v>
      </c>
      <c r="AF30" s="473">
        <f t="shared" ca="1" si="10"/>
        <v>21537.369820147083</v>
      </c>
      <c r="AG30" s="473">
        <f t="shared" ca="1" si="10"/>
        <v>22727.911581394106</v>
      </c>
      <c r="AH30" s="473">
        <f t="shared" ca="1" si="10"/>
        <v>23725.607383012022</v>
      </c>
      <c r="AI30" s="473">
        <f t="shared" ca="1" si="10"/>
        <v>24939.411854591519</v>
      </c>
      <c r="AJ30" s="473">
        <f t="shared" ca="1" si="10"/>
        <v>26251.321459509651</v>
      </c>
      <c r="AL30" s="842"/>
      <c r="AM30" s="842"/>
      <c r="AN30" s="842"/>
      <c r="AO30" s="842"/>
      <c r="AP30" s="842"/>
      <c r="AQ30" s="842"/>
      <c r="AR30" s="842"/>
      <c r="AS30" s="842"/>
      <c r="AT30" s="842"/>
      <c r="AU30" s="842"/>
      <c r="AV30" s="842"/>
      <c r="AW30" s="842"/>
      <c r="AX30" s="842"/>
      <c r="AY30" s="842"/>
      <c r="AZ30" s="842"/>
      <c r="BA30" s="842"/>
      <c r="BB30" s="842"/>
    </row>
    <row r="31" spans="3:54" ht="12.75" thickTop="1">
      <c r="J31" s="67"/>
      <c r="K31" s="67"/>
      <c r="L31" s="67"/>
      <c r="M31" s="67"/>
      <c r="N31" s="67"/>
      <c r="O31" s="67"/>
      <c r="P31" s="67"/>
      <c r="Q31" s="67"/>
      <c r="U31" s="293"/>
      <c r="W31" s="1137" t="str">
        <f>IF(V30=W24,"","ERROR &gt;&gt;&gt; check why 2016-17 closing RAB not equal to 2017-18 opening RAB?")</f>
        <v/>
      </c>
      <c r="X31" s="293"/>
      <c r="Y31" s="293"/>
      <c r="Z31" s="293"/>
      <c r="AA31" s="293"/>
      <c r="AB31" s="293"/>
      <c r="AM31" s="842"/>
      <c r="AN31" s="842"/>
      <c r="AO31" s="842"/>
      <c r="AP31" s="842"/>
      <c r="AQ31" s="842"/>
      <c r="AR31" s="842"/>
      <c r="AS31" s="842"/>
      <c r="AT31" s="842"/>
      <c r="AU31" s="842"/>
      <c r="AV31" s="842"/>
      <c r="AW31" s="842"/>
      <c r="AX31" s="842"/>
      <c r="AY31" s="842"/>
      <c r="AZ31" s="842"/>
      <c r="BA31" s="842"/>
      <c r="BB31" s="842"/>
    </row>
    <row r="32" spans="3:54">
      <c r="J32" s="67"/>
      <c r="K32" s="67"/>
      <c r="L32" s="67"/>
      <c r="M32" s="67"/>
      <c r="N32" s="67"/>
      <c r="O32" s="67"/>
      <c r="P32" s="67"/>
      <c r="Q32" s="67"/>
      <c r="U32" s="293"/>
      <c r="V32" s="293"/>
      <c r="W32" s="293"/>
      <c r="X32" s="293"/>
      <c r="Y32" s="293"/>
      <c r="Z32" s="1506"/>
      <c r="AA32" s="1506"/>
      <c r="AB32" s="1506"/>
      <c r="AC32" s="1506"/>
      <c r="AD32" s="1506"/>
      <c r="AE32" s="1506"/>
      <c r="AF32" s="1506"/>
      <c r="AG32" s="293"/>
      <c r="AH32" s="293"/>
      <c r="AI32" s="293"/>
      <c r="AJ32" s="293"/>
      <c r="AM32" s="842"/>
      <c r="AN32" s="842"/>
      <c r="AO32" s="842"/>
      <c r="AP32" s="842"/>
      <c r="AQ32" s="842"/>
      <c r="AR32" s="842"/>
      <c r="AS32" s="842"/>
      <c r="AT32" s="842"/>
      <c r="AU32" s="842"/>
      <c r="AV32" s="842"/>
      <c r="AW32" s="842"/>
      <c r="AX32" s="842"/>
      <c r="AY32" s="842"/>
      <c r="AZ32" s="842"/>
      <c r="BA32" s="842"/>
      <c r="BB32" s="842"/>
    </row>
    <row r="33" spans="3:54">
      <c r="J33" s="67"/>
      <c r="K33" s="67"/>
      <c r="L33" s="67"/>
      <c r="M33" s="67"/>
      <c r="N33" s="67"/>
      <c r="O33" s="67"/>
      <c r="P33" s="67"/>
      <c r="Q33" s="67"/>
      <c r="R33" s="293"/>
      <c r="S33" s="293"/>
      <c r="T33" s="293"/>
      <c r="U33" s="293"/>
      <c r="V33" s="293"/>
      <c r="W33" s="293"/>
      <c r="X33" s="293"/>
      <c r="Y33" s="293"/>
      <c r="AA33" s="1856" t="s">
        <v>794</v>
      </c>
      <c r="AB33" s="1855"/>
      <c r="AC33" s="1855"/>
      <c r="AD33" s="1855"/>
      <c r="AE33" s="1848"/>
      <c r="AF33" s="1848"/>
      <c r="AG33" s="1848"/>
      <c r="AH33" s="1848"/>
      <c r="AI33" s="1848"/>
      <c r="AJ33" s="1848"/>
      <c r="AM33" s="842"/>
      <c r="AN33" s="842"/>
      <c r="AO33" s="842"/>
      <c r="AP33" s="842"/>
      <c r="AQ33" s="842"/>
      <c r="AR33" s="842"/>
      <c r="AS33" s="842"/>
      <c r="AT33" s="842"/>
      <c r="AU33" s="842"/>
      <c r="AV33" s="842"/>
      <c r="AW33" s="842"/>
      <c r="AX33" s="842"/>
      <c r="AY33" s="842"/>
      <c r="AZ33" s="842"/>
      <c r="BA33" s="842"/>
      <c r="BB33" s="842"/>
    </row>
    <row r="34" spans="3:54">
      <c r="J34" s="67"/>
      <c r="K34" s="67"/>
      <c r="L34" s="67"/>
      <c r="M34" s="67"/>
      <c r="N34" s="67"/>
      <c r="O34" s="67"/>
      <c r="P34" s="67"/>
      <c r="Q34" s="67"/>
      <c r="R34" s="293"/>
      <c r="S34" s="293"/>
      <c r="T34" s="293"/>
      <c r="U34" s="474"/>
      <c r="V34" s="474"/>
      <c r="W34" s="1419"/>
      <c r="X34" s="293"/>
      <c r="Z34" s="475" t="s">
        <v>795</v>
      </c>
      <c r="AA34" s="489"/>
      <c r="AB34" s="490"/>
      <c r="AC34" s="490"/>
      <c r="AD34" s="490"/>
      <c r="AE34" s="491"/>
      <c r="AF34" s="489"/>
      <c r="AG34" s="490"/>
      <c r="AH34" s="490"/>
      <c r="AI34" s="490"/>
      <c r="AJ34" s="491"/>
      <c r="AM34" s="842"/>
      <c r="AN34" s="842"/>
      <c r="AO34" s="842"/>
      <c r="AP34" s="842"/>
      <c r="AQ34" s="842"/>
      <c r="AR34" s="842"/>
      <c r="AS34" s="842"/>
      <c r="AT34" s="842"/>
      <c r="AU34" s="842"/>
      <c r="AV34" s="842"/>
      <c r="AW34" s="842"/>
      <c r="AX34" s="842"/>
      <c r="AY34" s="842"/>
      <c r="AZ34" s="842"/>
      <c r="BA34" s="842"/>
      <c r="BB34" s="842"/>
    </row>
    <row r="35" spans="3:54">
      <c r="J35" s="116"/>
      <c r="K35" s="293"/>
      <c r="L35" s="293"/>
      <c r="M35" s="293"/>
      <c r="N35" s="293"/>
      <c r="O35" s="293"/>
      <c r="P35" s="293"/>
      <c r="Q35" s="293"/>
      <c r="R35" s="293"/>
      <c r="S35" s="293"/>
      <c r="T35" s="293"/>
      <c r="U35" s="293"/>
      <c r="V35" s="293"/>
      <c r="X35" s="293"/>
      <c r="Z35" s="293"/>
      <c r="AA35" s="293"/>
      <c r="AB35" s="293"/>
      <c r="AM35" s="842"/>
      <c r="AN35" s="842"/>
      <c r="AO35" s="842"/>
      <c r="AP35" s="842"/>
      <c r="AQ35" s="842"/>
      <c r="AR35" s="842"/>
      <c r="AS35" s="842"/>
      <c r="AT35" s="842"/>
      <c r="AU35" s="842"/>
      <c r="AV35" s="842"/>
      <c r="AW35" s="842"/>
      <c r="AX35" s="842"/>
      <c r="AY35" s="842"/>
      <c r="AZ35" s="842"/>
      <c r="BA35" s="842"/>
      <c r="BB35" s="842"/>
    </row>
    <row r="36" spans="3:54">
      <c r="J36" s="116"/>
      <c r="K36" s="293"/>
      <c r="L36" s="293"/>
      <c r="M36" s="293"/>
      <c r="N36" s="293"/>
      <c r="O36" s="293"/>
      <c r="P36" s="293"/>
      <c r="Q36" s="293"/>
      <c r="R36" s="293"/>
      <c r="S36" s="293"/>
      <c r="T36" s="293"/>
      <c r="U36" s="293"/>
      <c r="V36" s="293"/>
      <c r="X36" s="293"/>
      <c r="Z36" s="1076"/>
      <c r="AA36" s="1856" t="s">
        <v>796</v>
      </c>
      <c r="AB36" s="1855"/>
      <c r="AC36" s="1855"/>
      <c r="AD36" s="1855"/>
      <c r="AE36" s="1848"/>
      <c r="AF36" s="1848"/>
      <c r="AG36" s="1848"/>
      <c r="AH36" s="1848"/>
      <c r="AI36" s="1848"/>
      <c r="AJ36" s="1848"/>
      <c r="AM36" s="842"/>
      <c r="AN36" s="842"/>
      <c r="AO36" s="842"/>
      <c r="AP36" s="842"/>
      <c r="AQ36" s="842"/>
      <c r="AR36" s="842"/>
      <c r="AS36" s="842"/>
      <c r="AT36" s="842"/>
      <c r="AU36" s="842"/>
      <c r="AV36" s="842"/>
      <c r="AW36" s="842"/>
      <c r="AX36" s="842"/>
      <c r="AY36" s="842"/>
      <c r="AZ36" s="842"/>
      <c r="BA36" s="842"/>
      <c r="BB36" s="842"/>
    </row>
    <row r="37" spans="3:54">
      <c r="C37" s="457" t="str">
        <f>"Depreciation of asset base as at"&amp;" "&amp;"1/7/"&amp;LEFT(AA7,4)</f>
        <v>Depreciation of asset base as at 1/7/2026</v>
      </c>
      <c r="J37" s="116"/>
      <c r="K37" s="116"/>
      <c r="L37" s="116"/>
      <c r="N37" s="476"/>
      <c r="O37" s="476"/>
      <c r="P37" s="476"/>
      <c r="V37" s="476"/>
      <c r="X37" s="293"/>
      <c r="Z37" s="477" t="s">
        <v>797</v>
      </c>
      <c r="AA37" s="489"/>
      <c r="AB37" s="490"/>
      <c r="AC37" s="490"/>
      <c r="AD37" s="490"/>
      <c r="AE37" s="491"/>
      <c r="AF37" s="489"/>
      <c r="AG37" s="490"/>
      <c r="AH37" s="490"/>
      <c r="AI37" s="490"/>
      <c r="AJ37" s="491"/>
      <c r="AM37" s="842"/>
      <c r="AN37" s="842"/>
      <c r="AO37" s="842"/>
      <c r="AP37" s="842"/>
      <c r="AQ37" s="842"/>
      <c r="AR37" s="842"/>
      <c r="AS37" s="842"/>
      <c r="AT37" s="842"/>
      <c r="AU37" s="842"/>
      <c r="AV37" s="842"/>
      <c r="AW37" s="842"/>
      <c r="AX37" s="842"/>
      <c r="AY37" s="842"/>
      <c r="AZ37" s="842"/>
      <c r="BA37" s="842"/>
      <c r="BB37" s="842"/>
    </row>
    <row r="38" spans="3:54">
      <c r="J38" s="116"/>
      <c r="K38" s="293"/>
      <c r="L38" s="293"/>
      <c r="M38" s="299"/>
      <c r="N38" s="299"/>
      <c r="O38" s="299"/>
      <c r="P38" s="293"/>
      <c r="V38" s="293"/>
      <c r="W38" s="293"/>
      <c r="X38" s="293"/>
      <c r="Y38" s="293"/>
      <c r="AA38" s="293"/>
      <c r="AB38" s="293"/>
      <c r="AC38" s="293"/>
      <c r="AD38" s="293"/>
      <c r="AE38" s="293"/>
      <c r="AF38" s="293"/>
      <c r="AG38" s="293"/>
      <c r="AH38" s="293"/>
      <c r="AI38" s="293"/>
      <c r="AJ38" s="293"/>
    </row>
    <row r="39" spans="3:54">
      <c r="M39" s="196"/>
      <c r="N39" s="415"/>
      <c r="O39" s="415"/>
      <c r="P39" s="77"/>
      <c r="V39" s="77"/>
      <c r="W39" s="77"/>
      <c r="X39" s="77"/>
      <c r="AC39" s="77"/>
    </row>
    <row r="40" spans="3:54" ht="21.75" customHeight="1">
      <c r="D40" s="478" t="s">
        <v>798</v>
      </c>
      <c r="F40" s="479" t="s">
        <v>799</v>
      </c>
      <c r="G40" s="479" t="s">
        <v>800</v>
      </c>
      <c r="H40" s="479" t="s">
        <v>801</v>
      </c>
      <c r="I40" s="479" t="s">
        <v>802</v>
      </c>
      <c r="M40" s="196"/>
      <c r="N40" s="196"/>
      <c r="O40" s="196"/>
      <c r="W40" s="67"/>
      <c r="X40" s="67"/>
      <c r="Y40" s="67"/>
    </row>
    <row r="41" spans="3:54">
      <c r="C41" s="63">
        <v>1</v>
      </c>
      <c r="D41" s="492" t="s">
        <v>803</v>
      </c>
      <c r="E41" s="493"/>
      <c r="F41" s="1970">
        <v>2.7394014939048086</v>
      </c>
      <c r="G41" s="1970">
        <v>56.971288440451318</v>
      </c>
      <c r="H41" s="480">
        <f t="shared" ref="H41:H69" si="11">+IF(ISERROR(G41/$G$82),"",G41/$G$82)</f>
        <v>3.6211267343067674E-3</v>
      </c>
      <c r="I41" s="415">
        <f>IFERROR(G41/$G$82*F41,"")</f>
        <v>9.9197199855786001E-3</v>
      </c>
      <c r="M41" s="196"/>
      <c r="N41" s="415"/>
      <c r="O41" s="415"/>
      <c r="P41" s="415"/>
      <c r="U41" s="860"/>
      <c r="W41" s="77"/>
      <c r="Y41" s="67"/>
      <c r="Z41" s="87"/>
      <c r="AA41" s="87">
        <f>IF($F41&lt;=0,0,($Z$30*$H41)/MAX($F41,1))</f>
        <v>20.796983781754125</v>
      </c>
      <c r="AB41" s="87">
        <f>IF($F41&lt;=0,0,IF(SUM($AA41:AA41)+($Z$30*$H41)/$F41&lt;($Z$30*$H41),($Z$30*$H41)/$F41,($Z$30*$H41)-SUM($AA41:AA41)))</f>
        <v>20.796983781754125</v>
      </c>
      <c r="AC41" s="87">
        <f>IF($F41&lt;=0,0,IF(SUM($AA41:AB41)+($Z$30*$H41)/$F41&lt;($Z$30*$H41),($Z$30*$H41)/$F41,($Z$30*$H41)-SUM($AA41:AB41)))</f>
        <v>15.377320876943074</v>
      </c>
      <c r="AD41" s="87">
        <f>IF($F41&lt;=0,0,IF(SUM($AA41:AC41)+($Z$30*$H41)/$F41&lt;($Z$30*$H41),($Z$30*$H41)/$F41,($Z$30*$H41)-SUM($AA41:AC41)))</f>
        <v>0</v>
      </c>
      <c r="AE41" s="87">
        <f>IF($F41&lt;=0,0,IF(SUM($AA41:AD41)+($Z$30*$H41)/$F41&lt;($Z$30*$H41),($Z$30*$H41)/$F41,($Z$30*$H41)-SUM($AA41:AD41)))</f>
        <v>0</v>
      </c>
      <c r="AF41" s="87">
        <f>IF($F41&lt;=0,0,IF(SUM($AA41:AE41)+($Z$30*$H41)/$F41&lt;($Z$30*$H41),($Z$30*$H41)/$F41,($Z$30*$H41)-SUM($AA41:AE41)))</f>
        <v>0</v>
      </c>
      <c r="AG41" s="87">
        <f>IF($F41&lt;=0,0,IF(SUM($AA41:AF41)+($Z$30*$H41)/$F41&lt;($Z$30*$H41),($Z$30*$H41)/$F41,($Z$30*$H41)-SUM($AA41:AF41)))</f>
        <v>0</v>
      </c>
      <c r="AH41" s="87">
        <f>IF($F41&lt;=0,0,IF(SUM($AA41:AG41)+($Z$30*$H41)/$F41&lt;($Z$30*$H41),($Z$30*$H41)/$F41,($Z$30*$H41)-SUM($AA41:AG41)))</f>
        <v>0</v>
      </c>
      <c r="AI41" s="87">
        <f>IF($F41&lt;=0,0,IF(SUM($AA41:AH41)+($Z$30*$H41)/$F41&lt;($Z$30*$H41),($Z$30*$H41)/$F41,($Z$30*$H41)-SUM($AA41:AH41)))</f>
        <v>0</v>
      </c>
      <c r="AJ41" s="87">
        <f>IF($F41&lt;=0,0,IF(SUM($AA41:AI41)+($Z$30*$H41)/$F41&lt;($Z$30*$H41),($Z$30*$H41)/$F41,($Z$30*$H41)-SUM($AA41:AI41)))</f>
        <v>0</v>
      </c>
      <c r="AL41" s="842"/>
      <c r="AM41" s="842"/>
      <c r="AN41" s="842"/>
      <c r="AO41" s="842"/>
      <c r="AP41" s="842"/>
    </row>
    <row r="42" spans="3:54">
      <c r="C42" s="63">
        <v>2</v>
      </c>
      <c r="D42" s="492" t="s">
        <v>804</v>
      </c>
      <c r="E42" s="493"/>
      <c r="F42" s="1970">
        <v>4.3850655255658673</v>
      </c>
      <c r="G42" s="1971">
        <v>118.49993830945826</v>
      </c>
      <c r="H42" s="480">
        <f t="shared" si="11"/>
        <v>7.5319218921053189E-3</v>
      </c>
      <c r="I42" s="415">
        <f t="shared" ref="I42:I80" si="12">IFERROR(G42/$G$82*F42,"")</f>
        <v>3.302797103032587E-2</v>
      </c>
      <c r="M42" s="196"/>
      <c r="N42" s="415"/>
      <c r="O42" s="415"/>
      <c r="P42" s="415"/>
      <c r="U42" s="860"/>
      <c r="W42" s="77"/>
      <c r="Y42" s="67"/>
      <c r="Z42" s="87"/>
      <c r="AA42" s="87">
        <f t="shared" ref="AA42:AA80" si="13">IF($F42&lt;=0,0,($Z$30*$H42)/MAX($F42,1))</f>
        <v>27.023527383702334</v>
      </c>
      <c r="AB42" s="87">
        <f>IF($F42&lt;=0,0,IF(SUM($AA42:AA42)+($Z$30*$H42)/$F42&lt;($Z$30*$H42),($Z$30*$H42)/$F42,($Z$30*$H42)-SUM($AA42:AA42)))</f>
        <v>27.023527383702334</v>
      </c>
      <c r="AC42" s="87">
        <f>IF($F42&lt;=0,0,IF(SUM($AA42:AB42)+($Z$30*$H42)/$F42&lt;($Z$30*$H42),($Z$30*$H42)/$F42,($Z$30*$H42)-SUM($AA42:AB42)))</f>
        <v>27.023527383702334</v>
      </c>
      <c r="AD42" s="87">
        <f>IF($F42&lt;=0,0,IF(SUM($AA42:AC42)+($Z$30*$H42)/$F42&lt;($Z$30*$H42),($Z$30*$H42)/$F42,($Z$30*$H42)-SUM($AA42:AC42)))</f>
        <v>27.023527383702334</v>
      </c>
      <c r="AE42" s="87">
        <f>IF($F42&lt;=0,0,IF(SUM($AA42:AD42)+($Z$30*$H42)/$F42&lt;($Z$30*$H42),($Z$30*$H42)/$F42,($Z$30*$H42)-SUM($AA42:AD42)))</f>
        <v>10.405828774648938</v>
      </c>
      <c r="AF42" s="87">
        <f>IF($F42&lt;=0,0,IF(SUM($AA42:AE42)+($Z$30*$H42)/$F42&lt;($Z$30*$H42),($Z$30*$H42)/$F42,($Z$30*$H42)-SUM($AA42:AE42)))</f>
        <v>0</v>
      </c>
      <c r="AG42" s="87">
        <f>IF($F42&lt;=0,0,IF(SUM($AA42:AF42)+($Z$30*$H42)/$F42&lt;($Z$30*$H42),($Z$30*$H42)/$F42,($Z$30*$H42)-SUM($AA42:AF42)))</f>
        <v>0</v>
      </c>
      <c r="AH42" s="87">
        <f>IF($F42&lt;=0,0,IF(SUM($AA42:AG42)+($Z$30*$H42)/$F42&lt;($Z$30*$H42),($Z$30*$H42)/$F42,($Z$30*$H42)-SUM($AA42:AG42)))</f>
        <v>0</v>
      </c>
      <c r="AI42" s="87">
        <f>IF($F42&lt;=0,0,IF(SUM($AA42:AH42)+($Z$30*$H42)/$F42&lt;($Z$30*$H42),($Z$30*$H42)/$F42,($Z$30*$H42)-SUM($AA42:AH42)))</f>
        <v>0</v>
      </c>
      <c r="AJ42" s="87">
        <f>IF($F42&lt;=0,0,IF(SUM($AA42:AI42)+($Z$30*$H42)/$F42&lt;($Z$30*$H42),($Z$30*$H42)/$F42,($Z$30*$H42)-SUM($AA42:AI42)))</f>
        <v>0</v>
      </c>
      <c r="AL42" s="842"/>
      <c r="AM42" s="842"/>
      <c r="AN42" s="842"/>
      <c r="AO42" s="842"/>
      <c r="AP42" s="842"/>
    </row>
    <row r="43" spans="3:54">
      <c r="C43" s="63">
        <v>3</v>
      </c>
      <c r="D43" s="492" t="s">
        <v>805</v>
      </c>
      <c r="E43" s="493"/>
      <c r="F43" s="1970">
        <v>82.659734956740593</v>
      </c>
      <c r="G43" s="1971">
        <v>3514.4826502791616</v>
      </c>
      <c r="H43" s="480">
        <f t="shared" si="11"/>
        <v>0.22338246914470444</v>
      </c>
      <c r="I43" s="415">
        <f t="shared" si="12"/>
        <v>18.464735693483554</v>
      </c>
      <c r="N43" s="415"/>
      <c r="O43" s="415"/>
      <c r="P43" s="415"/>
      <c r="V43" s="415"/>
      <c r="W43" s="87"/>
      <c r="X43" s="67"/>
      <c r="Y43" s="67"/>
      <c r="Z43" s="87"/>
      <c r="AA43" s="87">
        <f t="shared" si="13"/>
        <v>42.517468173814521</v>
      </c>
      <c r="AB43" s="87">
        <f>IF($F43&lt;=0,0,IF(SUM($AA43:AA43)+($Z$30*$H43)/$F43&lt;($Z$30*$H43),($Z$30*$H43)/$F43,($Z$30*$H43)-SUM($AA43:AA43)))</f>
        <v>42.517468173814521</v>
      </c>
      <c r="AC43" s="87">
        <f>IF($F43&lt;=0,0,IF(SUM($AA43:AB43)+($Z$30*$H43)/$F43&lt;($Z$30*$H43),($Z$30*$H43)/$F43,($Z$30*$H43)-SUM($AA43:AB43)))</f>
        <v>42.517468173814521</v>
      </c>
      <c r="AD43" s="87">
        <f>IF($F43&lt;=0,0,IF(SUM($AA43:AC43)+($Z$30*$H43)/$F43&lt;($Z$30*$H43),($Z$30*$H43)/$F43,($Z$30*$H43)-SUM($AA43:AC43)))</f>
        <v>42.517468173814521</v>
      </c>
      <c r="AE43" s="87">
        <f>IF($F43&lt;=0,0,IF(SUM($AA43:AD43)+($Z$30*$H43)/$F43&lt;($Z$30*$H43),($Z$30*$H43)/$F43,($Z$30*$H43)-SUM($AA43:AD43)))</f>
        <v>42.517468173814521</v>
      </c>
      <c r="AF43" s="87">
        <f>IF($F43&lt;=0,0,IF(SUM($AA43:AE43)+($Z$30*$H43)/$F43&lt;($Z$30*$H43),($Z$30*$H43)/$F43,($Z$30*$H43)-SUM($AA43:AE43)))</f>
        <v>42.517468173814521</v>
      </c>
      <c r="AG43" s="87">
        <f>IF($F43&lt;=0,0,IF(SUM($AA43:AF43)+($Z$30*$H43)/$F43&lt;($Z$30*$H43),($Z$30*$H43)/$F43,($Z$30*$H43)-SUM($AA43:AF43)))</f>
        <v>42.517468173814521</v>
      </c>
      <c r="AH43" s="87">
        <f>IF($F43&lt;=0,0,IF(SUM($AA43:AG43)+($Z$30*$H43)/$F43&lt;($Z$30*$H43),($Z$30*$H43)/$F43,($Z$30*$H43)-SUM($AA43:AG43)))</f>
        <v>42.517468173814521</v>
      </c>
      <c r="AI43" s="87">
        <f>IF($F43&lt;=0,0,IF(SUM($AA43:AH43)+($Z$30*$H43)/$F43&lt;($Z$30*$H43),($Z$30*$H43)/$F43,($Z$30*$H43)-SUM($AA43:AH43)))</f>
        <v>42.517468173814521</v>
      </c>
      <c r="AJ43" s="87">
        <f>IF($F43&lt;=0,0,IF(SUM($AA43:AI43)+($Z$30*$H43)/$F43&lt;($Z$30*$H43),($Z$30*$H43)/$F43,($Z$30*$H43)-SUM($AA43:AI43)))</f>
        <v>42.517468173814521</v>
      </c>
      <c r="AL43" s="842"/>
      <c r="AM43" s="842"/>
      <c r="AN43" s="842"/>
      <c r="AO43" s="842"/>
      <c r="AP43" s="842"/>
    </row>
    <row r="44" spans="3:54">
      <c r="C44" s="63">
        <v>4</v>
      </c>
      <c r="D44" s="492" t="s">
        <v>806</v>
      </c>
      <c r="E44" s="493"/>
      <c r="F44" s="1970">
        <v>32.338952590753649</v>
      </c>
      <c r="G44" s="1971">
        <v>1757.3119839914857</v>
      </c>
      <c r="H44" s="480">
        <f t="shared" si="11"/>
        <v>0.1116957256882222</v>
      </c>
      <c r="I44" s="415">
        <f t="shared" si="12"/>
        <v>3.6121227776212423</v>
      </c>
      <c r="N44" s="415"/>
      <c r="O44" s="415"/>
      <c r="P44" s="415"/>
      <c r="V44" s="415"/>
      <c r="W44" s="87"/>
      <c r="X44" s="67"/>
      <c r="Y44" s="67"/>
      <c r="Z44" s="87"/>
      <c r="AA44" s="87">
        <f t="shared" si="13"/>
        <v>54.34041127522282</v>
      </c>
      <c r="AB44" s="87">
        <f>IF($F44&lt;=0,0,IF(SUM($AA44:AA44)+($Z$30*$H44)/$F44&lt;($Z$30*$H44),($Z$30*$H44)/$F44,($Z$30*$H44)-SUM($AA44:AA44)))</f>
        <v>54.34041127522282</v>
      </c>
      <c r="AC44" s="87">
        <f>IF($F44&lt;=0,0,IF(SUM($AA44:AB44)+($Z$30*$H44)/$F44&lt;($Z$30*$H44),($Z$30*$H44)/$F44,($Z$30*$H44)-SUM($AA44:AB44)))</f>
        <v>54.34041127522282</v>
      </c>
      <c r="AD44" s="87">
        <f>IF($F44&lt;=0,0,IF(SUM($AA44:AC44)+($Z$30*$H44)/$F44&lt;($Z$30*$H44),($Z$30*$H44)/$F44,($Z$30*$H44)-SUM($AA44:AC44)))</f>
        <v>54.34041127522282</v>
      </c>
      <c r="AE44" s="87">
        <f>IF($F44&lt;=0,0,IF(SUM($AA44:AD44)+($Z$30*$H44)/$F44&lt;($Z$30*$H44),($Z$30*$H44)/$F44,($Z$30*$H44)-SUM($AA44:AD44)))</f>
        <v>54.34041127522282</v>
      </c>
      <c r="AF44" s="87">
        <f>IF($F44&lt;=0,0,IF(SUM($AA44:AE44)+($Z$30*$H44)/$F44&lt;($Z$30*$H44),($Z$30*$H44)/$F44,($Z$30*$H44)-SUM($AA44:AE44)))</f>
        <v>54.34041127522282</v>
      </c>
      <c r="AG44" s="87">
        <f>IF($F44&lt;=0,0,IF(SUM($AA44:AF44)+($Z$30*$H44)/$F44&lt;($Z$30*$H44),($Z$30*$H44)/$F44,($Z$30*$H44)-SUM($AA44:AF44)))</f>
        <v>54.34041127522282</v>
      </c>
      <c r="AH44" s="87">
        <f>IF($F44&lt;=0,0,IF(SUM($AA44:AG44)+($Z$30*$H44)/$F44&lt;($Z$30*$H44),($Z$30*$H44)/$F44,($Z$30*$H44)-SUM($AA44:AG44)))</f>
        <v>54.34041127522282</v>
      </c>
      <c r="AI44" s="87">
        <f>IF($F44&lt;=0,0,IF(SUM($AA44:AH44)+($Z$30*$H44)/$F44&lt;($Z$30*$H44),($Z$30*$H44)/$F44,($Z$30*$H44)-SUM($AA44:AH44)))</f>
        <v>54.34041127522282</v>
      </c>
      <c r="AJ44" s="87">
        <f>IF($F44&lt;=0,0,IF(SUM($AA44:AI44)+($Z$30*$H44)/$F44&lt;($Z$30*$H44),($Z$30*$H44)/$F44,($Z$30*$H44)-SUM($AA44:AI44)))</f>
        <v>54.34041127522282</v>
      </c>
      <c r="AL44" s="842"/>
      <c r="AM44" s="842"/>
      <c r="AN44" s="842"/>
      <c r="AO44" s="842"/>
      <c r="AP44" s="842"/>
    </row>
    <row r="45" spans="3:54">
      <c r="C45" s="63">
        <v>5</v>
      </c>
      <c r="D45" s="492" t="s">
        <v>807</v>
      </c>
      <c r="E45" s="493"/>
      <c r="F45" s="1970">
        <v>54.90789784222784</v>
      </c>
      <c r="G45" s="1971">
        <v>1762.7296991224878</v>
      </c>
      <c r="H45" s="480">
        <f t="shared" si="11"/>
        <v>0.11204007867086951</v>
      </c>
      <c r="I45" s="415">
        <f t="shared" si="12"/>
        <v>6.1518851938952732</v>
      </c>
      <c r="N45" s="415"/>
      <c r="O45" s="415"/>
      <c r="P45" s="415"/>
      <c r="V45" s="415"/>
      <c r="W45" s="87"/>
      <c r="X45" s="67"/>
      <c r="Y45" s="67"/>
      <c r="Z45" s="87"/>
      <c r="AA45" s="87">
        <f t="shared" si="13"/>
        <v>32.103390739662068</v>
      </c>
      <c r="AB45" s="87">
        <f>IF($F45&lt;=0,0,IF(SUM($AA45:AA45)+($Z$30*$H45)/$F45&lt;($Z$30*$H45),($Z$30*$H45)/$F45,($Z$30*$H45)-SUM($AA45:AA45)))</f>
        <v>32.103390739662068</v>
      </c>
      <c r="AC45" s="87">
        <f>IF($F45&lt;=0,0,IF(SUM($AA45:AB45)+($Z$30*$H45)/$F45&lt;($Z$30*$H45),($Z$30*$H45)/$F45,($Z$30*$H45)-SUM($AA45:AB45)))</f>
        <v>32.103390739662068</v>
      </c>
      <c r="AD45" s="87">
        <f>IF($F45&lt;=0,0,IF(SUM($AA45:AC45)+($Z$30*$H45)/$F45&lt;($Z$30*$H45),($Z$30*$H45)/$F45,($Z$30*$H45)-SUM($AA45:AC45)))</f>
        <v>32.103390739662068</v>
      </c>
      <c r="AE45" s="87">
        <f>IF($F45&lt;=0,0,IF(SUM($AA45:AD45)+($Z$30*$H45)/$F45&lt;($Z$30*$H45),($Z$30*$H45)/$F45,($Z$30*$H45)-SUM($AA45:AD45)))</f>
        <v>32.103390739662068</v>
      </c>
      <c r="AF45" s="87">
        <f>IF($F45&lt;=0,0,IF(SUM($AA45:AE45)+($Z$30*$H45)/$F45&lt;($Z$30*$H45),($Z$30*$H45)/$F45,($Z$30*$H45)-SUM($AA45:AE45)))</f>
        <v>32.103390739662068</v>
      </c>
      <c r="AG45" s="87">
        <f>IF($F45&lt;=0,0,IF(SUM($AA45:AF45)+($Z$30*$H45)/$F45&lt;($Z$30*$H45),($Z$30*$H45)/$F45,($Z$30*$H45)-SUM($AA45:AF45)))</f>
        <v>32.103390739662068</v>
      </c>
      <c r="AH45" s="87">
        <f>IF($F45&lt;=0,0,IF(SUM($AA45:AG45)+($Z$30*$H45)/$F45&lt;($Z$30*$H45),($Z$30*$H45)/$F45,($Z$30*$H45)-SUM($AA45:AG45)))</f>
        <v>32.103390739662068</v>
      </c>
      <c r="AI45" s="87">
        <f>IF($F45&lt;=0,0,IF(SUM($AA45:AH45)+($Z$30*$H45)/$F45&lt;($Z$30*$H45),($Z$30*$H45)/$F45,($Z$30*$H45)-SUM($AA45:AH45)))</f>
        <v>32.103390739662068</v>
      </c>
      <c r="AJ45" s="87">
        <f>IF($F45&lt;=0,0,IF(SUM($AA45:AI45)+($Z$30*$H45)/$F45&lt;($Z$30*$H45),($Z$30*$H45)/$F45,($Z$30*$H45)-SUM($AA45:AI45)))</f>
        <v>32.103390739662068</v>
      </c>
      <c r="AL45" s="842"/>
      <c r="AM45" s="842"/>
      <c r="AN45" s="842"/>
      <c r="AO45" s="842"/>
      <c r="AP45" s="842"/>
    </row>
    <row r="46" spans="3:54">
      <c r="C46" s="63">
        <v>6</v>
      </c>
      <c r="D46" s="492" t="s">
        <v>808</v>
      </c>
      <c r="E46" s="493"/>
      <c r="F46" s="1970">
        <v>93.661699476120518</v>
      </c>
      <c r="G46" s="1971">
        <v>3173.2267798175053</v>
      </c>
      <c r="H46" s="480">
        <f t="shared" si="11"/>
        <v>0.20169205648957436</v>
      </c>
      <c r="I46" s="415">
        <f t="shared" si="12"/>
        <v>18.890820781647236</v>
      </c>
      <c r="N46" s="415"/>
      <c r="O46" s="415"/>
      <c r="P46" s="415"/>
      <c r="V46" s="415"/>
      <c r="W46" s="87"/>
      <c r="X46" s="67"/>
      <c r="Y46" s="67"/>
      <c r="Z46" s="87"/>
      <c r="AA46" s="87">
        <f t="shared" si="13"/>
        <v>33.879662632285829</v>
      </c>
      <c r="AB46" s="87">
        <f>IF($F46&lt;=0,0,IF(SUM($AA46:AA46)+($Z$30*$H46)/$F46&lt;($Z$30*$H46),($Z$30*$H46)/$F46,($Z$30*$H46)-SUM($AA46:AA46)))</f>
        <v>33.879662632285829</v>
      </c>
      <c r="AC46" s="87">
        <f>IF($F46&lt;=0,0,IF(SUM($AA46:AB46)+($Z$30*$H46)/$F46&lt;($Z$30*$H46),($Z$30*$H46)/$F46,($Z$30*$H46)-SUM($AA46:AB46)))</f>
        <v>33.879662632285829</v>
      </c>
      <c r="AD46" s="87">
        <f>IF($F46&lt;=0,0,IF(SUM($AA46:AC46)+($Z$30*$H46)/$F46&lt;($Z$30*$H46),($Z$30*$H46)/$F46,($Z$30*$H46)-SUM($AA46:AC46)))</f>
        <v>33.879662632285829</v>
      </c>
      <c r="AE46" s="87">
        <f>IF($F46&lt;=0,0,IF(SUM($AA46:AD46)+($Z$30*$H46)/$F46&lt;($Z$30*$H46),($Z$30*$H46)/$F46,($Z$30*$H46)-SUM($AA46:AD46)))</f>
        <v>33.879662632285829</v>
      </c>
      <c r="AF46" s="87">
        <f>IF($F46&lt;=0,0,IF(SUM($AA46:AE46)+($Z$30*$H46)/$F46&lt;($Z$30*$H46),($Z$30*$H46)/$F46,($Z$30*$H46)-SUM($AA46:AE46)))</f>
        <v>33.879662632285829</v>
      </c>
      <c r="AG46" s="87">
        <f>IF($F46&lt;=0,0,IF(SUM($AA46:AF46)+($Z$30*$H46)/$F46&lt;($Z$30*$H46),($Z$30*$H46)/$F46,($Z$30*$H46)-SUM($AA46:AF46)))</f>
        <v>33.879662632285829</v>
      </c>
      <c r="AH46" s="87">
        <f>IF($F46&lt;=0,0,IF(SUM($AA46:AG46)+($Z$30*$H46)/$F46&lt;($Z$30*$H46),($Z$30*$H46)/$F46,($Z$30*$H46)-SUM($AA46:AG46)))</f>
        <v>33.879662632285829</v>
      </c>
      <c r="AI46" s="87">
        <f>IF($F46&lt;=0,0,IF(SUM($AA46:AH46)+($Z$30*$H46)/$F46&lt;($Z$30*$H46),($Z$30*$H46)/$F46,($Z$30*$H46)-SUM($AA46:AH46)))</f>
        <v>33.879662632285829</v>
      </c>
      <c r="AJ46" s="87">
        <f>IF($F46&lt;=0,0,IF(SUM($AA46:AI46)+($Z$30*$H46)/$F46&lt;($Z$30*$H46),($Z$30*$H46)/$F46,($Z$30*$H46)-SUM($AA46:AI46)))</f>
        <v>33.879662632285829</v>
      </c>
      <c r="AL46" s="842"/>
      <c r="AM46" s="842"/>
      <c r="AN46" s="842"/>
      <c r="AO46" s="842"/>
      <c r="AP46" s="842"/>
    </row>
    <row r="47" spans="3:54">
      <c r="C47" s="63">
        <v>7</v>
      </c>
      <c r="D47" s="492" t="s">
        <v>809</v>
      </c>
      <c r="E47" s="493"/>
      <c r="F47" s="1970">
        <v>29.858424090192408</v>
      </c>
      <c r="G47" s="1971">
        <v>713.12269925814121</v>
      </c>
      <c r="H47" s="480">
        <f t="shared" si="11"/>
        <v>4.5326474822906485E-2</v>
      </c>
      <c r="I47" s="415">
        <f t="shared" si="12"/>
        <v>1.3533771077757706</v>
      </c>
      <c r="N47" s="415"/>
      <c r="O47" s="415"/>
      <c r="P47" s="415"/>
      <c r="V47" s="415"/>
      <c r="W47" s="415"/>
      <c r="X47" s="67"/>
      <c r="Y47" s="67"/>
      <c r="Z47" s="87"/>
      <c r="AA47" s="87">
        <f t="shared" si="13"/>
        <v>23.883467429628364</v>
      </c>
      <c r="AB47" s="87">
        <f>IF($F47&lt;=0,0,IF(SUM($AA47:AA47)+($Z$30*$H47)/$F47&lt;($Z$30*$H47),($Z$30*$H47)/$F47,($Z$30*$H47)-SUM($AA47:AA47)))</f>
        <v>23.883467429628364</v>
      </c>
      <c r="AC47" s="87">
        <f>IF($F47&lt;=0,0,IF(SUM($AA47:AB47)+($Z$30*$H47)/$F47&lt;($Z$30*$H47),($Z$30*$H47)/$F47,($Z$30*$H47)-SUM($AA47:AB47)))</f>
        <v>23.883467429628364</v>
      </c>
      <c r="AD47" s="87">
        <f>IF($F47&lt;=0,0,IF(SUM($AA47:AC47)+($Z$30*$H47)/$F47&lt;($Z$30*$H47),($Z$30*$H47)/$F47,($Z$30*$H47)-SUM($AA47:AC47)))</f>
        <v>23.883467429628364</v>
      </c>
      <c r="AE47" s="87">
        <f>IF($F47&lt;=0,0,IF(SUM($AA47:AD47)+($Z$30*$H47)/$F47&lt;($Z$30*$H47),($Z$30*$H47)/$F47,($Z$30*$H47)-SUM($AA47:AD47)))</f>
        <v>23.883467429628364</v>
      </c>
      <c r="AF47" s="87">
        <f>IF($F47&lt;=0,0,IF(SUM($AA47:AE47)+($Z$30*$H47)/$F47&lt;($Z$30*$H47),($Z$30*$H47)/$F47,($Z$30*$H47)-SUM($AA47:AE47)))</f>
        <v>23.883467429628364</v>
      </c>
      <c r="AG47" s="87">
        <f>IF($F47&lt;=0,0,IF(SUM($AA47:AF47)+($Z$30*$H47)/$F47&lt;($Z$30*$H47),($Z$30*$H47)/$F47,($Z$30*$H47)-SUM($AA47:AF47)))</f>
        <v>23.883467429628364</v>
      </c>
      <c r="AH47" s="87">
        <f>IF($F47&lt;=0,0,IF(SUM($AA47:AG47)+($Z$30*$H47)/$F47&lt;($Z$30*$H47),($Z$30*$H47)/$F47,($Z$30*$H47)-SUM($AA47:AG47)))</f>
        <v>23.883467429628364</v>
      </c>
      <c r="AI47" s="87">
        <f>IF($F47&lt;=0,0,IF(SUM($AA47:AH47)+($Z$30*$H47)/$F47&lt;($Z$30*$H47),($Z$30*$H47)/$F47,($Z$30*$H47)-SUM($AA47:AH47)))</f>
        <v>23.883467429628364</v>
      </c>
      <c r="AJ47" s="87">
        <f>IF($F47&lt;=0,0,IF(SUM($AA47:AI47)+($Z$30*$H47)/$F47&lt;($Z$30*$H47),($Z$30*$H47)/$F47,($Z$30*$H47)-SUM($AA47:AI47)))</f>
        <v>23.883467429628364</v>
      </c>
      <c r="AL47" s="842"/>
      <c r="AM47" s="842"/>
      <c r="AN47" s="842"/>
      <c r="AO47" s="842"/>
      <c r="AP47" s="842"/>
    </row>
    <row r="48" spans="3:54">
      <c r="C48" s="63">
        <v>8</v>
      </c>
      <c r="D48" s="492" t="s">
        <v>810</v>
      </c>
      <c r="E48" s="493"/>
      <c r="F48" s="1970">
        <v>119.98382823289458</v>
      </c>
      <c r="G48" s="1971">
        <v>2096.4037931290941</v>
      </c>
      <c r="H48" s="480">
        <f t="shared" si="11"/>
        <v>0.13324858940370735</v>
      </c>
      <c r="I48" s="415">
        <f t="shared" si="12"/>
        <v>15.987675863289919</v>
      </c>
      <c r="N48" s="415"/>
      <c r="O48" s="415"/>
      <c r="P48" s="415"/>
      <c r="V48" s="415"/>
      <c r="W48" s="415"/>
      <c r="X48" s="67"/>
      <c r="Y48" s="67"/>
      <c r="Z48" s="87"/>
      <c r="AA48" s="87">
        <f t="shared" si="13"/>
        <v>17.472386270755344</v>
      </c>
      <c r="AB48" s="87">
        <f>IF($F48&lt;=0,0,IF(SUM($AA48:AA48)+($Z$30*$H48)/$F48&lt;($Z$30*$H48),($Z$30*$H48)/$F48,($Z$30*$H48)-SUM($AA48:AA48)))</f>
        <v>17.472386270755344</v>
      </c>
      <c r="AC48" s="87">
        <f>IF($F48&lt;=0,0,IF(SUM($AA48:AB48)+($Z$30*$H48)/$F48&lt;($Z$30*$H48),($Z$30*$H48)/$F48,($Z$30*$H48)-SUM($AA48:AB48)))</f>
        <v>17.472386270755344</v>
      </c>
      <c r="AD48" s="87">
        <f>IF($F48&lt;=0,0,IF(SUM($AA48:AC48)+($Z$30*$H48)/$F48&lt;($Z$30*$H48),($Z$30*$H48)/$F48,($Z$30*$H48)-SUM($AA48:AC48)))</f>
        <v>17.472386270755344</v>
      </c>
      <c r="AE48" s="87">
        <f>IF($F48&lt;=0,0,IF(SUM($AA48:AD48)+($Z$30*$H48)/$F48&lt;($Z$30*$H48),($Z$30*$H48)/$F48,($Z$30*$H48)-SUM($AA48:AD48)))</f>
        <v>17.472386270755344</v>
      </c>
      <c r="AF48" s="87">
        <f>IF($F48&lt;=0,0,IF(SUM($AA48:AE48)+($Z$30*$H48)/$F48&lt;($Z$30*$H48),($Z$30*$H48)/$F48,($Z$30*$H48)-SUM($AA48:AE48)))</f>
        <v>17.472386270755344</v>
      </c>
      <c r="AG48" s="87">
        <f>IF($F48&lt;=0,0,IF(SUM($AA48:AF48)+($Z$30*$H48)/$F48&lt;($Z$30*$H48),($Z$30*$H48)/$F48,($Z$30*$H48)-SUM($AA48:AF48)))</f>
        <v>17.472386270755344</v>
      </c>
      <c r="AH48" s="87">
        <f>IF($F48&lt;=0,0,IF(SUM($AA48:AG48)+($Z$30*$H48)/$F48&lt;($Z$30*$H48),($Z$30*$H48)/$F48,($Z$30*$H48)-SUM($AA48:AG48)))</f>
        <v>17.472386270755344</v>
      </c>
      <c r="AI48" s="87">
        <f>IF($F48&lt;=0,0,IF(SUM($AA48:AH48)+($Z$30*$H48)/$F48&lt;($Z$30*$H48),($Z$30*$H48)/$F48,($Z$30*$H48)-SUM($AA48:AH48)))</f>
        <v>17.472386270755344</v>
      </c>
      <c r="AJ48" s="87">
        <f>IF($F48&lt;=0,0,IF(SUM($AA48:AI48)+($Z$30*$H48)/$F48&lt;($Z$30*$H48),($Z$30*$H48)/$F48,($Z$30*$H48)-SUM($AA48:AI48)))</f>
        <v>17.472386270755344</v>
      </c>
      <c r="AL48" s="842"/>
      <c r="AM48" s="842"/>
      <c r="AN48" s="842"/>
      <c r="AO48" s="842"/>
      <c r="AP48" s="842"/>
    </row>
    <row r="49" spans="3:42">
      <c r="C49" s="63">
        <v>9</v>
      </c>
      <c r="D49" s="492" t="s">
        <v>811</v>
      </c>
      <c r="E49" s="493"/>
      <c r="F49" s="1970">
        <v>62.591980426565343</v>
      </c>
      <c r="G49" s="1971">
        <v>1034.4821322078499</v>
      </c>
      <c r="H49" s="480">
        <f t="shared" si="11"/>
        <v>6.5752258859582816E-2</v>
      </c>
      <c r="I49" s="415">
        <f t="shared" si="12"/>
        <v>4.1155640995414648</v>
      </c>
      <c r="N49" s="415"/>
      <c r="O49" s="415"/>
      <c r="P49" s="415"/>
      <c r="V49" s="415"/>
      <c r="W49" s="415"/>
      <c r="X49" s="67"/>
      <c r="Y49" s="67"/>
      <c r="Z49" s="87"/>
      <c r="AA49" s="87">
        <f t="shared" si="13"/>
        <v>16.527390971780058</v>
      </c>
      <c r="AB49" s="87">
        <f>IF($F49&lt;=0,0,IF(SUM($AA49:AA49)+($Z$30*$H49)/$F49&lt;($Z$30*$H49),($Z$30*$H49)/$F49,($Z$30*$H49)-SUM($AA49:AA49)))</f>
        <v>16.527390971780058</v>
      </c>
      <c r="AC49" s="87">
        <f>IF($F49&lt;=0,0,IF(SUM($AA49:AB49)+($Z$30*$H49)/$F49&lt;($Z$30*$H49),($Z$30*$H49)/$F49,($Z$30*$H49)-SUM($AA49:AB49)))</f>
        <v>16.527390971780058</v>
      </c>
      <c r="AD49" s="87">
        <f>IF($F49&lt;=0,0,IF(SUM($AA49:AC49)+($Z$30*$H49)/$F49&lt;($Z$30*$H49),($Z$30*$H49)/$F49,($Z$30*$H49)-SUM($AA49:AC49)))</f>
        <v>16.527390971780058</v>
      </c>
      <c r="AE49" s="87">
        <f>IF($F49&lt;=0,0,IF(SUM($AA49:AD49)+($Z$30*$H49)/$F49&lt;($Z$30*$H49),($Z$30*$H49)/$F49,($Z$30*$H49)-SUM($AA49:AD49)))</f>
        <v>16.527390971780058</v>
      </c>
      <c r="AF49" s="87">
        <f>IF($F49&lt;=0,0,IF(SUM($AA49:AE49)+($Z$30*$H49)/$F49&lt;($Z$30*$H49),($Z$30*$H49)/$F49,($Z$30*$H49)-SUM($AA49:AE49)))</f>
        <v>16.527390971780058</v>
      </c>
      <c r="AG49" s="87">
        <f>IF($F49&lt;=0,0,IF(SUM($AA49:AF49)+($Z$30*$H49)/$F49&lt;($Z$30*$H49),($Z$30*$H49)/$F49,($Z$30*$H49)-SUM($AA49:AF49)))</f>
        <v>16.527390971780058</v>
      </c>
      <c r="AH49" s="87">
        <f>IF($F49&lt;=0,0,IF(SUM($AA49:AG49)+($Z$30*$H49)/$F49&lt;($Z$30*$H49),($Z$30*$H49)/$F49,($Z$30*$H49)-SUM($AA49:AG49)))</f>
        <v>16.527390971780058</v>
      </c>
      <c r="AI49" s="87">
        <f>IF($F49&lt;=0,0,IF(SUM($AA49:AH49)+($Z$30*$H49)/$F49&lt;($Z$30*$H49),($Z$30*$H49)/$F49,($Z$30*$H49)-SUM($AA49:AH49)))</f>
        <v>16.527390971780058</v>
      </c>
      <c r="AJ49" s="87">
        <f>IF($F49&lt;=0,0,IF(SUM($AA49:AI49)+($Z$30*$H49)/$F49&lt;($Z$30*$H49),($Z$30*$H49)/$F49,($Z$30*$H49)-SUM($AA49:AI49)))</f>
        <v>16.527390971780058</v>
      </c>
      <c r="AL49" s="842"/>
      <c r="AM49" s="842"/>
      <c r="AN49" s="842"/>
      <c r="AO49" s="842"/>
      <c r="AP49" s="842"/>
    </row>
    <row r="50" spans="3:42">
      <c r="C50" s="63">
        <v>10</v>
      </c>
      <c r="D50" s="492" t="s">
        <v>812</v>
      </c>
      <c r="E50" s="493"/>
      <c r="F50" s="494">
        <v>30.0151181763738</v>
      </c>
      <c r="G50" s="494">
        <v>629.4890147192026</v>
      </c>
      <c r="H50" s="480">
        <f t="shared" si="11"/>
        <v>4.0010671384669724E-2</v>
      </c>
      <c r="I50" s="415">
        <f t="shared" si="12"/>
        <v>1.2009250299269194</v>
      </c>
      <c r="N50" s="415"/>
      <c r="O50" s="415"/>
      <c r="P50" s="415"/>
      <c r="V50" s="415"/>
      <c r="W50" s="415"/>
      <c r="X50" s="67"/>
      <c r="Y50" s="67"/>
      <c r="Z50" s="87"/>
      <c r="AA50" s="87">
        <f t="shared" si="13"/>
        <v>20.972398343402183</v>
      </c>
      <c r="AB50" s="87">
        <f>IF($F50&lt;=0,0,IF(SUM($AA50:AA50)+($Z$30*$H50)/$F50&lt;($Z$30*$H50),($Z$30*$H50)/$F50,($Z$30*$H50)-SUM($AA50:AA50)))</f>
        <v>20.972398343402183</v>
      </c>
      <c r="AC50" s="87">
        <f>IF($F50&lt;=0,0,IF(SUM($AA50:AB50)+($Z$30*$H50)/$F50&lt;($Z$30*$H50),($Z$30*$H50)/$F50,($Z$30*$H50)-SUM($AA50:AB50)))</f>
        <v>20.972398343402183</v>
      </c>
      <c r="AD50" s="87">
        <f>IF($F50&lt;=0,0,IF(SUM($AA50:AC50)+($Z$30*$H50)/$F50&lt;($Z$30*$H50),($Z$30*$H50)/$F50,($Z$30*$H50)-SUM($AA50:AC50)))</f>
        <v>20.972398343402183</v>
      </c>
      <c r="AE50" s="87">
        <f>IF($F50&lt;=0,0,IF(SUM($AA50:AD50)+($Z$30*$H50)/$F50&lt;($Z$30*$H50),($Z$30*$H50)/$F50,($Z$30*$H50)-SUM($AA50:AD50)))</f>
        <v>20.972398343402183</v>
      </c>
      <c r="AF50" s="87">
        <f>IF($F50&lt;=0,0,IF(SUM($AA50:AE50)+($Z$30*$H50)/$F50&lt;($Z$30*$H50),($Z$30*$H50)/$F50,($Z$30*$H50)-SUM($AA50:AE50)))</f>
        <v>20.972398343402183</v>
      </c>
      <c r="AG50" s="87">
        <f>IF($F50&lt;=0,0,IF(SUM($AA50:AF50)+($Z$30*$H50)/$F50&lt;($Z$30*$H50),($Z$30*$H50)/$F50,($Z$30*$H50)-SUM($AA50:AF50)))</f>
        <v>20.972398343402183</v>
      </c>
      <c r="AH50" s="87">
        <f>IF($F50&lt;=0,0,IF(SUM($AA50:AG50)+($Z$30*$H50)/$F50&lt;($Z$30*$H50),($Z$30*$H50)/$F50,($Z$30*$H50)-SUM($AA50:AG50)))</f>
        <v>20.972398343402183</v>
      </c>
      <c r="AI50" s="87">
        <f>IF($F50&lt;=0,0,IF(SUM($AA50:AH50)+($Z$30*$H50)/$F50&lt;($Z$30*$H50),($Z$30*$H50)/$F50,($Z$30*$H50)-SUM($AA50:AH50)))</f>
        <v>20.972398343402183</v>
      </c>
      <c r="AJ50" s="87">
        <f>IF($F50&lt;=0,0,IF(SUM($AA50:AI50)+($Z$30*$H50)/$F50&lt;($Z$30*$H50),($Z$30*$H50)/$F50,($Z$30*$H50)-SUM($AA50:AI50)))</f>
        <v>20.972398343402183</v>
      </c>
      <c r="AL50" s="842"/>
      <c r="AM50" s="842"/>
      <c r="AN50" s="842"/>
      <c r="AO50" s="842"/>
      <c r="AP50" s="842"/>
    </row>
    <row r="51" spans="3:42">
      <c r="C51" s="63">
        <v>11</v>
      </c>
      <c r="D51" s="492" t="s">
        <v>813</v>
      </c>
      <c r="E51" s="493"/>
      <c r="F51" s="494">
        <v>38.396918625165284</v>
      </c>
      <c r="G51" s="494">
        <v>299.27296376070547</v>
      </c>
      <c r="H51" s="480">
        <f t="shared" si="11"/>
        <v>1.9021955788516936E-2</v>
      </c>
      <c r="I51" s="415">
        <f t="shared" si="12"/>
        <v>0.7303844885031765</v>
      </c>
      <c r="N51" s="415"/>
      <c r="O51" s="415"/>
      <c r="P51" s="415"/>
      <c r="V51" s="415"/>
      <c r="W51" s="415"/>
      <c r="X51" s="67"/>
      <c r="Y51" s="67"/>
      <c r="Z51" s="87"/>
      <c r="AA51" s="87">
        <f t="shared" si="13"/>
        <v>7.7941922028233392</v>
      </c>
      <c r="AB51" s="87">
        <f>IF($F51&lt;=0,0,IF(SUM($AA51:AA51)+($Z$30*$H51)/$F51&lt;($Z$30*$H51),($Z$30*$H51)/$F51,($Z$30*$H51)-SUM($AA51:AA51)))</f>
        <v>7.7941922028233392</v>
      </c>
      <c r="AC51" s="87">
        <f>IF($F51&lt;=0,0,IF(SUM($AA51:AB51)+($Z$30*$H51)/$F51&lt;($Z$30*$H51),($Z$30*$H51)/$F51,($Z$30*$H51)-SUM($AA51:AB51)))</f>
        <v>7.7941922028233392</v>
      </c>
      <c r="AD51" s="87">
        <f>IF($F51&lt;=0,0,IF(SUM($AA51:AC51)+($Z$30*$H51)/$F51&lt;($Z$30*$H51),($Z$30*$H51)/$F51,($Z$30*$H51)-SUM($AA51:AC51)))</f>
        <v>7.7941922028233392</v>
      </c>
      <c r="AE51" s="87">
        <f>IF($F51&lt;=0,0,IF(SUM($AA51:AD51)+($Z$30*$H51)/$F51&lt;($Z$30*$H51),($Z$30*$H51)/$F51,($Z$30*$H51)-SUM($AA51:AD51)))</f>
        <v>7.7941922028233392</v>
      </c>
      <c r="AF51" s="87">
        <f>IF($F51&lt;=0,0,IF(SUM($AA51:AE51)+($Z$30*$H51)/$F51&lt;($Z$30*$H51),($Z$30*$H51)/$F51,($Z$30*$H51)-SUM($AA51:AE51)))</f>
        <v>7.7941922028233392</v>
      </c>
      <c r="AG51" s="87">
        <f>IF($F51&lt;=0,0,IF(SUM($AA51:AF51)+($Z$30*$H51)/$F51&lt;($Z$30*$H51),($Z$30*$H51)/$F51,($Z$30*$H51)-SUM($AA51:AF51)))</f>
        <v>7.7941922028233392</v>
      </c>
      <c r="AH51" s="87">
        <f>IF($F51&lt;=0,0,IF(SUM($AA51:AG51)+($Z$30*$H51)/$F51&lt;($Z$30*$H51),($Z$30*$H51)/$F51,($Z$30*$H51)-SUM($AA51:AG51)))</f>
        <v>7.7941922028233392</v>
      </c>
      <c r="AI51" s="87">
        <f>IF($F51&lt;=0,0,IF(SUM($AA51:AH51)+($Z$30*$H51)/$F51&lt;($Z$30*$H51),($Z$30*$H51)/$F51,($Z$30*$H51)-SUM($AA51:AH51)))</f>
        <v>7.7941922028233392</v>
      </c>
      <c r="AJ51" s="87">
        <f>IF($F51&lt;=0,0,IF(SUM($AA51:AI51)+($Z$30*$H51)/$F51&lt;($Z$30*$H51),($Z$30*$H51)/$F51,($Z$30*$H51)-SUM($AA51:AI51)))</f>
        <v>7.7941922028233392</v>
      </c>
      <c r="AL51" s="842"/>
      <c r="AM51" s="842"/>
      <c r="AN51" s="842"/>
      <c r="AO51" s="842"/>
      <c r="AP51" s="842"/>
    </row>
    <row r="52" spans="3:42">
      <c r="C52" s="63">
        <v>12</v>
      </c>
      <c r="D52" s="492" t="s">
        <v>814</v>
      </c>
      <c r="E52" s="493"/>
      <c r="F52" s="494">
        <v>3.2498020744408267</v>
      </c>
      <c r="G52" s="494">
        <v>67.706133410634365</v>
      </c>
      <c r="H52" s="480">
        <f t="shared" si="11"/>
        <v>4.3034394425896282E-3</v>
      </c>
      <c r="I52" s="415">
        <f t="shared" si="12"/>
        <v>1.3985326427758248E-2</v>
      </c>
      <c r="N52" s="415"/>
      <c r="O52" s="415"/>
      <c r="P52" s="415"/>
      <c r="V52" s="415"/>
      <c r="W52" s="415"/>
      <c r="X52" s="67"/>
      <c r="Y52" s="67"/>
      <c r="Z52" s="87"/>
      <c r="AA52" s="87">
        <f t="shared" si="13"/>
        <v>20.833925223672015</v>
      </c>
      <c r="AB52" s="87">
        <f>IF($F52&lt;=0,0,IF(SUM($AA52:AA52)+($Z$30*$H52)/$F52&lt;($Z$30*$H52),($Z$30*$H52)/$F52,($Z$30*$H52)-SUM($AA52:AA52)))</f>
        <v>20.833925223672015</v>
      </c>
      <c r="AC52" s="87">
        <f>IF($F52&lt;=0,0,IF(SUM($AA52:AB52)+($Z$30*$H52)/$F52&lt;($Z$30*$H52),($Z$30*$H52)/$F52,($Z$30*$H52)-SUM($AA52:AB52)))</f>
        <v>20.833925223672015</v>
      </c>
      <c r="AD52" s="87">
        <f>IF($F52&lt;=0,0,IF(SUM($AA52:AC52)+($Z$30*$H52)/$F52&lt;($Z$30*$H52),($Z$30*$H52)/$F52,($Z$30*$H52)-SUM($AA52:AC52)))</f>
        <v>5.2043577396183309</v>
      </c>
      <c r="AE52" s="87">
        <f>IF($F52&lt;=0,0,IF(SUM($AA52:AD52)+($Z$30*$H52)/$F52&lt;($Z$30*$H52),($Z$30*$H52)/$F52,($Z$30*$H52)-SUM($AA52:AD52)))</f>
        <v>0</v>
      </c>
      <c r="AF52" s="87">
        <f>IF($F52&lt;=0,0,IF(SUM($AA52:AE52)+($Z$30*$H52)/$F52&lt;($Z$30*$H52),($Z$30*$H52)/$F52,($Z$30*$H52)-SUM($AA52:AE52)))</f>
        <v>0</v>
      </c>
      <c r="AG52" s="87">
        <f>IF($F52&lt;=0,0,IF(SUM($AA52:AF52)+($Z$30*$H52)/$F52&lt;($Z$30*$H52),($Z$30*$H52)/$F52,($Z$30*$H52)-SUM($AA52:AF52)))</f>
        <v>0</v>
      </c>
      <c r="AH52" s="87">
        <f>IF($F52&lt;=0,0,IF(SUM($AA52:AG52)+($Z$30*$H52)/$F52&lt;($Z$30*$H52),($Z$30*$H52)/$F52,($Z$30*$H52)-SUM($AA52:AG52)))</f>
        <v>0</v>
      </c>
      <c r="AI52" s="87">
        <f>IF($F52&lt;=0,0,IF(SUM($AA52:AH52)+($Z$30*$H52)/$F52&lt;($Z$30*$H52),($Z$30*$H52)/$F52,($Z$30*$H52)-SUM($AA52:AH52)))</f>
        <v>0</v>
      </c>
      <c r="AJ52" s="87">
        <f>IF($F52&lt;=0,0,IF(SUM($AA52:AI52)+($Z$30*$H52)/$F52&lt;($Z$30*$H52),($Z$30*$H52)/$F52,($Z$30*$H52)-SUM($AA52:AI52)))</f>
        <v>0</v>
      </c>
      <c r="AL52" s="842"/>
      <c r="AM52" s="842"/>
      <c r="AN52" s="842"/>
      <c r="AO52" s="842"/>
      <c r="AP52" s="842"/>
    </row>
    <row r="53" spans="3:42" outlineLevel="1">
      <c r="C53" s="63">
        <v>13</v>
      </c>
      <c r="D53" s="492" t="s">
        <v>411</v>
      </c>
      <c r="E53" s="493"/>
      <c r="F53" s="494">
        <v>25.56957454942059</v>
      </c>
      <c r="G53" s="494">
        <v>60.147800116334153</v>
      </c>
      <c r="H53" s="480">
        <f t="shared" si="11"/>
        <v>3.8230275806146381E-3</v>
      </c>
      <c r="I53" s="415">
        <f t="shared" si="12"/>
        <v>9.7753188727017021E-2</v>
      </c>
      <c r="N53" s="415"/>
      <c r="O53" s="415"/>
      <c r="P53" s="415"/>
      <c r="V53" s="415"/>
      <c r="W53" s="415"/>
      <c r="X53" s="67"/>
      <c r="Y53" s="67"/>
      <c r="Z53" s="87"/>
      <c r="AA53" s="87">
        <f t="shared" si="13"/>
        <v>2.3523191596356505</v>
      </c>
      <c r="AB53" s="87">
        <f>IF($F53&lt;=0,0,IF(SUM($AA53:AA53)+($Z$30*$H53)/$F53&lt;($Z$30*$H53),($Z$30*$H53)/$F53,($Z$30*$H53)-SUM($AA53:AA53)))</f>
        <v>2.3523191596356505</v>
      </c>
      <c r="AC53" s="87">
        <f>IF($F53&lt;=0,0,IF(SUM($AA53:AB53)+($Z$30*$H53)/$F53&lt;($Z$30*$H53),($Z$30*$H53)/$F53,($Z$30*$H53)-SUM($AA53:AB53)))</f>
        <v>2.3523191596356505</v>
      </c>
      <c r="AD53" s="87">
        <f>IF($F53&lt;=0,0,IF(SUM($AA53:AC53)+($Z$30*$H53)/$F53&lt;($Z$30*$H53),($Z$30*$H53)/$F53,($Z$30*$H53)-SUM($AA53:AC53)))</f>
        <v>2.3523191596356505</v>
      </c>
      <c r="AE53" s="87">
        <f>IF($F53&lt;=0,0,IF(SUM($AA53:AD53)+($Z$30*$H53)/$F53&lt;($Z$30*$H53),($Z$30*$H53)/$F53,($Z$30*$H53)-SUM($AA53:AD53)))</f>
        <v>2.3523191596356505</v>
      </c>
      <c r="AF53" s="87">
        <f>IF($F53&lt;=0,0,IF(SUM($AA53:AE53)+($Z$30*$H53)/$F53&lt;($Z$30*$H53),($Z$30*$H53)/$F53,($Z$30*$H53)-SUM($AA53:AE53)))</f>
        <v>2.3523191596356505</v>
      </c>
      <c r="AG53" s="87">
        <f>IF($F53&lt;=0,0,IF(SUM($AA53:AF53)+($Z$30*$H53)/$F53&lt;($Z$30*$H53),($Z$30*$H53)/$F53,($Z$30*$H53)-SUM($AA53:AF53)))</f>
        <v>2.3523191596356505</v>
      </c>
      <c r="AH53" s="87">
        <f>IF($F53&lt;=0,0,IF(SUM($AA53:AG53)+($Z$30*$H53)/$F53&lt;($Z$30*$H53),($Z$30*$H53)/$F53,($Z$30*$H53)-SUM($AA53:AG53)))</f>
        <v>2.3523191596356505</v>
      </c>
      <c r="AI53" s="87">
        <f>IF($F53&lt;=0,0,IF(SUM($AA53:AH53)+($Z$30*$H53)/$F53&lt;($Z$30*$H53),($Z$30*$H53)/$F53,($Z$30*$H53)-SUM($AA53:AH53)))</f>
        <v>2.3523191596356505</v>
      </c>
      <c r="AJ53" s="87">
        <f>IF($F53&lt;=0,0,IF(SUM($AA53:AI53)+($Z$30*$H53)/$F53&lt;($Z$30*$H53),($Z$30*$H53)/$F53,($Z$30*$H53)-SUM($AA53:AI53)))</f>
        <v>2.3523191596356505</v>
      </c>
      <c r="AL53" s="842"/>
      <c r="AM53" s="842"/>
      <c r="AN53" s="842"/>
      <c r="AO53" s="842"/>
      <c r="AP53" s="842"/>
    </row>
    <row r="54" spans="3:42" outlineLevel="1">
      <c r="C54" s="63">
        <v>14</v>
      </c>
      <c r="D54" s="492" t="s">
        <v>427</v>
      </c>
      <c r="E54" s="493"/>
      <c r="F54" s="494">
        <v>35.822899443128051</v>
      </c>
      <c r="G54" s="494">
        <v>3.9366057784969715</v>
      </c>
      <c r="H54" s="480">
        <f t="shared" si="11"/>
        <v>2.5021284961532393E-4</v>
      </c>
      <c r="I54" s="415">
        <f t="shared" si="12"/>
        <v>8.963349751148271E-3</v>
      </c>
      <c r="N54" s="415"/>
      <c r="O54" s="415"/>
      <c r="P54" s="415"/>
      <c r="V54" s="415"/>
      <c r="W54" s="415"/>
      <c r="X54" s="67"/>
      <c r="Y54" s="67"/>
      <c r="Z54" s="87"/>
      <c r="AA54" s="87">
        <f t="shared" si="13"/>
        <v>0.10989076372075003</v>
      </c>
      <c r="AB54" s="87">
        <f>IF($F54&lt;=0,0,IF(SUM($AA54:AA54)+($Z$30*$H54)/$F54&lt;($Z$30*$H54),($Z$30*$H54)/$F54,($Z$30*$H54)-SUM($AA54:AA54)))</f>
        <v>0.10989076372075003</v>
      </c>
      <c r="AC54" s="87">
        <f>IF($F54&lt;=0,0,IF(SUM($AA54:AB54)+($Z$30*$H54)/$F54&lt;($Z$30*$H54),($Z$30*$H54)/$F54,($Z$30*$H54)-SUM($AA54:AB54)))</f>
        <v>0.10989076372075003</v>
      </c>
      <c r="AD54" s="87">
        <f>IF($F54&lt;=0,0,IF(SUM($AA54:AC54)+($Z$30*$H54)/$F54&lt;($Z$30*$H54),($Z$30*$H54)/$F54,($Z$30*$H54)-SUM($AA54:AC54)))</f>
        <v>0.10989076372075003</v>
      </c>
      <c r="AE54" s="87">
        <f>IF($F54&lt;=0,0,IF(SUM($AA54:AD54)+($Z$30*$H54)/$F54&lt;($Z$30*$H54),($Z$30*$H54)/$F54,($Z$30*$H54)-SUM($AA54:AD54)))</f>
        <v>0.10989076372075003</v>
      </c>
      <c r="AF54" s="87">
        <f>IF($F54&lt;=0,0,IF(SUM($AA54:AE54)+($Z$30*$H54)/$F54&lt;($Z$30*$H54),($Z$30*$H54)/$F54,($Z$30*$H54)-SUM($AA54:AE54)))</f>
        <v>0.10989076372075003</v>
      </c>
      <c r="AG54" s="87">
        <f>IF($F54&lt;=0,0,IF(SUM($AA54:AF54)+($Z$30*$H54)/$F54&lt;($Z$30*$H54),($Z$30*$H54)/$F54,($Z$30*$H54)-SUM($AA54:AF54)))</f>
        <v>0.10989076372075003</v>
      </c>
      <c r="AH54" s="87">
        <f>IF($F54&lt;=0,0,IF(SUM($AA54:AG54)+($Z$30*$H54)/$F54&lt;($Z$30*$H54),($Z$30*$H54)/$F54,($Z$30*$H54)-SUM($AA54:AG54)))</f>
        <v>0.10989076372075003</v>
      </c>
      <c r="AI54" s="87">
        <f>IF($F54&lt;=0,0,IF(SUM($AA54:AH54)+($Z$30*$H54)/$F54&lt;($Z$30*$H54),($Z$30*$H54)/$F54,($Z$30*$H54)-SUM($AA54:AH54)))</f>
        <v>0.10989076372075003</v>
      </c>
      <c r="AJ54" s="87">
        <f>IF($F54&lt;=0,0,IF(SUM($AA54:AI54)+($Z$30*$H54)/$F54&lt;($Z$30*$H54),($Z$30*$H54)/$F54,($Z$30*$H54)-SUM($AA54:AI54)))</f>
        <v>0.10989076372075003</v>
      </c>
      <c r="AL54" s="842"/>
      <c r="AM54" s="842"/>
      <c r="AN54" s="842"/>
      <c r="AO54" s="842"/>
      <c r="AP54" s="842"/>
    </row>
    <row r="55" spans="3:42" outlineLevel="1">
      <c r="C55" s="63">
        <v>15</v>
      </c>
      <c r="D55" s="492" t="s">
        <v>815</v>
      </c>
      <c r="E55" s="493"/>
      <c r="F55" s="494">
        <v>0</v>
      </c>
      <c r="G55" s="494">
        <v>454.60120159574944</v>
      </c>
      <c r="H55" s="480">
        <f t="shared" si="11"/>
        <v>2.889470485237472E-2</v>
      </c>
      <c r="I55" s="415">
        <f t="shared" si="12"/>
        <v>0</v>
      </c>
      <c r="N55" s="415"/>
      <c r="O55" s="415"/>
      <c r="P55" s="415"/>
      <c r="V55" s="415"/>
      <c r="W55" s="415"/>
      <c r="X55" s="67"/>
      <c r="Y55" s="67"/>
      <c r="Z55" s="87"/>
      <c r="AA55" s="87">
        <f t="shared" si="13"/>
        <v>0</v>
      </c>
      <c r="AB55" s="87">
        <f>IF($F55&lt;=0,0,IF(SUM($AA55:AA55)+($Z$30*$H55)/$F55&lt;($Z$30*$H55),($Z$30*$H55)/$F55,($Z$30*$H55)-SUM($AA55:AA55)))</f>
        <v>0</v>
      </c>
      <c r="AC55" s="87">
        <f>IF($F55&lt;=0,0,IF(SUM($AA55:AB55)+($Z$30*$H55)/$F55&lt;($Z$30*$H55),($Z$30*$H55)/$F55,($Z$30*$H55)-SUM($AA55:AB55)))</f>
        <v>0</v>
      </c>
      <c r="AD55" s="87">
        <f>IF($F55&lt;=0,0,IF(SUM($AA55:AC55)+($Z$30*$H55)/$F55&lt;($Z$30*$H55),($Z$30*$H55)/$F55,($Z$30*$H55)-SUM($AA55:AC55)))</f>
        <v>0</v>
      </c>
      <c r="AE55" s="87">
        <f>IF($F55&lt;=0,0,IF(SUM($AA55:AD55)+($Z$30*$H55)/$F55&lt;($Z$30*$H55),($Z$30*$H55)/$F55,($Z$30*$H55)-SUM($AA55:AD55)))</f>
        <v>0</v>
      </c>
      <c r="AF55" s="87">
        <f>IF($F55&lt;=0,0,IF(SUM($AA55:AE55)+($Z$30*$H55)/$F55&lt;($Z$30*$H55),($Z$30*$H55)/$F55,($Z$30*$H55)-SUM($AA55:AE55)))</f>
        <v>0</v>
      </c>
      <c r="AG55" s="87">
        <f>IF($F55&lt;=0,0,IF(SUM($AA55:AF55)+($Z$30*$H55)/$F55&lt;($Z$30*$H55),($Z$30*$H55)/$F55,($Z$30*$H55)-SUM($AA55:AF55)))</f>
        <v>0</v>
      </c>
      <c r="AH55" s="87">
        <f>IF($F55&lt;=0,0,IF(SUM($AA55:AG55)+($Z$30*$H55)/$F55&lt;($Z$30*$H55),($Z$30*$H55)/$F55,($Z$30*$H55)-SUM($AA55:AG55)))</f>
        <v>0</v>
      </c>
      <c r="AI55" s="87">
        <f>IF($F55&lt;=0,0,IF(SUM($AA55:AH55)+($Z$30*$H55)/$F55&lt;($Z$30*$H55),($Z$30*$H55)/$F55,($Z$30*$H55)-SUM($AA55:AH55)))</f>
        <v>0</v>
      </c>
      <c r="AJ55" s="87">
        <f>IF($F55&lt;=0,0,IF(SUM($AA55:AI55)+($Z$30*$H55)/$F55&lt;($Z$30*$H55),($Z$30*$H55)/$F55,($Z$30*$H55)-SUM($AA55:AI55)))</f>
        <v>0</v>
      </c>
      <c r="AL55" s="842"/>
      <c r="AM55" s="842"/>
      <c r="AN55" s="842"/>
      <c r="AO55" s="842"/>
      <c r="AP55" s="842"/>
    </row>
    <row r="56" spans="3:42" outlineLevel="1">
      <c r="C56" s="63">
        <v>16</v>
      </c>
      <c r="D56" s="492" t="s">
        <v>816</v>
      </c>
      <c r="E56" s="493"/>
      <c r="F56" s="494">
        <v>0</v>
      </c>
      <c r="G56" s="494">
        <v>-9.3566458120531166</v>
      </c>
      <c r="H56" s="480">
        <f t="shared" si="11"/>
        <v>-5.9471360436019283E-4</v>
      </c>
      <c r="I56" s="415">
        <f t="shared" si="12"/>
        <v>0</v>
      </c>
      <c r="N56" s="415"/>
      <c r="O56" s="415"/>
      <c r="P56" s="415"/>
      <c r="V56" s="415"/>
      <c r="W56" s="415"/>
      <c r="X56" s="67"/>
      <c r="Y56" s="67"/>
      <c r="Z56" s="87"/>
      <c r="AA56" s="87">
        <f t="shared" si="13"/>
        <v>0</v>
      </c>
      <c r="AB56" s="87">
        <f>IF($F56&lt;=0,0,IF(SUM($AA56:AA56)+($Z$30*$H56)/$F56&lt;($Z$30*$H56),($Z$30*$H56)/$F56,($Z$30*$H56)-SUM($AA56:AA56)))</f>
        <v>0</v>
      </c>
      <c r="AC56" s="87">
        <f>IF($F56&lt;=0,0,IF(SUM($AA56:AB56)+($Z$30*$H56)/$F56&lt;($Z$30*$H56),($Z$30*$H56)/$F56,($Z$30*$H56)-SUM($AA56:AB56)))</f>
        <v>0</v>
      </c>
      <c r="AD56" s="87">
        <f>IF($F56&lt;=0,0,IF(SUM($AA56:AC56)+($Z$30*$H56)/$F56&lt;($Z$30*$H56),($Z$30*$H56)/$F56,($Z$30*$H56)-SUM($AA56:AC56)))</f>
        <v>0</v>
      </c>
      <c r="AE56" s="87">
        <f>IF($F56&lt;=0,0,IF(SUM($AA56:AD56)+($Z$30*$H56)/$F56&lt;($Z$30*$H56),($Z$30*$H56)/$F56,($Z$30*$H56)-SUM($AA56:AD56)))</f>
        <v>0</v>
      </c>
      <c r="AF56" s="87">
        <f>IF($F56&lt;=0,0,IF(SUM($AA56:AE56)+($Z$30*$H56)/$F56&lt;($Z$30*$H56),($Z$30*$H56)/$F56,($Z$30*$H56)-SUM($AA56:AE56)))</f>
        <v>0</v>
      </c>
      <c r="AG56" s="87">
        <f>IF($F56&lt;=0,0,IF(SUM($AA56:AF56)+($Z$30*$H56)/$F56&lt;($Z$30*$H56),($Z$30*$H56)/$F56,($Z$30*$H56)-SUM($AA56:AF56)))</f>
        <v>0</v>
      </c>
      <c r="AH56" s="87">
        <f>IF($F56&lt;=0,0,IF(SUM($AA56:AG56)+($Z$30*$H56)/$F56&lt;($Z$30*$H56),($Z$30*$H56)/$F56,($Z$30*$H56)-SUM($AA56:AG56)))</f>
        <v>0</v>
      </c>
      <c r="AI56" s="87">
        <f>IF($F56&lt;=0,0,IF(SUM($AA56:AH56)+($Z$30*$H56)/$F56&lt;($Z$30*$H56),($Z$30*$H56)/$F56,($Z$30*$H56)-SUM($AA56:AH56)))</f>
        <v>0</v>
      </c>
      <c r="AJ56" s="87">
        <f>IF($F56&lt;=0,0,IF(SUM($AA56:AI56)+($Z$30*$H56)/$F56&lt;($Z$30*$H56),($Z$30*$H56)/$F56,($Z$30*$H56)-SUM($AA56:AI56)))</f>
        <v>0</v>
      </c>
      <c r="AL56" s="842"/>
      <c r="AM56" s="842"/>
      <c r="AN56" s="842"/>
      <c r="AO56" s="842"/>
      <c r="AP56" s="842"/>
    </row>
    <row r="57" spans="3:42" outlineLevel="1">
      <c r="C57" s="63">
        <v>17</v>
      </c>
      <c r="D57" s="492"/>
      <c r="E57" s="493"/>
      <c r="F57" s="494"/>
      <c r="G57" s="494"/>
      <c r="H57" s="480">
        <f t="shared" si="11"/>
        <v>0</v>
      </c>
      <c r="I57" s="415">
        <f t="shared" si="12"/>
        <v>0</v>
      </c>
      <c r="N57" s="415"/>
      <c r="O57" s="415"/>
      <c r="P57" s="415"/>
      <c r="V57" s="415"/>
      <c r="W57" s="415"/>
      <c r="X57" s="67"/>
      <c r="Y57" s="67"/>
      <c r="Z57" s="87"/>
      <c r="AA57" s="87">
        <f t="shared" si="13"/>
        <v>0</v>
      </c>
      <c r="AB57" s="87">
        <f>IF($F57&lt;=0,0,IF(SUM($AA57:AA57)+($Z$30*$H57)/$F57&lt;($Z$30*$H57),($Z$30*$H57)/$F57,($Z$30*$H57)-SUM($AA57:AA57)))</f>
        <v>0</v>
      </c>
      <c r="AC57" s="87">
        <f>IF($F57&lt;=0,0,IF(SUM($AA57:AB57)+($Z$30*$H57)/$F57&lt;($Z$30*$H57),($Z$30*$H57)/$F57,($Z$30*$H57)-SUM($AA57:AB57)))</f>
        <v>0</v>
      </c>
      <c r="AD57" s="87">
        <f>IF($F57&lt;=0,0,IF(SUM($AA57:AC57)+($Z$30*$H57)/$F57&lt;($Z$30*$H57),($Z$30*$H57)/$F57,($Z$30*$H57)-SUM($AA57:AC57)))</f>
        <v>0</v>
      </c>
      <c r="AE57" s="87">
        <f>IF($F57&lt;=0,0,IF(SUM($AA57:AD57)+($Z$30*$H57)/$F57&lt;($Z$30*$H57),($Z$30*$H57)/$F57,($Z$30*$H57)-SUM($AA57:AD57)))</f>
        <v>0</v>
      </c>
      <c r="AF57" s="87">
        <f>IF($F57&lt;=0,0,IF(SUM($AA57:AE57)+($Z$30*$H57)/$F57&lt;($Z$30*$H57),($Z$30*$H57)/$F57,($Z$30*$H57)-SUM($AA57:AE57)))</f>
        <v>0</v>
      </c>
      <c r="AG57" s="87">
        <f>IF($F57&lt;=0,0,IF(SUM($AA57:AF57)+($Z$30*$H57)/$F57&lt;($Z$30*$H57),($Z$30*$H57)/$F57,($Z$30*$H57)-SUM($AA57:AF57)))</f>
        <v>0</v>
      </c>
      <c r="AH57" s="87">
        <f>IF($F57&lt;=0,0,IF(SUM($AA57:AG57)+($Z$30*$H57)/$F57&lt;($Z$30*$H57),($Z$30*$H57)/$F57,($Z$30*$H57)-SUM($AA57:AG57)))</f>
        <v>0</v>
      </c>
      <c r="AI57" s="87">
        <f>IF($F57&lt;=0,0,IF(SUM($AA57:AH57)+($Z$30*$H57)/$F57&lt;($Z$30*$H57),($Z$30*$H57)/$F57,($Z$30*$H57)-SUM($AA57:AH57)))</f>
        <v>0</v>
      </c>
      <c r="AJ57" s="87">
        <f>IF($F57&lt;=0,0,IF(SUM($AA57:AI57)+($Z$30*$H57)/$F57&lt;($Z$30*$H57),($Z$30*$H57)/$F57,($Z$30*$H57)-SUM($AA57:AI57)))</f>
        <v>0</v>
      </c>
      <c r="AL57" s="842"/>
      <c r="AM57" s="842"/>
      <c r="AN57" s="842"/>
      <c r="AO57" s="842"/>
      <c r="AP57" s="842"/>
    </row>
    <row r="58" spans="3:42" outlineLevel="1">
      <c r="C58" s="63">
        <v>18</v>
      </c>
      <c r="D58" s="492"/>
      <c r="E58" s="493"/>
      <c r="F58" s="494"/>
      <c r="G58" s="494"/>
      <c r="H58" s="480">
        <f t="shared" si="11"/>
        <v>0</v>
      </c>
      <c r="I58" s="415">
        <f t="shared" si="12"/>
        <v>0</v>
      </c>
      <c r="N58" s="415"/>
      <c r="O58" s="415"/>
      <c r="P58" s="415"/>
      <c r="V58" s="415"/>
      <c r="W58" s="415"/>
      <c r="X58" s="67"/>
      <c r="Y58" s="67"/>
      <c r="Z58" s="87"/>
      <c r="AA58" s="87">
        <f t="shared" si="13"/>
        <v>0</v>
      </c>
      <c r="AB58" s="87">
        <f>IF($F58&lt;=0,0,IF(SUM($AA58:AA58)+($Z$30*$H58)/$F58&lt;($Z$30*$H58),($Z$30*$H58)/$F58,($Z$30*$H58)-SUM($AA58:AA58)))</f>
        <v>0</v>
      </c>
      <c r="AC58" s="87">
        <f>IF($F58&lt;=0,0,IF(SUM($AA58:AB58)+($Z$30*$H58)/$F58&lt;($Z$30*$H58),($Z$30*$H58)/$F58,($Z$30*$H58)-SUM($AA58:AB58)))</f>
        <v>0</v>
      </c>
      <c r="AD58" s="87">
        <f>IF($F58&lt;=0,0,IF(SUM($AA58:AC58)+($Z$30*$H58)/$F58&lt;($Z$30*$H58),($Z$30*$H58)/$F58,($Z$30*$H58)-SUM($AA58:AC58)))</f>
        <v>0</v>
      </c>
      <c r="AE58" s="87">
        <f>IF($F58&lt;=0,0,IF(SUM($AA58:AD58)+($Z$30*$H58)/$F58&lt;($Z$30*$H58),($Z$30*$H58)/$F58,($Z$30*$H58)-SUM($AA58:AD58)))</f>
        <v>0</v>
      </c>
      <c r="AF58" s="87">
        <f>IF($F58&lt;=0,0,IF(SUM($AA58:AE58)+($Z$30*$H58)/$F58&lt;($Z$30*$H58),($Z$30*$H58)/$F58,($Z$30*$H58)-SUM($AA58:AE58)))</f>
        <v>0</v>
      </c>
      <c r="AG58" s="87">
        <f>IF($F58&lt;=0,0,IF(SUM($AA58:AF58)+($Z$30*$H58)/$F58&lt;($Z$30*$H58),($Z$30*$H58)/$F58,($Z$30*$H58)-SUM($AA58:AF58)))</f>
        <v>0</v>
      </c>
      <c r="AH58" s="87">
        <f>IF($F58&lt;=0,0,IF(SUM($AA58:AG58)+($Z$30*$H58)/$F58&lt;($Z$30*$H58),($Z$30*$H58)/$F58,($Z$30*$H58)-SUM($AA58:AG58)))</f>
        <v>0</v>
      </c>
      <c r="AI58" s="87">
        <f>IF($F58&lt;=0,0,IF(SUM($AA58:AH58)+($Z$30*$H58)/$F58&lt;($Z$30*$H58),($Z$30*$H58)/$F58,($Z$30*$H58)-SUM($AA58:AH58)))</f>
        <v>0</v>
      </c>
      <c r="AJ58" s="87">
        <f>IF($F58&lt;=0,0,IF(SUM($AA58:AI58)+($Z$30*$H58)/$F58&lt;($Z$30*$H58),($Z$30*$H58)/$F58,($Z$30*$H58)-SUM($AA58:AI58)))</f>
        <v>0</v>
      </c>
      <c r="AL58" s="842"/>
      <c r="AM58" s="842"/>
      <c r="AN58" s="842"/>
      <c r="AO58" s="842"/>
      <c r="AP58" s="842"/>
    </row>
    <row r="59" spans="3:42" outlineLevel="1">
      <c r="C59" s="63">
        <v>19</v>
      </c>
      <c r="D59" s="492"/>
      <c r="E59" s="493"/>
      <c r="F59" s="494"/>
      <c r="G59" s="494"/>
      <c r="H59" s="480">
        <f t="shared" si="11"/>
        <v>0</v>
      </c>
      <c r="I59" s="415">
        <f t="shared" si="12"/>
        <v>0</v>
      </c>
      <c r="N59" s="415"/>
      <c r="O59" s="415"/>
      <c r="P59" s="415"/>
      <c r="V59" s="415"/>
      <c r="W59" s="415"/>
      <c r="X59" s="67"/>
      <c r="Y59" s="67"/>
      <c r="Z59" s="87"/>
      <c r="AA59" s="87">
        <f t="shared" si="13"/>
        <v>0</v>
      </c>
      <c r="AB59" s="87">
        <f>IF($F59&lt;=0,0,IF(SUM($AA59:AA59)+($Z$30*$H59)/$F59&lt;($Z$30*$H59),($Z$30*$H59)/$F59,($Z$30*$H59)-SUM($AA59:AA59)))</f>
        <v>0</v>
      </c>
      <c r="AC59" s="87">
        <f>IF($F59&lt;=0,0,IF(SUM($AA59:AB59)+($Z$30*$H59)/$F59&lt;($Z$30*$H59),($Z$30*$H59)/$F59,($Z$30*$H59)-SUM($AA59:AB59)))</f>
        <v>0</v>
      </c>
      <c r="AD59" s="87">
        <f>IF($F59&lt;=0,0,IF(SUM($AA59:AC59)+($Z$30*$H59)/$F59&lt;($Z$30*$H59),($Z$30*$H59)/$F59,($Z$30*$H59)-SUM($AA59:AC59)))</f>
        <v>0</v>
      </c>
      <c r="AE59" s="87">
        <f>IF($F59&lt;=0,0,IF(SUM($AA59:AD59)+($Z$30*$H59)/$F59&lt;($Z$30*$H59),($Z$30*$H59)/$F59,($Z$30*$H59)-SUM($AA59:AD59)))</f>
        <v>0</v>
      </c>
      <c r="AF59" s="87">
        <f>IF($F59&lt;=0,0,IF(SUM($AA59:AE59)+($Z$30*$H59)/$F59&lt;($Z$30*$H59),($Z$30*$H59)/$F59,($Z$30*$H59)-SUM($AA59:AE59)))</f>
        <v>0</v>
      </c>
      <c r="AG59" s="87">
        <f>IF($F59&lt;=0,0,IF(SUM($AA59:AF59)+($Z$30*$H59)/$F59&lt;($Z$30*$H59),($Z$30*$H59)/$F59,($Z$30*$H59)-SUM($AA59:AF59)))</f>
        <v>0</v>
      </c>
      <c r="AH59" s="87">
        <f>IF($F59&lt;=0,0,IF(SUM($AA59:AG59)+($Z$30*$H59)/$F59&lt;($Z$30*$H59),($Z$30*$H59)/$F59,($Z$30*$H59)-SUM($AA59:AG59)))</f>
        <v>0</v>
      </c>
      <c r="AI59" s="87">
        <f>IF($F59&lt;=0,0,IF(SUM($AA59:AH59)+($Z$30*$H59)/$F59&lt;($Z$30*$H59),($Z$30*$H59)/$F59,($Z$30*$H59)-SUM($AA59:AH59)))</f>
        <v>0</v>
      </c>
      <c r="AJ59" s="87">
        <f>IF($F59&lt;=0,0,IF(SUM($AA59:AI59)+($Z$30*$H59)/$F59&lt;($Z$30*$H59),($Z$30*$H59)/$F59,($Z$30*$H59)-SUM($AA59:AI59)))</f>
        <v>0</v>
      </c>
      <c r="AL59" s="842"/>
      <c r="AM59" s="842"/>
      <c r="AN59" s="842"/>
      <c r="AO59" s="842"/>
      <c r="AP59" s="842"/>
    </row>
    <row r="60" spans="3:42" outlineLevel="1">
      <c r="C60" s="63">
        <v>20</v>
      </c>
      <c r="D60" s="492"/>
      <c r="E60" s="493"/>
      <c r="F60" s="494"/>
      <c r="G60" s="494"/>
      <c r="H60" s="480">
        <f t="shared" si="11"/>
        <v>0</v>
      </c>
      <c r="I60" s="415">
        <f t="shared" si="12"/>
        <v>0</v>
      </c>
      <c r="N60" s="415"/>
      <c r="O60" s="415"/>
      <c r="P60" s="415"/>
      <c r="V60" s="415"/>
      <c r="W60" s="415"/>
      <c r="X60" s="67"/>
      <c r="Y60" s="67"/>
      <c r="Z60" s="87"/>
      <c r="AA60" s="87">
        <f t="shared" si="13"/>
        <v>0</v>
      </c>
      <c r="AB60" s="87">
        <f>IF($F60&lt;=0,0,IF(SUM($AA60:AA60)+($Z$30*$H60)/$F60&lt;($Z$30*$H60),($Z$30*$H60)/$F60,($Z$30*$H60)-SUM($AA60:AA60)))</f>
        <v>0</v>
      </c>
      <c r="AC60" s="87">
        <f>IF($F60&lt;=0,0,IF(SUM($AA60:AB60)+($Z$30*$H60)/$F60&lt;($Z$30*$H60),($Z$30*$H60)/$F60,($Z$30*$H60)-SUM($AA60:AB60)))</f>
        <v>0</v>
      </c>
      <c r="AD60" s="87">
        <f>IF($F60&lt;=0,0,IF(SUM($AA60:AC60)+($Z$30*$H60)/$F60&lt;($Z$30*$H60),($Z$30*$H60)/$F60,($Z$30*$H60)-SUM($AA60:AC60)))</f>
        <v>0</v>
      </c>
      <c r="AE60" s="87">
        <f>IF($F60&lt;=0,0,IF(SUM($AA60:AD60)+($Z$30*$H60)/$F60&lt;($Z$30*$H60),($Z$30*$H60)/$F60,($Z$30*$H60)-SUM($AA60:AD60)))</f>
        <v>0</v>
      </c>
      <c r="AF60" s="87">
        <f>IF($F60&lt;=0,0,IF(SUM($AA60:AE60)+($Z$30*$H60)/$F60&lt;($Z$30*$H60),($Z$30*$H60)/$F60,($Z$30*$H60)-SUM($AA60:AE60)))</f>
        <v>0</v>
      </c>
      <c r="AG60" s="87">
        <f>IF($F60&lt;=0,0,IF(SUM($AA60:AF60)+($Z$30*$H60)/$F60&lt;($Z$30*$H60),($Z$30*$H60)/$F60,($Z$30*$H60)-SUM($AA60:AF60)))</f>
        <v>0</v>
      </c>
      <c r="AH60" s="87">
        <f>IF($F60&lt;=0,0,IF(SUM($AA60:AG60)+($Z$30*$H60)/$F60&lt;($Z$30*$H60),($Z$30*$H60)/$F60,($Z$30*$H60)-SUM($AA60:AG60)))</f>
        <v>0</v>
      </c>
      <c r="AI60" s="87">
        <f>IF($F60&lt;=0,0,IF(SUM($AA60:AH60)+($Z$30*$H60)/$F60&lt;($Z$30*$H60),($Z$30*$H60)/$F60,($Z$30*$H60)-SUM($AA60:AH60)))</f>
        <v>0</v>
      </c>
      <c r="AJ60" s="87">
        <f>IF($F60&lt;=0,0,IF(SUM($AA60:AI60)+($Z$30*$H60)/$F60&lt;($Z$30*$H60),($Z$30*$H60)/$F60,($Z$30*$H60)-SUM($AA60:AI60)))</f>
        <v>0</v>
      </c>
      <c r="AL60" s="842"/>
      <c r="AM60" s="842"/>
      <c r="AN60" s="842"/>
      <c r="AO60" s="842"/>
      <c r="AP60" s="842"/>
    </row>
    <row r="61" spans="3:42" outlineLevel="1">
      <c r="C61" s="63">
        <v>21</v>
      </c>
      <c r="D61" s="492"/>
      <c r="E61" s="493"/>
      <c r="F61" s="494"/>
      <c r="G61" s="494"/>
      <c r="H61" s="480">
        <f t="shared" si="11"/>
        <v>0</v>
      </c>
      <c r="I61" s="415">
        <f t="shared" si="12"/>
        <v>0</v>
      </c>
      <c r="N61" s="415"/>
      <c r="O61" s="415"/>
      <c r="P61" s="415"/>
      <c r="V61" s="415"/>
      <c r="W61" s="415"/>
      <c r="X61" s="67"/>
      <c r="Y61" s="67"/>
      <c r="Z61" s="87"/>
      <c r="AA61" s="87">
        <f t="shared" si="13"/>
        <v>0</v>
      </c>
      <c r="AB61" s="87">
        <f>IF($F61&lt;=0,0,IF(SUM($AA61:AA61)+($Z$30*$H61)/$F61&lt;($Z$30*$H61),($Z$30*$H61)/$F61,($Z$30*$H61)-SUM($AA61:AA61)))</f>
        <v>0</v>
      </c>
      <c r="AC61" s="87">
        <f>IF($F61&lt;=0,0,IF(SUM($AA61:AB61)+($Z$30*$H61)/$F61&lt;($Z$30*$H61),($Z$30*$H61)/$F61,($Z$30*$H61)-SUM($AA61:AB61)))</f>
        <v>0</v>
      </c>
      <c r="AD61" s="87">
        <f>IF($F61&lt;=0,0,IF(SUM($AA61:AC61)+($Z$30*$H61)/$F61&lt;($Z$30*$H61),($Z$30*$H61)/$F61,($Z$30*$H61)-SUM($AA61:AC61)))</f>
        <v>0</v>
      </c>
      <c r="AE61" s="87">
        <f>IF($F61&lt;=0,0,IF(SUM($AA61:AD61)+($Z$30*$H61)/$F61&lt;($Z$30*$H61),($Z$30*$H61)/$F61,($Z$30*$H61)-SUM($AA61:AD61)))</f>
        <v>0</v>
      </c>
      <c r="AF61" s="87">
        <f>IF($F61&lt;=0,0,IF(SUM($AA61:AE61)+($Z$30*$H61)/$F61&lt;($Z$30*$H61),($Z$30*$H61)/$F61,($Z$30*$H61)-SUM($AA61:AE61)))</f>
        <v>0</v>
      </c>
      <c r="AG61" s="87">
        <f>IF($F61&lt;=0,0,IF(SUM($AA61:AF61)+($Z$30*$H61)/$F61&lt;($Z$30*$H61),($Z$30*$H61)/$F61,($Z$30*$H61)-SUM($AA61:AF61)))</f>
        <v>0</v>
      </c>
      <c r="AH61" s="87">
        <f>IF($F61&lt;=0,0,IF(SUM($AA61:AG61)+($Z$30*$H61)/$F61&lt;($Z$30*$H61),($Z$30*$H61)/$F61,($Z$30*$H61)-SUM($AA61:AG61)))</f>
        <v>0</v>
      </c>
      <c r="AI61" s="87">
        <f>IF($F61&lt;=0,0,IF(SUM($AA61:AH61)+($Z$30*$H61)/$F61&lt;($Z$30*$H61),($Z$30*$H61)/$F61,($Z$30*$H61)-SUM($AA61:AH61)))</f>
        <v>0</v>
      </c>
      <c r="AJ61" s="87">
        <f>IF($F61&lt;=0,0,IF(SUM($AA61:AI61)+($Z$30*$H61)/$F61&lt;($Z$30*$H61),($Z$30*$H61)/$F61,($Z$30*$H61)-SUM($AA61:AI61)))</f>
        <v>0</v>
      </c>
      <c r="AL61" s="842"/>
      <c r="AM61" s="842"/>
      <c r="AN61" s="842"/>
      <c r="AO61" s="842"/>
      <c r="AP61" s="842"/>
    </row>
    <row r="62" spans="3:42" outlineLevel="1">
      <c r="C62" s="63">
        <v>22</v>
      </c>
      <c r="D62" s="492"/>
      <c r="E62" s="493"/>
      <c r="F62" s="494"/>
      <c r="G62" s="494"/>
      <c r="H62" s="480">
        <f t="shared" si="11"/>
        <v>0</v>
      </c>
      <c r="I62" s="415">
        <f t="shared" si="12"/>
        <v>0</v>
      </c>
      <c r="N62" s="415"/>
      <c r="O62" s="415"/>
      <c r="P62" s="415"/>
      <c r="V62" s="415"/>
      <c r="W62" s="415"/>
      <c r="X62" s="67"/>
      <c r="Y62" s="67"/>
      <c r="Z62" s="87"/>
      <c r="AA62" s="87">
        <f t="shared" si="13"/>
        <v>0</v>
      </c>
      <c r="AB62" s="87">
        <f>IF($F62&lt;=0,0,IF(SUM($AA62:AA62)+($Z$30*$H62)/$F62&lt;($Z$30*$H62),($Z$30*$H62)/$F62,($Z$30*$H62)-SUM($AA62:AA62)))</f>
        <v>0</v>
      </c>
      <c r="AC62" s="87">
        <f>IF($F62&lt;=0,0,IF(SUM($AA62:AB62)+($Z$30*$H62)/$F62&lt;($Z$30*$H62),($Z$30*$H62)/$F62,($Z$30*$H62)-SUM($AA62:AB62)))</f>
        <v>0</v>
      </c>
      <c r="AD62" s="87">
        <f>IF($F62&lt;=0,0,IF(SUM($AA62:AC62)+($Z$30*$H62)/$F62&lt;($Z$30*$H62),($Z$30*$H62)/$F62,($Z$30*$H62)-SUM($AA62:AC62)))</f>
        <v>0</v>
      </c>
      <c r="AE62" s="87">
        <f>IF($F62&lt;=0,0,IF(SUM($AA62:AD62)+($Z$30*$H62)/$F62&lt;($Z$30*$H62),($Z$30*$H62)/$F62,($Z$30*$H62)-SUM($AA62:AD62)))</f>
        <v>0</v>
      </c>
      <c r="AF62" s="87">
        <f>IF($F62&lt;=0,0,IF(SUM($AA62:AE62)+($Z$30*$H62)/$F62&lt;($Z$30*$H62),($Z$30*$H62)/$F62,($Z$30*$H62)-SUM($AA62:AE62)))</f>
        <v>0</v>
      </c>
      <c r="AG62" s="87">
        <f>IF($F62&lt;=0,0,IF(SUM($AA62:AF62)+($Z$30*$H62)/$F62&lt;($Z$30*$H62),($Z$30*$H62)/$F62,($Z$30*$H62)-SUM($AA62:AF62)))</f>
        <v>0</v>
      </c>
      <c r="AH62" s="87">
        <f>IF($F62&lt;=0,0,IF(SUM($AA62:AG62)+($Z$30*$H62)/$F62&lt;($Z$30*$H62),($Z$30*$H62)/$F62,($Z$30*$H62)-SUM($AA62:AG62)))</f>
        <v>0</v>
      </c>
      <c r="AI62" s="87">
        <f>IF($F62&lt;=0,0,IF(SUM($AA62:AH62)+($Z$30*$H62)/$F62&lt;($Z$30*$H62),($Z$30*$H62)/$F62,($Z$30*$H62)-SUM($AA62:AH62)))</f>
        <v>0</v>
      </c>
      <c r="AJ62" s="87">
        <f>IF($F62&lt;=0,0,IF(SUM($AA62:AI62)+($Z$30*$H62)/$F62&lt;($Z$30*$H62),($Z$30*$H62)/$F62,($Z$30*$H62)-SUM($AA62:AI62)))</f>
        <v>0</v>
      </c>
      <c r="AL62" s="842"/>
      <c r="AM62" s="842"/>
      <c r="AN62" s="842"/>
      <c r="AO62" s="842"/>
      <c r="AP62" s="842"/>
    </row>
    <row r="63" spans="3:42" outlineLevel="1">
      <c r="C63" s="63">
        <v>23</v>
      </c>
      <c r="D63" s="492"/>
      <c r="E63" s="493"/>
      <c r="F63" s="494"/>
      <c r="G63" s="494"/>
      <c r="H63" s="480">
        <f t="shared" si="11"/>
        <v>0</v>
      </c>
      <c r="I63" s="415">
        <f t="shared" si="12"/>
        <v>0</v>
      </c>
      <c r="N63" s="415"/>
      <c r="O63" s="415"/>
      <c r="P63" s="415"/>
      <c r="V63" s="415"/>
      <c r="W63" s="415"/>
      <c r="X63" s="67"/>
      <c r="Y63" s="67"/>
      <c r="Z63" s="87"/>
      <c r="AA63" s="87">
        <f t="shared" si="13"/>
        <v>0</v>
      </c>
      <c r="AB63" s="87">
        <f>IF($F63&lt;=0,0,IF(SUM($AA63:AA63)+($Z$30*$H63)/$F63&lt;($Z$30*$H63),($Z$30*$H63)/$F63,($Z$30*$H63)-SUM($AA63:AA63)))</f>
        <v>0</v>
      </c>
      <c r="AC63" s="87">
        <f>IF($F63&lt;=0,0,IF(SUM($AA63:AB63)+($Z$30*$H63)/$F63&lt;($Z$30*$H63),($Z$30*$H63)/$F63,($Z$30*$H63)-SUM($AA63:AB63)))</f>
        <v>0</v>
      </c>
      <c r="AD63" s="87">
        <f>IF($F63&lt;=0,0,IF(SUM($AA63:AC63)+($Z$30*$H63)/$F63&lt;($Z$30*$H63),($Z$30*$H63)/$F63,($Z$30*$H63)-SUM($AA63:AC63)))</f>
        <v>0</v>
      </c>
      <c r="AE63" s="87">
        <f>IF($F63&lt;=0,0,IF(SUM($AA63:AD63)+($Z$30*$H63)/$F63&lt;($Z$30*$H63),($Z$30*$H63)/$F63,($Z$30*$H63)-SUM($AA63:AD63)))</f>
        <v>0</v>
      </c>
      <c r="AF63" s="87">
        <f>IF($F63&lt;=0,0,IF(SUM($AA63:AE63)+($Z$30*$H63)/$F63&lt;($Z$30*$H63),($Z$30*$H63)/$F63,($Z$30*$H63)-SUM($AA63:AE63)))</f>
        <v>0</v>
      </c>
      <c r="AG63" s="87">
        <f>IF($F63&lt;=0,0,IF(SUM($AA63:AF63)+($Z$30*$H63)/$F63&lt;($Z$30*$H63),($Z$30*$H63)/$F63,($Z$30*$H63)-SUM($AA63:AF63)))</f>
        <v>0</v>
      </c>
      <c r="AH63" s="87">
        <f>IF($F63&lt;=0,0,IF(SUM($AA63:AG63)+($Z$30*$H63)/$F63&lt;($Z$30*$H63),($Z$30*$H63)/$F63,($Z$30*$H63)-SUM($AA63:AG63)))</f>
        <v>0</v>
      </c>
      <c r="AI63" s="87">
        <f>IF($F63&lt;=0,0,IF(SUM($AA63:AH63)+($Z$30*$H63)/$F63&lt;($Z$30*$H63),($Z$30*$H63)/$F63,($Z$30*$H63)-SUM($AA63:AH63)))</f>
        <v>0</v>
      </c>
      <c r="AJ63" s="87">
        <f>IF($F63&lt;=0,0,IF(SUM($AA63:AI63)+($Z$30*$H63)/$F63&lt;($Z$30*$H63),($Z$30*$H63)/$F63,($Z$30*$H63)-SUM($AA63:AI63)))</f>
        <v>0</v>
      </c>
      <c r="AL63" s="842"/>
      <c r="AM63" s="842"/>
      <c r="AN63" s="842"/>
      <c r="AO63" s="842"/>
      <c r="AP63" s="842"/>
    </row>
    <row r="64" spans="3:42" outlineLevel="1">
      <c r="C64" s="63">
        <v>24</v>
      </c>
      <c r="D64" s="492"/>
      <c r="E64" s="493"/>
      <c r="F64" s="494"/>
      <c r="G64" s="494"/>
      <c r="H64" s="480">
        <f t="shared" si="11"/>
        <v>0</v>
      </c>
      <c r="I64" s="415">
        <f t="shared" si="12"/>
        <v>0</v>
      </c>
      <c r="N64" s="415"/>
      <c r="O64" s="415"/>
      <c r="P64" s="415"/>
      <c r="V64" s="415"/>
      <c r="W64" s="415"/>
      <c r="X64" s="67"/>
      <c r="Y64" s="67"/>
      <c r="Z64" s="87"/>
      <c r="AA64" s="87">
        <f t="shared" si="13"/>
        <v>0</v>
      </c>
      <c r="AB64" s="87">
        <f>IF($F64&lt;=0,0,IF(SUM($AA64:AA64)+($Z$30*$H64)/$F64&lt;($Z$30*$H64),($Z$30*$H64)/$F64,($Z$30*$H64)-SUM($AA64:AA64)))</f>
        <v>0</v>
      </c>
      <c r="AC64" s="87">
        <f>IF($F64&lt;=0,0,IF(SUM($AA64:AB64)+($Z$30*$H64)/$F64&lt;($Z$30*$H64),($Z$30*$H64)/$F64,($Z$30*$H64)-SUM($AA64:AB64)))</f>
        <v>0</v>
      </c>
      <c r="AD64" s="87">
        <f>IF($F64&lt;=0,0,IF(SUM($AA64:AC64)+($Z$30*$H64)/$F64&lt;($Z$30*$H64),($Z$30*$H64)/$F64,($Z$30*$H64)-SUM($AA64:AC64)))</f>
        <v>0</v>
      </c>
      <c r="AE64" s="87">
        <f>IF($F64&lt;=0,0,IF(SUM($AA64:AD64)+($Z$30*$H64)/$F64&lt;($Z$30*$H64),($Z$30*$H64)/$F64,($Z$30*$H64)-SUM($AA64:AD64)))</f>
        <v>0</v>
      </c>
      <c r="AF64" s="87">
        <f>IF($F64&lt;=0,0,IF(SUM($AA64:AE64)+($Z$30*$H64)/$F64&lt;($Z$30*$H64),($Z$30*$H64)/$F64,($Z$30*$H64)-SUM($AA64:AE64)))</f>
        <v>0</v>
      </c>
      <c r="AG64" s="87">
        <f>IF($F64&lt;=0,0,IF(SUM($AA64:AF64)+($Z$30*$H64)/$F64&lt;($Z$30*$H64),($Z$30*$H64)/$F64,($Z$30*$H64)-SUM($AA64:AF64)))</f>
        <v>0</v>
      </c>
      <c r="AH64" s="87">
        <f>IF($F64&lt;=0,0,IF(SUM($AA64:AG64)+($Z$30*$H64)/$F64&lt;($Z$30*$H64),($Z$30*$H64)/$F64,($Z$30*$H64)-SUM($AA64:AG64)))</f>
        <v>0</v>
      </c>
      <c r="AI64" s="87">
        <f>IF($F64&lt;=0,0,IF(SUM($AA64:AH64)+($Z$30*$H64)/$F64&lt;($Z$30*$H64),($Z$30*$H64)/$F64,($Z$30*$H64)-SUM($AA64:AH64)))</f>
        <v>0</v>
      </c>
      <c r="AJ64" s="87">
        <f>IF($F64&lt;=0,0,IF(SUM($AA64:AI64)+($Z$30*$H64)/$F64&lt;($Z$30*$H64),($Z$30*$H64)/$F64,($Z$30*$H64)-SUM($AA64:AI64)))</f>
        <v>0</v>
      </c>
      <c r="AL64" s="842"/>
      <c r="AM64" s="842"/>
      <c r="AN64" s="842"/>
      <c r="AO64" s="842"/>
      <c r="AP64" s="842"/>
    </row>
    <row r="65" spans="3:42" outlineLevel="1">
      <c r="C65" s="63">
        <v>25</v>
      </c>
      <c r="D65" s="492"/>
      <c r="E65" s="493"/>
      <c r="F65" s="494"/>
      <c r="G65" s="494"/>
      <c r="H65" s="480">
        <f t="shared" si="11"/>
        <v>0</v>
      </c>
      <c r="I65" s="415">
        <f t="shared" si="12"/>
        <v>0</v>
      </c>
      <c r="N65" s="415"/>
      <c r="O65" s="415"/>
      <c r="P65" s="415"/>
      <c r="V65" s="415"/>
      <c r="W65" s="415"/>
      <c r="X65" s="67"/>
      <c r="Y65" s="67"/>
      <c r="Z65" s="87"/>
      <c r="AA65" s="87">
        <f t="shared" si="13"/>
        <v>0</v>
      </c>
      <c r="AB65" s="87">
        <f>IF($F65&lt;=0,0,IF(SUM($AA65:AA65)+($Z$30*$H65)/$F65&lt;($Z$30*$H65),($Z$30*$H65)/$F65,($Z$30*$H65)-SUM($AA65:AA65)))</f>
        <v>0</v>
      </c>
      <c r="AC65" s="87">
        <f>IF($F65&lt;=0,0,IF(SUM($AA65:AB65)+($Z$30*$H65)/$F65&lt;($Z$30*$H65),($Z$30*$H65)/$F65,($Z$30*$H65)-SUM($AA65:AB65)))</f>
        <v>0</v>
      </c>
      <c r="AD65" s="87">
        <f>IF($F65&lt;=0,0,IF(SUM($AA65:AC65)+($Z$30*$H65)/$F65&lt;($Z$30*$H65),($Z$30*$H65)/$F65,($Z$30*$H65)-SUM($AA65:AC65)))</f>
        <v>0</v>
      </c>
      <c r="AE65" s="87">
        <f>IF($F65&lt;=0,0,IF(SUM($AA65:AD65)+($Z$30*$H65)/$F65&lt;($Z$30*$H65),($Z$30*$H65)/$F65,($Z$30*$H65)-SUM($AA65:AD65)))</f>
        <v>0</v>
      </c>
      <c r="AF65" s="87">
        <f>IF($F65&lt;=0,0,IF(SUM($AA65:AE65)+($Z$30*$H65)/$F65&lt;($Z$30*$H65),($Z$30*$H65)/$F65,($Z$30*$H65)-SUM($AA65:AE65)))</f>
        <v>0</v>
      </c>
      <c r="AG65" s="87">
        <f>IF($F65&lt;=0,0,IF(SUM($AA65:AF65)+($Z$30*$H65)/$F65&lt;($Z$30*$H65),($Z$30*$H65)/$F65,($Z$30*$H65)-SUM($AA65:AF65)))</f>
        <v>0</v>
      </c>
      <c r="AH65" s="87">
        <f>IF($F65&lt;=0,0,IF(SUM($AA65:AG65)+($Z$30*$H65)/$F65&lt;($Z$30*$H65),($Z$30*$H65)/$F65,($Z$30*$H65)-SUM($AA65:AG65)))</f>
        <v>0</v>
      </c>
      <c r="AI65" s="87">
        <f>IF($F65&lt;=0,0,IF(SUM($AA65:AH65)+($Z$30*$H65)/$F65&lt;($Z$30*$H65),($Z$30*$H65)/$F65,($Z$30*$H65)-SUM($AA65:AH65)))</f>
        <v>0</v>
      </c>
      <c r="AJ65" s="87">
        <f>IF($F65&lt;=0,0,IF(SUM($AA65:AI65)+($Z$30*$H65)/$F65&lt;($Z$30*$H65),($Z$30*$H65)/$F65,($Z$30*$H65)-SUM($AA65:AI65)))</f>
        <v>0</v>
      </c>
      <c r="AL65" s="842"/>
      <c r="AM65" s="842"/>
      <c r="AN65" s="842"/>
      <c r="AO65" s="842"/>
      <c r="AP65" s="842"/>
    </row>
    <row r="66" spans="3:42" outlineLevel="1">
      <c r="C66" s="63">
        <v>26</v>
      </c>
      <c r="D66" s="492"/>
      <c r="E66" s="493"/>
      <c r="F66" s="494"/>
      <c r="G66" s="494"/>
      <c r="H66" s="480">
        <f t="shared" si="11"/>
        <v>0</v>
      </c>
      <c r="I66" s="415">
        <f t="shared" si="12"/>
        <v>0</v>
      </c>
      <c r="N66" s="415"/>
      <c r="O66" s="415"/>
      <c r="P66" s="415"/>
      <c r="V66" s="415"/>
      <c r="W66" s="415"/>
      <c r="X66" s="67"/>
      <c r="Y66" s="67"/>
      <c r="Z66" s="87"/>
      <c r="AA66" s="87">
        <f t="shared" si="13"/>
        <v>0</v>
      </c>
      <c r="AB66" s="87">
        <f>IF($F66&lt;=0,0,IF(SUM($AA66:AA66)+($Z$30*$H66)/$F66&lt;($Z$30*$H66),($Z$30*$H66)/$F66,($Z$30*$H66)-SUM($AA66:AA66)))</f>
        <v>0</v>
      </c>
      <c r="AC66" s="87">
        <f>IF($F66&lt;=0,0,IF(SUM($AA66:AB66)+($Z$30*$H66)/$F66&lt;($Z$30*$H66),($Z$30*$H66)/$F66,($Z$30*$H66)-SUM($AA66:AB66)))</f>
        <v>0</v>
      </c>
      <c r="AD66" s="87">
        <f>IF($F66&lt;=0,0,IF(SUM($AA66:AC66)+($Z$30*$H66)/$F66&lt;($Z$30*$H66),($Z$30*$H66)/$F66,($Z$30*$H66)-SUM($AA66:AC66)))</f>
        <v>0</v>
      </c>
      <c r="AE66" s="87">
        <f>IF($F66&lt;=0,0,IF(SUM($AA66:AD66)+($Z$30*$H66)/$F66&lt;($Z$30*$H66),($Z$30*$H66)/$F66,($Z$30*$H66)-SUM($AA66:AD66)))</f>
        <v>0</v>
      </c>
      <c r="AF66" s="87">
        <f>IF($F66&lt;=0,0,IF(SUM($AA66:AE66)+($Z$30*$H66)/$F66&lt;($Z$30*$H66),($Z$30*$H66)/$F66,($Z$30*$H66)-SUM($AA66:AE66)))</f>
        <v>0</v>
      </c>
      <c r="AG66" s="87">
        <f>IF($F66&lt;=0,0,IF(SUM($AA66:AF66)+($Z$30*$H66)/$F66&lt;($Z$30*$H66),($Z$30*$H66)/$F66,($Z$30*$H66)-SUM($AA66:AF66)))</f>
        <v>0</v>
      </c>
      <c r="AH66" s="87">
        <f>IF($F66&lt;=0,0,IF(SUM($AA66:AG66)+($Z$30*$H66)/$F66&lt;($Z$30*$H66),($Z$30*$H66)/$F66,($Z$30*$H66)-SUM($AA66:AG66)))</f>
        <v>0</v>
      </c>
      <c r="AI66" s="87">
        <f>IF($F66&lt;=0,0,IF(SUM($AA66:AH66)+($Z$30*$H66)/$F66&lt;($Z$30*$H66),($Z$30*$H66)/$F66,($Z$30*$H66)-SUM($AA66:AH66)))</f>
        <v>0</v>
      </c>
      <c r="AJ66" s="87">
        <f>IF($F66&lt;=0,0,IF(SUM($AA66:AI66)+($Z$30*$H66)/$F66&lt;($Z$30*$H66),($Z$30*$H66)/$F66,($Z$30*$H66)-SUM($AA66:AI66)))</f>
        <v>0</v>
      </c>
      <c r="AL66" s="842"/>
      <c r="AM66" s="842"/>
      <c r="AN66" s="842"/>
      <c r="AO66" s="842"/>
      <c r="AP66" s="842"/>
    </row>
    <row r="67" spans="3:42" outlineLevel="1">
      <c r="C67" s="63">
        <v>27</v>
      </c>
      <c r="D67" s="492"/>
      <c r="E67" s="493"/>
      <c r="F67" s="494"/>
      <c r="G67" s="494"/>
      <c r="H67" s="480">
        <f t="shared" si="11"/>
        <v>0</v>
      </c>
      <c r="I67" s="415">
        <f t="shared" si="12"/>
        <v>0</v>
      </c>
      <c r="N67" s="415"/>
      <c r="O67" s="415"/>
      <c r="P67" s="415"/>
      <c r="V67" s="415"/>
      <c r="W67" s="415"/>
      <c r="X67" s="67"/>
      <c r="Y67" s="67"/>
      <c r="Z67" s="87"/>
      <c r="AA67" s="87">
        <f t="shared" si="13"/>
        <v>0</v>
      </c>
      <c r="AB67" s="87">
        <f>IF($F67&lt;=0,0,IF(SUM($AA67:AA67)+($Z$30*$H67)/$F67&lt;($Z$30*$H67),($Z$30*$H67)/$F67,($Z$30*$H67)-SUM($AA67:AA67)))</f>
        <v>0</v>
      </c>
      <c r="AC67" s="87">
        <f>IF($F67&lt;=0,0,IF(SUM($AA67:AB67)+($Z$30*$H67)/$F67&lt;($Z$30*$H67),($Z$30*$H67)/$F67,($Z$30*$H67)-SUM($AA67:AB67)))</f>
        <v>0</v>
      </c>
      <c r="AD67" s="87">
        <f>IF($F67&lt;=0,0,IF(SUM($AA67:AC67)+($Z$30*$H67)/$F67&lt;($Z$30*$H67),($Z$30*$H67)/$F67,($Z$30*$H67)-SUM($AA67:AC67)))</f>
        <v>0</v>
      </c>
      <c r="AE67" s="87">
        <f>IF($F67&lt;=0,0,IF(SUM($AA67:AD67)+($Z$30*$H67)/$F67&lt;($Z$30*$H67),($Z$30*$H67)/$F67,($Z$30*$H67)-SUM($AA67:AD67)))</f>
        <v>0</v>
      </c>
      <c r="AF67" s="87">
        <f>IF($F67&lt;=0,0,IF(SUM($AA67:AE67)+($Z$30*$H67)/$F67&lt;($Z$30*$H67),($Z$30*$H67)/$F67,($Z$30*$H67)-SUM($AA67:AE67)))</f>
        <v>0</v>
      </c>
      <c r="AG67" s="87">
        <f>IF($F67&lt;=0,0,IF(SUM($AA67:AF67)+($Z$30*$H67)/$F67&lt;($Z$30*$H67),($Z$30*$H67)/$F67,($Z$30*$H67)-SUM($AA67:AF67)))</f>
        <v>0</v>
      </c>
      <c r="AH67" s="87">
        <f>IF($F67&lt;=0,0,IF(SUM($AA67:AG67)+($Z$30*$H67)/$F67&lt;($Z$30*$H67),($Z$30*$H67)/$F67,($Z$30*$H67)-SUM($AA67:AG67)))</f>
        <v>0</v>
      </c>
      <c r="AI67" s="87">
        <f>IF($F67&lt;=0,0,IF(SUM($AA67:AH67)+($Z$30*$H67)/$F67&lt;($Z$30*$H67),($Z$30*$H67)/$F67,($Z$30*$H67)-SUM($AA67:AH67)))</f>
        <v>0</v>
      </c>
      <c r="AJ67" s="87">
        <f>IF($F67&lt;=0,0,IF(SUM($AA67:AI67)+($Z$30*$H67)/$F67&lt;($Z$30*$H67),($Z$30*$H67)/$F67,($Z$30*$H67)-SUM($AA67:AI67)))</f>
        <v>0</v>
      </c>
      <c r="AL67" s="842"/>
      <c r="AM67" s="842"/>
      <c r="AN67" s="842"/>
      <c r="AO67" s="842"/>
      <c r="AP67" s="842"/>
    </row>
    <row r="68" spans="3:42" outlineLevel="1">
      <c r="C68" s="63">
        <v>28</v>
      </c>
      <c r="D68" s="492"/>
      <c r="E68" s="493"/>
      <c r="F68" s="494"/>
      <c r="G68" s="494"/>
      <c r="H68" s="480">
        <f t="shared" si="11"/>
        <v>0</v>
      </c>
      <c r="I68" s="415">
        <f t="shared" si="12"/>
        <v>0</v>
      </c>
      <c r="N68" s="415"/>
      <c r="O68" s="415"/>
      <c r="P68" s="415"/>
      <c r="V68" s="415"/>
      <c r="W68" s="415"/>
      <c r="X68" s="67"/>
      <c r="Y68" s="67"/>
      <c r="Z68" s="87"/>
      <c r="AA68" s="87">
        <f t="shared" si="13"/>
        <v>0</v>
      </c>
      <c r="AB68" s="87">
        <f>IF($F68&lt;=0,0,IF(SUM($AA68:AA68)+($Z$30*$H68)/$F68&lt;($Z$30*$H68),($Z$30*$H68)/$F68,($Z$30*$H68)-SUM($AA68:AA68)))</f>
        <v>0</v>
      </c>
      <c r="AC68" s="87">
        <f>IF($F68&lt;=0,0,IF(SUM($AA68:AB68)+($Z$30*$H68)/$F68&lt;($Z$30*$H68),($Z$30*$H68)/$F68,($Z$30*$H68)-SUM($AA68:AB68)))</f>
        <v>0</v>
      </c>
      <c r="AD68" s="87">
        <f>IF($F68&lt;=0,0,IF(SUM($AA68:AC68)+($Z$30*$H68)/$F68&lt;($Z$30*$H68),($Z$30*$H68)/$F68,($Z$30*$H68)-SUM($AA68:AC68)))</f>
        <v>0</v>
      </c>
      <c r="AE68" s="87">
        <f>IF($F68&lt;=0,0,IF(SUM($AA68:AD68)+($Z$30*$H68)/$F68&lt;($Z$30*$H68),($Z$30*$H68)/$F68,($Z$30*$H68)-SUM($AA68:AD68)))</f>
        <v>0</v>
      </c>
      <c r="AF68" s="87">
        <f>IF($F68&lt;=0,0,IF(SUM($AA68:AE68)+($Z$30*$H68)/$F68&lt;($Z$30*$H68),($Z$30*$H68)/$F68,($Z$30*$H68)-SUM($AA68:AE68)))</f>
        <v>0</v>
      </c>
      <c r="AG68" s="87">
        <f>IF($F68&lt;=0,0,IF(SUM($AA68:AF68)+($Z$30*$H68)/$F68&lt;($Z$30*$H68),($Z$30*$H68)/$F68,($Z$30*$H68)-SUM($AA68:AF68)))</f>
        <v>0</v>
      </c>
      <c r="AH68" s="87">
        <f>IF($F68&lt;=0,0,IF(SUM($AA68:AG68)+($Z$30*$H68)/$F68&lt;($Z$30*$H68),($Z$30*$H68)/$F68,($Z$30*$H68)-SUM($AA68:AG68)))</f>
        <v>0</v>
      </c>
      <c r="AI68" s="87">
        <f>IF($F68&lt;=0,0,IF(SUM($AA68:AH68)+($Z$30*$H68)/$F68&lt;($Z$30*$H68),($Z$30*$H68)/$F68,($Z$30*$H68)-SUM($AA68:AH68)))</f>
        <v>0</v>
      </c>
      <c r="AJ68" s="87">
        <f>IF($F68&lt;=0,0,IF(SUM($AA68:AI68)+($Z$30*$H68)/$F68&lt;($Z$30*$H68),($Z$30*$H68)/$F68,($Z$30*$H68)-SUM($AA68:AI68)))</f>
        <v>0</v>
      </c>
      <c r="AL68" s="842"/>
      <c r="AM68" s="842"/>
      <c r="AN68" s="842"/>
      <c r="AO68" s="842"/>
      <c r="AP68" s="842"/>
    </row>
    <row r="69" spans="3:42" outlineLevel="1">
      <c r="C69" s="63">
        <v>29</v>
      </c>
      <c r="D69" s="492"/>
      <c r="E69" s="493"/>
      <c r="F69" s="494"/>
      <c r="G69" s="494"/>
      <c r="H69" s="480">
        <f t="shared" si="11"/>
        <v>0</v>
      </c>
      <c r="I69" s="415">
        <f t="shared" si="12"/>
        <v>0</v>
      </c>
      <c r="N69" s="415"/>
      <c r="O69" s="415"/>
      <c r="P69" s="415"/>
      <c r="V69" s="415"/>
      <c r="W69" s="415"/>
      <c r="X69" s="67"/>
      <c r="Y69" s="67"/>
      <c r="Z69" s="87"/>
      <c r="AA69" s="87">
        <f t="shared" si="13"/>
        <v>0</v>
      </c>
      <c r="AB69" s="87">
        <f>IF($F69&lt;=0,0,IF(SUM($AA69:AA69)+($Z$30*$H69)/$F69&lt;($Z$30*$H69),($Z$30*$H69)/$F69,($Z$30*$H69)-SUM($AA69:AA69)))</f>
        <v>0</v>
      </c>
      <c r="AC69" s="87">
        <f>IF($F69&lt;=0,0,IF(SUM($AA69:AB69)+($Z$30*$H69)/$F69&lt;($Z$30*$H69),($Z$30*$H69)/$F69,($Z$30*$H69)-SUM($AA69:AB69)))</f>
        <v>0</v>
      </c>
      <c r="AD69" s="87">
        <f>IF($F69&lt;=0,0,IF(SUM($AA69:AC69)+($Z$30*$H69)/$F69&lt;($Z$30*$H69),($Z$30*$H69)/$F69,($Z$30*$H69)-SUM($AA69:AC69)))</f>
        <v>0</v>
      </c>
      <c r="AE69" s="87">
        <f>IF($F69&lt;=0,0,IF(SUM($AA69:AD69)+($Z$30*$H69)/$F69&lt;($Z$30*$H69),($Z$30*$H69)/$F69,($Z$30*$H69)-SUM($AA69:AD69)))</f>
        <v>0</v>
      </c>
      <c r="AF69" s="87">
        <f>IF($F69&lt;=0,0,IF(SUM($AA69:AE69)+($Z$30*$H69)/$F69&lt;($Z$30*$H69),($Z$30*$H69)/$F69,($Z$30*$H69)-SUM($AA69:AE69)))</f>
        <v>0</v>
      </c>
      <c r="AG69" s="87">
        <f>IF($F69&lt;=0,0,IF(SUM($AA69:AF69)+($Z$30*$H69)/$F69&lt;($Z$30*$H69),($Z$30*$H69)/$F69,($Z$30*$H69)-SUM($AA69:AF69)))</f>
        <v>0</v>
      </c>
      <c r="AH69" s="87">
        <f>IF($F69&lt;=0,0,IF(SUM($AA69:AG69)+($Z$30*$H69)/$F69&lt;($Z$30*$H69),($Z$30*$H69)/$F69,($Z$30*$H69)-SUM($AA69:AG69)))</f>
        <v>0</v>
      </c>
      <c r="AI69" s="87">
        <f>IF($F69&lt;=0,0,IF(SUM($AA69:AH69)+($Z$30*$H69)/$F69&lt;($Z$30*$H69),($Z$30*$H69)/$F69,($Z$30*$H69)-SUM($AA69:AH69)))</f>
        <v>0</v>
      </c>
      <c r="AJ69" s="87">
        <f>IF($F69&lt;=0,0,IF(SUM($AA69:AI69)+($Z$30*$H69)/$F69&lt;($Z$30*$H69),($Z$30*$H69)/$F69,($Z$30*$H69)-SUM($AA69:AI69)))</f>
        <v>0</v>
      </c>
      <c r="AL69" s="842"/>
      <c r="AM69" s="842"/>
      <c r="AN69" s="842"/>
      <c r="AO69" s="842"/>
      <c r="AP69" s="842"/>
    </row>
    <row r="70" spans="3:42" outlineLevel="1">
      <c r="C70" s="63">
        <v>30</v>
      </c>
      <c r="D70" s="492"/>
      <c r="E70" s="493"/>
      <c r="F70" s="494"/>
      <c r="G70" s="494"/>
      <c r="H70" s="480">
        <f t="shared" ref="H70:H80" si="14">+IF(ISERROR(G70/$G$82),"",G70/$G$82)</f>
        <v>0</v>
      </c>
      <c r="I70" s="415">
        <f t="shared" si="12"/>
        <v>0</v>
      </c>
      <c r="N70" s="415"/>
      <c r="O70" s="415"/>
      <c r="P70" s="415"/>
      <c r="V70" s="415"/>
      <c r="W70" s="415"/>
      <c r="X70" s="67"/>
      <c r="Y70" s="67"/>
      <c r="Z70" s="87"/>
      <c r="AA70" s="87">
        <f t="shared" si="13"/>
        <v>0</v>
      </c>
      <c r="AB70" s="87">
        <f>IF($F70&lt;=0,0,IF(SUM($AA70:AA70)+($Z$30*$H70)/$F70&lt;($Z$30*$H70),($Z$30*$H70)/$F70,($Z$30*$H70)-SUM($AA70:AA70)))</f>
        <v>0</v>
      </c>
      <c r="AC70" s="87">
        <f>IF($F70&lt;=0,0,IF(SUM($AA70:AB70)+($Z$30*$H70)/$F70&lt;($Z$30*$H70),($Z$30*$H70)/$F70,($Z$30*$H70)-SUM($AA70:AB70)))</f>
        <v>0</v>
      </c>
      <c r="AD70" s="87">
        <f>IF($F70&lt;=0,0,IF(SUM($AA70:AC70)+($Z$30*$H70)/$F70&lt;($Z$30*$H70),($Z$30*$H70)/$F70,($Z$30*$H70)-SUM($AA70:AC70)))</f>
        <v>0</v>
      </c>
      <c r="AE70" s="87">
        <f>IF($F70&lt;=0,0,IF(SUM($AA70:AD70)+($Z$30*$H70)/$F70&lt;($Z$30*$H70),($Z$30*$H70)/$F70,($Z$30*$H70)-SUM($AA70:AD70)))</f>
        <v>0</v>
      </c>
      <c r="AF70" s="87">
        <f>IF($F70&lt;=0,0,IF(SUM($AA70:AE70)+($Z$30*$H70)/$F70&lt;($Z$30*$H70),($Z$30*$H70)/$F70,($Z$30*$H70)-SUM($AA70:AE70)))</f>
        <v>0</v>
      </c>
      <c r="AG70" s="87">
        <f>IF($F70&lt;=0,0,IF(SUM($AA70:AF70)+($Z$30*$H70)/$F70&lt;($Z$30*$H70),($Z$30*$H70)/$F70,($Z$30*$H70)-SUM($AA70:AF70)))</f>
        <v>0</v>
      </c>
      <c r="AH70" s="87">
        <f>IF($F70&lt;=0,0,IF(SUM($AA70:AG70)+($Z$30*$H70)/$F70&lt;($Z$30*$H70),($Z$30*$H70)/$F70,($Z$30*$H70)-SUM($AA70:AG70)))</f>
        <v>0</v>
      </c>
      <c r="AI70" s="87">
        <f>IF($F70&lt;=0,0,IF(SUM($AA70:AH70)+($Z$30*$H70)/$F70&lt;($Z$30*$H70),($Z$30*$H70)/$F70,($Z$30*$H70)-SUM($AA70:AH70)))</f>
        <v>0</v>
      </c>
      <c r="AJ70" s="87">
        <f>IF($F70&lt;=0,0,IF(SUM($AA70:AI70)+($Z$30*$H70)/$F70&lt;($Z$30*$H70),($Z$30*$H70)/$F70,($Z$30*$H70)-SUM($AA70:AI70)))</f>
        <v>0</v>
      </c>
      <c r="AL70" s="842"/>
      <c r="AM70" s="842"/>
      <c r="AN70" s="842"/>
      <c r="AO70" s="842"/>
      <c r="AP70" s="842"/>
    </row>
    <row r="71" spans="3:42" outlineLevel="1">
      <c r="C71" s="63">
        <v>31</v>
      </c>
      <c r="D71" s="492"/>
      <c r="E71" s="493"/>
      <c r="F71" s="494"/>
      <c r="G71" s="494"/>
      <c r="H71" s="480">
        <f t="shared" si="14"/>
        <v>0</v>
      </c>
      <c r="I71" s="415">
        <f t="shared" si="12"/>
        <v>0</v>
      </c>
      <c r="N71" s="415"/>
      <c r="O71" s="415"/>
      <c r="P71" s="415"/>
      <c r="V71" s="415"/>
      <c r="W71" s="415"/>
      <c r="X71" s="67"/>
      <c r="Y71" s="67"/>
      <c r="Z71" s="87"/>
      <c r="AA71" s="87">
        <f t="shared" si="13"/>
        <v>0</v>
      </c>
      <c r="AB71" s="87">
        <f>IF($F71&lt;=0,0,IF(SUM($AA71:AA71)+($Z$30*$H71)/$F71&lt;($Z$30*$H71),($Z$30*$H71)/$F71,($Z$30*$H71)-SUM($AA71:AA71)))</f>
        <v>0</v>
      </c>
      <c r="AC71" s="87">
        <f>IF($F71&lt;=0,0,IF(SUM($AA71:AB71)+($Z$30*$H71)/$F71&lt;($Z$30*$H71),($Z$30*$H71)/$F71,($Z$30*$H71)-SUM($AA71:AB71)))</f>
        <v>0</v>
      </c>
      <c r="AD71" s="87">
        <f>IF($F71&lt;=0,0,IF(SUM($AA71:AC71)+($Z$30*$H71)/$F71&lt;($Z$30*$H71),($Z$30*$H71)/$F71,($Z$30*$H71)-SUM($AA71:AC71)))</f>
        <v>0</v>
      </c>
      <c r="AE71" s="87">
        <f>IF($F71&lt;=0,0,IF(SUM($AA71:AD71)+($Z$30*$H71)/$F71&lt;($Z$30*$H71),($Z$30*$H71)/$F71,($Z$30*$H71)-SUM($AA71:AD71)))</f>
        <v>0</v>
      </c>
      <c r="AF71" s="87">
        <f>IF($F71&lt;=0,0,IF(SUM($AA71:AE71)+($Z$30*$H71)/$F71&lt;($Z$30*$H71),($Z$30*$H71)/$F71,($Z$30*$H71)-SUM($AA71:AE71)))</f>
        <v>0</v>
      </c>
      <c r="AG71" s="87">
        <f>IF($F71&lt;=0,0,IF(SUM($AA71:AF71)+($Z$30*$H71)/$F71&lt;($Z$30*$H71),($Z$30*$H71)/$F71,($Z$30*$H71)-SUM($AA71:AF71)))</f>
        <v>0</v>
      </c>
      <c r="AH71" s="87">
        <f>IF($F71&lt;=0,0,IF(SUM($AA71:AG71)+($Z$30*$H71)/$F71&lt;($Z$30*$H71),($Z$30*$H71)/$F71,($Z$30*$H71)-SUM($AA71:AG71)))</f>
        <v>0</v>
      </c>
      <c r="AI71" s="87">
        <f>IF($F71&lt;=0,0,IF(SUM($AA71:AH71)+($Z$30*$H71)/$F71&lt;($Z$30*$H71),($Z$30*$H71)/$F71,($Z$30*$H71)-SUM($AA71:AH71)))</f>
        <v>0</v>
      </c>
      <c r="AJ71" s="87">
        <f>IF($F71&lt;=0,0,IF(SUM($AA71:AI71)+($Z$30*$H71)/$F71&lt;($Z$30*$H71),($Z$30*$H71)/$F71,($Z$30*$H71)-SUM($AA71:AI71)))</f>
        <v>0</v>
      </c>
      <c r="AL71" s="842"/>
      <c r="AM71" s="842"/>
      <c r="AN71" s="842"/>
      <c r="AO71" s="842"/>
      <c r="AP71" s="842"/>
    </row>
    <row r="72" spans="3:42" outlineLevel="1">
      <c r="C72" s="63">
        <v>32</v>
      </c>
      <c r="D72" s="492"/>
      <c r="E72" s="493"/>
      <c r="F72" s="494"/>
      <c r="G72" s="494"/>
      <c r="H72" s="480">
        <f t="shared" si="14"/>
        <v>0</v>
      </c>
      <c r="I72" s="415">
        <f t="shared" si="12"/>
        <v>0</v>
      </c>
      <c r="N72" s="415"/>
      <c r="O72" s="415"/>
      <c r="P72" s="415"/>
      <c r="V72" s="415"/>
      <c r="W72" s="415"/>
      <c r="X72" s="67"/>
      <c r="Y72" s="67"/>
      <c r="Z72" s="87"/>
      <c r="AA72" s="87">
        <f t="shared" si="13"/>
        <v>0</v>
      </c>
      <c r="AB72" s="87">
        <f>IF($F72&lt;=0,0,IF(SUM($AA72:AA72)+($Z$30*$H72)/$F72&lt;($Z$30*$H72),($Z$30*$H72)/$F72,($Z$30*$H72)-SUM($AA72:AA72)))</f>
        <v>0</v>
      </c>
      <c r="AC72" s="87">
        <f>IF($F72&lt;=0,0,IF(SUM($AA72:AB72)+($Z$30*$H72)/$F72&lt;($Z$30*$H72),($Z$30*$H72)/$F72,($Z$30*$H72)-SUM($AA72:AB72)))</f>
        <v>0</v>
      </c>
      <c r="AD72" s="87">
        <f>IF($F72&lt;=0,0,IF(SUM($AA72:AC72)+($Z$30*$H72)/$F72&lt;($Z$30*$H72),($Z$30*$H72)/$F72,($Z$30*$H72)-SUM($AA72:AC72)))</f>
        <v>0</v>
      </c>
      <c r="AE72" s="87">
        <f>IF($F72&lt;=0,0,IF(SUM($AA72:AD72)+($Z$30*$H72)/$F72&lt;($Z$30*$H72),($Z$30*$H72)/$F72,($Z$30*$H72)-SUM($AA72:AD72)))</f>
        <v>0</v>
      </c>
      <c r="AF72" s="87">
        <f>IF($F72&lt;=0,0,IF(SUM($AA72:AE72)+($Z$30*$H72)/$F72&lt;($Z$30*$H72),($Z$30*$H72)/$F72,($Z$30*$H72)-SUM($AA72:AE72)))</f>
        <v>0</v>
      </c>
      <c r="AG72" s="87">
        <f>IF($F72&lt;=0,0,IF(SUM($AA72:AF72)+($Z$30*$H72)/$F72&lt;($Z$30*$H72),($Z$30*$H72)/$F72,($Z$30*$H72)-SUM($AA72:AF72)))</f>
        <v>0</v>
      </c>
      <c r="AH72" s="87">
        <f>IF($F72&lt;=0,0,IF(SUM($AA72:AG72)+($Z$30*$H72)/$F72&lt;($Z$30*$H72),($Z$30*$H72)/$F72,($Z$30*$H72)-SUM($AA72:AG72)))</f>
        <v>0</v>
      </c>
      <c r="AI72" s="87">
        <f>IF($F72&lt;=0,0,IF(SUM($AA72:AH72)+($Z$30*$H72)/$F72&lt;($Z$30*$H72),($Z$30*$H72)/$F72,($Z$30*$H72)-SUM($AA72:AH72)))</f>
        <v>0</v>
      </c>
      <c r="AJ72" s="87">
        <f>IF($F72&lt;=0,0,IF(SUM($AA72:AI72)+($Z$30*$H72)/$F72&lt;($Z$30*$H72),($Z$30*$H72)/$F72,($Z$30*$H72)-SUM($AA72:AI72)))</f>
        <v>0</v>
      </c>
      <c r="AL72" s="842"/>
      <c r="AM72" s="842"/>
      <c r="AN72" s="842"/>
      <c r="AO72" s="842"/>
      <c r="AP72" s="842"/>
    </row>
    <row r="73" spans="3:42" outlineLevel="1">
      <c r="C73" s="63">
        <v>33</v>
      </c>
      <c r="D73" s="492"/>
      <c r="E73" s="493"/>
      <c r="F73" s="494"/>
      <c r="G73" s="494"/>
      <c r="H73" s="480">
        <f t="shared" si="14"/>
        <v>0</v>
      </c>
      <c r="I73" s="415">
        <f t="shared" si="12"/>
        <v>0</v>
      </c>
      <c r="N73" s="415"/>
      <c r="O73" s="415"/>
      <c r="P73" s="415"/>
      <c r="V73" s="415"/>
      <c r="W73" s="415"/>
      <c r="X73" s="67"/>
      <c r="Y73" s="67"/>
      <c r="Z73" s="87"/>
      <c r="AA73" s="87">
        <f t="shared" si="13"/>
        <v>0</v>
      </c>
      <c r="AB73" s="87">
        <f>IF($F73&lt;=0,0,IF(SUM($AA73:AA73)+($Z$30*$H73)/$F73&lt;($Z$30*$H73),($Z$30*$H73)/$F73,($Z$30*$H73)-SUM($AA73:AA73)))</f>
        <v>0</v>
      </c>
      <c r="AC73" s="87">
        <f>IF($F73&lt;=0,0,IF(SUM($AA73:AB73)+($Z$30*$H73)/$F73&lt;($Z$30*$H73),($Z$30*$H73)/$F73,($Z$30*$H73)-SUM($AA73:AB73)))</f>
        <v>0</v>
      </c>
      <c r="AD73" s="87">
        <f>IF($F73&lt;=0,0,IF(SUM($AA73:AC73)+($Z$30*$H73)/$F73&lt;($Z$30*$H73),($Z$30*$H73)/$F73,($Z$30*$H73)-SUM($AA73:AC73)))</f>
        <v>0</v>
      </c>
      <c r="AE73" s="87">
        <f>IF($F73&lt;=0,0,IF(SUM($AA73:AD73)+($Z$30*$H73)/$F73&lt;($Z$30*$H73),($Z$30*$H73)/$F73,($Z$30*$H73)-SUM($AA73:AD73)))</f>
        <v>0</v>
      </c>
      <c r="AF73" s="87">
        <f>IF($F73&lt;=0,0,IF(SUM($AA73:AE73)+($Z$30*$H73)/$F73&lt;($Z$30*$H73),($Z$30*$H73)/$F73,($Z$30*$H73)-SUM($AA73:AE73)))</f>
        <v>0</v>
      </c>
      <c r="AG73" s="87">
        <f>IF($F73&lt;=0,0,IF(SUM($AA73:AF73)+($Z$30*$H73)/$F73&lt;($Z$30*$H73),($Z$30*$H73)/$F73,($Z$30*$H73)-SUM($AA73:AF73)))</f>
        <v>0</v>
      </c>
      <c r="AH73" s="87">
        <f>IF($F73&lt;=0,0,IF(SUM($AA73:AG73)+($Z$30*$H73)/$F73&lt;($Z$30*$H73),($Z$30*$H73)/$F73,($Z$30*$H73)-SUM($AA73:AG73)))</f>
        <v>0</v>
      </c>
      <c r="AI73" s="87">
        <f>IF($F73&lt;=0,0,IF(SUM($AA73:AH73)+($Z$30*$H73)/$F73&lt;($Z$30*$H73),($Z$30*$H73)/$F73,($Z$30*$H73)-SUM($AA73:AH73)))</f>
        <v>0</v>
      </c>
      <c r="AJ73" s="87">
        <f>IF($F73&lt;=0,0,IF(SUM($AA73:AI73)+($Z$30*$H73)/$F73&lt;($Z$30*$H73),($Z$30*$H73)/$F73,($Z$30*$H73)-SUM($AA73:AI73)))</f>
        <v>0</v>
      </c>
      <c r="AL73" s="842"/>
      <c r="AM73" s="842"/>
      <c r="AN73" s="842"/>
      <c r="AO73" s="842"/>
      <c r="AP73" s="842"/>
    </row>
    <row r="74" spans="3:42" outlineLevel="1">
      <c r="C74" s="63">
        <v>34</v>
      </c>
      <c r="D74" s="492"/>
      <c r="E74" s="493"/>
      <c r="F74" s="494"/>
      <c r="G74" s="494"/>
      <c r="H74" s="480">
        <f t="shared" si="14"/>
        <v>0</v>
      </c>
      <c r="I74" s="415">
        <f t="shared" si="12"/>
        <v>0</v>
      </c>
      <c r="N74" s="415"/>
      <c r="O74" s="415"/>
      <c r="P74" s="415"/>
      <c r="V74" s="415"/>
      <c r="W74" s="415"/>
      <c r="X74" s="67"/>
      <c r="Y74" s="67"/>
      <c r="Z74" s="87"/>
      <c r="AA74" s="87">
        <f t="shared" si="13"/>
        <v>0</v>
      </c>
      <c r="AB74" s="87">
        <f>IF($F74&lt;=0,0,IF(SUM($AA74:AA74)+($Z$30*$H74)/$F74&lt;($Z$30*$H74),($Z$30*$H74)/$F74,($Z$30*$H74)-SUM($AA74:AA74)))</f>
        <v>0</v>
      </c>
      <c r="AC74" s="87">
        <f>IF($F74&lt;=0,0,IF(SUM($AA74:AB74)+($Z$30*$H74)/$F74&lt;($Z$30*$H74),($Z$30*$H74)/$F74,($Z$30*$H74)-SUM($AA74:AB74)))</f>
        <v>0</v>
      </c>
      <c r="AD74" s="87">
        <f>IF($F74&lt;=0,0,IF(SUM($AA74:AC74)+($Z$30*$H74)/$F74&lt;($Z$30*$H74),($Z$30*$H74)/$F74,($Z$30*$H74)-SUM($AA74:AC74)))</f>
        <v>0</v>
      </c>
      <c r="AE74" s="87">
        <f>IF($F74&lt;=0,0,IF(SUM($AA74:AD74)+($Z$30*$H74)/$F74&lt;($Z$30*$H74),($Z$30*$H74)/$F74,($Z$30*$H74)-SUM($AA74:AD74)))</f>
        <v>0</v>
      </c>
      <c r="AF74" s="87">
        <f>IF($F74&lt;=0,0,IF(SUM($AA74:AE74)+($Z$30*$H74)/$F74&lt;($Z$30*$H74),($Z$30*$H74)/$F74,($Z$30*$H74)-SUM($AA74:AE74)))</f>
        <v>0</v>
      </c>
      <c r="AG74" s="87">
        <f>IF($F74&lt;=0,0,IF(SUM($AA74:AF74)+($Z$30*$H74)/$F74&lt;($Z$30*$H74),($Z$30*$H74)/$F74,($Z$30*$H74)-SUM($AA74:AF74)))</f>
        <v>0</v>
      </c>
      <c r="AH74" s="87">
        <f>IF($F74&lt;=0,0,IF(SUM($AA74:AG74)+($Z$30*$H74)/$F74&lt;($Z$30*$H74),($Z$30*$H74)/$F74,($Z$30*$H74)-SUM($AA74:AG74)))</f>
        <v>0</v>
      </c>
      <c r="AI74" s="87">
        <f>IF($F74&lt;=0,0,IF(SUM($AA74:AH74)+($Z$30*$H74)/$F74&lt;($Z$30*$H74),($Z$30*$H74)/$F74,($Z$30*$H74)-SUM($AA74:AH74)))</f>
        <v>0</v>
      </c>
      <c r="AJ74" s="87">
        <f>IF($F74&lt;=0,0,IF(SUM($AA74:AI74)+($Z$30*$H74)/$F74&lt;($Z$30*$H74),($Z$30*$H74)/$F74,($Z$30*$H74)-SUM($AA74:AI74)))</f>
        <v>0</v>
      </c>
      <c r="AL74" s="842"/>
      <c r="AM74" s="842"/>
      <c r="AN74" s="842"/>
      <c r="AO74" s="842"/>
      <c r="AP74" s="842"/>
    </row>
    <row r="75" spans="3:42" outlineLevel="1">
      <c r="C75" s="63">
        <v>35</v>
      </c>
      <c r="D75" s="492"/>
      <c r="E75" s="493"/>
      <c r="F75" s="494"/>
      <c r="G75" s="494"/>
      <c r="H75" s="480">
        <f t="shared" si="14"/>
        <v>0</v>
      </c>
      <c r="I75" s="415">
        <f t="shared" si="12"/>
        <v>0</v>
      </c>
      <c r="N75" s="415"/>
      <c r="O75" s="415"/>
      <c r="P75" s="415"/>
      <c r="V75" s="415"/>
      <c r="W75" s="415"/>
      <c r="X75" s="67"/>
      <c r="Y75" s="67"/>
      <c r="Z75" s="87"/>
      <c r="AA75" s="87">
        <f t="shared" si="13"/>
        <v>0</v>
      </c>
      <c r="AB75" s="87">
        <f>IF($F75&lt;=0,0,IF(SUM($AA75:AA75)+($Z$30*$H75)/$F75&lt;($Z$30*$H75),($Z$30*$H75)/$F75,($Z$30*$H75)-SUM($AA75:AA75)))</f>
        <v>0</v>
      </c>
      <c r="AC75" s="87">
        <f>IF($F75&lt;=0,0,IF(SUM($AA75:AB75)+($Z$30*$H75)/$F75&lt;($Z$30*$H75),($Z$30*$H75)/$F75,($Z$30*$H75)-SUM($AA75:AB75)))</f>
        <v>0</v>
      </c>
      <c r="AD75" s="87">
        <f>IF($F75&lt;=0,0,IF(SUM($AA75:AC75)+($Z$30*$H75)/$F75&lt;($Z$30*$H75),($Z$30*$H75)/$F75,($Z$30*$H75)-SUM($AA75:AC75)))</f>
        <v>0</v>
      </c>
      <c r="AE75" s="87">
        <f>IF($F75&lt;=0,0,IF(SUM($AA75:AD75)+($Z$30*$H75)/$F75&lt;($Z$30*$H75),($Z$30*$H75)/$F75,($Z$30*$H75)-SUM($AA75:AD75)))</f>
        <v>0</v>
      </c>
      <c r="AF75" s="87">
        <f>IF($F75&lt;=0,0,IF(SUM($AA75:AE75)+($Z$30*$H75)/$F75&lt;($Z$30*$H75),($Z$30*$H75)/$F75,($Z$30*$H75)-SUM($AA75:AE75)))</f>
        <v>0</v>
      </c>
      <c r="AG75" s="87">
        <f>IF($F75&lt;=0,0,IF(SUM($AA75:AF75)+($Z$30*$H75)/$F75&lt;($Z$30*$H75),($Z$30*$H75)/$F75,($Z$30*$H75)-SUM($AA75:AF75)))</f>
        <v>0</v>
      </c>
      <c r="AH75" s="87">
        <f>IF($F75&lt;=0,0,IF(SUM($AA75:AG75)+($Z$30*$H75)/$F75&lt;($Z$30*$H75),($Z$30*$H75)/$F75,($Z$30*$H75)-SUM($AA75:AG75)))</f>
        <v>0</v>
      </c>
      <c r="AI75" s="87">
        <f>IF($F75&lt;=0,0,IF(SUM($AA75:AH75)+($Z$30*$H75)/$F75&lt;($Z$30*$H75),($Z$30*$H75)/$F75,($Z$30*$H75)-SUM($AA75:AH75)))</f>
        <v>0</v>
      </c>
      <c r="AJ75" s="87">
        <f>IF($F75&lt;=0,0,IF(SUM($AA75:AI75)+($Z$30*$H75)/$F75&lt;($Z$30*$H75),($Z$30*$H75)/$F75,($Z$30*$H75)-SUM($AA75:AI75)))</f>
        <v>0</v>
      </c>
      <c r="AL75" s="842"/>
      <c r="AM75" s="842"/>
      <c r="AN75" s="842"/>
      <c r="AO75" s="842"/>
      <c r="AP75" s="842"/>
    </row>
    <row r="76" spans="3:42" outlineLevel="1">
      <c r="C76" s="63">
        <v>36</v>
      </c>
      <c r="D76" s="492"/>
      <c r="E76" s="493"/>
      <c r="F76" s="494"/>
      <c r="G76" s="494"/>
      <c r="H76" s="480">
        <f t="shared" si="14"/>
        <v>0</v>
      </c>
      <c r="I76" s="415">
        <f t="shared" si="12"/>
        <v>0</v>
      </c>
      <c r="N76" s="415"/>
      <c r="O76" s="415"/>
      <c r="P76" s="415"/>
      <c r="V76" s="415"/>
      <c r="W76" s="415"/>
      <c r="X76" s="67"/>
      <c r="Y76" s="67"/>
      <c r="Z76" s="87"/>
      <c r="AA76" s="87">
        <f t="shared" si="13"/>
        <v>0</v>
      </c>
      <c r="AB76" s="87">
        <f>IF($F76&lt;=0,0,IF(SUM($AA76:AA76)+($Z$30*$H76)/$F76&lt;($Z$30*$H76),($Z$30*$H76)/$F76,($Z$30*$H76)-SUM($AA76:AA76)))</f>
        <v>0</v>
      </c>
      <c r="AC76" s="87">
        <f>IF($F76&lt;=0,0,IF(SUM($AA76:AB76)+($Z$30*$H76)/$F76&lt;($Z$30*$H76),($Z$30*$H76)/$F76,($Z$30*$H76)-SUM($AA76:AB76)))</f>
        <v>0</v>
      </c>
      <c r="AD76" s="87">
        <f>IF($F76&lt;=0,0,IF(SUM($AA76:AC76)+($Z$30*$H76)/$F76&lt;($Z$30*$H76),($Z$30*$H76)/$F76,($Z$30*$H76)-SUM($AA76:AC76)))</f>
        <v>0</v>
      </c>
      <c r="AE76" s="87">
        <f>IF($F76&lt;=0,0,IF(SUM($AA76:AD76)+($Z$30*$H76)/$F76&lt;($Z$30*$H76),($Z$30*$H76)/$F76,($Z$30*$H76)-SUM($AA76:AD76)))</f>
        <v>0</v>
      </c>
      <c r="AF76" s="87">
        <f>IF($F76&lt;=0,0,IF(SUM($AA76:AE76)+($Z$30*$H76)/$F76&lt;($Z$30*$H76),($Z$30*$H76)/$F76,($Z$30*$H76)-SUM($AA76:AE76)))</f>
        <v>0</v>
      </c>
      <c r="AG76" s="87">
        <f>IF($F76&lt;=0,0,IF(SUM($AA76:AF76)+($Z$30*$H76)/$F76&lt;($Z$30*$H76),($Z$30*$H76)/$F76,($Z$30*$H76)-SUM($AA76:AF76)))</f>
        <v>0</v>
      </c>
      <c r="AH76" s="87">
        <f>IF($F76&lt;=0,0,IF(SUM($AA76:AG76)+($Z$30*$H76)/$F76&lt;($Z$30*$H76),($Z$30*$H76)/$F76,($Z$30*$H76)-SUM($AA76:AG76)))</f>
        <v>0</v>
      </c>
      <c r="AI76" s="87">
        <f>IF($F76&lt;=0,0,IF(SUM($AA76:AH76)+($Z$30*$H76)/$F76&lt;($Z$30*$H76),($Z$30*$H76)/$F76,($Z$30*$H76)-SUM($AA76:AH76)))</f>
        <v>0</v>
      </c>
      <c r="AJ76" s="87">
        <f>IF($F76&lt;=0,0,IF(SUM($AA76:AI76)+($Z$30*$H76)/$F76&lt;($Z$30*$H76),($Z$30*$H76)/$F76,($Z$30*$H76)-SUM($AA76:AI76)))</f>
        <v>0</v>
      </c>
      <c r="AL76" s="842"/>
      <c r="AM76" s="842"/>
      <c r="AN76" s="842"/>
      <c r="AO76" s="842"/>
      <c r="AP76" s="842"/>
    </row>
    <row r="77" spans="3:42" outlineLevel="1">
      <c r="C77" s="63">
        <v>37</v>
      </c>
      <c r="D77" s="492"/>
      <c r="E77" s="493"/>
      <c r="F77" s="494"/>
      <c r="G77" s="494"/>
      <c r="H77" s="480">
        <f t="shared" si="14"/>
        <v>0</v>
      </c>
      <c r="I77" s="415">
        <f t="shared" si="12"/>
        <v>0</v>
      </c>
      <c r="N77" s="415"/>
      <c r="O77" s="415"/>
      <c r="P77" s="415"/>
      <c r="V77" s="415"/>
      <c r="W77" s="415"/>
      <c r="X77" s="67"/>
      <c r="Y77" s="67"/>
      <c r="Z77" s="87"/>
      <c r="AA77" s="87">
        <f t="shared" si="13"/>
        <v>0</v>
      </c>
      <c r="AB77" s="87">
        <f>IF($F77&lt;=0,0,IF(SUM($AA77:AA77)+($Z$30*$H77)/$F77&lt;($Z$30*$H77),($Z$30*$H77)/$F77,($Z$30*$H77)-SUM($AA77:AA77)))</f>
        <v>0</v>
      </c>
      <c r="AC77" s="87">
        <f>IF($F77&lt;=0,0,IF(SUM($AA77:AB77)+($Z$30*$H77)/$F77&lt;($Z$30*$H77),($Z$30*$H77)/$F77,($Z$30*$H77)-SUM($AA77:AB77)))</f>
        <v>0</v>
      </c>
      <c r="AD77" s="87">
        <f>IF($F77&lt;=0,0,IF(SUM($AA77:AC77)+($Z$30*$H77)/$F77&lt;($Z$30*$H77),($Z$30*$H77)/$F77,($Z$30*$H77)-SUM($AA77:AC77)))</f>
        <v>0</v>
      </c>
      <c r="AE77" s="87">
        <f>IF($F77&lt;=0,0,IF(SUM($AA77:AD77)+($Z$30*$H77)/$F77&lt;($Z$30*$H77),($Z$30*$H77)/$F77,($Z$30*$H77)-SUM($AA77:AD77)))</f>
        <v>0</v>
      </c>
      <c r="AF77" s="87">
        <f>IF($F77&lt;=0,0,IF(SUM($AA77:AE77)+($Z$30*$H77)/$F77&lt;($Z$30*$H77),($Z$30*$H77)/$F77,($Z$30*$H77)-SUM($AA77:AE77)))</f>
        <v>0</v>
      </c>
      <c r="AG77" s="87">
        <f>IF($F77&lt;=0,0,IF(SUM($AA77:AF77)+($Z$30*$H77)/$F77&lt;($Z$30*$H77),($Z$30*$H77)/$F77,($Z$30*$H77)-SUM($AA77:AF77)))</f>
        <v>0</v>
      </c>
      <c r="AH77" s="87">
        <f>IF($F77&lt;=0,0,IF(SUM($AA77:AG77)+($Z$30*$H77)/$F77&lt;($Z$30*$H77),($Z$30*$H77)/$F77,($Z$30*$H77)-SUM($AA77:AG77)))</f>
        <v>0</v>
      </c>
      <c r="AI77" s="87">
        <f>IF($F77&lt;=0,0,IF(SUM($AA77:AH77)+($Z$30*$H77)/$F77&lt;($Z$30*$H77),($Z$30*$H77)/$F77,($Z$30*$H77)-SUM($AA77:AH77)))</f>
        <v>0</v>
      </c>
      <c r="AJ77" s="87">
        <f>IF($F77&lt;=0,0,IF(SUM($AA77:AI77)+($Z$30*$H77)/$F77&lt;($Z$30*$H77),($Z$30*$H77)/$F77,($Z$30*$H77)-SUM($AA77:AI77)))</f>
        <v>0</v>
      </c>
      <c r="AL77" s="842"/>
      <c r="AM77" s="842"/>
      <c r="AN77" s="842"/>
      <c r="AO77" s="842"/>
      <c r="AP77" s="842"/>
    </row>
    <row r="78" spans="3:42" outlineLevel="1">
      <c r="C78" s="63">
        <v>38</v>
      </c>
      <c r="D78" s="492"/>
      <c r="E78" s="493"/>
      <c r="F78" s="494"/>
      <c r="G78" s="494"/>
      <c r="H78" s="480">
        <f t="shared" si="14"/>
        <v>0</v>
      </c>
      <c r="I78" s="415">
        <f t="shared" si="12"/>
        <v>0</v>
      </c>
      <c r="N78" s="415"/>
      <c r="O78" s="415"/>
      <c r="P78" s="415"/>
      <c r="V78" s="415"/>
      <c r="W78" s="415"/>
      <c r="X78" s="67"/>
      <c r="Y78" s="67"/>
      <c r="Z78" s="87"/>
      <c r="AA78" s="87">
        <f t="shared" si="13"/>
        <v>0</v>
      </c>
      <c r="AB78" s="87">
        <f>IF($F78&lt;=0,0,IF(SUM($AA78:AA78)+($Z$30*$H78)/$F78&lt;($Z$30*$H78),($Z$30*$H78)/$F78,($Z$30*$H78)-SUM($AA78:AA78)))</f>
        <v>0</v>
      </c>
      <c r="AC78" s="87">
        <f>IF($F78&lt;=0,0,IF(SUM($AA78:AB78)+($Z$30*$H78)/$F78&lt;($Z$30*$H78),($Z$30*$H78)/$F78,($Z$30*$H78)-SUM($AA78:AB78)))</f>
        <v>0</v>
      </c>
      <c r="AD78" s="87">
        <f>IF($F78&lt;=0,0,IF(SUM($AA78:AC78)+($Z$30*$H78)/$F78&lt;($Z$30*$H78),($Z$30*$H78)/$F78,($Z$30*$H78)-SUM($AA78:AC78)))</f>
        <v>0</v>
      </c>
      <c r="AE78" s="87">
        <f>IF($F78&lt;=0,0,IF(SUM($AA78:AD78)+($Z$30*$H78)/$F78&lt;($Z$30*$H78),($Z$30*$H78)/$F78,($Z$30*$H78)-SUM($AA78:AD78)))</f>
        <v>0</v>
      </c>
      <c r="AF78" s="87">
        <f>IF($F78&lt;=0,0,IF(SUM($AA78:AE78)+($Z$30*$H78)/$F78&lt;($Z$30*$H78),($Z$30*$H78)/$F78,($Z$30*$H78)-SUM($AA78:AE78)))</f>
        <v>0</v>
      </c>
      <c r="AG78" s="87">
        <f>IF($F78&lt;=0,0,IF(SUM($AA78:AF78)+($Z$30*$H78)/$F78&lt;($Z$30*$H78),($Z$30*$H78)/$F78,($Z$30*$H78)-SUM($AA78:AF78)))</f>
        <v>0</v>
      </c>
      <c r="AH78" s="87">
        <f>IF($F78&lt;=0,0,IF(SUM($AA78:AG78)+($Z$30*$H78)/$F78&lt;($Z$30*$H78),($Z$30*$H78)/$F78,($Z$30*$H78)-SUM($AA78:AG78)))</f>
        <v>0</v>
      </c>
      <c r="AI78" s="87">
        <f>IF($F78&lt;=0,0,IF(SUM($AA78:AH78)+($Z$30*$H78)/$F78&lt;($Z$30*$H78),($Z$30*$H78)/$F78,($Z$30*$H78)-SUM($AA78:AH78)))</f>
        <v>0</v>
      </c>
      <c r="AJ78" s="87">
        <f>IF($F78&lt;=0,0,IF(SUM($AA78:AI78)+($Z$30*$H78)/$F78&lt;($Z$30*$H78),($Z$30*$H78)/$F78,($Z$30*$H78)-SUM($AA78:AI78)))</f>
        <v>0</v>
      </c>
      <c r="AL78" s="842"/>
      <c r="AM78" s="842"/>
      <c r="AN78" s="842"/>
      <c r="AO78" s="842"/>
      <c r="AP78" s="842"/>
    </row>
    <row r="79" spans="3:42" outlineLevel="1">
      <c r="C79" s="63">
        <v>39</v>
      </c>
      <c r="D79" s="492"/>
      <c r="E79" s="493"/>
      <c r="F79" s="494"/>
      <c r="G79" s="494"/>
      <c r="H79" s="480">
        <f t="shared" si="14"/>
        <v>0</v>
      </c>
      <c r="I79" s="415">
        <f t="shared" si="12"/>
        <v>0</v>
      </c>
      <c r="N79" s="415"/>
      <c r="O79" s="415"/>
      <c r="P79" s="415"/>
      <c r="V79" s="415"/>
      <c r="W79" s="415"/>
      <c r="X79" s="67"/>
      <c r="Y79" s="67"/>
      <c r="Z79" s="87"/>
      <c r="AA79" s="87">
        <f t="shared" si="13"/>
        <v>0</v>
      </c>
      <c r="AB79" s="87">
        <f>IF($F79&lt;=0,0,IF(SUM($AA79:AA79)+($Z$30*$H79)/$F79&lt;($Z$30*$H79),($Z$30*$H79)/$F79,($Z$30*$H79)-SUM($AA79:AA79)))</f>
        <v>0</v>
      </c>
      <c r="AC79" s="87">
        <f>IF($F79&lt;=0,0,IF(SUM($AA79:AB79)+($Z$30*$H79)/$F79&lt;($Z$30*$H79),($Z$30*$H79)/$F79,($Z$30*$H79)-SUM($AA79:AB79)))</f>
        <v>0</v>
      </c>
      <c r="AD79" s="87">
        <f>IF($F79&lt;=0,0,IF(SUM($AA79:AC79)+($Z$30*$H79)/$F79&lt;($Z$30*$H79),($Z$30*$H79)/$F79,($Z$30*$H79)-SUM($AA79:AC79)))</f>
        <v>0</v>
      </c>
      <c r="AE79" s="87">
        <f>IF($F79&lt;=0,0,IF(SUM($AA79:AD79)+($Z$30*$H79)/$F79&lt;($Z$30*$H79),($Z$30*$H79)/$F79,($Z$30*$H79)-SUM($AA79:AD79)))</f>
        <v>0</v>
      </c>
      <c r="AF79" s="87">
        <f>IF($F79&lt;=0,0,IF(SUM($AA79:AE79)+($Z$30*$H79)/$F79&lt;($Z$30*$H79),($Z$30*$H79)/$F79,($Z$30*$H79)-SUM($AA79:AE79)))</f>
        <v>0</v>
      </c>
      <c r="AG79" s="87">
        <f>IF($F79&lt;=0,0,IF(SUM($AA79:AF79)+($Z$30*$H79)/$F79&lt;($Z$30*$H79),($Z$30*$H79)/$F79,($Z$30*$H79)-SUM($AA79:AF79)))</f>
        <v>0</v>
      </c>
      <c r="AH79" s="87">
        <f>IF($F79&lt;=0,0,IF(SUM($AA79:AG79)+($Z$30*$H79)/$F79&lt;($Z$30*$H79),($Z$30*$H79)/$F79,($Z$30*$H79)-SUM($AA79:AG79)))</f>
        <v>0</v>
      </c>
      <c r="AI79" s="87">
        <f>IF($F79&lt;=0,0,IF(SUM($AA79:AH79)+($Z$30*$H79)/$F79&lt;($Z$30*$H79),($Z$30*$H79)/$F79,($Z$30*$H79)-SUM($AA79:AH79)))</f>
        <v>0</v>
      </c>
      <c r="AJ79" s="87">
        <f>IF($F79&lt;=0,0,IF(SUM($AA79:AI79)+($Z$30*$H79)/$F79&lt;($Z$30*$H79),($Z$30*$H79)/$F79,($Z$30*$H79)-SUM($AA79:AI79)))</f>
        <v>0</v>
      </c>
      <c r="AL79" s="842"/>
      <c r="AM79" s="842"/>
      <c r="AN79" s="842"/>
      <c r="AO79" s="842"/>
      <c r="AP79" s="842"/>
    </row>
    <row r="80" spans="3:42">
      <c r="C80" s="63">
        <v>40</v>
      </c>
      <c r="D80" s="492"/>
      <c r="E80" s="493"/>
      <c r="F80" s="494"/>
      <c r="G80" s="494"/>
      <c r="H80" s="480">
        <f t="shared" si="14"/>
        <v>0</v>
      </c>
      <c r="I80" s="415">
        <f t="shared" si="12"/>
        <v>0</v>
      </c>
      <c r="N80" s="415"/>
      <c r="O80" s="415"/>
      <c r="P80" s="415"/>
      <c r="V80" s="415"/>
      <c r="W80" s="415"/>
      <c r="X80" s="67"/>
      <c r="Y80" s="67"/>
      <c r="Z80" s="87"/>
      <c r="AA80" s="87">
        <f t="shared" si="13"/>
        <v>0</v>
      </c>
      <c r="AB80" s="87">
        <f>IF($F80&lt;=0,0,IF(SUM($AA80:AA80)+($Z$30*$H80)/$F80&lt;($Z$30*$H80),($Z$30*$H80)/$F80,($Z$30*$H80)-SUM($AA80:AA80)))</f>
        <v>0</v>
      </c>
      <c r="AC80" s="87">
        <f>IF($F80&lt;=0,0,IF(SUM($AA80:AB80)+($Z$30*$H80)/$F80&lt;($Z$30*$H80),($Z$30*$H80)/$F80,($Z$30*$H80)-SUM($AA80:AB80)))</f>
        <v>0</v>
      </c>
      <c r="AD80" s="87">
        <f>IF($F80&lt;=0,0,IF(SUM($AA80:AC80)+($Z$30*$H80)/$F80&lt;($Z$30*$H80),($Z$30*$H80)/$F80,($Z$30*$H80)-SUM($AA80:AC80)))</f>
        <v>0</v>
      </c>
      <c r="AE80" s="87">
        <f>IF($F80&lt;=0,0,IF(SUM($AA80:AD80)+($Z$30*$H80)/$F80&lt;($Z$30*$H80),($Z$30*$H80)/$F80,($Z$30*$H80)-SUM($AA80:AD80)))</f>
        <v>0</v>
      </c>
      <c r="AF80" s="87">
        <f>IF($F80&lt;=0,0,IF(SUM($AA80:AE80)+($Z$30*$H80)/$F80&lt;($Z$30*$H80),($Z$30*$H80)/$F80,($Z$30*$H80)-SUM($AA80:AE80)))</f>
        <v>0</v>
      </c>
      <c r="AG80" s="87">
        <f>IF($F80&lt;=0,0,IF(SUM($AA80:AF80)+($Z$30*$H80)/$F80&lt;($Z$30*$H80),($Z$30*$H80)/$F80,($Z$30*$H80)-SUM($AA80:AF80)))</f>
        <v>0</v>
      </c>
      <c r="AH80" s="87">
        <f>IF($F80&lt;=0,0,IF(SUM($AA80:AG80)+($Z$30*$H80)/$F80&lt;($Z$30*$H80),($Z$30*$H80)/$F80,($Z$30*$H80)-SUM($AA80:AG80)))</f>
        <v>0</v>
      </c>
      <c r="AI80" s="87">
        <f>IF($F80&lt;=0,0,IF(SUM($AA80:AH80)+($Z$30*$H80)/$F80&lt;($Z$30*$H80),($Z$30*$H80)/$F80,($Z$30*$H80)-SUM($AA80:AH80)))</f>
        <v>0</v>
      </c>
      <c r="AJ80" s="87">
        <f>IF($F80&lt;=0,0,IF(SUM($AA80:AI80)+($Z$30*$H80)/$F80&lt;($Z$30*$H80),($Z$30*$H80)/$F80,($Z$30*$H80)-SUM($AA80:AI80)))</f>
        <v>0</v>
      </c>
      <c r="AL80" s="842"/>
      <c r="AM80" s="842"/>
      <c r="AN80" s="842"/>
      <c r="AO80" s="842"/>
      <c r="AP80" s="842"/>
    </row>
    <row r="81" spans="4:42">
      <c r="D81" s="57"/>
      <c r="N81" s="196"/>
      <c r="O81" s="196"/>
      <c r="P81" s="196"/>
      <c r="V81" s="196"/>
      <c r="W81" s="196"/>
      <c r="X81" s="67"/>
      <c r="Y81" s="67"/>
      <c r="AL81" s="842"/>
      <c r="AM81" s="842"/>
      <c r="AN81" s="842"/>
      <c r="AO81" s="842"/>
      <c r="AP81" s="842"/>
    </row>
    <row r="82" spans="4:42" ht="12.75" thickBot="1">
      <c r="D82" s="89" t="s">
        <v>817</v>
      </c>
      <c r="G82" s="481">
        <f>+SUM(G41:G81)</f>
        <v>15733.028038124705</v>
      </c>
      <c r="I82" s="481">
        <f>SUM(I41:I81)</f>
        <v>70.67114059160636</v>
      </c>
      <c r="N82" s="482"/>
      <c r="O82" s="482"/>
      <c r="P82" s="482"/>
      <c r="X82" s="482"/>
      <c r="Y82" s="483" t="s">
        <v>818</v>
      </c>
      <c r="AA82" s="481">
        <f t="shared" ref="AA82:AF82" si="15">+SUM(AA41:AA81)</f>
        <v>320.6074143518594</v>
      </c>
      <c r="AB82" s="481">
        <f t="shared" si="15"/>
        <v>320.6074143518594</v>
      </c>
      <c r="AC82" s="481">
        <f t="shared" si="15"/>
        <v>315.18775144704836</v>
      </c>
      <c r="AD82" s="481">
        <f t="shared" si="15"/>
        <v>284.1808630860516</v>
      </c>
      <c r="AE82" s="481">
        <f t="shared" si="15"/>
        <v>262.35880673737984</v>
      </c>
      <c r="AF82" s="481">
        <f t="shared" si="15"/>
        <v>251.95297796273093</v>
      </c>
      <c r="AG82" s="481">
        <f>+SUM(AG41:AG81)</f>
        <v>251.95297796273093</v>
      </c>
      <c r="AH82" s="481">
        <f>+SUM(AH41:AH81)</f>
        <v>251.95297796273093</v>
      </c>
      <c r="AI82" s="481">
        <f>+SUM(AI41:AI81)</f>
        <v>251.95297796273093</v>
      </c>
      <c r="AJ82" s="481">
        <f>+SUM(AJ41:AJ81)</f>
        <v>251.95297796273093</v>
      </c>
    </row>
    <row r="84" spans="4:42">
      <c r="E84" s="322"/>
      <c r="F84" s="484" t="s">
        <v>819</v>
      </c>
      <c r="G84" s="485">
        <f>+Z30</f>
        <v>15733.028038124707</v>
      </c>
      <c r="N84" s="77"/>
      <c r="O84" s="77"/>
      <c r="P84" s="77"/>
      <c r="Q84" s="77"/>
      <c r="R84" s="77"/>
    </row>
    <row r="85" spans="4:42">
      <c r="E85" s="322"/>
      <c r="F85" s="484" t="s">
        <v>231</v>
      </c>
      <c r="G85" s="486">
        <f>G82-G84</f>
        <v>0</v>
      </c>
    </row>
    <row r="86" spans="4:42">
      <c r="M86" s="487"/>
      <c r="N86" s="488"/>
      <c r="O86" s="488"/>
      <c r="P86" s="488"/>
      <c r="Q86" s="488"/>
      <c r="R86" s="488"/>
      <c r="S86" s="488"/>
      <c r="T86" s="488"/>
      <c r="U86" s="488"/>
      <c r="V86" s="488"/>
      <c r="W86" s="488"/>
      <c r="X86" s="488"/>
      <c r="Y86" s="488"/>
      <c r="Z86" s="488"/>
      <c r="AA86" s="488"/>
      <c r="AB86" s="488"/>
    </row>
  </sheetData>
  <mergeCells count="1">
    <mergeCell ref="B3:F3"/>
  </mergeCells>
  <phoneticPr fontId="0" type="noConversion"/>
  <hyperlinks>
    <hyperlink ref="B3" location="HL_Home" tooltip="Go to Table of Contents" display="HL_Home" xr:uid="{00000000-0004-0000-0900-000000000000}"/>
  </hyperlinks>
  <pageMargins left="0.39370078740157499" right="0.39370078740157499" top="0.59055118110236249" bottom="0.98425196850393748" header="0" footer="0.31496062992125973"/>
  <pageSetup paperSize="9" scale="64" orientation="landscape" r:id="rId1"/>
  <headerFooter alignWithMargins="0">
    <oddHeader>&amp;C&amp;"Calibri"&amp;14&amp;KFF0000 OFFICIAL&amp;1#_x000D_&amp;"Arial"&amp;8&amp;K000000&amp;"Arial"&amp;8&amp;K000000&amp;B&amp;"Arial"&amp;12&amp;Kff0000​‌OFFICIAL‌​</oddHeader>
    <oddFooter>&amp;C&amp;"Arial,Bold"&amp;8Sheet f.
Page &amp;P of &amp;N&amp;L&amp;"Arial,Bold"&amp;7&amp;F
&amp;A
Printed: &amp;T on &amp;D</oddFooter>
  </headerFooter>
  <rowBreaks count="1" manualBreakCount="1">
    <brk id="36" min="1" max="23"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2">
    <pageSetUpPr autoPageBreaks="0"/>
  </sheetPr>
  <dimension ref="A1:AN71"/>
  <sheetViews>
    <sheetView showGridLines="0" workbookViewId="0">
      <pane ySplit="7" topLeftCell="A13" activePane="bottomLeft" state="frozen"/>
      <selection activeCell="L16" sqref="L16"/>
      <selection pane="bottomLeft" activeCell="V26" sqref="V26"/>
    </sheetView>
  </sheetViews>
  <sheetFormatPr defaultColWidth="10.83203125" defaultRowHeight="12" outlineLevelCol="1"/>
  <cols>
    <col min="1" max="5" width="3.83203125" style="63" customWidth="1"/>
    <col min="6" max="6" width="15.6640625" style="63" customWidth="1"/>
    <col min="7" max="7" width="10.83203125" style="63" customWidth="1"/>
    <col min="8" max="8" width="16.83203125" style="63" customWidth="1"/>
    <col min="9" max="9" width="10.83203125" style="63" customWidth="1"/>
    <col min="10" max="10" width="10.83203125" style="67" customWidth="1"/>
    <col min="11" max="11" width="10.83203125" style="63" hidden="1" customWidth="1" outlineLevel="1"/>
    <col min="12" max="13" width="12.33203125" style="63" hidden="1" customWidth="1" outlineLevel="1"/>
    <col min="14" max="20" width="10.83203125" style="63" hidden="1" customWidth="1" outlineLevel="1"/>
    <col min="21" max="21" width="7.83203125" style="63" bestFit="1" customWidth="1" outlineLevel="1"/>
    <col min="22" max="28" width="10.83203125" style="63" customWidth="1"/>
    <col min="29" max="30" width="9.1640625" style="63" customWidth="1"/>
    <col min="31" max="16384" width="10.83203125" style="63"/>
  </cols>
  <sheetData>
    <row r="1" spans="1:37" ht="15">
      <c r="A1" s="139">
        <v>80</v>
      </c>
      <c r="B1" s="140" t="s">
        <v>820</v>
      </c>
      <c r="G1" s="196"/>
      <c r="H1" s="196"/>
      <c r="V1" s="196"/>
    </row>
    <row r="2" spans="1:37" ht="12.75">
      <c r="B2" s="142" t="str">
        <f>+Contents!H7</f>
        <v>Melbourne Water</v>
      </c>
    </row>
    <row r="3" spans="1:37">
      <c r="B3" s="2075" t="s">
        <v>138</v>
      </c>
      <c r="C3" s="2075"/>
      <c r="D3" s="2075"/>
      <c r="E3" s="2075"/>
      <c r="F3" s="2075"/>
      <c r="G3" s="146"/>
    </row>
    <row r="4" spans="1:37">
      <c r="A4" s="147"/>
      <c r="B4" s="65"/>
      <c r="C4" s="66"/>
      <c r="F4" s="57"/>
      <c r="K4" s="1208"/>
      <c r="L4" s="1209" t="s">
        <v>187</v>
      </c>
      <c r="M4" s="1210"/>
      <c r="N4" s="1208"/>
      <c r="O4" s="1211"/>
      <c r="P4" s="1209" t="s">
        <v>188</v>
      </c>
      <c r="Q4" s="1211"/>
      <c r="R4" s="1210"/>
      <c r="S4" s="1208"/>
      <c r="T4" s="1209" t="s">
        <v>189</v>
      </c>
      <c r="U4" s="1211"/>
      <c r="V4" s="1208"/>
      <c r="W4" s="1211"/>
      <c r="X4" s="1209" t="str">
        <f>RollForward_FO!X4</f>
        <v>FIFTH REG PERIOD</v>
      </c>
      <c r="Y4" s="1213"/>
      <c r="Z4" s="1210"/>
      <c r="AA4" s="1208"/>
      <c r="AB4" s="1211"/>
      <c r="AC4" s="1209" t="str">
        <f>RollForward_FO!AC4</f>
        <v>SIXTH REG PERIOD</v>
      </c>
      <c r="AD4" s="1211"/>
      <c r="AE4" s="1210"/>
      <c r="AF4" s="1287"/>
      <c r="AG4" s="721"/>
      <c r="AH4" s="1209" t="str">
        <f>RollForward_FO!AH4</f>
        <v>SEVENTH REG PERIOD</v>
      </c>
      <c r="AI4" s="721"/>
      <c r="AJ4" s="1207"/>
    </row>
    <row r="6" spans="1:37">
      <c r="B6" s="148"/>
      <c r="F6" s="149" t="s">
        <v>142</v>
      </c>
      <c r="K6" s="59"/>
      <c r="L6" s="59"/>
      <c r="M6" s="59"/>
      <c r="N6" s="59"/>
      <c r="O6" s="59"/>
      <c r="P6" s="59"/>
      <c r="Q6" s="59"/>
      <c r="R6" s="59"/>
      <c r="S6" s="59"/>
      <c r="T6" s="59"/>
      <c r="U6" s="59">
        <v>2021</v>
      </c>
      <c r="V6" s="59">
        <v>2022</v>
      </c>
      <c r="W6" s="59">
        <v>2023</v>
      </c>
      <c r="X6" s="60">
        <v>2024</v>
      </c>
      <c r="Y6" s="60">
        <v>2025</v>
      </c>
      <c r="Z6" s="60">
        <v>2026</v>
      </c>
      <c r="AA6" s="60">
        <v>2027</v>
      </c>
      <c r="AB6" s="60">
        <v>2028</v>
      </c>
      <c r="AC6" s="60">
        <v>2029</v>
      </c>
      <c r="AD6" s="60">
        <v>2030</v>
      </c>
      <c r="AE6" s="60">
        <v>2031</v>
      </c>
      <c r="AF6" s="63">
        <f>AE6+1</f>
        <v>2032</v>
      </c>
      <c r="AG6" s="63">
        <f>AF6+1</f>
        <v>2033</v>
      </c>
      <c r="AH6" s="63">
        <f>AG6+1</f>
        <v>2034</v>
      </c>
      <c r="AI6" s="63">
        <f>AH6+1</f>
        <v>2035</v>
      </c>
      <c r="AJ6" s="63">
        <f>AI6+1</f>
        <v>2036</v>
      </c>
    </row>
    <row r="7" spans="1:37">
      <c r="A7" s="68"/>
      <c r="B7" s="63" t="str">
        <f>Expenditure_Detail!$B$6</f>
        <v>$m, 01/01/26</v>
      </c>
      <c r="C7" s="68"/>
      <c r="D7" s="68"/>
      <c r="E7" s="68"/>
      <c r="F7" s="151" t="s">
        <v>143</v>
      </c>
      <c r="G7" s="68"/>
      <c r="H7" s="68"/>
      <c r="I7" s="263"/>
      <c r="J7" s="495"/>
      <c r="K7" s="61"/>
      <c r="L7" s="61"/>
      <c r="M7" s="61"/>
      <c r="N7" s="61"/>
      <c r="O7" s="61"/>
      <c r="P7" s="61"/>
      <c r="Q7" s="61"/>
      <c r="R7" s="61"/>
      <c r="S7" s="61"/>
      <c r="T7" s="61"/>
      <c r="U7" s="61" t="str">
        <f t="shared" ref="U7:AJ7" si="0">+CONCATENATE(U6-1,"-",RIGHT(U6,2))</f>
        <v>2020-21</v>
      </c>
      <c r="V7" s="61" t="str">
        <f t="shared" si="0"/>
        <v>2021-22</v>
      </c>
      <c r="W7" s="61" t="str">
        <f t="shared" si="0"/>
        <v>2022-23</v>
      </c>
      <c r="X7" s="61" t="str">
        <f t="shared" si="0"/>
        <v>2023-24</v>
      </c>
      <c r="Y7" s="61" t="str">
        <f t="shared" si="0"/>
        <v>2024-25</v>
      </c>
      <c r="Z7" s="61" t="str">
        <f t="shared" si="0"/>
        <v>2025-26</v>
      </c>
      <c r="AA7" s="61" t="str">
        <f t="shared" si="0"/>
        <v>2026-27</v>
      </c>
      <c r="AB7" s="61" t="str">
        <f t="shared" si="0"/>
        <v>2027-28</v>
      </c>
      <c r="AC7" s="61" t="str">
        <f t="shared" si="0"/>
        <v>2028-29</v>
      </c>
      <c r="AD7" s="61" t="str">
        <f t="shared" si="0"/>
        <v>2029-30</v>
      </c>
      <c r="AE7" s="61" t="str">
        <f t="shared" si="0"/>
        <v>2030-31</v>
      </c>
      <c r="AF7" s="61" t="str">
        <f t="shared" si="0"/>
        <v>2031-32</v>
      </c>
      <c r="AG7" s="61" t="str">
        <f t="shared" si="0"/>
        <v>2032-33</v>
      </c>
      <c r="AH7" s="61" t="str">
        <f t="shared" si="0"/>
        <v>2033-34</v>
      </c>
      <c r="AI7" s="61" t="str">
        <f t="shared" si="0"/>
        <v>2034-35</v>
      </c>
      <c r="AJ7" s="61" t="str">
        <f t="shared" si="0"/>
        <v>2035-36</v>
      </c>
    </row>
    <row r="8" spans="1:37" ht="12.75" thickBot="1">
      <c r="N8" s="496"/>
      <c r="O8" s="496"/>
      <c r="P8" s="496"/>
      <c r="Q8" s="496"/>
      <c r="R8" s="496"/>
      <c r="S8" s="496"/>
      <c r="T8" s="496"/>
      <c r="U8" s="496"/>
      <c r="V8" s="496"/>
      <c r="W8" s="496"/>
      <c r="X8" s="496"/>
      <c r="Y8" s="496"/>
      <c r="Z8" s="496"/>
      <c r="AA8" s="496"/>
      <c r="AB8" s="496"/>
      <c r="AC8" s="496"/>
      <c r="AD8" s="496"/>
      <c r="AE8" s="496"/>
      <c r="AF8" s="496"/>
      <c r="AG8" s="496"/>
      <c r="AH8" s="496"/>
      <c r="AI8" s="496"/>
      <c r="AJ8" s="496"/>
    </row>
    <row r="9" spans="1:37">
      <c r="C9" s="152"/>
      <c r="D9" s="153"/>
      <c r="E9" s="153"/>
      <c r="F9" s="153"/>
      <c r="G9" s="153"/>
      <c r="H9" s="153"/>
      <c r="I9" s="153"/>
      <c r="J9" s="220"/>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4"/>
    </row>
    <row r="10" spans="1:37">
      <c r="C10" s="155"/>
      <c r="D10" s="156" t="s">
        <v>821</v>
      </c>
      <c r="AK10" s="157"/>
    </row>
    <row r="11" spans="1:37">
      <c r="C11" s="155"/>
      <c r="AK11" s="157"/>
    </row>
    <row r="12" spans="1:37">
      <c r="C12" s="155"/>
      <c r="E12" s="63" t="str">
        <f>+D26</f>
        <v>Additional expenses incurred to be carried forward</v>
      </c>
      <c r="I12" s="468"/>
      <c r="J12" s="270"/>
      <c r="K12" s="310"/>
      <c r="L12" s="310"/>
      <c r="M12" s="310"/>
      <c r="N12" s="310"/>
      <c r="O12" s="310"/>
      <c r="P12" s="310"/>
      <c r="Q12" s="310"/>
      <c r="R12" s="310"/>
      <c r="S12" s="310">
        <f t="shared" ref="S12:Z12" si="1">+SUMIF($D$26:$D$72,$E12,S26:S72)</f>
        <v>0</v>
      </c>
      <c r="T12" s="310">
        <f t="shared" si="1"/>
        <v>0</v>
      </c>
      <c r="U12" s="310">
        <f t="shared" si="1"/>
        <v>0</v>
      </c>
      <c r="V12" s="310">
        <f t="shared" si="1"/>
        <v>-1.8094983544484275</v>
      </c>
      <c r="W12" s="310">
        <f t="shared" si="1"/>
        <v>-1.7532828258291346</v>
      </c>
      <c r="X12" s="310">
        <f t="shared" si="1"/>
        <v>-1.6893443438446223</v>
      </c>
      <c r="Y12" s="310">
        <f t="shared" si="1"/>
        <v>-1.6309642358037022</v>
      </c>
      <c r="Z12" s="310">
        <f t="shared" si="1"/>
        <v>-1.5682225648539385</v>
      </c>
      <c r="AA12" s="468"/>
      <c r="AB12" s="468"/>
      <c r="AC12" s="468"/>
      <c r="AD12" s="468"/>
      <c r="AE12" s="468"/>
      <c r="AF12" s="468"/>
      <c r="AG12" s="468"/>
      <c r="AH12" s="468"/>
      <c r="AI12" s="468"/>
      <c r="AJ12" s="468"/>
      <c r="AK12" s="157"/>
    </row>
    <row r="13" spans="1:37">
      <c r="C13" s="155"/>
      <c r="I13" s="468"/>
      <c r="J13" s="270"/>
      <c r="K13" s="468"/>
      <c r="L13" s="468"/>
      <c r="M13" s="468"/>
      <c r="N13" s="468"/>
      <c r="O13" s="468"/>
      <c r="P13" s="468"/>
      <c r="Q13" s="468"/>
      <c r="R13" s="468"/>
      <c r="S13" s="468"/>
      <c r="T13" s="468"/>
      <c r="U13" s="468"/>
      <c r="V13" s="468"/>
      <c r="W13" s="270"/>
      <c r="X13" s="270"/>
      <c r="Y13" s="468"/>
      <c r="Z13" s="468"/>
      <c r="AA13" s="468"/>
      <c r="AB13" s="468"/>
      <c r="AC13" s="468"/>
      <c r="AD13" s="468"/>
      <c r="AE13" s="468"/>
      <c r="AF13" s="468"/>
      <c r="AG13" s="468"/>
      <c r="AH13" s="468"/>
      <c r="AI13" s="468"/>
      <c r="AJ13" s="468"/>
      <c r="AK13" s="157"/>
    </row>
    <row r="14" spans="1:37">
      <c r="C14" s="155"/>
      <c r="E14" s="63" t="str">
        <f>+D29</f>
        <v>Allocation of carried forward expenses (NPV of cash flows should equate to net present cost to recover)</v>
      </c>
      <c r="I14" s="468"/>
      <c r="J14" s="270"/>
      <c r="K14" s="468"/>
      <c r="L14" s="468"/>
      <c r="M14" s="468"/>
      <c r="N14" s="468"/>
      <c r="O14" s="468"/>
      <c r="P14" s="468"/>
      <c r="Q14" s="468"/>
      <c r="R14" s="468"/>
      <c r="S14" s="468"/>
      <c r="T14" s="468"/>
      <c r="U14" s="468"/>
      <c r="V14" s="468"/>
      <c r="W14" s="270"/>
      <c r="X14" s="270"/>
      <c r="Y14" s="270"/>
      <c r="Z14" s="270"/>
      <c r="AA14" s="270">
        <f>+SUMIF($D$26:$D$72,$E14,AA26:AA72)</f>
        <v>-1.9453199483796064</v>
      </c>
      <c r="AB14" s="270">
        <f>+SUMIF($D$26:$D$72,$E14,AB26:AB72)</f>
        <v>-1.9453199483796064</v>
      </c>
      <c r="AC14" s="270">
        <f t="shared" ref="AC14:AJ14" si="2">+SUMIF($D$26:$D$72,$E14,AC26:AC72)</f>
        <v>-1.9453199483796064</v>
      </c>
      <c r="AD14" s="270">
        <f t="shared" si="2"/>
        <v>-1.9453199483796064</v>
      </c>
      <c r="AE14" s="270">
        <f t="shared" si="2"/>
        <v>-1.9453199483796064</v>
      </c>
      <c r="AF14" s="270">
        <f t="shared" si="2"/>
        <v>0</v>
      </c>
      <c r="AG14" s="270">
        <f t="shared" si="2"/>
        <v>0</v>
      </c>
      <c r="AH14" s="270">
        <f t="shared" si="2"/>
        <v>0</v>
      </c>
      <c r="AI14" s="270">
        <f t="shared" si="2"/>
        <v>0</v>
      </c>
      <c r="AJ14" s="270">
        <f t="shared" si="2"/>
        <v>0</v>
      </c>
      <c r="AK14" s="157"/>
    </row>
    <row r="15" spans="1:37" ht="12.75" thickBot="1">
      <c r="C15" s="167"/>
      <c r="D15" s="168"/>
      <c r="E15" s="168"/>
      <c r="F15" s="168"/>
      <c r="G15" s="168"/>
      <c r="H15" s="168"/>
      <c r="I15" s="423"/>
      <c r="J15" s="292"/>
      <c r="K15" s="423"/>
      <c r="L15" s="423"/>
      <c r="M15" s="423"/>
      <c r="N15" s="423"/>
      <c r="O15" s="423"/>
      <c r="P15" s="423"/>
      <c r="Q15" s="423"/>
      <c r="R15" s="423"/>
      <c r="S15" s="423"/>
      <c r="T15" s="423"/>
      <c r="U15" s="423"/>
      <c r="V15" s="423"/>
      <c r="W15" s="423"/>
      <c r="X15" s="292"/>
      <c r="Y15" s="292"/>
      <c r="Z15" s="292"/>
      <c r="AA15" s="292"/>
      <c r="AB15" s="292"/>
      <c r="AC15" s="292"/>
      <c r="AD15" s="292"/>
      <c r="AE15" s="292"/>
      <c r="AF15" s="292"/>
      <c r="AG15" s="292"/>
      <c r="AH15" s="292"/>
      <c r="AI15" s="292"/>
      <c r="AJ15" s="292"/>
      <c r="AK15" s="170"/>
    </row>
    <row r="16" spans="1:37">
      <c r="C16" s="67"/>
      <c r="I16" s="293"/>
      <c r="J16" s="431"/>
      <c r="K16" s="293"/>
      <c r="L16" s="293"/>
      <c r="M16" s="293"/>
      <c r="S16" s="497"/>
      <c r="T16" s="497"/>
      <c r="U16" s="497"/>
      <c r="V16" s="497"/>
      <c r="W16" s="497"/>
      <c r="X16" s="431"/>
      <c r="Y16" s="431"/>
      <c r="Z16" s="431"/>
      <c r="AA16" s="431"/>
      <c r="AB16" s="498"/>
      <c r="AC16" s="498"/>
      <c r="AD16" s="498"/>
      <c r="AE16" s="498"/>
      <c r="AF16" s="498"/>
      <c r="AG16" s="498"/>
      <c r="AH16" s="498"/>
      <c r="AI16" s="498"/>
      <c r="AJ16" s="498"/>
    </row>
    <row r="17" spans="2:40">
      <c r="I17" s="499"/>
      <c r="J17" s="470"/>
      <c r="K17" s="500"/>
      <c r="L17" s="500"/>
      <c r="M17" s="500"/>
      <c r="S17" s="500"/>
      <c r="T17" s="500"/>
      <c r="U17" s="500"/>
      <c r="V17" s="500"/>
      <c r="W17" s="500"/>
      <c r="X17" s="67"/>
      <c r="Y17" s="470"/>
      <c r="Z17" s="470"/>
      <c r="AA17" s="470"/>
      <c r="AB17" s="470"/>
      <c r="AC17" s="470"/>
      <c r="AD17" s="470"/>
      <c r="AE17" s="470"/>
      <c r="AF17" s="470"/>
      <c r="AG17" s="470"/>
      <c r="AH17" s="470"/>
      <c r="AI17" s="470"/>
      <c r="AJ17" s="470"/>
    </row>
    <row r="18" spans="2:40">
      <c r="C18" s="471"/>
      <c r="I18" s="116"/>
      <c r="J18" s="111"/>
      <c r="K18" s="300"/>
      <c r="L18" s="501"/>
      <c r="M18" s="300"/>
      <c r="S18" s="300"/>
      <c r="T18" s="300"/>
      <c r="U18" s="300"/>
      <c r="V18" s="300"/>
      <c r="W18" s="300"/>
      <c r="X18" s="300"/>
      <c r="Y18" s="300"/>
      <c r="Z18" s="300"/>
      <c r="AA18" s="300"/>
      <c r="AB18" s="300"/>
      <c r="AC18" s="300"/>
      <c r="AD18" s="300"/>
      <c r="AE18" s="300"/>
      <c r="AF18" s="300"/>
      <c r="AG18" s="300"/>
      <c r="AH18" s="300"/>
      <c r="AI18" s="300"/>
      <c r="AJ18" s="300"/>
    </row>
    <row r="19" spans="2:40">
      <c r="I19" s="116"/>
      <c r="J19" s="111"/>
      <c r="K19" s="300"/>
      <c r="L19" s="300"/>
      <c r="M19" s="300"/>
      <c r="S19" s="300"/>
      <c r="T19" s="300"/>
      <c r="U19" s="300"/>
      <c r="V19" s="300"/>
      <c r="W19" s="300"/>
      <c r="X19" s="300"/>
      <c r="Y19" s="300"/>
      <c r="Z19" s="300"/>
      <c r="AA19" s="300"/>
      <c r="AB19" s="300"/>
      <c r="AC19" s="300"/>
      <c r="AD19" s="300"/>
      <c r="AE19" s="300"/>
      <c r="AF19" s="300"/>
      <c r="AG19" s="300"/>
      <c r="AH19" s="300"/>
      <c r="AI19" s="300"/>
      <c r="AJ19" s="300"/>
    </row>
    <row r="20" spans="2:40">
      <c r="B20" s="295" t="s">
        <v>822</v>
      </c>
      <c r="G20" s="1915" t="s">
        <v>823</v>
      </c>
      <c r="H20" s="1848"/>
      <c r="I20" s="1848"/>
      <c r="J20" s="1848"/>
      <c r="K20" s="1855"/>
      <c r="L20" s="1855"/>
      <c r="M20" s="1855"/>
      <c r="N20" s="1848"/>
      <c r="O20" s="1848"/>
      <c r="P20" s="1848"/>
      <c r="Q20" s="1848"/>
      <c r="R20" s="1848"/>
      <c r="S20" s="1855"/>
      <c r="T20" s="1848"/>
      <c r="U20" s="1848"/>
      <c r="V20" s="1848"/>
      <c r="X20" s="300"/>
      <c r="Y20" s="300"/>
      <c r="Z20" s="300"/>
      <c r="AA20" s="300"/>
      <c r="AB20" s="300"/>
      <c r="AC20" s="300"/>
      <c r="AD20" s="300"/>
      <c r="AE20" s="300"/>
      <c r="AF20" s="300"/>
      <c r="AG20" s="300"/>
      <c r="AH20" s="300"/>
      <c r="AI20" s="300"/>
      <c r="AJ20" s="300"/>
    </row>
    <row r="21" spans="2:40">
      <c r="V21" s="300"/>
      <c r="W21" s="300"/>
      <c r="X21" s="300"/>
      <c r="Y21" s="300"/>
      <c r="Z21" s="300"/>
      <c r="AA21" s="300"/>
      <c r="AB21" s="300"/>
      <c r="AC21" s="300"/>
      <c r="AD21" s="300"/>
      <c r="AE21" s="300"/>
      <c r="AF21" s="300"/>
      <c r="AG21" s="300"/>
      <c r="AH21" s="300"/>
      <c r="AI21" s="300"/>
      <c r="AJ21" s="300"/>
    </row>
    <row r="22" spans="2:40">
      <c r="C22" s="502"/>
      <c r="V22" s="300"/>
      <c r="W22" s="300"/>
      <c r="X22" s="300"/>
      <c r="Y22" s="300"/>
      <c r="Z22" s="300"/>
      <c r="AA22" s="300"/>
      <c r="AB22" s="300"/>
      <c r="AC22" s="300"/>
      <c r="AD22" s="300"/>
      <c r="AE22" s="300"/>
      <c r="AF22" s="300"/>
      <c r="AG22" s="300"/>
      <c r="AH22" s="300"/>
      <c r="AI22" s="300"/>
      <c r="AJ22" s="300"/>
    </row>
    <row r="23" spans="2:40">
      <c r="C23" s="2094" t="s">
        <v>824</v>
      </c>
      <c r="D23" s="2095"/>
      <c r="E23" s="2095"/>
      <c r="F23" s="2095"/>
      <c r="G23" s="2095"/>
      <c r="H23" s="2096"/>
      <c r="I23" s="514" t="s">
        <v>401</v>
      </c>
      <c r="J23" s="503"/>
      <c r="K23" s="504"/>
      <c r="L23" s="504"/>
      <c r="M23" s="504"/>
      <c r="N23" s="504"/>
      <c r="O23" s="504"/>
      <c r="P23" s="504"/>
      <c r="Q23" s="504"/>
      <c r="R23" s="504"/>
      <c r="S23" s="504"/>
      <c r="T23" s="504"/>
      <c r="U23" s="504"/>
      <c r="V23" s="504"/>
      <c r="W23" s="504"/>
      <c r="X23" s="504"/>
      <c r="Y23" s="504"/>
      <c r="Z23" s="504"/>
      <c r="AA23" s="504"/>
      <c r="AB23" s="504"/>
      <c r="AC23" s="504"/>
      <c r="AD23" s="504"/>
      <c r="AE23" s="504"/>
      <c r="AF23" s="504"/>
      <c r="AG23" s="504"/>
      <c r="AH23" s="504"/>
      <c r="AI23" s="504"/>
      <c r="AJ23" s="504"/>
      <c r="AK23" s="505"/>
    </row>
    <row r="24" spans="2:40">
      <c r="C24" s="75"/>
      <c r="D24" s="506"/>
      <c r="E24" s="506"/>
      <c r="F24" s="506"/>
      <c r="G24" s="506"/>
      <c r="I24" s="116"/>
      <c r="J24" s="111"/>
      <c r="S24" s="507"/>
      <c r="T24" s="507"/>
      <c r="U24" s="507"/>
      <c r="V24" s="507"/>
      <c r="W24" s="507"/>
      <c r="Z24" s="116"/>
      <c r="AA24" s="116"/>
      <c r="AB24" s="116"/>
      <c r="AC24" s="116"/>
      <c r="AD24" s="116"/>
      <c r="AE24" s="116"/>
      <c r="AF24" s="116"/>
      <c r="AG24" s="116"/>
      <c r="AH24" s="116"/>
      <c r="AI24" s="116"/>
      <c r="AJ24" s="116"/>
      <c r="AK24" s="508"/>
    </row>
    <row r="25" spans="2:40">
      <c r="C25" s="75"/>
      <c r="D25" s="506"/>
      <c r="E25" s="506"/>
      <c r="F25" s="506"/>
      <c r="G25" s="506"/>
      <c r="I25" s="116"/>
      <c r="J25" s="111"/>
      <c r="S25" s="507"/>
      <c r="T25" s="507"/>
      <c r="U25" s="507"/>
      <c r="V25" s="507"/>
      <c r="W25" s="507"/>
      <c r="Z25" s="116"/>
      <c r="AA25" s="116"/>
      <c r="AB25" s="116"/>
      <c r="AC25" s="116"/>
      <c r="AD25" s="116"/>
      <c r="AE25" s="116"/>
      <c r="AF25" s="116"/>
      <c r="AG25" s="116"/>
      <c r="AH25" s="116"/>
      <c r="AI25" s="116"/>
      <c r="AJ25" s="116"/>
      <c r="AK25" s="508"/>
    </row>
    <row r="26" spans="2:40">
      <c r="C26" s="75"/>
      <c r="D26" s="506" t="s">
        <v>825</v>
      </c>
      <c r="E26" s="506"/>
      <c r="F26" s="506"/>
      <c r="G26" s="506"/>
      <c r="I26" s="116"/>
      <c r="J26" s="111"/>
      <c r="T26" s="507"/>
      <c r="U26" s="507"/>
      <c r="V26" s="489">
        <v>-1.8094983544484275</v>
      </c>
      <c r="W26" s="490">
        <v>-1.7532828258291346</v>
      </c>
      <c r="X26" s="490">
        <v>-1.6893443438446223</v>
      </c>
      <c r="Y26" s="490">
        <v>-1.6309642358037022</v>
      </c>
      <c r="Z26" s="491">
        <v>-1.5682225648539385</v>
      </c>
      <c r="AA26" s="509">
        <f>(V26*(1+RRR)^4.5)+(W26*(1+RRR)^3.5)+(X26*(1+RRR)^2.5)+(Y26*(1+RRR)^1.5)+(Z26*(1+RRR)^0.5)</f>
        <v>-9.0825149301000838</v>
      </c>
      <c r="AB26" s="509" t="s">
        <v>826</v>
      </c>
      <c r="AC26" s="116"/>
      <c r="AD26" s="116"/>
      <c r="AE26" s="116"/>
      <c r="AF26" s="116"/>
      <c r="AG26" s="116"/>
      <c r="AH26" s="116"/>
      <c r="AI26" s="116"/>
      <c r="AJ26" s="116"/>
      <c r="AK26" s="508"/>
    </row>
    <row r="27" spans="2:40">
      <c r="C27" s="75"/>
      <c r="D27" s="506"/>
      <c r="E27" s="506"/>
      <c r="F27" s="506"/>
      <c r="G27" s="506"/>
      <c r="I27" s="116"/>
      <c r="J27" s="111"/>
      <c r="K27" s="116"/>
      <c r="L27" s="116"/>
      <c r="M27" s="116"/>
      <c r="N27" s="116"/>
      <c r="O27" s="116"/>
      <c r="P27" s="116"/>
      <c r="Q27" s="116"/>
      <c r="R27" s="116"/>
      <c r="S27" s="507"/>
      <c r="T27" s="507"/>
      <c r="U27" s="507"/>
      <c r="V27" s="116"/>
      <c r="W27" s="116"/>
      <c r="AD27" s="116"/>
      <c r="AE27" s="116"/>
      <c r="AF27" s="116"/>
      <c r="AG27" s="116"/>
      <c r="AH27" s="116"/>
      <c r="AI27" s="116"/>
      <c r="AJ27" s="116"/>
      <c r="AK27" s="508"/>
    </row>
    <row r="28" spans="2:40">
      <c r="C28" s="75"/>
      <c r="D28" s="506"/>
      <c r="E28" s="506"/>
      <c r="F28" s="506"/>
      <c r="G28" s="506"/>
      <c r="I28" s="116"/>
      <c r="J28" s="111"/>
      <c r="K28" s="116"/>
      <c r="L28" s="116"/>
      <c r="M28" s="116"/>
      <c r="N28" s="116"/>
      <c r="O28" s="116"/>
      <c r="P28" s="116"/>
      <c r="Q28" s="116"/>
      <c r="R28" s="116"/>
      <c r="S28" s="116"/>
      <c r="T28" s="116"/>
      <c r="U28" s="116"/>
      <c r="V28" s="116"/>
      <c r="W28" s="116"/>
      <c r="AA28" s="509">
        <f>+NPV(RRR,AA29:AJ29)*(1+RRR)^0.5</f>
        <v>-9.082514930100082</v>
      </c>
      <c r="AB28" s="487" t="s">
        <v>826</v>
      </c>
      <c r="AD28" s="116"/>
      <c r="AE28" s="116"/>
      <c r="AF28" s="116"/>
      <c r="AG28" s="116"/>
      <c r="AH28" s="116"/>
      <c r="AI28" s="116"/>
      <c r="AJ28" s="116"/>
      <c r="AK28" s="508"/>
    </row>
    <row r="29" spans="2:40">
      <c r="C29" s="75"/>
      <c r="D29" s="506" t="s">
        <v>827</v>
      </c>
      <c r="E29" s="506"/>
      <c r="F29" s="506"/>
      <c r="G29" s="506"/>
      <c r="I29" s="116"/>
      <c r="J29" s="111"/>
      <c r="K29" s="116"/>
      <c r="L29" s="116"/>
      <c r="M29" s="510"/>
      <c r="N29" s="510"/>
      <c r="O29" s="510"/>
      <c r="P29" s="510"/>
      <c r="Q29" s="510"/>
      <c r="R29" s="510"/>
      <c r="S29" s="116"/>
      <c r="T29" s="116"/>
      <c r="U29" s="116"/>
      <c r="AA29" s="489">
        <v>-1.9453199483796064</v>
      </c>
      <c r="AB29" s="490">
        <v>-1.9453199483796064</v>
      </c>
      <c r="AC29" s="490">
        <v>-1.9453199483796064</v>
      </c>
      <c r="AD29" s="490">
        <v>-1.9453199483796064</v>
      </c>
      <c r="AE29" s="491">
        <v>-1.9453199483796064</v>
      </c>
      <c r="AF29" s="489"/>
      <c r="AG29" s="490"/>
      <c r="AH29" s="490"/>
      <c r="AI29" s="490"/>
      <c r="AJ29" s="491"/>
      <c r="AK29" s="508"/>
    </row>
    <row r="30" spans="2:40">
      <c r="C30" s="75"/>
      <c r="AK30" s="74"/>
    </row>
    <row r="31" spans="2:40">
      <c r="C31" s="81"/>
      <c r="D31" s="68"/>
      <c r="E31" s="68"/>
      <c r="F31" s="68"/>
      <c r="G31" s="68"/>
      <c r="H31" s="68"/>
      <c r="I31" s="68"/>
      <c r="J31" s="318"/>
      <c r="K31" s="68"/>
      <c r="L31" s="68"/>
      <c r="M31" s="68"/>
      <c r="N31" s="68"/>
      <c r="O31" s="68"/>
      <c r="P31" s="68"/>
      <c r="Q31" s="68"/>
      <c r="R31" s="68"/>
      <c r="S31" s="68"/>
      <c r="T31" s="68"/>
      <c r="U31" s="68"/>
      <c r="V31" s="68"/>
      <c r="W31" s="68"/>
      <c r="X31" s="511">
        <f>IFERROR(((AA28-AA26)/AA26),"")</f>
        <v>-1.9557984248539806E-16</v>
      </c>
      <c r="Y31" s="512" t="str">
        <f>IF(X31="","","Difference")</f>
        <v>Difference</v>
      </c>
      <c r="Z31" s="68"/>
      <c r="AA31" s="68"/>
      <c r="AB31" s="68"/>
      <c r="AC31" s="68"/>
      <c r="AD31" s="68"/>
      <c r="AE31" s="68"/>
      <c r="AF31" s="68"/>
      <c r="AG31" s="68"/>
      <c r="AH31" s="68"/>
      <c r="AI31" s="68"/>
      <c r="AJ31" s="68"/>
      <c r="AK31" s="83"/>
      <c r="AL31" s="116"/>
      <c r="AM31" s="116"/>
      <c r="AN31" s="116"/>
    </row>
    <row r="32" spans="2:40">
      <c r="X32" s="513"/>
      <c r="Y32" s="112"/>
      <c r="AL32" s="116"/>
      <c r="AM32" s="116"/>
      <c r="AN32" s="116"/>
    </row>
    <row r="33" spans="3:40">
      <c r="C33" s="2094"/>
      <c r="D33" s="2095"/>
      <c r="E33" s="2095"/>
      <c r="F33" s="2095"/>
      <c r="G33" s="2095"/>
      <c r="H33" s="2096"/>
      <c r="I33" s="514" t="s">
        <v>428</v>
      </c>
      <c r="J33" s="503"/>
      <c r="K33" s="504"/>
      <c r="L33" s="504"/>
      <c r="M33" s="504"/>
      <c r="N33" s="504"/>
      <c r="O33" s="504"/>
      <c r="P33" s="504"/>
      <c r="Q33" s="504"/>
      <c r="R33" s="504"/>
      <c r="S33" s="504"/>
      <c r="T33" s="504"/>
      <c r="U33" s="504"/>
      <c r="V33" s="504"/>
      <c r="W33" s="504"/>
      <c r="X33" s="504"/>
      <c r="Y33" s="504"/>
      <c r="Z33" s="504"/>
      <c r="AA33" s="504"/>
      <c r="AB33" s="504"/>
      <c r="AC33" s="504"/>
      <c r="AD33" s="504"/>
      <c r="AE33" s="504"/>
      <c r="AF33" s="504"/>
      <c r="AG33" s="504"/>
      <c r="AH33" s="504"/>
      <c r="AI33" s="504"/>
      <c r="AJ33" s="504"/>
      <c r="AK33" s="505"/>
    </row>
    <row r="34" spans="3:40">
      <c r="C34" s="75"/>
      <c r="D34" s="506"/>
      <c r="E34" s="506"/>
      <c r="F34" s="506"/>
      <c r="G34" s="506"/>
      <c r="I34" s="116"/>
      <c r="J34" s="111"/>
      <c r="S34" s="507"/>
      <c r="T34" s="507"/>
      <c r="U34" s="507"/>
      <c r="V34" s="507"/>
      <c r="W34" s="507"/>
      <c r="Z34" s="116"/>
      <c r="AA34" s="116"/>
      <c r="AB34" s="116"/>
      <c r="AC34" s="116"/>
      <c r="AD34" s="116"/>
      <c r="AE34" s="116"/>
      <c r="AF34" s="116"/>
      <c r="AG34" s="116"/>
      <c r="AH34" s="116"/>
      <c r="AI34" s="116"/>
      <c r="AJ34" s="116"/>
      <c r="AK34" s="508"/>
    </row>
    <row r="35" spans="3:40">
      <c r="C35" s="75"/>
      <c r="D35" s="506"/>
      <c r="E35" s="506"/>
      <c r="F35" s="506"/>
      <c r="G35" s="506"/>
      <c r="I35" s="116"/>
      <c r="J35" s="111"/>
      <c r="S35" s="507"/>
      <c r="T35" s="507"/>
      <c r="U35" s="507"/>
      <c r="V35" s="507"/>
      <c r="W35" s="507"/>
      <c r="Z35" s="116"/>
      <c r="AA35" s="116"/>
      <c r="AB35" s="116"/>
      <c r="AC35" s="116"/>
      <c r="AD35" s="116"/>
      <c r="AE35" s="116"/>
      <c r="AF35" s="116"/>
      <c r="AG35" s="116"/>
      <c r="AH35" s="116"/>
      <c r="AI35" s="116"/>
      <c r="AJ35" s="116"/>
      <c r="AK35" s="508"/>
    </row>
    <row r="36" spans="3:40">
      <c r="C36" s="75"/>
      <c r="D36" s="506" t="s">
        <v>825</v>
      </c>
      <c r="E36" s="506"/>
      <c r="F36" s="506"/>
      <c r="G36" s="506"/>
      <c r="I36" s="116"/>
      <c r="J36" s="111"/>
      <c r="T36" s="507"/>
      <c r="U36" s="507"/>
      <c r="V36" s="489"/>
      <c r="W36" s="490"/>
      <c r="X36" s="490"/>
      <c r="Y36" s="490"/>
      <c r="Z36" s="491"/>
      <c r="AA36" s="509">
        <f>(V36*(1+RRR)^4.5)+(W36*(1+RRR)^3.5)+(X36*(1+RRR)^2.5)+(Y36*(1+RRR)^1.5)+(Z36*(1+RRR)^0.5)</f>
        <v>0</v>
      </c>
      <c r="AB36" s="509" t="s">
        <v>826</v>
      </c>
      <c r="AC36" s="116"/>
      <c r="AD36" s="116"/>
      <c r="AE36" s="116"/>
      <c r="AF36" s="116"/>
      <c r="AG36" s="116"/>
      <c r="AH36" s="116"/>
      <c r="AI36" s="116"/>
      <c r="AJ36" s="116"/>
      <c r="AK36" s="508"/>
    </row>
    <row r="37" spans="3:40">
      <c r="C37" s="75"/>
      <c r="D37" s="506"/>
      <c r="E37" s="506"/>
      <c r="F37" s="506"/>
      <c r="G37" s="506"/>
      <c r="I37" s="116"/>
      <c r="J37" s="111"/>
      <c r="K37" s="116"/>
      <c r="L37" s="116"/>
      <c r="M37" s="116"/>
      <c r="N37" s="116"/>
      <c r="O37" s="116"/>
      <c r="P37" s="116"/>
      <c r="Q37" s="116"/>
      <c r="R37" s="116"/>
      <c r="S37" s="507"/>
      <c r="T37" s="507"/>
      <c r="U37" s="507"/>
      <c r="V37" s="116"/>
      <c r="W37" s="116"/>
      <c r="AD37" s="116"/>
      <c r="AE37" s="116"/>
      <c r="AF37" s="116"/>
      <c r="AG37" s="116"/>
      <c r="AH37" s="116"/>
      <c r="AI37" s="116"/>
      <c r="AJ37" s="116"/>
      <c r="AK37" s="508"/>
    </row>
    <row r="38" spans="3:40">
      <c r="C38" s="75"/>
      <c r="D38" s="506"/>
      <c r="E38" s="506"/>
      <c r="F38" s="506"/>
      <c r="G38" s="506"/>
      <c r="I38" s="116"/>
      <c r="J38" s="111"/>
      <c r="K38" s="116"/>
      <c r="L38" s="116"/>
      <c r="M38" s="116"/>
      <c r="N38" s="116"/>
      <c r="O38" s="116"/>
      <c r="P38" s="116"/>
      <c r="Q38" s="116"/>
      <c r="R38" s="116"/>
      <c r="S38" s="116"/>
      <c r="T38" s="116"/>
      <c r="U38" s="116"/>
      <c r="V38" s="116"/>
      <c r="W38" s="116"/>
      <c r="AA38" s="509">
        <f>+NPV(RRR,AA39:AJ39)*(1+RRR)^0.5</f>
        <v>0</v>
      </c>
      <c r="AB38" s="487" t="s">
        <v>826</v>
      </c>
      <c r="AD38" s="116"/>
      <c r="AE38" s="116"/>
      <c r="AF38" s="116"/>
      <c r="AG38" s="116"/>
      <c r="AH38" s="116"/>
      <c r="AI38" s="116"/>
      <c r="AJ38" s="116"/>
      <c r="AK38" s="508"/>
    </row>
    <row r="39" spans="3:40">
      <c r="C39" s="75"/>
      <c r="D39" s="506" t="s">
        <v>827</v>
      </c>
      <c r="E39" s="506"/>
      <c r="F39" s="506"/>
      <c r="G39" s="506"/>
      <c r="I39" s="116"/>
      <c r="J39" s="111"/>
      <c r="K39" s="116"/>
      <c r="L39" s="116"/>
      <c r="M39" s="510"/>
      <c r="N39" s="510"/>
      <c r="O39" s="510"/>
      <c r="P39" s="510"/>
      <c r="Q39" s="510"/>
      <c r="R39" s="510"/>
      <c r="S39" s="116"/>
      <c r="T39" s="116"/>
      <c r="U39" s="116"/>
      <c r="AA39" s="489"/>
      <c r="AB39" s="490"/>
      <c r="AC39" s="490"/>
      <c r="AD39" s="490"/>
      <c r="AE39" s="491"/>
      <c r="AF39" s="489"/>
      <c r="AG39" s="490"/>
      <c r="AH39" s="490"/>
      <c r="AI39" s="490"/>
      <c r="AJ39" s="491"/>
      <c r="AK39" s="508"/>
    </row>
    <row r="40" spans="3:40">
      <c r="C40" s="75"/>
      <c r="AK40" s="74"/>
    </row>
    <row r="41" spans="3:40">
      <c r="C41" s="81"/>
      <c r="D41" s="68"/>
      <c r="E41" s="68"/>
      <c r="F41" s="68"/>
      <c r="G41" s="68"/>
      <c r="H41" s="68"/>
      <c r="I41" s="68"/>
      <c r="J41" s="318"/>
      <c r="K41" s="68"/>
      <c r="L41" s="68"/>
      <c r="M41" s="68"/>
      <c r="N41" s="68"/>
      <c r="O41" s="68"/>
      <c r="P41" s="68"/>
      <c r="Q41" s="68"/>
      <c r="R41" s="68"/>
      <c r="S41" s="68"/>
      <c r="T41" s="68"/>
      <c r="U41" s="68"/>
      <c r="V41" s="68"/>
      <c r="W41" s="68"/>
      <c r="X41" s="511" t="str">
        <f>IFERROR(((AA38-AA36)/AA36),"")</f>
        <v/>
      </c>
      <c r="Y41" s="512" t="str">
        <f>IF(X41="","","Difference")</f>
        <v/>
      </c>
      <c r="Z41" s="68"/>
      <c r="AA41" s="68"/>
      <c r="AB41" s="68"/>
      <c r="AC41" s="68"/>
      <c r="AD41" s="68"/>
      <c r="AE41" s="68"/>
      <c r="AF41" s="68"/>
      <c r="AG41" s="68"/>
      <c r="AH41" s="68"/>
      <c r="AI41" s="68"/>
      <c r="AJ41" s="68"/>
      <c r="AK41" s="83"/>
      <c r="AL41" s="116"/>
      <c r="AM41" s="116"/>
      <c r="AN41" s="116"/>
    </row>
    <row r="42" spans="3:40">
      <c r="X42" s="513"/>
      <c r="Y42" s="112"/>
    </row>
    <row r="43" spans="3:40">
      <c r="C43" s="2094"/>
      <c r="D43" s="2095"/>
      <c r="E43" s="2095"/>
      <c r="F43" s="2095"/>
      <c r="G43" s="2095"/>
      <c r="H43" s="2096"/>
      <c r="I43" s="514" t="s">
        <v>428</v>
      </c>
      <c r="J43" s="503"/>
      <c r="K43" s="504"/>
      <c r="L43" s="504"/>
      <c r="M43" s="504"/>
      <c r="N43" s="504"/>
      <c r="O43" s="504"/>
      <c r="P43" s="504"/>
      <c r="Q43" s="504"/>
      <c r="R43" s="504"/>
      <c r="S43" s="504"/>
      <c r="T43" s="504"/>
      <c r="U43" s="504"/>
      <c r="V43" s="504"/>
      <c r="W43" s="504"/>
      <c r="X43" s="504"/>
      <c r="Y43" s="504"/>
      <c r="Z43" s="504"/>
      <c r="AA43" s="504"/>
      <c r="AB43" s="504"/>
      <c r="AC43" s="504"/>
      <c r="AD43" s="504"/>
      <c r="AE43" s="504"/>
      <c r="AF43" s="504"/>
      <c r="AG43" s="504"/>
      <c r="AH43" s="504"/>
      <c r="AI43" s="504"/>
      <c r="AJ43" s="504"/>
      <c r="AK43" s="505"/>
    </row>
    <row r="44" spans="3:40">
      <c r="C44" s="75"/>
      <c r="D44" s="506"/>
      <c r="E44" s="506"/>
      <c r="F44" s="506"/>
      <c r="G44" s="506"/>
      <c r="I44" s="116"/>
      <c r="J44" s="111"/>
      <c r="S44" s="507"/>
      <c r="T44" s="507"/>
      <c r="U44" s="507"/>
      <c r="V44" s="507"/>
      <c r="W44" s="507"/>
      <c r="Z44" s="116"/>
      <c r="AA44" s="116"/>
      <c r="AB44" s="116"/>
      <c r="AC44" s="116"/>
      <c r="AD44" s="116"/>
      <c r="AE44" s="116"/>
      <c r="AF44" s="116"/>
      <c r="AG44" s="116"/>
      <c r="AH44" s="116"/>
      <c r="AI44" s="116"/>
      <c r="AJ44" s="116"/>
      <c r="AK44" s="508"/>
    </row>
    <row r="45" spans="3:40">
      <c r="C45" s="75"/>
      <c r="D45" s="506"/>
      <c r="E45" s="506"/>
      <c r="F45" s="506"/>
      <c r="G45" s="506"/>
      <c r="I45" s="116"/>
      <c r="J45" s="111"/>
      <c r="S45" s="507"/>
      <c r="T45" s="507"/>
      <c r="U45" s="507"/>
      <c r="V45" s="507"/>
      <c r="W45" s="507"/>
      <c r="Z45" s="116"/>
      <c r="AA45" s="116"/>
      <c r="AB45" s="116"/>
      <c r="AC45" s="116"/>
      <c r="AD45" s="116"/>
      <c r="AE45" s="116"/>
      <c r="AF45" s="116"/>
      <c r="AG45" s="116"/>
      <c r="AH45" s="116"/>
      <c r="AI45" s="116"/>
      <c r="AJ45" s="116"/>
      <c r="AK45" s="508"/>
    </row>
    <row r="46" spans="3:40">
      <c r="C46" s="75"/>
      <c r="D46" s="506" t="s">
        <v>825</v>
      </c>
      <c r="E46" s="506"/>
      <c r="F46" s="506"/>
      <c r="G46" s="506"/>
      <c r="I46" s="116"/>
      <c r="J46" s="111"/>
      <c r="T46" s="507"/>
      <c r="U46" s="507"/>
      <c r="V46" s="489"/>
      <c r="W46" s="490"/>
      <c r="X46" s="490"/>
      <c r="Y46" s="490"/>
      <c r="Z46" s="491"/>
      <c r="AA46" s="509">
        <f>(V46*(1+RRR)^4.5)+(W46*(1+RRR)^3.5)+(X46*(1+RRR)^2.5)+(Y46*(1+RRR)^1.5)+(Z46*(1+RRR)^0.5)</f>
        <v>0</v>
      </c>
      <c r="AB46" s="509" t="s">
        <v>826</v>
      </c>
      <c r="AC46" s="116"/>
      <c r="AD46" s="116"/>
      <c r="AE46" s="116"/>
      <c r="AF46" s="116"/>
      <c r="AG46" s="116"/>
      <c r="AH46" s="116"/>
      <c r="AI46" s="116"/>
      <c r="AJ46" s="116"/>
      <c r="AK46" s="508"/>
    </row>
    <row r="47" spans="3:40">
      <c r="C47" s="75"/>
      <c r="D47" s="506"/>
      <c r="E47" s="506"/>
      <c r="F47" s="506"/>
      <c r="G47" s="506"/>
      <c r="I47" s="116"/>
      <c r="J47" s="111"/>
      <c r="K47" s="116"/>
      <c r="L47" s="116"/>
      <c r="M47" s="116"/>
      <c r="N47" s="116"/>
      <c r="O47" s="116"/>
      <c r="P47" s="116"/>
      <c r="Q47" s="116"/>
      <c r="R47" s="116"/>
      <c r="S47" s="507"/>
      <c r="T47" s="507"/>
      <c r="U47" s="507"/>
      <c r="V47" s="116"/>
      <c r="W47" s="116"/>
      <c r="AD47" s="116"/>
      <c r="AE47" s="116"/>
      <c r="AF47" s="116"/>
      <c r="AG47" s="116"/>
      <c r="AH47" s="116"/>
      <c r="AI47" s="116"/>
      <c r="AJ47" s="116"/>
      <c r="AK47" s="508"/>
    </row>
    <row r="48" spans="3:40">
      <c r="C48" s="75"/>
      <c r="D48" s="506"/>
      <c r="E48" s="506"/>
      <c r="F48" s="506"/>
      <c r="G48" s="506"/>
      <c r="I48" s="116"/>
      <c r="J48" s="111"/>
      <c r="K48" s="116"/>
      <c r="L48" s="116"/>
      <c r="M48" s="116"/>
      <c r="N48" s="116"/>
      <c r="O48" s="116"/>
      <c r="P48" s="116"/>
      <c r="Q48" s="116"/>
      <c r="R48" s="116"/>
      <c r="S48" s="116"/>
      <c r="T48" s="116"/>
      <c r="U48" s="116"/>
      <c r="V48" s="116"/>
      <c r="W48" s="116"/>
      <c r="AA48" s="509">
        <f>+NPV(RRR,AA49:AJ49)*(1+RRR)^0.5</f>
        <v>0</v>
      </c>
      <c r="AB48" s="487" t="s">
        <v>826</v>
      </c>
      <c r="AD48" s="116"/>
      <c r="AE48" s="116"/>
      <c r="AF48" s="116"/>
      <c r="AG48" s="116"/>
      <c r="AH48" s="116"/>
      <c r="AI48" s="116"/>
      <c r="AJ48" s="116"/>
      <c r="AK48" s="508"/>
    </row>
    <row r="49" spans="3:40">
      <c r="C49" s="75"/>
      <c r="D49" s="506" t="s">
        <v>827</v>
      </c>
      <c r="E49" s="506"/>
      <c r="F49" s="506"/>
      <c r="G49" s="506"/>
      <c r="I49" s="116"/>
      <c r="J49" s="111"/>
      <c r="K49" s="116"/>
      <c r="L49" s="116"/>
      <c r="M49" s="510"/>
      <c r="N49" s="510"/>
      <c r="O49" s="510"/>
      <c r="P49" s="510"/>
      <c r="Q49" s="510"/>
      <c r="R49" s="510"/>
      <c r="S49" s="116"/>
      <c r="T49" s="116"/>
      <c r="U49" s="116"/>
      <c r="AA49" s="489"/>
      <c r="AB49" s="490"/>
      <c r="AC49" s="490"/>
      <c r="AD49" s="490"/>
      <c r="AE49" s="491"/>
      <c r="AF49" s="489"/>
      <c r="AG49" s="490"/>
      <c r="AH49" s="490"/>
      <c r="AI49" s="490"/>
      <c r="AJ49" s="491"/>
      <c r="AK49" s="508"/>
    </row>
    <row r="50" spans="3:40">
      <c r="C50" s="75"/>
      <c r="AK50" s="74"/>
    </row>
    <row r="51" spans="3:40">
      <c r="C51" s="81"/>
      <c r="D51" s="68"/>
      <c r="E51" s="68"/>
      <c r="F51" s="68"/>
      <c r="G51" s="68"/>
      <c r="H51" s="68"/>
      <c r="I51" s="68"/>
      <c r="J51" s="318"/>
      <c r="K51" s="68"/>
      <c r="L51" s="68"/>
      <c r="M51" s="68"/>
      <c r="N51" s="68"/>
      <c r="O51" s="68"/>
      <c r="P51" s="68"/>
      <c r="Q51" s="68"/>
      <c r="R51" s="68"/>
      <c r="S51" s="68"/>
      <c r="T51" s="68"/>
      <c r="U51" s="68"/>
      <c r="V51" s="68"/>
      <c r="W51" s="68"/>
      <c r="X51" s="511" t="str">
        <f>IFERROR(((AA48-AA46)/AA46),"")</f>
        <v/>
      </c>
      <c r="Y51" s="512" t="str">
        <f>IF(X51="","","Difference")</f>
        <v/>
      </c>
      <c r="Z51" s="68"/>
      <c r="AA51" s="68"/>
      <c r="AB51" s="68"/>
      <c r="AC51" s="68"/>
      <c r="AD51" s="68"/>
      <c r="AE51" s="68"/>
      <c r="AF51" s="68"/>
      <c r="AG51" s="68"/>
      <c r="AH51" s="68"/>
      <c r="AI51" s="68"/>
      <c r="AJ51" s="68"/>
      <c r="AK51" s="83"/>
      <c r="AL51" s="116"/>
      <c r="AM51" s="116"/>
      <c r="AN51" s="116"/>
    </row>
    <row r="52" spans="3:40">
      <c r="X52" s="513"/>
      <c r="Y52" s="112"/>
    </row>
    <row r="53" spans="3:40">
      <c r="C53" s="2094"/>
      <c r="D53" s="2095"/>
      <c r="E53" s="2095"/>
      <c r="F53" s="2095"/>
      <c r="G53" s="2095"/>
      <c r="H53" s="2096"/>
      <c r="I53" s="514" t="s">
        <v>428</v>
      </c>
      <c r="J53" s="503"/>
      <c r="K53" s="504"/>
      <c r="L53" s="504"/>
      <c r="M53" s="504"/>
      <c r="N53" s="504"/>
      <c r="O53" s="504"/>
      <c r="P53" s="504"/>
      <c r="Q53" s="504"/>
      <c r="R53" s="504"/>
      <c r="S53" s="504"/>
      <c r="T53" s="504"/>
      <c r="U53" s="504"/>
      <c r="V53" s="504"/>
      <c r="W53" s="504"/>
      <c r="X53" s="504"/>
      <c r="Y53" s="504"/>
      <c r="Z53" s="504"/>
      <c r="AA53" s="504"/>
      <c r="AB53" s="504"/>
      <c r="AC53" s="504"/>
      <c r="AD53" s="504"/>
      <c r="AE53" s="504"/>
      <c r="AF53" s="504"/>
      <c r="AG53" s="504"/>
      <c r="AH53" s="504"/>
      <c r="AI53" s="504"/>
      <c r="AJ53" s="504"/>
      <c r="AK53" s="505"/>
    </row>
    <row r="54" spans="3:40">
      <c r="C54" s="75"/>
      <c r="D54" s="506"/>
      <c r="E54" s="506"/>
      <c r="F54" s="506"/>
      <c r="G54" s="506"/>
      <c r="I54" s="116"/>
      <c r="J54" s="111"/>
      <c r="S54" s="507"/>
      <c r="T54" s="507"/>
      <c r="U54" s="507"/>
      <c r="V54" s="507"/>
      <c r="W54" s="507"/>
      <c r="Z54" s="116"/>
      <c r="AA54" s="116"/>
      <c r="AB54" s="116"/>
      <c r="AC54" s="116"/>
      <c r="AD54" s="116"/>
      <c r="AE54" s="116"/>
      <c r="AF54" s="116"/>
      <c r="AG54" s="116"/>
      <c r="AH54" s="116"/>
      <c r="AI54" s="116"/>
      <c r="AJ54" s="116"/>
      <c r="AK54" s="508"/>
    </row>
    <row r="55" spans="3:40">
      <c r="C55" s="75"/>
      <c r="D55" s="506"/>
      <c r="E55" s="506"/>
      <c r="F55" s="506"/>
      <c r="G55" s="506"/>
      <c r="I55" s="116"/>
      <c r="J55" s="111"/>
      <c r="S55" s="507"/>
      <c r="T55" s="507"/>
      <c r="U55" s="507"/>
      <c r="V55" s="507"/>
      <c r="W55" s="507"/>
      <c r="Z55" s="116"/>
      <c r="AA55" s="116"/>
      <c r="AB55" s="116"/>
      <c r="AC55" s="116"/>
      <c r="AD55" s="116"/>
      <c r="AE55" s="116"/>
      <c r="AF55" s="116"/>
      <c r="AG55" s="116"/>
      <c r="AH55" s="116"/>
      <c r="AI55" s="116"/>
      <c r="AJ55" s="116"/>
      <c r="AK55" s="508"/>
    </row>
    <row r="56" spans="3:40">
      <c r="C56" s="75"/>
      <c r="D56" s="506" t="s">
        <v>825</v>
      </c>
      <c r="E56" s="506"/>
      <c r="F56" s="506"/>
      <c r="G56" s="506"/>
      <c r="I56" s="116"/>
      <c r="J56" s="111"/>
      <c r="T56" s="507"/>
      <c r="U56" s="507"/>
      <c r="V56" s="489"/>
      <c r="W56" s="490"/>
      <c r="X56" s="490"/>
      <c r="Y56" s="490"/>
      <c r="Z56" s="491"/>
      <c r="AA56" s="509">
        <f>(V56*(1+RRR)^4.5)+(W56*(1+RRR)^3.5)+(X56*(1+RRR)^2.5)+(Y56*(1+RRR)^1.5)+(Z56*(1+RRR)^0.5)</f>
        <v>0</v>
      </c>
      <c r="AB56" s="509" t="s">
        <v>826</v>
      </c>
      <c r="AC56" s="116"/>
      <c r="AD56" s="116"/>
      <c r="AE56" s="116"/>
      <c r="AF56" s="116"/>
      <c r="AG56" s="116"/>
      <c r="AH56" s="116"/>
      <c r="AI56" s="116"/>
      <c r="AJ56" s="116"/>
      <c r="AK56" s="508"/>
    </row>
    <row r="57" spans="3:40">
      <c r="C57" s="75"/>
      <c r="D57" s="506"/>
      <c r="E57" s="506"/>
      <c r="F57" s="506"/>
      <c r="G57" s="506"/>
      <c r="I57" s="116"/>
      <c r="J57" s="111"/>
      <c r="K57" s="116"/>
      <c r="L57" s="116"/>
      <c r="M57" s="116"/>
      <c r="N57" s="116"/>
      <c r="O57" s="116"/>
      <c r="P57" s="116"/>
      <c r="Q57" s="116"/>
      <c r="R57" s="116"/>
      <c r="S57" s="507"/>
      <c r="T57" s="507"/>
      <c r="U57" s="507"/>
      <c r="V57" s="116"/>
      <c r="W57" s="116"/>
      <c r="AD57" s="116"/>
      <c r="AE57" s="116"/>
      <c r="AF57" s="116"/>
      <c r="AG57" s="116"/>
      <c r="AH57" s="116"/>
      <c r="AI57" s="116"/>
      <c r="AJ57" s="116"/>
      <c r="AK57" s="508"/>
    </row>
    <row r="58" spans="3:40">
      <c r="C58" s="75"/>
      <c r="D58" s="506"/>
      <c r="E58" s="506"/>
      <c r="F58" s="506"/>
      <c r="G58" s="506"/>
      <c r="I58" s="116"/>
      <c r="J58" s="111"/>
      <c r="K58" s="116"/>
      <c r="L58" s="116"/>
      <c r="M58" s="116"/>
      <c r="N58" s="116"/>
      <c r="O58" s="116"/>
      <c r="P58" s="116"/>
      <c r="Q58" s="116"/>
      <c r="R58" s="116"/>
      <c r="S58" s="116"/>
      <c r="T58" s="116"/>
      <c r="U58" s="116"/>
      <c r="V58" s="116"/>
      <c r="W58" s="116"/>
      <c r="AA58" s="509">
        <f>+NPV(RRR,AA59:AJ59)*(1+RRR)^0.5</f>
        <v>0</v>
      </c>
      <c r="AB58" s="487" t="s">
        <v>826</v>
      </c>
      <c r="AD58" s="116"/>
      <c r="AE58" s="116"/>
      <c r="AF58" s="116"/>
      <c r="AG58" s="116"/>
      <c r="AH58" s="116"/>
      <c r="AI58" s="116"/>
      <c r="AJ58" s="116"/>
      <c r="AK58" s="508"/>
    </row>
    <row r="59" spans="3:40">
      <c r="C59" s="75"/>
      <c r="D59" s="506" t="s">
        <v>827</v>
      </c>
      <c r="E59" s="506"/>
      <c r="F59" s="506"/>
      <c r="G59" s="506"/>
      <c r="I59" s="116"/>
      <c r="J59" s="111"/>
      <c r="K59" s="116"/>
      <c r="L59" s="116"/>
      <c r="M59" s="510"/>
      <c r="N59" s="510"/>
      <c r="O59" s="510"/>
      <c r="P59" s="510"/>
      <c r="Q59" s="510"/>
      <c r="R59" s="510"/>
      <c r="S59" s="116"/>
      <c r="T59" s="116"/>
      <c r="U59" s="116"/>
      <c r="AA59" s="489"/>
      <c r="AB59" s="490"/>
      <c r="AC59" s="490"/>
      <c r="AD59" s="490"/>
      <c r="AE59" s="491"/>
      <c r="AF59" s="489"/>
      <c r="AG59" s="490"/>
      <c r="AH59" s="490"/>
      <c r="AI59" s="490"/>
      <c r="AJ59" s="491"/>
      <c r="AK59" s="508"/>
    </row>
    <row r="60" spans="3:40">
      <c r="C60" s="75"/>
      <c r="AK60" s="74"/>
    </row>
    <row r="61" spans="3:40">
      <c r="C61" s="81"/>
      <c r="D61" s="68"/>
      <c r="E61" s="68"/>
      <c r="F61" s="68"/>
      <c r="G61" s="68"/>
      <c r="H61" s="68"/>
      <c r="I61" s="68"/>
      <c r="J61" s="318"/>
      <c r="K61" s="68"/>
      <c r="L61" s="68"/>
      <c r="M61" s="68"/>
      <c r="N61" s="68"/>
      <c r="O61" s="68"/>
      <c r="P61" s="68"/>
      <c r="Q61" s="68"/>
      <c r="R61" s="68"/>
      <c r="S61" s="68"/>
      <c r="T61" s="68"/>
      <c r="U61" s="68"/>
      <c r="V61" s="68"/>
      <c r="W61" s="68"/>
      <c r="X61" s="511" t="str">
        <f>IFERROR(((AA58-AA56)/AA56),"")</f>
        <v/>
      </c>
      <c r="Y61" s="512" t="str">
        <f>IF(X61="","","Difference")</f>
        <v/>
      </c>
      <c r="Z61" s="68"/>
      <c r="AA61" s="68"/>
      <c r="AB61" s="68"/>
      <c r="AC61" s="68"/>
      <c r="AD61" s="68"/>
      <c r="AE61" s="68"/>
      <c r="AF61" s="68"/>
      <c r="AG61" s="68"/>
      <c r="AH61" s="68"/>
      <c r="AI61" s="68"/>
      <c r="AJ61" s="68"/>
      <c r="AK61" s="83"/>
      <c r="AL61" s="116"/>
      <c r="AM61" s="116"/>
      <c r="AN61" s="116"/>
    </row>
    <row r="62" spans="3:40">
      <c r="X62" s="513"/>
      <c r="Y62" s="112"/>
    </row>
    <row r="63" spans="3:40">
      <c r="C63" s="2094"/>
      <c r="D63" s="2095"/>
      <c r="E63" s="2095"/>
      <c r="F63" s="2095"/>
      <c r="G63" s="2095"/>
      <c r="H63" s="2096"/>
      <c r="I63" s="514" t="s">
        <v>428</v>
      </c>
      <c r="J63" s="503"/>
      <c r="K63" s="504"/>
      <c r="L63" s="504"/>
      <c r="M63" s="504"/>
      <c r="N63" s="504"/>
      <c r="O63" s="504"/>
      <c r="P63" s="504"/>
      <c r="Q63" s="504"/>
      <c r="R63" s="504"/>
      <c r="S63" s="504"/>
      <c r="T63" s="504"/>
      <c r="U63" s="504"/>
      <c r="V63" s="504"/>
      <c r="W63" s="504"/>
      <c r="X63" s="504"/>
      <c r="Y63" s="504"/>
      <c r="Z63" s="504"/>
      <c r="AA63" s="504"/>
      <c r="AB63" s="504"/>
      <c r="AC63" s="504"/>
      <c r="AD63" s="504"/>
      <c r="AE63" s="504"/>
      <c r="AF63" s="504"/>
      <c r="AG63" s="504"/>
      <c r="AH63" s="504"/>
      <c r="AI63" s="504"/>
      <c r="AJ63" s="504"/>
      <c r="AK63" s="505"/>
    </row>
    <row r="64" spans="3:40">
      <c r="C64" s="75"/>
      <c r="D64" s="506"/>
      <c r="E64" s="506"/>
      <c r="F64" s="506"/>
      <c r="G64" s="506"/>
      <c r="I64" s="116"/>
      <c r="J64" s="111"/>
      <c r="S64" s="507"/>
      <c r="T64" s="507"/>
      <c r="U64" s="507"/>
      <c r="V64" s="507"/>
      <c r="W64" s="507"/>
      <c r="Z64" s="116"/>
      <c r="AA64" s="116"/>
      <c r="AB64" s="116"/>
      <c r="AC64" s="116"/>
      <c r="AD64" s="116"/>
      <c r="AE64" s="116"/>
      <c r="AF64" s="116"/>
      <c r="AG64" s="116"/>
      <c r="AH64" s="116"/>
      <c r="AI64" s="116"/>
      <c r="AJ64" s="116"/>
      <c r="AK64" s="508"/>
    </row>
    <row r="65" spans="3:40">
      <c r="C65" s="75"/>
      <c r="D65" s="506"/>
      <c r="E65" s="506"/>
      <c r="F65" s="506"/>
      <c r="G65" s="506"/>
      <c r="I65" s="116"/>
      <c r="J65" s="111"/>
      <c r="S65" s="507"/>
      <c r="T65" s="507"/>
      <c r="U65" s="507"/>
      <c r="V65" s="507"/>
      <c r="W65" s="507"/>
      <c r="Z65" s="116"/>
      <c r="AA65" s="116"/>
      <c r="AB65" s="116"/>
      <c r="AC65" s="116"/>
      <c r="AD65" s="116"/>
      <c r="AE65" s="116"/>
      <c r="AF65" s="116"/>
      <c r="AG65" s="116"/>
      <c r="AH65" s="116"/>
      <c r="AI65" s="116"/>
      <c r="AJ65" s="116"/>
      <c r="AK65" s="508"/>
    </row>
    <row r="66" spans="3:40">
      <c r="C66" s="75"/>
      <c r="D66" s="506" t="s">
        <v>825</v>
      </c>
      <c r="E66" s="506"/>
      <c r="F66" s="506"/>
      <c r="G66" s="506"/>
      <c r="I66" s="116"/>
      <c r="J66" s="111"/>
      <c r="T66" s="507"/>
      <c r="U66" s="507"/>
      <c r="V66" s="489"/>
      <c r="W66" s="490"/>
      <c r="X66" s="490"/>
      <c r="Y66" s="490"/>
      <c r="Z66" s="491"/>
      <c r="AA66" s="509">
        <f>(V66*(1+RRR)^4.5)+(W66*(1+RRR)^3.5)+(X66*(1+RRR)^2.5)+(Y66*(1+RRR)^1.5)+(Z66*(1+RRR)^0.5)</f>
        <v>0</v>
      </c>
      <c r="AB66" s="509" t="s">
        <v>826</v>
      </c>
      <c r="AC66" s="116"/>
      <c r="AD66" s="116"/>
      <c r="AE66" s="116"/>
      <c r="AF66" s="116"/>
      <c r="AG66" s="116"/>
      <c r="AH66" s="116"/>
      <c r="AI66" s="116"/>
      <c r="AJ66" s="116"/>
      <c r="AK66" s="508"/>
    </row>
    <row r="67" spans="3:40">
      <c r="C67" s="75"/>
      <c r="D67" s="506"/>
      <c r="E67" s="506"/>
      <c r="F67" s="506"/>
      <c r="G67" s="506"/>
      <c r="I67" s="116"/>
      <c r="J67" s="111"/>
      <c r="K67" s="116"/>
      <c r="L67" s="116"/>
      <c r="M67" s="116"/>
      <c r="N67" s="116"/>
      <c r="O67" s="116"/>
      <c r="P67" s="116"/>
      <c r="Q67" s="116"/>
      <c r="R67" s="116"/>
      <c r="S67" s="507"/>
      <c r="T67" s="507"/>
      <c r="U67" s="507"/>
      <c r="V67" s="116"/>
      <c r="W67" s="116"/>
      <c r="AD67" s="116"/>
      <c r="AE67" s="116"/>
      <c r="AF67" s="116"/>
      <c r="AG67" s="116"/>
      <c r="AH67" s="116"/>
      <c r="AI67" s="116"/>
      <c r="AJ67" s="116"/>
      <c r="AK67" s="508"/>
    </row>
    <row r="68" spans="3:40">
      <c r="C68" s="75"/>
      <c r="D68" s="506"/>
      <c r="E68" s="506"/>
      <c r="F68" s="506"/>
      <c r="G68" s="506"/>
      <c r="I68" s="116"/>
      <c r="J68" s="111"/>
      <c r="K68" s="116"/>
      <c r="L68" s="116"/>
      <c r="M68" s="116"/>
      <c r="N68" s="116"/>
      <c r="O68" s="116"/>
      <c r="P68" s="116"/>
      <c r="Q68" s="116"/>
      <c r="R68" s="116"/>
      <c r="S68" s="116"/>
      <c r="T68" s="116"/>
      <c r="U68" s="116"/>
      <c r="V68" s="116"/>
      <c r="W68" s="116"/>
      <c r="AA68" s="509">
        <f>+NPV(RRR,AA69:AJ69)*(1+RRR)^0.5</f>
        <v>0</v>
      </c>
      <c r="AB68" s="487" t="s">
        <v>826</v>
      </c>
      <c r="AD68" s="116"/>
      <c r="AE68" s="116"/>
      <c r="AF68" s="116"/>
      <c r="AG68" s="116"/>
      <c r="AH68" s="116"/>
      <c r="AI68" s="116"/>
      <c r="AJ68" s="116"/>
      <c r="AK68" s="508"/>
    </row>
    <row r="69" spans="3:40">
      <c r="C69" s="75"/>
      <c r="D69" s="506" t="s">
        <v>827</v>
      </c>
      <c r="E69" s="506"/>
      <c r="F69" s="506"/>
      <c r="G69" s="506"/>
      <c r="I69" s="116"/>
      <c r="J69" s="111"/>
      <c r="K69" s="116"/>
      <c r="L69" s="116"/>
      <c r="M69" s="510"/>
      <c r="N69" s="510"/>
      <c r="O69" s="510"/>
      <c r="P69" s="510"/>
      <c r="Q69" s="510"/>
      <c r="R69" s="510"/>
      <c r="S69" s="116"/>
      <c r="T69" s="116"/>
      <c r="U69" s="116"/>
      <c r="AA69" s="489"/>
      <c r="AB69" s="490"/>
      <c r="AC69" s="490"/>
      <c r="AD69" s="490"/>
      <c r="AE69" s="491"/>
      <c r="AF69" s="489"/>
      <c r="AG69" s="490"/>
      <c r="AH69" s="490"/>
      <c r="AI69" s="490"/>
      <c r="AJ69" s="491"/>
      <c r="AK69" s="508"/>
    </row>
    <row r="70" spans="3:40">
      <c r="C70" s="75"/>
      <c r="AK70" s="74"/>
    </row>
    <row r="71" spans="3:40">
      <c r="C71" s="81"/>
      <c r="D71" s="68"/>
      <c r="E71" s="68"/>
      <c r="F71" s="68"/>
      <c r="G71" s="68"/>
      <c r="H71" s="68"/>
      <c r="I71" s="68"/>
      <c r="J71" s="318"/>
      <c r="K71" s="68"/>
      <c r="L71" s="68"/>
      <c r="M71" s="68"/>
      <c r="N71" s="68"/>
      <c r="O71" s="68"/>
      <c r="P71" s="68"/>
      <c r="Q71" s="68"/>
      <c r="R71" s="68"/>
      <c r="S71" s="68"/>
      <c r="T71" s="68"/>
      <c r="U71" s="68"/>
      <c r="V71" s="68"/>
      <c r="W71" s="68"/>
      <c r="X71" s="511" t="str">
        <f>IFERROR(((AA68-AA66)/AA66),"")</f>
        <v/>
      </c>
      <c r="Y71" s="512" t="str">
        <f>IF(X71="","","Difference")</f>
        <v/>
      </c>
      <c r="Z71" s="68"/>
      <c r="AA71" s="68"/>
      <c r="AB71" s="68"/>
      <c r="AC71" s="68"/>
      <c r="AD71" s="68"/>
      <c r="AE71" s="68"/>
      <c r="AF71" s="68"/>
      <c r="AG71" s="68"/>
      <c r="AH71" s="68"/>
      <c r="AI71" s="68"/>
      <c r="AJ71" s="68"/>
      <c r="AK71" s="83"/>
      <c r="AL71" s="116"/>
      <c r="AM71" s="116"/>
      <c r="AN71" s="116"/>
    </row>
  </sheetData>
  <mergeCells count="6">
    <mergeCell ref="C63:H63"/>
    <mergeCell ref="B3:F3"/>
    <mergeCell ref="C23:H23"/>
    <mergeCell ref="C33:H33"/>
    <mergeCell ref="C43:H43"/>
    <mergeCell ref="C53:H53"/>
  </mergeCells>
  <phoneticPr fontId="0" type="noConversion"/>
  <dataValidations count="1">
    <dataValidation type="list" allowBlank="1" showInputMessage="1" showErrorMessage="1" sqref="I23:J23 I43:J43 I33:J33 I53:J53 I63:J63" xr:uid="{00000000-0002-0000-0A00-000000000000}">
      <formula1>Asset_Class</formula1>
    </dataValidation>
  </dataValidations>
  <hyperlinks>
    <hyperlink ref="B3" location="HL_Home" tooltip="Go to Table of Contents" display="HL_Home" xr:uid="{00000000-0004-0000-0A00-000000000000}"/>
  </hyperlinks>
  <pageMargins left="0.39370078740157499" right="0.39370078740157499" top="0.59055118110236249" bottom="0.98425196850393748" header="0" footer="0.31496062992125973"/>
  <pageSetup paperSize="9" scale="81" orientation="landscape" r:id="rId1"/>
  <headerFooter alignWithMargins="0">
    <oddHeader>&amp;C&amp;"Calibri"&amp;14&amp;KFF0000 OFFICIAL&amp;1#_x000D_&amp;"Arial"&amp;8&amp;K000000&amp;"Arial"&amp;8&amp;K000000&amp;B&amp;"Arial"&amp;12&amp;Kff0000​‌OFFICIAL‌​</oddHeader>
    <oddFooter>&amp;C&amp;"Arial,Bold"&amp;8Sheet g.
Page &amp;P of &amp;N&amp;L&amp;"Arial,Bold"&amp;7&amp;F
&amp;A
Printed: &amp;T on &amp;D</oddFooter>
  </headerFooter>
  <rowBreaks count="1" manualBreakCount="1">
    <brk id="46" min="1" max="2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1">
    <pageSetUpPr autoPageBreaks="0"/>
  </sheetPr>
  <dimension ref="A1:CQ568"/>
  <sheetViews>
    <sheetView showGridLines="0" zoomScaleNormal="100" workbookViewId="0">
      <pane ySplit="7" topLeftCell="A22" activePane="bottomLeft" state="frozen"/>
      <selection activeCell="AN32" sqref="AN32"/>
      <selection pane="bottomLeft" activeCell="Y30" sqref="Y30"/>
    </sheetView>
  </sheetViews>
  <sheetFormatPr defaultColWidth="10.83203125" defaultRowHeight="12" outlineLevelRow="1" outlineLevelCol="1"/>
  <cols>
    <col min="1" max="2" width="3.83203125" style="63" customWidth="1"/>
    <col min="3" max="3" width="4" style="63" customWidth="1"/>
    <col min="4" max="4" width="4.1640625" style="63" customWidth="1"/>
    <col min="5" max="5" width="5" style="63" customWidth="1"/>
    <col min="6" max="6" width="11.33203125" style="63" customWidth="1"/>
    <col min="7" max="7" width="18.5" style="63" customWidth="1"/>
    <col min="8" max="8" width="27.1640625" style="63" customWidth="1"/>
    <col min="9" max="9" width="13.33203125" style="63" customWidth="1"/>
    <col min="10" max="10" width="12.1640625" style="63" customWidth="1"/>
    <col min="11" max="11" width="12.6640625" style="63" hidden="1" customWidth="1" outlineLevel="1"/>
    <col min="12" max="12" width="13.1640625" style="63" hidden="1" customWidth="1" outlineLevel="1"/>
    <col min="13" max="15" width="11.83203125" style="63" hidden="1" customWidth="1" outlineLevel="1"/>
    <col min="16" max="16" width="11.6640625" style="63" hidden="1" customWidth="1" outlineLevel="1"/>
    <col min="17" max="17" width="12.5" style="63" hidden="1" customWidth="1" outlineLevel="1"/>
    <col min="18" max="18" width="12.1640625" style="63" hidden="1" customWidth="1" outlineLevel="1"/>
    <col min="19" max="20" width="11.83203125" style="63" hidden="1" customWidth="1" outlineLevel="1"/>
    <col min="21" max="21" width="15" style="63" customWidth="1" collapsed="1"/>
    <col min="22" max="22" width="15.5" style="63" customWidth="1"/>
    <col min="23" max="23" width="16.6640625" style="63" customWidth="1"/>
    <col min="24" max="24" width="16.83203125" style="63" customWidth="1"/>
    <col min="25" max="25" width="15.33203125" style="63" bestFit="1" customWidth="1"/>
    <col min="26" max="31" width="15.1640625" style="63" customWidth="1"/>
    <col min="32" max="36" width="16.1640625" style="63" customWidth="1"/>
    <col min="37" max="37" width="4.33203125" style="63" customWidth="1"/>
    <col min="38" max="38" width="10.83203125" style="63" customWidth="1"/>
    <col min="39" max="39" width="2.83203125" style="856" customWidth="1"/>
    <col min="40" max="40" width="10.83203125" style="63" customWidth="1"/>
    <col min="41" max="41" width="8.83203125" style="63" customWidth="1" outlineLevel="1"/>
    <col min="42" max="42" width="15.6640625" style="63" customWidth="1" outlineLevel="1"/>
    <col min="43" max="43" width="23" style="63" customWidth="1" outlineLevel="1"/>
    <col min="44" max="58" width="10.83203125" style="63" customWidth="1" outlineLevel="1"/>
    <col min="59" max="59" width="5.83203125" style="63" customWidth="1" outlineLevel="1"/>
    <col min="60" max="60" width="8.83203125" style="63" hidden="1" customWidth="1" outlineLevel="1"/>
    <col min="61" max="61" width="15.6640625" style="63" hidden="1" customWidth="1" outlineLevel="1"/>
    <col min="62" max="62" width="23" style="63" hidden="1" customWidth="1" outlineLevel="1"/>
    <col min="63" max="72" width="10.83203125" style="63" customWidth="1" outlineLevel="1"/>
    <col min="73" max="77" width="10.83203125" style="63" hidden="1" customWidth="1" outlineLevel="1"/>
    <col min="78" max="78" width="5.83203125" style="63" customWidth="1" outlineLevel="1"/>
    <col min="79" max="79" width="8.83203125" style="63" hidden="1" customWidth="1" outlineLevel="1"/>
    <col min="80" max="80" width="15.6640625" style="63" hidden="1" customWidth="1" outlineLevel="1"/>
    <col min="81" max="81" width="22.83203125" style="63" hidden="1" customWidth="1" outlineLevel="1"/>
    <col min="82" max="89" width="13.83203125" style="63" hidden="1" customWidth="1" outlineLevel="1"/>
    <col min="90" max="90" width="10.83203125" style="63" hidden="1" customWidth="1" outlineLevel="1"/>
    <col min="91" max="16384" width="10.83203125" style="63"/>
  </cols>
  <sheetData>
    <row r="1" spans="1:95" ht="15">
      <c r="A1" s="139">
        <v>80</v>
      </c>
      <c r="B1" s="139"/>
      <c r="C1" s="140" t="s">
        <v>828</v>
      </c>
      <c r="K1" s="77"/>
      <c r="L1" s="77"/>
      <c r="M1" s="77"/>
      <c r="N1" s="77"/>
      <c r="O1" s="77"/>
      <c r="P1" s="77"/>
      <c r="Q1" s="77"/>
      <c r="R1" s="77"/>
      <c r="S1" s="77"/>
      <c r="T1" s="77"/>
      <c r="U1" s="77"/>
      <c r="V1" s="77"/>
      <c r="W1" s="77"/>
      <c r="X1" s="77"/>
      <c r="Y1" s="196"/>
      <c r="Z1" s="196"/>
      <c r="AA1" s="196"/>
      <c r="AB1" s="196"/>
      <c r="AC1" s="196"/>
      <c r="AD1" s="196"/>
      <c r="AE1" s="196"/>
      <c r="AF1" s="196"/>
      <c r="AG1" s="196"/>
      <c r="AH1" s="196"/>
      <c r="AI1" s="196"/>
    </row>
    <row r="2" spans="1:95" ht="12.75">
      <c r="C2" s="142" t="str">
        <f>+Contents!H7</f>
        <v>Melbourne Water</v>
      </c>
      <c r="N2" s="515"/>
      <c r="O2" s="145"/>
      <c r="Y2" s="196"/>
      <c r="Z2" s="196"/>
      <c r="AA2" s="196"/>
      <c r="AB2" s="196"/>
      <c r="AC2" s="196"/>
      <c r="AD2" s="196"/>
      <c r="AE2" s="196"/>
      <c r="AF2" s="196"/>
      <c r="AG2" s="196"/>
      <c r="AH2" s="196"/>
      <c r="AI2" s="196"/>
      <c r="BM2" s="1454"/>
      <c r="BN2" s="1454"/>
      <c r="BO2" s="1454"/>
      <c r="BP2" s="1525">
        <f>BP3-BP57</f>
        <v>0</v>
      </c>
      <c r="BQ2" s="1525">
        <f t="shared" ref="BQ2:BY2" si="0">BQ3-BQ57</f>
        <v>0</v>
      </c>
      <c r="BR2" s="1525">
        <f t="shared" si="0"/>
        <v>0</v>
      </c>
      <c r="BS2" s="1525">
        <f t="shared" si="0"/>
        <v>0</v>
      </c>
      <c r="BT2" s="1525">
        <f t="shared" si="0"/>
        <v>0</v>
      </c>
      <c r="BU2" s="842">
        <f t="shared" si="0"/>
        <v>0</v>
      </c>
      <c r="BV2" s="842">
        <f t="shared" si="0"/>
        <v>0</v>
      </c>
      <c r="BW2" s="842">
        <f t="shared" si="0"/>
        <v>0</v>
      </c>
      <c r="BX2" s="842">
        <f t="shared" si="0"/>
        <v>0</v>
      </c>
      <c r="BY2" s="842">
        <f t="shared" si="0"/>
        <v>0</v>
      </c>
    </row>
    <row r="3" spans="1:95">
      <c r="C3" s="2075" t="s">
        <v>138</v>
      </c>
      <c r="D3" s="2075"/>
      <c r="E3" s="2075"/>
      <c r="F3" s="2075"/>
      <c r="G3" s="2075"/>
      <c r="H3" s="146"/>
      <c r="Y3" s="196"/>
      <c r="Z3" s="196"/>
      <c r="AA3" s="196"/>
      <c r="AB3" s="196"/>
      <c r="AC3" s="196"/>
      <c r="AD3" s="196"/>
      <c r="AE3" s="196"/>
      <c r="AF3" s="196"/>
      <c r="AG3" s="196"/>
      <c r="AH3" s="196"/>
      <c r="AI3" s="196"/>
      <c r="BM3" s="1454"/>
      <c r="BN3" s="1454"/>
      <c r="BO3" s="1526" t="s">
        <v>113</v>
      </c>
      <c r="BP3" s="1527">
        <f>SUM(BP6:BP7)</f>
        <v>0</v>
      </c>
      <c r="BQ3" s="1527">
        <f>SUM(BQ6:BQ7)</f>
        <v>0</v>
      </c>
      <c r="BR3" s="1527">
        <f>SUM(BR6:BR7)</f>
        <v>0</v>
      </c>
      <c r="BS3" s="1527">
        <f>SUM(BS6:BS7)</f>
        <v>0</v>
      </c>
      <c r="BT3" s="1527">
        <f>SUM(BT6:BT7)</f>
        <v>0</v>
      </c>
    </row>
    <row r="4" spans="1:95">
      <c r="A4" s="147"/>
      <c r="B4" s="147"/>
      <c r="C4" s="65"/>
      <c r="D4" s="66"/>
      <c r="G4" s="57"/>
      <c r="K4" s="1208"/>
      <c r="L4" s="1209" t="s">
        <v>187</v>
      </c>
      <c r="M4" s="1210"/>
      <c r="N4" s="1208"/>
      <c r="O4" s="1211"/>
      <c r="P4" s="1209" t="s">
        <v>188</v>
      </c>
      <c r="Q4" s="1211"/>
      <c r="R4" s="1210"/>
      <c r="S4" s="1208"/>
      <c r="T4" s="1209" t="s">
        <v>189</v>
      </c>
      <c r="U4" s="1211"/>
      <c r="V4" s="1208"/>
      <c r="W4" s="1211"/>
      <c r="X4" s="1209" t="str">
        <f>PrevPerAdj_FO!X4</f>
        <v>FIFTH REG PERIOD</v>
      </c>
      <c r="Y4" s="1213"/>
      <c r="Z4" s="1210"/>
      <c r="AA4" s="1208"/>
      <c r="AB4" s="1211"/>
      <c r="AC4" s="1209" t="str">
        <f>PrevPerAdj_FO!AC4</f>
        <v>SIXTH REG PERIOD</v>
      </c>
      <c r="AD4" s="1211"/>
      <c r="AE4" s="1210"/>
      <c r="AF4" s="1287"/>
      <c r="AG4" s="721"/>
      <c r="AH4" s="1209" t="str">
        <f>PrevPerAdj_FO!AH4</f>
        <v>SEVENTH REG PERIOD</v>
      </c>
      <c r="AI4" s="721"/>
      <c r="AJ4" s="1207"/>
      <c r="AQ4" s="141"/>
      <c r="BM4" s="1454"/>
      <c r="BN4" s="1454"/>
      <c r="BO4" s="1528" t="s">
        <v>401</v>
      </c>
      <c r="BP4" s="1529">
        <f>SUMIFS(BP$69:BP$254,$BH$69:$BH$254,$BH$69,$BI$69:$BI$254,$BI$69)</f>
        <v>0</v>
      </c>
      <c r="BQ4" s="1529">
        <f>SUMIFS(BQ$69:BQ$254,$BH$69:$BH$254,$BH$69,$BI$69:$BI$254,$BI$69)</f>
        <v>0</v>
      </c>
      <c r="BR4" s="1529">
        <f>SUMIFS(BR$69:BR$254,$BH$69:$BH$254,$BH$69,$BI$69:$BI$254,$BI$69)</f>
        <v>0</v>
      </c>
      <c r="BS4" s="1529">
        <f>SUMIFS(BS$69:BS$254,$BH$69:$BH$254,$BH$69,$BI$69:$BI$254,$BI$69)</f>
        <v>0</v>
      </c>
      <c r="BT4" s="1529">
        <f>SUMIFS(BT$69:BT$254,$BH$69:$BH$254,$BH$69,$BI$69:$BI$254,$BI$69)</f>
        <v>0</v>
      </c>
    </row>
    <row r="5" spans="1:95">
      <c r="AQ5" s="77"/>
      <c r="BM5" s="1454"/>
      <c r="BN5" s="1454"/>
      <c r="BO5" s="1528" t="s">
        <v>402</v>
      </c>
      <c r="BP5" s="1529">
        <f>SUMIFS(BP$69:BP$254,$BH$69:$BH$254,$BH$69,$BI$69:$BI$254,$BI$135)</f>
        <v>0</v>
      </c>
      <c r="BQ5" s="1529">
        <f>SUMIFS(BQ$69:BQ$254,$BH$69:$BH$254,$BH$69,$BI$69:$BI$254,$BI$135)</f>
        <v>0</v>
      </c>
      <c r="BR5" s="1529">
        <f>SUMIFS(BR$69:BR$254,$BH$69:$BH$254,$BH$69,$BI$69:$BI$254,$BI$135)</f>
        <v>0</v>
      </c>
      <c r="BS5" s="1529">
        <f>SUMIFS(BS$69:BS$254,$BH$69:$BH$254,$BH$69,$BI$69:$BI$254,$BI$135)</f>
        <v>0</v>
      </c>
      <c r="BT5" s="1529">
        <f>SUMIFS(BT$69:BT$254,$BH$69:$BH$254,$BH$69,$BI$69:$BI$254,$BI$135)</f>
        <v>0</v>
      </c>
    </row>
    <row r="6" spans="1:95">
      <c r="C6" s="148"/>
      <c r="G6" s="149" t="s">
        <v>142</v>
      </c>
      <c r="K6" s="59">
        <v>2006</v>
      </c>
      <c r="L6" s="59">
        <v>2007</v>
      </c>
      <c r="M6" s="59">
        <v>2008</v>
      </c>
      <c r="N6" s="59">
        <v>2009</v>
      </c>
      <c r="O6" s="59">
        <v>2010</v>
      </c>
      <c r="P6" s="59">
        <v>2011</v>
      </c>
      <c r="Q6" s="59">
        <v>2012</v>
      </c>
      <c r="R6" s="59">
        <v>2013</v>
      </c>
      <c r="S6" s="59">
        <v>2014</v>
      </c>
      <c r="T6" s="59">
        <v>2015</v>
      </c>
      <c r="U6" s="59"/>
      <c r="V6" s="59"/>
      <c r="W6" s="59"/>
      <c r="X6" s="59"/>
      <c r="Y6" s="59"/>
      <c r="Z6" s="59"/>
      <c r="AA6" s="59"/>
      <c r="AB6" s="59"/>
      <c r="AC6" s="60"/>
      <c r="AD6" s="60"/>
      <c r="AE6" s="60"/>
      <c r="AF6" s="60"/>
      <c r="AG6" s="60"/>
      <c r="AH6" s="60"/>
      <c r="AI6" s="60"/>
      <c r="AJ6" s="60"/>
      <c r="BM6" s="1454"/>
      <c r="BN6" s="1454"/>
      <c r="BO6" s="1530" t="s">
        <v>829</v>
      </c>
      <c r="BP6" s="1531">
        <f>SUM(BP4:BP5)</f>
        <v>0</v>
      </c>
      <c r="BQ6" s="1531">
        <f>SUM(BQ4:BQ5)</f>
        <v>0</v>
      </c>
      <c r="BR6" s="1531">
        <f>SUM(BR4:BR5)</f>
        <v>0</v>
      </c>
      <c r="BS6" s="1531">
        <f>SUM(BS4:BS5)</f>
        <v>0</v>
      </c>
      <c r="BT6" s="1531">
        <f>SUM(BT4:BT5)</f>
        <v>0</v>
      </c>
      <c r="BU6" s="297">
        <f>SUMIFS(BU$69:BU$254,$BH$69:$BH$254,$BH$69,$BI$69:$BI$254,$BI$69)</f>
        <v>0</v>
      </c>
      <c r="BV6" s="297">
        <f>SUMIFS(BV$69:BV$254,$BH$69:$BH$254,$BH$69,$BI$69:$BI$254,$BI$69)</f>
        <v>0</v>
      </c>
      <c r="BW6" s="297">
        <f>SUMIFS(BW$69:BW$254,$BH$69:$BH$254,$BH$69,$BI$69:$BI$254,$BI$69)</f>
        <v>0</v>
      </c>
      <c r="BX6" s="297">
        <f>SUMIFS(BX$69:BX$254,$BH$69:$BH$254,$BH$69,$BI$69:$BI$254,$BI$69)</f>
        <v>0</v>
      </c>
      <c r="BY6" s="297">
        <f>SUMIFS(BY$69:BY$254,$BH$69:$BH$254,$BH$69,$BI$69:$BI$254,$BI$69)</f>
        <v>0</v>
      </c>
    </row>
    <row r="7" spans="1:95">
      <c r="A7" s="68"/>
      <c r="B7" s="68"/>
      <c r="C7" s="63" t="str">
        <f>Expenditure_Detail!$B$6</f>
        <v>$m, 01/01/26</v>
      </c>
      <c r="D7" s="68"/>
      <c r="E7" s="68"/>
      <c r="F7" s="68"/>
      <c r="G7" s="151" t="s">
        <v>143</v>
      </c>
      <c r="H7" s="68"/>
      <c r="I7" s="68"/>
      <c r="J7" s="68"/>
      <c r="K7" s="61" t="str">
        <f t="shared" ref="K7:R7" si="1">+CONCATENATE(K6-1,"-",RIGHT(K6,2))</f>
        <v>2005-06</v>
      </c>
      <c r="L7" s="61" t="str">
        <f t="shared" si="1"/>
        <v>2006-07</v>
      </c>
      <c r="M7" s="61" t="str">
        <f t="shared" si="1"/>
        <v>2007-08</v>
      </c>
      <c r="N7" s="61" t="str">
        <f t="shared" si="1"/>
        <v>2008-09</v>
      </c>
      <c r="O7" s="61" t="str">
        <f t="shared" si="1"/>
        <v>2009-10</v>
      </c>
      <c r="P7" s="61" t="str">
        <f t="shared" si="1"/>
        <v>2010-11</v>
      </c>
      <c r="Q7" s="61" t="str">
        <f t="shared" si="1"/>
        <v>2011-12</v>
      </c>
      <c r="R7" s="61" t="str">
        <f t="shared" si="1"/>
        <v>2012-13</v>
      </c>
      <c r="S7" s="61" t="str">
        <f>+CONCATENATE(S6-1,"-",RIGHT(S6,2))</f>
        <v>2013-14</v>
      </c>
      <c r="T7" s="61" t="str">
        <f>+CONCATENATE(T6-1,"-",RIGHT(T6,2))</f>
        <v>2014-15</v>
      </c>
      <c r="U7" s="61" t="str">
        <f>PrevPerAdj_FO!U7</f>
        <v>2020-21</v>
      </c>
      <c r="V7" s="61" t="str">
        <f>PrevPerAdj_FO!V7</f>
        <v>2021-22</v>
      </c>
      <c r="W7" s="61" t="str">
        <f>PrevPerAdj_FO!W7</f>
        <v>2022-23</v>
      </c>
      <c r="X7" s="61" t="str">
        <f>PrevPerAdj_FO!X7</f>
        <v>2023-24</v>
      </c>
      <c r="Y7" s="61" t="str">
        <f>PrevPerAdj_FO!Y7</f>
        <v>2024-25</v>
      </c>
      <c r="Z7" s="61" t="str">
        <f>PrevPerAdj_FO!Z7</f>
        <v>2025-26</v>
      </c>
      <c r="AA7" s="61" t="str">
        <f>PrevPerAdj_FO!AA7</f>
        <v>2026-27</v>
      </c>
      <c r="AB7" s="61" t="str">
        <f>PrevPerAdj_FO!AB7</f>
        <v>2027-28</v>
      </c>
      <c r="AC7" s="61" t="str">
        <f>PrevPerAdj_FO!AC7</f>
        <v>2028-29</v>
      </c>
      <c r="AD7" s="61" t="str">
        <f>PrevPerAdj_FO!AD7</f>
        <v>2029-30</v>
      </c>
      <c r="AE7" s="61" t="str">
        <f>PrevPerAdj_FO!AE7</f>
        <v>2030-31</v>
      </c>
      <c r="AF7" s="61" t="str">
        <f>PrevPerAdj_FO!AF7</f>
        <v>2031-32</v>
      </c>
      <c r="AG7" s="61" t="str">
        <f>PrevPerAdj_FO!AG7</f>
        <v>2032-33</v>
      </c>
      <c r="AH7" s="61" t="str">
        <f>PrevPerAdj_FO!AH7</f>
        <v>2033-34</v>
      </c>
      <c r="AI7" s="61" t="str">
        <f>PrevPerAdj_FO!AI7</f>
        <v>2034-35</v>
      </c>
      <c r="AJ7" s="61" t="str">
        <f>PrevPerAdj_FO!AJ7</f>
        <v>2035-36</v>
      </c>
      <c r="AK7" s="61"/>
      <c r="AN7" s="68"/>
      <c r="AO7" s="68"/>
      <c r="AP7" s="68"/>
      <c r="AQ7" s="68"/>
      <c r="BH7" s="68"/>
      <c r="BI7" s="68"/>
      <c r="BJ7" s="68"/>
      <c r="BM7" s="1454"/>
      <c r="BN7" s="1454"/>
      <c r="BO7" s="1530" t="s">
        <v>420</v>
      </c>
      <c r="BP7" s="1532">
        <f>SUMIFS(BP$69:BP$254,$BH$69:$BH$254,$BH$69,$BI$69:$BI$254,$BI$228)</f>
        <v>0</v>
      </c>
      <c r="BQ7" s="1532">
        <f t="shared" ref="BQ7:BY7" si="2">SUMIFS(BQ$69:BQ$254,$BH$69:$BH$254,$BH$69,$BI$69:$BI$254,$BI$228)</f>
        <v>0</v>
      </c>
      <c r="BR7" s="1532">
        <f t="shared" si="2"/>
        <v>0</v>
      </c>
      <c r="BS7" s="1532">
        <f t="shared" si="2"/>
        <v>0</v>
      </c>
      <c r="BT7" s="1532">
        <f t="shared" si="2"/>
        <v>0</v>
      </c>
      <c r="BU7" s="297">
        <f t="shared" si="2"/>
        <v>0</v>
      </c>
      <c r="BV7" s="297">
        <f t="shared" si="2"/>
        <v>0</v>
      </c>
      <c r="BW7" s="297">
        <f t="shared" si="2"/>
        <v>0</v>
      </c>
      <c r="BX7" s="297">
        <f t="shared" si="2"/>
        <v>0</v>
      </c>
      <c r="BY7" s="297">
        <f t="shared" si="2"/>
        <v>0</v>
      </c>
      <c r="CA7" s="68"/>
      <c r="CB7" s="68"/>
      <c r="CC7" s="68"/>
    </row>
    <row r="8" spans="1:95" ht="11.25" customHeight="1" thickBot="1">
      <c r="AQ8" s="603"/>
      <c r="BJ8" s="603"/>
      <c r="CC8" s="603"/>
    </row>
    <row r="9" spans="1:95">
      <c r="D9" s="152"/>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4"/>
      <c r="AQ9" s="603"/>
      <c r="BJ9" s="603"/>
      <c r="CC9" s="603"/>
    </row>
    <row r="10" spans="1:95">
      <c r="D10" s="155"/>
      <c r="E10" s="156" t="s">
        <v>830</v>
      </c>
      <c r="AK10" s="157"/>
      <c r="AQ10" s="603"/>
      <c r="BJ10" s="603"/>
      <c r="CC10" s="603"/>
    </row>
    <row r="11" spans="1:95">
      <c r="D11" s="155"/>
      <c r="AK11" s="157"/>
      <c r="AQ11" s="603"/>
      <c r="BJ11" s="603"/>
      <c r="CC11" s="603"/>
    </row>
    <row r="12" spans="1:95">
      <c r="D12" s="155"/>
      <c r="F12" s="506" t="s">
        <v>831</v>
      </c>
      <c r="J12" s="166"/>
      <c r="K12" s="468">
        <f t="shared" ref="K12:AF12" si="3">+K57</f>
        <v>0</v>
      </c>
      <c r="L12" s="468">
        <f t="shared" si="3"/>
        <v>0</v>
      </c>
      <c r="M12" s="468">
        <f t="shared" si="3"/>
        <v>0</v>
      </c>
      <c r="N12" s="468">
        <f t="shared" si="3"/>
        <v>0</v>
      </c>
      <c r="O12" s="468">
        <f t="shared" si="3"/>
        <v>0</v>
      </c>
      <c r="P12" s="468">
        <f t="shared" si="3"/>
        <v>0</v>
      </c>
      <c r="Q12" s="468">
        <f t="shared" si="3"/>
        <v>0</v>
      </c>
      <c r="R12" s="468">
        <f t="shared" si="3"/>
        <v>0</v>
      </c>
      <c r="S12" s="468">
        <f t="shared" si="3"/>
        <v>0</v>
      </c>
      <c r="T12" s="468">
        <f t="shared" si="3"/>
        <v>0</v>
      </c>
      <c r="U12" s="468">
        <f t="shared" si="3"/>
        <v>0</v>
      </c>
      <c r="V12" s="468">
        <f t="shared" si="3"/>
        <v>0</v>
      </c>
      <c r="W12" s="468">
        <f t="shared" si="3"/>
        <v>0</v>
      </c>
      <c r="X12" s="468">
        <f t="shared" si="3"/>
        <v>0</v>
      </c>
      <c r="Y12" s="468">
        <f t="shared" si="3"/>
        <v>0</v>
      </c>
      <c r="Z12" s="468">
        <f t="shared" si="3"/>
        <v>0</v>
      </c>
      <c r="AA12" s="468">
        <f t="shared" si="3"/>
        <v>0</v>
      </c>
      <c r="AB12" s="468">
        <f t="shared" si="3"/>
        <v>0</v>
      </c>
      <c r="AC12" s="468">
        <f t="shared" si="3"/>
        <v>0</v>
      </c>
      <c r="AD12" s="468">
        <f t="shared" si="3"/>
        <v>0</v>
      </c>
      <c r="AE12" s="468">
        <f t="shared" si="3"/>
        <v>0</v>
      </c>
      <c r="AF12" s="468">
        <f t="shared" si="3"/>
        <v>0</v>
      </c>
      <c r="AG12" s="468">
        <f>+AG57</f>
        <v>0</v>
      </c>
      <c r="AH12" s="468">
        <f>+AH57</f>
        <v>0</v>
      </c>
      <c r="AI12" s="468">
        <f>+AI57</f>
        <v>0</v>
      </c>
      <c r="AJ12" s="468">
        <f>+AJ57</f>
        <v>0</v>
      </c>
      <c r="AK12" s="157"/>
      <c r="AQ12" s="603"/>
      <c r="BJ12" s="603"/>
      <c r="CC12" s="603"/>
      <c r="CN12" s="842"/>
      <c r="CO12" s="842"/>
      <c r="CP12" s="842"/>
      <c r="CQ12" s="842"/>
    </row>
    <row r="13" spans="1:95">
      <c r="D13" s="155"/>
      <c r="F13" s="448" t="s">
        <v>832</v>
      </c>
      <c r="J13" s="166"/>
      <c r="K13" s="468">
        <f>+SUMIF($E$69:$E$65543,$E$71,K$69:K$65543)</f>
        <v>0</v>
      </c>
      <c r="L13" s="468">
        <f t="shared" ref="L13:AJ13" si="4">+SUMIF($E$69:$E$65543,$E$71,L$69:L$65543)</f>
        <v>0</v>
      </c>
      <c r="M13" s="468">
        <f t="shared" si="4"/>
        <v>0</v>
      </c>
      <c r="N13" s="468">
        <f t="shared" si="4"/>
        <v>0</v>
      </c>
      <c r="O13" s="468">
        <f t="shared" si="4"/>
        <v>0</v>
      </c>
      <c r="P13" s="468">
        <f t="shared" si="4"/>
        <v>0</v>
      </c>
      <c r="Q13" s="468">
        <f t="shared" si="4"/>
        <v>0</v>
      </c>
      <c r="R13" s="468">
        <f t="shared" si="4"/>
        <v>0</v>
      </c>
      <c r="S13" s="468">
        <f t="shared" si="4"/>
        <v>0</v>
      </c>
      <c r="T13" s="468">
        <f t="shared" si="4"/>
        <v>0</v>
      </c>
      <c r="U13" s="468">
        <f t="shared" si="4"/>
        <v>0</v>
      </c>
      <c r="V13" s="468">
        <f t="shared" si="4"/>
        <v>0</v>
      </c>
      <c r="W13" s="468">
        <f t="shared" si="4"/>
        <v>0</v>
      </c>
      <c r="X13" s="468">
        <f t="shared" si="4"/>
        <v>0</v>
      </c>
      <c r="Y13" s="468">
        <f t="shared" si="4"/>
        <v>0</v>
      </c>
      <c r="Z13" s="468">
        <f t="shared" si="4"/>
        <v>0</v>
      </c>
      <c r="AA13" s="468">
        <f t="shared" si="4"/>
        <v>0</v>
      </c>
      <c r="AB13" s="468">
        <f t="shared" si="4"/>
        <v>0</v>
      </c>
      <c r="AC13" s="468">
        <f t="shared" si="4"/>
        <v>0</v>
      </c>
      <c r="AD13" s="468">
        <f t="shared" si="4"/>
        <v>0</v>
      </c>
      <c r="AE13" s="468">
        <f t="shared" si="4"/>
        <v>0</v>
      </c>
      <c r="AF13" s="468">
        <f t="shared" si="4"/>
        <v>0</v>
      </c>
      <c r="AG13" s="468">
        <f t="shared" si="4"/>
        <v>0</v>
      </c>
      <c r="AH13" s="468">
        <f t="shared" si="4"/>
        <v>0</v>
      </c>
      <c r="AI13" s="468">
        <f t="shared" si="4"/>
        <v>0</v>
      </c>
      <c r="AJ13" s="468">
        <f t="shared" si="4"/>
        <v>0</v>
      </c>
      <c r="AK13" s="157"/>
      <c r="AQ13" s="603"/>
      <c r="BJ13" s="603"/>
      <c r="CC13" s="603"/>
      <c r="CN13" s="842"/>
      <c r="CO13" s="842"/>
      <c r="CP13" s="842"/>
      <c r="CQ13" s="842"/>
    </row>
    <row r="14" spans="1:95">
      <c r="D14" s="155"/>
      <c r="F14" s="472" t="s">
        <v>833</v>
      </c>
      <c r="G14" s="89"/>
      <c r="H14" s="89"/>
      <c r="I14" s="89"/>
      <c r="J14" s="166"/>
      <c r="K14" s="517">
        <f t="shared" ref="K14:R14" si="5">+K12+K13</f>
        <v>0</v>
      </c>
      <c r="L14" s="517">
        <f t="shared" si="5"/>
        <v>0</v>
      </c>
      <c r="M14" s="517">
        <f t="shared" si="5"/>
        <v>0</v>
      </c>
      <c r="N14" s="517">
        <f t="shared" si="5"/>
        <v>0</v>
      </c>
      <c r="O14" s="517">
        <f t="shared" si="5"/>
        <v>0</v>
      </c>
      <c r="P14" s="517">
        <f t="shared" si="5"/>
        <v>0</v>
      </c>
      <c r="Q14" s="517">
        <f t="shared" si="5"/>
        <v>0</v>
      </c>
      <c r="R14" s="517">
        <f t="shared" si="5"/>
        <v>0</v>
      </c>
      <c r="S14" s="517">
        <f t="shared" ref="S14:X14" si="6">+S12+S13</f>
        <v>0</v>
      </c>
      <c r="T14" s="517">
        <f t="shared" si="6"/>
        <v>0</v>
      </c>
      <c r="U14" s="517">
        <f t="shared" si="6"/>
        <v>0</v>
      </c>
      <c r="V14" s="517">
        <f t="shared" si="6"/>
        <v>0</v>
      </c>
      <c r="W14" s="517">
        <f t="shared" si="6"/>
        <v>0</v>
      </c>
      <c r="X14" s="517">
        <f t="shared" si="6"/>
        <v>0</v>
      </c>
      <c r="Y14" s="517">
        <f t="shared" ref="Y14:AJ14" si="7">+Y12+Y13</f>
        <v>0</v>
      </c>
      <c r="Z14" s="517">
        <f t="shared" si="7"/>
        <v>0</v>
      </c>
      <c r="AA14" s="517">
        <f t="shared" si="7"/>
        <v>0</v>
      </c>
      <c r="AB14" s="517">
        <f t="shared" si="7"/>
        <v>0</v>
      </c>
      <c r="AC14" s="517">
        <f t="shared" si="7"/>
        <v>0</v>
      </c>
      <c r="AD14" s="517">
        <f t="shared" si="7"/>
        <v>0</v>
      </c>
      <c r="AE14" s="517">
        <f t="shared" si="7"/>
        <v>0</v>
      </c>
      <c r="AF14" s="517">
        <f t="shared" si="7"/>
        <v>0</v>
      </c>
      <c r="AG14" s="517">
        <f t="shared" si="7"/>
        <v>0</v>
      </c>
      <c r="AH14" s="517">
        <f t="shared" si="7"/>
        <v>0</v>
      </c>
      <c r="AI14" s="517">
        <f t="shared" si="7"/>
        <v>0</v>
      </c>
      <c r="AJ14" s="517">
        <f t="shared" si="7"/>
        <v>0</v>
      </c>
      <c r="AK14" s="157"/>
      <c r="AQ14" s="603"/>
      <c r="BJ14" s="603"/>
      <c r="CC14" s="603"/>
      <c r="CN14" s="842"/>
      <c r="CO14" s="842"/>
      <c r="CP14" s="842"/>
      <c r="CQ14" s="842"/>
    </row>
    <row r="15" spans="1:95">
      <c r="D15" s="155"/>
      <c r="F15" s="448" t="s">
        <v>834</v>
      </c>
      <c r="J15" s="166"/>
      <c r="K15" s="468">
        <f>+K59</f>
        <v>0</v>
      </c>
      <c r="L15" s="468">
        <f t="shared" ref="L15:R15" si="8">+L59</f>
        <v>0</v>
      </c>
      <c r="M15" s="468">
        <f t="shared" si="8"/>
        <v>0</v>
      </c>
      <c r="N15" s="468">
        <f t="shared" si="8"/>
        <v>0</v>
      </c>
      <c r="O15" s="468">
        <f t="shared" si="8"/>
        <v>0</v>
      </c>
      <c r="P15" s="468">
        <f t="shared" si="8"/>
        <v>0</v>
      </c>
      <c r="Q15" s="468">
        <f t="shared" si="8"/>
        <v>0</v>
      </c>
      <c r="R15" s="468">
        <f t="shared" si="8"/>
        <v>0</v>
      </c>
      <c r="S15" s="468">
        <f t="shared" ref="S15:X15" si="9">+S59</f>
        <v>0</v>
      </c>
      <c r="T15" s="468">
        <f t="shared" si="9"/>
        <v>0</v>
      </c>
      <c r="U15" s="468">
        <f t="shared" si="9"/>
        <v>0</v>
      </c>
      <c r="V15" s="468">
        <f t="shared" si="9"/>
        <v>0</v>
      </c>
      <c r="W15" s="468">
        <f t="shared" si="9"/>
        <v>0</v>
      </c>
      <c r="X15" s="468">
        <f t="shared" si="9"/>
        <v>0</v>
      </c>
      <c r="Y15" s="468">
        <f t="shared" ref="Y15:AJ15" si="10">+Y59</f>
        <v>0</v>
      </c>
      <c r="Z15" s="468">
        <f t="shared" si="10"/>
        <v>0</v>
      </c>
      <c r="AA15" s="468">
        <f t="shared" si="10"/>
        <v>0</v>
      </c>
      <c r="AB15" s="468">
        <f t="shared" si="10"/>
        <v>0</v>
      </c>
      <c r="AC15" s="468">
        <f t="shared" si="10"/>
        <v>0</v>
      </c>
      <c r="AD15" s="468">
        <f t="shared" si="10"/>
        <v>0</v>
      </c>
      <c r="AE15" s="468">
        <f t="shared" si="10"/>
        <v>0</v>
      </c>
      <c r="AF15" s="468">
        <f t="shared" si="10"/>
        <v>0</v>
      </c>
      <c r="AG15" s="468">
        <f t="shared" si="10"/>
        <v>0</v>
      </c>
      <c r="AH15" s="468">
        <f t="shared" si="10"/>
        <v>0</v>
      </c>
      <c r="AI15" s="468">
        <f t="shared" si="10"/>
        <v>0</v>
      </c>
      <c r="AJ15" s="468">
        <f t="shared" si="10"/>
        <v>0</v>
      </c>
      <c r="AK15" s="157"/>
      <c r="AQ15" s="603"/>
      <c r="BJ15" s="603"/>
      <c r="CC15" s="603"/>
      <c r="CN15" s="842"/>
      <c r="CO15" s="842"/>
      <c r="CP15" s="842"/>
      <c r="CQ15" s="842"/>
    </row>
    <row r="16" spans="1:95">
      <c r="D16" s="155"/>
      <c r="F16" s="448"/>
      <c r="J16" s="166"/>
      <c r="K16" s="468"/>
      <c r="L16" s="468"/>
      <c r="M16" s="468"/>
      <c r="N16" s="468"/>
      <c r="O16" s="468"/>
      <c r="P16" s="468"/>
      <c r="Q16" s="468"/>
      <c r="R16" s="468"/>
      <c r="S16" s="468"/>
      <c r="T16" s="468"/>
      <c r="U16" s="468"/>
      <c r="V16" s="468"/>
      <c r="W16" s="468"/>
      <c r="X16" s="166"/>
      <c r="Y16" s="166"/>
      <c r="Z16" s="468"/>
      <c r="AA16" s="468"/>
      <c r="AB16" s="468"/>
      <c r="AC16" s="468"/>
      <c r="AD16" s="468"/>
      <c r="AE16" s="468"/>
      <c r="AF16" s="468"/>
      <c r="AG16" s="468"/>
      <c r="AH16" s="468"/>
      <c r="AI16" s="468"/>
      <c r="AJ16" s="468"/>
      <c r="AK16" s="157"/>
      <c r="AQ16" s="603"/>
      <c r="BJ16" s="603"/>
      <c r="CC16" s="603"/>
      <c r="CN16" s="842"/>
      <c r="CO16" s="842"/>
      <c r="CP16" s="842"/>
      <c r="CQ16" s="842"/>
    </row>
    <row r="17" spans="4:95" ht="12.75" thickBot="1">
      <c r="D17" s="155"/>
      <c r="F17" s="472" t="s">
        <v>835</v>
      </c>
      <c r="J17" s="166"/>
      <c r="K17" s="518">
        <f>+K14-K15</f>
        <v>0</v>
      </c>
      <c r="L17" s="518">
        <f t="shared" ref="L17:R17" si="11">+L14-L15</f>
        <v>0</v>
      </c>
      <c r="M17" s="518">
        <f t="shared" si="11"/>
        <v>0</v>
      </c>
      <c r="N17" s="518">
        <f t="shared" si="11"/>
        <v>0</v>
      </c>
      <c r="O17" s="518">
        <f t="shared" si="11"/>
        <v>0</v>
      </c>
      <c r="P17" s="518">
        <f t="shared" si="11"/>
        <v>0</v>
      </c>
      <c r="Q17" s="518">
        <f t="shared" si="11"/>
        <v>0</v>
      </c>
      <c r="R17" s="518">
        <f t="shared" si="11"/>
        <v>0</v>
      </c>
      <c r="S17" s="518">
        <f t="shared" ref="S17:AF17" si="12">+S14-S15</f>
        <v>0</v>
      </c>
      <c r="T17" s="518">
        <f t="shared" si="12"/>
        <v>0</v>
      </c>
      <c r="U17" s="518">
        <f t="shared" si="12"/>
        <v>0</v>
      </c>
      <c r="V17" s="518">
        <f t="shared" si="12"/>
        <v>0</v>
      </c>
      <c r="W17" s="518">
        <f t="shared" si="12"/>
        <v>0</v>
      </c>
      <c r="X17" s="518">
        <f t="shared" si="12"/>
        <v>0</v>
      </c>
      <c r="Y17" s="518">
        <f t="shared" si="12"/>
        <v>0</v>
      </c>
      <c r="Z17" s="518">
        <f t="shared" si="12"/>
        <v>0</v>
      </c>
      <c r="AA17" s="518">
        <f t="shared" si="12"/>
        <v>0</v>
      </c>
      <c r="AB17" s="518">
        <f t="shared" si="12"/>
        <v>0</v>
      </c>
      <c r="AC17" s="518">
        <f t="shared" si="12"/>
        <v>0</v>
      </c>
      <c r="AD17" s="518">
        <f t="shared" si="12"/>
        <v>0</v>
      </c>
      <c r="AE17" s="518">
        <f t="shared" si="12"/>
        <v>0</v>
      </c>
      <c r="AF17" s="518">
        <f t="shared" si="12"/>
        <v>0</v>
      </c>
      <c r="AG17" s="518">
        <f>+AG14-AG15</f>
        <v>0</v>
      </c>
      <c r="AH17" s="518">
        <f>+AH14-AH15</f>
        <v>0</v>
      </c>
      <c r="AI17" s="518">
        <f>+AI14-AI15</f>
        <v>0</v>
      </c>
      <c r="AJ17" s="518">
        <f>+AJ14-AJ15</f>
        <v>0</v>
      </c>
      <c r="AK17" s="157"/>
      <c r="AQ17" s="603"/>
      <c r="BJ17" s="603"/>
      <c r="CC17" s="603"/>
      <c r="CN17" s="842"/>
      <c r="CO17" s="842"/>
      <c r="CP17" s="842"/>
      <c r="CQ17" s="842"/>
    </row>
    <row r="18" spans="4:95">
      <c r="D18" s="155"/>
      <c r="F18" s="519" t="s">
        <v>836</v>
      </c>
      <c r="G18" s="76"/>
      <c r="H18" s="76"/>
      <c r="I18" s="76"/>
      <c r="J18" s="1867"/>
      <c r="K18" s="520"/>
      <c r="L18" s="520"/>
      <c r="M18" s="520"/>
      <c r="N18" s="520"/>
      <c r="O18" s="520"/>
      <c r="P18" s="520"/>
      <c r="Q18" s="520"/>
      <c r="R18" s="520"/>
      <c r="S18" s="520"/>
      <c r="T18" s="520"/>
      <c r="U18" s="1866">
        <f>'Determination Lookup'!N10</f>
        <v>2046.2315172530705</v>
      </c>
      <c r="V18" s="1866">
        <f>'Determination Lookup'!O10</f>
        <v>1858.5664789427162</v>
      </c>
      <c r="W18" s="1866">
        <f>'Determination Lookup'!P10</f>
        <v>1893.0493600804243</v>
      </c>
      <c r="X18" s="1866">
        <f>'Determination Lookup'!Q10</f>
        <v>1925.145146714148</v>
      </c>
      <c r="Y18" s="1866">
        <f>'Determination Lookup'!R10</f>
        <v>1940.8329096597854</v>
      </c>
      <c r="Z18" s="1866">
        <f>'Determination Lookup'!S10</f>
        <v>1958.4335203749017</v>
      </c>
      <c r="AA18" s="468">
        <f ca="1">+'Rev&amp;RAV_FO'!AA23</f>
        <v>1929.643416118794</v>
      </c>
      <c r="AB18" s="468">
        <f ca="1">+'Rev&amp;RAV_FO'!AB23</f>
        <v>1983.0288928167606</v>
      </c>
      <c r="AC18" s="468">
        <f ca="1">+'Rev&amp;RAV_FO'!AC23</f>
        <v>2046.3168200095809</v>
      </c>
      <c r="AD18" s="468">
        <f ca="1">+'Rev&amp;RAV_FO'!AD23</f>
        <v>2066.00886448548</v>
      </c>
      <c r="AE18" s="468">
        <f ca="1">+'Rev&amp;RAV_FO'!AE23</f>
        <v>2107.3949994914656</v>
      </c>
      <c r="AF18" s="468">
        <f ca="1">+'Rev&amp;RAV_FO'!AF23</f>
        <v>2174.3164651308389</v>
      </c>
      <c r="AG18" s="468">
        <f ca="1">+'Rev&amp;RAV_FO'!AG23</f>
        <v>2253.6926450828537</v>
      </c>
      <c r="AH18" s="468">
        <f ca="1">+'Rev&amp;RAV_FO'!AH23</f>
        <v>2275.4042948123283</v>
      </c>
      <c r="AI18" s="468">
        <f ca="1">+'Rev&amp;RAV_FO'!AI23</f>
        <v>2312.3961382469506</v>
      </c>
      <c r="AJ18" s="468">
        <f ca="1">+'Rev&amp;RAV_FO'!AJ23</f>
        <v>2359.6732068373431</v>
      </c>
      <c r="AK18" s="157"/>
      <c r="AQ18" s="603"/>
      <c r="BJ18" s="603"/>
      <c r="CC18" s="603"/>
      <c r="CN18" s="842"/>
      <c r="CO18" s="842"/>
      <c r="CP18" s="842"/>
      <c r="CQ18" s="842"/>
    </row>
    <row r="19" spans="4:95">
      <c r="D19" s="155"/>
      <c r="F19" s="448"/>
      <c r="J19" s="166"/>
      <c r="K19" s="468"/>
      <c r="L19" s="468"/>
      <c r="M19" s="468"/>
      <c r="N19" s="468"/>
      <c r="O19" s="468"/>
      <c r="P19" s="468"/>
      <c r="Q19" s="468"/>
      <c r="R19" s="468"/>
      <c r="S19" s="468"/>
      <c r="T19" s="468"/>
      <c r="U19" s="468"/>
      <c r="V19" s="468"/>
      <c r="W19" s="468"/>
      <c r="X19" s="468"/>
      <c r="Y19" s="468"/>
      <c r="Z19" s="468"/>
      <c r="AA19" s="468"/>
      <c r="AB19" s="468"/>
      <c r="AC19" s="468"/>
      <c r="AD19" s="468"/>
      <c r="AE19" s="468"/>
      <c r="AF19" s="468"/>
      <c r="AG19" s="468"/>
      <c r="AH19" s="468"/>
      <c r="AI19" s="468"/>
      <c r="AJ19" s="468"/>
      <c r="AK19" s="157"/>
      <c r="AQ19" s="603"/>
      <c r="BJ19" s="603"/>
      <c r="CC19" s="603"/>
      <c r="CN19" s="842"/>
      <c r="CO19" s="842"/>
      <c r="CP19" s="842"/>
      <c r="CQ19" s="842"/>
    </row>
    <row r="20" spans="4:95">
      <c r="D20" s="155"/>
      <c r="F20" s="448" t="s">
        <v>837</v>
      </c>
      <c r="J20" s="166"/>
      <c r="K20" s="310">
        <f ca="1">+NotPres_FO!K12</f>
        <v>0</v>
      </c>
      <c r="L20" s="310">
        <f ca="1">+NotPres_FO!L12</f>
        <v>0</v>
      </c>
      <c r="M20" s="310">
        <f ca="1">+NotPres_FO!M12</f>
        <v>0</v>
      </c>
      <c r="N20" s="310">
        <f ca="1">+NotPres_FO!N12</f>
        <v>0</v>
      </c>
      <c r="O20" s="310">
        <f ca="1">+NotPres_FO!O12</f>
        <v>0</v>
      </c>
      <c r="P20" s="310">
        <f ca="1">+NotPres_FO!P12</f>
        <v>0</v>
      </c>
      <c r="Q20" s="310">
        <f ca="1">+NotPres_FO!Q12</f>
        <v>0</v>
      </c>
      <c r="R20" s="310">
        <f ca="1">+NotPres_FO!R12</f>
        <v>0</v>
      </c>
      <c r="S20" s="310">
        <f ca="1">+NotPres_FO!S12</f>
        <v>0</v>
      </c>
      <c r="T20" s="310">
        <f ca="1">+NotPres_FO!T12</f>
        <v>0</v>
      </c>
      <c r="U20" s="310">
        <f ca="1">+NotPres_FO!U12</f>
        <v>0</v>
      </c>
      <c r="V20" s="310">
        <f ca="1">+NotPres_FO!V12</f>
        <v>0</v>
      </c>
      <c r="W20" s="310">
        <f ca="1">+NotPres_FO!W12</f>
        <v>0</v>
      </c>
      <c r="X20" s="310">
        <f ca="1">+NotPres_FO!X12</f>
        <v>0</v>
      </c>
      <c r="Y20" s="310">
        <f ca="1">+NotPres_FO!Y12</f>
        <v>0</v>
      </c>
      <c r="Z20" s="310">
        <f ca="1">+NotPres_FO!Z12</f>
        <v>0</v>
      </c>
      <c r="AA20" s="310">
        <f ca="1">+NotPres_FO!AA12</f>
        <v>2.3657089827483646</v>
      </c>
      <c r="AB20" s="310">
        <f ca="1">+NotPres_FO!AB12</f>
        <v>2.2477324472947293</v>
      </c>
      <c r="AC20" s="310">
        <f ca="1">+NotPres_FO!AC12</f>
        <v>2.3655766499714597</v>
      </c>
      <c r="AD20" s="310">
        <f ca="1">+NotPres_FO!AD12</f>
        <v>2.7192139538564719</v>
      </c>
      <c r="AE20" s="310">
        <f ca="1">+NotPres_FO!AE12</f>
        <v>2.7191246845734236</v>
      </c>
      <c r="AF20" s="310">
        <f ca="1">+NotPres_FO!AF12</f>
        <v>2.3325306889931023</v>
      </c>
      <c r="AG20" s="310">
        <f ca="1">+NotPres_FO!AG12</f>
        <v>2.0638698456308719</v>
      </c>
      <c r="AH20" s="310">
        <f ca="1">+NotPres_FO!AH12</f>
        <v>2.0638698456308719</v>
      </c>
      <c r="AI20" s="310">
        <f ca="1">+NotPres_FO!AI12</f>
        <v>2.0638698456308719</v>
      </c>
      <c r="AJ20" s="310">
        <f ca="1">+NotPres_FO!AJ12</f>
        <v>2.0638698456308719</v>
      </c>
      <c r="AK20" s="157"/>
      <c r="AQ20" s="603"/>
      <c r="BJ20" s="603"/>
      <c r="CC20" s="603"/>
      <c r="CN20" s="842"/>
      <c r="CO20" s="842"/>
      <c r="CP20" s="842"/>
      <c r="CQ20" s="842"/>
    </row>
    <row r="21" spans="4:95">
      <c r="D21" s="155"/>
      <c r="F21" s="448"/>
      <c r="J21" s="166"/>
      <c r="K21" s="468"/>
      <c r="L21" s="468"/>
      <c r="M21" s="468"/>
      <c r="N21" s="468"/>
      <c r="O21" s="468"/>
      <c r="P21" s="468"/>
      <c r="Q21" s="468"/>
      <c r="R21" s="468"/>
      <c r="S21" s="468"/>
      <c r="T21" s="468"/>
      <c r="U21" s="468"/>
      <c r="V21" s="468"/>
      <c r="W21" s="468"/>
      <c r="X21" s="468"/>
      <c r="Y21" s="468"/>
      <c r="Z21" s="468"/>
      <c r="AA21" s="468"/>
      <c r="AB21" s="468"/>
      <c r="AC21" s="468"/>
      <c r="AD21" s="468"/>
      <c r="AE21" s="468"/>
      <c r="AF21" s="468"/>
      <c r="AG21" s="468"/>
      <c r="AH21" s="468"/>
      <c r="AI21" s="468"/>
      <c r="AJ21" s="468"/>
      <c r="AK21" s="157"/>
      <c r="AN21" s="67"/>
      <c r="AQ21" s="603"/>
      <c r="BJ21" s="603"/>
      <c r="CC21" s="603"/>
      <c r="CN21" s="842"/>
      <c r="CO21" s="842"/>
      <c r="CP21" s="842"/>
      <c r="CQ21" s="842"/>
    </row>
    <row r="22" spans="4:95" ht="12.75" thickBot="1">
      <c r="D22" s="155"/>
      <c r="F22" s="472" t="s">
        <v>838</v>
      </c>
      <c r="G22" s="89"/>
      <c r="H22" s="89"/>
      <c r="I22" s="89"/>
      <c r="J22" s="166"/>
      <c r="K22" s="518">
        <f t="shared" ref="K22:R22" ca="1" si="13">+K17+K20</f>
        <v>0</v>
      </c>
      <c r="L22" s="518">
        <f t="shared" ca="1" si="13"/>
        <v>0</v>
      </c>
      <c r="M22" s="518">
        <f t="shared" ca="1" si="13"/>
        <v>0</v>
      </c>
      <c r="N22" s="518">
        <f t="shared" ca="1" si="13"/>
        <v>0</v>
      </c>
      <c r="O22" s="518">
        <f t="shared" ca="1" si="13"/>
        <v>0</v>
      </c>
      <c r="P22" s="518">
        <f t="shared" ca="1" si="13"/>
        <v>0</v>
      </c>
      <c r="Q22" s="518">
        <f t="shared" ca="1" si="13"/>
        <v>0</v>
      </c>
      <c r="R22" s="518">
        <f t="shared" ca="1" si="13"/>
        <v>0</v>
      </c>
      <c r="S22" s="518">
        <f t="shared" ref="S22:AF22" ca="1" si="14">+S17+S20</f>
        <v>0</v>
      </c>
      <c r="T22" s="518">
        <f t="shared" ca="1" si="14"/>
        <v>0</v>
      </c>
      <c r="U22" s="518">
        <f t="shared" ca="1" si="14"/>
        <v>0</v>
      </c>
      <c r="V22" s="518">
        <f t="shared" ca="1" si="14"/>
        <v>0</v>
      </c>
      <c r="W22" s="518">
        <f t="shared" ca="1" si="14"/>
        <v>0</v>
      </c>
      <c r="X22" s="518">
        <f t="shared" ca="1" si="14"/>
        <v>0</v>
      </c>
      <c r="Y22" s="518">
        <f t="shared" ca="1" si="14"/>
        <v>0</v>
      </c>
      <c r="Z22" s="518">
        <f t="shared" ca="1" si="14"/>
        <v>0</v>
      </c>
      <c r="AA22" s="518">
        <f t="shared" ca="1" si="14"/>
        <v>2.3657089827483646</v>
      </c>
      <c r="AB22" s="518">
        <f t="shared" ca="1" si="14"/>
        <v>2.2477324472947293</v>
      </c>
      <c r="AC22" s="518">
        <f t="shared" ca="1" si="14"/>
        <v>2.3655766499714597</v>
      </c>
      <c r="AD22" s="518">
        <f t="shared" ca="1" si="14"/>
        <v>2.7192139538564719</v>
      </c>
      <c r="AE22" s="518">
        <f t="shared" ca="1" si="14"/>
        <v>2.7191246845734236</v>
      </c>
      <c r="AF22" s="518">
        <f t="shared" ca="1" si="14"/>
        <v>2.3325306889931023</v>
      </c>
      <c r="AG22" s="518">
        <f ca="1">+AG17+AG20</f>
        <v>2.0638698456308719</v>
      </c>
      <c r="AH22" s="518">
        <f ca="1">+AH17+AH20</f>
        <v>2.0638698456308719</v>
      </c>
      <c r="AI22" s="518">
        <f ca="1">+AI17+AI20</f>
        <v>2.0638698456308719</v>
      </c>
      <c r="AJ22" s="518">
        <f ca="1">+AJ17+AJ20</f>
        <v>2.0638698456308719</v>
      </c>
      <c r="AK22" s="157"/>
      <c r="AN22" s="67"/>
      <c r="AQ22" s="603"/>
      <c r="BJ22" s="603"/>
      <c r="CC22" s="603"/>
      <c r="CN22" s="842"/>
      <c r="CO22" s="842"/>
      <c r="CP22" s="842"/>
      <c r="CQ22" s="842"/>
    </row>
    <row r="23" spans="4:95">
      <c r="D23" s="155"/>
      <c r="F23" s="472"/>
      <c r="G23" s="89"/>
      <c r="H23" s="89"/>
      <c r="I23" s="89"/>
      <c r="J23" s="166"/>
      <c r="K23" s="166"/>
      <c r="L23" s="166"/>
      <c r="M23" s="166"/>
      <c r="N23" s="166"/>
      <c r="O23" s="166"/>
      <c r="P23" s="166"/>
      <c r="Q23" s="166"/>
      <c r="R23" s="166"/>
      <c r="S23" s="166"/>
      <c r="T23" s="166"/>
      <c r="U23" s="166"/>
      <c r="V23" s="166"/>
      <c r="W23" s="166"/>
      <c r="X23" s="166"/>
      <c r="Y23" s="166"/>
      <c r="Z23" s="166"/>
      <c r="AA23" s="166"/>
      <c r="AB23" s="166"/>
      <c r="AC23" s="166"/>
      <c r="AD23" s="166"/>
      <c r="AE23" s="166"/>
      <c r="AF23" s="166"/>
      <c r="AG23" s="166"/>
      <c r="AH23" s="166"/>
      <c r="AI23" s="166"/>
      <c r="AJ23" s="166"/>
      <c r="AK23" s="157"/>
      <c r="AN23" s="67"/>
      <c r="AQ23" s="603"/>
      <c r="BJ23" s="603"/>
      <c r="CC23" s="603"/>
    </row>
    <row r="24" spans="4:95" ht="12.75" thickBot="1">
      <c r="D24" s="167"/>
      <c r="E24" s="168"/>
      <c r="F24" s="168"/>
      <c r="G24" s="168"/>
      <c r="H24" s="168"/>
      <c r="I24" s="168"/>
      <c r="J24" s="168"/>
      <c r="K24" s="462"/>
      <c r="L24" s="462"/>
      <c r="M24" s="462"/>
      <c r="N24" s="462"/>
      <c r="O24" s="462"/>
      <c r="P24" s="462"/>
      <c r="Q24" s="462"/>
      <c r="R24" s="462"/>
      <c r="S24" s="462"/>
      <c r="T24" s="462"/>
      <c r="U24" s="462"/>
      <c r="V24" s="462"/>
      <c r="W24" s="462"/>
      <c r="X24" s="462"/>
      <c r="Y24" s="462"/>
      <c r="Z24" s="462"/>
      <c r="AA24" s="462"/>
      <c r="AB24" s="462"/>
      <c r="AC24" s="462"/>
      <c r="AD24" s="462"/>
      <c r="AE24" s="462"/>
      <c r="AF24" s="462"/>
      <c r="AG24" s="462"/>
      <c r="AH24" s="462"/>
      <c r="AI24" s="462"/>
      <c r="AJ24" s="462"/>
      <c r="AK24" s="170"/>
      <c r="AN24" s="67"/>
      <c r="AQ24" s="603"/>
      <c r="BJ24" s="603"/>
      <c r="CC24" s="603"/>
    </row>
    <row r="25" spans="4:95">
      <c r="D25" s="67"/>
      <c r="K25" s="521"/>
      <c r="L25" s="521"/>
      <c r="M25" s="521"/>
      <c r="N25" s="521"/>
      <c r="O25" s="521"/>
      <c r="P25" s="521"/>
      <c r="Q25" s="521"/>
      <c r="R25" s="521"/>
      <c r="S25" s="521"/>
      <c r="T25" s="521"/>
      <c r="U25" s="521"/>
      <c r="V25" s="521"/>
      <c r="W25" s="521"/>
      <c r="X25" s="521"/>
      <c r="Y25" s="521"/>
      <c r="Z25" s="521"/>
      <c r="AA25" s="521"/>
      <c r="AB25" s="521"/>
      <c r="AK25" s="67"/>
      <c r="AL25" s="67"/>
      <c r="AN25" s="67"/>
      <c r="AQ25" s="603"/>
      <c r="BJ25" s="603"/>
      <c r="CC25" s="603"/>
    </row>
    <row r="26" spans="4:95" ht="12.75" thickBot="1">
      <c r="K26" s="522"/>
      <c r="L26" s="522"/>
      <c r="M26" s="522"/>
      <c r="S26" s="522"/>
      <c r="T26" s="522"/>
      <c r="U26" s="522"/>
      <c r="V26" s="522"/>
      <c r="W26" s="522"/>
      <c r="X26" s="522"/>
      <c r="Y26" s="522"/>
      <c r="Z26" s="522"/>
      <c r="AA26" s="522"/>
      <c r="AB26" s="522"/>
      <c r="AH26" s="116"/>
      <c r="AI26" s="116"/>
      <c r="AJ26" s="116"/>
      <c r="AK26" s="67"/>
      <c r="AL26" s="67"/>
      <c r="AN26" s="67"/>
      <c r="AQ26" s="603"/>
      <c r="BJ26" s="603"/>
      <c r="CC26" s="603"/>
    </row>
    <row r="27" spans="4:95">
      <c r="D27" s="471"/>
      <c r="K27" s="116"/>
      <c r="M27" s="522"/>
      <c r="AA27" s="152"/>
      <c r="AB27" s="153"/>
      <c r="AC27" s="153"/>
      <c r="AD27" s="153"/>
      <c r="AE27" s="154"/>
      <c r="AF27" s="152"/>
      <c r="AG27" s="153"/>
      <c r="AH27" s="153"/>
      <c r="AI27" s="153"/>
      <c r="AJ27" s="154"/>
      <c r="AK27" s="67"/>
      <c r="AL27" s="67"/>
      <c r="AN27" s="67"/>
      <c r="AQ27" s="603"/>
      <c r="BJ27" s="603"/>
      <c r="CC27" s="603"/>
    </row>
    <row r="28" spans="4:95">
      <c r="D28" s="471"/>
      <c r="H28" s="415"/>
      <c r="I28" s="310"/>
      <c r="J28" s="310"/>
      <c r="K28" s="310"/>
      <c r="M28" s="522"/>
      <c r="AA28" s="525" t="str">
        <f>"Price control - "&amp;AC4</f>
        <v>Price control - SIXTH REG PERIOD</v>
      </c>
      <c r="AE28" s="157"/>
      <c r="AF28" s="525" t="str">
        <f>"Price control - "&amp;AH4</f>
        <v>Price control - SEVENTH REG PERIOD</v>
      </c>
      <c r="AJ28" s="157"/>
      <c r="AK28" s="67"/>
      <c r="AL28" s="67"/>
      <c r="AN28" s="67"/>
      <c r="AQ28" s="603"/>
      <c r="BJ28" s="603"/>
      <c r="CC28" s="603"/>
    </row>
    <row r="29" spans="4:95">
      <c r="D29" s="471"/>
      <c r="H29" s="310"/>
      <c r="I29" s="310"/>
      <c r="J29" s="310"/>
      <c r="K29" s="310"/>
      <c r="M29" s="522"/>
      <c r="AA29" s="155"/>
      <c r="AD29" s="911"/>
      <c r="AE29" s="526"/>
      <c r="AF29" s="155"/>
      <c r="AI29" s="911"/>
      <c r="AJ29" s="1312"/>
      <c r="AK29" s="67"/>
      <c r="AL29" s="67"/>
      <c r="AN29" s="67"/>
      <c r="AQ29" s="603"/>
      <c r="BJ29" s="603"/>
      <c r="CC29" s="603"/>
    </row>
    <row r="30" spans="4:95">
      <c r="D30" s="471"/>
      <c r="F30" s="89"/>
      <c r="G30" s="89"/>
      <c r="H30" s="117"/>
      <c r="I30" s="196"/>
      <c r="J30" s="196"/>
      <c r="K30" s="527"/>
      <c r="M30" s="522"/>
      <c r="AA30" s="528" t="s">
        <v>839</v>
      </c>
      <c r="AD30" s="529">
        <f>+NPV(RRR,AA17:AE17)*(1+RRR)^0.5</f>
        <v>0</v>
      </c>
      <c r="AE30" s="526"/>
      <c r="AF30" s="528" t="s">
        <v>839</v>
      </c>
      <c r="AI30" s="529">
        <f>+NPV(RRR,AF17:AJ17)*(1+RRR)^0.5</f>
        <v>0</v>
      </c>
      <c r="AJ30" s="526"/>
      <c r="AK30" s="67"/>
      <c r="AL30" s="67"/>
      <c r="AN30" s="67"/>
      <c r="AQ30" s="603"/>
      <c r="BJ30" s="603"/>
      <c r="CC30" s="603"/>
    </row>
    <row r="31" spans="4:95">
      <c r="D31" s="471"/>
      <c r="F31" s="89"/>
      <c r="G31" s="89"/>
      <c r="H31" s="89"/>
      <c r="K31" s="116"/>
      <c r="M31" s="522"/>
      <c r="AA31" s="528" t="s">
        <v>840</v>
      </c>
      <c r="AD31" s="529">
        <f ca="1">+NPV(RRR,AA18:AE18)*(1+RRR)^0.5</f>
        <v>9450.0697164412559</v>
      </c>
      <c r="AE31" s="526"/>
      <c r="AF31" s="528" t="s">
        <v>840</v>
      </c>
      <c r="AI31" s="529">
        <f ca="1">+NPV(RRR,AF18:AJ18)*(1+RRR)^0.5</f>
        <v>10611.08442661924</v>
      </c>
      <c r="AJ31" s="526"/>
      <c r="AK31" s="67"/>
      <c r="AL31" s="67"/>
      <c r="AN31" s="67"/>
      <c r="AQ31" s="603"/>
      <c r="BJ31" s="603"/>
      <c r="CC31" s="603"/>
    </row>
    <row r="32" spans="4:95">
      <c r="D32" s="471"/>
      <c r="F32" s="89"/>
      <c r="G32" s="89"/>
      <c r="H32" s="89"/>
      <c r="K32" s="116"/>
      <c r="M32" s="522"/>
      <c r="AA32" s="528" t="s">
        <v>841</v>
      </c>
      <c r="AC32" s="94"/>
      <c r="AD32" s="468">
        <f ca="1">+AD30-AD31</f>
        <v>-9450.0697164412559</v>
      </c>
      <c r="AE32" s="526"/>
      <c r="AF32" s="528" t="s">
        <v>841</v>
      </c>
      <c r="AH32" s="94"/>
      <c r="AI32" s="468">
        <f ca="1">+AI30-AI31</f>
        <v>-10611.08442661924</v>
      </c>
      <c r="AJ32" s="1313"/>
      <c r="AK32" s="67"/>
      <c r="AL32" s="67"/>
      <c r="AN32" s="67"/>
      <c r="AQ32" s="468"/>
      <c r="BJ32" s="468"/>
      <c r="CC32" s="468"/>
    </row>
    <row r="33" spans="3:81">
      <c r="D33" s="471"/>
      <c r="F33" s="89"/>
      <c r="G33" s="89"/>
      <c r="H33" s="89"/>
      <c r="K33" s="116"/>
      <c r="M33" s="522"/>
      <c r="AA33" s="155"/>
      <c r="AE33" s="526"/>
      <c r="AF33" s="155"/>
      <c r="AJ33" s="157"/>
      <c r="AK33" s="67"/>
      <c r="AL33" s="67"/>
      <c r="AN33" s="67"/>
    </row>
    <row r="34" spans="3:81">
      <c r="D34" s="471"/>
      <c r="F34" s="89"/>
      <c r="G34" s="89"/>
      <c r="H34" s="89"/>
      <c r="K34" s="464"/>
      <c r="L34" s="89"/>
      <c r="M34" s="522"/>
      <c r="AA34" s="155"/>
      <c r="AB34" s="2084" t="str">
        <f ca="1">IF(AD30+AD31=0,"",IF(AD30&lt;(AD31*0.99),"INSUFFICIENT REVENUE",IF(AD30&gt;(AD31*1.001),"BREACH","PRICE CONTROL OK")))</f>
        <v>INSUFFICIENT REVENUE</v>
      </c>
      <c r="AC34" s="2097"/>
      <c r="AD34" s="2098"/>
      <c r="AE34" s="526"/>
      <c r="AF34" s="155"/>
      <c r="AG34" s="2084" t="str">
        <f ca="1">IF(AI30+AI31=0,"",IF(AI30&lt;(AI31*0.99),"INSUFFICIENT REVENUE",IF(AI30&gt;(AI31*1.001),"BREACH","PRICE CONTROL OK")))</f>
        <v>INSUFFICIENT REVENUE</v>
      </c>
      <c r="AH34" s="2097"/>
      <c r="AI34" s="2098"/>
      <c r="AJ34" s="1312"/>
      <c r="AK34" s="67"/>
      <c r="AL34" s="67"/>
      <c r="AN34" s="67"/>
      <c r="AQ34" s="911"/>
      <c r="BJ34" s="911"/>
      <c r="CC34" s="911"/>
    </row>
    <row r="35" spans="3:81">
      <c r="D35" s="471"/>
      <c r="K35" s="116"/>
      <c r="M35" s="522"/>
      <c r="AA35" s="534"/>
      <c r="AD35" s="116"/>
      <c r="AE35" s="526"/>
      <c r="AF35" s="534"/>
      <c r="AI35" s="116"/>
      <c r="AJ35" s="526"/>
      <c r="AK35" s="67"/>
      <c r="AL35" s="67"/>
      <c r="AN35" s="67"/>
      <c r="BO35" s="487" t="s">
        <v>401</v>
      </c>
    </row>
    <row r="36" spans="3:81" ht="12.75" thickBot="1">
      <c r="D36" s="471"/>
      <c r="M36" s="522"/>
      <c r="AA36" s="535"/>
      <c r="AB36" s="168"/>
      <c r="AC36" s="168"/>
      <c r="AD36" s="462"/>
      <c r="AE36" s="536"/>
      <c r="AF36" s="535"/>
      <c r="AG36" s="168"/>
      <c r="AH36" s="168"/>
      <c r="AI36" s="462"/>
      <c r="AJ36" s="536"/>
      <c r="AK36" s="67"/>
      <c r="AL36" s="67"/>
      <c r="AN36" s="67"/>
      <c r="AQ36" s="531"/>
      <c r="BJ36" s="531"/>
      <c r="BO36" s="94" t="s">
        <v>842</v>
      </c>
      <c r="BP36" s="1532">
        <f>SUMIFS(BP$69:BP$254,$BH$69:$BH$254,$BH$69,$BI$69:$BI$254,$BI$69,$BJ$69:$BJ$254,$BJ$69)</f>
        <v>0</v>
      </c>
      <c r="BQ36" s="1532">
        <f>SUMIFS(BQ$69:BQ$254,$BH$69:$BH$254,$BH$69,$BI$69:$BI$254,$BI$69,$BJ$69:$BJ$254,$BJ$69)</f>
        <v>0</v>
      </c>
      <c r="BR36" s="1532">
        <f>SUMIFS(BR$69:BR$254,$BH$69:$BH$254,$BH$69,$BI$69:$BI$254,$BI$69,$BJ$69:$BJ$254,$BJ$69)</f>
        <v>0</v>
      </c>
      <c r="BS36" s="1532">
        <f>SUMIFS(BS$69:BS$254,$BH$69:$BH$254,$BH$69,$BI$69:$BI$254,$BI$69,$BJ$69:$BJ$254,$BJ$69)</f>
        <v>0</v>
      </c>
      <c r="BT36" s="1532">
        <f>SUMIFS(BT$69:BT$254,$BH$69:$BH$254,$BH$69,$BI$69:$BI$254,$BI$69,$BJ$69:$BJ$254,$BJ$69)</f>
        <v>0</v>
      </c>
      <c r="CC36" s="531"/>
    </row>
    <row r="37" spans="3:81">
      <c r="D37" s="471"/>
      <c r="M37" s="522"/>
      <c r="X37" s="538"/>
      <c r="AA37" s="116"/>
      <c r="AB37" s="116"/>
      <c r="AC37" s="538"/>
      <c r="AF37" s="116"/>
      <c r="AG37" s="116"/>
      <c r="AH37" s="116"/>
      <c r="AI37" s="116"/>
      <c r="AJ37" s="116"/>
      <c r="AK37" s="67"/>
      <c r="AL37" s="67"/>
      <c r="AN37" s="67"/>
      <c r="BO37" s="94" t="s">
        <v>843</v>
      </c>
      <c r="BP37" s="1532">
        <f>SUMIFS(BP$69:BP$254,$BH$69:$BH$254,$BH$69,$BI$69:$BI$254,$BI$69,$BJ$69:$BJ$254,$BJ$108)</f>
        <v>0</v>
      </c>
      <c r="BQ37" s="1532">
        <f>SUMIFS(BQ$69:BQ$254,$BH$69:$BH$254,$BH$69,$BI$69:$BI$254,$BI$69,$BJ$69:$BJ$254,$BJ$108)</f>
        <v>0</v>
      </c>
      <c r="BR37" s="1532">
        <f>SUMIFS(BR$69:BR$254,$BH$69:$BH$254,$BH$69,$BI$69:$BI$254,$BI$69,$BJ$69:$BJ$254,$BJ$108)</f>
        <v>0</v>
      </c>
      <c r="BS37" s="1532">
        <f>SUMIFS(BS$69:BS$254,$BH$69:$BH$254,$BH$69,$BI$69:$BI$254,$BI$69,$BJ$69:$BJ$254,$BJ$108)</f>
        <v>0</v>
      </c>
      <c r="BT37" s="1532">
        <f>SUMIFS(BT$69:BT$254,$BH$69:$BH$254,$BH$69,$BI$69:$BI$254,$BI$69,$BJ$69:$BJ$254,$BJ$108)</f>
        <v>0</v>
      </c>
    </row>
    <row r="38" spans="3:81">
      <c r="D38" s="471"/>
      <c r="M38" s="522"/>
      <c r="X38" s="538"/>
      <c r="AA38" s="116"/>
      <c r="AB38" s="116"/>
      <c r="AC38" s="538"/>
      <c r="AD38" s="1391"/>
      <c r="AF38" s="116"/>
      <c r="AG38" s="116"/>
      <c r="AH38" s="116"/>
      <c r="AI38" s="116"/>
      <c r="AJ38" s="116"/>
      <c r="AK38" s="67"/>
      <c r="AL38" s="67"/>
      <c r="AN38" s="67"/>
      <c r="BO38" s="94"/>
      <c r="BP38" s="1522">
        <f>SUM(BP36:BP37)-BP4</f>
        <v>0</v>
      </c>
      <c r="BQ38" s="1522">
        <f>SUM(BQ36:BQ37)-BQ4</f>
        <v>0</v>
      </c>
      <c r="BR38" s="1522">
        <f>SUM(BR36:BR37)-BR4</f>
        <v>0</v>
      </c>
      <c r="BS38" s="1522">
        <f>SUM(BS36:BS37)-BS4</f>
        <v>0</v>
      </c>
      <c r="BT38" s="1522">
        <f>SUM(BT36:BT37)-BT4</f>
        <v>0</v>
      </c>
    </row>
    <row r="39" spans="3:81">
      <c r="D39" s="471"/>
      <c r="M39" s="522"/>
      <c r="X39" s="538"/>
      <c r="AA39" s="487"/>
      <c r="AB39" s="116"/>
      <c r="AC39" s="538"/>
      <c r="AF39" s="116"/>
      <c r="AG39" s="116"/>
      <c r="AH39" s="116"/>
      <c r="AI39" s="116"/>
      <c r="AJ39" s="116"/>
      <c r="AK39" s="67"/>
      <c r="AL39" s="67"/>
      <c r="AN39" s="67"/>
      <c r="BO39" s="94"/>
    </row>
    <row r="40" spans="3:81">
      <c r="C40" s="537" t="s">
        <v>844</v>
      </c>
      <c r="M40" s="522"/>
      <c r="X40" s="538"/>
      <c r="AB40" s="487"/>
      <c r="AC40" s="487"/>
      <c r="AD40" s="487"/>
      <c r="AE40" s="487"/>
      <c r="AK40" s="67"/>
      <c r="AL40" s="67"/>
      <c r="AN40" s="67"/>
      <c r="BO40" s="487" t="s">
        <v>402</v>
      </c>
    </row>
    <row r="41" spans="3:81">
      <c r="AA41" s="116"/>
      <c r="AB41" s="116"/>
      <c r="AC41" s="116"/>
      <c r="AD41" s="116"/>
      <c r="AE41" s="116"/>
      <c r="AF41" s="116"/>
      <c r="AK41" s="67"/>
      <c r="AL41" s="67"/>
      <c r="AN41" s="67"/>
      <c r="BO41" s="94" t="s">
        <v>842</v>
      </c>
      <c r="BP41" s="1532">
        <f>SUMIFS(BP$69:BP$254,$BH$69:$BH$254,$BH$69,$BI$69:$BI$254,$BI$135,$BJ$69:$BJ$254,$BJ$69)</f>
        <v>0</v>
      </c>
      <c r="BQ41" s="1532">
        <f>SUMIFS(BQ$69:BQ$254,$BH$69:$BH$254,$BH$69,$BI$69:$BI$254,$BI$135,$BJ$69:$BJ$254,$BJ$69)</f>
        <v>0</v>
      </c>
      <c r="BR41" s="1532">
        <f>SUMIFS(BR$69:BR$254,$BH$69:$BH$254,$BH$69,$BI$69:$BI$254,$BI$135,$BJ$69:$BJ$254,$BJ$69)</f>
        <v>0</v>
      </c>
      <c r="BS41" s="1532">
        <f>SUMIFS(BS$69:BS$254,$BH$69:$BH$254,$BH$69,$BI$69:$BI$254,$BI$135,$BJ$69:$BJ$254,$BJ$69)</f>
        <v>0</v>
      </c>
      <c r="BT41" s="1532">
        <f>SUMIFS(BT$69:BT$254,$BH$69:$BH$254,$BH$69,$BI$69:$BI$254,$BI$135,$BJ$69:$BJ$254,$BJ$69)</f>
        <v>0</v>
      </c>
      <c r="BU41" s="842">
        <f>SUM(BU39:BU40)-BU4</f>
        <v>0</v>
      </c>
      <c r="BV41" s="842">
        <f>SUM(BV39:BV40)-BV4</f>
        <v>0</v>
      </c>
      <c r="BW41" s="842">
        <f>SUM(BW39:BW40)-BW4</f>
        <v>0</v>
      </c>
      <c r="BX41" s="842">
        <f>SUM(BX39:BX40)-BX4</f>
        <v>0</v>
      </c>
      <c r="BY41" s="842">
        <f>SUM(BY39:BY40)-BY4</f>
        <v>0</v>
      </c>
    </row>
    <row r="42" spans="3:81">
      <c r="E42" s="539" t="s">
        <v>831</v>
      </c>
      <c r="I42" s="63" t="str">
        <f>Expenditure_Detail!$B$6</f>
        <v>$m, 01/01/26</v>
      </c>
      <c r="K42" s="67"/>
      <c r="L42" s="67"/>
      <c r="M42" s="67"/>
      <c r="N42" s="67"/>
      <c r="O42" s="67"/>
      <c r="P42" s="67"/>
      <c r="Q42" s="67"/>
      <c r="AE42" s="1475"/>
      <c r="AK42" s="67"/>
      <c r="AL42" s="67"/>
      <c r="AN42" s="67"/>
      <c r="AO42" s="539"/>
      <c r="BH42" s="539"/>
      <c r="BO42" s="94" t="s">
        <v>843</v>
      </c>
      <c r="BP42" s="1532">
        <f>SUMIFS(BP$69:BP$254,$BH$69:$BH$254,$BH$69,$BI$69:$BI$254,$BI$135,$BJ$69:$BJ$254,$BJ$108)</f>
        <v>0</v>
      </c>
      <c r="BQ42" s="1532">
        <f>SUMIFS(BQ$69:BQ$254,$BH$69:$BH$254,$BH$69,$BI$69:$BI$254,$BI$135,$BJ$69:$BJ$254,$BJ$108)</f>
        <v>0</v>
      </c>
      <c r="BR42" s="1532">
        <f>SUMIFS(BR$69:BR$254,$BH$69:$BH$254,$BH$69,$BI$69:$BI$254,$BI$135,$BJ$69:$BJ$254,$BJ$108)</f>
        <v>0</v>
      </c>
      <c r="BS42" s="1532">
        <f>SUMIFS(BS$69:BS$254,$BH$69:$BH$254,$BH$69,$BI$69:$BI$254,$BI$135,$BJ$69:$BJ$254,$BJ$108)</f>
        <v>0</v>
      </c>
      <c r="BT42" s="1532">
        <f>SUMIFS(BT$69:BT$254,$BH$69:$BH$254,$BH$69,$BI$69:$BI$254,$BI$135,$BJ$69:$BJ$254,$BJ$108)</f>
        <v>0</v>
      </c>
      <c r="CA42" s="539"/>
    </row>
    <row r="43" spans="3:81">
      <c r="K43" s="67"/>
      <c r="L43" s="67"/>
      <c r="M43" s="67"/>
      <c r="N43" s="67"/>
      <c r="O43" s="67"/>
      <c r="P43" s="67"/>
      <c r="Q43" s="67"/>
      <c r="AK43" s="67"/>
      <c r="AL43" s="67"/>
      <c r="AN43" s="67"/>
      <c r="BO43" s="94"/>
      <c r="BP43" s="1522">
        <f>SUM(BP41:BP42)-BP5</f>
        <v>0</v>
      </c>
      <c r="BQ43" s="1522">
        <f>SUM(BQ41:BQ42)-BQ5</f>
        <v>0</v>
      </c>
      <c r="BR43" s="1522">
        <f>SUM(BR41:BR42)-BR5</f>
        <v>0</v>
      </c>
      <c r="BS43" s="1522">
        <f>SUM(BS41:BS42)-BS5</f>
        <v>0</v>
      </c>
      <c r="BT43" s="1522">
        <f>SUM(BT41:BT42)-BT5</f>
        <v>0</v>
      </c>
    </row>
    <row r="44" spans="3:81">
      <c r="F44" s="540" t="s">
        <v>845</v>
      </c>
      <c r="K44" s="67"/>
      <c r="L44" s="67"/>
      <c r="M44" s="67"/>
      <c r="N44" s="67"/>
      <c r="O44" s="67"/>
      <c r="P44" s="67"/>
      <c r="Q44" s="67"/>
      <c r="R44" s="67"/>
      <c r="S44" s="196"/>
      <c r="AK44" s="67"/>
      <c r="AL44" s="67"/>
      <c r="AN44" s="67"/>
      <c r="AP44" s="540"/>
      <c r="BI44" s="540"/>
      <c r="BO44" s="94"/>
      <c r="BU44" s="1522">
        <f>SUM(BU42:BU43)-BU5</f>
        <v>0</v>
      </c>
      <c r="BV44" s="1522">
        <f>SUM(BV42:BV43)-BV5</f>
        <v>0</v>
      </c>
      <c r="BW44" s="1522">
        <f>SUM(BW42:BW43)-BW5</f>
        <v>0</v>
      </c>
      <c r="BX44" s="1522">
        <f>SUM(BX42:BX43)-BX5</f>
        <v>0</v>
      </c>
      <c r="BY44" s="1522">
        <f>SUM(BY42:BY43)-BY5</f>
        <v>0</v>
      </c>
      <c r="CB44" s="540"/>
    </row>
    <row r="45" spans="3:81">
      <c r="F45" s="301" t="s">
        <v>846</v>
      </c>
      <c r="K45" s="302"/>
      <c r="L45" s="303"/>
      <c r="M45" s="303"/>
      <c r="N45" s="1314"/>
      <c r="O45" s="627"/>
      <c r="P45" s="627"/>
      <c r="Q45" s="627"/>
      <c r="R45" s="1317"/>
      <c r="S45" s="324"/>
      <c r="T45" s="325"/>
      <c r="U45" s="449"/>
      <c r="V45" s="324"/>
      <c r="W45" s="325"/>
      <c r="X45" s="325"/>
      <c r="Y45" s="325"/>
      <c r="Z45" s="326"/>
      <c r="AA45" s="324"/>
      <c r="AB45" s="325"/>
      <c r="AC45" s="325"/>
      <c r="AD45" s="325"/>
      <c r="AE45" s="326"/>
      <c r="AF45" s="324"/>
      <c r="AG45" s="325"/>
      <c r="AH45" s="325"/>
      <c r="AI45" s="325"/>
      <c r="AJ45" s="326"/>
      <c r="AK45" s="67"/>
      <c r="AL45" s="67"/>
      <c r="AN45" s="67"/>
      <c r="AP45" s="301"/>
      <c r="BI45" s="301"/>
      <c r="BO45" s="487" t="s">
        <v>847</v>
      </c>
      <c r="CB45" s="301"/>
    </row>
    <row r="46" spans="3:81">
      <c r="F46" s="301" t="s">
        <v>848</v>
      </c>
      <c r="K46" s="304"/>
      <c r="L46" s="270"/>
      <c r="M46" s="270"/>
      <c r="N46" s="1315"/>
      <c r="O46" s="296"/>
      <c r="P46" s="296"/>
      <c r="Q46" s="296"/>
      <c r="R46" s="1318"/>
      <c r="S46" s="327"/>
      <c r="T46" s="328"/>
      <c r="U46" s="450"/>
      <c r="V46" s="327"/>
      <c r="W46" s="328"/>
      <c r="X46" s="328"/>
      <c r="Y46" s="328"/>
      <c r="Z46" s="329"/>
      <c r="AA46" s="327"/>
      <c r="AB46" s="328"/>
      <c r="AC46" s="328"/>
      <c r="AD46" s="328"/>
      <c r="AE46" s="329"/>
      <c r="AF46" s="327"/>
      <c r="AG46" s="328"/>
      <c r="AH46" s="328"/>
      <c r="AI46" s="328"/>
      <c r="AJ46" s="329"/>
      <c r="AK46" s="67"/>
      <c r="AL46" s="67"/>
      <c r="AN46" s="67"/>
      <c r="AP46" s="301"/>
      <c r="BI46" s="301"/>
      <c r="BO46" s="94" t="s">
        <v>842</v>
      </c>
      <c r="BP46" s="1531">
        <f t="shared" ref="BP46:BT47" si="15">BP36+BP41</f>
        <v>0</v>
      </c>
      <c r="BQ46" s="1531">
        <f t="shared" si="15"/>
        <v>0</v>
      </c>
      <c r="BR46" s="1531">
        <f t="shared" si="15"/>
        <v>0</v>
      </c>
      <c r="BS46" s="1531">
        <f t="shared" si="15"/>
        <v>0</v>
      </c>
      <c r="BT46" s="1531">
        <f t="shared" si="15"/>
        <v>0</v>
      </c>
      <c r="CB46" s="301"/>
    </row>
    <row r="47" spans="3:81">
      <c r="F47" s="301" t="s">
        <v>849</v>
      </c>
      <c r="K47" s="304"/>
      <c r="L47" s="270"/>
      <c r="M47" s="270"/>
      <c r="N47" s="1315"/>
      <c r="O47" s="296"/>
      <c r="P47" s="296"/>
      <c r="Q47" s="296"/>
      <c r="R47" s="1318"/>
      <c r="S47" s="327"/>
      <c r="T47" s="328"/>
      <c r="U47" s="450"/>
      <c r="V47" s="327"/>
      <c r="W47" s="328"/>
      <c r="X47" s="328"/>
      <c r="Y47" s="328"/>
      <c r="Z47" s="329"/>
      <c r="AA47" s="327"/>
      <c r="AB47" s="328"/>
      <c r="AC47" s="328"/>
      <c r="AD47" s="328"/>
      <c r="AE47" s="329"/>
      <c r="AF47" s="327"/>
      <c r="AG47" s="328"/>
      <c r="AH47" s="328"/>
      <c r="AI47" s="328"/>
      <c r="AJ47" s="329"/>
      <c r="AK47" s="67"/>
      <c r="AL47" s="67"/>
      <c r="AN47" s="67"/>
      <c r="BO47" s="94" t="s">
        <v>843</v>
      </c>
      <c r="BP47" s="1531">
        <f t="shared" si="15"/>
        <v>0</v>
      </c>
      <c r="BQ47" s="1531">
        <f t="shared" si="15"/>
        <v>0</v>
      </c>
      <c r="BR47" s="1531">
        <f t="shared" si="15"/>
        <v>0</v>
      </c>
      <c r="BS47" s="1531">
        <f t="shared" si="15"/>
        <v>0</v>
      </c>
      <c r="BT47" s="1531">
        <f t="shared" si="15"/>
        <v>0</v>
      </c>
      <c r="CB47" s="301"/>
    </row>
    <row r="48" spans="3:81">
      <c r="F48" s="301" t="s">
        <v>850</v>
      </c>
      <c r="K48" s="305"/>
      <c r="L48" s="306"/>
      <c r="M48" s="306"/>
      <c r="N48" s="1316"/>
      <c r="O48" s="629"/>
      <c r="P48" s="629"/>
      <c r="Q48" s="629"/>
      <c r="R48" s="1319"/>
      <c r="S48" s="330"/>
      <c r="T48" s="331"/>
      <c r="U48" s="451"/>
      <c r="V48" s="330"/>
      <c r="W48" s="331"/>
      <c r="X48" s="331"/>
      <c r="Y48" s="331"/>
      <c r="Z48" s="332"/>
      <c r="AA48" s="330"/>
      <c r="AB48" s="331"/>
      <c r="AC48" s="331"/>
      <c r="AD48" s="331"/>
      <c r="AE48" s="332"/>
      <c r="AF48" s="330"/>
      <c r="AG48" s="331"/>
      <c r="AH48" s="331"/>
      <c r="AI48" s="331"/>
      <c r="AJ48" s="332"/>
      <c r="AK48" s="67"/>
      <c r="AL48" s="67"/>
      <c r="AN48" s="67"/>
      <c r="BO48" s="94"/>
      <c r="BP48" s="1522">
        <f>SUM(BP46:BP47)-BP6</f>
        <v>0</v>
      </c>
      <c r="BQ48" s="1522">
        <f>SUM(BQ46:BQ47)-BQ6</f>
        <v>0</v>
      </c>
      <c r="BR48" s="1522">
        <f>SUM(BR46:BR47)-BR6</f>
        <v>0</v>
      </c>
      <c r="BS48" s="1522">
        <f>SUM(BS46:BS47)-BS6</f>
        <v>0</v>
      </c>
      <c r="BT48" s="1522">
        <f>SUM(BT46:BT47)-BT6</f>
        <v>0</v>
      </c>
      <c r="CB48" s="301"/>
    </row>
    <row r="49" spans="5:89">
      <c r="F49" s="540" t="str">
        <f>+CONCATENATE("Total ",F44)</f>
        <v>Total Contract revenue</v>
      </c>
      <c r="K49" s="270">
        <f>+SUM(K45:K48)</f>
        <v>0</v>
      </c>
      <c r="L49" s="270">
        <f t="shared" ref="L49:R49" si="16">+SUM(L45:L48)</f>
        <v>0</v>
      </c>
      <c r="M49" s="270">
        <f t="shared" si="16"/>
        <v>0</v>
      </c>
      <c r="N49" s="431">
        <f t="shared" si="16"/>
        <v>0</v>
      </c>
      <c r="O49" s="431">
        <f t="shared" si="16"/>
        <v>0</v>
      </c>
      <c r="P49" s="431">
        <f t="shared" si="16"/>
        <v>0</v>
      </c>
      <c r="Q49" s="431">
        <f t="shared" si="16"/>
        <v>0</v>
      </c>
      <c r="R49" s="303">
        <f t="shared" si="16"/>
        <v>0</v>
      </c>
      <c r="S49" s="431">
        <f t="shared" ref="S49:AJ49" si="17">+SUM(S45:S48)</f>
        <v>0</v>
      </c>
      <c r="T49" s="431">
        <f t="shared" si="17"/>
        <v>0</v>
      </c>
      <c r="U49" s="431">
        <f t="shared" si="17"/>
        <v>0</v>
      </c>
      <c r="V49" s="431">
        <f t="shared" si="17"/>
        <v>0</v>
      </c>
      <c r="W49" s="431">
        <f t="shared" si="17"/>
        <v>0</v>
      </c>
      <c r="X49" s="300">
        <f t="shared" si="17"/>
        <v>0</v>
      </c>
      <c r="Y49" s="300">
        <f t="shared" si="17"/>
        <v>0</v>
      </c>
      <c r="Z49" s="300">
        <f t="shared" si="17"/>
        <v>0</v>
      </c>
      <c r="AA49" s="300">
        <f t="shared" si="17"/>
        <v>0</v>
      </c>
      <c r="AB49" s="300">
        <f t="shared" si="17"/>
        <v>0</v>
      </c>
      <c r="AC49" s="300">
        <f t="shared" si="17"/>
        <v>0</v>
      </c>
      <c r="AD49" s="300">
        <f t="shared" si="17"/>
        <v>0</v>
      </c>
      <c r="AE49" s="300">
        <f t="shared" si="17"/>
        <v>0</v>
      </c>
      <c r="AF49" s="300">
        <f t="shared" si="17"/>
        <v>0</v>
      </c>
      <c r="AG49" s="300">
        <f>+SUM(AG45:AG48)</f>
        <v>0</v>
      </c>
      <c r="AH49" s="300">
        <f>+SUM(AH45:AH48)</f>
        <v>0</v>
      </c>
      <c r="AI49" s="300">
        <f>+SUM(AI45:AI48)</f>
        <v>0</v>
      </c>
      <c r="AJ49" s="300">
        <f t="shared" si="17"/>
        <v>0</v>
      </c>
      <c r="AK49" s="524"/>
      <c r="AL49" s="524"/>
      <c r="AN49" s="67"/>
      <c r="BO49" s="94"/>
      <c r="CB49" s="540"/>
    </row>
    <row r="50" spans="5:89">
      <c r="K50" s="111"/>
      <c r="L50" s="111"/>
      <c r="M50" s="111"/>
      <c r="N50" s="111"/>
      <c r="O50" s="111"/>
      <c r="P50" s="111"/>
      <c r="Q50" s="111"/>
      <c r="R50" s="111"/>
      <c r="S50" s="111"/>
      <c r="T50" s="111"/>
      <c r="U50" s="111"/>
      <c r="V50" s="111"/>
      <c r="W50" s="111"/>
      <c r="X50" s="116"/>
      <c r="Y50" s="116"/>
      <c r="Z50" s="116"/>
      <c r="AA50" s="116"/>
      <c r="AB50" s="116"/>
      <c r="AC50" s="116"/>
      <c r="AD50" s="116"/>
      <c r="AE50" s="116"/>
      <c r="AF50" s="116"/>
      <c r="AG50" s="116"/>
      <c r="AH50" s="116"/>
      <c r="AI50" s="116"/>
      <c r="AJ50" s="116"/>
      <c r="AK50" s="524"/>
      <c r="AL50" s="524"/>
      <c r="AN50" s="67"/>
      <c r="BO50" s="487" t="s">
        <v>420</v>
      </c>
    </row>
    <row r="51" spans="5:89">
      <c r="F51" s="540" t="s">
        <v>851</v>
      </c>
      <c r="K51" s="111"/>
      <c r="L51" s="111"/>
      <c r="M51" s="111"/>
      <c r="N51" s="111"/>
      <c r="O51" s="111"/>
      <c r="P51" s="111"/>
      <c r="Q51" s="111"/>
      <c r="R51" s="111"/>
      <c r="S51" s="111"/>
      <c r="T51" s="111"/>
      <c r="U51" s="111"/>
      <c r="V51" s="111"/>
      <c r="W51" s="111"/>
      <c r="X51" s="116"/>
      <c r="Y51" s="116"/>
      <c r="Z51" s="116"/>
      <c r="AA51" s="116"/>
      <c r="AB51" s="116"/>
      <c r="AC51" s="116"/>
      <c r="AD51" s="116"/>
      <c r="AE51" s="116"/>
      <c r="AF51" s="116"/>
      <c r="AG51" s="116"/>
      <c r="AH51" s="116"/>
      <c r="AI51" s="116"/>
      <c r="AJ51" s="116"/>
      <c r="AK51" s="524"/>
      <c r="AL51" s="524"/>
      <c r="AN51" s="67"/>
      <c r="AP51" s="540"/>
      <c r="BO51" s="94" t="s">
        <v>842</v>
      </c>
      <c r="BP51" s="1532">
        <f>SUMIFS(BP$69:BP$254,$BH$69:$BH$254,$BH$69,$BI$69:$BI$254,$BI$228,$BJ$69:$BJ$254,$BJ$69)</f>
        <v>0</v>
      </c>
      <c r="BQ51" s="1532">
        <f t="shared" ref="BQ51:BY51" si="18">SUMIFS(BQ$69:BQ$254,$BH$69:$BH$254,$BH$69,$BI$69:$BI$254,$BI$228,$BJ$69:$BJ$254,$BJ$69)</f>
        <v>0</v>
      </c>
      <c r="BR51" s="1532">
        <f t="shared" si="18"/>
        <v>0</v>
      </c>
      <c r="BS51" s="1532">
        <f t="shared" si="18"/>
        <v>0</v>
      </c>
      <c r="BT51" s="1532">
        <f t="shared" si="18"/>
        <v>0</v>
      </c>
      <c r="BU51" s="1532">
        <f t="shared" si="18"/>
        <v>0</v>
      </c>
      <c r="BV51" s="1532">
        <f t="shared" si="18"/>
        <v>0</v>
      </c>
      <c r="BW51" s="1532">
        <f t="shared" si="18"/>
        <v>0</v>
      </c>
      <c r="BX51" s="1532">
        <f t="shared" si="18"/>
        <v>0</v>
      </c>
      <c r="BY51" s="1532">
        <f t="shared" si="18"/>
        <v>0</v>
      </c>
      <c r="CB51" s="540"/>
    </row>
    <row r="52" spans="5:89">
      <c r="F52" s="301" t="s">
        <v>852</v>
      </c>
      <c r="K52" s="302"/>
      <c r="L52" s="303"/>
      <c r="M52" s="303"/>
      <c r="N52" s="1314"/>
      <c r="O52" s="627"/>
      <c r="P52" s="627"/>
      <c r="Q52" s="627"/>
      <c r="R52" s="1317"/>
      <c r="S52" s="324"/>
      <c r="T52" s="325"/>
      <c r="U52" s="449"/>
      <c r="V52" s="324"/>
      <c r="W52" s="325"/>
      <c r="X52" s="325"/>
      <c r="Y52" s="325"/>
      <c r="Z52" s="326"/>
      <c r="AA52" s="324"/>
      <c r="AB52" s="325"/>
      <c r="AC52" s="325"/>
      <c r="AD52" s="325"/>
      <c r="AE52" s="326"/>
      <c r="AF52" s="324"/>
      <c r="AG52" s="325"/>
      <c r="AH52" s="325"/>
      <c r="AI52" s="325"/>
      <c r="AJ52" s="326"/>
      <c r="AK52" s="524"/>
      <c r="AL52" s="524"/>
      <c r="AN52" s="67"/>
      <c r="BH52" s="487"/>
      <c r="BI52" s="487"/>
      <c r="BJ52" s="487"/>
      <c r="CB52" s="301"/>
    </row>
    <row r="53" spans="5:89" ht="12.75" thickBot="1">
      <c r="F53" s="301" t="s">
        <v>853</v>
      </c>
      <c r="K53" s="304"/>
      <c r="L53" s="270"/>
      <c r="M53" s="270"/>
      <c r="N53" s="1315"/>
      <c r="O53" s="296"/>
      <c r="P53" s="296"/>
      <c r="Q53" s="296"/>
      <c r="R53" s="1318"/>
      <c r="S53" s="327"/>
      <c r="T53" s="328"/>
      <c r="U53" s="450"/>
      <c r="V53" s="327"/>
      <c r="W53" s="328"/>
      <c r="X53" s="328"/>
      <c r="Y53" s="328"/>
      <c r="Z53" s="329"/>
      <c r="AA53" s="327"/>
      <c r="AB53" s="328"/>
      <c r="AC53" s="328"/>
      <c r="AD53" s="328"/>
      <c r="AE53" s="329"/>
      <c r="AF53" s="327"/>
      <c r="AG53" s="328"/>
      <c r="AH53" s="328"/>
      <c r="AI53" s="328"/>
      <c r="AJ53" s="329"/>
      <c r="AK53" s="524"/>
      <c r="AL53" s="524"/>
      <c r="AN53" s="67"/>
      <c r="BJ53" s="368"/>
      <c r="CB53" s="301"/>
    </row>
    <row r="54" spans="5:89" ht="12.75" thickBot="1">
      <c r="F54" s="301" t="s">
        <v>854</v>
      </c>
      <c r="K54" s="305"/>
      <c r="L54" s="306"/>
      <c r="M54" s="306"/>
      <c r="N54" s="1316"/>
      <c r="O54" s="629"/>
      <c r="P54" s="629"/>
      <c r="Q54" s="629"/>
      <c r="R54" s="1319"/>
      <c r="S54" s="330"/>
      <c r="T54" s="331"/>
      <c r="U54" s="451"/>
      <c r="V54" s="330"/>
      <c r="W54" s="331"/>
      <c r="X54" s="331"/>
      <c r="Y54" s="331"/>
      <c r="Z54" s="332"/>
      <c r="AA54" s="330"/>
      <c r="AB54" s="331"/>
      <c r="AC54" s="331"/>
      <c r="AD54" s="331"/>
      <c r="AE54" s="332"/>
      <c r="AF54" s="330"/>
      <c r="AG54" s="331"/>
      <c r="AH54" s="331"/>
      <c r="AI54" s="331"/>
      <c r="AJ54" s="332"/>
      <c r="AK54" s="524"/>
      <c r="AL54" s="524"/>
      <c r="AN54" s="67"/>
      <c r="AR54" s="2099" t="s">
        <v>855</v>
      </c>
      <c r="AS54" s="2100"/>
      <c r="AT54" s="2100"/>
      <c r="AU54" s="2100"/>
      <c r="AV54" s="2100"/>
      <c r="AW54" s="2100"/>
      <c r="AX54" s="2100"/>
      <c r="AY54" s="2100"/>
      <c r="AZ54" s="2100"/>
      <c r="BA54" s="2100"/>
      <c r="BB54" s="2100"/>
      <c r="BC54" s="2100"/>
      <c r="BD54" s="2100"/>
      <c r="BE54" s="2100"/>
      <c r="BF54" s="2101"/>
      <c r="BK54" s="2099" t="s">
        <v>856</v>
      </c>
      <c r="BL54" s="2100"/>
      <c r="BM54" s="2100"/>
      <c r="BN54" s="2100"/>
      <c r="BO54" s="2100"/>
      <c r="BP54" s="2100"/>
      <c r="BQ54" s="2100"/>
      <c r="BR54" s="2100"/>
      <c r="BS54" s="2100"/>
      <c r="BT54" s="2100"/>
      <c r="BU54" s="2100"/>
      <c r="BV54" s="2100"/>
      <c r="BW54" s="2100"/>
      <c r="BX54" s="2100"/>
      <c r="BY54" s="2101"/>
      <c r="CB54" s="301"/>
    </row>
    <row r="55" spans="5:89" ht="12.75" thickBot="1">
      <c r="F55" s="540" t="str">
        <f>+CONCATENATE("Total ",F51)</f>
        <v>Total Other non-scheduled tariff revenue</v>
      </c>
      <c r="K55" s="270">
        <f t="shared" ref="K55:R55" si="19">+SUM(K50:K54)</f>
        <v>0</v>
      </c>
      <c r="L55" s="270">
        <f t="shared" si="19"/>
        <v>0</v>
      </c>
      <c r="M55" s="270">
        <f t="shared" si="19"/>
        <v>0</v>
      </c>
      <c r="N55" s="270">
        <f t="shared" si="19"/>
        <v>0</v>
      </c>
      <c r="O55" s="270">
        <f t="shared" si="19"/>
        <v>0</v>
      </c>
      <c r="P55" s="270">
        <f t="shared" si="19"/>
        <v>0</v>
      </c>
      <c r="Q55" s="270">
        <f t="shared" si="19"/>
        <v>0</v>
      </c>
      <c r="R55" s="270">
        <f t="shared" si="19"/>
        <v>0</v>
      </c>
      <c r="S55" s="270">
        <f>+SUM(S52:S54)</f>
        <v>0</v>
      </c>
      <c r="T55" s="270">
        <f t="shared" ref="T55:AJ55" si="20">+SUM(T52:T54)</f>
        <v>0</v>
      </c>
      <c r="U55" s="270">
        <f t="shared" si="20"/>
        <v>0</v>
      </c>
      <c r="V55" s="270">
        <f t="shared" si="20"/>
        <v>0</v>
      </c>
      <c r="W55" s="270">
        <f t="shared" si="20"/>
        <v>0</v>
      </c>
      <c r="X55" s="270">
        <f t="shared" si="20"/>
        <v>0</v>
      </c>
      <c r="Y55" s="270">
        <f t="shared" si="20"/>
        <v>0</v>
      </c>
      <c r="Z55" s="270">
        <f t="shared" si="20"/>
        <v>0</v>
      </c>
      <c r="AA55" s="270">
        <f t="shared" si="20"/>
        <v>0</v>
      </c>
      <c r="AB55" s="270">
        <f t="shared" si="20"/>
        <v>0</v>
      </c>
      <c r="AC55" s="270">
        <f t="shared" si="20"/>
        <v>0</v>
      </c>
      <c r="AD55" s="270">
        <f t="shared" si="20"/>
        <v>0</v>
      </c>
      <c r="AE55" s="270">
        <f t="shared" si="20"/>
        <v>0</v>
      </c>
      <c r="AF55" s="270">
        <f t="shared" si="20"/>
        <v>0</v>
      </c>
      <c r="AG55" s="270">
        <f>+SUM(AG52:AG54)</f>
        <v>0</v>
      </c>
      <c r="AH55" s="270">
        <f>+SUM(AH52:AH54)</f>
        <v>0</v>
      </c>
      <c r="AI55" s="270">
        <f>+SUM(AI52:AI54)</f>
        <v>0</v>
      </c>
      <c r="AJ55" s="270">
        <f t="shared" si="20"/>
        <v>0</v>
      </c>
      <c r="AK55" s="524"/>
      <c r="AL55" s="524"/>
      <c r="AN55" s="67"/>
      <c r="AR55" s="2102" t="str">
        <f>$X$4</f>
        <v>FIFTH REG PERIOD</v>
      </c>
      <c r="AS55" s="2103"/>
      <c r="AT55" s="2103"/>
      <c r="AU55" s="2103"/>
      <c r="AV55" s="2104"/>
      <c r="AW55" s="2115" t="str">
        <f>$AC$4</f>
        <v>SIXTH REG PERIOD</v>
      </c>
      <c r="AX55" s="2103"/>
      <c r="AY55" s="2103"/>
      <c r="AZ55" s="2103"/>
      <c r="BA55" s="2104"/>
      <c r="BB55" s="2115" t="str">
        <f>$AH$4</f>
        <v>SEVENTH REG PERIOD</v>
      </c>
      <c r="BC55" s="2103"/>
      <c r="BD55" s="2103"/>
      <c r="BE55" s="2103"/>
      <c r="BF55" s="2108"/>
      <c r="BK55" s="2102" t="str">
        <f>AR55</f>
        <v>FIFTH REG PERIOD</v>
      </c>
      <c r="BL55" s="2103"/>
      <c r="BM55" s="2103"/>
      <c r="BN55" s="2103"/>
      <c r="BO55" s="2104"/>
      <c r="BP55" s="2102" t="str">
        <f>AW55</f>
        <v>SIXTH REG PERIOD</v>
      </c>
      <c r="BQ55" s="2103"/>
      <c r="BR55" s="2103"/>
      <c r="BS55" s="2103"/>
      <c r="BT55" s="2104"/>
      <c r="BU55" s="2102" t="str">
        <f>BB55</f>
        <v>SEVENTH REG PERIOD</v>
      </c>
      <c r="BV55" s="2103"/>
      <c r="BW55" s="2103"/>
      <c r="BX55" s="2103"/>
      <c r="BY55" s="2104"/>
      <c r="CB55" s="540"/>
    </row>
    <row r="56" spans="5:89" ht="12.75" thickBot="1">
      <c r="K56" s="111"/>
      <c r="L56" s="111"/>
      <c r="M56" s="111"/>
      <c r="N56" s="111"/>
      <c r="O56" s="111"/>
      <c r="P56" s="111"/>
      <c r="Q56" s="111"/>
      <c r="R56" s="111"/>
      <c r="S56" s="111"/>
      <c r="T56" s="111"/>
      <c r="U56" s="111"/>
      <c r="V56" s="111"/>
      <c r="W56" s="111"/>
      <c r="X56" s="116"/>
      <c r="Y56" s="116"/>
      <c r="Z56" s="116"/>
      <c r="AA56" s="116"/>
      <c r="AB56" s="116"/>
      <c r="AC56" s="116"/>
      <c r="AD56" s="116"/>
      <c r="AE56" s="116"/>
      <c r="AF56" s="116"/>
      <c r="AG56" s="116"/>
      <c r="AH56" s="116"/>
      <c r="AI56" s="116"/>
      <c r="AJ56" s="116"/>
      <c r="AK56" s="524"/>
      <c r="AL56" s="524"/>
      <c r="AN56" s="67"/>
      <c r="AO56" s="912" t="str">
        <f>AO68</f>
        <v>PQR</v>
      </c>
      <c r="AP56" s="913"/>
      <c r="AQ56" s="913"/>
      <c r="AR56" s="914" t="str">
        <f t="shared" ref="AR56:BF56" si="21">AR68</f>
        <v>2021-22</v>
      </c>
      <c r="AS56" s="915" t="str">
        <f t="shared" si="21"/>
        <v>2022-23</v>
      </c>
      <c r="AT56" s="915" t="str">
        <f t="shared" si="21"/>
        <v>2023-24</v>
      </c>
      <c r="AU56" s="915" t="str">
        <f t="shared" si="21"/>
        <v>2024-25</v>
      </c>
      <c r="AV56" s="916" t="str">
        <f t="shared" si="21"/>
        <v>2025-26</v>
      </c>
      <c r="AW56" s="943" t="str">
        <f t="shared" si="21"/>
        <v>2026-27</v>
      </c>
      <c r="AX56" s="915" t="str">
        <f t="shared" si="21"/>
        <v>2027-28</v>
      </c>
      <c r="AY56" s="915" t="str">
        <f t="shared" si="21"/>
        <v>2028-29</v>
      </c>
      <c r="AZ56" s="915" t="str">
        <f t="shared" si="21"/>
        <v>2029-30</v>
      </c>
      <c r="BA56" s="915" t="str">
        <f t="shared" si="21"/>
        <v>2030-31</v>
      </c>
      <c r="BB56" s="943" t="str">
        <f t="shared" si="21"/>
        <v>2031-32</v>
      </c>
      <c r="BC56" s="915" t="str">
        <f>BC68</f>
        <v>2032-33</v>
      </c>
      <c r="BD56" s="915" t="str">
        <f>BD68</f>
        <v>2033-34</v>
      </c>
      <c r="BE56" s="915" t="str">
        <f>BE68</f>
        <v>2034-35</v>
      </c>
      <c r="BF56" s="917" t="str">
        <f t="shared" si="21"/>
        <v>2035-36</v>
      </c>
      <c r="BH56" s="912" t="str">
        <f>BH68</f>
        <v>PQR</v>
      </c>
      <c r="BI56" s="913"/>
      <c r="BJ56" s="913"/>
      <c r="BK56" s="914" t="str">
        <f t="shared" ref="BK56:BY56" si="22">BK68</f>
        <v>2021-22</v>
      </c>
      <c r="BL56" s="915" t="str">
        <f t="shared" si="22"/>
        <v>2022-23</v>
      </c>
      <c r="BM56" s="915" t="str">
        <f t="shared" si="22"/>
        <v>2023-24</v>
      </c>
      <c r="BN56" s="915" t="str">
        <f t="shared" si="22"/>
        <v>2024-25</v>
      </c>
      <c r="BO56" s="915" t="str">
        <f t="shared" si="22"/>
        <v>2025-26</v>
      </c>
      <c r="BP56" s="943" t="str">
        <f t="shared" si="22"/>
        <v>2026-27</v>
      </c>
      <c r="BQ56" s="915" t="str">
        <f t="shared" si="22"/>
        <v>2027-28</v>
      </c>
      <c r="BR56" s="915" t="str">
        <f t="shared" si="22"/>
        <v>2028-29</v>
      </c>
      <c r="BS56" s="915" t="str">
        <f t="shared" si="22"/>
        <v>2029-30</v>
      </c>
      <c r="BT56" s="916" t="str">
        <f t="shared" si="22"/>
        <v>2030-31</v>
      </c>
      <c r="BU56" s="915" t="str">
        <f t="shared" si="22"/>
        <v>2031-32</v>
      </c>
      <c r="BV56" s="915" t="str">
        <f>BV68</f>
        <v>2032-33</v>
      </c>
      <c r="BW56" s="915" t="str">
        <f>BW68</f>
        <v>2033-34</v>
      </c>
      <c r="BX56" s="915" t="str">
        <f>BX68</f>
        <v>2034-35</v>
      </c>
      <c r="BY56" s="917" t="str">
        <f t="shared" si="22"/>
        <v>2035-36</v>
      </c>
    </row>
    <row r="57" spans="5:89">
      <c r="E57" s="539" t="str">
        <f>+CONCATENATE("Total ",E42)</f>
        <v>Total Non-scheduled tariff revenue</v>
      </c>
      <c r="K57" s="1320">
        <f t="shared" ref="K57:AJ57" si="23">+K49+K55</f>
        <v>0</v>
      </c>
      <c r="L57" s="1321">
        <f t="shared" si="23"/>
        <v>0</v>
      </c>
      <c r="M57" s="1321">
        <f t="shared" si="23"/>
        <v>0</v>
      </c>
      <c r="N57" s="1320">
        <f t="shared" si="23"/>
        <v>0</v>
      </c>
      <c r="O57" s="1321">
        <f t="shared" si="23"/>
        <v>0</v>
      </c>
      <c r="P57" s="1321">
        <f t="shared" si="23"/>
        <v>0</v>
      </c>
      <c r="Q57" s="1321">
        <f t="shared" si="23"/>
        <v>0</v>
      </c>
      <c r="R57" s="1322">
        <f t="shared" si="23"/>
        <v>0</v>
      </c>
      <c r="S57" s="1323">
        <f t="shared" si="23"/>
        <v>0</v>
      </c>
      <c r="T57" s="1324">
        <f t="shared" si="23"/>
        <v>0</v>
      </c>
      <c r="U57" s="1355">
        <f t="shared" si="23"/>
        <v>0</v>
      </c>
      <c r="V57" s="1323">
        <f t="shared" si="23"/>
        <v>0</v>
      </c>
      <c r="W57" s="1324">
        <f t="shared" si="23"/>
        <v>0</v>
      </c>
      <c r="X57" s="1324">
        <f t="shared" si="23"/>
        <v>0</v>
      </c>
      <c r="Y57" s="1324">
        <f t="shared" si="23"/>
        <v>0</v>
      </c>
      <c r="Z57" s="1322">
        <f t="shared" si="23"/>
        <v>0</v>
      </c>
      <c r="AA57" s="1323">
        <f t="shared" si="23"/>
        <v>0</v>
      </c>
      <c r="AB57" s="1324">
        <f t="shared" si="23"/>
        <v>0</v>
      </c>
      <c r="AC57" s="1324">
        <f t="shared" si="23"/>
        <v>0</v>
      </c>
      <c r="AD57" s="1324">
        <f t="shared" si="23"/>
        <v>0</v>
      </c>
      <c r="AE57" s="1322">
        <f t="shared" si="23"/>
        <v>0</v>
      </c>
      <c r="AF57" s="1323">
        <f t="shared" si="23"/>
        <v>0</v>
      </c>
      <c r="AG57" s="1324">
        <f t="shared" si="23"/>
        <v>0</v>
      </c>
      <c r="AH57" s="1324">
        <f t="shared" si="23"/>
        <v>0</v>
      </c>
      <c r="AI57" s="1324">
        <f t="shared" si="23"/>
        <v>0</v>
      </c>
      <c r="AJ57" s="1322">
        <f t="shared" si="23"/>
        <v>0</v>
      </c>
      <c r="AK57" s="524"/>
      <c r="AL57" s="524"/>
      <c r="AN57" s="67"/>
      <c r="AO57" s="918" t="s">
        <v>857</v>
      </c>
      <c r="AP57" s="919"/>
      <c r="AQ57" s="919"/>
      <c r="AR57" s="920" t="str">
        <f t="shared" ref="AR57:BF57" si="24">IFERROR(AVERAGEIF($AO$69:$AO$65549,$AO$69,AR$69:AR$65549),"-")</f>
        <v>-</v>
      </c>
      <c r="AS57" s="921" t="str">
        <f t="shared" si="24"/>
        <v>-</v>
      </c>
      <c r="AT57" s="921" t="str">
        <f t="shared" si="24"/>
        <v>-</v>
      </c>
      <c r="AU57" s="921" t="str">
        <f t="shared" si="24"/>
        <v>-</v>
      </c>
      <c r="AV57" s="922" t="str">
        <f t="shared" si="24"/>
        <v>-</v>
      </c>
      <c r="AW57" s="923" t="str">
        <f t="shared" si="24"/>
        <v>-</v>
      </c>
      <c r="AX57" s="921" t="str">
        <f t="shared" si="24"/>
        <v>-</v>
      </c>
      <c r="AY57" s="921" t="str">
        <f t="shared" si="24"/>
        <v>-</v>
      </c>
      <c r="AZ57" s="921" t="str">
        <f t="shared" si="24"/>
        <v>-</v>
      </c>
      <c r="BA57" s="921" t="str">
        <f t="shared" si="24"/>
        <v>-</v>
      </c>
      <c r="BB57" s="923" t="str">
        <f t="shared" si="24"/>
        <v>-</v>
      </c>
      <c r="BC57" s="921" t="str">
        <f t="shared" si="24"/>
        <v>-</v>
      </c>
      <c r="BD57" s="921" t="str">
        <f t="shared" si="24"/>
        <v>-</v>
      </c>
      <c r="BE57" s="921" t="str">
        <f t="shared" si="24"/>
        <v>-</v>
      </c>
      <c r="BF57" s="924" t="str">
        <f t="shared" si="24"/>
        <v>-</v>
      </c>
      <c r="BH57" s="918" t="s">
        <v>857</v>
      </c>
      <c r="BI57" s="919"/>
      <c r="BJ57" s="919"/>
      <c r="BK57" s="920">
        <f t="shared" ref="BK57:BY57" si="25">SUMIF($BH$69:$BH$65549,$BH$69,BK$69:BK$65549)</f>
        <v>0</v>
      </c>
      <c r="BL57" s="921">
        <f t="shared" si="25"/>
        <v>0</v>
      </c>
      <c r="BM57" s="921">
        <f t="shared" si="25"/>
        <v>0</v>
      </c>
      <c r="BN57" s="921">
        <f t="shared" si="25"/>
        <v>0</v>
      </c>
      <c r="BO57" s="921">
        <f t="shared" si="25"/>
        <v>0</v>
      </c>
      <c r="BP57" s="923">
        <f t="shared" si="25"/>
        <v>0</v>
      </c>
      <c r="BQ57" s="921">
        <f t="shared" si="25"/>
        <v>0</v>
      </c>
      <c r="BR57" s="921">
        <f t="shared" si="25"/>
        <v>0</v>
      </c>
      <c r="BS57" s="921">
        <f t="shared" si="25"/>
        <v>0</v>
      </c>
      <c r="BT57" s="922">
        <f t="shared" si="25"/>
        <v>0</v>
      </c>
      <c r="BU57" s="921">
        <f t="shared" si="25"/>
        <v>0</v>
      </c>
      <c r="BV57" s="921">
        <f t="shared" si="25"/>
        <v>0</v>
      </c>
      <c r="BW57" s="921">
        <f t="shared" si="25"/>
        <v>0</v>
      </c>
      <c r="BX57" s="921">
        <f t="shared" si="25"/>
        <v>0</v>
      </c>
      <c r="BY57" s="924">
        <f t="shared" si="25"/>
        <v>0</v>
      </c>
    </row>
    <row r="58" spans="5:89">
      <c r="K58" s="111"/>
      <c r="L58" s="111"/>
      <c r="M58" s="111"/>
      <c r="N58" s="111"/>
      <c r="O58" s="111"/>
      <c r="P58" s="111"/>
      <c r="Q58" s="111"/>
      <c r="R58" s="111"/>
      <c r="S58" s="111"/>
      <c r="T58" s="111"/>
      <c r="U58" s="111"/>
      <c r="V58" s="111"/>
      <c r="W58" s="111"/>
      <c r="X58" s="116"/>
      <c r="Y58" s="116"/>
      <c r="Z58" s="116"/>
      <c r="AA58" s="116"/>
      <c r="AB58" s="116"/>
      <c r="AC58" s="116"/>
      <c r="AD58" s="116"/>
      <c r="AE58" s="116"/>
      <c r="AF58" s="116"/>
      <c r="AG58" s="116"/>
      <c r="AH58" s="116"/>
      <c r="AI58" s="116"/>
      <c r="AJ58" s="116"/>
      <c r="AK58" s="67"/>
      <c r="AL58" s="67"/>
      <c r="AN58" s="67"/>
      <c r="AO58" s="925" t="s">
        <v>858</v>
      </c>
      <c r="AP58" s="926"/>
      <c r="AQ58" s="926"/>
      <c r="AR58" s="927" t="str">
        <f t="shared" ref="AR58:BF58" si="26">IFERROR(AVERAGEIF($AO$69:$AO$65549,$AO$70,AR$69:AR$65549),"-")</f>
        <v>-</v>
      </c>
      <c r="AS58" s="928" t="str">
        <f t="shared" si="26"/>
        <v>-</v>
      </c>
      <c r="AT58" s="928" t="str">
        <f t="shared" si="26"/>
        <v>-</v>
      </c>
      <c r="AU58" s="928" t="str">
        <f t="shared" si="26"/>
        <v>-</v>
      </c>
      <c r="AV58" s="929" t="str">
        <f t="shared" si="26"/>
        <v>-</v>
      </c>
      <c r="AW58" s="930" t="str">
        <f t="shared" si="26"/>
        <v>-</v>
      </c>
      <c r="AX58" s="928" t="str">
        <f t="shared" si="26"/>
        <v>-</v>
      </c>
      <c r="AY58" s="928" t="str">
        <f t="shared" si="26"/>
        <v>-</v>
      </c>
      <c r="AZ58" s="928" t="str">
        <f t="shared" si="26"/>
        <v>-</v>
      </c>
      <c r="BA58" s="928" t="str">
        <f t="shared" si="26"/>
        <v>-</v>
      </c>
      <c r="BB58" s="930" t="str">
        <f t="shared" si="26"/>
        <v>-</v>
      </c>
      <c r="BC58" s="928" t="str">
        <f t="shared" si="26"/>
        <v>-</v>
      </c>
      <c r="BD58" s="928" t="str">
        <f t="shared" si="26"/>
        <v>-</v>
      </c>
      <c r="BE58" s="928" t="str">
        <f t="shared" si="26"/>
        <v>-</v>
      </c>
      <c r="BF58" s="931" t="str">
        <f t="shared" si="26"/>
        <v>-</v>
      </c>
      <c r="BH58" s="925" t="s">
        <v>858</v>
      </c>
      <c r="BI58" s="926"/>
      <c r="BJ58" s="926"/>
      <c r="BK58" s="927">
        <f t="shared" ref="BK58:BY58" si="27">SUMIF($BH$69:$BH$65549,$BH$70,BK$69:BK$65549)</f>
        <v>0</v>
      </c>
      <c r="BL58" s="928">
        <f t="shared" si="27"/>
        <v>0</v>
      </c>
      <c r="BM58" s="928">
        <f t="shared" si="27"/>
        <v>0</v>
      </c>
      <c r="BN58" s="928">
        <f t="shared" si="27"/>
        <v>0</v>
      </c>
      <c r="BO58" s="928">
        <f t="shared" si="27"/>
        <v>0</v>
      </c>
      <c r="BP58" s="930">
        <f t="shared" si="27"/>
        <v>0</v>
      </c>
      <c r="BQ58" s="928">
        <f t="shared" si="27"/>
        <v>0</v>
      </c>
      <c r="BR58" s="928">
        <f t="shared" si="27"/>
        <v>0</v>
      </c>
      <c r="BS58" s="928">
        <f t="shared" si="27"/>
        <v>0</v>
      </c>
      <c r="BT58" s="929">
        <f t="shared" si="27"/>
        <v>0</v>
      </c>
      <c r="BU58" s="928">
        <f t="shared" si="27"/>
        <v>0</v>
      </c>
      <c r="BV58" s="928">
        <f t="shared" si="27"/>
        <v>0</v>
      </c>
      <c r="BW58" s="928">
        <f t="shared" si="27"/>
        <v>0</v>
      </c>
      <c r="BX58" s="928">
        <f t="shared" si="27"/>
        <v>0</v>
      </c>
      <c r="BY58" s="931">
        <f t="shared" si="27"/>
        <v>0</v>
      </c>
    </row>
    <row r="59" spans="5:89" ht="12.75" thickBot="1">
      <c r="E59" s="539" t="s">
        <v>834</v>
      </c>
      <c r="I59" s="63" t="str">
        <f>Expenditure_Detail!$B$6</f>
        <v>$m, 01/01/26</v>
      </c>
      <c r="K59" s="311"/>
      <c r="L59" s="312"/>
      <c r="M59" s="312"/>
      <c r="N59" s="1320"/>
      <c r="O59" s="1321"/>
      <c r="P59" s="1321"/>
      <c r="Q59" s="1321"/>
      <c r="R59" s="1322"/>
      <c r="S59" s="333"/>
      <c r="T59" s="334"/>
      <c r="U59" s="336"/>
      <c r="V59" s="333"/>
      <c r="W59" s="334"/>
      <c r="X59" s="334"/>
      <c r="Y59" s="334"/>
      <c r="Z59" s="335"/>
      <c r="AA59" s="333"/>
      <c r="AB59" s="334"/>
      <c r="AC59" s="334"/>
      <c r="AD59" s="334"/>
      <c r="AE59" s="335"/>
      <c r="AF59" s="333"/>
      <c r="AG59" s="334"/>
      <c r="AH59" s="334"/>
      <c r="AI59" s="334"/>
      <c r="AJ59" s="335"/>
      <c r="AK59" s="524"/>
      <c r="AL59" s="524"/>
      <c r="AN59" s="67"/>
      <c r="AO59" s="167" t="s">
        <v>859</v>
      </c>
      <c r="AP59" s="168"/>
      <c r="AQ59" s="168"/>
      <c r="AR59" s="932" t="str">
        <f t="shared" ref="AR59:BF59" si="28">IFERROR(AVERAGEIF($AO$69:$AO$65549,$AO$71,AR$69:AR$65549),"-")</f>
        <v>-</v>
      </c>
      <c r="AS59" s="933" t="str">
        <f t="shared" si="28"/>
        <v>-</v>
      </c>
      <c r="AT59" s="933" t="str">
        <f t="shared" si="28"/>
        <v>-</v>
      </c>
      <c r="AU59" s="933" t="str">
        <f t="shared" si="28"/>
        <v>-</v>
      </c>
      <c r="AV59" s="934" t="str">
        <f t="shared" si="28"/>
        <v>-</v>
      </c>
      <c r="AW59" s="935" t="str">
        <f t="shared" si="28"/>
        <v>-</v>
      </c>
      <c r="AX59" s="933" t="str">
        <f t="shared" si="28"/>
        <v>-</v>
      </c>
      <c r="AY59" s="933" t="str">
        <f t="shared" si="28"/>
        <v>-</v>
      </c>
      <c r="AZ59" s="933" t="str">
        <f t="shared" si="28"/>
        <v>-</v>
      </c>
      <c r="BA59" s="933" t="str">
        <f t="shared" si="28"/>
        <v>-</v>
      </c>
      <c r="BB59" s="935" t="str">
        <f t="shared" si="28"/>
        <v>-</v>
      </c>
      <c r="BC59" s="933" t="str">
        <f t="shared" si="28"/>
        <v>-</v>
      </c>
      <c r="BD59" s="933" t="str">
        <f t="shared" si="28"/>
        <v>-</v>
      </c>
      <c r="BE59" s="933" t="str">
        <f t="shared" si="28"/>
        <v>-</v>
      </c>
      <c r="BF59" s="936" t="str">
        <f t="shared" si="28"/>
        <v>-</v>
      </c>
      <c r="BH59" s="167" t="s">
        <v>859</v>
      </c>
      <c r="BI59" s="168"/>
      <c r="BJ59" s="168"/>
      <c r="BK59" s="932">
        <f t="shared" ref="BK59:BY59" si="29">SUMIF($BH$69:$BH$65549,$BH$71,BK$69:BK$65549)</f>
        <v>0</v>
      </c>
      <c r="BL59" s="933">
        <f t="shared" si="29"/>
        <v>0</v>
      </c>
      <c r="BM59" s="933">
        <f t="shared" si="29"/>
        <v>0</v>
      </c>
      <c r="BN59" s="933">
        <f t="shared" si="29"/>
        <v>0</v>
      </c>
      <c r="BO59" s="933">
        <f t="shared" si="29"/>
        <v>0</v>
      </c>
      <c r="BP59" s="935">
        <f t="shared" si="29"/>
        <v>0</v>
      </c>
      <c r="BQ59" s="933">
        <f t="shared" si="29"/>
        <v>0</v>
      </c>
      <c r="BR59" s="933">
        <f t="shared" si="29"/>
        <v>0</v>
      </c>
      <c r="BS59" s="933">
        <f t="shared" si="29"/>
        <v>0</v>
      </c>
      <c r="BT59" s="934">
        <f t="shared" si="29"/>
        <v>0</v>
      </c>
      <c r="BU59" s="933">
        <f t="shared" si="29"/>
        <v>0</v>
      </c>
      <c r="BV59" s="933">
        <f t="shared" si="29"/>
        <v>0</v>
      </c>
      <c r="BW59" s="933">
        <f t="shared" si="29"/>
        <v>0</v>
      </c>
      <c r="BX59" s="933">
        <f t="shared" si="29"/>
        <v>0</v>
      </c>
      <c r="BY59" s="936">
        <f t="shared" si="29"/>
        <v>0</v>
      </c>
    </row>
    <row r="60" spans="5:89">
      <c r="K60" s="67"/>
      <c r="L60" s="67"/>
      <c r="M60" s="67"/>
      <c r="N60" s="67"/>
      <c r="O60" s="67"/>
      <c r="P60" s="67"/>
      <c r="Q60" s="67"/>
      <c r="R60" s="67"/>
      <c r="S60" s="67"/>
      <c r="T60" s="67"/>
      <c r="U60" s="67"/>
      <c r="V60" s="67"/>
      <c r="W60" s="67"/>
      <c r="AA60" s="842"/>
      <c r="AB60" s="842"/>
      <c r="AC60" s="842"/>
      <c r="AD60" s="842"/>
      <c r="AE60" s="842"/>
      <c r="AK60" s="532"/>
      <c r="AL60" s="532"/>
      <c r="AN60" s="67"/>
      <c r="AO60" s="918" t="s">
        <v>860</v>
      </c>
      <c r="AP60" s="919"/>
      <c r="AQ60" s="919"/>
      <c r="AR60" s="920"/>
      <c r="AS60" s="921"/>
      <c r="AT60" s="921"/>
      <c r="AU60" s="921"/>
      <c r="AV60" s="922" t="str">
        <f>IFERROR(AVERAGE(AR57:AV57),"-")</f>
        <v>-</v>
      </c>
      <c r="AW60" s="923"/>
      <c r="AX60" s="921"/>
      <c r="AY60" s="921"/>
      <c r="AZ60" s="921"/>
      <c r="BA60" s="921" t="str">
        <f>IFERROR(AVERAGE(AW57:BA57),"-")</f>
        <v>-</v>
      </c>
      <c r="BB60" s="923"/>
      <c r="BC60" s="921"/>
      <c r="BD60" s="921"/>
      <c r="BE60" s="921"/>
      <c r="BF60" s="924" t="str">
        <f>IFERROR(AVERAGE(BB57:BF57),"-")</f>
        <v>-</v>
      </c>
      <c r="BH60" s="918" t="s">
        <v>861</v>
      </c>
      <c r="BI60" s="919"/>
      <c r="BJ60" s="919"/>
      <c r="BK60" s="920"/>
      <c r="BL60" s="921"/>
      <c r="BM60" s="921"/>
      <c r="BN60" s="921"/>
      <c r="BO60" s="921">
        <f>IFERROR(AVERAGE(BK57:BO57),"-")</f>
        <v>0</v>
      </c>
      <c r="BP60" s="923"/>
      <c r="BQ60" s="921"/>
      <c r="BR60" s="921"/>
      <c r="BS60" s="921"/>
      <c r="BT60" s="922">
        <f>IFERROR(AVERAGE(BP57:BT57),"-")</f>
        <v>0</v>
      </c>
      <c r="BU60" s="921"/>
      <c r="BV60" s="921"/>
      <c r="BW60" s="921"/>
      <c r="BX60" s="921"/>
      <c r="BY60" s="924">
        <f>IFERROR(AVERAGE(BU57:BY57),"-")</f>
        <v>0</v>
      </c>
    </row>
    <row r="61" spans="5:89">
      <c r="E61" s="541" t="s">
        <v>862</v>
      </c>
      <c r="F61" s="196"/>
      <c r="G61" s="196"/>
      <c r="I61" s="63" t="str">
        <f>Expenditure_Detail!$B$6</f>
        <v>$m, 01/01/26</v>
      </c>
      <c r="K61" s="88"/>
      <c r="L61" s="270"/>
      <c r="M61" s="270"/>
      <c r="N61" s="270"/>
      <c r="O61" s="270"/>
      <c r="P61" s="270"/>
      <c r="S61" s="297"/>
      <c r="T61" s="297"/>
      <c r="X61" s="1857"/>
      <c r="Y61" s="1858"/>
      <c r="Z61" s="1859" t="s">
        <v>863</v>
      </c>
      <c r="AA61" s="333"/>
      <c r="AB61" s="334"/>
      <c r="AC61" s="334"/>
      <c r="AD61" s="334"/>
      <c r="AE61" s="335"/>
      <c r="AF61" s="333"/>
      <c r="AG61" s="334"/>
      <c r="AH61" s="334"/>
      <c r="AI61" s="334"/>
      <c r="AJ61" s="335"/>
      <c r="AK61" s="67"/>
      <c r="AL61" s="67"/>
      <c r="AN61" s="67"/>
      <c r="AO61" s="925" t="s">
        <v>864</v>
      </c>
      <c r="AP61" s="926"/>
      <c r="AQ61" s="926"/>
      <c r="AR61" s="927"/>
      <c r="AS61" s="928"/>
      <c r="AT61" s="928"/>
      <c r="AU61" s="928"/>
      <c r="AV61" s="929" t="str">
        <f>IFERROR(AVERAGE(AR58:AV58),"-")</f>
        <v>-</v>
      </c>
      <c r="AW61" s="930"/>
      <c r="AX61" s="928"/>
      <c r="AY61" s="928"/>
      <c r="AZ61" s="928"/>
      <c r="BA61" s="928" t="str">
        <f>IFERROR(AVERAGE(AW58:BA58),"-")</f>
        <v>-</v>
      </c>
      <c r="BB61" s="930"/>
      <c r="BC61" s="928"/>
      <c r="BD61" s="928"/>
      <c r="BE61" s="928"/>
      <c r="BF61" s="931" t="str">
        <f>IFERROR(AVERAGE(BB58:BF58),"-")</f>
        <v>-</v>
      </c>
      <c r="BH61" s="925" t="s">
        <v>865</v>
      </c>
      <c r="BI61" s="926"/>
      <c r="BJ61" s="926"/>
      <c r="BK61" s="927"/>
      <c r="BL61" s="928"/>
      <c r="BM61" s="928"/>
      <c r="BN61" s="928"/>
      <c r="BO61" s="928">
        <f>IFERROR(AVERAGE(BK58:BO58),"-")</f>
        <v>0</v>
      </c>
      <c r="BP61" s="930"/>
      <c r="BQ61" s="928"/>
      <c r="BR61" s="928"/>
      <c r="BS61" s="928"/>
      <c r="BT61" s="929">
        <f>IFERROR(AVERAGE(BP58:BT58),"-")</f>
        <v>0</v>
      </c>
      <c r="BU61" s="928"/>
      <c r="BV61" s="928"/>
      <c r="BW61" s="928"/>
      <c r="BX61" s="928"/>
      <c r="BY61" s="931">
        <f>IFERROR(AVERAGE(BU58:BY58),"-")</f>
        <v>0</v>
      </c>
      <c r="CB61" s="196"/>
    </row>
    <row r="62" spans="5:89" ht="12.75" thickBot="1">
      <c r="K62" s="88"/>
      <c r="N62" s="196"/>
      <c r="O62" s="196"/>
      <c r="P62" s="196"/>
      <c r="Q62" s="196"/>
      <c r="R62" s="196"/>
      <c r="S62" s="542"/>
      <c r="T62" s="542"/>
      <c r="U62" s="542"/>
      <c r="V62" s="542"/>
      <c r="W62" s="542"/>
      <c r="X62" s="542"/>
      <c r="Y62" s="542"/>
      <c r="AF62" s="310" t="str">
        <f>+IF(AF61&gt;0,"CHECK","")</f>
        <v/>
      </c>
      <c r="AG62" s="310" t="str">
        <f>+IF(AG61&gt;0,"CHECK","")</f>
        <v/>
      </c>
      <c r="AH62" s="310" t="str">
        <f>+IF(AH61&gt;0,"CHECK","")</f>
        <v/>
      </c>
      <c r="AI62" s="310" t="str">
        <f>+IF(AI61&gt;0,"CHECK","")</f>
        <v/>
      </c>
      <c r="AJ62" s="310" t="str">
        <f>+IF(AJ61&gt;0,"CHECK","")</f>
        <v/>
      </c>
      <c r="AK62" s="543"/>
      <c r="AL62" s="543"/>
      <c r="AN62" s="67"/>
      <c r="AO62" s="167" t="s">
        <v>866</v>
      </c>
      <c r="AP62" s="168"/>
      <c r="AQ62" s="168"/>
      <c r="AR62" s="932"/>
      <c r="AS62" s="933"/>
      <c r="AT62" s="933"/>
      <c r="AU62" s="933"/>
      <c r="AV62" s="934" t="str">
        <f>IFERROR(AVERAGE(AR59:AV59),"-")</f>
        <v>-</v>
      </c>
      <c r="AW62" s="935"/>
      <c r="AX62" s="933"/>
      <c r="AY62" s="933"/>
      <c r="AZ62" s="933"/>
      <c r="BA62" s="933" t="str">
        <f>IFERROR(AVERAGE(AW59:BA59),"-")</f>
        <v>-</v>
      </c>
      <c r="BB62" s="935"/>
      <c r="BC62" s="933"/>
      <c r="BD62" s="933"/>
      <c r="BE62" s="933"/>
      <c r="BF62" s="936" t="str">
        <f>IFERROR(AVERAGE(BB59:BF59),"-")</f>
        <v>-</v>
      </c>
      <c r="BH62" s="167" t="s">
        <v>867</v>
      </c>
      <c r="BI62" s="168"/>
      <c r="BJ62" s="168"/>
      <c r="BK62" s="932"/>
      <c r="BL62" s="933"/>
      <c r="BM62" s="933"/>
      <c r="BN62" s="933"/>
      <c r="BO62" s="933">
        <f>IFERROR(AVERAGE(BK59:BO59),"-")</f>
        <v>0</v>
      </c>
      <c r="BP62" s="935"/>
      <c r="BQ62" s="933"/>
      <c r="BR62" s="933"/>
      <c r="BS62" s="933"/>
      <c r="BT62" s="934">
        <f>IFERROR(AVERAGE(BP59:BT59),"-")</f>
        <v>0</v>
      </c>
      <c r="BU62" s="933"/>
      <c r="BV62" s="933"/>
      <c r="BW62" s="933"/>
      <c r="BX62" s="933"/>
      <c r="BY62" s="936">
        <f>IFERROR(AVERAGE(BU59:BY59),"-")</f>
        <v>0</v>
      </c>
      <c r="CB62" s="196"/>
      <c r="CC62" s="196"/>
      <c r="CD62" s="196"/>
      <c r="CE62" s="196"/>
      <c r="CF62" s="196"/>
      <c r="CG62" s="196"/>
      <c r="CH62" s="196"/>
      <c r="CI62" s="196"/>
      <c r="CJ62" s="196"/>
      <c r="CK62" s="196"/>
    </row>
    <row r="63" spans="5:89">
      <c r="E63" s="539" t="s">
        <v>832</v>
      </c>
      <c r="I63" s="63" t="str">
        <f>Expenditure_Detail!$B$6</f>
        <v>$m, 01/01/26</v>
      </c>
      <c r="X63" s="297"/>
      <c r="Y63" s="297"/>
      <c r="Z63" s="542"/>
      <c r="AA63" s="1523"/>
      <c r="AB63" s="1523"/>
      <c r="AC63" s="1523"/>
      <c r="AD63" s="1523"/>
      <c r="AE63" s="1523"/>
      <c r="AF63" s="544"/>
      <c r="AG63" s="544"/>
      <c r="AH63" s="544"/>
      <c r="AI63" s="544"/>
      <c r="AJ63" s="544"/>
      <c r="AK63" s="523"/>
      <c r="AL63" s="523"/>
      <c r="AN63" s="67"/>
      <c r="BH63" s="94"/>
      <c r="BI63" s="94"/>
      <c r="BJ63" s="937" t="s">
        <v>130</v>
      </c>
      <c r="BK63" s="938" t="str">
        <f t="shared" ref="BK63:BU63" si="30">IFERROR((V13/U13-1)-BK59,"-")</f>
        <v>-</v>
      </c>
      <c r="BL63" s="938" t="str">
        <f t="shared" si="30"/>
        <v>-</v>
      </c>
      <c r="BM63" s="938" t="str">
        <f t="shared" si="30"/>
        <v>-</v>
      </c>
      <c r="BN63" s="938" t="str">
        <f t="shared" si="30"/>
        <v>-</v>
      </c>
      <c r="BO63" s="938" t="str">
        <f t="shared" si="30"/>
        <v>-</v>
      </c>
      <c r="BP63" s="938" t="str">
        <f t="shared" si="30"/>
        <v>-</v>
      </c>
      <c r="BQ63" s="938" t="str">
        <f t="shared" si="30"/>
        <v>-</v>
      </c>
      <c r="BR63" s="938" t="str">
        <f t="shared" si="30"/>
        <v>-</v>
      </c>
      <c r="BS63" s="938" t="str">
        <f t="shared" si="30"/>
        <v>-</v>
      </c>
      <c r="BT63" s="938" t="str">
        <f t="shared" si="30"/>
        <v>-</v>
      </c>
      <c r="BU63" s="938" t="str">
        <f t="shared" si="30"/>
        <v>-</v>
      </c>
      <c r="BV63" s="938" t="str">
        <f>IFERROR((AG13/AF13-1)-BV59,"-")</f>
        <v>-</v>
      </c>
      <c r="BW63" s="938" t="str">
        <f>IFERROR((AH13/AG13-1)-BW59,"-")</f>
        <v>-</v>
      </c>
      <c r="BX63" s="938" t="str">
        <f>IFERROR((AI13/AH13-1)-BX59,"-")</f>
        <v>-</v>
      </c>
      <c r="BY63" s="938" t="str">
        <f>IFERROR((AJ13/AI13-1)-BY59,"-")</f>
        <v>-</v>
      </c>
    </row>
    <row r="64" spans="5:89">
      <c r="E64" s="539"/>
      <c r="I64" s="67"/>
      <c r="X64" s="297"/>
      <c r="Y64" s="297"/>
      <c r="Z64" s="1535"/>
      <c r="AB64" s="1523"/>
      <c r="AC64" s="1523"/>
      <c r="AD64" s="1523"/>
      <c r="AE64" s="1523"/>
      <c r="AF64" s="1523"/>
      <c r="AG64" s="1535"/>
      <c r="AH64" s="1535"/>
      <c r="AI64" s="544"/>
      <c r="AJ64" s="544"/>
      <c r="AK64" s="523"/>
      <c r="AL64" s="523"/>
      <c r="AN64" s="67"/>
      <c r="BH64" s="94"/>
      <c r="BI64" s="94"/>
      <c r="BJ64" s="937"/>
      <c r="BK64" s="938"/>
      <c r="BL64" s="938"/>
      <c r="BM64" s="938"/>
      <c r="BN64" s="938"/>
      <c r="BO64" s="938"/>
      <c r="BP64" s="938"/>
      <c r="BQ64" s="938"/>
      <c r="BR64" s="938"/>
      <c r="BS64" s="938"/>
      <c r="BT64" s="938"/>
      <c r="BU64" s="938"/>
      <c r="BV64" s="938"/>
      <c r="BW64" s="938"/>
      <c r="BX64" s="938"/>
      <c r="BY64" s="938"/>
    </row>
    <row r="65" spans="4:89" ht="12.75" thickBot="1">
      <c r="X65" s="297"/>
      <c r="Z65" s="1535"/>
      <c r="AB65" s="1523"/>
      <c r="AD65" s="1523"/>
      <c r="AE65" s="1523"/>
      <c r="AF65" s="1523"/>
      <c r="AG65" s="544"/>
      <c r="AH65" s="544"/>
      <c r="AI65" s="544"/>
      <c r="AJ65" s="544"/>
      <c r="AK65" s="523"/>
      <c r="AL65" s="523"/>
      <c r="AN65" s="67"/>
      <c r="AR65" s="368"/>
      <c r="AS65" s="368"/>
      <c r="AT65" s="368"/>
      <c r="AU65" s="368"/>
      <c r="AV65" s="368"/>
      <c r="AW65" s="368"/>
      <c r="AX65" s="368"/>
      <c r="AY65" s="368"/>
      <c r="AZ65" s="368"/>
      <c r="BA65" s="368"/>
      <c r="BB65" s="368"/>
      <c r="BC65" s="368"/>
      <c r="BD65" s="368"/>
      <c r="BE65" s="368"/>
      <c r="BF65" s="368"/>
      <c r="BH65" s="94"/>
      <c r="BI65" s="94"/>
      <c r="BJ65" s="94"/>
      <c r="BK65" s="94"/>
      <c r="BL65" s="94"/>
      <c r="BM65" s="94"/>
      <c r="BN65" s="94"/>
      <c r="BO65" s="94"/>
      <c r="BP65" s="94"/>
      <c r="BQ65" s="94"/>
      <c r="BR65" s="94"/>
      <c r="BS65" s="94"/>
      <c r="BT65" s="94"/>
      <c r="BU65" s="94"/>
      <c r="BV65" s="94"/>
      <c r="BW65" s="94"/>
      <c r="BX65" s="94"/>
      <c r="BY65" s="94"/>
      <c r="CD65" s="880">
        <v>2</v>
      </c>
      <c r="CE65" s="880">
        <f>CD65+1</f>
        <v>3</v>
      </c>
      <c r="CF65" s="880">
        <v>4</v>
      </c>
      <c r="CG65" s="880">
        <v>5</v>
      </c>
      <c r="CH65" s="880">
        <v>2</v>
      </c>
      <c r="CI65" s="880">
        <v>3</v>
      </c>
      <c r="CJ65" s="880">
        <v>4</v>
      </c>
      <c r="CK65" s="880">
        <v>5</v>
      </c>
    </row>
    <row r="66" spans="4:89" ht="12.75" thickBot="1">
      <c r="E66" s="539"/>
      <c r="R66" s="310" t="str">
        <f>+IF(R65&gt;0,"CHECK","")</f>
        <v/>
      </c>
      <c r="S66" s="310" t="str">
        <f>+IF(S65&gt;0,"CHECK","")</f>
        <v/>
      </c>
      <c r="T66" s="310" t="str">
        <f>+IF(T65&gt;0,"CHECK","")</f>
        <v/>
      </c>
      <c r="U66" s="310"/>
      <c r="V66" s="310"/>
      <c r="W66" s="310"/>
      <c r="X66" s="310"/>
      <c r="Y66" s="310"/>
      <c r="Z66" s="1535"/>
      <c r="AB66" s="1523"/>
      <c r="AC66" s="1523"/>
      <c r="AD66" s="1523"/>
      <c r="AE66" s="1523"/>
      <c r="AF66" s="1523"/>
      <c r="AG66" s="544"/>
      <c r="AH66" s="544"/>
      <c r="AI66" s="544"/>
      <c r="AJ66" s="544"/>
      <c r="AK66" s="523"/>
      <c r="AL66" s="523"/>
      <c r="AN66" s="67"/>
      <c r="AO66" s="539"/>
      <c r="AR66" s="2102" t="str">
        <f>AR55</f>
        <v>FIFTH REG PERIOD</v>
      </c>
      <c r="AS66" s="2103"/>
      <c r="AT66" s="2103"/>
      <c r="AU66" s="2103"/>
      <c r="AV66" s="2104"/>
      <c r="AW66" s="2115" t="str">
        <f>AW55</f>
        <v>SIXTH REG PERIOD</v>
      </c>
      <c r="AX66" s="2103"/>
      <c r="AY66" s="2103"/>
      <c r="AZ66" s="2103"/>
      <c r="BA66" s="2104"/>
      <c r="BB66" s="2115" t="str">
        <f>BB55</f>
        <v>SEVENTH REG PERIOD</v>
      </c>
      <c r="BC66" s="2103"/>
      <c r="BD66" s="2103"/>
      <c r="BE66" s="2103"/>
      <c r="BF66" s="2108"/>
      <c r="BG66" s="911"/>
      <c r="BH66" s="539"/>
      <c r="BK66" s="2102" t="str">
        <f>BK55</f>
        <v>FIFTH REG PERIOD</v>
      </c>
      <c r="BL66" s="2103"/>
      <c r="BM66" s="2103"/>
      <c r="BN66" s="2103"/>
      <c r="BO66" s="2103"/>
      <c r="BP66" s="2115" t="str">
        <f>BP55</f>
        <v>SIXTH REG PERIOD</v>
      </c>
      <c r="BQ66" s="2103"/>
      <c r="BR66" s="2103"/>
      <c r="BS66" s="2103"/>
      <c r="BT66" s="2104"/>
      <c r="BU66" s="2103" t="str">
        <f>BU55</f>
        <v>SEVENTH REG PERIOD</v>
      </c>
      <c r="BV66" s="2103"/>
      <c r="BW66" s="2103"/>
      <c r="BX66" s="2103"/>
      <c r="BY66" s="2108"/>
      <c r="BZ66" s="911"/>
      <c r="CD66" s="2105" t="s">
        <v>868</v>
      </c>
      <c r="CE66" s="2106"/>
      <c r="CF66" s="2106"/>
      <c r="CG66" s="2106"/>
      <c r="CH66" s="2106"/>
      <c r="CI66" s="2106"/>
      <c r="CJ66" s="2106"/>
      <c r="CK66" s="2107"/>
    </row>
    <row r="67" spans="4:89" ht="12.75" thickBot="1">
      <c r="AF67" s="545"/>
      <c r="AG67" s="545"/>
      <c r="AH67" s="545"/>
      <c r="AI67" s="545"/>
      <c r="AJ67" s="544"/>
      <c r="AK67" s="523"/>
      <c r="AL67" s="523"/>
      <c r="AN67" s="78"/>
      <c r="AR67" s="2109" t="s">
        <v>194</v>
      </c>
      <c r="AS67" s="2110"/>
      <c r="AT67" s="2110"/>
      <c r="AU67" s="2110"/>
      <c r="AV67" s="2111" t="s">
        <v>869</v>
      </c>
      <c r="AW67" s="2112"/>
      <c r="AX67" s="2112"/>
      <c r="AY67" s="2112"/>
      <c r="AZ67" s="2112"/>
      <c r="BA67" s="2112"/>
      <c r="BB67" s="2112"/>
      <c r="BC67" s="2112"/>
      <c r="BD67" s="2112"/>
      <c r="BE67" s="2112"/>
      <c r="BF67" s="2113"/>
      <c r="BG67" s="911"/>
      <c r="BK67" s="2109" t="s">
        <v>194</v>
      </c>
      <c r="BL67" s="2110"/>
      <c r="BM67" s="2110"/>
      <c r="BN67" s="2114"/>
      <c r="BO67" s="2111" t="s">
        <v>869</v>
      </c>
      <c r="BP67" s="2112"/>
      <c r="BQ67" s="2112"/>
      <c r="BR67" s="2112"/>
      <c r="BS67" s="2112"/>
      <c r="BT67" s="2112"/>
      <c r="BU67" s="2112"/>
      <c r="BV67" s="2112"/>
      <c r="BW67" s="2112"/>
      <c r="BX67" s="2112"/>
      <c r="BY67" s="2113"/>
      <c r="BZ67" s="911"/>
      <c r="CD67" s="2102" t="s">
        <v>870</v>
      </c>
      <c r="CE67" s="2103"/>
      <c r="CF67" s="2103"/>
      <c r="CG67" s="2104"/>
      <c r="CH67" s="2102" t="s">
        <v>871</v>
      </c>
      <c r="CI67" s="2103"/>
      <c r="CJ67" s="2103"/>
      <c r="CK67" s="2104"/>
    </row>
    <row r="68" spans="4:89" ht="12.75" thickBot="1">
      <c r="E68" s="472" t="s">
        <v>872</v>
      </c>
      <c r="F68" s="472" t="s">
        <v>503</v>
      </c>
      <c r="G68" s="472" t="s">
        <v>873</v>
      </c>
      <c r="H68" s="472" t="s">
        <v>874</v>
      </c>
      <c r="I68" s="472" t="s">
        <v>875</v>
      </c>
      <c r="J68" s="472" t="s">
        <v>876</v>
      </c>
      <c r="K68" s="1041" t="str">
        <f t="shared" ref="K68:AJ68" si="31">+K7</f>
        <v>2005-06</v>
      </c>
      <c r="L68" s="1041" t="str">
        <f t="shared" si="31"/>
        <v>2006-07</v>
      </c>
      <c r="M68" s="1041" t="str">
        <f t="shared" si="31"/>
        <v>2007-08</v>
      </c>
      <c r="N68" s="1041" t="str">
        <f t="shared" si="31"/>
        <v>2008-09</v>
      </c>
      <c r="O68" s="1041" t="str">
        <f t="shared" si="31"/>
        <v>2009-10</v>
      </c>
      <c r="P68" s="1041" t="str">
        <f t="shared" si="31"/>
        <v>2010-11</v>
      </c>
      <c r="Q68" s="1041" t="str">
        <f t="shared" si="31"/>
        <v>2011-12</v>
      </c>
      <c r="R68" s="1041" t="str">
        <f t="shared" si="31"/>
        <v>2012-13</v>
      </c>
      <c r="S68" s="1041" t="str">
        <f t="shared" si="31"/>
        <v>2013-14</v>
      </c>
      <c r="T68" s="549" t="str">
        <f t="shared" si="31"/>
        <v>2014-15</v>
      </c>
      <c r="U68" s="549" t="str">
        <f t="shared" si="31"/>
        <v>2020-21</v>
      </c>
      <c r="V68" s="549" t="str">
        <f t="shared" si="31"/>
        <v>2021-22</v>
      </c>
      <c r="W68" s="549" t="str">
        <f t="shared" si="31"/>
        <v>2022-23</v>
      </c>
      <c r="X68" s="549" t="str">
        <f t="shared" si="31"/>
        <v>2023-24</v>
      </c>
      <c r="Y68" s="549" t="str">
        <f t="shared" si="31"/>
        <v>2024-25</v>
      </c>
      <c r="Z68" s="549" t="str">
        <f t="shared" si="31"/>
        <v>2025-26</v>
      </c>
      <c r="AA68" s="549" t="str">
        <f t="shared" si="31"/>
        <v>2026-27</v>
      </c>
      <c r="AB68" s="549" t="str">
        <f t="shared" si="31"/>
        <v>2027-28</v>
      </c>
      <c r="AC68" s="549" t="str">
        <f t="shared" si="31"/>
        <v>2028-29</v>
      </c>
      <c r="AD68" s="549" t="str">
        <f t="shared" si="31"/>
        <v>2029-30</v>
      </c>
      <c r="AE68" s="549" t="str">
        <f t="shared" si="31"/>
        <v>2030-31</v>
      </c>
      <c r="AF68" s="549" t="str">
        <f t="shared" si="31"/>
        <v>2031-32</v>
      </c>
      <c r="AG68" s="549" t="str">
        <f t="shared" si="31"/>
        <v>2032-33</v>
      </c>
      <c r="AH68" s="549" t="str">
        <f t="shared" si="31"/>
        <v>2033-34</v>
      </c>
      <c r="AI68" s="549" t="str">
        <f t="shared" si="31"/>
        <v>2034-35</v>
      </c>
      <c r="AJ68" s="549" t="str">
        <f t="shared" si="31"/>
        <v>2035-36</v>
      </c>
      <c r="AK68" s="543"/>
      <c r="AL68" s="543"/>
      <c r="AO68" s="939" t="s">
        <v>872</v>
      </c>
      <c r="AP68" s="940" t="s">
        <v>503</v>
      </c>
      <c r="AQ68" s="942" t="s">
        <v>875</v>
      </c>
      <c r="AR68" s="914" t="str">
        <f t="shared" ref="AR68:BB68" si="32">V68</f>
        <v>2021-22</v>
      </c>
      <c r="AS68" s="915" t="str">
        <f t="shared" si="32"/>
        <v>2022-23</v>
      </c>
      <c r="AT68" s="915" t="str">
        <f t="shared" si="32"/>
        <v>2023-24</v>
      </c>
      <c r="AU68" s="915" t="str">
        <f t="shared" si="32"/>
        <v>2024-25</v>
      </c>
      <c r="AV68" s="1348" t="str">
        <f t="shared" si="32"/>
        <v>2025-26</v>
      </c>
      <c r="AW68" s="943" t="str">
        <f t="shared" si="32"/>
        <v>2026-27</v>
      </c>
      <c r="AX68" s="915" t="str">
        <f t="shared" si="32"/>
        <v>2027-28</v>
      </c>
      <c r="AY68" s="915" t="str">
        <f t="shared" si="32"/>
        <v>2028-29</v>
      </c>
      <c r="AZ68" s="915" t="str">
        <f t="shared" si="32"/>
        <v>2029-30</v>
      </c>
      <c r="BA68" s="916" t="str">
        <f t="shared" si="32"/>
        <v>2030-31</v>
      </c>
      <c r="BB68" s="943" t="str">
        <f t="shared" si="32"/>
        <v>2031-32</v>
      </c>
      <c r="BC68" s="915" t="str">
        <f>AG68</f>
        <v>2032-33</v>
      </c>
      <c r="BD68" s="915" t="str">
        <f>AH68</f>
        <v>2033-34</v>
      </c>
      <c r="BE68" s="915" t="str">
        <f>AI68</f>
        <v>2034-35</v>
      </c>
      <c r="BF68" s="917" t="str">
        <f>AJ68</f>
        <v>2035-36</v>
      </c>
      <c r="BG68" s="941"/>
      <c r="BH68" s="939" t="str">
        <f t="shared" ref="BH68:BU68" si="33">AO68</f>
        <v>PQR</v>
      </c>
      <c r="BI68" s="940" t="str">
        <f t="shared" si="33"/>
        <v>Service</v>
      </c>
      <c r="BJ68" s="942" t="str">
        <f t="shared" si="33"/>
        <v>Type</v>
      </c>
      <c r="BK68" s="914" t="str">
        <f t="shared" si="33"/>
        <v>2021-22</v>
      </c>
      <c r="BL68" s="915" t="str">
        <f t="shared" si="33"/>
        <v>2022-23</v>
      </c>
      <c r="BM68" s="915" t="str">
        <f t="shared" si="33"/>
        <v>2023-24</v>
      </c>
      <c r="BN68" s="915" t="str">
        <f t="shared" si="33"/>
        <v>2024-25</v>
      </c>
      <c r="BO68" s="1348" t="str">
        <f t="shared" si="33"/>
        <v>2025-26</v>
      </c>
      <c r="BP68" s="943" t="str">
        <f t="shared" si="33"/>
        <v>2026-27</v>
      </c>
      <c r="BQ68" s="915" t="str">
        <f t="shared" si="33"/>
        <v>2027-28</v>
      </c>
      <c r="BR68" s="915" t="str">
        <f t="shared" si="33"/>
        <v>2028-29</v>
      </c>
      <c r="BS68" s="915" t="str">
        <f t="shared" si="33"/>
        <v>2029-30</v>
      </c>
      <c r="BT68" s="916" t="str">
        <f t="shared" si="33"/>
        <v>2030-31</v>
      </c>
      <c r="BU68" s="915" t="str">
        <f t="shared" si="33"/>
        <v>2031-32</v>
      </c>
      <c r="BV68" s="915" t="str">
        <f>BC68</f>
        <v>2032-33</v>
      </c>
      <c r="BW68" s="915" t="str">
        <f>BD68</f>
        <v>2033-34</v>
      </c>
      <c r="BX68" s="915" t="str">
        <f>BE68</f>
        <v>2034-35</v>
      </c>
      <c r="BY68" s="917" t="str">
        <f>BF68</f>
        <v>2035-36</v>
      </c>
      <c r="BZ68" s="941"/>
      <c r="CA68" s="939" t="str">
        <f t="shared" ref="CA68:CA131" si="34">AO68</f>
        <v>PQR</v>
      </c>
      <c r="CB68" s="940" t="str">
        <f t="shared" ref="CB68:CB131" si="35">AP68</f>
        <v>Service</v>
      </c>
      <c r="CC68" s="942" t="str">
        <f t="shared" ref="CC68:CC131" si="36">AQ68</f>
        <v>Type</v>
      </c>
      <c r="CD68" s="914" t="str">
        <f>W68</f>
        <v>2022-23</v>
      </c>
      <c r="CE68" s="915" t="str">
        <f>X68</f>
        <v>2023-24</v>
      </c>
      <c r="CF68" s="915" t="str">
        <f>Y68</f>
        <v>2024-25</v>
      </c>
      <c r="CG68" s="915" t="str">
        <f>Z68</f>
        <v>2025-26</v>
      </c>
      <c r="CH68" s="943" t="str">
        <f>AB68</f>
        <v>2027-28</v>
      </c>
      <c r="CI68" s="915" t="str">
        <f>AC68</f>
        <v>2028-29</v>
      </c>
      <c r="CJ68" s="915" t="str">
        <f>AD68</f>
        <v>2029-30</v>
      </c>
      <c r="CK68" s="917" t="str">
        <f>AE68</f>
        <v>2030-31</v>
      </c>
    </row>
    <row r="69" spans="4:89">
      <c r="D69" s="63">
        <f>D66+1</f>
        <v>1</v>
      </c>
      <c r="E69" s="550" t="s">
        <v>857</v>
      </c>
      <c r="F69" s="595" t="s">
        <v>401</v>
      </c>
      <c r="G69" s="595" t="s">
        <v>877</v>
      </c>
      <c r="H69" s="595" t="s">
        <v>878</v>
      </c>
      <c r="I69" s="589" t="s">
        <v>842</v>
      </c>
      <c r="J69" s="589" t="s">
        <v>879</v>
      </c>
      <c r="K69" s="551"/>
      <c r="L69" s="552"/>
      <c r="M69" s="552"/>
      <c r="N69" s="551"/>
      <c r="O69" s="552"/>
      <c r="P69" s="552"/>
      <c r="Q69" s="552"/>
      <c r="R69" s="1035"/>
      <c r="S69" s="1138"/>
      <c r="T69" s="591"/>
      <c r="U69" s="1035"/>
      <c r="V69" s="1138"/>
      <c r="W69" s="591"/>
      <c r="X69" s="591"/>
      <c r="Y69" s="591"/>
      <c r="Z69" s="1035"/>
      <c r="AA69" s="1138"/>
      <c r="AB69" s="591"/>
      <c r="AC69" s="591"/>
      <c r="AD69" s="591"/>
      <c r="AE69" s="1035"/>
      <c r="AF69" s="1138"/>
      <c r="AG69" s="591"/>
      <c r="AH69" s="591"/>
      <c r="AI69" s="591"/>
      <c r="AJ69" s="1035"/>
      <c r="AK69" s="569"/>
      <c r="AL69" s="569"/>
      <c r="AM69" s="974"/>
      <c r="AN69" s="857"/>
      <c r="AO69" s="944" t="str">
        <f t="shared" ref="AO69:AO132" si="37">E69</f>
        <v>Price</v>
      </c>
      <c r="AP69" s="945" t="str">
        <f t="shared" ref="AP69:AP132" si="38">F69</f>
        <v>Water</v>
      </c>
      <c r="AQ69" s="946" t="str">
        <f t="shared" ref="AQ69:AQ132" si="39">I69</f>
        <v>Fixed</v>
      </c>
      <c r="AR69" s="1340" t="str">
        <f t="shared" ref="AR69:AR132" si="40">IF(V69="","-",IFERROR(V69/U69-1,"-"))</f>
        <v>-</v>
      </c>
      <c r="AS69" s="947" t="str">
        <f t="shared" ref="AS69:AS132" si="41">IF(W69="","-",IFERROR(W69/V69-1,"-"))</f>
        <v>-</v>
      </c>
      <c r="AT69" s="948" t="str">
        <f t="shared" ref="AT69:AT132" si="42">IF(X69="","-",IFERROR(X69/W69-1,"-"))</f>
        <v>-</v>
      </c>
      <c r="AU69" s="948" t="str">
        <f t="shared" ref="AU69:AU132" si="43">IF(Y69="","-",IFERROR(Y69/X69-1,"-"))</f>
        <v>-</v>
      </c>
      <c r="AV69" s="1349" t="str">
        <f t="shared" ref="AV69:AV132" si="44">IF(Z69="","-",IFERROR(Z69/Y69-1,"-"))</f>
        <v>-</v>
      </c>
      <c r="AW69" s="1342" t="str">
        <f t="shared" ref="AW69:AW132" si="45">IF(AA69="","-",IFERROR(AA69/Z69-1,"-"))</f>
        <v>-</v>
      </c>
      <c r="AX69" s="948" t="str">
        <f t="shared" ref="AX69:AX132" si="46">IF(AB69="","-",IFERROR(AB69/AA69-1,"-"))</f>
        <v>-</v>
      </c>
      <c r="AY69" s="948" t="str">
        <f t="shared" ref="AY69:AY132" si="47">IF(AC69="","-",IFERROR(AC69/AB69-1,"-"))</f>
        <v>-</v>
      </c>
      <c r="AZ69" s="948" t="str">
        <f t="shared" ref="AZ69:AZ132" si="48">IF(AD69="","-",IFERROR(AD69/AC69-1,"-"))</f>
        <v>-</v>
      </c>
      <c r="BA69" s="949" t="str">
        <f t="shared" ref="BA69:BA132" si="49">IF(AE69="","-",IFERROR(AE69/AD69-1,"-"))</f>
        <v>-</v>
      </c>
      <c r="BB69" s="1342" t="str">
        <f t="shared" ref="BB69:BB132" si="50">IF(AF69="","-",IFERROR(AF69/AE69-1,"-"))</f>
        <v>-</v>
      </c>
      <c r="BC69" s="948" t="str">
        <f t="shared" ref="BC69:BC132" si="51">IF(AG69="","-",IFERROR(AG69/AF69-1,"-"))</f>
        <v>-</v>
      </c>
      <c r="BD69" s="948" t="str">
        <f t="shared" ref="BD69:BD132" si="52">IF(AH69="","-",IFERROR(AH69/AG69-1,"-"))</f>
        <v>-</v>
      </c>
      <c r="BE69" s="948" t="str">
        <f t="shared" ref="BE69:BE132" si="53">IF(AI69="","-",IFERROR(AI69/AH69-1,"-"))</f>
        <v>-</v>
      </c>
      <c r="BF69" s="950" t="str">
        <f t="shared" ref="BF69:BF132" si="54">IF(AJ69="","-",IFERROR(AJ69/AI69-1,"-"))</f>
        <v>-</v>
      </c>
      <c r="BG69" s="951"/>
      <c r="BH69" s="1538" t="str">
        <f t="shared" ref="BH69:BH132" si="55">AO69</f>
        <v>Price</v>
      </c>
      <c r="BI69" s="1539" t="str">
        <f t="shared" ref="BI69:BI132" si="56">AP69</f>
        <v>Water</v>
      </c>
      <c r="BJ69" s="1540" t="str">
        <f t="shared" ref="BJ69:BJ132" si="57">AQ69</f>
        <v>Fixed</v>
      </c>
      <c r="BK69" s="947" t="str">
        <f t="shared" ref="BK69:BU69" si="58">IF(V69="","-",IFERROR((V69/U69-1)*(U71/U$13),"-"))</f>
        <v>-</v>
      </c>
      <c r="BL69" s="947" t="str">
        <f t="shared" si="58"/>
        <v>-</v>
      </c>
      <c r="BM69" s="948" t="str">
        <f t="shared" si="58"/>
        <v>-</v>
      </c>
      <c r="BN69" s="948" t="str">
        <f t="shared" si="58"/>
        <v>-</v>
      </c>
      <c r="BO69" s="1349" t="str">
        <f t="shared" si="58"/>
        <v>-</v>
      </c>
      <c r="BP69" s="1342" t="str">
        <f t="shared" si="58"/>
        <v>-</v>
      </c>
      <c r="BQ69" s="948" t="str">
        <f t="shared" si="58"/>
        <v>-</v>
      </c>
      <c r="BR69" s="948" t="str">
        <f t="shared" si="58"/>
        <v>-</v>
      </c>
      <c r="BS69" s="948" t="str">
        <f t="shared" si="58"/>
        <v>-</v>
      </c>
      <c r="BT69" s="949" t="str">
        <f t="shared" si="58"/>
        <v>-</v>
      </c>
      <c r="BU69" s="948" t="str">
        <f t="shared" si="58"/>
        <v>-</v>
      </c>
      <c r="BV69" s="948" t="str">
        <f>IF(AG69="","-",IFERROR((AG69/AF69-1)*(AF71/AF$13),"-"))</f>
        <v>-</v>
      </c>
      <c r="BW69" s="948" t="str">
        <f>IF(AH69="","-",IFERROR((AH69/AG69-1)*(AG71/AG$13),"-"))</f>
        <v>-</v>
      </c>
      <c r="BX69" s="948" t="str">
        <f>IF(AI69="","-",IFERROR((AI69/AH69-1)*(AH71/AH$13),"-"))</f>
        <v>-</v>
      </c>
      <c r="BY69" s="950" t="str">
        <f>IF(AJ69="","-",IFERROR((AJ69/AI69-1)*(AI71/AI$13),"-"))</f>
        <v>-</v>
      </c>
      <c r="BZ69" s="951"/>
      <c r="CA69" s="944" t="str">
        <f t="shared" si="34"/>
        <v>Price</v>
      </c>
      <c r="CB69" s="945" t="str">
        <f t="shared" si="35"/>
        <v>Water</v>
      </c>
      <c r="CC69" s="958" t="str">
        <f t="shared" si="36"/>
        <v>Fixed</v>
      </c>
      <c r="CD69" s="959" t="str">
        <f>IF(W69="","-",IFERROR((W69/$U69)^(1/CD$65)-1,"-"))</f>
        <v>-</v>
      </c>
      <c r="CE69" s="955" t="str">
        <f t="shared" ref="CE69:CE132" si="59">IF(X69="","-",IFERROR((X69/$U69)^(1/CE$65)-1,"-"))</f>
        <v>-</v>
      </c>
      <c r="CF69" s="955" t="str">
        <f t="shared" ref="CF69:CF132" si="60">IF(Y69="","-",IFERROR((Y69/$U69)^(1/CF$65)-1,"-"))</f>
        <v>-</v>
      </c>
      <c r="CG69" s="956" t="str">
        <f t="shared" ref="CG69:CG132" si="61">IF(Z69="","-",IFERROR((Z69/$U69)^(1/CG$65)-1,"-"))</f>
        <v>-</v>
      </c>
      <c r="CH69" s="955" t="str">
        <f>IF(AB69="","-",IFERROR((AB69/$Z69)^(1/CH$65)-1,"-"))</f>
        <v>-</v>
      </c>
      <c r="CI69" s="955" t="str">
        <f t="shared" ref="CI69:CI132" si="62">IF(AC69="","-",IFERROR((AC69/$Z69)^(1/CI$65)-1,"-"))</f>
        <v>-</v>
      </c>
      <c r="CJ69" s="955" t="str">
        <f t="shared" ref="CJ69:CJ132" si="63">IF(AD69="","-",IFERROR((AD69/$Z69)^(1/CJ$65)-1,"-"))</f>
        <v>-</v>
      </c>
      <c r="CK69" s="957" t="str">
        <f t="shared" ref="CK69:CK132" si="64">IF(AE69="","-",IFERROR((AE69/$Z69)^(1/CK$65)-1,"-"))</f>
        <v>-</v>
      </c>
    </row>
    <row r="70" spans="4:89">
      <c r="E70" s="567" t="s">
        <v>880</v>
      </c>
      <c r="F70" s="554" t="str">
        <f>+F69</f>
        <v>Water</v>
      </c>
      <c r="G70" s="555" t="str">
        <f>+G69</f>
        <v>GWW</v>
      </c>
      <c r="H70" s="555" t="str">
        <f>+H69</f>
        <v>Greater Yarra System - Thomson River</v>
      </c>
      <c r="I70" s="556" t="str">
        <f>+I69</f>
        <v>Fixed</v>
      </c>
      <c r="J70" s="590" t="s">
        <v>881</v>
      </c>
      <c r="K70" s="557"/>
      <c r="L70" s="558"/>
      <c r="M70" s="558"/>
      <c r="N70" s="557"/>
      <c r="O70" s="558"/>
      <c r="P70" s="558"/>
      <c r="Q70" s="558"/>
      <c r="R70" s="1036"/>
      <c r="S70" s="1139"/>
      <c r="T70" s="593"/>
      <c r="U70" s="1036"/>
      <c r="V70" s="1139"/>
      <c r="W70" s="593"/>
      <c r="X70" s="593"/>
      <c r="Y70" s="593"/>
      <c r="Z70" s="1036"/>
      <c r="AA70" s="1139"/>
      <c r="AB70" s="593"/>
      <c r="AC70" s="593"/>
      <c r="AD70" s="593"/>
      <c r="AE70" s="1036"/>
      <c r="AF70" s="1139"/>
      <c r="AG70" s="593"/>
      <c r="AH70" s="593"/>
      <c r="AI70" s="593"/>
      <c r="AJ70" s="1036"/>
      <c r="AK70" s="569"/>
      <c r="AL70" s="569"/>
      <c r="AN70" s="857"/>
      <c r="AO70" s="961" t="str">
        <f t="shared" si="37"/>
        <v>Qty</v>
      </c>
      <c r="AP70" s="962" t="str">
        <f t="shared" si="38"/>
        <v>Water</v>
      </c>
      <c r="AQ70" s="963" t="str">
        <f t="shared" si="39"/>
        <v>Fixed</v>
      </c>
      <c r="AR70" s="967" t="str">
        <f t="shared" si="40"/>
        <v>-</v>
      </c>
      <c r="AS70" s="964" t="str">
        <f t="shared" si="41"/>
        <v>-</v>
      </c>
      <c r="AT70" s="964" t="str">
        <f t="shared" si="42"/>
        <v>-</v>
      </c>
      <c r="AU70" s="964" t="str">
        <f t="shared" si="43"/>
        <v>-</v>
      </c>
      <c r="AV70" s="1350" t="str">
        <f t="shared" si="44"/>
        <v>-</v>
      </c>
      <c r="AW70" s="1343" t="str">
        <f t="shared" si="45"/>
        <v>-</v>
      </c>
      <c r="AX70" s="964" t="str">
        <f t="shared" si="46"/>
        <v>-</v>
      </c>
      <c r="AY70" s="964" t="str">
        <f t="shared" si="47"/>
        <v>-</v>
      </c>
      <c r="AZ70" s="964" t="str">
        <f t="shared" si="48"/>
        <v>-</v>
      </c>
      <c r="BA70" s="965" t="str">
        <f t="shared" si="49"/>
        <v>-</v>
      </c>
      <c r="BB70" s="1343" t="str">
        <f t="shared" si="50"/>
        <v>-</v>
      </c>
      <c r="BC70" s="964" t="str">
        <f t="shared" si="51"/>
        <v>-</v>
      </c>
      <c r="BD70" s="964" t="str">
        <f t="shared" si="52"/>
        <v>-</v>
      </c>
      <c r="BE70" s="964" t="str">
        <f t="shared" si="53"/>
        <v>-</v>
      </c>
      <c r="BF70" s="966" t="str">
        <f t="shared" si="54"/>
        <v>-</v>
      </c>
      <c r="BG70" s="951"/>
      <c r="BH70" s="1541" t="str">
        <f t="shared" si="55"/>
        <v>Qty</v>
      </c>
      <c r="BI70" s="1542" t="str">
        <f t="shared" si="56"/>
        <v>Water</v>
      </c>
      <c r="BJ70" s="1543" t="str">
        <f t="shared" si="57"/>
        <v>Fixed</v>
      </c>
      <c r="BK70" s="964" t="str">
        <f t="shared" ref="BK70:BU70" si="65">IF(V70="","-",IFERROR((V70/U70-1)*(U71/U$13),"-"))</f>
        <v>-</v>
      </c>
      <c r="BL70" s="964" t="str">
        <f t="shared" si="65"/>
        <v>-</v>
      </c>
      <c r="BM70" s="964" t="str">
        <f t="shared" si="65"/>
        <v>-</v>
      </c>
      <c r="BN70" s="964" t="str">
        <f t="shared" si="65"/>
        <v>-</v>
      </c>
      <c r="BO70" s="1350" t="str">
        <f t="shared" si="65"/>
        <v>-</v>
      </c>
      <c r="BP70" s="1343" t="str">
        <f t="shared" si="65"/>
        <v>-</v>
      </c>
      <c r="BQ70" s="964" t="str">
        <f t="shared" si="65"/>
        <v>-</v>
      </c>
      <c r="BR70" s="964" t="str">
        <f t="shared" si="65"/>
        <v>-</v>
      </c>
      <c r="BS70" s="964" t="str">
        <f t="shared" si="65"/>
        <v>-</v>
      </c>
      <c r="BT70" s="965" t="str">
        <f t="shared" si="65"/>
        <v>-</v>
      </c>
      <c r="BU70" s="964" t="str">
        <f t="shared" si="65"/>
        <v>-</v>
      </c>
      <c r="BV70" s="964" t="str">
        <f>IF(AG70="","-",IFERROR((AG70/AF70-1)*(AF71/AF$13),"-"))</f>
        <v>-</v>
      </c>
      <c r="BW70" s="964" t="str">
        <f>IF(AH70="","-",IFERROR((AH70/AG70-1)*(AG71/AG$13),"-"))</f>
        <v>-</v>
      </c>
      <c r="BX70" s="964" t="str">
        <f>IF(AI70="","-",IFERROR((AI70/AH70-1)*(AH71/AH$13),"-"))</f>
        <v>-</v>
      </c>
      <c r="BY70" s="966" t="str">
        <f>IF(AJ70="","-",IFERROR((AJ70/AI70-1)*(AI71/AI$13),"-"))</f>
        <v>-</v>
      </c>
      <c r="BZ70" s="951"/>
      <c r="CA70" s="961" t="str">
        <f t="shared" si="34"/>
        <v>Qty</v>
      </c>
      <c r="CB70" s="962" t="str">
        <f t="shared" si="35"/>
        <v>Water</v>
      </c>
      <c r="CC70" s="962" t="str">
        <f t="shared" si="36"/>
        <v>Fixed</v>
      </c>
      <c r="CD70" s="967" t="str">
        <f t="shared" ref="CD70:CD133" si="66">IF(W70="","-",IFERROR((W70/$U70)^(1/CD$65)-1,"-"))</f>
        <v>-</v>
      </c>
      <c r="CE70" s="964" t="str">
        <f t="shared" si="59"/>
        <v>-</v>
      </c>
      <c r="CF70" s="964" t="str">
        <f t="shared" si="60"/>
        <v>-</v>
      </c>
      <c r="CG70" s="965" t="str">
        <f t="shared" si="61"/>
        <v>-</v>
      </c>
      <c r="CH70" s="964" t="str">
        <f t="shared" ref="CH70:CH133" si="67">IF(AB70="","-",IFERROR((AB70/$Z70)^(1/CH$65)-1,"-"))</f>
        <v>-</v>
      </c>
      <c r="CI70" s="964" t="str">
        <f t="shared" si="62"/>
        <v>-</v>
      </c>
      <c r="CJ70" s="964" t="str">
        <f t="shared" si="63"/>
        <v>-</v>
      </c>
      <c r="CK70" s="966" t="str">
        <f t="shared" si="64"/>
        <v>-</v>
      </c>
    </row>
    <row r="71" spans="4:89" ht="12.75" thickBot="1">
      <c r="E71" s="568" t="s">
        <v>882</v>
      </c>
      <c r="F71" s="560" t="str">
        <f>+F69</f>
        <v>Water</v>
      </c>
      <c r="G71" s="561" t="str">
        <f>+G69</f>
        <v>GWW</v>
      </c>
      <c r="H71" s="561" t="str">
        <f>+H69</f>
        <v>Greater Yarra System - Thomson River</v>
      </c>
      <c r="I71" s="562" t="str">
        <f>+I69</f>
        <v>Fixed</v>
      </c>
      <c r="J71" s="563" t="s">
        <v>883</v>
      </c>
      <c r="K71" s="564">
        <f t="shared" ref="K71:AJ71" si="68">K69*K70/10^6</f>
        <v>0</v>
      </c>
      <c r="L71" s="565">
        <f t="shared" si="68"/>
        <v>0</v>
      </c>
      <c r="M71" s="565">
        <f t="shared" si="68"/>
        <v>0</v>
      </c>
      <c r="N71" s="564">
        <f t="shared" si="68"/>
        <v>0</v>
      </c>
      <c r="O71" s="565">
        <f t="shared" si="68"/>
        <v>0</v>
      </c>
      <c r="P71" s="565">
        <f t="shared" si="68"/>
        <v>0</v>
      </c>
      <c r="Q71" s="565">
        <f t="shared" si="68"/>
        <v>0</v>
      </c>
      <c r="R71" s="566">
        <f t="shared" si="68"/>
        <v>0</v>
      </c>
      <c r="S71" s="564">
        <f t="shared" si="68"/>
        <v>0</v>
      </c>
      <c r="T71" s="565">
        <f t="shared" si="68"/>
        <v>0</v>
      </c>
      <c r="U71" s="566">
        <f t="shared" si="68"/>
        <v>0</v>
      </c>
      <c r="V71" s="564">
        <f t="shared" si="68"/>
        <v>0</v>
      </c>
      <c r="W71" s="565">
        <f t="shared" si="68"/>
        <v>0</v>
      </c>
      <c r="X71" s="565">
        <f t="shared" si="68"/>
        <v>0</v>
      </c>
      <c r="Y71" s="565">
        <f t="shared" si="68"/>
        <v>0</v>
      </c>
      <c r="Z71" s="566">
        <f t="shared" si="68"/>
        <v>0</v>
      </c>
      <c r="AA71" s="564">
        <f t="shared" si="68"/>
        <v>0</v>
      </c>
      <c r="AB71" s="565">
        <f t="shared" si="68"/>
        <v>0</v>
      </c>
      <c r="AC71" s="565">
        <f t="shared" si="68"/>
        <v>0</v>
      </c>
      <c r="AD71" s="565">
        <f t="shared" si="68"/>
        <v>0</v>
      </c>
      <c r="AE71" s="566">
        <f t="shared" si="68"/>
        <v>0</v>
      </c>
      <c r="AF71" s="564">
        <f t="shared" si="68"/>
        <v>0</v>
      </c>
      <c r="AG71" s="565">
        <f t="shared" si="68"/>
        <v>0</v>
      </c>
      <c r="AH71" s="565">
        <f t="shared" si="68"/>
        <v>0</v>
      </c>
      <c r="AI71" s="565">
        <f t="shared" si="68"/>
        <v>0</v>
      </c>
      <c r="AJ71" s="566">
        <f t="shared" si="68"/>
        <v>0</v>
      </c>
      <c r="AK71" s="569"/>
      <c r="AL71" s="569"/>
      <c r="AN71" s="857"/>
      <c r="AO71" s="567" t="str">
        <f t="shared" si="37"/>
        <v>Rev</v>
      </c>
      <c r="AP71" s="969" t="str">
        <f t="shared" si="38"/>
        <v>Water</v>
      </c>
      <c r="AQ71" s="970" t="str">
        <f t="shared" si="39"/>
        <v>Fixed</v>
      </c>
      <c r="AR71" s="973" t="str">
        <f t="shared" si="40"/>
        <v>-</v>
      </c>
      <c r="AS71" s="951" t="str">
        <f t="shared" si="41"/>
        <v>-</v>
      </c>
      <c r="AT71" s="951" t="str">
        <f t="shared" si="42"/>
        <v>-</v>
      </c>
      <c r="AU71" s="951" t="str">
        <f t="shared" si="43"/>
        <v>-</v>
      </c>
      <c r="AV71" s="1351" t="str">
        <f t="shared" si="44"/>
        <v>-</v>
      </c>
      <c r="AW71" s="1344" t="str">
        <f t="shared" si="45"/>
        <v>-</v>
      </c>
      <c r="AX71" s="951" t="str">
        <f t="shared" si="46"/>
        <v>-</v>
      </c>
      <c r="AY71" s="951" t="str">
        <f t="shared" si="47"/>
        <v>-</v>
      </c>
      <c r="AZ71" s="951" t="str">
        <f t="shared" si="48"/>
        <v>-</v>
      </c>
      <c r="BA71" s="971" t="str">
        <f t="shared" si="49"/>
        <v>-</v>
      </c>
      <c r="BB71" s="1344" t="str">
        <f t="shared" si="50"/>
        <v>-</v>
      </c>
      <c r="BC71" s="951" t="str">
        <f t="shared" si="51"/>
        <v>-</v>
      </c>
      <c r="BD71" s="951" t="str">
        <f t="shared" si="52"/>
        <v>-</v>
      </c>
      <c r="BE71" s="951" t="str">
        <f t="shared" si="53"/>
        <v>-</v>
      </c>
      <c r="BF71" s="972" t="str">
        <f t="shared" si="54"/>
        <v>-</v>
      </c>
      <c r="BG71" s="951"/>
      <c r="BH71" s="1544" t="str">
        <f t="shared" si="55"/>
        <v>Rev</v>
      </c>
      <c r="BI71" s="1545" t="str">
        <f t="shared" si="56"/>
        <v>Water</v>
      </c>
      <c r="BJ71" s="1546" t="str">
        <f t="shared" si="57"/>
        <v>Fixed</v>
      </c>
      <c r="BK71" s="951" t="str">
        <f t="shared" ref="BK71:BU71" si="69">IF(V71="","-",IFERROR((V71/U71-1)*(U71/U$13),"-"))</f>
        <v>-</v>
      </c>
      <c r="BL71" s="951" t="str">
        <f t="shared" si="69"/>
        <v>-</v>
      </c>
      <c r="BM71" s="951" t="str">
        <f t="shared" si="69"/>
        <v>-</v>
      </c>
      <c r="BN71" s="951" t="str">
        <f t="shared" si="69"/>
        <v>-</v>
      </c>
      <c r="BO71" s="1351" t="str">
        <f t="shared" si="69"/>
        <v>-</v>
      </c>
      <c r="BP71" s="1344" t="str">
        <f t="shared" si="69"/>
        <v>-</v>
      </c>
      <c r="BQ71" s="951" t="str">
        <f t="shared" si="69"/>
        <v>-</v>
      </c>
      <c r="BR71" s="951" t="str">
        <f t="shared" si="69"/>
        <v>-</v>
      </c>
      <c r="BS71" s="951" t="str">
        <f t="shared" si="69"/>
        <v>-</v>
      </c>
      <c r="BT71" s="971" t="str">
        <f t="shared" si="69"/>
        <v>-</v>
      </c>
      <c r="BU71" s="951" t="str">
        <f t="shared" si="69"/>
        <v>-</v>
      </c>
      <c r="BV71" s="951" t="str">
        <f>IF(AG71="","-",IFERROR((AG71/AF71-1)*(AF71/AF$13),"-"))</f>
        <v>-</v>
      </c>
      <c r="BW71" s="951" t="str">
        <f>IF(AH71="","-",IFERROR((AH71/AG71-1)*(AG71/AG$13),"-"))</f>
        <v>-</v>
      </c>
      <c r="BX71" s="951" t="str">
        <f>IF(AI71="","-",IFERROR((AI71/AH71-1)*(AH71/AH$13),"-"))</f>
        <v>-</v>
      </c>
      <c r="BY71" s="972" t="str">
        <f>IF(AJ71="","-",IFERROR((AJ71/AI71-1)*(AI71/AI$13),"-"))</f>
        <v>-</v>
      </c>
      <c r="BZ71" s="951"/>
      <c r="CA71" s="567" t="str">
        <f t="shared" si="34"/>
        <v>Rev</v>
      </c>
      <c r="CB71" s="969" t="str">
        <f t="shared" si="35"/>
        <v>Water</v>
      </c>
      <c r="CC71" s="969" t="str">
        <f t="shared" si="36"/>
        <v>Fixed</v>
      </c>
      <c r="CD71" s="973" t="str">
        <f t="shared" si="66"/>
        <v>-</v>
      </c>
      <c r="CE71" s="951" t="str">
        <f t="shared" si="59"/>
        <v>-</v>
      </c>
      <c r="CF71" s="951" t="str">
        <f t="shared" si="60"/>
        <v>-</v>
      </c>
      <c r="CG71" s="971" t="str">
        <f t="shared" si="61"/>
        <v>-</v>
      </c>
      <c r="CH71" s="951" t="str">
        <f t="shared" si="67"/>
        <v>-</v>
      </c>
      <c r="CI71" s="951" t="str">
        <f t="shared" si="62"/>
        <v>-</v>
      </c>
      <c r="CJ71" s="951" t="str">
        <f t="shared" si="63"/>
        <v>-</v>
      </c>
      <c r="CK71" s="972" t="str">
        <f t="shared" si="64"/>
        <v>-</v>
      </c>
    </row>
    <row r="72" spans="4:89">
      <c r="D72" s="63">
        <f>D69+1</f>
        <v>2</v>
      </c>
      <c r="E72" s="550" t="s">
        <v>857</v>
      </c>
      <c r="F72" s="595" t="s">
        <v>401</v>
      </c>
      <c r="G72" s="595" t="s">
        <v>92</v>
      </c>
      <c r="H72" s="595" t="s">
        <v>878</v>
      </c>
      <c r="I72" s="589" t="s">
        <v>842</v>
      </c>
      <c r="J72" s="589" t="s">
        <v>879</v>
      </c>
      <c r="K72" s="551"/>
      <c r="L72" s="552"/>
      <c r="M72" s="552"/>
      <c r="N72" s="551"/>
      <c r="O72" s="552"/>
      <c r="P72" s="552"/>
      <c r="Q72" s="552"/>
      <c r="R72" s="1035"/>
      <c r="S72" s="1138"/>
      <c r="T72" s="591"/>
      <c r="U72" s="1035"/>
      <c r="V72" s="1138"/>
      <c r="W72" s="591"/>
      <c r="X72" s="591"/>
      <c r="Y72" s="591"/>
      <c r="Z72" s="1035"/>
      <c r="AA72" s="1138"/>
      <c r="AB72" s="591"/>
      <c r="AC72" s="591"/>
      <c r="AD72" s="591"/>
      <c r="AE72" s="1035"/>
      <c r="AF72" s="1138"/>
      <c r="AG72" s="591"/>
      <c r="AH72" s="591"/>
      <c r="AI72" s="591"/>
      <c r="AJ72" s="1035"/>
      <c r="AK72" s="569"/>
      <c r="AL72" s="569"/>
      <c r="AM72" s="974"/>
      <c r="AN72" s="857"/>
      <c r="AO72" s="975" t="str">
        <f t="shared" si="37"/>
        <v>Price</v>
      </c>
      <c r="AP72" s="976" t="str">
        <f t="shared" si="38"/>
        <v>Water</v>
      </c>
      <c r="AQ72" s="977" t="str">
        <f t="shared" si="39"/>
        <v>Fixed</v>
      </c>
      <c r="AR72" s="1341" t="str">
        <f t="shared" si="40"/>
        <v>-</v>
      </c>
      <c r="AS72" s="978" t="str">
        <f t="shared" si="41"/>
        <v>-</v>
      </c>
      <c r="AT72" s="979" t="str">
        <f t="shared" si="42"/>
        <v>-</v>
      </c>
      <c r="AU72" s="979" t="str">
        <f t="shared" si="43"/>
        <v>-</v>
      </c>
      <c r="AV72" s="1352" t="str">
        <f t="shared" si="44"/>
        <v>-</v>
      </c>
      <c r="AW72" s="1345" t="str">
        <f t="shared" si="45"/>
        <v>-</v>
      </c>
      <c r="AX72" s="979" t="str">
        <f t="shared" si="46"/>
        <v>-</v>
      </c>
      <c r="AY72" s="979" t="str">
        <f t="shared" si="47"/>
        <v>-</v>
      </c>
      <c r="AZ72" s="979" t="str">
        <f t="shared" si="48"/>
        <v>-</v>
      </c>
      <c r="BA72" s="980" t="str">
        <f t="shared" si="49"/>
        <v>-</v>
      </c>
      <c r="BB72" s="1345" t="str">
        <f t="shared" si="50"/>
        <v>-</v>
      </c>
      <c r="BC72" s="979" t="str">
        <f t="shared" si="51"/>
        <v>-</v>
      </c>
      <c r="BD72" s="979" t="str">
        <f t="shared" si="52"/>
        <v>-</v>
      </c>
      <c r="BE72" s="979" t="str">
        <f t="shared" si="53"/>
        <v>-</v>
      </c>
      <c r="BF72" s="981" t="str">
        <f t="shared" si="54"/>
        <v>-</v>
      </c>
      <c r="BG72" s="951"/>
      <c r="BH72" s="1547" t="str">
        <f t="shared" si="55"/>
        <v>Price</v>
      </c>
      <c r="BI72" s="1548" t="str">
        <f t="shared" si="56"/>
        <v>Water</v>
      </c>
      <c r="BJ72" s="1549" t="str">
        <f t="shared" si="57"/>
        <v>Fixed</v>
      </c>
      <c r="BK72" s="978" t="str">
        <f t="shared" ref="BK72:BU72" si="70">IF(V72="","-",IFERROR((V72/U72-1)*(U74/U$13),"-"))</f>
        <v>-</v>
      </c>
      <c r="BL72" s="978" t="str">
        <f t="shared" si="70"/>
        <v>-</v>
      </c>
      <c r="BM72" s="979" t="str">
        <f t="shared" si="70"/>
        <v>-</v>
      </c>
      <c r="BN72" s="979" t="str">
        <f t="shared" si="70"/>
        <v>-</v>
      </c>
      <c r="BO72" s="1352" t="str">
        <f t="shared" si="70"/>
        <v>-</v>
      </c>
      <c r="BP72" s="1345" t="str">
        <f t="shared" si="70"/>
        <v>-</v>
      </c>
      <c r="BQ72" s="979" t="str">
        <f t="shared" si="70"/>
        <v>-</v>
      </c>
      <c r="BR72" s="979" t="str">
        <f t="shared" si="70"/>
        <v>-</v>
      </c>
      <c r="BS72" s="979" t="str">
        <f t="shared" si="70"/>
        <v>-</v>
      </c>
      <c r="BT72" s="980" t="str">
        <f t="shared" si="70"/>
        <v>-</v>
      </c>
      <c r="BU72" s="979" t="str">
        <f t="shared" si="70"/>
        <v>-</v>
      </c>
      <c r="BV72" s="979" t="str">
        <f>IF(AG72="","-",IFERROR((AG72/AF72-1)*(AF74/AF$13),"-"))</f>
        <v>-</v>
      </c>
      <c r="BW72" s="979" t="str">
        <f>IF(AH72="","-",IFERROR((AH72/AG72-1)*(AG74/AG$13),"-"))</f>
        <v>-</v>
      </c>
      <c r="BX72" s="979" t="str">
        <f>IF(AI72="","-",IFERROR((AI72/AH72-1)*(AH74/AH$13),"-"))</f>
        <v>-</v>
      </c>
      <c r="BY72" s="981" t="str">
        <f>IF(AJ72="","-",IFERROR((AJ72/AI72-1)*(AI74/AI$13),"-"))</f>
        <v>-</v>
      </c>
      <c r="BZ72" s="951"/>
      <c r="CA72" s="975" t="str">
        <f t="shared" si="34"/>
        <v>Price</v>
      </c>
      <c r="CB72" s="976" t="str">
        <f t="shared" si="35"/>
        <v>Water</v>
      </c>
      <c r="CC72" s="982" t="str">
        <f t="shared" si="36"/>
        <v>Fixed</v>
      </c>
      <c r="CD72" s="983" t="str">
        <f t="shared" si="66"/>
        <v>-</v>
      </c>
      <c r="CE72" s="979" t="str">
        <f t="shared" si="59"/>
        <v>-</v>
      </c>
      <c r="CF72" s="979" t="str">
        <f t="shared" si="60"/>
        <v>-</v>
      </c>
      <c r="CG72" s="980" t="str">
        <f t="shared" si="61"/>
        <v>-</v>
      </c>
      <c r="CH72" s="979" t="str">
        <f t="shared" si="67"/>
        <v>-</v>
      </c>
      <c r="CI72" s="979" t="str">
        <f t="shared" si="62"/>
        <v>-</v>
      </c>
      <c r="CJ72" s="979" t="str">
        <f t="shared" si="63"/>
        <v>-</v>
      </c>
      <c r="CK72" s="981" t="str">
        <f t="shared" si="64"/>
        <v>-</v>
      </c>
    </row>
    <row r="73" spans="4:89">
      <c r="E73" s="567" t="s">
        <v>880</v>
      </c>
      <c r="F73" s="554" t="str">
        <f>+F72</f>
        <v>Water</v>
      </c>
      <c r="G73" s="555" t="str">
        <f>+G72</f>
        <v>SEW</v>
      </c>
      <c r="H73" s="555" t="str">
        <f>+H72</f>
        <v>Greater Yarra System - Thomson River</v>
      </c>
      <c r="I73" s="556" t="str">
        <f>+I72</f>
        <v>Fixed</v>
      </c>
      <c r="J73" s="590" t="s">
        <v>881</v>
      </c>
      <c r="K73" s="557"/>
      <c r="L73" s="558"/>
      <c r="M73" s="558"/>
      <c r="N73" s="557"/>
      <c r="O73" s="558"/>
      <c r="P73" s="558"/>
      <c r="Q73" s="558"/>
      <c r="R73" s="1036"/>
      <c r="S73" s="1139"/>
      <c r="T73" s="593"/>
      <c r="U73" s="1036"/>
      <c r="V73" s="1139"/>
      <c r="W73" s="593"/>
      <c r="X73" s="593"/>
      <c r="Y73" s="593"/>
      <c r="Z73" s="1036"/>
      <c r="AA73" s="1139"/>
      <c r="AB73" s="593"/>
      <c r="AC73" s="593"/>
      <c r="AD73" s="593"/>
      <c r="AE73" s="1036"/>
      <c r="AF73" s="1139"/>
      <c r="AG73" s="593"/>
      <c r="AH73" s="593"/>
      <c r="AI73" s="593"/>
      <c r="AJ73" s="1036"/>
      <c r="AK73" s="569"/>
      <c r="AL73" s="569"/>
      <c r="AN73" s="857"/>
      <c r="AO73" s="961" t="str">
        <f t="shared" si="37"/>
        <v>Qty</v>
      </c>
      <c r="AP73" s="962" t="str">
        <f t="shared" si="38"/>
        <v>Water</v>
      </c>
      <c r="AQ73" s="963" t="str">
        <f t="shared" si="39"/>
        <v>Fixed</v>
      </c>
      <c r="AR73" s="967" t="str">
        <f t="shared" si="40"/>
        <v>-</v>
      </c>
      <c r="AS73" s="964" t="str">
        <f t="shared" si="41"/>
        <v>-</v>
      </c>
      <c r="AT73" s="964" t="str">
        <f t="shared" si="42"/>
        <v>-</v>
      </c>
      <c r="AU73" s="964" t="str">
        <f t="shared" si="43"/>
        <v>-</v>
      </c>
      <c r="AV73" s="1350" t="str">
        <f t="shared" si="44"/>
        <v>-</v>
      </c>
      <c r="AW73" s="1343" t="str">
        <f t="shared" si="45"/>
        <v>-</v>
      </c>
      <c r="AX73" s="964" t="str">
        <f t="shared" si="46"/>
        <v>-</v>
      </c>
      <c r="AY73" s="964" t="str">
        <f t="shared" si="47"/>
        <v>-</v>
      </c>
      <c r="AZ73" s="964" t="str">
        <f t="shared" si="48"/>
        <v>-</v>
      </c>
      <c r="BA73" s="965" t="str">
        <f t="shared" si="49"/>
        <v>-</v>
      </c>
      <c r="BB73" s="1343" t="str">
        <f t="shared" si="50"/>
        <v>-</v>
      </c>
      <c r="BC73" s="964" t="str">
        <f t="shared" si="51"/>
        <v>-</v>
      </c>
      <c r="BD73" s="964" t="str">
        <f t="shared" si="52"/>
        <v>-</v>
      </c>
      <c r="BE73" s="964" t="str">
        <f t="shared" si="53"/>
        <v>-</v>
      </c>
      <c r="BF73" s="966" t="str">
        <f t="shared" si="54"/>
        <v>-</v>
      </c>
      <c r="BG73" s="951"/>
      <c r="BH73" s="1541" t="str">
        <f t="shared" si="55"/>
        <v>Qty</v>
      </c>
      <c r="BI73" s="1542" t="str">
        <f t="shared" si="56"/>
        <v>Water</v>
      </c>
      <c r="BJ73" s="1543" t="str">
        <f t="shared" si="57"/>
        <v>Fixed</v>
      </c>
      <c r="BK73" s="964" t="str">
        <f t="shared" ref="BK73:BU73" si="71">IF(V73="","-",IFERROR((V73/U73-1)*(U74/U$13),"-"))</f>
        <v>-</v>
      </c>
      <c r="BL73" s="964" t="str">
        <f t="shared" si="71"/>
        <v>-</v>
      </c>
      <c r="BM73" s="964" t="str">
        <f t="shared" si="71"/>
        <v>-</v>
      </c>
      <c r="BN73" s="964" t="str">
        <f t="shared" si="71"/>
        <v>-</v>
      </c>
      <c r="BO73" s="1350" t="str">
        <f t="shared" si="71"/>
        <v>-</v>
      </c>
      <c r="BP73" s="1343" t="str">
        <f t="shared" si="71"/>
        <v>-</v>
      </c>
      <c r="BQ73" s="964" t="str">
        <f t="shared" si="71"/>
        <v>-</v>
      </c>
      <c r="BR73" s="964" t="str">
        <f t="shared" si="71"/>
        <v>-</v>
      </c>
      <c r="BS73" s="964" t="str">
        <f t="shared" si="71"/>
        <v>-</v>
      </c>
      <c r="BT73" s="965" t="str">
        <f t="shared" si="71"/>
        <v>-</v>
      </c>
      <c r="BU73" s="964" t="str">
        <f t="shared" si="71"/>
        <v>-</v>
      </c>
      <c r="BV73" s="964" t="str">
        <f>IF(AG73="","-",IFERROR((AG73/AF73-1)*(AF74/AF$13),"-"))</f>
        <v>-</v>
      </c>
      <c r="BW73" s="964" t="str">
        <f>IF(AH73="","-",IFERROR((AH73/AG73-1)*(AG74/AG$13),"-"))</f>
        <v>-</v>
      </c>
      <c r="BX73" s="964" t="str">
        <f>IF(AI73="","-",IFERROR((AI73/AH73-1)*(AH74/AH$13),"-"))</f>
        <v>-</v>
      </c>
      <c r="BY73" s="966" t="str">
        <f>IF(AJ73="","-",IFERROR((AJ73/AI73-1)*(AI74/AI$13),"-"))</f>
        <v>-</v>
      </c>
      <c r="BZ73" s="951"/>
      <c r="CA73" s="961" t="str">
        <f t="shared" si="34"/>
        <v>Qty</v>
      </c>
      <c r="CB73" s="962" t="str">
        <f t="shared" si="35"/>
        <v>Water</v>
      </c>
      <c r="CC73" s="962" t="str">
        <f t="shared" si="36"/>
        <v>Fixed</v>
      </c>
      <c r="CD73" s="967" t="str">
        <f t="shared" si="66"/>
        <v>-</v>
      </c>
      <c r="CE73" s="964" t="str">
        <f t="shared" si="59"/>
        <v>-</v>
      </c>
      <c r="CF73" s="964" t="str">
        <f t="shared" si="60"/>
        <v>-</v>
      </c>
      <c r="CG73" s="965" t="str">
        <f t="shared" si="61"/>
        <v>-</v>
      </c>
      <c r="CH73" s="964" t="str">
        <f t="shared" si="67"/>
        <v>-</v>
      </c>
      <c r="CI73" s="964" t="str">
        <f t="shared" si="62"/>
        <v>-</v>
      </c>
      <c r="CJ73" s="964" t="str">
        <f t="shared" si="63"/>
        <v>-</v>
      </c>
      <c r="CK73" s="966" t="str">
        <f t="shared" si="64"/>
        <v>-</v>
      </c>
    </row>
    <row r="74" spans="4:89" ht="12.75" thickBot="1">
      <c r="E74" s="568" t="s">
        <v>882</v>
      </c>
      <c r="F74" s="560" t="str">
        <f>+F72</f>
        <v>Water</v>
      </c>
      <c r="G74" s="561" t="str">
        <f>+G72</f>
        <v>SEW</v>
      </c>
      <c r="H74" s="561" t="str">
        <f>+H72</f>
        <v>Greater Yarra System - Thomson River</v>
      </c>
      <c r="I74" s="562" t="str">
        <f>+I72</f>
        <v>Fixed</v>
      </c>
      <c r="J74" s="563" t="s">
        <v>883</v>
      </c>
      <c r="K74" s="564">
        <f t="shared" ref="K74:AJ74" si="72">K72*K73/10^6</f>
        <v>0</v>
      </c>
      <c r="L74" s="565">
        <f t="shared" si="72"/>
        <v>0</v>
      </c>
      <c r="M74" s="565">
        <f t="shared" si="72"/>
        <v>0</v>
      </c>
      <c r="N74" s="564">
        <f t="shared" si="72"/>
        <v>0</v>
      </c>
      <c r="O74" s="565">
        <f t="shared" si="72"/>
        <v>0</v>
      </c>
      <c r="P74" s="565">
        <f t="shared" si="72"/>
        <v>0</v>
      </c>
      <c r="Q74" s="565">
        <f t="shared" si="72"/>
        <v>0</v>
      </c>
      <c r="R74" s="566">
        <f t="shared" si="72"/>
        <v>0</v>
      </c>
      <c r="S74" s="564">
        <f t="shared" si="72"/>
        <v>0</v>
      </c>
      <c r="T74" s="565">
        <f t="shared" si="72"/>
        <v>0</v>
      </c>
      <c r="U74" s="566">
        <f t="shared" si="72"/>
        <v>0</v>
      </c>
      <c r="V74" s="564">
        <f t="shared" si="72"/>
        <v>0</v>
      </c>
      <c r="W74" s="565">
        <f t="shared" si="72"/>
        <v>0</v>
      </c>
      <c r="X74" s="565">
        <f t="shared" si="72"/>
        <v>0</v>
      </c>
      <c r="Y74" s="565">
        <f t="shared" si="72"/>
        <v>0</v>
      </c>
      <c r="Z74" s="566">
        <f t="shared" si="72"/>
        <v>0</v>
      </c>
      <c r="AA74" s="564">
        <f t="shared" si="72"/>
        <v>0</v>
      </c>
      <c r="AB74" s="565">
        <f t="shared" si="72"/>
        <v>0</v>
      </c>
      <c r="AC74" s="565">
        <f t="shared" si="72"/>
        <v>0</v>
      </c>
      <c r="AD74" s="565">
        <f t="shared" si="72"/>
        <v>0</v>
      </c>
      <c r="AE74" s="566">
        <f t="shared" si="72"/>
        <v>0</v>
      </c>
      <c r="AF74" s="564">
        <f t="shared" si="72"/>
        <v>0</v>
      </c>
      <c r="AG74" s="565">
        <f t="shared" si="72"/>
        <v>0</v>
      </c>
      <c r="AH74" s="565">
        <f t="shared" si="72"/>
        <v>0</v>
      </c>
      <c r="AI74" s="565">
        <f t="shared" si="72"/>
        <v>0</v>
      </c>
      <c r="AJ74" s="566">
        <f t="shared" si="72"/>
        <v>0</v>
      </c>
      <c r="AK74" s="569"/>
      <c r="AL74" s="569"/>
      <c r="AN74" s="857"/>
      <c r="AO74" s="984" t="str">
        <f t="shared" si="37"/>
        <v>Rev</v>
      </c>
      <c r="AP74" s="985" t="str">
        <f t="shared" si="38"/>
        <v>Water</v>
      </c>
      <c r="AQ74" s="986" t="str">
        <f t="shared" si="39"/>
        <v>Fixed</v>
      </c>
      <c r="AR74" s="990" t="str">
        <f t="shared" si="40"/>
        <v>-</v>
      </c>
      <c r="AS74" s="987" t="str">
        <f t="shared" si="41"/>
        <v>-</v>
      </c>
      <c r="AT74" s="987" t="str">
        <f t="shared" si="42"/>
        <v>-</v>
      </c>
      <c r="AU74" s="987" t="str">
        <f t="shared" si="43"/>
        <v>-</v>
      </c>
      <c r="AV74" s="1353" t="str">
        <f t="shared" si="44"/>
        <v>-</v>
      </c>
      <c r="AW74" s="1346" t="str">
        <f t="shared" si="45"/>
        <v>-</v>
      </c>
      <c r="AX74" s="987" t="str">
        <f t="shared" si="46"/>
        <v>-</v>
      </c>
      <c r="AY74" s="987" t="str">
        <f t="shared" si="47"/>
        <v>-</v>
      </c>
      <c r="AZ74" s="987" t="str">
        <f t="shared" si="48"/>
        <v>-</v>
      </c>
      <c r="BA74" s="988" t="str">
        <f t="shared" si="49"/>
        <v>-</v>
      </c>
      <c r="BB74" s="1346" t="str">
        <f t="shared" si="50"/>
        <v>-</v>
      </c>
      <c r="BC74" s="987" t="str">
        <f t="shared" si="51"/>
        <v>-</v>
      </c>
      <c r="BD74" s="987" t="str">
        <f t="shared" si="52"/>
        <v>-</v>
      </c>
      <c r="BE74" s="987" t="str">
        <f t="shared" si="53"/>
        <v>-</v>
      </c>
      <c r="BF74" s="989" t="str">
        <f t="shared" si="54"/>
        <v>-</v>
      </c>
      <c r="BG74" s="951"/>
      <c r="BH74" s="1550" t="str">
        <f t="shared" si="55"/>
        <v>Rev</v>
      </c>
      <c r="BI74" s="1551" t="str">
        <f t="shared" si="56"/>
        <v>Water</v>
      </c>
      <c r="BJ74" s="1552" t="str">
        <f t="shared" si="57"/>
        <v>Fixed</v>
      </c>
      <c r="BK74" s="987" t="str">
        <f t="shared" ref="BK74:BU74" si="73">IF(V74="","-",IFERROR((V74/U74-1)*(U74/U$13),"-"))</f>
        <v>-</v>
      </c>
      <c r="BL74" s="987" t="str">
        <f t="shared" si="73"/>
        <v>-</v>
      </c>
      <c r="BM74" s="987" t="str">
        <f t="shared" si="73"/>
        <v>-</v>
      </c>
      <c r="BN74" s="987" t="str">
        <f t="shared" si="73"/>
        <v>-</v>
      </c>
      <c r="BO74" s="1353" t="str">
        <f t="shared" si="73"/>
        <v>-</v>
      </c>
      <c r="BP74" s="1346" t="str">
        <f t="shared" si="73"/>
        <v>-</v>
      </c>
      <c r="BQ74" s="987" t="str">
        <f t="shared" si="73"/>
        <v>-</v>
      </c>
      <c r="BR74" s="987" t="str">
        <f t="shared" si="73"/>
        <v>-</v>
      </c>
      <c r="BS74" s="987" t="str">
        <f t="shared" si="73"/>
        <v>-</v>
      </c>
      <c r="BT74" s="988" t="str">
        <f t="shared" si="73"/>
        <v>-</v>
      </c>
      <c r="BU74" s="987" t="str">
        <f t="shared" si="73"/>
        <v>-</v>
      </c>
      <c r="BV74" s="987" t="str">
        <f>IF(AG74="","-",IFERROR((AG74/AF74-1)*(AF74/AF$13),"-"))</f>
        <v>-</v>
      </c>
      <c r="BW74" s="987" t="str">
        <f>IF(AH74="","-",IFERROR((AH74/AG74-1)*(AG74/AG$13),"-"))</f>
        <v>-</v>
      </c>
      <c r="BX74" s="987" t="str">
        <f>IF(AI74="","-",IFERROR((AI74/AH74-1)*(AH74/AH$13),"-"))</f>
        <v>-</v>
      </c>
      <c r="BY74" s="989" t="str">
        <f>IF(AJ74="","-",IFERROR((AJ74/AI74-1)*(AI74/AI$13),"-"))</f>
        <v>-</v>
      </c>
      <c r="BZ74" s="951"/>
      <c r="CA74" s="984" t="str">
        <f t="shared" si="34"/>
        <v>Rev</v>
      </c>
      <c r="CB74" s="985" t="str">
        <f t="shared" si="35"/>
        <v>Water</v>
      </c>
      <c r="CC74" s="985" t="str">
        <f t="shared" si="36"/>
        <v>Fixed</v>
      </c>
      <c r="CD74" s="990" t="str">
        <f t="shared" si="66"/>
        <v>-</v>
      </c>
      <c r="CE74" s="987" t="str">
        <f t="shared" si="59"/>
        <v>-</v>
      </c>
      <c r="CF74" s="987" t="str">
        <f t="shared" si="60"/>
        <v>-</v>
      </c>
      <c r="CG74" s="988" t="str">
        <f t="shared" si="61"/>
        <v>-</v>
      </c>
      <c r="CH74" s="987" t="str">
        <f t="shared" si="67"/>
        <v>-</v>
      </c>
      <c r="CI74" s="987" t="str">
        <f t="shared" si="62"/>
        <v>-</v>
      </c>
      <c r="CJ74" s="987" t="str">
        <f t="shared" si="63"/>
        <v>-</v>
      </c>
      <c r="CK74" s="989" t="str">
        <f t="shared" si="64"/>
        <v>-</v>
      </c>
    </row>
    <row r="75" spans="4:89">
      <c r="D75" s="63">
        <f>D72+1</f>
        <v>3</v>
      </c>
      <c r="E75" s="550" t="s">
        <v>857</v>
      </c>
      <c r="F75" s="595" t="s">
        <v>401</v>
      </c>
      <c r="G75" s="595" t="s">
        <v>103</v>
      </c>
      <c r="H75" s="595" t="s">
        <v>878</v>
      </c>
      <c r="I75" s="589" t="s">
        <v>842</v>
      </c>
      <c r="J75" s="589" t="s">
        <v>879</v>
      </c>
      <c r="K75" s="551"/>
      <c r="L75" s="552"/>
      <c r="M75" s="552"/>
      <c r="N75" s="551"/>
      <c r="O75" s="552"/>
      <c r="P75" s="552"/>
      <c r="Q75" s="552"/>
      <c r="R75" s="1035"/>
      <c r="S75" s="1138"/>
      <c r="T75" s="591"/>
      <c r="U75" s="1035"/>
      <c r="V75" s="1138"/>
      <c r="W75" s="591"/>
      <c r="X75" s="591"/>
      <c r="Y75" s="591"/>
      <c r="Z75" s="1035"/>
      <c r="AA75" s="1138"/>
      <c r="AB75" s="591"/>
      <c r="AC75" s="591"/>
      <c r="AD75" s="591"/>
      <c r="AE75" s="1035"/>
      <c r="AF75" s="1138"/>
      <c r="AG75" s="591"/>
      <c r="AH75" s="591"/>
      <c r="AI75" s="591"/>
      <c r="AJ75" s="1035"/>
      <c r="AK75" s="569"/>
      <c r="AL75" s="569"/>
      <c r="AM75" s="974"/>
      <c r="AN75" s="857"/>
      <c r="AO75" s="975" t="str">
        <f t="shared" si="37"/>
        <v>Price</v>
      </c>
      <c r="AP75" s="976" t="str">
        <f t="shared" si="38"/>
        <v>Water</v>
      </c>
      <c r="AQ75" s="977" t="str">
        <f t="shared" si="39"/>
        <v>Fixed</v>
      </c>
      <c r="AR75" s="1341" t="str">
        <f t="shared" si="40"/>
        <v>-</v>
      </c>
      <c r="AS75" s="978" t="str">
        <f t="shared" si="41"/>
        <v>-</v>
      </c>
      <c r="AT75" s="979" t="str">
        <f t="shared" si="42"/>
        <v>-</v>
      </c>
      <c r="AU75" s="979" t="str">
        <f t="shared" si="43"/>
        <v>-</v>
      </c>
      <c r="AV75" s="1352" t="str">
        <f t="shared" si="44"/>
        <v>-</v>
      </c>
      <c r="AW75" s="1345" t="str">
        <f t="shared" si="45"/>
        <v>-</v>
      </c>
      <c r="AX75" s="979" t="str">
        <f t="shared" si="46"/>
        <v>-</v>
      </c>
      <c r="AY75" s="979" t="str">
        <f t="shared" si="47"/>
        <v>-</v>
      </c>
      <c r="AZ75" s="979" t="str">
        <f t="shared" si="48"/>
        <v>-</v>
      </c>
      <c r="BA75" s="980" t="str">
        <f t="shared" si="49"/>
        <v>-</v>
      </c>
      <c r="BB75" s="1345" t="str">
        <f t="shared" si="50"/>
        <v>-</v>
      </c>
      <c r="BC75" s="979" t="str">
        <f t="shared" si="51"/>
        <v>-</v>
      </c>
      <c r="BD75" s="979" t="str">
        <f t="shared" si="52"/>
        <v>-</v>
      </c>
      <c r="BE75" s="979" t="str">
        <f t="shared" si="53"/>
        <v>-</v>
      </c>
      <c r="BF75" s="981" t="str">
        <f t="shared" si="54"/>
        <v>-</v>
      </c>
      <c r="BG75" s="951"/>
      <c r="BH75" s="1547" t="str">
        <f t="shared" si="55"/>
        <v>Price</v>
      </c>
      <c r="BI75" s="1548" t="str">
        <f t="shared" si="56"/>
        <v>Water</v>
      </c>
      <c r="BJ75" s="1549" t="str">
        <f t="shared" si="57"/>
        <v>Fixed</v>
      </c>
      <c r="BK75" s="978" t="str">
        <f t="shared" ref="BK75:BU75" si="74">IF(V75="","-",IFERROR((V75/U75-1)*(U77/U$13),"-"))</f>
        <v>-</v>
      </c>
      <c r="BL75" s="978" t="str">
        <f t="shared" si="74"/>
        <v>-</v>
      </c>
      <c r="BM75" s="979" t="str">
        <f t="shared" si="74"/>
        <v>-</v>
      </c>
      <c r="BN75" s="979" t="str">
        <f t="shared" si="74"/>
        <v>-</v>
      </c>
      <c r="BO75" s="1352" t="str">
        <f t="shared" si="74"/>
        <v>-</v>
      </c>
      <c r="BP75" s="1345" t="str">
        <f t="shared" si="74"/>
        <v>-</v>
      </c>
      <c r="BQ75" s="979" t="str">
        <f t="shared" si="74"/>
        <v>-</v>
      </c>
      <c r="BR75" s="979" t="str">
        <f t="shared" si="74"/>
        <v>-</v>
      </c>
      <c r="BS75" s="979" t="str">
        <f t="shared" si="74"/>
        <v>-</v>
      </c>
      <c r="BT75" s="980" t="str">
        <f t="shared" si="74"/>
        <v>-</v>
      </c>
      <c r="BU75" s="979" t="str">
        <f t="shared" si="74"/>
        <v>-</v>
      </c>
      <c r="BV75" s="979" t="str">
        <f>IF(AG75="","-",IFERROR((AG75/AF75-1)*(AF77/AF$13),"-"))</f>
        <v>-</v>
      </c>
      <c r="BW75" s="979" t="str">
        <f>IF(AH75="","-",IFERROR((AH75/AG75-1)*(AG77/AG$13),"-"))</f>
        <v>-</v>
      </c>
      <c r="BX75" s="979" t="str">
        <f>IF(AI75="","-",IFERROR((AI75/AH75-1)*(AH77/AH$13),"-"))</f>
        <v>-</v>
      </c>
      <c r="BY75" s="981" t="str">
        <f>IF(AJ75="","-",IFERROR((AJ75/AI75-1)*(AI77/AI$13),"-"))</f>
        <v>-</v>
      </c>
      <c r="BZ75" s="951"/>
      <c r="CA75" s="975" t="str">
        <f t="shared" si="34"/>
        <v>Price</v>
      </c>
      <c r="CB75" s="976" t="str">
        <f t="shared" si="35"/>
        <v>Water</v>
      </c>
      <c r="CC75" s="982" t="str">
        <f t="shared" si="36"/>
        <v>Fixed</v>
      </c>
      <c r="CD75" s="983" t="str">
        <f t="shared" si="66"/>
        <v>-</v>
      </c>
      <c r="CE75" s="979" t="str">
        <f t="shared" si="59"/>
        <v>-</v>
      </c>
      <c r="CF75" s="979" t="str">
        <f t="shared" si="60"/>
        <v>-</v>
      </c>
      <c r="CG75" s="980" t="str">
        <f t="shared" si="61"/>
        <v>-</v>
      </c>
      <c r="CH75" s="979" t="str">
        <f t="shared" si="67"/>
        <v>-</v>
      </c>
      <c r="CI75" s="979" t="str">
        <f t="shared" si="62"/>
        <v>-</v>
      </c>
      <c r="CJ75" s="979" t="str">
        <f t="shared" si="63"/>
        <v>-</v>
      </c>
      <c r="CK75" s="981" t="str">
        <f t="shared" si="64"/>
        <v>-</v>
      </c>
    </row>
    <row r="76" spans="4:89">
      <c r="E76" s="567" t="s">
        <v>880</v>
      </c>
      <c r="F76" s="554" t="str">
        <f>+F75</f>
        <v>Water</v>
      </c>
      <c r="G76" s="555" t="str">
        <f>+G75</f>
        <v>YVW</v>
      </c>
      <c r="H76" s="555" t="str">
        <f>+H75</f>
        <v>Greater Yarra System - Thomson River</v>
      </c>
      <c r="I76" s="556" t="str">
        <f>+I75</f>
        <v>Fixed</v>
      </c>
      <c r="J76" s="590" t="s">
        <v>881</v>
      </c>
      <c r="K76" s="557"/>
      <c r="L76" s="558"/>
      <c r="M76" s="558"/>
      <c r="N76" s="557"/>
      <c r="O76" s="558"/>
      <c r="P76" s="558"/>
      <c r="Q76" s="558"/>
      <c r="R76" s="1036"/>
      <c r="S76" s="1139"/>
      <c r="T76" s="593"/>
      <c r="U76" s="1036"/>
      <c r="V76" s="1139"/>
      <c r="W76" s="593"/>
      <c r="X76" s="593"/>
      <c r="Y76" s="593"/>
      <c r="Z76" s="1036"/>
      <c r="AA76" s="1139"/>
      <c r="AB76" s="593"/>
      <c r="AC76" s="593"/>
      <c r="AD76" s="593"/>
      <c r="AE76" s="1036"/>
      <c r="AF76" s="1139"/>
      <c r="AG76" s="593"/>
      <c r="AH76" s="593"/>
      <c r="AI76" s="593"/>
      <c r="AJ76" s="1036"/>
      <c r="AK76" s="569"/>
      <c r="AL76" s="569"/>
      <c r="AN76" s="857"/>
      <c r="AO76" s="961" t="str">
        <f t="shared" si="37"/>
        <v>Qty</v>
      </c>
      <c r="AP76" s="962" t="str">
        <f t="shared" si="38"/>
        <v>Water</v>
      </c>
      <c r="AQ76" s="963" t="str">
        <f t="shared" si="39"/>
        <v>Fixed</v>
      </c>
      <c r="AR76" s="967" t="str">
        <f t="shared" si="40"/>
        <v>-</v>
      </c>
      <c r="AS76" s="964" t="str">
        <f t="shared" si="41"/>
        <v>-</v>
      </c>
      <c r="AT76" s="964" t="str">
        <f t="shared" si="42"/>
        <v>-</v>
      </c>
      <c r="AU76" s="964" t="str">
        <f t="shared" si="43"/>
        <v>-</v>
      </c>
      <c r="AV76" s="1350" t="str">
        <f t="shared" si="44"/>
        <v>-</v>
      </c>
      <c r="AW76" s="1343" t="str">
        <f t="shared" si="45"/>
        <v>-</v>
      </c>
      <c r="AX76" s="964" t="str">
        <f t="shared" si="46"/>
        <v>-</v>
      </c>
      <c r="AY76" s="964" t="str">
        <f t="shared" si="47"/>
        <v>-</v>
      </c>
      <c r="AZ76" s="964" t="str">
        <f t="shared" si="48"/>
        <v>-</v>
      </c>
      <c r="BA76" s="965" t="str">
        <f t="shared" si="49"/>
        <v>-</v>
      </c>
      <c r="BB76" s="1343" t="str">
        <f t="shared" si="50"/>
        <v>-</v>
      </c>
      <c r="BC76" s="964" t="str">
        <f t="shared" si="51"/>
        <v>-</v>
      </c>
      <c r="BD76" s="964" t="str">
        <f t="shared" si="52"/>
        <v>-</v>
      </c>
      <c r="BE76" s="964" t="str">
        <f t="shared" si="53"/>
        <v>-</v>
      </c>
      <c r="BF76" s="966" t="str">
        <f t="shared" si="54"/>
        <v>-</v>
      </c>
      <c r="BG76" s="951"/>
      <c r="BH76" s="1541" t="str">
        <f t="shared" si="55"/>
        <v>Qty</v>
      </c>
      <c r="BI76" s="1542" t="str">
        <f t="shared" si="56"/>
        <v>Water</v>
      </c>
      <c r="BJ76" s="1543" t="str">
        <f t="shared" si="57"/>
        <v>Fixed</v>
      </c>
      <c r="BK76" s="964" t="str">
        <f t="shared" ref="BK76:BU76" si="75">IF(V76="","-",IFERROR((V76/U76-1)*(U77/U$13),"-"))</f>
        <v>-</v>
      </c>
      <c r="BL76" s="964" t="str">
        <f t="shared" si="75"/>
        <v>-</v>
      </c>
      <c r="BM76" s="964" t="str">
        <f t="shared" si="75"/>
        <v>-</v>
      </c>
      <c r="BN76" s="964" t="str">
        <f t="shared" si="75"/>
        <v>-</v>
      </c>
      <c r="BO76" s="1350" t="str">
        <f t="shared" si="75"/>
        <v>-</v>
      </c>
      <c r="BP76" s="1343" t="str">
        <f t="shared" si="75"/>
        <v>-</v>
      </c>
      <c r="BQ76" s="964" t="str">
        <f t="shared" si="75"/>
        <v>-</v>
      </c>
      <c r="BR76" s="964" t="str">
        <f t="shared" si="75"/>
        <v>-</v>
      </c>
      <c r="BS76" s="964" t="str">
        <f t="shared" si="75"/>
        <v>-</v>
      </c>
      <c r="BT76" s="965" t="str">
        <f t="shared" si="75"/>
        <v>-</v>
      </c>
      <c r="BU76" s="964" t="str">
        <f t="shared" si="75"/>
        <v>-</v>
      </c>
      <c r="BV76" s="964" t="str">
        <f>IF(AG76="","-",IFERROR((AG76/AF76-1)*(AF77/AF$13),"-"))</f>
        <v>-</v>
      </c>
      <c r="BW76" s="964" t="str">
        <f>IF(AH76="","-",IFERROR((AH76/AG76-1)*(AG77/AG$13),"-"))</f>
        <v>-</v>
      </c>
      <c r="BX76" s="964" t="str">
        <f>IF(AI76="","-",IFERROR((AI76/AH76-1)*(AH77/AH$13),"-"))</f>
        <v>-</v>
      </c>
      <c r="BY76" s="966" t="str">
        <f>IF(AJ76="","-",IFERROR((AJ76/AI76-1)*(AI77/AI$13),"-"))</f>
        <v>-</v>
      </c>
      <c r="BZ76" s="951"/>
      <c r="CA76" s="961" t="str">
        <f t="shared" si="34"/>
        <v>Qty</v>
      </c>
      <c r="CB76" s="962" t="str">
        <f t="shared" si="35"/>
        <v>Water</v>
      </c>
      <c r="CC76" s="962" t="str">
        <f t="shared" si="36"/>
        <v>Fixed</v>
      </c>
      <c r="CD76" s="967" t="str">
        <f t="shared" si="66"/>
        <v>-</v>
      </c>
      <c r="CE76" s="964" t="str">
        <f t="shared" si="59"/>
        <v>-</v>
      </c>
      <c r="CF76" s="964" t="str">
        <f t="shared" si="60"/>
        <v>-</v>
      </c>
      <c r="CG76" s="965" t="str">
        <f t="shared" si="61"/>
        <v>-</v>
      </c>
      <c r="CH76" s="964" t="str">
        <f t="shared" si="67"/>
        <v>-</v>
      </c>
      <c r="CI76" s="964" t="str">
        <f t="shared" si="62"/>
        <v>-</v>
      </c>
      <c r="CJ76" s="964" t="str">
        <f t="shared" si="63"/>
        <v>-</v>
      </c>
      <c r="CK76" s="966" t="str">
        <f t="shared" si="64"/>
        <v>-</v>
      </c>
    </row>
    <row r="77" spans="4:89" ht="12.75" thickBot="1">
      <c r="E77" s="568" t="s">
        <v>882</v>
      </c>
      <c r="F77" s="560" t="str">
        <f>+F75</f>
        <v>Water</v>
      </c>
      <c r="G77" s="561" t="str">
        <f>+G75</f>
        <v>YVW</v>
      </c>
      <c r="H77" s="561" t="str">
        <f>+H75</f>
        <v>Greater Yarra System - Thomson River</v>
      </c>
      <c r="I77" s="562" t="str">
        <f>+I75</f>
        <v>Fixed</v>
      </c>
      <c r="J77" s="563" t="s">
        <v>883</v>
      </c>
      <c r="K77" s="564">
        <f t="shared" ref="K77:AJ77" si="76">K75*K76/10^6</f>
        <v>0</v>
      </c>
      <c r="L77" s="565">
        <f t="shared" si="76"/>
        <v>0</v>
      </c>
      <c r="M77" s="565">
        <f t="shared" si="76"/>
        <v>0</v>
      </c>
      <c r="N77" s="564">
        <f t="shared" si="76"/>
        <v>0</v>
      </c>
      <c r="O77" s="565">
        <f t="shared" si="76"/>
        <v>0</v>
      </c>
      <c r="P77" s="565">
        <f t="shared" si="76"/>
        <v>0</v>
      </c>
      <c r="Q77" s="565">
        <f t="shared" si="76"/>
        <v>0</v>
      </c>
      <c r="R77" s="566">
        <f t="shared" si="76"/>
        <v>0</v>
      </c>
      <c r="S77" s="564">
        <f t="shared" si="76"/>
        <v>0</v>
      </c>
      <c r="T77" s="565">
        <f t="shared" si="76"/>
        <v>0</v>
      </c>
      <c r="U77" s="566">
        <f t="shared" si="76"/>
        <v>0</v>
      </c>
      <c r="V77" s="564">
        <f t="shared" si="76"/>
        <v>0</v>
      </c>
      <c r="W77" s="565">
        <f t="shared" si="76"/>
        <v>0</v>
      </c>
      <c r="X77" s="565">
        <f t="shared" si="76"/>
        <v>0</v>
      </c>
      <c r="Y77" s="565">
        <f t="shared" si="76"/>
        <v>0</v>
      </c>
      <c r="Z77" s="566">
        <f t="shared" si="76"/>
        <v>0</v>
      </c>
      <c r="AA77" s="564">
        <f t="shared" si="76"/>
        <v>0</v>
      </c>
      <c r="AB77" s="565">
        <f t="shared" si="76"/>
        <v>0</v>
      </c>
      <c r="AC77" s="565">
        <f t="shared" si="76"/>
        <v>0</v>
      </c>
      <c r="AD77" s="565">
        <f t="shared" si="76"/>
        <v>0</v>
      </c>
      <c r="AE77" s="566">
        <f t="shared" si="76"/>
        <v>0</v>
      </c>
      <c r="AF77" s="564">
        <f t="shared" si="76"/>
        <v>0</v>
      </c>
      <c r="AG77" s="565">
        <f t="shared" si="76"/>
        <v>0</v>
      </c>
      <c r="AH77" s="565">
        <f t="shared" si="76"/>
        <v>0</v>
      </c>
      <c r="AI77" s="565">
        <f t="shared" si="76"/>
        <v>0</v>
      </c>
      <c r="AJ77" s="566">
        <f t="shared" si="76"/>
        <v>0</v>
      </c>
      <c r="AK77" s="569"/>
      <c r="AL77" s="569"/>
      <c r="AN77" s="857"/>
      <c r="AO77" s="984" t="str">
        <f t="shared" si="37"/>
        <v>Rev</v>
      </c>
      <c r="AP77" s="985" t="str">
        <f t="shared" si="38"/>
        <v>Water</v>
      </c>
      <c r="AQ77" s="986" t="str">
        <f t="shared" si="39"/>
        <v>Fixed</v>
      </c>
      <c r="AR77" s="990" t="str">
        <f t="shared" si="40"/>
        <v>-</v>
      </c>
      <c r="AS77" s="987" t="str">
        <f t="shared" si="41"/>
        <v>-</v>
      </c>
      <c r="AT77" s="987" t="str">
        <f t="shared" si="42"/>
        <v>-</v>
      </c>
      <c r="AU77" s="987" t="str">
        <f t="shared" si="43"/>
        <v>-</v>
      </c>
      <c r="AV77" s="1353" t="str">
        <f t="shared" si="44"/>
        <v>-</v>
      </c>
      <c r="AW77" s="1346" t="str">
        <f t="shared" si="45"/>
        <v>-</v>
      </c>
      <c r="AX77" s="987" t="str">
        <f t="shared" si="46"/>
        <v>-</v>
      </c>
      <c r="AY77" s="987" t="str">
        <f t="shared" si="47"/>
        <v>-</v>
      </c>
      <c r="AZ77" s="987" t="str">
        <f t="shared" si="48"/>
        <v>-</v>
      </c>
      <c r="BA77" s="988" t="str">
        <f t="shared" si="49"/>
        <v>-</v>
      </c>
      <c r="BB77" s="1346" t="str">
        <f t="shared" si="50"/>
        <v>-</v>
      </c>
      <c r="BC77" s="987" t="str">
        <f t="shared" si="51"/>
        <v>-</v>
      </c>
      <c r="BD77" s="987" t="str">
        <f t="shared" si="52"/>
        <v>-</v>
      </c>
      <c r="BE77" s="987" t="str">
        <f t="shared" si="53"/>
        <v>-</v>
      </c>
      <c r="BF77" s="989" t="str">
        <f t="shared" si="54"/>
        <v>-</v>
      </c>
      <c r="BG77" s="951"/>
      <c r="BH77" s="1550" t="str">
        <f t="shared" si="55"/>
        <v>Rev</v>
      </c>
      <c r="BI77" s="1551" t="str">
        <f t="shared" si="56"/>
        <v>Water</v>
      </c>
      <c r="BJ77" s="1552" t="str">
        <f t="shared" si="57"/>
        <v>Fixed</v>
      </c>
      <c r="BK77" s="987" t="str">
        <f t="shared" ref="BK77:BU77" si="77">IF(V77="","-",IFERROR((V77/U77-1)*(U77/U$13),"-"))</f>
        <v>-</v>
      </c>
      <c r="BL77" s="987" t="str">
        <f t="shared" si="77"/>
        <v>-</v>
      </c>
      <c r="BM77" s="987" t="str">
        <f t="shared" si="77"/>
        <v>-</v>
      </c>
      <c r="BN77" s="987" t="str">
        <f t="shared" si="77"/>
        <v>-</v>
      </c>
      <c r="BO77" s="1353" t="str">
        <f t="shared" si="77"/>
        <v>-</v>
      </c>
      <c r="BP77" s="1346" t="str">
        <f t="shared" si="77"/>
        <v>-</v>
      </c>
      <c r="BQ77" s="987" t="str">
        <f t="shared" si="77"/>
        <v>-</v>
      </c>
      <c r="BR77" s="987" t="str">
        <f t="shared" si="77"/>
        <v>-</v>
      </c>
      <c r="BS77" s="987" t="str">
        <f t="shared" si="77"/>
        <v>-</v>
      </c>
      <c r="BT77" s="988" t="str">
        <f t="shared" si="77"/>
        <v>-</v>
      </c>
      <c r="BU77" s="987" t="str">
        <f t="shared" si="77"/>
        <v>-</v>
      </c>
      <c r="BV77" s="987" t="str">
        <f>IF(AG77="","-",IFERROR((AG77/AF77-1)*(AF77/AF$13),"-"))</f>
        <v>-</v>
      </c>
      <c r="BW77" s="987" t="str">
        <f>IF(AH77="","-",IFERROR((AH77/AG77-1)*(AG77/AG$13),"-"))</f>
        <v>-</v>
      </c>
      <c r="BX77" s="987" t="str">
        <f>IF(AI77="","-",IFERROR((AI77/AH77-1)*(AH77/AH$13),"-"))</f>
        <v>-</v>
      </c>
      <c r="BY77" s="989" t="str">
        <f>IF(AJ77="","-",IFERROR((AJ77/AI77-1)*(AI77/AI$13),"-"))</f>
        <v>-</v>
      </c>
      <c r="BZ77" s="951"/>
      <c r="CA77" s="984" t="str">
        <f t="shared" si="34"/>
        <v>Rev</v>
      </c>
      <c r="CB77" s="985" t="str">
        <f t="shared" si="35"/>
        <v>Water</v>
      </c>
      <c r="CC77" s="985" t="str">
        <f t="shared" si="36"/>
        <v>Fixed</v>
      </c>
      <c r="CD77" s="990" t="str">
        <f t="shared" si="66"/>
        <v>-</v>
      </c>
      <c r="CE77" s="987" t="str">
        <f t="shared" si="59"/>
        <v>-</v>
      </c>
      <c r="CF77" s="987" t="str">
        <f t="shared" si="60"/>
        <v>-</v>
      </c>
      <c r="CG77" s="988" t="str">
        <f t="shared" si="61"/>
        <v>-</v>
      </c>
      <c r="CH77" s="987" t="str">
        <f t="shared" si="67"/>
        <v>-</v>
      </c>
      <c r="CI77" s="987" t="str">
        <f t="shared" si="62"/>
        <v>-</v>
      </c>
      <c r="CJ77" s="987" t="str">
        <f t="shared" si="63"/>
        <v>-</v>
      </c>
      <c r="CK77" s="989" t="str">
        <f t="shared" si="64"/>
        <v>-</v>
      </c>
    </row>
    <row r="78" spans="4:89">
      <c r="D78" s="63">
        <f>D75+1</f>
        <v>4</v>
      </c>
      <c r="E78" s="550" t="s">
        <v>857</v>
      </c>
      <c r="F78" s="595" t="s">
        <v>401</v>
      </c>
      <c r="G78" s="595" t="s">
        <v>99</v>
      </c>
      <c r="H78" s="595" t="s">
        <v>878</v>
      </c>
      <c r="I78" s="589" t="s">
        <v>842</v>
      </c>
      <c r="J78" s="589" t="s">
        <v>879</v>
      </c>
      <c r="K78" s="551"/>
      <c r="L78" s="552"/>
      <c r="M78" s="552"/>
      <c r="N78" s="551"/>
      <c r="O78" s="552"/>
      <c r="P78" s="552"/>
      <c r="Q78" s="552"/>
      <c r="R78" s="1035"/>
      <c r="S78" s="1138"/>
      <c r="T78" s="591"/>
      <c r="U78" s="1035"/>
      <c r="V78" s="1138"/>
      <c r="W78" s="591"/>
      <c r="X78" s="591"/>
      <c r="Y78" s="591"/>
      <c r="Z78" s="1035"/>
      <c r="AA78" s="1138"/>
      <c r="AB78" s="591"/>
      <c r="AC78" s="591"/>
      <c r="AD78" s="591"/>
      <c r="AE78" s="1035"/>
      <c r="AF78" s="1138"/>
      <c r="AG78" s="591"/>
      <c r="AH78" s="591"/>
      <c r="AI78" s="591"/>
      <c r="AJ78" s="1035"/>
      <c r="AK78" s="569"/>
      <c r="AL78" s="569"/>
      <c r="AM78" s="974"/>
      <c r="AN78" s="857"/>
      <c r="AO78" s="975" t="str">
        <f t="shared" si="37"/>
        <v>Price</v>
      </c>
      <c r="AP78" s="976" t="str">
        <f t="shared" si="38"/>
        <v>Water</v>
      </c>
      <c r="AQ78" s="977" t="str">
        <f t="shared" si="39"/>
        <v>Fixed</v>
      </c>
      <c r="AR78" s="1341" t="str">
        <f t="shared" si="40"/>
        <v>-</v>
      </c>
      <c r="AS78" s="978" t="str">
        <f t="shared" si="41"/>
        <v>-</v>
      </c>
      <c r="AT78" s="979" t="str">
        <f t="shared" si="42"/>
        <v>-</v>
      </c>
      <c r="AU78" s="979" t="str">
        <f t="shared" si="43"/>
        <v>-</v>
      </c>
      <c r="AV78" s="1352" t="str">
        <f t="shared" si="44"/>
        <v>-</v>
      </c>
      <c r="AW78" s="1345" t="str">
        <f t="shared" si="45"/>
        <v>-</v>
      </c>
      <c r="AX78" s="979" t="str">
        <f t="shared" si="46"/>
        <v>-</v>
      </c>
      <c r="AY78" s="979" t="str">
        <f t="shared" si="47"/>
        <v>-</v>
      </c>
      <c r="AZ78" s="979" t="str">
        <f t="shared" si="48"/>
        <v>-</v>
      </c>
      <c r="BA78" s="980" t="str">
        <f t="shared" si="49"/>
        <v>-</v>
      </c>
      <c r="BB78" s="1345" t="str">
        <f t="shared" si="50"/>
        <v>-</v>
      </c>
      <c r="BC78" s="979" t="str">
        <f t="shared" si="51"/>
        <v>-</v>
      </c>
      <c r="BD78" s="979" t="str">
        <f t="shared" si="52"/>
        <v>-</v>
      </c>
      <c r="BE78" s="979" t="str">
        <f t="shared" si="53"/>
        <v>-</v>
      </c>
      <c r="BF78" s="981" t="str">
        <f t="shared" si="54"/>
        <v>-</v>
      </c>
      <c r="BG78" s="951"/>
      <c r="BH78" s="1547" t="str">
        <f t="shared" si="55"/>
        <v>Price</v>
      </c>
      <c r="BI78" s="1548" t="str">
        <f t="shared" si="56"/>
        <v>Water</v>
      </c>
      <c r="BJ78" s="1549" t="str">
        <f t="shared" si="57"/>
        <v>Fixed</v>
      </c>
      <c r="BK78" s="978" t="str">
        <f t="shared" ref="BK78:BU78" si="78">IF(V78="","-",IFERROR((V78/U78-1)*(U80/U$13),"-"))</f>
        <v>-</v>
      </c>
      <c r="BL78" s="978" t="str">
        <f t="shared" si="78"/>
        <v>-</v>
      </c>
      <c r="BM78" s="979" t="str">
        <f t="shared" si="78"/>
        <v>-</v>
      </c>
      <c r="BN78" s="979" t="str">
        <f t="shared" si="78"/>
        <v>-</v>
      </c>
      <c r="BO78" s="1352" t="str">
        <f t="shared" si="78"/>
        <v>-</v>
      </c>
      <c r="BP78" s="1345" t="str">
        <f t="shared" si="78"/>
        <v>-</v>
      </c>
      <c r="BQ78" s="979" t="str">
        <f t="shared" si="78"/>
        <v>-</v>
      </c>
      <c r="BR78" s="979" t="str">
        <f t="shared" si="78"/>
        <v>-</v>
      </c>
      <c r="BS78" s="979" t="str">
        <f t="shared" si="78"/>
        <v>-</v>
      </c>
      <c r="BT78" s="980" t="str">
        <f t="shared" si="78"/>
        <v>-</v>
      </c>
      <c r="BU78" s="979" t="str">
        <f t="shared" si="78"/>
        <v>-</v>
      </c>
      <c r="BV78" s="979" t="str">
        <f>IF(AG78="","-",IFERROR((AG78/AF78-1)*(AF80/AF$13),"-"))</f>
        <v>-</v>
      </c>
      <c r="BW78" s="979" t="str">
        <f>IF(AH78="","-",IFERROR((AH78/AG78-1)*(AG80/AG$13),"-"))</f>
        <v>-</v>
      </c>
      <c r="BX78" s="979" t="str">
        <f>IF(AI78="","-",IFERROR((AI78/AH78-1)*(AH80/AH$13),"-"))</f>
        <v>-</v>
      </c>
      <c r="BY78" s="981" t="str">
        <f>IF(AJ78="","-",IFERROR((AJ78/AI78-1)*(AI80/AI$13),"-"))</f>
        <v>-</v>
      </c>
      <c r="BZ78" s="951"/>
      <c r="CA78" s="975" t="str">
        <f t="shared" si="34"/>
        <v>Price</v>
      </c>
      <c r="CB78" s="976" t="str">
        <f t="shared" si="35"/>
        <v>Water</v>
      </c>
      <c r="CC78" s="982" t="str">
        <f t="shared" si="36"/>
        <v>Fixed</v>
      </c>
      <c r="CD78" s="983" t="str">
        <f t="shared" si="66"/>
        <v>-</v>
      </c>
      <c r="CE78" s="979" t="str">
        <f t="shared" si="59"/>
        <v>-</v>
      </c>
      <c r="CF78" s="979" t="str">
        <f t="shared" si="60"/>
        <v>-</v>
      </c>
      <c r="CG78" s="980" t="str">
        <f t="shared" si="61"/>
        <v>-</v>
      </c>
      <c r="CH78" s="979" t="str">
        <f t="shared" si="67"/>
        <v>-</v>
      </c>
      <c r="CI78" s="979" t="str">
        <f t="shared" si="62"/>
        <v>-</v>
      </c>
      <c r="CJ78" s="979" t="str">
        <f t="shared" si="63"/>
        <v>-</v>
      </c>
      <c r="CK78" s="981" t="str">
        <f t="shared" si="64"/>
        <v>-</v>
      </c>
    </row>
    <row r="79" spans="4:89">
      <c r="E79" s="567" t="s">
        <v>880</v>
      </c>
      <c r="F79" s="554" t="str">
        <f>+F78</f>
        <v>Water</v>
      </c>
      <c r="G79" s="555" t="str">
        <f>+G78</f>
        <v>WW</v>
      </c>
      <c r="H79" s="555" t="str">
        <f>+H78</f>
        <v>Greater Yarra System - Thomson River</v>
      </c>
      <c r="I79" s="556" t="str">
        <f>+I78</f>
        <v>Fixed</v>
      </c>
      <c r="J79" s="590" t="s">
        <v>881</v>
      </c>
      <c r="K79" s="557"/>
      <c r="L79" s="558"/>
      <c r="M79" s="558"/>
      <c r="N79" s="557"/>
      <c r="O79" s="558"/>
      <c r="P79" s="558"/>
      <c r="Q79" s="558"/>
      <c r="R79" s="1036"/>
      <c r="S79" s="1139"/>
      <c r="T79" s="593"/>
      <c r="U79" s="1036"/>
      <c r="V79" s="1139"/>
      <c r="W79" s="593"/>
      <c r="X79" s="593"/>
      <c r="Y79" s="593"/>
      <c r="Z79" s="1036"/>
      <c r="AA79" s="1139"/>
      <c r="AB79" s="593"/>
      <c r="AC79" s="593"/>
      <c r="AD79" s="593"/>
      <c r="AE79" s="1036"/>
      <c r="AF79" s="1139"/>
      <c r="AG79" s="593"/>
      <c r="AH79" s="593"/>
      <c r="AI79" s="593"/>
      <c r="AJ79" s="1036"/>
      <c r="AK79" s="569"/>
      <c r="AL79" s="569"/>
      <c r="AN79" s="857"/>
      <c r="AO79" s="961" t="str">
        <f t="shared" si="37"/>
        <v>Qty</v>
      </c>
      <c r="AP79" s="962" t="str">
        <f t="shared" si="38"/>
        <v>Water</v>
      </c>
      <c r="AQ79" s="963" t="str">
        <f t="shared" si="39"/>
        <v>Fixed</v>
      </c>
      <c r="AR79" s="967" t="str">
        <f t="shared" si="40"/>
        <v>-</v>
      </c>
      <c r="AS79" s="964" t="str">
        <f t="shared" si="41"/>
        <v>-</v>
      </c>
      <c r="AT79" s="964" t="str">
        <f t="shared" si="42"/>
        <v>-</v>
      </c>
      <c r="AU79" s="964" t="str">
        <f t="shared" si="43"/>
        <v>-</v>
      </c>
      <c r="AV79" s="1350" t="str">
        <f t="shared" si="44"/>
        <v>-</v>
      </c>
      <c r="AW79" s="1343" t="str">
        <f t="shared" si="45"/>
        <v>-</v>
      </c>
      <c r="AX79" s="964" t="str">
        <f t="shared" si="46"/>
        <v>-</v>
      </c>
      <c r="AY79" s="964" t="str">
        <f t="shared" si="47"/>
        <v>-</v>
      </c>
      <c r="AZ79" s="964" t="str">
        <f t="shared" si="48"/>
        <v>-</v>
      </c>
      <c r="BA79" s="965" t="str">
        <f t="shared" si="49"/>
        <v>-</v>
      </c>
      <c r="BB79" s="1343" t="str">
        <f t="shared" si="50"/>
        <v>-</v>
      </c>
      <c r="BC79" s="964" t="str">
        <f t="shared" si="51"/>
        <v>-</v>
      </c>
      <c r="BD79" s="964" t="str">
        <f t="shared" si="52"/>
        <v>-</v>
      </c>
      <c r="BE79" s="964" t="str">
        <f t="shared" si="53"/>
        <v>-</v>
      </c>
      <c r="BF79" s="966" t="str">
        <f t="shared" si="54"/>
        <v>-</v>
      </c>
      <c r="BG79" s="951"/>
      <c r="BH79" s="1541" t="str">
        <f t="shared" si="55"/>
        <v>Qty</v>
      </c>
      <c r="BI79" s="1542" t="str">
        <f t="shared" si="56"/>
        <v>Water</v>
      </c>
      <c r="BJ79" s="1543" t="str">
        <f t="shared" si="57"/>
        <v>Fixed</v>
      </c>
      <c r="BK79" s="964" t="str">
        <f t="shared" ref="BK79:BU79" si="79">IF(V79="","-",IFERROR((V79/U79-1)*(U80/U$13),"-"))</f>
        <v>-</v>
      </c>
      <c r="BL79" s="964" t="str">
        <f t="shared" si="79"/>
        <v>-</v>
      </c>
      <c r="BM79" s="964" t="str">
        <f t="shared" si="79"/>
        <v>-</v>
      </c>
      <c r="BN79" s="964" t="str">
        <f t="shared" si="79"/>
        <v>-</v>
      </c>
      <c r="BO79" s="1350" t="str">
        <f t="shared" si="79"/>
        <v>-</v>
      </c>
      <c r="BP79" s="1343" t="str">
        <f t="shared" si="79"/>
        <v>-</v>
      </c>
      <c r="BQ79" s="964" t="str">
        <f t="shared" si="79"/>
        <v>-</v>
      </c>
      <c r="BR79" s="964" t="str">
        <f t="shared" si="79"/>
        <v>-</v>
      </c>
      <c r="BS79" s="964" t="str">
        <f t="shared" si="79"/>
        <v>-</v>
      </c>
      <c r="BT79" s="965" t="str">
        <f t="shared" si="79"/>
        <v>-</v>
      </c>
      <c r="BU79" s="964" t="str">
        <f t="shared" si="79"/>
        <v>-</v>
      </c>
      <c r="BV79" s="964" t="str">
        <f>IF(AG79="","-",IFERROR((AG79/AF79-1)*(AF80/AF$13),"-"))</f>
        <v>-</v>
      </c>
      <c r="BW79" s="964" t="str">
        <f>IF(AH79="","-",IFERROR((AH79/AG79-1)*(AG80/AG$13),"-"))</f>
        <v>-</v>
      </c>
      <c r="BX79" s="964" t="str">
        <f>IF(AI79="","-",IFERROR((AI79/AH79-1)*(AH80/AH$13),"-"))</f>
        <v>-</v>
      </c>
      <c r="BY79" s="966" t="str">
        <f>IF(AJ79="","-",IFERROR((AJ79/AI79-1)*(AI80/AI$13),"-"))</f>
        <v>-</v>
      </c>
      <c r="BZ79" s="951"/>
      <c r="CA79" s="961" t="str">
        <f t="shared" si="34"/>
        <v>Qty</v>
      </c>
      <c r="CB79" s="962" t="str">
        <f t="shared" si="35"/>
        <v>Water</v>
      </c>
      <c r="CC79" s="962" t="str">
        <f t="shared" si="36"/>
        <v>Fixed</v>
      </c>
      <c r="CD79" s="967" t="str">
        <f t="shared" si="66"/>
        <v>-</v>
      </c>
      <c r="CE79" s="964" t="str">
        <f t="shared" si="59"/>
        <v>-</v>
      </c>
      <c r="CF79" s="964" t="str">
        <f t="shared" si="60"/>
        <v>-</v>
      </c>
      <c r="CG79" s="965" t="str">
        <f t="shared" si="61"/>
        <v>-</v>
      </c>
      <c r="CH79" s="964" t="str">
        <f t="shared" si="67"/>
        <v>-</v>
      </c>
      <c r="CI79" s="964" t="str">
        <f t="shared" si="62"/>
        <v>-</v>
      </c>
      <c r="CJ79" s="964" t="str">
        <f t="shared" si="63"/>
        <v>-</v>
      </c>
      <c r="CK79" s="966" t="str">
        <f t="shared" si="64"/>
        <v>-</v>
      </c>
    </row>
    <row r="80" spans="4:89" ht="12.75" thickBot="1">
      <c r="E80" s="568" t="s">
        <v>882</v>
      </c>
      <c r="F80" s="560" t="str">
        <f>+F78</f>
        <v>Water</v>
      </c>
      <c r="G80" s="561" t="str">
        <f>+G78</f>
        <v>WW</v>
      </c>
      <c r="H80" s="561" t="str">
        <f>+H78</f>
        <v>Greater Yarra System - Thomson River</v>
      </c>
      <c r="I80" s="562" t="str">
        <f>+I78</f>
        <v>Fixed</v>
      </c>
      <c r="J80" s="563" t="s">
        <v>883</v>
      </c>
      <c r="K80" s="564">
        <f t="shared" ref="K80:AJ80" si="80">K78*K79/10^6</f>
        <v>0</v>
      </c>
      <c r="L80" s="565">
        <f t="shared" si="80"/>
        <v>0</v>
      </c>
      <c r="M80" s="565">
        <f t="shared" si="80"/>
        <v>0</v>
      </c>
      <c r="N80" s="564">
        <f t="shared" si="80"/>
        <v>0</v>
      </c>
      <c r="O80" s="565">
        <f t="shared" si="80"/>
        <v>0</v>
      </c>
      <c r="P80" s="565">
        <f t="shared" si="80"/>
        <v>0</v>
      </c>
      <c r="Q80" s="565">
        <f t="shared" si="80"/>
        <v>0</v>
      </c>
      <c r="R80" s="566">
        <f t="shared" si="80"/>
        <v>0</v>
      </c>
      <c r="S80" s="564">
        <f t="shared" si="80"/>
        <v>0</v>
      </c>
      <c r="T80" s="565">
        <f t="shared" si="80"/>
        <v>0</v>
      </c>
      <c r="U80" s="566">
        <f t="shared" si="80"/>
        <v>0</v>
      </c>
      <c r="V80" s="564">
        <f t="shared" si="80"/>
        <v>0</v>
      </c>
      <c r="W80" s="565">
        <f t="shared" si="80"/>
        <v>0</v>
      </c>
      <c r="X80" s="565">
        <f t="shared" si="80"/>
        <v>0</v>
      </c>
      <c r="Y80" s="565">
        <f t="shared" si="80"/>
        <v>0</v>
      </c>
      <c r="Z80" s="566">
        <f t="shared" si="80"/>
        <v>0</v>
      </c>
      <c r="AA80" s="564">
        <f t="shared" si="80"/>
        <v>0</v>
      </c>
      <c r="AB80" s="565">
        <f t="shared" si="80"/>
        <v>0</v>
      </c>
      <c r="AC80" s="565">
        <f t="shared" si="80"/>
        <v>0</v>
      </c>
      <c r="AD80" s="565">
        <f t="shared" si="80"/>
        <v>0</v>
      </c>
      <c r="AE80" s="566">
        <f t="shared" si="80"/>
        <v>0</v>
      </c>
      <c r="AF80" s="564">
        <f t="shared" si="80"/>
        <v>0</v>
      </c>
      <c r="AG80" s="565">
        <f t="shared" si="80"/>
        <v>0</v>
      </c>
      <c r="AH80" s="565">
        <f t="shared" si="80"/>
        <v>0</v>
      </c>
      <c r="AI80" s="565">
        <f t="shared" si="80"/>
        <v>0</v>
      </c>
      <c r="AJ80" s="566">
        <f t="shared" si="80"/>
        <v>0</v>
      </c>
      <c r="AK80" s="569"/>
      <c r="AL80" s="569"/>
      <c r="AN80" s="857"/>
      <c r="AO80" s="984" t="str">
        <f t="shared" si="37"/>
        <v>Rev</v>
      </c>
      <c r="AP80" s="985" t="str">
        <f t="shared" si="38"/>
        <v>Water</v>
      </c>
      <c r="AQ80" s="986" t="str">
        <f t="shared" si="39"/>
        <v>Fixed</v>
      </c>
      <c r="AR80" s="990" t="str">
        <f t="shared" si="40"/>
        <v>-</v>
      </c>
      <c r="AS80" s="987" t="str">
        <f t="shared" si="41"/>
        <v>-</v>
      </c>
      <c r="AT80" s="987" t="str">
        <f t="shared" si="42"/>
        <v>-</v>
      </c>
      <c r="AU80" s="987" t="str">
        <f t="shared" si="43"/>
        <v>-</v>
      </c>
      <c r="AV80" s="1353" t="str">
        <f t="shared" si="44"/>
        <v>-</v>
      </c>
      <c r="AW80" s="1346" t="str">
        <f t="shared" si="45"/>
        <v>-</v>
      </c>
      <c r="AX80" s="987" t="str">
        <f t="shared" si="46"/>
        <v>-</v>
      </c>
      <c r="AY80" s="987" t="str">
        <f t="shared" si="47"/>
        <v>-</v>
      </c>
      <c r="AZ80" s="987" t="str">
        <f t="shared" si="48"/>
        <v>-</v>
      </c>
      <c r="BA80" s="988" t="str">
        <f t="shared" si="49"/>
        <v>-</v>
      </c>
      <c r="BB80" s="1346" t="str">
        <f t="shared" si="50"/>
        <v>-</v>
      </c>
      <c r="BC80" s="987" t="str">
        <f t="shared" si="51"/>
        <v>-</v>
      </c>
      <c r="BD80" s="987" t="str">
        <f t="shared" si="52"/>
        <v>-</v>
      </c>
      <c r="BE80" s="987" t="str">
        <f t="shared" si="53"/>
        <v>-</v>
      </c>
      <c r="BF80" s="989" t="str">
        <f t="shared" si="54"/>
        <v>-</v>
      </c>
      <c r="BG80" s="951"/>
      <c r="BH80" s="1550" t="str">
        <f t="shared" si="55"/>
        <v>Rev</v>
      </c>
      <c r="BI80" s="1551" t="str">
        <f t="shared" si="56"/>
        <v>Water</v>
      </c>
      <c r="BJ80" s="1552" t="str">
        <f t="shared" si="57"/>
        <v>Fixed</v>
      </c>
      <c r="BK80" s="987" t="str">
        <f t="shared" ref="BK80:BU80" si="81">IF(V80="","-",IFERROR((V80/U80-1)*(U80/U$13),"-"))</f>
        <v>-</v>
      </c>
      <c r="BL80" s="987" t="str">
        <f t="shared" si="81"/>
        <v>-</v>
      </c>
      <c r="BM80" s="987" t="str">
        <f t="shared" si="81"/>
        <v>-</v>
      </c>
      <c r="BN80" s="987" t="str">
        <f t="shared" si="81"/>
        <v>-</v>
      </c>
      <c r="BO80" s="1353" t="str">
        <f t="shared" si="81"/>
        <v>-</v>
      </c>
      <c r="BP80" s="1346" t="str">
        <f t="shared" si="81"/>
        <v>-</v>
      </c>
      <c r="BQ80" s="987" t="str">
        <f t="shared" si="81"/>
        <v>-</v>
      </c>
      <c r="BR80" s="987" t="str">
        <f t="shared" si="81"/>
        <v>-</v>
      </c>
      <c r="BS80" s="987" t="str">
        <f t="shared" si="81"/>
        <v>-</v>
      </c>
      <c r="BT80" s="988" t="str">
        <f t="shared" si="81"/>
        <v>-</v>
      </c>
      <c r="BU80" s="987" t="str">
        <f t="shared" si="81"/>
        <v>-</v>
      </c>
      <c r="BV80" s="987" t="str">
        <f>IF(AG80="","-",IFERROR((AG80/AF80-1)*(AF80/AF$13),"-"))</f>
        <v>-</v>
      </c>
      <c r="BW80" s="987" t="str">
        <f>IF(AH80="","-",IFERROR((AH80/AG80-1)*(AG80/AG$13),"-"))</f>
        <v>-</v>
      </c>
      <c r="BX80" s="987" t="str">
        <f>IF(AI80="","-",IFERROR((AI80/AH80-1)*(AH80/AH$13),"-"))</f>
        <v>-</v>
      </c>
      <c r="BY80" s="989" t="str">
        <f>IF(AJ80="","-",IFERROR((AJ80/AI80-1)*(AI80/AI$13),"-"))</f>
        <v>-</v>
      </c>
      <c r="BZ80" s="951"/>
      <c r="CA80" s="984" t="str">
        <f t="shared" si="34"/>
        <v>Rev</v>
      </c>
      <c r="CB80" s="985" t="str">
        <f t="shared" si="35"/>
        <v>Water</v>
      </c>
      <c r="CC80" s="985" t="str">
        <f t="shared" si="36"/>
        <v>Fixed</v>
      </c>
      <c r="CD80" s="990" t="str">
        <f t="shared" si="66"/>
        <v>-</v>
      </c>
      <c r="CE80" s="987" t="str">
        <f t="shared" si="59"/>
        <v>-</v>
      </c>
      <c r="CF80" s="987" t="str">
        <f t="shared" si="60"/>
        <v>-</v>
      </c>
      <c r="CG80" s="988" t="str">
        <f t="shared" si="61"/>
        <v>-</v>
      </c>
      <c r="CH80" s="987" t="str">
        <f t="shared" si="67"/>
        <v>-</v>
      </c>
      <c r="CI80" s="987" t="str">
        <f t="shared" si="62"/>
        <v>-</v>
      </c>
      <c r="CJ80" s="987" t="str">
        <f t="shared" si="63"/>
        <v>-</v>
      </c>
      <c r="CK80" s="989" t="str">
        <f t="shared" si="64"/>
        <v>-</v>
      </c>
    </row>
    <row r="81" spans="4:89">
      <c r="D81" s="63">
        <f>D78+1</f>
        <v>5</v>
      </c>
      <c r="E81" s="550" t="s">
        <v>857</v>
      </c>
      <c r="F81" s="595" t="s">
        <v>401</v>
      </c>
      <c r="G81" s="595" t="s">
        <v>61</v>
      </c>
      <c r="H81" s="595" t="s">
        <v>878</v>
      </c>
      <c r="I81" s="589" t="s">
        <v>842</v>
      </c>
      <c r="J81" s="589" t="s">
        <v>879</v>
      </c>
      <c r="K81" s="551"/>
      <c r="L81" s="552"/>
      <c r="M81" s="552"/>
      <c r="N81" s="551"/>
      <c r="O81" s="552"/>
      <c r="P81" s="552"/>
      <c r="Q81" s="552"/>
      <c r="R81" s="1035"/>
      <c r="S81" s="1138"/>
      <c r="T81" s="591"/>
      <c r="U81" s="1035"/>
      <c r="V81" s="1138"/>
      <c r="W81" s="591"/>
      <c r="X81" s="591"/>
      <c r="Y81" s="591"/>
      <c r="Z81" s="1035"/>
      <c r="AA81" s="1138"/>
      <c r="AB81" s="591"/>
      <c r="AC81" s="591"/>
      <c r="AD81" s="591"/>
      <c r="AE81" s="1035"/>
      <c r="AF81" s="1138"/>
      <c r="AG81" s="591"/>
      <c r="AH81" s="591"/>
      <c r="AI81" s="591"/>
      <c r="AJ81" s="1035"/>
      <c r="AK81" s="569"/>
      <c r="AL81" s="569"/>
      <c r="AM81" s="974"/>
      <c r="AN81" s="857"/>
      <c r="AO81" s="975" t="str">
        <f t="shared" si="37"/>
        <v>Price</v>
      </c>
      <c r="AP81" s="976" t="str">
        <f t="shared" si="38"/>
        <v>Water</v>
      </c>
      <c r="AQ81" s="977" t="str">
        <f t="shared" si="39"/>
        <v>Fixed</v>
      </c>
      <c r="AR81" s="1341" t="str">
        <f t="shared" si="40"/>
        <v>-</v>
      </c>
      <c r="AS81" s="978" t="str">
        <f t="shared" si="41"/>
        <v>-</v>
      </c>
      <c r="AT81" s="979" t="str">
        <f t="shared" si="42"/>
        <v>-</v>
      </c>
      <c r="AU81" s="979" t="str">
        <f t="shared" si="43"/>
        <v>-</v>
      </c>
      <c r="AV81" s="1352" t="str">
        <f t="shared" si="44"/>
        <v>-</v>
      </c>
      <c r="AW81" s="1345" t="str">
        <f t="shared" si="45"/>
        <v>-</v>
      </c>
      <c r="AX81" s="979" t="str">
        <f t="shared" si="46"/>
        <v>-</v>
      </c>
      <c r="AY81" s="979" t="str">
        <f t="shared" si="47"/>
        <v>-</v>
      </c>
      <c r="AZ81" s="979" t="str">
        <f t="shared" si="48"/>
        <v>-</v>
      </c>
      <c r="BA81" s="980" t="str">
        <f t="shared" si="49"/>
        <v>-</v>
      </c>
      <c r="BB81" s="1345" t="str">
        <f t="shared" si="50"/>
        <v>-</v>
      </c>
      <c r="BC81" s="979" t="str">
        <f t="shared" si="51"/>
        <v>-</v>
      </c>
      <c r="BD81" s="979" t="str">
        <f t="shared" si="52"/>
        <v>-</v>
      </c>
      <c r="BE81" s="979" t="str">
        <f t="shared" si="53"/>
        <v>-</v>
      </c>
      <c r="BF81" s="981" t="str">
        <f t="shared" si="54"/>
        <v>-</v>
      </c>
      <c r="BG81" s="951"/>
      <c r="BH81" s="1547" t="str">
        <f t="shared" si="55"/>
        <v>Price</v>
      </c>
      <c r="BI81" s="1548" t="str">
        <f t="shared" si="56"/>
        <v>Water</v>
      </c>
      <c r="BJ81" s="1549" t="str">
        <f t="shared" si="57"/>
        <v>Fixed</v>
      </c>
      <c r="BK81" s="978" t="str">
        <f t="shared" ref="BK81:BU81" si="82">IF(V81="","-",IFERROR((V81/U81-1)*(U83/U$13),"-"))</f>
        <v>-</v>
      </c>
      <c r="BL81" s="978" t="str">
        <f t="shared" si="82"/>
        <v>-</v>
      </c>
      <c r="BM81" s="979" t="str">
        <f t="shared" si="82"/>
        <v>-</v>
      </c>
      <c r="BN81" s="979" t="str">
        <f t="shared" si="82"/>
        <v>-</v>
      </c>
      <c r="BO81" s="1352" t="str">
        <f t="shared" si="82"/>
        <v>-</v>
      </c>
      <c r="BP81" s="1345" t="str">
        <f t="shared" si="82"/>
        <v>-</v>
      </c>
      <c r="BQ81" s="979" t="str">
        <f t="shared" si="82"/>
        <v>-</v>
      </c>
      <c r="BR81" s="979" t="str">
        <f t="shared" si="82"/>
        <v>-</v>
      </c>
      <c r="BS81" s="979" t="str">
        <f t="shared" si="82"/>
        <v>-</v>
      </c>
      <c r="BT81" s="980" t="str">
        <f t="shared" si="82"/>
        <v>-</v>
      </c>
      <c r="BU81" s="979" t="str">
        <f t="shared" si="82"/>
        <v>-</v>
      </c>
      <c r="BV81" s="979" t="str">
        <f>IF(AG81="","-",IFERROR((AG81/AF81-1)*(AF83/AF$13),"-"))</f>
        <v>-</v>
      </c>
      <c r="BW81" s="979" t="str">
        <f>IF(AH81="","-",IFERROR((AH81/AG81-1)*(AG83/AG$13),"-"))</f>
        <v>-</v>
      </c>
      <c r="BX81" s="979" t="str">
        <f>IF(AI81="","-",IFERROR((AI81/AH81-1)*(AH83/AH$13),"-"))</f>
        <v>-</v>
      </c>
      <c r="BY81" s="981" t="str">
        <f>IF(AJ81="","-",IFERROR((AJ81/AI81-1)*(AI83/AI$13),"-"))</f>
        <v>-</v>
      </c>
      <c r="BZ81" s="951"/>
      <c r="CA81" s="975" t="str">
        <f t="shared" si="34"/>
        <v>Price</v>
      </c>
      <c r="CB81" s="976" t="str">
        <f t="shared" si="35"/>
        <v>Water</v>
      </c>
      <c r="CC81" s="982" t="str">
        <f t="shared" si="36"/>
        <v>Fixed</v>
      </c>
      <c r="CD81" s="983" t="str">
        <f t="shared" si="66"/>
        <v>-</v>
      </c>
      <c r="CE81" s="979" t="str">
        <f t="shared" si="59"/>
        <v>-</v>
      </c>
      <c r="CF81" s="979" t="str">
        <f t="shared" si="60"/>
        <v>-</v>
      </c>
      <c r="CG81" s="980" t="str">
        <f t="shared" si="61"/>
        <v>-</v>
      </c>
      <c r="CH81" s="979" t="str">
        <f t="shared" si="67"/>
        <v>-</v>
      </c>
      <c r="CI81" s="979" t="str">
        <f t="shared" si="62"/>
        <v>-</v>
      </c>
      <c r="CJ81" s="979" t="str">
        <f t="shared" si="63"/>
        <v>-</v>
      </c>
      <c r="CK81" s="981" t="str">
        <f t="shared" si="64"/>
        <v>-</v>
      </c>
    </row>
    <row r="82" spans="4:89">
      <c r="E82" s="567" t="s">
        <v>880</v>
      </c>
      <c r="F82" s="554" t="str">
        <f>+F81</f>
        <v>Water</v>
      </c>
      <c r="G82" s="555" t="str">
        <f>+G81</f>
        <v>BW</v>
      </c>
      <c r="H82" s="555" t="str">
        <f>+H81</f>
        <v>Greater Yarra System - Thomson River</v>
      </c>
      <c r="I82" s="556" t="str">
        <f>+I81</f>
        <v>Fixed</v>
      </c>
      <c r="J82" s="590" t="s">
        <v>881</v>
      </c>
      <c r="K82" s="557"/>
      <c r="L82" s="558"/>
      <c r="M82" s="558"/>
      <c r="N82" s="557"/>
      <c r="O82" s="558"/>
      <c r="P82" s="558"/>
      <c r="Q82" s="558"/>
      <c r="R82" s="1036"/>
      <c r="S82" s="1139"/>
      <c r="T82" s="593"/>
      <c r="U82" s="1036"/>
      <c r="V82" s="1139"/>
      <c r="W82" s="593"/>
      <c r="X82" s="593"/>
      <c r="Y82" s="593"/>
      <c r="Z82" s="1036"/>
      <c r="AA82" s="1139"/>
      <c r="AB82" s="593"/>
      <c r="AC82" s="593"/>
      <c r="AD82" s="593"/>
      <c r="AE82" s="1036"/>
      <c r="AF82" s="1139"/>
      <c r="AG82" s="593"/>
      <c r="AH82" s="593"/>
      <c r="AI82" s="593"/>
      <c r="AJ82" s="1036"/>
      <c r="AK82" s="569"/>
      <c r="AL82" s="569"/>
      <c r="AN82" s="857"/>
      <c r="AO82" s="961" t="str">
        <f t="shared" si="37"/>
        <v>Qty</v>
      </c>
      <c r="AP82" s="962" t="str">
        <f t="shared" si="38"/>
        <v>Water</v>
      </c>
      <c r="AQ82" s="963" t="str">
        <f t="shared" si="39"/>
        <v>Fixed</v>
      </c>
      <c r="AR82" s="967" t="str">
        <f t="shared" si="40"/>
        <v>-</v>
      </c>
      <c r="AS82" s="964" t="str">
        <f t="shared" si="41"/>
        <v>-</v>
      </c>
      <c r="AT82" s="964" t="str">
        <f t="shared" si="42"/>
        <v>-</v>
      </c>
      <c r="AU82" s="964" t="str">
        <f t="shared" si="43"/>
        <v>-</v>
      </c>
      <c r="AV82" s="1350" t="str">
        <f t="shared" si="44"/>
        <v>-</v>
      </c>
      <c r="AW82" s="1343" t="str">
        <f t="shared" si="45"/>
        <v>-</v>
      </c>
      <c r="AX82" s="964" t="str">
        <f t="shared" si="46"/>
        <v>-</v>
      </c>
      <c r="AY82" s="964" t="str">
        <f t="shared" si="47"/>
        <v>-</v>
      </c>
      <c r="AZ82" s="964" t="str">
        <f t="shared" si="48"/>
        <v>-</v>
      </c>
      <c r="BA82" s="965" t="str">
        <f t="shared" si="49"/>
        <v>-</v>
      </c>
      <c r="BB82" s="1343" t="str">
        <f t="shared" si="50"/>
        <v>-</v>
      </c>
      <c r="BC82" s="964" t="str">
        <f t="shared" si="51"/>
        <v>-</v>
      </c>
      <c r="BD82" s="964" t="str">
        <f t="shared" si="52"/>
        <v>-</v>
      </c>
      <c r="BE82" s="964" t="str">
        <f t="shared" si="53"/>
        <v>-</v>
      </c>
      <c r="BF82" s="966" t="str">
        <f t="shared" si="54"/>
        <v>-</v>
      </c>
      <c r="BG82" s="951"/>
      <c r="BH82" s="1541" t="str">
        <f t="shared" si="55"/>
        <v>Qty</v>
      </c>
      <c r="BI82" s="1542" t="str">
        <f t="shared" si="56"/>
        <v>Water</v>
      </c>
      <c r="BJ82" s="1543" t="str">
        <f t="shared" si="57"/>
        <v>Fixed</v>
      </c>
      <c r="BK82" s="964" t="str">
        <f t="shared" ref="BK82:BU82" si="83">IF(V82="","-",IFERROR((V82/U82-1)*(U83/U$13),"-"))</f>
        <v>-</v>
      </c>
      <c r="BL82" s="964" t="str">
        <f t="shared" si="83"/>
        <v>-</v>
      </c>
      <c r="BM82" s="964" t="str">
        <f t="shared" si="83"/>
        <v>-</v>
      </c>
      <c r="BN82" s="964" t="str">
        <f t="shared" si="83"/>
        <v>-</v>
      </c>
      <c r="BO82" s="1350" t="str">
        <f t="shared" si="83"/>
        <v>-</v>
      </c>
      <c r="BP82" s="1343" t="str">
        <f t="shared" si="83"/>
        <v>-</v>
      </c>
      <c r="BQ82" s="964" t="str">
        <f t="shared" si="83"/>
        <v>-</v>
      </c>
      <c r="BR82" s="964" t="str">
        <f t="shared" si="83"/>
        <v>-</v>
      </c>
      <c r="BS82" s="964" t="str">
        <f t="shared" si="83"/>
        <v>-</v>
      </c>
      <c r="BT82" s="965" t="str">
        <f t="shared" si="83"/>
        <v>-</v>
      </c>
      <c r="BU82" s="964" t="str">
        <f t="shared" si="83"/>
        <v>-</v>
      </c>
      <c r="BV82" s="964" t="str">
        <f>IF(AG82="","-",IFERROR((AG82/AF82-1)*(AF83/AF$13),"-"))</f>
        <v>-</v>
      </c>
      <c r="BW82" s="964" t="str">
        <f>IF(AH82="","-",IFERROR((AH82/AG82-1)*(AG83/AG$13),"-"))</f>
        <v>-</v>
      </c>
      <c r="BX82" s="964" t="str">
        <f>IF(AI82="","-",IFERROR((AI82/AH82-1)*(AH83/AH$13),"-"))</f>
        <v>-</v>
      </c>
      <c r="BY82" s="966" t="str">
        <f>IF(AJ82="","-",IFERROR((AJ82/AI82-1)*(AI83/AI$13),"-"))</f>
        <v>-</v>
      </c>
      <c r="BZ82" s="951"/>
      <c r="CA82" s="961" t="str">
        <f t="shared" si="34"/>
        <v>Qty</v>
      </c>
      <c r="CB82" s="962" t="str">
        <f t="shared" si="35"/>
        <v>Water</v>
      </c>
      <c r="CC82" s="962" t="str">
        <f t="shared" si="36"/>
        <v>Fixed</v>
      </c>
      <c r="CD82" s="967" t="str">
        <f t="shared" si="66"/>
        <v>-</v>
      </c>
      <c r="CE82" s="964" t="str">
        <f t="shared" si="59"/>
        <v>-</v>
      </c>
      <c r="CF82" s="964" t="str">
        <f t="shared" si="60"/>
        <v>-</v>
      </c>
      <c r="CG82" s="965" t="str">
        <f t="shared" si="61"/>
        <v>-</v>
      </c>
      <c r="CH82" s="964" t="str">
        <f t="shared" si="67"/>
        <v>-</v>
      </c>
      <c r="CI82" s="964" t="str">
        <f t="shared" si="62"/>
        <v>-</v>
      </c>
      <c r="CJ82" s="964" t="str">
        <f t="shared" si="63"/>
        <v>-</v>
      </c>
      <c r="CK82" s="966" t="str">
        <f t="shared" si="64"/>
        <v>-</v>
      </c>
    </row>
    <row r="83" spans="4:89" ht="12.75" thickBot="1">
      <c r="E83" s="568" t="s">
        <v>882</v>
      </c>
      <c r="F83" s="560" t="str">
        <f>+F81</f>
        <v>Water</v>
      </c>
      <c r="G83" s="561" t="str">
        <f>+G81</f>
        <v>BW</v>
      </c>
      <c r="H83" s="561" t="str">
        <f>+H81</f>
        <v>Greater Yarra System - Thomson River</v>
      </c>
      <c r="I83" s="562" t="str">
        <f>+I81</f>
        <v>Fixed</v>
      </c>
      <c r="J83" s="563" t="s">
        <v>883</v>
      </c>
      <c r="K83" s="564">
        <f t="shared" ref="K83:AJ83" si="84">K81*K82/10^6</f>
        <v>0</v>
      </c>
      <c r="L83" s="565">
        <f t="shared" si="84"/>
        <v>0</v>
      </c>
      <c r="M83" s="565">
        <f t="shared" si="84"/>
        <v>0</v>
      </c>
      <c r="N83" s="564">
        <f t="shared" si="84"/>
        <v>0</v>
      </c>
      <c r="O83" s="565">
        <f t="shared" si="84"/>
        <v>0</v>
      </c>
      <c r="P83" s="565">
        <f t="shared" si="84"/>
        <v>0</v>
      </c>
      <c r="Q83" s="565">
        <f t="shared" si="84"/>
        <v>0</v>
      </c>
      <c r="R83" s="566">
        <f t="shared" si="84"/>
        <v>0</v>
      </c>
      <c r="S83" s="564">
        <f t="shared" si="84"/>
        <v>0</v>
      </c>
      <c r="T83" s="565">
        <f t="shared" si="84"/>
        <v>0</v>
      </c>
      <c r="U83" s="566">
        <f t="shared" si="84"/>
        <v>0</v>
      </c>
      <c r="V83" s="564">
        <f t="shared" si="84"/>
        <v>0</v>
      </c>
      <c r="W83" s="565">
        <f t="shared" si="84"/>
        <v>0</v>
      </c>
      <c r="X83" s="565">
        <f t="shared" si="84"/>
        <v>0</v>
      </c>
      <c r="Y83" s="565">
        <f t="shared" si="84"/>
        <v>0</v>
      </c>
      <c r="Z83" s="566">
        <f t="shared" si="84"/>
        <v>0</v>
      </c>
      <c r="AA83" s="564">
        <f t="shared" si="84"/>
        <v>0</v>
      </c>
      <c r="AB83" s="565">
        <f t="shared" si="84"/>
        <v>0</v>
      </c>
      <c r="AC83" s="565">
        <f t="shared" si="84"/>
        <v>0</v>
      </c>
      <c r="AD83" s="565">
        <f t="shared" si="84"/>
        <v>0</v>
      </c>
      <c r="AE83" s="566">
        <f t="shared" si="84"/>
        <v>0</v>
      </c>
      <c r="AF83" s="564">
        <f t="shared" si="84"/>
        <v>0</v>
      </c>
      <c r="AG83" s="565">
        <f t="shared" si="84"/>
        <v>0</v>
      </c>
      <c r="AH83" s="565">
        <f t="shared" si="84"/>
        <v>0</v>
      </c>
      <c r="AI83" s="565">
        <f t="shared" si="84"/>
        <v>0</v>
      </c>
      <c r="AJ83" s="566">
        <f t="shared" si="84"/>
        <v>0</v>
      </c>
      <c r="AK83" s="569"/>
      <c r="AL83" s="569"/>
      <c r="AN83" s="857"/>
      <c r="AO83" s="984" t="str">
        <f t="shared" si="37"/>
        <v>Rev</v>
      </c>
      <c r="AP83" s="985" t="str">
        <f t="shared" si="38"/>
        <v>Water</v>
      </c>
      <c r="AQ83" s="986" t="str">
        <f t="shared" si="39"/>
        <v>Fixed</v>
      </c>
      <c r="AR83" s="990" t="str">
        <f t="shared" si="40"/>
        <v>-</v>
      </c>
      <c r="AS83" s="987" t="str">
        <f t="shared" si="41"/>
        <v>-</v>
      </c>
      <c r="AT83" s="987" t="str">
        <f t="shared" si="42"/>
        <v>-</v>
      </c>
      <c r="AU83" s="987" t="str">
        <f t="shared" si="43"/>
        <v>-</v>
      </c>
      <c r="AV83" s="1353" t="str">
        <f t="shared" si="44"/>
        <v>-</v>
      </c>
      <c r="AW83" s="1346" t="str">
        <f t="shared" si="45"/>
        <v>-</v>
      </c>
      <c r="AX83" s="987" t="str">
        <f t="shared" si="46"/>
        <v>-</v>
      </c>
      <c r="AY83" s="987" t="str">
        <f t="shared" si="47"/>
        <v>-</v>
      </c>
      <c r="AZ83" s="987" t="str">
        <f t="shared" si="48"/>
        <v>-</v>
      </c>
      <c r="BA83" s="988" t="str">
        <f t="shared" si="49"/>
        <v>-</v>
      </c>
      <c r="BB83" s="1346" t="str">
        <f t="shared" si="50"/>
        <v>-</v>
      </c>
      <c r="BC83" s="987" t="str">
        <f t="shared" si="51"/>
        <v>-</v>
      </c>
      <c r="BD83" s="987" t="str">
        <f t="shared" si="52"/>
        <v>-</v>
      </c>
      <c r="BE83" s="987" t="str">
        <f t="shared" si="53"/>
        <v>-</v>
      </c>
      <c r="BF83" s="989" t="str">
        <f t="shared" si="54"/>
        <v>-</v>
      </c>
      <c r="BG83" s="951"/>
      <c r="BH83" s="1550" t="str">
        <f t="shared" si="55"/>
        <v>Rev</v>
      </c>
      <c r="BI83" s="1551" t="str">
        <f t="shared" si="56"/>
        <v>Water</v>
      </c>
      <c r="BJ83" s="1552" t="str">
        <f t="shared" si="57"/>
        <v>Fixed</v>
      </c>
      <c r="BK83" s="987" t="str">
        <f t="shared" ref="BK83:BU83" si="85">IF(V83="","-",IFERROR((V83/U83-1)*(U83/U$13),"-"))</f>
        <v>-</v>
      </c>
      <c r="BL83" s="987" t="str">
        <f t="shared" si="85"/>
        <v>-</v>
      </c>
      <c r="BM83" s="987" t="str">
        <f t="shared" si="85"/>
        <v>-</v>
      </c>
      <c r="BN83" s="987" t="str">
        <f t="shared" si="85"/>
        <v>-</v>
      </c>
      <c r="BO83" s="1353" t="str">
        <f t="shared" si="85"/>
        <v>-</v>
      </c>
      <c r="BP83" s="1346" t="str">
        <f t="shared" si="85"/>
        <v>-</v>
      </c>
      <c r="BQ83" s="987" t="str">
        <f t="shared" si="85"/>
        <v>-</v>
      </c>
      <c r="BR83" s="987" t="str">
        <f t="shared" si="85"/>
        <v>-</v>
      </c>
      <c r="BS83" s="987" t="str">
        <f t="shared" si="85"/>
        <v>-</v>
      </c>
      <c r="BT83" s="988" t="str">
        <f t="shared" si="85"/>
        <v>-</v>
      </c>
      <c r="BU83" s="987" t="str">
        <f t="shared" si="85"/>
        <v>-</v>
      </c>
      <c r="BV83" s="987" t="str">
        <f>IF(AG83="","-",IFERROR((AG83/AF83-1)*(AF83/AF$13),"-"))</f>
        <v>-</v>
      </c>
      <c r="BW83" s="987" t="str">
        <f>IF(AH83="","-",IFERROR((AH83/AG83-1)*(AG83/AG$13),"-"))</f>
        <v>-</v>
      </c>
      <c r="BX83" s="987" t="str">
        <f>IF(AI83="","-",IFERROR((AI83/AH83-1)*(AH83/AH$13),"-"))</f>
        <v>-</v>
      </c>
      <c r="BY83" s="989" t="str">
        <f>IF(AJ83="","-",IFERROR((AJ83/AI83-1)*(AI83/AI$13),"-"))</f>
        <v>-</v>
      </c>
      <c r="BZ83" s="951"/>
      <c r="CA83" s="984" t="str">
        <f t="shared" si="34"/>
        <v>Rev</v>
      </c>
      <c r="CB83" s="985" t="str">
        <f t="shared" si="35"/>
        <v>Water</v>
      </c>
      <c r="CC83" s="985" t="str">
        <f t="shared" si="36"/>
        <v>Fixed</v>
      </c>
      <c r="CD83" s="990" t="str">
        <f t="shared" si="66"/>
        <v>-</v>
      </c>
      <c r="CE83" s="987" t="str">
        <f t="shared" si="59"/>
        <v>-</v>
      </c>
      <c r="CF83" s="987" t="str">
        <f t="shared" si="60"/>
        <v>-</v>
      </c>
      <c r="CG83" s="988" t="str">
        <f t="shared" si="61"/>
        <v>-</v>
      </c>
      <c r="CH83" s="987" t="str">
        <f t="shared" si="67"/>
        <v>-</v>
      </c>
      <c r="CI83" s="987" t="str">
        <f t="shared" si="62"/>
        <v>-</v>
      </c>
      <c r="CJ83" s="987" t="str">
        <f t="shared" si="63"/>
        <v>-</v>
      </c>
      <c r="CK83" s="989" t="str">
        <f t="shared" si="64"/>
        <v>-</v>
      </c>
    </row>
    <row r="84" spans="4:89">
      <c r="D84" s="63">
        <f>D81+1</f>
        <v>6</v>
      </c>
      <c r="E84" s="550" t="s">
        <v>857</v>
      </c>
      <c r="F84" s="595" t="s">
        <v>401</v>
      </c>
      <c r="G84" s="595" t="s">
        <v>94</v>
      </c>
      <c r="H84" s="595" t="s">
        <v>878</v>
      </c>
      <c r="I84" s="589" t="s">
        <v>842</v>
      </c>
      <c r="J84" s="589" t="s">
        <v>879</v>
      </c>
      <c r="K84" s="551"/>
      <c r="L84" s="552"/>
      <c r="M84" s="552"/>
      <c r="N84" s="551"/>
      <c r="O84" s="552"/>
      <c r="P84" s="552"/>
      <c r="Q84" s="552"/>
      <c r="R84" s="1035"/>
      <c r="S84" s="1138"/>
      <c r="T84" s="591"/>
      <c r="U84" s="1035"/>
      <c r="V84" s="1138"/>
      <c r="W84" s="591"/>
      <c r="X84" s="591"/>
      <c r="Y84" s="591"/>
      <c r="Z84" s="1035"/>
      <c r="AA84" s="1138"/>
      <c r="AB84" s="591"/>
      <c r="AC84" s="591"/>
      <c r="AD84" s="591"/>
      <c r="AE84" s="1035"/>
      <c r="AF84" s="1138"/>
      <c r="AG84" s="591"/>
      <c r="AH84" s="591"/>
      <c r="AI84" s="591"/>
      <c r="AJ84" s="1035"/>
      <c r="AK84" s="569"/>
      <c r="AL84" s="569"/>
      <c r="AM84" s="974"/>
      <c r="AN84" s="857"/>
      <c r="AO84" s="975" t="str">
        <f t="shared" si="37"/>
        <v>Price</v>
      </c>
      <c r="AP84" s="976" t="str">
        <f t="shared" si="38"/>
        <v>Water</v>
      </c>
      <c r="AQ84" s="977" t="str">
        <f t="shared" si="39"/>
        <v>Fixed</v>
      </c>
      <c r="AR84" s="1341" t="str">
        <f t="shared" si="40"/>
        <v>-</v>
      </c>
      <c r="AS84" s="978" t="str">
        <f t="shared" si="41"/>
        <v>-</v>
      </c>
      <c r="AT84" s="979" t="str">
        <f t="shared" si="42"/>
        <v>-</v>
      </c>
      <c r="AU84" s="979" t="str">
        <f t="shared" si="43"/>
        <v>-</v>
      </c>
      <c r="AV84" s="1352" t="str">
        <f t="shared" si="44"/>
        <v>-</v>
      </c>
      <c r="AW84" s="1345" t="str">
        <f t="shared" si="45"/>
        <v>-</v>
      </c>
      <c r="AX84" s="979" t="str">
        <f t="shared" si="46"/>
        <v>-</v>
      </c>
      <c r="AY84" s="979" t="str">
        <f t="shared" si="47"/>
        <v>-</v>
      </c>
      <c r="AZ84" s="979" t="str">
        <f t="shared" si="48"/>
        <v>-</v>
      </c>
      <c r="BA84" s="980" t="str">
        <f t="shared" si="49"/>
        <v>-</v>
      </c>
      <c r="BB84" s="1345" t="str">
        <f t="shared" si="50"/>
        <v>-</v>
      </c>
      <c r="BC84" s="979" t="str">
        <f t="shared" si="51"/>
        <v>-</v>
      </c>
      <c r="BD84" s="979" t="str">
        <f t="shared" si="52"/>
        <v>-</v>
      </c>
      <c r="BE84" s="979" t="str">
        <f t="shared" si="53"/>
        <v>-</v>
      </c>
      <c r="BF84" s="981" t="str">
        <f t="shared" si="54"/>
        <v>-</v>
      </c>
      <c r="BG84" s="951"/>
      <c r="BH84" s="1547" t="str">
        <f t="shared" si="55"/>
        <v>Price</v>
      </c>
      <c r="BI84" s="1548" t="str">
        <f t="shared" si="56"/>
        <v>Water</v>
      </c>
      <c r="BJ84" s="1549" t="str">
        <f t="shared" si="57"/>
        <v>Fixed</v>
      </c>
      <c r="BK84" s="978" t="str">
        <f t="shared" ref="BK84:BU84" si="86">IF(V84="","-",IFERROR((V84/U84-1)*(U86/U$13),"-"))</f>
        <v>-</v>
      </c>
      <c r="BL84" s="978" t="str">
        <f t="shared" si="86"/>
        <v>-</v>
      </c>
      <c r="BM84" s="979" t="str">
        <f t="shared" si="86"/>
        <v>-</v>
      </c>
      <c r="BN84" s="979" t="str">
        <f t="shared" si="86"/>
        <v>-</v>
      </c>
      <c r="BO84" s="1352" t="str">
        <f t="shared" si="86"/>
        <v>-</v>
      </c>
      <c r="BP84" s="1345" t="str">
        <f t="shared" si="86"/>
        <v>-</v>
      </c>
      <c r="BQ84" s="979" t="str">
        <f t="shared" si="86"/>
        <v>-</v>
      </c>
      <c r="BR84" s="979" t="str">
        <f t="shared" si="86"/>
        <v>-</v>
      </c>
      <c r="BS84" s="979" t="str">
        <f t="shared" si="86"/>
        <v>-</v>
      </c>
      <c r="BT84" s="980" t="str">
        <f t="shared" si="86"/>
        <v>-</v>
      </c>
      <c r="BU84" s="979" t="str">
        <f t="shared" si="86"/>
        <v>-</v>
      </c>
      <c r="BV84" s="979" t="str">
        <f>IF(AG84="","-",IFERROR((AG84/AF84-1)*(AF86/AF$13),"-"))</f>
        <v>-</v>
      </c>
      <c r="BW84" s="979" t="str">
        <f>IF(AH84="","-",IFERROR((AH84/AG84-1)*(AG86/AG$13),"-"))</f>
        <v>-</v>
      </c>
      <c r="BX84" s="979" t="str">
        <f>IF(AI84="","-",IFERROR((AI84/AH84-1)*(AH86/AH$13),"-"))</f>
        <v>-</v>
      </c>
      <c r="BY84" s="981" t="str">
        <f>IF(AJ84="","-",IFERROR((AJ84/AI84-1)*(AI86/AI$13),"-"))</f>
        <v>-</v>
      </c>
      <c r="BZ84" s="951"/>
      <c r="CA84" s="975" t="str">
        <f t="shared" si="34"/>
        <v>Price</v>
      </c>
      <c r="CB84" s="976" t="str">
        <f t="shared" si="35"/>
        <v>Water</v>
      </c>
      <c r="CC84" s="982" t="str">
        <f t="shared" si="36"/>
        <v>Fixed</v>
      </c>
      <c r="CD84" s="983" t="str">
        <f t="shared" si="66"/>
        <v>-</v>
      </c>
      <c r="CE84" s="979" t="str">
        <f t="shared" si="59"/>
        <v>-</v>
      </c>
      <c r="CF84" s="979" t="str">
        <f t="shared" si="60"/>
        <v>-</v>
      </c>
      <c r="CG84" s="980" t="str">
        <f t="shared" si="61"/>
        <v>-</v>
      </c>
      <c r="CH84" s="979" t="str">
        <f t="shared" si="67"/>
        <v>-</v>
      </c>
      <c r="CI84" s="979" t="str">
        <f t="shared" si="62"/>
        <v>-</v>
      </c>
      <c r="CJ84" s="979" t="str">
        <f t="shared" si="63"/>
        <v>-</v>
      </c>
      <c r="CK84" s="981" t="str">
        <f t="shared" si="64"/>
        <v>-</v>
      </c>
    </row>
    <row r="85" spans="4:89">
      <c r="E85" s="567" t="s">
        <v>880</v>
      </c>
      <c r="F85" s="554" t="str">
        <f>+F84</f>
        <v>Water</v>
      </c>
      <c r="G85" s="555" t="str">
        <f>+G84</f>
        <v>SGW</v>
      </c>
      <c r="H85" s="555" t="str">
        <f>+H84</f>
        <v>Greater Yarra System - Thomson River</v>
      </c>
      <c r="I85" s="556" t="str">
        <f>+I84</f>
        <v>Fixed</v>
      </c>
      <c r="J85" s="590" t="s">
        <v>881</v>
      </c>
      <c r="K85" s="557"/>
      <c r="L85" s="558"/>
      <c r="M85" s="558"/>
      <c r="N85" s="557"/>
      <c r="O85" s="558"/>
      <c r="P85" s="558"/>
      <c r="Q85" s="558"/>
      <c r="R85" s="1036"/>
      <c r="S85" s="1139"/>
      <c r="T85" s="593"/>
      <c r="U85" s="1036"/>
      <c r="V85" s="1139"/>
      <c r="W85" s="593"/>
      <c r="X85" s="593"/>
      <c r="Y85" s="593"/>
      <c r="Z85" s="1036"/>
      <c r="AA85" s="1139"/>
      <c r="AB85" s="593"/>
      <c r="AC85" s="593"/>
      <c r="AD85" s="593"/>
      <c r="AE85" s="1036"/>
      <c r="AF85" s="1139"/>
      <c r="AG85" s="593"/>
      <c r="AH85" s="593"/>
      <c r="AI85" s="593"/>
      <c r="AJ85" s="1036"/>
      <c r="AK85" s="569"/>
      <c r="AL85" s="569"/>
      <c r="AN85" s="857"/>
      <c r="AO85" s="961" t="str">
        <f t="shared" si="37"/>
        <v>Qty</v>
      </c>
      <c r="AP85" s="962" t="str">
        <f t="shared" si="38"/>
        <v>Water</v>
      </c>
      <c r="AQ85" s="963" t="str">
        <f t="shared" si="39"/>
        <v>Fixed</v>
      </c>
      <c r="AR85" s="967" t="str">
        <f t="shared" si="40"/>
        <v>-</v>
      </c>
      <c r="AS85" s="964" t="str">
        <f t="shared" si="41"/>
        <v>-</v>
      </c>
      <c r="AT85" s="964" t="str">
        <f t="shared" si="42"/>
        <v>-</v>
      </c>
      <c r="AU85" s="964" t="str">
        <f t="shared" si="43"/>
        <v>-</v>
      </c>
      <c r="AV85" s="1350" t="str">
        <f t="shared" si="44"/>
        <v>-</v>
      </c>
      <c r="AW85" s="1343" t="str">
        <f t="shared" si="45"/>
        <v>-</v>
      </c>
      <c r="AX85" s="964" t="str">
        <f t="shared" si="46"/>
        <v>-</v>
      </c>
      <c r="AY85" s="964" t="str">
        <f t="shared" si="47"/>
        <v>-</v>
      </c>
      <c r="AZ85" s="964" t="str">
        <f t="shared" si="48"/>
        <v>-</v>
      </c>
      <c r="BA85" s="965" t="str">
        <f t="shared" si="49"/>
        <v>-</v>
      </c>
      <c r="BB85" s="1343" t="str">
        <f t="shared" si="50"/>
        <v>-</v>
      </c>
      <c r="BC85" s="964" t="str">
        <f t="shared" si="51"/>
        <v>-</v>
      </c>
      <c r="BD85" s="964" t="str">
        <f t="shared" si="52"/>
        <v>-</v>
      </c>
      <c r="BE85" s="964" t="str">
        <f t="shared" si="53"/>
        <v>-</v>
      </c>
      <c r="BF85" s="966" t="str">
        <f t="shared" si="54"/>
        <v>-</v>
      </c>
      <c r="BG85" s="951"/>
      <c r="BH85" s="1541" t="str">
        <f t="shared" si="55"/>
        <v>Qty</v>
      </c>
      <c r="BI85" s="1542" t="str">
        <f t="shared" si="56"/>
        <v>Water</v>
      </c>
      <c r="BJ85" s="1543" t="str">
        <f t="shared" si="57"/>
        <v>Fixed</v>
      </c>
      <c r="BK85" s="964" t="str">
        <f t="shared" ref="BK85:BU85" si="87">IF(V85="","-",IFERROR((V85/U85-1)*(U86/U$13),"-"))</f>
        <v>-</v>
      </c>
      <c r="BL85" s="964" t="str">
        <f t="shared" si="87"/>
        <v>-</v>
      </c>
      <c r="BM85" s="964" t="str">
        <f t="shared" si="87"/>
        <v>-</v>
      </c>
      <c r="BN85" s="964" t="str">
        <f t="shared" si="87"/>
        <v>-</v>
      </c>
      <c r="BO85" s="1350" t="str">
        <f t="shared" si="87"/>
        <v>-</v>
      </c>
      <c r="BP85" s="1343" t="str">
        <f t="shared" si="87"/>
        <v>-</v>
      </c>
      <c r="BQ85" s="964" t="str">
        <f t="shared" si="87"/>
        <v>-</v>
      </c>
      <c r="BR85" s="964" t="str">
        <f t="shared" si="87"/>
        <v>-</v>
      </c>
      <c r="BS85" s="964" t="str">
        <f t="shared" si="87"/>
        <v>-</v>
      </c>
      <c r="BT85" s="965" t="str">
        <f t="shared" si="87"/>
        <v>-</v>
      </c>
      <c r="BU85" s="964" t="str">
        <f t="shared" si="87"/>
        <v>-</v>
      </c>
      <c r="BV85" s="964" t="str">
        <f>IF(AG85="","-",IFERROR((AG85/AF85-1)*(AF86/AF$13),"-"))</f>
        <v>-</v>
      </c>
      <c r="BW85" s="964" t="str">
        <f>IF(AH85="","-",IFERROR((AH85/AG85-1)*(AG86/AG$13),"-"))</f>
        <v>-</v>
      </c>
      <c r="BX85" s="964" t="str">
        <f>IF(AI85="","-",IFERROR((AI85/AH85-1)*(AH86/AH$13),"-"))</f>
        <v>-</v>
      </c>
      <c r="BY85" s="966" t="str">
        <f>IF(AJ85="","-",IFERROR((AJ85/AI85-1)*(AI86/AI$13),"-"))</f>
        <v>-</v>
      </c>
      <c r="BZ85" s="951"/>
      <c r="CA85" s="961" t="str">
        <f t="shared" si="34"/>
        <v>Qty</v>
      </c>
      <c r="CB85" s="962" t="str">
        <f t="shared" si="35"/>
        <v>Water</v>
      </c>
      <c r="CC85" s="962" t="str">
        <f t="shared" si="36"/>
        <v>Fixed</v>
      </c>
      <c r="CD85" s="967" t="str">
        <f t="shared" si="66"/>
        <v>-</v>
      </c>
      <c r="CE85" s="964" t="str">
        <f t="shared" si="59"/>
        <v>-</v>
      </c>
      <c r="CF85" s="964" t="str">
        <f t="shared" si="60"/>
        <v>-</v>
      </c>
      <c r="CG85" s="965" t="str">
        <f t="shared" si="61"/>
        <v>-</v>
      </c>
      <c r="CH85" s="964" t="str">
        <f t="shared" si="67"/>
        <v>-</v>
      </c>
      <c r="CI85" s="964" t="str">
        <f t="shared" si="62"/>
        <v>-</v>
      </c>
      <c r="CJ85" s="964" t="str">
        <f t="shared" si="63"/>
        <v>-</v>
      </c>
      <c r="CK85" s="966" t="str">
        <f t="shared" si="64"/>
        <v>-</v>
      </c>
    </row>
    <row r="86" spans="4:89" ht="12.75" thickBot="1">
      <c r="E86" s="568" t="s">
        <v>882</v>
      </c>
      <c r="F86" s="560" t="str">
        <f>+F84</f>
        <v>Water</v>
      </c>
      <c r="G86" s="561" t="str">
        <f>+G84</f>
        <v>SGW</v>
      </c>
      <c r="H86" s="561" t="str">
        <f>+H84</f>
        <v>Greater Yarra System - Thomson River</v>
      </c>
      <c r="I86" s="562" t="str">
        <f>+I84</f>
        <v>Fixed</v>
      </c>
      <c r="J86" s="563" t="s">
        <v>883</v>
      </c>
      <c r="K86" s="564">
        <f t="shared" ref="K86:AJ86" si="88">K84*K85/10^6</f>
        <v>0</v>
      </c>
      <c r="L86" s="565">
        <f t="shared" si="88"/>
        <v>0</v>
      </c>
      <c r="M86" s="565">
        <f t="shared" si="88"/>
        <v>0</v>
      </c>
      <c r="N86" s="564">
        <f t="shared" si="88"/>
        <v>0</v>
      </c>
      <c r="O86" s="565">
        <f t="shared" si="88"/>
        <v>0</v>
      </c>
      <c r="P86" s="565">
        <f t="shared" si="88"/>
        <v>0</v>
      </c>
      <c r="Q86" s="565">
        <f t="shared" si="88"/>
        <v>0</v>
      </c>
      <c r="R86" s="566">
        <f t="shared" si="88"/>
        <v>0</v>
      </c>
      <c r="S86" s="564">
        <f t="shared" si="88"/>
        <v>0</v>
      </c>
      <c r="T86" s="565">
        <f t="shared" si="88"/>
        <v>0</v>
      </c>
      <c r="U86" s="566">
        <f t="shared" si="88"/>
        <v>0</v>
      </c>
      <c r="V86" s="564">
        <f t="shared" si="88"/>
        <v>0</v>
      </c>
      <c r="W86" s="565">
        <f t="shared" si="88"/>
        <v>0</v>
      </c>
      <c r="X86" s="565">
        <f t="shared" si="88"/>
        <v>0</v>
      </c>
      <c r="Y86" s="565">
        <f t="shared" si="88"/>
        <v>0</v>
      </c>
      <c r="Z86" s="566">
        <f t="shared" si="88"/>
        <v>0</v>
      </c>
      <c r="AA86" s="564">
        <f t="shared" si="88"/>
        <v>0</v>
      </c>
      <c r="AB86" s="565">
        <f t="shared" si="88"/>
        <v>0</v>
      </c>
      <c r="AC86" s="565">
        <f t="shared" si="88"/>
        <v>0</v>
      </c>
      <c r="AD86" s="565">
        <f t="shared" si="88"/>
        <v>0</v>
      </c>
      <c r="AE86" s="566">
        <f t="shared" si="88"/>
        <v>0</v>
      </c>
      <c r="AF86" s="564">
        <f t="shared" si="88"/>
        <v>0</v>
      </c>
      <c r="AG86" s="565">
        <f t="shared" si="88"/>
        <v>0</v>
      </c>
      <c r="AH86" s="565">
        <f t="shared" si="88"/>
        <v>0</v>
      </c>
      <c r="AI86" s="565">
        <f t="shared" si="88"/>
        <v>0</v>
      </c>
      <c r="AJ86" s="566">
        <f t="shared" si="88"/>
        <v>0</v>
      </c>
      <c r="AK86" s="569"/>
      <c r="AL86" s="569"/>
      <c r="AN86" s="857"/>
      <c r="AO86" s="984" t="str">
        <f t="shared" si="37"/>
        <v>Rev</v>
      </c>
      <c r="AP86" s="985" t="str">
        <f t="shared" si="38"/>
        <v>Water</v>
      </c>
      <c r="AQ86" s="986" t="str">
        <f t="shared" si="39"/>
        <v>Fixed</v>
      </c>
      <c r="AR86" s="990" t="str">
        <f t="shared" si="40"/>
        <v>-</v>
      </c>
      <c r="AS86" s="987" t="str">
        <f t="shared" si="41"/>
        <v>-</v>
      </c>
      <c r="AT86" s="987" t="str">
        <f t="shared" si="42"/>
        <v>-</v>
      </c>
      <c r="AU86" s="987" t="str">
        <f t="shared" si="43"/>
        <v>-</v>
      </c>
      <c r="AV86" s="1353" t="str">
        <f t="shared" si="44"/>
        <v>-</v>
      </c>
      <c r="AW86" s="1346" t="str">
        <f t="shared" si="45"/>
        <v>-</v>
      </c>
      <c r="AX86" s="987" t="str">
        <f t="shared" si="46"/>
        <v>-</v>
      </c>
      <c r="AY86" s="987" t="str">
        <f t="shared" si="47"/>
        <v>-</v>
      </c>
      <c r="AZ86" s="987" t="str">
        <f t="shared" si="48"/>
        <v>-</v>
      </c>
      <c r="BA86" s="988" t="str">
        <f t="shared" si="49"/>
        <v>-</v>
      </c>
      <c r="BB86" s="1346" t="str">
        <f t="shared" si="50"/>
        <v>-</v>
      </c>
      <c r="BC86" s="987" t="str">
        <f t="shared" si="51"/>
        <v>-</v>
      </c>
      <c r="BD86" s="987" t="str">
        <f t="shared" si="52"/>
        <v>-</v>
      </c>
      <c r="BE86" s="987" t="str">
        <f t="shared" si="53"/>
        <v>-</v>
      </c>
      <c r="BF86" s="989" t="str">
        <f t="shared" si="54"/>
        <v>-</v>
      </c>
      <c r="BG86" s="951"/>
      <c r="BH86" s="1550" t="str">
        <f t="shared" si="55"/>
        <v>Rev</v>
      </c>
      <c r="BI86" s="1551" t="str">
        <f t="shared" si="56"/>
        <v>Water</v>
      </c>
      <c r="BJ86" s="1552" t="str">
        <f t="shared" si="57"/>
        <v>Fixed</v>
      </c>
      <c r="BK86" s="987" t="str">
        <f t="shared" ref="BK86:BU86" si="89">IF(V86="","-",IFERROR((V86/U86-1)*(U86/U$13),"-"))</f>
        <v>-</v>
      </c>
      <c r="BL86" s="987" t="str">
        <f t="shared" si="89"/>
        <v>-</v>
      </c>
      <c r="BM86" s="987" t="str">
        <f t="shared" si="89"/>
        <v>-</v>
      </c>
      <c r="BN86" s="987" t="str">
        <f t="shared" si="89"/>
        <v>-</v>
      </c>
      <c r="BO86" s="1353" t="str">
        <f t="shared" si="89"/>
        <v>-</v>
      </c>
      <c r="BP86" s="1346" t="str">
        <f t="shared" si="89"/>
        <v>-</v>
      </c>
      <c r="BQ86" s="987" t="str">
        <f t="shared" si="89"/>
        <v>-</v>
      </c>
      <c r="BR86" s="987" t="str">
        <f t="shared" si="89"/>
        <v>-</v>
      </c>
      <c r="BS86" s="987" t="str">
        <f t="shared" si="89"/>
        <v>-</v>
      </c>
      <c r="BT86" s="988" t="str">
        <f t="shared" si="89"/>
        <v>-</v>
      </c>
      <c r="BU86" s="987" t="str">
        <f t="shared" si="89"/>
        <v>-</v>
      </c>
      <c r="BV86" s="987" t="str">
        <f>IF(AG86="","-",IFERROR((AG86/AF86-1)*(AF86/AF$13),"-"))</f>
        <v>-</v>
      </c>
      <c r="BW86" s="987" t="str">
        <f>IF(AH86="","-",IFERROR((AH86/AG86-1)*(AG86/AG$13),"-"))</f>
        <v>-</v>
      </c>
      <c r="BX86" s="987" t="str">
        <f>IF(AI86="","-",IFERROR((AI86/AH86-1)*(AH86/AH$13),"-"))</f>
        <v>-</v>
      </c>
      <c r="BY86" s="989" t="str">
        <f>IF(AJ86="","-",IFERROR((AJ86/AI86-1)*(AI86/AI$13),"-"))</f>
        <v>-</v>
      </c>
      <c r="BZ86" s="951"/>
      <c r="CA86" s="984" t="str">
        <f t="shared" si="34"/>
        <v>Rev</v>
      </c>
      <c r="CB86" s="985" t="str">
        <f t="shared" si="35"/>
        <v>Water</v>
      </c>
      <c r="CC86" s="985" t="str">
        <f t="shared" si="36"/>
        <v>Fixed</v>
      </c>
      <c r="CD86" s="990" t="str">
        <f t="shared" si="66"/>
        <v>-</v>
      </c>
      <c r="CE86" s="987" t="str">
        <f t="shared" si="59"/>
        <v>-</v>
      </c>
      <c r="CF86" s="987" t="str">
        <f t="shared" si="60"/>
        <v>-</v>
      </c>
      <c r="CG86" s="988" t="str">
        <f t="shared" si="61"/>
        <v>-</v>
      </c>
      <c r="CH86" s="987" t="str">
        <f t="shared" si="67"/>
        <v>-</v>
      </c>
      <c r="CI86" s="987" t="str">
        <f t="shared" si="62"/>
        <v>-</v>
      </c>
      <c r="CJ86" s="987" t="str">
        <f t="shared" si="63"/>
        <v>-</v>
      </c>
      <c r="CK86" s="989" t="str">
        <f t="shared" si="64"/>
        <v>-</v>
      </c>
    </row>
    <row r="87" spans="4:89">
      <c r="D87" s="63">
        <f>D84+1</f>
        <v>7</v>
      </c>
      <c r="E87" s="550" t="s">
        <v>857</v>
      </c>
      <c r="F87" s="595" t="s">
        <v>401</v>
      </c>
      <c r="G87" s="595" t="s">
        <v>101</v>
      </c>
      <c r="H87" s="595" t="s">
        <v>878</v>
      </c>
      <c r="I87" s="589" t="s">
        <v>842</v>
      </c>
      <c r="J87" s="589" t="s">
        <v>879</v>
      </c>
      <c r="K87" s="551"/>
      <c r="L87" s="552"/>
      <c r="M87" s="552"/>
      <c r="N87" s="551"/>
      <c r="O87" s="552"/>
      <c r="P87" s="552"/>
      <c r="Q87" s="552"/>
      <c r="R87" s="1035"/>
      <c r="S87" s="1138"/>
      <c r="T87" s="591"/>
      <c r="U87" s="1035"/>
      <c r="V87" s="1138"/>
      <c r="W87" s="591"/>
      <c r="X87" s="591"/>
      <c r="Y87" s="591"/>
      <c r="Z87" s="1035"/>
      <c r="AA87" s="1138"/>
      <c r="AB87" s="591"/>
      <c r="AC87" s="591"/>
      <c r="AD87" s="591"/>
      <c r="AE87" s="1035"/>
      <c r="AF87" s="1138"/>
      <c r="AG87" s="591"/>
      <c r="AH87" s="591"/>
      <c r="AI87" s="591"/>
      <c r="AJ87" s="1035"/>
      <c r="AK87" s="569"/>
      <c r="AL87" s="569"/>
      <c r="AM87" s="974"/>
      <c r="AN87" s="857"/>
      <c r="AO87" s="975" t="str">
        <f t="shared" si="37"/>
        <v>Price</v>
      </c>
      <c r="AP87" s="976" t="str">
        <f t="shared" si="38"/>
        <v>Water</v>
      </c>
      <c r="AQ87" s="977" t="str">
        <f t="shared" si="39"/>
        <v>Fixed</v>
      </c>
      <c r="AR87" s="1341" t="str">
        <f t="shared" si="40"/>
        <v>-</v>
      </c>
      <c r="AS87" s="978" t="str">
        <f t="shared" si="41"/>
        <v>-</v>
      </c>
      <c r="AT87" s="979" t="str">
        <f t="shared" si="42"/>
        <v>-</v>
      </c>
      <c r="AU87" s="979" t="str">
        <f t="shared" si="43"/>
        <v>-</v>
      </c>
      <c r="AV87" s="1352" t="str">
        <f t="shared" si="44"/>
        <v>-</v>
      </c>
      <c r="AW87" s="1345" t="str">
        <f t="shared" si="45"/>
        <v>-</v>
      </c>
      <c r="AX87" s="979" t="str">
        <f t="shared" si="46"/>
        <v>-</v>
      </c>
      <c r="AY87" s="979" t="str">
        <f t="shared" si="47"/>
        <v>-</v>
      </c>
      <c r="AZ87" s="979" t="str">
        <f t="shared" si="48"/>
        <v>-</v>
      </c>
      <c r="BA87" s="980" t="str">
        <f t="shared" si="49"/>
        <v>-</v>
      </c>
      <c r="BB87" s="1345" t="str">
        <f t="shared" si="50"/>
        <v>-</v>
      </c>
      <c r="BC87" s="979" t="str">
        <f t="shared" si="51"/>
        <v>-</v>
      </c>
      <c r="BD87" s="979" t="str">
        <f t="shared" si="52"/>
        <v>-</v>
      </c>
      <c r="BE87" s="979" t="str">
        <f t="shared" si="53"/>
        <v>-</v>
      </c>
      <c r="BF87" s="981" t="str">
        <f t="shared" si="54"/>
        <v>-</v>
      </c>
      <c r="BG87" s="951"/>
      <c r="BH87" s="1547" t="str">
        <f t="shared" si="55"/>
        <v>Price</v>
      </c>
      <c r="BI87" s="1548" t="str">
        <f t="shared" si="56"/>
        <v>Water</v>
      </c>
      <c r="BJ87" s="1549" t="str">
        <f t="shared" si="57"/>
        <v>Fixed</v>
      </c>
      <c r="BK87" s="978" t="str">
        <f t="shared" ref="BK87:BU87" si="90">IF(V87="","-",IFERROR((V87/U87-1)*(U89/U$13),"-"))</f>
        <v>-</v>
      </c>
      <c r="BL87" s="978" t="str">
        <f t="shared" si="90"/>
        <v>-</v>
      </c>
      <c r="BM87" s="979" t="str">
        <f t="shared" si="90"/>
        <v>-</v>
      </c>
      <c r="BN87" s="979" t="str">
        <f t="shared" si="90"/>
        <v>-</v>
      </c>
      <c r="BO87" s="1352" t="str">
        <f t="shared" si="90"/>
        <v>-</v>
      </c>
      <c r="BP87" s="1345" t="str">
        <f t="shared" si="90"/>
        <v>-</v>
      </c>
      <c r="BQ87" s="979" t="str">
        <f t="shared" si="90"/>
        <v>-</v>
      </c>
      <c r="BR87" s="979" t="str">
        <f t="shared" si="90"/>
        <v>-</v>
      </c>
      <c r="BS87" s="979" t="str">
        <f t="shared" si="90"/>
        <v>-</v>
      </c>
      <c r="BT87" s="980" t="str">
        <f t="shared" si="90"/>
        <v>-</v>
      </c>
      <c r="BU87" s="979" t="str">
        <f t="shared" si="90"/>
        <v>-</v>
      </c>
      <c r="BV87" s="979" t="str">
        <f>IF(AG87="","-",IFERROR((AG87/AF87-1)*(AF89/AF$13),"-"))</f>
        <v>-</v>
      </c>
      <c r="BW87" s="979" t="str">
        <f>IF(AH87="","-",IFERROR((AH87/AG87-1)*(AG89/AG$13),"-"))</f>
        <v>-</v>
      </c>
      <c r="BX87" s="979" t="str">
        <f>IF(AI87="","-",IFERROR((AI87/AH87-1)*(AH89/AH$13),"-"))</f>
        <v>-</v>
      </c>
      <c r="BY87" s="981" t="str">
        <f>IF(AJ87="","-",IFERROR((AJ87/AI87-1)*(AI89/AI$13),"-"))</f>
        <v>-</v>
      </c>
      <c r="BZ87" s="951"/>
      <c r="CA87" s="975" t="str">
        <f t="shared" si="34"/>
        <v>Price</v>
      </c>
      <c r="CB87" s="976" t="str">
        <f t="shared" si="35"/>
        <v>Water</v>
      </c>
      <c r="CC87" s="982" t="str">
        <f t="shared" si="36"/>
        <v>Fixed</v>
      </c>
      <c r="CD87" s="983" t="str">
        <f t="shared" si="66"/>
        <v>-</v>
      </c>
      <c r="CE87" s="979" t="str">
        <f t="shared" si="59"/>
        <v>-</v>
      </c>
      <c r="CF87" s="979" t="str">
        <f t="shared" si="60"/>
        <v>-</v>
      </c>
      <c r="CG87" s="980" t="str">
        <f t="shared" si="61"/>
        <v>-</v>
      </c>
      <c r="CH87" s="979" t="str">
        <f t="shared" si="67"/>
        <v>-</v>
      </c>
      <c r="CI87" s="979" t="str">
        <f t="shared" si="62"/>
        <v>-</v>
      </c>
      <c r="CJ87" s="979" t="str">
        <f t="shared" si="63"/>
        <v>-</v>
      </c>
      <c r="CK87" s="981" t="str">
        <f t="shared" si="64"/>
        <v>-</v>
      </c>
    </row>
    <row r="88" spans="4:89">
      <c r="E88" s="567" t="s">
        <v>880</v>
      </c>
      <c r="F88" s="554" t="str">
        <f>+F87</f>
        <v>Water</v>
      </c>
      <c r="G88" s="555" t="str">
        <f>+G87</f>
        <v>WPW</v>
      </c>
      <c r="H88" s="555" t="str">
        <f>+H87</f>
        <v>Greater Yarra System - Thomson River</v>
      </c>
      <c r="I88" s="556" t="str">
        <f>+I87</f>
        <v>Fixed</v>
      </c>
      <c r="J88" s="590" t="s">
        <v>881</v>
      </c>
      <c r="K88" s="557"/>
      <c r="L88" s="558"/>
      <c r="M88" s="558"/>
      <c r="N88" s="557"/>
      <c r="O88" s="558"/>
      <c r="P88" s="558"/>
      <c r="Q88" s="558"/>
      <c r="R88" s="1036"/>
      <c r="S88" s="1139"/>
      <c r="T88" s="593"/>
      <c r="U88" s="1036"/>
      <c r="V88" s="1139"/>
      <c r="W88" s="593"/>
      <c r="X88" s="593"/>
      <c r="Y88" s="593"/>
      <c r="Z88" s="1036"/>
      <c r="AA88" s="1139"/>
      <c r="AB88" s="593"/>
      <c r="AC88" s="593"/>
      <c r="AD88" s="593"/>
      <c r="AE88" s="1036"/>
      <c r="AF88" s="1139"/>
      <c r="AG88" s="593"/>
      <c r="AH88" s="593"/>
      <c r="AI88" s="593"/>
      <c r="AJ88" s="1036"/>
      <c r="AK88" s="569"/>
      <c r="AL88" s="569"/>
      <c r="AN88" s="857"/>
      <c r="AO88" s="961" t="str">
        <f t="shared" si="37"/>
        <v>Qty</v>
      </c>
      <c r="AP88" s="962" t="str">
        <f t="shared" si="38"/>
        <v>Water</v>
      </c>
      <c r="AQ88" s="963" t="str">
        <f t="shared" si="39"/>
        <v>Fixed</v>
      </c>
      <c r="AR88" s="967" t="str">
        <f t="shared" si="40"/>
        <v>-</v>
      </c>
      <c r="AS88" s="964" t="str">
        <f t="shared" si="41"/>
        <v>-</v>
      </c>
      <c r="AT88" s="964" t="str">
        <f t="shared" si="42"/>
        <v>-</v>
      </c>
      <c r="AU88" s="964" t="str">
        <f t="shared" si="43"/>
        <v>-</v>
      </c>
      <c r="AV88" s="1350" t="str">
        <f t="shared" si="44"/>
        <v>-</v>
      </c>
      <c r="AW88" s="1343" t="str">
        <f t="shared" si="45"/>
        <v>-</v>
      </c>
      <c r="AX88" s="964" t="str">
        <f t="shared" si="46"/>
        <v>-</v>
      </c>
      <c r="AY88" s="964" t="str">
        <f t="shared" si="47"/>
        <v>-</v>
      </c>
      <c r="AZ88" s="964" t="str">
        <f t="shared" si="48"/>
        <v>-</v>
      </c>
      <c r="BA88" s="965" t="str">
        <f t="shared" si="49"/>
        <v>-</v>
      </c>
      <c r="BB88" s="1343" t="str">
        <f t="shared" si="50"/>
        <v>-</v>
      </c>
      <c r="BC88" s="964" t="str">
        <f t="shared" si="51"/>
        <v>-</v>
      </c>
      <c r="BD88" s="964" t="str">
        <f t="shared" si="52"/>
        <v>-</v>
      </c>
      <c r="BE88" s="964" t="str">
        <f t="shared" si="53"/>
        <v>-</v>
      </c>
      <c r="BF88" s="966" t="str">
        <f t="shared" si="54"/>
        <v>-</v>
      </c>
      <c r="BG88" s="951"/>
      <c r="BH88" s="1541" t="str">
        <f t="shared" si="55"/>
        <v>Qty</v>
      </c>
      <c r="BI88" s="1542" t="str">
        <f t="shared" si="56"/>
        <v>Water</v>
      </c>
      <c r="BJ88" s="1543" t="str">
        <f t="shared" si="57"/>
        <v>Fixed</v>
      </c>
      <c r="BK88" s="964" t="str">
        <f t="shared" ref="BK88:BU88" si="91">IF(V88="","-",IFERROR((V88/U88-1)*(U89/U$13),"-"))</f>
        <v>-</v>
      </c>
      <c r="BL88" s="964" t="str">
        <f t="shared" si="91"/>
        <v>-</v>
      </c>
      <c r="BM88" s="964" t="str">
        <f t="shared" si="91"/>
        <v>-</v>
      </c>
      <c r="BN88" s="964" t="str">
        <f t="shared" si="91"/>
        <v>-</v>
      </c>
      <c r="BO88" s="1350" t="str">
        <f t="shared" si="91"/>
        <v>-</v>
      </c>
      <c r="BP88" s="1343" t="str">
        <f t="shared" si="91"/>
        <v>-</v>
      </c>
      <c r="BQ88" s="964" t="str">
        <f t="shared" si="91"/>
        <v>-</v>
      </c>
      <c r="BR88" s="964" t="str">
        <f t="shared" si="91"/>
        <v>-</v>
      </c>
      <c r="BS88" s="964" t="str">
        <f t="shared" si="91"/>
        <v>-</v>
      </c>
      <c r="BT88" s="965" t="str">
        <f t="shared" si="91"/>
        <v>-</v>
      </c>
      <c r="BU88" s="964" t="str">
        <f t="shared" si="91"/>
        <v>-</v>
      </c>
      <c r="BV88" s="964" t="str">
        <f>IF(AG88="","-",IFERROR((AG88/AF88-1)*(AF89/AF$13),"-"))</f>
        <v>-</v>
      </c>
      <c r="BW88" s="964" t="str">
        <f>IF(AH88="","-",IFERROR((AH88/AG88-1)*(AG89/AG$13),"-"))</f>
        <v>-</v>
      </c>
      <c r="BX88" s="964" t="str">
        <f>IF(AI88="","-",IFERROR((AI88/AH88-1)*(AH89/AH$13),"-"))</f>
        <v>-</v>
      </c>
      <c r="BY88" s="966" t="str">
        <f>IF(AJ88="","-",IFERROR((AJ88/AI88-1)*(AI89/AI$13),"-"))</f>
        <v>-</v>
      </c>
      <c r="BZ88" s="951"/>
      <c r="CA88" s="961" t="str">
        <f t="shared" si="34"/>
        <v>Qty</v>
      </c>
      <c r="CB88" s="962" t="str">
        <f t="shared" si="35"/>
        <v>Water</v>
      </c>
      <c r="CC88" s="962" t="str">
        <f t="shared" si="36"/>
        <v>Fixed</v>
      </c>
      <c r="CD88" s="967" t="str">
        <f t="shared" si="66"/>
        <v>-</v>
      </c>
      <c r="CE88" s="964" t="str">
        <f t="shared" si="59"/>
        <v>-</v>
      </c>
      <c r="CF88" s="964" t="str">
        <f t="shared" si="60"/>
        <v>-</v>
      </c>
      <c r="CG88" s="965" t="str">
        <f t="shared" si="61"/>
        <v>-</v>
      </c>
      <c r="CH88" s="964" t="str">
        <f t="shared" si="67"/>
        <v>-</v>
      </c>
      <c r="CI88" s="964" t="str">
        <f t="shared" si="62"/>
        <v>-</v>
      </c>
      <c r="CJ88" s="964" t="str">
        <f t="shared" si="63"/>
        <v>-</v>
      </c>
      <c r="CK88" s="966" t="str">
        <f t="shared" si="64"/>
        <v>-</v>
      </c>
    </row>
    <row r="89" spans="4:89" ht="12.75" thickBot="1">
      <c r="E89" s="568" t="s">
        <v>882</v>
      </c>
      <c r="F89" s="560" t="str">
        <f>+F87</f>
        <v>Water</v>
      </c>
      <c r="G89" s="561" t="str">
        <f>+G87</f>
        <v>WPW</v>
      </c>
      <c r="H89" s="561" t="str">
        <f>+H87</f>
        <v>Greater Yarra System - Thomson River</v>
      </c>
      <c r="I89" s="562" t="str">
        <f>+I87</f>
        <v>Fixed</v>
      </c>
      <c r="J89" s="563" t="s">
        <v>883</v>
      </c>
      <c r="K89" s="564">
        <f t="shared" ref="K89:AJ89" si="92">K87*K88/10^6</f>
        <v>0</v>
      </c>
      <c r="L89" s="565">
        <f t="shared" si="92"/>
        <v>0</v>
      </c>
      <c r="M89" s="565">
        <f t="shared" si="92"/>
        <v>0</v>
      </c>
      <c r="N89" s="564">
        <f t="shared" si="92"/>
        <v>0</v>
      </c>
      <c r="O89" s="565">
        <f t="shared" si="92"/>
        <v>0</v>
      </c>
      <c r="P89" s="565">
        <f t="shared" si="92"/>
        <v>0</v>
      </c>
      <c r="Q89" s="565">
        <f t="shared" si="92"/>
        <v>0</v>
      </c>
      <c r="R89" s="566">
        <f t="shared" si="92"/>
        <v>0</v>
      </c>
      <c r="S89" s="564">
        <f t="shared" si="92"/>
        <v>0</v>
      </c>
      <c r="T89" s="565">
        <f t="shared" si="92"/>
        <v>0</v>
      </c>
      <c r="U89" s="566">
        <f t="shared" si="92"/>
        <v>0</v>
      </c>
      <c r="V89" s="564">
        <f t="shared" si="92"/>
        <v>0</v>
      </c>
      <c r="W89" s="565">
        <f t="shared" si="92"/>
        <v>0</v>
      </c>
      <c r="X89" s="565">
        <f t="shared" si="92"/>
        <v>0</v>
      </c>
      <c r="Y89" s="565">
        <f t="shared" si="92"/>
        <v>0</v>
      </c>
      <c r="Z89" s="566">
        <f t="shared" si="92"/>
        <v>0</v>
      </c>
      <c r="AA89" s="564">
        <f t="shared" si="92"/>
        <v>0</v>
      </c>
      <c r="AB89" s="565">
        <f t="shared" si="92"/>
        <v>0</v>
      </c>
      <c r="AC89" s="565">
        <f t="shared" si="92"/>
        <v>0</v>
      </c>
      <c r="AD89" s="565">
        <f t="shared" si="92"/>
        <v>0</v>
      </c>
      <c r="AE89" s="566">
        <f t="shared" si="92"/>
        <v>0</v>
      </c>
      <c r="AF89" s="564">
        <f t="shared" si="92"/>
        <v>0</v>
      </c>
      <c r="AG89" s="565">
        <f t="shared" si="92"/>
        <v>0</v>
      </c>
      <c r="AH89" s="565">
        <f t="shared" si="92"/>
        <v>0</v>
      </c>
      <c r="AI89" s="565">
        <f t="shared" si="92"/>
        <v>0</v>
      </c>
      <c r="AJ89" s="566">
        <f t="shared" si="92"/>
        <v>0</v>
      </c>
      <c r="AK89" s="569"/>
      <c r="AL89" s="569"/>
      <c r="AN89" s="857"/>
      <c r="AO89" s="984" t="str">
        <f t="shared" si="37"/>
        <v>Rev</v>
      </c>
      <c r="AP89" s="985" t="str">
        <f t="shared" si="38"/>
        <v>Water</v>
      </c>
      <c r="AQ89" s="986" t="str">
        <f t="shared" si="39"/>
        <v>Fixed</v>
      </c>
      <c r="AR89" s="990" t="str">
        <f t="shared" si="40"/>
        <v>-</v>
      </c>
      <c r="AS89" s="987" t="str">
        <f t="shared" si="41"/>
        <v>-</v>
      </c>
      <c r="AT89" s="987" t="str">
        <f t="shared" si="42"/>
        <v>-</v>
      </c>
      <c r="AU89" s="987" t="str">
        <f t="shared" si="43"/>
        <v>-</v>
      </c>
      <c r="AV89" s="1353" t="str">
        <f t="shared" si="44"/>
        <v>-</v>
      </c>
      <c r="AW89" s="1346" t="str">
        <f t="shared" si="45"/>
        <v>-</v>
      </c>
      <c r="AX89" s="987" t="str">
        <f t="shared" si="46"/>
        <v>-</v>
      </c>
      <c r="AY89" s="987" t="str">
        <f t="shared" si="47"/>
        <v>-</v>
      </c>
      <c r="AZ89" s="987" t="str">
        <f t="shared" si="48"/>
        <v>-</v>
      </c>
      <c r="BA89" s="988" t="str">
        <f t="shared" si="49"/>
        <v>-</v>
      </c>
      <c r="BB89" s="1346" t="str">
        <f t="shared" si="50"/>
        <v>-</v>
      </c>
      <c r="BC89" s="987" t="str">
        <f t="shared" si="51"/>
        <v>-</v>
      </c>
      <c r="BD89" s="987" t="str">
        <f t="shared" si="52"/>
        <v>-</v>
      </c>
      <c r="BE89" s="987" t="str">
        <f t="shared" si="53"/>
        <v>-</v>
      </c>
      <c r="BF89" s="989" t="str">
        <f t="shared" si="54"/>
        <v>-</v>
      </c>
      <c r="BG89" s="951"/>
      <c r="BH89" s="1550" t="str">
        <f t="shared" si="55"/>
        <v>Rev</v>
      </c>
      <c r="BI89" s="1551" t="str">
        <f t="shared" si="56"/>
        <v>Water</v>
      </c>
      <c r="BJ89" s="1552" t="str">
        <f t="shared" si="57"/>
        <v>Fixed</v>
      </c>
      <c r="BK89" s="987" t="str">
        <f t="shared" ref="BK89:BU89" si="93">IF(V89="","-",IFERROR((V89/U89-1)*(U89/U$13),"-"))</f>
        <v>-</v>
      </c>
      <c r="BL89" s="987" t="str">
        <f t="shared" si="93"/>
        <v>-</v>
      </c>
      <c r="BM89" s="987" t="str">
        <f t="shared" si="93"/>
        <v>-</v>
      </c>
      <c r="BN89" s="987" t="str">
        <f t="shared" si="93"/>
        <v>-</v>
      </c>
      <c r="BO89" s="1353" t="str">
        <f t="shared" si="93"/>
        <v>-</v>
      </c>
      <c r="BP89" s="1346" t="str">
        <f t="shared" si="93"/>
        <v>-</v>
      </c>
      <c r="BQ89" s="987" t="str">
        <f t="shared" si="93"/>
        <v>-</v>
      </c>
      <c r="BR89" s="987" t="str">
        <f t="shared" si="93"/>
        <v>-</v>
      </c>
      <c r="BS89" s="987" t="str">
        <f t="shared" si="93"/>
        <v>-</v>
      </c>
      <c r="BT89" s="988" t="str">
        <f t="shared" si="93"/>
        <v>-</v>
      </c>
      <c r="BU89" s="987" t="str">
        <f t="shared" si="93"/>
        <v>-</v>
      </c>
      <c r="BV89" s="987" t="str">
        <f>IF(AG89="","-",IFERROR((AG89/AF89-1)*(AF89/AF$13),"-"))</f>
        <v>-</v>
      </c>
      <c r="BW89" s="987" t="str">
        <f>IF(AH89="","-",IFERROR((AH89/AG89-1)*(AG89/AG$13),"-"))</f>
        <v>-</v>
      </c>
      <c r="BX89" s="987" t="str">
        <f>IF(AI89="","-",IFERROR((AI89/AH89-1)*(AH89/AH$13),"-"))</f>
        <v>-</v>
      </c>
      <c r="BY89" s="989" t="str">
        <f>IF(AJ89="","-",IFERROR((AJ89/AI89-1)*(AI89/AI$13),"-"))</f>
        <v>-</v>
      </c>
      <c r="BZ89" s="951"/>
      <c r="CA89" s="984" t="str">
        <f t="shared" si="34"/>
        <v>Rev</v>
      </c>
      <c r="CB89" s="985" t="str">
        <f t="shared" si="35"/>
        <v>Water</v>
      </c>
      <c r="CC89" s="985" t="str">
        <f t="shared" si="36"/>
        <v>Fixed</v>
      </c>
      <c r="CD89" s="990" t="str">
        <f t="shared" si="66"/>
        <v>-</v>
      </c>
      <c r="CE89" s="987" t="str">
        <f t="shared" si="59"/>
        <v>-</v>
      </c>
      <c r="CF89" s="987" t="str">
        <f t="shared" si="60"/>
        <v>-</v>
      </c>
      <c r="CG89" s="988" t="str">
        <f t="shared" si="61"/>
        <v>-</v>
      </c>
      <c r="CH89" s="987" t="str">
        <f t="shared" si="67"/>
        <v>-</v>
      </c>
      <c r="CI89" s="987" t="str">
        <f t="shared" si="62"/>
        <v>-</v>
      </c>
      <c r="CJ89" s="987" t="str">
        <f t="shared" si="63"/>
        <v>-</v>
      </c>
      <c r="CK89" s="989" t="str">
        <f t="shared" si="64"/>
        <v>-</v>
      </c>
    </row>
    <row r="90" spans="4:89">
      <c r="D90" s="63">
        <f>D87+1</f>
        <v>8</v>
      </c>
      <c r="E90" s="550" t="s">
        <v>857</v>
      </c>
      <c r="F90" s="595" t="s">
        <v>401</v>
      </c>
      <c r="G90" s="595" t="s">
        <v>877</v>
      </c>
      <c r="H90" s="595" t="s">
        <v>884</v>
      </c>
      <c r="I90" s="589" t="s">
        <v>842</v>
      </c>
      <c r="J90" s="589" t="s">
        <v>879</v>
      </c>
      <c r="K90" s="551"/>
      <c r="L90" s="552"/>
      <c r="M90" s="552"/>
      <c r="N90" s="551"/>
      <c r="O90" s="552"/>
      <c r="P90" s="552"/>
      <c r="Q90" s="552"/>
      <c r="R90" s="1035"/>
      <c r="S90" s="1138"/>
      <c r="T90" s="591"/>
      <c r="U90" s="1035"/>
      <c r="V90" s="1138"/>
      <c r="W90" s="591"/>
      <c r="X90" s="591"/>
      <c r="Y90" s="591"/>
      <c r="Z90" s="1035"/>
      <c r="AA90" s="1138"/>
      <c r="AB90" s="591"/>
      <c r="AC90" s="591"/>
      <c r="AD90" s="591"/>
      <c r="AE90" s="1035"/>
      <c r="AF90" s="1138"/>
      <c r="AG90" s="591"/>
      <c r="AH90" s="591"/>
      <c r="AI90" s="591"/>
      <c r="AJ90" s="1035"/>
      <c r="AK90" s="569"/>
      <c r="AL90" s="569"/>
      <c r="AM90" s="974"/>
      <c r="AN90" s="857"/>
      <c r="AO90" s="975" t="str">
        <f t="shared" si="37"/>
        <v>Price</v>
      </c>
      <c r="AP90" s="976" t="str">
        <f t="shared" si="38"/>
        <v>Water</v>
      </c>
      <c r="AQ90" s="977" t="str">
        <f t="shared" si="39"/>
        <v>Fixed</v>
      </c>
      <c r="AR90" s="1341" t="str">
        <f t="shared" si="40"/>
        <v>-</v>
      </c>
      <c r="AS90" s="978" t="str">
        <f t="shared" si="41"/>
        <v>-</v>
      </c>
      <c r="AT90" s="979" t="str">
        <f t="shared" si="42"/>
        <v>-</v>
      </c>
      <c r="AU90" s="979" t="str">
        <f t="shared" si="43"/>
        <v>-</v>
      </c>
      <c r="AV90" s="1352" t="str">
        <f t="shared" si="44"/>
        <v>-</v>
      </c>
      <c r="AW90" s="1345" t="str">
        <f t="shared" si="45"/>
        <v>-</v>
      </c>
      <c r="AX90" s="979" t="str">
        <f t="shared" si="46"/>
        <v>-</v>
      </c>
      <c r="AY90" s="979" t="str">
        <f t="shared" si="47"/>
        <v>-</v>
      </c>
      <c r="AZ90" s="979" t="str">
        <f t="shared" si="48"/>
        <v>-</v>
      </c>
      <c r="BA90" s="980" t="str">
        <f t="shared" si="49"/>
        <v>-</v>
      </c>
      <c r="BB90" s="1345" t="str">
        <f t="shared" si="50"/>
        <v>-</v>
      </c>
      <c r="BC90" s="979" t="str">
        <f t="shared" si="51"/>
        <v>-</v>
      </c>
      <c r="BD90" s="979" t="str">
        <f t="shared" si="52"/>
        <v>-</v>
      </c>
      <c r="BE90" s="979" t="str">
        <f t="shared" si="53"/>
        <v>-</v>
      </c>
      <c r="BF90" s="981" t="str">
        <f t="shared" si="54"/>
        <v>-</v>
      </c>
      <c r="BG90" s="951"/>
      <c r="BH90" s="1547" t="str">
        <f t="shared" si="55"/>
        <v>Price</v>
      </c>
      <c r="BI90" s="1548" t="str">
        <f t="shared" si="56"/>
        <v>Water</v>
      </c>
      <c r="BJ90" s="1549" t="str">
        <f t="shared" si="57"/>
        <v>Fixed</v>
      </c>
      <c r="BK90" s="978" t="str">
        <f t="shared" ref="BK90:BU90" si="94">IF(V90="","-",IFERROR((V90/U90-1)*(U92/U$13),"-"))</f>
        <v>-</v>
      </c>
      <c r="BL90" s="978" t="str">
        <f t="shared" si="94"/>
        <v>-</v>
      </c>
      <c r="BM90" s="979" t="str">
        <f t="shared" si="94"/>
        <v>-</v>
      </c>
      <c r="BN90" s="979" t="str">
        <f t="shared" si="94"/>
        <v>-</v>
      </c>
      <c r="BO90" s="1352" t="str">
        <f t="shared" si="94"/>
        <v>-</v>
      </c>
      <c r="BP90" s="1345" t="str">
        <f t="shared" si="94"/>
        <v>-</v>
      </c>
      <c r="BQ90" s="979" t="str">
        <f t="shared" si="94"/>
        <v>-</v>
      </c>
      <c r="BR90" s="979" t="str">
        <f t="shared" si="94"/>
        <v>-</v>
      </c>
      <c r="BS90" s="979" t="str">
        <f t="shared" si="94"/>
        <v>-</v>
      </c>
      <c r="BT90" s="980" t="str">
        <f t="shared" si="94"/>
        <v>-</v>
      </c>
      <c r="BU90" s="979" t="str">
        <f t="shared" si="94"/>
        <v>-</v>
      </c>
      <c r="BV90" s="979" t="str">
        <f>IF(AG90="","-",IFERROR((AG90/AF90-1)*(AF92/AF$13),"-"))</f>
        <v>-</v>
      </c>
      <c r="BW90" s="979" t="str">
        <f>IF(AH90="","-",IFERROR((AH90/AG90-1)*(AG92/AG$13),"-"))</f>
        <v>-</v>
      </c>
      <c r="BX90" s="979" t="str">
        <f>IF(AI90="","-",IFERROR((AI90/AH90-1)*(AH92/AH$13),"-"))</f>
        <v>-</v>
      </c>
      <c r="BY90" s="981" t="str">
        <f>IF(AJ90="","-",IFERROR((AJ90/AI90-1)*(AI92/AI$13),"-"))</f>
        <v>-</v>
      </c>
      <c r="BZ90" s="951"/>
      <c r="CA90" s="975" t="str">
        <f t="shared" si="34"/>
        <v>Price</v>
      </c>
      <c r="CB90" s="976" t="str">
        <f t="shared" si="35"/>
        <v>Water</v>
      </c>
      <c r="CC90" s="982" t="str">
        <f t="shared" si="36"/>
        <v>Fixed</v>
      </c>
      <c r="CD90" s="983" t="str">
        <f t="shared" si="66"/>
        <v>-</v>
      </c>
      <c r="CE90" s="979" t="str">
        <f t="shared" si="59"/>
        <v>-</v>
      </c>
      <c r="CF90" s="979" t="str">
        <f t="shared" si="60"/>
        <v>-</v>
      </c>
      <c r="CG90" s="980" t="str">
        <f t="shared" si="61"/>
        <v>-</v>
      </c>
      <c r="CH90" s="979" t="str">
        <f t="shared" si="67"/>
        <v>-</v>
      </c>
      <c r="CI90" s="979" t="str">
        <f t="shared" si="62"/>
        <v>-</v>
      </c>
      <c r="CJ90" s="979" t="str">
        <f t="shared" si="63"/>
        <v>-</v>
      </c>
      <c r="CK90" s="981" t="str">
        <f t="shared" si="64"/>
        <v>-</v>
      </c>
    </row>
    <row r="91" spans="4:89">
      <c r="E91" s="567" t="s">
        <v>880</v>
      </c>
      <c r="F91" s="554" t="str">
        <f>+F90</f>
        <v>Water</v>
      </c>
      <c r="G91" s="555" t="str">
        <f>+G90</f>
        <v>GWW</v>
      </c>
      <c r="H91" s="555" t="str">
        <f>+H90</f>
        <v>Victorian Desalination Plant</v>
      </c>
      <c r="I91" s="556" t="str">
        <f>+I90</f>
        <v>Fixed</v>
      </c>
      <c r="J91" s="590" t="s">
        <v>881</v>
      </c>
      <c r="K91" s="557"/>
      <c r="L91" s="558"/>
      <c r="M91" s="558"/>
      <c r="N91" s="557"/>
      <c r="O91" s="558"/>
      <c r="P91" s="558"/>
      <c r="Q91" s="558"/>
      <c r="R91" s="1036"/>
      <c r="S91" s="1139"/>
      <c r="T91" s="593"/>
      <c r="U91" s="1036"/>
      <c r="V91" s="1139"/>
      <c r="W91" s="593"/>
      <c r="X91" s="593"/>
      <c r="Y91" s="593"/>
      <c r="Z91" s="1036"/>
      <c r="AA91" s="1139"/>
      <c r="AB91" s="593"/>
      <c r="AC91" s="593"/>
      <c r="AD91" s="593"/>
      <c r="AE91" s="1036"/>
      <c r="AF91" s="1139"/>
      <c r="AG91" s="593"/>
      <c r="AH91" s="593"/>
      <c r="AI91" s="593"/>
      <c r="AJ91" s="1036"/>
      <c r="AK91" s="569"/>
      <c r="AL91" s="569"/>
      <c r="AN91" s="857"/>
      <c r="AO91" s="961" t="str">
        <f t="shared" si="37"/>
        <v>Qty</v>
      </c>
      <c r="AP91" s="962" t="str">
        <f t="shared" si="38"/>
        <v>Water</v>
      </c>
      <c r="AQ91" s="963" t="str">
        <f t="shared" si="39"/>
        <v>Fixed</v>
      </c>
      <c r="AR91" s="967" t="str">
        <f t="shared" si="40"/>
        <v>-</v>
      </c>
      <c r="AS91" s="964" t="str">
        <f t="shared" si="41"/>
        <v>-</v>
      </c>
      <c r="AT91" s="964" t="str">
        <f t="shared" si="42"/>
        <v>-</v>
      </c>
      <c r="AU91" s="964" t="str">
        <f t="shared" si="43"/>
        <v>-</v>
      </c>
      <c r="AV91" s="1350" t="str">
        <f t="shared" si="44"/>
        <v>-</v>
      </c>
      <c r="AW91" s="1343" t="str">
        <f t="shared" si="45"/>
        <v>-</v>
      </c>
      <c r="AX91" s="964" t="str">
        <f t="shared" si="46"/>
        <v>-</v>
      </c>
      <c r="AY91" s="964" t="str">
        <f t="shared" si="47"/>
        <v>-</v>
      </c>
      <c r="AZ91" s="964" t="str">
        <f t="shared" si="48"/>
        <v>-</v>
      </c>
      <c r="BA91" s="965" t="str">
        <f t="shared" si="49"/>
        <v>-</v>
      </c>
      <c r="BB91" s="1343" t="str">
        <f t="shared" si="50"/>
        <v>-</v>
      </c>
      <c r="BC91" s="964" t="str">
        <f t="shared" si="51"/>
        <v>-</v>
      </c>
      <c r="BD91" s="964" t="str">
        <f t="shared" si="52"/>
        <v>-</v>
      </c>
      <c r="BE91" s="964" t="str">
        <f t="shared" si="53"/>
        <v>-</v>
      </c>
      <c r="BF91" s="966" t="str">
        <f t="shared" si="54"/>
        <v>-</v>
      </c>
      <c r="BG91" s="951"/>
      <c r="BH91" s="1541" t="str">
        <f t="shared" si="55"/>
        <v>Qty</v>
      </c>
      <c r="BI91" s="1542" t="str">
        <f t="shared" si="56"/>
        <v>Water</v>
      </c>
      <c r="BJ91" s="1543" t="str">
        <f t="shared" si="57"/>
        <v>Fixed</v>
      </c>
      <c r="BK91" s="964" t="str">
        <f t="shared" ref="BK91:BU91" si="95">IF(V91="","-",IFERROR((V91/U91-1)*(U92/U$13),"-"))</f>
        <v>-</v>
      </c>
      <c r="BL91" s="964" t="str">
        <f t="shared" si="95"/>
        <v>-</v>
      </c>
      <c r="BM91" s="964" t="str">
        <f t="shared" si="95"/>
        <v>-</v>
      </c>
      <c r="BN91" s="964" t="str">
        <f t="shared" si="95"/>
        <v>-</v>
      </c>
      <c r="BO91" s="1350" t="str">
        <f t="shared" si="95"/>
        <v>-</v>
      </c>
      <c r="BP91" s="1343" t="str">
        <f t="shared" si="95"/>
        <v>-</v>
      </c>
      <c r="BQ91" s="964" t="str">
        <f t="shared" si="95"/>
        <v>-</v>
      </c>
      <c r="BR91" s="964" t="str">
        <f t="shared" si="95"/>
        <v>-</v>
      </c>
      <c r="BS91" s="964" t="str">
        <f t="shared" si="95"/>
        <v>-</v>
      </c>
      <c r="BT91" s="965" t="str">
        <f t="shared" si="95"/>
        <v>-</v>
      </c>
      <c r="BU91" s="964" t="str">
        <f t="shared" si="95"/>
        <v>-</v>
      </c>
      <c r="BV91" s="964" t="str">
        <f>IF(AG91="","-",IFERROR((AG91/AF91-1)*(AF92/AF$13),"-"))</f>
        <v>-</v>
      </c>
      <c r="BW91" s="964" t="str">
        <f>IF(AH91="","-",IFERROR((AH91/AG91-1)*(AG92/AG$13),"-"))</f>
        <v>-</v>
      </c>
      <c r="BX91" s="964" t="str">
        <f>IF(AI91="","-",IFERROR((AI91/AH91-1)*(AH92/AH$13),"-"))</f>
        <v>-</v>
      </c>
      <c r="BY91" s="966" t="str">
        <f>IF(AJ91="","-",IFERROR((AJ91/AI91-1)*(AI92/AI$13),"-"))</f>
        <v>-</v>
      </c>
      <c r="BZ91" s="951"/>
      <c r="CA91" s="961" t="str">
        <f t="shared" si="34"/>
        <v>Qty</v>
      </c>
      <c r="CB91" s="962" t="str">
        <f t="shared" si="35"/>
        <v>Water</v>
      </c>
      <c r="CC91" s="962" t="str">
        <f t="shared" si="36"/>
        <v>Fixed</v>
      </c>
      <c r="CD91" s="967" t="str">
        <f t="shared" si="66"/>
        <v>-</v>
      </c>
      <c r="CE91" s="964" t="str">
        <f t="shared" si="59"/>
        <v>-</v>
      </c>
      <c r="CF91" s="964" t="str">
        <f t="shared" si="60"/>
        <v>-</v>
      </c>
      <c r="CG91" s="965" t="str">
        <f t="shared" si="61"/>
        <v>-</v>
      </c>
      <c r="CH91" s="964" t="str">
        <f t="shared" si="67"/>
        <v>-</v>
      </c>
      <c r="CI91" s="964" t="str">
        <f t="shared" si="62"/>
        <v>-</v>
      </c>
      <c r="CJ91" s="964" t="str">
        <f t="shared" si="63"/>
        <v>-</v>
      </c>
      <c r="CK91" s="966" t="str">
        <f t="shared" si="64"/>
        <v>-</v>
      </c>
    </row>
    <row r="92" spans="4:89" ht="12.75" thickBot="1">
      <c r="E92" s="568" t="s">
        <v>882</v>
      </c>
      <c r="F92" s="560" t="str">
        <f>+F90</f>
        <v>Water</v>
      </c>
      <c r="G92" s="561" t="str">
        <f>+G90</f>
        <v>GWW</v>
      </c>
      <c r="H92" s="561" t="str">
        <f>+H90</f>
        <v>Victorian Desalination Plant</v>
      </c>
      <c r="I92" s="562" t="str">
        <f>+I90</f>
        <v>Fixed</v>
      </c>
      <c r="J92" s="563" t="s">
        <v>883</v>
      </c>
      <c r="K92" s="564">
        <f t="shared" ref="K92:AJ92" si="96">K90*K91/10^6</f>
        <v>0</v>
      </c>
      <c r="L92" s="565">
        <f t="shared" si="96"/>
        <v>0</v>
      </c>
      <c r="M92" s="565">
        <f t="shared" si="96"/>
        <v>0</v>
      </c>
      <c r="N92" s="564">
        <f t="shared" si="96"/>
        <v>0</v>
      </c>
      <c r="O92" s="565">
        <f t="shared" si="96"/>
        <v>0</v>
      </c>
      <c r="P92" s="565">
        <f t="shared" si="96"/>
        <v>0</v>
      </c>
      <c r="Q92" s="565">
        <f t="shared" si="96"/>
        <v>0</v>
      </c>
      <c r="R92" s="566">
        <f t="shared" si="96"/>
        <v>0</v>
      </c>
      <c r="S92" s="564">
        <f t="shared" si="96"/>
        <v>0</v>
      </c>
      <c r="T92" s="565">
        <f t="shared" si="96"/>
        <v>0</v>
      </c>
      <c r="U92" s="566">
        <f t="shared" si="96"/>
        <v>0</v>
      </c>
      <c r="V92" s="564">
        <f t="shared" si="96"/>
        <v>0</v>
      </c>
      <c r="W92" s="565">
        <f t="shared" si="96"/>
        <v>0</v>
      </c>
      <c r="X92" s="565">
        <f t="shared" si="96"/>
        <v>0</v>
      </c>
      <c r="Y92" s="565">
        <f t="shared" si="96"/>
        <v>0</v>
      </c>
      <c r="Z92" s="566">
        <f t="shared" si="96"/>
        <v>0</v>
      </c>
      <c r="AA92" s="564">
        <f t="shared" si="96"/>
        <v>0</v>
      </c>
      <c r="AB92" s="565">
        <f t="shared" si="96"/>
        <v>0</v>
      </c>
      <c r="AC92" s="565">
        <f t="shared" si="96"/>
        <v>0</v>
      </c>
      <c r="AD92" s="565">
        <f t="shared" si="96"/>
        <v>0</v>
      </c>
      <c r="AE92" s="566">
        <f t="shared" si="96"/>
        <v>0</v>
      </c>
      <c r="AF92" s="564">
        <f t="shared" si="96"/>
        <v>0</v>
      </c>
      <c r="AG92" s="565">
        <f t="shared" si="96"/>
        <v>0</v>
      </c>
      <c r="AH92" s="565">
        <f t="shared" si="96"/>
        <v>0</v>
      </c>
      <c r="AI92" s="565">
        <f t="shared" si="96"/>
        <v>0</v>
      </c>
      <c r="AJ92" s="566">
        <f t="shared" si="96"/>
        <v>0</v>
      </c>
      <c r="AK92" s="569"/>
      <c r="AL92" s="569"/>
      <c r="AN92" s="857"/>
      <c r="AO92" s="984" t="str">
        <f t="shared" si="37"/>
        <v>Rev</v>
      </c>
      <c r="AP92" s="985" t="str">
        <f t="shared" si="38"/>
        <v>Water</v>
      </c>
      <c r="AQ92" s="986" t="str">
        <f t="shared" si="39"/>
        <v>Fixed</v>
      </c>
      <c r="AR92" s="990" t="str">
        <f t="shared" si="40"/>
        <v>-</v>
      </c>
      <c r="AS92" s="987" t="str">
        <f t="shared" si="41"/>
        <v>-</v>
      </c>
      <c r="AT92" s="987" t="str">
        <f t="shared" si="42"/>
        <v>-</v>
      </c>
      <c r="AU92" s="987" t="str">
        <f t="shared" si="43"/>
        <v>-</v>
      </c>
      <c r="AV92" s="1353" t="str">
        <f t="shared" si="44"/>
        <v>-</v>
      </c>
      <c r="AW92" s="1346" t="str">
        <f t="shared" si="45"/>
        <v>-</v>
      </c>
      <c r="AX92" s="987" t="str">
        <f t="shared" si="46"/>
        <v>-</v>
      </c>
      <c r="AY92" s="987" t="str">
        <f t="shared" si="47"/>
        <v>-</v>
      </c>
      <c r="AZ92" s="987" t="str">
        <f t="shared" si="48"/>
        <v>-</v>
      </c>
      <c r="BA92" s="988" t="str">
        <f t="shared" si="49"/>
        <v>-</v>
      </c>
      <c r="BB92" s="1346" t="str">
        <f t="shared" si="50"/>
        <v>-</v>
      </c>
      <c r="BC92" s="987" t="str">
        <f t="shared" si="51"/>
        <v>-</v>
      </c>
      <c r="BD92" s="987" t="str">
        <f t="shared" si="52"/>
        <v>-</v>
      </c>
      <c r="BE92" s="987" t="str">
        <f t="shared" si="53"/>
        <v>-</v>
      </c>
      <c r="BF92" s="989" t="str">
        <f t="shared" si="54"/>
        <v>-</v>
      </c>
      <c r="BG92" s="951"/>
      <c r="BH92" s="1550" t="str">
        <f t="shared" si="55"/>
        <v>Rev</v>
      </c>
      <c r="BI92" s="1551" t="str">
        <f t="shared" si="56"/>
        <v>Water</v>
      </c>
      <c r="BJ92" s="1552" t="str">
        <f t="shared" si="57"/>
        <v>Fixed</v>
      </c>
      <c r="BK92" s="987" t="str">
        <f t="shared" ref="BK92:BU92" si="97">IF(V92="","-",IFERROR((V92/U92-1)*(U92/U$13),"-"))</f>
        <v>-</v>
      </c>
      <c r="BL92" s="987" t="str">
        <f t="shared" si="97"/>
        <v>-</v>
      </c>
      <c r="BM92" s="987" t="str">
        <f t="shared" si="97"/>
        <v>-</v>
      </c>
      <c r="BN92" s="987" t="str">
        <f t="shared" si="97"/>
        <v>-</v>
      </c>
      <c r="BO92" s="1353" t="str">
        <f t="shared" si="97"/>
        <v>-</v>
      </c>
      <c r="BP92" s="1346" t="str">
        <f t="shared" si="97"/>
        <v>-</v>
      </c>
      <c r="BQ92" s="987" t="str">
        <f t="shared" si="97"/>
        <v>-</v>
      </c>
      <c r="BR92" s="987" t="str">
        <f t="shared" si="97"/>
        <v>-</v>
      </c>
      <c r="BS92" s="987" t="str">
        <f t="shared" si="97"/>
        <v>-</v>
      </c>
      <c r="BT92" s="988" t="str">
        <f t="shared" si="97"/>
        <v>-</v>
      </c>
      <c r="BU92" s="987" t="str">
        <f t="shared" si="97"/>
        <v>-</v>
      </c>
      <c r="BV92" s="987" t="str">
        <f>IF(AG92="","-",IFERROR((AG92/AF92-1)*(AF92/AF$13),"-"))</f>
        <v>-</v>
      </c>
      <c r="BW92" s="987" t="str">
        <f>IF(AH92="","-",IFERROR((AH92/AG92-1)*(AG92/AG$13),"-"))</f>
        <v>-</v>
      </c>
      <c r="BX92" s="987" t="str">
        <f>IF(AI92="","-",IFERROR((AI92/AH92-1)*(AH92/AH$13),"-"))</f>
        <v>-</v>
      </c>
      <c r="BY92" s="989" t="str">
        <f>IF(AJ92="","-",IFERROR((AJ92/AI92-1)*(AI92/AI$13),"-"))</f>
        <v>-</v>
      </c>
      <c r="BZ92" s="951"/>
      <c r="CA92" s="984" t="str">
        <f t="shared" si="34"/>
        <v>Rev</v>
      </c>
      <c r="CB92" s="985" t="str">
        <f t="shared" si="35"/>
        <v>Water</v>
      </c>
      <c r="CC92" s="985" t="str">
        <f t="shared" si="36"/>
        <v>Fixed</v>
      </c>
      <c r="CD92" s="990" t="str">
        <f t="shared" si="66"/>
        <v>-</v>
      </c>
      <c r="CE92" s="987" t="str">
        <f t="shared" si="59"/>
        <v>-</v>
      </c>
      <c r="CF92" s="987" t="str">
        <f t="shared" si="60"/>
        <v>-</v>
      </c>
      <c r="CG92" s="988" t="str">
        <f t="shared" si="61"/>
        <v>-</v>
      </c>
      <c r="CH92" s="987" t="str">
        <f t="shared" si="67"/>
        <v>-</v>
      </c>
      <c r="CI92" s="987" t="str">
        <f t="shared" si="62"/>
        <v>-</v>
      </c>
      <c r="CJ92" s="987" t="str">
        <f t="shared" si="63"/>
        <v>-</v>
      </c>
      <c r="CK92" s="989" t="str">
        <f t="shared" si="64"/>
        <v>-</v>
      </c>
    </row>
    <row r="93" spans="4:89">
      <c r="D93" s="63">
        <f>D90+1</f>
        <v>9</v>
      </c>
      <c r="E93" s="550" t="s">
        <v>857</v>
      </c>
      <c r="F93" s="595" t="s">
        <v>401</v>
      </c>
      <c r="G93" s="595" t="s">
        <v>92</v>
      </c>
      <c r="H93" s="595" t="s">
        <v>884</v>
      </c>
      <c r="I93" s="589" t="s">
        <v>842</v>
      </c>
      <c r="J93" s="589" t="s">
        <v>879</v>
      </c>
      <c r="K93" s="551"/>
      <c r="L93" s="552"/>
      <c r="M93" s="552"/>
      <c r="N93" s="551"/>
      <c r="O93" s="552"/>
      <c r="P93" s="552"/>
      <c r="Q93" s="552"/>
      <c r="R93" s="1035"/>
      <c r="S93" s="1138"/>
      <c r="T93" s="591"/>
      <c r="U93" s="1035"/>
      <c r="V93" s="1138"/>
      <c r="W93" s="591"/>
      <c r="X93" s="591"/>
      <c r="Y93" s="591"/>
      <c r="Z93" s="1035"/>
      <c r="AA93" s="1138"/>
      <c r="AB93" s="591"/>
      <c r="AC93" s="591"/>
      <c r="AD93" s="591"/>
      <c r="AE93" s="1035"/>
      <c r="AF93" s="1138"/>
      <c r="AG93" s="591"/>
      <c r="AH93" s="591"/>
      <c r="AI93" s="591"/>
      <c r="AJ93" s="1035"/>
      <c r="AK93" s="569"/>
      <c r="AL93" s="569"/>
      <c r="AM93" s="974"/>
      <c r="AN93" s="857"/>
      <c r="AO93" s="975" t="str">
        <f t="shared" si="37"/>
        <v>Price</v>
      </c>
      <c r="AP93" s="976" t="str">
        <f t="shared" si="38"/>
        <v>Water</v>
      </c>
      <c r="AQ93" s="977" t="str">
        <f t="shared" si="39"/>
        <v>Fixed</v>
      </c>
      <c r="AR93" s="1341" t="str">
        <f t="shared" si="40"/>
        <v>-</v>
      </c>
      <c r="AS93" s="978" t="str">
        <f t="shared" si="41"/>
        <v>-</v>
      </c>
      <c r="AT93" s="979" t="str">
        <f t="shared" si="42"/>
        <v>-</v>
      </c>
      <c r="AU93" s="979" t="str">
        <f t="shared" si="43"/>
        <v>-</v>
      </c>
      <c r="AV93" s="1352" t="str">
        <f t="shared" si="44"/>
        <v>-</v>
      </c>
      <c r="AW93" s="1345" t="str">
        <f t="shared" si="45"/>
        <v>-</v>
      </c>
      <c r="AX93" s="979" t="str">
        <f t="shared" si="46"/>
        <v>-</v>
      </c>
      <c r="AY93" s="979" t="str">
        <f t="shared" si="47"/>
        <v>-</v>
      </c>
      <c r="AZ93" s="979" t="str">
        <f t="shared" si="48"/>
        <v>-</v>
      </c>
      <c r="BA93" s="980" t="str">
        <f t="shared" si="49"/>
        <v>-</v>
      </c>
      <c r="BB93" s="1345" t="str">
        <f t="shared" si="50"/>
        <v>-</v>
      </c>
      <c r="BC93" s="979" t="str">
        <f t="shared" si="51"/>
        <v>-</v>
      </c>
      <c r="BD93" s="979" t="str">
        <f t="shared" si="52"/>
        <v>-</v>
      </c>
      <c r="BE93" s="979" t="str">
        <f t="shared" si="53"/>
        <v>-</v>
      </c>
      <c r="BF93" s="981" t="str">
        <f t="shared" si="54"/>
        <v>-</v>
      </c>
      <c r="BG93" s="951"/>
      <c r="BH93" s="1547" t="str">
        <f t="shared" si="55"/>
        <v>Price</v>
      </c>
      <c r="BI93" s="1548" t="str">
        <f t="shared" si="56"/>
        <v>Water</v>
      </c>
      <c r="BJ93" s="1549" t="str">
        <f t="shared" si="57"/>
        <v>Fixed</v>
      </c>
      <c r="BK93" s="978" t="str">
        <f t="shared" ref="BK93:BU93" si="98">IF(V93="","-",IFERROR((V93/U93-1)*(U95/U$13),"-"))</f>
        <v>-</v>
      </c>
      <c r="BL93" s="978" t="str">
        <f t="shared" si="98"/>
        <v>-</v>
      </c>
      <c r="BM93" s="979" t="str">
        <f t="shared" si="98"/>
        <v>-</v>
      </c>
      <c r="BN93" s="979" t="str">
        <f t="shared" si="98"/>
        <v>-</v>
      </c>
      <c r="BO93" s="1352" t="str">
        <f t="shared" si="98"/>
        <v>-</v>
      </c>
      <c r="BP93" s="1345" t="str">
        <f t="shared" si="98"/>
        <v>-</v>
      </c>
      <c r="BQ93" s="979" t="str">
        <f t="shared" si="98"/>
        <v>-</v>
      </c>
      <c r="BR93" s="979" t="str">
        <f t="shared" si="98"/>
        <v>-</v>
      </c>
      <c r="BS93" s="979" t="str">
        <f t="shared" si="98"/>
        <v>-</v>
      </c>
      <c r="BT93" s="980" t="str">
        <f t="shared" si="98"/>
        <v>-</v>
      </c>
      <c r="BU93" s="979" t="str">
        <f t="shared" si="98"/>
        <v>-</v>
      </c>
      <c r="BV93" s="979" t="str">
        <f>IF(AG93="","-",IFERROR((AG93/AF93-1)*(AF95/AF$13),"-"))</f>
        <v>-</v>
      </c>
      <c r="BW93" s="979" t="str">
        <f>IF(AH93="","-",IFERROR((AH93/AG93-1)*(AG95/AG$13),"-"))</f>
        <v>-</v>
      </c>
      <c r="BX93" s="979" t="str">
        <f>IF(AI93="","-",IFERROR((AI93/AH93-1)*(AH95/AH$13),"-"))</f>
        <v>-</v>
      </c>
      <c r="BY93" s="981" t="str">
        <f>IF(AJ93="","-",IFERROR((AJ93/AI93-1)*(AI95/AI$13),"-"))</f>
        <v>-</v>
      </c>
      <c r="BZ93" s="951"/>
      <c r="CA93" s="975" t="str">
        <f t="shared" si="34"/>
        <v>Price</v>
      </c>
      <c r="CB93" s="976" t="str">
        <f t="shared" si="35"/>
        <v>Water</v>
      </c>
      <c r="CC93" s="982" t="str">
        <f t="shared" si="36"/>
        <v>Fixed</v>
      </c>
      <c r="CD93" s="983" t="str">
        <f t="shared" si="66"/>
        <v>-</v>
      </c>
      <c r="CE93" s="979" t="str">
        <f t="shared" si="59"/>
        <v>-</v>
      </c>
      <c r="CF93" s="979" t="str">
        <f t="shared" si="60"/>
        <v>-</v>
      </c>
      <c r="CG93" s="980" t="str">
        <f t="shared" si="61"/>
        <v>-</v>
      </c>
      <c r="CH93" s="979" t="str">
        <f t="shared" si="67"/>
        <v>-</v>
      </c>
      <c r="CI93" s="979" t="str">
        <f t="shared" si="62"/>
        <v>-</v>
      </c>
      <c r="CJ93" s="979" t="str">
        <f t="shared" si="63"/>
        <v>-</v>
      </c>
      <c r="CK93" s="981" t="str">
        <f t="shared" si="64"/>
        <v>-</v>
      </c>
    </row>
    <row r="94" spans="4:89">
      <c r="E94" s="567" t="s">
        <v>880</v>
      </c>
      <c r="F94" s="554" t="str">
        <f>+F93</f>
        <v>Water</v>
      </c>
      <c r="G94" s="555" t="str">
        <f>+G93</f>
        <v>SEW</v>
      </c>
      <c r="H94" s="555" t="str">
        <f>+H93</f>
        <v>Victorian Desalination Plant</v>
      </c>
      <c r="I94" s="556" t="str">
        <f>+I93</f>
        <v>Fixed</v>
      </c>
      <c r="J94" s="590" t="s">
        <v>881</v>
      </c>
      <c r="K94" s="557"/>
      <c r="L94" s="558"/>
      <c r="M94" s="558"/>
      <c r="N94" s="557"/>
      <c r="O94" s="558"/>
      <c r="P94" s="558"/>
      <c r="Q94" s="558"/>
      <c r="R94" s="1036"/>
      <c r="S94" s="1139"/>
      <c r="T94" s="593"/>
      <c r="U94" s="1036"/>
      <c r="V94" s="1139"/>
      <c r="W94" s="593"/>
      <c r="X94" s="593"/>
      <c r="Y94" s="593"/>
      <c r="Z94" s="1036"/>
      <c r="AA94" s="1139"/>
      <c r="AB94" s="593"/>
      <c r="AC94" s="593"/>
      <c r="AD94" s="593"/>
      <c r="AE94" s="1036"/>
      <c r="AF94" s="1139"/>
      <c r="AG94" s="593"/>
      <c r="AH94" s="593"/>
      <c r="AI94" s="593"/>
      <c r="AJ94" s="1036"/>
      <c r="AK94" s="569"/>
      <c r="AL94" s="569"/>
      <c r="AN94" s="857"/>
      <c r="AO94" s="961" t="str">
        <f t="shared" si="37"/>
        <v>Qty</v>
      </c>
      <c r="AP94" s="962" t="str">
        <f t="shared" si="38"/>
        <v>Water</v>
      </c>
      <c r="AQ94" s="963" t="str">
        <f t="shared" si="39"/>
        <v>Fixed</v>
      </c>
      <c r="AR94" s="967" t="str">
        <f t="shared" si="40"/>
        <v>-</v>
      </c>
      <c r="AS94" s="964" t="str">
        <f t="shared" si="41"/>
        <v>-</v>
      </c>
      <c r="AT94" s="964" t="str">
        <f t="shared" si="42"/>
        <v>-</v>
      </c>
      <c r="AU94" s="964" t="str">
        <f t="shared" si="43"/>
        <v>-</v>
      </c>
      <c r="AV94" s="1350" t="str">
        <f t="shared" si="44"/>
        <v>-</v>
      </c>
      <c r="AW94" s="1343" t="str">
        <f t="shared" si="45"/>
        <v>-</v>
      </c>
      <c r="AX94" s="964" t="str">
        <f t="shared" si="46"/>
        <v>-</v>
      </c>
      <c r="AY94" s="964" t="str">
        <f t="shared" si="47"/>
        <v>-</v>
      </c>
      <c r="AZ94" s="964" t="str">
        <f t="shared" si="48"/>
        <v>-</v>
      </c>
      <c r="BA94" s="965" t="str">
        <f t="shared" si="49"/>
        <v>-</v>
      </c>
      <c r="BB94" s="1343" t="str">
        <f t="shared" si="50"/>
        <v>-</v>
      </c>
      <c r="BC94" s="964" t="str">
        <f t="shared" si="51"/>
        <v>-</v>
      </c>
      <c r="BD94" s="964" t="str">
        <f t="shared" si="52"/>
        <v>-</v>
      </c>
      <c r="BE94" s="964" t="str">
        <f t="shared" si="53"/>
        <v>-</v>
      </c>
      <c r="BF94" s="966" t="str">
        <f t="shared" si="54"/>
        <v>-</v>
      </c>
      <c r="BG94" s="951"/>
      <c r="BH94" s="1541" t="str">
        <f t="shared" si="55"/>
        <v>Qty</v>
      </c>
      <c r="BI94" s="1542" t="str">
        <f t="shared" si="56"/>
        <v>Water</v>
      </c>
      <c r="BJ94" s="1543" t="str">
        <f t="shared" si="57"/>
        <v>Fixed</v>
      </c>
      <c r="BK94" s="964" t="str">
        <f t="shared" ref="BK94:BU94" si="99">IF(V94="","-",IFERROR((V94/U94-1)*(U95/U$13),"-"))</f>
        <v>-</v>
      </c>
      <c r="BL94" s="964" t="str">
        <f t="shared" si="99"/>
        <v>-</v>
      </c>
      <c r="BM94" s="964" t="str">
        <f t="shared" si="99"/>
        <v>-</v>
      </c>
      <c r="BN94" s="964" t="str">
        <f t="shared" si="99"/>
        <v>-</v>
      </c>
      <c r="BO94" s="1350" t="str">
        <f t="shared" si="99"/>
        <v>-</v>
      </c>
      <c r="BP94" s="1343" t="str">
        <f t="shared" si="99"/>
        <v>-</v>
      </c>
      <c r="BQ94" s="964" t="str">
        <f t="shared" si="99"/>
        <v>-</v>
      </c>
      <c r="BR94" s="964" t="str">
        <f t="shared" si="99"/>
        <v>-</v>
      </c>
      <c r="BS94" s="964" t="str">
        <f t="shared" si="99"/>
        <v>-</v>
      </c>
      <c r="BT94" s="965" t="str">
        <f t="shared" si="99"/>
        <v>-</v>
      </c>
      <c r="BU94" s="964" t="str">
        <f t="shared" si="99"/>
        <v>-</v>
      </c>
      <c r="BV94" s="964" t="str">
        <f>IF(AG94="","-",IFERROR((AG94/AF94-1)*(AF95/AF$13),"-"))</f>
        <v>-</v>
      </c>
      <c r="BW94" s="964" t="str">
        <f>IF(AH94="","-",IFERROR((AH94/AG94-1)*(AG95/AG$13),"-"))</f>
        <v>-</v>
      </c>
      <c r="BX94" s="964" t="str">
        <f>IF(AI94="","-",IFERROR((AI94/AH94-1)*(AH95/AH$13),"-"))</f>
        <v>-</v>
      </c>
      <c r="BY94" s="966" t="str">
        <f>IF(AJ94="","-",IFERROR((AJ94/AI94-1)*(AI95/AI$13),"-"))</f>
        <v>-</v>
      </c>
      <c r="BZ94" s="951"/>
      <c r="CA94" s="961" t="str">
        <f t="shared" si="34"/>
        <v>Qty</v>
      </c>
      <c r="CB94" s="962" t="str">
        <f t="shared" si="35"/>
        <v>Water</v>
      </c>
      <c r="CC94" s="962" t="str">
        <f t="shared" si="36"/>
        <v>Fixed</v>
      </c>
      <c r="CD94" s="967" t="str">
        <f t="shared" si="66"/>
        <v>-</v>
      </c>
      <c r="CE94" s="964" t="str">
        <f t="shared" si="59"/>
        <v>-</v>
      </c>
      <c r="CF94" s="964" t="str">
        <f t="shared" si="60"/>
        <v>-</v>
      </c>
      <c r="CG94" s="965" t="str">
        <f t="shared" si="61"/>
        <v>-</v>
      </c>
      <c r="CH94" s="964" t="str">
        <f t="shared" si="67"/>
        <v>-</v>
      </c>
      <c r="CI94" s="964" t="str">
        <f t="shared" si="62"/>
        <v>-</v>
      </c>
      <c r="CJ94" s="964" t="str">
        <f t="shared" si="63"/>
        <v>-</v>
      </c>
      <c r="CK94" s="966" t="str">
        <f t="shared" si="64"/>
        <v>-</v>
      </c>
    </row>
    <row r="95" spans="4:89" ht="12.75" thickBot="1">
      <c r="E95" s="568" t="s">
        <v>882</v>
      </c>
      <c r="F95" s="560" t="str">
        <f>+F93</f>
        <v>Water</v>
      </c>
      <c r="G95" s="561" t="str">
        <f>+G93</f>
        <v>SEW</v>
      </c>
      <c r="H95" s="561" t="str">
        <f>+H93</f>
        <v>Victorian Desalination Plant</v>
      </c>
      <c r="I95" s="562" t="str">
        <f>+I93</f>
        <v>Fixed</v>
      </c>
      <c r="J95" s="563" t="s">
        <v>883</v>
      </c>
      <c r="K95" s="564">
        <f t="shared" ref="K95:AJ95" si="100">K93*K94/10^6</f>
        <v>0</v>
      </c>
      <c r="L95" s="565">
        <f t="shared" si="100"/>
        <v>0</v>
      </c>
      <c r="M95" s="565">
        <f t="shared" si="100"/>
        <v>0</v>
      </c>
      <c r="N95" s="564">
        <f t="shared" si="100"/>
        <v>0</v>
      </c>
      <c r="O95" s="565">
        <f t="shared" si="100"/>
        <v>0</v>
      </c>
      <c r="P95" s="565">
        <f t="shared" si="100"/>
        <v>0</v>
      </c>
      <c r="Q95" s="565">
        <f t="shared" si="100"/>
        <v>0</v>
      </c>
      <c r="R95" s="566">
        <f t="shared" si="100"/>
        <v>0</v>
      </c>
      <c r="S95" s="564">
        <f t="shared" si="100"/>
        <v>0</v>
      </c>
      <c r="T95" s="565">
        <f t="shared" si="100"/>
        <v>0</v>
      </c>
      <c r="U95" s="566">
        <f t="shared" si="100"/>
        <v>0</v>
      </c>
      <c r="V95" s="564">
        <f t="shared" si="100"/>
        <v>0</v>
      </c>
      <c r="W95" s="565">
        <f t="shared" si="100"/>
        <v>0</v>
      </c>
      <c r="X95" s="565">
        <f t="shared" si="100"/>
        <v>0</v>
      </c>
      <c r="Y95" s="565">
        <f t="shared" si="100"/>
        <v>0</v>
      </c>
      <c r="Z95" s="566">
        <f t="shared" si="100"/>
        <v>0</v>
      </c>
      <c r="AA95" s="564">
        <f t="shared" si="100"/>
        <v>0</v>
      </c>
      <c r="AB95" s="565">
        <f t="shared" si="100"/>
        <v>0</v>
      </c>
      <c r="AC95" s="565">
        <f t="shared" si="100"/>
        <v>0</v>
      </c>
      <c r="AD95" s="565">
        <f t="shared" si="100"/>
        <v>0</v>
      </c>
      <c r="AE95" s="566">
        <f t="shared" si="100"/>
        <v>0</v>
      </c>
      <c r="AF95" s="564">
        <f t="shared" si="100"/>
        <v>0</v>
      </c>
      <c r="AG95" s="565">
        <f t="shared" si="100"/>
        <v>0</v>
      </c>
      <c r="AH95" s="565">
        <f t="shared" si="100"/>
        <v>0</v>
      </c>
      <c r="AI95" s="565">
        <f t="shared" si="100"/>
        <v>0</v>
      </c>
      <c r="AJ95" s="566">
        <f t="shared" si="100"/>
        <v>0</v>
      </c>
      <c r="AK95" s="569"/>
      <c r="AL95" s="569"/>
      <c r="AN95" s="857"/>
      <c r="AO95" s="984" t="str">
        <f t="shared" si="37"/>
        <v>Rev</v>
      </c>
      <c r="AP95" s="985" t="str">
        <f t="shared" si="38"/>
        <v>Water</v>
      </c>
      <c r="AQ95" s="986" t="str">
        <f t="shared" si="39"/>
        <v>Fixed</v>
      </c>
      <c r="AR95" s="990" t="str">
        <f t="shared" si="40"/>
        <v>-</v>
      </c>
      <c r="AS95" s="987" t="str">
        <f t="shared" si="41"/>
        <v>-</v>
      </c>
      <c r="AT95" s="987" t="str">
        <f t="shared" si="42"/>
        <v>-</v>
      </c>
      <c r="AU95" s="987" t="str">
        <f t="shared" si="43"/>
        <v>-</v>
      </c>
      <c r="AV95" s="1353" t="str">
        <f t="shared" si="44"/>
        <v>-</v>
      </c>
      <c r="AW95" s="1346" t="str">
        <f t="shared" si="45"/>
        <v>-</v>
      </c>
      <c r="AX95" s="987" t="str">
        <f t="shared" si="46"/>
        <v>-</v>
      </c>
      <c r="AY95" s="987" t="str">
        <f t="shared" si="47"/>
        <v>-</v>
      </c>
      <c r="AZ95" s="987" t="str">
        <f t="shared" si="48"/>
        <v>-</v>
      </c>
      <c r="BA95" s="988" t="str">
        <f t="shared" si="49"/>
        <v>-</v>
      </c>
      <c r="BB95" s="1346" t="str">
        <f t="shared" si="50"/>
        <v>-</v>
      </c>
      <c r="BC95" s="987" t="str">
        <f t="shared" si="51"/>
        <v>-</v>
      </c>
      <c r="BD95" s="987" t="str">
        <f t="shared" si="52"/>
        <v>-</v>
      </c>
      <c r="BE95" s="987" t="str">
        <f t="shared" si="53"/>
        <v>-</v>
      </c>
      <c r="BF95" s="989" t="str">
        <f t="shared" si="54"/>
        <v>-</v>
      </c>
      <c r="BG95" s="951"/>
      <c r="BH95" s="1550" t="str">
        <f t="shared" si="55"/>
        <v>Rev</v>
      </c>
      <c r="BI95" s="1551" t="str">
        <f t="shared" si="56"/>
        <v>Water</v>
      </c>
      <c r="BJ95" s="1552" t="str">
        <f t="shared" si="57"/>
        <v>Fixed</v>
      </c>
      <c r="BK95" s="987" t="str">
        <f t="shared" ref="BK95:BU95" si="101">IF(V95="","-",IFERROR((V95/U95-1)*(U95/U$13),"-"))</f>
        <v>-</v>
      </c>
      <c r="BL95" s="987" t="str">
        <f t="shared" si="101"/>
        <v>-</v>
      </c>
      <c r="BM95" s="987" t="str">
        <f t="shared" si="101"/>
        <v>-</v>
      </c>
      <c r="BN95" s="987" t="str">
        <f t="shared" si="101"/>
        <v>-</v>
      </c>
      <c r="BO95" s="1353" t="str">
        <f t="shared" si="101"/>
        <v>-</v>
      </c>
      <c r="BP95" s="1346" t="str">
        <f t="shared" si="101"/>
        <v>-</v>
      </c>
      <c r="BQ95" s="987" t="str">
        <f t="shared" si="101"/>
        <v>-</v>
      </c>
      <c r="BR95" s="987" t="str">
        <f t="shared" si="101"/>
        <v>-</v>
      </c>
      <c r="BS95" s="987" t="str">
        <f t="shared" si="101"/>
        <v>-</v>
      </c>
      <c r="BT95" s="988" t="str">
        <f t="shared" si="101"/>
        <v>-</v>
      </c>
      <c r="BU95" s="987" t="str">
        <f t="shared" si="101"/>
        <v>-</v>
      </c>
      <c r="BV95" s="987" t="str">
        <f>IF(AG95="","-",IFERROR((AG95/AF95-1)*(AF95/AF$13),"-"))</f>
        <v>-</v>
      </c>
      <c r="BW95" s="987" t="str">
        <f>IF(AH95="","-",IFERROR((AH95/AG95-1)*(AG95/AG$13),"-"))</f>
        <v>-</v>
      </c>
      <c r="BX95" s="987" t="str">
        <f>IF(AI95="","-",IFERROR((AI95/AH95-1)*(AH95/AH$13),"-"))</f>
        <v>-</v>
      </c>
      <c r="BY95" s="989" t="str">
        <f>IF(AJ95="","-",IFERROR((AJ95/AI95-1)*(AI95/AI$13),"-"))</f>
        <v>-</v>
      </c>
      <c r="BZ95" s="951"/>
      <c r="CA95" s="984" t="str">
        <f t="shared" si="34"/>
        <v>Rev</v>
      </c>
      <c r="CB95" s="985" t="str">
        <f t="shared" si="35"/>
        <v>Water</v>
      </c>
      <c r="CC95" s="985" t="str">
        <f t="shared" si="36"/>
        <v>Fixed</v>
      </c>
      <c r="CD95" s="990" t="str">
        <f t="shared" si="66"/>
        <v>-</v>
      </c>
      <c r="CE95" s="987" t="str">
        <f t="shared" si="59"/>
        <v>-</v>
      </c>
      <c r="CF95" s="987" t="str">
        <f t="shared" si="60"/>
        <v>-</v>
      </c>
      <c r="CG95" s="988" t="str">
        <f t="shared" si="61"/>
        <v>-</v>
      </c>
      <c r="CH95" s="987" t="str">
        <f t="shared" si="67"/>
        <v>-</v>
      </c>
      <c r="CI95" s="987" t="str">
        <f t="shared" si="62"/>
        <v>-</v>
      </c>
      <c r="CJ95" s="987" t="str">
        <f t="shared" si="63"/>
        <v>-</v>
      </c>
      <c r="CK95" s="989" t="str">
        <f t="shared" si="64"/>
        <v>-</v>
      </c>
    </row>
    <row r="96" spans="4:89">
      <c r="D96" s="63">
        <f>D93+1</f>
        <v>10</v>
      </c>
      <c r="E96" s="550" t="s">
        <v>857</v>
      </c>
      <c r="F96" s="595" t="s">
        <v>401</v>
      </c>
      <c r="G96" s="595" t="s">
        <v>103</v>
      </c>
      <c r="H96" s="595" t="s">
        <v>884</v>
      </c>
      <c r="I96" s="589" t="s">
        <v>842</v>
      </c>
      <c r="J96" s="589" t="s">
        <v>879</v>
      </c>
      <c r="K96" s="551"/>
      <c r="L96" s="552"/>
      <c r="M96" s="552"/>
      <c r="N96" s="551"/>
      <c r="O96" s="552"/>
      <c r="P96" s="552"/>
      <c r="Q96" s="552"/>
      <c r="R96" s="1035"/>
      <c r="S96" s="1138"/>
      <c r="T96" s="591"/>
      <c r="U96" s="1035"/>
      <c r="V96" s="1138"/>
      <c r="W96" s="591"/>
      <c r="X96" s="591"/>
      <c r="Y96" s="591"/>
      <c r="Z96" s="1035"/>
      <c r="AA96" s="1138"/>
      <c r="AB96" s="591"/>
      <c r="AC96" s="591"/>
      <c r="AD96" s="591"/>
      <c r="AE96" s="1035"/>
      <c r="AF96" s="1138"/>
      <c r="AG96" s="591"/>
      <c r="AH96" s="591"/>
      <c r="AI96" s="591"/>
      <c r="AJ96" s="1035"/>
      <c r="AK96" s="569"/>
      <c r="AL96" s="569"/>
      <c r="AM96" s="974"/>
      <c r="AN96" s="857"/>
      <c r="AO96" s="975" t="str">
        <f t="shared" si="37"/>
        <v>Price</v>
      </c>
      <c r="AP96" s="976" t="str">
        <f t="shared" si="38"/>
        <v>Water</v>
      </c>
      <c r="AQ96" s="977" t="str">
        <f t="shared" si="39"/>
        <v>Fixed</v>
      </c>
      <c r="AR96" s="1341" t="str">
        <f t="shared" si="40"/>
        <v>-</v>
      </c>
      <c r="AS96" s="978" t="str">
        <f t="shared" si="41"/>
        <v>-</v>
      </c>
      <c r="AT96" s="979" t="str">
        <f t="shared" si="42"/>
        <v>-</v>
      </c>
      <c r="AU96" s="979" t="str">
        <f t="shared" si="43"/>
        <v>-</v>
      </c>
      <c r="AV96" s="1352" t="str">
        <f t="shared" si="44"/>
        <v>-</v>
      </c>
      <c r="AW96" s="1345" t="str">
        <f t="shared" si="45"/>
        <v>-</v>
      </c>
      <c r="AX96" s="979" t="str">
        <f t="shared" si="46"/>
        <v>-</v>
      </c>
      <c r="AY96" s="979" t="str">
        <f t="shared" si="47"/>
        <v>-</v>
      </c>
      <c r="AZ96" s="979" t="str">
        <f t="shared" si="48"/>
        <v>-</v>
      </c>
      <c r="BA96" s="980" t="str">
        <f t="shared" si="49"/>
        <v>-</v>
      </c>
      <c r="BB96" s="1345" t="str">
        <f t="shared" si="50"/>
        <v>-</v>
      </c>
      <c r="BC96" s="979" t="str">
        <f t="shared" si="51"/>
        <v>-</v>
      </c>
      <c r="BD96" s="979" t="str">
        <f t="shared" si="52"/>
        <v>-</v>
      </c>
      <c r="BE96" s="979" t="str">
        <f t="shared" si="53"/>
        <v>-</v>
      </c>
      <c r="BF96" s="981" t="str">
        <f t="shared" si="54"/>
        <v>-</v>
      </c>
      <c r="BG96" s="951"/>
      <c r="BH96" s="1547" t="str">
        <f t="shared" si="55"/>
        <v>Price</v>
      </c>
      <c r="BI96" s="1548" t="str">
        <f t="shared" si="56"/>
        <v>Water</v>
      </c>
      <c r="BJ96" s="1549" t="str">
        <f t="shared" si="57"/>
        <v>Fixed</v>
      </c>
      <c r="BK96" s="978" t="str">
        <f t="shared" ref="BK96:BU96" si="102">IF(V96="","-",IFERROR((V96/U96-1)*(U98/U$13),"-"))</f>
        <v>-</v>
      </c>
      <c r="BL96" s="978" t="str">
        <f t="shared" si="102"/>
        <v>-</v>
      </c>
      <c r="BM96" s="979" t="str">
        <f t="shared" si="102"/>
        <v>-</v>
      </c>
      <c r="BN96" s="979" t="str">
        <f t="shared" si="102"/>
        <v>-</v>
      </c>
      <c r="BO96" s="1352" t="str">
        <f t="shared" si="102"/>
        <v>-</v>
      </c>
      <c r="BP96" s="1345" t="str">
        <f t="shared" si="102"/>
        <v>-</v>
      </c>
      <c r="BQ96" s="979" t="str">
        <f t="shared" si="102"/>
        <v>-</v>
      </c>
      <c r="BR96" s="979" t="str">
        <f t="shared" si="102"/>
        <v>-</v>
      </c>
      <c r="BS96" s="979" t="str">
        <f t="shared" si="102"/>
        <v>-</v>
      </c>
      <c r="BT96" s="980" t="str">
        <f t="shared" si="102"/>
        <v>-</v>
      </c>
      <c r="BU96" s="979" t="str">
        <f t="shared" si="102"/>
        <v>-</v>
      </c>
      <c r="BV96" s="979" t="str">
        <f>IF(AG96="","-",IFERROR((AG96/AF96-1)*(AF98/AF$13),"-"))</f>
        <v>-</v>
      </c>
      <c r="BW96" s="979" t="str">
        <f>IF(AH96="","-",IFERROR((AH96/AG96-1)*(AG98/AG$13),"-"))</f>
        <v>-</v>
      </c>
      <c r="BX96" s="979" t="str">
        <f>IF(AI96="","-",IFERROR((AI96/AH96-1)*(AH98/AH$13),"-"))</f>
        <v>-</v>
      </c>
      <c r="BY96" s="981" t="str">
        <f>IF(AJ96="","-",IFERROR((AJ96/AI96-1)*(AI98/AI$13),"-"))</f>
        <v>-</v>
      </c>
      <c r="BZ96" s="951"/>
      <c r="CA96" s="975" t="str">
        <f t="shared" si="34"/>
        <v>Price</v>
      </c>
      <c r="CB96" s="976" t="str">
        <f t="shared" si="35"/>
        <v>Water</v>
      </c>
      <c r="CC96" s="982" t="str">
        <f t="shared" si="36"/>
        <v>Fixed</v>
      </c>
      <c r="CD96" s="983" t="str">
        <f t="shared" si="66"/>
        <v>-</v>
      </c>
      <c r="CE96" s="979" t="str">
        <f t="shared" si="59"/>
        <v>-</v>
      </c>
      <c r="CF96" s="979" t="str">
        <f t="shared" si="60"/>
        <v>-</v>
      </c>
      <c r="CG96" s="980" t="str">
        <f t="shared" si="61"/>
        <v>-</v>
      </c>
      <c r="CH96" s="979" t="str">
        <f t="shared" si="67"/>
        <v>-</v>
      </c>
      <c r="CI96" s="979" t="str">
        <f t="shared" si="62"/>
        <v>-</v>
      </c>
      <c r="CJ96" s="979" t="str">
        <f t="shared" si="63"/>
        <v>-</v>
      </c>
      <c r="CK96" s="981" t="str">
        <f t="shared" si="64"/>
        <v>-</v>
      </c>
    </row>
    <row r="97" spans="4:89">
      <c r="E97" s="567" t="s">
        <v>880</v>
      </c>
      <c r="F97" s="554" t="str">
        <f>+F96</f>
        <v>Water</v>
      </c>
      <c r="G97" s="555" t="str">
        <f>+G96</f>
        <v>YVW</v>
      </c>
      <c r="H97" s="555" t="str">
        <f>+H96</f>
        <v>Victorian Desalination Plant</v>
      </c>
      <c r="I97" s="556" t="str">
        <f>+I96</f>
        <v>Fixed</v>
      </c>
      <c r="J97" s="590" t="s">
        <v>881</v>
      </c>
      <c r="K97" s="557"/>
      <c r="L97" s="558"/>
      <c r="M97" s="558"/>
      <c r="N97" s="557"/>
      <c r="O97" s="558"/>
      <c r="P97" s="558"/>
      <c r="Q97" s="558"/>
      <c r="R97" s="1036"/>
      <c r="S97" s="1139"/>
      <c r="T97" s="593"/>
      <c r="U97" s="1036"/>
      <c r="V97" s="1139"/>
      <c r="W97" s="593"/>
      <c r="X97" s="593"/>
      <c r="Y97" s="593"/>
      <c r="Z97" s="1036"/>
      <c r="AA97" s="1139"/>
      <c r="AB97" s="593"/>
      <c r="AC97" s="593"/>
      <c r="AD97" s="593"/>
      <c r="AE97" s="1036"/>
      <c r="AF97" s="1139"/>
      <c r="AG97" s="593"/>
      <c r="AH97" s="593"/>
      <c r="AI97" s="593"/>
      <c r="AJ97" s="1036"/>
      <c r="AK97" s="569"/>
      <c r="AL97" s="569"/>
      <c r="AN97" s="857"/>
      <c r="AO97" s="961" t="str">
        <f t="shared" si="37"/>
        <v>Qty</v>
      </c>
      <c r="AP97" s="962" t="str">
        <f t="shared" si="38"/>
        <v>Water</v>
      </c>
      <c r="AQ97" s="963" t="str">
        <f t="shared" si="39"/>
        <v>Fixed</v>
      </c>
      <c r="AR97" s="967" t="str">
        <f t="shared" si="40"/>
        <v>-</v>
      </c>
      <c r="AS97" s="964" t="str">
        <f t="shared" si="41"/>
        <v>-</v>
      </c>
      <c r="AT97" s="964" t="str">
        <f t="shared" si="42"/>
        <v>-</v>
      </c>
      <c r="AU97" s="964" t="str">
        <f t="shared" si="43"/>
        <v>-</v>
      </c>
      <c r="AV97" s="1350" t="str">
        <f t="shared" si="44"/>
        <v>-</v>
      </c>
      <c r="AW97" s="1343" t="str">
        <f t="shared" si="45"/>
        <v>-</v>
      </c>
      <c r="AX97" s="964" t="str">
        <f t="shared" si="46"/>
        <v>-</v>
      </c>
      <c r="AY97" s="964" t="str">
        <f t="shared" si="47"/>
        <v>-</v>
      </c>
      <c r="AZ97" s="964" t="str">
        <f t="shared" si="48"/>
        <v>-</v>
      </c>
      <c r="BA97" s="965" t="str">
        <f t="shared" si="49"/>
        <v>-</v>
      </c>
      <c r="BB97" s="1343" t="str">
        <f t="shared" si="50"/>
        <v>-</v>
      </c>
      <c r="BC97" s="964" t="str">
        <f t="shared" si="51"/>
        <v>-</v>
      </c>
      <c r="BD97" s="964" t="str">
        <f t="shared" si="52"/>
        <v>-</v>
      </c>
      <c r="BE97" s="964" t="str">
        <f t="shared" si="53"/>
        <v>-</v>
      </c>
      <c r="BF97" s="966" t="str">
        <f t="shared" si="54"/>
        <v>-</v>
      </c>
      <c r="BG97" s="951"/>
      <c r="BH97" s="1541" t="str">
        <f t="shared" si="55"/>
        <v>Qty</v>
      </c>
      <c r="BI97" s="1542" t="str">
        <f t="shared" si="56"/>
        <v>Water</v>
      </c>
      <c r="BJ97" s="1543" t="str">
        <f t="shared" si="57"/>
        <v>Fixed</v>
      </c>
      <c r="BK97" s="964" t="str">
        <f t="shared" ref="BK97:BU97" si="103">IF(V97="","-",IFERROR((V97/U97-1)*(U98/U$13),"-"))</f>
        <v>-</v>
      </c>
      <c r="BL97" s="964" t="str">
        <f t="shared" si="103"/>
        <v>-</v>
      </c>
      <c r="BM97" s="964" t="str">
        <f t="shared" si="103"/>
        <v>-</v>
      </c>
      <c r="BN97" s="964" t="str">
        <f t="shared" si="103"/>
        <v>-</v>
      </c>
      <c r="BO97" s="1350" t="str">
        <f t="shared" si="103"/>
        <v>-</v>
      </c>
      <c r="BP97" s="1343" t="str">
        <f t="shared" si="103"/>
        <v>-</v>
      </c>
      <c r="BQ97" s="964" t="str">
        <f t="shared" si="103"/>
        <v>-</v>
      </c>
      <c r="BR97" s="964" t="str">
        <f t="shared" si="103"/>
        <v>-</v>
      </c>
      <c r="BS97" s="964" t="str">
        <f t="shared" si="103"/>
        <v>-</v>
      </c>
      <c r="BT97" s="965" t="str">
        <f t="shared" si="103"/>
        <v>-</v>
      </c>
      <c r="BU97" s="964" t="str">
        <f t="shared" si="103"/>
        <v>-</v>
      </c>
      <c r="BV97" s="964" t="str">
        <f>IF(AG97="","-",IFERROR((AG97/AF97-1)*(AF98/AF$13),"-"))</f>
        <v>-</v>
      </c>
      <c r="BW97" s="964" t="str">
        <f>IF(AH97="","-",IFERROR((AH97/AG97-1)*(AG98/AG$13),"-"))</f>
        <v>-</v>
      </c>
      <c r="BX97" s="964" t="str">
        <f>IF(AI97="","-",IFERROR((AI97/AH97-1)*(AH98/AH$13),"-"))</f>
        <v>-</v>
      </c>
      <c r="BY97" s="966" t="str">
        <f>IF(AJ97="","-",IFERROR((AJ97/AI97-1)*(AI98/AI$13),"-"))</f>
        <v>-</v>
      </c>
      <c r="BZ97" s="951"/>
      <c r="CA97" s="961" t="str">
        <f t="shared" si="34"/>
        <v>Qty</v>
      </c>
      <c r="CB97" s="962" t="str">
        <f t="shared" si="35"/>
        <v>Water</v>
      </c>
      <c r="CC97" s="962" t="str">
        <f t="shared" si="36"/>
        <v>Fixed</v>
      </c>
      <c r="CD97" s="967" t="str">
        <f t="shared" si="66"/>
        <v>-</v>
      </c>
      <c r="CE97" s="964" t="str">
        <f t="shared" si="59"/>
        <v>-</v>
      </c>
      <c r="CF97" s="964" t="str">
        <f t="shared" si="60"/>
        <v>-</v>
      </c>
      <c r="CG97" s="965" t="str">
        <f t="shared" si="61"/>
        <v>-</v>
      </c>
      <c r="CH97" s="964" t="str">
        <f t="shared" si="67"/>
        <v>-</v>
      </c>
      <c r="CI97" s="964" t="str">
        <f t="shared" si="62"/>
        <v>-</v>
      </c>
      <c r="CJ97" s="964" t="str">
        <f t="shared" si="63"/>
        <v>-</v>
      </c>
      <c r="CK97" s="966" t="str">
        <f t="shared" si="64"/>
        <v>-</v>
      </c>
    </row>
    <row r="98" spans="4:89" ht="12.75" thickBot="1">
      <c r="E98" s="568" t="s">
        <v>882</v>
      </c>
      <c r="F98" s="560" t="str">
        <f>+F96</f>
        <v>Water</v>
      </c>
      <c r="G98" s="561" t="str">
        <f>+G96</f>
        <v>YVW</v>
      </c>
      <c r="H98" s="561" t="str">
        <f>+H96</f>
        <v>Victorian Desalination Plant</v>
      </c>
      <c r="I98" s="562" t="str">
        <f>+I96</f>
        <v>Fixed</v>
      </c>
      <c r="J98" s="563" t="s">
        <v>883</v>
      </c>
      <c r="K98" s="564">
        <f t="shared" ref="K98:AJ98" si="104">K96*K97/10^6</f>
        <v>0</v>
      </c>
      <c r="L98" s="565">
        <f t="shared" si="104"/>
        <v>0</v>
      </c>
      <c r="M98" s="565">
        <f t="shared" si="104"/>
        <v>0</v>
      </c>
      <c r="N98" s="564">
        <f t="shared" si="104"/>
        <v>0</v>
      </c>
      <c r="O98" s="565">
        <f t="shared" si="104"/>
        <v>0</v>
      </c>
      <c r="P98" s="565">
        <f t="shared" si="104"/>
        <v>0</v>
      </c>
      <c r="Q98" s="565">
        <f t="shared" si="104"/>
        <v>0</v>
      </c>
      <c r="R98" s="566">
        <f t="shared" si="104"/>
        <v>0</v>
      </c>
      <c r="S98" s="564">
        <f t="shared" si="104"/>
        <v>0</v>
      </c>
      <c r="T98" s="565">
        <f t="shared" si="104"/>
        <v>0</v>
      </c>
      <c r="U98" s="566">
        <f t="shared" si="104"/>
        <v>0</v>
      </c>
      <c r="V98" s="564">
        <f t="shared" si="104"/>
        <v>0</v>
      </c>
      <c r="W98" s="565">
        <f t="shared" si="104"/>
        <v>0</v>
      </c>
      <c r="X98" s="565">
        <f t="shared" si="104"/>
        <v>0</v>
      </c>
      <c r="Y98" s="565">
        <f t="shared" si="104"/>
        <v>0</v>
      </c>
      <c r="Z98" s="566">
        <f t="shared" si="104"/>
        <v>0</v>
      </c>
      <c r="AA98" s="564">
        <f t="shared" si="104"/>
        <v>0</v>
      </c>
      <c r="AB98" s="565">
        <f t="shared" si="104"/>
        <v>0</v>
      </c>
      <c r="AC98" s="565">
        <f t="shared" si="104"/>
        <v>0</v>
      </c>
      <c r="AD98" s="565">
        <f t="shared" si="104"/>
        <v>0</v>
      </c>
      <c r="AE98" s="566">
        <f t="shared" si="104"/>
        <v>0</v>
      </c>
      <c r="AF98" s="564">
        <f t="shared" si="104"/>
        <v>0</v>
      </c>
      <c r="AG98" s="565">
        <f t="shared" si="104"/>
        <v>0</v>
      </c>
      <c r="AH98" s="565">
        <f t="shared" si="104"/>
        <v>0</v>
      </c>
      <c r="AI98" s="565">
        <f t="shared" si="104"/>
        <v>0</v>
      </c>
      <c r="AJ98" s="566">
        <f t="shared" si="104"/>
        <v>0</v>
      </c>
      <c r="AK98" s="569"/>
      <c r="AL98" s="569"/>
      <c r="AN98" s="857"/>
      <c r="AO98" s="984" t="str">
        <f t="shared" si="37"/>
        <v>Rev</v>
      </c>
      <c r="AP98" s="985" t="str">
        <f t="shared" si="38"/>
        <v>Water</v>
      </c>
      <c r="AQ98" s="986" t="str">
        <f t="shared" si="39"/>
        <v>Fixed</v>
      </c>
      <c r="AR98" s="990" t="str">
        <f t="shared" si="40"/>
        <v>-</v>
      </c>
      <c r="AS98" s="987" t="str">
        <f t="shared" si="41"/>
        <v>-</v>
      </c>
      <c r="AT98" s="987" t="str">
        <f t="shared" si="42"/>
        <v>-</v>
      </c>
      <c r="AU98" s="987" t="str">
        <f t="shared" si="43"/>
        <v>-</v>
      </c>
      <c r="AV98" s="1353" t="str">
        <f t="shared" si="44"/>
        <v>-</v>
      </c>
      <c r="AW98" s="1346" t="str">
        <f t="shared" si="45"/>
        <v>-</v>
      </c>
      <c r="AX98" s="987" t="str">
        <f t="shared" si="46"/>
        <v>-</v>
      </c>
      <c r="AY98" s="987" t="str">
        <f t="shared" si="47"/>
        <v>-</v>
      </c>
      <c r="AZ98" s="987" t="str">
        <f t="shared" si="48"/>
        <v>-</v>
      </c>
      <c r="BA98" s="988" t="str">
        <f t="shared" si="49"/>
        <v>-</v>
      </c>
      <c r="BB98" s="1346" t="str">
        <f t="shared" si="50"/>
        <v>-</v>
      </c>
      <c r="BC98" s="987" t="str">
        <f t="shared" si="51"/>
        <v>-</v>
      </c>
      <c r="BD98" s="987" t="str">
        <f t="shared" si="52"/>
        <v>-</v>
      </c>
      <c r="BE98" s="987" t="str">
        <f t="shared" si="53"/>
        <v>-</v>
      </c>
      <c r="BF98" s="989" t="str">
        <f t="shared" si="54"/>
        <v>-</v>
      </c>
      <c r="BG98" s="951"/>
      <c r="BH98" s="1550" t="str">
        <f t="shared" si="55"/>
        <v>Rev</v>
      </c>
      <c r="BI98" s="1551" t="str">
        <f t="shared" si="56"/>
        <v>Water</v>
      </c>
      <c r="BJ98" s="1552" t="str">
        <f t="shared" si="57"/>
        <v>Fixed</v>
      </c>
      <c r="BK98" s="987" t="str">
        <f t="shared" ref="BK98:BU98" si="105">IF(V98="","-",IFERROR((V98/U98-1)*(U98/U$13),"-"))</f>
        <v>-</v>
      </c>
      <c r="BL98" s="987" t="str">
        <f t="shared" si="105"/>
        <v>-</v>
      </c>
      <c r="BM98" s="987" t="str">
        <f t="shared" si="105"/>
        <v>-</v>
      </c>
      <c r="BN98" s="987" t="str">
        <f t="shared" si="105"/>
        <v>-</v>
      </c>
      <c r="BO98" s="1353" t="str">
        <f t="shared" si="105"/>
        <v>-</v>
      </c>
      <c r="BP98" s="1346" t="str">
        <f t="shared" si="105"/>
        <v>-</v>
      </c>
      <c r="BQ98" s="987" t="str">
        <f t="shared" si="105"/>
        <v>-</v>
      </c>
      <c r="BR98" s="987" t="str">
        <f t="shared" si="105"/>
        <v>-</v>
      </c>
      <c r="BS98" s="987" t="str">
        <f t="shared" si="105"/>
        <v>-</v>
      </c>
      <c r="BT98" s="988" t="str">
        <f t="shared" si="105"/>
        <v>-</v>
      </c>
      <c r="BU98" s="987" t="str">
        <f t="shared" si="105"/>
        <v>-</v>
      </c>
      <c r="BV98" s="987" t="str">
        <f>IF(AG98="","-",IFERROR((AG98/AF98-1)*(AF98/AF$13),"-"))</f>
        <v>-</v>
      </c>
      <c r="BW98" s="987" t="str">
        <f>IF(AH98="","-",IFERROR((AH98/AG98-1)*(AG98/AG$13),"-"))</f>
        <v>-</v>
      </c>
      <c r="BX98" s="987" t="str">
        <f>IF(AI98="","-",IFERROR((AI98/AH98-1)*(AH98/AH$13),"-"))</f>
        <v>-</v>
      </c>
      <c r="BY98" s="989" t="str">
        <f>IF(AJ98="","-",IFERROR((AJ98/AI98-1)*(AI98/AI$13),"-"))</f>
        <v>-</v>
      </c>
      <c r="BZ98" s="951"/>
      <c r="CA98" s="984" t="str">
        <f t="shared" si="34"/>
        <v>Rev</v>
      </c>
      <c r="CB98" s="985" t="str">
        <f t="shared" si="35"/>
        <v>Water</v>
      </c>
      <c r="CC98" s="985" t="str">
        <f t="shared" si="36"/>
        <v>Fixed</v>
      </c>
      <c r="CD98" s="990" t="str">
        <f t="shared" si="66"/>
        <v>-</v>
      </c>
      <c r="CE98" s="987" t="str">
        <f t="shared" si="59"/>
        <v>-</v>
      </c>
      <c r="CF98" s="987" t="str">
        <f t="shared" si="60"/>
        <v>-</v>
      </c>
      <c r="CG98" s="988" t="str">
        <f t="shared" si="61"/>
        <v>-</v>
      </c>
      <c r="CH98" s="987" t="str">
        <f t="shared" si="67"/>
        <v>-</v>
      </c>
      <c r="CI98" s="987" t="str">
        <f t="shared" si="62"/>
        <v>-</v>
      </c>
      <c r="CJ98" s="987" t="str">
        <f t="shared" si="63"/>
        <v>-</v>
      </c>
      <c r="CK98" s="989" t="str">
        <f t="shared" si="64"/>
        <v>-</v>
      </c>
    </row>
    <row r="99" spans="4:89">
      <c r="D99" s="63">
        <f>D96+1</f>
        <v>11</v>
      </c>
      <c r="E99" s="550" t="s">
        <v>857</v>
      </c>
      <c r="F99" s="595" t="s">
        <v>401</v>
      </c>
      <c r="G99" s="595" t="s">
        <v>877</v>
      </c>
      <c r="H99" s="595" t="s">
        <v>885</v>
      </c>
      <c r="I99" s="589" t="s">
        <v>842</v>
      </c>
      <c r="J99" s="589" t="s">
        <v>879</v>
      </c>
      <c r="K99" s="551"/>
      <c r="L99" s="552"/>
      <c r="M99" s="552"/>
      <c r="N99" s="551"/>
      <c r="O99" s="552"/>
      <c r="P99" s="552"/>
      <c r="Q99" s="552"/>
      <c r="R99" s="1035"/>
      <c r="S99" s="1138"/>
      <c r="T99" s="591"/>
      <c r="U99" s="1035"/>
      <c r="V99" s="1138"/>
      <c r="W99" s="591"/>
      <c r="X99" s="591"/>
      <c r="Y99" s="591"/>
      <c r="Z99" s="1035"/>
      <c r="AA99" s="1138"/>
      <c r="AB99" s="591"/>
      <c r="AC99" s="591"/>
      <c r="AD99" s="591"/>
      <c r="AE99" s="1035"/>
      <c r="AF99" s="1138"/>
      <c r="AG99" s="591"/>
      <c r="AH99" s="591"/>
      <c r="AI99" s="591"/>
      <c r="AJ99" s="1035"/>
      <c r="AK99" s="569"/>
      <c r="AL99" s="569"/>
      <c r="AM99" s="974"/>
      <c r="AN99" s="857"/>
      <c r="AO99" s="975" t="str">
        <f t="shared" si="37"/>
        <v>Price</v>
      </c>
      <c r="AP99" s="976" t="str">
        <f t="shared" si="38"/>
        <v>Water</v>
      </c>
      <c r="AQ99" s="977" t="str">
        <f t="shared" si="39"/>
        <v>Fixed</v>
      </c>
      <c r="AR99" s="1341" t="str">
        <f t="shared" si="40"/>
        <v>-</v>
      </c>
      <c r="AS99" s="978" t="str">
        <f t="shared" si="41"/>
        <v>-</v>
      </c>
      <c r="AT99" s="979" t="str">
        <f t="shared" si="42"/>
        <v>-</v>
      </c>
      <c r="AU99" s="979" t="str">
        <f t="shared" si="43"/>
        <v>-</v>
      </c>
      <c r="AV99" s="1352" t="str">
        <f t="shared" si="44"/>
        <v>-</v>
      </c>
      <c r="AW99" s="1345" t="str">
        <f t="shared" si="45"/>
        <v>-</v>
      </c>
      <c r="AX99" s="979" t="str">
        <f t="shared" si="46"/>
        <v>-</v>
      </c>
      <c r="AY99" s="979" t="str">
        <f t="shared" si="47"/>
        <v>-</v>
      </c>
      <c r="AZ99" s="979" t="str">
        <f t="shared" si="48"/>
        <v>-</v>
      </c>
      <c r="BA99" s="980" t="str">
        <f t="shared" si="49"/>
        <v>-</v>
      </c>
      <c r="BB99" s="1345" t="str">
        <f t="shared" si="50"/>
        <v>-</v>
      </c>
      <c r="BC99" s="979" t="str">
        <f t="shared" si="51"/>
        <v>-</v>
      </c>
      <c r="BD99" s="979" t="str">
        <f t="shared" si="52"/>
        <v>-</v>
      </c>
      <c r="BE99" s="979" t="str">
        <f t="shared" si="53"/>
        <v>-</v>
      </c>
      <c r="BF99" s="981" t="str">
        <f t="shared" si="54"/>
        <v>-</v>
      </c>
      <c r="BG99" s="951"/>
      <c r="BH99" s="1547" t="str">
        <f t="shared" si="55"/>
        <v>Price</v>
      </c>
      <c r="BI99" s="1548" t="str">
        <f t="shared" si="56"/>
        <v>Water</v>
      </c>
      <c r="BJ99" s="1549" t="str">
        <f t="shared" si="57"/>
        <v>Fixed</v>
      </c>
      <c r="BK99" s="978" t="str">
        <f t="shared" ref="BK99:BU99" si="106">IF(V99="","-",IFERROR((V99/U99-1)*(U101/U$13),"-"))</f>
        <v>-</v>
      </c>
      <c r="BL99" s="978" t="str">
        <f t="shared" si="106"/>
        <v>-</v>
      </c>
      <c r="BM99" s="979" t="str">
        <f t="shared" si="106"/>
        <v>-</v>
      </c>
      <c r="BN99" s="979" t="str">
        <f t="shared" si="106"/>
        <v>-</v>
      </c>
      <c r="BO99" s="1352" t="str">
        <f t="shared" si="106"/>
        <v>-</v>
      </c>
      <c r="BP99" s="1345" t="str">
        <f t="shared" si="106"/>
        <v>-</v>
      </c>
      <c r="BQ99" s="979" t="str">
        <f t="shared" si="106"/>
        <v>-</v>
      </c>
      <c r="BR99" s="979" t="str">
        <f t="shared" si="106"/>
        <v>-</v>
      </c>
      <c r="BS99" s="979" t="str">
        <f t="shared" si="106"/>
        <v>-</v>
      </c>
      <c r="BT99" s="980" t="str">
        <f t="shared" si="106"/>
        <v>-</v>
      </c>
      <c r="BU99" s="979" t="str">
        <f t="shared" si="106"/>
        <v>-</v>
      </c>
      <c r="BV99" s="979" t="str">
        <f>IF(AG99="","-",IFERROR((AG99/AF99-1)*(AF101/AF$13),"-"))</f>
        <v>-</v>
      </c>
      <c r="BW99" s="979" t="str">
        <f>IF(AH99="","-",IFERROR((AH99/AG99-1)*(AG101/AG$13),"-"))</f>
        <v>-</v>
      </c>
      <c r="BX99" s="979" t="str">
        <f>IF(AI99="","-",IFERROR((AI99/AH99-1)*(AH101/AH$13),"-"))</f>
        <v>-</v>
      </c>
      <c r="BY99" s="981" t="str">
        <f>IF(AJ99="","-",IFERROR((AJ99/AI99-1)*(AI101/AI$13),"-"))</f>
        <v>-</v>
      </c>
      <c r="BZ99" s="951"/>
      <c r="CA99" s="975" t="str">
        <f t="shared" si="34"/>
        <v>Price</v>
      </c>
      <c r="CB99" s="976" t="str">
        <f t="shared" si="35"/>
        <v>Water</v>
      </c>
      <c r="CC99" s="982" t="str">
        <f t="shared" si="36"/>
        <v>Fixed</v>
      </c>
      <c r="CD99" s="983" t="str">
        <f t="shared" si="66"/>
        <v>-</v>
      </c>
      <c r="CE99" s="979" t="str">
        <f t="shared" si="59"/>
        <v>-</v>
      </c>
      <c r="CF99" s="979" t="str">
        <f t="shared" si="60"/>
        <v>-</v>
      </c>
      <c r="CG99" s="980" t="str">
        <f t="shared" si="61"/>
        <v>-</v>
      </c>
      <c r="CH99" s="979" t="str">
        <f t="shared" si="67"/>
        <v>-</v>
      </c>
      <c r="CI99" s="979" t="str">
        <f t="shared" si="62"/>
        <v>-</v>
      </c>
      <c r="CJ99" s="979" t="str">
        <f t="shared" si="63"/>
        <v>-</v>
      </c>
      <c r="CK99" s="981" t="str">
        <f t="shared" si="64"/>
        <v>-</v>
      </c>
    </row>
    <row r="100" spans="4:89">
      <c r="E100" s="567" t="s">
        <v>880</v>
      </c>
      <c r="F100" s="554" t="str">
        <f>+F99</f>
        <v>Water</v>
      </c>
      <c r="G100" s="555" t="str">
        <f>+G99</f>
        <v>GWW</v>
      </c>
      <c r="H100" s="555" t="str">
        <f>+H99</f>
        <v>North South Pipeline</v>
      </c>
      <c r="I100" s="556" t="str">
        <f>+I99</f>
        <v>Fixed</v>
      </c>
      <c r="J100" s="590" t="s">
        <v>881</v>
      </c>
      <c r="K100" s="557"/>
      <c r="L100" s="558"/>
      <c r="M100" s="558"/>
      <c r="N100" s="557"/>
      <c r="O100" s="558"/>
      <c r="P100" s="558"/>
      <c r="Q100" s="558"/>
      <c r="R100" s="1036"/>
      <c r="S100" s="1139"/>
      <c r="T100" s="593"/>
      <c r="U100" s="1036"/>
      <c r="V100" s="1139"/>
      <c r="W100" s="593"/>
      <c r="X100" s="593"/>
      <c r="Y100" s="593"/>
      <c r="Z100" s="1036"/>
      <c r="AA100" s="1139"/>
      <c r="AB100" s="593"/>
      <c r="AC100" s="593"/>
      <c r="AD100" s="593"/>
      <c r="AE100" s="1036"/>
      <c r="AF100" s="1139"/>
      <c r="AG100" s="593"/>
      <c r="AH100" s="593"/>
      <c r="AI100" s="593"/>
      <c r="AJ100" s="1036"/>
      <c r="AK100" s="569"/>
      <c r="AL100" s="569"/>
      <c r="AN100" s="857"/>
      <c r="AO100" s="961" t="str">
        <f t="shared" si="37"/>
        <v>Qty</v>
      </c>
      <c r="AP100" s="962" t="str">
        <f t="shared" si="38"/>
        <v>Water</v>
      </c>
      <c r="AQ100" s="963" t="str">
        <f t="shared" si="39"/>
        <v>Fixed</v>
      </c>
      <c r="AR100" s="967" t="str">
        <f t="shared" si="40"/>
        <v>-</v>
      </c>
      <c r="AS100" s="964" t="str">
        <f t="shared" si="41"/>
        <v>-</v>
      </c>
      <c r="AT100" s="964" t="str">
        <f t="shared" si="42"/>
        <v>-</v>
      </c>
      <c r="AU100" s="964" t="str">
        <f t="shared" si="43"/>
        <v>-</v>
      </c>
      <c r="AV100" s="1350" t="str">
        <f t="shared" si="44"/>
        <v>-</v>
      </c>
      <c r="AW100" s="1343" t="str">
        <f t="shared" si="45"/>
        <v>-</v>
      </c>
      <c r="AX100" s="964" t="str">
        <f t="shared" si="46"/>
        <v>-</v>
      </c>
      <c r="AY100" s="964" t="str">
        <f t="shared" si="47"/>
        <v>-</v>
      </c>
      <c r="AZ100" s="964" t="str">
        <f t="shared" si="48"/>
        <v>-</v>
      </c>
      <c r="BA100" s="965" t="str">
        <f t="shared" si="49"/>
        <v>-</v>
      </c>
      <c r="BB100" s="1343" t="str">
        <f t="shared" si="50"/>
        <v>-</v>
      </c>
      <c r="BC100" s="964" t="str">
        <f t="shared" si="51"/>
        <v>-</v>
      </c>
      <c r="BD100" s="964" t="str">
        <f t="shared" si="52"/>
        <v>-</v>
      </c>
      <c r="BE100" s="964" t="str">
        <f t="shared" si="53"/>
        <v>-</v>
      </c>
      <c r="BF100" s="966" t="str">
        <f t="shared" si="54"/>
        <v>-</v>
      </c>
      <c r="BG100" s="951"/>
      <c r="BH100" s="1541" t="str">
        <f t="shared" si="55"/>
        <v>Qty</v>
      </c>
      <c r="BI100" s="1542" t="str">
        <f t="shared" si="56"/>
        <v>Water</v>
      </c>
      <c r="BJ100" s="1543" t="str">
        <f t="shared" si="57"/>
        <v>Fixed</v>
      </c>
      <c r="BK100" s="964" t="str">
        <f t="shared" ref="BK100:BU100" si="107">IF(V100="","-",IFERROR((V100/U100-1)*(U101/U$13),"-"))</f>
        <v>-</v>
      </c>
      <c r="BL100" s="964" t="str">
        <f t="shared" si="107"/>
        <v>-</v>
      </c>
      <c r="BM100" s="964" t="str">
        <f t="shared" si="107"/>
        <v>-</v>
      </c>
      <c r="BN100" s="964" t="str">
        <f t="shared" si="107"/>
        <v>-</v>
      </c>
      <c r="BO100" s="1350" t="str">
        <f t="shared" si="107"/>
        <v>-</v>
      </c>
      <c r="BP100" s="1343" t="str">
        <f t="shared" si="107"/>
        <v>-</v>
      </c>
      <c r="BQ100" s="964" t="str">
        <f t="shared" si="107"/>
        <v>-</v>
      </c>
      <c r="BR100" s="964" t="str">
        <f t="shared" si="107"/>
        <v>-</v>
      </c>
      <c r="BS100" s="964" t="str">
        <f t="shared" si="107"/>
        <v>-</v>
      </c>
      <c r="BT100" s="965" t="str">
        <f t="shared" si="107"/>
        <v>-</v>
      </c>
      <c r="BU100" s="964" t="str">
        <f t="shared" si="107"/>
        <v>-</v>
      </c>
      <c r="BV100" s="964" t="str">
        <f>IF(AG100="","-",IFERROR((AG100/AF100-1)*(AF101/AF$13),"-"))</f>
        <v>-</v>
      </c>
      <c r="BW100" s="964" t="str">
        <f>IF(AH100="","-",IFERROR((AH100/AG100-1)*(AG101/AG$13),"-"))</f>
        <v>-</v>
      </c>
      <c r="BX100" s="964" t="str">
        <f>IF(AI100="","-",IFERROR((AI100/AH100-1)*(AH101/AH$13),"-"))</f>
        <v>-</v>
      </c>
      <c r="BY100" s="966" t="str">
        <f>IF(AJ100="","-",IFERROR((AJ100/AI100-1)*(AI101/AI$13),"-"))</f>
        <v>-</v>
      </c>
      <c r="BZ100" s="951"/>
      <c r="CA100" s="961" t="str">
        <f t="shared" si="34"/>
        <v>Qty</v>
      </c>
      <c r="CB100" s="962" t="str">
        <f t="shared" si="35"/>
        <v>Water</v>
      </c>
      <c r="CC100" s="962" t="str">
        <f t="shared" si="36"/>
        <v>Fixed</v>
      </c>
      <c r="CD100" s="967" t="str">
        <f t="shared" si="66"/>
        <v>-</v>
      </c>
      <c r="CE100" s="964" t="str">
        <f t="shared" si="59"/>
        <v>-</v>
      </c>
      <c r="CF100" s="964" t="str">
        <f t="shared" si="60"/>
        <v>-</v>
      </c>
      <c r="CG100" s="965" t="str">
        <f t="shared" si="61"/>
        <v>-</v>
      </c>
      <c r="CH100" s="964" t="str">
        <f t="shared" si="67"/>
        <v>-</v>
      </c>
      <c r="CI100" s="964" t="str">
        <f t="shared" si="62"/>
        <v>-</v>
      </c>
      <c r="CJ100" s="964" t="str">
        <f t="shared" si="63"/>
        <v>-</v>
      </c>
      <c r="CK100" s="966" t="str">
        <f t="shared" si="64"/>
        <v>-</v>
      </c>
    </row>
    <row r="101" spans="4:89" ht="12.75" thickBot="1">
      <c r="E101" s="568" t="s">
        <v>882</v>
      </c>
      <c r="F101" s="560" t="str">
        <f>+F99</f>
        <v>Water</v>
      </c>
      <c r="G101" s="561" t="str">
        <f>+G99</f>
        <v>GWW</v>
      </c>
      <c r="H101" s="561" t="str">
        <f>+H99</f>
        <v>North South Pipeline</v>
      </c>
      <c r="I101" s="562" t="str">
        <f>+I99</f>
        <v>Fixed</v>
      </c>
      <c r="J101" s="563" t="s">
        <v>883</v>
      </c>
      <c r="K101" s="564">
        <f t="shared" ref="K101:AJ101" si="108">K99*K100/10^6</f>
        <v>0</v>
      </c>
      <c r="L101" s="565">
        <f t="shared" si="108"/>
        <v>0</v>
      </c>
      <c r="M101" s="565">
        <f t="shared" si="108"/>
        <v>0</v>
      </c>
      <c r="N101" s="564">
        <f t="shared" si="108"/>
        <v>0</v>
      </c>
      <c r="O101" s="565">
        <f t="shared" si="108"/>
        <v>0</v>
      </c>
      <c r="P101" s="565">
        <f t="shared" si="108"/>
        <v>0</v>
      </c>
      <c r="Q101" s="565">
        <f t="shared" si="108"/>
        <v>0</v>
      </c>
      <c r="R101" s="566">
        <f t="shared" si="108"/>
        <v>0</v>
      </c>
      <c r="S101" s="564">
        <f t="shared" si="108"/>
        <v>0</v>
      </c>
      <c r="T101" s="565">
        <f t="shared" si="108"/>
        <v>0</v>
      </c>
      <c r="U101" s="566">
        <f t="shared" si="108"/>
        <v>0</v>
      </c>
      <c r="V101" s="564">
        <f t="shared" si="108"/>
        <v>0</v>
      </c>
      <c r="W101" s="565">
        <f t="shared" si="108"/>
        <v>0</v>
      </c>
      <c r="X101" s="565">
        <f t="shared" si="108"/>
        <v>0</v>
      </c>
      <c r="Y101" s="565">
        <f t="shared" si="108"/>
        <v>0</v>
      </c>
      <c r="Z101" s="566">
        <f t="shared" si="108"/>
        <v>0</v>
      </c>
      <c r="AA101" s="564">
        <f t="shared" si="108"/>
        <v>0</v>
      </c>
      <c r="AB101" s="565">
        <f t="shared" si="108"/>
        <v>0</v>
      </c>
      <c r="AC101" s="565">
        <f t="shared" si="108"/>
        <v>0</v>
      </c>
      <c r="AD101" s="565">
        <f t="shared" si="108"/>
        <v>0</v>
      </c>
      <c r="AE101" s="566">
        <f t="shared" si="108"/>
        <v>0</v>
      </c>
      <c r="AF101" s="564">
        <f t="shared" si="108"/>
        <v>0</v>
      </c>
      <c r="AG101" s="565">
        <f t="shared" si="108"/>
        <v>0</v>
      </c>
      <c r="AH101" s="565">
        <f t="shared" si="108"/>
        <v>0</v>
      </c>
      <c r="AI101" s="565">
        <f t="shared" si="108"/>
        <v>0</v>
      </c>
      <c r="AJ101" s="566">
        <f t="shared" si="108"/>
        <v>0</v>
      </c>
      <c r="AK101" s="569"/>
      <c r="AL101" s="569"/>
      <c r="AN101" s="857"/>
      <c r="AO101" s="984" t="str">
        <f t="shared" si="37"/>
        <v>Rev</v>
      </c>
      <c r="AP101" s="985" t="str">
        <f t="shared" si="38"/>
        <v>Water</v>
      </c>
      <c r="AQ101" s="986" t="str">
        <f t="shared" si="39"/>
        <v>Fixed</v>
      </c>
      <c r="AR101" s="990" t="str">
        <f t="shared" si="40"/>
        <v>-</v>
      </c>
      <c r="AS101" s="987" t="str">
        <f t="shared" si="41"/>
        <v>-</v>
      </c>
      <c r="AT101" s="987" t="str">
        <f t="shared" si="42"/>
        <v>-</v>
      </c>
      <c r="AU101" s="987" t="str">
        <f t="shared" si="43"/>
        <v>-</v>
      </c>
      <c r="AV101" s="1353" t="str">
        <f t="shared" si="44"/>
        <v>-</v>
      </c>
      <c r="AW101" s="1346" t="str">
        <f t="shared" si="45"/>
        <v>-</v>
      </c>
      <c r="AX101" s="987" t="str">
        <f t="shared" si="46"/>
        <v>-</v>
      </c>
      <c r="AY101" s="987" t="str">
        <f t="shared" si="47"/>
        <v>-</v>
      </c>
      <c r="AZ101" s="987" t="str">
        <f t="shared" si="48"/>
        <v>-</v>
      </c>
      <c r="BA101" s="988" t="str">
        <f t="shared" si="49"/>
        <v>-</v>
      </c>
      <c r="BB101" s="1346" t="str">
        <f t="shared" si="50"/>
        <v>-</v>
      </c>
      <c r="BC101" s="987" t="str">
        <f t="shared" si="51"/>
        <v>-</v>
      </c>
      <c r="BD101" s="987" t="str">
        <f t="shared" si="52"/>
        <v>-</v>
      </c>
      <c r="BE101" s="987" t="str">
        <f t="shared" si="53"/>
        <v>-</v>
      </c>
      <c r="BF101" s="989" t="str">
        <f t="shared" si="54"/>
        <v>-</v>
      </c>
      <c r="BG101" s="951"/>
      <c r="BH101" s="1550" t="str">
        <f t="shared" si="55"/>
        <v>Rev</v>
      </c>
      <c r="BI101" s="1551" t="str">
        <f t="shared" si="56"/>
        <v>Water</v>
      </c>
      <c r="BJ101" s="1552" t="str">
        <f t="shared" si="57"/>
        <v>Fixed</v>
      </c>
      <c r="BK101" s="987" t="str">
        <f t="shared" ref="BK101:BU101" si="109">IF(V101="","-",IFERROR((V101/U101-1)*(U101/U$13),"-"))</f>
        <v>-</v>
      </c>
      <c r="BL101" s="987" t="str">
        <f t="shared" si="109"/>
        <v>-</v>
      </c>
      <c r="BM101" s="987" t="str">
        <f t="shared" si="109"/>
        <v>-</v>
      </c>
      <c r="BN101" s="987" t="str">
        <f t="shared" si="109"/>
        <v>-</v>
      </c>
      <c r="BO101" s="1353" t="str">
        <f t="shared" si="109"/>
        <v>-</v>
      </c>
      <c r="BP101" s="1346" t="str">
        <f t="shared" si="109"/>
        <v>-</v>
      </c>
      <c r="BQ101" s="987" t="str">
        <f t="shared" si="109"/>
        <v>-</v>
      </c>
      <c r="BR101" s="987" t="str">
        <f t="shared" si="109"/>
        <v>-</v>
      </c>
      <c r="BS101" s="987" t="str">
        <f t="shared" si="109"/>
        <v>-</v>
      </c>
      <c r="BT101" s="988" t="str">
        <f t="shared" si="109"/>
        <v>-</v>
      </c>
      <c r="BU101" s="987" t="str">
        <f t="shared" si="109"/>
        <v>-</v>
      </c>
      <c r="BV101" s="987" t="str">
        <f>IF(AG101="","-",IFERROR((AG101/AF101-1)*(AF101/AF$13),"-"))</f>
        <v>-</v>
      </c>
      <c r="BW101" s="987" t="str">
        <f>IF(AH101="","-",IFERROR((AH101/AG101-1)*(AG101/AG$13),"-"))</f>
        <v>-</v>
      </c>
      <c r="BX101" s="987" t="str">
        <f>IF(AI101="","-",IFERROR((AI101/AH101-1)*(AH101/AH$13),"-"))</f>
        <v>-</v>
      </c>
      <c r="BY101" s="989" t="str">
        <f>IF(AJ101="","-",IFERROR((AJ101/AI101-1)*(AI101/AI$13),"-"))</f>
        <v>-</v>
      </c>
      <c r="BZ101" s="951"/>
      <c r="CA101" s="984" t="str">
        <f t="shared" si="34"/>
        <v>Rev</v>
      </c>
      <c r="CB101" s="985" t="str">
        <f t="shared" si="35"/>
        <v>Water</v>
      </c>
      <c r="CC101" s="985" t="str">
        <f t="shared" si="36"/>
        <v>Fixed</v>
      </c>
      <c r="CD101" s="990" t="str">
        <f t="shared" si="66"/>
        <v>-</v>
      </c>
      <c r="CE101" s="987" t="str">
        <f t="shared" si="59"/>
        <v>-</v>
      </c>
      <c r="CF101" s="987" t="str">
        <f t="shared" si="60"/>
        <v>-</v>
      </c>
      <c r="CG101" s="988" t="str">
        <f t="shared" si="61"/>
        <v>-</v>
      </c>
      <c r="CH101" s="987" t="str">
        <f t="shared" si="67"/>
        <v>-</v>
      </c>
      <c r="CI101" s="987" t="str">
        <f t="shared" si="62"/>
        <v>-</v>
      </c>
      <c r="CJ101" s="987" t="str">
        <f t="shared" si="63"/>
        <v>-</v>
      </c>
      <c r="CK101" s="989" t="str">
        <f t="shared" si="64"/>
        <v>-</v>
      </c>
    </row>
    <row r="102" spans="4:89">
      <c r="D102" s="63">
        <f>D99+1</f>
        <v>12</v>
      </c>
      <c r="E102" s="550" t="s">
        <v>857</v>
      </c>
      <c r="F102" s="595" t="s">
        <v>401</v>
      </c>
      <c r="G102" s="595" t="s">
        <v>92</v>
      </c>
      <c r="H102" s="595" t="s">
        <v>885</v>
      </c>
      <c r="I102" s="589" t="s">
        <v>842</v>
      </c>
      <c r="J102" s="589" t="s">
        <v>879</v>
      </c>
      <c r="K102" s="551"/>
      <c r="L102" s="552"/>
      <c r="M102" s="552"/>
      <c r="N102" s="551"/>
      <c r="O102" s="552"/>
      <c r="P102" s="552"/>
      <c r="Q102" s="552"/>
      <c r="R102" s="1035"/>
      <c r="S102" s="1138"/>
      <c r="T102" s="591"/>
      <c r="U102" s="1035"/>
      <c r="V102" s="1138"/>
      <c r="W102" s="591"/>
      <c r="X102" s="591"/>
      <c r="Y102" s="591"/>
      <c r="Z102" s="1035"/>
      <c r="AA102" s="1138"/>
      <c r="AB102" s="591"/>
      <c r="AC102" s="591"/>
      <c r="AD102" s="591"/>
      <c r="AE102" s="1035"/>
      <c r="AF102" s="1138"/>
      <c r="AG102" s="591"/>
      <c r="AH102" s="591"/>
      <c r="AI102" s="591"/>
      <c r="AJ102" s="1035"/>
      <c r="AK102" s="569"/>
      <c r="AL102" s="569"/>
      <c r="AM102" s="974"/>
      <c r="AN102" s="857"/>
      <c r="AO102" s="975" t="str">
        <f t="shared" si="37"/>
        <v>Price</v>
      </c>
      <c r="AP102" s="976" t="str">
        <f t="shared" si="38"/>
        <v>Water</v>
      </c>
      <c r="AQ102" s="977" t="str">
        <f t="shared" si="39"/>
        <v>Fixed</v>
      </c>
      <c r="AR102" s="1341" t="str">
        <f t="shared" si="40"/>
        <v>-</v>
      </c>
      <c r="AS102" s="978" t="str">
        <f t="shared" si="41"/>
        <v>-</v>
      </c>
      <c r="AT102" s="979" t="str">
        <f t="shared" si="42"/>
        <v>-</v>
      </c>
      <c r="AU102" s="979" t="str">
        <f t="shared" si="43"/>
        <v>-</v>
      </c>
      <c r="AV102" s="1352" t="str">
        <f t="shared" si="44"/>
        <v>-</v>
      </c>
      <c r="AW102" s="1345" t="str">
        <f t="shared" si="45"/>
        <v>-</v>
      </c>
      <c r="AX102" s="979" t="str">
        <f t="shared" si="46"/>
        <v>-</v>
      </c>
      <c r="AY102" s="979" t="str">
        <f t="shared" si="47"/>
        <v>-</v>
      </c>
      <c r="AZ102" s="979" t="str">
        <f t="shared" si="48"/>
        <v>-</v>
      </c>
      <c r="BA102" s="980" t="str">
        <f t="shared" si="49"/>
        <v>-</v>
      </c>
      <c r="BB102" s="1345" t="str">
        <f t="shared" si="50"/>
        <v>-</v>
      </c>
      <c r="BC102" s="979" t="str">
        <f t="shared" si="51"/>
        <v>-</v>
      </c>
      <c r="BD102" s="979" t="str">
        <f t="shared" si="52"/>
        <v>-</v>
      </c>
      <c r="BE102" s="979" t="str">
        <f t="shared" si="53"/>
        <v>-</v>
      </c>
      <c r="BF102" s="981" t="str">
        <f t="shared" si="54"/>
        <v>-</v>
      </c>
      <c r="BG102" s="951"/>
      <c r="BH102" s="1547" t="str">
        <f t="shared" si="55"/>
        <v>Price</v>
      </c>
      <c r="BI102" s="1548" t="str">
        <f t="shared" si="56"/>
        <v>Water</v>
      </c>
      <c r="BJ102" s="1549" t="str">
        <f t="shared" si="57"/>
        <v>Fixed</v>
      </c>
      <c r="BK102" s="978" t="str">
        <f t="shared" ref="BK102:BU102" si="110">IF(V102="","-",IFERROR((V102/U102-1)*(U104/U$13),"-"))</f>
        <v>-</v>
      </c>
      <c r="BL102" s="978" t="str">
        <f t="shared" si="110"/>
        <v>-</v>
      </c>
      <c r="BM102" s="979" t="str">
        <f t="shared" si="110"/>
        <v>-</v>
      </c>
      <c r="BN102" s="979" t="str">
        <f t="shared" si="110"/>
        <v>-</v>
      </c>
      <c r="BO102" s="1352" t="str">
        <f t="shared" si="110"/>
        <v>-</v>
      </c>
      <c r="BP102" s="1345" t="str">
        <f t="shared" si="110"/>
        <v>-</v>
      </c>
      <c r="BQ102" s="979" t="str">
        <f t="shared" si="110"/>
        <v>-</v>
      </c>
      <c r="BR102" s="979" t="str">
        <f t="shared" si="110"/>
        <v>-</v>
      </c>
      <c r="BS102" s="979" t="str">
        <f t="shared" si="110"/>
        <v>-</v>
      </c>
      <c r="BT102" s="980" t="str">
        <f t="shared" si="110"/>
        <v>-</v>
      </c>
      <c r="BU102" s="979" t="str">
        <f t="shared" si="110"/>
        <v>-</v>
      </c>
      <c r="BV102" s="979" t="str">
        <f>IF(AG102="","-",IFERROR((AG102/AF102-1)*(AF104/AF$13),"-"))</f>
        <v>-</v>
      </c>
      <c r="BW102" s="979" t="str">
        <f>IF(AH102="","-",IFERROR((AH102/AG102-1)*(AG104/AG$13),"-"))</f>
        <v>-</v>
      </c>
      <c r="BX102" s="979" t="str">
        <f>IF(AI102="","-",IFERROR((AI102/AH102-1)*(AH104/AH$13),"-"))</f>
        <v>-</v>
      </c>
      <c r="BY102" s="981" t="str">
        <f>IF(AJ102="","-",IFERROR((AJ102/AI102-1)*(AI104/AI$13),"-"))</f>
        <v>-</v>
      </c>
      <c r="BZ102" s="951"/>
      <c r="CA102" s="975" t="str">
        <f t="shared" si="34"/>
        <v>Price</v>
      </c>
      <c r="CB102" s="976" t="str">
        <f t="shared" si="35"/>
        <v>Water</v>
      </c>
      <c r="CC102" s="982" t="str">
        <f t="shared" si="36"/>
        <v>Fixed</v>
      </c>
      <c r="CD102" s="983" t="str">
        <f t="shared" si="66"/>
        <v>-</v>
      </c>
      <c r="CE102" s="979" t="str">
        <f t="shared" si="59"/>
        <v>-</v>
      </c>
      <c r="CF102" s="979" t="str">
        <f t="shared" si="60"/>
        <v>-</v>
      </c>
      <c r="CG102" s="980" t="str">
        <f t="shared" si="61"/>
        <v>-</v>
      </c>
      <c r="CH102" s="979" t="str">
        <f t="shared" si="67"/>
        <v>-</v>
      </c>
      <c r="CI102" s="979" t="str">
        <f t="shared" si="62"/>
        <v>-</v>
      </c>
      <c r="CJ102" s="979" t="str">
        <f t="shared" si="63"/>
        <v>-</v>
      </c>
      <c r="CK102" s="981" t="str">
        <f t="shared" si="64"/>
        <v>-</v>
      </c>
    </row>
    <row r="103" spans="4:89">
      <c r="E103" s="567" t="s">
        <v>880</v>
      </c>
      <c r="F103" s="554" t="str">
        <f>+F102</f>
        <v>Water</v>
      </c>
      <c r="G103" s="555" t="str">
        <f>+G102</f>
        <v>SEW</v>
      </c>
      <c r="H103" s="555" t="str">
        <f>+H102</f>
        <v>North South Pipeline</v>
      </c>
      <c r="I103" s="556" t="str">
        <f>+I102</f>
        <v>Fixed</v>
      </c>
      <c r="J103" s="590" t="s">
        <v>881</v>
      </c>
      <c r="K103" s="557"/>
      <c r="L103" s="558"/>
      <c r="M103" s="558"/>
      <c r="N103" s="557"/>
      <c r="O103" s="558"/>
      <c r="P103" s="558"/>
      <c r="Q103" s="558"/>
      <c r="R103" s="1036"/>
      <c r="S103" s="1139"/>
      <c r="T103" s="593"/>
      <c r="U103" s="1036"/>
      <c r="V103" s="1139"/>
      <c r="W103" s="593"/>
      <c r="X103" s="593"/>
      <c r="Y103" s="593"/>
      <c r="Z103" s="1036"/>
      <c r="AA103" s="1139"/>
      <c r="AB103" s="593"/>
      <c r="AC103" s="593"/>
      <c r="AD103" s="593"/>
      <c r="AE103" s="1036"/>
      <c r="AF103" s="1139"/>
      <c r="AG103" s="593"/>
      <c r="AH103" s="593"/>
      <c r="AI103" s="593"/>
      <c r="AJ103" s="1036"/>
      <c r="AK103" s="569"/>
      <c r="AL103" s="569"/>
      <c r="AN103" s="857"/>
      <c r="AO103" s="961" t="str">
        <f t="shared" si="37"/>
        <v>Qty</v>
      </c>
      <c r="AP103" s="962" t="str">
        <f t="shared" si="38"/>
        <v>Water</v>
      </c>
      <c r="AQ103" s="963" t="str">
        <f t="shared" si="39"/>
        <v>Fixed</v>
      </c>
      <c r="AR103" s="967" t="str">
        <f t="shared" si="40"/>
        <v>-</v>
      </c>
      <c r="AS103" s="964" t="str">
        <f t="shared" si="41"/>
        <v>-</v>
      </c>
      <c r="AT103" s="964" t="str">
        <f t="shared" si="42"/>
        <v>-</v>
      </c>
      <c r="AU103" s="964" t="str">
        <f t="shared" si="43"/>
        <v>-</v>
      </c>
      <c r="AV103" s="1350" t="str">
        <f t="shared" si="44"/>
        <v>-</v>
      </c>
      <c r="AW103" s="1343" t="str">
        <f t="shared" si="45"/>
        <v>-</v>
      </c>
      <c r="AX103" s="964" t="str">
        <f t="shared" si="46"/>
        <v>-</v>
      </c>
      <c r="AY103" s="964" t="str">
        <f t="shared" si="47"/>
        <v>-</v>
      </c>
      <c r="AZ103" s="964" t="str">
        <f t="shared" si="48"/>
        <v>-</v>
      </c>
      <c r="BA103" s="965" t="str">
        <f t="shared" si="49"/>
        <v>-</v>
      </c>
      <c r="BB103" s="1343" t="str">
        <f t="shared" si="50"/>
        <v>-</v>
      </c>
      <c r="BC103" s="964" t="str">
        <f t="shared" si="51"/>
        <v>-</v>
      </c>
      <c r="BD103" s="964" t="str">
        <f t="shared" si="52"/>
        <v>-</v>
      </c>
      <c r="BE103" s="964" t="str">
        <f t="shared" si="53"/>
        <v>-</v>
      </c>
      <c r="BF103" s="966" t="str">
        <f t="shared" si="54"/>
        <v>-</v>
      </c>
      <c r="BG103" s="951"/>
      <c r="BH103" s="1541" t="str">
        <f t="shared" si="55"/>
        <v>Qty</v>
      </c>
      <c r="BI103" s="1542" t="str">
        <f t="shared" si="56"/>
        <v>Water</v>
      </c>
      <c r="BJ103" s="1543" t="str">
        <f t="shared" si="57"/>
        <v>Fixed</v>
      </c>
      <c r="BK103" s="964" t="str">
        <f t="shared" ref="BK103:BU103" si="111">IF(V103="","-",IFERROR((V103/U103-1)*(U104/U$13),"-"))</f>
        <v>-</v>
      </c>
      <c r="BL103" s="964" t="str">
        <f t="shared" si="111"/>
        <v>-</v>
      </c>
      <c r="BM103" s="964" t="str">
        <f t="shared" si="111"/>
        <v>-</v>
      </c>
      <c r="BN103" s="964" t="str">
        <f t="shared" si="111"/>
        <v>-</v>
      </c>
      <c r="BO103" s="1350" t="str">
        <f t="shared" si="111"/>
        <v>-</v>
      </c>
      <c r="BP103" s="1343" t="str">
        <f t="shared" si="111"/>
        <v>-</v>
      </c>
      <c r="BQ103" s="964" t="str">
        <f t="shared" si="111"/>
        <v>-</v>
      </c>
      <c r="BR103" s="964" t="str">
        <f t="shared" si="111"/>
        <v>-</v>
      </c>
      <c r="BS103" s="964" t="str">
        <f t="shared" si="111"/>
        <v>-</v>
      </c>
      <c r="BT103" s="965" t="str">
        <f t="shared" si="111"/>
        <v>-</v>
      </c>
      <c r="BU103" s="964" t="str">
        <f t="shared" si="111"/>
        <v>-</v>
      </c>
      <c r="BV103" s="964" t="str">
        <f>IF(AG103="","-",IFERROR((AG103/AF103-1)*(AF104/AF$13),"-"))</f>
        <v>-</v>
      </c>
      <c r="BW103" s="964" t="str">
        <f>IF(AH103="","-",IFERROR((AH103/AG103-1)*(AG104/AG$13),"-"))</f>
        <v>-</v>
      </c>
      <c r="BX103" s="964" t="str">
        <f>IF(AI103="","-",IFERROR((AI103/AH103-1)*(AH104/AH$13),"-"))</f>
        <v>-</v>
      </c>
      <c r="BY103" s="966" t="str">
        <f>IF(AJ103="","-",IFERROR((AJ103/AI103-1)*(AI104/AI$13),"-"))</f>
        <v>-</v>
      </c>
      <c r="BZ103" s="951"/>
      <c r="CA103" s="961" t="str">
        <f t="shared" si="34"/>
        <v>Qty</v>
      </c>
      <c r="CB103" s="962" t="str">
        <f t="shared" si="35"/>
        <v>Water</v>
      </c>
      <c r="CC103" s="962" t="str">
        <f t="shared" si="36"/>
        <v>Fixed</v>
      </c>
      <c r="CD103" s="967" t="str">
        <f t="shared" si="66"/>
        <v>-</v>
      </c>
      <c r="CE103" s="964" t="str">
        <f t="shared" si="59"/>
        <v>-</v>
      </c>
      <c r="CF103" s="964" t="str">
        <f t="shared" si="60"/>
        <v>-</v>
      </c>
      <c r="CG103" s="965" t="str">
        <f t="shared" si="61"/>
        <v>-</v>
      </c>
      <c r="CH103" s="964" t="str">
        <f t="shared" si="67"/>
        <v>-</v>
      </c>
      <c r="CI103" s="964" t="str">
        <f t="shared" si="62"/>
        <v>-</v>
      </c>
      <c r="CJ103" s="964" t="str">
        <f t="shared" si="63"/>
        <v>-</v>
      </c>
      <c r="CK103" s="966" t="str">
        <f t="shared" si="64"/>
        <v>-</v>
      </c>
    </row>
    <row r="104" spans="4:89" ht="12.75" thickBot="1">
      <c r="E104" s="568" t="s">
        <v>882</v>
      </c>
      <c r="F104" s="560" t="str">
        <f>+F102</f>
        <v>Water</v>
      </c>
      <c r="G104" s="561" t="str">
        <f>+G102</f>
        <v>SEW</v>
      </c>
      <c r="H104" s="561" t="str">
        <f>+H102</f>
        <v>North South Pipeline</v>
      </c>
      <c r="I104" s="562" t="str">
        <f>+I102</f>
        <v>Fixed</v>
      </c>
      <c r="J104" s="563" t="s">
        <v>883</v>
      </c>
      <c r="K104" s="564">
        <f t="shared" ref="K104:AJ104" si="112">K102*K103/10^6</f>
        <v>0</v>
      </c>
      <c r="L104" s="565">
        <f t="shared" si="112"/>
        <v>0</v>
      </c>
      <c r="M104" s="565">
        <f t="shared" si="112"/>
        <v>0</v>
      </c>
      <c r="N104" s="564">
        <f t="shared" si="112"/>
        <v>0</v>
      </c>
      <c r="O104" s="565">
        <f t="shared" si="112"/>
        <v>0</v>
      </c>
      <c r="P104" s="565">
        <f t="shared" si="112"/>
        <v>0</v>
      </c>
      <c r="Q104" s="565">
        <f t="shared" si="112"/>
        <v>0</v>
      </c>
      <c r="R104" s="566">
        <f t="shared" si="112"/>
        <v>0</v>
      </c>
      <c r="S104" s="564">
        <f t="shared" si="112"/>
        <v>0</v>
      </c>
      <c r="T104" s="565">
        <f t="shared" si="112"/>
        <v>0</v>
      </c>
      <c r="U104" s="566">
        <f t="shared" si="112"/>
        <v>0</v>
      </c>
      <c r="V104" s="564">
        <f t="shared" si="112"/>
        <v>0</v>
      </c>
      <c r="W104" s="565">
        <f t="shared" si="112"/>
        <v>0</v>
      </c>
      <c r="X104" s="565">
        <f t="shared" si="112"/>
        <v>0</v>
      </c>
      <c r="Y104" s="565">
        <f t="shared" si="112"/>
        <v>0</v>
      </c>
      <c r="Z104" s="566">
        <f t="shared" si="112"/>
        <v>0</v>
      </c>
      <c r="AA104" s="564">
        <f t="shared" si="112"/>
        <v>0</v>
      </c>
      <c r="AB104" s="565">
        <f t="shared" si="112"/>
        <v>0</v>
      </c>
      <c r="AC104" s="565">
        <f t="shared" si="112"/>
        <v>0</v>
      </c>
      <c r="AD104" s="565">
        <f t="shared" si="112"/>
        <v>0</v>
      </c>
      <c r="AE104" s="566">
        <f t="shared" si="112"/>
        <v>0</v>
      </c>
      <c r="AF104" s="564">
        <f t="shared" si="112"/>
        <v>0</v>
      </c>
      <c r="AG104" s="565">
        <f t="shared" si="112"/>
        <v>0</v>
      </c>
      <c r="AH104" s="565">
        <f t="shared" si="112"/>
        <v>0</v>
      </c>
      <c r="AI104" s="565">
        <f t="shared" si="112"/>
        <v>0</v>
      </c>
      <c r="AJ104" s="566">
        <f t="shared" si="112"/>
        <v>0</v>
      </c>
      <c r="AK104" s="569"/>
      <c r="AL104" s="569"/>
      <c r="AN104" s="857"/>
      <c r="AO104" s="984" t="str">
        <f t="shared" si="37"/>
        <v>Rev</v>
      </c>
      <c r="AP104" s="985" t="str">
        <f t="shared" si="38"/>
        <v>Water</v>
      </c>
      <c r="AQ104" s="986" t="str">
        <f t="shared" si="39"/>
        <v>Fixed</v>
      </c>
      <c r="AR104" s="990" t="str">
        <f t="shared" si="40"/>
        <v>-</v>
      </c>
      <c r="AS104" s="987" t="str">
        <f t="shared" si="41"/>
        <v>-</v>
      </c>
      <c r="AT104" s="987" t="str">
        <f t="shared" si="42"/>
        <v>-</v>
      </c>
      <c r="AU104" s="987" t="str">
        <f t="shared" si="43"/>
        <v>-</v>
      </c>
      <c r="AV104" s="1353" t="str">
        <f t="shared" si="44"/>
        <v>-</v>
      </c>
      <c r="AW104" s="1346" t="str">
        <f t="shared" si="45"/>
        <v>-</v>
      </c>
      <c r="AX104" s="987" t="str">
        <f t="shared" si="46"/>
        <v>-</v>
      </c>
      <c r="AY104" s="987" t="str">
        <f t="shared" si="47"/>
        <v>-</v>
      </c>
      <c r="AZ104" s="987" t="str">
        <f t="shared" si="48"/>
        <v>-</v>
      </c>
      <c r="BA104" s="988" t="str">
        <f t="shared" si="49"/>
        <v>-</v>
      </c>
      <c r="BB104" s="1346" t="str">
        <f t="shared" si="50"/>
        <v>-</v>
      </c>
      <c r="BC104" s="987" t="str">
        <f t="shared" si="51"/>
        <v>-</v>
      </c>
      <c r="BD104" s="987" t="str">
        <f t="shared" si="52"/>
        <v>-</v>
      </c>
      <c r="BE104" s="987" t="str">
        <f t="shared" si="53"/>
        <v>-</v>
      </c>
      <c r="BF104" s="989" t="str">
        <f t="shared" si="54"/>
        <v>-</v>
      </c>
      <c r="BG104" s="951"/>
      <c r="BH104" s="1550" t="str">
        <f t="shared" si="55"/>
        <v>Rev</v>
      </c>
      <c r="BI104" s="1551" t="str">
        <f t="shared" si="56"/>
        <v>Water</v>
      </c>
      <c r="BJ104" s="1552" t="str">
        <f t="shared" si="57"/>
        <v>Fixed</v>
      </c>
      <c r="BK104" s="987" t="str">
        <f t="shared" ref="BK104:BU104" si="113">IF(V104="","-",IFERROR((V104/U104-1)*(U104/U$13),"-"))</f>
        <v>-</v>
      </c>
      <c r="BL104" s="987" t="str">
        <f t="shared" si="113"/>
        <v>-</v>
      </c>
      <c r="BM104" s="987" t="str">
        <f t="shared" si="113"/>
        <v>-</v>
      </c>
      <c r="BN104" s="987" t="str">
        <f t="shared" si="113"/>
        <v>-</v>
      </c>
      <c r="BO104" s="1353" t="str">
        <f t="shared" si="113"/>
        <v>-</v>
      </c>
      <c r="BP104" s="1346" t="str">
        <f t="shared" si="113"/>
        <v>-</v>
      </c>
      <c r="BQ104" s="987" t="str">
        <f t="shared" si="113"/>
        <v>-</v>
      </c>
      <c r="BR104" s="987" t="str">
        <f t="shared" si="113"/>
        <v>-</v>
      </c>
      <c r="BS104" s="987" t="str">
        <f t="shared" si="113"/>
        <v>-</v>
      </c>
      <c r="BT104" s="988" t="str">
        <f t="shared" si="113"/>
        <v>-</v>
      </c>
      <c r="BU104" s="987" t="str">
        <f t="shared" si="113"/>
        <v>-</v>
      </c>
      <c r="BV104" s="987" t="str">
        <f>IF(AG104="","-",IFERROR((AG104/AF104-1)*(AF104/AF$13),"-"))</f>
        <v>-</v>
      </c>
      <c r="BW104" s="987" t="str">
        <f>IF(AH104="","-",IFERROR((AH104/AG104-1)*(AG104/AG$13),"-"))</f>
        <v>-</v>
      </c>
      <c r="BX104" s="987" t="str">
        <f>IF(AI104="","-",IFERROR((AI104/AH104-1)*(AH104/AH$13),"-"))</f>
        <v>-</v>
      </c>
      <c r="BY104" s="989" t="str">
        <f>IF(AJ104="","-",IFERROR((AJ104/AI104-1)*(AI104/AI$13),"-"))</f>
        <v>-</v>
      </c>
      <c r="BZ104" s="951"/>
      <c r="CA104" s="984" t="str">
        <f t="shared" si="34"/>
        <v>Rev</v>
      </c>
      <c r="CB104" s="985" t="str">
        <f t="shared" si="35"/>
        <v>Water</v>
      </c>
      <c r="CC104" s="985" t="str">
        <f t="shared" si="36"/>
        <v>Fixed</v>
      </c>
      <c r="CD104" s="990" t="str">
        <f t="shared" si="66"/>
        <v>-</v>
      </c>
      <c r="CE104" s="987" t="str">
        <f t="shared" si="59"/>
        <v>-</v>
      </c>
      <c r="CF104" s="987" t="str">
        <f t="shared" si="60"/>
        <v>-</v>
      </c>
      <c r="CG104" s="988" t="str">
        <f t="shared" si="61"/>
        <v>-</v>
      </c>
      <c r="CH104" s="987" t="str">
        <f t="shared" si="67"/>
        <v>-</v>
      </c>
      <c r="CI104" s="987" t="str">
        <f t="shared" si="62"/>
        <v>-</v>
      </c>
      <c r="CJ104" s="987" t="str">
        <f t="shared" si="63"/>
        <v>-</v>
      </c>
      <c r="CK104" s="989" t="str">
        <f t="shared" si="64"/>
        <v>-</v>
      </c>
    </row>
    <row r="105" spans="4:89">
      <c r="D105" s="63">
        <f>D102+1</f>
        <v>13</v>
      </c>
      <c r="E105" s="550" t="s">
        <v>857</v>
      </c>
      <c r="F105" s="595" t="s">
        <v>401</v>
      </c>
      <c r="G105" s="595" t="s">
        <v>103</v>
      </c>
      <c r="H105" s="595" t="s">
        <v>885</v>
      </c>
      <c r="I105" s="589" t="s">
        <v>842</v>
      </c>
      <c r="J105" s="589" t="s">
        <v>879</v>
      </c>
      <c r="K105" s="551"/>
      <c r="L105" s="552"/>
      <c r="M105" s="552"/>
      <c r="N105" s="551"/>
      <c r="O105" s="552"/>
      <c r="P105" s="552"/>
      <c r="Q105" s="552"/>
      <c r="R105" s="1035"/>
      <c r="S105" s="1138"/>
      <c r="T105" s="591"/>
      <c r="U105" s="1035"/>
      <c r="V105" s="1138"/>
      <c r="W105" s="591"/>
      <c r="X105" s="591"/>
      <c r="Y105" s="591"/>
      <c r="Z105" s="1035"/>
      <c r="AA105" s="1138"/>
      <c r="AB105" s="591"/>
      <c r="AC105" s="591"/>
      <c r="AD105" s="591"/>
      <c r="AE105" s="1035"/>
      <c r="AF105" s="1138"/>
      <c r="AG105" s="591"/>
      <c r="AH105" s="591"/>
      <c r="AI105" s="591"/>
      <c r="AJ105" s="1035"/>
      <c r="AK105" s="569"/>
      <c r="AL105" s="569"/>
      <c r="AM105" s="974"/>
      <c r="AN105" s="857"/>
      <c r="AO105" s="975" t="str">
        <f t="shared" si="37"/>
        <v>Price</v>
      </c>
      <c r="AP105" s="976" t="str">
        <f t="shared" si="38"/>
        <v>Water</v>
      </c>
      <c r="AQ105" s="977" t="str">
        <f t="shared" si="39"/>
        <v>Fixed</v>
      </c>
      <c r="AR105" s="1341" t="str">
        <f t="shared" si="40"/>
        <v>-</v>
      </c>
      <c r="AS105" s="978" t="str">
        <f t="shared" si="41"/>
        <v>-</v>
      </c>
      <c r="AT105" s="979" t="str">
        <f t="shared" si="42"/>
        <v>-</v>
      </c>
      <c r="AU105" s="979" t="str">
        <f t="shared" si="43"/>
        <v>-</v>
      </c>
      <c r="AV105" s="1352" t="str">
        <f t="shared" si="44"/>
        <v>-</v>
      </c>
      <c r="AW105" s="1345" t="str">
        <f t="shared" si="45"/>
        <v>-</v>
      </c>
      <c r="AX105" s="979" t="str">
        <f t="shared" si="46"/>
        <v>-</v>
      </c>
      <c r="AY105" s="979" t="str">
        <f t="shared" si="47"/>
        <v>-</v>
      </c>
      <c r="AZ105" s="979" t="str">
        <f t="shared" si="48"/>
        <v>-</v>
      </c>
      <c r="BA105" s="980" t="str">
        <f t="shared" si="49"/>
        <v>-</v>
      </c>
      <c r="BB105" s="1345" t="str">
        <f t="shared" si="50"/>
        <v>-</v>
      </c>
      <c r="BC105" s="979" t="str">
        <f t="shared" si="51"/>
        <v>-</v>
      </c>
      <c r="BD105" s="979" t="str">
        <f t="shared" si="52"/>
        <v>-</v>
      </c>
      <c r="BE105" s="979" t="str">
        <f t="shared" si="53"/>
        <v>-</v>
      </c>
      <c r="BF105" s="981" t="str">
        <f t="shared" si="54"/>
        <v>-</v>
      </c>
      <c r="BG105" s="951"/>
      <c r="BH105" s="1547" t="str">
        <f t="shared" si="55"/>
        <v>Price</v>
      </c>
      <c r="BI105" s="1548" t="str">
        <f t="shared" si="56"/>
        <v>Water</v>
      </c>
      <c r="BJ105" s="1549" t="str">
        <f t="shared" si="57"/>
        <v>Fixed</v>
      </c>
      <c r="BK105" s="978" t="str">
        <f t="shared" ref="BK105:BU105" si="114">IF(V105="","-",IFERROR((V105/U105-1)*(U107/U$13),"-"))</f>
        <v>-</v>
      </c>
      <c r="BL105" s="978" t="str">
        <f t="shared" si="114"/>
        <v>-</v>
      </c>
      <c r="BM105" s="979" t="str">
        <f t="shared" si="114"/>
        <v>-</v>
      </c>
      <c r="BN105" s="979" t="str">
        <f t="shared" si="114"/>
        <v>-</v>
      </c>
      <c r="BO105" s="1352" t="str">
        <f t="shared" si="114"/>
        <v>-</v>
      </c>
      <c r="BP105" s="1345" t="str">
        <f t="shared" si="114"/>
        <v>-</v>
      </c>
      <c r="BQ105" s="979" t="str">
        <f t="shared" si="114"/>
        <v>-</v>
      </c>
      <c r="BR105" s="979" t="str">
        <f t="shared" si="114"/>
        <v>-</v>
      </c>
      <c r="BS105" s="979" t="str">
        <f t="shared" si="114"/>
        <v>-</v>
      </c>
      <c r="BT105" s="980" t="str">
        <f t="shared" si="114"/>
        <v>-</v>
      </c>
      <c r="BU105" s="979" t="str">
        <f t="shared" si="114"/>
        <v>-</v>
      </c>
      <c r="BV105" s="979" t="str">
        <f>IF(AG105="","-",IFERROR((AG105/AF105-1)*(AF107/AF$13),"-"))</f>
        <v>-</v>
      </c>
      <c r="BW105" s="979" t="str">
        <f>IF(AH105="","-",IFERROR((AH105/AG105-1)*(AG107/AG$13),"-"))</f>
        <v>-</v>
      </c>
      <c r="BX105" s="979" t="str">
        <f>IF(AI105="","-",IFERROR((AI105/AH105-1)*(AH107/AH$13),"-"))</f>
        <v>-</v>
      </c>
      <c r="BY105" s="981" t="str">
        <f>IF(AJ105="","-",IFERROR((AJ105/AI105-1)*(AI107/AI$13),"-"))</f>
        <v>-</v>
      </c>
      <c r="BZ105" s="951"/>
      <c r="CA105" s="975" t="str">
        <f t="shared" si="34"/>
        <v>Price</v>
      </c>
      <c r="CB105" s="976" t="str">
        <f t="shared" si="35"/>
        <v>Water</v>
      </c>
      <c r="CC105" s="982" t="str">
        <f t="shared" si="36"/>
        <v>Fixed</v>
      </c>
      <c r="CD105" s="983" t="str">
        <f t="shared" si="66"/>
        <v>-</v>
      </c>
      <c r="CE105" s="979" t="str">
        <f t="shared" si="59"/>
        <v>-</v>
      </c>
      <c r="CF105" s="979" t="str">
        <f t="shared" si="60"/>
        <v>-</v>
      </c>
      <c r="CG105" s="980" t="str">
        <f t="shared" si="61"/>
        <v>-</v>
      </c>
      <c r="CH105" s="979" t="str">
        <f t="shared" si="67"/>
        <v>-</v>
      </c>
      <c r="CI105" s="979" t="str">
        <f t="shared" si="62"/>
        <v>-</v>
      </c>
      <c r="CJ105" s="979" t="str">
        <f t="shared" si="63"/>
        <v>-</v>
      </c>
      <c r="CK105" s="981" t="str">
        <f t="shared" si="64"/>
        <v>-</v>
      </c>
    </row>
    <row r="106" spans="4:89">
      <c r="E106" s="567" t="s">
        <v>880</v>
      </c>
      <c r="F106" s="554" t="str">
        <f>+F105</f>
        <v>Water</v>
      </c>
      <c r="G106" s="555" t="str">
        <f>+G105</f>
        <v>YVW</v>
      </c>
      <c r="H106" s="555" t="str">
        <f>+H105</f>
        <v>North South Pipeline</v>
      </c>
      <c r="I106" s="556" t="str">
        <f>+I105</f>
        <v>Fixed</v>
      </c>
      <c r="J106" s="590" t="s">
        <v>881</v>
      </c>
      <c r="K106" s="557"/>
      <c r="L106" s="558"/>
      <c r="M106" s="558"/>
      <c r="N106" s="557"/>
      <c r="O106" s="558"/>
      <c r="P106" s="558"/>
      <c r="Q106" s="558"/>
      <c r="R106" s="1036"/>
      <c r="S106" s="1139"/>
      <c r="T106" s="593"/>
      <c r="U106" s="1036"/>
      <c r="V106" s="1139"/>
      <c r="W106" s="593"/>
      <c r="X106" s="593"/>
      <c r="Y106" s="593"/>
      <c r="Z106" s="1036"/>
      <c r="AA106" s="1139"/>
      <c r="AB106" s="593"/>
      <c r="AC106" s="593"/>
      <c r="AD106" s="593"/>
      <c r="AE106" s="1036"/>
      <c r="AF106" s="1139"/>
      <c r="AG106" s="593"/>
      <c r="AH106" s="593"/>
      <c r="AI106" s="593"/>
      <c r="AJ106" s="1036"/>
      <c r="AK106" s="569"/>
      <c r="AL106" s="569"/>
      <c r="AN106" s="857"/>
      <c r="AO106" s="961" t="str">
        <f t="shared" si="37"/>
        <v>Qty</v>
      </c>
      <c r="AP106" s="962" t="str">
        <f t="shared" si="38"/>
        <v>Water</v>
      </c>
      <c r="AQ106" s="963" t="str">
        <f t="shared" si="39"/>
        <v>Fixed</v>
      </c>
      <c r="AR106" s="967" t="str">
        <f t="shared" si="40"/>
        <v>-</v>
      </c>
      <c r="AS106" s="964" t="str">
        <f t="shared" si="41"/>
        <v>-</v>
      </c>
      <c r="AT106" s="964" t="str">
        <f t="shared" si="42"/>
        <v>-</v>
      </c>
      <c r="AU106" s="964" t="str">
        <f t="shared" si="43"/>
        <v>-</v>
      </c>
      <c r="AV106" s="1350" t="str">
        <f t="shared" si="44"/>
        <v>-</v>
      </c>
      <c r="AW106" s="1343" t="str">
        <f t="shared" si="45"/>
        <v>-</v>
      </c>
      <c r="AX106" s="964" t="str">
        <f t="shared" si="46"/>
        <v>-</v>
      </c>
      <c r="AY106" s="964" t="str">
        <f t="shared" si="47"/>
        <v>-</v>
      </c>
      <c r="AZ106" s="964" t="str">
        <f t="shared" si="48"/>
        <v>-</v>
      </c>
      <c r="BA106" s="965" t="str">
        <f t="shared" si="49"/>
        <v>-</v>
      </c>
      <c r="BB106" s="1343" t="str">
        <f t="shared" si="50"/>
        <v>-</v>
      </c>
      <c r="BC106" s="964" t="str">
        <f t="shared" si="51"/>
        <v>-</v>
      </c>
      <c r="BD106" s="964" t="str">
        <f t="shared" si="52"/>
        <v>-</v>
      </c>
      <c r="BE106" s="964" t="str">
        <f t="shared" si="53"/>
        <v>-</v>
      </c>
      <c r="BF106" s="966" t="str">
        <f t="shared" si="54"/>
        <v>-</v>
      </c>
      <c r="BG106" s="951"/>
      <c r="BH106" s="1541" t="str">
        <f t="shared" si="55"/>
        <v>Qty</v>
      </c>
      <c r="BI106" s="1542" t="str">
        <f t="shared" si="56"/>
        <v>Water</v>
      </c>
      <c r="BJ106" s="1543" t="str">
        <f t="shared" si="57"/>
        <v>Fixed</v>
      </c>
      <c r="BK106" s="964" t="str">
        <f t="shared" ref="BK106:BU106" si="115">IF(V106="","-",IFERROR((V106/U106-1)*(U107/U$13),"-"))</f>
        <v>-</v>
      </c>
      <c r="BL106" s="964" t="str">
        <f t="shared" si="115"/>
        <v>-</v>
      </c>
      <c r="BM106" s="964" t="str">
        <f t="shared" si="115"/>
        <v>-</v>
      </c>
      <c r="BN106" s="964" t="str">
        <f t="shared" si="115"/>
        <v>-</v>
      </c>
      <c r="BO106" s="1350" t="str">
        <f t="shared" si="115"/>
        <v>-</v>
      </c>
      <c r="BP106" s="1343" t="str">
        <f t="shared" si="115"/>
        <v>-</v>
      </c>
      <c r="BQ106" s="964" t="str">
        <f t="shared" si="115"/>
        <v>-</v>
      </c>
      <c r="BR106" s="964" t="str">
        <f t="shared" si="115"/>
        <v>-</v>
      </c>
      <c r="BS106" s="964" t="str">
        <f t="shared" si="115"/>
        <v>-</v>
      </c>
      <c r="BT106" s="965" t="str">
        <f t="shared" si="115"/>
        <v>-</v>
      </c>
      <c r="BU106" s="964" t="str">
        <f t="shared" si="115"/>
        <v>-</v>
      </c>
      <c r="BV106" s="964" t="str">
        <f>IF(AG106="","-",IFERROR((AG106/AF106-1)*(AF107/AF$13),"-"))</f>
        <v>-</v>
      </c>
      <c r="BW106" s="964" t="str">
        <f>IF(AH106="","-",IFERROR((AH106/AG106-1)*(AG107/AG$13),"-"))</f>
        <v>-</v>
      </c>
      <c r="BX106" s="964" t="str">
        <f>IF(AI106="","-",IFERROR((AI106/AH106-1)*(AH107/AH$13),"-"))</f>
        <v>-</v>
      </c>
      <c r="BY106" s="966" t="str">
        <f>IF(AJ106="","-",IFERROR((AJ106/AI106-1)*(AI107/AI$13),"-"))</f>
        <v>-</v>
      </c>
      <c r="BZ106" s="951"/>
      <c r="CA106" s="961" t="str">
        <f t="shared" si="34"/>
        <v>Qty</v>
      </c>
      <c r="CB106" s="962" t="str">
        <f t="shared" si="35"/>
        <v>Water</v>
      </c>
      <c r="CC106" s="962" t="str">
        <f t="shared" si="36"/>
        <v>Fixed</v>
      </c>
      <c r="CD106" s="967" t="str">
        <f t="shared" si="66"/>
        <v>-</v>
      </c>
      <c r="CE106" s="964" t="str">
        <f t="shared" si="59"/>
        <v>-</v>
      </c>
      <c r="CF106" s="964" t="str">
        <f t="shared" si="60"/>
        <v>-</v>
      </c>
      <c r="CG106" s="965" t="str">
        <f t="shared" si="61"/>
        <v>-</v>
      </c>
      <c r="CH106" s="964" t="str">
        <f t="shared" si="67"/>
        <v>-</v>
      </c>
      <c r="CI106" s="964" t="str">
        <f t="shared" si="62"/>
        <v>-</v>
      </c>
      <c r="CJ106" s="964" t="str">
        <f t="shared" si="63"/>
        <v>-</v>
      </c>
      <c r="CK106" s="966" t="str">
        <f t="shared" si="64"/>
        <v>-</v>
      </c>
    </row>
    <row r="107" spans="4:89" ht="12.75" thickBot="1">
      <c r="E107" s="568" t="s">
        <v>882</v>
      </c>
      <c r="F107" s="560" t="str">
        <f>+F105</f>
        <v>Water</v>
      </c>
      <c r="G107" s="561" t="str">
        <f>+G105</f>
        <v>YVW</v>
      </c>
      <c r="H107" s="561" t="str">
        <f>+H105</f>
        <v>North South Pipeline</v>
      </c>
      <c r="I107" s="562" t="str">
        <f>+I105</f>
        <v>Fixed</v>
      </c>
      <c r="J107" s="563" t="s">
        <v>883</v>
      </c>
      <c r="K107" s="564">
        <f t="shared" ref="K107:AJ107" si="116">K105*K106/10^6</f>
        <v>0</v>
      </c>
      <c r="L107" s="565">
        <f t="shared" si="116"/>
        <v>0</v>
      </c>
      <c r="M107" s="565">
        <f t="shared" si="116"/>
        <v>0</v>
      </c>
      <c r="N107" s="564">
        <f t="shared" si="116"/>
        <v>0</v>
      </c>
      <c r="O107" s="565">
        <f t="shared" si="116"/>
        <v>0</v>
      </c>
      <c r="P107" s="565">
        <f t="shared" si="116"/>
        <v>0</v>
      </c>
      <c r="Q107" s="565">
        <f t="shared" si="116"/>
        <v>0</v>
      </c>
      <c r="R107" s="566">
        <f t="shared" si="116"/>
        <v>0</v>
      </c>
      <c r="S107" s="564">
        <f t="shared" si="116"/>
        <v>0</v>
      </c>
      <c r="T107" s="565">
        <f t="shared" si="116"/>
        <v>0</v>
      </c>
      <c r="U107" s="566">
        <f t="shared" si="116"/>
        <v>0</v>
      </c>
      <c r="V107" s="564">
        <f t="shared" si="116"/>
        <v>0</v>
      </c>
      <c r="W107" s="565">
        <f t="shared" si="116"/>
        <v>0</v>
      </c>
      <c r="X107" s="565">
        <f t="shared" si="116"/>
        <v>0</v>
      </c>
      <c r="Y107" s="565">
        <f t="shared" si="116"/>
        <v>0</v>
      </c>
      <c r="Z107" s="566">
        <f t="shared" si="116"/>
        <v>0</v>
      </c>
      <c r="AA107" s="564">
        <f t="shared" si="116"/>
        <v>0</v>
      </c>
      <c r="AB107" s="565">
        <f t="shared" si="116"/>
        <v>0</v>
      </c>
      <c r="AC107" s="565">
        <f t="shared" si="116"/>
        <v>0</v>
      </c>
      <c r="AD107" s="565">
        <f t="shared" si="116"/>
        <v>0</v>
      </c>
      <c r="AE107" s="566">
        <f t="shared" si="116"/>
        <v>0</v>
      </c>
      <c r="AF107" s="564">
        <f t="shared" si="116"/>
        <v>0</v>
      </c>
      <c r="AG107" s="565">
        <f t="shared" si="116"/>
        <v>0</v>
      </c>
      <c r="AH107" s="565">
        <f t="shared" si="116"/>
        <v>0</v>
      </c>
      <c r="AI107" s="565">
        <f t="shared" si="116"/>
        <v>0</v>
      </c>
      <c r="AJ107" s="566">
        <f t="shared" si="116"/>
        <v>0</v>
      </c>
      <c r="AK107" s="569"/>
      <c r="AL107" s="569"/>
      <c r="AN107" s="857"/>
      <c r="AO107" s="984" t="str">
        <f t="shared" si="37"/>
        <v>Rev</v>
      </c>
      <c r="AP107" s="985" t="str">
        <f t="shared" si="38"/>
        <v>Water</v>
      </c>
      <c r="AQ107" s="986" t="str">
        <f t="shared" si="39"/>
        <v>Fixed</v>
      </c>
      <c r="AR107" s="990" t="str">
        <f t="shared" si="40"/>
        <v>-</v>
      </c>
      <c r="AS107" s="987" t="str">
        <f t="shared" si="41"/>
        <v>-</v>
      </c>
      <c r="AT107" s="987" t="str">
        <f t="shared" si="42"/>
        <v>-</v>
      </c>
      <c r="AU107" s="987" t="str">
        <f t="shared" si="43"/>
        <v>-</v>
      </c>
      <c r="AV107" s="1353" t="str">
        <f t="shared" si="44"/>
        <v>-</v>
      </c>
      <c r="AW107" s="1346" t="str">
        <f t="shared" si="45"/>
        <v>-</v>
      </c>
      <c r="AX107" s="987" t="str">
        <f t="shared" si="46"/>
        <v>-</v>
      </c>
      <c r="AY107" s="987" t="str">
        <f t="shared" si="47"/>
        <v>-</v>
      </c>
      <c r="AZ107" s="987" t="str">
        <f t="shared" si="48"/>
        <v>-</v>
      </c>
      <c r="BA107" s="988" t="str">
        <f t="shared" si="49"/>
        <v>-</v>
      </c>
      <c r="BB107" s="1346" t="str">
        <f t="shared" si="50"/>
        <v>-</v>
      </c>
      <c r="BC107" s="987" t="str">
        <f t="shared" si="51"/>
        <v>-</v>
      </c>
      <c r="BD107" s="987" t="str">
        <f t="shared" si="52"/>
        <v>-</v>
      </c>
      <c r="BE107" s="987" t="str">
        <f t="shared" si="53"/>
        <v>-</v>
      </c>
      <c r="BF107" s="989" t="str">
        <f t="shared" si="54"/>
        <v>-</v>
      </c>
      <c r="BG107" s="951"/>
      <c r="BH107" s="1550" t="str">
        <f t="shared" si="55"/>
        <v>Rev</v>
      </c>
      <c r="BI107" s="1551" t="str">
        <f t="shared" si="56"/>
        <v>Water</v>
      </c>
      <c r="BJ107" s="1552" t="str">
        <f t="shared" si="57"/>
        <v>Fixed</v>
      </c>
      <c r="BK107" s="987" t="str">
        <f t="shared" ref="BK107:BU107" si="117">IF(V107="","-",IFERROR((V107/U107-1)*(U107/U$13),"-"))</f>
        <v>-</v>
      </c>
      <c r="BL107" s="987" t="str">
        <f t="shared" si="117"/>
        <v>-</v>
      </c>
      <c r="BM107" s="987" t="str">
        <f t="shared" si="117"/>
        <v>-</v>
      </c>
      <c r="BN107" s="987" t="str">
        <f t="shared" si="117"/>
        <v>-</v>
      </c>
      <c r="BO107" s="1353" t="str">
        <f t="shared" si="117"/>
        <v>-</v>
      </c>
      <c r="BP107" s="1346" t="str">
        <f t="shared" si="117"/>
        <v>-</v>
      </c>
      <c r="BQ107" s="987" t="str">
        <f t="shared" si="117"/>
        <v>-</v>
      </c>
      <c r="BR107" s="987" t="str">
        <f t="shared" si="117"/>
        <v>-</v>
      </c>
      <c r="BS107" s="987" t="str">
        <f t="shared" si="117"/>
        <v>-</v>
      </c>
      <c r="BT107" s="988" t="str">
        <f t="shared" si="117"/>
        <v>-</v>
      </c>
      <c r="BU107" s="987" t="str">
        <f t="shared" si="117"/>
        <v>-</v>
      </c>
      <c r="BV107" s="987" t="str">
        <f>IF(AG107="","-",IFERROR((AG107/AF107-1)*(AF107/AF$13),"-"))</f>
        <v>-</v>
      </c>
      <c r="BW107" s="987" t="str">
        <f>IF(AH107="","-",IFERROR((AH107/AG107-1)*(AG107/AG$13),"-"))</f>
        <v>-</v>
      </c>
      <c r="BX107" s="987" t="str">
        <f>IF(AI107="","-",IFERROR((AI107/AH107-1)*(AH107/AH$13),"-"))</f>
        <v>-</v>
      </c>
      <c r="BY107" s="989" t="str">
        <f>IF(AJ107="","-",IFERROR((AJ107/AI107-1)*(AI107/AI$13),"-"))</f>
        <v>-</v>
      </c>
      <c r="BZ107" s="951"/>
      <c r="CA107" s="984" t="str">
        <f t="shared" si="34"/>
        <v>Rev</v>
      </c>
      <c r="CB107" s="985" t="str">
        <f t="shared" si="35"/>
        <v>Water</v>
      </c>
      <c r="CC107" s="985" t="str">
        <f t="shared" si="36"/>
        <v>Fixed</v>
      </c>
      <c r="CD107" s="990" t="str">
        <f t="shared" si="66"/>
        <v>-</v>
      </c>
      <c r="CE107" s="987" t="str">
        <f t="shared" si="59"/>
        <v>-</v>
      </c>
      <c r="CF107" s="987" t="str">
        <f t="shared" si="60"/>
        <v>-</v>
      </c>
      <c r="CG107" s="988" t="str">
        <f t="shared" si="61"/>
        <v>-</v>
      </c>
      <c r="CH107" s="987" t="str">
        <f t="shared" si="67"/>
        <v>-</v>
      </c>
      <c r="CI107" s="987" t="str">
        <f t="shared" si="62"/>
        <v>-</v>
      </c>
      <c r="CJ107" s="987" t="str">
        <f t="shared" si="63"/>
        <v>-</v>
      </c>
      <c r="CK107" s="989" t="str">
        <f t="shared" si="64"/>
        <v>-</v>
      </c>
    </row>
    <row r="108" spans="4:89">
      <c r="D108" s="63">
        <f>D105+1</f>
        <v>14</v>
      </c>
      <c r="E108" s="550" t="s">
        <v>857</v>
      </c>
      <c r="F108" s="595" t="s">
        <v>401</v>
      </c>
      <c r="G108" s="595" t="s">
        <v>877</v>
      </c>
      <c r="H108" s="595" t="s">
        <v>886</v>
      </c>
      <c r="I108" s="589" t="s">
        <v>843</v>
      </c>
      <c r="J108" s="589" t="s">
        <v>879</v>
      </c>
      <c r="K108" s="551"/>
      <c r="L108" s="552"/>
      <c r="M108" s="552"/>
      <c r="N108" s="551"/>
      <c r="O108" s="552"/>
      <c r="P108" s="552"/>
      <c r="Q108" s="552"/>
      <c r="R108" s="1035"/>
      <c r="S108" s="1138"/>
      <c r="T108" s="591"/>
      <c r="U108" s="1035"/>
      <c r="V108" s="1138"/>
      <c r="W108" s="591"/>
      <c r="X108" s="591"/>
      <c r="Y108" s="591"/>
      <c r="Z108" s="1035"/>
      <c r="AA108" s="1138"/>
      <c r="AB108" s="591"/>
      <c r="AC108" s="591"/>
      <c r="AD108" s="591"/>
      <c r="AE108" s="1035"/>
      <c r="AF108" s="1138"/>
      <c r="AG108" s="591"/>
      <c r="AH108" s="591"/>
      <c r="AI108" s="591"/>
      <c r="AJ108" s="1035"/>
      <c r="AK108" s="569"/>
      <c r="AL108" s="569"/>
      <c r="AM108" s="974"/>
      <c r="AN108" s="857"/>
      <c r="AO108" s="975" t="str">
        <f t="shared" si="37"/>
        <v>Price</v>
      </c>
      <c r="AP108" s="976" t="str">
        <f t="shared" si="38"/>
        <v>Water</v>
      </c>
      <c r="AQ108" s="977" t="str">
        <f t="shared" si="39"/>
        <v>Variable</v>
      </c>
      <c r="AR108" s="1341" t="str">
        <f t="shared" si="40"/>
        <v>-</v>
      </c>
      <c r="AS108" s="978" t="str">
        <f t="shared" si="41"/>
        <v>-</v>
      </c>
      <c r="AT108" s="979" t="str">
        <f t="shared" si="42"/>
        <v>-</v>
      </c>
      <c r="AU108" s="979" t="str">
        <f t="shared" si="43"/>
        <v>-</v>
      </c>
      <c r="AV108" s="1352" t="str">
        <f t="shared" si="44"/>
        <v>-</v>
      </c>
      <c r="AW108" s="1345" t="str">
        <f t="shared" si="45"/>
        <v>-</v>
      </c>
      <c r="AX108" s="979" t="str">
        <f t="shared" si="46"/>
        <v>-</v>
      </c>
      <c r="AY108" s="979" t="str">
        <f t="shared" si="47"/>
        <v>-</v>
      </c>
      <c r="AZ108" s="979" t="str">
        <f t="shared" si="48"/>
        <v>-</v>
      </c>
      <c r="BA108" s="980" t="str">
        <f t="shared" si="49"/>
        <v>-</v>
      </c>
      <c r="BB108" s="1345" t="str">
        <f t="shared" si="50"/>
        <v>-</v>
      </c>
      <c r="BC108" s="979" t="str">
        <f t="shared" si="51"/>
        <v>-</v>
      </c>
      <c r="BD108" s="979" t="str">
        <f t="shared" si="52"/>
        <v>-</v>
      </c>
      <c r="BE108" s="979" t="str">
        <f t="shared" si="53"/>
        <v>-</v>
      </c>
      <c r="BF108" s="981" t="str">
        <f t="shared" si="54"/>
        <v>-</v>
      </c>
      <c r="BG108" s="951"/>
      <c r="BH108" s="1547" t="str">
        <f t="shared" si="55"/>
        <v>Price</v>
      </c>
      <c r="BI108" s="1548" t="str">
        <f t="shared" si="56"/>
        <v>Water</v>
      </c>
      <c r="BJ108" s="1549" t="str">
        <f t="shared" si="57"/>
        <v>Variable</v>
      </c>
      <c r="BK108" s="978" t="str">
        <f t="shared" ref="BK108:BU108" si="118">IF(V108="","-",IFERROR((V108/U108-1)*(U110/U$13),"-"))</f>
        <v>-</v>
      </c>
      <c r="BL108" s="978" t="str">
        <f t="shared" si="118"/>
        <v>-</v>
      </c>
      <c r="BM108" s="979" t="str">
        <f t="shared" si="118"/>
        <v>-</v>
      </c>
      <c r="BN108" s="979" t="str">
        <f t="shared" si="118"/>
        <v>-</v>
      </c>
      <c r="BO108" s="1352" t="str">
        <f t="shared" si="118"/>
        <v>-</v>
      </c>
      <c r="BP108" s="1345" t="str">
        <f t="shared" si="118"/>
        <v>-</v>
      </c>
      <c r="BQ108" s="979" t="str">
        <f t="shared" si="118"/>
        <v>-</v>
      </c>
      <c r="BR108" s="979" t="str">
        <f t="shared" si="118"/>
        <v>-</v>
      </c>
      <c r="BS108" s="979" t="str">
        <f t="shared" si="118"/>
        <v>-</v>
      </c>
      <c r="BT108" s="980" t="str">
        <f t="shared" si="118"/>
        <v>-</v>
      </c>
      <c r="BU108" s="979" t="str">
        <f t="shared" si="118"/>
        <v>-</v>
      </c>
      <c r="BV108" s="979" t="str">
        <f>IF(AG108="","-",IFERROR((AG108/AF108-1)*(AF110/AF$13),"-"))</f>
        <v>-</v>
      </c>
      <c r="BW108" s="979" t="str">
        <f>IF(AH108="","-",IFERROR((AH108/AG108-1)*(AG110/AG$13),"-"))</f>
        <v>-</v>
      </c>
      <c r="BX108" s="979" t="str">
        <f>IF(AI108="","-",IFERROR((AI108/AH108-1)*(AH110/AH$13),"-"))</f>
        <v>-</v>
      </c>
      <c r="BY108" s="981" t="str">
        <f>IF(AJ108="","-",IFERROR((AJ108/AI108-1)*(AI110/AI$13),"-"))</f>
        <v>-</v>
      </c>
      <c r="BZ108" s="951"/>
      <c r="CA108" s="975" t="str">
        <f t="shared" si="34"/>
        <v>Price</v>
      </c>
      <c r="CB108" s="976" t="str">
        <f t="shared" si="35"/>
        <v>Water</v>
      </c>
      <c r="CC108" s="982" t="str">
        <f t="shared" si="36"/>
        <v>Variable</v>
      </c>
      <c r="CD108" s="983" t="str">
        <f t="shared" si="66"/>
        <v>-</v>
      </c>
      <c r="CE108" s="979" t="str">
        <f t="shared" si="59"/>
        <v>-</v>
      </c>
      <c r="CF108" s="979" t="str">
        <f t="shared" si="60"/>
        <v>-</v>
      </c>
      <c r="CG108" s="980" t="str">
        <f t="shared" si="61"/>
        <v>-</v>
      </c>
      <c r="CH108" s="979" t="str">
        <f t="shared" si="67"/>
        <v>-</v>
      </c>
      <c r="CI108" s="979" t="str">
        <f t="shared" si="62"/>
        <v>-</v>
      </c>
      <c r="CJ108" s="979" t="str">
        <f t="shared" si="63"/>
        <v>-</v>
      </c>
      <c r="CK108" s="981" t="str">
        <f t="shared" si="64"/>
        <v>-</v>
      </c>
    </row>
    <row r="109" spans="4:89">
      <c r="E109" s="567" t="s">
        <v>880</v>
      </c>
      <c r="F109" s="554" t="str">
        <f>+F108</f>
        <v>Water</v>
      </c>
      <c r="G109" s="555" t="str">
        <f>+G108</f>
        <v>GWW</v>
      </c>
      <c r="H109" s="555" t="str">
        <f>+H108</f>
        <v>Transfer</v>
      </c>
      <c r="I109" s="556" t="str">
        <f>+I108</f>
        <v>Variable</v>
      </c>
      <c r="J109" s="590" t="s">
        <v>887</v>
      </c>
      <c r="K109" s="557"/>
      <c r="L109" s="558"/>
      <c r="M109" s="558"/>
      <c r="N109" s="557"/>
      <c r="O109" s="558"/>
      <c r="P109" s="558"/>
      <c r="Q109" s="558"/>
      <c r="R109" s="1036"/>
      <c r="S109" s="1139"/>
      <c r="T109" s="593"/>
      <c r="U109" s="1036"/>
      <c r="V109" s="1139"/>
      <c r="W109" s="593"/>
      <c r="X109" s="593"/>
      <c r="Y109" s="593"/>
      <c r="Z109" s="1036"/>
      <c r="AA109" s="1139"/>
      <c r="AB109" s="593"/>
      <c r="AC109" s="593"/>
      <c r="AD109" s="593"/>
      <c r="AE109" s="1036"/>
      <c r="AF109" s="1139"/>
      <c r="AG109" s="593"/>
      <c r="AH109" s="593"/>
      <c r="AI109" s="593"/>
      <c r="AJ109" s="1036"/>
      <c r="AK109" s="569"/>
      <c r="AL109" s="569"/>
      <c r="AN109" s="857"/>
      <c r="AO109" s="961" t="str">
        <f t="shared" si="37"/>
        <v>Qty</v>
      </c>
      <c r="AP109" s="962" t="str">
        <f t="shared" si="38"/>
        <v>Water</v>
      </c>
      <c r="AQ109" s="963" t="str">
        <f t="shared" si="39"/>
        <v>Variable</v>
      </c>
      <c r="AR109" s="967" t="str">
        <f t="shared" si="40"/>
        <v>-</v>
      </c>
      <c r="AS109" s="964" t="str">
        <f t="shared" si="41"/>
        <v>-</v>
      </c>
      <c r="AT109" s="964" t="str">
        <f t="shared" si="42"/>
        <v>-</v>
      </c>
      <c r="AU109" s="964" t="str">
        <f t="shared" si="43"/>
        <v>-</v>
      </c>
      <c r="AV109" s="1350" t="str">
        <f t="shared" si="44"/>
        <v>-</v>
      </c>
      <c r="AW109" s="1343" t="str">
        <f t="shared" si="45"/>
        <v>-</v>
      </c>
      <c r="AX109" s="964" t="str">
        <f t="shared" si="46"/>
        <v>-</v>
      </c>
      <c r="AY109" s="964" t="str">
        <f t="shared" si="47"/>
        <v>-</v>
      </c>
      <c r="AZ109" s="964" t="str">
        <f t="shared" si="48"/>
        <v>-</v>
      </c>
      <c r="BA109" s="965" t="str">
        <f t="shared" si="49"/>
        <v>-</v>
      </c>
      <c r="BB109" s="1343" t="str">
        <f t="shared" si="50"/>
        <v>-</v>
      </c>
      <c r="BC109" s="964" t="str">
        <f t="shared" si="51"/>
        <v>-</v>
      </c>
      <c r="BD109" s="964" t="str">
        <f t="shared" si="52"/>
        <v>-</v>
      </c>
      <c r="BE109" s="964" t="str">
        <f t="shared" si="53"/>
        <v>-</v>
      </c>
      <c r="BF109" s="966" t="str">
        <f t="shared" si="54"/>
        <v>-</v>
      </c>
      <c r="BG109" s="951"/>
      <c r="BH109" s="1541" t="str">
        <f t="shared" si="55"/>
        <v>Qty</v>
      </c>
      <c r="BI109" s="1542" t="str">
        <f t="shared" si="56"/>
        <v>Water</v>
      </c>
      <c r="BJ109" s="1543" t="str">
        <f t="shared" si="57"/>
        <v>Variable</v>
      </c>
      <c r="BK109" s="964" t="str">
        <f t="shared" ref="BK109:BU109" si="119">IF(V109="","-",IFERROR((V109/U109-1)*(U110/U$13),"-"))</f>
        <v>-</v>
      </c>
      <c r="BL109" s="964" t="str">
        <f t="shared" si="119"/>
        <v>-</v>
      </c>
      <c r="BM109" s="964" t="str">
        <f t="shared" si="119"/>
        <v>-</v>
      </c>
      <c r="BN109" s="964" t="str">
        <f t="shared" si="119"/>
        <v>-</v>
      </c>
      <c r="BO109" s="1350" t="str">
        <f t="shared" si="119"/>
        <v>-</v>
      </c>
      <c r="BP109" s="1343" t="str">
        <f t="shared" si="119"/>
        <v>-</v>
      </c>
      <c r="BQ109" s="964" t="str">
        <f t="shared" si="119"/>
        <v>-</v>
      </c>
      <c r="BR109" s="964" t="str">
        <f t="shared" si="119"/>
        <v>-</v>
      </c>
      <c r="BS109" s="964" t="str">
        <f t="shared" si="119"/>
        <v>-</v>
      </c>
      <c r="BT109" s="965" t="str">
        <f t="shared" si="119"/>
        <v>-</v>
      </c>
      <c r="BU109" s="964" t="str">
        <f t="shared" si="119"/>
        <v>-</v>
      </c>
      <c r="BV109" s="964" t="str">
        <f>IF(AG109="","-",IFERROR((AG109/AF109-1)*(AF110/AF$13),"-"))</f>
        <v>-</v>
      </c>
      <c r="BW109" s="964" t="str">
        <f>IF(AH109="","-",IFERROR((AH109/AG109-1)*(AG110/AG$13),"-"))</f>
        <v>-</v>
      </c>
      <c r="BX109" s="964" t="str">
        <f>IF(AI109="","-",IFERROR((AI109/AH109-1)*(AH110/AH$13),"-"))</f>
        <v>-</v>
      </c>
      <c r="BY109" s="966" t="str">
        <f>IF(AJ109="","-",IFERROR((AJ109/AI109-1)*(AI110/AI$13),"-"))</f>
        <v>-</v>
      </c>
      <c r="BZ109" s="951"/>
      <c r="CA109" s="961" t="str">
        <f t="shared" si="34"/>
        <v>Qty</v>
      </c>
      <c r="CB109" s="962" t="str">
        <f t="shared" si="35"/>
        <v>Water</v>
      </c>
      <c r="CC109" s="962" t="str">
        <f t="shared" si="36"/>
        <v>Variable</v>
      </c>
      <c r="CD109" s="967" t="str">
        <f t="shared" si="66"/>
        <v>-</v>
      </c>
      <c r="CE109" s="964" t="str">
        <f t="shared" si="59"/>
        <v>-</v>
      </c>
      <c r="CF109" s="964" t="str">
        <f t="shared" si="60"/>
        <v>-</v>
      </c>
      <c r="CG109" s="965" t="str">
        <f t="shared" si="61"/>
        <v>-</v>
      </c>
      <c r="CH109" s="964" t="str">
        <f t="shared" si="67"/>
        <v>-</v>
      </c>
      <c r="CI109" s="964" t="str">
        <f t="shared" si="62"/>
        <v>-</v>
      </c>
      <c r="CJ109" s="964" t="str">
        <f t="shared" si="63"/>
        <v>-</v>
      </c>
      <c r="CK109" s="966" t="str">
        <f t="shared" si="64"/>
        <v>-</v>
      </c>
    </row>
    <row r="110" spans="4:89" ht="12.75" thickBot="1">
      <c r="E110" s="568" t="s">
        <v>882</v>
      </c>
      <c r="F110" s="560" t="str">
        <f>+F108</f>
        <v>Water</v>
      </c>
      <c r="G110" s="561" t="str">
        <f>+G108</f>
        <v>GWW</v>
      </c>
      <c r="H110" s="561" t="str">
        <f>+H108</f>
        <v>Transfer</v>
      </c>
      <c r="I110" s="562" t="str">
        <f>+I108</f>
        <v>Variable</v>
      </c>
      <c r="J110" s="563" t="s">
        <v>883</v>
      </c>
      <c r="K110" s="564">
        <f t="shared" ref="K110:AJ110" si="120">K108*K109/10^6</f>
        <v>0</v>
      </c>
      <c r="L110" s="565">
        <f t="shared" si="120"/>
        <v>0</v>
      </c>
      <c r="M110" s="565">
        <f t="shared" si="120"/>
        <v>0</v>
      </c>
      <c r="N110" s="564">
        <f t="shared" si="120"/>
        <v>0</v>
      </c>
      <c r="O110" s="565">
        <f t="shared" si="120"/>
        <v>0</v>
      </c>
      <c r="P110" s="565">
        <f t="shared" si="120"/>
        <v>0</v>
      </c>
      <c r="Q110" s="565">
        <f t="shared" si="120"/>
        <v>0</v>
      </c>
      <c r="R110" s="566">
        <f t="shared" si="120"/>
        <v>0</v>
      </c>
      <c r="S110" s="564">
        <f t="shared" si="120"/>
        <v>0</v>
      </c>
      <c r="T110" s="565">
        <f t="shared" si="120"/>
        <v>0</v>
      </c>
      <c r="U110" s="566">
        <f t="shared" si="120"/>
        <v>0</v>
      </c>
      <c r="V110" s="564">
        <f t="shared" si="120"/>
        <v>0</v>
      </c>
      <c r="W110" s="565">
        <f t="shared" si="120"/>
        <v>0</v>
      </c>
      <c r="X110" s="565">
        <f t="shared" si="120"/>
        <v>0</v>
      </c>
      <c r="Y110" s="565">
        <f t="shared" si="120"/>
        <v>0</v>
      </c>
      <c r="Z110" s="566">
        <f t="shared" si="120"/>
        <v>0</v>
      </c>
      <c r="AA110" s="564">
        <f t="shared" si="120"/>
        <v>0</v>
      </c>
      <c r="AB110" s="565">
        <f t="shared" si="120"/>
        <v>0</v>
      </c>
      <c r="AC110" s="565">
        <f t="shared" si="120"/>
        <v>0</v>
      </c>
      <c r="AD110" s="565">
        <f t="shared" si="120"/>
        <v>0</v>
      </c>
      <c r="AE110" s="566">
        <f t="shared" si="120"/>
        <v>0</v>
      </c>
      <c r="AF110" s="564">
        <f t="shared" si="120"/>
        <v>0</v>
      </c>
      <c r="AG110" s="565">
        <f t="shared" si="120"/>
        <v>0</v>
      </c>
      <c r="AH110" s="565">
        <f t="shared" si="120"/>
        <v>0</v>
      </c>
      <c r="AI110" s="565">
        <f t="shared" si="120"/>
        <v>0</v>
      </c>
      <c r="AJ110" s="566">
        <f t="shared" si="120"/>
        <v>0</v>
      </c>
      <c r="AK110" s="569"/>
      <c r="AL110" s="569"/>
      <c r="AN110" s="857"/>
      <c r="AO110" s="984" t="str">
        <f t="shared" si="37"/>
        <v>Rev</v>
      </c>
      <c r="AP110" s="985" t="str">
        <f t="shared" si="38"/>
        <v>Water</v>
      </c>
      <c r="AQ110" s="986" t="str">
        <f t="shared" si="39"/>
        <v>Variable</v>
      </c>
      <c r="AR110" s="990" t="str">
        <f t="shared" si="40"/>
        <v>-</v>
      </c>
      <c r="AS110" s="987" t="str">
        <f t="shared" si="41"/>
        <v>-</v>
      </c>
      <c r="AT110" s="987" t="str">
        <f t="shared" si="42"/>
        <v>-</v>
      </c>
      <c r="AU110" s="987" t="str">
        <f t="shared" si="43"/>
        <v>-</v>
      </c>
      <c r="AV110" s="1353" t="str">
        <f t="shared" si="44"/>
        <v>-</v>
      </c>
      <c r="AW110" s="1346" t="str">
        <f t="shared" si="45"/>
        <v>-</v>
      </c>
      <c r="AX110" s="987" t="str">
        <f t="shared" si="46"/>
        <v>-</v>
      </c>
      <c r="AY110" s="987" t="str">
        <f t="shared" si="47"/>
        <v>-</v>
      </c>
      <c r="AZ110" s="987" t="str">
        <f t="shared" si="48"/>
        <v>-</v>
      </c>
      <c r="BA110" s="988" t="str">
        <f t="shared" si="49"/>
        <v>-</v>
      </c>
      <c r="BB110" s="1346" t="str">
        <f t="shared" si="50"/>
        <v>-</v>
      </c>
      <c r="BC110" s="987" t="str">
        <f t="shared" si="51"/>
        <v>-</v>
      </c>
      <c r="BD110" s="987" t="str">
        <f t="shared" si="52"/>
        <v>-</v>
      </c>
      <c r="BE110" s="987" t="str">
        <f t="shared" si="53"/>
        <v>-</v>
      </c>
      <c r="BF110" s="989" t="str">
        <f t="shared" si="54"/>
        <v>-</v>
      </c>
      <c r="BG110" s="951"/>
      <c r="BH110" s="1550" t="str">
        <f t="shared" si="55"/>
        <v>Rev</v>
      </c>
      <c r="BI110" s="1551" t="str">
        <f t="shared" si="56"/>
        <v>Water</v>
      </c>
      <c r="BJ110" s="1552" t="str">
        <f t="shared" si="57"/>
        <v>Variable</v>
      </c>
      <c r="BK110" s="987" t="str">
        <f t="shared" ref="BK110:BU110" si="121">IF(V110="","-",IFERROR((V110/U110-1)*(U110/U$13),"-"))</f>
        <v>-</v>
      </c>
      <c r="BL110" s="987" t="str">
        <f t="shared" si="121"/>
        <v>-</v>
      </c>
      <c r="BM110" s="987" t="str">
        <f t="shared" si="121"/>
        <v>-</v>
      </c>
      <c r="BN110" s="987" t="str">
        <f t="shared" si="121"/>
        <v>-</v>
      </c>
      <c r="BO110" s="1353" t="str">
        <f t="shared" si="121"/>
        <v>-</v>
      </c>
      <c r="BP110" s="1346" t="str">
        <f t="shared" si="121"/>
        <v>-</v>
      </c>
      <c r="BQ110" s="987" t="str">
        <f t="shared" si="121"/>
        <v>-</v>
      </c>
      <c r="BR110" s="987" t="str">
        <f t="shared" si="121"/>
        <v>-</v>
      </c>
      <c r="BS110" s="987" t="str">
        <f t="shared" si="121"/>
        <v>-</v>
      </c>
      <c r="BT110" s="988" t="str">
        <f t="shared" si="121"/>
        <v>-</v>
      </c>
      <c r="BU110" s="987" t="str">
        <f t="shared" si="121"/>
        <v>-</v>
      </c>
      <c r="BV110" s="987" t="str">
        <f>IF(AG110="","-",IFERROR((AG110/AF110-1)*(AF110/AF$13),"-"))</f>
        <v>-</v>
      </c>
      <c r="BW110" s="987" t="str">
        <f>IF(AH110="","-",IFERROR((AH110/AG110-1)*(AG110/AG$13),"-"))</f>
        <v>-</v>
      </c>
      <c r="BX110" s="987" t="str">
        <f>IF(AI110="","-",IFERROR((AI110/AH110-1)*(AH110/AH$13),"-"))</f>
        <v>-</v>
      </c>
      <c r="BY110" s="989" t="str">
        <f>IF(AJ110="","-",IFERROR((AJ110/AI110-1)*(AI110/AI$13),"-"))</f>
        <v>-</v>
      </c>
      <c r="BZ110" s="951"/>
      <c r="CA110" s="984" t="str">
        <f t="shared" si="34"/>
        <v>Rev</v>
      </c>
      <c r="CB110" s="985" t="str">
        <f t="shared" si="35"/>
        <v>Water</v>
      </c>
      <c r="CC110" s="985" t="str">
        <f t="shared" si="36"/>
        <v>Variable</v>
      </c>
      <c r="CD110" s="990" t="str">
        <f t="shared" si="66"/>
        <v>-</v>
      </c>
      <c r="CE110" s="987" t="str">
        <f t="shared" si="59"/>
        <v>-</v>
      </c>
      <c r="CF110" s="987" t="str">
        <f t="shared" si="60"/>
        <v>-</v>
      </c>
      <c r="CG110" s="988" t="str">
        <f t="shared" si="61"/>
        <v>-</v>
      </c>
      <c r="CH110" s="987" t="str">
        <f t="shared" si="67"/>
        <v>-</v>
      </c>
      <c r="CI110" s="987" t="str">
        <f t="shared" si="62"/>
        <v>-</v>
      </c>
      <c r="CJ110" s="987" t="str">
        <f t="shared" si="63"/>
        <v>-</v>
      </c>
      <c r="CK110" s="989" t="str">
        <f t="shared" si="64"/>
        <v>-</v>
      </c>
    </row>
    <row r="111" spans="4:89">
      <c r="D111" s="63">
        <f>D108+1</f>
        <v>15</v>
      </c>
      <c r="E111" s="550" t="s">
        <v>857</v>
      </c>
      <c r="F111" s="595" t="s">
        <v>401</v>
      </c>
      <c r="G111" s="595" t="s">
        <v>92</v>
      </c>
      <c r="H111" s="595" t="s">
        <v>886</v>
      </c>
      <c r="I111" s="589" t="s">
        <v>843</v>
      </c>
      <c r="J111" s="589" t="s">
        <v>879</v>
      </c>
      <c r="K111" s="551"/>
      <c r="L111" s="552"/>
      <c r="M111" s="552"/>
      <c r="N111" s="551"/>
      <c r="O111" s="552"/>
      <c r="P111" s="552"/>
      <c r="Q111" s="552"/>
      <c r="R111" s="1035"/>
      <c r="S111" s="1138"/>
      <c r="T111" s="591"/>
      <c r="U111" s="1035"/>
      <c r="V111" s="1138"/>
      <c r="W111" s="591"/>
      <c r="X111" s="591"/>
      <c r="Y111" s="591"/>
      <c r="Z111" s="1035"/>
      <c r="AA111" s="1138"/>
      <c r="AB111" s="591"/>
      <c r="AC111" s="591"/>
      <c r="AD111" s="591"/>
      <c r="AE111" s="1035"/>
      <c r="AF111" s="1138"/>
      <c r="AG111" s="591"/>
      <c r="AH111" s="591"/>
      <c r="AI111" s="591"/>
      <c r="AJ111" s="1035"/>
      <c r="AK111" s="569"/>
      <c r="AL111" s="569"/>
      <c r="AM111" s="974"/>
      <c r="AN111" s="857"/>
      <c r="AO111" s="975" t="str">
        <f t="shared" si="37"/>
        <v>Price</v>
      </c>
      <c r="AP111" s="976" t="str">
        <f t="shared" si="38"/>
        <v>Water</v>
      </c>
      <c r="AQ111" s="977" t="str">
        <f t="shared" si="39"/>
        <v>Variable</v>
      </c>
      <c r="AR111" s="1341" t="str">
        <f t="shared" si="40"/>
        <v>-</v>
      </c>
      <c r="AS111" s="978" t="str">
        <f t="shared" si="41"/>
        <v>-</v>
      </c>
      <c r="AT111" s="979" t="str">
        <f t="shared" si="42"/>
        <v>-</v>
      </c>
      <c r="AU111" s="979" t="str">
        <f t="shared" si="43"/>
        <v>-</v>
      </c>
      <c r="AV111" s="1352" t="str">
        <f t="shared" si="44"/>
        <v>-</v>
      </c>
      <c r="AW111" s="1345" t="str">
        <f t="shared" si="45"/>
        <v>-</v>
      </c>
      <c r="AX111" s="979" t="str">
        <f t="shared" si="46"/>
        <v>-</v>
      </c>
      <c r="AY111" s="979" t="str">
        <f t="shared" si="47"/>
        <v>-</v>
      </c>
      <c r="AZ111" s="979" t="str">
        <f t="shared" si="48"/>
        <v>-</v>
      </c>
      <c r="BA111" s="980" t="str">
        <f t="shared" si="49"/>
        <v>-</v>
      </c>
      <c r="BB111" s="1345" t="str">
        <f t="shared" si="50"/>
        <v>-</v>
      </c>
      <c r="BC111" s="979" t="str">
        <f t="shared" si="51"/>
        <v>-</v>
      </c>
      <c r="BD111" s="979" t="str">
        <f t="shared" si="52"/>
        <v>-</v>
      </c>
      <c r="BE111" s="979" t="str">
        <f t="shared" si="53"/>
        <v>-</v>
      </c>
      <c r="BF111" s="981" t="str">
        <f t="shared" si="54"/>
        <v>-</v>
      </c>
      <c r="BG111" s="951"/>
      <c r="BH111" s="1547" t="str">
        <f t="shared" si="55"/>
        <v>Price</v>
      </c>
      <c r="BI111" s="1548" t="str">
        <f t="shared" si="56"/>
        <v>Water</v>
      </c>
      <c r="BJ111" s="1549" t="str">
        <f t="shared" si="57"/>
        <v>Variable</v>
      </c>
      <c r="BK111" s="978" t="str">
        <f t="shared" ref="BK111:BU111" si="122">IF(V111="","-",IFERROR((V111/U111-1)*(U113/U$13),"-"))</f>
        <v>-</v>
      </c>
      <c r="BL111" s="978" t="str">
        <f t="shared" si="122"/>
        <v>-</v>
      </c>
      <c r="BM111" s="979" t="str">
        <f t="shared" si="122"/>
        <v>-</v>
      </c>
      <c r="BN111" s="979" t="str">
        <f t="shared" si="122"/>
        <v>-</v>
      </c>
      <c r="BO111" s="1352" t="str">
        <f t="shared" si="122"/>
        <v>-</v>
      </c>
      <c r="BP111" s="1345" t="str">
        <f t="shared" si="122"/>
        <v>-</v>
      </c>
      <c r="BQ111" s="979" t="str">
        <f t="shared" si="122"/>
        <v>-</v>
      </c>
      <c r="BR111" s="979" t="str">
        <f t="shared" si="122"/>
        <v>-</v>
      </c>
      <c r="BS111" s="979" t="str">
        <f t="shared" si="122"/>
        <v>-</v>
      </c>
      <c r="BT111" s="980" t="str">
        <f t="shared" si="122"/>
        <v>-</v>
      </c>
      <c r="BU111" s="979" t="str">
        <f t="shared" si="122"/>
        <v>-</v>
      </c>
      <c r="BV111" s="979" t="str">
        <f>IF(AG111="","-",IFERROR((AG111/AF111-1)*(AF113/AF$13),"-"))</f>
        <v>-</v>
      </c>
      <c r="BW111" s="979" t="str">
        <f>IF(AH111="","-",IFERROR((AH111/AG111-1)*(AG113/AG$13),"-"))</f>
        <v>-</v>
      </c>
      <c r="BX111" s="979" t="str">
        <f>IF(AI111="","-",IFERROR((AI111/AH111-1)*(AH113/AH$13),"-"))</f>
        <v>-</v>
      </c>
      <c r="BY111" s="981" t="str">
        <f>IF(AJ111="","-",IFERROR((AJ111/AI111-1)*(AI113/AI$13),"-"))</f>
        <v>-</v>
      </c>
      <c r="BZ111" s="951"/>
      <c r="CA111" s="975" t="str">
        <f t="shared" si="34"/>
        <v>Price</v>
      </c>
      <c r="CB111" s="976" t="str">
        <f t="shared" si="35"/>
        <v>Water</v>
      </c>
      <c r="CC111" s="982" t="str">
        <f t="shared" si="36"/>
        <v>Variable</v>
      </c>
      <c r="CD111" s="983" t="str">
        <f t="shared" si="66"/>
        <v>-</v>
      </c>
      <c r="CE111" s="979" t="str">
        <f t="shared" si="59"/>
        <v>-</v>
      </c>
      <c r="CF111" s="979" t="str">
        <f t="shared" si="60"/>
        <v>-</v>
      </c>
      <c r="CG111" s="980" t="str">
        <f t="shared" si="61"/>
        <v>-</v>
      </c>
      <c r="CH111" s="979" t="str">
        <f t="shared" si="67"/>
        <v>-</v>
      </c>
      <c r="CI111" s="979" t="str">
        <f t="shared" si="62"/>
        <v>-</v>
      </c>
      <c r="CJ111" s="979" t="str">
        <f t="shared" si="63"/>
        <v>-</v>
      </c>
      <c r="CK111" s="981" t="str">
        <f t="shared" si="64"/>
        <v>-</v>
      </c>
    </row>
    <row r="112" spans="4:89">
      <c r="E112" s="567" t="s">
        <v>880</v>
      </c>
      <c r="F112" s="554" t="str">
        <f>+F111</f>
        <v>Water</v>
      </c>
      <c r="G112" s="555" t="str">
        <f>+G111</f>
        <v>SEW</v>
      </c>
      <c r="H112" s="555" t="str">
        <f>+H111</f>
        <v>Transfer</v>
      </c>
      <c r="I112" s="556" t="str">
        <f>+I111</f>
        <v>Variable</v>
      </c>
      <c r="J112" s="590" t="s">
        <v>887</v>
      </c>
      <c r="K112" s="557"/>
      <c r="L112" s="558"/>
      <c r="M112" s="558"/>
      <c r="N112" s="557"/>
      <c r="O112" s="558"/>
      <c r="P112" s="558"/>
      <c r="Q112" s="558"/>
      <c r="R112" s="1036"/>
      <c r="S112" s="1139"/>
      <c r="T112" s="593"/>
      <c r="U112" s="1036"/>
      <c r="V112" s="1139"/>
      <c r="W112" s="593"/>
      <c r="X112" s="593"/>
      <c r="Y112" s="593"/>
      <c r="Z112" s="1036"/>
      <c r="AA112" s="1139"/>
      <c r="AB112" s="593"/>
      <c r="AC112" s="593"/>
      <c r="AD112" s="593"/>
      <c r="AE112" s="1036"/>
      <c r="AF112" s="1139"/>
      <c r="AG112" s="593"/>
      <c r="AH112" s="593"/>
      <c r="AI112" s="593"/>
      <c r="AJ112" s="1036"/>
      <c r="AK112" s="569"/>
      <c r="AL112" s="569"/>
      <c r="AN112" s="857"/>
      <c r="AO112" s="961" t="str">
        <f t="shared" si="37"/>
        <v>Qty</v>
      </c>
      <c r="AP112" s="962" t="str">
        <f t="shared" si="38"/>
        <v>Water</v>
      </c>
      <c r="AQ112" s="963" t="str">
        <f t="shared" si="39"/>
        <v>Variable</v>
      </c>
      <c r="AR112" s="967" t="str">
        <f t="shared" si="40"/>
        <v>-</v>
      </c>
      <c r="AS112" s="964" t="str">
        <f t="shared" si="41"/>
        <v>-</v>
      </c>
      <c r="AT112" s="964" t="str">
        <f t="shared" si="42"/>
        <v>-</v>
      </c>
      <c r="AU112" s="964" t="str">
        <f t="shared" si="43"/>
        <v>-</v>
      </c>
      <c r="AV112" s="1350" t="str">
        <f t="shared" si="44"/>
        <v>-</v>
      </c>
      <c r="AW112" s="1343" t="str">
        <f t="shared" si="45"/>
        <v>-</v>
      </c>
      <c r="AX112" s="964" t="str">
        <f t="shared" si="46"/>
        <v>-</v>
      </c>
      <c r="AY112" s="964" t="str">
        <f t="shared" si="47"/>
        <v>-</v>
      </c>
      <c r="AZ112" s="964" t="str">
        <f t="shared" si="48"/>
        <v>-</v>
      </c>
      <c r="BA112" s="965" t="str">
        <f t="shared" si="49"/>
        <v>-</v>
      </c>
      <c r="BB112" s="1343" t="str">
        <f t="shared" si="50"/>
        <v>-</v>
      </c>
      <c r="BC112" s="964" t="str">
        <f t="shared" si="51"/>
        <v>-</v>
      </c>
      <c r="BD112" s="964" t="str">
        <f t="shared" si="52"/>
        <v>-</v>
      </c>
      <c r="BE112" s="964" t="str">
        <f t="shared" si="53"/>
        <v>-</v>
      </c>
      <c r="BF112" s="966" t="str">
        <f t="shared" si="54"/>
        <v>-</v>
      </c>
      <c r="BG112" s="951"/>
      <c r="BH112" s="1541" t="str">
        <f t="shared" si="55"/>
        <v>Qty</v>
      </c>
      <c r="BI112" s="1542" t="str">
        <f t="shared" si="56"/>
        <v>Water</v>
      </c>
      <c r="BJ112" s="1543" t="str">
        <f t="shared" si="57"/>
        <v>Variable</v>
      </c>
      <c r="BK112" s="964" t="str">
        <f t="shared" ref="BK112:BU112" si="123">IF(V112="","-",IFERROR((V112/U112-1)*(U113/U$13),"-"))</f>
        <v>-</v>
      </c>
      <c r="BL112" s="964" t="str">
        <f t="shared" si="123"/>
        <v>-</v>
      </c>
      <c r="BM112" s="964" t="str">
        <f t="shared" si="123"/>
        <v>-</v>
      </c>
      <c r="BN112" s="964" t="str">
        <f t="shared" si="123"/>
        <v>-</v>
      </c>
      <c r="BO112" s="1350" t="str">
        <f t="shared" si="123"/>
        <v>-</v>
      </c>
      <c r="BP112" s="1343" t="str">
        <f t="shared" si="123"/>
        <v>-</v>
      </c>
      <c r="BQ112" s="964" t="str">
        <f t="shared" si="123"/>
        <v>-</v>
      </c>
      <c r="BR112" s="964" t="str">
        <f t="shared" si="123"/>
        <v>-</v>
      </c>
      <c r="BS112" s="964" t="str">
        <f t="shared" si="123"/>
        <v>-</v>
      </c>
      <c r="BT112" s="965" t="str">
        <f t="shared" si="123"/>
        <v>-</v>
      </c>
      <c r="BU112" s="964" t="str">
        <f t="shared" si="123"/>
        <v>-</v>
      </c>
      <c r="BV112" s="964" t="str">
        <f>IF(AG112="","-",IFERROR((AG112/AF112-1)*(AF113/AF$13),"-"))</f>
        <v>-</v>
      </c>
      <c r="BW112" s="964" t="str">
        <f>IF(AH112="","-",IFERROR((AH112/AG112-1)*(AG113/AG$13),"-"))</f>
        <v>-</v>
      </c>
      <c r="BX112" s="964" t="str">
        <f>IF(AI112="","-",IFERROR((AI112/AH112-1)*(AH113/AH$13),"-"))</f>
        <v>-</v>
      </c>
      <c r="BY112" s="966" t="str">
        <f>IF(AJ112="","-",IFERROR((AJ112/AI112-1)*(AI113/AI$13),"-"))</f>
        <v>-</v>
      </c>
      <c r="BZ112" s="951"/>
      <c r="CA112" s="961" t="str">
        <f t="shared" si="34"/>
        <v>Qty</v>
      </c>
      <c r="CB112" s="962" t="str">
        <f t="shared" si="35"/>
        <v>Water</v>
      </c>
      <c r="CC112" s="962" t="str">
        <f t="shared" si="36"/>
        <v>Variable</v>
      </c>
      <c r="CD112" s="967" t="str">
        <f t="shared" si="66"/>
        <v>-</v>
      </c>
      <c r="CE112" s="964" t="str">
        <f t="shared" si="59"/>
        <v>-</v>
      </c>
      <c r="CF112" s="964" t="str">
        <f t="shared" si="60"/>
        <v>-</v>
      </c>
      <c r="CG112" s="965" t="str">
        <f t="shared" si="61"/>
        <v>-</v>
      </c>
      <c r="CH112" s="964" t="str">
        <f t="shared" si="67"/>
        <v>-</v>
      </c>
      <c r="CI112" s="964" t="str">
        <f t="shared" si="62"/>
        <v>-</v>
      </c>
      <c r="CJ112" s="964" t="str">
        <f t="shared" si="63"/>
        <v>-</v>
      </c>
      <c r="CK112" s="966" t="str">
        <f t="shared" si="64"/>
        <v>-</v>
      </c>
    </row>
    <row r="113" spans="4:89" ht="12.75" thickBot="1">
      <c r="E113" s="568" t="s">
        <v>882</v>
      </c>
      <c r="F113" s="560" t="str">
        <f>+F111</f>
        <v>Water</v>
      </c>
      <c r="G113" s="561" t="str">
        <f>+G111</f>
        <v>SEW</v>
      </c>
      <c r="H113" s="561" t="str">
        <f>+H111</f>
        <v>Transfer</v>
      </c>
      <c r="I113" s="562" t="str">
        <f>+I111</f>
        <v>Variable</v>
      </c>
      <c r="J113" s="563" t="s">
        <v>883</v>
      </c>
      <c r="K113" s="564">
        <f t="shared" ref="K113:AJ113" si="124">K111*K112/10^6</f>
        <v>0</v>
      </c>
      <c r="L113" s="565">
        <f t="shared" si="124"/>
        <v>0</v>
      </c>
      <c r="M113" s="565">
        <f t="shared" si="124"/>
        <v>0</v>
      </c>
      <c r="N113" s="564">
        <f t="shared" si="124"/>
        <v>0</v>
      </c>
      <c r="O113" s="565">
        <f t="shared" si="124"/>
        <v>0</v>
      </c>
      <c r="P113" s="565">
        <f t="shared" si="124"/>
        <v>0</v>
      </c>
      <c r="Q113" s="565">
        <f t="shared" si="124"/>
        <v>0</v>
      </c>
      <c r="R113" s="566">
        <f t="shared" si="124"/>
        <v>0</v>
      </c>
      <c r="S113" s="564">
        <f t="shared" si="124"/>
        <v>0</v>
      </c>
      <c r="T113" s="565">
        <f t="shared" si="124"/>
        <v>0</v>
      </c>
      <c r="U113" s="566">
        <f t="shared" si="124"/>
        <v>0</v>
      </c>
      <c r="V113" s="564">
        <f t="shared" si="124"/>
        <v>0</v>
      </c>
      <c r="W113" s="565">
        <f t="shared" si="124"/>
        <v>0</v>
      </c>
      <c r="X113" s="565">
        <f t="shared" si="124"/>
        <v>0</v>
      </c>
      <c r="Y113" s="565">
        <f t="shared" si="124"/>
        <v>0</v>
      </c>
      <c r="Z113" s="566">
        <f t="shared" si="124"/>
        <v>0</v>
      </c>
      <c r="AA113" s="564">
        <f t="shared" si="124"/>
        <v>0</v>
      </c>
      <c r="AB113" s="565">
        <f t="shared" si="124"/>
        <v>0</v>
      </c>
      <c r="AC113" s="565">
        <f t="shared" si="124"/>
        <v>0</v>
      </c>
      <c r="AD113" s="565">
        <f t="shared" si="124"/>
        <v>0</v>
      </c>
      <c r="AE113" s="566">
        <f t="shared" si="124"/>
        <v>0</v>
      </c>
      <c r="AF113" s="564">
        <f t="shared" si="124"/>
        <v>0</v>
      </c>
      <c r="AG113" s="565">
        <f t="shared" si="124"/>
        <v>0</v>
      </c>
      <c r="AH113" s="565">
        <f t="shared" si="124"/>
        <v>0</v>
      </c>
      <c r="AI113" s="565">
        <f t="shared" si="124"/>
        <v>0</v>
      </c>
      <c r="AJ113" s="566">
        <f t="shared" si="124"/>
        <v>0</v>
      </c>
      <c r="AK113" s="569"/>
      <c r="AL113" s="569"/>
      <c r="AN113" s="857"/>
      <c r="AO113" s="984" t="str">
        <f t="shared" si="37"/>
        <v>Rev</v>
      </c>
      <c r="AP113" s="985" t="str">
        <f t="shared" si="38"/>
        <v>Water</v>
      </c>
      <c r="AQ113" s="986" t="str">
        <f t="shared" si="39"/>
        <v>Variable</v>
      </c>
      <c r="AR113" s="990" t="str">
        <f t="shared" si="40"/>
        <v>-</v>
      </c>
      <c r="AS113" s="987" t="str">
        <f t="shared" si="41"/>
        <v>-</v>
      </c>
      <c r="AT113" s="987" t="str">
        <f t="shared" si="42"/>
        <v>-</v>
      </c>
      <c r="AU113" s="987" t="str">
        <f t="shared" si="43"/>
        <v>-</v>
      </c>
      <c r="AV113" s="1353" t="str">
        <f t="shared" si="44"/>
        <v>-</v>
      </c>
      <c r="AW113" s="1346" t="str">
        <f t="shared" si="45"/>
        <v>-</v>
      </c>
      <c r="AX113" s="987" t="str">
        <f t="shared" si="46"/>
        <v>-</v>
      </c>
      <c r="AY113" s="987" t="str">
        <f t="shared" si="47"/>
        <v>-</v>
      </c>
      <c r="AZ113" s="987" t="str">
        <f t="shared" si="48"/>
        <v>-</v>
      </c>
      <c r="BA113" s="988" t="str">
        <f t="shared" si="49"/>
        <v>-</v>
      </c>
      <c r="BB113" s="1346" t="str">
        <f t="shared" si="50"/>
        <v>-</v>
      </c>
      <c r="BC113" s="987" t="str">
        <f t="shared" si="51"/>
        <v>-</v>
      </c>
      <c r="BD113" s="987" t="str">
        <f t="shared" si="52"/>
        <v>-</v>
      </c>
      <c r="BE113" s="987" t="str">
        <f t="shared" si="53"/>
        <v>-</v>
      </c>
      <c r="BF113" s="989" t="str">
        <f t="shared" si="54"/>
        <v>-</v>
      </c>
      <c r="BG113" s="951"/>
      <c r="BH113" s="1550" t="str">
        <f t="shared" si="55"/>
        <v>Rev</v>
      </c>
      <c r="BI113" s="1551" t="str">
        <f t="shared" si="56"/>
        <v>Water</v>
      </c>
      <c r="BJ113" s="1552" t="str">
        <f t="shared" si="57"/>
        <v>Variable</v>
      </c>
      <c r="BK113" s="987" t="str">
        <f t="shared" ref="BK113:BU113" si="125">IF(V113="","-",IFERROR((V113/U113-1)*(U113/U$13),"-"))</f>
        <v>-</v>
      </c>
      <c r="BL113" s="987" t="str">
        <f t="shared" si="125"/>
        <v>-</v>
      </c>
      <c r="BM113" s="987" t="str">
        <f t="shared" si="125"/>
        <v>-</v>
      </c>
      <c r="BN113" s="987" t="str">
        <f t="shared" si="125"/>
        <v>-</v>
      </c>
      <c r="BO113" s="1353" t="str">
        <f t="shared" si="125"/>
        <v>-</v>
      </c>
      <c r="BP113" s="1346" t="str">
        <f t="shared" si="125"/>
        <v>-</v>
      </c>
      <c r="BQ113" s="987" t="str">
        <f t="shared" si="125"/>
        <v>-</v>
      </c>
      <c r="BR113" s="987" t="str">
        <f t="shared" si="125"/>
        <v>-</v>
      </c>
      <c r="BS113" s="987" t="str">
        <f t="shared" si="125"/>
        <v>-</v>
      </c>
      <c r="BT113" s="988" t="str">
        <f t="shared" si="125"/>
        <v>-</v>
      </c>
      <c r="BU113" s="987" t="str">
        <f t="shared" si="125"/>
        <v>-</v>
      </c>
      <c r="BV113" s="987" t="str">
        <f>IF(AG113="","-",IFERROR((AG113/AF113-1)*(AF113/AF$13),"-"))</f>
        <v>-</v>
      </c>
      <c r="BW113" s="987" t="str">
        <f>IF(AH113="","-",IFERROR((AH113/AG113-1)*(AG113/AG$13),"-"))</f>
        <v>-</v>
      </c>
      <c r="BX113" s="987" t="str">
        <f>IF(AI113="","-",IFERROR((AI113/AH113-1)*(AH113/AH$13),"-"))</f>
        <v>-</v>
      </c>
      <c r="BY113" s="989" t="str">
        <f>IF(AJ113="","-",IFERROR((AJ113/AI113-1)*(AI113/AI$13),"-"))</f>
        <v>-</v>
      </c>
      <c r="BZ113" s="951"/>
      <c r="CA113" s="984" t="str">
        <f t="shared" si="34"/>
        <v>Rev</v>
      </c>
      <c r="CB113" s="985" t="str">
        <f t="shared" si="35"/>
        <v>Water</v>
      </c>
      <c r="CC113" s="985" t="str">
        <f t="shared" si="36"/>
        <v>Variable</v>
      </c>
      <c r="CD113" s="990" t="str">
        <f t="shared" si="66"/>
        <v>-</v>
      </c>
      <c r="CE113" s="987" t="str">
        <f t="shared" si="59"/>
        <v>-</v>
      </c>
      <c r="CF113" s="987" t="str">
        <f t="shared" si="60"/>
        <v>-</v>
      </c>
      <c r="CG113" s="988" t="str">
        <f t="shared" si="61"/>
        <v>-</v>
      </c>
      <c r="CH113" s="987" t="str">
        <f t="shared" si="67"/>
        <v>-</v>
      </c>
      <c r="CI113" s="987" t="str">
        <f t="shared" si="62"/>
        <v>-</v>
      </c>
      <c r="CJ113" s="987" t="str">
        <f t="shared" si="63"/>
        <v>-</v>
      </c>
      <c r="CK113" s="989" t="str">
        <f t="shared" si="64"/>
        <v>-</v>
      </c>
    </row>
    <row r="114" spans="4:89">
      <c r="D114" s="63">
        <f>D111+1</f>
        <v>16</v>
      </c>
      <c r="E114" s="550" t="s">
        <v>857</v>
      </c>
      <c r="F114" s="595" t="s">
        <v>401</v>
      </c>
      <c r="G114" s="595" t="s">
        <v>103</v>
      </c>
      <c r="H114" s="595" t="s">
        <v>886</v>
      </c>
      <c r="I114" s="589" t="s">
        <v>843</v>
      </c>
      <c r="J114" s="589" t="s">
        <v>879</v>
      </c>
      <c r="K114" s="551"/>
      <c r="L114" s="552"/>
      <c r="M114" s="552"/>
      <c r="N114" s="551"/>
      <c r="O114" s="552"/>
      <c r="P114" s="552"/>
      <c r="Q114" s="552"/>
      <c r="R114" s="1035"/>
      <c r="S114" s="1138"/>
      <c r="T114" s="591"/>
      <c r="U114" s="1035"/>
      <c r="V114" s="1138"/>
      <c r="W114" s="591"/>
      <c r="X114" s="591"/>
      <c r="Y114" s="591"/>
      <c r="Z114" s="1035"/>
      <c r="AA114" s="1138"/>
      <c r="AB114" s="591"/>
      <c r="AC114" s="591"/>
      <c r="AD114" s="591"/>
      <c r="AE114" s="1035"/>
      <c r="AF114" s="1138"/>
      <c r="AG114" s="591"/>
      <c r="AH114" s="591"/>
      <c r="AI114" s="591"/>
      <c r="AJ114" s="1035"/>
      <c r="AK114" s="569"/>
      <c r="AL114" s="569"/>
      <c r="AM114" s="974"/>
      <c r="AN114" s="857"/>
      <c r="AO114" s="975" t="str">
        <f t="shared" si="37"/>
        <v>Price</v>
      </c>
      <c r="AP114" s="976" t="str">
        <f t="shared" si="38"/>
        <v>Water</v>
      </c>
      <c r="AQ114" s="977" t="str">
        <f t="shared" si="39"/>
        <v>Variable</v>
      </c>
      <c r="AR114" s="1341" t="str">
        <f t="shared" si="40"/>
        <v>-</v>
      </c>
      <c r="AS114" s="978" t="str">
        <f t="shared" si="41"/>
        <v>-</v>
      </c>
      <c r="AT114" s="979" t="str">
        <f t="shared" si="42"/>
        <v>-</v>
      </c>
      <c r="AU114" s="979" t="str">
        <f t="shared" si="43"/>
        <v>-</v>
      </c>
      <c r="AV114" s="1352" t="str">
        <f t="shared" si="44"/>
        <v>-</v>
      </c>
      <c r="AW114" s="1345" t="str">
        <f t="shared" si="45"/>
        <v>-</v>
      </c>
      <c r="AX114" s="979" t="str">
        <f t="shared" si="46"/>
        <v>-</v>
      </c>
      <c r="AY114" s="979" t="str">
        <f t="shared" si="47"/>
        <v>-</v>
      </c>
      <c r="AZ114" s="979" t="str">
        <f t="shared" si="48"/>
        <v>-</v>
      </c>
      <c r="BA114" s="980" t="str">
        <f t="shared" si="49"/>
        <v>-</v>
      </c>
      <c r="BB114" s="1345" t="str">
        <f t="shared" si="50"/>
        <v>-</v>
      </c>
      <c r="BC114" s="979" t="str">
        <f t="shared" si="51"/>
        <v>-</v>
      </c>
      <c r="BD114" s="979" t="str">
        <f t="shared" si="52"/>
        <v>-</v>
      </c>
      <c r="BE114" s="979" t="str">
        <f t="shared" si="53"/>
        <v>-</v>
      </c>
      <c r="BF114" s="981" t="str">
        <f t="shared" si="54"/>
        <v>-</v>
      </c>
      <c r="BG114" s="951"/>
      <c r="BH114" s="1547" t="str">
        <f t="shared" si="55"/>
        <v>Price</v>
      </c>
      <c r="BI114" s="1548" t="str">
        <f t="shared" si="56"/>
        <v>Water</v>
      </c>
      <c r="BJ114" s="1549" t="str">
        <f t="shared" si="57"/>
        <v>Variable</v>
      </c>
      <c r="BK114" s="978" t="str">
        <f t="shared" ref="BK114:BU114" si="126">IF(V114="","-",IFERROR((V114/U114-1)*(U116/U$13),"-"))</f>
        <v>-</v>
      </c>
      <c r="BL114" s="978" t="str">
        <f t="shared" si="126"/>
        <v>-</v>
      </c>
      <c r="BM114" s="979" t="str">
        <f t="shared" si="126"/>
        <v>-</v>
      </c>
      <c r="BN114" s="979" t="str">
        <f t="shared" si="126"/>
        <v>-</v>
      </c>
      <c r="BO114" s="1352" t="str">
        <f t="shared" si="126"/>
        <v>-</v>
      </c>
      <c r="BP114" s="1345" t="str">
        <f t="shared" si="126"/>
        <v>-</v>
      </c>
      <c r="BQ114" s="979" t="str">
        <f t="shared" si="126"/>
        <v>-</v>
      </c>
      <c r="BR114" s="979" t="str">
        <f t="shared" si="126"/>
        <v>-</v>
      </c>
      <c r="BS114" s="979" t="str">
        <f t="shared" si="126"/>
        <v>-</v>
      </c>
      <c r="BT114" s="980" t="str">
        <f t="shared" si="126"/>
        <v>-</v>
      </c>
      <c r="BU114" s="979" t="str">
        <f t="shared" si="126"/>
        <v>-</v>
      </c>
      <c r="BV114" s="979" t="str">
        <f>IF(AG114="","-",IFERROR((AG114/AF114-1)*(AF116/AF$13),"-"))</f>
        <v>-</v>
      </c>
      <c r="BW114" s="979" t="str">
        <f>IF(AH114="","-",IFERROR((AH114/AG114-1)*(AG116/AG$13),"-"))</f>
        <v>-</v>
      </c>
      <c r="BX114" s="979" t="str">
        <f>IF(AI114="","-",IFERROR((AI114/AH114-1)*(AH116/AH$13),"-"))</f>
        <v>-</v>
      </c>
      <c r="BY114" s="981" t="str">
        <f>IF(AJ114="","-",IFERROR((AJ114/AI114-1)*(AI116/AI$13),"-"))</f>
        <v>-</v>
      </c>
      <c r="BZ114" s="951"/>
      <c r="CA114" s="975" t="str">
        <f t="shared" si="34"/>
        <v>Price</v>
      </c>
      <c r="CB114" s="976" t="str">
        <f t="shared" si="35"/>
        <v>Water</v>
      </c>
      <c r="CC114" s="982" t="str">
        <f t="shared" si="36"/>
        <v>Variable</v>
      </c>
      <c r="CD114" s="983" t="str">
        <f t="shared" si="66"/>
        <v>-</v>
      </c>
      <c r="CE114" s="979" t="str">
        <f t="shared" si="59"/>
        <v>-</v>
      </c>
      <c r="CF114" s="979" t="str">
        <f t="shared" si="60"/>
        <v>-</v>
      </c>
      <c r="CG114" s="980" t="str">
        <f t="shared" si="61"/>
        <v>-</v>
      </c>
      <c r="CH114" s="979" t="str">
        <f t="shared" si="67"/>
        <v>-</v>
      </c>
      <c r="CI114" s="979" t="str">
        <f t="shared" si="62"/>
        <v>-</v>
      </c>
      <c r="CJ114" s="979" t="str">
        <f t="shared" si="63"/>
        <v>-</v>
      </c>
      <c r="CK114" s="981" t="str">
        <f t="shared" si="64"/>
        <v>-</v>
      </c>
    </row>
    <row r="115" spans="4:89">
      <c r="E115" s="567" t="s">
        <v>880</v>
      </c>
      <c r="F115" s="554" t="str">
        <f>+F114</f>
        <v>Water</v>
      </c>
      <c r="G115" s="555" t="str">
        <f>+G114</f>
        <v>YVW</v>
      </c>
      <c r="H115" s="555" t="str">
        <f>+H114</f>
        <v>Transfer</v>
      </c>
      <c r="I115" s="556" t="str">
        <f>+I114</f>
        <v>Variable</v>
      </c>
      <c r="J115" s="590" t="s">
        <v>887</v>
      </c>
      <c r="K115" s="557"/>
      <c r="L115" s="558"/>
      <c r="M115" s="558"/>
      <c r="N115" s="557"/>
      <c r="O115" s="558"/>
      <c r="P115" s="558"/>
      <c r="Q115" s="558"/>
      <c r="R115" s="1036"/>
      <c r="S115" s="1139"/>
      <c r="T115" s="593"/>
      <c r="U115" s="1036"/>
      <c r="V115" s="1139"/>
      <c r="W115" s="593"/>
      <c r="X115" s="593"/>
      <c r="Y115" s="593"/>
      <c r="Z115" s="1036"/>
      <c r="AA115" s="1139"/>
      <c r="AB115" s="593"/>
      <c r="AC115" s="593"/>
      <c r="AD115" s="593"/>
      <c r="AE115" s="1036"/>
      <c r="AF115" s="1139"/>
      <c r="AG115" s="593"/>
      <c r="AH115" s="593"/>
      <c r="AI115" s="593"/>
      <c r="AJ115" s="1036"/>
      <c r="AK115" s="569"/>
      <c r="AL115" s="569"/>
      <c r="AN115" s="857"/>
      <c r="AO115" s="961" t="str">
        <f t="shared" si="37"/>
        <v>Qty</v>
      </c>
      <c r="AP115" s="962" t="str">
        <f t="shared" si="38"/>
        <v>Water</v>
      </c>
      <c r="AQ115" s="963" t="str">
        <f t="shared" si="39"/>
        <v>Variable</v>
      </c>
      <c r="AR115" s="967" t="str">
        <f t="shared" si="40"/>
        <v>-</v>
      </c>
      <c r="AS115" s="964" t="str">
        <f t="shared" si="41"/>
        <v>-</v>
      </c>
      <c r="AT115" s="964" t="str">
        <f t="shared" si="42"/>
        <v>-</v>
      </c>
      <c r="AU115" s="964" t="str">
        <f t="shared" si="43"/>
        <v>-</v>
      </c>
      <c r="AV115" s="1350" t="str">
        <f t="shared" si="44"/>
        <v>-</v>
      </c>
      <c r="AW115" s="1343" t="str">
        <f t="shared" si="45"/>
        <v>-</v>
      </c>
      <c r="AX115" s="964" t="str">
        <f t="shared" si="46"/>
        <v>-</v>
      </c>
      <c r="AY115" s="964" t="str">
        <f t="shared" si="47"/>
        <v>-</v>
      </c>
      <c r="AZ115" s="964" t="str">
        <f t="shared" si="48"/>
        <v>-</v>
      </c>
      <c r="BA115" s="965" t="str">
        <f t="shared" si="49"/>
        <v>-</v>
      </c>
      <c r="BB115" s="1343" t="str">
        <f t="shared" si="50"/>
        <v>-</v>
      </c>
      <c r="BC115" s="964" t="str">
        <f t="shared" si="51"/>
        <v>-</v>
      </c>
      <c r="BD115" s="964" t="str">
        <f t="shared" si="52"/>
        <v>-</v>
      </c>
      <c r="BE115" s="964" t="str">
        <f t="shared" si="53"/>
        <v>-</v>
      </c>
      <c r="BF115" s="966" t="str">
        <f t="shared" si="54"/>
        <v>-</v>
      </c>
      <c r="BG115" s="951"/>
      <c r="BH115" s="1541" t="str">
        <f t="shared" si="55"/>
        <v>Qty</v>
      </c>
      <c r="BI115" s="1542" t="str">
        <f t="shared" si="56"/>
        <v>Water</v>
      </c>
      <c r="BJ115" s="1543" t="str">
        <f t="shared" si="57"/>
        <v>Variable</v>
      </c>
      <c r="BK115" s="964" t="str">
        <f t="shared" ref="BK115:BU115" si="127">IF(V115="","-",IFERROR((V115/U115-1)*(U116/U$13),"-"))</f>
        <v>-</v>
      </c>
      <c r="BL115" s="964" t="str">
        <f t="shared" si="127"/>
        <v>-</v>
      </c>
      <c r="BM115" s="964" t="str">
        <f t="shared" si="127"/>
        <v>-</v>
      </c>
      <c r="BN115" s="964" t="str">
        <f t="shared" si="127"/>
        <v>-</v>
      </c>
      <c r="BO115" s="1350" t="str">
        <f t="shared" si="127"/>
        <v>-</v>
      </c>
      <c r="BP115" s="1343" t="str">
        <f t="shared" si="127"/>
        <v>-</v>
      </c>
      <c r="BQ115" s="964" t="str">
        <f t="shared" si="127"/>
        <v>-</v>
      </c>
      <c r="BR115" s="964" t="str">
        <f t="shared" si="127"/>
        <v>-</v>
      </c>
      <c r="BS115" s="964" t="str">
        <f t="shared" si="127"/>
        <v>-</v>
      </c>
      <c r="BT115" s="965" t="str">
        <f t="shared" si="127"/>
        <v>-</v>
      </c>
      <c r="BU115" s="964" t="str">
        <f t="shared" si="127"/>
        <v>-</v>
      </c>
      <c r="BV115" s="964" t="str">
        <f>IF(AG115="","-",IFERROR((AG115/AF115-1)*(AF116/AF$13),"-"))</f>
        <v>-</v>
      </c>
      <c r="BW115" s="964" t="str">
        <f>IF(AH115="","-",IFERROR((AH115/AG115-1)*(AG116/AG$13),"-"))</f>
        <v>-</v>
      </c>
      <c r="BX115" s="964" t="str">
        <f>IF(AI115="","-",IFERROR((AI115/AH115-1)*(AH116/AH$13),"-"))</f>
        <v>-</v>
      </c>
      <c r="BY115" s="966" t="str">
        <f>IF(AJ115="","-",IFERROR((AJ115/AI115-1)*(AI116/AI$13),"-"))</f>
        <v>-</v>
      </c>
      <c r="BZ115" s="951"/>
      <c r="CA115" s="961" t="str">
        <f t="shared" si="34"/>
        <v>Qty</v>
      </c>
      <c r="CB115" s="962" t="str">
        <f t="shared" si="35"/>
        <v>Water</v>
      </c>
      <c r="CC115" s="962" t="str">
        <f t="shared" si="36"/>
        <v>Variable</v>
      </c>
      <c r="CD115" s="967" t="str">
        <f t="shared" si="66"/>
        <v>-</v>
      </c>
      <c r="CE115" s="964" t="str">
        <f t="shared" si="59"/>
        <v>-</v>
      </c>
      <c r="CF115" s="964" t="str">
        <f t="shared" si="60"/>
        <v>-</v>
      </c>
      <c r="CG115" s="965" t="str">
        <f t="shared" si="61"/>
        <v>-</v>
      </c>
      <c r="CH115" s="964" t="str">
        <f t="shared" si="67"/>
        <v>-</v>
      </c>
      <c r="CI115" s="964" t="str">
        <f t="shared" si="62"/>
        <v>-</v>
      </c>
      <c r="CJ115" s="964" t="str">
        <f t="shared" si="63"/>
        <v>-</v>
      </c>
      <c r="CK115" s="966" t="str">
        <f t="shared" si="64"/>
        <v>-</v>
      </c>
    </row>
    <row r="116" spans="4:89" ht="12.75" thickBot="1">
      <c r="E116" s="568" t="s">
        <v>882</v>
      </c>
      <c r="F116" s="560" t="str">
        <f>+F114</f>
        <v>Water</v>
      </c>
      <c r="G116" s="561" t="str">
        <f>+G114</f>
        <v>YVW</v>
      </c>
      <c r="H116" s="561" t="str">
        <f>+H114</f>
        <v>Transfer</v>
      </c>
      <c r="I116" s="562" t="str">
        <f>+I114</f>
        <v>Variable</v>
      </c>
      <c r="J116" s="563" t="s">
        <v>883</v>
      </c>
      <c r="K116" s="564">
        <f t="shared" ref="K116:AJ116" si="128">K114*K115/10^6</f>
        <v>0</v>
      </c>
      <c r="L116" s="565">
        <f t="shared" si="128"/>
        <v>0</v>
      </c>
      <c r="M116" s="565">
        <f t="shared" si="128"/>
        <v>0</v>
      </c>
      <c r="N116" s="564">
        <f t="shared" si="128"/>
        <v>0</v>
      </c>
      <c r="O116" s="565">
        <f t="shared" si="128"/>
        <v>0</v>
      </c>
      <c r="P116" s="565">
        <f t="shared" si="128"/>
        <v>0</v>
      </c>
      <c r="Q116" s="565">
        <f t="shared" si="128"/>
        <v>0</v>
      </c>
      <c r="R116" s="566">
        <f t="shared" si="128"/>
        <v>0</v>
      </c>
      <c r="S116" s="564">
        <f t="shared" si="128"/>
        <v>0</v>
      </c>
      <c r="T116" s="565">
        <f t="shared" si="128"/>
        <v>0</v>
      </c>
      <c r="U116" s="566">
        <f t="shared" si="128"/>
        <v>0</v>
      </c>
      <c r="V116" s="564">
        <f t="shared" si="128"/>
        <v>0</v>
      </c>
      <c r="W116" s="565">
        <f t="shared" si="128"/>
        <v>0</v>
      </c>
      <c r="X116" s="565">
        <f t="shared" si="128"/>
        <v>0</v>
      </c>
      <c r="Y116" s="565">
        <f t="shared" si="128"/>
        <v>0</v>
      </c>
      <c r="Z116" s="566">
        <f t="shared" si="128"/>
        <v>0</v>
      </c>
      <c r="AA116" s="564">
        <f t="shared" si="128"/>
        <v>0</v>
      </c>
      <c r="AB116" s="565">
        <f t="shared" si="128"/>
        <v>0</v>
      </c>
      <c r="AC116" s="565">
        <f t="shared" si="128"/>
        <v>0</v>
      </c>
      <c r="AD116" s="565">
        <f t="shared" si="128"/>
        <v>0</v>
      </c>
      <c r="AE116" s="566">
        <f t="shared" si="128"/>
        <v>0</v>
      </c>
      <c r="AF116" s="564">
        <f t="shared" si="128"/>
        <v>0</v>
      </c>
      <c r="AG116" s="565">
        <f t="shared" si="128"/>
        <v>0</v>
      </c>
      <c r="AH116" s="565">
        <f t="shared" si="128"/>
        <v>0</v>
      </c>
      <c r="AI116" s="565">
        <f t="shared" si="128"/>
        <v>0</v>
      </c>
      <c r="AJ116" s="566">
        <f t="shared" si="128"/>
        <v>0</v>
      </c>
      <c r="AK116" s="569"/>
      <c r="AL116" s="569"/>
      <c r="AN116" s="857"/>
      <c r="AO116" s="984" t="str">
        <f t="shared" si="37"/>
        <v>Rev</v>
      </c>
      <c r="AP116" s="985" t="str">
        <f t="shared" si="38"/>
        <v>Water</v>
      </c>
      <c r="AQ116" s="986" t="str">
        <f t="shared" si="39"/>
        <v>Variable</v>
      </c>
      <c r="AR116" s="990" t="str">
        <f t="shared" si="40"/>
        <v>-</v>
      </c>
      <c r="AS116" s="987" t="str">
        <f t="shared" si="41"/>
        <v>-</v>
      </c>
      <c r="AT116" s="987" t="str">
        <f t="shared" si="42"/>
        <v>-</v>
      </c>
      <c r="AU116" s="987" t="str">
        <f t="shared" si="43"/>
        <v>-</v>
      </c>
      <c r="AV116" s="1353" t="str">
        <f t="shared" si="44"/>
        <v>-</v>
      </c>
      <c r="AW116" s="1346" t="str">
        <f t="shared" si="45"/>
        <v>-</v>
      </c>
      <c r="AX116" s="987" t="str">
        <f t="shared" si="46"/>
        <v>-</v>
      </c>
      <c r="AY116" s="987" t="str">
        <f t="shared" si="47"/>
        <v>-</v>
      </c>
      <c r="AZ116" s="987" t="str">
        <f t="shared" si="48"/>
        <v>-</v>
      </c>
      <c r="BA116" s="988" t="str">
        <f t="shared" si="49"/>
        <v>-</v>
      </c>
      <c r="BB116" s="1346" t="str">
        <f t="shared" si="50"/>
        <v>-</v>
      </c>
      <c r="BC116" s="987" t="str">
        <f t="shared" si="51"/>
        <v>-</v>
      </c>
      <c r="BD116" s="987" t="str">
        <f t="shared" si="52"/>
        <v>-</v>
      </c>
      <c r="BE116" s="987" t="str">
        <f t="shared" si="53"/>
        <v>-</v>
      </c>
      <c r="BF116" s="989" t="str">
        <f t="shared" si="54"/>
        <v>-</v>
      </c>
      <c r="BG116" s="951"/>
      <c r="BH116" s="1550" t="str">
        <f t="shared" si="55"/>
        <v>Rev</v>
      </c>
      <c r="BI116" s="1551" t="str">
        <f t="shared" si="56"/>
        <v>Water</v>
      </c>
      <c r="BJ116" s="1552" t="str">
        <f t="shared" si="57"/>
        <v>Variable</v>
      </c>
      <c r="BK116" s="987" t="str">
        <f t="shared" ref="BK116:BU116" si="129">IF(V116="","-",IFERROR((V116/U116-1)*(U116/U$13),"-"))</f>
        <v>-</v>
      </c>
      <c r="BL116" s="987" t="str">
        <f t="shared" si="129"/>
        <v>-</v>
      </c>
      <c r="BM116" s="987" t="str">
        <f t="shared" si="129"/>
        <v>-</v>
      </c>
      <c r="BN116" s="987" t="str">
        <f t="shared" si="129"/>
        <v>-</v>
      </c>
      <c r="BO116" s="1353" t="str">
        <f t="shared" si="129"/>
        <v>-</v>
      </c>
      <c r="BP116" s="1346" t="str">
        <f t="shared" si="129"/>
        <v>-</v>
      </c>
      <c r="BQ116" s="987" t="str">
        <f t="shared" si="129"/>
        <v>-</v>
      </c>
      <c r="BR116" s="987" t="str">
        <f t="shared" si="129"/>
        <v>-</v>
      </c>
      <c r="BS116" s="987" t="str">
        <f t="shared" si="129"/>
        <v>-</v>
      </c>
      <c r="BT116" s="988" t="str">
        <f t="shared" si="129"/>
        <v>-</v>
      </c>
      <c r="BU116" s="987" t="str">
        <f t="shared" si="129"/>
        <v>-</v>
      </c>
      <c r="BV116" s="987" t="str">
        <f>IF(AG116="","-",IFERROR((AG116/AF116-1)*(AF116/AF$13),"-"))</f>
        <v>-</v>
      </c>
      <c r="BW116" s="987" t="str">
        <f>IF(AH116="","-",IFERROR((AH116/AG116-1)*(AG116/AG$13),"-"))</f>
        <v>-</v>
      </c>
      <c r="BX116" s="987" t="str">
        <f>IF(AI116="","-",IFERROR((AI116/AH116-1)*(AH116/AH$13),"-"))</f>
        <v>-</v>
      </c>
      <c r="BY116" s="989" t="str">
        <f>IF(AJ116="","-",IFERROR((AJ116/AI116-1)*(AI116/AI$13),"-"))</f>
        <v>-</v>
      </c>
      <c r="BZ116" s="951"/>
      <c r="CA116" s="984" t="str">
        <f t="shared" si="34"/>
        <v>Rev</v>
      </c>
      <c r="CB116" s="985" t="str">
        <f t="shared" si="35"/>
        <v>Water</v>
      </c>
      <c r="CC116" s="985" t="str">
        <f t="shared" si="36"/>
        <v>Variable</v>
      </c>
      <c r="CD116" s="990" t="str">
        <f t="shared" si="66"/>
        <v>-</v>
      </c>
      <c r="CE116" s="987" t="str">
        <f t="shared" si="59"/>
        <v>-</v>
      </c>
      <c r="CF116" s="987" t="str">
        <f t="shared" si="60"/>
        <v>-</v>
      </c>
      <c r="CG116" s="988" t="str">
        <f t="shared" si="61"/>
        <v>-</v>
      </c>
      <c r="CH116" s="987" t="str">
        <f t="shared" si="67"/>
        <v>-</v>
      </c>
      <c r="CI116" s="987" t="str">
        <f t="shared" si="62"/>
        <v>-</v>
      </c>
      <c r="CJ116" s="987" t="str">
        <f t="shared" si="63"/>
        <v>-</v>
      </c>
      <c r="CK116" s="989" t="str">
        <f t="shared" si="64"/>
        <v>-</v>
      </c>
    </row>
    <row r="117" spans="4:89">
      <c r="D117" s="63">
        <f>D114+1</f>
        <v>17</v>
      </c>
      <c r="E117" s="550" t="s">
        <v>857</v>
      </c>
      <c r="F117" s="595" t="s">
        <v>401</v>
      </c>
      <c r="G117" s="595" t="s">
        <v>99</v>
      </c>
      <c r="H117" s="595" t="s">
        <v>886</v>
      </c>
      <c r="I117" s="589" t="s">
        <v>843</v>
      </c>
      <c r="J117" s="589" t="s">
        <v>879</v>
      </c>
      <c r="K117" s="551"/>
      <c r="L117" s="552"/>
      <c r="M117" s="552"/>
      <c r="N117" s="551"/>
      <c r="O117" s="552"/>
      <c r="P117" s="552"/>
      <c r="Q117" s="552"/>
      <c r="R117" s="1035"/>
      <c r="S117" s="1138"/>
      <c r="T117" s="591"/>
      <c r="U117" s="1035"/>
      <c r="V117" s="1138"/>
      <c r="W117" s="591"/>
      <c r="X117" s="591"/>
      <c r="Y117" s="591"/>
      <c r="Z117" s="1035"/>
      <c r="AA117" s="1138"/>
      <c r="AB117" s="591"/>
      <c r="AC117" s="591"/>
      <c r="AD117" s="591"/>
      <c r="AE117" s="1035"/>
      <c r="AF117" s="1138"/>
      <c r="AG117" s="591"/>
      <c r="AH117" s="591"/>
      <c r="AI117" s="591"/>
      <c r="AJ117" s="1035"/>
      <c r="AK117" s="569"/>
      <c r="AL117" s="569"/>
      <c r="AM117" s="974"/>
      <c r="AN117" s="857"/>
      <c r="AO117" s="975" t="str">
        <f t="shared" si="37"/>
        <v>Price</v>
      </c>
      <c r="AP117" s="976" t="str">
        <f t="shared" si="38"/>
        <v>Water</v>
      </c>
      <c r="AQ117" s="977" t="str">
        <f t="shared" si="39"/>
        <v>Variable</v>
      </c>
      <c r="AR117" s="1341" t="str">
        <f t="shared" si="40"/>
        <v>-</v>
      </c>
      <c r="AS117" s="978" t="str">
        <f t="shared" si="41"/>
        <v>-</v>
      </c>
      <c r="AT117" s="979" t="str">
        <f t="shared" si="42"/>
        <v>-</v>
      </c>
      <c r="AU117" s="979" t="str">
        <f t="shared" si="43"/>
        <v>-</v>
      </c>
      <c r="AV117" s="1352" t="str">
        <f t="shared" si="44"/>
        <v>-</v>
      </c>
      <c r="AW117" s="1345" t="str">
        <f t="shared" si="45"/>
        <v>-</v>
      </c>
      <c r="AX117" s="979" t="str">
        <f t="shared" si="46"/>
        <v>-</v>
      </c>
      <c r="AY117" s="979" t="str">
        <f t="shared" si="47"/>
        <v>-</v>
      </c>
      <c r="AZ117" s="979" t="str">
        <f t="shared" si="48"/>
        <v>-</v>
      </c>
      <c r="BA117" s="980" t="str">
        <f t="shared" si="49"/>
        <v>-</v>
      </c>
      <c r="BB117" s="1345" t="str">
        <f t="shared" si="50"/>
        <v>-</v>
      </c>
      <c r="BC117" s="979" t="str">
        <f t="shared" si="51"/>
        <v>-</v>
      </c>
      <c r="BD117" s="979" t="str">
        <f t="shared" si="52"/>
        <v>-</v>
      </c>
      <c r="BE117" s="979" t="str">
        <f t="shared" si="53"/>
        <v>-</v>
      </c>
      <c r="BF117" s="981" t="str">
        <f t="shared" si="54"/>
        <v>-</v>
      </c>
      <c r="BG117" s="951"/>
      <c r="BH117" s="1547" t="str">
        <f t="shared" si="55"/>
        <v>Price</v>
      </c>
      <c r="BI117" s="1548" t="str">
        <f t="shared" si="56"/>
        <v>Water</v>
      </c>
      <c r="BJ117" s="1549" t="str">
        <f t="shared" si="57"/>
        <v>Variable</v>
      </c>
      <c r="BK117" s="978" t="str">
        <f t="shared" ref="BK117:BU117" si="130">IF(V117="","-",IFERROR((V117/U117-1)*(U119/U$13),"-"))</f>
        <v>-</v>
      </c>
      <c r="BL117" s="978" t="str">
        <f t="shared" si="130"/>
        <v>-</v>
      </c>
      <c r="BM117" s="979" t="str">
        <f t="shared" si="130"/>
        <v>-</v>
      </c>
      <c r="BN117" s="979" t="str">
        <f t="shared" si="130"/>
        <v>-</v>
      </c>
      <c r="BO117" s="1352" t="str">
        <f t="shared" si="130"/>
        <v>-</v>
      </c>
      <c r="BP117" s="1345" t="str">
        <f t="shared" si="130"/>
        <v>-</v>
      </c>
      <c r="BQ117" s="979" t="str">
        <f t="shared" si="130"/>
        <v>-</v>
      </c>
      <c r="BR117" s="979" t="str">
        <f t="shared" si="130"/>
        <v>-</v>
      </c>
      <c r="BS117" s="979" t="str">
        <f t="shared" si="130"/>
        <v>-</v>
      </c>
      <c r="BT117" s="980" t="str">
        <f t="shared" si="130"/>
        <v>-</v>
      </c>
      <c r="BU117" s="979" t="str">
        <f t="shared" si="130"/>
        <v>-</v>
      </c>
      <c r="BV117" s="979" t="str">
        <f>IF(AG117="","-",IFERROR((AG117/AF117-1)*(AF119/AF$13),"-"))</f>
        <v>-</v>
      </c>
      <c r="BW117" s="979" t="str">
        <f>IF(AH117="","-",IFERROR((AH117/AG117-1)*(AG119/AG$13),"-"))</f>
        <v>-</v>
      </c>
      <c r="BX117" s="979" t="str">
        <f>IF(AI117="","-",IFERROR((AI117/AH117-1)*(AH119/AH$13),"-"))</f>
        <v>-</v>
      </c>
      <c r="BY117" s="981" t="str">
        <f>IF(AJ117="","-",IFERROR((AJ117/AI117-1)*(AI119/AI$13),"-"))</f>
        <v>-</v>
      </c>
      <c r="BZ117" s="951"/>
      <c r="CA117" s="975" t="str">
        <f t="shared" si="34"/>
        <v>Price</v>
      </c>
      <c r="CB117" s="976" t="str">
        <f t="shared" si="35"/>
        <v>Water</v>
      </c>
      <c r="CC117" s="982" t="str">
        <f t="shared" si="36"/>
        <v>Variable</v>
      </c>
      <c r="CD117" s="983" t="str">
        <f t="shared" si="66"/>
        <v>-</v>
      </c>
      <c r="CE117" s="979" t="str">
        <f t="shared" si="59"/>
        <v>-</v>
      </c>
      <c r="CF117" s="979" t="str">
        <f t="shared" si="60"/>
        <v>-</v>
      </c>
      <c r="CG117" s="980" t="str">
        <f t="shared" si="61"/>
        <v>-</v>
      </c>
      <c r="CH117" s="979" t="str">
        <f t="shared" si="67"/>
        <v>-</v>
      </c>
      <c r="CI117" s="979" t="str">
        <f t="shared" si="62"/>
        <v>-</v>
      </c>
      <c r="CJ117" s="979" t="str">
        <f t="shared" si="63"/>
        <v>-</v>
      </c>
      <c r="CK117" s="981" t="str">
        <f t="shared" si="64"/>
        <v>-</v>
      </c>
    </row>
    <row r="118" spans="4:89">
      <c r="E118" s="567" t="s">
        <v>880</v>
      </c>
      <c r="F118" s="554" t="str">
        <f>+F117</f>
        <v>Water</v>
      </c>
      <c r="G118" s="555" t="str">
        <f>+G117</f>
        <v>WW</v>
      </c>
      <c r="H118" s="555" t="str">
        <f>+H117</f>
        <v>Transfer</v>
      </c>
      <c r="I118" s="556" t="str">
        <f>+I117</f>
        <v>Variable</v>
      </c>
      <c r="J118" s="590" t="s">
        <v>887</v>
      </c>
      <c r="K118" s="557"/>
      <c r="L118" s="558"/>
      <c r="M118" s="558"/>
      <c r="N118" s="557"/>
      <c r="O118" s="558"/>
      <c r="P118" s="558"/>
      <c r="Q118" s="558"/>
      <c r="R118" s="1036"/>
      <c r="S118" s="1139"/>
      <c r="T118" s="593"/>
      <c r="U118" s="1036"/>
      <c r="V118" s="1139"/>
      <c r="W118" s="593"/>
      <c r="X118" s="593"/>
      <c r="Y118" s="593"/>
      <c r="Z118" s="1036"/>
      <c r="AA118" s="1139"/>
      <c r="AB118" s="593"/>
      <c r="AC118" s="593"/>
      <c r="AD118" s="593"/>
      <c r="AE118" s="1036"/>
      <c r="AF118" s="1139"/>
      <c r="AG118" s="593"/>
      <c r="AH118" s="593"/>
      <c r="AI118" s="593"/>
      <c r="AJ118" s="1036"/>
      <c r="AK118" s="569"/>
      <c r="AL118" s="569"/>
      <c r="AN118" s="857"/>
      <c r="AO118" s="961" t="str">
        <f t="shared" si="37"/>
        <v>Qty</v>
      </c>
      <c r="AP118" s="962" t="str">
        <f t="shared" si="38"/>
        <v>Water</v>
      </c>
      <c r="AQ118" s="963" t="str">
        <f t="shared" si="39"/>
        <v>Variable</v>
      </c>
      <c r="AR118" s="967" t="str">
        <f t="shared" si="40"/>
        <v>-</v>
      </c>
      <c r="AS118" s="964" t="str">
        <f t="shared" si="41"/>
        <v>-</v>
      </c>
      <c r="AT118" s="964" t="str">
        <f t="shared" si="42"/>
        <v>-</v>
      </c>
      <c r="AU118" s="964" t="str">
        <f t="shared" si="43"/>
        <v>-</v>
      </c>
      <c r="AV118" s="1350" t="str">
        <f t="shared" si="44"/>
        <v>-</v>
      </c>
      <c r="AW118" s="1343" t="str">
        <f t="shared" si="45"/>
        <v>-</v>
      </c>
      <c r="AX118" s="964" t="str">
        <f t="shared" si="46"/>
        <v>-</v>
      </c>
      <c r="AY118" s="964" t="str">
        <f t="shared" si="47"/>
        <v>-</v>
      </c>
      <c r="AZ118" s="964" t="str">
        <f t="shared" si="48"/>
        <v>-</v>
      </c>
      <c r="BA118" s="965" t="str">
        <f t="shared" si="49"/>
        <v>-</v>
      </c>
      <c r="BB118" s="1343" t="str">
        <f t="shared" si="50"/>
        <v>-</v>
      </c>
      <c r="BC118" s="964" t="str">
        <f t="shared" si="51"/>
        <v>-</v>
      </c>
      <c r="BD118" s="964" t="str">
        <f t="shared" si="52"/>
        <v>-</v>
      </c>
      <c r="BE118" s="964" t="str">
        <f t="shared" si="53"/>
        <v>-</v>
      </c>
      <c r="BF118" s="966" t="str">
        <f t="shared" si="54"/>
        <v>-</v>
      </c>
      <c r="BG118" s="951"/>
      <c r="BH118" s="1541" t="str">
        <f t="shared" si="55"/>
        <v>Qty</v>
      </c>
      <c r="BI118" s="1542" t="str">
        <f t="shared" si="56"/>
        <v>Water</v>
      </c>
      <c r="BJ118" s="1543" t="str">
        <f t="shared" si="57"/>
        <v>Variable</v>
      </c>
      <c r="BK118" s="964" t="str">
        <f t="shared" ref="BK118:BU118" si="131">IF(V118="","-",IFERROR((V118/U118-1)*(U119/U$13),"-"))</f>
        <v>-</v>
      </c>
      <c r="BL118" s="964" t="str">
        <f t="shared" si="131"/>
        <v>-</v>
      </c>
      <c r="BM118" s="964" t="str">
        <f t="shared" si="131"/>
        <v>-</v>
      </c>
      <c r="BN118" s="964" t="str">
        <f t="shared" si="131"/>
        <v>-</v>
      </c>
      <c r="BO118" s="1350" t="str">
        <f t="shared" si="131"/>
        <v>-</v>
      </c>
      <c r="BP118" s="1343" t="str">
        <f t="shared" si="131"/>
        <v>-</v>
      </c>
      <c r="BQ118" s="964" t="str">
        <f t="shared" si="131"/>
        <v>-</v>
      </c>
      <c r="BR118" s="964" t="str">
        <f t="shared" si="131"/>
        <v>-</v>
      </c>
      <c r="BS118" s="964" t="str">
        <f t="shared" si="131"/>
        <v>-</v>
      </c>
      <c r="BT118" s="965" t="str">
        <f t="shared" si="131"/>
        <v>-</v>
      </c>
      <c r="BU118" s="964" t="str">
        <f t="shared" si="131"/>
        <v>-</v>
      </c>
      <c r="BV118" s="964" t="str">
        <f>IF(AG118="","-",IFERROR((AG118/AF118-1)*(AF119/AF$13),"-"))</f>
        <v>-</v>
      </c>
      <c r="BW118" s="964" t="str">
        <f>IF(AH118="","-",IFERROR((AH118/AG118-1)*(AG119/AG$13),"-"))</f>
        <v>-</v>
      </c>
      <c r="BX118" s="964" t="str">
        <f>IF(AI118="","-",IFERROR((AI118/AH118-1)*(AH119/AH$13),"-"))</f>
        <v>-</v>
      </c>
      <c r="BY118" s="966" t="str">
        <f>IF(AJ118="","-",IFERROR((AJ118/AI118-1)*(AI119/AI$13),"-"))</f>
        <v>-</v>
      </c>
      <c r="BZ118" s="951"/>
      <c r="CA118" s="961" t="str">
        <f t="shared" si="34"/>
        <v>Qty</v>
      </c>
      <c r="CB118" s="962" t="str">
        <f t="shared" si="35"/>
        <v>Water</v>
      </c>
      <c r="CC118" s="962" t="str">
        <f t="shared" si="36"/>
        <v>Variable</v>
      </c>
      <c r="CD118" s="967" t="str">
        <f t="shared" si="66"/>
        <v>-</v>
      </c>
      <c r="CE118" s="964" t="str">
        <f t="shared" si="59"/>
        <v>-</v>
      </c>
      <c r="CF118" s="964" t="str">
        <f t="shared" si="60"/>
        <v>-</v>
      </c>
      <c r="CG118" s="965" t="str">
        <f t="shared" si="61"/>
        <v>-</v>
      </c>
      <c r="CH118" s="964" t="str">
        <f t="shared" si="67"/>
        <v>-</v>
      </c>
      <c r="CI118" s="964" t="str">
        <f t="shared" si="62"/>
        <v>-</v>
      </c>
      <c r="CJ118" s="964" t="str">
        <f t="shared" si="63"/>
        <v>-</v>
      </c>
      <c r="CK118" s="966" t="str">
        <f t="shared" si="64"/>
        <v>-</v>
      </c>
    </row>
    <row r="119" spans="4:89" ht="12.75" thickBot="1">
      <c r="E119" s="568" t="s">
        <v>882</v>
      </c>
      <c r="F119" s="560" t="str">
        <f>+F117</f>
        <v>Water</v>
      </c>
      <c r="G119" s="561" t="str">
        <f>+G117</f>
        <v>WW</v>
      </c>
      <c r="H119" s="561" t="str">
        <f>+H117</f>
        <v>Transfer</v>
      </c>
      <c r="I119" s="562" t="str">
        <f>+I117</f>
        <v>Variable</v>
      </c>
      <c r="J119" s="563" t="s">
        <v>883</v>
      </c>
      <c r="K119" s="564">
        <f t="shared" ref="K119:AJ119" si="132">K117*K118/10^6</f>
        <v>0</v>
      </c>
      <c r="L119" s="565">
        <f t="shared" si="132"/>
        <v>0</v>
      </c>
      <c r="M119" s="565">
        <f t="shared" si="132"/>
        <v>0</v>
      </c>
      <c r="N119" s="564">
        <f t="shared" si="132"/>
        <v>0</v>
      </c>
      <c r="O119" s="565">
        <f t="shared" si="132"/>
        <v>0</v>
      </c>
      <c r="P119" s="565">
        <f t="shared" si="132"/>
        <v>0</v>
      </c>
      <c r="Q119" s="565">
        <f t="shared" si="132"/>
        <v>0</v>
      </c>
      <c r="R119" s="566">
        <f t="shared" si="132"/>
        <v>0</v>
      </c>
      <c r="S119" s="564">
        <f t="shared" si="132"/>
        <v>0</v>
      </c>
      <c r="T119" s="565">
        <f t="shared" si="132"/>
        <v>0</v>
      </c>
      <c r="U119" s="566">
        <f t="shared" si="132"/>
        <v>0</v>
      </c>
      <c r="V119" s="564">
        <f t="shared" si="132"/>
        <v>0</v>
      </c>
      <c r="W119" s="565">
        <f t="shared" si="132"/>
        <v>0</v>
      </c>
      <c r="X119" s="565">
        <f t="shared" si="132"/>
        <v>0</v>
      </c>
      <c r="Y119" s="565">
        <f t="shared" si="132"/>
        <v>0</v>
      </c>
      <c r="Z119" s="566">
        <f t="shared" si="132"/>
        <v>0</v>
      </c>
      <c r="AA119" s="564">
        <f t="shared" si="132"/>
        <v>0</v>
      </c>
      <c r="AB119" s="565">
        <f t="shared" si="132"/>
        <v>0</v>
      </c>
      <c r="AC119" s="565">
        <f t="shared" si="132"/>
        <v>0</v>
      </c>
      <c r="AD119" s="565">
        <f t="shared" si="132"/>
        <v>0</v>
      </c>
      <c r="AE119" s="566">
        <f t="shared" si="132"/>
        <v>0</v>
      </c>
      <c r="AF119" s="564">
        <f t="shared" si="132"/>
        <v>0</v>
      </c>
      <c r="AG119" s="565">
        <f t="shared" si="132"/>
        <v>0</v>
      </c>
      <c r="AH119" s="565">
        <f t="shared" si="132"/>
        <v>0</v>
      </c>
      <c r="AI119" s="565">
        <f t="shared" si="132"/>
        <v>0</v>
      </c>
      <c r="AJ119" s="566">
        <f t="shared" si="132"/>
        <v>0</v>
      </c>
      <c r="AK119" s="569"/>
      <c r="AL119" s="569"/>
      <c r="AN119" s="857"/>
      <c r="AO119" s="984" t="str">
        <f t="shared" si="37"/>
        <v>Rev</v>
      </c>
      <c r="AP119" s="985" t="str">
        <f t="shared" si="38"/>
        <v>Water</v>
      </c>
      <c r="AQ119" s="986" t="str">
        <f t="shared" si="39"/>
        <v>Variable</v>
      </c>
      <c r="AR119" s="990" t="str">
        <f t="shared" si="40"/>
        <v>-</v>
      </c>
      <c r="AS119" s="987" t="str">
        <f t="shared" si="41"/>
        <v>-</v>
      </c>
      <c r="AT119" s="987" t="str">
        <f t="shared" si="42"/>
        <v>-</v>
      </c>
      <c r="AU119" s="987" t="str">
        <f t="shared" si="43"/>
        <v>-</v>
      </c>
      <c r="AV119" s="1353" t="str">
        <f t="shared" si="44"/>
        <v>-</v>
      </c>
      <c r="AW119" s="1346" t="str">
        <f t="shared" si="45"/>
        <v>-</v>
      </c>
      <c r="AX119" s="987" t="str">
        <f t="shared" si="46"/>
        <v>-</v>
      </c>
      <c r="AY119" s="987" t="str">
        <f t="shared" si="47"/>
        <v>-</v>
      </c>
      <c r="AZ119" s="987" t="str">
        <f t="shared" si="48"/>
        <v>-</v>
      </c>
      <c r="BA119" s="988" t="str">
        <f t="shared" si="49"/>
        <v>-</v>
      </c>
      <c r="BB119" s="1346" t="str">
        <f t="shared" si="50"/>
        <v>-</v>
      </c>
      <c r="BC119" s="987" t="str">
        <f t="shared" si="51"/>
        <v>-</v>
      </c>
      <c r="BD119" s="987" t="str">
        <f t="shared" si="52"/>
        <v>-</v>
      </c>
      <c r="BE119" s="987" t="str">
        <f t="shared" si="53"/>
        <v>-</v>
      </c>
      <c r="BF119" s="989" t="str">
        <f t="shared" si="54"/>
        <v>-</v>
      </c>
      <c r="BG119" s="951"/>
      <c r="BH119" s="1550" t="str">
        <f t="shared" si="55"/>
        <v>Rev</v>
      </c>
      <c r="BI119" s="1551" t="str">
        <f t="shared" si="56"/>
        <v>Water</v>
      </c>
      <c r="BJ119" s="1552" t="str">
        <f t="shared" si="57"/>
        <v>Variable</v>
      </c>
      <c r="BK119" s="987" t="str">
        <f t="shared" ref="BK119:BU119" si="133">IF(V119="","-",IFERROR((V119/U119-1)*(U119/U$13),"-"))</f>
        <v>-</v>
      </c>
      <c r="BL119" s="987" t="str">
        <f t="shared" si="133"/>
        <v>-</v>
      </c>
      <c r="BM119" s="987" t="str">
        <f t="shared" si="133"/>
        <v>-</v>
      </c>
      <c r="BN119" s="987" t="str">
        <f t="shared" si="133"/>
        <v>-</v>
      </c>
      <c r="BO119" s="1353" t="str">
        <f t="shared" si="133"/>
        <v>-</v>
      </c>
      <c r="BP119" s="1346" t="str">
        <f t="shared" si="133"/>
        <v>-</v>
      </c>
      <c r="BQ119" s="987" t="str">
        <f t="shared" si="133"/>
        <v>-</v>
      </c>
      <c r="BR119" s="987" t="str">
        <f t="shared" si="133"/>
        <v>-</v>
      </c>
      <c r="BS119" s="987" t="str">
        <f t="shared" si="133"/>
        <v>-</v>
      </c>
      <c r="BT119" s="988" t="str">
        <f t="shared" si="133"/>
        <v>-</v>
      </c>
      <c r="BU119" s="987" t="str">
        <f t="shared" si="133"/>
        <v>-</v>
      </c>
      <c r="BV119" s="987" t="str">
        <f>IF(AG119="","-",IFERROR((AG119/AF119-1)*(AF119/AF$13),"-"))</f>
        <v>-</v>
      </c>
      <c r="BW119" s="987" t="str">
        <f>IF(AH119="","-",IFERROR((AH119/AG119-1)*(AG119/AG$13),"-"))</f>
        <v>-</v>
      </c>
      <c r="BX119" s="987" t="str">
        <f>IF(AI119="","-",IFERROR((AI119/AH119-1)*(AH119/AH$13),"-"))</f>
        <v>-</v>
      </c>
      <c r="BY119" s="989" t="str">
        <f>IF(AJ119="","-",IFERROR((AJ119/AI119-1)*(AI119/AI$13),"-"))</f>
        <v>-</v>
      </c>
      <c r="BZ119" s="951"/>
      <c r="CA119" s="984" t="str">
        <f t="shared" si="34"/>
        <v>Rev</v>
      </c>
      <c r="CB119" s="985" t="str">
        <f t="shared" si="35"/>
        <v>Water</v>
      </c>
      <c r="CC119" s="985" t="str">
        <f t="shared" si="36"/>
        <v>Variable</v>
      </c>
      <c r="CD119" s="990" t="str">
        <f t="shared" si="66"/>
        <v>-</v>
      </c>
      <c r="CE119" s="987" t="str">
        <f t="shared" si="59"/>
        <v>-</v>
      </c>
      <c r="CF119" s="987" t="str">
        <f t="shared" si="60"/>
        <v>-</v>
      </c>
      <c r="CG119" s="988" t="str">
        <f t="shared" si="61"/>
        <v>-</v>
      </c>
      <c r="CH119" s="987" t="str">
        <f t="shared" si="67"/>
        <v>-</v>
      </c>
      <c r="CI119" s="987" t="str">
        <f t="shared" si="62"/>
        <v>-</v>
      </c>
      <c r="CJ119" s="987" t="str">
        <f t="shared" si="63"/>
        <v>-</v>
      </c>
      <c r="CK119" s="989" t="str">
        <f t="shared" si="64"/>
        <v>-</v>
      </c>
    </row>
    <row r="120" spans="4:89">
      <c r="D120" s="63">
        <f>D117+1</f>
        <v>18</v>
      </c>
      <c r="E120" s="550" t="s">
        <v>857</v>
      </c>
      <c r="F120" s="595" t="s">
        <v>401</v>
      </c>
      <c r="G120" s="595" t="s">
        <v>61</v>
      </c>
      <c r="H120" s="595" t="s">
        <v>886</v>
      </c>
      <c r="I120" s="589" t="s">
        <v>843</v>
      </c>
      <c r="J120" s="589" t="s">
        <v>879</v>
      </c>
      <c r="K120" s="551"/>
      <c r="L120" s="552"/>
      <c r="M120" s="552"/>
      <c r="N120" s="551"/>
      <c r="O120" s="552"/>
      <c r="P120" s="552"/>
      <c r="Q120" s="552"/>
      <c r="R120" s="1035"/>
      <c r="S120" s="1138"/>
      <c r="T120" s="591"/>
      <c r="U120" s="1035"/>
      <c r="V120" s="1138"/>
      <c r="W120" s="591"/>
      <c r="X120" s="591"/>
      <c r="Y120" s="591"/>
      <c r="Z120" s="1035"/>
      <c r="AA120" s="1138"/>
      <c r="AB120" s="591"/>
      <c r="AC120" s="591"/>
      <c r="AD120" s="591"/>
      <c r="AE120" s="1035"/>
      <c r="AF120" s="1138"/>
      <c r="AG120" s="591"/>
      <c r="AH120" s="591"/>
      <c r="AI120" s="591"/>
      <c r="AJ120" s="1035"/>
      <c r="AK120" s="569"/>
      <c r="AL120" s="569"/>
      <c r="AM120" s="974"/>
      <c r="AN120" s="857"/>
      <c r="AO120" s="975" t="str">
        <f t="shared" si="37"/>
        <v>Price</v>
      </c>
      <c r="AP120" s="976" t="str">
        <f t="shared" si="38"/>
        <v>Water</v>
      </c>
      <c r="AQ120" s="977" t="str">
        <f t="shared" si="39"/>
        <v>Variable</v>
      </c>
      <c r="AR120" s="1341" t="str">
        <f t="shared" si="40"/>
        <v>-</v>
      </c>
      <c r="AS120" s="978" t="str">
        <f t="shared" si="41"/>
        <v>-</v>
      </c>
      <c r="AT120" s="979" t="str">
        <f t="shared" si="42"/>
        <v>-</v>
      </c>
      <c r="AU120" s="979" t="str">
        <f t="shared" si="43"/>
        <v>-</v>
      </c>
      <c r="AV120" s="1352" t="str">
        <f t="shared" si="44"/>
        <v>-</v>
      </c>
      <c r="AW120" s="1345" t="str">
        <f t="shared" si="45"/>
        <v>-</v>
      </c>
      <c r="AX120" s="979" t="str">
        <f t="shared" si="46"/>
        <v>-</v>
      </c>
      <c r="AY120" s="979" t="str">
        <f t="shared" si="47"/>
        <v>-</v>
      </c>
      <c r="AZ120" s="979" t="str">
        <f t="shared" si="48"/>
        <v>-</v>
      </c>
      <c r="BA120" s="980" t="str">
        <f t="shared" si="49"/>
        <v>-</v>
      </c>
      <c r="BB120" s="1345" t="str">
        <f t="shared" si="50"/>
        <v>-</v>
      </c>
      <c r="BC120" s="979" t="str">
        <f t="shared" si="51"/>
        <v>-</v>
      </c>
      <c r="BD120" s="979" t="str">
        <f t="shared" si="52"/>
        <v>-</v>
      </c>
      <c r="BE120" s="979" t="str">
        <f t="shared" si="53"/>
        <v>-</v>
      </c>
      <c r="BF120" s="981" t="str">
        <f t="shared" si="54"/>
        <v>-</v>
      </c>
      <c r="BG120" s="951"/>
      <c r="BH120" s="1547" t="str">
        <f t="shared" si="55"/>
        <v>Price</v>
      </c>
      <c r="BI120" s="1548" t="str">
        <f t="shared" si="56"/>
        <v>Water</v>
      </c>
      <c r="BJ120" s="1549" t="str">
        <f t="shared" si="57"/>
        <v>Variable</v>
      </c>
      <c r="BK120" s="978" t="str">
        <f t="shared" ref="BK120:BU120" si="134">IF(V120="","-",IFERROR((V120/U120-1)*(U122/U$13),"-"))</f>
        <v>-</v>
      </c>
      <c r="BL120" s="978" t="str">
        <f t="shared" si="134"/>
        <v>-</v>
      </c>
      <c r="BM120" s="979" t="str">
        <f t="shared" si="134"/>
        <v>-</v>
      </c>
      <c r="BN120" s="979" t="str">
        <f t="shared" si="134"/>
        <v>-</v>
      </c>
      <c r="BO120" s="1352" t="str">
        <f t="shared" si="134"/>
        <v>-</v>
      </c>
      <c r="BP120" s="1345" t="str">
        <f t="shared" si="134"/>
        <v>-</v>
      </c>
      <c r="BQ120" s="979" t="str">
        <f t="shared" si="134"/>
        <v>-</v>
      </c>
      <c r="BR120" s="979" t="str">
        <f t="shared" si="134"/>
        <v>-</v>
      </c>
      <c r="BS120" s="979" t="str">
        <f t="shared" si="134"/>
        <v>-</v>
      </c>
      <c r="BT120" s="980" t="str">
        <f t="shared" si="134"/>
        <v>-</v>
      </c>
      <c r="BU120" s="979" t="str">
        <f t="shared" si="134"/>
        <v>-</v>
      </c>
      <c r="BV120" s="979" t="str">
        <f>IF(AG120="","-",IFERROR((AG120/AF120-1)*(AF122/AF$13),"-"))</f>
        <v>-</v>
      </c>
      <c r="BW120" s="979" t="str">
        <f>IF(AH120="","-",IFERROR((AH120/AG120-1)*(AG122/AG$13),"-"))</f>
        <v>-</v>
      </c>
      <c r="BX120" s="979" t="str">
        <f>IF(AI120="","-",IFERROR((AI120/AH120-1)*(AH122/AH$13),"-"))</f>
        <v>-</v>
      </c>
      <c r="BY120" s="981" t="str">
        <f>IF(AJ120="","-",IFERROR((AJ120/AI120-1)*(AI122/AI$13),"-"))</f>
        <v>-</v>
      </c>
      <c r="BZ120" s="951"/>
      <c r="CA120" s="975" t="str">
        <f t="shared" si="34"/>
        <v>Price</v>
      </c>
      <c r="CB120" s="976" t="str">
        <f t="shared" si="35"/>
        <v>Water</v>
      </c>
      <c r="CC120" s="982" t="str">
        <f t="shared" si="36"/>
        <v>Variable</v>
      </c>
      <c r="CD120" s="983" t="str">
        <f t="shared" si="66"/>
        <v>-</v>
      </c>
      <c r="CE120" s="979" t="str">
        <f t="shared" si="59"/>
        <v>-</v>
      </c>
      <c r="CF120" s="979" t="str">
        <f t="shared" si="60"/>
        <v>-</v>
      </c>
      <c r="CG120" s="980" t="str">
        <f t="shared" si="61"/>
        <v>-</v>
      </c>
      <c r="CH120" s="979" t="str">
        <f t="shared" si="67"/>
        <v>-</v>
      </c>
      <c r="CI120" s="979" t="str">
        <f t="shared" si="62"/>
        <v>-</v>
      </c>
      <c r="CJ120" s="979" t="str">
        <f t="shared" si="63"/>
        <v>-</v>
      </c>
      <c r="CK120" s="981" t="str">
        <f t="shared" si="64"/>
        <v>-</v>
      </c>
    </row>
    <row r="121" spans="4:89">
      <c r="E121" s="567" t="s">
        <v>880</v>
      </c>
      <c r="F121" s="554" t="str">
        <f>+F120</f>
        <v>Water</v>
      </c>
      <c r="G121" s="555" t="str">
        <f>+G120</f>
        <v>BW</v>
      </c>
      <c r="H121" s="555" t="str">
        <f>+H120</f>
        <v>Transfer</v>
      </c>
      <c r="I121" s="556" t="str">
        <f>+I120</f>
        <v>Variable</v>
      </c>
      <c r="J121" s="590" t="s">
        <v>887</v>
      </c>
      <c r="K121" s="557"/>
      <c r="L121" s="558"/>
      <c r="M121" s="558"/>
      <c r="N121" s="557"/>
      <c r="O121" s="558"/>
      <c r="P121" s="558"/>
      <c r="Q121" s="558"/>
      <c r="R121" s="1036"/>
      <c r="S121" s="1139"/>
      <c r="T121" s="593"/>
      <c r="U121" s="1036"/>
      <c r="V121" s="1139"/>
      <c r="W121" s="593"/>
      <c r="X121" s="593"/>
      <c r="Y121" s="593"/>
      <c r="Z121" s="1036"/>
      <c r="AA121" s="1139"/>
      <c r="AB121" s="593"/>
      <c r="AC121" s="593"/>
      <c r="AD121" s="593"/>
      <c r="AE121" s="1036"/>
      <c r="AF121" s="1139"/>
      <c r="AG121" s="593"/>
      <c r="AH121" s="593"/>
      <c r="AI121" s="593"/>
      <c r="AJ121" s="1036"/>
      <c r="AK121" s="569"/>
      <c r="AL121" s="569"/>
      <c r="AN121" s="857"/>
      <c r="AO121" s="961" t="str">
        <f t="shared" si="37"/>
        <v>Qty</v>
      </c>
      <c r="AP121" s="962" t="str">
        <f t="shared" si="38"/>
        <v>Water</v>
      </c>
      <c r="AQ121" s="963" t="str">
        <f t="shared" si="39"/>
        <v>Variable</v>
      </c>
      <c r="AR121" s="967" t="str">
        <f t="shared" si="40"/>
        <v>-</v>
      </c>
      <c r="AS121" s="964" t="str">
        <f t="shared" si="41"/>
        <v>-</v>
      </c>
      <c r="AT121" s="964" t="str">
        <f t="shared" si="42"/>
        <v>-</v>
      </c>
      <c r="AU121" s="964" t="str">
        <f t="shared" si="43"/>
        <v>-</v>
      </c>
      <c r="AV121" s="1350" t="str">
        <f t="shared" si="44"/>
        <v>-</v>
      </c>
      <c r="AW121" s="1343" t="str">
        <f t="shared" si="45"/>
        <v>-</v>
      </c>
      <c r="AX121" s="964" t="str">
        <f t="shared" si="46"/>
        <v>-</v>
      </c>
      <c r="AY121" s="964" t="str">
        <f t="shared" si="47"/>
        <v>-</v>
      </c>
      <c r="AZ121" s="964" t="str">
        <f t="shared" si="48"/>
        <v>-</v>
      </c>
      <c r="BA121" s="965" t="str">
        <f t="shared" si="49"/>
        <v>-</v>
      </c>
      <c r="BB121" s="1343" t="str">
        <f t="shared" si="50"/>
        <v>-</v>
      </c>
      <c r="BC121" s="964" t="str">
        <f t="shared" si="51"/>
        <v>-</v>
      </c>
      <c r="BD121" s="964" t="str">
        <f t="shared" si="52"/>
        <v>-</v>
      </c>
      <c r="BE121" s="964" t="str">
        <f t="shared" si="53"/>
        <v>-</v>
      </c>
      <c r="BF121" s="966" t="str">
        <f t="shared" si="54"/>
        <v>-</v>
      </c>
      <c r="BG121" s="951"/>
      <c r="BH121" s="1541" t="str">
        <f t="shared" si="55"/>
        <v>Qty</v>
      </c>
      <c r="BI121" s="1542" t="str">
        <f t="shared" si="56"/>
        <v>Water</v>
      </c>
      <c r="BJ121" s="1543" t="str">
        <f t="shared" si="57"/>
        <v>Variable</v>
      </c>
      <c r="BK121" s="964" t="str">
        <f t="shared" ref="BK121:BU121" si="135">IF(V121="","-",IFERROR((V121/U121-1)*(U122/U$13),"-"))</f>
        <v>-</v>
      </c>
      <c r="BL121" s="964" t="str">
        <f t="shared" si="135"/>
        <v>-</v>
      </c>
      <c r="BM121" s="964" t="str">
        <f t="shared" si="135"/>
        <v>-</v>
      </c>
      <c r="BN121" s="964" t="str">
        <f t="shared" si="135"/>
        <v>-</v>
      </c>
      <c r="BO121" s="1350" t="str">
        <f t="shared" si="135"/>
        <v>-</v>
      </c>
      <c r="BP121" s="1343" t="str">
        <f t="shared" si="135"/>
        <v>-</v>
      </c>
      <c r="BQ121" s="964" t="str">
        <f t="shared" si="135"/>
        <v>-</v>
      </c>
      <c r="BR121" s="964" t="str">
        <f t="shared" si="135"/>
        <v>-</v>
      </c>
      <c r="BS121" s="964" t="str">
        <f t="shared" si="135"/>
        <v>-</v>
      </c>
      <c r="BT121" s="965" t="str">
        <f t="shared" si="135"/>
        <v>-</v>
      </c>
      <c r="BU121" s="964" t="str">
        <f t="shared" si="135"/>
        <v>-</v>
      </c>
      <c r="BV121" s="964" t="str">
        <f>IF(AG121="","-",IFERROR((AG121/AF121-1)*(AF122/AF$13),"-"))</f>
        <v>-</v>
      </c>
      <c r="BW121" s="964" t="str">
        <f>IF(AH121="","-",IFERROR((AH121/AG121-1)*(AG122/AG$13),"-"))</f>
        <v>-</v>
      </c>
      <c r="BX121" s="964" t="str">
        <f>IF(AI121="","-",IFERROR((AI121/AH121-1)*(AH122/AH$13),"-"))</f>
        <v>-</v>
      </c>
      <c r="BY121" s="966" t="str">
        <f>IF(AJ121="","-",IFERROR((AJ121/AI121-1)*(AI122/AI$13),"-"))</f>
        <v>-</v>
      </c>
      <c r="BZ121" s="951"/>
      <c r="CA121" s="961" t="str">
        <f t="shared" si="34"/>
        <v>Qty</v>
      </c>
      <c r="CB121" s="962" t="str">
        <f t="shared" si="35"/>
        <v>Water</v>
      </c>
      <c r="CC121" s="962" t="str">
        <f t="shared" si="36"/>
        <v>Variable</v>
      </c>
      <c r="CD121" s="967" t="str">
        <f t="shared" si="66"/>
        <v>-</v>
      </c>
      <c r="CE121" s="964" t="str">
        <f t="shared" si="59"/>
        <v>-</v>
      </c>
      <c r="CF121" s="964" t="str">
        <f t="shared" si="60"/>
        <v>-</v>
      </c>
      <c r="CG121" s="965" t="str">
        <f t="shared" si="61"/>
        <v>-</v>
      </c>
      <c r="CH121" s="964" t="str">
        <f t="shared" si="67"/>
        <v>-</v>
      </c>
      <c r="CI121" s="964" t="str">
        <f t="shared" si="62"/>
        <v>-</v>
      </c>
      <c r="CJ121" s="964" t="str">
        <f t="shared" si="63"/>
        <v>-</v>
      </c>
      <c r="CK121" s="966" t="str">
        <f t="shared" si="64"/>
        <v>-</v>
      </c>
    </row>
    <row r="122" spans="4:89" ht="12.75" thickBot="1">
      <c r="E122" s="568" t="s">
        <v>882</v>
      </c>
      <c r="F122" s="560" t="str">
        <f>+F120</f>
        <v>Water</v>
      </c>
      <c r="G122" s="561" t="str">
        <f>+G120</f>
        <v>BW</v>
      </c>
      <c r="H122" s="561" t="str">
        <f>+H120</f>
        <v>Transfer</v>
      </c>
      <c r="I122" s="562" t="str">
        <f>+I120</f>
        <v>Variable</v>
      </c>
      <c r="J122" s="563" t="s">
        <v>883</v>
      </c>
      <c r="K122" s="564">
        <f t="shared" ref="K122:AJ122" si="136">K120*K121/10^6</f>
        <v>0</v>
      </c>
      <c r="L122" s="565">
        <f t="shared" si="136"/>
        <v>0</v>
      </c>
      <c r="M122" s="565">
        <f t="shared" si="136"/>
        <v>0</v>
      </c>
      <c r="N122" s="564">
        <f t="shared" si="136"/>
        <v>0</v>
      </c>
      <c r="O122" s="565">
        <f t="shared" si="136"/>
        <v>0</v>
      </c>
      <c r="P122" s="565">
        <f t="shared" si="136"/>
        <v>0</v>
      </c>
      <c r="Q122" s="565">
        <f t="shared" si="136"/>
        <v>0</v>
      </c>
      <c r="R122" s="566">
        <f t="shared" si="136"/>
        <v>0</v>
      </c>
      <c r="S122" s="564">
        <f t="shared" si="136"/>
        <v>0</v>
      </c>
      <c r="T122" s="565">
        <f t="shared" si="136"/>
        <v>0</v>
      </c>
      <c r="U122" s="566">
        <f t="shared" si="136"/>
        <v>0</v>
      </c>
      <c r="V122" s="564">
        <f t="shared" si="136"/>
        <v>0</v>
      </c>
      <c r="W122" s="565">
        <f t="shared" si="136"/>
        <v>0</v>
      </c>
      <c r="X122" s="565">
        <f t="shared" si="136"/>
        <v>0</v>
      </c>
      <c r="Y122" s="565">
        <f t="shared" si="136"/>
        <v>0</v>
      </c>
      <c r="Z122" s="566">
        <f t="shared" si="136"/>
        <v>0</v>
      </c>
      <c r="AA122" s="564">
        <f t="shared" si="136"/>
        <v>0</v>
      </c>
      <c r="AB122" s="565">
        <f t="shared" si="136"/>
        <v>0</v>
      </c>
      <c r="AC122" s="565">
        <f t="shared" si="136"/>
        <v>0</v>
      </c>
      <c r="AD122" s="565">
        <f t="shared" si="136"/>
        <v>0</v>
      </c>
      <c r="AE122" s="566">
        <f t="shared" si="136"/>
        <v>0</v>
      </c>
      <c r="AF122" s="564">
        <f t="shared" si="136"/>
        <v>0</v>
      </c>
      <c r="AG122" s="565">
        <f t="shared" si="136"/>
        <v>0</v>
      </c>
      <c r="AH122" s="565">
        <f t="shared" si="136"/>
        <v>0</v>
      </c>
      <c r="AI122" s="565">
        <f t="shared" si="136"/>
        <v>0</v>
      </c>
      <c r="AJ122" s="566">
        <f t="shared" si="136"/>
        <v>0</v>
      </c>
      <c r="AK122" s="569"/>
      <c r="AL122" s="569"/>
      <c r="AN122" s="857"/>
      <c r="AO122" s="984" t="str">
        <f t="shared" si="37"/>
        <v>Rev</v>
      </c>
      <c r="AP122" s="985" t="str">
        <f t="shared" si="38"/>
        <v>Water</v>
      </c>
      <c r="AQ122" s="986" t="str">
        <f t="shared" si="39"/>
        <v>Variable</v>
      </c>
      <c r="AR122" s="990" t="str">
        <f t="shared" si="40"/>
        <v>-</v>
      </c>
      <c r="AS122" s="987" t="str">
        <f t="shared" si="41"/>
        <v>-</v>
      </c>
      <c r="AT122" s="987" t="str">
        <f t="shared" si="42"/>
        <v>-</v>
      </c>
      <c r="AU122" s="987" t="str">
        <f t="shared" si="43"/>
        <v>-</v>
      </c>
      <c r="AV122" s="1353" t="str">
        <f t="shared" si="44"/>
        <v>-</v>
      </c>
      <c r="AW122" s="1346" t="str">
        <f t="shared" si="45"/>
        <v>-</v>
      </c>
      <c r="AX122" s="987" t="str">
        <f t="shared" si="46"/>
        <v>-</v>
      </c>
      <c r="AY122" s="987" t="str">
        <f t="shared" si="47"/>
        <v>-</v>
      </c>
      <c r="AZ122" s="987" t="str">
        <f t="shared" si="48"/>
        <v>-</v>
      </c>
      <c r="BA122" s="988" t="str">
        <f t="shared" si="49"/>
        <v>-</v>
      </c>
      <c r="BB122" s="1346" t="str">
        <f t="shared" si="50"/>
        <v>-</v>
      </c>
      <c r="BC122" s="987" t="str">
        <f t="shared" si="51"/>
        <v>-</v>
      </c>
      <c r="BD122" s="987" t="str">
        <f t="shared" si="52"/>
        <v>-</v>
      </c>
      <c r="BE122" s="987" t="str">
        <f t="shared" si="53"/>
        <v>-</v>
      </c>
      <c r="BF122" s="989" t="str">
        <f t="shared" si="54"/>
        <v>-</v>
      </c>
      <c r="BG122" s="951"/>
      <c r="BH122" s="1550" t="str">
        <f t="shared" si="55"/>
        <v>Rev</v>
      </c>
      <c r="BI122" s="1551" t="str">
        <f t="shared" si="56"/>
        <v>Water</v>
      </c>
      <c r="BJ122" s="1552" t="str">
        <f t="shared" si="57"/>
        <v>Variable</v>
      </c>
      <c r="BK122" s="987" t="str">
        <f t="shared" ref="BK122:BU122" si="137">IF(V122="","-",IFERROR((V122/U122-1)*(U122/U$13),"-"))</f>
        <v>-</v>
      </c>
      <c r="BL122" s="987" t="str">
        <f t="shared" si="137"/>
        <v>-</v>
      </c>
      <c r="BM122" s="987" t="str">
        <f t="shared" si="137"/>
        <v>-</v>
      </c>
      <c r="BN122" s="987" t="str">
        <f t="shared" si="137"/>
        <v>-</v>
      </c>
      <c r="BO122" s="1353" t="str">
        <f t="shared" si="137"/>
        <v>-</v>
      </c>
      <c r="BP122" s="1346" t="str">
        <f t="shared" si="137"/>
        <v>-</v>
      </c>
      <c r="BQ122" s="987" t="str">
        <f t="shared" si="137"/>
        <v>-</v>
      </c>
      <c r="BR122" s="987" t="str">
        <f t="shared" si="137"/>
        <v>-</v>
      </c>
      <c r="BS122" s="987" t="str">
        <f t="shared" si="137"/>
        <v>-</v>
      </c>
      <c r="BT122" s="988" t="str">
        <f t="shared" si="137"/>
        <v>-</v>
      </c>
      <c r="BU122" s="987" t="str">
        <f t="shared" si="137"/>
        <v>-</v>
      </c>
      <c r="BV122" s="987" t="str">
        <f>IF(AG122="","-",IFERROR((AG122/AF122-1)*(AF122/AF$13),"-"))</f>
        <v>-</v>
      </c>
      <c r="BW122" s="987" t="str">
        <f>IF(AH122="","-",IFERROR((AH122/AG122-1)*(AG122/AG$13),"-"))</f>
        <v>-</v>
      </c>
      <c r="BX122" s="987" t="str">
        <f>IF(AI122="","-",IFERROR((AI122/AH122-1)*(AH122/AH$13),"-"))</f>
        <v>-</v>
      </c>
      <c r="BY122" s="989" t="str">
        <f>IF(AJ122="","-",IFERROR((AJ122/AI122-1)*(AI122/AI$13),"-"))</f>
        <v>-</v>
      </c>
      <c r="BZ122" s="951"/>
      <c r="CA122" s="984" t="str">
        <f t="shared" si="34"/>
        <v>Rev</v>
      </c>
      <c r="CB122" s="985" t="str">
        <f t="shared" si="35"/>
        <v>Water</v>
      </c>
      <c r="CC122" s="985" t="str">
        <f t="shared" si="36"/>
        <v>Variable</v>
      </c>
      <c r="CD122" s="990" t="str">
        <f t="shared" si="66"/>
        <v>-</v>
      </c>
      <c r="CE122" s="987" t="str">
        <f t="shared" si="59"/>
        <v>-</v>
      </c>
      <c r="CF122" s="987" t="str">
        <f t="shared" si="60"/>
        <v>-</v>
      </c>
      <c r="CG122" s="988" t="str">
        <f t="shared" si="61"/>
        <v>-</v>
      </c>
      <c r="CH122" s="987" t="str">
        <f t="shared" si="67"/>
        <v>-</v>
      </c>
      <c r="CI122" s="987" t="str">
        <f t="shared" si="62"/>
        <v>-</v>
      </c>
      <c r="CJ122" s="987" t="str">
        <f t="shared" si="63"/>
        <v>-</v>
      </c>
      <c r="CK122" s="989" t="str">
        <f t="shared" si="64"/>
        <v>-</v>
      </c>
    </row>
    <row r="123" spans="4:89">
      <c r="D123" s="63">
        <f>D120+1</f>
        <v>19</v>
      </c>
      <c r="E123" s="550" t="s">
        <v>857</v>
      </c>
      <c r="F123" s="595" t="s">
        <v>401</v>
      </c>
      <c r="G123" s="595" t="s">
        <v>94</v>
      </c>
      <c r="H123" s="595" t="s">
        <v>886</v>
      </c>
      <c r="I123" s="589" t="s">
        <v>843</v>
      </c>
      <c r="J123" s="589" t="s">
        <v>879</v>
      </c>
      <c r="K123" s="551"/>
      <c r="L123" s="552"/>
      <c r="M123" s="552"/>
      <c r="N123" s="551"/>
      <c r="O123" s="552"/>
      <c r="P123" s="552"/>
      <c r="Q123" s="552"/>
      <c r="R123" s="1035"/>
      <c r="S123" s="1138"/>
      <c r="T123" s="591"/>
      <c r="U123" s="1035"/>
      <c r="V123" s="1138"/>
      <c r="W123" s="591"/>
      <c r="X123" s="591"/>
      <c r="Y123" s="591"/>
      <c r="Z123" s="1035"/>
      <c r="AA123" s="1138"/>
      <c r="AB123" s="591"/>
      <c r="AC123" s="591"/>
      <c r="AD123" s="591"/>
      <c r="AE123" s="1035"/>
      <c r="AF123" s="1138"/>
      <c r="AG123" s="591"/>
      <c r="AH123" s="591"/>
      <c r="AI123" s="591"/>
      <c r="AJ123" s="1035"/>
      <c r="AK123" s="569"/>
      <c r="AL123" s="569"/>
      <c r="AM123" s="974"/>
      <c r="AN123" s="857"/>
      <c r="AO123" s="975" t="str">
        <f t="shared" si="37"/>
        <v>Price</v>
      </c>
      <c r="AP123" s="976" t="str">
        <f t="shared" si="38"/>
        <v>Water</v>
      </c>
      <c r="AQ123" s="977" t="str">
        <f t="shared" si="39"/>
        <v>Variable</v>
      </c>
      <c r="AR123" s="1341" t="str">
        <f t="shared" si="40"/>
        <v>-</v>
      </c>
      <c r="AS123" s="978" t="str">
        <f t="shared" si="41"/>
        <v>-</v>
      </c>
      <c r="AT123" s="979" t="str">
        <f t="shared" si="42"/>
        <v>-</v>
      </c>
      <c r="AU123" s="979" t="str">
        <f t="shared" si="43"/>
        <v>-</v>
      </c>
      <c r="AV123" s="1352" t="str">
        <f t="shared" si="44"/>
        <v>-</v>
      </c>
      <c r="AW123" s="1345" t="str">
        <f t="shared" si="45"/>
        <v>-</v>
      </c>
      <c r="AX123" s="979" t="str">
        <f t="shared" si="46"/>
        <v>-</v>
      </c>
      <c r="AY123" s="979" t="str">
        <f t="shared" si="47"/>
        <v>-</v>
      </c>
      <c r="AZ123" s="979" t="str">
        <f t="shared" si="48"/>
        <v>-</v>
      </c>
      <c r="BA123" s="980" t="str">
        <f t="shared" si="49"/>
        <v>-</v>
      </c>
      <c r="BB123" s="1345" t="str">
        <f t="shared" si="50"/>
        <v>-</v>
      </c>
      <c r="BC123" s="979" t="str">
        <f t="shared" si="51"/>
        <v>-</v>
      </c>
      <c r="BD123" s="979" t="str">
        <f t="shared" si="52"/>
        <v>-</v>
      </c>
      <c r="BE123" s="979" t="str">
        <f t="shared" si="53"/>
        <v>-</v>
      </c>
      <c r="BF123" s="981" t="str">
        <f t="shared" si="54"/>
        <v>-</v>
      </c>
      <c r="BG123" s="951"/>
      <c r="BH123" s="1547" t="str">
        <f t="shared" si="55"/>
        <v>Price</v>
      </c>
      <c r="BI123" s="1548" t="str">
        <f t="shared" si="56"/>
        <v>Water</v>
      </c>
      <c r="BJ123" s="1549" t="str">
        <f t="shared" si="57"/>
        <v>Variable</v>
      </c>
      <c r="BK123" s="978" t="str">
        <f t="shared" ref="BK123:BU123" si="138">IF(V123="","-",IFERROR((V123/U123-1)*(U125/U$13),"-"))</f>
        <v>-</v>
      </c>
      <c r="BL123" s="978" t="str">
        <f t="shared" si="138"/>
        <v>-</v>
      </c>
      <c r="BM123" s="979" t="str">
        <f t="shared" si="138"/>
        <v>-</v>
      </c>
      <c r="BN123" s="979" t="str">
        <f t="shared" si="138"/>
        <v>-</v>
      </c>
      <c r="BO123" s="1352" t="str">
        <f t="shared" si="138"/>
        <v>-</v>
      </c>
      <c r="BP123" s="1345" t="str">
        <f t="shared" si="138"/>
        <v>-</v>
      </c>
      <c r="BQ123" s="979" t="str">
        <f t="shared" si="138"/>
        <v>-</v>
      </c>
      <c r="BR123" s="979" t="str">
        <f t="shared" si="138"/>
        <v>-</v>
      </c>
      <c r="BS123" s="979" t="str">
        <f t="shared" si="138"/>
        <v>-</v>
      </c>
      <c r="BT123" s="980" t="str">
        <f t="shared" si="138"/>
        <v>-</v>
      </c>
      <c r="BU123" s="979" t="str">
        <f t="shared" si="138"/>
        <v>-</v>
      </c>
      <c r="BV123" s="979" t="str">
        <f>IF(AG123="","-",IFERROR((AG123/AF123-1)*(AF125/AF$13),"-"))</f>
        <v>-</v>
      </c>
      <c r="BW123" s="979" t="str">
        <f>IF(AH123="","-",IFERROR((AH123/AG123-1)*(AG125/AG$13),"-"))</f>
        <v>-</v>
      </c>
      <c r="BX123" s="979" t="str">
        <f>IF(AI123="","-",IFERROR((AI123/AH123-1)*(AH125/AH$13),"-"))</f>
        <v>-</v>
      </c>
      <c r="BY123" s="981" t="str">
        <f>IF(AJ123="","-",IFERROR((AJ123/AI123-1)*(AI125/AI$13),"-"))</f>
        <v>-</v>
      </c>
      <c r="BZ123" s="951"/>
      <c r="CA123" s="975" t="str">
        <f t="shared" si="34"/>
        <v>Price</v>
      </c>
      <c r="CB123" s="976" t="str">
        <f t="shared" si="35"/>
        <v>Water</v>
      </c>
      <c r="CC123" s="982" t="str">
        <f t="shared" si="36"/>
        <v>Variable</v>
      </c>
      <c r="CD123" s="983" t="str">
        <f t="shared" si="66"/>
        <v>-</v>
      </c>
      <c r="CE123" s="979" t="str">
        <f t="shared" si="59"/>
        <v>-</v>
      </c>
      <c r="CF123" s="979" t="str">
        <f t="shared" si="60"/>
        <v>-</v>
      </c>
      <c r="CG123" s="980" t="str">
        <f t="shared" si="61"/>
        <v>-</v>
      </c>
      <c r="CH123" s="979" t="str">
        <f t="shared" si="67"/>
        <v>-</v>
      </c>
      <c r="CI123" s="979" t="str">
        <f t="shared" si="62"/>
        <v>-</v>
      </c>
      <c r="CJ123" s="979" t="str">
        <f t="shared" si="63"/>
        <v>-</v>
      </c>
      <c r="CK123" s="981" t="str">
        <f t="shared" si="64"/>
        <v>-</v>
      </c>
    </row>
    <row r="124" spans="4:89">
      <c r="E124" s="567" t="s">
        <v>880</v>
      </c>
      <c r="F124" s="554" t="str">
        <f>+F123</f>
        <v>Water</v>
      </c>
      <c r="G124" s="555" t="str">
        <f>+G123</f>
        <v>SGW</v>
      </c>
      <c r="H124" s="555" t="str">
        <f>+H123</f>
        <v>Transfer</v>
      </c>
      <c r="I124" s="556" t="str">
        <f>+I123</f>
        <v>Variable</v>
      </c>
      <c r="J124" s="590" t="s">
        <v>887</v>
      </c>
      <c r="K124" s="557"/>
      <c r="L124" s="558"/>
      <c r="M124" s="558"/>
      <c r="N124" s="557"/>
      <c r="O124" s="558"/>
      <c r="P124" s="558"/>
      <c r="Q124" s="558"/>
      <c r="R124" s="1036"/>
      <c r="S124" s="1139"/>
      <c r="T124" s="593"/>
      <c r="U124" s="1036"/>
      <c r="V124" s="1139"/>
      <c r="W124" s="593"/>
      <c r="X124" s="593"/>
      <c r="Y124" s="593"/>
      <c r="Z124" s="1036"/>
      <c r="AA124" s="1139"/>
      <c r="AB124" s="593"/>
      <c r="AC124" s="593"/>
      <c r="AD124" s="593"/>
      <c r="AE124" s="1036"/>
      <c r="AF124" s="1139"/>
      <c r="AG124" s="593"/>
      <c r="AH124" s="593"/>
      <c r="AI124" s="593"/>
      <c r="AJ124" s="1036"/>
      <c r="AK124" s="569"/>
      <c r="AL124" s="569"/>
      <c r="AN124" s="857"/>
      <c r="AO124" s="961" t="str">
        <f t="shared" si="37"/>
        <v>Qty</v>
      </c>
      <c r="AP124" s="962" t="str">
        <f t="shared" si="38"/>
        <v>Water</v>
      </c>
      <c r="AQ124" s="963" t="str">
        <f t="shared" si="39"/>
        <v>Variable</v>
      </c>
      <c r="AR124" s="967" t="str">
        <f t="shared" si="40"/>
        <v>-</v>
      </c>
      <c r="AS124" s="964" t="str">
        <f t="shared" si="41"/>
        <v>-</v>
      </c>
      <c r="AT124" s="964" t="str">
        <f t="shared" si="42"/>
        <v>-</v>
      </c>
      <c r="AU124" s="964" t="str">
        <f t="shared" si="43"/>
        <v>-</v>
      </c>
      <c r="AV124" s="1350" t="str">
        <f t="shared" si="44"/>
        <v>-</v>
      </c>
      <c r="AW124" s="1343" t="str">
        <f t="shared" si="45"/>
        <v>-</v>
      </c>
      <c r="AX124" s="964" t="str">
        <f t="shared" si="46"/>
        <v>-</v>
      </c>
      <c r="AY124" s="964" t="str">
        <f t="shared" si="47"/>
        <v>-</v>
      </c>
      <c r="AZ124" s="964" t="str">
        <f t="shared" si="48"/>
        <v>-</v>
      </c>
      <c r="BA124" s="965" t="str">
        <f t="shared" si="49"/>
        <v>-</v>
      </c>
      <c r="BB124" s="1343" t="str">
        <f t="shared" si="50"/>
        <v>-</v>
      </c>
      <c r="BC124" s="964" t="str">
        <f t="shared" si="51"/>
        <v>-</v>
      </c>
      <c r="BD124" s="964" t="str">
        <f t="shared" si="52"/>
        <v>-</v>
      </c>
      <c r="BE124" s="964" t="str">
        <f t="shared" si="53"/>
        <v>-</v>
      </c>
      <c r="BF124" s="966" t="str">
        <f t="shared" si="54"/>
        <v>-</v>
      </c>
      <c r="BG124" s="951"/>
      <c r="BH124" s="1541" t="str">
        <f t="shared" si="55"/>
        <v>Qty</v>
      </c>
      <c r="BI124" s="1542" t="str">
        <f t="shared" si="56"/>
        <v>Water</v>
      </c>
      <c r="BJ124" s="1543" t="str">
        <f t="shared" si="57"/>
        <v>Variable</v>
      </c>
      <c r="BK124" s="964" t="str">
        <f t="shared" ref="BK124:BU124" si="139">IF(V124="","-",IFERROR((V124/U124-1)*(U125/U$13),"-"))</f>
        <v>-</v>
      </c>
      <c r="BL124" s="964" t="str">
        <f t="shared" si="139"/>
        <v>-</v>
      </c>
      <c r="BM124" s="964" t="str">
        <f t="shared" si="139"/>
        <v>-</v>
      </c>
      <c r="BN124" s="964" t="str">
        <f t="shared" si="139"/>
        <v>-</v>
      </c>
      <c r="BO124" s="1350" t="str">
        <f t="shared" si="139"/>
        <v>-</v>
      </c>
      <c r="BP124" s="1343" t="str">
        <f t="shared" si="139"/>
        <v>-</v>
      </c>
      <c r="BQ124" s="964" t="str">
        <f t="shared" si="139"/>
        <v>-</v>
      </c>
      <c r="BR124" s="964" t="str">
        <f t="shared" si="139"/>
        <v>-</v>
      </c>
      <c r="BS124" s="964" t="str">
        <f t="shared" si="139"/>
        <v>-</v>
      </c>
      <c r="BT124" s="965" t="str">
        <f t="shared" si="139"/>
        <v>-</v>
      </c>
      <c r="BU124" s="964" t="str">
        <f t="shared" si="139"/>
        <v>-</v>
      </c>
      <c r="BV124" s="964" t="str">
        <f>IF(AG124="","-",IFERROR((AG124/AF124-1)*(AF125/AF$13),"-"))</f>
        <v>-</v>
      </c>
      <c r="BW124" s="964" t="str">
        <f>IF(AH124="","-",IFERROR((AH124/AG124-1)*(AG125/AG$13),"-"))</f>
        <v>-</v>
      </c>
      <c r="BX124" s="964" t="str">
        <f>IF(AI124="","-",IFERROR((AI124/AH124-1)*(AH125/AH$13),"-"))</f>
        <v>-</v>
      </c>
      <c r="BY124" s="966" t="str">
        <f>IF(AJ124="","-",IFERROR((AJ124/AI124-1)*(AI125/AI$13),"-"))</f>
        <v>-</v>
      </c>
      <c r="BZ124" s="951"/>
      <c r="CA124" s="961" t="str">
        <f t="shared" si="34"/>
        <v>Qty</v>
      </c>
      <c r="CB124" s="962" t="str">
        <f t="shared" si="35"/>
        <v>Water</v>
      </c>
      <c r="CC124" s="962" t="str">
        <f t="shared" si="36"/>
        <v>Variable</v>
      </c>
      <c r="CD124" s="967" t="str">
        <f t="shared" si="66"/>
        <v>-</v>
      </c>
      <c r="CE124" s="964" t="str">
        <f t="shared" si="59"/>
        <v>-</v>
      </c>
      <c r="CF124" s="964" t="str">
        <f t="shared" si="60"/>
        <v>-</v>
      </c>
      <c r="CG124" s="965" t="str">
        <f t="shared" si="61"/>
        <v>-</v>
      </c>
      <c r="CH124" s="964" t="str">
        <f t="shared" si="67"/>
        <v>-</v>
      </c>
      <c r="CI124" s="964" t="str">
        <f t="shared" si="62"/>
        <v>-</v>
      </c>
      <c r="CJ124" s="964" t="str">
        <f t="shared" si="63"/>
        <v>-</v>
      </c>
      <c r="CK124" s="966" t="str">
        <f t="shared" si="64"/>
        <v>-</v>
      </c>
    </row>
    <row r="125" spans="4:89" ht="12.75" thickBot="1">
      <c r="E125" s="568" t="s">
        <v>882</v>
      </c>
      <c r="F125" s="560" t="str">
        <f>+F123</f>
        <v>Water</v>
      </c>
      <c r="G125" s="561" t="str">
        <f>+G123</f>
        <v>SGW</v>
      </c>
      <c r="H125" s="561" t="str">
        <f>+H123</f>
        <v>Transfer</v>
      </c>
      <c r="I125" s="562" t="str">
        <f>+I123</f>
        <v>Variable</v>
      </c>
      <c r="J125" s="563" t="s">
        <v>883</v>
      </c>
      <c r="K125" s="564">
        <f t="shared" ref="K125:AJ125" si="140">K123*K124/10^6</f>
        <v>0</v>
      </c>
      <c r="L125" s="565">
        <f t="shared" si="140"/>
        <v>0</v>
      </c>
      <c r="M125" s="565">
        <f t="shared" si="140"/>
        <v>0</v>
      </c>
      <c r="N125" s="564">
        <f t="shared" si="140"/>
        <v>0</v>
      </c>
      <c r="O125" s="565">
        <f t="shared" si="140"/>
        <v>0</v>
      </c>
      <c r="P125" s="565">
        <f t="shared" si="140"/>
        <v>0</v>
      </c>
      <c r="Q125" s="565">
        <f t="shared" si="140"/>
        <v>0</v>
      </c>
      <c r="R125" s="566">
        <f t="shared" si="140"/>
        <v>0</v>
      </c>
      <c r="S125" s="564">
        <f t="shared" si="140"/>
        <v>0</v>
      </c>
      <c r="T125" s="565">
        <f t="shared" si="140"/>
        <v>0</v>
      </c>
      <c r="U125" s="566">
        <f t="shared" si="140"/>
        <v>0</v>
      </c>
      <c r="V125" s="564">
        <f t="shared" si="140"/>
        <v>0</v>
      </c>
      <c r="W125" s="565">
        <f t="shared" si="140"/>
        <v>0</v>
      </c>
      <c r="X125" s="565">
        <f t="shared" si="140"/>
        <v>0</v>
      </c>
      <c r="Y125" s="565">
        <f t="shared" si="140"/>
        <v>0</v>
      </c>
      <c r="Z125" s="566">
        <f t="shared" si="140"/>
        <v>0</v>
      </c>
      <c r="AA125" s="564">
        <f t="shared" si="140"/>
        <v>0</v>
      </c>
      <c r="AB125" s="565">
        <f t="shared" si="140"/>
        <v>0</v>
      </c>
      <c r="AC125" s="565">
        <f t="shared" si="140"/>
        <v>0</v>
      </c>
      <c r="AD125" s="565">
        <f t="shared" si="140"/>
        <v>0</v>
      </c>
      <c r="AE125" s="566">
        <f t="shared" si="140"/>
        <v>0</v>
      </c>
      <c r="AF125" s="564">
        <f t="shared" si="140"/>
        <v>0</v>
      </c>
      <c r="AG125" s="565">
        <f t="shared" si="140"/>
        <v>0</v>
      </c>
      <c r="AH125" s="565">
        <f t="shared" si="140"/>
        <v>0</v>
      </c>
      <c r="AI125" s="565">
        <f t="shared" si="140"/>
        <v>0</v>
      </c>
      <c r="AJ125" s="566">
        <f t="shared" si="140"/>
        <v>0</v>
      </c>
      <c r="AK125" s="569"/>
      <c r="AL125" s="569"/>
      <c r="AN125" s="857"/>
      <c r="AO125" s="984" t="str">
        <f t="shared" si="37"/>
        <v>Rev</v>
      </c>
      <c r="AP125" s="985" t="str">
        <f t="shared" si="38"/>
        <v>Water</v>
      </c>
      <c r="AQ125" s="986" t="str">
        <f t="shared" si="39"/>
        <v>Variable</v>
      </c>
      <c r="AR125" s="990" t="str">
        <f t="shared" si="40"/>
        <v>-</v>
      </c>
      <c r="AS125" s="987" t="str">
        <f t="shared" si="41"/>
        <v>-</v>
      </c>
      <c r="AT125" s="987" t="str">
        <f t="shared" si="42"/>
        <v>-</v>
      </c>
      <c r="AU125" s="987" t="str">
        <f t="shared" si="43"/>
        <v>-</v>
      </c>
      <c r="AV125" s="1353" t="str">
        <f t="shared" si="44"/>
        <v>-</v>
      </c>
      <c r="AW125" s="1346" t="str">
        <f t="shared" si="45"/>
        <v>-</v>
      </c>
      <c r="AX125" s="987" t="str">
        <f t="shared" si="46"/>
        <v>-</v>
      </c>
      <c r="AY125" s="987" t="str">
        <f t="shared" si="47"/>
        <v>-</v>
      </c>
      <c r="AZ125" s="987" t="str">
        <f t="shared" si="48"/>
        <v>-</v>
      </c>
      <c r="BA125" s="988" t="str">
        <f t="shared" si="49"/>
        <v>-</v>
      </c>
      <c r="BB125" s="1346" t="str">
        <f t="shared" si="50"/>
        <v>-</v>
      </c>
      <c r="BC125" s="987" t="str">
        <f t="shared" si="51"/>
        <v>-</v>
      </c>
      <c r="BD125" s="987" t="str">
        <f t="shared" si="52"/>
        <v>-</v>
      </c>
      <c r="BE125" s="987" t="str">
        <f t="shared" si="53"/>
        <v>-</v>
      </c>
      <c r="BF125" s="989" t="str">
        <f t="shared" si="54"/>
        <v>-</v>
      </c>
      <c r="BG125" s="951"/>
      <c r="BH125" s="1550" t="str">
        <f t="shared" si="55"/>
        <v>Rev</v>
      </c>
      <c r="BI125" s="1551" t="str">
        <f t="shared" si="56"/>
        <v>Water</v>
      </c>
      <c r="BJ125" s="1552" t="str">
        <f t="shared" si="57"/>
        <v>Variable</v>
      </c>
      <c r="BK125" s="987" t="str">
        <f t="shared" ref="BK125:BU125" si="141">IF(V125="","-",IFERROR((V125/U125-1)*(U125/U$13),"-"))</f>
        <v>-</v>
      </c>
      <c r="BL125" s="987" t="str">
        <f t="shared" si="141"/>
        <v>-</v>
      </c>
      <c r="BM125" s="987" t="str">
        <f t="shared" si="141"/>
        <v>-</v>
      </c>
      <c r="BN125" s="987" t="str">
        <f t="shared" si="141"/>
        <v>-</v>
      </c>
      <c r="BO125" s="1353" t="str">
        <f t="shared" si="141"/>
        <v>-</v>
      </c>
      <c r="BP125" s="1346" t="str">
        <f t="shared" si="141"/>
        <v>-</v>
      </c>
      <c r="BQ125" s="987" t="str">
        <f t="shared" si="141"/>
        <v>-</v>
      </c>
      <c r="BR125" s="987" t="str">
        <f t="shared" si="141"/>
        <v>-</v>
      </c>
      <c r="BS125" s="987" t="str">
        <f t="shared" si="141"/>
        <v>-</v>
      </c>
      <c r="BT125" s="988" t="str">
        <f t="shared" si="141"/>
        <v>-</v>
      </c>
      <c r="BU125" s="987" t="str">
        <f t="shared" si="141"/>
        <v>-</v>
      </c>
      <c r="BV125" s="987" t="str">
        <f>IF(AG125="","-",IFERROR((AG125/AF125-1)*(AF125/AF$13),"-"))</f>
        <v>-</v>
      </c>
      <c r="BW125" s="987" t="str">
        <f>IF(AH125="","-",IFERROR((AH125/AG125-1)*(AG125/AG$13),"-"))</f>
        <v>-</v>
      </c>
      <c r="BX125" s="987" t="str">
        <f>IF(AI125="","-",IFERROR((AI125/AH125-1)*(AH125/AH$13),"-"))</f>
        <v>-</v>
      </c>
      <c r="BY125" s="989" t="str">
        <f>IF(AJ125="","-",IFERROR((AJ125/AI125-1)*(AI125/AI$13),"-"))</f>
        <v>-</v>
      </c>
      <c r="BZ125" s="951"/>
      <c r="CA125" s="984" t="str">
        <f t="shared" si="34"/>
        <v>Rev</v>
      </c>
      <c r="CB125" s="985" t="str">
        <f t="shared" si="35"/>
        <v>Water</v>
      </c>
      <c r="CC125" s="985" t="str">
        <f t="shared" si="36"/>
        <v>Variable</v>
      </c>
      <c r="CD125" s="990" t="str">
        <f t="shared" si="66"/>
        <v>-</v>
      </c>
      <c r="CE125" s="987" t="str">
        <f t="shared" si="59"/>
        <v>-</v>
      </c>
      <c r="CF125" s="987" t="str">
        <f t="shared" si="60"/>
        <v>-</v>
      </c>
      <c r="CG125" s="988" t="str">
        <f t="shared" si="61"/>
        <v>-</v>
      </c>
      <c r="CH125" s="987" t="str">
        <f t="shared" si="67"/>
        <v>-</v>
      </c>
      <c r="CI125" s="987" t="str">
        <f t="shared" si="62"/>
        <v>-</v>
      </c>
      <c r="CJ125" s="987" t="str">
        <f t="shared" si="63"/>
        <v>-</v>
      </c>
      <c r="CK125" s="989" t="str">
        <f t="shared" si="64"/>
        <v>-</v>
      </c>
    </row>
    <row r="126" spans="4:89">
      <c r="D126" s="63">
        <f>D123+1</f>
        <v>20</v>
      </c>
      <c r="E126" s="550" t="s">
        <v>857</v>
      </c>
      <c r="F126" s="595" t="s">
        <v>401</v>
      </c>
      <c r="G126" s="595" t="s">
        <v>101</v>
      </c>
      <c r="H126" s="595" t="s">
        <v>886</v>
      </c>
      <c r="I126" s="589" t="s">
        <v>843</v>
      </c>
      <c r="J126" s="589" t="s">
        <v>879</v>
      </c>
      <c r="K126" s="551"/>
      <c r="L126" s="552"/>
      <c r="M126" s="552"/>
      <c r="N126" s="551"/>
      <c r="O126" s="552"/>
      <c r="P126" s="552"/>
      <c r="Q126" s="552"/>
      <c r="R126" s="1035"/>
      <c r="S126" s="1138"/>
      <c r="T126" s="591"/>
      <c r="U126" s="1035"/>
      <c r="V126" s="1138"/>
      <c r="W126" s="591"/>
      <c r="X126" s="591"/>
      <c r="Y126" s="591"/>
      <c r="Z126" s="1035"/>
      <c r="AA126" s="1138"/>
      <c r="AB126" s="591"/>
      <c r="AC126" s="591"/>
      <c r="AD126" s="591"/>
      <c r="AE126" s="1035"/>
      <c r="AF126" s="1138"/>
      <c r="AG126" s="591"/>
      <c r="AH126" s="591"/>
      <c r="AI126" s="591"/>
      <c r="AJ126" s="1035"/>
      <c r="AK126" s="569"/>
      <c r="AL126" s="569"/>
      <c r="AM126" s="974"/>
      <c r="AN126" s="857"/>
      <c r="AO126" s="975" t="str">
        <f t="shared" si="37"/>
        <v>Price</v>
      </c>
      <c r="AP126" s="976" t="str">
        <f t="shared" si="38"/>
        <v>Water</v>
      </c>
      <c r="AQ126" s="977" t="str">
        <f t="shared" si="39"/>
        <v>Variable</v>
      </c>
      <c r="AR126" s="1341" t="str">
        <f t="shared" si="40"/>
        <v>-</v>
      </c>
      <c r="AS126" s="978" t="str">
        <f t="shared" si="41"/>
        <v>-</v>
      </c>
      <c r="AT126" s="979" t="str">
        <f t="shared" si="42"/>
        <v>-</v>
      </c>
      <c r="AU126" s="979" t="str">
        <f t="shared" si="43"/>
        <v>-</v>
      </c>
      <c r="AV126" s="1352" t="str">
        <f t="shared" si="44"/>
        <v>-</v>
      </c>
      <c r="AW126" s="1345" t="str">
        <f t="shared" si="45"/>
        <v>-</v>
      </c>
      <c r="AX126" s="979" t="str">
        <f t="shared" si="46"/>
        <v>-</v>
      </c>
      <c r="AY126" s="979" t="str">
        <f t="shared" si="47"/>
        <v>-</v>
      </c>
      <c r="AZ126" s="979" t="str">
        <f t="shared" si="48"/>
        <v>-</v>
      </c>
      <c r="BA126" s="980" t="str">
        <f t="shared" si="49"/>
        <v>-</v>
      </c>
      <c r="BB126" s="1345" t="str">
        <f t="shared" si="50"/>
        <v>-</v>
      </c>
      <c r="BC126" s="979" t="str">
        <f t="shared" si="51"/>
        <v>-</v>
      </c>
      <c r="BD126" s="979" t="str">
        <f t="shared" si="52"/>
        <v>-</v>
      </c>
      <c r="BE126" s="979" t="str">
        <f t="shared" si="53"/>
        <v>-</v>
      </c>
      <c r="BF126" s="981" t="str">
        <f t="shared" si="54"/>
        <v>-</v>
      </c>
      <c r="BG126" s="951"/>
      <c r="BH126" s="1547" t="str">
        <f t="shared" si="55"/>
        <v>Price</v>
      </c>
      <c r="BI126" s="1548" t="str">
        <f t="shared" si="56"/>
        <v>Water</v>
      </c>
      <c r="BJ126" s="1549" t="str">
        <f t="shared" si="57"/>
        <v>Variable</v>
      </c>
      <c r="BK126" s="978" t="str">
        <f t="shared" ref="BK126:BU126" si="142">IF(V126="","-",IFERROR((V126/U126-1)*(U128/U$13),"-"))</f>
        <v>-</v>
      </c>
      <c r="BL126" s="978" t="str">
        <f t="shared" si="142"/>
        <v>-</v>
      </c>
      <c r="BM126" s="979" t="str">
        <f t="shared" si="142"/>
        <v>-</v>
      </c>
      <c r="BN126" s="979" t="str">
        <f t="shared" si="142"/>
        <v>-</v>
      </c>
      <c r="BO126" s="1352" t="str">
        <f t="shared" si="142"/>
        <v>-</v>
      </c>
      <c r="BP126" s="1345" t="str">
        <f t="shared" si="142"/>
        <v>-</v>
      </c>
      <c r="BQ126" s="979" t="str">
        <f t="shared" si="142"/>
        <v>-</v>
      </c>
      <c r="BR126" s="979" t="str">
        <f t="shared" si="142"/>
        <v>-</v>
      </c>
      <c r="BS126" s="979" t="str">
        <f t="shared" si="142"/>
        <v>-</v>
      </c>
      <c r="BT126" s="980" t="str">
        <f t="shared" si="142"/>
        <v>-</v>
      </c>
      <c r="BU126" s="979" t="str">
        <f t="shared" si="142"/>
        <v>-</v>
      </c>
      <c r="BV126" s="979" t="str">
        <f>IF(AG126="","-",IFERROR((AG126/AF126-1)*(AF128/AF$13),"-"))</f>
        <v>-</v>
      </c>
      <c r="BW126" s="979" t="str">
        <f>IF(AH126="","-",IFERROR((AH126/AG126-1)*(AG128/AG$13),"-"))</f>
        <v>-</v>
      </c>
      <c r="BX126" s="979" t="str">
        <f>IF(AI126="","-",IFERROR((AI126/AH126-1)*(AH128/AH$13),"-"))</f>
        <v>-</v>
      </c>
      <c r="BY126" s="981" t="str">
        <f>IF(AJ126="","-",IFERROR((AJ126/AI126-1)*(AI128/AI$13),"-"))</f>
        <v>-</v>
      </c>
      <c r="BZ126" s="951"/>
      <c r="CA126" s="975" t="str">
        <f t="shared" si="34"/>
        <v>Price</v>
      </c>
      <c r="CB126" s="976" t="str">
        <f t="shared" si="35"/>
        <v>Water</v>
      </c>
      <c r="CC126" s="982" t="str">
        <f t="shared" si="36"/>
        <v>Variable</v>
      </c>
      <c r="CD126" s="983" t="str">
        <f t="shared" si="66"/>
        <v>-</v>
      </c>
      <c r="CE126" s="979" t="str">
        <f t="shared" si="59"/>
        <v>-</v>
      </c>
      <c r="CF126" s="979" t="str">
        <f t="shared" si="60"/>
        <v>-</v>
      </c>
      <c r="CG126" s="980" t="str">
        <f t="shared" si="61"/>
        <v>-</v>
      </c>
      <c r="CH126" s="979" t="str">
        <f t="shared" si="67"/>
        <v>-</v>
      </c>
      <c r="CI126" s="979" t="str">
        <f t="shared" si="62"/>
        <v>-</v>
      </c>
      <c r="CJ126" s="979" t="str">
        <f t="shared" si="63"/>
        <v>-</v>
      </c>
      <c r="CK126" s="981" t="str">
        <f t="shared" si="64"/>
        <v>-</v>
      </c>
    </row>
    <row r="127" spans="4:89">
      <c r="E127" s="567" t="s">
        <v>880</v>
      </c>
      <c r="F127" s="554" t="str">
        <f>+F126</f>
        <v>Water</v>
      </c>
      <c r="G127" s="555" t="str">
        <f>+G126</f>
        <v>WPW</v>
      </c>
      <c r="H127" s="555" t="str">
        <f>+H126</f>
        <v>Transfer</v>
      </c>
      <c r="I127" s="556" t="str">
        <f>+I126</f>
        <v>Variable</v>
      </c>
      <c r="J127" s="590" t="s">
        <v>887</v>
      </c>
      <c r="K127" s="557"/>
      <c r="L127" s="558"/>
      <c r="M127" s="558"/>
      <c r="N127" s="557"/>
      <c r="O127" s="558"/>
      <c r="P127" s="558"/>
      <c r="Q127" s="558"/>
      <c r="R127" s="1036"/>
      <c r="S127" s="1139"/>
      <c r="T127" s="593"/>
      <c r="U127" s="1036"/>
      <c r="V127" s="1139"/>
      <c r="W127" s="593"/>
      <c r="X127" s="593"/>
      <c r="Y127" s="593"/>
      <c r="Z127" s="1036"/>
      <c r="AA127" s="1139"/>
      <c r="AB127" s="593"/>
      <c r="AC127" s="593"/>
      <c r="AD127" s="593"/>
      <c r="AE127" s="1036"/>
      <c r="AF127" s="1139"/>
      <c r="AG127" s="593"/>
      <c r="AH127" s="593"/>
      <c r="AI127" s="593"/>
      <c r="AJ127" s="1036"/>
      <c r="AK127" s="569"/>
      <c r="AL127" s="569"/>
      <c r="AN127" s="857"/>
      <c r="AO127" s="961" t="str">
        <f t="shared" si="37"/>
        <v>Qty</v>
      </c>
      <c r="AP127" s="962" t="str">
        <f t="shared" si="38"/>
        <v>Water</v>
      </c>
      <c r="AQ127" s="963" t="str">
        <f t="shared" si="39"/>
        <v>Variable</v>
      </c>
      <c r="AR127" s="967" t="str">
        <f t="shared" si="40"/>
        <v>-</v>
      </c>
      <c r="AS127" s="964" t="str">
        <f t="shared" si="41"/>
        <v>-</v>
      </c>
      <c r="AT127" s="964" t="str">
        <f t="shared" si="42"/>
        <v>-</v>
      </c>
      <c r="AU127" s="964" t="str">
        <f t="shared" si="43"/>
        <v>-</v>
      </c>
      <c r="AV127" s="1350" t="str">
        <f t="shared" si="44"/>
        <v>-</v>
      </c>
      <c r="AW127" s="1343" t="str">
        <f t="shared" si="45"/>
        <v>-</v>
      </c>
      <c r="AX127" s="964" t="str">
        <f t="shared" si="46"/>
        <v>-</v>
      </c>
      <c r="AY127" s="964" t="str">
        <f t="shared" si="47"/>
        <v>-</v>
      </c>
      <c r="AZ127" s="964" t="str">
        <f t="shared" si="48"/>
        <v>-</v>
      </c>
      <c r="BA127" s="965" t="str">
        <f t="shared" si="49"/>
        <v>-</v>
      </c>
      <c r="BB127" s="1343" t="str">
        <f t="shared" si="50"/>
        <v>-</v>
      </c>
      <c r="BC127" s="964" t="str">
        <f t="shared" si="51"/>
        <v>-</v>
      </c>
      <c r="BD127" s="964" t="str">
        <f t="shared" si="52"/>
        <v>-</v>
      </c>
      <c r="BE127" s="964" t="str">
        <f t="shared" si="53"/>
        <v>-</v>
      </c>
      <c r="BF127" s="966" t="str">
        <f t="shared" si="54"/>
        <v>-</v>
      </c>
      <c r="BG127" s="951"/>
      <c r="BH127" s="1541" t="str">
        <f t="shared" si="55"/>
        <v>Qty</v>
      </c>
      <c r="BI127" s="1542" t="str">
        <f t="shared" si="56"/>
        <v>Water</v>
      </c>
      <c r="BJ127" s="1543" t="str">
        <f t="shared" si="57"/>
        <v>Variable</v>
      </c>
      <c r="BK127" s="964" t="str">
        <f t="shared" ref="BK127:BU127" si="143">IF(V127="","-",IFERROR((V127/U127-1)*(U128/U$13),"-"))</f>
        <v>-</v>
      </c>
      <c r="BL127" s="964" t="str">
        <f t="shared" si="143"/>
        <v>-</v>
      </c>
      <c r="BM127" s="964" t="str">
        <f t="shared" si="143"/>
        <v>-</v>
      </c>
      <c r="BN127" s="964" t="str">
        <f t="shared" si="143"/>
        <v>-</v>
      </c>
      <c r="BO127" s="1350" t="str">
        <f t="shared" si="143"/>
        <v>-</v>
      </c>
      <c r="BP127" s="1343" t="str">
        <f t="shared" si="143"/>
        <v>-</v>
      </c>
      <c r="BQ127" s="964" t="str">
        <f t="shared" si="143"/>
        <v>-</v>
      </c>
      <c r="BR127" s="964" t="str">
        <f t="shared" si="143"/>
        <v>-</v>
      </c>
      <c r="BS127" s="964" t="str">
        <f t="shared" si="143"/>
        <v>-</v>
      </c>
      <c r="BT127" s="965" t="str">
        <f t="shared" si="143"/>
        <v>-</v>
      </c>
      <c r="BU127" s="964" t="str">
        <f t="shared" si="143"/>
        <v>-</v>
      </c>
      <c r="BV127" s="964" t="str">
        <f>IF(AG127="","-",IFERROR((AG127/AF127-1)*(AF128/AF$13),"-"))</f>
        <v>-</v>
      </c>
      <c r="BW127" s="964" t="str">
        <f>IF(AH127="","-",IFERROR((AH127/AG127-1)*(AG128/AG$13),"-"))</f>
        <v>-</v>
      </c>
      <c r="BX127" s="964" t="str">
        <f>IF(AI127="","-",IFERROR((AI127/AH127-1)*(AH128/AH$13),"-"))</f>
        <v>-</v>
      </c>
      <c r="BY127" s="966" t="str">
        <f>IF(AJ127="","-",IFERROR((AJ127/AI127-1)*(AI128/AI$13),"-"))</f>
        <v>-</v>
      </c>
      <c r="BZ127" s="951"/>
      <c r="CA127" s="961" t="str">
        <f t="shared" si="34"/>
        <v>Qty</v>
      </c>
      <c r="CB127" s="962" t="str">
        <f t="shared" si="35"/>
        <v>Water</v>
      </c>
      <c r="CC127" s="962" t="str">
        <f t="shared" si="36"/>
        <v>Variable</v>
      </c>
      <c r="CD127" s="967" t="str">
        <f t="shared" si="66"/>
        <v>-</v>
      </c>
      <c r="CE127" s="964" t="str">
        <f t="shared" si="59"/>
        <v>-</v>
      </c>
      <c r="CF127" s="964" t="str">
        <f t="shared" si="60"/>
        <v>-</v>
      </c>
      <c r="CG127" s="965" t="str">
        <f t="shared" si="61"/>
        <v>-</v>
      </c>
      <c r="CH127" s="964" t="str">
        <f t="shared" si="67"/>
        <v>-</v>
      </c>
      <c r="CI127" s="964" t="str">
        <f t="shared" si="62"/>
        <v>-</v>
      </c>
      <c r="CJ127" s="964" t="str">
        <f t="shared" si="63"/>
        <v>-</v>
      </c>
      <c r="CK127" s="966" t="str">
        <f t="shared" si="64"/>
        <v>-</v>
      </c>
    </row>
    <row r="128" spans="4:89" ht="12.75" thickBot="1">
      <c r="E128" s="568" t="s">
        <v>882</v>
      </c>
      <c r="F128" s="560" t="str">
        <f>+F126</f>
        <v>Water</v>
      </c>
      <c r="G128" s="561" t="str">
        <f>+G126</f>
        <v>WPW</v>
      </c>
      <c r="H128" s="561" t="str">
        <f>+H126</f>
        <v>Transfer</v>
      </c>
      <c r="I128" s="562" t="str">
        <f>+I126</f>
        <v>Variable</v>
      </c>
      <c r="J128" s="563" t="s">
        <v>883</v>
      </c>
      <c r="K128" s="564">
        <f t="shared" ref="K128:AJ128" si="144">K126*K127/10^6</f>
        <v>0</v>
      </c>
      <c r="L128" s="565">
        <f t="shared" si="144"/>
        <v>0</v>
      </c>
      <c r="M128" s="565">
        <f t="shared" si="144"/>
        <v>0</v>
      </c>
      <c r="N128" s="564">
        <f t="shared" si="144"/>
        <v>0</v>
      </c>
      <c r="O128" s="565">
        <f t="shared" si="144"/>
        <v>0</v>
      </c>
      <c r="P128" s="565">
        <f t="shared" si="144"/>
        <v>0</v>
      </c>
      <c r="Q128" s="565">
        <f t="shared" si="144"/>
        <v>0</v>
      </c>
      <c r="R128" s="566">
        <f t="shared" si="144"/>
        <v>0</v>
      </c>
      <c r="S128" s="564">
        <f t="shared" si="144"/>
        <v>0</v>
      </c>
      <c r="T128" s="565">
        <f t="shared" si="144"/>
        <v>0</v>
      </c>
      <c r="U128" s="566">
        <f t="shared" si="144"/>
        <v>0</v>
      </c>
      <c r="V128" s="564">
        <f t="shared" si="144"/>
        <v>0</v>
      </c>
      <c r="W128" s="565">
        <f t="shared" si="144"/>
        <v>0</v>
      </c>
      <c r="X128" s="565">
        <f t="shared" si="144"/>
        <v>0</v>
      </c>
      <c r="Y128" s="565">
        <f t="shared" si="144"/>
        <v>0</v>
      </c>
      <c r="Z128" s="566">
        <f t="shared" si="144"/>
        <v>0</v>
      </c>
      <c r="AA128" s="564">
        <f t="shared" si="144"/>
        <v>0</v>
      </c>
      <c r="AB128" s="565">
        <f t="shared" si="144"/>
        <v>0</v>
      </c>
      <c r="AC128" s="565">
        <f t="shared" si="144"/>
        <v>0</v>
      </c>
      <c r="AD128" s="565">
        <f t="shared" si="144"/>
        <v>0</v>
      </c>
      <c r="AE128" s="566">
        <f t="shared" si="144"/>
        <v>0</v>
      </c>
      <c r="AF128" s="564">
        <f t="shared" si="144"/>
        <v>0</v>
      </c>
      <c r="AG128" s="565">
        <f t="shared" si="144"/>
        <v>0</v>
      </c>
      <c r="AH128" s="565">
        <f t="shared" si="144"/>
        <v>0</v>
      </c>
      <c r="AI128" s="565">
        <f t="shared" si="144"/>
        <v>0</v>
      </c>
      <c r="AJ128" s="566">
        <f t="shared" si="144"/>
        <v>0</v>
      </c>
      <c r="AK128" s="569"/>
      <c r="AL128" s="569"/>
      <c r="AN128" s="857"/>
      <c r="AO128" s="984" t="str">
        <f t="shared" si="37"/>
        <v>Rev</v>
      </c>
      <c r="AP128" s="985" t="str">
        <f t="shared" si="38"/>
        <v>Water</v>
      </c>
      <c r="AQ128" s="986" t="str">
        <f t="shared" si="39"/>
        <v>Variable</v>
      </c>
      <c r="AR128" s="990" t="str">
        <f t="shared" si="40"/>
        <v>-</v>
      </c>
      <c r="AS128" s="987" t="str">
        <f t="shared" si="41"/>
        <v>-</v>
      </c>
      <c r="AT128" s="987" t="str">
        <f t="shared" si="42"/>
        <v>-</v>
      </c>
      <c r="AU128" s="987" t="str">
        <f t="shared" si="43"/>
        <v>-</v>
      </c>
      <c r="AV128" s="1353" t="str">
        <f t="shared" si="44"/>
        <v>-</v>
      </c>
      <c r="AW128" s="1346" t="str">
        <f t="shared" si="45"/>
        <v>-</v>
      </c>
      <c r="AX128" s="987" t="str">
        <f t="shared" si="46"/>
        <v>-</v>
      </c>
      <c r="AY128" s="987" t="str">
        <f t="shared" si="47"/>
        <v>-</v>
      </c>
      <c r="AZ128" s="987" t="str">
        <f t="shared" si="48"/>
        <v>-</v>
      </c>
      <c r="BA128" s="988" t="str">
        <f t="shared" si="49"/>
        <v>-</v>
      </c>
      <c r="BB128" s="1346" t="str">
        <f t="shared" si="50"/>
        <v>-</v>
      </c>
      <c r="BC128" s="987" t="str">
        <f t="shared" si="51"/>
        <v>-</v>
      </c>
      <c r="BD128" s="987" t="str">
        <f t="shared" si="52"/>
        <v>-</v>
      </c>
      <c r="BE128" s="987" t="str">
        <f t="shared" si="53"/>
        <v>-</v>
      </c>
      <c r="BF128" s="989" t="str">
        <f t="shared" si="54"/>
        <v>-</v>
      </c>
      <c r="BG128" s="951"/>
      <c r="BH128" s="1550" t="str">
        <f t="shared" si="55"/>
        <v>Rev</v>
      </c>
      <c r="BI128" s="1551" t="str">
        <f t="shared" si="56"/>
        <v>Water</v>
      </c>
      <c r="BJ128" s="1552" t="str">
        <f t="shared" si="57"/>
        <v>Variable</v>
      </c>
      <c r="BK128" s="987" t="str">
        <f t="shared" ref="BK128:BU128" si="145">IF(V128="","-",IFERROR((V128/U128-1)*(U128/U$13),"-"))</f>
        <v>-</v>
      </c>
      <c r="BL128" s="987" t="str">
        <f t="shared" si="145"/>
        <v>-</v>
      </c>
      <c r="BM128" s="987" t="str">
        <f t="shared" si="145"/>
        <v>-</v>
      </c>
      <c r="BN128" s="987" t="str">
        <f t="shared" si="145"/>
        <v>-</v>
      </c>
      <c r="BO128" s="1353" t="str">
        <f t="shared" si="145"/>
        <v>-</v>
      </c>
      <c r="BP128" s="1346" t="str">
        <f t="shared" si="145"/>
        <v>-</v>
      </c>
      <c r="BQ128" s="987" t="str">
        <f t="shared" si="145"/>
        <v>-</v>
      </c>
      <c r="BR128" s="987" t="str">
        <f t="shared" si="145"/>
        <v>-</v>
      </c>
      <c r="BS128" s="987" t="str">
        <f t="shared" si="145"/>
        <v>-</v>
      </c>
      <c r="BT128" s="988" t="str">
        <f t="shared" si="145"/>
        <v>-</v>
      </c>
      <c r="BU128" s="987" t="str">
        <f t="shared" si="145"/>
        <v>-</v>
      </c>
      <c r="BV128" s="987" t="str">
        <f>IF(AG128="","-",IFERROR((AG128/AF128-1)*(AF128/AF$13),"-"))</f>
        <v>-</v>
      </c>
      <c r="BW128" s="987" t="str">
        <f>IF(AH128="","-",IFERROR((AH128/AG128-1)*(AG128/AG$13),"-"))</f>
        <v>-</v>
      </c>
      <c r="BX128" s="987" t="str">
        <f>IF(AI128="","-",IFERROR((AI128/AH128-1)*(AH128/AH$13),"-"))</f>
        <v>-</v>
      </c>
      <c r="BY128" s="989" t="str">
        <f>IF(AJ128="","-",IFERROR((AJ128/AI128-1)*(AI128/AI$13),"-"))</f>
        <v>-</v>
      </c>
      <c r="BZ128" s="951"/>
      <c r="CA128" s="984" t="str">
        <f t="shared" si="34"/>
        <v>Rev</v>
      </c>
      <c r="CB128" s="985" t="str">
        <f t="shared" si="35"/>
        <v>Water</v>
      </c>
      <c r="CC128" s="985" t="str">
        <f t="shared" si="36"/>
        <v>Variable</v>
      </c>
      <c r="CD128" s="990" t="str">
        <f t="shared" si="66"/>
        <v>-</v>
      </c>
      <c r="CE128" s="987" t="str">
        <f t="shared" si="59"/>
        <v>-</v>
      </c>
      <c r="CF128" s="987" t="str">
        <f t="shared" si="60"/>
        <v>-</v>
      </c>
      <c r="CG128" s="988" t="str">
        <f t="shared" si="61"/>
        <v>-</v>
      </c>
      <c r="CH128" s="987" t="str">
        <f t="shared" si="67"/>
        <v>-</v>
      </c>
      <c r="CI128" s="987" t="str">
        <f t="shared" si="62"/>
        <v>-</v>
      </c>
      <c r="CJ128" s="987" t="str">
        <f t="shared" si="63"/>
        <v>-</v>
      </c>
      <c r="CK128" s="989" t="str">
        <f t="shared" si="64"/>
        <v>-</v>
      </c>
    </row>
    <row r="129" spans="4:89">
      <c r="D129" s="63">
        <f>D126+1</f>
        <v>21</v>
      </c>
      <c r="E129" s="550" t="s">
        <v>857</v>
      </c>
      <c r="F129" s="595" t="s">
        <v>401</v>
      </c>
      <c r="G129" s="595" t="s">
        <v>888</v>
      </c>
      <c r="H129" s="595" t="s">
        <v>889</v>
      </c>
      <c r="I129" s="589" t="s">
        <v>843</v>
      </c>
      <c r="J129" s="589" t="s">
        <v>879</v>
      </c>
      <c r="K129" s="551"/>
      <c r="L129" s="552"/>
      <c r="M129" s="552"/>
      <c r="N129" s="551"/>
      <c r="O129" s="552"/>
      <c r="P129" s="552"/>
      <c r="Q129" s="552"/>
      <c r="R129" s="1035"/>
      <c r="S129" s="1138"/>
      <c r="T129" s="591"/>
      <c r="U129" s="1035"/>
      <c r="V129" s="1138"/>
      <c r="W129" s="591"/>
      <c r="X129" s="591"/>
      <c r="Y129" s="591"/>
      <c r="Z129" s="1035"/>
      <c r="AA129" s="1138"/>
      <c r="AB129" s="591"/>
      <c r="AC129" s="591"/>
      <c r="AD129" s="591"/>
      <c r="AE129" s="1035"/>
      <c r="AF129" s="1138"/>
      <c r="AG129" s="591"/>
      <c r="AH129" s="591"/>
      <c r="AI129" s="591"/>
      <c r="AJ129" s="1035"/>
      <c r="AK129" s="569"/>
      <c r="AL129" s="569"/>
      <c r="AM129" s="974"/>
      <c r="AN129" s="857"/>
      <c r="AO129" s="975" t="str">
        <f t="shared" si="37"/>
        <v>Price</v>
      </c>
      <c r="AP129" s="976" t="str">
        <f t="shared" si="38"/>
        <v>Water</v>
      </c>
      <c r="AQ129" s="977" t="str">
        <f t="shared" si="39"/>
        <v>Variable</v>
      </c>
      <c r="AR129" s="1341" t="str">
        <f t="shared" si="40"/>
        <v>-</v>
      </c>
      <c r="AS129" s="978" t="str">
        <f t="shared" si="41"/>
        <v>-</v>
      </c>
      <c r="AT129" s="979" t="str">
        <f t="shared" si="42"/>
        <v>-</v>
      </c>
      <c r="AU129" s="979" t="str">
        <f t="shared" si="43"/>
        <v>-</v>
      </c>
      <c r="AV129" s="1352" t="str">
        <f t="shared" si="44"/>
        <v>-</v>
      </c>
      <c r="AW129" s="1508"/>
      <c r="AX129" s="979" t="str">
        <f t="shared" si="46"/>
        <v>-</v>
      </c>
      <c r="AY129" s="979" t="str">
        <f t="shared" si="47"/>
        <v>-</v>
      </c>
      <c r="AZ129" s="979" t="str">
        <f t="shared" si="48"/>
        <v>-</v>
      </c>
      <c r="BA129" s="980" t="str">
        <f t="shared" si="49"/>
        <v>-</v>
      </c>
      <c r="BB129" s="1345" t="str">
        <f t="shared" si="50"/>
        <v>-</v>
      </c>
      <c r="BC129" s="979" t="str">
        <f t="shared" si="51"/>
        <v>-</v>
      </c>
      <c r="BD129" s="979" t="str">
        <f t="shared" si="52"/>
        <v>-</v>
      </c>
      <c r="BE129" s="979" t="str">
        <f t="shared" si="53"/>
        <v>-</v>
      </c>
      <c r="BF129" s="981" t="str">
        <f t="shared" si="54"/>
        <v>-</v>
      </c>
      <c r="BG129" s="951"/>
      <c r="BH129" s="1547" t="str">
        <f t="shared" si="55"/>
        <v>Price</v>
      </c>
      <c r="BI129" s="1548" t="str">
        <f t="shared" si="56"/>
        <v>Water</v>
      </c>
      <c r="BJ129" s="1549" t="str">
        <f t="shared" si="57"/>
        <v>Variable</v>
      </c>
      <c r="BK129" s="978" t="str">
        <f t="shared" ref="BK129:BU129" si="146">IF(V129="","-",IFERROR((V129/U129-1)*(U131/U$13),"-"))</f>
        <v>-</v>
      </c>
      <c r="BL129" s="978" t="str">
        <f t="shared" si="146"/>
        <v>-</v>
      </c>
      <c r="BM129" s="979" t="str">
        <f t="shared" si="146"/>
        <v>-</v>
      </c>
      <c r="BN129" s="979" t="str">
        <f t="shared" si="146"/>
        <v>-</v>
      </c>
      <c r="BO129" s="1352" t="str">
        <f t="shared" si="146"/>
        <v>-</v>
      </c>
      <c r="BP129" s="1508"/>
      <c r="BQ129" s="979" t="str">
        <f t="shared" si="146"/>
        <v>-</v>
      </c>
      <c r="BR129" s="979" t="str">
        <f t="shared" si="146"/>
        <v>-</v>
      </c>
      <c r="BS129" s="979" t="str">
        <f t="shared" si="146"/>
        <v>-</v>
      </c>
      <c r="BT129" s="980" t="str">
        <f t="shared" si="146"/>
        <v>-</v>
      </c>
      <c r="BU129" s="979" t="str">
        <f t="shared" si="146"/>
        <v>-</v>
      </c>
      <c r="BV129" s="979" t="str">
        <f>IF(AG129="","-",IFERROR((AG129/AF129-1)*(AF131/AF$13),"-"))</f>
        <v>-</v>
      </c>
      <c r="BW129" s="979" t="str">
        <f>IF(AH129="","-",IFERROR((AH129/AG129-1)*(AG131/AG$13),"-"))</f>
        <v>-</v>
      </c>
      <c r="BX129" s="979" t="str">
        <f>IF(AI129="","-",IFERROR((AI129/AH129-1)*(AH131/AH$13),"-"))</f>
        <v>-</v>
      </c>
      <c r="BY129" s="981" t="str">
        <f>IF(AJ129="","-",IFERROR((AJ129/AI129-1)*(AI131/AI$13),"-"))</f>
        <v>-</v>
      </c>
      <c r="BZ129" s="951"/>
      <c r="CA129" s="975" t="str">
        <f t="shared" si="34"/>
        <v>Price</v>
      </c>
      <c r="CB129" s="976" t="str">
        <f t="shared" si="35"/>
        <v>Water</v>
      </c>
      <c r="CC129" s="982" t="str">
        <f t="shared" si="36"/>
        <v>Variable</v>
      </c>
      <c r="CD129" s="983" t="str">
        <f t="shared" si="66"/>
        <v>-</v>
      </c>
      <c r="CE129" s="979" t="str">
        <f t="shared" si="59"/>
        <v>-</v>
      </c>
      <c r="CF129" s="979" t="str">
        <f t="shared" si="60"/>
        <v>-</v>
      </c>
      <c r="CG129" s="980" t="str">
        <f t="shared" si="61"/>
        <v>-</v>
      </c>
      <c r="CH129" s="979" t="str">
        <f t="shared" si="67"/>
        <v>-</v>
      </c>
      <c r="CI129" s="979" t="str">
        <f t="shared" si="62"/>
        <v>-</v>
      </c>
      <c r="CJ129" s="979" t="str">
        <f t="shared" si="63"/>
        <v>-</v>
      </c>
      <c r="CK129" s="981" t="str">
        <f t="shared" si="64"/>
        <v>-</v>
      </c>
    </row>
    <row r="130" spans="4:89">
      <c r="E130" s="567" t="s">
        <v>880</v>
      </c>
      <c r="F130" s="554" t="str">
        <f>+F129</f>
        <v>Water</v>
      </c>
      <c r="G130" s="555" t="str">
        <f>+G129</f>
        <v>GW</v>
      </c>
      <c r="H130" s="555" t="str">
        <f>+H129</f>
        <v>Tarago Headworks/Transfer</v>
      </c>
      <c r="I130" s="556" t="str">
        <f>+I129</f>
        <v>Variable</v>
      </c>
      <c r="J130" s="590" t="s">
        <v>887</v>
      </c>
      <c r="K130" s="557"/>
      <c r="L130" s="558"/>
      <c r="M130" s="558"/>
      <c r="N130" s="557"/>
      <c r="O130" s="558"/>
      <c r="P130" s="558"/>
      <c r="Q130" s="558"/>
      <c r="R130" s="1036"/>
      <c r="S130" s="1139"/>
      <c r="T130" s="593"/>
      <c r="U130" s="1036"/>
      <c r="V130" s="1139"/>
      <c r="W130" s="593"/>
      <c r="X130" s="593"/>
      <c r="Y130" s="593"/>
      <c r="Z130" s="1036"/>
      <c r="AA130" s="1139"/>
      <c r="AB130" s="593"/>
      <c r="AC130" s="593"/>
      <c r="AD130" s="593"/>
      <c r="AE130" s="1036"/>
      <c r="AF130" s="1139"/>
      <c r="AG130" s="593"/>
      <c r="AH130" s="593"/>
      <c r="AI130" s="593"/>
      <c r="AJ130" s="1036"/>
      <c r="AK130" s="569"/>
      <c r="AL130" s="569"/>
      <c r="AN130" s="857"/>
      <c r="AO130" s="961" t="str">
        <f t="shared" si="37"/>
        <v>Qty</v>
      </c>
      <c r="AP130" s="962" t="str">
        <f t="shared" si="38"/>
        <v>Water</v>
      </c>
      <c r="AQ130" s="963" t="str">
        <f t="shared" si="39"/>
        <v>Variable</v>
      </c>
      <c r="AR130" s="967" t="str">
        <f t="shared" si="40"/>
        <v>-</v>
      </c>
      <c r="AS130" s="964" t="str">
        <f t="shared" si="41"/>
        <v>-</v>
      </c>
      <c r="AT130" s="964" t="str">
        <f t="shared" si="42"/>
        <v>-</v>
      </c>
      <c r="AU130" s="964" t="str">
        <f t="shared" si="43"/>
        <v>-</v>
      </c>
      <c r="AV130" s="1350" t="str">
        <f t="shared" si="44"/>
        <v>-</v>
      </c>
      <c r="AW130" s="1343" t="str">
        <f t="shared" si="45"/>
        <v>-</v>
      </c>
      <c r="AX130" s="964" t="str">
        <f t="shared" si="46"/>
        <v>-</v>
      </c>
      <c r="AY130" s="964" t="str">
        <f t="shared" si="47"/>
        <v>-</v>
      </c>
      <c r="AZ130" s="964" t="str">
        <f t="shared" si="48"/>
        <v>-</v>
      </c>
      <c r="BA130" s="965" t="str">
        <f t="shared" si="49"/>
        <v>-</v>
      </c>
      <c r="BB130" s="1343" t="str">
        <f t="shared" si="50"/>
        <v>-</v>
      </c>
      <c r="BC130" s="964" t="str">
        <f t="shared" si="51"/>
        <v>-</v>
      </c>
      <c r="BD130" s="964" t="str">
        <f t="shared" si="52"/>
        <v>-</v>
      </c>
      <c r="BE130" s="964" t="str">
        <f t="shared" si="53"/>
        <v>-</v>
      </c>
      <c r="BF130" s="966" t="str">
        <f t="shared" si="54"/>
        <v>-</v>
      </c>
      <c r="BG130" s="951"/>
      <c r="BH130" s="1541" t="str">
        <f t="shared" si="55"/>
        <v>Qty</v>
      </c>
      <c r="BI130" s="1542" t="str">
        <f t="shared" si="56"/>
        <v>Water</v>
      </c>
      <c r="BJ130" s="1543" t="str">
        <f t="shared" si="57"/>
        <v>Variable</v>
      </c>
      <c r="BK130" s="964" t="str">
        <f t="shared" ref="BK130:BU130" si="147">IF(V130="","-",IFERROR((V130/U130-1)*(U131/U$13),"-"))</f>
        <v>-</v>
      </c>
      <c r="BL130" s="964" t="str">
        <f t="shared" si="147"/>
        <v>-</v>
      </c>
      <c r="BM130" s="964" t="str">
        <f t="shared" si="147"/>
        <v>-</v>
      </c>
      <c r="BN130" s="964" t="str">
        <f t="shared" si="147"/>
        <v>-</v>
      </c>
      <c r="BO130" s="1350" t="str">
        <f t="shared" si="147"/>
        <v>-</v>
      </c>
      <c r="BP130" s="1343" t="str">
        <f t="shared" si="147"/>
        <v>-</v>
      </c>
      <c r="BQ130" s="964" t="str">
        <f t="shared" si="147"/>
        <v>-</v>
      </c>
      <c r="BR130" s="964" t="str">
        <f t="shared" si="147"/>
        <v>-</v>
      </c>
      <c r="BS130" s="964" t="str">
        <f t="shared" si="147"/>
        <v>-</v>
      </c>
      <c r="BT130" s="965" t="str">
        <f t="shared" si="147"/>
        <v>-</v>
      </c>
      <c r="BU130" s="964" t="str">
        <f t="shared" si="147"/>
        <v>-</v>
      </c>
      <c r="BV130" s="964" t="str">
        <f>IF(AG130="","-",IFERROR((AG130/AF130-1)*(AF131/AF$13),"-"))</f>
        <v>-</v>
      </c>
      <c r="BW130" s="964" t="str">
        <f>IF(AH130="","-",IFERROR((AH130/AG130-1)*(AG131/AG$13),"-"))</f>
        <v>-</v>
      </c>
      <c r="BX130" s="964" t="str">
        <f>IF(AI130="","-",IFERROR((AI130/AH130-1)*(AH131/AH$13),"-"))</f>
        <v>-</v>
      </c>
      <c r="BY130" s="966" t="str">
        <f>IF(AJ130="","-",IFERROR((AJ130/AI130-1)*(AI131/AI$13),"-"))</f>
        <v>-</v>
      </c>
      <c r="BZ130" s="951"/>
      <c r="CA130" s="961" t="str">
        <f t="shared" si="34"/>
        <v>Qty</v>
      </c>
      <c r="CB130" s="962" t="str">
        <f t="shared" si="35"/>
        <v>Water</v>
      </c>
      <c r="CC130" s="962" t="str">
        <f t="shared" si="36"/>
        <v>Variable</v>
      </c>
      <c r="CD130" s="967" t="str">
        <f t="shared" si="66"/>
        <v>-</v>
      </c>
      <c r="CE130" s="964" t="str">
        <f t="shared" si="59"/>
        <v>-</v>
      </c>
      <c r="CF130" s="964" t="str">
        <f t="shared" si="60"/>
        <v>-</v>
      </c>
      <c r="CG130" s="965" t="str">
        <f t="shared" si="61"/>
        <v>-</v>
      </c>
      <c r="CH130" s="964" t="str">
        <f t="shared" si="67"/>
        <v>-</v>
      </c>
      <c r="CI130" s="964" t="str">
        <f t="shared" si="62"/>
        <v>-</v>
      </c>
      <c r="CJ130" s="964" t="str">
        <f t="shared" si="63"/>
        <v>-</v>
      </c>
      <c r="CK130" s="966" t="str">
        <f t="shared" si="64"/>
        <v>-</v>
      </c>
    </row>
    <row r="131" spans="4:89" ht="12.75" thickBot="1">
      <c r="E131" s="568" t="s">
        <v>882</v>
      </c>
      <c r="F131" s="560" t="str">
        <f>+F129</f>
        <v>Water</v>
      </c>
      <c r="G131" s="561" t="str">
        <f>+G129</f>
        <v>GW</v>
      </c>
      <c r="H131" s="561" t="str">
        <f>+H129</f>
        <v>Tarago Headworks/Transfer</v>
      </c>
      <c r="I131" s="562" t="str">
        <f>+I129</f>
        <v>Variable</v>
      </c>
      <c r="J131" s="563" t="s">
        <v>883</v>
      </c>
      <c r="K131" s="564">
        <f t="shared" ref="K131:AJ131" si="148">K129*K130/10^6</f>
        <v>0</v>
      </c>
      <c r="L131" s="565">
        <f t="shared" si="148"/>
        <v>0</v>
      </c>
      <c r="M131" s="565">
        <f t="shared" si="148"/>
        <v>0</v>
      </c>
      <c r="N131" s="564">
        <f t="shared" si="148"/>
        <v>0</v>
      </c>
      <c r="O131" s="565">
        <f t="shared" si="148"/>
        <v>0</v>
      </c>
      <c r="P131" s="565">
        <f t="shared" si="148"/>
        <v>0</v>
      </c>
      <c r="Q131" s="565">
        <f t="shared" si="148"/>
        <v>0</v>
      </c>
      <c r="R131" s="566">
        <f t="shared" si="148"/>
        <v>0</v>
      </c>
      <c r="S131" s="564">
        <f t="shared" si="148"/>
        <v>0</v>
      </c>
      <c r="T131" s="565">
        <f t="shared" si="148"/>
        <v>0</v>
      </c>
      <c r="U131" s="566">
        <f t="shared" si="148"/>
        <v>0</v>
      </c>
      <c r="V131" s="564">
        <f t="shared" si="148"/>
        <v>0</v>
      </c>
      <c r="W131" s="565">
        <f t="shared" si="148"/>
        <v>0</v>
      </c>
      <c r="X131" s="565">
        <f t="shared" si="148"/>
        <v>0</v>
      </c>
      <c r="Y131" s="565">
        <f t="shared" si="148"/>
        <v>0</v>
      </c>
      <c r="Z131" s="566">
        <f t="shared" si="148"/>
        <v>0</v>
      </c>
      <c r="AA131" s="564">
        <f t="shared" si="148"/>
        <v>0</v>
      </c>
      <c r="AB131" s="565">
        <f t="shared" si="148"/>
        <v>0</v>
      </c>
      <c r="AC131" s="565">
        <f t="shared" si="148"/>
        <v>0</v>
      </c>
      <c r="AD131" s="565">
        <f t="shared" si="148"/>
        <v>0</v>
      </c>
      <c r="AE131" s="566">
        <f t="shared" si="148"/>
        <v>0</v>
      </c>
      <c r="AF131" s="564">
        <f t="shared" si="148"/>
        <v>0</v>
      </c>
      <c r="AG131" s="565">
        <f t="shared" si="148"/>
        <v>0</v>
      </c>
      <c r="AH131" s="565">
        <f t="shared" si="148"/>
        <v>0</v>
      </c>
      <c r="AI131" s="565">
        <f t="shared" si="148"/>
        <v>0</v>
      </c>
      <c r="AJ131" s="566">
        <f t="shared" si="148"/>
        <v>0</v>
      </c>
      <c r="AK131" s="569"/>
      <c r="AL131" s="569"/>
      <c r="AN131" s="857"/>
      <c r="AO131" s="984" t="str">
        <f t="shared" si="37"/>
        <v>Rev</v>
      </c>
      <c r="AP131" s="985" t="str">
        <f t="shared" si="38"/>
        <v>Water</v>
      </c>
      <c r="AQ131" s="986" t="str">
        <f t="shared" si="39"/>
        <v>Variable</v>
      </c>
      <c r="AR131" s="990" t="str">
        <f t="shared" si="40"/>
        <v>-</v>
      </c>
      <c r="AS131" s="987" t="str">
        <f t="shared" si="41"/>
        <v>-</v>
      </c>
      <c r="AT131" s="987" t="str">
        <f t="shared" si="42"/>
        <v>-</v>
      </c>
      <c r="AU131" s="987" t="str">
        <f t="shared" si="43"/>
        <v>-</v>
      </c>
      <c r="AV131" s="1353" t="str">
        <f t="shared" si="44"/>
        <v>-</v>
      </c>
      <c r="AW131" s="1346" t="str">
        <f t="shared" si="45"/>
        <v>-</v>
      </c>
      <c r="AX131" s="987" t="str">
        <f t="shared" si="46"/>
        <v>-</v>
      </c>
      <c r="AY131" s="987" t="str">
        <f t="shared" si="47"/>
        <v>-</v>
      </c>
      <c r="AZ131" s="987" t="str">
        <f t="shared" si="48"/>
        <v>-</v>
      </c>
      <c r="BA131" s="988" t="str">
        <f t="shared" si="49"/>
        <v>-</v>
      </c>
      <c r="BB131" s="1346" t="str">
        <f t="shared" si="50"/>
        <v>-</v>
      </c>
      <c r="BC131" s="987" t="str">
        <f t="shared" si="51"/>
        <v>-</v>
      </c>
      <c r="BD131" s="987" t="str">
        <f t="shared" si="52"/>
        <v>-</v>
      </c>
      <c r="BE131" s="987" t="str">
        <f t="shared" si="53"/>
        <v>-</v>
      </c>
      <c r="BF131" s="989" t="str">
        <f t="shared" si="54"/>
        <v>-</v>
      </c>
      <c r="BG131" s="951"/>
      <c r="BH131" s="1550" t="str">
        <f t="shared" si="55"/>
        <v>Rev</v>
      </c>
      <c r="BI131" s="1551" t="str">
        <f t="shared" si="56"/>
        <v>Water</v>
      </c>
      <c r="BJ131" s="1552" t="str">
        <f t="shared" si="57"/>
        <v>Variable</v>
      </c>
      <c r="BK131" s="987" t="str">
        <f t="shared" ref="BK131:BU131" si="149">IF(V131="","-",IFERROR((V131/U131-1)*(U131/U$13),"-"))</f>
        <v>-</v>
      </c>
      <c r="BL131" s="987" t="str">
        <f t="shared" si="149"/>
        <v>-</v>
      </c>
      <c r="BM131" s="987" t="str">
        <f t="shared" si="149"/>
        <v>-</v>
      </c>
      <c r="BN131" s="987" t="str">
        <f t="shared" si="149"/>
        <v>-</v>
      </c>
      <c r="BO131" s="1353" t="str">
        <f t="shared" si="149"/>
        <v>-</v>
      </c>
      <c r="BP131" s="1346" t="str">
        <f t="shared" si="149"/>
        <v>-</v>
      </c>
      <c r="BQ131" s="987" t="str">
        <f t="shared" si="149"/>
        <v>-</v>
      </c>
      <c r="BR131" s="987" t="str">
        <f t="shared" si="149"/>
        <v>-</v>
      </c>
      <c r="BS131" s="987" t="str">
        <f t="shared" si="149"/>
        <v>-</v>
      </c>
      <c r="BT131" s="988" t="str">
        <f t="shared" si="149"/>
        <v>-</v>
      </c>
      <c r="BU131" s="987" t="str">
        <f t="shared" si="149"/>
        <v>-</v>
      </c>
      <c r="BV131" s="987" t="str">
        <f>IF(AG131="","-",IFERROR((AG131/AF131-1)*(AF131/AF$13),"-"))</f>
        <v>-</v>
      </c>
      <c r="BW131" s="987" t="str">
        <f>IF(AH131="","-",IFERROR((AH131/AG131-1)*(AG131/AG$13),"-"))</f>
        <v>-</v>
      </c>
      <c r="BX131" s="987" t="str">
        <f>IF(AI131="","-",IFERROR((AI131/AH131-1)*(AH131/AH$13),"-"))</f>
        <v>-</v>
      </c>
      <c r="BY131" s="989" t="str">
        <f>IF(AJ131="","-",IFERROR((AJ131/AI131-1)*(AI131/AI$13),"-"))</f>
        <v>-</v>
      </c>
      <c r="BZ131" s="951"/>
      <c r="CA131" s="984" t="str">
        <f t="shared" si="34"/>
        <v>Rev</v>
      </c>
      <c r="CB131" s="985" t="str">
        <f t="shared" si="35"/>
        <v>Water</v>
      </c>
      <c r="CC131" s="985" t="str">
        <f t="shared" si="36"/>
        <v>Variable</v>
      </c>
      <c r="CD131" s="990" t="str">
        <f t="shared" si="66"/>
        <v>-</v>
      </c>
      <c r="CE131" s="987" t="str">
        <f t="shared" si="59"/>
        <v>-</v>
      </c>
      <c r="CF131" s="987" t="str">
        <f t="shared" si="60"/>
        <v>-</v>
      </c>
      <c r="CG131" s="988" t="str">
        <f t="shared" si="61"/>
        <v>-</v>
      </c>
      <c r="CH131" s="987" t="str">
        <f t="shared" si="67"/>
        <v>-</v>
      </c>
      <c r="CI131" s="987" t="str">
        <f t="shared" si="62"/>
        <v>-</v>
      </c>
      <c r="CJ131" s="987" t="str">
        <f t="shared" si="63"/>
        <v>-</v>
      </c>
      <c r="CK131" s="989" t="str">
        <f t="shared" si="64"/>
        <v>-</v>
      </c>
    </row>
    <row r="132" spans="4:89">
      <c r="D132" s="63">
        <f>D129+1</f>
        <v>22</v>
      </c>
      <c r="E132" s="550" t="s">
        <v>857</v>
      </c>
      <c r="F132" s="595" t="s">
        <v>401</v>
      </c>
      <c r="G132" s="595" t="s">
        <v>888</v>
      </c>
      <c r="H132" s="595" t="s">
        <v>515</v>
      </c>
      <c r="I132" s="589" t="s">
        <v>842</v>
      </c>
      <c r="J132" s="589" t="s">
        <v>879</v>
      </c>
      <c r="K132" s="551"/>
      <c r="L132" s="552"/>
      <c r="M132" s="552"/>
      <c r="N132" s="551"/>
      <c r="O132" s="552"/>
      <c r="P132" s="552"/>
      <c r="Q132" s="552"/>
      <c r="R132" s="1035"/>
      <c r="S132" s="1138"/>
      <c r="T132" s="591"/>
      <c r="U132" s="1035"/>
      <c r="V132" s="1138"/>
      <c r="W132" s="591"/>
      <c r="X132" s="591"/>
      <c r="Y132" s="591"/>
      <c r="Z132" s="1035"/>
      <c r="AA132" s="1138"/>
      <c r="AB132" s="591"/>
      <c r="AC132" s="591"/>
      <c r="AD132" s="591"/>
      <c r="AE132" s="1035"/>
      <c r="AF132" s="1138"/>
      <c r="AG132" s="591"/>
      <c r="AH132" s="591"/>
      <c r="AI132" s="591"/>
      <c r="AJ132" s="1035"/>
      <c r="AK132" s="569"/>
      <c r="AL132" s="569"/>
      <c r="AM132" s="974"/>
      <c r="AN132" s="857"/>
      <c r="AO132" s="975" t="str">
        <f t="shared" si="37"/>
        <v>Price</v>
      </c>
      <c r="AP132" s="976" t="str">
        <f t="shared" si="38"/>
        <v>Water</v>
      </c>
      <c r="AQ132" s="977" t="str">
        <f t="shared" si="39"/>
        <v>Fixed</v>
      </c>
      <c r="AR132" s="1341" t="str">
        <f t="shared" si="40"/>
        <v>-</v>
      </c>
      <c r="AS132" s="978" t="str">
        <f t="shared" si="41"/>
        <v>-</v>
      </c>
      <c r="AT132" s="979" t="str">
        <f t="shared" si="42"/>
        <v>-</v>
      </c>
      <c r="AU132" s="979" t="str">
        <f t="shared" si="43"/>
        <v>-</v>
      </c>
      <c r="AV132" s="1352" t="str">
        <f t="shared" si="44"/>
        <v>-</v>
      </c>
      <c r="AW132" s="1345" t="str">
        <f t="shared" si="45"/>
        <v>-</v>
      </c>
      <c r="AX132" s="979" t="str">
        <f t="shared" si="46"/>
        <v>-</v>
      </c>
      <c r="AY132" s="979" t="str">
        <f t="shared" si="47"/>
        <v>-</v>
      </c>
      <c r="AZ132" s="979" t="str">
        <f t="shared" si="48"/>
        <v>-</v>
      </c>
      <c r="BA132" s="980" t="str">
        <f t="shared" si="49"/>
        <v>-</v>
      </c>
      <c r="BB132" s="1345" t="str">
        <f t="shared" si="50"/>
        <v>-</v>
      </c>
      <c r="BC132" s="979" t="str">
        <f t="shared" si="51"/>
        <v>-</v>
      </c>
      <c r="BD132" s="979" t="str">
        <f t="shared" si="52"/>
        <v>-</v>
      </c>
      <c r="BE132" s="979" t="str">
        <f t="shared" si="53"/>
        <v>-</v>
      </c>
      <c r="BF132" s="981" t="str">
        <f t="shared" si="54"/>
        <v>-</v>
      </c>
      <c r="BG132" s="951"/>
      <c r="BH132" s="1547" t="str">
        <f t="shared" si="55"/>
        <v>Price</v>
      </c>
      <c r="BI132" s="1548" t="str">
        <f t="shared" si="56"/>
        <v>Water</v>
      </c>
      <c r="BJ132" s="1549" t="str">
        <f t="shared" si="57"/>
        <v>Fixed</v>
      </c>
      <c r="BK132" s="978" t="str">
        <f t="shared" ref="BK132:BU132" si="150">IF(V132="","-",IFERROR((V132/U132-1)*(U134/U$13),"-"))</f>
        <v>-</v>
      </c>
      <c r="BL132" s="978" t="str">
        <f t="shared" si="150"/>
        <v>-</v>
      </c>
      <c r="BM132" s="979" t="str">
        <f t="shared" si="150"/>
        <v>-</v>
      </c>
      <c r="BN132" s="979" t="str">
        <f t="shared" si="150"/>
        <v>-</v>
      </c>
      <c r="BO132" s="1352" t="str">
        <f t="shared" si="150"/>
        <v>-</v>
      </c>
      <c r="BP132" s="1345" t="str">
        <f t="shared" si="150"/>
        <v>-</v>
      </c>
      <c r="BQ132" s="979" t="str">
        <f t="shared" si="150"/>
        <v>-</v>
      </c>
      <c r="BR132" s="979" t="str">
        <f t="shared" si="150"/>
        <v>-</v>
      </c>
      <c r="BS132" s="979" t="str">
        <f t="shared" si="150"/>
        <v>-</v>
      </c>
      <c r="BT132" s="980" t="str">
        <f t="shared" si="150"/>
        <v>-</v>
      </c>
      <c r="BU132" s="979" t="str">
        <f t="shared" si="150"/>
        <v>-</v>
      </c>
      <c r="BV132" s="979" t="str">
        <f>IF(AG132="","-",IFERROR((AG132/AF132-1)*(AF134/AF$13),"-"))</f>
        <v>-</v>
      </c>
      <c r="BW132" s="979" t="str">
        <f>IF(AH132="","-",IFERROR((AH132/AG132-1)*(AG134/AG$13),"-"))</f>
        <v>-</v>
      </c>
      <c r="BX132" s="979" t="str">
        <f>IF(AI132="","-",IFERROR((AI132/AH132-1)*(AH134/AH$13),"-"))</f>
        <v>-</v>
      </c>
      <c r="BY132" s="981" t="str">
        <f>IF(AJ132="","-",IFERROR((AJ132/AI132-1)*(AI134/AI$13),"-"))</f>
        <v>-</v>
      </c>
      <c r="BZ132" s="951"/>
      <c r="CA132" s="975" t="str">
        <f t="shared" ref="CA132:CA195" si="151">AO132</f>
        <v>Price</v>
      </c>
      <c r="CB132" s="976" t="str">
        <f t="shared" ref="CB132:CB195" si="152">AP132</f>
        <v>Water</v>
      </c>
      <c r="CC132" s="982" t="str">
        <f t="shared" ref="CC132:CC195" si="153">AQ132</f>
        <v>Fixed</v>
      </c>
      <c r="CD132" s="983" t="str">
        <f t="shared" si="66"/>
        <v>-</v>
      </c>
      <c r="CE132" s="979" t="str">
        <f t="shared" si="59"/>
        <v>-</v>
      </c>
      <c r="CF132" s="979" t="str">
        <f t="shared" si="60"/>
        <v>-</v>
      </c>
      <c r="CG132" s="980" t="str">
        <f t="shared" si="61"/>
        <v>-</v>
      </c>
      <c r="CH132" s="979" t="str">
        <f t="shared" si="67"/>
        <v>-</v>
      </c>
      <c r="CI132" s="979" t="str">
        <f t="shared" si="62"/>
        <v>-</v>
      </c>
      <c r="CJ132" s="979" t="str">
        <f t="shared" si="63"/>
        <v>-</v>
      </c>
      <c r="CK132" s="981" t="str">
        <f t="shared" si="64"/>
        <v>-</v>
      </c>
    </row>
    <row r="133" spans="4:89">
      <c r="E133" s="567" t="s">
        <v>880</v>
      </c>
      <c r="F133" s="554" t="str">
        <f>+F132</f>
        <v>Water</v>
      </c>
      <c r="G133" s="555" t="str">
        <f>+G132</f>
        <v>GW</v>
      </c>
      <c r="H133" s="555" t="str">
        <f>+H132</f>
        <v>Headworks</v>
      </c>
      <c r="I133" s="556" t="str">
        <f>+I132</f>
        <v>Fixed</v>
      </c>
      <c r="J133" s="590" t="s">
        <v>890</v>
      </c>
      <c r="K133" s="557"/>
      <c r="L133" s="558"/>
      <c r="M133" s="558"/>
      <c r="N133" s="557"/>
      <c r="O133" s="558"/>
      <c r="P133" s="558"/>
      <c r="Q133" s="558"/>
      <c r="R133" s="1036"/>
      <c r="S133" s="1139"/>
      <c r="T133" s="593"/>
      <c r="U133" s="1036"/>
      <c r="V133" s="1139"/>
      <c r="W133" s="593"/>
      <c r="X133" s="593"/>
      <c r="Y133" s="593"/>
      <c r="Z133" s="1036"/>
      <c r="AA133" s="1139"/>
      <c r="AB133" s="593"/>
      <c r="AC133" s="593"/>
      <c r="AD133" s="593"/>
      <c r="AE133" s="1036"/>
      <c r="AF133" s="1139"/>
      <c r="AG133" s="593"/>
      <c r="AH133" s="593"/>
      <c r="AI133" s="593"/>
      <c r="AJ133" s="1036"/>
      <c r="AK133" s="569"/>
      <c r="AL133" s="569"/>
      <c r="AN133" s="857"/>
      <c r="AO133" s="961" t="str">
        <f t="shared" ref="AO133:AO196" si="154">E133</f>
        <v>Qty</v>
      </c>
      <c r="AP133" s="962" t="str">
        <f t="shared" ref="AP133:AP196" si="155">F133</f>
        <v>Water</v>
      </c>
      <c r="AQ133" s="963" t="str">
        <f t="shared" ref="AQ133:AQ196" si="156">I133</f>
        <v>Fixed</v>
      </c>
      <c r="AR133" s="967" t="str">
        <f t="shared" ref="AR133:AR196" si="157">IF(V133="","-",IFERROR(V133/U133-1,"-"))</f>
        <v>-</v>
      </c>
      <c r="AS133" s="964" t="str">
        <f t="shared" ref="AS133:AS196" si="158">IF(W133="","-",IFERROR(W133/V133-1,"-"))</f>
        <v>-</v>
      </c>
      <c r="AT133" s="964" t="str">
        <f t="shared" ref="AT133:AT196" si="159">IF(X133="","-",IFERROR(X133/W133-1,"-"))</f>
        <v>-</v>
      </c>
      <c r="AU133" s="964" t="str">
        <f t="shared" ref="AU133:AU196" si="160">IF(Y133="","-",IFERROR(Y133/X133-1,"-"))</f>
        <v>-</v>
      </c>
      <c r="AV133" s="1350" t="str">
        <f t="shared" ref="AV133:AV196" si="161">IF(Z133="","-",IFERROR(Z133/Y133-1,"-"))</f>
        <v>-</v>
      </c>
      <c r="AW133" s="1343" t="str">
        <f t="shared" ref="AW133:AW196" si="162">IF(AA133="","-",IFERROR(AA133/Z133-1,"-"))</f>
        <v>-</v>
      </c>
      <c r="AX133" s="964" t="str">
        <f t="shared" ref="AX133:AX196" si="163">IF(AB133="","-",IFERROR(AB133/AA133-1,"-"))</f>
        <v>-</v>
      </c>
      <c r="AY133" s="964" t="str">
        <f t="shared" ref="AY133:AY196" si="164">IF(AC133="","-",IFERROR(AC133/AB133-1,"-"))</f>
        <v>-</v>
      </c>
      <c r="AZ133" s="964" t="str">
        <f t="shared" ref="AZ133:AZ196" si="165">IF(AD133="","-",IFERROR(AD133/AC133-1,"-"))</f>
        <v>-</v>
      </c>
      <c r="BA133" s="965" t="str">
        <f t="shared" ref="BA133:BA196" si="166">IF(AE133="","-",IFERROR(AE133/AD133-1,"-"))</f>
        <v>-</v>
      </c>
      <c r="BB133" s="1343" t="str">
        <f t="shared" ref="BB133:BB196" si="167">IF(AF133="","-",IFERROR(AF133/AE133-1,"-"))</f>
        <v>-</v>
      </c>
      <c r="BC133" s="964" t="str">
        <f t="shared" ref="BC133:BC196" si="168">IF(AG133="","-",IFERROR(AG133/AF133-1,"-"))</f>
        <v>-</v>
      </c>
      <c r="BD133" s="964" t="str">
        <f t="shared" ref="BD133:BD196" si="169">IF(AH133="","-",IFERROR(AH133/AG133-1,"-"))</f>
        <v>-</v>
      </c>
      <c r="BE133" s="964" t="str">
        <f t="shared" ref="BE133:BE196" si="170">IF(AI133="","-",IFERROR(AI133/AH133-1,"-"))</f>
        <v>-</v>
      </c>
      <c r="BF133" s="966" t="str">
        <f t="shared" ref="BF133:BF196" si="171">IF(AJ133="","-",IFERROR(AJ133/AI133-1,"-"))</f>
        <v>-</v>
      </c>
      <c r="BG133" s="951"/>
      <c r="BH133" s="1541" t="str">
        <f t="shared" ref="BH133:BH196" si="172">AO133</f>
        <v>Qty</v>
      </c>
      <c r="BI133" s="1542" t="str">
        <f t="shared" ref="BI133:BI196" si="173">AP133</f>
        <v>Water</v>
      </c>
      <c r="BJ133" s="1543" t="str">
        <f t="shared" ref="BJ133:BJ196" si="174">AQ133</f>
        <v>Fixed</v>
      </c>
      <c r="BK133" s="964" t="str">
        <f t="shared" ref="BK133:BU133" si="175">IF(V133="","-",IFERROR((V133/U133-1)*(U134/U$13),"-"))</f>
        <v>-</v>
      </c>
      <c r="BL133" s="964" t="str">
        <f t="shared" si="175"/>
        <v>-</v>
      </c>
      <c r="BM133" s="964" t="str">
        <f t="shared" si="175"/>
        <v>-</v>
      </c>
      <c r="BN133" s="964" t="str">
        <f t="shared" si="175"/>
        <v>-</v>
      </c>
      <c r="BO133" s="1350" t="str">
        <f t="shared" si="175"/>
        <v>-</v>
      </c>
      <c r="BP133" s="1343" t="str">
        <f t="shared" si="175"/>
        <v>-</v>
      </c>
      <c r="BQ133" s="964" t="str">
        <f t="shared" si="175"/>
        <v>-</v>
      </c>
      <c r="BR133" s="964" t="str">
        <f t="shared" si="175"/>
        <v>-</v>
      </c>
      <c r="BS133" s="964" t="str">
        <f t="shared" si="175"/>
        <v>-</v>
      </c>
      <c r="BT133" s="965" t="str">
        <f t="shared" si="175"/>
        <v>-</v>
      </c>
      <c r="BU133" s="964" t="str">
        <f t="shared" si="175"/>
        <v>-</v>
      </c>
      <c r="BV133" s="964" t="str">
        <f>IF(AG133="","-",IFERROR((AG133/AF133-1)*(AF134/AF$13),"-"))</f>
        <v>-</v>
      </c>
      <c r="BW133" s="964" t="str">
        <f>IF(AH133="","-",IFERROR((AH133/AG133-1)*(AG134/AG$13),"-"))</f>
        <v>-</v>
      </c>
      <c r="BX133" s="964" t="str">
        <f>IF(AI133="","-",IFERROR((AI133/AH133-1)*(AH134/AH$13),"-"))</f>
        <v>-</v>
      </c>
      <c r="BY133" s="966" t="str">
        <f>IF(AJ133="","-",IFERROR((AJ133/AI133-1)*(AI134/AI$13),"-"))</f>
        <v>-</v>
      </c>
      <c r="BZ133" s="951"/>
      <c r="CA133" s="961" t="str">
        <f t="shared" si="151"/>
        <v>Qty</v>
      </c>
      <c r="CB133" s="962" t="str">
        <f t="shared" si="152"/>
        <v>Water</v>
      </c>
      <c r="CC133" s="962" t="str">
        <f t="shared" si="153"/>
        <v>Fixed</v>
      </c>
      <c r="CD133" s="967" t="str">
        <f t="shared" si="66"/>
        <v>-</v>
      </c>
      <c r="CE133" s="964" t="str">
        <f t="shared" ref="CE133:CE196" si="176">IF(X133="","-",IFERROR((X133/$U133)^(1/CE$65)-1,"-"))</f>
        <v>-</v>
      </c>
      <c r="CF133" s="964" t="str">
        <f t="shared" ref="CF133:CF196" si="177">IF(Y133="","-",IFERROR((Y133/$U133)^(1/CF$65)-1,"-"))</f>
        <v>-</v>
      </c>
      <c r="CG133" s="965" t="str">
        <f t="shared" ref="CG133:CG196" si="178">IF(Z133="","-",IFERROR((Z133/$U133)^(1/CG$65)-1,"-"))</f>
        <v>-</v>
      </c>
      <c r="CH133" s="964" t="str">
        <f t="shared" si="67"/>
        <v>-</v>
      </c>
      <c r="CI133" s="964" t="str">
        <f t="shared" ref="CI133:CI196" si="179">IF(AC133="","-",IFERROR((AC133/$Z133)^(1/CI$65)-1,"-"))</f>
        <v>-</v>
      </c>
      <c r="CJ133" s="964" t="str">
        <f t="shared" ref="CJ133:CJ196" si="180">IF(AD133="","-",IFERROR((AD133/$Z133)^(1/CJ$65)-1,"-"))</f>
        <v>-</v>
      </c>
      <c r="CK133" s="966" t="str">
        <f t="shared" ref="CK133:CK196" si="181">IF(AE133="","-",IFERROR((AE133/$Z133)^(1/CK$65)-1,"-"))</f>
        <v>-</v>
      </c>
    </row>
    <row r="134" spans="4:89" ht="12.75" thickBot="1">
      <c r="E134" s="568" t="s">
        <v>882</v>
      </c>
      <c r="F134" s="560" t="str">
        <f>+F132</f>
        <v>Water</v>
      </c>
      <c r="G134" s="561" t="str">
        <f>+G132</f>
        <v>GW</v>
      </c>
      <c r="H134" s="561" t="str">
        <f>+H132</f>
        <v>Headworks</v>
      </c>
      <c r="I134" s="562" t="str">
        <f>+I132</f>
        <v>Fixed</v>
      </c>
      <c r="J134" s="563" t="s">
        <v>883</v>
      </c>
      <c r="K134" s="564">
        <f t="shared" ref="K134:AJ134" si="182">K132*K133/10^6</f>
        <v>0</v>
      </c>
      <c r="L134" s="565">
        <f t="shared" si="182"/>
        <v>0</v>
      </c>
      <c r="M134" s="565">
        <f t="shared" si="182"/>
        <v>0</v>
      </c>
      <c r="N134" s="564">
        <f t="shared" si="182"/>
        <v>0</v>
      </c>
      <c r="O134" s="565">
        <f t="shared" si="182"/>
        <v>0</v>
      </c>
      <c r="P134" s="565">
        <f t="shared" si="182"/>
        <v>0</v>
      </c>
      <c r="Q134" s="565">
        <f t="shared" si="182"/>
        <v>0</v>
      </c>
      <c r="R134" s="566">
        <f t="shared" si="182"/>
        <v>0</v>
      </c>
      <c r="S134" s="564">
        <f t="shared" si="182"/>
        <v>0</v>
      </c>
      <c r="T134" s="565">
        <f t="shared" si="182"/>
        <v>0</v>
      </c>
      <c r="U134" s="566">
        <f t="shared" si="182"/>
        <v>0</v>
      </c>
      <c r="V134" s="564">
        <f t="shared" si="182"/>
        <v>0</v>
      </c>
      <c r="W134" s="565">
        <f t="shared" si="182"/>
        <v>0</v>
      </c>
      <c r="X134" s="565">
        <f t="shared" si="182"/>
        <v>0</v>
      </c>
      <c r="Y134" s="565">
        <f t="shared" si="182"/>
        <v>0</v>
      </c>
      <c r="Z134" s="566">
        <f t="shared" si="182"/>
        <v>0</v>
      </c>
      <c r="AA134" s="564">
        <f t="shared" si="182"/>
        <v>0</v>
      </c>
      <c r="AB134" s="565">
        <f t="shared" si="182"/>
        <v>0</v>
      </c>
      <c r="AC134" s="565">
        <f t="shared" si="182"/>
        <v>0</v>
      </c>
      <c r="AD134" s="565">
        <f t="shared" si="182"/>
        <v>0</v>
      </c>
      <c r="AE134" s="566">
        <f t="shared" si="182"/>
        <v>0</v>
      </c>
      <c r="AF134" s="564">
        <f t="shared" si="182"/>
        <v>0</v>
      </c>
      <c r="AG134" s="565">
        <f t="shared" si="182"/>
        <v>0</v>
      </c>
      <c r="AH134" s="565">
        <f t="shared" si="182"/>
        <v>0</v>
      </c>
      <c r="AI134" s="565">
        <f t="shared" si="182"/>
        <v>0</v>
      </c>
      <c r="AJ134" s="566">
        <f t="shared" si="182"/>
        <v>0</v>
      </c>
      <c r="AK134" s="569"/>
      <c r="AL134" s="569"/>
      <c r="AN134" s="857"/>
      <c r="AO134" s="984" t="str">
        <f t="shared" si="154"/>
        <v>Rev</v>
      </c>
      <c r="AP134" s="985" t="str">
        <f t="shared" si="155"/>
        <v>Water</v>
      </c>
      <c r="AQ134" s="986" t="str">
        <f t="shared" si="156"/>
        <v>Fixed</v>
      </c>
      <c r="AR134" s="990" t="str">
        <f t="shared" si="157"/>
        <v>-</v>
      </c>
      <c r="AS134" s="987" t="str">
        <f t="shared" si="158"/>
        <v>-</v>
      </c>
      <c r="AT134" s="987" t="str">
        <f t="shared" si="159"/>
        <v>-</v>
      </c>
      <c r="AU134" s="987" t="str">
        <f t="shared" si="160"/>
        <v>-</v>
      </c>
      <c r="AV134" s="1353" t="str">
        <f t="shared" si="161"/>
        <v>-</v>
      </c>
      <c r="AW134" s="1346" t="str">
        <f t="shared" si="162"/>
        <v>-</v>
      </c>
      <c r="AX134" s="987" t="str">
        <f t="shared" si="163"/>
        <v>-</v>
      </c>
      <c r="AY134" s="987" t="str">
        <f t="shared" si="164"/>
        <v>-</v>
      </c>
      <c r="AZ134" s="987" t="str">
        <f t="shared" si="165"/>
        <v>-</v>
      </c>
      <c r="BA134" s="988" t="str">
        <f t="shared" si="166"/>
        <v>-</v>
      </c>
      <c r="BB134" s="1346" t="str">
        <f t="shared" si="167"/>
        <v>-</v>
      </c>
      <c r="BC134" s="987" t="str">
        <f t="shared" si="168"/>
        <v>-</v>
      </c>
      <c r="BD134" s="987" t="str">
        <f t="shared" si="169"/>
        <v>-</v>
      </c>
      <c r="BE134" s="987" t="str">
        <f t="shared" si="170"/>
        <v>-</v>
      </c>
      <c r="BF134" s="989" t="str">
        <f t="shared" si="171"/>
        <v>-</v>
      </c>
      <c r="BG134" s="951"/>
      <c r="BH134" s="1550" t="str">
        <f t="shared" si="172"/>
        <v>Rev</v>
      </c>
      <c r="BI134" s="1551" t="str">
        <f t="shared" si="173"/>
        <v>Water</v>
      </c>
      <c r="BJ134" s="1552" t="str">
        <f t="shared" si="174"/>
        <v>Fixed</v>
      </c>
      <c r="BK134" s="987" t="str">
        <f t="shared" ref="BK134:BU134" si="183">IF(V134="","-",IFERROR((V134/U134-1)*(U134/U$13),"-"))</f>
        <v>-</v>
      </c>
      <c r="BL134" s="987" t="str">
        <f t="shared" si="183"/>
        <v>-</v>
      </c>
      <c r="BM134" s="987" t="str">
        <f t="shared" si="183"/>
        <v>-</v>
      </c>
      <c r="BN134" s="987" t="str">
        <f t="shared" si="183"/>
        <v>-</v>
      </c>
      <c r="BO134" s="1353" t="str">
        <f t="shared" si="183"/>
        <v>-</v>
      </c>
      <c r="BP134" s="1346" t="str">
        <f t="shared" si="183"/>
        <v>-</v>
      </c>
      <c r="BQ134" s="987" t="str">
        <f t="shared" si="183"/>
        <v>-</v>
      </c>
      <c r="BR134" s="987" t="str">
        <f t="shared" si="183"/>
        <v>-</v>
      </c>
      <c r="BS134" s="987" t="str">
        <f t="shared" si="183"/>
        <v>-</v>
      </c>
      <c r="BT134" s="988" t="str">
        <f t="shared" si="183"/>
        <v>-</v>
      </c>
      <c r="BU134" s="987" t="str">
        <f t="shared" si="183"/>
        <v>-</v>
      </c>
      <c r="BV134" s="987" t="str">
        <f>IF(AG134="","-",IFERROR((AG134/AF134-1)*(AF134/AF$13),"-"))</f>
        <v>-</v>
      </c>
      <c r="BW134" s="987" t="str">
        <f>IF(AH134="","-",IFERROR((AH134/AG134-1)*(AG134/AG$13),"-"))</f>
        <v>-</v>
      </c>
      <c r="BX134" s="987" t="str">
        <f>IF(AI134="","-",IFERROR((AI134/AH134-1)*(AH134/AH$13),"-"))</f>
        <v>-</v>
      </c>
      <c r="BY134" s="989" t="str">
        <f>IF(AJ134="","-",IFERROR((AJ134/AI134-1)*(AI134/AI$13),"-"))</f>
        <v>-</v>
      </c>
      <c r="BZ134" s="951"/>
      <c r="CA134" s="984" t="str">
        <f t="shared" si="151"/>
        <v>Rev</v>
      </c>
      <c r="CB134" s="985" t="str">
        <f t="shared" si="152"/>
        <v>Water</v>
      </c>
      <c r="CC134" s="985" t="str">
        <f t="shared" si="153"/>
        <v>Fixed</v>
      </c>
      <c r="CD134" s="990" t="str">
        <f t="shared" ref="CD134:CD197" si="184">IF(W134="","-",IFERROR((W134/$U134)^(1/CD$65)-1,"-"))</f>
        <v>-</v>
      </c>
      <c r="CE134" s="987" t="str">
        <f t="shared" si="176"/>
        <v>-</v>
      </c>
      <c r="CF134" s="987" t="str">
        <f t="shared" si="177"/>
        <v>-</v>
      </c>
      <c r="CG134" s="988" t="str">
        <f t="shared" si="178"/>
        <v>-</v>
      </c>
      <c r="CH134" s="987" t="str">
        <f t="shared" ref="CH134:CH197" si="185">IF(AB134="","-",IFERROR((AB134/$Z134)^(1/CH$65)-1,"-"))</f>
        <v>-</v>
      </c>
      <c r="CI134" s="987" t="str">
        <f t="shared" si="179"/>
        <v>-</v>
      </c>
      <c r="CJ134" s="987" t="str">
        <f t="shared" si="180"/>
        <v>-</v>
      </c>
      <c r="CK134" s="989" t="str">
        <f t="shared" si="181"/>
        <v>-</v>
      </c>
    </row>
    <row r="135" spans="4:89">
      <c r="D135" s="63">
        <f>D132+1</f>
        <v>23</v>
      </c>
      <c r="E135" s="550" t="s">
        <v>857</v>
      </c>
      <c r="F135" s="595" t="s">
        <v>402</v>
      </c>
      <c r="G135" s="595" t="s">
        <v>877</v>
      </c>
      <c r="H135" s="595" t="s">
        <v>891</v>
      </c>
      <c r="I135" s="589" t="s">
        <v>843</v>
      </c>
      <c r="J135" s="589" t="s">
        <v>879</v>
      </c>
      <c r="K135" s="551"/>
      <c r="L135" s="552"/>
      <c r="M135" s="552"/>
      <c r="N135" s="551"/>
      <c r="O135" s="552"/>
      <c r="P135" s="552"/>
      <c r="Q135" s="552"/>
      <c r="R135" s="1035"/>
      <c r="S135" s="1138"/>
      <c r="T135" s="591"/>
      <c r="U135" s="1035"/>
      <c r="V135" s="1138"/>
      <c r="W135" s="591"/>
      <c r="X135" s="591"/>
      <c r="Y135" s="591"/>
      <c r="Z135" s="1035"/>
      <c r="AA135" s="1138"/>
      <c r="AB135" s="591"/>
      <c r="AC135" s="591"/>
      <c r="AD135" s="591"/>
      <c r="AE135" s="1035"/>
      <c r="AF135" s="1138"/>
      <c r="AG135" s="591"/>
      <c r="AH135" s="591"/>
      <c r="AI135" s="591"/>
      <c r="AJ135" s="1035"/>
      <c r="AK135" s="569"/>
      <c r="AL135" s="569"/>
      <c r="AM135" s="974"/>
      <c r="AN135" s="857"/>
      <c r="AO135" s="975" t="str">
        <f t="shared" si="154"/>
        <v>Price</v>
      </c>
      <c r="AP135" s="976" t="str">
        <f t="shared" si="155"/>
        <v>Sewerage</v>
      </c>
      <c r="AQ135" s="977" t="str">
        <f t="shared" si="156"/>
        <v>Variable</v>
      </c>
      <c r="AR135" s="1341" t="str">
        <f t="shared" si="157"/>
        <v>-</v>
      </c>
      <c r="AS135" s="978" t="str">
        <f t="shared" si="158"/>
        <v>-</v>
      </c>
      <c r="AT135" s="979" t="str">
        <f t="shared" si="159"/>
        <v>-</v>
      </c>
      <c r="AU135" s="979" t="str">
        <f t="shared" si="160"/>
        <v>-</v>
      </c>
      <c r="AV135" s="1352" t="str">
        <f t="shared" si="161"/>
        <v>-</v>
      </c>
      <c r="AW135" s="1345" t="str">
        <f t="shared" si="162"/>
        <v>-</v>
      </c>
      <c r="AX135" s="979" t="str">
        <f t="shared" si="163"/>
        <v>-</v>
      </c>
      <c r="AY135" s="979" t="str">
        <f t="shared" si="164"/>
        <v>-</v>
      </c>
      <c r="AZ135" s="979" t="str">
        <f t="shared" si="165"/>
        <v>-</v>
      </c>
      <c r="BA135" s="980" t="str">
        <f t="shared" si="166"/>
        <v>-</v>
      </c>
      <c r="BB135" s="1345" t="str">
        <f t="shared" si="167"/>
        <v>-</v>
      </c>
      <c r="BC135" s="979" t="str">
        <f t="shared" si="168"/>
        <v>-</v>
      </c>
      <c r="BD135" s="979" t="str">
        <f t="shared" si="169"/>
        <v>-</v>
      </c>
      <c r="BE135" s="979" t="str">
        <f t="shared" si="170"/>
        <v>-</v>
      </c>
      <c r="BF135" s="981" t="str">
        <f t="shared" si="171"/>
        <v>-</v>
      </c>
      <c r="BG135" s="951"/>
      <c r="BH135" s="1547" t="str">
        <f t="shared" si="172"/>
        <v>Price</v>
      </c>
      <c r="BI135" s="1548" t="str">
        <f t="shared" si="173"/>
        <v>Sewerage</v>
      </c>
      <c r="BJ135" s="1549" t="str">
        <f t="shared" si="174"/>
        <v>Variable</v>
      </c>
      <c r="BK135" s="978" t="str">
        <f t="shared" ref="BK135:BU135" si="186">IF(V135="","-",IFERROR((V135/U135-1)*(U137/U$13),"-"))</f>
        <v>-</v>
      </c>
      <c r="BL135" s="978" t="str">
        <f t="shared" si="186"/>
        <v>-</v>
      </c>
      <c r="BM135" s="979" t="str">
        <f t="shared" si="186"/>
        <v>-</v>
      </c>
      <c r="BN135" s="979" t="str">
        <f t="shared" si="186"/>
        <v>-</v>
      </c>
      <c r="BO135" s="1352" t="str">
        <f t="shared" si="186"/>
        <v>-</v>
      </c>
      <c r="BP135" s="1345" t="str">
        <f t="shared" si="186"/>
        <v>-</v>
      </c>
      <c r="BQ135" s="979" t="str">
        <f t="shared" si="186"/>
        <v>-</v>
      </c>
      <c r="BR135" s="979" t="str">
        <f t="shared" si="186"/>
        <v>-</v>
      </c>
      <c r="BS135" s="979" t="str">
        <f t="shared" si="186"/>
        <v>-</v>
      </c>
      <c r="BT135" s="980" t="str">
        <f t="shared" si="186"/>
        <v>-</v>
      </c>
      <c r="BU135" s="979" t="str">
        <f t="shared" si="186"/>
        <v>-</v>
      </c>
      <c r="BV135" s="979" t="str">
        <f>IF(AG135="","-",IFERROR((AG135/AF135-1)*(AF137/AF$13),"-"))</f>
        <v>-</v>
      </c>
      <c r="BW135" s="979" t="str">
        <f>IF(AH135="","-",IFERROR((AH135/AG135-1)*(AG137/AG$13),"-"))</f>
        <v>-</v>
      </c>
      <c r="BX135" s="979" t="str">
        <f>IF(AI135="","-",IFERROR((AI135/AH135-1)*(AH137/AH$13),"-"))</f>
        <v>-</v>
      </c>
      <c r="BY135" s="981" t="str">
        <f>IF(AJ135="","-",IFERROR((AJ135/AI135-1)*(AI137/AI$13),"-"))</f>
        <v>-</v>
      </c>
      <c r="BZ135" s="951"/>
      <c r="CA135" s="975" t="str">
        <f t="shared" si="151"/>
        <v>Price</v>
      </c>
      <c r="CB135" s="976" t="str">
        <f t="shared" si="152"/>
        <v>Sewerage</v>
      </c>
      <c r="CC135" s="982" t="str">
        <f t="shared" si="153"/>
        <v>Variable</v>
      </c>
      <c r="CD135" s="983" t="str">
        <f t="shared" si="184"/>
        <v>-</v>
      </c>
      <c r="CE135" s="979" t="str">
        <f t="shared" si="176"/>
        <v>-</v>
      </c>
      <c r="CF135" s="979" t="str">
        <f t="shared" si="177"/>
        <v>-</v>
      </c>
      <c r="CG135" s="980" t="str">
        <f t="shared" si="178"/>
        <v>-</v>
      </c>
      <c r="CH135" s="979" t="str">
        <f t="shared" si="185"/>
        <v>-</v>
      </c>
      <c r="CI135" s="979" t="str">
        <f t="shared" si="179"/>
        <v>-</v>
      </c>
      <c r="CJ135" s="979" t="str">
        <f t="shared" si="180"/>
        <v>-</v>
      </c>
      <c r="CK135" s="981" t="str">
        <f t="shared" si="181"/>
        <v>-</v>
      </c>
    </row>
    <row r="136" spans="4:89">
      <c r="E136" s="567" t="s">
        <v>880</v>
      </c>
      <c r="F136" s="554" t="str">
        <f>+F135</f>
        <v>Sewerage</v>
      </c>
      <c r="G136" s="555" t="str">
        <f>+G135</f>
        <v>GWW</v>
      </c>
      <c r="H136" s="555" t="str">
        <f>+H135</f>
        <v>Western Treatment</v>
      </c>
      <c r="I136" s="556" t="str">
        <f>+I135</f>
        <v>Variable</v>
      </c>
      <c r="J136" s="590" t="s">
        <v>887</v>
      </c>
      <c r="K136" s="557"/>
      <c r="L136" s="558"/>
      <c r="M136" s="558"/>
      <c r="N136" s="557"/>
      <c r="O136" s="558"/>
      <c r="P136" s="558"/>
      <c r="Q136" s="558"/>
      <c r="R136" s="1036"/>
      <c r="S136" s="1139"/>
      <c r="T136" s="593"/>
      <c r="U136" s="1036"/>
      <c r="V136" s="1139"/>
      <c r="W136" s="593"/>
      <c r="X136" s="593"/>
      <c r="Y136" s="593"/>
      <c r="Z136" s="1036"/>
      <c r="AA136" s="1139"/>
      <c r="AB136" s="593"/>
      <c r="AC136" s="593"/>
      <c r="AD136" s="593"/>
      <c r="AE136" s="1036"/>
      <c r="AF136" s="1139"/>
      <c r="AG136" s="593"/>
      <c r="AH136" s="593"/>
      <c r="AI136" s="593"/>
      <c r="AJ136" s="1036"/>
      <c r="AK136" s="569"/>
      <c r="AL136" s="569"/>
      <c r="AN136" s="857"/>
      <c r="AO136" s="961" t="str">
        <f t="shared" si="154"/>
        <v>Qty</v>
      </c>
      <c r="AP136" s="962" t="str">
        <f t="shared" si="155"/>
        <v>Sewerage</v>
      </c>
      <c r="AQ136" s="963" t="str">
        <f t="shared" si="156"/>
        <v>Variable</v>
      </c>
      <c r="AR136" s="967" t="str">
        <f t="shared" si="157"/>
        <v>-</v>
      </c>
      <c r="AS136" s="964" t="str">
        <f t="shared" si="158"/>
        <v>-</v>
      </c>
      <c r="AT136" s="964" t="str">
        <f t="shared" si="159"/>
        <v>-</v>
      </c>
      <c r="AU136" s="964" t="str">
        <f t="shared" si="160"/>
        <v>-</v>
      </c>
      <c r="AV136" s="1350" t="str">
        <f t="shared" si="161"/>
        <v>-</v>
      </c>
      <c r="AW136" s="1343" t="str">
        <f t="shared" si="162"/>
        <v>-</v>
      </c>
      <c r="AX136" s="964" t="str">
        <f t="shared" si="163"/>
        <v>-</v>
      </c>
      <c r="AY136" s="964" t="str">
        <f t="shared" si="164"/>
        <v>-</v>
      </c>
      <c r="AZ136" s="964" t="str">
        <f t="shared" si="165"/>
        <v>-</v>
      </c>
      <c r="BA136" s="965" t="str">
        <f t="shared" si="166"/>
        <v>-</v>
      </c>
      <c r="BB136" s="1343" t="str">
        <f t="shared" si="167"/>
        <v>-</v>
      </c>
      <c r="BC136" s="964" t="str">
        <f t="shared" si="168"/>
        <v>-</v>
      </c>
      <c r="BD136" s="964" t="str">
        <f t="shared" si="169"/>
        <v>-</v>
      </c>
      <c r="BE136" s="964" t="str">
        <f t="shared" si="170"/>
        <v>-</v>
      </c>
      <c r="BF136" s="966" t="str">
        <f t="shared" si="171"/>
        <v>-</v>
      </c>
      <c r="BG136" s="951"/>
      <c r="BH136" s="1541" t="str">
        <f t="shared" si="172"/>
        <v>Qty</v>
      </c>
      <c r="BI136" s="1542" t="str">
        <f t="shared" si="173"/>
        <v>Sewerage</v>
      </c>
      <c r="BJ136" s="1543" t="str">
        <f t="shared" si="174"/>
        <v>Variable</v>
      </c>
      <c r="BK136" s="964" t="str">
        <f t="shared" ref="BK136:BU136" si="187">IF(V136="","-",IFERROR((V136/U136-1)*(U137/U$13),"-"))</f>
        <v>-</v>
      </c>
      <c r="BL136" s="964" t="str">
        <f t="shared" si="187"/>
        <v>-</v>
      </c>
      <c r="BM136" s="964" t="str">
        <f t="shared" si="187"/>
        <v>-</v>
      </c>
      <c r="BN136" s="964" t="str">
        <f t="shared" si="187"/>
        <v>-</v>
      </c>
      <c r="BO136" s="1350" t="str">
        <f t="shared" si="187"/>
        <v>-</v>
      </c>
      <c r="BP136" s="1343" t="str">
        <f t="shared" si="187"/>
        <v>-</v>
      </c>
      <c r="BQ136" s="964" t="str">
        <f t="shared" si="187"/>
        <v>-</v>
      </c>
      <c r="BR136" s="964" t="str">
        <f t="shared" si="187"/>
        <v>-</v>
      </c>
      <c r="BS136" s="964" t="str">
        <f t="shared" si="187"/>
        <v>-</v>
      </c>
      <c r="BT136" s="965" t="str">
        <f t="shared" si="187"/>
        <v>-</v>
      </c>
      <c r="BU136" s="964" t="str">
        <f t="shared" si="187"/>
        <v>-</v>
      </c>
      <c r="BV136" s="964" t="str">
        <f>IF(AG136="","-",IFERROR((AG136/AF136-1)*(AF137/AF$13),"-"))</f>
        <v>-</v>
      </c>
      <c r="BW136" s="964" t="str">
        <f>IF(AH136="","-",IFERROR((AH136/AG136-1)*(AG137/AG$13),"-"))</f>
        <v>-</v>
      </c>
      <c r="BX136" s="964" t="str">
        <f>IF(AI136="","-",IFERROR((AI136/AH136-1)*(AH137/AH$13),"-"))</f>
        <v>-</v>
      </c>
      <c r="BY136" s="966" t="str">
        <f>IF(AJ136="","-",IFERROR((AJ136/AI136-1)*(AI137/AI$13),"-"))</f>
        <v>-</v>
      </c>
      <c r="BZ136" s="951"/>
      <c r="CA136" s="961" t="str">
        <f t="shared" si="151"/>
        <v>Qty</v>
      </c>
      <c r="CB136" s="962" t="str">
        <f t="shared" si="152"/>
        <v>Sewerage</v>
      </c>
      <c r="CC136" s="962" t="str">
        <f t="shared" si="153"/>
        <v>Variable</v>
      </c>
      <c r="CD136" s="967" t="str">
        <f t="shared" si="184"/>
        <v>-</v>
      </c>
      <c r="CE136" s="964" t="str">
        <f t="shared" si="176"/>
        <v>-</v>
      </c>
      <c r="CF136" s="964" t="str">
        <f t="shared" si="177"/>
        <v>-</v>
      </c>
      <c r="CG136" s="965" t="str">
        <f t="shared" si="178"/>
        <v>-</v>
      </c>
      <c r="CH136" s="964" t="str">
        <f t="shared" si="185"/>
        <v>-</v>
      </c>
      <c r="CI136" s="964" t="str">
        <f t="shared" si="179"/>
        <v>-</v>
      </c>
      <c r="CJ136" s="964" t="str">
        <f t="shared" si="180"/>
        <v>-</v>
      </c>
      <c r="CK136" s="966" t="str">
        <f t="shared" si="181"/>
        <v>-</v>
      </c>
    </row>
    <row r="137" spans="4:89" ht="12.75" thickBot="1">
      <c r="E137" s="568" t="s">
        <v>882</v>
      </c>
      <c r="F137" s="560" t="str">
        <f>+F135</f>
        <v>Sewerage</v>
      </c>
      <c r="G137" s="561" t="str">
        <f>+G135</f>
        <v>GWW</v>
      </c>
      <c r="H137" s="561" t="str">
        <f>+H135</f>
        <v>Western Treatment</v>
      </c>
      <c r="I137" s="562" t="str">
        <f>+I135</f>
        <v>Variable</v>
      </c>
      <c r="J137" s="563" t="s">
        <v>883</v>
      </c>
      <c r="K137" s="564">
        <f t="shared" ref="K137:AJ137" si="188">K135*K136/10^6</f>
        <v>0</v>
      </c>
      <c r="L137" s="565">
        <f t="shared" si="188"/>
        <v>0</v>
      </c>
      <c r="M137" s="565">
        <f t="shared" si="188"/>
        <v>0</v>
      </c>
      <c r="N137" s="564">
        <f t="shared" si="188"/>
        <v>0</v>
      </c>
      <c r="O137" s="565">
        <f t="shared" si="188"/>
        <v>0</v>
      </c>
      <c r="P137" s="565">
        <f t="shared" si="188"/>
        <v>0</v>
      </c>
      <c r="Q137" s="565">
        <f t="shared" si="188"/>
        <v>0</v>
      </c>
      <c r="R137" s="566">
        <f t="shared" si="188"/>
        <v>0</v>
      </c>
      <c r="S137" s="564">
        <f t="shared" si="188"/>
        <v>0</v>
      </c>
      <c r="T137" s="565">
        <f t="shared" si="188"/>
        <v>0</v>
      </c>
      <c r="U137" s="566">
        <f t="shared" si="188"/>
        <v>0</v>
      </c>
      <c r="V137" s="564">
        <f t="shared" si="188"/>
        <v>0</v>
      </c>
      <c r="W137" s="565">
        <f t="shared" si="188"/>
        <v>0</v>
      </c>
      <c r="X137" s="565">
        <f t="shared" si="188"/>
        <v>0</v>
      </c>
      <c r="Y137" s="565">
        <f t="shared" si="188"/>
        <v>0</v>
      </c>
      <c r="Z137" s="566">
        <f t="shared" si="188"/>
        <v>0</v>
      </c>
      <c r="AA137" s="564">
        <f t="shared" si="188"/>
        <v>0</v>
      </c>
      <c r="AB137" s="565">
        <f t="shared" si="188"/>
        <v>0</v>
      </c>
      <c r="AC137" s="565">
        <f t="shared" si="188"/>
        <v>0</v>
      </c>
      <c r="AD137" s="565">
        <f t="shared" si="188"/>
        <v>0</v>
      </c>
      <c r="AE137" s="566">
        <f t="shared" si="188"/>
        <v>0</v>
      </c>
      <c r="AF137" s="564">
        <f t="shared" si="188"/>
        <v>0</v>
      </c>
      <c r="AG137" s="565">
        <f t="shared" si="188"/>
        <v>0</v>
      </c>
      <c r="AH137" s="565">
        <f t="shared" si="188"/>
        <v>0</v>
      </c>
      <c r="AI137" s="565">
        <f t="shared" si="188"/>
        <v>0</v>
      </c>
      <c r="AJ137" s="566">
        <f t="shared" si="188"/>
        <v>0</v>
      </c>
      <c r="AK137" s="569"/>
      <c r="AL137" s="569"/>
      <c r="AN137" s="857"/>
      <c r="AO137" s="984" t="str">
        <f t="shared" si="154"/>
        <v>Rev</v>
      </c>
      <c r="AP137" s="985" t="str">
        <f t="shared" si="155"/>
        <v>Sewerage</v>
      </c>
      <c r="AQ137" s="986" t="str">
        <f t="shared" si="156"/>
        <v>Variable</v>
      </c>
      <c r="AR137" s="990" t="str">
        <f t="shared" si="157"/>
        <v>-</v>
      </c>
      <c r="AS137" s="987" t="str">
        <f t="shared" si="158"/>
        <v>-</v>
      </c>
      <c r="AT137" s="987" t="str">
        <f t="shared" si="159"/>
        <v>-</v>
      </c>
      <c r="AU137" s="987" t="str">
        <f t="shared" si="160"/>
        <v>-</v>
      </c>
      <c r="AV137" s="1353" t="str">
        <f t="shared" si="161"/>
        <v>-</v>
      </c>
      <c r="AW137" s="1346" t="str">
        <f t="shared" si="162"/>
        <v>-</v>
      </c>
      <c r="AX137" s="987" t="str">
        <f t="shared" si="163"/>
        <v>-</v>
      </c>
      <c r="AY137" s="987" t="str">
        <f t="shared" si="164"/>
        <v>-</v>
      </c>
      <c r="AZ137" s="987" t="str">
        <f t="shared" si="165"/>
        <v>-</v>
      </c>
      <c r="BA137" s="988" t="str">
        <f t="shared" si="166"/>
        <v>-</v>
      </c>
      <c r="BB137" s="1346" t="str">
        <f t="shared" si="167"/>
        <v>-</v>
      </c>
      <c r="BC137" s="987" t="str">
        <f t="shared" si="168"/>
        <v>-</v>
      </c>
      <c r="BD137" s="987" t="str">
        <f t="shared" si="169"/>
        <v>-</v>
      </c>
      <c r="BE137" s="987" t="str">
        <f t="shared" si="170"/>
        <v>-</v>
      </c>
      <c r="BF137" s="989" t="str">
        <f t="shared" si="171"/>
        <v>-</v>
      </c>
      <c r="BG137" s="951"/>
      <c r="BH137" s="1550" t="str">
        <f t="shared" si="172"/>
        <v>Rev</v>
      </c>
      <c r="BI137" s="1551" t="str">
        <f t="shared" si="173"/>
        <v>Sewerage</v>
      </c>
      <c r="BJ137" s="1552" t="str">
        <f t="shared" si="174"/>
        <v>Variable</v>
      </c>
      <c r="BK137" s="987" t="str">
        <f t="shared" ref="BK137:BU137" si="189">IF(V137="","-",IFERROR((V137/U137-1)*(U137/U$13),"-"))</f>
        <v>-</v>
      </c>
      <c r="BL137" s="987" t="str">
        <f t="shared" si="189"/>
        <v>-</v>
      </c>
      <c r="BM137" s="987" t="str">
        <f t="shared" si="189"/>
        <v>-</v>
      </c>
      <c r="BN137" s="987" t="str">
        <f t="shared" si="189"/>
        <v>-</v>
      </c>
      <c r="BO137" s="1353" t="str">
        <f t="shared" si="189"/>
        <v>-</v>
      </c>
      <c r="BP137" s="1346" t="str">
        <f t="shared" si="189"/>
        <v>-</v>
      </c>
      <c r="BQ137" s="987" t="str">
        <f t="shared" si="189"/>
        <v>-</v>
      </c>
      <c r="BR137" s="987" t="str">
        <f t="shared" si="189"/>
        <v>-</v>
      </c>
      <c r="BS137" s="987" t="str">
        <f t="shared" si="189"/>
        <v>-</v>
      </c>
      <c r="BT137" s="988" t="str">
        <f t="shared" si="189"/>
        <v>-</v>
      </c>
      <c r="BU137" s="987" t="str">
        <f t="shared" si="189"/>
        <v>-</v>
      </c>
      <c r="BV137" s="987" t="str">
        <f>IF(AG137="","-",IFERROR((AG137/AF137-1)*(AF137/AF$13),"-"))</f>
        <v>-</v>
      </c>
      <c r="BW137" s="987" t="str">
        <f>IF(AH137="","-",IFERROR((AH137/AG137-1)*(AG137/AG$13),"-"))</f>
        <v>-</v>
      </c>
      <c r="BX137" s="987" t="str">
        <f>IF(AI137="","-",IFERROR((AI137/AH137-1)*(AH137/AH$13),"-"))</f>
        <v>-</v>
      </c>
      <c r="BY137" s="989" t="str">
        <f>IF(AJ137="","-",IFERROR((AJ137/AI137-1)*(AI137/AI$13),"-"))</f>
        <v>-</v>
      </c>
      <c r="BZ137" s="951"/>
      <c r="CA137" s="984" t="str">
        <f t="shared" si="151"/>
        <v>Rev</v>
      </c>
      <c r="CB137" s="985" t="str">
        <f t="shared" si="152"/>
        <v>Sewerage</v>
      </c>
      <c r="CC137" s="985" t="str">
        <f t="shared" si="153"/>
        <v>Variable</v>
      </c>
      <c r="CD137" s="990" t="str">
        <f t="shared" si="184"/>
        <v>-</v>
      </c>
      <c r="CE137" s="987" t="str">
        <f t="shared" si="176"/>
        <v>-</v>
      </c>
      <c r="CF137" s="987" t="str">
        <f t="shared" si="177"/>
        <v>-</v>
      </c>
      <c r="CG137" s="988" t="str">
        <f t="shared" si="178"/>
        <v>-</v>
      </c>
      <c r="CH137" s="987" t="str">
        <f t="shared" si="185"/>
        <v>-</v>
      </c>
      <c r="CI137" s="987" t="str">
        <f t="shared" si="179"/>
        <v>-</v>
      </c>
      <c r="CJ137" s="987" t="str">
        <f t="shared" si="180"/>
        <v>-</v>
      </c>
      <c r="CK137" s="989" t="str">
        <f t="shared" si="181"/>
        <v>-</v>
      </c>
    </row>
    <row r="138" spans="4:89">
      <c r="D138" s="63">
        <f>D135+1</f>
        <v>24</v>
      </c>
      <c r="E138" s="550" t="s">
        <v>857</v>
      </c>
      <c r="F138" s="595" t="s">
        <v>402</v>
      </c>
      <c r="G138" s="595" t="s">
        <v>92</v>
      </c>
      <c r="H138" s="595" t="s">
        <v>891</v>
      </c>
      <c r="I138" s="589" t="s">
        <v>843</v>
      </c>
      <c r="J138" s="589" t="s">
        <v>879</v>
      </c>
      <c r="K138" s="551"/>
      <c r="L138" s="552"/>
      <c r="M138" s="552"/>
      <c r="N138" s="551"/>
      <c r="O138" s="552"/>
      <c r="P138" s="552"/>
      <c r="Q138" s="552"/>
      <c r="R138" s="1035"/>
      <c r="S138" s="1138"/>
      <c r="T138" s="591"/>
      <c r="U138" s="1035"/>
      <c r="V138" s="1138"/>
      <c r="W138" s="591"/>
      <c r="X138" s="591"/>
      <c r="Y138" s="591"/>
      <c r="Z138" s="1035"/>
      <c r="AA138" s="1138"/>
      <c r="AB138" s="591"/>
      <c r="AC138" s="591"/>
      <c r="AD138" s="591"/>
      <c r="AE138" s="1035"/>
      <c r="AF138" s="1138"/>
      <c r="AG138" s="591"/>
      <c r="AH138" s="591"/>
      <c r="AI138" s="591"/>
      <c r="AJ138" s="1035"/>
      <c r="AK138" s="569"/>
      <c r="AL138" s="569"/>
      <c r="AM138" s="974"/>
      <c r="AN138" s="857"/>
      <c r="AO138" s="975" t="str">
        <f t="shared" si="154"/>
        <v>Price</v>
      </c>
      <c r="AP138" s="976" t="str">
        <f t="shared" si="155"/>
        <v>Sewerage</v>
      </c>
      <c r="AQ138" s="977" t="str">
        <f t="shared" si="156"/>
        <v>Variable</v>
      </c>
      <c r="AR138" s="1341" t="str">
        <f t="shared" si="157"/>
        <v>-</v>
      </c>
      <c r="AS138" s="978" t="str">
        <f t="shared" si="158"/>
        <v>-</v>
      </c>
      <c r="AT138" s="979" t="str">
        <f t="shared" si="159"/>
        <v>-</v>
      </c>
      <c r="AU138" s="979" t="str">
        <f t="shared" si="160"/>
        <v>-</v>
      </c>
      <c r="AV138" s="1352" t="str">
        <f t="shared" si="161"/>
        <v>-</v>
      </c>
      <c r="AW138" s="1345" t="str">
        <f t="shared" si="162"/>
        <v>-</v>
      </c>
      <c r="AX138" s="979" t="str">
        <f t="shared" si="163"/>
        <v>-</v>
      </c>
      <c r="AY138" s="979" t="str">
        <f t="shared" si="164"/>
        <v>-</v>
      </c>
      <c r="AZ138" s="979" t="str">
        <f t="shared" si="165"/>
        <v>-</v>
      </c>
      <c r="BA138" s="980" t="str">
        <f t="shared" si="166"/>
        <v>-</v>
      </c>
      <c r="BB138" s="1345" t="str">
        <f t="shared" si="167"/>
        <v>-</v>
      </c>
      <c r="BC138" s="979" t="str">
        <f t="shared" si="168"/>
        <v>-</v>
      </c>
      <c r="BD138" s="979" t="str">
        <f t="shared" si="169"/>
        <v>-</v>
      </c>
      <c r="BE138" s="979" t="str">
        <f t="shared" si="170"/>
        <v>-</v>
      </c>
      <c r="BF138" s="981" t="str">
        <f t="shared" si="171"/>
        <v>-</v>
      </c>
      <c r="BG138" s="951"/>
      <c r="BH138" s="1547" t="str">
        <f t="shared" si="172"/>
        <v>Price</v>
      </c>
      <c r="BI138" s="1548" t="str">
        <f t="shared" si="173"/>
        <v>Sewerage</v>
      </c>
      <c r="BJ138" s="1549" t="str">
        <f t="shared" si="174"/>
        <v>Variable</v>
      </c>
      <c r="BK138" s="978" t="str">
        <f t="shared" ref="BK138:BU138" si="190">IF(V138="","-",IFERROR((V138/U138-1)*(U140/U$13),"-"))</f>
        <v>-</v>
      </c>
      <c r="BL138" s="978" t="str">
        <f t="shared" si="190"/>
        <v>-</v>
      </c>
      <c r="BM138" s="979" t="str">
        <f t="shared" si="190"/>
        <v>-</v>
      </c>
      <c r="BN138" s="979" t="str">
        <f t="shared" si="190"/>
        <v>-</v>
      </c>
      <c r="BO138" s="1352" t="str">
        <f t="shared" si="190"/>
        <v>-</v>
      </c>
      <c r="BP138" s="1345" t="str">
        <f t="shared" si="190"/>
        <v>-</v>
      </c>
      <c r="BQ138" s="979" t="str">
        <f t="shared" si="190"/>
        <v>-</v>
      </c>
      <c r="BR138" s="979" t="str">
        <f t="shared" si="190"/>
        <v>-</v>
      </c>
      <c r="BS138" s="979" t="str">
        <f t="shared" si="190"/>
        <v>-</v>
      </c>
      <c r="BT138" s="980" t="str">
        <f t="shared" si="190"/>
        <v>-</v>
      </c>
      <c r="BU138" s="979" t="str">
        <f t="shared" si="190"/>
        <v>-</v>
      </c>
      <c r="BV138" s="979" t="str">
        <f>IF(AG138="","-",IFERROR((AG138/AF138-1)*(AF140/AF$13),"-"))</f>
        <v>-</v>
      </c>
      <c r="BW138" s="979" t="str">
        <f>IF(AH138="","-",IFERROR((AH138/AG138-1)*(AG140/AG$13),"-"))</f>
        <v>-</v>
      </c>
      <c r="BX138" s="979" t="str">
        <f>IF(AI138="","-",IFERROR((AI138/AH138-1)*(AH140/AH$13),"-"))</f>
        <v>-</v>
      </c>
      <c r="BY138" s="981" t="str">
        <f>IF(AJ138="","-",IFERROR((AJ138/AI138-1)*(AI140/AI$13),"-"))</f>
        <v>-</v>
      </c>
      <c r="BZ138" s="951"/>
      <c r="CA138" s="975" t="str">
        <f t="shared" si="151"/>
        <v>Price</v>
      </c>
      <c r="CB138" s="976" t="str">
        <f t="shared" si="152"/>
        <v>Sewerage</v>
      </c>
      <c r="CC138" s="982" t="str">
        <f t="shared" si="153"/>
        <v>Variable</v>
      </c>
      <c r="CD138" s="983" t="str">
        <f t="shared" si="184"/>
        <v>-</v>
      </c>
      <c r="CE138" s="979" t="str">
        <f t="shared" si="176"/>
        <v>-</v>
      </c>
      <c r="CF138" s="979" t="str">
        <f t="shared" si="177"/>
        <v>-</v>
      </c>
      <c r="CG138" s="980" t="str">
        <f t="shared" si="178"/>
        <v>-</v>
      </c>
      <c r="CH138" s="979" t="str">
        <f t="shared" si="185"/>
        <v>-</v>
      </c>
      <c r="CI138" s="979" t="str">
        <f t="shared" si="179"/>
        <v>-</v>
      </c>
      <c r="CJ138" s="979" t="str">
        <f t="shared" si="180"/>
        <v>-</v>
      </c>
      <c r="CK138" s="981" t="str">
        <f t="shared" si="181"/>
        <v>-</v>
      </c>
    </row>
    <row r="139" spans="4:89">
      <c r="E139" s="567" t="s">
        <v>880</v>
      </c>
      <c r="F139" s="554" t="str">
        <f>+F138</f>
        <v>Sewerage</v>
      </c>
      <c r="G139" s="555" t="str">
        <f>+G138</f>
        <v>SEW</v>
      </c>
      <c r="H139" s="555" t="str">
        <f>+H138</f>
        <v>Western Treatment</v>
      </c>
      <c r="I139" s="556" t="str">
        <f>+I138</f>
        <v>Variable</v>
      </c>
      <c r="J139" s="590" t="s">
        <v>887</v>
      </c>
      <c r="K139" s="557"/>
      <c r="L139" s="558"/>
      <c r="M139" s="558"/>
      <c r="N139" s="557"/>
      <c r="O139" s="558"/>
      <c r="P139" s="558"/>
      <c r="Q139" s="558"/>
      <c r="R139" s="1036"/>
      <c r="S139" s="1139"/>
      <c r="T139" s="593"/>
      <c r="U139" s="1036"/>
      <c r="V139" s="1139"/>
      <c r="W139" s="593"/>
      <c r="X139" s="593"/>
      <c r="Y139" s="593"/>
      <c r="Z139" s="1036"/>
      <c r="AA139" s="1139"/>
      <c r="AB139" s="593"/>
      <c r="AC139" s="593"/>
      <c r="AD139" s="593"/>
      <c r="AE139" s="1036"/>
      <c r="AF139" s="1139"/>
      <c r="AG139" s="593"/>
      <c r="AH139" s="593"/>
      <c r="AI139" s="593"/>
      <c r="AJ139" s="1036"/>
      <c r="AK139" s="569"/>
      <c r="AL139" s="569"/>
      <c r="AN139" s="857"/>
      <c r="AO139" s="961" t="str">
        <f t="shared" si="154"/>
        <v>Qty</v>
      </c>
      <c r="AP139" s="962" t="str">
        <f t="shared" si="155"/>
        <v>Sewerage</v>
      </c>
      <c r="AQ139" s="963" t="str">
        <f t="shared" si="156"/>
        <v>Variable</v>
      </c>
      <c r="AR139" s="967" t="str">
        <f t="shared" si="157"/>
        <v>-</v>
      </c>
      <c r="AS139" s="964" t="str">
        <f t="shared" si="158"/>
        <v>-</v>
      </c>
      <c r="AT139" s="964" t="str">
        <f t="shared" si="159"/>
        <v>-</v>
      </c>
      <c r="AU139" s="964" t="str">
        <f t="shared" si="160"/>
        <v>-</v>
      </c>
      <c r="AV139" s="1350" t="str">
        <f t="shared" si="161"/>
        <v>-</v>
      </c>
      <c r="AW139" s="1343" t="str">
        <f t="shared" si="162"/>
        <v>-</v>
      </c>
      <c r="AX139" s="964" t="str">
        <f t="shared" si="163"/>
        <v>-</v>
      </c>
      <c r="AY139" s="964" t="str">
        <f t="shared" si="164"/>
        <v>-</v>
      </c>
      <c r="AZ139" s="964" t="str">
        <f t="shared" si="165"/>
        <v>-</v>
      </c>
      <c r="BA139" s="965" t="str">
        <f t="shared" si="166"/>
        <v>-</v>
      </c>
      <c r="BB139" s="1343" t="str">
        <f t="shared" si="167"/>
        <v>-</v>
      </c>
      <c r="BC139" s="964" t="str">
        <f t="shared" si="168"/>
        <v>-</v>
      </c>
      <c r="BD139" s="964" t="str">
        <f t="shared" si="169"/>
        <v>-</v>
      </c>
      <c r="BE139" s="964" t="str">
        <f t="shared" si="170"/>
        <v>-</v>
      </c>
      <c r="BF139" s="966" t="str">
        <f t="shared" si="171"/>
        <v>-</v>
      </c>
      <c r="BG139" s="951"/>
      <c r="BH139" s="1541" t="str">
        <f t="shared" si="172"/>
        <v>Qty</v>
      </c>
      <c r="BI139" s="1542" t="str">
        <f t="shared" si="173"/>
        <v>Sewerage</v>
      </c>
      <c r="BJ139" s="1543" t="str">
        <f t="shared" si="174"/>
        <v>Variable</v>
      </c>
      <c r="BK139" s="964" t="str">
        <f t="shared" ref="BK139:BU139" si="191">IF(V139="","-",IFERROR((V139/U139-1)*(U140/U$13),"-"))</f>
        <v>-</v>
      </c>
      <c r="BL139" s="964" t="str">
        <f t="shared" si="191"/>
        <v>-</v>
      </c>
      <c r="BM139" s="964" t="str">
        <f t="shared" si="191"/>
        <v>-</v>
      </c>
      <c r="BN139" s="964" t="str">
        <f t="shared" si="191"/>
        <v>-</v>
      </c>
      <c r="BO139" s="1350" t="str">
        <f t="shared" si="191"/>
        <v>-</v>
      </c>
      <c r="BP139" s="1343" t="str">
        <f t="shared" si="191"/>
        <v>-</v>
      </c>
      <c r="BQ139" s="964" t="str">
        <f t="shared" si="191"/>
        <v>-</v>
      </c>
      <c r="BR139" s="964" t="str">
        <f t="shared" si="191"/>
        <v>-</v>
      </c>
      <c r="BS139" s="964" t="str">
        <f t="shared" si="191"/>
        <v>-</v>
      </c>
      <c r="BT139" s="965" t="str">
        <f t="shared" si="191"/>
        <v>-</v>
      </c>
      <c r="BU139" s="964" t="str">
        <f t="shared" si="191"/>
        <v>-</v>
      </c>
      <c r="BV139" s="964" t="str">
        <f>IF(AG139="","-",IFERROR((AG139/AF139-1)*(AF140/AF$13),"-"))</f>
        <v>-</v>
      </c>
      <c r="BW139" s="964" t="str">
        <f>IF(AH139="","-",IFERROR((AH139/AG139-1)*(AG140/AG$13),"-"))</f>
        <v>-</v>
      </c>
      <c r="BX139" s="964" t="str">
        <f>IF(AI139="","-",IFERROR((AI139/AH139-1)*(AH140/AH$13),"-"))</f>
        <v>-</v>
      </c>
      <c r="BY139" s="966" t="str">
        <f>IF(AJ139="","-",IFERROR((AJ139/AI139-1)*(AI140/AI$13),"-"))</f>
        <v>-</v>
      </c>
      <c r="BZ139" s="951"/>
      <c r="CA139" s="961" t="str">
        <f t="shared" si="151"/>
        <v>Qty</v>
      </c>
      <c r="CB139" s="962" t="str">
        <f t="shared" si="152"/>
        <v>Sewerage</v>
      </c>
      <c r="CC139" s="962" t="str">
        <f t="shared" si="153"/>
        <v>Variable</v>
      </c>
      <c r="CD139" s="967" t="str">
        <f t="shared" si="184"/>
        <v>-</v>
      </c>
      <c r="CE139" s="964" t="str">
        <f t="shared" si="176"/>
        <v>-</v>
      </c>
      <c r="CF139" s="964" t="str">
        <f t="shared" si="177"/>
        <v>-</v>
      </c>
      <c r="CG139" s="965" t="str">
        <f t="shared" si="178"/>
        <v>-</v>
      </c>
      <c r="CH139" s="964" t="str">
        <f t="shared" si="185"/>
        <v>-</v>
      </c>
      <c r="CI139" s="964" t="str">
        <f t="shared" si="179"/>
        <v>-</v>
      </c>
      <c r="CJ139" s="964" t="str">
        <f t="shared" si="180"/>
        <v>-</v>
      </c>
      <c r="CK139" s="966" t="str">
        <f t="shared" si="181"/>
        <v>-</v>
      </c>
    </row>
    <row r="140" spans="4:89" ht="12.75" thickBot="1">
      <c r="E140" s="568" t="s">
        <v>882</v>
      </c>
      <c r="F140" s="560" t="str">
        <f>+F138</f>
        <v>Sewerage</v>
      </c>
      <c r="G140" s="561" t="str">
        <f>+G138</f>
        <v>SEW</v>
      </c>
      <c r="H140" s="561" t="str">
        <f>+H138</f>
        <v>Western Treatment</v>
      </c>
      <c r="I140" s="562" t="str">
        <f>+I138</f>
        <v>Variable</v>
      </c>
      <c r="J140" s="563" t="s">
        <v>883</v>
      </c>
      <c r="K140" s="564">
        <f t="shared" ref="K140:AJ140" si="192">K138*K139/10^6</f>
        <v>0</v>
      </c>
      <c r="L140" s="565">
        <f t="shared" si="192"/>
        <v>0</v>
      </c>
      <c r="M140" s="565">
        <f t="shared" si="192"/>
        <v>0</v>
      </c>
      <c r="N140" s="564">
        <f t="shared" si="192"/>
        <v>0</v>
      </c>
      <c r="O140" s="565">
        <f t="shared" si="192"/>
        <v>0</v>
      </c>
      <c r="P140" s="565">
        <f t="shared" si="192"/>
        <v>0</v>
      </c>
      <c r="Q140" s="565">
        <f t="shared" si="192"/>
        <v>0</v>
      </c>
      <c r="R140" s="566">
        <f t="shared" si="192"/>
        <v>0</v>
      </c>
      <c r="S140" s="564">
        <f t="shared" si="192"/>
        <v>0</v>
      </c>
      <c r="T140" s="565">
        <f t="shared" si="192"/>
        <v>0</v>
      </c>
      <c r="U140" s="566">
        <f t="shared" si="192"/>
        <v>0</v>
      </c>
      <c r="V140" s="564">
        <f t="shared" si="192"/>
        <v>0</v>
      </c>
      <c r="W140" s="565">
        <f t="shared" si="192"/>
        <v>0</v>
      </c>
      <c r="X140" s="565">
        <f t="shared" si="192"/>
        <v>0</v>
      </c>
      <c r="Y140" s="565">
        <f t="shared" si="192"/>
        <v>0</v>
      </c>
      <c r="Z140" s="566">
        <f t="shared" si="192"/>
        <v>0</v>
      </c>
      <c r="AA140" s="564">
        <f t="shared" si="192"/>
        <v>0</v>
      </c>
      <c r="AB140" s="565">
        <f t="shared" si="192"/>
        <v>0</v>
      </c>
      <c r="AC140" s="565">
        <f t="shared" si="192"/>
        <v>0</v>
      </c>
      <c r="AD140" s="565">
        <f t="shared" si="192"/>
        <v>0</v>
      </c>
      <c r="AE140" s="566">
        <f t="shared" si="192"/>
        <v>0</v>
      </c>
      <c r="AF140" s="564">
        <f t="shared" si="192"/>
        <v>0</v>
      </c>
      <c r="AG140" s="565">
        <f t="shared" si="192"/>
        <v>0</v>
      </c>
      <c r="AH140" s="565">
        <f t="shared" si="192"/>
        <v>0</v>
      </c>
      <c r="AI140" s="565">
        <f t="shared" si="192"/>
        <v>0</v>
      </c>
      <c r="AJ140" s="566">
        <f t="shared" si="192"/>
        <v>0</v>
      </c>
      <c r="AK140" s="569"/>
      <c r="AL140" s="569"/>
      <c r="AN140" s="857"/>
      <c r="AO140" s="984" t="str">
        <f t="shared" si="154"/>
        <v>Rev</v>
      </c>
      <c r="AP140" s="985" t="str">
        <f t="shared" si="155"/>
        <v>Sewerage</v>
      </c>
      <c r="AQ140" s="986" t="str">
        <f t="shared" si="156"/>
        <v>Variable</v>
      </c>
      <c r="AR140" s="990" t="str">
        <f t="shared" si="157"/>
        <v>-</v>
      </c>
      <c r="AS140" s="987" t="str">
        <f t="shared" si="158"/>
        <v>-</v>
      </c>
      <c r="AT140" s="987" t="str">
        <f t="shared" si="159"/>
        <v>-</v>
      </c>
      <c r="AU140" s="987" t="str">
        <f t="shared" si="160"/>
        <v>-</v>
      </c>
      <c r="AV140" s="1353" t="str">
        <f t="shared" si="161"/>
        <v>-</v>
      </c>
      <c r="AW140" s="1346" t="str">
        <f t="shared" si="162"/>
        <v>-</v>
      </c>
      <c r="AX140" s="987" t="str">
        <f t="shared" si="163"/>
        <v>-</v>
      </c>
      <c r="AY140" s="987" t="str">
        <f t="shared" si="164"/>
        <v>-</v>
      </c>
      <c r="AZ140" s="987" t="str">
        <f t="shared" si="165"/>
        <v>-</v>
      </c>
      <c r="BA140" s="988" t="str">
        <f t="shared" si="166"/>
        <v>-</v>
      </c>
      <c r="BB140" s="1346" t="str">
        <f t="shared" si="167"/>
        <v>-</v>
      </c>
      <c r="BC140" s="987" t="str">
        <f t="shared" si="168"/>
        <v>-</v>
      </c>
      <c r="BD140" s="987" t="str">
        <f t="shared" si="169"/>
        <v>-</v>
      </c>
      <c r="BE140" s="987" t="str">
        <f t="shared" si="170"/>
        <v>-</v>
      </c>
      <c r="BF140" s="989" t="str">
        <f t="shared" si="171"/>
        <v>-</v>
      </c>
      <c r="BG140" s="951"/>
      <c r="BH140" s="1550" t="str">
        <f t="shared" si="172"/>
        <v>Rev</v>
      </c>
      <c r="BI140" s="1551" t="str">
        <f t="shared" si="173"/>
        <v>Sewerage</v>
      </c>
      <c r="BJ140" s="1552" t="str">
        <f t="shared" si="174"/>
        <v>Variable</v>
      </c>
      <c r="BK140" s="987" t="str">
        <f t="shared" ref="BK140:BU140" si="193">IF(V140="","-",IFERROR((V140/U140-1)*(U140/U$13),"-"))</f>
        <v>-</v>
      </c>
      <c r="BL140" s="987" t="str">
        <f t="shared" si="193"/>
        <v>-</v>
      </c>
      <c r="BM140" s="987" t="str">
        <f t="shared" si="193"/>
        <v>-</v>
      </c>
      <c r="BN140" s="987" t="str">
        <f t="shared" si="193"/>
        <v>-</v>
      </c>
      <c r="BO140" s="1353" t="str">
        <f t="shared" si="193"/>
        <v>-</v>
      </c>
      <c r="BP140" s="1346" t="str">
        <f t="shared" si="193"/>
        <v>-</v>
      </c>
      <c r="BQ140" s="987" t="str">
        <f t="shared" si="193"/>
        <v>-</v>
      </c>
      <c r="BR140" s="987" t="str">
        <f t="shared" si="193"/>
        <v>-</v>
      </c>
      <c r="BS140" s="987" t="str">
        <f t="shared" si="193"/>
        <v>-</v>
      </c>
      <c r="BT140" s="988" t="str">
        <f t="shared" si="193"/>
        <v>-</v>
      </c>
      <c r="BU140" s="987" t="str">
        <f t="shared" si="193"/>
        <v>-</v>
      </c>
      <c r="BV140" s="987" t="str">
        <f>IF(AG140="","-",IFERROR((AG140/AF140-1)*(AF140/AF$13),"-"))</f>
        <v>-</v>
      </c>
      <c r="BW140" s="987" t="str">
        <f>IF(AH140="","-",IFERROR((AH140/AG140-1)*(AG140/AG$13),"-"))</f>
        <v>-</v>
      </c>
      <c r="BX140" s="987" t="str">
        <f>IF(AI140="","-",IFERROR((AI140/AH140-1)*(AH140/AH$13),"-"))</f>
        <v>-</v>
      </c>
      <c r="BY140" s="989" t="str">
        <f>IF(AJ140="","-",IFERROR((AJ140/AI140-1)*(AI140/AI$13),"-"))</f>
        <v>-</v>
      </c>
      <c r="BZ140" s="951"/>
      <c r="CA140" s="984" t="str">
        <f t="shared" si="151"/>
        <v>Rev</v>
      </c>
      <c r="CB140" s="985" t="str">
        <f t="shared" si="152"/>
        <v>Sewerage</v>
      </c>
      <c r="CC140" s="985" t="str">
        <f t="shared" si="153"/>
        <v>Variable</v>
      </c>
      <c r="CD140" s="990" t="str">
        <f t="shared" si="184"/>
        <v>-</v>
      </c>
      <c r="CE140" s="987" t="str">
        <f t="shared" si="176"/>
        <v>-</v>
      </c>
      <c r="CF140" s="987" t="str">
        <f t="shared" si="177"/>
        <v>-</v>
      </c>
      <c r="CG140" s="988" t="str">
        <f t="shared" si="178"/>
        <v>-</v>
      </c>
      <c r="CH140" s="987" t="str">
        <f t="shared" si="185"/>
        <v>-</v>
      </c>
      <c r="CI140" s="987" t="str">
        <f t="shared" si="179"/>
        <v>-</v>
      </c>
      <c r="CJ140" s="987" t="str">
        <f t="shared" si="180"/>
        <v>-</v>
      </c>
      <c r="CK140" s="989" t="str">
        <f t="shared" si="181"/>
        <v>-</v>
      </c>
    </row>
    <row r="141" spans="4:89">
      <c r="D141" s="63">
        <f>D138+1</f>
        <v>25</v>
      </c>
      <c r="E141" s="550" t="s">
        <v>857</v>
      </c>
      <c r="F141" s="595" t="s">
        <v>402</v>
      </c>
      <c r="G141" s="595" t="s">
        <v>103</v>
      </c>
      <c r="H141" s="595" t="s">
        <v>891</v>
      </c>
      <c r="I141" s="589" t="s">
        <v>843</v>
      </c>
      <c r="J141" s="589" t="s">
        <v>879</v>
      </c>
      <c r="K141" s="551"/>
      <c r="L141" s="552"/>
      <c r="M141" s="552"/>
      <c r="N141" s="551"/>
      <c r="O141" s="552"/>
      <c r="P141" s="552"/>
      <c r="Q141" s="552"/>
      <c r="R141" s="1035"/>
      <c r="S141" s="1138"/>
      <c r="T141" s="591"/>
      <c r="U141" s="1035"/>
      <c r="V141" s="1138"/>
      <c r="W141" s="591"/>
      <c r="X141" s="591"/>
      <c r="Y141" s="591"/>
      <c r="Z141" s="1035"/>
      <c r="AA141" s="1138"/>
      <c r="AB141" s="591"/>
      <c r="AC141" s="591"/>
      <c r="AD141" s="591"/>
      <c r="AE141" s="1035"/>
      <c r="AF141" s="1138"/>
      <c r="AG141" s="591"/>
      <c r="AH141" s="591"/>
      <c r="AI141" s="591"/>
      <c r="AJ141" s="1035"/>
      <c r="AK141" s="569"/>
      <c r="AL141" s="569"/>
      <c r="AM141" s="974"/>
      <c r="AN141" s="857"/>
      <c r="AO141" s="975" t="str">
        <f t="shared" si="154"/>
        <v>Price</v>
      </c>
      <c r="AP141" s="976" t="str">
        <f t="shared" si="155"/>
        <v>Sewerage</v>
      </c>
      <c r="AQ141" s="977" t="str">
        <f t="shared" si="156"/>
        <v>Variable</v>
      </c>
      <c r="AR141" s="1341" t="str">
        <f t="shared" si="157"/>
        <v>-</v>
      </c>
      <c r="AS141" s="978" t="str">
        <f t="shared" si="158"/>
        <v>-</v>
      </c>
      <c r="AT141" s="979" t="str">
        <f t="shared" si="159"/>
        <v>-</v>
      </c>
      <c r="AU141" s="979" t="str">
        <f t="shared" si="160"/>
        <v>-</v>
      </c>
      <c r="AV141" s="1352" t="str">
        <f t="shared" si="161"/>
        <v>-</v>
      </c>
      <c r="AW141" s="1345" t="str">
        <f t="shared" si="162"/>
        <v>-</v>
      </c>
      <c r="AX141" s="979" t="str">
        <f t="shared" si="163"/>
        <v>-</v>
      </c>
      <c r="AY141" s="979" t="str">
        <f t="shared" si="164"/>
        <v>-</v>
      </c>
      <c r="AZ141" s="979" t="str">
        <f t="shared" si="165"/>
        <v>-</v>
      </c>
      <c r="BA141" s="980" t="str">
        <f t="shared" si="166"/>
        <v>-</v>
      </c>
      <c r="BB141" s="1345" t="str">
        <f t="shared" si="167"/>
        <v>-</v>
      </c>
      <c r="BC141" s="979" t="str">
        <f t="shared" si="168"/>
        <v>-</v>
      </c>
      <c r="BD141" s="979" t="str">
        <f t="shared" si="169"/>
        <v>-</v>
      </c>
      <c r="BE141" s="979" t="str">
        <f t="shared" si="170"/>
        <v>-</v>
      </c>
      <c r="BF141" s="981" t="str">
        <f t="shared" si="171"/>
        <v>-</v>
      </c>
      <c r="BG141" s="951"/>
      <c r="BH141" s="1547" t="str">
        <f t="shared" si="172"/>
        <v>Price</v>
      </c>
      <c r="BI141" s="1548" t="str">
        <f t="shared" si="173"/>
        <v>Sewerage</v>
      </c>
      <c r="BJ141" s="1549" t="str">
        <f t="shared" si="174"/>
        <v>Variable</v>
      </c>
      <c r="BK141" s="978" t="str">
        <f t="shared" ref="BK141:BU141" si="194">IF(V141="","-",IFERROR((V141/U141-1)*(U143/U$13),"-"))</f>
        <v>-</v>
      </c>
      <c r="BL141" s="978" t="str">
        <f t="shared" si="194"/>
        <v>-</v>
      </c>
      <c r="BM141" s="979" t="str">
        <f t="shared" si="194"/>
        <v>-</v>
      </c>
      <c r="BN141" s="979" t="str">
        <f t="shared" si="194"/>
        <v>-</v>
      </c>
      <c r="BO141" s="1352" t="str">
        <f t="shared" si="194"/>
        <v>-</v>
      </c>
      <c r="BP141" s="1345" t="str">
        <f t="shared" si="194"/>
        <v>-</v>
      </c>
      <c r="BQ141" s="979" t="str">
        <f t="shared" si="194"/>
        <v>-</v>
      </c>
      <c r="BR141" s="979" t="str">
        <f t="shared" si="194"/>
        <v>-</v>
      </c>
      <c r="BS141" s="979" t="str">
        <f t="shared" si="194"/>
        <v>-</v>
      </c>
      <c r="BT141" s="980" t="str">
        <f t="shared" si="194"/>
        <v>-</v>
      </c>
      <c r="BU141" s="979" t="str">
        <f t="shared" si="194"/>
        <v>-</v>
      </c>
      <c r="BV141" s="979" t="str">
        <f>IF(AG141="","-",IFERROR((AG141/AF141-1)*(AF143/AF$13),"-"))</f>
        <v>-</v>
      </c>
      <c r="BW141" s="979" t="str">
        <f>IF(AH141="","-",IFERROR((AH141/AG141-1)*(AG143/AG$13),"-"))</f>
        <v>-</v>
      </c>
      <c r="BX141" s="979" t="str">
        <f>IF(AI141="","-",IFERROR((AI141/AH141-1)*(AH143/AH$13),"-"))</f>
        <v>-</v>
      </c>
      <c r="BY141" s="981" t="str">
        <f>IF(AJ141="","-",IFERROR((AJ141/AI141-1)*(AI143/AI$13),"-"))</f>
        <v>-</v>
      </c>
      <c r="BZ141" s="951"/>
      <c r="CA141" s="975" t="str">
        <f t="shared" si="151"/>
        <v>Price</v>
      </c>
      <c r="CB141" s="976" t="str">
        <f t="shared" si="152"/>
        <v>Sewerage</v>
      </c>
      <c r="CC141" s="982" t="str">
        <f t="shared" si="153"/>
        <v>Variable</v>
      </c>
      <c r="CD141" s="983" t="str">
        <f t="shared" si="184"/>
        <v>-</v>
      </c>
      <c r="CE141" s="979" t="str">
        <f t="shared" si="176"/>
        <v>-</v>
      </c>
      <c r="CF141" s="979" t="str">
        <f t="shared" si="177"/>
        <v>-</v>
      </c>
      <c r="CG141" s="980" t="str">
        <f t="shared" si="178"/>
        <v>-</v>
      </c>
      <c r="CH141" s="979" t="str">
        <f t="shared" si="185"/>
        <v>-</v>
      </c>
      <c r="CI141" s="979" t="str">
        <f t="shared" si="179"/>
        <v>-</v>
      </c>
      <c r="CJ141" s="979" t="str">
        <f t="shared" si="180"/>
        <v>-</v>
      </c>
      <c r="CK141" s="981" t="str">
        <f t="shared" si="181"/>
        <v>-</v>
      </c>
    </row>
    <row r="142" spans="4:89">
      <c r="E142" s="567" t="s">
        <v>880</v>
      </c>
      <c r="F142" s="554" t="str">
        <f>+F141</f>
        <v>Sewerage</v>
      </c>
      <c r="G142" s="555" t="str">
        <f>+G141</f>
        <v>YVW</v>
      </c>
      <c r="H142" s="555" t="str">
        <f>+H141</f>
        <v>Western Treatment</v>
      </c>
      <c r="I142" s="556" t="str">
        <f>+I141</f>
        <v>Variable</v>
      </c>
      <c r="J142" s="590" t="s">
        <v>887</v>
      </c>
      <c r="K142" s="557"/>
      <c r="L142" s="558"/>
      <c r="M142" s="558"/>
      <c r="N142" s="557"/>
      <c r="O142" s="558"/>
      <c r="P142" s="558"/>
      <c r="Q142" s="558"/>
      <c r="R142" s="1036"/>
      <c r="S142" s="1139"/>
      <c r="T142" s="593"/>
      <c r="U142" s="1036"/>
      <c r="V142" s="1139"/>
      <c r="W142" s="593"/>
      <c r="X142" s="593"/>
      <c r="Y142" s="593"/>
      <c r="Z142" s="1036"/>
      <c r="AA142" s="1139"/>
      <c r="AB142" s="593"/>
      <c r="AC142" s="593"/>
      <c r="AD142" s="593"/>
      <c r="AE142" s="1036"/>
      <c r="AF142" s="1139"/>
      <c r="AG142" s="593"/>
      <c r="AH142" s="593"/>
      <c r="AI142" s="593"/>
      <c r="AJ142" s="1036"/>
      <c r="AK142" s="569"/>
      <c r="AL142" s="569"/>
      <c r="AN142" s="857"/>
      <c r="AO142" s="961" t="str">
        <f t="shared" si="154"/>
        <v>Qty</v>
      </c>
      <c r="AP142" s="962" t="str">
        <f t="shared" si="155"/>
        <v>Sewerage</v>
      </c>
      <c r="AQ142" s="963" t="str">
        <f t="shared" si="156"/>
        <v>Variable</v>
      </c>
      <c r="AR142" s="967" t="str">
        <f t="shared" si="157"/>
        <v>-</v>
      </c>
      <c r="AS142" s="964" t="str">
        <f t="shared" si="158"/>
        <v>-</v>
      </c>
      <c r="AT142" s="964" t="str">
        <f t="shared" si="159"/>
        <v>-</v>
      </c>
      <c r="AU142" s="964" t="str">
        <f t="shared" si="160"/>
        <v>-</v>
      </c>
      <c r="AV142" s="1350" t="str">
        <f t="shared" si="161"/>
        <v>-</v>
      </c>
      <c r="AW142" s="1343" t="str">
        <f t="shared" si="162"/>
        <v>-</v>
      </c>
      <c r="AX142" s="964" t="str">
        <f t="shared" si="163"/>
        <v>-</v>
      </c>
      <c r="AY142" s="964" t="str">
        <f t="shared" si="164"/>
        <v>-</v>
      </c>
      <c r="AZ142" s="964" t="str">
        <f t="shared" si="165"/>
        <v>-</v>
      </c>
      <c r="BA142" s="965" t="str">
        <f t="shared" si="166"/>
        <v>-</v>
      </c>
      <c r="BB142" s="1343" t="str">
        <f t="shared" si="167"/>
        <v>-</v>
      </c>
      <c r="BC142" s="964" t="str">
        <f t="shared" si="168"/>
        <v>-</v>
      </c>
      <c r="BD142" s="964" t="str">
        <f t="shared" si="169"/>
        <v>-</v>
      </c>
      <c r="BE142" s="964" t="str">
        <f t="shared" si="170"/>
        <v>-</v>
      </c>
      <c r="BF142" s="966" t="str">
        <f t="shared" si="171"/>
        <v>-</v>
      </c>
      <c r="BG142" s="951"/>
      <c r="BH142" s="1541" t="str">
        <f t="shared" si="172"/>
        <v>Qty</v>
      </c>
      <c r="BI142" s="1542" t="str">
        <f t="shared" si="173"/>
        <v>Sewerage</v>
      </c>
      <c r="BJ142" s="1543" t="str">
        <f t="shared" si="174"/>
        <v>Variable</v>
      </c>
      <c r="BK142" s="964" t="str">
        <f t="shared" ref="BK142:BU142" si="195">IF(V142="","-",IFERROR((V142/U142-1)*(U143/U$13),"-"))</f>
        <v>-</v>
      </c>
      <c r="BL142" s="964" t="str">
        <f t="shared" si="195"/>
        <v>-</v>
      </c>
      <c r="BM142" s="964" t="str">
        <f t="shared" si="195"/>
        <v>-</v>
      </c>
      <c r="BN142" s="964" t="str">
        <f t="shared" si="195"/>
        <v>-</v>
      </c>
      <c r="BO142" s="1350" t="str">
        <f t="shared" si="195"/>
        <v>-</v>
      </c>
      <c r="BP142" s="1343" t="str">
        <f t="shared" si="195"/>
        <v>-</v>
      </c>
      <c r="BQ142" s="964" t="str">
        <f t="shared" si="195"/>
        <v>-</v>
      </c>
      <c r="BR142" s="964" t="str">
        <f t="shared" si="195"/>
        <v>-</v>
      </c>
      <c r="BS142" s="964" t="str">
        <f t="shared" si="195"/>
        <v>-</v>
      </c>
      <c r="BT142" s="965" t="str">
        <f t="shared" si="195"/>
        <v>-</v>
      </c>
      <c r="BU142" s="964" t="str">
        <f t="shared" si="195"/>
        <v>-</v>
      </c>
      <c r="BV142" s="964" t="str">
        <f>IF(AG142="","-",IFERROR((AG142/AF142-1)*(AF143/AF$13),"-"))</f>
        <v>-</v>
      </c>
      <c r="BW142" s="964" t="str">
        <f>IF(AH142="","-",IFERROR((AH142/AG142-1)*(AG143/AG$13),"-"))</f>
        <v>-</v>
      </c>
      <c r="BX142" s="964" t="str">
        <f>IF(AI142="","-",IFERROR((AI142/AH142-1)*(AH143/AH$13),"-"))</f>
        <v>-</v>
      </c>
      <c r="BY142" s="966" t="str">
        <f>IF(AJ142="","-",IFERROR((AJ142/AI142-1)*(AI143/AI$13),"-"))</f>
        <v>-</v>
      </c>
      <c r="BZ142" s="951"/>
      <c r="CA142" s="961" t="str">
        <f t="shared" si="151"/>
        <v>Qty</v>
      </c>
      <c r="CB142" s="962" t="str">
        <f t="shared" si="152"/>
        <v>Sewerage</v>
      </c>
      <c r="CC142" s="962" t="str">
        <f t="shared" si="153"/>
        <v>Variable</v>
      </c>
      <c r="CD142" s="967" t="str">
        <f t="shared" si="184"/>
        <v>-</v>
      </c>
      <c r="CE142" s="964" t="str">
        <f t="shared" si="176"/>
        <v>-</v>
      </c>
      <c r="CF142" s="964" t="str">
        <f t="shared" si="177"/>
        <v>-</v>
      </c>
      <c r="CG142" s="965" t="str">
        <f t="shared" si="178"/>
        <v>-</v>
      </c>
      <c r="CH142" s="964" t="str">
        <f t="shared" si="185"/>
        <v>-</v>
      </c>
      <c r="CI142" s="964" t="str">
        <f t="shared" si="179"/>
        <v>-</v>
      </c>
      <c r="CJ142" s="964" t="str">
        <f t="shared" si="180"/>
        <v>-</v>
      </c>
      <c r="CK142" s="966" t="str">
        <f t="shared" si="181"/>
        <v>-</v>
      </c>
    </row>
    <row r="143" spans="4:89" ht="12.75" thickBot="1">
      <c r="E143" s="568" t="s">
        <v>882</v>
      </c>
      <c r="F143" s="560" t="str">
        <f>+F141</f>
        <v>Sewerage</v>
      </c>
      <c r="G143" s="561" t="str">
        <f>+G141</f>
        <v>YVW</v>
      </c>
      <c r="H143" s="561" t="str">
        <f>+H141</f>
        <v>Western Treatment</v>
      </c>
      <c r="I143" s="562" t="str">
        <f>+I141</f>
        <v>Variable</v>
      </c>
      <c r="J143" s="563" t="s">
        <v>883</v>
      </c>
      <c r="K143" s="564">
        <f t="shared" ref="K143:AJ143" si="196">K141*K142/10^6</f>
        <v>0</v>
      </c>
      <c r="L143" s="565">
        <f t="shared" si="196"/>
        <v>0</v>
      </c>
      <c r="M143" s="565">
        <f t="shared" si="196"/>
        <v>0</v>
      </c>
      <c r="N143" s="564">
        <f t="shared" si="196"/>
        <v>0</v>
      </c>
      <c r="O143" s="565">
        <f t="shared" si="196"/>
        <v>0</v>
      </c>
      <c r="P143" s="565">
        <f t="shared" si="196"/>
        <v>0</v>
      </c>
      <c r="Q143" s="565">
        <f t="shared" si="196"/>
        <v>0</v>
      </c>
      <c r="R143" s="566">
        <f t="shared" si="196"/>
        <v>0</v>
      </c>
      <c r="S143" s="564">
        <f t="shared" si="196"/>
        <v>0</v>
      </c>
      <c r="T143" s="565">
        <f t="shared" si="196"/>
        <v>0</v>
      </c>
      <c r="U143" s="566">
        <f t="shared" si="196"/>
        <v>0</v>
      </c>
      <c r="V143" s="564">
        <f t="shared" si="196"/>
        <v>0</v>
      </c>
      <c r="W143" s="565">
        <f t="shared" si="196"/>
        <v>0</v>
      </c>
      <c r="X143" s="565">
        <f t="shared" si="196"/>
        <v>0</v>
      </c>
      <c r="Y143" s="565">
        <f t="shared" si="196"/>
        <v>0</v>
      </c>
      <c r="Z143" s="566">
        <f t="shared" si="196"/>
        <v>0</v>
      </c>
      <c r="AA143" s="564">
        <f t="shared" si="196"/>
        <v>0</v>
      </c>
      <c r="AB143" s="565">
        <f t="shared" si="196"/>
        <v>0</v>
      </c>
      <c r="AC143" s="565">
        <f t="shared" si="196"/>
        <v>0</v>
      </c>
      <c r="AD143" s="565">
        <f t="shared" si="196"/>
        <v>0</v>
      </c>
      <c r="AE143" s="566">
        <f t="shared" si="196"/>
        <v>0</v>
      </c>
      <c r="AF143" s="564">
        <f t="shared" si="196"/>
        <v>0</v>
      </c>
      <c r="AG143" s="565">
        <f t="shared" si="196"/>
        <v>0</v>
      </c>
      <c r="AH143" s="565">
        <f t="shared" si="196"/>
        <v>0</v>
      </c>
      <c r="AI143" s="565">
        <f t="shared" si="196"/>
        <v>0</v>
      </c>
      <c r="AJ143" s="566">
        <f t="shared" si="196"/>
        <v>0</v>
      </c>
      <c r="AK143" s="569"/>
      <c r="AL143" s="569"/>
      <c r="AN143" s="857"/>
      <c r="AO143" s="984" t="str">
        <f t="shared" si="154"/>
        <v>Rev</v>
      </c>
      <c r="AP143" s="985" t="str">
        <f t="shared" si="155"/>
        <v>Sewerage</v>
      </c>
      <c r="AQ143" s="986" t="str">
        <f t="shared" si="156"/>
        <v>Variable</v>
      </c>
      <c r="AR143" s="990" t="str">
        <f t="shared" si="157"/>
        <v>-</v>
      </c>
      <c r="AS143" s="987" t="str">
        <f t="shared" si="158"/>
        <v>-</v>
      </c>
      <c r="AT143" s="987" t="str">
        <f t="shared" si="159"/>
        <v>-</v>
      </c>
      <c r="AU143" s="987" t="str">
        <f t="shared" si="160"/>
        <v>-</v>
      </c>
      <c r="AV143" s="1353" t="str">
        <f t="shared" si="161"/>
        <v>-</v>
      </c>
      <c r="AW143" s="1346" t="str">
        <f t="shared" si="162"/>
        <v>-</v>
      </c>
      <c r="AX143" s="987" t="str">
        <f t="shared" si="163"/>
        <v>-</v>
      </c>
      <c r="AY143" s="987" t="str">
        <f t="shared" si="164"/>
        <v>-</v>
      </c>
      <c r="AZ143" s="987" t="str">
        <f t="shared" si="165"/>
        <v>-</v>
      </c>
      <c r="BA143" s="988" t="str">
        <f t="shared" si="166"/>
        <v>-</v>
      </c>
      <c r="BB143" s="1346" t="str">
        <f t="shared" si="167"/>
        <v>-</v>
      </c>
      <c r="BC143" s="987" t="str">
        <f t="shared" si="168"/>
        <v>-</v>
      </c>
      <c r="BD143" s="987" t="str">
        <f t="shared" si="169"/>
        <v>-</v>
      </c>
      <c r="BE143" s="987" t="str">
        <f t="shared" si="170"/>
        <v>-</v>
      </c>
      <c r="BF143" s="989" t="str">
        <f t="shared" si="171"/>
        <v>-</v>
      </c>
      <c r="BG143" s="951"/>
      <c r="BH143" s="1550" t="str">
        <f t="shared" si="172"/>
        <v>Rev</v>
      </c>
      <c r="BI143" s="1551" t="str">
        <f t="shared" si="173"/>
        <v>Sewerage</v>
      </c>
      <c r="BJ143" s="1552" t="str">
        <f t="shared" si="174"/>
        <v>Variable</v>
      </c>
      <c r="BK143" s="987" t="str">
        <f t="shared" ref="BK143:BU143" si="197">IF(V143="","-",IFERROR((V143/U143-1)*(U143/U$13),"-"))</f>
        <v>-</v>
      </c>
      <c r="BL143" s="987" t="str">
        <f t="shared" si="197"/>
        <v>-</v>
      </c>
      <c r="BM143" s="987" t="str">
        <f t="shared" si="197"/>
        <v>-</v>
      </c>
      <c r="BN143" s="987" t="str">
        <f t="shared" si="197"/>
        <v>-</v>
      </c>
      <c r="BO143" s="1353" t="str">
        <f t="shared" si="197"/>
        <v>-</v>
      </c>
      <c r="BP143" s="1346" t="str">
        <f t="shared" si="197"/>
        <v>-</v>
      </c>
      <c r="BQ143" s="987" t="str">
        <f t="shared" si="197"/>
        <v>-</v>
      </c>
      <c r="BR143" s="987" t="str">
        <f t="shared" si="197"/>
        <v>-</v>
      </c>
      <c r="BS143" s="987" t="str">
        <f t="shared" si="197"/>
        <v>-</v>
      </c>
      <c r="BT143" s="988" t="str">
        <f t="shared" si="197"/>
        <v>-</v>
      </c>
      <c r="BU143" s="987" t="str">
        <f t="shared" si="197"/>
        <v>-</v>
      </c>
      <c r="BV143" s="987" t="str">
        <f>IF(AG143="","-",IFERROR((AG143/AF143-1)*(AF143/AF$13),"-"))</f>
        <v>-</v>
      </c>
      <c r="BW143" s="987" t="str">
        <f>IF(AH143="","-",IFERROR((AH143/AG143-1)*(AG143/AG$13),"-"))</f>
        <v>-</v>
      </c>
      <c r="BX143" s="987" t="str">
        <f>IF(AI143="","-",IFERROR((AI143/AH143-1)*(AH143/AH$13),"-"))</f>
        <v>-</v>
      </c>
      <c r="BY143" s="989" t="str">
        <f>IF(AJ143="","-",IFERROR((AJ143/AI143-1)*(AI143/AI$13),"-"))</f>
        <v>-</v>
      </c>
      <c r="BZ143" s="951"/>
      <c r="CA143" s="984" t="str">
        <f t="shared" si="151"/>
        <v>Rev</v>
      </c>
      <c r="CB143" s="985" t="str">
        <f t="shared" si="152"/>
        <v>Sewerage</v>
      </c>
      <c r="CC143" s="985" t="str">
        <f t="shared" si="153"/>
        <v>Variable</v>
      </c>
      <c r="CD143" s="990" t="str">
        <f t="shared" si="184"/>
        <v>-</v>
      </c>
      <c r="CE143" s="987" t="str">
        <f t="shared" si="176"/>
        <v>-</v>
      </c>
      <c r="CF143" s="987" t="str">
        <f t="shared" si="177"/>
        <v>-</v>
      </c>
      <c r="CG143" s="988" t="str">
        <f t="shared" si="178"/>
        <v>-</v>
      </c>
      <c r="CH143" s="987" t="str">
        <f t="shared" si="185"/>
        <v>-</v>
      </c>
      <c r="CI143" s="987" t="str">
        <f t="shared" si="179"/>
        <v>-</v>
      </c>
      <c r="CJ143" s="987" t="str">
        <f t="shared" si="180"/>
        <v>-</v>
      </c>
      <c r="CK143" s="989" t="str">
        <f t="shared" si="181"/>
        <v>-</v>
      </c>
    </row>
    <row r="144" spans="4:89">
      <c r="D144" s="63">
        <f>D141+1</f>
        <v>26</v>
      </c>
      <c r="E144" s="550" t="s">
        <v>857</v>
      </c>
      <c r="F144" s="595" t="s">
        <v>402</v>
      </c>
      <c r="G144" s="595" t="s">
        <v>92</v>
      </c>
      <c r="H144" s="595" t="s">
        <v>892</v>
      </c>
      <c r="I144" s="589" t="s">
        <v>843</v>
      </c>
      <c r="J144" s="589" t="s">
        <v>879</v>
      </c>
      <c r="K144" s="551"/>
      <c r="L144" s="552"/>
      <c r="M144" s="552"/>
      <c r="N144" s="551"/>
      <c r="O144" s="552"/>
      <c r="P144" s="552"/>
      <c r="Q144" s="552"/>
      <c r="R144" s="1035"/>
      <c r="S144" s="1138"/>
      <c r="T144" s="591"/>
      <c r="U144" s="1035"/>
      <c r="V144" s="1138"/>
      <c r="W144" s="591"/>
      <c r="X144" s="591"/>
      <c r="Y144" s="591"/>
      <c r="Z144" s="1035"/>
      <c r="AA144" s="1138"/>
      <c r="AB144" s="591"/>
      <c r="AC144" s="591"/>
      <c r="AD144" s="591"/>
      <c r="AE144" s="1035"/>
      <c r="AF144" s="1138"/>
      <c r="AG144" s="591"/>
      <c r="AH144" s="591"/>
      <c r="AI144" s="591"/>
      <c r="AJ144" s="1035"/>
      <c r="AK144" s="569"/>
      <c r="AL144" s="569"/>
      <c r="AM144" s="974"/>
      <c r="AN144" s="857"/>
      <c r="AO144" s="975" t="str">
        <f t="shared" si="154"/>
        <v>Price</v>
      </c>
      <c r="AP144" s="976" t="str">
        <f t="shared" si="155"/>
        <v>Sewerage</v>
      </c>
      <c r="AQ144" s="977" t="str">
        <f t="shared" si="156"/>
        <v>Variable</v>
      </c>
      <c r="AR144" s="1341" t="str">
        <f t="shared" si="157"/>
        <v>-</v>
      </c>
      <c r="AS144" s="978" t="str">
        <f t="shared" si="158"/>
        <v>-</v>
      </c>
      <c r="AT144" s="979" t="str">
        <f t="shared" si="159"/>
        <v>-</v>
      </c>
      <c r="AU144" s="979" t="str">
        <f t="shared" si="160"/>
        <v>-</v>
      </c>
      <c r="AV144" s="1352" t="str">
        <f t="shared" si="161"/>
        <v>-</v>
      </c>
      <c r="AW144" s="1345" t="str">
        <f t="shared" si="162"/>
        <v>-</v>
      </c>
      <c r="AX144" s="979" t="str">
        <f t="shared" si="163"/>
        <v>-</v>
      </c>
      <c r="AY144" s="979" t="str">
        <f t="shared" si="164"/>
        <v>-</v>
      </c>
      <c r="AZ144" s="979" t="str">
        <f t="shared" si="165"/>
        <v>-</v>
      </c>
      <c r="BA144" s="980" t="str">
        <f t="shared" si="166"/>
        <v>-</v>
      </c>
      <c r="BB144" s="1345" t="str">
        <f t="shared" si="167"/>
        <v>-</v>
      </c>
      <c r="BC144" s="979" t="str">
        <f t="shared" si="168"/>
        <v>-</v>
      </c>
      <c r="BD144" s="979" t="str">
        <f t="shared" si="169"/>
        <v>-</v>
      </c>
      <c r="BE144" s="979" t="str">
        <f t="shared" si="170"/>
        <v>-</v>
      </c>
      <c r="BF144" s="981" t="str">
        <f t="shared" si="171"/>
        <v>-</v>
      </c>
      <c r="BG144" s="951"/>
      <c r="BH144" s="1547" t="str">
        <f t="shared" si="172"/>
        <v>Price</v>
      </c>
      <c r="BI144" s="1548" t="str">
        <f t="shared" si="173"/>
        <v>Sewerage</v>
      </c>
      <c r="BJ144" s="1549" t="str">
        <f t="shared" si="174"/>
        <v>Variable</v>
      </c>
      <c r="BK144" s="978" t="str">
        <f t="shared" ref="BK144:BU144" si="198">IF(V144="","-",IFERROR((V144/U144-1)*(U146/U$13),"-"))</f>
        <v>-</v>
      </c>
      <c r="BL144" s="978" t="str">
        <f t="shared" si="198"/>
        <v>-</v>
      </c>
      <c r="BM144" s="979" t="str">
        <f t="shared" si="198"/>
        <v>-</v>
      </c>
      <c r="BN144" s="979" t="str">
        <f t="shared" si="198"/>
        <v>-</v>
      </c>
      <c r="BO144" s="1352" t="str">
        <f t="shared" si="198"/>
        <v>-</v>
      </c>
      <c r="BP144" s="1345" t="str">
        <f t="shared" si="198"/>
        <v>-</v>
      </c>
      <c r="BQ144" s="979" t="str">
        <f t="shared" si="198"/>
        <v>-</v>
      </c>
      <c r="BR144" s="979" t="str">
        <f t="shared" si="198"/>
        <v>-</v>
      </c>
      <c r="BS144" s="979" t="str">
        <f t="shared" si="198"/>
        <v>-</v>
      </c>
      <c r="BT144" s="980" t="str">
        <f t="shared" si="198"/>
        <v>-</v>
      </c>
      <c r="BU144" s="979" t="str">
        <f t="shared" si="198"/>
        <v>-</v>
      </c>
      <c r="BV144" s="979" t="str">
        <f>IF(AG144="","-",IFERROR((AG144/AF144-1)*(AF146/AF$13),"-"))</f>
        <v>-</v>
      </c>
      <c r="BW144" s="979" t="str">
        <f>IF(AH144="","-",IFERROR((AH144/AG144-1)*(AG146/AG$13),"-"))</f>
        <v>-</v>
      </c>
      <c r="BX144" s="979" t="str">
        <f>IF(AI144="","-",IFERROR((AI144/AH144-1)*(AH146/AH$13),"-"))</f>
        <v>-</v>
      </c>
      <c r="BY144" s="981" t="str">
        <f>IF(AJ144="","-",IFERROR((AJ144/AI144-1)*(AI146/AI$13),"-"))</f>
        <v>-</v>
      </c>
      <c r="BZ144" s="951"/>
      <c r="CA144" s="975" t="str">
        <f t="shared" si="151"/>
        <v>Price</v>
      </c>
      <c r="CB144" s="976" t="str">
        <f t="shared" si="152"/>
        <v>Sewerage</v>
      </c>
      <c r="CC144" s="982" t="str">
        <f t="shared" si="153"/>
        <v>Variable</v>
      </c>
      <c r="CD144" s="983" t="str">
        <f t="shared" si="184"/>
        <v>-</v>
      </c>
      <c r="CE144" s="979" t="str">
        <f t="shared" si="176"/>
        <v>-</v>
      </c>
      <c r="CF144" s="979" t="str">
        <f t="shared" si="177"/>
        <v>-</v>
      </c>
      <c r="CG144" s="980" t="str">
        <f t="shared" si="178"/>
        <v>-</v>
      </c>
      <c r="CH144" s="979" t="str">
        <f t="shared" si="185"/>
        <v>-</v>
      </c>
      <c r="CI144" s="979" t="str">
        <f t="shared" si="179"/>
        <v>-</v>
      </c>
      <c r="CJ144" s="979" t="str">
        <f t="shared" si="180"/>
        <v>-</v>
      </c>
      <c r="CK144" s="981" t="str">
        <f t="shared" si="181"/>
        <v>-</v>
      </c>
    </row>
    <row r="145" spans="4:89">
      <c r="E145" s="567" t="s">
        <v>880</v>
      </c>
      <c r="F145" s="554" t="str">
        <f>+F144</f>
        <v>Sewerage</v>
      </c>
      <c r="G145" s="555" t="str">
        <f>+G144</f>
        <v>SEW</v>
      </c>
      <c r="H145" s="555" t="str">
        <f>+H144</f>
        <v>Eastern Treatment</v>
      </c>
      <c r="I145" s="556" t="str">
        <f>+I144</f>
        <v>Variable</v>
      </c>
      <c r="J145" s="590" t="s">
        <v>887</v>
      </c>
      <c r="K145" s="557"/>
      <c r="L145" s="558"/>
      <c r="M145" s="558"/>
      <c r="N145" s="557"/>
      <c r="O145" s="558"/>
      <c r="P145" s="558"/>
      <c r="Q145" s="558"/>
      <c r="R145" s="1036"/>
      <c r="S145" s="1139"/>
      <c r="T145" s="593"/>
      <c r="U145" s="1036"/>
      <c r="V145" s="1139"/>
      <c r="W145" s="593"/>
      <c r="X145" s="593"/>
      <c r="Y145" s="593"/>
      <c r="Z145" s="1036"/>
      <c r="AA145" s="1139"/>
      <c r="AB145" s="593"/>
      <c r="AC145" s="593"/>
      <c r="AD145" s="593"/>
      <c r="AE145" s="1036"/>
      <c r="AF145" s="1139"/>
      <c r="AG145" s="593"/>
      <c r="AH145" s="593"/>
      <c r="AI145" s="593"/>
      <c r="AJ145" s="1036"/>
      <c r="AK145" s="569"/>
      <c r="AL145" s="569"/>
      <c r="AN145" s="857"/>
      <c r="AO145" s="961" t="str">
        <f t="shared" si="154"/>
        <v>Qty</v>
      </c>
      <c r="AP145" s="962" t="str">
        <f t="shared" si="155"/>
        <v>Sewerage</v>
      </c>
      <c r="AQ145" s="963" t="str">
        <f t="shared" si="156"/>
        <v>Variable</v>
      </c>
      <c r="AR145" s="967" t="str">
        <f t="shared" si="157"/>
        <v>-</v>
      </c>
      <c r="AS145" s="964" t="str">
        <f t="shared" si="158"/>
        <v>-</v>
      </c>
      <c r="AT145" s="964" t="str">
        <f t="shared" si="159"/>
        <v>-</v>
      </c>
      <c r="AU145" s="964" t="str">
        <f t="shared" si="160"/>
        <v>-</v>
      </c>
      <c r="AV145" s="1350" t="str">
        <f t="shared" si="161"/>
        <v>-</v>
      </c>
      <c r="AW145" s="1343" t="str">
        <f t="shared" si="162"/>
        <v>-</v>
      </c>
      <c r="AX145" s="964" t="str">
        <f t="shared" si="163"/>
        <v>-</v>
      </c>
      <c r="AY145" s="964" t="str">
        <f t="shared" si="164"/>
        <v>-</v>
      </c>
      <c r="AZ145" s="964" t="str">
        <f t="shared" si="165"/>
        <v>-</v>
      </c>
      <c r="BA145" s="965" t="str">
        <f t="shared" si="166"/>
        <v>-</v>
      </c>
      <c r="BB145" s="1343" t="str">
        <f t="shared" si="167"/>
        <v>-</v>
      </c>
      <c r="BC145" s="964" t="str">
        <f t="shared" si="168"/>
        <v>-</v>
      </c>
      <c r="BD145" s="964" t="str">
        <f t="shared" si="169"/>
        <v>-</v>
      </c>
      <c r="BE145" s="964" t="str">
        <f t="shared" si="170"/>
        <v>-</v>
      </c>
      <c r="BF145" s="966" t="str">
        <f t="shared" si="171"/>
        <v>-</v>
      </c>
      <c r="BG145" s="951"/>
      <c r="BH145" s="1541" t="str">
        <f t="shared" si="172"/>
        <v>Qty</v>
      </c>
      <c r="BI145" s="1542" t="str">
        <f t="shared" si="173"/>
        <v>Sewerage</v>
      </c>
      <c r="BJ145" s="1543" t="str">
        <f t="shared" si="174"/>
        <v>Variable</v>
      </c>
      <c r="BK145" s="964" t="str">
        <f t="shared" ref="BK145:BU145" si="199">IF(V145="","-",IFERROR((V145/U145-1)*(U146/U$13),"-"))</f>
        <v>-</v>
      </c>
      <c r="BL145" s="964" t="str">
        <f t="shared" si="199"/>
        <v>-</v>
      </c>
      <c r="BM145" s="964" t="str">
        <f t="shared" si="199"/>
        <v>-</v>
      </c>
      <c r="BN145" s="964" t="str">
        <f t="shared" si="199"/>
        <v>-</v>
      </c>
      <c r="BO145" s="1350" t="str">
        <f t="shared" si="199"/>
        <v>-</v>
      </c>
      <c r="BP145" s="1343" t="str">
        <f t="shared" si="199"/>
        <v>-</v>
      </c>
      <c r="BQ145" s="964" t="str">
        <f t="shared" si="199"/>
        <v>-</v>
      </c>
      <c r="BR145" s="964" t="str">
        <f t="shared" si="199"/>
        <v>-</v>
      </c>
      <c r="BS145" s="964" t="str">
        <f t="shared" si="199"/>
        <v>-</v>
      </c>
      <c r="BT145" s="965" t="str">
        <f t="shared" si="199"/>
        <v>-</v>
      </c>
      <c r="BU145" s="964" t="str">
        <f t="shared" si="199"/>
        <v>-</v>
      </c>
      <c r="BV145" s="964" t="str">
        <f>IF(AG145="","-",IFERROR((AG145/AF145-1)*(AF146/AF$13),"-"))</f>
        <v>-</v>
      </c>
      <c r="BW145" s="964" t="str">
        <f>IF(AH145="","-",IFERROR((AH145/AG145-1)*(AG146/AG$13),"-"))</f>
        <v>-</v>
      </c>
      <c r="BX145" s="964" t="str">
        <f>IF(AI145="","-",IFERROR((AI145/AH145-1)*(AH146/AH$13),"-"))</f>
        <v>-</v>
      </c>
      <c r="BY145" s="966" t="str">
        <f>IF(AJ145="","-",IFERROR((AJ145/AI145-1)*(AI146/AI$13),"-"))</f>
        <v>-</v>
      </c>
      <c r="BZ145" s="951"/>
      <c r="CA145" s="961" t="str">
        <f t="shared" si="151"/>
        <v>Qty</v>
      </c>
      <c r="CB145" s="962" t="str">
        <f t="shared" si="152"/>
        <v>Sewerage</v>
      </c>
      <c r="CC145" s="962" t="str">
        <f t="shared" si="153"/>
        <v>Variable</v>
      </c>
      <c r="CD145" s="967" t="str">
        <f t="shared" si="184"/>
        <v>-</v>
      </c>
      <c r="CE145" s="964" t="str">
        <f t="shared" si="176"/>
        <v>-</v>
      </c>
      <c r="CF145" s="964" t="str">
        <f t="shared" si="177"/>
        <v>-</v>
      </c>
      <c r="CG145" s="965" t="str">
        <f t="shared" si="178"/>
        <v>-</v>
      </c>
      <c r="CH145" s="964" t="str">
        <f t="shared" si="185"/>
        <v>-</v>
      </c>
      <c r="CI145" s="964" t="str">
        <f t="shared" si="179"/>
        <v>-</v>
      </c>
      <c r="CJ145" s="964" t="str">
        <f t="shared" si="180"/>
        <v>-</v>
      </c>
      <c r="CK145" s="966" t="str">
        <f t="shared" si="181"/>
        <v>-</v>
      </c>
    </row>
    <row r="146" spans="4:89" ht="12.75" thickBot="1">
      <c r="E146" s="568" t="s">
        <v>882</v>
      </c>
      <c r="F146" s="560" t="str">
        <f>+F144</f>
        <v>Sewerage</v>
      </c>
      <c r="G146" s="561" t="str">
        <f>+G144</f>
        <v>SEW</v>
      </c>
      <c r="H146" s="561" t="str">
        <f>+H144</f>
        <v>Eastern Treatment</v>
      </c>
      <c r="I146" s="562" t="str">
        <f>+I144</f>
        <v>Variable</v>
      </c>
      <c r="J146" s="563" t="s">
        <v>883</v>
      </c>
      <c r="K146" s="564">
        <f t="shared" ref="K146:AJ146" si="200">K144*K145/10^6</f>
        <v>0</v>
      </c>
      <c r="L146" s="565">
        <f t="shared" si="200"/>
        <v>0</v>
      </c>
      <c r="M146" s="565">
        <f t="shared" si="200"/>
        <v>0</v>
      </c>
      <c r="N146" s="564">
        <f t="shared" si="200"/>
        <v>0</v>
      </c>
      <c r="O146" s="565">
        <f t="shared" si="200"/>
        <v>0</v>
      </c>
      <c r="P146" s="565">
        <f t="shared" si="200"/>
        <v>0</v>
      </c>
      <c r="Q146" s="565">
        <f t="shared" si="200"/>
        <v>0</v>
      </c>
      <c r="R146" s="566">
        <f t="shared" si="200"/>
        <v>0</v>
      </c>
      <c r="S146" s="564">
        <f t="shared" si="200"/>
        <v>0</v>
      </c>
      <c r="T146" s="565">
        <f t="shared" si="200"/>
        <v>0</v>
      </c>
      <c r="U146" s="566">
        <f t="shared" si="200"/>
        <v>0</v>
      </c>
      <c r="V146" s="564">
        <f t="shared" si="200"/>
        <v>0</v>
      </c>
      <c r="W146" s="565">
        <f t="shared" si="200"/>
        <v>0</v>
      </c>
      <c r="X146" s="565">
        <f t="shared" si="200"/>
        <v>0</v>
      </c>
      <c r="Y146" s="565">
        <f t="shared" si="200"/>
        <v>0</v>
      </c>
      <c r="Z146" s="566">
        <f t="shared" si="200"/>
        <v>0</v>
      </c>
      <c r="AA146" s="564">
        <f t="shared" si="200"/>
        <v>0</v>
      </c>
      <c r="AB146" s="565">
        <f t="shared" si="200"/>
        <v>0</v>
      </c>
      <c r="AC146" s="565">
        <f t="shared" si="200"/>
        <v>0</v>
      </c>
      <c r="AD146" s="565">
        <f t="shared" si="200"/>
        <v>0</v>
      </c>
      <c r="AE146" s="566">
        <f t="shared" si="200"/>
        <v>0</v>
      </c>
      <c r="AF146" s="564">
        <f t="shared" si="200"/>
        <v>0</v>
      </c>
      <c r="AG146" s="565">
        <f t="shared" si="200"/>
        <v>0</v>
      </c>
      <c r="AH146" s="565">
        <f t="shared" si="200"/>
        <v>0</v>
      </c>
      <c r="AI146" s="565">
        <f t="shared" si="200"/>
        <v>0</v>
      </c>
      <c r="AJ146" s="566">
        <f t="shared" si="200"/>
        <v>0</v>
      </c>
      <c r="AK146" s="569"/>
      <c r="AL146" s="569"/>
      <c r="AN146" s="857"/>
      <c r="AO146" s="984" t="str">
        <f t="shared" si="154"/>
        <v>Rev</v>
      </c>
      <c r="AP146" s="985" t="str">
        <f t="shared" si="155"/>
        <v>Sewerage</v>
      </c>
      <c r="AQ146" s="986" t="str">
        <f t="shared" si="156"/>
        <v>Variable</v>
      </c>
      <c r="AR146" s="990" t="str">
        <f t="shared" si="157"/>
        <v>-</v>
      </c>
      <c r="AS146" s="987" t="str">
        <f t="shared" si="158"/>
        <v>-</v>
      </c>
      <c r="AT146" s="987" t="str">
        <f t="shared" si="159"/>
        <v>-</v>
      </c>
      <c r="AU146" s="987" t="str">
        <f t="shared" si="160"/>
        <v>-</v>
      </c>
      <c r="AV146" s="1353" t="str">
        <f t="shared" si="161"/>
        <v>-</v>
      </c>
      <c r="AW146" s="1346" t="str">
        <f t="shared" si="162"/>
        <v>-</v>
      </c>
      <c r="AX146" s="987" t="str">
        <f t="shared" si="163"/>
        <v>-</v>
      </c>
      <c r="AY146" s="987" t="str">
        <f t="shared" si="164"/>
        <v>-</v>
      </c>
      <c r="AZ146" s="987" t="str">
        <f t="shared" si="165"/>
        <v>-</v>
      </c>
      <c r="BA146" s="988" t="str">
        <f t="shared" si="166"/>
        <v>-</v>
      </c>
      <c r="BB146" s="1346" t="str">
        <f t="shared" si="167"/>
        <v>-</v>
      </c>
      <c r="BC146" s="987" t="str">
        <f t="shared" si="168"/>
        <v>-</v>
      </c>
      <c r="BD146" s="987" t="str">
        <f t="shared" si="169"/>
        <v>-</v>
      </c>
      <c r="BE146" s="987" t="str">
        <f t="shared" si="170"/>
        <v>-</v>
      </c>
      <c r="BF146" s="989" t="str">
        <f t="shared" si="171"/>
        <v>-</v>
      </c>
      <c r="BG146" s="951"/>
      <c r="BH146" s="1550" t="str">
        <f t="shared" si="172"/>
        <v>Rev</v>
      </c>
      <c r="BI146" s="1551" t="str">
        <f t="shared" si="173"/>
        <v>Sewerage</v>
      </c>
      <c r="BJ146" s="1552" t="str">
        <f t="shared" si="174"/>
        <v>Variable</v>
      </c>
      <c r="BK146" s="987" t="str">
        <f t="shared" ref="BK146:BU146" si="201">IF(V146="","-",IFERROR((V146/U146-1)*(U146/U$13),"-"))</f>
        <v>-</v>
      </c>
      <c r="BL146" s="987" t="str">
        <f t="shared" si="201"/>
        <v>-</v>
      </c>
      <c r="BM146" s="987" t="str">
        <f t="shared" si="201"/>
        <v>-</v>
      </c>
      <c r="BN146" s="987" t="str">
        <f t="shared" si="201"/>
        <v>-</v>
      </c>
      <c r="BO146" s="1353" t="str">
        <f t="shared" si="201"/>
        <v>-</v>
      </c>
      <c r="BP146" s="1346" t="str">
        <f t="shared" si="201"/>
        <v>-</v>
      </c>
      <c r="BQ146" s="987" t="str">
        <f t="shared" si="201"/>
        <v>-</v>
      </c>
      <c r="BR146" s="987" t="str">
        <f t="shared" si="201"/>
        <v>-</v>
      </c>
      <c r="BS146" s="987" t="str">
        <f t="shared" si="201"/>
        <v>-</v>
      </c>
      <c r="BT146" s="988" t="str">
        <f t="shared" si="201"/>
        <v>-</v>
      </c>
      <c r="BU146" s="987" t="str">
        <f t="shared" si="201"/>
        <v>-</v>
      </c>
      <c r="BV146" s="987" t="str">
        <f>IF(AG146="","-",IFERROR((AG146/AF146-1)*(AF146/AF$13),"-"))</f>
        <v>-</v>
      </c>
      <c r="BW146" s="987" t="str">
        <f>IF(AH146="","-",IFERROR((AH146/AG146-1)*(AG146/AG$13),"-"))</f>
        <v>-</v>
      </c>
      <c r="BX146" s="987" t="str">
        <f>IF(AI146="","-",IFERROR((AI146/AH146-1)*(AH146/AH$13),"-"))</f>
        <v>-</v>
      </c>
      <c r="BY146" s="989" t="str">
        <f>IF(AJ146="","-",IFERROR((AJ146/AI146-1)*(AI146/AI$13),"-"))</f>
        <v>-</v>
      </c>
      <c r="BZ146" s="951"/>
      <c r="CA146" s="984" t="str">
        <f t="shared" si="151"/>
        <v>Rev</v>
      </c>
      <c r="CB146" s="985" t="str">
        <f t="shared" si="152"/>
        <v>Sewerage</v>
      </c>
      <c r="CC146" s="985" t="str">
        <f t="shared" si="153"/>
        <v>Variable</v>
      </c>
      <c r="CD146" s="990" t="str">
        <f t="shared" si="184"/>
        <v>-</v>
      </c>
      <c r="CE146" s="987" t="str">
        <f t="shared" si="176"/>
        <v>-</v>
      </c>
      <c r="CF146" s="987" t="str">
        <f t="shared" si="177"/>
        <v>-</v>
      </c>
      <c r="CG146" s="988" t="str">
        <f t="shared" si="178"/>
        <v>-</v>
      </c>
      <c r="CH146" s="987" t="str">
        <f t="shared" si="185"/>
        <v>-</v>
      </c>
      <c r="CI146" s="987" t="str">
        <f t="shared" si="179"/>
        <v>-</v>
      </c>
      <c r="CJ146" s="987" t="str">
        <f t="shared" si="180"/>
        <v>-</v>
      </c>
      <c r="CK146" s="989" t="str">
        <f t="shared" si="181"/>
        <v>-</v>
      </c>
    </row>
    <row r="147" spans="4:89">
      <c r="D147" s="63">
        <f>D144+1</f>
        <v>27</v>
      </c>
      <c r="E147" s="550" t="s">
        <v>857</v>
      </c>
      <c r="F147" s="595" t="s">
        <v>402</v>
      </c>
      <c r="G147" s="595" t="s">
        <v>103</v>
      </c>
      <c r="H147" s="595" t="s">
        <v>892</v>
      </c>
      <c r="I147" s="589" t="s">
        <v>843</v>
      </c>
      <c r="J147" s="589" t="s">
        <v>879</v>
      </c>
      <c r="K147" s="551"/>
      <c r="L147" s="552"/>
      <c r="M147" s="552"/>
      <c r="N147" s="551"/>
      <c r="O147" s="552"/>
      <c r="P147" s="552"/>
      <c r="Q147" s="552"/>
      <c r="R147" s="1035"/>
      <c r="S147" s="1138"/>
      <c r="T147" s="591"/>
      <c r="U147" s="1035"/>
      <c r="V147" s="1138"/>
      <c r="W147" s="591"/>
      <c r="X147" s="591"/>
      <c r="Y147" s="591"/>
      <c r="Z147" s="1035"/>
      <c r="AA147" s="1138"/>
      <c r="AB147" s="591"/>
      <c r="AC147" s="591"/>
      <c r="AD147" s="591"/>
      <c r="AE147" s="1035"/>
      <c r="AF147" s="1138"/>
      <c r="AG147" s="591"/>
      <c r="AH147" s="591"/>
      <c r="AI147" s="591"/>
      <c r="AJ147" s="1035"/>
      <c r="AK147" s="569"/>
      <c r="AL147" s="569"/>
      <c r="AM147" s="974"/>
      <c r="AN147" s="857"/>
      <c r="AO147" s="975" t="str">
        <f t="shared" si="154"/>
        <v>Price</v>
      </c>
      <c r="AP147" s="976" t="str">
        <f t="shared" si="155"/>
        <v>Sewerage</v>
      </c>
      <c r="AQ147" s="977" t="str">
        <f t="shared" si="156"/>
        <v>Variable</v>
      </c>
      <c r="AR147" s="1341" t="str">
        <f t="shared" si="157"/>
        <v>-</v>
      </c>
      <c r="AS147" s="978" t="str">
        <f t="shared" si="158"/>
        <v>-</v>
      </c>
      <c r="AT147" s="979" t="str">
        <f t="shared" si="159"/>
        <v>-</v>
      </c>
      <c r="AU147" s="979" t="str">
        <f t="shared" si="160"/>
        <v>-</v>
      </c>
      <c r="AV147" s="1352" t="str">
        <f t="shared" si="161"/>
        <v>-</v>
      </c>
      <c r="AW147" s="1345" t="str">
        <f t="shared" si="162"/>
        <v>-</v>
      </c>
      <c r="AX147" s="979" t="str">
        <f t="shared" si="163"/>
        <v>-</v>
      </c>
      <c r="AY147" s="979" t="str">
        <f t="shared" si="164"/>
        <v>-</v>
      </c>
      <c r="AZ147" s="979" t="str">
        <f t="shared" si="165"/>
        <v>-</v>
      </c>
      <c r="BA147" s="980" t="str">
        <f t="shared" si="166"/>
        <v>-</v>
      </c>
      <c r="BB147" s="1345" t="str">
        <f t="shared" si="167"/>
        <v>-</v>
      </c>
      <c r="BC147" s="979" t="str">
        <f t="shared" si="168"/>
        <v>-</v>
      </c>
      <c r="BD147" s="979" t="str">
        <f t="shared" si="169"/>
        <v>-</v>
      </c>
      <c r="BE147" s="979" t="str">
        <f t="shared" si="170"/>
        <v>-</v>
      </c>
      <c r="BF147" s="981" t="str">
        <f t="shared" si="171"/>
        <v>-</v>
      </c>
      <c r="BG147" s="951"/>
      <c r="BH147" s="1547" t="str">
        <f t="shared" si="172"/>
        <v>Price</v>
      </c>
      <c r="BI147" s="1548" t="str">
        <f t="shared" si="173"/>
        <v>Sewerage</v>
      </c>
      <c r="BJ147" s="1549" t="str">
        <f t="shared" si="174"/>
        <v>Variable</v>
      </c>
      <c r="BK147" s="978" t="str">
        <f t="shared" ref="BK147:BU147" si="202">IF(V147="","-",IFERROR((V147/U147-1)*(U149/U$13),"-"))</f>
        <v>-</v>
      </c>
      <c r="BL147" s="978" t="str">
        <f t="shared" si="202"/>
        <v>-</v>
      </c>
      <c r="BM147" s="979" t="str">
        <f t="shared" si="202"/>
        <v>-</v>
      </c>
      <c r="BN147" s="979" t="str">
        <f t="shared" si="202"/>
        <v>-</v>
      </c>
      <c r="BO147" s="1352" t="str">
        <f t="shared" si="202"/>
        <v>-</v>
      </c>
      <c r="BP147" s="1345" t="str">
        <f t="shared" si="202"/>
        <v>-</v>
      </c>
      <c r="BQ147" s="979" t="str">
        <f t="shared" si="202"/>
        <v>-</v>
      </c>
      <c r="BR147" s="979" t="str">
        <f t="shared" si="202"/>
        <v>-</v>
      </c>
      <c r="BS147" s="979" t="str">
        <f t="shared" si="202"/>
        <v>-</v>
      </c>
      <c r="BT147" s="980" t="str">
        <f t="shared" si="202"/>
        <v>-</v>
      </c>
      <c r="BU147" s="979" t="str">
        <f t="shared" si="202"/>
        <v>-</v>
      </c>
      <c r="BV147" s="979" t="str">
        <f>IF(AG147="","-",IFERROR((AG147/AF147-1)*(AF149/AF$13),"-"))</f>
        <v>-</v>
      </c>
      <c r="BW147" s="979" t="str">
        <f>IF(AH147="","-",IFERROR((AH147/AG147-1)*(AG149/AG$13),"-"))</f>
        <v>-</v>
      </c>
      <c r="BX147" s="979" t="str">
        <f>IF(AI147="","-",IFERROR((AI147/AH147-1)*(AH149/AH$13),"-"))</f>
        <v>-</v>
      </c>
      <c r="BY147" s="981" t="str">
        <f>IF(AJ147="","-",IFERROR((AJ147/AI147-1)*(AI149/AI$13),"-"))</f>
        <v>-</v>
      </c>
      <c r="BZ147" s="951"/>
      <c r="CA147" s="975" t="str">
        <f t="shared" si="151"/>
        <v>Price</v>
      </c>
      <c r="CB147" s="976" t="str">
        <f t="shared" si="152"/>
        <v>Sewerage</v>
      </c>
      <c r="CC147" s="982" t="str">
        <f t="shared" si="153"/>
        <v>Variable</v>
      </c>
      <c r="CD147" s="983" t="str">
        <f t="shared" si="184"/>
        <v>-</v>
      </c>
      <c r="CE147" s="979" t="str">
        <f t="shared" si="176"/>
        <v>-</v>
      </c>
      <c r="CF147" s="979" t="str">
        <f t="shared" si="177"/>
        <v>-</v>
      </c>
      <c r="CG147" s="980" t="str">
        <f t="shared" si="178"/>
        <v>-</v>
      </c>
      <c r="CH147" s="979" t="str">
        <f t="shared" si="185"/>
        <v>-</v>
      </c>
      <c r="CI147" s="979" t="str">
        <f t="shared" si="179"/>
        <v>-</v>
      </c>
      <c r="CJ147" s="979" t="str">
        <f t="shared" si="180"/>
        <v>-</v>
      </c>
      <c r="CK147" s="981" t="str">
        <f t="shared" si="181"/>
        <v>-</v>
      </c>
    </row>
    <row r="148" spans="4:89">
      <c r="E148" s="567" t="s">
        <v>880</v>
      </c>
      <c r="F148" s="554" t="str">
        <f>+F147</f>
        <v>Sewerage</v>
      </c>
      <c r="G148" s="555" t="str">
        <f>+G147</f>
        <v>YVW</v>
      </c>
      <c r="H148" s="555" t="str">
        <f>+H147</f>
        <v>Eastern Treatment</v>
      </c>
      <c r="I148" s="556" t="str">
        <f>+I147</f>
        <v>Variable</v>
      </c>
      <c r="J148" s="590" t="s">
        <v>887</v>
      </c>
      <c r="K148" s="557"/>
      <c r="L148" s="558"/>
      <c r="M148" s="558"/>
      <c r="N148" s="557"/>
      <c r="O148" s="558"/>
      <c r="P148" s="558"/>
      <c r="Q148" s="558"/>
      <c r="R148" s="1036"/>
      <c r="S148" s="1139"/>
      <c r="T148" s="593"/>
      <c r="U148" s="1036"/>
      <c r="V148" s="1139"/>
      <c r="W148" s="593"/>
      <c r="X148" s="593"/>
      <c r="Y148" s="593"/>
      <c r="Z148" s="1036"/>
      <c r="AA148" s="1139"/>
      <c r="AB148" s="593"/>
      <c r="AC148" s="593"/>
      <c r="AD148" s="593"/>
      <c r="AE148" s="1036"/>
      <c r="AF148" s="1139"/>
      <c r="AG148" s="593"/>
      <c r="AH148" s="593"/>
      <c r="AI148" s="593"/>
      <c r="AJ148" s="1036"/>
      <c r="AK148" s="569"/>
      <c r="AL148" s="569"/>
      <c r="AN148" s="857"/>
      <c r="AO148" s="961" t="str">
        <f t="shared" si="154"/>
        <v>Qty</v>
      </c>
      <c r="AP148" s="962" t="str">
        <f t="shared" si="155"/>
        <v>Sewerage</v>
      </c>
      <c r="AQ148" s="963" t="str">
        <f t="shared" si="156"/>
        <v>Variable</v>
      </c>
      <c r="AR148" s="967" t="str">
        <f t="shared" si="157"/>
        <v>-</v>
      </c>
      <c r="AS148" s="964" t="str">
        <f t="shared" si="158"/>
        <v>-</v>
      </c>
      <c r="AT148" s="964" t="str">
        <f t="shared" si="159"/>
        <v>-</v>
      </c>
      <c r="AU148" s="964" t="str">
        <f t="shared" si="160"/>
        <v>-</v>
      </c>
      <c r="AV148" s="1350" t="str">
        <f t="shared" si="161"/>
        <v>-</v>
      </c>
      <c r="AW148" s="1343" t="str">
        <f t="shared" si="162"/>
        <v>-</v>
      </c>
      <c r="AX148" s="964" t="str">
        <f t="shared" si="163"/>
        <v>-</v>
      </c>
      <c r="AY148" s="964" t="str">
        <f t="shared" si="164"/>
        <v>-</v>
      </c>
      <c r="AZ148" s="964" t="str">
        <f t="shared" si="165"/>
        <v>-</v>
      </c>
      <c r="BA148" s="965" t="str">
        <f t="shared" si="166"/>
        <v>-</v>
      </c>
      <c r="BB148" s="1343" t="str">
        <f t="shared" si="167"/>
        <v>-</v>
      </c>
      <c r="BC148" s="964" t="str">
        <f t="shared" si="168"/>
        <v>-</v>
      </c>
      <c r="BD148" s="964" t="str">
        <f t="shared" si="169"/>
        <v>-</v>
      </c>
      <c r="BE148" s="964" t="str">
        <f t="shared" si="170"/>
        <v>-</v>
      </c>
      <c r="BF148" s="966" t="str">
        <f t="shared" si="171"/>
        <v>-</v>
      </c>
      <c r="BG148" s="951"/>
      <c r="BH148" s="1541" t="str">
        <f t="shared" si="172"/>
        <v>Qty</v>
      </c>
      <c r="BI148" s="1542" t="str">
        <f t="shared" si="173"/>
        <v>Sewerage</v>
      </c>
      <c r="BJ148" s="1543" t="str">
        <f t="shared" si="174"/>
        <v>Variable</v>
      </c>
      <c r="BK148" s="964" t="str">
        <f t="shared" ref="BK148:BU148" si="203">IF(V148="","-",IFERROR((V148/U148-1)*(U149/U$13),"-"))</f>
        <v>-</v>
      </c>
      <c r="BL148" s="964" t="str">
        <f t="shared" si="203"/>
        <v>-</v>
      </c>
      <c r="BM148" s="964" t="str">
        <f t="shared" si="203"/>
        <v>-</v>
      </c>
      <c r="BN148" s="964" t="str">
        <f t="shared" si="203"/>
        <v>-</v>
      </c>
      <c r="BO148" s="1350" t="str">
        <f t="shared" si="203"/>
        <v>-</v>
      </c>
      <c r="BP148" s="1343" t="str">
        <f t="shared" si="203"/>
        <v>-</v>
      </c>
      <c r="BQ148" s="964" t="str">
        <f t="shared" si="203"/>
        <v>-</v>
      </c>
      <c r="BR148" s="964" t="str">
        <f t="shared" si="203"/>
        <v>-</v>
      </c>
      <c r="BS148" s="964" t="str">
        <f t="shared" si="203"/>
        <v>-</v>
      </c>
      <c r="BT148" s="965" t="str">
        <f t="shared" si="203"/>
        <v>-</v>
      </c>
      <c r="BU148" s="964" t="str">
        <f t="shared" si="203"/>
        <v>-</v>
      </c>
      <c r="BV148" s="964" t="str">
        <f>IF(AG148="","-",IFERROR((AG148/AF148-1)*(AF149/AF$13),"-"))</f>
        <v>-</v>
      </c>
      <c r="BW148" s="964" t="str">
        <f>IF(AH148="","-",IFERROR((AH148/AG148-1)*(AG149/AG$13),"-"))</f>
        <v>-</v>
      </c>
      <c r="BX148" s="964" t="str">
        <f>IF(AI148="","-",IFERROR((AI148/AH148-1)*(AH149/AH$13),"-"))</f>
        <v>-</v>
      </c>
      <c r="BY148" s="966" t="str">
        <f>IF(AJ148="","-",IFERROR((AJ148/AI148-1)*(AI149/AI$13),"-"))</f>
        <v>-</v>
      </c>
      <c r="BZ148" s="951"/>
      <c r="CA148" s="961" t="str">
        <f t="shared" si="151"/>
        <v>Qty</v>
      </c>
      <c r="CB148" s="962" t="str">
        <f t="shared" si="152"/>
        <v>Sewerage</v>
      </c>
      <c r="CC148" s="962" t="str">
        <f t="shared" si="153"/>
        <v>Variable</v>
      </c>
      <c r="CD148" s="967" t="str">
        <f t="shared" si="184"/>
        <v>-</v>
      </c>
      <c r="CE148" s="964" t="str">
        <f t="shared" si="176"/>
        <v>-</v>
      </c>
      <c r="CF148" s="964" t="str">
        <f t="shared" si="177"/>
        <v>-</v>
      </c>
      <c r="CG148" s="965" t="str">
        <f t="shared" si="178"/>
        <v>-</v>
      </c>
      <c r="CH148" s="964" t="str">
        <f t="shared" si="185"/>
        <v>-</v>
      </c>
      <c r="CI148" s="964" t="str">
        <f t="shared" si="179"/>
        <v>-</v>
      </c>
      <c r="CJ148" s="964" t="str">
        <f t="shared" si="180"/>
        <v>-</v>
      </c>
      <c r="CK148" s="966" t="str">
        <f t="shared" si="181"/>
        <v>-</v>
      </c>
    </row>
    <row r="149" spans="4:89" ht="12.75" thickBot="1">
      <c r="E149" s="568" t="s">
        <v>882</v>
      </c>
      <c r="F149" s="560" t="str">
        <f>+F147</f>
        <v>Sewerage</v>
      </c>
      <c r="G149" s="561" t="str">
        <f>+G147</f>
        <v>YVW</v>
      </c>
      <c r="H149" s="561" t="str">
        <f>+H147</f>
        <v>Eastern Treatment</v>
      </c>
      <c r="I149" s="562" t="str">
        <f>+I147</f>
        <v>Variable</v>
      </c>
      <c r="J149" s="563" t="s">
        <v>883</v>
      </c>
      <c r="K149" s="564">
        <f t="shared" ref="K149:AJ149" si="204">K147*K148/10^6</f>
        <v>0</v>
      </c>
      <c r="L149" s="565">
        <f t="shared" si="204"/>
        <v>0</v>
      </c>
      <c r="M149" s="565">
        <f t="shared" si="204"/>
        <v>0</v>
      </c>
      <c r="N149" s="564">
        <f t="shared" si="204"/>
        <v>0</v>
      </c>
      <c r="O149" s="565">
        <f t="shared" si="204"/>
        <v>0</v>
      </c>
      <c r="P149" s="565">
        <f t="shared" si="204"/>
        <v>0</v>
      </c>
      <c r="Q149" s="565">
        <f t="shared" si="204"/>
        <v>0</v>
      </c>
      <c r="R149" s="566">
        <f t="shared" si="204"/>
        <v>0</v>
      </c>
      <c r="S149" s="564">
        <f t="shared" si="204"/>
        <v>0</v>
      </c>
      <c r="T149" s="565">
        <f t="shared" si="204"/>
        <v>0</v>
      </c>
      <c r="U149" s="566">
        <f t="shared" si="204"/>
        <v>0</v>
      </c>
      <c r="V149" s="564">
        <f t="shared" si="204"/>
        <v>0</v>
      </c>
      <c r="W149" s="565">
        <f t="shared" si="204"/>
        <v>0</v>
      </c>
      <c r="X149" s="565">
        <f t="shared" si="204"/>
        <v>0</v>
      </c>
      <c r="Y149" s="565">
        <f t="shared" si="204"/>
        <v>0</v>
      </c>
      <c r="Z149" s="566">
        <f t="shared" si="204"/>
        <v>0</v>
      </c>
      <c r="AA149" s="564">
        <f t="shared" si="204"/>
        <v>0</v>
      </c>
      <c r="AB149" s="565">
        <f t="shared" si="204"/>
        <v>0</v>
      </c>
      <c r="AC149" s="565">
        <f t="shared" si="204"/>
        <v>0</v>
      </c>
      <c r="AD149" s="565">
        <f t="shared" si="204"/>
        <v>0</v>
      </c>
      <c r="AE149" s="566">
        <f t="shared" si="204"/>
        <v>0</v>
      </c>
      <c r="AF149" s="564">
        <f t="shared" si="204"/>
        <v>0</v>
      </c>
      <c r="AG149" s="565">
        <f t="shared" si="204"/>
        <v>0</v>
      </c>
      <c r="AH149" s="565">
        <f t="shared" si="204"/>
        <v>0</v>
      </c>
      <c r="AI149" s="565">
        <f t="shared" si="204"/>
        <v>0</v>
      </c>
      <c r="AJ149" s="566">
        <f t="shared" si="204"/>
        <v>0</v>
      </c>
      <c r="AK149" s="569"/>
      <c r="AL149" s="569"/>
      <c r="AN149" s="857"/>
      <c r="AO149" s="984" t="str">
        <f t="shared" si="154"/>
        <v>Rev</v>
      </c>
      <c r="AP149" s="985" t="str">
        <f t="shared" si="155"/>
        <v>Sewerage</v>
      </c>
      <c r="AQ149" s="986" t="str">
        <f t="shared" si="156"/>
        <v>Variable</v>
      </c>
      <c r="AR149" s="990" t="str">
        <f t="shared" si="157"/>
        <v>-</v>
      </c>
      <c r="AS149" s="987" t="str">
        <f t="shared" si="158"/>
        <v>-</v>
      </c>
      <c r="AT149" s="987" t="str">
        <f t="shared" si="159"/>
        <v>-</v>
      </c>
      <c r="AU149" s="987" t="str">
        <f t="shared" si="160"/>
        <v>-</v>
      </c>
      <c r="AV149" s="1353" t="str">
        <f t="shared" si="161"/>
        <v>-</v>
      </c>
      <c r="AW149" s="1346" t="str">
        <f t="shared" si="162"/>
        <v>-</v>
      </c>
      <c r="AX149" s="987" t="str">
        <f t="shared" si="163"/>
        <v>-</v>
      </c>
      <c r="AY149" s="987" t="str">
        <f t="shared" si="164"/>
        <v>-</v>
      </c>
      <c r="AZ149" s="987" t="str">
        <f t="shared" si="165"/>
        <v>-</v>
      </c>
      <c r="BA149" s="988" t="str">
        <f t="shared" si="166"/>
        <v>-</v>
      </c>
      <c r="BB149" s="1346" t="str">
        <f t="shared" si="167"/>
        <v>-</v>
      </c>
      <c r="BC149" s="987" t="str">
        <f t="shared" si="168"/>
        <v>-</v>
      </c>
      <c r="BD149" s="987" t="str">
        <f t="shared" si="169"/>
        <v>-</v>
      </c>
      <c r="BE149" s="987" t="str">
        <f t="shared" si="170"/>
        <v>-</v>
      </c>
      <c r="BF149" s="989" t="str">
        <f t="shared" si="171"/>
        <v>-</v>
      </c>
      <c r="BG149" s="951"/>
      <c r="BH149" s="1550" t="str">
        <f t="shared" si="172"/>
        <v>Rev</v>
      </c>
      <c r="BI149" s="1551" t="str">
        <f t="shared" si="173"/>
        <v>Sewerage</v>
      </c>
      <c r="BJ149" s="1552" t="str">
        <f t="shared" si="174"/>
        <v>Variable</v>
      </c>
      <c r="BK149" s="987" t="str">
        <f t="shared" ref="BK149:BU149" si="205">IF(V149="","-",IFERROR((V149/U149-1)*(U149/U$13),"-"))</f>
        <v>-</v>
      </c>
      <c r="BL149" s="987" t="str">
        <f t="shared" si="205"/>
        <v>-</v>
      </c>
      <c r="BM149" s="987" t="str">
        <f t="shared" si="205"/>
        <v>-</v>
      </c>
      <c r="BN149" s="987" t="str">
        <f t="shared" si="205"/>
        <v>-</v>
      </c>
      <c r="BO149" s="1353" t="str">
        <f t="shared" si="205"/>
        <v>-</v>
      </c>
      <c r="BP149" s="1346" t="str">
        <f t="shared" si="205"/>
        <v>-</v>
      </c>
      <c r="BQ149" s="987" t="str">
        <f t="shared" si="205"/>
        <v>-</v>
      </c>
      <c r="BR149" s="987" t="str">
        <f t="shared" si="205"/>
        <v>-</v>
      </c>
      <c r="BS149" s="987" t="str">
        <f t="shared" si="205"/>
        <v>-</v>
      </c>
      <c r="BT149" s="988" t="str">
        <f t="shared" si="205"/>
        <v>-</v>
      </c>
      <c r="BU149" s="987" t="str">
        <f t="shared" si="205"/>
        <v>-</v>
      </c>
      <c r="BV149" s="987" t="str">
        <f>IF(AG149="","-",IFERROR((AG149/AF149-1)*(AF149/AF$13),"-"))</f>
        <v>-</v>
      </c>
      <c r="BW149" s="987" t="str">
        <f>IF(AH149="","-",IFERROR((AH149/AG149-1)*(AG149/AG$13),"-"))</f>
        <v>-</v>
      </c>
      <c r="BX149" s="987" t="str">
        <f>IF(AI149="","-",IFERROR((AI149/AH149-1)*(AH149/AH$13),"-"))</f>
        <v>-</v>
      </c>
      <c r="BY149" s="989" t="str">
        <f>IF(AJ149="","-",IFERROR((AJ149/AI149-1)*(AI149/AI$13),"-"))</f>
        <v>-</v>
      </c>
      <c r="BZ149" s="951"/>
      <c r="CA149" s="984" t="str">
        <f t="shared" si="151"/>
        <v>Rev</v>
      </c>
      <c r="CB149" s="985" t="str">
        <f t="shared" si="152"/>
        <v>Sewerage</v>
      </c>
      <c r="CC149" s="985" t="str">
        <f t="shared" si="153"/>
        <v>Variable</v>
      </c>
      <c r="CD149" s="990" t="str">
        <f t="shared" si="184"/>
        <v>-</v>
      </c>
      <c r="CE149" s="987" t="str">
        <f t="shared" si="176"/>
        <v>-</v>
      </c>
      <c r="CF149" s="987" t="str">
        <f t="shared" si="177"/>
        <v>-</v>
      </c>
      <c r="CG149" s="988" t="str">
        <f t="shared" si="178"/>
        <v>-</v>
      </c>
      <c r="CH149" s="987" t="str">
        <f t="shared" si="185"/>
        <v>-</v>
      </c>
      <c r="CI149" s="987" t="str">
        <f t="shared" si="179"/>
        <v>-</v>
      </c>
      <c r="CJ149" s="987" t="str">
        <f t="shared" si="180"/>
        <v>-</v>
      </c>
      <c r="CK149" s="989" t="str">
        <f t="shared" si="181"/>
        <v>-</v>
      </c>
    </row>
    <row r="150" spans="4:89">
      <c r="D150" s="63">
        <f>D147+1</f>
        <v>28</v>
      </c>
      <c r="E150" s="550" t="s">
        <v>857</v>
      </c>
      <c r="F150" s="595" t="s">
        <v>402</v>
      </c>
      <c r="G150" s="595" t="s">
        <v>877</v>
      </c>
      <c r="H150" s="595" t="s">
        <v>893</v>
      </c>
      <c r="I150" s="589" t="s">
        <v>843</v>
      </c>
      <c r="J150" s="589" t="s">
        <v>879</v>
      </c>
      <c r="K150" s="551"/>
      <c r="L150" s="552"/>
      <c r="M150" s="552"/>
      <c r="N150" s="551"/>
      <c r="O150" s="552"/>
      <c r="P150" s="552"/>
      <c r="Q150" s="552"/>
      <c r="R150" s="1035"/>
      <c r="S150" s="1138"/>
      <c r="T150" s="591"/>
      <c r="U150" s="1035"/>
      <c r="V150" s="1138"/>
      <c r="W150" s="591"/>
      <c r="X150" s="591"/>
      <c r="Y150" s="591"/>
      <c r="Z150" s="1035"/>
      <c r="AA150" s="1138"/>
      <c r="AB150" s="591"/>
      <c r="AC150" s="591"/>
      <c r="AD150" s="591"/>
      <c r="AE150" s="1035"/>
      <c r="AF150" s="1138"/>
      <c r="AG150" s="591"/>
      <c r="AH150" s="591"/>
      <c r="AI150" s="591"/>
      <c r="AJ150" s="1035"/>
      <c r="AK150" s="569"/>
      <c r="AL150" s="569"/>
      <c r="AM150" s="974"/>
      <c r="AN150" s="857"/>
      <c r="AO150" s="975" t="str">
        <f t="shared" si="154"/>
        <v>Price</v>
      </c>
      <c r="AP150" s="976" t="str">
        <f t="shared" si="155"/>
        <v>Sewerage</v>
      </c>
      <c r="AQ150" s="977" t="str">
        <f t="shared" si="156"/>
        <v>Variable</v>
      </c>
      <c r="AR150" s="1341" t="str">
        <f t="shared" si="157"/>
        <v>-</v>
      </c>
      <c r="AS150" s="978" t="str">
        <f t="shared" si="158"/>
        <v>-</v>
      </c>
      <c r="AT150" s="979" t="str">
        <f t="shared" si="159"/>
        <v>-</v>
      </c>
      <c r="AU150" s="979" t="str">
        <f t="shared" si="160"/>
        <v>-</v>
      </c>
      <c r="AV150" s="1352" t="str">
        <f t="shared" si="161"/>
        <v>-</v>
      </c>
      <c r="AW150" s="1345" t="str">
        <f t="shared" si="162"/>
        <v>-</v>
      </c>
      <c r="AX150" s="979" t="str">
        <f t="shared" si="163"/>
        <v>-</v>
      </c>
      <c r="AY150" s="979" t="str">
        <f t="shared" si="164"/>
        <v>-</v>
      </c>
      <c r="AZ150" s="979" t="str">
        <f t="shared" si="165"/>
        <v>-</v>
      </c>
      <c r="BA150" s="980" t="str">
        <f t="shared" si="166"/>
        <v>-</v>
      </c>
      <c r="BB150" s="1345" t="str">
        <f t="shared" si="167"/>
        <v>-</v>
      </c>
      <c r="BC150" s="979" t="str">
        <f t="shared" si="168"/>
        <v>-</v>
      </c>
      <c r="BD150" s="979" t="str">
        <f t="shared" si="169"/>
        <v>-</v>
      </c>
      <c r="BE150" s="979" t="str">
        <f t="shared" si="170"/>
        <v>-</v>
      </c>
      <c r="BF150" s="981" t="str">
        <f t="shared" si="171"/>
        <v>-</v>
      </c>
      <c r="BG150" s="951"/>
      <c r="BH150" s="1547" t="str">
        <f t="shared" si="172"/>
        <v>Price</v>
      </c>
      <c r="BI150" s="1548" t="str">
        <f t="shared" si="173"/>
        <v>Sewerage</v>
      </c>
      <c r="BJ150" s="1549" t="str">
        <f t="shared" si="174"/>
        <v>Variable</v>
      </c>
      <c r="BK150" s="978" t="str">
        <f t="shared" ref="BK150:BU150" si="206">IF(V150="","-",IFERROR((V150/U150-1)*(U152/U$13),"-"))</f>
        <v>-</v>
      </c>
      <c r="BL150" s="978" t="str">
        <f t="shared" si="206"/>
        <v>-</v>
      </c>
      <c r="BM150" s="979" t="str">
        <f t="shared" si="206"/>
        <v>-</v>
      </c>
      <c r="BN150" s="979" t="str">
        <f t="shared" si="206"/>
        <v>-</v>
      </c>
      <c r="BO150" s="1352" t="str">
        <f t="shared" si="206"/>
        <v>-</v>
      </c>
      <c r="BP150" s="1345" t="str">
        <f t="shared" si="206"/>
        <v>-</v>
      </c>
      <c r="BQ150" s="979" t="str">
        <f t="shared" si="206"/>
        <v>-</v>
      </c>
      <c r="BR150" s="979" t="str">
        <f t="shared" si="206"/>
        <v>-</v>
      </c>
      <c r="BS150" s="979" t="str">
        <f t="shared" si="206"/>
        <v>-</v>
      </c>
      <c r="BT150" s="980" t="str">
        <f t="shared" si="206"/>
        <v>-</v>
      </c>
      <c r="BU150" s="979" t="str">
        <f t="shared" si="206"/>
        <v>-</v>
      </c>
      <c r="BV150" s="979" t="str">
        <f>IF(AG150="","-",IFERROR((AG150/AF150-1)*(AF152/AF$13),"-"))</f>
        <v>-</v>
      </c>
      <c r="BW150" s="979" t="str">
        <f>IF(AH150="","-",IFERROR((AH150/AG150-1)*(AG152/AG$13),"-"))</f>
        <v>-</v>
      </c>
      <c r="BX150" s="979" t="str">
        <f>IF(AI150="","-",IFERROR((AI150/AH150-1)*(AH152/AH$13),"-"))</f>
        <v>-</v>
      </c>
      <c r="BY150" s="981" t="str">
        <f>IF(AJ150="","-",IFERROR((AJ150/AI150-1)*(AI152/AI$13),"-"))</f>
        <v>-</v>
      </c>
      <c r="BZ150" s="951"/>
      <c r="CA150" s="975" t="str">
        <f t="shared" si="151"/>
        <v>Price</v>
      </c>
      <c r="CB150" s="976" t="str">
        <f t="shared" si="152"/>
        <v>Sewerage</v>
      </c>
      <c r="CC150" s="982" t="str">
        <f t="shared" si="153"/>
        <v>Variable</v>
      </c>
      <c r="CD150" s="983" t="str">
        <f t="shared" si="184"/>
        <v>-</v>
      </c>
      <c r="CE150" s="979" t="str">
        <f t="shared" si="176"/>
        <v>-</v>
      </c>
      <c r="CF150" s="979" t="str">
        <f t="shared" si="177"/>
        <v>-</v>
      </c>
      <c r="CG150" s="980" t="str">
        <f t="shared" si="178"/>
        <v>-</v>
      </c>
      <c r="CH150" s="979" t="str">
        <f t="shared" si="185"/>
        <v>-</v>
      </c>
      <c r="CI150" s="979" t="str">
        <f t="shared" si="179"/>
        <v>-</v>
      </c>
      <c r="CJ150" s="979" t="str">
        <f t="shared" si="180"/>
        <v>-</v>
      </c>
      <c r="CK150" s="981" t="str">
        <f t="shared" si="181"/>
        <v>-</v>
      </c>
    </row>
    <row r="151" spans="4:89">
      <c r="E151" s="567" t="s">
        <v>880</v>
      </c>
      <c r="F151" s="554" t="str">
        <f>+F150</f>
        <v>Sewerage</v>
      </c>
      <c r="G151" s="555" t="str">
        <f>+G150</f>
        <v>GWW</v>
      </c>
      <c r="H151" s="555" t="str">
        <f>+H150</f>
        <v>Western Transfer</v>
      </c>
      <c r="I151" s="556" t="str">
        <f>+I150</f>
        <v>Variable</v>
      </c>
      <c r="J151" s="590" t="s">
        <v>887</v>
      </c>
      <c r="K151" s="557"/>
      <c r="L151" s="558"/>
      <c r="M151" s="558"/>
      <c r="N151" s="557"/>
      <c r="O151" s="558"/>
      <c r="P151" s="558"/>
      <c r="Q151" s="558"/>
      <c r="R151" s="1036"/>
      <c r="S151" s="1139"/>
      <c r="T151" s="593"/>
      <c r="U151" s="1036"/>
      <c r="V151" s="1139"/>
      <c r="W151" s="593"/>
      <c r="X151" s="593"/>
      <c r="Y151" s="593"/>
      <c r="Z151" s="1036"/>
      <c r="AA151" s="1139"/>
      <c r="AB151" s="593"/>
      <c r="AC151" s="593"/>
      <c r="AD151" s="593"/>
      <c r="AE151" s="1036"/>
      <c r="AF151" s="1139"/>
      <c r="AG151" s="593"/>
      <c r="AH151" s="593"/>
      <c r="AI151" s="593"/>
      <c r="AJ151" s="1036"/>
      <c r="AK151" s="569"/>
      <c r="AL151" s="569"/>
      <c r="AN151" s="857"/>
      <c r="AO151" s="961" t="str">
        <f t="shared" si="154"/>
        <v>Qty</v>
      </c>
      <c r="AP151" s="962" t="str">
        <f t="shared" si="155"/>
        <v>Sewerage</v>
      </c>
      <c r="AQ151" s="963" t="str">
        <f t="shared" si="156"/>
        <v>Variable</v>
      </c>
      <c r="AR151" s="967" t="str">
        <f t="shared" si="157"/>
        <v>-</v>
      </c>
      <c r="AS151" s="964" t="str">
        <f t="shared" si="158"/>
        <v>-</v>
      </c>
      <c r="AT151" s="964" t="str">
        <f t="shared" si="159"/>
        <v>-</v>
      </c>
      <c r="AU151" s="964" t="str">
        <f t="shared" si="160"/>
        <v>-</v>
      </c>
      <c r="AV151" s="1350" t="str">
        <f t="shared" si="161"/>
        <v>-</v>
      </c>
      <c r="AW151" s="1343" t="str">
        <f t="shared" si="162"/>
        <v>-</v>
      </c>
      <c r="AX151" s="964" t="str">
        <f t="shared" si="163"/>
        <v>-</v>
      </c>
      <c r="AY151" s="964" t="str">
        <f t="shared" si="164"/>
        <v>-</v>
      </c>
      <c r="AZ151" s="964" t="str">
        <f t="shared" si="165"/>
        <v>-</v>
      </c>
      <c r="BA151" s="965" t="str">
        <f t="shared" si="166"/>
        <v>-</v>
      </c>
      <c r="BB151" s="1343" t="str">
        <f t="shared" si="167"/>
        <v>-</v>
      </c>
      <c r="BC151" s="964" t="str">
        <f t="shared" si="168"/>
        <v>-</v>
      </c>
      <c r="BD151" s="964" t="str">
        <f t="shared" si="169"/>
        <v>-</v>
      </c>
      <c r="BE151" s="964" t="str">
        <f t="shared" si="170"/>
        <v>-</v>
      </c>
      <c r="BF151" s="966" t="str">
        <f t="shared" si="171"/>
        <v>-</v>
      </c>
      <c r="BG151" s="951"/>
      <c r="BH151" s="1541" t="str">
        <f t="shared" si="172"/>
        <v>Qty</v>
      </c>
      <c r="BI151" s="1542" t="str">
        <f t="shared" si="173"/>
        <v>Sewerage</v>
      </c>
      <c r="BJ151" s="1543" t="str">
        <f t="shared" si="174"/>
        <v>Variable</v>
      </c>
      <c r="BK151" s="964" t="str">
        <f t="shared" ref="BK151:BU151" si="207">IF(V151="","-",IFERROR((V151/U151-1)*(U152/U$13),"-"))</f>
        <v>-</v>
      </c>
      <c r="BL151" s="964" t="str">
        <f t="shared" si="207"/>
        <v>-</v>
      </c>
      <c r="BM151" s="964" t="str">
        <f t="shared" si="207"/>
        <v>-</v>
      </c>
      <c r="BN151" s="964" t="str">
        <f t="shared" si="207"/>
        <v>-</v>
      </c>
      <c r="BO151" s="1350" t="str">
        <f t="shared" si="207"/>
        <v>-</v>
      </c>
      <c r="BP151" s="1343" t="str">
        <f t="shared" si="207"/>
        <v>-</v>
      </c>
      <c r="BQ151" s="964" t="str">
        <f t="shared" si="207"/>
        <v>-</v>
      </c>
      <c r="BR151" s="964" t="str">
        <f t="shared" si="207"/>
        <v>-</v>
      </c>
      <c r="BS151" s="964" t="str">
        <f t="shared" si="207"/>
        <v>-</v>
      </c>
      <c r="BT151" s="965" t="str">
        <f t="shared" si="207"/>
        <v>-</v>
      </c>
      <c r="BU151" s="964" t="str">
        <f t="shared" si="207"/>
        <v>-</v>
      </c>
      <c r="BV151" s="964" t="str">
        <f>IF(AG151="","-",IFERROR((AG151/AF151-1)*(AF152/AF$13),"-"))</f>
        <v>-</v>
      </c>
      <c r="BW151" s="964" t="str">
        <f>IF(AH151="","-",IFERROR((AH151/AG151-1)*(AG152/AG$13),"-"))</f>
        <v>-</v>
      </c>
      <c r="BX151" s="964" t="str">
        <f>IF(AI151="","-",IFERROR((AI151/AH151-1)*(AH152/AH$13),"-"))</f>
        <v>-</v>
      </c>
      <c r="BY151" s="966" t="str">
        <f>IF(AJ151="","-",IFERROR((AJ151/AI151-1)*(AI152/AI$13),"-"))</f>
        <v>-</v>
      </c>
      <c r="BZ151" s="951"/>
      <c r="CA151" s="961" t="str">
        <f t="shared" si="151"/>
        <v>Qty</v>
      </c>
      <c r="CB151" s="962" t="str">
        <f t="shared" si="152"/>
        <v>Sewerage</v>
      </c>
      <c r="CC151" s="962" t="str">
        <f t="shared" si="153"/>
        <v>Variable</v>
      </c>
      <c r="CD151" s="967" t="str">
        <f t="shared" si="184"/>
        <v>-</v>
      </c>
      <c r="CE151" s="964" t="str">
        <f t="shared" si="176"/>
        <v>-</v>
      </c>
      <c r="CF151" s="964" t="str">
        <f t="shared" si="177"/>
        <v>-</v>
      </c>
      <c r="CG151" s="965" t="str">
        <f t="shared" si="178"/>
        <v>-</v>
      </c>
      <c r="CH151" s="964" t="str">
        <f t="shared" si="185"/>
        <v>-</v>
      </c>
      <c r="CI151" s="964" t="str">
        <f t="shared" si="179"/>
        <v>-</v>
      </c>
      <c r="CJ151" s="964" t="str">
        <f t="shared" si="180"/>
        <v>-</v>
      </c>
      <c r="CK151" s="966" t="str">
        <f t="shared" si="181"/>
        <v>-</v>
      </c>
    </row>
    <row r="152" spans="4:89" ht="12.75" thickBot="1">
      <c r="E152" s="568" t="s">
        <v>882</v>
      </c>
      <c r="F152" s="560" t="str">
        <f>+F150</f>
        <v>Sewerage</v>
      </c>
      <c r="G152" s="561" t="str">
        <f>+G150</f>
        <v>GWW</v>
      </c>
      <c r="H152" s="561" t="str">
        <f>+H150</f>
        <v>Western Transfer</v>
      </c>
      <c r="I152" s="562" t="str">
        <f>+I150</f>
        <v>Variable</v>
      </c>
      <c r="J152" s="563" t="s">
        <v>883</v>
      </c>
      <c r="K152" s="564">
        <f t="shared" ref="K152:AJ152" si="208">K150*K151/10^6</f>
        <v>0</v>
      </c>
      <c r="L152" s="565">
        <f t="shared" si="208"/>
        <v>0</v>
      </c>
      <c r="M152" s="565">
        <f t="shared" si="208"/>
        <v>0</v>
      </c>
      <c r="N152" s="564">
        <f t="shared" si="208"/>
        <v>0</v>
      </c>
      <c r="O152" s="565">
        <f t="shared" si="208"/>
        <v>0</v>
      </c>
      <c r="P152" s="565">
        <f t="shared" si="208"/>
        <v>0</v>
      </c>
      <c r="Q152" s="565">
        <f t="shared" si="208"/>
        <v>0</v>
      </c>
      <c r="R152" s="566">
        <f t="shared" si="208"/>
        <v>0</v>
      </c>
      <c r="S152" s="564">
        <f t="shared" si="208"/>
        <v>0</v>
      </c>
      <c r="T152" s="565">
        <f t="shared" si="208"/>
        <v>0</v>
      </c>
      <c r="U152" s="566">
        <f t="shared" si="208"/>
        <v>0</v>
      </c>
      <c r="V152" s="564">
        <f t="shared" si="208"/>
        <v>0</v>
      </c>
      <c r="W152" s="565">
        <f t="shared" si="208"/>
        <v>0</v>
      </c>
      <c r="X152" s="565">
        <f t="shared" si="208"/>
        <v>0</v>
      </c>
      <c r="Y152" s="565">
        <f t="shared" si="208"/>
        <v>0</v>
      </c>
      <c r="Z152" s="566">
        <f t="shared" si="208"/>
        <v>0</v>
      </c>
      <c r="AA152" s="564">
        <f t="shared" si="208"/>
        <v>0</v>
      </c>
      <c r="AB152" s="565">
        <f t="shared" si="208"/>
        <v>0</v>
      </c>
      <c r="AC152" s="565">
        <f t="shared" si="208"/>
        <v>0</v>
      </c>
      <c r="AD152" s="565">
        <f t="shared" si="208"/>
        <v>0</v>
      </c>
      <c r="AE152" s="566">
        <f t="shared" si="208"/>
        <v>0</v>
      </c>
      <c r="AF152" s="564">
        <f t="shared" si="208"/>
        <v>0</v>
      </c>
      <c r="AG152" s="565">
        <f t="shared" si="208"/>
        <v>0</v>
      </c>
      <c r="AH152" s="565">
        <f t="shared" si="208"/>
        <v>0</v>
      </c>
      <c r="AI152" s="565">
        <f t="shared" si="208"/>
        <v>0</v>
      </c>
      <c r="AJ152" s="566">
        <f t="shared" si="208"/>
        <v>0</v>
      </c>
      <c r="AK152" s="569"/>
      <c r="AL152" s="569"/>
      <c r="AN152" s="857"/>
      <c r="AO152" s="984" t="str">
        <f t="shared" si="154"/>
        <v>Rev</v>
      </c>
      <c r="AP152" s="985" t="str">
        <f t="shared" si="155"/>
        <v>Sewerage</v>
      </c>
      <c r="AQ152" s="986" t="str">
        <f t="shared" si="156"/>
        <v>Variable</v>
      </c>
      <c r="AR152" s="990" t="str">
        <f t="shared" si="157"/>
        <v>-</v>
      </c>
      <c r="AS152" s="987" t="str">
        <f t="shared" si="158"/>
        <v>-</v>
      </c>
      <c r="AT152" s="987" t="str">
        <f t="shared" si="159"/>
        <v>-</v>
      </c>
      <c r="AU152" s="987" t="str">
        <f t="shared" si="160"/>
        <v>-</v>
      </c>
      <c r="AV152" s="1353" t="str">
        <f t="shared" si="161"/>
        <v>-</v>
      </c>
      <c r="AW152" s="1346" t="str">
        <f t="shared" si="162"/>
        <v>-</v>
      </c>
      <c r="AX152" s="987" t="str">
        <f t="shared" si="163"/>
        <v>-</v>
      </c>
      <c r="AY152" s="987" t="str">
        <f t="shared" si="164"/>
        <v>-</v>
      </c>
      <c r="AZ152" s="987" t="str">
        <f t="shared" si="165"/>
        <v>-</v>
      </c>
      <c r="BA152" s="988" t="str">
        <f t="shared" si="166"/>
        <v>-</v>
      </c>
      <c r="BB152" s="1346" t="str">
        <f t="shared" si="167"/>
        <v>-</v>
      </c>
      <c r="BC152" s="987" t="str">
        <f t="shared" si="168"/>
        <v>-</v>
      </c>
      <c r="BD152" s="987" t="str">
        <f t="shared" si="169"/>
        <v>-</v>
      </c>
      <c r="BE152" s="987" t="str">
        <f t="shared" si="170"/>
        <v>-</v>
      </c>
      <c r="BF152" s="989" t="str">
        <f t="shared" si="171"/>
        <v>-</v>
      </c>
      <c r="BG152" s="951"/>
      <c r="BH152" s="1550" t="str">
        <f t="shared" si="172"/>
        <v>Rev</v>
      </c>
      <c r="BI152" s="1551" t="str">
        <f t="shared" si="173"/>
        <v>Sewerage</v>
      </c>
      <c r="BJ152" s="1552" t="str">
        <f t="shared" si="174"/>
        <v>Variable</v>
      </c>
      <c r="BK152" s="987" t="str">
        <f t="shared" ref="BK152:BU152" si="209">IF(V152="","-",IFERROR((V152/U152-1)*(U152/U$13),"-"))</f>
        <v>-</v>
      </c>
      <c r="BL152" s="987" t="str">
        <f t="shared" si="209"/>
        <v>-</v>
      </c>
      <c r="BM152" s="987" t="str">
        <f t="shared" si="209"/>
        <v>-</v>
      </c>
      <c r="BN152" s="987" t="str">
        <f t="shared" si="209"/>
        <v>-</v>
      </c>
      <c r="BO152" s="1353" t="str">
        <f t="shared" si="209"/>
        <v>-</v>
      </c>
      <c r="BP152" s="1346" t="str">
        <f t="shared" si="209"/>
        <v>-</v>
      </c>
      <c r="BQ152" s="987" t="str">
        <f t="shared" si="209"/>
        <v>-</v>
      </c>
      <c r="BR152" s="987" t="str">
        <f t="shared" si="209"/>
        <v>-</v>
      </c>
      <c r="BS152" s="987" t="str">
        <f t="shared" si="209"/>
        <v>-</v>
      </c>
      <c r="BT152" s="988" t="str">
        <f t="shared" si="209"/>
        <v>-</v>
      </c>
      <c r="BU152" s="987" t="str">
        <f t="shared" si="209"/>
        <v>-</v>
      </c>
      <c r="BV152" s="987" t="str">
        <f>IF(AG152="","-",IFERROR((AG152/AF152-1)*(AF152/AF$13),"-"))</f>
        <v>-</v>
      </c>
      <c r="BW152" s="987" t="str">
        <f>IF(AH152="","-",IFERROR((AH152/AG152-1)*(AG152/AG$13),"-"))</f>
        <v>-</v>
      </c>
      <c r="BX152" s="987" t="str">
        <f>IF(AI152="","-",IFERROR((AI152/AH152-1)*(AH152/AH$13),"-"))</f>
        <v>-</v>
      </c>
      <c r="BY152" s="989" t="str">
        <f>IF(AJ152="","-",IFERROR((AJ152/AI152-1)*(AI152/AI$13),"-"))</f>
        <v>-</v>
      </c>
      <c r="BZ152" s="951"/>
      <c r="CA152" s="984" t="str">
        <f t="shared" si="151"/>
        <v>Rev</v>
      </c>
      <c r="CB152" s="985" t="str">
        <f t="shared" si="152"/>
        <v>Sewerage</v>
      </c>
      <c r="CC152" s="985" t="str">
        <f t="shared" si="153"/>
        <v>Variable</v>
      </c>
      <c r="CD152" s="990" t="str">
        <f t="shared" si="184"/>
        <v>-</v>
      </c>
      <c r="CE152" s="987" t="str">
        <f t="shared" si="176"/>
        <v>-</v>
      </c>
      <c r="CF152" s="987" t="str">
        <f t="shared" si="177"/>
        <v>-</v>
      </c>
      <c r="CG152" s="988" t="str">
        <f t="shared" si="178"/>
        <v>-</v>
      </c>
      <c r="CH152" s="987" t="str">
        <f t="shared" si="185"/>
        <v>-</v>
      </c>
      <c r="CI152" s="987" t="str">
        <f t="shared" si="179"/>
        <v>-</v>
      </c>
      <c r="CJ152" s="987" t="str">
        <f t="shared" si="180"/>
        <v>-</v>
      </c>
      <c r="CK152" s="989" t="str">
        <f t="shared" si="181"/>
        <v>-</v>
      </c>
    </row>
    <row r="153" spans="4:89">
      <c r="D153" s="63">
        <f>D150+1</f>
        <v>29</v>
      </c>
      <c r="E153" s="550" t="s">
        <v>857</v>
      </c>
      <c r="F153" s="595" t="s">
        <v>402</v>
      </c>
      <c r="G153" s="595" t="s">
        <v>92</v>
      </c>
      <c r="H153" s="595" t="s">
        <v>893</v>
      </c>
      <c r="I153" s="589" t="s">
        <v>843</v>
      </c>
      <c r="J153" s="589" t="s">
        <v>879</v>
      </c>
      <c r="K153" s="551"/>
      <c r="L153" s="552"/>
      <c r="M153" s="552"/>
      <c r="N153" s="551"/>
      <c r="O153" s="552"/>
      <c r="P153" s="552"/>
      <c r="Q153" s="552"/>
      <c r="R153" s="1035"/>
      <c r="S153" s="1138"/>
      <c r="T153" s="591"/>
      <c r="U153" s="1035"/>
      <c r="V153" s="1138"/>
      <c r="W153" s="591"/>
      <c r="X153" s="591"/>
      <c r="Y153" s="591"/>
      <c r="Z153" s="1035"/>
      <c r="AA153" s="1138"/>
      <c r="AB153" s="591"/>
      <c r="AC153" s="591"/>
      <c r="AD153" s="591"/>
      <c r="AE153" s="1035"/>
      <c r="AF153" s="1138"/>
      <c r="AG153" s="591"/>
      <c r="AH153" s="591"/>
      <c r="AI153" s="591"/>
      <c r="AJ153" s="1035"/>
      <c r="AK153" s="569"/>
      <c r="AL153" s="569"/>
      <c r="AM153" s="974"/>
      <c r="AN153" s="857"/>
      <c r="AO153" s="975" t="str">
        <f t="shared" si="154"/>
        <v>Price</v>
      </c>
      <c r="AP153" s="976" t="str">
        <f t="shared" si="155"/>
        <v>Sewerage</v>
      </c>
      <c r="AQ153" s="977" t="str">
        <f t="shared" si="156"/>
        <v>Variable</v>
      </c>
      <c r="AR153" s="1341" t="str">
        <f t="shared" si="157"/>
        <v>-</v>
      </c>
      <c r="AS153" s="978" t="str">
        <f t="shared" si="158"/>
        <v>-</v>
      </c>
      <c r="AT153" s="979" t="str">
        <f t="shared" si="159"/>
        <v>-</v>
      </c>
      <c r="AU153" s="979" t="str">
        <f t="shared" si="160"/>
        <v>-</v>
      </c>
      <c r="AV153" s="1352" t="str">
        <f t="shared" si="161"/>
        <v>-</v>
      </c>
      <c r="AW153" s="1345" t="str">
        <f t="shared" si="162"/>
        <v>-</v>
      </c>
      <c r="AX153" s="979" t="str">
        <f t="shared" si="163"/>
        <v>-</v>
      </c>
      <c r="AY153" s="979" t="str">
        <f t="shared" si="164"/>
        <v>-</v>
      </c>
      <c r="AZ153" s="979" t="str">
        <f t="shared" si="165"/>
        <v>-</v>
      </c>
      <c r="BA153" s="980" t="str">
        <f t="shared" si="166"/>
        <v>-</v>
      </c>
      <c r="BB153" s="1345" t="str">
        <f t="shared" si="167"/>
        <v>-</v>
      </c>
      <c r="BC153" s="979" t="str">
        <f t="shared" si="168"/>
        <v>-</v>
      </c>
      <c r="BD153" s="979" t="str">
        <f t="shared" si="169"/>
        <v>-</v>
      </c>
      <c r="BE153" s="979" t="str">
        <f t="shared" si="170"/>
        <v>-</v>
      </c>
      <c r="BF153" s="981" t="str">
        <f t="shared" si="171"/>
        <v>-</v>
      </c>
      <c r="BG153" s="951"/>
      <c r="BH153" s="1547" t="str">
        <f t="shared" si="172"/>
        <v>Price</v>
      </c>
      <c r="BI153" s="1548" t="str">
        <f t="shared" si="173"/>
        <v>Sewerage</v>
      </c>
      <c r="BJ153" s="1549" t="str">
        <f t="shared" si="174"/>
        <v>Variable</v>
      </c>
      <c r="BK153" s="978" t="str">
        <f t="shared" ref="BK153:BU153" si="210">IF(V153="","-",IFERROR((V153/U153-1)*(U155/U$13),"-"))</f>
        <v>-</v>
      </c>
      <c r="BL153" s="978" t="str">
        <f t="shared" si="210"/>
        <v>-</v>
      </c>
      <c r="BM153" s="979" t="str">
        <f t="shared" si="210"/>
        <v>-</v>
      </c>
      <c r="BN153" s="979" t="str">
        <f t="shared" si="210"/>
        <v>-</v>
      </c>
      <c r="BO153" s="1352" t="str">
        <f t="shared" si="210"/>
        <v>-</v>
      </c>
      <c r="BP153" s="1345" t="str">
        <f t="shared" si="210"/>
        <v>-</v>
      </c>
      <c r="BQ153" s="979" t="str">
        <f t="shared" si="210"/>
        <v>-</v>
      </c>
      <c r="BR153" s="979" t="str">
        <f t="shared" si="210"/>
        <v>-</v>
      </c>
      <c r="BS153" s="979" t="str">
        <f t="shared" si="210"/>
        <v>-</v>
      </c>
      <c r="BT153" s="980" t="str">
        <f t="shared" si="210"/>
        <v>-</v>
      </c>
      <c r="BU153" s="979" t="str">
        <f t="shared" si="210"/>
        <v>-</v>
      </c>
      <c r="BV153" s="979" t="str">
        <f>IF(AG153="","-",IFERROR((AG153/AF153-1)*(AF155/AF$13),"-"))</f>
        <v>-</v>
      </c>
      <c r="BW153" s="979" t="str">
        <f>IF(AH153="","-",IFERROR((AH153/AG153-1)*(AG155/AG$13),"-"))</f>
        <v>-</v>
      </c>
      <c r="BX153" s="979" t="str">
        <f>IF(AI153="","-",IFERROR((AI153/AH153-1)*(AH155/AH$13),"-"))</f>
        <v>-</v>
      </c>
      <c r="BY153" s="981" t="str">
        <f>IF(AJ153="","-",IFERROR((AJ153/AI153-1)*(AI155/AI$13),"-"))</f>
        <v>-</v>
      </c>
      <c r="BZ153" s="951"/>
      <c r="CA153" s="975" t="str">
        <f t="shared" si="151"/>
        <v>Price</v>
      </c>
      <c r="CB153" s="976" t="str">
        <f t="shared" si="152"/>
        <v>Sewerage</v>
      </c>
      <c r="CC153" s="982" t="str">
        <f t="shared" si="153"/>
        <v>Variable</v>
      </c>
      <c r="CD153" s="983" t="str">
        <f t="shared" si="184"/>
        <v>-</v>
      </c>
      <c r="CE153" s="979" t="str">
        <f t="shared" si="176"/>
        <v>-</v>
      </c>
      <c r="CF153" s="979" t="str">
        <f t="shared" si="177"/>
        <v>-</v>
      </c>
      <c r="CG153" s="980" t="str">
        <f t="shared" si="178"/>
        <v>-</v>
      </c>
      <c r="CH153" s="979" t="str">
        <f t="shared" si="185"/>
        <v>-</v>
      </c>
      <c r="CI153" s="979" t="str">
        <f t="shared" si="179"/>
        <v>-</v>
      </c>
      <c r="CJ153" s="979" t="str">
        <f t="shared" si="180"/>
        <v>-</v>
      </c>
      <c r="CK153" s="981" t="str">
        <f t="shared" si="181"/>
        <v>-</v>
      </c>
    </row>
    <row r="154" spans="4:89">
      <c r="E154" s="567" t="s">
        <v>880</v>
      </c>
      <c r="F154" s="554" t="str">
        <f>+F153</f>
        <v>Sewerage</v>
      </c>
      <c r="G154" s="555" t="str">
        <f>+G153</f>
        <v>SEW</v>
      </c>
      <c r="H154" s="555" t="str">
        <f>+H153</f>
        <v>Western Transfer</v>
      </c>
      <c r="I154" s="556" t="str">
        <f>+I153</f>
        <v>Variable</v>
      </c>
      <c r="J154" s="590" t="s">
        <v>887</v>
      </c>
      <c r="K154" s="557"/>
      <c r="L154" s="558"/>
      <c r="M154" s="558"/>
      <c r="N154" s="557"/>
      <c r="O154" s="558"/>
      <c r="P154" s="558"/>
      <c r="Q154" s="558"/>
      <c r="R154" s="1036"/>
      <c r="S154" s="1139"/>
      <c r="T154" s="593"/>
      <c r="U154" s="1036"/>
      <c r="V154" s="1139"/>
      <c r="W154" s="593"/>
      <c r="X154" s="593"/>
      <c r="Y154" s="593"/>
      <c r="Z154" s="1036"/>
      <c r="AA154" s="1139"/>
      <c r="AB154" s="593"/>
      <c r="AC154" s="593"/>
      <c r="AD154" s="593"/>
      <c r="AE154" s="1036"/>
      <c r="AF154" s="1139"/>
      <c r="AG154" s="593"/>
      <c r="AH154" s="593"/>
      <c r="AI154" s="593"/>
      <c r="AJ154" s="1036"/>
      <c r="AK154" s="569"/>
      <c r="AL154" s="569"/>
      <c r="AN154" s="857"/>
      <c r="AO154" s="961" t="str">
        <f t="shared" si="154"/>
        <v>Qty</v>
      </c>
      <c r="AP154" s="962" t="str">
        <f t="shared" si="155"/>
        <v>Sewerage</v>
      </c>
      <c r="AQ154" s="963" t="str">
        <f t="shared" si="156"/>
        <v>Variable</v>
      </c>
      <c r="AR154" s="967" t="str">
        <f t="shared" si="157"/>
        <v>-</v>
      </c>
      <c r="AS154" s="964" t="str">
        <f t="shared" si="158"/>
        <v>-</v>
      </c>
      <c r="AT154" s="964" t="str">
        <f t="shared" si="159"/>
        <v>-</v>
      </c>
      <c r="AU154" s="964" t="str">
        <f t="shared" si="160"/>
        <v>-</v>
      </c>
      <c r="AV154" s="1350" t="str">
        <f t="shared" si="161"/>
        <v>-</v>
      </c>
      <c r="AW154" s="1343" t="str">
        <f t="shared" si="162"/>
        <v>-</v>
      </c>
      <c r="AX154" s="964" t="str">
        <f t="shared" si="163"/>
        <v>-</v>
      </c>
      <c r="AY154" s="964" t="str">
        <f t="shared" si="164"/>
        <v>-</v>
      </c>
      <c r="AZ154" s="964" t="str">
        <f t="shared" si="165"/>
        <v>-</v>
      </c>
      <c r="BA154" s="965" t="str">
        <f t="shared" si="166"/>
        <v>-</v>
      </c>
      <c r="BB154" s="1343" t="str">
        <f t="shared" si="167"/>
        <v>-</v>
      </c>
      <c r="BC154" s="964" t="str">
        <f t="shared" si="168"/>
        <v>-</v>
      </c>
      <c r="BD154" s="964" t="str">
        <f t="shared" si="169"/>
        <v>-</v>
      </c>
      <c r="BE154" s="964" t="str">
        <f t="shared" si="170"/>
        <v>-</v>
      </c>
      <c r="BF154" s="966" t="str">
        <f t="shared" si="171"/>
        <v>-</v>
      </c>
      <c r="BG154" s="951"/>
      <c r="BH154" s="1541" t="str">
        <f t="shared" si="172"/>
        <v>Qty</v>
      </c>
      <c r="BI154" s="1542" t="str">
        <f t="shared" si="173"/>
        <v>Sewerage</v>
      </c>
      <c r="BJ154" s="1543" t="str">
        <f t="shared" si="174"/>
        <v>Variable</v>
      </c>
      <c r="BK154" s="964" t="str">
        <f t="shared" ref="BK154:BU154" si="211">IF(V154="","-",IFERROR((V154/U154-1)*(U155/U$13),"-"))</f>
        <v>-</v>
      </c>
      <c r="BL154" s="964" t="str">
        <f t="shared" si="211"/>
        <v>-</v>
      </c>
      <c r="BM154" s="964" t="str">
        <f t="shared" si="211"/>
        <v>-</v>
      </c>
      <c r="BN154" s="964" t="str">
        <f t="shared" si="211"/>
        <v>-</v>
      </c>
      <c r="BO154" s="1350" t="str">
        <f t="shared" si="211"/>
        <v>-</v>
      </c>
      <c r="BP154" s="1343" t="str">
        <f t="shared" si="211"/>
        <v>-</v>
      </c>
      <c r="BQ154" s="964" t="str">
        <f t="shared" si="211"/>
        <v>-</v>
      </c>
      <c r="BR154" s="964" t="str">
        <f t="shared" si="211"/>
        <v>-</v>
      </c>
      <c r="BS154" s="964" t="str">
        <f t="shared" si="211"/>
        <v>-</v>
      </c>
      <c r="BT154" s="965" t="str">
        <f t="shared" si="211"/>
        <v>-</v>
      </c>
      <c r="BU154" s="964" t="str">
        <f t="shared" si="211"/>
        <v>-</v>
      </c>
      <c r="BV154" s="964" t="str">
        <f>IF(AG154="","-",IFERROR((AG154/AF154-1)*(AF155/AF$13),"-"))</f>
        <v>-</v>
      </c>
      <c r="BW154" s="964" t="str">
        <f>IF(AH154="","-",IFERROR((AH154/AG154-1)*(AG155/AG$13),"-"))</f>
        <v>-</v>
      </c>
      <c r="BX154" s="964" t="str">
        <f>IF(AI154="","-",IFERROR((AI154/AH154-1)*(AH155/AH$13),"-"))</f>
        <v>-</v>
      </c>
      <c r="BY154" s="966" t="str">
        <f>IF(AJ154="","-",IFERROR((AJ154/AI154-1)*(AI155/AI$13),"-"))</f>
        <v>-</v>
      </c>
      <c r="BZ154" s="951"/>
      <c r="CA154" s="961" t="str">
        <f t="shared" si="151"/>
        <v>Qty</v>
      </c>
      <c r="CB154" s="962" t="str">
        <f t="shared" si="152"/>
        <v>Sewerage</v>
      </c>
      <c r="CC154" s="962" t="str">
        <f t="shared" si="153"/>
        <v>Variable</v>
      </c>
      <c r="CD154" s="967" t="str">
        <f t="shared" si="184"/>
        <v>-</v>
      </c>
      <c r="CE154" s="964" t="str">
        <f t="shared" si="176"/>
        <v>-</v>
      </c>
      <c r="CF154" s="964" t="str">
        <f t="shared" si="177"/>
        <v>-</v>
      </c>
      <c r="CG154" s="965" t="str">
        <f t="shared" si="178"/>
        <v>-</v>
      </c>
      <c r="CH154" s="964" t="str">
        <f t="shared" si="185"/>
        <v>-</v>
      </c>
      <c r="CI154" s="964" t="str">
        <f t="shared" si="179"/>
        <v>-</v>
      </c>
      <c r="CJ154" s="964" t="str">
        <f t="shared" si="180"/>
        <v>-</v>
      </c>
      <c r="CK154" s="966" t="str">
        <f t="shared" si="181"/>
        <v>-</v>
      </c>
    </row>
    <row r="155" spans="4:89" ht="12.75" thickBot="1">
      <c r="E155" s="568" t="s">
        <v>882</v>
      </c>
      <c r="F155" s="560" t="str">
        <f>+F153</f>
        <v>Sewerage</v>
      </c>
      <c r="G155" s="561" t="str">
        <f>+G153</f>
        <v>SEW</v>
      </c>
      <c r="H155" s="561" t="str">
        <f>+H153</f>
        <v>Western Transfer</v>
      </c>
      <c r="I155" s="562" t="str">
        <f>+I153</f>
        <v>Variable</v>
      </c>
      <c r="J155" s="563" t="s">
        <v>883</v>
      </c>
      <c r="K155" s="564">
        <f t="shared" ref="K155:AJ155" si="212">K153*K154/10^6</f>
        <v>0</v>
      </c>
      <c r="L155" s="565">
        <f t="shared" si="212"/>
        <v>0</v>
      </c>
      <c r="M155" s="565">
        <f t="shared" si="212"/>
        <v>0</v>
      </c>
      <c r="N155" s="564">
        <f t="shared" si="212"/>
        <v>0</v>
      </c>
      <c r="O155" s="565">
        <f t="shared" si="212"/>
        <v>0</v>
      </c>
      <c r="P155" s="565">
        <f t="shared" si="212"/>
        <v>0</v>
      </c>
      <c r="Q155" s="565">
        <f t="shared" si="212"/>
        <v>0</v>
      </c>
      <c r="R155" s="566">
        <f t="shared" si="212"/>
        <v>0</v>
      </c>
      <c r="S155" s="564">
        <f t="shared" si="212"/>
        <v>0</v>
      </c>
      <c r="T155" s="565">
        <f t="shared" si="212"/>
        <v>0</v>
      </c>
      <c r="U155" s="566">
        <f t="shared" si="212"/>
        <v>0</v>
      </c>
      <c r="V155" s="564">
        <f t="shared" si="212"/>
        <v>0</v>
      </c>
      <c r="W155" s="565">
        <f t="shared" si="212"/>
        <v>0</v>
      </c>
      <c r="X155" s="565">
        <f t="shared" si="212"/>
        <v>0</v>
      </c>
      <c r="Y155" s="565">
        <f t="shared" si="212"/>
        <v>0</v>
      </c>
      <c r="Z155" s="566">
        <f t="shared" si="212"/>
        <v>0</v>
      </c>
      <c r="AA155" s="564">
        <f t="shared" si="212"/>
        <v>0</v>
      </c>
      <c r="AB155" s="565">
        <f t="shared" si="212"/>
        <v>0</v>
      </c>
      <c r="AC155" s="565">
        <f t="shared" si="212"/>
        <v>0</v>
      </c>
      <c r="AD155" s="565">
        <f t="shared" si="212"/>
        <v>0</v>
      </c>
      <c r="AE155" s="566">
        <f t="shared" si="212"/>
        <v>0</v>
      </c>
      <c r="AF155" s="564">
        <f t="shared" si="212"/>
        <v>0</v>
      </c>
      <c r="AG155" s="565">
        <f t="shared" si="212"/>
        <v>0</v>
      </c>
      <c r="AH155" s="565">
        <f t="shared" si="212"/>
        <v>0</v>
      </c>
      <c r="AI155" s="565">
        <f t="shared" si="212"/>
        <v>0</v>
      </c>
      <c r="AJ155" s="566">
        <f t="shared" si="212"/>
        <v>0</v>
      </c>
      <c r="AK155" s="569"/>
      <c r="AL155" s="569"/>
      <c r="AN155" s="857"/>
      <c r="AO155" s="984" t="str">
        <f t="shared" si="154"/>
        <v>Rev</v>
      </c>
      <c r="AP155" s="985" t="str">
        <f t="shared" si="155"/>
        <v>Sewerage</v>
      </c>
      <c r="AQ155" s="986" t="str">
        <f t="shared" si="156"/>
        <v>Variable</v>
      </c>
      <c r="AR155" s="990" t="str">
        <f t="shared" si="157"/>
        <v>-</v>
      </c>
      <c r="AS155" s="987" t="str">
        <f t="shared" si="158"/>
        <v>-</v>
      </c>
      <c r="AT155" s="987" t="str">
        <f t="shared" si="159"/>
        <v>-</v>
      </c>
      <c r="AU155" s="987" t="str">
        <f t="shared" si="160"/>
        <v>-</v>
      </c>
      <c r="AV155" s="1353" t="str">
        <f t="shared" si="161"/>
        <v>-</v>
      </c>
      <c r="AW155" s="1346" t="str">
        <f t="shared" si="162"/>
        <v>-</v>
      </c>
      <c r="AX155" s="987" t="str">
        <f t="shared" si="163"/>
        <v>-</v>
      </c>
      <c r="AY155" s="987" t="str">
        <f t="shared" si="164"/>
        <v>-</v>
      </c>
      <c r="AZ155" s="987" t="str">
        <f t="shared" si="165"/>
        <v>-</v>
      </c>
      <c r="BA155" s="988" t="str">
        <f t="shared" si="166"/>
        <v>-</v>
      </c>
      <c r="BB155" s="1346" t="str">
        <f t="shared" si="167"/>
        <v>-</v>
      </c>
      <c r="BC155" s="987" t="str">
        <f t="shared" si="168"/>
        <v>-</v>
      </c>
      <c r="BD155" s="987" t="str">
        <f t="shared" si="169"/>
        <v>-</v>
      </c>
      <c r="BE155" s="987" t="str">
        <f t="shared" si="170"/>
        <v>-</v>
      </c>
      <c r="BF155" s="989" t="str">
        <f t="shared" si="171"/>
        <v>-</v>
      </c>
      <c r="BG155" s="951"/>
      <c r="BH155" s="1550" t="str">
        <f t="shared" si="172"/>
        <v>Rev</v>
      </c>
      <c r="BI155" s="1551" t="str">
        <f t="shared" si="173"/>
        <v>Sewerage</v>
      </c>
      <c r="BJ155" s="1552" t="str">
        <f t="shared" si="174"/>
        <v>Variable</v>
      </c>
      <c r="BK155" s="987" t="str">
        <f t="shared" ref="BK155:BU155" si="213">IF(V155="","-",IFERROR((V155/U155-1)*(U155/U$13),"-"))</f>
        <v>-</v>
      </c>
      <c r="BL155" s="987" t="str">
        <f t="shared" si="213"/>
        <v>-</v>
      </c>
      <c r="BM155" s="987" t="str">
        <f t="shared" si="213"/>
        <v>-</v>
      </c>
      <c r="BN155" s="987" t="str">
        <f t="shared" si="213"/>
        <v>-</v>
      </c>
      <c r="BO155" s="1353" t="str">
        <f t="shared" si="213"/>
        <v>-</v>
      </c>
      <c r="BP155" s="1346" t="str">
        <f t="shared" si="213"/>
        <v>-</v>
      </c>
      <c r="BQ155" s="987" t="str">
        <f t="shared" si="213"/>
        <v>-</v>
      </c>
      <c r="BR155" s="987" t="str">
        <f t="shared" si="213"/>
        <v>-</v>
      </c>
      <c r="BS155" s="987" t="str">
        <f t="shared" si="213"/>
        <v>-</v>
      </c>
      <c r="BT155" s="988" t="str">
        <f t="shared" si="213"/>
        <v>-</v>
      </c>
      <c r="BU155" s="987" t="str">
        <f t="shared" si="213"/>
        <v>-</v>
      </c>
      <c r="BV155" s="987" t="str">
        <f>IF(AG155="","-",IFERROR((AG155/AF155-1)*(AF155/AF$13),"-"))</f>
        <v>-</v>
      </c>
      <c r="BW155" s="987" t="str">
        <f>IF(AH155="","-",IFERROR((AH155/AG155-1)*(AG155/AG$13),"-"))</f>
        <v>-</v>
      </c>
      <c r="BX155" s="987" t="str">
        <f>IF(AI155="","-",IFERROR((AI155/AH155-1)*(AH155/AH$13),"-"))</f>
        <v>-</v>
      </c>
      <c r="BY155" s="989" t="str">
        <f>IF(AJ155="","-",IFERROR((AJ155/AI155-1)*(AI155/AI$13),"-"))</f>
        <v>-</v>
      </c>
      <c r="BZ155" s="951"/>
      <c r="CA155" s="984" t="str">
        <f t="shared" si="151"/>
        <v>Rev</v>
      </c>
      <c r="CB155" s="985" t="str">
        <f t="shared" si="152"/>
        <v>Sewerage</v>
      </c>
      <c r="CC155" s="985" t="str">
        <f t="shared" si="153"/>
        <v>Variable</v>
      </c>
      <c r="CD155" s="990" t="str">
        <f t="shared" si="184"/>
        <v>-</v>
      </c>
      <c r="CE155" s="987" t="str">
        <f t="shared" si="176"/>
        <v>-</v>
      </c>
      <c r="CF155" s="987" t="str">
        <f t="shared" si="177"/>
        <v>-</v>
      </c>
      <c r="CG155" s="988" t="str">
        <f t="shared" si="178"/>
        <v>-</v>
      </c>
      <c r="CH155" s="987" t="str">
        <f t="shared" si="185"/>
        <v>-</v>
      </c>
      <c r="CI155" s="987" t="str">
        <f t="shared" si="179"/>
        <v>-</v>
      </c>
      <c r="CJ155" s="987" t="str">
        <f t="shared" si="180"/>
        <v>-</v>
      </c>
      <c r="CK155" s="989" t="str">
        <f t="shared" si="181"/>
        <v>-</v>
      </c>
    </row>
    <row r="156" spans="4:89">
      <c r="D156" s="63">
        <f>D153+1</f>
        <v>30</v>
      </c>
      <c r="E156" s="550" t="s">
        <v>857</v>
      </c>
      <c r="F156" s="595" t="s">
        <v>402</v>
      </c>
      <c r="G156" s="595" t="s">
        <v>103</v>
      </c>
      <c r="H156" s="595" t="s">
        <v>893</v>
      </c>
      <c r="I156" s="589" t="s">
        <v>843</v>
      </c>
      <c r="J156" s="589" t="s">
        <v>879</v>
      </c>
      <c r="K156" s="551"/>
      <c r="L156" s="552"/>
      <c r="M156" s="552"/>
      <c r="N156" s="551"/>
      <c r="O156" s="552"/>
      <c r="P156" s="552"/>
      <c r="Q156" s="552"/>
      <c r="R156" s="1035"/>
      <c r="S156" s="1138"/>
      <c r="T156" s="591"/>
      <c r="U156" s="1035"/>
      <c r="V156" s="1138"/>
      <c r="W156" s="591"/>
      <c r="X156" s="591"/>
      <c r="Y156" s="591"/>
      <c r="Z156" s="1035"/>
      <c r="AA156" s="1138"/>
      <c r="AB156" s="591"/>
      <c r="AC156" s="591"/>
      <c r="AD156" s="591"/>
      <c r="AE156" s="1035"/>
      <c r="AF156" s="1138"/>
      <c r="AG156" s="591"/>
      <c r="AH156" s="591"/>
      <c r="AI156" s="591"/>
      <c r="AJ156" s="1035"/>
      <c r="AK156" s="569"/>
      <c r="AL156" s="569"/>
      <c r="AM156" s="974"/>
      <c r="AN156" s="857"/>
      <c r="AO156" s="975" t="str">
        <f t="shared" si="154"/>
        <v>Price</v>
      </c>
      <c r="AP156" s="976" t="str">
        <f t="shared" si="155"/>
        <v>Sewerage</v>
      </c>
      <c r="AQ156" s="977" t="str">
        <f t="shared" si="156"/>
        <v>Variable</v>
      </c>
      <c r="AR156" s="1341" t="str">
        <f t="shared" si="157"/>
        <v>-</v>
      </c>
      <c r="AS156" s="978" t="str">
        <f t="shared" si="158"/>
        <v>-</v>
      </c>
      <c r="AT156" s="979" t="str">
        <f t="shared" si="159"/>
        <v>-</v>
      </c>
      <c r="AU156" s="979" t="str">
        <f t="shared" si="160"/>
        <v>-</v>
      </c>
      <c r="AV156" s="1352" t="str">
        <f t="shared" si="161"/>
        <v>-</v>
      </c>
      <c r="AW156" s="1345" t="str">
        <f t="shared" si="162"/>
        <v>-</v>
      </c>
      <c r="AX156" s="979" t="str">
        <f t="shared" si="163"/>
        <v>-</v>
      </c>
      <c r="AY156" s="979" t="str">
        <f t="shared" si="164"/>
        <v>-</v>
      </c>
      <c r="AZ156" s="979" t="str">
        <f t="shared" si="165"/>
        <v>-</v>
      </c>
      <c r="BA156" s="980" t="str">
        <f t="shared" si="166"/>
        <v>-</v>
      </c>
      <c r="BB156" s="1345" t="str">
        <f t="shared" si="167"/>
        <v>-</v>
      </c>
      <c r="BC156" s="979" t="str">
        <f t="shared" si="168"/>
        <v>-</v>
      </c>
      <c r="BD156" s="979" t="str">
        <f t="shared" si="169"/>
        <v>-</v>
      </c>
      <c r="BE156" s="979" t="str">
        <f t="shared" si="170"/>
        <v>-</v>
      </c>
      <c r="BF156" s="981" t="str">
        <f t="shared" si="171"/>
        <v>-</v>
      </c>
      <c r="BG156" s="951"/>
      <c r="BH156" s="1547" t="str">
        <f t="shared" si="172"/>
        <v>Price</v>
      </c>
      <c r="BI156" s="1548" t="str">
        <f t="shared" si="173"/>
        <v>Sewerage</v>
      </c>
      <c r="BJ156" s="1549" t="str">
        <f t="shared" si="174"/>
        <v>Variable</v>
      </c>
      <c r="BK156" s="978" t="str">
        <f t="shared" ref="BK156:BU156" si="214">IF(V156="","-",IFERROR((V156/U156-1)*(U158/U$13),"-"))</f>
        <v>-</v>
      </c>
      <c r="BL156" s="978" t="str">
        <f t="shared" si="214"/>
        <v>-</v>
      </c>
      <c r="BM156" s="979" t="str">
        <f t="shared" si="214"/>
        <v>-</v>
      </c>
      <c r="BN156" s="979" t="str">
        <f t="shared" si="214"/>
        <v>-</v>
      </c>
      <c r="BO156" s="1352" t="str">
        <f t="shared" si="214"/>
        <v>-</v>
      </c>
      <c r="BP156" s="1345" t="str">
        <f t="shared" si="214"/>
        <v>-</v>
      </c>
      <c r="BQ156" s="979" t="str">
        <f t="shared" si="214"/>
        <v>-</v>
      </c>
      <c r="BR156" s="979" t="str">
        <f t="shared" si="214"/>
        <v>-</v>
      </c>
      <c r="BS156" s="979" t="str">
        <f t="shared" si="214"/>
        <v>-</v>
      </c>
      <c r="BT156" s="980" t="str">
        <f t="shared" si="214"/>
        <v>-</v>
      </c>
      <c r="BU156" s="979" t="str">
        <f t="shared" si="214"/>
        <v>-</v>
      </c>
      <c r="BV156" s="979" t="str">
        <f>IF(AG156="","-",IFERROR((AG156/AF156-1)*(AF158/AF$13),"-"))</f>
        <v>-</v>
      </c>
      <c r="BW156" s="979" t="str">
        <f>IF(AH156="","-",IFERROR((AH156/AG156-1)*(AG158/AG$13),"-"))</f>
        <v>-</v>
      </c>
      <c r="BX156" s="979" t="str">
        <f>IF(AI156="","-",IFERROR((AI156/AH156-1)*(AH158/AH$13),"-"))</f>
        <v>-</v>
      </c>
      <c r="BY156" s="981" t="str">
        <f>IF(AJ156="","-",IFERROR((AJ156/AI156-1)*(AI158/AI$13),"-"))</f>
        <v>-</v>
      </c>
      <c r="BZ156" s="951"/>
      <c r="CA156" s="975" t="str">
        <f t="shared" si="151"/>
        <v>Price</v>
      </c>
      <c r="CB156" s="976" t="str">
        <f t="shared" si="152"/>
        <v>Sewerage</v>
      </c>
      <c r="CC156" s="982" t="str">
        <f t="shared" si="153"/>
        <v>Variable</v>
      </c>
      <c r="CD156" s="983" t="str">
        <f t="shared" si="184"/>
        <v>-</v>
      </c>
      <c r="CE156" s="979" t="str">
        <f t="shared" si="176"/>
        <v>-</v>
      </c>
      <c r="CF156" s="979" t="str">
        <f t="shared" si="177"/>
        <v>-</v>
      </c>
      <c r="CG156" s="980" t="str">
        <f t="shared" si="178"/>
        <v>-</v>
      </c>
      <c r="CH156" s="979" t="str">
        <f t="shared" si="185"/>
        <v>-</v>
      </c>
      <c r="CI156" s="979" t="str">
        <f t="shared" si="179"/>
        <v>-</v>
      </c>
      <c r="CJ156" s="979" t="str">
        <f t="shared" si="180"/>
        <v>-</v>
      </c>
      <c r="CK156" s="981" t="str">
        <f t="shared" si="181"/>
        <v>-</v>
      </c>
    </row>
    <row r="157" spans="4:89">
      <c r="E157" s="567" t="s">
        <v>880</v>
      </c>
      <c r="F157" s="554" t="str">
        <f>+F156</f>
        <v>Sewerage</v>
      </c>
      <c r="G157" s="555" t="str">
        <f>+G156</f>
        <v>YVW</v>
      </c>
      <c r="H157" s="555" t="str">
        <f>+H156</f>
        <v>Western Transfer</v>
      </c>
      <c r="I157" s="556" t="str">
        <f>+I156</f>
        <v>Variable</v>
      </c>
      <c r="J157" s="590" t="s">
        <v>887</v>
      </c>
      <c r="K157" s="557"/>
      <c r="L157" s="558"/>
      <c r="M157" s="558"/>
      <c r="N157" s="557"/>
      <c r="O157" s="558"/>
      <c r="P157" s="558"/>
      <c r="Q157" s="558"/>
      <c r="R157" s="1036"/>
      <c r="S157" s="1139"/>
      <c r="T157" s="593"/>
      <c r="U157" s="1036"/>
      <c r="V157" s="1139"/>
      <c r="W157" s="593"/>
      <c r="X157" s="593"/>
      <c r="Y157" s="593"/>
      <c r="Z157" s="1036"/>
      <c r="AA157" s="1139"/>
      <c r="AB157" s="593"/>
      <c r="AC157" s="593"/>
      <c r="AD157" s="593"/>
      <c r="AE157" s="1036"/>
      <c r="AF157" s="1139"/>
      <c r="AG157" s="593"/>
      <c r="AH157" s="593"/>
      <c r="AI157" s="593"/>
      <c r="AJ157" s="1036"/>
      <c r="AK157" s="569"/>
      <c r="AL157" s="569"/>
      <c r="AN157" s="857"/>
      <c r="AO157" s="961" t="str">
        <f t="shared" si="154"/>
        <v>Qty</v>
      </c>
      <c r="AP157" s="962" t="str">
        <f t="shared" si="155"/>
        <v>Sewerage</v>
      </c>
      <c r="AQ157" s="963" t="str">
        <f t="shared" si="156"/>
        <v>Variable</v>
      </c>
      <c r="AR157" s="967" t="str">
        <f t="shared" si="157"/>
        <v>-</v>
      </c>
      <c r="AS157" s="964" t="str">
        <f t="shared" si="158"/>
        <v>-</v>
      </c>
      <c r="AT157" s="964" t="str">
        <f t="shared" si="159"/>
        <v>-</v>
      </c>
      <c r="AU157" s="964" t="str">
        <f t="shared" si="160"/>
        <v>-</v>
      </c>
      <c r="AV157" s="1350" t="str">
        <f t="shared" si="161"/>
        <v>-</v>
      </c>
      <c r="AW157" s="1343" t="str">
        <f t="shared" si="162"/>
        <v>-</v>
      </c>
      <c r="AX157" s="964" t="str">
        <f t="shared" si="163"/>
        <v>-</v>
      </c>
      <c r="AY157" s="964" t="str">
        <f t="shared" si="164"/>
        <v>-</v>
      </c>
      <c r="AZ157" s="964" t="str">
        <f t="shared" si="165"/>
        <v>-</v>
      </c>
      <c r="BA157" s="965" t="str">
        <f t="shared" si="166"/>
        <v>-</v>
      </c>
      <c r="BB157" s="1343" t="str">
        <f t="shared" si="167"/>
        <v>-</v>
      </c>
      <c r="BC157" s="964" t="str">
        <f t="shared" si="168"/>
        <v>-</v>
      </c>
      <c r="BD157" s="964" t="str">
        <f t="shared" si="169"/>
        <v>-</v>
      </c>
      <c r="BE157" s="964" t="str">
        <f t="shared" si="170"/>
        <v>-</v>
      </c>
      <c r="BF157" s="966" t="str">
        <f t="shared" si="171"/>
        <v>-</v>
      </c>
      <c r="BG157" s="951"/>
      <c r="BH157" s="1541" t="str">
        <f t="shared" si="172"/>
        <v>Qty</v>
      </c>
      <c r="BI157" s="1542" t="str">
        <f t="shared" si="173"/>
        <v>Sewerage</v>
      </c>
      <c r="BJ157" s="1543" t="str">
        <f t="shared" si="174"/>
        <v>Variable</v>
      </c>
      <c r="BK157" s="964" t="str">
        <f t="shared" ref="BK157:BU157" si="215">IF(V157="","-",IFERROR((V157/U157-1)*(U158/U$13),"-"))</f>
        <v>-</v>
      </c>
      <c r="BL157" s="964" t="str">
        <f t="shared" si="215"/>
        <v>-</v>
      </c>
      <c r="BM157" s="964" t="str">
        <f t="shared" si="215"/>
        <v>-</v>
      </c>
      <c r="BN157" s="964" t="str">
        <f t="shared" si="215"/>
        <v>-</v>
      </c>
      <c r="BO157" s="1350" t="str">
        <f t="shared" si="215"/>
        <v>-</v>
      </c>
      <c r="BP157" s="1343" t="str">
        <f t="shared" si="215"/>
        <v>-</v>
      </c>
      <c r="BQ157" s="964" t="str">
        <f t="shared" si="215"/>
        <v>-</v>
      </c>
      <c r="BR157" s="964" t="str">
        <f t="shared" si="215"/>
        <v>-</v>
      </c>
      <c r="BS157" s="964" t="str">
        <f t="shared" si="215"/>
        <v>-</v>
      </c>
      <c r="BT157" s="965" t="str">
        <f t="shared" si="215"/>
        <v>-</v>
      </c>
      <c r="BU157" s="964" t="str">
        <f t="shared" si="215"/>
        <v>-</v>
      </c>
      <c r="BV157" s="964" t="str">
        <f>IF(AG157="","-",IFERROR((AG157/AF157-1)*(AF158/AF$13),"-"))</f>
        <v>-</v>
      </c>
      <c r="BW157" s="964" t="str">
        <f>IF(AH157="","-",IFERROR((AH157/AG157-1)*(AG158/AG$13),"-"))</f>
        <v>-</v>
      </c>
      <c r="BX157" s="964" t="str">
        <f>IF(AI157="","-",IFERROR((AI157/AH157-1)*(AH158/AH$13),"-"))</f>
        <v>-</v>
      </c>
      <c r="BY157" s="966" t="str">
        <f>IF(AJ157="","-",IFERROR((AJ157/AI157-1)*(AI158/AI$13),"-"))</f>
        <v>-</v>
      </c>
      <c r="BZ157" s="951"/>
      <c r="CA157" s="961" t="str">
        <f t="shared" si="151"/>
        <v>Qty</v>
      </c>
      <c r="CB157" s="962" t="str">
        <f t="shared" si="152"/>
        <v>Sewerage</v>
      </c>
      <c r="CC157" s="962" t="str">
        <f t="shared" si="153"/>
        <v>Variable</v>
      </c>
      <c r="CD157" s="967" t="str">
        <f t="shared" si="184"/>
        <v>-</v>
      </c>
      <c r="CE157" s="964" t="str">
        <f t="shared" si="176"/>
        <v>-</v>
      </c>
      <c r="CF157" s="964" t="str">
        <f t="shared" si="177"/>
        <v>-</v>
      </c>
      <c r="CG157" s="965" t="str">
        <f t="shared" si="178"/>
        <v>-</v>
      </c>
      <c r="CH157" s="964" t="str">
        <f t="shared" si="185"/>
        <v>-</v>
      </c>
      <c r="CI157" s="964" t="str">
        <f t="shared" si="179"/>
        <v>-</v>
      </c>
      <c r="CJ157" s="964" t="str">
        <f t="shared" si="180"/>
        <v>-</v>
      </c>
      <c r="CK157" s="966" t="str">
        <f t="shared" si="181"/>
        <v>-</v>
      </c>
    </row>
    <row r="158" spans="4:89" ht="12.75" thickBot="1">
      <c r="E158" s="568" t="s">
        <v>882</v>
      </c>
      <c r="F158" s="560" t="str">
        <f>+F156</f>
        <v>Sewerage</v>
      </c>
      <c r="G158" s="561" t="str">
        <f>+G156</f>
        <v>YVW</v>
      </c>
      <c r="H158" s="561" t="str">
        <f>+H156</f>
        <v>Western Transfer</v>
      </c>
      <c r="I158" s="562" t="str">
        <f>+I156</f>
        <v>Variable</v>
      </c>
      <c r="J158" s="563" t="s">
        <v>883</v>
      </c>
      <c r="K158" s="564">
        <f t="shared" ref="K158:AJ158" si="216">K156*K157/10^6</f>
        <v>0</v>
      </c>
      <c r="L158" s="565">
        <f t="shared" si="216"/>
        <v>0</v>
      </c>
      <c r="M158" s="565">
        <f t="shared" si="216"/>
        <v>0</v>
      </c>
      <c r="N158" s="564">
        <f t="shared" si="216"/>
        <v>0</v>
      </c>
      <c r="O158" s="565">
        <f t="shared" si="216"/>
        <v>0</v>
      </c>
      <c r="P158" s="565">
        <f t="shared" si="216"/>
        <v>0</v>
      </c>
      <c r="Q158" s="565">
        <f t="shared" si="216"/>
        <v>0</v>
      </c>
      <c r="R158" s="566">
        <f t="shared" si="216"/>
        <v>0</v>
      </c>
      <c r="S158" s="564">
        <f t="shared" si="216"/>
        <v>0</v>
      </c>
      <c r="T158" s="565">
        <f t="shared" si="216"/>
        <v>0</v>
      </c>
      <c r="U158" s="566">
        <f t="shared" si="216"/>
        <v>0</v>
      </c>
      <c r="V158" s="564">
        <f t="shared" si="216"/>
        <v>0</v>
      </c>
      <c r="W158" s="565">
        <f t="shared" si="216"/>
        <v>0</v>
      </c>
      <c r="X158" s="565">
        <f t="shared" si="216"/>
        <v>0</v>
      </c>
      <c r="Y158" s="565">
        <f t="shared" si="216"/>
        <v>0</v>
      </c>
      <c r="Z158" s="566">
        <f t="shared" si="216"/>
        <v>0</v>
      </c>
      <c r="AA158" s="564">
        <f t="shared" si="216"/>
        <v>0</v>
      </c>
      <c r="AB158" s="565">
        <f t="shared" si="216"/>
        <v>0</v>
      </c>
      <c r="AC158" s="565">
        <f t="shared" si="216"/>
        <v>0</v>
      </c>
      <c r="AD158" s="565">
        <f t="shared" si="216"/>
        <v>0</v>
      </c>
      <c r="AE158" s="566">
        <f t="shared" si="216"/>
        <v>0</v>
      </c>
      <c r="AF158" s="564">
        <f t="shared" si="216"/>
        <v>0</v>
      </c>
      <c r="AG158" s="565">
        <f t="shared" si="216"/>
        <v>0</v>
      </c>
      <c r="AH158" s="565">
        <f t="shared" si="216"/>
        <v>0</v>
      </c>
      <c r="AI158" s="565">
        <f t="shared" si="216"/>
        <v>0</v>
      </c>
      <c r="AJ158" s="566">
        <f t="shared" si="216"/>
        <v>0</v>
      </c>
      <c r="AK158" s="569"/>
      <c r="AL158" s="569"/>
      <c r="AN158" s="857"/>
      <c r="AO158" s="984" t="str">
        <f t="shared" si="154"/>
        <v>Rev</v>
      </c>
      <c r="AP158" s="985" t="str">
        <f t="shared" si="155"/>
        <v>Sewerage</v>
      </c>
      <c r="AQ158" s="986" t="str">
        <f t="shared" si="156"/>
        <v>Variable</v>
      </c>
      <c r="AR158" s="990" t="str">
        <f t="shared" si="157"/>
        <v>-</v>
      </c>
      <c r="AS158" s="987" t="str">
        <f t="shared" si="158"/>
        <v>-</v>
      </c>
      <c r="AT158" s="987" t="str">
        <f t="shared" si="159"/>
        <v>-</v>
      </c>
      <c r="AU158" s="987" t="str">
        <f t="shared" si="160"/>
        <v>-</v>
      </c>
      <c r="AV158" s="1353" t="str">
        <f t="shared" si="161"/>
        <v>-</v>
      </c>
      <c r="AW158" s="1346" t="str">
        <f t="shared" si="162"/>
        <v>-</v>
      </c>
      <c r="AX158" s="987" t="str">
        <f t="shared" si="163"/>
        <v>-</v>
      </c>
      <c r="AY158" s="987" t="str">
        <f t="shared" si="164"/>
        <v>-</v>
      </c>
      <c r="AZ158" s="987" t="str">
        <f t="shared" si="165"/>
        <v>-</v>
      </c>
      <c r="BA158" s="988" t="str">
        <f t="shared" si="166"/>
        <v>-</v>
      </c>
      <c r="BB158" s="1346" t="str">
        <f t="shared" si="167"/>
        <v>-</v>
      </c>
      <c r="BC158" s="987" t="str">
        <f t="shared" si="168"/>
        <v>-</v>
      </c>
      <c r="BD158" s="987" t="str">
        <f t="shared" si="169"/>
        <v>-</v>
      </c>
      <c r="BE158" s="987" t="str">
        <f t="shared" si="170"/>
        <v>-</v>
      </c>
      <c r="BF158" s="989" t="str">
        <f t="shared" si="171"/>
        <v>-</v>
      </c>
      <c r="BG158" s="951"/>
      <c r="BH158" s="1550" t="str">
        <f t="shared" si="172"/>
        <v>Rev</v>
      </c>
      <c r="BI158" s="1551" t="str">
        <f t="shared" si="173"/>
        <v>Sewerage</v>
      </c>
      <c r="BJ158" s="1552" t="str">
        <f t="shared" si="174"/>
        <v>Variable</v>
      </c>
      <c r="BK158" s="987" t="str">
        <f t="shared" ref="BK158:BU158" si="217">IF(V158="","-",IFERROR((V158/U158-1)*(U158/U$13),"-"))</f>
        <v>-</v>
      </c>
      <c r="BL158" s="987" t="str">
        <f t="shared" si="217"/>
        <v>-</v>
      </c>
      <c r="BM158" s="987" t="str">
        <f t="shared" si="217"/>
        <v>-</v>
      </c>
      <c r="BN158" s="987" t="str">
        <f t="shared" si="217"/>
        <v>-</v>
      </c>
      <c r="BO158" s="1353" t="str">
        <f t="shared" si="217"/>
        <v>-</v>
      </c>
      <c r="BP158" s="1346" t="str">
        <f t="shared" si="217"/>
        <v>-</v>
      </c>
      <c r="BQ158" s="987" t="str">
        <f t="shared" si="217"/>
        <v>-</v>
      </c>
      <c r="BR158" s="987" t="str">
        <f t="shared" si="217"/>
        <v>-</v>
      </c>
      <c r="BS158" s="987" t="str">
        <f t="shared" si="217"/>
        <v>-</v>
      </c>
      <c r="BT158" s="988" t="str">
        <f t="shared" si="217"/>
        <v>-</v>
      </c>
      <c r="BU158" s="987" t="str">
        <f t="shared" si="217"/>
        <v>-</v>
      </c>
      <c r="BV158" s="987" t="str">
        <f>IF(AG158="","-",IFERROR((AG158/AF158-1)*(AF158/AF$13),"-"))</f>
        <v>-</v>
      </c>
      <c r="BW158" s="987" t="str">
        <f>IF(AH158="","-",IFERROR((AH158/AG158-1)*(AG158/AG$13),"-"))</f>
        <v>-</v>
      </c>
      <c r="BX158" s="987" t="str">
        <f>IF(AI158="","-",IFERROR((AI158/AH158-1)*(AH158/AH$13),"-"))</f>
        <v>-</v>
      </c>
      <c r="BY158" s="989" t="str">
        <f>IF(AJ158="","-",IFERROR((AJ158/AI158-1)*(AI158/AI$13),"-"))</f>
        <v>-</v>
      </c>
      <c r="BZ158" s="951"/>
      <c r="CA158" s="984" t="str">
        <f t="shared" si="151"/>
        <v>Rev</v>
      </c>
      <c r="CB158" s="985" t="str">
        <f t="shared" si="152"/>
        <v>Sewerage</v>
      </c>
      <c r="CC158" s="985" t="str">
        <f t="shared" si="153"/>
        <v>Variable</v>
      </c>
      <c r="CD158" s="990" t="str">
        <f t="shared" si="184"/>
        <v>-</v>
      </c>
      <c r="CE158" s="987" t="str">
        <f t="shared" si="176"/>
        <v>-</v>
      </c>
      <c r="CF158" s="987" t="str">
        <f t="shared" si="177"/>
        <v>-</v>
      </c>
      <c r="CG158" s="988" t="str">
        <f t="shared" si="178"/>
        <v>-</v>
      </c>
      <c r="CH158" s="987" t="str">
        <f t="shared" si="185"/>
        <v>-</v>
      </c>
      <c r="CI158" s="987" t="str">
        <f t="shared" si="179"/>
        <v>-</v>
      </c>
      <c r="CJ158" s="987" t="str">
        <f t="shared" si="180"/>
        <v>-</v>
      </c>
      <c r="CK158" s="989" t="str">
        <f t="shared" si="181"/>
        <v>-</v>
      </c>
    </row>
    <row r="159" spans="4:89">
      <c r="D159" s="63">
        <f>D156+1</f>
        <v>31</v>
      </c>
      <c r="E159" s="550" t="s">
        <v>857</v>
      </c>
      <c r="F159" s="595" t="s">
        <v>402</v>
      </c>
      <c r="G159" s="595" t="s">
        <v>92</v>
      </c>
      <c r="H159" s="595" t="s">
        <v>894</v>
      </c>
      <c r="I159" s="589" t="s">
        <v>843</v>
      </c>
      <c r="J159" s="589" t="s">
        <v>879</v>
      </c>
      <c r="K159" s="551"/>
      <c r="L159" s="552"/>
      <c r="M159" s="552"/>
      <c r="N159" s="551"/>
      <c r="O159" s="552"/>
      <c r="P159" s="552"/>
      <c r="Q159" s="552"/>
      <c r="R159" s="1035"/>
      <c r="S159" s="1138"/>
      <c r="T159" s="591"/>
      <c r="U159" s="1035"/>
      <c r="V159" s="1138"/>
      <c r="W159" s="591"/>
      <c r="X159" s="591"/>
      <c r="Y159" s="591"/>
      <c r="Z159" s="1035"/>
      <c r="AA159" s="1138"/>
      <c r="AB159" s="591"/>
      <c r="AC159" s="591"/>
      <c r="AD159" s="591"/>
      <c r="AE159" s="1035"/>
      <c r="AF159" s="1138"/>
      <c r="AG159" s="591"/>
      <c r="AH159" s="591"/>
      <c r="AI159" s="591"/>
      <c r="AJ159" s="1035"/>
      <c r="AK159" s="569"/>
      <c r="AL159" s="569"/>
      <c r="AM159" s="974"/>
      <c r="AN159" s="857"/>
      <c r="AO159" s="975" t="str">
        <f t="shared" si="154"/>
        <v>Price</v>
      </c>
      <c r="AP159" s="976" t="str">
        <f t="shared" si="155"/>
        <v>Sewerage</v>
      </c>
      <c r="AQ159" s="977" t="str">
        <f t="shared" si="156"/>
        <v>Variable</v>
      </c>
      <c r="AR159" s="1341" t="str">
        <f t="shared" si="157"/>
        <v>-</v>
      </c>
      <c r="AS159" s="978" t="str">
        <f t="shared" si="158"/>
        <v>-</v>
      </c>
      <c r="AT159" s="979" t="str">
        <f t="shared" si="159"/>
        <v>-</v>
      </c>
      <c r="AU159" s="979" t="str">
        <f t="shared" si="160"/>
        <v>-</v>
      </c>
      <c r="AV159" s="1352" t="str">
        <f t="shared" si="161"/>
        <v>-</v>
      </c>
      <c r="AW159" s="1345" t="str">
        <f t="shared" si="162"/>
        <v>-</v>
      </c>
      <c r="AX159" s="979" t="str">
        <f t="shared" si="163"/>
        <v>-</v>
      </c>
      <c r="AY159" s="979" t="str">
        <f t="shared" si="164"/>
        <v>-</v>
      </c>
      <c r="AZ159" s="979" t="str">
        <f t="shared" si="165"/>
        <v>-</v>
      </c>
      <c r="BA159" s="980" t="str">
        <f t="shared" si="166"/>
        <v>-</v>
      </c>
      <c r="BB159" s="1345" t="str">
        <f t="shared" si="167"/>
        <v>-</v>
      </c>
      <c r="BC159" s="979" t="str">
        <f t="shared" si="168"/>
        <v>-</v>
      </c>
      <c r="BD159" s="979" t="str">
        <f t="shared" si="169"/>
        <v>-</v>
      </c>
      <c r="BE159" s="979" t="str">
        <f t="shared" si="170"/>
        <v>-</v>
      </c>
      <c r="BF159" s="981" t="str">
        <f t="shared" si="171"/>
        <v>-</v>
      </c>
      <c r="BG159" s="951"/>
      <c r="BH159" s="1547" t="str">
        <f t="shared" si="172"/>
        <v>Price</v>
      </c>
      <c r="BI159" s="1548" t="str">
        <f t="shared" si="173"/>
        <v>Sewerage</v>
      </c>
      <c r="BJ159" s="1549" t="str">
        <f t="shared" si="174"/>
        <v>Variable</v>
      </c>
      <c r="BK159" s="978" t="str">
        <f t="shared" ref="BK159:BU159" si="218">IF(V159="","-",IFERROR((V159/U159-1)*(U161/U$13),"-"))</f>
        <v>-</v>
      </c>
      <c r="BL159" s="978" t="str">
        <f t="shared" si="218"/>
        <v>-</v>
      </c>
      <c r="BM159" s="979" t="str">
        <f t="shared" si="218"/>
        <v>-</v>
      </c>
      <c r="BN159" s="979" t="str">
        <f t="shared" si="218"/>
        <v>-</v>
      </c>
      <c r="BO159" s="1352" t="str">
        <f t="shared" si="218"/>
        <v>-</v>
      </c>
      <c r="BP159" s="1345" t="str">
        <f t="shared" si="218"/>
        <v>-</v>
      </c>
      <c r="BQ159" s="979" t="str">
        <f t="shared" si="218"/>
        <v>-</v>
      </c>
      <c r="BR159" s="979" t="str">
        <f t="shared" si="218"/>
        <v>-</v>
      </c>
      <c r="BS159" s="979" t="str">
        <f t="shared" si="218"/>
        <v>-</v>
      </c>
      <c r="BT159" s="980" t="str">
        <f t="shared" si="218"/>
        <v>-</v>
      </c>
      <c r="BU159" s="979" t="str">
        <f t="shared" si="218"/>
        <v>-</v>
      </c>
      <c r="BV159" s="979" t="str">
        <f>IF(AG159="","-",IFERROR((AG159/AF159-1)*(AF161/AF$13),"-"))</f>
        <v>-</v>
      </c>
      <c r="BW159" s="979" t="str">
        <f>IF(AH159="","-",IFERROR((AH159/AG159-1)*(AG161/AG$13),"-"))</f>
        <v>-</v>
      </c>
      <c r="BX159" s="979" t="str">
        <f>IF(AI159="","-",IFERROR((AI159/AH159-1)*(AH161/AH$13),"-"))</f>
        <v>-</v>
      </c>
      <c r="BY159" s="981" t="str">
        <f>IF(AJ159="","-",IFERROR((AJ159/AI159-1)*(AI161/AI$13),"-"))</f>
        <v>-</v>
      </c>
      <c r="BZ159" s="951"/>
      <c r="CA159" s="975" t="str">
        <f t="shared" si="151"/>
        <v>Price</v>
      </c>
      <c r="CB159" s="976" t="str">
        <f t="shared" si="152"/>
        <v>Sewerage</v>
      </c>
      <c r="CC159" s="982" t="str">
        <f t="shared" si="153"/>
        <v>Variable</v>
      </c>
      <c r="CD159" s="983" t="str">
        <f t="shared" si="184"/>
        <v>-</v>
      </c>
      <c r="CE159" s="979" t="str">
        <f t="shared" si="176"/>
        <v>-</v>
      </c>
      <c r="CF159" s="979" t="str">
        <f t="shared" si="177"/>
        <v>-</v>
      </c>
      <c r="CG159" s="980" t="str">
        <f t="shared" si="178"/>
        <v>-</v>
      </c>
      <c r="CH159" s="979" t="str">
        <f t="shared" si="185"/>
        <v>-</v>
      </c>
      <c r="CI159" s="979" t="str">
        <f t="shared" si="179"/>
        <v>-</v>
      </c>
      <c r="CJ159" s="979" t="str">
        <f t="shared" si="180"/>
        <v>-</v>
      </c>
      <c r="CK159" s="981" t="str">
        <f t="shared" si="181"/>
        <v>-</v>
      </c>
    </row>
    <row r="160" spans="4:89">
      <c r="E160" s="567" t="s">
        <v>880</v>
      </c>
      <c r="F160" s="554" t="str">
        <f>+F159</f>
        <v>Sewerage</v>
      </c>
      <c r="G160" s="555" t="str">
        <f>+G159</f>
        <v>SEW</v>
      </c>
      <c r="H160" s="555" t="str">
        <f>+H159</f>
        <v>Eastern Transfer</v>
      </c>
      <c r="I160" s="556" t="str">
        <f>+I159</f>
        <v>Variable</v>
      </c>
      <c r="J160" s="590" t="s">
        <v>887</v>
      </c>
      <c r="K160" s="557"/>
      <c r="L160" s="558"/>
      <c r="M160" s="558"/>
      <c r="N160" s="557"/>
      <c r="O160" s="558"/>
      <c r="P160" s="558"/>
      <c r="Q160" s="558"/>
      <c r="R160" s="1036"/>
      <c r="S160" s="1139"/>
      <c r="T160" s="593"/>
      <c r="U160" s="1036"/>
      <c r="V160" s="1139"/>
      <c r="W160" s="593"/>
      <c r="X160" s="593"/>
      <c r="Y160" s="593"/>
      <c r="Z160" s="1036"/>
      <c r="AA160" s="1139"/>
      <c r="AB160" s="593"/>
      <c r="AC160" s="593"/>
      <c r="AD160" s="593"/>
      <c r="AE160" s="1036"/>
      <c r="AF160" s="1139"/>
      <c r="AG160" s="593"/>
      <c r="AH160" s="593"/>
      <c r="AI160" s="593"/>
      <c r="AJ160" s="1036"/>
      <c r="AK160" s="569"/>
      <c r="AL160" s="569"/>
      <c r="AN160" s="857"/>
      <c r="AO160" s="961" t="str">
        <f t="shared" si="154"/>
        <v>Qty</v>
      </c>
      <c r="AP160" s="962" t="str">
        <f t="shared" si="155"/>
        <v>Sewerage</v>
      </c>
      <c r="AQ160" s="963" t="str">
        <f t="shared" si="156"/>
        <v>Variable</v>
      </c>
      <c r="AR160" s="967" t="str">
        <f t="shared" si="157"/>
        <v>-</v>
      </c>
      <c r="AS160" s="964" t="str">
        <f t="shared" si="158"/>
        <v>-</v>
      </c>
      <c r="AT160" s="964" t="str">
        <f t="shared" si="159"/>
        <v>-</v>
      </c>
      <c r="AU160" s="964" t="str">
        <f t="shared" si="160"/>
        <v>-</v>
      </c>
      <c r="AV160" s="1350" t="str">
        <f t="shared" si="161"/>
        <v>-</v>
      </c>
      <c r="AW160" s="1343" t="str">
        <f t="shared" si="162"/>
        <v>-</v>
      </c>
      <c r="AX160" s="964" t="str">
        <f t="shared" si="163"/>
        <v>-</v>
      </c>
      <c r="AY160" s="964" t="str">
        <f t="shared" si="164"/>
        <v>-</v>
      </c>
      <c r="AZ160" s="964" t="str">
        <f t="shared" si="165"/>
        <v>-</v>
      </c>
      <c r="BA160" s="965" t="str">
        <f t="shared" si="166"/>
        <v>-</v>
      </c>
      <c r="BB160" s="1343" t="str">
        <f t="shared" si="167"/>
        <v>-</v>
      </c>
      <c r="BC160" s="964" t="str">
        <f t="shared" si="168"/>
        <v>-</v>
      </c>
      <c r="BD160" s="964" t="str">
        <f t="shared" si="169"/>
        <v>-</v>
      </c>
      <c r="BE160" s="964" t="str">
        <f t="shared" si="170"/>
        <v>-</v>
      </c>
      <c r="BF160" s="966" t="str">
        <f t="shared" si="171"/>
        <v>-</v>
      </c>
      <c r="BG160" s="951"/>
      <c r="BH160" s="1541" t="str">
        <f t="shared" si="172"/>
        <v>Qty</v>
      </c>
      <c r="BI160" s="1542" t="str">
        <f t="shared" si="173"/>
        <v>Sewerage</v>
      </c>
      <c r="BJ160" s="1543" t="str">
        <f t="shared" si="174"/>
        <v>Variable</v>
      </c>
      <c r="BK160" s="964" t="str">
        <f t="shared" ref="BK160:BU160" si="219">IF(V160="","-",IFERROR((V160/U160-1)*(U161/U$13),"-"))</f>
        <v>-</v>
      </c>
      <c r="BL160" s="964" t="str">
        <f t="shared" si="219"/>
        <v>-</v>
      </c>
      <c r="BM160" s="964" t="str">
        <f t="shared" si="219"/>
        <v>-</v>
      </c>
      <c r="BN160" s="964" t="str">
        <f t="shared" si="219"/>
        <v>-</v>
      </c>
      <c r="BO160" s="1350" t="str">
        <f t="shared" si="219"/>
        <v>-</v>
      </c>
      <c r="BP160" s="1343" t="str">
        <f t="shared" si="219"/>
        <v>-</v>
      </c>
      <c r="BQ160" s="964" t="str">
        <f t="shared" si="219"/>
        <v>-</v>
      </c>
      <c r="BR160" s="964" t="str">
        <f t="shared" si="219"/>
        <v>-</v>
      </c>
      <c r="BS160" s="964" t="str">
        <f t="shared" si="219"/>
        <v>-</v>
      </c>
      <c r="BT160" s="965" t="str">
        <f t="shared" si="219"/>
        <v>-</v>
      </c>
      <c r="BU160" s="964" t="str">
        <f t="shared" si="219"/>
        <v>-</v>
      </c>
      <c r="BV160" s="964" t="str">
        <f>IF(AG160="","-",IFERROR((AG160/AF160-1)*(AF161/AF$13),"-"))</f>
        <v>-</v>
      </c>
      <c r="BW160" s="964" t="str">
        <f>IF(AH160="","-",IFERROR((AH160/AG160-1)*(AG161/AG$13),"-"))</f>
        <v>-</v>
      </c>
      <c r="BX160" s="964" t="str">
        <f>IF(AI160="","-",IFERROR((AI160/AH160-1)*(AH161/AH$13),"-"))</f>
        <v>-</v>
      </c>
      <c r="BY160" s="966" t="str">
        <f>IF(AJ160="","-",IFERROR((AJ160/AI160-1)*(AI161/AI$13),"-"))</f>
        <v>-</v>
      </c>
      <c r="BZ160" s="951"/>
      <c r="CA160" s="961" t="str">
        <f t="shared" si="151"/>
        <v>Qty</v>
      </c>
      <c r="CB160" s="962" t="str">
        <f t="shared" si="152"/>
        <v>Sewerage</v>
      </c>
      <c r="CC160" s="962" t="str">
        <f t="shared" si="153"/>
        <v>Variable</v>
      </c>
      <c r="CD160" s="967" t="str">
        <f t="shared" si="184"/>
        <v>-</v>
      </c>
      <c r="CE160" s="964" t="str">
        <f t="shared" si="176"/>
        <v>-</v>
      </c>
      <c r="CF160" s="964" t="str">
        <f t="shared" si="177"/>
        <v>-</v>
      </c>
      <c r="CG160" s="965" t="str">
        <f t="shared" si="178"/>
        <v>-</v>
      </c>
      <c r="CH160" s="964" t="str">
        <f t="shared" si="185"/>
        <v>-</v>
      </c>
      <c r="CI160" s="964" t="str">
        <f t="shared" si="179"/>
        <v>-</v>
      </c>
      <c r="CJ160" s="964" t="str">
        <f t="shared" si="180"/>
        <v>-</v>
      </c>
      <c r="CK160" s="966" t="str">
        <f t="shared" si="181"/>
        <v>-</v>
      </c>
    </row>
    <row r="161" spans="4:89" ht="12.75" thickBot="1">
      <c r="E161" s="568" t="s">
        <v>882</v>
      </c>
      <c r="F161" s="560" t="str">
        <f>+F159</f>
        <v>Sewerage</v>
      </c>
      <c r="G161" s="561" t="str">
        <f>+G159</f>
        <v>SEW</v>
      </c>
      <c r="H161" s="561" t="str">
        <f>+H159</f>
        <v>Eastern Transfer</v>
      </c>
      <c r="I161" s="562" t="str">
        <f>+I159</f>
        <v>Variable</v>
      </c>
      <c r="J161" s="563" t="s">
        <v>883</v>
      </c>
      <c r="K161" s="564">
        <f t="shared" ref="K161:AJ161" si="220">K159*K160/10^6</f>
        <v>0</v>
      </c>
      <c r="L161" s="565">
        <f t="shared" si="220"/>
        <v>0</v>
      </c>
      <c r="M161" s="565">
        <f t="shared" si="220"/>
        <v>0</v>
      </c>
      <c r="N161" s="564">
        <f t="shared" si="220"/>
        <v>0</v>
      </c>
      <c r="O161" s="565">
        <f t="shared" si="220"/>
        <v>0</v>
      </c>
      <c r="P161" s="565">
        <f t="shared" si="220"/>
        <v>0</v>
      </c>
      <c r="Q161" s="565">
        <f t="shared" si="220"/>
        <v>0</v>
      </c>
      <c r="R161" s="566">
        <f t="shared" si="220"/>
        <v>0</v>
      </c>
      <c r="S161" s="564">
        <f t="shared" si="220"/>
        <v>0</v>
      </c>
      <c r="T161" s="565">
        <f t="shared" si="220"/>
        <v>0</v>
      </c>
      <c r="U161" s="566">
        <f t="shared" si="220"/>
        <v>0</v>
      </c>
      <c r="V161" s="564">
        <f t="shared" si="220"/>
        <v>0</v>
      </c>
      <c r="W161" s="565">
        <f t="shared" si="220"/>
        <v>0</v>
      </c>
      <c r="X161" s="565">
        <f t="shared" si="220"/>
        <v>0</v>
      </c>
      <c r="Y161" s="565">
        <f t="shared" si="220"/>
        <v>0</v>
      </c>
      <c r="Z161" s="566">
        <f t="shared" si="220"/>
        <v>0</v>
      </c>
      <c r="AA161" s="564">
        <f t="shared" si="220"/>
        <v>0</v>
      </c>
      <c r="AB161" s="565">
        <f t="shared" si="220"/>
        <v>0</v>
      </c>
      <c r="AC161" s="565">
        <f t="shared" si="220"/>
        <v>0</v>
      </c>
      <c r="AD161" s="565">
        <f t="shared" si="220"/>
        <v>0</v>
      </c>
      <c r="AE161" s="566">
        <f t="shared" si="220"/>
        <v>0</v>
      </c>
      <c r="AF161" s="564">
        <f t="shared" si="220"/>
        <v>0</v>
      </c>
      <c r="AG161" s="565">
        <f t="shared" si="220"/>
        <v>0</v>
      </c>
      <c r="AH161" s="565">
        <f t="shared" si="220"/>
        <v>0</v>
      </c>
      <c r="AI161" s="565">
        <f t="shared" si="220"/>
        <v>0</v>
      </c>
      <c r="AJ161" s="566">
        <f t="shared" si="220"/>
        <v>0</v>
      </c>
      <c r="AK161" s="569"/>
      <c r="AL161" s="569"/>
      <c r="AN161" s="857"/>
      <c r="AO161" s="984" t="str">
        <f t="shared" si="154"/>
        <v>Rev</v>
      </c>
      <c r="AP161" s="985" t="str">
        <f t="shared" si="155"/>
        <v>Sewerage</v>
      </c>
      <c r="AQ161" s="986" t="str">
        <f t="shared" si="156"/>
        <v>Variable</v>
      </c>
      <c r="AR161" s="990" t="str">
        <f t="shared" si="157"/>
        <v>-</v>
      </c>
      <c r="AS161" s="987" t="str">
        <f t="shared" si="158"/>
        <v>-</v>
      </c>
      <c r="AT161" s="987" t="str">
        <f t="shared" si="159"/>
        <v>-</v>
      </c>
      <c r="AU161" s="987" t="str">
        <f t="shared" si="160"/>
        <v>-</v>
      </c>
      <c r="AV161" s="1353" t="str">
        <f t="shared" si="161"/>
        <v>-</v>
      </c>
      <c r="AW161" s="1346" t="str">
        <f t="shared" si="162"/>
        <v>-</v>
      </c>
      <c r="AX161" s="987" t="str">
        <f t="shared" si="163"/>
        <v>-</v>
      </c>
      <c r="AY161" s="987" t="str">
        <f t="shared" si="164"/>
        <v>-</v>
      </c>
      <c r="AZ161" s="987" t="str">
        <f t="shared" si="165"/>
        <v>-</v>
      </c>
      <c r="BA161" s="988" t="str">
        <f t="shared" si="166"/>
        <v>-</v>
      </c>
      <c r="BB161" s="1346" t="str">
        <f t="shared" si="167"/>
        <v>-</v>
      </c>
      <c r="BC161" s="987" t="str">
        <f t="shared" si="168"/>
        <v>-</v>
      </c>
      <c r="BD161" s="987" t="str">
        <f t="shared" si="169"/>
        <v>-</v>
      </c>
      <c r="BE161" s="987" t="str">
        <f t="shared" si="170"/>
        <v>-</v>
      </c>
      <c r="BF161" s="989" t="str">
        <f t="shared" si="171"/>
        <v>-</v>
      </c>
      <c r="BG161" s="951"/>
      <c r="BH161" s="1550" t="str">
        <f t="shared" si="172"/>
        <v>Rev</v>
      </c>
      <c r="BI161" s="1551" t="str">
        <f t="shared" si="173"/>
        <v>Sewerage</v>
      </c>
      <c r="BJ161" s="1552" t="str">
        <f t="shared" si="174"/>
        <v>Variable</v>
      </c>
      <c r="BK161" s="987" t="str">
        <f t="shared" ref="BK161:BU161" si="221">IF(V161="","-",IFERROR((V161/U161-1)*(U161/U$13),"-"))</f>
        <v>-</v>
      </c>
      <c r="BL161" s="987" t="str">
        <f t="shared" si="221"/>
        <v>-</v>
      </c>
      <c r="BM161" s="987" t="str">
        <f t="shared" si="221"/>
        <v>-</v>
      </c>
      <c r="BN161" s="987" t="str">
        <f t="shared" si="221"/>
        <v>-</v>
      </c>
      <c r="BO161" s="1353" t="str">
        <f t="shared" si="221"/>
        <v>-</v>
      </c>
      <c r="BP161" s="1346" t="str">
        <f t="shared" si="221"/>
        <v>-</v>
      </c>
      <c r="BQ161" s="987" t="str">
        <f t="shared" si="221"/>
        <v>-</v>
      </c>
      <c r="BR161" s="987" t="str">
        <f t="shared" si="221"/>
        <v>-</v>
      </c>
      <c r="BS161" s="987" t="str">
        <f t="shared" si="221"/>
        <v>-</v>
      </c>
      <c r="BT161" s="988" t="str">
        <f t="shared" si="221"/>
        <v>-</v>
      </c>
      <c r="BU161" s="987" t="str">
        <f t="shared" si="221"/>
        <v>-</v>
      </c>
      <c r="BV161" s="987" t="str">
        <f>IF(AG161="","-",IFERROR((AG161/AF161-1)*(AF161/AF$13),"-"))</f>
        <v>-</v>
      </c>
      <c r="BW161" s="987" t="str">
        <f>IF(AH161="","-",IFERROR((AH161/AG161-1)*(AG161/AG$13),"-"))</f>
        <v>-</v>
      </c>
      <c r="BX161" s="987" t="str">
        <f>IF(AI161="","-",IFERROR((AI161/AH161-1)*(AH161/AH$13),"-"))</f>
        <v>-</v>
      </c>
      <c r="BY161" s="989" t="str">
        <f>IF(AJ161="","-",IFERROR((AJ161/AI161-1)*(AI161/AI$13),"-"))</f>
        <v>-</v>
      </c>
      <c r="BZ161" s="951"/>
      <c r="CA161" s="984" t="str">
        <f t="shared" si="151"/>
        <v>Rev</v>
      </c>
      <c r="CB161" s="985" t="str">
        <f t="shared" si="152"/>
        <v>Sewerage</v>
      </c>
      <c r="CC161" s="985" t="str">
        <f t="shared" si="153"/>
        <v>Variable</v>
      </c>
      <c r="CD161" s="990" t="str">
        <f t="shared" si="184"/>
        <v>-</v>
      </c>
      <c r="CE161" s="987" t="str">
        <f t="shared" si="176"/>
        <v>-</v>
      </c>
      <c r="CF161" s="987" t="str">
        <f t="shared" si="177"/>
        <v>-</v>
      </c>
      <c r="CG161" s="988" t="str">
        <f t="shared" si="178"/>
        <v>-</v>
      </c>
      <c r="CH161" s="987" t="str">
        <f t="shared" si="185"/>
        <v>-</v>
      </c>
      <c r="CI161" s="987" t="str">
        <f t="shared" si="179"/>
        <v>-</v>
      </c>
      <c r="CJ161" s="987" t="str">
        <f t="shared" si="180"/>
        <v>-</v>
      </c>
      <c r="CK161" s="989" t="str">
        <f t="shared" si="181"/>
        <v>-</v>
      </c>
    </row>
    <row r="162" spans="4:89">
      <c r="D162" s="63">
        <f>D159+1</f>
        <v>32</v>
      </c>
      <c r="E162" s="550" t="s">
        <v>857</v>
      </c>
      <c r="F162" s="595" t="s">
        <v>402</v>
      </c>
      <c r="G162" s="595" t="s">
        <v>103</v>
      </c>
      <c r="H162" s="595" t="s">
        <v>894</v>
      </c>
      <c r="I162" s="589" t="s">
        <v>843</v>
      </c>
      <c r="J162" s="589" t="s">
        <v>879</v>
      </c>
      <c r="K162" s="551"/>
      <c r="L162" s="552"/>
      <c r="M162" s="552"/>
      <c r="N162" s="551"/>
      <c r="O162" s="552"/>
      <c r="P162" s="552"/>
      <c r="Q162" s="552"/>
      <c r="R162" s="1035"/>
      <c r="S162" s="1138"/>
      <c r="T162" s="591"/>
      <c r="U162" s="1035"/>
      <c r="V162" s="1138"/>
      <c r="W162" s="591"/>
      <c r="X162" s="591"/>
      <c r="Y162" s="591"/>
      <c r="Z162" s="1035"/>
      <c r="AA162" s="1138"/>
      <c r="AB162" s="591"/>
      <c r="AC162" s="591"/>
      <c r="AD162" s="591"/>
      <c r="AE162" s="1035"/>
      <c r="AF162" s="1138"/>
      <c r="AG162" s="591"/>
      <c r="AH162" s="591"/>
      <c r="AI162" s="591"/>
      <c r="AJ162" s="1035"/>
      <c r="AK162" s="569"/>
      <c r="AL162" s="569"/>
      <c r="AM162" s="974"/>
      <c r="AN162" s="857"/>
      <c r="AO162" s="975" t="str">
        <f t="shared" si="154"/>
        <v>Price</v>
      </c>
      <c r="AP162" s="976" t="str">
        <f t="shared" si="155"/>
        <v>Sewerage</v>
      </c>
      <c r="AQ162" s="977" t="str">
        <f t="shared" si="156"/>
        <v>Variable</v>
      </c>
      <c r="AR162" s="1341" t="str">
        <f t="shared" si="157"/>
        <v>-</v>
      </c>
      <c r="AS162" s="978" t="str">
        <f t="shared" si="158"/>
        <v>-</v>
      </c>
      <c r="AT162" s="979" t="str">
        <f t="shared" si="159"/>
        <v>-</v>
      </c>
      <c r="AU162" s="979" t="str">
        <f t="shared" si="160"/>
        <v>-</v>
      </c>
      <c r="AV162" s="1352" t="str">
        <f t="shared" si="161"/>
        <v>-</v>
      </c>
      <c r="AW162" s="1345" t="str">
        <f t="shared" si="162"/>
        <v>-</v>
      </c>
      <c r="AX162" s="979" t="str">
        <f t="shared" si="163"/>
        <v>-</v>
      </c>
      <c r="AY162" s="979" t="str">
        <f t="shared" si="164"/>
        <v>-</v>
      </c>
      <c r="AZ162" s="979" t="str">
        <f t="shared" si="165"/>
        <v>-</v>
      </c>
      <c r="BA162" s="980" t="str">
        <f t="shared" si="166"/>
        <v>-</v>
      </c>
      <c r="BB162" s="1345" t="str">
        <f t="shared" si="167"/>
        <v>-</v>
      </c>
      <c r="BC162" s="979" t="str">
        <f t="shared" si="168"/>
        <v>-</v>
      </c>
      <c r="BD162" s="979" t="str">
        <f t="shared" si="169"/>
        <v>-</v>
      </c>
      <c r="BE162" s="979" t="str">
        <f t="shared" si="170"/>
        <v>-</v>
      </c>
      <c r="BF162" s="981" t="str">
        <f t="shared" si="171"/>
        <v>-</v>
      </c>
      <c r="BG162" s="951"/>
      <c r="BH162" s="1547" t="str">
        <f t="shared" si="172"/>
        <v>Price</v>
      </c>
      <c r="BI162" s="1548" t="str">
        <f t="shared" si="173"/>
        <v>Sewerage</v>
      </c>
      <c r="BJ162" s="1549" t="str">
        <f t="shared" si="174"/>
        <v>Variable</v>
      </c>
      <c r="BK162" s="978" t="str">
        <f t="shared" ref="BK162:BU162" si="222">IF(V162="","-",IFERROR((V162/U162-1)*(U164/U$13),"-"))</f>
        <v>-</v>
      </c>
      <c r="BL162" s="978" t="str">
        <f t="shared" si="222"/>
        <v>-</v>
      </c>
      <c r="BM162" s="979" t="str">
        <f t="shared" si="222"/>
        <v>-</v>
      </c>
      <c r="BN162" s="979" t="str">
        <f t="shared" si="222"/>
        <v>-</v>
      </c>
      <c r="BO162" s="1352" t="str">
        <f t="shared" si="222"/>
        <v>-</v>
      </c>
      <c r="BP162" s="1345" t="str">
        <f t="shared" si="222"/>
        <v>-</v>
      </c>
      <c r="BQ162" s="979" t="str">
        <f t="shared" si="222"/>
        <v>-</v>
      </c>
      <c r="BR162" s="979" t="str">
        <f t="shared" si="222"/>
        <v>-</v>
      </c>
      <c r="BS162" s="979" t="str">
        <f t="shared" si="222"/>
        <v>-</v>
      </c>
      <c r="BT162" s="980" t="str">
        <f t="shared" si="222"/>
        <v>-</v>
      </c>
      <c r="BU162" s="979" t="str">
        <f t="shared" si="222"/>
        <v>-</v>
      </c>
      <c r="BV162" s="979" t="str">
        <f>IF(AG162="","-",IFERROR((AG162/AF162-1)*(AF164/AF$13),"-"))</f>
        <v>-</v>
      </c>
      <c r="BW162" s="979" t="str">
        <f>IF(AH162="","-",IFERROR((AH162/AG162-1)*(AG164/AG$13),"-"))</f>
        <v>-</v>
      </c>
      <c r="BX162" s="979" t="str">
        <f>IF(AI162="","-",IFERROR((AI162/AH162-1)*(AH164/AH$13),"-"))</f>
        <v>-</v>
      </c>
      <c r="BY162" s="981" t="str">
        <f>IF(AJ162="","-",IFERROR((AJ162/AI162-1)*(AI164/AI$13),"-"))</f>
        <v>-</v>
      </c>
      <c r="BZ162" s="951"/>
      <c r="CA162" s="975" t="str">
        <f t="shared" si="151"/>
        <v>Price</v>
      </c>
      <c r="CB162" s="976" t="str">
        <f t="shared" si="152"/>
        <v>Sewerage</v>
      </c>
      <c r="CC162" s="982" t="str">
        <f t="shared" si="153"/>
        <v>Variable</v>
      </c>
      <c r="CD162" s="983" t="str">
        <f t="shared" si="184"/>
        <v>-</v>
      </c>
      <c r="CE162" s="979" t="str">
        <f t="shared" si="176"/>
        <v>-</v>
      </c>
      <c r="CF162" s="979" t="str">
        <f t="shared" si="177"/>
        <v>-</v>
      </c>
      <c r="CG162" s="980" t="str">
        <f t="shared" si="178"/>
        <v>-</v>
      </c>
      <c r="CH162" s="979" t="str">
        <f t="shared" si="185"/>
        <v>-</v>
      </c>
      <c r="CI162" s="979" t="str">
        <f t="shared" si="179"/>
        <v>-</v>
      </c>
      <c r="CJ162" s="979" t="str">
        <f t="shared" si="180"/>
        <v>-</v>
      </c>
      <c r="CK162" s="981" t="str">
        <f t="shared" si="181"/>
        <v>-</v>
      </c>
    </row>
    <row r="163" spans="4:89">
      <c r="E163" s="567" t="s">
        <v>880</v>
      </c>
      <c r="F163" s="554" t="str">
        <f>+F162</f>
        <v>Sewerage</v>
      </c>
      <c r="G163" s="555" t="str">
        <f>+G162</f>
        <v>YVW</v>
      </c>
      <c r="H163" s="555" t="str">
        <f>+H162</f>
        <v>Eastern Transfer</v>
      </c>
      <c r="I163" s="556" t="str">
        <f>+I162</f>
        <v>Variable</v>
      </c>
      <c r="J163" s="590" t="s">
        <v>887</v>
      </c>
      <c r="K163" s="557"/>
      <c r="L163" s="558"/>
      <c r="M163" s="558"/>
      <c r="N163" s="557"/>
      <c r="O163" s="558"/>
      <c r="P163" s="558"/>
      <c r="Q163" s="558"/>
      <c r="R163" s="1036"/>
      <c r="S163" s="1139"/>
      <c r="T163" s="593"/>
      <c r="U163" s="1036"/>
      <c r="V163" s="1139"/>
      <c r="W163" s="593"/>
      <c r="X163" s="593"/>
      <c r="Y163" s="593"/>
      <c r="Z163" s="1036"/>
      <c r="AA163" s="1139"/>
      <c r="AB163" s="593"/>
      <c r="AC163" s="593"/>
      <c r="AD163" s="593"/>
      <c r="AE163" s="1036"/>
      <c r="AF163" s="1139"/>
      <c r="AG163" s="593"/>
      <c r="AH163" s="593"/>
      <c r="AI163" s="593"/>
      <c r="AJ163" s="1036"/>
      <c r="AK163" s="569"/>
      <c r="AL163" s="569"/>
      <c r="AN163" s="857"/>
      <c r="AO163" s="961" t="str">
        <f t="shared" si="154"/>
        <v>Qty</v>
      </c>
      <c r="AP163" s="962" t="str">
        <f t="shared" si="155"/>
        <v>Sewerage</v>
      </c>
      <c r="AQ163" s="963" t="str">
        <f t="shared" si="156"/>
        <v>Variable</v>
      </c>
      <c r="AR163" s="967" t="str">
        <f t="shared" si="157"/>
        <v>-</v>
      </c>
      <c r="AS163" s="964" t="str">
        <f t="shared" si="158"/>
        <v>-</v>
      </c>
      <c r="AT163" s="964" t="str">
        <f t="shared" si="159"/>
        <v>-</v>
      </c>
      <c r="AU163" s="964" t="str">
        <f t="shared" si="160"/>
        <v>-</v>
      </c>
      <c r="AV163" s="1350" t="str">
        <f t="shared" si="161"/>
        <v>-</v>
      </c>
      <c r="AW163" s="1343" t="str">
        <f t="shared" si="162"/>
        <v>-</v>
      </c>
      <c r="AX163" s="964" t="str">
        <f t="shared" si="163"/>
        <v>-</v>
      </c>
      <c r="AY163" s="964" t="str">
        <f t="shared" si="164"/>
        <v>-</v>
      </c>
      <c r="AZ163" s="964" t="str">
        <f t="shared" si="165"/>
        <v>-</v>
      </c>
      <c r="BA163" s="965" t="str">
        <f t="shared" si="166"/>
        <v>-</v>
      </c>
      <c r="BB163" s="1343" t="str">
        <f t="shared" si="167"/>
        <v>-</v>
      </c>
      <c r="BC163" s="964" t="str">
        <f t="shared" si="168"/>
        <v>-</v>
      </c>
      <c r="BD163" s="964" t="str">
        <f t="shared" si="169"/>
        <v>-</v>
      </c>
      <c r="BE163" s="964" t="str">
        <f t="shared" si="170"/>
        <v>-</v>
      </c>
      <c r="BF163" s="966" t="str">
        <f t="shared" si="171"/>
        <v>-</v>
      </c>
      <c r="BG163" s="951"/>
      <c r="BH163" s="1541" t="str">
        <f t="shared" si="172"/>
        <v>Qty</v>
      </c>
      <c r="BI163" s="1542" t="str">
        <f t="shared" si="173"/>
        <v>Sewerage</v>
      </c>
      <c r="BJ163" s="1543" t="str">
        <f t="shared" si="174"/>
        <v>Variable</v>
      </c>
      <c r="BK163" s="964" t="str">
        <f t="shared" ref="BK163:BU163" si="223">IF(V163="","-",IFERROR((V163/U163-1)*(U164/U$13),"-"))</f>
        <v>-</v>
      </c>
      <c r="BL163" s="964" t="str">
        <f t="shared" si="223"/>
        <v>-</v>
      </c>
      <c r="BM163" s="964" t="str">
        <f t="shared" si="223"/>
        <v>-</v>
      </c>
      <c r="BN163" s="964" t="str">
        <f t="shared" si="223"/>
        <v>-</v>
      </c>
      <c r="BO163" s="1350" t="str">
        <f t="shared" si="223"/>
        <v>-</v>
      </c>
      <c r="BP163" s="1343" t="str">
        <f t="shared" si="223"/>
        <v>-</v>
      </c>
      <c r="BQ163" s="964" t="str">
        <f t="shared" si="223"/>
        <v>-</v>
      </c>
      <c r="BR163" s="964" t="str">
        <f t="shared" si="223"/>
        <v>-</v>
      </c>
      <c r="BS163" s="964" t="str">
        <f t="shared" si="223"/>
        <v>-</v>
      </c>
      <c r="BT163" s="965" t="str">
        <f t="shared" si="223"/>
        <v>-</v>
      </c>
      <c r="BU163" s="964" t="str">
        <f t="shared" si="223"/>
        <v>-</v>
      </c>
      <c r="BV163" s="964" t="str">
        <f>IF(AG163="","-",IFERROR((AG163/AF163-1)*(AF164/AF$13),"-"))</f>
        <v>-</v>
      </c>
      <c r="BW163" s="964" t="str">
        <f>IF(AH163="","-",IFERROR((AH163/AG163-1)*(AG164/AG$13),"-"))</f>
        <v>-</v>
      </c>
      <c r="BX163" s="964" t="str">
        <f>IF(AI163="","-",IFERROR((AI163/AH163-1)*(AH164/AH$13),"-"))</f>
        <v>-</v>
      </c>
      <c r="BY163" s="966" t="str">
        <f>IF(AJ163="","-",IFERROR((AJ163/AI163-1)*(AI164/AI$13),"-"))</f>
        <v>-</v>
      </c>
      <c r="BZ163" s="951"/>
      <c r="CA163" s="961" t="str">
        <f t="shared" si="151"/>
        <v>Qty</v>
      </c>
      <c r="CB163" s="962" t="str">
        <f t="shared" si="152"/>
        <v>Sewerage</v>
      </c>
      <c r="CC163" s="962" t="str">
        <f t="shared" si="153"/>
        <v>Variable</v>
      </c>
      <c r="CD163" s="967" t="str">
        <f t="shared" si="184"/>
        <v>-</v>
      </c>
      <c r="CE163" s="964" t="str">
        <f t="shared" si="176"/>
        <v>-</v>
      </c>
      <c r="CF163" s="964" t="str">
        <f t="shared" si="177"/>
        <v>-</v>
      </c>
      <c r="CG163" s="965" t="str">
        <f t="shared" si="178"/>
        <v>-</v>
      </c>
      <c r="CH163" s="964" t="str">
        <f t="shared" si="185"/>
        <v>-</v>
      </c>
      <c r="CI163" s="964" t="str">
        <f t="shared" si="179"/>
        <v>-</v>
      </c>
      <c r="CJ163" s="964" t="str">
        <f t="shared" si="180"/>
        <v>-</v>
      </c>
      <c r="CK163" s="966" t="str">
        <f t="shared" si="181"/>
        <v>-</v>
      </c>
    </row>
    <row r="164" spans="4:89" ht="12.75" thickBot="1">
      <c r="E164" s="568" t="s">
        <v>882</v>
      </c>
      <c r="F164" s="560" t="str">
        <f>+F162</f>
        <v>Sewerage</v>
      </c>
      <c r="G164" s="561" t="str">
        <f>+G162</f>
        <v>YVW</v>
      </c>
      <c r="H164" s="561" t="str">
        <f>+H162</f>
        <v>Eastern Transfer</v>
      </c>
      <c r="I164" s="562" t="str">
        <f>+I162</f>
        <v>Variable</v>
      </c>
      <c r="J164" s="563" t="s">
        <v>883</v>
      </c>
      <c r="K164" s="564">
        <f t="shared" ref="K164:AJ164" si="224">K162*K163/10^6</f>
        <v>0</v>
      </c>
      <c r="L164" s="565">
        <f t="shared" si="224"/>
        <v>0</v>
      </c>
      <c r="M164" s="565">
        <f t="shared" si="224"/>
        <v>0</v>
      </c>
      <c r="N164" s="564">
        <f t="shared" si="224"/>
        <v>0</v>
      </c>
      <c r="O164" s="565">
        <f t="shared" si="224"/>
        <v>0</v>
      </c>
      <c r="P164" s="565">
        <f t="shared" si="224"/>
        <v>0</v>
      </c>
      <c r="Q164" s="565">
        <f t="shared" si="224"/>
        <v>0</v>
      </c>
      <c r="R164" s="566">
        <f t="shared" si="224"/>
        <v>0</v>
      </c>
      <c r="S164" s="564">
        <f t="shared" si="224"/>
        <v>0</v>
      </c>
      <c r="T164" s="565">
        <f t="shared" si="224"/>
        <v>0</v>
      </c>
      <c r="U164" s="566">
        <f t="shared" si="224"/>
        <v>0</v>
      </c>
      <c r="V164" s="564">
        <f t="shared" si="224"/>
        <v>0</v>
      </c>
      <c r="W164" s="565">
        <f t="shared" si="224"/>
        <v>0</v>
      </c>
      <c r="X164" s="565">
        <f t="shared" si="224"/>
        <v>0</v>
      </c>
      <c r="Y164" s="565">
        <f t="shared" si="224"/>
        <v>0</v>
      </c>
      <c r="Z164" s="566">
        <f t="shared" si="224"/>
        <v>0</v>
      </c>
      <c r="AA164" s="564">
        <f t="shared" si="224"/>
        <v>0</v>
      </c>
      <c r="AB164" s="565">
        <f t="shared" si="224"/>
        <v>0</v>
      </c>
      <c r="AC164" s="565">
        <f t="shared" si="224"/>
        <v>0</v>
      </c>
      <c r="AD164" s="565">
        <f t="shared" si="224"/>
        <v>0</v>
      </c>
      <c r="AE164" s="566">
        <f t="shared" si="224"/>
        <v>0</v>
      </c>
      <c r="AF164" s="564">
        <f t="shared" si="224"/>
        <v>0</v>
      </c>
      <c r="AG164" s="565">
        <f t="shared" si="224"/>
        <v>0</v>
      </c>
      <c r="AH164" s="565">
        <f t="shared" si="224"/>
        <v>0</v>
      </c>
      <c r="AI164" s="565">
        <f t="shared" si="224"/>
        <v>0</v>
      </c>
      <c r="AJ164" s="566">
        <f t="shared" si="224"/>
        <v>0</v>
      </c>
      <c r="AK164" s="569"/>
      <c r="AL164" s="569"/>
      <c r="AN164" s="857"/>
      <c r="AO164" s="984" t="str">
        <f t="shared" si="154"/>
        <v>Rev</v>
      </c>
      <c r="AP164" s="985" t="str">
        <f t="shared" si="155"/>
        <v>Sewerage</v>
      </c>
      <c r="AQ164" s="986" t="str">
        <f t="shared" si="156"/>
        <v>Variable</v>
      </c>
      <c r="AR164" s="990" t="str">
        <f t="shared" si="157"/>
        <v>-</v>
      </c>
      <c r="AS164" s="987" t="str">
        <f t="shared" si="158"/>
        <v>-</v>
      </c>
      <c r="AT164" s="987" t="str">
        <f t="shared" si="159"/>
        <v>-</v>
      </c>
      <c r="AU164" s="987" t="str">
        <f t="shared" si="160"/>
        <v>-</v>
      </c>
      <c r="AV164" s="1353" t="str">
        <f t="shared" si="161"/>
        <v>-</v>
      </c>
      <c r="AW164" s="1346" t="str">
        <f t="shared" si="162"/>
        <v>-</v>
      </c>
      <c r="AX164" s="987" t="str">
        <f t="shared" si="163"/>
        <v>-</v>
      </c>
      <c r="AY164" s="987" t="str">
        <f t="shared" si="164"/>
        <v>-</v>
      </c>
      <c r="AZ164" s="987" t="str">
        <f t="shared" si="165"/>
        <v>-</v>
      </c>
      <c r="BA164" s="988" t="str">
        <f t="shared" si="166"/>
        <v>-</v>
      </c>
      <c r="BB164" s="1346" t="str">
        <f t="shared" si="167"/>
        <v>-</v>
      </c>
      <c r="BC164" s="987" t="str">
        <f t="shared" si="168"/>
        <v>-</v>
      </c>
      <c r="BD164" s="987" t="str">
        <f t="shared" si="169"/>
        <v>-</v>
      </c>
      <c r="BE164" s="987" t="str">
        <f t="shared" si="170"/>
        <v>-</v>
      </c>
      <c r="BF164" s="989" t="str">
        <f t="shared" si="171"/>
        <v>-</v>
      </c>
      <c r="BG164" s="951"/>
      <c r="BH164" s="1550" t="str">
        <f t="shared" si="172"/>
        <v>Rev</v>
      </c>
      <c r="BI164" s="1551" t="str">
        <f t="shared" si="173"/>
        <v>Sewerage</v>
      </c>
      <c r="BJ164" s="1552" t="str">
        <f t="shared" si="174"/>
        <v>Variable</v>
      </c>
      <c r="BK164" s="987" t="str">
        <f t="shared" ref="BK164:BU164" si="225">IF(V164="","-",IFERROR((V164/U164-1)*(U164/U$13),"-"))</f>
        <v>-</v>
      </c>
      <c r="BL164" s="987" t="str">
        <f t="shared" si="225"/>
        <v>-</v>
      </c>
      <c r="BM164" s="987" t="str">
        <f t="shared" si="225"/>
        <v>-</v>
      </c>
      <c r="BN164" s="987" t="str">
        <f t="shared" si="225"/>
        <v>-</v>
      </c>
      <c r="BO164" s="1353" t="str">
        <f t="shared" si="225"/>
        <v>-</v>
      </c>
      <c r="BP164" s="1346" t="str">
        <f t="shared" si="225"/>
        <v>-</v>
      </c>
      <c r="BQ164" s="987" t="str">
        <f t="shared" si="225"/>
        <v>-</v>
      </c>
      <c r="BR164" s="987" t="str">
        <f t="shared" si="225"/>
        <v>-</v>
      </c>
      <c r="BS164" s="987" t="str">
        <f t="shared" si="225"/>
        <v>-</v>
      </c>
      <c r="BT164" s="988" t="str">
        <f t="shared" si="225"/>
        <v>-</v>
      </c>
      <c r="BU164" s="987" t="str">
        <f t="shared" si="225"/>
        <v>-</v>
      </c>
      <c r="BV164" s="987" t="str">
        <f>IF(AG164="","-",IFERROR((AG164/AF164-1)*(AF164/AF$13),"-"))</f>
        <v>-</v>
      </c>
      <c r="BW164" s="987" t="str">
        <f>IF(AH164="","-",IFERROR((AH164/AG164-1)*(AG164/AG$13),"-"))</f>
        <v>-</v>
      </c>
      <c r="BX164" s="987" t="str">
        <f>IF(AI164="","-",IFERROR((AI164/AH164-1)*(AH164/AH$13),"-"))</f>
        <v>-</v>
      </c>
      <c r="BY164" s="989" t="str">
        <f>IF(AJ164="","-",IFERROR((AJ164/AI164-1)*(AI164/AI$13),"-"))</f>
        <v>-</v>
      </c>
      <c r="BZ164" s="951"/>
      <c r="CA164" s="984" t="str">
        <f t="shared" si="151"/>
        <v>Rev</v>
      </c>
      <c r="CB164" s="985" t="str">
        <f t="shared" si="152"/>
        <v>Sewerage</v>
      </c>
      <c r="CC164" s="985" t="str">
        <f t="shared" si="153"/>
        <v>Variable</v>
      </c>
      <c r="CD164" s="990" t="str">
        <f t="shared" si="184"/>
        <v>-</v>
      </c>
      <c r="CE164" s="987" t="str">
        <f t="shared" si="176"/>
        <v>-</v>
      </c>
      <c r="CF164" s="987" t="str">
        <f t="shared" si="177"/>
        <v>-</v>
      </c>
      <c r="CG164" s="988" t="str">
        <f t="shared" si="178"/>
        <v>-</v>
      </c>
      <c r="CH164" s="987" t="str">
        <f t="shared" si="185"/>
        <v>-</v>
      </c>
      <c r="CI164" s="987" t="str">
        <f t="shared" si="179"/>
        <v>-</v>
      </c>
      <c r="CJ164" s="987" t="str">
        <f t="shared" si="180"/>
        <v>-</v>
      </c>
      <c r="CK164" s="989" t="str">
        <f t="shared" si="181"/>
        <v>-</v>
      </c>
    </row>
    <row r="165" spans="4:89">
      <c r="D165" s="63">
        <f>D162+1</f>
        <v>33</v>
      </c>
      <c r="E165" s="550" t="s">
        <v>857</v>
      </c>
      <c r="F165" s="595" t="s">
        <v>402</v>
      </c>
      <c r="G165" s="595" t="s">
        <v>877</v>
      </c>
      <c r="H165" s="595" t="s">
        <v>895</v>
      </c>
      <c r="I165" s="589" t="s">
        <v>843</v>
      </c>
      <c r="J165" s="589" t="s">
        <v>879</v>
      </c>
      <c r="K165" s="551"/>
      <c r="L165" s="552"/>
      <c r="M165" s="552"/>
      <c r="N165" s="551"/>
      <c r="O165" s="552"/>
      <c r="P165" s="552"/>
      <c r="Q165" s="552"/>
      <c r="R165" s="1035"/>
      <c r="S165" s="1138"/>
      <c r="T165" s="591"/>
      <c r="U165" s="1035"/>
      <c r="V165" s="1138"/>
      <c r="W165" s="591"/>
      <c r="X165" s="591"/>
      <c r="Y165" s="591"/>
      <c r="Z165" s="1035"/>
      <c r="AA165" s="1138"/>
      <c r="AB165" s="591"/>
      <c r="AC165" s="591"/>
      <c r="AD165" s="591"/>
      <c r="AE165" s="1035"/>
      <c r="AF165" s="1138"/>
      <c r="AG165" s="591"/>
      <c r="AH165" s="591"/>
      <c r="AI165" s="591"/>
      <c r="AJ165" s="1035"/>
      <c r="AK165" s="569"/>
      <c r="AL165" s="569"/>
      <c r="AM165" s="974"/>
      <c r="AN165" s="857"/>
      <c r="AO165" s="975" t="str">
        <f t="shared" si="154"/>
        <v>Price</v>
      </c>
      <c r="AP165" s="976" t="str">
        <f t="shared" si="155"/>
        <v>Sewerage</v>
      </c>
      <c r="AQ165" s="977" t="str">
        <f t="shared" si="156"/>
        <v>Variable</v>
      </c>
      <c r="AR165" s="1341" t="str">
        <f t="shared" si="157"/>
        <v>-</v>
      </c>
      <c r="AS165" s="978" t="str">
        <f t="shared" si="158"/>
        <v>-</v>
      </c>
      <c r="AT165" s="979" t="str">
        <f t="shared" si="159"/>
        <v>-</v>
      </c>
      <c r="AU165" s="979" t="str">
        <f t="shared" si="160"/>
        <v>-</v>
      </c>
      <c r="AV165" s="1352" t="str">
        <f t="shared" si="161"/>
        <v>-</v>
      </c>
      <c r="AW165" s="1345" t="str">
        <f t="shared" si="162"/>
        <v>-</v>
      </c>
      <c r="AX165" s="979" t="str">
        <f t="shared" si="163"/>
        <v>-</v>
      </c>
      <c r="AY165" s="979" t="str">
        <f t="shared" si="164"/>
        <v>-</v>
      </c>
      <c r="AZ165" s="979" t="str">
        <f t="shared" si="165"/>
        <v>-</v>
      </c>
      <c r="BA165" s="980" t="str">
        <f t="shared" si="166"/>
        <v>-</v>
      </c>
      <c r="BB165" s="1345" t="str">
        <f t="shared" si="167"/>
        <v>-</v>
      </c>
      <c r="BC165" s="979" t="str">
        <f t="shared" si="168"/>
        <v>-</v>
      </c>
      <c r="BD165" s="979" t="str">
        <f t="shared" si="169"/>
        <v>-</v>
      </c>
      <c r="BE165" s="979" t="str">
        <f t="shared" si="170"/>
        <v>-</v>
      </c>
      <c r="BF165" s="981" t="str">
        <f t="shared" si="171"/>
        <v>-</v>
      </c>
      <c r="BG165" s="951"/>
      <c r="BH165" s="1547" t="str">
        <f t="shared" si="172"/>
        <v>Price</v>
      </c>
      <c r="BI165" s="1548" t="str">
        <f t="shared" si="173"/>
        <v>Sewerage</v>
      </c>
      <c r="BJ165" s="1549" t="str">
        <f t="shared" si="174"/>
        <v>Variable</v>
      </c>
      <c r="BK165" s="978" t="str">
        <f t="shared" ref="BK165:BU165" si="226">IF(V165="","-",IFERROR((V165/U165-1)*(U167/U$13),"-"))</f>
        <v>-</v>
      </c>
      <c r="BL165" s="978" t="str">
        <f t="shared" si="226"/>
        <v>-</v>
      </c>
      <c r="BM165" s="979" t="str">
        <f t="shared" si="226"/>
        <v>-</v>
      </c>
      <c r="BN165" s="979" t="str">
        <f t="shared" si="226"/>
        <v>-</v>
      </c>
      <c r="BO165" s="1352" t="str">
        <f t="shared" si="226"/>
        <v>-</v>
      </c>
      <c r="BP165" s="1345" t="str">
        <f t="shared" si="226"/>
        <v>-</v>
      </c>
      <c r="BQ165" s="979" t="str">
        <f t="shared" si="226"/>
        <v>-</v>
      </c>
      <c r="BR165" s="979" t="str">
        <f t="shared" si="226"/>
        <v>-</v>
      </c>
      <c r="BS165" s="979" t="str">
        <f t="shared" si="226"/>
        <v>-</v>
      </c>
      <c r="BT165" s="980" t="str">
        <f t="shared" si="226"/>
        <v>-</v>
      </c>
      <c r="BU165" s="979" t="str">
        <f t="shared" si="226"/>
        <v>-</v>
      </c>
      <c r="BV165" s="979" t="str">
        <f>IF(AG165="","-",IFERROR((AG165/AF165-1)*(AF167/AF$13),"-"))</f>
        <v>-</v>
      </c>
      <c r="BW165" s="979" t="str">
        <f>IF(AH165="","-",IFERROR((AH165/AG165-1)*(AG167/AG$13),"-"))</f>
        <v>-</v>
      </c>
      <c r="BX165" s="979" t="str">
        <f>IF(AI165="","-",IFERROR((AI165/AH165-1)*(AH167/AH$13),"-"))</f>
        <v>-</v>
      </c>
      <c r="BY165" s="981" t="str">
        <f>IF(AJ165="","-",IFERROR((AJ165/AI165-1)*(AI167/AI$13),"-"))</f>
        <v>-</v>
      </c>
      <c r="BZ165" s="951"/>
      <c r="CA165" s="975" t="str">
        <f t="shared" si="151"/>
        <v>Price</v>
      </c>
      <c r="CB165" s="976" t="str">
        <f t="shared" si="152"/>
        <v>Sewerage</v>
      </c>
      <c r="CC165" s="982" t="str">
        <f t="shared" si="153"/>
        <v>Variable</v>
      </c>
      <c r="CD165" s="983" t="str">
        <f t="shared" si="184"/>
        <v>-</v>
      </c>
      <c r="CE165" s="979" t="str">
        <f t="shared" si="176"/>
        <v>-</v>
      </c>
      <c r="CF165" s="979" t="str">
        <f t="shared" si="177"/>
        <v>-</v>
      </c>
      <c r="CG165" s="980" t="str">
        <f t="shared" si="178"/>
        <v>-</v>
      </c>
      <c r="CH165" s="979" t="str">
        <f t="shared" si="185"/>
        <v>-</v>
      </c>
      <c r="CI165" s="979" t="str">
        <f t="shared" si="179"/>
        <v>-</v>
      </c>
      <c r="CJ165" s="979" t="str">
        <f t="shared" si="180"/>
        <v>-</v>
      </c>
      <c r="CK165" s="981" t="str">
        <f t="shared" si="181"/>
        <v>-</v>
      </c>
    </row>
    <row r="166" spans="4:89">
      <c r="E166" s="567" t="s">
        <v>880</v>
      </c>
      <c r="F166" s="554" t="str">
        <f>+F165</f>
        <v>Sewerage</v>
      </c>
      <c r="G166" s="555" t="str">
        <f>+G165</f>
        <v>GWW</v>
      </c>
      <c r="H166" s="555" t="str">
        <f>+H165</f>
        <v>Trade waste - BOD Western</v>
      </c>
      <c r="I166" s="556" t="str">
        <f>+I165</f>
        <v>Variable</v>
      </c>
      <c r="J166" s="590" t="s">
        <v>896</v>
      </c>
      <c r="K166" s="557"/>
      <c r="L166" s="558"/>
      <c r="M166" s="558"/>
      <c r="N166" s="557"/>
      <c r="O166" s="558"/>
      <c r="P166" s="558"/>
      <c r="Q166" s="558"/>
      <c r="R166" s="1036"/>
      <c r="S166" s="1139"/>
      <c r="T166" s="593"/>
      <c r="U166" s="1036"/>
      <c r="V166" s="1139"/>
      <c r="W166" s="593"/>
      <c r="X166" s="593"/>
      <c r="Y166" s="593"/>
      <c r="Z166" s="1036"/>
      <c r="AA166" s="1139"/>
      <c r="AB166" s="593"/>
      <c r="AC166" s="593"/>
      <c r="AD166" s="593"/>
      <c r="AE166" s="1036"/>
      <c r="AF166" s="1139"/>
      <c r="AG166" s="593"/>
      <c r="AH166" s="593"/>
      <c r="AI166" s="593"/>
      <c r="AJ166" s="1036"/>
      <c r="AK166" s="569"/>
      <c r="AL166" s="569"/>
      <c r="AN166" s="857"/>
      <c r="AO166" s="961" t="str">
        <f t="shared" si="154"/>
        <v>Qty</v>
      </c>
      <c r="AP166" s="962" t="str">
        <f t="shared" si="155"/>
        <v>Sewerage</v>
      </c>
      <c r="AQ166" s="963" t="str">
        <f t="shared" si="156"/>
        <v>Variable</v>
      </c>
      <c r="AR166" s="967" t="str">
        <f t="shared" si="157"/>
        <v>-</v>
      </c>
      <c r="AS166" s="964" t="str">
        <f t="shared" si="158"/>
        <v>-</v>
      </c>
      <c r="AT166" s="964" t="str">
        <f t="shared" si="159"/>
        <v>-</v>
      </c>
      <c r="AU166" s="964" t="str">
        <f t="shared" si="160"/>
        <v>-</v>
      </c>
      <c r="AV166" s="1350" t="str">
        <f t="shared" si="161"/>
        <v>-</v>
      </c>
      <c r="AW166" s="1343" t="str">
        <f t="shared" si="162"/>
        <v>-</v>
      </c>
      <c r="AX166" s="964" t="str">
        <f t="shared" si="163"/>
        <v>-</v>
      </c>
      <c r="AY166" s="964" t="str">
        <f t="shared" si="164"/>
        <v>-</v>
      </c>
      <c r="AZ166" s="964" t="str">
        <f t="shared" si="165"/>
        <v>-</v>
      </c>
      <c r="BA166" s="965" t="str">
        <f t="shared" si="166"/>
        <v>-</v>
      </c>
      <c r="BB166" s="1343" t="str">
        <f t="shared" si="167"/>
        <v>-</v>
      </c>
      <c r="BC166" s="964" t="str">
        <f t="shared" si="168"/>
        <v>-</v>
      </c>
      <c r="BD166" s="964" t="str">
        <f t="shared" si="169"/>
        <v>-</v>
      </c>
      <c r="BE166" s="964" t="str">
        <f t="shared" si="170"/>
        <v>-</v>
      </c>
      <c r="BF166" s="966" t="str">
        <f t="shared" si="171"/>
        <v>-</v>
      </c>
      <c r="BG166" s="951"/>
      <c r="BH166" s="1541" t="str">
        <f t="shared" si="172"/>
        <v>Qty</v>
      </c>
      <c r="BI166" s="1542" t="str">
        <f t="shared" si="173"/>
        <v>Sewerage</v>
      </c>
      <c r="BJ166" s="1543" t="str">
        <f t="shared" si="174"/>
        <v>Variable</v>
      </c>
      <c r="BK166" s="964" t="str">
        <f t="shared" ref="BK166:BU166" si="227">IF(V166="","-",IFERROR((V166/U166-1)*(U167/U$13),"-"))</f>
        <v>-</v>
      </c>
      <c r="BL166" s="964" t="str">
        <f t="shared" si="227"/>
        <v>-</v>
      </c>
      <c r="BM166" s="964" t="str">
        <f t="shared" si="227"/>
        <v>-</v>
      </c>
      <c r="BN166" s="964" t="str">
        <f t="shared" si="227"/>
        <v>-</v>
      </c>
      <c r="BO166" s="1350" t="str">
        <f t="shared" si="227"/>
        <v>-</v>
      </c>
      <c r="BP166" s="1343" t="str">
        <f t="shared" si="227"/>
        <v>-</v>
      </c>
      <c r="BQ166" s="964" t="str">
        <f t="shared" si="227"/>
        <v>-</v>
      </c>
      <c r="BR166" s="964" t="str">
        <f t="shared" si="227"/>
        <v>-</v>
      </c>
      <c r="BS166" s="964" t="str">
        <f t="shared" si="227"/>
        <v>-</v>
      </c>
      <c r="BT166" s="965" t="str">
        <f t="shared" si="227"/>
        <v>-</v>
      </c>
      <c r="BU166" s="964" t="str">
        <f t="shared" si="227"/>
        <v>-</v>
      </c>
      <c r="BV166" s="964" t="str">
        <f>IF(AG166="","-",IFERROR((AG166/AF166-1)*(AF167/AF$13),"-"))</f>
        <v>-</v>
      </c>
      <c r="BW166" s="964" t="str">
        <f>IF(AH166="","-",IFERROR((AH166/AG166-1)*(AG167/AG$13),"-"))</f>
        <v>-</v>
      </c>
      <c r="BX166" s="964" t="str">
        <f>IF(AI166="","-",IFERROR((AI166/AH166-1)*(AH167/AH$13),"-"))</f>
        <v>-</v>
      </c>
      <c r="BY166" s="966" t="str">
        <f>IF(AJ166="","-",IFERROR((AJ166/AI166-1)*(AI167/AI$13),"-"))</f>
        <v>-</v>
      </c>
      <c r="BZ166" s="951"/>
      <c r="CA166" s="961" t="str">
        <f t="shared" si="151"/>
        <v>Qty</v>
      </c>
      <c r="CB166" s="962" t="str">
        <f t="shared" si="152"/>
        <v>Sewerage</v>
      </c>
      <c r="CC166" s="962" t="str">
        <f t="shared" si="153"/>
        <v>Variable</v>
      </c>
      <c r="CD166" s="967" t="str">
        <f t="shared" si="184"/>
        <v>-</v>
      </c>
      <c r="CE166" s="964" t="str">
        <f t="shared" si="176"/>
        <v>-</v>
      </c>
      <c r="CF166" s="964" t="str">
        <f t="shared" si="177"/>
        <v>-</v>
      </c>
      <c r="CG166" s="965" t="str">
        <f t="shared" si="178"/>
        <v>-</v>
      </c>
      <c r="CH166" s="964" t="str">
        <f t="shared" si="185"/>
        <v>-</v>
      </c>
      <c r="CI166" s="964" t="str">
        <f t="shared" si="179"/>
        <v>-</v>
      </c>
      <c r="CJ166" s="964" t="str">
        <f t="shared" si="180"/>
        <v>-</v>
      </c>
      <c r="CK166" s="966" t="str">
        <f t="shared" si="181"/>
        <v>-</v>
      </c>
    </row>
    <row r="167" spans="4:89" ht="12.75" thickBot="1">
      <c r="E167" s="568" t="s">
        <v>882</v>
      </c>
      <c r="F167" s="560" t="str">
        <f>+F165</f>
        <v>Sewerage</v>
      </c>
      <c r="G167" s="561" t="str">
        <f>+G165</f>
        <v>GWW</v>
      </c>
      <c r="H167" s="561" t="str">
        <f>+H165</f>
        <v>Trade waste - BOD Western</v>
      </c>
      <c r="I167" s="562" t="str">
        <f>+I165</f>
        <v>Variable</v>
      </c>
      <c r="J167" s="563" t="s">
        <v>883</v>
      </c>
      <c r="K167" s="564">
        <f t="shared" ref="K167:AJ167" si="228">K165*K166/10^6</f>
        <v>0</v>
      </c>
      <c r="L167" s="565">
        <f t="shared" si="228"/>
        <v>0</v>
      </c>
      <c r="M167" s="565">
        <f t="shared" si="228"/>
        <v>0</v>
      </c>
      <c r="N167" s="564">
        <f t="shared" si="228"/>
        <v>0</v>
      </c>
      <c r="O167" s="565">
        <f t="shared" si="228"/>
        <v>0</v>
      </c>
      <c r="P167" s="565">
        <f t="shared" si="228"/>
        <v>0</v>
      </c>
      <c r="Q167" s="565">
        <f t="shared" si="228"/>
        <v>0</v>
      </c>
      <c r="R167" s="566">
        <f t="shared" si="228"/>
        <v>0</v>
      </c>
      <c r="S167" s="564">
        <f t="shared" si="228"/>
        <v>0</v>
      </c>
      <c r="T167" s="565">
        <f t="shared" si="228"/>
        <v>0</v>
      </c>
      <c r="U167" s="566">
        <f t="shared" si="228"/>
        <v>0</v>
      </c>
      <c r="V167" s="564">
        <f t="shared" si="228"/>
        <v>0</v>
      </c>
      <c r="W167" s="565">
        <f t="shared" si="228"/>
        <v>0</v>
      </c>
      <c r="X167" s="565">
        <f t="shared" si="228"/>
        <v>0</v>
      </c>
      <c r="Y167" s="565">
        <f t="shared" si="228"/>
        <v>0</v>
      </c>
      <c r="Z167" s="566">
        <f t="shared" si="228"/>
        <v>0</v>
      </c>
      <c r="AA167" s="564">
        <f t="shared" si="228"/>
        <v>0</v>
      </c>
      <c r="AB167" s="565">
        <f t="shared" si="228"/>
        <v>0</v>
      </c>
      <c r="AC167" s="565">
        <f t="shared" si="228"/>
        <v>0</v>
      </c>
      <c r="AD167" s="565">
        <f t="shared" si="228"/>
        <v>0</v>
      </c>
      <c r="AE167" s="566">
        <f t="shared" si="228"/>
        <v>0</v>
      </c>
      <c r="AF167" s="564">
        <f t="shared" si="228"/>
        <v>0</v>
      </c>
      <c r="AG167" s="565">
        <f t="shared" si="228"/>
        <v>0</v>
      </c>
      <c r="AH167" s="565">
        <f t="shared" si="228"/>
        <v>0</v>
      </c>
      <c r="AI167" s="565">
        <f t="shared" si="228"/>
        <v>0</v>
      </c>
      <c r="AJ167" s="566">
        <f t="shared" si="228"/>
        <v>0</v>
      </c>
      <c r="AK167" s="569"/>
      <c r="AL167" s="569"/>
      <c r="AN167" s="857"/>
      <c r="AO167" s="984" t="str">
        <f t="shared" si="154"/>
        <v>Rev</v>
      </c>
      <c r="AP167" s="985" t="str">
        <f t="shared" si="155"/>
        <v>Sewerage</v>
      </c>
      <c r="AQ167" s="986" t="str">
        <f t="shared" si="156"/>
        <v>Variable</v>
      </c>
      <c r="AR167" s="990" t="str">
        <f t="shared" si="157"/>
        <v>-</v>
      </c>
      <c r="AS167" s="987" t="str">
        <f t="shared" si="158"/>
        <v>-</v>
      </c>
      <c r="AT167" s="987" t="str">
        <f t="shared" si="159"/>
        <v>-</v>
      </c>
      <c r="AU167" s="987" t="str">
        <f t="shared" si="160"/>
        <v>-</v>
      </c>
      <c r="AV167" s="1353" t="str">
        <f t="shared" si="161"/>
        <v>-</v>
      </c>
      <c r="AW167" s="1346" t="str">
        <f t="shared" si="162"/>
        <v>-</v>
      </c>
      <c r="AX167" s="987" t="str">
        <f t="shared" si="163"/>
        <v>-</v>
      </c>
      <c r="AY167" s="987" t="str">
        <f t="shared" si="164"/>
        <v>-</v>
      </c>
      <c r="AZ167" s="987" t="str">
        <f t="shared" si="165"/>
        <v>-</v>
      </c>
      <c r="BA167" s="988" t="str">
        <f t="shared" si="166"/>
        <v>-</v>
      </c>
      <c r="BB167" s="1346" t="str">
        <f t="shared" si="167"/>
        <v>-</v>
      </c>
      <c r="BC167" s="987" t="str">
        <f t="shared" si="168"/>
        <v>-</v>
      </c>
      <c r="BD167" s="987" t="str">
        <f t="shared" si="169"/>
        <v>-</v>
      </c>
      <c r="BE167" s="987" t="str">
        <f t="shared" si="170"/>
        <v>-</v>
      </c>
      <c r="BF167" s="989" t="str">
        <f t="shared" si="171"/>
        <v>-</v>
      </c>
      <c r="BG167" s="951"/>
      <c r="BH167" s="1550" t="str">
        <f t="shared" si="172"/>
        <v>Rev</v>
      </c>
      <c r="BI167" s="1551" t="str">
        <f t="shared" si="173"/>
        <v>Sewerage</v>
      </c>
      <c r="BJ167" s="1552" t="str">
        <f t="shared" si="174"/>
        <v>Variable</v>
      </c>
      <c r="BK167" s="987" t="str">
        <f t="shared" ref="BK167:BU167" si="229">IF(V167="","-",IFERROR((V167/U167-1)*(U167/U$13),"-"))</f>
        <v>-</v>
      </c>
      <c r="BL167" s="987" t="str">
        <f t="shared" si="229"/>
        <v>-</v>
      </c>
      <c r="BM167" s="987" t="str">
        <f t="shared" si="229"/>
        <v>-</v>
      </c>
      <c r="BN167" s="987" t="str">
        <f t="shared" si="229"/>
        <v>-</v>
      </c>
      <c r="BO167" s="1353" t="str">
        <f t="shared" si="229"/>
        <v>-</v>
      </c>
      <c r="BP167" s="1346" t="str">
        <f t="shared" si="229"/>
        <v>-</v>
      </c>
      <c r="BQ167" s="987" t="str">
        <f t="shared" si="229"/>
        <v>-</v>
      </c>
      <c r="BR167" s="987" t="str">
        <f t="shared" si="229"/>
        <v>-</v>
      </c>
      <c r="BS167" s="987" t="str">
        <f t="shared" si="229"/>
        <v>-</v>
      </c>
      <c r="BT167" s="988" t="str">
        <f t="shared" si="229"/>
        <v>-</v>
      </c>
      <c r="BU167" s="987" t="str">
        <f t="shared" si="229"/>
        <v>-</v>
      </c>
      <c r="BV167" s="987" t="str">
        <f>IF(AG167="","-",IFERROR((AG167/AF167-1)*(AF167/AF$13),"-"))</f>
        <v>-</v>
      </c>
      <c r="BW167" s="987" t="str">
        <f>IF(AH167="","-",IFERROR((AH167/AG167-1)*(AG167/AG$13),"-"))</f>
        <v>-</v>
      </c>
      <c r="BX167" s="987" t="str">
        <f>IF(AI167="","-",IFERROR((AI167/AH167-1)*(AH167/AH$13),"-"))</f>
        <v>-</v>
      </c>
      <c r="BY167" s="989" t="str">
        <f>IF(AJ167="","-",IFERROR((AJ167/AI167-1)*(AI167/AI$13),"-"))</f>
        <v>-</v>
      </c>
      <c r="BZ167" s="951"/>
      <c r="CA167" s="984" t="str">
        <f t="shared" si="151"/>
        <v>Rev</v>
      </c>
      <c r="CB167" s="985" t="str">
        <f t="shared" si="152"/>
        <v>Sewerage</v>
      </c>
      <c r="CC167" s="985" t="str">
        <f t="shared" si="153"/>
        <v>Variable</v>
      </c>
      <c r="CD167" s="990" t="str">
        <f t="shared" si="184"/>
        <v>-</v>
      </c>
      <c r="CE167" s="987" t="str">
        <f t="shared" si="176"/>
        <v>-</v>
      </c>
      <c r="CF167" s="987" t="str">
        <f t="shared" si="177"/>
        <v>-</v>
      </c>
      <c r="CG167" s="988" t="str">
        <f t="shared" si="178"/>
        <v>-</v>
      </c>
      <c r="CH167" s="987" t="str">
        <f t="shared" si="185"/>
        <v>-</v>
      </c>
      <c r="CI167" s="987" t="str">
        <f t="shared" si="179"/>
        <v>-</v>
      </c>
      <c r="CJ167" s="987" t="str">
        <f t="shared" si="180"/>
        <v>-</v>
      </c>
      <c r="CK167" s="989" t="str">
        <f t="shared" si="181"/>
        <v>-</v>
      </c>
    </row>
    <row r="168" spans="4:89">
      <c r="D168" s="63">
        <f>D165+1</f>
        <v>34</v>
      </c>
      <c r="E168" s="550" t="s">
        <v>857</v>
      </c>
      <c r="F168" s="595" t="s">
        <v>402</v>
      </c>
      <c r="G168" s="595" t="s">
        <v>92</v>
      </c>
      <c r="H168" s="595" t="s">
        <v>895</v>
      </c>
      <c r="I168" s="589" t="s">
        <v>843</v>
      </c>
      <c r="J168" s="589" t="s">
        <v>879</v>
      </c>
      <c r="K168" s="551"/>
      <c r="L168" s="552"/>
      <c r="M168" s="552"/>
      <c r="N168" s="551"/>
      <c r="O168" s="552"/>
      <c r="P168" s="552"/>
      <c r="Q168" s="552"/>
      <c r="R168" s="1035"/>
      <c r="S168" s="1138"/>
      <c r="T168" s="591"/>
      <c r="U168" s="1035"/>
      <c r="V168" s="1138"/>
      <c r="W168" s="591"/>
      <c r="X168" s="591"/>
      <c r="Y168" s="591"/>
      <c r="Z168" s="1035"/>
      <c r="AA168" s="1138"/>
      <c r="AB168" s="591"/>
      <c r="AC168" s="591"/>
      <c r="AD168" s="591"/>
      <c r="AE168" s="1035"/>
      <c r="AF168" s="1138"/>
      <c r="AG168" s="591"/>
      <c r="AH168" s="591"/>
      <c r="AI168" s="591"/>
      <c r="AJ168" s="1035"/>
      <c r="AK168" s="569"/>
      <c r="AL168" s="569"/>
      <c r="AM168" s="974"/>
      <c r="AN168" s="857"/>
      <c r="AO168" s="975" t="str">
        <f t="shared" si="154"/>
        <v>Price</v>
      </c>
      <c r="AP168" s="976" t="str">
        <f t="shared" si="155"/>
        <v>Sewerage</v>
      </c>
      <c r="AQ168" s="977" t="str">
        <f t="shared" si="156"/>
        <v>Variable</v>
      </c>
      <c r="AR168" s="1341" t="str">
        <f t="shared" si="157"/>
        <v>-</v>
      </c>
      <c r="AS168" s="978" t="str">
        <f t="shared" si="158"/>
        <v>-</v>
      </c>
      <c r="AT168" s="979" t="str">
        <f t="shared" si="159"/>
        <v>-</v>
      </c>
      <c r="AU168" s="979" t="str">
        <f t="shared" si="160"/>
        <v>-</v>
      </c>
      <c r="AV168" s="1352" t="str">
        <f t="shared" si="161"/>
        <v>-</v>
      </c>
      <c r="AW168" s="1345" t="str">
        <f t="shared" si="162"/>
        <v>-</v>
      </c>
      <c r="AX168" s="979" t="str">
        <f t="shared" si="163"/>
        <v>-</v>
      </c>
      <c r="AY168" s="979" t="str">
        <f t="shared" si="164"/>
        <v>-</v>
      </c>
      <c r="AZ168" s="979" t="str">
        <f t="shared" si="165"/>
        <v>-</v>
      </c>
      <c r="BA168" s="980" t="str">
        <f t="shared" si="166"/>
        <v>-</v>
      </c>
      <c r="BB168" s="1345" t="str">
        <f t="shared" si="167"/>
        <v>-</v>
      </c>
      <c r="BC168" s="979" t="str">
        <f t="shared" si="168"/>
        <v>-</v>
      </c>
      <c r="BD168" s="979" t="str">
        <f t="shared" si="169"/>
        <v>-</v>
      </c>
      <c r="BE168" s="979" t="str">
        <f t="shared" si="170"/>
        <v>-</v>
      </c>
      <c r="BF168" s="981" t="str">
        <f t="shared" si="171"/>
        <v>-</v>
      </c>
      <c r="BG168" s="951"/>
      <c r="BH168" s="1547" t="str">
        <f t="shared" si="172"/>
        <v>Price</v>
      </c>
      <c r="BI168" s="1548" t="str">
        <f t="shared" si="173"/>
        <v>Sewerage</v>
      </c>
      <c r="BJ168" s="1549" t="str">
        <f t="shared" si="174"/>
        <v>Variable</v>
      </c>
      <c r="BK168" s="978" t="str">
        <f t="shared" ref="BK168:BU168" si="230">IF(V168="","-",IFERROR((V168/U168-1)*(U170/U$13),"-"))</f>
        <v>-</v>
      </c>
      <c r="BL168" s="978" t="str">
        <f t="shared" si="230"/>
        <v>-</v>
      </c>
      <c r="BM168" s="979" t="str">
        <f t="shared" si="230"/>
        <v>-</v>
      </c>
      <c r="BN168" s="979" t="str">
        <f t="shared" si="230"/>
        <v>-</v>
      </c>
      <c r="BO168" s="1352" t="str">
        <f t="shared" si="230"/>
        <v>-</v>
      </c>
      <c r="BP168" s="1345" t="str">
        <f t="shared" si="230"/>
        <v>-</v>
      </c>
      <c r="BQ168" s="979" t="str">
        <f t="shared" si="230"/>
        <v>-</v>
      </c>
      <c r="BR168" s="979" t="str">
        <f t="shared" si="230"/>
        <v>-</v>
      </c>
      <c r="BS168" s="979" t="str">
        <f t="shared" si="230"/>
        <v>-</v>
      </c>
      <c r="BT168" s="980" t="str">
        <f t="shared" si="230"/>
        <v>-</v>
      </c>
      <c r="BU168" s="979" t="str">
        <f t="shared" si="230"/>
        <v>-</v>
      </c>
      <c r="BV168" s="979" t="str">
        <f>IF(AG168="","-",IFERROR((AG168/AF168-1)*(AF170/AF$13),"-"))</f>
        <v>-</v>
      </c>
      <c r="BW168" s="979" t="str">
        <f>IF(AH168="","-",IFERROR((AH168/AG168-1)*(AG170/AG$13),"-"))</f>
        <v>-</v>
      </c>
      <c r="BX168" s="979" t="str">
        <f>IF(AI168="","-",IFERROR((AI168/AH168-1)*(AH170/AH$13),"-"))</f>
        <v>-</v>
      </c>
      <c r="BY168" s="981" t="str">
        <f>IF(AJ168="","-",IFERROR((AJ168/AI168-1)*(AI170/AI$13),"-"))</f>
        <v>-</v>
      </c>
      <c r="BZ168" s="951"/>
      <c r="CA168" s="975" t="str">
        <f t="shared" si="151"/>
        <v>Price</v>
      </c>
      <c r="CB168" s="976" t="str">
        <f t="shared" si="152"/>
        <v>Sewerage</v>
      </c>
      <c r="CC168" s="982" t="str">
        <f t="shared" si="153"/>
        <v>Variable</v>
      </c>
      <c r="CD168" s="983" t="str">
        <f t="shared" si="184"/>
        <v>-</v>
      </c>
      <c r="CE168" s="979" t="str">
        <f t="shared" si="176"/>
        <v>-</v>
      </c>
      <c r="CF168" s="979" t="str">
        <f t="shared" si="177"/>
        <v>-</v>
      </c>
      <c r="CG168" s="980" t="str">
        <f t="shared" si="178"/>
        <v>-</v>
      </c>
      <c r="CH168" s="979" t="str">
        <f t="shared" si="185"/>
        <v>-</v>
      </c>
      <c r="CI168" s="979" t="str">
        <f t="shared" si="179"/>
        <v>-</v>
      </c>
      <c r="CJ168" s="979" t="str">
        <f t="shared" si="180"/>
        <v>-</v>
      </c>
      <c r="CK168" s="981" t="str">
        <f t="shared" si="181"/>
        <v>-</v>
      </c>
    </row>
    <row r="169" spans="4:89">
      <c r="E169" s="567" t="s">
        <v>880</v>
      </c>
      <c r="F169" s="554" t="str">
        <f>+F168</f>
        <v>Sewerage</v>
      </c>
      <c r="G169" s="555" t="str">
        <f>+G168</f>
        <v>SEW</v>
      </c>
      <c r="H169" s="555" t="str">
        <f>+H168</f>
        <v>Trade waste - BOD Western</v>
      </c>
      <c r="I169" s="556" t="str">
        <f>+I168</f>
        <v>Variable</v>
      </c>
      <c r="J169" s="590" t="s">
        <v>896</v>
      </c>
      <c r="K169" s="557"/>
      <c r="L169" s="558"/>
      <c r="M169" s="558"/>
      <c r="N169" s="557"/>
      <c r="O169" s="558"/>
      <c r="P169" s="558"/>
      <c r="Q169" s="558"/>
      <c r="R169" s="1036"/>
      <c r="S169" s="1139"/>
      <c r="T169" s="593"/>
      <c r="U169" s="1036"/>
      <c r="V169" s="1139"/>
      <c r="W169" s="593"/>
      <c r="X169" s="593"/>
      <c r="Y169" s="593"/>
      <c r="Z169" s="1036"/>
      <c r="AA169" s="1139"/>
      <c r="AB169" s="593"/>
      <c r="AC169" s="593"/>
      <c r="AD169" s="593"/>
      <c r="AE169" s="1036"/>
      <c r="AF169" s="1139"/>
      <c r="AG169" s="593"/>
      <c r="AH169" s="593"/>
      <c r="AI169" s="593"/>
      <c r="AJ169" s="1036"/>
      <c r="AK169" s="569"/>
      <c r="AL169" s="569"/>
      <c r="AN169" s="857"/>
      <c r="AO169" s="961" t="str">
        <f t="shared" si="154"/>
        <v>Qty</v>
      </c>
      <c r="AP169" s="962" t="str">
        <f t="shared" si="155"/>
        <v>Sewerage</v>
      </c>
      <c r="AQ169" s="963" t="str">
        <f t="shared" si="156"/>
        <v>Variable</v>
      </c>
      <c r="AR169" s="967" t="str">
        <f t="shared" si="157"/>
        <v>-</v>
      </c>
      <c r="AS169" s="964" t="str">
        <f t="shared" si="158"/>
        <v>-</v>
      </c>
      <c r="AT169" s="964" t="str">
        <f t="shared" si="159"/>
        <v>-</v>
      </c>
      <c r="AU169" s="964" t="str">
        <f t="shared" si="160"/>
        <v>-</v>
      </c>
      <c r="AV169" s="1350" t="str">
        <f t="shared" si="161"/>
        <v>-</v>
      </c>
      <c r="AW169" s="1343" t="str">
        <f t="shared" si="162"/>
        <v>-</v>
      </c>
      <c r="AX169" s="964" t="str">
        <f t="shared" si="163"/>
        <v>-</v>
      </c>
      <c r="AY169" s="964" t="str">
        <f t="shared" si="164"/>
        <v>-</v>
      </c>
      <c r="AZ169" s="964" t="str">
        <f t="shared" si="165"/>
        <v>-</v>
      </c>
      <c r="BA169" s="965" t="str">
        <f t="shared" si="166"/>
        <v>-</v>
      </c>
      <c r="BB169" s="1343" t="str">
        <f t="shared" si="167"/>
        <v>-</v>
      </c>
      <c r="BC169" s="964" t="str">
        <f t="shared" si="168"/>
        <v>-</v>
      </c>
      <c r="BD169" s="964" t="str">
        <f t="shared" si="169"/>
        <v>-</v>
      </c>
      <c r="BE169" s="964" t="str">
        <f t="shared" si="170"/>
        <v>-</v>
      </c>
      <c r="BF169" s="966" t="str">
        <f t="shared" si="171"/>
        <v>-</v>
      </c>
      <c r="BG169" s="951"/>
      <c r="BH169" s="1541" t="str">
        <f t="shared" si="172"/>
        <v>Qty</v>
      </c>
      <c r="BI169" s="1542" t="str">
        <f t="shared" si="173"/>
        <v>Sewerage</v>
      </c>
      <c r="BJ169" s="1543" t="str">
        <f t="shared" si="174"/>
        <v>Variable</v>
      </c>
      <c r="BK169" s="964" t="str">
        <f t="shared" ref="BK169:BU169" si="231">IF(V169="","-",IFERROR((V169/U169-1)*(U170/U$13),"-"))</f>
        <v>-</v>
      </c>
      <c r="BL169" s="964" t="str">
        <f t="shared" si="231"/>
        <v>-</v>
      </c>
      <c r="BM169" s="964" t="str">
        <f t="shared" si="231"/>
        <v>-</v>
      </c>
      <c r="BN169" s="964" t="str">
        <f t="shared" si="231"/>
        <v>-</v>
      </c>
      <c r="BO169" s="1350" t="str">
        <f t="shared" si="231"/>
        <v>-</v>
      </c>
      <c r="BP169" s="1343" t="str">
        <f t="shared" si="231"/>
        <v>-</v>
      </c>
      <c r="BQ169" s="964" t="str">
        <f t="shared" si="231"/>
        <v>-</v>
      </c>
      <c r="BR169" s="964" t="str">
        <f t="shared" si="231"/>
        <v>-</v>
      </c>
      <c r="BS169" s="964" t="str">
        <f t="shared" si="231"/>
        <v>-</v>
      </c>
      <c r="BT169" s="965" t="str">
        <f t="shared" si="231"/>
        <v>-</v>
      </c>
      <c r="BU169" s="964" t="str">
        <f t="shared" si="231"/>
        <v>-</v>
      </c>
      <c r="BV169" s="964" t="str">
        <f>IF(AG169="","-",IFERROR((AG169/AF169-1)*(AF170/AF$13),"-"))</f>
        <v>-</v>
      </c>
      <c r="BW169" s="964" t="str">
        <f>IF(AH169="","-",IFERROR((AH169/AG169-1)*(AG170/AG$13),"-"))</f>
        <v>-</v>
      </c>
      <c r="BX169" s="964" t="str">
        <f>IF(AI169="","-",IFERROR((AI169/AH169-1)*(AH170/AH$13),"-"))</f>
        <v>-</v>
      </c>
      <c r="BY169" s="966" t="str">
        <f>IF(AJ169="","-",IFERROR((AJ169/AI169-1)*(AI170/AI$13),"-"))</f>
        <v>-</v>
      </c>
      <c r="BZ169" s="951"/>
      <c r="CA169" s="961" t="str">
        <f t="shared" si="151"/>
        <v>Qty</v>
      </c>
      <c r="CB169" s="962" t="str">
        <f t="shared" si="152"/>
        <v>Sewerage</v>
      </c>
      <c r="CC169" s="962" t="str">
        <f t="shared" si="153"/>
        <v>Variable</v>
      </c>
      <c r="CD169" s="967" t="str">
        <f t="shared" si="184"/>
        <v>-</v>
      </c>
      <c r="CE169" s="964" t="str">
        <f t="shared" si="176"/>
        <v>-</v>
      </c>
      <c r="CF169" s="964" t="str">
        <f t="shared" si="177"/>
        <v>-</v>
      </c>
      <c r="CG169" s="965" t="str">
        <f t="shared" si="178"/>
        <v>-</v>
      </c>
      <c r="CH169" s="964" t="str">
        <f t="shared" si="185"/>
        <v>-</v>
      </c>
      <c r="CI169" s="964" t="str">
        <f t="shared" si="179"/>
        <v>-</v>
      </c>
      <c r="CJ169" s="964" t="str">
        <f t="shared" si="180"/>
        <v>-</v>
      </c>
      <c r="CK169" s="966" t="str">
        <f t="shared" si="181"/>
        <v>-</v>
      </c>
    </row>
    <row r="170" spans="4:89" ht="12.75" thickBot="1">
      <c r="E170" s="568" t="s">
        <v>882</v>
      </c>
      <c r="F170" s="560" t="str">
        <f>+F168</f>
        <v>Sewerage</v>
      </c>
      <c r="G170" s="561" t="str">
        <f>+G168</f>
        <v>SEW</v>
      </c>
      <c r="H170" s="561" t="str">
        <f>+H168</f>
        <v>Trade waste - BOD Western</v>
      </c>
      <c r="I170" s="562" t="str">
        <f>+I168</f>
        <v>Variable</v>
      </c>
      <c r="J170" s="563" t="s">
        <v>883</v>
      </c>
      <c r="K170" s="564">
        <f t="shared" ref="K170:AJ170" si="232">K168*K169/10^6</f>
        <v>0</v>
      </c>
      <c r="L170" s="565">
        <f t="shared" si="232"/>
        <v>0</v>
      </c>
      <c r="M170" s="565">
        <f t="shared" si="232"/>
        <v>0</v>
      </c>
      <c r="N170" s="564">
        <f t="shared" si="232"/>
        <v>0</v>
      </c>
      <c r="O170" s="565">
        <f t="shared" si="232"/>
        <v>0</v>
      </c>
      <c r="P170" s="565">
        <f t="shared" si="232"/>
        <v>0</v>
      </c>
      <c r="Q170" s="565">
        <f t="shared" si="232"/>
        <v>0</v>
      </c>
      <c r="R170" s="566">
        <f t="shared" si="232"/>
        <v>0</v>
      </c>
      <c r="S170" s="564">
        <f t="shared" si="232"/>
        <v>0</v>
      </c>
      <c r="T170" s="565">
        <f t="shared" si="232"/>
        <v>0</v>
      </c>
      <c r="U170" s="566">
        <f t="shared" si="232"/>
        <v>0</v>
      </c>
      <c r="V170" s="564">
        <f t="shared" si="232"/>
        <v>0</v>
      </c>
      <c r="W170" s="565">
        <f t="shared" si="232"/>
        <v>0</v>
      </c>
      <c r="X170" s="565">
        <f t="shared" si="232"/>
        <v>0</v>
      </c>
      <c r="Y170" s="565">
        <f t="shared" si="232"/>
        <v>0</v>
      </c>
      <c r="Z170" s="566">
        <f t="shared" si="232"/>
        <v>0</v>
      </c>
      <c r="AA170" s="564">
        <f t="shared" si="232"/>
        <v>0</v>
      </c>
      <c r="AB170" s="565">
        <f t="shared" si="232"/>
        <v>0</v>
      </c>
      <c r="AC170" s="565">
        <f t="shared" si="232"/>
        <v>0</v>
      </c>
      <c r="AD170" s="565">
        <f t="shared" si="232"/>
        <v>0</v>
      </c>
      <c r="AE170" s="566">
        <f t="shared" si="232"/>
        <v>0</v>
      </c>
      <c r="AF170" s="564">
        <f t="shared" si="232"/>
        <v>0</v>
      </c>
      <c r="AG170" s="565">
        <f t="shared" si="232"/>
        <v>0</v>
      </c>
      <c r="AH170" s="565">
        <f t="shared" si="232"/>
        <v>0</v>
      </c>
      <c r="AI170" s="565">
        <f t="shared" si="232"/>
        <v>0</v>
      </c>
      <c r="AJ170" s="566">
        <f t="shared" si="232"/>
        <v>0</v>
      </c>
      <c r="AK170" s="569"/>
      <c r="AL170" s="569"/>
      <c r="AN170" s="857"/>
      <c r="AO170" s="984" t="str">
        <f t="shared" si="154"/>
        <v>Rev</v>
      </c>
      <c r="AP170" s="985" t="str">
        <f t="shared" si="155"/>
        <v>Sewerage</v>
      </c>
      <c r="AQ170" s="986" t="str">
        <f t="shared" si="156"/>
        <v>Variable</v>
      </c>
      <c r="AR170" s="990" t="str">
        <f t="shared" si="157"/>
        <v>-</v>
      </c>
      <c r="AS170" s="987" t="str">
        <f t="shared" si="158"/>
        <v>-</v>
      </c>
      <c r="AT170" s="987" t="str">
        <f t="shared" si="159"/>
        <v>-</v>
      </c>
      <c r="AU170" s="987" t="str">
        <f t="shared" si="160"/>
        <v>-</v>
      </c>
      <c r="AV170" s="1353" t="str">
        <f t="shared" si="161"/>
        <v>-</v>
      </c>
      <c r="AW170" s="1346" t="str">
        <f t="shared" si="162"/>
        <v>-</v>
      </c>
      <c r="AX170" s="987" t="str">
        <f t="shared" si="163"/>
        <v>-</v>
      </c>
      <c r="AY170" s="987" t="str">
        <f t="shared" si="164"/>
        <v>-</v>
      </c>
      <c r="AZ170" s="987" t="str">
        <f t="shared" si="165"/>
        <v>-</v>
      </c>
      <c r="BA170" s="988" t="str">
        <f t="shared" si="166"/>
        <v>-</v>
      </c>
      <c r="BB170" s="1346" t="str">
        <f t="shared" si="167"/>
        <v>-</v>
      </c>
      <c r="BC170" s="987" t="str">
        <f t="shared" si="168"/>
        <v>-</v>
      </c>
      <c r="BD170" s="987" t="str">
        <f t="shared" si="169"/>
        <v>-</v>
      </c>
      <c r="BE170" s="987" t="str">
        <f t="shared" si="170"/>
        <v>-</v>
      </c>
      <c r="BF170" s="989" t="str">
        <f t="shared" si="171"/>
        <v>-</v>
      </c>
      <c r="BG170" s="951"/>
      <c r="BH170" s="1550" t="str">
        <f t="shared" si="172"/>
        <v>Rev</v>
      </c>
      <c r="BI170" s="1551" t="str">
        <f t="shared" si="173"/>
        <v>Sewerage</v>
      </c>
      <c r="BJ170" s="1552" t="str">
        <f t="shared" si="174"/>
        <v>Variable</v>
      </c>
      <c r="BK170" s="987" t="str">
        <f t="shared" ref="BK170:BU170" si="233">IF(V170="","-",IFERROR((V170/U170-1)*(U170/U$13),"-"))</f>
        <v>-</v>
      </c>
      <c r="BL170" s="987" t="str">
        <f t="shared" si="233"/>
        <v>-</v>
      </c>
      <c r="BM170" s="987" t="str">
        <f t="shared" si="233"/>
        <v>-</v>
      </c>
      <c r="BN170" s="987" t="str">
        <f t="shared" si="233"/>
        <v>-</v>
      </c>
      <c r="BO170" s="1353" t="str">
        <f t="shared" si="233"/>
        <v>-</v>
      </c>
      <c r="BP170" s="1346" t="str">
        <f t="shared" si="233"/>
        <v>-</v>
      </c>
      <c r="BQ170" s="987" t="str">
        <f t="shared" si="233"/>
        <v>-</v>
      </c>
      <c r="BR170" s="987" t="str">
        <f t="shared" si="233"/>
        <v>-</v>
      </c>
      <c r="BS170" s="987" t="str">
        <f t="shared" si="233"/>
        <v>-</v>
      </c>
      <c r="BT170" s="988" t="str">
        <f t="shared" si="233"/>
        <v>-</v>
      </c>
      <c r="BU170" s="987" t="str">
        <f t="shared" si="233"/>
        <v>-</v>
      </c>
      <c r="BV170" s="987" t="str">
        <f>IF(AG170="","-",IFERROR((AG170/AF170-1)*(AF170/AF$13),"-"))</f>
        <v>-</v>
      </c>
      <c r="BW170" s="987" t="str">
        <f>IF(AH170="","-",IFERROR((AH170/AG170-1)*(AG170/AG$13),"-"))</f>
        <v>-</v>
      </c>
      <c r="BX170" s="987" t="str">
        <f>IF(AI170="","-",IFERROR((AI170/AH170-1)*(AH170/AH$13),"-"))</f>
        <v>-</v>
      </c>
      <c r="BY170" s="989" t="str">
        <f>IF(AJ170="","-",IFERROR((AJ170/AI170-1)*(AI170/AI$13),"-"))</f>
        <v>-</v>
      </c>
      <c r="BZ170" s="951"/>
      <c r="CA170" s="984" t="str">
        <f t="shared" si="151"/>
        <v>Rev</v>
      </c>
      <c r="CB170" s="985" t="str">
        <f t="shared" si="152"/>
        <v>Sewerage</v>
      </c>
      <c r="CC170" s="985" t="str">
        <f t="shared" si="153"/>
        <v>Variable</v>
      </c>
      <c r="CD170" s="990" t="str">
        <f t="shared" si="184"/>
        <v>-</v>
      </c>
      <c r="CE170" s="987" t="str">
        <f t="shared" si="176"/>
        <v>-</v>
      </c>
      <c r="CF170" s="987" t="str">
        <f t="shared" si="177"/>
        <v>-</v>
      </c>
      <c r="CG170" s="988" t="str">
        <f t="shared" si="178"/>
        <v>-</v>
      </c>
      <c r="CH170" s="987" t="str">
        <f t="shared" si="185"/>
        <v>-</v>
      </c>
      <c r="CI170" s="987" t="str">
        <f t="shared" si="179"/>
        <v>-</v>
      </c>
      <c r="CJ170" s="987" t="str">
        <f t="shared" si="180"/>
        <v>-</v>
      </c>
      <c r="CK170" s="989" t="str">
        <f t="shared" si="181"/>
        <v>-</v>
      </c>
    </row>
    <row r="171" spans="4:89">
      <c r="D171" s="63">
        <f>D168+1</f>
        <v>35</v>
      </c>
      <c r="E171" s="550" t="s">
        <v>857</v>
      </c>
      <c r="F171" s="595" t="s">
        <v>402</v>
      </c>
      <c r="G171" s="595" t="s">
        <v>103</v>
      </c>
      <c r="H171" s="595" t="s">
        <v>895</v>
      </c>
      <c r="I171" s="589" t="s">
        <v>843</v>
      </c>
      <c r="J171" s="589" t="s">
        <v>879</v>
      </c>
      <c r="K171" s="551"/>
      <c r="L171" s="552"/>
      <c r="M171" s="552"/>
      <c r="N171" s="551"/>
      <c r="O171" s="552"/>
      <c r="P171" s="552"/>
      <c r="Q171" s="552"/>
      <c r="R171" s="1035"/>
      <c r="S171" s="1138"/>
      <c r="T171" s="591"/>
      <c r="U171" s="1035"/>
      <c r="V171" s="1138"/>
      <c r="W171" s="591"/>
      <c r="X171" s="591"/>
      <c r="Y171" s="591"/>
      <c r="Z171" s="1035"/>
      <c r="AA171" s="1138"/>
      <c r="AB171" s="591"/>
      <c r="AC171" s="591"/>
      <c r="AD171" s="591"/>
      <c r="AE171" s="1035"/>
      <c r="AF171" s="1138"/>
      <c r="AG171" s="591"/>
      <c r="AH171" s="591"/>
      <c r="AI171" s="591"/>
      <c r="AJ171" s="1035"/>
      <c r="AK171" s="569"/>
      <c r="AL171" s="569"/>
      <c r="AM171" s="974"/>
      <c r="AN171" s="857"/>
      <c r="AO171" s="975" t="str">
        <f t="shared" si="154"/>
        <v>Price</v>
      </c>
      <c r="AP171" s="976" t="str">
        <f t="shared" si="155"/>
        <v>Sewerage</v>
      </c>
      <c r="AQ171" s="977" t="str">
        <f t="shared" si="156"/>
        <v>Variable</v>
      </c>
      <c r="AR171" s="1341" t="str">
        <f t="shared" si="157"/>
        <v>-</v>
      </c>
      <c r="AS171" s="978" t="str">
        <f t="shared" si="158"/>
        <v>-</v>
      </c>
      <c r="AT171" s="979" t="str">
        <f t="shared" si="159"/>
        <v>-</v>
      </c>
      <c r="AU171" s="979" t="str">
        <f t="shared" si="160"/>
        <v>-</v>
      </c>
      <c r="AV171" s="1352" t="str">
        <f t="shared" si="161"/>
        <v>-</v>
      </c>
      <c r="AW171" s="1345" t="str">
        <f t="shared" si="162"/>
        <v>-</v>
      </c>
      <c r="AX171" s="979" t="str">
        <f t="shared" si="163"/>
        <v>-</v>
      </c>
      <c r="AY171" s="979" t="str">
        <f t="shared" si="164"/>
        <v>-</v>
      </c>
      <c r="AZ171" s="979" t="str">
        <f t="shared" si="165"/>
        <v>-</v>
      </c>
      <c r="BA171" s="980" t="str">
        <f t="shared" si="166"/>
        <v>-</v>
      </c>
      <c r="BB171" s="1345" t="str">
        <f t="shared" si="167"/>
        <v>-</v>
      </c>
      <c r="BC171" s="979" t="str">
        <f t="shared" si="168"/>
        <v>-</v>
      </c>
      <c r="BD171" s="979" t="str">
        <f t="shared" si="169"/>
        <v>-</v>
      </c>
      <c r="BE171" s="979" t="str">
        <f t="shared" si="170"/>
        <v>-</v>
      </c>
      <c r="BF171" s="981" t="str">
        <f t="shared" si="171"/>
        <v>-</v>
      </c>
      <c r="BG171" s="951"/>
      <c r="BH171" s="1547" t="str">
        <f t="shared" si="172"/>
        <v>Price</v>
      </c>
      <c r="BI171" s="1548" t="str">
        <f t="shared" si="173"/>
        <v>Sewerage</v>
      </c>
      <c r="BJ171" s="1549" t="str">
        <f t="shared" si="174"/>
        <v>Variable</v>
      </c>
      <c r="BK171" s="978" t="str">
        <f t="shared" ref="BK171:BU171" si="234">IF(V171="","-",IFERROR((V171/U171-1)*(U173/U$13),"-"))</f>
        <v>-</v>
      </c>
      <c r="BL171" s="978" t="str">
        <f t="shared" si="234"/>
        <v>-</v>
      </c>
      <c r="BM171" s="979" t="str">
        <f t="shared" si="234"/>
        <v>-</v>
      </c>
      <c r="BN171" s="979" t="str">
        <f t="shared" si="234"/>
        <v>-</v>
      </c>
      <c r="BO171" s="1352" t="str">
        <f t="shared" si="234"/>
        <v>-</v>
      </c>
      <c r="BP171" s="1345" t="str">
        <f t="shared" si="234"/>
        <v>-</v>
      </c>
      <c r="BQ171" s="979" t="str">
        <f t="shared" si="234"/>
        <v>-</v>
      </c>
      <c r="BR171" s="979" t="str">
        <f t="shared" si="234"/>
        <v>-</v>
      </c>
      <c r="BS171" s="979" t="str">
        <f t="shared" si="234"/>
        <v>-</v>
      </c>
      <c r="BT171" s="980" t="str">
        <f t="shared" si="234"/>
        <v>-</v>
      </c>
      <c r="BU171" s="979" t="str">
        <f t="shared" si="234"/>
        <v>-</v>
      </c>
      <c r="BV171" s="979" t="str">
        <f>IF(AG171="","-",IFERROR((AG171/AF171-1)*(AF173/AF$13),"-"))</f>
        <v>-</v>
      </c>
      <c r="BW171" s="979" t="str">
        <f>IF(AH171="","-",IFERROR((AH171/AG171-1)*(AG173/AG$13),"-"))</f>
        <v>-</v>
      </c>
      <c r="BX171" s="979" t="str">
        <f>IF(AI171="","-",IFERROR((AI171/AH171-1)*(AH173/AH$13),"-"))</f>
        <v>-</v>
      </c>
      <c r="BY171" s="981" t="str">
        <f>IF(AJ171="","-",IFERROR((AJ171/AI171-1)*(AI173/AI$13),"-"))</f>
        <v>-</v>
      </c>
      <c r="BZ171" s="951"/>
      <c r="CA171" s="975" t="str">
        <f t="shared" si="151"/>
        <v>Price</v>
      </c>
      <c r="CB171" s="976" t="str">
        <f t="shared" si="152"/>
        <v>Sewerage</v>
      </c>
      <c r="CC171" s="982" t="str">
        <f t="shared" si="153"/>
        <v>Variable</v>
      </c>
      <c r="CD171" s="983" t="str">
        <f t="shared" si="184"/>
        <v>-</v>
      </c>
      <c r="CE171" s="979" t="str">
        <f t="shared" si="176"/>
        <v>-</v>
      </c>
      <c r="CF171" s="979" t="str">
        <f t="shared" si="177"/>
        <v>-</v>
      </c>
      <c r="CG171" s="980" t="str">
        <f t="shared" si="178"/>
        <v>-</v>
      </c>
      <c r="CH171" s="979" t="str">
        <f t="shared" si="185"/>
        <v>-</v>
      </c>
      <c r="CI171" s="979" t="str">
        <f t="shared" si="179"/>
        <v>-</v>
      </c>
      <c r="CJ171" s="979" t="str">
        <f t="shared" si="180"/>
        <v>-</v>
      </c>
      <c r="CK171" s="981" t="str">
        <f t="shared" si="181"/>
        <v>-</v>
      </c>
    </row>
    <row r="172" spans="4:89">
      <c r="E172" s="567" t="s">
        <v>880</v>
      </c>
      <c r="F172" s="554" t="str">
        <f>+F171</f>
        <v>Sewerage</v>
      </c>
      <c r="G172" s="555" t="str">
        <f>+G171</f>
        <v>YVW</v>
      </c>
      <c r="H172" s="555" t="str">
        <f>+H171</f>
        <v>Trade waste - BOD Western</v>
      </c>
      <c r="I172" s="556" t="str">
        <f>+I171</f>
        <v>Variable</v>
      </c>
      <c r="J172" s="590" t="s">
        <v>896</v>
      </c>
      <c r="K172" s="557"/>
      <c r="L172" s="558"/>
      <c r="M172" s="558"/>
      <c r="N172" s="557"/>
      <c r="O172" s="558"/>
      <c r="P172" s="558"/>
      <c r="Q172" s="558"/>
      <c r="R172" s="1036"/>
      <c r="S172" s="1139"/>
      <c r="T172" s="593"/>
      <c r="U172" s="1036"/>
      <c r="V172" s="1139"/>
      <c r="W172" s="593"/>
      <c r="X172" s="593"/>
      <c r="Y172" s="593"/>
      <c r="Z172" s="1036"/>
      <c r="AA172" s="1139"/>
      <c r="AB172" s="593"/>
      <c r="AC172" s="593"/>
      <c r="AD172" s="593"/>
      <c r="AE172" s="1036"/>
      <c r="AF172" s="1139"/>
      <c r="AG172" s="593"/>
      <c r="AH172" s="593"/>
      <c r="AI172" s="593"/>
      <c r="AJ172" s="1036"/>
      <c r="AK172" s="569"/>
      <c r="AL172" s="569"/>
      <c r="AN172" s="857"/>
      <c r="AO172" s="961" t="str">
        <f t="shared" si="154"/>
        <v>Qty</v>
      </c>
      <c r="AP172" s="962" t="str">
        <f t="shared" si="155"/>
        <v>Sewerage</v>
      </c>
      <c r="AQ172" s="963" t="str">
        <f t="shared" si="156"/>
        <v>Variable</v>
      </c>
      <c r="AR172" s="967" t="str">
        <f t="shared" si="157"/>
        <v>-</v>
      </c>
      <c r="AS172" s="964" t="str">
        <f t="shared" si="158"/>
        <v>-</v>
      </c>
      <c r="AT172" s="964" t="str">
        <f t="shared" si="159"/>
        <v>-</v>
      </c>
      <c r="AU172" s="964" t="str">
        <f t="shared" si="160"/>
        <v>-</v>
      </c>
      <c r="AV172" s="1350" t="str">
        <f t="shared" si="161"/>
        <v>-</v>
      </c>
      <c r="AW172" s="1343" t="str">
        <f t="shared" si="162"/>
        <v>-</v>
      </c>
      <c r="AX172" s="964" t="str">
        <f t="shared" si="163"/>
        <v>-</v>
      </c>
      <c r="AY172" s="964" t="str">
        <f t="shared" si="164"/>
        <v>-</v>
      </c>
      <c r="AZ172" s="964" t="str">
        <f t="shared" si="165"/>
        <v>-</v>
      </c>
      <c r="BA172" s="965" t="str">
        <f t="shared" si="166"/>
        <v>-</v>
      </c>
      <c r="BB172" s="1343" t="str">
        <f t="shared" si="167"/>
        <v>-</v>
      </c>
      <c r="BC172" s="964" t="str">
        <f t="shared" si="168"/>
        <v>-</v>
      </c>
      <c r="BD172" s="964" t="str">
        <f t="shared" si="169"/>
        <v>-</v>
      </c>
      <c r="BE172" s="964" t="str">
        <f t="shared" si="170"/>
        <v>-</v>
      </c>
      <c r="BF172" s="966" t="str">
        <f t="shared" si="171"/>
        <v>-</v>
      </c>
      <c r="BG172" s="951"/>
      <c r="BH172" s="1541" t="str">
        <f t="shared" si="172"/>
        <v>Qty</v>
      </c>
      <c r="BI172" s="1542" t="str">
        <f t="shared" si="173"/>
        <v>Sewerage</v>
      </c>
      <c r="BJ172" s="1543" t="str">
        <f t="shared" si="174"/>
        <v>Variable</v>
      </c>
      <c r="BK172" s="964" t="str">
        <f t="shared" ref="BK172:BU172" si="235">IF(V172="","-",IFERROR((V172/U172-1)*(U173/U$13),"-"))</f>
        <v>-</v>
      </c>
      <c r="BL172" s="964" t="str">
        <f t="shared" si="235"/>
        <v>-</v>
      </c>
      <c r="BM172" s="964" t="str">
        <f t="shared" si="235"/>
        <v>-</v>
      </c>
      <c r="BN172" s="964" t="str">
        <f t="shared" si="235"/>
        <v>-</v>
      </c>
      <c r="BO172" s="1350" t="str">
        <f t="shared" si="235"/>
        <v>-</v>
      </c>
      <c r="BP172" s="1343" t="str">
        <f t="shared" si="235"/>
        <v>-</v>
      </c>
      <c r="BQ172" s="964" t="str">
        <f t="shared" si="235"/>
        <v>-</v>
      </c>
      <c r="BR172" s="964" t="str">
        <f t="shared" si="235"/>
        <v>-</v>
      </c>
      <c r="BS172" s="964" t="str">
        <f t="shared" si="235"/>
        <v>-</v>
      </c>
      <c r="BT172" s="965" t="str">
        <f t="shared" si="235"/>
        <v>-</v>
      </c>
      <c r="BU172" s="964" t="str">
        <f t="shared" si="235"/>
        <v>-</v>
      </c>
      <c r="BV172" s="964" t="str">
        <f>IF(AG172="","-",IFERROR((AG172/AF172-1)*(AF173/AF$13),"-"))</f>
        <v>-</v>
      </c>
      <c r="BW172" s="964" t="str">
        <f>IF(AH172="","-",IFERROR((AH172/AG172-1)*(AG173/AG$13),"-"))</f>
        <v>-</v>
      </c>
      <c r="BX172" s="964" t="str">
        <f>IF(AI172="","-",IFERROR((AI172/AH172-1)*(AH173/AH$13),"-"))</f>
        <v>-</v>
      </c>
      <c r="BY172" s="966" t="str">
        <f>IF(AJ172="","-",IFERROR((AJ172/AI172-1)*(AI173/AI$13),"-"))</f>
        <v>-</v>
      </c>
      <c r="BZ172" s="951"/>
      <c r="CA172" s="961" t="str">
        <f t="shared" si="151"/>
        <v>Qty</v>
      </c>
      <c r="CB172" s="962" t="str">
        <f t="shared" si="152"/>
        <v>Sewerage</v>
      </c>
      <c r="CC172" s="962" t="str">
        <f t="shared" si="153"/>
        <v>Variable</v>
      </c>
      <c r="CD172" s="967" t="str">
        <f t="shared" si="184"/>
        <v>-</v>
      </c>
      <c r="CE172" s="964" t="str">
        <f t="shared" si="176"/>
        <v>-</v>
      </c>
      <c r="CF172" s="964" t="str">
        <f t="shared" si="177"/>
        <v>-</v>
      </c>
      <c r="CG172" s="965" t="str">
        <f t="shared" si="178"/>
        <v>-</v>
      </c>
      <c r="CH172" s="964" t="str">
        <f t="shared" si="185"/>
        <v>-</v>
      </c>
      <c r="CI172" s="964" t="str">
        <f t="shared" si="179"/>
        <v>-</v>
      </c>
      <c r="CJ172" s="964" t="str">
        <f t="shared" si="180"/>
        <v>-</v>
      </c>
      <c r="CK172" s="966" t="str">
        <f t="shared" si="181"/>
        <v>-</v>
      </c>
    </row>
    <row r="173" spans="4:89" ht="12.75" thickBot="1">
      <c r="E173" s="568" t="s">
        <v>882</v>
      </c>
      <c r="F173" s="560" t="str">
        <f>+F171</f>
        <v>Sewerage</v>
      </c>
      <c r="G173" s="561" t="str">
        <f>+G171</f>
        <v>YVW</v>
      </c>
      <c r="H173" s="561" t="str">
        <f>+H171</f>
        <v>Trade waste - BOD Western</v>
      </c>
      <c r="I173" s="562" t="str">
        <f>+I171</f>
        <v>Variable</v>
      </c>
      <c r="J173" s="563" t="s">
        <v>883</v>
      </c>
      <c r="K173" s="564">
        <f t="shared" ref="K173:AJ173" si="236">K171*K172/10^6</f>
        <v>0</v>
      </c>
      <c r="L173" s="565">
        <f t="shared" si="236"/>
        <v>0</v>
      </c>
      <c r="M173" s="565">
        <f t="shared" si="236"/>
        <v>0</v>
      </c>
      <c r="N173" s="564">
        <f t="shared" si="236"/>
        <v>0</v>
      </c>
      <c r="O173" s="565">
        <f t="shared" si="236"/>
        <v>0</v>
      </c>
      <c r="P173" s="565">
        <f t="shared" si="236"/>
        <v>0</v>
      </c>
      <c r="Q173" s="565">
        <f t="shared" si="236"/>
        <v>0</v>
      </c>
      <c r="R173" s="566">
        <f t="shared" si="236"/>
        <v>0</v>
      </c>
      <c r="S173" s="564">
        <f t="shared" si="236"/>
        <v>0</v>
      </c>
      <c r="T173" s="565">
        <f t="shared" si="236"/>
        <v>0</v>
      </c>
      <c r="U173" s="566">
        <f t="shared" si="236"/>
        <v>0</v>
      </c>
      <c r="V173" s="564">
        <f t="shared" si="236"/>
        <v>0</v>
      </c>
      <c r="W173" s="565">
        <f t="shared" si="236"/>
        <v>0</v>
      </c>
      <c r="X173" s="565">
        <f t="shared" si="236"/>
        <v>0</v>
      </c>
      <c r="Y173" s="565">
        <f t="shared" si="236"/>
        <v>0</v>
      </c>
      <c r="Z173" s="566">
        <f t="shared" si="236"/>
        <v>0</v>
      </c>
      <c r="AA173" s="564">
        <f t="shared" si="236"/>
        <v>0</v>
      </c>
      <c r="AB173" s="565">
        <f t="shared" si="236"/>
        <v>0</v>
      </c>
      <c r="AC173" s="565">
        <f t="shared" si="236"/>
        <v>0</v>
      </c>
      <c r="AD173" s="565">
        <f t="shared" si="236"/>
        <v>0</v>
      </c>
      <c r="AE173" s="566">
        <f t="shared" si="236"/>
        <v>0</v>
      </c>
      <c r="AF173" s="564">
        <f t="shared" si="236"/>
        <v>0</v>
      </c>
      <c r="AG173" s="565">
        <f t="shared" si="236"/>
        <v>0</v>
      </c>
      <c r="AH173" s="565">
        <f t="shared" si="236"/>
        <v>0</v>
      </c>
      <c r="AI173" s="565">
        <f t="shared" si="236"/>
        <v>0</v>
      </c>
      <c r="AJ173" s="566">
        <f t="shared" si="236"/>
        <v>0</v>
      </c>
      <c r="AK173" s="569"/>
      <c r="AL173" s="569"/>
      <c r="AN173" s="857"/>
      <c r="AO173" s="984" t="str">
        <f t="shared" si="154"/>
        <v>Rev</v>
      </c>
      <c r="AP173" s="985" t="str">
        <f t="shared" si="155"/>
        <v>Sewerage</v>
      </c>
      <c r="AQ173" s="986" t="str">
        <f t="shared" si="156"/>
        <v>Variable</v>
      </c>
      <c r="AR173" s="990" t="str">
        <f t="shared" si="157"/>
        <v>-</v>
      </c>
      <c r="AS173" s="987" t="str">
        <f t="shared" si="158"/>
        <v>-</v>
      </c>
      <c r="AT173" s="987" t="str">
        <f t="shared" si="159"/>
        <v>-</v>
      </c>
      <c r="AU173" s="987" t="str">
        <f t="shared" si="160"/>
        <v>-</v>
      </c>
      <c r="AV173" s="1353" t="str">
        <f t="shared" si="161"/>
        <v>-</v>
      </c>
      <c r="AW173" s="1346" t="str">
        <f t="shared" si="162"/>
        <v>-</v>
      </c>
      <c r="AX173" s="987" t="str">
        <f t="shared" si="163"/>
        <v>-</v>
      </c>
      <c r="AY173" s="987" t="str">
        <f t="shared" si="164"/>
        <v>-</v>
      </c>
      <c r="AZ173" s="987" t="str">
        <f t="shared" si="165"/>
        <v>-</v>
      </c>
      <c r="BA173" s="988" t="str">
        <f t="shared" si="166"/>
        <v>-</v>
      </c>
      <c r="BB173" s="1346" t="str">
        <f t="shared" si="167"/>
        <v>-</v>
      </c>
      <c r="BC173" s="987" t="str">
        <f t="shared" si="168"/>
        <v>-</v>
      </c>
      <c r="BD173" s="987" t="str">
        <f t="shared" si="169"/>
        <v>-</v>
      </c>
      <c r="BE173" s="987" t="str">
        <f t="shared" si="170"/>
        <v>-</v>
      </c>
      <c r="BF173" s="989" t="str">
        <f t="shared" si="171"/>
        <v>-</v>
      </c>
      <c r="BG173" s="951"/>
      <c r="BH173" s="1550" t="str">
        <f t="shared" si="172"/>
        <v>Rev</v>
      </c>
      <c r="BI173" s="1551" t="str">
        <f t="shared" si="173"/>
        <v>Sewerage</v>
      </c>
      <c r="BJ173" s="1552" t="str">
        <f t="shared" si="174"/>
        <v>Variable</v>
      </c>
      <c r="BK173" s="987" t="str">
        <f t="shared" ref="BK173:BU173" si="237">IF(V173="","-",IFERROR((V173/U173-1)*(U173/U$13),"-"))</f>
        <v>-</v>
      </c>
      <c r="BL173" s="987" t="str">
        <f t="shared" si="237"/>
        <v>-</v>
      </c>
      <c r="BM173" s="987" t="str">
        <f t="shared" si="237"/>
        <v>-</v>
      </c>
      <c r="BN173" s="987" t="str">
        <f t="shared" si="237"/>
        <v>-</v>
      </c>
      <c r="BO173" s="1353" t="str">
        <f t="shared" si="237"/>
        <v>-</v>
      </c>
      <c r="BP173" s="1346" t="str">
        <f t="shared" si="237"/>
        <v>-</v>
      </c>
      <c r="BQ173" s="987" t="str">
        <f t="shared" si="237"/>
        <v>-</v>
      </c>
      <c r="BR173" s="987" t="str">
        <f t="shared" si="237"/>
        <v>-</v>
      </c>
      <c r="BS173" s="987" t="str">
        <f t="shared" si="237"/>
        <v>-</v>
      </c>
      <c r="BT173" s="988" t="str">
        <f t="shared" si="237"/>
        <v>-</v>
      </c>
      <c r="BU173" s="987" t="str">
        <f t="shared" si="237"/>
        <v>-</v>
      </c>
      <c r="BV173" s="987" t="str">
        <f>IF(AG173="","-",IFERROR((AG173/AF173-1)*(AF173/AF$13),"-"))</f>
        <v>-</v>
      </c>
      <c r="BW173" s="987" t="str">
        <f>IF(AH173="","-",IFERROR((AH173/AG173-1)*(AG173/AG$13),"-"))</f>
        <v>-</v>
      </c>
      <c r="BX173" s="987" t="str">
        <f>IF(AI173="","-",IFERROR((AI173/AH173-1)*(AH173/AH$13),"-"))</f>
        <v>-</v>
      </c>
      <c r="BY173" s="989" t="str">
        <f>IF(AJ173="","-",IFERROR((AJ173/AI173-1)*(AI173/AI$13),"-"))</f>
        <v>-</v>
      </c>
      <c r="BZ173" s="951"/>
      <c r="CA173" s="984" t="str">
        <f t="shared" si="151"/>
        <v>Rev</v>
      </c>
      <c r="CB173" s="985" t="str">
        <f t="shared" si="152"/>
        <v>Sewerage</v>
      </c>
      <c r="CC173" s="985" t="str">
        <f t="shared" si="153"/>
        <v>Variable</v>
      </c>
      <c r="CD173" s="990" t="str">
        <f t="shared" si="184"/>
        <v>-</v>
      </c>
      <c r="CE173" s="987" t="str">
        <f t="shared" si="176"/>
        <v>-</v>
      </c>
      <c r="CF173" s="987" t="str">
        <f t="shared" si="177"/>
        <v>-</v>
      </c>
      <c r="CG173" s="988" t="str">
        <f t="shared" si="178"/>
        <v>-</v>
      </c>
      <c r="CH173" s="987" t="str">
        <f t="shared" si="185"/>
        <v>-</v>
      </c>
      <c r="CI173" s="987" t="str">
        <f t="shared" si="179"/>
        <v>-</v>
      </c>
      <c r="CJ173" s="987" t="str">
        <f t="shared" si="180"/>
        <v>-</v>
      </c>
      <c r="CK173" s="989" t="str">
        <f t="shared" si="181"/>
        <v>-</v>
      </c>
    </row>
    <row r="174" spans="4:89">
      <c r="D174" s="63">
        <f>D171+1</f>
        <v>36</v>
      </c>
      <c r="E174" s="550" t="s">
        <v>857</v>
      </c>
      <c r="F174" s="595" t="s">
        <v>402</v>
      </c>
      <c r="G174" s="595" t="s">
        <v>92</v>
      </c>
      <c r="H174" s="595" t="s">
        <v>897</v>
      </c>
      <c r="I174" s="589" t="s">
        <v>843</v>
      </c>
      <c r="J174" s="589" t="s">
        <v>879</v>
      </c>
      <c r="K174" s="551"/>
      <c r="L174" s="552"/>
      <c r="M174" s="552"/>
      <c r="N174" s="551"/>
      <c r="O174" s="552"/>
      <c r="P174" s="552"/>
      <c r="Q174" s="552"/>
      <c r="R174" s="1035"/>
      <c r="S174" s="1138"/>
      <c r="T174" s="591"/>
      <c r="U174" s="1035"/>
      <c r="V174" s="1138"/>
      <c r="W174" s="591"/>
      <c r="X174" s="591"/>
      <c r="Y174" s="591"/>
      <c r="Z174" s="1035"/>
      <c r="AA174" s="1138"/>
      <c r="AB174" s="591"/>
      <c r="AC174" s="591"/>
      <c r="AD174" s="591"/>
      <c r="AE174" s="1035"/>
      <c r="AF174" s="1138"/>
      <c r="AG174" s="591"/>
      <c r="AH174" s="591"/>
      <c r="AI174" s="591"/>
      <c r="AJ174" s="1035"/>
      <c r="AK174" s="569"/>
      <c r="AL174" s="569"/>
      <c r="AM174" s="974"/>
      <c r="AN174" s="857"/>
      <c r="AO174" s="975" t="str">
        <f t="shared" si="154"/>
        <v>Price</v>
      </c>
      <c r="AP174" s="976" t="str">
        <f t="shared" si="155"/>
        <v>Sewerage</v>
      </c>
      <c r="AQ174" s="977" t="str">
        <f t="shared" si="156"/>
        <v>Variable</v>
      </c>
      <c r="AR174" s="1341" t="str">
        <f t="shared" si="157"/>
        <v>-</v>
      </c>
      <c r="AS174" s="978" t="str">
        <f t="shared" si="158"/>
        <v>-</v>
      </c>
      <c r="AT174" s="979" t="str">
        <f t="shared" si="159"/>
        <v>-</v>
      </c>
      <c r="AU174" s="979" t="str">
        <f t="shared" si="160"/>
        <v>-</v>
      </c>
      <c r="AV174" s="1352" t="str">
        <f t="shared" si="161"/>
        <v>-</v>
      </c>
      <c r="AW174" s="1345" t="str">
        <f t="shared" si="162"/>
        <v>-</v>
      </c>
      <c r="AX174" s="979" t="str">
        <f t="shared" si="163"/>
        <v>-</v>
      </c>
      <c r="AY174" s="979" t="str">
        <f t="shared" si="164"/>
        <v>-</v>
      </c>
      <c r="AZ174" s="979" t="str">
        <f t="shared" si="165"/>
        <v>-</v>
      </c>
      <c r="BA174" s="980" t="str">
        <f t="shared" si="166"/>
        <v>-</v>
      </c>
      <c r="BB174" s="1345" t="str">
        <f t="shared" si="167"/>
        <v>-</v>
      </c>
      <c r="BC174" s="979" t="str">
        <f t="shared" si="168"/>
        <v>-</v>
      </c>
      <c r="BD174" s="979" t="str">
        <f t="shared" si="169"/>
        <v>-</v>
      </c>
      <c r="BE174" s="979" t="str">
        <f t="shared" si="170"/>
        <v>-</v>
      </c>
      <c r="BF174" s="981" t="str">
        <f t="shared" si="171"/>
        <v>-</v>
      </c>
      <c r="BG174" s="951"/>
      <c r="BH174" s="1547" t="str">
        <f t="shared" si="172"/>
        <v>Price</v>
      </c>
      <c r="BI174" s="1548" t="str">
        <f t="shared" si="173"/>
        <v>Sewerage</v>
      </c>
      <c r="BJ174" s="1549" t="str">
        <f t="shared" si="174"/>
        <v>Variable</v>
      </c>
      <c r="BK174" s="978" t="str">
        <f t="shared" ref="BK174:BU174" si="238">IF(V174="","-",IFERROR((V174/U174-1)*(U176/U$13),"-"))</f>
        <v>-</v>
      </c>
      <c r="BL174" s="978" t="str">
        <f t="shared" si="238"/>
        <v>-</v>
      </c>
      <c r="BM174" s="979" t="str">
        <f t="shared" si="238"/>
        <v>-</v>
      </c>
      <c r="BN174" s="979" t="str">
        <f t="shared" si="238"/>
        <v>-</v>
      </c>
      <c r="BO174" s="1352" t="str">
        <f t="shared" si="238"/>
        <v>-</v>
      </c>
      <c r="BP174" s="1345" t="str">
        <f t="shared" si="238"/>
        <v>-</v>
      </c>
      <c r="BQ174" s="979" t="str">
        <f t="shared" si="238"/>
        <v>-</v>
      </c>
      <c r="BR174" s="979" t="str">
        <f t="shared" si="238"/>
        <v>-</v>
      </c>
      <c r="BS174" s="979" t="str">
        <f t="shared" si="238"/>
        <v>-</v>
      </c>
      <c r="BT174" s="980" t="str">
        <f t="shared" si="238"/>
        <v>-</v>
      </c>
      <c r="BU174" s="979" t="str">
        <f t="shared" si="238"/>
        <v>-</v>
      </c>
      <c r="BV174" s="979" t="str">
        <f>IF(AG174="","-",IFERROR((AG174/AF174-1)*(AF176/AF$13),"-"))</f>
        <v>-</v>
      </c>
      <c r="BW174" s="979" t="str">
        <f>IF(AH174="","-",IFERROR((AH174/AG174-1)*(AG176/AG$13),"-"))</f>
        <v>-</v>
      </c>
      <c r="BX174" s="979" t="str">
        <f>IF(AI174="","-",IFERROR((AI174/AH174-1)*(AH176/AH$13),"-"))</f>
        <v>-</v>
      </c>
      <c r="BY174" s="981" t="str">
        <f>IF(AJ174="","-",IFERROR((AJ174/AI174-1)*(AI176/AI$13),"-"))</f>
        <v>-</v>
      </c>
      <c r="BZ174" s="951"/>
      <c r="CA174" s="975" t="str">
        <f t="shared" si="151"/>
        <v>Price</v>
      </c>
      <c r="CB174" s="976" t="str">
        <f t="shared" si="152"/>
        <v>Sewerage</v>
      </c>
      <c r="CC174" s="982" t="str">
        <f t="shared" si="153"/>
        <v>Variable</v>
      </c>
      <c r="CD174" s="983" t="str">
        <f t="shared" si="184"/>
        <v>-</v>
      </c>
      <c r="CE174" s="979" t="str">
        <f t="shared" si="176"/>
        <v>-</v>
      </c>
      <c r="CF174" s="979" t="str">
        <f t="shared" si="177"/>
        <v>-</v>
      </c>
      <c r="CG174" s="980" t="str">
        <f t="shared" si="178"/>
        <v>-</v>
      </c>
      <c r="CH174" s="979" t="str">
        <f t="shared" si="185"/>
        <v>-</v>
      </c>
      <c r="CI174" s="979" t="str">
        <f t="shared" si="179"/>
        <v>-</v>
      </c>
      <c r="CJ174" s="979" t="str">
        <f t="shared" si="180"/>
        <v>-</v>
      </c>
      <c r="CK174" s="981" t="str">
        <f t="shared" si="181"/>
        <v>-</v>
      </c>
    </row>
    <row r="175" spans="4:89">
      <c r="E175" s="567" t="s">
        <v>880</v>
      </c>
      <c r="F175" s="554" t="str">
        <f>+F174</f>
        <v>Sewerage</v>
      </c>
      <c r="G175" s="555" t="str">
        <f>+G174</f>
        <v>SEW</v>
      </c>
      <c r="H175" s="555" t="str">
        <f>+H174</f>
        <v>Trade waste - BOD Eastern</v>
      </c>
      <c r="I175" s="556" t="str">
        <f>+I174</f>
        <v>Variable</v>
      </c>
      <c r="J175" s="590" t="s">
        <v>896</v>
      </c>
      <c r="K175" s="557"/>
      <c r="L175" s="558"/>
      <c r="M175" s="558"/>
      <c r="N175" s="557"/>
      <c r="O175" s="558"/>
      <c r="P175" s="558"/>
      <c r="Q175" s="558"/>
      <c r="R175" s="1036"/>
      <c r="S175" s="1139"/>
      <c r="T175" s="593"/>
      <c r="U175" s="1036"/>
      <c r="V175" s="1139"/>
      <c r="W175" s="593"/>
      <c r="X175" s="593"/>
      <c r="Y175" s="593"/>
      <c r="Z175" s="1036"/>
      <c r="AA175" s="1139"/>
      <c r="AB175" s="593"/>
      <c r="AC175" s="593"/>
      <c r="AD175" s="593"/>
      <c r="AE175" s="1036"/>
      <c r="AF175" s="1139"/>
      <c r="AG175" s="593"/>
      <c r="AH175" s="593"/>
      <c r="AI175" s="593"/>
      <c r="AJ175" s="1036"/>
      <c r="AK175" s="569"/>
      <c r="AL175" s="569"/>
      <c r="AN175" s="857"/>
      <c r="AO175" s="961" t="str">
        <f t="shared" si="154"/>
        <v>Qty</v>
      </c>
      <c r="AP175" s="962" t="str">
        <f t="shared" si="155"/>
        <v>Sewerage</v>
      </c>
      <c r="AQ175" s="963" t="str">
        <f t="shared" si="156"/>
        <v>Variable</v>
      </c>
      <c r="AR175" s="967" t="str">
        <f t="shared" si="157"/>
        <v>-</v>
      </c>
      <c r="AS175" s="964" t="str">
        <f t="shared" si="158"/>
        <v>-</v>
      </c>
      <c r="AT175" s="964" t="str">
        <f t="shared" si="159"/>
        <v>-</v>
      </c>
      <c r="AU175" s="964" t="str">
        <f t="shared" si="160"/>
        <v>-</v>
      </c>
      <c r="AV175" s="1350" t="str">
        <f t="shared" si="161"/>
        <v>-</v>
      </c>
      <c r="AW175" s="1343" t="str">
        <f t="shared" si="162"/>
        <v>-</v>
      </c>
      <c r="AX175" s="964" t="str">
        <f t="shared" si="163"/>
        <v>-</v>
      </c>
      <c r="AY175" s="964" t="str">
        <f t="shared" si="164"/>
        <v>-</v>
      </c>
      <c r="AZ175" s="964" t="str">
        <f t="shared" si="165"/>
        <v>-</v>
      </c>
      <c r="BA175" s="965" t="str">
        <f t="shared" si="166"/>
        <v>-</v>
      </c>
      <c r="BB175" s="1343" t="str">
        <f t="shared" si="167"/>
        <v>-</v>
      </c>
      <c r="BC175" s="964" t="str">
        <f t="shared" si="168"/>
        <v>-</v>
      </c>
      <c r="BD175" s="964" t="str">
        <f t="shared" si="169"/>
        <v>-</v>
      </c>
      <c r="BE175" s="964" t="str">
        <f t="shared" si="170"/>
        <v>-</v>
      </c>
      <c r="BF175" s="966" t="str">
        <f t="shared" si="171"/>
        <v>-</v>
      </c>
      <c r="BG175" s="951"/>
      <c r="BH175" s="1541" t="str">
        <f t="shared" si="172"/>
        <v>Qty</v>
      </c>
      <c r="BI175" s="1542" t="str">
        <f t="shared" si="173"/>
        <v>Sewerage</v>
      </c>
      <c r="BJ175" s="1543" t="str">
        <f t="shared" si="174"/>
        <v>Variable</v>
      </c>
      <c r="BK175" s="964" t="str">
        <f t="shared" ref="BK175:BU175" si="239">IF(V175="","-",IFERROR((V175/U175-1)*(U176/U$13),"-"))</f>
        <v>-</v>
      </c>
      <c r="BL175" s="964" t="str">
        <f t="shared" si="239"/>
        <v>-</v>
      </c>
      <c r="BM175" s="964" t="str">
        <f t="shared" si="239"/>
        <v>-</v>
      </c>
      <c r="BN175" s="964" t="str">
        <f t="shared" si="239"/>
        <v>-</v>
      </c>
      <c r="BO175" s="1350" t="str">
        <f t="shared" si="239"/>
        <v>-</v>
      </c>
      <c r="BP175" s="1343" t="str">
        <f t="shared" si="239"/>
        <v>-</v>
      </c>
      <c r="BQ175" s="964" t="str">
        <f t="shared" si="239"/>
        <v>-</v>
      </c>
      <c r="BR175" s="964" t="str">
        <f t="shared" si="239"/>
        <v>-</v>
      </c>
      <c r="BS175" s="964" t="str">
        <f t="shared" si="239"/>
        <v>-</v>
      </c>
      <c r="BT175" s="965" t="str">
        <f t="shared" si="239"/>
        <v>-</v>
      </c>
      <c r="BU175" s="964" t="str">
        <f t="shared" si="239"/>
        <v>-</v>
      </c>
      <c r="BV175" s="964" t="str">
        <f>IF(AG175="","-",IFERROR((AG175/AF175-1)*(AF176/AF$13),"-"))</f>
        <v>-</v>
      </c>
      <c r="BW175" s="964" t="str">
        <f>IF(AH175="","-",IFERROR((AH175/AG175-1)*(AG176/AG$13),"-"))</f>
        <v>-</v>
      </c>
      <c r="BX175" s="964" t="str">
        <f>IF(AI175="","-",IFERROR((AI175/AH175-1)*(AH176/AH$13),"-"))</f>
        <v>-</v>
      </c>
      <c r="BY175" s="966" t="str">
        <f>IF(AJ175="","-",IFERROR((AJ175/AI175-1)*(AI176/AI$13),"-"))</f>
        <v>-</v>
      </c>
      <c r="BZ175" s="951"/>
      <c r="CA175" s="961" t="str">
        <f t="shared" si="151"/>
        <v>Qty</v>
      </c>
      <c r="CB175" s="962" t="str">
        <f t="shared" si="152"/>
        <v>Sewerage</v>
      </c>
      <c r="CC175" s="962" t="str">
        <f t="shared" si="153"/>
        <v>Variable</v>
      </c>
      <c r="CD175" s="967" t="str">
        <f t="shared" si="184"/>
        <v>-</v>
      </c>
      <c r="CE175" s="964" t="str">
        <f t="shared" si="176"/>
        <v>-</v>
      </c>
      <c r="CF175" s="964" t="str">
        <f t="shared" si="177"/>
        <v>-</v>
      </c>
      <c r="CG175" s="965" t="str">
        <f t="shared" si="178"/>
        <v>-</v>
      </c>
      <c r="CH175" s="964" t="str">
        <f t="shared" si="185"/>
        <v>-</v>
      </c>
      <c r="CI175" s="964" t="str">
        <f t="shared" si="179"/>
        <v>-</v>
      </c>
      <c r="CJ175" s="964" t="str">
        <f t="shared" si="180"/>
        <v>-</v>
      </c>
      <c r="CK175" s="966" t="str">
        <f t="shared" si="181"/>
        <v>-</v>
      </c>
    </row>
    <row r="176" spans="4:89" ht="12.75" thickBot="1">
      <c r="E176" s="568" t="s">
        <v>882</v>
      </c>
      <c r="F176" s="560" t="str">
        <f>+F174</f>
        <v>Sewerage</v>
      </c>
      <c r="G176" s="561" t="str">
        <f>+G174</f>
        <v>SEW</v>
      </c>
      <c r="H176" s="561" t="str">
        <f>+H174</f>
        <v>Trade waste - BOD Eastern</v>
      </c>
      <c r="I176" s="562" t="str">
        <f>+I174</f>
        <v>Variable</v>
      </c>
      <c r="J176" s="563" t="s">
        <v>883</v>
      </c>
      <c r="K176" s="564">
        <f t="shared" ref="K176:AJ176" si="240">K174*K175/10^6</f>
        <v>0</v>
      </c>
      <c r="L176" s="565">
        <f t="shared" si="240"/>
        <v>0</v>
      </c>
      <c r="M176" s="565">
        <f t="shared" si="240"/>
        <v>0</v>
      </c>
      <c r="N176" s="564">
        <f t="shared" si="240"/>
        <v>0</v>
      </c>
      <c r="O176" s="565">
        <f t="shared" si="240"/>
        <v>0</v>
      </c>
      <c r="P176" s="565">
        <f t="shared" si="240"/>
        <v>0</v>
      </c>
      <c r="Q176" s="565">
        <f t="shared" si="240"/>
        <v>0</v>
      </c>
      <c r="R176" s="566">
        <f t="shared" si="240"/>
        <v>0</v>
      </c>
      <c r="S176" s="564">
        <f t="shared" si="240"/>
        <v>0</v>
      </c>
      <c r="T176" s="565">
        <f t="shared" si="240"/>
        <v>0</v>
      </c>
      <c r="U176" s="566">
        <f t="shared" si="240"/>
        <v>0</v>
      </c>
      <c r="V176" s="564">
        <f t="shared" si="240"/>
        <v>0</v>
      </c>
      <c r="W176" s="565">
        <f t="shared" si="240"/>
        <v>0</v>
      </c>
      <c r="X176" s="565">
        <f t="shared" si="240"/>
        <v>0</v>
      </c>
      <c r="Y176" s="565">
        <f t="shared" si="240"/>
        <v>0</v>
      </c>
      <c r="Z176" s="566">
        <f t="shared" si="240"/>
        <v>0</v>
      </c>
      <c r="AA176" s="564">
        <f t="shared" si="240"/>
        <v>0</v>
      </c>
      <c r="AB176" s="565">
        <f t="shared" si="240"/>
        <v>0</v>
      </c>
      <c r="AC176" s="565">
        <f t="shared" si="240"/>
        <v>0</v>
      </c>
      <c r="AD176" s="565">
        <f t="shared" si="240"/>
        <v>0</v>
      </c>
      <c r="AE176" s="566">
        <f t="shared" si="240"/>
        <v>0</v>
      </c>
      <c r="AF176" s="564">
        <f t="shared" si="240"/>
        <v>0</v>
      </c>
      <c r="AG176" s="565">
        <f t="shared" si="240"/>
        <v>0</v>
      </c>
      <c r="AH176" s="565">
        <f t="shared" si="240"/>
        <v>0</v>
      </c>
      <c r="AI176" s="565">
        <f t="shared" si="240"/>
        <v>0</v>
      </c>
      <c r="AJ176" s="566">
        <f t="shared" si="240"/>
        <v>0</v>
      </c>
      <c r="AK176" s="569"/>
      <c r="AL176" s="569"/>
      <c r="AN176" s="857"/>
      <c r="AO176" s="984" t="str">
        <f t="shared" si="154"/>
        <v>Rev</v>
      </c>
      <c r="AP176" s="985" t="str">
        <f t="shared" si="155"/>
        <v>Sewerage</v>
      </c>
      <c r="AQ176" s="986" t="str">
        <f t="shared" si="156"/>
        <v>Variable</v>
      </c>
      <c r="AR176" s="990" t="str">
        <f t="shared" si="157"/>
        <v>-</v>
      </c>
      <c r="AS176" s="987" t="str">
        <f t="shared" si="158"/>
        <v>-</v>
      </c>
      <c r="AT176" s="987" t="str">
        <f t="shared" si="159"/>
        <v>-</v>
      </c>
      <c r="AU176" s="987" t="str">
        <f t="shared" si="160"/>
        <v>-</v>
      </c>
      <c r="AV176" s="1353" t="str">
        <f t="shared" si="161"/>
        <v>-</v>
      </c>
      <c r="AW176" s="1346" t="str">
        <f t="shared" si="162"/>
        <v>-</v>
      </c>
      <c r="AX176" s="987" t="str">
        <f t="shared" si="163"/>
        <v>-</v>
      </c>
      <c r="AY176" s="987" t="str">
        <f t="shared" si="164"/>
        <v>-</v>
      </c>
      <c r="AZ176" s="987" t="str">
        <f t="shared" si="165"/>
        <v>-</v>
      </c>
      <c r="BA176" s="988" t="str">
        <f t="shared" si="166"/>
        <v>-</v>
      </c>
      <c r="BB176" s="1346" t="str">
        <f t="shared" si="167"/>
        <v>-</v>
      </c>
      <c r="BC176" s="987" t="str">
        <f t="shared" si="168"/>
        <v>-</v>
      </c>
      <c r="BD176" s="987" t="str">
        <f t="shared" si="169"/>
        <v>-</v>
      </c>
      <c r="BE176" s="987" t="str">
        <f t="shared" si="170"/>
        <v>-</v>
      </c>
      <c r="BF176" s="989" t="str">
        <f t="shared" si="171"/>
        <v>-</v>
      </c>
      <c r="BG176" s="951"/>
      <c r="BH176" s="1550" t="str">
        <f t="shared" si="172"/>
        <v>Rev</v>
      </c>
      <c r="BI176" s="1551" t="str">
        <f t="shared" si="173"/>
        <v>Sewerage</v>
      </c>
      <c r="BJ176" s="1552" t="str">
        <f t="shared" si="174"/>
        <v>Variable</v>
      </c>
      <c r="BK176" s="987" t="str">
        <f t="shared" ref="BK176:BU176" si="241">IF(V176="","-",IFERROR((V176/U176-1)*(U176/U$13),"-"))</f>
        <v>-</v>
      </c>
      <c r="BL176" s="987" t="str">
        <f t="shared" si="241"/>
        <v>-</v>
      </c>
      <c r="BM176" s="987" t="str">
        <f t="shared" si="241"/>
        <v>-</v>
      </c>
      <c r="BN176" s="987" t="str">
        <f t="shared" si="241"/>
        <v>-</v>
      </c>
      <c r="BO176" s="1353" t="str">
        <f t="shared" si="241"/>
        <v>-</v>
      </c>
      <c r="BP176" s="1346" t="str">
        <f t="shared" si="241"/>
        <v>-</v>
      </c>
      <c r="BQ176" s="987" t="str">
        <f t="shared" si="241"/>
        <v>-</v>
      </c>
      <c r="BR176" s="987" t="str">
        <f t="shared" si="241"/>
        <v>-</v>
      </c>
      <c r="BS176" s="987" t="str">
        <f t="shared" si="241"/>
        <v>-</v>
      </c>
      <c r="BT176" s="988" t="str">
        <f t="shared" si="241"/>
        <v>-</v>
      </c>
      <c r="BU176" s="987" t="str">
        <f t="shared" si="241"/>
        <v>-</v>
      </c>
      <c r="BV176" s="987" t="str">
        <f>IF(AG176="","-",IFERROR((AG176/AF176-1)*(AF176/AF$13),"-"))</f>
        <v>-</v>
      </c>
      <c r="BW176" s="987" t="str">
        <f>IF(AH176="","-",IFERROR((AH176/AG176-1)*(AG176/AG$13),"-"))</f>
        <v>-</v>
      </c>
      <c r="BX176" s="987" t="str">
        <f>IF(AI176="","-",IFERROR((AI176/AH176-1)*(AH176/AH$13),"-"))</f>
        <v>-</v>
      </c>
      <c r="BY176" s="989" t="str">
        <f>IF(AJ176="","-",IFERROR((AJ176/AI176-1)*(AI176/AI$13),"-"))</f>
        <v>-</v>
      </c>
      <c r="BZ176" s="951"/>
      <c r="CA176" s="984" t="str">
        <f t="shared" si="151"/>
        <v>Rev</v>
      </c>
      <c r="CB176" s="985" t="str">
        <f t="shared" si="152"/>
        <v>Sewerage</v>
      </c>
      <c r="CC176" s="985" t="str">
        <f t="shared" si="153"/>
        <v>Variable</v>
      </c>
      <c r="CD176" s="990" t="str">
        <f t="shared" si="184"/>
        <v>-</v>
      </c>
      <c r="CE176" s="987" t="str">
        <f t="shared" si="176"/>
        <v>-</v>
      </c>
      <c r="CF176" s="987" t="str">
        <f t="shared" si="177"/>
        <v>-</v>
      </c>
      <c r="CG176" s="988" t="str">
        <f t="shared" si="178"/>
        <v>-</v>
      </c>
      <c r="CH176" s="987" t="str">
        <f t="shared" si="185"/>
        <v>-</v>
      </c>
      <c r="CI176" s="987" t="str">
        <f t="shared" si="179"/>
        <v>-</v>
      </c>
      <c r="CJ176" s="987" t="str">
        <f t="shared" si="180"/>
        <v>-</v>
      </c>
      <c r="CK176" s="989" t="str">
        <f t="shared" si="181"/>
        <v>-</v>
      </c>
    </row>
    <row r="177" spans="4:89">
      <c r="D177" s="63">
        <f>D174+1</f>
        <v>37</v>
      </c>
      <c r="E177" s="550" t="s">
        <v>857</v>
      </c>
      <c r="F177" s="595" t="s">
        <v>402</v>
      </c>
      <c r="G177" s="595" t="s">
        <v>103</v>
      </c>
      <c r="H177" s="595" t="s">
        <v>897</v>
      </c>
      <c r="I177" s="589" t="s">
        <v>843</v>
      </c>
      <c r="J177" s="589" t="s">
        <v>879</v>
      </c>
      <c r="K177" s="551"/>
      <c r="L177" s="552"/>
      <c r="M177" s="552"/>
      <c r="N177" s="551"/>
      <c r="O177" s="552"/>
      <c r="P177" s="552"/>
      <c r="Q177" s="552"/>
      <c r="R177" s="1035"/>
      <c r="S177" s="1138"/>
      <c r="T177" s="591"/>
      <c r="U177" s="1035"/>
      <c r="V177" s="1138"/>
      <c r="W177" s="591"/>
      <c r="X177" s="591"/>
      <c r="Y177" s="591"/>
      <c r="Z177" s="1035"/>
      <c r="AA177" s="1138"/>
      <c r="AB177" s="591"/>
      <c r="AC177" s="591"/>
      <c r="AD177" s="591"/>
      <c r="AE177" s="1035"/>
      <c r="AF177" s="1138"/>
      <c r="AG177" s="591"/>
      <c r="AH177" s="591"/>
      <c r="AI177" s="591"/>
      <c r="AJ177" s="1035"/>
      <c r="AK177" s="569"/>
      <c r="AL177" s="569"/>
      <c r="AM177" s="974"/>
      <c r="AN177" s="857"/>
      <c r="AO177" s="975" t="str">
        <f t="shared" si="154"/>
        <v>Price</v>
      </c>
      <c r="AP177" s="976" t="str">
        <f t="shared" si="155"/>
        <v>Sewerage</v>
      </c>
      <c r="AQ177" s="977" t="str">
        <f t="shared" si="156"/>
        <v>Variable</v>
      </c>
      <c r="AR177" s="1341" t="str">
        <f t="shared" si="157"/>
        <v>-</v>
      </c>
      <c r="AS177" s="978" t="str">
        <f t="shared" si="158"/>
        <v>-</v>
      </c>
      <c r="AT177" s="979" t="str">
        <f t="shared" si="159"/>
        <v>-</v>
      </c>
      <c r="AU177" s="979" t="str">
        <f t="shared" si="160"/>
        <v>-</v>
      </c>
      <c r="AV177" s="1352" t="str">
        <f t="shared" si="161"/>
        <v>-</v>
      </c>
      <c r="AW177" s="1345" t="str">
        <f t="shared" si="162"/>
        <v>-</v>
      </c>
      <c r="AX177" s="979" t="str">
        <f t="shared" si="163"/>
        <v>-</v>
      </c>
      <c r="AY177" s="979" t="str">
        <f t="shared" si="164"/>
        <v>-</v>
      </c>
      <c r="AZ177" s="979" t="str">
        <f t="shared" si="165"/>
        <v>-</v>
      </c>
      <c r="BA177" s="980" t="str">
        <f t="shared" si="166"/>
        <v>-</v>
      </c>
      <c r="BB177" s="1345" t="str">
        <f t="shared" si="167"/>
        <v>-</v>
      </c>
      <c r="BC177" s="979" t="str">
        <f t="shared" si="168"/>
        <v>-</v>
      </c>
      <c r="BD177" s="979" t="str">
        <f t="shared" si="169"/>
        <v>-</v>
      </c>
      <c r="BE177" s="979" t="str">
        <f t="shared" si="170"/>
        <v>-</v>
      </c>
      <c r="BF177" s="981" t="str">
        <f t="shared" si="171"/>
        <v>-</v>
      </c>
      <c r="BG177" s="951"/>
      <c r="BH177" s="1547" t="str">
        <f t="shared" si="172"/>
        <v>Price</v>
      </c>
      <c r="BI177" s="1548" t="str">
        <f t="shared" si="173"/>
        <v>Sewerage</v>
      </c>
      <c r="BJ177" s="1549" t="str">
        <f t="shared" si="174"/>
        <v>Variable</v>
      </c>
      <c r="BK177" s="978" t="str">
        <f t="shared" ref="BK177:BU177" si="242">IF(V177="","-",IFERROR((V177/U177-1)*(U179/U$13),"-"))</f>
        <v>-</v>
      </c>
      <c r="BL177" s="978" t="str">
        <f t="shared" si="242"/>
        <v>-</v>
      </c>
      <c r="BM177" s="979" t="str">
        <f t="shared" si="242"/>
        <v>-</v>
      </c>
      <c r="BN177" s="979" t="str">
        <f t="shared" si="242"/>
        <v>-</v>
      </c>
      <c r="BO177" s="1352" t="str">
        <f t="shared" si="242"/>
        <v>-</v>
      </c>
      <c r="BP177" s="1345" t="str">
        <f t="shared" si="242"/>
        <v>-</v>
      </c>
      <c r="BQ177" s="979" t="str">
        <f t="shared" si="242"/>
        <v>-</v>
      </c>
      <c r="BR177" s="979" t="str">
        <f t="shared" si="242"/>
        <v>-</v>
      </c>
      <c r="BS177" s="979" t="str">
        <f t="shared" si="242"/>
        <v>-</v>
      </c>
      <c r="BT177" s="980" t="str">
        <f t="shared" si="242"/>
        <v>-</v>
      </c>
      <c r="BU177" s="979" t="str">
        <f t="shared" si="242"/>
        <v>-</v>
      </c>
      <c r="BV177" s="979" t="str">
        <f>IF(AG177="","-",IFERROR((AG177/AF177-1)*(AF179/AF$13),"-"))</f>
        <v>-</v>
      </c>
      <c r="BW177" s="979" t="str">
        <f>IF(AH177="","-",IFERROR((AH177/AG177-1)*(AG179/AG$13),"-"))</f>
        <v>-</v>
      </c>
      <c r="BX177" s="979" t="str">
        <f>IF(AI177="","-",IFERROR((AI177/AH177-1)*(AH179/AH$13),"-"))</f>
        <v>-</v>
      </c>
      <c r="BY177" s="981" t="str">
        <f>IF(AJ177="","-",IFERROR((AJ177/AI177-1)*(AI179/AI$13),"-"))</f>
        <v>-</v>
      </c>
      <c r="BZ177" s="951"/>
      <c r="CA177" s="975" t="str">
        <f t="shared" si="151"/>
        <v>Price</v>
      </c>
      <c r="CB177" s="976" t="str">
        <f t="shared" si="152"/>
        <v>Sewerage</v>
      </c>
      <c r="CC177" s="982" t="str">
        <f t="shared" si="153"/>
        <v>Variable</v>
      </c>
      <c r="CD177" s="983" t="str">
        <f t="shared" si="184"/>
        <v>-</v>
      </c>
      <c r="CE177" s="979" t="str">
        <f t="shared" si="176"/>
        <v>-</v>
      </c>
      <c r="CF177" s="979" t="str">
        <f t="shared" si="177"/>
        <v>-</v>
      </c>
      <c r="CG177" s="980" t="str">
        <f t="shared" si="178"/>
        <v>-</v>
      </c>
      <c r="CH177" s="979" t="str">
        <f t="shared" si="185"/>
        <v>-</v>
      </c>
      <c r="CI177" s="979" t="str">
        <f t="shared" si="179"/>
        <v>-</v>
      </c>
      <c r="CJ177" s="979" t="str">
        <f t="shared" si="180"/>
        <v>-</v>
      </c>
      <c r="CK177" s="981" t="str">
        <f t="shared" si="181"/>
        <v>-</v>
      </c>
    </row>
    <row r="178" spans="4:89">
      <c r="E178" s="567" t="s">
        <v>880</v>
      </c>
      <c r="F178" s="554" t="str">
        <f>+F177</f>
        <v>Sewerage</v>
      </c>
      <c r="G178" s="555" t="str">
        <f>+G177</f>
        <v>YVW</v>
      </c>
      <c r="H178" s="555" t="str">
        <f>+H177</f>
        <v>Trade waste - BOD Eastern</v>
      </c>
      <c r="I178" s="556" t="str">
        <f>+I177</f>
        <v>Variable</v>
      </c>
      <c r="J178" s="590" t="s">
        <v>896</v>
      </c>
      <c r="K178" s="557"/>
      <c r="L178" s="558"/>
      <c r="M178" s="558"/>
      <c r="N178" s="557"/>
      <c r="O178" s="558"/>
      <c r="P178" s="558"/>
      <c r="Q178" s="558"/>
      <c r="R178" s="1036"/>
      <c r="S178" s="1139"/>
      <c r="T178" s="593"/>
      <c r="U178" s="1036"/>
      <c r="V178" s="1139"/>
      <c r="W178" s="593"/>
      <c r="X178" s="593"/>
      <c r="Y178" s="593"/>
      <c r="Z178" s="1036"/>
      <c r="AA178" s="1139"/>
      <c r="AB178" s="593"/>
      <c r="AC178" s="593"/>
      <c r="AD178" s="593"/>
      <c r="AE178" s="1036"/>
      <c r="AF178" s="1139"/>
      <c r="AG178" s="593"/>
      <c r="AH178" s="593"/>
      <c r="AI178" s="593"/>
      <c r="AJ178" s="1036"/>
      <c r="AK178" s="569"/>
      <c r="AL178" s="569"/>
      <c r="AN178" s="857"/>
      <c r="AO178" s="961" t="str">
        <f t="shared" si="154"/>
        <v>Qty</v>
      </c>
      <c r="AP178" s="962" t="str">
        <f t="shared" si="155"/>
        <v>Sewerage</v>
      </c>
      <c r="AQ178" s="963" t="str">
        <f t="shared" si="156"/>
        <v>Variable</v>
      </c>
      <c r="AR178" s="967" t="str">
        <f t="shared" si="157"/>
        <v>-</v>
      </c>
      <c r="AS178" s="964" t="str">
        <f t="shared" si="158"/>
        <v>-</v>
      </c>
      <c r="AT178" s="964" t="str">
        <f t="shared" si="159"/>
        <v>-</v>
      </c>
      <c r="AU178" s="964" t="str">
        <f t="shared" si="160"/>
        <v>-</v>
      </c>
      <c r="AV178" s="1350" t="str">
        <f t="shared" si="161"/>
        <v>-</v>
      </c>
      <c r="AW178" s="1343" t="str">
        <f t="shared" si="162"/>
        <v>-</v>
      </c>
      <c r="AX178" s="964" t="str">
        <f t="shared" si="163"/>
        <v>-</v>
      </c>
      <c r="AY178" s="964" t="str">
        <f t="shared" si="164"/>
        <v>-</v>
      </c>
      <c r="AZ178" s="964" t="str">
        <f t="shared" si="165"/>
        <v>-</v>
      </c>
      <c r="BA178" s="965" t="str">
        <f t="shared" si="166"/>
        <v>-</v>
      </c>
      <c r="BB178" s="1343" t="str">
        <f t="shared" si="167"/>
        <v>-</v>
      </c>
      <c r="BC178" s="964" t="str">
        <f t="shared" si="168"/>
        <v>-</v>
      </c>
      <c r="BD178" s="964" t="str">
        <f t="shared" si="169"/>
        <v>-</v>
      </c>
      <c r="BE178" s="964" t="str">
        <f t="shared" si="170"/>
        <v>-</v>
      </c>
      <c r="BF178" s="966" t="str">
        <f t="shared" si="171"/>
        <v>-</v>
      </c>
      <c r="BG178" s="951"/>
      <c r="BH178" s="1541" t="str">
        <f t="shared" si="172"/>
        <v>Qty</v>
      </c>
      <c r="BI178" s="1542" t="str">
        <f t="shared" si="173"/>
        <v>Sewerage</v>
      </c>
      <c r="BJ178" s="1543" t="str">
        <f t="shared" si="174"/>
        <v>Variable</v>
      </c>
      <c r="BK178" s="964" t="str">
        <f t="shared" ref="BK178:BU178" si="243">IF(V178="","-",IFERROR((V178/U178-1)*(U179/U$13),"-"))</f>
        <v>-</v>
      </c>
      <c r="BL178" s="964" t="str">
        <f t="shared" si="243"/>
        <v>-</v>
      </c>
      <c r="BM178" s="964" t="str">
        <f t="shared" si="243"/>
        <v>-</v>
      </c>
      <c r="BN178" s="964" t="str">
        <f t="shared" si="243"/>
        <v>-</v>
      </c>
      <c r="BO178" s="1350" t="str">
        <f t="shared" si="243"/>
        <v>-</v>
      </c>
      <c r="BP178" s="1343" t="str">
        <f t="shared" si="243"/>
        <v>-</v>
      </c>
      <c r="BQ178" s="964" t="str">
        <f t="shared" si="243"/>
        <v>-</v>
      </c>
      <c r="BR178" s="964" t="str">
        <f t="shared" si="243"/>
        <v>-</v>
      </c>
      <c r="BS178" s="964" t="str">
        <f t="shared" si="243"/>
        <v>-</v>
      </c>
      <c r="BT178" s="965" t="str">
        <f t="shared" si="243"/>
        <v>-</v>
      </c>
      <c r="BU178" s="964" t="str">
        <f t="shared" si="243"/>
        <v>-</v>
      </c>
      <c r="BV178" s="964" t="str">
        <f>IF(AG178="","-",IFERROR((AG178/AF178-1)*(AF179/AF$13),"-"))</f>
        <v>-</v>
      </c>
      <c r="BW178" s="964" t="str">
        <f>IF(AH178="","-",IFERROR((AH178/AG178-1)*(AG179/AG$13),"-"))</f>
        <v>-</v>
      </c>
      <c r="BX178" s="964" t="str">
        <f>IF(AI178="","-",IFERROR((AI178/AH178-1)*(AH179/AH$13),"-"))</f>
        <v>-</v>
      </c>
      <c r="BY178" s="966" t="str">
        <f>IF(AJ178="","-",IFERROR((AJ178/AI178-1)*(AI179/AI$13),"-"))</f>
        <v>-</v>
      </c>
      <c r="BZ178" s="951"/>
      <c r="CA178" s="961" t="str">
        <f t="shared" si="151"/>
        <v>Qty</v>
      </c>
      <c r="CB178" s="962" t="str">
        <f t="shared" si="152"/>
        <v>Sewerage</v>
      </c>
      <c r="CC178" s="962" t="str">
        <f t="shared" si="153"/>
        <v>Variable</v>
      </c>
      <c r="CD178" s="967" t="str">
        <f t="shared" si="184"/>
        <v>-</v>
      </c>
      <c r="CE178" s="964" t="str">
        <f t="shared" si="176"/>
        <v>-</v>
      </c>
      <c r="CF178" s="964" t="str">
        <f t="shared" si="177"/>
        <v>-</v>
      </c>
      <c r="CG178" s="965" t="str">
        <f t="shared" si="178"/>
        <v>-</v>
      </c>
      <c r="CH178" s="964" t="str">
        <f t="shared" si="185"/>
        <v>-</v>
      </c>
      <c r="CI178" s="964" t="str">
        <f t="shared" si="179"/>
        <v>-</v>
      </c>
      <c r="CJ178" s="964" t="str">
        <f t="shared" si="180"/>
        <v>-</v>
      </c>
      <c r="CK178" s="966" t="str">
        <f t="shared" si="181"/>
        <v>-</v>
      </c>
    </row>
    <row r="179" spans="4:89" ht="12.75" thickBot="1">
      <c r="E179" s="568" t="s">
        <v>882</v>
      </c>
      <c r="F179" s="560" t="str">
        <f>+F177</f>
        <v>Sewerage</v>
      </c>
      <c r="G179" s="561" t="str">
        <f>+G177</f>
        <v>YVW</v>
      </c>
      <c r="H179" s="561" t="str">
        <f>+H177</f>
        <v>Trade waste - BOD Eastern</v>
      </c>
      <c r="I179" s="562" t="str">
        <f>+I177</f>
        <v>Variable</v>
      </c>
      <c r="J179" s="563" t="s">
        <v>883</v>
      </c>
      <c r="K179" s="564">
        <f t="shared" ref="K179:AJ179" si="244">K177*K178/10^6</f>
        <v>0</v>
      </c>
      <c r="L179" s="565">
        <f t="shared" si="244"/>
        <v>0</v>
      </c>
      <c r="M179" s="565">
        <f t="shared" si="244"/>
        <v>0</v>
      </c>
      <c r="N179" s="564">
        <f t="shared" si="244"/>
        <v>0</v>
      </c>
      <c r="O179" s="565">
        <f t="shared" si="244"/>
        <v>0</v>
      </c>
      <c r="P179" s="565">
        <f t="shared" si="244"/>
        <v>0</v>
      </c>
      <c r="Q179" s="565">
        <f t="shared" si="244"/>
        <v>0</v>
      </c>
      <c r="R179" s="566">
        <f t="shared" si="244"/>
        <v>0</v>
      </c>
      <c r="S179" s="564">
        <f t="shared" si="244"/>
        <v>0</v>
      </c>
      <c r="T179" s="565">
        <f t="shared" si="244"/>
        <v>0</v>
      </c>
      <c r="U179" s="566">
        <f t="shared" si="244"/>
        <v>0</v>
      </c>
      <c r="V179" s="564">
        <f t="shared" si="244"/>
        <v>0</v>
      </c>
      <c r="W179" s="565">
        <f t="shared" si="244"/>
        <v>0</v>
      </c>
      <c r="X179" s="565">
        <f t="shared" si="244"/>
        <v>0</v>
      </c>
      <c r="Y179" s="565">
        <f t="shared" si="244"/>
        <v>0</v>
      </c>
      <c r="Z179" s="566">
        <f t="shared" si="244"/>
        <v>0</v>
      </c>
      <c r="AA179" s="564">
        <f t="shared" si="244"/>
        <v>0</v>
      </c>
      <c r="AB179" s="565">
        <f t="shared" si="244"/>
        <v>0</v>
      </c>
      <c r="AC179" s="565">
        <f t="shared" si="244"/>
        <v>0</v>
      </c>
      <c r="AD179" s="565">
        <f t="shared" si="244"/>
        <v>0</v>
      </c>
      <c r="AE179" s="566">
        <f t="shared" si="244"/>
        <v>0</v>
      </c>
      <c r="AF179" s="564">
        <f t="shared" si="244"/>
        <v>0</v>
      </c>
      <c r="AG179" s="565">
        <f t="shared" si="244"/>
        <v>0</v>
      </c>
      <c r="AH179" s="565">
        <f t="shared" si="244"/>
        <v>0</v>
      </c>
      <c r="AI179" s="565">
        <f t="shared" si="244"/>
        <v>0</v>
      </c>
      <c r="AJ179" s="566">
        <f t="shared" si="244"/>
        <v>0</v>
      </c>
      <c r="AK179" s="569"/>
      <c r="AL179" s="569"/>
      <c r="AN179" s="857"/>
      <c r="AO179" s="984" t="str">
        <f t="shared" si="154"/>
        <v>Rev</v>
      </c>
      <c r="AP179" s="985" t="str">
        <f t="shared" si="155"/>
        <v>Sewerage</v>
      </c>
      <c r="AQ179" s="986" t="str">
        <f t="shared" si="156"/>
        <v>Variable</v>
      </c>
      <c r="AR179" s="990" t="str">
        <f t="shared" si="157"/>
        <v>-</v>
      </c>
      <c r="AS179" s="987" t="str">
        <f t="shared" si="158"/>
        <v>-</v>
      </c>
      <c r="AT179" s="987" t="str">
        <f t="shared" si="159"/>
        <v>-</v>
      </c>
      <c r="AU179" s="987" t="str">
        <f t="shared" si="160"/>
        <v>-</v>
      </c>
      <c r="AV179" s="1353" t="str">
        <f t="shared" si="161"/>
        <v>-</v>
      </c>
      <c r="AW179" s="1346" t="str">
        <f t="shared" si="162"/>
        <v>-</v>
      </c>
      <c r="AX179" s="987" t="str">
        <f t="shared" si="163"/>
        <v>-</v>
      </c>
      <c r="AY179" s="987" t="str">
        <f t="shared" si="164"/>
        <v>-</v>
      </c>
      <c r="AZ179" s="987" t="str">
        <f t="shared" si="165"/>
        <v>-</v>
      </c>
      <c r="BA179" s="988" t="str">
        <f t="shared" si="166"/>
        <v>-</v>
      </c>
      <c r="BB179" s="1346" t="str">
        <f t="shared" si="167"/>
        <v>-</v>
      </c>
      <c r="BC179" s="987" t="str">
        <f t="shared" si="168"/>
        <v>-</v>
      </c>
      <c r="BD179" s="987" t="str">
        <f t="shared" si="169"/>
        <v>-</v>
      </c>
      <c r="BE179" s="987" t="str">
        <f t="shared" si="170"/>
        <v>-</v>
      </c>
      <c r="BF179" s="989" t="str">
        <f t="shared" si="171"/>
        <v>-</v>
      </c>
      <c r="BG179" s="951"/>
      <c r="BH179" s="1550" t="str">
        <f t="shared" si="172"/>
        <v>Rev</v>
      </c>
      <c r="BI179" s="1551" t="str">
        <f t="shared" si="173"/>
        <v>Sewerage</v>
      </c>
      <c r="BJ179" s="1552" t="str">
        <f t="shared" si="174"/>
        <v>Variable</v>
      </c>
      <c r="BK179" s="987" t="str">
        <f t="shared" ref="BK179:BU179" si="245">IF(V179="","-",IFERROR((V179/U179-1)*(U179/U$13),"-"))</f>
        <v>-</v>
      </c>
      <c r="BL179" s="987" t="str">
        <f t="shared" si="245"/>
        <v>-</v>
      </c>
      <c r="BM179" s="987" t="str">
        <f t="shared" si="245"/>
        <v>-</v>
      </c>
      <c r="BN179" s="987" t="str">
        <f t="shared" si="245"/>
        <v>-</v>
      </c>
      <c r="BO179" s="1353" t="str">
        <f t="shared" si="245"/>
        <v>-</v>
      </c>
      <c r="BP179" s="1346" t="str">
        <f t="shared" si="245"/>
        <v>-</v>
      </c>
      <c r="BQ179" s="987" t="str">
        <f t="shared" si="245"/>
        <v>-</v>
      </c>
      <c r="BR179" s="987" t="str">
        <f t="shared" si="245"/>
        <v>-</v>
      </c>
      <c r="BS179" s="987" t="str">
        <f t="shared" si="245"/>
        <v>-</v>
      </c>
      <c r="BT179" s="988" t="str">
        <f t="shared" si="245"/>
        <v>-</v>
      </c>
      <c r="BU179" s="987" t="str">
        <f t="shared" si="245"/>
        <v>-</v>
      </c>
      <c r="BV179" s="987" t="str">
        <f>IF(AG179="","-",IFERROR((AG179/AF179-1)*(AF179/AF$13),"-"))</f>
        <v>-</v>
      </c>
      <c r="BW179" s="987" t="str">
        <f>IF(AH179="","-",IFERROR((AH179/AG179-1)*(AG179/AG$13),"-"))</f>
        <v>-</v>
      </c>
      <c r="BX179" s="987" t="str">
        <f>IF(AI179="","-",IFERROR((AI179/AH179-1)*(AH179/AH$13),"-"))</f>
        <v>-</v>
      </c>
      <c r="BY179" s="989" t="str">
        <f>IF(AJ179="","-",IFERROR((AJ179/AI179-1)*(AI179/AI$13),"-"))</f>
        <v>-</v>
      </c>
      <c r="BZ179" s="951"/>
      <c r="CA179" s="984" t="str">
        <f t="shared" si="151"/>
        <v>Rev</v>
      </c>
      <c r="CB179" s="985" t="str">
        <f t="shared" si="152"/>
        <v>Sewerage</v>
      </c>
      <c r="CC179" s="985" t="str">
        <f t="shared" si="153"/>
        <v>Variable</v>
      </c>
      <c r="CD179" s="990" t="str">
        <f t="shared" si="184"/>
        <v>-</v>
      </c>
      <c r="CE179" s="987" t="str">
        <f t="shared" si="176"/>
        <v>-</v>
      </c>
      <c r="CF179" s="987" t="str">
        <f t="shared" si="177"/>
        <v>-</v>
      </c>
      <c r="CG179" s="988" t="str">
        <f t="shared" si="178"/>
        <v>-</v>
      </c>
      <c r="CH179" s="987" t="str">
        <f t="shared" si="185"/>
        <v>-</v>
      </c>
      <c r="CI179" s="987" t="str">
        <f t="shared" si="179"/>
        <v>-</v>
      </c>
      <c r="CJ179" s="987" t="str">
        <f t="shared" si="180"/>
        <v>-</v>
      </c>
      <c r="CK179" s="989" t="str">
        <f t="shared" si="181"/>
        <v>-</v>
      </c>
    </row>
    <row r="180" spans="4:89">
      <c r="D180" s="63">
        <f>D177+1</f>
        <v>38</v>
      </c>
      <c r="E180" s="550" t="s">
        <v>857</v>
      </c>
      <c r="F180" s="595" t="s">
        <v>402</v>
      </c>
      <c r="G180" s="595" t="s">
        <v>877</v>
      </c>
      <c r="H180" s="595" t="s">
        <v>898</v>
      </c>
      <c r="I180" s="589" t="s">
        <v>843</v>
      </c>
      <c r="J180" s="589" t="s">
        <v>879</v>
      </c>
      <c r="K180" s="551"/>
      <c r="L180" s="552"/>
      <c r="M180" s="552"/>
      <c r="N180" s="551"/>
      <c r="O180" s="552"/>
      <c r="P180" s="552"/>
      <c r="Q180" s="552"/>
      <c r="R180" s="1035"/>
      <c r="S180" s="1138"/>
      <c r="T180" s="591"/>
      <c r="U180" s="1035"/>
      <c r="V180" s="1138"/>
      <c r="W180" s="591"/>
      <c r="X180" s="591"/>
      <c r="Y180" s="591"/>
      <c r="Z180" s="1035"/>
      <c r="AA180" s="1138"/>
      <c r="AB180" s="591"/>
      <c r="AC180" s="591"/>
      <c r="AD180" s="591"/>
      <c r="AE180" s="1035"/>
      <c r="AF180" s="1138"/>
      <c r="AG180" s="591"/>
      <c r="AH180" s="591"/>
      <c r="AI180" s="591"/>
      <c r="AJ180" s="1035"/>
      <c r="AK180" s="569"/>
      <c r="AL180" s="569"/>
      <c r="AM180" s="974"/>
      <c r="AN180" s="857"/>
      <c r="AO180" s="975" t="str">
        <f t="shared" si="154"/>
        <v>Price</v>
      </c>
      <c r="AP180" s="976" t="str">
        <f t="shared" si="155"/>
        <v>Sewerage</v>
      </c>
      <c r="AQ180" s="977" t="str">
        <f t="shared" si="156"/>
        <v>Variable</v>
      </c>
      <c r="AR180" s="1341" t="str">
        <f t="shared" si="157"/>
        <v>-</v>
      </c>
      <c r="AS180" s="978" t="str">
        <f t="shared" si="158"/>
        <v>-</v>
      </c>
      <c r="AT180" s="979" t="str">
        <f t="shared" si="159"/>
        <v>-</v>
      </c>
      <c r="AU180" s="979" t="str">
        <f t="shared" si="160"/>
        <v>-</v>
      </c>
      <c r="AV180" s="1352" t="str">
        <f t="shared" si="161"/>
        <v>-</v>
      </c>
      <c r="AW180" s="1345" t="str">
        <f t="shared" si="162"/>
        <v>-</v>
      </c>
      <c r="AX180" s="979" t="str">
        <f t="shared" si="163"/>
        <v>-</v>
      </c>
      <c r="AY180" s="979" t="str">
        <f t="shared" si="164"/>
        <v>-</v>
      </c>
      <c r="AZ180" s="979" t="str">
        <f t="shared" si="165"/>
        <v>-</v>
      </c>
      <c r="BA180" s="980" t="str">
        <f t="shared" si="166"/>
        <v>-</v>
      </c>
      <c r="BB180" s="1345" t="str">
        <f t="shared" si="167"/>
        <v>-</v>
      </c>
      <c r="BC180" s="979" t="str">
        <f t="shared" si="168"/>
        <v>-</v>
      </c>
      <c r="BD180" s="979" t="str">
        <f t="shared" si="169"/>
        <v>-</v>
      </c>
      <c r="BE180" s="979" t="str">
        <f t="shared" si="170"/>
        <v>-</v>
      </c>
      <c r="BF180" s="981" t="str">
        <f t="shared" si="171"/>
        <v>-</v>
      </c>
      <c r="BG180" s="951"/>
      <c r="BH180" s="1547" t="str">
        <f t="shared" si="172"/>
        <v>Price</v>
      </c>
      <c r="BI180" s="1548" t="str">
        <f t="shared" si="173"/>
        <v>Sewerage</v>
      </c>
      <c r="BJ180" s="1549" t="str">
        <f t="shared" si="174"/>
        <v>Variable</v>
      </c>
      <c r="BK180" s="978" t="str">
        <f t="shared" ref="BK180:BU180" si="246">IF(V180="","-",IFERROR((V180/U180-1)*(U182/U$13),"-"))</f>
        <v>-</v>
      </c>
      <c r="BL180" s="978" t="str">
        <f t="shared" si="246"/>
        <v>-</v>
      </c>
      <c r="BM180" s="979" t="str">
        <f t="shared" si="246"/>
        <v>-</v>
      </c>
      <c r="BN180" s="979" t="str">
        <f t="shared" si="246"/>
        <v>-</v>
      </c>
      <c r="BO180" s="1352" t="str">
        <f t="shared" si="246"/>
        <v>-</v>
      </c>
      <c r="BP180" s="1345" t="str">
        <f t="shared" si="246"/>
        <v>-</v>
      </c>
      <c r="BQ180" s="979" t="str">
        <f t="shared" si="246"/>
        <v>-</v>
      </c>
      <c r="BR180" s="979" t="str">
        <f t="shared" si="246"/>
        <v>-</v>
      </c>
      <c r="BS180" s="979" t="str">
        <f t="shared" si="246"/>
        <v>-</v>
      </c>
      <c r="BT180" s="980" t="str">
        <f t="shared" si="246"/>
        <v>-</v>
      </c>
      <c r="BU180" s="979" t="str">
        <f t="shared" si="246"/>
        <v>-</v>
      </c>
      <c r="BV180" s="979" t="str">
        <f>IF(AG180="","-",IFERROR((AG180/AF180-1)*(AF182/AF$13),"-"))</f>
        <v>-</v>
      </c>
      <c r="BW180" s="979" t="str">
        <f>IF(AH180="","-",IFERROR((AH180/AG180-1)*(AG182/AG$13),"-"))</f>
        <v>-</v>
      </c>
      <c r="BX180" s="979" t="str">
        <f>IF(AI180="","-",IFERROR((AI180/AH180-1)*(AH182/AH$13),"-"))</f>
        <v>-</v>
      </c>
      <c r="BY180" s="981" t="str">
        <f>IF(AJ180="","-",IFERROR((AJ180/AI180-1)*(AI182/AI$13),"-"))</f>
        <v>-</v>
      </c>
      <c r="BZ180" s="951"/>
      <c r="CA180" s="975" t="str">
        <f t="shared" si="151"/>
        <v>Price</v>
      </c>
      <c r="CB180" s="976" t="str">
        <f t="shared" si="152"/>
        <v>Sewerage</v>
      </c>
      <c r="CC180" s="982" t="str">
        <f t="shared" si="153"/>
        <v>Variable</v>
      </c>
      <c r="CD180" s="983" t="str">
        <f t="shared" si="184"/>
        <v>-</v>
      </c>
      <c r="CE180" s="979" t="str">
        <f t="shared" si="176"/>
        <v>-</v>
      </c>
      <c r="CF180" s="979" t="str">
        <f t="shared" si="177"/>
        <v>-</v>
      </c>
      <c r="CG180" s="980" t="str">
        <f t="shared" si="178"/>
        <v>-</v>
      </c>
      <c r="CH180" s="979" t="str">
        <f t="shared" si="185"/>
        <v>-</v>
      </c>
      <c r="CI180" s="979" t="str">
        <f t="shared" si="179"/>
        <v>-</v>
      </c>
      <c r="CJ180" s="979" t="str">
        <f t="shared" si="180"/>
        <v>-</v>
      </c>
      <c r="CK180" s="981" t="str">
        <f t="shared" si="181"/>
        <v>-</v>
      </c>
    </row>
    <row r="181" spans="4:89">
      <c r="E181" s="567" t="s">
        <v>880</v>
      </c>
      <c r="F181" s="554" t="str">
        <f>+F180</f>
        <v>Sewerage</v>
      </c>
      <c r="G181" s="555" t="str">
        <f>+G180</f>
        <v>GWW</v>
      </c>
      <c r="H181" s="555" t="str">
        <f>+H180</f>
        <v>Trade waste - SS Western</v>
      </c>
      <c r="I181" s="556" t="str">
        <f>+I180</f>
        <v>Variable</v>
      </c>
      <c r="J181" s="590" t="s">
        <v>896</v>
      </c>
      <c r="K181" s="557"/>
      <c r="L181" s="558"/>
      <c r="M181" s="558"/>
      <c r="N181" s="557"/>
      <c r="O181" s="558"/>
      <c r="P181" s="558"/>
      <c r="Q181" s="558"/>
      <c r="R181" s="1036"/>
      <c r="S181" s="1139"/>
      <c r="T181" s="593"/>
      <c r="U181" s="1036"/>
      <c r="V181" s="1139"/>
      <c r="W181" s="593"/>
      <c r="X181" s="593"/>
      <c r="Y181" s="593"/>
      <c r="Z181" s="1036"/>
      <c r="AA181" s="1139"/>
      <c r="AB181" s="593"/>
      <c r="AC181" s="593"/>
      <c r="AD181" s="593"/>
      <c r="AE181" s="1036"/>
      <c r="AF181" s="1139"/>
      <c r="AG181" s="593"/>
      <c r="AH181" s="593"/>
      <c r="AI181" s="593"/>
      <c r="AJ181" s="1036"/>
      <c r="AK181" s="569"/>
      <c r="AL181" s="569"/>
      <c r="AN181" s="857"/>
      <c r="AO181" s="961" t="str">
        <f t="shared" si="154"/>
        <v>Qty</v>
      </c>
      <c r="AP181" s="962" t="str">
        <f t="shared" si="155"/>
        <v>Sewerage</v>
      </c>
      <c r="AQ181" s="963" t="str">
        <f t="shared" si="156"/>
        <v>Variable</v>
      </c>
      <c r="AR181" s="967" t="str">
        <f t="shared" si="157"/>
        <v>-</v>
      </c>
      <c r="AS181" s="964" t="str">
        <f t="shared" si="158"/>
        <v>-</v>
      </c>
      <c r="AT181" s="964" t="str">
        <f t="shared" si="159"/>
        <v>-</v>
      </c>
      <c r="AU181" s="964" t="str">
        <f t="shared" si="160"/>
        <v>-</v>
      </c>
      <c r="AV181" s="1350" t="str">
        <f t="shared" si="161"/>
        <v>-</v>
      </c>
      <c r="AW181" s="1343" t="str">
        <f t="shared" si="162"/>
        <v>-</v>
      </c>
      <c r="AX181" s="964" t="str">
        <f t="shared" si="163"/>
        <v>-</v>
      </c>
      <c r="AY181" s="964" t="str">
        <f t="shared" si="164"/>
        <v>-</v>
      </c>
      <c r="AZ181" s="964" t="str">
        <f t="shared" si="165"/>
        <v>-</v>
      </c>
      <c r="BA181" s="965" t="str">
        <f t="shared" si="166"/>
        <v>-</v>
      </c>
      <c r="BB181" s="1343" t="str">
        <f t="shared" si="167"/>
        <v>-</v>
      </c>
      <c r="BC181" s="964" t="str">
        <f t="shared" si="168"/>
        <v>-</v>
      </c>
      <c r="BD181" s="964" t="str">
        <f t="shared" si="169"/>
        <v>-</v>
      </c>
      <c r="BE181" s="964" t="str">
        <f t="shared" si="170"/>
        <v>-</v>
      </c>
      <c r="BF181" s="966" t="str">
        <f t="shared" si="171"/>
        <v>-</v>
      </c>
      <c r="BG181" s="951"/>
      <c r="BH181" s="1541" t="str">
        <f t="shared" si="172"/>
        <v>Qty</v>
      </c>
      <c r="BI181" s="1542" t="str">
        <f t="shared" si="173"/>
        <v>Sewerage</v>
      </c>
      <c r="BJ181" s="1543" t="str">
        <f t="shared" si="174"/>
        <v>Variable</v>
      </c>
      <c r="BK181" s="964" t="str">
        <f t="shared" ref="BK181:BU181" si="247">IF(V181="","-",IFERROR((V181/U181-1)*(U182/U$13),"-"))</f>
        <v>-</v>
      </c>
      <c r="BL181" s="964" t="str">
        <f t="shared" si="247"/>
        <v>-</v>
      </c>
      <c r="BM181" s="964" t="str">
        <f t="shared" si="247"/>
        <v>-</v>
      </c>
      <c r="BN181" s="964" t="str">
        <f t="shared" si="247"/>
        <v>-</v>
      </c>
      <c r="BO181" s="1350" t="str">
        <f t="shared" si="247"/>
        <v>-</v>
      </c>
      <c r="BP181" s="1343" t="str">
        <f t="shared" si="247"/>
        <v>-</v>
      </c>
      <c r="BQ181" s="964" t="str">
        <f t="shared" si="247"/>
        <v>-</v>
      </c>
      <c r="BR181" s="964" t="str">
        <f t="shared" si="247"/>
        <v>-</v>
      </c>
      <c r="BS181" s="964" t="str">
        <f t="shared" si="247"/>
        <v>-</v>
      </c>
      <c r="BT181" s="965" t="str">
        <f t="shared" si="247"/>
        <v>-</v>
      </c>
      <c r="BU181" s="964" t="str">
        <f t="shared" si="247"/>
        <v>-</v>
      </c>
      <c r="BV181" s="964" t="str">
        <f>IF(AG181="","-",IFERROR((AG181/AF181-1)*(AF182/AF$13),"-"))</f>
        <v>-</v>
      </c>
      <c r="BW181" s="964" t="str">
        <f>IF(AH181="","-",IFERROR((AH181/AG181-1)*(AG182/AG$13),"-"))</f>
        <v>-</v>
      </c>
      <c r="BX181" s="964" t="str">
        <f>IF(AI181="","-",IFERROR((AI181/AH181-1)*(AH182/AH$13),"-"))</f>
        <v>-</v>
      </c>
      <c r="BY181" s="966" t="str">
        <f>IF(AJ181="","-",IFERROR((AJ181/AI181-1)*(AI182/AI$13),"-"))</f>
        <v>-</v>
      </c>
      <c r="BZ181" s="951"/>
      <c r="CA181" s="961" t="str">
        <f t="shared" si="151"/>
        <v>Qty</v>
      </c>
      <c r="CB181" s="962" t="str">
        <f t="shared" si="152"/>
        <v>Sewerage</v>
      </c>
      <c r="CC181" s="962" t="str">
        <f t="shared" si="153"/>
        <v>Variable</v>
      </c>
      <c r="CD181" s="967" t="str">
        <f t="shared" si="184"/>
        <v>-</v>
      </c>
      <c r="CE181" s="964" t="str">
        <f t="shared" si="176"/>
        <v>-</v>
      </c>
      <c r="CF181" s="964" t="str">
        <f t="shared" si="177"/>
        <v>-</v>
      </c>
      <c r="CG181" s="965" t="str">
        <f t="shared" si="178"/>
        <v>-</v>
      </c>
      <c r="CH181" s="964" t="str">
        <f t="shared" si="185"/>
        <v>-</v>
      </c>
      <c r="CI181" s="964" t="str">
        <f t="shared" si="179"/>
        <v>-</v>
      </c>
      <c r="CJ181" s="964" t="str">
        <f t="shared" si="180"/>
        <v>-</v>
      </c>
      <c r="CK181" s="966" t="str">
        <f t="shared" si="181"/>
        <v>-</v>
      </c>
    </row>
    <row r="182" spans="4:89" ht="12.75" thickBot="1">
      <c r="E182" s="568" t="s">
        <v>882</v>
      </c>
      <c r="F182" s="560" t="str">
        <f>+F180</f>
        <v>Sewerage</v>
      </c>
      <c r="G182" s="561" t="str">
        <f>+G180</f>
        <v>GWW</v>
      </c>
      <c r="H182" s="561" t="str">
        <f>+H180</f>
        <v>Trade waste - SS Western</v>
      </c>
      <c r="I182" s="562" t="str">
        <f>+I180</f>
        <v>Variable</v>
      </c>
      <c r="J182" s="563" t="s">
        <v>883</v>
      </c>
      <c r="K182" s="564">
        <f t="shared" ref="K182:AJ182" si="248">K180*K181/10^6</f>
        <v>0</v>
      </c>
      <c r="L182" s="565">
        <f t="shared" si="248"/>
        <v>0</v>
      </c>
      <c r="M182" s="565">
        <f t="shared" si="248"/>
        <v>0</v>
      </c>
      <c r="N182" s="564">
        <f t="shared" si="248"/>
        <v>0</v>
      </c>
      <c r="O182" s="565">
        <f t="shared" si="248"/>
        <v>0</v>
      </c>
      <c r="P182" s="565">
        <f t="shared" si="248"/>
        <v>0</v>
      </c>
      <c r="Q182" s="565">
        <f t="shared" si="248"/>
        <v>0</v>
      </c>
      <c r="R182" s="566">
        <f t="shared" si="248"/>
        <v>0</v>
      </c>
      <c r="S182" s="564">
        <f t="shared" si="248"/>
        <v>0</v>
      </c>
      <c r="T182" s="565">
        <f t="shared" si="248"/>
        <v>0</v>
      </c>
      <c r="U182" s="566">
        <f t="shared" si="248"/>
        <v>0</v>
      </c>
      <c r="V182" s="564">
        <f t="shared" si="248"/>
        <v>0</v>
      </c>
      <c r="W182" s="565">
        <f t="shared" si="248"/>
        <v>0</v>
      </c>
      <c r="X182" s="565">
        <f t="shared" si="248"/>
        <v>0</v>
      </c>
      <c r="Y182" s="565">
        <f t="shared" si="248"/>
        <v>0</v>
      </c>
      <c r="Z182" s="566">
        <f t="shared" si="248"/>
        <v>0</v>
      </c>
      <c r="AA182" s="564">
        <f t="shared" si="248"/>
        <v>0</v>
      </c>
      <c r="AB182" s="565">
        <f t="shared" si="248"/>
        <v>0</v>
      </c>
      <c r="AC182" s="565">
        <f t="shared" si="248"/>
        <v>0</v>
      </c>
      <c r="AD182" s="565">
        <f t="shared" si="248"/>
        <v>0</v>
      </c>
      <c r="AE182" s="566">
        <f t="shared" si="248"/>
        <v>0</v>
      </c>
      <c r="AF182" s="564">
        <f t="shared" si="248"/>
        <v>0</v>
      </c>
      <c r="AG182" s="565">
        <f t="shared" si="248"/>
        <v>0</v>
      </c>
      <c r="AH182" s="565">
        <f t="shared" si="248"/>
        <v>0</v>
      </c>
      <c r="AI182" s="565">
        <f t="shared" si="248"/>
        <v>0</v>
      </c>
      <c r="AJ182" s="566">
        <f t="shared" si="248"/>
        <v>0</v>
      </c>
      <c r="AK182" s="569"/>
      <c r="AL182" s="569"/>
      <c r="AN182" s="857"/>
      <c r="AO182" s="984" t="str">
        <f t="shared" si="154"/>
        <v>Rev</v>
      </c>
      <c r="AP182" s="985" t="str">
        <f t="shared" si="155"/>
        <v>Sewerage</v>
      </c>
      <c r="AQ182" s="986" t="str">
        <f t="shared" si="156"/>
        <v>Variable</v>
      </c>
      <c r="AR182" s="990" t="str">
        <f t="shared" si="157"/>
        <v>-</v>
      </c>
      <c r="AS182" s="987" t="str">
        <f t="shared" si="158"/>
        <v>-</v>
      </c>
      <c r="AT182" s="987" t="str">
        <f t="shared" si="159"/>
        <v>-</v>
      </c>
      <c r="AU182" s="987" t="str">
        <f t="shared" si="160"/>
        <v>-</v>
      </c>
      <c r="AV182" s="1353" t="str">
        <f t="shared" si="161"/>
        <v>-</v>
      </c>
      <c r="AW182" s="1346" t="str">
        <f t="shared" si="162"/>
        <v>-</v>
      </c>
      <c r="AX182" s="987" t="str">
        <f t="shared" si="163"/>
        <v>-</v>
      </c>
      <c r="AY182" s="987" t="str">
        <f t="shared" si="164"/>
        <v>-</v>
      </c>
      <c r="AZ182" s="987" t="str">
        <f t="shared" si="165"/>
        <v>-</v>
      </c>
      <c r="BA182" s="988" t="str">
        <f t="shared" si="166"/>
        <v>-</v>
      </c>
      <c r="BB182" s="1346" t="str">
        <f t="shared" si="167"/>
        <v>-</v>
      </c>
      <c r="BC182" s="987" t="str">
        <f t="shared" si="168"/>
        <v>-</v>
      </c>
      <c r="BD182" s="987" t="str">
        <f t="shared" si="169"/>
        <v>-</v>
      </c>
      <c r="BE182" s="987" t="str">
        <f t="shared" si="170"/>
        <v>-</v>
      </c>
      <c r="BF182" s="989" t="str">
        <f t="shared" si="171"/>
        <v>-</v>
      </c>
      <c r="BG182" s="951"/>
      <c r="BH182" s="1550" t="str">
        <f t="shared" si="172"/>
        <v>Rev</v>
      </c>
      <c r="BI182" s="1551" t="str">
        <f t="shared" si="173"/>
        <v>Sewerage</v>
      </c>
      <c r="BJ182" s="1552" t="str">
        <f t="shared" si="174"/>
        <v>Variable</v>
      </c>
      <c r="BK182" s="987" t="str">
        <f t="shared" ref="BK182:BU182" si="249">IF(V182="","-",IFERROR((V182/U182-1)*(U182/U$13),"-"))</f>
        <v>-</v>
      </c>
      <c r="BL182" s="987" t="str">
        <f t="shared" si="249"/>
        <v>-</v>
      </c>
      <c r="BM182" s="987" t="str">
        <f t="shared" si="249"/>
        <v>-</v>
      </c>
      <c r="BN182" s="987" t="str">
        <f t="shared" si="249"/>
        <v>-</v>
      </c>
      <c r="BO182" s="1353" t="str">
        <f t="shared" si="249"/>
        <v>-</v>
      </c>
      <c r="BP182" s="1346" t="str">
        <f t="shared" si="249"/>
        <v>-</v>
      </c>
      <c r="BQ182" s="987" t="str">
        <f t="shared" si="249"/>
        <v>-</v>
      </c>
      <c r="BR182" s="987" t="str">
        <f t="shared" si="249"/>
        <v>-</v>
      </c>
      <c r="BS182" s="987" t="str">
        <f t="shared" si="249"/>
        <v>-</v>
      </c>
      <c r="BT182" s="988" t="str">
        <f t="shared" si="249"/>
        <v>-</v>
      </c>
      <c r="BU182" s="987" t="str">
        <f t="shared" si="249"/>
        <v>-</v>
      </c>
      <c r="BV182" s="987" t="str">
        <f>IF(AG182="","-",IFERROR((AG182/AF182-1)*(AF182/AF$13),"-"))</f>
        <v>-</v>
      </c>
      <c r="BW182" s="987" t="str">
        <f>IF(AH182="","-",IFERROR((AH182/AG182-1)*(AG182/AG$13),"-"))</f>
        <v>-</v>
      </c>
      <c r="BX182" s="987" t="str">
        <f>IF(AI182="","-",IFERROR((AI182/AH182-1)*(AH182/AH$13),"-"))</f>
        <v>-</v>
      </c>
      <c r="BY182" s="989" t="str">
        <f>IF(AJ182="","-",IFERROR((AJ182/AI182-1)*(AI182/AI$13),"-"))</f>
        <v>-</v>
      </c>
      <c r="BZ182" s="951"/>
      <c r="CA182" s="984" t="str">
        <f t="shared" si="151"/>
        <v>Rev</v>
      </c>
      <c r="CB182" s="985" t="str">
        <f t="shared" si="152"/>
        <v>Sewerage</v>
      </c>
      <c r="CC182" s="985" t="str">
        <f t="shared" si="153"/>
        <v>Variable</v>
      </c>
      <c r="CD182" s="990" t="str">
        <f t="shared" si="184"/>
        <v>-</v>
      </c>
      <c r="CE182" s="987" t="str">
        <f t="shared" si="176"/>
        <v>-</v>
      </c>
      <c r="CF182" s="987" t="str">
        <f t="shared" si="177"/>
        <v>-</v>
      </c>
      <c r="CG182" s="988" t="str">
        <f t="shared" si="178"/>
        <v>-</v>
      </c>
      <c r="CH182" s="987" t="str">
        <f t="shared" si="185"/>
        <v>-</v>
      </c>
      <c r="CI182" s="987" t="str">
        <f t="shared" si="179"/>
        <v>-</v>
      </c>
      <c r="CJ182" s="987" t="str">
        <f t="shared" si="180"/>
        <v>-</v>
      </c>
      <c r="CK182" s="989" t="str">
        <f t="shared" si="181"/>
        <v>-</v>
      </c>
    </row>
    <row r="183" spans="4:89">
      <c r="D183" s="63">
        <f>D180+1</f>
        <v>39</v>
      </c>
      <c r="E183" s="550" t="s">
        <v>857</v>
      </c>
      <c r="F183" s="595" t="s">
        <v>402</v>
      </c>
      <c r="G183" s="595" t="s">
        <v>92</v>
      </c>
      <c r="H183" s="595" t="s">
        <v>898</v>
      </c>
      <c r="I183" s="589" t="s">
        <v>843</v>
      </c>
      <c r="J183" s="589" t="s">
        <v>879</v>
      </c>
      <c r="K183" s="551"/>
      <c r="L183" s="552"/>
      <c r="M183" s="552"/>
      <c r="N183" s="551"/>
      <c r="O183" s="552"/>
      <c r="P183" s="552"/>
      <c r="Q183" s="552"/>
      <c r="R183" s="1035"/>
      <c r="S183" s="1138"/>
      <c r="T183" s="591"/>
      <c r="U183" s="1035"/>
      <c r="V183" s="1138"/>
      <c r="W183" s="591"/>
      <c r="X183" s="591"/>
      <c r="Y183" s="591"/>
      <c r="Z183" s="1035"/>
      <c r="AA183" s="1138"/>
      <c r="AB183" s="591"/>
      <c r="AC183" s="591"/>
      <c r="AD183" s="591"/>
      <c r="AE183" s="1035"/>
      <c r="AF183" s="1138"/>
      <c r="AG183" s="591"/>
      <c r="AH183" s="591"/>
      <c r="AI183" s="591"/>
      <c r="AJ183" s="1035"/>
      <c r="AK183" s="569"/>
      <c r="AL183" s="569"/>
      <c r="AM183" s="974"/>
      <c r="AN183" s="857"/>
      <c r="AO183" s="975" t="str">
        <f t="shared" si="154"/>
        <v>Price</v>
      </c>
      <c r="AP183" s="976" t="str">
        <f t="shared" si="155"/>
        <v>Sewerage</v>
      </c>
      <c r="AQ183" s="977" t="str">
        <f t="shared" si="156"/>
        <v>Variable</v>
      </c>
      <c r="AR183" s="1341" t="str">
        <f t="shared" si="157"/>
        <v>-</v>
      </c>
      <c r="AS183" s="978" t="str">
        <f t="shared" si="158"/>
        <v>-</v>
      </c>
      <c r="AT183" s="979" t="str">
        <f t="shared" si="159"/>
        <v>-</v>
      </c>
      <c r="AU183" s="979" t="str">
        <f t="shared" si="160"/>
        <v>-</v>
      </c>
      <c r="AV183" s="1352" t="str">
        <f t="shared" si="161"/>
        <v>-</v>
      </c>
      <c r="AW183" s="1345" t="str">
        <f t="shared" si="162"/>
        <v>-</v>
      </c>
      <c r="AX183" s="979" t="str">
        <f t="shared" si="163"/>
        <v>-</v>
      </c>
      <c r="AY183" s="979" t="str">
        <f t="shared" si="164"/>
        <v>-</v>
      </c>
      <c r="AZ183" s="979" t="str">
        <f t="shared" si="165"/>
        <v>-</v>
      </c>
      <c r="BA183" s="980" t="str">
        <f t="shared" si="166"/>
        <v>-</v>
      </c>
      <c r="BB183" s="1345" t="str">
        <f t="shared" si="167"/>
        <v>-</v>
      </c>
      <c r="BC183" s="979" t="str">
        <f t="shared" si="168"/>
        <v>-</v>
      </c>
      <c r="BD183" s="979" t="str">
        <f t="shared" si="169"/>
        <v>-</v>
      </c>
      <c r="BE183" s="979" t="str">
        <f t="shared" si="170"/>
        <v>-</v>
      </c>
      <c r="BF183" s="981" t="str">
        <f t="shared" si="171"/>
        <v>-</v>
      </c>
      <c r="BG183" s="951"/>
      <c r="BH183" s="1547" t="str">
        <f t="shared" si="172"/>
        <v>Price</v>
      </c>
      <c r="BI183" s="1548" t="str">
        <f t="shared" si="173"/>
        <v>Sewerage</v>
      </c>
      <c r="BJ183" s="1549" t="str">
        <f t="shared" si="174"/>
        <v>Variable</v>
      </c>
      <c r="BK183" s="978" t="str">
        <f t="shared" ref="BK183:BU183" si="250">IF(V183="","-",IFERROR((V183/U183-1)*(U185/U$13),"-"))</f>
        <v>-</v>
      </c>
      <c r="BL183" s="978" t="str">
        <f t="shared" si="250"/>
        <v>-</v>
      </c>
      <c r="BM183" s="979" t="str">
        <f t="shared" si="250"/>
        <v>-</v>
      </c>
      <c r="BN183" s="979" t="str">
        <f t="shared" si="250"/>
        <v>-</v>
      </c>
      <c r="BO183" s="1352" t="str">
        <f t="shared" si="250"/>
        <v>-</v>
      </c>
      <c r="BP183" s="1345" t="str">
        <f t="shared" si="250"/>
        <v>-</v>
      </c>
      <c r="BQ183" s="979" t="str">
        <f t="shared" si="250"/>
        <v>-</v>
      </c>
      <c r="BR183" s="979" t="str">
        <f t="shared" si="250"/>
        <v>-</v>
      </c>
      <c r="BS183" s="979" t="str">
        <f t="shared" si="250"/>
        <v>-</v>
      </c>
      <c r="BT183" s="980" t="str">
        <f t="shared" si="250"/>
        <v>-</v>
      </c>
      <c r="BU183" s="979" t="str">
        <f t="shared" si="250"/>
        <v>-</v>
      </c>
      <c r="BV183" s="979" t="str">
        <f>IF(AG183="","-",IFERROR((AG183/AF183-1)*(AF185/AF$13),"-"))</f>
        <v>-</v>
      </c>
      <c r="BW183" s="979" t="str">
        <f>IF(AH183="","-",IFERROR((AH183/AG183-1)*(AG185/AG$13),"-"))</f>
        <v>-</v>
      </c>
      <c r="BX183" s="979" t="str">
        <f>IF(AI183="","-",IFERROR((AI183/AH183-1)*(AH185/AH$13),"-"))</f>
        <v>-</v>
      </c>
      <c r="BY183" s="981" t="str">
        <f>IF(AJ183="","-",IFERROR((AJ183/AI183-1)*(AI185/AI$13),"-"))</f>
        <v>-</v>
      </c>
      <c r="BZ183" s="951"/>
      <c r="CA183" s="975" t="str">
        <f t="shared" si="151"/>
        <v>Price</v>
      </c>
      <c r="CB183" s="976" t="str">
        <f t="shared" si="152"/>
        <v>Sewerage</v>
      </c>
      <c r="CC183" s="982" t="str">
        <f t="shared" si="153"/>
        <v>Variable</v>
      </c>
      <c r="CD183" s="983" t="str">
        <f t="shared" si="184"/>
        <v>-</v>
      </c>
      <c r="CE183" s="979" t="str">
        <f t="shared" si="176"/>
        <v>-</v>
      </c>
      <c r="CF183" s="979" t="str">
        <f t="shared" si="177"/>
        <v>-</v>
      </c>
      <c r="CG183" s="980" t="str">
        <f t="shared" si="178"/>
        <v>-</v>
      </c>
      <c r="CH183" s="979" t="str">
        <f t="shared" si="185"/>
        <v>-</v>
      </c>
      <c r="CI183" s="979" t="str">
        <f t="shared" si="179"/>
        <v>-</v>
      </c>
      <c r="CJ183" s="979" t="str">
        <f t="shared" si="180"/>
        <v>-</v>
      </c>
      <c r="CK183" s="981" t="str">
        <f t="shared" si="181"/>
        <v>-</v>
      </c>
    </row>
    <row r="184" spans="4:89">
      <c r="E184" s="567" t="s">
        <v>880</v>
      </c>
      <c r="F184" s="554" t="str">
        <f>+F183</f>
        <v>Sewerage</v>
      </c>
      <c r="G184" s="555" t="str">
        <f>+G183</f>
        <v>SEW</v>
      </c>
      <c r="H184" s="555" t="str">
        <f>+H183</f>
        <v>Trade waste - SS Western</v>
      </c>
      <c r="I184" s="556" t="str">
        <f>+I183</f>
        <v>Variable</v>
      </c>
      <c r="J184" s="590" t="s">
        <v>896</v>
      </c>
      <c r="K184" s="557"/>
      <c r="L184" s="558"/>
      <c r="M184" s="558"/>
      <c r="N184" s="557"/>
      <c r="O184" s="558"/>
      <c r="P184" s="558"/>
      <c r="Q184" s="558"/>
      <c r="R184" s="1036"/>
      <c r="S184" s="1139"/>
      <c r="T184" s="593"/>
      <c r="U184" s="1036"/>
      <c r="V184" s="1139"/>
      <c r="W184" s="593"/>
      <c r="X184" s="593"/>
      <c r="Y184" s="593"/>
      <c r="Z184" s="1036"/>
      <c r="AA184" s="1139"/>
      <c r="AB184" s="593"/>
      <c r="AC184" s="593"/>
      <c r="AD184" s="593"/>
      <c r="AE184" s="1036"/>
      <c r="AF184" s="1139"/>
      <c r="AG184" s="593"/>
      <c r="AH184" s="593"/>
      <c r="AI184" s="593"/>
      <c r="AJ184" s="1036"/>
      <c r="AK184" s="569"/>
      <c r="AL184" s="569"/>
      <c r="AN184" s="857"/>
      <c r="AO184" s="961" t="str">
        <f t="shared" si="154"/>
        <v>Qty</v>
      </c>
      <c r="AP184" s="962" t="str">
        <f t="shared" si="155"/>
        <v>Sewerage</v>
      </c>
      <c r="AQ184" s="963" t="str">
        <f t="shared" si="156"/>
        <v>Variable</v>
      </c>
      <c r="AR184" s="967" t="str">
        <f t="shared" si="157"/>
        <v>-</v>
      </c>
      <c r="AS184" s="964" t="str">
        <f t="shared" si="158"/>
        <v>-</v>
      </c>
      <c r="AT184" s="964" t="str">
        <f t="shared" si="159"/>
        <v>-</v>
      </c>
      <c r="AU184" s="964" t="str">
        <f t="shared" si="160"/>
        <v>-</v>
      </c>
      <c r="AV184" s="1350" t="str">
        <f t="shared" si="161"/>
        <v>-</v>
      </c>
      <c r="AW184" s="1343" t="str">
        <f t="shared" si="162"/>
        <v>-</v>
      </c>
      <c r="AX184" s="964" t="str">
        <f t="shared" si="163"/>
        <v>-</v>
      </c>
      <c r="AY184" s="964" t="str">
        <f t="shared" si="164"/>
        <v>-</v>
      </c>
      <c r="AZ184" s="964" t="str">
        <f t="shared" si="165"/>
        <v>-</v>
      </c>
      <c r="BA184" s="965" t="str">
        <f t="shared" si="166"/>
        <v>-</v>
      </c>
      <c r="BB184" s="1343" t="str">
        <f t="shared" si="167"/>
        <v>-</v>
      </c>
      <c r="BC184" s="964" t="str">
        <f t="shared" si="168"/>
        <v>-</v>
      </c>
      <c r="BD184" s="964" t="str">
        <f t="shared" si="169"/>
        <v>-</v>
      </c>
      <c r="BE184" s="964" t="str">
        <f t="shared" si="170"/>
        <v>-</v>
      </c>
      <c r="BF184" s="966" t="str">
        <f t="shared" si="171"/>
        <v>-</v>
      </c>
      <c r="BG184" s="951"/>
      <c r="BH184" s="1541" t="str">
        <f t="shared" si="172"/>
        <v>Qty</v>
      </c>
      <c r="BI184" s="1542" t="str">
        <f t="shared" si="173"/>
        <v>Sewerage</v>
      </c>
      <c r="BJ184" s="1543" t="str">
        <f t="shared" si="174"/>
        <v>Variable</v>
      </c>
      <c r="BK184" s="964" t="str">
        <f t="shared" ref="BK184:BU184" si="251">IF(V184="","-",IFERROR((V184/U184-1)*(U185/U$13),"-"))</f>
        <v>-</v>
      </c>
      <c r="BL184" s="964" t="str">
        <f t="shared" si="251"/>
        <v>-</v>
      </c>
      <c r="BM184" s="964" t="str">
        <f t="shared" si="251"/>
        <v>-</v>
      </c>
      <c r="BN184" s="964" t="str">
        <f t="shared" si="251"/>
        <v>-</v>
      </c>
      <c r="BO184" s="1350" t="str">
        <f t="shared" si="251"/>
        <v>-</v>
      </c>
      <c r="BP184" s="1343" t="str">
        <f t="shared" si="251"/>
        <v>-</v>
      </c>
      <c r="BQ184" s="964" t="str">
        <f t="shared" si="251"/>
        <v>-</v>
      </c>
      <c r="BR184" s="964" t="str">
        <f t="shared" si="251"/>
        <v>-</v>
      </c>
      <c r="BS184" s="964" t="str">
        <f t="shared" si="251"/>
        <v>-</v>
      </c>
      <c r="BT184" s="965" t="str">
        <f t="shared" si="251"/>
        <v>-</v>
      </c>
      <c r="BU184" s="964" t="str">
        <f t="shared" si="251"/>
        <v>-</v>
      </c>
      <c r="BV184" s="964" t="str">
        <f>IF(AG184="","-",IFERROR((AG184/AF184-1)*(AF185/AF$13),"-"))</f>
        <v>-</v>
      </c>
      <c r="BW184" s="964" t="str">
        <f>IF(AH184="","-",IFERROR((AH184/AG184-1)*(AG185/AG$13),"-"))</f>
        <v>-</v>
      </c>
      <c r="BX184" s="964" t="str">
        <f>IF(AI184="","-",IFERROR((AI184/AH184-1)*(AH185/AH$13),"-"))</f>
        <v>-</v>
      </c>
      <c r="BY184" s="966" t="str">
        <f>IF(AJ184="","-",IFERROR((AJ184/AI184-1)*(AI185/AI$13),"-"))</f>
        <v>-</v>
      </c>
      <c r="BZ184" s="951"/>
      <c r="CA184" s="961" t="str">
        <f t="shared" si="151"/>
        <v>Qty</v>
      </c>
      <c r="CB184" s="962" t="str">
        <f t="shared" si="152"/>
        <v>Sewerage</v>
      </c>
      <c r="CC184" s="962" t="str">
        <f t="shared" si="153"/>
        <v>Variable</v>
      </c>
      <c r="CD184" s="967" t="str">
        <f t="shared" si="184"/>
        <v>-</v>
      </c>
      <c r="CE184" s="964" t="str">
        <f t="shared" si="176"/>
        <v>-</v>
      </c>
      <c r="CF184" s="964" t="str">
        <f t="shared" si="177"/>
        <v>-</v>
      </c>
      <c r="CG184" s="965" t="str">
        <f t="shared" si="178"/>
        <v>-</v>
      </c>
      <c r="CH184" s="964" t="str">
        <f t="shared" si="185"/>
        <v>-</v>
      </c>
      <c r="CI184" s="964" t="str">
        <f t="shared" si="179"/>
        <v>-</v>
      </c>
      <c r="CJ184" s="964" t="str">
        <f t="shared" si="180"/>
        <v>-</v>
      </c>
      <c r="CK184" s="966" t="str">
        <f t="shared" si="181"/>
        <v>-</v>
      </c>
    </row>
    <row r="185" spans="4:89" ht="12.75" thickBot="1">
      <c r="E185" s="568" t="s">
        <v>882</v>
      </c>
      <c r="F185" s="560" t="str">
        <f>+F183</f>
        <v>Sewerage</v>
      </c>
      <c r="G185" s="561" t="str">
        <f>+G183</f>
        <v>SEW</v>
      </c>
      <c r="H185" s="561" t="str">
        <f>+H183</f>
        <v>Trade waste - SS Western</v>
      </c>
      <c r="I185" s="562" t="str">
        <f>+I183</f>
        <v>Variable</v>
      </c>
      <c r="J185" s="563" t="s">
        <v>883</v>
      </c>
      <c r="K185" s="564">
        <f t="shared" ref="K185:AJ185" si="252">K183*K184/10^6</f>
        <v>0</v>
      </c>
      <c r="L185" s="565">
        <f t="shared" si="252"/>
        <v>0</v>
      </c>
      <c r="M185" s="565">
        <f t="shared" si="252"/>
        <v>0</v>
      </c>
      <c r="N185" s="564">
        <f t="shared" si="252"/>
        <v>0</v>
      </c>
      <c r="O185" s="565">
        <f t="shared" si="252"/>
        <v>0</v>
      </c>
      <c r="P185" s="565">
        <f t="shared" si="252"/>
        <v>0</v>
      </c>
      <c r="Q185" s="565">
        <f t="shared" si="252"/>
        <v>0</v>
      </c>
      <c r="R185" s="566">
        <f t="shared" si="252"/>
        <v>0</v>
      </c>
      <c r="S185" s="564">
        <f t="shared" si="252"/>
        <v>0</v>
      </c>
      <c r="T185" s="565">
        <f t="shared" si="252"/>
        <v>0</v>
      </c>
      <c r="U185" s="566">
        <f t="shared" si="252"/>
        <v>0</v>
      </c>
      <c r="V185" s="564">
        <f t="shared" si="252"/>
        <v>0</v>
      </c>
      <c r="W185" s="565">
        <f t="shared" si="252"/>
        <v>0</v>
      </c>
      <c r="X185" s="565">
        <f t="shared" si="252"/>
        <v>0</v>
      </c>
      <c r="Y185" s="565">
        <f t="shared" si="252"/>
        <v>0</v>
      </c>
      <c r="Z185" s="566">
        <f t="shared" si="252"/>
        <v>0</v>
      </c>
      <c r="AA185" s="564">
        <f t="shared" si="252"/>
        <v>0</v>
      </c>
      <c r="AB185" s="565">
        <f t="shared" si="252"/>
        <v>0</v>
      </c>
      <c r="AC185" s="565">
        <f t="shared" si="252"/>
        <v>0</v>
      </c>
      <c r="AD185" s="565">
        <f t="shared" si="252"/>
        <v>0</v>
      </c>
      <c r="AE185" s="566">
        <f t="shared" si="252"/>
        <v>0</v>
      </c>
      <c r="AF185" s="564">
        <f t="shared" si="252"/>
        <v>0</v>
      </c>
      <c r="AG185" s="565">
        <f t="shared" si="252"/>
        <v>0</v>
      </c>
      <c r="AH185" s="565">
        <f t="shared" si="252"/>
        <v>0</v>
      </c>
      <c r="AI185" s="565">
        <f t="shared" si="252"/>
        <v>0</v>
      </c>
      <c r="AJ185" s="566">
        <f t="shared" si="252"/>
        <v>0</v>
      </c>
      <c r="AK185" s="569"/>
      <c r="AL185" s="569"/>
      <c r="AN185" s="857"/>
      <c r="AO185" s="984" t="str">
        <f t="shared" si="154"/>
        <v>Rev</v>
      </c>
      <c r="AP185" s="985" t="str">
        <f t="shared" si="155"/>
        <v>Sewerage</v>
      </c>
      <c r="AQ185" s="986" t="str">
        <f t="shared" si="156"/>
        <v>Variable</v>
      </c>
      <c r="AR185" s="990" t="str">
        <f t="shared" si="157"/>
        <v>-</v>
      </c>
      <c r="AS185" s="987" t="str">
        <f t="shared" si="158"/>
        <v>-</v>
      </c>
      <c r="AT185" s="987" t="str">
        <f t="shared" si="159"/>
        <v>-</v>
      </c>
      <c r="AU185" s="987" t="str">
        <f t="shared" si="160"/>
        <v>-</v>
      </c>
      <c r="AV185" s="1353" t="str">
        <f t="shared" si="161"/>
        <v>-</v>
      </c>
      <c r="AW185" s="1346" t="str">
        <f t="shared" si="162"/>
        <v>-</v>
      </c>
      <c r="AX185" s="987" t="str">
        <f t="shared" si="163"/>
        <v>-</v>
      </c>
      <c r="AY185" s="987" t="str">
        <f t="shared" si="164"/>
        <v>-</v>
      </c>
      <c r="AZ185" s="987" t="str">
        <f t="shared" si="165"/>
        <v>-</v>
      </c>
      <c r="BA185" s="988" t="str">
        <f t="shared" si="166"/>
        <v>-</v>
      </c>
      <c r="BB185" s="1346" t="str">
        <f t="shared" si="167"/>
        <v>-</v>
      </c>
      <c r="BC185" s="987" t="str">
        <f t="shared" si="168"/>
        <v>-</v>
      </c>
      <c r="BD185" s="987" t="str">
        <f t="shared" si="169"/>
        <v>-</v>
      </c>
      <c r="BE185" s="987" t="str">
        <f t="shared" si="170"/>
        <v>-</v>
      </c>
      <c r="BF185" s="989" t="str">
        <f t="shared" si="171"/>
        <v>-</v>
      </c>
      <c r="BG185" s="951"/>
      <c r="BH185" s="1550" t="str">
        <f t="shared" si="172"/>
        <v>Rev</v>
      </c>
      <c r="BI185" s="1551" t="str">
        <f t="shared" si="173"/>
        <v>Sewerage</v>
      </c>
      <c r="BJ185" s="1552" t="str">
        <f t="shared" si="174"/>
        <v>Variable</v>
      </c>
      <c r="BK185" s="987" t="str">
        <f t="shared" ref="BK185:BU185" si="253">IF(V185="","-",IFERROR((V185/U185-1)*(U185/U$13),"-"))</f>
        <v>-</v>
      </c>
      <c r="BL185" s="987" t="str">
        <f t="shared" si="253"/>
        <v>-</v>
      </c>
      <c r="BM185" s="987" t="str">
        <f t="shared" si="253"/>
        <v>-</v>
      </c>
      <c r="BN185" s="987" t="str">
        <f t="shared" si="253"/>
        <v>-</v>
      </c>
      <c r="BO185" s="1353" t="str">
        <f t="shared" si="253"/>
        <v>-</v>
      </c>
      <c r="BP185" s="1346" t="str">
        <f t="shared" si="253"/>
        <v>-</v>
      </c>
      <c r="BQ185" s="987" t="str">
        <f t="shared" si="253"/>
        <v>-</v>
      </c>
      <c r="BR185" s="987" t="str">
        <f t="shared" si="253"/>
        <v>-</v>
      </c>
      <c r="BS185" s="987" t="str">
        <f t="shared" si="253"/>
        <v>-</v>
      </c>
      <c r="BT185" s="988" t="str">
        <f t="shared" si="253"/>
        <v>-</v>
      </c>
      <c r="BU185" s="987" t="str">
        <f t="shared" si="253"/>
        <v>-</v>
      </c>
      <c r="BV185" s="987" t="str">
        <f>IF(AG185="","-",IFERROR((AG185/AF185-1)*(AF185/AF$13),"-"))</f>
        <v>-</v>
      </c>
      <c r="BW185" s="987" t="str">
        <f>IF(AH185="","-",IFERROR((AH185/AG185-1)*(AG185/AG$13),"-"))</f>
        <v>-</v>
      </c>
      <c r="BX185" s="987" t="str">
        <f>IF(AI185="","-",IFERROR((AI185/AH185-1)*(AH185/AH$13),"-"))</f>
        <v>-</v>
      </c>
      <c r="BY185" s="989" t="str">
        <f>IF(AJ185="","-",IFERROR((AJ185/AI185-1)*(AI185/AI$13),"-"))</f>
        <v>-</v>
      </c>
      <c r="BZ185" s="951"/>
      <c r="CA185" s="984" t="str">
        <f t="shared" si="151"/>
        <v>Rev</v>
      </c>
      <c r="CB185" s="985" t="str">
        <f t="shared" si="152"/>
        <v>Sewerage</v>
      </c>
      <c r="CC185" s="985" t="str">
        <f t="shared" si="153"/>
        <v>Variable</v>
      </c>
      <c r="CD185" s="990" t="str">
        <f t="shared" si="184"/>
        <v>-</v>
      </c>
      <c r="CE185" s="987" t="str">
        <f t="shared" si="176"/>
        <v>-</v>
      </c>
      <c r="CF185" s="987" t="str">
        <f t="shared" si="177"/>
        <v>-</v>
      </c>
      <c r="CG185" s="988" t="str">
        <f t="shared" si="178"/>
        <v>-</v>
      </c>
      <c r="CH185" s="987" t="str">
        <f t="shared" si="185"/>
        <v>-</v>
      </c>
      <c r="CI185" s="987" t="str">
        <f t="shared" si="179"/>
        <v>-</v>
      </c>
      <c r="CJ185" s="987" t="str">
        <f t="shared" si="180"/>
        <v>-</v>
      </c>
      <c r="CK185" s="989" t="str">
        <f t="shared" si="181"/>
        <v>-</v>
      </c>
    </row>
    <row r="186" spans="4:89">
      <c r="D186" s="63">
        <f>D183+1</f>
        <v>40</v>
      </c>
      <c r="E186" s="550" t="s">
        <v>857</v>
      </c>
      <c r="F186" s="595" t="s">
        <v>402</v>
      </c>
      <c r="G186" s="595" t="s">
        <v>103</v>
      </c>
      <c r="H186" s="595" t="s">
        <v>898</v>
      </c>
      <c r="I186" s="589" t="s">
        <v>843</v>
      </c>
      <c r="J186" s="589" t="s">
        <v>879</v>
      </c>
      <c r="K186" s="551"/>
      <c r="L186" s="552"/>
      <c r="M186" s="552"/>
      <c r="N186" s="551"/>
      <c r="O186" s="552"/>
      <c r="P186" s="552"/>
      <c r="Q186" s="552"/>
      <c r="R186" s="1035"/>
      <c r="S186" s="1138"/>
      <c r="T186" s="591"/>
      <c r="U186" s="1035"/>
      <c r="V186" s="1138"/>
      <c r="W186" s="591"/>
      <c r="X186" s="591"/>
      <c r="Y186" s="591"/>
      <c r="Z186" s="1035"/>
      <c r="AA186" s="1138"/>
      <c r="AB186" s="591"/>
      <c r="AC186" s="591"/>
      <c r="AD186" s="591"/>
      <c r="AE186" s="1035"/>
      <c r="AF186" s="1138"/>
      <c r="AG186" s="591"/>
      <c r="AH186" s="591"/>
      <c r="AI186" s="591"/>
      <c r="AJ186" s="1035"/>
      <c r="AK186" s="569"/>
      <c r="AL186" s="569"/>
      <c r="AM186" s="974"/>
      <c r="AN186" s="857"/>
      <c r="AO186" s="975" t="str">
        <f t="shared" si="154"/>
        <v>Price</v>
      </c>
      <c r="AP186" s="976" t="str">
        <f t="shared" si="155"/>
        <v>Sewerage</v>
      </c>
      <c r="AQ186" s="977" t="str">
        <f t="shared" si="156"/>
        <v>Variable</v>
      </c>
      <c r="AR186" s="1341" t="str">
        <f t="shared" si="157"/>
        <v>-</v>
      </c>
      <c r="AS186" s="978" t="str">
        <f t="shared" si="158"/>
        <v>-</v>
      </c>
      <c r="AT186" s="979" t="str">
        <f t="shared" si="159"/>
        <v>-</v>
      </c>
      <c r="AU186" s="979" t="str">
        <f t="shared" si="160"/>
        <v>-</v>
      </c>
      <c r="AV186" s="1352" t="str">
        <f t="shared" si="161"/>
        <v>-</v>
      </c>
      <c r="AW186" s="1345" t="str">
        <f t="shared" si="162"/>
        <v>-</v>
      </c>
      <c r="AX186" s="979" t="str">
        <f t="shared" si="163"/>
        <v>-</v>
      </c>
      <c r="AY186" s="979" t="str">
        <f t="shared" si="164"/>
        <v>-</v>
      </c>
      <c r="AZ186" s="979" t="str">
        <f t="shared" si="165"/>
        <v>-</v>
      </c>
      <c r="BA186" s="980" t="str">
        <f t="shared" si="166"/>
        <v>-</v>
      </c>
      <c r="BB186" s="1345" t="str">
        <f t="shared" si="167"/>
        <v>-</v>
      </c>
      <c r="BC186" s="979" t="str">
        <f t="shared" si="168"/>
        <v>-</v>
      </c>
      <c r="BD186" s="979" t="str">
        <f t="shared" si="169"/>
        <v>-</v>
      </c>
      <c r="BE186" s="979" t="str">
        <f t="shared" si="170"/>
        <v>-</v>
      </c>
      <c r="BF186" s="981" t="str">
        <f t="shared" si="171"/>
        <v>-</v>
      </c>
      <c r="BG186" s="951"/>
      <c r="BH186" s="1547" t="str">
        <f t="shared" si="172"/>
        <v>Price</v>
      </c>
      <c r="BI186" s="1548" t="str">
        <f t="shared" si="173"/>
        <v>Sewerage</v>
      </c>
      <c r="BJ186" s="1549" t="str">
        <f t="shared" si="174"/>
        <v>Variable</v>
      </c>
      <c r="BK186" s="978" t="str">
        <f t="shared" ref="BK186:BU186" si="254">IF(V186="","-",IFERROR((V186/U186-1)*(U188/U$13),"-"))</f>
        <v>-</v>
      </c>
      <c r="BL186" s="978" t="str">
        <f t="shared" si="254"/>
        <v>-</v>
      </c>
      <c r="BM186" s="979" t="str">
        <f t="shared" si="254"/>
        <v>-</v>
      </c>
      <c r="BN186" s="979" t="str">
        <f t="shared" si="254"/>
        <v>-</v>
      </c>
      <c r="BO186" s="1352" t="str">
        <f t="shared" si="254"/>
        <v>-</v>
      </c>
      <c r="BP186" s="1345" t="str">
        <f t="shared" si="254"/>
        <v>-</v>
      </c>
      <c r="BQ186" s="979" t="str">
        <f t="shared" si="254"/>
        <v>-</v>
      </c>
      <c r="BR186" s="979" t="str">
        <f t="shared" si="254"/>
        <v>-</v>
      </c>
      <c r="BS186" s="979" t="str">
        <f t="shared" si="254"/>
        <v>-</v>
      </c>
      <c r="BT186" s="980" t="str">
        <f t="shared" si="254"/>
        <v>-</v>
      </c>
      <c r="BU186" s="979" t="str">
        <f t="shared" si="254"/>
        <v>-</v>
      </c>
      <c r="BV186" s="979" t="str">
        <f>IF(AG186="","-",IFERROR((AG186/AF186-1)*(AF188/AF$13),"-"))</f>
        <v>-</v>
      </c>
      <c r="BW186" s="979" t="str">
        <f>IF(AH186="","-",IFERROR((AH186/AG186-1)*(AG188/AG$13),"-"))</f>
        <v>-</v>
      </c>
      <c r="BX186" s="979" t="str">
        <f>IF(AI186="","-",IFERROR((AI186/AH186-1)*(AH188/AH$13),"-"))</f>
        <v>-</v>
      </c>
      <c r="BY186" s="981" t="str">
        <f>IF(AJ186="","-",IFERROR((AJ186/AI186-1)*(AI188/AI$13),"-"))</f>
        <v>-</v>
      </c>
      <c r="BZ186" s="951"/>
      <c r="CA186" s="975" t="str">
        <f t="shared" si="151"/>
        <v>Price</v>
      </c>
      <c r="CB186" s="976" t="str">
        <f t="shared" si="152"/>
        <v>Sewerage</v>
      </c>
      <c r="CC186" s="982" t="str">
        <f t="shared" si="153"/>
        <v>Variable</v>
      </c>
      <c r="CD186" s="983" t="str">
        <f t="shared" si="184"/>
        <v>-</v>
      </c>
      <c r="CE186" s="979" t="str">
        <f t="shared" si="176"/>
        <v>-</v>
      </c>
      <c r="CF186" s="979" t="str">
        <f t="shared" si="177"/>
        <v>-</v>
      </c>
      <c r="CG186" s="980" t="str">
        <f t="shared" si="178"/>
        <v>-</v>
      </c>
      <c r="CH186" s="979" t="str">
        <f t="shared" si="185"/>
        <v>-</v>
      </c>
      <c r="CI186" s="979" t="str">
        <f t="shared" si="179"/>
        <v>-</v>
      </c>
      <c r="CJ186" s="979" t="str">
        <f t="shared" si="180"/>
        <v>-</v>
      </c>
      <c r="CK186" s="981" t="str">
        <f t="shared" si="181"/>
        <v>-</v>
      </c>
    </row>
    <row r="187" spans="4:89">
      <c r="E187" s="567" t="s">
        <v>880</v>
      </c>
      <c r="F187" s="554" t="str">
        <f>+F186</f>
        <v>Sewerage</v>
      </c>
      <c r="G187" s="555" t="str">
        <f>+G186</f>
        <v>YVW</v>
      </c>
      <c r="H187" s="555" t="str">
        <f>+H186</f>
        <v>Trade waste - SS Western</v>
      </c>
      <c r="I187" s="556" t="str">
        <f>+I186</f>
        <v>Variable</v>
      </c>
      <c r="J187" s="590" t="s">
        <v>896</v>
      </c>
      <c r="K187" s="557"/>
      <c r="L187" s="558"/>
      <c r="M187" s="558"/>
      <c r="N187" s="557"/>
      <c r="O187" s="558"/>
      <c r="P187" s="558"/>
      <c r="Q187" s="558"/>
      <c r="R187" s="1036"/>
      <c r="S187" s="1139"/>
      <c r="T187" s="593"/>
      <c r="U187" s="1036"/>
      <c r="V187" s="1139"/>
      <c r="W187" s="593"/>
      <c r="X187" s="593"/>
      <c r="Y187" s="593"/>
      <c r="Z187" s="1036"/>
      <c r="AA187" s="1139"/>
      <c r="AB187" s="593"/>
      <c r="AC187" s="593"/>
      <c r="AD187" s="593"/>
      <c r="AE187" s="1036"/>
      <c r="AF187" s="1139"/>
      <c r="AG187" s="593"/>
      <c r="AH187" s="593"/>
      <c r="AI187" s="593"/>
      <c r="AJ187" s="1036"/>
      <c r="AK187" s="569"/>
      <c r="AL187" s="569"/>
      <c r="AN187" s="857"/>
      <c r="AO187" s="961" t="str">
        <f t="shared" si="154"/>
        <v>Qty</v>
      </c>
      <c r="AP187" s="962" t="str">
        <f t="shared" si="155"/>
        <v>Sewerage</v>
      </c>
      <c r="AQ187" s="963" t="str">
        <f t="shared" si="156"/>
        <v>Variable</v>
      </c>
      <c r="AR187" s="967" t="str">
        <f t="shared" si="157"/>
        <v>-</v>
      </c>
      <c r="AS187" s="964" t="str">
        <f t="shared" si="158"/>
        <v>-</v>
      </c>
      <c r="AT187" s="964" t="str">
        <f t="shared" si="159"/>
        <v>-</v>
      </c>
      <c r="AU187" s="964" t="str">
        <f t="shared" si="160"/>
        <v>-</v>
      </c>
      <c r="AV187" s="1350" t="str">
        <f t="shared" si="161"/>
        <v>-</v>
      </c>
      <c r="AW187" s="1343" t="str">
        <f t="shared" si="162"/>
        <v>-</v>
      </c>
      <c r="AX187" s="964" t="str">
        <f t="shared" si="163"/>
        <v>-</v>
      </c>
      <c r="AY187" s="964" t="str">
        <f t="shared" si="164"/>
        <v>-</v>
      </c>
      <c r="AZ187" s="964" t="str">
        <f t="shared" si="165"/>
        <v>-</v>
      </c>
      <c r="BA187" s="965" t="str">
        <f t="shared" si="166"/>
        <v>-</v>
      </c>
      <c r="BB187" s="1343" t="str">
        <f t="shared" si="167"/>
        <v>-</v>
      </c>
      <c r="BC187" s="964" t="str">
        <f t="shared" si="168"/>
        <v>-</v>
      </c>
      <c r="BD187" s="964" t="str">
        <f t="shared" si="169"/>
        <v>-</v>
      </c>
      <c r="BE187" s="964" t="str">
        <f t="shared" si="170"/>
        <v>-</v>
      </c>
      <c r="BF187" s="966" t="str">
        <f t="shared" si="171"/>
        <v>-</v>
      </c>
      <c r="BG187" s="951"/>
      <c r="BH187" s="1541" t="str">
        <f t="shared" si="172"/>
        <v>Qty</v>
      </c>
      <c r="BI187" s="1542" t="str">
        <f t="shared" si="173"/>
        <v>Sewerage</v>
      </c>
      <c r="BJ187" s="1543" t="str">
        <f t="shared" si="174"/>
        <v>Variable</v>
      </c>
      <c r="BK187" s="964" t="str">
        <f t="shared" ref="BK187:BU187" si="255">IF(V187="","-",IFERROR((V187/U187-1)*(U188/U$13),"-"))</f>
        <v>-</v>
      </c>
      <c r="BL187" s="964" t="str">
        <f t="shared" si="255"/>
        <v>-</v>
      </c>
      <c r="BM187" s="964" t="str">
        <f t="shared" si="255"/>
        <v>-</v>
      </c>
      <c r="BN187" s="964" t="str">
        <f t="shared" si="255"/>
        <v>-</v>
      </c>
      <c r="BO187" s="1350" t="str">
        <f t="shared" si="255"/>
        <v>-</v>
      </c>
      <c r="BP187" s="1343" t="str">
        <f t="shared" si="255"/>
        <v>-</v>
      </c>
      <c r="BQ187" s="964" t="str">
        <f t="shared" si="255"/>
        <v>-</v>
      </c>
      <c r="BR187" s="964" t="str">
        <f t="shared" si="255"/>
        <v>-</v>
      </c>
      <c r="BS187" s="964" t="str">
        <f t="shared" si="255"/>
        <v>-</v>
      </c>
      <c r="BT187" s="965" t="str">
        <f t="shared" si="255"/>
        <v>-</v>
      </c>
      <c r="BU187" s="964" t="str">
        <f t="shared" si="255"/>
        <v>-</v>
      </c>
      <c r="BV187" s="964" t="str">
        <f>IF(AG187="","-",IFERROR((AG187/AF187-1)*(AF188/AF$13),"-"))</f>
        <v>-</v>
      </c>
      <c r="BW187" s="964" t="str">
        <f>IF(AH187="","-",IFERROR((AH187/AG187-1)*(AG188/AG$13),"-"))</f>
        <v>-</v>
      </c>
      <c r="BX187" s="964" t="str">
        <f>IF(AI187="","-",IFERROR((AI187/AH187-1)*(AH188/AH$13),"-"))</f>
        <v>-</v>
      </c>
      <c r="BY187" s="966" t="str">
        <f>IF(AJ187="","-",IFERROR((AJ187/AI187-1)*(AI188/AI$13),"-"))</f>
        <v>-</v>
      </c>
      <c r="BZ187" s="951"/>
      <c r="CA187" s="961" t="str">
        <f t="shared" si="151"/>
        <v>Qty</v>
      </c>
      <c r="CB187" s="962" t="str">
        <f t="shared" si="152"/>
        <v>Sewerage</v>
      </c>
      <c r="CC187" s="962" t="str">
        <f t="shared" si="153"/>
        <v>Variable</v>
      </c>
      <c r="CD187" s="967" t="str">
        <f t="shared" si="184"/>
        <v>-</v>
      </c>
      <c r="CE187" s="964" t="str">
        <f t="shared" si="176"/>
        <v>-</v>
      </c>
      <c r="CF187" s="964" t="str">
        <f t="shared" si="177"/>
        <v>-</v>
      </c>
      <c r="CG187" s="965" t="str">
        <f t="shared" si="178"/>
        <v>-</v>
      </c>
      <c r="CH187" s="964" t="str">
        <f t="shared" si="185"/>
        <v>-</v>
      </c>
      <c r="CI187" s="964" t="str">
        <f t="shared" si="179"/>
        <v>-</v>
      </c>
      <c r="CJ187" s="964" t="str">
        <f t="shared" si="180"/>
        <v>-</v>
      </c>
      <c r="CK187" s="966" t="str">
        <f t="shared" si="181"/>
        <v>-</v>
      </c>
    </row>
    <row r="188" spans="4:89" ht="12.75" thickBot="1">
      <c r="E188" s="568" t="s">
        <v>882</v>
      </c>
      <c r="F188" s="560" t="str">
        <f>+F186</f>
        <v>Sewerage</v>
      </c>
      <c r="G188" s="561" t="str">
        <f>+G186</f>
        <v>YVW</v>
      </c>
      <c r="H188" s="561" t="str">
        <f>+H186</f>
        <v>Trade waste - SS Western</v>
      </c>
      <c r="I188" s="562" t="str">
        <f>+I186</f>
        <v>Variable</v>
      </c>
      <c r="J188" s="563" t="s">
        <v>883</v>
      </c>
      <c r="K188" s="564">
        <f t="shared" ref="K188:AJ188" si="256">K186*K187/10^6</f>
        <v>0</v>
      </c>
      <c r="L188" s="565">
        <f t="shared" si="256"/>
        <v>0</v>
      </c>
      <c r="M188" s="565">
        <f t="shared" si="256"/>
        <v>0</v>
      </c>
      <c r="N188" s="564">
        <f t="shared" si="256"/>
        <v>0</v>
      </c>
      <c r="O188" s="565">
        <f t="shared" si="256"/>
        <v>0</v>
      </c>
      <c r="P188" s="565">
        <f t="shared" si="256"/>
        <v>0</v>
      </c>
      <c r="Q188" s="565">
        <f t="shared" si="256"/>
        <v>0</v>
      </c>
      <c r="R188" s="566">
        <f t="shared" si="256"/>
        <v>0</v>
      </c>
      <c r="S188" s="564">
        <f t="shared" si="256"/>
        <v>0</v>
      </c>
      <c r="T188" s="565">
        <f t="shared" si="256"/>
        <v>0</v>
      </c>
      <c r="U188" s="566">
        <f t="shared" si="256"/>
        <v>0</v>
      </c>
      <c r="V188" s="564">
        <f t="shared" si="256"/>
        <v>0</v>
      </c>
      <c r="W188" s="565">
        <f t="shared" si="256"/>
        <v>0</v>
      </c>
      <c r="X188" s="565">
        <f t="shared" si="256"/>
        <v>0</v>
      </c>
      <c r="Y188" s="565">
        <f t="shared" si="256"/>
        <v>0</v>
      </c>
      <c r="Z188" s="566">
        <f t="shared" si="256"/>
        <v>0</v>
      </c>
      <c r="AA188" s="564">
        <f t="shared" si="256"/>
        <v>0</v>
      </c>
      <c r="AB188" s="565">
        <f t="shared" si="256"/>
        <v>0</v>
      </c>
      <c r="AC188" s="565">
        <f t="shared" si="256"/>
        <v>0</v>
      </c>
      <c r="AD188" s="565">
        <f t="shared" si="256"/>
        <v>0</v>
      </c>
      <c r="AE188" s="566">
        <f t="shared" si="256"/>
        <v>0</v>
      </c>
      <c r="AF188" s="564">
        <f t="shared" si="256"/>
        <v>0</v>
      </c>
      <c r="AG188" s="565">
        <f t="shared" si="256"/>
        <v>0</v>
      </c>
      <c r="AH188" s="565">
        <f t="shared" si="256"/>
        <v>0</v>
      </c>
      <c r="AI188" s="565">
        <f t="shared" si="256"/>
        <v>0</v>
      </c>
      <c r="AJ188" s="566">
        <f t="shared" si="256"/>
        <v>0</v>
      </c>
      <c r="AK188" s="569"/>
      <c r="AL188" s="569"/>
      <c r="AN188" s="857"/>
      <c r="AO188" s="984" t="str">
        <f t="shared" si="154"/>
        <v>Rev</v>
      </c>
      <c r="AP188" s="985" t="str">
        <f t="shared" si="155"/>
        <v>Sewerage</v>
      </c>
      <c r="AQ188" s="986" t="str">
        <f t="shared" si="156"/>
        <v>Variable</v>
      </c>
      <c r="AR188" s="990" t="str">
        <f t="shared" si="157"/>
        <v>-</v>
      </c>
      <c r="AS188" s="987" t="str">
        <f t="shared" si="158"/>
        <v>-</v>
      </c>
      <c r="AT188" s="987" t="str">
        <f t="shared" si="159"/>
        <v>-</v>
      </c>
      <c r="AU188" s="987" t="str">
        <f t="shared" si="160"/>
        <v>-</v>
      </c>
      <c r="AV188" s="1353" t="str">
        <f t="shared" si="161"/>
        <v>-</v>
      </c>
      <c r="AW188" s="1346" t="str">
        <f t="shared" si="162"/>
        <v>-</v>
      </c>
      <c r="AX188" s="987" t="str">
        <f t="shared" si="163"/>
        <v>-</v>
      </c>
      <c r="AY188" s="987" t="str">
        <f t="shared" si="164"/>
        <v>-</v>
      </c>
      <c r="AZ188" s="987" t="str">
        <f t="shared" si="165"/>
        <v>-</v>
      </c>
      <c r="BA188" s="988" t="str">
        <f t="shared" si="166"/>
        <v>-</v>
      </c>
      <c r="BB188" s="1346" t="str">
        <f t="shared" si="167"/>
        <v>-</v>
      </c>
      <c r="BC188" s="987" t="str">
        <f t="shared" si="168"/>
        <v>-</v>
      </c>
      <c r="BD188" s="987" t="str">
        <f t="shared" si="169"/>
        <v>-</v>
      </c>
      <c r="BE188" s="987" t="str">
        <f t="shared" si="170"/>
        <v>-</v>
      </c>
      <c r="BF188" s="989" t="str">
        <f t="shared" si="171"/>
        <v>-</v>
      </c>
      <c r="BG188" s="951"/>
      <c r="BH188" s="1550" t="str">
        <f t="shared" si="172"/>
        <v>Rev</v>
      </c>
      <c r="BI188" s="1551" t="str">
        <f t="shared" si="173"/>
        <v>Sewerage</v>
      </c>
      <c r="BJ188" s="1552" t="str">
        <f t="shared" si="174"/>
        <v>Variable</v>
      </c>
      <c r="BK188" s="987" t="str">
        <f t="shared" ref="BK188:BU188" si="257">IF(V188="","-",IFERROR((V188/U188-1)*(U188/U$13),"-"))</f>
        <v>-</v>
      </c>
      <c r="BL188" s="987" t="str">
        <f t="shared" si="257"/>
        <v>-</v>
      </c>
      <c r="BM188" s="987" t="str">
        <f t="shared" si="257"/>
        <v>-</v>
      </c>
      <c r="BN188" s="987" t="str">
        <f t="shared" si="257"/>
        <v>-</v>
      </c>
      <c r="BO188" s="1353" t="str">
        <f t="shared" si="257"/>
        <v>-</v>
      </c>
      <c r="BP188" s="1346" t="str">
        <f t="shared" si="257"/>
        <v>-</v>
      </c>
      <c r="BQ188" s="987" t="str">
        <f t="shared" si="257"/>
        <v>-</v>
      </c>
      <c r="BR188" s="987" t="str">
        <f t="shared" si="257"/>
        <v>-</v>
      </c>
      <c r="BS188" s="987" t="str">
        <f t="shared" si="257"/>
        <v>-</v>
      </c>
      <c r="BT188" s="988" t="str">
        <f t="shared" si="257"/>
        <v>-</v>
      </c>
      <c r="BU188" s="987" t="str">
        <f t="shared" si="257"/>
        <v>-</v>
      </c>
      <c r="BV188" s="987" t="str">
        <f>IF(AG188="","-",IFERROR((AG188/AF188-1)*(AF188/AF$13),"-"))</f>
        <v>-</v>
      </c>
      <c r="BW188" s="987" t="str">
        <f>IF(AH188="","-",IFERROR((AH188/AG188-1)*(AG188/AG$13),"-"))</f>
        <v>-</v>
      </c>
      <c r="BX188" s="987" t="str">
        <f>IF(AI188="","-",IFERROR((AI188/AH188-1)*(AH188/AH$13),"-"))</f>
        <v>-</v>
      </c>
      <c r="BY188" s="989" t="str">
        <f>IF(AJ188="","-",IFERROR((AJ188/AI188-1)*(AI188/AI$13),"-"))</f>
        <v>-</v>
      </c>
      <c r="BZ188" s="951"/>
      <c r="CA188" s="984" t="str">
        <f t="shared" si="151"/>
        <v>Rev</v>
      </c>
      <c r="CB188" s="985" t="str">
        <f t="shared" si="152"/>
        <v>Sewerage</v>
      </c>
      <c r="CC188" s="985" t="str">
        <f t="shared" si="153"/>
        <v>Variable</v>
      </c>
      <c r="CD188" s="990" t="str">
        <f t="shared" si="184"/>
        <v>-</v>
      </c>
      <c r="CE188" s="987" t="str">
        <f t="shared" si="176"/>
        <v>-</v>
      </c>
      <c r="CF188" s="987" t="str">
        <f t="shared" si="177"/>
        <v>-</v>
      </c>
      <c r="CG188" s="988" t="str">
        <f t="shared" si="178"/>
        <v>-</v>
      </c>
      <c r="CH188" s="987" t="str">
        <f t="shared" si="185"/>
        <v>-</v>
      </c>
      <c r="CI188" s="987" t="str">
        <f t="shared" si="179"/>
        <v>-</v>
      </c>
      <c r="CJ188" s="987" t="str">
        <f t="shared" si="180"/>
        <v>-</v>
      </c>
      <c r="CK188" s="989" t="str">
        <f t="shared" si="181"/>
        <v>-</v>
      </c>
    </row>
    <row r="189" spans="4:89">
      <c r="D189" s="63">
        <f>D186+1</f>
        <v>41</v>
      </c>
      <c r="E189" s="550" t="s">
        <v>857</v>
      </c>
      <c r="F189" s="595" t="s">
        <v>402</v>
      </c>
      <c r="G189" s="595" t="s">
        <v>92</v>
      </c>
      <c r="H189" s="595" t="s">
        <v>899</v>
      </c>
      <c r="I189" s="589" t="s">
        <v>843</v>
      </c>
      <c r="J189" s="589" t="s">
        <v>879</v>
      </c>
      <c r="K189" s="551"/>
      <c r="L189" s="552"/>
      <c r="M189" s="552"/>
      <c r="N189" s="551"/>
      <c r="O189" s="552"/>
      <c r="P189" s="552"/>
      <c r="Q189" s="552"/>
      <c r="R189" s="1035"/>
      <c r="S189" s="1138"/>
      <c r="T189" s="591"/>
      <c r="U189" s="1035"/>
      <c r="V189" s="1138"/>
      <c r="W189" s="591"/>
      <c r="X189" s="591"/>
      <c r="Y189" s="591"/>
      <c r="Z189" s="1035"/>
      <c r="AA189" s="1138"/>
      <c r="AB189" s="591"/>
      <c r="AC189" s="591"/>
      <c r="AD189" s="591"/>
      <c r="AE189" s="1035"/>
      <c r="AF189" s="1138"/>
      <c r="AG189" s="591"/>
      <c r="AH189" s="591"/>
      <c r="AI189" s="591"/>
      <c r="AJ189" s="1035"/>
      <c r="AK189" s="569"/>
      <c r="AL189" s="569"/>
      <c r="AM189" s="974"/>
      <c r="AN189" s="857"/>
      <c r="AO189" s="975" t="str">
        <f t="shared" si="154"/>
        <v>Price</v>
      </c>
      <c r="AP189" s="976" t="str">
        <f t="shared" si="155"/>
        <v>Sewerage</v>
      </c>
      <c r="AQ189" s="977" t="str">
        <f t="shared" si="156"/>
        <v>Variable</v>
      </c>
      <c r="AR189" s="1341" t="str">
        <f t="shared" si="157"/>
        <v>-</v>
      </c>
      <c r="AS189" s="978" t="str">
        <f t="shared" si="158"/>
        <v>-</v>
      </c>
      <c r="AT189" s="979" t="str">
        <f t="shared" si="159"/>
        <v>-</v>
      </c>
      <c r="AU189" s="979" t="str">
        <f t="shared" si="160"/>
        <v>-</v>
      </c>
      <c r="AV189" s="1352" t="str">
        <f t="shared" si="161"/>
        <v>-</v>
      </c>
      <c r="AW189" s="1345" t="str">
        <f t="shared" si="162"/>
        <v>-</v>
      </c>
      <c r="AX189" s="979" t="str">
        <f t="shared" si="163"/>
        <v>-</v>
      </c>
      <c r="AY189" s="979" t="str">
        <f t="shared" si="164"/>
        <v>-</v>
      </c>
      <c r="AZ189" s="979" t="str">
        <f t="shared" si="165"/>
        <v>-</v>
      </c>
      <c r="BA189" s="980" t="str">
        <f t="shared" si="166"/>
        <v>-</v>
      </c>
      <c r="BB189" s="1345" t="str">
        <f t="shared" si="167"/>
        <v>-</v>
      </c>
      <c r="BC189" s="979" t="str">
        <f t="shared" si="168"/>
        <v>-</v>
      </c>
      <c r="BD189" s="979" t="str">
        <f t="shared" si="169"/>
        <v>-</v>
      </c>
      <c r="BE189" s="979" t="str">
        <f t="shared" si="170"/>
        <v>-</v>
      </c>
      <c r="BF189" s="981" t="str">
        <f t="shared" si="171"/>
        <v>-</v>
      </c>
      <c r="BG189" s="951"/>
      <c r="BH189" s="1547" t="str">
        <f t="shared" si="172"/>
        <v>Price</v>
      </c>
      <c r="BI189" s="1548" t="str">
        <f t="shared" si="173"/>
        <v>Sewerage</v>
      </c>
      <c r="BJ189" s="1549" t="str">
        <f t="shared" si="174"/>
        <v>Variable</v>
      </c>
      <c r="BK189" s="978" t="str">
        <f t="shared" ref="BK189:BU189" si="258">IF(V189="","-",IFERROR((V189/U189-1)*(U191/U$13),"-"))</f>
        <v>-</v>
      </c>
      <c r="BL189" s="978" t="str">
        <f t="shared" si="258"/>
        <v>-</v>
      </c>
      <c r="BM189" s="979" t="str">
        <f t="shared" si="258"/>
        <v>-</v>
      </c>
      <c r="BN189" s="979" t="str">
        <f t="shared" si="258"/>
        <v>-</v>
      </c>
      <c r="BO189" s="1352" t="str">
        <f t="shared" si="258"/>
        <v>-</v>
      </c>
      <c r="BP189" s="1345" t="str">
        <f t="shared" si="258"/>
        <v>-</v>
      </c>
      <c r="BQ189" s="979" t="str">
        <f t="shared" si="258"/>
        <v>-</v>
      </c>
      <c r="BR189" s="979" t="str">
        <f t="shared" si="258"/>
        <v>-</v>
      </c>
      <c r="BS189" s="979" t="str">
        <f t="shared" si="258"/>
        <v>-</v>
      </c>
      <c r="BT189" s="980" t="str">
        <f t="shared" si="258"/>
        <v>-</v>
      </c>
      <c r="BU189" s="979" t="str">
        <f t="shared" si="258"/>
        <v>-</v>
      </c>
      <c r="BV189" s="979" t="str">
        <f>IF(AG189="","-",IFERROR((AG189/AF189-1)*(AF191/AF$13),"-"))</f>
        <v>-</v>
      </c>
      <c r="BW189" s="979" t="str">
        <f>IF(AH189="","-",IFERROR((AH189/AG189-1)*(AG191/AG$13),"-"))</f>
        <v>-</v>
      </c>
      <c r="BX189" s="979" t="str">
        <f>IF(AI189="","-",IFERROR((AI189/AH189-1)*(AH191/AH$13),"-"))</f>
        <v>-</v>
      </c>
      <c r="BY189" s="981" t="str">
        <f>IF(AJ189="","-",IFERROR((AJ189/AI189-1)*(AI191/AI$13),"-"))</f>
        <v>-</v>
      </c>
      <c r="BZ189" s="951"/>
      <c r="CA189" s="975" t="str">
        <f t="shared" si="151"/>
        <v>Price</v>
      </c>
      <c r="CB189" s="976" t="str">
        <f t="shared" si="152"/>
        <v>Sewerage</v>
      </c>
      <c r="CC189" s="982" t="str">
        <f t="shared" si="153"/>
        <v>Variable</v>
      </c>
      <c r="CD189" s="983" t="str">
        <f t="shared" si="184"/>
        <v>-</v>
      </c>
      <c r="CE189" s="979" t="str">
        <f t="shared" si="176"/>
        <v>-</v>
      </c>
      <c r="CF189" s="979" t="str">
        <f t="shared" si="177"/>
        <v>-</v>
      </c>
      <c r="CG189" s="980" t="str">
        <f t="shared" si="178"/>
        <v>-</v>
      </c>
      <c r="CH189" s="979" t="str">
        <f t="shared" si="185"/>
        <v>-</v>
      </c>
      <c r="CI189" s="979" t="str">
        <f t="shared" si="179"/>
        <v>-</v>
      </c>
      <c r="CJ189" s="979" t="str">
        <f t="shared" si="180"/>
        <v>-</v>
      </c>
      <c r="CK189" s="981" t="str">
        <f t="shared" si="181"/>
        <v>-</v>
      </c>
    </row>
    <row r="190" spans="4:89">
      <c r="E190" s="567" t="s">
        <v>880</v>
      </c>
      <c r="F190" s="554" t="str">
        <f>+F189</f>
        <v>Sewerage</v>
      </c>
      <c r="G190" s="555" t="str">
        <f>+G189</f>
        <v>SEW</v>
      </c>
      <c r="H190" s="555" t="str">
        <f>+H189</f>
        <v>Trade waste - SS Eastern</v>
      </c>
      <c r="I190" s="556" t="str">
        <f>+I189</f>
        <v>Variable</v>
      </c>
      <c r="J190" s="590" t="s">
        <v>896</v>
      </c>
      <c r="K190" s="557"/>
      <c r="L190" s="558"/>
      <c r="M190" s="558"/>
      <c r="N190" s="557"/>
      <c r="O190" s="558"/>
      <c r="P190" s="558"/>
      <c r="Q190" s="558"/>
      <c r="R190" s="1036"/>
      <c r="S190" s="1139"/>
      <c r="T190" s="593"/>
      <c r="U190" s="1036"/>
      <c r="V190" s="1139"/>
      <c r="W190" s="593"/>
      <c r="X190" s="593"/>
      <c r="Y190" s="593"/>
      <c r="Z190" s="1036"/>
      <c r="AA190" s="1139"/>
      <c r="AB190" s="593"/>
      <c r="AC190" s="593"/>
      <c r="AD190" s="593"/>
      <c r="AE190" s="1036"/>
      <c r="AF190" s="1139"/>
      <c r="AG190" s="593"/>
      <c r="AH190" s="593"/>
      <c r="AI190" s="593"/>
      <c r="AJ190" s="1036"/>
      <c r="AK190" s="569"/>
      <c r="AL190" s="569"/>
      <c r="AN190" s="857"/>
      <c r="AO190" s="961" t="str">
        <f t="shared" si="154"/>
        <v>Qty</v>
      </c>
      <c r="AP190" s="962" t="str">
        <f t="shared" si="155"/>
        <v>Sewerage</v>
      </c>
      <c r="AQ190" s="963" t="str">
        <f t="shared" si="156"/>
        <v>Variable</v>
      </c>
      <c r="AR190" s="967" t="str">
        <f t="shared" si="157"/>
        <v>-</v>
      </c>
      <c r="AS190" s="964" t="str">
        <f t="shared" si="158"/>
        <v>-</v>
      </c>
      <c r="AT190" s="964" t="str">
        <f t="shared" si="159"/>
        <v>-</v>
      </c>
      <c r="AU190" s="964" t="str">
        <f t="shared" si="160"/>
        <v>-</v>
      </c>
      <c r="AV190" s="1350" t="str">
        <f t="shared" si="161"/>
        <v>-</v>
      </c>
      <c r="AW190" s="1343" t="str">
        <f t="shared" si="162"/>
        <v>-</v>
      </c>
      <c r="AX190" s="964" t="str">
        <f t="shared" si="163"/>
        <v>-</v>
      </c>
      <c r="AY190" s="964" t="str">
        <f t="shared" si="164"/>
        <v>-</v>
      </c>
      <c r="AZ190" s="964" t="str">
        <f t="shared" si="165"/>
        <v>-</v>
      </c>
      <c r="BA190" s="965" t="str">
        <f t="shared" si="166"/>
        <v>-</v>
      </c>
      <c r="BB190" s="1343" t="str">
        <f t="shared" si="167"/>
        <v>-</v>
      </c>
      <c r="BC190" s="964" t="str">
        <f t="shared" si="168"/>
        <v>-</v>
      </c>
      <c r="BD190" s="964" t="str">
        <f t="shared" si="169"/>
        <v>-</v>
      </c>
      <c r="BE190" s="964" t="str">
        <f t="shared" si="170"/>
        <v>-</v>
      </c>
      <c r="BF190" s="966" t="str">
        <f t="shared" si="171"/>
        <v>-</v>
      </c>
      <c r="BG190" s="951"/>
      <c r="BH190" s="1541" t="str">
        <f t="shared" si="172"/>
        <v>Qty</v>
      </c>
      <c r="BI190" s="1542" t="str">
        <f t="shared" si="173"/>
        <v>Sewerage</v>
      </c>
      <c r="BJ190" s="1543" t="str">
        <f t="shared" si="174"/>
        <v>Variable</v>
      </c>
      <c r="BK190" s="964" t="str">
        <f t="shared" ref="BK190:BU190" si="259">IF(V190="","-",IFERROR((V190/U190-1)*(U191/U$13),"-"))</f>
        <v>-</v>
      </c>
      <c r="BL190" s="964" t="str">
        <f t="shared" si="259"/>
        <v>-</v>
      </c>
      <c r="BM190" s="964" t="str">
        <f t="shared" si="259"/>
        <v>-</v>
      </c>
      <c r="BN190" s="964" t="str">
        <f t="shared" si="259"/>
        <v>-</v>
      </c>
      <c r="BO190" s="1350" t="str">
        <f t="shared" si="259"/>
        <v>-</v>
      </c>
      <c r="BP190" s="1343" t="str">
        <f t="shared" si="259"/>
        <v>-</v>
      </c>
      <c r="BQ190" s="964" t="str">
        <f t="shared" si="259"/>
        <v>-</v>
      </c>
      <c r="BR190" s="964" t="str">
        <f t="shared" si="259"/>
        <v>-</v>
      </c>
      <c r="BS190" s="964" t="str">
        <f t="shared" si="259"/>
        <v>-</v>
      </c>
      <c r="BT190" s="965" t="str">
        <f t="shared" si="259"/>
        <v>-</v>
      </c>
      <c r="BU190" s="964" t="str">
        <f t="shared" si="259"/>
        <v>-</v>
      </c>
      <c r="BV190" s="964" t="str">
        <f>IF(AG190="","-",IFERROR((AG190/AF190-1)*(AF191/AF$13),"-"))</f>
        <v>-</v>
      </c>
      <c r="BW190" s="964" t="str">
        <f>IF(AH190="","-",IFERROR((AH190/AG190-1)*(AG191/AG$13),"-"))</f>
        <v>-</v>
      </c>
      <c r="BX190" s="964" t="str">
        <f>IF(AI190="","-",IFERROR((AI190/AH190-1)*(AH191/AH$13),"-"))</f>
        <v>-</v>
      </c>
      <c r="BY190" s="966" t="str">
        <f>IF(AJ190="","-",IFERROR((AJ190/AI190-1)*(AI191/AI$13),"-"))</f>
        <v>-</v>
      </c>
      <c r="BZ190" s="951"/>
      <c r="CA190" s="961" t="str">
        <f t="shared" si="151"/>
        <v>Qty</v>
      </c>
      <c r="CB190" s="962" t="str">
        <f t="shared" si="152"/>
        <v>Sewerage</v>
      </c>
      <c r="CC190" s="962" t="str">
        <f t="shared" si="153"/>
        <v>Variable</v>
      </c>
      <c r="CD190" s="967" t="str">
        <f t="shared" si="184"/>
        <v>-</v>
      </c>
      <c r="CE190" s="964" t="str">
        <f t="shared" si="176"/>
        <v>-</v>
      </c>
      <c r="CF190" s="964" t="str">
        <f t="shared" si="177"/>
        <v>-</v>
      </c>
      <c r="CG190" s="965" t="str">
        <f t="shared" si="178"/>
        <v>-</v>
      </c>
      <c r="CH190" s="964" t="str">
        <f t="shared" si="185"/>
        <v>-</v>
      </c>
      <c r="CI190" s="964" t="str">
        <f t="shared" si="179"/>
        <v>-</v>
      </c>
      <c r="CJ190" s="964" t="str">
        <f t="shared" si="180"/>
        <v>-</v>
      </c>
      <c r="CK190" s="966" t="str">
        <f t="shared" si="181"/>
        <v>-</v>
      </c>
    </row>
    <row r="191" spans="4:89" ht="12.75" thickBot="1">
      <c r="E191" s="568" t="s">
        <v>882</v>
      </c>
      <c r="F191" s="560" t="str">
        <f>+F189</f>
        <v>Sewerage</v>
      </c>
      <c r="G191" s="561" t="str">
        <f>+G189</f>
        <v>SEW</v>
      </c>
      <c r="H191" s="561" t="str">
        <f>+H189</f>
        <v>Trade waste - SS Eastern</v>
      </c>
      <c r="I191" s="562" t="str">
        <f>+I189</f>
        <v>Variable</v>
      </c>
      <c r="J191" s="563" t="s">
        <v>883</v>
      </c>
      <c r="K191" s="564">
        <f t="shared" ref="K191:AJ191" si="260">K189*K190/10^6</f>
        <v>0</v>
      </c>
      <c r="L191" s="565">
        <f t="shared" si="260"/>
        <v>0</v>
      </c>
      <c r="M191" s="565">
        <f t="shared" si="260"/>
        <v>0</v>
      </c>
      <c r="N191" s="564">
        <f t="shared" si="260"/>
        <v>0</v>
      </c>
      <c r="O191" s="565">
        <f t="shared" si="260"/>
        <v>0</v>
      </c>
      <c r="P191" s="565">
        <f t="shared" si="260"/>
        <v>0</v>
      </c>
      <c r="Q191" s="565">
        <f t="shared" si="260"/>
        <v>0</v>
      </c>
      <c r="R191" s="566">
        <f t="shared" si="260"/>
        <v>0</v>
      </c>
      <c r="S191" s="564">
        <f t="shared" si="260"/>
        <v>0</v>
      </c>
      <c r="T191" s="565">
        <f t="shared" si="260"/>
        <v>0</v>
      </c>
      <c r="U191" s="566">
        <f t="shared" si="260"/>
        <v>0</v>
      </c>
      <c r="V191" s="564">
        <f t="shared" si="260"/>
        <v>0</v>
      </c>
      <c r="W191" s="565">
        <f t="shared" si="260"/>
        <v>0</v>
      </c>
      <c r="X191" s="565">
        <f t="shared" si="260"/>
        <v>0</v>
      </c>
      <c r="Y191" s="565">
        <f t="shared" si="260"/>
        <v>0</v>
      </c>
      <c r="Z191" s="566">
        <f t="shared" si="260"/>
        <v>0</v>
      </c>
      <c r="AA191" s="564">
        <f t="shared" si="260"/>
        <v>0</v>
      </c>
      <c r="AB191" s="565">
        <f t="shared" si="260"/>
        <v>0</v>
      </c>
      <c r="AC191" s="565">
        <f t="shared" si="260"/>
        <v>0</v>
      </c>
      <c r="AD191" s="565">
        <f t="shared" si="260"/>
        <v>0</v>
      </c>
      <c r="AE191" s="566">
        <f t="shared" si="260"/>
        <v>0</v>
      </c>
      <c r="AF191" s="564">
        <f t="shared" si="260"/>
        <v>0</v>
      </c>
      <c r="AG191" s="565">
        <f t="shared" si="260"/>
        <v>0</v>
      </c>
      <c r="AH191" s="565">
        <f t="shared" si="260"/>
        <v>0</v>
      </c>
      <c r="AI191" s="565">
        <f t="shared" si="260"/>
        <v>0</v>
      </c>
      <c r="AJ191" s="566">
        <f t="shared" si="260"/>
        <v>0</v>
      </c>
      <c r="AK191" s="569"/>
      <c r="AL191" s="569"/>
      <c r="AN191" s="857"/>
      <c r="AO191" s="984" t="str">
        <f t="shared" si="154"/>
        <v>Rev</v>
      </c>
      <c r="AP191" s="985" t="str">
        <f t="shared" si="155"/>
        <v>Sewerage</v>
      </c>
      <c r="AQ191" s="986" t="str">
        <f t="shared" si="156"/>
        <v>Variable</v>
      </c>
      <c r="AR191" s="990" t="str">
        <f t="shared" si="157"/>
        <v>-</v>
      </c>
      <c r="AS191" s="987" t="str">
        <f t="shared" si="158"/>
        <v>-</v>
      </c>
      <c r="AT191" s="987" t="str">
        <f t="shared" si="159"/>
        <v>-</v>
      </c>
      <c r="AU191" s="987" t="str">
        <f t="shared" si="160"/>
        <v>-</v>
      </c>
      <c r="AV191" s="1353" t="str">
        <f t="shared" si="161"/>
        <v>-</v>
      </c>
      <c r="AW191" s="1346" t="str">
        <f t="shared" si="162"/>
        <v>-</v>
      </c>
      <c r="AX191" s="987" t="str">
        <f t="shared" si="163"/>
        <v>-</v>
      </c>
      <c r="AY191" s="987" t="str">
        <f t="shared" si="164"/>
        <v>-</v>
      </c>
      <c r="AZ191" s="987" t="str">
        <f t="shared" si="165"/>
        <v>-</v>
      </c>
      <c r="BA191" s="988" t="str">
        <f t="shared" si="166"/>
        <v>-</v>
      </c>
      <c r="BB191" s="1346" t="str">
        <f t="shared" si="167"/>
        <v>-</v>
      </c>
      <c r="BC191" s="987" t="str">
        <f t="shared" si="168"/>
        <v>-</v>
      </c>
      <c r="BD191" s="987" t="str">
        <f t="shared" si="169"/>
        <v>-</v>
      </c>
      <c r="BE191" s="987" t="str">
        <f t="shared" si="170"/>
        <v>-</v>
      </c>
      <c r="BF191" s="989" t="str">
        <f t="shared" si="171"/>
        <v>-</v>
      </c>
      <c r="BG191" s="951"/>
      <c r="BH191" s="1550" t="str">
        <f t="shared" si="172"/>
        <v>Rev</v>
      </c>
      <c r="BI191" s="1551" t="str">
        <f t="shared" si="173"/>
        <v>Sewerage</v>
      </c>
      <c r="BJ191" s="1552" t="str">
        <f t="shared" si="174"/>
        <v>Variable</v>
      </c>
      <c r="BK191" s="987" t="str">
        <f t="shared" ref="BK191:BU191" si="261">IF(V191="","-",IFERROR((V191/U191-1)*(U191/U$13),"-"))</f>
        <v>-</v>
      </c>
      <c r="BL191" s="987" t="str">
        <f t="shared" si="261"/>
        <v>-</v>
      </c>
      <c r="BM191" s="987" t="str">
        <f t="shared" si="261"/>
        <v>-</v>
      </c>
      <c r="BN191" s="987" t="str">
        <f t="shared" si="261"/>
        <v>-</v>
      </c>
      <c r="BO191" s="1353" t="str">
        <f t="shared" si="261"/>
        <v>-</v>
      </c>
      <c r="BP191" s="1346" t="str">
        <f t="shared" si="261"/>
        <v>-</v>
      </c>
      <c r="BQ191" s="987" t="str">
        <f t="shared" si="261"/>
        <v>-</v>
      </c>
      <c r="BR191" s="987" t="str">
        <f t="shared" si="261"/>
        <v>-</v>
      </c>
      <c r="BS191" s="987" t="str">
        <f t="shared" si="261"/>
        <v>-</v>
      </c>
      <c r="BT191" s="988" t="str">
        <f t="shared" si="261"/>
        <v>-</v>
      </c>
      <c r="BU191" s="987" t="str">
        <f t="shared" si="261"/>
        <v>-</v>
      </c>
      <c r="BV191" s="987" t="str">
        <f>IF(AG191="","-",IFERROR((AG191/AF191-1)*(AF191/AF$13),"-"))</f>
        <v>-</v>
      </c>
      <c r="BW191" s="987" t="str">
        <f>IF(AH191="","-",IFERROR((AH191/AG191-1)*(AG191/AG$13),"-"))</f>
        <v>-</v>
      </c>
      <c r="BX191" s="987" t="str">
        <f>IF(AI191="","-",IFERROR((AI191/AH191-1)*(AH191/AH$13),"-"))</f>
        <v>-</v>
      </c>
      <c r="BY191" s="989" t="str">
        <f>IF(AJ191="","-",IFERROR((AJ191/AI191-1)*(AI191/AI$13),"-"))</f>
        <v>-</v>
      </c>
      <c r="BZ191" s="951"/>
      <c r="CA191" s="984" t="str">
        <f t="shared" si="151"/>
        <v>Rev</v>
      </c>
      <c r="CB191" s="985" t="str">
        <f t="shared" si="152"/>
        <v>Sewerage</v>
      </c>
      <c r="CC191" s="985" t="str">
        <f t="shared" si="153"/>
        <v>Variable</v>
      </c>
      <c r="CD191" s="990" t="str">
        <f t="shared" si="184"/>
        <v>-</v>
      </c>
      <c r="CE191" s="987" t="str">
        <f t="shared" si="176"/>
        <v>-</v>
      </c>
      <c r="CF191" s="987" t="str">
        <f t="shared" si="177"/>
        <v>-</v>
      </c>
      <c r="CG191" s="988" t="str">
        <f t="shared" si="178"/>
        <v>-</v>
      </c>
      <c r="CH191" s="987" t="str">
        <f t="shared" si="185"/>
        <v>-</v>
      </c>
      <c r="CI191" s="987" t="str">
        <f t="shared" si="179"/>
        <v>-</v>
      </c>
      <c r="CJ191" s="987" t="str">
        <f t="shared" si="180"/>
        <v>-</v>
      </c>
      <c r="CK191" s="989" t="str">
        <f t="shared" si="181"/>
        <v>-</v>
      </c>
    </row>
    <row r="192" spans="4:89">
      <c r="D192" s="63">
        <f>D189+1</f>
        <v>42</v>
      </c>
      <c r="E192" s="550" t="s">
        <v>857</v>
      </c>
      <c r="F192" s="595" t="s">
        <v>402</v>
      </c>
      <c r="G192" s="595" t="s">
        <v>103</v>
      </c>
      <c r="H192" s="595" t="s">
        <v>899</v>
      </c>
      <c r="I192" s="589" t="s">
        <v>843</v>
      </c>
      <c r="J192" s="589" t="s">
        <v>879</v>
      </c>
      <c r="K192" s="551"/>
      <c r="L192" s="552"/>
      <c r="M192" s="552"/>
      <c r="N192" s="551"/>
      <c r="O192" s="552"/>
      <c r="P192" s="552"/>
      <c r="Q192" s="552"/>
      <c r="R192" s="1035"/>
      <c r="S192" s="1138"/>
      <c r="T192" s="591"/>
      <c r="U192" s="1035"/>
      <c r="V192" s="1138"/>
      <c r="W192" s="591"/>
      <c r="X192" s="591"/>
      <c r="Y192" s="591"/>
      <c r="Z192" s="1035"/>
      <c r="AA192" s="1138"/>
      <c r="AB192" s="591"/>
      <c r="AC192" s="591"/>
      <c r="AD192" s="591"/>
      <c r="AE192" s="1035"/>
      <c r="AF192" s="1138"/>
      <c r="AG192" s="591"/>
      <c r="AH192" s="591"/>
      <c r="AI192" s="591"/>
      <c r="AJ192" s="1035"/>
      <c r="AK192" s="569"/>
      <c r="AL192" s="569"/>
      <c r="AM192" s="974"/>
      <c r="AN192" s="857"/>
      <c r="AO192" s="975" t="str">
        <f t="shared" si="154"/>
        <v>Price</v>
      </c>
      <c r="AP192" s="976" t="str">
        <f t="shared" si="155"/>
        <v>Sewerage</v>
      </c>
      <c r="AQ192" s="977" t="str">
        <f t="shared" si="156"/>
        <v>Variable</v>
      </c>
      <c r="AR192" s="1341" t="str">
        <f t="shared" si="157"/>
        <v>-</v>
      </c>
      <c r="AS192" s="978" t="str">
        <f t="shared" si="158"/>
        <v>-</v>
      </c>
      <c r="AT192" s="979" t="str">
        <f t="shared" si="159"/>
        <v>-</v>
      </c>
      <c r="AU192" s="979" t="str">
        <f t="shared" si="160"/>
        <v>-</v>
      </c>
      <c r="AV192" s="1352" t="str">
        <f t="shared" si="161"/>
        <v>-</v>
      </c>
      <c r="AW192" s="1345" t="str">
        <f t="shared" si="162"/>
        <v>-</v>
      </c>
      <c r="AX192" s="979" t="str">
        <f t="shared" si="163"/>
        <v>-</v>
      </c>
      <c r="AY192" s="979" t="str">
        <f t="shared" si="164"/>
        <v>-</v>
      </c>
      <c r="AZ192" s="979" t="str">
        <f t="shared" si="165"/>
        <v>-</v>
      </c>
      <c r="BA192" s="980" t="str">
        <f t="shared" si="166"/>
        <v>-</v>
      </c>
      <c r="BB192" s="1345" t="str">
        <f t="shared" si="167"/>
        <v>-</v>
      </c>
      <c r="BC192" s="979" t="str">
        <f t="shared" si="168"/>
        <v>-</v>
      </c>
      <c r="BD192" s="979" t="str">
        <f t="shared" si="169"/>
        <v>-</v>
      </c>
      <c r="BE192" s="979" t="str">
        <f t="shared" si="170"/>
        <v>-</v>
      </c>
      <c r="BF192" s="981" t="str">
        <f t="shared" si="171"/>
        <v>-</v>
      </c>
      <c r="BG192" s="951"/>
      <c r="BH192" s="1547" t="str">
        <f t="shared" si="172"/>
        <v>Price</v>
      </c>
      <c r="BI192" s="1548" t="str">
        <f t="shared" si="173"/>
        <v>Sewerage</v>
      </c>
      <c r="BJ192" s="1549" t="str">
        <f t="shared" si="174"/>
        <v>Variable</v>
      </c>
      <c r="BK192" s="978" t="str">
        <f t="shared" ref="BK192:BU192" si="262">IF(V192="","-",IFERROR((V192/U192-1)*(U194/U$13),"-"))</f>
        <v>-</v>
      </c>
      <c r="BL192" s="978" t="str">
        <f t="shared" si="262"/>
        <v>-</v>
      </c>
      <c r="BM192" s="979" t="str">
        <f t="shared" si="262"/>
        <v>-</v>
      </c>
      <c r="BN192" s="979" t="str">
        <f t="shared" si="262"/>
        <v>-</v>
      </c>
      <c r="BO192" s="1352" t="str">
        <f t="shared" si="262"/>
        <v>-</v>
      </c>
      <c r="BP192" s="1345" t="str">
        <f t="shared" si="262"/>
        <v>-</v>
      </c>
      <c r="BQ192" s="979" t="str">
        <f t="shared" si="262"/>
        <v>-</v>
      </c>
      <c r="BR192" s="979" t="str">
        <f t="shared" si="262"/>
        <v>-</v>
      </c>
      <c r="BS192" s="979" t="str">
        <f t="shared" si="262"/>
        <v>-</v>
      </c>
      <c r="BT192" s="980" t="str">
        <f t="shared" si="262"/>
        <v>-</v>
      </c>
      <c r="BU192" s="979" t="str">
        <f t="shared" si="262"/>
        <v>-</v>
      </c>
      <c r="BV192" s="979" t="str">
        <f>IF(AG192="","-",IFERROR((AG192/AF192-1)*(AF194/AF$13),"-"))</f>
        <v>-</v>
      </c>
      <c r="BW192" s="979" t="str">
        <f>IF(AH192="","-",IFERROR((AH192/AG192-1)*(AG194/AG$13),"-"))</f>
        <v>-</v>
      </c>
      <c r="BX192" s="979" t="str">
        <f>IF(AI192="","-",IFERROR((AI192/AH192-1)*(AH194/AH$13),"-"))</f>
        <v>-</v>
      </c>
      <c r="BY192" s="981" t="str">
        <f>IF(AJ192="","-",IFERROR((AJ192/AI192-1)*(AI194/AI$13),"-"))</f>
        <v>-</v>
      </c>
      <c r="BZ192" s="951"/>
      <c r="CA192" s="975" t="str">
        <f t="shared" si="151"/>
        <v>Price</v>
      </c>
      <c r="CB192" s="976" t="str">
        <f t="shared" si="152"/>
        <v>Sewerage</v>
      </c>
      <c r="CC192" s="982" t="str">
        <f t="shared" si="153"/>
        <v>Variable</v>
      </c>
      <c r="CD192" s="983" t="str">
        <f t="shared" si="184"/>
        <v>-</v>
      </c>
      <c r="CE192" s="979" t="str">
        <f t="shared" si="176"/>
        <v>-</v>
      </c>
      <c r="CF192" s="979" t="str">
        <f t="shared" si="177"/>
        <v>-</v>
      </c>
      <c r="CG192" s="980" t="str">
        <f t="shared" si="178"/>
        <v>-</v>
      </c>
      <c r="CH192" s="979" t="str">
        <f t="shared" si="185"/>
        <v>-</v>
      </c>
      <c r="CI192" s="979" t="str">
        <f t="shared" si="179"/>
        <v>-</v>
      </c>
      <c r="CJ192" s="979" t="str">
        <f t="shared" si="180"/>
        <v>-</v>
      </c>
      <c r="CK192" s="981" t="str">
        <f t="shared" si="181"/>
        <v>-</v>
      </c>
    </row>
    <row r="193" spans="4:89">
      <c r="E193" s="567" t="s">
        <v>880</v>
      </c>
      <c r="F193" s="554" t="str">
        <f>+F192</f>
        <v>Sewerage</v>
      </c>
      <c r="G193" s="555" t="str">
        <f>+G192</f>
        <v>YVW</v>
      </c>
      <c r="H193" s="555" t="str">
        <f>+H192</f>
        <v>Trade waste - SS Eastern</v>
      </c>
      <c r="I193" s="556" t="str">
        <f>+I192</f>
        <v>Variable</v>
      </c>
      <c r="J193" s="590" t="s">
        <v>896</v>
      </c>
      <c r="K193" s="557"/>
      <c r="L193" s="558"/>
      <c r="M193" s="558"/>
      <c r="N193" s="557"/>
      <c r="O193" s="558"/>
      <c r="P193" s="558"/>
      <c r="Q193" s="558"/>
      <c r="R193" s="1036"/>
      <c r="S193" s="1139"/>
      <c r="T193" s="593"/>
      <c r="U193" s="1036"/>
      <c r="V193" s="1139"/>
      <c r="W193" s="593"/>
      <c r="X193" s="593"/>
      <c r="Y193" s="593"/>
      <c r="Z193" s="1036"/>
      <c r="AA193" s="1139"/>
      <c r="AB193" s="593"/>
      <c r="AC193" s="593"/>
      <c r="AD193" s="593"/>
      <c r="AE193" s="1036"/>
      <c r="AF193" s="1139"/>
      <c r="AG193" s="593"/>
      <c r="AH193" s="593"/>
      <c r="AI193" s="593"/>
      <c r="AJ193" s="1036"/>
      <c r="AK193" s="569"/>
      <c r="AL193" s="569"/>
      <c r="AN193" s="857"/>
      <c r="AO193" s="961" t="str">
        <f t="shared" si="154"/>
        <v>Qty</v>
      </c>
      <c r="AP193" s="962" t="str">
        <f t="shared" si="155"/>
        <v>Sewerage</v>
      </c>
      <c r="AQ193" s="963" t="str">
        <f t="shared" si="156"/>
        <v>Variable</v>
      </c>
      <c r="AR193" s="967" t="str">
        <f t="shared" si="157"/>
        <v>-</v>
      </c>
      <c r="AS193" s="964" t="str">
        <f t="shared" si="158"/>
        <v>-</v>
      </c>
      <c r="AT193" s="964" t="str">
        <f t="shared" si="159"/>
        <v>-</v>
      </c>
      <c r="AU193" s="964" t="str">
        <f t="shared" si="160"/>
        <v>-</v>
      </c>
      <c r="AV193" s="1350" t="str">
        <f t="shared" si="161"/>
        <v>-</v>
      </c>
      <c r="AW193" s="1343" t="str">
        <f t="shared" si="162"/>
        <v>-</v>
      </c>
      <c r="AX193" s="964" t="str">
        <f t="shared" si="163"/>
        <v>-</v>
      </c>
      <c r="AY193" s="964" t="str">
        <f t="shared" si="164"/>
        <v>-</v>
      </c>
      <c r="AZ193" s="964" t="str">
        <f t="shared" si="165"/>
        <v>-</v>
      </c>
      <c r="BA193" s="965" t="str">
        <f t="shared" si="166"/>
        <v>-</v>
      </c>
      <c r="BB193" s="1343" t="str">
        <f t="shared" si="167"/>
        <v>-</v>
      </c>
      <c r="BC193" s="964" t="str">
        <f t="shared" si="168"/>
        <v>-</v>
      </c>
      <c r="BD193" s="964" t="str">
        <f t="shared" si="169"/>
        <v>-</v>
      </c>
      <c r="BE193" s="964" t="str">
        <f t="shared" si="170"/>
        <v>-</v>
      </c>
      <c r="BF193" s="966" t="str">
        <f t="shared" si="171"/>
        <v>-</v>
      </c>
      <c r="BG193" s="951"/>
      <c r="BH193" s="1541" t="str">
        <f t="shared" si="172"/>
        <v>Qty</v>
      </c>
      <c r="BI193" s="1542" t="str">
        <f t="shared" si="173"/>
        <v>Sewerage</v>
      </c>
      <c r="BJ193" s="1543" t="str">
        <f t="shared" si="174"/>
        <v>Variable</v>
      </c>
      <c r="BK193" s="964" t="str">
        <f t="shared" ref="BK193:BU193" si="263">IF(V193="","-",IFERROR((V193/U193-1)*(U194/U$13),"-"))</f>
        <v>-</v>
      </c>
      <c r="BL193" s="964" t="str">
        <f t="shared" si="263"/>
        <v>-</v>
      </c>
      <c r="BM193" s="964" t="str">
        <f t="shared" si="263"/>
        <v>-</v>
      </c>
      <c r="BN193" s="964" t="str">
        <f t="shared" si="263"/>
        <v>-</v>
      </c>
      <c r="BO193" s="1350" t="str">
        <f t="shared" si="263"/>
        <v>-</v>
      </c>
      <c r="BP193" s="1343" t="str">
        <f t="shared" si="263"/>
        <v>-</v>
      </c>
      <c r="BQ193" s="964" t="str">
        <f t="shared" si="263"/>
        <v>-</v>
      </c>
      <c r="BR193" s="964" t="str">
        <f t="shared" si="263"/>
        <v>-</v>
      </c>
      <c r="BS193" s="964" t="str">
        <f t="shared" si="263"/>
        <v>-</v>
      </c>
      <c r="BT193" s="965" t="str">
        <f t="shared" si="263"/>
        <v>-</v>
      </c>
      <c r="BU193" s="964" t="str">
        <f t="shared" si="263"/>
        <v>-</v>
      </c>
      <c r="BV193" s="964" t="str">
        <f>IF(AG193="","-",IFERROR((AG193/AF193-1)*(AF194/AF$13),"-"))</f>
        <v>-</v>
      </c>
      <c r="BW193" s="964" t="str">
        <f>IF(AH193="","-",IFERROR((AH193/AG193-1)*(AG194/AG$13),"-"))</f>
        <v>-</v>
      </c>
      <c r="BX193" s="964" t="str">
        <f>IF(AI193="","-",IFERROR((AI193/AH193-1)*(AH194/AH$13),"-"))</f>
        <v>-</v>
      </c>
      <c r="BY193" s="966" t="str">
        <f>IF(AJ193="","-",IFERROR((AJ193/AI193-1)*(AI194/AI$13),"-"))</f>
        <v>-</v>
      </c>
      <c r="BZ193" s="951"/>
      <c r="CA193" s="961" t="str">
        <f t="shared" si="151"/>
        <v>Qty</v>
      </c>
      <c r="CB193" s="962" t="str">
        <f t="shared" si="152"/>
        <v>Sewerage</v>
      </c>
      <c r="CC193" s="962" t="str">
        <f t="shared" si="153"/>
        <v>Variable</v>
      </c>
      <c r="CD193" s="967" t="str">
        <f t="shared" si="184"/>
        <v>-</v>
      </c>
      <c r="CE193" s="964" t="str">
        <f t="shared" si="176"/>
        <v>-</v>
      </c>
      <c r="CF193" s="964" t="str">
        <f t="shared" si="177"/>
        <v>-</v>
      </c>
      <c r="CG193" s="965" t="str">
        <f t="shared" si="178"/>
        <v>-</v>
      </c>
      <c r="CH193" s="964" t="str">
        <f t="shared" si="185"/>
        <v>-</v>
      </c>
      <c r="CI193" s="964" t="str">
        <f t="shared" si="179"/>
        <v>-</v>
      </c>
      <c r="CJ193" s="964" t="str">
        <f t="shared" si="180"/>
        <v>-</v>
      </c>
      <c r="CK193" s="966" t="str">
        <f t="shared" si="181"/>
        <v>-</v>
      </c>
    </row>
    <row r="194" spans="4:89" ht="12.75" thickBot="1">
      <c r="E194" s="568" t="s">
        <v>882</v>
      </c>
      <c r="F194" s="560" t="str">
        <f>+F192</f>
        <v>Sewerage</v>
      </c>
      <c r="G194" s="561" t="str">
        <f>+G192</f>
        <v>YVW</v>
      </c>
      <c r="H194" s="561" t="str">
        <f>+H192</f>
        <v>Trade waste - SS Eastern</v>
      </c>
      <c r="I194" s="562" t="str">
        <f>+I192</f>
        <v>Variable</v>
      </c>
      <c r="J194" s="563" t="s">
        <v>883</v>
      </c>
      <c r="K194" s="564">
        <f t="shared" ref="K194:AJ194" si="264">K192*K193/10^6</f>
        <v>0</v>
      </c>
      <c r="L194" s="565">
        <f t="shared" si="264"/>
        <v>0</v>
      </c>
      <c r="M194" s="565">
        <f t="shared" si="264"/>
        <v>0</v>
      </c>
      <c r="N194" s="564">
        <f t="shared" si="264"/>
        <v>0</v>
      </c>
      <c r="O194" s="565">
        <f t="shared" si="264"/>
        <v>0</v>
      </c>
      <c r="P194" s="565">
        <f t="shared" si="264"/>
        <v>0</v>
      </c>
      <c r="Q194" s="565">
        <f t="shared" si="264"/>
        <v>0</v>
      </c>
      <c r="R194" s="566">
        <f t="shared" si="264"/>
        <v>0</v>
      </c>
      <c r="S194" s="564">
        <f t="shared" si="264"/>
        <v>0</v>
      </c>
      <c r="T194" s="565">
        <f t="shared" si="264"/>
        <v>0</v>
      </c>
      <c r="U194" s="566">
        <f t="shared" si="264"/>
        <v>0</v>
      </c>
      <c r="V194" s="564">
        <f t="shared" si="264"/>
        <v>0</v>
      </c>
      <c r="W194" s="565">
        <f t="shared" si="264"/>
        <v>0</v>
      </c>
      <c r="X194" s="565">
        <f t="shared" si="264"/>
        <v>0</v>
      </c>
      <c r="Y194" s="565">
        <f t="shared" si="264"/>
        <v>0</v>
      </c>
      <c r="Z194" s="566">
        <f t="shared" si="264"/>
        <v>0</v>
      </c>
      <c r="AA194" s="564">
        <f t="shared" si="264"/>
        <v>0</v>
      </c>
      <c r="AB194" s="565">
        <f t="shared" si="264"/>
        <v>0</v>
      </c>
      <c r="AC194" s="565">
        <f t="shared" si="264"/>
        <v>0</v>
      </c>
      <c r="AD194" s="565">
        <f t="shared" si="264"/>
        <v>0</v>
      </c>
      <c r="AE194" s="566">
        <f t="shared" si="264"/>
        <v>0</v>
      </c>
      <c r="AF194" s="564">
        <f t="shared" si="264"/>
        <v>0</v>
      </c>
      <c r="AG194" s="565">
        <f t="shared" si="264"/>
        <v>0</v>
      </c>
      <c r="AH194" s="565">
        <f t="shared" si="264"/>
        <v>0</v>
      </c>
      <c r="AI194" s="565">
        <f t="shared" si="264"/>
        <v>0</v>
      </c>
      <c r="AJ194" s="566">
        <f t="shared" si="264"/>
        <v>0</v>
      </c>
      <c r="AK194" s="569"/>
      <c r="AL194" s="569"/>
      <c r="AN194" s="857"/>
      <c r="AO194" s="984" t="str">
        <f t="shared" si="154"/>
        <v>Rev</v>
      </c>
      <c r="AP194" s="985" t="str">
        <f t="shared" si="155"/>
        <v>Sewerage</v>
      </c>
      <c r="AQ194" s="986" t="str">
        <f t="shared" si="156"/>
        <v>Variable</v>
      </c>
      <c r="AR194" s="990" t="str">
        <f t="shared" si="157"/>
        <v>-</v>
      </c>
      <c r="AS194" s="987" t="str">
        <f t="shared" si="158"/>
        <v>-</v>
      </c>
      <c r="AT194" s="987" t="str">
        <f t="shared" si="159"/>
        <v>-</v>
      </c>
      <c r="AU194" s="987" t="str">
        <f t="shared" si="160"/>
        <v>-</v>
      </c>
      <c r="AV194" s="1353" t="str">
        <f t="shared" si="161"/>
        <v>-</v>
      </c>
      <c r="AW194" s="1346" t="str">
        <f t="shared" si="162"/>
        <v>-</v>
      </c>
      <c r="AX194" s="987" t="str">
        <f t="shared" si="163"/>
        <v>-</v>
      </c>
      <c r="AY194" s="987" t="str">
        <f t="shared" si="164"/>
        <v>-</v>
      </c>
      <c r="AZ194" s="987" t="str">
        <f t="shared" si="165"/>
        <v>-</v>
      </c>
      <c r="BA194" s="988" t="str">
        <f t="shared" si="166"/>
        <v>-</v>
      </c>
      <c r="BB194" s="1346" t="str">
        <f t="shared" si="167"/>
        <v>-</v>
      </c>
      <c r="BC194" s="987" t="str">
        <f t="shared" si="168"/>
        <v>-</v>
      </c>
      <c r="BD194" s="987" t="str">
        <f t="shared" si="169"/>
        <v>-</v>
      </c>
      <c r="BE194" s="987" t="str">
        <f t="shared" si="170"/>
        <v>-</v>
      </c>
      <c r="BF194" s="989" t="str">
        <f t="shared" si="171"/>
        <v>-</v>
      </c>
      <c r="BG194" s="951"/>
      <c r="BH194" s="1550" t="str">
        <f t="shared" si="172"/>
        <v>Rev</v>
      </c>
      <c r="BI194" s="1551" t="str">
        <f t="shared" si="173"/>
        <v>Sewerage</v>
      </c>
      <c r="BJ194" s="1552" t="str">
        <f t="shared" si="174"/>
        <v>Variable</v>
      </c>
      <c r="BK194" s="987" t="str">
        <f t="shared" ref="BK194:BU194" si="265">IF(V194="","-",IFERROR((V194/U194-1)*(U194/U$13),"-"))</f>
        <v>-</v>
      </c>
      <c r="BL194" s="987" t="str">
        <f t="shared" si="265"/>
        <v>-</v>
      </c>
      <c r="BM194" s="987" t="str">
        <f t="shared" si="265"/>
        <v>-</v>
      </c>
      <c r="BN194" s="987" t="str">
        <f t="shared" si="265"/>
        <v>-</v>
      </c>
      <c r="BO194" s="1353" t="str">
        <f t="shared" si="265"/>
        <v>-</v>
      </c>
      <c r="BP194" s="1346" t="str">
        <f t="shared" si="265"/>
        <v>-</v>
      </c>
      <c r="BQ194" s="987" t="str">
        <f t="shared" si="265"/>
        <v>-</v>
      </c>
      <c r="BR194" s="987" t="str">
        <f t="shared" si="265"/>
        <v>-</v>
      </c>
      <c r="BS194" s="987" t="str">
        <f t="shared" si="265"/>
        <v>-</v>
      </c>
      <c r="BT194" s="988" t="str">
        <f t="shared" si="265"/>
        <v>-</v>
      </c>
      <c r="BU194" s="987" t="str">
        <f t="shared" si="265"/>
        <v>-</v>
      </c>
      <c r="BV194" s="987" t="str">
        <f>IF(AG194="","-",IFERROR((AG194/AF194-1)*(AF194/AF$13),"-"))</f>
        <v>-</v>
      </c>
      <c r="BW194" s="987" t="str">
        <f>IF(AH194="","-",IFERROR((AH194/AG194-1)*(AG194/AG$13),"-"))</f>
        <v>-</v>
      </c>
      <c r="BX194" s="987" t="str">
        <f>IF(AI194="","-",IFERROR((AI194/AH194-1)*(AH194/AH$13),"-"))</f>
        <v>-</v>
      </c>
      <c r="BY194" s="989" t="str">
        <f>IF(AJ194="","-",IFERROR((AJ194/AI194-1)*(AI194/AI$13),"-"))</f>
        <v>-</v>
      </c>
      <c r="BZ194" s="951"/>
      <c r="CA194" s="984" t="str">
        <f t="shared" si="151"/>
        <v>Rev</v>
      </c>
      <c r="CB194" s="985" t="str">
        <f t="shared" si="152"/>
        <v>Sewerage</v>
      </c>
      <c r="CC194" s="985" t="str">
        <f t="shared" si="153"/>
        <v>Variable</v>
      </c>
      <c r="CD194" s="990" t="str">
        <f t="shared" si="184"/>
        <v>-</v>
      </c>
      <c r="CE194" s="987" t="str">
        <f t="shared" si="176"/>
        <v>-</v>
      </c>
      <c r="CF194" s="987" t="str">
        <f t="shared" si="177"/>
        <v>-</v>
      </c>
      <c r="CG194" s="988" t="str">
        <f t="shared" si="178"/>
        <v>-</v>
      </c>
      <c r="CH194" s="987" t="str">
        <f t="shared" si="185"/>
        <v>-</v>
      </c>
      <c r="CI194" s="987" t="str">
        <f t="shared" si="179"/>
        <v>-</v>
      </c>
      <c r="CJ194" s="987" t="str">
        <f t="shared" si="180"/>
        <v>-</v>
      </c>
      <c r="CK194" s="989" t="str">
        <f t="shared" si="181"/>
        <v>-</v>
      </c>
    </row>
    <row r="195" spans="4:89">
      <c r="D195" s="63">
        <f>D192+1</f>
        <v>43</v>
      </c>
      <c r="E195" s="550" t="s">
        <v>857</v>
      </c>
      <c r="F195" s="595" t="s">
        <v>402</v>
      </c>
      <c r="G195" s="595" t="s">
        <v>877</v>
      </c>
      <c r="H195" s="595" t="s">
        <v>900</v>
      </c>
      <c r="I195" s="589" t="s">
        <v>843</v>
      </c>
      <c r="J195" s="589" t="s">
        <v>879</v>
      </c>
      <c r="K195" s="551"/>
      <c r="L195" s="552"/>
      <c r="M195" s="552"/>
      <c r="N195" s="551"/>
      <c r="O195" s="552"/>
      <c r="P195" s="552"/>
      <c r="Q195" s="552"/>
      <c r="R195" s="1035"/>
      <c r="S195" s="1138"/>
      <c r="T195" s="591"/>
      <c r="U195" s="1035"/>
      <c r="V195" s="1138"/>
      <c r="W195" s="591"/>
      <c r="X195" s="591"/>
      <c r="Y195" s="591"/>
      <c r="Z195" s="1035"/>
      <c r="AA195" s="1138"/>
      <c r="AB195" s="591"/>
      <c r="AC195" s="591"/>
      <c r="AD195" s="591"/>
      <c r="AE195" s="1035"/>
      <c r="AF195" s="1138"/>
      <c r="AG195" s="591"/>
      <c r="AH195" s="591"/>
      <c r="AI195" s="591"/>
      <c r="AJ195" s="1035"/>
      <c r="AK195" s="569"/>
      <c r="AL195" s="569"/>
      <c r="AM195" s="974"/>
      <c r="AN195" s="857"/>
      <c r="AO195" s="975" t="str">
        <f t="shared" si="154"/>
        <v>Price</v>
      </c>
      <c r="AP195" s="976" t="str">
        <f t="shared" si="155"/>
        <v>Sewerage</v>
      </c>
      <c r="AQ195" s="977" t="str">
        <f t="shared" si="156"/>
        <v>Variable</v>
      </c>
      <c r="AR195" s="1341" t="str">
        <f t="shared" si="157"/>
        <v>-</v>
      </c>
      <c r="AS195" s="978" t="str">
        <f t="shared" si="158"/>
        <v>-</v>
      </c>
      <c r="AT195" s="979" t="str">
        <f t="shared" si="159"/>
        <v>-</v>
      </c>
      <c r="AU195" s="979" t="str">
        <f t="shared" si="160"/>
        <v>-</v>
      </c>
      <c r="AV195" s="1352" t="str">
        <f t="shared" si="161"/>
        <v>-</v>
      </c>
      <c r="AW195" s="1345" t="str">
        <f t="shared" si="162"/>
        <v>-</v>
      </c>
      <c r="AX195" s="979" t="str">
        <f t="shared" si="163"/>
        <v>-</v>
      </c>
      <c r="AY195" s="979" t="str">
        <f t="shared" si="164"/>
        <v>-</v>
      </c>
      <c r="AZ195" s="979" t="str">
        <f t="shared" si="165"/>
        <v>-</v>
      </c>
      <c r="BA195" s="980" t="str">
        <f t="shared" si="166"/>
        <v>-</v>
      </c>
      <c r="BB195" s="1345" t="str">
        <f t="shared" si="167"/>
        <v>-</v>
      </c>
      <c r="BC195" s="979" t="str">
        <f t="shared" si="168"/>
        <v>-</v>
      </c>
      <c r="BD195" s="979" t="str">
        <f t="shared" si="169"/>
        <v>-</v>
      </c>
      <c r="BE195" s="979" t="str">
        <f t="shared" si="170"/>
        <v>-</v>
      </c>
      <c r="BF195" s="981" t="str">
        <f t="shared" si="171"/>
        <v>-</v>
      </c>
      <c r="BG195" s="951"/>
      <c r="BH195" s="1547" t="str">
        <f t="shared" si="172"/>
        <v>Price</v>
      </c>
      <c r="BI195" s="1548" t="str">
        <f t="shared" si="173"/>
        <v>Sewerage</v>
      </c>
      <c r="BJ195" s="1549" t="str">
        <f t="shared" si="174"/>
        <v>Variable</v>
      </c>
      <c r="BK195" s="978" t="str">
        <f t="shared" ref="BK195:BU195" si="266">IF(V195="","-",IFERROR((V195/U195-1)*(U197/U$13),"-"))</f>
        <v>-</v>
      </c>
      <c r="BL195" s="978" t="str">
        <f t="shared" si="266"/>
        <v>-</v>
      </c>
      <c r="BM195" s="979" t="str">
        <f t="shared" si="266"/>
        <v>-</v>
      </c>
      <c r="BN195" s="979" t="str">
        <f t="shared" si="266"/>
        <v>-</v>
      </c>
      <c r="BO195" s="1352" t="str">
        <f t="shared" si="266"/>
        <v>-</v>
      </c>
      <c r="BP195" s="1345" t="str">
        <f t="shared" si="266"/>
        <v>-</v>
      </c>
      <c r="BQ195" s="979" t="str">
        <f t="shared" si="266"/>
        <v>-</v>
      </c>
      <c r="BR195" s="979" t="str">
        <f t="shared" si="266"/>
        <v>-</v>
      </c>
      <c r="BS195" s="979" t="str">
        <f t="shared" si="266"/>
        <v>-</v>
      </c>
      <c r="BT195" s="980" t="str">
        <f t="shared" si="266"/>
        <v>-</v>
      </c>
      <c r="BU195" s="979" t="str">
        <f t="shared" si="266"/>
        <v>-</v>
      </c>
      <c r="BV195" s="979" t="str">
        <f>IF(AG195="","-",IFERROR((AG195/AF195-1)*(AF197/AF$13),"-"))</f>
        <v>-</v>
      </c>
      <c r="BW195" s="979" t="str">
        <f>IF(AH195="","-",IFERROR((AH195/AG195-1)*(AG197/AG$13),"-"))</f>
        <v>-</v>
      </c>
      <c r="BX195" s="979" t="str">
        <f>IF(AI195="","-",IFERROR((AI195/AH195-1)*(AH197/AH$13),"-"))</f>
        <v>-</v>
      </c>
      <c r="BY195" s="981" t="str">
        <f>IF(AJ195="","-",IFERROR((AJ195/AI195-1)*(AI197/AI$13),"-"))</f>
        <v>-</v>
      </c>
      <c r="BZ195" s="951"/>
      <c r="CA195" s="975" t="str">
        <f t="shared" si="151"/>
        <v>Price</v>
      </c>
      <c r="CB195" s="976" t="str">
        <f t="shared" si="152"/>
        <v>Sewerage</v>
      </c>
      <c r="CC195" s="982" t="str">
        <f t="shared" si="153"/>
        <v>Variable</v>
      </c>
      <c r="CD195" s="983" t="str">
        <f t="shared" si="184"/>
        <v>-</v>
      </c>
      <c r="CE195" s="979" t="str">
        <f t="shared" si="176"/>
        <v>-</v>
      </c>
      <c r="CF195" s="979" t="str">
        <f t="shared" si="177"/>
        <v>-</v>
      </c>
      <c r="CG195" s="980" t="str">
        <f t="shared" si="178"/>
        <v>-</v>
      </c>
      <c r="CH195" s="979" t="str">
        <f t="shared" si="185"/>
        <v>-</v>
      </c>
      <c r="CI195" s="979" t="str">
        <f t="shared" si="179"/>
        <v>-</v>
      </c>
      <c r="CJ195" s="979" t="str">
        <f t="shared" si="180"/>
        <v>-</v>
      </c>
      <c r="CK195" s="981" t="str">
        <f t="shared" si="181"/>
        <v>-</v>
      </c>
    </row>
    <row r="196" spans="4:89">
      <c r="E196" s="567" t="s">
        <v>880</v>
      </c>
      <c r="F196" s="554" t="str">
        <f>+F195</f>
        <v>Sewerage</v>
      </c>
      <c r="G196" s="555" t="str">
        <f>+G195</f>
        <v>GWW</v>
      </c>
      <c r="H196" s="555" t="str">
        <f>+H195</f>
        <v>Trade waste - TN/TKN Western</v>
      </c>
      <c r="I196" s="556" t="str">
        <f>+I195</f>
        <v>Variable</v>
      </c>
      <c r="J196" s="590" t="s">
        <v>896</v>
      </c>
      <c r="K196" s="557"/>
      <c r="L196" s="558"/>
      <c r="M196" s="558"/>
      <c r="N196" s="557"/>
      <c r="O196" s="558"/>
      <c r="P196" s="558"/>
      <c r="Q196" s="558"/>
      <c r="R196" s="1036"/>
      <c r="S196" s="1139"/>
      <c r="T196" s="593"/>
      <c r="U196" s="1036"/>
      <c r="V196" s="1139"/>
      <c r="W196" s="593"/>
      <c r="X196" s="593"/>
      <c r="Y196" s="593"/>
      <c r="Z196" s="1036"/>
      <c r="AA196" s="1139"/>
      <c r="AB196" s="593"/>
      <c r="AC196" s="593"/>
      <c r="AD196" s="593"/>
      <c r="AE196" s="1036"/>
      <c r="AF196" s="1139"/>
      <c r="AG196" s="593"/>
      <c r="AH196" s="593"/>
      <c r="AI196" s="593"/>
      <c r="AJ196" s="1036"/>
      <c r="AK196" s="569"/>
      <c r="AL196" s="569"/>
      <c r="AN196" s="857"/>
      <c r="AO196" s="961" t="str">
        <f t="shared" si="154"/>
        <v>Qty</v>
      </c>
      <c r="AP196" s="962" t="str">
        <f t="shared" si="155"/>
        <v>Sewerage</v>
      </c>
      <c r="AQ196" s="963" t="str">
        <f t="shared" si="156"/>
        <v>Variable</v>
      </c>
      <c r="AR196" s="967" t="str">
        <f t="shared" si="157"/>
        <v>-</v>
      </c>
      <c r="AS196" s="964" t="str">
        <f t="shared" si="158"/>
        <v>-</v>
      </c>
      <c r="AT196" s="964" t="str">
        <f t="shared" si="159"/>
        <v>-</v>
      </c>
      <c r="AU196" s="964" t="str">
        <f t="shared" si="160"/>
        <v>-</v>
      </c>
      <c r="AV196" s="1350" t="str">
        <f t="shared" si="161"/>
        <v>-</v>
      </c>
      <c r="AW196" s="1343" t="str">
        <f t="shared" si="162"/>
        <v>-</v>
      </c>
      <c r="AX196" s="964" t="str">
        <f t="shared" si="163"/>
        <v>-</v>
      </c>
      <c r="AY196" s="964" t="str">
        <f t="shared" si="164"/>
        <v>-</v>
      </c>
      <c r="AZ196" s="964" t="str">
        <f t="shared" si="165"/>
        <v>-</v>
      </c>
      <c r="BA196" s="965" t="str">
        <f t="shared" si="166"/>
        <v>-</v>
      </c>
      <c r="BB196" s="1343" t="str">
        <f t="shared" si="167"/>
        <v>-</v>
      </c>
      <c r="BC196" s="964" t="str">
        <f t="shared" si="168"/>
        <v>-</v>
      </c>
      <c r="BD196" s="964" t="str">
        <f t="shared" si="169"/>
        <v>-</v>
      </c>
      <c r="BE196" s="964" t="str">
        <f t="shared" si="170"/>
        <v>-</v>
      </c>
      <c r="BF196" s="966" t="str">
        <f t="shared" si="171"/>
        <v>-</v>
      </c>
      <c r="BG196" s="951"/>
      <c r="BH196" s="1541" t="str">
        <f t="shared" si="172"/>
        <v>Qty</v>
      </c>
      <c r="BI196" s="1542" t="str">
        <f t="shared" si="173"/>
        <v>Sewerage</v>
      </c>
      <c r="BJ196" s="1543" t="str">
        <f t="shared" si="174"/>
        <v>Variable</v>
      </c>
      <c r="BK196" s="964" t="str">
        <f t="shared" ref="BK196:BU196" si="267">IF(V196="","-",IFERROR((V196/U196-1)*(U197/U$13),"-"))</f>
        <v>-</v>
      </c>
      <c r="BL196" s="964" t="str">
        <f t="shared" si="267"/>
        <v>-</v>
      </c>
      <c r="BM196" s="964" t="str">
        <f t="shared" si="267"/>
        <v>-</v>
      </c>
      <c r="BN196" s="964" t="str">
        <f t="shared" si="267"/>
        <v>-</v>
      </c>
      <c r="BO196" s="1350" t="str">
        <f t="shared" si="267"/>
        <v>-</v>
      </c>
      <c r="BP196" s="1343" t="str">
        <f t="shared" si="267"/>
        <v>-</v>
      </c>
      <c r="BQ196" s="964" t="str">
        <f t="shared" si="267"/>
        <v>-</v>
      </c>
      <c r="BR196" s="964" t="str">
        <f t="shared" si="267"/>
        <v>-</v>
      </c>
      <c r="BS196" s="964" t="str">
        <f t="shared" si="267"/>
        <v>-</v>
      </c>
      <c r="BT196" s="965" t="str">
        <f t="shared" si="267"/>
        <v>-</v>
      </c>
      <c r="BU196" s="964" t="str">
        <f t="shared" si="267"/>
        <v>-</v>
      </c>
      <c r="BV196" s="964" t="str">
        <f>IF(AG196="","-",IFERROR((AG196/AF196-1)*(AF197/AF$13),"-"))</f>
        <v>-</v>
      </c>
      <c r="BW196" s="964" t="str">
        <f>IF(AH196="","-",IFERROR((AH196/AG196-1)*(AG197/AG$13),"-"))</f>
        <v>-</v>
      </c>
      <c r="BX196" s="964" t="str">
        <f>IF(AI196="","-",IFERROR((AI196/AH196-1)*(AH197/AH$13),"-"))</f>
        <v>-</v>
      </c>
      <c r="BY196" s="966" t="str">
        <f>IF(AJ196="","-",IFERROR((AJ196/AI196-1)*(AI197/AI$13),"-"))</f>
        <v>-</v>
      </c>
      <c r="BZ196" s="951"/>
      <c r="CA196" s="961" t="str">
        <f t="shared" ref="CA196:CA259" si="268">AO196</f>
        <v>Qty</v>
      </c>
      <c r="CB196" s="962" t="str">
        <f t="shared" ref="CB196:CB259" si="269">AP196</f>
        <v>Sewerage</v>
      </c>
      <c r="CC196" s="962" t="str">
        <f t="shared" ref="CC196:CC259" si="270">AQ196</f>
        <v>Variable</v>
      </c>
      <c r="CD196" s="967" t="str">
        <f t="shared" si="184"/>
        <v>-</v>
      </c>
      <c r="CE196" s="964" t="str">
        <f t="shared" si="176"/>
        <v>-</v>
      </c>
      <c r="CF196" s="964" t="str">
        <f t="shared" si="177"/>
        <v>-</v>
      </c>
      <c r="CG196" s="965" t="str">
        <f t="shared" si="178"/>
        <v>-</v>
      </c>
      <c r="CH196" s="964" t="str">
        <f t="shared" si="185"/>
        <v>-</v>
      </c>
      <c r="CI196" s="964" t="str">
        <f t="shared" si="179"/>
        <v>-</v>
      </c>
      <c r="CJ196" s="964" t="str">
        <f t="shared" si="180"/>
        <v>-</v>
      </c>
      <c r="CK196" s="966" t="str">
        <f t="shared" si="181"/>
        <v>-</v>
      </c>
    </row>
    <row r="197" spans="4:89" ht="12.75" thickBot="1">
      <c r="E197" s="568" t="s">
        <v>882</v>
      </c>
      <c r="F197" s="560" t="str">
        <f>+F195</f>
        <v>Sewerage</v>
      </c>
      <c r="G197" s="561" t="str">
        <f>+G195</f>
        <v>GWW</v>
      </c>
      <c r="H197" s="561" t="str">
        <f>+H195</f>
        <v>Trade waste - TN/TKN Western</v>
      </c>
      <c r="I197" s="562" t="str">
        <f>+I195</f>
        <v>Variable</v>
      </c>
      <c r="J197" s="563" t="s">
        <v>883</v>
      </c>
      <c r="K197" s="564">
        <f t="shared" ref="K197:AJ197" si="271">K195*K196/10^6</f>
        <v>0</v>
      </c>
      <c r="L197" s="565">
        <f t="shared" si="271"/>
        <v>0</v>
      </c>
      <c r="M197" s="565">
        <f t="shared" si="271"/>
        <v>0</v>
      </c>
      <c r="N197" s="564">
        <f t="shared" si="271"/>
        <v>0</v>
      </c>
      <c r="O197" s="565">
        <f t="shared" si="271"/>
        <v>0</v>
      </c>
      <c r="P197" s="565">
        <f t="shared" si="271"/>
        <v>0</v>
      </c>
      <c r="Q197" s="565">
        <f t="shared" si="271"/>
        <v>0</v>
      </c>
      <c r="R197" s="566">
        <f t="shared" si="271"/>
        <v>0</v>
      </c>
      <c r="S197" s="564">
        <f t="shared" si="271"/>
        <v>0</v>
      </c>
      <c r="T197" s="565">
        <f t="shared" si="271"/>
        <v>0</v>
      </c>
      <c r="U197" s="566">
        <f t="shared" si="271"/>
        <v>0</v>
      </c>
      <c r="V197" s="564">
        <f t="shared" si="271"/>
        <v>0</v>
      </c>
      <c r="W197" s="565">
        <f t="shared" si="271"/>
        <v>0</v>
      </c>
      <c r="X197" s="565">
        <f t="shared" si="271"/>
        <v>0</v>
      </c>
      <c r="Y197" s="565">
        <f t="shared" si="271"/>
        <v>0</v>
      </c>
      <c r="Z197" s="566">
        <f t="shared" si="271"/>
        <v>0</v>
      </c>
      <c r="AA197" s="564">
        <f t="shared" si="271"/>
        <v>0</v>
      </c>
      <c r="AB197" s="565">
        <f t="shared" si="271"/>
        <v>0</v>
      </c>
      <c r="AC197" s="565">
        <f t="shared" si="271"/>
        <v>0</v>
      </c>
      <c r="AD197" s="565">
        <f t="shared" si="271"/>
        <v>0</v>
      </c>
      <c r="AE197" s="566">
        <f t="shared" si="271"/>
        <v>0</v>
      </c>
      <c r="AF197" s="564">
        <f t="shared" si="271"/>
        <v>0</v>
      </c>
      <c r="AG197" s="565">
        <f t="shared" si="271"/>
        <v>0</v>
      </c>
      <c r="AH197" s="565">
        <f t="shared" si="271"/>
        <v>0</v>
      </c>
      <c r="AI197" s="565">
        <f t="shared" si="271"/>
        <v>0</v>
      </c>
      <c r="AJ197" s="566">
        <f t="shared" si="271"/>
        <v>0</v>
      </c>
      <c r="AK197" s="569"/>
      <c r="AL197" s="569"/>
      <c r="AN197" s="857"/>
      <c r="AO197" s="984" t="str">
        <f t="shared" ref="AO197:AO260" si="272">E197</f>
        <v>Rev</v>
      </c>
      <c r="AP197" s="985" t="str">
        <f t="shared" ref="AP197:AP260" si="273">F197</f>
        <v>Sewerage</v>
      </c>
      <c r="AQ197" s="986" t="str">
        <f t="shared" ref="AQ197:AQ260" si="274">I197</f>
        <v>Variable</v>
      </c>
      <c r="AR197" s="990" t="str">
        <f t="shared" ref="AR197:AR260" si="275">IF(V197="","-",IFERROR(V197/U197-1,"-"))</f>
        <v>-</v>
      </c>
      <c r="AS197" s="987" t="str">
        <f t="shared" ref="AS197:AS260" si="276">IF(W197="","-",IFERROR(W197/V197-1,"-"))</f>
        <v>-</v>
      </c>
      <c r="AT197" s="987" t="str">
        <f t="shared" ref="AT197:AT260" si="277">IF(X197="","-",IFERROR(X197/W197-1,"-"))</f>
        <v>-</v>
      </c>
      <c r="AU197" s="987" t="str">
        <f t="shared" ref="AU197:AU260" si="278">IF(Y197="","-",IFERROR(Y197/X197-1,"-"))</f>
        <v>-</v>
      </c>
      <c r="AV197" s="1353" t="str">
        <f t="shared" ref="AV197:AV260" si="279">IF(Z197="","-",IFERROR(Z197/Y197-1,"-"))</f>
        <v>-</v>
      </c>
      <c r="AW197" s="1346" t="str">
        <f t="shared" ref="AW197:AW260" si="280">IF(AA197="","-",IFERROR(AA197/Z197-1,"-"))</f>
        <v>-</v>
      </c>
      <c r="AX197" s="987" t="str">
        <f t="shared" ref="AX197:AX260" si="281">IF(AB197="","-",IFERROR(AB197/AA197-1,"-"))</f>
        <v>-</v>
      </c>
      <c r="AY197" s="987" t="str">
        <f t="shared" ref="AY197:AY260" si="282">IF(AC197="","-",IFERROR(AC197/AB197-1,"-"))</f>
        <v>-</v>
      </c>
      <c r="AZ197" s="987" t="str">
        <f t="shared" ref="AZ197:AZ260" si="283">IF(AD197="","-",IFERROR(AD197/AC197-1,"-"))</f>
        <v>-</v>
      </c>
      <c r="BA197" s="988" t="str">
        <f t="shared" ref="BA197:BA260" si="284">IF(AE197="","-",IFERROR(AE197/AD197-1,"-"))</f>
        <v>-</v>
      </c>
      <c r="BB197" s="1346" t="str">
        <f t="shared" ref="BB197:BB260" si="285">IF(AF197="","-",IFERROR(AF197/AE197-1,"-"))</f>
        <v>-</v>
      </c>
      <c r="BC197" s="987" t="str">
        <f t="shared" ref="BC197:BC260" si="286">IF(AG197="","-",IFERROR(AG197/AF197-1,"-"))</f>
        <v>-</v>
      </c>
      <c r="BD197" s="987" t="str">
        <f t="shared" ref="BD197:BD260" si="287">IF(AH197="","-",IFERROR(AH197/AG197-1,"-"))</f>
        <v>-</v>
      </c>
      <c r="BE197" s="987" t="str">
        <f t="shared" ref="BE197:BE260" si="288">IF(AI197="","-",IFERROR(AI197/AH197-1,"-"))</f>
        <v>-</v>
      </c>
      <c r="BF197" s="989" t="str">
        <f t="shared" ref="BF197:BF260" si="289">IF(AJ197="","-",IFERROR(AJ197/AI197-1,"-"))</f>
        <v>-</v>
      </c>
      <c r="BG197" s="951"/>
      <c r="BH197" s="1550" t="str">
        <f t="shared" ref="BH197:BH260" si="290">AO197</f>
        <v>Rev</v>
      </c>
      <c r="BI197" s="1551" t="str">
        <f t="shared" ref="BI197:BI260" si="291">AP197</f>
        <v>Sewerage</v>
      </c>
      <c r="BJ197" s="1552" t="str">
        <f t="shared" ref="BJ197:BJ260" si="292">AQ197</f>
        <v>Variable</v>
      </c>
      <c r="BK197" s="987" t="str">
        <f t="shared" ref="BK197:BU197" si="293">IF(V197="","-",IFERROR((V197/U197-1)*(U197/U$13),"-"))</f>
        <v>-</v>
      </c>
      <c r="BL197" s="987" t="str">
        <f t="shared" si="293"/>
        <v>-</v>
      </c>
      <c r="BM197" s="987" t="str">
        <f t="shared" si="293"/>
        <v>-</v>
      </c>
      <c r="BN197" s="987" t="str">
        <f t="shared" si="293"/>
        <v>-</v>
      </c>
      <c r="BO197" s="1353" t="str">
        <f t="shared" si="293"/>
        <v>-</v>
      </c>
      <c r="BP197" s="1346" t="str">
        <f t="shared" si="293"/>
        <v>-</v>
      </c>
      <c r="BQ197" s="987" t="str">
        <f t="shared" si="293"/>
        <v>-</v>
      </c>
      <c r="BR197" s="987" t="str">
        <f t="shared" si="293"/>
        <v>-</v>
      </c>
      <c r="BS197" s="987" t="str">
        <f t="shared" si="293"/>
        <v>-</v>
      </c>
      <c r="BT197" s="988" t="str">
        <f t="shared" si="293"/>
        <v>-</v>
      </c>
      <c r="BU197" s="987" t="str">
        <f t="shared" si="293"/>
        <v>-</v>
      </c>
      <c r="BV197" s="987" t="str">
        <f>IF(AG197="","-",IFERROR((AG197/AF197-1)*(AF197/AF$13),"-"))</f>
        <v>-</v>
      </c>
      <c r="BW197" s="987" t="str">
        <f>IF(AH197="","-",IFERROR((AH197/AG197-1)*(AG197/AG$13),"-"))</f>
        <v>-</v>
      </c>
      <c r="BX197" s="987" t="str">
        <f>IF(AI197="","-",IFERROR((AI197/AH197-1)*(AH197/AH$13),"-"))</f>
        <v>-</v>
      </c>
      <c r="BY197" s="989" t="str">
        <f>IF(AJ197="","-",IFERROR((AJ197/AI197-1)*(AI197/AI$13),"-"))</f>
        <v>-</v>
      </c>
      <c r="BZ197" s="951"/>
      <c r="CA197" s="984" t="str">
        <f t="shared" si="268"/>
        <v>Rev</v>
      </c>
      <c r="CB197" s="985" t="str">
        <f t="shared" si="269"/>
        <v>Sewerage</v>
      </c>
      <c r="CC197" s="985" t="str">
        <f t="shared" si="270"/>
        <v>Variable</v>
      </c>
      <c r="CD197" s="990" t="str">
        <f t="shared" si="184"/>
        <v>-</v>
      </c>
      <c r="CE197" s="987" t="str">
        <f t="shared" ref="CE197:CE260" si="294">IF(X197="","-",IFERROR((X197/$U197)^(1/CE$65)-1,"-"))</f>
        <v>-</v>
      </c>
      <c r="CF197" s="987" t="str">
        <f t="shared" ref="CF197:CF260" si="295">IF(Y197="","-",IFERROR((Y197/$U197)^(1/CF$65)-1,"-"))</f>
        <v>-</v>
      </c>
      <c r="CG197" s="988" t="str">
        <f t="shared" ref="CG197:CG260" si="296">IF(Z197="","-",IFERROR((Z197/$U197)^(1/CG$65)-1,"-"))</f>
        <v>-</v>
      </c>
      <c r="CH197" s="987" t="str">
        <f t="shared" si="185"/>
        <v>-</v>
      </c>
      <c r="CI197" s="987" t="str">
        <f t="shared" ref="CI197:CI260" si="297">IF(AC197="","-",IFERROR((AC197/$Z197)^(1/CI$65)-1,"-"))</f>
        <v>-</v>
      </c>
      <c r="CJ197" s="987" t="str">
        <f t="shared" ref="CJ197:CJ260" si="298">IF(AD197="","-",IFERROR((AD197/$Z197)^(1/CJ$65)-1,"-"))</f>
        <v>-</v>
      </c>
      <c r="CK197" s="989" t="str">
        <f t="shared" ref="CK197:CK260" si="299">IF(AE197="","-",IFERROR((AE197/$Z197)^(1/CK$65)-1,"-"))</f>
        <v>-</v>
      </c>
    </row>
    <row r="198" spans="4:89">
      <c r="D198" s="63">
        <f>D195+1</f>
        <v>44</v>
      </c>
      <c r="E198" s="550" t="s">
        <v>857</v>
      </c>
      <c r="F198" s="595" t="s">
        <v>402</v>
      </c>
      <c r="G198" s="595" t="s">
        <v>92</v>
      </c>
      <c r="H198" s="595" t="s">
        <v>900</v>
      </c>
      <c r="I198" s="589" t="s">
        <v>843</v>
      </c>
      <c r="J198" s="589" t="s">
        <v>879</v>
      </c>
      <c r="K198" s="551"/>
      <c r="L198" s="552"/>
      <c r="M198" s="552"/>
      <c r="N198" s="551"/>
      <c r="O198" s="552"/>
      <c r="P198" s="552"/>
      <c r="Q198" s="552"/>
      <c r="R198" s="1035"/>
      <c r="S198" s="1138"/>
      <c r="T198" s="591"/>
      <c r="U198" s="1035"/>
      <c r="V198" s="1138"/>
      <c r="W198" s="591"/>
      <c r="X198" s="591"/>
      <c r="Y198" s="591"/>
      <c r="Z198" s="1035"/>
      <c r="AA198" s="1138"/>
      <c r="AB198" s="591"/>
      <c r="AC198" s="591"/>
      <c r="AD198" s="591"/>
      <c r="AE198" s="1035"/>
      <c r="AF198" s="1138"/>
      <c r="AG198" s="591"/>
      <c r="AH198" s="591"/>
      <c r="AI198" s="591"/>
      <c r="AJ198" s="1035"/>
      <c r="AK198" s="569"/>
      <c r="AL198" s="569"/>
      <c r="AM198" s="974"/>
      <c r="AN198" s="857"/>
      <c r="AO198" s="975" t="str">
        <f t="shared" si="272"/>
        <v>Price</v>
      </c>
      <c r="AP198" s="976" t="str">
        <f t="shared" si="273"/>
        <v>Sewerage</v>
      </c>
      <c r="AQ198" s="977" t="str">
        <f t="shared" si="274"/>
        <v>Variable</v>
      </c>
      <c r="AR198" s="1341" t="str">
        <f t="shared" si="275"/>
        <v>-</v>
      </c>
      <c r="AS198" s="978" t="str">
        <f t="shared" si="276"/>
        <v>-</v>
      </c>
      <c r="AT198" s="979" t="str">
        <f t="shared" si="277"/>
        <v>-</v>
      </c>
      <c r="AU198" s="979" t="str">
        <f t="shared" si="278"/>
        <v>-</v>
      </c>
      <c r="AV198" s="1352" t="str">
        <f t="shared" si="279"/>
        <v>-</v>
      </c>
      <c r="AW198" s="1345" t="str">
        <f t="shared" si="280"/>
        <v>-</v>
      </c>
      <c r="AX198" s="979" t="str">
        <f t="shared" si="281"/>
        <v>-</v>
      </c>
      <c r="AY198" s="979" t="str">
        <f t="shared" si="282"/>
        <v>-</v>
      </c>
      <c r="AZ198" s="979" t="str">
        <f t="shared" si="283"/>
        <v>-</v>
      </c>
      <c r="BA198" s="980" t="str">
        <f t="shared" si="284"/>
        <v>-</v>
      </c>
      <c r="BB198" s="1345" t="str">
        <f t="shared" si="285"/>
        <v>-</v>
      </c>
      <c r="BC198" s="979" t="str">
        <f t="shared" si="286"/>
        <v>-</v>
      </c>
      <c r="BD198" s="979" t="str">
        <f t="shared" si="287"/>
        <v>-</v>
      </c>
      <c r="BE198" s="979" t="str">
        <f t="shared" si="288"/>
        <v>-</v>
      </c>
      <c r="BF198" s="981" t="str">
        <f t="shared" si="289"/>
        <v>-</v>
      </c>
      <c r="BG198" s="951"/>
      <c r="BH198" s="1547" t="str">
        <f t="shared" si="290"/>
        <v>Price</v>
      </c>
      <c r="BI198" s="1548" t="str">
        <f t="shared" si="291"/>
        <v>Sewerage</v>
      </c>
      <c r="BJ198" s="1549" t="str">
        <f t="shared" si="292"/>
        <v>Variable</v>
      </c>
      <c r="BK198" s="978" t="str">
        <f t="shared" ref="BK198:BU198" si="300">IF(V198="","-",IFERROR((V198/U198-1)*(U200/U$13),"-"))</f>
        <v>-</v>
      </c>
      <c r="BL198" s="978" t="str">
        <f t="shared" si="300"/>
        <v>-</v>
      </c>
      <c r="BM198" s="979" t="str">
        <f t="shared" si="300"/>
        <v>-</v>
      </c>
      <c r="BN198" s="979" t="str">
        <f t="shared" si="300"/>
        <v>-</v>
      </c>
      <c r="BO198" s="1352" t="str">
        <f t="shared" si="300"/>
        <v>-</v>
      </c>
      <c r="BP198" s="1345" t="str">
        <f t="shared" si="300"/>
        <v>-</v>
      </c>
      <c r="BQ198" s="979" t="str">
        <f t="shared" si="300"/>
        <v>-</v>
      </c>
      <c r="BR198" s="979" t="str">
        <f t="shared" si="300"/>
        <v>-</v>
      </c>
      <c r="BS198" s="979" t="str">
        <f t="shared" si="300"/>
        <v>-</v>
      </c>
      <c r="BT198" s="980" t="str">
        <f t="shared" si="300"/>
        <v>-</v>
      </c>
      <c r="BU198" s="979" t="str">
        <f t="shared" si="300"/>
        <v>-</v>
      </c>
      <c r="BV198" s="979" t="str">
        <f>IF(AG198="","-",IFERROR((AG198/AF198-1)*(AF200/AF$13),"-"))</f>
        <v>-</v>
      </c>
      <c r="BW198" s="979" t="str">
        <f>IF(AH198="","-",IFERROR((AH198/AG198-1)*(AG200/AG$13),"-"))</f>
        <v>-</v>
      </c>
      <c r="BX198" s="979" t="str">
        <f>IF(AI198="","-",IFERROR((AI198/AH198-1)*(AH200/AH$13),"-"))</f>
        <v>-</v>
      </c>
      <c r="BY198" s="981" t="str">
        <f>IF(AJ198="","-",IFERROR((AJ198/AI198-1)*(AI200/AI$13),"-"))</f>
        <v>-</v>
      </c>
      <c r="BZ198" s="951"/>
      <c r="CA198" s="975" t="str">
        <f t="shared" si="268"/>
        <v>Price</v>
      </c>
      <c r="CB198" s="976" t="str">
        <f t="shared" si="269"/>
        <v>Sewerage</v>
      </c>
      <c r="CC198" s="982" t="str">
        <f t="shared" si="270"/>
        <v>Variable</v>
      </c>
      <c r="CD198" s="983" t="str">
        <f t="shared" ref="CD198:CD261" si="301">IF(W198="","-",IFERROR((W198/$U198)^(1/CD$65)-1,"-"))</f>
        <v>-</v>
      </c>
      <c r="CE198" s="979" t="str">
        <f t="shared" si="294"/>
        <v>-</v>
      </c>
      <c r="CF198" s="979" t="str">
        <f t="shared" si="295"/>
        <v>-</v>
      </c>
      <c r="CG198" s="980" t="str">
        <f t="shared" si="296"/>
        <v>-</v>
      </c>
      <c r="CH198" s="979" t="str">
        <f t="shared" ref="CH198:CH261" si="302">IF(AB198="","-",IFERROR((AB198/$Z198)^(1/CH$65)-1,"-"))</f>
        <v>-</v>
      </c>
      <c r="CI198" s="979" t="str">
        <f t="shared" si="297"/>
        <v>-</v>
      </c>
      <c r="CJ198" s="979" t="str">
        <f t="shared" si="298"/>
        <v>-</v>
      </c>
      <c r="CK198" s="981" t="str">
        <f t="shared" si="299"/>
        <v>-</v>
      </c>
    </row>
    <row r="199" spans="4:89">
      <c r="E199" s="567" t="s">
        <v>880</v>
      </c>
      <c r="F199" s="554" t="str">
        <f>+F198</f>
        <v>Sewerage</v>
      </c>
      <c r="G199" s="555" t="str">
        <f>+G198</f>
        <v>SEW</v>
      </c>
      <c r="H199" s="555" t="str">
        <f>+H198</f>
        <v>Trade waste - TN/TKN Western</v>
      </c>
      <c r="I199" s="556" t="str">
        <f>+I198</f>
        <v>Variable</v>
      </c>
      <c r="J199" s="590" t="s">
        <v>896</v>
      </c>
      <c r="K199" s="557"/>
      <c r="L199" s="558"/>
      <c r="M199" s="558"/>
      <c r="N199" s="557"/>
      <c r="O199" s="558"/>
      <c r="P199" s="558"/>
      <c r="Q199" s="558"/>
      <c r="R199" s="1036"/>
      <c r="S199" s="1139"/>
      <c r="T199" s="593"/>
      <c r="U199" s="1036"/>
      <c r="V199" s="1139"/>
      <c r="W199" s="593"/>
      <c r="X199" s="593"/>
      <c r="Y199" s="593"/>
      <c r="Z199" s="1036"/>
      <c r="AA199" s="1139"/>
      <c r="AB199" s="593"/>
      <c r="AC199" s="593"/>
      <c r="AD199" s="593"/>
      <c r="AE199" s="1036"/>
      <c r="AF199" s="1139"/>
      <c r="AG199" s="593"/>
      <c r="AH199" s="593"/>
      <c r="AI199" s="593"/>
      <c r="AJ199" s="1036"/>
      <c r="AK199" s="569"/>
      <c r="AL199" s="569"/>
      <c r="AN199" s="857"/>
      <c r="AO199" s="961" t="str">
        <f t="shared" si="272"/>
        <v>Qty</v>
      </c>
      <c r="AP199" s="962" t="str">
        <f t="shared" si="273"/>
        <v>Sewerage</v>
      </c>
      <c r="AQ199" s="963" t="str">
        <f t="shared" si="274"/>
        <v>Variable</v>
      </c>
      <c r="AR199" s="967" t="str">
        <f t="shared" si="275"/>
        <v>-</v>
      </c>
      <c r="AS199" s="964" t="str">
        <f t="shared" si="276"/>
        <v>-</v>
      </c>
      <c r="AT199" s="964" t="str">
        <f t="shared" si="277"/>
        <v>-</v>
      </c>
      <c r="AU199" s="964" t="str">
        <f t="shared" si="278"/>
        <v>-</v>
      </c>
      <c r="AV199" s="1350" t="str">
        <f t="shared" si="279"/>
        <v>-</v>
      </c>
      <c r="AW199" s="1343" t="str">
        <f t="shared" si="280"/>
        <v>-</v>
      </c>
      <c r="AX199" s="964" t="str">
        <f t="shared" si="281"/>
        <v>-</v>
      </c>
      <c r="AY199" s="964" t="str">
        <f t="shared" si="282"/>
        <v>-</v>
      </c>
      <c r="AZ199" s="964" t="str">
        <f t="shared" si="283"/>
        <v>-</v>
      </c>
      <c r="BA199" s="965" t="str">
        <f t="shared" si="284"/>
        <v>-</v>
      </c>
      <c r="BB199" s="1343" t="str">
        <f t="shared" si="285"/>
        <v>-</v>
      </c>
      <c r="BC199" s="964" t="str">
        <f t="shared" si="286"/>
        <v>-</v>
      </c>
      <c r="BD199" s="964" t="str">
        <f t="shared" si="287"/>
        <v>-</v>
      </c>
      <c r="BE199" s="964" t="str">
        <f t="shared" si="288"/>
        <v>-</v>
      </c>
      <c r="BF199" s="966" t="str">
        <f t="shared" si="289"/>
        <v>-</v>
      </c>
      <c r="BG199" s="951"/>
      <c r="BH199" s="1541" t="str">
        <f t="shared" si="290"/>
        <v>Qty</v>
      </c>
      <c r="BI199" s="1542" t="str">
        <f t="shared" si="291"/>
        <v>Sewerage</v>
      </c>
      <c r="BJ199" s="1543" t="str">
        <f t="shared" si="292"/>
        <v>Variable</v>
      </c>
      <c r="BK199" s="964" t="str">
        <f t="shared" ref="BK199:BU199" si="303">IF(V199="","-",IFERROR((V199/U199-1)*(U200/U$13),"-"))</f>
        <v>-</v>
      </c>
      <c r="BL199" s="964" t="str">
        <f t="shared" si="303"/>
        <v>-</v>
      </c>
      <c r="BM199" s="964" t="str">
        <f t="shared" si="303"/>
        <v>-</v>
      </c>
      <c r="BN199" s="964" t="str">
        <f t="shared" si="303"/>
        <v>-</v>
      </c>
      <c r="BO199" s="1350" t="str">
        <f t="shared" si="303"/>
        <v>-</v>
      </c>
      <c r="BP199" s="1343" t="str">
        <f t="shared" si="303"/>
        <v>-</v>
      </c>
      <c r="BQ199" s="964" t="str">
        <f t="shared" si="303"/>
        <v>-</v>
      </c>
      <c r="BR199" s="964" t="str">
        <f t="shared" si="303"/>
        <v>-</v>
      </c>
      <c r="BS199" s="964" t="str">
        <f t="shared" si="303"/>
        <v>-</v>
      </c>
      <c r="BT199" s="965" t="str">
        <f t="shared" si="303"/>
        <v>-</v>
      </c>
      <c r="BU199" s="964" t="str">
        <f t="shared" si="303"/>
        <v>-</v>
      </c>
      <c r="BV199" s="964" t="str">
        <f>IF(AG199="","-",IFERROR((AG199/AF199-1)*(AF200/AF$13),"-"))</f>
        <v>-</v>
      </c>
      <c r="BW199" s="964" t="str">
        <f>IF(AH199="","-",IFERROR((AH199/AG199-1)*(AG200/AG$13),"-"))</f>
        <v>-</v>
      </c>
      <c r="BX199" s="964" t="str">
        <f>IF(AI199="","-",IFERROR((AI199/AH199-1)*(AH200/AH$13),"-"))</f>
        <v>-</v>
      </c>
      <c r="BY199" s="966" t="str">
        <f>IF(AJ199="","-",IFERROR((AJ199/AI199-1)*(AI200/AI$13),"-"))</f>
        <v>-</v>
      </c>
      <c r="BZ199" s="951"/>
      <c r="CA199" s="961" t="str">
        <f t="shared" si="268"/>
        <v>Qty</v>
      </c>
      <c r="CB199" s="962" t="str">
        <f t="shared" si="269"/>
        <v>Sewerage</v>
      </c>
      <c r="CC199" s="962" t="str">
        <f t="shared" si="270"/>
        <v>Variable</v>
      </c>
      <c r="CD199" s="967" t="str">
        <f t="shared" si="301"/>
        <v>-</v>
      </c>
      <c r="CE199" s="964" t="str">
        <f t="shared" si="294"/>
        <v>-</v>
      </c>
      <c r="CF199" s="964" t="str">
        <f t="shared" si="295"/>
        <v>-</v>
      </c>
      <c r="CG199" s="965" t="str">
        <f t="shared" si="296"/>
        <v>-</v>
      </c>
      <c r="CH199" s="964" t="str">
        <f t="shared" si="302"/>
        <v>-</v>
      </c>
      <c r="CI199" s="964" t="str">
        <f t="shared" si="297"/>
        <v>-</v>
      </c>
      <c r="CJ199" s="964" t="str">
        <f t="shared" si="298"/>
        <v>-</v>
      </c>
      <c r="CK199" s="966" t="str">
        <f t="shared" si="299"/>
        <v>-</v>
      </c>
    </row>
    <row r="200" spans="4:89" ht="12.75" thickBot="1">
      <c r="E200" s="568" t="s">
        <v>882</v>
      </c>
      <c r="F200" s="560" t="str">
        <f>+F198</f>
        <v>Sewerage</v>
      </c>
      <c r="G200" s="561" t="str">
        <f>+G198</f>
        <v>SEW</v>
      </c>
      <c r="H200" s="561" t="str">
        <f>+H198</f>
        <v>Trade waste - TN/TKN Western</v>
      </c>
      <c r="I200" s="562" t="str">
        <f>+I198</f>
        <v>Variable</v>
      </c>
      <c r="J200" s="563" t="s">
        <v>883</v>
      </c>
      <c r="K200" s="564">
        <f t="shared" ref="K200:AJ200" si="304">K198*K199/10^6</f>
        <v>0</v>
      </c>
      <c r="L200" s="565">
        <f t="shared" si="304"/>
        <v>0</v>
      </c>
      <c r="M200" s="565">
        <f t="shared" si="304"/>
        <v>0</v>
      </c>
      <c r="N200" s="564">
        <f t="shared" si="304"/>
        <v>0</v>
      </c>
      <c r="O200" s="565">
        <f t="shared" si="304"/>
        <v>0</v>
      </c>
      <c r="P200" s="565">
        <f t="shared" si="304"/>
        <v>0</v>
      </c>
      <c r="Q200" s="565">
        <f t="shared" si="304"/>
        <v>0</v>
      </c>
      <c r="R200" s="566">
        <f t="shared" si="304"/>
        <v>0</v>
      </c>
      <c r="S200" s="564">
        <f t="shared" si="304"/>
        <v>0</v>
      </c>
      <c r="T200" s="565">
        <f t="shared" si="304"/>
        <v>0</v>
      </c>
      <c r="U200" s="566">
        <f t="shared" si="304"/>
        <v>0</v>
      </c>
      <c r="V200" s="564">
        <f t="shared" si="304"/>
        <v>0</v>
      </c>
      <c r="W200" s="565">
        <f t="shared" si="304"/>
        <v>0</v>
      </c>
      <c r="X200" s="565">
        <f t="shared" si="304"/>
        <v>0</v>
      </c>
      <c r="Y200" s="565">
        <f t="shared" si="304"/>
        <v>0</v>
      </c>
      <c r="Z200" s="566">
        <f t="shared" si="304"/>
        <v>0</v>
      </c>
      <c r="AA200" s="564">
        <f t="shared" si="304"/>
        <v>0</v>
      </c>
      <c r="AB200" s="565">
        <f t="shared" si="304"/>
        <v>0</v>
      </c>
      <c r="AC200" s="565">
        <f t="shared" si="304"/>
        <v>0</v>
      </c>
      <c r="AD200" s="565">
        <f t="shared" si="304"/>
        <v>0</v>
      </c>
      <c r="AE200" s="566">
        <f t="shared" si="304"/>
        <v>0</v>
      </c>
      <c r="AF200" s="564">
        <f t="shared" si="304"/>
        <v>0</v>
      </c>
      <c r="AG200" s="565">
        <f t="shared" si="304"/>
        <v>0</v>
      </c>
      <c r="AH200" s="565">
        <f t="shared" si="304"/>
        <v>0</v>
      </c>
      <c r="AI200" s="565">
        <f t="shared" si="304"/>
        <v>0</v>
      </c>
      <c r="AJ200" s="566">
        <f t="shared" si="304"/>
        <v>0</v>
      </c>
      <c r="AK200" s="569"/>
      <c r="AL200" s="569"/>
      <c r="AN200" s="857"/>
      <c r="AO200" s="984" t="str">
        <f t="shared" si="272"/>
        <v>Rev</v>
      </c>
      <c r="AP200" s="985" t="str">
        <f t="shared" si="273"/>
        <v>Sewerage</v>
      </c>
      <c r="AQ200" s="986" t="str">
        <f t="shared" si="274"/>
        <v>Variable</v>
      </c>
      <c r="AR200" s="990" t="str">
        <f t="shared" si="275"/>
        <v>-</v>
      </c>
      <c r="AS200" s="987" t="str">
        <f t="shared" si="276"/>
        <v>-</v>
      </c>
      <c r="AT200" s="987" t="str">
        <f t="shared" si="277"/>
        <v>-</v>
      </c>
      <c r="AU200" s="987" t="str">
        <f t="shared" si="278"/>
        <v>-</v>
      </c>
      <c r="AV200" s="1353" t="str">
        <f t="shared" si="279"/>
        <v>-</v>
      </c>
      <c r="AW200" s="1346" t="str">
        <f t="shared" si="280"/>
        <v>-</v>
      </c>
      <c r="AX200" s="987" t="str">
        <f t="shared" si="281"/>
        <v>-</v>
      </c>
      <c r="AY200" s="987" t="str">
        <f t="shared" si="282"/>
        <v>-</v>
      </c>
      <c r="AZ200" s="987" t="str">
        <f t="shared" si="283"/>
        <v>-</v>
      </c>
      <c r="BA200" s="988" t="str">
        <f t="shared" si="284"/>
        <v>-</v>
      </c>
      <c r="BB200" s="1346" t="str">
        <f t="shared" si="285"/>
        <v>-</v>
      </c>
      <c r="BC200" s="987" t="str">
        <f t="shared" si="286"/>
        <v>-</v>
      </c>
      <c r="BD200" s="987" t="str">
        <f t="shared" si="287"/>
        <v>-</v>
      </c>
      <c r="BE200" s="987" t="str">
        <f t="shared" si="288"/>
        <v>-</v>
      </c>
      <c r="BF200" s="989" t="str">
        <f t="shared" si="289"/>
        <v>-</v>
      </c>
      <c r="BG200" s="951"/>
      <c r="BH200" s="1550" t="str">
        <f t="shared" si="290"/>
        <v>Rev</v>
      </c>
      <c r="BI200" s="1551" t="str">
        <f t="shared" si="291"/>
        <v>Sewerage</v>
      </c>
      <c r="BJ200" s="1552" t="str">
        <f t="shared" si="292"/>
        <v>Variable</v>
      </c>
      <c r="BK200" s="987" t="str">
        <f t="shared" ref="BK200:BU200" si="305">IF(V200="","-",IFERROR((V200/U200-1)*(U200/U$13),"-"))</f>
        <v>-</v>
      </c>
      <c r="BL200" s="987" t="str">
        <f t="shared" si="305"/>
        <v>-</v>
      </c>
      <c r="BM200" s="987" t="str">
        <f t="shared" si="305"/>
        <v>-</v>
      </c>
      <c r="BN200" s="987" t="str">
        <f t="shared" si="305"/>
        <v>-</v>
      </c>
      <c r="BO200" s="1353" t="str">
        <f t="shared" si="305"/>
        <v>-</v>
      </c>
      <c r="BP200" s="1346" t="str">
        <f t="shared" si="305"/>
        <v>-</v>
      </c>
      <c r="BQ200" s="987" t="str">
        <f t="shared" si="305"/>
        <v>-</v>
      </c>
      <c r="BR200" s="987" t="str">
        <f t="shared" si="305"/>
        <v>-</v>
      </c>
      <c r="BS200" s="987" t="str">
        <f t="shared" si="305"/>
        <v>-</v>
      </c>
      <c r="BT200" s="988" t="str">
        <f t="shared" si="305"/>
        <v>-</v>
      </c>
      <c r="BU200" s="987" t="str">
        <f t="shared" si="305"/>
        <v>-</v>
      </c>
      <c r="BV200" s="987" t="str">
        <f>IF(AG200="","-",IFERROR((AG200/AF200-1)*(AF200/AF$13),"-"))</f>
        <v>-</v>
      </c>
      <c r="BW200" s="987" t="str">
        <f>IF(AH200="","-",IFERROR((AH200/AG200-1)*(AG200/AG$13),"-"))</f>
        <v>-</v>
      </c>
      <c r="BX200" s="987" t="str">
        <f>IF(AI200="","-",IFERROR((AI200/AH200-1)*(AH200/AH$13),"-"))</f>
        <v>-</v>
      </c>
      <c r="BY200" s="989" t="str">
        <f>IF(AJ200="","-",IFERROR((AJ200/AI200-1)*(AI200/AI$13),"-"))</f>
        <v>-</v>
      </c>
      <c r="BZ200" s="951"/>
      <c r="CA200" s="984" t="str">
        <f t="shared" si="268"/>
        <v>Rev</v>
      </c>
      <c r="CB200" s="985" t="str">
        <f t="shared" si="269"/>
        <v>Sewerage</v>
      </c>
      <c r="CC200" s="985" t="str">
        <f t="shared" si="270"/>
        <v>Variable</v>
      </c>
      <c r="CD200" s="990" t="str">
        <f t="shared" si="301"/>
        <v>-</v>
      </c>
      <c r="CE200" s="987" t="str">
        <f t="shared" si="294"/>
        <v>-</v>
      </c>
      <c r="CF200" s="987" t="str">
        <f t="shared" si="295"/>
        <v>-</v>
      </c>
      <c r="CG200" s="988" t="str">
        <f t="shared" si="296"/>
        <v>-</v>
      </c>
      <c r="CH200" s="987" t="str">
        <f t="shared" si="302"/>
        <v>-</v>
      </c>
      <c r="CI200" s="987" t="str">
        <f t="shared" si="297"/>
        <v>-</v>
      </c>
      <c r="CJ200" s="987" t="str">
        <f t="shared" si="298"/>
        <v>-</v>
      </c>
      <c r="CK200" s="989" t="str">
        <f t="shared" si="299"/>
        <v>-</v>
      </c>
    </row>
    <row r="201" spans="4:89">
      <c r="D201" s="63">
        <f>D198+1</f>
        <v>45</v>
      </c>
      <c r="E201" s="550" t="s">
        <v>857</v>
      </c>
      <c r="F201" s="595" t="s">
        <v>402</v>
      </c>
      <c r="G201" s="595" t="s">
        <v>103</v>
      </c>
      <c r="H201" s="595" t="s">
        <v>900</v>
      </c>
      <c r="I201" s="589" t="s">
        <v>843</v>
      </c>
      <c r="J201" s="589" t="s">
        <v>879</v>
      </c>
      <c r="K201" s="551"/>
      <c r="L201" s="552"/>
      <c r="M201" s="552"/>
      <c r="N201" s="551"/>
      <c r="O201" s="552"/>
      <c r="P201" s="552"/>
      <c r="Q201" s="552"/>
      <c r="R201" s="1035"/>
      <c r="S201" s="1138"/>
      <c r="T201" s="591"/>
      <c r="U201" s="1035"/>
      <c r="V201" s="1138"/>
      <c r="W201" s="591"/>
      <c r="X201" s="591"/>
      <c r="Y201" s="591"/>
      <c r="Z201" s="1035"/>
      <c r="AA201" s="1138"/>
      <c r="AB201" s="591"/>
      <c r="AC201" s="591"/>
      <c r="AD201" s="591"/>
      <c r="AE201" s="1035"/>
      <c r="AF201" s="1138"/>
      <c r="AG201" s="591"/>
      <c r="AH201" s="591"/>
      <c r="AI201" s="591"/>
      <c r="AJ201" s="1035"/>
      <c r="AK201" s="569"/>
      <c r="AL201" s="569"/>
      <c r="AM201" s="974"/>
      <c r="AN201" s="857"/>
      <c r="AO201" s="975" t="str">
        <f t="shared" si="272"/>
        <v>Price</v>
      </c>
      <c r="AP201" s="976" t="str">
        <f t="shared" si="273"/>
        <v>Sewerage</v>
      </c>
      <c r="AQ201" s="977" t="str">
        <f t="shared" si="274"/>
        <v>Variable</v>
      </c>
      <c r="AR201" s="1341" t="str">
        <f t="shared" si="275"/>
        <v>-</v>
      </c>
      <c r="AS201" s="978" t="str">
        <f t="shared" si="276"/>
        <v>-</v>
      </c>
      <c r="AT201" s="979" t="str">
        <f t="shared" si="277"/>
        <v>-</v>
      </c>
      <c r="AU201" s="979" t="str">
        <f t="shared" si="278"/>
        <v>-</v>
      </c>
      <c r="AV201" s="1352" t="str">
        <f t="shared" si="279"/>
        <v>-</v>
      </c>
      <c r="AW201" s="1345" t="str">
        <f t="shared" si="280"/>
        <v>-</v>
      </c>
      <c r="AX201" s="979" t="str">
        <f t="shared" si="281"/>
        <v>-</v>
      </c>
      <c r="AY201" s="979" t="str">
        <f t="shared" si="282"/>
        <v>-</v>
      </c>
      <c r="AZ201" s="979" t="str">
        <f t="shared" si="283"/>
        <v>-</v>
      </c>
      <c r="BA201" s="980" t="str">
        <f t="shared" si="284"/>
        <v>-</v>
      </c>
      <c r="BB201" s="1345" t="str">
        <f t="shared" si="285"/>
        <v>-</v>
      </c>
      <c r="BC201" s="979" t="str">
        <f t="shared" si="286"/>
        <v>-</v>
      </c>
      <c r="BD201" s="979" t="str">
        <f t="shared" si="287"/>
        <v>-</v>
      </c>
      <c r="BE201" s="979" t="str">
        <f t="shared" si="288"/>
        <v>-</v>
      </c>
      <c r="BF201" s="981" t="str">
        <f t="shared" si="289"/>
        <v>-</v>
      </c>
      <c r="BG201" s="951"/>
      <c r="BH201" s="1547" t="str">
        <f t="shared" si="290"/>
        <v>Price</v>
      </c>
      <c r="BI201" s="1548" t="str">
        <f t="shared" si="291"/>
        <v>Sewerage</v>
      </c>
      <c r="BJ201" s="1549" t="str">
        <f t="shared" si="292"/>
        <v>Variable</v>
      </c>
      <c r="BK201" s="978" t="str">
        <f t="shared" ref="BK201:BU201" si="306">IF(V201="","-",IFERROR((V201/U201-1)*(U203/U$13),"-"))</f>
        <v>-</v>
      </c>
      <c r="BL201" s="978" t="str">
        <f t="shared" si="306"/>
        <v>-</v>
      </c>
      <c r="BM201" s="979" t="str">
        <f t="shared" si="306"/>
        <v>-</v>
      </c>
      <c r="BN201" s="979" t="str">
        <f t="shared" si="306"/>
        <v>-</v>
      </c>
      <c r="BO201" s="1352" t="str">
        <f t="shared" si="306"/>
        <v>-</v>
      </c>
      <c r="BP201" s="1345" t="str">
        <f t="shared" si="306"/>
        <v>-</v>
      </c>
      <c r="BQ201" s="979" t="str">
        <f t="shared" si="306"/>
        <v>-</v>
      </c>
      <c r="BR201" s="979" t="str">
        <f t="shared" si="306"/>
        <v>-</v>
      </c>
      <c r="BS201" s="979" t="str">
        <f t="shared" si="306"/>
        <v>-</v>
      </c>
      <c r="BT201" s="980" t="str">
        <f t="shared" si="306"/>
        <v>-</v>
      </c>
      <c r="BU201" s="979" t="str">
        <f t="shared" si="306"/>
        <v>-</v>
      </c>
      <c r="BV201" s="979" t="str">
        <f>IF(AG201="","-",IFERROR((AG201/AF201-1)*(AF203/AF$13),"-"))</f>
        <v>-</v>
      </c>
      <c r="BW201" s="979" t="str">
        <f>IF(AH201="","-",IFERROR((AH201/AG201-1)*(AG203/AG$13),"-"))</f>
        <v>-</v>
      </c>
      <c r="BX201" s="979" t="str">
        <f>IF(AI201="","-",IFERROR((AI201/AH201-1)*(AH203/AH$13),"-"))</f>
        <v>-</v>
      </c>
      <c r="BY201" s="981" t="str">
        <f>IF(AJ201="","-",IFERROR((AJ201/AI201-1)*(AI203/AI$13),"-"))</f>
        <v>-</v>
      </c>
      <c r="BZ201" s="951"/>
      <c r="CA201" s="975" t="str">
        <f t="shared" si="268"/>
        <v>Price</v>
      </c>
      <c r="CB201" s="976" t="str">
        <f t="shared" si="269"/>
        <v>Sewerage</v>
      </c>
      <c r="CC201" s="982" t="str">
        <f t="shared" si="270"/>
        <v>Variable</v>
      </c>
      <c r="CD201" s="983" t="str">
        <f t="shared" si="301"/>
        <v>-</v>
      </c>
      <c r="CE201" s="979" t="str">
        <f t="shared" si="294"/>
        <v>-</v>
      </c>
      <c r="CF201" s="979" t="str">
        <f t="shared" si="295"/>
        <v>-</v>
      </c>
      <c r="CG201" s="980" t="str">
        <f t="shared" si="296"/>
        <v>-</v>
      </c>
      <c r="CH201" s="979" t="str">
        <f t="shared" si="302"/>
        <v>-</v>
      </c>
      <c r="CI201" s="979" t="str">
        <f t="shared" si="297"/>
        <v>-</v>
      </c>
      <c r="CJ201" s="979" t="str">
        <f t="shared" si="298"/>
        <v>-</v>
      </c>
      <c r="CK201" s="981" t="str">
        <f t="shared" si="299"/>
        <v>-</v>
      </c>
    </row>
    <row r="202" spans="4:89">
      <c r="E202" s="567" t="s">
        <v>880</v>
      </c>
      <c r="F202" s="554" t="str">
        <f>+F201</f>
        <v>Sewerage</v>
      </c>
      <c r="G202" s="555" t="str">
        <f>+G201</f>
        <v>YVW</v>
      </c>
      <c r="H202" s="555" t="str">
        <f>+H201</f>
        <v>Trade waste - TN/TKN Western</v>
      </c>
      <c r="I202" s="556" t="str">
        <f>+I201</f>
        <v>Variable</v>
      </c>
      <c r="J202" s="590" t="s">
        <v>896</v>
      </c>
      <c r="K202" s="557"/>
      <c r="L202" s="558"/>
      <c r="M202" s="558"/>
      <c r="N202" s="557"/>
      <c r="O202" s="558"/>
      <c r="P202" s="558"/>
      <c r="Q202" s="558"/>
      <c r="R202" s="1036"/>
      <c r="S202" s="1139"/>
      <c r="T202" s="593"/>
      <c r="U202" s="1036"/>
      <c r="V202" s="1139"/>
      <c r="W202" s="593"/>
      <c r="X202" s="593"/>
      <c r="Y202" s="593"/>
      <c r="Z202" s="1036"/>
      <c r="AA202" s="1139"/>
      <c r="AB202" s="593"/>
      <c r="AC202" s="593"/>
      <c r="AD202" s="593"/>
      <c r="AE202" s="1036"/>
      <c r="AF202" s="1139"/>
      <c r="AG202" s="593"/>
      <c r="AH202" s="593"/>
      <c r="AI202" s="593"/>
      <c r="AJ202" s="1036"/>
      <c r="AK202" s="569"/>
      <c r="AL202" s="569"/>
      <c r="AN202" s="857"/>
      <c r="AO202" s="961" t="str">
        <f t="shared" si="272"/>
        <v>Qty</v>
      </c>
      <c r="AP202" s="962" t="str">
        <f t="shared" si="273"/>
        <v>Sewerage</v>
      </c>
      <c r="AQ202" s="963" t="str">
        <f t="shared" si="274"/>
        <v>Variable</v>
      </c>
      <c r="AR202" s="967" t="str">
        <f t="shared" si="275"/>
        <v>-</v>
      </c>
      <c r="AS202" s="964" t="str">
        <f t="shared" si="276"/>
        <v>-</v>
      </c>
      <c r="AT202" s="964" t="str">
        <f t="shared" si="277"/>
        <v>-</v>
      </c>
      <c r="AU202" s="964" t="str">
        <f t="shared" si="278"/>
        <v>-</v>
      </c>
      <c r="AV202" s="1350" t="str">
        <f t="shared" si="279"/>
        <v>-</v>
      </c>
      <c r="AW202" s="1343" t="str">
        <f t="shared" si="280"/>
        <v>-</v>
      </c>
      <c r="AX202" s="964" t="str">
        <f t="shared" si="281"/>
        <v>-</v>
      </c>
      <c r="AY202" s="964" t="str">
        <f t="shared" si="282"/>
        <v>-</v>
      </c>
      <c r="AZ202" s="964" t="str">
        <f t="shared" si="283"/>
        <v>-</v>
      </c>
      <c r="BA202" s="965" t="str">
        <f t="shared" si="284"/>
        <v>-</v>
      </c>
      <c r="BB202" s="1343" t="str">
        <f t="shared" si="285"/>
        <v>-</v>
      </c>
      <c r="BC202" s="964" t="str">
        <f t="shared" si="286"/>
        <v>-</v>
      </c>
      <c r="BD202" s="964" t="str">
        <f t="shared" si="287"/>
        <v>-</v>
      </c>
      <c r="BE202" s="964" t="str">
        <f t="shared" si="288"/>
        <v>-</v>
      </c>
      <c r="BF202" s="966" t="str">
        <f t="shared" si="289"/>
        <v>-</v>
      </c>
      <c r="BG202" s="951"/>
      <c r="BH202" s="1541" t="str">
        <f t="shared" si="290"/>
        <v>Qty</v>
      </c>
      <c r="BI202" s="1542" t="str">
        <f t="shared" si="291"/>
        <v>Sewerage</v>
      </c>
      <c r="BJ202" s="1543" t="str">
        <f t="shared" si="292"/>
        <v>Variable</v>
      </c>
      <c r="BK202" s="964" t="str">
        <f t="shared" ref="BK202:BU202" si="307">IF(V202="","-",IFERROR((V202/U202-1)*(U203/U$13),"-"))</f>
        <v>-</v>
      </c>
      <c r="BL202" s="964" t="str">
        <f t="shared" si="307"/>
        <v>-</v>
      </c>
      <c r="BM202" s="964" t="str">
        <f t="shared" si="307"/>
        <v>-</v>
      </c>
      <c r="BN202" s="964" t="str">
        <f t="shared" si="307"/>
        <v>-</v>
      </c>
      <c r="BO202" s="1350" t="str">
        <f t="shared" si="307"/>
        <v>-</v>
      </c>
      <c r="BP202" s="1343" t="str">
        <f t="shared" si="307"/>
        <v>-</v>
      </c>
      <c r="BQ202" s="964" t="str">
        <f t="shared" si="307"/>
        <v>-</v>
      </c>
      <c r="BR202" s="964" t="str">
        <f t="shared" si="307"/>
        <v>-</v>
      </c>
      <c r="BS202" s="964" t="str">
        <f t="shared" si="307"/>
        <v>-</v>
      </c>
      <c r="BT202" s="965" t="str">
        <f t="shared" si="307"/>
        <v>-</v>
      </c>
      <c r="BU202" s="964" t="str">
        <f t="shared" si="307"/>
        <v>-</v>
      </c>
      <c r="BV202" s="964" t="str">
        <f>IF(AG202="","-",IFERROR((AG202/AF202-1)*(AF203/AF$13),"-"))</f>
        <v>-</v>
      </c>
      <c r="BW202" s="964" t="str">
        <f>IF(AH202="","-",IFERROR((AH202/AG202-1)*(AG203/AG$13),"-"))</f>
        <v>-</v>
      </c>
      <c r="BX202" s="964" t="str">
        <f>IF(AI202="","-",IFERROR((AI202/AH202-1)*(AH203/AH$13),"-"))</f>
        <v>-</v>
      </c>
      <c r="BY202" s="966" t="str">
        <f>IF(AJ202="","-",IFERROR((AJ202/AI202-1)*(AI203/AI$13),"-"))</f>
        <v>-</v>
      </c>
      <c r="BZ202" s="951"/>
      <c r="CA202" s="961" t="str">
        <f t="shared" si="268"/>
        <v>Qty</v>
      </c>
      <c r="CB202" s="962" t="str">
        <f t="shared" si="269"/>
        <v>Sewerage</v>
      </c>
      <c r="CC202" s="962" t="str">
        <f t="shared" si="270"/>
        <v>Variable</v>
      </c>
      <c r="CD202" s="967" t="str">
        <f t="shared" si="301"/>
        <v>-</v>
      </c>
      <c r="CE202" s="964" t="str">
        <f t="shared" si="294"/>
        <v>-</v>
      </c>
      <c r="CF202" s="964" t="str">
        <f t="shared" si="295"/>
        <v>-</v>
      </c>
      <c r="CG202" s="965" t="str">
        <f t="shared" si="296"/>
        <v>-</v>
      </c>
      <c r="CH202" s="964" t="str">
        <f t="shared" si="302"/>
        <v>-</v>
      </c>
      <c r="CI202" s="964" t="str">
        <f t="shared" si="297"/>
        <v>-</v>
      </c>
      <c r="CJ202" s="964" t="str">
        <f t="shared" si="298"/>
        <v>-</v>
      </c>
      <c r="CK202" s="966" t="str">
        <f t="shared" si="299"/>
        <v>-</v>
      </c>
    </row>
    <row r="203" spans="4:89" ht="12.75" thickBot="1">
      <c r="E203" s="568" t="s">
        <v>882</v>
      </c>
      <c r="F203" s="560" t="str">
        <f>+F201</f>
        <v>Sewerage</v>
      </c>
      <c r="G203" s="561" t="str">
        <f>+G201</f>
        <v>YVW</v>
      </c>
      <c r="H203" s="561" t="str">
        <f>+H201</f>
        <v>Trade waste - TN/TKN Western</v>
      </c>
      <c r="I203" s="562" t="str">
        <f>+I201</f>
        <v>Variable</v>
      </c>
      <c r="J203" s="563" t="s">
        <v>883</v>
      </c>
      <c r="K203" s="564">
        <f t="shared" ref="K203:AJ203" si="308">K201*K202/10^6</f>
        <v>0</v>
      </c>
      <c r="L203" s="565">
        <f t="shared" si="308"/>
        <v>0</v>
      </c>
      <c r="M203" s="565">
        <f t="shared" si="308"/>
        <v>0</v>
      </c>
      <c r="N203" s="564">
        <f t="shared" si="308"/>
        <v>0</v>
      </c>
      <c r="O203" s="565">
        <f t="shared" si="308"/>
        <v>0</v>
      </c>
      <c r="P203" s="565">
        <f t="shared" si="308"/>
        <v>0</v>
      </c>
      <c r="Q203" s="565">
        <f t="shared" si="308"/>
        <v>0</v>
      </c>
      <c r="R203" s="566">
        <f t="shared" si="308"/>
        <v>0</v>
      </c>
      <c r="S203" s="564">
        <f t="shared" si="308"/>
        <v>0</v>
      </c>
      <c r="T203" s="565">
        <f t="shared" si="308"/>
        <v>0</v>
      </c>
      <c r="U203" s="566">
        <f t="shared" si="308"/>
        <v>0</v>
      </c>
      <c r="V203" s="564">
        <f t="shared" si="308"/>
        <v>0</v>
      </c>
      <c r="W203" s="565">
        <f t="shared" si="308"/>
        <v>0</v>
      </c>
      <c r="X203" s="565">
        <f t="shared" si="308"/>
        <v>0</v>
      </c>
      <c r="Y203" s="565">
        <f t="shared" si="308"/>
        <v>0</v>
      </c>
      <c r="Z203" s="566">
        <f t="shared" si="308"/>
        <v>0</v>
      </c>
      <c r="AA203" s="564">
        <f t="shared" si="308"/>
        <v>0</v>
      </c>
      <c r="AB203" s="565">
        <f t="shared" si="308"/>
        <v>0</v>
      </c>
      <c r="AC203" s="565">
        <f t="shared" si="308"/>
        <v>0</v>
      </c>
      <c r="AD203" s="565">
        <f t="shared" si="308"/>
        <v>0</v>
      </c>
      <c r="AE203" s="566">
        <f t="shared" si="308"/>
        <v>0</v>
      </c>
      <c r="AF203" s="564">
        <f t="shared" si="308"/>
        <v>0</v>
      </c>
      <c r="AG203" s="565">
        <f t="shared" si="308"/>
        <v>0</v>
      </c>
      <c r="AH203" s="565">
        <f t="shared" si="308"/>
        <v>0</v>
      </c>
      <c r="AI203" s="565">
        <f t="shared" si="308"/>
        <v>0</v>
      </c>
      <c r="AJ203" s="566">
        <f t="shared" si="308"/>
        <v>0</v>
      </c>
      <c r="AK203" s="569"/>
      <c r="AL203" s="569"/>
      <c r="AN203" s="857"/>
      <c r="AO203" s="984" t="str">
        <f t="shared" si="272"/>
        <v>Rev</v>
      </c>
      <c r="AP203" s="985" t="str">
        <f t="shared" si="273"/>
        <v>Sewerage</v>
      </c>
      <c r="AQ203" s="986" t="str">
        <f t="shared" si="274"/>
        <v>Variable</v>
      </c>
      <c r="AR203" s="990" t="str">
        <f t="shared" si="275"/>
        <v>-</v>
      </c>
      <c r="AS203" s="987" t="str">
        <f t="shared" si="276"/>
        <v>-</v>
      </c>
      <c r="AT203" s="987" t="str">
        <f t="shared" si="277"/>
        <v>-</v>
      </c>
      <c r="AU203" s="987" t="str">
        <f t="shared" si="278"/>
        <v>-</v>
      </c>
      <c r="AV203" s="1353" t="str">
        <f t="shared" si="279"/>
        <v>-</v>
      </c>
      <c r="AW203" s="1346" t="str">
        <f t="shared" si="280"/>
        <v>-</v>
      </c>
      <c r="AX203" s="987" t="str">
        <f t="shared" si="281"/>
        <v>-</v>
      </c>
      <c r="AY203" s="987" t="str">
        <f t="shared" si="282"/>
        <v>-</v>
      </c>
      <c r="AZ203" s="987" t="str">
        <f t="shared" si="283"/>
        <v>-</v>
      </c>
      <c r="BA203" s="988" t="str">
        <f t="shared" si="284"/>
        <v>-</v>
      </c>
      <c r="BB203" s="1346" t="str">
        <f t="shared" si="285"/>
        <v>-</v>
      </c>
      <c r="BC203" s="987" t="str">
        <f t="shared" si="286"/>
        <v>-</v>
      </c>
      <c r="BD203" s="987" t="str">
        <f t="shared" si="287"/>
        <v>-</v>
      </c>
      <c r="BE203" s="987" t="str">
        <f t="shared" si="288"/>
        <v>-</v>
      </c>
      <c r="BF203" s="989" t="str">
        <f t="shared" si="289"/>
        <v>-</v>
      </c>
      <c r="BG203" s="951"/>
      <c r="BH203" s="1550" t="str">
        <f t="shared" si="290"/>
        <v>Rev</v>
      </c>
      <c r="BI203" s="1551" t="str">
        <f t="shared" si="291"/>
        <v>Sewerage</v>
      </c>
      <c r="BJ203" s="1552" t="str">
        <f t="shared" si="292"/>
        <v>Variable</v>
      </c>
      <c r="BK203" s="987" t="str">
        <f t="shared" ref="BK203:BU203" si="309">IF(V203="","-",IFERROR((V203/U203-1)*(U203/U$13),"-"))</f>
        <v>-</v>
      </c>
      <c r="BL203" s="987" t="str">
        <f t="shared" si="309"/>
        <v>-</v>
      </c>
      <c r="BM203" s="987" t="str">
        <f t="shared" si="309"/>
        <v>-</v>
      </c>
      <c r="BN203" s="987" t="str">
        <f t="shared" si="309"/>
        <v>-</v>
      </c>
      <c r="BO203" s="1353" t="str">
        <f t="shared" si="309"/>
        <v>-</v>
      </c>
      <c r="BP203" s="1346" t="str">
        <f t="shared" si="309"/>
        <v>-</v>
      </c>
      <c r="BQ203" s="987" t="str">
        <f t="shared" si="309"/>
        <v>-</v>
      </c>
      <c r="BR203" s="987" t="str">
        <f t="shared" si="309"/>
        <v>-</v>
      </c>
      <c r="BS203" s="987" t="str">
        <f t="shared" si="309"/>
        <v>-</v>
      </c>
      <c r="BT203" s="988" t="str">
        <f t="shared" si="309"/>
        <v>-</v>
      </c>
      <c r="BU203" s="987" t="str">
        <f t="shared" si="309"/>
        <v>-</v>
      </c>
      <c r="BV203" s="987" t="str">
        <f>IF(AG203="","-",IFERROR((AG203/AF203-1)*(AF203/AF$13),"-"))</f>
        <v>-</v>
      </c>
      <c r="BW203" s="987" t="str">
        <f>IF(AH203="","-",IFERROR((AH203/AG203-1)*(AG203/AG$13),"-"))</f>
        <v>-</v>
      </c>
      <c r="BX203" s="987" t="str">
        <f>IF(AI203="","-",IFERROR((AI203/AH203-1)*(AH203/AH$13),"-"))</f>
        <v>-</v>
      </c>
      <c r="BY203" s="989" t="str">
        <f>IF(AJ203="","-",IFERROR((AJ203/AI203-1)*(AI203/AI$13),"-"))</f>
        <v>-</v>
      </c>
      <c r="BZ203" s="951"/>
      <c r="CA203" s="984" t="str">
        <f t="shared" si="268"/>
        <v>Rev</v>
      </c>
      <c r="CB203" s="985" t="str">
        <f t="shared" si="269"/>
        <v>Sewerage</v>
      </c>
      <c r="CC203" s="985" t="str">
        <f t="shared" si="270"/>
        <v>Variable</v>
      </c>
      <c r="CD203" s="990" t="str">
        <f t="shared" si="301"/>
        <v>-</v>
      </c>
      <c r="CE203" s="987" t="str">
        <f t="shared" si="294"/>
        <v>-</v>
      </c>
      <c r="CF203" s="987" t="str">
        <f t="shared" si="295"/>
        <v>-</v>
      </c>
      <c r="CG203" s="988" t="str">
        <f t="shared" si="296"/>
        <v>-</v>
      </c>
      <c r="CH203" s="987" t="str">
        <f t="shared" si="302"/>
        <v>-</v>
      </c>
      <c r="CI203" s="987" t="str">
        <f t="shared" si="297"/>
        <v>-</v>
      </c>
      <c r="CJ203" s="987" t="str">
        <f t="shared" si="298"/>
        <v>-</v>
      </c>
      <c r="CK203" s="989" t="str">
        <f t="shared" si="299"/>
        <v>-</v>
      </c>
    </row>
    <row r="204" spans="4:89">
      <c r="D204" s="63">
        <f>D201+1</f>
        <v>46</v>
      </c>
      <c r="E204" s="550" t="s">
        <v>857</v>
      </c>
      <c r="F204" s="595" t="s">
        <v>402</v>
      </c>
      <c r="G204" s="595" t="s">
        <v>92</v>
      </c>
      <c r="H204" s="595" t="s">
        <v>901</v>
      </c>
      <c r="I204" s="589" t="s">
        <v>843</v>
      </c>
      <c r="J204" s="589" t="s">
        <v>879</v>
      </c>
      <c r="K204" s="551"/>
      <c r="L204" s="552"/>
      <c r="M204" s="552"/>
      <c r="N204" s="551"/>
      <c r="O204" s="552"/>
      <c r="P204" s="552"/>
      <c r="Q204" s="552"/>
      <c r="R204" s="1035"/>
      <c r="S204" s="1138"/>
      <c r="T204" s="591"/>
      <c r="U204" s="1035"/>
      <c r="V204" s="1138"/>
      <c r="W204" s="591"/>
      <c r="X204" s="591"/>
      <c r="Y204" s="591"/>
      <c r="Z204" s="1035"/>
      <c r="AA204" s="1138"/>
      <c r="AB204" s="591"/>
      <c r="AC204" s="591"/>
      <c r="AD204" s="591"/>
      <c r="AE204" s="1035"/>
      <c r="AF204" s="1138"/>
      <c r="AG204" s="591"/>
      <c r="AH204" s="591"/>
      <c r="AI204" s="591"/>
      <c r="AJ204" s="1035"/>
      <c r="AK204" s="569"/>
      <c r="AL204" s="569"/>
      <c r="AM204" s="974"/>
      <c r="AN204" s="857"/>
      <c r="AO204" s="975" t="str">
        <f t="shared" si="272"/>
        <v>Price</v>
      </c>
      <c r="AP204" s="976" t="str">
        <f t="shared" si="273"/>
        <v>Sewerage</v>
      </c>
      <c r="AQ204" s="977" t="str">
        <f t="shared" si="274"/>
        <v>Variable</v>
      </c>
      <c r="AR204" s="1341" t="str">
        <f t="shared" si="275"/>
        <v>-</v>
      </c>
      <c r="AS204" s="978" t="str">
        <f t="shared" si="276"/>
        <v>-</v>
      </c>
      <c r="AT204" s="979" t="str">
        <f t="shared" si="277"/>
        <v>-</v>
      </c>
      <c r="AU204" s="979" t="str">
        <f t="shared" si="278"/>
        <v>-</v>
      </c>
      <c r="AV204" s="1352" t="str">
        <f t="shared" si="279"/>
        <v>-</v>
      </c>
      <c r="AW204" s="1345" t="str">
        <f t="shared" si="280"/>
        <v>-</v>
      </c>
      <c r="AX204" s="979" t="str">
        <f t="shared" si="281"/>
        <v>-</v>
      </c>
      <c r="AY204" s="979" t="str">
        <f t="shared" si="282"/>
        <v>-</v>
      </c>
      <c r="AZ204" s="979" t="str">
        <f t="shared" si="283"/>
        <v>-</v>
      </c>
      <c r="BA204" s="980" t="str">
        <f t="shared" si="284"/>
        <v>-</v>
      </c>
      <c r="BB204" s="1345" t="str">
        <f t="shared" si="285"/>
        <v>-</v>
      </c>
      <c r="BC204" s="979" t="str">
        <f t="shared" si="286"/>
        <v>-</v>
      </c>
      <c r="BD204" s="979" t="str">
        <f t="shared" si="287"/>
        <v>-</v>
      </c>
      <c r="BE204" s="979" t="str">
        <f t="shared" si="288"/>
        <v>-</v>
      </c>
      <c r="BF204" s="981" t="str">
        <f t="shared" si="289"/>
        <v>-</v>
      </c>
      <c r="BG204" s="951"/>
      <c r="BH204" s="1547" t="str">
        <f t="shared" si="290"/>
        <v>Price</v>
      </c>
      <c r="BI204" s="1548" t="str">
        <f t="shared" si="291"/>
        <v>Sewerage</v>
      </c>
      <c r="BJ204" s="1549" t="str">
        <f t="shared" si="292"/>
        <v>Variable</v>
      </c>
      <c r="BK204" s="978" t="str">
        <f t="shared" ref="BK204:BU204" si="310">IF(V204="","-",IFERROR((V204/U204-1)*(U206/U$13),"-"))</f>
        <v>-</v>
      </c>
      <c r="BL204" s="978" t="str">
        <f t="shared" si="310"/>
        <v>-</v>
      </c>
      <c r="BM204" s="979" t="str">
        <f t="shared" si="310"/>
        <v>-</v>
      </c>
      <c r="BN204" s="979" t="str">
        <f t="shared" si="310"/>
        <v>-</v>
      </c>
      <c r="BO204" s="1352" t="str">
        <f t="shared" si="310"/>
        <v>-</v>
      </c>
      <c r="BP204" s="1345" t="str">
        <f t="shared" si="310"/>
        <v>-</v>
      </c>
      <c r="BQ204" s="979" t="str">
        <f t="shared" si="310"/>
        <v>-</v>
      </c>
      <c r="BR204" s="979" t="str">
        <f t="shared" si="310"/>
        <v>-</v>
      </c>
      <c r="BS204" s="979" t="str">
        <f t="shared" si="310"/>
        <v>-</v>
      </c>
      <c r="BT204" s="980" t="str">
        <f t="shared" si="310"/>
        <v>-</v>
      </c>
      <c r="BU204" s="979" t="str">
        <f t="shared" si="310"/>
        <v>-</v>
      </c>
      <c r="BV204" s="979" t="str">
        <f>IF(AG204="","-",IFERROR((AG204/AF204-1)*(AF206/AF$13),"-"))</f>
        <v>-</v>
      </c>
      <c r="BW204" s="979" t="str">
        <f>IF(AH204="","-",IFERROR((AH204/AG204-1)*(AG206/AG$13),"-"))</f>
        <v>-</v>
      </c>
      <c r="BX204" s="979" t="str">
        <f>IF(AI204="","-",IFERROR((AI204/AH204-1)*(AH206/AH$13),"-"))</f>
        <v>-</v>
      </c>
      <c r="BY204" s="981" t="str">
        <f>IF(AJ204="","-",IFERROR((AJ204/AI204-1)*(AI206/AI$13),"-"))</f>
        <v>-</v>
      </c>
      <c r="BZ204" s="951"/>
      <c r="CA204" s="975" t="str">
        <f t="shared" si="268"/>
        <v>Price</v>
      </c>
      <c r="CB204" s="976" t="str">
        <f t="shared" si="269"/>
        <v>Sewerage</v>
      </c>
      <c r="CC204" s="982" t="str">
        <f t="shared" si="270"/>
        <v>Variable</v>
      </c>
      <c r="CD204" s="983" t="str">
        <f t="shared" si="301"/>
        <v>-</v>
      </c>
      <c r="CE204" s="979" t="str">
        <f t="shared" si="294"/>
        <v>-</v>
      </c>
      <c r="CF204" s="979" t="str">
        <f t="shared" si="295"/>
        <v>-</v>
      </c>
      <c r="CG204" s="980" t="str">
        <f t="shared" si="296"/>
        <v>-</v>
      </c>
      <c r="CH204" s="979" t="str">
        <f t="shared" si="302"/>
        <v>-</v>
      </c>
      <c r="CI204" s="979" t="str">
        <f t="shared" si="297"/>
        <v>-</v>
      </c>
      <c r="CJ204" s="979" t="str">
        <f t="shared" si="298"/>
        <v>-</v>
      </c>
      <c r="CK204" s="981" t="str">
        <f t="shared" si="299"/>
        <v>-</v>
      </c>
    </row>
    <row r="205" spans="4:89">
      <c r="E205" s="567" t="s">
        <v>880</v>
      </c>
      <c r="F205" s="554" t="str">
        <f>+F204</f>
        <v>Sewerage</v>
      </c>
      <c r="G205" s="555" t="str">
        <f>+G204</f>
        <v>SEW</v>
      </c>
      <c r="H205" s="555" t="str">
        <f>+H204</f>
        <v>Trade waste - TN/TKN Eastern</v>
      </c>
      <c r="I205" s="556" t="str">
        <f>+I204</f>
        <v>Variable</v>
      </c>
      <c r="J205" s="590" t="s">
        <v>896</v>
      </c>
      <c r="K205" s="557"/>
      <c r="L205" s="558"/>
      <c r="M205" s="558"/>
      <c r="N205" s="557"/>
      <c r="O205" s="558"/>
      <c r="P205" s="558"/>
      <c r="Q205" s="558"/>
      <c r="R205" s="1036"/>
      <c r="S205" s="1139"/>
      <c r="T205" s="593"/>
      <c r="U205" s="1036"/>
      <c r="V205" s="1139"/>
      <c r="W205" s="593"/>
      <c r="X205" s="593"/>
      <c r="Y205" s="593"/>
      <c r="Z205" s="1036"/>
      <c r="AA205" s="1139"/>
      <c r="AB205" s="593"/>
      <c r="AC205" s="593"/>
      <c r="AD205" s="593"/>
      <c r="AE205" s="1036"/>
      <c r="AF205" s="1139"/>
      <c r="AG205" s="593"/>
      <c r="AH205" s="593"/>
      <c r="AI205" s="593"/>
      <c r="AJ205" s="1036"/>
      <c r="AK205" s="569"/>
      <c r="AL205" s="569"/>
      <c r="AN205" s="857"/>
      <c r="AO205" s="961" t="str">
        <f t="shared" si="272"/>
        <v>Qty</v>
      </c>
      <c r="AP205" s="962" t="str">
        <f t="shared" si="273"/>
        <v>Sewerage</v>
      </c>
      <c r="AQ205" s="963" t="str">
        <f t="shared" si="274"/>
        <v>Variable</v>
      </c>
      <c r="AR205" s="967" t="str">
        <f t="shared" si="275"/>
        <v>-</v>
      </c>
      <c r="AS205" s="964" t="str">
        <f t="shared" si="276"/>
        <v>-</v>
      </c>
      <c r="AT205" s="964" t="str">
        <f t="shared" si="277"/>
        <v>-</v>
      </c>
      <c r="AU205" s="964" t="str">
        <f t="shared" si="278"/>
        <v>-</v>
      </c>
      <c r="AV205" s="1350" t="str">
        <f t="shared" si="279"/>
        <v>-</v>
      </c>
      <c r="AW205" s="1343" t="str">
        <f t="shared" si="280"/>
        <v>-</v>
      </c>
      <c r="AX205" s="964" t="str">
        <f t="shared" si="281"/>
        <v>-</v>
      </c>
      <c r="AY205" s="964" t="str">
        <f t="shared" si="282"/>
        <v>-</v>
      </c>
      <c r="AZ205" s="964" t="str">
        <f t="shared" si="283"/>
        <v>-</v>
      </c>
      <c r="BA205" s="965" t="str">
        <f t="shared" si="284"/>
        <v>-</v>
      </c>
      <c r="BB205" s="1343" t="str">
        <f t="shared" si="285"/>
        <v>-</v>
      </c>
      <c r="BC205" s="964" t="str">
        <f t="shared" si="286"/>
        <v>-</v>
      </c>
      <c r="BD205" s="964" t="str">
        <f t="shared" si="287"/>
        <v>-</v>
      </c>
      <c r="BE205" s="964" t="str">
        <f t="shared" si="288"/>
        <v>-</v>
      </c>
      <c r="BF205" s="966" t="str">
        <f t="shared" si="289"/>
        <v>-</v>
      </c>
      <c r="BG205" s="951"/>
      <c r="BH205" s="1541" t="str">
        <f t="shared" si="290"/>
        <v>Qty</v>
      </c>
      <c r="BI205" s="1542" t="str">
        <f t="shared" si="291"/>
        <v>Sewerage</v>
      </c>
      <c r="BJ205" s="1543" t="str">
        <f t="shared" si="292"/>
        <v>Variable</v>
      </c>
      <c r="BK205" s="964" t="str">
        <f t="shared" ref="BK205:BU205" si="311">IF(V205="","-",IFERROR((V205/U205-1)*(U206/U$13),"-"))</f>
        <v>-</v>
      </c>
      <c r="BL205" s="964" t="str">
        <f t="shared" si="311"/>
        <v>-</v>
      </c>
      <c r="BM205" s="964" t="str">
        <f t="shared" si="311"/>
        <v>-</v>
      </c>
      <c r="BN205" s="964" t="str">
        <f t="shared" si="311"/>
        <v>-</v>
      </c>
      <c r="BO205" s="1350" t="str">
        <f t="shared" si="311"/>
        <v>-</v>
      </c>
      <c r="BP205" s="1343" t="str">
        <f t="shared" si="311"/>
        <v>-</v>
      </c>
      <c r="BQ205" s="964" t="str">
        <f t="shared" si="311"/>
        <v>-</v>
      </c>
      <c r="BR205" s="964" t="str">
        <f t="shared" si="311"/>
        <v>-</v>
      </c>
      <c r="BS205" s="964" t="str">
        <f t="shared" si="311"/>
        <v>-</v>
      </c>
      <c r="BT205" s="965" t="str">
        <f t="shared" si="311"/>
        <v>-</v>
      </c>
      <c r="BU205" s="964" t="str">
        <f t="shared" si="311"/>
        <v>-</v>
      </c>
      <c r="BV205" s="964" t="str">
        <f>IF(AG205="","-",IFERROR((AG205/AF205-1)*(AF206/AF$13),"-"))</f>
        <v>-</v>
      </c>
      <c r="BW205" s="964" t="str">
        <f>IF(AH205="","-",IFERROR((AH205/AG205-1)*(AG206/AG$13),"-"))</f>
        <v>-</v>
      </c>
      <c r="BX205" s="964" t="str">
        <f>IF(AI205="","-",IFERROR((AI205/AH205-1)*(AH206/AH$13),"-"))</f>
        <v>-</v>
      </c>
      <c r="BY205" s="966" t="str">
        <f>IF(AJ205="","-",IFERROR((AJ205/AI205-1)*(AI206/AI$13),"-"))</f>
        <v>-</v>
      </c>
      <c r="BZ205" s="951"/>
      <c r="CA205" s="961" t="str">
        <f t="shared" si="268"/>
        <v>Qty</v>
      </c>
      <c r="CB205" s="962" t="str">
        <f t="shared" si="269"/>
        <v>Sewerage</v>
      </c>
      <c r="CC205" s="962" t="str">
        <f t="shared" si="270"/>
        <v>Variable</v>
      </c>
      <c r="CD205" s="967" t="str">
        <f t="shared" si="301"/>
        <v>-</v>
      </c>
      <c r="CE205" s="964" t="str">
        <f t="shared" si="294"/>
        <v>-</v>
      </c>
      <c r="CF205" s="964" t="str">
        <f t="shared" si="295"/>
        <v>-</v>
      </c>
      <c r="CG205" s="965" t="str">
        <f t="shared" si="296"/>
        <v>-</v>
      </c>
      <c r="CH205" s="964" t="str">
        <f t="shared" si="302"/>
        <v>-</v>
      </c>
      <c r="CI205" s="964" t="str">
        <f t="shared" si="297"/>
        <v>-</v>
      </c>
      <c r="CJ205" s="964" t="str">
        <f t="shared" si="298"/>
        <v>-</v>
      </c>
      <c r="CK205" s="966" t="str">
        <f t="shared" si="299"/>
        <v>-</v>
      </c>
    </row>
    <row r="206" spans="4:89" ht="12.75" thickBot="1">
      <c r="E206" s="568" t="s">
        <v>882</v>
      </c>
      <c r="F206" s="560" t="str">
        <f>+F204</f>
        <v>Sewerage</v>
      </c>
      <c r="G206" s="561" t="str">
        <f>+G204</f>
        <v>SEW</v>
      </c>
      <c r="H206" s="561" t="str">
        <f>+H204</f>
        <v>Trade waste - TN/TKN Eastern</v>
      </c>
      <c r="I206" s="562" t="str">
        <f>+I204</f>
        <v>Variable</v>
      </c>
      <c r="J206" s="563" t="s">
        <v>883</v>
      </c>
      <c r="K206" s="564">
        <f t="shared" ref="K206:AJ206" si="312">K204*K205/10^6</f>
        <v>0</v>
      </c>
      <c r="L206" s="565">
        <f t="shared" si="312"/>
        <v>0</v>
      </c>
      <c r="M206" s="565">
        <f t="shared" si="312"/>
        <v>0</v>
      </c>
      <c r="N206" s="564">
        <f t="shared" si="312"/>
        <v>0</v>
      </c>
      <c r="O206" s="565">
        <f t="shared" si="312"/>
        <v>0</v>
      </c>
      <c r="P206" s="565">
        <f t="shared" si="312"/>
        <v>0</v>
      </c>
      <c r="Q206" s="565">
        <f t="shared" si="312"/>
        <v>0</v>
      </c>
      <c r="R206" s="566">
        <f t="shared" si="312"/>
        <v>0</v>
      </c>
      <c r="S206" s="564">
        <f t="shared" si="312"/>
        <v>0</v>
      </c>
      <c r="T206" s="565">
        <f t="shared" si="312"/>
        <v>0</v>
      </c>
      <c r="U206" s="566">
        <f t="shared" si="312"/>
        <v>0</v>
      </c>
      <c r="V206" s="564">
        <f t="shared" si="312"/>
        <v>0</v>
      </c>
      <c r="W206" s="565">
        <f t="shared" si="312"/>
        <v>0</v>
      </c>
      <c r="X206" s="565">
        <f t="shared" si="312"/>
        <v>0</v>
      </c>
      <c r="Y206" s="565">
        <f t="shared" si="312"/>
        <v>0</v>
      </c>
      <c r="Z206" s="566">
        <f t="shared" si="312"/>
        <v>0</v>
      </c>
      <c r="AA206" s="564">
        <f t="shared" si="312"/>
        <v>0</v>
      </c>
      <c r="AB206" s="565">
        <f t="shared" si="312"/>
        <v>0</v>
      </c>
      <c r="AC206" s="565">
        <f t="shared" si="312"/>
        <v>0</v>
      </c>
      <c r="AD206" s="565">
        <f t="shared" si="312"/>
        <v>0</v>
      </c>
      <c r="AE206" s="566">
        <f t="shared" si="312"/>
        <v>0</v>
      </c>
      <c r="AF206" s="564">
        <f t="shared" si="312"/>
        <v>0</v>
      </c>
      <c r="AG206" s="565">
        <f t="shared" si="312"/>
        <v>0</v>
      </c>
      <c r="AH206" s="565">
        <f t="shared" si="312"/>
        <v>0</v>
      </c>
      <c r="AI206" s="565">
        <f t="shared" si="312"/>
        <v>0</v>
      </c>
      <c r="AJ206" s="566">
        <f t="shared" si="312"/>
        <v>0</v>
      </c>
      <c r="AK206" s="569"/>
      <c r="AL206" s="569"/>
      <c r="AN206" s="857"/>
      <c r="AO206" s="984" t="str">
        <f t="shared" si="272"/>
        <v>Rev</v>
      </c>
      <c r="AP206" s="985" t="str">
        <f t="shared" si="273"/>
        <v>Sewerage</v>
      </c>
      <c r="AQ206" s="986" t="str">
        <f t="shared" si="274"/>
        <v>Variable</v>
      </c>
      <c r="AR206" s="990" t="str">
        <f t="shared" si="275"/>
        <v>-</v>
      </c>
      <c r="AS206" s="987" t="str">
        <f t="shared" si="276"/>
        <v>-</v>
      </c>
      <c r="AT206" s="987" t="str">
        <f t="shared" si="277"/>
        <v>-</v>
      </c>
      <c r="AU206" s="987" t="str">
        <f t="shared" si="278"/>
        <v>-</v>
      </c>
      <c r="AV206" s="1353" t="str">
        <f t="shared" si="279"/>
        <v>-</v>
      </c>
      <c r="AW206" s="1346" t="str">
        <f t="shared" si="280"/>
        <v>-</v>
      </c>
      <c r="AX206" s="987" t="str">
        <f t="shared" si="281"/>
        <v>-</v>
      </c>
      <c r="AY206" s="987" t="str">
        <f t="shared" si="282"/>
        <v>-</v>
      </c>
      <c r="AZ206" s="987" t="str">
        <f t="shared" si="283"/>
        <v>-</v>
      </c>
      <c r="BA206" s="988" t="str">
        <f t="shared" si="284"/>
        <v>-</v>
      </c>
      <c r="BB206" s="1346" t="str">
        <f t="shared" si="285"/>
        <v>-</v>
      </c>
      <c r="BC206" s="987" t="str">
        <f t="shared" si="286"/>
        <v>-</v>
      </c>
      <c r="BD206" s="987" t="str">
        <f t="shared" si="287"/>
        <v>-</v>
      </c>
      <c r="BE206" s="987" t="str">
        <f t="shared" si="288"/>
        <v>-</v>
      </c>
      <c r="BF206" s="989" t="str">
        <f t="shared" si="289"/>
        <v>-</v>
      </c>
      <c r="BG206" s="951"/>
      <c r="BH206" s="1550" t="str">
        <f t="shared" si="290"/>
        <v>Rev</v>
      </c>
      <c r="BI206" s="1551" t="str">
        <f t="shared" si="291"/>
        <v>Sewerage</v>
      </c>
      <c r="BJ206" s="1552" t="str">
        <f t="shared" si="292"/>
        <v>Variable</v>
      </c>
      <c r="BK206" s="987" t="str">
        <f t="shared" ref="BK206:BU206" si="313">IF(V206="","-",IFERROR((V206/U206-1)*(U206/U$13),"-"))</f>
        <v>-</v>
      </c>
      <c r="BL206" s="987" t="str">
        <f t="shared" si="313"/>
        <v>-</v>
      </c>
      <c r="BM206" s="987" t="str">
        <f t="shared" si="313"/>
        <v>-</v>
      </c>
      <c r="BN206" s="987" t="str">
        <f t="shared" si="313"/>
        <v>-</v>
      </c>
      <c r="BO206" s="1353" t="str">
        <f t="shared" si="313"/>
        <v>-</v>
      </c>
      <c r="BP206" s="1346" t="str">
        <f t="shared" si="313"/>
        <v>-</v>
      </c>
      <c r="BQ206" s="987" t="str">
        <f t="shared" si="313"/>
        <v>-</v>
      </c>
      <c r="BR206" s="987" t="str">
        <f t="shared" si="313"/>
        <v>-</v>
      </c>
      <c r="BS206" s="987" t="str">
        <f t="shared" si="313"/>
        <v>-</v>
      </c>
      <c r="BT206" s="988" t="str">
        <f t="shared" si="313"/>
        <v>-</v>
      </c>
      <c r="BU206" s="987" t="str">
        <f t="shared" si="313"/>
        <v>-</v>
      </c>
      <c r="BV206" s="987" t="str">
        <f>IF(AG206="","-",IFERROR((AG206/AF206-1)*(AF206/AF$13),"-"))</f>
        <v>-</v>
      </c>
      <c r="BW206" s="987" t="str">
        <f>IF(AH206="","-",IFERROR((AH206/AG206-1)*(AG206/AG$13),"-"))</f>
        <v>-</v>
      </c>
      <c r="BX206" s="987" t="str">
        <f>IF(AI206="","-",IFERROR((AI206/AH206-1)*(AH206/AH$13),"-"))</f>
        <v>-</v>
      </c>
      <c r="BY206" s="989" t="str">
        <f>IF(AJ206="","-",IFERROR((AJ206/AI206-1)*(AI206/AI$13),"-"))</f>
        <v>-</v>
      </c>
      <c r="BZ206" s="951"/>
      <c r="CA206" s="984" t="str">
        <f t="shared" si="268"/>
        <v>Rev</v>
      </c>
      <c r="CB206" s="985" t="str">
        <f t="shared" si="269"/>
        <v>Sewerage</v>
      </c>
      <c r="CC206" s="985" t="str">
        <f t="shared" si="270"/>
        <v>Variable</v>
      </c>
      <c r="CD206" s="990" t="str">
        <f t="shared" si="301"/>
        <v>-</v>
      </c>
      <c r="CE206" s="987" t="str">
        <f t="shared" si="294"/>
        <v>-</v>
      </c>
      <c r="CF206" s="987" t="str">
        <f t="shared" si="295"/>
        <v>-</v>
      </c>
      <c r="CG206" s="988" t="str">
        <f t="shared" si="296"/>
        <v>-</v>
      </c>
      <c r="CH206" s="987" t="str">
        <f t="shared" si="302"/>
        <v>-</v>
      </c>
      <c r="CI206" s="987" t="str">
        <f t="shared" si="297"/>
        <v>-</v>
      </c>
      <c r="CJ206" s="987" t="str">
        <f t="shared" si="298"/>
        <v>-</v>
      </c>
      <c r="CK206" s="989" t="str">
        <f t="shared" si="299"/>
        <v>-</v>
      </c>
    </row>
    <row r="207" spans="4:89">
      <c r="D207" s="63">
        <f>D204+1</f>
        <v>47</v>
      </c>
      <c r="E207" s="550" t="s">
        <v>857</v>
      </c>
      <c r="F207" s="595" t="s">
        <v>402</v>
      </c>
      <c r="G207" s="595" t="s">
        <v>103</v>
      </c>
      <c r="H207" s="595" t="s">
        <v>901</v>
      </c>
      <c r="I207" s="589" t="s">
        <v>843</v>
      </c>
      <c r="J207" s="589" t="s">
        <v>879</v>
      </c>
      <c r="K207" s="551"/>
      <c r="L207" s="552"/>
      <c r="M207" s="552"/>
      <c r="N207" s="551"/>
      <c r="O207" s="552"/>
      <c r="P207" s="552"/>
      <c r="Q207" s="552"/>
      <c r="R207" s="1035"/>
      <c r="S207" s="1138"/>
      <c r="T207" s="591"/>
      <c r="U207" s="1035"/>
      <c r="V207" s="1138"/>
      <c r="W207" s="591"/>
      <c r="X207" s="591"/>
      <c r="Y207" s="591"/>
      <c r="Z207" s="1035"/>
      <c r="AA207" s="1138"/>
      <c r="AB207" s="591"/>
      <c r="AC207" s="591"/>
      <c r="AD207" s="591"/>
      <c r="AE207" s="1035"/>
      <c r="AF207" s="1138"/>
      <c r="AG207" s="591"/>
      <c r="AH207" s="591"/>
      <c r="AI207" s="591"/>
      <c r="AJ207" s="1035"/>
      <c r="AK207" s="569"/>
      <c r="AL207" s="569"/>
      <c r="AM207" s="974"/>
      <c r="AN207" s="857"/>
      <c r="AO207" s="975" t="str">
        <f t="shared" si="272"/>
        <v>Price</v>
      </c>
      <c r="AP207" s="976" t="str">
        <f t="shared" si="273"/>
        <v>Sewerage</v>
      </c>
      <c r="AQ207" s="977" t="str">
        <f t="shared" si="274"/>
        <v>Variable</v>
      </c>
      <c r="AR207" s="1341" t="str">
        <f t="shared" si="275"/>
        <v>-</v>
      </c>
      <c r="AS207" s="978" t="str">
        <f t="shared" si="276"/>
        <v>-</v>
      </c>
      <c r="AT207" s="979" t="str">
        <f t="shared" si="277"/>
        <v>-</v>
      </c>
      <c r="AU207" s="979" t="str">
        <f t="shared" si="278"/>
        <v>-</v>
      </c>
      <c r="AV207" s="1352" t="str">
        <f t="shared" si="279"/>
        <v>-</v>
      </c>
      <c r="AW207" s="1345" t="str">
        <f t="shared" si="280"/>
        <v>-</v>
      </c>
      <c r="AX207" s="979" t="str">
        <f t="shared" si="281"/>
        <v>-</v>
      </c>
      <c r="AY207" s="979" t="str">
        <f t="shared" si="282"/>
        <v>-</v>
      </c>
      <c r="AZ207" s="979" t="str">
        <f t="shared" si="283"/>
        <v>-</v>
      </c>
      <c r="BA207" s="980" t="str">
        <f t="shared" si="284"/>
        <v>-</v>
      </c>
      <c r="BB207" s="1345" t="str">
        <f t="shared" si="285"/>
        <v>-</v>
      </c>
      <c r="BC207" s="979" t="str">
        <f t="shared" si="286"/>
        <v>-</v>
      </c>
      <c r="BD207" s="979" t="str">
        <f t="shared" si="287"/>
        <v>-</v>
      </c>
      <c r="BE207" s="979" t="str">
        <f t="shared" si="288"/>
        <v>-</v>
      </c>
      <c r="BF207" s="981" t="str">
        <f t="shared" si="289"/>
        <v>-</v>
      </c>
      <c r="BG207" s="951"/>
      <c r="BH207" s="1547" t="str">
        <f t="shared" si="290"/>
        <v>Price</v>
      </c>
      <c r="BI207" s="1548" t="str">
        <f t="shared" si="291"/>
        <v>Sewerage</v>
      </c>
      <c r="BJ207" s="1549" t="str">
        <f t="shared" si="292"/>
        <v>Variable</v>
      </c>
      <c r="BK207" s="978" t="str">
        <f t="shared" ref="BK207:BU207" si="314">IF(V207="","-",IFERROR((V207/U207-1)*(U209/U$13),"-"))</f>
        <v>-</v>
      </c>
      <c r="BL207" s="978" t="str">
        <f t="shared" si="314"/>
        <v>-</v>
      </c>
      <c r="BM207" s="979" t="str">
        <f t="shared" si="314"/>
        <v>-</v>
      </c>
      <c r="BN207" s="979" t="str">
        <f t="shared" si="314"/>
        <v>-</v>
      </c>
      <c r="BO207" s="1352" t="str">
        <f t="shared" si="314"/>
        <v>-</v>
      </c>
      <c r="BP207" s="1345" t="str">
        <f t="shared" si="314"/>
        <v>-</v>
      </c>
      <c r="BQ207" s="979" t="str">
        <f t="shared" si="314"/>
        <v>-</v>
      </c>
      <c r="BR207" s="979" t="str">
        <f t="shared" si="314"/>
        <v>-</v>
      </c>
      <c r="BS207" s="979" t="str">
        <f t="shared" si="314"/>
        <v>-</v>
      </c>
      <c r="BT207" s="980" t="str">
        <f t="shared" si="314"/>
        <v>-</v>
      </c>
      <c r="BU207" s="979" t="str">
        <f t="shared" si="314"/>
        <v>-</v>
      </c>
      <c r="BV207" s="979" t="str">
        <f>IF(AG207="","-",IFERROR((AG207/AF207-1)*(AF209/AF$13),"-"))</f>
        <v>-</v>
      </c>
      <c r="BW207" s="979" t="str">
        <f>IF(AH207="","-",IFERROR((AH207/AG207-1)*(AG209/AG$13),"-"))</f>
        <v>-</v>
      </c>
      <c r="BX207" s="979" t="str">
        <f>IF(AI207="","-",IFERROR((AI207/AH207-1)*(AH209/AH$13),"-"))</f>
        <v>-</v>
      </c>
      <c r="BY207" s="981" t="str">
        <f>IF(AJ207="","-",IFERROR((AJ207/AI207-1)*(AI209/AI$13),"-"))</f>
        <v>-</v>
      </c>
      <c r="BZ207" s="951"/>
      <c r="CA207" s="975" t="str">
        <f t="shared" si="268"/>
        <v>Price</v>
      </c>
      <c r="CB207" s="976" t="str">
        <f t="shared" si="269"/>
        <v>Sewerage</v>
      </c>
      <c r="CC207" s="982" t="str">
        <f t="shared" si="270"/>
        <v>Variable</v>
      </c>
      <c r="CD207" s="983" t="str">
        <f t="shared" si="301"/>
        <v>-</v>
      </c>
      <c r="CE207" s="979" t="str">
        <f t="shared" si="294"/>
        <v>-</v>
      </c>
      <c r="CF207" s="979" t="str">
        <f t="shared" si="295"/>
        <v>-</v>
      </c>
      <c r="CG207" s="980" t="str">
        <f t="shared" si="296"/>
        <v>-</v>
      </c>
      <c r="CH207" s="979" t="str">
        <f t="shared" si="302"/>
        <v>-</v>
      </c>
      <c r="CI207" s="979" t="str">
        <f t="shared" si="297"/>
        <v>-</v>
      </c>
      <c r="CJ207" s="979" t="str">
        <f t="shared" si="298"/>
        <v>-</v>
      </c>
      <c r="CK207" s="981" t="str">
        <f t="shared" si="299"/>
        <v>-</v>
      </c>
    </row>
    <row r="208" spans="4:89">
      <c r="E208" s="567" t="s">
        <v>880</v>
      </c>
      <c r="F208" s="554" t="str">
        <f>+F207</f>
        <v>Sewerage</v>
      </c>
      <c r="G208" s="555" t="str">
        <f>+G207</f>
        <v>YVW</v>
      </c>
      <c r="H208" s="555" t="str">
        <f>+H207</f>
        <v>Trade waste - TN/TKN Eastern</v>
      </c>
      <c r="I208" s="556" t="str">
        <f>+I207</f>
        <v>Variable</v>
      </c>
      <c r="J208" s="590" t="s">
        <v>896</v>
      </c>
      <c r="K208" s="557"/>
      <c r="L208" s="558"/>
      <c r="M208" s="558"/>
      <c r="N208" s="557"/>
      <c r="O208" s="558"/>
      <c r="P208" s="558"/>
      <c r="Q208" s="558"/>
      <c r="R208" s="1036"/>
      <c r="S208" s="1139"/>
      <c r="T208" s="593"/>
      <c r="U208" s="1036"/>
      <c r="V208" s="1139"/>
      <c r="W208" s="593"/>
      <c r="X208" s="593"/>
      <c r="Y208" s="593"/>
      <c r="Z208" s="1036"/>
      <c r="AA208" s="1139"/>
      <c r="AB208" s="593"/>
      <c r="AC208" s="593"/>
      <c r="AD208" s="593"/>
      <c r="AE208" s="1036"/>
      <c r="AF208" s="1139"/>
      <c r="AG208" s="593"/>
      <c r="AH208" s="593"/>
      <c r="AI208" s="593"/>
      <c r="AJ208" s="1036"/>
      <c r="AK208" s="569"/>
      <c r="AL208" s="569"/>
      <c r="AN208" s="857"/>
      <c r="AO208" s="961" t="str">
        <f t="shared" si="272"/>
        <v>Qty</v>
      </c>
      <c r="AP208" s="962" t="str">
        <f t="shared" si="273"/>
        <v>Sewerage</v>
      </c>
      <c r="AQ208" s="963" t="str">
        <f t="shared" si="274"/>
        <v>Variable</v>
      </c>
      <c r="AR208" s="967" t="str">
        <f t="shared" si="275"/>
        <v>-</v>
      </c>
      <c r="AS208" s="964" t="str">
        <f t="shared" si="276"/>
        <v>-</v>
      </c>
      <c r="AT208" s="964" t="str">
        <f t="shared" si="277"/>
        <v>-</v>
      </c>
      <c r="AU208" s="964" t="str">
        <f t="shared" si="278"/>
        <v>-</v>
      </c>
      <c r="AV208" s="1350" t="str">
        <f t="shared" si="279"/>
        <v>-</v>
      </c>
      <c r="AW208" s="1343" t="str">
        <f t="shared" si="280"/>
        <v>-</v>
      </c>
      <c r="AX208" s="964" t="str">
        <f t="shared" si="281"/>
        <v>-</v>
      </c>
      <c r="AY208" s="964" t="str">
        <f t="shared" si="282"/>
        <v>-</v>
      </c>
      <c r="AZ208" s="964" t="str">
        <f t="shared" si="283"/>
        <v>-</v>
      </c>
      <c r="BA208" s="965" t="str">
        <f t="shared" si="284"/>
        <v>-</v>
      </c>
      <c r="BB208" s="1343" t="str">
        <f t="shared" si="285"/>
        <v>-</v>
      </c>
      <c r="BC208" s="964" t="str">
        <f t="shared" si="286"/>
        <v>-</v>
      </c>
      <c r="BD208" s="964" t="str">
        <f t="shared" si="287"/>
        <v>-</v>
      </c>
      <c r="BE208" s="964" t="str">
        <f t="shared" si="288"/>
        <v>-</v>
      </c>
      <c r="BF208" s="966" t="str">
        <f t="shared" si="289"/>
        <v>-</v>
      </c>
      <c r="BG208" s="951"/>
      <c r="BH208" s="1541" t="str">
        <f t="shared" si="290"/>
        <v>Qty</v>
      </c>
      <c r="BI208" s="1542" t="str">
        <f t="shared" si="291"/>
        <v>Sewerage</v>
      </c>
      <c r="BJ208" s="1543" t="str">
        <f t="shared" si="292"/>
        <v>Variable</v>
      </c>
      <c r="BK208" s="964" t="str">
        <f t="shared" ref="BK208:BU208" si="315">IF(V208="","-",IFERROR((V208/U208-1)*(U209/U$13),"-"))</f>
        <v>-</v>
      </c>
      <c r="BL208" s="964" t="str">
        <f t="shared" si="315"/>
        <v>-</v>
      </c>
      <c r="BM208" s="964" t="str">
        <f t="shared" si="315"/>
        <v>-</v>
      </c>
      <c r="BN208" s="964" t="str">
        <f t="shared" si="315"/>
        <v>-</v>
      </c>
      <c r="BO208" s="1350" t="str">
        <f t="shared" si="315"/>
        <v>-</v>
      </c>
      <c r="BP208" s="1343" t="str">
        <f t="shared" si="315"/>
        <v>-</v>
      </c>
      <c r="BQ208" s="964" t="str">
        <f t="shared" si="315"/>
        <v>-</v>
      </c>
      <c r="BR208" s="964" t="str">
        <f t="shared" si="315"/>
        <v>-</v>
      </c>
      <c r="BS208" s="964" t="str">
        <f t="shared" si="315"/>
        <v>-</v>
      </c>
      <c r="BT208" s="965" t="str">
        <f t="shared" si="315"/>
        <v>-</v>
      </c>
      <c r="BU208" s="964" t="str">
        <f t="shared" si="315"/>
        <v>-</v>
      </c>
      <c r="BV208" s="964" t="str">
        <f>IF(AG208="","-",IFERROR((AG208/AF208-1)*(AF209/AF$13),"-"))</f>
        <v>-</v>
      </c>
      <c r="BW208" s="964" t="str">
        <f>IF(AH208="","-",IFERROR((AH208/AG208-1)*(AG209/AG$13),"-"))</f>
        <v>-</v>
      </c>
      <c r="BX208" s="964" t="str">
        <f>IF(AI208="","-",IFERROR((AI208/AH208-1)*(AH209/AH$13),"-"))</f>
        <v>-</v>
      </c>
      <c r="BY208" s="966" t="str">
        <f>IF(AJ208="","-",IFERROR((AJ208/AI208-1)*(AI209/AI$13),"-"))</f>
        <v>-</v>
      </c>
      <c r="BZ208" s="951"/>
      <c r="CA208" s="961" t="str">
        <f t="shared" si="268"/>
        <v>Qty</v>
      </c>
      <c r="CB208" s="962" t="str">
        <f t="shared" si="269"/>
        <v>Sewerage</v>
      </c>
      <c r="CC208" s="962" t="str">
        <f t="shared" si="270"/>
        <v>Variable</v>
      </c>
      <c r="CD208" s="967" t="str">
        <f t="shared" si="301"/>
        <v>-</v>
      </c>
      <c r="CE208" s="964" t="str">
        <f t="shared" si="294"/>
        <v>-</v>
      </c>
      <c r="CF208" s="964" t="str">
        <f t="shared" si="295"/>
        <v>-</v>
      </c>
      <c r="CG208" s="965" t="str">
        <f t="shared" si="296"/>
        <v>-</v>
      </c>
      <c r="CH208" s="964" t="str">
        <f t="shared" si="302"/>
        <v>-</v>
      </c>
      <c r="CI208" s="964" t="str">
        <f t="shared" si="297"/>
        <v>-</v>
      </c>
      <c r="CJ208" s="964" t="str">
        <f t="shared" si="298"/>
        <v>-</v>
      </c>
      <c r="CK208" s="966" t="str">
        <f t="shared" si="299"/>
        <v>-</v>
      </c>
    </row>
    <row r="209" spans="4:89" ht="12.75" thickBot="1">
      <c r="E209" s="568" t="s">
        <v>882</v>
      </c>
      <c r="F209" s="560" t="str">
        <f>+F207</f>
        <v>Sewerage</v>
      </c>
      <c r="G209" s="561" t="str">
        <f>+G207</f>
        <v>YVW</v>
      </c>
      <c r="H209" s="561" t="str">
        <f>+H207</f>
        <v>Trade waste - TN/TKN Eastern</v>
      </c>
      <c r="I209" s="562" t="str">
        <f>+I207</f>
        <v>Variable</v>
      </c>
      <c r="J209" s="563" t="s">
        <v>883</v>
      </c>
      <c r="K209" s="564">
        <f t="shared" ref="K209:AJ209" si="316">K207*K208/10^6</f>
        <v>0</v>
      </c>
      <c r="L209" s="565">
        <f t="shared" si="316"/>
        <v>0</v>
      </c>
      <c r="M209" s="565">
        <f t="shared" si="316"/>
        <v>0</v>
      </c>
      <c r="N209" s="564">
        <f t="shared" si="316"/>
        <v>0</v>
      </c>
      <c r="O209" s="565">
        <f t="shared" si="316"/>
        <v>0</v>
      </c>
      <c r="P209" s="565">
        <f t="shared" si="316"/>
        <v>0</v>
      </c>
      <c r="Q209" s="565">
        <f t="shared" si="316"/>
        <v>0</v>
      </c>
      <c r="R209" s="566">
        <f t="shared" si="316"/>
        <v>0</v>
      </c>
      <c r="S209" s="564">
        <f t="shared" si="316"/>
        <v>0</v>
      </c>
      <c r="T209" s="565">
        <f t="shared" si="316"/>
        <v>0</v>
      </c>
      <c r="U209" s="566">
        <f t="shared" si="316"/>
        <v>0</v>
      </c>
      <c r="V209" s="564">
        <f t="shared" si="316"/>
        <v>0</v>
      </c>
      <c r="W209" s="565">
        <f t="shared" si="316"/>
        <v>0</v>
      </c>
      <c r="X209" s="565">
        <f t="shared" si="316"/>
        <v>0</v>
      </c>
      <c r="Y209" s="565">
        <f t="shared" si="316"/>
        <v>0</v>
      </c>
      <c r="Z209" s="566">
        <f t="shared" si="316"/>
        <v>0</v>
      </c>
      <c r="AA209" s="564">
        <f t="shared" si="316"/>
        <v>0</v>
      </c>
      <c r="AB209" s="565">
        <f t="shared" si="316"/>
        <v>0</v>
      </c>
      <c r="AC209" s="565">
        <f t="shared" si="316"/>
        <v>0</v>
      </c>
      <c r="AD209" s="565">
        <f t="shared" si="316"/>
        <v>0</v>
      </c>
      <c r="AE209" s="566">
        <f t="shared" si="316"/>
        <v>0</v>
      </c>
      <c r="AF209" s="564">
        <f t="shared" si="316"/>
        <v>0</v>
      </c>
      <c r="AG209" s="565">
        <f t="shared" si="316"/>
        <v>0</v>
      </c>
      <c r="AH209" s="565">
        <f t="shared" si="316"/>
        <v>0</v>
      </c>
      <c r="AI209" s="565">
        <f t="shared" si="316"/>
        <v>0</v>
      </c>
      <c r="AJ209" s="566">
        <f t="shared" si="316"/>
        <v>0</v>
      </c>
      <c r="AK209" s="569"/>
      <c r="AL209" s="569"/>
      <c r="AN209" s="857"/>
      <c r="AO209" s="984" t="str">
        <f t="shared" si="272"/>
        <v>Rev</v>
      </c>
      <c r="AP209" s="985" t="str">
        <f t="shared" si="273"/>
        <v>Sewerage</v>
      </c>
      <c r="AQ209" s="986" t="str">
        <f t="shared" si="274"/>
        <v>Variable</v>
      </c>
      <c r="AR209" s="990" t="str">
        <f t="shared" si="275"/>
        <v>-</v>
      </c>
      <c r="AS209" s="987" t="str">
        <f t="shared" si="276"/>
        <v>-</v>
      </c>
      <c r="AT209" s="987" t="str">
        <f t="shared" si="277"/>
        <v>-</v>
      </c>
      <c r="AU209" s="987" t="str">
        <f t="shared" si="278"/>
        <v>-</v>
      </c>
      <c r="AV209" s="1353" t="str">
        <f t="shared" si="279"/>
        <v>-</v>
      </c>
      <c r="AW209" s="1346" t="str">
        <f t="shared" si="280"/>
        <v>-</v>
      </c>
      <c r="AX209" s="987" t="str">
        <f t="shared" si="281"/>
        <v>-</v>
      </c>
      <c r="AY209" s="987" t="str">
        <f t="shared" si="282"/>
        <v>-</v>
      </c>
      <c r="AZ209" s="987" t="str">
        <f t="shared" si="283"/>
        <v>-</v>
      </c>
      <c r="BA209" s="988" t="str">
        <f t="shared" si="284"/>
        <v>-</v>
      </c>
      <c r="BB209" s="1346" t="str">
        <f t="shared" si="285"/>
        <v>-</v>
      </c>
      <c r="BC209" s="987" t="str">
        <f t="shared" si="286"/>
        <v>-</v>
      </c>
      <c r="BD209" s="987" t="str">
        <f t="shared" si="287"/>
        <v>-</v>
      </c>
      <c r="BE209" s="987" t="str">
        <f t="shared" si="288"/>
        <v>-</v>
      </c>
      <c r="BF209" s="989" t="str">
        <f t="shared" si="289"/>
        <v>-</v>
      </c>
      <c r="BG209" s="951"/>
      <c r="BH209" s="1550" t="str">
        <f t="shared" si="290"/>
        <v>Rev</v>
      </c>
      <c r="BI209" s="1551" t="str">
        <f t="shared" si="291"/>
        <v>Sewerage</v>
      </c>
      <c r="BJ209" s="1552" t="str">
        <f t="shared" si="292"/>
        <v>Variable</v>
      </c>
      <c r="BK209" s="987" t="str">
        <f t="shared" ref="BK209:BU209" si="317">IF(V209="","-",IFERROR((V209/U209-1)*(U209/U$13),"-"))</f>
        <v>-</v>
      </c>
      <c r="BL209" s="987" t="str">
        <f t="shared" si="317"/>
        <v>-</v>
      </c>
      <c r="BM209" s="987" t="str">
        <f t="shared" si="317"/>
        <v>-</v>
      </c>
      <c r="BN209" s="987" t="str">
        <f t="shared" si="317"/>
        <v>-</v>
      </c>
      <c r="BO209" s="1353" t="str">
        <f t="shared" si="317"/>
        <v>-</v>
      </c>
      <c r="BP209" s="1346" t="str">
        <f t="shared" si="317"/>
        <v>-</v>
      </c>
      <c r="BQ209" s="987" t="str">
        <f t="shared" si="317"/>
        <v>-</v>
      </c>
      <c r="BR209" s="987" t="str">
        <f t="shared" si="317"/>
        <v>-</v>
      </c>
      <c r="BS209" s="987" t="str">
        <f t="shared" si="317"/>
        <v>-</v>
      </c>
      <c r="BT209" s="988" t="str">
        <f t="shared" si="317"/>
        <v>-</v>
      </c>
      <c r="BU209" s="987" t="str">
        <f t="shared" si="317"/>
        <v>-</v>
      </c>
      <c r="BV209" s="987" t="str">
        <f>IF(AG209="","-",IFERROR((AG209/AF209-1)*(AF209/AF$13),"-"))</f>
        <v>-</v>
      </c>
      <c r="BW209" s="987" t="str">
        <f>IF(AH209="","-",IFERROR((AH209/AG209-1)*(AG209/AG$13),"-"))</f>
        <v>-</v>
      </c>
      <c r="BX209" s="987" t="str">
        <f>IF(AI209="","-",IFERROR((AI209/AH209-1)*(AH209/AH$13),"-"))</f>
        <v>-</v>
      </c>
      <c r="BY209" s="989" t="str">
        <f>IF(AJ209="","-",IFERROR((AJ209/AI209-1)*(AI209/AI$13),"-"))</f>
        <v>-</v>
      </c>
      <c r="BZ209" s="951"/>
      <c r="CA209" s="984" t="str">
        <f t="shared" si="268"/>
        <v>Rev</v>
      </c>
      <c r="CB209" s="985" t="str">
        <f t="shared" si="269"/>
        <v>Sewerage</v>
      </c>
      <c r="CC209" s="985" t="str">
        <f t="shared" si="270"/>
        <v>Variable</v>
      </c>
      <c r="CD209" s="990" t="str">
        <f t="shared" si="301"/>
        <v>-</v>
      </c>
      <c r="CE209" s="987" t="str">
        <f t="shared" si="294"/>
        <v>-</v>
      </c>
      <c r="CF209" s="987" t="str">
        <f t="shared" si="295"/>
        <v>-</v>
      </c>
      <c r="CG209" s="988" t="str">
        <f t="shared" si="296"/>
        <v>-</v>
      </c>
      <c r="CH209" s="987" t="str">
        <f t="shared" si="302"/>
        <v>-</v>
      </c>
      <c r="CI209" s="987" t="str">
        <f t="shared" si="297"/>
        <v>-</v>
      </c>
      <c r="CJ209" s="987" t="str">
        <f t="shared" si="298"/>
        <v>-</v>
      </c>
      <c r="CK209" s="989" t="str">
        <f t="shared" si="299"/>
        <v>-</v>
      </c>
    </row>
    <row r="210" spans="4:89">
      <c r="D210" s="63">
        <f>D207+1</f>
        <v>48</v>
      </c>
      <c r="E210" s="550" t="s">
        <v>857</v>
      </c>
      <c r="F210" s="595" t="s">
        <v>402</v>
      </c>
      <c r="G210" s="595" t="s">
        <v>877</v>
      </c>
      <c r="H210" s="595" t="s">
        <v>902</v>
      </c>
      <c r="I210" s="589" t="s">
        <v>843</v>
      </c>
      <c r="J210" s="589" t="s">
        <v>879</v>
      </c>
      <c r="K210" s="551"/>
      <c r="L210" s="552"/>
      <c r="M210" s="552"/>
      <c r="N210" s="551"/>
      <c r="O210" s="552"/>
      <c r="P210" s="552"/>
      <c r="Q210" s="552"/>
      <c r="R210" s="1035"/>
      <c r="S210" s="1138"/>
      <c r="T210" s="591"/>
      <c r="U210" s="1035"/>
      <c r="V210" s="1138"/>
      <c r="W210" s="591"/>
      <c r="X210" s="591"/>
      <c r="Y210" s="591"/>
      <c r="Z210" s="1035"/>
      <c r="AA210" s="1138"/>
      <c r="AB210" s="591"/>
      <c r="AC210" s="591"/>
      <c r="AD210" s="591"/>
      <c r="AE210" s="1035"/>
      <c r="AF210" s="1138"/>
      <c r="AG210" s="591"/>
      <c r="AH210" s="591"/>
      <c r="AI210" s="591"/>
      <c r="AJ210" s="1035"/>
      <c r="AK210" s="569"/>
      <c r="AL210" s="569"/>
      <c r="AM210" s="974"/>
      <c r="AN210" s="857"/>
      <c r="AO210" s="975" t="str">
        <f t="shared" si="272"/>
        <v>Price</v>
      </c>
      <c r="AP210" s="976" t="str">
        <f t="shared" si="273"/>
        <v>Sewerage</v>
      </c>
      <c r="AQ210" s="977" t="str">
        <f t="shared" si="274"/>
        <v>Variable</v>
      </c>
      <c r="AR210" s="1341" t="str">
        <f t="shared" si="275"/>
        <v>-</v>
      </c>
      <c r="AS210" s="978" t="str">
        <f t="shared" si="276"/>
        <v>-</v>
      </c>
      <c r="AT210" s="979" t="str">
        <f t="shared" si="277"/>
        <v>-</v>
      </c>
      <c r="AU210" s="979" t="str">
        <f t="shared" si="278"/>
        <v>-</v>
      </c>
      <c r="AV210" s="1352" t="str">
        <f t="shared" si="279"/>
        <v>-</v>
      </c>
      <c r="AW210" s="1345" t="str">
        <f t="shared" si="280"/>
        <v>-</v>
      </c>
      <c r="AX210" s="979" t="str">
        <f t="shared" si="281"/>
        <v>-</v>
      </c>
      <c r="AY210" s="979" t="str">
        <f t="shared" si="282"/>
        <v>-</v>
      </c>
      <c r="AZ210" s="979" t="str">
        <f t="shared" si="283"/>
        <v>-</v>
      </c>
      <c r="BA210" s="980" t="str">
        <f t="shared" si="284"/>
        <v>-</v>
      </c>
      <c r="BB210" s="1345" t="str">
        <f t="shared" si="285"/>
        <v>-</v>
      </c>
      <c r="BC210" s="979" t="str">
        <f t="shared" si="286"/>
        <v>-</v>
      </c>
      <c r="BD210" s="979" t="str">
        <f t="shared" si="287"/>
        <v>-</v>
      </c>
      <c r="BE210" s="979" t="str">
        <f t="shared" si="288"/>
        <v>-</v>
      </c>
      <c r="BF210" s="981" t="str">
        <f t="shared" si="289"/>
        <v>-</v>
      </c>
      <c r="BG210" s="951"/>
      <c r="BH210" s="1547" t="str">
        <f t="shared" si="290"/>
        <v>Price</v>
      </c>
      <c r="BI210" s="1548" t="str">
        <f t="shared" si="291"/>
        <v>Sewerage</v>
      </c>
      <c r="BJ210" s="1549" t="str">
        <f t="shared" si="292"/>
        <v>Variable</v>
      </c>
      <c r="BK210" s="978" t="str">
        <f t="shared" ref="BK210:BU210" si="318">IF(V210="","-",IFERROR((V210/U210-1)*(U212/U$13),"-"))</f>
        <v>-</v>
      </c>
      <c r="BL210" s="978" t="str">
        <f t="shared" si="318"/>
        <v>-</v>
      </c>
      <c r="BM210" s="979" t="str">
        <f t="shared" si="318"/>
        <v>-</v>
      </c>
      <c r="BN210" s="979" t="str">
        <f t="shared" si="318"/>
        <v>-</v>
      </c>
      <c r="BO210" s="1352" t="str">
        <f t="shared" si="318"/>
        <v>-</v>
      </c>
      <c r="BP210" s="1345" t="str">
        <f t="shared" si="318"/>
        <v>-</v>
      </c>
      <c r="BQ210" s="979" t="str">
        <f t="shared" si="318"/>
        <v>-</v>
      </c>
      <c r="BR210" s="979" t="str">
        <f t="shared" si="318"/>
        <v>-</v>
      </c>
      <c r="BS210" s="979" t="str">
        <f t="shared" si="318"/>
        <v>-</v>
      </c>
      <c r="BT210" s="980" t="str">
        <f t="shared" si="318"/>
        <v>-</v>
      </c>
      <c r="BU210" s="979" t="str">
        <f t="shared" si="318"/>
        <v>-</v>
      </c>
      <c r="BV210" s="979" t="str">
        <f>IF(AG210="","-",IFERROR((AG210/AF210-1)*(AF212/AF$13),"-"))</f>
        <v>-</v>
      </c>
      <c r="BW210" s="979" t="str">
        <f>IF(AH210="","-",IFERROR((AH210/AG210-1)*(AG212/AG$13),"-"))</f>
        <v>-</v>
      </c>
      <c r="BX210" s="979" t="str">
        <f>IF(AI210="","-",IFERROR((AI210/AH210-1)*(AH212/AH$13),"-"))</f>
        <v>-</v>
      </c>
      <c r="BY210" s="981" t="str">
        <f>IF(AJ210="","-",IFERROR((AJ210/AI210-1)*(AI212/AI$13),"-"))</f>
        <v>-</v>
      </c>
      <c r="BZ210" s="951"/>
      <c r="CA210" s="975" t="str">
        <f t="shared" si="268"/>
        <v>Price</v>
      </c>
      <c r="CB210" s="976" t="str">
        <f t="shared" si="269"/>
        <v>Sewerage</v>
      </c>
      <c r="CC210" s="982" t="str">
        <f t="shared" si="270"/>
        <v>Variable</v>
      </c>
      <c r="CD210" s="983" t="str">
        <f t="shared" si="301"/>
        <v>-</v>
      </c>
      <c r="CE210" s="979" t="str">
        <f t="shared" si="294"/>
        <v>-</v>
      </c>
      <c r="CF210" s="979" t="str">
        <f t="shared" si="295"/>
        <v>-</v>
      </c>
      <c r="CG210" s="980" t="str">
        <f t="shared" si="296"/>
        <v>-</v>
      </c>
      <c r="CH210" s="979" t="str">
        <f t="shared" si="302"/>
        <v>-</v>
      </c>
      <c r="CI210" s="979" t="str">
        <f t="shared" si="297"/>
        <v>-</v>
      </c>
      <c r="CJ210" s="979" t="str">
        <f t="shared" si="298"/>
        <v>-</v>
      </c>
      <c r="CK210" s="981" t="str">
        <f t="shared" si="299"/>
        <v>-</v>
      </c>
    </row>
    <row r="211" spans="4:89">
      <c r="E211" s="567" t="s">
        <v>880</v>
      </c>
      <c r="F211" s="554" t="str">
        <f>+F210</f>
        <v>Sewerage</v>
      </c>
      <c r="G211" s="555" t="str">
        <f>+G210</f>
        <v>GWW</v>
      </c>
      <c r="H211" s="555" t="str">
        <f>+H210</f>
        <v>Trade waste - TDS/inorganic TDS Western</v>
      </c>
      <c r="I211" s="556" t="str">
        <f>+I210</f>
        <v>Variable</v>
      </c>
      <c r="J211" s="590" t="s">
        <v>896</v>
      </c>
      <c r="K211" s="557"/>
      <c r="L211" s="558"/>
      <c r="M211" s="558"/>
      <c r="N211" s="557"/>
      <c r="O211" s="558"/>
      <c r="P211" s="558"/>
      <c r="Q211" s="558"/>
      <c r="R211" s="1036"/>
      <c r="S211" s="1139"/>
      <c r="T211" s="593"/>
      <c r="U211" s="1036"/>
      <c r="V211" s="1139"/>
      <c r="W211" s="593"/>
      <c r="X211" s="593"/>
      <c r="Y211" s="593"/>
      <c r="Z211" s="1036"/>
      <c r="AA211" s="1139"/>
      <c r="AB211" s="593"/>
      <c r="AC211" s="593"/>
      <c r="AD211" s="593"/>
      <c r="AE211" s="1036"/>
      <c r="AF211" s="1139"/>
      <c r="AG211" s="593"/>
      <c r="AH211" s="593"/>
      <c r="AI211" s="593"/>
      <c r="AJ211" s="1036"/>
      <c r="AK211" s="569"/>
      <c r="AL211" s="569"/>
      <c r="AN211" s="857"/>
      <c r="AO211" s="961" t="str">
        <f t="shared" si="272"/>
        <v>Qty</v>
      </c>
      <c r="AP211" s="962" t="str">
        <f t="shared" si="273"/>
        <v>Sewerage</v>
      </c>
      <c r="AQ211" s="963" t="str">
        <f t="shared" si="274"/>
        <v>Variable</v>
      </c>
      <c r="AR211" s="967" t="str">
        <f t="shared" si="275"/>
        <v>-</v>
      </c>
      <c r="AS211" s="964" t="str">
        <f t="shared" si="276"/>
        <v>-</v>
      </c>
      <c r="AT211" s="964" t="str">
        <f t="shared" si="277"/>
        <v>-</v>
      </c>
      <c r="AU211" s="964" t="str">
        <f t="shared" si="278"/>
        <v>-</v>
      </c>
      <c r="AV211" s="1350" t="str">
        <f t="shared" si="279"/>
        <v>-</v>
      </c>
      <c r="AW211" s="1343" t="str">
        <f t="shared" si="280"/>
        <v>-</v>
      </c>
      <c r="AX211" s="964" t="str">
        <f t="shared" si="281"/>
        <v>-</v>
      </c>
      <c r="AY211" s="964" t="str">
        <f t="shared" si="282"/>
        <v>-</v>
      </c>
      <c r="AZ211" s="964" t="str">
        <f t="shared" si="283"/>
        <v>-</v>
      </c>
      <c r="BA211" s="965" t="str">
        <f t="shared" si="284"/>
        <v>-</v>
      </c>
      <c r="BB211" s="1343" t="str">
        <f t="shared" si="285"/>
        <v>-</v>
      </c>
      <c r="BC211" s="964" t="str">
        <f t="shared" si="286"/>
        <v>-</v>
      </c>
      <c r="BD211" s="964" t="str">
        <f t="shared" si="287"/>
        <v>-</v>
      </c>
      <c r="BE211" s="964" t="str">
        <f t="shared" si="288"/>
        <v>-</v>
      </c>
      <c r="BF211" s="966" t="str">
        <f t="shared" si="289"/>
        <v>-</v>
      </c>
      <c r="BG211" s="951"/>
      <c r="BH211" s="1541" t="str">
        <f t="shared" si="290"/>
        <v>Qty</v>
      </c>
      <c r="BI211" s="1542" t="str">
        <f t="shared" si="291"/>
        <v>Sewerage</v>
      </c>
      <c r="BJ211" s="1543" t="str">
        <f t="shared" si="292"/>
        <v>Variable</v>
      </c>
      <c r="BK211" s="964" t="str">
        <f t="shared" ref="BK211:BU211" si="319">IF(V211="","-",IFERROR((V211/U211-1)*(U212/U$13),"-"))</f>
        <v>-</v>
      </c>
      <c r="BL211" s="964" t="str">
        <f t="shared" si="319"/>
        <v>-</v>
      </c>
      <c r="BM211" s="964" t="str">
        <f t="shared" si="319"/>
        <v>-</v>
      </c>
      <c r="BN211" s="964" t="str">
        <f t="shared" si="319"/>
        <v>-</v>
      </c>
      <c r="BO211" s="1350" t="str">
        <f t="shared" si="319"/>
        <v>-</v>
      </c>
      <c r="BP211" s="1343" t="str">
        <f t="shared" si="319"/>
        <v>-</v>
      </c>
      <c r="BQ211" s="964" t="str">
        <f t="shared" si="319"/>
        <v>-</v>
      </c>
      <c r="BR211" s="964" t="str">
        <f t="shared" si="319"/>
        <v>-</v>
      </c>
      <c r="BS211" s="964" t="str">
        <f t="shared" si="319"/>
        <v>-</v>
      </c>
      <c r="BT211" s="965" t="str">
        <f t="shared" si="319"/>
        <v>-</v>
      </c>
      <c r="BU211" s="964" t="str">
        <f t="shared" si="319"/>
        <v>-</v>
      </c>
      <c r="BV211" s="964" t="str">
        <f>IF(AG211="","-",IFERROR((AG211/AF211-1)*(AF212/AF$13),"-"))</f>
        <v>-</v>
      </c>
      <c r="BW211" s="964" t="str">
        <f>IF(AH211="","-",IFERROR((AH211/AG211-1)*(AG212/AG$13),"-"))</f>
        <v>-</v>
      </c>
      <c r="BX211" s="964" t="str">
        <f>IF(AI211="","-",IFERROR((AI211/AH211-1)*(AH212/AH$13),"-"))</f>
        <v>-</v>
      </c>
      <c r="BY211" s="966" t="str">
        <f>IF(AJ211="","-",IFERROR((AJ211/AI211-1)*(AI212/AI$13),"-"))</f>
        <v>-</v>
      </c>
      <c r="BZ211" s="951"/>
      <c r="CA211" s="961" t="str">
        <f t="shared" si="268"/>
        <v>Qty</v>
      </c>
      <c r="CB211" s="962" t="str">
        <f t="shared" si="269"/>
        <v>Sewerage</v>
      </c>
      <c r="CC211" s="962" t="str">
        <f t="shared" si="270"/>
        <v>Variable</v>
      </c>
      <c r="CD211" s="967" t="str">
        <f t="shared" si="301"/>
        <v>-</v>
      </c>
      <c r="CE211" s="964" t="str">
        <f t="shared" si="294"/>
        <v>-</v>
      </c>
      <c r="CF211" s="964" t="str">
        <f t="shared" si="295"/>
        <v>-</v>
      </c>
      <c r="CG211" s="965" t="str">
        <f t="shared" si="296"/>
        <v>-</v>
      </c>
      <c r="CH211" s="964" t="str">
        <f t="shared" si="302"/>
        <v>-</v>
      </c>
      <c r="CI211" s="964" t="str">
        <f t="shared" si="297"/>
        <v>-</v>
      </c>
      <c r="CJ211" s="964" t="str">
        <f t="shared" si="298"/>
        <v>-</v>
      </c>
      <c r="CK211" s="966" t="str">
        <f t="shared" si="299"/>
        <v>-</v>
      </c>
    </row>
    <row r="212" spans="4:89" ht="12.75" thickBot="1">
      <c r="E212" s="568" t="s">
        <v>882</v>
      </c>
      <c r="F212" s="560" t="str">
        <f>+F210</f>
        <v>Sewerage</v>
      </c>
      <c r="G212" s="561" t="str">
        <f>+G210</f>
        <v>GWW</v>
      </c>
      <c r="H212" s="561" t="str">
        <f>+H210</f>
        <v>Trade waste - TDS/inorganic TDS Western</v>
      </c>
      <c r="I212" s="562" t="str">
        <f>+I210</f>
        <v>Variable</v>
      </c>
      <c r="J212" s="563" t="s">
        <v>883</v>
      </c>
      <c r="K212" s="564">
        <f t="shared" ref="K212:AJ212" si="320">K210*K211/10^6</f>
        <v>0</v>
      </c>
      <c r="L212" s="565">
        <f t="shared" si="320"/>
        <v>0</v>
      </c>
      <c r="M212" s="565">
        <f t="shared" si="320"/>
        <v>0</v>
      </c>
      <c r="N212" s="564">
        <f t="shared" si="320"/>
        <v>0</v>
      </c>
      <c r="O212" s="565">
        <f t="shared" si="320"/>
        <v>0</v>
      </c>
      <c r="P212" s="565">
        <f t="shared" si="320"/>
        <v>0</v>
      </c>
      <c r="Q212" s="565">
        <f t="shared" si="320"/>
        <v>0</v>
      </c>
      <c r="R212" s="566">
        <f t="shared" si="320"/>
        <v>0</v>
      </c>
      <c r="S212" s="564">
        <f t="shared" si="320"/>
        <v>0</v>
      </c>
      <c r="T212" s="565">
        <f t="shared" si="320"/>
        <v>0</v>
      </c>
      <c r="U212" s="566">
        <f t="shared" si="320"/>
        <v>0</v>
      </c>
      <c r="V212" s="564">
        <f t="shared" si="320"/>
        <v>0</v>
      </c>
      <c r="W212" s="565">
        <f t="shared" si="320"/>
        <v>0</v>
      </c>
      <c r="X212" s="565">
        <f t="shared" si="320"/>
        <v>0</v>
      </c>
      <c r="Y212" s="565">
        <f t="shared" si="320"/>
        <v>0</v>
      </c>
      <c r="Z212" s="566">
        <f t="shared" si="320"/>
        <v>0</v>
      </c>
      <c r="AA212" s="564">
        <f t="shared" si="320"/>
        <v>0</v>
      </c>
      <c r="AB212" s="565">
        <f t="shared" si="320"/>
        <v>0</v>
      </c>
      <c r="AC212" s="565">
        <f t="shared" si="320"/>
        <v>0</v>
      </c>
      <c r="AD212" s="565">
        <f t="shared" si="320"/>
        <v>0</v>
      </c>
      <c r="AE212" s="566">
        <f t="shared" si="320"/>
        <v>0</v>
      </c>
      <c r="AF212" s="564">
        <f t="shared" si="320"/>
        <v>0</v>
      </c>
      <c r="AG212" s="565">
        <f t="shared" si="320"/>
        <v>0</v>
      </c>
      <c r="AH212" s="565">
        <f t="shared" si="320"/>
        <v>0</v>
      </c>
      <c r="AI212" s="565">
        <f t="shared" si="320"/>
        <v>0</v>
      </c>
      <c r="AJ212" s="566">
        <f t="shared" si="320"/>
        <v>0</v>
      </c>
      <c r="AK212" s="569"/>
      <c r="AL212" s="569"/>
      <c r="AN212" s="857"/>
      <c r="AO212" s="984" t="str">
        <f t="shared" si="272"/>
        <v>Rev</v>
      </c>
      <c r="AP212" s="985" t="str">
        <f t="shared" si="273"/>
        <v>Sewerage</v>
      </c>
      <c r="AQ212" s="986" t="str">
        <f t="shared" si="274"/>
        <v>Variable</v>
      </c>
      <c r="AR212" s="990" t="str">
        <f t="shared" si="275"/>
        <v>-</v>
      </c>
      <c r="AS212" s="987" t="str">
        <f t="shared" si="276"/>
        <v>-</v>
      </c>
      <c r="AT212" s="987" t="str">
        <f t="shared" si="277"/>
        <v>-</v>
      </c>
      <c r="AU212" s="987" t="str">
        <f t="shared" si="278"/>
        <v>-</v>
      </c>
      <c r="AV212" s="1353" t="str">
        <f t="shared" si="279"/>
        <v>-</v>
      </c>
      <c r="AW212" s="1346" t="str">
        <f t="shared" si="280"/>
        <v>-</v>
      </c>
      <c r="AX212" s="987" t="str">
        <f t="shared" si="281"/>
        <v>-</v>
      </c>
      <c r="AY212" s="987" t="str">
        <f t="shared" si="282"/>
        <v>-</v>
      </c>
      <c r="AZ212" s="987" t="str">
        <f t="shared" si="283"/>
        <v>-</v>
      </c>
      <c r="BA212" s="988" t="str">
        <f t="shared" si="284"/>
        <v>-</v>
      </c>
      <c r="BB212" s="1346" t="str">
        <f t="shared" si="285"/>
        <v>-</v>
      </c>
      <c r="BC212" s="987" t="str">
        <f t="shared" si="286"/>
        <v>-</v>
      </c>
      <c r="BD212" s="987" t="str">
        <f t="shared" si="287"/>
        <v>-</v>
      </c>
      <c r="BE212" s="987" t="str">
        <f t="shared" si="288"/>
        <v>-</v>
      </c>
      <c r="BF212" s="989" t="str">
        <f t="shared" si="289"/>
        <v>-</v>
      </c>
      <c r="BG212" s="951"/>
      <c r="BH212" s="1550" t="str">
        <f t="shared" si="290"/>
        <v>Rev</v>
      </c>
      <c r="BI212" s="1551" t="str">
        <f t="shared" si="291"/>
        <v>Sewerage</v>
      </c>
      <c r="BJ212" s="1552" t="str">
        <f t="shared" si="292"/>
        <v>Variable</v>
      </c>
      <c r="BK212" s="987" t="str">
        <f t="shared" ref="BK212:BU212" si="321">IF(V212="","-",IFERROR((V212/U212-1)*(U212/U$13),"-"))</f>
        <v>-</v>
      </c>
      <c r="BL212" s="987" t="str">
        <f t="shared" si="321"/>
        <v>-</v>
      </c>
      <c r="BM212" s="987" t="str">
        <f t="shared" si="321"/>
        <v>-</v>
      </c>
      <c r="BN212" s="987" t="str">
        <f t="shared" si="321"/>
        <v>-</v>
      </c>
      <c r="BO212" s="1353" t="str">
        <f t="shared" si="321"/>
        <v>-</v>
      </c>
      <c r="BP212" s="1346" t="str">
        <f t="shared" si="321"/>
        <v>-</v>
      </c>
      <c r="BQ212" s="987" t="str">
        <f t="shared" si="321"/>
        <v>-</v>
      </c>
      <c r="BR212" s="987" t="str">
        <f t="shared" si="321"/>
        <v>-</v>
      </c>
      <c r="BS212" s="987" t="str">
        <f t="shared" si="321"/>
        <v>-</v>
      </c>
      <c r="BT212" s="988" t="str">
        <f t="shared" si="321"/>
        <v>-</v>
      </c>
      <c r="BU212" s="987" t="str">
        <f t="shared" si="321"/>
        <v>-</v>
      </c>
      <c r="BV212" s="987" t="str">
        <f>IF(AG212="","-",IFERROR((AG212/AF212-1)*(AF212/AF$13),"-"))</f>
        <v>-</v>
      </c>
      <c r="BW212" s="987" t="str">
        <f>IF(AH212="","-",IFERROR((AH212/AG212-1)*(AG212/AG$13),"-"))</f>
        <v>-</v>
      </c>
      <c r="BX212" s="987" t="str">
        <f>IF(AI212="","-",IFERROR((AI212/AH212-1)*(AH212/AH$13),"-"))</f>
        <v>-</v>
      </c>
      <c r="BY212" s="989" t="str">
        <f>IF(AJ212="","-",IFERROR((AJ212/AI212-1)*(AI212/AI$13),"-"))</f>
        <v>-</v>
      </c>
      <c r="BZ212" s="951"/>
      <c r="CA212" s="984" t="str">
        <f t="shared" si="268"/>
        <v>Rev</v>
      </c>
      <c r="CB212" s="985" t="str">
        <f t="shared" si="269"/>
        <v>Sewerage</v>
      </c>
      <c r="CC212" s="985" t="str">
        <f t="shared" si="270"/>
        <v>Variable</v>
      </c>
      <c r="CD212" s="990" t="str">
        <f t="shared" si="301"/>
        <v>-</v>
      </c>
      <c r="CE212" s="987" t="str">
        <f t="shared" si="294"/>
        <v>-</v>
      </c>
      <c r="CF212" s="987" t="str">
        <f t="shared" si="295"/>
        <v>-</v>
      </c>
      <c r="CG212" s="988" t="str">
        <f t="shared" si="296"/>
        <v>-</v>
      </c>
      <c r="CH212" s="987" t="str">
        <f t="shared" si="302"/>
        <v>-</v>
      </c>
      <c r="CI212" s="987" t="str">
        <f t="shared" si="297"/>
        <v>-</v>
      </c>
      <c r="CJ212" s="987" t="str">
        <f t="shared" si="298"/>
        <v>-</v>
      </c>
      <c r="CK212" s="989" t="str">
        <f t="shared" si="299"/>
        <v>-</v>
      </c>
    </row>
    <row r="213" spans="4:89">
      <c r="D213" s="63">
        <f>D210+1</f>
        <v>49</v>
      </c>
      <c r="E213" s="550" t="s">
        <v>857</v>
      </c>
      <c r="F213" s="595" t="s">
        <v>402</v>
      </c>
      <c r="G213" s="595" t="s">
        <v>92</v>
      </c>
      <c r="H213" s="595" t="s">
        <v>902</v>
      </c>
      <c r="I213" s="589" t="s">
        <v>843</v>
      </c>
      <c r="J213" s="589" t="s">
        <v>879</v>
      </c>
      <c r="K213" s="551"/>
      <c r="L213" s="552"/>
      <c r="M213" s="552"/>
      <c r="N213" s="551"/>
      <c r="O213" s="552"/>
      <c r="P213" s="552"/>
      <c r="Q213" s="552"/>
      <c r="R213" s="1035"/>
      <c r="S213" s="1138"/>
      <c r="T213" s="591"/>
      <c r="U213" s="1035"/>
      <c r="V213" s="1138"/>
      <c r="W213" s="591"/>
      <c r="X213" s="591"/>
      <c r="Y213" s="591"/>
      <c r="Z213" s="1035"/>
      <c r="AA213" s="1138"/>
      <c r="AB213" s="591"/>
      <c r="AC213" s="591"/>
      <c r="AD213" s="591"/>
      <c r="AE213" s="1035"/>
      <c r="AF213" s="1138"/>
      <c r="AG213" s="591"/>
      <c r="AH213" s="591"/>
      <c r="AI213" s="591"/>
      <c r="AJ213" s="1035"/>
      <c r="AK213" s="569"/>
      <c r="AL213" s="569"/>
      <c r="AM213" s="974"/>
      <c r="AN213" s="857"/>
      <c r="AO213" s="975" t="str">
        <f t="shared" si="272"/>
        <v>Price</v>
      </c>
      <c r="AP213" s="976" t="str">
        <f t="shared" si="273"/>
        <v>Sewerage</v>
      </c>
      <c r="AQ213" s="977" t="str">
        <f t="shared" si="274"/>
        <v>Variable</v>
      </c>
      <c r="AR213" s="1341" t="str">
        <f t="shared" si="275"/>
        <v>-</v>
      </c>
      <c r="AS213" s="978" t="str">
        <f t="shared" si="276"/>
        <v>-</v>
      </c>
      <c r="AT213" s="979" t="str">
        <f t="shared" si="277"/>
        <v>-</v>
      </c>
      <c r="AU213" s="979" t="str">
        <f t="shared" si="278"/>
        <v>-</v>
      </c>
      <c r="AV213" s="1352" t="str">
        <f t="shared" si="279"/>
        <v>-</v>
      </c>
      <c r="AW213" s="1345" t="str">
        <f t="shared" si="280"/>
        <v>-</v>
      </c>
      <c r="AX213" s="979" t="str">
        <f t="shared" si="281"/>
        <v>-</v>
      </c>
      <c r="AY213" s="979" t="str">
        <f t="shared" si="282"/>
        <v>-</v>
      </c>
      <c r="AZ213" s="979" t="str">
        <f t="shared" si="283"/>
        <v>-</v>
      </c>
      <c r="BA213" s="980" t="str">
        <f t="shared" si="284"/>
        <v>-</v>
      </c>
      <c r="BB213" s="1345" t="str">
        <f t="shared" si="285"/>
        <v>-</v>
      </c>
      <c r="BC213" s="979" t="str">
        <f t="shared" si="286"/>
        <v>-</v>
      </c>
      <c r="BD213" s="979" t="str">
        <f t="shared" si="287"/>
        <v>-</v>
      </c>
      <c r="BE213" s="979" t="str">
        <f t="shared" si="288"/>
        <v>-</v>
      </c>
      <c r="BF213" s="981" t="str">
        <f t="shared" si="289"/>
        <v>-</v>
      </c>
      <c r="BG213" s="951"/>
      <c r="BH213" s="1547" t="str">
        <f t="shared" si="290"/>
        <v>Price</v>
      </c>
      <c r="BI213" s="1548" t="str">
        <f t="shared" si="291"/>
        <v>Sewerage</v>
      </c>
      <c r="BJ213" s="1549" t="str">
        <f t="shared" si="292"/>
        <v>Variable</v>
      </c>
      <c r="BK213" s="978" t="str">
        <f t="shared" ref="BK213:BU213" si="322">IF(V213="","-",IFERROR((V213/U213-1)*(U215/U$13),"-"))</f>
        <v>-</v>
      </c>
      <c r="BL213" s="978" t="str">
        <f t="shared" si="322"/>
        <v>-</v>
      </c>
      <c r="BM213" s="979" t="str">
        <f t="shared" si="322"/>
        <v>-</v>
      </c>
      <c r="BN213" s="979" t="str">
        <f t="shared" si="322"/>
        <v>-</v>
      </c>
      <c r="BO213" s="1352" t="str">
        <f t="shared" si="322"/>
        <v>-</v>
      </c>
      <c r="BP213" s="1345" t="str">
        <f t="shared" si="322"/>
        <v>-</v>
      </c>
      <c r="BQ213" s="979" t="str">
        <f t="shared" si="322"/>
        <v>-</v>
      </c>
      <c r="BR213" s="979" t="str">
        <f t="shared" si="322"/>
        <v>-</v>
      </c>
      <c r="BS213" s="979" t="str">
        <f t="shared" si="322"/>
        <v>-</v>
      </c>
      <c r="BT213" s="980" t="str">
        <f t="shared" si="322"/>
        <v>-</v>
      </c>
      <c r="BU213" s="979" t="str">
        <f t="shared" si="322"/>
        <v>-</v>
      </c>
      <c r="BV213" s="979" t="str">
        <f>IF(AG213="","-",IFERROR((AG213/AF213-1)*(AF215/AF$13),"-"))</f>
        <v>-</v>
      </c>
      <c r="BW213" s="979" t="str">
        <f>IF(AH213="","-",IFERROR((AH213/AG213-1)*(AG215/AG$13),"-"))</f>
        <v>-</v>
      </c>
      <c r="BX213" s="979" t="str">
        <f>IF(AI213="","-",IFERROR((AI213/AH213-1)*(AH215/AH$13),"-"))</f>
        <v>-</v>
      </c>
      <c r="BY213" s="981" t="str">
        <f>IF(AJ213="","-",IFERROR((AJ213/AI213-1)*(AI215/AI$13),"-"))</f>
        <v>-</v>
      </c>
      <c r="BZ213" s="951"/>
      <c r="CA213" s="975" t="str">
        <f t="shared" si="268"/>
        <v>Price</v>
      </c>
      <c r="CB213" s="976" t="str">
        <f t="shared" si="269"/>
        <v>Sewerage</v>
      </c>
      <c r="CC213" s="982" t="str">
        <f t="shared" si="270"/>
        <v>Variable</v>
      </c>
      <c r="CD213" s="983" t="str">
        <f t="shared" si="301"/>
        <v>-</v>
      </c>
      <c r="CE213" s="979" t="str">
        <f t="shared" si="294"/>
        <v>-</v>
      </c>
      <c r="CF213" s="979" t="str">
        <f t="shared" si="295"/>
        <v>-</v>
      </c>
      <c r="CG213" s="980" t="str">
        <f t="shared" si="296"/>
        <v>-</v>
      </c>
      <c r="CH213" s="979" t="str">
        <f t="shared" si="302"/>
        <v>-</v>
      </c>
      <c r="CI213" s="979" t="str">
        <f t="shared" si="297"/>
        <v>-</v>
      </c>
      <c r="CJ213" s="979" t="str">
        <f t="shared" si="298"/>
        <v>-</v>
      </c>
      <c r="CK213" s="981" t="str">
        <f t="shared" si="299"/>
        <v>-</v>
      </c>
    </row>
    <row r="214" spans="4:89">
      <c r="E214" s="567" t="s">
        <v>880</v>
      </c>
      <c r="F214" s="554" t="str">
        <f>+F213</f>
        <v>Sewerage</v>
      </c>
      <c r="G214" s="555" t="str">
        <f>+G213</f>
        <v>SEW</v>
      </c>
      <c r="H214" s="555" t="str">
        <f>+H213</f>
        <v>Trade waste - TDS/inorganic TDS Western</v>
      </c>
      <c r="I214" s="556" t="str">
        <f>+I213</f>
        <v>Variable</v>
      </c>
      <c r="J214" s="590" t="s">
        <v>896</v>
      </c>
      <c r="K214" s="557"/>
      <c r="L214" s="558"/>
      <c r="M214" s="558"/>
      <c r="N214" s="557"/>
      <c r="O214" s="558"/>
      <c r="P214" s="558"/>
      <c r="Q214" s="558"/>
      <c r="R214" s="1036"/>
      <c r="S214" s="1139"/>
      <c r="T214" s="593"/>
      <c r="U214" s="1036"/>
      <c r="V214" s="1139"/>
      <c r="W214" s="593"/>
      <c r="X214" s="593"/>
      <c r="Y214" s="593"/>
      <c r="Z214" s="1036"/>
      <c r="AA214" s="1139"/>
      <c r="AB214" s="593"/>
      <c r="AC214" s="593"/>
      <c r="AD214" s="593"/>
      <c r="AE214" s="1036"/>
      <c r="AF214" s="1139"/>
      <c r="AG214" s="593"/>
      <c r="AH214" s="593"/>
      <c r="AI214" s="593"/>
      <c r="AJ214" s="1036"/>
      <c r="AK214" s="569"/>
      <c r="AL214" s="569"/>
      <c r="AN214" s="857"/>
      <c r="AO214" s="961" t="str">
        <f t="shared" si="272"/>
        <v>Qty</v>
      </c>
      <c r="AP214" s="962" t="str">
        <f t="shared" si="273"/>
        <v>Sewerage</v>
      </c>
      <c r="AQ214" s="963" t="str">
        <f t="shared" si="274"/>
        <v>Variable</v>
      </c>
      <c r="AR214" s="967" t="str">
        <f t="shared" si="275"/>
        <v>-</v>
      </c>
      <c r="AS214" s="964" t="str">
        <f t="shared" si="276"/>
        <v>-</v>
      </c>
      <c r="AT214" s="964" t="str">
        <f t="shared" si="277"/>
        <v>-</v>
      </c>
      <c r="AU214" s="964" t="str">
        <f t="shared" si="278"/>
        <v>-</v>
      </c>
      <c r="AV214" s="1350" t="str">
        <f t="shared" si="279"/>
        <v>-</v>
      </c>
      <c r="AW214" s="1343" t="str">
        <f t="shared" si="280"/>
        <v>-</v>
      </c>
      <c r="AX214" s="964" t="str">
        <f t="shared" si="281"/>
        <v>-</v>
      </c>
      <c r="AY214" s="964" t="str">
        <f t="shared" si="282"/>
        <v>-</v>
      </c>
      <c r="AZ214" s="964" t="str">
        <f t="shared" si="283"/>
        <v>-</v>
      </c>
      <c r="BA214" s="965" t="str">
        <f t="shared" si="284"/>
        <v>-</v>
      </c>
      <c r="BB214" s="1343" t="str">
        <f t="shared" si="285"/>
        <v>-</v>
      </c>
      <c r="BC214" s="964" t="str">
        <f t="shared" si="286"/>
        <v>-</v>
      </c>
      <c r="BD214" s="964" t="str">
        <f t="shared" si="287"/>
        <v>-</v>
      </c>
      <c r="BE214" s="964" t="str">
        <f t="shared" si="288"/>
        <v>-</v>
      </c>
      <c r="BF214" s="966" t="str">
        <f t="shared" si="289"/>
        <v>-</v>
      </c>
      <c r="BG214" s="951"/>
      <c r="BH214" s="1541" t="str">
        <f t="shared" si="290"/>
        <v>Qty</v>
      </c>
      <c r="BI214" s="1542" t="str">
        <f t="shared" si="291"/>
        <v>Sewerage</v>
      </c>
      <c r="BJ214" s="1543" t="str">
        <f t="shared" si="292"/>
        <v>Variable</v>
      </c>
      <c r="BK214" s="964" t="str">
        <f t="shared" ref="BK214:BU214" si="323">IF(V214="","-",IFERROR((V214/U214-1)*(U215/U$13),"-"))</f>
        <v>-</v>
      </c>
      <c r="BL214" s="964" t="str">
        <f t="shared" si="323"/>
        <v>-</v>
      </c>
      <c r="BM214" s="964" t="str">
        <f t="shared" si="323"/>
        <v>-</v>
      </c>
      <c r="BN214" s="964" t="str">
        <f t="shared" si="323"/>
        <v>-</v>
      </c>
      <c r="BO214" s="1350" t="str">
        <f t="shared" si="323"/>
        <v>-</v>
      </c>
      <c r="BP214" s="1343" t="str">
        <f t="shared" si="323"/>
        <v>-</v>
      </c>
      <c r="BQ214" s="964" t="str">
        <f t="shared" si="323"/>
        <v>-</v>
      </c>
      <c r="BR214" s="964" t="str">
        <f t="shared" si="323"/>
        <v>-</v>
      </c>
      <c r="BS214" s="964" t="str">
        <f t="shared" si="323"/>
        <v>-</v>
      </c>
      <c r="BT214" s="965" t="str">
        <f t="shared" si="323"/>
        <v>-</v>
      </c>
      <c r="BU214" s="964" t="str">
        <f t="shared" si="323"/>
        <v>-</v>
      </c>
      <c r="BV214" s="964" t="str">
        <f>IF(AG214="","-",IFERROR((AG214/AF214-1)*(AF215/AF$13),"-"))</f>
        <v>-</v>
      </c>
      <c r="BW214" s="964" t="str">
        <f>IF(AH214="","-",IFERROR((AH214/AG214-1)*(AG215/AG$13),"-"))</f>
        <v>-</v>
      </c>
      <c r="BX214" s="964" t="str">
        <f>IF(AI214="","-",IFERROR((AI214/AH214-1)*(AH215/AH$13),"-"))</f>
        <v>-</v>
      </c>
      <c r="BY214" s="966" t="str">
        <f>IF(AJ214="","-",IFERROR((AJ214/AI214-1)*(AI215/AI$13),"-"))</f>
        <v>-</v>
      </c>
      <c r="BZ214" s="951"/>
      <c r="CA214" s="961" t="str">
        <f t="shared" si="268"/>
        <v>Qty</v>
      </c>
      <c r="CB214" s="962" t="str">
        <f t="shared" si="269"/>
        <v>Sewerage</v>
      </c>
      <c r="CC214" s="962" t="str">
        <f t="shared" si="270"/>
        <v>Variable</v>
      </c>
      <c r="CD214" s="967" t="str">
        <f t="shared" si="301"/>
        <v>-</v>
      </c>
      <c r="CE214" s="964" t="str">
        <f t="shared" si="294"/>
        <v>-</v>
      </c>
      <c r="CF214" s="964" t="str">
        <f t="shared" si="295"/>
        <v>-</v>
      </c>
      <c r="CG214" s="965" t="str">
        <f t="shared" si="296"/>
        <v>-</v>
      </c>
      <c r="CH214" s="964" t="str">
        <f t="shared" si="302"/>
        <v>-</v>
      </c>
      <c r="CI214" s="964" t="str">
        <f t="shared" si="297"/>
        <v>-</v>
      </c>
      <c r="CJ214" s="964" t="str">
        <f t="shared" si="298"/>
        <v>-</v>
      </c>
      <c r="CK214" s="966" t="str">
        <f t="shared" si="299"/>
        <v>-</v>
      </c>
    </row>
    <row r="215" spans="4:89" ht="12.75" thickBot="1">
      <c r="E215" s="568" t="s">
        <v>882</v>
      </c>
      <c r="F215" s="560" t="str">
        <f>+F213</f>
        <v>Sewerage</v>
      </c>
      <c r="G215" s="561" t="str">
        <f>+G213</f>
        <v>SEW</v>
      </c>
      <c r="H215" s="561" t="str">
        <f>+H213</f>
        <v>Trade waste - TDS/inorganic TDS Western</v>
      </c>
      <c r="I215" s="562" t="str">
        <f>+I213</f>
        <v>Variable</v>
      </c>
      <c r="J215" s="563" t="s">
        <v>883</v>
      </c>
      <c r="K215" s="564">
        <f t="shared" ref="K215:AJ215" si="324">K213*K214/10^6</f>
        <v>0</v>
      </c>
      <c r="L215" s="565">
        <f t="shared" si="324"/>
        <v>0</v>
      </c>
      <c r="M215" s="565">
        <f t="shared" si="324"/>
        <v>0</v>
      </c>
      <c r="N215" s="564">
        <f t="shared" si="324"/>
        <v>0</v>
      </c>
      <c r="O215" s="565">
        <f t="shared" si="324"/>
        <v>0</v>
      </c>
      <c r="P215" s="565">
        <f t="shared" si="324"/>
        <v>0</v>
      </c>
      <c r="Q215" s="565">
        <f t="shared" si="324"/>
        <v>0</v>
      </c>
      <c r="R215" s="566">
        <f t="shared" si="324"/>
        <v>0</v>
      </c>
      <c r="S215" s="564">
        <f t="shared" si="324"/>
        <v>0</v>
      </c>
      <c r="T215" s="565">
        <f t="shared" si="324"/>
        <v>0</v>
      </c>
      <c r="U215" s="566">
        <f t="shared" si="324"/>
        <v>0</v>
      </c>
      <c r="V215" s="564">
        <f t="shared" si="324"/>
        <v>0</v>
      </c>
      <c r="W215" s="565">
        <f t="shared" si="324"/>
        <v>0</v>
      </c>
      <c r="X215" s="565">
        <f t="shared" si="324"/>
        <v>0</v>
      </c>
      <c r="Y215" s="565">
        <f t="shared" si="324"/>
        <v>0</v>
      </c>
      <c r="Z215" s="566">
        <f t="shared" si="324"/>
        <v>0</v>
      </c>
      <c r="AA215" s="564">
        <f t="shared" si="324"/>
        <v>0</v>
      </c>
      <c r="AB215" s="565">
        <f t="shared" si="324"/>
        <v>0</v>
      </c>
      <c r="AC215" s="565">
        <f t="shared" si="324"/>
        <v>0</v>
      </c>
      <c r="AD215" s="565">
        <f t="shared" si="324"/>
        <v>0</v>
      </c>
      <c r="AE215" s="566">
        <f t="shared" si="324"/>
        <v>0</v>
      </c>
      <c r="AF215" s="564">
        <f t="shared" si="324"/>
        <v>0</v>
      </c>
      <c r="AG215" s="565">
        <f t="shared" si="324"/>
        <v>0</v>
      </c>
      <c r="AH215" s="565">
        <f t="shared" si="324"/>
        <v>0</v>
      </c>
      <c r="AI215" s="565">
        <f t="shared" si="324"/>
        <v>0</v>
      </c>
      <c r="AJ215" s="566">
        <f t="shared" si="324"/>
        <v>0</v>
      </c>
      <c r="AK215" s="569"/>
      <c r="AL215" s="569"/>
      <c r="AN215" s="857"/>
      <c r="AO215" s="984" t="str">
        <f t="shared" si="272"/>
        <v>Rev</v>
      </c>
      <c r="AP215" s="985" t="str">
        <f t="shared" si="273"/>
        <v>Sewerage</v>
      </c>
      <c r="AQ215" s="986" t="str">
        <f t="shared" si="274"/>
        <v>Variable</v>
      </c>
      <c r="AR215" s="990" t="str">
        <f t="shared" si="275"/>
        <v>-</v>
      </c>
      <c r="AS215" s="987" t="str">
        <f t="shared" si="276"/>
        <v>-</v>
      </c>
      <c r="AT215" s="987" t="str">
        <f t="shared" si="277"/>
        <v>-</v>
      </c>
      <c r="AU215" s="987" t="str">
        <f t="shared" si="278"/>
        <v>-</v>
      </c>
      <c r="AV215" s="1353" t="str">
        <f t="shared" si="279"/>
        <v>-</v>
      </c>
      <c r="AW215" s="1346" t="str">
        <f t="shared" si="280"/>
        <v>-</v>
      </c>
      <c r="AX215" s="987" t="str">
        <f t="shared" si="281"/>
        <v>-</v>
      </c>
      <c r="AY215" s="987" t="str">
        <f t="shared" si="282"/>
        <v>-</v>
      </c>
      <c r="AZ215" s="987" t="str">
        <f t="shared" si="283"/>
        <v>-</v>
      </c>
      <c r="BA215" s="988" t="str">
        <f t="shared" si="284"/>
        <v>-</v>
      </c>
      <c r="BB215" s="1346" t="str">
        <f t="shared" si="285"/>
        <v>-</v>
      </c>
      <c r="BC215" s="987" t="str">
        <f t="shared" si="286"/>
        <v>-</v>
      </c>
      <c r="BD215" s="987" t="str">
        <f t="shared" si="287"/>
        <v>-</v>
      </c>
      <c r="BE215" s="987" t="str">
        <f t="shared" si="288"/>
        <v>-</v>
      </c>
      <c r="BF215" s="989" t="str">
        <f t="shared" si="289"/>
        <v>-</v>
      </c>
      <c r="BG215" s="951"/>
      <c r="BH215" s="1550" t="str">
        <f t="shared" si="290"/>
        <v>Rev</v>
      </c>
      <c r="BI215" s="1551" t="str">
        <f t="shared" si="291"/>
        <v>Sewerage</v>
      </c>
      <c r="BJ215" s="1552" t="str">
        <f t="shared" si="292"/>
        <v>Variable</v>
      </c>
      <c r="BK215" s="987" t="str">
        <f t="shared" ref="BK215:BU215" si="325">IF(V215="","-",IFERROR((V215/U215-1)*(U215/U$13),"-"))</f>
        <v>-</v>
      </c>
      <c r="BL215" s="987" t="str">
        <f t="shared" si="325"/>
        <v>-</v>
      </c>
      <c r="BM215" s="987" t="str">
        <f t="shared" si="325"/>
        <v>-</v>
      </c>
      <c r="BN215" s="987" t="str">
        <f t="shared" si="325"/>
        <v>-</v>
      </c>
      <c r="BO215" s="1353" t="str">
        <f t="shared" si="325"/>
        <v>-</v>
      </c>
      <c r="BP215" s="1346" t="str">
        <f t="shared" si="325"/>
        <v>-</v>
      </c>
      <c r="BQ215" s="987" t="str">
        <f t="shared" si="325"/>
        <v>-</v>
      </c>
      <c r="BR215" s="987" t="str">
        <f t="shared" si="325"/>
        <v>-</v>
      </c>
      <c r="BS215" s="987" t="str">
        <f t="shared" si="325"/>
        <v>-</v>
      </c>
      <c r="BT215" s="988" t="str">
        <f t="shared" si="325"/>
        <v>-</v>
      </c>
      <c r="BU215" s="987" t="str">
        <f t="shared" si="325"/>
        <v>-</v>
      </c>
      <c r="BV215" s="987" t="str">
        <f>IF(AG215="","-",IFERROR((AG215/AF215-1)*(AF215/AF$13),"-"))</f>
        <v>-</v>
      </c>
      <c r="BW215" s="987" t="str">
        <f>IF(AH215="","-",IFERROR((AH215/AG215-1)*(AG215/AG$13),"-"))</f>
        <v>-</v>
      </c>
      <c r="BX215" s="987" t="str">
        <f>IF(AI215="","-",IFERROR((AI215/AH215-1)*(AH215/AH$13),"-"))</f>
        <v>-</v>
      </c>
      <c r="BY215" s="989" t="str">
        <f>IF(AJ215="","-",IFERROR((AJ215/AI215-1)*(AI215/AI$13),"-"))</f>
        <v>-</v>
      </c>
      <c r="BZ215" s="951"/>
      <c r="CA215" s="984" t="str">
        <f t="shared" si="268"/>
        <v>Rev</v>
      </c>
      <c r="CB215" s="985" t="str">
        <f t="shared" si="269"/>
        <v>Sewerage</v>
      </c>
      <c r="CC215" s="985" t="str">
        <f t="shared" si="270"/>
        <v>Variable</v>
      </c>
      <c r="CD215" s="990" t="str">
        <f t="shared" si="301"/>
        <v>-</v>
      </c>
      <c r="CE215" s="987" t="str">
        <f t="shared" si="294"/>
        <v>-</v>
      </c>
      <c r="CF215" s="987" t="str">
        <f t="shared" si="295"/>
        <v>-</v>
      </c>
      <c r="CG215" s="988" t="str">
        <f t="shared" si="296"/>
        <v>-</v>
      </c>
      <c r="CH215" s="987" t="str">
        <f t="shared" si="302"/>
        <v>-</v>
      </c>
      <c r="CI215" s="987" t="str">
        <f t="shared" si="297"/>
        <v>-</v>
      </c>
      <c r="CJ215" s="987" t="str">
        <f t="shared" si="298"/>
        <v>-</v>
      </c>
      <c r="CK215" s="989" t="str">
        <f t="shared" si="299"/>
        <v>-</v>
      </c>
    </row>
    <row r="216" spans="4:89">
      <c r="D216" s="63">
        <f>D213+1</f>
        <v>50</v>
      </c>
      <c r="E216" s="550" t="s">
        <v>857</v>
      </c>
      <c r="F216" s="595" t="s">
        <v>402</v>
      </c>
      <c r="G216" s="595" t="s">
        <v>103</v>
      </c>
      <c r="H216" s="595" t="s">
        <v>902</v>
      </c>
      <c r="I216" s="589" t="s">
        <v>843</v>
      </c>
      <c r="J216" s="589" t="s">
        <v>879</v>
      </c>
      <c r="K216" s="551"/>
      <c r="L216" s="552"/>
      <c r="M216" s="552"/>
      <c r="N216" s="551"/>
      <c r="O216" s="552"/>
      <c r="P216" s="552"/>
      <c r="Q216" s="552"/>
      <c r="R216" s="1035"/>
      <c r="S216" s="1138"/>
      <c r="T216" s="591"/>
      <c r="U216" s="1035"/>
      <c r="V216" s="1138"/>
      <c r="W216" s="591"/>
      <c r="X216" s="591"/>
      <c r="Y216" s="591"/>
      <c r="Z216" s="1035"/>
      <c r="AA216" s="1138"/>
      <c r="AB216" s="591"/>
      <c r="AC216" s="591"/>
      <c r="AD216" s="591"/>
      <c r="AE216" s="1035"/>
      <c r="AF216" s="1138"/>
      <c r="AG216" s="591"/>
      <c r="AH216" s="591"/>
      <c r="AI216" s="591"/>
      <c r="AJ216" s="1035"/>
      <c r="AK216" s="569"/>
      <c r="AL216" s="569"/>
      <c r="AM216" s="974"/>
      <c r="AN216" s="857"/>
      <c r="AO216" s="975" t="str">
        <f t="shared" si="272"/>
        <v>Price</v>
      </c>
      <c r="AP216" s="976" t="str">
        <f t="shared" si="273"/>
        <v>Sewerage</v>
      </c>
      <c r="AQ216" s="977" t="str">
        <f t="shared" si="274"/>
        <v>Variable</v>
      </c>
      <c r="AR216" s="1341" t="str">
        <f t="shared" si="275"/>
        <v>-</v>
      </c>
      <c r="AS216" s="978" t="str">
        <f t="shared" si="276"/>
        <v>-</v>
      </c>
      <c r="AT216" s="979" t="str">
        <f t="shared" si="277"/>
        <v>-</v>
      </c>
      <c r="AU216" s="979" t="str">
        <f t="shared" si="278"/>
        <v>-</v>
      </c>
      <c r="AV216" s="1352" t="str">
        <f t="shared" si="279"/>
        <v>-</v>
      </c>
      <c r="AW216" s="1345" t="str">
        <f t="shared" si="280"/>
        <v>-</v>
      </c>
      <c r="AX216" s="979" t="str">
        <f t="shared" si="281"/>
        <v>-</v>
      </c>
      <c r="AY216" s="979" t="str">
        <f t="shared" si="282"/>
        <v>-</v>
      </c>
      <c r="AZ216" s="979" t="str">
        <f t="shared" si="283"/>
        <v>-</v>
      </c>
      <c r="BA216" s="980" t="str">
        <f t="shared" si="284"/>
        <v>-</v>
      </c>
      <c r="BB216" s="1345" t="str">
        <f t="shared" si="285"/>
        <v>-</v>
      </c>
      <c r="BC216" s="979" t="str">
        <f t="shared" si="286"/>
        <v>-</v>
      </c>
      <c r="BD216" s="979" t="str">
        <f t="shared" si="287"/>
        <v>-</v>
      </c>
      <c r="BE216" s="979" t="str">
        <f t="shared" si="288"/>
        <v>-</v>
      </c>
      <c r="BF216" s="981" t="str">
        <f t="shared" si="289"/>
        <v>-</v>
      </c>
      <c r="BG216" s="951"/>
      <c r="BH216" s="1547" t="str">
        <f t="shared" si="290"/>
        <v>Price</v>
      </c>
      <c r="BI216" s="1548" t="str">
        <f t="shared" si="291"/>
        <v>Sewerage</v>
      </c>
      <c r="BJ216" s="1549" t="str">
        <f t="shared" si="292"/>
        <v>Variable</v>
      </c>
      <c r="BK216" s="978" t="str">
        <f t="shared" ref="BK216:BU216" si="326">IF(V216="","-",IFERROR((V216/U216-1)*(U218/U$13),"-"))</f>
        <v>-</v>
      </c>
      <c r="BL216" s="978" t="str">
        <f t="shared" si="326"/>
        <v>-</v>
      </c>
      <c r="BM216" s="979" t="str">
        <f t="shared" si="326"/>
        <v>-</v>
      </c>
      <c r="BN216" s="979" t="str">
        <f t="shared" si="326"/>
        <v>-</v>
      </c>
      <c r="BO216" s="1352" t="str">
        <f t="shared" si="326"/>
        <v>-</v>
      </c>
      <c r="BP216" s="1345" t="str">
        <f t="shared" si="326"/>
        <v>-</v>
      </c>
      <c r="BQ216" s="979" t="str">
        <f t="shared" si="326"/>
        <v>-</v>
      </c>
      <c r="BR216" s="979" t="str">
        <f t="shared" si="326"/>
        <v>-</v>
      </c>
      <c r="BS216" s="979" t="str">
        <f t="shared" si="326"/>
        <v>-</v>
      </c>
      <c r="BT216" s="980" t="str">
        <f t="shared" si="326"/>
        <v>-</v>
      </c>
      <c r="BU216" s="979" t="str">
        <f t="shared" si="326"/>
        <v>-</v>
      </c>
      <c r="BV216" s="979" t="str">
        <f>IF(AG216="","-",IFERROR((AG216/AF216-1)*(AF218/AF$13),"-"))</f>
        <v>-</v>
      </c>
      <c r="BW216" s="979" t="str">
        <f>IF(AH216="","-",IFERROR((AH216/AG216-1)*(AG218/AG$13),"-"))</f>
        <v>-</v>
      </c>
      <c r="BX216" s="979" t="str">
        <f>IF(AI216="","-",IFERROR((AI216/AH216-1)*(AH218/AH$13),"-"))</f>
        <v>-</v>
      </c>
      <c r="BY216" s="981" t="str">
        <f>IF(AJ216="","-",IFERROR((AJ216/AI216-1)*(AI218/AI$13),"-"))</f>
        <v>-</v>
      </c>
      <c r="BZ216" s="951"/>
      <c r="CA216" s="975" t="str">
        <f t="shared" si="268"/>
        <v>Price</v>
      </c>
      <c r="CB216" s="976" t="str">
        <f t="shared" si="269"/>
        <v>Sewerage</v>
      </c>
      <c r="CC216" s="982" t="str">
        <f t="shared" si="270"/>
        <v>Variable</v>
      </c>
      <c r="CD216" s="983" t="str">
        <f t="shared" si="301"/>
        <v>-</v>
      </c>
      <c r="CE216" s="979" t="str">
        <f t="shared" si="294"/>
        <v>-</v>
      </c>
      <c r="CF216" s="979" t="str">
        <f t="shared" si="295"/>
        <v>-</v>
      </c>
      <c r="CG216" s="980" t="str">
        <f t="shared" si="296"/>
        <v>-</v>
      </c>
      <c r="CH216" s="979" t="str">
        <f t="shared" si="302"/>
        <v>-</v>
      </c>
      <c r="CI216" s="979" t="str">
        <f t="shared" si="297"/>
        <v>-</v>
      </c>
      <c r="CJ216" s="979" t="str">
        <f t="shared" si="298"/>
        <v>-</v>
      </c>
      <c r="CK216" s="981" t="str">
        <f t="shared" si="299"/>
        <v>-</v>
      </c>
    </row>
    <row r="217" spans="4:89">
      <c r="E217" s="567" t="s">
        <v>880</v>
      </c>
      <c r="F217" s="554" t="str">
        <f>+F216</f>
        <v>Sewerage</v>
      </c>
      <c r="G217" s="555" t="str">
        <f>+G216</f>
        <v>YVW</v>
      </c>
      <c r="H217" s="555" t="str">
        <f>+H216</f>
        <v>Trade waste - TDS/inorganic TDS Western</v>
      </c>
      <c r="I217" s="556" t="str">
        <f>+I216</f>
        <v>Variable</v>
      </c>
      <c r="J217" s="590" t="s">
        <v>896</v>
      </c>
      <c r="K217" s="557"/>
      <c r="L217" s="558"/>
      <c r="M217" s="558"/>
      <c r="N217" s="557"/>
      <c r="O217" s="558"/>
      <c r="P217" s="558"/>
      <c r="Q217" s="558"/>
      <c r="R217" s="1036"/>
      <c r="S217" s="1139"/>
      <c r="T217" s="593"/>
      <c r="U217" s="1036"/>
      <c r="V217" s="1139"/>
      <c r="W217" s="593"/>
      <c r="X217" s="593"/>
      <c r="Y217" s="593"/>
      <c r="Z217" s="1036"/>
      <c r="AA217" s="1139"/>
      <c r="AB217" s="593"/>
      <c r="AC217" s="593"/>
      <c r="AD217" s="593"/>
      <c r="AE217" s="1036"/>
      <c r="AF217" s="1139"/>
      <c r="AG217" s="593"/>
      <c r="AH217" s="593"/>
      <c r="AI217" s="593"/>
      <c r="AJ217" s="1036"/>
      <c r="AK217" s="569"/>
      <c r="AL217" s="569"/>
      <c r="AN217" s="857"/>
      <c r="AO217" s="961" t="str">
        <f t="shared" si="272"/>
        <v>Qty</v>
      </c>
      <c r="AP217" s="962" t="str">
        <f t="shared" si="273"/>
        <v>Sewerage</v>
      </c>
      <c r="AQ217" s="963" t="str">
        <f t="shared" si="274"/>
        <v>Variable</v>
      </c>
      <c r="AR217" s="967" t="str">
        <f t="shared" si="275"/>
        <v>-</v>
      </c>
      <c r="AS217" s="964" t="str">
        <f t="shared" si="276"/>
        <v>-</v>
      </c>
      <c r="AT217" s="964" t="str">
        <f t="shared" si="277"/>
        <v>-</v>
      </c>
      <c r="AU217" s="964" t="str">
        <f t="shared" si="278"/>
        <v>-</v>
      </c>
      <c r="AV217" s="1350" t="str">
        <f t="shared" si="279"/>
        <v>-</v>
      </c>
      <c r="AW217" s="1343" t="str">
        <f t="shared" si="280"/>
        <v>-</v>
      </c>
      <c r="AX217" s="964" t="str">
        <f t="shared" si="281"/>
        <v>-</v>
      </c>
      <c r="AY217" s="964" t="str">
        <f t="shared" si="282"/>
        <v>-</v>
      </c>
      <c r="AZ217" s="964" t="str">
        <f t="shared" si="283"/>
        <v>-</v>
      </c>
      <c r="BA217" s="965" t="str">
        <f t="shared" si="284"/>
        <v>-</v>
      </c>
      <c r="BB217" s="1343" t="str">
        <f t="shared" si="285"/>
        <v>-</v>
      </c>
      <c r="BC217" s="964" t="str">
        <f t="shared" si="286"/>
        <v>-</v>
      </c>
      <c r="BD217" s="964" t="str">
        <f t="shared" si="287"/>
        <v>-</v>
      </c>
      <c r="BE217" s="964" t="str">
        <f t="shared" si="288"/>
        <v>-</v>
      </c>
      <c r="BF217" s="966" t="str">
        <f t="shared" si="289"/>
        <v>-</v>
      </c>
      <c r="BG217" s="951"/>
      <c r="BH217" s="1541" t="str">
        <f t="shared" si="290"/>
        <v>Qty</v>
      </c>
      <c r="BI217" s="1542" t="str">
        <f t="shared" si="291"/>
        <v>Sewerage</v>
      </c>
      <c r="BJ217" s="1543" t="str">
        <f t="shared" si="292"/>
        <v>Variable</v>
      </c>
      <c r="BK217" s="964" t="str">
        <f t="shared" ref="BK217:BU217" si="327">IF(V217="","-",IFERROR((V217/U217-1)*(U218/U$13),"-"))</f>
        <v>-</v>
      </c>
      <c r="BL217" s="964" t="str">
        <f t="shared" si="327"/>
        <v>-</v>
      </c>
      <c r="BM217" s="964" t="str">
        <f t="shared" si="327"/>
        <v>-</v>
      </c>
      <c r="BN217" s="964" t="str">
        <f t="shared" si="327"/>
        <v>-</v>
      </c>
      <c r="BO217" s="1350" t="str">
        <f t="shared" si="327"/>
        <v>-</v>
      </c>
      <c r="BP217" s="1343" t="str">
        <f t="shared" si="327"/>
        <v>-</v>
      </c>
      <c r="BQ217" s="964" t="str">
        <f t="shared" si="327"/>
        <v>-</v>
      </c>
      <c r="BR217" s="964" t="str">
        <f t="shared" si="327"/>
        <v>-</v>
      </c>
      <c r="BS217" s="964" t="str">
        <f t="shared" si="327"/>
        <v>-</v>
      </c>
      <c r="BT217" s="965" t="str">
        <f t="shared" si="327"/>
        <v>-</v>
      </c>
      <c r="BU217" s="964" t="str">
        <f t="shared" si="327"/>
        <v>-</v>
      </c>
      <c r="BV217" s="964" t="str">
        <f>IF(AG217="","-",IFERROR((AG217/AF217-1)*(AF218/AF$13),"-"))</f>
        <v>-</v>
      </c>
      <c r="BW217" s="964" t="str">
        <f>IF(AH217="","-",IFERROR((AH217/AG217-1)*(AG218/AG$13),"-"))</f>
        <v>-</v>
      </c>
      <c r="BX217" s="964" t="str">
        <f>IF(AI217="","-",IFERROR((AI217/AH217-1)*(AH218/AH$13),"-"))</f>
        <v>-</v>
      </c>
      <c r="BY217" s="966" t="str">
        <f>IF(AJ217="","-",IFERROR((AJ217/AI217-1)*(AI218/AI$13),"-"))</f>
        <v>-</v>
      </c>
      <c r="BZ217" s="951"/>
      <c r="CA217" s="961" t="str">
        <f t="shared" si="268"/>
        <v>Qty</v>
      </c>
      <c r="CB217" s="962" t="str">
        <f t="shared" si="269"/>
        <v>Sewerage</v>
      </c>
      <c r="CC217" s="962" t="str">
        <f t="shared" si="270"/>
        <v>Variable</v>
      </c>
      <c r="CD217" s="967" t="str">
        <f t="shared" si="301"/>
        <v>-</v>
      </c>
      <c r="CE217" s="964" t="str">
        <f t="shared" si="294"/>
        <v>-</v>
      </c>
      <c r="CF217" s="964" t="str">
        <f t="shared" si="295"/>
        <v>-</v>
      </c>
      <c r="CG217" s="965" t="str">
        <f t="shared" si="296"/>
        <v>-</v>
      </c>
      <c r="CH217" s="964" t="str">
        <f t="shared" si="302"/>
        <v>-</v>
      </c>
      <c r="CI217" s="964" t="str">
        <f t="shared" si="297"/>
        <v>-</v>
      </c>
      <c r="CJ217" s="964" t="str">
        <f t="shared" si="298"/>
        <v>-</v>
      </c>
      <c r="CK217" s="966" t="str">
        <f t="shared" si="299"/>
        <v>-</v>
      </c>
    </row>
    <row r="218" spans="4:89" ht="12.75" thickBot="1">
      <c r="E218" s="568" t="s">
        <v>882</v>
      </c>
      <c r="F218" s="560" t="str">
        <f>+F216</f>
        <v>Sewerage</v>
      </c>
      <c r="G218" s="561" t="str">
        <f>+G216</f>
        <v>YVW</v>
      </c>
      <c r="H218" s="561" t="str">
        <f>+H216</f>
        <v>Trade waste - TDS/inorganic TDS Western</v>
      </c>
      <c r="I218" s="562" t="str">
        <f>+I216</f>
        <v>Variable</v>
      </c>
      <c r="J218" s="563" t="s">
        <v>883</v>
      </c>
      <c r="K218" s="564">
        <f t="shared" ref="K218:AJ218" si="328">K216*K217/10^6</f>
        <v>0</v>
      </c>
      <c r="L218" s="565">
        <f t="shared" si="328"/>
        <v>0</v>
      </c>
      <c r="M218" s="565">
        <f t="shared" si="328"/>
        <v>0</v>
      </c>
      <c r="N218" s="564">
        <f t="shared" si="328"/>
        <v>0</v>
      </c>
      <c r="O218" s="565">
        <f t="shared" si="328"/>
        <v>0</v>
      </c>
      <c r="P218" s="565">
        <f t="shared" si="328"/>
        <v>0</v>
      </c>
      <c r="Q218" s="565">
        <f t="shared" si="328"/>
        <v>0</v>
      </c>
      <c r="R218" s="566">
        <f t="shared" si="328"/>
        <v>0</v>
      </c>
      <c r="S218" s="564">
        <f t="shared" si="328"/>
        <v>0</v>
      </c>
      <c r="T218" s="565">
        <f t="shared" si="328"/>
        <v>0</v>
      </c>
      <c r="U218" s="566">
        <f t="shared" si="328"/>
        <v>0</v>
      </c>
      <c r="V218" s="564">
        <f t="shared" si="328"/>
        <v>0</v>
      </c>
      <c r="W218" s="565">
        <f t="shared" si="328"/>
        <v>0</v>
      </c>
      <c r="X218" s="565">
        <f t="shared" si="328"/>
        <v>0</v>
      </c>
      <c r="Y218" s="565">
        <f t="shared" si="328"/>
        <v>0</v>
      </c>
      <c r="Z218" s="566">
        <f t="shared" si="328"/>
        <v>0</v>
      </c>
      <c r="AA218" s="564">
        <f t="shared" si="328"/>
        <v>0</v>
      </c>
      <c r="AB218" s="565">
        <f t="shared" si="328"/>
        <v>0</v>
      </c>
      <c r="AC218" s="565">
        <f t="shared" si="328"/>
        <v>0</v>
      </c>
      <c r="AD218" s="565">
        <f t="shared" si="328"/>
        <v>0</v>
      </c>
      <c r="AE218" s="566">
        <f t="shared" si="328"/>
        <v>0</v>
      </c>
      <c r="AF218" s="564">
        <f t="shared" si="328"/>
        <v>0</v>
      </c>
      <c r="AG218" s="565">
        <f t="shared" si="328"/>
        <v>0</v>
      </c>
      <c r="AH218" s="565">
        <f t="shared" si="328"/>
        <v>0</v>
      </c>
      <c r="AI218" s="565">
        <f t="shared" si="328"/>
        <v>0</v>
      </c>
      <c r="AJ218" s="566">
        <f t="shared" si="328"/>
        <v>0</v>
      </c>
      <c r="AK218" s="569"/>
      <c r="AL218" s="569"/>
      <c r="AN218" s="857"/>
      <c r="AO218" s="984" t="str">
        <f t="shared" si="272"/>
        <v>Rev</v>
      </c>
      <c r="AP218" s="985" t="str">
        <f t="shared" si="273"/>
        <v>Sewerage</v>
      </c>
      <c r="AQ218" s="986" t="str">
        <f t="shared" si="274"/>
        <v>Variable</v>
      </c>
      <c r="AR218" s="990" t="str">
        <f t="shared" si="275"/>
        <v>-</v>
      </c>
      <c r="AS218" s="987" t="str">
        <f t="shared" si="276"/>
        <v>-</v>
      </c>
      <c r="AT218" s="987" t="str">
        <f t="shared" si="277"/>
        <v>-</v>
      </c>
      <c r="AU218" s="987" t="str">
        <f t="shared" si="278"/>
        <v>-</v>
      </c>
      <c r="AV218" s="1353" t="str">
        <f t="shared" si="279"/>
        <v>-</v>
      </c>
      <c r="AW218" s="1346" t="str">
        <f t="shared" si="280"/>
        <v>-</v>
      </c>
      <c r="AX218" s="987" t="str">
        <f t="shared" si="281"/>
        <v>-</v>
      </c>
      <c r="AY218" s="987" t="str">
        <f t="shared" si="282"/>
        <v>-</v>
      </c>
      <c r="AZ218" s="987" t="str">
        <f t="shared" si="283"/>
        <v>-</v>
      </c>
      <c r="BA218" s="988" t="str">
        <f t="shared" si="284"/>
        <v>-</v>
      </c>
      <c r="BB218" s="1346" t="str">
        <f t="shared" si="285"/>
        <v>-</v>
      </c>
      <c r="BC218" s="987" t="str">
        <f t="shared" si="286"/>
        <v>-</v>
      </c>
      <c r="BD218" s="987" t="str">
        <f t="shared" si="287"/>
        <v>-</v>
      </c>
      <c r="BE218" s="987" t="str">
        <f t="shared" si="288"/>
        <v>-</v>
      </c>
      <c r="BF218" s="989" t="str">
        <f t="shared" si="289"/>
        <v>-</v>
      </c>
      <c r="BG218" s="951"/>
      <c r="BH218" s="1550" t="str">
        <f t="shared" si="290"/>
        <v>Rev</v>
      </c>
      <c r="BI218" s="1551" t="str">
        <f t="shared" si="291"/>
        <v>Sewerage</v>
      </c>
      <c r="BJ218" s="1552" t="str">
        <f t="shared" si="292"/>
        <v>Variable</v>
      </c>
      <c r="BK218" s="987" t="str">
        <f t="shared" ref="BK218:BU218" si="329">IF(V218="","-",IFERROR((V218/U218-1)*(U218/U$13),"-"))</f>
        <v>-</v>
      </c>
      <c r="BL218" s="987" t="str">
        <f t="shared" si="329"/>
        <v>-</v>
      </c>
      <c r="BM218" s="987" t="str">
        <f t="shared" si="329"/>
        <v>-</v>
      </c>
      <c r="BN218" s="987" t="str">
        <f t="shared" si="329"/>
        <v>-</v>
      </c>
      <c r="BO218" s="1353" t="str">
        <f t="shared" si="329"/>
        <v>-</v>
      </c>
      <c r="BP218" s="1346" t="str">
        <f t="shared" si="329"/>
        <v>-</v>
      </c>
      <c r="BQ218" s="987" t="str">
        <f t="shared" si="329"/>
        <v>-</v>
      </c>
      <c r="BR218" s="987" t="str">
        <f t="shared" si="329"/>
        <v>-</v>
      </c>
      <c r="BS218" s="987" t="str">
        <f t="shared" si="329"/>
        <v>-</v>
      </c>
      <c r="BT218" s="988" t="str">
        <f t="shared" si="329"/>
        <v>-</v>
      </c>
      <c r="BU218" s="987" t="str">
        <f t="shared" si="329"/>
        <v>-</v>
      </c>
      <c r="BV218" s="987" t="str">
        <f>IF(AG218="","-",IFERROR((AG218/AF218-1)*(AF218/AF$13),"-"))</f>
        <v>-</v>
      </c>
      <c r="BW218" s="987" t="str">
        <f>IF(AH218="","-",IFERROR((AH218/AG218-1)*(AG218/AG$13),"-"))</f>
        <v>-</v>
      </c>
      <c r="BX218" s="987" t="str">
        <f>IF(AI218="","-",IFERROR((AI218/AH218-1)*(AH218/AH$13),"-"))</f>
        <v>-</v>
      </c>
      <c r="BY218" s="989" t="str">
        <f>IF(AJ218="","-",IFERROR((AJ218/AI218-1)*(AI218/AI$13),"-"))</f>
        <v>-</v>
      </c>
      <c r="BZ218" s="951"/>
      <c r="CA218" s="984" t="str">
        <f t="shared" si="268"/>
        <v>Rev</v>
      </c>
      <c r="CB218" s="985" t="str">
        <f t="shared" si="269"/>
        <v>Sewerage</v>
      </c>
      <c r="CC218" s="985" t="str">
        <f t="shared" si="270"/>
        <v>Variable</v>
      </c>
      <c r="CD218" s="990" t="str">
        <f t="shared" si="301"/>
        <v>-</v>
      </c>
      <c r="CE218" s="987" t="str">
        <f t="shared" si="294"/>
        <v>-</v>
      </c>
      <c r="CF218" s="987" t="str">
        <f t="shared" si="295"/>
        <v>-</v>
      </c>
      <c r="CG218" s="988" t="str">
        <f t="shared" si="296"/>
        <v>-</v>
      </c>
      <c r="CH218" s="987" t="str">
        <f t="shared" si="302"/>
        <v>-</v>
      </c>
      <c r="CI218" s="987" t="str">
        <f t="shared" si="297"/>
        <v>-</v>
      </c>
      <c r="CJ218" s="987" t="str">
        <f t="shared" si="298"/>
        <v>-</v>
      </c>
      <c r="CK218" s="989" t="str">
        <f t="shared" si="299"/>
        <v>-</v>
      </c>
    </row>
    <row r="219" spans="4:89">
      <c r="D219" s="63">
        <f>D216+1</f>
        <v>51</v>
      </c>
      <c r="E219" s="550" t="s">
        <v>857</v>
      </c>
      <c r="F219" s="595" t="s">
        <v>402</v>
      </c>
      <c r="G219" s="595" t="s">
        <v>877</v>
      </c>
      <c r="H219" s="595" t="s">
        <v>903</v>
      </c>
      <c r="I219" s="589" t="s">
        <v>842</v>
      </c>
      <c r="J219" s="589" t="s">
        <v>879</v>
      </c>
      <c r="K219" s="551"/>
      <c r="L219" s="552"/>
      <c r="M219" s="552"/>
      <c r="N219" s="551"/>
      <c r="O219" s="552"/>
      <c r="P219" s="552"/>
      <c r="Q219" s="552"/>
      <c r="R219" s="1035"/>
      <c r="S219" s="1138"/>
      <c r="T219" s="591"/>
      <c r="U219" s="1035"/>
      <c r="V219" s="1138"/>
      <c r="W219" s="591"/>
      <c r="X219" s="591"/>
      <c r="Y219" s="591"/>
      <c r="Z219" s="1035"/>
      <c r="AA219" s="1138"/>
      <c r="AB219" s="591"/>
      <c r="AC219" s="591"/>
      <c r="AD219" s="591"/>
      <c r="AE219" s="1035"/>
      <c r="AF219" s="1138"/>
      <c r="AG219" s="591"/>
      <c r="AH219" s="591"/>
      <c r="AI219" s="591"/>
      <c r="AJ219" s="1035"/>
      <c r="AK219" s="569"/>
      <c r="AL219" s="569"/>
      <c r="AM219" s="974"/>
      <c r="AN219" s="857"/>
      <c r="AO219" s="975" t="str">
        <f t="shared" si="272"/>
        <v>Price</v>
      </c>
      <c r="AP219" s="976" t="str">
        <f t="shared" si="273"/>
        <v>Sewerage</v>
      </c>
      <c r="AQ219" s="977" t="str">
        <f t="shared" si="274"/>
        <v>Fixed</v>
      </c>
      <c r="AR219" s="1341" t="str">
        <f t="shared" si="275"/>
        <v>-</v>
      </c>
      <c r="AS219" s="978" t="str">
        <f t="shared" si="276"/>
        <v>-</v>
      </c>
      <c r="AT219" s="979" t="str">
        <f t="shared" si="277"/>
        <v>-</v>
      </c>
      <c r="AU219" s="979" t="str">
        <f t="shared" si="278"/>
        <v>-</v>
      </c>
      <c r="AV219" s="1352" t="str">
        <f t="shared" si="279"/>
        <v>-</v>
      </c>
      <c r="AW219" s="1345" t="str">
        <f t="shared" si="280"/>
        <v>-</v>
      </c>
      <c r="AX219" s="979" t="str">
        <f t="shared" si="281"/>
        <v>-</v>
      </c>
      <c r="AY219" s="979" t="str">
        <f t="shared" si="282"/>
        <v>-</v>
      </c>
      <c r="AZ219" s="979" t="str">
        <f t="shared" si="283"/>
        <v>-</v>
      </c>
      <c r="BA219" s="980" t="str">
        <f t="shared" si="284"/>
        <v>-</v>
      </c>
      <c r="BB219" s="1345" t="str">
        <f t="shared" si="285"/>
        <v>-</v>
      </c>
      <c r="BC219" s="979" t="str">
        <f t="shared" si="286"/>
        <v>-</v>
      </c>
      <c r="BD219" s="979" t="str">
        <f t="shared" si="287"/>
        <v>-</v>
      </c>
      <c r="BE219" s="979" t="str">
        <f t="shared" si="288"/>
        <v>-</v>
      </c>
      <c r="BF219" s="981" t="str">
        <f t="shared" si="289"/>
        <v>-</v>
      </c>
      <c r="BG219" s="951"/>
      <c r="BH219" s="1547" t="str">
        <f t="shared" si="290"/>
        <v>Price</v>
      </c>
      <c r="BI219" s="1548" t="str">
        <f t="shared" si="291"/>
        <v>Sewerage</v>
      </c>
      <c r="BJ219" s="1549" t="str">
        <f t="shared" si="292"/>
        <v>Fixed</v>
      </c>
      <c r="BK219" s="978" t="str">
        <f t="shared" ref="BK219:BU219" si="330">IF(V219="","-",IFERROR((V219/U219-1)*(U221/U$13),"-"))</f>
        <v>-</v>
      </c>
      <c r="BL219" s="978" t="str">
        <f t="shared" si="330"/>
        <v>-</v>
      </c>
      <c r="BM219" s="979" t="str">
        <f t="shared" si="330"/>
        <v>-</v>
      </c>
      <c r="BN219" s="979" t="str">
        <f t="shared" si="330"/>
        <v>-</v>
      </c>
      <c r="BO219" s="1352" t="str">
        <f t="shared" si="330"/>
        <v>-</v>
      </c>
      <c r="BP219" s="1345" t="str">
        <f t="shared" si="330"/>
        <v>-</v>
      </c>
      <c r="BQ219" s="979" t="str">
        <f t="shared" si="330"/>
        <v>-</v>
      </c>
      <c r="BR219" s="979" t="str">
        <f t="shared" si="330"/>
        <v>-</v>
      </c>
      <c r="BS219" s="979" t="str">
        <f t="shared" si="330"/>
        <v>-</v>
      </c>
      <c r="BT219" s="980" t="str">
        <f t="shared" si="330"/>
        <v>-</v>
      </c>
      <c r="BU219" s="979" t="str">
        <f t="shared" si="330"/>
        <v>-</v>
      </c>
      <c r="BV219" s="979" t="str">
        <f>IF(AG219="","-",IFERROR((AG219/AF219-1)*(AF221/AF$13),"-"))</f>
        <v>-</v>
      </c>
      <c r="BW219" s="979" t="str">
        <f>IF(AH219="","-",IFERROR((AH219/AG219-1)*(AG221/AG$13),"-"))</f>
        <v>-</v>
      </c>
      <c r="BX219" s="979" t="str">
        <f>IF(AI219="","-",IFERROR((AI219/AH219-1)*(AH221/AH$13),"-"))</f>
        <v>-</v>
      </c>
      <c r="BY219" s="981" t="str">
        <f>IF(AJ219="","-",IFERROR((AJ219/AI219-1)*(AI221/AI$13),"-"))</f>
        <v>-</v>
      </c>
      <c r="BZ219" s="951"/>
      <c r="CA219" s="975" t="str">
        <f t="shared" si="268"/>
        <v>Price</v>
      </c>
      <c r="CB219" s="976" t="str">
        <f t="shared" si="269"/>
        <v>Sewerage</v>
      </c>
      <c r="CC219" s="982" t="str">
        <f t="shared" si="270"/>
        <v>Fixed</v>
      </c>
      <c r="CD219" s="983" t="str">
        <f t="shared" si="301"/>
        <v>-</v>
      </c>
      <c r="CE219" s="979" t="str">
        <f t="shared" si="294"/>
        <v>-</v>
      </c>
      <c r="CF219" s="979" t="str">
        <f t="shared" si="295"/>
        <v>-</v>
      </c>
      <c r="CG219" s="980" t="str">
        <f t="shared" si="296"/>
        <v>-</v>
      </c>
      <c r="CH219" s="979" t="str">
        <f t="shared" si="302"/>
        <v>-</v>
      </c>
      <c r="CI219" s="979" t="str">
        <f t="shared" si="297"/>
        <v>-</v>
      </c>
      <c r="CJ219" s="979" t="str">
        <f t="shared" si="298"/>
        <v>-</v>
      </c>
      <c r="CK219" s="981" t="str">
        <f t="shared" si="299"/>
        <v>-</v>
      </c>
    </row>
    <row r="220" spans="4:89">
      <c r="E220" s="567" t="s">
        <v>880</v>
      </c>
      <c r="F220" s="554" t="str">
        <f>+F219</f>
        <v>Sewerage</v>
      </c>
      <c r="G220" s="555" t="str">
        <f>+G219</f>
        <v>GWW</v>
      </c>
      <c r="H220" s="555" t="str">
        <f>+H219</f>
        <v>Sewerage Treatment/Transfer Fixed</v>
      </c>
      <c r="I220" s="556" t="str">
        <f>+I219</f>
        <v>Fixed</v>
      </c>
      <c r="J220" s="590" t="s">
        <v>890</v>
      </c>
      <c r="K220" s="557"/>
      <c r="L220" s="558"/>
      <c r="M220" s="558"/>
      <c r="N220" s="557"/>
      <c r="O220" s="558"/>
      <c r="P220" s="558"/>
      <c r="Q220" s="558"/>
      <c r="R220" s="1036"/>
      <c r="S220" s="1139"/>
      <c r="T220" s="593"/>
      <c r="U220" s="1036"/>
      <c r="V220" s="1139"/>
      <c r="W220" s="593"/>
      <c r="X220" s="593"/>
      <c r="Y220" s="593"/>
      <c r="Z220" s="1036"/>
      <c r="AA220" s="1139"/>
      <c r="AB220" s="593"/>
      <c r="AC220" s="593"/>
      <c r="AD220" s="593"/>
      <c r="AE220" s="1036"/>
      <c r="AF220" s="1139"/>
      <c r="AG220" s="593"/>
      <c r="AH220" s="593"/>
      <c r="AI220" s="593"/>
      <c r="AJ220" s="1036"/>
      <c r="AK220" s="569"/>
      <c r="AL220" s="569"/>
      <c r="AN220" s="857"/>
      <c r="AO220" s="961" t="str">
        <f t="shared" si="272"/>
        <v>Qty</v>
      </c>
      <c r="AP220" s="962" t="str">
        <f t="shared" si="273"/>
        <v>Sewerage</v>
      </c>
      <c r="AQ220" s="963" t="str">
        <f t="shared" si="274"/>
        <v>Fixed</v>
      </c>
      <c r="AR220" s="967" t="str">
        <f t="shared" si="275"/>
        <v>-</v>
      </c>
      <c r="AS220" s="964" t="str">
        <f t="shared" si="276"/>
        <v>-</v>
      </c>
      <c r="AT220" s="964" t="str">
        <f t="shared" si="277"/>
        <v>-</v>
      </c>
      <c r="AU220" s="964" t="str">
        <f t="shared" si="278"/>
        <v>-</v>
      </c>
      <c r="AV220" s="1350" t="str">
        <f t="shared" si="279"/>
        <v>-</v>
      </c>
      <c r="AW220" s="1343" t="str">
        <f t="shared" si="280"/>
        <v>-</v>
      </c>
      <c r="AX220" s="964" t="str">
        <f t="shared" si="281"/>
        <v>-</v>
      </c>
      <c r="AY220" s="964" t="str">
        <f t="shared" si="282"/>
        <v>-</v>
      </c>
      <c r="AZ220" s="964" t="str">
        <f t="shared" si="283"/>
        <v>-</v>
      </c>
      <c r="BA220" s="965" t="str">
        <f t="shared" si="284"/>
        <v>-</v>
      </c>
      <c r="BB220" s="1343" t="str">
        <f t="shared" si="285"/>
        <v>-</v>
      </c>
      <c r="BC220" s="964" t="str">
        <f t="shared" si="286"/>
        <v>-</v>
      </c>
      <c r="BD220" s="964" t="str">
        <f t="shared" si="287"/>
        <v>-</v>
      </c>
      <c r="BE220" s="964" t="str">
        <f t="shared" si="288"/>
        <v>-</v>
      </c>
      <c r="BF220" s="966" t="str">
        <f t="shared" si="289"/>
        <v>-</v>
      </c>
      <c r="BG220" s="951"/>
      <c r="BH220" s="1541" t="str">
        <f t="shared" si="290"/>
        <v>Qty</v>
      </c>
      <c r="BI220" s="1542" t="str">
        <f t="shared" si="291"/>
        <v>Sewerage</v>
      </c>
      <c r="BJ220" s="1543" t="str">
        <f t="shared" si="292"/>
        <v>Fixed</v>
      </c>
      <c r="BK220" s="964" t="str">
        <f t="shared" ref="BK220:BU220" si="331">IF(V220="","-",IFERROR((V220/U220-1)*(U221/U$13),"-"))</f>
        <v>-</v>
      </c>
      <c r="BL220" s="964" t="str">
        <f t="shared" si="331"/>
        <v>-</v>
      </c>
      <c r="BM220" s="964" t="str">
        <f t="shared" si="331"/>
        <v>-</v>
      </c>
      <c r="BN220" s="964" t="str">
        <f t="shared" si="331"/>
        <v>-</v>
      </c>
      <c r="BO220" s="1350" t="str">
        <f t="shared" si="331"/>
        <v>-</v>
      </c>
      <c r="BP220" s="1343" t="str">
        <f t="shared" si="331"/>
        <v>-</v>
      </c>
      <c r="BQ220" s="964" t="str">
        <f t="shared" si="331"/>
        <v>-</v>
      </c>
      <c r="BR220" s="964" t="str">
        <f t="shared" si="331"/>
        <v>-</v>
      </c>
      <c r="BS220" s="964" t="str">
        <f t="shared" si="331"/>
        <v>-</v>
      </c>
      <c r="BT220" s="965" t="str">
        <f t="shared" si="331"/>
        <v>-</v>
      </c>
      <c r="BU220" s="964" t="str">
        <f t="shared" si="331"/>
        <v>-</v>
      </c>
      <c r="BV220" s="964" t="str">
        <f>IF(AG220="","-",IFERROR((AG220/AF220-1)*(AF221/AF$13),"-"))</f>
        <v>-</v>
      </c>
      <c r="BW220" s="964" t="str">
        <f>IF(AH220="","-",IFERROR((AH220/AG220-1)*(AG221/AG$13),"-"))</f>
        <v>-</v>
      </c>
      <c r="BX220" s="964" t="str">
        <f>IF(AI220="","-",IFERROR((AI220/AH220-1)*(AH221/AH$13),"-"))</f>
        <v>-</v>
      </c>
      <c r="BY220" s="966" t="str">
        <f>IF(AJ220="","-",IFERROR((AJ220/AI220-1)*(AI221/AI$13),"-"))</f>
        <v>-</v>
      </c>
      <c r="BZ220" s="951"/>
      <c r="CA220" s="961" t="str">
        <f t="shared" si="268"/>
        <v>Qty</v>
      </c>
      <c r="CB220" s="962" t="str">
        <f t="shared" si="269"/>
        <v>Sewerage</v>
      </c>
      <c r="CC220" s="962" t="str">
        <f t="shared" si="270"/>
        <v>Fixed</v>
      </c>
      <c r="CD220" s="967" t="str">
        <f t="shared" si="301"/>
        <v>-</v>
      </c>
      <c r="CE220" s="964" t="str">
        <f t="shared" si="294"/>
        <v>-</v>
      </c>
      <c r="CF220" s="964" t="str">
        <f t="shared" si="295"/>
        <v>-</v>
      </c>
      <c r="CG220" s="965" t="str">
        <f t="shared" si="296"/>
        <v>-</v>
      </c>
      <c r="CH220" s="964" t="str">
        <f t="shared" si="302"/>
        <v>-</v>
      </c>
      <c r="CI220" s="964" t="str">
        <f t="shared" si="297"/>
        <v>-</v>
      </c>
      <c r="CJ220" s="964" t="str">
        <f t="shared" si="298"/>
        <v>-</v>
      </c>
      <c r="CK220" s="966" t="str">
        <f t="shared" si="299"/>
        <v>-</v>
      </c>
    </row>
    <row r="221" spans="4:89" ht="12.75" thickBot="1">
      <c r="E221" s="568" t="s">
        <v>882</v>
      </c>
      <c r="F221" s="560" t="str">
        <f>+F219</f>
        <v>Sewerage</v>
      </c>
      <c r="G221" s="561" t="str">
        <f>+G219</f>
        <v>GWW</v>
      </c>
      <c r="H221" s="561" t="str">
        <f>+H219</f>
        <v>Sewerage Treatment/Transfer Fixed</v>
      </c>
      <c r="I221" s="562" t="str">
        <f>+I219</f>
        <v>Fixed</v>
      </c>
      <c r="J221" s="563" t="s">
        <v>883</v>
      </c>
      <c r="K221" s="564">
        <f t="shared" ref="K221:AJ221" si="332">K219*K220/10^6</f>
        <v>0</v>
      </c>
      <c r="L221" s="565">
        <f t="shared" si="332"/>
        <v>0</v>
      </c>
      <c r="M221" s="565">
        <f t="shared" si="332"/>
        <v>0</v>
      </c>
      <c r="N221" s="564">
        <f t="shared" si="332"/>
        <v>0</v>
      </c>
      <c r="O221" s="565">
        <f t="shared" si="332"/>
        <v>0</v>
      </c>
      <c r="P221" s="565">
        <f t="shared" si="332"/>
        <v>0</v>
      </c>
      <c r="Q221" s="565">
        <f t="shared" si="332"/>
        <v>0</v>
      </c>
      <c r="R221" s="566">
        <f t="shared" si="332"/>
        <v>0</v>
      </c>
      <c r="S221" s="564">
        <f t="shared" si="332"/>
        <v>0</v>
      </c>
      <c r="T221" s="565">
        <f t="shared" si="332"/>
        <v>0</v>
      </c>
      <c r="U221" s="566">
        <f t="shared" si="332"/>
        <v>0</v>
      </c>
      <c r="V221" s="564">
        <f t="shared" si="332"/>
        <v>0</v>
      </c>
      <c r="W221" s="565">
        <f t="shared" si="332"/>
        <v>0</v>
      </c>
      <c r="X221" s="565">
        <f t="shared" si="332"/>
        <v>0</v>
      </c>
      <c r="Y221" s="565">
        <f t="shared" si="332"/>
        <v>0</v>
      </c>
      <c r="Z221" s="566">
        <f t="shared" si="332"/>
        <v>0</v>
      </c>
      <c r="AA221" s="564">
        <f t="shared" si="332"/>
        <v>0</v>
      </c>
      <c r="AB221" s="565">
        <f t="shared" si="332"/>
        <v>0</v>
      </c>
      <c r="AC221" s="565">
        <f t="shared" si="332"/>
        <v>0</v>
      </c>
      <c r="AD221" s="565">
        <f t="shared" si="332"/>
        <v>0</v>
      </c>
      <c r="AE221" s="566">
        <f t="shared" si="332"/>
        <v>0</v>
      </c>
      <c r="AF221" s="564">
        <f t="shared" si="332"/>
        <v>0</v>
      </c>
      <c r="AG221" s="565">
        <f t="shared" si="332"/>
        <v>0</v>
      </c>
      <c r="AH221" s="565">
        <f t="shared" si="332"/>
        <v>0</v>
      </c>
      <c r="AI221" s="565">
        <f t="shared" si="332"/>
        <v>0</v>
      </c>
      <c r="AJ221" s="566">
        <f t="shared" si="332"/>
        <v>0</v>
      </c>
      <c r="AK221" s="569"/>
      <c r="AL221" s="569"/>
      <c r="AN221" s="857"/>
      <c r="AO221" s="984" t="str">
        <f t="shared" si="272"/>
        <v>Rev</v>
      </c>
      <c r="AP221" s="985" t="str">
        <f t="shared" si="273"/>
        <v>Sewerage</v>
      </c>
      <c r="AQ221" s="986" t="str">
        <f t="shared" si="274"/>
        <v>Fixed</v>
      </c>
      <c r="AR221" s="990" t="str">
        <f t="shared" si="275"/>
        <v>-</v>
      </c>
      <c r="AS221" s="987" t="str">
        <f t="shared" si="276"/>
        <v>-</v>
      </c>
      <c r="AT221" s="987" t="str">
        <f t="shared" si="277"/>
        <v>-</v>
      </c>
      <c r="AU221" s="987" t="str">
        <f t="shared" si="278"/>
        <v>-</v>
      </c>
      <c r="AV221" s="1353" t="str">
        <f t="shared" si="279"/>
        <v>-</v>
      </c>
      <c r="AW221" s="1346" t="str">
        <f t="shared" si="280"/>
        <v>-</v>
      </c>
      <c r="AX221" s="987" t="str">
        <f t="shared" si="281"/>
        <v>-</v>
      </c>
      <c r="AY221" s="987" t="str">
        <f t="shared" si="282"/>
        <v>-</v>
      </c>
      <c r="AZ221" s="987" t="str">
        <f t="shared" si="283"/>
        <v>-</v>
      </c>
      <c r="BA221" s="988" t="str">
        <f t="shared" si="284"/>
        <v>-</v>
      </c>
      <c r="BB221" s="1346" t="str">
        <f t="shared" si="285"/>
        <v>-</v>
      </c>
      <c r="BC221" s="987" t="str">
        <f t="shared" si="286"/>
        <v>-</v>
      </c>
      <c r="BD221" s="987" t="str">
        <f t="shared" si="287"/>
        <v>-</v>
      </c>
      <c r="BE221" s="987" t="str">
        <f t="shared" si="288"/>
        <v>-</v>
      </c>
      <c r="BF221" s="989" t="str">
        <f t="shared" si="289"/>
        <v>-</v>
      </c>
      <c r="BG221" s="951"/>
      <c r="BH221" s="1550" t="str">
        <f t="shared" si="290"/>
        <v>Rev</v>
      </c>
      <c r="BI221" s="1551" t="str">
        <f t="shared" si="291"/>
        <v>Sewerage</v>
      </c>
      <c r="BJ221" s="1552" t="str">
        <f t="shared" si="292"/>
        <v>Fixed</v>
      </c>
      <c r="BK221" s="987" t="str">
        <f t="shared" ref="BK221:BU221" si="333">IF(V221="","-",IFERROR((V221/U221-1)*(U221/U$13),"-"))</f>
        <v>-</v>
      </c>
      <c r="BL221" s="987" t="str">
        <f t="shared" si="333"/>
        <v>-</v>
      </c>
      <c r="BM221" s="987" t="str">
        <f t="shared" si="333"/>
        <v>-</v>
      </c>
      <c r="BN221" s="987" t="str">
        <f t="shared" si="333"/>
        <v>-</v>
      </c>
      <c r="BO221" s="1353" t="str">
        <f t="shared" si="333"/>
        <v>-</v>
      </c>
      <c r="BP221" s="1346" t="str">
        <f t="shared" si="333"/>
        <v>-</v>
      </c>
      <c r="BQ221" s="987" t="str">
        <f t="shared" si="333"/>
        <v>-</v>
      </c>
      <c r="BR221" s="987" t="str">
        <f t="shared" si="333"/>
        <v>-</v>
      </c>
      <c r="BS221" s="987" t="str">
        <f t="shared" si="333"/>
        <v>-</v>
      </c>
      <c r="BT221" s="988" t="str">
        <f t="shared" si="333"/>
        <v>-</v>
      </c>
      <c r="BU221" s="987" t="str">
        <f t="shared" si="333"/>
        <v>-</v>
      </c>
      <c r="BV221" s="987" t="str">
        <f>IF(AG221="","-",IFERROR((AG221/AF221-1)*(AF221/AF$13),"-"))</f>
        <v>-</v>
      </c>
      <c r="BW221" s="987" t="str">
        <f>IF(AH221="","-",IFERROR((AH221/AG221-1)*(AG221/AG$13),"-"))</f>
        <v>-</v>
      </c>
      <c r="BX221" s="987" t="str">
        <f>IF(AI221="","-",IFERROR((AI221/AH221-1)*(AH221/AH$13),"-"))</f>
        <v>-</v>
      </c>
      <c r="BY221" s="989" t="str">
        <f>IF(AJ221="","-",IFERROR((AJ221/AI221-1)*(AI221/AI$13),"-"))</f>
        <v>-</v>
      </c>
      <c r="BZ221" s="951"/>
      <c r="CA221" s="984" t="str">
        <f t="shared" si="268"/>
        <v>Rev</v>
      </c>
      <c r="CB221" s="985" t="str">
        <f t="shared" si="269"/>
        <v>Sewerage</v>
      </c>
      <c r="CC221" s="985" t="str">
        <f t="shared" si="270"/>
        <v>Fixed</v>
      </c>
      <c r="CD221" s="990" t="str">
        <f t="shared" si="301"/>
        <v>-</v>
      </c>
      <c r="CE221" s="987" t="str">
        <f t="shared" si="294"/>
        <v>-</v>
      </c>
      <c r="CF221" s="987" t="str">
        <f t="shared" si="295"/>
        <v>-</v>
      </c>
      <c r="CG221" s="988" t="str">
        <f t="shared" si="296"/>
        <v>-</v>
      </c>
      <c r="CH221" s="987" t="str">
        <f t="shared" si="302"/>
        <v>-</v>
      </c>
      <c r="CI221" s="987" t="str">
        <f t="shared" si="297"/>
        <v>-</v>
      </c>
      <c r="CJ221" s="987" t="str">
        <f t="shared" si="298"/>
        <v>-</v>
      </c>
      <c r="CK221" s="989" t="str">
        <f t="shared" si="299"/>
        <v>-</v>
      </c>
    </row>
    <row r="222" spans="4:89">
      <c r="D222" s="63">
        <f>D219+1</f>
        <v>52</v>
      </c>
      <c r="E222" s="550" t="s">
        <v>857</v>
      </c>
      <c r="F222" s="595" t="s">
        <v>402</v>
      </c>
      <c r="G222" s="595" t="s">
        <v>92</v>
      </c>
      <c r="H222" s="595" t="s">
        <v>903</v>
      </c>
      <c r="I222" s="589" t="s">
        <v>842</v>
      </c>
      <c r="J222" s="589" t="s">
        <v>879</v>
      </c>
      <c r="K222" s="551"/>
      <c r="L222" s="552"/>
      <c r="M222" s="552"/>
      <c r="N222" s="551"/>
      <c r="O222" s="552"/>
      <c r="P222" s="552"/>
      <c r="Q222" s="552"/>
      <c r="R222" s="1035"/>
      <c r="S222" s="1138"/>
      <c r="T222" s="591"/>
      <c r="U222" s="1035"/>
      <c r="V222" s="1138"/>
      <c r="W222" s="591"/>
      <c r="X222" s="591"/>
      <c r="Y222" s="591"/>
      <c r="Z222" s="1035"/>
      <c r="AA222" s="1138"/>
      <c r="AB222" s="591"/>
      <c r="AC222" s="591"/>
      <c r="AD222" s="591"/>
      <c r="AE222" s="1035"/>
      <c r="AF222" s="1138"/>
      <c r="AG222" s="591"/>
      <c r="AH222" s="591"/>
      <c r="AI222" s="591"/>
      <c r="AJ222" s="1035"/>
      <c r="AK222" s="569"/>
      <c r="AL222" s="569"/>
      <c r="AM222" s="974"/>
      <c r="AN222" s="857"/>
      <c r="AO222" s="975" t="str">
        <f t="shared" si="272"/>
        <v>Price</v>
      </c>
      <c r="AP222" s="976" t="str">
        <f t="shared" si="273"/>
        <v>Sewerage</v>
      </c>
      <c r="AQ222" s="977" t="str">
        <f t="shared" si="274"/>
        <v>Fixed</v>
      </c>
      <c r="AR222" s="1341" t="str">
        <f t="shared" si="275"/>
        <v>-</v>
      </c>
      <c r="AS222" s="978" t="str">
        <f t="shared" si="276"/>
        <v>-</v>
      </c>
      <c r="AT222" s="979" t="str">
        <f t="shared" si="277"/>
        <v>-</v>
      </c>
      <c r="AU222" s="979" t="str">
        <f t="shared" si="278"/>
        <v>-</v>
      </c>
      <c r="AV222" s="1352" t="str">
        <f t="shared" si="279"/>
        <v>-</v>
      </c>
      <c r="AW222" s="1345" t="str">
        <f t="shared" si="280"/>
        <v>-</v>
      </c>
      <c r="AX222" s="979" t="str">
        <f t="shared" si="281"/>
        <v>-</v>
      </c>
      <c r="AY222" s="979" t="str">
        <f t="shared" si="282"/>
        <v>-</v>
      </c>
      <c r="AZ222" s="979" t="str">
        <f t="shared" si="283"/>
        <v>-</v>
      </c>
      <c r="BA222" s="980" t="str">
        <f t="shared" si="284"/>
        <v>-</v>
      </c>
      <c r="BB222" s="1345" t="str">
        <f t="shared" si="285"/>
        <v>-</v>
      </c>
      <c r="BC222" s="979" t="str">
        <f t="shared" si="286"/>
        <v>-</v>
      </c>
      <c r="BD222" s="979" t="str">
        <f t="shared" si="287"/>
        <v>-</v>
      </c>
      <c r="BE222" s="979" t="str">
        <f t="shared" si="288"/>
        <v>-</v>
      </c>
      <c r="BF222" s="981" t="str">
        <f t="shared" si="289"/>
        <v>-</v>
      </c>
      <c r="BG222" s="951"/>
      <c r="BH222" s="1547" t="str">
        <f t="shared" si="290"/>
        <v>Price</v>
      </c>
      <c r="BI222" s="1548" t="str">
        <f t="shared" si="291"/>
        <v>Sewerage</v>
      </c>
      <c r="BJ222" s="1549" t="str">
        <f t="shared" si="292"/>
        <v>Fixed</v>
      </c>
      <c r="BK222" s="978" t="str">
        <f t="shared" ref="BK222:BU222" si="334">IF(V222="","-",IFERROR((V222/U222-1)*(U224/U$13),"-"))</f>
        <v>-</v>
      </c>
      <c r="BL222" s="978" t="str">
        <f t="shared" si="334"/>
        <v>-</v>
      </c>
      <c r="BM222" s="979" t="str">
        <f t="shared" si="334"/>
        <v>-</v>
      </c>
      <c r="BN222" s="979" t="str">
        <f t="shared" si="334"/>
        <v>-</v>
      </c>
      <c r="BO222" s="1352" t="str">
        <f t="shared" si="334"/>
        <v>-</v>
      </c>
      <c r="BP222" s="1345" t="str">
        <f t="shared" si="334"/>
        <v>-</v>
      </c>
      <c r="BQ222" s="979" t="str">
        <f t="shared" si="334"/>
        <v>-</v>
      </c>
      <c r="BR222" s="979" t="str">
        <f t="shared" si="334"/>
        <v>-</v>
      </c>
      <c r="BS222" s="979" t="str">
        <f t="shared" si="334"/>
        <v>-</v>
      </c>
      <c r="BT222" s="980" t="str">
        <f t="shared" si="334"/>
        <v>-</v>
      </c>
      <c r="BU222" s="979" t="str">
        <f t="shared" si="334"/>
        <v>-</v>
      </c>
      <c r="BV222" s="979" t="str">
        <f>IF(AG222="","-",IFERROR((AG222/AF222-1)*(AF224/AF$13),"-"))</f>
        <v>-</v>
      </c>
      <c r="BW222" s="979" t="str">
        <f>IF(AH222="","-",IFERROR((AH222/AG222-1)*(AG224/AG$13),"-"))</f>
        <v>-</v>
      </c>
      <c r="BX222" s="979" t="str">
        <f>IF(AI222="","-",IFERROR((AI222/AH222-1)*(AH224/AH$13),"-"))</f>
        <v>-</v>
      </c>
      <c r="BY222" s="981" t="str">
        <f>IF(AJ222="","-",IFERROR((AJ222/AI222-1)*(AI224/AI$13),"-"))</f>
        <v>-</v>
      </c>
      <c r="BZ222" s="951"/>
      <c r="CA222" s="975" t="str">
        <f t="shared" si="268"/>
        <v>Price</v>
      </c>
      <c r="CB222" s="976" t="str">
        <f t="shared" si="269"/>
        <v>Sewerage</v>
      </c>
      <c r="CC222" s="982" t="str">
        <f t="shared" si="270"/>
        <v>Fixed</v>
      </c>
      <c r="CD222" s="983" t="str">
        <f t="shared" si="301"/>
        <v>-</v>
      </c>
      <c r="CE222" s="979" t="str">
        <f t="shared" si="294"/>
        <v>-</v>
      </c>
      <c r="CF222" s="979" t="str">
        <f t="shared" si="295"/>
        <v>-</v>
      </c>
      <c r="CG222" s="980" t="str">
        <f t="shared" si="296"/>
        <v>-</v>
      </c>
      <c r="CH222" s="979" t="str">
        <f t="shared" si="302"/>
        <v>-</v>
      </c>
      <c r="CI222" s="979" t="str">
        <f t="shared" si="297"/>
        <v>-</v>
      </c>
      <c r="CJ222" s="979" t="str">
        <f t="shared" si="298"/>
        <v>-</v>
      </c>
      <c r="CK222" s="981" t="str">
        <f t="shared" si="299"/>
        <v>-</v>
      </c>
    </row>
    <row r="223" spans="4:89">
      <c r="E223" s="567" t="s">
        <v>880</v>
      </c>
      <c r="F223" s="554" t="str">
        <f>+F222</f>
        <v>Sewerage</v>
      </c>
      <c r="G223" s="555" t="str">
        <f>+G222</f>
        <v>SEW</v>
      </c>
      <c r="H223" s="555" t="str">
        <f>+H222</f>
        <v>Sewerage Treatment/Transfer Fixed</v>
      </c>
      <c r="I223" s="556" t="str">
        <f>+I222</f>
        <v>Fixed</v>
      </c>
      <c r="J223" s="590" t="s">
        <v>890</v>
      </c>
      <c r="K223" s="557"/>
      <c r="L223" s="558"/>
      <c r="M223" s="558"/>
      <c r="N223" s="557"/>
      <c r="O223" s="558"/>
      <c r="P223" s="558"/>
      <c r="Q223" s="558"/>
      <c r="R223" s="1036"/>
      <c r="S223" s="1139"/>
      <c r="T223" s="593"/>
      <c r="U223" s="1036"/>
      <c r="V223" s="1139"/>
      <c r="W223" s="593"/>
      <c r="X223" s="593"/>
      <c r="Y223" s="593"/>
      <c r="Z223" s="1036"/>
      <c r="AA223" s="1139"/>
      <c r="AB223" s="593"/>
      <c r="AC223" s="593"/>
      <c r="AD223" s="593"/>
      <c r="AE223" s="1036"/>
      <c r="AF223" s="1139"/>
      <c r="AG223" s="593"/>
      <c r="AH223" s="593"/>
      <c r="AI223" s="593"/>
      <c r="AJ223" s="1036"/>
      <c r="AK223" s="569"/>
      <c r="AL223" s="569"/>
      <c r="AN223" s="857"/>
      <c r="AO223" s="961" t="str">
        <f t="shared" si="272"/>
        <v>Qty</v>
      </c>
      <c r="AP223" s="962" t="str">
        <f t="shared" si="273"/>
        <v>Sewerage</v>
      </c>
      <c r="AQ223" s="963" t="str">
        <f t="shared" si="274"/>
        <v>Fixed</v>
      </c>
      <c r="AR223" s="967" t="str">
        <f t="shared" si="275"/>
        <v>-</v>
      </c>
      <c r="AS223" s="964" t="str">
        <f t="shared" si="276"/>
        <v>-</v>
      </c>
      <c r="AT223" s="964" t="str">
        <f t="shared" si="277"/>
        <v>-</v>
      </c>
      <c r="AU223" s="964" t="str">
        <f t="shared" si="278"/>
        <v>-</v>
      </c>
      <c r="AV223" s="1350" t="str">
        <f t="shared" si="279"/>
        <v>-</v>
      </c>
      <c r="AW223" s="1343" t="str">
        <f t="shared" si="280"/>
        <v>-</v>
      </c>
      <c r="AX223" s="964" t="str">
        <f t="shared" si="281"/>
        <v>-</v>
      </c>
      <c r="AY223" s="964" t="str">
        <f t="shared" si="282"/>
        <v>-</v>
      </c>
      <c r="AZ223" s="964" t="str">
        <f t="shared" si="283"/>
        <v>-</v>
      </c>
      <c r="BA223" s="965" t="str">
        <f t="shared" si="284"/>
        <v>-</v>
      </c>
      <c r="BB223" s="1343" t="str">
        <f t="shared" si="285"/>
        <v>-</v>
      </c>
      <c r="BC223" s="964" t="str">
        <f t="shared" si="286"/>
        <v>-</v>
      </c>
      <c r="BD223" s="964" t="str">
        <f t="shared" si="287"/>
        <v>-</v>
      </c>
      <c r="BE223" s="964" t="str">
        <f t="shared" si="288"/>
        <v>-</v>
      </c>
      <c r="BF223" s="966" t="str">
        <f t="shared" si="289"/>
        <v>-</v>
      </c>
      <c r="BG223" s="951"/>
      <c r="BH223" s="1541" t="str">
        <f t="shared" si="290"/>
        <v>Qty</v>
      </c>
      <c r="BI223" s="1542" t="str">
        <f t="shared" si="291"/>
        <v>Sewerage</v>
      </c>
      <c r="BJ223" s="1543" t="str">
        <f t="shared" si="292"/>
        <v>Fixed</v>
      </c>
      <c r="BK223" s="964" t="str">
        <f t="shared" ref="BK223:BU223" si="335">IF(V223="","-",IFERROR((V223/U223-1)*(U224/U$13),"-"))</f>
        <v>-</v>
      </c>
      <c r="BL223" s="964" t="str">
        <f t="shared" si="335"/>
        <v>-</v>
      </c>
      <c r="BM223" s="964" t="str">
        <f t="shared" si="335"/>
        <v>-</v>
      </c>
      <c r="BN223" s="964" t="str">
        <f t="shared" si="335"/>
        <v>-</v>
      </c>
      <c r="BO223" s="1350" t="str">
        <f t="shared" si="335"/>
        <v>-</v>
      </c>
      <c r="BP223" s="1343" t="str">
        <f t="shared" si="335"/>
        <v>-</v>
      </c>
      <c r="BQ223" s="964" t="str">
        <f t="shared" si="335"/>
        <v>-</v>
      </c>
      <c r="BR223" s="964" t="str">
        <f t="shared" si="335"/>
        <v>-</v>
      </c>
      <c r="BS223" s="964" t="str">
        <f t="shared" si="335"/>
        <v>-</v>
      </c>
      <c r="BT223" s="965" t="str">
        <f t="shared" si="335"/>
        <v>-</v>
      </c>
      <c r="BU223" s="964" t="str">
        <f t="shared" si="335"/>
        <v>-</v>
      </c>
      <c r="BV223" s="964" t="str">
        <f>IF(AG223="","-",IFERROR((AG223/AF223-1)*(AF224/AF$13),"-"))</f>
        <v>-</v>
      </c>
      <c r="BW223" s="964" t="str">
        <f>IF(AH223="","-",IFERROR((AH223/AG223-1)*(AG224/AG$13),"-"))</f>
        <v>-</v>
      </c>
      <c r="BX223" s="964" t="str">
        <f>IF(AI223="","-",IFERROR((AI223/AH223-1)*(AH224/AH$13),"-"))</f>
        <v>-</v>
      </c>
      <c r="BY223" s="966" t="str">
        <f>IF(AJ223="","-",IFERROR((AJ223/AI223-1)*(AI224/AI$13),"-"))</f>
        <v>-</v>
      </c>
      <c r="BZ223" s="951"/>
      <c r="CA223" s="961" t="str">
        <f t="shared" si="268"/>
        <v>Qty</v>
      </c>
      <c r="CB223" s="962" t="str">
        <f t="shared" si="269"/>
        <v>Sewerage</v>
      </c>
      <c r="CC223" s="962" t="str">
        <f t="shared" si="270"/>
        <v>Fixed</v>
      </c>
      <c r="CD223" s="967" t="str">
        <f t="shared" si="301"/>
        <v>-</v>
      </c>
      <c r="CE223" s="964" t="str">
        <f t="shared" si="294"/>
        <v>-</v>
      </c>
      <c r="CF223" s="964" t="str">
        <f t="shared" si="295"/>
        <v>-</v>
      </c>
      <c r="CG223" s="965" t="str">
        <f t="shared" si="296"/>
        <v>-</v>
      </c>
      <c r="CH223" s="964" t="str">
        <f t="shared" si="302"/>
        <v>-</v>
      </c>
      <c r="CI223" s="964" t="str">
        <f t="shared" si="297"/>
        <v>-</v>
      </c>
      <c r="CJ223" s="964" t="str">
        <f t="shared" si="298"/>
        <v>-</v>
      </c>
      <c r="CK223" s="966" t="str">
        <f t="shared" si="299"/>
        <v>-</v>
      </c>
    </row>
    <row r="224" spans="4:89" ht="12.75" thickBot="1">
      <c r="E224" s="568" t="s">
        <v>882</v>
      </c>
      <c r="F224" s="560" t="str">
        <f>+F222</f>
        <v>Sewerage</v>
      </c>
      <c r="G224" s="561" t="str">
        <f>+G222</f>
        <v>SEW</v>
      </c>
      <c r="H224" s="561" t="str">
        <f>+H222</f>
        <v>Sewerage Treatment/Transfer Fixed</v>
      </c>
      <c r="I224" s="562" t="str">
        <f>+I222</f>
        <v>Fixed</v>
      </c>
      <c r="J224" s="563" t="s">
        <v>883</v>
      </c>
      <c r="K224" s="564">
        <f t="shared" ref="K224:AJ224" si="336">K222*K223/10^6</f>
        <v>0</v>
      </c>
      <c r="L224" s="565">
        <f t="shared" si="336"/>
        <v>0</v>
      </c>
      <c r="M224" s="565">
        <f t="shared" si="336"/>
        <v>0</v>
      </c>
      <c r="N224" s="564">
        <f t="shared" si="336"/>
        <v>0</v>
      </c>
      <c r="O224" s="565">
        <f t="shared" si="336"/>
        <v>0</v>
      </c>
      <c r="P224" s="565">
        <f t="shared" si="336"/>
        <v>0</v>
      </c>
      <c r="Q224" s="565">
        <f t="shared" si="336"/>
        <v>0</v>
      </c>
      <c r="R224" s="566">
        <f t="shared" si="336"/>
        <v>0</v>
      </c>
      <c r="S224" s="564">
        <f t="shared" si="336"/>
        <v>0</v>
      </c>
      <c r="T224" s="565">
        <f t="shared" si="336"/>
        <v>0</v>
      </c>
      <c r="U224" s="566">
        <f t="shared" si="336"/>
        <v>0</v>
      </c>
      <c r="V224" s="564">
        <f t="shared" si="336"/>
        <v>0</v>
      </c>
      <c r="W224" s="565">
        <f t="shared" si="336"/>
        <v>0</v>
      </c>
      <c r="X224" s="565">
        <f t="shared" si="336"/>
        <v>0</v>
      </c>
      <c r="Y224" s="565">
        <f t="shared" si="336"/>
        <v>0</v>
      </c>
      <c r="Z224" s="566">
        <f t="shared" si="336"/>
        <v>0</v>
      </c>
      <c r="AA224" s="564">
        <f t="shared" si="336"/>
        <v>0</v>
      </c>
      <c r="AB224" s="565">
        <f t="shared" si="336"/>
        <v>0</v>
      </c>
      <c r="AC224" s="565">
        <f t="shared" si="336"/>
        <v>0</v>
      </c>
      <c r="AD224" s="565">
        <f t="shared" si="336"/>
        <v>0</v>
      </c>
      <c r="AE224" s="566">
        <f t="shared" si="336"/>
        <v>0</v>
      </c>
      <c r="AF224" s="564">
        <f t="shared" si="336"/>
        <v>0</v>
      </c>
      <c r="AG224" s="565">
        <f t="shared" si="336"/>
        <v>0</v>
      </c>
      <c r="AH224" s="565">
        <f t="shared" si="336"/>
        <v>0</v>
      </c>
      <c r="AI224" s="565">
        <f t="shared" si="336"/>
        <v>0</v>
      </c>
      <c r="AJ224" s="566">
        <f t="shared" si="336"/>
        <v>0</v>
      </c>
      <c r="AK224" s="569"/>
      <c r="AL224" s="569"/>
      <c r="AN224" s="857"/>
      <c r="AO224" s="984" t="str">
        <f t="shared" si="272"/>
        <v>Rev</v>
      </c>
      <c r="AP224" s="985" t="str">
        <f t="shared" si="273"/>
        <v>Sewerage</v>
      </c>
      <c r="AQ224" s="986" t="str">
        <f t="shared" si="274"/>
        <v>Fixed</v>
      </c>
      <c r="AR224" s="990" t="str">
        <f t="shared" si="275"/>
        <v>-</v>
      </c>
      <c r="AS224" s="987" t="str">
        <f t="shared" si="276"/>
        <v>-</v>
      </c>
      <c r="AT224" s="987" t="str">
        <f t="shared" si="277"/>
        <v>-</v>
      </c>
      <c r="AU224" s="987" t="str">
        <f t="shared" si="278"/>
        <v>-</v>
      </c>
      <c r="AV224" s="1353" t="str">
        <f t="shared" si="279"/>
        <v>-</v>
      </c>
      <c r="AW224" s="1346" t="str">
        <f t="shared" si="280"/>
        <v>-</v>
      </c>
      <c r="AX224" s="987" t="str">
        <f t="shared" si="281"/>
        <v>-</v>
      </c>
      <c r="AY224" s="987" t="str">
        <f t="shared" si="282"/>
        <v>-</v>
      </c>
      <c r="AZ224" s="987" t="str">
        <f t="shared" si="283"/>
        <v>-</v>
      </c>
      <c r="BA224" s="988" t="str">
        <f t="shared" si="284"/>
        <v>-</v>
      </c>
      <c r="BB224" s="1346" t="str">
        <f t="shared" si="285"/>
        <v>-</v>
      </c>
      <c r="BC224" s="987" t="str">
        <f t="shared" si="286"/>
        <v>-</v>
      </c>
      <c r="BD224" s="987" t="str">
        <f t="shared" si="287"/>
        <v>-</v>
      </c>
      <c r="BE224" s="987" t="str">
        <f t="shared" si="288"/>
        <v>-</v>
      </c>
      <c r="BF224" s="989" t="str">
        <f t="shared" si="289"/>
        <v>-</v>
      </c>
      <c r="BG224" s="951"/>
      <c r="BH224" s="1550" t="str">
        <f t="shared" si="290"/>
        <v>Rev</v>
      </c>
      <c r="BI224" s="1551" t="str">
        <f t="shared" si="291"/>
        <v>Sewerage</v>
      </c>
      <c r="BJ224" s="1552" t="str">
        <f t="shared" si="292"/>
        <v>Fixed</v>
      </c>
      <c r="BK224" s="987" t="str">
        <f t="shared" ref="BK224:BU224" si="337">IF(V224="","-",IFERROR((V224/U224-1)*(U224/U$13),"-"))</f>
        <v>-</v>
      </c>
      <c r="BL224" s="987" t="str">
        <f t="shared" si="337"/>
        <v>-</v>
      </c>
      <c r="BM224" s="987" t="str">
        <f t="shared" si="337"/>
        <v>-</v>
      </c>
      <c r="BN224" s="987" t="str">
        <f t="shared" si="337"/>
        <v>-</v>
      </c>
      <c r="BO224" s="1353" t="str">
        <f t="shared" si="337"/>
        <v>-</v>
      </c>
      <c r="BP224" s="1346" t="str">
        <f t="shared" si="337"/>
        <v>-</v>
      </c>
      <c r="BQ224" s="987" t="str">
        <f t="shared" si="337"/>
        <v>-</v>
      </c>
      <c r="BR224" s="987" t="str">
        <f t="shared" si="337"/>
        <v>-</v>
      </c>
      <c r="BS224" s="987" t="str">
        <f t="shared" si="337"/>
        <v>-</v>
      </c>
      <c r="BT224" s="988" t="str">
        <f t="shared" si="337"/>
        <v>-</v>
      </c>
      <c r="BU224" s="987" t="str">
        <f t="shared" si="337"/>
        <v>-</v>
      </c>
      <c r="BV224" s="987" t="str">
        <f>IF(AG224="","-",IFERROR((AG224/AF224-1)*(AF224/AF$13),"-"))</f>
        <v>-</v>
      </c>
      <c r="BW224" s="987" t="str">
        <f>IF(AH224="","-",IFERROR((AH224/AG224-1)*(AG224/AG$13),"-"))</f>
        <v>-</v>
      </c>
      <c r="BX224" s="987" t="str">
        <f>IF(AI224="","-",IFERROR((AI224/AH224-1)*(AH224/AH$13),"-"))</f>
        <v>-</v>
      </c>
      <c r="BY224" s="989" t="str">
        <f>IF(AJ224="","-",IFERROR((AJ224/AI224-1)*(AI224/AI$13),"-"))</f>
        <v>-</v>
      </c>
      <c r="BZ224" s="951"/>
      <c r="CA224" s="984" t="str">
        <f t="shared" si="268"/>
        <v>Rev</v>
      </c>
      <c r="CB224" s="985" t="str">
        <f t="shared" si="269"/>
        <v>Sewerage</v>
      </c>
      <c r="CC224" s="985" t="str">
        <f t="shared" si="270"/>
        <v>Fixed</v>
      </c>
      <c r="CD224" s="990" t="str">
        <f t="shared" si="301"/>
        <v>-</v>
      </c>
      <c r="CE224" s="987" t="str">
        <f t="shared" si="294"/>
        <v>-</v>
      </c>
      <c r="CF224" s="987" t="str">
        <f t="shared" si="295"/>
        <v>-</v>
      </c>
      <c r="CG224" s="988" t="str">
        <f t="shared" si="296"/>
        <v>-</v>
      </c>
      <c r="CH224" s="987" t="str">
        <f t="shared" si="302"/>
        <v>-</v>
      </c>
      <c r="CI224" s="987" t="str">
        <f t="shared" si="297"/>
        <v>-</v>
      </c>
      <c r="CJ224" s="987" t="str">
        <f t="shared" si="298"/>
        <v>-</v>
      </c>
      <c r="CK224" s="989" t="str">
        <f t="shared" si="299"/>
        <v>-</v>
      </c>
    </row>
    <row r="225" spans="4:89">
      <c r="D225" s="63">
        <f>D222+1</f>
        <v>53</v>
      </c>
      <c r="E225" s="550" t="s">
        <v>857</v>
      </c>
      <c r="F225" s="595" t="s">
        <v>402</v>
      </c>
      <c r="G225" s="595" t="s">
        <v>103</v>
      </c>
      <c r="H225" s="595" t="s">
        <v>903</v>
      </c>
      <c r="I225" s="589" t="s">
        <v>842</v>
      </c>
      <c r="J225" s="589" t="s">
        <v>879</v>
      </c>
      <c r="K225" s="551"/>
      <c r="L225" s="552"/>
      <c r="M225" s="552"/>
      <c r="N225" s="551"/>
      <c r="O225" s="552"/>
      <c r="P225" s="552"/>
      <c r="Q225" s="552"/>
      <c r="R225" s="1035"/>
      <c r="S225" s="1138"/>
      <c r="T225" s="591"/>
      <c r="U225" s="1035"/>
      <c r="V225" s="1138"/>
      <c r="W225" s="591"/>
      <c r="X225" s="591"/>
      <c r="Y225" s="591"/>
      <c r="Z225" s="1035"/>
      <c r="AA225" s="1138"/>
      <c r="AB225" s="591"/>
      <c r="AC225" s="591"/>
      <c r="AD225" s="591"/>
      <c r="AE225" s="1035"/>
      <c r="AF225" s="1138"/>
      <c r="AG225" s="591"/>
      <c r="AH225" s="591"/>
      <c r="AI225" s="591"/>
      <c r="AJ225" s="1035"/>
      <c r="AK225" s="569"/>
      <c r="AL225" s="569"/>
      <c r="AM225" s="974"/>
      <c r="AN225" s="857"/>
      <c r="AO225" s="975" t="str">
        <f t="shared" si="272"/>
        <v>Price</v>
      </c>
      <c r="AP225" s="976" t="str">
        <f t="shared" si="273"/>
        <v>Sewerage</v>
      </c>
      <c r="AQ225" s="977" t="str">
        <f t="shared" si="274"/>
        <v>Fixed</v>
      </c>
      <c r="AR225" s="1341" t="str">
        <f t="shared" si="275"/>
        <v>-</v>
      </c>
      <c r="AS225" s="978" t="str">
        <f t="shared" si="276"/>
        <v>-</v>
      </c>
      <c r="AT225" s="979" t="str">
        <f t="shared" si="277"/>
        <v>-</v>
      </c>
      <c r="AU225" s="979" t="str">
        <f t="shared" si="278"/>
        <v>-</v>
      </c>
      <c r="AV225" s="1352" t="str">
        <f t="shared" si="279"/>
        <v>-</v>
      </c>
      <c r="AW225" s="1345" t="str">
        <f t="shared" si="280"/>
        <v>-</v>
      </c>
      <c r="AX225" s="979" t="str">
        <f t="shared" si="281"/>
        <v>-</v>
      </c>
      <c r="AY225" s="979" t="str">
        <f t="shared" si="282"/>
        <v>-</v>
      </c>
      <c r="AZ225" s="979" t="str">
        <f t="shared" si="283"/>
        <v>-</v>
      </c>
      <c r="BA225" s="980" t="str">
        <f t="shared" si="284"/>
        <v>-</v>
      </c>
      <c r="BB225" s="1345" t="str">
        <f t="shared" si="285"/>
        <v>-</v>
      </c>
      <c r="BC225" s="979" t="str">
        <f t="shared" si="286"/>
        <v>-</v>
      </c>
      <c r="BD225" s="979" t="str">
        <f t="shared" si="287"/>
        <v>-</v>
      </c>
      <c r="BE225" s="979" t="str">
        <f t="shared" si="288"/>
        <v>-</v>
      </c>
      <c r="BF225" s="981" t="str">
        <f t="shared" si="289"/>
        <v>-</v>
      </c>
      <c r="BG225" s="951"/>
      <c r="BH225" s="1547" t="str">
        <f t="shared" si="290"/>
        <v>Price</v>
      </c>
      <c r="BI225" s="1548" t="str">
        <f t="shared" si="291"/>
        <v>Sewerage</v>
      </c>
      <c r="BJ225" s="1549" t="str">
        <f t="shared" si="292"/>
        <v>Fixed</v>
      </c>
      <c r="BK225" s="978" t="str">
        <f t="shared" ref="BK225:BU225" si="338">IF(V225="","-",IFERROR((V225/U225-1)*(U227/U$13),"-"))</f>
        <v>-</v>
      </c>
      <c r="BL225" s="978" t="str">
        <f t="shared" si="338"/>
        <v>-</v>
      </c>
      <c r="BM225" s="979" t="str">
        <f t="shared" si="338"/>
        <v>-</v>
      </c>
      <c r="BN225" s="979" t="str">
        <f t="shared" si="338"/>
        <v>-</v>
      </c>
      <c r="BO225" s="1352" t="str">
        <f t="shared" si="338"/>
        <v>-</v>
      </c>
      <c r="BP225" s="1345" t="str">
        <f t="shared" si="338"/>
        <v>-</v>
      </c>
      <c r="BQ225" s="979" t="str">
        <f t="shared" si="338"/>
        <v>-</v>
      </c>
      <c r="BR225" s="979" t="str">
        <f t="shared" si="338"/>
        <v>-</v>
      </c>
      <c r="BS225" s="979" t="str">
        <f t="shared" si="338"/>
        <v>-</v>
      </c>
      <c r="BT225" s="980" t="str">
        <f t="shared" si="338"/>
        <v>-</v>
      </c>
      <c r="BU225" s="979" t="str">
        <f t="shared" si="338"/>
        <v>-</v>
      </c>
      <c r="BV225" s="979" t="str">
        <f>IF(AG225="","-",IFERROR((AG225/AF225-1)*(AF227/AF$13),"-"))</f>
        <v>-</v>
      </c>
      <c r="BW225" s="979" t="str">
        <f>IF(AH225="","-",IFERROR((AH225/AG225-1)*(AG227/AG$13),"-"))</f>
        <v>-</v>
      </c>
      <c r="BX225" s="979" t="str">
        <f>IF(AI225="","-",IFERROR((AI225/AH225-1)*(AH227/AH$13),"-"))</f>
        <v>-</v>
      </c>
      <c r="BY225" s="981" t="str">
        <f>IF(AJ225="","-",IFERROR((AJ225/AI225-1)*(AI227/AI$13),"-"))</f>
        <v>-</v>
      </c>
      <c r="BZ225" s="951"/>
      <c r="CA225" s="975" t="str">
        <f t="shared" si="268"/>
        <v>Price</v>
      </c>
      <c r="CB225" s="976" t="str">
        <f t="shared" si="269"/>
        <v>Sewerage</v>
      </c>
      <c r="CC225" s="982" t="str">
        <f t="shared" si="270"/>
        <v>Fixed</v>
      </c>
      <c r="CD225" s="983" t="str">
        <f t="shared" si="301"/>
        <v>-</v>
      </c>
      <c r="CE225" s="979" t="str">
        <f t="shared" si="294"/>
        <v>-</v>
      </c>
      <c r="CF225" s="979" t="str">
        <f t="shared" si="295"/>
        <v>-</v>
      </c>
      <c r="CG225" s="980" t="str">
        <f t="shared" si="296"/>
        <v>-</v>
      </c>
      <c r="CH225" s="979" t="str">
        <f t="shared" si="302"/>
        <v>-</v>
      </c>
      <c r="CI225" s="979" t="str">
        <f t="shared" si="297"/>
        <v>-</v>
      </c>
      <c r="CJ225" s="979" t="str">
        <f t="shared" si="298"/>
        <v>-</v>
      </c>
      <c r="CK225" s="981" t="str">
        <f t="shared" si="299"/>
        <v>-</v>
      </c>
    </row>
    <row r="226" spans="4:89">
      <c r="E226" s="567" t="s">
        <v>880</v>
      </c>
      <c r="F226" s="554" t="str">
        <f>+F225</f>
        <v>Sewerage</v>
      </c>
      <c r="G226" s="555" t="str">
        <f>+G225</f>
        <v>YVW</v>
      </c>
      <c r="H226" s="555" t="str">
        <f>+H225</f>
        <v>Sewerage Treatment/Transfer Fixed</v>
      </c>
      <c r="I226" s="556" t="str">
        <f>+I225</f>
        <v>Fixed</v>
      </c>
      <c r="J226" s="590" t="s">
        <v>890</v>
      </c>
      <c r="K226" s="557"/>
      <c r="L226" s="558"/>
      <c r="M226" s="558"/>
      <c r="N226" s="557"/>
      <c r="O226" s="558"/>
      <c r="P226" s="558"/>
      <c r="Q226" s="558"/>
      <c r="R226" s="1036"/>
      <c r="S226" s="1139"/>
      <c r="T226" s="593"/>
      <c r="U226" s="1036"/>
      <c r="V226" s="1139"/>
      <c r="W226" s="593"/>
      <c r="X226" s="593"/>
      <c r="Y226" s="593"/>
      <c r="Z226" s="1036"/>
      <c r="AA226" s="1139"/>
      <c r="AB226" s="593"/>
      <c r="AC226" s="593"/>
      <c r="AD226" s="593"/>
      <c r="AE226" s="1036"/>
      <c r="AF226" s="1139"/>
      <c r="AG226" s="593"/>
      <c r="AH226" s="593"/>
      <c r="AI226" s="593"/>
      <c r="AJ226" s="1036"/>
      <c r="AK226" s="569"/>
      <c r="AL226" s="569"/>
      <c r="AN226" s="857"/>
      <c r="AO226" s="961" t="str">
        <f t="shared" si="272"/>
        <v>Qty</v>
      </c>
      <c r="AP226" s="962" t="str">
        <f t="shared" si="273"/>
        <v>Sewerage</v>
      </c>
      <c r="AQ226" s="963" t="str">
        <f t="shared" si="274"/>
        <v>Fixed</v>
      </c>
      <c r="AR226" s="967" t="str">
        <f t="shared" si="275"/>
        <v>-</v>
      </c>
      <c r="AS226" s="964" t="str">
        <f t="shared" si="276"/>
        <v>-</v>
      </c>
      <c r="AT226" s="964" t="str">
        <f t="shared" si="277"/>
        <v>-</v>
      </c>
      <c r="AU226" s="964" t="str">
        <f t="shared" si="278"/>
        <v>-</v>
      </c>
      <c r="AV226" s="1350" t="str">
        <f t="shared" si="279"/>
        <v>-</v>
      </c>
      <c r="AW226" s="1343" t="str">
        <f t="shared" si="280"/>
        <v>-</v>
      </c>
      <c r="AX226" s="964" t="str">
        <f t="shared" si="281"/>
        <v>-</v>
      </c>
      <c r="AY226" s="964" t="str">
        <f t="shared" si="282"/>
        <v>-</v>
      </c>
      <c r="AZ226" s="964" t="str">
        <f t="shared" si="283"/>
        <v>-</v>
      </c>
      <c r="BA226" s="965" t="str">
        <f t="shared" si="284"/>
        <v>-</v>
      </c>
      <c r="BB226" s="1343" t="str">
        <f t="shared" si="285"/>
        <v>-</v>
      </c>
      <c r="BC226" s="964" t="str">
        <f t="shared" si="286"/>
        <v>-</v>
      </c>
      <c r="BD226" s="964" t="str">
        <f t="shared" si="287"/>
        <v>-</v>
      </c>
      <c r="BE226" s="964" t="str">
        <f t="shared" si="288"/>
        <v>-</v>
      </c>
      <c r="BF226" s="966" t="str">
        <f t="shared" si="289"/>
        <v>-</v>
      </c>
      <c r="BG226" s="951"/>
      <c r="BH226" s="1541" t="str">
        <f t="shared" si="290"/>
        <v>Qty</v>
      </c>
      <c r="BI226" s="1542" t="str">
        <f t="shared" si="291"/>
        <v>Sewerage</v>
      </c>
      <c r="BJ226" s="1543" t="str">
        <f t="shared" si="292"/>
        <v>Fixed</v>
      </c>
      <c r="BK226" s="964" t="str">
        <f t="shared" ref="BK226:BU226" si="339">IF(V226="","-",IFERROR((V226/U226-1)*(U227/U$13),"-"))</f>
        <v>-</v>
      </c>
      <c r="BL226" s="964" t="str">
        <f t="shared" si="339"/>
        <v>-</v>
      </c>
      <c r="BM226" s="964" t="str">
        <f t="shared" si="339"/>
        <v>-</v>
      </c>
      <c r="BN226" s="964" t="str">
        <f t="shared" si="339"/>
        <v>-</v>
      </c>
      <c r="BO226" s="1350" t="str">
        <f t="shared" si="339"/>
        <v>-</v>
      </c>
      <c r="BP226" s="1343" t="str">
        <f t="shared" si="339"/>
        <v>-</v>
      </c>
      <c r="BQ226" s="964" t="str">
        <f t="shared" si="339"/>
        <v>-</v>
      </c>
      <c r="BR226" s="964" t="str">
        <f t="shared" si="339"/>
        <v>-</v>
      </c>
      <c r="BS226" s="964" t="str">
        <f t="shared" si="339"/>
        <v>-</v>
      </c>
      <c r="BT226" s="965" t="str">
        <f t="shared" si="339"/>
        <v>-</v>
      </c>
      <c r="BU226" s="964" t="str">
        <f t="shared" si="339"/>
        <v>-</v>
      </c>
      <c r="BV226" s="964" t="str">
        <f>IF(AG226="","-",IFERROR((AG226/AF226-1)*(AF227/AF$13),"-"))</f>
        <v>-</v>
      </c>
      <c r="BW226" s="964" t="str">
        <f>IF(AH226="","-",IFERROR((AH226/AG226-1)*(AG227/AG$13),"-"))</f>
        <v>-</v>
      </c>
      <c r="BX226" s="964" t="str">
        <f>IF(AI226="","-",IFERROR((AI226/AH226-1)*(AH227/AH$13),"-"))</f>
        <v>-</v>
      </c>
      <c r="BY226" s="966" t="str">
        <f>IF(AJ226="","-",IFERROR((AJ226/AI226-1)*(AI227/AI$13),"-"))</f>
        <v>-</v>
      </c>
      <c r="BZ226" s="951"/>
      <c r="CA226" s="961" t="str">
        <f t="shared" si="268"/>
        <v>Qty</v>
      </c>
      <c r="CB226" s="962" t="str">
        <f t="shared" si="269"/>
        <v>Sewerage</v>
      </c>
      <c r="CC226" s="962" t="str">
        <f t="shared" si="270"/>
        <v>Fixed</v>
      </c>
      <c r="CD226" s="967" t="str">
        <f t="shared" si="301"/>
        <v>-</v>
      </c>
      <c r="CE226" s="964" t="str">
        <f t="shared" si="294"/>
        <v>-</v>
      </c>
      <c r="CF226" s="964" t="str">
        <f t="shared" si="295"/>
        <v>-</v>
      </c>
      <c r="CG226" s="965" t="str">
        <f t="shared" si="296"/>
        <v>-</v>
      </c>
      <c r="CH226" s="964" t="str">
        <f t="shared" si="302"/>
        <v>-</v>
      </c>
      <c r="CI226" s="964" t="str">
        <f t="shared" si="297"/>
        <v>-</v>
      </c>
      <c r="CJ226" s="964" t="str">
        <f t="shared" si="298"/>
        <v>-</v>
      </c>
      <c r="CK226" s="966" t="str">
        <f t="shared" si="299"/>
        <v>-</v>
      </c>
    </row>
    <row r="227" spans="4:89" ht="12.75" thickBot="1">
      <c r="E227" s="568" t="s">
        <v>882</v>
      </c>
      <c r="F227" s="560" t="str">
        <f>+F225</f>
        <v>Sewerage</v>
      </c>
      <c r="G227" s="561" t="str">
        <f>+G225</f>
        <v>YVW</v>
      </c>
      <c r="H227" s="561" t="str">
        <f>+H225</f>
        <v>Sewerage Treatment/Transfer Fixed</v>
      </c>
      <c r="I227" s="562" t="str">
        <f>+I225</f>
        <v>Fixed</v>
      </c>
      <c r="J227" s="563" t="s">
        <v>883</v>
      </c>
      <c r="K227" s="564">
        <f t="shared" ref="K227:AJ227" si="340">K225*K226/10^6</f>
        <v>0</v>
      </c>
      <c r="L227" s="565">
        <f t="shared" si="340"/>
        <v>0</v>
      </c>
      <c r="M227" s="565">
        <f t="shared" si="340"/>
        <v>0</v>
      </c>
      <c r="N227" s="564">
        <f t="shared" si="340"/>
        <v>0</v>
      </c>
      <c r="O227" s="565">
        <f t="shared" si="340"/>
        <v>0</v>
      </c>
      <c r="P227" s="565">
        <f t="shared" si="340"/>
        <v>0</v>
      </c>
      <c r="Q227" s="565">
        <f t="shared" si="340"/>
        <v>0</v>
      </c>
      <c r="R227" s="566">
        <f t="shared" si="340"/>
        <v>0</v>
      </c>
      <c r="S227" s="564">
        <f t="shared" si="340"/>
        <v>0</v>
      </c>
      <c r="T227" s="565">
        <f t="shared" si="340"/>
        <v>0</v>
      </c>
      <c r="U227" s="566">
        <f t="shared" si="340"/>
        <v>0</v>
      </c>
      <c r="V227" s="564">
        <f t="shared" si="340"/>
        <v>0</v>
      </c>
      <c r="W227" s="565">
        <f t="shared" si="340"/>
        <v>0</v>
      </c>
      <c r="X227" s="565">
        <f t="shared" si="340"/>
        <v>0</v>
      </c>
      <c r="Y227" s="565">
        <f t="shared" si="340"/>
        <v>0</v>
      </c>
      <c r="Z227" s="566">
        <f t="shared" si="340"/>
        <v>0</v>
      </c>
      <c r="AA227" s="564">
        <f t="shared" si="340"/>
        <v>0</v>
      </c>
      <c r="AB227" s="565">
        <f t="shared" si="340"/>
        <v>0</v>
      </c>
      <c r="AC227" s="565">
        <f t="shared" si="340"/>
        <v>0</v>
      </c>
      <c r="AD227" s="565">
        <f t="shared" si="340"/>
        <v>0</v>
      </c>
      <c r="AE227" s="566">
        <f t="shared" si="340"/>
        <v>0</v>
      </c>
      <c r="AF227" s="564">
        <f t="shared" si="340"/>
        <v>0</v>
      </c>
      <c r="AG227" s="565">
        <f t="shared" si="340"/>
        <v>0</v>
      </c>
      <c r="AH227" s="565">
        <f t="shared" si="340"/>
        <v>0</v>
      </c>
      <c r="AI227" s="565">
        <f t="shared" si="340"/>
        <v>0</v>
      </c>
      <c r="AJ227" s="566">
        <f t="shared" si="340"/>
        <v>0</v>
      </c>
      <c r="AK227" s="569"/>
      <c r="AL227" s="569"/>
      <c r="AN227" s="857"/>
      <c r="AO227" s="984" t="str">
        <f t="shared" si="272"/>
        <v>Rev</v>
      </c>
      <c r="AP227" s="985" t="str">
        <f t="shared" si="273"/>
        <v>Sewerage</v>
      </c>
      <c r="AQ227" s="986" t="str">
        <f t="shared" si="274"/>
        <v>Fixed</v>
      </c>
      <c r="AR227" s="990" t="str">
        <f t="shared" si="275"/>
        <v>-</v>
      </c>
      <c r="AS227" s="987" t="str">
        <f t="shared" si="276"/>
        <v>-</v>
      </c>
      <c r="AT227" s="987" t="str">
        <f t="shared" si="277"/>
        <v>-</v>
      </c>
      <c r="AU227" s="987" t="str">
        <f t="shared" si="278"/>
        <v>-</v>
      </c>
      <c r="AV227" s="1353" t="str">
        <f t="shared" si="279"/>
        <v>-</v>
      </c>
      <c r="AW227" s="1346" t="str">
        <f t="shared" si="280"/>
        <v>-</v>
      </c>
      <c r="AX227" s="987" t="str">
        <f t="shared" si="281"/>
        <v>-</v>
      </c>
      <c r="AY227" s="987" t="str">
        <f t="shared" si="282"/>
        <v>-</v>
      </c>
      <c r="AZ227" s="987" t="str">
        <f t="shared" si="283"/>
        <v>-</v>
      </c>
      <c r="BA227" s="988" t="str">
        <f t="shared" si="284"/>
        <v>-</v>
      </c>
      <c r="BB227" s="1346" t="str">
        <f t="shared" si="285"/>
        <v>-</v>
      </c>
      <c r="BC227" s="987" t="str">
        <f t="shared" si="286"/>
        <v>-</v>
      </c>
      <c r="BD227" s="987" t="str">
        <f t="shared" si="287"/>
        <v>-</v>
      </c>
      <c r="BE227" s="987" t="str">
        <f t="shared" si="288"/>
        <v>-</v>
      </c>
      <c r="BF227" s="989" t="str">
        <f t="shared" si="289"/>
        <v>-</v>
      </c>
      <c r="BG227" s="951"/>
      <c r="BH227" s="1550" t="str">
        <f t="shared" si="290"/>
        <v>Rev</v>
      </c>
      <c r="BI227" s="1551" t="str">
        <f t="shared" si="291"/>
        <v>Sewerage</v>
      </c>
      <c r="BJ227" s="1552" t="str">
        <f t="shared" si="292"/>
        <v>Fixed</v>
      </c>
      <c r="BK227" s="987" t="str">
        <f t="shared" ref="BK227:BU227" si="341">IF(V227="","-",IFERROR((V227/U227-1)*(U227/U$13),"-"))</f>
        <v>-</v>
      </c>
      <c r="BL227" s="987" t="str">
        <f t="shared" si="341"/>
        <v>-</v>
      </c>
      <c r="BM227" s="987" t="str">
        <f t="shared" si="341"/>
        <v>-</v>
      </c>
      <c r="BN227" s="987" t="str">
        <f t="shared" si="341"/>
        <v>-</v>
      </c>
      <c r="BO227" s="1353" t="str">
        <f t="shared" si="341"/>
        <v>-</v>
      </c>
      <c r="BP227" s="1346" t="str">
        <f t="shared" si="341"/>
        <v>-</v>
      </c>
      <c r="BQ227" s="987" t="str">
        <f t="shared" si="341"/>
        <v>-</v>
      </c>
      <c r="BR227" s="987" t="str">
        <f t="shared" si="341"/>
        <v>-</v>
      </c>
      <c r="BS227" s="987" t="str">
        <f t="shared" si="341"/>
        <v>-</v>
      </c>
      <c r="BT227" s="988" t="str">
        <f t="shared" si="341"/>
        <v>-</v>
      </c>
      <c r="BU227" s="987" t="str">
        <f t="shared" si="341"/>
        <v>-</v>
      </c>
      <c r="BV227" s="987" t="str">
        <f>IF(AG227="","-",IFERROR((AG227/AF227-1)*(AF227/AF$13),"-"))</f>
        <v>-</v>
      </c>
      <c r="BW227" s="987" t="str">
        <f>IF(AH227="","-",IFERROR((AH227/AG227-1)*(AG227/AG$13),"-"))</f>
        <v>-</v>
      </c>
      <c r="BX227" s="987" t="str">
        <f>IF(AI227="","-",IFERROR((AI227/AH227-1)*(AH227/AH$13),"-"))</f>
        <v>-</v>
      </c>
      <c r="BY227" s="989" t="str">
        <f>IF(AJ227="","-",IFERROR((AJ227/AI227-1)*(AI227/AI$13),"-"))</f>
        <v>-</v>
      </c>
      <c r="BZ227" s="951"/>
      <c r="CA227" s="984" t="str">
        <f t="shared" si="268"/>
        <v>Rev</v>
      </c>
      <c r="CB227" s="985" t="str">
        <f t="shared" si="269"/>
        <v>Sewerage</v>
      </c>
      <c r="CC227" s="985" t="str">
        <f t="shared" si="270"/>
        <v>Fixed</v>
      </c>
      <c r="CD227" s="990" t="str">
        <f t="shared" si="301"/>
        <v>-</v>
      </c>
      <c r="CE227" s="987" t="str">
        <f t="shared" si="294"/>
        <v>-</v>
      </c>
      <c r="CF227" s="987" t="str">
        <f t="shared" si="295"/>
        <v>-</v>
      </c>
      <c r="CG227" s="988" t="str">
        <f t="shared" si="296"/>
        <v>-</v>
      </c>
      <c r="CH227" s="987" t="str">
        <f t="shared" si="302"/>
        <v>-</v>
      </c>
      <c r="CI227" s="987" t="str">
        <f t="shared" si="297"/>
        <v>-</v>
      </c>
      <c r="CJ227" s="987" t="str">
        <f t="shared" si="298"/>
        <v>-</v>
      </c>
      <c r="CK227" s="989" t="str">
        <f t="shared" si="299"/>
        <v>-</v>
      </c>
    </row>
    <row r="228" spans="4:89">
      <c r="D228" s="63">
        <f>D225+1</f>
        <v>54</v>
      </c>
      <c r="E228" s="550" t="s">
        <v>857</v>
      </c>
      <c r="F228" s="595" t="s">
        <v>420</v>
      </c>
      <c r="G228" s="595" t="s">
        <v>904</v>
      </c>
      <c r="H228" s="595" t="s">
        <v>905</v>
      </c>
      <c r="I228" s="589" t="s">
        <v>842</v>
      </c>
      <c r="J228" s="589" t="s">
        <v>879</v>
      </c>
      <c r="K228" s="551"/>
      <c r="L228" s="552"/>
      <c r="M228" s="552"/>
      <c r="N228" s="551"/>
      <c r="O228" s="552"/>
      <c r="P228" s="552"/>
      <c r="Q228" s="552"/>
      <c r="R228" s="1035"/>
      <c r="S228" s="1138"/>
      <c r="T228" s="591"/>
      <c r="U228" s="1035"/>
      <c r="V228" s="1138"/>
      <c r="W228" s="591"/>
      <c r="X228" s="591"/>
      <c r="Y228" s="591"/>
      <c r="Z228" s="1035"/>
      <c r="AA228" s="1138"/>
      <c r="AB228" s="591"/>
      <c r="AC228" s="591"/>
      <c r="AD228" s="591"/>
      <c r="AE228" s="1035"/>
      <c r="AF228" s="1138"/>
      <c r="AG228" s="591"/>
      <c r="AH228" s="591"/>
      <c r="AI228" s="591"/>
      <c r="AJ228" s="1035"/>
      <c r="AK228" s="569"/>
      <c r="AL228" s="569"/>
      <c r="AM228" s="974"/>
      <c r="AN228" s="857"/>
      <c r="AO228" s="975" t="str">
        <f t="shared" si="272"/>
        <v>Price</v>
      </c>
      <c r="AP228" s="976" t="str">
        <f t="shared" si="273"/>
        <v>Waterways and Drainage</v>
      </c>
      <c r="AQ228" s="977" t="str">
        <f t="shared" si="274"/>
        <v>Fixed</v>
      </c>
      <c r="AR228" s="1341" t="str">
        <f t="shared" si="275"/>
        <v>-</v>
      </c>
      <c r="AS228" s="978" t="str">
        <f t="shared" si="276"/>
        <v>-</v>
      </c>
      <c r="AT228" s="979" t="str">
        <f t="shared" si="277"/>
        <v>-</v>
      </c>
      <c r="AU228" s="979" t="str">
        <f t="shared" si="278"/>
        <v>-</v>
      </c>
      <c r="AV228" s="1352" t="str">
        <f t="shared" si="279"/>
        <v>-</v>
      </c>
      <c r="AW228" s="1345" t="str">
        <f t="shared" si="280"/>
        <v>-</v>
      </c>
      <c r="AX228" s="979" t="str">
        <f t="shared" si="281"/>
        <v>-</v>
      </c>
      <c r="AY228" s="979" t="str">
        <f t="shared" si="282"/>
        <v>-</v>
      </c>
      <c r="AZ228" s="979" t="str">
        <f t="shared" si="283"/>
        <v>-</v>
      </c>
      <c r="BA228" s="980" t="str">
        <f t="shared" si="284"/>
        <v>-</v>
      </c>
      <c r="BB228" s="1345" t="str">
        <f t="shared" si="285"/>
        <v>-</v>
      </c>
      <c r="BC228" s="979" t="str">
        <f t="shared" si="286"/>
        <v>-</v>
      </c>
      <c r="BD228" s="979" t="str">
        <f t="shared" si="287"/>
        <v>-</v>
      </c>
      <c r="BE228" s="979" t="str">
        <f t="shared" si="288"/>
        <v>-</v>
      </c>
      <c r="BF228" s="981" t="str">
        <f t="shared" si="289"/>
        <v>-</v>
      </c>
      <c r="BG228" s="951"/>
      <c r="BH228" s="1547" t="str">
        <f t="shared" si="290"/>
        <v>Price</v>
      </c>
      <c r="BI228" s="1548" t="str">
        <f t="shared" si="291"/>
        <v>Waterways and Drainage</v>
      </c>
      <c r="BJ228" s="1549" t="str">
        <f t="shared" si="292"/>
        <v>Fixed</v>
      </c>
      <c r="BK228" s="978" t="str">
        <f t="shared" ref="BK228:BU228" si="342">IF(V228="","-",IFERROR((V228/U228-1)*(U230/U$13),"-"))</f>
        <v>-</v>
      </c>
      <c r="BL228" s="978" t="str">
        <f t="shared" si="342"/>
        <v>-</v>
      </c>
      <c r="BM228" s="979" t="str">
        <f t="shared" si="342"/>
        <v>-</v>
      </c>
      <c r="BN228" s="979" t="str">
        <f t="shared" si="342"/>
        <v>-</v>
      </c>
      <c r="BO228" s="1352" t="str">
        <f t="shared" si="342"/>
        <v>-</v>
      </c>
      <c r="BP228" s="1345" t="str">
        <f t="shared" si="342"/>
        <v>-</v>
      </c>
      <c r="BQ228" s="979" t="str">
        <f t="shared" si="342"/>
        <v>-</v>
      </c>
      <c r="BR228" s="979" t="str">
        <f t="shared" si="342"/>
        <v>-</v>
      </c>
      <c r="BS228" s="979" t="str">
        <f t="shared" si="342"/>
        <v>-</v>
      </c>
      <c r="BT228" s="980" t="str">
        <f t="shared" si="342"/>
        <v>-</v>
      </c>
      <c r="BU228" s="979" t="str">
        <f t="shared" si="342"/>
        <v>-</v>
      </c>
      <c r="BV228" s="979" t="str">
        <f>IF(AG228="","-",IFERROR((AG228/AF228-1)*(AF230/AF$13),"-"))</f>
        <v>-</v>
      </c>
      <c r="BW228" s="979" t="str">
        <f>IF(AH228="","-",IFERROR((AH228/AG228-1)*(AG230/AG$13),"-"))</f>
        <v>-</v>
      </c>
      <c r="BX228" s="979" t="str">
        <f>IF(AI228="","-",IFERROR((AI228/AH228-1)*(AH230/AH$13),"-"))</f>
        <v>-</v>
      </c>
      <c r="BY228" s="981" t="str">
        <f>IF(AJ228="","-",IFERROR((AJ228/AI228-1)*(AI230/AI$13),"-"))</f>
        <v>-</v>
      </c>
      <c r="BZ228" s="951"/>
      <c r="CA228" s="975" t="str">
        <f t="shared" si="268"/>
        <v>Price</v>
      </c>
      <c r="CB228" s="976" t="str">
        <f t="shared" si="269"/>
        <v>Waterways and Drainage</v>
      </c>
      <c r="CC228" s="982" t="str">
        <f t="shared" si="270"/>
        <v>Fixed</v>
      </c>
      <c r="CD228" s="983" t="str">
        <f t="shared" si="301"/>
        <v>-</v>
      </c>
      <c r="CE228" s="979" t="str">
        <f t="shared" si="294"/>
        <v>-</v>
      </c>
      <c r="CF228" s="979" t="str">
        <f t="shared" si="295"/>
        <v>-</v>
      </c>
      <c r="CG228" s="980" t="str">
        <f t="shared" si="296"/>
        <v>-</v>
      </c>
      <c r="CH228" s="979" t="str">
        <f t="shared" si="302"/>
        <v>-</v>
      </c>
      <c r="CI228" s="979" t="str">
        <f t="shared" si="297"/>
        <v>-</v>
      </c>
      <c r="CJ228" s="979" t="str">
        <f t="shared" si="298"/>
        <v>-</v>
      </c>
      <c r="CK228" s="981" t="str">
        <f t="shared" si="299"/>
        <v>-</v>
      </c>
    </row>
    <row r="229" spans="4:89">
      <c r="E229" s="567" t="s">
        <v>880</v>
      </c>
      <c r="F229" s="554" t="str">
        <f>+F228</f>
        <v>Waterways and Drainage</v>
      </c>
      <c r="G229" s="555" t="str">
        <f>+G228</f>
        <v>ALL</v>
      </c>
      <c r="H229" s="555" t="str">
        <f>+H228</f>
        <v>Residential on minimum</v>
      </c>
      <c r="I229" s="556" t="str">
        <f>+I228</f>
        <v>Fixed</v>
      </c>
      <c r="J229" s="590" t="s">
        <v>906</v>
      </c>
      <c r="K229" s="557"/>
      <c r="L229" s="558"/>
      <c r="M229" s="558"/>
      <c r="N229" s="557"/>
      <c r="O229" s="558"/>
      <c r="P229" s="558"/>
      <c r="Q229" s="558"/>
      <c r="R229" s="1036"/>
      <c r="S229" s="1139"/>
      <c r="T229" s="593"/>
      <c r="U229" s="1036"/>
      <c r="V229" s="1139"/>
      <c r="W229" s="593"/>
      <c r="X229" s="593"/>
      <c r="Y229" s="593"/>
      <c r="Z229" s="1036"/>
      <c r="AA229" s="1139"/>
      <c r="AB229" s="593"/>
      <c r="AC229" s="593"/>
      <c r="AD229" s="593"/>
      <c r="AE229" s="1036"/>
      <c r="AF229" s="1139"/>
      <c r="AG229" s="593"/>
      <c r="AH229" s="593"/>
      <c r="AI229" s="593"/>
      <c r="AJ229" s="1036"/>
      <c r="AK229" s="569"/>
      <c r="AL229" s="569"/>
      <c r="AN229" s="857"/>
      <c r="AO229" s="961" t="str">
        <f t="shared" si="272"/>
        <v>Qty</v>
      </c>
      <c r="AP229" s="962" t="str">
        <f t="shared" si="273"/>
        <v>Waterways and Drainage</v>
      </c>
      <c r="AQ229" s="963" t="str">
        <f t="shared" si="274"/>
        <v>Fixed</v>
      </c>
      <c r="AR229" s="967" t="str">
        <f t="shared" si="275"/>
        <v>-</v>
      </c>
      <c r="AS229" s="964" t="str">
        <f t="shared" si="276"/>
        <v>-</v>
      </c>
      <c r="AT229" s="964" t="str">
        <f t="shared" si="277"/>
        <v>-</v>
      </c>
      <c r="AU229" s="964" t="str">
        <f t="shared" si="278"/>
        <v>-</v>
      </c>
      <c r="AV229" s="1350" t="str">
        <f t="shared" si="279"/>
        <v>-</v>
      </c>
      <c r="AW229" s="1343" t="str">
        <f t="shared" si="280"/>
        <v>-</v>
      </c>
      <c r="AX229" s="964" t="str">
        <f t="shared" si="281"/>
        <v>-</v>
      </c>
      <c r="AY229" s="964" t="str">
        <f t="shared" si="282"/>
        <v>-</v>
      </c>
      <c r="AZ229" s="964" t="str">
        <f t="shared" si="283"/>
        <v>-</v>
      </c>
      <c r="BA229" s="965" t="str">
        <f t="shared" si="284"/>
        <v>-</v>
      </c>
      <c r="BB229" s="1343" t="str">
        <f t="shared" si="285"/>
        <v>-</v>
      </c>
      <c r="BC229" s="964" t="str">
        <f t="shared" si="286"/>
        <v>-</v>
      </c>
      <c r="BD229" s="964" t="str">
        <f t="shared" si="287"/>
        <v>-</v>
      </c>
      <c r="BE229" s="964" t="str">
        <f t="shared" si="288"/>
        <v>-</v>
      </c>
      <c r="BF229" s="966" t="str">
        <f t="shared" si="289"/>
        <v>-</v>
      </c>
      <c r="BG229" s="951"/>
      <c r="BH229" s="1541" t="str">
        <f t="shared" si="290"/>
        <v>Qty</v>
      </c>
      <c r="BI229" s="1542" t="str">
        <f t="shared" si="291"/>
        <v>Waterways and Drainage</v>
      </c>
      <c r="BJ229" s="1543" t="str">
        <f t="shared" si="292"/>
        <v>Fixed</v>
      </c>
      <c r="BK229" s="964" t="str">
        <f t="shared" ref="BK229:BU229" si="343">IF(V229="","-",IFERROR((V229/U229-1)*(U230/U$13),"-"))</f>
        <v>-</v>
      </c>
      <c r="BL229" s="964" t="str">
        <f t="shared" si="343"/>
        <v>-</v>
      </c>
      <c r="BM229" s="964" t="str">
        <f t="shared" si="343"/>
        <v>-</v>
      </c>
      <c r="BN229" s="964" t="str">
        <f t="shared" si="343"/>
        <v>-</v>
      </c>
      <c r="BO229" s="1350" t="str">
        <f t="shared" si="343"/>
        <v>-</v>
      </c>
      <c r="BP229" s="1343" t="str">
        <f t="shared" si="343"/>
        <v>-</v>
      </c>
      <c r="BQ229" s="964" t="str">
        <f t="shared" si="343"/>
        <v>-</v>
      </c>
      <c r="BR229" s="964" t="str">
        <f t="shared" si="343"/>
        <v>-</v>
      </c>
      <c r="BS229" s="964" t="str">
        <f t="shared" si="343"/>
        <v>-</v>
      </c>
      <c r="BT229" s="965" t="str">
        <f t="shared" si="343"/>
        <v>-</v>
      </c>
      <c r="BU229" s="964" t="str">
        <f t="shared" si="343"/>
        <v>-</v>
      </c>
      <c r="BV229" s="964" t="str">
        <f>IF(AG229="","-",IFERROR((AG229/AF229-1)*(AF230/AF$13),"-"))</f>
        <v>-</v>
      </c>
      <c r="BW229" s="964" t="str">
        <f>IF(AH229="","-",IFERROR((AH229/AG229-1)*(AG230/AG$13),"-"))</f>
        <v>-</v>
      </c>
      <c r="BX229" s="964" t="str">
        <f>IF(AI229="","-",IFERROR((AI229/AH229-1)*(AH230/AH$13),"-"))</f>
        <v>-</v>
      </c>
      <c r="BY229" s="966" t="str">
        <f>IF(AJ229="","-",IFERROR((AJ229/AI229-1)*(AI230/AI$13),"-"))</f>
        <v>-</v>
      </c>
      <c r="BZ229" s="951"/>
      <c r="CA229" s="961" t="str">
        <f t="shared" si="268"/>
        <v>Qty</v>
      </c>
      <c r="CB229" s="962" t="str">
        <f t="shared" si="269"/>
        <v>Waterways and Drainage</v>
      </c>
      <c r="CC229" s="962" t="str">
        <f t="shared" si="270"/>
        <v>Fixed</v>
      </c>
      <c r="CD229" s="967" t="str">
        <f t="shared" si="301"/>
        <v>-</v>
      </c>
      <c r="CE229" s="964" t="str">
        <f t="shared" si="294"/>
        <v>-</v>
      </c>
      <c r="CF229" s="964" t="str">
        <f t="shared" si="295"/>
        <v>-</v>
      </c>
      <c r="CG229" s="965" t="str">
        <f t="shared" si="296"/>
        <v>-</v>
      </c>
      <c r="CH229" s="964" t="str">
        <f t="shared" si="302"/>
        <v>-</v>
      </c>
      <c r="CI229" s="964" t="str">
        <f t="shared" si="297"/>
        <v>-</v>
      </c>
      <c r="CJ229" s="964" t="str">
        <f t="shared" si="298"/>
        <v>-</v>
      </c>
      <c r="CK229" s="966" t="str">
        <f t="shared" si="299"/>
        <v>-</v>
      </c>
    </row>
    <row r="230" spans="4:89" ht="12.75" thickBot="1">
      <c r="E230" s="568" t="s">
        <v>882</v>
      </c>
      <c r="F230" s="560" t="str">
        <f>+F228</f>
        <v>Waterways and Drainage</v>
      </c>
      <c r="G230" s="561" t="str">
        <f>+G228</f>
        <v>ALL</v>
      </c>
      <c r="H230" s="561" t="str">
        <f>+H228</f>
        <v>Residential on minimum</v>
      </c>
      <c r="I230" s="562" t="str">
        <f>+I228</f>
        <v>Fixed</v>
      </c>
      <c r="J230" s="563" t="s">
        <v>883</v>
      </c>
      <c r="K230" s="564">
        <f t="shared" ref="K230:AJ230" si="344">K228*K229/10^6</f>
        <v>0</v>
      </c>
      <c r="L230" s="565">
        <f t="shared" si="344"/>
        <v>0</v>
      </c>
      <c r="M230" s="565">
        <f t="shared" si="344"/>
        <v>0</v>
      </c>
      <c r="N230" s="564">
        <f t="shared" si="344"/>
        <v>0</v>
      </c>
      <c r="O230" s="565">
        <f t="shared" si="344"/>
        <v>0</v>
      </c>
      <c r="P230" s="565">
        <f t="shared" si="344"/>
        <v>0</v>
      </c>
      <c r="Q230" s="565">
        <f t="shared" si="344"/>
        <v>0</v>
      </c>
      <c r="R230" s="566">
        <f t="shared" si="344"/>
        <v>0</v>
      </c>
      <c r="S230" s="564">
        <f t="shared" si="344"/>
        <v>0</v>
      </c>
      <c r="T230" s="565">
        <f t="shared" si="344"/>
        <v>0</v>
      </c>
      <c r="U230" s="566">
        <f t="shared" si="344"/>
        <v>0</v>
      </c>
      <c r="V230" s="564">
        <f t="shared" si="344"/>
        <v>0</v>
      </c>
      <c r="W230" s="565">
        <f t="shared" si="344"/>
        <v>0</v>
      </c>
      <c r="X230" s="565">
        <f t="shared" si="344"/>
        <v>0</v>
      </c>
      <c r="Y230" s="565">
        <f t="shared" si="344"/>
        <v>0</v>
      </c>
      <c r="Z230" s="566">
        <f t="shared" si="344"/>
        <v>0</v>
      </c>
      <c r="AA230" s="564">
        <f t="shared" si="344"/>
        <v>0</v>
      </c>
      <c r="AB230" s="565">
        <f t="shared" si="344"/>
        <v>0</v>
      </c>
      <c r="AC230" s="565">
        <f t="shared" si="344"/>
        <v>0</v>
      </c>
      <c r="AD230" s="565">
        <f t="shared" si="344"/>
        <v>0</v>
      </c>
      <c r="AE230" s="566">
        <f t="shared" si="344"/>
        <v>0</v>
      </c>
      <c r="AF230" s="564">
        <f t="shared" si="344"/>
        <v>0</v>
      </c>
      <c r="AG230" s="565">
        <f t="shared" si="344"/>
        <v>0</v>
      </c>
      <c r="AH230" s="565">
        <f t="shared" si="344"/>
        <v>0</v>
      </c>
      <c r="AI230" s="565">
        <f t="shared" si="344"/>
        <v>0</v>
      </c>
      <c r="AJ230" s="566">
        <f t="shared" si="344"/>
        <v>0</v>
      </c>
      <c r="AK230" s="569"/>
      <c r="AL230" s="569"/>
      <c r="AN230" s="857"/>
      <c r="AO230" s="984" t="str">
        <f t="shared" si="272"/>
        <v>Rev</v>
      </c>
      <c r="AP230" s="985" t="str">
        <f t="shared" si="273"/>
        <v>Waterways and Drainage</v>
      </c>
      <c r="AQ230" s="986" t="str">
        <f t="shared" si="274"/>
        <v>Fixed</v>
      </c>
      <c r="AR230" s="990" t="str">
        <f t="shared" si="275"/>
        <v>-</v>
      </c>
      <c r="AS230" s="987" t="str">
        <f t="shared" si="276"/>
        <v>-</v>
      </c>
      <c r="AT230" s="987" t="str">
        <f t="shared" si="277"/>
        <v>-</v>
      </c>
      <c r="AU230" s="987" t="str">
        <f t="shared" si="278"/>
        <v>-</v>
      </c>
      <c r="AV230" s="1353" t="str">
        <f t="shared" si="279"/>
        <v>-</v>
      </c>
      <c r="AW230" s="1346" t="str">
        <f t="shared" si="280"/>
        <v>-</v>
      </c>
      <c r="AX230" s="987" t="str">
        <f t="shared" si="281"/>
        <v>-</v>
      </c>
      <c r="AY230" s="987" t="str">
        <f t="shared" si="282"/>
        <v>-</v>
      </c>
      <c r="AZ230" s="987" t="str">
        <f t="shared" si="283"/>
        <v>-</v>
      </c>
      <c r="BA230" s="988" t="str">
        <f t="shared" si="284"/>
        <v>-</v>
      </c>
      <c r="BB230" s="1346" t="str">
        <f t="shared" si="285"/>
        <v>-</v>
      </c>
      <c r="BC230" s="987" t="str">
        <f t="shared" si="286"/>
        <v>-</v>
      </c>
      <c r="BD230" s="987" t="str">
        <f t="shared" si="287"/>
        <v>-</v>
      </c>
      <c r="BE230" s="987" t="str">
        <f t="shared" si="288"/>
        <v>-</v>
      </c>
      <c r="BF230" s="989" t="str">
        <f t="shared" si="289"/>
        <v>-</v>
      </c>
      <c r="BG230" s="951"/>
      <c r="BH230" s="1550" t="str">
        <f t="shared" si="290"/>
        <v>Rev</v>
      </c>
      <c r="BI230" s="1551" t="str">
        <f t="shared" si="291"/>
        <v>Waterways and Drainage</v>
      </c>
      <c r="BJ230" s="1552" t="str">
        <f t="shared" si="292"/>
        <v>Fixed</v>
      </c>
      <c r="BK230" s="987" t="str">
        <f t="shared" ref="BK230:BU230" si="345">IF(V230="","-",IFERROR((V230/U230-1)*(U230/U$13),"-"))</f>
        <v>-</v>
      </c>
      <c r="BL230" s="987" t="str">
        <f t="shared" si="345"/>
        <v>-</v>
      </c>
      <c r="BM230" s="987" t="str">
        <f t="shared" si="345"/>
        <v>-</v>
      </c>
      <c r="BN230" s="987" t="str">
        <f t="shared" si="345"/>
        <v>-</v>
      </c>
      <c r="BO230" s="1353" t="str">
        <f t="shared" si="345"/>
        <v>-</v>
      </c>
      <c r="BP230" s="1346" t="str">
        <f t="shared" si="345"/>
        <v>-</v>
      </c>
      <c r="BQ230" s="987" t="str">
        <f t="shared" si="345"/>
        <v>-</v>
      </c>
      <c r="BR230" s="987" t="str">
        <f t="shared" si="345"/>
        <v>-</v>
      </c>
      <c r="BS230" s="987" t="str">
        <f t="shared" si="345"/>
        <v>-</v>
      </c>
      <c r="BT230" s="988" t="str">
        <f t="shared" si="345"/>
        <v>-</v>
      </c>
      <c r="BU230" s="987" t="str">
        <f t="shared" si="345"/>
        <v>-</v>
      </c>
      <c r="BV230" s="987" t="str">
        <f>IF(AG230="","-",IFERROR((AG230/AF230-1)*(AF230/AF$13),"-"))</f>
        <v>-</v>
      </c>
      <c r="BW230" s="987" t="str">
        <f>IF(AH230="","-",IFERROR((AH230/AG230-1)*(AG230/AG$13),"-"))</f>
        <v>-</v>
      </c>
      <c r="BX230" s="987" t="str">
        <f>IF(AI230="","-",IFERROR((AI230/AH230-1)*(AH230/AH$13),"-"))</f>
        <v>-</v>
      </c>
      <c r="BY230" s="989" t="str">
        <f>IF(AJ230="","-",IFERROR((AJ230/AI230-1)*(AI230/AI$13),"-"))</f>
        <v>-</v>
      </c>
      <c r="BZ230" s="951"/>
      <c r="CA230" s="984" t="str">
        <f t="shared" si="268"/>
        <v>Rev</v>
      </c>
      <c r="CB230" s="985" t="str">
        <f t="shared" si="269"/>
        <v>Waterways and Drainage</v>
      </c>
      <c r="CC230" s="985" t="str">
        <f t="shared" si="270"/>
        <v>Fixed</v>
      </c>
      <c r="CD230" s="990" t="str">
        <f t="shared" si="301"/>
        <v>-</v>
      </c>
      <c r="CE230" s="987" t="str">
        <f t="shared" si="294"/>
        <v>-</v>
      </c>
      <c r="CF230" s="987" t="str">
        <f t="shared" si="295"/>
        <v>-</v>
      </c>
      <c r="CG230" s="988" t="str">
        <f t="shared" si="296"/>
        <v>-</v>
      </c>
      <c r="CH230" s="987" t="str">
        <f t="shared" si="302"/>
        <v>-</v>
      </c>
      <c r="CI230" s="987" t="str">
        <f t="shared" si="297"/>
        <v>-</v>
      </c>
      <c r="CJ230" s="987" t="str">
        <f t="shared" si="298"/>
        <v>-</v>
      </c>
      <c r="CK230" s="989" t="str">
        <f t="shared" si="299"/>
        <v>-</v>
      </c>
    </row>
    <row r="231" spans="4:89">
      <c r="D231" s="63">
        <f>D228+1</f>
        <v>55</v>
      </c>
      <c r="E231" s="550" t="s">
        <v>857</v>
      </c>
      <c r="F231" s="595" t="s">
        <v>420</v>
      </c>
      <c r="G231" s="595" t="s">
        <v>904</v>
      </c>
      <c r="H231" s="595" t="s">
        <v>907</v>
      </c>
      <c r="I231" s="589" t="s">
        <v>842</v>
      </c>
      <c r="J231" s="589" t="s">
        <v>879</v>
      </c>
      <c r="K231" s="551"/>
      <c r="L231" s="552"/>
      <c r="M231" s="552"/>
      <c r="N231" s="551"/>
      <c r="O231" s="552"/>
      <c r="P231" s="552"/>
      <c r="Q231" s="552"/>
      <c r="R231" s="1035"/>
      <c r="S231" s="1138"/>
      <c r="T231" s="591"/>
      <c r="U231" s="1035"/>
      <c r="V231" s="1138"/>
      <c r="W231" s="591"/>
      <c r="X231" s="591"/>
      <c r="Y231" s="591"/>
      <c r="Z231" s="1035"/>
      <c r="AA231" s="1138"/>
      <c r="AB231" s="591"/>
      <c r="AC231" s="591"/>
      <c r="AD231" s="591"/>
      <c r="AE231" s="1035"/>
      <c r="AF231" s="1138"/>
      <c r="AG231" s="591"/>
      <c r="AH231" s="591"/>
      <c r="AI231" s="591"/>
      <c r="AJ231" s="1035"/>
      <c r="AK231" s="569"/>
      <c r="AL231" s="569"/>
      <c r="AM231" s="974"/>
      <c r="AN231" s="857"/>
      <c r="AO231" s="975" t="str">
        <f t="shared" si="272"/>
        <v>Price</v>
      </c>
      <c r="AP231" s="976" t="str">
        <f t="shared" si="273"/>
        <v>Waterways and Drainage</v>
      </c>
      <c r="AQ231" s="977" t="str">
        <f t="shared" si="274"/>
        <v>Fixed</v>
      </c>
      <c r="AR231" s="1341" t="str">
        <f t="shared" si="275"/>
        <v>-</v>
      </c>
      <c r="AS231" s="978" t="str">
        <f t="shared" si="276"/>
        <v>-</v>
      </c>
      <c r="AT231" s="979" t="str">
        <f t="shared" si="277"/>
        <v>-</v>
      </c>
      <c r="AU231" s="979" t="str">
        <f t="shared" si="278"/>
        <v>-</v>
      </c>
      <c r="AV231" s="1352" t="str">
        <f t="shared" si="279"/>
        <v>-</v>
      </c>
      <c r="AW231" s="1345" t="str">
        <f t="shared" si="280"/>
        <v>-</v>
      </c>
      <c r="AX231" s="979" t="str">
        <f t="shared" si="281"/>
        <v>-</v>
      </c>
      <c r="AY231" s="979" t="str">
        <f t="shared" si="282"/>
        <v>-</v>
      </c>
      <c r="AZ231" s="979" t="str">
        <f t="shared" si="283"/>
        <v>-</v>
      </c>
      <c r="BA231" s="980" t="str">
        <f t="shared" si="284"/>
        <v>-</v>
      </c>
      <c r="BB231" s="1345" t="str">
        <f t="shared" si="285"/>
        <v>-</v>
      </c>
      <c r="BC231" s="979" t="str">
        <f t="shared" si="286"/>
        <v>-</v>
      </c>
      <c r="BD231" s="979" t="str">
        <f t="shared" si="287"/>
        <v>-</v>
      </c>
      <c r="BE231" s="979" t="str">
        <f t="shared" si="288"/>
        <v>-</v>
      </c>
      <c r="BF231" s="981" t="str">
        <f t="shared" si="289"/>
        <v>-</v>
      </c>
      <c r="BG231" s="951"/>
      <c r="BH231" s="1547" t="str">
        <f t="shared" si="290"/>
        <v>Price</v>
      </c>
      <c r="BI231" s="1548" t="str">
        <f t="shared" si="291"/>
        <v>Waterways and Drainage</v>
      </c>
      <c r="BJ231" s="1549" t="str">
        <f t="shared" si="292"/>
        <v>Fixed</v>
      </c>
      <c r="BK231" s="978" t="str">
        <f t="shared" ref="BK231:BU231" si="346">IF(V231="","-",IFERROR((V231/U231-1)*(U233/U$13),"-"))</f>
        <v>-</v>
      </c>
      <c r="BL231" s="978" t="str">
        <f t="shared" si="346"/>
        <v>-</v>
      </c>
      <c r="BM231" s="979" t="str">
        <f t="shared" si="346"/>
        <v>-</v>
      </c>
      <c r="BN231" s="979" t="str">
        <f t="shared" si="346"/>
        <v>-</v>
      </c>
      <c r="BO231" s="1352" t="str">
        <f t="shared" si="346"/>
        <v>-</v>
      </c>
      <c r="BP231" s="1345" t="str">
        <f t="shared" si="346"/>
        <v>-</v>
      </c>
      <c r="BQ231" s="979" t="str">
        <f t="shared" si="346"/>
        <v>-</v>
      </c>
      <c r="BR231" s="979" t="str">
        <f t="shared" si="346"/>
        <v>-</v>
      </c>
      <c r="BS231" s="979" t="str">
        <f t="shared" si="346"/>
        <v>-</v>
      </c>
      <c r="BT231" s="980" t="str">
        <f t="shared" si="346"/>
        <v>-</v>
      </c>
      <c r="BU231" s="979" t="str">
        <f t="shared" si="346"/>
        <v>-</v>
      </c>
      <c r="BV231" s="979" t="str">
        <f>IF(AG231="","-",IFERROR((AG231/AF231-1)*(AF233/AF$13),"-"))</f>
        <v>-</v>
      </c>
      <c r="BW231" s="979" t="str">
        <f>IF(AH231="","-",IFERROR((AH231/AG231-1)*(AG233/AG$13),"-"))</f>
        <v>-</v>
      </c>
      <c r="BX231" s="979" t="str">
        <f>IF(AI231="","-",IFERROR((AI231/AH231-1)*(AH233/AH$13),"-"))</f>
        <v>-</v>
      </c>
      <c r="BY231" s="981" t="str">
        <f>IF(AJ231="","-",IFERROR((AJ231/AI231-1)*(AI233/AI$13),"-"))</f>
        <v>-</v>
      </c>
      <c r="BZ231" s="951"/>
      <c r="CA231" s="975" t="str">
        <f t="shared" si="268"/>
        <v>Price</v>
      </c>
      <c r="CB231" s="976" t="str">
        <f t="shared" si="269"/>
        <v>Waterways and Drainage</v>
      </c>
      <c r="CC231" s="982" t="str">
        <f t="shared" si="270"/>
        <v>Fixed</v>
      </c>
      <c r="CD231" s="983" t="str">
        <f t="shared" si="301"/>
        <v>-</v>
      </c>
      <c r="CE231" s="979" t="str">
        <f t="shared" si="294"/>
        <v>-</v>
      </c>
      <c r="CF231" s="979" t="str">
        <f t="shared" si="295"/>
        <v>-</v>
      </c>
      <c r="CG231" s="980" t="str">
        <f t="shared" si="296"/>
        <v>-</v>
      </c>
      <c r="CH231" s="979" t="str">
        <f t="shared" si="302"/>
        <v>-</v>
      </c>
      <c r="CI231" s="979" t="str">
        <f t="shared" si="297"/>
        <v>-</v>
      </c>
      <c r="CJ231" s="979" t="str">
        <f t="shared" si="298"/>
        <v>-</v>
      </c>
      <c r="CK231" s="981" t="str">
        <f t="shared" si="299"/>
        <v>-</v>
      </c>
    </row>
    <row r="232" spans="4:89">
      <c r="E232" s="567" t="s">
        <v>880</v>
      </c>
      <c r="F232" s="554" t="str">
        <f>+F231</f>
        <v>Waterways and Drainage</v>
      </c>
      <c r="G232" s="555" t="str">
        <f>+G231</f>
        <v>ALL</v>
      </c>
      <c r="H232" s="555" t="str">
        <f>+H231</f>
        <v>Non residential on minimum</v>
      </c>
      <c r="I232" s="556" t="str">
        <f>+I231</f>
        <v>Fixed</v>
      </c>
      <c r="J232" s="590" t="s">
        <v>906</v>
      </c>
      <c r="K232" s="557"/>
      <c r="L232" s="558"/>
      <c r="M232" s="558"/>
      <c r="N232" s="557"/>
      <c r="O232" s="558"/>
      <c r="P232" s="558"/>
      <c r="Q232" s="558"/>
      <c r="R232" s="1036"/>
      <c r="S232" s="1139"/>
      <c r="T232" s="593"/>
      <c r="U232" s="1036"/>
      <c r="V232" s="1139"/>
      <c r="W232" s="593"/>
      <c r="X232" s="593"/>
      <c r="Y232" s="593"/>
      <c r="Z232" s="1036"/>
      <c r="AA232" s="1139"/>
      <c r="AB232" s="593"/>
      <c r="AC232" s="593"/>
      <c r="AD232" s="593"/>
      <c r="AE232" s="1036"/>
      <c r="AF232" s="1139"/>
      <c r="AG232" s="593"/>
      <c r="AH232" s="593"/>
      <c r="AI232" s="593"/>
      <c r="AJ232" s="1036"/>
      <c r="AK232" s="569"/>
      <c r="AL232" s="569"/>
      <c r="AN232" s="857"/>
      <c r="AO232" s="961" t="str">
        <f t="shared" si="272"/>
        <v>Qty</v>
      </c>
      <c r="AP232" s="962" t="str">
        <f t="shared" si="273"/>
        <v>Waterways and Drainage</v>
      </c>
      <c r="AQ232" s="963" t="str">
        <f t="shared" si="274"/>
        <v>Fixed</v>
      </c>
      <c r="AR232" s="967" t="str">
        <f t="shared" si="275"/>
        <v>-</v>
      </c>
      <c r="AS232" s="964" t="str">
        <f t="shared" si="276"/>
        <v>-</v>
      </c>
      <c r="AT232" s="964" t="str">
        <f t="shared" si="277"/>
        <v>-</v>
      </c>
      <c r="AU232" s="964" t="str">
        <f t="shared" si="278"/>
        <v>-</v>
      </c>
      <c r="AV232" s="1350" t="str">
        <f t="shared" si="279"/>
        <v>-</v>
      </c>
      <c r="AW232" s="1343" t="str">
        <f t="shared" si="280"/>
        <v>-</v>
      </c>
      <c r="AX232" s="964" t="str">
        <f t="shared" si="281"/>
        <v>-</v>
      </c>
      <c r="AY232" s="964" t="str">
        <f t="shared" si="282"/>
        <v>-</v>
      </c>
      <c r="AZ232" s="964" t="str">
        <f t="shared" si="283"/>
        <v>-</v>
      </c>
      <c r="BA232" s="965" t="str">
        <f t="shared" si="284"/>
        <v>-</v>
      </c>
      <c r="BB232" s="1343" t="str">
        <f t="shared" si="285"/>
        <v>-</v>
      </c>
      <c r="BC232" s="964" t="str">
        <f t="shared" si="286"/>
        <v>-</v>
      </c>
      <c r="BD232" s="964" t="str">
        <f t="shared" si="287"/>
        <v>-</v>
      </c>
      <c r="BE232" s="964" t="str">
        <f t="shared" si="288"/>
        <v>-</v>
      </c>
      <c r="BF232" s="966" t="str">
        <f t="shared" si="289"/>
        <v>-</v>
      </c>
      <c r="BG232" s="951"/>
      <c r="BH232" s="1541" t="str">
        <f t="shared" si="290"/>
        <v>Qty</v>
      </c>
      <c r="BI232" s="1542" t="str">
        <f t="shared" si="291"/>
        <v>Waterways and Drainage</v>
      </c>
      <c r="BJ232" s="1543" t="str">
        <f t="shared" si="292"/>
        <v>Fixed</v>
      </c>
      <c r="BK232" s="964" t="str">
        <f t="shared" ref="BK232:BU232" si="347">IF(V232="","-",IFERROR((V232/U232-1)*(U233/U$13),"-"))</f>
        <v>-</v>
      </c>
      <c r="BL232" s="964" t="str">
        <f t="shared" si="347"/>
        <v>-</v>
      </c>
      <c r="BM232" s="964" t="str">
        <f t="shared" si="347"/>
        <v>-</v>
      </c>
      <c r="BN232" s="964" t="str">
        <f t="shared" si="347"/>
        <v>-</v>
      </c>
      <c r="BO232" s="1350" t="str">
        <f t="shared" si="347"/>
        <v>-</v>
      </c>
      <c r="BP232" s="1343" t="str">
        <f t="shared" si="347"/>
        <v>-</v>
      </c>
      <c r="BQ232" s="964" t="str">
        <f t="shared" si="347"/>
        <v>-</v>
      </c>
      <c r="BR232" s="964" t="str">
        <f t="shared" si="347"/>
        <v>-</v>
      </c>
      <c r="BS232" s="964" t="str">
        <f t="shared" si="347"/>
        <v>-</v>
      </c>
      <c r="BT232" s="965" t="str">
        <f t="shared" si="347"/>
        <v>-</v>
      </c>
      <c r="BU232" s="964" t="str">
        <f t="shared" si="347"/>
        <v>-</v>
      </c>
      <c r="BV232" s="964" t="str">
        <f>IF(AG232="","-",IFERROR((AG232/AF232-1)*(AF233/AF$13),"-"))</f>
        <v>-</v>
      </c>
      <c r="BW232" s="964" t="str">
        <f>IF(AH232="","-",IFERROR((AH232/AG232-1)*(AG233/AG$13),"-"))</f>
        <v>-</v>
      </c>
      <c r="BX232" s="964" t="str">
        <f>IF(AI232="","-",IFERROR((AI232/AH232-1)*(AH233/AH$13),"-"))</f>
        <v>-</v>
      </c>
      <c r="BY232" s="966" t="str">
        <f>IF(AJ232="","-",IFERROR((AJ232/AI232-1)*(AI233/AI$13),"-"))</f>
        <v>-</v>
      </c>
      <c r="BZ232" s="951"/>
      <c r="CA232" s="961" t="str">
        <f t="shared" si="268"/>
        <v>Qty</v>
      </c>
      <c r="CB232" s="962" t="str">
        <f t="shared" si="269"/>
        <v>Waterways and Drainage</v>
      </c>
      <c r="CC232" s="962" t="str">
        <f t="shared" si="270"/>
        <v>Fixed</v>
      </c>
      <c r="CD232" s="967" t="str">
        <f t="shared" si="301"/>
        <v>-</v>
      </c>
      <c r="CE232" s="964" t="str">
        <f t="shared" si="294"/>
        <v>-</v>
      </c>
      <c r="CF232" s="964" t="str">
        <f t="shared" si="295"/>
        <v>-</v>
      </c>
      <c r="CG232" s="965" t="str">
        <f t="shared" si="296"/>
        <v>-</v>
      </c>
      <c r="CH232" s="964" t="str">
        <f t="shared" si="302"/>
        <v>-</v>
      </c>
      <c r="CI232" s="964" t="str">
        <f t="shared" si="297"/>
        <v>-</v>
      </c>
      <c r="CJ232" s="964" t="str">
        <f t="shared" si="298"/>
        <v>-</v>
      </c>
      <c r="CK232" s="966" t="str">
        <f t="shared" si="299"/>
        <v>-</v>
      </c>
    </row>
    <row r="233" spans="4:89" ht="12.75" thickBot="1">
      <c r="E233" s="568" t="s">
        <v>882</v>
      </c>
      <c r="F233" s="560" t="str">
        <f>+F231</f>
        <v>Waterways and Drainage</v>
      </c>
      <c r="G233" s="561" t="str">
        <f>+G231</f>
        <v>ALL</v>
      </c>
      <c r="H233" s="561" t="str">
        <f>+H231</f>
        <v>Non residential on minimum</v>
      </c>
      <c r="I233" s="562" t="str">
        <f>+I231</f>
        <v>Fixed</v>
      </c>
      <c r="J233" s="563" t="s">
        <v>883</v>
      </c>
      <c r="K233" s="564">
        <f t="shared" ref="K233:AJ233" si="348">K231*K232/10^6</f>
        <v>0</v>
      </c>
      <c r="L233" s="565">
        <f t="shared" si="348"/>
        <v>0</v>
      </c>
      <c r="M233" s="565">
        <f t="shared" si="348"/>
        <v>0</v>
      </c>
      <c r="N233" s="564">
        <f t="shared" si="348"/>
        <v>0</v>
      </c>
      <c r="O233" s="565">
        <f t="shared" si="348"/>
        <v>0</v>
      </c>
      <c r="P233" s="565">
        <f t="shared" si="348"/>
        <v>0</v>
      </c>
      <c r="Q233" s="565">
        <f t="shared" si="348"/>
        <v>0</v>
      </c>
      <c r="R233" s="566">
        <f t="shared" si="348"/>
        <v>0</v>
      </c>
      <c r="S233" s="564">
        <f t="shared" si="348"/>
        <v>0</v>
      </c>
      <c r="T233" s="565">
        <f t="shared" si="348"/>
        <v>0</v>
      </c>
      <c r="U233" s="566">
        <f t="shared" si="348"/>
        <v>0</v>
      </c>
      <c r="V233" s="564">
        <f t="shared" si="348"/>
        <v>0</v>
      </c>
      <c r="W233" s="565">
        <f t="shared" si="348"/>
        <v>0</v>
      </c>
      <c r="X233" s="565">
        <f t="shared" si="348"/>
        <v>0</v>
      </c>
      <c r="Y233" s="565">
        <f t="shared" si="348"/>
        <v>0</v>
      </c>
      <c r="Z233" s="566">
        <f t="shared" si="348"/>
        <v>0</v>
      </c>
      <c r="AA233" s="564">
        <f t="shared" si="348"/>
        <v>0</v>
      </c>
      <c r="AB233" s="565">
        <f t="shared" si="348"/>
        <v>0</v>
      </c>
      <c r="AC233" s="565">
        <f t="shared" si="348"/>
        <v>0</v>
      </c>
      <c r="AD233" s="565">
        <f t="shared" si="348"/>
        <v>0</v>
      </c>
      <c r="AE233" s="566">
        <f t="shared" si="348"/>
        <v>0</v>
      </c>
      <c r="AF233" s="564">
        <f t="shared" si="348"/>
        <v>0</v>
      </c>
      <c r="AG233" s="565">
        <f t="shared" si="348"/>
        <v>0</v>
      </c>
      <c r="AH233" s="565">
        <f t="shared" si="348"/>
        <v>0</v>
      </c>
      <c r="AI233" s="565">
        <f t="shared" si="348"/>
        <v>0</v>
      </c>
      <c r="AJ233" s="566">
        <f t="shared" si="348"/>
        <v>0</v>
      </c>
      <c r="AK233" s="569"/>
      <c r="AL233" s="569"/>
      <c r="AN233" s="857"/>
      <c r="AO233" s="984" t="str">
        <f t="shared" si="272"/>
        <v>Rev</v>
      </c>
      <c r="AP233" s="985" t="str">
        <f t="shared" si="273"/>
        <v>Waterways and Drainage</v>
      </c>
      <c r="AQ233" s="986" t="str">
        <f t="shared" si="274"/>
        <v>Fixed</v>
      </c>
      <c r="AR233" s="990" t="str">
        <f t="shared" si="275"/>
        <v>-</v>
      </c>
      <c r="AS233" s="987" t="str">
        <f t="shared" si="276"/>
        <v>-</v>
      </c>
      <c r="AT233" s="987" t="str">
        <f t="shared" si="277"/>
        <v>-</v>
      </c>
      <c r="AU233" s="987" t="str">
        <f t="shared" si="278"/>
        <v>-</v>
      </c>
      <c r="AV233" s="1353" t="str">
        <f t="shared" si="279"/>
        <v>-</v>
      </c>
      <c r="AW233" s="1346" t="str">
        <f t="shared" si="280"/>
        <v>-</v>
      </c>
      <c r="AX233" s="987" t="str">
        <f t="shared" si="281"/>
        <v>-</v>
      </c>
      <c r="AY233" s="987" t="str">
        <f t="shared" si="282"/>
        <v>-</v>
      </c>
      <c r="AZ233" s="987" t="str">
        <f t="shared" si="283"/>
        <v>-</v>
      </c>
      <c r="BA233" s="988" t="str">
        <f t="shared" si="284"/>
        <v>-</v>
      </c>
      <c r="BB233" s="1346" t="str">
        <f t="shared" si="285"/>
        <v>-</v>
      </c>
      <c r="BC233" s="987" t="str">
        <f t="shared" si="286"/>
        <v>-</v>
      </c>
      <c r="BD233" s="987" t="str">
        <f t="shared" si="287"/>
        <v>-</v>
      </c>
      <c r="BE233" s="987" t="str">
        <f t="shared" si="288"/>
        <v>-</v>
      </c>
      <c r="BF233" s="989" t="str">
        <f t="shared" si="289"/>
        <v>-</v>
      </c>
      <c r="BG233" s="951"/>
      <c r="BH233" s="1550" t="str">
        <f t="shared" si="290"/>
        <v>Rev</v>
      </c>
      <c r="BI233" s="1551" t="str">
        <f t="shared" si="291"/>
        <v>Waterways and Drainage</v>
      </c>
      <c r="BJ233" s="1552" t="str">
        <f t="shared" si="292"/>
        <v>Fixed</v>
      </c>
      <c r="BK233" s="987" t="str">
        <f t="shared" ref="BK233:BU233" si="349">IF(V233="","-",IFERROR((V233/U233-1)*(U233/U$13),"-"))</f>
        <v>-</v>
      </c>
      <c r="BL233" s="987" t="str">
        <f t="shared" si="349"/>
        <v>-</v>
      </c>
      <c r="BM233" s="987" t="str">
        <f t="shared" si="349"/>
        <v>-</v>
      </c>
      <c r="BN233" s="987" t="str">
        <f t="shared" si="349"/>
        <v>-</v>
      </c>
      <c r="BO233" s="1353" t="str">
        <f t="shared" si="349"/>
        <v>-</v>
      </c>
      <c r="BP233" s="1346" t="str">
        <f t="shared" si="349"/>
        <v>-</v>
      </c>
      <c r="BQ233" s="987" t="str">
        <f t="shared" si="349"/>
        <v>-</v>
      </c>
      <c r="BR233" s="987" t="str">
        <f t="shared" si="349"/>
        <v>-</v>
      </c>
      <c r="BS233" s="987" t="str">
        <f t="shared" si="349"/>
        <v>-</v>
      </c>
      <c r="BT233" s="988" t="str">
        <f t="shared" si="349"/>
        <v>-</v>
      </c>
      <c r="BU233" s="987" t="str">
        <f t="shared" si="349"/>
        <v>-</v>
      </c>
      <c r="BV233" s="987" t="str">
        <f>IF(AG233="","-",IFERROR((AG233/AF233-1)*(AF233/AF$13),"-"))</f>
        <v>-</v>
      </c>
      <c r="BW233" s="987" t="str">
        <f>IF(AH233="","-",IFERROR((AH233/AG233-1)*(AG233/AG$13),"-"))</f>
        <v>-</v>
      </c>
      <c r="BX233" s="987" t="str">
        <f>IF(AI233="","-",IFERROR((AI233/AH233-1)*(AH233/AH$13),"-"))</f>
        <v>-</v>
      </c>
      <c r="BY233" s="989" t="str">
        <f>IF(AJ233="","-",IFERROR((AJ233/AI233-1)*(AI233/AI$13),"-"))</f>
        <v>-</v>
      </c>
      <c r="BZ233" s="951"/>
      <c r="CA233" s="984" t="str">
        <f t="shared" si="268"/>
        <v>Rev</v>
      </c>
      <c r="CB233" s="985" t="str">
        <f t="shared" si="269"/>
        <v>Waterways and Drainage</v>
      </c>
      <c r="CC233" s="985" t="str">
        <f t="shared" si="270"/>
        <v>Fixed</v>
      </c>
      <c r="CD233" s="990" t="str">
        <f t="shared" si="301"/>
        <v>-</v>
      </c>
      <c r="CE233" s="987" t="str">
        <f t="shared" si="294"/>
        <v>-</v>
      </c>
      <c r="CF233" s="987" t="str">
        <f t="shared" si="295"/>
        <v>-</v>
      </c>
      <c r="CG233" s="988" t="str">
        <f t="shared" si="296"/>
        <v>-</v>
      </c>
      <c r="CH233" s="987" t="str">
        <f t="shared" si="302"/>
        <v>-</v>
      </c>
      <c r="CI233" s="987" t="str">
        <f t="shared" si="297"/>
        <v>-</v>
      </c>
      <c r="CJ233" s="987" t="str">
        <f t="shared" si="298"/>
        <v>-</v>
      </c>
      <c r="CK233" s="989" t="str">
        <f t="shared" si="299"/>
        <v>-</v>
      </c>
    </row>
    <row r="234" spans="4:89">
      <c r="D234" s="63">
        <f>D231+1</f>
        <v>56</v>
      </c>
      <c r="E234" s="550" t="s">
        <v>857</v>
      </c>
      <c r="F234" s="595" t="s">
        <v>420</v>
      </c>
      <c r="G234" s="595" t="s">
        <v>904</v>
      </c>
      <c r="H234" s="595" t="s">
        <v>908</v>
      </c>
      <c r="I234" s="589" t="s">
        <v>842</v>
      </c>
      <c r="J234" s="589" t="s">
        <v>879</v>
      </c>
      <c r="K234" s="551"/>
      <c r="L234" s="552"/>
      <c r="M234" s="552"/>
      <c r="N234" s="551"/>
      <c r="O234" s="552"/>
      <c r="P234" s="552"/>
      <c r="Q234" s="552"/>
      <c r="R234" s="1035"/>
      <c r="S234" s="1138"/>
      <c r="T234" s="591"/>
      <c r="U234" s="1536"/>
      <c r="V234" s="1621"/>
      <c r="W234" s="1537"/>
      <c r="X234" s="1537"/>
      <c r="Y234" s="1537"/>
      <c r="Z234" s="1536"/>
      <c r="AA234" s="1621"/>
      <c r="AB234" s="1537"/>
      <c r="AC234" s="1537"/>
      <c r="AD234" s="1537"/>
      <c r="AE234" s="1536"/>
      <c r="AF234" s="1621"/>
      <c r="AG234" s="1537"/>
      <c r="AH234" s="1537"/>
      <c r="AI234" s="1537"/>
      <c r="AJ234" s="1536"/>
      <c r="AK234" s="569"/>
      <c r="AL234" s="569"/>
      <c r="AM234" s="974"/>
      <c r="AN234" s="857"/>
      <c r="AO234" s="975" t="str">
        <f t="shared" si="272"/>
        <v>Price</v>
      </c>
      <c r="AP234" s="976" t="str">
        <f t="shared" si="273"/>
        <v>Waterways and Drainage</v>
      </c>
      <c r="AQ234" s="977" t="str">
        <f t="shared" si="274"/>
        <v>Fixed</v>
      </c>
      <c r="AR234" s="1341" t="str">
        <f t="shared" si="275"/>
        <v>-</v>
      </c>
      <c r="AS234" s="978" t="str">
        <f t="shared" si="276"/>
        <v>-</v>
      </c>
      <c r="AT234" s="979" t="str">
        <f t="shared" si="277"/>
        <v>-</v>
      </c>
      <c r="AU234" s="979" t="str">
        <f t="shared" si="278"/>
        <v>-</v>
      </c>
      <c r="AV234" s="1352" t="str">
        <f t="shared" si="279"/>
        <v>-</v>
      </c>
      <c r="AW234" s="1345" t="str">
        <f t="shared" si="280"/>
        <v>-</v>
      </c>
      <c r="AX234" s="979" t="str">
        <f t="shared" si="281"/>
        <v>-</v>
      </c>
      <c r="AY234" s="979" t="str">
        <f t="shared" si="282"/>
        <v>-</v>
      </c>
      <c r="AZ234" s="979" t="str">
        <f t="shared" si="283"/>
        <v>-</v>
      </c>
      <c r="BA234" s="980" t="str">
        <f t="shared" si="284"/>
        <v>-</v>
      </c>
      <c r="BB234" s="1345" t="str">
        <f t="shared" si="285"/>
        <v>-</v>
      </c>
      <c r="BC234" s="979" t="str">
        <f t="shared" si="286"/>
        <v>-</v>
      </c>
      <c r="BD234" s="979" t="str">
        <f t="shared" si="287"/>
        <v>-</v>
      </c>
      <c r="BE234" s="979" t="str">
        <f t="shared" si="288"/>
        <v>-</v>
      </c>
      <c r="BF234" s="981" t="str">
        <f t="shared" si="289"/>
        <v>-</v>
      </c>
      <c r="BG234" s="951"/>
      <c r="BH234" s="1547" t="str">
        <f t="shared" si="290"/>
        <v>Price</v>
      </c>
      <c r="BI234" s="1548" t="str">
        <f t="shared" si="291"/>
        <v>Waterways and Drainage</v>
      </c>
      <c r="BJ234" s="1549" t="str">
        <f t="shared" si="292"/>
        <v>Fixed</v>
      </c>
      <c r="BK234" s="978" t="str">
        <f t="shared" ref="BK234:BU234" si="350">IF(V234="","-",IFERROR((V234/U234-1)*(U236/U$13),"-"))</f>
        <v>-</v>
      </c>
      <c r="BL234" s="978" t="str">
        <f t="shared" si="350"/>
        <v>-</v>
      </c>
      <c r="BM234" s="979" t="str">
        <f t="shared" si="350"/>
        <v>-</v>
      </c>
      <c r="BN234" s="979" t="str">
        <f t="shared" si="350"/>
        <v>-</v>
      </c>
      <c r="BO234" s="1352" t="str">
        <f t="shared" si="350"/>
        <v>-</v>
      </c>
      <c r="BP234" s="1345" t="str">
        <f t="shared" si="350"/>
        <v>-</v>
      </c>
      <c r="BQ234" s="979" t="str">
        <f t="shared" si="350"/>
        <v>-</v>
      </c>
      <c r="BR234" s="979" t="str">
        <f t="shared" si="350"/>
        <v>-</v>
      </c>
      <c r="BS234" s="979" t="str">
        <f t="shared" si="350"/>
        <v>-</v>
      </c>
      <c r="BT234" s="980" t="str">
        <f t="shared" si="350"/>
        <v>-</v>
      </c>
      <c r="BU234" s="979" t="str">
        <f t="shared" si="350"/>
        <v>-</v>
      </c>
      <c r="BV234" s="979" t="str">
        <f>IF(AG234="","-",IFERROR((AG234/AF234-1)*(AF236/AF$13),"-"))</f>
        <v>-</v>
      </c>
      <c r="BW234" s="979" t="str">
        <f>IF(AH234="","-",IFERROR((AH234/AG234-1)*(AG236/AG$13),"-"))</f>
        <v>-</v>
      </c>
      <c r="BX234" s="979" t="str">
        <f>IF(AI234="","-",IFERROR((AI234/AH234-1)*(AH236/AH$13),"-"))</f>
        <v>-</v>
      </c>
      <c r="BY234" s="981" t="str">
        <f>IF(AJ234="","-",IFERROR((AJ234/AI234-1)*(AI236/AI$13),"-"))</f>
        <v>-</v>
      </c>
      <c r="BZ234" s="951"/>
      <c r="CA234" s="975" t="str">
        <f t="shared" si="268"/>
        <v>Price</v>
      </c>
      <c r="CB234" s="976" t="str">
        <f t="shared" si="269"/>
        <v>Waterways and Drainage</v>
      </c>
      <c r="CC234" s="982" t="str">
        <f t="shared" si="270"/>
        <v>Fixed</v>
      </c>
      <c r="CD234" s="983" t="str">
        <f t="shared" si="301"/>
        <v>-</v>
      </c>
      <c r="CE234" s="979" t="str">
        <f t="shared" si="294"/>
        <v>-</v>
      </c>
      <c r="CF234" s="979" t="str">
        <f t="shared" si="295"/>
        <v>-</v>
      </c>
      <c r="CG234" s="980" t="str">
        <f t="shared" si="296"/>
        <v>-</v>
      </c>
      <c r="CH234" s="979" t="str">
        <f t="shared" si="302"/>
        <v>-</v>
      </c>
      <c r="CI234" s="979" t="str">
        <f t="shared" si="297"/>
        <v>-</v>
      </c>
      <c r="CJ234" s="979" t="str">
        <f t="shared" si="298"/>
        <v>-</v>
      </c>
      <c r="CK234" s="981" t="str">
        <f t="shared" si="299"/>
        <v>-</v>
      </c>
    </row>
    <row r="235" spans="4:89">
      <c r="E235" s="567" t="s">
        <v>880</v>
      </c>
      <c r="F235" s="554" t="str">
        <f>+F234</f>
        <v>Waterways and Drainage</v>
      </c>
      <c r="G235" s="555" t="str">
        <f>+G234</f>
        <v>ALL</v>
      </c>
      <c r="H235" s="555" t="str">
        <f>+H234</f>
        <v>Non residential above minimum</v>
      </c>
      <c r="I235" s="556" t="str">
        <f>+I234</f>
        <v>Fixed</v>
      </c>
      <c r="J235" s="590" t="s">
        <v>909</v>
      </c>
      <c r="K235" s="557"/>
      <c r="L235" s="558"/>
      <c r="M235" s="558"/>
      <c r="N235" s="557"/>
      <c r="O235" s="558"/>
      <c r="P235" s="558"/>
      <c r="Q235" s="558"/>
      <c r="R235" s="1036"/>
      <c r="S235" s="1139"/>
      <c r="T235" s="593"/>
      <c r="U235" s="1036"/>
      <c r="V235" s="1139"/>
      <c r="W235" s="593"/>
      <c r="X235" s="593"/>
      <c r="Y235" s="593"/>
      <c r="Z235" s="1036"/>
      <c r="AA235" s="1139"/>
      <c r="AB235" s="593"/>
      <c r="AC235" s="593"/>
      <c r="AD235" s="593"/>
      <c r="AE235" s="1036"/>
      <c r="AF235" s="1139"/>
      <c r="AG235" s="593"/>
      <c r="AH235" s="593"/>
      <c r="AI235" s="593"/>
      <c r="AJ235" s="1036"/>
      <c r="AK235" s="569"/>
      <c r="AL235" s="569"/>
      <c r="AN235" s="857"/>
      <c r="AO235" s="961" t="str">
        <f t="shared" si="272"/>
        <v>Qty</v>
      </c>
      <c r="AP235" s="962" t="str">
        <f t="shared" si="273"/>
        <v>Waterways and Drainage</v>
      </c>
      <c r="AQ235" s="963" t="str">
        <f t="shared" si="274"/>
        <v>Fixed</v>
      </c>
      <c r="AR235" s="967" t="str">
        <f t="shared" si="275"/>
        <v>-</v>
      </c>
      <c r="AS235" s="964" t="str">
        <f t="shared" si="276"/>
        <v>-</v>
      </c>
      <c r="AT235" s="964" t="str">
        <f t="shared" si="277"/>
        <v>-</v>
      </c>
      <c r="AU235" s="964" t="str">
        <f t="shared" si="278"/>
        <v>-</v>
      </c>
      <c r="AV235" s="1350" t="str">
        <f t="shared" si="279"/>
        <v>-</v>
      </c>
      <c r="AW235" s="1343" t="str">
        <f t="shared" si="280"/>
        <v>-</v>
      </c>
      <c r="AX235" s="964" t="str">
        <f t="shared" si="281"/>
        <v>-</v>
      </c>
      <c r="AY235" s="964" t="str">
        <f t="shared" si="282"/>
        <v>-</v>
      </c>
      <c r="AZ235" s="964" t="str">
        <f t="shared" si="283"/>
        <v>-</v>
      </c>
      <c r="BA235" s="965" t="str">
        <f t="shared" si="284"/>
        <v>-</v>
      </c>
      <c r="BB235" s="1343" t="str">
        <f t="shared" si="285"/>
        <v>-</v>
      </c>
      <c r="BC235" s="964" t="str">
        <f t="shared" si="286"/>
        <v>-</v>
      </c>
      <c r="BD235" s="964" t="str">
        <f t="shared" si="287"/>
        <v>-</v>
      </c>
      <c r="BE235" s="964" t="str">
        <f t="shared" si="288"/>
        <v>-</v>
      </c>
      <c r="BF235" s="966" t="str">
        <f t="shared" si="289"/>
        <v>-</v>
      </c>
      <c r="BG235" s="951"/>
      <c r="BH235" s="1541" t="str">
        <f t="shared" si="290"/>
        <v>Qty</v>
      </c>
      <c r="BI235" s="1542" t="str">
        <f t="shared" si="291"/>
        <v>Waterways and Drainage</v>
      </c>
      <c r="BJ235" s="1543" t="str">
        <f t="shared" si="292"/>
        <v>Fixed</v>
      </c>
      <c r="BK235" s="964" t="str">
        <f t="shared" ref="BK235:BU235" si="351">IF(V235="","-",IFERROR((V235/U235-1)*(U236/U$13),"-"))</f>
        <v>-</v>
      </c>
      <c r="BL235" s="964" t="str">
        <f t="shared" si="351"/>
        <v>-</v>
      </c>
      <c r="BM235" s="964" t="str">
        <f t="shared" si="351"/>
        <v>-</v>
      </c>
      <c r="BN235" s="964" t="str">
        <f t="shared" si="351"/>
        <v>-</v>
      </c>
      <c r="BO235" s="1350" t="str">
        <f t="shared" si="351"/>
        <v>-</v>
      </c>
      <c r="BP235" s="1343" t="str">
        <f t="shared" si="351"/>
        <v>-</v>
      </c>
      <c r="BQ235" s="964" t="str">
        <f t="shared" si="351"/>
        <v>-</v>
      </c>
      <c r="BR235" s="964" t="str">
        <f t="shared" si="351"/>
        <v>-</v>
      </c>
      <c r="BS235" s="964" t="str">
        <f t="shared" si="351"/>
        <v>-</v>
      </c>
      <c r="BT235" s="965" t="str">
        <f t="shared" si="351"/>
        <v>-</v>
      </c>
      <c r="BU235" s="964" t="str">
        <f t="shared" si="351"/>
        <v>-</v>
      </c>
      <c r="BV235" s="964" t="str">
        <f>IF(AG235="","-",IFERROR((AG235/AF235-1)*(AF236/AF$13),"-"))</f>
        <v>-</v>
      </c>
      <c r="BW235" s="964" t="str">
        <f>IF(AH235="","-",IFERROR((AH235/AG235-1)*(AG236/AG$13),"-"))</f>
        <v>-</v>
      </c>
      <c r="BX235" s="964" t="str">
        <f>IF(AI235="","-",IFERROR((AI235/AH235-1)*(AH236/AH$13),"-"))</f>
        <v>-</v>
      </c>
      <c r="BY235" s="966" t="str">
        <f>IF(AJ235="","-",IFERROR((AJ235/AI235-1)*(AI236/AI$13),"-"))</f>
        <v>-</v>
      </c>
      <c r="BZ235" s="951"/>
      <c r="CA235" s="961" t="str">
        <f t="shared" si="268"/>
        <v>Qty</v>
      </c>
      <c r="CB235" s="962" t="str">
        <f t="shared" si="269"/>
        <v>Waterways and Drainage</v>
      </c>
      <c r="CC235" s="962" t="str">
        <f t="shared" si="270"/>
        <v>Fixed</v>
      </c>
      <c r="CD235" s="967" t="str">
        <f t="shared" si="301"/>
        <v>-</v>
      </c>
      <c r="CE235" s="964" t="str">
        <f t="shared" si="294"/>
        <v>-</v>
      </c>
      <c r="CF235" s="964" t="str">
        <f t="shared" si="295"/>
        <v>-</v>
      </c>
      <c r="CG235" s="965" t="str">
        <f t="shared" si="296"/>
        <v>-</v>
      </c>
      <c r="CH235" s="964" t="str">
        <f t="shared" si="302"/>
        <v>-</v>
      </c>
      <c r="CI235" s="964" t="str">
        <f t="shared" si="297"/>
        <v>-</v>
      </c>
      <c r="CJ235" s="964" t="str">
        <f t="shared" si="298"/>
        <v>-</v>
      </c>
      <c r="CK235" s="966" t="str">
        <f t="shared" si="299"/>
        <v>-</v>
      </c>
    </row>
    <row r="236" spans="4:89" ht="12.75" thickBot="1">
      <c r="E236" s="568" t="s">
        <v>882</v>
      </c>
      <c r="F236" s="560" t="str">
        <f>+F234</f>
        <v>Waterways and Drainage</v>
      </c>
      <c r="G236" s="561" t="str">
        <f>+G234</f>
        <v>ALL</v>
      </c>
      <c r="H236" s="561" t="str">
        <f>+H234</f>
        <v>Non residential above minimum</v>
      </c>
      <c r="I236" s="562" t="str">
        <f>+I234</f>
        <v>Fixed</v>
      </c>
      <c r="J236" s="563" t="s">
        <v>883</v>
      </c>
      <c r="K236" s="564">
        <f t="shared" ref="K236:AJ236" si="352">K234*K235/10^6</f>
        <v>0</v>
      </c>
      <c r="L236" s="565">
        <f t="shared" si="352"/>
        <v>0</v>
      </c>
      <c r="M236" s="565">
        <f t="shared" si="352"/>
        <v>0</v>
      </c>
      <c r="N236" s="564">
        <f t="shared" si="352"/>
        <v>0</v>
      </c>
      <c r="O236" s="565">
        <f t="shared" si="352"/>
        <v>0</v>
      </c>
      <c r="P236" s="565">
        <f t="shared" si="352"/>
        <v>0</v>
      </c>
      <c r="Q236" s="565">
        <f t="shared" si="352"/>
        <v>0</v>
      </c>
      <c r="R236" s="566">
        <f t="shared" si="352"/>
        <v>0</v>
      </c>
      <c r="S236" s="564">
        <f t="shared" si="352"/>
        <v>0</v>
      </c>
      <c r="T236" s="565">
        <f t="shared" si="352"/>
        <v>0</v>
      </c>
      <c r="U236" s="566">
        <f t="shared" si="352"/>
        <v>0</v>
      </c>
      <c r="V236" s="564">
        <f t="shared" si="352"/>
        <v>0</v>
      </c>
      <c r="W236" s="565">
        <f t="shared" si="352"/>
        <v>0</v>
      </c>
      <c r="X236" s="565">
        <f t="shared" si="352"/>
        <v>0</v>
      </c>
      <c r="Y236" s="565">
        <f t="shared" si="352"/>
        <v>0</v>
      </c>
      <c r="Z236" s="566">
        <f t="shared" si="352"/>
        <v>0</v>
      </c>
      <c r="AA236" s="564">
        <f t="shared" si="352"/>
        <v>0</v>
      </c>
      <c r="AB236" s="565">
        <f t="shared" si="352"/>
        <v>0</v>
      </c>
      <c r="AC236" s="565">
        <f t="shared" si="352"/>
        <v>0</v>
      </c>
      <c r="AD236" s="565">
        <f t="shared" si="352"/>
        <v>0</v>
      </c>
      <c r="AE236" s="566">
        <f t="shared" si="352"/>
        <v>0</v>
      </c>
      <c r="AF236" s="564">
        <f t="shared" si="352"/>
        <v>0</v>
      </c>
      <c r="AG236" s="565">
        <f t="shared" si="352"/>
        <v>0</v>
      </c>
      <c r="AH236" s="565">
        <f t="shared" si="352"/>
        <v>0</v>
      </c>
      <c r="AI236" s="565">
        <f t="shared" si="352"/>
        <v>0</v>
      </c>
      <c r="AJ236" s="566">
        <f t="shared" si="352"/>
        <v>0</v>
      </c>
      <c r="AK236" s="569"/>
      <c r="AL236" s="569"/>
      <c r="AN236" s="857"/>
      <c r="AO236" s="984" t="str">
        <f t="shared" si="272"/>
        <v>Rev</v>
      </c>
      <c r="AP236" s="985" t="str">
        <f t="shared" si="273"/>
        <v>Waterways and Drainage</v>
      </c>
      <c r="AQ236" s="986" t="str">
        <f t="shared" si="274"/>
        <v>Fixed</v>
      </c>
      <c r="AR236" s="990" t="str">
        <f t="shared" si="275"/>
        <v>-</v>
      </c>
      <c r="AS236" s="987" t="str">
        <f t="shared" si="276"/>
        <v>-</v>
      </c>
      <c r="AT236" s="987" t="str">
        <f t="shared" si="277"/>
        <v>-</v>
      </c>
      <c r="AU236" s="987" t="str">
        <f t="shared" si="278"/>
        <v>-</v>
      </c>
      <c r="AV236" s="1353" t="str">
        <f t="shared" si="279"/>
        <v>-</v>
      </c>
      <c r="AW236" s="1346" t="str">
        <f t="shared" si="280"/>
        <v>-</v>
      </c>
      <c r="AX236" s="987" t="str">
        <f t="shared" si="281"/>
        <v>-</v>
      </c>
      <c r="AY236" s="987" t="str">
        <f t="shared" si="282"/>
        <v>-</v>
      </c>
      <c r="AZ236" s="987" t="str">
        <f t="shared" si="283"/>
        <v>-</v>
      </c>
      <c r="BA236" s="988" t="str">
        <f t="shared" si="284"/>
        <v>-</v>
      </c>
      <c r="BB236" s="1346" t="str">
        <f t="shared" si="285"/>
        <v>-</v>
      </c>
      <c r="BC236" s="987" t="str">
        <f t="shared" si="286"/>
        <v>-</v>
      </c>
      <c r="BD236" s="987" t="str">
        <f t="shared" si="287"/>
        <v>-</v>
      </c>
      <c r="BE236" s="987" t="str">
        <f t="shared" si="288"/>
        <v>-</v>
      </c>
      <c r="BF236" s="989" t="str">
        <f t="shared" si="289"/>
        <v>-</v>
      </c>
      <c r="BG236" s="951"/>
      <c r="BH236" s="1550" t="str">
        <f t="shared" si="290"/>
        <v>Rev</v>
      </c>
      <c r="BI236" s="1551" t="str">
        <f t="shared" si="291"/>
        <v>Waterways and Drainage</v>
      </c>
      <c r="BJ236" s="1552" t="str">
        <f t="shared" si="292"/>
        <v>Fixed</v>
      </c>
      <c r="BK236" s="987" t="str">
        <f t="shared" ref="BK236:BU236" si="353">IF(V236="","-",IFERROR((V236/U236-1)*(U236/U$13),"-"))</f>
        <v>-</v>
      </c>
      <c r="BL236" s="987" t="str">
        <f t="shared" si="353"/>
        <v>-</v>
      </c>
      <c r="BM236" s="987" t="str">
        <f t="shared" si="353"/>
        <v>-</v>
      </c>
      <c r="BN236" s="987" t="str">
        <f t="shared" si="353"/>
        <v>-</v>
      </c>
      <c r="BO236" s="1353" t="str">
        <f t="shared" si="353"/>
        <v>-</v>
      </c>
      <c r="BP236" s="1346" t="str">
        <f t="shared" si="353"/>
        <v>-</v>
      </c>
      <c r="BQ236" s="987" t="str">
        <f t="shared" si="353"/>
        <v>-</v>
      </c>
      <c r="BR236" s="987" t="str">
        <f t="shared" si="353"/>
        <v>-</v>
      </c>
      <c r="BS236" s="987" t="str">
        <f t="shared" si="353"/>
        <v>-</v>
      </c>
      <c r="BT236" s="988" t="str">
        <f t="shared" si="353"/>
        <v>-</v>
      </c>
      <c r="BU236" s="987" t="str">
        <f t="shared" si="353"/>
        <v>-</v>
      </c>
      <c r="BV236" s="987" t="str">
        <f>IF(AG236="","-",IFERROR((AG236/AF236-1)*(AF236/AF$13),"-"))</f>
        <v>-</v>
      </c>
      <c r="BW236" s="987" t="str">
        <f>IF(AH236="","-",IFERROR((AH236/AG236-1)*(AG236/AG$13),"-"))</f>
        <v>-</v>
      </c>
      <c r="BX236" s="987" t="str">
        <f>IF(AI236="","-",IFERROR((AI236/AH236-1)*(AH236/AH$13),"-"))</f>
        <v>-</v>
      </c>
      <c r="BY236" s="989" t="str">
        <f>IF(AJ236="","-",IFERROR((AJ236/AI236-1)*(AI236/AI$13),"-"))</f>
        <v>-</v>
      </c>
      <c r="BZ236" s="951"/>
      <c r="CA236" s="984" t="str">
        <f t="shared" si="268"/>
        <v>Rev</v>
      </c>
      <c r="CB236" s="985" t="str">
        <f t="shared" si="269"/>
        <v>Waterways and Drainage</v>
      </c>
      <c r="CC236" s="985" t="str">
        <f t="shared" si="270"/>
        <v>Fixed</v>
      </c>
      <c r="CD236" s="990" t="str">
        <f t="shared" si="301"/>
        <v>-</v>
      </c>
      <c r="CE236" s="987" t="str">
        <f t="shared" si="294"/>
        <v>-</v>
      </c>
      <c r="CF236" s="987" t="str">
        <f t="shared" si="295"/>
        <v>-</v>
      </c>
      <c r="CG236" s="988" t="str">
        <f t="shared" si="296"/>
        <v>-</v>
      </c>
      <c r="CH236" s="987" t="str">
        <f t="shared" si="302"/>
        <v>-</v>
      </c>
      <c r="CI236" s="987" t="str">
        <f t="shared" si="297"/>
        <v>-</v>
      </c>
      <c r="CJ236" s="987" t="str">
        <f t="shared" si="298"/>
        <v>-</v>
      </c>
      <c r="CK236" s="989" t="str">
        <f t="shared" si="299"/>
        <v>-</v>
      </c>
    </row>
    <row r="237" spans="4:89">
      <c r="D237" s="63">
        <f>D234+1</f>
        <v>57</v>
      </c>
      <c r="E237" s="550" t="s">
        <v>857</v>
      </c>
      <c r="F237" s="595" t="s">
        <v>420</v>
      </c>
      <c r="G237" s="595" t="s">
        <v>904</v>
      </c>
      <c r="H237" s="595" t="s">
        <v>910</v>
      </c>
      <c r="I237" s="589" t="s">
        <v>842</v>
      </c>
      <c r="J237" s="589" t="s">
        <v>879</v>
      </c>
      <c r="K237" s="551"/>
      <c r="L237" s="552"/>
      <c r="M237" s="552"/>
      <c r="N237" s="551"/>
      <c r="O237" s="552"/>
      <c r="P237" s="552"/>
      <c r="Q237" s="552"/>
      <c r="R237" s="1035"/>
      <c r="S237" s="1138"/>
      <c r="T237" s="591"/>
      <c r="U237" s="1035"/>
      <c r="V237" s="1138"/>
      <c r="W237" s="591"/>
      <c r="X237" s="591"/>
      <c r="Y237" s="591"/>
      <c r="Z237" s="1035"/>
      <c r="AA237" s="1138"/>
      <c r="AB237" s="591"/>
      <c r="AC237" s="591"/>
      <c r="AD237" s="591"/>
      <c r="AE237" s="1035"/>
      <c r="AF237" s="1138"/>
      <c r="AG237" s="591"/>
      <c r="AH237" s="591"/>
      <c r="AI237" s="591"/>
      <c r="AJ237" s="1035"/>
      <c r="AK237" s="569"/>
      <c r="AL237" s="569"/>
      <c r="AM237" s="974"/>
      <c r="AN237" s="857"/>
      <c r="AO237" s="975" t="str">
        <f t="shared" si="272"/>
        <v>Price</v>
      </c>
      <c r="AP237" s="976" t="str">
        <f t="shared" si="273"/>
        <v>Waterways and Drainage</v>
      </c>
      <c r="AQ237" s="977" t="str">
        <f t="shared" si="274"/>
        <v>Fixed</v>
      </c>
      <c r="AR237" s="1341" t="str">
        <f t="shared" si="275"/>
        <v>-</v>
      </c>
      <c r="AS237" s="978" t="str">
        <f t="shared" si="276"/>
        <v>-</v>
      </c>
      <c r="AT237" s="979" t="str">
        <f t="shared" si="277"/>
        <v>-</v>
      </c>
      <c r="AU237" s="979" t="str">
        <f t="shared" si="278"/>
        <v>-</v>
      </c>
      <c r="AV237" s="1352" t="str">
        <f t="shared" si="279"/>
        <v>-</v>
      </c>
      <c r="AW237" s="1345" t="str">
        <f t="shared" si="280"/>
        <v>-</v>
      </c>
      <c r="AX237" s="979" t="str">
        <f t="shared" si="281"/>
        <v>-</v>
      </c>
      <c r="AY237" s="979" t="str">
        <f t="shared" si="282"/>
        <v>-</v>
      </c>
      <c r="AZ237" s="979" t="str">
        <f t="shared" si="283"/>
        <v>-</v>
      </c>
      <c r="BA237" s="980" t="str">
        <f t="shared" si="284"/>
        <v>-</v>
      </c>
      <c r="BB237" s="1345" t="str">
        <f t="shared" si="285"/>
        <v>-</v>
      </c>
      <c r="BC237" s="979" t="str">
        <f t="shared" si="286"/>
        <v>-</v>
      </c>
      <c r="BD237" s="979" t="str">
        <f t="shared" si="287"/>
        <v>-</v>
      </c>
      <c r="BE237" s="979" t="str">
        <f t="shared" si="288"/>
        <v>-</v>
      </c>
      <c r="BF237" s="981" t="str">
        <f t="shared" si="289"/>
        <v>-</v>
      </c>
      <c r="BG237" s="951"/>
      <c r="BH237" s="1547" t="str">
        <f t="shared" si="290"/>
        <v>Price</v>
      </c>
      <c r="BI237" s="1548" t="str">
        <f t="shared" si="291"/>
        <v>Waterways and Drainage</v>
      </c>
      <c r="BJ237" s="1549" t="str">
        <f t="shared" si="292"/>
        <v>Fixed</v>
      </c>
      <c r="BK237" s="978" t="str">
        <f t="shared" ref="BK237:BU237" si="354">IF(V237="","-",IFERROR((V237/U237-1)*(U239/U$13),"-"))</f>
        <v>-</v>
      </c>
      <c r="BL237" s="978" t="str">
        <f t="shared" si="354"/>
        <v>-</v>
      </c>
      <c r="BM237" s="979" t="str">
        <f t="shared" si="354"/>
        <v>-</v>
      </c>
      <c r="BN237" s="979" t="str">
        <f t="shared" si="354"/>
        <v>-</v>
      </c>
      <c r="BO237" s="1352" t="str">
        <f t="shared" si="354"/>
        <v>-</v>
      </c>
      <c r="BP237" s="1345" t="str">
        <f t="shared" si="354"/>
        <v>-</v>
      </c>
      <c r="BQ237" s="979" t="str">
        <f t="shared" si="354"/>
        <v>-</v>
      </c>
      <c r="BR237" s="979" t="str">
        <f t="shared" si="354"/>
        <v>-</v>
      </c>
      <c r="BS237" s="979" t="str">
        <f t="shared" si="354"/>
        <v>-</v>
      </c>
      <c r="BT237" s="980" t="str">
        <f t="shared" si="354"/>
        <v>-</v>
      </c>
      <c r="BU237" s="979" t="str">
        <f t="shared" si="354"/>
        <v>-</v>
      </c>
      <c r="BV237" s="979" t="str">
        <f>IF(AG237="","-",IFERROR((AG237/AF237-1)*(AF239/AF$13),"-"))</f>
        <v>-</v>
      </c>
      <c r="BW237" s="979" t="str">
        <f>IF(AH237="","-",IFERROR((AH237/AG237-1)*(AG239/AG$13),"-"))</f>
        <v>-</v>
      </c>
      <c r="BX237" s="979" t="str">
        <f>IF(AI237="","-",IFERROR((AI237/AH237-1)*(AH239/AH$13),"-"))</f>
        <v>-</v>
      </c>
      <c r="BY237" s="981" t="str">
        <f>IF(AJ237="","-",IFERROR((AJ237/AI237-1)*(AI239/AI$13),"-"))</f>
        <v>-</v>
      </c>
      <c r="BZ237" s="951"/>
      <c r="CA237" s="975" t="str">
        <f t="shared" si="268"/>
        <v>Price</v>
      </c>
      <c r="CB237" s="976" t="str">
        <f t="shared" si="269"/>
        <v>Waterways and Drainage</v>
      </c>
      <c r="CC237" s="982" t="str">
        <f t="shared" si="270"/>
        <v>Fixed</v>
      </c>
      <c r="CD237" s="983" t="str">
        <f t="shared" si="301"/>
        <v>-</v>
      </c>
      <c r="CE237" s="979" t="str">
        <f t="shared" si="294"/>
        <v>-</v>
      </c>
      <c r="CF237" s="979" t="str">
        <f t="shared" si="295"/>
        <v>-</v>
      </c>
      <c r="CG237" s="980" t="str">
        <f t="shared" si="296"/>
        <v>-</v>
      </c>
      <c r="CH237" s="979" t="str">
        <f t="shared" si="302"/>
        <v>-</v>
      </c>
      <c r="CI237" s="979" t="str">
        <f t="shared" si="297"/>
        <v>-</v>
      </c>
      <c r="CJ237" s="979" t="str">
        <f t="shared" si="298"/>
        <v>-</v>
      </c>
      <c r="CK237" s="981" t="str">
        <f t="shared" si="299"/>
        <v>-</v>
      </c>
    </row>
    <row r="238" spans="4:89">
      <c r="E238" s="567" t="s">
        <v>880</v>
      </c>
      <c r="F238" s="554" t="str">
        <f>+F237</f>
        <v>Waterways and Drainage</v>
      </c>
      <c r="G238" s="555" t="str">
        <f>+G237</f>
        <v>ALL</v>
      </c>
      <c r="H238" s="555" t="str">
        <f>+H237</f>
        <v>Rural</v>
      </c>
      <c r="I238" s="556" t="str">
        <f>+I237</f>
        <v>Fixed</v>
      </c>
      <c r="J238" s="590" t="s">
        <v>906</v>
      </c>
      <c r="K238" s="557"/>
      <c r="L238" s="558"/>
      <c r="M238" s="558"/>
      <c r="N238" s="557"/>
      <c r="O238" s="558"/>
      <c r="P238" s="558"/>
      <c r="Q238" s="558"/>
      <c r="R238" s="1036"/>
      <c r="S238" s="1139"/>
      <c r="T238" s="593"/>
      <c r="U238" s="1036"/>
      <c r="V238" s="1139"/>
      <c r="W238" s="593"/>
      <c r="X238" s="593"/>
      <c r="Y238" s="593"/>
      <c r="Z238" s="1036"/>
      <c r="AA238" s="1139"/>
      <c r="AB238" s="593"/>
      <c r="AC238" s="593"/>
      <c r="AD238" s="593"/>
      <c r="AE238" s="1036"/>
      <c r="AF238" s="1139"/>
      <c r="AG238" s="593"/>
      <c r="AH238" s="593"/>
      <c r="AI238" s="593"/>
      <c r="AJ238" s="1036"/>
      <c r="AK238" s="569"/>
      <c r="AL238" s="569"/>
      <c r="AN238" s="857"/>
      <c r="AO238" s="961" t="str">
        <f t="shared" si="272"/>
        <v>Qty</v>
      </c>
      <c r="AP238" s="962" t="str">
        <f t="shared" si="273"/>
        <v>Waterways and Drainage</v>
      </c>
      <c r="AQ238" s="963" t="str">
        <f t="shared" si="274"/>
        <v>Fixed</v>
      </c>
      <c r="AR238" s="967" t="str">
        <f t="shared" si="275"/>
        <v>-</v>
      </c>
      <c r="AS238" s="964" t="str">
        <f t="shared" si="276"/>
        <v>-</v>
      </c>
      <c r="AT238" s="964" t="str">
        <f t="shared" si="277"/>
        <v>-</v>
      </c>
      <c r="AU238" s="964" t="str">
        <f t="shared" si="278"/>
        <v>-</v>
      </c>
      <c r="AV238" s="1350" t="str">
        <f t="shared" si="279"/>
        <v>-</v>
      </c>
      <c r="AW238" s="1343" t="str">
        <f t="shared" si="280"/>
        <v>-</v>
      </c>
      <c r="AX238" s="964" t="str">
        <f t="shared" si="281"/>
        <v>-</v>
      </c>
      <c r="AY238" s="964" t="str">
        <f t="shared" si="282"/>
        <v>-</v>
      </c>
      <c r="AZ238" s="964" t="str">
        <f t="shared" si="283"/>
        <v>-</v>
      </c>
      <c r="BA238" s="965" t="str">
        <f t="shared" si="284"/>
        <v>-</v>
      </c>
      <c r="BB238" s="1343" t="str">
        <f t="shared" si="285"/>
        <v>-</v>
      </c>
      <c r="BC238" s="964" t="str">
        <f t="shared" si="286"/>
        <v>-</v>
      </c>
      <c r="BD238" s="964" t="str">
        <f t="shared" si="287"/>
        <v>-</v>
      </c>
      <c r="BE238" s="964" t="str">
        <f t="shared" si="288"/>
        <v>-</v>
      </c>
      <c r="BF238" s="966" t="str">
        <f t="shared" si="289"/>
        <v>-</v>
      </c>
      <c r="BG238" s="951"/>
      <c r="BH238" s="1541" t="str">
        <f t="shared" si="290"/>
        <v>Qty</v>
      </c>
      <c r="BI238" s="1542" t="str">
        <f t="shared" si="291"/>
        <v>Waterways and Drainage</v>
      </c>
      <c r="BJ238" s="1543" t="str">
        <f t="shared" si="292"/>
        <v>Fixed</v>
      </c>
      <c r="BK238" s="964" t="str">
        <f t="shared" ref="BK238:BU238" si="355">IF(V238="","-",IFERROR((V238/U238-1)*(U239/U$13),"-"))</f>
        <v>-</v>
      </c>
      <c r="BL238" s="964" t="str">
        <f t="shared" si="355"/>
        <v>-</v>
      </c>
      <c r="BM238" s="964" t="str">
        <f t="shared" si="355"/>
        <v>-</v>
      </c>
      <c r="BN238" s="964" t="str">
        <f t="shared" si="355"/>
        <v>-</v>
      </c>
      <c r="BO238" s="1350" t="str">
        <f t="shared" si="355"/>
        <v>-</v>
      </c>
      <c r="BP238" s="1343" t="str">
        <f t="shared" si="355"/>
        <v>-</v>
      </c>
      <c r="BQ238" s="964" t="str">
        <f t="shared" si="355"/>
        <v>-</v>
      </c>
      <c r="BR238" s="964" t="str">
        <f t="shared" si="355"/>
        <v>-</v>
      </c>
      <c r="BS238" s="964" t="str">
        <f t="shared" si="355"/>
        <v>-</v>
      </c>
      <c r="BT238" s="965" t="str">
        <f t="shared" si="355"/>
        <v>-</v>
      </c>
      <c r="BU238" s="964" t="str">
        <f t="shared" si="355"/>
        <v>-</v>
      </c>
      <c r="BV238" s="964" t="str">
        <f>IF(AG238="","-",IFERROR((AG238/AF238-1)*(AF239/AF$13),"-"))</f>
        <v>-</v>
      </c>
      <c r="BW238" s="964" t="str">
        <f>IF(AH238="","-",IFERROR((AH238/AG238-1)*(AG239/AG$13),"-"))</f>
        <v>-</v>
      </c>
      <c r="BX238" s="964" t="str">
        <f>IF(AI238="","-",IFERROR((AI238/AH238-1)*(AH239/AH$13),"-"))</f>
        <v>-</v>
      </c>
      <c r="BY238" s="966" t="str">
        <f>IF(AJ238="","-",IFERROR((AJ238/AI238-1)*(AI239/AI$13),"-"))</f>
        <v>-</v>
      </c>
      <c r="BZ238" s="951"/>
      <c r="CA238" s="961" t="str">
        <f t="shared" si="268"/>
        <v>Qty</v>
      </c>
      <c r="CB238" s="962" t="str">
        <f t="shared" si="269"/>
        <v>Waterways and Drainage</v>
      </c>
      <c r="CC238" s="962" t="str">
        <f t="shared" si="270"/>
        <v>Fixed</v>
      </c>
      <c r="CD238" s="967" t="str">
        <f t="shared" si="301"/>
        <v>-</v>
      </c>
      <c r="CE238" s="964" t="str">
        <f t="shared" si="294"/>
        <v>-</v>
      </c>
      <c r="CF238" s="964" t="str">
        <f t="shared" si="295"/>
        <v>-</v>
      </c>
      <c r="CG238" s="965" t="str">
        <f t="shared" si="296"/>
        <v>-</v>
      </c>
      <c r="CH238" s="964" t="str">
        <f t="shared" si="302"/>
        <v>-</v>
      </c>
      <c r="CI238" s="964" t="str">
        <f t="shared" si="297"/>
        <v>-</v>
      </c>
      <c r="CJ238" s="964" t="str">
        <f t="shared" si="298"/>
        <v>-</v>
      </c>
      <c r="CK238" s="966" t="str">
        <f t="shared" si="299"/>
        <v>-</v>
      </c>
    </row>
    <row r="239" spans="4:89" ht="12.75" thickBot="1">
      <c r="E239" s="568" t="s">
        <v>882</v>
      </c>
      <c r="F239" s="560" t="str">
        <f>+F237</f>
        <v>Waterways and Drainage</v>
      </c>
      <c r="G239" s="561" t="str">
        <f>+G237</f>
        <v>ALL</v>
      </c>
      <c r="H239" s="561" t="str">
        <f>+H237</f>
        <v>Rural</v>
      </c>
      <c r="I239" s="562" t="str">
        <f>+I237</f>
        <v>Fixed</v>
      </c>
      <c r="J239" s="563" t="s">
        <v>883</v>
      </c>
      <c r="K239" s="564">
        <f t="shared" ref="K239:AJ239" si="356">K237*K238/10^6</f>
        <v>0</v>
      </c>
      <c r="L239" s="565">
        <f t="shared" si="356"/>
        <v>0</v>
      </c>
      <c r="M239" s="565">
        <f t="shared" si="356"/>
        <v>0</v>
      </c>
      <c r="N239" s="564">
        <f t="shared" si="356"/>
        <v>0</v>
      </c>
      <c r="O239" s="565">
        <f t="shared" si="356"/>
        <v>0</v>
      </c>
      <c r="P239" s="565">
        <f t="shared" si="356"/>
        <v>0</v>
      </c>
      <c r="Q239" s="565">
        <f t="shared" si="356"/>
        <v>0</v>
      </c>
      <c r="R239" s="566">
        <f t="shared" si="356"/>
        <v>0</v>
      </c>
      <c r="S239" s="564">
        <f t="shared" si="356"/>
        <v>0</v>
      </c>
      <c r="T239" s="565">
        <f t="shared" si="356"/>
        <v>0</v>
      </c>
      <c r="U239" s="566">
        <f t="shared" si="356"/>
        <v>0</v>
      </c>
      <c r="V239" s="564">
        <f t="shared" si="356"/>
        <v>0</v>
      </c>
      <c r="W239" s="565">
        <f t="shared" si="356"/>
        <v>0</v>
      </c>
      <c r="X239" s="565">
        <f t="shared" si="356"/>
        <v>0</v>
      </c>
      <c r="Y239" s="565">
        <f t="shared" si="356"/>
        <v>0</v>
      </c>
      <c r="Z239" s="566">
        <f t="shared" si="356"/>
        <v>0</v>
      </c>
      <c r="AA239" s="564">
        <f t="shared" si="356"/>
        <v>0</v>
      </c>
      <c r="AB239" s="565">
        <f t="shared" si="356"/>
        <v>0</v>
      </c>
      <c r="AC239" s="565">
        <f t="shared" si="356"/>
        <v>0</v>
      </c>
      <c r="AD239" s="565">
        <f t="shared" si="356"/>
        <v>0</v>
      </c>
      <c r="AE239" s="566">
        <f t="shared" si="356"/>
        <v>0</v>
      </c>
      <c r="AF239" s="564">
        <f t="shared" si="356"/>
        <v>0</v>
      </c>
      <c r="AG239" s="565">
        <f t="shared" si="356"/>
        <v>0</v>
      </c>
      <c r="AH239" s="565">
        <f t="shared" si="356"/>
        <v>0</v>
      </c>
      <c r="AI239" s="565">
        <f t="shared" si="356"/>
        <v>0</v>
      </c>
      <c r="AJ239" s="566">
        <f t="shared" si="356"/>
        <v>0</v>
      </c>
      <c r="AK239" s="569"/>
      <c r="AL239" s="569"/>
      <c r="AN239" s="857"/>
      <c r="AO239" s="984" t="str">
        <f t="shared" si="272"/>
        <v>Rev</v>
      </c>
      <c r="AP239" s="985" t="str">
        <f t="shared" si="273"/>
        <v>Waterways and Drainage</v>
      </c>
      <c r="AQ239" s="986" t="str">
        <f t="shared" si="274"/>
        <v>Fixed</v>
      </c>
      <c r="AR239" s="990" t="str">
        <f t="shared" si="275"/>
        <v>-</v>
      </c>
      <c r="AS239" s="987" t="str">
        <f t="shared" si="276"/>
        <v>-</v>
      </c>
      <c r="AT239" s="987" t="str">
        <f t="shared" si="277"/>
        <v>-</v>
      </c>
      <c r="AU239" s="987" t="str">
        <f t="shared" si="278"/>
        <v>-</v>
      </c>
      <c r="AV239" s="1353" t="str">
        <f t="shared" si="279"/>
        <v>-</v>
      </c>
      <c r="AW239" s="1346" t="str">
        <f t="shared" si="280"/>
        <v>-</v>
      </c>
      <c r="AX239" s="987" t="str">
        <f t="shared" si="281"/>
        <v>-</v>
      </c>
      <c r="AY239" s="987" t="str">
        <f t="shared" si="282"/>
        <v>-</v>
      </c>
      <c r="AZ239" s="987" t="str">
        <f t="shared" si="283"/>
        <v>-</v>
      </c>
      <c r="BA239" s="988" t="str">
        <f t="shared" si="284"/>
        <v>-</v>
      </c>
      <c r="BB239" s="1346" t="str">
        <f t="shared" si="285"/>
        <v>-</v>
      </c>
      <c r="BC239" s="987" t="str">
        <f t="shared" si="286"/>
        <v>-</v>
      </c>
      <c r="BD239" s="987" t="str">
        <f t="shared" si="287"/>
        <v>-</v>
      </c>
      <c r="BE239" s="987" t="str">
        <f t="shared" si="288"/>
        <v>-</v>
      </c>
      <c r="BF239" s="989" t="str">
        <f t="shared" si="289"/>
        <v>-</v>
      </c>
      <c r="BG239" s="951"/>
      <c r="BH239" s="1550" t="str">
        <f t="shared" si="290"/>
        <v>Rev</v>
      </c>
      <c r="BI239" s="1551" t="str">
        <f t="shared" si="291"/>
        <v>Waterways and Drainage</v>
      </c>
      <c r="BJ239" s="1552" t="str">
        <f t="shared" si="292"/>
        <v>Fixed</v>
      </c>
      <c r="BK239" s="987" t="str">
        <f t="shared" ref="BK239:BU239" si="357">IF(V239="","-",IFERROR((V239/U239-1)*(U239/U$13),"-"))</f>
        <v>-</v>
      </c>
      <c r="BL239" s="987" t="str">
        <f t="shared" si="357"/>
        <v>-</v>
      </c>
      <c r="BM239" s="987" t="str">
        <f t="shared" si="357"/>
        <v>-</v>
      </c>
      <c r="BN239" s="987" t="str">
        <f t="shared" si="357"/>
        <v>-</v>
      </c>
      <c r="BO239" s="1353" t="str">
        <f t="shared" si="357"/>
        <v>-</v>
      </c>
      <c r="BP239" s="1346" t="str">
        <f t="shared" si="357"/>
        <v>-</v>
      </c>
      <c r="BQ239" s="987" t="str">
        <f t="shared" si="357"/>
        <v>-</v>
      </c>
      <c r="BR239" s="987" t="str">
        <f t="shared" si="357"/>
        <v>-</v>
      </c>
      <c r="BS239" s="987" t="str">
        <f t="shared" si="357"/>
        <v>-</v>
      </c>
      <c r="BT239" s="988" t="str">
        <f t="shared" si="357"/>
        <v>-</v>
      </c>
      <c r="BU239" s="987" t="str">
        <f t="shared" si="357"/>
        <v>-</v>
      </c>
      <c r="BV239" s="987" t="str">
        <f>IF(AG239="","-",IFERROR((AG239/AF239-1)*(AF239/AF$13),"-"))</f>
        <v>-</v>
      </c>
      <c r="BW239" s="987" t="str">
        <f>IF(AH239="","-",IFERROR((AH239/AG239-1)*(AG239/AG$13),"-"))</f>
        <v>-</v>
      </c>
      <c r="BX239" s="987" t="str">
        <f>IF(AI239="","-",IFERROR((AI239/AH239-1)*(AH239/AH$13),"-"))</f>
        <v>-</v>
      </c>
      <c r="BY239" s="989" t="str">
        <f>IF(AJ239="","-",IFERROR((AJ239/AI239-1)*(AI239/AI$13),"-"))</f>
        <v>-</v>
      </c>
      <c r="BZ239" s="951"/>
      <c r="CA239" s="984" t="str">
        <f t="shared" si="268"/>
        <v>Rev</v>
      </c>
      <c r="CB239" s="985" t="str">
        <f t="shared" si="269"/>
        <v>Waterways and Drainage</v>
      </c>
      <c r="CC239" s="985" t="str">
        <f t="shared" si="270"/>
        <v>Fixed</v>
      </c>
      <c r="CD239" s="990" t="str">
        <f t="shared" si="301"/>
        <v>-</v>
      </c>
      <c r="CE239" s="987" t="str">
        <f t="shared" si="294"/>
        <v>-</v>
      </c>
      <c r="CF239" s="987" t="str">
        <f t="shared" si="295"/>
        <v>-</v>
      </c>
      <c r="CG239" s="988" t="str">
        <f t="shared" si="296"/>
        <v>-</v>
      </c>
      <c r="CH239" s="987" t="str">
        <f t="shared" si="302"/>
        <v>-</v>
      </c>
      <c r="CI239" s="987" t="str">
        <f t="shared" si="297"/>
        <v>-</v>
      </c>
      <c r="CJ239" s="987" t="str">
        <f t="shared" si="298"/>
        <v>-</v>
      </c>
      <c r="CK239" s="989" t="str">
        <f t="shared" si="299"/>
        <v>-</v>
      </c>
    </row>
    <row r="240" spans="4:89">
      <c r="D240" s="63">
        <f>D237+1</f>
        <v>58</v>
      </c>
      <c r="E240" s="550" t="s">
        <v>857</v>
      </c>
      <c r="F240" s="595" t="s">
        <v>420</v>
      </c>
      <c r="G240" s="595" t="s">
        <v>904</v>
      </c>
      <c r="H240" s="595" t="s">
        <v>911</v>
      </c>
      <c r="I240" s="589" t="s">
        <v>842</v>
      </c>
      <c r="J240" s="589" t="s">
        <v>879</v>
      </c>
      <c r="K240" s="551"/>
      <c r="L240" s="552"/>
      <c r="M240" s="552"/>
      <c r="N240" s="551"/>
      <c r="O240" s="552"/>
      <c r="P240" s="552"/>
      <c r="Q240" s="552"/>
      <c r="R240" s="1035"/>
      <c r="S240" s="1138"/>
      <c r="T240" s="591"/>
      <c r="U240" s="1035"/>
      <c r="V240" s="1138"/>
      <c r="W240" s="591"/>
      <c r="X240" s="591"/>
      <c r="Y240" s="591"/>
      <c r="Z240" s="1035"/>
      <c r="AA240" s="1138"/>
      <c r="AB240" s="591"/>
      <c r="AC240" s="591"/>
      <c r="AD240" s="591"/>
      <c r="AE240" s="1035"/>
      <c r="AF240" s="1138"/>
      <c r="AG240" s="591"/>
      <c r="AH240" s="591"/>
      <c r="AI240" s="591"/>
      <c r="AJ240" s="1035"/>
      <c r="AK240" s="569"/>
      <c r="AL240" s="569"/>
      <c r="AM240" s="974"/>
      <c r="AN240" s="857"/>
      <c r="AO240" s="975" t="str">
        <f t="shared" si="272"/>
        <v>Price</v>
      </c>
      <c r="AP240" s="976" t="str">
        <f t="shared" si="273"/>
        <v>Waterways and Drainage</v>
      </c>
      <c r="AQ240" s="977" t="str">
        <f t="shared" si="274"/>
        <v>Fixed</v>
      </c>
      <c r="AR240" s="1341" t="str">
        <f t="shared" si="275"/>
        <v>-</v>
      </c>
      <c r="AS240" s="978" t="str">
        <f t="shared" si="276"/>
        <v>-</v>
      </c>
      <c r="AT240" s="979" t="str">
        <f t="shared" si="277"/>
        <v>-</v>
      </c>
      <c r="AU240" s="979" t="str">
        <f t="shared" si="278"/>
        <v>-</v>
      </c>
      <c r="AV240" s="1352" t="str">
        <f t="shared" si="279"/>
        <v>-</v>
      </c>
      <c r="AW240" s="1345" t="str">
        <f t="shared" si="280"/>
        <v>-</v>
      </c>
      <c r="AX240" s="979" t="str">
        <f t="shared" si="281"/>
        <v>-</v>
      </c>
      <c r="AY240" s="979" t="str">
        <f t="shared" si="282"/>
        <v>-</v>
      </c>
      <c r="AZ240" s="979" t="str">
        <f t="shared" si="283"/>
        <v>-</v>
      </c>
      <c r="BA240" s="980" t="str">
        <f t="shared" si="284"/>
        <v>-</v>
      </c>
      <c r="BB240" s="1345" t="str">
        <f t="shared" si="285"/>
        <v>-</v>
      </c>
      <c r="BC240" s="979" t="str">
        <f t="shared" si="286"/>
        <v>-</v>
      </c>
      <c r="BD240" s="979" t="str">
        <f t="shared" si="287"/>
        <v>-</v>
      </c>
      <c r="BE240" s="979" t="str">
        <f t="shared" si="288"/>
        <v>-</v>
      </c>
      <c r="BF240" s="981" t="str">
        <f t="shared" si="289"/>
        <v>-</v>
      </c>
      <c r="BG240" s="951"/>
      <c r="BH240" s="1547" t="str">
        <f t="shared" si="290"/>
        <v>Price</v>
      </c>
      <c r="BI240" s="1548" t="str">
        <f t="shared" si="291"/>
        <v>Waterways and Drainage</v>
      </c>
      <c r="BJ240" s="1549" t="str">
        <f t="shared" si="292"/>
        <v>Fixed</v>
      </c>
      <c r="BK240" s="978" t="str">
        <f t="shared" ref="BK240:BU240" si="358">IF(V240="","-",IFERROR((V240/U240-1)*(U242/U$13),"-"))</f>
        <v>-</v>
      </c>
      <c r="BL240" s="978" t="str">
        <f t="shared" si="358"/>
        <v>-</v>
      </c>
      <c r="BM240" s="979" t="str">
        <f t="shared" si="358"/>
        <v>-</v>
      </c>
      <c r="BN240" s="979" t="str">
        <f t="shared" si="358"/>
        <v>-</v>
      </c>
      <c r="BO240" s="1352" t="str">
        <f t="shared" si="358"/>
        <v>-</v>
      </c>
      <c r="BP240" s="1345" t="str">
        <f t="shared" si="358"/>
        <v>-</v>
      </c>
      <c r="BQ240" s="979" t="str">
        <f t="shared" si="358"/>
        <v>-</v>
      </c>
      <c r="BR240" s="979" t="str">
        <f t="shared" si="358"/>
        <v>-</v>
      </c>
      <c r="BS240" s="979" t="str">
        <f t="shared" si="358"/>
        <v>-</v>
      </c>
      <c r="BT240" s="980" t="str">
        <f t="shared" si="358"/>
        <v>-</v>
      </c>
      <c r="BU240" s="979" t="str">
        <f t="shared" si="358"/>
        <v>-</v>
      </c>
      <c r="BV240" s="979" t="str">
        <f>IF(AG240="","-",IFERROR((AG240/AF240-1)*(AF242/AF$13),"-"))</f>
        <v>-</v>
      </c>
      <c r="BW240" s="979" t="str">
        <f>IF(AH240="","-",IFERROR((AH240/AG240-1)*(AG242/AG$13),"-"))</f>
        <v>-</v>
      </c>
      <c r="BX240" s="979" t="str">
        <f>IF(AI240="","-",IFERROR((AI240/AH240-1)*(AH242/AH$13),"-"))</f>
        <v>-</v>
      </c>
      <c r="BY240" s="981" t="str">
        <f>IF(AJ240="","-",IFERROR((AJ240/AI240-1)*(AI242/AI$13),"-"))</f>
        <v>-</v>
      </c>
      <c r="BZ240" s="951"/>
      <c r="CA240" s="975" t="str">
        <f t="shared" si="268"/>
        <v>Price</v>
      </c>
      <c r="CB240" s="976" t="str">
        <f t="shared" si="269"/>
        <v>Waterways and Drainage</v>
      </c>
      <c r="CC240" s="982" t="str">
        <f t="shared" si="270"/>
        <v>Fixed</v>
      </c>
      <c r="CD240" s="983" t="str">
        <f t="shared" si="301"/>
        <v>-</v>
      </c>
      <c r="CE240" s="979" t="str">
        <f t="shared" si="294"/>
        <v>-</v>
      </c>
      <c r="CF240" s="979" t="str">
        <f t="shared" si="295"/>
        <v>-</v>
      </c>
      <c r="CG240" s="980" t="str">
        <f t="shared" si="296"/>
        <v>-</v>
      </c>
      <c r="CH240" s="979" t="str">
        <f t="shared" si="302"/>
        <v>-</v>
      </c>
      <c r="CI240" s="979" t="str">
        <f t="shared" si="297"/>
        <v>-</v>
      </c>
      <c r="CJ240" s="979" t="str">
        <f t="shared" si="298"/>
        <v>-</v>
      </c>
      <c r="CK240" s="981" t="str">
        <f t="shared" si="299"/>
        <v>-</v>
      </c>
    </row>
    <row r="241" spans="4:89">
      <c r="E241" s="567" t="s">
        <v>880</v>
      </c>
      <c r="F241" s="554" t="str">
        <f>+F240</f>
        <v>Waterways and Drainage</v>
      </c>
      <c r="G241" s="555" t="str">
        <f>+G240</f>
        <v>ALL</v>
      </c>
      <c r="H241" s="555" t="str">
        <f>+H240</f>
        <v>Patterson Lakes Timber Jetty charge</v>
      </c>
      <c r="I241" s="556" t="str">
        <f>+I240</f>
        <v>Fixed</v>
      </c>
      <c r="J241" s="590" t="s">
        <v>906</v>
      </c>
      <c r="K241" s="557"/>
      <c r="L241" s="558"/>
      <c r="M241" s="558"/>
      <c r="N241" s="557"/>
      <c r="O241" s="558"/>
      <c r="P241" s="558"/>
      <c r="Q241" s="558"/>
      <c r="R241" s="1036"/>
      <c r="S241" s="1139"/>
      <c r="T241" s="593"/>
      <c r="U241" s="1036"/>
      <c r="V241" s="1139"/>
      <c r="W241" s="593"/>
      <c r="X241" s="593"/>
      <c r="Y241" s="593"/>
      <c r="Z241" s="1036"/>
      <c r="AA241" s="1139"/>
      <c r="AB241" s="593"/>
      <c r="AC241" s="593"/>
      <c r="AD241" s="593"/>
      <c r="AE241" s="1036"/>
      <c r="AF241" s="1139"/>
      <c r="AG241" s="593"/>
      <c r="AH241" s="593"/>
      <c r="AI241" s="593"/>
      <c r="AJ241" s="1036"/>
      <c r="AK241" s="569"/>
      <c r="AL241" s="569"/>
      <c r="AN241" s="857"/>
      <c r="AO241" s="961" t="str">
        <f t="shared" si="272"/>
        <v>Qty</v>
      </c>
      <c r="AP241" s="962" t="str">
        <f t="shared" si="273"/>
        <v>Waterways and Drainage</v>
      </c>
      <c r="AQ241" s="963" t="str">
        <f t="shared" si="274"/>
        <v>Fixed</v>
      </c>
      <c r="AR241" s="967" t="str">
        <f t="shared" si="275"/>
        <v>-</v>
      </c>
      <c r="AS241" s="964" t="str">
        <f t="shared" si="276"/>
        <v>-</v>
      </c>
      <c r="AT241" s="964" t="str">
        <f t="shared" si="277"/>
        <v>-</v>
      </c>
      <c r="AU241" s="964" t="str">
        <f t="shared" si="278"/>
        <v>-</v>
      </c>
      <c r="AV241" s="1350" t="str">
        <f t="shared" si="279"/>
        <v>-</v>
      </c>
      <c r="AW241" s="1343" t="str">
        <f t="shared" si="280"/>
        <v>-</v>
      </c>
      <c r="AX241" s="964" t="str">
        <f t="shared" si="281"/>
        <v>-</v>
      </c>
      <c r="AY241" s="964" t="str">
        <f t="shared" si="282"/>
        <v>-</v>
      </c>
      <c r="AZ241" s="964" t="str">
        <f t="shared" si="283"/>
        <v>-</v>
      </c>
      <c r="BA241" s="965" t="str">
        <f t="shared" si="284"/>
        <v>-</v>
      </c>
      <c r="BB241" s="1343" t="str">
        <f t="shared" si="285"/>
        <v>-</v>
      </c>
      <c r="BC241" s="964" t="str">
        <f t="shared" si="286"/>
        <v>-</v>
      </c>
      <c r="BD241" s="964" t="str">
        <f t="shared" si="287"/>
        <v>-</v>
      </c>
      <c r="BE241" s="964" t="str">
        <f t="shared" si="288"/>
        <v>-</v>
      </c>
      <c r="BF241" s="966" t="str">
        <f t="shared" si="289"/>
        <v>-</v>
      </c>
      <c r="BG241" s="951"/>
      <c r="BH241" s="1541" t="str">
        <f t="shared" si="290"/>
        <v>Qty</v>
      </c>
      <c r="BI241" s="1542" t="str">
        <f t="shared" si="291"/>
        <v>Waterways and Drainage</v>
      </c>
      <c r="BJ241" s="1543" t="str">
        <f t="shared" si="292"/>
        <v>Fixed</v>
      </c>
      <c r="BK241" s="964" t="str">
        <f t="shared" ref="BK241:BU241" si="359">IF(V241="","-",IFERROR((V241/U241-1)*(U242/U$13),"-"))</f>
        <v>-</v>
      </c>
      <c r="BL241" s="964" t="str">
        <f t="shared" si="359"/>
        <v>-</v>
      </c>
      <c r="BM241" s="964" t="str">
        <f t="shared" si="359"/>
        <v>-</v>
      </c>
      <c r="BN241" s="964" t="str">
        <f t="shared" si="359"/>
        <v>-</v>
      </c>
      <c r="BO241" s="1350" t="str">
        <f t="shared" si="359"/>
        <v>-</v>
      </c>
      <c r="BP241" s="1343" t="str">
        <f t="shared" si="359"/>
        <v>-</v>
      </c>
      <c r="BQ241" s="964" t="str">
        <f t="shared" si="359"/>
        <v>-</v>
      </c>
      <c r="BR241" s="964" t="str">
        <f t="shared" si="359"/>
        <v>-</v>
      </c>
      <c r="BS241" s="964" t="str">
        <f t="shared" si="359"/>
        <v>-</v>
      </c>
      <c r="BT241" s="965" t="str">
        <f t="shared" si="359"/>
        <v>-</v>
      </c>
      <c r="BU241" s="964" t="str">
        <f t="shared" si="359"/>
        <v>-</v>
      </c>
      <c r="BV241" s="964" t="str">
        <f>IF(AG241="","-",IFERROR((AG241/AF241-1)*(AF242/AF$13),"-"))</f>
        <v>-</v>
      </c>
      <c r="BW241" s="964" t="str">
        <f>IF(AH241="","-",IFERROR((AH241/AG241-1)*(AG242/AG$13),"-"))</f>
        <v>-</v>
      </c>
      <c r="BX241" s="964" t="str">
        <f>IF(AI241="","-",IFERROR((AI241/AH241-1)*(AH242/AH$13),"-"))</f>
        <v>-</v>
      </c>
      <c r="BY241" s="966" t="str">
        <f>IF(AJ241="","-",IFERROR((AJ241/AI241-1)*(AI242/AI$13),"-"))</f>
        <v>-</v>
      </c>
      <c r="BZ241" s="951"/>
      <c r="CA241" s="961" t="str">
        <f t="shared" si="268"/>
        <v>Qty</v>
      </c>
      <c r="CB241" s="962" t="str">
        <f t="shared" si="269"/>
        <v>Waterways and Drainage</v>
      </c>
      <c r="CC241" s="962" t="str">
        <f t="shared" si="270"/>
        <v>Fixed</v>
      </c>
      <c r="CD241" s="967" t="str">
        <f t="shared" si="301"/>
        <v>-</v>
      </c>
      <c r="CE241" s="964" t="str">
        <f t="shared" si="294"/>
        <v>-</v>
      </c>
      <c r="CF241" s="964" t="str">
        <f t="shared" si="295"/>
        <v>-</v>
      </c>
      <c r="CG241" s="965" t="str">
        <f t="shared" si="296"/>
        <v>-</v>
      </c>
      <c r="CH241" s="964" t="str">
        <f t="shared" si="302"/>
        <v>-</v>
      </c>
      <c r="CI241" s="964" t="str">
        <f t="shared" si="297"/>
        <v>-</v>
      </c>
      <c r="CJ241" s="964" t="str">
        <f t="shared" si="298"/>
        <v>-</v>
      </c>
      <c r="CK241" s="966" t="str">
        <f t="shared" si="299"/>
        <v>-</v>
      </c>
    </row>
    <row r="242" spans="4:89" ht="12.75" thickBot="1">
      <c r="E242" s="568" t="s">
        <v>882</v>
      </c>
      <c r="F242" s="560" t="str">
        <f>+F240</f>
        <v>Waterways and Drainage</v>
      </c>
      <c r="G242" s="561" t="str">
        <f>+G240</f>
        <v>ALL</v>
      </c>
      <c r="H242" s="561" t="str">
        <f>+H240</f>
        <v>Patterson Lakes Timber Jetty charge</v>
      </c>
      <c r="I242" s="562" t="str">
        <f>+I240</f>
        <v>Fixed</v>
      </c>
      <c r="J242" s="563" t="s">
        <v>883</v>
      </c>
      <c r="K242" s="564">
        <f t="shared" ref="K242:AJ242" si="360">K240*K241/10^6</f>
        <v>0</v>
      </c>
      <c r="L242" s="565">
        <f t="shared" si="360"/>
        <v>0</v>
      </c>
      <c r="M242" s="565">
        <f t="shared" si="360"/>
        <v>0</v>
      </c>
      <c r="N242" s="564">
        <f t="shared" si="360"/>
        <v>0</v>
      </c>
      <c r="O242" s="565">
        <f t="shared" si="360"/>
        <v>0</v>
      </c>
      <c r="P242" s="565">
        <f t="shared" si="360"/>
        <v>0</v>
      </c>
      <c r="Q242" s="565">
        <f t="shared" si="360"/>
        <v>0</v>
      </c>
      <c r="R242" s="566">
        <f t="shared" si="360"/>
        <v>0</v>
      </c>
      <c r="S242" s="564">
        <f t="shared" si="360"/>
        <v>0</v>
      </c>
      <c r="T242" s="565">
        <f t="shared" si="360"/>
        <v>0</v>
      </c>
      <c r="U242" s="566">
        <f t="shared" si="360"/>
        <v>0</v>
      </c>
      <c r="V242" s="564">
        <f t="shared" si="360"/>
        <v>0</v>
      </c>
      <c r="W242" s="565">
        <f t="shared" si="360"/>
        <v>0</v>
      </c>
      <c r="X242" s="565">
        <f t="shared" si="360"/>
        <v>0</v>
      </c>
      <c r="Y242" s="565">
        <f t="shared" si="360"/>
        <v>0</v>
      </c>
      <c r="Z242" s="566">
        <f t="shared" si="360"/>
        <v>0</v>
      </c>
      <c r="AA242" s="564">
        <f t="shared" si="360"/>
        <v>0</v>
      </c>
      <c r="AB242" s="565">
        <f t="shared" si="360"/>
        <v>0</v>
      </c>
      <c r="AC242" s="565">
        <f t="shared" si="360"/>
        <v>0</v>
      </c>
      <c r="AD242" s="565">
        <f t="shared" si="360"/>
        <v>0</v>
      </c>
      <c r="AE242" s="566">
        <f t="shared" si="360"/>
        <v>0</v>
      </c>
      <c r="AF242" s="564">
        <f t="shared" si="360"/>
        <v>0</v>
      </c>
      <c r="AG242" s="565">
        <f t="shared" si="360"/>
        <v>0</v>
      </c>
      <c r="AH242" s="565">
        <f t="shared" si="360"/>
        <v>0</v>
      </c>
      <c r="AI242" s="565">
        <f t="shared" si="360"/>
        <v>0</v>
      </c>
      <c r="AJ242" s="566">
        <f t="shared" si="360"/>
        <v>0</v>
      </c>
      <c r="AK242" s="569"/>
      <c r="AL242" s="569"/>
      <c r="AN242" s="857"/>
      <c r="AO242" s="984" t="str">
        <f t="shared" si="272"/>
        <v>Rev</v>
      </c>
      <c r="AP242" s="985" t="str">
        <f t="shared" si="273"/>
        <v>Waterways and Drainage</v>
      </c>
      <c r="AQ242" s="986" t="str">
        <f t="shared" si="274"/>
        <v>Fixed</v>
      </c>
      <c r="AR242" s="990" t="str">
        <f t="shared" si="275"/>
        <v>-</v>
      </c>
      <c r="AS242" s="987" t="str">
        <f t="shared" si="276"/>
        <v>-</v>
      </c>
      <c r="AT242" s="987" t="str">
        <f t="shared" si="277"/>
        <v>-</v>
      </c>
      <c r="AU242" s="987" t="str">
        <f t="shared" si="278"/>
        <v>-</v>
      </c>
      <c r="AV242" s="1353" t="str">
        <f t="shared" si="279"/>
        <v>-</v>
      </c>
      <c r="AW242" s="1346" t="str">
        <f t="shared" si="280"/>
        <v>-</v>
      </c>
      <c r="AX242" s="987" t="str">
        <f t="shared" si="281"/>
        <v>-</v>
      </c>
      <c r="AY242" s="987" t="str">
        <f t="shared" si="282"/>
        <v>-</v>
      </c>
      <c r="AZ242" s="987" t="str">
        <f t="shared" si="283"/>
        <v>-</v>
      </c>
      <c r="BA242" s="988" t="str">
        <f t="shared" si="284"/>
        <v>-</v>
      </c>
      <c r="BB242" s="1346" t="str">
        <f t="shared" si="285"/>
        <v>-</v>
      </c>
      <c r="BC242" s="987" t="str">
        <f t="shared" si="286"/>
        <v>-</v>
      </c>
      <c r="BD242" s="987" t="str">
        <f t="shared" si="287"/>
        <v>-</v>
      </c>
      <c r="BE242" s="987" t="str">
        <f t="shared" si="288"/>
        <v>-</v>
      </c>
      <c r="BF242" s="989" t="str">
        <f t="shared" si="289"/>
        <v>-</v>
      </c>
      <c r="BG242" s="951"/>
      <c r="BH242" s="1550" t="str">
        <f t="shared" si="290"/>
        <v>Rev</v>
      </c>
      <c r="BI242" s="1551" t="str">
        <f t="shared" si="291"/>
        <v>Waterways and Drainage</v>
      </c>
      <c r="BJ242" s="1552" t="str">
        <f t="shared" si="292"/>
        <v>Fixed</v>
      </c>
      <c r="BK242" s="987" t="str">
        <f t="shared" ref="BK242:BU242" si="361">IF(V242="","-",IFERROR((V242/U242-1)*(U242/U$13),"-"))</f>
        <v>-</v>
      </c>
      <c r="BL242" s="987" t="str">
        <f t="shared" si="361"/>
        <v>-</v>
      </c>
      <c r="BM242" s="987" t="str">
        <f t="shared" si="361"/>
        <v>-</v>
      </c>
      <c r="BN242" s="987" t="str">
        <f t="shared" si="361"/>
        <v>-</v>
      </c>
      <c r="BO242" s="1353" t="str">
        <f t="shared" si="361"/>
        <v>-</v>
      </c>
      <c r="BP242" s="1346" t="str">
        <f t="shared" si="361"/>
        <v>-</v>
      </c>
      <c r="BQ242" s="987" t="str">
        <f t="shared" si="361"/>
        <v>-</v>
      </c>
      <c r="BR242" s="987" t="str">
        <f t="shared" si="361"/>
        <v>-</v>
      </c>
      <c r="BS242" s="987" t="str">
        <f t="shared" si="361"/>
        <v>-</v>
      </c>
      <c r="BT242" s="988" t="str">
        <f t="shared" si="361"/>
        <v>-</v>
      </c>
      <c r="BU242" s="987" t="str">
        <f t="shared" si="361"/>
        <v>-</v>
      </c>
      <c r="BV242" s="987" t="str">
        <f>IF(AG242="","-",IFERROR((AG242/AF242-1)*(AF242/AF$13),"-"))</f>
        <v>-</v>
      </c>
      <c r="BW242" s="987" t="str">
        <f>IF(AH242="","-",IFERROR((AH242/AG242-1)*(AG242/AG$13),"-"))</f>
        <v>-</v>
      </c>
      <c r="BX242" s="987" t="str">
        <f>IF(AI242="","-",IFERROR((AI242/AH242-1)*(AH242/AH$13),"-"))</f>
        <v>-</v>
      </c>
      <c r="BY242" s="989" t="str">
        <f>IF(AJ242="","-",IFERROR((AJ242/AI242-1)*(AI242/AI$13),"-"))</f>
        <v>-</v>
      </c>
      <c r="BZ242" s="951"/>
      <c r="CA242" s="984" t="str">
        <f t="shared" si="268"/>
        <v>Rev</v>
      </c>
      <c r="CB242" s="985" t="str">
        <f t="shared" si="269"/>
        <v>Waterways and Drainage</v>
      </c>
      <c r="CC242" s="985" t="str">
        <f t="shared" si="270"/>
        <v>Fixed</v>
      </c>
      <c r="CD242" s="990" t="str">
        <f t="shared" si="301"/>
        <v>-</v>
      </c>
      <c r="CE242" s="987" t="str">
        <f t="shared" si="294"/>
        <v>-</v>
      </c>
      <c r="CF242" s="987" t="str">
        <f t="shared" si="295"/>
        <v>-</v>
      </c>
      <c r="CG242" s="988" t="str">
        <f t="shared" si="296"/>
        <v>-</v>
      </c>
      <c r="CH242" s="987" t="str">
        <f t="shared" si="302"/>
        <v>-</v>
      </c>
      <c r="CI242" s="987" t="str">
        <f t="shared" si="297"/>
        <v>-</v>
      </c>
      <c r="CJ242" s="987" t="str">
        <f t="shared" si="298"/>
        <v>-</v>
      </c>
      <c r="CK242" s="989" t="str">
        <f t="shared" si="299"/>
        <v>-</v>
      </c>
    </row>
    <row r="243" spans="4:89">
      <c r="D243" s="63">
        <f>D240+1</f>
        <v>59</v>
      </c>
      <c r="E243" s="550" t="s">
        <v>857</v>
      </c>
      <c r="F243" s="595" t="s">
        <v>420</v>
      </c>
      <c r="G243" s="595" t="s">
        <v>904</v>
      </c>
      <c r="H243" s="595" t="s">
        <v>912</v>
      </c>
      <c r="I243" s="589" t="s">
        <v>842</v>
      </c>
      <c r="J243" s="589" t="s">
        <v>879</v>
      </c>
      <c r="K243" s="551"/>
      <c r="L243" s="552"/>
      <c r="M243" s="552"/>
      <c r="N243" s="551"/>
      <c r="O243" s="552"/>
      <c r="P243" s="552"/>
      <c r="Q243" s="552"/>
      <c r="R243" s="1035"/>
      <c r="S243" s="1138"/>
      <c r="T243" s="591"/>
      <c r="U243" s="1035"/>
      <c r="V243" s="1138"/>
      <c r="W243" s="591"/>
      <c r="X243" s="591"/>
      <c r="Y243" s="591"/>
      <c r="Z243" s="1035"/>
      <c r="AA243" s="1138"/>
      <c r="AB243" s="591"/>
      <c r="AC243" s="591"/>
      <c r="AD243" s="591"/>
      <c r="AE243" s="1035"/>
      <c r="AF243" s="1138"/>
      <c r="AG243" s="591"/>
      <c r="AH243" s="591"/>
      <c r="AI243" s="591"/>
      <c r="AJ243" s="1035"/>
      <c r="AK243" s="569"/>
      <c r="AL243" s="569"/>
      <c r="AM243" s="974"/>
      <c r="AN243" s="857"/>
      <c r="AO243" s="975" t="str">
        <f t="shared" si="272"/>
        <v>Price</v>
      </c>
      <c r="AP243" s="976" t="str">
        <f t="shared" si="273"/>
        <v>Waterways and Drainage</v>
      </c>
      <c r="AQ243" s="977" t="str">
        <f t="shared" si="274"/>
        <v>Fixed</v>
      </c>
      <c r="AR243" s="1341" t="str">
        <f t="shared" si="275"/>
        <v>-</v>
      </c>
      <c r="AS243" s="978" t="str">
        <f t="shared" si="276"/>
        <v>-</v>
      </c>
      <c r="AT243" s="979" t="str">
        <f t="shared" si="277"/>
        <v>-</v>
      </c>
      <c r="AU243" s="979" t="str">
        <f t="shared" si="278"/>
        <v>-</v>
      </c>
      <c r="AV243" s="1352" t="str">
        <f t="shared" si="279"/>
        <v>-</v>
      </c>
      <c r="AW243" s="1345" t="str">
        <f t="shared" si="280"/>
        <v>-</v>
      </c>
      <c r="AX243" s="979" t="str">
        <f t="shared" si="281"/>
        <v>-</v>
      </c>
      <c r="AY243" s="979" t="str">
        <f t="shared" si="282"/>
        <v>-</v>
      </c>
      <c r="AZ243" s="979" t="str">
        <f t="shared" si="283"/>
        <v>-</v>
      </c>
      <c r="BA243" s="980" t="str">
        <f t="shared" si="284"/>
        <v>-</v>
      </c>
      <c r="BB243" s="1345" t="str">
        <f t="shared" si="285"/>
        <v>-</v>
      </c>
      <c r="BC243" s="979" t="str">
        <f t="shared" si="286"/>
        <v>-</v>
      </c>
      <c r="BD243" s="979" t="str">
        <f t="shared" si="287"/>
        <v>-</v>
      </c>
      <c r="BE243" s="979" t="str">
        <f t="shared" si="288"/>
        <v>-</v>
      </c>
      <c r="BF243" s="981" t="str">
        <f t="shared" si="289"/>
        <v>-</v>
      </c>
      <c r="BG243" s="951"/>
      <c r="BH243" s="1547" t="str">
        <f t="shared" si="290"/>
        <v>Price</v>
      </c>
      <c r="BI243" s="1548" t="str">
        <f t="shared" si="291"/>
        <v>Waterways and Drainage</v>
      </c>
      <c r="BJ243" s="1549" t="str">
        <f t="shared" si="292"/>
        <v>Fixed</v>
      </c>
      <c r="BK243" s="978" t="str">
        <f t="shared" ref="BK243:BU243" si="362">IF(V243="","-",IFERROR((V243/U243-1)*(U245/U$13),"-"))</f>
        <v>-</v>
      </c>
      <c r="BL243" s="978" t="str">
        <f t="shared" si="362"/>
        <v>-</v>
      </c>
      <c r="BM243" s="979" t="str">
        <f t="shared" si="362"/>
        <v>-</v>
      </c>
      <c r="BN243" s="979" t="str">
        <f t="shared" si="362"/>
        <v>-</v>
      </c>
      <c r="BO243" s="1352" t="str">
        <f t="shared" si="362"/>
        <v>-</v>
      </c>
      <c r="BP243" s="1345" t="str">
        <f t="shared" si="362"/>
        <v>-</v>
      </c>
      <c r="BQ243" s="979" t="str">
        <f t="shared" si="362"/>
        <v>-</v>
      </c>
      <c r="BR243" s="979" t="str">
        <f t="shared" si="362"/>
        <v>-</v>
      </c>
      <c r="BS243" s="979" t="str">
        <f t="shared" si="362"/>
        <v>-</v>
      </c>
      <c r="BT243" s="980" t="str">
        <f t="shared" si="362"/>
        <v>-</v>
      </c>
      <c r="BU243" s="979" t="str">
        <f t="shared" si="362"/>
        <v>-</v>
      </c>
      <c r="BV243" s="979" t="str">
        <f>IF(AG243="","-",IFERROR((AG243/AF243-1)*(AF245/AF$13),"-"))</f>
        <v>-</v>
      </c>
      <c r="BW243" s="979" t="str">
        <f>IF(AH243="","-",IFERROR((AH243/AG243-1)*(AG245/AG$13),"-"))</f>
        <v>-</v>
      </c>
      <c r="BX243" s="979" t="str">
        <f>IF(AI243="","-",IFERROR((AI243/AH243-1)*(AH245/AH$13),"-"))</f>
        <v>-</v>
      </c>
      <c r="BY243" s="981" t="str">
        <f>IF(AJ243="","-",IFERROR((AJ243/AI243-1)*(AI245/AI$13),"-"))</f>
        <v>-</v>
      </c>
      <c r="BZ243" s="951"/>
      <c r="CA243" s="975" t="str">
        <f t="shared" si="268"/>
        <v>Price</v>
      </c>
      <c r="CB243" s="976" t="str">
        <f t="shared" si="269"/>
        <v>Waterways and Drainage</v>
      </c>
      <c r="CC243" s="982" t="str">
        <f t="shared" si="270"/>
        <v>Fixed</v>
      </c>
      <c r="CD243" s="983" t="str">
        <f t="shared" si="301"/>
        <v>-</v>
      </c>
      <c r="CE243" s="979" t="str">
        <f t="shared" si="294"/>
        <v>-</v>
      </c>
      <c r="CF243" s="979" t="str">
        <f t="shared" si="295"/>
        <v>-</v>
      </c>
      <c r="CG243" s="980" t="str">
        <f t="shared" si="296"/>
        <v>-</v>
      </c>
      <c r="CH243" s="979" t="str">
        <f t="shared" si="302"/>
        <v>-</v>
      </c>
      <c r="CI243" s="979" t="str">
        <f t="shared" si="297"/>
        <v>-</v>
      </c>
      <c r="CJ243" s="979" t="str">
        <f t="shared" si="298"/>
        <v>-</v>
      </c>
      <c r="CK243" s="981" t="str">
        <f t="shared" si="299"/>
        <v>-</v>
      </c>
    </row>
    <row r="244" spans="4:89">
      <c r="E244" s="567" t="s">
        <v>880</v>
      </c>
      <c r="F244" s="554" t="str">
        <f>+F243</f>
        <v>Waterways and Drainage</v>
      </c>
      <c r="G244" s="555" t="str">
        <f>+G243</f>
        <v>ALL</v>
      </c>
      <c r="H244" s="555" t="str">
        <f>+H243</f>
        <v>Patterson Lakes Concrete Jetty charge</v>
      </c>
      <c r="I244" s="556" t="str">
        <f>+I243</f>
        <v>Fixed</v>
      </c>
      <c r="J244" s="590" t="s">
        <v>906</v>
      </c>
      <c r="K244" s="557"/>
      <c r="L244" s="558"/>
      <c r="M244" s="558"/>
      <c r="N244" s="557"/>
      <c r="O244" s="558"/>
      <c r="P244" s="558"/>
      <c r="Q244" s="558"/>
      <c r="R244" s="1036"/>
      <c r="S244" s="1139"/>
      <c r="T244" s="593"/>
      <c r="U244" s="1036"/>
      <c r="V244" s="1139"/>
      <c r="W244" s="593"/>
      <c r="X244" s="593"/>
      <c r="Y244" s="593"/>
      <c r="Z244" s="1036"/>
      <c r="AA244" s="1139"/>
      <c r="AB244" s="593"/>
      <c r="AC244" s="593"/>
      <c r="AD244" s="593"/>
      <c r="AE244" s="1036"/>
      <c r="AF244" s="1139"/>
      <c r="AG244" s="593"/>
      <c r="AH244" s="593"/>
      <c r="AI244" s="593"/>
      <c r="AJ244" s="1036"/>
      <c r="AK244" s="569"/>
      <c r="AL244" s="569"/>
      <c r="AN244" s="857"/>
      <c r="AO244" s="961" t="str">
        <f t="shared" si="272"/>
        <v>Qty</v>
      </c>
      <c r="AP244" s="962" t="str">
        <f t="shared" si="273"/>
        <v>Waterways and Drainage</v>
      </c>
      <c r="AQ244" s="963" t="str">
        <f t="shared" si="274"/>
        <v>Fixed</v>
      </c>
      <c r="AR244" s="967" t="str">
        <f t="shared" si="275"/>
        <v>-</v>
      </c>
      <c r="AS244" s="964" t="str">
        <f t="shared" si="276"/>
        <v>-</v>
      </c>
      <c r="AT244" s="964" t="str">
        <f t="shared" si="277"/>
        <v>-</v>
      </c>
      <c r="AU244" s="964" t="str">
        <f t="shared" si="278"/>
        <v>-</v>
      </c>
      <c r="AV244" s="1350" t="str">
        <f t="shared" si="279"/>
        <v>-</v>
      </c>
      <c r="AW244" s="1343" t="str">
        <f t="shared" si="280"/>
        <v>-</v>
      </c>
      <c r="AX244" s="964" t="str">
        <f t="shared" si="281"/>
        <v>-</v>
      </c>
      <c r="AY244" s="964" t="str">
        <f t="shared" si="282"/>
        <v>-</v>
      </c>
      <c r="AZ244" s="964" t="str">
        <f t="shared" si="283"/>
        <v>-</v>
      </c>
      <c r="BA244" s="965" t="str">
        <f t="shared" si="284"/>
        <v>-</v>
      </c>
      <c r="BB244" s="1343" t="str">
        <f t="shared" si="285"/>
        <v>-</v>
      </c>
      <c r="BC244" s="964" t="str">
        <f t="shared" si="286"/>
        <v>-</v>
      </c>
      <c r="BD244" s="964" t="str">
        <f t="shared" si="287"/>
        <v>-</v>
      </c>
      <c r="BE244" s="964" t="str">
        <f t="shared" si="288"/>
        <v>-</v>
      </c>
      <c r="BF244" s="966" t="str">
        <f t="shared" si="289"/>
        <v>-</v>
      </c>
      <c r="BG244" s="951"/>
      <c r="BH244" s="1541" t="str">
        <f t="shared" si="290"/>
        <v>Qty</v>
      </c>
      <c r="BI244" s="1542" t="str">
        <f t="shared" si="291"/>
        <v>Waterways and Drainage</v>
      </c>
      <c r="BJ244" s="1543" t="str">
        <f t="shared" si="292"/>
        <v>Fixed</v>
      </c>
      <c r="BK244" s="964" t="str">
        <f t="shared" ref="BK244:BU244" si="363">IF(V244="","-",IFERROR((V244/U244-1)*(U245/U$13),"-"))</f>
        <v>-</v>
      </c>
      <c r="BL244" s="964" t="str">
        <f t="shared" si="363"/>
        <v>-</v>
      </c>
      <c r="BM244" s="964" t="str">
        <f t="shared" si="363"/>
        <v>-</v>
      </c>
      <c r="BN244" s="964" t="str">
        <f t="shared" si="363"/>
        <v>-</v>
      </c>
      <c r="BO244" s="1350" t="str">
        <f t="shared" si="363"/>
        <v>-</v>
      </c>
      <c r="BP244" s="1343" t="str">
        <f t="shared" si="363"/>
        <v>-</v>
      </c>
      <c r="BQ244" s="964" t="str">
        <f t="shared" si="363"/>
        <v>-</v>
      </c>
      <c r="BR244" s="964" t="str">
        <f t="shared" si="363"/>
        <v>-</v>
      </c>
      <c r="BS244" s="964" t="str">
        <f t="shared" si="363"/>
        <v>-</v>
      </c>
      <c r="BT244" s="965" t="str">
        <f t="shared" si="363"/>
        <v>-</v>
      </c>
      <c r="BU244" s="964" t="str">
        <f t="shared" si="363"/>
        <v>-</v>
      </c>
      <c r="BV244" s="964" t="str">
        <f>IF(AG244="","-",IFERROR((AG244/AF244-1)*(AF245/AF$13),"-"))</f>
        <v>-</v>
      </c>
      <c r="BW244" s="964" t="str">
        <f>IF(AH244="","-",IFERROR((AH244/AG244-1)*(AG245/AG$13),"-"))</f>
        <v>-</v>
      </c>
      <c r="BX244" s="964" t="str">
        <f>IF(AI244="","-",IFERROR((AI244/AH244-1)*(AH245/AH$13),"-"))</f>
        <v>-</v>
      </c>
      <c r="BY244" s="966" t="str">
        <f>IF(AJ244="","-",IFERROR((AJ244/AI244-1)*(AI245/AI$13),"-"))</f>
        <v>-</v>
      </c>
      <c r="BZ244" s="951"/>
      <c r="CA244" s="961" t="str">
        <f t="shared" si="268"/>
        <v>Qty</v>
      </c>
      <c r="CB244" s="962" t="str">
        <f t="shared" si="269"/>
        <v>Waterways and Drainage</v>
      </c>
      <c r="CC244" s="962" t="str">
        <f t="shared" si="270"/>
        <v>Fixed</v>
      </c>
      <c r="CD244" s="967" t="str">
        <f t="shared" si="301"/>
        <v>-</v>
      </c>
      <c r="CE244" s="964" t="str">
        <f t="shared" si="294"/>
        <v>-</v>
      </c>
      <c r="CF244" s="964" t="str">
        <f t="shared" si="295"/>
        <v>-</v>
      </c>
      <c r="CG244" s="965" t="str">
        <f t="shared" si="296"/>
        <v>-</v>
      </c>
      <c r="CH244" s="964" t="str">
        <f t="shared" si="302"/>
        <v>-</v>
      </c>
      <c r="CI244" s="964" t="str">
        <f t="shared" si="297"/>
        <v>-</v>
      </c>
      <c r="CJ244" s="964" t="str">
        <f t="shared" si="298"/>
        <v>-</v>
      </c>
      <c r="CK244" s="966" t="str">
        <f t="shared" si="299"/>
        <v>-</v>
      </c>
    </row>
    <row r="245" spans="4:89" ht="12.75" thickBot="1">
      <c r="E245" s="568" t="s">
        <v>882</v>
      </c>
      <c r="F245" s="560" t="str">
        <f>+F243</f>
        <v>Waterways and Drainage</v>
      </c>
      <c r="G245" s="561" t="str">
        <f>+G243</f>
        <v>ALL</v>
      </c>
      <c r="H245" s="561" t="str">
        <f>+H243</f>
        <v>Patterson Lakes Concrete Jetty charge</v>
      </c>
      <c r="I245" s="562" t="str">
        <f>+I243</f>
        <v>Fixed</v>
      </c>
      <c r="J245" s="563" t="s">
        <v>883</v>
      </c>
      <c r="K245" s="564">
        <f t="shared" ref="K245:AJ245" si="364">K243*K244/10^6</f>
        <v>0</v>
      </c>
      <c r="L245" s="565">
        <f t="shared" si="364"/>
        <v>0</v>
      </c>
      <c r="M245" s="565">
        <f t="shared" si="364"/>
        <v>0</v>
      </c>
      <c r="N245" s="564">
        <f t="shared" si="364"/>
        <v>0</v>
      </c>
      <c r="O245" s="565">
        <f t="shared" si="364"/>
        <v>0</v>
      </c>
      <c r="P245" s="565">
        <f t="shared" si="364"/>
        <v>0</v>
      </c>
      <c r="Q245" s="565">
        <f t="shared" si="364"/>
        <v>0</v>
      </c>
      <c r="R245" s="566">
        <f t="shared" si="364"/>
        <v>0</v>
      </c>
      <c r="S245" s="564">
        <f t="shared" si="364"/>
        <v>0</v>
      </c>
      <c r="T245" s="565">
        <f t="shared" si="364"/>
        <v>0</v>
      </c>
      <c r="U245" s="566">
        <f t="shared" si="364"/>
        <v>0</v>
      </c>
      <c r="V245" s="564">
        <f t="shared" si="364"/>
        <v>0</v>
      </c>
      <c r="W245" s="565">
        <f t="shared" si="364"/>
        <v>0</v>
      </c>
      <c r="X245" s="565">
        <f t="shared" si="364"/>
        <v>0</v>
      </c>
      <c r="Y245" s="565">
        <f t="shared" si="364"/>
        <v>0</v>
      </c>
      <c r="Z245" s="566">
        <f t="shared" si="364"/>
        <v>0</v>
      </c>
      <c r="AA245" s="564">
        <f t="shared" si="364"/>
        <v>0</v>
      </c>
      <c r="AB245" s="565">
        <f t="shared" si="364"/>
        <v>0</v>
      </c>
      <c r="AC245" s="565">
        <f t="shared" si="364"/>
        <v>0</v>
      </c>
      <c r="AD245" s="565">
        <f t="shared" si="364"/>
        <v>0</v>
      </c>
      <c r="AE245" s="566">
        <f t="shared" si="364"/>
        <v>0</v>
      </c>
      <c r="AF245" s="564">
        <f t="shared" si="364"/>
        <v>0</v>
      </c>
      <c r="AG245" s="565">
        <f t="shared" si="364"/>
        <v>0</v>
      </c>
      <c r="AH245" s="565">
        <f t="shared" si="364"/>
        <v>0</v>
      </c>
      <c r="AI245" s="565">
        <f t="shared" si="364"/>
        <v>0</v>
      </c>
      <c r="AJ245" s="566">
        <f t="shared" si="364"/>
        <v>0</v>
      </c>
      <c r="AK245" s="569"/>
      <c r="AL245" s="569"/>
      <c r="AN245" s="857"/>
      <c r="AO245" s="984" t="str">
        <f t="shared" si="272"/>
        <v>Rev</v>
      </c>
      <c r="AP245" s="985" t="str">
        <f t="shared" si="273"/>
        <v>Waterways and Drainage</v>
      </c>
      <c r="AQ245" s="986" t="str">
        <f t="shared" si="274"/>
        <v>Fixed</v>
      </c>
      <c r="AR245" s="990" t="str">
        <f t="shared" si="275"/>
        <v>-</v>
      </c>
      <c r="AS245" s="987" t="str">
        <f t="shared" si="276"/>
        <v>-</v>
      </c>
      <c r="AT245" s="987" t="str">
        <f t="shared" si="277"/>
        <v>-</v>
      </c>
      <c r="AU245" s="987" t="str">
        <f t="shared" si="278"/>
        <v>-</v>
      </c>
      <c r="AV245" s="1353" t="str">
        <f t="shared" si="279"/>
        <v>-</v>
      </c>
      <c r="AW245" s="1346" t="str">
        <f t="shared" si="280"/>
        <v>-</v>
      </c>
      <c r="AX245" s="987" t="str">
        <f t="shared" si="281"/>
        <v>-</v>
      </c>
      <c r="AY245" s="987" t="str">
        <f t="shared" si="282"/>
        <v>-</v>
      </c>
      <c r="AZ245" s="987" t="str">
        <f t="shared" si="283"/>
        <v>-</v>
      </c>
      <c r="BA245" s="988" t="str">
        <f t="shared" si="284"/>
        <v>-</v>
      </c>
      <c r="BB245" s="1346" t="str">
        <f t="shared" si="285"/>
        <v>-</v>
      </c>
      <c r="BC245" s="987" t="str">
        <f t="shared" si="286"/>
        <v>-</v>
      </c>
      <c r="BD245" s="987" t="str">
        <f t="shared" si="287"/>
        <v>-</v>
      </c>
      <c r="BE245" s="987" t="str">
        <f t="shared" si="288"/>
        <v>-</v>
      </c>
      <c r="BF245" s="989" t="str">
        <f t="shared" si="289"/>
        <v>-</v>
      </c>
      <c r="BG245" s="951"/>
      <c r="BH245" s="1550" t="str">
        <f t="shared" si="290"/>
        <v>Rev</v>
      </c>
      <c r="BI245" s="1551" t="str">
        <f t="shared" si="291"/>
        <v>Waterways and Drainage</v>
      </c>
      <c r="BJ245" s="1552" t="str">
        <f t="shared" si="292"/>
        <v>Fixed</v>
      </c>
      <c r="BK245" s="987" t="str">
        <f t="shared" ref="BK245:BU245" si="365">IF(V245="","-",IFERROR((V245/U245-1)*(U245/U$13),"-"))</f>
        <v>-</v>
      </c>
      <c r="BL245" s="987" t="str">
        <f t="shared" si="365"/>
        <v>-</v>
      </c>
      <c r="BM245" s="987" t="str">
        <f t="shared" si="365"/>
        <v>-</v>
      </c>
      <c r="BN245" s="987" t="str">
        <f t="shared" si="365"/>
        <v>-</v>
      </c>
      <c r="BO245" s="1353" t="str">
        <f t="shared" si="365"/>
        <v>-</v>
      </c>
      <c r="BP245" s="1346" t="str">
        <f t="shared" si="365"/>
        <v>-</v>
      </c>
      <c r="BQ245" s="987" t="str">
        <f t="shared" si="365"/>
        <v>-</v>
      </c>
      <c r="BR245" s="987" t="str">
        <f t="shared" si="365"/>
        <v>-</v>
      </c>
      <c r="BS245" s="987" t="str">
        <f t="shared" si="365"/>
        <v>-</v>
      </c>
      <c r="BT245" s="988" t="str">
        <f t="shared" si="365"/>
        <v>-</v>
      </c>
      <c r="BU245" s="987" t="str">
        <f t="shared" si="365"/>
        <v>-</v>
      </c>
      <c r="BV245" s="987" t="str">
        <f>IF(AG245="","-",IFERROR((AG245/AF245-1)*(AF245/AF$13),"-"))</f>
        <v>-</v>
      </c>
      <c r="BW245" s="987" t="str">
        <f>IF(AH245="","-",IFERROR((AH245/AG245-1)*(AG245/AG$13),"-"))</f>
        <v>-</v>
      </c>
      <c r="BX245" s="987" t="str">
        <f>IF(AI245="","-",IFERROR((AI245/AH245-1)*(AH245/AH$13),"-"))</f>
        <v>-</v>
      </c>
      <c r="BY245" s="989" t="str">
        <f>IF(AJ245="","-",IFERROR((AJ245/AI245-1)*(AI245/AI$13),"-"))</f>
        <v>-</v>
      </c>
      <c r="BZ245" s="951"/>
      <c r="CA245" s="984" t="str">
        <f t="shared" si="268"/>
        <v>Rev</v>
      </c>
      <c r="CB245" s="985" t="str">
        <f t="shared" si="269"/>
        <v>Waterways and Drainage</v>
      </c>
      <c r="CC245" s="985" t="str">
        <f t="shared" si="270"/>
        <v>Fixed</v>
      </c>
      <c r="CD245" s="990" t="str">
        <f t="shared" si="301"/>
        <v>-</v>
      </c>
      <c r="CE245" s="987" t="str">
        <f t="shared" si="294"/>
        <v>-</v>
      </c>
      <c r="CF245" s="987" t="str">
        <f t="shared" si="295"/>
        <v>-</v>
      </c>
      <c r="CG245" s="988" t="str">
        <f t="shared" si="296"/>
        <v>-</v>
      </c>
      <c r="CH245" s="987" t="str">
        <f t="shared" si="302"/>
        <v>-</v>
      </c>
      <c r="CI245" s="987" t="str">
        <f t="shared" si="297"/>
        <v>-</v>
      </c>
      <c r="CJ245" s="987" t="str">
        <f t="shared" si="298"/>
        <v>-</v>
      </c>
      <c r="CK245" s="989" t="str">
        <f t="shared" si="299"/>
        <v>-</v>
      </c>
    </row>
    <row r="246" spans="4:89">
      <c r="D246" s="63">
        <f>D243+1</f>
        <v>60</v>
      </c>
      <c r="E246" s="550" t="s">
        <v>857</v>
      </c>
      <c r="F246" s="595" t="s">
        <v>420</v>
      </c>
      <c r="G246" s="595" t="s">
        <v>904</v>
      </c>
      <c r="H246" s="595" t="s">
        <v>913</v>
      </c>
      <c r="I246" s="589" t="s">
        <v>842</v>
      </c>
      <c r="J246" s="589" t="s">
        <v>879</v>
      </c>
      <c r="K246" s="551"/>
      <c r="L246" s="552"/>
      <c r="M246" s="552"/>
      <c r="N246" s="551"/>
      <c r="O246" s="552"/>
      <c r="P246" s="552"/>
      <c r="Q246" s="552"/>
      <c r="R246" s="1035"/>
      <c r="S246" s="1138"/>
      <c r="T246" s="591"/>
      <c r="U246" s="1035"/>
      <c r="V246" s="1138"/>
      <c r="W246" s="591"/>
      <c r="X246" s="591"/>
      <c r="Y246" s="591"/>
      <c r="Z246" s="1035"/>
      <c r="AA246" s="1138"/>
      <c r="AB246" s="591"/>
      <c r="AC246" s="591"/>
      <c r="AD246" s="591"/>
      <c r="AE246" s="1035"/>
      <c r="AF246" s="1138"/>
      <c r="AG246" s="591"/>
      <c r="AH246" s="591"/>
      <c r="AI246" s="591"/>
      <c r="AJ246" s="1035"/>
      <c r="AK246" s="569"/>
      <c r="AL246" s="569"/>
      <c r="AM246" s="974"/>
      <c r="AN246" s="857"/>
      <c r="AO246" s="975" t="str">
        <f t="shared" si="272"/>
        <v>Price</v>
      </c>
      <c r="AP246" s="976" t="str">
        <f t="shared" si="273"/>
        <v>Waterways and Drainage</v>
      </c>
      <c r="AQ246" s="977" t="str">
        <f t="shared" si="274"/>
        <v>Fixed</v>
      </c>
      <c r="AR246" s="1341" t="str">
        <f t="shared" si="275"/>
        <v>-</v>
      </c>
      <c r="AS246" s="978" t="str">
        <f t="shared" si="276"/>
        <v>-</v>
      </c>
      <c r="AT246" s="979" t="str">
        <f t="shared" si="277"/>
        <v>-</v>
      </c>
      <c r="AU246" s="979" t="str">
        <f t="shared" si="278"/>
        <v>-</v>
      </c>
      <c r="AV246" s="1352" t="str">
        <f t="shared" si="279"/>
        <v>-</v>
      </c>
      <c r="AW246" s="1345" t="str">
        <f t="shared" si="280"/>
        <v>-</v>
      </c>
      <c r="AX246" s="979" t="str">
        <f t="shared" si="281"/>
        <v>-</v>
      </c>
      <c r="AY246" s="979" t="str">
        <f t="shared" si="282"/>
        <v>-</v>
      </c>
      <c r="AZ246" s="979" t="str">
        <f t="shared" si="283"/>
        <v>-</v>
      </c>
      <c r="BA246" s="980" t="str">
        <f t="shared" si="284"/>
        <v>-</v>
      </c>
      <c r="BB246" s="1345" t="str">
        <f t="shared" si="285"/>
        <v>-</v>
      </c>
      <c r="BC246" s="979" t="str">
        <f t="shared" si="286"/>
        <v>-</v>
      </c>
      <c r="BD246" s="979" t="str">
        <f t="shared" si="287"/>
        <v>-</v>
      </c>
      <c r="BE246" s="979" t="str">
        <f t="shared" si="288"/>
        <v>-</v>
      </c>
      <c r="BF246" s="981" t="str">
        <f t="shared" si="289"/>
        <v>-</v>
      </c>
      <c r="BG246" s="951"/>
      <c r="BH246" s="1547" t="str">
        <f t="shared" si="290"/>
        <v>Price</v>
      </c>
      <c r="BI246" s="1548" t="str">
        <f t="shared" si="291"/>
        <v>Waterways and Drainage</v>
      </c>
      <c r="BJ246" s="1549" t="str">
        <f t="shared" si="292"/>
        <v>Fixed</v>
      </c>
      <c r="BK246" s="978" t="str">
        <f t="shared" ref="BK246:BU246" si="366">IF(V246="","-",IFERROR((V246/U246-1)*(U248/U$13),"-"))</f>
        <v>-</v>
      </c>
      <c r="BL246" s="978" t="str">
        <f t="shared" si="366"/>
        <v>-</v>
      </c>
      <c r="BM246" s="979" t="str">
        <f t="shared" si="366"/>
        <v>-</v>
      </c>
      <c r="BN246" s="979" t="str">
        <f t="shared" si="366"/>
        <v>-</v>
      </c>
      <c r="BO246" s="1352" t="str">
        <f t="shared" si="366"/>
        <v>-</v>
      </c>
      <c r="BP246" s="1345" t="str">
        <f t="shared" si="366"/>
        <v>-</v>
      </c>
      <c r="BQ246" s="979" t="str">
        <f t="shared" si="366"/>
        <v>-</v>
      </c>
      <c r="BR246" s="979" t="str">
        <f t="shared" si="366"/>
        <v>-</v>
      </c>
      <c r="BS246" s="979" t="str">
        <f t="shared" si="366"/>
        <v>-</v>
      </c>
      <c r="BT246" s="980" t="str">
        <f t="shared" si="366"/>
        <v>-</v>
      </c>
      <c r="BU246" s="979" t="str">
        <f t="shared" si="366"/>
        <v>-</v>
      </c>
      <c r="BV246" s="979" t="str">
        <f>IF(AG246="","-",IFERROR((AG246/AF246-1)*(AF248/AF$13),"-"))</f>
        <v>-</v>
      </c>
      <c r="BW246" s="979" t="str">
        <f>IF(AH246="","-",IFERROR((AH246/AG246-1)*(AG248/AG$13),"-"))</f>
        <v>-</v>
      </c>
      <c r="BX246" s="979" t="str">
        <f>IF(AI246="","-",IFERROR((AI246/AH246-1)*(AH248/AH$13),"-"))</f>
        <v>-</v>
      </c>
      <c r="BY246" s="981" t="str">
        <f>IF(AJ246="","-",IFERROR((AJ246/AI246-1)*(AI248/AI$13),"-"))</f>
        <v>-</v>
      </c>
      <c r="BZ246" s="951"/>
      <c r="CA246" s="975" t="str">
        <f t="shared" si="268"/>
        <v>Price</v>
      </c>
      <c r="CB246" s="976" t="str">
        <f t="shared" si="269"/>
        <v>Waterways and Drainage</v>
      </c>
      <c r="CC246" s="982" t="str">
        <f t="shared" si="270"/>
        <v>Fixed</v>
      </c>
      <c r="CD246" s="983" t="str">
        <f t="shared" si="301"/>
        <v>-</v>
      </c>
      <c r="CE246" s="979" t="str">
        <f t="shared" si="294"/>
        <v>-</v>
      </c>
      <c r="CF246" s="979" t="str">
        <f t="shared" si="295"/>
        <v>-</v>
      </c>
      <c r="CG246" s="980" t="str">
        <f t="shared" si="296"/>
        <v>-</v>
      </c>
      <c r="CH246" s="979" t="str">
        <f t="shared" si="302"/>
        <v>-</v>
      </c>
      <c r="CI246" s="979" t="str">
        <f t="shared" si="297"/>
        <v>-</v>
      </c>
      <c r="CJ246" s="979" t="str">
        <f t="shared" si="298"/>
        <v>-</v>
      </c>
      <c r="CK246" s="981" t="str">
        <f t="shared" si="299"/>
        <v>-</v>
      </c>
    </row>
    <row r="247" spans="4:89">
      <c r="E247" s="567" t="s">
        <v>880</v>
      </c>
      <c r="F247" s="554" t="str">
        <f>+F246</f>
        <v>Waterways and Drainage</v>
      </c>
      <c r="G247" s="555" t="str">
        <f>+G246</f>
        <v>ALL</v>
      </c>
      <c r="H247" s="555" t="str">
        <f>+H246</f>
        <v>Patterson Lakes Jetty Annual Maintenance</v>
      </c>
      <c r="I247" s="556" t="str">
        <f>+I246</f>
        <v>Fixed</v>
      </c>
      <c r="J247" s="590" t="s">
        <v>906</v>
      </c>
      <c r="K247" s="557"/>
      <c r="L247" s="558"/>
      <c r="M247" s="558"/>
      <c r="N247" s="557"/>
      <c r="O247" s="558"/>
      <c r="P247" s="558"/>
      <c r="Q247" s="558"/>
      <c r="R247" s="1036"/>
      <c r="S247" s="1139"/>
      <c r="T247" s="593"/>
      <c r="U247" s="1036"/>
      <c r="V247" s="1139"/>
      <c r="W247" s="593"/>
      <c r="X247" s="593"/>
      <c r="Y247" s="593"/>
      <c r="Z247" s="1036"/>
      <c r="AA247" s="1139"/>
      <c r="AB247" s="593"/>
      <c r="AC247" s="593"/>
      <c r="AD247" s="593"/>
      <c r="AE247" s="1036"/>
      <c r="AF247" s="1139"/>
      <c r="AG247" s="593"/>
      <c r="AH247" s="593"/>
      <c r="AI247" s="593"/>
      <c r="AJ247" s="1036"/>
      <c r="AK247" s="569"/>
      <c r="AL247" s="569"/>
      <c r="AN247" s="857"/>
      <c r="AO247" s="961" t="str">
        <f t="shared" si="272"/>
        <v>Qty</v>
      </c>
      <c r="AP247" s="962" t="str">
        <f t="shared" si="273"/>
        <v>Waterways and Drainage</v>
      </c>
      <c r="AQ247" s="963" t="str">
        <f t="shared" si="274"/>
        <v>Fixed</v>
      </c>
      <c r="AR247" s="967" t="str">
        <f t="shared" si="275"/>
        <v>-</v>
      </c>
      <c r="AS247" s="964" t="str">
        <f t="shared" si="276"/>
        <v>-</v>
      </c>
      <c r="AT247" s="964" t="str">
        <f t="shared" si="277"/>
        <v>-</v>
      </c>
      <c r="AU247" s="964" t="str">
        <f t="shared" si="278"/>
        <v>-</v>
      </c>
      <c r="AV247" s="1350" t="str">
        <f t="shared" si="279"/>
        <v>-</v>
      </c>
      <c r="AW247" s="1343" t="str">
        <f t="shared" si="280"/>
        <v>-</v>
      </c>
      <c r="AX247" s="964" t="str">
        <f t="shared" si="281"/>
        <v>-</v>
      </c>
      <c r="AY247" s="964" t="str">
        <f t="shared" si="282"/>
        <v>-</v>
      </c>
      <c r="AZ247" s="964" t="str">
        <f t="shared" si="283"/>
        <v>-</v>
      </c>
      <c r="BA247" s="965" t="str">
        <f t="shared" si="284"/>
        <v>-</v>
      </c>
      <c r="BB247" s="1343" t="str">
        <f t="shared" si="285"/>
        <v>-</v>
      </c>
      <c r="BC247" s="964" t="str">
        <f t="shared" si="286"/>
        <v>-</v>
      </c>
      <c r="BD247" s="964" t="str">
        <f t="shared" si="287"/>
        <v>-</v>
      </c>
      <c r="BE247" s="964" t="str">
        <f t="shared" si="288"/>
        <v>-</v>
      </c>
      <c r="BF247" s="966" t="str">
        <f t="shared" si="289"/>
        <v>-</v>
      </c>
      <c r="BG247" s="951"/>
      <c r="BH247" s="1541" t="str">
        <f t="shared" si="290"/>
        <v>Qty</v>
      </c>
      <c r="BI247" s="1542" t="str">
        <f t="shared" si="291"/>
        <v>Waterways and Drainage</v>
      </c>
      <c r="BJ247" s="1543" t="str">
        <f t="shared" si="292"/>
        <v>Fixed</v>
      </c>
      <c r="BK247" s="964" t="str">
        <f t="shared" ref="BK247:BU247" si="367">IF(V247="","-",IFERROR((V247/U247-1)*(U248/U$13),"-"))</f>
        <v>-</v>
      </c>
      <c r="BL247" s="964" t="str">
        <f t="shared" si="367"/>
        <v>-</v>
      </c>
      <c r="BM247" s="964" t="str">
        <f t="shared" si="367"/>
        <v>-</v>
      </c>
      <c r="BN247" s="964" t="str">
        <f t="shared" si="367"/>
        <v>-</v>
      </c>
      <c r="BO247" s="1350" t="str">
        <f t="shared" si="367"/>
        <v>-</v>
      </c>
      <c r="BP247" s="1343" t="str">
        <f t="shared" si="367"/>
        <v>-</v>
      </c>
      <c r="BQ247" s="964" t="str">
        <f t="shared" si="367"/>
        <v>-</v>
      </c>
      <c r="BR247" s="964" t="str">
        <f t="shared" si="367"/>
        <v>-</v>
      </c>
      <c r="BS247" s="964" t="str">
        <f t="shared" si="367"/>
        <v>-</v>
      </c>
      <c r="BT247" s="965" t="str">
        <f t="shared" si="367"/>
        <v>-</v>
      </c>
      <c r="BU247" s="964" t="str">
        <f t="shared" si="367"/>
        <v>-</v>
      </c>
      <c r="BV247" s="964" t="str">
        <f>IF(AG247="","-",IFERROR((AG247/AF247-1)*(AF248/AF$13),"-"))</f>
        <v>-</v>
      </c>
      <c r="BW247" s="964" t="str">
        <f>IF(AH247="","-",IFERROR((AH247/AG247-1)*(AG248/AG$13),"-"))</f>
        <v>-</v>
      </c>
      <c r="BX247" s="964" t="str">
        <f>IF(AI247="","-",IFERROR((AI247/AH247-1)*(AH248/AH$13),"-"))</f>
        <v>-</v>
      </c>
      <c r="BY247" s="966" t="str">
        <f>IF(AJ247="","-",IFERROR((AJ247/AI247-1)*(AI248/AI$13),"-"))</f>
        <v>-</v>
      </c>
      <c r="BZ247" s="951"/>
      <c r="CA247" s="961" t="str">
        <f t="shared" si="268"/>
        <v>Qty</v>
      </c>
      <c r="CB247" s="962" t="str">
        <f t="shared" si="269"/>
        <v>Waterways and Drainage</v>
      </c>
      <c r="CC247" s="962" t="str">
        <f t="shared" si="270"/>
        <v>Fixed</v>
      </c>
      <c r="CD247" s="967" t="str">
        <f t="shared" si="301"/>
        <v>-</v>
      </c>
      <c r="CE247" s="964" t="str">
        <f t="shared" si="294"/>
        <v>-</v>
      </c>
      <c r="CF247" s="964" t="str">
        <f t="shared" si="295"/>
        <v>-</v>
      </c>
      <c r="CG247" s="965" t="str">
        <f t="shared" si="296"/>
        <v>-</v>
      </c>
      <c r="CH247" s="964" t="str">
        <f t="shared" si="302"/>
        <v>-</v>
      </c>
      <c r="CI247" s="964" t="str">
        <f t="shared" si="297"/>
        <v>-</v>
      </c>
      <c r="CJ247" s="964" t="str">
        <f t="shared" si="298"/>
        <v>-</v>
      </c>
      <c r="CK247" s="966" t="str">
        <f t="shared" si="299"/>
        <v>-</v>
      </c>
    </row>
    <row r="248" spans="4:89" ht="12.75" thickBot="1">
      <c r="E248" s="568" t="s">
        <v>882</v>
      </c>
      <c r="F248" s="560" t="str">
        <f>+F246</f>
        <v>Waterways and Drainage</v>
      </c>
      <c r="G248" s="561" t="str">
        <f>+G246</f>
        <v>ALL</v>
      </c>
      <c r="H248" s="561" t="str">
        <f>+H246</f>
        <v>Patterson Lakes Jetty Annual Maintenance</v>
      </c>
      <c r="I248" s="562" t="str">
        <f>+I246</f>
        <v>Fixed</v>
      </c>
      <c r="J248" s="563" t="s">
        <v>883</v>
      </c>
      <c r="K248" s="564">
        <f t="shared" ref="K248:AJ248" si="368">K246*K247/10^6</f>
        <v>0</v>
      </c>
      <c r="L248" s="565">
        <f t="shared" si="368"/>
        <v>0</v>
      </c>
      <c r="M248" s="565">
        <f t="shared" si="368"/>
        <v>0</v>
      </c>
      <c r="N248" s="564">
        <f t="shared" si="368"/>
        <v>0</v>
      </c>
      <c r="O248" s="565">
        <f t="shared" si="368"/>
        <v>0</v>
      </c>
      <c r="P248" s="565">
        <f t="shared" si="368"/>
        <v>0</v>
      </c>
      <c r="Q248" s="565">
        <f t="shared" si="368"/>
        <v>0</v>
      </c>
      <c r="R248" s="566">
        <f t="shared" si="368"/>
        <v>0</v>
      </c>
      <c r="S248" s="564">
        <f t="shared" si="368"/>
        <v>0</v>
      </c>
      <c r="T248" s="565">
        <f t="shared" si="368"/>
        <v>0</v>
      </c>
      <c r="U248" s="566">
        <f t="shared" si="368"/>
        <v>0</v>
      </c>
      <c r="V248" s="564">
        <f t="shared" si="368"/>
        <v>0</v>
      </c>
      <c r="W248" s="565">
        <f t="shared" si="368"/>
        <v>0</v>
      </c>
      <c r="X248" s="565">
        <f t="shared" si="368"/>
        <v>0</v>
      </c>
      <c r="Y248" s="565">
        <f t="shared" si="368"/>
        <v>0</v>
      </c>
      <c r="Z248" s="566">
        <f t="shared" si="368"/>
        <v>0</v>
      </c>
      <c r="AA248" s="564">
        <f t="shared" si="368"/>
        <v>0</v>
      </c>
      <c r="AB248" s="565">
        <f t="shared" si="368"/>
        <v>0</v>
      </c>
      <c r="AC248" s="565">
        <f t="shared" si="368"/>
        <v>0</v>
      </c>
      <c r="AD248" s="565">
        <f t="shared" si="368"/>
        <v>0</v>
      </c>
      <c r="AE248" s="566">
        <f t="shared" si="368"/>
        <v>0</v>
      </c>
      <c r="AF248" s="564">
        <f t="shared" si="368"/>
        <v>0</v>
      </c>
      <c r="AG248" s="565">
        <f t="shared" si="368"/>
        <v>0</v>
      </c>
      <c r="AH248" s="565">
        <f t="shared" si="368"/>
        <v>0</v>
      </c>
      <c r="AI248" s="565">
        <f t="shared" si="368"/>
        <v>0</v>
      </c>
      <c r="AJ248" s="566">
        <f t="shared" si="368"/>
        <v>0</v>
      </c>
      <c r="AK248" s="569"/>
      <c r="AL248" s="569"/>
      <c r="AN248" s="857"/>
      <c r="AO248" s="984" t="str">
        <f t="shared" si="272"/>
        <v>Rev</v>
      </c>
      <c r="AP248" s="985" t="str">
        <f t="shared" si="273"/>
        <v>Waterways and Drainage</v>
      </c>
      <c r="AQ248" s="986" t="str">
        <f t="shared" si="274"/>
        <v>Fixed</v>
      </c>
      <c r="AR248" s="990" t="str">
        <f t="shared" si="275"/>
        <v>-</v>
      </c>
      <c r="AS248" s="987" t="str">
        <f t="shared" si="276"/>
        <v>-</v>
      </c>
      <c r="AT248" s="987" t="str">
        <f t="shared" si="277"/>
        <v>-</v>
      </c>
      <c r="AU248" s="987" t="str">
        <f t="shared" si="278"/>
        <v>-</v>
      </c>
      <c r="AV248" s="1353" t="str">
        <f t="shared" si="279"/>
        <v>-</v>
      </c>
      <c r="AW248" s="1346" t="str">
        <f t="shared" si="280"/>
        <v>-</v>
      </c>
      <c r="AX248" s="987" t="str">
        <f t="shared" si="281"/>
        <v>-</v>
      </c>
      <c r="AY248" s="987" t="str">
        <f t="shared" si="282"/>
        <v>-</v>
      </c>
      <c r="AZ248" s="987" t="str">
        <f t="shared" si="283"/>
        <v>-</v>
      </c>
      <c r="BA248" s="988" t="str">
        <f t="shared" si="284"/>
        <v>-</v>
      </c>
      <c r="BB248" s="1346" t="str">
        <f t="shared" si="285"/>
        <v>-</v>
      </c>
      <c r="BC248" s="987" t="str">
        <f t="shared" si="286"/>
        <v>-</v>
      </c>
      <c r="BD248" s="987" t="str">
        <f t="shared" si="287"/>
        <v>-</v>
      </c>
      <c r="BE248" s="987" t="str">
        <f t="shared" si="288"/>
        <v>-</v>
      </c>
      <c r="BF248" s="989" t="str">
        <f t="shared" si="289"/>
        <v>-</v>
      </c>
      <c r="BG248" s="951"/>
      <c r="BH248" s="1550" t="str">
        <f t="shared" si="290"/>
        <v>Rev</v>
      </c>
      <c r="BI248" s="1551" t="str">
        <f t="shared" si="291"/>
        <v>Waterways and Drainage</v>
      </c>
      <c r="BJ248" s="1552" t="str">
        <f t="shared" si="292"/>
        <v>Fixed</v>
      </c>
      <c r="BK248" s="987" t="str">
        <f t="shared" ref="BK248:BU248" si="369">IF(V248="","-",IFERROR((V248/U248-1)*(U248/U$13),"-"))</f>
        <v>-</v>
      </c>
      <c r="BL248" s="987" t="str">
        <f t="shared" si="369"/>
        <v>-</v>
      </c>
      <c r="BM248" s="987" t="str">
        <f t="shared" si="369"/>
        <v>-</v>
      </c>
      <c r="BN248" s="987" t="str">
        <f t="shared" si="369"/>
        <v>-</v>
      </c>
      <c r="BO248" s="1353" t="str">
        <f t="shared" si="369"/>
        <v>-</v>
      </c>
      <c r="BP248" s="1346" t="str">
        <f t="shared" si="369"/>
        <v>-</v>
      </c>
      <c r="BQ248" s="987" t="str">
        <f t="shared" si="369"/>
        <v>-</v>
      </c>
      <c r="BR248" s="987" t="str">
        <f t="shared" si="369"/>
        <v>-</v>
      </c>
      <c r="BS248" s="987" t="str">
        <f t="shared" si="369"/>
        <v>-</v>
      </c>
      <c r="BT248" s="988" t="str">
        <f t="shared" si="369"/>
        <v>-</v>
      </c>
      <c r="BU248" s="987" t="str">
        <f t="shared" si="369"/>
        <v>-</v>
      </c>
      <c r="BV248" s="987" t="str">
        <f>IF(AG248="","-",IFERROR((AG248/AF248-1)*(AF248/AF$13),"-"))</f>
        <v>-</v>
      </c>
      <c r="BW248" s="987" t="str">
        <f>IF(AH248="","-",IFERROR((AH248/AG248-1)*(AG248/AG$13),"-"))</f>
        <v>-</v>
      </c>
      <c r="BX248" s="987" t="str">
        <f>IF(AI248="","-",IFERROR((AI248/AH248-1)*(AH248/AH$13),"-"))</f>
        <v>-</v>
      </c>
      <c r="BY248" s="989" t="str">
        <f>IF(AJ248="","-",IFERROR((AJ248/AI248-1)*(AI248/AI$13),"-"))</f>
        <v>-</v>
      </c>
      <c r="BZ248" s="951"/>
      <c r="CA248" s="984" t="str">
        <f t="shared" si="268"/>
        <v>Rev</v>
      </c>
      <c r="CB248" s="985" t="str">
        <f t="shared" si="269"/>
        <v>Waterways and Drainage</v>
      </c>
      <c r="CC248" s="985" t="str">
        <f t="shared" si="270"/>
        <v>Fixed</v>
      </c>
      <c r="CD248" s="990" t="str">
        <f t="shared" si="301"/>
        <v>-</v>
      </c>
      <c r="CE248" s="987" t="str">
        <f t="shared" si="294"/>
        <v>-</v>
      </c>
      <c r="CF248" s="987" t="str">
        <f t="shared" si="295"/>
        <v>-</v>
      </c>
      <c r="CG248" s="988" t="str">
        <f t="shared" si="296"/>
        <v>-</v>
      </c>
      <c r="CH248" s="987" t="str">
        <f t="shared" si="302"/>
        <v>-</v>
      </c>
      <c r="CI248" s="987" t="str">
        <f t="shared" si="297"/>
        <v>-</v>
      </c>
      <c r="CJ248" s="987" t="str">
        <f t="shared" si="298"/>
        <v>-</v>
      </c>
      <c r="CK248" s="989" t="str">
        <f t="shared" si="299"/>
        <v>-</v>
      </c>
    </row>
    <row r="249" spans="4:89">
      <c r="D249" s="63">
        <f>D246+1</f>
        <v>61</v>
      </c>
      <c r="E249" s="550" t="s">
        <v>857</v>
      </c>
      <c r="F249" s="595" t="s">
        <v>420</v>
      </c>
      <c r="G249" s="595" t="s">
        <v>904</v>
      </c>
      <c r="H249" s="595" t="s">
        <v>914</v>
      </c>
      <c r="I249" s="589" t="s">
        <v>842</v>
      </c>
      <c r="J249" s="589" t="s">
        <v>879</v>
      </c>
      <c r="K249" s="551"/>
      <c r="L249" s="552"/>
      <c r="M249" s="552"/>
      <c r="N249" s="551"/>
      <c r="O249" s="552"/>
      <c r="P249" s="552"/>
      <c r="Q249" s="552"/>
      <c r="R249" s="1035"/>
      <c r="S249" s="1138"/>
      <c r="T249" s="591"/>
      <c r="U249" s="1035"/>
      <c r="V249" s="1138"/>
      <c r="W249" s="591"/>
      <c r="X249" s="591"/>
      <c r="Y249" s="591"/>
      <c r="Z249" s="1035"/>
      <c r="AA249" s="1138"/>
      <c r="AB249" s="591"/>
      <c r="AC249" s="591"/>
      <c r="AD249" s="591"/>
      <c r="AE249" s="1035"/>
      <c r="AF249" s="1138"/>
      <c r="AG249" s="591"/>
      <c r="AH249" s="591"/>
      <c r="AI249" s="591"/>
      <c r="AJ249" s="1035"/>
      <c r="AK249" s="569"/>
      <c r="AL249" s="569"/>
      <c r="AM249" s="974"/>
      <c r="AN249" s="857"/>
      <c r="AO249" s="975" t="str">
        <f t="shared" si="272"/>
        <v>Price</v>
      </c>
      <c r="AP249" s="976" t="str">
        <f t="shared" si="273"/>
        <v>Waterways and Drainage</v>
      </c>
      <c r="AQ249" s="977" t="str">
        <f t="shared" si="274"/>
        <v>Fixed</v>
      </c>
      <c r="AR249" s="1341" t="str">
        <f t="shared" si="275"/>
        <v>-</v>
      </c>
      <c r="AS249" s="978" t="str">
        <f t="shared" si="276"/>
        <v>-</v>
      </c>
      <c r="AT249" s="979" t="str">
        <f t="shared" si="277"/>
        <v>-</v>
      </c>
      <c r="AU249" s="979" t="str">
        <f t="shared" si="278"/>
        <v>-</v>
      </c>
      <c r="AV249" s="1352" t="str">
        <f t="shared" si="279"/>
        <v>-</v>
      </c>
      <c r="AW249" s="1345" t="str">
        <f t="shared" si="280"/>
        <v>-</v>
      </c>
      <c r="AX249" s="979" t="str">
        <f t="shared" si="281"/>
        <v>-</v>
      </c>
      <c r="AY249" s="979" t="str">
        <f t="shared" si="282"/>
        <v>-</v>
      </c>
      <c r="AZ249" s="979" t="str">
        <f t="shared" si="283"/>
        <v>-</v>
      </c>
      <c r="BA249" s="980" t="str">
        <f t="shared" si="284"/>
        <v>-</v>
      </c>
      <c r="BB249" s="1345" t="str">
        <f t="shared" si="285"/>
        <v>-</v>
      </c>
      <c r="BC249" s="979" t="str">
        <f t="shared" si="286"/>
        <v>-</v>
      </c>
      <c r="BD249" s="979" t="str">
        <f t="shared" si="287"/>
        <v>-</v>
      </c>
      <c r="BE249" s="979" t="str">
        <f t="shared" si="288"/>
        <v>-</v>
      </c>
      <c r="BF249" s="981" t="str">
        <f t="shared" si="289"/>
        <v>-</v>
      </c>
      <c r="BG249" s="951"/>
      <c r="BH249" s="1547" t="str">
        <f t="shared" si="290"/>
        <v>Price</v>
      </c>
      <c r="BI249" s="1548" t="str">
        <f t="shared" si="291"/>
        <v>Waterways and Drainage</v>
      </c>
      <c r="BJ249" s="1549" t="str">
        <f t="shared" si="292"/>
        <v>Fixed</v>
      </c>
      <c r="BK249" s="978" t="str">
        <f t="shared" ref="BK249:BU249" si="370">IF(V249="","-",IFERROR((V249/U249-1)*(U251/U$13),"-"))</f>
        <v>-</v>
      </c>
      <c r="BL249" s="978" t="str">
        <f t="shared" si="370"/>
        <v>-</v>
      </c>
      <c r="BM249" s="979" t="str">
        <f t="shared" si="370"/>
        <v>-</v>
      </c>
      <c r="BN249" s="979" t="str">
        <f t="shared" si="370"/>
        <v>-</v>
      </c>
      <c r="BO249" s="1352" t="str">
        <f t="shared" si="370"/>
        <v>-</v>
      </c>
      <c r="BP249" s="1345" t="str">
        <f t="shared" si="370"/>
        <v>-</v>
      </c>
      <c r="BQ249" s="979" t="str">
        <f t="shared" si="370"/>
        <v>-</v>
      </c>
      <c r="BR249" s="979" t="str">
        <f t="shared" si="370"/>
        <v>-</v>
      </c>
      <c r="BS249" s="979" t="str">
        <f t="shared" si="370"/>
        <v>-</v>
      </c>
      <c r="BT249" s="980" t="str">
        <f t="shared" si="370"/>
        <v>-</v>
      </c>
      <c r="BU249" s="979" t="str">
        <f t="shared" si="370"/>
        <v>-</v>
      </c>
      <c r="BV249" s="979" t="str">
        <f>IF(AG249="","-",IFERROR((AG249/AF249-1)*(AF251/AF$13),"-"))</f>
        <v>-</v>
      </c>
      <c r="BW249" s="979" t="str">
        <f>IF(AH249="","-",IFERROR((AH249/AG249-1)*(AG251/AG$13),"-"))</f>
        <v>-</v>
      </c>
      <c r="BX249" s="979" t="str">
        <f>IF(AI249="","-",IFERROR((AI249/AH249-1)*(AH251/AH$13),"-"))</f>
        <v>-</v>
      </c>
      <c r="BY249" s="981" t="str">
        <f>IF(AJ249="","-",IFERROR((AJ249/AI249-1)*(AI251/AI$13),"-"))</f>
        <v>-</v>
      </c>
      <c r="BZ249" s="951"/>
      <c r="CA249" s="975" t="str">
        <f t="shared" si="268"/>
        <v>Price</v>
      </c>
      <c r="CB249" s="976" t="str">
        <f t="shared" si="269"/>
        <v>Waterways and Drainage</v>
      </c>
      <c r="CC249" s="982" t="str">
        <f t="shared" si="270"/>
        <v>Fixed</v>
      </c>
      <c r="CD249" s="983" t="str">
        <f t="shared" si="301"/>
        <v>-</v>
      </c>
      <c r="CE249" s="979" t="str">
        <f t="shared" si="294"/>
        <v>-</v>
      </c>
      <c r="CF249" s="979" t="str">
        <f t="shared" si="295"/>
        <v>-</v>
      </c>
      <c r="CG249" s="980" t="str">
        <f t="shared" si="296"/>
        <v>-</v>
      </c>
      <c r="CH249" s="979" t="str">
        <f t="shared" si="302"/>
        <v>-</v>
      </c>
      <c r="CI249" s="979" t="str">
        <f t="shared" si="297"/>
        <v>-</v>
      </c>
      <c r="CJ249" s="979" t="str">
        <f t="shared" si="298"/>
        <v>-</v>
      </c>
      <c r="CK249" s="981" t="str">
        <f t="shared" si="299"/>
        <v>-</v>
      </c>
    </row>
    <row r="250" spans="4:89">
      <c r="E250" s="567" t="s">
        <v>880</v>
      </c>
      <c r="F250" s="554" t="str">
        <f>+F249</f>
        <v>Waterways and Drainage</v>
      </c>
      <c r="G250" s="555" t="str">
        <f>+G249</f>
        <v>ALL</v>
      </c>
      <c r="H250" s="555" t="str">
        <f>+H249</f>
        <v>Quiet Lakes Bore Flushing</v>
      </c>
      <c r="I250" s="556" t="str">
        <f>+I249</f>
        <v>Fixed</v>
      </c>
      <c r="J250" s="590" t="s">
        <v>906</v>
      </c>
      <c r="K250" s="557"/>
      <c r="L250" s="558"/>
      <c r="M250" s="558"/>
      <c r="N250" s="557"/>
      <c r="O250" s="558"/>
      <c r="P250" s="558"/>
      <c r="Q250" s="558"/>
      <c r="R250" s="1036"/>
      <c r="S250" s="1139"/>
      <c r="T250" s="593"/>
      <c r="U250" s="1036"/>
      <c r="V250" s="1139"/>
      <c r="W250" s="593"/>
      <c r="X250" s="593"/>
      <c r="Y250" s="593"/>
      <c r="Z250" s="1036"/>
      <c r="AA250" s="1139"/>
      <c r="AB250" s="593"/>
      <c r="AC250" s="593"/>
      <c r="AD250" s="593"/>
      <c r="AE250" s="1036"/>
      <c r="AF250" s="1139"/>
      <c r="AG250" s="593"/>
      <c r="AH250" s="593"/>
      <c r="AI250" s="593"/>
      <c r="AJ250" s="1036"/>
      <c r="AK250" s="569"/>
      <c r="AL250" s="569"/>
      <c r="AN250" s="857"/>
      <c r="AO250" s="961" t="str">
        <f t="shared" si="272"/>
        <v>Qty</v>
      </c>
      <c r="AP250" s="962" t="str">
        <f t="shared" si="273"/>
        <v>Waterways and Drainage</v>
      </c>
      <c r="AQ250" s="963" t="str">
        <f t="shared" si="274"/>
        <v>Fixed</v>
      </c>
      <c r="AR250" s="967" t="str">
        <f t="shared" si="275"/>
        <v>-</v>
      </c>
      <c r="AS250" s="964" t="str">
        <f t="shared" si="276"/>
        <v>-</v>
      </c>
      <c r="AT250" s="964" t="str">
        <f t="shared" si="277"/>
        <v>-</v>
      </c>
      <c r="AU250" s="964" t="str">
        <f t="shared" si="278"/>
        <v>-</v>
      </c>
      <c r="AV250" s="1350" t="str">
        <f t="shared" si="279"/>
        <v>-</v>
      </c>
      <c r="AW250" s="1343" t="str">
        <f t="shared" si="280"/>
        <v>-</v>
      </c>
      <c r="AX250" s="964" t="str">
        <f t="shared" si="281"/>
        <v>-</v>
      </c>
      <c r="AY250" s="964" t="str">
        <f t="shared" si="282"/>
        <v>-</v>
      </c>
      <c r="AZ250" s="964" t="str">
        <f t="shared" si="283"/>
        <v>-</v>
      </c>
      <c r="BA250" s="965" t="str">
        <f t="shared" si="284"/>
        <v>-</v>
      </c>
      <c r="BB250" s="1343" t="str">
        <f t="shared" si="285"/>
        <v>-</v>
      </c>
      <c r="BC250" s="964" t="str">
        <f t="shared" si="286"/>
        <v>-</v>
      </c>
      <c r="BD250" s="964" t="str">
        <f t="shared" si="287"/>
        <v>-</v>
      </c>
      <c r="BE250" s="964" t="str">
        <f t="shared" si="288"/>
        <v>-</v>
      </c>
      <c r="BF250" s="966" t="str">
        <f t="shared" si="289"/>
        <v>-</v>
      </c>
      <c r="BG250" s="951"/>
      <c r="BH250" s="1541" t="str">
        <f t="shared" si="290"/>
        <v>Qty</v>
      </c>
      <c r="BI250" s="1542" t="str">
        <f t="shared" si="291"/>
        <v>Waterways and Drainage</v>
      </c>
      <c r="BJ250" s="1543" t="str">
        <f t="shared" si="292"/>
        <v>Fixed</v>
      </c>
      <c r="BK250" s="964" t="str">
        <f t="shared" ref="BK250:BU250" si="371">IF(V250="","-",IFERROR((V250/U250-1)*(U251/U$13),"-"))</f>
        <v>-</v>
      </c>
      <c r="BL250" s="964" t="str">
        <f t="shared" si="371"/>
        <v>-</v>
      </c>
      <c r="BM250" s="964" t="str">
        <f t="shared" si="371"/>
        <v>-</v>
      </c>
      <c r="BN250" s="964" t="str">
        <f t="shared" si="371"/>
        <v>-</v>
      </c>
      <c r="BO250" s="1350" t="str">
        <f t="shared" si="371"/>
        <v>-</v>
      </c>
      <c r="BP250" s="1343" t="str">
        <f t="shared" si="371"/>
        <v>-</v>
      </c>
      <c r="BQ250" s="964" t="str">
        <f t="shared" si="371"/>
        <v>-</v>
      </c>
      <c r="BR250" s="964" t="str">
        <f t="shared" si="371"/>
        <v>-</v>
      </c>
      <c r="BS250" s="964" t="str">
        <f t="shared" si="371"/>
        <v>-</v>
      </c>
      <c r="BT250" s="965" t="str">
        <f t="shared" si="371"/>
        <v>-</v>
      </c>
      <c r="BU250" s="964" t="str">
        <f t="shared" si="371"/>
        <v>-</v>
      </c>
      <c r="BV250" s="964" t="str">
        <f>IF(AG250="","-",IFERROR((AG250/AF250-1)*(AF251/AF$13),"-"))</f>
        <v>-</v>
      </c>
      <c r="BW250" s="964" t="str">
        <f>IF(AH250="","-",IFERROR((AH250/AG250-1)*(AG251/AG$13),"-"))</f>
        <v>-</v>
      </c>
      <c r="BX250" s="964" t="str">
        <f>IF(AI250="","-",IFERROR((AI250/AH250-1)*(AH251/AH$13),"-"))</f>
        <v>-</v>
      </c>
      <c r="BY250" s="966" t="str">
        <f>IF(AJ250="","-",IFERROR((AJ250/AI250-1)*(AI251/AI$13),"-"))</f>
        <v>-</v>
      </c>
      <c r="BZ250" s="951"/>
      <c r="CA250" s="961" t="str">
        <f t="shared" si="268"/>
        <v>Qty</v>
      </c>
      <c r="CB250" s="962" t="str">
        <f t="shared" si="269"/>
        <v>Waterways and Drainage</v>
      </c>
      <c r="CC250" s="962" t="str">
        <f t="shared" si="270"/>
        <v>Fixed</v>
      </c>
      <c r="CD250" s="967" t="str">
        <f t="shared" si="301"/>
        <v>-</v>
      </c>
      <c r="CE250" s="964" t="str">
        <f t="shared" si="294"/>
        <v>-</v>
      </c>
      <c r="CF250" s="964" t="str">
        <f t="shared" si="295"/>
        <v>-</v>
      </c>
      <c r="CG250" s="965" t="str">
        <f t="shared" si="296"/>
        <v>-</v>
      </c>
      <c r="CH250" s="964" t="str">
        <f t="shared" si="302"/>
        <v>-</v>
      </c>
      <c r="CI250" s="964" t="str">
        <f t="shared" si="297"/>
        <v>-</v>
      </c>
      <c r="CJ250" s="964" t="str">
        <f t="shared" si="298"/>
        <v>-</v>
      </c>
      <c r="CK250" s="966" t="str">
        <f t="shared" si="299"/>
        <v>-</v>
      </c>
    </row>
    <row r="251" spans="4:89" ht="12.75" thickBot="1">
      <c r="E251" s="568" t="s">
        <v>882</v>
      </c>
      <c r="F251" s="560" t="str">
        <f>+F249</f>
        <v>Waterways and Drainage</v>
      </c>
      <c r="G251" s="561" t="str">
        <f>+G249</f>
        <v>ALL</v>
      </c>
      <c r="H251" s="561" t="str">
        <f>+H249</f>
        <v>Quiet Lakes Bore Flushing</v>
      </c>
      <c r="I251" s="562" t="str">
        <f>+I249</f>
        <v>Fixed</v>
      </c>
      <c r="J251" s="563" t="s">
        <v>883</v>
      </c>
      <c r="K251" s="564">
        <f t="shared" ref="K251:AJ251" si="372">K249*K250/10^6</f>
        <v>0</v>
      </c>
      <c r="L251" s="565">
        <f t="shared" si="372"/>
        <v>0</v>
      </c>
      <c r="M251" s="565">
        <f t="shared" si="372"/>
        <v>0</v>
      </c>
      <c r="N251" s="564">
        <f t="shared" si="372"/>
        <v>0</v>
      </c>
      <c r="O251" s="565">
        <f t="shared" si="372"/>
        <v>0</v>
      </c>
      <c r="P251" s="565">
        <f t="shared" si="372"/>
        <v>0</v>
      </c>
      <c r="Q251" s="565">
        <f t="shared" si="372"/>
        <v>0</v>
      </c>
      <c r="R251" s="566">
        <f t="shared" si="372"/>
        <v>0</v>
      </c>
      <c r="S251" s="564">
        <f t="shared" si="372"/>
        <v>0</v>
      </c>
      <c r="T251" s="565">
        <f t="shared" si="372"/>
        <v>0</v>
      </c>
      <c r="U251" s="566">
        <f t="shared" si="372"/>
        <v>0</v>
      </c>
      <c r="V251" s="564">
        <f t="shared" si="372"/>
        <v>0</v>
      </c>
      <c r="W251" s="565">
        <f t="shared" si="372"/>
        <v>0</v>
      </c>
      <c r="X251" s="565">
        <f t="shared" si="372"/>
        <v>0</v>
      </c>
      <c r="Y251" s="565">
        <f t="shared" si="372"/>
        <v>0</v>
      </c>
      <c r="Z251" s="566">
        <f t="shared" si="372"/>
        <v>0</v>
      </c>
      <c r="AA251" s="564">
        <f t="shared" si="372"/>
        <v>0</v>
      </c>
      <c r="AB251" s="565">
        <f t="shared" si="372"/>
        <v>0</v>
      </c>
      <c r="AC251" s="565">
        <f t="shared" si="372"/>
        <v>0</v>
      </c>
      <c r="AD251" s="565">
        <f t="shared" si="372"/>
        <v>0</v>
      </c>
      <c r="AE251" s="566">
        <f t="shared" si="372"/>
        <v>0</v>
      </c>
      <c r="AF251" s="564">
        <f t="shared" si="372"/>
        <v>0</v>
      </c>
      <c r="AG251" s="565">
        <f t="shared" si="372"/>
        <v>0</v>
      </c>
      <c r="AH251" s="565">
        <f t="shared" si="372"/>
        <v>0</v>
      </c>
      <c r="AI251" s="565">
        <f t="shared" si="372"/>
        <v>0</v>
      </c>
      <c r="AJ251" s="566">
        <f t="shared" si="372"/>
        <v>0</v>
      </c>
      <c r="AK251" s="569"/>
      <c r="AL251" s="569"/>
      <c r="AN251" s="857"/>
      <c r="AO251" s="984" t="str">
        <f t="shared" si="272"/>
        <v>Rev</v>
      </c>
      <c r="AP251" s="985" t="str">
        <f t="shared" si="273"/>
        <v>Waterways and Drainage</v>
      </c>
      <c r="AQ251" s="986" t="str">
        <f t="shared" si="274"/>
        <v>Fixed</v>
      </c>
      <c r="AR251" s="990" t="str">
        <f t="shared" si="275"/>
        <v>-</v>
      </c>
      <c r="AS251" s="987" t="str">
        <f t="shared" si="276"/>
        <v>-</v>
      </c>
      <c r="AT251" s="987" t="str">
        <f t="shared" si="277"/>
        <v>-</v>
      </c>
      <c r="AU251" s="987" t="str">
        <f t="shared" si="278"/>
        <v>-</v>
      </c>
      <c r="AV251" s="1353" t="str">
        <f t="shared" si="279"/>
        <v>-</v>
      </c>
      <c r="AW251" s="1346" t="str">
        <f t="shared" si="280"/>
        <v>-</v>
      </c>
      <c r="AX251" s="987" t="str">
        <f t="shared" si="281"/>
        <v>-</v>
      </c>
      <c r="AY251" s="987" t="str">
        <f t="shared" si="282"/>
        <v>-</v>
      </c>
      <c r="AZ251" s="987" t="str">
        <f t="shared" si="283"/>
        <v>-</v>
      </c>
      <c r="BA251" s="988" t="str">
        <f t="shared" si="284"/>
        <v>-</v>
      </c>
      <c r="BB251" s="1346" t="str">
        <f t="shared" si="285"/>
        <v>-</v>
      </c>
      <c r="BC251" s="987" t="str">
        <f t="shared" si="286"/>
        <v>-</v>
      </c>
      <c r="BD251" s="987" t="str">
        <f t="shared" si="287"/>
        <v>-</v>
      </c>
      <c r="BE251" s="987" t="str">
        <f t="shared" si="288"/>
        <v>-</v>
      </c>
      <c r="BF251" s="989" t="str">
        <f t="shared" si="289"/>
        <v>-</v>
      </c>
      <c r="BG251" s="951"/>
      <c r="BH251" s="1550" t="str">
        <f t="shared" si="290"/>
        <v>Rev</v>
      </c>
      <c r="BI251" s="1551" t="str">
        <f t="shared" si="291"/>
        <v>Waterways and Drainage</v>
      </c>
      <c r="BJ251" s="1552" t="str">
        <f t="shared" si="292"/>
        <v>Fixed</v>
      </c>
      <c r="BK251" s="987" t="str">
        <f t="shared" ref="BK251:BU251" si="373">IF(V251="","-",IFERROR((V251/U251-1)*(U251/U$13),"-"))</f>
        <v>-</v>
      </c>
      <c r="BL251" s="987" t="str">
        <f t="shared" si="373"/>
        <v>-</v>
      </c>
      <c r="BM251" s="987" t="str">
        <f t="shared" si="373"/>
        <v>-</v>
      </c>
      <c r="BN251" s="987" t="str">
        <f t="shared" si="373"/>
        <v>-</v>
      </c>
      <c r="BO251" s="1353" t="str">
        <f t="shared" si="373"/>
        <v>-</v>
      </c>
      <c r="BP251" s="1346" t="str">
        <f t="shared" si="373"/>
        <v>-</v>
      </c>
      <c r="BQ251" s="987" t="str">
        <f t="shared" si="373"/>
        <v>-</v>
      </c>
      <c r="BR251" s="987" t="str">
        <f t="shared" si="373"/>
        <v>-</v>
      </c>
      <c r="BS251" s="987" t="str">
        <f t="shared" si="373"/>
        <v>-</v>
      </c>
      <c r="BT251" s="988" t="str">
        <f t="shared" si="373"/>
        <v>-</v>
      </c>
      <c r="BU251" s="987" t="str">
        <f t="shared" si="373"/>
        <v>-</v>
      </c>
      <c r="BV251" s="987" t="str">
        <f>IF(AG251="","-",IFERROR((AG251/AF251-1)*(AF251/AF$13),"-"))</f>
        <v>-</v>
      </c>
      <c r="BW251" s="987" t="str">
        <f>IF(AH251="","-",IFERROR((AH251/AG251-1)*(AG251/AG$13),"-"))</f>
        <v>-</v>
      </c>
      <c r="BX251" s="987" t="str">
        <f>IF(AI251="","-",IFERROR((AI251/AH251-1)*(AH251/AH$13),"-"))</f>
        <v>-</v>
      </c>
      <c r="BY251" s="989" t="str">
        <f>IF(AJ251="","-",IFERROR((AJ251/AI251-1)*(AI251/AI$13),"-"))</f>
        <v>-</v>
      </c>
      <c r="BZ251" s="951"/>
      <c r="CA251" s="984" t="str">
        <f t="shared" si="268"/>
        <v>Rev</v>
      </c>
      <c r="CB251" s="985" t="str">
        <f t="shared" si="269"/>
        <v>Waterways and Drainage</v>
      </c>
      <c r="CC251" s="985" t="str">
        <f t="shared" si="270"/>
        <v>Fixed</v>
      </c>
      <c r="CD251" s="990" t="str">
        <f t="shared" si="301"/>
        <v>-</v>
      </c>
      <c r="CE251" s="987" t="str">
        <f t="shared" si="294"/>
        <v>-</v>
      </c>
      <c r="CF251" s="987" t="str">
        <f t="shared" si="295"/>
        <v>-</v>
      </c>
      <c r="CG251" s="988" t="str">
        <f t="shared" si="296"/>
        <v>-</v>
      </c>
      <c r="CH251" s="987" t="str">
        <f t="shared" si="302"/>
        <v>-</v>
      </c>
      <c r="CI251" s="987" t="str">
        <f t="shared" si="297"/>
        <v>-</v>
      </c>
      <c r="CJ251" s="987" t="str">
        <f t="shared" si="298"/>
        <v>-</v>
      </c>
      <c r="CK251" s="989" t="str">
        <f t="shared" si="299"/>
        <v>-</v>
      </c>
    </row>
    <row r="252" spans="4:89">
      <c r="D252" s="63">
        <f>D249+1</f>
        <v>62</v>
      </c>
      <c r="E252" s="550" t="s">
        <v>857</v>
      </c>
      <c r="F252" s="595" t="s">
        <v>420</v>
      </c>
      <c r="G252" s="595" t="s">
        <v>904</v>
      </c>
      <c r="H252" s="595" t="s">
        <v>915</v>
      </c>
      <c r="I252" s="589" t="s">
        <v>842</v>
      </c>
      <c r="J252" s="589" t="s">
        <v>879</v>
      </c>
      <c r="K252" s="551"/>
      <c r="L252" s="552"/>
      <c r="M252" s="552"/>
      <c r="N252" s="551"/>
      <c r="O252" s="552"/>
      <c r="P252" s="552"/>
      <c r="Q252" s="552"/>
      <c r="R252" s="1035"/>
      <c r="S252" s="1138"/>
      <c r="T252" s="591"/>
      <c r="U252" s="1035"/>
      <c r="V252" s="1138"/>
      <c r="W252" s="591"/>
      <c r="X252" s="591"/>
      <c r="Y252" s="591"/>
      <c r="Z252" s="1035"/>
      <c r="AA252" s="1138"/>
      <c r="AB252" s="591"/>
      <c r="AC252" s="591"/>
      <c r="AD252" s="591"/>
      <c r="AE252" s="1035"/>
      <c r="AF252" s="1138"/>
      <c r="AG252" s="591"/>
      <c r="AH252" s="591"/>
      <c r="AI252" s="591"/>
      <c r="AJ252" s="1035"/>
      <c r="AK252" s="569"/>
      <c r="AL252" s="569"/>
      <c r="AM252" s="974"/>
      <c r="AN252" s="857"/>
      <c r="AO252" s="975" t="str">
        <f t="shared" si="272"/>
        <v>Price</v>
      </c>
      <c r="AP252" s="976" t="str">
        <f t="shared" si="273"/>
        <v>Waterways and Drainage</v>
      </c>
      <c r="AQ252" s="977" t="str">
        <f t="shared" si="274"/>
        <v>Fixed</v>
      </c>
      <c r="AR252" s="1341" t="str">
        <f t="shared" si="275"/>
        <v>-</v>
      </c>
      <c r="AS252" s="978" t="str">
        <f t="shared" si="276"/>
        <v>-</v>
      </c>
      <c r="AT252" s="979" t="str">
        <f t="shared" si="277"/>
        <v>-</v>
      </c>
      <c r="AU252" s="979" t="str">
        <f t="shared" si="278"/>
        <v>-</v>
      </c>
      <c r="AV252" s="1352" t="str">
        <f t="shared" si="279"/>
        <v>-</v>
      </c>
      <c r="AW252" s="1345" t="str">
        <f t="shared" si="280"/>
        <v>-</v>
      </c>
      <c r="AX252" s="979" t="str">
        <f t="shared" si="281"/>
        <v>-</v>
      </c>
      <c r="AY252" s="979" t="str">
        <f t="shared" si="282"/>
        <v>-</v>
      </c>
      <c r="AZ252" s="979" t="str">
        <f t="shared" si="283"/>
        <v>-</v>
      </c>
      <c r="BA252" s="980" t="str">
        <f t="shared" si="284"/>
        <v>-</v>
      </c>
      <c r="BB252" s="1345" t="str">
        <f t="shared" si="285"/>
        <v>-</v>
      </c>
      <c r="BC252" s="979" t="str">
        <f t="shared" si="286"/>
        <v>-</v>
      </c>
      <c r="BD252" s="979" t="str">
        <f t="shared" si="287"/>
        <v>-</v>
      </c>
      <c r="BE252" s="979" t="str">
        <f t="shared" si="288"/>
        <v>-</v>
      </c>
      <c r="BF252" s="981" t="str">
        <f t="shared" si="289"/>
        <v>-</v>
      </c>
      <c r="BG252" s="951"/>
      <c r="BH252" s="1547" t="str">
        <f t="shared" si="290"/>
        <v>Price</v>
      </c>
      <c r="BI252" s="1548" t="str">
        <f t="shared" si="291"/>
        <v>Waterways and Drainage</v>
      </c>
      <c r="BJ252" s="1549" t="str">
        <f t="shared" si="292"/>
        <v>Fixed</v>
      </c>
      <c r="BK252" s="978" t="str">
        <f t="shared" ref="BK252:BU252" si="374">IF(V252="","-",IFERROR((V252/U252-1)*(U254/U$13),"-"))</f>
        <v>-</v>
      </c>
      <c r="BL252" s="978" t="str">
        <f t="shared" si="374"/>
        <v>-</v>
      </c>
      <c r="BM252" s="979" t="str">
        <f t="shared" si="374"/>
        <v>-</v>
      </c>
      <c r="BN252" s="979" t="str">
        <f t="shared" si="374"/>
        <v>-</v>
      </c>
      <c r="BO252" s="1352" t="str">
        <f t="shared" si="374"/>
        <v>-</v>
      </c>
      <c r="BP252" s="1345" t="str">
        <f t="shared" si="374"/>
        <v>-</v>
      </c>
      <c r="BQ252" s="979" t="str">
        <f t="shared" si="374"/>
        <v>-</v>
      </c>
      <c r="BR252" s="979" t="str">
        <f t="shared" si="374"/>
        <v>-</v>
      </c>
      <c r="BS252" s="979" t="str">
        <f t="shared" si="374"/>
        <v>-</v>
      </c>
      <c r="BT252" s="980" t="str">
        <f t="shared" si="374"/>
        <v>-</v>
      </c>
      <c r="BU252" s="979" t="str">
        <f t="shared" si="374"/>
        <v>-</v>
      </c>
      <c r="BV252" s="979" t="str">
        <f>IF(AG252="","-",IFERROR((AG252/AF252-1)*(AF254/AF$13),"-"))</f>
        <v>-</v>
      </c>
      <c r="BW252" s="979" t="str">
        <f>IF(AH252="","-",IFERROR((AH252/AG252-1)*(AG254/AG$13),"-"))</f>
        <v>-</v>
      </c>
      <c r="BX252" s="979" t="str">
        <f>IF(AI252="","-",IFERROR((AI252/AH252-1)*(AH254/AH$13),"-"))</f>
        <v>-</v>
      </c>
      <c r="BY252" s="981" t="str">
        <f>IF(AJ252="","-",IFERROR((AJ252/AI252-1)*(AI254/AI$13),"-"))</f>
        <v>-</v>
      </c>
      <c r="BZ252" s="951"/>
      <c r="CA252" s="975" t="str">
        <f t="shared" si="268"/>
        <v>Price</v>
      </c>
      <c r="CB252" s="976" t="str">
        <f t="shared" si="269"/>
        <v>Waterways and Drainage</v>
      </c>
      <c r="CC252" s="982" t="str">
        <f t="shared" si="270"/>
        <v>Fixed</v>
      </c>
      <c r="CD252" s="983" t="str">
        <f t="shared" si="301"/>
        <v>-</v>
      </c>
      <c r="CE252" s="979" t="str">
        <f t="shared" si="294"/>
        <v>-</v>
      </c>
      <c r="CF252" s="979" t="str">
        <f t="shared" si="295"/>
        <v>-</v>
      </c>
      <c r="CG252" s="980" t="str">
        <f t="shared" si="296"/>
        <v>-</v>
      </c>
      <c r="CH252" s="979" t="str">
        <f t="shared" si="302"/>
        <v>-</v>
      </c>
      <c r="CI252" s="979" t="str">
        <f t="shared" si="297"/>
        <v>-</v>
      </c>
      <c r="CJ252" s="979" t="str">
        <f t="shared" si="298"/>
        <v>-</v>
      </c>
      <c r="CK252" s="981" t="str">
        <f t="shared" si="299"/>
        <v>-</v>
      </c>
    </row>
    <row r="253" spans="4:89">
      <c r="E253" s="567" t="s">
        <v>880</v>
      </c>
      <c r="F253" s="554" t="str">
        <f>+F252</f>
        <v>Waterways and Drainage</v>
      </c>
      <c r="G253" s="555" t="str">
        <f>+G252</f>
        <v>ALL</v>
      </c>
      <c r="H253" s="555" t="str">
        <f>+H252</f>
        <v>Koo Wee Rup Longwarry Flood Protection Disctrict average customer charge</v>
      </c>
      <c r="I253" s="556" t="str">
        <f>+I252</f>
        <v>Fixed</v>
      </c>
      <c r="J253" s="590" t="s">
        <v>906</v>
      </c>
      <c r="K253" s="557"/>
      <c r="L253" s="558"/>
      <c r="M253" s="558"/>
      <c r="N253" s="557"/>
      <c r="O253" s="558"/>
      <c r="P253" s="558"/>
      <c r="Q253" s="558"/>
      <c r="R253" s="1036"/>
      <c r="S253" s="1139"/>
      <c r="T253" s="593"/>
      <c r="U253" s="1036"/>
      <c r="V253" s="1139"/>
      <c r="W253" s="593"/>
      <c r="X253" s="593"/>
      <c r="Y253" s="593"/>
      <c r="Z253" s="1036"/>
      <c r="AA253" s="1139"/>
      <c r="AB253" s="593"/>
      <c r="AC253" s="593"/>
      <c r="AD253" s="593"/>
      <c r="AE253" s="1036"/>
      <c r="AF253" s="1139"/>
      <c r="AG253" s="593"/>
      <c r="AH253" s="593"/>
      <c r="AI253" s="593"/>
      <c r="AJ253" s="1036"/>
      <c r="AK253" s="569"/>
      <c r="AL253" s="569"/>
      <c r="AN253" s="857"/>
      <c r="AO253" s="961" t="str">
        <f t="shared" si="272"/>
        <v>Qty</v>
      </c>
      <c r="AP253" s="962" t="str">
        <f t="shared" si="273"/>
        <v>Waterways and Drainage</v>
      </c>
      <c r="AQ253" s="963" t="str">
        <f t="shared" si="274"/>
        <v>Fixed</v>
      </c>
      <c r="AR253" s="967" t="str">
        <f t="shared" si="275"/>
        <v>-</v>
      </c>
      <c r="AS253" s="964" t="str">
        <f t="shared" si="276"/>
        <v>-</v>
      </c>
      <c r="AT253" s="964" t="str">
        <f t="shared" si="277"/>
        <v>-</v>
      </c>
      <c r="AU253" s="964" t="str">
        <f t="shared" si="278"/>
        <v>-</v>
      </c>
      <c r="AV253" s="1350" t="str">
        <f t="shared" si="279"/>
        <v>-</v>
      </c>
      <c r="AW253" s="1343" t="str">
        <f t="shared" si="280"/>
        <v>-</v>
      </c>
      <c r="AX253" s="964" t="str">
        <f t="shared" si="281"/>
        <v>-</v>
      </c>
      <c r="AY253" s="964" t="str">
        <f t="shared" si="282"/>
        <v>-</v>
      </c>
      <c r="AZ253" s="964" t="str">
        <f t="shared" si="283"/>
        <v>-</v>
      </c>
      <c r="BA253" s="965" t="str">
        <f t="shared" si="284"/>
        <v>-</v>
      </c>
      <c r="BB253" s="1343" t="str">
        <f t="shared" si="285"/>
        <v>-</v>
      </c>
      <c r="BC253" s="964" t="str">
        <f t="shared" si="286"/>
        <v>-</v>
      </c>
      <c r="BD253" s="964" t="str">
        <f t="shared" si="287"/>
        <v>-</v>
      </c>
      <c r="BE253" s="964" t="str">
        <f t="shared" si="288"/>
        <v>-</v>
      </c>
      <c r="BF253" s="966" t="str">
        <f t="shared" si="289"/>
        <v>-</v>
      </c>
      <c r="BG253" s="951"/>
      <c r="BH253" s="1541" t="str">
        <f t="shared" si="290"/>
        <v>Qty</v>
      </c>
      <c r="BI253" s="1542" t="str">
        <f t="shared" si="291"/>
        <v>Waterways and Drainage</v>
      </c>
      <c r="BJ253" s="1543" t="str">
        <f t="shared" si="292"/>
        <v>Fixed</v>
      </c>
      <c r="BK253" s="964" t="str">
        <f t="shared" ref="BK253:BU253" si="375">IF(V253="","-",IFERROR((V253/U253-1)*(U254/U$13),"-"))</f>
        <v>-</v>
      </c>
      <c r="BL253" s="964" t="str">
        <f t="shared" si="375"/>
        <v>-</v>
      </c>
      <c r="BM253" s="964" t="str">
        <f t="shared" si="375"/>
        <v>-</v>
      </c>
      <c r="BN253" s="964" t="str">
        <f t="shared" si="375"/>
        <v>-</v>
      </c>
      <c r="BO253" s="1350" t="str">
        <f t="shared" si="375"/>
        <v>-</v>
      </c>
      <c r="BP253" s="1343" t="str">
        <f t="shared" si="375"/>
        <v>-</v>
      </c>
      <c r="BQ253" s="964" t="str">
        <f t="shared" si="375"/>
        <v>-</v>
      </c>
      <c r="BR253" s="964" t="str">
        <f t="shared" si="375"/>
        <v>-</v>
      </c>
      <c r="BS253" s="964" t="str">
        <f t="shared" si="375"/>
        <v>-</v>
      </c>
      <c r="BT253" s="965" t="str">
        <f t="shared" si="375"/>
        <v>-</v>
      </c>
      <c r="BU253" s="964" t="str">
        <f t="shared" si="375"/>
        <v>-</v>
      </c>
      <c r="BV253" s="964" t="str">
        <f>IF(AG253="","-",IFERROR((AG253/AF253-1)*(AF254/AF$13),"-"))</f>
        <v>-</v>
      </c>
      <c r="BW253" s="964" t="str">
        <f>IF(AH253="","-",IFERROR((AH253/AG253-1)*(AG254/AG$13),"-"))</f>
        <v>-</v>
      </c>
      <c r="BX253" s="964" t="str">
        <f>IF(AI253="","-",IFERROR((AI253/AH253-1)*(AH254/AH$13),"-"))</f>
        <v>-</v>
      </c>
      <c r="BY253" s="966" t="str">
        <f>IF(AJ253="","-",IFERROR((AJ253/AI253-1)*(AI254/AI$13),"-"))</f>
        <v>-</v>
      </c>
      <c r="BZ253" s="951"/>
      <c r="CA253" s="961" t="str">
        <f t="shared" si="268"/>
        <v>Qty</v>
      </c>
      <c r="CB253" s="962" t="str">
        <f t="shared" si="269"/>
        <v>Waterways and Drainage</v>
      </c>
      <c r="CC253" s="962" t="str">
        <f t="shared" si="270"/>
        <v>Fixed</v>
      </c>
      <c r="CD253" s="967" t="str">
        <f t="shared" si="301"/>
        <v>-</v>
      </c>
      <c r="CE253" s="964" t="str">
        <f t="shared" si="294"/>
        <v>-</v>
      </c>
      <c r="CF253" s="964" t="str">
        <f t="shared" si="295"/>
        <v>-</v>
      </c>
      <c r="CG253" s="965" t="str">
        <f t="shared" si="296"/>
        <v>-</v>
      </c>
      <c r="CH253" s="964" t="str">
        <f t="shared" si="302"/>
        <v>-</v>
      </c>
      <c r="CI253" s="964" t="str">
        <f t="shared" si="297"/>
        <v>-</v>
      </c>
      <c r="CJ253" s="964" t="str">
        <f t="shared" si="298"/>
        <v>-</v>
      </c>
      <c r="CK253" s="966" t="str">
        <f t="shared" si="299"/>
        <v>-</v>
      </c>
    </row>
    <row r="254" spans="4:89" ht="12.75" thickBot="1">
      <c r="E254" s="568" t="s">
        <v>882</v>
      </c>
      <c r="F254" s="560" t="str">
        <f>+F252</f>
        <v>Waterways and Drainage</v>
      </c>
      <c r="G254" s="561" t="str">
        <f>+G252</f>
        <v>ALL</v>
      </c>
      <c r="H254" s="561" t="str">
        <f>+H252</f>
        <v>Koo Wee Rup Longwarry Flood Protection Disctrict average customer charge</v>
      </c>
      <c r="I254" s="562" t="str">
        <f>+I252</f>
        <v>Fixed</v>
      </c>
      <c r="J254" s="563" t="s">
        <v>883</v>
      </c>
      <c r="K254" s="564">
        <f t="shared" ref="K254:AJ254" si="376">K252*K253/10^6</f>
        <v>0</v>
      </c>
      <c r="L254" s="565">
        <f t="shared" si="376"/>
        <v>0</v>
      </c>
      <c r="M254" s="565">
        <f t="shared" si="376"/>
        <v>0</v>
      </c>
      <c r="N254" s="564">
        <f t="shared" si="376"/>
        <v>0</v>
      </c>
      <c r="O254" s="565">
        <f t="shared" si="376"/>
        <v>0</v>
      </c>
      <c r="P254" s="565">
        <f t="shared" si="376"/>
        <v>0</v>
      </c>
      <c r="Q254" s="565">
        <f t="shared" si="376"/>
        <v>0</v>
      </c>
      <c r="R254" s="566">
        <f t="shared" si="376"/>
        <v>0</v>
      </c>
      <c r="S254" s="564">
        <f t="shared" si="376"/>
        <v>0</v>
      </c>
      <c r="T254" s="565">
        <f t="shared" si="376"/>
        <v>0</v>
      </c>
      <c r="U254" s="566">
        <f t="shared" si="376"/>
        <v>0</v>
      </c>
      <c r="V254" s="564">
        <f t="shared" si="376"/>
        <v>0</v>
      </c>
      <c r="W254" s="565">
        <f t="shared" si="376"/>
        <v>0</v>
      </c>
      <c r="X254" s="565">
        <f t="shared" si="376"/>
        <v>0</v>
      </c>
      <c r="Y254" s="565">
        <f t="shared" si="376"/>
        <v>0</v>
      </c>
      <c r="Z254" s="566">
        <f t="shared" si="376"/>
        <v>0</v>
      </c>
      <c r="AA254" s="564">
        <f t="shared" si="376"/>
        <v>0</v>
      </c>
      <c r="AB254" s="565">
        <f t="shared" si="376"/>
        <v>0</v>
      </c>
      <c r="AC254" s="565">
        <f t="shared" si="376"/>
        <v>0</v>
      </c>
      <c r="AD254" s="565">
        <f t="shared" si="376"/>
        <v>0</v>
      </c>
      <c r="AE254" s="566">
        <f t="shared" si="376"/>
        <v>0</v>
      </c>
      <c r="AF254" s="564">
        <f t="shared" si="376"/>
        <v>0</v>
      </c>
      <c r="AG254" s="565">
        <f t="shared" si="376"/>
        <v>0</v>
      </c>
      <c r="AH254" s="565">
        <f t="shared" si="376"/>
        <v>0</v>
      </c>
      <c r="AI254" s="565">
        <f t="shared" si="376"/>
        <v>0</v>
      </c>
      <c r="AJ254" s="566">
        <f t="shared" si="376"/>
        <v>0</v>
      </c>
      <c r="AK254" s="569"/>
      <c r="AL254" s="569"/>
      <c r="AN254" s="857"/>
      <c r="AO254" s="984" t="str">
        <f t="shared" si="272"/>
        <v>Rev</v>
      </c>
      <c r="AP254" s="985" t="str">
        <f t="shared" si="273"/>
        <v>Waterways and Drainage</v>
      </c>
      <c r="AQ254" s="986" t="str">
        <f t="shared" si="274"/>
        <v>Fixed</v>
      </c>
      <c r="AR254" s="990" t="str">
        <f t="shared" si="275"/>
        <v>-</v>
      </c>
      <c r="AS254" s="987" t="str">
        <f t="shared" si="276"/>
        <v>-</v>
      </c>
      <c r="AT254" s="987" t="str">
        <f t="shared" si="277"/>
        <v>-</v>
      </c>
      <c r="AU254" s="987" t="str">
        <f t="shared" si="278"/>
        <v>-</v>
      </c>
      <c r="AV254" s="1353" t="str">
        <f t="shared" si="279"/>
        <v>-</v>
      </c>
      <c r="AW254" s="1346" t="str">
        <f t="shared" si="280"/>
        <v>-</v>
      </c>
      <c r="AX254" s="987" t="str">
        <f t="shared" si="281"/>
        <v>-</v>
      </c>
      <c r="AY254" s="987" t="str">
        <f t="shared" si="282"/>
        <v>-</v>
      </c>
      <c r="AZ254" s="987" t="str">
        <f t="shared" si="283"/>
        <v>-</v>
      </c>
      <c r="BA254" s="988" t="str">
        <f t="shared" si="284"/>
        <v>-</v>
      </c>
      <c r="BB254" s="1346" t="str">
        <f t="shared" si="285"/>
        <v>-</v>
      </c>
      <c r="BC254" s="987" t="str">
        <f t="shared" si="286"/>
        <v>-</v>
      </c>
      <c r="BD254" s="987" t="str">
        <f t="shared" si="287"/>
        <v>-</v>
      </c>
      <c r="BE254" s="987" t="str">
        <f t="shared" si="288"/>
        <v>-</v>
      </c>
      <c r="BF254" s="989" t="str">
        <f t="shared" si="289"/>
        <v>-</v>
      </c>
      <c r="BG254" s="951"/>
      <c r="BH254" s="1550" t="str">
        <f t="shared" si="290"/>
        <v>Rev</v>
      </c>
      <c r="BI254" s="1551" t="str">
        <f t="shared" si="291"/>
        <v>Waterways and Drainage</v>
      </c>
      <c r="BJ254" s="1552" t="str">
        <f t="shared" si="292"/>
        <v>Fixed</v>
      </c>
      <c r="BK254" s="987" t="str">
        <f t="shared" ref="BK254:BU254" si="377">IF(V254="","-",IFERROR((V254/U254-1)*(U254/U$13),"-"))</f>
        <v>-</v>
      </c>
      <c r="BL254" s="987" t="str">
        <f t="shared" si="377"/>
        <v>-</v>
      </c>
      <c r="BM254" s="987" t="str">
        <f t="shared" si="377"/>
        <v>-</v>
      </c>
      <c r="BN254" s="987" t="str">
        <f t="shared" si="377"/>
        <v>-</v>
      </c>
      <c r="BO254" s="1353" t="str">
        <f t="shared" si="377"/>
        <v>-</v>
      </c>
      <c r="BP254" s="1346" t="str">
        <f t="shared" si="377"/>
        <v>-</v>
      </c>
      <c r="BQ254" s="987" t="str">
        <f t="shared" si="377"/>
        <v>-</v>
      </c>
      <c r="BR254" s="987" t="str">
        <f t="shared" si="377"/>
        <v>-</v>
      </c>
      <c r="BS254" s="987" t="str">
        <f t="shared" si="377"/>
        <v>-</v>
      </c>
      <c r="BT254" s="988" t="str">
        <f t="shared" si="377"/>
        <v>-</v>
      </c>
      <c r="BU254" s="987" t="str">
        <f t="shared" si="377"/>
        <v>-</v>
      </c>
      <c r="BV254" s="987" t="str">
        <f>IF(AG254="","-",IFERROR((AG254/AF254-1)*(AF254/AF$13),"-"))</f>
        <v>-</v>
      </c>
      <c r="BW254" s="987" t="str">
        <f>IF(AH254="","-",IFERROR((AH254/AG254-1)*(AG254/AG$13),"-"))</f>
        <v>-</v>
      </c>
      <c r="BX254" s="987" t="str">
        <f>IF(AI254="","-",IFERROR((AI254/AH254-1)*(AH254/AH$13),"-"))</f>
        <v>-</v>
      </c>
      <c r="BY254" s="989" t="str">
        <f>IF(AJ254="","-",IFERROR((AJ254/AI254-1)*(AI254/AI$13),"-"))</f>
        <v>-</v>
      </c>
      <c r="BZ254" s="951"/>
      <c r="CA254" s="984" t="str">
        <f t="shared" si="268"/>
        <v>Rev</v>
      </c>
      <c r="CB254" s="985" t="str">
        <f t="shared" si="269"/>
        <v>Waterways and Drainage</v>
      </c>
      <c r="CC254" s="985" t="str">
        <f t="shared" si="270"/>
        <v>Fixed</v>
      </c>
      <c r="CD254" s="990" t="str">
        <f t="shared" si="301"/>
        <v>-</v>
      </c>
      <c r="CE254" s="987" t="str">
        <f t="shared" si="294"/>
        <v>-</v>
      </c>
      <c r="CF254" s="987" t="str">
        <f t="shared" si="295"/>
        <v>-</v>
      </c>
      <c r="CG254" s="988" t="str">
        <f t="shared" si="296"/>
        <v>-</v>
      </c>
      <c r="CH254" s="987" t="str">
        <f t="shared" si="302"/>
        <v>-</v>
      </c>
      <c r="CI254" s="987" t="str">
        <f t="shared" si="297"/>
        <v>-</v>
      </c>
      <c r="CJ254" s="987" t="str">
        <f t="shared" si="298"/>
        <v>-</v>
      </c>
      <c r="CK254" s="989" t="str">
        <f t="shared" si="299"/>
        <v>-</v>
      </c>
    </row>
    <row r="255" spans="4:89">
      <c r="D255" s="63">
        <f>D252+1</f>
        <v>63</v>
      </c>
      <c r="E255" s="550" t="s">
        <v>857</v>
      </c>
      <c r="F255" s="595" t="s">
        <v>401</v>
      </c>
      <c r="G255" s="595" t="s">
        <v>877</v>
      </c>
      <c r="H255" s="595" t="s">
        <v>515</v>
      </c>
      <c r="I255" s="589" t="s">
        <v>843</v>
      </c>
      <c r="J255" s="589" t="s">
        <v>879</v>
      </c>
      <c r="K255" s="551"/>
      <c r="L255" s="552"/>
      <c r="M255" s="552"/>
      <c r="N255" s="551"/>
      <c r="O255" s="552"/>
      <c r="P255" s="552"/>
      <c r="Q255" s="552"/>
      <c r="R255" s="1035"/>
      <c r="S255" s="1138"/>
      <c r="T255" s="591"/>
      <c r="U255" s="1035"/>
      <c r="V255" s="1138"/>
      <c r="W255" s="591"/>
      <c r="X255" s="591"/>
      <c r="Y255" s="591"/>
      <c r="Z255" s="1035"/>
      <c r="AA255" s="1138"/>
      <c r="AB255" s="591"/>
      <c r="AC255" s="591"/>
      <c r="AD255" s="591"/>
      <c r="AE255" s="1035"/>
      <c r="AF255" s="1138"/>
      <c r="AG255" s="591"/>
      <c r="AH255" s="591"/>
      <c r="AI255" s="591"/>
      <c r="AJ255" s="1035"/>
      <c r="AK255" s="569"/>
      <c r="AL255" s="569"/>
      <c r="AM255" s="974"/>
      <c r="AN255" s="857"/>
      <c r="AO255" s="975" t="str">
        <f t="shared" si="272"/>
        <v>Price</v>
      </c>
      <c r="AP255" s="976" t="str">
        <f t="shared" si="273"/>
        <v>Water</v>
      </c>
      <c r="AQ255" s="977" t="str">
        <f t="shared" si="274"/>
        <v>Variable</v>
      </c>
      <c r="AR255" s="1341" t="str">
        <f t="shared" si="275"/>
        <v>-</v>
      </c>
      <c r="AS255" s="978" t="str">
        <f t="shared" si="276"/>
        <v>-</v>
      </c>
      <c r="AT255" s="979" t="str">
        <f t="shared" si="277"/>
        <v>-</v>
      </c>
      <c r="AU255" s="979" t="str">
        <f t="shared" si="278"/>
        <v>-</v>
      </c>
      <c r="AV255" s="1352" t="str">
        <f t="shared" si="279"/>
        <v>-</v>
      </c>
      <c r="AW255" s="1345" t="str">
        <f t="shared" si="280"/>
        <v>-</v>
      </c>
      <c r="AX255" s="979" t="str">
        <f t="shared" si="281"/>
        <v>-</v>
      </c>
      <c r="AY255" s="979" t="str">
        <f t="shared" si="282"/>
        <v>-</v>
      </c>
      <c r="AZ255" s="979" t="str">
        <f t="shared" si="283"/>
        <v>-</v>
      </c>
      <c r="BA255" s="980" t="str">
        <f t="shared" si="284"/>
        <v>-</v>
      </c>
      <c r="BB255" s="1345" t="str">
        <f t="shared" si="285"/>
        <v>-</v>
      </c>
      <c r="BC255" s="979" t="str">
        <f t="shared" si="286"/>
        <v>-</v>
      </c>
      <c r="BD255" s="979" t="str">
        <f t="shared" si="287"/>
        <v>-</v>
      </c>
      <c r="BE255" s="979" t="str">
        <f t="shared" si="288"/>
        <v>-</v>
      </c>
      <c r="BF255" s="981" t="str">
        <f t="shared" si="289"/>
        <v>-</v>
      </c>
      <c r="BG255" s="951"/>
      <c r="BH255" s="1547" t="str">
        <f t="shared" si="290"/>
        <v>Price</v>
      </c>
      <c r="BI255" s="1548" t="str">
        <f t="shared" si="291"/>
        <v>Water</v>
      </c>
      <c r="BJ255" s="1549" t="str">
        <f t="shared" si="292"/>
        <v>Variable</v>
      </c>
      <c r="BK255" s="978" t="str">
        <f t="shared" ref="BK255:BU255" si="378">IF(V255="","-",IFERROR((V255/U255-1)*(U257/U$13),"-"))</f>
        <v>-</v>
      </c>
      <c r="BL255" s="978" t="str">
        <f t="shared" si="378"/>
        <v>-</v>
      </c>
      <c r="BM255" s="979" t="str">
        <f t="shared" si="378"/>
        <v>-</v>
      </c>
      <c r="BN255" s="979" t="str">
        <f t="shared" si="378"/>
        <v>-</v>
      </c>
      <c r="BO255" s="1352" t="str">
        <f t="shared" si="378"/>
        <v>-</v>
      </c>
      <c r="BP255" s="1345" t="str">
        <f t="shared" si="378"/>
        <v>-</v>
      </c>
      <c r="BQ255" s="979" t="str">
        <f t="shared" si="378"/>
        <v>-</v>
      </c>
      <c r="BR255" s="979" t="str">
        <f t="shared" si="378"/>
        <v>-</v>
      </c>
      <c r="BS255" s="979" t="str">
        <f t="shared" si="378"/>
        <v>-</v>
      </c>
      <c r="BT255" s="980" t="str">
        <f t="shared" si="378"/>
        <v>-</v>
      </c>
      <c r="BU255" s="979" t="str">
        <f t="shared" si="378"/>
        <v>-</v>
      </c>
      <c r="BV255" s="979" t="str">
        <f>IF(AG255="","-",IFERROR((AG255/AF255-1)*(AF257/AF$13),"-"))</f>
        <v>-</v>
      </c>
      <c r="BW255" s="979" t="str">
        <f>IF(AH255="","-",IFERROR((AH255/AG255-1)*(AG257/AG$13),"-"))</f>
        <v>-</v>
      </c>
      <c r="BX255" s="979" t="str">
        <f>IF(AI255="","-",IFERROR((AI255/AH255-1)*(AH257/AH$13),"-"))</f>
        <v>-</v>
      </c>
      <c r="BY255" s="981" t="str">
        <f>IF(AJ255="","-",IFERROR((AJ255/AI255-1)*(AI257/AI$13),"-"))</f>
        <v>-</v>
      </c>
      <c r="BZ255" s="951"/>
      <c r="CA255" s="975" t="str">
        <f t="shared" si="268"/>
        <v>Price</v>
      </c>
      <c r="CB255" s="976" t="str">
        <f t="shared" si="269"/>
        <v>Water</v>
      </c>
      <c r="CC255" s="982" t="str">
        <f t="shared" si="270"/>
        <v>Variable</v>
      </c>
      <c r="CD255" s="983" t="str">
        <f t="shared" si="301"/>
        <v>-</v>
      </c>
      <c r="CE255" s="979" t="str">
        <f t="shared" si="294"/>
        <v>-</v>
      </c>
      <c r="CF255" s="979" t="str">
        <f t="shared" si="295"/>
        <v>-</v>
      </c>
      <c r="CG255" s="980" t="str">
        <f t="shared" si="296"/>
        <v>-</v>
      </c>
      <c r="CH255" s="979" t="str">
        <f t="shared" si="302"/>
        <v>-</v>
      </c>
      <c r="CI255" s="979" t="str">
        <f t="shared" si="297"/>
        <v>-</v>
      </c>
      <c r="CJ255" s="979" t="str">
        <f t="shared" si="298"/>
        <v>-</v>
      </c>
      <c r="CK255" s="981" t="str">
        <f t="shared" si="299"/>
        <v>-</v>
      </c>
    </row>
    <row r="256" spans="4:89">
      <c r="E256" s="567" t="s">
        <v>880</v>
      </c>
      <c r="F256" s="554" t="str">
        <f>+F255</f>
        <v>Water</v>
      </c>
      <c r="G256" s="555" t="str">
        <f>+G255</f>
        <v>GWW</v>
      </c>
      <c r="H256" s="555" t="str">
        <f>+H255</f>
        <v>Headworks</v>
      </c>
      <c r="I256" s="556" t="str">
        <f>+I255</f>
        <v>Variable</v>
      </c>
      <c r="J256" s="590" t="s">
        <v>887</v>
      </c>
      <c r="K256" s="557"/>
      <c r="L256" s="558"/>
      <c r="M256" s="558"/>
      <c r="N256" s="557"/>
      <c r="O256" s="558"/>
      <c r="P256" s="558"/>
      <c r="Q256" s="558"/>
      <c r="R256" s="1036"/>
      <c r="S256" s="1139"/>
      <c r="T256" s="593"/>
      <c r="U256" s="1036"/>
      <c r="V256" s="1139"/>
      <c r="W256" s="593"/>
      <c r="X256" s="593"/>
      <c r="Y256" s="593"/>
      <c r="Z256" s="1036"/>
      <c r="AA256" s="1139"/>
      <c r="AB256" s="593"/>
      <c r="AC256" s="593"/>
      <c r="AD256" s="593"/>
      <c r="AE256" s="1036"/>
      <c r="AF256" s="1139"/>
      <c r="AG256" s="593"/>
      <c r="AH256" s="593"/>
      <c r="AI256" s="593"/>
      <c r="AJ256" s="1036"/>
      <c r="AK256" s="569"/>
      <c r="AL256" s="569"/>
      <c r="AN256" s="857"/>
      <c r="AO256" s="961" t="str">
        <f t="shared" si="272"/>
        <v>Qty</v>
      </c>
      <c r="AP256" s="962" t="str">
        <f t="shared" si="273"/>
        <v>Water</v>
      </c>
      <c r="AQ256" s="963" t="str">
        <f t="shared" si="274"/>
        <v>Variable</v>
      </c>
      <c r="AR256" s="967" t="str">
        <f t="shared" si="275"/>
        <v>-</v>
      </c>
      <c r="AS256" s="964" t="str">
        <f t="shared" si="276"/>
        <v>-</v>
      </c>
      <c r="AT256" s="964" t="str">
        <f t="shared" si="277"/>
        <v>-</v>
      </c>
      <c r="AU256" s="964" t="str">
        <f t="shared" si="278"/>
        <v>-</v>
      </c>
      <c r="AV256" s="1350" t="str">
        <f t="shared" si="279"/>
        <v>-</v>
      </c>
      <c r="AW256" s="1343" t="str">
        <f t="shared" si="280"/>
        <v>-</v>
      </c>
      <c r="AX256" s="964" t="str">
        <f t="shared" si="281"/>
        <v>-</v>
      </c>
      <c r="AY256" s="964" t="str">
        <f t="shared" si="282"/>
        <v>-</v>
      </c>
      <c r="AZ256" s="964" t="str">
        <f t="shared" si="283"/>
        <v>-</v>
      </c>
      <c r="BA256" s="965" t="str">
        <f t="shared" si="284"/>
        <v>-</v>
      </c>
      <c r="BB256" s="1343" t="str">
        <f t="shared" si="285"/>
        <v>-</v>
      </c>
      <c r="BC256" s="964" t="str">
        <f t="shared" si="286"/>
        <v>-</v>
      </c>
      <c r="BD256" s="964" t="str">
        <f t="shared" si="287"/>
        <v>-</v>
      </c>
      <c r="BE256" s="964" t="str">
        <f t="shared" si="288"/>
        <v>-</v>
      </c>
      <c r="BF256" s="966" t="str">
        <f t="shared" si="289"/>
        <v>-</v>
      </c>
      <c r="BG256" s="951"/>
      <c r="BH256" s="1541" t="str">
        <f t="shared" si="290"/>
        <v>Qty</v>
      </c>
      <c r="BI256" s="1542" t="str">
        <f t="shared" si="291"/>
        <v>Water</v>
      </c>
      <c r="BJ256" s="1543" t="str">
        <f t="shared" si="292"/>
        <v>Variable</v>
      </c>
      <c r="BK256" s="964" t="str">
        <f t="shared" ref="BK256:BU256" si="379">IF(V256="","-",IFERROR((V256/U256-1)*(U257/U$13),"-"))</f>
        <v>-</v>
      </c>
      <c r="BL256" s="964" t="str">
        <f t="shared" si="379"/>
        <v>-</v>
      </c>
      <c r="BM256" s="964" t="str">
        <f t="shared" si="379"/>
        <v>-</v>
      </c>
      <c r="BN256" s="964" t="str">
        <f t="shared" si="379"/>
        <v>-</v>
      </c>
      <c r="BO256" s="1350" t="str">
        <f t="shared" si="379"/>
        <v>-</v>
      </c>
      <c r="BP256" s="1343" t="str">
        <f t="shared" si="379"/>
        <v>-</v>
      </c>
      <c r="BQ256" s="964" t="str">
        <f t="shared" si="379"/>
        <v>-</v>
      </c>
      <c r="BR256" s="964" t="str">
        <f t="shared" si="379"/>
        <v>-</v>
      </c>
      <c r="BS256" s="964" t="str">
        <f t="shared" si="379"/>
        <v>-</v>
      </c>
      <c r="BT256" s="965" t="str">
        <f t="shared" si="379"/>
        <v>-</v>
      </c>
      <c r="BU256" s="964" t="str">
        <f t="shared" si="379"/>
        <v>-</v>
      </c>
      <c r="BV256" s="964" t="str">
        <f>IF(AG256="","-",IFERROR((AG256/AF256-1)*(AF257/AF$13),"-"))</f>
        <v>-</v>
      </c>
      <c r="BW256" s="964" t="str">
        <f>IF(AH256="","-",IFERROR((AH256/AG256-1)*(AG257/AG$13),"-"))</f>
        <v>-</v>
      </c>
      <c r="BX256" s="964" t="str">
        <f>IF(AI256="","-",IFERROR((AI256/AH256-1)*(AH257/AH$13),"-"))</f>
        <v>-</v>
      </c>
      <c r="BY256" s="966" t="str">
        <f>IF(AJ256="","-",IFERROR((AJ256/AI256-1)*(AI257/AI$13),"-"))</f>
        <v>-</v>
      </c>
      <c r="BZ256" s="951"/>
      <c r="CA256" s="961" t="str">
        <f t="shared" si="268"/>
        <v>Qty</v>
      </c>
      <c r="CB256" s="962" t="str">
        <f t="shared" si="269"/>
        <v>Water</v>
      </c>
      <c r="CC256" s="962" t="str">
        <f t="shared" si="270"/>
        <v>Variable</v>
      </c>
      <c r="CD256" s="967" t="str">
        <f t="shared" si="301"/>
        <v>-</v>
      </c>
      <c r="CE256" s="964" t="str">
        <f t="shared" si="294"/>
        <v>-</v>
      </c>
      <c r="CF256" s="964" t="str">
        <f t="shared" si="295"/>
        <v>-</v>
      </c>
      <c r="CG256" s="965" t="str">
        <f t="shared" si="296"/>
        <v>-</v>
      </c>
      <c r="CH256" s="964" t="str">
        <f t="shared" si="302"/>
        <v>-</v>
      </c>
      <c r="CI256" s="964" t="str">
        <f t="shared" si="297"/>
        <v>-</v>
      </c>
      <c r="CJ256" s="964" t="str">
        <f t="shared" si="298"/>
        <v>-</v>
      </c>
      <c r="CK256" s="966" t="str">
        <f t="shared" si="299"/>
        <v>-</v>
      </c>
    </row>
    <row r="257" spans="4:89" ht="12.75" thickBot="1">
      <c r="E257" s="568" t="s">
        <v>882</v>
      </c>
      <c r="F257" s="560" t="str">
        <f>+F255</f>
        <v>Water</v>
      </c>
      <c r="G257" s="561" t="str">
        <f>+G255</f>
        <v>GWW</v>
      </c>
      <c r="H257" s="561" t="str">
        <f>+H255</f>
        <v>Headworks</v>
      </c>
      <c r="I257" s="562" t="str">
        <f>+I255</f>
        <v>Variable</v>
      </c>
      <c r="J257" s="563" t="s">
        <v>883</v>
      </c>
      <c r="K257" s="564">
        <f t="shared" ref="K257:AJ257" si="380">K255*K256/10^6</f>
        <v>0</v>
      </c>
      <c r="L257" s="565">
        <f t="shared" si="380"/>
        <v>0</v>
      </c>
      <c r="M257" s="565">
        <f t="shared" si="380"/>
        <v>0</v>
      </c>
      <c r="N257" s="564">
        <f t="shared" si="380"/>
        <v>0</v>
      </c>
      <c r="O257" s="565">
        <f t="shared" si="380"/>
        <v>0</v>
      </c>
      <c r="P257" s="565">
        <f t="shared" si="380"/>
        <v>0</v>
      </c>
      <c r="Q257" s="565">
        <f t="shared" si="380"/>
        <v>0</v>
      </c>
      <c r="R257" s="566">
        <f t="shared" si="380"/>
        <v>0</v>
      </c>
      <c r="S257" s="564">
        <f t="shared" si="380"/>
        <v>0</v>
      </c>
      <c r="T257" s="565">
        <f t="shared" si="380"/>
        <v>0</v>
      </c>
      <c r="U257" s="566">
        <f t="shared" si="380"/>
        <v>0</v>
      </c>
      <c r="V257" s="564">
        <f t="shared" si="380"/>
        <v>0</v>
      </c>
      <c r="W257" s="565">
        <f t="shared" si="380"/>
        <v>0</v>
      </c>
      <c r="X257" s="565">
        <f t="shared" si="380"/>
        <v>0</v>
      </c>
      <c r="Y257" s="565">
        <f t="shared" si="380"/>
        <v>0</v>
      </c>
      <c r="Z257" s="566">
        <f t="shared" si="380"/>
        <v>0</v>
      </c>
      <c r="AA257" s="564">
        <f t="shared" si="380"/>
        <v>0</v>
      </c>
      <c r="AB257" s="565">
        <f t="shared" si="380"/>
        <v>0</v>
      </c>
      <c r="AC257" s="565">
        <f t="shared" si="380"/>
        <v>0</v>
      </c>
      <c r="AD257" s="565">
        <f t="shared" si="380"/>
        <v>0</v>
      </c>
      <c r="AE257" s="566">
        <f t="shared" si="380"/>
        <v>0</v>
      </c>
      <c r="AF257" s="564">
        <f t="shared" si="380"/>
        <v>0</v>
      </c>
      <c r="AG257" s="565">
        <f t="shared" si="380"/>
        <v>0</v>
      </c>
      <c r="AH257" s="565">
        <f t="shared" si="380"/>
        <v>0</v>
      </c>
      <c r="AI257" s="565">
        <f t="shared" si="380"/>
        <v>0</v>
      </c>
      <c r="AJ257" s="566">
        <f t="shared" si="380"/>
        <v>0</v>
      </c>
      <c r="AK257" s="569"/>
      <c r="AL257" s="569"/>
      <c r="AN257" s="857"/>
      <c r="AO257" s="984" t="str">
        <f t="shared" si="272"/>
        <v>Rev</v>
      </c>
      <c r="AP257" s="985" t="str">
        <f t="shared" si="273"/>
        <v>Water</v>
      </c>
      <c r="AQ257" s="986" t="str">
        <f t="shared" si="274"/>
        <v>Variable</v>
      </c>
      <c r="AR257" s="990" t="str">
        <f t="shared" si="275"/>
        <v>-</v>
      </c>
      <c r="AS257" s="987" t="str">
        <f t="shared" si="276"/>
        <v>-</v>
      </c>
      <c r="AT257" s="987" t="str">
        <f t="shared" si="277"/>
        <v>-</v>
      </c>
      <c r="AU257" s="987" t="str">
        <f t="shared" si="278"/>
        <v>-</v>
      </c>
      <c r="AV257" s="1353" t="str">
        <f t="shared" si="279"/>
        <v>-</v>
      </c>
      <c r="AW257" s="1346" t="str">
        <f t="shared" si="280"/>
        <v>-</v>
      </c>
      <c r="AX257" s="987" t="str">
        <f t="shared" si="281"/>
        <v>-</v>
      </c>
      <c r="AY257" s="987" t="str">
        <f t="shared" si="282"/>
        <v>-</v>
      </c>
      <c r="AZ257" s="987" t="str">
        <f t="shared" si="283"/>
        <v>-</v>
      </c>
      <c r="BA257" s="988" t="str">
        <f t="shared" si="284"/>
        <v>-</v>
      </c>
      <c r="BB257" s="1346" t="str">
        <f t="shared" si="285"/>
        <v>-</v>
      </c>
      <c r="BC257" s="987" t="str">
        <f t="shared" si="286"/>
        <v>-</v>
      </c>
      <c r="BD257" s="987" t="str">
        <f t="shared" si="287"/>
        <v>-</v>
      </c>
      <c r="BE257" s="987" t="str">
        <f t="shared" si="288"/>
        <v>-</v>
      </c>
      <c r="BF257" s="989" t="str">
        <f t="shared" si="289"/>
        <v>-</v>
      </c>
      <c r="BG257" s="951"/>
      <c r="BH257" s="1550" t="str">
        <f t="shared" si="290"/>
        <v>Rev</v>
      </c>
      <c r="BI257" s="1551" t="str">
        <f t="shared" si="291"/>
        <v>Water</v>
      </c>
      <c r="BJ257" s="1552" t="str">
        <f t="shared" si="292"/>
        <v>Variable</v>
      </c>
      <c r="BK257" s="987" t="str">
        <f t="shared" ref="BK257:BU257" si="381">IF(V257="","-",IFERROR((V257/U257-1)*(U257/U$13),"-"))</f>
        <v>-</v>
      </c>
      <c r="BL257" s="987" t="str">
        <f t="shared" si="381"/>
        <v>-</v>
      </c>
      <c r="BM257" s="987" t="str">
        <f t="shared" si="381"/>
        <v>-</v>
      </c>
      <c r="BN257" s="987" t="str">
        <f t="shared" si="381"/>
        <v>-</v>
      </c>
      <c r="BO257" s="1353" t="str">
        <f t="shared" si="381"/>
        <v>-</v>
      </c>
      <c r="BP257" s="1346" t="str">
        <f t="shared" si="381"/>
        <v>-</v>
      </c>
      <c r="BQ257" s="987" t="str">
        <f t="shared" si="381"/>
        <v>-</v>
      </c>
      <c r="BR257" s="987" t="str">
        <f t="shared" si="381"/>
        <v>-</v>
      </c>
      <c r="BS257" s="987" t="str">
        <f t="shared" si="381"/>
        <v>-</v>
      </c>
      <c r="BT257" s="988" t="str">
        <f t="shared" si="381"/>
        <v>-</v>
      </c>
      <c r="BU257" s="987" t="str">
        <f t="shared" si="381"/>
        <v>-</v>
      </c>
      <c r="BV257" s="987" t="str">
        <f>IF(AG257="","-",IFERROR((AG257/AF257-1)*(AF257/AF$13),"-"))</f>
        <v>-</v>
      </c>
      <c r="BW257" s="987" t="str">
        <f>IF(AH257="","-",IFERROR((AH257/AG257-1)*(AG257/AG$13),"-"))</f>
        <v>-</v>
      </c>
      <c r="BX257" s="987" t="str">
        <f>IF(AI257="","-",IFERROR((AI257/AH257-1)*(AH257/AH$13),"-"))</f>
        <v>-</v>
      </c>
      <c r="BY257" s="989" t="str">
        <f>IF(AJ257="","-",IFERROR((AJ257/AI257-1)*(AI257/AI$13),"-"))</f>
        <v>-</v>
      </c>
      <c r="BZ257" s="951"/>
      <c r="CA257" s="984" t="str">
        <f t="shared" si="268"/>
        <v>Rev</v>
      </c>
      <c r="CB257" s="985" t="str">
        <f t="shared" si="269"/>
        <v>Water</v>
      </c>
      <c r="CC257" s="985" t="str">
        <f t="shared" si="270"/>
        <v>Variable</v>
      </c>
      <c r="CD257" s="990" t="str">
        <f t="shared" si="301"/>
        <v>-</v>
      </c>
      <c r="CE257" s="987" t="str">
        <f t="shared" si="294"/>
        <v>-</v>
      </c>
      <c r="CF257" s="987" t="str">
        <f t="shared" si="295"/>
        <v>-</v>
      </c>
      <c r="CG257" s="988" t="str">
        <f t="shared" si="296"/>
        <v>-</v>
      </c>
      <c r="CH257" s="987" t="str">
        <f t="shared" si="302"/>
        <v>-</v>
      </c>
      <c r="CI257" s="987" t="str">
        <f t="shared" si="297"/>
        <v>-</v>
      </c>
      <c r="CJ257" s="987" t="str">
        <f t="shared" si="298"/>
        <v>-</v>
      </c>
      <c r="CK257" s="989" t="str">
        <f t="shared" si="299"/>
        <v>-</v>
      </c>
    </row>
    <row r="258" spans="4:89">
      <c r="D258" s="63">
        <f>D255+1</f>
        <v>64</v>
      </c>
      <c r="E258" s="550" t="s">
        <v>857</v>
      </c>
      <c r="F258" s="595" t="s">
        <v>401</v>
      </c>
      <c r="G258" s="595" t="s">
        <v>92</v>
      </c>
      <c r="H258" s="595" t="s">
        <v>515</v>
      </c>
      <c r="I258" s="589" t="s">
        <v>843</v>
      </c>
      <c r="J258" s="589" t="s">
        <v>879</v>
      </c>
      <c r="K258" s="551"/>
      <c r="L258" s="552"/>
      <c r="M258" s="552"/>
      <c r="N258" s="551"/>
      <c r="O258" s="552"/>
      <c r="P258" s="552"/>
      <c r="Q258" s="552"/>
      <c r="R258" s="1035"/>
      <c r="S258" s="1138"/>
      <c r="T258" s="591"/>
      <c r="U258" s="1035"/>
      <c r="V258" s="1138"/>
      <c r="W258" s="591"/>
      <c r="X258" s="591"/>
      <c r="Y258" s="591"/>
      <c r="Z258" s="1035"/>
      <c r="AA258" s="1138"/>
      <c r="AB258" s="591"/>
      <c r="AC258" s="591"/>
      <c r="AD258" s="591"/>
      <c r="AE258" s="1035"/>
      <c r="AF258" s="1138"/>
      <c r="AG258" s="591"/>
      <c r="AH258" s="591"/>
      <c r="AI258" s="591"/>
      <c r="AJ258" s="1035"/>
      <c r="AK258" s="569"/>
      <c r="AL258" s="569"/>
      <c r="AM258" s="974"/>
      <c r="AN258" s="857"/>
      <c r="AO258" s="975" t="str">
        <f t="shared" si="272"/>
        <v>Price</v>
      </c>
      <c r="AP258" s="976" t="str">
        <f t="shared" si="273"/>
        <v>Water</v>
      </c>
      <c r="AQ258" s="977" t="str">
        <f t="shared" si="274"/>
        <v>Variable</v>
      </c>
      <c r="AR258" s="1341" t="str">
        <f t="shared" si="275"/>
        <v>-</v>
      </c>
      <c r="AS258" s="978" t="str">
        <f t="shared" si="276"/>
        <v>-</v>
      </c>
      <c r="AT258" s="979" t="str">
        <f t="shared" si="277"/>
        <v>-</v>
      </c>
      <c r="AU258" s="979" t="str">
        <f t="shared" si="278"/>
        <v>-</v>
      </c>
      <c r="AV258" s="1352" t="str">
        <f t="shared" si="279"/>
        <v>-</v>
      </c>
      <c r="AW258" s="1345" t="str">
        <f t="shared" si="280"/>
        <v>-</v>
      </c>
      <c r="AX258" s="979" t="str">
        <f t="shared" si="281"/>
        <v>-</v>
      </c>
      <c r="AY258" s="979" t="str">
        <f t="shared" si="282"/>
        <v>-</v>
      </c>
      <c r="AZ258" s="979" t="str">
        <f t="shared" si="283"/>
        <v>-</v>
      </c>
      <c r="BA258" s="980" t="str">
        <f t="shared" si="284"/>
        <v>-</v>
      </c>
      <c r="BB258" s="1345" t="str">
        <f t="shared" si="285"/>
        <v>-</v>
      </c>
      <c r="BC258" s="979" t="str">
        <f t="shared" si="286"/>
        <v>-</v>
      </c>
      <c r="BD258" s="979" t="str">
        <f t="shared" si="287"/>
        <v>-</v>
      </c>
      <c r="BE258" s="979" t="str">
        <f t="shared" si="288"/>
        <v>-</v>
      </c>
      <c r="BF258" s="981" t="str">
        <f t="shared" si="289"/>
        <v>-</v>
      </c>
      <c r="BG258" s="951"/>
      <c r="BH258" s="1547" t="str">
        <f t="shared" si="290"/>
        <v>Price</v>
      </c>
      <c r="BI258" s="1548" t="str">
        <f t="shared" si="291"/>
        <v>Water</v>
      </c>
      <c r="BJ258" s="1549" t="str">
        <f t="shared" si="292"/>
        <v>Variable</v>
      </c>
      <c r="BK258" s="978" t="str">
        <f t="shared" ref="BK258:BU258" si="382">IF(V258="","-",IFERROR((V258/U258-1)*(U260/U$13),"-"))</f>
        <v>-</v>
      </c>
      <c r="BL258" s="978" t="str">
        <f t="shared" si="382"/>
        <v>-</v>
      </c>
      <c r="BM258" s="979" t="str">
        <f t="shared" si="382"/>
        <v>-</v>
      </c>
      <c r="BN258" s="979" t="str">
        <f t="shared" si="382"/>
        <v>-</v>
      </c>
      <c r="BO258" s="1352" t="str">
        <f t="shared" si="382"/>
        <v>-</v>
      </c>
      <c r="BP258" s="1345" t="str">
        <f t="shared" si="382"/>
        <v>-</v>
      </c>
      <c r="BQ258" s="979" t="str">
        <f t="shared" si="382"/>
        <v>-</v>
      </c>
      <c r="BR258" s="979" t="str">
        <f t="shared" si="382"/>
        <v>-</v>
      </c>
      <c r="BS258" s="979" t="str">
        <f t="shared" si="382"/>
        <v>-</v>
      </c>
      <c r="BT258" s="980" t="str">
        <f t="shared" si="382"/>
        <v>-</v>
      </c>
      <c r="BU258" s="979" t="str">
        <f t="shared" si="382"/>
        <v>-</v>
      </c>
      <c r="BV258" s="979" t="str">
        <f>IF(AG258="","-",IFERROR((AG258/AF258-1)*(AF260/AF$13),"-"))</f>
        <v>-</v>
      </c>
      <c r="BW258" s="979" t="str">
        <f>IF(AH258="","-",IFERROR((AH258/AG258-1)*(AG260/AG$13),"-"))</f>
        <v>-</v>
      </c>
      <c r="BX258" s="979" t="str">
        <f>IF(AI258="","-",IFERROR((AI258/AH258-1)*(AH260/AH$13),"-"))</f>
        <v>-</v>
      </c>
      <c r="BY258" s="981" t="str">
        <f>IF(AJ258="","-",IFERROR((AJ258/AI258-1)*(AI260/AI$13),"-"))</f>
        <v>-</v>
      </c>
      <c r="BZ258" s="951"/>
      <c r="CA258" s="975" t="str">
        <f t="shared" si="268"/>
        <v>Price</v>
      </c>
      <c r="CB258" s="976" t="str">
        <f t="shared" si="269"/>
        <v>Water</v>
      </c>
      <c r="CC258" s="982" t="str">
        <f t="shared" si="270"/>
        <v>Variable</v>
      </c>
      <c r="CD258" s="983" t="str">
        <f t="shared" si="301"/>
        <v>-</v>
      </c>
      <c r="CE258" s="979" t="str">
        <f t="shared" si="294"/>
        <v>-</v>
      </c>
      <c r="CF258" s="979" t="str">
        <f t="shared" si="295"/>
        <v>-</v>
      </c>
      <c r="CG258" s="980" t="str">
        <f t="shared" si="296"/>
        <v>-</v>
      </c>
      <c r="CH258" s="979" t="str">
        <f t="shared" si="302"/>
        <v>-</v>
      </c>
      <c r="CI258" s="979" t="str">
        <f t="shared" si="297"/>
        <v>-</v>
      </c>
      <c r="CJ258" s="979" t="str">
        <f t="shared" si="298"/>
        <v>-</v>
      </c>
      <c r="CK258" s="981" t="str">
        <f t="shared" si="299"/>
        <v>-</v>
      </c>
    </row>
    <row r="259" spans="4:89">
      <c r="E259" s="567" t="s">
        <v>880</v>
      </c>
      <c r="F259" s="554" t="str">
        <f>+F258</f>
        <v>Water</v>
      </c>
      <c r="G259" s="555" t="str">
        <f>+G258</f>
        <v>SEW</v>
      </c>
      <c r="H259" s="555" t="str">
        <f>+H258</f>
        <v>Headworks</v>
      </c>
      <c r="I259" s="556" t="str">
        <f>+I258</f>
        <v>Variable</v>
      </c>
      <c r="J259" s="590" t="s">
        <v>887</v>
      </c>
      <c r="K259" s="557"/>
      <c r="L259" s="558"/>
      <c r="M259" s="558"/>
      <c r="N259" s="557"/>
      <c r="O259" s="558"/>
      <c r="P259" s="558"/>
      <c r="Q259" s="558"/>
      <c r="R259" s="1036"/>
      <c r="S259" s="1139"/>
      <c r="T259" s="593"/>
      <c r="U259" s="1036"/>
      <c r="V259" s="1139"/>
      <c r="W259" s="593"/>
      <c r="X259" s="593"/>
      <c r="Y259" s="593"/>
      <c r="Z259" s="1036"/>
      <c r="AA259" s="1139"/>
      <c r="AB259" s="593"/>
      <c r="AC259" s="593"/>
      <c r="AD259" s="593"/>
      <c r="AE259" s="1036"/>
      <c r="AF259" s="1139"/>
      <c r="AG259" s="593"/>
      <c r="AH259" s="593"/>
      <c r="AI259" s="593"/>
      <c r="AJ259" s="1036"/>
      <c r="AK259" s="569"/>
      <c r="AL259" s="569"/>
      <c r="AN259" s="857"/>
      <c r="AO259" s="961" t="str">
        <f t="shared" si="272"/>
        <v>Qty</v>
      </c>
      <c r="AP259" s="962" t="str">
        <f t="shared" si="273"/>
        <v>Water</v>
      </c>
      <c r="AQ259" s="963" t="str">
        <f t="shared" si="274"/>
        <v>Variable</v>
      </c>
      <c r="AR259" s="967" t="str">
        <f t="shared" si="275"/>
        <v>-</v>
      </c>
      <c r="AS259" s="964" t="str">
        <f t="shared" si="276"/>
        <v>-</v>
      </c>
      <c r="AT259" s="964" t="str">
        <f t="shared" si="277"/>
        <v>-</v>
      </c>
      <c r="AU259" s="964" t="str">
        <f t="shared" si="278"/>
        <v>-</v>
      </c>
      <c r="AV259" s="1350" t="str">
        <f t="shared" si="279"/>
        <v>-</v>
      </c>
      <c r="AW259" s="1343" t="str">
        <f t="shared" si="280"/>
        <v>-</v>
      </c>
      <c r="AX259" s="964" t="str">
        <f t="shared" si="281"/>
        <v>-</v>
      </c>
      <c r="AY259" s="964" t="str">
        <f t="shared" si="282"/>
        <v>-</v>
      </c>
      <c r="AZ259" s="964" t="str">
        <f t="shared" si="283"/>
        <v>-</v>
      </c>
      <c r="BA259" s="965" t="str">
        <f t="shared" si="284"/>
        <v>-</v>
      </c>
      <c r="BB259" s="1343" t="str">
        <f t="shared" si="285"/>
        <v>-</v>
      </c>
      <c r="BC259" s="964" t="str">
        <f t="shared" si="286"/>
        <v>-</v>
      </c>
      <c r="BD259" s="964" t="str">
        <f t="shared" si="287"/>
        <v>-</v>
      </c>
      <c r="BE259" s="964" t="str">
        <f t="shared" si="288"/>
        <v>-</v>
      </c>
      <c r="BF259" s="966" t="str">
        <f t="shared" si="289"/>
        <v>-</v>
      </c>
      <c r="BG259" s="951"/>
      <c r="BH259" s="1541" t="str">
        <f t="shared" si="290"/>
        <v>Qty</v>
      </c>
      <c r="BI259" s="1542" t="str">
        <f t="shared" si="291"/>
        <v>Water</v>
      </c>
      <c r="BJ259" s="1543" t="str">
        <f t="shared" si="292"/>
        <v>Variable</v>
      </c>
      <c r="BK259" s="964" t="str">
        <f t="shared" ref="BK259:BU259" si="383">IF(V259="","-",IFERROR((V259/U259-1)*(U260/U$13),"-"))</f>
        <v>-</v>
      </c>
      <c r="BL259" s="964" t="str">
        <f t="shared" si="383"/>
        <v>-</v>
      </c>
      <c r="BM259" s="964" t="str">
        <f t="shared" si="383"/>
        <v>-</v>
      </c>
      <c r="BN259" s="964" t="str">
        <f t="shared" si="383"/>
        <v>-</v>
      </c>
      <c r="BO259" s="1350" t="str">
        <f t="shared" si="383"/>
        <v>-</v>
      </c>
      <c r="BP259" s="1343" t="str">
        <f t="shared" si="383"/>
        <v>-</v>
      </c>
      <c r="BQ259" s="964" t="str">
        <f t="shared" si="383"/>
        <v>-</v>
      </c>
      <c r="BR259" s="964" t="str">
        <f t="shared" si="383"/>
        <v>-</v>
      </c>
      <c r="BS259" s="964" t="str">
        <f t="shared" si="383"/>
        <v>-</v>
      </c>
      <c r="BT259" s="965" t="str">
        <f t="shared" si="383"/>
        <v>-</v>
      </c>
      <c r="BU259" s="964" t="str">
        <f t="shared" si="383"/>
        <v>-</v>
      </c>
      <c r="BV259" s="964" t="str">
        <f>IF(AG259="","-",IFERROR((AG259/AF259-1)*(AF260/AF$13),"-"))</f>
        <v>-</v>
      </c>
      <c r="BW259" s="964" t="str">
        <f>IF(AH259="","-",IFERROR((AH259/AG259-1)*(AG260/AG$13),"-"))</f>
        <v>-</v>
      </c>
      <c r="BX259" s="964" t="str">
        <f>IF(AI259="","-",IFERROR((AI259/AH259-1)*(AH260/AH$13),"-"))</f>
        <v>-</v>
      </c>
      <c r="BY259" s="966" t="str">
        <f>IF(AJ259="","-",IFERROR((AJ259/AI259-1)*(AI260/AI$13),"-"))</f>
        <v>-</v>
      </c>
      <c r="BZ259" s="951"/>
      <c r="CA259" s="961" t="str">
        <f t="shared" si="268"/>
        <v>Qty</v>
      </c>
      <c r="CB259" s="962" t="str">
        <f t="shared" si="269"/>
        <v>Water</v>
      </c>
      <c r="CC259" s="962" t="str">
        <f t="shared" si="270"/>
        <v>Variable</v>
      </c>
      <c r="CD259" s="967" t="str">
        <f t="shared" si="301"/>
        <v>-</v>
      </c>
      <c r="CE259" s="964" t="str">
        <f t="shared" si="294"/>
        <v>-</v>
      </c>
      <c r="CF259" s="964" t="str">
        <f t="shared" si="295"/>
        <v>-</v>
      </c>
      <c r="CG259" s="965" t="str">
        <f t="shared" si="296"/>
        <v>-</v>
      </c>
      <c r="CH259" s="964" t="str">
        <f t="shared" si="302"/>
        <v>-</v>
      </c>
      <c r="CI259" s="964" t="str">
        <f t="shared" si="297"/>
        <v>-</v>
      </c>
      <c r="CJ259" s="964" t="str">
        <f t="shared" si="298"/>
        <v>-</v>
      </c>
      <c r="CK259" s="966" t="str">
        <f t="shared" si="299"/>
        <v>-</v>
      </c>
    </row>
    <row r="260" spans="4:89" ht="12.75" thickBot="1">
      <c r="E260" s="568" t="s">
        <v>882</v>
      </c>
      <c r="F260" s="560" t="str">
        <f>+F258</f>
        <v>Water</v>
      </c>
      <c r="G260" s="561" t="str">
        <f>+G258</f>
        <v>SEW</v>
      </c>
      <c r="H260" s="561" t="str">
        <f>+H258</f>
        <v>Headworks</v>
      </c>
      <c r="I260" s="562" t="str">
        <f>+I258</f>
        <v>Variable</v>
      </c>
      <c r="J260" s="563" t="s">
        <v>883</v>
      </c>
      <c r="K260" s="564">
        <f t="shared" ref="K260:AJ260" si="384">K258*K259/10^6</f>
        <v>0</v>
      </c>
      <c r="L260" s="565">
        <f t="shared" si="384"/>
        <v>0</v>
      </c>
      <c r="M260" s="565">
        <f t="shared" si="384"/>
        <v>0</v>
      </c>
      <c r="N260" s="564">
        <f t="shared" si="384"/>
        <v>0</v>
      </c>
      <c r="O260" s="565">
        <f t="shared" si="384"/>
        <v>0</v>
      </c>
      <c r="P260" s="565">
        <f t="shared" si="384"/>
        <v>0</v>
      </c>
      <c r="Q260" s="565">
        <f t="shared" si="384"/>
        <v>0</v>
      </c>
      <c r="R260" s="566">
        <f t="shared" si="384"/>
        <v>0</v>
      </c>
      <c r="S260" s="564">
        <f t="shared" si="384"/>
        <v>0</v>
      </c>
      <c r="T260" s="565">
        <f t="shared" si="384"/>
        <v>0</v>
      </c>
      <c r="U260" s="566">
        <f t="shared" si="384"/>
        <v>0</v>
      </c>
      <c r="V260" s="564">
        <f t="shared" si="384"/>
        <v>0</v>
      </c>
      <c r="W260" s="565">
        <f t="shared" si="384"/>
        <v>0</v>
      </c>
      <c r="X260" s="565">
        <f t="shared" si="384"/>
        <v>0</v>
      </c>
      <c r="Y260" s="565">
        <f t="shared" si="384"/>
        <v>0</v>
      </c>
      <c r="Z260" s="566">
        <f t="shared" si="384"/>
        <v>0</v>
      </c>
      <c r="AA260" s="564">
        <f t="shared" si="384"/>
        <v>0</v>
      </c>
      <c r="AB260" s="565">
        <f t="shared" si="384"/>
        <v>0</v>
      </c>
      <c r="AC260" s="565">
        <f t="shared" si="384"/>
        <v>0</v>
      </c>
      <c r="AD260" s="565">
        <f t="shared" si="384"/>
        <v>0</v>
      </c>
      <c r="AE260" s="566">
        <f t="shared" si="384"/>
        <v>0</v>
      </c>
      <c r="AF260" s="564">
        <f t="shared" si="384"/>
        <v>0</v>
      </c>
      <c r="AG260" s="565">
        <f t="shared" si="384"/>
        <v>0</v>
      </c>
      <c r="AH260" s="565">
        <f t="shared" si="384"/>
        <v>0</v>
      </c>
      <c r="AI260" s="565">
        <f t="shared" si="384"/>
        <v>0</v>
      </c>
      <c r="AJ260" s="566">
        <f t="shared" si="384"/>
        <v>0</v>
      </c>
      <c r="AK260" s="569"/>
      <c r="AL260" s="569"/>
      <c r="AN260" s="857"/>
      <c r="AO260" s="984" t="str">
        <f t="shared" si="272"/>
        <v>Rev</v>
      </c>
      <c r="AP260" s="985" t="str">
        <f t="shared" si="273"/>
        <v>Water</v>
      </c>
      <c r="AQ260" s="986" t="str">
        <f t="shared" si="274"/>
        <v>Variable</v>
      </c>
      <c r="AR260" s="990" t="str">
        <f t="shared" si="275"/>
        <v>-</v>
      </c>
      <c r="AS260" s="987" t="str">
        <f t="shared" si="276"/>
        <v>-</v>
      </c>
      <c r="AT260" s="987" t="str">
        <f t="shared" si="277"/>
        <v>-</v>
      </c>
      <c r="AU260" s="987" t="str">
        <f t="shared" si="278"/>
        <v>-</v>
      </c>
      <c r="AV260" s="1353" t="str">
        <f t="shared" si="279"/>
        <v>-</v>
      </c>
      <c r="AW260" s="1346" t="str">
        <f t="shared" si="280"/>
        <v>-</v>
      </c>
      <c r="AX260" s="987" t="str">
        <f t="shared" si="281"/>
        <v>-</v>
      </c>
      <c r="AY260" s="987" t="str">
        <f t="shared" si="282"/>
        <v>-</v>
      </c>
      <c r="AZ260" s="987" t="str">
        <f t="shared" si="283"/>
        <v>-</v>
      </c>
      <c r="BA260" s="988" t="str">
        <f t="shared" si="284"/>
        <v>-</v>
      </c>
      <c r="BB260" s="1346" t="str">
        <f t="shared" si="285"/>
        <v>-</v>
      </c>
      <c r="BC260" s="987" t="str">
        <f t="shared" si="286"/>
        <v>-</v>
      </c>
      <c r="BD260" s="987" t="str">
        <f t="shared" si="287"/>
        <v>-</v>
      </c>
      <c r="BE260" s="987" t="str">
        <f t="shared" si="288"/>
        <v>-</v>
      </c>
      <c r="BF260" s="989" t="str">
        <f t="shared" si="289"/>
        <v>-</v>
      </c>
      <c r="BG260" s="951"/>
      <c r="BH260" s="1550" t="str">
        <f t="shared" si="290"/>
        <v>Rev</v>
      </c>
      <c r="BI260" s="1551" t="str">
        <f t="shared" si="291"/>
        <v>Water</v>
      </c>
      <c r="BJ260" s="1552" t="str">
        <f t="shared" si="292"/>
        <v>Variable</v>
      </c>
      <c r="BK260" s="987" t="str">
        <f t="shared" ref="BK260:BU260" si="385">IF(V260="","-",IFERROR((V260/U260-1)*(U260/U$13),"-"))</f>
        <v>-</v>
      </c>
      <c r="BL260" s="987" t="str">
        <f t="shared" si="385"/>
        <v>-</v>
      </c>
      <c r="BM260" s="987" t="str">
        <f t="shared" si="385"/>
        <v>-</v>
      </c>
      <c r="BN260" s="987" t="str">
        <f t="shared" si="385"/>
        <v>-</v>
      </c>
      <c r="BO260" s="1353" t="str">
        <f t="shared" si="385"/>
        <v>-</v>
      </c>
      <c r="BP260" s="1346" t="str">
        <f t="shared" si="385"/>
        <v>-</v>
      </c>
      <c r="BQ260" s="987" t="str">
        <f t="shared" si="385"/>
        <v>-</v>
      </c>
      <c r="BR260" s="987" t="str">
        <f t="shared" si="385"/>
        <v>-</v>
      </c>
      <c r="BS260" s="987" t="str">
        <f t="shared" si="385"/>
        <v>-</v>
      </c>
      <c r="BT260" s="988" t="str">
        <f t="shared" si="385"/>
        <v>-</v>
      </c>
      <c r="BU260" s="987" t="str">
        <f t="shared" si="385"/>
        <v>-</v>
      </c>
      <c r="BV260" s="987" t="str">
        <f>IF(AG260="","-",IFERROR((AG260/AF260-1)*(AF260/AF$13),"-"))</f>
        <v>-</v>
      </c>
      <c r="BW260" s="987" t="str">
        <f>IF(AH260="","-",IFERROR((AH260/AG260-1)*(AG260/AG$13),"-"))</f>
        <v>-</v>
      </c>
      <c r="BX260" s="987" t="str">
        <f>IF(AI260="","-",IFERROR((AI260/AH260-1)*(AH260/AH$13),"-"))</f>
        <v>-</v>
      </c>
      <c r="BY260" s="989" t="str">
        <f>IF(AJ260="","-",IFERROR((AJ260/AI260-1)*(AI260/AI$13),"-"))</f>
        <v>-</v>
      </c>
      <c r="BZ260" s="951"/>
      <c r="CA260" s="984" t="str">
        <f t="shared" ref="CA260:CA323" si="386">AO260</f>
        <v>Rev</v>
      </c>
      <c r="CB260" s="985" t="str">
        <f t="shared" ref="CB260:CB323" si="387">AP260</f>
        <v>Water</v>
      </c>
      <c r="CC260" s="985" t="str">
        <f t="shared" ref="CC260:CC323" si="388">AQ260</f>
        <v>Variable</v>
      </c>
      <c r="CD260" s="990" t="str">
        <f t="shared" si="301"/>
        <v>-</v>
      </c>
      <c r="CE260" s="987" t="str">
        <f t="shared" si="294"/>
        <v>-</v>
      </c>
      <c r="CF260" s="987" t="str">
        <f t="shared" si="295"/>
        <v>-</v>
      </c>
      <c r="CG260" s="988" t="str">
        <f t="shared" si="296"/>
        <v>-</v>
      </c>
      <c r="CH260" s="987" t="str">
        <f t="shared" si="302"/>
        <v>-</v>
      </c>
      <c r="CI260" s="987" t="str">
        <f t="shared" si="297"/>
        <v>-</v>
      </c>
      <c r="CJ260" s="987" t="str">
        <f t="shared" si="298"/>
        <v>-</v>
      </c>
      <c r="CK260" s="989" t="str">
        <f t="shared" si="299"/>
        <v>-</v>
      </c>
    </row>
    <row r="261" spans="4:89">
      <c r="D261" s="63">
        <f>D258+1</f>
        <v>65</v>
      </c>
      <c r="E261" s="550" t="s">
        <v>857</v>
      </c>
      <c r="F261" s="595" t="s">
        <v>401</v>
      </c>
      <c r="G261" s="595" t="s">
        <v>103</v>
      </c>
      <c r="H261" s="595" t="s">
        <v>515</v>
      </c>
      <c r="I261" s="589" t="s">
        <v>843</v>
      </c>
      <c r="J261" s="589" t="s">
        <v>879</v>
      </c>
      <c r="K261" s="551"/>
      <c r="L261" s="552"/>
      <c r="M261" s="552"/>
      <c r="N261" s="551"/>
      <c r="O261" s="552"/>
      <c r="P261" s="552"/>
      <c r="Q261" s="552"/>
      <c r="R261" s="1035"/>
      <c r="S261" s="1138"/>
      <c r="T261" s="591"/>
      <c r="U261" s="1035"/>
      <c r="V261" s="1138"/>
      <c r="W261" s="591"/>
      <c r="X261" s="591"/>
      <c r="Y261" s="591"/>
      <c r="Z261" s="1035"/>
      <c r="AA261" s="1138"/>
      <c r="AB261" s="591"/>
      <c r="AC261" s="591"/>
      <c r="AD261" s="591"/>
      <c r="AE261" s="1035"/>
      <c r="AF261" s="1138"/>
      <c r="AG261" s="591"/>
      <c r="AH261" s="591"/>
      <c r="AI261" s="591"/>
      <c r="AJ261" s="1035"/>
      <c r="AK261" s="569"/>
      <c r="AL261" s="569"/>
      <c r="AM261" s="974"/>
      <c r="AN261" s="857"/>
      <c r="AO261" s="975" t="str">
        <f t="shared" ref="AO261:AO324" si="389">E261</f>
        <v>Price</v>
      </c>
      <c r="AP261" s="976" t="str">
        <f t="shared" ref="AP261:AP324" si="390">F261</f>
        <v>Water</v>
      </c>
      <c r="AQ261" s="977" t="str">
        <f t="shared" ref="AQ261:AQ324" si="391">I261</f>
        <v>Variable</v>
      </c>
      <c r="AR261" s="1341" t="str">
        <f t="shared" ref="AR261:AR324" si="392">IF(V261="","-",IFERROR(V261/U261-1,"-"))</f>
        <v>-</v>
      </c>
      <c r="AS261" s="978" t="str">
        <f t="shared" ref="AS261:AS324" si="393">IF(W261="","-",IFERROR(W261/V261-1,"-"))</f>
        <v>-</v>
      </c>
      <c r="AT261" s="979" t="str">
        <f t="shared" ref="AT261:AT324" si="394">IF(X261="","-",IFERROR(X261/W261-1,"-"))</f>
        <v>-</v>
      </c>
      <c r="AU261" s="979" t="str">
        <f t="shared" ref="AU261:AU324" si="395">IF(Y261="","-",IFERROR(Y261/X261-1,"-"))</f>
        <v>-</v>
      </c>
      <c r="AV261" s="1352" t="str">
        <f t="shared" ref="AV261:AV324" si="396">IF(Z261="","-",IFERROR(Z261/Y261-1,"-"))</f>
        <v>-</v>
      </c>
      <c r="AW261" s="1345" t="str">
        <f t="shared" ref="AW261:AW324" si="397">IF(AA261="","-",IFERROR(AA261/Z261-1,"-"))</f>
        <v>-</v>
      </c>
      <c r="AX261" s="979" t="str">
        <f t="shared" ref="AX261:AX324" si="398">IF(AB261="","-",IFERROR(AB261/AA261-1,"-"))</f>
        <v>-</v>
      </c>
      <c r="AY261" s="979" t="str">
        <f t="shared" ref="AY261:AY324" si="399">IF(AC261="","-",IFERROR(AC261/AB261-1,"-"))</f>
        <v>-</v>
      </c>
      <c r="AZ261" s="979" t="str">
        <f t="shared" ref="AZ261:AZ324" si="400">IF(AD261="","-",IFERROR(AD261/AC261-1,"-"))</f>
        <v>-</v>
      </c>
      <c r="BA261" s="980" t="str">
        <f t="shared" ref="BA261:BA324" si="401">IF(AE261="","-",IFERROR(AE261/AD261-1,"-"))</f>
        <v>-</v>
      </c>
      <c r="BB261" s="1345" t="str">
        <f t="shared" ref="BB261:BB324" si="402">IF(AF261="","-",IFERROR(AF261/AE261-1,"-"))</f>
        <v>-</v>
      </c>
      <c r="BC261" s="979" t="str">
        <f t="shared" ref="BC261:BC324" si="403">IF(AG261="","-",IFERROR(AG261/AF261-1,"-"))</f>
        <v>-</v>
      </c>
      <c r="BD261" s="979" t="str">
        <f t="shared" ref="BD261:BD324" si="404">IF(AH261="","-",IFERROR(AH261/AG261-1,"-"))</f>
        <v>-</v>
      </c>
      <c r="BE261" s="979" t="str">
        <f t="shared" ref="BE261:BE324" si="405">IF(AI261="","-",IFERROR(AI261/AH261-1,"-"))</f>
        <v>-</v>
      </c>
      <c r="BF261" s="981" t="str">
        <f t="shared" ref="BF261:BF324" si="406">IF(AJ261="","-",IFERROR(AJ261/AI261-1,"-"))</f>
        <v>-</v>
      </c>
      <c r="BG261" s="951"/>
      <c r="BH261" s="1547" t="str">
        <f t="shared" ref="BH261:BH324" si="407">AO261</f>
        <v>Price</v>
      </c>
      <c r="BI261" s="1548" t="str">
        <f t="shared" ref="BI261:BI324" si="408">AP261</f>
        <v>Water</v>
      </c>
      <c r="BJ261" s="1549" t="str">
        <f t="shared" ref="BJ261:BJ324" si="409">AQ261</f>
        <v>Variable</v>
      </c>
      <c r="BK261" s="978" t="str">
        <f t="shared" ref="BK261:BU261" si="410">IF(V261="","-",IFERROR((V261/U261-1)*(U263/U$13),"-"))</f>
        <v>-</v>
      </c>
      <c r="BL261" s="978" t="str">
        <f t="shared" si="410"/>
        <v>-</v>
      </c>
      <c r="BM261" s="979" t="str">
        <f t="shared" si="410"/>
        <v>-</v>
      </c>
      <c r="BN261" s="979" t="str">
        <f t="shared" si="410"/>
        <v>-</v>
      </c>
      <c r="BO261" s="1352" t="str">
        <f t="shared" si="410"/>
        <v>-</v>
      </c>
      <c r="BP261" s="1345" t="str">
        <f t="shared" si="410"/>
        <v>-</v>
      </c>
      <c r="BQ261" s="979" t="str">
        <f t="shared" si="410"/>
        <v>-</v>
      </c>
      <c r="BR261" s="979" t="str">
        <f t="shared" si="410"/>
        <v>-</v>
      </c>
      <c r="BS261" s="979" t="str">
        <f t="shared" si="410"/>
        <v>-</v>
      </c>
      <c r="BT261" s="980" t="str">
        <f t="shared" si="410"/>
        <v>-</v>
      </c>
      <c r="BU261" s="979" t="str">
        <f t="shared" si="410"/>
        <v>-</v>
      </c>
      <c r="BV261" s="979" t="str">
        <f>IF(AG261="","-",IFERROR((AG261/AF261-1)*(AF263/AF$13),"-"))</f>
        <v>-</v>
      </c>
      <c r="BW261" s="979" t="str">
        <f>IF(AH261="","-",IFERROR((AH261/AG261-1)*(AG263/AG$13),"-"))</f>
        <v>-</v>
      </c>
      <c r="BX261" s="979" t="str">
        <f>IF(AI261="","-",IFERROR((AI261/AH261-1)*(AH263/AH$13),"-"))</f>
        <v>-</v>
      </c>
      <c r="BY261" s="981" t="str">
        <f>IF(AJ261="","-",IFERROR((AJ261/AI261-1)*(AI263/AI$13),"-"))</f>
        <v>-</v>
      </c>
      <c r="BZ261" s="951"/>
      <c r="CA261" s="975" t="str">
        <f t="shared" si="386"/>
        <v>Price</v>
      </c>
      <c r="CB261" s="976" t="str">
        <f t="shared" si="387"/>
        <v>Water</v>
      </c>
      <c r="CC261" s="982" t="str">
        <f t="shared" si="388"/>
        <v>Variable</v>
      </c>
      <c r="CD261" s="983" t="str">
        <f t="shared" si="301"/>
        <v>-</v>
      </c>
      <c r="CE261" s="979" t="str">
        <f t="shared" ref="CE261:CE324" si="411">IF(X261="","-",IFERROR((X261/$U261)^(1/CE$65)-1,"-"))</f>
        <v>-</v>
      </c>
      <c r="CF261" s="979" t="str">
        <f t="shared" ref="CF261:CF324" si="412">IF(Y261="","-",IFERROR((Y261/$U261)^(1/CF$65)-1,"-"))</f>
        <v>-</v>
      </c>
      <c r="CG261" s="980" t="str">
        <f t="shared" ref="CG261:CG324" si="413">IF(Z261="","-",IFERROR((Z261/$U261)^(1/CG$65)-1,"-"))</f>
        <v>-</v>
      </c>
      <c r="CH261" s="979" t="str">
        <f t="shared" si="302"/>
        <v>-</v>
      </c>
      <c r="CI261" s="979" t="str">
        <f t="shared" ref="CI261:CI324" si="414">IF(AC261="","-",IFERROR((AC261/$Z261)^(1/CI$65)-1,"-"))</f>
        <v>-</v>
      </c>
      <c r="CJ261" s="979" t="str">
        <f t="shared" ref="CJ261:CJ324" si="415">IF(AD261="","-",IFERROR((AD261/$Z261)^(1/CJ$65)-1,"-"))</f>
        <v>-</v>
      </c>
      <c r="CK261" s="981" t="str">
        <f t="shared" ref="CK261:CK324" si="416">IF(AE261="","-",IFERROR((AE261/$Z261)^(1/CK$65)-1,"-"))</f>
        <v>-</v>
      </c>
    </row>
    <row r="262" spans="4:89">
      <c r="E262" s="567" t="s">
        <v>880</v>
      </c>
      <c r="F262" s="554" t="str">
        <f>+F261</f>
        <v>Water</v>
      </c>
      <c r="G262" s="555" t="str">
        <f>+G261</f>
        <v>YVW</v>
      </c>
      <c r="H262" s="555" t="str">
        <f>+H261</f>
        <v>Headworks</v>
      </c>
      <c r="I262" s="556" t="str">
        <f>+I261</f>
        <v>Variable</v>
      </c>
      <c r="J262" s="590" t="s">
        <v>887</v>
      </c>
      <c r="K262" s="557"/>
      <c r="L262" s="558"/>
      <c r="M262" s="558"/>
      <c r="N262" s="557"/>
      <c r="O262" s="558"/>
      <c r="P262" s="558"/>
      <c r="Q262" s="558"/>
      <c r="R262" s="1036"/>
      <c r="S262" s="1139"/>
      <c r="T262" s="593"/>
      <c r="U262" s="1036"/>
      <c r="V262" s="1139"/>
      <c r="W262" s="593"/>
      <c r="X262" s="593"/>
      <c r="Y262" s="593"/>
      <c r="Z262" s="1036"/>
      <c r="AA262" s="1139"/>
      <c r="AB262" s="593"/>
      <c r="AC262" s="593"/>
      <c r="AD262" s="593"/>
      <c r="AE262" s="1036"/>
      <c r="AF262" s="1139"/>
      <c r="AG262" s="593"/>
      <c r="AH262" s="593"/>
      <c r="AI262" s="593"/>
      <c r="AJ262" s="1036"/>
      <c r="AK262" s="569"/>
      <c r="AL262" s="569"/>
      <c r="AN262" s="857"/>
      <c r="AO262" s="961" t="str">
        <f t="shared" si="389"/>
        <v>Qty</v>
      </c>
      <c r="AP262" s="962" t="str">
        <f t="shared" si="390"/>
        <v>Water</v>
      </c>
      <c r="AQ262" s="963" t="str">
        <f t="shared" si="391"/>
        <v>Variable</v>
      </c>
      <c r="AR262" s="967" t="str">
        <f t="shared" si="392"/>
        <v>-</v>
      </c>
      <c r="AS262" s="964" t="str">
        <f t="shared" si="393"/>
        <v>-</v>
      </c>
      <c r="AT262" s="964" t="str">
        <f t="shared" si="394"/>
        <v>-</v>
      </c>
      <c r="AU262" s="964" t="str">
        <f t="shared" si="395"/>
        <v>-</v>
      </c>
      <c r="AV262" s="1350" t="str">
        <f t="shared" si="396"/>
        <v>-</v>
      </c>
      <c r="AW262" s="1343" t="str">
        <f t="shared" si="397"/>
        <v>-</v>
      </c>
      <c r="AX262" s="964" t="str">
        <f t="shared" si="398"/>
        <v>-</v>
      </c>
      <c r="AY262" s="964" t="str">
        <f t="shared" si="399"/>
        <v>-</v>
      </c>
      <c r="AZ262" s="964" t="str">
        <f t="shared" si="400"/>
        <v>-</v>
      </c>
      <c r="BA262" s="965" t="str">
        <f t="shared" si="401"/>
        <v>-</v>
      </c>
      <c r="BB262" s="1343" t="str">
        <f t="shared" si="402"/>
        <v>-</v>
      </c>
      <c r="BC262" s="964" t="str">
        <f t="shared" si="403"/>
        <v>-</v>
      </c>
      <c r="BD262" s="964" t="str">
        <f t="shared" si="404"/>
        <v>-</v>
      </c>
      <c r="BE262" s="964" t="str">
        <f t="shared" si="405"/>
        <v>-</v>
      </c>
      <c r="BF262" s="966" t="str">
        <f t="shared" si="406"/>
        <v>-</v>
      </c>
      <c r="BG262" s="951"/>
      <c r="BH262" s="1541" t="str">
        <f t="shared" si="407"/>
        <v>Qty</v>
      </c>
      <c r="BI262" s="1542" t="str">
        <f t="shared" si="408"/>
        <v>Water</v>
      </c>
      <c r="BJ262" s="1543" t="str">
        <f t="shared" si="409"/>
        <v>Variable</v>
      </c>
      <c r="BK262" s="964" t="str">
        <f t="shared" ref="BK262:BU262" si="417">IF(V262="","-",IFERROR((V262/U262-1)*(U263/U$13),"-"))</f>
        <v>-</v>
      </c>
      <c r="BL262" s="964" t="str">
        <f t="shared" si="417"/>
        <v>-</v>
      </c>
      <c r="BM262" s="964" t="str">
        <f t="shared" si="417"/>
        <v>-</v>
      </c>
      <c r="BN262" s="964" t="str">
        <f t="shared" si="417"/>
        <v>-</v>
      </c>
      <c r="BO262" s="1350" t="str">
        <f t="shared" si="417"/>
        <v>-</v>
      </c>
      <c r="BP262" s="1343" t="str">
        <f t="shared" si="417"/>
        <v>-</v>
      </c>
      <c r="BQ262" s="964" t="str">
        <f t="shared" si="417"/>
        <v>-</v>
      </c>
      <c r="BR262" s="964" t="str">
        <f t="shared" si="417"/>
        <v>-</v>
      </c>
      <c r="BS262" s="964" t="str">
        <f t="shared" si="417"/>
        <v>-</v>
      </c>
      <c r="BT262" s="965" t="str">
        <f t="shared" si="417"/>
        <v>-</v>
      </c>
      <c r="BU262" s="964" t="str">
        <f t="shared" si="417"/>
        <v>-</v>
      </c>
      <c r="BV262" s="964" t="str">
        <f>IF(AG262="","-",IFERROR((AG262/AF262-1)*(AF263/AF$13),"-"))</f>
        <v>-</v>
      </c>
      <c r="BW262" s="964" t="str">
        <f>IF(AH262="","-",IFERROR((AH262/AG262-1)*(AG263/AG$13),"-"))</f>
        <v>-</v>
      </c>
      <c r="BX262" s="964" t="str">
        <f>IF(AI262="","-",IFERROR((AI262/AH262-1)*(AH263/AH$13),"-"))</f>
        <v>-</v>
      </c>
      <c r="BY262" s="966" t="str">
        <f>IF(AJ262="","-",IFERROR((AJ262/AI262-1)*(AI263/AI$13),"-"))</f>
        <v>-</v>
      </c>
      <c r="BZ262" s="951"/>
      <c r="CA262" s="961" t="str">
        <f t="shared" si="386"/>
        <v>Qty</v>
      </c>
      <c r="CB262" s="962" t="str">
        <f t="shared" si="387"/>
        <v>Water</v>
      </c>
      <c r="CC262" s="962" t="str">
        <f t="shared" si="388"/>
        <v>Variable</v>
      </c>
      <c r="CD262" s="967" t="str">
        <f t="shared" ref="CD262:CD325" si="418">IF(W262="","-",IFERROR((W262/$U262)^(1/CD$65)-1,"-"))</f>
        <v>-</v>
      </c>
      <c r="CE262" s="964" t="str">
        <f t="shared" si="411"/>
        <v>-</v>
      </c>
      <c r="CF262" s="964" t="str">
        <f t="shared" si="412"/>
        <v>-</v>
      </c>
      <c r="CG262" s="965" t="str">
        <f t="shared" si="413"/>
        <v>-</v>
      </c>
      <c r="CH262" s="964" t="str">
        <f t="shared" ref="CH262:CH325" si="419">IF(AB262="","-",IFERROR((AB262/$Z262)^(1/CH$65)-1,"-"))</f>
        <v>-</v>
      </c>
      <c r="CI262" s="964" t="str">
        <f t="shared" si="414"/>
        <v>-</v>
      </c>
      <c r="CJ262" s="964" t="str">
        <f t="shared" si="415"/>
        <v>-</v>
      </c>
      <c r="CK262" s="966" t="str">
        <f t="shared" si="416"/>
        <v>-</v>
      </c>
    </row>
    <row r="263" spans="4:89" ht="12.75" thickBot="1">
      <c r="E263" s="568" t="s">
        <v>882</v>
      </c>
      <c r="F263" s="560" t="str">
        <f>+F261</f>
        <v>Water</v>
      </c>
      <c r="G263" s="561" t="str">
        <f>+G261</f>
        <v>YVW</v>
      </c>
      <c r="H263" s="561" t="str">
        <f>+H261</f>
        <v>Headworks</v>
      </c>
      <c r="I263" s="562" t="str">
        <f>+I261</f>
        <v>Variable</v>
      </c>
      <c r="J263" s="563" t="s">
        <v>883</v>
      </c>
      <c r="K263" s="564">
        <f t="shared" ref="K263:AJ263" si="420">K261*K262/10^6</f>
        <v>0</v>
      </c>
      <c r="L263" s="565">
        <f t="shared" si="420"/>
        <v>0</v>
      </c>
      <c r="M263" s="565">
        <f t="shared" si="420"/>
        <v>0</v>
      </c>
      <c r="N263" s="564">
        <f t="shared" si="420"/>
        <v>0</v>
      </c>
      <c r="O263" s="565">
        <f t="shared" si="420"/>
        <v>0</v>
      </c>
      <c r="P263" s="565">
        <f t="shared" si="420"/>
        <v>0</v>
      </c>
      <c r="Q263" s="565">
        <f t="shared" si="420"/>
        <v>0</v>
      </c>
      <c r="R263" s="566">
        <f t="shared" si="420"/>
        <v>0</v>
      </c>
      <c r="S263" s="564">
        <f t="shared" si="420"/>
        <v>0</v>
      </c>
      <c r="T263" s="565">
        <f t="shared" si="420"/>
        <v>0</v>
      </c>
      <c r="U263" s="566">
        <f t="shared" si="420"/>
        <v>0</v>
      </c>
      <c r="V263" s="564">
        <f t="shared" si="420"/>
        <v>0</v>
      </c>
      <c r="W263" s="565">
        <f t="shared" si="420"/>
        <v>0</v>
      </c>
      <c r="X263" s="565">
        <f t="shared" si="420"/>
        <v>0</v>
      </c>
      <c r="Y263" s="565">
        <f t="shared" si="420"/>
        <v>0</v>
      </c>
      <c r="Z263" s="566">
        <f t="shared" si="420"/>
        <v>0</v>
      </c>
      <c r="AA263" s="564">
        <f t="shared" si="420"/>
        <v>0</v>
      </c>
      <c r="AB263" s="565">
        <f t="shared" si="420"/>
        <v>0</v>
      </c>
      <c r="AC263" s="565">
        <f t="shared" si="420"/>
        <v>0</v>
      </c>
      <c r="AD263" s="565">
        <f t="shared" si="420"/>
        <v>0</v>
      </c>
      <c r="AE263" s="566">
        <f t="shared" si="420"/>
        <v>0</v>
      </c>
      <c r="AF263" s="564">
        <f t="shared" si="420"/>
        <v>0</v>
      </c>
      <c r="AG263" s="565">
        <f t="shared" si="420"/>
        <v>0</v>
      </c>
      <c r="AH263" s="565">
        <f t="shared" si="420"/>
        <v>0</v>
      </c>
      <c r="AI263" s="565">
        <f t="shared" si="420"/>
        <v>0</v>
      </c>
      <c r="AJ263" s="566">
        <f t="shared" si="420"/>
        <v>0</v>
      </c>
      <c r="AK263" s="569"/>
      <c r="AL263" s="569"/>
      <c r="AN263" s="857"/>
      <c r="AO263" s="984" t="str">
        <f t="shared" si="389"/>
        <v>Rev</v>
      </c>
      <c r="AP263" s="985" t="str">
        <f t="shared" si="390"/>
        <v>Water</v>
      </c>
      <c r="AQ263" s="986" t="str">
        <f t="shared" si="391"/>
        <v>Variable</v>
      </c>
      <c r="AR263" s="990" t="str">
        <f t="shared" si="392"/>
        <v>-</v>
      </c>
      <c r="AS263" s="987" t="str">
        <f t="shared" si="393"/>
        <v>-</v>
      </c>
      <c r="AT263" s="987" t="str">
        <f t="shared" si="394"/>
        <v>-</v>
      </c>
      <c r="AU263" s="987" t="str">
        <f t="shared" si="395"/>
        <v>-</v>
      </c>
      <c r="AV263" s="1353" t="str">
        <f t="shared" si="396"/>
        <v>-</v>
      </c>
      <c r="AW263" s="1346" t="str">
        <f t="shared" si="397"/>
        <v>-</v>
      </c>
      <c r="AX263" s="987" t="str">
        <f t="shared" si="398"/>
        <v>-</v>
      </c>
      <c r="AY263" s="987" t="str">
        <f t="shared" si="399"/>
        <v>-</v>
      </c>
      <c r="AZ263" s="987" t="str">
        <f t="shared" si="400"/>
        <v>-</v>
      </c>
      <c r="BA263" s="988" t="str">
        <f t="shared" si="401"/>
        <v>-</v>
      </c>
      <c r="BB263" s="1346" t="str">
        <f t="shared" si="402"/>
        <v>-</v>
      </c>
      <c r="BC263" s="987" t="str">
        <f t="shared" si="403"/>
        <v>-</v>
      </c>
      <c r="BD263" s="987" t="str">
        <f t="shared" si="404"/>
        <v>-</v>
      </c>
      <c r="BE263" s="987" t="str">
        <f t="shared" si="405"/>
        <v>-</v>
      </c>
      <c r="BF263" s="989" t="str">
        <f t="shared" si="406"/>
        <v>-</v>
      </c>
      <c r="BG263" s="951"/>
      <c r="BH263" s="1550" t="str">
        <f t="shared" si="407"/>
        <v>Rev</v>
      </c>
      <c r="BI263" s="1551" t="str">
        <f t="shared" si="408"/>
        <v>Water</v>
      </c>
      <c r="BJ263" s="1552" t="str">
        <f t="shared" si="409"/>
        <v>Variable</v>
      </c>
      <c r="BK263" s="987" t="str">
        <f t="shared" ref="BK263:BU263" si="421">IF(V263="","-",IFERROR((V263/U263-1)*(U263/U$13),"-"))</f>
        <v>-</v>
      </c>
      <c r="BL263" s="987" t="str">
        <f t="shared" si="421"/>
        <v>-</v>
      </c>
      <c r="BM263" s="987" t="str">
        <f t="shared" si="421"/>
        <v>-</v>
      </c>
      <c r="BN263" s="987" t="str">
        <f t="shared" si="421"/>
        <v>-</v>
      </c>
      <c r="BO263" s="1353" t="str">
        <f t="shared" si="421"/>
        <v>-</v>
      </c>
      <c r="BP263" s="1346" t="str">
        <f t="shared" si="421"/>
        <v>-</v>
      </c>
      <c r="BQ263" s="987" t="str">
        <f t="shared" si="421"/>
        <v>-</v>
      </c>
      <c r="BR263" s="987" t="str">
        <f t="shared" si="421"/>
        <v>-</v>
      </c>
      <c r="BS263" s="987" t="str">
        <f t="shared" si="421"/>
        <v>-</v>
      </c>
      <c r="BT263" s="988" t="str">
        <f t="shared" si="421"/>
        <v>-</v>
      </c>
      <c r="BU263" s="987" t="str">
        <f t="shared" si="421"/>
        <v>-</v>
      </c>
      <c r="BV263" s="987" t="str">
        <f>IF(AG263="","-",IFERROR((AG263/AF263-1)*(AF263/AF$13),"-"))</f>
        <v>-</v>
      </c>
      <c r="BW263" s="987" t="str">
        <f>IF(AH263="","-",IFERROR((AH263/AG263-1)*(AG263/AG$13),"-"))</f>
        <v>-</v>
      </c>
      <c r="BX263" s="987" t="str">
        <f>IF(AI263="","-",IFERROR((AI263/AH263-1)*(AH263/AH$13),"-"))</f>
        <v>-</v>
      </c>
      <c r="BY263" s="989" t="str">
        <f>IF(AJ263="","-",IFERROR((AJ263/AI263-1)*(AI263/AI$13),"-"))</f>
        <v>-</v>
      </c>
      <c r="BZ263" s="951"/>
      <c r="CA263" s="984" t="str">
        <f t="shared" si="386"/>
        <v>Rev</v>
      </c>
      <c r="CB263" s="985" t="str">
        <f t="shared" si="387"/>
        <v>Water</v>
      </c>
      <c r="CC263" s="985" t="str">
        <f t="shared" si="388"/>
        <v>Variable</v>
      </c>
      <c r="CD263" s="990" t="str">
        <f t="shared" si="418"/>
        <v>-</v>
      </c>
      <c r="CE263" s="987" t="str">
        <f t="shared" si="411"/>
        <v>-</v>
      </c>
      <c r="CF263" s="987" t="str">
        <f t="shared" si="412"/>
        <v>-</v>
      </c>
      <c r="CG263" s="988" t="str">
        <f t="shared" si="413"/>
        <v>-</v>
      </c>
      <c r="CH263" s="987" t="str">
        <f t="shared" si="419"/>
        <v>-</v>
      </c>
      <c r="CI263" s="987" t="str">
        <f t="shared" si="414"/>
        <v>-</v>
      </c>
      <c r="CJ263" s="987" t="str">
        <f t="shared" si="415"/>
        <v>-</v>
      </c>
      <c r="CK263" s="989" t="str">
        <f t="shared" si="416"/>
        <v>-</v>
      </c>
    </row>
    <row r="264" spans="4:89">
      <c r="D264" s="63">
        <f>D261+1</f>
        <v>66</v>
      </c>
      <c r="E264" s="550" t="s">
        <v>857</v>
      </c>
      <c r="F264" s="595" t="s">
        <v>401</v>
      </c>
      <c r="G264" s="595" t="s">
        <v>99</v>
      </c>
      <c r="H264" s="595" t="s">
        <v>515</v>
      </c>
      <c r="I264" s="589" t="s">
        <v>843</v>
      </c>
      <c r="J264" s="589" t="s">
        <v>879</v>
      </c>
      <c r="K264" s="551"/>
      <c r="L264" s="552"/>
      <c r="M264" s="552"/>
      <c r="N264" s="551"/>
      <c r="O264" s="552"/>
      <c r="P264" s="552"/>
      <c r="Q264" s="552"/>
      <c r="R264" s="1035"/>
      <c r="S264" s="1138"/>
      <c r="T264" s="591"/>
      <c r="U264" s="1035"/>
      <c r="V264" s="1138"/>
      <c r="W264" s="591"/>
      <c r="X264" s="591"/>
      <c r="Y264" s="591"/>
      <c r="Z264" s="1035"/>
      <c r="AA264" s="1138"/>
      <c r="AB264" s="591"/>
      <c r="AC264" s="591"/>
      <c r="AD264" s="591"/>
      <c r="AE264" s="1035"/>
      <c r="AF264" s="1138"/>
      <c r="AG264" s="591"/>
      <c r="AH264" s="591"/>
      <c r="AI264" s="591"/>
      <c r="AJ264" s="1035"/>
      <c r="AK264" s="569"/>
      <c r="AL264" s="569"/>
      <c r="AM264" s="974"/>
      <c r="AN264" s="857"/>
      <c r="AO264" s="975" t="str">
        <f t="shared" si="389"/>
        <v>Price</v>
      </c>
      <c r="AP264" s="976" t="str">
        <f t="shared" si="390"/>
        <v>Water</v>
      </c>
      <c r="AQ264" s="977" t="str">
        <f t="shared" si="391"/>
        <v>Variable</v>
      </c>
      <c r="AR264" s="1341" t="str">
        <f t="shared" si="392"/>
        <v>-</v>
      </c>
      <c r="AS264" s="978" t="str">
        <f t="shared" si="393"/>
        <v>-</v>
      </c>
      <c r="AT264" s="979" t="str">
        <f t="shared" si="394"/>
        <v>-</v>
      </c>
      <c r="AU264" s="979" t="str">
        <f t="shared" si="395"/>
        <v>-</v>
      </c>
      <c r="AV264" s="1352" t="str">
        <f t="shared" si="396"/>
        <v>-</v>
      </c>
      <c r="AW264" s="1345" t="str">
        <f t="shared" si="397"/>
        <v>-</v>
      </c>
      <c r="AX264" s="979" t="str">
        <f t="shared" si="398"/>
        <v>-</v>
      </c>
      <c r="AY264" s="979" t="str">
        <f t="shared" si="399"/>
        <v>-</v>
      </c>
      <c r="AZ264" s="979" t="str">
        <f t="shared" si="400"/>
        <v>-</v>
      </c>
      <c r="BA264" s="980" t="str">
        <f t="shared" si="401"/>
        <v>-</v>
      </c>
      <c r="BB264" s="1345" t="str">
        <f t="shared" si="402"/>
        <v>-</v>
      </c>
      <c r="BC264" s="979" t="str">
        <f t="shared" si="403"/>
        <v>-</v>
      </c>
      <c r="BD264" s="979" t="str">
        <f t="shared" si="404"/>
        <v>-</v>
      </c>
      <c r="BE264" s="979" t="str">
        <f t="shared" si="405"/>
        <v>-</v>
      </c>
      <c r="BF264" s="981" t="str">
        <f t="shared" si="406"/>
        <v>-</v>
      </c>
      <c r="BG264" s="951"/>
      <c r="BH264" s="1547" t="str">
        <f t="shared" si="407"/>
        <v>Price</v>
      </c>
      <c r="BI264" s="1548" t="str">
        <f t="shared" si="408"/>
        <v>Water</v>
      </c>
      <c r="BJ264" s="1549" t="str">
        <f t="shared" si="409"/>
        <v>Variable</v>
      </c>
      <c r="BK264" s="978" t="str">
        <f t="shared" ref="BK264:BU264" si="422">IF(V264="","-",IFERROR((V264/U264-1)*(U266/U$13),"-"))</f>
        <v>-</v>
      </c>
      <c r="BL264" s="978" t="str">
        <f t="shared" si="422"/>
        <v>-</v>
      </c>
      <c r="BM264" s="979" t="str">
        <f t="shared" si="422"/>
        <v>-</v>
      </c>
      <c r="BN264" s="979" t="str">
        <f t="shared" si="422"/>
        <v>-</v>
      </c>
      <c r="BO264" s="1352" t="str">
        <f t="shared" si="422"/>
        <v>-</v>
      </c>
      <c r="BP264" s="1345" t="str">
        <f t="shared" si="422"/>
        <v>-</v>
      </c>
      <c r="BQ264" s="979" t="str">
        <f t="shared" si="422"/>
        <v>-</v>
      </c>
      <c r="BR264" s="979" t="str">
        <f t="shared" si="422"/>
        <v>-</v>
      </c>
      <c r="BS264" s="979" t="str">
        <f t="shared" si="422"/>
        <v>-</v>
      </c>
      <c r="BT264" s="980" t="str">
        <f t="shared" si="422"/>
        <v>-</v>
      </c>
      <c r="BU264" s="979" t="str">
        <f t="shared" si="422"/>
        <v>-</v>
      </c>
      <c r="BV264" s="979" t="str">
        <f>IF(AG264="","-",IFERROR((AG264/AF264-1)*(AF266/AF$13),"-"))</f>
        <v>-</v>
      </c>
      <c r="BW264" s="979" t="str">
        <f>IF(AH264="","-",IFERROR((AH264/AG264-1)*(AG266/AG$13),"-"))</f>
        <v>-</v>
      </c>
      <c r="BX264" s="979" t="str">
        <f>IF(AI264="","-",IFERROR((AI264/AH264-1)*(AH266/AH$13),"-"))</f>
        <v>-</v>
      </c>
      <c r="BY264" s="981" t="str">
        <f>IF(AJ264="","-",IFERROR((AJ264/AI264-1)*(AI266/AI$13),"-"))</f>
        <v>-</v>
      </c>
      <c r="BZ264" s="951"/>
      <c r="CA264" s="975" t="str">
        <f t="shared" si="386"/>
        <v>Price</v>
      </c>
      <c r="CB264" s="976" t="str">
        <f t="shared" si="387"/>
        <v>Water</v>
      </c>
      <c r="CC264" s="982" t="str">
        <f t="shared" si="388"/>
        <v>Variable</v>
      </c>
      <c r="CD264" s="983" t="str">
        <f t="shared" si="418"/>
        <v>-</v>
      </c>
      <c r="CE264" s="979" t="str">
        <f t="shared" si="411"/>
        <v>-</v>
      </c>
      <c r="CF264" s="979" t="str">
        <f t="shared" si="412"/>
        <v>-</v>
      </c>
      <c r="CG264" s="980" t="str">
        <f t="shared" si="413"/>
        <v>-</v>
      </c>
      <c r="CH264" s="979" t="str">
        <f t="shared" si="419"/>
        <v>-</v>
      </c>
      <c r="CI264" s="979" t="str">
        <f t="shared" si="414"/>
        <v>-</v>
      </c>
      <c r="CJ264" s="979" t="str">
        <f t="shared" si="415"/>
        <v>-</v>
      </c>
      <c r="CK264" s="981" t="str">
        <f t="shared" si="416"/>
        <v>-</v>
      </c>
    </row>
    <row r="265" spans="4:89">
      <c r="E265" s="567" t="s">
        <v>880</v>
      </c>
      <c r="F265" s="554" t="str">
        <f>+F264</f>
        <v>Water</v>
      </c>
      <c r="G265" s="555" t="str">
        <f>+G264</f>
        <v>WW</v>
      </c>
      <c r="H265" s="555" t="str">
        <f>+H264</f>
        <v>Headworks</v>
      </c>
      <c r="I265" s="556" t="str">
        <f>+I264</f>
        <v>Variable</v>
      </c>
      <c r="J265" s="590" t="s">
        <v>887</v>
      </c>
      <c r="K265" s="557"/>
      <c r="L265" s="558"/>
      <c r="M265" s="558"/>
      <c r="N265" s="557"/>
      <c r="O265" s="558"/>
      <c r="P265" s="558"/>
      <c r="Q265" s="558"/>
      <c r="R265" s="1036"/>
      <c r="S265" s="1139"/>
      <c r="T265" s="593"/>
      <c r="U265" s="1036"/>
      <c r="V265" s="1139"/>
      <c r="W265" s="593"/>
      <c r="X265" s="593"/>
      <c r="Y265" s="593"/>
      <c r="Z265" s="1036"/>
      <c r="AA265" s="1139"/>
      <c r="AB265" s="593"/>
      <c r="AC265" s="593"/>
      <c r="AD265" s="593"/>
      <c r="AE265" s="1036"/>
      <c r="AF265" s="1139"/>
      <c r="AG265" s="593"/>
      <c r="AH265" s="593"/>
      <c r="AI265" s="593"/>
      <c r="AJ265" s="1036"/>
      <c r="AK265" s="569"/>
      <c r="AL265" s="569"/>
      <c r="AN265" s="857"/>
      <c r="AO265" s="961" t="str">
        <f t="shared" si="389"/>
        <v>Qty</v>
      </c>
      <c r="AP265" s="962" t="str">
        <f t="shared" si="390"/>
        <v>Water</v>
      </c>
      <c r="AQ265" s="963" t="str">
        <f t="shared" si="391"/>
        <v>Variable</v>
      </c>
      <c r="AR265" s="967" t="str">
        <f t="shared" si="392"/>
        <v>-</v>
      </c>
      <c r="AS265" s="964" t="str">
        <f t="shared" si="393"/>
        <v>-</v>
      </c>
      <c r="AT265" s="964" t="str">
        <f t="shared" si="394"/>
        <v>-</v>
      </c>
      <c r="AU265" s="964" t="str">
        <f t="shared" si="395"/>
        <v>-</v>
      </c>
      <c r="AV265" s="1350" t="str">
        <f t="shared" si="396"/>
        <v>-</v>
      </c>
      <c r="AW265" s="1343" t="str">
        <f t="shared" si="397"/>
        <v>-</v>
      </c>
      <c r="AX265" s="964" t="str">
        <f t="shared" si="398"/>
        <v>-</v>
      </c>
      <c r="AY265" s="964" t="str">
        <f t="shared" si="399"/>
        <v>-</v>
      </c>
      <c r="AZ265" s="964" t="str">
        <f t="shared" si="400"/>
        <v>-</v>
      </c>
      <c r="BA265" s="965" t="str">
        <f t="shared" si="401"/>
        <v>-</v>
      </c>
      <c r="BB265" s="1343" t="str">
        <f t="shared" si="402"/>
        <v>-</v>
      </c>
      <c r="BC265" s="964" t="str">
        <f t="shared" si="403"/>
        <v>-</v>
      </c>
      <c r="BD265" s="964" t="str">
        <f t="shared" si="404"/>
        <v>-</v>
      </c>
      <c r="BE265" s="964" t="str">
        <f t="shared" si="405"/>
        <v>-</v>
      </c>
      <c r="BF265" s="966" t="str">
        <f t="shared" si="406"/>
        <v>-</v>
      </c>
      <c r="BG265" s="951"/>
      <c r="BH265" s="1541" t="str">
        <f t="shared" si="407"/>
        <v>Qty</v>
      </c>
      <c r="BI265" s="1542" t="str">
        <f t="shared" si="408"/>
        <v>Water</v>
      </c>
      <c r="BJ265" s="1543" t="str">
        <f t="shared" si="409"/>
        <v>Variable</v>
      </c>
      <c r="BK265" s="964" t="str">
        <f t="shared" ref="BK265:BU265" si="423">IF(V265="","-",IFERROR((V265/U265-1)*(U266/U$13),"-"))</f>
        <v>-</v>
      </c>
      <c r="BL265" s="964" t="str">
        <f t="shared" si="423"/>
        <v>-</v>
      </c>
      <c r="BM265" s="964" t="str">
        <f t="shared" si="423"/>
        <v>-</v>
      </c>
      <c r="BN265" s="964" t="str">
        <f t="shared" si="423"/>
        <v>-</v>
      </c>
      <c r="BO265" s="1350" t="str">
        <f t="shared" si="423"/>
        <v>-</v>
      </c>
      <c r="BP265" s="1343" t="str">
        <f t="shared" si="423"/>
        <v>-</v>
      </c>
      <c r="BQ265" s="964" t="str">
        <f t="shared" si="423"/>
        <v>-</v>
      </c>
      <c r="BR265" s="964" t="str">
        <f t="shared" si="423"/>
        <v>-</v>
      </c>
      <c r="BS265" s="964" t="str">
        <f t="shared" si="423"/>
        <v>-</v>
      </c>
      <c r="BT265" s="965" t="str">
        <f t="shared" si="423"/>
        <v>-</v>
      </c>
      <c r="BU265" s="964" t="str">
        <f t="shared" si="423"/>
        <v>-</v>
      </c>
      <c r="BV265" s="964" t="str">
        <f>IF(AG265="","-",IFERROR((AG265/AF265-1)*(AF266/AF$13),"-"))</f>
        <v>-</v>
      </c>
      <c r="BW265" s="964" t="str">
        <f>IF(AH265="","-",IFERROR((AH265/AG265-1)*(AG266/AG$13),"-"))</f>
        <v>-</v>
      </c>
      <c r="BX265" s="964" t="str">
        <f>IF(AI265="","-",IFERROR((AI265/AH265-1)*(AH266/AH$13),"-"))</f>
        <v>-</v>
      </c>
      <c r="BY265" s="966" t="str">
        <f>IF(AJ265="","-",IFERROR((AJ265/AI265-1)*(AI266/AI$13),"-"))</f>
        <v>-</v>
      </c>
      <c r="BZ265" s="951"/>
      <c r="CA265" s="961" t="str">
        <f t="shared" si="386"/>
        <v>Qty</v>
      </c>
      <c r="CB265" s="962" t="str">
        <f t="shared" si="387"/>
        <v>Water</v>
      </c>
      <c r="CC265" s="962" t="str">
        <f t="shared" si="388"/>
        <v>Variable</v>
      </c>
      <c r="CD265" s="967" t="str">
        <f t="shared" si="418"/>
        <v>-</v>
      </c>
      <c r="CE265" s="964" t="str">
        <f t="shared" si="411"/>
        <v>-</v>
      </c>
      <c r="CF265" s="964" t="str">
        <f t="shared" si="412"/>
        <v>-</v>
      </c>
      <c r="CG265" s="965" t="str">
        <f t="shared" si="413"/>
        <v>-</v>
      </c>
      <c r="CH265" s="964" t="str">
        <f t="shared" si="419"/>
        <v>-</v>
      </c>
      <c r="CI265" s="964" t="str">
        <f t="shared" si="414"/>
        <v>-</v>
      </c>
      <c r="CJ265" s="964" t="str">
        <f t="shared" si="415"/>
        <v>-</v>
      </c>
      <c r="CK265" s="966" t="str">
        <f t="shared" si="416"/>
        <v>-</v>
      </c>
    </row>
    <row r="266" spans="4:89" ht="12.75" thickBot="1">
      <c r="E266" s="568" t="s">
        <v>882</v>
      </c>
      <c r="F266" s="560" t="str">
        <f>+F264</f>
        <v>Water</v>
      </c>
      <c r="G266" s="561" t="str">
        <f>+G264</f>
        <v>WW</v>
      </c>
      <c r="H266" s="561" t="str">
        <f>+H264</f>
        <v>Headworks</v>
      </c>
      <c r="I266" s="562" t="str">
        <f>+I264</f>
        <v>Variable</v>
      </c>
      <c r="J266" s="563" t="s">
        <v>883</v>
      </c>
      <c r="K266" s="564">
        <f t="shared" ref="K266:AJ266" si="424">K264*K265/10^6</f>
        <v>0</v>
      </c>
      <c r="L266" s="565">
        <f t="shared" si="424"/>
        <v>0</v>
      </c>
      <c r="M266" s="565">
        <f t="shared" si="424"/>
        <v>0</v>
      </c>
      <c r="N266" s="564">
        <f t="shared" si="424"/>
        <v>0</v>
      </c>
      <c r="O266" s="565">
        <f t="shared" si="424"/>
        <v>0</v>
      </c>
      <c r="P266" s="565">
        <f t="shared" si="424"/>
        <v>0</v>
      </c>
      <c r="Q266" s="565">
        <f t="shared" si="424"/>
        <v>0</v>
      </c>
      <c r="R266" s="566">
        <f t="shared" si="424"/>
        <v>0</v>
      </c>
      <c r="S266" s="564">
        <f t="shared" si="424"/>
        <v>0</v>
      </c>
      <c r="T266" s="565">
        <f t="shared" si="424"/>
        <v>0</v>
      </c>
      <c r="U266" s="566">
        <f t="shared" si="424"/>
        <v>0</v>
      </c>
      <c r="V266" s="564">
        <f t="shared" si="424"/>
        <v>0</v>
      </c>
      <c r="W266" s="565">
        <f t="shared" si="424"/>
        <v>0</v>
      </c>
      <c r="X266" s="565">
        <f t="shared" si="424"/>
        <v>0</v>
      </c>
      <c r="Y266" s="565">
        <f t="shared" si="424"/>
        <v>0</v>
      </c>
      <c r="Z266" s="566">
        <f t="shared" si="424"/>
        <v>0</v>
      </c>
      <c r="AA266" s="564">
        <f t="shared" si="424"/>
        <v>0</v>
      </c>
      <c r="AB266" s="565">
        <f t="shared" si="424"/>
        <v>0</v>
      </c>
      <c r="AC266" s="565">
        <f t="shared" si="424"/>
        <v>0</v>
      </c>
      <c r="AD266" s="565">
        <f t="shared" si="424"/>
        <v>0</v>
      </c>
      <c r="AE266" s="566">
        <f t="shared" si="424"/>
        <v>0</v>
      </c>
      <c r="AF266" s="564">
        <f t="shared" si="424"/>
        <v>0</v>
      </c>
      <c r="AG266" s="565">
        <f t="shared" si="424"/>
        <v>0</v>
      </c>
      <c r="AH266" s="565">
        <f t="shared" si="424"/>
        <v>0</v>
      </c>
      <c r="AI266" s="565">
        <f t="shared" si="424"/>
        <v>0</v>
      </c>
      <c r="AJ266" s="566">
        <f t="shared" si="424"/>
        <v>0</v>
      </c>
      <c r="AK266" s="569"/>
      <c r="AL266" s="569"/>
      <c r="AN266" s="857"/>
      <c r="AO266" s="984" t="str">
        <f t="shared" si="389"/>
        <v>Rev</v>
      </c>
      <c r="AP266" s="985" t="str">
        <f t="shared" si="390"/>
        <v>Water</v>
      </c>
      <c r="AQ266" s="986" t="str">
        <f t="shared" si="391"/>
        <v>Variable</v>
      </c>
      <c r="AR266" s="990" t="str">
        <f t="shared" si="392"/>
        <v>-</v>
      </c>
      <c r="AS266" s="987" t="str">
        <f t="shared" si="393"/>
        <v>-</v>
      </c>
      <c r="AT266" s="987" t="str">
        <f t="shared" si="394"/>
        <v>-</v>
      </c>
      <c r="AU266" s="987" t="str">
        <f t="shared" si="395"/>
        <v>-</v>
      </c>
      <c r="AV266" s="1353" t="str">
        <f t="shared" si="396"/>
        <v>-</v>
      </c>
      <c r="AW266" s="1346" t="str">
        <f t="shared" si="397"/>
        <v>-</v>
      </c>
      <c r="AX266" s="987" t="str">
        <f t="shared" si="398"/>
        <v>-</v>
      </c>
      <c r="AY266" s="987" t="str">
        <f t="shared" si="399"/>
        <v>-</v>
      </c>
      <c r="AZ266" s="987" t="str">
        <f t="shared" si="400"/>
        <v>-</v>
      </c>
      <c r="BA266" s="988" t="str">
        <f t="shared" si="401"/>
        <v>-</v>
      </c>
      <c r="BB266" s="1346" t="str">
        <f t="shared" si="402"/>
        <v>-</v>
      </c>
      <c r="BC266" s="987" t="str">
        <f t="shared" si="403"/>
        <v>-</v>
      </c>
      <c r="BD266" s="987" t="str">
        <f t="shared" si="404"/>
        <v>-</v>
      </c>
      <c r="BE266" s="987" t="str">
        <f t="shared" si="405"/>
        <v>-</v>
      </c>
      <c r="BF266" s="989" t="str">
        <f t="shared" si="406"/>
        <v>-</v>
      </c>
      <c r="BG266" s="951"/>
      <c r="BH266" s="1550" t="str">
        <f t="shared" si="407"/>
        <v>Rev</v>
      </c>
      <c r="BI266" s="1551" t="str">
        <f t="shared" si="408"/>
        <v>Water</v>
      </c>
      <c r="BJ266" s="1552" t="str">
        <f t="shared" si="409"/>
        <v>Variable</v>
      </c>
      <c r="BK266" s="987" t="str">
        <f t="shared" ref="BK266:BU266" si="425">IF(V266="","-",IFERROR((V266/U266-1)*(U266/U$13),"-"))</f>
        <v>-</v>
      </c>
      <c r="BL266" s="987" t="str">
        <f t="shared" si="425"/>
        <v>-</v>
      </c>
      <c r="BM266" s="987" t="str">
        <f t="shared" si="425"/>
        <v>-</v>
      </c>
      <c r="BN266" s="987" t="str">
        <f t="shared" si="425"/>
        <v>-</v>
      </c>
      <c r="BO266" s="1353" t="str">
        <f t="shared" si="425"/>
        <v>-</v>
      </c>
      <c r="BP266" s="1346" t="str">
        <f t="shared" si="425"/>
        <v>-</v>
      </c>
      <c r="BQ266" s="987" t="str">
        <f t="shared" si="425"/>
        <v>-</v>
      </c>
      <c r="BR266" s="987" t="str">
        <f t="shared" si="425"/>
        <v>-</v>
      </c>
      <c r="BS266" s="987" t="str">
        <f t="shared" si="425"/>
        <v>-</v>
      </c>
      <c r="BT266" s="988" t="str">
        <f t="shared" si="425"/>
        <v>-</v>
      </c>
      <c r="BU266" s="987" t="str">
        <f t="shared" si="425"/>
        <v>-</v>
      </c>
      <c r="BV266" s="987" t="str">
        <f>IF(AG266="","-",IFERROR((AG266/AF266-1)*(AF266/AF$13),"-"))</f>
        <v>-</v>
      </c>
      <c r="BW266" s="987" t="str">
        <f>IF(AH266="","-",IFERROR((AH266/AG266-1)*(AG266/AG$13),"-"))</f>
        <v>-</v>
      </c>
      <c r="BX266" s="987" t="str">
        <f>IF(AI266="","-",IFERROR((AI266/AH266-1)*(AH266/AH$13),"-"))</f>
        <v>-</v>
      </c>
      <c r="BY266" s="989" t="str">
        <f>IF(AJ266="","-",IFERROR((AJ266/AI266-1)*(AI266/AI$13),"-"))</f>
        <v>-</v>
      </c>
      <c r="BZ266" s="951"/>
      <c r="CA266" s="984" t="str">
        <f t="shared" si="386"/>
        <v>Rev</v>
      </c>
      <c r="CB266" s="985" t="str">
        <f t="shared" si="387"/>
        <v>Water</v>
      </c>
      <c r="CC266" s="985" t="str">
        <f t="shared" si="388"/>
        <v>Variable</v>
      </c>
      <c r="CD266" s="990" t="str">
        <f t="shared" si="418"/>
        <v>-</v>
      </c>
      <c r="CE266" s="987" t="str">
        <f t="shared" si="411"/>
        <v>-</v>
      </c>
      <c r="CF266" s="987" t="str">
        <f t="shared" si="412"/>
        <v>-</v>
      </c>
      <c r="CG266" s="988" t="str">
        <f t="shared" si="413"/>
        <v>-</v>
      </c>
      <c r="CH266" s="987" t="str">
        <f t="shared" si="419"/>
        <v>-</v>
      </c>
      <c r="CI266" s="987" t="str">
        <f t="shared" si="414"/>
        <v>-</v>
      </c>
      <c r="CJ266" s="987" t="str">
        <f t="shared" si="415"/>
        <v>-</v>
      </c>
      <c r="CK266" s="989" t="str">
        <f t="shared" si="416"/>
        <v>-</v>
      </c>
    </row>
    <row r="267" spans="4:89">
      <c r="D267" s="63">
        <f>D264+1</f>
        <v>67</v>
      </c>
      <c r="E267" s="550" t="s">
        <v>857</v>
      </c>
      <c r="F267" s="595" t="s">
        <v>401</v>
      </c>
      <c r="G267" s="595" t="s">
        <v>94</v>
      </c>
      <c r="H267" s="595" t="s">
        <v>515</v>
      </c>
      <c r="I267" s="589" t="s">
        <v>843</v>
      </c>
      <c r="J267" s="589" t="s">
        <v>879</v>
      </c>
      <c r="K267" s="551"/>
      <c r="L267" s="552"/>
      <c r="M267" s="552"/>
      <c r="N267" s="551"/>
      <c r="O267" s="552"/>
      <c r="P267" s="552"/>
      <c r="Q267" s="552"/>
      <c r="R267" s="1035"/>
      <c r="S267" s="1138"/>
      <c r="T267" s="591"/>
      <c r="U267" s="1035"/>
      <c r="V267" s="1138"/>
      <c r="W267" s="591"/>
      <c r="X267" s="591"/>
      <c r="Y267" s="591"/>
      <c r="Z267" s="1035"/>
      <c r="AA267" s="1138"/>
      <c r="AB267" s="591"/>
      <c r="AC267" s="591"/>
      <c r="AD267" s="591"/>
      <c r="AE267" s="1035"/>
      <c r="AF267" s="1138"/>
      <c r="AG267" s="591"/>
      <c r="AH267" s="591"/>
      <c r="AI267" s="591"/>
      <c r="AJ267" s="1035"/>
      <c r="AK267" s="569"/>
      <c r="AL267" s="569"/>
      <c r="AM267" s="974"/>
      <c r="AN267" s="857"/>
      <c r="AO267" s="975" t="str">
        <f t="shared" si="389"/>
        <v>Price</v>
      </c>
      <c r="AP267" s="976" t="str">
        <f t="shared" si="390"/>
        <v>Water</v>
      </c>
      <c r="AQ267" s="977" t="str">
        <f t="shared" si="391"/>
        <v>Variable</v>
      </c>
      <c r="AR267" s="1341" t="str">
        <f t="shared" si="392"/>
        <v>-</v>
      </c>
      <c r="AS267" s="978" t="str">
        <f t="shared" si="393"/>
        <v>-</v>
      </c>
      <c r="AT267" s="979" t="str">
        <f t="shared" si="394"/>
        <v>-</v>
      </c>
      <c r="AU267" s="979" t="str">
        <f t="shared" si="395"/>
        <v>-</v>
      </c>
      <c r="AV267" s="1352" t="str">
        <f t="shared" si="396"/>
        <v>-</v>
      </c>
      <c r="AW267" s="1345" t="str">
        <f t="shared" si="397"/>
        <v>-</v>
      </c>
      <c r="AX267" s="979" t="str">
        <f t="shared" si="398"/>
        <v>-</v>
      </c>
      <c r="AY267" s="979" t="str">
        <f t="shared" si="399"/>
        <v>-</v>
      </c>
      <c r="AZ267" s="979" t="str">
        <f t="shared" si="400"/>
        <v>-</v>
      </c>
      <c r="BA267" s="980" t="str">
        <f t="shared" si="401"/>
        <v>-</v>
      </c>
      <c r="BB267" s="1345" t="str">
        <f t="shared" si="402"/>
        <v>-</v>
      </c>
      <c r="BC267" s="979" t="str">
        <f t="shared" si="403"/>
        <v>-</v>
      </c>
      <c r="BD267" s="979" t="str">
        <f t="shared" si="404"/>
        <v>-</v>
      </c>
      <c r="BE267" s="979" t="str">
        <f t="shared" si="405"/>
        <v>-</v>
      </c>
      <c r="BF267" s="981" t="str">
        <f t="shared" si="406"/>
        <v>-</v>
      </c>
      <c r="BG267" s="951"/>
      <c r="BH267" s="1547" t="str">
        <f t="shared" si="407"/>
        <v>Price</v>
      </c>
      <c r="BI267" s="1548" t="str">
        <f t="shared" si="408"/>
        <v>Water</v>
      </c>
      <c r="BJ267" s="1549" t="str">
        <f t="shared" si="409"/>
        <v>Variable</v>
      </c>
      <c r="BK267" s="978" t="str">
        <f t="shared" ref="BK267:BU267" si="426">IF(V267="","-",IFERROR((V267/U267-1)*(U269/U$13),"-"))</f>
        <v>-</v>
      </c>
      <c r="BL267" s="978" t="str">
        <f t="shared" si="426"/>
        <v>-</v>
      </c>
      <c r="BM267" s="979" t="str">
        <f t="shared" si="426"/>
        <v>-</v>
      </c>
      <c r="BN267" s="979" t="str">
        <f t="shared" si="426"/>
        <v>-</v>
      </c>
      <c r="BO267" s="1352" t="str">
        <f t="shared" si="426"/>
        <v>-</v>
      </c>
      <c r="BP267" s="1345" t="str">
        <f t="shared" si="426"/>
        <v>-</v>
      </c>
      <c r="BQ267" s="979" t="str">
        <f t="shared" si="426"/>
        <v>-</v>
      </c>
      <c r="BR267" s="979" t="str">
        <f t="shared" si="426"/>
        <v>-</v>
      </c>
      <c r="BS267" s="979" t="str">
        <f t="shared" si="426"/>
        <v>-</v>
      </c>
      <c r="BT267" s="980" t="str">
        <f t="shared" si="426"/>
        <v>-</v>
      </c>
      <c r="BU267" s="979" t="str">
        <f t="shared" si="426"/>
        <v>-</v>
      </c>
      <c r="BV267" s="979" t="str">
        <f>IF(AG267="","-",IFERROR((AG267/AF267-1)*(AF269/AF$13),"-"))</f>
        <v>-</v>
      </c>
      <c r="BW267" s="979" t="str">
        <f>IF(AH267="","-",IFERROR((AH267/AG267-1)*(AG269/AG$13),"-"))</f>
        <v>-</v>
      </c>
      <c r="BX267" s="979" t="str">
        <f>IF(AI267="","-",IFERROR((AI267/AH267-1)*(AH269/AH$13),"-"))</f>
        <v>-</v>
      </c>
      <c r="BY267" s="981" t="str">
        <f>IF(AJ267="","-",IFERROR((AJ267/AI267-1)*(AI269/AI$13),"-"))</f>
        <v>-</v>
      </c>
      <c r="BZ267" s="951"/>
      <c r="CA267" s="975" t="str">
        <f t="shared" si="386"/>
        <v>Price</v>
      </c>
      <c r="CB267" s="976" t="str">
        <f t="shared" si="387"/>
        <v>Water</v>
      </c>
      <c r="CC267" s="982" t="str">
        <f t="shared" si="388"/>
        <v>Variable</v>
      </c>
      <c r="CD267" s="983" t="str">
        <f t="shared" si="418"/>
        <v>-</v>
      </c>
      <c r="CE267" s="979" t="str">
        <f t="shared" si="411"/>
        <v>-</v>
      </c>
      <c r="CF267" s="979" t="str">
        <f t="shared" si="412"/>
        <v>-</v>
      </c>
      <c r="CG267" s="980" t="str">
        <f t="shared" si="413"/>
        <v>-</v>
      </c>
      <c r="CH267" s="979" t="str">
        <f t="shared" si="419"/>
        <v>-</v>
      </c>
      <c r="CI267" s="979" t="str">
        <f t="shared" si="414"/>
        <v>-</v>
      </c>
      <c r="CJ267" s="979" t="str">
        <f t="shared" si="415"/>
        <v>-</v>
      </c>
      <c r="CK267" s="981" t="str">
        <f t="shared" si="416"/>
        <v>-</v>
      </c>
    </row>
    <row r="268" spans="4:89">
      <c r="E268" s="567" t="s">
        <v>880</v>
      </c>
      <c r="F268" s="554" t="str">
        <f>+F267</f>
        <v>Water</v>
      </c>
      <c r="G268" s="555" t="str">
        <f>+G267</f>
        <v>SGW</v>
      </c>
      <c r="H268" s="555" t="str">
        <f>+H267</f>
        <v>Headworks</v>
      </c>
      <c r="I268" s="556" t="str">
        <f>+I267</f>
        <v>Variable</v>
      </c>
      <c r="J268" s="590" t="s">
        <v>887</v>
      </c>
      <c r="K268" s="557"/>
      <c r="L268" s="558"/>
      <c r="M268" s="558"/>
      <c r="N268" s="557"/>
      <c r="O268" s="558"/>
      <c r="P268" s="558"/>
      <c r="Q268" s="558"/>
      <c r="R268" s="1036"/>
      <c r="S268" s="1139"/>
      <c r="T268" s="593"/>
      <c r="U268" s="1036"/>
      <c r="V268" s="1139"/>
      <c r="W268" s="593"/>
      <c r="X268" s="593"/>
      <c r="Y268" s="593"/>
      <c r="Z268" s="1036"/>
      <c r="AA268" s="1139"/>
      <c r="AB268" s="593"/>
      <c r="AC268" s="593"/>
      <c r="AD268" s="593"/>
      <c r="AE268" s="1036"/>
      <c r="AF268" s="1139"/>
      <c r="AG268" s="593"/>
      <c r="AH268" s="593"/>
      <c r="AI268" s="593"/>
      <c r="AJ268" s="1036"/>
      <c r="AK268" s="569"/>
      <c r="AL268" s="569"/>
      <c r="AN268" s="857"/>
      <c r="AO268" s="961" t="str">
        <f t="shared" si="389"/>
        <v>Qty</v>
      </c>
      <c r="AP268" s="962" t="str">
        <f t="shared" si="390"/>
        <v>Water</v>
      </c>
      <c r="AQ268" s="963" t="str">
        <f t="shared" si="391"/>
        <v>Variable</v>
      </c>
      <c r="AR268" s="967" t="str">
        <f t="shared" si="392"/>
        <v>-</v>
      </c>
      <c r="AS268" s="964" t="str">
        <f t="shared" si="393"/>
        <v>-</v>
      </c>
      <c r="AT268" s="964" t="str">
        <f t="shared" si="394"/>
        <v>-</v>
      </c>
      <c r="AU268" s="964" t="str">
        <f t="shared" si="395"/>
        <v>-</v>
      </c>
      <c r="AV268" s="1350" t="str">
        <f t="shared" si="396"/>
        <v>-</v>
      </c>
      <c r="AW268" s="1343" t="str">
        <f t="shared" si="397"/>
        <v>-</v>
      </c>
      <c r="AX268" s="964" t="str">
        <f t="shared" si="398"/>
        <v>-</v>
      </c>
      <c r="AY268" s="964" t="str">
        <f t="shared" si="399"/>
        <v>-</v>
      </c>
      <c r="AZ268" s="964" t="str">
        <f t="shared" si="400"/>
        <v>-</v>
      </c>
      <c r="BA268" s="965" t="str">
        <f t="shared" si="401"/>
        <v>-</v>
      </c>
      <c r="BB268" s="1343" t="str">
        <f t="shared" si="402"/>
        <v>-</v>
      </c>
      <c r="BC268" s="964" t="str">
        <f t="shared" si="403"/>
        <v>-</v>
      </c>
      <c r="BD268" s="964" t="str">
        <f t="shared" si="404"/>
        <v>-</v>
      </c>
      <c r="BE268" s="964" t="str">
        <f t="shared" si="405"/>
        <v>-</v>
      </c>
      <c r="BF268" s="966" t="str">
        <f t="shared" si="406"/>
        <v>-</v>
      </c>
      <c r="BG268" s="951"/>
      <c r="BH268" s="1541" t="str">
        <f t="shared" si="407"/>
        <v>Qty</v>
      </c>
      <c r="BI268" s="1542" t="str">
        <f t="shared" si="408"/>
        <v>Water</v>
      </c>
      <c r="BJ268" s="1543" t="str">
        <f t="shared" si="409"/>
        <v>Variable</v>
      </c>
      <c r="BK268" s="964" t="str">
        <f t="shared" ref="BK268:BU268" si="427">IF(V268="","-",IFERROR((V268/U268-1)*(U269/U$13),"-"))</f>
        <v>-</v>
      </c>
      <c r="BL268" s="964" t="str">
        <f t="shared" si="427"/>
        <v>-</v>
      </c>
      <c r="BM268" s="964" t="str">
        <f t="shared" si="427"/>
        <v>-</v>
      </c>
      <c r="BN268" s="964" t="str">
        <f t="shared" si="427"/>
        <v>-</v>
      </c>
      <c r="BO268" s="1350" t="str">
        <f t="shared" si="427"/>
        <v>-</v>
      </c>
      <c r="BP268" s="1343" t="str">
        <f t="shared" si="427"/>
        <v>-</v>
      </c>
      <c r="BQ268" s="964" t="str">
        <f t="shared" si="427"/>
        <v>-</v>
      </c>
      <c r="BR268" s="964" t="str">
        <f t="shared" si="427"/>
        <v>-</v>
      </c>
      <c r="BS268" s="964" t="str">
        <f t="shared" si="427"/>
        <v>-</v>
      </c>
      <c r="BT268" s="965" t="str">
        <f t="shared" si="427"/>
        <v>-</v>
      </c>
      <c r="BU268" s="964" t="str">
        <f t="shared" si="427"/>
        <v>-</v>
      </c>
      <c r="BV268" s="964" t="str">
        <f>IF(AG268="","-",IFERROR((AG268/AF268-1)*(AF269/AF$13),"-"))</f>
        <v>-</v>
      </c>
      <c r="BW268" s="964" t="str">
        <f>IF(AH268="","-",IFERROR((AH268/AG268-1)*(AG269/AG$13),"-"))</f>
        <v>-</v>
      </c>
      <c r="BX268" s="964" t="str">
        <f>IF(AI268="","-",IFERROR((AI268/AH268-1)*(AH269/AH$13),"-"))</f>
        <v>-</v>
      </c>
      <c r="BY268" s="966" t="str">
        <f>IF(AJ268="","-",IFERROR((AJ268/AI268-1)*(AI269/AI$13),"-"))</f>
        <v>-</v>
      </c>
      <c r="BZ268" s="951"/>
      <c r="CA268" s="961" t="str">
        <f t="shared" si="386"/>
        <v>Qty</v>
      </c>
      <c r="CB268" s="962" t="str">
        <f t="shared" si="387"/>
        <v>Water</v>
      </c>
      <c r="CC268" s="962" t="str">
        <f t="shared" si="388"/>
        <v>Variable</v>
      </c>
      <c r="CD268" s="967" t="str">
        <f t="shared" si="418"/>
        <v>-</v>
      </c>
      <c r="CE268" s="964" t="str">
        <f t="shared" si="411"/>
        <v>-</v>
      </c>
      <c r="CF268" s="964" t="str">
        <f t="shared" si="412"/>
        <v>-</v>
      </c>
      <c r="CG268" s="965" t="str">
        <f t="shared" si="413"/>
        <v>-</v>
      </c>
      <c r="CH268" s="964" t="str">
        <f t="shared" si="419"/>
        <v>-</v>
      </c>
      <c r="CI268" s="964" t="str">
        <f t="shared" si="414"/>
        <v>-</v>
      </c>
      <c r="CJ268" s="964" t="str">
        <f t="shared" si="415"/>
        <v>-</v>
      </c>
      <c r="CK268" s="966" t="str">
        <f t="shared" si="416"/>
        <v>-</v>
      </c>
    </row>
    <row r="269" spans="4:89" ht="12.75" thickBot="1">
      <c r="E269" s="568" t="s">
        <v>882</v>
      </c>
      <c r="F269" s="560" t="str">
        <f>+F267</f>
        <v>Water</v>
      </c>
      <c r="G269" s="561" t="str">
        <f>+G267</f>
        <v>SGW</v>
      </c>
      <c r="H269" s="561" t="str">
        <f>+H267</f>
        <v>Headworks</v>
      </c>
      <c r="I269" s="562" t="str">
        <f>+I267</f>
        <v>Variable</v>
      </c>
      <c r="J269" s="563" t="s">
        <v>883</v>
      </c>
      <c r="K269" s="564">
        <f t="shared" ref="K269:AJ269" si="428">K267*K268/10^6</f>
        <v>0</v>
      </c>
      <c r="L269" s="565">
        <f t="shared" si="428"/>
        <v>0</v>
      </c>
      <c r="M269" s="565">
        <f t="shared" si="428"/>
        <v>0</v>
      </c>
      <c r="N269" s="564">
        <f t="shared" si="428"/>
        <v>0</v>
      </c>
      <c r="O269" s="565">
        <f t="shared" si="428"/>
        <v>0</v>
      </c>
      <c r="P269" s="565">
        <f t="shared" si="428"/>
        <v>0</v>
      </c>
      <c r="Q269" s="565">
        <f t="shared" si="428"/>
        <v>0</v>
      </c>
      <c r="R269" s="566">
        <f t="shared" si="428"/>
        <v>0</v>
      </c>
      <c r="S269" s="564">
        <f t="shared" si="428"/>
        <v>0</v>
      </c>
      <c r="T269" s="565">
        <f t="shared" si="428"/>
        <v>0</v>
      </c>
      <c r="U269" s="566">
        <f t="shared" si="428"/>
        <v>0</v>
      </c>
      <c r="V269" s="564">
        <f t="shared" si="428"/>
        <v>0</v>
      </c>
      <c r="W269" s="565">
        <f t="shared" si="428"/>
        <v>0</v>
      </c>
      <c r="X269" s="565">
        <f t="shared" si="428"/>
        <v>0</v>
      </c>
      <c r="Y269" s="565">
        <f t="shared" si="428"/>
        <v>0</v>
      </c>
      <c r="Z269" s="566">
        <f t="shared" si="428"/>
        <v>0</v>
      </c>
      <c r="AA269" s="564">
        <f t="shared" si="428"/>
        <v>0</v>
      </c>
      <c r="AB269" s="565">
        <f t="shared" si="428"/>
        <v>0</v>
      </c>
      <c r="AC269" s="565">
        <f t="shared" si="428"/>
        <v>0</v>
      </c>
      <c r="AD269" s="565">
        <f t="shared" si="428"/>
        <v>0</v>
      </c>
      <c r="AE269" s="566">
        <f t="shared" si="428"/>
        <v>0</v>
      </c>
      <c r="AF269" s="564">
        <f t="shared" si="428"/>
        <v>0</v>
      </c>
      <c r="AG269" s="565">
        <f t="shared" si="428"/>
        <v>0</v>
      </c>
      <c r="AH269" s="565">
        <f t="shared" si="428"/>
        <v>0</v>
      </c>
      <c r="AI269" s="565">
        <f t="shared" si="428"/>
        <v>0</v>
      </c>
      <c r="AJ269" s="566">
        <f t="shared" si="428"/>
        <v>0</v>
      </c>
      <c r="AK269" s="569"/>
      <c r="AL269" s="569"/>
      <c r="AN269" s="857"/>
      <c r="AO269" s="984" t="str">
        <f t="shared" si="389"/>
        <v>Rev</v>
      </c>
      <c r="AP269" s="985" t="str">
        <f t="shared" si="390"/>
        <v>Water</v>
      </c>
      <c r="AQ269" s="986" t="str">
        <f t="shared" si="391"/>
        <v>Variable</v>
      </c>
      <c r="AR269" s="990" t="str">
        <f t="shared" si="392"/>
        <v>-</v>
      </c>
      <c r="AS269" s="987" t="str">
        <f t="shared" si="393"/>
        <v>-</v>
      </c>
      <c r="AT269" s="987" t="str">
        <f t="shared" si="394"/>
        <v>-</v>
      </c>
      <c r="AU269" s="987" t="str">
        <f t="shared" si="395"/>
        <v>-</v>
      </c>
      <c r="AV269" s="1353" t="str">
        <f t="shared" si="396"/>
        <v>-</v>
      </c>
      <c r="AW269" s="1346" t="str">
        <f t="shared" si="397"/>
        <v>-</v>
      </c>
      <c r="AX269" s="987" t="str">
        <f t="shared" si="398"/>
        <v>-</v>
      </c>
      <c r="AY269" s="987" t="str">
        <f t="shared" si="399"/>
        <v>-</v>
      </c>
      <c r="AZ269" s="987" t="str">
        <f t="shared" si="400"/>
        <v>-</v>
      </c>
      <c r="BA269" s="988" t="str">
        <f t="shared" si="401"/>
        <v>-</v>
      </c>
      <c r="BB269" s="1346" t="str">
        <f t="shared" si="402"/>
        <v>-</v>
      </c>
      <c r="BC269" s="987" t="str">
        <f t="shared" si="403"/>
        <v>-</v>
      </c>
      <c r="BD269" s="987" t="str">
        <f t="shared" si="404"/>
        <v>-</v>
      </c>
      <c r="BE269" s="987" t="str">
        <f t="shared" si="405"/>
        <v>-</v>
      </c>
      <c r="BF269" s="989" t="str">
        <f t="shared" si="406"/>
        <v>-</v>
      </c>
      <c r="BG269" s="951"/>
      <c r="BH269" s="1550" t="str">
        <f t="shared" si="407"/>
        <v>Rev</v>
      </c>
      <c r="BI269" s="1551" t="str">
        <f t="shared" si="408"/>
        <v>Water</v>
      </c>
      <c r="BJ269" s="1552" t="str">
        <f t="shared" si="409"/>
        <v>Variable</v>
      </c>
      <c r="BK269" s="987" t="str">
        <f t="shared" ref="BK269:BU269" si="429">IF(V269="","-",IFERROR((V269/U269-1)*(U269/U$13),"-"))</f>
        <v>-</v>
      </c>
      <c r="BL269" s="987" t="str">
        <f t="shared" si="429"/>
        <v>-</v>
      </c>
      <c r="BM269" s="987" t="str">
        <f t="shared" si="429"/>
        <v>-</v>
      </c>
      <c r="BN269" s="987" t="str">
        <f t="shared" si="429"/>
        <v>-</v>
      </c>
      <c r="BO269" s="1353" t="str">
        <f t="shared" si="429"/>
        <v>-</v>
      </c>
      <c r="BP269" s="1346" t="str">
        <f t="shared" si="429"/>
        <v>-</v>
      </c>
      <c r="BQ269" s="987" t="str">
        <f t="shared" si="429"/>
        <v>-</v>
      </c>
      <c r="BR269" s="987" t="str">
        <f t="shared" si="429"/>
        <v>-</v>
      </c>
      <c r="BS269" s="987" t="str">
        <f t="shared" si="429"/>
        <v>-</v>
      </c>
      <c r="BT269" s="988" t="str">
        <f t="shared" si="429"/>
        <v>-</v>
      </c>
      <c r="BU269" s="987" t="str">
        <f t="shared" si="429"/>
        <v>-</v>
      </c>
      <c r="BV269" s="987" t="str">
        <f>IF(AG269="","-",IFERROR((AG269/AF269-1)*(AF269/AF$13),"-"))</f>
        <v>-</v>
      </c>
      <c r="BW269" s="987" t="str">
        <f>IF(AH269="","-",IFERROR((AH269/AG269-1)*(AG269/AG$13),"-"))</f>
        <v>-</v>
      </c>
      <c r="BX269" s="987" t="str">
        <f>IF(AI269="","-",IFERROR((AI269/AH269-1)*(AH269/AH$13),"-"))</f>
        <v>-</v>
      </c>
      <c r="BY269" s="989" t="str">
        <f>IF(AJ269="","-",IFERROR((AJ269/AI269-1)*(AI269/AI$13),"-"))</f>
        <v>-</v>
      </c>
      <c r="BZ269" s="951"/>
      <c r="CA269" s="984" t="str">
        <f t="shared" si="386"/>
        <v>Rev</v>
      </c>
      <c r="CB269" s="985" t="str">
        <f t="shared" si="387"/>
        <v>Water</v>
      </c>
      <c r="CC269" s="985" t="str">
        <f t="shared" si="388"/>
        <v>Variable</v>
      </c>
      <c r="CD269" s="990" t="str">
        <f t="shared" si="418"/>
        <v>-</v>
      </c>
      <c r="CE269" s="987" t="str">
        <f t="shared" si="411"/>
        <v>-</v>
      </c>
      <c r="CF269" s="987" t="str">
        <f t="shared" si="412"/>
        <v>-</v>
      </c>
      <c r="CG269" s="988" t="str">
        <f t="shared" si="413"/>
        <v>-</v>
      </c>
      <c r="CH269" s="987" t="str">
        <f t="shared" si="419"/>
        <v>-</v>
      </c>
      <c r="CI269" s="987" t="str">
        <f t="shared" si="414"/>
        <v>-</v>
      </c>
      <c r="CJ269" s="987" t="str">
        <f t="shared" si="415"/>
        <v>-</v>
      </c>
      <c r="CK269" s="989" t="str">
        <f t="shared" si="416"/>
        <v>-</v>
      </c>
    </row>
    <row r="270" spans="4:89">
      <c r="D270" s="63">
        <f>D267+1</f>
        <v>68</v>
      </c>
      <c r="E270" s="550" t="s">
        <v>857</v>
      </c>
      <c r="F270" s="595" t="s">
        <v>401</v>
      </c>
      <c r="G270" s="595" t="s">
        <v>101</v>
      </c>
      <c r="H270" s="595" t="s">
        <v>515</v>
      </c>
      <c r="I270" s="589" t="s">
        <v>843</v>
      </c>
      <c r="J270" s="589" t="s">
        <v>879</v>
      </c>
      <c r="K270" s="551"/>
      <c r="L270" s="552"/>
      <c r="M270" s="552"/>
      <c r="N270" s="551"/>
      <c r="O270" s="552"/>
      <c r="P270" s="552"/>
      <c r="Q270" s="552"/>
      <c r="R270" s="1035"/>
      <c r="S270" s="1138"/>
      <c r="T270" s="591"/>
      <c r="U270" s="1035"/>
      <c r="V270" s="1138"/>
      <c r="W270" s="591"/>
      <c r="X270" s="591"/>
      <c r="Y270" s="591"/>
      <c r="Z270" s="1035"/>
      <c r="AA270" s="1138"/>
      <c r="AB270" s="591"/>
      <c r="AC270" s="591"/>
      <c r="AD270" s="591"/>
      <c r="AE270" s="1035"/>
      <c r="AF270" s="1138"/>
      <c r="AG270" s="591"/>
      <c r="AH270" s="591"/>
      <c r="AI270" s="591"/>
      <c r="AJ270" s="1035"/>
      <c r="AK270" s="569"/>
      <c r="AL270" s="569"/>
      <c r="AM270" s="974"/>
      <c r="AN270" s="857"/>
      <c r="AO270" s="975" t="str">
        <f t="shared" si="389"/>
        <v>Price</v>
      </c>
      <c r="AP270" s="976" t="str">
        <f t="shared" si="390"/>
        <v>Water</v>
      </c>
      <c r="AQ270" s="977" t="str">
        <f t="shared" si="391"/>
        <v>Variable</v>
      </c>
      <c r="AR270" s="1341" t="str">
        <f t="shared" si="392"/>
        <v>-</v>
      </c>
      <c r="AS270" s="978" t="str">
        <f t="shared" si="393"/>
        <v>-</v>
      </c>
      <c r="AT270" s="979" t="str">
        <f t="shared" si="394"/>
        <v>-</v>
      </c>
      <c r="AU270" s="979" t="str">
        <f t="shared" si="395"/>
        <v>-</v>
      </c>
      <c r="AV270" s="1352" t="str">
        <f t="shared" si="396"/>
        <v>-</v>
      </c>
      <c r="AW270" s="1345" t="str">
        <f t="shared" si="397"/>
        <v>-</v>
      </c>
      <c r="AX270" s="979" t="str">
        <f t="shared" si="398"/>
        <v>-</v>
      </c>
      <c r="AY270" s="979" t="str">
        <f t="shared" si="399"/>
        <v>-</v>
      </c>
      <c r="AZ270" s="979" t="str">
        <f t="shared" si="400"/>
        <v>-</v>
      </c>
      <c r="BA270" s="980" t="str">
        <f t="shared" si="401"/>
        <v>-</v>
      </c>
      <c r="BB270" s="1345" t="str">
        <f t="shared" si="402"/>
        <v>-</v>
      </c>
      <c r="BC270" s="979" t="str">
        <f t="shared" si="403"/>
        <v>-</v>
      </c>
      <c r="BD270" s="979" t="str">
        <f t="shared" si="404"/>
        <v>-</v>
      </c>
      <c r="BE270" s="979" t="str">
        <f t="shared" si="405"/>
        <v>-</v>
      </c>
      <c r="BF270" s="981" t="str">
        <f t="shared" si="406"/>
        <v>-</v>
      </c>
      <c r="BG270" s="951"/>
      <c r="BH270" s="1547" t="str">
        <f t="shared" si="407"/>
        <v>Price</v>
      </c>
      <c r="BI270" s="1548" t="str">
        <f t="shared" si="408"/>
        <v>Water</v>
      </c>
      <c r="BJ270" s="1549" t="str">
        <f t="shared" si="409"/>
        <v>Variable</v>
      </c>
      <c r="BK270" s="978" t="str">
        <f t="shared" ref="BK270:BU270" si="430">IF(V270="","-",IFERROR((V270/U270-1)*(U272/U$13),"-"))</f>
        <v>-</v>
      </c>
      <c r="BL270" s="978" t="str">
        <f t="shared" si="430"/>
        <v>-</v>
      </c>
      <c r="BM270" s="979" t="str">
        <f t="shared" si="430"/>
        <v>-</v>
      </c>
      <c r="BN270" s="979" t="str">
        <f t="shared" si="430"/>
        <v>-</v>
      </c>
      <c r="BO270" s="1352" t="str">
        <f t="shared" si="430"/>
        <v>-</v>
      </c>
      <c r="BP270" s="1345" t="str">
        <f t="shared" si="430"/>
        <v>-</v>
      </c>
      <c r="BQ270" s="979" t="str">
        <f t="shared" si="430"/>
        <v>-</v>
      </c>
      <c r="BR270" s="979" t="str">
        <f t="shared" si="430"/>
        <v>-</v>
      </c>
      <c r="BS270" s="979" t="str">
        <f t="shared" si="430"/>
        <v>-</v>
      </c>
      <c r="BT270" s="980" t="str">
        <f t="shared" si="430"/>
        <v>-</v>
      </c>
      <c r="BU270" s="979" t="str">
        <f t="shared" si="430"/>
        <v>-</v>
      </c>
      <c r="BV270" s="979" t="str">
        <f>IF(AG270="","-",IFERROR((AG270/AF270-1)*(AF272/AF$13),"-"))</f>
        <v>-</v>
      </c>
      <c r="BW270" s="979" t="str">
        <f>IF(AH270="","-",IFERROR((AH270/AG270-1)*(AG272/AG$13),"-"))</f>
        <v>-</v>
      </c>
      <c r="BX270" s="979" t="str">
        <f>IF(AI270="","-",IFERROR((AI270/AH270-1)*(AH272/AH$13),"-"))</f>
        <v>-</v>
      </c>
      <c r="BY270" s="981" t="str">
        <f>IF(AJ270="","-",IFERROR((AJ270/AI270-1)*(AI272/AI$13),"-"))</f>
        <v>-</v>
      </c>
      <c r="BZ270" s="951"/>
      <c r="CA270" s="975" t="str">
        <f t="shared" si="386"/>
        <v>Price</v>
      </c>
      <c r="CB270" s="976" t="str">
        <f t="shared" si="387"/>
        <v>Water</v>
      </c>
      <c r="CC270" s="982" t="str">
        <f t="shared" si="388"/>
        <v>Variable</v>
      </c>
      <c r="CD270" s="983" t="str">
        <f t="shared" si="418"/>
        <v>-</v>
      </c>
      <c r="CE270" s="979" t="str">
        <f t="shared" si="411"/>
        <v>-</v>
      </c>
      <c r="CF270" s="979" t="str">
        <f t="shared" si="412"/>
        <v>-</v>
      </c>
      <c r="CG270" s="980" t="str">
        <f t="shared" si="413"/>
        <v>-</v>
      </c>
      <c r="CH270" s="979" t="str">
        <f t="shared" si="419"/>
        <v>-</v>
      </c>
      <c r="CI270" s="979" t="str">
        <f t="shared" si="414"/>
        <v>-</v>
      </c>
      <c r="CJ270" s="979" t="str">
        <f t="shared" si="415"/>
        <v>-</v>
      </c>
      <c r="CK270" s="981" t="str">
        <f t="shared" si="416"/>
        <v>-</v>
      </c>
    </row>
    <row r="271" spans="4:89">
      <c r="E271" s="567" t="s">
        <v>880</v>
      </c>
      <c r="F271" s="554" t="str">
        <f>+F270</f>
        <v>Water</v>
      </c>
      <c r="G271" s="555" t="str">
        <f>+G270</f>
        <v>WPW</v>
      </c>
      <c r="H271" s="555" t="str">
        <f>+H270</f>
        <v>Headworks</v>
      </c>
      <c r="I271" s="556" t="str">
        <f>+I270</f>
        <v>Variable</v>
      </c>
      <c r="J271" s="590" t="s">
        <v>887</v>
      </c>
      <c r="K271" s="557"/>
      <c r="L271" s="558"/>
      <c r="M271" s="558"/>
      <c r="N271" s="557"/>
      <c r="O271" s="558"/>
      <c r="P271" s="558"/>
      <c r="Q271" s="558"/>
      <c r="R271" s="1036"/>
      <c r="S271" s="1139"/>
      <c r="T271" s="593"/>
      <c r="U271" s="1036"/>
      <c r="V271" s="1139"/>
      <c r="W271" s="593"/>
      <c r="X271" s="593"/>
      <c r="Y271" s="593"/>
      <c r="Z271" s="1036"/>
      <c r="AA271" s="1139"/>
      <c r="AB271" s="593"/>
      <c r="AC271" s="593"/>
      <c r="AD271" s="593"/>
      <c r="AE271" s="1036"/>
      <c r="AF271" s="1139"/>
      <c r="AG271" s="593"/>
      <c r="AH271" s="593"/>
      <c r="AI271" s="593"/>
      <c r="AJ271" s="1036"/>
      <c r="AK271" s="569"/>
      <c r="AL271" s="569"/>
      <c r="AN271" s="857"/>
      <c r="AO271" s="961" t="str">
        <f t="shared" si="389"/>
        <v>Qty</v>
      </c>
      <c r="AP271" s="962" t="str">
        <f t="shared" si="390"/>
        <v>Water</v>
      </c>
      <c r="AQ271" s="963" t="str">
        <f t="shared" si="391"/>
        <v>Variable</v>
      </c>
      <c r="AR271" s="967" t="str">
        <f t="shared" si="392"/>
        <v>-</v>
      </c>
      <c r="AS271" s="964" t="str">
        <f t="shared" si="393"/>
        <v>-</v>
      </c>
      <c r="AT271" s="964" t="str">
        <f t="shared" si="394"/>
        <v>-</v>
      </c>
      <c r="AU271" s="964" t="str">
        <f t="shared" si="395"/>
        <v>-</v>
      </c>
      <c r="AV271" s="1350" t="str">
        <f t="shared" si="396"/>
        <v>-</v>
      </c>
      <c r="AW271" s="1343" t="str">
        <f t="shared" si="397"/>
        <v>-</v>
      </c>
      <c r="AX271" s="964" t="str">
        <f t="shared" si="398"/>
        <v>-</v>
      </c>
      <c r="AY271" s="964" t="str">
        <f t="shared" si="399"/>
        <v>-</v>
      </c>
      <c r="AZ271" s="964" t="str">
        <f t="shared" si="400"/>
        <v>-</v>
      </c>
      <c r="BA271" s="965" t="str">
        <f t="shared" si="401"/>
        <v>-</v>
      </c>
      <c r="BB271" s="1343" t="str">
        <f t="shared" si="402"/>
        <v>-</v>
      </c>
      <c r="BC271" s="964" t="str">
        <f t="shared" si="403"/>
        <v>-</v>
      </c>
      <c r="BD271" s="964" t="str">
        <f t="shared" si="404"/>
        <v>-</v>
      </c>
      <c r="BE271" s="964" t="str">
        <f t="shared" si="405"/>
        <v>-</v>
      </c>
      <c r="BF271" s="966" t="str">
        <f t="shared" si="406"/>
        <v>-</v>
      </c>
      <c r="BG271" s="951"/>
      <c r="BH271" s="1541" t="str">
        <f t="shared" si="407"/>
        <v>Qty</v>
      </c>
      <c r="BI271" s="1542" t="str">
        <f t="shared" si="408"/>
        <v>Water</v>
      </c>
      <c r="BJ271" s="1543" t="str">
        <f t="shared" si="409"/>
        <v>Variable</v>
      </c>
      <c r="BK271" s="964" t="str">
        <f t="shared" ref="BK271:BU271" si="431">IF(V271="","-",IFERROR((V271/U271-1)*(U272/U$13),"-"))</f>
        <v>-</v>
      </c>
      <c r="BL271" s="964" t="str">
        <f t="shared" si="431"/>
        <v>-</v>
      </c>
      <c r="BM271" s="964" t="str">
        <f t="shared" si="431"/>
        <v>-</v>
      </c>
      <c r="BN271" s="964" t="str">
        <f t="shared" si="431"/>
        <v>-</v>
      </c>
      <c r="BO271" s="1350" t="str">
        <f t="shared" si="431"/>
        <v>-</v>
      </c>
      <c r="BP271" s="1343" t="str">
        <f t="shared" si="431"/>
        <v>-</v>
      </c>
      <c r="BQ271" s="964" t="str">
        <f t="shared" si="431"/>
        <v>-</v>
      </c>
      <c r="BR271" s="964" t="str">
        <f t="shared" si="431"/>
        <v>-</v>
      </c>
      <c r="BS271" s="964" t="str">
        <f t="shared" si="431"/>
        <v>-</v>
      </c>
      <c r="BT271" s="965" t="str">
        <f t="shared" si="431"/>
        <v>-</v>
      </c>
      <c r="BU271" s="964" t="str">
        <f t="shared" si="431"/>
        <v>-</v>
      </c>
      <c r="BV271" s="964" t="str">
        <f>IF(AG271="","-",IFERROR((AG271/AF271-1)*(AF272/AF$13),"-"))</f>
        <v>-</v>
      </c>
      <c r="BW271" s="964" t="str">
        <f>IF(AH271="","-",IFERROR((AH271/AG271-1)*(AG272/AG$13),"-"))</f>
        <v>-</v>
      </c>
      <c r="BX271" s="964" t="str">
        <f>IF(AI271="","-",IFERROR((AI271/AH271-1)*(AH272/AH$13),"-"))</f>
        <v>-</v>
      </c>
      <c r="BY271" s="966" t="str">
        <f>IF(AJ271="","-",IFERROR((AJ271/AI271-1)*(AI272/AI$13),"-"))</f>
        <v>-</v>
      </c>
      <c r="BZ271" s="951"/>
      <c r="CA271" s="961" t="str">
        <f t="shared" si="386"/>
        <v>Qty</v>
      </c>
      <c r="CB271" s="962" t="str">
        <f t="shared" si="387"/>
        <v>Water</v>
      </c>
      <c r="CC271" s="962" t="str">
        <f t="shared" si="388"/>
        <v>Variable</v>
      </c>
      <c r="CD271" s="967" t="str">
        <f t="shared" si="418"/>
        <v>-</v>
      </c>
      <c r="CE271" s="964" t="str">
        <f t="shared" si="411"/>
        <v>-</v>
      </c>
      <c r="CF271" s="964" t="str">
        <f t="shared" si="412"/>
        <v>-</v>
      </c>
      <c r="CG271" s="965" t="str">
        <f t="shared" si="413"/>
        <v>-</v>
      </c>
      <c r="CH271" s="964" t="str">
        <f t="shared" si="419"/>
        <v>-</v>
      </c>
      <c r="CI271" s="964" t="str">
        <f t="shared" si="414"/>
        <v>-</v>
      </c>
      <c r="CJ271" s="964" t="str">
        <f t="shared" si="415"/>
        <v>-</v>
      </c>
      <c r="CK271" s="966" t="str">
        <f t="shared" si="416"/>
        <v>-</v>
      </c>
    </row>
    <row r="272" spans="4:89" ht="12.75" thickBot="1">
      <c r="E272" s="568" t="s">
        <v>882</v>
      </c>
      <c r="F272" s="560" t="str">
        <f>+F270</f>
        <v>Water</v>
      </c>
      <c r="G272" s="561" t="str">
        <f>+G270</f>
        <v>WPW</v>
      </c>
      <c r="H272" s="561" t="str">
        <f>+H270</f>
        <v>Headworks</v>
      </c>
      <c r="I272" s="562" t="str">
        <f>+I270</f>
        <v>Variable</v>
      </c>
      <c r="J272" s="563" t="s">
        <v>883</v>
      </c>
      <c r="K272" s="564">
        <f t="shared" ref="K272:AJ272" si="432">K270*K271/10^6</f>
        <v>0</v>
      </c>
      <c r="L272" s="565">
        <f t="shared" si="432"/>
        <v>0</v>
      </c>
      <c r="M272" s="565">
        <f t="shared" si="432"/>
        <v>0</v>
      </c>
      <c r="N272" s="564">
        <f t="shared" si="432"/>
        <v>0</v>
      </c>
      <c r="O272" s="565">
        <f t="shared" si="432"/>
        <v>0</v>
      </c>
      <c r="P272" s="565">
        <f t="shared" si="432"/>
        <v>0</v>
      </c>
      <c r="Q272" s="565">
        <f t="shared" si="432"/>
        <v>0</v>
      </c>
      <c r="R272" s="566">
        <f t="shared" si="432"/>
        <v>0</v>
      </c>
      <c r="S272" s="564">
        <f t="shared" si="432"/>
        <v>0</v>
      </c>
      <c r="T272" s="565">
        <f t="shared" si="432"/>
        <v>0</v>
      </c>
      <c r="U272" s="566">
        <f t="shared" si="432"/>
        <v>0</v>
      </c>
      <c r="V272" s="564">
        <f t="shared" si="432"/>
        <v>0</v>
      </c>
      <c r="W272" s="565">
        <f t="shared" si="432"/>
        <v>0</v>
      </c>
      <c r="X272" s="565">
        <f t="shared" si="432"/>
        <v>0</v>
      </c>
      <c r="Y272" s="565">
        <f t="shared" si="432"/>
        <v>0</v>
      </c>
      <c r="Z272" s="566">
        <f t="shared" si="432"/>
        <v>0</v>
      </c>
      <c r="AA272" s="564">
        <f t="shared" si="432"/>
        <v>0</v>
      </c>
      <c r="AB272" s="565">
        <f t="shared" si="432"/>
        <v>0</v>
      </c>
      <c r="AC272" s="565">
        <f t="shared" si="432"/>
        <v>0</v>
      </c>
      <c r="AD272" s="565">
        <f t="shared" si="432"/>
        <v>0</v>
      </c>
      <c r="AE272" s="566">
        <f t="shared" si="432"/>
        <v>0</v>
      </c>
      <c r="AF272" s="564">
        <f t="shared" si="432"/>
        <v>0</v>
      </c>
      <c r="AG272" s="565">
        <f t="shared" si="432"/>
        <v>0</v>
      </c>
      <c r="AH272" s="565">
        <f t="shared" si="432"/>
        <v>0</v>
      </c>
      <c r="AI272" s="565">
        <f t="shared" si="432"/>
        <v>0</v>
      </c>
      <c r="AJ272" s="566">
        <f t="shared" si="432"/>
        <v>0</v>
      </c>
      <c r="AK272" s="569"/>
      <c r="AL272" s="569"/>
      <c r="AN272" s="857"/>
      <c r="AO272" s="984" t="str">
        <f t="shared" si="389"/>
        <v>Rev</v>
      </c>
      <c r="AP272" s="985" t="str">
        <f t="shared" si="390"/>
        <v>Water</v>
      </c>
      <c r="AQ272" s="986" t="str">
        <f t="shared" si="391"/>
        <v>Variable</v>
      </c>
      <c r="AR272" s="990" t="str">
        <f t="shared" si="392"/>
        <v>-</v>
      </c>
      <c r="AS272" s="987" t="str">
        <f t="shared" si="393"/>
        <v>-</v>
      </c>
      <c r="AT272" s="987" t="str">
        <f t="shared" si="394"/>
        <v>-</v>
      </c>
      <c r="AU272" s="987" t="str">
        <f t="shared" si="395"/>
        <v>-</v>
      </c>
      <c r="AV272" s="1353" t="str">
        <f t="shared" si="396"/>
        <v>-</v>
      </c>
      <c r="AW272" s="1346" t="str">
        <f t="shared" si="397"/>
        <v>-</v>
      </c>
      <c r="AX272" s="987" t="str">
        <f t="shared" si="398"/>
        <v>-</v>
      </c>
      <c r="AY272" s="987" t="str">
        <f t="shared" si="399"/>
        <v>-</v>
      </c>
      <c r="AZ272" s="987" t="str">
        <f t="shared" si="400"/>
        <v>-</v>
      </c>
      <c r="BA272" s="988" t="str">
        <f t="shared" si="401"/>
        <v>-</v>
      </c>
      <c r="BB272" s="1346" t="str">
        <f t="shared" si="402"/>
        <v>-</v>
      </c>
      <c r="BC272" s="987" t="str">
        <f t="shared" si="403"/>
        <v>-</v>
      </c>
      <c r="BD272" s="987" t="str">
        <f t="shared" si="404"/>
        <v>-</v>
      </c>
      <c r="BE272" s="987" t="str">
        <f t="shared" si="405"/>
        <v>-</v>
      </c>
      <c r="BF272" s="989" t="str">
        <f t="shared" si="406"/>
        <v>-</v>
      </c>
      <c r="BG272" s="951"/>
      <c r="BH272" s="1550" t="str">
        <f t="shared" si="407"/>
        <v>Rev</v>
      </c>
      <c r="BI272" s="1551" t="str">
        <f t="shared" si="408"/>
        <v>Water</v>
      </c>
      <c r="BJ272" s="1552" t="str">
        <f t="shared" si="409"/>
        <v>Variable</v>
      </c>
      <c r="BK272" s="987" t="str">
        <f t="shared" ref="BK272:BU272" si="433">IF(V272="","-",IFERROR((V272/U272-1)*(U272/U$13),"-"))</f>
        <v>-</v>
      </c>
      <c r="BL272" s="987" t="str">
        <f t="shared" si="433"/>
        <v>-</v>
      </c>
      <c r="BM272" s="987" t="str">
        <f t="shared" si="433"/>
        <v>-</v>
      </c>
      <c r="BN272" s="987" t="str">
        <f t="shared" si="433"/>
        <v>-</v>
      </c>
      <c r="BO272" s="1353" t="str">
        <f t="shared" si="433"/>
        <v>-</v>
      </c>
      <c r="BP272" s="1346" t="str">
        <f t="shared" si="433"/>
        <v>-</v>
      </c>
      <c r="BQ272" s="987" t="str">
        <f t="shared" si="433"/>
        <v>-</v>
      </c>
      <c r="BR272" s="987" t="str">
        <f t="shared" si="433"/>
        <v>-</v>
      </c>
      <c r="BS272" s="987" t="str">
        <f t="shared" si="433"/>
        <v>-</v>
      </c>
      <c r="BT272" s="988" t="str">
        <f t="shared" si="433"/>
        <v>-</v>
      </c>
      <c r="BU272" s="987" t="str">
        <f t="shared" si="433"/>
        <v>-</v>
      </c>
      <c r="BV272" s="987" t="str">
        <f>IF(AG272="","-",IFERROR((AG272/AF272-1)*(AF272/AF$13),"-"))</f>
        <v>-</v>
      </c>
      <c r="BW272" s="987" t="str">
        <f>IF(AH272="","-",IFERROR((AH272/AG272-1)*(AG272/AG$13),"-"))</f>
        <v>-</v>
      </c>
      <c r="BX272" s="987" t="str">
        <f>IF(AI272="","-",IFERROR((AI272/AH272-1)*(AH272/AH$13),"-"))</f>
        <v>-</v>
      </c>
      <c r="BY272" s="989" t="str">
        <f>IF(AJ272="","-",IFERROR((AJ272/AI272-1)*(AI272/AI$13),"-"))</f>
        <v>-</v>
      </c>
      <c r="BZ272" s="951"/>
      <c r="CA272" s="984" t="str">
        <f t="shared" si="386"/>
        <v>Rev</v>
      </c>
      <c r="CB272" s="985" t="str">
        <f t="shared" si="387"/>
        <v>Water</v>
      </c>
      <c r="CC272" s="985" t="str">
        <f t="shared" si="388"/>
        <v>Variable</v>
      </c>
      <c r="CD272" s="990" t="str">
        <f t="shared" si="418"/>
        <v>-</v>
      </c>
      <c r="CE272" s="987" t="str">
        <f t="shared" si="411"/>
        <v>-</v>
      </c>
      <c r="CF272" s="987" t="str">
        <f t="shared" si="412"/>
        <v>-</v>
      </c>
      <c r="CG272" s="988" t="str">
        <f t="shared" si="413"/>
        <v>-</v>
      </c>
      <c r="CH272" s="987" t="str">
        <f t="shared" si="419"/>
        <v>-</v>
      </c>
      <c r="CI272" s="987" t="str">
        <f t="shared" si="414"/>
        <v>-</v>
      </c>
      <c r="CJ272" s="987" t="str">
        <f t="shared" si="415"/>
        <v>-</v>
      </c>
      <c r="CK272" s="989" t="str">
        <f t="shared" si="416"/>
        <v>-</v>
      </c>
    </row>
    <row r="273" spans="4:89">
      <c r="D273" s="63">
        <f>D270+1</f>
        <v>69</v>
      </c>
      <c r="E273" s="550" t="s">
        <v>857</v>
      </c>
      <c r="F273" s="595" t="s">
        <v>401</v>
      </c>
      <c r="G273" s="595" t="s">
        <v>877</v>
      </c>
      <c r="H273" s="595" t="s">
        <v>515</v>
      </c>
      <c r="I273" s="589" t="s">
        <v>842</v>
      </c>
      <c r="J273" s="589" t="s">
        <v>879</v>
      </c>
      <c r="K273" s="551"/>
      <c r="L273" s="552"/>
      <c r="M273" s="552"/>
      <c r="N273" s="551"/>
      <c r="O273" s="552"/>
      <c r="P273" s="552"/>
      <c r="Q273" s="552"/>
      <c r="R273" s="1035"/>
      <c r="S273" s="1138"/>
      <c r="T273" s="591"/>
      <c r="U273" s="1035"/>
      <c r="V273" s="1138"/>
      <c r="W273" s="591"/>
      <c r="X273" s="591"/>
      <c r="Y273" s="591"/>
      <c r="Z273" s="1035"/>
      <c r="AA273" s="1138"/>
      <c r="AB273" s="591"/>
      <c r="AC273" s="591"/>
      <c r="AD273" s="591"/>
      <c r="AE273" s="1035"/>
      <c r="AF273" s="1138"/>
      <c r="AG273" s="591"/>
      <c r="AH273" s="591"/>
      <c r="AI273" s="591"/>
      <c r="AJ273" s="1035"/>
      <c r="AK273" s="569"/>
      <c r="AL273" s="569"/>
      <c r="AM273" s="974"/>
      <c r="AN273" s="857"/>
      <c r="AO273" s="975" t="str">
        <f t="shared" si="389"/>
        <v>Price</v>
      </c>
      <c r="AP273" s="976" t="str">
        <f t="shared" si="390"/>
        <v>Water</v>
      </c>
      <c r="AQ273" s="977" t="str">
        <f t="shared" si="391"/>
        <v>Fixed</v>
      </c>
      <c r="AR273" s="1341" t="str">
        <f t="shared" si="392"/>
        <v>-</v>
      </c>
      <c r="AS273" s="978" t="str">
        <f t="shared" si="393"/>
        <v>-</v>
      </c>
      <c r="AT273" s="979" t="str">
        <f t="shared" si="394"/>
        <v>-</v>
      </c>
      <c r="AU273" s="979" t="str">
        <f t="shared" si="395"/>
        <v>-</v>
      </c>
      <c r="AV273" s="1352" t="str">
        <f t="shared" si="396"/>
        <v>-</v>
      </c>
      <c r="AW273" s="1345" t="str">
        <f t="shared" si="397"/>
        <v>-</v>
      </c>
      <c r="AX273" s="979" t="str">
        <f t="shared" si="398"/>
        <v>-</v>
      </c>
      <c r="AY273" s="979" t="str">
        <f t="shared" si="399"/>
        <v>-</v>
      </c>
      <c r="AZ273" s="979" t="str">
        <f t="shared" si="400"/>
        <v>-</v>
      </c>
      <c r="BA273" s="980" t="str">
        <f t="shared" si="401"/>
        <v>-</v>
      </c>
      <c r="BB273" s="1345" t="str">
        <f t="shared" si="402"/>
        <v>-</v>
      </c>
      <c r="BC273" s="979" t="str">
        <f t="shared" si="403"/>
        <v>-</v>
      </c>
      <c r="BD273" s="979" t="str">
        <f t="shared" si="404"/>
        <v>-</v>
      </c>
      <c r="BE273" s="979" t="str">
        <f t="shared" si="405"/>
        <v>-</v>
      </c>
      <c r="BF273" s="981" t="str">
        <f t="shared" si="406"/>
        <v>-</v>
      </c>
      <c r="BG273" s="951"/>
      <c r="BH273" s="1547" t="str">
        <f t="shared" si="407"/>
        <v>Price</v>
      </c>
      <c r="BI273" s="1548" t="str">
        <f t="shared" si="408"/>
        <v>Water</v>
      </c>
      <c r="BJ273" s="1549" t="str">
        <f t="shared" si="409"/>
        <v>Fixed</v>
      </c>
      <c r="BK273" s="978" t="str">
        <f t="shared" ref="BK273:BU273" si="434">IF(V273="","-",IFERROR((V273/U273-1)*(U275/U$13),"-"))</f>
        <v>-</v>
      </c>
      <c r="BL273" s="978" t="str">
        <f t="shared" si="434"/>
        <v>-</v>
      </c>
      <c r="BM273" s="979" t="str">
        <f t="shared" si="434"/>
        <v>-</v>
      </c>
      <c r="BN273" s="979" t="str">
        <f t="shared" si="434"/>
        <v>-</v>
      </c>
      <c r="BO273" s="1352" t="str">
        <f t="shared" si="434"/>
        <v>-</v>
      </c>
      <c r="BP273" s="1345" t="str">
        <f t="shared" si="434"/>
        <v>-</v>
      </c>
      <c r="BQ273" s="979" t="str">
        <f t="shared" si="434"/>
        <v>-</v>
      </c>
      <c r="BR273" s="979" t="str">
        <f t="shared" si="434"/>
        <v>-</v>
      </c>
      <c r="BS273" s="979" t="str">
        <f t="shared" si="434"/>
        <v>-</v>
      </c>
      <c r="BT273" s="980" t="str">
        <f t="shared" si="434"/>
        <v>-</v>
      </c>
      <c r="BU273" s="979" t="str">
        <f t="shared" si="434"/>
        <v>-</v>
      </c>
      <c r="BV273" s="979" t="str">
        <f>IF(AG273="","-",IFERROR((AG273/AF273-1)*(AF275/AF$13),"-"))</f>
        <v>-</v>
      </c>
      <c r="BW273" s="979" t="str">
        <f>IF(AH273="","-",IFERROR((AH273/AG273-1)*(AG275/AG$13),"-"))</f>
        <v>-</v>
      </c>
      <c r="BX273" s="979" t="str">
        <f>IF(AI273="","-",IFERROR((AI273/AH273-1)*(AH275/AH$13),"-"))</f>
        <v>-</v>
      </c>
      <c r="BY273" s="981" t="str">
        <f>IF(AJ273="","-",IFERROR((AJ273/AI273-1)*(AI275/AI$13),"-"))</f>
        <v>-</v>
      </c>
      <c r="BZ273" s="951"/>
      <c r="CA273" s="975" t="str">
        <f t="shared" si="386"/>
        <v>Price</v>
      </c>
      <c r="CB273" s="976" t="str">
        <f t="shared" si="387"/>
        <v>Water</v>
      </c>
      <c r="CC273" s="982" t="str">
        <f t="shared" si="388"/>
        <v>Fixed</v>
      </c>
      <c r="CD273" s="983" t="str">
        <f t="shared" si="418"/>
        <v>-</v>
      </c>
      <c r="CE273" s="979" t="str">
        <f t="shared" si="411"/>
        <v>-</v>
      </c>
      <c r="CF273" s="979" t="str">
        <f t="shared" si="412"/>
        <v>-</v>
      </c>
      <c r="CG273" s="980" t="str">
        <f t="shared" si="413"/>
        <v>-</v>
      </c>
      <c r="CH273" s="979" t="str">
        <f t="shared" si="419"/>
        <v>-</v>
      </c>
      <c r="CI273" s="979" t="str">
        <f t="shared" si="414"/>
        <v>-</v>
      </c>
      <c r="CJ273" s="979" t="str">
        <f t="shared" si="415"/>
        <v>-</v>
      </c>
      <c r="CK273" s="981" t="str">
        <f t="shared" si="416"/>
        <v>-</v>
      </c>
    </row>
    <row r="274" spans="4:89">
      <c r="E274" s="567" t="s">
        <v>880</v>
      </c>
      <c r="F274" s="554" t="str">
        <f>+F273</f>
        <v>Water</v>
      </c>
      <c r="G274" s="555" t="str">
        <f>+G273</f>
        <v>GWW</v>
      </c>
      <c r="H274" s="555" t="str">
        <f>+H273</f>
        <v>Headworks</v>
      </c>
      <c r="I274" s="556" t="str">
        <f>+I273</f>
        <v>Fixed</v>
      </c>
      <c r="J274" s="590" t="s">
        <v>890</v>
      </c>
      <c r="K274" s="557"/>
      <c r="L274" s="558"/>
      <c r="M274" s="558"/>
      <c r="N274" s="557"/>
      <c r="O274" s="558"/>
      <c r="P274" s="558"/>
      <c r="Q274" s="558"/>
      <c r="R274" s="1036"/>
      <c r="S274" s="1139"/>
      <c r="T274" s="593"/>
      <c r="U274" s="1036"/>
      <c r="V274" s="1139"/>
      <c r="W274" s="593"/>
      <c r="X274" s="593"/>
      <c r="Y274" s="593"/>
      <c r="Z274" s="1036"/>
      <c r="AA274" s="1139"/>
      <c r="AB274" s="593"/>
      <c r="AC274" s="593"/>
      <c r="AD274" s="593"/>
      <c r="AE274" s="1036"/>
      <c r="AF274" s="1139"/>
      <c r="AG274" s="593"/>
      <c r="AH274" s="593"/>
      <c r="AI274" s="593"/>
      <c r="AJ274" s="1036"/>
      <c r="AK274" s="569"/>
      <c r="AL274" s="569"/>
      <c r="AN274" s="857"/>
      <c r="AO274" s="961" t="str">
        <f t="shared" si="389"/>
        <v>Qty</v>
      </c>
      <c r="AP274" s="962" t="str">
        <f t="shared" si="390"/>
        <v>Water</v>
      </c>
      <c r="AQ274" s="963" t="str">
        <f t="shared" si="391"/>
        <v>Fixed</v>
      </c>
      <c r="AR274" s="967" t="str">
        <f t="shared" si="392"/>
        <v>-</v>
      </c>
      <c r="AS274" s="964" t="str">
        <f t="shared" si="393"/>
        <v>-</v>
      </c>
      <c r="AT274" s="964" t="str">
        <f t="shared" si="394"/>
        <v>-</v>
      </c>
      <c r="AU274" s="964" t="str">
        <f t="shared" si="395"/>
        <v>-</v>
      </c>
      <c r="AV274" s="1350" t="str">
        <f t="shared" si="396"/>
        <v>-</v>
      </c>
      <c r="AW274" s="1343" t="str">
        <f t="shared" si="397"/>
        <v>-</v>
      </c>
      <c r="AX274" s="964" t="str">
        <f t="shared" si="398"/>
        <v>-</v>
      </c>
      <c r="AY274" s="964" t="str">
        <f t="shared" si="399"/>
        <v>-</v>
      </c>
      <c r="AZ274" s="964" t="str">
        <f t="shared" si="400"/>
        <v>-</v>
      </c>
      <c r="BA274" s="965" t="str">
        <f t="shared" si="401"/>
        <v>-</v>
      </c>
      <c r="BB274" s="1343" t="str">
        <f t="shared" si="402"/>
        <v>-</v>
      </c>
      <c r="BC274" s="964" t="str">
        <f t="shared" si="403"/>
        <v>-</v>
      </c>
      <c r="BD274" s="964" t="str">
        <f t="shared" si="404"/>
        <v>-</v>
      </c>
      <c r="BE274" s="964" t="str">
        <f t="shared" si="405"/>
        <v>-</v>
      </c>
      <c r="BF274" s="966" t="str">
        <f t="shared" si="406"/>
        <v>-</v>
      </c>
      <c r="BG274" s="951"/>
      <c r="BH274" s="1541" t="str">
        <f t="shared" si="407"/>
        <v>Qty</v>
      </c>
      <c r="BI274" s="1542" t="str">
        <f t="shared" si="408"/>
        <v>Water</v>
      </c>
      <c r="BJ274" s="1543" t="str">
        <f t="shared" si="409"/>
        <v>Fixed</v>
      </c>
      <c r="BK274" s="964" t="str">
        <f t="shared" ref="BK274:BU274" si="435">IF(V274="","-",IFERROR((V274/U274-1)*(U275/U$13),"-"))</f>
        <v>-</v>
      </c>
      <c r="BL274" s="964" t="str">
        <f t="shared" si="435"/>
        <v>-</v>
      </c>
      <c r="BM274" s="964" t="str">
        <f t="shared" si="435"/>
        <v>-</v>
      </c>
      <c r="BN274" s="964" t="str">
        <f t="shared" si="435"/>
        <v>-</v>
      </c>
      <c r="BO274" s="1350" t="str">
        <f t="shared" si="435"/>
        <v>-</v>
      </c>
      <c r="BP274" s="1343" t="str">
        <f t="shared" si="435"/>
        <v>-</v>
      </c>
      <c r="BQ274" s="964" t="str">
        <f t="shared" si="435"/>
        <v>-</v>
      </c>
      <c r="BR274" s="964" t="str">
        <f t="shared" si="435"/>
        <v>-</v>
      </c>
      <c r="BS274" s="964" t="str">
        <f t="shared" si="435"/>
        <v>-</v>
      </c>
      <c r="BT274" s="965" t="str">
        <f t="shared" si="435"/>
        <v>-</v>
      </c>
      <c r="BU274" s="964" t="str">
        <f t="shared" si="435"/>
        <v>-</v>
      </c>
      <c r="BV274" s="964" t="str">
        <f>IF(AG274="","-",IFERROR((AG274/AF274-1)*(AF275/AF$13),"-"))</f>
        <v>-</v>
      </c>
      <c r="BW274" s="964" t="str">
        <f>IF(AH274="","-",IFERROR((AH274/AG274-1)*(AG275/AG$13),"-"))</f>
        <v>-</v>
      </c>
      <c r="BX274" s="964" t="str">
        <f>IF(AI274="","-",IFERROR((AI274/AH274-1)*(AH275/AH$13),"-"))</f>
        <v>-</v>
      </c>
      <c r="BY274" s="966" t="str">
        <f>IF(AJ274="","-",IFERROR((AJ274/AI274-1)*(AI275/AI$13),"-"))</f>
        <v>-</v>
      </c>
      <c r="BZ274" s="951"/>
      <c r="CA274" s="961" t="str">
        <f t="shared" si="386"/>
        <v>Qty</v>
      </c>
      <c r="CB274" s="962" t="str">
        <f t="shared" si="387"/>
        <v>Water</v>
      </c>
      <c r="CC274" s="962" t="str">
        <f t="shared" si="388"/>
        <v>Fixed</v>
      </c>
      <c r="CD274" s="967" t="str">
        <f t="shared" si="418"/>
        <v>-</v>
      </c>
      <c r="CE274" s="964" t="str">
        <f t="shared" si="411"/>
        <v>-</v>
      </c>
      <c r="CF274" s="964" t="str">
        <f t="shared" si="412"/>
        <v>-</v>
      </c>
      <c r="CG274" s="965" t="str">
        <f t="shared" si="413"/>
        <v>-</v>
      </c>
      <c r="CH274" s="964" t="str">
        <f t="shared" si="419"/>
        <v>-</v>
      </c>
      <c r="CI274" s="964" t="str">
        <f t="shared" si="414"/>
        <v>-</v>
      </c>
      <c r="CJ274" s="964" t="str">
        <f t="shared" si="415"/>
        <v>-</v>
      </c>
      <c r="CK274" s="966" t="str">
        <f t="shared" si="416"/>
        <v>-</v>
      </c>
    </row>
    <row r="275" spans="4:89" ht="12.75" thickBot="1">
      <c r="E275" s="568" t="s">
        <v>882</v>
      </c>
      <c r="F275" s="560" t="str">
        <f>+F273</f>
        <v>Water</v>
      </c>
      <c r="G275" s="561" t="str">
        <f>+G273</f>
        <v>GWW</v>
      </c>
      <c r="H275" s="561" t="str">
        <f>+H273</f>
        <v>Headworks</v>
      </c>
      <c r="I275" s="562" t="str">
        <f>+I273</f>
        <v>Fixed</v>
      </c>
      <c r="J275" s="563" t="s">
        <v>883</v>
      </c>
      <c r="K275" s="564">
        <f t="shared" ref="K275:AJ275" si="436">K273*K274/10^6</f>
        <v>0</v>
      </c>
      <c r="L275" s="565">
        <f t="shared" si="436"/>
        <v>0</v>
      </c>
      <c r="M275" s="565">
        <f t="shared" si="436"/>
        <v>0</v>
      </c>
      <c r="N275" s="564">
        <f t="shared" si="436"/>
        <v>0</v>
      </c>
      <c r="O275" s="565">
        <f t="shared" si="436"/>
        <v>0</v>
      </c>
      <c r="P275" s="565">
        <f t="shared" si="436"/>
        <v>0</v>
      </c>
      <c r="Q275" s="565">
        <f t="shared" si="436"/>
        <v>0</v>
      </c>
      <c r="R275" s="566">
        <f t="shared" si="436"/>
        <v>0</v>
      </c>
      <c r="S275" s="564">
        <f t="shared" si="436"/>
        <v>0</v>
      </c>
      <c r="T275" s="565">
        <f t="shared" si="436"/>
        <v>0</v>
      </c>
      <c r="U275" s="566">
        <f t="shared" si="436"/>
        <v>0</v>
      </c>
      <c r="V275" s="564">
        <f t="shared" si="436"/>
        <v>0</v>
      </c>
      <c r="W275" s="565">
        <f t="shared" si="436"/>
        <v>0</v>
      </c>
      <c r="X275" s="565">
        <f t="shared" si="436"/>
        <v>0</v>
      </c>
      <c r="Y275" s="565">
        <f t="shared" si="436"/>
        <v>0</v>
      </c>
      <c r="Z275" s="566">
        <f t="shared" si="436"/>
        <v>0</v>
      </c>
      <c r="AA275" s="564">
        <f t="shared" si="436"/>
        <v>0</v>
      </c>
      <c r="AB275" s="565">
        <f t="shared" si="436"/>
        <v>0</v>
      </c>
      <c r="AC275" s="565">
        <f t="shared" si="436"/>
        <v>0</v>
      </c>
      <c r="AD275" s="565">
        <f t="shared" si="436"/>
        <v>0</v>
      </c>
      <c r="AE275" s="566">
        <f t="shared" si="436"/>
        <v>0</v>
      </c>
      <c r="AF275" s="564">
        <f t="shared" si="436"/>
        <v>0</v>
      </c>
      <c r="AG275" s="565">
        <f t="shared" si="436"/>
        <v>0</v>
      </c>
      <c r="AH275" s="565">
        <f t="shared" si="436"/>
        <v>0</v>
      </c>
      <c r="AI275" s="565">
        <f t="shared" si="436"/>
        <v>0</v>
      </c>
      <c r="AJ275" s="566">
        <f t="shared" si="436"/>
        <v>0</v>
      </c>
      <c r="AK275" s="569"/>
      <c r="AL275" s="569"/>
      <c r="AN275" s="857"/>
      <c r="AO275" s="984" t="str">
        <f t="shared" si="389"/>
        <v>Rev</v>
      </c>
      <c r="AP275" s="985" t="str">
        <f t="shared" si="390"/>
        <v>Water</v>
      </c>
      <c r="AQ275" s="986" t="str">
        <f t="shared" si="391"/>
        <v>Fixed</v>
      </c>
      <c r="AR275" s="990" t="str">
        <f t="shared" si="392"/>
        <v>-</v>
      </c>
      <c r="AS275" s="987" t="str">
        <f t="shared" si="393"/>
        <v>-</v>
      </c>
      <c r="AT275" s="987" t="str">
        <f t="shared" si="394"/>
        <v>-</v>
      </c>
      <c r="AU275" s="987" t="str">
        <f t="shared" si="395"/>
        <v>-</v>
      </c>
      <c r="AV275" s="1353" t="str">
        <f t="shared" si="396"/>
        <v>-</v>
      </c>
      <c r="AW275" s="1346" t="str">
        <f t="shared" si="397"/>
        <v>-</v>
      </c>
      <c r="AX275" s="987" t="str">
        <f t="shared" si="398"/>
        <v>-</v>
      </c>
      <c r="AY275" s="987" t="str">
        <f t="shared" si="399"/>
        <v>-</v>
      </c>
      <c r="AZ275" s="987" t="str">
        <f t="shared" si="400"/>
        <v>-</v>
      </c>
      <c r="BA275" s="988" t="str">
        <f t="shared" si="401"/>
        <v>-</v>
      </c>
      <c r="BB275" s="1346" t="str">
        <f t="shared" si="402"/>
        <v>-</v>
      </c>
      <c r="BC275" s="987" t="str">
        <f t="shared" si="403"/>
        <v>-</v>
      </c>
      <c r="BD275" s="987" t="str">
        <f t="shared" si="404"/>
        <v>-</v>
      </c>
      <c r="BE275" s="987" t="str">
        <f t="shared" si="405"/>
        <v>-</v>
      </c>
      <c r="BF275" s="989" t="str">
        <f t="shared" si="406"/>
        <v>-</v>
      </c>
      <c r="BG275" s="951"/>
      <c r="BH275" s="1550" t="str">
        <f t="shared" si="407"/>
        <v>Rev</v>
      </c>
      <c r="BI275" s="1551" t="str">
        <f t="shared" si="408"/>
        <v>Water</v>
      </c>
      <c r="BJ275" s="1552" t="str">
        <f t="shared" si="409"/>
        <v>Fixed</v>
      </c>
      <c r="BK275" s="987" t="str">
        <f t="shared" ref="BK275:BU275" si="437">IF(V275="","-",IFERROR((V275/U275-1)*(U275/U$13),"-"))</f>
        <v>-</v>
      </c>
      <c r="BL275" s="987" t="str">
        <f t="shared" si="437"/>
        <v>-</v>
      </c>
      <c r="BM275" s="987" t="str">
        <f t="shared" si="437"/>
        <v>-</v>
      </c>
      <c r="BN275" s="987" t="str">
        <f t="shared" si="437"/>
        <v>-</v>
      </c>
      <c r="BO275" s="1353" t="str">
        <f t="shared" si="437"/>
        <v>-</v>
      </c>
      <c r="BP275" s="1346" t="str">
        <f t="shared" si="437"/>
        <v>-</v>
      </c>
      <c r="BQ275" s="987" t="str">
        <f t="shared" si="437"/>
        <v>-</v>
      </c>
      <c r="BR275" s="987" t="str">
        <f t="shared" si="437"/>
        <v>-</v>
      </c>
      <c r="BS275" s="987" t="str">
        <f t="shared" si="437"/>
        <v>-</v>
      </c>
      <c r="BT275" s="988" t="str">
        <f t="shared" si="437"/>
        <v>-</v>
      </c>
      <c r="BU275" s="987" t="str">
        <f t="shared" si="437"/>
        <v>-</v>
      </c>
      <c r="BV275" s="987" t="str">
        <f>IF(AG275="","-",IFERROR((AG275/AF275-1)*(AF275/AF$13),"-"))</f>
        <v>-</v>
      </c>
      <c r="BW275" s="987" t="str">
        <f>IF(AH275="","-",IFERROR((AH275/AG275-1)*(AG275/AG$13),"-"))</f>
        <v>-</v>
      </c>
      <c r="BX275" s="987" t="str">
        <f>IF(AI275="","-",IFERROR((AI275/AH275-1)*(AH275/AH$13),"-"))</f>
        <v>-</v>
      </c>
      <c r="BY275" s="989" t="str">
        <f>IF(AJ275="","-",IFERROR((AJ275/AI275-1)*(AI275/AI$13),"-"))</f>
        <v>-</v>
      </c>
      <c r="BZ275" s="951"/>
      <c r="CA275" s="984" t="str">
        <f t="shared" si="386"/>
        <v>Rev</v>
      </c>
      <c r="CB275" s="985" t="str">
        <f t="shared" si="387"/>
        <v>Water</v>
      </c>
      <c r="CC275" s="985" t="str">
        <f t="shared" si="388"/>
        <v>Fixed</v>
      </c>
      <c r="CD275" s="990" t="str">
        <f t="shared" si="418"/>
        <v>-</v>
      </c>
      <c r="CE275" s="987" t="str">
        <f t="shared" si="411"/>
        <v>-</v>
      </c>
      <c r="CF275" s="987" t="str">
        <f t="shared" si="412"/>
        <v>-</v>
      </c>
      <c r="CG275" s="988" t="str">
        <f t="shared" si="413"/>
        <v>-</v>
      </c>
      <c r="CH275" s="987" t="str">
        <f t="shared" si="419"/>
        <v>-</v>
      </c>
      <c r="CI275" s="987" t="str">
        <f t="shared" si="414"/>
        <v>-</v>
      </c>
      <c r="CJ275" s="987" t="str">
        <f t="shared" si="415"/>
        <v>-</v>
      </c>
      <c r="CK275" s="989" t="str">
        <f t="shared" si="416"/>
        <v>-</v>
      </c>
    </row>
    <row r="276" spans="4:89">
      <c r="D276" s="63">
        <f>D273+1</f>
        <v>70</v>
      </c>
      <c r="E276" s="550" t="s">
        <v>857</v>
      </c>
      <c r="F276" s="595" t="s">
        <v>401</v>
      </c>
      <c r="G276" s="595" t="s">
        <v>92</v>
      </c>
      <c r="H276" s="595" t="s">
        <v>515</v>
      </c>
      <c r="I276" s="589" t="s">
        <v>842</v>
      </c>
      <c r="J276" s="589" t="s">
        <v>879</v>
      </c>
      <c r="K276" s="551"/>
      <c r="L276" s="552"/>
      <c r="M276" s="552"/>
      <c r="N276" s="551"/>
      <c r="O276" s="552"/>
      <c r="P276" s="552"/>
      <c r="Q276" s="552"/>
      <c r="R276" s="1035"/>
      <c r="S276" s="1138"/>
      <c r="T276" s="591"/>
      <c r="U276" s="1035"/>
      <c r="V276" s="1138"/>
      <c r="W276" s="591"/>
      <c r="X276" s="591"/>
      <c r="Y276" s="591"/>
      <c r="Z276" s="1035"/>
      <c r="AA276" s="1138"/>
      <c r="AB276" s="591"/>
      <c r="AC276" s="591"/>
      <c r="AD276" s="591"/>
      <c r="AE276" s="1035"/>
      <c r="AF276" s="1138"/>
      <c r="AG276" s="591"/>
      <c r="AH276" s="591"/>
      <c r="AI276" s="591"/>
      <c r="AJ276" s="1035"/>
      <c r="AK276" s="569"/>
      <c r="AL276" s="569"/>
      <c r="AM276" s="974"/>
      <c r="AN276" s="857"/>
      <c r="AO276" s="975" t="str">
        <f t="shared" si="389"/>
        <v>Price</v>
      </c>
      <c r="AP276" s="976" t="str">
        <f t="shared" si="390"/>
        <v>Water</v>
      </c>
      <c r="AQ276" s="977" t="str">
        <f t="shared" si="391"/>
        <v>Fixed</v>
      </c>
      <c r="AR276" s="1341" t="str">
        <f t="shared" si="392"/>
        <v>-</v>
      </c>
      <c r="AS276" s="978" t="str">
        <f t="shared" si="393"/>
        <v>-</v>
      </c>
      <c r="AT276" s="979" t="str">
        <f t="shared" si="394"/>
        <v>-</v>
      </c>
      <c r="AU276" s="979" t="str">
        <f t="shared" si="395"/>
        <v>-</v>
      </c>
      <c r="AV276" s="1352" t="str">
        <f t="shared" si="396"/>
        <v>-</v>
      </c>
      <c r="AW276" s="1345" t="str">
        <f t="shared" si="397"/>
        <v>-</v>
      </c>
      <c r="AX276" s="979" t="str">
        <f t="shared" si="398"/>
        <v>-</v>
      </c>
      <c r="AY276" s="979" t="str">
        <f t="shared" si="399"/>
        <v>-</v>
      </c>
      <c r="AZ276" s="979" t="str">
        <f t="shared" si="400"/>
        <v>-</v>
      </c>
      <c r="BA276" s="980" t="str">
        <f t="shared" si="401"/>
        <v>-</v>
      </c>
      <c r="BB276" s="1345" t="str">
        <f t="shared" si="402"/>
        <v>-</v>
      </c>
      <c r="BC276" s="979" t="str">
        <f t="shared" si="403"/>
        <v>-</v>
      </c>
      <c r="BD276" s="979" t="str">
        <f t="shared" si="404"/>
        <v>-</v>
      </c>
      <c r="BE276" s="979" t="str">
        <f t="shared" si="405"/>
        <v>-</v>
      </c>
      <c r="BF276" s="981" t="str">
        <f t="shared" si="406"/>
        <v>-</v>
      </c>
      <c r="BG276" s="951"/>
      <c r="BH276" s="1547" t="str">
        <f t="shared" si="407"/>
        <v>Price</v>
      </c>
      <c r="BI276" s="1548" t="str">
        <f t="shared" si="408"/>
        <v>Water</v>
      </c>
      <c r="BJ276" s="1549" t="str">
        <f t="shared" si="409"/>
        <v>Fixed</v>
      </c>
      <c r="BK276" s="978" t="str">
        <f t="shared" ref="BK276:BU276" si="438">IF(V276="","-",IFERROR((V276/U276-1)*(U278/U$13),"-"))</f>
        <v>-</v>
      </c>
      <c r="BL276" s="978" t="str">
        <f t="shared" si="438"/>
        <v>-</v>
      </c>
      <c r="BM276" s="979" t="str">
        <f t="shared" si="438"/>
        <v>-</v>
      </c>
      <c r="BN276" s="979" t="str">
        <f t="shared" si="438"/>
        <v>-</v>
      </c>
      <c r="BO276" s="1352" t="str">
        <f t="shared" si="438"/>
        <v>-</v>
      </c>
      <c r="BP276" s="1345" t="str">
        <f t="shared" si="438"/>
        <v>-</v>
      </c>
      <c r="BQ276" s="979" t="str">
        <f t="shared" si="438"/>
        <v>-</v>
      </c>
      <c r="BR276" s="979" t="str">
        <f t="shared" si="438"/>
        <v>-</v>
      </c>
      <c r="BS276" s="979" t="str">
        <f t="shared" si="438"/>
        <v>-</v>
      </c>
      <c r="BT276" s="980" t="str">
        <f t="shared" si="438"/>
        <v>-</v>
      </c>
      <c r="BU276" s="979" t="str">
        <f t="shared" si="438"/>
        <v>-</v>
      </c>
      <c r="BV276" s="979" t="str">
        <f>IF(AG276="","-",IFERROR((AG276/AF276-1)*(AF278/AF$13),"-"))</f>
        <v>-</v>
      </c>
      <c r="BW276" s="979" t="str">
        <f>IF(AH276="","-",IFERROR((AH276/AG276-1)*(AG278/AG$13),"-"))</f>
        <v>-</v>
      </c>
      <c r="BX276" s="979" t="str">
        <f>IF(AI276="","-",IFERROR((AI276/AH276-1)*(AH278/AH$13),"-"))</f>
        <v>-</v>
      </c>
      <c r="BY276" s="981" t="str">
        <f>IF(AJ276="","-",IFERROR((AJ276/AI276-1)*(AI278/AI$13),"-"))</f>
        <v>-</v>
      </c>
      <c r="BZ276" s="951"/>
      <c r="CA276" s="975" t="str">
        <f t="shared" si="386"/>
        <v>Price</v>
      </c>
      <c r="CB276" s="976" t="str">
        <f t="shared" si="387"/>
        <v>Water</v>
      </c>
      <c r="CC276" s="982" t="str">
        <f t="shared" si="388"/>
        <v>Fixed</v>
      </c>
      <c r="CD276" s="983" t="str">
        <f t="shared" si="418"/>
        <v>-</v>
      </c>
      <c r="CE276" s="979" t="str">
        <f t="shared" si="411"/>
        <v>-</v>
      </c>
      <c r="CF276" s="979" t="str">
        <f t="shared" si="412"/>
        <v>-</v>
      </c>
      <c r="CG276" s="980" t="str">
        <f t="shared" si="413"/>
        <v>-</v>
      </c>
      <c r="CH276" s="979" t="str">
        <f t="shared" si="419"/>
        <v>-</v>
      </c>
      <c r="CI276" s="979" t="str">
        <f t="shared" si="414"/>
        <v>-</v>
      </c>
      <c r="CJ276" s="979" t="str">
        <f t="shared" si="415"/>
        <v>-</v>
      </c>
      <c r="CK276" s="981" t="str">
        <f t="shared" si="416"/>
        <v>-</v>
      </c>
    </row>
    <row r="277" spans="4:89">
      <c r="E277" s="567" t="s">
        <v>880</v>
      </c>
      <c r="F277" s="554" t="str">
        <f>+F276</f>
        <v>Water</v>
      </c>
      <c r="G277" s="555" t="str">
        <f>+G276</f>
        <v>SEW</v>
      </c>
      <c r="H277" s="555" t="str">
        <f>+H276</f>
        <v>Headworks</v>
      </c>
      <c r="I277" s="556" t="str">
        <f>+I276</f>
        <v>Fixed</v>
      </c>
      <c r="J277" s="590" t="s">
        <v>890</v>
      </c>
      <c r="K277" s="557"/>
      <c r="L277" s="558"/>
      <c r="M277" s="558"/>
      <c r="N277" s="557"/>
      <c r="O277" s="558"/>
      <c r="P277" s="558"/>
      <c r="Q277" s="558"/>
      <c r="R277" s="1036"/>
      <c r="S277" s="1139"/>
      <c r="T277" s="593"/>
      <c r="U277" s="1036"/>
      <c r="V277" s="1139"/>
      <c r="W277" s="593"/>
      <c r="X277" s="593"/>
      <c r="Y277" s="593"/>
      <c r="Z277" s="1036"/>
      <c r="AA277" s="1139"/>
      <c r="AB277" s="593"/>
      <c r="AC277" s="593"/>
      <c r="AD277" s="593"/>
      <c r="AE277" s="1036"/>
      <c r="AF277" s="1139"/>
      <c r="AG277" s="593"/>
      <c r="AH277" s="593"/>
      <c r="AI277" s="593"/>
      <c r="AJ277" s="1036"/>
      <c r="AK277" s="569"/>
      <c r="AL277" s="569"/>
      <c r="AN277" s="857"/>
      <c r="AO277" s="961" t="str">
        <f t="shared" si="389"/>
        <v>Qty</v>
      </c>
      <c r="AP277" s="962" t="str">
        <f t="shared" si="390"/>
        <v>Water</v>
      </c>
      <c r="AQ277" s="963" t="str">
        <f t="shared" si="391"/>
        <v>Fixed</v>
      </c>
      <c r="AR277" s="967" t="str">
        <f t="shared" si="392"/>
        <v>-</v>
      </c>
      <c r="AS277" s="964" t="str">
        <f t="shared" si="393"/>
        <v>-</v>
      </c>
      <c r="AT277" s="964" t="str">
        <f t="shared" si="394"/>
        <v>-</v>
      </c>
      <c r="AU277" s="964" t="str">
        <f t="shared" si="395"/>
        <v>-</v>
      </c>
      <c r="AV277" s="1350" t="str">
        <f t="shared" si="396"/>
        <v>-</v>
      </c>
      <c r="AW277" s="1343" t="str">
        <f t="shared" si="397"/>
        <v>-</v>
      </c>
      <c r="AX277" s="964" t="str">
        <f t="shared" si="398"/>
        <v>-</v>
      </c>
      <c r="AY277" s="964" t="str">
        <f t="shared" si="399"/>
        <v>-</v>
      </c>
      <c r="AZ277" s="964" t="str">
        <f t="shared" si="400"/>
        <v>-</v>
      </c>
      <c r="BA277" s="965" t="str">
        <f t="shared" si="401"/>
        <v>-</v>
      </c>
      <c r="BB277" s="1343" t="str">
        <f t="shared" si="402"/>
        <v>-</v>
      </c>
      <c r="BC277" s="964" t="str">
        <f t="shared" si="403"/>
        <v>-</v>
      </c>
      <c r="BD277" s="964" t="str">
        <f t="shared" si="404"/>
        <v>-</v>
      </c>
      <c r="BE277" s="964" t="str">
        <f t="shared" si="405"/>
        <v>-</v>
      </c>
      <c r="BF277" s="966" t="str">
        <f t="shared" si="406"/>
        <v>-</v>
      </c>
      <c r="BG277" s="951"/>
      <c r="BH277" s="1541" t="str">
        <f t="shared" si="407"/>
        <v>Qty</v>
      </c>
      <c r="BI277" s="1542" t="str">
        <f t="shared" si="408"/>
        <v>Water</v>
      </c>
      <c r="BJ277" s="1543" t="str">
        <f t="shared" si="409"/>
        <v>Fixed</v>
      </c>
      <c r="BK277" s="964" t="str">
        <f t="shared" ref="BK277:BU277" si="439">IF(V277="","-",IFERROR((V277/U277-1)*(U278/U$13),"-"))</f>
        <v>-</v>
      </c>
      <c r="BL277" s="964" t="str">
        <f t="shared" si="439"/>
        <v>-</v>
      </c>
      <c r="BM277" s="964" t="str">
        <f t="shared" si="439"/>
        <v>-</v>
      </c>
      <c r="BN277" s="964" t="str">
        <f t="shared" si="439"/>
        <v>-</v>
      </c>
      <c r="BO277" s="1350" t="str">
        <f t="shared" si="439"/>
        <v>-</v>
      </c>
      <c r="BP277" s="1343" t="str">
        <f t="shared" si="439"/>
        <v>-</v>
      </c>
      <c r="BQ277" s="964" t="str">
        <f t="shared" si="439"/>
        <v>-</v>
      </c>
      <c r="BR277" s="964" t="str">
        <f t="shared" si="439"/>
        <v>-</v>
      </c>
      <c r="BS277" s="964" t="str">
        <f t="shared" si="439"/>
        <v>-</v>
      </c>
      <c r="BT277" s="965" t="str">
        <f t="shared" si="439"/>
        <v>-</v>
      </c>
      <c r="BU277" s="964" t="str">
        <f t="shared" si="439"/>
        <v>-</v>
      </c>
      <c r="BV277" s="964" t="str">
        <f>IF(AG277="","-",IFERROR((AG277/AF277-1)*(AF278/AF$13),"-"))</f>
        <v>-</v>
      </c>
      <c r="BW277" s="964" t="str">
        <f>IF(AH277="","-",IFERROR((AH277/AG277-1)*(AG278/AG$13),"-"))</f>
        <v>-</v>
      </c>
      <c r="BX277" s="964" t="str">
        <f>IF(AI277="","-",IFERROR((AI277/AH277-1)*(AH278/AH$13),"-"))</f>
        <v>-</v>
      </c>
      <c r="BY277" s="966" t="str">
        <f>IF(AJ277="","-",IFERROR((AJ277/AI277-1)*(AI278/AI$13),"-"))</f>
        <v>-</v>
      </c>
      <c r="BZ277" s="951"/>
      <c r="CA277" s="961" t="str">
        <f t="shared" si="386"/>
        <v>Qty</v>
      </c>
      <c r="CB277" s="962" t="str">
        <f t="shared" si="387"/>
        <v>Water</v>
      </c>
      <c r="CC277" s="962" t="str">
        <f t="shared" si="388"/>
        <v>Fixed</v>
      </c>
      <c r="CD277" s="967" t="str">
        <f t="shared" si="418"/>
        <v>-</v>
      </c>
      <c r="CE277" s="964" t="str">
        <f t="shared" si="411"/>
        <v>-</v>
      </c>
      <c r="CF277" s="964" t="str">
        <f t="shared" si="412"/>
        <v>-</v>
      </c>
      <c r="CG277" s="965" t="str">
        <f t="shared" si="413"/>
        <v>-</v>
      </c>
      <c r="CH277" s="964" t="str">
        <f t="shared" si="419"/>
        <v>-</v>
      </c>
      <c r="CI277" s="964" t="str">
        <f t="shared" si="414"/>
        <v>-</v>
      </c>
      <c r="CJ277" s="964" t="str">
        <f t="shared" si="415"/>
        <v>-</v>
      </c>
      <c r="CK277" s="966" t="str">
        <f t="shared" si="416"/>
        <v>-</v>
      </c>
    </row>
    <row r="278" spans="4:89" ht="12.75" thickBot="1">
      <c r="E278" s="568" t="s">
        <v>882</v>
      </c>
      <c r="F278" s="560" t="str">
        <f>+F276</f>
        <v>Water</v>
      </c>
      <c r="G278" s="561" t="str">
        <f>+G276</f>
        <v>SEW</v>
      </c>
      <c r="H278" s="561" t="str">
        <f>+H276</f>
        <v>Headworks</v>
      </c>
      <c r="I278" s="562" t="str">
        <f>+I276</f>
        <v>Fixed</v>
      </c>
      <c r="J278" s="563" t="s">
        <v>883</v>
      </c>
      <c r="K278" s="564">
        <f t="shared" ref="K278:AJ278" si="440">K276*K277/10^6</f>
        <v>0</v>
      </c>
      <c r="L278" s="565">
        <f t="shared" si="440"/>
        <v>0</v>
      </c>
      <c r="M278" s="565">
        <f t="shared" si="440"/>
        <v>0</v>
      </c>
      <c r="N278" s="564">
        <f t="shared" si="440"/>
        <v>0</v>
      </c>
      <c r="O278" s="565">
        <f t="shared" si="440"/>
        <v>0</v>
      </c>
      <c r="P278" s="565">
        <f t="shared" si="440"/>
        <v>0</v>
      </c>
      <c r="Q278" s="565">
        <f t="shared" si="440"/>
        <v>0</v>
      </c>
      <c r="R278" s="566">
        <f t="shared" si="440"/>
        <v>0</v>
      </c>
      <c r="S278" s="564">
        <f t="shared" si="440"/>
        <v>0</v>
      </c>
      <c r="T278" s="565">
        <f t="shared" si="440"/>
        <v>0</v>
      </c>
      <c r="U278" s="566">
        <f t="shared" si="440"/>
        <v>0</v>
      </c>
      <c r="V278" s="564">
        <f t="shared" si="440"/>
        <v>0</v>
      </c>
      <c r="W278" s="565">
        <f t="shared" si="440"/>
        <v>0</v>
      </c>
      <c r="X278" s="565">
        <f t="shared" si="440"/>
        <v>0</v>
      </c>
      <c r="Y278" s="565">
        <f t="shared" si="440"/>
        <v>0</v>
      </c>
      <c r="Z278" s="566">
        <f t="shared" si="440"/>
        <v>0</v>
      </c>
      <c r="AA278" s="564">
        <f t="shared" si="440"/>
        <v>0</v>
      </c>
      <c r="AB278" s="565">
        <f t="shared" si="440"/>
        <v>0</v>
      </c>
      <c r="AC278" s="565">
        <f t="shared" si="440"/>
        <v>0</v>
      </c>
      <c r="AD278" s="565">
        <f t="shared" si="440"/>
        <v>0</v>
      </c>
      <c r="AE278" s="566">
        <f t="shared" si="440"/>
        <v>0</v>
      </c>
      <c r="AF278" s="564">
        <f t="shared" si="440"/>
        <v>0</v>
      </c>
      <c r="AG278" s="565">
        <f t="shared" si="440"/>
        <v>0</v>
      </c>
      <c r="AH278" s="565">
        <f t="shared" si="440"/>
        <v>0</v>
      </c>
      <c r="AI278" s="565">
        <f t="shared" si="440"/>
        <v>0</v>
      </c>
      <c r="AJ278" s="566">
        <f t="shared" si="440"/>
        <v>0</v>
      </c>
      <c r="AK278" s="569"/>
      <c r="AL278" s="569"/>
      <c r="AN278" s="857"/>
      <c r="AO278" s="984" t="str">
        <f t="shared" si="389"/>
        <v>Rev</v>
      </c>
      <c r="AP278" s="985" t="str">
        <f t="shared" si="390"/>
        <v>Water</v>
      </c>
      <c r="AQ278" s="986" t="str">
        <f t="shared" si="391"/>
        <v>Fixed</v>
      </c>
      <c r="AR278" s="990" t="str">
        <f t="shared" si="392"/>
        <v>-</v>
      </c>
      <c r="AS278" s="987" t="str">
        <f t="shared" si="393"/>
        <v>-</v>
      </c>
      <c r="AT278" s="987" t="str">
        <f t="shared" si="394"/>
        <v>-</v>
      </c>
      <c r="AU278" s="987" t="str">
        <f t="shared" si="395"/>
        <v>-</v>
      </c>
      <c r="AV278" s="1353" t="str">
        <f t="shared" si="396"/>
        <v>-</v>
      </c>
      <c r="AW278" s="1346" t="str">
        <f t="shared" si="397"/>
        <v>-</v>
      </c>
      <c r="AX278" s="987" t="str">
        <f t="shared" si="398"/>
        <v>-</v>
      </c>
      <c r="AY278" s="987" t="str">
        <f t="shared" si="399"/>
        <v>-</v>
      </c>
      <c r="AZ278" s="987" t="str">
        <f t="shared" si="400"/>
        <v>-</v>
      </c>
      <c r="BA278" s="988" t="str">
        <f t="shared" si="401"/>
        <v>-</v>
      </c>
      <c r="BB278" s="1346" t="str">
        <f t="shared" si="402"/>
        <v>-</v>
      </c>
      <c r="BC278" s="987" t="str">
        <f t="shared" si="403"/>
        <v>-</v>
      </c>
      <c r="BD278" s="987" t="str">
        <f t="shared" si="404"/>
        <v>-</v>
      </c>
      <c r="BE278" s="987" t="str">
        <f t="shared" si="405"/>
        <v>-</v>
      </c>
      <c r="BF278" s="989" t="str">
        <f t="shared" si="406"/>
        <v>-</v>
      </c>
      <c r="BG278" s="951"/>
      <c r="BH278" s="1550" t="str">
        <f t="shared" si="407"/>
        <v>Rev</v>
      </c>
      <c r="BI278" s="1551" t="str">
        <f t="shared" si="408"/>
        <v>Water</v>
      </c>
      <c r="BJ278" s="1552" t="str">
        <f t="shared" si="409"/>
        <v>Fixed</v>
      </c>
      <c r="BK278" s="987" t="str">
        <f t="shared" ref="BK278:BU278" si="441">IF(V278="","-",IFERROR((V278/U278-1)*(U278/U$13),"-"))</f>
        <v>-</v>
      </c>
      <c r="BL278" s="987" t="str">
        <f t="shared" si="441"/>
        <v>-</v>
      </c>
      <c r="BM278" s="987" t="str">
        <f t="shared" si="441"/>
        <v>-</v>
      </c>
      <c r="BN278" s="987" t="str">
        <f t="shared" si="441"/>
        <v>-</v>
      </c>
      <c r="BO278" s="1353" t="str">
        <f t="shared" si="441"/>
        <v>-</v>
      </c>
      <c r="BP278" s="1346" t="str">
        <f t="shared" si="441"/>
        <v>-</v>
      </c>
      <c r="BQ278" s="987" t="str">
        <f t="shared" si="441"/>
        <v>-</v>
      </c>
      <c r="BR278" s="987" t="str">
        <f t="shared" si="441"/>
        <v>-</v>
      </c>
      <c r="BS278" s="987" t="str">
        <f t="shared" si="441"/>
        <v>-</v>
      </c>
      <c r="BT278" s="988" t="str">
        <f t="shared" si="441"/>
        <v>-</v>
      </c>
      <c r="BU278" s="987" t="str">
        <f t="shared" si="441"/>
        <v>-</v>
      </c>
      <c r="BV278" s="987" t="str">
        <f>IF(AG278="","-",IFERROR((AG278/AF278-1)*(AF278/AF$13),"-"))</f>
        <v>-</v>
      </c>
      <c r="BW278" s="987" t="str">
        <f>IF(AH278="","-",IFERROR((AH278/AG278-1)*(AG278/AG$13),"-"))</f>
        <v>-</v>
      </c>
      <c r="BX278" s="987" t="str">
        <f>IF(AI278="","-",IFERROR((AI278/AH278-1)*(AH278/AH$13),"-"))</f>
        <v>-</v>
      </c>
      <c r="BY278" s="989" t="str">
        <f>IF(AJ278="","-",IFERROR((AJ278/AI278-1)*(AI278/AI$13),"-"))</f>
        <v>-</v>
      </c>
      <c r="BZ278" s="951"/>
      <c r="CA278" s="984" t="str">
        <f t="shared" si="386"/>
        <v>Rev</v>
      </c>
      <c r="CB278" s="985" t="str">
        <f t="shared" si="387"/>
        <v>Water</v>
      </c>
      <c r="CC278" s="985" t="str">
        <f t="shared" si="388"/>
        <v>Fixed</v>
      </c>
      <c r="CD278" s="990" t="str">
        <f t="shared" si="418"/>
        <v>-</v>
      </c>
      <c r="CE278" s="987" t="str">
        <f t="shared" si="411"/>
        <v>-</v>
      </c>
      <c r="CF278" s="987" t="str">
        <f t="shared" si="412"/>
        <v>-</v>
      </c>
      <c r="CG278" s="988" t="str">
        <f t="shared" si="413"/>
        <v>-</v>
      </c>
      <c r="CH278" s="987" t="str">
        <f t="shared" si="419"/>
        <v>-</v>
      </c>
      <c r="CI278" s="987" t="str">
        <f t="shared" si="414"/>
        <v>-</v>
      </c>
      <c r="CJ278" s="987" t="str">
        <f t="shared" si="415"/>
        <v>-</v>
      </c>
      <c r="CK278" s="989" t="str">
        <f t="shared" si="416"/>
        <v>-</v>
      </c>
    </row>
    <row r="279" spans="4:89">
      <c r="D279" s="63">
        <f>D276+1</f>
        <v>71</v>
      </c>
      <c r="E279" s="550" t="s">
        <v>857</v>
      </c>
      <c r="F279" s="595" t="s">
        <v>401</v>
      </c>
      <c r="G279" s="595" t="s">
        <v>103</v>
      </c>
      <c r="H279" s="595" t="s">
        <v>515</v>
      </c>
      <c r="I279" s="589" t="s">
        <v>842</v>
      </c>
      <c r="J279" s="589" t="s">
        <v>879</v>
      </c>
      <c r="K279" s="551"/>
      <c r="L279" s="552"/>
      <c r="M279" s="552"/>
      <c r="N279" s="551"/>
      <c r="O279" s="552"/>
      <c r="P279" s="552"/>
      <c r="Q279" s="552"/>
      <c r="R279" s="1035"/>
      <c r="S279" s="1138"/>
      <c r="T279" s="591"/>
      <c r="U279" s="1035"/>
      <c r="V279" s="1138"/>
      <c r="W279" s="591"/>
      <c r="X279" s="591"/>
      <c r="Y279" s="591"/>
      <c r="Z279" s="1035"/>
      <c r="AA279" s="1138"/>
      <c r="AB279" s="591"/>
      <c r="AC279" s="591"/>
      <c r="AD279" s="591"/>
      <c r="AE279" s="1035"/>
      <c r="AF279" s="1138"/>
      <c r="AG279" s="591"/>
      <c r="AH279" s="591"/>
      <c r="AI279" s="591"/>
      <c r="AJ279" s="1035"/>
      <c r="AK279" s="569"/>
      <c r="AL279" s="569"/>
      <c r="AM279" s="974"/>
      <c r="AN279" s="857"/>
      <c r="AO279" s="975" t="str">
        <f t="shared" si="389"/>
        <v>Price</v>
      </c>
      <c r="AP279" s="976" t="str">
        <f t="shared" si="390"/>
        <v>Water</v>
      </c>
      <c r="AQ279" s="977" t="str">
        <f t="shared" si="391"/>
        <v>Fixed</v>
      </c>
      <c r="AR279" s="1341" t="str">
        <f t="shared" si="392"/>
        <v>-</v>
      </c>
      <c r="AS279" s="978" t="str">
        <f t="shared" si="393"/>
        <v>-</v>
      </c>
      <c r="AT279" s="979" t="str">
        <f t="shared" si="394"/>
        <v>-</v>
      </c>
      <c r="AU279" s="979" t="str">
        <f t="shared" si="395"/>
        <v>-</v>
      </c>
      <c r="AV279" s="1352" t="str">
        <f t="shared" si="396"/>
        <v>-</v>
      </c>
      <c r="AW279" s="1345" t="str">
        <f t="shared" si="397"/>
        <v>-</v>
      </c>
      <c r="AX279" s="979" t="str">
        <f t="shared" si="398"/>
        <v>-</v>
      </c>
      <c r="AY279" s="979" t="str">
        <f t="shared" si="399"/>
        <v>-</v>
      </c>
      <c r="AZ279" s="979" t="str">
        <f t="shared" si="400"/>
        <v>-</v>
      </c>
      <c r="BA279" s="980" t="str">
        <f t="shared" si="401"/>
        <v>-</v>
      </c>
      <c r="BB279" s="1345" t="str">
        <f t="shared" si="402"/>
        <v>-</v>
      </c>
      <c r="BC279" s="979" t="str">
        <f t="shared" si="403"/>
        <v>-</v>
      </c>
      <c r="BD279" s="979" t="str">
        <f t="shared" si="404"/>
        <v>-</v>
      </c>
      <c r="BE279" s="979" t="str">
        <f t="shared" si="405"/>
        <v>-</v>
      </c>
      <c r="BF279" s="981" t="str">
        <f t="shared" si="406"/>
        <v>-</v>
      </c>
      <c r="BG279" s="951"/>
      <c r="BH279" s="1547" t="str">
        <f t="shared" si="407"/>
        <v>Price</v>
      </c>
      <c r="BI279" s="1548" t="str">
        <f t="shared" si="408"/>
        <v>Water</v>
      </c>
      <c r="BJ279" s="1549" t="str">
        <f t="shared" si="409"/>
        <v>Fixed</v>
      </c>
      <c r="BK279" s="978" t="str">
        <f t="shared" ref="BK279:BU279" si="442">IF(V279="","-",IFERROR((V279/U279-1)*(U281/U$13),"-"))</f>
        <v>-</v>
      </c>
      <c r="BL279" s="978" t="str">
        <f t="shared" si="442"/>
        <v>-</v>
      </c>
      <c r="BM279" s="979" t="str">
        <f t="shared" si="442"/>
        <v>-</v>
      </c>
      <c r="BN279" s="979" t="str">
        <f t="shared" si="442"/>
        <v>-</v>
      </c>
      <c r="BO279" s="1352" t="str">
        <f t="shared" si="442"/>
        <v>-</v>
      </c>
      <c r="BP279" s="1345" t="str">
        <f t="shared" si="442"/>
        <v>-</v>
      </c>
      <c r="BQ279" s="979" t="str">
        <f t="shared" si="442"/>
        <v>-</v>
      </c>
      <c r="BR279" s="979" t="str">
        <f t="shared" si="442"/>
        <v>-</v>
      </c>
      <c r="BS279" s="979" t="str">
        <f t="shared" si="442"/>
        <v>-</v>
      </c>
      <c r="BT279" s="980" t="str">
        <f t="shared" si="442"/>
        <v>-</v>
      </c>
      <c r="BU279" s="979" t="str">
        <f t="shared" si="442"/>
        <v>-</v>
      </c>
      <c r="BV279" s="979" t="str">
        <f>IF(AG279="","-",IFERROR((AG279/AF279-1)*(AF281/AF$13),"-"))</f>
        <v>-</v>
      </c>
      <c r="BW279" s="979" t="str">
        <f>IF(AH279="","-",IFERROR((AH279/AG279-1)*(AG281/AG$13),"-"))</f>
        <v>-</v>
      </c>
      <c r="BX279" s="979" t="str">
        <f>IF(AI279="","-",IFERROR((AI279/AH279-1)*(AH281/AH$13),"-"))</f>
        <v>-</v>
      </c>
      <c r="BY279" s="981" t="str">
        <f>IF(AJ279="","-",IFERROR((AJ279/AI279-1)*(AI281/AI$13),"-"))</f>
        <v>-</v>
      </c>
      <c r="BZ279" s="951"/>
      <c r="CA279" s="975" t="str">
        <f t="shared" si="386"/>
        <v>Price</v>
      </c>
      <c r="CB279" s="976" t="str">
        <f t="shared" si="387"/>
        <v>Water</v>
      </c>
      <c r="CC279" s="982" t="str">
        <f t="shared" si="388"/>
        <v>Fixed</v>
      </c>
      <c r="CD279" s="983" t="str">
        <f t="shared" si="418"/>
        <v>-</v>
      </c>
      <c r="CE279" s="979" t="str">
        <f t="shared" si="411"/>
        <v>-</v>
      </c>
      <c r="CF279" s="979" t="str">
        <f t="shared" si="412"/>
        <v>-</v>
      </c>
      <c r="CG279" s="980" t="str">
        <f t="shared" si="413"/>
        <v>-</v>
      </c>
      <c r="CH279" s="979" t="str">
        <f t="shared" si="419"/>
        <v>-</v>
      </c>
      <c r="CI279" s="979" t="str">
        <f t="shared" si="414"/>
        <v>-</v>
      </c>
      <c r="CJ279" s="979" t="str">
        <f t="shared" si="415"/>
        <v>-</v>
      </c>
      <c r="CK279" s="981" t="str">
        <f t="shared" si="416"/>
        <v>-</v>
      </c>
    </row>
    <row r="280" spans="4:89">
      <c r="E280" s="567" t="s">
        <v>880</v>
      </c>
      <c r="F280" s="554" t="str">
        <f>+F279</f>
        <v>Water</v>
      </c>
      <c r="G280" s="555" t="str">
        <f>+G279</f>
        <v>YVW</v>
      </c>
      <c r="H280" s="555" t="str">
        <f>+H279</f>
        <v>Headworks</v>
      </c>
      <c r="I280" s="556" t="str">
        <f>+I279</f>
        <v>Fixed</v>
      </c>
      <c r="J280" s="590" t="s">
        <v>890</v>
      </c>
      <c r="K280" s="557"/>
      <c r="L280" s="558"/>
      <c r="M280" s="558"/>
      <c r="N280" s="557"/>
      <c r="O280" s="558"/>
      <c r="P280" s="558"/>
      <c r="Q280" s="558"/>
      <c r="R280" s="1036"/>
      <c r="S280" s="1139"/>
      <c r="T280" s="593"/>
      <c r="U280" s="1036"/>
      <c r="V280" s="1139"/>
      <c r="W280" s="593"/>
      <c r="X280" s="593"/>
      <c r="Y280" s="593"/>
      <c r="Z280" s="1036"/>
      <c r="AA280" s="1139"/>
      <c r="AB280" s="593"/>
      <c r="AC280" s="593"/>
      <c r="AD280" s="593"/>
      <c r="AE280" s="1036"/>
      <c r="AF280" s="1139"/>
      <c r="AG280" s="593"/>
      <c r="AH280" s="593"/>
      <c r="AI280" s="593"/>
      <c r="AJ280" s="1036"/>
      <c r="AK280" s="569"/>
      <c r="AL280" s="569"/>
      <c r="AN280" s="857"/>
      <c r="AO280" s="961" t="str">
        <f t="shared" si="389"/>
        <v>Qty</v>
      </c>
      <c r="AP280" s="962" t="str">
        <f t="shared" si="390"/>
        <v>Water</v>
      </c>
      <c r="AQ280" s="963" t="str">
        <f t="shared" si="391"/>
        <v>Fixed</v>
      </c>
      <c r="AR280" s="967" t="str">
        <f t="shared" si="392"/>
        <v>-</v>
      </c>
      <c r="AS280" s="964" t="str">
        <f t="shared" si="393"/>
        <v>-</v>
      </c>
      <c r="AT280" s="964" t="str">
        <f t="shared" si="394"/>
        <v>-</v>
      </c>
      <c r="AU280" s="964" t="str">
        <f t="shared" si="395"/>
        <v>-</v>
      </c>
      <c r="AV280" s="1350" t="str">
        <f t="shared" si="396"/>
        <v>-</v>
      </c>
      <c r="AW280" s="1343" t="str">
        <f t="shared" si="397"/>
        <v>-</v>
      </c>
      <c r="AX280" s="964" t="str">
        <f t="shared" si="398"/>
        <v>-</v>
      </c>
      <c r="AY280" s="964" t="str">
        <f t="shared" si="399"/>
        <v>-</v>
      </c>
      <c r="AZ280" s="964" t="str">
        <f t="shared" si="400"/>
        <v>-</v>
      </c>
      <c r="BA280" s="965" t="str">
        <f t="shared" si="401"/>
        <v>-</v>
      </c>
      <c r="BB280" s="1343" t="str">
        <f t="shared" si="402"/>
        <v>-</v>
      </c>
      <c r="BC280" s="964" t="str">
        <f t="shared" si="403"/>
        <v>-</v>
      </c>
      <c r="BD280" s="964" t="str">
        <f t="shared" si="404"/>
        <v>-</v>
      </c>
      <c r="BE280" s="964" t="str">
        <f t="shared" si="405"/>
        <v>-</v>
      </c>
      <c r="BF280" s="966" t="str">
        <f t="shared" si="406"/>
        <v>-</v>
      </c>
      <c r="BG280" s="951"/>
      <c r="BH280" s="1541" t="str">
        <f t="shared" si="407"/>
        <v>Qty</v>
      </c>
      <c r="BI280" s="1542" t="str">
        <f t="shared" si="408"/>
        <v>Water</v>
      </c>
      <c r="BJ280" s="1543" t="str">
        <f t="shared" si="409"/>
        <v>Fixed</v>
      </c>
      <c r="BK280" s="964" t="str">
        <f t="shared" ref="BK280:BU280" si="443">IF(V280="","-",IFERROR((V280/U280-1)*(U281/U$13),"-"))</f>
        <v>-</v>
      </c>
      <c r="BL280" s="964" t="str">
        <f t="shared" si="443"/>
        <v>-</v>
      </c>
      <c r="BM280" s="964" t="str">
        <f t="shared" si="443"/>
        <v>-</v>
      </c>
      <c r="BN280" s="964" t="str">
        <f t="shared" si="443"/>
        <v>-</v>
      </c>
      <c r="BO280" s="1350" t="str">
        <f t="shared" si="443"/>
        <v>-</v>
      </c>
      <c r="BP280" s="1343" t="str">
        <f t="shared" si="443"/>
        <v>-</v>
      </c>
      <c r="BQ280" s="964" t="str">
        <f t="shared" si="443"/>
        <v>-</v>
      </c>
      <c r="BR280" s="964" t="str">
        <f t="shared" si="443"/>
        <v>-</v>
      </c>
      <c r="BS280" s="964" t="str">
        <f t="shared" si="443"/>
        <v>-</v>
      </c>
      <c r="BT280" s="965" t="str">
        <f t="shared" si="443"/>
        <v>-</v>
      </c>
      <c r="BU280" s="964" t="str">
        <f t="shared" si="443"/>
        <v>-</v>
      </c>
      <c r="BV280" s="964" t="str">
        <f>IF(AG280="","-",IFERROR((AG280/AF280-1)*(AF281/AF$13),"-"))</f>
        <v>-</v>
      </c>
      <c r="BW280" s="964" t="str">
        <f>IF(AH280="","-",IFERROR((AH280/AG280-1)*(AG281/AG$13),"-"))</f>
        <v>-</v>
      </c>
      <c r="BX280" s="964" t="str">
        <f>IF(AI280="","-",IFERROR((AI280/AH280-1)*(AH281/AH$13),"-"))</f>
        <v>-</v>
      </c>
      <c r="BY280" s="966" t="str">
        <f>IF(AJ280="","-",IFERROR((AJ280/AI280-1)*(AI281/AI$13),"-"))</f>
        <v>-</v>
      </c>
      <c r="BZ280" s="951"/>
      <c r="CA280" s="961" t="str">
        <f t="shared" si="386"/>
        <v>Qty</v>
      </c>
      <c r="CB280" s="962" t="str">
        <f t="shared" si="387"/>
        <v>Water</v>
      </c>
      <c r="CC280" s="962" t="str">
        <f t="shared" si="388"/>
        <v>Fixed</v>
      </c>
      <c r="CD280" s="967" t="str">
        <f t="shared" si="418"/>
        <v>-</v>
      </c>
      <c r="CE280" s="964" t="str">
        <f t="shared" si="411"/>
        <v>-</v>
      </c>
      <c r="CF280" s="964" t="str">
        <f t="shared" si="412"/>
        <v>-</v>
      </c>
      <c r="CG280" s="965" t="str">
        <f t="shared" si="413"/>
        <v>-</v>
      </c>
      <c r="CH280" s="964" t="str">
        <f t="shared" si="419"/>
        <v>-</v>
      </c>
      <c r="CI280" s="964" t="str">
        <f t="shared" si="414"/>
        <v>-</v>
      </c>
      <c r="CJ280" s="964" t="str">
        <f t="shared" si="415"/>
        <v>-</v>
      </c>
      <c r="CK280" s="966" t="str">
        <f t="shared" si="416"/>
        <v>-</v>
      </c>
    </row>
    <row r="281" spans="4:89" ht="12.75" thickBot="1">
      <c r="E281" s="568" t="s">
        <v>882</v>
      </c>
      <c r="F281" s="560" t="str">
        <f>+F279</f>
        <v>Water</v>
      </c>
      <c r="G281" s="561" t="str">
        <f>+G279</f>
        <v>YVW</v>
      </c>
      <c r="H281" s="561" t="str">
        <f>+H279</f>
        <v>Headworks</v>
      </c>
      <c r="I281" s="562" t="str">
        <f>+I279</f>
        <v>Fixed</v>
      </c>
      <c r="J281" s="563" t="s">
        <v>883</v>
      </c>
      <c r="K281" s="564">
        <f t="shared" ref="K281:AJ281" si="444">K279*K280/10^6</f>
        <v>0</v>
      </c>
      <c r="L281" s="565">
        <f t="shared" si="444"/>
        <v>0</v>
      </c>
      <c r="M281" s="565">
        <f t="shared" si="444"/>
        <v>0</v>
      </c>
      <c r="N281" s="564">
        <f t="shared" si="444"/>
        <v>0</v>
      </c>
      <c r="O281" s="565">
        <f t="shared" si="444"/>
        <v>0</v>
      </c>
      <c r="P281" s="565">
        <f t="shared" si="444"/>
        <v>0</v>
      </c>
      <c r="Q281" s="565">
        <f t="shared" si="444"/>
        <v>0</v>
      </c>
      <c r="R281" s="566">
        <f t="shared" si="444"/>
        <v>0</v>
      </c>
      <c r="S281" s="564">
        <f t="shared" si="444"/>
        <v>0</v>
      </c>
      <c r="T281" s="565">
        <f t="shared" si="444"/>
        <v>0</v>
      </c>
      <c r="U281" s="566">
        <f t="shared" si="444"/>
        <v>0</v>
      </c>
      <c r="V281" s="564">
        <f t="shared" si="444"/>
        <v>0</v>
      </c>
      <c r="W281" s="565">
        <f t="shared" si="444"/>
        <v>0</v>
      </c>
      <c r="X281" s="565">
        <f t="shared" si="444"/>
        <v>0</v>
      </c>
      <c r="Y281" s="565">
        <f t="shared" si="444"/>
        <v>0</v>
      </c>
      <c r="Z281" s="566">
        <f t="shared" si="444"/>
        <v>0</v>
      </c>
      <c r="AA281" s="564">
        <f t="shared" si="444"/>
        <v>0</v>
      </c>
      <c r="AB281" s="565">
        <f t="shared" si="444"/>
        <v>0</v>
      </c>
      <c r="AC281" s="565">
        <f t="shared" si="444"/>
        <v>0</v>
      </c>
      <c r="AD281" s="565">
        <f t="shared" si="444"/>
        <v>0</v>
      </c>
      <c r="AE281" s="566">
        <f t="shared" si="444"/>
        <v>0</v>
      </c>
      <c r="AF281" s="564">
        <f t="shared" si="444"/>
        <v>0</v>
      </c>
      <c r="AG281" s="565">
        <f t="shared" si="444"/>
        <v>0</v>
      </c>
      <c r="AH281" s="565">
        <f t="shared" si="444"/>
        <v>0</v>
      </c>
      <c r="AI281" s="565">
        <f t="shared" si="444"/>
        <v>0</v>
      </c>
      <c r="AJ281" s="566">
        <f t="shared" si="444"/>
        <v>0</v>
      </c>
      <c r="AK281" s="569"/>
      <c r="AL281" s="569"/>
      <c r="AN281" s="857"/>
      <c r="AO281" s="984" t="str">
        <f t="shared" si="389"/>
        <v>Rev</v>
      </c>
      <c r="AP281" s="985" t="str">
        <f t="shared" si="390"/>
        <v>Water</v>
      </c>
      <c r="AQ281" s="986" t="str">
        <f t="shared" si="391"/>
        <v>Fixed</v>
      </c>
      <c r="AR281" s="990" t="str">
        <f t="shared" si="392"/>
        <v>-</v>
      </c>
      <c r="AS281" s="987" t="str">
        <f t="shared" si="393"/>
        <v>-</v>
      </c>
      <c r="AT281" s="987" t="str">
        <f t="shared" si="394"/>
        <v>-</v>
      </c>
      <c r="AU281" s="987" t="str">
        <f t="shared" si="395"/>
        <v>-</v>
      </c>
      <c r="AV281" s="1353" t="str">
        <f t="shared" si="396"/>
        <v>-</v>
      </c>
      <c r="AW281" s="1346" t="str">
        <f t="shared" si="397"/>
        <v>-</v>
      </c>
      <c r="AX281" s="987" t="str">
        <f t="shared" si="398"/>
        <v>-</v>
      </c>
      <c r="AY281" s="987" t="str">
        <f t="shared" si="399"/>
        <v>-</v>
      </c>
      <c r="AZ281" s="987" t="str">
        <f t="shared" si="400"/>
        <v>-</v>
      </c>
      <c r="BA281" s="988" t="str">
        <f t="shared" si="401"/>
        <v>-</v>
      </c>
      <c r="BB281" s="1346" t="str">
        <f t="shared" si="402"/>
        <v>-</v>
      </c>
      <c r="BC281" s="987" t="str">
        <f t="shared" si="403"/>
        <v>-</v>
      </c>
      <c r="BD281" s="987" t="str">
        <f t="shared" si="404"/>
        <v>-</v>
      </c>
      <c r="BE281" s="987" t="str">
        <f t="shared" si="405"/>
        <v>-</v>
      </c>
      <c r="BF281" s="989" t="str">
        <f t="shared" si="406"/>
        <v>-</v>
      </c>
      <c r="BG281" s="951"/>
      <c r="BH281" s="1550" t="str">
        <f t="shared" si="407"/>
        <v>Rev</v>
      </c>
      <c r="BI281" s="1551" t="str">
        <f t="shared" si="408"/>
        <v>Water</v>
      </c>
      <c r="BJ281" s="1552" t="str">
        <f t="shared" si="409"/>
        <v>Fixed</v>
      </c>
      <c r="BK281" s="987" t="str">
        <f t="shared" ref="BK281:BU281" si="445">IF(V281="","-",IFERROR((V281/U281-1)*(U281/U$13),"-"))</f>
        <v>-</v>
      </c>
      <c r="BL281" s="987" t="str">
        <f t="shared" si="445"/>
        <v>-</v>
      </c>
      <c r="BM281" s="987" t="str">
        <f t="shared" si="445"/>
        <v>-</v>
      </c>
      <c r="BN281" s="987" t="str">
        <f t="shared" si="445"/>
        <v>-</v>
      </c>
      <c r="BO281" s="1353" t="str">
        <f t="shared" si="445"/>
        <v>-</v>
      </c>
      <c r="BP281" s="1346" t="str">
        <f t="shared" si="445"/>
        <v>-</v>
      </c>
      <c r="BQ281" s="987" t="str">
        <f t="shared" si="445"/>
        <v>-</v>
      </c>
      <c r="BR281" s="987" t="str">
        <f t="shared" si="445"/>
        <v>-</v>
      </c>
      <c r="BS281" s="987" t="str">
        <f t="shared" si="445"/>
        <v>-</v>
      </c>
      <c r="BT281" s="988" t="str">
        <f t="shared" si="445"/>
        <v>-</v>
      </c>
      <c r="BU281" s="987" t="str">
        <f t="shared" si="445"/>
        <v>-</v>
      </c>
      <c r="BV281" s="987" t="str">
        <f>IF(AG281="","-",IFERROR((AG281/AF281-1)*(AF281/AF$13),"-"))</f>
        <v>-</v>
      </c>
      <c r="BW281" s="987" t="str">
        <f>IF(AH281="","-",IFERROR((AH281/AG281-1)*(AG281/AG$13),"-"))</f>
        <v>-</v>
      </c>
      <c r="BX281" s="987" t="str">
        <f>IF(AI281="","-",IFERROR((AI281/AH281-1)*(AH281/AH$13),"-"))</f>
        <v>-</v>
      </c>
      <c r="BY281" s="989" t="str">
        <f>IF(AJ281="","-",IFERROR((AJ281/AI281-1)*(AI281/AI$13),"-"))</f>
        <v>-</v>
      </c>
      <c r="BZ281" s="951"/>
      <c r="CA281" s="984" t="str">
        <f t="shared" si="386"/>
        <v>Rev</v>
      </c>
      <c r="CB281" s="985" t="str">
        <f t="shared" si="387"/>
        <v>Water</v>
      </c>
      <c r="CC281" s="985" t="str">
        <f t="shared" si="388"/>
        <v>Fixed</v>
      </c>
      <c r="CD281" s="990" t="str">
        <f t="shared" si="418"/>
        <v>-</v>
      </c>
      <c r="CE281" s="987" t="str">
        <f t="shared" si="411"/>
        <v>-</v>
      </c>
      <c r="CF281" s="987" t="str">
        <f t="shared" si="412"/>
        <v>-</v>
      </c>
      <c r="CG281" s="988" t="str">
        <f t="shared" si="413"/>
        <v>-</v>
      </c>
      <c r="CH281" s="987" t="str">
        <f t="shared" si="419"/>
        <v>-</v>
      </c>
      <c r="CI281" s="987" t="str">
        <f t="shared" si="414"/>
        <v>-</v>
      </c>
      <c r="CJ281" s="987" t="str">
        <f t="shared" si="415"/>
        <v>-</v>
      </c>
      <c r="CK281" s="989" t="str">
        <f t="shared" si="416"/>
        <v>-</v>
      </c>
    </row>
    <row r="282" spans="4:89">
      <c r="D282" s="63">
        <f>D279+1</f>
        <v>72</v>
      </c>
      <c r="E282" s="550" t="s">
        <v>857</v>
      </c>
      <c r="F282" s="595" t="s">
        <v>401</v>
      </c>
      <c r="G282" s="595" t="s">
        <v>99</v>
      </c>
      <c r="H282" s="595" t="s">
        <v>515</v>
      </c>
      <c r="I282" s="589" t="s">
        <v>842</v>
      </c>
      <c r="J282" s="589" t="s">
        <v>879</v>
      </c>
      <c r="K282" s="551"/>
      <c r="L282" s="552"/>
      <c r="M282" s="552"/>
      <c r="N282" s="551"/>
      <c r="O282" s="552"/>
      <c r="P282" s="552"/>
      <c r="Q282" s="552"/>
      <c r="R282" s="1035"/>
      <c r="S282" s="1138"/>
      <c r="T282" s="591"/>
      <c r="U282" s="1035"/>
      <c r="V282" s="1138"/>
      <c r="W282" s="591"/>
      <c r="X282" s="591"/>
      <c r="Y282" s="591"/>
      <c r="Z282" s="1035"/>
      <c r="AA282" s="1138"/>
      <c r="AB282" s="591"/>
      <c r="AC282" s="591"/>
      <c r="AD282" s="591"/>
      <c r="AE282" s="1035"/>
      <c r="AF282" s="1138"/>
      <c r="AG282" s="591"/>
      <c r="AH282" s="591"/>
      <c r="AI282" s="591"/>
      <c r="AJ282" s="1035"/>
      <c r="AK282" s="569"/>
      <c r="AL282" s="569"/>
      <c r="AM282" s="974"/>
      <c r="AN282" s="857"/>
      <c r="AO282" s="975" t="str">
        <f t="shared" si="389"/>
        <v>Price</v>
      </c>
      <c r="AP282" s="976" t="str">
        <f t="shared" si="390"/>
        <v>Water</v>
      </c>
      <c r="AQ282" s="977" t="str">
        <f t="shared" si="391"/>
        <v>Fixed</v>
      </c>
      <c r="AR282" s="1341" t="str">
        <f t="shared" si="392"/>
        <v>-</v>
      </c>
      <c r="AS282" s="978" t="str">
        <f t="shared" si="393"/>
        <v>-</v>
      </c>
      <c r="AT282" s="979" t="str">
        <f t="shared" si="394"/>
        <v>-</v>
      </c>
      <c r="AU282" s="979" t="str">
        <f t="shared" si="395"/>
        <v>-</v>
      </c>
      <c r="AV282" s="1352" t="str">
        <f t="shared" si="396"/>
        <v>-</v>
      </c>
      <c r="AW282" s="1345" t="str">
        <f t="shared" si="397"/>
        <v>-</v>
      </c>
      <c r="AX282" s="979" t="str">
        <f t="shared" si="398"/>
        <v>-</v>
      </c>
      <c r="AY282" s="979" t="str">
        <f t="shared" si="399"/>
        <v>-</v>
      </c>
      <c r="AZ282" s="979" t="str">
        <f t="shared" si="400"/>
        <v>-</v>
      </c>
      <c r="BA282" s="980" t="str">
        <f t="shared" si="401"/>
        <v>-</v>
      </c>
      <c r="BB282" s="1345" t="str">
        <f t="shared" si="402"/>
        <v>-</v>
      </c>
      <c r="BC282" s="979" t="str">
        <f t="shared" si="403"/>
        <v>-</v>
      </c>
      <c r="BD282" s="979" t="str">
        <f t="shared" si="404"/>
        <v>-</v>
      </c>
      <c r="BE282" s="979" t="str">
        <f t="shared" si="405"/>
        <v>-</v>
      </c>
      <c r="BF282" s="981" t="str">
        <f t="shared" si="406"/>
        <v>-</v>
      </c>
      <c r="BG282" s="951"/>
      <c r="BH282" s="1547" t="str">
        <f t="shared" si="407"/>
        <v>Price</v>
      </c>
      <c r="BI282" s="1548" t="str">
        <f t="shared" si="408"/>
        <v>Water</v>
      </c>
      <c r="BJ282" s="1549" t="str">
        <f t="shared" si="409"/>
        <v>Fixed</v>
      </c>
      <c r="BK282" s="978" t="str">
        <f t="shared" ref="BK282:BU282" si="446">IF(V282="","-",IFERROR((V282/U282-1)*(U284/U$13),"-"))</f>
        <v>-</v>
      </c>
      <c r="BL282" s="978" t="str">
        <f t="shared" si="446"/>
        <v>-</v>
      </c>
      <c r="BM282" s="979" t="str">
        <f t="shared" si="446"/>
        <v>-</v>
      </c>
      <c r="BN282" s="979" t="str">
        <f t="shared" si="446"/>
        <v>-</v>
      </c>
      <c r="BO282" s="1352" t="str">
        <f t="shared" si="446"/>
        <v>-</v>
      </c>
      <c r="BP282" s="1345" t="str">
        <f t="shared" si="446"/>
        <v>-</v>
      </c>
      <c r="BQ282" s="979" t="str">
        <f t="shared" si="446"/>
        <v>-</v>
      </c>
      <c r="BR282" s="979" t="str">
        <f t="shared" si="446"/>
        <v>-</v>
      </c>
      <c r="BS282" s="979" t="str">
        <f t="shared" si="446"/>
        <v>-</v>
      </c>
      <c r="BT282" s="980" t="str">
        <f t="shared" si="446"/>
        <v>-</v>
      </c>
      <c r="BU282" s="979" t="str">
        <f t="shared" si="446"/>
        <v>-</v>
      </c>
      <c r="BV282" s="979" t="str">
        <f>IF(AG282="","-",IFERROR((AG282/AF282-1)*(AF284/AF$13),"-"))</f>
        <v>-</v>
      </c>
      <c r="BW282" s="979" t="str">
        <f>IF(AH282="","-",IFERROR((AH282/AG282-1)*(AG284/AG$13),"-"))</f>
        <v>-</v>
      </c>
      <c r="BX282" s="979" t="str">
        <f>IF(AI282="","-",IFERROR((AI282/AH282-1)*(AH284/AH$13),"-"))</f>
        <v>-</v>
      </c>
      <c r="BY282" s="981" t="str">
        <f>IF(AJ282="","-",IFERROR((AJ282/AI282-1)*(AI284/AI$13),"-"))</f>
        <v>-</v>
      </c>
      <c r="BZ282" s="951"/>
      <c r="CA282" s="975" t="str">
        <f t="shared" si="386"/>
        <v>Price</v>
      </c>
      <c r="CB282" s="976" t="str">
        <f t="shared" si="387"/>
        <v>Water</v>
      </c>
      <c r="CC282" s="982" t="str">
        <f t="shared" si="388"/>
        <v>Fixed</v>
      </c>
      <c r="CD282" s="983" t="str">
        <f t="shared" si="418"/>
        <v>-</v>
      </c>
      <c r="CE282" s="979" t="str">
        <f t="shared" si="411"/>
        <v>-</v>
      </c>
      <c r="CF282" s="979" t="str">
        <f t="shared" si="412"/>
        <v>-</v>
      </c>
      <c r="CG282" s="980" t="str">
        <f t="shared" si="413"/>
        <v>-</v>
      </c>
      <c r="CH282" s="979" t="str">
        <f t="shared" si="419"/>
        <v>-</v>
      </c>
      <c r="CI282" s="979" t="str">
        <f t="shared" si="414"/>
        <v>-</v>
      </c>
      <c r="CJ282" s="979" t="str">
        <f t="shared" si="415"/>
        <v>-</v>
      </c>
      <c r="CK282" s="981" t="str">
        <f t="shared" si="416"/>
        <v>-</v>
      </c>
    </row>
    <row r="283" spans="4:89">
      <c r="E283" s="567" t="s">
        <v>880</v>
      </c>
      <c r="F283" s="554" t="str">
        <f>+F282</f>
        <v>Water</v>
      </c>
      <c r="G283" s="555" t="str">
        <f>+G282</f>
        <v>WW</v>
      </c>
      <c r="H283" s="555" t="str">
        <f>+H282</f>
        <v>Headworks</v>
      </c>
      <c r="I283" s="556" t="str">
        <f>+I282</f>
        <v>Fixed</v>
      </c>
      <c r="J283" s="590" t="s">
        <v>890</v>
      </c>
      <c r="K283" s="557"/>
      <c r="L283" s="558"/>
      <c r="M283" s="558"/>
      <c r="N283" s="557"/>
      <c r="O283" s="558"/>
      <c r="P283" s="558"/>
      <c r="Q283" s="558"/>
      <c r="R283" s="1036"/>
      <c r="S283" s="1139"/>
      <c r="T283" s="593"/>
      <c r="U283" s="1036"/>
      <c r="V283" s="1139"/>
      <c r="W283" s="593"/>
      <c r="X283" s="593"/>
      <c r="Y283" s="593"/>
      <c r="Z283" s="1036"/>
      <c r="AA283" s="1139"/>
      <c r="AB283" s="593"/>
      <c r="AC283" s="593"/>
      <c r="AD283" s="593"/>
      <c r="AE283" s="1036"/>
      <c r="AF283" s="1139"/>
      <c r="AG283" s="593"/>
      <c r="AH283" s="593"/>
      <c r="AI283" s="593"/>
      <c r="AJ283" s="1036"/>
      <c r="AK283" s="569"/>
      <c r="AL283" s="569"/>
      <c r="AN283" s="857"/>
      <c r="AO283" s="961" t="str">
        <f t="shared" si="389"/>
        <v>Qty</v>
      </c>
      <c r="AP283" s="962" t="str">
        <f t="shared" si="390"/>
        <v>Water</v>
      </c>
      <c r="AQ283" s="963" t="str">
        <f t="shared" si="391"/>
        <v>Fixed</v>
      </c>
      <c r="AR283" s="967" t="str">
        <f t="shared" si="392"/>
        <v>-</v>
      </c>
      <c r="AS283" s="964" t="str">
        <f t="shared" si="393"/>
        <v>-</v>
      </c>
      <c r="AT283" s="964" t="str">
        <f t="shared" si="394"/>
        <v>-</v>
      </c>
      <c r="AU283" s="964" t="str">
        <f t="shared" si="395"/>
        <v>-</v>
      </c>
      <c r="AV283" s="1350" t="str">
        <f t="shared" si="396"/>
        <v>-</v>
      </c>
      <c r="AW283" s="1343" t="str">
        <f t="shared" si="397"/>
        <v>-</v>
      </c>
      <c r="AX283" s="964" t="str">
        <f t="shared" si="398"/>
        <v>-</v>
      </c>
      <c r="AY283" s="964" t="str">
        <f t="shared" si="399"/>
        <v>-</v>
      </c>
      <c r="AZ283" s="964" t="str">
        <f t="shared" si="400"/>
        <v>-</v>
      </c>
      <c r="BA283" s="965" t="str">
        <f t="shared" si="401"/>
        <v>-</v>
      </c>
      <c r="BB283" s="1343" t="str">
        <f t="shared" si="402"/>
        <v>-</v>
      </c>
      <c r="BC283" s="964" t="str">
        <f t="shared" si="403"/>
        <v>-</v>
      </c>
      <c r="BD283" s="964" t="str">
        <f t="shared" si="404"/>
        <v>-</v>
      </c>
      <c r="BE283" s="964" t="str">
        <f t="shared" si="405"/>
        <v>-</v>
      </c>
      <c r="BF283" s="966" t="str">
        <f t="shared" si="406"/>
        <v>-</v>
      </c>
      <c r="BG283" s="951"/>
      <c r="BH283" s="1541" t="str">
        <f t="shared" si="407"/>
        <v>Qty</v>
      </c>
      <c r="BI283" s="1542" t="str">
        <f t="shared" si="408"/>
        <v>Water</v>
      </c>
      <c r="BJ283" s="1543" t="str">
        <f t="shared" si="409"/>
        <v>Fixed</v>
      </c>
      <c r="BK283" s="964" t="str">
        <f t="shared" ref="BK283:BU283" si="447">IF(V283="","-",IFERROR((V283/U283-1)*(U284/U$13),"-"))</f>
        <v>-</v>
      </c>
      <c r="BL283" s="964" t="str">
        <f t="shared" si="447"/>
        <v>-</v>
      </c>
      <c r="BM283" s="964" t="str">
        <f t="shared" si="447"/>
        <v>-</v>
      </c>
      <c r="BN283" s="964" t="str">
        <f t="shared" si="447"/>
        <v>-</v>
      </c>
      <c r="BO283" s="1350" t="str">
        <f t="shared" si="447"/>
        <v>-</v>
      </c>
      <c r="BP283" s="1343" t="str">
        <f t="shared" si="447"/>
        <v>-</v>
      </c>
      <c r="BQ283" s="964" t="str">
        <f t="shared" si="447"/>
        <v>-</v>
      </c>
      <c r="BR283" s="964" t="str">
        <f t="shared" si="447"/>
        <v>-</v>
      </c>
      <c r="BS283" s="964" t="str">
        <f t="shared" si="447"/>
        <v>-</v>
      </c>
      <c r="BT283" s="965" t="str">
        <f t="shared" si="447"/>
        <v>-</v>
      </c>
      <c r="BU283" s="964" t="str">
        <f t="shared" si="447"/>
        <v>-</v>
      </c>
      <c r="BV283" s="964" t="str">
        <f>IF(AG283="","-",IFERROR((AG283/AF283-1)*(AF284/AF$13),"-"))</f>
        <v>-</v>
      </c>
      <c r="BW283" s="964" t="str">
        <f>IF(AH283="","-",IFERROR((AH283/AG283-1)*(AG284/AG$13),"-"))</f>
        <v>-</v>
      </c>
      <c r="BX283" s="964" t="str">
        <f>IF(AI283="","-",IFERROR((AI283/AH283-1)*(AH284/AH$13),"-"))</f>
        <v>-</v>
      </c>
      <c r="BY283" s="966" t="str">
        <f>IF(AJ283="","-",IFERROR((AJ283/AI283-1)*(AI284/AI$13),"-"))</f>
        <v>-</v>
      </c>
      <c r="BZ283" s="951"/>
      <c r="CA283" s="961" t="str">
        <f t="shared" si="386"/>
        <v>Qty</v>
      </c>
      <c r="CB283" s="962" t="str">
        <f t="shared" si="387"/>
        <v>Water</v>
      </c>
      <c r="CC283" s="962" t="str">
        <f t="shared" si="388"/>
        <v>Fixed</v>
      </c>
      <c r="CD283" s="967" t="str">
        <f t="shared" si="418"/>
        <v>-</v>
      </c>
      <c r="CE283" s="964" t="str">
        <f t="shared" si="411"/>
        <v>-</v>
      </c>
      <c r="CF283" s="964" t="str">
        <f t="shared" si="412"/>
        <v>-</v>
      </c>
      <c r="CG283" s="965" t="str">
        <f t="shared" si="413"/>
        <v>-</v>
      </c>
      <c r="CH283" s="964" t="str">
        <f t="shared" si="419"/>
        <v>-</v>
      </c>
      <c r="CI283" s="964" t="str">
        <f t="shared" si="414"/>
        <v>-</v>
      </c>
      <c r="CJ283" s="964" t="str">
        <f t="shared" si="415"/>
        <v>-</v>
      </c>
      <c r="CK283" s="966" t="str">
        <f t="shared" si="416"/>
        <v>-</v>
      </c>
    </row>
    <row r="284" spans="4:89" ht="12.75" thickBot="1">
      <c r="E284" s="568" t="s">
        <v>882</v>
      </c>
      <c r="F284" s="560" t="str">
        <f>+F282</f>
        <v>Water</v>
      </c>
      <c r="G284" s="561" t="str">
        <f>+G282</f>
        <v>WW</v>
      </c>
      <c r="H284" s="561" t="str">
        <f>+H282</f>
        <v>Headworks</v>
      </c>
      <c r="I284" s="562" t="str">
        <f>+I282</f>
        <v>Fixed</v>
      </c>
      <c r="J284" s="563" t="s">
        <v>883</v>
      </c>
      <c r="K284" s="564">
        <f t="shared" ref="K284:AJ284" si="448">K282*K283/10^6</f>
        <v>0</v>
      </c>
      <c r="L284" s="565">
        <f t="shared" si="448"/>
        <v>0</v>
      </c>
      <c r="M284" s="565">
        <f t="shared" si="448"/>
        <v>0</v>
      </c>
      <c r="N284" s="564">
        <f t="shared" si="448"/>
        <v>0</v>
      </c>
      <c r="O284" s="565">
        <f t="shared" si="448"/>
        <v>0</v>
      </c>
      <c r="P284" s="565">
        <f t="shared" si="448"/>
        <v>0</v>
      </c>
      <c r="Q284" s="565">
        <f t="shared" si="448"/>
        <v>0</v>
      </c>
      <c r="R284" s="566">
        <f t="shared" si="448"/>
        <v>0</v>
      </c>
      <c r="S284" s="564">
        <f t="shared" si="448"/>
        <v>0</v>
      </c>
      <c r="T284" s="565">
        <f t="shared" si="448"/>
        <v>0</v>
      </c>
      <c r="U284" s="566">
        <f t="shared" si="448"/>
        <v>0</v>
      </c>
      <c r="V284" s="564">
        <f t="shared" si="448"/>
        <v>0</v>
      </c>
      <c r="W284" s="565">
        <f t="shared" si="448"/>
        <v>0</v>
      </c>
      <c r="X284" s="565">
        <f t="shared" si="448"/>
        <v>0</v>
      </c>
      <c r="Y284" s="565">
        <f t="shared" si="448"/>
        <v>0</v>
      </c>
      <c r="Z284" s="566">
        <f t="shared" si="448"/>
        <v>0</v>
      </c>
      <c r="AA284" s="564">
        <f t="shared" si="448"/>
        <v>0</v>
      </c>
      <c r="AB284" s="565">
        <f t="shared" si="448"/>
        <v>0</v>
      </c>
      <c r="AC284" s="565">
        <f t="shared" si="448"/>
        <v>0</v>
      </c>
      <c r="AD284" s="565">
        <f t="shared" si="448"/>
        <v>0</v>
      </c>
      <c r="AE284" s="566">
        <f t="shared" si="448"/>
        <v>0</v>
      </c>
      <c r="AF284" s="564">
        <f t="shared" si="448"/>
        <v>0</v>
      </c>
      <c r="AG284" s="565">
        <f t="shared" si="448"/>
        <v>0</v>
      </c>
      <c r="AH284" s="565">
        <f t="shared" si="448"/>
        <v>0</v>
      </c>
      <c r="AI284" s="565">
        <f t="shared" si="448"/>
        <v>0</v>
      </c>
      <c r="AJ284" s="566">
        <f t="shared" si="448"/>
        <v>0</v>
      </c>
      <c r="AK284" s="569"/>
      <c r="AL284" s="569"/>
      <c r="AN284" s="857"/>
      <c r="AO284" s="984" t="str">
        <f t="shared" si="389"/>
        <v>Rev</v>
      </c>
      <c r="AP284" s="985" t="str">
        <f t="shared" si="390"/>
        <v>Water</v>
      </c>
      <c r="AQ284" s="986" t="str">
        <f t="shared" si="391"/>
        <v>Fixed</v>
      </c>
      <c r="AR284" s="990" t="str">
        <f t="shared" si="392"/>
        <v>-</v>
      </c>
      <c r="AS284" s="987" t="str">
        <f t="shared" si="393"/>
        <v>-</v>
      </c>
      <c r="AT284" s="987" t="str">
        <f t="shared" si="394"/>
        <v>-</v>
      </c>
      <c r="AU284" s="987" t="str">
        <f t="shared" si="395"/>
        <v>-</v>
      </c>
      <c r="AV284" s="1353" t="str">
        <f t="shared" si="396"/>
        <v>-</v>
      </c>
      <c r="AW284" s="1346" t="str">
        <f t="shared" si="397"/>
        <v>-</v>
      </c>
      <c r="AX284" s="987" t="str">
        <f t="shared" si="398"/>
        <v>-</v>
      </c>
      <c r="AY284" s="987" t="str">
        <f t="shared" si="399"/>
        <v>-</v>
      </c>
      <c r="AZ284" s="987" t="str">
        <f t="shared" si="400"/>
        <v>-</v>
      </c>
      <c r="BA284" s="988" t="str">
        <f t="shared" si="401"/>
        <v>-</v>
      </c>
      <c r="BB284" s="1346" t="str">
        <f t="shared" si="402"/>
        <v>-</v>
      </c>
      <c r="BC284" s="987" t="str">
        <f t="shared" si="403"/>
        <v>-</v>
      </c>
      <c r="BD284" s="987" t="str">
        <f t="shared" si="404"/>
        <v>-</v>
      </c>
      <c r="BE284" s="987" t="str">
        <f t="shared" si="405"/>
        <v>-</v>
      </c>
      <c r="BF284" s="989" t="str">
        <f t="shared" si="406"/>
        <v>-</v>
      </c>
      <c r="BG284" s="951"/>
      <c r="BH284" s="1550" t="str">
        <f t="shared" si="407"/>
        <v>Rev</v>
      </c>
      <c r="BI284" s="1551" t="str">
        <f t="shared" si="408"/>
        <v>Water</v>
      </c>
      <c r="BJ284" s="1552" t="str">
        <f t="shared" si="409"/>
        <v>Fixed</v>
      </c>
      <c r="BK284" s="987" t="str">
        <f t="shared" ref="BK284:BU284" si="449">IF(V284="","-",IFERROR((V284/U284-1)*(U284/U$13),"-"))</f>
        <v>-</v>
      </c>
      <c r="BL284" s="987" t="str">
        <f t="shared" si="449"/>
        <v>-</v>
      </c>
      <c r="BM284" s="987" t="str">
        <f t="shared" si="449"/>
        <v>-</v>
      </c>
      <c r="BN284" s="987" t="str">
        <f t="shared" si="449"/>
        <v>-</v>
      </c>
      <c r="BO284" s="1353" t="str">
        <f t="shared" si="449"/>
        <v>-</v>
      </c>
      <c r="BP284" s="1346" t="str">
        <f t="shared" si="449"/>
        <v>-</v>
      </c>
      <c r="BQ284" s="987" t="str">
        <f t="shared" si="449"/>
        <v>-</v>
      </c>
      <c r="BR284" s="987" t="str">
        <f t="shared" si="449"/>
        <v>-</v>
      </c>
      <c r="BS284" s="987" t="str">
        <f t="shared" si="449"/>
        <v>-</v>
      </c>
      <c r="BT284" s="988" t="str">
        <f t="shared" si="449"/>
        <v>-</v>
      </c>
      <c r="BU284" s="987" t="str">
        <f t="shared" si="449"/>
        <v>-</v>
      </c>
      <c r="BV284" s="987" t="str">
        <f>IF(AG284="","-",IFERROR((AG284/AF284-1)*(AF284/AF$13),"-"))</f>
        <v>-</v>
      </c>
      <c r="BW284" s="987" t="str">
        <f>IF(AH284="","-",IFERROR((AH284/AG284-1)*(AG284/AG$13),"-"))</f>
        <v>-</v>
      </c>
      <c r="BX284" s="987" t="str">
        <f>IF(AI284="","-",IFERROR((AI284/AH284-1)*(AH284/AH$13),"-"))</f>
        <v>-</v>
      </c>
      <c r="BY284" s="989" t="str">
        <f>IF(AJ284="","-",IFERROR((AJ284/AI284-1)*(AI284/AI$13),"-"))</f>
        <v>-</v>
      </c>
      <c r="BZ284" s="951"/>
      <c r="CA284" s="984" t="str">
        <f t="shared" si="386"/>
        <v>Rev</v>
      </c>
      <c r="CB284" s="985" t="str">
        <f t="shared" si="387"/>
        <v>Water</v>
      </c>
      <c r="CC284" s="985" t="str">
        <f t="shared" si="388"/>
        <v>Fixed</v>
      </c>
      <c r="CD284" s="990" t="str">
        <f t="shared" si="418"/>
        <v>-</v>
      </c>
      <c r="CE284" s="987" t="str">
        <f t="shared" si="411"/>
        <v>-</v>
      </c>
      <c r="CF284" s="987" t="str">
        <f t="shared" si="412"/>
        <v>-</v>
      </c>
      <c r="CG284" s="988" t="str">
        <f t="shared" si="413"/>
        <v>-</v>
      </c>
      <c r="CH284" s="987" t="str">
        <f t="shared" si="419"/>
        <v>-</v>
      </c>
      <c r="CI284" s="987" t="str">
        <f t="shared" si="414"/>
        <v>-</v>
      </c>
      <c r="CJ284" s="987" t="str">
        <f t="shared" si="415"/>
        <v>-</v>
      </c>
      <c r="CK284" s="989" t="str">
        <f t="shared" si="416"/>
        <v>-</v>
      </c>
    </row>
    <row r="285" spans="4:89">
      <c r="D285" s="63">
        <f>D282+1</f>
        <v>73</v>
      </c>
      <c r="E285" s="550" t="s">
        <v>857</v>
      </c>
      <c r="F285" s="595" t="s">
        <v>401</v>
      </c>
      <c r="G285" s="595" t="s">
        <v>888</v>
      </c>
      <c r="H285" s="595" t="s">
        <v>515</v>
      </c>
      <c r="I285" s="589" t="s">
        <v>842</v>
      </c>
      <c r="J285" s="589" t="s">
        <v>879</v>
      </c>
      <c r="K285" s="551"/>
      <c r="L285" s="552"/>
      <c r="M285" s="552"/>
      <c r="N285" s="551"/>
      <c r="O285" s="552"/>
      <c r="P285" s="552"/>
      <c r="Q285" s="552"/>
      <c r="R285" s="1035"/>
      <c r="S285" s="1138"/>
      <c r="T285" s="591"/>
      <c r="U285" s="1035"/>
      <c r="V285" s="1138"/>
      <c r="W285" s="591"/>
      <c r="X285" s="591"/>
      <c r="Y285" s="591"/>
      <c r="Z285" s="1035"/>
      <c r="AA285" s="1138"/>
      <c r="AB285" s="591"/>
      <c r="AC285" s="591"/>
      <c r="AD285" s="591"/>
      <c r="AE285" s="1035"/>
      <c r="AF285" s="1138"/>
      <c r="AG285" s="591"/>
      <c r="AH285" s="591"/>
      <c r="AI285" s="591"/>
      <c r="AJ285" s="1035"/>
      <c r="AK285" s="569"/>
      <c r="AL285" s="569"/>
      <c r="AM285" s="974"/>
      <c r="AN285" s="857"/>
      <c r="AO285" s="975" t="str">
        <f t="shared" si="389"/>
        <v>Price</v>
      </c>
      <c r="AP285" s="976" t="str">
        <f t="shared" si="390"/>
        <v>Water</v>
      </c>
      <c r="AQ285" s="977" t="str">
        <f t="shared" si="391"/>
        <v>Fixed</v>
      </c>
      <c r="AR285" s="1341" t="str">
        <f t="shared" si="392"/>
        <v>-</v>
      </c>
      <c r="AS285" s="978" t="str">
        <f t="shared" si="393"/>
        <v>-</v>
      </c>
      <c r="AT285" s="979" t="str">
        <f t="shared" si="394"/>
        <v>-</v>
      </c>
      <c r="AU285" s="979" t="str">
        <f t="shared" si="395"/>
        <v>-</v>
      </c>
      <c r="AV285" s="1352" t="str">
        <f t="shared" si="396"/>
        <v>-</v>
      </c>
      <c r="AW285" s="1345" t="str">
        <f t="shared" si="397"/>
        <v>-</v>
      </c>
      <c r="AX285" s="979" t="str">
        <f t="shared" si="398"/>
        <v>-</v>
      </c>
      <c r="AY285" s="979" t="str">
        <f t="shared" si="399"/>
        <v>-</v>
      </c>
      <c r="AZ285" s="979" t="str">
        <f t="shared" si="400"/>
        <v>-</v>
      </c>
      <c r="BA285" s="980" t="str">
        <f t="shared" si="401"/>
        <v>-</v>
      </c>
      <c r="BB285" s="1345" t="str">
        <f t="shared" si="402"/>
        <v>-</v>
      </c>
      <c r="BC285" s="979" t="str">
        <f t="shared" si="403"/>
        <v>-</v>
      </c>
      <c r="BD285" s="979" t="str">
        <f t="shared" si="404"/>
        <v>-</v>
      </c>
      <c r="BE285" s="979" t="str">
        <f t="shared" si="405"/>
        <v>-</v>
      </c>
      <c r="BF285" s="981" t="str">
        <f t="shared" si="406"/>
        <v>-</v>
      </c>
      <c r="BG285" s="951"/>
      <c r="BH285" s="1547" t="str">
        <f t="shared" si="407"/>
        <v>Price</v>
      </c>
      <c r="BI285" s="1548" t="str">
        <f t="shared" si="408"/>
        <v>Water</v>
      </c>
      <c r="BJ285" s="1549" t="str">
        <f t="shared" si="409"/>
        <v>Fixed</v>
      </c>
      <c r="BK285" s="978" t="str">
        <f t="shared" ref="BK285:BU285" si="450">IF(V285="","-",IFERROR((V285/U285-1)*(U287/U$13),"-"))</f>
        <v>-</v>
      </c>
      <c r="BL285" s="978" t="str">
        <f t="shared" si="450"/>
        <v>-</v>
      </c>
      <c r="BM285" s="979" t="str">
        <f t="shared" si="450"/>
        <v>-</v>
      </c>
      <c r="BN285" s="979" t="str">
        <f t="shared" si="450"/>
        <v>-</v>
      </c>
      <c r="BO285" s="1352" t="str">
        <f t="shared" si="450"/>
        <v>-</v>
      </c>
      <c r="BP285" s="1345" t="str">
        <f t="shared" si="450"/>
        <v>-</v>
      </c>
      <c r="BQ285" s="979" t="str">
        <f t="shared" si="450"/>
        <v>-</v>
      </c>
      <c r="BR285" s="979" t="str">
        <f t="shared" si="450"/>
        <v>-</v>
      </c>
      <c r="BS285" s="979" t="str">
        <f t="shared" si="450"/>
        <v>-</v>
      </c>
      <c r="BT285" s="980" t="str">
        <f t="shared" si="450"/>
        <v>-</v>
      </c>
      <c r="BU285" s="979" t="str">
        <f t="shared" si="450"/>
        <v>-</v>
      </c>
      <c r="BV285" s="979" t="str">
        <f>IF(AG285="","-",IFERROR((AG285/AF285-1)*(AF287/AF$13),"-"))</f>
        <v>-</v>
      </c>
      <c r="BW285" s="979" t="str">
        <f>IF(AH285="","-",IFERROR((AH285/AG285-1)*(AG287/AG$13),"-"))</f>
        <v>-</v>
      </c>
      <c r="BX285" s="979" t="str">
        <f>IF(AI285="","-",IFERROR((AI285/AH285-1)*(AH287/AH$13),"-"))</f>
        <v>-</v>
      </c>
      <c r="BY285" s="981" t="str">
        <f>IF(AJ285="","-",IFERROR((AJ285/AI285-1)*(AI287/AI$13),"-"))</f>
        <v>-</v>
      </c>
      <c r="BZ285" s="951"/>
      <c r="CA285" s="975" t="str">
        <f t="shared" si="386"/>
        <v>Price</v>
      </c>
      <c r="CB285" s="976" t="str">
        <f t="shared" si="387"/>
        <v>Water</v>
      </c>
      <c r="CC285" s="982" t="str">
        <f t="shared" si="388"/>
        <v>Fixed</v>
      </c>
      <c r="CD285" s="983" t="str">
        <f t="shared" si="418"/>
        <v>-</v>
      </c>
      <c r="CE285" s="979" t="str">
        <f t="shared" si="411"/>
        <v>-</v>
      </c>
      <c r="CF285" s="979" t="str">
        <f t="shared" si="412"/>
        <v>-</v>
      </c>
      <c r="CG285" s="980" t="str">
        <f t="shared" si="413"/>
        <v>-</v>
      </c>
      <c r="CH285" s="979" t="str">
        <f t="shared" si="419"/>
        <v>-</v>
      </c>
      <c r="CI285" s="979" t="str">
        <f t="shared" si="414"/>
        <v>-</v>
      </c>
      <c r="CJ285" s="979" t="str">
        <f t="shared" si="415"/>
        <v>-</v>
      </c>
      <c r="CK285" s="981" t="str">
        <f t="shared" si="416"/>
        <v>-</v>
      </c>
    </row>
    <row r="286" spans="4:89">
      <c r="E286" s="567" t="s">
        <v>880</v>
      </c>
      <c r="F286" s="554" t="str">
        <f>+F285</f>
        <v>Water</v>
      </c>
      <c r="G286" s="555" t="str">
        <f>+G285</f>
        <v>GW</v>
      </c>
      <c r="H286" s="555" t="str">
        <f>+H285</f>
        <v>Headworks</v>
      </c>
      <c r="I286" s="556" t="str">
        <f>+I285</f>
        <v>Fixed</v>
      </c>
      <c r="J286" s="590" t="s">
        <v>916</v>
      </c>
      <c r="K286" s="557"/>
      <c r="L286" s="558"/>
      <c r="M286" s="558"/>
      <c r="N286" s="557"/>
      <c r="O286" s="558"/>
      <c r="P286" s="558"/>
      <c r="Q286" s="558"/>
      <c r="R286" s="1036"/>
      <c r="S286" s="1139"/>
      <c r="T286" s="593"/>
      <c r="U286" s="1036"/>
      <c r="V286" s="1139"/>
      <c r="W286" s="593"/>
      <c r="X286" s="593"/>
      <c r="Y286" s="593"/>
      <c r="Z286" s="1036"/>
      <c r="AA286" s="1139"/>
      <c r="AB286" s="593"/>
      <c r="AC286" s="593"/>
      <c r="AD286" s="593"/>
      <c r="AE286" s="1036"/>
      <c r="AF286" s="1139"/>
      <c r="AG286" s="593"/>
      <c r="AH286" s="593"/>
      <c r="AI286" s="593"/>
      <c r="AJ286" s="1036"/>
      <c r="AK286" s="569"/>
      <c r="AL286" s="569"/>
      <c r="AN286" s="857"/>
      <c r="AO286" s="961" t="str">
        <f t="shared" si="389"/>
        <v>Qty</v>
      </c>
      <c r="AP286" s="962" t="str">
        <f t="shared" si="390"/>
        <v>Water</v>
      </c>
      <c r="AQ286" s="963" t="str">
        <f t="shared" si="391"/>
        <v>Fixed</v>
      </c>
      <c r="AR286" s="967" t="str">
        <f t="shared" si="392"/>
        <v>-</v>
      </c>
      <c r="AS286" s="964" t="str">
        <f t="shared" si="393"/>
        <v>-</v>
      </c>
      <c r="AT286" s="964" t="str">
        <f t="shared" si="394"/>
        <v>-</v>
      </c>
      <c r="AU286" s="964" t="str">
        <f t="shared" si="395"/>
        <v>-</v>
      </c>
      <c r="AV286" s="1350" t="str">
        <f t="shared" si="396"/>
        <v>-</v>
      </c>
      <c r="AW286" s="1343" t="str">
        <f t="shared" si="397"/>
        <v>-</v>
      </c>
      <c r="AX286" s="964" t="str">
        <f t="shared" si="398"/>
        <v>-</v>
      </c>
      <c r="AY286" s="964" t="str">
        <f t="shared" si="399"/>
        <v>-</v>
      </c>
      <c r="AZ286" s="964" t="str">
        <f t="shared" si="400"/>
        <v>-</v>
      </c>
      <c r="BA286" s="965" t="str">
        <f t="shared" si="401"/>
        <v>-</v>
      </c>
      <c r="BB286" s="1343" t="str">
        <f t="shared" si="402"/>
        <v>-</v>
      </c>
      <c r="BC286" s="964" t="str">
        <f t="shared" si="403"/>
        <v>-</v>
      </c>
      <c r="BD286" s="964" t="str">
        <f t="shared" si="404"/>
        <v>-</v>
      </c>
      <c r="BE286" s="964" t="str">
        <f t="shared" si="405"/>
        <v>-</v>
      </c>
      <c r="BF286" s="966" t="str">
        <f t="shared" si="406"/>
        <v>-</v>
      </c>
      <c r="BG286" s="951"/>
      <c r="BH286" s="1541" t="str">
        <f t="shared" si="407"/>
        <v>Qty</v>
      </c>
      <c r="BI286" s="1542" t="str">
        <f t="shared" si="408"/>
        <v>Water</v>
      </c>
      <c r="BJ286" s="1543" t="str">
        <f t="shared" si="409"/>
        <v>Fixed</v>
      </c>
      <c r="BK286" s="964" t="str">
        <f t="shared" ref="BK286:BU286" si="451">IF(V286="","-",IFERROR((V286/U286-1)*(U287/U$13),"-"))</f>
        <v>-</v>
      </c>
      <c r="BL286" s="964" t="str">
        <f t="shared" si="451"/>
        <v>-</v>
      </c>
      <c r="BM286" s="964" t="str">
        <f t="shared" si="451"/>
        <v>-</v>
      </c>
      <c r="BN286" s="964" t="str">
        <f t="shared" si="451"/>
        <v>-</v>
      </c>
      <c r="BO286" s="1350" t="str">
        <f t="shared" si="451"/>
        <v>-</v>
      </c>
      <c r="BP286" s="1343" t="str">
        <f t="shared" si="451"/>
        <v>-</v>
      </c>
      <c r="BQ286" s="964" t="str">
        <f t="shared" si="451"/>
        <v>-</v>
      </c>
      <c r="BR286" s="964" t="str">
        <f t="shared" si="451"/>
        <v>-</v>
      </c>
      <c r="BS286" s="964" t="str">
        <f t="shared" si="451"/>
        <v>-</v>
      </c>
      <c r="BT286" s="965" t="str">
        <f t="shared" si="451"/>
        <v>-</v>
      </c>
      <c r="BU286" s="964" t="str">
        <f t="shared" si="451"/>
        <v>-</v>
      </c>
      <c r="BV286" s="964" t="str">
        <f>IF(AG286="","-",IFERROR((AG286/AF286-1)*(AF287/AF$13),"-"))</f>
        <v>-</v>
      </c>
      <c r="BW286" s="964" t="str">
        <f>IF(AH286="","-",IFERROR((AH286/AG286-1)*(AG287/AG$13),"-"))</f>
        <v>-</v>
      </c>
      <c r="BX286" s="964" t="str">
        <f>IF(AI286="","-",IFERROR((AI286/AH286-1)*(AH287/AH$13),"-"))</f>
        <v>-</v>
      </c>
      <c r="BY286" s="966" t="str">
        <f>IF(AJ286="","-",IFERROR((AJ286/AI286-1)*(AI287/AI$13),"-"))</f>
        <v>-</v>
      </c>
      <c r="BZ286" s="951"/>
      <c r="CA286" s="961" t="str">
        <f t="shared" si="386"/>
        <v>Qty</v>
      </c>
      <c r="CB286" s="962" t="str">
        <f t="shared" si="387"/>
        <v>Water</v>
      </c>
      <c r="CC286" s="962" t="str">
        <f t="shared" si="388"/>
        <v>Fixed</v>
      </c>
      <c r="CD286" s="967" t="str">
        <f t="shared" si="418"/>
        <v>-</v>
      </c>
      <c r="CE286" s="964" t="str">
        <f t="shared" si="411"/>
        <v>-</v>
      </c>
      <c r="CF286" s="964" t="str">
        <f t="shared" si="412"/>
        <v>-</v>
      </c>
      <c r="CG286" s="965" t="str">
        <f t="shared" si="413"/>
        <v>-</v>
      </c>
      <c r="CH286" s="964" t="str">
        <f t="shared" si="419"/>
        <v>-</v>
      </c>
      <c r="CI286" s="964" t="str">
        <f t="shared" si="414"/>
        <v>-</v>
      </c>
      <c r="CJ286" s="964" t="str">
        <f t="shared" si="415"/>
        <v>-</v>
      </c>
      <c r="CK286" s="966" t="str">
        <f t="shared" si="416"/>
        <v>-</v>
      </c>
    </row>
    <row r="287" spans="4:89" ht="12.75" thickBot="1">
      <c r="E287" s="568" t="s">
        <v>882</v>
      </c>
      <c r="F287" s="560" t="str">
        <f>+F285</f>
        <v>Water</v>
      </c>
      <c r="G287" s="561" t="str">
        <f>+G285</f>
        <v>GW</v>
      </c>
      <c r="H287" s="561" t="str">
        <f>+H285</f>
        <v>Headworks</v>
      </c>
      <c r="I287" s="562" t="str">
        <f>+I285</f>
        <v>Fixed</v>
      </c>
      <c r="J287" s="563" t="s">
        <v>883</v>
      </c>
      <c r="K287" s="564">
        <f t="shared" ref="K287:AJ287" si="452">K285*K286/10^6</f>
        <v>0</v>
      </c>
      <c r="L287" s="565">
        <f t="shared" si="452"/>
        <v>0</v>
      </c>
      <c r="M287" s="565">
        <f t="shared" si="452"/>
        <v>0</v>
      </c>
      <c r="N287" s="564">
        <f t="shared" si="452"/>
        <v>0</v>
      </c>
      <c r="O287" s="565">
        <f t="shared" si="452"/>
        <v>0</v>
      </c>
      <c r="P287" s="565">
        <f t="shared" si="452"/>
        <v>0</v>
      </c>
      <c r="Q287" s="565">
        <f t="shared" si="452"/>
        <v>0</v>
      </c>
      <c r="R287" s="566">
        <f t="shared" si="452"/>
        <v>0</v>
      </c>
      <c r="S287" s="564">
        <f t="shared" si="452"/>
        <v>0</v>
      </c>
      <c r="T287" s="565">
        <f t="shared" si="452"/>
        <v>0</v>
      </c>
      <c r="U287" s="566">
        <f t="shared" si="452"/>
        <v>0</v>
      </c>
      <c r="V287" s="564">
        <f t="shared" si="452"/>
        <v>0</v>
      </c>
      <c r="W287" s="565">
        <f t="shared" si="452"/>
        <v>0</v>
      </c>
      <c r="X287" s="565">
        <f t="shared" si="452"/>
        <v>0</v>
      </c>
      <c r="Y287" s="565">
        <f t="shared" si="452"/>
        <v>0</v>
      </c>
      <c r="Z287" s="566">
        <f t="shared" si="452"/>
        <v>0</v>
      </c>
      <c r="AA287" s="564">
        <f t="shared" si="452"/>
        <v>0</v>
      </c>
      <c r="AB287" s="565">
        <f t="shared" si="452"/>
        <v>0</v>
      </c>
      <c r="AC287" s="565">
        <f t="shared" si="452"/>
        <v>0</v>
      </c>
      <c r="AD287" s="565">
        <f t="shared" si="452"/>
        <v>0</v>
      </c>
      <c r="AE287" s="566">
        <f t="shared" si="452"/>
        <v>0</v>
      </c>
      <c r="AF287" s="564">
        <f t="shared" si="452"/>
        <v>0</v>
      </c>
      <c r="AG287" s="565">
        <f t="shared" si="452"/>
        <v>0</v>
      </c>
      <c r="AH287" s="565">
        <f t="shared" si="452"/>
        <v>0</v>
      </c>
      <c r="AI287" s="565">
        <f t="shared" si="452"/>
        <v>0</v>
      </c>
      <c r="AJ287" s="566">
        <f t="shared" si="452"/>
        <v>0</v>
      </c>
      <c r="AK287" s="569"/>
      <c r="AL287" s="569"/>
      <c r="AN287" s="857"/>
      <c r="AO287" s="984" t="str">
        <f t="shared" si="389"/>
        <v>Rev</v>
      </c>
      <c r="AP287" s="985" t="str">
        <f t="shared" si="390"/>
        <v>Water</v>
      </c>
      <c r="AQ287" s="986" t="str">
        <f t="shared" si="391"/>
        <v>Fixed</v>
      </c>
      <c r="AR287" s="990" t="str">
        <f t="shared" si="392"/>
        <v>-</v>
      </c>
      <c r="AS287" s="987" t="str">
        <f t="shared" si="393"/>
        <v>-</v>
      </c>
      <c r="AT287" s="987" t="str">
        <f t="shared" si="394"/>
        <v>-</v>
      </c>
      <c r="AU287" s="987" t="str">
        <f t="shared" si="395"/>
        <v>-</v>
      </c>
      <c r="AV287" s="1353" t="str">
        <f t="shared" si="396"/>
        <v>-</v>
      </c>
      <c r="AW287" s="1346" t="str">
        <f t="shared" si="397"/>
        <v>-</v>
      </c>
      <c r="AX287" s="987" t="str">
        <f t="shared" si="398"/>
        <v>-</v>
      </c>
      <c r="AY287" s="987" t="str">
        <f t="shared" si="399"/>
        <v>-</v>
      </c>
      <c r="AZ287" s="987" t="str">
        <f t="shared" si="400"/>
        <v>-</v>
      </c>
      <c r="BA287" s="988" t="str">
        <f t="shared" si="401"/>
        <v>-</v>
      </c>
      <c r="BB287" s="1346" t="str">
        <f t="shared" si="402"/>
        <v>-</v>
      </c>
      <c r="BC287" s="987" t="str">
        <f t="shared" si="403"/>
        <v>-</v>
      </c>
      <c r="BD287" s="987" t="str">
        <f t="shared" si="404"/>
        <v>-</v>
      </c>
      <c r="BE287" s="987" t="str">
        <f t="shared" si="405"/>
        <v>-</v>
      </c>
      <c r="BF287" s="989" t="str">
        <f t="shared" si="406"/>
        <v>-</v>
      </c>
      <c r="BG287" s="951"/>
      <c r="BH287" s="1550" t="str">
        <f t="shared" si="407"/>
        <v>Rev</v>
      </c>
      <c r="BI287" s="1551" t="str">
        <f t="shared" si="408"/>
        <v>Water</v>
      </c>
      <c r="BJ287" s="1552" t="str">
        <f t="shared" si="409"/>
        <v>Fixed</v>
      </c>
      <c r="BK287" s="987" t="str">
        <f t="shared" ref="BK287:BU287" si="453">IF(V287="","-",IFERROR((V287/U287-1)*(U287/U$13),"-"))</f>
        <v>-</v>
      </c>
      <c r="BL287" s="987" t="str">
        <f t="shared" si="453"/>
        <v>-</v>
      </c>
      <c r="BM287" s="987" t="str">
        <f t="shared" si="453"/>
        <v>-</v>
      </c>
      <c r="BN287" s="987" t="str">
        <f t="shared" si="453"/>
        <v>-</v>
      </c>
      <c r="BO287" s="1353" t="str">
        <f t="shared" si="453"/>
        <v>-</v>
      </c>
      <c r="BP287" s="1346" t="str">
        <f t="shared" si="453"/>
        <v>-</v>
      </c>
      <c r="BQ287" s="987" t="str">
        <f t="shared" si="453"/>
        <v>-</v>
      </c>
      <c r="BR287" s="987" t="str">
        <f t="shared" si="453"/>
        <v>-</v>
      </c>
      <c r="BS287" s="987" t="str">
        <f t="shared" si="453"/>
        <v>-</v>
      </c>
      <c r="BT287" s="988" t="str">
        <f t="shared" si="453"/>
        <v>-</v>
      </c>
      <c r="BU287" s="987" t="str">
        <f t="shared" si="453"/>
        <v>-</v>
      </c>
      <c r="BV287" s="987" t="str">
        <f>IF(AG287="","-",IFERROR((AG287/AF287-1)*(AF287/AF$13),"-"))</f>
        <v>-</v>
      </c>
      <c r="BW287" s="987" t="str">
        <f>IF(AH287="","-",IFERROR((AH287/AG287-1)*(AG287/AG$13),"-"))</f>
        <v>-</v>
      </c>
      <c r="BX287" s="987" t="str">
        <f>IF(AI287="","-",IFERROR((AI287/AH287-1)*(AH287/AH$13),"-"))</f>
        <v>-</v>
      </c>
      <c r="BY287" s="989" t="str">
        <f>IF(AJ287="","-",IFERROR((AJ287/AI287-1)*(AI287/AI$13),"-"))</f>
        <v>-</v>
      </c>
      <c r="BZ287" s="951"/>
      <c r="CA287" s="984" t="str">
        <f t="shared" si="386"/>
        <v>Rev</v>
      </c>
      <c r="CB287" s="985" t="str">
        <f t="shared" si="387"/>
        <v>Water</v>
      </c>
      <c r="CC287" s="985" t="str">
        <f t="shared" si="388"/>
        <v>Fixed</v>
      </c>
      <c r="CD287" s="990" t="str">
        <f t="shared" si="418"/>
        <v>-</v>
      </c>
      <c r="CE287" s="987" t="str">
        <f t="shared" si="411"/>
        <v>-</v>
      </c>
      <c r="CF287" s="987" t="str">
        <f t="shared" si="412"/>
        <v>-</v>
      </c>
      <c r="CG287" s="988" t="str">
        <f t="shared" si="413"/>
        <v>-</v>
      </c>
      <c r="CH287" s="987" t="str">
        <f t="shared" si="419"/>
        <v>-</v>
      </c>
      <c r="CI287" s="987" t="str">
        <f t="shared" si="414"/>
        <v>-</v>
      </c>
      <c r="CJ287" s="987" t="str">
        <f t="shared" si="415"/>
        <v>-</v>
      </c>
      <c r="CK287" s="989" t="str">
        <f t="shared" si="416"/>
        <v>-</v>
      </c>
    </row>
    <row r="288" spans="4:89">
      <c r="D288" s="63">
        <f>D285+1</f>
        <v>74</v>
      </c>
      <c r="E288" s="550" t="s">
        <v>857</v>
      </c>
      <c r="F288" s="595" t="s">
        <v>401</v>
      </c>
      <c r="G288" s="595" t="s">
        <v>877</v>
      </c>
      <c r="H288" s="595" t="s">
        <v>886</v>
      </c>
      <c r="I288" s="589" t="s">
        <v>842</v>
      </c>
      <c r="J288" s="589" t="s">
        <v>879</v>
      </c>
      <c r="K288" s="551"/>
      <c r="L288" s="552"/>
      <c r="M288" s="552"/>
      <c r="N288" s="551"/>
      <c r="O288" s="552"/>
      <c r="P288" s="552"/>
      <c r="Q288" s="552"/>
      <c r="R288" s="1035"/>
      <c r="S288" s="1138"/>
      <c r="T288" s="591"/>
      <c r="U288" s="1035"/>
      <c r="V288" s="1138"/>
      <c r="W288" s="591"/>
      <c r="X288" s="591"/>
      <c r="Y288" s="591"/>
      <c r="Z288" s="1035"/>
      <c r="AA288" s="1138"/>
      <c r="AB288" s="591"/>
      <c r="AC288" s="591"/>
      <c r="AD288" s="591"/>
      <c r="AE288" s="1035"/>
      <c r="AF288" s="1138"/>
      <c r="AG288" s="591"/>
      <c r="AH288" s="591"/>
      <c r="AI288" s="591"/>
      <c r="AJ288" s="1035"/>
      <c r="AK288" s="569"/>
      <c r="AL288" s="569"/>
      <c r="AM288" s="974"/>
      <c r="AN288" s="857"/>
      <c r="AO288" s="975" t="str">
        <f t="shared" si="389"/>
        <v>Price</v>
      </c>
      <c r="AP288" s="976" t="str">
        <f t="shared" si="390"/>
        <v>Water</v>
      </c>
      <c r="AQ288" s="977" t="str">
        <f t="shared" si="391"/>
        <v>Fixed</v>
      </c>
      <c r="AR288" s="1341" t="str">
        <f t="shared" si="392"/>
        <v>-</v>
      </c>
      <c r="AS288" s="978" t="str">
        <f t="shared" si="393"/>
        <v>-</v>
      </c>
      <c r="AT288" s="979" t="str">
        <f t="shared" si="394"/>
        <v>-</v>
      </c>
      <c r="AU288" s="979" t="str">
        <f t="shared" si="395"/>
        <v>-</v>
      </c>
      <c r="AV288" s="1352" t="str">
        <f t="shared" si="396"/>
        <v>-</v>
      </c>
      <c r="AW288" s="1345" t="str">
        <f t="shared" si="397"/>
        <v>-</v>
      </c>
      <c r="AX288" s="979" t="str">
        <f t="shared" si="398"/>
        <v>-</v>
      </c>
      <c r="AY288" s="979" t="str">
        <f t="shared" si="399"/>
        <v>-</v>
      </c>
      <c r="AZ288" s="979" t="str">
        <f t="shared" si="400"/>
        <v>-</v>
      </c>
      <c r="BA288" s="980" t="str">
        <f t="shared" si="401"/>
        <v>-</v>
      </c>
      <c r="BB288" s="1345" t="str">
        <f t="shared" si="402"/>
        <v>-</v>
      </c>
      <c r="BC288" s="979" t="str">
        <f t="shared" si="403"/>
        <v>-</v>
      </c>
      <c r="BD288" s="979" t="str">
        <f t="shared" si="404"/>
        <v>-</v>
      </c>
      <c r="BE288" s="979" t="str">
        <f t="shared" si="405"/>
        <v>-</v>
      </c>
      <c r="BF288" s="981" t="str">
        <f t="shared" si="406"/>
        <v>-</v>
      </c>
      <c r="BG288" s="951"/>
      <c r="BH288" s="1547" t="str">
        <f t="shared" si="407"/>
        <v>Price</v>
      </c>
      <c r="BI288" s="1548" t="str">
        <f t="shared" si="408"/>
        <v>Water</v>
      </c>
      <c r="BJ288" s="1549" t="str">
        <f t="shared" si="409"/>
        <v>Fixed</v>
      </c>
      <c r="BK288" s="978" t="str">
        <f t="shared" ref="BK288:BU288" si="454">IF(V288="","-",IFERROR((V288/U288-1)*(U290/U$13),"-"))</f>
        <v>-</v>
      </c>
      <c r="BL288" s="978" t="str">
        <f t="shared" si="454"/>
        <v>-</v>
      </c>
      <c r="BM288" s="979" t="str">
        <f t="shared" si="454"/>
        <v>-</v>
      </c>
      <c r="BN288" s="979" t="str">
        <f t="shared" si="454"/>
        <v>-</v>
      </c>
      <c r="BO288" s="1352" t="str">
        <f t="shared" si="454"/>
        <v>-</v>
      </c>
      <c r="BP288" s="1345" t="str">
        <f t="shared" si="454"/>
        <v>-</v>
      </c>
      <c r="BQ288" s="979" t="str">
        <f t="shared" si="454"/>
        <v>-</v>
      </c>
      <c r="BR288" s="979" t="str">
        <f t="shared" si="454"/>
        <v>-</v>
      </c>
      <c r="BS288" s="979" t="str">
        <f t="shared" si="454"/>
        <v>-</v>
      </c>
      <c r="BT288" s="980" t="str">
        <f t="shared" si="454"/>
        <v>-</v>
      </c>
      <c r="BU288" s="979" t="str">
        <f t="shared" si="454"/>
        <v>-</v>
      </c>
      <c r="BV288" s="979" t="str">
        <f>IF(AG288="","-",IFERROR((AG288/AF288-1)*(AF290/AF$13),"-"))</f>
        <v>-</v>
      </c>
      <c r="BW288" s="979" t="str">
        <f>IF(AH288="","-",IFERROR((AH288/AG288-1)*(AG290/AG$13),"-"))</f>
        <v>-</v>
      </c>
      <c r="BX288" s="979" t="str">
        <f>IF(AI288="","-",IFERROR((AI288/AH288-1)*(AH290/AH$13),"-"))</f>
        <v>-</v>
      </c>
      <c r="BY288" s="981" t="str">
        <f>IF(AJ288="","-",IFERROR((AJ288/AI288-1)*(AI290/AI$13),"-"))</f>
        <v>-</v>
      </c>
      <c r="BZ288" s="951"/>
      <c r="CA288" s="975" t="str">
        <f t="shared" si="386"/>
        <v>Price</v>
      </c>
      <c r="CB288" s="976" t="str">
        <f t="shared" si="387"/>
        <v>Water</v>
      </c>
      <c r="CC288" s="982" t="str">
        <f t="shared" si="388"/>
        <v>Fixed</v>
      </c>
      <c r="CD288" s="983" t="str">
        <f t="shared" si="418"/>
        <v>-</v>
      </c>
      <c r="CE288" s="979" t="str">
        <f t="shared" si="411"/>
        <v>-</v>
      </c>
      <c r="CF288" s="979" t="str">
        <f t="shared" si="412"/>
        <v>-</v>
      </c>
      <c r="CG288" s="980" t="str">
        <f t="shared" si="413"/>
        <v>-</v>
      </c>
      <c r="CH288" s="979" t="str">
        <f t="shared" si="419"/>
        <v>-</v>
      </c>
      <c r="CI288" s="979" t="str">
        <f t="shared" si="414"/>
        <v>-</v>
      </c>
      <c r="CJ288" s="979" t="str">
        <f t="shared" si="415"/>
        <v>-</v>
      </c>
      <c r="CK288" s="981" t="str">
        <f t="shared" si="416"/>
        <v>-</v>
      </c>
    </row>
    <row r="289" spans="4:89">
      <c r="E289" s="567" t="s">
        <v>880</v>
      </c>
      <c r="F289" s="554" t="str">
        <f>+F288</f>
        <v>Water</v>
      </c>
      <c r="G289" s="555" t="str">
        <f>+G288</f>
        <v>GWW</v>
      </c>
      <c r="H289" s="555" t="str">
        <f>+H288</f>
        <v>Transfer</v>
      </c>
      <c r="I289" s="556" t="str">
        <f>+I288</f>
        <v>Fixed</v>
      </c>
      <c r="J289" s="590" t="s">
        <v>890</v>
      </c>
      <c r="K289" s="557"/>
      <c r="L289" s="558"/>
      <c r="M289" s="558"/>
      <c r="N289" s="557"/>
      <c r="O289" s="558"/>
      <c r="P289" s="558"/>
      <c r="Q289" s="558"/>
      <c r="R289" s="1036"/>
      <c r="S289" s="1139"/>
      <c r="T289" s="593"/>
      <c r="U289" s="1036"/>
      <c r="V289" s="1139"/>
      <c r="W289" s="593"/>
      <c r="X289" s="593"/>
      <c r="Y289" s="593"/>
      <c r="Z289" s="1036"/>
      <c r="AA289" s="1139"/>
      <c r="AB289" s="593"/>
      <c r="AC289" s="593"/>
      <c r="AD289" s="593"/>
      <c r="AE289" s="1036"/>
      <c r="AF289" s="1139"/>
      <c r="AG289" s="593"/>
      <c r="AH289" s="593"/>
      <c r="AI289" s="593"/>
      <c r="AJ289" s="1036"/>
      <c r="AK289" s="569"/>
      <c r="AL289" s="569"/>
      <c r="AN289" s="857"/>
      <c r="AO289" s="961" t="str">
        <f t="shared" si="389"/>
        <v>Qty</v>
      </c>
      <c r="AP289" s="962" t="str">
        <f t="shared" si="390"/>
        <v>Water</v>
      </c>
      <c r="AQ289" s="963" t="str">
        <f t="shared" si="391"/>
        <v>Fixed</v>
      </c>
      <c r="AR289" s="967" t="str">
        <f t="shared" si="392"/>
        <v>-</v>
      </c>
      <c r="AS289" s="964" t="str">
        <f t="shared" si="393"/>
        <v>-</v>
      </c>
      <c r="AT289" s="964" t="str">
        <f t="shared" si="394"/>
        <v>-</v>
      </c>
      <c r="AU289" s="964" t="str">
        <f t="shared" si="395"/>
        <v>-</v>
      </c>
      <c r="AV289" s="1350" t="str">
        <f t="shared" si="396"/>
        <v>-</v>
      </c>
      <c r="AW289" s="1343" t="str">
        <f t="shared" si="397"/>
        <v>-</v>
      </c>
      <c r="AX289" s="964" t="str">
        <f t="shared" si="398"/>
        <v>-</v>
      </c>
      <c r="AY289" s="964" t="str">
        <f t="shared" si="399"/>
        <v>-</v>
      </c>
      <c r="AZ289" s="964" t="str">
        <f t="shared" si="400"/>
        <v>-</v>
      </c>
      <c r="BA289" s="965" t="str">
        <f t="shared" si="401"/>
        <v>-</v>
      </c>
      <c r="BB289" s="1343" t="str">
        <f t="shared" si="402"/>
        <v>-</v>
      </c>
      <c r="BC289" s="964" t="str">
        <f t="shared" si="403"/>
        <v>-</v>
      </c>
      <c r="BD289" s="964" t="str">
        <f t="shared" si="404"/>
        <v>-</v>
      </c>
      <c r="BE289" s="964" t="str">
        <f t="shared" si="405"/>
        <v>-</v>
      </c>
      <c r="BF289" s="966" t="str">
        <f t="shared" si="406"/>
        <v>-</v>
      </c>
      <c r="BG289" s="951"/>
      <c r="BH289" s="1541" t="str">
        <f t="shared" si="407"/>
        <v>Qty</v>
      </c>
      <c r="BI289" s="1542" t="str">
        <f t="shared" si="408"/>
        <v>Water</v>
      </c>
      <c r="BJ289" s="1543" t="str">
        <f t="shared" si="409"/>
        <v>Fixed</v>
      </c>
      <c r="BK289" s="964" t="str">
        <f t="shared" ref="BK289:BU289" si="455">IF(V289="","-",IFERROR((V289/U289-1)*(U290/U$13),"-"))</f>
        <v>-</v>
      </c>
      <c r="BL289" s="964" t="str">
        <f t="shared" si="455"/>
        <v>-</v>
      </c>
      <c r="BM289" s="964" t="str">
        <f t="shared" si="455"/>
        <v>-</v>
      </c>
      <c r="BN289" s="964" t="str">
        <f t="shared" si="455"/>
        <v>-</v>
      </c>
      <c r="BO289" s="1350" t="str">
        <f t="shared" si="455"/>
        <v>-</v>
      </c>
      <c r="BP289" s="1343" t="str">
        <f t="shared" si="455"/>
        <v>-</v>
      </c>
      <c r="BQ289" s="964" t="str">
        <f t="shared" si="455"/>
        <v>-</v>
      </c>
      <c r="BR289" s="964" t="str">
        <f t="shared" si="455"/>
        <v>-</v>
      </c>
      <c r="BS289" s="964" t="str">
        <f t="shared" si="455"/>
        <v>-</v>
      </c>
      <c r="BT289" s="965" t="str">
        <f t="shared" si="455"/>
        <v>-</v>
      </c>
      <c r="BU289" s="964" t="str">
        <f t="shared" si="455"/>
        <v>-</v>
      </c>
      <c r="BV289" s="964" t="str">
        <f>IF(AG289="","-",IFERROR((AG289/AF289-1)*(AF290/AF$13),"-"))</f>
        <v>-</v>
      </c>
      <c r="BW289" s="964" t="str">
        <f>IF(AH289="","-",IFERROR((AH289/AG289-1)*(AG290/AG$13),"-"))</f>
        <v>-</v>
      </c>
      <c r="BX289" s="964" t="str">
        <f>IF(AI289="","-",IFERROR((AI289/AH289-1)*(AH290/AH$13),"-"))</f>
        <v>-</v>
      </c>
      <c r="BY289" s="966" t="str">
        <f>IF(AJ289="","-",IFERROR((AJ289/AI289-1)*(AI290/AI$13),"-"))</f>
        <v>-</v>
      </c>
      <c r="BZ289" s="951"/>
      <c r="CA289" s="961" t="str">
        <f t="shared" si="386"/>
        <v>Qty</v>
      </c>
      <c r="CB289" s="962" t="str">
        <f t="shared" si="387"/>
        <v>Water</v>
      </c>
      <c r="CC289" s="962" t="str">
        <f t="shared" si="388"/>
        <v>Fixed</v>
      </c>
      <c r="CD289" s="967" t="str">
        <f t="shared" si="418"/>
        <v>-</v>
      </c>
      <c r="CE289" s="964" t="str">
        <f t="shared" si="411"/>
        <v>-</v>
      </c>
      <c r="CF289" s="964" t="str">
        <f t="shared" si="412"/>
        <v>-</v>
      </c>
      <c r="CG289" s="965" t="str">
        <f t="shared" si="413"/>
        <v>-</v>
      </c>
      <c r="CH289" s="964" t="str">
        <f t="shared" si="419"/>
        <v>-</v>
      </c>
      <c r="CI289" s="964" t="str">
        <f t="shared" si="414"/>
        <v>-</v>
      </c>
      <c r="CJ289" s="964" t="str">
        <f t="shared" si="415"/>
        <v>-</v>
      </c>
      <c r="CK289" s="966" t="str">
        <f t="shared" si="416"/>
        <v>-</v>
      </c>
    </row>
    <row r="290" spans="4:89" ht="12.75" thickBot="1">
      <c r="E290" s="568" t="s">
        <v>882</v>
      </c>
      <c r="F290" s="560" t="str">
        <f>+F288</f>
        <v>Water</v>
      </c>
      <c r="G290" s="561" t="str">
        <f>+G288</f>
        <v>GWW</v>
      </c>
      <c r="H290" s="561" t="str">
        <f>+H288</f>
        <v>Transfer</v>
      </c>
      <c r="I290" s="562" t="str">
        <f>+I288</f>
        <v>Fixed</v>
      </c>
      <c r="J290" s="563" t="s">
        <v>883</v>
      </c>
      <c r="K290" s="564">
        <f t="shared" ref="K290:AJ290" si="456">K288*K289/10^6</f>
        <v>0</v>
      </c>
      <c r="L290" s="565">
        <f t="shared" si="456"/>
        <v>0</v>
      </c>
      <c r="M290" s="565">
        <f t="shared" si="456"/>
        <v>0</v>
      </c>
      <c r="N290" s="564">
        <f t="shared" si="456"/>
        <v>0</v>
      </c>
      <c r="O290" s="565">
        <f t="shared" si="456"/>
        <v>0</v>
      </c>
      <c r="P290" s="565">
        <f t="shared" si="456"/>
        <v>0</v>
      </c>
      <c r="Q290" s="565">
        <f t="shared" si="456"/>
        <v>0</v>
      </c>
      <c r="R290" s="566">
        <f t="shared" si="456"/>
        <v>0</v>
      </c>
      <c r="S290" s="564">
        <f t="shared" si="456"/>
        <v>0</v>
      </c>
      <c r="T290" s="565">
        <f t="shared" si="456"/>
        <v>0</v>
      </c>
      <c r="U290" s="566">
        <f t="shared" si="456"/>
        <v>0</v>
      </c>
      <c r="V290" s="564">
        <f t="shared" si="456"/>
        <v>0</v>
      </c>
      <c r="W290" s="565">
        <f t="shared" si="456"/>
        <v>0</v>
      </c>
      <c r="X290" s="565">
        <f t="shared" si="456"/>
        <v>0</v>
      </c>
      <c r="Y290" s="565">
        <f t="shared" si="456"/>
        <v>0</v>
      </c>
      <c r="Z290" s="566">
        <f t="shared" si="456"/>
        <v>0</v>
      </c>
      <c r="AA290" s="564">
        <f t="shared" si="456"/>
        <v>0</v>
      </c>
      <c r="AB290" s="565">
        <f t="shared" si="456"/>
        <v>0</v>
      </c>
      <c r="AC290" s="565">
        <f t="shared" si="456"/>
        <v>0</v>
      </c>
      <c r="AD290" s="565">
        <f t="shared" si="456"/>
        <v>0</v>
      </c>
      <c r="AE290" s="566">
        <f t="shared" si="456"/>
        <v>0</v>
      </c>
      <c r="AF290" s="564">
        <f t="shared" si="456"/>
        <v>0</v>
      </c>
      <c r="AG290" s="565">
        <f t="shared" si="456"/>
        <v>0</v>
      </c>
      <c r="AH290" s="565">
        <f t="shared" si="456"/>
        <v>0</v>
      </c>
      <c r="AI290" s="565">
        <f t="shared" si="456"/>
        <v>0</v>
      </c>
      <c r="AJ290" s="566">
        <f t="shared" si="456"/>
        <v>0</v>
      </c>
      <c r="AK290" s="569"/>
      <c r="AL290" s="569"/>
      <c r="AN290" s="857"/>
      <c r="AO290" s="984" t="str">
        <f t="shared" si="389"/>
        <v>Rev</v>
      </c>
      <c r="AP290" s="985" t="str">
        <f t="shared" si="390"/>
        <v>Water</v>
      </c>
      <c r="AQ290" s="986" t="str">
        <f t="shared" si="391"/>
        <v>Fixed</v>
      </c>
      <c r="AR290" s="990" t="str">
        <f t="shared" si="392"/>
        <v>-</v>
      </c>
      <c r="AS290" s="987" t="str">
        <f t="shared" si="393"/>
        <v>-</v>
      </c>
      <c r="AT290" s="987" t="str">
        <f t="shared" si="394"/>
        <v>-</v>
      </c>
      <c r="AU290" s="987" t="str">
        <f t="shared" si="395"/>
        <v>-</v>
      </c>
      <c r="AV290" s="1353" t="str">
        <f t="shared" si="396"/>
        <v>-</v>
      </c>
      <c r="AW290" s="1346" t="str">
        <f t="shared" si="397"/>
        <v>-</v>
      </c>
      <c r="AX290" s="987" t="str">
        <f t="shared" si="398"/>
        <v>-</v>
      </c>
      <c r="AY290" s="987" t="str">
        <f t="shared" si="399"/>
        <v>-</v>
      </c>
      <c r="AZ290" s="987" t="str">
        <f t="shared" si="400"/>
        <v>-</v>
      </c>
      <c r="BA290" s="988" t="str">
        <f t="shared" si="401"/>
        <v>-</v>
      </c>
      <c r="BB290" s="1346" t="str">
        <f t="shared" si="402"/>
        <v>-</v>
      </c>
      <c r="BC290" s="987" t="str">
        <f t="shared" si="403"/>
        <v>-</v>
      </c>
      <c r="BD290" s="987" t="str">
        <f t="shared" si="404"/>
        <v>-</v>
      </c>
      <c r="BE290" s="987" t="str">
        <f t="shared" si="405"/>
        <v>-</v>
      </c>
      <c r="BF290" s="989" t="str">
        <f t="shared" si="406"/>
        <v>-</v>
      </c>
      <c r="BG290" s="951"/>
      <c r="BH290" s="1550" t="str">
        <f t="shared" si="407"/>
        <v>Rev</v>
      </c>
      <c r="BI290" s="1551" t="str">
        <f t="shared" si="408"/>
        <v>Water</v>
      </c>
      <c r="BJ290" s="1552" t="str">
        <f t="shared" si="409"/>
        <v>Fixed</v>
      </c>
      <c r="BK290" s="987" t="str">
        <f t="shared" ref="BK290:BU290" si="457">IF(V290="","-",IFERROR((V290/U290-1)*(U290/U$13),"-"))</f>
        <v>-</v>
      </c>
      <c r="BL290" s="987" t="str">
        <f t="shared" si="457"/>
        <v>-</v>
      </c>
      <c r="BM290" s="987" t="str">
        <f t="shared" si="457"/>
        <v>-</v>
      </c>
      <c r="BN290" s="987" t="str">
        <f t="shared" si="457"/>
        <v>-</v>
      </c>
      <c r="BO290" s="1353" t="str">
        <f t="shared" si="457"/>
        <v>-</v>
      </c>
      <c r="BP290" s="1346" t="str">
        <f t="shared" si="457"/>
        <v>-</v>
      </c>
      <c r="BQ290" s="987" t="str">
        <f t="shared" si="457"/>
        <v>-</v>
      </c>
      <c r="BR290" s="987" t="str">
        <f t="shared" si="457"/>
        <v>-</v>
      </c>
      <c r="BS290" s="987" t="str">
        <f t="shared" si="457"/>
        <v>-</v>
      </c>
      <c r="BT290" s="988" t="str">
        <f t="shared" si="457"/>
        <v>-</v>
      </c>
      <c r="BU290" s="987" t="str">
        <f t="shared" si="457"/>
        <v>-</v>
      </c>
      <c r="BV290" s="987" t="str">
        <f>IF(AG290="","-",IFERROR((AG290/AF290-1)*(AF290/AF$13),"-"))</f>
        <v>-</v>
      </c>
      <c r="BW290" s="987" t="str">
        <f>IF(AH290="","-",IFERROR((AH290/AG290-1)*(AG290/AG$13),"-"))</f>
        <v>-</v>
      </c>
      <c r="BX290" s="987" t="str">
        <f>IF(AI290="","-",IFERROR((AI290/AH290-1)*(AH290/AH$13),"-"))</f>
        <v>-</v>
      </c>
      <c r="BY290" s="989" t="str">
        <f>IF(AJ290="","-",IFERROR((AJ290/AI290-1)*(AI290/AI$13),"-"))</f>
        <v>-</v>
      </c>
      <c r="BZ290" s="951"/>
      <c r="CA290" s="984" t="str">
        <f t="shared" si="386"/>
        <v>Rev</v>
      </c>
      <c r="CB290" s="985" t="str">
        <f t="shared" si="387"/>
        <v>Water</v>
      </c>
      <c r="CC290" s="985" t="str">
        <f t="shared" si="388"/>
        <v>Fixed</v>
      </c>
      <c r="CD290" s="990" t="str">
        <f t="shared" si="418"/>
        <v>-</v>
      </c>
      <c r="CE290" s="987" t="str">
        <f t="shared" si="411"/>
        <v>-</v>
      </c>
      <c r="CF290" s="987" t="str">
        <f t="shared" si="412"/>
        <v>-</v>
      </c>
      <c r="CG290" s="988" t="str">
        <f t="shared" si="413"/>
        <v>-</v>
      </c>
      <c r="CH290" s="987" t="str">
        <f t="shared" si="419"/>
        <v>-</v>
      </c>
      <c r="CI290" s="987" t="str">
        <f t="shared" si="414"/>
        <v>-</v>
      </c>
      <c r="CJ290" s="987" t="str">
        <f t="shared" si="415"/>
        <v>-</v>
      </c>
      <c r="CK290" s="989" t="str">
        <f t="shared" si="416"/>
        <v>-</v>
      </c>
    </row>
    <row r="291" spans="4:89">
      <c r="D291" s="63">
        <f>D288+1</f>
        <v>75</v>
      </c>
      <c r="E291" s="550" t="s">
        <v>857</v>
      </c>
      <c r="F291" s="595" t="s">
        <v>401</v>
      </c>
      <c r="G291" s="595" t="s">
        <v>92</v>
      </c>
      <c r="H291" s="595" t="s">
        <v>886</v>
      </c>
      <c r="I291" s="589" t="s">
        <v>842</v>
      </c>
      <c r="J291" s="589" t="s">
        <v>879</v>
      </c>
      <c r="K291" s="551"/>
      <c r="L291" s="552"/>
      <c r="M291" s="552"/>
      <c r="N291" s="551"/>
      <c r="O291" s="552"/>
      <c r="P291" s="552"/>
      <c r="Q291" s="552"/>
      <c r="R291" s="1035"/>
      <c r="S291" s="1138"/>
      <c r="T291" s="591"/>
      <c r="U291" s="1035"/>
      <c r="V291" s="1138"/>
      <c r="W291" s="591"/>
      <c r="X291" s="591"/>
      <c r="Y291" s="591"/>
      <c r="Z291" s="1035"/>
      <c r="AA291" s="1138"/>
      <c r="AB291" s="591"/>
      <c r="AC291" s="591"/>
      <c r="AD291" s="591"/>
      <c r="AE291" s="1035"/>
      <c r="AF291" s="1138"/>
      <c r="AG291" s="591"/>
      <c r="AH291" s="591"/>
      <c r="AI291" s="591"/>
      <c r="AJ291" s="1035"/>
      <c r="AK291" s="569"/>
      <c r="AL291" s="569"/>
      <c r="AM291" s="974"/>
      <c r="AN291" s="857"/>
      <c r="AO291" s="975" t="str">
        <f t="shared" si="389"/>
        <v>Price</v>
      </c>
      <c r="AP291" s="976" t="str">
        <f t="shared" si="390"/>
        <v>Water</v>
      </c>
      <c r="AQ291" s="977" t="str">
        <f t="shared" si="391"/>
        <v>Fixed</v>
      </c>
      <c r="AR291" s="1341" t="str">
        <f t="shared" si="392"/>
        <v>-</v>
      </c>
      <c r="AS291" s="978" t="str">
        <f t="shared" si="393"/>
        <v>-</v>
      </c>
      <c r="AT291" s="979" t="str">
        <f t="shared" si="394"/>
        <v>-</v>
      </c>
      <c r="AU291" s="979" t="str">
        <f t="shared" si="395"/>
        <v>-</v>
      </c>
      <c r="AV291" s="1352" t="str">
        <f t="shared" si="396"/>
        <v>-</v>
      </c>
      <c r="AW291" s="1345" t="str">
        <f t="shared" si="397"/>
        <v>-</v>
      </c>
      <c r="AX291" s="979" t="str">
        <f t="shared" si="398"/>
        <v>-</v>
      </c>
      <c r="AY291" s="979" t="str">
        <f t="shared" si="399"/>
        <v>-</v>
      </c>
      <c r="AZ291" s="979" t="str">
        <f t="shared" si="400"/>
        <v>-</v>
      </c>
      <c r="BA291" s="980" t="str">
        <f t="shared" si="401"/>
        <v>-</v>
      </c>
      <c r="BB291" s="1345" t="str">
        <f t="shared" si="402"/>
        <v>-</v>
      </c>
      <c r="BC291" s="979" t="str">
        <f t="shared" si="403"/>
        <v>-</v>
      </c>
      <c r="BD291" s="979" t="str">
        <f t="shared" si="404"/>
        <v>-</v>
      </c>
      <c r="BE291" s="979" t="str">
        <f t="shared" si="405"/>
        <v>-</v>
      </c>
      <c r="BF291" s="981" t="str">
        <f t="shared" si="406"/>
        <v>-</v>
      </c>
      <c r="BG291" s="951"/>
      <c r="BH291" s="1547" t="str">
        <f t="shared" si="407"/>
        <v>Price</v>
      </c>
      <c r="BI291" s="1548" t="str">
        <f t="shared" si="408"/>
        <v>Water</v>
      </c>
      <c r="BJ291" s="1549" t="str">
        <f t="shared" si="409"/>
        <v>Fixed</v>
      </c>
      <c r="BK291" s="978" t="str">
        <f t="shared" ref="BK291:BU291" si="458">IF(V291="","-",IFERROR((V291/U291-1)*(U293/U$13),"-"))</f>
        <v>-</v>
      </c>
      <c r="BL291" s="978" t="str">
        <f t="shared" si="458"/>
        <v>-</v>
      </c>
      <c r="BM291" s="979" t="str">
        <f t="shared" si="458"/>
        <v>-</v>
      </c>
      <c r="BN291" s="979" t="str">
        <f t="shared" si="458"/>
        <v>-</v>
      </c>
      <c r="BO291" s="1352" t="str">
        <f t="shared" si="458"/>
        <v>-</v>
      </c>
      <c r="BP291" s="1345" t="str">
        <f t="shared" si="458"/>
        <v>-</v>
      </c>
      <c r="BQ291" s="979" t="str">
        <f t="shared" si="458"/>
        <v>-</v>
      </c>
      <c r="BR291" s="979" t="str">
        <f t="shared" si="458"/>
        <v>-</v>
      </c>
      <c r="BS291" s="979" t="str">
        <f t="shared" si="458"/>
        <v>-</v>
      </c>
      <c r="BT291" s="980" t="str">
        <f t="shared" si="458"/>
        <v>-</v>
      </c>
      <c r="BU291" s="979" t="str">
        <f t="shared" si="458"/>
        <v>-</v>
      </c>
      <c r="BV291" s="979" t="str">
        <f>IF(AG291="","-",IFERROR((AG291/AF291-1)*(AF293/AF$13),"-"))</f>
        <v>-</v>
      </c>
      <c r="BW291" s="979" t="str">
        <f>IF(AH291="","-",IFERROR((AH291/AG291-1)*(AG293/AG$13),"-"))</f>
        <v>-</v>
      </c>
      <c r="BX291" s="979" t="str">
        <f>IF(AI291="","-",IFERROR((AI291/AH291-1)*(AH293/AH$13),"-"))</f>
        <v>-</v>
      </c>
      <c r="BY291" s="981" t="str">
        <f>IF(AJ291="","-",IFERROR((AJ291/AI291-1)*(AI293/AI$13),"-"))</f>
        <v>-</v>
      </c>
      <c r="BZ291" s="951"/>
      <c r="CA291" s="975" t="str">
        <f t="shared" si="386"/>
        <v>Price</v>
      </c>
      <c r="CB291" s="976" t="str">
        <f t="shared" si="387"/>
        <v>Water</v>
      </c>
      <c r="CC291" s="982" t="str">
        <f t="shared" si="388"/>
        <v>Fixed</v>
      </c>
      <c r="CD291" s="983" t="str">
        <f t="shared" si="418"/>
        <v>-</v>
      </c>
      <c r="CE291" s="979" t="str">
        <f t="shared" si="411"/>
        <v>-</v>
      </c>
      <c r="CF291" s="979" t="str">
        <f t="shared" si="412"/>
        <v>-</v>
      </c>
      <c r="CG291" s="980" t="str">
        <f t="shared" si="413"/>
        <v>-</v>
      </c>
      <c r="CH291" s="979" t="str">
        <f t="shared" si="419"/>
        <v>-</v>
      </c>
      <c r="CI291" s="979" t="str">
        <f t="shared" si="414"/>
        <v>-</v>
      </c>
      <c r="CJ291" s="979" t="str">
        <f t="shared" si="415"/>
        <v>-</v>
      </c>
      <c r="CK291" s="981" t="str">
        <f t="shared" si="416"/>
        <v>-</v>
      </c>
    </row>
    <row r="292" spans="4:89">
      <c r="E292" s="567" t="s">
        <v>880</v>
      </c>
      <c r="F292" s="554" t="str">
        <f>+F291</f>
        <v>Water</v>
      </c>
      <c r="G292" s="555" t="str">
        <f>+G291</f>
        <v>SEW</v>
      </c>
      <c r="H292" s="555" t="str">
        <f>+H291</f>
        <v>Transfer</v>
      </c>
      <c r="I292" s="556" t="str">
        <f>+I291</f>
        <v>Fixed</v>
      </c>
      <c r="J292" s="590" t="s">
        <v>890</v>
      </c>
      <c r="K292" s="557"/>
      <c r="L292" s="558"/>
      <c r="M292" s="558"/>
      <c r="N292" s="557"/>
      <c r="O292" s="558"/>
      <c r="P292" s="558"/>
      <c r="Q292" s="558"/>
      <c r="R292" s="1036"/>
      <c r="S292" s="1139"/>
      <c r="T292" s="593"/>
      <c r="U292" s="1036"/>
      <c r="V292" s="1139"/>
      <c r="W292" s="593"/>
      <c r="X292" s="593"/>
      <c r="Y292" s="593"/>
      <c r="Z292" s="1036"/>
      <c r="AA292" s="1139"/>
      <c r="AB292" s="593"/>
      <c r="AC292" s="593"/>
      <c r="AD292" s="593"/>
      <c r="AE292" s="1036"/>
      <c r="AF292" s="1139"/>
      <c r="AG292" s="593"/>
      <c r="AH292" s="593"/>
      <c r="AI292" s="593"/>
      <c r="AJ292" s="1036"/>
      <c r="AK292" s="569"/>
      <c r="AL292" s="569"/>
      <c r="AN292" s="857"/>
      <c r="AO292" s="961" t="str">
        <f t="shared" si="389"/>
        <v>Qty</v>
      </c>
      <c r="AP292" s="962" t="str">
        <f t="shared" si="390"/>
        <v>Water</v>
      </c>
      <c r="AQ292" s="963" t="str">
        <f t="shared" si="391"/>
        <v>Fixed</v>
      </c>
      <c r="AR292" s="967" t="str">
        <f t="shared" si="392"/>
        <v>-</v>
      </c>
      <c r="AS292" s="964" t="str">
        <f t="shared" si="393"/>
        <v>-</v>
      </c>
      <c r="AT292" s="964" t="str">
        <f t="shared" si="394"/>
        <v>-</v>
      </c>
      <c r="AU292" s="964" t="str">
        <f t="shared" si="395"/>
        <v>-</v>
      </c>
      <c r="AV292" s="1350" t="str">
        <f t="shared" si="396"/>
        <v>-</v>
      </c>
      <c r="AW292" s="1343" t="str">
        <f t="shared" si="397"/>
        <v>-</v>
      </c>
      <c r="AX292" s="964" t="str">
        <f t="shared" si="398"/>
        <v>-</v>
      </c>
      <c r="AY292" s="964" t="str">
        <f t="shared" si="399"/>
        <v>-</v>
      </c>
      <c r="AZ292" s="964" t="str">
        <f t="shared" si="400"/>
        <v>-</v>
      </c>
      <c r="BA292" s="965" t="str">
        <f t="shared" si="401"/>
        <v>-</v>
      </c>
      <c r="BB292" s="1343" t="str">
        <f t="shared" si="402"/>
        <v>-</v>
      </c>
      <c r="BC292" s="964" t="str">
        <f t="shared" si="403"/>
        <v>-</v>
      </c>
      <c r="BD292" s="964" t="str">
        <f t="shared" si="404"/>
        <v>-</v>
      </c>
      <c r="BE292" s="964" t="str">
        <f t="shared" si="405"/>
        <v>-</v>
      </c>
      <c r="BF292" s="966" t="str">
        <f t="shared" si="406"/>
        <v>-</v>
      </c>
      <c r="BG292" s="951"/>
      <c r="BH292" s="1541" t="str">
        <f t="shared" si="407"/>
        <v>Qty</v>
      </c>
      <c r="BI292" s="1542" t="str">
        <f t="shared" si="408"/>
        <v>Water</v>
      </c>
      <c r="BJ292" s="1543" t="str">
        <f t="shared" si="409"/>
        <v>Fixed</v>
      </c>
      <c r="BK292" s="964" t="str">
        <f t="shared" ref="BK292:BU292" si="459">IF(V292="","-",IFERROR((V292/U292-1)*(U293/U$13),"-"))</f>
        <v>-</v>
      </c>
      <c r="BL292" s="964" t="str">
        <f t="shared" si="459"/>
        <v>-</v>
      </c>
      <c r="BM292" s="964" t="str">
        <f t="shared" si="459"/>
        <v>-</v>
      </c>
      <c r="BN292" s="964" t="str">
        <f t="shared" si="459"/>
        <v>-</v>
      </c>
      <c r="BO292" s="1350" t="str">
        <f t="shared" si="459"/>
        <v>-</v>
      </c>
      <c r="BP292" s="1343" t="str">
        <f t="shared" si="459"/>
        <v>-</v>
      </c>
      <c r="BQ292" s="964" t="str">
        <f t="shared" si="459"/>
        <v>-</v>
      </c>
      <c r="BR292" s="964" t="str">
        <f t="shared" si="459"/>
        <v>-</v>
      </c>
      <c r="BS292" s="964" t="str">
        <f t="shared" si="459"/>
        <v>-</v>
      </c>
      <c r="BT292" s="965" t="str">
        <f t="shared" si="459"/>
        <v>-</v>
      </c>
      <c r="BU292" s="964" t="str">
        <f t="shared" si="459"/>
        <v>-</v>
      </c>
      <c r="BV292" s="964" t="str">
        <f>IF(AG292="","-",IFERROR((AG292/AF292-1)*(AF293/AF$13),"-"))</f>
        <v>-</v>
      </c>
      <c r="BW292" s="964" t="str">
        <f>IF(AH292="","-",IFERROR((AH292/AG292-1)*(AG293/AG$13),"-"))</f>
        <v>-</v>
      </c>
      <c r="BX292" s="964" t="str">
        <f>IF(AI292="","-",IFERROR((AI292/AH292-1)*(AH293/AH$13),"-"))</f>
        <v>-</v>
      </c>
      <c r="BY292" s="966" t="str">
        <f>IF(AJ292="","-",IFERROR((AJ292/AI292-1)*(AI293/AI$13),"-"))</f>
        <v>-</v>
      </c>
      <c r="BZ292" s="951"/>
      <c r="CA292" s="961" t="str">
        <f t="shared" si="386"/>
        <v>Qty</v>
      </c>
      <c r="CB292" s="962" t="str">
        <f t="shared" si="387"/>
        <v>Water</v>
      </c>
      <c r="CC292" s="962" t="str">
        <f t="shared" si="388"/>
        <v>Fixed</v>
      </c>
      <c r="CD292" s="967" t="str">
        <f t="shared" si="418"/>
        <v>-</v>
      </c>
      <c r="CE292" s="964" t="str">
        <f t="shared" si="411"/>
        <v>-</v>
      </c>
      <c r="CF292" s="964" t="str">
        <f t="shared" si="412"/>
        <v>-</v>
      </c>
      <c r="CG292" s="965" t="str">
        <f t="shared" si="413"/>
        <v>-</v>
      </c>
      <c r="CH292" s="964" t="str">
        <f t="shared" si="419"/>
        <v>-</v>
      </c>
      <c r="CI292" s="964" t="str">
        <f t="shared" si="414"/>
        <v>-</v>
      </c>
      <c r="CJ292" s="964" t="str">
        <f t="shared" si="415"/>
        <v>-</v>
      </c>
      <c r="CK292" s="966" t="str">
        <f t="shared" si="416"/>
        <v>-</v>
      </c>
    </row>
    <row r="293" spans="4:89" ht="12.75" thickBot="1">
      <c r="E293" s="568" t="s">
        <v>882</v>
      </c>
      <c r="F293" s="560" t="str">
        <f>+F291</f>
        <v>Water</v>
      </c>
      <c r="G293" s="561" t="str">
        <f>+G291</f>
        <v>SEW</v>
      </c>
      <c r="H293" s="561" t="str">
        <f>+H291</f>
        <v>Transfer</v>
      </c>
      <c r="I293" s="562" t="str">
        <f>+I291</f>
        <v>Fixed</v>
      </c>
      <c r="J293" s="563" t="s">
        <v>883</v>
      </c>
      <c r="K293" s="564">
        <f t="shared" ref="K293:AJ293" si="460">K291*K292/10^6</f>
        <v>0</v>
      </c>
      <c r="L293" s="565">
        <f t="shared" si="460"/>
        <v>0</v>
      </c>
      <c r="M293" s="565">
        <f t="shared" si="460"/>
        <v>0</v>
      </c>
      <c r="N293" s="564">
        <f t="shared" si="460"/>
        <v>0</v>
      </c>
      <c r="O293" s="565">
        <f t="shared" si="460"/>
        <v>0</v>
      </c>
      <c r="P293" s="565">
        <f t="shared" si="460"/>
        <v>0</v>
      </c>
      <c r="Q293" s="565">
        <f t="shared" si="460"/>
        <v>0</v>
      </c>
      <c r="R293" s="566">
        <f t="shared" si="460"/>
        <v>0</v>
      </c>
      <c r="S293" s="564">
        <f t="shared" si="460"/>
        <v>0</v>
      </c>
      <c r="T293" s="565">
        <f t="shared" si="460"/>
        <v>0</v>
      </c>
      <c r="U293" s="566">
        <f t="shared" si="460"/>
        <v>0</v>
      </c>
      <c r="V293" s="564">
        <f t="shared" si="460"/>
        <v>0</v>
      </c>
      <c r="W293" s="565">
        <f t="shared" si="460"/>
        <v>0</v>
      </c>
      <c r="X293" s="565">
        <f t="shared" si="460"/>
        <v>0</v>
      </c>
      <c r="Y293" s="565">
        <f t="shared" si="460"/>
        <v>0</v>
      </c>
      <c r="Z293" s="566">
        <f t="shared" si="460"/>
        <v>0</v>
      </c>
      <c r="AA293" s="564">
        <f t="shared" si="460"/>
        <v>0</v>
      </c>
      <c r="AB293" s="565">
        <f t="shared" si="460"/>
        <v>0</v>
      </c>
      <c r="AC293" s="565">
        <f t="shared" si="460"/>
        <v>0</v>
      </c>
      <c r="AD293" s="565">
        <f t="shared" si="460"/>
        <v>0</v>
      </c>
      <c r="AE293" s="566">
        <f t="shared" si="460"/>
        <v>0</v>
      </c>
      <c r="AF293" s="564">
        <f t="shared" si="460"/>
        <v>0</v>
      </c>
      <c r="AG293" s="565">
        <f t="shared" si="460"/>
        <v>0</v>
      </c>
      <c r="AH293" s="565">
        <f t="shared" si="460"/>
        <v>0</v>
      </c>
      <c r="AI293" s="565">
        <f t="shared" si="460"/>
        <v>0</v>
      </c>
      <c r="AJ293" s="566">
        <f t="shared" si="460"/>
        <v>0</v>
      </c>
      <c r="AK293" s="569"/>
      <c r="AL293" s="569"/>
      <c r="AN293" s="857"/>
      <c r="AO293" s="984" t="str">
        <f t="shared" si="389"/>
        <v>Rev</v>
      </c>
      <c r="AP293" s="985" t="str">
        <f t="shared" si="390"/>
        <v>Water</v>
      </c>
      <c r="AQ293" s="986" t="str">
        <f t="shared" si="391"/>
        <v>Fixed</v>
      </c>
      <c r="AR293" s="990" t="str">
        <f t="shared" si="392"/>
        <v>-</v>
      </c>
      <c r="AS293" s="987" t="str">
        <f t="shared" si="393"/>
        <v>-</v>
      </c>
      <c r="AT293" s="987" t="str">
        <f t="shared" si="394"/>
        <v>-</v>
      </c>
      <c r="AU293" s="987" t="str">
        <f t="shared" si="395"/>
        <v>-</v>
      </c>
      <c r="AV293" s="1353" t="str">
        <f t="shared" si="396"/>
        <v>-</v>
      </c>
      <c r="AW293" s="1346" t="str">
        <f t="shared" si="397"/>
        <v>-</v>
      </c>
      <c r="AX293" s="987" t="str">
        <f t="shared" si="398"/>
        <v>-</v>
      </c>
      <c r="AY293" s="987" t="str">
        <f t="shared" si="399"/>
        <v>-</v>
      </c>
      <c r="AZ293" s="987" t="str">
        <f t="shared" si="400"/>
        <v>-</v>
      </c>
      <c r="BA293" s="988" t="str">
        <f t="shared" si="401"/>
        <v>-</v>
      </c>
      <c r="BB293" s="1346" t="str">
        <f t="shared" si="402"/>
        <v>-</v>
      </c>
      <c r="BC293" s="987" t="str">
        <f t="shared" si="403"/>
        <v>-</v>
      </c>
      <c r="BD293" s="987" t="str">
        <f t="shared" si="404"/>
        <v>-</v>
      </c>
      <c r="BE293" s="987" t="str">
        <f t="shared" si="405"/>
        <v>-</v>
      </c>
      <c r="BF293" s="989" t="str">
        <f t="shared" si="406"/>
        <v>-</v>
      </c>
      <c r="BG293" s="951"/>
      <c r="BH293" s="1550" t="str">
        <f t="shared" si="407"/>
        <v>Rev</v>
      </c>
      <c r="BI293" s="1551" t="str">
        <f t="shared" si="408"/>
        <v>Water</v>
      </c>
      <c r="BJ293" s="1552" t="str">
        <f t="shared" si="409"/>
        <v>Fixed</v>
      </c>
      <c r="BK293" s="987" t="str">
        <f t="shared" ref="BK293:BU293" si="461">IF(V293="","-",IFERROR((V293/U293-1)*(U293/U$13),"-"))</f>
        <v>-</v>
      </c>
      <c r="BL293" s="987" t="str">
        <f t="shared" si="461"/>
        <v>-</v>
      </c>
      <c r="BM293" s="987" t="str">
        <f t="shared" si="461"/>
        <v>-</v>
      </c>
      <c r="BN293" s="987" t="str">
        <f t="shared" si="461"/>
        <v>-</v>
      </c>
      <c r="BO293" s="1353" t="str">
        <f t="shared" si="461"/>
        <v>-</v>
      </c>
      <c r="BP293" s="1346" t="str">
        <f t="shared" si="461"/>
        <v>-</v>
      </c>
      <c r="BQ293" s="987" t="str">
        <f t="shared" si="461"/>
        <v>-</v>
      </c>
      <c r="BR293" s="987" t="str">
        <f t="shared" si="461"/>
        <v>-</v>
      </c>
      <c r="BS293" s="987" t="str">
        <f t="shared" si="461"/>
        <v>-</v>
      </c>
      <c r="BT293" s="988" t="str">
        <f t="shared" si="461"/>
        <v>-</v>
      </c>
      <c r="BU293" s="987" t="str">
        <f t="shared" si="461"/>
        <v>-</v>
      </c>
      <c r="BV293" s="987" t="str">
        <f>IF(AG293="","-",IFERROR((AG293/AF293-1)*(AF293/AF$13),"-"))</f>
        <v>-</v>
      </c>
      <c r="BW293" s="987" t="str">
        <f>IF(AH293="","-",IFERROR((AH293/AG293-1)*(AG293/AG$13),"-"))</f>
        <v>-</v>
      </c>
      <c r="BX293" s="987" t="str">
        <f>IF(AI293="","-",IFERROR((AI293/AH293-1)*(AH293/AH$13),"-"))</f>
        <v>-</v>
      </c>
      <c r="BY293" s="989" t="str">
        <f>IF(AJ293="","-",IFERROR((AJ293/AI293-1)*(AI293/AI$13),"-"))</f>
        <v>-</v>
      </c>
      <c r="BZ293" s="951"/>
      <c r="CA293" s="984" t="str">
        <f t="shared" si="386"/>
        <v>Rev</v>
      </c>
      <c r="CB293" s="985" t="str">
        <f t="shared" si="387"/>
        <v>Water</v>
      </c>
      <c r="CC293" s="985" t="str">
        <f t="shared" si="388"/>
        <v>Fixed</v>
      </c>
      <c r="CD293" s="990" t="str">
        <f t="shared" si="418"/>
        <v>-</v>
      </c>
      <c r="CE293" s="987" t="str">
        <f t="shared" si="411"/>
        <v>-</v>
      </c>
      <c r="CF293" s="987" t="str">
        <f t="shared" si="412"/>
        <v>-</v>
      </c>
      <c r="CG293" s="988" t="str">
        <f t="shared" si="413"/>
        <v>-</v>
      </c>
      <c r="CH293" s="987" t="str">
        <f t="shared" si="419"/>
        <v>-</v>
      </c>
      <c r="CI293" s="987" t="str">
        <f t="shared" si="414"/>
        <v>-</v>
      </c>
      <c r="CJ293" s="987" t="str">
        <f t="shared" si="415"/>
        <v>-</v>
      </c>
      <c r="CK293" s="989" t="str">
        <f t="shared" si="416"/>
        <v>-</v>
      </c>
    </row>
    <row r="294" spans="4:89">
      <c r="D294" s="63">
        <f>D291+1</f>
        <v>76</v>
      </c>
      <c r="E294" s="550" t="s">
        <v>857</v>
      </c>
      <c r="F294" s="595" t="s">
        <v>401</v>
      </c>
      <c r="G294" s="595" t="s">
        <v>103</v>
      </c>
      <c r="H294" s="595" t="s">
        <v>886</v>
      </c>
      <c r="I294" s="589" t="s">
        <v>842</v>
      </c>
      <c r="J294" s="589" t="s">
        <v>879</v>
      </c>
      <c r="K294" s="551"/>
      <c r="L294" s="552"/>
      <c r="M294" s="552"/>
      <c r="N294" s="551"/>
      <c r="O294" s="552"/>
      <c r="P294" s="552"/>
      <c r="Q294" s="552"/>
      <c r="R294" s="1035"/>
      <c r="S294" s="1138"/>
      <c r="T294" s="591"/>
      <c r="U294" s="1035"/>
      <c r="V294" s="1138"/>
      <c r="W294" s="591"/>
      <c r="X294" s="591"/>
      <c r="Y294" s="591"/>
      <c r="Z294" s="1035"/>
      <c r="AA294" s="1138"/>
      <c r="AB294" s="591"/>
      <c r="AC294" s="591"/>
      <c r="AD294" s="591"/>
      <c r="AE294" s="1035"/>
      <c r="AF294" s="1138"/>
      <c r="AG294" s="591"/>
      <c r="AH294" s="591"/>
      <c r="AI294" s="591"/>
      <c r="AJ294" s="1035"/>
      <c r="AK294" s="569"/>
      <c r="AL294" s="569"/>
      <c r="AM294" s="974"/>
      <c r="AN294" s="857"/>
      <c r="AO294" s="975" t="str">
        <f t="shared" si="389"/>
        <v>Price</v>
      </c>
      <c r="AP294" s="976" t="str">
        <f t="shared" si="390"/>
        <v>Water</v>
      </c>
      <c r="AQ294" s="977" t="str">
        <f t="shared" si="391"/>
        <v>Fixed</v>
      </c>
      <c r="AR294" s="1341" t="str">
        <f t="shared" si="392"/>
        <v>-</v>
      </c>
      <c r="AS294" s="978" t="str">
        <f t="shared" si="393"/>
        <v>-</v>
      </c>
      <c r="AT294" s="979" t="str">
        <f t="shared" si="394"/>
        <v>-</v>
      </c>
      <c r="AU294" s="979" t="str">
        <f t="shared" si="395"/>
        <v>-</v>
      </c>
      <c r="AV294" s="1352" t="str">
        <f t="shared" si="396"/>
        <v>-</v>
      </c>
      <c r="AW294" s="1345" t="str">
        <f t="shared" si="397"/>
        <v>-</v>
      </c>
      <c r="AX294" s="979" t="str">
        <f t="shared" si="398"/>
        <v>-</v>
      </c>
      <c r="AY294" s="979" t="str">
        <f t="shared" si="399"/>
        <v>-</v>
      </c>
      <c r="AZ294" s="979" t="str">
        <f t="shared" si="400"/>
        <v>-</v>
      </c>
      <c r="BA294" s="980" t="str">
        <f t="shared" si="401"/>
        <v>-</v>
      </c>
      <c r="BB294" s="1345" t="str">
        <f t="shared" si="402"/>
        <v>-</v>
      </c>
      <c r="BC294" s="979" t="str">
        <f t="shared" si="403"/>
        <v>-</v>
      </c>
      <c r="BD294" s="979" t="str">
        <f t="shared" si="404"/>
        <v>-</v>
      </c>
      <c r="BE294" s="979" t="str">
        <f t="shared" si="405"/>
        <v>-</v>
      </c>
      <c r="BF294" s="981" t="str">
        <f t="shared" si="406"/>
        <v>-</v>
      </c>
      <c r="BG294" s="951"/>
      <c r="BH294" s="1547" t="str">
        <f t="shared" si="407"/>
        <v>Price</v>
      </c>
      <c r="BI294" s="1548" t="str">
        <f t="shared" si="408"/>
        <v>Water</v>
      </c>
      <c r="BJ294" s="1549" t="str">
        <f t="shared" si="409"/>
        <v>Fixed</v>
      </c>
      <c r="BK294" s="978" t="str">
        <f t="shared" ref="BK294:BU294" si="462">IF(V294="","-",IFERROR((V294/U294-1)*(U296/U$13),"-"))</f>
        <v>-</v>
      </c>
      <c r="BL294" s="978" t="str">
        <f t="shared" si="462"/>
        <v>-</v>
      </c>
      <c r="BM294" s="979" t="str">
        <f t="shared" si="462"/>
        <v>-</v>
      </c>
      <c r="BN294" s="979" t="str">
        <f t="shared" si="462"/>
        <v>-</v>
      </c>
      <c r="BO294" s="1352" t="str">
        <f t="shared" si="462"/>
        <v>-</v>
      </c>
      <c r="BP294" s="1345" t="str">
        <f t="shared" si="462"/>
        <v>-</v>
      </c>
      <c r="BQ294" s="979" t="str">
        <f t="shared" si="462"/>
        <v>-</v>
      </c>
      <c r="BR294" s="979" t="str">
        <f t="shared" si="462"/>
        <v>-</v>
      </c>
      <c r="BS294" s="979" t="str">
        <f t="shared" si="462"/>
        <v>-</v>
      </c>
      <c r="BT294" s="980" t="str">
        <f t="shared" si="462"/>
        <v>-</v>
      </c>
      <c r="BU294" s="979" t="str">
        <f t="shared" si="462"/>
        <v>-</v>
      </c>
      <c r="BV294" s="979" t="str">
        <f>IF(AG294="","-",IFERROR((AG294/AF294-1)*(AF296/AF$13),"-"))</f>
        <v>-</v>
      </c>
      <c r="BW294" s="979" t="str">
        <f>IF(AH294="","-",IFERROR((AH294/AG294-1)*(AG296/AG$13),"-"))</f>
        <v>-</v>
      </c>
      <c r="BX294" s="979" t="str">
        <f>IF(AI294="","-",IFERROR((AI294/AH294-1)*(AH296/AH$13),"-"))</f>
        <v>-</v>
      </c>
      <c r="BY294" s="981" t="str">
        <f>IF(AJ294="","-",IFERROR((AJ294/AI294-1)*(AI296/AI$13),"-"))</f>
        <v>-</v>
      </c>
      <c r="BZ294" s="951"/>
      <c r="CA294" s="975" t="str">
        <f t="shared" si="386"/>
        <v>Price</v>
      </c>
      <c r="CB294" s="976" t="str">
        <f t="shared" si="387"/>
        <v>Water</v>
      </c>
      <c r="CC294" s="982" t="str">
        <f t="shared" si="388"/>
        <v>Fixed</v>
      </c>
      <c r="CD294" s="983" t="str">
        <f t="shared" si="418"/>
        <v>-</v>
      </c>
      <c r="CE294" s="979" t="str">
        <f t="shared" si="411"/>
        <v>-</v>
      </c>
      <c r="CF294" s="979" t="str">
        <f t="shared" si="412"/>
        <v>-</v>
      </c>
      <c r="CG294" s="980" t="str">
        <f t="shared" si="413"/>
        <v>-</v>
      </c>
      <c r="CH294" s="979" t="str">
        <f t="shared" si="419"/>
        <v>-</v>
      </c>
      <c r="CI294" s="979" t="str">
        <f t="shared" si="414"/>
        <v>-</v>
      </c>
      <c r="CJ294" s="979" t="str">
        <f t="shared" si="415"/>
        <v>-</v>
      </c>
      <c r="CK294" s="981" t="str">
        <f t="shared" si="416"/>
        <v>-</v>
      </c>
    </row>
    <row r="295" spans="4:89">
      <c r="E295" s="567" t="s">
        <v>880</v>
      </c>
      <c r="F295" s="554" t="str">
        <f>+F294</f>
        <v>Water</v>
      </c>
      <c r="G295" s="555" t="str">
        <f>+G294</f>
        <v>YVW</v>
      </c>
      <c r="H295" s="555" t="str">
        <f>+H294</f>
        <v>Transfer</v>
      </c>
      <c r="I295" s="556" t="str">
        <f>+I294</f>
        <v>Fixed</v>
      </c>
      <c r="J295" s="590" t="s">
        <v>890</v>
      </c>
      <c r="K295" s="557"/>
      <c r="L295" s="558"/>
      <c r="M295" s="558"/>
      <c r="N295" s="557"/>
      <c r="O295" s="558"/>
      <c r="P295" s="558"/>
      <c r="Q295" s="558"/>
      <c r="R295" s="1036"/>
      <c r="S295" s="1139"/>
      <c r="T295" s="593"/>
      <c r="U295" s="1036"/>
      <c r="V295" s="1139"/>
      <c r="W295" s="593"/>
      <c r="X295" s="593"/>
      <c r="Y295" s="593"/>
      <c r="Z295" s="1036"/>
      <c r="AA295" s="1139"/>
      <c r="AB295" s="593"/>
      <c r="AC295" s="593"/>
      <c r="AD295" s="593"/>
      <c r="AE295" s="1036"/>
      <c r="AF295" s="1139"/>
      <c r="AG295" s="593"/>
      <c r="AH295" s="593"/>
      <c r="AI295" s="593"/>
      <c r="AJ295" s="1036"/>
      <c r="AK295" s="569"/>
      <c r="AL295" s="569"/>
      <c r="AN295" s="857"/>
      <c r="AO295" s="961" t="str">
        <f t="shared" si="389"/>
        <v>Qty</v>
      </c>
      <c r="AP295" s="962" t="str">
        <f t="shared" si="390"/>
        <v>Water</v>
      </c>
      <c r="AQ295" s="963" t="str">
        <f t="shared" si="391"/>
        <v>Fixed</v>
      </c>
      <c r="AR295" s="967" t="str">
        <f t="shared" si="392"/>
        <v>-</v>
      </c>
      <c r="AS295" s="964" t="str">
        <f t="shared" si="393"/>
        <v>-</v>
      </c>
      <c r="AT295" s="964" t="str">
        <f t="shared" si="394"/>
        <v>-</v>
      </c>
      <c r="AU295" s="964" t="str">
        <f t="shared" si="395"/>
        <v>-</v>
      </c>
      <c r="AV295" s="1350" t="str">
        <f t="shared" si="396"/>
        <v>-</v>
      </c>
      <c r="AW295" s="1343" t="str">
        <f t="shared" si="397"/>
        <v>-</v>
      </c>
      <c r="AX295" s="964" t="str">
        <f t="shared" si="398"/>
        <v>-</v>
      </c>
      <c r="AY295" s="964" t="str">
        <f t="shared" si="399"/>
        <v>-</v>
      </c>
      <c r="AZ295" s="964" t="str">
        <f t="shared" si="400"/>
        <v>-</v>
      </c>
      <c r="BA295" s="965" t="str">
        <f t="shared" si="401"/>
        <v>-</v>
      </c>
      <c r="BB295" s="1343" t="str">
        <f t="shared" si="402"/>
        <v>-</v>
      </c>
      <c r="BC295" s="964" t="str">
        <f t="shared" si="403"/>
        <v>-</v>
      </c>
      <c r="BD295" s="964" t="str">
        <f t="shared" si="404"/>
        <v>-</v>
      </c>
      <c r="BE295" s="964" t="str">
        <f t="shared" si="405"/>
        <v>-</v>
      </c>
      <c r="BF295" s="966" t="str">
        <f t="shared" si="406"/>
        <v>-</v>
      </c>
      <c r="BG295" s="951"/>
      <c r="BH295" s="1541" t="str">
        <f t="shared" si="407"/>
        <v>Qty</v>
      </c>
      <c r="BI295" s="1542" t="str">
        <f t="shared" si="408"/>
        <v>Water</v>
      </c>
      <c r="BJ295" s="1543" t="str">
        <f t="shared" si="409"/>
        <v>Fixed</v>
      </c>
      <c r="BK295" s="964" t="str">
        <f t="shared" ref="BK295:BU295" si="463">IF(V295="","-",IFERROR((V295/U295-1)*(U296/U$13),"-"))</f>
        <v>-</v>
      </c>
      <c r="BL295" s="964" t="str">
        <f t="shared" si="463"/>
        <v>-</v>
      </c>
      <c r="BM295" s="964" t="str">
        <f t="shared" si="463"/>
        <v>-</v>
      </c>
      <c r="BN295" s="964" t="str">
        <f t="shared" si="463"/>
        <v>-</v>
      </c>
      <c r="BO295" s="1350" t="str">
        <f t="shared" si="463"/>
        <v>-</v>
      </c>
      <c r="BP295" s="1343" t="str">
        <f t="shared" si="463"/>
        <v>-</v>
      </c>
      <c r="BQ295" s="964" t="str">
        <f t="shared" si="463"/>
        <v>-</v>
      </c>
      <c r="BR295" s="964" t="str">
        <f t="shared" si="463"/>
        <v>-</v>
      </c>
      <c r="BS295" s="964" t="str">
        <f t="shared" si="463"/>
        <v>-</v>
      </c>
      <c r="BT295" s="965" t="str">
        <f t="shared" si="463"/>
        <v>-</v>
      </c>
      <c r="BU295" s="964" t="str">
        <f t="shared" si="463"/>
        <v>-</v>
      </c>
      <c r="BV295" s="964" t="str">
        <f>IF(AG295="","-",IFERROR((AG295/AF295-1)*(AF296/AF$13),"-"))</f>
        <v>-</v>
      </c>
      <c r="BW295" s="964" t="str">
        <f>IF(AH295="","-",IFERROR((AH295/AG295-1)*(AG296/AG$13),"-"))</f>
        <v>-</v>
      </c>
      <c r="BX295" s="964" t="str">
        <f>IF(AI295="","-",IFERROR((AI295/AH295-1)*(AH296/AH$13),"-"))</f>
        <v>-</v>
      </c>
      <c r="BY295" s="966" t="str">
        <f>IF(AJ295="","-",IFERROR((AJ295/AI295-1)*(AI296/AI$13),"-"))</f>
        <v>-</v>
      </c>
      <c r="BZ295" s="951"/>
      <c r="CA295" s="961" t="str">
        <f t="shared" si="386"/>
        <v>Qty</v>
      </c>
      <c r="CB295" s="962" t="str">
        <f t="shared" si="387"/>
        <v>Water</v>
      </c>
      <c r="CC295" s="962" t="str">
        <f t="shared" si="388"/>
        <v>Fixed</v>
      </c>
      <c r="CD295" s="967" t="str">
        <f t="shared" si="418"/>
        <v>-</v>
      </c>
      <c r="CE295" s="964" t="str">
        <f t="shared" si="411"/>
        <v>-</v>
      </c>
      <c r="CF295" s="964" t="str">
        <f t="shared" si="412"/>
        <v>-</v>
      </c>
      <c r="CG295" s="965" t="str">
        <f t="shared" si="413"/>
        <v>-</v>
      </c>
      <c r="CH295" s="964" t="str">
        <f t="shared" si="419"/>
        <v>-</v>
      </c>
      <c r="CI295" s="964" t="str">
        <f t="shared" si="414"/>
        <v>-</v>
      </c>
      <c r="CJ295" s="964" t="str">
        <f t="shared" si="415"/>
        <v>-</v>
      </c>
      <c r="CK295" s="966" t="str">
        <f t="shared" si="416"/>
        <v>-</v>
      </c>
    </row>
    <row r="296" spans="4:89" ht="12.75" thickBot="1">
      <c r="E296" s="568" t="s">
        <v>882</v>
      </c>
      <c r="F296" s="560" t="str">
        <f>+F294</f>
        <v>Water</v>
      </c>
      <c r="G296" s="561" t="str">
        <f>+G294</f>
        <v>YVW</v>
      </c>
      <c r="H296" s="561" t="str">
        <f>+H294</f>
        <v>Transfer</v>
      </c>
      <c r="I296" s="562" t="str">
        <f>+I294</f>
        <v>Fixed</v>
      </c>
      <c r="J296" s="563" t="s">
        <v>883</v>
      </c>
      <c r="K296" s="564">
        <f t="shared" ref="K296:AJ296" si="464">K294*K295/10^6</f>
        <v>0</v>
      </c>
      <c r="L296" s="565">
        <f t="shared" si="464"/>
        <v>0</v>
      </c>
      <c r="M296" s="565">
        <f t="shared" si="464"/>
        <v>0</v>
      </c>
      <c r="N296" s="564">
        <f t="shared" si="464"/>
        <v>0</v>
      </c>
      <c r="O296" s="565">
        <f t="shared" si="464"/>
        <v>0</v>
      </c>
      <c r="P296" s="565">
        <f t="shared" si="464"/>
        <v>0</v>
      </c>
      <c r="Q296" s="565">
        <f t="shared" si="464"/>
        <v>0</v>
      </c>
      <c r="R296" s="566">
        <f t="shared" si="464"/>
        <v>0</v>
      </c>
      <c r="S296" s="564">
        <f t="shared" si="464"/>
        <v>0</v>
      </c>
      <c r="T296" s="565">
        <f t="shared" si="464"/>
        <v>0</v>
      </c>
      <c r="U296" s="566">
        <f t="shared" si="464"/>
        <v>0</v>
      </c>
      <c r="V296" s="564">
        <f t="shared" si="464"/>
        <v>0</v>
      </c>
      <c r="W296" s="565">
        <f t="shared" si="464"/>
        <v>0</v>
      </c>
      <c r="X296" s="565">
        <f t="shared" si="464"/>
        <v>0</v>
      </c>
      <c r="Y296" s="565">
        <f t="shared" si="464"/>
        <v>0</v>
      </c>
      <c r="Z296" s="566">
        <f t="shared" si="464"/>
        <v>0</v>
      </c>
      <c r="AA296" s="564">
        <f t="shared" si="464"/>
        <v>0</v>
      </c>
      <c r="AB296" s="565">
        <f t="shared" si="464"/>
        <v>0</v>
      </c>
      <c r="AC296" s="565">
        <f t="shared" si="464"/>
        <v>0</v>
      </c>
      <c r="AD296" s="565">
        <f t="shared" si="464"/>
        <v>0</v>
      </c>
      <c r="AE296" s="566">
        <f t="shared" si="464"/>
        <v>0</v>
      </c>
      <c r="AF296" s="564">
        <f t="shared" si="464"/>
        <v>0</v>
      </c>
      <c r="AG296" s="565">
        <f t="shared" si="464"/>
        <v>0</v>
      </c>
      <c r="AH296" s="565">
        <f t="shared" si="464"/>
        <v>0</v>
      </c>
      <c r="AI296" s="565">
        <f t="shared" si="464"/>
        <v>0</v>
      </c>
      <c r="AJ296" s="566">
        <f t="shared" si="464"/>
        <v>0</v>
      </c>
      <c r="AK296" s="569"/>
      <c r="AL296" s="569"/>
      <c r="AN296" s="857"/>
      <c r="AO296" s="984" t="str">
        <f t="shared" si="389"/>
        <v>Rev</v>
      </c>
      <c r="AP296" s="985" t="str">
        <f t="shared" si="390"/>
        <v>Water</v>
      </c>
      <c r="AQ296" s="986" t="str">
        <f t="shared" si="391"/>
        <v>Fixed</v>
      </c>
      <c r="AR296" s="990" t="str">
        <f t="shared" si="392"/>
        <v>-</v>
      </c>
      <c r="AS296" s="987" t="str">
        <f t="shared" si="393"/>
        <v>-</v>
      </c>
      <c r="AT296" s="987" t="str">
        <f t="shared" si="394"/>
        <v>-</v>
      </c>
      <c r="AU296" s="987" t="str">
        <f t="shared" si="395"/>
        <v>-</v>
      </c>
      <c r="AV296" s="1353" t="str">
        <f t="shared" si="396"/>
        <v>-</v>
      </c>
      <c r="AW296" s="1346" t="str">
        <f t="shared" si="397"/>
        <v>-</v>
      </c>
      <c r="AX296" s="987" t="str">
        <f t="shared" si="398"/>
        <v>-</v>
      </c>
      <c r="AY296" s="987" t="str">
        <f t="shared" si="399"/>
        <v>-</v>
      </c>
      <c r="AZ296" s="987" t="str">
        <f t="shared" si="400"/>
        <v>-</v>
      </c>
      <c r="BA296" s="988" t="str">
        <f t="shared" si="401"/>
        <v>-</v>
      </c>
      <c r="BB296" s="1346" t="str">
        <f t="shared" si="402"/>
        <v>-</v>
      </c>
      <c r="BC296" s="987" t="str">
        <f t="shared" si="403"/>
        <v>-</v>
      </c>
      <c r="BD296" s="987" t="str">
        <f t="shared" si="404"/>
        <v>-</v>
      </c>
      <c r="BE296" s="987" t="str">
        <f t="shared" si="405"/>
        <v>-</v>
      </c>
      <c r="BF296" s="989" t="str">
        <f t="shared" si="406"/>
        <v>-</v>
      </c>
      <c r="BG296" s="951"/>
      <c r="BH296" s="1550" t="str">
        <f t="shared" si="407"/>
        <v>Rev</v>
      </c>
      <c r="BI296" s="1551" t="str">
        <f t="shared" si="408"/>
        <v>Water</v>
      </c>
      <c r="BJ296" s="1552" t="str">
        <f t="shared" si="409"/>
        <v>Fixed</v>
      </c>
      <c r="BK296" s="987" t="str">
        <f t="shared" ref="BK296:BU296" si="465">IF(V296="","-",IFERROR((V296/U296-1)*(U296/U$13),"-"))</f>
        <v>-</v>
      </c>
      <c r="BL296" s="987" t="str">
        <f t="shared" si="465"/>
        <v>-</v>
      </c>
      <c r="BM296" s="987" t="str">
        <f t="shared" si="465"/>
        <v>-</v>
      </c>
      <c r="BN296" s="987" t="str">
        <f t="shared" si="465"/>
        <v>-</v>
      </c>
      <c r="BO296" s="1353" t="str">
        <f t="shared" si="465"/>
        <v>-</v>
      </c>
      <c r="BP296" s="1346" t="str">
        <f t="shared" si="465"/>
        <v>-</v>
      </c>
      <c r="BQ296" s="987" t="str">
        <f t="shared" si="465"/>
        <v>-</v>
      </c>
      <c r="BR296" s="987" t="str">
        <f t="shared" si="465"/>
        <v>-</v>
      </c>
      <c r="BS296" s="987" t="str">
        <f t="shared" si="465"/>
        <v>-</v>
      </c>
      <c r="BT296" s="988" t="str">
        <f t="shared" si="465"/>
        <v>-</v>
      </c>
      <c r="BU296" s="987" t="str">
        <f t="shared" si="465"/>
        <v>-</v>
      </c>
      <c r="BV296" s="987" t="str">
        <f>IF(AG296="","-",IFERROR((AG296/AF296-1)*(AF296/AF$13),"-"))</f>
        <v>-</v>
      </c>
      <c r="BW296" s="987" t="str">
        <f>IF(AH296="","-",IFERROR((AH296/AG296-1)*(AG296/AG$13),"-"))</f>
        <v>-</v>
      </c>
      <c r="BX296" s="987" t="str">
        <f>IF(AI296="","-",IFERROR((AI296/AH296-1)*(AH296/AH$13),"-"))</f>
        <v>-</v>
      </c>
      <c r="BY296" s="989" t="str">
        <f>IF(AJ296="","-",IFERROR((AJ296/AI296-1)*(AI296/AI$13),"-"))</f>
        <v>-</v>
      </c>
      <c r="BZ296" s="951"/>
      <c r="CA296" s="984" t="str">
        <f t="shared" si="386"/>
        <v>Rev</v>
      </c>
      <c r="CB296" s="985" t="str">
        <f t="shared" si="387"/>
        <v>Water</v>
      </c>
      <c r="CC296" s="985" t="str">
        <f t="shared" si="388"/>
        <v>Fixed</v>
      </c>
      <c r="CD296" s="990" t="str">
        <f t="shared" si="418"/>
        <v>-</v>
      </c>
      <c r="CE296" s="987" t="str">
        <f t="shared" si="411"/>
        <v>-</v>
      </c>
      <c r="CF296" s="987" t="str">
        <f t="shared" si="412"/>
        <v>-</v>
      </c>
      <c r="CG296" s="988" t="str">
        <f t="shared" si="413"/>
        <v>-</v>
      </c>
      <c r="CH296" s="987" t="str">
        <f t="shared" si="419"/>
        <v>-</v>
      </c>
      <c r="CI296" s="987" t="str">
        <f t="shared" si="414"/>
        <v>-</v>
      </c>
      <c r="CJ296" s="987" t="str">
        <f t="shared" si="415"/>
        <v>-</v>
      </c>
      <c r="CK296" s="989" t="str">
        <f t="shared" si="416"/>
        <v>-</v>
      </c>
    </row>
    <row r="297" spans="4:89">
      <c r="D297" s="63">
        <f>D294+1</f>
        <v>77</v>
      </c>
      <c r="E297" s="550" t="s">
        <v>857</v>
      </c>
      <c r="F297" s="595" t="s">
        <v>401</v>
      </c>
      <c r="G297" s="595" t="s">
        <v>99</v>
      </c>
      <c r="H297" s="595" t="s">
        <v>886</v>
      </c>
      <c r="I297" s="589" t="s">
        <v>842</v>
      </c>
      <c r="J297" s="589" t="s">
        <v>879</v>
      </c>
      <c r="K297" s="551"/>
      <c r="L297" s="552"/>
      <c r="M297" s="552"/>
      <c r="N297" s="551"/>
      <c r="O297" s="552"/>
      <c r="P297" s="552"/>
      <c r="Q297" s="552"/>
      <c r="R297" s="1035"/>
      <c r="S297" s="1138"/>
      <c r="T297" s="591"/>
      <c r="U297" s="1035"/>
      <c r="V297" s="1138"/>
      <c r="W297" s="591"/>
      <c r="X297" s="591"/>
      <c r="Y297" s="591"/>
      <c r="Z297" s="1035"/>
      <c r="AA297" s="1138"/>
      <c r="AB297" s="591"/>
      <c r="AC297" s="591"/>
      <c r="AD297" s="591"/>
      <c r="AE297" s="1035"/>
      <c r="AF297" s="1138"/>
      <c r="AG297" s="591"/>
      <c r="AH297" s="591"/>
      <c r="AI297" s="591"/>
      <c r="AJ297" s="1035"/>
      <c r="AK297" s="569"/>
      <c r="AL297" s="569"/>
      <c r="AM297" s="974"/>
      <c r="AN297" s="857"/>
      <c r="AO297" s="975" t="str">
        <f t="shared" si="389"/>
        <v>Price</v>
      </c>
      <c r="AP297" s="976" t="str">
        <f t="shared" si="390"/>
        <v>Water</v>
      </c>
      <c r="AQ297" s="977" t="str">
        <f t="shared" si="391"/>
        <v>Fixed</v>
      </c>
      <c r="AR297" s="1341" t="str">
        <f t="shared" si="392"/>
        <v>-</v>
      </c>
      <c r="AS297" s="978" t="str">
        <f t="shared" si="393"/>
        <v>-</v>
      </c>
      <c r="AT297" s="979" t="str">
        <f t="shared" si="394"/>
        <v>-</v>
      </c>
      <c r="AU297" s="979" t="str">
        <f t="shared" si="395"/>
        <v>-</v>
      </c>
      <c r="AV297" s="1352" t="str">
        <f t="shared" si="396"/>
        <v>-</v>
      </c>
      <c r="AW297" s="1345" t="str">
        <f t="shared" si="397"/>
        <v>-</v>
      </c>
      <c r="AX297" s="979" t="str">
        <f t="shared" si="398"/>
        <v>-</v>
      </c>
      <c r="AY297" s="979" t="str">
        <f t="shared" si="399"/>
        <v>-</v>
      </c>
      <c r="AZ297" s="979" t="str">
        <f t="shared" si="400"/>
        <v>-</v>
      </c>
      <c r="BA297" s="980" t="str">
        <f t="shared" si="401"/>
        <v>-</v>
      </c>
      <c r="BB297" s="1345" t="str">
        <f t="shared" si="402"/>
        <v>-</v>
      </c>
      <c r="BC297" s="979" t="str">
        <f t="shared" si="403"/>
        <v>-</v>
      </c>
      <c r="BD297" s="979" t="str">
        <f t="shared" si="404"/>
        <v>-</v>
      </c>
      <c r="BE297" s="979" t="str">
        <f t="shared" si="405"/>
        <v>-</v>
      </c>
      <c r="BF297" s="981" t="str">
        <f t="shared" si="406"/>
        <v>-</v>
      </c>
      <c r="BG297" s="951"/>
      <c r="BH297" s="1547" t="str">
        <f t="shared" si="407"/>
        <v>Price</v>
      </c>
      <c r="BI297" s="1548" t="str">
        <f t="shared" si="408"/>
        <v>Water</v>
      </c>
      <c r="BJ297" s="1549" t="str">
        <f t="shared" si="409"/>
        <v>Fixed</v>
      </c>
      <c r="BK297" s="978" t="str">
        <f t="shared" ref="BK297:BU297" si="466">IF(V297="","-",IFERROR((V297/U297-1)*(U299/U$13),"-"))</f>
        <v>-</v>
      </c>
      <c r="BL297" s="978" t="str">
        <f t="shared" si="466"/>
        <v>-</v>
      </c>
      <c r="BM297" s="979" t="str">
        <f t="shared" si="466"/>
        <v>-</v>
      </c>
      <c r="BN297" s="979" t="str">
        <f t="shared" si="466"/>
        <v>-</v>
      </c>
      <c r="BO297" s="1352" t="str">
        <f t="shared" si="466"/>
        <v>-</v>
      </c>
      <c r="BP297" s="1345" t="str">
        <f t="shared" si="466"/>
        <v>-</v>
      </c>
      <c r="BQ297" s="979" t="str">
        <f t="shared" si="466"/>
        <v>-</v>
      </c>
      <c r="BR297" s="979" t="str">
        <f t="shared" si="466"/>
        <v>-</v>
      </c>
      <c r="BS297" s="979" t="str">
        <f t="shared" si="466"/>
        <v>-</v>
      </c>
      <c r="BT297" s="980" t="str">
        <f t="shared" si="466"/>
        <v>-</v>
      </c>
      <c r="BU297" s="979" t="str">
        <f t="shared" si="466"/>
        <v>-</v>
      </c>
      <c r="BV297" s="979" t="str">
        <f>IF(AG297="","-",IFERROR((AG297/AF297-1)*(AF299/AF$13),"-"))</f>
        <v>-</v>
      </c>
      <c r="BW297" s="979" t="str">
        <f>IF(AH297="","-",IFERROR((AH297/AG297-1)*(AG299/AG$13),"-"))</f>
        <v>-</v>
      </c>
      <c r="BX297" s="979" t="str">
        <f>IF(AI297="","-",IFERROR((AI297/AH297-1)*(AH299/AH$13),"-"))</f>
        <v>-</v>
      </c>
      <c r="BY297" s="981" t="str">
        <f>IF(AJ297="","-",IFERROR((AJ297/AI297-1)*(AI299/AI$13),"-"))</f>
        <v>-</v>
      </c>
      <c r="BZ297" s="951"/>
      <c r="CA297" s="975" t="str">
        <f t="shared" si="386"/>
        <v>Price</v>
      </c>
      <c r="CB297" s="976" t="str">
        <f t="shared" si="387"/>
        <v>Water</v>
      </c>
      <c r="CC297" s="982" t="str">
        <f t="shared" si="388"/>
        <v>Fixed</v>
      </c>
      <c r="CD297" s="983" t="str">
        <f t="shared" si="418"/>
        <v>-</v>
      </c>
      <c r="CE297" s="979" t="str">
        <f t="shared" si="411"/>
        <v>-</v>
      </c>
      <c r="CF297" s="979" t="str">
        <f t="shared" si="412"/>
        <v>-</v>
      </c>
      <c r="CG297" s="980" t="str">
        <f t="shared" si="413"/>
        <v>-</v>
      </c>
      <c r="CH297" s="979" t="str">
        <f t="shared" si="419"/>
        <v>-</v>
      </c>
      <c r="CI297" s="979" t="str">
        <f t="shared" si="414"/>
        <v>-</v>
      </c>
      <c r="CJ297" s="979" t="str">
        <f t="shared" si="415"/>
        <v>-</v>
      </c>
      <c r="CK297" s="981" t="str">
        <f t="shared" si="416"/>
        <v>-</v>
      </c>
    </row>
    <row r="298" spans="4:89">
      <c r="E298" s="567" t="s">
        <v>880</v>
      </c>
      <c r="F298" s="554" t="str">
        <f>+F297</f>
        <v>Water</v>
      </c>
      <c r="G298" s="555" t="str">
        <f>+G297</f>
        <v>WW</v>
      </c>
      <c r="H298" s="555" t="str">
        <f>+H297</f>
        <v>Transfer</v>
      </c>
      <c r="I298" s="556" t="str">
        <f>+I297</f>
        <v>Fixed</v>
      </c>
      <c r="J298" s="590" t="s">
        <v>890</v>
      </c>
      <c r="K298" s="557"/>
      <c r="L298" s="558"/>
      <c r="M298" s="558"/>
      <c r="N298" s="557"/>
      <c r="O298" s="558"/>
      <c r="P298" s="558"/>
      <c r="Q298" s="558"/>
      <c r="R298" s="1036"/>
      <c r="S298" s="1139"/>
      <c r="T298" s="593"/>
      <c r="U298" s="1036"/>
      <c r="V298" s="1139"/>
      <c r="W298" s="593"/>
      <c r="X298" s="593"/>
      <c r="Y298" s="593"/>
      <c r="Z298" s="1036"/>
      <c r="AA298" s="1139"/>
      <c r="AB298" s="593"/>
      <c r="AC298" s="593"/>
      <c r="AD298" s="593"/>
      <c r="AE298" s="1036"/>
      <c r="AF298" s="1139"/>
      <c r="AG298" s="593"/>
      <c r="AH298" s="593"/>
      <c r="AI298" s="593"/>
      <c r="AJ298" s="1036"/>
      <c r="AK298" s="569"/>
      <c r="AL298" s="569"/>
      <c r="AN298" s="857"/>
      <c r="AO298" s="961" t="str">
        <f t="shared" si="389"/>
        <v>Qty</v>
      </c>
      <c r="AP298" s="962" t="str">
        <f t="shared" si="390"/>
        <v>Water</v>
      </c>
      <c r="AQ298" s="963" t="str">
        <f t="shared" si="391"/>
        <v>Fixed</v>
      </c>
      <c r="AR298" s="967" t="str">
        <f t="shared" si="392"/>
        <v>-</v>
      </c>
      <c r="AS298" s="964" t="str">
        <f t="shared" si="393"/>
        <v>-</v>
      </c>
      <c r="AT298" s="964" t="str">
        <f t="shared" si="394"/>
        <v>-</v>
      </c>
      <c r="AU298" s="964" t="str">
        <f t="shared" si="395"/>
        <v>-</v>
      </c>
      <c r="AV298" s="1350" t="str">
        <f t="shared" si="396"/>
        <v>-</v>
      </c>
      <c r="AW298" s="1343" t="str">
        <f t="shared" si="397"/>
        <v>-</v>
      </c>
      <c r="AX298" s="964" t="str">
        <f t="shared" si="398"/>
        <v>-</v>
      </c>
      <c r="AY298" s="964" t="str">
        <f t="shared" si="399"/>
        <v>-</v>
      </c>
      <c r="AZ298" s="964" t="str">
        <f t="shared" si="400"/>
        <v>-</v>
      </c>
      <c r="BA298" s="965" t="str">
        <f t="shared" si="401"/>
        <v>-</v>
      </c>
      <c r="BB298" s="1343" t="str">
        <f t="shared" si="402"/>
        <v>-</v>
      </c>
      <c r="BC298" s="964" t="str">
        <f t="shared" si="403"/>
        <v>-</v>
      </c>
      <c r="BD298" s="964" t="str">
        <f t="shared" si="404"/>
        <v>-</v>
      </c>
      <c r="BE298" s="964" t="str">
        <f t="shared" si="405"/>
        <v>-</v>
      </c>
      <c r="BF298" s="966" t="str">
        <f t="shared" si="406"/>
        <v>-</v>
      </c>
      <c r="BG298" s="951"/>
      <c r="BH298" s="1541" t="str">
        <f t="shared" si="407"/>
        <v>Qty</v>
      </c>
      <c r="BI298" s="1542" t="str">
        <f t="shared" si="408"/>
        <v>Water</v>
      </c>
      <c r="BJ298" s="1543" t="str">
        <f t="shared" si="409"/>
        <v>Fixed</v>
      </c>
      <c r="BK298" s="964" t="str">
        <f t="shared" ref="BK298:BU298" si="467">IF(V298="","-",IFERROR((V298/U298-1)*(U299/U$13),"-"))</f>
        <v>-</v>
      </c>
      <c r="BL298" s="964" t="str">
        <f t="shared" si="467"/>
        <v>-</v>
      </c>
      <c r="BM298" s="964" t="str">
        <f t="shared" si="467"/>
        <v>-</v>
      </c>
      <c r="BN298" s="964" t="str">
        <f t="shared" si="467"/>
        <v>-</v>
      </c>
      <c r="BO298" s="1350" t="str">
        <f t="shared" si="467"/>
        <v>-</v>
      </c>
      <c r="BP298" s="1343" t="str">
        <f t="shared" si="467"/>
        <v>-</v>
      </c>
      <c r="BQ298" s="964" t="str">
        <f t="shared" si="467"/>
        <v>-</v>
      </c>
      <c r="BR298" s="964" t="str">
        <f t="shared" si="467"/>
        <v>-</v>
      </c>
      <c r="BS298" s="964" t="str">
        <f t="shared" si="467"/>
        <v>-</v>
      </c>
      <c r="BT298" s="965" t="str">
        <f t="shared" si="467"/>
        <v>-</v>
      </c>
      <c r="BU298" s="964" t="str">
        <f t="shared" si="467"/>
        <v>-</v>
      </c>
      <c r="BV298" s="964" t="str">
        <f>IF(AG298="","-",IFERROR((AG298/AF298-1)*(AF299/AF$13),"-"))</f>
        <v>-</v>
      </c>
      <c r="BW298" s="964" t="str">
        <f>IF(AH298="","-",IFERROR((AH298/AG298-1)*(AG299/AG$13),"-"))</f>
        <v>-</v>
      </c>
      <c r="BX298" s="964" t="str">
        <f>IF(AI298="","-",IFERROR((AI298/AH298-1)*(AH299/AH$13),"-"))</f>
        <v>-</v>
      </c>
      <c r="BY298" s="966" t="str">
        <f>IF(AJ298="","-",IFERROR((AJ298/AI298-1)*(AI299/AI$13),"-"))</f>
        <v>-</v>
      </c>
      <c r="BZ298" s="951"/>
      <c r="CA298" s="961" t="str">
        <f t="shared" si="386"/>
        <v>Qty</v>
      </c>
      <c r="CB298" s="962" t="str">
        <f t="shared" si="387"/>
        <v>Water</v>
      </c>
      <c r="CC298" s="962" t="str">
        <f t="shared" si="388"/>
        <v>Fixed</v>
      </c>
      <c r="CD298" s="967" t="str">
        <f t="shared" si="418"/>
        <v>-</v>
      </c>
      <c r="CE298" s="964" t="str">
        <f t="shared" si="411"/>
        <v>-</v>
      </c>
      <c r="CF298" s="964" t="str">
        <f t="shared" si="412"/>
        <v>-</v>
      </c>
      <c r="CG298" s="965" t="str">
        <f t="shared" si="413"/>
        <v>-</v>
      </c>
      <c r="CH298" s="964" t="str">
        <f t="shared" si="419"/>
        <v>-</v>
      </c>
      <c r="CI298" s="964" t="str">
        <f t="shared" si="414"/>
        <v>-</v>
      </c>
      <c r="CJ298" s="964" t="str">
        <f t="shared" si="415"/>
        <v>-</v>
      </c>
      <c r="CK298" s="966" t="str">
        <f t="shared" si="416"/>
        <v>-</v>
      </c>
    </row>
    <row r="299" spans="4:89" ht="12.75" thickBot="1">
      <c r="E299" s="568" t="s">
        <v>882</v>
      </c>
      <c r="F299" s="560" t="str">
        <f>+F297</f>
        <v>Water</v>
      </c>
      <c r="G299" s="561" t="str">
        <f>+G297</f>
        <v>WW</v>
      </c>
      <c r="H299" s="561" t="str">
        <f>+H297</f>
        <v>Transfer</v>
      </c>
      <c r="I299" s="562" t="str">
        <f>+I297</f>
        <v>Fixed</v>
      </c>
      <c r="J299" s="563" t="s">
        <v>883</v>
      </c>
      <c r="K299" s="564">
        <f t="shared" ref="K299:AJ299" si="468">K297*K298/10^6</f>
        <v>0</v>
      </c>
      <c r="L299" s="565">
        <f t="shared" si="468"/>
        <v>0</v>
      </c>
      <c r="M299" s="565">
        <f t="shared" si="468"/>
        <v>0</v>
      </c>
      <c r="N299" s="564">
        <f t="shared" si="468"/>
        <v>0</v>
      </c>
      <c r="O299" s="565">
        <f t="shared" si="468"/>
        <v>0</v>
      </c>
      <c r="P299" s="565">
        <f t="shared" si="468"/>
        <v>0</v>
      </c>
      <c r="Q299" s="565">
        <f t="shared" si="468"/>
        <v>0</v>
      </c>
      <c r="R299" s="566">
        <f t="shared" si="468"/>
        <v>0</v>
      </c>
      <c r="S299" s="564">
        <f t="shared" si="468"/>
        <v>0</v>
      </c>
      <c r="T299" s="565">
        <f t="shared" si="468"/>
        <v>0</v>
      </c>
      <c r="U299" s="566">
        <f t="shared" si="468"/>
        <v>0</v>
      </c>
      <c r="V299" s="564">
        <f t="shared" si="468"/>
        <v>0</v>
      </c>
      <c r="W299" s="565">
        <f t="shared" si="468"/>
        <v>0</v>
      </c>
      <c r="X299" s="565">
        <f t="shared" si="468"/>
        <v>0</v>
      </c>
      <c r="Y299" s="565">
        <f t="shared" si="468"/>
        <v>0</v>
      </c>
      <c r="Z299" s="566">
        <f t="shared" si="468"/>
        <v>0</v>
      </c>
      <c r="AA299" s="564">
        <f t="shared" si="468"/>
        <v>0</v>
      </c>
      <c r="AB299" s="565">
        <f t="shared" si="468"/>
        <v>0</v>
      </c>
      <c r="AC299" s="565">
        <f t="shared" si="468"/>
        <v>0</v>
      </c>
      <c r="AD299" s="565">
        <f t="shared" si="468"/>
        <v>0</v>
      </c>
      <c r="AE299" s="566">
        <f t="shared" si="468"/>
        <v>0</v>
      </c>
      <c r="AF299" s="564">
        <f t="shared" si="468"/>
        <v>0</v>
      </c>
      <c r="AG299" s="565">
        <f t="shared" si="468"/>
        <v>0</v>
      </c>
      <c r="AH299" s="565">
        <f t="shared" si="468"/>
        <v>0</v>
      </c>
      <c r="AI299" s="565">
        <f t="shared" si="468"/>
        <v>0</v>
      </c>
      <c r="AJ299" s="566">
        <f t="shared" si="468"/>
        <v>0</v>
      </c>
      <c r="AK299" s="569"/>
      <c r="AL299" s="569"/>
      <c r="AN299" s="857"/>
      <c r="AO299" s="984" t="str">
        <f t="shared" si="389"/>
        <v>Rev</v>
      </c>
      <c r="AP299" s="985" t="str">
        <f t="shared" si="390"/>
        <v>Water</v>
      </c>
      <c r="AQ299" s="986" t="str">
        <f t="shared" si="391"/>
        <v>Fixed</v>
      </c>
      <c r="AR299" s="990" t="str">
        <f t="shared" si="392"/>
        <v>-</v>
      </c>
      <c r="AS299" s="987" t="str">
        <f t="shared" si="393"/>
        <v>-</v>
      </c>
      <c r="AT299" s="987" t="str">
        <f t="shared" si="394"/>
        <v>-</v>
      </c>
      <c r="AU299" s="987" t="str">
        <f t="shared" si="395"/>
        <v>-</v>
      </c>
      <c r="AV299" s="1353" t="str">
        <f t="shared" si="396"/>
        <v>-</v>
      </c>
      <c r="AW299" s="1346" t="str">
        <f t="shared" si="397"/>
        <v>-</v>
      </c>
      <c r="AX299" s="987" t="str">
        <f t="shared" si="398"/>
        <v>-</v>
      </c>
      <c r="AY299" s="987" t="str">
        <f t="shared" si="399"/>
        <v>-</v>
      </c>
      <c r="AZ299" s="987" t="str">
        <f t="shared" si="400"/>
        <v>-</v>
      </c>
      <c r="BA299" s="988" t="str">
        <f t="shared" si="401"/>
        <v>-</v>
      </c>
      <c r="BB299" s="1346" t="str">
        <f t="shared" si="402"/>
        <v>-</v>
      </c>
      <c r="BC299" s="987" t="str">
        <f t="shared" si="403"/>
        <v>-</v>
      </c>
      <c r="BD299" s="987" t="str">
        <f t="shared" si="404"/>
        <v>-</v>
      </c>
      <c r="BE299" s="987" t="str">
        <f t="shared" si="405"/>
        <v>-</v>
      </c>
      <c r="BF299" s="989" t="str">
        <f t="shared" si="406"/>
        <v>-</v>
      </c>
      <c r="BG299" s="951"/>
      <c r="BH299" s="1550" t="str">
        <f t="shared" si="407"/>
        <v>Rev</v>
      </c>
      <c r="BI299" s="1551" t="str">
        <f t="shared" si="408"/>
        <v>Water</v>
      </c>
      <c r="BJ299" s="1552" t="str">
        <f t="shared" si="409"/>
        <v>Fixed</v>
      </c>
      <c r="BK299" s="987" t="str">
        <f t="shared" ref="BK299:BU299" si="469">IF(V299="","-",IFERROR((V299/U299-1)*(U299/U$13),"-"))</f>
        <v>-</v>
      </c>
      <c r="BL299" s="987" t="str">
        <f t="shared" si="469"/>
        <v>-</v>
      </c>
      <c r="BM299" s="987" t="str">
        <f t="shared" si="469"/>
        <v>-</v>
      </c>
      <c r="BN299" s="987" t="str">
        <f t="shared" si="469"/>
        <v>-</v>
      </c>
      <c r="BO299" s="1353" t="str">
        <f t="shared" si="469"/>
        <v>-</v>
      </c>
      <c r="BP299" s="1346" t="str">
        <f t="shared" si="469"/>
        <v>-</v>
      </c>
      <c r="BQ299" s="987" t="str">
        <f t="shared" si="469"/>
        <v>-</v>
      </c>
      <c r="BR299" s="987" t="str">
        <f t="shared" si="469"/>
        <v>-</v>
      </c>
      <c r="BS299" s="987" t="str">
        <f t="shared" si="469"/>
        <v>-</v>
      </c>
      <c r="BT299" s="988" t="str">
        <f t="shared" si="469"/>
        <v>-</v>
      </c>
      <c r="BU299" s="987" t="str">
        <f t="shared" si="469"/>
        <v>-</v>
      </c>
      <c r="BV299" s="987" t="str">
        <f>IF(AG299="","-",IFERROR((AG299/AF299-1)*(AF299/AF$13),"-"))</f>
        <v>-</v>
      </c>
      <c r="BW299" s="987" t="str">
        <f>IF(AH299="","-",IFERROR((AH299/AG299-1)*(AG299/AG$13),"-"))</f>
        <v>-</v>
      </c>
      <c r="BX299" s="987" t="str">
        <f>IF(AI299="","-",IFERROR((AI299/AH299-1)*(AH299/AH$13),"-"))</f>
        <v>-</v>
      </c>
      <c r="BY299" s="989" t="str">
        <f>IF(AJ299="","-",IFERROR((AJ299/AI299-1)*(AI299/AI$13),"-"))</f>
        <v>-</v>
      </c>
      <c r="BZ299" s="951"/>
      <c r="CA299" s="984" t="str">
        <f t="shared" si="386"/>
        <v>Rev</v>
      </c>
      <c r="CB299" s="985" t="str">
        <f t="shared" si="387"/>
        <v>Water</v>
      </c>
      <c r="CC299" s="985" t="str">
        <f t="shared" si="388"/>
        <v>Fixed</v>
      </c>
      <c r="CD299" s="990" t="str">
        <f t="shared" si="418"/>
        <v>-</v>
      </c>
      <c r="CE299" s="987" t="str">
        <f t="shared" si="411"/>
        <v>-</v>
      </c>
      <c r="CF299" s="987" t="str">
        <f t="shared" si="412"/>
        <v>-</v>
      </c>
      <c r="CG299" s="988" t="str">
        <f t="shared" si="413"/>
        <v>-</v>
      </c>
      <c r="CH299" s="987" t="str">
        <f t="shared" si="419"/>
        <v>-</v>
      </c>
      <c r="CI299" s="987" t="str">
        <f t="shared" si="414"/>
        <v>-</v>
      </c>
      <c r="CJ299" s="987" t="str">
        <f t="shared" si="415"/>
        <v>-</v>
      </c>
      <c r="CK299" s="989" t="str">
        <f t="shared" si="416"/>
        <v>-</v>
      </c>
    </row>
    <row r="300" spans="4:89">
      <c r="D300" s="63">
        <f>D297+1</f>
        <v>78</v>
      </c>
      <c r="E300" s="550" t="s">
        <v>857</v>
      </c>
      <c r="F300" s="595" t="s">
        <v>401</v>
      </c>
      <c r="G300" s="595" t="s">
        <v>61</v>
      </c>
      <c r="H300" s="595" t="s">
        <v>515</v>
      </c>
      <c r="I300" s="589" t="s">
        <v>843</v>
      </c>
      <c r="J300" s="589" t="s">
        <v>879</v>
      </c>
      <c r="K300" s="551"/>
      <c r="L300" s="552"/>
      <c r="M300" s="552"/>
      <c r="N300" s="551"/>
      <c r="O300" s="552"/>
      <c r="P300" s="552"/>
      <c r="Q300" s="552"/>
      <c r="R300" s="1035"/>
      <c r="S300" s="1138"/>
      <c r="T300" s="591"/>
      <c r="U300" s="1035"/>
      <c r="V300" s="1138"/>
      <c r="W300" s="591"/>
      <c r="X300" s="591"/>
      <c r="Y300" s="591"/>
      <c r="Z300" s="1035"/>
      <c r="AA300" s="1138"/>
      <c r="AB300" s="591"/>
      <c r="AC300" s="591"/>
      <c r="AD300" s="591"/>
      <c r="AE300" s="1035"/>
      <c r="AF300" s="1138"/>
      <c r="AG300" s="591"/>
      <c r="AH300" s="591"/>
      <c r="AI300" s="591"/>
      <c r="AJ300" s="1035"/>
      <c r="AK300" s="569"/>
      <c r="AL300" s="569"/>
      <c r="AM300" s="974"/>
      <c r="AN300" s="857"/>
      <c r="AO300" s="975" t="str">
        <f t="shared" si="389"/>
        <v>Price</v>
      </c>
      <c r="AP300" s="976" t="str">
        <f t="shared" si="390"/>
        <v>Water</v>
      </c>
      <c r="AQ300" s="977" t="str">
        <f t="shared" si="391"/>
        <v>Variable</v>
      </c>
      <c r="AR300" s="1341" t="str">
        <f t="shared" si="392"/>
        <v>-</v>
      </c>
      <c r="AS300" s="978" t="str">
        <f t="shared" si="393"/>
        <v>-</v>
      </c>
      <c r="AT300" s="979" t="str">
        <f t="shared" si="394"/>
        <v>-</v>
      </c>
      <c r="AU300" s="979" t="str">
        <f t="shared" si="395"/>
        <v>-</v>
      </c>
      <c r="AV300" s="1352" t="str">
        <f t="shared" si="396"/>
        <v>-</v>
      </c>
      <c r="AW300" s="1345" t="str">
        <f t="shared" si="397"/>
        <v>-</v>
      </c>
      <c r="AX300" s="979" t="str">
        <f t="shared" si="398"/>
        <v>-</v>
      </c>
      <c r="AY300" s="979" t="str">
        <f t="shared" si="399"/>
        <v>-</v>
      </c>
      <c r="AZ300" s="979" t="str">
        <f t="shared" si="400"/>
        <v>-</v>
      </c>
      <c r="BA300" s="980" t="str">
        <f t="shared" si="401"/>
        <v>-</v>
      </c>
      <c r="BB300" s="1345" t="str">
        <f t="shared" si="402"/>
        <v>-</v>
      </c>
      <c r="BC300" s="979" t="str">
        <f t="shared" si="403"/>
        <v>-</v>
      </c>
      <c r="BD300" s="979" t="str">
        <f t="shared" si="404"/>
        <v>-</v>
      </c>
      <c r="BE300" s="979" t="str">
        <f t="shared" si="405"/>
        <v>-</v>
      </c>
      <c r="BF300" s="981" t="str">
        <f t="shared" si="406"/>
        <v>-</v>
      </c>
      <c r="BG300" s="951"/>
      <c r="BH300" s="1547" t="str">
        <f t="shared" si="407"/>
        <v>Price</v>
      </c>
      <c r="BI300" s="1548" t="str">
        <f t="shared" si="408"/>
        <v>Water</v>
      </c>
      <c r="BJ300" s="1549" t="str">
        <f t="shared" si="409"/>
        <v>Variable</v>
      </c>
      <c r="BK300" s="978" t="str">
        <f t="shared" ref="BK300:BU300" si="470">IF(V300="","-",IFERROR((V300/U300-1)*(U302/U$13),"-"))</f>
        <v>-</v>
      </c>
      <c r="BL300" s="978" t="str">
        <f t="shared" si="470"/>
        <v>-</v>
      </c>
      <c r="BM300" s="979" t="str">
        <f t="shared" si="470"/>
        <v>-</v>
      </c>
      <c r="BN300" s="979" t="str">
        <f t="shared" si="470"/>
        <v>-</v>
      </c>
      <c r="BO300" s="1352" t="str">
        <f t="shared" si="470"/>
        <v>-</v>
      </c>
      <c r="BP300" s="1345" t="str">
        <f t="shared" si="470"/>
        <v>-</v>
      </c>
      <c r="BQ300" s="979" t="str">
        <f t="shared" si="470"/>
        <v>-</v>
      </c>
      <c r="BR300" s="979" t="str">
        <f t="shared" si="470"/>
        <v>-</v>
      </c>
      <c r="BS300" s="979" t="str">
        <f t="shared" si="470"/>
        <v>-</v>
      </c>
      <c r="BT300" s="980" t="str">
        <f t="shared" si="470"/>
        <v>-</v>
      </c>
      <c r="BU300" s="979" t="str">
        <f t="shared" si="470"/>
        <v>-</v>
      </c>
      <c r="BV300" s="979" t="str">
        <f>IF(AG300="","-",IFERROR((AG300/AF300-1)*(AF302/AF$13),"-"))</f>
        <v>-</v>
      </c>
      <c r="BW300" s="979" t="str">
        <f>IF(AH300="","-",IFERROR((AH300/AG300-1)*(AG302/AG$13),"-"))</f>
        <v>-</v>
      </c>
      <c r="BX300" s="979" t="str">
        <f>IF(AI300="","-",IFERROR((AI300/AH300-1)*(AH302/AH$13),"-"))</f>
        <v>-</v>
      </c>
      <c r="BY300" s="981" t="str">
        <f>IF(AJ300="","-",IFERROR((AJ300/AI300-1)*(AI302/AI$13),"-"))</f>
        <v>-</v>
      </c>
      <c r="BZ300" s="951"/>
      <c r="CA300" s="975" t="str">
        <f t="shared" si="386"/>
        <v>Price</v>
      </c>
      <c r="CB300" s="976" t="str">
        <f t="shared" si="387"/>
        <v>Water</v>
      </c>
      <c r="CC300" s="982" t="str">
        <f t="shared" si="388"/>
        <v>Variable</v>
      </c>
      <c r="CD300" s="983" t="str">
        <f t="shared" si="418"/>
        <v>-</v>
      </c>
      <c r="CE300" s="979" t="str">
        <f t="shared" si="411"/>
        <v>-</v>
      </c>
      <c r="CF300" s="979" t="str">
        <f t="shared" si="412"/>
        <v>-</v>
      </c>
      <c r="CG300" s="980" t="str">
        <f t="shared" si="413"/>
        <v>-</v>
      </c>
      <c r="CH300" s="979" t="str">
        <f t="shared" si="419"/>
        <v>-</v>
      </c>
      <c r="CI300" s="979" t="str">
        <f t="shared" si="414"/>
        <v>-</v>
      </c>
      <c r="CJ300" s="979" t="str">
        <f t="shared" si="415"/>
        <v>-</v>
      </c>
      <c r="CK300" s="981" t="str">
        <f t="shared" si="416"/>
        <v>-</v>
      </c>
    </row>
    <row r="301" spans="4:89">
      <c r="E301" s="567" t="s">
        <v>880</v>
      </c>
      <c r="F301" s="554" t="str">
        <f>+F300</f>
        <v>Water</v>
      </c>
      <c r="G301" s="555" t="str">
        <f>+G300</f>
        <v>BW</v>
      </c>
      <c r="H301" s="555" t="str">
        <f>+H300</f>
        <v>Headworks</v>
      </c>
      <c r="I301" s="556" t="str">
        <f>+I300</f>
        <v>Variable</v>
      </c>
      <c r="J301" s="590" t="s">
        <v>887</v>
      </c>
      <c r="K301" s="557"/>
      <c r="L301" s="558"/>
      <c r="M301" s="558"/>
      <c r="N301" s="557"/>
      <c r="O301" s="558"/>
      <c r="P301" s="558"/>
      <c r="Q301" s="558"/>
      <c r="R301" s="1036"/>
      <c r="S301" s="1139"/>
      <c r="T301" s="593"/>
      <c r="U301" s="1036"/>
      <c r="V301" s="1139"/>
      <c r="W301" s="593"/>
      <c r="X301" s="593"/>
      <c r="Y301" s="593"/>
      <c r="Z301" s="1036"/>
      <c r="AA301" s="1139"/>
      <c r="AB301" s="593"/>
      <c r="AC301" s="593"/>
      <c r="AD301" s="593"/>
      <c r="AE301" s="1036"/>
      <c r="AF301" s="1139"/>
      <c r="AG301" s="593"/>
      <c r="AH301" s="593"/>
      <c r="AI301" s="593"/>
      <c r="AJ301" s="1036"/>
      <c r="AK301" s="569"/>
      <c r="AL301" s="569"/>
      <c r="AN301" s="857"/>
      <c r="AO301" s="961" t="str">
        <f t="shared" si="389"/>
        <v>Qty</v>
      </c>
      <c r="AP301" s="962" t="str">
        <f t="shared" si="390"/>
        <v>Water</v>
      </c>
      <c r="AQ301" s="963" t="str">
        <f t="shared" si="391"/>
        <v>Variable</v>
      </c>
      <c r="AR301" s="967" t="str">
        <f t="shared" si="392"/>
        <v>-</v>
      </c>
      <c r="AS301" s="964" t="str">
        <f t="shared" si="393"/>
        <v>-</v>
      </c>
      <c r="AT301" s="964" t="str">
        <f t="shared" si="394"/>
        <v>-</v>
      </c>
      <c r="AU301" s="964" t="str">
        <f t="shared" si="395"/>
        <v>-</v>
      </c>
      <c r="AV301" s="1350" t="str">
        <f t="shared" si="396"/>
        <v>-</v>
      </c>
      <c r="AW301" s="1343" t="str">
        <f t="shared" si="397"/>
        <v>-</v>
      </c>
      <c r="AX301" s="964" t="str">
        <f t="shared" si="398"/>
        <v>-</v>
      </c>
      <c r="AY301" s="964" t="str">
        <f t="shared" si="399"/>
        <v>-</v>
      </c>
      <c r="AZ301" s="964" t="str">
        <f t="shared" si="400"/>
        <v>-</v>
      </c>
      <c r="BA301" s="965" t="str">
        <f t="shared" si="401"/>
        <v>-</v>
      </c>
      <c r="BB301" s="1343" t="str">
        <f t="shared" si="402"/>
        <v>-</v>
      </c>
      <c r="BC301" s="964" t="str">
        <f t="shared" si="403"/>
        <v>-</v>
      </c>
      <c r="BD301" s="964" t="str">
        <f t="shared" si="404"/>
        <v>-</v>
      </c>
      <c r="BE301" s="964" t="str">
        <f t="shared" si="405"/>
        <v>-</v>
      </c>
      <c r="BF301" s="966" t="str">
        <f t="shared" si="406"/>
        <v>-</v>
      </c>
      <c r="BG301" s="951"/>
      <c r="BH301" s="1541" t="str">
        <f t="shared" si="407"/>
        <v>Qty</v>
      </c>
      <c r="BI301" s="1542" t="str">
        <f t="shared" si="408"/>
        <v>Water</v>
      </c>
      <c r="BJ301" s="1543" t="str">
        <f t="shared" si="409"/>
        <v>Variable</v>
      </c>
      <c r="BK301" s="964" t="str">
        <f t="shared" ref="BK301:BU301" si="471">IF(V301="","-",IFERROR((V301/U301-1)*(U302/U$13),"-"))</f>
        <v>-</v>
      </c>
      <c r="BL301" s="964" t="str">
        <f t="shared" si="471"/>
        <v>-</v>
      </c>
      <c r="BM301" s="964" t="str">
        <f t="shared" si="471"/>
        <v>-</v>
      </c>
      <c r="BN301" s="964" t="str">
        <f t="shared" si="471"/>
        <v>-</v>
      </c>
      <c r="BO301" s="1350" t="str">
        <f t="shared" si="471"/>
        <v>-</v>
      </c>
      <c r="BP301" s="1343" t="str">
        <f t="shared" si="471"/>
        <v>-</v>
      </c>
      <c r="BQ301" s="964" t="str">
        <f t="shared" si="471"/>
        <v>-</v>
      </c>
      <c r="BR301" s="964" t="str">
        <f t="shared" si="471"/>
        <v>-</v>
      </c>
      <c r="BS301" s="964" t="str">
        <f t="shared" si="471"/>
        <v>-</v>
      </c>
      <c r="BT301" s="965" t="str">
        <f t="shared" si="471"/>
        <v>-</v>
      </c>
      <c r="BU301" s="964" t="str">
        <f t="shared" si="471"/>
        <v>-</v>
      </c>
      <c r="BV301" s="964" t="str">
        <f>IF(AG301="","-",IFERROR((AG301/AF301-1)*(AF302/AF$13),"-"))</f>
        <v>-</v>
      </c>
      <c r="BW301" s="964" t="str">
        <f>IF(AH301="","-",IFERROR((AH301/AG301-1)*(AG302/AG$13),"-"))</f>
        <v>-</v>
      </c>
      <c r="BX301" s="964" t="str">
        <f>IF(AI301="","-",IFERROR((AI301/AH301-1)*(AH302/AH$13),"-"))</f>
        <v>-</v>
      </c>
      <c r="BY301" s="966" t="str">
        <f>IF(AJ301="","-",IFERROR((AJ301/AI301-1)*(AI302/AI$13),"-"))</f>
        <v>-</v>
      </c>
      <c r="BZ301" s="951"/>
      <c r="CA301" s="961" t="str">
        <f t="shared" si="386"/>
        <v>Qty</v>
      </c>
      <c r="CB301" s="962" t="str">
        <f t="shared" si="387"/>
        <v>Water</v>
      </c>
      <c r="CC301" s="962" t="str">
        <f t="shared" si="388"/>
        <v>Variable</v>
      </c>
      <c r="CD301" s="967" t="str">
        <f t="shared" si="418"/>
        <v>-</v>
      </c>
      <c r="CE301" s="964" t="str">
        <f t="shared" si="411"/>
        <v>-</v>
      </c>
      <c r="CF301" s="964" t="str">
        <f t="shared" si="412"/>
        <v>-</v>
      </c>
      <c r="CG301" s="965" t="str">
        <f t="shared" si="413"/>
        <v>-</v>
      </c>
      <c r="CH301" s="964" t="str">
        <f t="shared" si="419"/>
        <v>-</v>
      </c>
      <c r="CI301" s="964" t="str">
        <f t="shared" si="414"/>
        <v>-</v>
      </c>
      <c r="CJ301" s="964" t="str">
        <f t="shared" si="415"/>
        <v>-</v>
      </c>
      <c r="CK301" s="966" t="str">
        <f t="shared" si="416"/>
        <v>-</v>
      </c>
    </row>
    <row r="302" spans="4:89" ht="12.75" thickBot="1">
      <c r="E302" s="568" t="s">
        <v>882</v>
      </c>
      <c r="F302" s="560" t="str">
        <f>+F300</f>
        <v>Water</v>
      </c>
      <c r="G302" s="561" t="str">
        <f>+G300</f>
        <v>BW</v>
      </c>
      <c r="H302" s="561" t="str">
        <f>+H300</f>
        <v>Headworks</v>
      </c>
      <c r="I302" s="562" t="str">
        <f>+I300</f>
        <v>Variable</v>
      </c>
      <c r="J302" s="563" t="s">
        <v>883</v>
      </c>
      <c r="K302" s="564">
        <f t="shared" ref="K302:AJ302" si="472">K300*K301/10^6</f>
        <v>0</v>
      </c>
      <c r="L302" s="565">
        <f t="shared" si="472"/>
        <v>0</v>
      </c>
      <c r="M302" s="565">
        <f t="shared" si="472"/>
        <v>0</v>
      </c>
      <c r="N302" s="564">
        <f t="shared" si="472"/>
        <v>0</v>
      </c>
      <c r="O302" s="565">
        <f t="shared" si="472"/>
        <v>0</v>
      </c>
      <c r="P302" s="565">
        <f t="shared" si="472"/>
        <v>0</v>
      </c>
      <c r="Q302" s="565">
        <f t="shared" si="472"/>
        <v>0</v>
      </c>
      <c r="R302" s="566">
        <f t="shared" si="472"/>
        <v>0</v>
      </c>
      <c r="S302" s="564">
        <f t="shared" si="472"/>
        <v>0</v>
      </c>
      <c r="T302" s="565">
        <f t="shared" si="472"/>
        <v>0</v>
      </c>
      <c r="U302" s="566">
        <f t="shared" si="472"/>
        <v>0</v>
      </c>
      <c r="V302" s="564">
        <f t="shared" si="472"/>
        <v>0</v>
      </c>
      <c r="W302" s="565">
        <f t="shared" si="472"/>
        <v>0</v>
      </c>
      <c r="X302" s="565">
        <f t="shared" si="472"/>
        <v>0</v>
      </c>
      <c r="Y302" s="565">
        <f t="shared" si="472"/>
        <v>0</v>
      </c>
      <c r="Z302" s="566">
        <f t="shared" si="472"/>
        <v>0</v>
      </c>
      <c r="AA302" s="564">
        <f t="shared" si="472"/>
        <v>0</v>
      </c>
      <c r="AB302" s="565">
        <f t="shared" si="472"/>
        <v>0</v>
      </c>
      <c r="AC302" s="565">
        <f t="shared" si="472"/>
        <v>0</v>
      </c>
      <c r="AD302" s="565">
        <f t="shared" si="472"/>
        <v>0</v>
      </c>
      <c r="AE302" s="566">
        <f t="shared" si="472"/>
        <v>0</v>
      </c>
      <c r="AF302" s="564">
        <f t="shared" si="472"/>
        <v>0</v>
      </c>
      <c r="AG302" s="565">
        <f t="shared" si="472"/>
        <v>0</v>
      </c>
      <c r="AH302" s="565">
        <f t="shared" si="472"/>
        <v>0</v>
      </c>
      <c r="AI302" s="565">
        <f t="shared" si="472"/>
        <v>0</v>
      </c>
      <c r="AJ302" s="566">
        <f t="shared" si="472"/>
        <v>0</v>
      </c>
      <c r="AK302" s="569"/>
      <c r="AL302" s="569"/>
      <c r="AN302" s="857"/>
      <c r="AO302" s="984" t="str">
        <f t="shared" si="389"/>
        <v>Rev</v>
      </c>
      <c r="AP302" s="985" t="str">
        <f t="shared" si="390"/>
        <v>Water</v>
      </c>
      <c r="AQ302" s="986" t="str">
        <f t="shared" si="391"/>
        <v>Variable</v>
      </c>
      <c r="AR302" s="990" t="str">
        <f t="shared" si="392"/>
        <v>-</v>
      </c>
      <c r="AS302" s="987" t="str">
        <f t="shared" si="393"/>
        <v>-</v>
      </c>
      <c r="AT302" s="987" t="str">
        <f t="shared" si="394"/>
        <v>-</v>
      </c>
      <c r="AU302" s="987" t="str">
        <f t="shared" si="395"/>
        <v>-</v>
      </c>
      <c r="AV302" s="1353" t="str">
        <f t="shared" si="396"/>
        <v>-</v>
      </c>
      <c r="AW302" s="1346" t="str">
        <f t="shared" si="397"/>
        <v>-</v>
      </c>
      <c r="AX302" s="987" t="str">
        <f t="shared" si="398"/>
        <v>-</v>
      </c>
      <c r="AY302" s="987" t="str">
        <f t="shared" si="399"/>
        <v>-</v>
      </c>
      <c r="AZ302" s="987" t="str">
        <f t="shared" si="400"/>
        <v>-</v>
      </c>
      <c r="BA302" s="988" t="str">
        <f t="shared" si="401"/>
        <v>-</v>
      </c>
      <c r="BB302" s="1346" t="str">
        <f t="shared" si="402"/>
        <v>-</v>
      </c>
      <c r="BC302" s="987" t="str">
        <f t="shared" si="403"/>
        <v>-</v>
      </c>
      <c r="BD302" s="987" t="str">
        <f t="shared" si="404"/>
        <v>-</v>
      </c>
      <c r="BE302" s="987" t="str">
        <f t="shared" si="405"/>
        <v>-</v>
      </c>
      <c r="BF302" s="989" t="str">
        <f t="shared" si="406"/>
        <v>-</v>
      </c>
      <c r="BG302" s="951"/>
      <c r="BH302" s="1550" t="str">
        <f t="shared" si="407"/>
        <v>Rev</v>
      </c>
      <c r="BI302" s="1551" t="str">
        <f t="shared" si="408"/>
        <v>Water</v>
      </c>
      <c r="BJ302" s="1552" t="str">
        <f t="shared" si="409"/>
        <v>Variable</v>
      </c>
      <c r="BK302" s="987" t="str">
        <f t="shared" ref="BK302:BU302" si="473">IF(V302="","-",IFERROR((V302/U302-1)*(U302/U$13),"-"))</f>
        <v>-</v>
      </c>
      <c r="BL302" s="987" t="str">
        <f t="shared" si="473"/>
        <v>-</v>
      </c>
      <c r="BM302" s="987" t="str">
        <f t="shared" si="473"/>
        <v>-</v>
      </c>
      <c r="BN302" s="987" t="str">
        <f t="shared" si="473"/>
        <v>-</v>
      </c>
      <c r="BO302" s="1353" t="str">
        <f t="shared" si="473"/>
        <v>-</v>
      </c>
      <c r="BP302" s="1346" t="str">
        <f t="shared" si="473"/>
        <v>-</v>
      </c>
      <c r="BQ302" s="987" t="str">
        <f t="shared" si="473"/>
        <v>-</v>
      </c>
      <c r="BR302" s="987" t="str">
        <f t="shared" si="473"/>
        <v>-</v>
      </c>
      <c r="BS302" s="987" t="str">
        <f t="shared" si="473"/>
        <v>-</v>
      </c>
      <c r="BT302" s="988" t="str">
        <f t="shared" si="473"/>
        <v>-</v>
      </c>
      <c r="BU302" s="987" t="str">
        <f t="shared" si="473"/>
        <v>-</v>
      </c>
      <c r="BV302" s="987" t="str">
        <f>IF(AG302="","-",IFERROR((AG302/AF302-1)*(AF302/AF$13),"-"))</f>
        <v>-</v>
      </c>
      <c r="BW302" s="987" t="str">
        <f>IF(AH302="","-",IFERROR((AH302/AG302-1)*(AG302/AG$13),"-"))</f>
        <v>-</v>
      </c>
      <c r="BX302" s="987" t="str">
        <f>IF(AI302="","-",IFERROR((AI302/AH302-1)*(AH302/AH$13),"-"))</f>
        <v>-</v>
      </c>
      <c r="BY302" s="989" t="str">
        <f>IF(AJ302="","-",IFERROR((AJ302/AI302-1)*(AI302/AI$13),"-"))</f>
        <v>-</v>
      </c>
      <c r="BZ302" s="951"/>
      <c r="CA302" s="984" t="str">
        <f t="shared" si="386"/>
        <v>Rev</v>
      </c>
      <c r="CB302" s="985" t="str">
        <f t="shared" si="387"/>
        <v>Water</v>
      </c>
      <c r="CC302" s="985" t="str">
        <f t="shared" si="388"/>
        <v>Variable</v>
      </c>
      <c r="CD302" s="990" t="str">
        <f t="shared" si="418"/>
        <v>-</v>
      </c>
      <c r="CE302" s="987" t="str">
        <f t="shared" si="411"/>
        <v>-</v>
      </c>
      <c r="CF302" s="987" t="str">
        <f t="shared" si="412"/>
        <v>-</v>
      </c>
      <c r="CG302" s="988" t="str">
        <f t="shared" si="413"/>
        <v>-</v>
      </c>
      <c r="CH302" s="987" t="str">
        <f t="shared" si="419"/>
        <v>-</v>
      </c>
      <c r="CI302" s="987" t="str">
        <f t="shared" si="414"/>
        <v>-</v>
      </c>
      <c r="CJ302" s="987" t="str">
        <f t="shared" si="415"/>
        <v>-</v>
      </c>
      <c r="CK302" s="989" t="str">
        <f t="shared" si="416"/>
        <v>-</v>
      </c>
    </row>
    <row r="303" spans="4:89">
      <c r="D303" s="63">
        <f>D300+1</f>
        <v>79</v>
      </c>
      <c r="E303" s="550" t="s">
        <v>857</v>
      </c>
      <c r="F303" s="595" t="s">
        <v>401</v>
      </c>
      <c r="G303" s="595" t="s">
        <v>94</v>
      </c>
      <c r="H303" s="595" t="s">
        <v>515</v>
      </c>
      <c r="I303" s="589" t="s">
        <v>843</v>
      </c>
      <c r="J303" s="589" t="s">
        <v>879</v>
      </c>
      <c r="K303" s="551"/>
      <c r="L303" s="552"/>
      <c r="M303" s="552"/>
      <c r="N303" s="551"/>
      <c r="O303" s="552"/>
      <c r="P303" s="552"/>
      <c r="Q303" s="552"/>
      <c r="R303" s="1035"/>
      <c r="S303" s="1138"/>
      <c r="T303" s="591"/>
      <c r="U303" s="1035"/>
      <c r="V303" s="1138"/>
      <c r="W303" s="591"/>
      <c r="X303" s="591"/>
      <c r="Y303" s="591"/>
      <c r="Z303" s="1035"/>
      <c r="AA303" s="1138"/>
      <c r="AB303" s="591"/>
      <c r="AC303" s="591"/>
      <c r="AD303" s="591"/>
      <c r="AE303" s="1035"/>
      <c r="AF303" s="1138"/>
      <c r="AG303" s="591"/>
      <c r="AH303" s="591"/>
      <c r="AI303" s="591"/>
      <c r="AJ303" s="1035"/>
      <c r="AK303" s="569"/>
      <c r="AL303" s="569"/>
      <c r="AM303" s="974"/>
      <c r="AN303" s="857"/>
      <c r="AO303" s="975" t="str">
        <f t="shared" si="389"/>
        <v>Price</v>
      </c>
      <c r="AP303" s="976" t="str">
        <f t="shared" si="390"/>
        <v>Water</v>
      </c>
      <c r="AQ303" s="977" t="str">
        <f t="shared" si="391"/>
        <v>Variable</v>
      </c>
      <c r="AR303" s="1341" t="str">
        <f t="shared" si="392"/>
        <v>-</v>
      </c>
      <c r="AS303" s="978" t="str">
        <f t="shared" si="393"/>
        <v>-</v>
      </c>
      <c r="AT303" s="979" t="str">
        <f t="shared" si="394"/>
        <v>-</v>
      </c>
      <c r="AU303" s="979" t="str">
        <f t="shared" si="395"/>
        <v>-</v>
      </c>
      <c r="AV303" s="1352" t="str">
        <f t="shared" si="396"/>
        <v>-</v>
      </c>
      <c r="AW303" s="1345" t="str">
        <f t="shared" si="397"/>
        <v>-</v>
      </c>
      <c r="AX303" s="979" t="str">
        <f t="shared" si="398"/>
        <v>-</v>
      </c>
      <c r="AY303" s="979" t="str">
        <f t="shared" si="399"/>
        <v>-</v>
      </c>
      <c r="AZ303" s="979" t="str">
        <f t="shared" si="400"/>
        <v>-</v>
      </c>
      <c r="BA303" s="980" t="str">
        <f t="shared" si="401"/>
        <v>-</v>
      </c>
      <c r="BB303" s="1345" t="str">
        <f t="shared" si="402"/>
        <v>-</v>
      </c>
      <c r="BC303" s="979" t="str">
        <f t="shared" si="403"/>
        <v>-</v>
      </c>
      <c r="BD303" s="979" t="str">
        <f t="shared" si="404"/>
        <v>-</v>
      </c>
      <c r="BE303" s="979" t="str">
        <f t="shared" si="405"/>
        <v>-</v>
      </c>
      <c r="BF303" s="981" t="str">
        <f t="shared" si="406"/>
        <v>-</v>
      </c>
      <c r="BG303" s="951"/>
      <c r="BH303" s="1547" t="str">
        <f t="shared" si="407"/>
        <v>Price</v>
      </c>
      <c r="BI303" s="1548" t="str">
        <f t="shared" si="408"/>
        <v>Water</v>
      </c>
      <c r="BJ303" s="1549" t="str">
        <f t="shared" si="409"/>
        <v>Variable</v>
      </c>
      <c r="BK303" s="978" t="str">
        <f t="shared" ref="BK303:BU303" si="474">IF(V303="","-",IFERROR((V303/U303-1)*(U305/U$13),"-"))</f>
        <v>-</v>
      </c>
      <c r="BL303" s="978" t="str">
        <f t="shared" si="474"/>
        <v>-</v>
      </c>
      <c r="BM303" s="979" t="str">
        <f t="shared" si="474"/>
        <v>-</v>
      </c>
      <c r="BN303" s="979" t="str">
        <f t="shared" si="474"/>
        <v>-</v>
      </c>
      <c r="BO303" s="1352" t="str">
        <f t="shared" si="474"/>
        <v>-</v>
      </c>
      <c r="BP303" s="1345" t="str">
        <f t="shared" si="474"/>
        <v>-</v>
      </c>
      <c r="BQ303" s="979" t="str">
        <f t="shared" si="474"/>
        <v>-</v>
      </c>
      <c r="BR303" s="979" t="str">
        <f t="shared" si="474"/>
        <v>-</v>
      </c>
      <c r="BS303" s="979" t="str">
        <f t="shared" si="474"/>
        <v>-</v>
      </c>
      <c r="BT303" s="980" t="str">
        <f t="shared" si="474"/>
        <v>-</v>
      </c>
      <c r="BU303" s="979" t="str">
        <f t="shared" si="474"/>
        <v>-</v>
      </c>
      <c r="BV303" s="979" t="str">
        <f>IF(AG303="","-",IFERROR((AG303/AF303-1)*(AF305/AF$13),"-"))</f>
        <v>-</v>
      </c>
      <c r="BW303" s="979" t="str">
        <f>IF(AH303="","-",IFERROR((AH303/AG303-1)*(AG305/AG$13),"-"))</f>
        <v>-</v>
      </c>
      <c r="BX303" s="979" t="str">
        <f>IF(AI303="","-",IFERROR((AI303/AH303-1)*(AH305/AH$13),"-"))</f>
        <v>-</v>
      </c>
      <c r="BY303" s="981" t="str">
        <f>IF(AJ303="","-",IFERROR((AJ303/AI303-1)*(AI305/AI$13),"-"))</f>
        <v>-</v>
      </c>
      <c r="BZ303" s="951"/>
      <c r="CA303" s="975" t="str">
        <f t="shared" si="386"/>
        <v>Price</v>
      </c>
      <c r="CB303" s="976" t="str">
        <f t="shared" si="387"/>
        <v>Water</v>
      </c>
      <c r="CC303" s="982" t="str">
        <f t="shared" si="388"/>
        <v>Variable</v>
      </c>
      <c r="CD303" s="983" t="str">
        <f t="shared" si="418"/>
        <v>-</v>
      </c>
      <c r="CE303" s="979" t="str">
        <f t="shared" si="411"/>
        <v>-</v>
      </c>
      <c r="CF303" s="979" t="str">
        <f t="shared" si="412"/>
        <v>-</v>
      </c>
      <c r="CG303" s="980" t="str">
        <f t="shared" si="413"/>
        <v>-</v>
      </c>
      <c r="CH303" s="979" t="str">
        <f t="shared" si="419"/>
        <v>-</v>
      </c>
      <c r="CI303" s="979" t="str">
        <f t="shared" si="414"/>
        <v>-</v>
      </c>
      <c r="CJ303" s="979" t="str">
        <f t="shared" si="415"/>
        <v>-</v>
      </c>
      <c r="CK303" s="981" t="str">
        <f t="shared" si="416"/>
        <v>-</v>
      </c>
    </row>
    <row r="304" spans="4:89">
      <c r="E304" s="567" t="s">
        <v>880</v>
      </c>
      <c r="F304" s="554" t="str">
        <f>+F303</f>
        <v>Water</v>
      </c>
      <c r="G304" s="555" t="str">
        <f>+G303</f>
        <v>SGW</v>
      </c>
      <c r="H304" s="555" t="str">
        <f>+H303</f>
        <v>Headworks</v>
      </c>
      <c r="I304" s="556" t="str">
        <f>+I303</f>
        <v>Variable</v>
      </c>
      <c r="J304" s="590" t="s">
        <v>887</v>
      </c>
      <c r="K304" s="557"/>
      <c r="L304" s="558"/>
      <c r="M304" s="558"/>
      <c r="N304" s="557"/>
      <c r="O304" s="558"/>
      <c r="P304" s="558"/>
      <c r="Q304" s="558"/>
      <c r="R304" s="1036"/>
      <c r="S304" s="1139"/>
      <c r="T304" s="593"/>
      <c r="U304" s="1036"/>
      <c r="V304" s="1139"/>
      <c r="W304" s="593"/>
      <c r="X304" s="593"/>
      <c r="Y304" s="593"/>
      <c r="Z304" s="1036"/>
      <c r="AA304" s="1139"/>
      <c r="AB304" s="593"/>
      <c r="AC304" s="593"/>
      <c r="AD304" s="593"/>
      <c r="AE304" s="1036"/>
      <c r="AF304" s="1139"/>
      <c r="AG304" s="593"/>
      <c r="AH304" s="593"/>
      <c r="AI304" s="593"/>
      <c r="AJ304" s="1036"/>
      <c r="AK304" s="569"/>
      <c r="AL304" s="569"/>
      <c r="AN304" s="857"/>
      <c r="AO304" s="961" t="str">
        <f t="shared" si="389"/>
        <v>Qty</v>
      </c>
      <c r="AP304" s="962" t="str">
        <f t="shared" si="390"/>
        <v>Water</v>
      </c>
      <c r="AQ304" s="963" t="str">
        <f t="shared" si="391"/>
        <v>Variable</v>
      </c>
      <c r="AR304" s="967" t="str">
        <f t="shared" si="392"/>
        <v>-</v>
      </c>
      <c r="AS304" s="964" t="str">
        <f t="shared" si="393"/>
        <v>-</v>
      </c>
      <c r="AT304" s="964" t="str">
        <f t="shared" si="394"/>
        <v>-</v>
      </c>
      <c r="AU304" s="964" t="str">
        <f t="shared" si="395"/>
        <v>-</v>
      </c>
      <c r="AV304" s="1350" t="str">
        <f t="shared" si="396"/>
        <v>-</v>
      </c>
      <c r="AW304" s="1343" t="str">
        <f t="shared" si="397"/>
        <v>-</v>
      </c>
      <c r="AX304" s="964" t="str">
        <f t="shared" si="398"/>
        <v>-</v>
      </c>
      <c r="AY304" s="964" t="str">
        <f t="shared" si="399"/>
        <v>-</v>
      </c>
      <c r="AZ304" s="964" t="str">
        <f t="shared" si="400"/>
        <v>-</v>
      </c>
      <c r="BA304" s="965" t="str">
        <f t="shared" si="401"/>
        <v>-</v>
      </c>
      <c r="BB304" s="1343" t="str">
        <f t="shared" si="402"/>
        <v>-</v>
      </c>
      <c r="BC304" s="964" t="str">
        <f t="shared" si="403"/>
        <v>-</v>
      </c>
      <c r="BD304" s="964" t="str">
        <f t="shared" si="404"/>
        <v>-</v>
      </c>
      <c r="BE304" s="964" t="str">
        <f t="shared" si="405"/>
        <v>-</v>
      </c>
      <c r="BF304" s="966" t="str">
        <f t="shared" si="406"/>
        <v>-</v>
      </c>
      <c r="BG304" s="951"/>
      <c r="BH304" s="1541" t="str">
        <f t="shared" si="407"/>
        <v>Qty</v>
      </c>
      <c r="BI304" s="1542" t="str">
        <f t="shared" si="408"/>
        <v>Water</v>
      </c>
      <c r="BJ304" s="1543" t="str">
        <f t="shared" si="409"/>
        <v>Variable</v>
      </c>
      <c r="BK304" s="964" t="str">
        <f t="shared" ref="BK304:BU304" si="475">IF(V304="","-",IFERROR((V304/U304-1)*(U305/U$13),"-"))</f>
        <v>-</v>
      </c>
      <c r="BL304" s="964" t="str">
        <f t="shared" si="475"/>
        <v>-</v>
      </c>
      <c r="BM304" s="964" t="str">
        <f t="shared" si="475"/>
        <v>-</v>
      </c>
      <c r="BN304" s="964" t="str">
        <f t="shared" si="475"/>
        <v>-</v>
      </c>
      <c r="BO304" s="1350" t="str">
        <f t="shared" si="475"/>
        <v>-</v>
      </c>
      <c r="BP304" s="1343" t="str">
        <f t="shared" si="475"/>
        <v>-</v>
      </c>
      <c r="BQ304" s="964" t="str">
        <f t="shared" si="475"/>
        <v>-</v>
      </c>
      <c r="BR304" s="964" t="str">
        <f t="shared" si="475"/>
        <v>-</v>
      </c>
      <c r="BS304" s="964" t="str">
        <f t="shared" si="475"/>
        <v>-</v>
      </c>
      <c r="BT304" s="965" t="str">
        <f t="shared" si="475"/>
        <v>-</v>
      </c>
      <c r="BU304" s="964" t="str">
        <f t="shared" si="475"/>
        <v>-</v>
      </c>
      <c r="BV304" s="964" t="str">
        <f>IF(AG304="","-",IFERROR((AG304/AF304-1)*(AF305/AF$13),"-"))</f>
        <v>-</v>
      </c>
      <c r="BW304" s="964" t="str">
        <f>IF(AH304="","-",IFERROR((AH304/AG304-1)*(AG305/AG$13),"-"))</f>
        <v>-</v>
      </c>
      <c r="BX304" s="964" t="str">
        <f>IF(AI304="","-",IFERROR((AI304/AH304-1)*(AH305/AH$13),"-"))</f>
        <v>-</v>
      </c>
      <c r="BY304" s="966" t="str">
        <f>IF(AJ304="","-",IFERROR((AJ304/AI304-1)*(AI305/AI$13),"-"))</f>
        <v>-</v>
      </c>
      <c r="BZ304" s="951"/>
      <c r="CA304" s="961" t="str">
        <f t="shared" si="386"/>
        <v>Qty</v>
      </c>
      <c r="CB304" s="962" t="str">
        <f t="shared" si="387"/>
        <v>Water</v>
      </c>
      <c r="CC304" s="962" t="str">
        <f t="shared" si="388"/>
        <v>Variable</v>
      </c>
      <c r="CD304" s="967" t="str">
        <f t="shared" si="418"/>
        <v>-</v>
      </c>
      <c r="CE304" s="964" t="str">
        <f t="shared" si="411"/>
        <v>-</v>
      </c>
      <c r="CF304" s="964" t="str">
        <f t="shared" si="412"/>
        <v>-</v>
      </c>
      <c r="CG304" s="965" t="str">
        <f t="shared" si="413"/>
        <v>-</v>
      </c>
      <c r="CH304" s="964" t="str">
        <f t="shared" si="419"/>
        <v>-</v>
      </c>
      <c r="CI304" s="964" t="str">
        <f t="shared" si="414"/>
        <v>-</v>
      </c>
      <c r="CJ304" s="964" t="str">
        <f t="shared" si="415"/>
        <v>-</v>
      </c>
      <c r="CK304" s="966" t="str">
        <f t="shared" si="416"/>
        <v>-</v>
      </c>
    </row>
    <row r="305" spans="4:89" ht="12.75" thickBot="1">
      <c r="E305" s="568" t="s">
        <v>882</v>
      </c>
      <c r="F305" s="560" t="str">
        <f>+F303</f>
        <v>Water</v>
      </c>
      <c r="G305" s="561" t="str">
        <f>+G303</f>
        <v>SGW</v>
      </c>
      <c r="H305" s="561" t="str">
        <f>+H303</f>
        <v>Headworks</v>
      </c>
      <c r="I305" s="562" t="str">
        <f>+I303</f>
        <v>Variable</v>
      </c>
      <c r="J305" s="563" t="s">
        <v>883</v>
      </c>
      <c r="K305" s="564">
        <f t="shared" ref="K305:AJ305" si="476">K303*K304/10^6</f>
        <v>0</v>
      </c>
      <c r="L305" s="565">
        <f t="shared" si="476"/>
        <v>0</v>
      </c>
      <c r="M305" s="565">
        <f t="shared" si="476"/>
        <v>0</v>
      </c>
      <c r="N305" s="564">
        <f t="shared" si="476"/>
        <v>0</v>
      </c>
      <c r="O305" s="565">
        <f t="shared" si="476"/>
        <v>0</v>
      </c>
      <c r="P305" s="565">
        <f t="shared" si="476"/>
        <v>0</v>
      </c>
      <c r="Q305" s="565">
        <f t="shared" si="476"/>
        <v>0</v>
      </c>
      <c r="R305" s="566">
        <f t="shared" si="476"/>
        <v>0</v>
      </c>
      <c r="S305" s="564">
        <f t="shared" si="476"/>
        <v>0</v>
      </c>
      <c r="T305" s="565">
        <f t="shared" si="476"/>
        <v>0</v>
      </c>
      <c r="U305" s="566">
        <f t="shared" si="476"/>
        <v>0</v>
      </c>
      <c r="V305" s="564">
        <f t="shared" si="476"/>
        <v>0</v>
      </c>
      <c r="W305" s="565">
        <f t="shared" si="476"/>
        <v>0</v>
      </c>
      <c r="X305" s="565">
        <f t="shared" si="476"/>
        <v>0</v>
      </c>
      <c r="Y305" s="565">
        <f t="shared" si="476"/>
        <v>0</v>
      </c>
      <c r="Z305" s="566">
        <f t="shared" si="476"/>
        <v>0</v>
      </c>
      <c r="AA305" s="564">
        <f t="shared" si="476"/>
        <v>0</v>
      </c>
      <c r="AB305" s="565">
        <f t="shared" si="476"/>
        <v>0</v>
      </c>
      <c r="AC305" s="565">
        <f t="shared" si="476"/>
        <v>0</v>
      </c>
      <c r="AD305" s="565">
        <f t="shared" si="476"/>
        <v>0</v>
      </c>
      <c r="AE305" s="566">
        <f t="shared" si="476"/>
        <v>0</v>
      </c>
      <c r="AF305" s="564">
        <f t="shared" si="476"/>
        <v>0</v>
      </c>
      <c r="AG305" s="565">
        <f t="shared" si="476"/>
        <v>0</v>
      </c>
      <c r="AH305" s="565">
        <f t="shared" si="476"/>
        <v>0</v>
      </c>
      <c r="AI305" s="565">
        <f t="shared" si="476"/>
        <v>0</v>
      </c>
      <c r="AJ305" s="566">
        <f t="shared" si="476"/>
        <v>0</v>
      </c>
      <c r="AK305" s="569"/>
      <c r="AL305" s="569"/>
      <c r="AN305" s="857"/>
      <c r="AO305" s="984" t="str">
        <f t="shared" si="389"/>
        <v>Rev</v>
      </c>
      <c r="AP305" s="985" t="str">
        <f t="shared" si="390"/>
        <v>Water</v>
      </c>
      <c r="AQ305" s="986" t="str">
        <f t="shared" si="391"/>
        <v>Variable</v>
      </c>
      <c r="AR305" s="990" t="str">
        <f t="shared" si="392"/>
        <v>-</v>
      </c>
      <c r="AS305" s="987" t="str">
        <f t="shared" si="393"/>
        <v>-</v>
      </c>
      <c r="AT305" s="987" t="str">
        <f t="shared" si="394"/>
        <v>-</v>
      </c>
      <c r="AU305" s="987" t="str">
        <f t="shared" si="395"/>
        <v>-</v>
      </c>
      <c r="AV305" s="1353" t="str">
        <f t="shared" si="396"/>
        <v>-</v>
      </c>
      <c r="AW305" s="1346" t="str">
        <f t="shared" si="397"/>
        <v>-</v>
      </c>
      <c r="AX305" s="987" t="str">
        <f t="shared" si="398"/>
        <v>-</v>
      </c>
      <c r="AY305" s="987" t="str">
        <f t="shared" si="399"/>
        <v>-</v>
      </c>
      <c r="AZ305" s="987" t="str">
        <f t="shared" si="400"/>
        <v>-</v>
      </c>
      <c r="BA305" s="988" t="str">
        <f t="shared" si="401"/>
        <v>-</v>
      </c>
      <c r="BB305" s="1346" t="str">
        <f t="shared" si="402"/>
        <v>-</v>
      </c>
      <c r="BC305" s="987" t="str">
        <f t="shared" si="403"/>
        <v>-</v>
      </c>
      <c r="BD305" s="987" t="str">
        <f t="shared" si="404"/>
        <v>-</v>
      </c>
      <c r="BE305" s="987" t="str">
        <f t="shared" si="405"/>
        <v>-</v>
      </c>
      <c r="BF305" s="989" t="str">
        <f t="shared" si="406"/>
        <v>-</v>
      </c>
      <c r="BG305" s="951"/>
      <c r="BH305" s="1550" t="str">
        <f t="shared" si="407"/>
        <v>Rev</v>
      </c>
      <c r="BI305" s="1551" t="str">
        <f t="shared" si="408"/>
        <v>Water</v>
      </c>
      <c r="BJ305" s="1552" t="str">
        <f t="shared" si="409"/>
        <v>Variable</v>
      </c>
      <c r="BK305" s="987" t="str">
        <f t="shared" ref="BK305:BU305" si="477">IF(V305="","-",IFERROR((V305/U305-1)*(U305/U$13),"-"))</f>
        <v>-</v>
      </c>
      <c r="BL305" s="987" t="str">
        <f t="shared" si="477"/>
        <v>-</v>
      </c>
      <c r="BM305" s="987" t="str">
        <f t="shared" si="477"/>
        <v>-</v>
      </c>
      <c r="BN305" s="987" t="str">
        <f t="shared" si="477"/>
        <v>-</v>
      </c>
      <c r="BO305" s="1353" t="str">
        <f t="shared" si="477"/>
        <v>-</v>
      </c>
      <c r="BP305" s="1346" t="str">
        <f t="shared" si="477"/>
        <v>-</v>
      </c>
      <c r="BQ305" s="987" t="str">
        <f t="shared" si="477"/>
        <v>-</v>
      </c>
      <c r="BR305" s="987" t="str">
        <f t="shared" si="477"/>
        <v>-</v>
      </c>
      <c r="BS305" s="987" t="str">
        <f t="shared" si="477"/>
        <v>-</v>
      </c>
      <c r="BT305" s="988" t="str">
        <f t="shared" si="477"/>
        <v>-</v>
      </c>
      <c r="BU305" s="987" t="str">
        <f t="shared" si="477"/>
        <v>-</v>
      </c>
      <c r="BV305" s="987" t="str">
        <f>IF(AG305="","-",IFERROR((AG305/AF305-1)*(AF305/AF$13),"-"))</f>
        <v>-</v>
      </c>
      <c r="BW305" s="987" t="str">
        <f>IF(AH305="","-",IFERROR((AH305/AG305-1)*(AG305/AG$13),"-"))</f>
        <v>-</v>
      </c>
      <c r="BX305" s="987" t="str">
        <f>IF(AI305="","-",IFERROR((AI305/AH305-1)*(AH305/AH$13),"-"))</f>
        <v>-</v>
      </c>
      <c r="BY305" s="989" t="str">
        <f>IF(AJ305="","-",IFERROR((AJ305/AI305-1)*(AI305/AI$13),"-"))</f>
        <v>-</v>
      </c>
      <c r="BZ305" s="951"/>
      <c r="CA305" s="984" t="str">
        <f t="shared" si="386"/>
        <v>Rev</v>
      </c>
      <c r="CB305" s="985" t="str">
        <f t="shared" si="387"/>
        <v>Water</v>
      </c>
      <c r="CC305" s="985" t="str">
        <f t="shared" si="388"/>
        <v>Variable</v>
      </c>
      <c r="CD305" s="990" t="str">
        <f t="shared" si="418"/>
        <v>-</v>
      </c>
      <c r="CE305" s="987" t="str">
        <f t="shared" si="411"/>
        <v>-</v>
      </c>
      <c r="CF305" s="987" t="str">
        <f t="shared" si="412"/>
        <v>-</v>
      </c>
      <c r="CG305" s="988" t="str">
        <f t="shared" si="413"/>
        <v>-</v>
      </c>
      <c r="CH305" s="987" t="str">
        <f t="shared" si="419"/>
        <v>-</v>
      </c>
      <c r="CI305" s="987" t="str">
        <f t="shared" si="414"/>
        <v>-</v>
      </c>
      <c r="CJ305" s="987" t="str">
        <f t="shared" si="415"/>
        <v>-</v>
      </c>
      <c r="CK305" s="989" t="str">
        <f t="shared" si="416"/>
        <v>-</v>
      </c>
    </row>
    <row r="306" spans="4:89">
      <c r="D306" s="63">
        <f>D303+1</f>
        <v>80</v>
      </c>
      <c r="E306" s="550" t="s">
        <v>857</v>
      </c>
      <c r="F306" s="595" t="s">
        <v>401</v>
      </c>
      <c r="G306" s="595" t="s">
        <v>101</v>
      </c>
      <c r="H306" s="595" t="s">
        <v>515</v>
      </c>
      <c r="I306" s="589" t="s">
        <v>843</v>
      </c>
      <c r="J306" s="589" t="s">
        <v>879</v>
      </c>
      <c r="K306" s="551"/>
      <c r="L306" s="552"/>
      <c r="M306" s="552"/>
      <c r="N306" s="551"/>
      <c r="O306" s="552"/>
      <c r="P306" s="552"/>
      <c r="Q306" s="552"/>
      <c r="R306" s="1035"/>
      <c r="S306" s="1138"/>
      <c r="T306" s="591"/>
      <c r="U306" s="1035"/>
      <c r="V306" s="1138"/>
      <c r="W306" s="591"/>
      <c r="X306" s="591"/>
      <c r="Y306" s="591"/>
      <c r="Z306" s="1035"/>
      <c r="AA306" s="1138"/>
      <c r="AB306" s="591"/>
      <c r="AC306" s="591"/>
      <c r="AD306" s="591"/>
      <c r="AE306" s="1035"/>
      <c r="AF306" s="1138"/>
      <c r="AG306" s="591"/>
      <c r="AH306" s="591"/>
      <c r="AI306" s="591"/>
      <c r="AJ306" s="1035"/>
      <c r="AK306" s="569"/>
      <c r="AL306" s="569"/>
      <c r="AM306" s="974"/>
      <c r="AN306" s="857"/>
      <c r="AO306" s="975" t="str">
        <f t="shared" si="389"/>
        <v>Price</v>
      </c>
      <c r="AP306" s="976" t="str">
        <f t="shared" si="390"/>
        <v>Water</v>
      </c>
      <c r="AQ306" s="977" t="str">
        <f t="shared" si="391"/>
        <v>Variable</v>
      </c>
      <c r="AR306" s="1341" t="str">
        <f t="shared" si="392"/>
        <v>-</v>
      </c>
      <c r="AS306" s="978" t="str">
        <f t="shared" si="393"/>
        <v>-</v>
      </c>
      <c r="AT306" s="979" t="str">
        <f t="shared" si="394"/>
        <v>-</v>
      </c>
      <c r="AU306" s="979" t="str">
        <f t="shared" si="395"/>
        <v>-</v>
      </c>
      <c r="AV306" s="1352" t="str">
        <f t="shared" si="396"/>
        <v>-</v>
      </c>
      <c r="AW306" s="1345" t="str">
        <f t="shared" si="397"/>
        <v>-</v>
      </c>
      <c r="AX306" s="979" t="str">
        <f t="shared" si="398"/>
        <v>-</v>
      </c>
      <c r="AY306" s="979" t="str">
        <f t="shared" si="399"/>
        <v>-</v>
      </c>
      <c r="AZ306" s="979" t="str">
        <f t="shared" si="400"/>
        <v>-</v>
      </c>
      <c r="BA306" s="980" t="str">
        <f t="shared" si="401"/>
        <v>-</v>
      </c>
      <c r="BB306" s="1345" t="str">
        <f t="shared" si="402"/>
        <v>-</v>
      </c>
      <c r="BC306" s="979" t="str">
        <f t="shared" si="403"/>
        <v>-</v>
      </c>
      <c r="BD306" s="979" t="str">
        <f t="shared" si="404"/>
        <v>-</v>
      </c>
      <c r="BE306" s="979" t="str">
        <f t="shared" si="405"/>
        <v>-</v>
      </c>
      <c r="BF306" s="981" t="str">
        <f t="shared" si="406"/>
        <v>-</v>
      </c>
      <c r="BG306" s="951"/>
      <c r="BH306" s="1547" t="str">
        <f t="shared" si="407"/>
        <v>Price</v>
      </c>
      <c r="BI306" s="1548" t="str">
        <f t="shared" si="408"/>
        <v>Water</v>
      </c>
      <c r="BJ306" s="1549" t="str">
        <f t="shared" si="409"/>
        <v>Variable</v>
      </c>
      <c r="BK306" s="978" t="str">
        <f t="shared" ref="BK306:BU306" si="478">IF(V306="","-",IFERROR((V306/U306-1)*(U308/U$13),"-"))</f>
        <v>-</v>
      </c>
      <c r="BL306" s="978" t="str">
        <f t="shared" si="478"/>
        <v>-</v>
      </c>
      <c r="BM306" s="979" t="str">
        <f t="shared" si="478"/>
        <v>-</v>
      </c>
      <c r="BN306" s="979" t="str">
        <f t="shared" si="478"/>
        <v>-</v>
      </c>
      <c r="BO306" s="1352" t="str">
        <f t="shared" si="478"/>
        <v>-</v>
      </c>
      <c r="BP306" s="1345" t="str">
        <f t="shared" si="478"/>
        <v>-</v>
      </c>
      <c r="BQ306" s="979" t="str">
        <f t="shared" si="478"/>
        <v>-</v>
      </c>
      <c r="BR306" s="979" t="str">
        <f t="shared" si="478"/>
        <v>-</v>
      </c>
      <c r="BS306" s="979" t="str">
        <f t="shared" si="478"/>
        <v>-</v>
      </c>
      <c r="BT306" s="980" t="str">
        <f t="shared" si="478"/>
        <v>-</v>
      </c>
      <c r="BU306" s="979" t="str">
        <f t="shared" si="478"/>
        <v>-</v>
      </c>
      <c r="BV306" s="979" t="str">
        <f>IF(AG306="","-",IFERROR((AG306/AF306-1)*(AF308/AF$13),"-"))</f>
        <v>-</v>
      </c>
      <c r="BW306" s="979" t="str">
        <f>IF(AH306="","-",IFERROR((AH306/AG306-1)*(AG308/AG$13),"-"))</f>
        <v>-</v>
      </c>
      <c r="BX306" s="979" t="str">
        <f>IF(AI306="","-",IFERROR((AI306/AH306-1)*(AH308/AH$13),"-"))</f>
        <v>-</v>
      </c>
      <c r="BY306" s="981" t="str">
        <f>IF(AJ306="","-",IFERROR((AJ306/AI306-1)*(AI308/AI$13),"-"))</f>
        <v>-</v>
      </c>
      <c r="BZ306" s="951"/>
      <c r="CA306" s="975" t="str">
        <f t="shared" si="386"/>
        <v>Price</v>
      </c>
      <c r="CB306" s="976" t="str">
        <f t="shared" si="387"/>
        <v>Water</v>
      </c>
      <c r="CC306" s="982" t="str">
        <f t="shared" si="388"/>
        <v>Variable</v>
      </c>
      <c r="CD306" s="983" t="str">
        <f t="shared" si="418"/>
        <v>-</v>
      </c>
      <c r="CE306" s="979" t="str">
        <f t="shared" si="411"/>
        <v>-</v>
      </c>
      <c r="CF306" s="979" t="str">
        <f t="shared" si="412"/>
        <v>-</v>
      </c>
      <c r="CG306" s="980" t="str">
        <f t="shared" si="413"/>
        <v>-</v>
      </c>
      <c r="CH306" s="979" t="str">
        <f t="shared" si="419"/>
        <v>-</v>
      </c>
      <c r="CI306" s="979" t="str">
        <f t="shared" si="414"/>
        <v>-</v>
      </c>
      <c r="CJ306" s="979" t="str">
        <f t="shared" si="415"/>
        <v>-</v>
      </c>
      <c r="CK306" s="981" t="str">
        <f t="shared" si="416"/>
        <v>-</v>
      </c>
    </row>
    <row r="307" spans="4:89">
      <c r="E307" s="567" t="s">
        <v>880</v>
      </c>
      <c r="F307" s="554" t="str">
        <f>+F306</f>
        <v>Water</v>
      </c>
      <c r="G307" s="555" t="str">
        <f>+G306</f>
        <v>WPW</v>
      </c>
      <c r="H307" s="555" t="str">
        <f>+H306</f>
        <v>Headworks</v>
      </c>
      <c r="I307" s="556" t="str">
        <f>+I306</f>
        <v>Variable</v>
      </c>
      <c r="J307" s="590" t="s">
        <v>887</v>
      </c>
      <c r="K307" s="557"/>
      <c r="L307" s="558"/>
      <c r="M307" s="558"/>
      <c r="N307" s="557"/>
      <c r="O307" s="558"/>
      <c r="P307" s="558"/>
      <c r="Q307" s="558"/>
      <c r="R307" s="1036"/>
      <c r="S307" s="1139"/>
      <c r="T307" s="593"/>
      <c r="U307" s="1036"/>
      <c r="V307" s="1139"/>
      <c r="W307" s="593"/>
      <c r="X307" s="593"/>
      <c r="Y307" s="593"/>
      <c r="Z307" s="1036"/>
      <c r="AA307" s="1139"/>
      <c r="AB307" s="593"/>
      <c r="AC307" s="593"/>
      <c r="AD307" s="593"/>
      <c r="AE307" s="1036"/>
      <c r="AF307" s="1139"/>
      <c r="AG307" s="593"/>
      <c r="AH307" s="593"/>
      <c r="AI307" s="593"/>
      <c r="AJ307" s="1036"/>
      <c r="AK307" s="569"/>
      <c r="AL307" s="569"/>
      <c r="AN307" s="857"/>
      <c r="AO307" s="961" t="str">
        <f t="shared" si="389"/>
        <v>Qty</v>
      </c>
      <c r="AP307" s="962" t="str">
        <f t="shared" si="390"/>
        <v>Water</v>
      </c>
      <c r="AQ307" s="963" t="str">
        <f t="shared" si="391"/>
        <v>Variable</v>
      </c>
      <c r="AR307" s="967" t="str">
        <f t="shared" si="392"/>
        <v>-</v>
      </c>
      <c r="AS307" s="964" t="str">
        <f t="shared" si="393"/>
        <v>-</v>
      </c>
      <c r="AT307" s="964" t="str">
        <f t="shared" si="394"/>
        <v>-</v>
      </c>
      <c r="AU307" s="964" t="str">
        <f t="shared" si="395"/>
        <v>-</v>
      </c>
      <c r="AV307" s="1350" t="str">
        <f t="shared" si="396"/>
        <v>-</v>
      </c>
      <c r="AW307" s="1343" t="str">
        <f t="shared" si="397"/>
        <v>-</v>
      </c>
      <c r="AX307" s="964" t="str">
        <f t="shared" si="398"/>
        <v>-</v>
      </c>
      <c r="AY307" s="964" t="str">
        <f t="shared" si="399"/>
        <v>-</v>
      </c>
      <c r="AZ307" s="964" t="str">
        <f t="shared" si="400"/>
        <v>-</v>
      </c>
      <c r="BA307" s="965" t="str">
        <f t="shared" si="401"/>
        <v>-</v>
      </c>
      <c r="BB307" s="1343" t="str">
        <f t="shared" si="402"/>
        <v>-</v>
      </c>
      <c r="BC307" s="964" t="str">
        <f t="shared" si="403"/>
        <v>-</v>
      </c>
      <c r="BD307" s="964" t="str">
        <f t="shared" si="404"/>
        <v>-</v>
      </c>
      <c r="BE307" s="964" t="str">
        <f t="shared" si="405"/>
        <v>-</v>
      </c>
      <c r="BF307" s="966" t="str">
        <f t="shared" si="406"/>
        <v>-</v>
      </c>
      <c r="BG307" s="951"/>
      <c r="BH307" s="1541" t="str">
        <f t="shared" si="407"/>
        <v>Qty</v>
      </c>
      <c r="BI307" s="1542" t="str">
        <f t="shared" si="408"/>
        <v>Water</v>
      </c>
      <c r="BJ307" s="1543" t="str">
        <f t="shared" si="409"/>
        <v>Variable</v>
      </c>
      <c r="BK307" s="964" t="str">
        <f t="shared" ref="BK307:BU307" si="479">IF(V307="","-",IFERROR((V307/U307-1)*(U308/U$13),"-"))</f>
        <v>-</v>
      </c>
      <c r="BL307" s="964" t="str">
        <f t="shared" si="479"/>
        <v>-</v>
      </c>
      <c r="BM307" s="964" t="str">
        <f t="shared" si="479"/>
        <v>-</v>
      </c>
      <c r="BN307" s="964" t="str">
        <f t="shared" si="479"/>
        <v>-</v>
      </c>
      <c r="BO307" s="1350" t="str">
        <f t="shared" si="479"/>
        <v>-</v>
      </c>
      <c r="BP307" s="1343" t="str">
        <f t="shared" si="479"/>
        <v>-</v>
      </c>
      <c r="BQ307" s="964" t="str">
        <f t="shared" si="479"/>
        <v>-</v>
      </c>
      <c r="BR307" s="964" t="str">
        <f t="shared" si="479"/>
        <v>-</v>
      </c>
      <c r="BS307" s="964" t="str">
        <f t="shared" si="479"/>
        <v>-</v>
      </c>
      <c r="BT307" s="965" t="str">
        <f t="shared" si="479"/>
        <v>-</v>
      </c>
      <c r="BU307" s="964" t="str">
        <f t="shared" si="479"/>
        <v>-</v>
      </c>
      <c r="BV307" s="964" t="str">
        <f>IF(AG307="","-",IFERROR((AG307/AF307-1)*(AF308/AF$13),"-"))</f>
        <v>-</v>
      </c>
      <c r="BW307" s="964" t="str">
        <f>IF(AH307="","-",IFERROR((AH307/AG307-1)*(AG308/AG$13),"-"))</f>
        <v>-</v>
      </c>
      <c r="BX307" s="964" t="str">
        <f>IF(AI307="","-",IFERROR((AI307/AH307-1)*(AH308/AH$13),"-"))</f>
        <v>-</v>
      </c>
      <c r="BY307" s="966" t="str">
        <f>IF(AJ307="","-",IFERROR((AJ307/AI307-1)*(AI308/AI$13),"-"))</f>
        <v>-</v>
      </c>
      <c r="BZ307" s="951"/>
      <c r="CA307" s="961" t="str">
        <f t="shared" si="386"/>
        <v>Qty</v>
      </c>
      <c r="CB307" s="962" t="str">
        <f t="shared" si="387"/>
        <v>Water</v>
      </c>
      <c r="CC307" s="962" t="str">
        <f t="shared" si="388"/>
        <v>Variable</v>
      </c>
      <c r="CD307" s="967" t="str">
        <f t="shared" si="418"/>
        <v>-</v>
      </c>
      <c r="CE307" s="964" t="str">
        <f t="shared" si="411"/>
        <v>-</v>
      </c>
      <c r="CF307" s="964" t="str">
        <f t="shared" si="412"/>
        <v>-</v>
      </c>
      <c r="CG307" s="965" t="str">
        <f t="shared" si="413"/>
        <v>-</v>
      </c>
      <c r="CH307" s="964" t="str">
        <f t="shared" si="419"/>
        <v>-</v>
      </c>
      <c r="CI307" s="964" t="str">
        <f t="shared" si="414"/>
        <v>-</v>
      </c>
      <c r="CJ307" s="964" t="str">
        <f t="shared" si="415"/>
        <v>-</v>
      </c>
      <c r="CK307" s="966" t="str">
        <f t="shared" si="416"/>
        <v>-</v>
      </c>
    </row>
    <row r="308" spans="4:89" ht="12.75" thickBot="1">
      <c r="E308" s="568" t="s">
        <v>882</v>
      </c>
      <c r="F308" s="560" t="str">
        <f>+F306</f>
        <v>Water</v>
      </c>
      <c r="G308" s="561" t="str">
        <f>+G306</f>
        <v>WPW</v>
      </c>
      <c r="H308" s="561" t="str">
        <f>+H306</f>
        <v>Headworks</v>
      </c>
      <c r="I308" s="562" t="str">
        <f>+I306</f>
        <v>Variable</v>
      </c>
      <c r="J308" s="563" t="s">
        <v>883</v>
      </c>
      <c r="K308" s="564">
        <f t="shared" ref="K308:AJ308" si="480">K306*K307/10^6</f>
        <v>0</v>
      </c>
      <c r="L308" s="565">
        <f t="shared" si="480"/>
        <v>0</v>
      </c>
      <c r="M308" s="565">
        <f t="shared" si="480"/>
        <v>0</v>
      </c>
      <c r="N308" s="564">
        <f t="shared" si="480"/>
        <v>0</v>
      </c>
      <c r="O308" s="565">
        <f t="shared" si="480"/>
        <v>0</v>
      </c>
      <c r="P308" s="565">
        <f t="shared" si="480"/>
        <v>0</v>
      </c>
      <c r="Q308" s="565">
        <f t="shared" si="480"/>
        <v>0</v>
      </c>
      <c r="R308" s="566">
        <f t="shared" si="480"/>
        <v>0</v>
      </c>
      <c r="S308" s="564">
        <f t="shared" si="480"/>
        <v>0</v>
      </c>
      <c r="T308" s="565">
        <f t="shared" si="480"/>
        <v>0</v>
      </c>
      <c r="U308" s="566">
        <f t="shared" si="480"/>
        <v>0</v>
      </c>
      <c r="V308" s="564">
        <f t="shared" si="480"/>
        <v>0</v>
      </c>
      <c r="W308" s="565">
        <f t="shared" si="480"/>
        <v>0</v>
      </c>
      <c r="X308" s="565">
        <f t="shared" si="480"/>
        <v>0</v>
      </c>
      <c r="Y308" s="565">
        <f t="shared" si="480"/>
        <v>0</v>
      </c>
      <c r="Z308" s="566">
        <f t="shared" si="480"/>
        <v>0</v>
      </c>
      <c r="AA308" s="564">
        <f t="shared" si="480"/>
        <v>0</v>
      </c>
      <c r="AB308" s="565">
        <f t="shared" si="480"/>
        <v>0</v>
      </c>
      <c r="AC308" s="565">
        <f t="shared" si="480"/>
        <v>0</v>
      </c>
      <c r="AD308" s="565">
        <f t="shared" si="480"/>
        <v>0</v>
      </c>
      <c r="AE308" s="566">
        <f t="shared" si="480"/>
        <v>0</v>
      </c>
      <c r="AF308" s="564">
        <f t="shared" si="480"/>
        <v>0</v>
      </c>
      <c r="AG308" s="565">
        <f t="shared" si="480"/>
        <v>0</v>
      </c>
      <c r="AH308" s="565">
        <f t="shared" si="480"/>
        <v>0</v>
      </c>
      <c r="AI308" s="565">
        <f t="shared" si="480"/>
        <v>0</v>
      </c>
      <c r="AJ308" s="566">
        <f t="shared" si="480"/>
        <v>0</v>
      </c>
      <c r="AK308" s="569"/>
      <c r="AL308" s="569"/>
      <c r="AN308" s="857"/>
      <c r="AO308" s="984" t="str">
        <f t="shared" si="389"/>
        <v>Rev</v>
      </c>
      <c r="AP308" s="985" t="str">
        <f t="shared" si="390"/>
        <v>Water</v>
      </c>
      <c r="AQ308" s="986" t="str">
        <f t="shared" si="391"/>
        <v>Variable</v>
      </c>
      <c r="AR308" s="990" t="str">
        <f t="shared" si="392"/>
        <v>-</v>
      </c>
      <c r="AS308" s="987" t="str">
        <f t="shared" si="393"/>
        <v>-</v>
      </c>
      <c r="AT308" s="987" t="str">
        <f t="shared" si="394"/>
        <v>-</v>
      </c>
      <c r="AU308" s="987" t="str">
        <f t="shared" si="395"/>
        <v>-</v>
      </c>
      <c r="AV308" s="1353" t="str">
        <f t="shared" si="396"/>
        <v>-</v>
      </c>
      <c r="AW308" s="1346" t="str">
        <f t="shared" si="397"/>
        <v>-</v>
      </c>
      <c r="AX308" s="987" t="str">
        <f t="shared" si="398"/>
        <v>-</v>
      </c>
      <c r="AY308" s="987" t="str">
        <f t="shared" si="399"/>
        <v>-</v>
      </c>
      <c r="AZ308" s="987" t="str">
        <f t="shared" si="400"/>
        <v>-</v>
      </c>
      <c r="BA308" s="988" t="str">
        <f t="shared" si="401"/>
        <v>-</v>
      </c>
      <c r="BB308" s="1346" t="str">
        <f t="shared" si="402"/>
        <v>-</v>
      </c>
      <c r="BC308" s="987" t="str">
        <f t="shared" si="403"/>
        <v>-</v>
      </c>
      <c r="BD308" s="987" t="str">
        <f t="shared" si="404"/>
        <v>-</v>
      </c>
      <c r="BE308" s="987" t="str">
        <f t="shared" si="405"/>
        <v>-</v>
      </c>
      <c r="BF308" s="989" t="str">
        <f t="shared" si="406"/>
        <v>-</v>
      </c>
      <c r="BG308" s="951"/>
      <c r="BH308" s="1550" t="str">
        <f t="shared" si="407"/>
        <v>Rev</v>
      </c>
      <c r="BI308" s="1551" t="str">
        <f t="shared" si="408"/>
        <v>Water</v>
      </c>
      <c r="BJ308" s="1552" t="str">
        <f t="shared" si="409"/>
        <v>Variable</v>
      </c>
      <c r="BK308" s="987" t="str">
        <f t="shared" ref="BK308:BU308" si="481">IF(V308="","-",IFERROR((V308/U308-1)*(U308/U$13),"-"))</f>
        <v>-</v>
      </c>
      <c r="BL308" s="987" t="str">
        <f t="shared" si="481"/>
        <v>-</v>
      </c>
      <c r="BM308" s="987" t="str">
        <f t="shared" si="481"/>
        <v>-</v>
      </c>
      <c r="BN308" s="987" t="str">
        <f t="shared" si="481"/>
        <v>-</v>
      </c>
      <c r="BO308" s="1353" t="str">
        <f t="shared" si="481"/>
        <v>-</v>
      </c>
      <c r="BP308" s="1346" t="str">
        <f t="shared" si="481"/>
        <v>-</v>
      </c>
      <c r="BQ308" s="987" t="str">
        <f t="shared" si="481"/>
        <v>-</v>
      </c>
      <c r="BR308" s="987" t="str">
        <f t="shared" si="481"/>
        <v>-</v>
      </c>
      <c r="BS308" s="987" t="str">
        <f t="shared" si="481"/>
        <v>-</v>
      </c>
      <c r="BT308" s="988" t="str">
        <f t="shared" si="481"/>
        <v>-</v>
      </c>
      <c r="BU308" s="987" t="str">
        <f t="shared" si="481"/>
        <v>-</v>
      </c>
      <c r="BV308" s="987" t="str">
        <f>IF(AG308="","-",IFERROR((AG308/AF308-1)*(AF308/AF$13),"-"))</f>
        <v>-</v>
      </c>
      <c r="BW308" s="987" t="str">
        <f>IF(AH308="","-",IFERROR((AH308/AG308-1)*(AG308/AG$13),"-"))</f>
        <v>-</v>
      </c>
      <c r="BX308" s="987" t="str">
        <f>IF(AI308="","-",IFERROR((AI308/AH308-1)*(AH308/AH$13),"-"))</f>
        <v>-</v>
      </c>
      <c r="BY308" s="989" t="str">
        <f>IF(AJ308="","-",IFERROR((AJ308/AI308-1)*(AI308/AI$13),"-"))</f>
        <v>-</v>
      </c>
      <c r="BZ308" s="951"/>
      <c r="CA308" s="984" t="str">
        <f t="shared" si="386"/>
        <v>Rev</v>
      </c>
      <c r="CB308" s="985" t="str">
        <f t="shared" si="387"/>
        <v>Water</v>
      </c>
      <c r="CC308" s="985" t="str">
        <f t="shared" si="388"/>
        <v>Variable</v>
      </c>
      <c r="CD308" s="990" t="str">
        <f t="shared" si="418"/>
        <v>-</v>
      </c>
      <c r="CE308" s="987" t="str">
        <f t="shared" si="411"/>
        <v>-</v>
      </c>
      <c r="CF308" s="987" t="str">
        <f t="shared" si="412"/>
        <v>-</v>
      </c>
      <c r="CG308" s="988" t="str">
        <f t="shared" si="413"/>
        <v>-</v>
      </c>
      <c r="CH308" s="987" t="str">
        <f t="shared" si="419"/>
        <v>-</v>
      </c>
      <c r="CI308" s="987" t="str">
        <f t="shared" si="414"/>
        <v>-</v>
      </c>
      <c r="CJ308" s="987" t="str">
        <f t="shared" si="415"/>
        <v>-</v>
      </c>
      <c r="CK308" s="989" t="str">
        <f t="shared" si="416"/>
        <v>-</v>
      </c>
    </row>
    <row r="309" spans="4:89">
      <c r="D309" s="63">
        <f>D306+1</f>
        <v>81</v>
      </c>
      <c r="E309" s="550" t="s">
        <v>857</v>
      </c>
      <c r="F309" s="595" t="s">
        <v>401</v>
      </c>
      <c r="G309" s="595" t="s">
        <v>61</v>
      </c>
      <c r="H309" s="595" t="s">
        <v>886</v>
      </c>
      <c r="I309" s="589" t="s">
        <v>842</v>
      </c>
      <c r="J309" s="589" t="s">
        <v>879</v>
      </c>
      <c r="K309" s="551"/>
      <c r="L309" s="552"/>
      <c r="M309" s="552"/>
      <c r="N309" s="551"/>
      <c r="O309" s="552"/>
      <c r="P309" s="552"/>
      <c r="Q309" s="552"/>
      <c r="R309" s="1035"/>
      <c r="S309" s="1138"/>
      <c r="T309" s="591"/>
      <c r="U309" s="1035"/>
      <c r="V309" s="1138"/>
      <c r="W309" s="591"/>
      <c r="X309" s="591"/>
      <c r="Y309" s="591"/>
      <c r="Z309" s="1035"/>
      <c r="AA309" s="1138"/>
      <c r="AB309" s="591"/>
      <c r="AC309" s="591"/>
      <c r="AD309" s="591"/>
      <c r="AE309" s="1035"/>
      <c r="AF309" s="1138"/>
      <c r="AG309" s="591"/>
      <c r="AH309" s="591"/>
      <c r="AI309" s="591"/>
      <c r="AJ309" s="1035"/>
      <c r="AK309" s="569"/>
      <c r="AL309" s="569"/>
      <c r="AM309" s="974"/>
      <c r="AN309" s="857"/>
      <c r="AO309" s="975" t="str">
        <f t="shared" si="389"/>
        <v>Price</v>
      </c>
      <c r="AP309" s="976" t="str">
        <f t="shared" si="390"/>
        <v>Water</v>
      </c>
      <c r="AQ309" s="977" t="str">
        <f t="shared" si="391"/>
        <v>Fixed</v>
      </c>
      <c r="AR309" s="1341" t="str">
        <f t="shared" si="392"/>
        <v>-</v>
      </c>
      <c r="AS309" s="978" t="str">
        <f t="shared" si="393"/>
        <v>-</v>
      </c>
      <c r="AT309" s="979" t="str">
        <f t="shared" si="394"/>
        <v>-</v>
      </c>
      <c r="AU309" s="979" t="str">
        <f t="shared" si="395"/>
        <v>-</v>
      </c>
      <c r="AV309" s="1352" t="str">
        <f t="shared" si="396"/>
        <v>-</v>
      </c>
      <c r="AW309" s="1345" t="str">
        <f t="shared" si="397"/>
        <v>-</v>
      </c>
      <c r="AX309" s="979" t="str">
        <f t="shared" si="398"/>
        <v>-</v>
      </c>
      <c r="AY309" s="979" t="str">
        <f t="shared" si="399"/>
        <v>-</v>
      </c>
      <c r="AZ309" s="979" t="str">
        <f t="shared" si="400"/>
        <v>-</v>
      </c>
      <c r="BA309" s="980" t="str">
        <f t="shared" si="401"/>
        <v>-</v>
      </c>
      <c r="BB309" s="1345" t="str">
        <f t="shared" si="402"/>
        <v>-</v>
      </c>
      <c r="BC309" s="979" t="str">
        <f t="shared" si="403"/>
        <v>-</v>
      </c>
      <c r="BD309" s="979" t="str">
        <f t="shared" si="404"/>
        <v>-</v>
      </c>
      <c r="BE309" s="979" t="str">
        <f t="shared" si="405"/>
        <v>-</v>
      </c>
      <c r="BF309" s="981" t="str">
        <f t="shared" si="406"/>
        <v>-</v>
      </c>
      <c r="BG309" s="951"/>
      <c r="BH309" s="1547" t="str">
        <f t="shared" si="407"/>
        <v>Price</v>
      </c>
      <c r="BI309" s="1548" t="str">
        <f t="shared" si="408"/>
        <v>Water</v>
      </c>
      <c r="BJ309" s="1549" t="str">
        <f t="shared" si="409"/>
        <v>Fixed</v>
      </c>
      <c r="BK309" s="978" t="str">
        <f t="shared" ref="BK309:BU309" si="482">IF(V309="","-",IFERROR((V309/U309-1)*(U311/U$13),"-"))</f>
        <v>-</v>
      </c>
      <c r="BL309" s="978" t="str">
        <f t="shared" si="482"/>
        <v>-</v>
      </c>
      <c r="BM309" s="979" t="str">
        <f t="shared" si="482"/>
        <v>-</v>
      </c>
      <c r="BN309" s="979" t="str">
        <f t="shared" si="482"/>
        <v>-</v>
      </c>
      <c r="BO309" s="1352" t="str">
        <f t="shared" si="482"/>
        <v>-</v>
      </c>
      <c r="BP309" s="1345" t="str">
        <f t="shared" si="482"/>
        <v>-</v>
      </c>
      <c r="BQ309" s="979" t="str">
        <f t="shared" si="482"/>
        <v>-</v>
      </c>
      <c r="BR309" s="979" t="str">
        <f t="shared" si="482"/>
        <v>-</v>
      </c>
      <c r="BS309" s="979" t="str">
        <f t="shared" si="482"/>
        <v>-</v>
      </c>
      <c r="BT309" s="980" t="str">
        <f t="shared" si="482"/>
        <v>-</v>
      </c>
      <c r="BU309" s="979" t="str">
        <f t="shared" si="482"/>
        <v>-</v>
      </c>
      <c r="BV309" s="979" t="str">
        <f>IF(AG309="","-",IFERROR((AG309/AF309-1)*(AF311/AF$13),"-"))</f>
        <v>-</v>
      </c>
      <c r="BW309" s="979" t="str">
        <f>IF(AH309="","-",IFERROR((AH309/AG309-1)*(AG311/AG$13),"-"))</f>
        <v>-</v>
      </c>
      <c r="BX309" s="979" t="str">
        <f>IF(AI309="","-",IFERROR((AI309/AH309-1)*(AH311/AH$13),"-"))</f>
        <v>-</v>
      </c>
      <c r="BY309" s="981" t="str">
        <f>IF(AJ309="","-",IFERROR((AJ309/AI309-1)*(AI311/AI$13),"-"))</f>
        <v>-</v>
      </c>
      <c r="BZ309" s="951"/>
      <c r="CA309" s="975" t="str">
        <f t="shared" si="386"/>
        <v>Price</v>
      </c>
      <c r="CB309" s="976" t="str">
        <f t="shared" si="387"/>
        <v>Water</v>
      </c>
      <c r="CC309" s="982" t="str">
        <f t="shared" si="388"/>
        <v>Fixed</v>
      </c>
      <c r="CD309" s="983" t="str">
        <f t="shared" si="418"/>
        <v>-</v>
      </c>
      <c r="CE309" s="979" t="str">
        <f t="shared" si="411"/>
        <v>-</v>
      </c>
      <c r="CF309" s="979" t="str">
        <f t="shared" si="412"/>
        <v>-</v>
      </c>
      <c r="CG309" s="980" t="str">
        <f t="shared" si="413"/>
        <v>-</v>
      </c>
      <c r="CH309" s="979" t="str">
        <f t="shared" si="419"/>
        <v>-</v>
      </c>
      <c r="CI309" s="979" t="str">
        <f t="shared" si="414"/>
        <v>-</v>
      </c>
      <c r="CJ309" s="979" t="str">
        <f t="shared" si="415"/>
        <v>-</v>
      </c>
      <c r="CK309" s="981" t="str">
        <f t="shared" si="416"/>
        <v>-</v>
      </c>
    </row>
    <row r="310" spans="4:89">
      <c r="E310" s="567" t="s">
        <v>880</v>
      </c>
      <c r="F310" s="554" t="str">
        <f>+F309</f>
        <v>Water</v>
      </c>
      <c r="G310" s="555" t="str">
        <f>+G309</f>
        <v>BW</v>
      </c>
      <c r="H310" s="555" t="str">
        <f>+H309</f>
        <v>Transfer</v>
      </c>
      <c r="I310" s="556" t="str">
        <f>+I309</f>
        <v>Fixed</v>
      </c>
      <c r="J310" s="590" t="s">
        <v>890</v>
      </c>
      <c r="K310" s="557"/>
      <c r="L310" s="558"/>
      <c r="M310" s="558"/>
      <c r="N310" s="557"/>
      <c r="O310" s="558"/>
      <c r="P310" s="558"/>
      <c r="Q310" s="558"/>
      <c r="R310" s="1036"/>
      <c r="S310" s="1139"/>
      <c r="T310" s="593"/>
      <c r="U310" s="1036"/>
      <c r="V310" s="1139"/>
      <c r="W310" s="593"/>
      <c r="X310" s="593"/>
      <c r="Y310" s="593"/>
      <c r="Z310" s="1036"/>
      <c r="AA310" s="1139"/>
      <c r="AB310" s="593"/>
      <c r="AC310" s="593"/>
      <c r="AD310" s="593"/>
      <c r="AE310" s="1036"/>
      <c r="AF310" s="1139"/>
      <c r="AG310" s="593"/>
      <c r="AH310" s="593"/>
      <c r="AI310" s="593"/>
      <c r="AJ310" s="1036"/>
      <c r="AK310" s="569"/>
      <c r="AL310" s="569"/>
      <c r="AN310" s="857"/>
      <c r="AO310" s="961" t="str">
        <f t="shared" si="389"/>
        <v>Qty</v>
      </c>
      <c r="AP310" s="962" t="str">
        <f t="shared" si="390"/>
        <v>Water</v>
      </c>
      <c r="AQ310" s="963" t="str">
        <f t="shared" si="391"/>
        <v>Fixed</v>
      </c>
      <c r="AR310" s="967" t="str">
        <f t="shared" si="392"/>
        <v>-</v>
      </c>
      <c r="AS310" s="964" t="str">
        <f t="shared" si="393"/>
        <v>-</v>
      </c>
      <c r="AT310" s="964" t="str">
        <f t="shared" si="394"/>
        <v>-</v>
      </c>
      <c r="AU310" s="964" t="str">
        <f t="shared" si="395"/>
        <v>-</v>
      </c>
      <c r="AV310" s="1350" t="str">
        <f t="shared" si="396"/>
        <v>-</v>
      </c>
      <c r="AW310" s="1343" t="str">
        <f t="shared" si="397"/>
        <v>-</v>
      </c>
      <c r="AX310" s="964" t="str">
        <f t="shared" si="398"/>
        <v>-</v>
      </c>
      <c r="AY310" s="964" t="str">
        <f t="shared" si="399"/>
        <v>-</v>
      </c>
      <c r="AZ310" s="964" t="str">
        <f t="shared" si="400"/>
        <v>-</v>
      </c>
      <c r="BA310" s="965" t="str">
        <f t="shared" si="401"/>
        <v>-</v>
      </c>
      <c r="BB310" s="1343" t="str">
        <f t="shared" si="402"/>
        <v>-</v>
      </c>
      <c r="BC310" s="964" t="str">
        <f t="shared" si="403"/>
        <v>-</v>
      </c>
      <c r="BD310" s="964" t="str">
        <f t="shared" si="404"/>
        <v>-</v>
      </c>
      <c r="BE310" s="964" t="str">
        <f t="shared" si="405"/>
        <v>-</v>
      </c>
      <c r="BF310" s="966" t="str">
        <f t="shared" si="406"/>
        <v>-</v>
      </c>
      <c r="BG310" s="951"/>
      <c r="BH310" s="1541" t="str">
        <f t="shared" si="407"/>
        <v>Qty</v>
      </c>
      <c r="BI310" s="1542" t="str">
        <f t="shared" si="408"/>
        <v>Water</v>
      </c>
      <c r="BJ310" s="1543" t="str">
        <f t="shared" si="409"/>
        <v>Fixed</v>
      </c>
      <c r="BK310" s="964" t="str">
        <f t="shared" ref="BK310:BU310" si="483">IF(V310="","-",IFERROR((V310/U310-1)*(U311/U$13),"-"))</f>
        <v>-</v>
      </c>
      <c r="BL310" s="964" t="str">
        <f t="shared" si="483"/>
        <v>-</v>
      </c>
      <c r="BM310" s="964" t="str">
        <f t="shared" si="483"/>
        <v>-</v>
      </c>
      <c r="BN310" s="964" t="str">
        <f t="shared" si="483"/>
        <v>-</v>
      </c>
      <c r="BO310" s="1350" t="str">
        <f t="shared" si="483"/>
        <v>-</v>
      </c>
      <c r="BP310" s="1343" t="str">
        <f t="shared" si="483"/>
        <v>-</v>
      </c>
      <c r="BQ310" s="964" t="str">
        <f t="shared" si="483"/>
        <v>-</v>
      </c>
      <c r="BR310" s="964" t="str">
        <f t="shared" si="483"/>
        <v>-</v>
      </c>
      <c r="BS310" s="964" t="str">
        <f t="shared" si="483"/>
        <v>-</v>
      </c>
      <c r="BT310" s="965" t="str">
        <f t="shared" si="483"/>
        <v>-</v>
      </c>
      <c r="BU310" s="964" t="str">
        <f t="shared" si="483"/>
        <v>-</v>
      </c>
      <c r="BV310" s="964" t="str">
        <f>IF(AG310="","-",IFERROR((AG310/AF310-1)*(AF311/AF$13),"-"))</f>
        <v>-</v>
      </c>
      <c r="BW310" s="964" t="str">
        <f>IF(AH310="","-",IFERROR((AH310/AG310-1)*(AG311/AG$13),"-"))</f>
        <v>-</v>
      </c>
      <c r="BX310" s="964" t="str">
        <f>IF(AI310="","-",IFERROR((AI310/AH310-1)*(AH311/AH$13),"-"))</f>
        <v>-</v>
      </c>
      <c r="BY310" s="966" t="str">
        <f>IF(AJ310="","-",IFERROR((AJ310/AI310-1)*(AI311/AI$13),"-"))</f>
        <v>-</v>
      </c>
      <c r="BZ310" s="951"/>
      <c r="CA310" s="961" t="str">
        <f t="shared" si="386"/>
        <v>Qty</v>
      </c>
      <c r="CB310" s="962" t="str">
        <f t="shared" si="387"/>
        <v>Water</v>
      </c>
      <c r="CC310" s="962" t="str">
        <f t="shared" si="388"/>
        <v>Fixed</v>
      </c>
      <c r="CD310" s="967" t="str">
        <f t="shared" si="418"/>
        <v>-</v>
      </c>
      <c r="CE310" s="964" t="str">
        <f t="shared" si="411"/>
        <v>-</v>
      </c>
      <c r="CF310" s="964" t="str">
        <f t="shared" si="412"/>
        <v>-</v>
      </c>
      <c r="CG310" s="965" t="str">
        <f t="shared" si="413"/>
        <v>-</v>
      </c>
      <c r="CH310" s="964" t="str">
        <f t="shared" si="419"/>
        <v>-</v>
      </c>
      <c r="CI310" s="964" t="str">
        <f t="shared" si="414"/>
        <v>-</v>
      </c>
      <c r="CJ310" s="964" t="str">
        <f t="shared" si="415"/>
        <v>-</v>
      </c>
      <c r="CK310" s="966" t="str">
        <f t="shared" si="416"/>
        <v>-</v>
      </c>
    </row>
    <row r="311" spans="4:89" ht="12.75" thickBot="1">
      <c r="E311" s="568" t="s">
        <v>882</v>
      </c>
      <c r="F311" s="560" t="str">
        <f>+F309</f>
        <v>Water</v>
      </c>
      <c r="G311" s="561" t="str">
        <f>+G309</f>
        <v>BW</v>
      </c>
      <c r="H311" s="561" t="str">
        <f>+H309</f>
        <v>Transfer</v>
      </c>
      <c r="I311" s="562" t="str">
        <f>+I309</f>
        <v>Fixed</v>
      </c>
      <c r="J311" s="563" t="s">
        <v>883</v>
      </c>
      <c r="K311" s="564">
        <f t="shared" ref="K311:AJ311" si="484">K309*K310/10^6</f>
        <v>0</v>
      </c>
      <c r="L311" s="565">
        <f t="shared" si="484"/>
        <v>0</v>
      </c>
      <c r="M311" s="565">
        <f t="shared" si="484"/>
        <v>0</v>
      </c>
      <c r="N311" s="564">
        <f t="shared" si="484"/>
        <v>0</v>
      </c>
      <c r="O311" s="565">
        <f t="shared" si="484"/>
        <v>0</v>
      </c>
      <c r="P311" s="565">
        <f t="shared" si="484"/>
        <v>0</v>
      </c>
      <c r="Q311" s="565">
        <f t="shared" si="484"/>
        <v>0</v>
      </c>
      <c r="R311" s="566">
        <f t="shared" si="484"/>
        <v>0</v>
      </c>
      <c r="S311" s="564">
        <f t="shared" si="484"/>
        <v>0</v>
      </c>
      <c r="T311" s="565">
        <f t="shared" si="484"/>
        <v>0</v>
      </c>
      <c r="U311" s="566">
        <f t="shared" si="484"/>
        <v>0</v>
      </c>
      <c r="V311" s="564">
        <f t="shared" si="484"/>
        <v>0</v>
      </c>
      <c r="W311" s="565">
        <f t="shared" si="484"/>
        <v>0</v>
      </c>
      <c r="X311" s="565">
        <f t="shared" si="484"/>
        <v>0</v>
      </c>
      <c r="Y311" s="565">
        <f t="shared" si="484"/>
        <v>0</v>
      </c>
      <c r="Z311" s="566">
        <f t="shared" si="484"/>
        <v>0</v>
      </c>
      <c r="AA311" s="564">
        <f t="shared" si="484"/>
        <v>0</v>
      </c>
      <c r="AB311" s="565">
        <f t="shared" si="484"/>
        <v>0</v>
      </c>
      <c r="AC311" s="565">
        <f t="shared" si="484"/>
        <v>0</v>
      </c>
      <c r="AD311" s="565">
        <f t="shared" si="484"/>
        <v>0</v>
      </c>
      <c r="AE311" s="566">
        <f t="shared" si="484"/>
        <v>0</v>
      </c>
      <c r="AF311" s="564">
        <f t="shared" si="484"/>
        <v>0</v>
      </c>
      <c r="AG311" s="565">
        <f t="shared" si="484"/>
        <v>0</v>
      </c>
      <c r="AH311" s="565">
        <f t="shared" si="484"/>
        <v>0</v>
      </c>
      <c r="AI311" s="565">
        <f t="shared" si="484"/>
        <v>0</v>
      </c>
      <c r="AJ311" s="566">
        <f t="shared" si="484"/>
        <v>0</v>
      </c>
      <c r="AK311" s="569"/>
      <c r="AL311" s="569"/>
      <c r="AN311" s="857"/>
      <c r="AO311" s="984" t="str">
        <f t="shared" si="389"/>
        <v>Rev</v>
      </c>
      <c r="AP311" s="985" t="str">
        <f t="shared" si="390"/>
        <v>Water</v>
      </c>
      <c r="AQ311" s="986" t="str">
        <f t="shared" si="391"/>
        <v>Fixed</v>
      </c>
      <c r="AR311" s="990" t="str">
        <f t="shared" si="392"/>
        <v>-</v>
      </c>
      <c r="AS311" s="987" t="str">
        <f t="shared" si="393"/>
        <v>-</v>
      </c>
      <c r="AT311" s="987" t="str">
        <f t="shared" si="394"/>
        <v>-</v>
      </c>
      <c r="AU311" s="987" t="str">
        <f t="shared" si="395"/>
        <v>-</v>
      </c>
      <c r="AV311" s="1353" t="str">
        <f t="shared" si="396"/>
        <v>-</v>
      </c>
      <c r="AW311" s="1346" t="str">
        <f t="shared" si="397"/>
        <v>-</v>
      </c>
      <c r="AX311" s="987" t="str">
        <f t="shared" si="398"/>
        <v>-</v>
      </c>
      <c r="AY311" s="987" t="str">
        <f t="shared" si="399"/>
        <v>-</v>
      </c>
      <c r="AZ311" s="987" t="str">
        <f t="shared" si="400"/>
        <v>-</v>
      </c>
      <c r="BA311" s="988" t="str">
        <f t="shared" si="401"/>
        <v>-</v>
      </c>
      <c r="BB311" s="1346" t="str">
        <f t="shared" si="402"/>
        <v>-</v>
      </c>
      <c r="BC311" s="987" t="str">
        <f t="shared" si="403"/>
        <v>-</v>
      </c>
      <c r="BD311" s="987" t="str">
        <f t="shared" si="404"/>
        <v>-</v>
      </c>
      <c r="BE311" s="987" t="str">
        <f t="shared" si="405"/>
        <v>-</v>
      </c>
      <c r="BF311" s="989" t="str">
        <f t="shared" si="406"/>
        <v>-</v>
      </c>
      <c r="BG311" s="951"/>
      <c r="BH311" s="1550" t="str">
        <f t="shared" si="407"/>
        <v>Rev</v>
      </c>
      <c r="BI311" s="1551" t="str">
        <f t="shared" si="408"/>
        <v>Water</v>
      </c>
      <c r="BJ311" s="1552" t="str">
        <f t="shared" si="409"/>
        <v>Fixed</v>
      </c>
      <c r="BK311" s="987" t="str">
        <f t="shared" ref="BK311:BU311" si="485">IF(V311="","-",IFERROR((V311/U311-1)*(U311/U$13),"-"))</f>
        <v>-</v>
      </c>
      <c r="BL311" s="987" t="str">
        <f t="shared" si="485"/>
        <v>-</v>
      </c>
      <c r="BM311" s="987" t="str">
        <f t="shared" si="485"/>
        <v>-</v>
      </c>
      <c r="BN311" s="987" t="str">
        <f t="shared" si="485"/>
        <v>-</v>
      </c>
      <c r="BO311" s="1353" t="str">
        <f t="shared" si="485"/>
        <v>-</v>
      </c>
      <c r="BP311" s="1346" t="str">
        <f t="shared" si="485"/>
        <v>-</v>
      </c>
      <c r="BQ311" s="987" t="str">
        <f t="shared" si="485"/>
        <v>-</v>
      </c>
      <c r="BR311" s="987" t="str">
        <f t="shared" si="485"/>
        <v>-</v>
      </c>
      <c r="BS311" s="987" t="str">
        <f t="shared" si="485"/>
        <v>-</v>
      </c>
      <c r="BT311" s="988" t="str">
        <f t="shared" si="485"/>
        <v>-</v>
      </c>
      <c r="BU311" s="987" t="str">
        <f t="shared" si="485"/>
        <v>-</v>
      </c>
      <c r="BV311" s="987" t="str">
        <f>IF(AG311="","-",IFERROR((AG311/AF311-1)*(AF311/AF$13),"-"))</f>
        <v>-</v>
      </c>
      <c r="BW311" s="987" t="str">
        <f>IF(AH311="","-",IFERROR((AH311/AG311-1)*(AG311/AG$13),"-"))</f>
        <v>-</v>
      </c>
      <c r="BX311" s="987" t="str">
        <f>IF(AI311="","-",IFERROR((AI311/AH311-1)*(AH311/AH$13),"-"))</f>
        <v>-</v>
      </c>
      <c r="BY311" s="989" t="str">
        <f>IF(AJ311="","-",IFERROR((AJ311/AI311-1)*(AI311/AI$13),"-"))</f>
        <v>-</v>
      </c>
      <c r="BZ311" s="951"/>
      <c r="CA311" s="984" t="str">
        <f t="shared" si="386"/>
        <v>Rev</v>
      </c>
      <c r="CB311" s="985" t="str">
        <f t="shared" si="387"/>
        <v>Water</v>
      </c>
      <c r="CC311" s="985" t="str">
        <f t="shared" si="388"/>
        <v>Fixed</v>
      </c>
      <c r="CD311" s="990" t="str">
        <f t="shared" si="418"/>
        <v>-</v>
      </c>
      <c r="CE311" s="987" t="str">
        <f t="shared" si="411"/>
        <v>-</v>
      </c>
      <c r="CF311" s="987" t="str">
        <f t="shared" si="412"/>
        <v>-</v>
      </c>
      <c r="CG311" s="988" t="str">
        <f t="shared" si="413"/>
        <v>-</v>
      </c>
      <c r="CH311" s="987" t="str">
        <f t="shared" si="419"/>
        <v>-</v>
      </c>
      <c r="CI311" s="987" t="str">
        <f t="shared" si="414"/>
        <v>-</v>
      </c>
      <c r="CJ311" s="987" t="str">
        <f t="shared" si="415"/>
        <v>-</v>
      </c>
      <c r="CK311" s="989" t="str">
        <f t="shared" si="416"/>
        <v>-</v>
      </c>
    </row>
    <row r="312" spans="4:89">
      <c r="D312" s="63">
        <f>D309+1</f>
        <v>82</v>
      </c>
      <c r="E312" s="550" t="s">
        <v>857</v>
      </c>
      <c r="F312" s="595" t="s">
        <v>402</v>
      </c>
      <c r="G312" s="595" t="s">
        <v>92</v>
      </c>
      <c r="H312" s="595" t="s">
        <v>917</v>
      </c>
      <c r="I312" s="589" t="s">
        <v>843</v>
      </c>
      <c r="J312" s="589" t="s">
        <v>879</v>
      </c>
      <c r="K312" s="551"/>
      <c r="L312" s="552"/>
      <c r="M312" s="552"/>
      <c r="N312" s="551"/>
      <c r="O312" s="552"/>
      <c r="P312" s="552"/>
      <c r="Q312" s="552"/>
      <c r="R312" s="1035"/>
      <c r="S312" s="1138"/>
      <c r="T312" s="591"/>
      <c r="U312" s="1035"/>
      <c r="V312" s="1138"/>
      <c r="W312" s="591"/>
      <c r="X312" s="591"/>
      <c r="Y312" s="591"/>
      <c r="Z312" s="1035"/>
      <c r="AA312" s="1138"/>
      <c r="AB312" s="591"/>
      <c r="AC312" s="591"/>
      <c r="AD312" s="591"/>
      <c r="AE312" s="1035"/>
      <c r="AF312" s="1138"/>
      <c r="AG312" s="591"/>
      <c r="AH312" s="591"/>
      <c r="AI312" s="591"/>
      <c r="AJ312" s="1035"/>
      <c r="AK312" s="569"/>
      <c r="AL312" s="569"/>
      <c r="AM312" s="974"/>
      <c r="AN312" s="857"/>
      <c r="AO312" s="975" t="str">
        <f t="shared" si="389"/>
        <v>Price</v>
      </c>
      <c r="AP312" s="976" t="str">
        <f t="shared" si="390"/>
        <v>Sewerage</v>
      </c>
      <c r="AQ312" s="977" t="str">
        <f t="shared" si="391"/>
        <v>Variable</v>
      </c>
      <c r="AR312" s="1341" t="str">
        <f t="shared" si="392"/>
        <v>-</v>
      </c>
      <c r="AS312" s="978" t="str">
        <f t="shared" si="393"/>
        <v>-</v>
      </c>
      <c r="AT312" s="979" t="str">
        <f t="shared" si="394"/>
        <v>-</v>
      </c>
      <c r="AU312" s="979" t="str">
        <f t="shared" si="395"/>
        <v>-</v>
      </c>
      <c r="AV312" s="1352" t="str">
        <f t="shared" si="396"/>
        <v>-</v>
      </c>
      <c r="AW312" s="1345" t="str">
        <f t="shared" si="397"/>
        <v>-</v>
      </c>
      <c r="AX312" s="979" t="str">
        <f t="shared" si="398"/>
        <v>-</v>
      </c>
      <c r="AY312" s="979" t="str">
        <f t="shared" si="399"/>
        <v>-</v>
      </c>
      <c r="AZ312" s="979" t="str">
        <f t="shared" si="400"/>
        <v>-</v>
      </c>
      <c r="BA312" s="980" t="str">
        <f t="shared" si="401"/>
        <v>-</v>
      </c>
      <c r="BB312" s="1345" t="str">
        <f t="shared" si="402"/>
        <v>-</v>
      </c>
      <c r="BC312" s="979" t="str">
        <f t="shared" si="403"/>
        <v>-</v>
      </c>
      <c r="BD312" s="979" t="str">
        <f t="shared" si="404"/>
        <v>-</v>
      </c>
      <c r="BE312" s="979" t="str">
        <f t="shared" si="405"/>
        <v>-</v>
      </c>
      <c r="BF312" s="981" t="str">
        <f t="shared" si="406"/>
        <v>-</v>
      </c>
      <c r="BG312" s="951"/>
      <c r="BH312" s="1547" t="str">
        <f t="shared" si="407"/>
        <v>Price</v>
      </c>
      <c r="BI312" s="1548" t="str">
        <f t="shared" si="408"/>
        <v>Sewerage</v>
      </c>
      <c r="BJ312" s="1549" t="str">
        <f t="shared" si="409"/>
        <v>Variable</v>
      </c>
      <c r="BK312" s="978" t="str">
        <f t="shared" ref="BK312:BU312" si="486">IF(V312="","-",IFERROR((V312/U312-1)*(U314/U$13),"-"))</f>
        <v>-</v>
      </c>
      <c r="BL312" s="978" t="str">
        <f t="shared" si="486"/>
        <v>-</v>
      </c>
      <c r="BM312" s="979" t="str">
        <f t="shared" si="486"/>
        <v>-</v>
      </c>
      <c r="BN312" s="979" t="str">
        <f t="shared" si="486"/>
        <v>-</v>
      </c>
      <c r="BO312" s="1352" t="str">
        <f t="shared" si="486"/>
        <v>-</v>
      </c>
      <c r="BP312" s="1345" t="str">
        <f t="shared" si="486"/>
        <v>-</v>
      </c>
      <c r="BQ312" s="979" t="str">
        <f t="shared" si="486"/>
        <v>-</v>
      </c>
      <c r="BR312" s="979" t="str">
        <f t="shared" si="486"/>
        <v>-</v>
      </c>
      <c r="BS312" s="979" t="str">
        <f t="shared" si="486"/>
        <v>-</v>
      </c>
      <c r="BT312" s="980" t="str">
        <f t="shared" si="486"/>
        <v>-</v>
      </c>
      <c r="BU312" s="979" t="str">
        <f t="shared" si="486"/>
        <v>-</v>
      </c>
      <c r="BV312" s="979" t="str">
        <f>IF(AG312="","-",IFERROR((AG312/AF312-1)*(AF314/AF$13),"-"))</f>
        <v>-</v>
      </c>
      <c r="BW312" s="979" t="str">
        <f>IF(AH312="","-",IFERROR((AH312/AG312-1)*(AG314/AG$13),"-"))</f>
        <v>-</v>
      </c>
      <c r="BX312" s="979" t="str">
        <f>IF(AI312="","-",IFERROR((AI312/AH312-1)*(AH314/AH$13),"-"))</f>
        <v>-</v>
      </c>
      <c r="BY312" s="981" t="str">
        <f>IF(AJ312="","-",IFERROR((AJ312/AI312-1)*(AI314/AI$13),"-"))</f>
        <v>-</v>
      </c>
      <c r="BZ312" s="951"/>
      <c r="CA312" s="975" t="str">
        <f t="shared" si="386"/>
        <v>Price</v>
      </c>
      <c r="CB312" s="976" t="str">
        <f t="shared" si="387"/>
        <v>Sewerage</v>
      </c>
      <c r="CC312" s="982" t="str">
        <f t="shared" si="388"/>
        <v>Variable</v>
      </c>
      <c r="CD312" s="983" t="str">
        <f t="shared" si="418"/>
        <v>-</v>
      </c>
      <c r="CE312" s="979" t="str">
        <f t="shared" si="411"/>
        <v>-</v>
      </c>
      <c r="CF312" s="979" t="str">
        <f t="shared" si="412"/>
        <v>-</v>
      </c>
      <c r="CG312" s="980" t="str">
        <f t="shared" si="413"/>
        <v>-</v>
      </c>
      <c r="CH312" s="979" t="str">
        <f t="shared" si="419"/>
        <v>-</v>
      </c>
      <c r="CI312" s="979" t="str">
        <f t="shared" si="414"/>
        <v>-</v>
      </c>
      <c r="CJ312" s="979" t="str">
        <f t="shared" si="415"/>
        <v>-</v>
      </c>
      <c r="CK312" s="981" t="str">
        <f t="shared" si="416"/>
        <v>-</v>
      </c>
    </row>
    <row r="313" spans="4:89">
      <c r="E313" s="567" t="s">
        <v>880</v>
      </c>
      <c r="F313" s="554" t="str">
        <f>+F312</f>
        <v>Sewerage</v>
      </c>
      <c r="G313" s="555" t="str">
        <f>+G312</f>
        <v>SEW</v>
      </c>
      <c r="H313" s="555" t="str">
        <f>+H312</f>
        <v>Trade waste - TDS//inorganic TDS Eastern</v>
      </c>
      <c r="I313" s="556" t="str">
        <f>+I312</f>
        <v>Variable</v>
      </c>
      <c r="J313" s="590" t="s">
        <v>896</v>
      </c>
      <c r="K313" s="557"/>
      <c r="L313" s="558"/>
      <c r="M313" s="558"/>
      <c r="N313" s="557"/>
      <c r="O313" s="558"/>
      <c r="P313" s="558"/>
      <c r="Q313" s="558"/>
      <c r="R313" s="1036"/>
      <c r="S313" s="1139"/>
      <c r="T313" s="593"/>
      <c r="U313" s="1036"/>
      <c r="V313" s="1139"/>
      <c r="W313" s="593"/>
      <c r="X313" s="593"/>
      <c r="Y313" s="593"/>
      <c r="Z313" s="1036"/>
      <c r="AA313" s="1139"/>
      <c r="AB313" s="593"/>
      <c r="AC313" s="593"/>
      <c r="AD313" s="593"/>
      <c r="AE313" s="1036"/>
      <c r="AF313" s="1139"/>
      <c r="AG313" s="593"/>
      <c r="AH313" s="593"/>
      <c r="AI313" s="593"/>
      <c r="AJ313" s="1036"/>
      <c r="AK313" s="569"/>
      <c r="AL313" s="569"/>
      <c r="AN313" s="857"/>
      <c r="AO313" s="961" t="str">
        <f t="shared" si="389"/>
        <v>Qty</v>
      </c>
      <c r="AP313" s="962" t="str">
        <f t="shared" si="390"/>
        <v>Sewerage</v>
      </c>
      <c r="AQ313" s="963" t="str">
        <f t="shared" si="391"/>
        <v>Variable</v>
      </c>
      <c r="AR313" s="967" t="str">
        <f t="shared" si="392"/>
        <v>-</v>
      </c>
      <c r="AS313" s="964" t="str">
        <f t="shared" si="393"/>
        <v>-</v>
      </c>
      <c r="AT313" s="964" t="str">
        <f t="shared" si="394"/>
        <v>-</v>
      </c>
      <c r="AU313" s="964" t="str">
        <f t="shared" si="395"/>
        <v>-</v>
      </c>
      <c r="AV313" s="1350" t="str">
        <f t="shared" si="396"/>
        <v>-</v>
      </c>
      <c r="AW313" s="1343" t="str">
        <f t="shared" si="397"/>
        <v>-</v>
      </c>
      <c r="AX313" s="964" t="str">
        <f t="shared" si="398"/>
        <v>-</v>
      </c>
      <c r="AY313" s="964" t="str">
        <f t="shared" si="399"/>
        <v>-</v>
      </c>
      <c r="AZ313" s="964" t="str">
        <f t="shared" si="400"/>
        <v>-</v>
      </c>
      <c r="BA313" s="965" t="str">
        <f t="shared" si="401"/>
        <v>-</v>
      </c>
      <c r="BB313" s="1343" t="str">
        <f t="shared" si="402"/>
        <v>-</v>
      </c>
      <c r="BC313" s="964" t="str">
        <f t="shared" si="403"/>
        <v>-</v>
      </c>
      <c r="BD313" s="964" t="str">
        <f t="shared" si="404"/>
        <v>-</v>
      </c>
      <c r="BE313" s="964" t="str">
        <f t="shared" si="405"/>
        <v>-</v>
      </c>
      <c r="BF313" s="966" t="str">
        <f t="shared" si="406"/>
        <v>-</v>
      </c>
      <c r="BG313" s="951"/>
      <c r="BH313" s="1541" t="str">
        <f t="shared" si="407"/>
        <v>Qty</v>
      </c>
      <c r="BI313" s="1542" t="str">
        <f t="shared" si="408"/>
        <v>Sewerage</v>
      </c>
      <c r="BJ313" s="1543" t="str">
        <f t="shared" si="409"/>
        <v>Variable</v>
      </c>
      <c r="BK313" s="964" t="str">
        <f t="shared" ref="BK313:BU313" si="487">IF(V313="","-",IFERROR((V313/U313-1)*(U314/U$13),"-"))</f>
        <v>-</v>
      </c>
      <c r="BL313" s="964" t="str">
        <f t="shared" si="487"/>
        <v>-</v>
      </c>
      <c r="BM313" s="964" t="str">
        <f t="shared" si="487"/>
        <v>-</v>
      </c>
      <c r="BN313" s="964" t="str">
        <f t="shared" si="487"/>
        <v>-</v>
      </c>
      <c r="BO313" s="1350" t="str">
        <f t="shared" si="487"/>
        <v>-</v>
      </c>
      <c r="BP313" s="1343" t="str">
        <f t="shared" si="487"/>
        <v>-</v>
      </c>
      <c r="BQ313" s="964" t="str">
        <f t="shared" si="487"/>
        <v>-</v>
      </c>
      <c r="BR313" s="964" t="str">
        <f t="shared" si="487"/>
        <v>-</v>
      </c>
      <c r="BS313" s="964" t="str">
        <f t="shared" si="487"/>
        <v>-</v>
      </c>
      <c r="BT313" s="965" t="str">
        <f t="shared" si="487"/>
        <v>-</v>
      </c>
      <c r="BU313" s="964" t="str">
        <f t="shared" si="487"/>
        <v>-</v>
      </c>
      <c r="BV313" s="964" t="str">
        <f>IF(AG313="","-",IFERROR((AG313/AF313-1)*(AF314/AF$13),"-"))</f>
        <v>-</v>
      </c>
      <c r="BW313" s="964" t="str">
        <f>IF(AH313="","-",IFERROR((AH313/AG313-1)*(AG314/AG$13),"-"))</f>
        <v>-</v>
      </c>
      <c r="BX313" s="964" t="str">
        <f>IF(AI313="","-",IFERROR((AI313/AH313-1)*(AH314/AH$13),"-"))</f>
        <v>-</v>
      </c>
      <c r="BY313" s="966" t="str">
        <f>IF(AJ313="","-",IFERROR((AJ313/AI313-1)*(AI314/AI$13),"-"))</f>
        <v>-</v>
      </c>
      <c r="BZ313" s="951"/>
      <c r="CA313" s="961" t="str">
        <f t="shared" si="386"/>
        <v>Qty</v>
      </c>
      <c r="CB313" s="962" t="str">
        <f t="shared" si="387"/>
        <v>Sewerage</v>
      </c>
      <c r="CC313" s="962" t="str">
        <f t="shared" si="388"/>
        <v>Variable</v>
      </c>
      <c r="CD313" s="967" t="str">
        <f t="shared" si="418"/>
        <v>-</v>
      </c>
      <c r="CE313" s="964" t="str">
        <f t="shared" si="411"/>
        <v>-</v>
      </c>
      <c r="CF313" s="964" t="str">
        <f t="shared" si="412"/>
        <v>-</v>
      </c>
      <c r="CG313" s="965" t="str">
        <f t="shared" si="413"/>
        <v>-</v>
      </c>
      <c r="CH313" s="964" t="str">
        <f t="shared" si="419"/>
        <v>-</v>
      </c>
      <c r="CI313" s="964" t="str">
        <f t="shared" si="414"/>
        <v>-</v>
      </c>
      <c r="CJ313" s="964" t="str">
        <f t="shared" si="415"/>
        <v>-</v>
      </c>
      <c r="CK313" s="966" t="str">
        <f t="shared" si="416"/>
        <v>-</v>
      </c>
    </row>
    <row r="314" spans="4:89" ht="12.75" thickBot="1">
      <c r="E314" s="568" t="s">
        <v>882</v>
      </c>
      <c r="F314" s="560" t="str">
        <f>+F312</f>
        <v>Sewerage</v>
      </c>
      <c r="G314" s="561" t="str">
        <f>+G312</f>
        <v>SEW</v>
      </c>
      <c r="H314" s="561" t="str">
        <f>+H312</f>
        <v>Trade waste - TDS//inorganic TDS Eastern</v>
      </c>
      <c r="I314" s="562" t="str">
        <f>+I312</f>
        <v>Variable</v>
      </c>
      <c r="J314" s="563" t="s">
        <v>883</v>
      </c>
      <c r="K314" s="564">
        <f t="shared" ref="K314:AJ314" si="488">K312*K313/10^6</f>
        <v>0</v>
      </c>
      <c r="L314" s="565">
        <f t="shared" si="488"/>
        <v>0</v>
      </c>
      <c r="M314" s="565">
        <f t="shared" si="488"/>
        <v>0</v>
      </c>
      <c r="N314" s="564">
        <f t="shared" si="488"/>
        <v>0</v>
      </c>
      <c r="O314" s="565">
        <f t="shared" si="488"/>
        <v>0</v>
      </c>
      <c r="P314" s="565">
        <f t="shared" si="488"/>
        <v>0</v>
      </c>
      <c r="Q314" s="565">
        <f t="shared" si="488"/>
        <v>0</v>
      </c>
      <c r="R314" s="566">
        <f t="shared" si="488"/>
        <v>0</v>
      </c>
      <c r="S314" s="564">
        <f t="shared" si="488"/>
        <v>0</v>
      </c>
      <c r="T314" s="565">
        <f t="shared" si="488"/>
        <v>0</v>
      </c>
      <c r="U314" s="566">
        <f t="shared" si="488"/>
        <v>0</v>
      </c>
      <c r="V314" s="564">
        <f t="shared" si="488"/>
        <v>0</v>
      </c>
      <c r="W314" s="565">
        <f t="shared" si="488"/>
        <v>0</v>
      </c>
      <c r="X314" s="565">
        <f t="shared" si="488"/>
        <v>0</v>
      </c>
      <c r="Y314" s="565">
        <f t="shared" si="488"/>
        <v>0</v>
      </c>
      <c r="Z314" s="566">
        <f t="shared" si="488"/>
        <v>0</v>
      </c>
      <c r="AA314" s="564">
        <f t="shared" si="488"/>
        <v>0</v>
      </c>
      <c r="AB314" s="565">
        <f t="shared" si="488"/>
        <v>0</v>
      </c>
      <c r="AC314" s="565">
        <f t="shared" si="488"/>
        <v>0</v>
      </c>
      <c r="AD314" s="565">
        <f t="shared" si="488"/>
        <v>0</v>
      </c>
      <c r="AE314" s="566">
        <f t="shared" si="488"/>
        <v>0</v>
      </c>
      <c r="AF314" s="564">
        <f t="shared" si="488"/>
        <v>0</v>
      </c>
      <c r="AG314" s="565">
        <f t="shared" si="488"/>
        <v>0</v>
      </c>
      <c r="AH314" s="565">
        <f t="shared" si="488"/>
        <v>0</v>
      </c>
      <c r="AI314" s="565">
        <f t="shared" si="488"/>
        <v>0</v>
      </c>
      <c r="AJ314" s="566">
        <f t="shared" si="488"/>
        <v>0</v>
      </c>
      <c r="AK314" s="569"/>
      <c r="AL314" s="569"/>
      <c r="AN314" s="857"/>
      <c r="AO314" s="984" t="str">
        <f t="shared" si="389"/>
        <v>Rev</v>
      </c>
      <c r="AP314" s="985" t="str">
        <f t="shared" si="390"/>
        <v>Sewerage</v>
      </c>
      <c r="AQ314" s="986" t="str">
        <f t="shared" si="391"/>
        <v>Variable</v>
      </c>
      <c r="AR314" s="990" t="str">
        <f t="shared" si="392"/>
        <v>-</v>
      </c>
      <c r="AS314" s="987" t="str">
        <f t="shared" si="393"/>
        <v>-</v>
      </c>
      <c r="AT314" s="987" t="str">
        <f t="shared" si="394"/>
        <v>-</v>
      </c>
      <c r="AU314" s="987" t="str">
        <f t="shared" si="395"/>
        <v>-</v>
      </c>
      <c r="AV314" s="1353" t="str">
        <f t="shared" si="396"/>
        <v>-</v>
      </c>
      <c r="AW314" s="1346" t="str">
        <f t="shared" si="397"/>
        <v>-</v>
      </c>
      <c r="AX314" s="987" t="str">
        <f t="shared" si="398"/>
        <v>-</v>
      </c>
      <c r="AY314" s="987" t="str">
        <f t="shared" si="399"/>
        <v>-</v>
      </c>
      <c r="AZ314" s="987" t="str">
        <f t="shared" si="400"/>
        <v>-</v>
      </c>
      <c r="BA314" s="988" t="str">
        <f t="shared" si="401"/>
        <v>-</v>
      </c>
      <c r="BB314" s="1346" t="str">
        <f t="shared" si="402"/>
        <v>-</v>
      </c>
      <c r="BC314" s="987" t="str">
        <f t="shared" si="403"/>
        <v>-</v>
      </c>
      <c r="BD314" s="987" t="str">
        <f t="shared" si="404"/>
        <v>-</v>
      </c>
      <c r="BE314" s="987" t="str">
        <f t="shared" si="405"/>
        <v>-</v>
      </c>
      <c r="BF314" s="989" t="str">
        <f t="shared" si="406"/>
        <v>-</v>
      </c>
      <c r="BG314" s="951"/>
      <c r="BH314" s="1550" t="str">
        <f t="shared" si="407"/>
        <v>Rev</v>
      </c>
      <c r="BI314" s="1551" t="str">
        <f t="shared" si="408"/>
        <v>Sewerage</v>
      </c>
      <c r="BJ314" s="1552" t="str">
        <f t="shared" si="409"/>
        <v>Variable</v>
      </c>
      <c r="BK314" s="987" t="str">
        <f t="shared" ref="BK314:BU314" si="489">IF(V314="","-",IFERROR((V314/U314-1)*(U314/U$13),"-"))</f>
        <v>-</v>
      </c>
      <c r="BL314" s="987" t="str">
        <f t="shared" si="489"/>
        <v>-</v>
      </c>
      <c r="BM314" s="987" t="str">
        <f t="shared" si="489"/>
        <v>-</v>
      </c>
      <c r="BN314" s="987" t="str">
        <f t="shared" si="489"/>
        <v>-</v>
      </c>
      <c r="BO314" s="1353" t="str">
        <f t="shared" si="489"/>
        <v>-</v>
      </c>
      <c r="BP314" s="1346" t="str">
        <f t="shared" si="489"/>
        <v>-</v>
      </c>
      <c r="BQ314" s="987" t="str">
        <f t="shared" si="489"/>
        <v>-</v>
      </c>
      <c r="BR314" s="987" t="str">
        <f t="shared" si="489"/>
        <v>-</v>
      </c>
      <c r="BS314" s="987" t="str">
        <f t="shared" si="489"/>
        <v>-</v>
      </c>
      <c r="BT314" s="988" t="str">
        <f t="shared" si="489"/>
        <v>-</v>
      </c>
      <c r="BU314" s="987" t="str">
        <f t="shared" si="489"/>
        <v>-</v>
      </c>
      <c r="BV314" s="987" t="str">
        <f>IF(AG314="","-",IFERROR((AG314/AF314-1)*(AF314/AF$13),"-"))</f>
        <v>-</v>
      </c>
      <c r="BW314" s="987" t="str">
        <f>IF(AH314="","-",IFERROR((AH314/AG314-1)*(AG314/AG$13),"-"))</f>
        <v>-</v>
      </c>
      <c r="BX314" s="987" t="str">
        <f>IF(AI314="","-",IFERROR((AI314/AH314-1)*(AH314/AH$13),"-"))</f>
        <v>-</v>
      </c>
      <c r="BY314" s="989" t="str">
        <f>IF(AJ314="","-",IFERROR((AJ314/AI314-1)*(AI314/AI$13),"-"))</f>
        <v>-</v>
      </c>
      <c r="BZ314" s="951"/>
      <c r="CA314" s="984" t="str">
        <f t="shared" si="386"/>
        <v>Rev</v>
      </c>
      <c r="CB314" s="985" t="str">
        <f t="shared" si="387"/>
        <v>Sewerage</v>
      </c>
      <c r="CC314" s="985" t="str">
        <f t="shared" si="388"/>
        <v>Variable</v>
      </c>
      <c r="CD314" s="990" t="str">
        <f t="shared" si="418"/>
        <v>-</v>
      </c>
      <c r="CE314" s="987" t="str">
        <f t="shared" si="411"/>
        <v>-</v>
      </c>
      <c r="CF314" s="987" t="str">
        <f t="shared" si="412"/>
        <v>-</v>
      </c>
      <c r="CG314" s="988" t="str">
        <f t="shared" si="413"/>
        <v>-</v>
      </c>
      <c r="CH314" s="987" t="str">
        <f t="shared" si="419"/>
        <v>-</v>
      </c>
      <c r="CI314" s="987" t="str">
        <f t="shared" si="414"/>
        <v>-</v>
      </c>
      <c r="CJ314" s="987" t="str">
        <f t="shared" si="415"/>
        <v>-</v>
      </c>
      <c r="CK314" s="989" t="str">
        <f t="shared" si="416"/>
        <v>-</v>
      </c>
    </row>
    <row r="315" spans="4:89">
      <c r="D315" s="63">
        <f>D312+1</f>
        <v>83</v>
      </c>
      <c r="E315" s="550" t="s">
        <v>857</v>
      </c>
      <c r="F315" s="595" t="s">
        <v>402</v>
      </c>
      <c r="G315" s="595" t="s">
        <v>103</v>
      </c>
      <c r="H315" s="595" t="s">
        <v>918</v>
      </c>
      <c r="I315" s="589" t="s">
        <v>843</v>
      </c>
      <c r="J315" s="589" t="s">
        <v>879</v>
      </c>
      <c r="K315" s="551"/>
      <c r="L315" s="552"/>
      <c r="M315" s="552"/>
      <c r="N315" s="551"/>
      <c r="O315" s="552"/>
      <c r="P315" s="552"/>
      <c r="Q315" s="552"/>
      <c r="R315" s="1035"/>
      <c r="S315" s="1138"/>
      <c r="T315" s="591"/>
      <c r="U315" s="1035"/>
      <c r="V315" s="1138"/>
      <c r="W315" s="591"/>
      <c r="X315" s="591"/>
      <c r="Y315" s="591"/>
      <c r="Z315" s="1035"/>
      <c r="AA315" s="1138"/>
      <c r="AB315" s="591"/>
      <c r="AC315" s="591"/>
      <c r="AD315" s="591"/>
      <c r="AE315" s="1035"/>
      <c r="AF315" s="1138"/>
      <c r="AG315" s="591"/>
      <c r="AH315" s="591"/>
      <c r="AI315" s="591"/>
      <c r="AJ315" s="1035"/>
      <c r="AK315" s="569"/>
      <c r="AL315" s="569"/>
      <c r="AM315" s="974"/>
      <c r="AN315" s="857"/>
      <c r="AO315" s="975" t="str">
        <f t="shared" si="389"/>
        <v>Price</v>
      </c>
      <c r="AP315" s="976" t="str">
        <f t="shared" si="390"/>
        <v>Sewerage</v>
      </c>
      <c r="AQ315" s="977" t="str">
        <f t="shared" si="391"/>
        <v>Variable</v>
      </c>
      <c r="AR315" s="1341" t="str">
        <f t="shared" si="392"/>
        <v>-</v>
      </c>
      <c r="AS315" s="978" t="str">
        <f t="shared" si="393"/>
        <v>-</v>
      </c>
      <c r="AT315" s="979" t="str">
        <f t="shared" si="394"/>
        <v>-</v>
      </c>
      <c r="AU315" s="979" t="str">
        <f t="shared" si="395"/>
        <v>-</v>
      </c>
      <c r="AV315" s="1352" t="str">
        <f t="shared" si="396"/>
        <v>-</v>
      </c>
      <c r="AW315" s="1345" t="str">
        <f t="shared" si="397"/>
        <v>-</v>
      </c>
      <c r="AX315" s="979" t="str">
        <f t="shared" si="398"/>
        <v>-</v>
      </c>
      <c r="AY315" s="979" t="str">
        <f t="shared" si="399"/>
        <v>-</v>
      </c>
      <c r="AZ315" s="979" t="str">
        <f t="shared" si="400"/>
        <v>-</v>
      </c>
      <c r="BA315" s="980" t="str">
        <f t="shared" si="401"/>
        <v>-</v>
      </c>
      <c r="BB315" s="1345" t="str">
        <f t="shared" si="402"/>
        <v>-</v>
      </c>
      <c r="BC315" s="979" t="str">
        <f t="shared" si="403"/>
        <v>-</v>
      </c>
      <c r="BD315" s="979" t="str">
        <f t="shared" si="404"/>
        <v>-</v>
      </c>
      <c r="BE315" s="979" t="str">
        <f t="shared" si="405"/>
        <v>-</v>
      </c>
      <c r="BF315" s="981" t="str">
        <f t="shared" si="406"/>
        <v>-</v>
      </c>
      <c r="BG315" s="951"/>
      <c r="BH315" s="1547" t="str">
        <f t="shared" si="407"/>
        <v>Price</v>
      </c>
      <c r="BI315" s="1548" t="str">
        <f t="shared" si="408"/>
        <v>Sewerage</v>
      </c>
      <c r="BJ315" s="1549" t="str">
        <f t="shared" si="409"/>
        <v>Variable</v>
      </c>
      <c r="BK315" s="978" t="str">
        <f t="shared" ref="BK315:BU315" si="490">IF(V315="","-",IFERROR((V315/U315-1)*(U317/U$13),"-"))</f>
        <v>-</v>
      </c>
      <c r="BL315" s="978" t="str">
        <f t="shared" si="490"/>
        <v>-</v>
      </c>
      <c r="BM315" s="979" t="str">
        <f t="shared" si="490"/>
        <v>-</v>
      </c>
      <c r="BN315" s="979" t="str">
        <f t="shared" si="490"/>
        <v>-</v>
      </c>
      <c r="BO315" s="1352" t="str">
        <f t="shared" si="490"/>
        <v>-</v>
      </c>
      <c r="BP315" s="1345" t="str">
        <f t="shared" si="490"/>
        <v>-</v>
      </c>
      <c r="BQ315" s="979" t="str">
        <f t="shared" si="490"/>
        <v>-</v>
      </c>
      <c r="BR315" s="979" t="str">
        <f t="shared" si="490"/>
        <v>-</v>
      </c>
      <c r="BS315" s="979" t="str">
        <f t="shared" si="490"/>
        <v>-</v>
      </c>
      <c r="BT315" s="980" t="str">
        <f t="shared" si="490"/>
        <v>-</v>
      </c>
      <c r="BU315" s="979" t="str">
        <f t="shared" si="490"/>
        <v>-</v>
      </c>
      <c r="BV315" s="979" t="str">
        <f>IF(AG315="","-",IFERROR((AG315/AF315-1)*(AF317/AF$13),"-"))</f>
        <v>-</v>
      </c>
      <c r="BW315" s="979" t="str">
        <f>IF(AH315="","-",IFERROR((AH315/AG315-1)*(AG317/AG$13),"-"))</f>
        <v>-</v>
      </c>
      <c r="BX315" s="979" t="str">
        <f>IF(AI315="","-",IFERROR((AI315/AH315-1)*(AH317/AH$13),"-"))</f>
        <v>-</v>
      </c>
      <c r="BY315" s="981" t="str">
        <f>IF(AJ315="","-",IFERROR((AJ315/AI315-1)*(AI317/AI$13),"-"))</f>
        <v>-</v>
      </c>
      <c r="BZ315" s="951"/>
      <c r="CA315" s="975" t="str">
        <f t="shared" si="386"/>
        <v>Price</v>
      </c>
      <c r="CB315" s="976" t="str">
        <f t="shared" si="387"/>
        <v>Sewerage</v>
      </c>
      <c r="CC315" s="982" t="str">
        <f t="shared" si="388"/>
        <v>Variable</v>
      </c>
      <c r="CD315" s="983" t="str">
        <f t="shared" si="418"/>
        <v>-</v>
      </c>
      <c r="CE315" s="979" t="str">
        <f t="shared" si="411"/>
        <v>-</v>
      </c>
      <c r="CF315" s="979" t="str">
        <f t="shared" si="412"/>
        <v>-</v>
      </c>
      <c r="CG315" s="980" t="str">
        <f t="shared" si="413"/>
        <v>-</v>
      </c>
      <c r="CH315" s="979" t="str">
        <f t="shared" si="419"/>
        <v>-</v>
      </c>
      <c r="CI315" s="979" t="str">
        <f t="shared" si="414"/>
        <v>-</v>
      </c>
      <c r="CJ315" s="979" t="str">
        <f t="shared" si="415"/>
        <v>-</v>
      </c>
      <c r="CK315" s="981" t="str">
        <f t="shared" si="416"/>
        <v>-</v>
      </c>
    </row>
    <row r="316" spans="4:89">
      <c r="E316" s="567" t="s">
        <v>880</v>
      </c>
      <c r="F316" s="554" t="str">
        <f>+F315</f>
        <v>Sewerage</v>
      </c>
      <c r="G316" s="555" t="str">
        <f>+G315</f>
        <v>YVW</v>
      </c>
      <c r="H316" s="555" t="str">
        <f>+H315</f>
        <v>Trade waste - TDS/inorganic TDS Eastern</v>
      </c>
      <c r="I316" s="556" t="str">
        <f>+I315</f>
        <v>Variable</v>
      </c>
      <c r="J316" s="590" t="s">
        <v>896</v>
      </c>
      <c r="K316" s="557"/>
      <c r="L316" s="558"/>
      <c r="M316" s="558"/>
      <c r="N316" s="557"/>
      <c r="O316" s="558"/>
      <c r="P316" s="558"/>
      <c r="Q316" s="558"/>
      <c r="R316" s="1036"/>
      <c r="S316" s="1139"/>
      <c r="T316" s="593"/>
      <c r="U316" s="1036"/>
      <c r="V316" s="1139"/>
      <c r="W316" s="593"/>
      <c r="X316" s="593"/>
      <c r="Y316" s="593"/>
      <c r="Z316" s="1036"/>
      <c r="AA316" s="1139"/>
      <c r="AB316" s="593"/>
      <c r="AC316" s="593"/>
      <c r="AD316" s="593"/>
      <c r="AE316" s="1036"/>
      <c r="AF316" s="1139"/>
      <c r="AG316" s="593"/>
      <c r="AH316" s="593"/>
      <c r="AI316" s="593"/>
      <c r="AJ316" s="1036"/>
      <c r="AK316" s="569"/>
      <c r="AL316" s="569"/>
      <c r="AN316" s="857"/>
      <c r="AO316" s="961" t="str">
        <f t="shared" si="389"/>
        <v>Qty</v>
      </c>
      <c r="AP316" s="962" t="str">
        <f t="shared" si="390"/>
        <v>Sewerage</v>
      </c>
      <c r="AQ316" s="963" t="str">
        <f t="shared" si="391"/>
        <v>Variable</v>
      </c>
      <c r="AR316" s="967" t="str">
        <f t="shared" si="392"/>
        <v>-</v>
      </c>
      <c r="AS316" s="964" t="str">
        <f t="shared" si="393"/>
        <v>-</v>
      </c>
      <c r="AT316" s="964" t="str">
        <f t="shared" si="394"/>
        <v>-</v>
      </c>
      <c r="AU316" s="964" t="str">
        <f t="shared" si="395"/>
        <v>-</v>
      </c>
      <c r="AV316" s="1350" t="str">
        <f t="shared" si="396"/>
        <v>-</v>
      </c>
      <c r="AW316" s="1343" t="str">
        <f t="shared" si="397"/>
        <v>-</v>
      </c>
      <c r="AX316" s="964" t="str">
        <f t="shared" si="398"/>
        <v>-</v>
      </c>
      <c r="AY316" s="964" t="str">
        <f t="shared" si="399"/>
        <v>-</v>
      </c>
      <c r="AZ316" s="964" t="str">
        <f t="shared" si="400"/>
        <v>-</v>
      </c>
      <c r="BA316" s="965" t="str">
        <f t="shared" si="401"/>
        <v>-</v>
      </c>
      <c r="BB316" s="1343" t="str">
        <f t="shared" si="402"/>
        <v>-</v>
      </c>
      <c r="BC316" s="964" t="str">
        <f t="shared" si="403"/>
        <v>-</v>
      </c>
      <c r="BD316" s="964" t="str">
        <f t="shared" si="404"/>
        <v>-</v>
      </c>
      <c r="BE316" s="964" t="str">
        <f t="shared" si="405"/>
        <v>-</v>
      </c>
      <c r="BF316" s="966" t="str">
        <f t="shared" si="406"/>
        <v>-</v>
      </c>
      <c r="BG316" s="951"/>
      <c r="BH316" s="1541" t="str">
        <f t="shared" si="407"/>
        <v>Qty</v>
      </c>
      <c r="BI316" s="1542" t="str">
        <f t="shared" si="408"/>
        <v>Sewerage</v>
      </c>
      <c r="BJ316" s="1543" t="str">
        <f t="shared" si="409"/>
        <v>Variable</v>
      </c>
      <c r="BK316" s="964" t="str">
        <f t="shared" ref="BK316:BU316" si="491">IF(V316="","-",IFERROR((V316/U316-1)*(U317/U$13),"-"))</f>
        <v>-</v>
      </c>
      <c r="BL316" s="964" t="str">
        <f t="shared" si="491"/>
        <v>-</v>
      </c>
      <c r="BM316" s="964" t="str">
        <f t="shared" si="491"/>
        <v>-</v>
      </c>
      <c r="BN316" s="964" t="str">
        <f t="shared" si="491"/>
        <v>-</v>
      </c>
      <c r="BO316" s="1350" t="str">
        <f t="shared" si="491"/>
        <v>-</v>
      </c>
      <c r="BP316" s="1343" t="str">
        <f t="shared" si="491"/>
        <v>-</v>
      </c>
      <c r="BQ316" s="964" t="str">
        <f t="shared" si="491"/>
        <v>-</v>
      </c>
      <c r="BR316" s="964" t="str">
        <f t="shared" si="491"/>
        <v>-</v>
      </c>
      <c r="BS316" s="964" t="str">
        <f t="shared" si="491"/>
        <v>-</v>
      </c>
      <c r="BT316" s="965" t="str">
        <f t="shared" si="491"/>
        <v>-</v>
      </c>
      <c r="BU316" s="964" t="str">
        <f t="shared" si="491"/>
        <v>-</v>
      </c>
      <c r="BV316" s="964" t="str">
        <f>IF(AG316="","-",IFERROR((AG316/AF316-1)*(AF317/AF$13),"-"))</f>
        <v>-</v>
      </c>
      <c r="BW316" s="964" t="str">
        <f>IF(AH316="","-",IFERROR((AH316/AG316-1)*(AG317/AG$13),"-"))</f>
        <v>-</v>
      </c>
      <c r="BX316" s="964" t="str">
        <f>IF(AI316="","-",IFERROR((AI316/AH316-1)*(AH317/AH$13),"-"))</f>
        <v>-</v>
      </c>
      <c r="BY316" s="966" t="str">
        <f>IF(AJ316="","-",IFERROR((AJ316/AI316-1)*(AI317/AI$13),"-"))</f>
        <v>-</v>
      </c>
      <c r="BZ316" s="951"/>
      <c r="CA316" s="961" t="str">
        <f t="shared" si="386"/>
        <v>Qty</v>
      </c>
      <c r="CB316" s="962" t="str">
        <f t="shared" si="387"/>
        <v>Sewerage</v>
      </c>
      <c r="CC316" s="962" t="str">
        <f t="shared" si="388"/>
        <v>Variable</v>
      </c>
      <c r="CD316" s="967" t="str">
        <f t="shared" si="418"/>
        <v>-</v>
      </c>
      <c r="CE316" s="964" t="str">
        <f t="shared" si="411"/>
        <v>-</v>
      </c>
      <c r="CF316" s="964" t="str">
        <f t="shared" si="412"/>
        <v>-</v>
      </c>
      <c r="CG316" s="965" t="str">
        <f t="shared" si="413"/>
        <v>-</v>
      </c>
      <c r="CH316" s="964" t="str">
        <f t="shared" si="419"/>
        <v>-</v>
      </c>
      <c r="CI316" s="964" t="str">
        <f t="shared" si="414"/>
        <v>-</v>
      </c>
      <c r="CJ316" s="964" t="str">
        <f t="shared" si="415"/>
        <v>-</v>
      </c>
      <c r="CK316" s="966" t="str">
        <f t="shared" si="416"/>
        <v>-</v>
      </c>
    </row>
    <row r="317" spans="4:89" ht="12.75" thickBot="1">
      <c r="E317" s="568" t="s">
        <v>882</v>
      </c>
      <c r="F317" s="560" t="str">
        <f>+F315</f>
        <v>Sewerage</v>
      </c>
      <c r="G317" s="561" t="str">
        <f>+G315</f>
        <v>YVW</v>
      </c>
      <c r="H317" s="561" t="str">
        <f>+H315</f>
        <v>Trade waste - TDS/inorganic TDS Eastern</v>
      </c>
      <c r="I317" s="562" t="str">
        <f>+I315</f>
        <v>Variable</v>
      </c>
      <c r="J317" s="563" t="s">
        <v>883</v>
      </c>
      <c r="K317" s="564">
        <f t="shared" ref="K317:AJ317" si="492">K315*K316/10^6</f>
        <v>0</v>
      </c>
      <c r="L317" s="565">
        <f t="shared" si="492"/>
        <v>0</v>
      </c>
      <c r="M317" s="565">
        <f t="shared" si="492"/>
        <v>0</v>
      </c>
      <c r="N317" s="564">
        <f t="shared" si="492"/>
        <v>0</v>
      </c>
      <c r="O317" s="565">
        <f t="shared" si="492"/>
        <v>0</v>
      </c>
      <c r="P317" s="565">
        <f t="shared" si="492"/>
        <v>0</v>
      </c>
      <c r="Q317" s="565">
        <f t="shared" si="492"/>
        <v>0</v>
      </c>
      <c r="R317" s="566">
        <f t="shared" si="492"/>
        <v>0</v>
      </c>
      <c r="S317" s="564">
        <f t="shared" si="492"/>
        <v>0</v>
      </c>
      <c r="T317" s="565">
        <f t="shared" si="492"/>
        <v>0</v>
      </c>
      <c r="U317" s="566">
        <f t="shared" si="492"/>
        <v>0</v>
      </c>
      <c r="V317" s="564">
        <f t="shared" si="492"/>
        <v>0</v>
      </c>
      <c r="W317" s="565">
        <f t="shared" si="492"/>
        <v>0</v>
      </c>
      <c r="X317" s="565">
        <f t="shared" si="492"/>
        <v>0</v>
      </c>
      <c r="Y317" s="565">
        <f t="shared" si="492"/>
        <v>0</v>
      </c>
      <c r="Z317" s="566">
        <f t="shared" si="492"/>
        <v>0</v>
      </c>
      <c r="AA317" s="564">
        <f t="shared" si="492"/>
        <v>0</v>
      </c>
      <c r="AB317" s="565">
        <f t="shared" si="492"/>
        <v>0</v>
      </c>
      <c r="AC317" s="565">
        <f t="shared" si="492"/>
        <v>0</v>
      </c>
      <c r="AD317" s="565">
        <f t="shared" si="492"/>
        <v>0</v>
      </c>
      <c r="AE317" s="566">
        <f t="shared" si="492"/>
        <v>0</v>
      </c>
      <c r="AF317" s="564">
        <f t="shared" si="492"/>
        <v>0</v>
      </c>
      <c r="AG317" s="565">
        <f t="shared" si="492"/>
        <v>0</v>
      </c>
      <c r="AH317" s="565">
        <f t="shared" si="492"/>
        <v>0</v>
      </c>
      <c r="AI317" s="565">
        <f t="shared" si="492"/>
        <v>0</v>
      </c>
      <c r="AJ317" s="566">
        <f t="shared" si="492"/>
        <v>0</v>
      </c>
      <c r="AK317" s="569"/>
      <c r="AL317" s="569"/>
      <c r="AN317" s="857"/>
      <c r="AO317" s="984" t="str">
        <f t="shared" si="389"/>
        <v>Rev</v>
      </c>
      <c r="AP317" s="985" t="str">
        <f t="shared" si="390"/>
        <v>Sewerage</v>
      </c>
      <c r="AQ317" s="986" t="str">
        <f t="shared" si="391"/>
        <v>Variable</v>
      </c>
      <c r="AR317" s="990" t="str">
        <f t="shared" si="392"/>
        <v>-</v>
      </c>
      <c r="AS317" s="987" t="str">
        <f t="shared" si="393"/>
        <v>-</v>
      </c>
      <c r="AT317" s="987" t="str">
        <f t="shared" si="394"/>
        <v>-</v>
      </c>
      <c r="AU317" s="987" t="str">
        <f t="shared" si="395"/>
        <v>-</v>
      </c>
      <c r="AV317" s="1353" t="str">
        <f t="shared" si="396"/>
        <v>-</v>
      </c>
      <c r="AW317" s="1346" t="str">
        <f t="shared" si="397"/>
        <v>-</v>
      </c>
      <c r="AX317" s="987" t="str">
        <f t="shared" si="398"/>
        <v>-</v>
      </c>
      <c r="AY317" s="987" t="str">
        <f t="shared" si="399"/>
        <v>-</v>
      </c>
      <c r="AZ317" s="987" t="str">
        <f t="shared" si="400"/>
        <v>-</v>
      </c>
      <c r="BA317" s="988" t="str">
        <f t="shared" si="401"/>
        <v>-</v>
      </c>
      <c r="BB317" s="1346" t="str">
        <f t="shared" si="402"/>
        <v>-</v>
      </c>
      <c r="BC317" s="987" t="str">
        <f t="shared" si="403"/>
        <v>-</v>
      </c>
      <c r="BD317" s="987" t="str">
        <f t="shared" si="404"/>
        <v>-</v>
      </c>
      <c r="BE317" s="987" t="str">
        <f t="shared" si="405"/>
        <v>-</v>
      </c>
      <c r="BF317" s="989" t="str">
        <f t="shared" si="406"/>
        <v>-</v>
      </c>
      <c r="BG317" s="951"/>
      <c r="BH317" s="1550" t="str">
        <f t="shared" si="407"/>
        <v>Rev</v>
      </c>
      <c r="BI317" s="1551" t="str">
        <f t="shared" si="408"/>
        <v>Sewerage</v>
      </c>
      <c r="BJ317" s="1552" t="str">
        <f t="shared" si="409"/>
        <v>Variable</v>
      </c>
      <c r="BK317" s="987" t="str">
        <f t="shared" ref="BK317:BU317" si="493">IF(V317="","-",IFERROR((V317/U317-1)*(U317/U$13),"-"))</f>
        <v>-</v>
      </c>
      <c r="BL317" s="987" t="str">
        <f t="shared" si="493"/>
        <v>-</v>
      </c>
      <c r="BM317" s="987" t="str">
        <f t="shared" si="493"/>
        <v>-</v>
      </c>
      <c r="BN317" s="987" t="str">
        <f t="shared" si="493"/>
        <v>-</v>
      </c>
      <c r="BO317" s="1353" t="str">
        <f t="shared" si="493"/>
        <v>-</v>
      </c>
      <c r="BP317" s="1346" t="str">
        <f t="shared" si="493"/>
        <v>-</v>
      </c>
      <c r="BQ317" s="987" t="str">
        <f t="shared" si="493"/>
        <v>-</v>
      </c>
      <c r="BR317" s="987" t="str">
        <f t="shared" si="493"/>
        <v>-</v>
      </c>
      <c r="BS317" s="987" t="str">
        <f t="shared" si="493"/>
        <v>-</v>
      </c>
      <c r="BT317" s="988" t="str">
        <f t="shared" si="493"/>
        <v>-</v>
      </c>
      <c r="BU317" s="987" t="str">
        <f t="shared" si="493"/>
        <v>-</v>
      </c>
      <c r="BV317" s="987" t="str">
        <f>IF(AG317="","-",IFERROR((AG317/AF317-1)*(AF317/AF$13),"-"))</f>
        <v>-</v>
      </c>
      <c r="BW317" s="987" t="str">
        <f>IF(AH317="","-",IFERROR((AH317/AG317-1)*(AG317/AG$13),"-"))</f>
        <v>-</v>
      </c>
      <c r="BX317" s="987" t="str">
        <f>IF(AI317="","-",IFERROR((AI317/AH317-1)*(AH317/AH$13),"-"))</f>
        <v>-</v>
      </c>
      <c r="BY317" s="989" t="str">
        <f>IF(AJ317="","-",IFERROR((AJ317/AI317-1)*(AI317/AI$13),"-"))</f>
        <v>-</v>
      </c>
      <c r="BZ317" s="951"/>
      <c r="CA317" s="984" t="str">
        <f t="shared" si="386"/>
        <v>Rev</v>
      </c>
      <c r="CB317" s="985" t="str">
        <f t="shared" si="387"/>
        <v>Sewerage</v>
      </c>
      <c r="CC317" s="985" t="str">
        <f t="shared" si="388"/>
        <v>Variable</v>
      </c>
      <c r="CD317" s="990" t="str">
        <f t="shared" si="418"/>
        <v>-</v>
      </c>
      <c r="CE317" s="987" t="str">
        <f t="shared" si="411"/>
        <v>-</v>
      </c>
      <c r="CF317" s="987" t="str">
        <f t="shared" si="412"/>
        <v>-</v>
      </c>
      <c r="CG317" s="988" t="str">
        <f t="shared" si="413"/>
        <v>-</v>
      </c>
      <c r="CH317" s="987" t="str">
        <f t="shared" si="419"/>
        <v>-</v>
      </c>
      <c r="CI317" s="987" t="str">
        <f t="shared" si="414"/>
        <v>-</v>
      </c>
      <c r="CJ317" s="987" t="str">
        <f t="shared" si="415"/>
        <v>-</v>
      </c>
      <c r="CK317" s="989" t="str">
        <f t="shared" si="416"/>
        <v>-</v>
      </c>
    </row>
    <row r="318" spans="4:89">
      <c r="D318" s="63">
        <f>D315+1</f>
        <v>84</v>
      </c>
      <c r="E318" s="550" t="s">
        <v>857</v>
      </c>
      <c r="F318" s="595" t="s">
        <v>401</v>
      </c>
      <c r="G318" s="595" t="s">
        <v>877</v>
      </c>
      <c r="H318" s="1812" t="s">
        <v>919</v>
      </c>
      <c r="I318" s="1813" t="s">
        <v>842</v>
      </c>
      <c r="J318" s="589" t="s">
        <v>879</v>
      </c>
      <c r="K318" s="551"/>
      <c r="L318" s="552"/>
      <c r="M318" s="552"/>
      <c r="N318" s="551"/>
      <c r="O318" s="552"/>
      <c r="P318" s="552"/>
      <c r="Q318" s="552"/>
      <c r="R318" s="1035"/>
      <c r="S318" s="1138"/>
      <c r="T318" s="591"/>
      <c r="U318" s="1035"/>
      <c r="V318" s="1138"/>
      <c r="W318" s="591"/>
      <c r="X318" s="591"/>
      <c r="Y318" s="591"/>
      <c r="Z318" s="1035"/>
      <c r="AA318" s="1138"/>
      <c r="AB318" s="591"/>
      <c r="AC318" s="591"/>
      <c r="AD318" s="591"/>
      <c r="AE318" s="1035"/>
      <c r="AF318" s="1138"/>
      <c r="AG318" s="591"/>
      <c r="AH318" s="591"/>
      <c r="AI318" s="591"/>
      <c r="AJ318" s="1035"/>
      <c r="AK318" s="569"/>
      <c r="AL318" s="569"/>
      <c r="AM318" s="974"/>
      <c r="AN318" s="857"/>
      <c r="AO318" s="975" t="str">
        <f t="shared" si="389"/>
        <v>Price</v>
      </c>
      <c r="AP318" s="976" t="str">
        <f t="shared" si="390"/>
        <v>Water</v>
      </c>
      <c r="AQ318" s="977" t="str">
        <f t="shared" si="391"/>
        <v>Fixed</v>
      </c>
      <c r="AR318" s="1341" t="str">
        <f t="shared" si="392"/>
        <v>-</v>
      </c>
      <c r="AS318" s="978" t="str">
        <f t="shared" si="393"/>
        <v>-</v>
      </c>
      <c r="AT318" s="979" t="str">
        <f t="shared" si="394"/>
        <v>-</v>
      </c>
      <c r="AU318" s="979" t="str">
        <f t="shared" si="395"/>
        <v>-</v>
      </c>
      <c r="AV318" s="1352" t="str">
        <f t="shared" si="396"/>
        <v>-</v>
      </c>
      <c r="AW318" s="1345" t="str">
        <f t="shared" si="397"/>
        <v>-</v>
      </c>
      <c r="AX318" s="979" t="str">
        <f t="shared" si="398"/>
        <v>-</v>
      </c>
      <c r="AY318" s="979" t="str">
        <f t="shared" si="399"/>
        <v>-</v>
      </c>
      <c r="AZ318" s="979" t="str">
        <f t="shared" si="400"/>
        <v>-</v>
      </c>
      <c r="BA318" s="980" t="str">
        <f t="shared" si="401"/>
        <v>-</v>
      </c>
      <c r="BB318" s="1345" t="str">
        <f t="shared" si="402"/>
        <v>-</v>
      </c>
      <c r="BC318" s="979" t="str">
        <f t="shared" si="403"/>
        <v>-</v>
      </c>
      <c r="BD318" s="979" t="str">
        <f t="shared" si="404"/>
        <v>-</v>
      </c>
      <c r="BE318" s="979" t="str">
        <f t="shared" si="405"/>
        <v>-</v>
      </c>
      <c r="BF318" s="981" t="str">
        <f t="shared" si="406"/>
        <v>-</v>
      </c>
      <c r="BG318" s="951"/>
      <c r="BH318" s="1547" t="str">
        <f t="shared" si="407"/>
        <v>Price</v>
      </c>
      <c r="BI318" s="1548" t="str">
        <f t="shared" si="408"/>
        <v>Water</v>
      </c>
      <c r="BJ318" s="1549" t="str">
        <f t="shared" si="409"/>
        <v>Fixed</v>
      </c>
      <c r="BK318" s="978" t="str">
        <f t="shared" ref="BK318:BU318" si="494">IF(V318="","-",IFERROR((V318/U318-1)*(U320/U$13),"-"))</f>
        <v>-</v>
      </c>
      <c r="BL318" s="978" t="str">
        <f t="shared" si="494"/>
        <v>-</v>
      </c>
      <c r="BM318" s="979" t="str">
        <f t="shared" si="494"/>
        <v>-</v>
      </c>
      <c r="BN318" s="979" t="str">
        <f t="shared" si="494"/>
        <v>-</v>
      </c>
      <c r="BO318" s="1352" t="str">
        <f t="shared" si="494"/>
        <v>-</v>
      </c>
      <c r="BP318" s="1345" t="str">
        <f t="shared" si="494"/>
        <v>-</v>
      </c>
      <c r="BQ318" s="979" t="str">
        <f t="shared" si="494"/>
        <v>-</v>
      </c>
      <c r="BR318" s="979" t="str">
        <f t="shared" si="494"/>
        <v>-</v>
      </c>
      <c r="BS318" s="979" t="str">
        <f t="shared" si="494"/>
        <v>-</v>
      </c>
      <c r="BT318" s="980" t="str">
        <f t="shared" si="494"/>
        <v>-</v>
      </c>
      <c r="BU318" s="979" t="str">
        <f t="shared" si="494"/>
        <v>-</v>
      </c>
      <c r="BV318" s="979" t="str">
        <f>IF(AG318="","-",IFERROR((AG318/AF318-1)*(AF320/AF$13),"-"))</f>
        <v>-</v>
      </c>
      <c r="BW318" s="979" t="str">
        <f>IF(AH318="","-",IFERROR((AH318/AG318-1)*(AG320/AG$13),"-"))</f>
        <v>-</v>
      </c>
      <c r="BX318" s="979" t="str">
        <f>IF(AI318="","-",IFERROR((AI318/AH318-1)*(AH320/AH$13),"-"))</f>
        <v>-</v>
      </c>
      <c r="BY318" s="981" t="str">
        <f>IF(AJ318="","-",IFERROR((AJ318/AI318-1)*(AI320/AI$13),"-"))</f>
        <v>-</v>
      </c>
      <c r="BZ318" s="951"/>
      <c r="CA318" s="975" t="str">
        <f t="shared" si="386"/>
        <v>Price</v>
      </c>
      <c r="CB318" s="976" t="str">
        <f t="shared" si="387"/>
        <v>Water</v>
      </c>
      <c r="CC318" s="982" t="str">
        <f t="shared" si="388"/>
        <v>Fixed</v>
      </c>
      <c r="CD318" s="983" t="str">
        <f t="shared" si="418"/>
        <v>-</v>
      </c>
      <c r="CE318" s="979" t="str">
        <f t="shared" si="411"/>
        <v>-</v>
      </c>
      <c r="CF318" s="979" t="str">
        <f t="shared" si="412"/>
        <v>-</v>
      </c>
      <c r="CG318" s="980" t="str">
        <f t="shared" si="413"/>
        <v>-</v>
      </c>
      <c r="CH318" s="979" t="str">
        <f t="shared" si="419"/>
        <v>-</v>
      </c>
      <c r="CI318" s="979" t="str">
        <f t="shared" si="414"/>
        <v>-</v>
      </c>
      <c r="CJ318" s="979" t="str">
        <f t="shared" si="415"/>
        <v>-</v>
      </c>
      <c r="CK318" s="981" t="str">
        <f t="shared" si="416"/>
        <v>-</v>
      </c>
    </row>
    <row r="319" spans="4:89">
      <c r="E319" s="567" t="s">
        <v>880</v>
      </c>
      <c r="F319" s="554" t="str">
        <f>+F318</f>
        <v>Water</v>
      </c>
      <c r="G319" s="555" t="str">
        <f>+G318</f>
        <v>GWW</v>
      </c>
      <c r="H319" s="1814" t="str">
        <f>+H318</f>
        <v>Victorian Desalination Plant Water Order</v>
      </c>
      <c r="I319" s="1815" t="str">
        <f>+I318</f>
        <v>Fixed</v>
      </c>
      <c r="J319" s="590" t="s">
        <v>881</v>
      </c>
      <c r="K319" s="557"/>
      <c r="L319" s="558"/>
      <c r="M319" s="558"/>
      <c r="N319" s="557"/>
      <c r="O319" s="558"/>
      <c r="P319" s="558"/>
      <c r="Q319" s="558"/>
      <c r="R319" s="1036"/>
      <c r="S319" s="1139"/>
      <c r="T319" s="593"/>
      <c r="U319" s="1036"/>
      <c r="V319" s="1139"/>
      <c r="W319" s="593"/>
      <c r="X319" s="593"/>
      <c r="Y319" s="593"/>
      <c r="Z319" s="1036"/>
      <c r="AA319" s="1139"/>
      <c r="AB319" s="593"/>
      <c r="AC319" s="593"/>
      <c r="AD319" s="593"/>
      <c r="AE319" s="1036"/>
      <c r="AF319" s="1139"/>
      <c r="AG319" s="593"/>
      <c r="AH319" s="593"/>
      <c r="AI319" s="593"/>
      <c r="AJ319" s="1036"/>
      <c r="AK319" s="569"/>
      <c r="AL319" s="569"/>
      <c r="AN319" s="857"/>
      <c r="AO319" s="961" t="str">
        <f t="shared" si="389"/>
        <v>Qty</v>
      </c>
      <c r="AP319" s="962" t="str">
        <f t="shared" si="390"/>
        <v>Water</v>
      </c>
      <c r="AQ319" s="963" t="str">
        <f t="shared" si="391"/>
        <v>Fixed</v>
      </c>
      <c r="AR319" s="967" t="str">
        <f t="shared" si="392"/>
        <v>-</v>
      </c>
      <c r="AS319" s="964" t="str">
        <f t="shared" si="393"/>
        <v>-</v>
      </c>
      <c r="AT319" s="964" t="str">
        <f t="shared" si="394"/>
        <v>-</v>
      </c>
      <c r="AU319" s="964" t="str">
        <f t="shared" si="395"/>
        <v>-</v>
      </c>
      <c r="AV319" s="1350" t="str">
        <f t="shared" si="396"/>
        <v>-</v>
      </c>
      <c r="AW319" s="1343" t="str">
        <f t="shared" si="397"/>
        <v>-</v>
      </c>
      <c r="AX319" s="964" t="str">
        <f t="shared" si="398"/>
        <v>-</v>
      </c>
      <c r="AY319" s="964" t="str">
        <f t="shared" si="399"/>
        <v>-</v>
      </c>
      <c r="AZ319" s="964" t="str">
        <f t="shared" si="400"/>
        <v>-</v>
      </c>
      <c r="BA319" s="965" t="str">
        <f t="shared" si="401"/>
        <v>-</v>
      </c>
      <c r="BB319" s="1343" t="str">
        <f t="shared" si="402"/>
        <v>-</v>
      </c>
      <c r="BC319" s="964" t="str">
        <f t="shared" si="403"/>
        <v>-</v>
      </c>
      <c r="BD319" s="964" t="str">
        <f t="shared" si="404"/>
        <v>-</v>
      </c>
      <c r="BE319" s="964" t="str">
        <f t="shared" si="405"/>
        <v>-</v>
      </c>
      <c r="BF319" s="966" t="str">
        <f t="shared" si="406"/>
        <v>-</v>
      </c>
      <c r="BG319" s="951"/>
      <c r="BH319" s="1541" t="str">
        <f t="shared" si="407"/>
        <v>Qty</v>
      </c>
      <c r="BI319" s="1542" t="str">
        <f t="shared" si="408"/>
        <v>Water</v>
      </c>
      <c r="BJ319" s="1543" t="str">
        <f t="shared" si="409"/>
        <v>Fixed</v>
      </c>
      <c r="BK319" s="964" t="str">
        <f t="shared" ref="BK319:BU319" si="495">IF(V319="","-",IFERROR((V319/U319-1)*(U320/U$13),"-"))</f>
        <v>-</v>
      </c>
      <c r="BL319" s="964" t="str">
        <f t="shared" si="495"/>
        <v>-</v>
      </c>
      <c r="BM319" s="964" t="str">
        <f t="shared" si="495"/>
        <v>-</v>
      </c>
      <c r="BN319" s="964" t="str">
        <f t="shared" si="495"/>
        <v>-</v>
      </c>
      <c r="BO319" s="1350" t="str">
        <f t="shared" si="495"/>
        <v>-</v>
      </c>
      <c r="BP319" s="1343" t="str">
        <f t="shared" si="495"/>
        <v>-</v>
      </c>
      <c r="BQ319" s="964" t="str">
        <f t="shared" si="495"/>
        <v>-</v>
      </c>
      <c r="BR319" s="964" t="str">
        <f t="shared" si="495"/>
        <v>-</v>
      </c>
      <c r="BS319" s="964" t="str">
        <f t="shared" si="495"/>
        <v>-</v>
      </c>
      <c r="BT319" s="965" t="str">
        <f t="shared" si="495"/>
        <v>-</v>
      </c>
      <c r="BU319" s="964" t="str">
        <f t="shared" si="495"/>
        <v>-</v>
      </c>
      <c r="BV319" s="964" t="str">
        <f>IF(AG319="","-",IFERROR((AG319/AF319-1)*(AF320/AF$13),"-"))</f>
        <v>-</v>
      </c>
      <c r="BW319" s="964" t="str">
        <f>IF(AH319="","-",IFERROR((AH319/AG319-1)*(AG320/AG$13),"-"))</f>
        <v>-</v>
      </c>
      <c r="BX319" s="964" t="str">
        <f>IF(AI319="","-",IFERROR((AI319/AH319-1)*(AH320/AH$13),"-"))</f>
        <v>-</v>
      </c>
      <c r="BY319" s="966" t="str">
        <f>IF(AJ319="","-",IFERROR((AJ319/AI319-1)*(AI320/AI$13),"-"))</f>
        <v>-</v>
      </c>
      <c r="BZ319" s="951"/>
      <c r="CA319" s="961" t="str">
        <f t="shared" si="386"/>
        <v>Qty</v>
      </c>
      <c r="CB319" s="962" t="str">
        <f t="shared" si="387"/>
        <v>Water</v>
      </c>
      <c r="CC319" s="962" t="str">
        <f t="shared" si="388"/>
        <v>Fixed</v>
      </c>
      <c r="CD319" s="967" t="str">
        <f t="shared" si="418"/>
        <v>-</v>
      </c>
      <c r="CE319" s="964" t="str">
        <f t="shared" si="411"/>
        <v>-</v>
      </c>
      <c r="CF319" s="964" t="str">
        <f t="shared" si="412"/>
        <v>-</v>
      </c>
      <c r="CG319" s="965" t="str">
        <f t="shared" si="413"/>
        <v>-</v>
      </c>
      <c r="CH319" s="964" t="str">
        <f t="shared" si="419"/>
        <v>-</v>
      </c>
      <c r="CI319" s="964" t="str">
        <f t="shared" si="414"/>
        <v>-</v>
      </c>
      <c r="CJ319" s="964" t="str">
        <f t="shared" si="415"/>
        <v>-</v>
      </c>
      <c r="CK319" s="966" t="str">
        <f t="shared" si="416"/>
        <v>-</v>
      </c>
    </row>
    <row r="320" spans="4:89" ht="12.75" thickBot="1">
      <c r="E320" s="568" t="s">
        <v>882</v>
      </c>
      <c r="F320" s="560" t="str">
        <f>+F318</f>
        <v>Water</v>
      </c>
      <c r="G320" s="561" t="str">
        <f>+G318</f>
        <v>GWW</v>
      </c>
      <c r="H320" s="1816" t="str">
        <f>+H318</f>
        <v>Victorian Desalination Plant Water Order</v>
      </c>
      <c r="I320" s="1817" t="str">
        <f>+I318</f>
        <v>Fixed</v>
      </c>
      <c r="J320" s="563" t="s">
        <v>883</v>
      </c>
      <c r="K320" s="564">
        <f t="shared" ref="K320:AJ320" si="496">K318*K319/10^6</f>
        <v>0</v>
      </c>
      <c r="L320" s="565">
        <f t="shared" si="496"/>
        <v>0</v>
      </c>
      <c r="M320" s="565">
        <f t="shared" si="496"/>
        <v>0</v>
      </c>
      <c r="N320" s="564">
        <f t="shared" si="496"/>
        <v>0</v>
      </c>
      <c r="O320" s="565">
        <f t="shared" si="496"/>
        <v>0</v>
      </c>
      <c r="P320" s="565">
        <f t="shared" si="496"/>
        <v>0</v>
      </c>
      <c r="Q320" s="565">
        <f t="shared" si="496"/>
        <v>0</v>
      </c>
      <c r="R320" s="566">
        <f t="shared" si="496"/>
        <v>0</v>
      </c>
      <c r="S320" s="564">
        <f t="shared" si="496"/>
        <v>0</v>
      </c>
      <c r="T320" s="565">
        <f t="shared" si="496"/>
        <v>0</v>
      </c>
      <c r="U320" s="566">
        <f t="shared" si="496"/>
        <v>0</v>
      </c>
      <c r="V320" s="564">
        <f t="shared" si="496"/>
        <v>0</v>
      </c>
      <c r="W320" s="565">
        <f t="shared" si="496"/>
        <v>0</v>
      </c>
      <c r="X320" s="565">
        <f t="shared" si="496"/>
        <v>0</v>
      </c>
      <c r="Y320" s="565">
        <f t="shared" si="496"/>
        <v>0</v>
      </c>
      <c r="Z320" s="566">
        <f t="shared" si="496"/>
        <v>0</v>
      </c>
      <c r="AA320" s="564">
        <f t="shared" si="496"/>
        <v>0</v>
      </c>
      <c r="AB320" s="565">
        <f t="shared" si="496"/>
        <v>0</v>
      </c>
      <c r="AC320" s="565">
        <f t="shared" si="496"/>
        <v>0</v>
      </c>
      <c r="AD320" s="565">
        <f t="shared" si="496"/>
        <v>0</v>
      </c>
      <c r="AE320" s="566">
        <f t="shared" si="496"/>
        <v>0</v>
      </c>
      <c r="AF320" s="564">
        <f t="shared" si="496"/>
        <v>0</v>
      </c>
      <c r="AG320" s="565">
        <f>AG318*AG319/10^6</f>
        <v>0</v>
      </c>
      <c r="AH320" s="565">
        <f>AH318*AH319/10^6</f>
        <v>0</v>
      </c>
      <c r="AI320" s="565">
        <f>AI318*AI319/10^6</f>
        <v>0</v>
      </c>
      <c r="AJ320" s="566">
        <f t="shared" si="496"/>
        <v>0</v>
      </c>
      <c r="AK320" s="569"/>
      <c r="AL320" s="569"/>
      <c r="AN320" s="857"/>
      <c r="AO320" s="984" t="str">
        <f t="shared" si="389"/>
        <v>Rev</v>
      </c>
      <c r="AP320" s="985" t="str">
        <f t="shared" si="390"/>
        <v>Water</v>
      </c>
      <c r="AQ320" s="986" t="str">
        <f t="shared" si="391"/>
        <v>Fixed</v>
      </c>
      <c r="AR320" s="990" t="str">
        <f t="shared" si="392"/>
        <v>-</v>
      </c>
      <c r="AS320" s="987" t="str">
        <f t="shared" si="393"/>
        <v>-</v>
      </c>
      <c r="AT320" s="987" t="str">
        <f t="shared" si="394"/>
        <v>-</v>
      </c>
      <c r="AU320" s="987" t="str">
        <f t="shared" si="395"/>
        <v>-</v>
      </c>
      <c r="AV320" s="1353" t="str">
        <f t="shared" si="396"/>
        <v>-</v>
      </c>
      <c r="AW320" s="1346" t="str">
        <f t="shared" si="397"/>
        <v>-</v>
      </c>
      <c r="AX320" s="987" t="str">
        <f t="shared" si="398"/>
        <v>-</v>
      </c>
      <c r="AY320" s="987" t="str">
        <f t="shared" si="399"/>
        <v>-</v>
      </c>
      <c r="AZ320" s="987" t="str">
        <f t="shared" si="400"/>
        <v>-</v>
      </c>
      <c r="BA320" s="988" t="str">
        <f t="shared" si="401"/>
        <v>-</v>
      </c>
      <c r="BB320" s="1346" t="str">
        <f t="shared" si="402"/>
        <v>-</v>
      </c>
      <c r="BC320" s="987" t="str">
        <f t="shared" si="403"/>
        <v>-</v>
      </c>
      <c r="BD320" s="987" t="str">
        <f t="shared" si="404"/>
        <v>-</v>
      </c>
      <c r="BE320" s="987" t="str">
        <f t="shared" si="405"/>
        <v>-</v>
      </c>
      <c r="BF320" s="989" t="str">
        <f t="shared" si="406"/>
        <v>-</v>
      </c>
      <c r="BG320" s="951"/>
      <c r="BH320" s="1550" t="str">
        <f t="shared" si="407"/>
        <v>Rev</v>
      </c>
      <c r="BI320" s="1551" t="str">
        <f t="shared" si="408"/>
        <v>Water</v>
      </c>
      <c r="BJ320" s="1552" t="str">
        <f t="shared" si="409"/>
        <v>Fixed</v>
      </c>
      <c r="BK320" s="987" t="str">
        <f t="shared" ref="BK320:BU320" si="497">IF(V320="","-",IFERROR((V320/U320-1)*(U320/U$13),"-"))</f>
        <v>-</v>
      </c>
      <c r="BL320" s="987" t="str">
        <f t="shared" si="497"/>
        <v>-</v>
      </c>
      <c r="BM320" s="987" t="str">
        <f t="shared" si="497"/>
        <v>-</v>
      </c>
      <c r="BN320" s="987" t="str">
        <f t="shared" si="497"/>
        <v>-</v>
      </c>
      <c r="BO320" s="1353" t="str">
        <f t="shared" si="497"/>
        <v>-</v>
      </c>
      <c r="BP320" s="1346" t="str">
        <f t="shared" si="497"/>
        <v>-</v>
      </c>
      <c r="BQ320" s="987" t="str">
        <f t="shared" si="497"/>
        <v>-</v>
      </c>
      <c r="BR320" s="987" t="str">
        <f t="shared" si="497"/>
        <v>-</v>
      </c>
      <c r="BS320" s="987" t="str">
        <f t="shared" si="497"/>
        <v>-</v>
      </c>
      <c r="BT320" s="988" t="str">
        <f t="shared" si="497"/>
        <v>-</v>
      </c>
      <c r="BU320" s="987" t="str">
        <f t="shared" si="497"/>
        <v>-</v>
      </c>
      <c r="BV320" s="987" t="str">
        <f>IF(AG320="","-",IFERROR((AG320/AF320-1)*(AF320/AF$13),"-"))</f>
        <v>-</v>
      </c>
      <c r="BW320" s="987" t="str">
        <f>IF(AH320="","-",IFERROR((AH320/AG320-1)*(AG320/AG$13),"-"))</f>
        <v>-</v>
      </c>
      <c r="BX320" s="987" t="str">
        <f>IF(AI320="","-",IFERROR((AI320/AH320-1)*(AH320/AH$13),"-"))</f>
        <v>-</v>
      </c>
      <c r="BY320" s="989" t="str">
        <f>IF(AJ320="","-",IFERROR((AJ320/AI320-1)*(AI320/AI$13),"-"))</f>
        <v>-</v>
      </c>
      <c r="BZ320" s="951"/>
      <c r="CA320" s="984" t="str">
        <f t="shared" si="386"/>
        <v>Rev</v>
      </c>
      <c r="CB320" s="985" t="str">
        <f t="shared" si="387"/>
        <v>Water</v>
      </c>
      <c r="CC320" s="985" t="str">
        <f t="shared" si="388"/>
        <v>Fixed</v>
      </c>
      <c r="CD320" s="990" t="str">
        <f t="shared" si="418"/>
        <v>-</v>
      </c>
      <c r="CE320" s="987" t="str">
        <f t="shared" si="411"/>
        <v>-</v>
      </c>
      <c r="CF320" s="987" t="str">
        <f t="shared" si="412"/>
        <v>-</v>
      </c>
      <c r="CG320" s="988" t="str">
        <f t="shared" si="413"/>
        <v>-</v>
      </c>
      <c r="CH320" s="987" t="str">
        <f t="shared" si="419"/>
        <v>-</v>
      </c>
      <c r="CI320" s="987" t="str">
        <f t="shared" si="414"/>
        <v>-</v>
      </c>
      <c r="CJ320" s="987" t="str">
        <f t="shared" si="415"/>
        <v>-</v>
      </c>
      <c r="CK320" s="989" t="str">
        <f t="shared" si="416"/>
        <v>-</v>
      </c>
    </row>
    <row r="321" spans="4:89">
      <c r="D321" s="63">
        <f>D318+1</f>
        <v>85</v>
      </c>
      <c r="E321" s="550" t="s">
        <v>857</v>
      </c>
      <c r="F321" s="595" t="s">
        <v>401</v>
      </c>
      <c r="G321" s="595" t="s">
        <v>92</v>
      </c>
      <c r="H321" s="1812" t="s">
        <v>919</v>
      </c>
      <c r="I321" s="1813" t="s">
        <v>842</v>
      </c>
      <c r="J321" s="589" t="s">
        <v>879</v>
      </c>
      <c r="K321" s="551"/>
      <c r="L321" s="552"/>
      <c r="M321" s="552"/>
      <c r="N321" s="551"/>
      <c r="O321" s="552"/>
      <c r="P321" s="552"/>
      <c r="Q321" s="552"/>
      <c r="R321" s="1035"/>
      <c r="S321" s="1138"/>
      <c r="T321" s="591"/>
      <c r="U321" s="1035"/>
      <c r="V321" s="1138"/>
      <c r="W321" s="591"/>
      <c r="X321" s="591"/>
      <c r="Y321" s="591"/>
      <c r="Z321" s="1035"/>
      <c r="AA321" s="1138"/>
      <c r="AB321" s="591"/>
      <c r="AC321" s="591"/>
      <c r="AD321" s="591"/>
      <c r="AE321" s="1035"/>
      <c r="AF321" s="1138"/>
      <c r="AG321" s="591"/>
      <c r="AH321" s="591"/>
      <c r="AI321" s="591"/>
      <c r="AJ321" s="1035"/>
      <c r="AK321" s="569"/>
      <c r="AL321" s="569"/>
      <c r="AM321" s="974"/>
      <c r="AN321" s="857"/>
      <c r="AO321" s="975" t="str">
        <f t="shared" si="389"/>
        <v>Price</v>
      </c>
      <c r="AP321" s="976" t="str">
        <f t="shared" si="390"/>
        <v>Water</v>
      </c>
      <c r="AQ321" s="977" t="str">
        <f t="shared" si="391"/>
        <v>Fixed</v>
      </c>
      <c r="AR321" s="1341" t="str">
        <f t="shared" si="392"/>
        <v>-</v>
      </c>
      <c r="AS321" s="978" t="str">
        <f t="shared" si="393"/>
        <v>-</v>
      </c>
      <c r="AT321" s="979" t="str">
        <f t="shared" si="394"/>
        <v>-</v>
      </c>
      <c r="AU321" s="979" t="str">
        <f t="shared" si="395"/>
        <v>-</v>
      </c>
      <c r="AV321" s="1352" t="str">
        <f t="shared" si="396"/>
        <v>-</v>
      </c>
      <c r="AW321" s="1345" t="str">
        <f t="shared" si="397"/>
        <v>-</v>
      </c>
      <c r="AX321" s="979" t="str">
        <f t="shared" si="398"/>
        <v>-</v>
      </c>
      <c r="AY321" s="979" t="str">
        <f t="shared" si="399"/>
        <v>-</v>
      </c>
      <c r="AZ321" s="979" t="str">
        <f t="shared" si="400"/>
        <v>-</v>
      </c>
      <c r="BA321" s="980" t="str">
        <f t="shared" si="401"/>
        <v>-</v>
      </c>
      <c r="BB321" s="1345" t="str">
        <f t="shared" si="402"/>
        <v>-</v>
      </c>
      <c r="BC321" s="979" t="str">
        <f t="shared" si="403"/>
        <v>-</v>
      </c>
      <c r="BD321" s="979" t="str">
        <f t="shared" si="404"/>
        <v>-</v>
      </c>
      <c r="BE321" s="979" t="str">
        <f t="shared" si="405"/>
        <v>-</v>
      </c>
      <c r="BF321" s="981" t="str">
        <f t="shared" si="406"/>
        <v>-</v>
      </c>
      <c r="BG321" s="951"/>
      <c r="BH321" s="1547" t="str">
        <f t="shared" si="407"/>
        <v>Price</v>
      </c>
      <c r="BI321" s="1548" t="str">
        <f t="shared" si="408"/>
        <v>Water</v>
      </c>
      <c r="BJ321" s="1549" t="str">
        <f t="shared" si="409"/>
        <v>Fixed</v>
      </c>
      <c r="BK321" s="978" t="str">
        <f t="shared" ref="BK321:BU321" si="498">IF(V321="","-",IFERROR((V321/U321-1)*(U323/U$13),"-"))</f>
        <v>-</v>
      </c>
      <c r="BL321" s="978" t="str">
        <f t="shared" si="498"/>
        <v>-</v>
      </c>
      <c r="BM321" s="979" t="str">
        <f t="shared" si="498"/>
        <v>-</v>
      </c>
      <c r="BN321" s="979" t="str">
        <f t="shared" si="498"/>
        <v>-</v>
      </c>
      <c r="BO321" s="1352" t="str">
        <f t="shared" si="498"/>
        <v>-</v>
      </c>
      <c r="BP321" s="1345" t="str">
        <f t="shared" si="498"/>
        <v>-</v>
      </c>
      <c r="BQ321" s="979" t="str">
        <f t="shared" si="498"/>
        <v>-</v>
      </c>
      <c r="BR321" s="979" t="str">
        <f t="shared" si="498"/>
        <v>-</v>
      </c>
      <c r="BS321" s="979" t="str">
        <f t="shared" si="498"/>
        <v>-</v>
      </c>
      <c r="BT321" s="980" t="str">
        <f t="shared" si="498"/>
        <v>-</v>
      </c>
      <c r="BU321" s="979" t="str">
        <f t="shared" si="498"/>
        <v>-</v>
      </c>
      <c r="BV321" s="979" t="str">
        <f>IF(AG321="","-",IFERROR((AG321/AF321-1)*(AF323/AF$13),"-"))</f>
        <v>-</v>
      </c>
      <c r="BW321" s="979" t="str">
        <f>IF(AH321="","-",IFERROR((AH321/AG321-1)*(AG323/AG$13),"-"))</f>
        <v>-</v>
      </c>
      <c r="BX321" s="979" t="str">
        <f>IF(AI321="","-",IFERROR((AI321/AH321-1)*(AH323/AH$13),"-"))</f>
        <v>-</v>
      </c>
      <c r="BY321" s="981" t="str">
        <f>IF(AJ321="","-",IFERROR((AJ321/AI321-1)*(AI323/AI$13),"-"))</f>
        <v>-</v>
      </c>
      <c r="BZ321" s="951"/>
      <c r="CA321" s="975" t="str">
        <f t="shared" si="386"/>
        <v>Price</v>
      </c>
      <c r="CB321" s="976" t="str">
        <f t="shared" si="387"/>
        <v>Water</v>
      </c>
      <c r="CC321" s="982" t="str">
        <f t="shared" si="388"/>
        <v>Fixed</v>
      </c>
      <c r="CD321" s="983" t="str">
        <f t="shared" si="418"/>
        <v>-</v>
      </c>
      <c r="CE321" s="979" t="str">
        <f t="shared" si="411"/>
        <v>-</v>
      </c>
      <c r="CF321" s="979" t="str">
        <f t="shared" si="412"/>
        <v>-</v>
      </c>
      <c r="CG321" s="980" t="str">
        <f t="shared" si="413"/>
        <v>-</v>
      </c>
      <c r="CH321" s="979" t="str">
        <f t="shared" si="419"/>
        <v>-</v>
      </c>
      <c r="CI321" s="979" t="str">
        <f t="shared" si="414"/>
        <v>-</v>
      </c>
      <c r="CJ321" s="979" t="str">
        <f t="shared" si="415"/>
        <v>-</v>
      </c>
      <c r="CK321" s="981" t="str">
        <f t="shared" si="416"/>
        <v>-</v>
      </c>
    </row>
    <row r="322" spans="4:89">
      <c r="E322" s="567" t="s">
        <v>880</v>
      </c>
      <c r="F322" s="554" t="str">
        <f>+F321</f>
        <v>Water</v>
      </c>
      <c r="G322" s="555" t="str">
        <f>+G321</f>
        <v>SEW</v>
      </c>
      <c r="H322" s="1814" t="str">
        <f>+H321</f>
        <v>Victorian Desalination Plant Water Order</v>
      </c>
      <c r="I322" s="1815" t="str">
        <f>+I321</f>
        <v>Fixed</v>
      </c>
      <c r="J322" s="590" t="s">
        <v>881</v>
      </c>
      <c r="K322" s="557"/>
      <c r="L322" s="558"/>
      <c r="M322" s="558"/>
      <c r="N322" s="557"/>
      <c r="O322" s="558"/>
      <c r="P322" s="558"/>
      <c r="Q322" s="558"/>
      <c r="R322" s="1036"/>
      <c r="S322" s="1139"/>
      <c r="T322" s="593"/>
      <c r="U322" s="1036"/>
      <c r="V322" s="1139"/>
      <c r="W322" s="593"/>
      <c r="X322" s="593"/>
      <c r="Y322" s="593"/>
      <c r="Z322" s="1036"/>
      <c r="AA322" s="1139"/>
      <c r="AB322" s="593"/>
      <c r="AC322" s="593"/>
      <c r="AD322" s="593"/>
      <c r="AE322" s="1036"/>
      <c r="AF322" s="1139"/>
      <c r="AG322" s="593"/>
      <c r="AH322" s="593"/>
      <c r="AI322" s="593"/>
      <c r="AJ322" s="1036"/>
      <c r="AK322" s="569"/>
      <c r="AL322" s="569"/>
      <c r="AN322" s="857"/>
      <c r="AO322" s="961" t="str">
        <f t="shared" si="389"/>
        <v>Qty</v>
      </c>
      <c r="AP322" s="962" t="str">
        <f t="shared" si="390"/>
        <v>Water</v>
      </c>
      <c r="AQ322" s="963" t="str">
        <f t="shared" si="391"/>
        <v>Fixed</v>
      </c>
      <c r="AR322" s="967" t="str">
        <f t="shared" si="392"/>
        <v>-</v>
      </c>
      <c r="AS322" s="964" t="str">
        <f t="shared" si="393"/>
        <v>-</v>
      </c>
      <c r="AT322" s="964" t="str">
        <f t="shared" si="394"/>
        <v>-</v>
      </c>
      <c r="AU322" s="964" t="str">
        <f t="shared" si="395"/>
        <v>-</v>
      </c>
      <c r="AV322" s="1350" t="str">
        <f t="shared" si="396"/>
        <v>-</v>
      </c>
      <c r="AW322" s="1343" t="str">
        <f t="shared" si="397"/>
        <v>-</v>
      </c>
      <c r="AX322" s="964" t="str">
        <f t="shared" si="398"/>
        <v>-</v>
      </c>
      <c r="AY322" s="964" t="str">
        <f t="shared" si="399"/>
        <v>-</v>
      </c>
      <c r="AZ322" s="964" t="str">
        <f t="shared" si="400"/>
        <v>-</v>
      </c>
      <c r="BA322" s="965" t="str">
        <f t="shared" si="401"/>
        <v>-</v>
      </c>
      <c r="BB322" s="1343" t="str">
        <f t="shared" si="402"/>
        <v>-</v>
      </c>
      <c r="BC322" s="964" t="str">
        <f t="shared" si="403"/>
        <v>-</v>
      </c>
      <c r="BD322" s="964" t="str">
        <f t="shared" si="404"/>
        <v>-</v>
      </c>
      <c r="BE322" s="964" t="str">
        <f t="shared" si="405"/>
        <v>-</v>
      </c>
      <c r="BF322" s="966" t="str">
        <f t="shared" si="406"/>
        <v>-</v>
      </c>
      <c r="BG322" s="951"/>
      <c r="BH322" s="1541" t="str">
        <f t="shared" si="407"/>
        <v>Qty</v>
      </c>
      <c r="BI322" s="1542" t="str">
        <f t="shared" si="408"/>
        <v>Water</v>
      </c>
      <c r="BJ322" s="1543" t="str">
        <f t="shared" si="409"/>
        <v>Fixed</v>
      </c>
      <c r="BK322" s="964" t="str">
        <f t="shared" ref="BK322:BU322" si="499">IF(V322="","-",IFERROR((V322/U322-1)*(U323/U$13),"-"))</f>
        <v>-</v>
      </c>
      <c r="BL322" s="964" t="str">
        <f t="shared" si="499"/>
        <v>-</v>
      </c>
      <c r="BM322" s="964" t="str">
        <f t="shared" si="499"/>
        <v>-</v>
      </c>
      <c r="BN322" s="964" t="str">
        <f t="shared" si="499"/>
        <v>-</v>
      </c>
      <c r="BO322" s="1350" t="str">
        <f t="shared" si="499"/>
        <v>-</v>
      </c>
      <c r="BP322" s="1343" t="str">
        <f t="shared" si="499"/>
        <v>-</v>
      </c>
      <c r="BQ322" s="964" t="str">
        <f t="shared" si="499"/>
        <v>-</v>
      </c>
      <c r="BR322" s="964" t="str">
        <f t="shared" si="499"/>
        <v>-</v>
      </c>
      <c r="BS322" s="964" t="str">
        <f t="shared" si="499"/>
        <v>-</v>
      </c>
      <c r="BT322" s="965" t="str">
        <f t="shared" si="499"/>
        <v>-</v>
      </c>
      <c r="BU322" s="964" t="str">
        <f t="shared" si="499"/>
        <v>-</v>
      </c>
      <c r="BV322" s="964" t="str">
        <f>IF(AG322="","-",IFERROR((AG322/AF322-1)*(AF323/AF$13),"-"))</f>
        <v>-</v>
      </c>
      <c r="BW322" s="964" t="str">
        <f>IF(AH322="","-",IFERROR((AH322/AG322-1)*(AG323/AG$13),"-"))</f>
        <v>-</v>
      </c>
      <c r="BX322" s="964" t="str">
        <f>IF(AI322="","-",IFERROR((AI322/AH322-1)*(AH323/AH$13),"-"))</f>
        <v>-</v>
      </c>
      <c r="BY322" s="966" t="str">
        <f>IF(AJ322="","-",IFERROR((AJ322/AI322-1)*(AI323/AI$13),"-"))</f>
        <v>-</v>
      </c>
      <c r="BZ322" s="951"/>
      <c r="CA322" s="961" t="str">
        <f t="shared" si="386"/>
        <v>Qty</v>
      </c>
      <c r="CB322" s="962" t="str">
        <f t="shared" si="387"/>
        <v>Water</v>
      </c>
      <c r="CC322" s="962" t="str">
        <f t="shared" si="388"/>
        <v>Fixed</v>
      </c>
      <c r="CD322" s="967" t="str">
        <f t="shared" si="418"/>
        <v>-</v>
      </c>
      <c r="CE322" s="964" t="str">
        <f t="shared" si="411"/>
        <v>-</v>
      </c>
      <c r="CF322" s="964" t="str">
        <f t="shared" si="412"/>
        <v>-</v>
      </c>
      <c r="CG322" s="965" t="str">
        <f t="shared" si="413"/>
        <v>-</v>
      </c>
      <c r="CH322" s="964" t="str">
        <f t="shared" si="419"/>
        <v>-</v>
      </c>
      <c r="CI322" s="964" t="str">
        <f t="shared" si="414"/>
        <v>-</v>
      </c>
      <c r="CJ322" s="964" t="str">
        <f t="shared" si="415"/>
        <v>-</v>
      </c>
      <c r="CK322" s="966" t="str">
        <f t="shared" si="416"/>
        <v>-</v>
      </c>
    </row>
    <row r="323" spans="4:89" ht="12.75" thickBot="1">
      <c r="E323" s="568" t="s">
        <v>882</v>
      </c>
      <c r="F323" s="560" t="str">
        <f>+F321</f>
        <v>Water</v>
      </c>
      <c r="G323" s="561" t="str">
        <f>+G321</f>
        <v>SEW</v>
      </c>
      <c r="H323" s="1816" t="str">
        <f>+H321</f>
        <v>Victorian Desalination Plant Water Order</v>
      </c>
      <c r="I323" s="1817" t="str">
        <f>+I321</f>
        <v>Fixed</v>
      </c>
      <c r="J323" s="563" t="s">
        <v>883</v>
      </c>
      <c r="K323" s="564">
        <f t="shared" ref="K323:AJ323" si="500">K321*K322/10^6</f>
        <v>0</v>
      </c>
      <c r="L323" s="565">
        <f t="shared" si="500"/>
        <v>0</v>
      </c>
      <c r="M323" s="565">
        <f t="shared" si="500"/>
        <v>0</v>
      </c>
      <c r="N323" s="564">
        <f t="shared" si="500"/>
        <v>0</v>
      </c>
      <c r="O323" s="565">
        <f t="shared" si="500"/>
        <v>0</v>
      </c>
      <c r="P323" s="565">
        <f t="shared" si="500"/>
        <v>0</v>
      </c>
      <c r="Q323" s="565">
        <f t="shared" si="500"/>
        <v>0</v>
      </c>
      <c r="R323" s="566">
        <f t="shared" si="500"/>
        <v>0</v>
      </c>
      <c r="S323" s="564">
        <f t="shared" si="500"/>
        <v>0</v>
      </c>
      <c r="T323" s="565">
        <f t="shared" si="500"/>
        <v>0</v>
      </c>
      <c r="U323" s="566">
        <f t="shared" si="500"/>
        <v>0</v>
      </c>
      <c r="V323" s="564">
        <f t="shared" si="500"/>
        <v>0</v>
      </c>
      <c r="W323" s="565">
        <f t="shared" si="500"/>
        <v>0</v>
      </c>
      <c r="X323" s="565">
        <f t="shared" si="500"/>
        <v>0</v>
      </c>
      <c r="Y323" s="565">
        <f t="shared" si="500"/>
        <v>0</v>
      </c>
      <c r="Z323" s="566">
        <f t="shared" si="500"/>
        <v>0</v>
      </c>
      <c r="AA323" s="564">
        <f t="shared" si="500"/>
        <v>0</v>
      </c>
      <c r="AB323" s="565">
        <f t="shared" si="500"/>
        <v>0</v>
      </c>
      <c r="AC323" s="565">
        <f t="shared" si="500"/>
        <v>0</v>
      </c>
      <c r="AD323" s="565">
        <f t="shared" si="500"/>
        <v>0</v>
      </c>
      <c r="AE323" s="566">
        <f t="shared" si="500"/>
        <v>0</v>
      </c>
      <c r="AF323" s="564">
        <f t="shared" si="500"/>
        <v>0</v>
      </c>
      <c r="AG323" s="565">
        <f t="shared" si="500"/>
        <v>0</v>
      </c>
      <c r="AH323" s="565">
        <f t="shared" si="500"/>
        <v>0</v>
      </c>
      <c r="AI323" s="565">
        <f t="shared" si="500"/>
        <v>0</v>
      </c>
      <c r="AJ323" s="566">
        <f t="shared" si="500"/>
        <v>0</v>
      </c>
      <c r="AK323" s="569"/>
      <c r="AL323" s="569"/>
      <c r="AN323" s="857"/>
      <c r="AO323" s="984" t="str">
        <f t="shared" si="389"/>
        <v>Rev</v>
      </c>
      <c r="AP323" s="985" t="str">
        <f t="shared" si="390"/>
        <v>Water</v>
      </c>
      <c r="AQ323" s="986" t="str">
        <f t="shared" si="391"/>
        <v>Fixed</v>
      </c>
      <c r="AR323" s="990" t="str">
        <f t="shared" si="392"/>
        <v>-</v>
      </c>
      <c r="AS323" s="987" t="str">
        <f t="shared" si="393"/>
        <v>-</v>
      </c>
      <c r="AT323" s="987" t="str">
        <f t="shared" si="394"/>
        <v>-</v>
      </c>
      <c r="AU323" s="987" t="str">
        <f t="shared" si="395"/>
        <v>-</v>
      </c>
      <c r="AV323" s="1353" t="str">
        <f t="shared" si="396"/>
        <v>-</v>
      </c>
      <c r="AW323" s="1346" t="str">
        <f t="shared" si="397"/>
        <v>-</v>
      </c>
      <c r="AX323" s="987" t="str">
        <f t="shared" si="398"/>
        <v>-</v>
      </c>
      <c r="AY323" s="987" t="str">
        <f t="shared" si="399"/>
        <v>-</v>
      </c>
      <c r="AZ323" s="987" t="str">
        <f t="shared" si="400"/>
        <v>-</v>
      </c>
      <c r="BA323" s="988" t="str">
        <f t="shared" si="401"/>
        <v>-</v>
      </c>
      <c r="BB323" s="1346" t="str">
        <f t="shared" si="402"/>
        <v>-</v>
      </c>
      <c r="BC323" s="987" t="str">
        <f t="shared" si="403"/>
        <v>-</v>
      </c>
      <c r="BD323" s="987" t="str">
        <f t="shared" si="404"/>
        <v>-</v>
      </c>
      <c r="BE323" s="987" t="str">
        <f t="shared" si="405"/>
        <v>-</v>
      </c>
      <c r="BF323" s="989" t="str">
        <f t="shared" si="406"/>
        <v>-</v>
      </c>
      <c r="BG323" s="951"/>
      <c r="BH323" s="1550" t="str">
        <f t="shared" si="407"/>
        <v>Rev</v>
      </c>
      <c r="BI323" s="1551" t="str">
        <f t="shared" si="408"/>
        <v>Water</v>
      </c>
      <c r="BJ323" s="1552" t="str">
        <f t="shared" si="409"/>
        <v>Fixed</v>
      </c>
      <c r="BK323" s="987" t="str">
        <f t="shared" ref="BK323:BU323" si="501">IF(V323="","-",IFERROR((V323/U323-1)*(U323/U$13),"-"))</f>
        <v>-</v>
      </c>
      <c r="BL323" s="987" t="str">
        <f t="shared" si="501"/>
        <v>-</v>
      </c>
      <c r="BM323" s="987" t="str">
        <f t="shared" si="501"/>
        <v>-</v>
      </c>
      <c r="BN323" s="987" t="str">
        <f t="shared" si="501"/>
        <v>-</v>
      </c>
      <c r="BO323" s="1353" t="str">
        <f t="shared" si="501"/>
        <v>-</v>
      </c>
      <c r="BP323" s="1346" t="str">
        <f t="shared" si="501"/>
        <v>-</v>
      </c>
      <c r="BQ323" s="987" t="str">
        <f t="shared" si="501"/>
        <v>-</v>
      </c>
      <c r="BR323" s="987" t="str">
        <f t="shared" si="501"/>
        <v>-</v>
      </c>
      <c r="BS323" s="987" t="str">
        <f t="shared" si="501"/>
        <v>-</v>
      </c>
      <c r="BT323" s="988" t="str">
        <f t="shared" si="501"/>
        <v>-</v>
      </c>
      <c r="BU323" s="987" t="str">
        <f t="shared" si="501"/>
        <v>-</v>
      </c>
      <c r="BV323" s="987" t="str">
        <f>IF(AG323="","-",IFERROR((AG323/AF323-1)*(AF323/AF$13),"-"))</f>
        <v>-</v>
      </c>
      <c r="BW323" s="987" t="str">
        <f>IF(AH323="","-",IFERROR((AH323/AG323-1)*(AG323/AG$13),"-"))</f>
        <v>-</v>
      </c>
      <c r="BX323" s="987" t="str">
        <f>IF(AI323="","-",IFERROR((AI323/AH323-1)*(AH323/AH$13),"-"))</f>
        <v>-</v>
      </c>
      <c r="BY323" s="989" t="str">
        <f>IF(AJ323="","-",IFERROR((AJ323/AI323-1)*(AI323/AI$13),"-"))</f>
        <v>-</v>
      </c>
      <c r="BZ323" s="951"/>
      <c r="CA323" s="984" t="str">
        <f t="shared" si="386"/>
        <v>Rev</v>
      </c>
      <c r="CB323" s="985" t="str">
        <f t="shared" si="387"/>
        <v>Water</v>
      </c>
      <c r="CC323" s="985" t="str">
        <f t="shared" si="388"/>
        <v>Fixed</v>
      </c>
      <c r="CD323" s="990" t="str">
        <f t="shared" si="418"/>
        <v>-</v>
      </c>
      <c r="CE323" s="987" t="str">
        <f t="shared" si="411"/>
        <v>-</v>
      </c>
      <c r="CF323" s="987" t="str">
        <f t="shared" si="412"/>
        <v>-</v>
      </c>
      <c r="CG323" s="988" t="str">
        <f t="shared" si="413"/>
        <v>-</v>
      </c>
      <c r="CH323" s="987" t="str">
        <f t="shared" si="419"/>
        <v>-</v>
      </c>
      <c r="CI323" s="987" t="str">
        <f t="shared" si="414"/>
        <v>-</v>
      </c>
      <c r="CJ323" s="987" t="str">
        <f t="shared" si="415"/>
        <v>-</v>
      </c>
      <c r="CK323" s="989" t="str">
        <f t="shared" si="416"/>
        <v>-</v>
      </c>
    </row>
    <row r="324" spans="4:89">
      <c r="D324" s="63">
        <f>D321+1</f>
        <v>86</v>
      </c>
      <c r="E324" s="550" t="s">
        <v>857</v>
      </c>
      <c r="F324" s="595" t="s">
        <v>401</v>
      </c>
      <c r="G324" s="595" t="s">
        <v>103</v>
      </c>
      <c r="H324" s="1812" t="s">
        <v>919</v>
      </c>
      <c r="I324" s="1813" t="s">
        <v>842</v>
      </c>
      <c r="J324" s="589" t="s">
        <v>879</v>
      </c>
      <c r="K324" s="551"/>
      <c r="L324" s="552"/>
      <c r="M324" s="552"/>
      <c r="N324" s="551"/>
      <c r="O324" s="552"/>
      <c r="P324" s="552"/>
      <c r="Q324" s="552"/>
      <c r="R324" s="1035"/>
      <c r="S324" s="1138"/>
      <c r="T324" s="591"/>
      <c r="U324" s="1035"/>
      <c r="V324" s="1138"/>
      <c r="W324" s="591"/>
      <c r="X324" s="591"/>
      <c r="Y324" s="591"/>
      <c r="Z324" s="1035"/>
      <c r="AA324" s="1138"/>
      <c r="AB324" s="591"/>
      <c r="AC324" s="591"/>
      <c r="AD324" s="591"/>
      <c r="AE324" s="1035"/>
      <c r="AF324" s="1138"/>
      <c r="AG324" s="591"/>
      <c r="AH324" s="591"/>
      <c r="AI324" s="591"/>
      <c r="AJ324" s="1035"/>
      <c r="AK324" s="569"/>
      <c r="AL324" s="569"/>
      <c r="AM324" s="974"/>
      <c r="AN324" s="857"/>
      <c r="AO324" s="975" t="str">
        <f t="shared" si="389"/>
        <v>Price</v>
      </c>
      <c r="AP324" s="976" t="str">
        <f t="shared" si="390"/>
        <v>Water</v>
      </c>
      <c r="AQ324" s="977" t="str">
        <f t="shared" si="391"/>
        <v>Fixed</v>
      </c>
      <c r="AR324" s="1341" t="str">
        <f t="shared" si="392"/>
        <v>-</v>
      </c>
      <c r="AS324" s="978" t="str">
        <f t="shared" si="393"/>
        <v>-</v>
      </c>
      <c r="AT324" s="979" t="str">
        <f t="shared" si="394"/>
        <v>-</v>
      </c>
      <c r="AU324" s="979" t="str">
        <f t="shared" si="395"/>
        <v>-</v>
      </c>
      <c r="AV324" s="1352" t="str">
        <f t="shared" si="396"/>
        <v>-</v>
      </c>
      <c r="AW324" s="1345" t="str">
        <f t="shared" si="397"/>
        <v>-</v>
      </c>
      <c r="AX324" s="979" t="str">
        <f t="shared" si="398"/>
        <v>-</v>
      </c>
      <c r="AY324" s="979" t="str">
        <f t="shared" si="399"/>
        <v>-</v>
      </c>
      <c r="AZ324" s="979" t="str">
        <f t="shared" si="400"/>
        <v>-</v>
      </c>
      <c r="BA324" s="980" t="str">
        <f t="shared" si="401"/>
        <v>-</v>
      </c>
      <c r="BB324" s="1345" t="str">
        <f t="shared" si="402"/>
        <v>-</v>
      </c>
      <c r="BC324" s="979" t="str">
        <f t="shared" si="403"/>
        <v>-</v>
      </c>
      <c r="BD324" s="979" t="str">
        <f t="shared" si="404"/>
        <v>-</v>
      </c>
      <c r="BE324" s="979" t="str">
        <f t="shared" si="405"/>
        <v>-</v>
      </c>
      <c r="BF324" s="981" t="str">
        <f t="shared" si="406"/>
        <v>-</v>
      </c>
      <c r="BG324" s="951"/>
      <c r="BH324" s="1547" t="str">
        <f t="shared" si="407"/>
        <v>Price</v>
      </c>
      <c r="BI324" s="1548" t="str">
        <f t="shared" si="408"/>
        <v>Water</v>
      </c>
      <c r="BJ324" s="1549" t="str">
        <f t="shared" si="409"/>
        <v>Fixed</v>
      </c>
      <c r="BK324" s="978" t="str">
        <f t="shared" ref="BK324:BU324" si="502">IF(V324="","-",IFERROR((V324/U324-1)*(U326/U$13),"-"))</f>
        <v>-</v>
      </c>
      <c r="BL324" s="978" t="str">
        <f t="shared" si="502"/>
        <v>-</v>
      </c>
      <c r="BM324" s="979" t="str">
        <f t="shared" si="502"/>
        <v>-</v>
      </c>
      <c r="BN324" s="979" t="str">
        <f t="shared" si="502"/>
        <v>-</v>
      </c>
      <c r="BO324" s="1352" t="str">
        <f t="shared" si="502"/>
        <v>-</v>
      </c>
      <c r="BP324" s="1345" t="str">
        <f t="shared" si="502"/>
        <v>-</v>
      </c>
      <c r="BQ324" s="979" t="str">
        <f t="shared" si="502"/>
        <v>-</v>
      </c>
      <c r="BR324" s="979" t="str">
        <f t="shared" si="502"/>
        <v>-</v>
      </c>
      <c r="BS324" s="979" t="str">
        <f t="shared" si="502"/>
        <v>-</v>
      </c>
      <c r="BT324" s="980" t="str">
        <f t="shared" si="502"/>
        <v>-</v>
      </c>
      <c r="BU324" s="979" t="str">
        <f t="shared" si="502"/>
        <v>-</v>
      </c>
      <c r="BV324" s="979" t="str">
        <f>IF(AG324="","-",IFERROR((AG324/AF324-1)*(AF326/AF$13),"-"))</f>
        <v>-</v>
      </c>
      <c r="BW324" s="979" t="str">
        <f>IF(AH324="","-",IFERROR((AH324/AG324-1)*(AG326/AG$13),"-"))</f>
        <v>-</v>
      </c>
      <c r="BX324" s="979" t="str">
        <f>IF(AI324="","-",IFERROR((AI324/AH324-1)*(AH326/AH$13),"-"))</f>
        <v>-</v>
      </c>
      <c r="BY324" s="981" t="str">
        <f>IF(AJ324="","-",IFERROR((AJ324/AI324-1)*(AI326/AI$13),"-"))</f>
        <v>-</v>
      </c>
      <c r="BZ324" s="951"/>
      <c r="CA324" s="975" t="str">
        <f t="shared" ref="CA324:CA387" si="503">AO324</f>
        <v>Price</v>
      </c>
      <c r="CB324" s="976" t="str">
        <f t="shared" ref="CB324:CB387" si="504">AP324</f>
        <v>Water</v>
      </c>
      <c r="CC324" s="982" t="str">
        <f t="shared" ref="CC324:CC387" si="505">AQ324</f>
        <v>Fixed</v>
      </c>
      <c r="CD324" s="983" t="str">
        <f t="shared" si="418"/>
        <v>-</v>
      </c>
      <c r="CE324" s="979" t="str">
        <f t="shared" si="411"/>
        <v>-</v>
      </c>
      <c r="CF324" s="979" t="str">
        <f t="shared" si="412"/>
        <v>-</v>
      </c>
      <c r="CG324" s="980" t="str">
        <f t="shared" si="413"/>
        <v>-</v>
      </c>
      <c r="CH324" s="979" t="str">
        <f t="shared" si="419"/>
        <v>-</v>
      </c>
      <c r="CI324" s="979" t="str">
        <f t="shared" si="414"/>
        <v>-</v>
      </c>
      <c r="CJ324" s="979" t="str">
        <f t="shared" si="415"/>
        <v>-</v>
      </c>
      <c r="CK324" s="981" t="str">
        <f t="shared" si="416"/>
        <v>-</v>
      </c>
    </row>
    <row r="325" spans="4:89">
      <c r="E325" s="567" t="s">
        <v>880</v>
      </c>
      <c r="F325" s="554" t="str">
        <f>+F324</f>
        <v>Water</v>
      </c>
      <c r="G325" s="555" t="str">
        <f>+G324</f>
        <v>YVW</v>
      </c>
      <c r="H325" s="555" t="str">
        <f>+H324</f>
        <v>Victorian Desalination Plant Water Order</v>
      </c>
      <c r="I325" s="556" t="str">
        <f>+I324</f>
        <v>Fixed</v>
      </c>
      <c r="J325" s="590" t="s">
        <v>881</v>
      </c>
      <c r="K325" s="557"/>
      <c r="L325" s="558"/>
      <c r="M325" s="558"/>
      <c r="N325" s="557"/>
      <c r="O325" s="558"/>
      <c r="P325" s="558"/>
      <c r="Q325" s="558"/>
      <c r="R325" s="1036"/>
      <c r="S325" s="1139"/>
      <c r="T325" s="593"/>
      <c r="U325" s="1036"/>
      <c r="V325" s="1139"/>
      <c r="W325" s="593"/>
      <c r="X325" s="593"/>
      <c r="Y325" s="593"/>
      <c r="Z325" s="1036"/>
      <c r="AA325" s="1139"/>
      <c r="AB325" s="593"/>
      <c r="AC325" s="593"/>
      <c r="AD325" s="593"/>
      <c r="AE325" s="1036"/>
      <c r="AF325" s="1139"/>
      <c r="AG325" s="593"/>
      <c r="AH325" s="593"/>
      <c r="AI325" s="593"/>
      <c r="AJ325" s="1036"/>
      <c r="AK325" s="569"/>
      <c r="AL325" s="569"/>
      <c r="AN325" s="857"/>
      <c r="AO325" s="961" t="str">
        <f t="shared" ref="AO325:AO388" si="506">E325</f>
        <v>Qty</v>
      </c>
      <c r="AP325" s="962" t="str">
        <f t="shared" ref="AP325:AP388" si="507">F325</f>
        <v>Water</v>
      </c>
      <c r="AQ325" s="963" t="str">
        <f t="shared" ref="AQ325:AQ388" si="508">I325</f>
        <v>Fixed</v>
      </c>
      <c r="AR325" s="967" t="str">
        <f t="shared" ref="AR325:AR388" si="509">IF(V325="","-",IFERROR(V325/U325-1,"-"))</f>
        <v>-</v>
      </c>
      <c r="AS325" s="964" t="str">
        <f t="shared" ref="AS325:AS388" si="510">IF(W325="","-",IFERROR(W325/V325-1,"-"))</f>
        <v>-</v>
      </c>
      <c r="AT325" s="964" t="str">
        <f t="shared" ref="AT325:AT388" si="511">IF(X325="","-",IFERROR(X325/W325-1,"-"))</f>
        <v>-</v>
      </c>
      <c r="AU325" s="964" t="str">
        <f t="shared" ref="AU325:AU388" si="512">IF(Y325="","-",IFERROR(Y325/X325-1,"-"))</f>
        <v>-</v>
      </c>
      <c r="AV325" s="1350" t="str">
        <f t="shared" ref="AV325:AV388" si="513">IF(Z325="","-",IFERROR(Z325/Y325-1,"-"))</f>
        <v>-</v>
      </c>
      <c r="AW325" s="1343" t="str">
        <f t="shared" ref="AW325:AW388" si="514">IF(AA325="","-",IFERROR(AA325/Z325-1,"-"))</f>
        <v>-</v>
      </c>
      <c r="AX325" s="964" t="str">
        <f t="shared" ref="AX325:AX388" si="515">IF(AB325="","-",IFERROR(AB325/AA325-1,"-"))</f>
        <v>-</v>
      </c>
      <c r="AY325" s="964" t="str">
        <f t="shared" ref="AY325:AY388" si="516">IF(AC325="","-",IFERROR(AC325/AB325-1,"-"))</f>
        <v>-</v>
      </c>
      <c r="AZ325" s="964" t="str">
        <f t="shared" ref="AZ325:AZ388" si="517">IF(AD325="","-",IFERROR(AD325/AC325-1,"-"))</f>
        <v>-</v>
      </c>
      <c r="BA325" s="965" t="str">
        <f t="shared" ref="BA325:BA388" si="518">IF(AE325="","-",IFERROR(AE325/AD325-1,"-"))</f>
        <v>-</v>
      </c>
      <c r="BB325" s="1343" t="str">
        <f t="shared" ref="BB325:BB388" si="519">IF(AF325="","-",IFERROR(AF325/AE325-1,"-"))</f>
        <v>-</v>
      </c>
      <c r="BC325" s="964" t="str">
        <f t="shared" ref="BC325:BC388" si="520">IF(AG325="","-",IFERROR(AG325/AF325-1,"-"))</f>
        <v>-</v>
      </c>
      <c r="BD325" s="964" t="str">
        <f t="shared" ref="BD325:BD388" si="521">IF(AH325="","-",IFERROR(AH325/AG325-1,"-"))</f>
        <v>-</v>
      </c>
      <c r="BE325" s="964" t="str">
        <f t="shared" ref="BE325:BE388" si="522">IF(AI325="","-",IFERROR(AI325/AH325-1,"-"))</f>
        <v>-</v>
      </c>
      <c r="BF325" s="966" t="str">
        <f t="shared" ref="BF325:BF388" si="523">IF(AJ325="","-",IFERROR(AJ325/AI325-1,"-"))</f>
        <v>-</v>
      </c>
      <c r="BG325" s="951"/>
      <c r="BH325" s="1541" t="str">
        <f t="shared" ref="BH325:BH388" si="524">AO325</f>
        <v>Qty</v>
      </c>
      <c r="BI325" s="1542" t="str">
        <f t="shared" ref="BI325:BI388" si="525">AP325</f>
        <v>Water</v>
      </c>
      <c r="BJ325" s="1543" t="str">
        <f t="shared" ref="BJ325:BJ388" si="526">AQ325</f>
        <v>Fixed</v>
      </c>
      <c r="BK325" s="964" t="str">
        <f t="shared" ref="BK325:BU325" si="527">IF(V325="","-",IFERROR((V325/U325-1)*(U326/U$13),"-"))</f>
        <v>-</v>
      </c>
      <c r="BL325" s="964" t="str">
        <f t="shared" si="527"/>
        <v>-</v>
      </c>
      <c r="BM325" s="964" t="str">
        <f t="shared" si="527"/>
        <v>-</v>
      </c>
      <c r="BN325" s="964" t="str">
        <f t="shared" si="527"/>
        <v>-</v>
      </c>
      <c r="BO325" s="1350" t="str">
        <f t="shared" si="527"/>
        <v>-</v>
      </c>
      <c r="BP325" s="1343" t="str">
        <f t="shared" si="527"/>
        <v>-</v>
      </c>
      <c r="BQ325" s="964" t="str">
        <f t="shared" si="527"/>
        <v>-</v>
      </c>
      <c r="BR325" s="964" t="str">
        <f t="shared" si="527"/>
        <v>-</v>
      </c>
      <c r="BS325" s="964" t="str">
        <f t="shared" si="527"/>
        <v>-</v>
      </c>
      <c r="BT325" s="965" t="str">
        <f t="shared" si="527"/>
        <v>-</v>
      </c>
      <c r="BU325" s="964" t="str">
        <f t="shared" si="527"/>
        <v>-</v>
      </c>
      <c r="BV325" s="964" t="str">
        <f>IF(AG325="","-",IFERROR((AG325/AF325-1)*(AF326/AF$13),"-"))</f>
        <v>-</v>
      </c>
      <c r="BW325" s="964" t="str">
        <f>IF(AH325="","-",IFERROR((AH325/AG325-1)*(AG326/AG$13),"-"))</f>
        <v>-</v>
      </c>
      <c r="BX325" s="964" t="str">
        <f>IF(AI325="","-",IFERROR((AI325/AH325-1)*(AH326/AH$13),"-"))</f>
        <v>-</v>
      </c>
      <c r="BY325" s="966" t="str">
        <f>IF(AJ325="","-",IFERROR((AJ325/AI325-1)*(AI326/AI$13),"-"))</f>
        <v>-</v>
      </c>
      <c r="BZ325" s="951"/>
      <c r="CA325" s="961" t="str">
        <f t="shared" si="503"/>
        <v>Qty</v>
      </c>
      <c r="CB325" s="962" t="str">
        <f t="shared" si="504"/>
        <v>Water</v>
      </c>
      <c r="CC325" s="962" t="str">
        <f t="shared" si="505"/>
        <v>Fixed</v>
      </c>
      <c r="CD325" s="967" t="str">
        <f t="shared" si="418"/>
        <v>-</v>
      </c>
      <c r="CE325" s="964" t="str">
        <f t="shared" ref="CE325:CE388" si="528">IF(X325="","-",IFERROR((X325/$U325)^(1/CE$65)-1,"-"))</f>
        <v>-</v>
      </c>
      <c r="CF325" s="964" t="str">
        <f t="shared" ref="CF325:CF388" si="529">IF(Y325="","-",IFERROR((Y325/$U325)^(1/CF$65)-1,"-"))</f>
        <v>-</v>
      </c>
      <c r="CG325" s="965" t="str">
        <f t="shared" ref="CG325:CG388" si="530">IF(Z325="","-",IFERROR((Z325/$U325)^(1/CG$65)-1,"-"))</f>
        <v>-</v>
      </c>
      <c r="CH325" s="964" t="str">
        <f t="shared" si="419"/>
        <v>-</v>
      </c>
      <c r="CI325" s="964" t="str">
        <f t="shared" ref="CI325:CI388" si="531">IF(AC325="","-",IFERROR((AC325/$Z325)^(1/CI$65)-1,"-"))</f>
        <v>-</v>
      </c>
      <c r="CJ325" s="964" t="str">
        <f t="shared" ref="CJ325:CJ388" si="532">IF(AD325="","-",IFERROR((AD325/$Z325)^(1/CJ$65)-1,"-"))</f>
        <v>-</v>
      </c>
      <c r="CK325" s="966" t="str">
        <f t="shared" ref="CK325:CK388" si="533">IF(AE325="","-",IFERROR((AE325/$Z325)^(1/CK$65)-1,"-"))</f>
        <v>-</v>
      </c>
    </row>
    <row r="326" spans="4:89" ht="12.75" thickBot="1">
      <c r="E326" s="568" t="s">
        <v>882</v>
      </c>
      <c r="F326" s="560" t="str">
        <f>+F324</f>
        <v>Water</v>
      </c>
      <c r="G326" s="561" t="str">
        <f>+G324</f>
        <v>YVW</v>
      </c>
      <c r="H326" s="561" t="str">
        <f>+H324</f>
        <v>Victorian Desalination Plant Water Order</v>
      </c>
      <c r="I326" s="562" t="str">
        <f>+I324</f>
        <v>Fixed</v>
      </c>
      <c r="J326" s="563" t="s">
        <v>883</v>
      </c>
      <c r="K326" s="564">
        <f t="shared" ref="K326:AJ326" si="534">K324*K325/10^6</f>
        <v>0</v>
      </c>
      <c r="L326" s="565">
        <f t="shared" si="534"/>
        <v>0</v>
      </c>
      <c r="M326" s="565">
        <f t="shared" si="534"/>
        <v>0</v>
      </c>
      <c r="N326" s="564">
        <f t="shared" si="534"/>
        <v>0</v>
      </c>
      <c r="O326" s="565">
        <f t="shared" si="534"/>
        <v>0</v>
      </c>
      <c r="P326" s="565">
        <f t="shared" si="534"/>
        <v>0</v>
      </c>
      <c r="Q326" s="565">
        <f t="shared" si="534"/>
        <v>0</v>
      </c>
      <c r="R326" s="566">
        <f t="shared" si="534"/>
        <v>0</v>
      </c>
      <c r="S326" s="564">
        <f t="shared" si="534"/>
        <v>0</v>
      </c>
      <c r="T326" s="565">
        <f t="shared" si="534"/>
        <v>0</v>
      </c>
      <c r="U326" s="566">
        <f t="shared" si="534"/>
        <v>0</v>
      </c>
      <c r="V326" s="564">
        <f t="shared" si="534"/>
        <v>0</v>
      </c>
      <c r="W326" s="565">
        <f t="shared" si="534"/>
        <v>0</v>
      </c>
      <c r="X326" s="565">
        <f t="shared" si="534"/>
        <v>0</v>
      </c>
      <c r="Y326" s="565">
        <f t="shared" si="534"/>
        <v>0</v>
      </c>
      <c r="Z326" s="566">
        <f t="shared" si="534"/>
        <v>0</v>
      </c>
      <c r="AA326" s="564">
        <f t="shared" si="534"/>
        <v>0</v>
      </c>
      <c r="AB326" s="565">
        <f t="shared" si="534"/>
        <v>0</v>
      </c>
      <c r="AC326" s="565">
        <f t="shared" si="534"/>
        <v>0</v>
      </c>
      <c r="AD326" s="565">
        <f t="shared" si="534"/>
        <v>0</v>
      </c>
      <c r="AE326" s="566">
        <f t="shared" si="534"/>
        <v>0</v>
      </c>
      <c r="AF326" s="564">
        <f t="shared" si="534"/>
        <v>0</v>
      </c>
      <c r="AG326" s="565">
        <f t="shared" si="534"/>
        <v>0</v>
      </c>
      <c r="AH326" s="565">
        <f t="shared" si="534"/>
        <v>0</v>
      </c>
      <c r="AI326" s="565">
        <f t="shared" si="534"/>
        <v>0</v>
      </c>
      <c r="AJ326" s="566">
        <f t="shared" si="534"/>
        <v>0</v>
      </c>
      <c r="AK326" s="569"/>
      <c r="AL326" s="569"/>
      <c r="AN326" s="857"/>
      <c r="AO326" s="984" t="str">
        <f t="shared" si="506"/>
        <v>Rev</v>
      </c>
      <c r="AP326" s="985" t="str">
        <f t="shared" si="507"/>
        <v>Water</v>
      </c>
      <c r="AQ326" s="986" t="str">
        <f t="shared" si="508"/>
        <v>Fixed</v>
      </c>
      <c r="AR326" s="990" t="str">
        <f t="shared" si="509"/>
        <v>-</v>
      </c>
      <c r="AS326" s="987" t="str">
        <f t="shared" si="510"/>
        <v>-</v>
      </c>
      <c r="AT326" s="987" t="str">
        <f t="shared" si="511"/>
        <v>-</v>
      </c>
      <c r="AU326" s="987" t="str">
        <f t="shared" si="512"/>
        <v>-</v>
      </c>
      <c r="AV326" s="1353" t="str">
        <f t="shared" si="513"/>
        <v>-</v>
      </c>
      <c r="AW326" s="1346" t="str">
        <f t="shared" si="514"/>
        <v>-</v>
      </c>
      <c r="AX326" s="987" t="str">
        <f t="shared" si="515"/>
        <v>-</v>
      </c>
      <c r="AY326" s="987" t="str">
        <f t="shared" si="516"/>
        <v>-</v>
      </c>
      <c r="AZ326" s="987" t="str">
        <f t="shared" si="517"/>
        <v>-</v>
      </c>
      <c r="BA326" s="988" t="str">
        <f t="shared" si="518"/>
        <v>-</v>
      </c>
      <c r="BB326" s="1346" t="str">
        <f t="shared" si="519"/>
        <v>-</v>
      </c>
      <c r="BC326" s="987" t="str">
        <f t="shared" si="520"/>
        <v>-</v>
      </c>
      <c r="BD326" s="987" t="str">
        <f t="shared" si="521"/>
        <v>-</v>
      </c>
      <c r="BE326" s="987" t="str">
        <f t="shared" si="522"/>
        <v>-</v>
      </c>
      <c r="BF326" s="989" t="str">
        <f t="shared" si="523"/>
        <v>-</v>
      </c>
      <c r="BG326" s="951"/>
      <c r="BH326" s="1550" t="str">
        <f t="shared" si="524"/>
        <v>Rev</v>
      </c>
      <c r="BI326" s="1551" t="str">
        <f t="shared" si="525"/>
        <v>Water</v>
      </c>
      <c r="BJ326" s="1552" t="str">
        <f t="shared" si="526"/>
        <v>Fixed</v>
      </c>
      <c r="BK326" s="987" t="str">
        <f t="shared" ref="BK326:BU326" si="535">IF(V326="","-",IFERROR((V326/U326-1)*(U326/U$13),"-"))</f>
        <v>-</v>
      </c>
      <c r="BL326" s="987" t="str">
        <f t="shared" si="535"/>
        <v>-</v>
      </c>
      <c r="BM326" s="987" t="str">
        <f t="shared" si="535"/>
        <v>-</v>
      </c>
      <c r="BN326" s="987" t="str">
        <f t="shared" si="535"/>
        <v>-</v>
      </c>
      <c r="BO326" s="1353" t="str">
        <f t="shared" si="535"/>
        <v>-</v>
      </c>
      <c r="BP326" s="1346" t="str">
        <f t="shared" si="535"/>
        <v>-</v>
      </c>
      <c r="BQ326" s="987" t="str">
        <f t="shared" si="535"/>
        <v>-</v>
      </c>
      <c r="BR326" s="987" t="str">
        <f t="shared" si="535"/>
        <v>-</v>
      </c>
      <c r="BS326" s="987" t="str">
        <f t="shared" si="535"/>
        <v>-</v>
      </c>
      <c r="BT326" s="988" t="str">
        <f t="shared" si="535"/>
        <v>-</v>
      </c>
      <c r="BU326" s="987" t="str">
        <f t="shared" si="535"/>
        <v>-</v>
      </c>
      <c r="BV326" s="987" t="str">
        <f>IF(AG326="","-",IFERROR((AG326/AF326-1)*(AF326/AF$13),"-"))</f>
        <v>-</v>
      </c>
      <c r="BW326" s="987" t="str">
        <f>IF(AH326="","-",IFERROR((AH326/AG326-1)*(AG326/AG$13),"-"))</f>
        <v>-</v>
      </c>
      <c r="BX326" s="987" t="str">
        <f>IF(AI326="","-",IFERROR((AI326/AH326-1)*(AH326/AH$13),"-"))</f>
        <v>-</v>
      </c>
      <c r="BY326" s="989" t="str">
        <f>IF(AJ326="","-",IFERROR((AJ326/AI326-1)*(AI326/AI$13),"-"))</f>
        <v>-</v>
      </c>
      <c r="BZ326" s="951"/>
      <c r="CA326" s="984" t="str">
        <f t="shared" si="503"/>
        <v>Rev</v>
      </c>
      <c r="CB326" s="985" t="str">
        <f t="shared" si="504"/>
        <v>Water</v>
      </c>
      <c r="CC326" s="985" t="str">
        <f t="shared" si="505"/>
        <v>Fixed</v>
      </c>
      <c r="CD326" s="990" t="str">
        <f t="shared" ref="CD326:CD389" si="536">IF(W326="","-",IFERROR((W326/$U326)^(1/CD$65)-1,"-"))</f>
        <v>-</v>
      </c>
      <c r="CE326" s="987" t="str">
        <f t="shared" si="528"/>
        <v>-</v>
      </c>
      <c r="CF326" s="987" t="str">
        <f t="shared" si="529"/>
        <v>-</v>
      </c>
      <c r="CG326" s="988" t="str">
        <f t="shared" si="530"/>
        <v>-</v>
      </c>
      <c r="CH326" s="987" t="str">
        <f t="shared" ref="CH326:CH389" si="537">IF(AB326="","-",IFERROR((AB326/$Z326)^(1/CH$65)-1,"-"))</f>
        <v>-</v>
      </c>
      <c r="CI326" s="987" t="str">
        <f t="shared" si="531"/>
        <v>-</v>
      </c>
      <c r="CJ326" s="987" t="str">
        <f t="shared" si="532"/>
        <v>-</v>
      </c>
      <c r="CK326" s="989" t="str">
        <f t="shared" si="533"/>
        <v>-</v>
      </c>
    </row>
    <row r="327" spans="4:89">
      <c r="D327" s="63">
        <f>D324+1</f>
        <v>87</v>
      </c>
      <c r="E327" s="550" t="s">
        <v>857</v>
      </c>
      <c r="F327" s="595" t="s">
        <v>428</v>
      </c>
      <c r="G327" s="595"/>
      <c r="H327" s="595"/>
      <c r="I327" s="589" t="s">
        <v>920</v>
      </c>
      <c r="J327" s="589" t="s">
        <v>879</v>
      </c>
      <c r="K327" s="551"/>
      <c r="L327" s="552"/>
      <c r="M327" s="552"/>
      <c r="N327" s="551"/>
      <c r="O327" s="552"/>
      <c r="P327" s="552"/>
      <c r="Q327" s="552"/>
      <c r="R327" s="1035"/>
      <c r="S327" s="1138"/>
      <c r="T327" s="591"/>
      <c r="U327" s="1035"/>
      <c r="V327" s="1138"/>
      <c r="W327" s="591"/>
      <c r="X327" s="591"/>
      <c r="Y327" s="591"/>
      <c r="Z327" s="1035"/>
      <c r="AA327" s="1138"/>
      <c r="AB327" s="591"/>
      <c r="AC327" s="591"/>
      <c r="AD327" s="591"/>
      <c r="AE327" s="1035"/>
      <c r="AF327" s="1138"/>
      <c r="AG327" s="591"/>
      <c r="AH327" s="591"/>
      <c r="AI327" s="591"/>
      <c r="AJ327" s="1035"/>
      <c r="AK327" s="569"/>
      <c r="AL327" s="569"/>
      <c r="AM327" s="974"/>
      <c r="AN327" s="857"/>
      <c r="AO327" s="975" t="str">
        <f t="shared" si="506"/>
        <v>Price</v>
      </c>
      <c r="AP327" s="976" t="str">
        <f t="shared" si="507"/>
        <v>[Service]</v>
      </c>
      <c r="AQ327" s="977" t="str">
        <f t="shared" si="508"/>
        <v>[Price]</v>
      </c>
      <c r="AR327" s="1341" t="str">
        <f t="shared" si="509"/>
        <v>-</v>
      </c>
      <c r="AS327" s="978" t="str">
        <f t="shared" si="510"/>
        <v>-</v>
      </c>
      <c r="AT327" s="979" t="str">
        <f t="shared" si="511"/>
        <v>-</v>
      </c>
      <c r="AU327" s="979" t="str">
        <f t="shared" si="512"/>
        <v>-</v>
      </c>
      <c r="AV327" s="1352" t="str">
        <f t="shared" si="513"/>
        <v>-</v>
      </c>
      <c r="AW327" s="1345" t="str">
        <f t="shared" si="514"/>
        <v>-</v>
      </c>
      <c r="AX327" s="979" t="str">
        <f t="shared" si="515"/>
        <v>-</v>
      </c>
      <c r="AY327" s="979" t="str">
        <f t="shared" si="516"/>
        <v>-</v>
      </c>
      <c r="AZ327" s="979" t="str">
        <f t="shared" si="517"/>
        <v>-</v>
      </c>
      <c r="BA327" s="980" t="str">
        <f t="shared" si="518"/>
        <v>-</v>
      </c>
      <c r="BB327" s="1345" t="str">
        <f t="shared" si="519"/>
        <v>-</v>
      </c>
      <c r="BC327" s="979" t="str">
        <f t="shared" si="520"/>
        <v>-</v>
      </c>
      <c r="BD327" s="979" t="str">
        <f t="shared" si="521"/>
        <v>-</v>
      </c>
      <c r="BE327" s="979" t="str">
        <f t="shared" si="522"/>
        <v>-</v>
      </c>
      <c r="BF327" s="981" t="str">
        <f t="shared" si="523"/>
        <v>-</v>
      </c>
      <c r="BG327" s="951"/>
      <c r="BH327" s="1547" t="str">
        <f t="shared" si="524"/>
        <v>Price</v>
      </c>
      <c r="BI327" s="1548" t="str">
        <f t="shared" si="525"/>
        <v>[Service]</v>
      </c>
      <c r="BJ327" s="1549" t="str">
        <f t="shared" si="526"/>
        <v>[Price]</v>
      </c>
      <c r="BK327" s="978" t="str">
        <f t="shared" ref="BK327:BU327" si="538">IF(V327="","-",IFERROR((V327/U327-1)*(U329/U$13),"-"))</f>
        <v>-</v>
      </c>
      <c r="BL327" s="978" t="str">
        <f t="shared" si="538"/>
        <v>-</v>
      </c>
      <c r="BM327" s="979" t="str">
        <f t="shared" si="538"/>
        <v>-</v>
      </c>
      <c r="BN327" s="979" t="str">
        <f t="shared" si="538"/>
        <v>-</v>
      </c>
      <c r="BO327" s="1352" t="str">
        <f t="shared" si="538"/>
        <v>-</v>
      </c>
      <c r="BP327" s="1345" t="str">
        <f t="shared" si="538"/>
        <v>-</v>
      </c>
      <c r="BQ327" s="979" t="str">
        <f t="shared" si="538"/>
        <v>-</v>
      </c>
      <c r="BR327" s="979" t="str">
        <f t="shared" si="538"/>
        <v>-</v>
      </c>
      <c r="BS327" s="979" t="str">
        <f t="shared" si="538"/>
        <v>-</v>
      </c>
      <c r="BT327" s="980" t="str">
        <f t="shared" si="538"/>
        <v>-</v>
      </c>
      <c r="BU327" s="979" t="str">
        <f t="shared" si="538"/>
        <v>-</v>
      </c>
      <c r="BV327" s="979" t="str">
        <f>IF(AG327="","-",IFERROR((AG327/AF327-1)*(AF329/AF$13),"-"))</f>
        <v>-</v>
      </c>
      <c r="BW327" s="979" t="str">
        <f>IF(AH327="","-",IFERROR((AH327/AG327-1)*(AG329/AG$13),"-"))</f>
        <v>-</v>
      </c>
      <c r="BX327" s="979" t="str">
        <f>IF(AI327="","-",IFERROR((AI327/AH327-1)*(AH329/AH$13),"-"))</f>
        <v>-</v>
      </c>
      <c r="BY327" s="981" t="str">
        <f>IF(AJ327="","-",IFERROR((AJ327/AI327-1)*(AI329/AI$13),"-"))</f>
        <v>-</v>
      </c>
      <c r="BZ327" s="951"/>
      <c r="CA327" s="975" t="str">
        <f t="shared" si="503"/>
        <v>Price</v>
      </c>
      <c r="CB327" s="976" t="str">
        <f t="shared" si="504"/>
        <v>[Service]</v>
      </c>
      <c r="CC327" s="982" t="str">
        <f t="shared" si="505"/>
        <v>[Price]</v>
      </c>
      <c r="CD327" s="983" t="str">
        <f t="shared" si="536"/>
        <v>-</v>
      </c>
      <c r="CE327" s="979" t="str">
        <f t="shared" si="528"/>
        <v>-</v>
      </c>
      <c r="CF327" s="979" t="str">
        <f t="shared" si="529"/>
        <v>-</v>
      </c>
      <c r="CG327" s="980" t="str">
        <f t="shared" si="530"/>
        <v>-</v>
      </c>
      <c r="CH327" s="979" t="str">
        <f t="shared" si="537"/>
        <v>-</v>
      </c>
      <c r="CI327" s="979" t="str">
        <f t="shared" si="531"/>
        <v>-</v>
      </c>
      <c r="CJ327" s="979" t="str">
        <f t="shared" si="532"/>
        <v>-</v>
      </c>
      <c r="CK327" s="981" t="str">
        <f t="shared" si="533"/>
        <v>-</v>
      </c>
    </row>
    <row r="328" spans="4:89">
      <c r="E328" s="567" t="s">
        <v>880</v>
      </c>
      <c r="F328" s="554" t="str">
        <f>+F327</f>
        <v>[Service]</v>
      </c>
      <c r="G328" s="555">
        <f>+G327</f>
        <v>0</v>
      </c>
      <c r="H328" s="555">
        <f>+H327</f>
        <v>0</v>
      </c>
      <c r="I328" s="556" t="str">
        <f>+I327</f>
        <v>[Price]</v>
      </c>
      <c r="J328" s="590" t="s">
        <v>916</v>
      </c>
      <c r="K328" s="557"/>
      <c r="L328" s="558"/>
      <c r="M328" s="558"/>
      <c r="N328" s="557"/>
      <c r="O328" s="558"/>
      <c r="P328" s="558"/>
      <c r="Q328" s="558"/>
      <c r="R328" s="1036"/>
      <c r="S328" s="1139"/>
      <c r="T328" s="593"/>
      <c r="U328" s="1036"/>
      <c r="V328" s="1139"/>
      <c r="W328" s="593"/>
      <c r="X328" s="593"/>
      <c r="Y328" s="593"/>
      <c r="Z328" s="1036"/>
      <c r="AA328" s="1139"/>
      <c r="AB328" s="593"/>
      <c r="AC328" s="593"/>
      <c r="AD328" s="593"/>
      <c r="AE328" s="1036"/>
      <c r="AF328" s="1139"/>
      <c r="AG328" s="593"/>
      <c r="AH328" s="593"/>
      <c r="AI328" s="593"/>
      <c r="AJ328" s="1036"/>
      <c r="AK328" s="569"/>
      <c r="AL328" s="569"/>
      <c r="AN328" s="857"/>
      <c r="AO328" s="961" t="str">
        <f t="shared" si="506"/>
        <v>Qty</v>
      </c>
      <c r="AP328" s="962" t="str">
        <f t="shared" si="507"/>
        <v>[Service]</v>
      </c>
      <c r="AQ328" s="963" t="str">
        <f t="shared" si="508"/>
        <v>[Price]</v>
      </c>
      <c r="AR328" s="967" t="str">
        <f t="shared" si="509"/>
        <v>-</v>
      </c>
      <c r="AS328" s="964" t="str">
        <f t="shared" si="510"/>
        <v>-</v>
      </c>
      <c r="AT328" s="964" t="str">
        <f t="shared" si="511"/>
        <v>-</v>
      </c>
      <c r="AU328" s="964" t="str">
        <f t="shared" si="512"/>
        <v>-</v>
      </c>
      <c r="AV328" s="1350" t="str">
        <f t="shared" si="513"/>
        <v>-</v>
      </c>
      <c r="AW328" s="1343" t="str">
        <f t="shared" si="514"/>
        <v>-</v>
      </c>
      <c r="AX328" s="964" t="str">
        <f t="shared" si="515"/>
        <v>-</v>
      </c>
      <c r="AY328" s="964" t="str">
        <f t="shared" si="516"/>
        <v>-</v>
      </c>
      <c r="AZ328" s="964" t="str">
        <f t="shared" si="517"/>
        <v>-</v>
      </c>
      <c r="BA328" s="965" t="str">
        <f t="shared" si="518"/>
        <v>-</v>
      </c>
      <c r="BB328" s="1343" t="str">
        <f t="shared" si="519"/>
        <v>-</v>
      </c>
      <c r="BC328" s="964" t="str">
        <f t="shared" si="520"/>
        <v>-</v>
      </c>
      <c r="BD328" s="964" t="str">
        <f t="shared" si="521"/>
        <v>-</v>
      </c>
      <c r="BE328" s="964" t="str">
        <f t="shared" si="522"/>
        <v>-</v>
      </c>
      <c r="BF328" s="966" t="str">
        <f t="shared" si="523"/>
        <v>-</v>
      </c>
      <c r="BG328" s="951"/>
      <c r="BH328" s="1541" t="str">
        <f t="shared" si="524"/>
        <v>Qty</v>
      </c>
      <c r="BI328" s="1542" t="str">
        <f t="shared" si="525"/>
        <v>[Service]</v>
      </c>
      <c r="BJ328" s="1543" t="str">
        <f t="shared" si="526"/>
        <v>[Price]</v>
      </c>
      <c r="BK328" s="964" t="str">
        <f t="shared" ref="BK328:BU328" si="539">IF(V328="","-",IFERROR((V328/U328-1)*(U329/U$13),"-"))</f>
        <v>-</v>
      </c>
      <c r="BL328" s="964" t="str">
        <f t="shared" si="539"/>
        <v>-</v>
      </c>
      <c r="BM328" s="964" t="str">
        <f t="shared" si="539"/>
        <v>-</v>
      </c>
      <c r="BN328" s="964" t="str">
        <f t="shared" si="539"/>
        <v>-</v>
      </c>
      <c r="BO328" s="1350" t="str">
        <f t="shared" si="539"/>
        <v>-</v>
      </c>
      <c r="BP328" s="1343" t="str">
        <f t="shared" si="539"/>
        <v>-</v>
      </c>
      <c r="BQ328" s="964" t="str">
        <f t="shared" si="539"/>
        <v>-</v>
      </c>
      <c r="BR328" s="964" t="str">
        <f t="shared" si="539"/>
        <v>-</v>
      </c>
      <c r="BS328" s="964" t="str">
        <f t="shared" si="539"/>
        <v>-</v>
      </c>
      <c r="BT328" s="965" t="str">
        <f t="shared" si="539"/>
        <v>-</v>
      </c>
      <c r="BU328" s="964" t="str">
        <f t="shared" si="539"/>
        <v>-</v>
      </c>
      <c r="BV328" s="964" t="str">
        <f>IF(AG328="","-",IFERROR((AG328/AF328-1)*(AF329/AF$13),"-"))</f>
        <v>-</v>
      </c>
      <c r="BW328" s="964" t="str">
        <f>IF(AH328="","-",IFERROR((AH328/AG328-1)*(AG329/AG$13),"-"))</f>
        <v>-</v>
      </c>
      <c r="BX328" s="964" t="str">
        <f>IF(AI328="","-",IFERROR((AI328/AH328-1)*(AH329/AH$13),"-"))</f>
        <v>-</v>
      </c>
      <c r="BY328" s="966" t="str">
        <f>IF(AJ328="","-",IFERROR((AJ328/AI328-1)*(AI329/AI$13),"-"))</f>
        <v>-</v>
      </c>
      <c r="BZ328" s="951"/>
      <c r="CA328" s="961" t="str">
        <f t="shared" si="503"/>
        <v>Qty</v>
      </c>
      <c r="CB328" s="962" t="str">
        <f t="shared" si="504"/>
        <v>[Service]</v>
      </c>
      <c r="CC328" s="962" t="str">
        <f t="shared" si="505"/>
        <v>[Price]</v>
      </c>
      <c r="CD328" s="967" t="str">
        <f t="shared" si="536"/>
        <v>-</v>
      </c>
      <c r="CE328" s="964" t="str">
        <f t="shared" si="528"/>
        <v>-</v>
      </c>
      <c r="CF328" s="964" t="str">
        <f t="shared" si="529"/>
        <v>-</v>
      </c>
      <c r="CG328" s="965" t="str">
        <f t="shared" si="530"/>
        <v>-</v>
      </c>
      <c r="CH328" s="964" t="str">
        <f t="shared" si="537"/>
        <v>-</v>
      </c>
      <c r="CI328" s="964" t="str">
        <f t="shared" si="531"/>
        <v>-</v>
      </c>
      <c r="CJ328" s="964" t="str">
        <f t="shared" si="532"/>
        <v>-</v>
      </c>
      <c r="CK328" s="966" t="str">
        <f t="shared" si="533"/>
        <v>-</v>
      </c>
    </row>
    <row r="329" spans="4:89" ht="12.75" thickBot="1">
      <c r="E329" s="568" t="s">
        <v>882</v>
      </c>
      <c r="F329" s="560" t="str">
        <f>+F327</f>
        <v>[Service]</v>
      </c>
      <c r="G329" s="561">
        <f>+G327</f>
        <v>0</v>
      </c>
      <c r="H329" s="561">
        <f>+H327</f>
        <v>0</v>
      </c>
      <c r="I329" s="562" t="str">
        <f>+I327</f>
        <v>[Price]</v>
      </c>
      <c r="J329" s="563" t="s">
        <v>883</v>
      </c>
      <c r="K329" s="564">
        <f t="shared" ref="K329:AJ329" si="540">K327*K328/10^6</f>
        <v>0</v>
      </c>
      <c r="L329" s="565">
        <f t="shared" si="540"/>
        <v>0</v>
      </c>
      <c r="M329" s="565">
        <f t="shared" si="540"/>
        <v>0</v>
      </c>
      <c r="N329" s="564">
        <f t="shared" si="540"/>
        <v>0</v>
      </c>
      <c r="O329" s="565">
        <f t="shared" si="540"/>
        <v>0</v>
      </c>
      <c r="P329" s="565">
        <f t="shared" si="540"/>
        <v>0</v>
      </c>
      <c r="Q329" s="565">
        <f t="shared" si="540"/>
        <v>0</v>
      </c>
      <c r="R329" s="566">
        <f t="shared" si="540"/>
        <v>0</v>
      </c>
      <c r="S329" s="564">
        <f t="shared" si="540"/>
        <v>0</v>
      </c>
      <c r="T329" s="565">
        <f t="shared" si="540"/>
        <v>0</v>
      </c>
      <c r="U329" s="566">
        <f t="shared" si="540"/>
        <v>0</v>
      </c>
      <c r="V329" s="564">
        <f t="shared" si="540"/>
        <v>0</v>
      </c>
      <c r="W329" s="565">
        <f t="shared" si="540"/>
        <v>0</v>
      </c>
      <c r="X329" s="565">
        <f t="shared" si="540"/>
        <v>0</v>
      </c>
      <c r="Y329" s="565">
        <f t="shared" si="540"/>
        <v>0</v>
      </c>
      <c r="Z329" s="566">
        <f t="shared" si="540"/>
        <v>0</v>
      </c>
      <c r="AA329" s="564">
        <f t="shared" si="540"/>
        <v>0</v>
      </c>
      <c r="AB329" s="565">
        <f t="shared" si="540"/>
        <v>0</v>
      </c>
      <c r="AC329" s="565">
        <f t="shared" si="540"/>
        <v>0</v>
      </c>
      <c r="AD329" s="565">
        <f t="shared" si="540"/>
        <v>0</v>
      </c>
      <c r="AE329" s="566">
        <f t="shared" si="540"/>
        <v>0</v>
      </c>
      <c r="AF329" s="564">
        <f t="shared" si="540"/>
        <v>0</v>
      </c>
      <c r="AG329" s="565">
        <f t="shared" si="540"/>
        <v>0</v>
      </c>
      <c r="AH329" s="565">
        <f t="shared" si="540"/>
        <v>0</v>
      </c>
      <c r="AI329" s="565">
        <f t="shared" si="540"/>
        <v>0</v>
      </c>
      <c r="AJ329" s="566">
        <f t="shared" si="540"/>
        <v>0</v>
      </c>
      <c r="AK329" s="569"/>
      <c r="AL329" s="569"/>
      <c r="AN329" s="857"/>
      <c r="AO329" s="984" t="str">
        <f t="shared" si="506"/>
        <v>Rev</v>
      </c>
      <c r="AP329" s="985" t="str">
        <f t="shared" si="507"/>
        <v>[Service]</v>
      </c>
      <c r="AQ329" s="986" t="str">
        <f t="shared" si="508"/>
        <v>[Price]</v>
      </c>
      <c r="AR329" s="990" t="str">
        <f t="shared" si="509"/>
        <v>-</v>
      </c>
      <c r="AS329" s="987" t="str">
        <f t="shared" si="510"/>
        <v>-</v>
      </c>
      <c r="AT329" s="987" t="str">
        <f t="shared" si="511"/>
        <v>-</v>
      </c>
      <c r="AU329" s="987" t="str">
        <f t="shared" si="512"/>
        <v>-</v>
      </c>
      <c r="AV329" s="1353" t="str">
        <f t="shared" si="513"/>
        <v>-</v>
      </c>
      <c r="AW329" s="1346" t="str">
        <f t="shared" si="514"/>
        <v>-</v>
      </c>
      <c r="AX329" s="987" t="str">
        <f t="shared" si="515"/>
        <v>-</v>
      </c>
      <c r="AY329" s="987" t="str">
        <f t="shared" si="516"/>
        <v>-</v>
      </c>
      <c r="AZ329" s="987" t="str">
        <f t="shared" si="517"/>
        <v>-</v>
      </c>
      <c r="BA329" s="988" t="str">
        <f t="shared" si="518"/>
        <v>-</v>
      </c>
      <c r="BB329" s="1346" t="str">
        <f t="shared" si="519"/>
        <v>-</v>
      </c>
      <c r="BC329" s="987" t="str">
        <f t="shared" si="520"/>
        <v>-</v>
      </c>
      <c r="BD329" s="987" t="str">
        <f t="shared" si="521"/>
        <v>-</v>
      </c>
      <c r="BE329" s="987" t="str">
        <f t="shared" si="522"/>
        <v>-</v>
      </c>
      <c r="BF329" s="989" t="str">
        <f t="shared" si="523"/>
        <v>-</v>
      </c>
      <c r="BG329" s="951"/>
      <c r="BH329" s="1550" t="str">
        <f t="shared" si="524"/>
        <v>Rev</v>
      </c>
      <c r="BI329" s="1551" t="str">
        <f t="shared" si="525"/>
        <v>[Service]</v>
      </c>
      <c r="BJ329" s="1552" t="str">
        <f t="shared" si="526"/>
        <v>[Price]</v>
      </c>
      <c r="BK329" s="987" t="str">
        <f t="shared" ref="BK329:BU329" si="541">IF(V329="","-",IFERROR((V329/U329-1)*(U329/U$13),"-"))</f>
        <v>-</v>
      </c>
      <c r="BL329" s="987" t="str">
        <f t="shared" si="541"/>
        <v>-</v>
      </c>
      <c r="BM329" s="987" t="str">
        <f t="shared" si="541"/>
        <v>-</v>
      </c>
      <c r="BN329" s="987" t="str">
        <f t="shared" si="541"/>
        <v>-</v>
      </c>
      <c r="BO329" s="1353" t="str">
        <f t="shared" si="541"/>
        <v>-</v>
      </c>
      <c r="BP329" s="1346" t="str">
        <f t="shared" si="541"/>
        <v>-</v>
      </c>
      <c r="BQ329" s="987" t="str">
        <f t="shared" si="541"/>
        <v>-</v>
      </c>
      <c r="BR329" s="987" t="str">
        <f t="shared" si="541"/>
        <v>-</v>
      </c>
      <c r="BS329" s="987" t="str">
        <f t="shared" si="541"/>
        <v>-</v>
      </c>
      <c r="BT329" s="988" t="str">
        <f t="shared" si="541"/>
        <v>-</v>
      </c>
      <c r="BU329" s="987" t="str">
        <f t="shared" si="541"/>
        <v>-</v>
      </c>
      <c r="BV329" s="987" t="str">
        <f>IF(AG329="","-",IFERROR((AG329/AF329-1)*(AF329/AF$13),"-"))</f>
        <v>-</v>
      </c>
      <c r="BW329" s="987" t="str">
        <f>IF(AH329="","-",IFERROR((AH329/AG329-1)*(AG329/AG$13),"-"))</f>
        <v>-</v>
      </c>
      <c r="BX329" s="987" t="str">
        <f>IF(AI329="","-",IFERROR((AI329/AH329-1)*(AH329/AH$13),"-"))</f>
        <v>-</v>
      </c>
      <c r="BY329" s="989" t="str">
        <f>IF(AJ329="","-",IFERROR((AJ329/AI329-1)*(AI329/AI$13),"-"))</f>
        <v>-</v>
      </c>
      <c r="BZ329" s="951"/>
      <c r="CA329" s="984" t="str">
        <f t="shared" si="503"/>
        <v>Rev</v>
      </c>
      <c r="CB329" s="985" t="str">
        <f t="shared" si="504"/>
        <v>[Service]</v>
      </c>
      <c r="CC329" s="985" t="str">
        <f t="shared" si="505"/>
        <v>[Price]</v>
      </c>
      <c r="CD329" s="990" t="str">
        <f t="shared" si="536"/>
        <v>-</v>
      </c>
      <c r="CE329" s="987" t="str">
        <f t="shared" si="528"/>
        <v>-</v>
      </c>
      <c r="CF329" s="987" t="str">
        <f t="shared" si="529"/>
        <v>-</v>
      </c>
      <c r="CG329" s="988" t="str">
        <f t="shared" si="530"/>
        <v>-</v>
      </c>
      <c r="CH329" s="987" t="str">
        <f t="shared" si="537"/>
        <v>-</v>
      </c>
      <c r="CI329" s="987" t="str">
        <f t="shared" si="531"/>
        <v>-</v>
      </c>
      <c r="CJ329" s="987" t="str">
        <f t="shared" si="532"/>
        <v>-</v>
      </c>
      <c r="CK329" s="989" t="str">
        <f t="shared" si="533"/>
        <v>-</v>
      </c>
    </row>
    <row r="330" spans="4:89">
      <c r="D330" s="63">
        <f>D327+1</f>
        <v>88</v>
      </c>
      <c r="E330" s="550" t="s">
        <v>857</v>
      </c>
      <c r="F330" s="595" t="s">
        <v>428</v>
      </c>
      <c r="G330" s="595"/>
      <c r="H330" s="595"/>
      <c r="I330" s="589" t="s">
        <v>920</v>
      </c>
      <c r="J330" s="589" t="s">
        <v>879</v>
      </c>
      <c r="K330" s="551"/>
      <c r="L330" s="552"/>
      <c r="M330" s="552"/>
      <c r="N330" s="551"/>
      <c r="O330" s="552"/>
      <c r="P330" s="552"/>
      <c r="Q330" s="552"/>
      <c r="R330" s="1035"/>
      <c r="S330" s="1138"/>
      <c r="T330" s="591"/>
      <c r="U330" s="1035"/>
      <c r="V330" s="1138"/>
      <c r="W330" s="591"/>
      <c r="X330" s="591"/>
      <c r="Y330" s="591"/>
      <c r="Z330" s="1035"/>
      <c r="AA330" s="1138"/>
      <c r="AB330" s="591"/>
      <c r="AC330" s="591"/>
      <c r="AD330" s="591"/>
      <c r="AE330" s="1035"/>
      <c r="AF330" s="1138"/>
      <c r="AG330" s="591"/>
      <c r="AH330" s="591"/>
      <c r="AI330" s="591"/>
      <c r="AJ330" s="1035"/>
      <c r="AK330" s="569"/>
      <c r="AL330" s="569"/>
      <c r="AM330" s="974"/>
      <c r="AN330" s="857"/>
      <c r="AO330" s="975" t="str">
        <f t="shared" si="506"/>
        <v>Price</v>
      </c>
      <c r="AP330" s="976" t="str">
        <f t="shared" si="507"/>
        <v>[Service]</v>
      </c>
      <c r="AQ330" s="977" t="str">
        <f t="shared" si="508"/>
        <v>[Price]</v>
      </c>
      <c r="AR330" s="1341" t="str">
        <f t="shared" si="509"/>
        <v>-</v>
      </c>
      <c r="AS330" s="978" t="str">
        <f t="shared" si="510"/>
        <v>-</v>
      </c>
      <c r="AT330" s="979" t="str">
        <f t="shared" si="511"/>
        <v>-</v>
      </c>
      <c r="AU330" s="979" t="str">
        <f t="shared" si="512"/>
        <v>-</v>
      </c>
      <c r="AV330" s="1352" t="str">
        <f t="shared" si="513"/>
        <v>-</v>
      </c>
      <c r="AW330" s="1345" t="str">
        <f t="shared" si="514"/>
        <v>-</v>
      </c>
      <c r="AX330" s="979" t="str">
        <f t="shared" si="515"/>
        <v>-</v>
      </c>
      <c r="AY330" s="979" t="str">
        <f t="shared" si="516"/>
        <v>-</v>
      </c>
      <c r="AZ330" s="979" t="str">
        <f t="shared" si="517"/>
        <v>-</v>
      </c>
      <c r="BA330" s="980" t="str">
        <f t="shared" si="518"/>
        <v>-</v>
      </c>
      <c r="BB330" s="1345" t="str">
        <f t="shared" si="519"/>
        <v>-</v>
      </c>
      <c r="BC330" s="979" t="str">
        <f t="shared" si="520"/>
        <v>-</v>
      </c>
      <c r="BD330" s="979" t="str">
        <f t="shared" si="521"/>
        <v>-</v>
      </c>
      <c r="BE330" s="979" t="str">
        <f t="shared" si="522"/>
        <v>-</v>
      </c>
      <c r="BF330" s="981" t="str">
        <f t="shared" si="523"/>
        <v>-</v>
      </c>
      <c r="BG330" s="951"/>
      <c r="BH330" s="1547" t="str">
        <f t="shared" si="524"/>
        <v>Price</v>
      </c>
      <c r="BI330" s="1548" t="str">
        <f t="shared" si="525"/>
        <v>[Service]</v>
      </c>
      <c r="BJ330" s="1549" t="str">
        <f t="shared" si="526"/>
        <v>[Price]</v>
      </c>
      <c r="BK330" s="978" t="str">
        <f t="shared" ref="BK330:BU330" si="542">IF(V330="","-",IFERROR((V330/U330-1)*(U332/U$13),"-"))</f>
        <v>-</v>
      </c>
      <c r="BL330" s="978" t="str">
        <f t="shared" si="542"/>
        <v>-</v>
      </c>
      <c r="BM330" s="979" t="str">
        <f t="shared" si="542"/>
        <v>-</v>
      </c>
      <c r="BN330" s="979" t="str">
        <f t="shared" si="542"/>
        <v>-</v>
      </c>
      <c r="BO330" s="1352" t="str">
        <f t="shared" si="542"/>
        <v>-</v>
      </c>
      <c r="BP330" s="1345" t="str">
        <f t="shared" si="542"/>
        <v>-</v>
      </c>
      <c r="BQ330" s="979" t="str">
        <f t="shared" si="542"/>
        <v>-</v>
      </c>
      <c r="BR330" s="979" t="str">
        <f t="shared" si="542"/>
        <v>-</v>
      </c>
      <c r="BS330" s="979" t="str">
        <f t="shared" si="542"/>
        <v>-</v>
      </c>
      <c r="BT330" s="980" t="str">
        <f t="shared" si="542"/>
        <v>-</v>
      </c>
      <c r="BU330" s="979" t="str">
        <f t="shared" si="542"/>
        <v>-</v>
      </c>
      <c r="BV330" s="979" t="str">
        <f>IF(AG330="","-",IFERROR((AG330/AF330-1)*(AF332/AF$13),"-"))</f>
        <v>-</v>
      </c>
      <c r="BW330" s="979" t="str">
        <f>IF(AH330="","-",IFERROR((AH330/AG330-1)*(AG332/AG$13),"-"))</f>
        <v>-</v>
      </c>
      <c r="BX330" s="979" t="str">
        <f>IF(AI330="","-",IFERROR((AI330/AH330-1)*(AH332/AH$13),"-"))</f>
        <v>-</v>
      </c>
      <c r="BY330" s="981" t="str">
        <f>IF(AJ330="","-",IFERROR((AJ330/AI330-1)*(AI332/AI$13),"-"))</f>
        <v>-</v>
      </c>
      <c r="BZ330" s="951"/>
      <c r="CA330" s="975" t="str">
        <f t="shared" si="503"/>
        <v>Price</v>
      </c>
      <c r="CB330" s="976" t="str">
        <f t="shared" si="504"/>
        <v>[Service]</v>
      </c>
      <c r="CC330" s="982" t="str">
        <f t="shared" si="505"/>
        <v>[Price]</v>
      </c>
      <c r="CD330" s="983" t="str">
        <f t="shared" si="536"/>
        <v>-</v>
      </c>
      <c r="CE330" s="979" t="str">
        <f t="shared" si="528"/>
        <v>-</v>
      </c>
      <c r="CF330" s="979" t="str">
        <f t="shared" si="529"/>
        <v>-</v>
      </c>
      <c r="CG330" s="980" t="str">
        <f t="shared" si="530"/>
        <v>-</v>
      </c>
      <c r="CH330" s="979" t="str">
        <f t="shared" si="537"/>
        <v>-</v>
      </c>
      <c r="CI330" s="979" t="str">
        <f t="shared" si="531"/>
        <v>-</v>
      </c>
      <c r="CJ330" s="979" t="str">
        <f t="shared" si="532"/>
        <v>-</v>
      </c>
      <c r="CK330" s="981" t="str">
        <f t="shared" si="533"/>
        <v>-</v>
      </c>
    </row>
    <row r="331" spans="4:89">
      <c r="E331" s="567" t="s">
        <v>880</v>
      </c>
      <c r="F331" s="554" t="str">
        <f>+F330</f>
        <v>[Service]</v>
      </c>
      <c r="G331" s="555">
        <f>+G330</f>
        <v>0</v>
      </c>
      <c r="H331" s="555">
        <f>+H330</f>
        <v>0</v>
      </c>
      <c r="I331" s="556" t="str">
        <f>+I330</f>
        <v>[Price]</v>
      </c>
      <c r="J331" s="590" t="s">
        <v>916</v>
      </c>
      <c r="K331" s="557"/>
      <c r="L331" s="558"/>
      <c r="M331" s="558"/>
      <c r="N331" s="557"/>
      <c r="O331" s="558"/>
      <c r="P331" s="558"/>
      <c r="Q331" s="558"/>
      <c r="R331" s="1036"/>
      <c r="S331" s="1139"/>
      <c r="T331" s="593"/>
      <c r="U331" s="1036"/>
      <c r="V331" s="1139"/>
      <c r="W331" s="593"/>
      <c r="X331" s="593"/>
      <c r="Y331" s="593"/>
      <c r="Z331" s="1036"/>
      <c r="AA331" s="1139"/>
      <c r="AB331" s="593"/>
      <c r="AC331" s="593"/>
      <c r="AD331" s="593"/>
      <c r="AE331" s="1036"/>
      <c r="AF331" s="1139"/>
      <c r="AG331" s="593"/>
      <c r="AH331" s="593"/>
      <c r="AI331" s="593"/>
      <c r="AJ331" s="1036"/>
      <c r="AK331" s="569"/>
      <c r="AL331" s="569"/>
      <c r="AN331" s="857"/>
      <c r="AO331" s="961" t="str">
        <f t="shared" si="506"/>
        <v>Qty</v>
      </c>
      <c r="AP331" s="962" t="str">
        <f t="shared" si="507"/>
        <v>[Service]</v>
      </c>
      <c r="AQ331" s="963" t="str">
        <f t="shared" si="508"/>
        <v>[Price]</v>
      </c>
      <c r="AR331" s="967" t="str">
        <f t="shared" si="509"/>
        <v>-</v>
      </c>
      <c r="AS331" s="964" t="str">
        <f t="shared" si="510"/>
        <v>-</v>
      </c>
      <c r="AT331" s="964" t="str">
        <f t="shared" si="511"/>
        <v>-</v>
      </c>
      <c r="AU331" s="964" t="str">
        <f t="shared" si="512"/>
        <v>-</v>
      </c>
      <c r="AV331" s="1350" t="str">
        <f t="shared" si="513"/>
        <v>-</v>
      </c>
      <c r="AW331" s="1343" t="str">
        <f t="shared" si="514"/>
        <v>-</v>
      </c>
      <c r="AX331" s="964" t="str">
        <f t="shared" si="515"/>
        <v>-</v>
      </c>
      <c r="AY331" s="964" t="str">
        <f t="shared" si="516"/>
        <v>-</v>
      </c>
      <c r="AZ331" s="964" t="str">
        <f t="shared" si="517"/>
        <v>-</v>
      </c>
      <c r="BA331" s="965" t="str">
        <f t="shared" si="518"/>
        <v>-</v>
      </c>
      <c r="BB331" s="1343" t="str">
        <f t="shared" si="519"/>
        <v>-</v>
      </c>
      <c r="BC331" s="964" t="str">
        <f t="shared" si="520"/>
        <v>-</v>
      </c>
      <c r="BD331" s="964" t="str">
        <f t="shared" si="521"/>
        <v>-</v>
      </c>
      <c r="BE331" s="964" t="str">
        <f t="shared" si="522"/>
        <v>-</v>
      </c>
      <c r="BF331" s="966" t="str">
        <f t="shared" si="523"/>
        <v>-</v>
      </c>
      <c r="BG331" s="951"/>
      <c r="BH331" s="1541" t="str">
        <f t="shared" si="524"/>
        <v>Qty</v>
      </c>
      <c r="BI331" s="1542" t="str">
        <f t="shared" si="525"/>
        <v>[Service]</v>
      </c>
      <c r="BJ331" s="1543" t="str">
        <f t="shared" si="526"/>
        <v>[Price]</v>
      </c>
      <c r="BK331" s="964" t="str">
        <f t="shared" ref="BK331:BU331" si="543">IF(V331="","-",IFERROR((V331/U331-1)*(U332/U$13),"-"))</f>
        <v>-</v>
      </c>
      <c r="BL331" s="964" t="str">
        <f t="shared" si="543"/>
        <v>-</v>
      </c>
      <c r="BM331" s="964" t="str">
        <f t="shared" si="543"/>
        <v>-</v>
      </c>
      <c r="BN331" s="964" t="str">
        <f t="shared" si="543"/>
        <v>-</v>
      </c>
      <c r="BO331" s="1350" t="str">
        <f t="shared" si="543"/>
        <v>-</v>
      </c>
      <c r="BP331" s="1343" t="str">
        <f t="shared" si="543"/>
        <v>-</v>
      </c>
      <c r="BQ331" s="964" t="str">
        <f t="shared" si="543"/>
        <v>-</v>
      </c>
      <c r="BR331" s="964" t="str">
        <f t="shared" si="543"/>
        <v>-</v>
      </c>
      <c r="BS331" s="964" t="str">
        <f t="shared" si="543"/>
        <v>-</v>
      </c>
      <c r="BT331" s="965" t="str">
        <f t="shared" si="543"/>
        <v>-</v>
      </c>
      <c r="BU331" s="964" t="str">
        <f t="shared" si="543"/>
        <v>-</v>
      </c>
      <c r="BV331" s="964" t="str">
        <f>IF(AG331="","-",IFERROR((AG331/AF331-1)*(AF332/AF$13),"-"))</f>
        <v>-</v>
      </c>
      <c r="BW331" s="964" t="str">
        <f>IF(AH331="","-",IFERROR((AH331/AG331-1)*(AG332/AG$13),"-"))</f>
        <v>-</v>
      </c>
      <c r="BX331" s="964" t="str">
        <f>IF(AI331="","-",IFERROR((AI331/AH331-1)*(AH332/AH$13),"-"))</f>
        <v>-</v>
      </c>
      <c r="BY331" s="966" t="str">
        <f>IF(AJ331="","-",IFERROR((AJ331/AI331-1)*(AI332/AI$13),"-"))</f>
        <v>-</v>
      </c>
      <c r="BZ331" s="951"/>
      <c r="CA331" s="961" t="str">
        <f t="shared" si="503"/>
        <v>Qty</v>
      </c>
      <c r="CB331" s="962" t="str">
        <f t="shared" si="504"/>
        <v>[Service]</v>
      </c>
      <c r="CC331" s="962" t="str">
        <f t="shared" si="505"/>
        <v>[Price]</v>
      </c>
      <c r="CD331" s="967" t="str">
        <f t="shared" si="536"/>
        <v>-</v>
      </c>
      <c r="CE331" s="964" t="str">
        <f t="shared" si="528"/>
        <v>-</v>
      </c>
      <c r="CF331" s="964" t="str">
        <f t="shared" si="529"/>
        <v>-</v>
      </c>
      <c r="CG331" s="965" t="str">
        <f t="shared" si="530"/>
        <v>-</v>
      </c>
      <c r="CH331" s="964" t="str">
        <f t="shared" si="537"/>
        <v>-</v>
      </c>
      <c r="CI331" s="964" t="str">
        <f t="shared" si="531"/>
        <v>-</v>
      </c>
      <c r="CJ331" s="964" t="str">
        <f t="shared" si="532"/>
        <v>-</v>
      </c>
      <c r="CK331" s="966" t="str">
        <f t="shared" si="533"/>
        <v>-</v>
      </c>
    </row>
    <row r="332" spans="4:89" ht="12.75" thickBot="1">
      <c r="E332" s="568" t="s">
        <v>882</v>
      </c>
      <c r="F332" s="560" t="str">
        <f>+F330</f>
        <v>[Service]</v>
      </c>
      <c r="G332" s="561">
        <f>+G330</f>
        <v>0</v>
      </c>
      <c r="H332" s="561">
        <f>+H330</f>
        <v>0</v>
      </c>
      <c r="I332" s="562" t="str">
        <f>+I330</f>
        <v>[Price]</v>
      </c>
      <c r="J332" s="563" t="s">
        <v>883</v>
      </c>
      <c r="K332" s="564">
        <f t="shared" ref="K332:AJ332" si="544">K330*K331/10^6</f>
        <v>0</v>
      </c>
      <c r="L332" s="565">
        <f t="shared" si="544"/>
        <v>0</v>
      </c>
      <c r="M332" s="565">
        <f t="shared" si="544"/>
        <v>0</v>
      </c>
      <c r="N332" s="564">
        <f t="shared" si="544"/>
        <v>0</v>
      </c>
      <c r="O332" s="565">
        <f t="shared" si="544"/>
        <v>0</v>
      </c>
      <c r="P332" s="565">
        <f t="shared" si="544"/>
        <v>0</v>
      </c>
      <c r="Q332" s="565">
        <f t="shared" si="544"/>
        <v>0</v>
      </c>
      <c r="R332" s="566">
        <f t="shared" si="544"/>
        <v>0</v>
      </c>
      <c r="S332" s="564">
        <f t="shared" si="544"/>
        <v>0</v>
      </c>
      <c r="T332" s="565">
        <f t="shared" si="544"/>
        <v>0</v>
      </c>
      <c r="U332" s="566">
        <f t="shared" si="544"/>
        <v>0</v>
      </c>
      <c r="V332" s="564">
        <f t="shared" si="544"/>
        <v>0</v>
      </c>
      <c r="W332" s="565">
        <f t="shared" si="544"/>
        <v>0</v>
      </c>
      <c r="X332" s="565">
        <f t="shared" si="544"/>
        <v>0</v>
      </c>
      <c r="Y332" s="565">
        <f t="shared" si="544"/>
        <v>0</v>
      </c>
      <c r="Z332" s="566">
        <f t="shared" si="544"/>
        <v>0</v>
      </c>
      <c r="AA332" s="564">
        <f t="shared" si="544"/>
        <v>0</v>
      </c>
      <c r="AB332" s="565">
        <f t="shared" si="544"/>
        <v>0</v>
      </c>
      <c r="AC332" s="565">
        <f t="shared" si="544"/>
        <v>0</v>
      </c>
      <c r="AD332" s="565">
        <f t="shared" si="544"/>
        <v>0</v>
      </c>
      <c r="AE332" s="566">
        <f t="shared" si="544"/>
        <v>0</v>
      </c>
      <c r="AF332" s="564">
        <f t="shared" si="544"/>
        <v>0</v>
      </c>
      <c r="AG332" s="565">
        <f t="shared" si="544"/>
        <v>0</v>
      </c>
      <c r="AH332" s="565">
        <f t="shared" si="544"/>
        <v>0</v>
      </c>
      <c r="AI332" s="565">
        <f t="shared" si="544"/>
        <v>0</v>
      </c>
      <c r="AJ332" s="566">
        <f t="shared" si="544"/>
        <v>0</v>
      </c>
      <c r="AK332" s="569"/>
      <c r="AL332" s="569"/>
      <c r="AN332" s="857"/>
      <c r="AO332" s="984" t="str">
        <f t="shared" si="506"/>
        <v>Rev</v>
      </c>
      <c r="AP332" s="985" t="str">
        <f t="shared" si="507"/>
        <v>[Service]</v>
      </c>
      <c r="AQ332" s="986" t="str">
        <f t="shared" si="508"/>
        <v>[Price]</v>
      </c>
      <c r="AR332" s="990" t="str">
        <f t="shared" si="509"/>
        <v>-</v>
      </c>
      <c r="AS332" s="987" t="str">
        <f t="shared" si="510"/>
        <v>-</v>
      </c>
      <c r="AT332" s="987" t="str">
        <f t="shared" si="511"/>
        <v>-</v>
      </c>
      <c r="AU332" s="987" t="str">
        <f t="shared" si="512"/>
        <v>-</v>
      </c>
      <c r="AV332" s="1353" t="str">
        <f t="shared" si="513"/>
        <v>-</v>
      </c>
      <c r="AW332" s="1346" t="str">
        <f t="shared" si="514"/>
        <v>-</v>
      </c>
      <c r="AX332" s="987" t="str">
        <f t="shared" si="515"/>
        <v>-</v>
      </c>
      <c r="AY332" s="987" t="str">
        <f t="shared" si="516"/>
        <v>-</v>
      </c>
      <c r="AZ332" s="987" t="str">
        <f t="shared" si="517"/>
        <v>-</v>
      </c>
      <c r="BA332" s="988" t="str">
        <f t="shared" si="518"/>
        <v>-</v>
      </c>
      <c r="BB332" s="1346" t="str">
        <f t="shared" si="519"/>
        <v>-</v>
      </c>
      <c r="BC332" s="987" t="str">
        <f t="shared" si="520"/>
        <v>-</v>
      </c>
      <c r="BD332" s="987" t="str">
        <f t="shared" si="521"/>
        <v>-</v>
      </c>
      <c r="BE332" s="987" t="str">
        <f t="shared" si="522"/>
        <v>-</v>
      </c>
      <c r="BF332" s="989" t="str">
        <f t="shared" si="523"/>
        <v>-</v>
      </c>
      <c r="BG332" s="951"/>
      <c r="BH332" s="1550" t="str">
        <f t="shared" si="524"/>
        <v>Rev</v>
      </c>
      <c r="BI332" s="1551" t="str">
        <f t="shared" si="525"/>
        <v>[Service]</v>
      </c>
      <c r="BJ332" s="1552" t="str">
        <f t="shared" si="526"/>
        <v>[Price]</v>
      </c>
      <c r="BK332" s="987" t="str">
        <f t="shared" ref="BK332:BU332" si="545">IF(V332="","-",IFERROR((V332/U332-1)*(U332/U$13),"-"))</f>
        <v>-</v>
      </c>
      <c r="BL332" s="987" t="str">
        <f t="shared" si="545"/>
        <v>-</v>
      </c>
      <c r="BM332" s="987" t="str">
        <f t="shared" si="545"/>
        <v>-</v>
      </c>
      <c r="BN332" s="987" t="str">
        <f t="shared" si="545"/>
        <v>-</v>
      </c>
      <c r="BO332" s="1353" t="str">
        <f t="shared" si="545"/>
        <v>-</v>
      </c>
      <c r="BP332" s="1346" t="str">
        <f t="shared" si="545"/>
        <v>-</v>
      </c>
      <c r="BQ332" s="987" t="str">
        <f t="shared" si="545"/>
        <v>-</v>
      </c>
      <c r="BR332" s="987" t="str">
        <f t="shared" si="545"/>
        <v>-</v>
      </c>
      <c r="BS332" s="987" t="str">
        <f t="shared" si="545"/>
        <v>-</v>
      </c>
      <c r="BT332" s="988" t="str">
        <f t="shared" si="545"/>
        <v>-</v>
      </c>
      <c r="BU332" s="987" t="str">
        <f t="shared" si="545"/>
        <v>-</v>
      </c>
      <c r="BV332" s="987" t="str">
        <f>IF(AG332="","-",IFERROR((AG332/AF332-1)*(AF332/AF$13),"-"))</f>
        <v>-</v>
      </c>
      <c r="BW332" s="987" t="str">
        <f>IF(AH332="","-",IFERROR((AH332/AG332-1)*(AG332/AG$13),"-"))</f>
        <v>-</v>
      </c>
      <c r="BX332" s="987" t="str">
        <f>IF(AI332="","-",IFERROR((AI332/AH332-1)*(AH332/AH$13),"-"))</f>
        <v>-</v>
      </c>
      <c r="BY332" s="989" t="str">
        <f>IF(AJ332="","-",IFERROR((AJ332/AI332-1)*(AI332/AI$13),"-"))</f>
        <v>-</v>
      </c>
      <c r="BZ332" s="951"/>
      <c r="CA332" s="984" t="str">
        <f t="shared" si="503"/>
        <v>Rev</v>
      </c>
      <c r="CB332" s="985" t="str">
        <f t="shared" si="504"/>
        <v>[Service]</v>
      </c>
      <c r="CC332" s="985" t="str">
        <f t="shared" si="505"/>
        <v>[Price]</v>
      </c>
      <c r="CD332" s="990" t="str">
        <f t="shared" si="536"/>
        <v>-</v>
      </c>
      <c r="CE332" s="987" t="str">
        <f t="shared" si="528"/>
        <v>-</v>
      </c>
      <c r="CF332" s="987" t="str">
        <f t="shared" si="529"/>
        <v>-</v>
      </c>
      <c r="CG332" s="988" t="str">
        <f t="shared" si="530"/>
        <v>-</v>
      </c>
      <c r="CH332" s="987" t="str">
        <f t="shared" si="537"/>
        <v>-</v>
      </c>
      <c r="CI332" s="987" t="str">
        <f t="shared" si="531"/>
        <v>-</v>
      </c>
      <c r="CJ332" s="987" t="str">
        <f t="shared" si="532"/>
        <v>-</v>
      </c>
      <c r="CK332" s="989" t="str">
        <f t="shared" si="533"/>
        <v>-</v>
      </c>
    </row>
    <row r="333" spans="4:89">
      <c r="D333" s="63">
        <f>D330+1</f>
        <v>89</v>
      </c>
      <c r="E333" s="550" t="s">
        <v>857</v>
      </c>
      <c r="F333" s="595" t="s">
        <v>428</v>
      </c>
      <c r="G333" s="595"/>
      <c r="H333" s="595"/>
      <c r="I333" s="589" t="s">
        <v>920</v>
      </c>
      <c r="J333" s="589" t="s">
        <v>879</v>
      </c>
      <c r="K333" s="551"/>
      <c r="L333" s="552"/>
      <c r="M333" s="552"/>
      <c r="N333" s="551"/>
      <c r="O333" s="552"/>
      <c r="P333" s="552"/>
      <c r="Q333" s="552"/>
      <c r="R333" s="1035"/>
      <c r="S333" s="1138"/>
      <c r="T333" s="591"/>
      <c r="U333" s="1035"/>
      <c r="V333" s="1138"/>
      <c r="W333" s="591"/>
      <c r="X333" s="591"/>
      <c r="Y333" s="591"/>
      <c r="Z333" s="1035"/>
      <c r="AA333" s="1138"/>
      <c r="AB333" s="591"/>
      <c r="AC333" s="591"/>
      <c r="AD333" s="591"/>
      <c r="AE333" s="1035"/>
      <c r="AF333" s="1138"/>
      <c r="AG333" s="591"/>
      <c r="AH333" s="591"/>
      <c r="AI333" s="591"/>
      <c r="AJ333" s="1035"/>
      <c r="AK333" s="569"/>
      <c r="AL333" s="569"/>
      <c r="AM333" s="974"/>
      <c r="AN333" s="857"/>
      <c r="AO333" s="975" t="str">
        <f t="shared" si="506"/>
        <v>Price</v>
      </c>
      <c r="AP333" s="976" t="str">
        <f t="shared" si="507"/>
        <v>[Service]</v>
      </c>
      <c r="AQ333" s="977" t="str">
        <f t="shared" si="508"/>
        <v>[Price]</v>
      </c>
      <c r="AR333" s="1341" t="str">
        <f t="shared" si="509"/>
        <v>-</v>
      </c>
      <c r="AS333" s="978" t="str">
        <f t="shared" si="510"/>
        <v>-</v>
      </c>
      <c r="AT333" s="979" t="str">
        <f t="shared" si="511"/>
        <v>-</v>
      </c>
      <c r="AU333" s="979" t="str">
        <f t="shared" si="512"/>
        <v>-</v>
      </c>
      <c r="AV333" s="1352" t="str">
        <f t="shared" si="513"/>
        <v>-</v>
      </c>
      <c r="AW333" s="1345" t="str">
        <f t="shared" si="514"/>
        <v>-</v>
      </c>
      <c r="AX333" s="979" t="str">
        <f t="shared" si="515"/>
        <v>-</v>
      </c>
      <c r="AY333" s="979" t="str">
        <f t="shared" si="516"/>
        <v>-</v>
      </c>
      <c r="AZ333" s="979" t="str">
        <f t="shared" si="517"/>
        <v>-</v>
      </c>
      <c r="BA333" s="980" t="str">
        <f t="shared" si="518"/>
        <v>-</v>
      </c>
      <c r="BB333" s="1345" t="str">
        <f t="shared" si="519"/>
        <v>-</v>
      </c>
      <c r="BC333" s="979" t="str">
        <f t="shared" si="520"/>
        <v>-</v>
      </c>
      <c r="BD333" s="979" t="str">
        <f t="shared" si="521"/>
        <v>-</v>
      </c>
      <c r="BE333" s="979" t="str">
        <f t="shared" si="522"/>
        <v>-</v>
      </c>
      <c r="BF333" s="981" t="str">
        <f t="shared" si="523"/>
        <v>-</v>
      </c>
      <c r="BG333" s="951"/>
      <c r="BH333" s="1547" t="str">
        <f t="shared" si="524"/>
        <v>Price</v>
      </c>
      <c r="BI333" s="1548" t="str">
        <f t="shared" si="525"/>
        <v>[Service]</v>
      </c>
      <c r="BJ333" s="1549" t="str">
        <f t="shared" si="526"/>
        <v>[Price]</v>
      </c>
      <c r="BK333" s="978" t="str">
        <f t="shared" ref="BK333:BU333" si="546">IF(V333="","-",IFERROR((V333/U333-1)*(U335/U$13),"-"))</f>
        <v>-</v>
      </c>
      <c r="BL333" s="978" t="str">
        <f t="shared" si="546"/>
        <v>-</v>
      </c>
      <c r="BM333" s="979" t="str">
        <f t="shared" si="546"/>
        <v>-</v>
      </c>
      <c r="BN333" s="979" t="str">
        <f t="shared" si="546"/>
        <v>-</v>
      </c>
      <c r="BO333" s="1352" t="str">
        <f t="shared" si="546"/>
        <v>-</v>
      </c>
      <c r="BP333" s="1345" t="str">
        <f t="shared" si="546"/>
        <v>-</v>
      </c>
      <c r="BQ333" s="979" t="str">
        <f t="shared" si="546"/>
        <v>-</v>
      </c>
      <c r="BR333" s="979" t="str">
        <f t="shared" si="546"/>
        <v>-</v>
      </c>
      <c r="BS333" s="979" t="str">
        <f t="shared" si="546"/>
        <v>-</v>
      </c>
      <c r="BT333" s="980" t="str">
        <f t="shared" si="546"/>
        <v>-</v>
      </c>
      <c r="BU333" s="979" t="str">
        <f t="shared" si="546"/>
        <v>-</v>
      </c>
      <c r="BV333" s="979" t="str">
        <f>IF(AG333="","-",IFERROR((AG333/AF333-1)*(AF335/AF$13),"-"))</f>
        <v>-</v>
      </c>
      <c r="BW333" s="979" t="str">
        <f>IF(AH333="","-",IFERROR((AH333/AG333-1)*(AG335/AG$13),"-"))</f>
        <v>-</v>
      </c>
      <c r="BX333" s="979" t="str">
        <f>IF(AI333="","-",IFERROR((AI333/AH333-1)*(AH335/AH$13),"-"))</f>
        <v>-</v>
      </c>
      <c r="BY333" s="981" t="str">
        <f>IF(AJ333="","-",IFERROR((AJ333/AI333-1)*(AI335/AI$13),"-"))</f>
        <v>-</v>
      </c>
      <c r="BZ333" s="951"/>
      <c r="CA333" s="975" t="str">
        <f t="shared" si="503"/>
        <v>Price</v>
      </c>
      <c r="CB333" s="976" t="str">
        <f t="shared" si="504"/>
        <v>[Service]</v>
      </c>
      <c r="CC333" s="982" t="str">
        <f t="shared" si="505"/>
        <v>[Price]</v>
      </c>
      <c r="CD333" s="983" t="str">
        <f t="shared" si="536"/>
        <v>-</v>
      </c>
      <c r="CE333" s="979" t="str">
        <f t="shared" si="528"/>
        <v>-</v>
      </c>
      <c r="CF333" s="979" t="str">
        <f t="shared" si="529"/>
        <v>-</v>
      </c>
      <c r="CG333" s="980" t="str">
        <f t="shared" si="530"/>
        <v>-</v>
      </c>
      <c r="CH333" s="979" t="str">
        <f t="shared" si="537"/>
        <v>-</v>
      </c>
      <c r="CI333" s="979" t="str">
        <f t="shared" si="531"/>
        <v>-</v>
      </c>
      <c r="CJ333" s="979" t="str">
        <f t="shared" si="532"/>
        <v>-</v>
      </c>
      <c r="CK333" s="981" t="str">
        <f t="shared" si="533"/>
        <v>-</v>
      </c>
    </row>
    <row r="334" spans="4:89">
      <c r="E334" s="567" t="s">
        <v>880</v>
      </c>
      <c r="F334" s="554" t="str">
        <f>+F333</f>
        <v>[Service]</v>
      </c>
      <c r="G334" s="555">
        <f>+G333</f>
        <v>0</v>
      </c>
      <c r="H334" s="555">
        <f>+H333</f>
        <v>0</v>
      </c>
      <c r="I334" s="556" t="str">
        <f>+I333</f>
        <v>[Price]</v>
      </c>
      <c r="J334" s="590" t="s">
        <v>916</v>
      </c>
      <c r="K334" s="557"/>
      <c r="L334" s="558"/>
      <c r="M334" s="558"/>
      <c r="N334" s="557"/>
      <c r="O334" s="558"/>
      <c r="P334" s="558"/>
      <c r="Q334" s="558"/>
      <c r="R334" s="1036"/>
      <c r="S334" s="1139"/>
      <c r="T334" s="593"/>
      <c r="U334" s="1036"/>
      <c r="V334" s="1139"/>
      <c r="W334" s="593"/>
      <c r="X334" s="593"/>
      <c r="Y334" s="593"/>
      <c r="Z334" s="1036"/>
      <c r="AA334" s="1139"/>
      <c r="AB334" s="593"/>
      <c r="AC334" s="593"/>
      <c r="AD334" s="593"/>
      <c r="AE334" s="1036"/>
      <c r="AF334" s="1139"/>
      <c r="AG334" s="593"/>
      <c r="AH334" s="593"/>
      <c r="AI334" s="593"/>
      <c r="AJ334" s="1036"/>
      <c r="AK334" s="569"/>
      <c r="AL334" s="569"/>
      <c r="AN334" s="857"/>
      <c r="AO334" s="961" t="str">
        <f t="shared" si="506"/>
        <v>Qty</v>
      </c>
      <c r="AP334" s="962" t="str">
        <f t="shared" si="507"/>
        <v>[Service]</v>
      </c>
      <c r="AQ334" s="963" t="str">
        <f t="shared" si="508"/>
        <v>[Price]</v>
      </c>
      <c r="AR334" s="967" t="str">
        <f t="shared" si="509"/>
        <v>-</v>
      </c>
      <c r="AS334" s="964" t="str">
        <f t="shared" si="510"/>
        <v>-</v>
      </c>
      <c r="AT334" s="964" t="str">
        <f t="shared" si="511"/>
        <v>-</v>
      </c>
      <c r="AU334" s="964" t="str">
        <f t="shared" si="512"/>
        <v>-</v>
      </c>
      <c r="AV334" s="1350" t="str">
        <f t="shared" si="513"/>
        <v>-</v>
      </c>
      <c r="AW334" s="1343" t="str">
        <f t="shared" si="514"/>
        <v>-</v>
      </c>
      <c r="AX334" s="964" t="str">
        <f t="shared" si="515"/>
        <v>-</v>
      </c>
      <c r="AY334" s="964" t="str">
        <f t="shared" si="516"/>
        <v>-</v>
      </c>
      <c r="AZ334" s="964" t="str">
        <f t="shared" si="517"/>
        <v>-</v>
      </c>
      <c r="BA334" s="965" t="str">
        <f t="shared" si="518"/>
        <v>-</v>
      </c>
      <c r="BB334" s="1343" t="str">
        <f t="shared" si="519"/>
        <v>-</v>
      </c>
      <c r="BC334" s="964" t="str">
        <f t="shared" si="520"/>
        <v>-</v>
      </c>
      <c r="BD334" s="964" t="str">
        <f t="shared" si="521"/>
        <v>-</v>
      </c>
      <c r="BE334" s="964" t="str">
        <f t="shared" si="522"/>
        <v>-</v>
      </c>
      <c r="BF334" s="966" t="str">
        <f t="shared" si="523"/>
        <v>-</v>
      </c>
      <c r="BG334" s="951"/>
      <c r="BH334" s="1541" t="str">
        <f t="shared" si="524"/>
        <v>Qty</v>
      </c>
      <c r="BI334" s="1542" t="str">
        <f t="shared" si="525"/>
        <v>[Service]</v>
      </c>
      <c r="BJ334" s="1543" t="str">
        <f t="shared" si="526"/>
        <v>[Price]</v>
      </c>
      <c r="BK334" s="964" t="str">
        <f t="shared" ref="BK334:BU334" si="547">IF(V334="","-",IFERROR((V334/U334-1)*(U335/U$13),"-"))</f>
        <v>-</v>
      </c>
      <c r="BL334" s="964" t="str">
        <f t="shared" si="547"/>
        <v>-</v>
      </c>
      <c r="BM334" s="964" t="str">
        <f t="shared" si="547"/>
        <v>-</v>
      </c>
      <c r="BN334" s="964" t="str">
        <f t="shared" si="547"/>
        <v>-</v>
      </c>
      <c r="BO334" s="1350" t="str">
        <f t="shared" si="547"/>
        <v>-</v>
      </c>
      <c r="BP334" s="1343" t="str">
        <f t="shared" si="547"/>
        <v>-</v>
      </c>
      <c r="BQ334" s="964" t="str">
        <f t="shared" si="547"/>
        <v>-</v>
      </c>
      <c r="BR334" s="964" t="str">
        <f t="shared" si="547"/>
        <v>-</v>
      </c>
      <c r="BS334" s="964" t="str">
        <f t="shared" si="547"/>
        <v>-</v>
      </c>
      <c r="BT334" s="965" t="str">
        <f t="shared" si="547"/>
        <v>-</v>
      </c>
      <c r="BU334" s="964" t="str">
        <f t="shared" si="547"/>
        <v>-</v>
      </c>
      <c r="BV334" s="964" t="str">
        <f>IF(AG334="","-",IFERROR((AG334/AF334-1)*(AF335/AF$13),"-"))</f>
        <v>-</v>
      </c>
      <c r="BW334" s="964" t="str">
        <f>IF(AH334="","-",IFERROR((AH334/AG334-1)*(AG335/AG$13),"-"))</f>
        <v>-</v>
      </c>
      <c r="BX334" s="964" t="str">
        <f>IF(AI334="","-",IFERROR((AI334/AH334-1)*(AH335/AH$13),"-"))</f>
        <v>-</v>
      </c>
      <c r="BY334" s="966" t="str">
        <f>IF(AJ334="","-",IFERROR((AJ334/AI334-1)*(AI335/AI$13),"-"))</f>
        <v>-</v>
      </c>
      <c r="BZ334" s="951"/>
      <c r="CA334" s="961" t="str">
        <f t="shared" si="503"/>
        <v>Qty</v>
      </c>
      <c r="CB334" s="962" t="str">
        <f t="shared" si="504"/>
        <v>[Service]</v>
      </c>
      <c r="CC334" s="962" t="str">
        <f t="shared" si="505"/>
        <v>[Price]</v>
      </c>
      <c r="CD334" s="967" t="str">
        <f t="shared" si="536"/>
        <v>-</v>
      </c>
      <c r="CE334" s="964" t="str">
        <f t="shared" si="528"/>
        <v>-</v>
      </c>
      <c r="CF334" s="964" t="str">
        <f t="shared" si="529"/>
        <v>-</v>
      </c>
      <c r="CG334" s="965" t="str">
        <f t="shared" si="530"/>
        <v>-</v>
      </c>
      <c r="CH334" s="964" t="str">
        <f t="shared" si="537"/>
        <v>-</v>
      </c>
      <c r="CI334" s="964" t="str">
        <f t="shared" si="531"/>
        <v>-</v>
      </c>
      <c r="CJ334" s="964" t="str">
        <f t="shared" si="532"/>
        <v>-</v>
      </c>
      <c r="CK334" s="966" t="str">
        <f t="shared" si="533"/>
        <v>-</v>
      </c>
    </row>
    <row r="335" spans="4:89" ht="12.75" outlineLevel="1" thickBot="1">
      <c r="E335" s="568" t="s">
        <v>882</v>
      </c>
      <c r="F335" s="560" t="str">
        <f>+F333</f>
        <v>[Service]</v>
      </c>
      <c r="G335" s="561">
        <f>+G333</f>
        <v>0</v>
      </c>
      <c r="H335" s="561">
        <f>+H333</f>
        <v>0</v>
      </c>
      <c r="I335" s="562" t="str">
        <f>+I333</f>
        <v>[Price]</v>
      </c>
      <c r="J335" s="563" t="s">
        <v>883</v>
      </c>
      <c r="K335" s="564">
        <f t="shared" ref="K335:AJ335" si="548">K333*K334/10^6</f>
        <v>0</v>
      </c>
      <c r="L335" s="565">
        <f t="shared" si="548"/>
        <v>0</v>
      </c>
      <c r="M335" s="565">
        <f t="shared" si="548"/>
        <v>0</v>
      </c>
      <c r="N335" s="564">
        <f t="shared" si="548"/>
        <v>0</v>
      </c>
      <c r="O335" s="565">
        <f t="shared" si="548"/>
        <v>0</v>
      </c>
      <c r="P335" s="565">
        <f t="shared" si="548"/>
        <v>0</v>
      </c>
      <c r="Q335" s="565">
        <f t="shared" si="548"/>
        <v>0</v>
      </c>
      <c r="R335" s="566">
        <f t="shared" si="548"/>
        <v>0</v>
      </c>
      <c r="S335" s="564">
        <f t="shared" si="548"/>
        <v>0</v>
      </c>
      <c r="T335" s="565">
        <f t="shared" si="548"/>
        <v>0</v>
      </c>
      <c r="U335" s="566">
        <f t="shared" si="548"/>
        <v>0</v>
      </c>
      <c r="V335" s="564">
        <f t="shared" si="548"/>
        <v>0</v>
      </c>
      <c r="W335" s="565">
        <f t="shared" si="548"/>
        <v>0</v>
      </c>
      <c r="X335" s="565">
        <f t="shared" si="548"/>
        <v>0</v>
      </c>
      <c r="Y335" s="565">
        <f t="shared" si="548"/>
        <v>0</v>
      </c>
      <c r="Z335" s="566">
        <f t="shared" si="548"/>
        <v>0</v>
      </c>
      <c r="AA335" s="564">
        <f t="shared" si="548"/>
        <v>0</v>
      </c>
      <c r="AB335" s="565">
        <f t="shared" si="548"/>
        <v>0</v>
      </c>
      <c r="AC335" s="565">
        <f t="shared" si="548"/>
        <v>0</v>
      </c>
      <c r="AD335" s="565">
        <f t="shared" si="548"/>
        <v>0</v>
      </c>
      <c r="AE335" s="566">
        <f t="shared" si="548"/>
        <v>0</v>
      </c>
      <c r="AF335" s="564">
        <f t="shared" si="548"/>
        <v>0</v>
      </c>
      <c r="AG335" s="565">
        <f t="shared" si="548"/>
        <v>0</v>
      </c>
      <c r="AH335" s="565">
        <f t="shared" si="548"/>
        <v>0</v>
      </c>
      <c r="AI335" s="565">
        <f t="shared" si="548"/>
        <v>0</v>
      </c>
      <c r="AJ335" s="566">
        <f t="shared" si="548"/>
        <v>0</v>
      </c>
      <c r="AK335" s="569"/>
      <c r="AL335" s="569"/>
      <c r="AN335" s="857"/>
      <c r="AO335" s="984" t="str">
        <f t="shared" si="506"/>
        <v>Rev</v>
      </c>
      <c r="AP335" s="985" t="str">
        <f t="shared" si="507"/>
        <v>[Service]</v>
      </c>
      <c r="AQ335" s="986" t="str">
        <f t="shared" si="508"/>
        <v>[Price]</v>
      </c>
      <c r="AR335" s="990" t="str">
        <f t="shared" si="509"/>
        <v>-</v>
      </c>
      <c r="AS335" s="987" t="str">
        <f t="shared" si="510"/>
        <v>-</v>
      </c>
      <c r="AT335" s="987" t="str">
        <f t="shared" si="511"/>
        <v>-</v>
      </c>
      <c r="AU335" s="987" t="str">
        <f t="shared" si="512"/>
        <v>-</v>
      </c>
      <c r="AV335" s="1353" t="str">
        <f t="shared" si="513"/>
        <v>-</v>
      </c>
      <c r="AW335" s="1346" t="str">
        <f t="shared" si="514"/>
        <v>-</v>
      </c>
      <c r="AX335" s="987" t="str">
        <f t="shared" si="515"/>
        <v>-</v>
      </c>
      <c r="AY335" s="987" t="str">
        <f t="shared" si="516"/>
        <v>-</v>
      </c>
      <c r="AZ335" s="987" t="str">
        <f t="shared" si="517"/>
        <v>-</v>
      </c>
      <c r="BA335" s="988" t="str">
        <f t="shared" si="518"/>
        <v>-</v>
      </c>
      <c r="BB335" s="1346" t="str">
        <f t="shared" si="519"/>
        <v>-</v>
      </c>
      <c r="BC335" s="987" t="str">
        <f t="shared" si="520"/>
        <v>-</v>
      </c>
      <c r="BD335" s="987" t="str">
        <f t="shared" si="521"/>
        <v>-</v>
      </c>
      <c r="BE335" s="987" t="str">
        <f t="shared" si="522"/>
        <v>-</v>
      </c>
      <c r="BF335" s="989" t="str">
        <f t="shared" si="523"/>
        <v>-</v>
      </c>
      <c r="BG335" s="951"/>
      <c r="BH335" s="1550" t="str">
        <f t="shared" si="524"/>
        <v>Rev</v>
      </c>
      <c r="BI335" s="1551" t="str">
        <f t="shared" si="525"/>
        <v>[Service]</v>
      </c>
      <c r="BJ335" s="1552" t="str">
        <f t="shared" si="526"/>
        <v>[Price]</v>
      </c>
      <c r="BK335" s="987" t="str">
        <f t="shared" ref="BK335:BU335" si="549">IF(V335="","-",IFERROR((V335/U335-1)*(U335/U$13),"-"))</f>
        <v>-</v>
      </c>
      <c r="BL335" s="987" t="str">
        <f t="shared" si="549"/>
        <v>-</v>
      </c>
      <c r="BM335" s="987" t="str">
        <f t="shared" si="549"/>
        <v>-</v>
      </c>
      <c r="BN335" s="987" t="str">
        <f t="shared" si="549"/>
        <v>-</v>
      </c>
      <c r="BO335" s="1353" t="str">
        <f t="shared" si="549"/>
        <v>-</v>
      </c>
      <c r="BP335" s="1346" t="str">
        <f t="shared" si="549"/>
        <v>-</v>
      </c>
      <c r="BQ335" s="987" t="str">
        <f t="shared" si="549"/>
        <v>-</v>
      </c>
      <c r="BR335" s="987" t="str">
        <f t="shared" si="549"/>
        <v>-</v>
      </c>
      <c r="BS335" s="987" t="str">
        <f t="shared" si="549"/>
        <v>-</v>
      </c>
      <c r="BT335" s="988" t="str">
        <f t="shared" si="549"/>
        <v>-</v>
      </c>
      <c r="BU335" s="987" t="str">
        <f t="shared" si="549"/>
        <v>-</v>
      </c>
      <c r="BV335" s="987" t="str">
        <f>IF(AG335="","-",IFERROR((AG335/AF335-1)*(AF335/AF$13),"-"))</f>
        <v>-</v>
      </c>
      <c r="BW335" s="987" t="str">
        <f>IF(AH335="","-",IFERROR((AH335/AG335-1)*(AG335/AG$13),"-"))</f>
        <v>-</v>
      </c>
      <c r="BX335" s="987" t="str">
        <f>IF(AI335="","-",IFERROR((AI335/AH335-1)*(AH335/AH$13),"-"))</f>
        <v>-</v>
      </c>
      <c r="BY335" s="989" t="str">
        <f>IF(AJ335="","-",IFERROR((AJ335/AI335-1)*(AI335/AI$13),"-"))</f>
        <v>-</v>
      </c>
      <c r="BZ335" s="951"/>
      <c r="CA335" s="984" t="str">
        <f t="shared" si="503"/>
        <v>Rev</v>
      </c>
      <c r="CB335" s="985" t="str">
        <f t="shared" si="504"/>
        <v>[Service]</v>
      </c>
      <c r="CC335" s="985" t="str">
        <f t="shared" si="505"/>
        <v>[Price]</v>
      </c>
      <c r="CD335" s="990" t="str">
        <f t="shared" si="536"/>
        <v>-</v>
      </c>
      <c r="CE335" s="987" t="str">
        <f t="shared" si="528"/>
        <v>-</v>
      </c>
      <c r="CF335" s="987" t="str">
        <f t="shared" si="529"/>
        <v>-</v>
      </c>
      <c r="CG335" s="988" t="str">
        <f t="shared" si="530"/>
        <v>-</v>
      </c>
      <c r="CH335" s="987" t="str">
        <f t="shared" si="537"/>
        <v>-</v>
      </c>
      <c r="CI335" s="987" t="str">
        <f t="shared" si="531"/>
        <v>-</v>
      </c>
      <c r="CJ335" s="987" t="str">
        <f t="shared" si="532"/>
        <v>-</v>
      </c>
      <c r="CK335" s="989" t="str">
        <f t="shared" si="533"/>
        <v>-</v>
      </c>
    </row>
    <row r="336" spans="4:89" outlineLevel="1">
      <c r="D336" s="63">
        <f>D333+1</f>
        <v>90</v>
      </c>
      <c r="E336" s="550" t="s">
        <v>857</v>
      </c>
      <c r="F336" s="595" t="s">
        <v>428</v>
      </c>
      <c r="G336" s="595"/>
      <c r="H336" s="595"/>
      <c r="I336" s="589" t="s">
        <v>920</v>
      </c>
      <c r="J336" s="589" t="s">
        <v>879</v>
      </c>
      <c r="K336" s="551"/>
      <c r="L336" s="552"/>
      <c r="M336" s="552"/>
      <c r="N336" s="551"/>
      <c r="O336" s="552"/>
      <c r="P336" s="552"/>
      <c r="Q336" s="552"/>
      <c r="R336" s="1035"/>
      <c r="S336" s="1138"/>
      <c r="T336" s="591"/>
      <c r="U336" s="1035"/>
      <c r="V336" s="1138"/>
      <c r="W336" s="591"/>
      <c r="X336" s="591"/>
      <c r="Y336" s="591"/>
      <c r="Z336" s="1035"/>
      <c r="AA336" s="1138"/>
      <c r="AB336" s="591"/>
      <c r="AC336" s="591"/>
      <c r="AD336" s="591"/>
      <c r="AE336" s="1035"/>
      <c r="AF336" s="1138"/>
      <c r="AG336" s="591"/>
      <c r="AH336" s="591"/>
      <c r="AI336" s="591"/>
      <c r="AJ336" s="1035"/>
      <c r="AK336" s="569"/>
      <c r="AL336" s="569"/>
      <c r="AM336" s="974"/>
      <c r="AN336" s="857"/>
      <c r="AO336" s="975" t="str">
        <f t="shared" si="506"/>
        <v>Price</v>
      </c>
      <c r="AP336" s="976" t="str">
        <f t="shared" si="507"/>
        <v>[Service]</v>
      </c>
      <c r="AQ336" s="977" t="str">
        <f t="shared" si="508"/>
        <v>[Price]</v>
      </c>
      <c r="AR336" s="1341" t="str">
        <f t="shared" si="509"/>
        <v>-</v>
      </c>
      <c r="AS336" s="978" t="str">
        <f t="shared" si="510"/>
        <v>-</v>
      </c>
      <c r="AT336" s="979" t="str">
        <f t="shared" si="511"/>
        <v>-</v>
      </c>
      <c r="AU336" s="979" t="str">
        <f t="shared" si="512"/>
        <v>-</v>
      </c>
      <c r="AV336" s="1352" t="str">
        <f t="shared" si="513"/>
        <v>-</v>
      </c>
      <c r="AW336" s="1345" t="str">
        <f t="shared" si="514"/>
        <v>-</v>
      </c>
      <c r="AX336" s="979" t="str">
        <f t="shared" si="515"/>
        <v>-</v>
      </c>
      <c r="AY336" s="979" t="str">
        <f t="shared" si="516"/>
        <v>-</v>
      </c>
      <c r="AZ336" s="979" t="str">
        <f t="shared" si="517"/>
        <v>-</v>
      </c>
      <c r="BA336" s="980" t="str">
        <f t="shared" si="518"/>
        <v>-</v>
      </c>
      <c r="BB336" s="1345" t="str">
        <f t="shared" si="519"/>
        <v>-</v>
      </c>
      <c r="BC336" s="979" t="str">
        <f t="shared" si="520"/>
        <v>-</v>
      </c>
      <c r="BD336" s="979" t="str">
        <f t="shared" si="521"/>
        <v>-</v>
      </c>
      <c r="BE336" s="979" t="str">
        <f t="shared" si="522"/>
        <v>-</v>
      </c>
      <c r="BF336" s="981" t="str">
        <f t="shared" si="523"/>
        <v>-</v>
      </c>
      <c r="BG336" s="951"/>
      <c r="BH336" s="1547" t="str">
        <f t="shared" si="524"/>
        <v>Price</v>
      </c>
      <c r="BI336" s="1548" t="str">
        <f t="shared" si="525"/>
        <v>[Service]</v>
      </c>
      <c r="BJ336" s="1549" t="str">
        <f t="shared" si="526"/>
        <v>[Price]</v>
      </c>
      <c r="BK336" s="978" t="str">
        <f t="shared" ref="BK336:BU336" si="550">IF(V336="","-",IFERROR((V336/U336-1)*(U338/U$13),"-"))</f>
        <v>-</v>
      </c>
      <c r="BL336" s="978" t="str">
        <f t="shared" si="550"/>
        <v>-</v>
      </c>
      <c r="BM336" s="979" t="str">
        <f t="shared" si="550"/>
        <v>-</v>
      </c>
      <c r="BN336" s="979" t="str">
        <f t="shared" si="550"/>
        <v>-</v>
      </c>
      <c r="BO336" s="1352" t="str">
        <f t="shared" si="550"/>
        <v>-</v>
      </c>
      <c r="BP336" s="1345" t="str">
        <f t="shared" si="550"/>
        <v>-</v>
      </c>
      <c r="BQ336" s="979" t="str">
        <f t="shared" si="550"/>
        <v>-</v>
      </c>
      <c r="BR336" s="979" t="str">
        <f t="shared" si="550"/>
        <v>-</v>
      </c>
      <c r="BS336" s="979" t="str">
        <f t="shared" si="550"/>
        <v>-</v>
      </c>
      <c r="BT336" s="980" t="str">
        <f t="shared" si="550"/>
        <v>-</v>
      </c>
      <c r="BU336" s="979" t="str">
        <f t="shared" si="550"/>
        <v>-</v>
      </c>
      <c r="BV336" s="979" t="str">
        <f>IF(AG336="","-",IFERROR((AG336/AF336-1)*(AF338/AF$13),"-"))</f>
        <v>-</v>
      </c>
      <c r="BW336" s="979" t="str">
        <f>IF(AH336="","-",IFERROR((AH336/AG336-1)*(AG338/AG$13),"-"))</f>
        <v>-</v>
      </c>
      <c r="BX336" s="979" t="str">
        <f>IF(AI336="","-",IFERROR((AI336/AH336-1)*(AH338/AH$13),"-"))</f>
        <v>-</v>
      </c>
      <c r="BY336" s="981" t="str">
        <f>IF(AJ336="","-",IFERROR((AJ336/AI336-1)*(AI338/AI$13),"-"))</f>
        <v>-</v>
      </c>
      <c r="BZ336" s="951"/>
      <c r="CA336" s="975" t="str">
        <f t="shared" si="503"/>
        <v>Price</v>
      </c>
      <c r="CB336" s="976" t="str">
        <f t="shared" si="504"/>
        <v>[Service]</v>
      </c>
      <c r="CC336" s="982" t="str">
        <f t="shared" si="505"/>
        <v>[Price]</v>
      </c>
      <c r="CD336" s="983" t="str">
        <f t="shared" si="536"/>
        <v>-</v>
      </c>
      <c r="CE336" s="979" t="str">
        <f t="shared" si="528"/>
        <v>-</v>
      </c>
      <c r="CF336" s="979" t="str">
        <f t="shared" si="529"/>
        <v>-</v>
      </c>
      <c r="CG336" s="980" t="str">
        <f t="shared" si="530"/>
        <v>-</v>
      </c>
      <c r="CH336" s="979" t="str">
        <f t="shared" si="537"/>
        <v>-</v>
      </c>
      <c r="CI336" s="979" t="str">
        <f t="shared" si="531"/>
        <v>-</v>
      </c>
      <c r="CJ336" s="979" t="str">
        <f t="shared" si="532"/>
        <v>-</v>
      </c>
      <c r="CK336" s="981" t="str">
        <f t="shared" si="533"/>
        <v>-</v>
      </c>
    </row>
    <row r="337" spans="4:89" outlineLevel="1">
      <c r="E337" s="567" t="s">
        <v>880</v>
      </c>
      <c r="F337" s="554" t="str">
        <f>+F336</f>
        <v>[Service]</v>
      </c>
      <c r="G337" s="555">
        <f>+G336</f>
        <v>0</v>
      </c>
      <c r="H337" s="555">
        <f>+H336</f>
        <v>0</v>
      </c>
      <c r="I337" s="556" t="str">
        <f>+I336</f>
        <v>[Price]</v>
      </c>
      <c r="J337" s="590" t="s">
        <v>916</v>
      </c>
      <c r="K337" s="557"/>
      <c r="L337" s="558"/>
      <c r="M337" s="558"/>
      <c r="N337" s="557"/>
      <c r="O337" s="558"/>
      <c r="P337" s="558"/>
      <c r="Q337" s="558"/>
      <c r="R337" s="1036"/>
      <c r="S337" s="1139"/>
      <c r="T337" s="593"/>
      <c r="U337" s="1036"/>
      <c r="V337" s="1139"/>
      <c r="W337" s="593"/>
      <c r="X337" s="593"/>
      <c r="Y337" s="593"/>
      <c r="Z337" s="1036"/>
      <c r="AA337" s="1139"/>
      <c r="AB337" s="593"/>
      <c r="AC337" s="593"/>
      <c r="AD337" s="593"/>
      <c r="AE337" s="1036"/>
      <c r="AF337" s="1139"/>
      <c r="AG337" s="593"/>
      <c r="AH337" s="593"/>
      <c r="AI337" s="593"/>
      <c r="AJ337" s="1036"/>
      <c r="AK337" s="569"/>
      <c r="AL337" s="569"/>
      <c r="AN337" s="857"/>
      <c r="AO337" s="961" t="str">
        <f t="shared" si="506"/>
        <v>Qty</v>
      </c>
      <c r="AP337" s="962" t="str">
        <f t="shared" si="507"/>
        <v>[Service]</v>
      </c>
      <c r="AQ337" s="963" t="str">
        <f t="shared" si="508"/>
        <v>[Price]</v>
      </c>
      <c r="AR337" s="967" t="str">
        <f t="shared" si="509"/>
        <v>-</v>
      </c>
      <c r="AS337" s="964" t="str">
        <f t="shared" si="510"/>
        <v>-</v>
      </c>
      <c r="AT337" s="964" t="str">
        <f t="shared" si="511"/>
        <v>-</v>
      </c>
      <c r="AU337" s="964" t="str">
        <f t="shared" si="512"/>
        <v>-</v>
      </c>
      <c r="AV337" s="1350" t="str">
        <f t="shared" si="513"/>
        <v>-</v>
      </c>
      <c r="AW337" s="1343" t="str">
        <f t="shared" si="514"/>
        <v>-</v>
      </c>
      <c r="AX337" s="964" t="str">
        <f t="shared" si="515"/>
        <v>-</v>
      </c>
      <c r="AY337" s="964" t="str">
        <f t="shared" si="516"/>
        <v>-</v>
      </c>
      <c r="AZ337" s="964" t="str">
        <f t="shared" si="517"/>
        <v>-</v>
      </c>
      <c r="BA337" s="965" t="str">
        <f t="shared" si="518"/>
        <v>-</v>
      </c>
      <c r="BB337" s="1343" t="str">
        <f t="shared" si="519"/>
        <v>-</v>
      </c>
      <c r="BC337" s="964" t="str">
        <f t="shared" si="520"/>
        <v>-</v>
      </c>
      <c r="BD337" s="964" t="str">
        <f t="shared" si="521"/>
        <v>-</v>
      </c>
      <c r="BE337" s="964" t="str">
        <f t="shared" si="522"/>
        <v>-</v>
      </c>
      <c r="BF337" s="966" t="str">
        <f t="shared" si="523"/>
        <v>-</v>
      </c>
      <c r="BG337" s="951"/>
      <c r="BH337" s="1541" t="str">
        <f t="shared" si="524"/>
        <v>Qty</v>
      </c>
      <c r="BI337" s="1542" t="str">
        <f t="shared" si="525"/>
        <v>[Service]</v>
      </c>
      <c r="BJ337" s="1543" t="str">
        <f t="shared" si="526"/>
        <v>[Price]</v>
      </c>
      <c r="BK337" s="964" t="str">
        <f t="shared" ref="BK337:BU337" si="551">IF(V337="","-",IFERROR((V337/U337-1)*(U338/U$13),"-"))</f>
        <v>-</v>
      </c>
      <c r="BL337" s="964" t="str">
        <f t="shared" si="551"/>
        <v>-</v>
      </c>
      <c r="BM337" s="964" t="str">
        <f t="shared" si="551"/>
        <v>-</v>
      </c>
      <c r="BN337" s="964" t="str">
        <f t="shared" si="551"/>
        <v>-</v>
      </c>
      <c r="BO337" s="1350" t="str">
        <f t="shared" si="551"/>
        <v>-</v>
      </c>
      <c r="BP337" s="1343" t="str">
        <f t="shared" si="551"/>
        <v>-</v>
      </c>
      <c r="BQ337" s="964" t="str">
        <f t="shared" si="551"/>
        <v>-</v>
      </c>
      <c r="BR337" s="964" t="str">
        <f t="shared" si="551"/>
        <v>-</v>
      </c>
      <c r="BS337" s="964" t="str">
        <f t="shared" si="551"/>
        <v>-</v>
      </c>
      <c r="BT337" s="965" t="str">
        <f t="shared" si="551"/>
        <v>-</v>
      </c>
      <c r="BU337" s="964" t="str">
        <f t="shared" si="551"/>
        <v>-</v>
      </c>
      <c r="BV337" s="964" t="str">
        <f>IF(AG337="","-",IFERROR((AG337/AF337-1)*(AF338/AF$13),"-"))</f>
        <v>-</v>
      </c>
      <c r="BW337" s="964" t="str">
        <f>IF(AH337="","-",IFERROR((AH337/AG337-1)*(AG338/AG$13),"-"))</f>
        <v>-</v>
      </c>
      <c r="BX337" s="964" t="str">
        <f>IF(AI337="","-",IFERROR((AI337/AH337-1)*(AH338/AH$13),"-"))</f>
        <v>-</v>
      </c>
      <c r="BY337" s="966" t="str">
        <f>IF(AJ337="","-",IFERROR((AJ337/AI337-1)*(AI338/AI$13),"-"))</f>
        <v>-</v>
      </c>
      <c r="BZ337" s="951"/>
      <c r="CA337" s="961" t="str">
        <f t="shared" si="503"/>
        <v>Qty</v>
      </c>
      <c r="CB337" s="962" t="str">
        <f t="shared" si="504"/>
        <v>[Service]</v>
      </c>
      <c r="CC337" s="962" t="str">
        <f t="shared" si="505"/>
        <v>[Price]</v>
      </c>
      <c r="CD337" s="967" t="str">
        <f t="shared" si="536"/>
        <v>-</v>
      </c>
      <c r="CE337" s="964" t="str">
        <f t="shared" si="528"/>
        <v>-</v>
      </c>
      <c r="CF337" s="964" t="str">
        <f t="shared" si="529"/>
        <v>-</v>
      </c>
      <c r="CG337" s="965" t="str">
        <f t="shared" si="530"/>
        <v>-</v>
      </c>
      <c r="CH337" s="964" t="str">
        <f t="shared" si="537"/>
        <v>-</v>
      </c>
      <c r="CI337" s="964" t="str">
        <f t="shared" si="531"/>
        <v>-</v>
      </c>
      <c r="CJ337" s="964" t="str">
        <f t="shared" si="532"/>
        <v>-</v>
      </c>
      <c r="CK337" s="966" t="str">
        <f t="shared" si="533"/>
        <v>-</v>
      </c>
    </row>
    <row r="338" spans="4:89" ht="12.75" outlineLevel="1" thickBot="1">
      <c r="E338" s="568" t="s">
        <v>882</v>
      </c>
      <c r="F338" s="560" t="str">
        <f>+F336</f>
        <v>[Service]</v>
      </c>
      <c r="G338" s="561">
        <f>+G336</f>
        <v>0</v>
      </c>
      <c r="H338" s="561">
        <f>+H336</f>
        <v>0</v>
      </c>
      <c r="I338" s="562" t="str">
        <f>+I336</f>
        <v>[Price]</v>
      </c>
      <c r="J338" s="563" t="s">
        <v>883</v>
      </c>
      <c r="K338" s="564">
        <f t="shared" ref="K338:AJ338" si="552">K336*K337/10^6</f>
        <v>0</v>
      </c>
      <c r="L338" s="565">
        <f t="shared" si="552"/>
        <v>0</v>
      </c>
      <c r="M338" s="565">
        <f t="shared" si="552"/>
        <v>0</v>
      </c>
      <c r="N338" s="564">
        <f t="shared" si="552"/>
        <v>0</v>
      </c>
      <c r="O338" s="565">
        <f t="shared" si="552"/>
        <v>0</v>
      </c>
      <c r="P338" s="565">
        <f t="shared" si="552"/>
        <v>0</v>
      </c>
      <c r="Q338" s="565">
        <f t="shared" si="552"/>
        <v>0</v>
      </c>
      <c r="R338" s="566">
        <f t="shared" si="552"/>
        <v>0</v>
      </c>
      <c r="S338" s="564">
        <f t="shared" si="552"/>
        <v>0</v>
      </c>
      <c r="T338" s="565">
        <f t="shared" si="552"/>
        <v>0</v>
      </c>
      <c r="U338" s="566">
        <f t="shared" si="552"/>
        <v>0</v>
      </c>
      <c r="V338" s="564">
        <f t="shared" si="552"/>
        <v>0</v>
      </c>
      <c r="W338" s="565">
        <f t="shared" si="552"/>
        <v>0</v>
      </c>
      <c r="X338" s="565">
        <f t="shared" si="552"/>
        <v>0</v>
      </c>
      <c r="Y338" s="565">
        <f t="shared" si="552"/>
        <v>0</v>
      </c>
      <c r="Z338" s="566">
        <f t="shared" si="552"/>
        <v>0</v>
      </c>
      <c r="AA338" s="564">
        <f t="shared" si="552"/>
        <v>0</v>
      </c>
      <c r="AB338" s="565">
        <f t="shared" si="552"/>
        <v>0</v>
      </c>
      <c r="AC338" s="565">
        <f t="shared" si="552"/>
        <v>0</v>
      </c>
      <c r="AD338" s="565">
        <f t="shared" si="552"/>
        <v>0</v>
      </c>
      <c r="AE338" s="566">
        <f t="shared" si="552"/>
        <v>0</v>
      </c>
      <c r="AF338" s="564">
        <f t="shared" si="552"/>
        <v>0</v>
      </c>
      <c r="AG338" s="565">
        <f t="shared" si="552"/>
        <v>0</v>
      </c>
      <c r="AH338" s="565">
        <f t="shared" si="552"/>
        <v>0</v>
      </c>
      <c r="AI338" s="565">
        <f t="shared" si="552"/>
        <v>0</v>
      </c>
      <c r="AJ338" s="566">
        <f t="shared" si="552"/>
        <v>0</v>
      </c>
      <c r="AK338" s="569"/>
      <c r="AL338" s="569"/>
      <c r="AN338" s="857"/>
      <c r="AO338" s="984" t="str">
        <f t="shared" si="506"/>
        <v>Rev</v>
      </c>
      <c r="AP338" s="985" t="str">
        <f t="shared" si="507"/>
        <v>[Service]</v>
      </c>
      <c r="AQ338" s="986" t="str">
        <f t="shared" si="508"/>
        <v>[Price]</v>
      </c>
      <c r="AR338" s="990" t="str">
        <f t="shared" si="509"/>
        <v>-</v>
      </c>
      <c r="AS338" s="987" t="str">
        <f t="shared" si="510"/>
        <v>-</v>
      </c>
      <c r="AT338" s="987" t="str">
        <f t="shared" si="511"/>
        <v>-</v>
      </c>
      <c r="AU338" s="987" t="str">
        <f t="shared" si="512"/>
        <v>-</v>
      </c>
      <c r="AV338" s="1353" t="str">
        <f t="shared" si="513"/>
        <v>-</v>
      </c>
      <c r="AW338" s="1346" t="str">
        <f t="shared" si="514"/>
        <v>-</v>
      </c>
      <c r="AX338" s="987" t="str">
        <f t="shared" si="515"/>
        <v>-</v>
      </c>
      <c r="AY338" s="987" t="str">
        <f t="shared" si="516"/>
        <v>-</v>
      </c>
      <c r="AZ338" s="987" t="str">
        <f t="shared" si="517"/>
        <v>-</v>
      </c>
      <c r="BA338" s="988" t="str">
        <f t="shared" si="518"/>
        <v>-</v>
      </c>
      <c r="BB338" s="1346" t="str">
        <f t="shared" si="519"/>
        <v>-</v>
      </c>
      <c r="BC338" s="987" t="str">
        <f t="shared" si="520"/>
        <v>-</v>
      </c>
      <c r="BD338" s="987" t="str">
        <f t="shared" si="521"/>
        <v>-</v>
      </c>
      <c r="BE338" s="987" t="str">
        <f t="shared" si="522"/>
        <v>-</v>
      </c>
      <c r="BF338" s="989" t="str">
        <f t="shared" si="523"/>
        <v>-</v>
      </c>
      <c r="BG338" s="951"/>
      <c r="BH338" s="1550" t="str">
        <f t="shared" si="524"/>
        <v>Rev</v>
      </c>
      <c r="BI338" s="1551" t="str">
        <f t="shared" si="525"/>
        <v>[Service]</v>
      </c>
      <c r="BJ338" s="1552" t="str">
        <f t="shared" si="526"/>
        <v>[Price]</v>
      </c>
      <c r="BK338" s="987" t="str">
        <f t="shared" ref="BK338:BU338" si="553">IF(V338="","-",IFERROR((V338/U338-1)*(U338/U$13),"-"))</f>
        <v>-</v>
      </c>
      <c r="BL338" s="987" t="str">
        <f t="shared" si="553"/>
        <v>-</v>
      </c>
      <c r="BM338" s="987" t="str">
        <f t="shared" si="553"/>
        <v>-</v>
      </c>
      <c r="BN338" s="987" t="str">
        <f t="shared" si="553"/>
        <v>-</v>
      </c>
      <c r="BO338" s="1353" t="str">
        <f t="shared" si="553"/>
        <v>-</v>
      </c>
      <c r="BP338" s="1346" t="str">
        <f t="shared" si="553"/>
        <v>-</v>
      </c>
      <c r="BQ338" s="987" t="str">
        <f t="shared" si="553"/>
        <v>-</v>
      </c>
      <c r="BR338" s="987" t="str">
        <f t="shared" si="553"/>
        <v>-</v>
      </c>
      <c r="BS338" s="987" t="str">
        <f t="shared" si="553"/>
        <v>-</v>
      </c>
      <c r="BT338" s="988" t="str">
        <f t="shared" si="553"/>
        <v>-</v>
      </c>
      <c r="BU338" s="987" t="str">
        <f t="shared" si="553"/>
        <v>-</v>
      </c>
      <c r="BV338" s="987" t="str">
        <f>IF(AG338="","-",IFERROR((AG338/AF338-1)*(AF338/AF$13),"-"))</f>
        <v>-</v>
      </c>
      <c r="BW338" s="987" t="str">
        <f>IF(AH338="","-",IFERROR((AH338/AG338-1)*(AG338/AG$13),"-"))</f>
        <v>-</v>
      </c>
      <c r="BX338" s="987" t="str">
        <f>IF(AI338="","-",IFERROR((AI338/AH338-1)*(AH338/AH$13),"-"))</f>
        <v>-</v>
      </c>
      <c r="BY338" s="989" t="str">
        <f>IF(AJ338="","-",IFERROR((AJ338/AI338-1)*(AI338/AI$13),"-"))</f>
        <v>-</v>
      </c>
      <c r="BZ338" s="951"/>
      <c r="CA338" s="984" t="str">
        <f t="shared" si="503"/>
        <v>Rev</v>
      </c>
      <c r="CB338" s="985" t="str">
        <f t="shared" si="504"/>
        <v>[Service]</v>
      </c>
      <c r="CC338" s="985" t="str">
        <f t="shared" si="505"/>
        <v>[Price]</v>
      </c>
      <c r="CD338" s="990" t="str">
        <f t="shared" si="536"/>
        <v>-</v>
      </c>
      <c r="CE338" s="987" t="str">
        <f t="shared" si="528"/>
        <v>-</v>
      </c>
      <c r="CF338" s="987" t="str">
        <f t="shared" si="529"/>
        <v>-</v>
      </c>
      <c r="CG338" s="988" t="str">
        <f t="shared" si="530"/>
        <v>-</v>
      </c>
      <c r="CH338" s="987" t="str">
        <f t="shared" si="537"/>
        <v>-</v>
      </c>
      <c r="CI338" s="987" t="str">
        <f t="shared" si="531"/>
        <v>-</v>
      </c>
      <c r="CJ338" s="987" t="str">
        <f t="shared" si="532"/>
        <v>-</v>
      </c>
      <c r="CK338" s="989" t="str">
        <f t="shared" si="533"/>
        <v>-</v>
      </c>
    </row>
    <row r="339" spans="4:89" outlineLevel="1">
      <c r="D339" s="63">
        <f>D336+1</f>
        <v>91</v>
      </c>
      <c r="E339" s="550" t="s">
        <v>857</v>
      </c>
      <c r="F339" s="595" t="s">
        <v>428</v>
      </c>
      <c r="G339" s="595"/>
      <c r="H339" s="595"/>
      <c r="I339" s="589" t="s">
        <v>920</v>
      </c>
      <c r="J339" s="589" t="s">
        <v>879</v>
      </c>
      <c r="K339" s="551"/>
      <c r="L339" s="552"/>
      <c r="M339" s="552"/>
      <c r="N339" s="551"/>
      <c r="O339" s="552"/>
      <c r="P339" s="552"/>
      <c r="Q339" s="552"/>
      <c r="R339" s="1035"/>
      <c r="S339" s="1138"/>
      <c r="T339" s="591"/>
      <c r="U339" s="1035"/>
      <c r="V339" s="1138"/>
      <c r="W339" s="591"/>
      <c r="X339" s="591"/>
      <c r="Y339" s="591"/>
      <c r="Z339" s="1035"/>
      <c r="AA339" s="1138"/>
      <c r="AB339" s="591"/>
      <c r="AC339" s="591"/>
      <c r="AD339" s="591"/>
      <c r="AE339" s="1035"/>
      <c r="AF339" s="1138"/>
      <c r="AG339" s="591"/>
      <c r="AH339" s="591"/>
      <c r="AI339" s="591"/>
      <c r="AJ339" s="1035"/>
      <c r="AK339" s="569"/>
      <c r="AL339" s="569"/>
      <c r="AM339" s="974"/>
      <c r="AN339" s="857"/>
      <c r="AO339" s="975" t="str">
        <f t="shared" si="506"/>
        <v>Price</v>
      </c>
      <c r="AP339" s="976" t="str">
        <f t="shared" si="507"/>
        <v>[Service]</v>
      </c>
      <c r="AQ339" s="977" t="str">
        <f t="shared" si="508"/>
        <v>[Price]</v>
      </c>
      <c r="AR339" s="1341" t="str">
        <f t="shared" si="509"/>
        <v>-</v>
      </c>
      <c r="AS339" s="978" t="str">
        <f t="shared" si="510"/>
        <v>-</v>
      </c>
      <c r="AT339" s="979" t="str">
        <f t="shared" si="511"/>
        <v>-</v>
      </c>
      <c r="AU339" s="979" t="str">
        <f t="shared" si="512"/>
        <v>-</v>
      </c>
      <c r="AV339" s="1352" t="str">
        <f t="shared" si="513"/>
        <v>-</v>
      </c>
      <c r="AW339" s="1345" t="str">
        <f t="shared" si="514"/>
        <v>-</v>
      </c>
      <c r="AX339" s="979" t="str">
        <f t="shared" si="515"/>
        <v>-</v>
      </c>
      <c r="AY339" s="979" t="str">
        <f t="shared" si="516"/>
        <v>-</v>
      </c>
      <c r="AZ339" s="979" t="str">
        <f t="shared" si="517"/>
        <v>-</v>
      </c>
      <c r="BA339" s="980" t="str">
        <f t="shared" si="518"/>
        <v>-</v>
      </c>
      <c r="BB339" s="1345" t="str">
        <f t="shared" si="519"/>
        <v>-</v>
      </c>
      <c r="BC339" s="979" t="str">
        <f t="shared" si="520"/>
        <v>-</v>
      </c>
      <c r="BD339" s="979" t="str">
        <f t="shared" si="521"/>
        <v>-</v>
      </c>
      <c r="BE339" s="979" t="str">
        <f t="shared" si="522"/>
        <v>-</v>
      </c>
      <c r="BF339" s="981" t="str">
        <f t="shared" si="523"/>
        <v>-</v>
      </c>
      <c r="BG339" s="951"/>
      <c r="BH339" s="1547" t="str">
        <f t="shared" si="524"/>
        <v>Price</v>
      </c>
      <c r="BI339" s="1548" t="str">
        <f t="shared" si="525"/>
        <v>[Service]</v>
      </c>
      <c r="BJ339" s="1549" t="str">
        <f t="shared" si="526"/>
        <v>[Price]</v>
      </c>
      <c r="BK339" s="978" t="str">
        <f t="shared" ref="BK339:BU339" si="554">IF(V339="","-",IFERROR((V339/U339-1)*(U341/U$13),"-"))</f>
        <v>-</v>
      </c>
      <c r="BL339" s="978" t="str">
        <f t="shared" si="554"/>
        <v>-</v>
      </c>
      <c r="BM339" s="979" t="str">
        <f t="shared" si="554"/>
        <v>-</v>
      </c>
      <c r="BN339" s="979" t="str">
        <f t="shared" si="554"/>
        <v>-</v>
      </c>
      <c r="BO339" s="1352" t="str">
        <f t="shared" si="554"/>
        <v>-</v>
      </c>
      <c r="BP339" s="1345" t="str">
        <f t="shared" si="554"/>
        <v>-</v>
      </c>
      <c r="BQ339" s="979" t="str">
        <f t="shared" si="554"/>
        <v>-</v>
      </c>
      <c r="BR339" s="979" t="str">
        <f t="shared" si="554"/>
        <v>-</v>
      </c>
      <c r="BS339" s="979" t="str">
        <f t="shared" si="554"/>
        <v>-</v>
      </c>
      <c r="BT339" s="980" t="str">
        <f t="shared" si="554"/>
        <v>-</v>
      </c>
      <c r="BU339" s="979" t="str">
        <f t="shared" si="554"/>
        <v>-</v>
      </c>
      <c r="BV339" s="979" t="str">
        <f>IF(AG339="","-",IFERROR((AG339/AF339-1)*(AF341/AF$13),"-"))</f>
        <v>-</v>
      </c>
      <c r="BW339" s="979" t="str">
        <f>IF(AH339="","-",IFERROR((AH339/AG339-1)*(AG341/AG$13),"-"))</f>
        <v>-</v>
      </c>
      <c r="BX339" s="979" t="str">
        <f>IF(AI339="","-",IFERROR((AI339/AH339-1)*(AH341/AH$13),"-"))</f>
        <v>-</v>
      </c>
      <c r="BY339" s="981" t="str">
        <f>IF(AJ339="","-",IFERROR((AJ339/AI339-1)*(AI341/AI$13),"-"))</f>
        <v>-</v>
      </c>
      <c r="BZ339" s="951"/>
      <c r="CA339" s="975" t="str">
        <f t="shared" si="503"/>
        <v>Price</v>
      </c>
      <c r="CB339" s="976" t="str">
        <f t="shared" si="504"/>
        <v>[Service]</v>
      </c>
      <c r="CC339" s="982" t="str">
        <f t="shared" si="505"/>
        <v>[Price]</v>
      </c>
      <c r="CD339" s="983" t="str">
        <f t="shared" si="536"/>
        <v>-</v>
      </c>
      <c r="CE339" s="979" t="str">
        <f t="shared" si="528"/>
        <v>-</v>
      </c>
      <c r="CF339" s="979" t="str">
        <f t="shared" si="529"/>
        <v>-</v>
      </c>
      <c r="CG339" s="980" t="str">
        <f t="shared" si="530"/>
        <v>-</v>
      </c>
      <c r="CH339" s="979" t="str">
        <f t="shared" si="537"/>
        <v>-</v>
      </c>
      <c r="CI339" s="979" t="str">
        <f t="shared" si="531"/>
        <v>-</v>
      </c>
      <c r="CJ339" s="979" t="str">
        <f t="shared" si="532"/>
        <v>-</v>
      </c>
      <c r="CK339" s="981" t="str">
        <f t="shared" si="533"/>
        <v>-</v>
      </c>
    </row>
    <row r="340" spans="4:89" outlineLevel="1">
      <c r="E340" s="567" t="s">
        <v>880</v>
      </c>
      <c r="F340" s="554" t="str">
        <f>+F339</f>
        <v>[Service]</v>
      </c>
      <c r="G340" s="555">
        <f>+G339</f>
        <v>0</v>
      </c>
      <c r="H340" s="555">
        <f>+H339</f>
        <v>0</v>
      </c>
      <c r="I340" s="556" t="str">
        <f>+I339</f>
        <v>[Price]</v>
      </c>
      <c r="J340" s="590" t="s">
        <v>916</v>
      </c>
      <c r="K340" s="557"/>
      <c r="L340" s="558"/>
      <c r="M340" s="558"/>
      <c r="N340" s="557"/>
      <c r="O340" s="558"/>
      <c r="P340" s="558"/>
      <c r="Q340" s="558"/>
      <c r="R340" s="1036"/>
      <c r="S340" s="1139"/>
      <c r="T340" s="593"/>
      <c r="U340" s="1036"/>
      <c r="V340" s="1139"/>
      <c r="W340" s="593"/>
      <c r="X340" s="593"/>
      <c r="Y340" s="593"/>
      <c r="Z340" s="1036"/>
      <c r="AA340" s="1139"/>
      <c r="AB340" s="593"/>
      <c r="AC340" s="593"/>
      <c r="AD340" s="593"/>
      <c r="AE340" s="1036"/>
      <c r="AF340" s="1139"/>
      <c r="AG340" s="593"/>
      <c r="AH340" s="593"/>
      <c r="AI340" s="593"/>
      <c r="AJ340" s="1036"/>
      <c r="AK340" s="569"/>
      <c r="AL340" s="569"/>
      <c r="AN340" s="857"/>
      <c r="AO340" s="961" t="str">
        <f t="shared" si="506"/>
        <v>Qty</v>
      </c>
      <c r="AP340" s="962" t="str">
        <f t="shared" si="507"/>
        <v>[Service]</v>
      </c>
      <c r="AQ340" s="963" t="str">
        <f t="shared" si="508"/>
        <v>[Price]</v>
      </c>
      <c r="AR340" s="967" t="str">
        <f t="shared" si="509"/>
        <v>-</v>
      </c>
      <c r="AS340" s="964" t="str">
        <f t="shared" si="510"/>
        <v>-</v>
      </c>
      <c r="AT340" s="964" t="str">
        <f t="shared" si="511"/>
        <v>-</v>
      </c>
      <c r="AU340" s="964" t="str">
        <f t="shared" si="512"/>
        <v>-</v>
      </c>
      <c r="AV340" s="1350" t="str">
        <f t="shared" si="513"/>
        <v>-</v>
      </c>
      <c r="AW340" s="1343" t="str">
        <f t="shared" si="514"/>
        <v>-</v>
      </c>
      <c r="AX340" s="964" t="str">
        <f t="shared" si="515"/>
        <v>-</v>
      </c>
      <c r="AY340" s="964" t="str">
        <f t="shared" si="516"/>
        <v>-</v>
      </c>
      <c r="AZ340" s="964" t="str">
        <f t="shared" si="517"/>
        <v>-</v>
      </c>
      <c r="BA340" s="965" t="str">
        <f t="shared" si="518"/>
        <v>-</v>
      </c>
      <c r="BB340" s="1343" t="str">
        <f t="shared" si="519"/>
        <v>-</v>
      </c>
      <c r="BC340" s="964" t="str">
        <f t="shared" si="520"/>
        <v>-</v>
      </c>
      <c r="BD340" s="964" t="str">
        <f t="shared" si="521"/>
        <v>-</v>
      </c>
      <c r="BE340" s="964" t="str">
        <f t="shared" si="522"/>
        <v>-</v>
      </c>
      <c r="BF340" s="966" t="str">
        <f t="shared" si="523"/>
        <v>-</v>
      </c>
      <c r="BG340" s="951"/>
      <c r="BH340" s="1541" t="str">
        <f t="shared" si="524"/>
        <v>Qty</v>
      </c>
      <c r="BI340" s="1542" t="str">
        <f t="shared" si="525"/>
        <v>[Service]</v>
      </c>
      <c r="BJ340" s="1543" t="str">
        <f t="shared" si="526"/>
        <v>[Price]</v>
      </c>
      <c r="BK340" s="964" t="str">
        <f t="shared" ref="BK340:BU340" si="555">IF(V340="","-",IFERROR((V340/U340-1)*(U341/U$13),"-"))</f>
        <v>-</v>
      </c>
      <c r="BL340" s="964" t="str">
        <f t="shared" si="555"/>
        <v>-</v>
      </c>
      <c r="BM340" s="964" t="str">
        <f t="shared" si="555"/>
        <v>-</v>
      </c>
      <c r="BN340" s="964" t="str">
        <f t="shared" si="555"/>
        <v>-</v>
      </c>
      <c r="BO340" s="1350" t="str">
        <f t="shared" si="555"/>
        <v>-</v>
      </c>
      <c r="BP340" s="1343" t="str">
        <f t="shared" si="555"/>
        <v>-</v>
      </c>
      <c r="BQ340" s="964" t="str">
        <f t="shared" si="555"/>
        <v>-</v>
      </c>
      <c r="BR340" s="964" t="str">
        <f t="shared" si="555"/>
        <v>-</v>
      </c>
      <c r="BS340" s="964" t="str">
        <f t="shared" si="555"/>
        <v>-</v>
      </c>
      <c r="BT340" s="965" t="str">
        <f t="shared" si="555"/>
        <v>-</v>
      </c>
      <c r="BU340" s="964" t="str">
        <f t="shared" si="555"/>
        <v>-</v>
      </c>
      <c r="BV340" s="964" t="str">
        <f>IF(AG340="","-",IFERROR((AG340/AF340-1)*(AF341/AF$13),"-"))</f>
        <v>-</v>
      </c>
      <c r="BW340" s="964" t="str">
        <f>IF(AH340="","-",IFERROR((AH340/AG340-1)*(AG341/AG$13),"-"))</f>
        <v>-</v>
      </c>
      <c r="BX340" s="964" t="str">
        <f>IF(AI340="","-",IFERROR((AI340/AH340-1)*(AH341/AH$13),"-"))</f>
        <v>-</v>
      </c>
      <c r="BY340" s="966" t="str">
        <f>IF(AJ340="","-",IFERROR((AJ340/AI340-1)*(AI341/AI$13),"-"))</f>
        <v>-</v>
      </c>
      <c r="BZ340" s="951"/>
      <c r="CA340" s="961" t="str">
        <f t="shared" si="503"/>
        <v>Qty</v>
      </c>
      <c r="CB340" s="962" t="str">
        <f t="shared" si="504"/>
        <v>[Service]</v>
      </c>
      <c r="CC340" s="962" t="str">
        <f t="shared" si="505"/>
        <v>[Price]</v>
      </c>
      <c r="CD340" s="967" t="str">
        <f t="shared" si="536"/>
        <v>-</v>
      </c>
      <c r="CE340" s="964" t="str">
        <f t="shared" si="528"/>
        <v>-</v>
      </c>
      <c r="CF340" s="964" t="str">
        <f t="shared" si="529"/>
        <v>-</v>
      </c>
      <c r="CG340" s="965" t="str">
        <f t="shared" si="530"/>
        <v>-</v>
      </c>
      <c r="CH340" s="964" t="str">
        <f t="shared" si="537"/>
        <v>-</v>
      </c>
      <c r="CI340" s="964" t="str">
        <f t="shared" si="531"/>
        <v>-</v>
      </c>
      <c r="CJ340" s="964" t="str">
        <f t="shared" si="532"/>
        <v>-</v>
      </c>
      <c r="CK340" s="966" t="str">
        <f t="shared" si="533"/>
        <v>-</v>
      </c>
    </row>
    <row r="341" spans="4:89" ht="12.75" outlineLevel="1" thickBot="1">
      <c r="E341" s="568" t="s">
        <v>882</v>
      </c>
      <c r="F341" s="560" t="str">
        <f>+F339</f>
        <v>[Service]</v>
      </c>
      <c r="G341" s="561">
        <f>+G339</f>
        <v>0</v>
      </c>
      <c r="H341" s="561">
        <f>+H339</f>
        <v>0</v>
      </c>
      <c r="I341" s="562" t="str">
        <f>+I339</f>
        <v>[Price]</v>
      </c>
      <c r="J341" s="563" t="s">
        <v>883</v>
      </c>
      <c r="K341" s="564">
        <f t="shared" ref="K341:AJ341" si="556">K339*K340/10^6</f>
        <v>0</v>
      </c>
      <c r="L341" s="565">
        <f t="shared" si="556"/>
        <v>0</v>
      </c>
      <c r="M341" s="565">
        <f t="shared" si="556"/>
        <v>0</v>
      </c>
      <c r="N341" s="564">
        <f t="shared" si="556"/>
        <v>0</v>
      </c>
      <c r="O341" s="565">
        <f t="shared" si="556"/>
        <v>0</v>
      </c>
      <c r="P341" s="565">
        <f t="shared" si="556"/>
        <v>0</v>
      </c>
      <c r="Q341" s="565">
        <f t="shared" si="556"/>
        <v>0</v>
      </c>
      <c r="R341" s="566">
        <f t="shared" si="556"/>
        <v>0</v>
      </c>
      <c r="S341" s="564">
        <f t="shared" si="556"/>
        <v>0</v>
      </c>
      <c r="T341" s="565">
        <f t="shared" si="556"/>
        <v>0</v>
      </c>
      <c r="U341" s="566">
        <f t="shared" si="556"/>
        <v>0</v>
      </c>
      <c r="V341" s="564">
        <f t="shared" si="556"/>
        <v>0</v>
      </c>
      <c r="W341" s="565">
        <f t="shared" si="556"/>
        <v>0</v>
      </c>
      <c r="X341" s="565">
        <f t="shared" si="556"/>
        <v>0</v>
      </c>
      <c r="Y341" s="565">
        <f t="shared" si="556"/>
        <v>0</v>
      </c>
      <c r="Z341" s="566">
        <f t="shared" si="556"/>
        <v>0</v>
      </c>
      <c r="AA341" s="564">
        <f t="shared" si="556"/>
        <v>0</v>
      </c>
      <c r="AB341" s="565">
        <f t="shared" si="556"/>
        <v>0</v>
      </c>
      <c r="AC341" s="565">
        <f t="shared" si="556"/>
        <v>0</v>
      </c>
      <c r="AD341" s="565">
        <f t="shared" si="556"/>
        <v>0</v>
      </c>
      <c r="AE341" s="566">
        <f t="shared" si="556"/>
        <v>0</v>
      </c>
      <c r="AF341" s="564">
        <f t="shared" si="556"/>
        <v>0</v>
      </c>
      <c r="AG341" s="565">
        <f t="shared" si="556"/>
        <v>0</v>
      </c>
      <c r="AH341" s="565">
        <f t="shared" si="556"/>
        <v>0</v>
      </c>
      <c r="AI341" s="565">
        <f t="shared" si="556"/>
        <v>0</v>
      </c>
      <c r="AJ341" s="566">
        <f t="shared" si="556"/>
        <v>0</v>
      </c>
      <c r="AK341" s="569"/>
      <c r="AL341" s="569"/>
      <c r="AN341" s="857"/>
      <c r="AO341" s="984" t="str">
        <f t="shared" si="506"/>
        <v>Rev</v>
      </c>
      <c r="AP341" s="985" t="str">
        <f t="shared" si="507"/>
        <v>[Service]</v>
      </c>
      <c r="AQ341" s="986" t="str">
        <f t="shared" si="508"/>
        <v>[Price]</v>
      </c>
      <c r="AR341" s="990" t="str">
        <f t="shared" si="509"/>
        <v>-</v>
      </c>
      <c r="AS341" s="987" t="str">
        <f t="shared" si="510"/>
        <v>-</v>
      </c>
      <c r="AT341" s="987" t="str">
        <f t="shared" si="511"/>
        <v>-</v>
      </c>
      <c r="AU341" s="987" t="str">
        <f t="shared" si="512"/>
        <v>-</v>
      </c>
      <c r="AV341" s="1353" t="str">
        <f t="shared" si="513"/>
        <v>-</v>
      </c>
      <c r="AW341" s="1346" t="str">
        <f t="shared" si="514"/>
        <v>-</v>
      </c>
      <c r="AX341" s="987" t="str">
        <f t="shared" si="515"/>
        <v>-</v>
      </c>
      <c r="AY341" s="987" t="str">
        <f t="shared" si="516"/>
        <v>-</v>
      </c>
      <c r="AZ341" s="987" t="str">
        <f t="shared" si="517"/>
        <v>-</v>
      </c>
      <c r="BA341" s="988" t="str">
        <f t="shared" si="518"/>
        <v>-</v>
      </c>
      <c r="BB341" s="1346" t="str">
        <f t="shared" si="519"/>
        <v>-</v>
      </c>
      <c r="BC341" s="987" t="str">
        <f t="shared" si="520"/>
        <v>-</v>
      </c>
      <c r="BD341" s="987" t="str">
        <f t="shared" si="521"/>
        <v>-</v>
      </c>
      <c r="BE341" s="987" t="str">
        <f t="shared" si="522"/>
        <v>-</v>
      </c>
      <c r="BF341" s="989" t="str">
        <f t="shared" si="523"/>
        <v>-</v>
      </c>
      <c r="BG341" s="951"/>
      <c r="BH341" s="1550" t="str">
        <f t="shared" si="524"/>
        <v>Rev</v>
      </c>
      <c r="BI341" s="1551" t="str">
        <f t="shared" si="525"/>
        <v>[Service]</v>
      </c>
      <c r="BJ341" s="1552" t="str">
        <f t="shared" si="526"/>
        <v>[Price]</v>
      </c>
      <c r="BK341" s="987" t="str">
        <f t="shared" ref="BK341:BU341" si="557">IF(V341="","-",IFERROR((V341/U341-1)*(U341/U$13),"-"))</f>
        <v>-</v>
      </c>
      <c r="BL341" s="987" t="str">
        <f t="shared" si="557"/>
        <v>-</v>
      </c>
      <c r="BM341" s="987" t="str">
        <f t="shared" si="557"/>
        <v>-</v>
      </c>
      <c r="BN341" s="987" t="str">
        <f t="shared" si="557"/>
        <v>-</v>
      </c>
      <c r="BO341" s="1353" t="str">
        <f t="shared" si="557"/>
        <v>-</v>
      </c>
      <c r="BP341" s="1346" t="str">
        <f t="shared" si="557"/>
        <v>-</v>
      </c>
      <c r="BQ341" s="987" t="str">
        <f t="shared" si="557"/>
        <v>-</v>
      </c>
      <c r="BR341" s="987" t="str">
        <f t="shared" si="557"/>
        <v>-</v>
      </c>
      <c r="BS341" s="987" t="str">
        <f t="shared" si="557"/>
        <v>-</v>
      </c>
      <c r="BT341" s="988" t="str">
        <f t="shared" si="557"/>
        <v>-</v>
      </c>
      <c r="BU341" s="987" t="str">
        <f t="shared" si="557"/>
        <v>-</v>
      </c>
      <c r="BV341" s="987" t="str">
        <f>IF(AG341="","-",IFERROR((AG341/AF341-1)*(AF341/AF$13),"-"))</f>
        <v>-</v>
      </c>
      <c r="BW341" s="987" t="str">
        <f>IF(AH341="","-",IFERROR((AH341/AG341-1)*(AG341/AG$13),"-"))</f>
        <v>-</v>
      </c>
      <c r="BX341" s="987" t="str">
        <f>IF(AI341="","-",IFERROR((AI341/AH341-1)*(AH341/AH$13),"-"))</f>
        <v>-</v>
      </c>
      <c r="BY341" s="989" t="str">
        <f>IF(AJ341="","-",IFERROR((AJ341/AI341-1)*(AI341/AI$13),"-"))</f>
        <v>-</v>
      </c>
      <c r="BZ341" s="951"/>
      <c r="CA341" s="984" t="str">
        <f t="shared" si="503"/>
        <v>Rev</v>
      </c>
      <c r="CB341" s="985" t="str">
        <f t="shared" si="504"/>
        <v>[Service]</v>
      </c>
      <c r="CC341" s="985" t="str">
        <f t="shared" si="505"/>
        <v>[Price]</v>
      </c>
      <c r="CD341" s="990" t="str">
        <f t="shared" si="536"/>
        <v>-</v>
      </c>
      <c r="CE341" s="987" t="str">
        <f t="shared" si="528"/>
        <v>-</v>
      </c>
      <c r="CF341" s="987" t="str">
        <f t="shared" si="529"/>
        <v>-</v>
      </c>
      <c r="CG341" s="988" t="str">
        <f t="shared" si="530"/>
        <v>-</v>
      </c>
      <c r="CH341" s="987" t="str">
        <f t="shared" si="537"/>
        <v>-</v>
      </c>
      <c r="CI341" s="987" t="str">
        <f t="shared" si="531"/>
        <v>-</v>
      </c>
      <c r="CJ341" s="987" t="str">
        <f t="shared" si="532"/>
        <v>-</v>
      </c>
      <c r="CK341" s="989" t="str">
        <f t="shared" si="533"/>
        <v>-</v>
      </c>
    </row>
    <row r="342" spans="4:89" outlineLevel="1">
      <c r="D342" s="63">
        <f>D339+1</f>
        <v>92</v>
      </c>
      <c r="E342" s="550" t="s">
        <v>857</v>
      </c>
      <c r="F342" s="595" t="s">
        <v>428</v>
      </c>
      <c r="G342" s="595"/>
      <c r="H342" s="595"/>
      <c r="I342" s="589" t="s">
        <v>920</v>
      </c>
      <c r="J342" s="589" t="s">
        <v>879</v>
      </c>
      <c r="K342" s="551"/>
      <c r="L342" s="552"/>
      <c r="M342" s="552"/>
      <c r="N342" s="551"/>
      <c r="O342" s="552"/>
      <c r="P342" s="552"/>
      <c r="Q342" s="552"/>
      <c r="R342" s="1035"/>
      <c r="S342" s="1138"/>
      <c r="T342" s="591"/>
      <c r="U342" s="1035"/>
      <c r="V342" s="1138"/>
      <c r="W342" s="591"/>
      <c r="X342" s="591"/>
      <c r="Y342" s="591"/>
      <c r="Z342" s="1035"/>
      <c r="AA342" s="1138"/>
      <c r="AB342" s="591"/>
      <c r="AC342" s="591"/>
      <c r="AD342" s="591"/>
      <c r="AE342" s="1035"/>
      <c r="AF342" s="1138"/>
      <c r="AG342" s="591"/>
      <c r="AH342" s="591"/>
      <c r="AI342" s="591"/>
      <c r="AJ342" s="1035"/>
      <c r="AK342" s="569"/>
      <c r="AL342" s="569"/>
      <c r="AM342" s="974"/>
      <c r="AN342" s="857"/>
      <c r="AO342" s="975" t="str">
        <f t="shared" si="506"/>
        <v>Price</v>
      </c>
      <c r="AP342" s="976" t="str">
        <f t="shared" si="507"/>
        <v>[Service]</v>
      </c>
      <c r="AQ342" s="977" t="str">
        <f t="shared" si="508"/>
        <v>[Price]</v>
      </c>
      <c r="AR342" s="1341" t="str">
        <f t="shared" si="509"/>
        <v>-</v>
      </c>
      <c r="AS342" s="978" t="str">
        <f t="shared" si="510"/>
        <v>-</v>
      </c>
      <c r="AT342" s="979" t="str">
        <f t="shared" si="511"/>
        <v>-</v>
      </c>
      <c r="AU342" s="979" t="str">
        <f t="shared" si="512"/>
        <v>-</v>
      </c>
      <c r="AV342" s="1352" t="str">
        <f t="shared" si="513"/>
        <v>-</v>
      </c>
      <c r="AW342" s="1345" t="str">
        <f t="shared" si="514"/>
        <v>-</v>
      </c>
      <c r="AX342" s="979" t="str">
        <f t="shared" si="515"/>
        <v>-</v>
      </c>
      <c r="AY342" s="979" t="str">
        <f t="shared" si="516"/>
        <v>-</v>
      </c>
      <c r="AZ342" s="979" t="str">
        <f t="shared" si="517"/>
        <v>-</v>
      </c>
      <c r="BA342" s="980" t="str">
        <f t="shared" si="518"/>
        <v>-</v>
      </c>
      <c r="BB342" s="1345" t="str">
        <f t="shared" si="519"/>
        <v>-</v>
      </c>
      <c r="BC342" s="979" t="str">
        <f t="shared" si="520"/>
        <v>-</v>
      </c>
      <c r="BD342" s="979" t="str">
        <f t="shared" si="521"/>
        <v>-</v>
      </c>
      <c r="BE342" s="979" t="str">
        <f t="shared" si="522"/>
        <v>-</v>
      </c>
      <c r="BF342" s="981" t="str">
        <f t="shared" si="523"/>
        <v>-</v>
      </c>
      <c r="BG342" s="951"/>
      <c r="BH342" s="1547" t="str">
        <f t="shared" si="524"/>
        <v>Price</v>
      </c>
      <c r="BI342" s="1548" t="str">
        <f t="shared" si="525"/>
        <v>[Service]</v>
      </c>
      <c r="BJ342" s="1549" t="str">
        <f t="shared" si="526"/>
        <v>[Price]</v>
      </c>
      <c r="BK342" s="978" t="str">
        <f t="shared" ref="BK342:BU342" si="558">IF(V342="","-",IFERROR((V342/U342-1)*(U344/U$13),"-"))</f>
        <v>-</v>
      </c>
      <c r="BL342" s="978" t="str">
        <f t="shared" si="558"/>
        <v>-</v>
      </c>
      <c r="BM342" s="979" t="str">
        <f t="shared" si="558"/>
        <v>-</v>
      </c>
      <c r="BN342" s="979" t="str">
        <f t="shared" si="558"/>
        <v>-</v>
      </c>
      <c r="BO342" s="1352" t="str">
        <f t="shared" si="558"/>
        <v>-</v>
      </c>
      <c r="BP342" s="1345" t="str">
        <f t="shared" si="558"/>
        <v>-</v>
      </c>
      <c r="BQ342" s="979" t="str">
        <f t="shared" si="558"/>
        <v>-</v>
      </c>
      <c r="BR342" s="979" t="str">
        <f t="shared" si="558"/>
        <v>-</v>
      </c>
      <c r="BS342" s="979" t="str">
        <f t="shared" si="558"/>
        <v>-</v>
      </c>
      <c r="BT342" s="980" t="str">
        <f t="shared" si="558"/>
        <v>-</v>
      </c>
      <c r="BU342" s="979" t="str">
        <f t="shared" si="558"/>
        <v>-</v>
      </c>
      <c r="BV342" s="979" t="str">
        <f>IF(AG342="","-",IFERROR((AG342/AF342-1)*(AF344/AF$13),"-"))</f>
        <v>-</v>
      </c>
      <c r="BW342" s="979" t="str">
        <f>IF(AH342="","-",IFERROR((AH342/AG342-1)*(AG344/AG$13),"-"))</f>
        <v>-</v>
      </c>
      <c r="BX342" s="979" t="str">
        <f>IF(AI342="","-",IFERROR((AI342/AH342-1)*(AH344/AH$13),"-"))</f>
        <v>-</v>
      </c>
      <c r="BY342" s="981" t="str">
        <f>IF(AJ342="","-",IFERROR((AJ342/AI342-1)*(AI344/AI$13),"-"))</f>
        <v>-</v>
      </c>
      <c r="BZ342" s="951"/>
      <c r="CA342" s="975" t="str">
        <f t="shared" si="503"/>
        <v>Price</v>
      </c>
      <c r="CB342" s="976" t="str">
        <f t="shared" si="504"/>
        <v>[Service]</v>
      </c>
      <c r="CC342" s="982" t="str">
        <f t="shared" si="505"/>
        <v>[Price]</v>
      </c>
      <c r="CD342" s="983" t="str">
        <f t="shared" si="536"/>
        <v>-</v>
      </c>
      <c r="CE342" s="979" t="str">
        <f t="shared" si="528"/>
        <v>-</v>
      </c>
      <c r="CF342" s="979" t="str">
        <f t="shared" si="529"/>
        <v>-</v>
      </c>
      <c r="CG342" s="980" t="str">
        <f t="shared" si="530"/>
        <v>-</v>
      </c>
      <c r="CH342" s="979" t="str">
        <f t="shared" si="537"/>
        <v>-</v>
      </c>
      <c r="CI342" s="979" t="str">
        <f t="shared" si="531"/>
        <v>-</v>
      </c>
      <c r="CJ342" s="979" t="str">
        <f t="shared" si="532"/>
        <v>-</v>
      </c>
      <c r="CK342" s="981" t="str">
        <f t="shared" si="533"/>
        <v>-</v>
      </c>
    </row>
    <row r="343" spans="4:89" outlineLevel="1">
      <c r="E343" s="567" t="s">
        <v>880</v>
      </c>
      <c r="F343" s="554" t="str">
        <f>+F342</f>
        <v>[Service]</v>
      </c>
      <c r="G343" s="555">
        <f>+G342</f>
        <v>0</v>
      </c>
      <c r="H343" s="555">
        <f>+H342</f>
        <v>0</v>
      </c>
      <c r="I343" s="556" t="str">
        <f>+I342</f>
        <v>[Price]</v>
      </c>
      <c r="J343" s="590" t="s">
        <v>916</v>
      </c>
      <c r="K343" s="557"/>
      <c r="L343" s="558"/>
      <c r="M343" s="558"/>
      <c r="N343" s="557"/>
      <c r="O343" s="558"/>
      <c r="P343" s="558"/>
      <c r="Q343" s="558"/>
      <c r="R343" s="1036"/>
      <c r="S343" s="1139"/>
      <c r="T343" s="593"/>
      <c r="U343" s="1036"/>
      <c r="V343" s="1139"/>
      <c r="W343" s="593"/>
      <c r="X343" s="593"/>
      <c r="Y343" s="593"/>
      <c r="Z343" s="1036"/>
      <c r="AA343" s="1139"/>
      <c r="AB343" s="593"/>
      <c r="AC343" s="593"/>
      <c r="AD343" s="593"/>
      <c r="AE343" s="1036"/>
      <c r="AF343" s="1139"/>
      <c r="AG343" s="593"/>
      <c r="AH343" s="593"/>
      <c r="AI343" s="593"/>
      <c r="AJ343" s="1036"/>
      <c r="AK343" s="569"/>
      <c r="AL343" s="569"/>
      <c r="AN343" s="857"/>
      <c r="AO343" s="961" t="str">
        <f t="shared" si="506"/>
        <v>Qty</v>
      </c>
      <c r="AP343" s="962" t="str">
        <f t="shared" si="507"/>
        <v>[Service]</v>
      </c>
      <c r="AQ343" s="963" t="str">
        <f t="shared" si="508"/>
        <v>[Price]</v>
      </c>
      <c r="AR343" s="967" t="str">
        <f t="shared" si="509"/>
        <v>-</v>
      </c>
      <c r="AS343" s="964" t="str">
        <f t="shared" si="510"/>
        <v>-</v>
      </c>
      <c r="AT343" s="964" t="str">
        <f t="shared" si="511"/>
        <v>-</v>
      </c>
      <c r="AU343" s="964" t="str">
        <f t="shared" si="512"/>
        <v>-</v>
      </c>
      <c r="AV343" s="1350" t="str">
        <f t="shared" si="513"/>
        <v>-</v>
      </c>
      <c r="AW343" s="1343" t="str">
        <f t="shared" si="514"/>
        <v>-</v>
      </c>
      <c r="AX343" s="964" t="str">
        <f t="shared" si="515"/>
        <v>-</v>
      </c>
      <c r="AY343" s="964" t="str">
        <f t="shared" si="516"/>
        <v>-</v>
      </c>
      <c r="AZ343" s="964" t="str">
        <f t="shared" si="517"/>
        <v>-</v>
      </c>
      <c r="BA343" s="965" t="str">
        <f t="shared" si="518"/>
        <v>-</v>
      </c>
      <c r="BB343" s="1343" t="str">
        <f t="shared" si="519"/>
        <v>-</v>
      </c>
      <c r="BC343" s="964" t="str">
        <f t="shared" si="520"/>
        <v>-</v>
      </c>
      <c r="BD343" s="964" t="str">
        <f t="shared" si="521"/>
        <v>-</v>
      </c>
      <c r="BE343" s="964" t="str">
        <f t="shared" si="522"/>
        <v>-</v>
      </c>
      <c r="BF343" s="966" t="str">
        <f t="shared" si="523"/>
        <v>-</v>
      </c>
      <c r="BG343" s="951"/>
      <c r="BH343" s="1541" t="str">
        <f t="shared" si="524"/>
        <v>Qty</v>
      </c>
      <c r="BI343" s="1542" t="str">
        <f t="shared" si="525"/>
        <v>[Service]</v>
      </c>
      <c r="BJ343" s="1543" t="str">
        <f t="shared" si="526"/>
        <v>[Price]</v>
      </c>
      <c r="BK343" s="964" t="str">
        <f t="shared" ref="BK343:BU343" si="559">IF(V343="","-",IFERROR((V343/U343-1)*(U344/U$13),"-"))</f>
        <v>-</v>
      </c>
      <c r="BL343" s="964" t="str">
        <f t="shared" si="559"/>
        <v>-</v>
      </c>
      <c r="BM343" s="964" t="str">
        <f t="shared" si="559"/>
        <v>-</v>
      </c>
      <c r="BN343" s="964" t="str">
        <f t="shared" si="559"/>
        <v>-</v>
      </c>
      <c r="BO343" s="1350" t="str">
        <f t="shared" si="559"/>
        <v>-</v>
      </c>
      <c r="BP343" s="1343" t="str">
        <f t="shared" si="559"/>
        <v>-</v>
      </c>
      <c r="BQ343" s="964" t="str">
        <f t="shared" si="559"/>
        <v>-</v>
      </c>
      <c r="BR343" s="964" t="str">
        <f t="shared" si="559"/>
        <v>-</v>
      </c>
      <c r="BS343" s="964" t="str">
        <f t="shared" si="559"/>
        <v>-</v>
      </c>
      <c r="BT343" s="965" t="str">
        <f t="shared" si="559"/>
        <v>-</v>
      </c>
      <c r="BU343" s="964" t="str">
        <f t="shared" si="559"/>
        <v>-</v>
      </c>
      <c r="BV343" s="964" t="str">
        <f>IF(AG343="","-",IFERROR((AG343/AF343-1)*(AF344/AF$13),"-"))</f>
        <v>-</v>
      </c>
      <c r="BW343" s="964" t="str">
        <f>IF(AH343="","-",IFERROR((AH343/AG343-1)*(AG344/AG$13),"-"))</f>
        <v>-</v>
      </c>
      <c r="BX343" s="964" t="str">
        <f>IF(AI343="","-",IFERROR((AI343/AH343-1)*(AH344/AH$13),"-"))</f>
        <v>-</v>
      </c>
      <c r="BY343" s="966" t="str">
        <f>IF(AJ343="","-",IFERROR((AJ343/AI343-1)*(AI344/AI$13),"-"))</f>
        <v>-</v>
      </c>
      <c r="BZ343" s="951"/>
      <c r="CA343" s="961" t="str">
        <f t="shared" si="503"/>
        <v>Qty</v>
      </c>
      <c r="CB343" s="962" t="str">
        <f t="shared" si="504"/>
        <v>[Service]</v>
      </c>
      <c r="CC343" s="962" t="str">
        <f t="shared" si="505"/>
        <v>[Price]</v>
      </c>
      <c r="CD343" s="967" t="str">
        <f t="shared" si="536"/>
        <v>-</v>
      </c>
      <c r="CE343" s="964" t="str">
        <f t="shared" si="528"/>
        <v>-</v>
      </c>
      <c r="CF343" s="964" t="str">
        <f t="shared" si="529"/>
        <v>-</v>
      </c>
      <c r="CG343" s="965" t="str">
        <f t="shared" si="530"/>
        <v>-</v>
      </c>
      <c r="CH343" s="964" t="str">
        <f t="shared" si="537"/>
        <v>-</v>
      </c>
      <c r="CI343" s="964" t="str">
        <f t="shared" si="531"/>
        <v>-</v>
      </c>
      <c r="CJ343" s="964" t="str">
        <f t="shared" si="532"/>
        <v>-</v>
      </c>
      <c r="CK343" s="966" t="str">
        <f t="shared" si="533"/>
        <v>-</v>
      </c>
    </row>
    <row r="344" spans="4:89" ht="12.75" outlineLevel="1" thickBot="1">
      <c r="E344" s="568" t="s">
        <v>882</v>
      </c>
      <c r="F344" s="560" t="str">
        <f>+F342</f>
        <v>[Service]</v>
      </c>
      <c r="G344" s="561">
        <f>+G342</f>
        <v>0</v>
      </c>
      <c r="H344" s="561">
        <f>+H342</f>
        <v>0</v>
      </c>
      <c r="I344" s="562" t="str">
        <f>+I342</f>
        <v>[Price]</v>
      </c>
      <c r="J344" s="563" t="s">
        <v>883</v>
      </c>
      <c r="K344" s="564">
        <f t="shared" ref="K344:AJ344" si="560">K342*K343/10^6</f>
        <v>0</v>
      </c>
      <c r="L344" s="565">
        <f t="shared" si="560"/>
        <v>0</v>
      </c>
      <c r="M344" s="565">
        <f t="shared" si="560"/>
        <v>0</v>
      </c>
      <c r="N344" s="564">
        <f t="shared" si="560"/>
        <v>0</v>
      </c>
      <c r="O344" s="565">
        <f t="shared" si="560"/>
        <v>0</v>
      </c>
      <c r="P344" s="565">
        <f t="shared" si="560"/>
        <v>0</v>
      </c>
      <c r="Q344" s="565">
        <f t="shared" si="560"/>
        <v>0</v>
      </c>
      <c r="R344" s="566">
        <f t="shared" si="560"/>
        <v>0</v>
      </c>
      <c r="S344" s="564">
        <f t="shared" si="560"/>
        <v>0</v>
      </c>
      <c r="T344" s="565">
        <f t="shared" si="560"/>
        <v>0</v>
      </c>
      <c r="U344" s="566">
        <f t="shared" si="560"/>
        <v>0</v>
      </c>
      <c r="V344" s="564">
        <f t="shared" si="560"/>
        <v>0</v>
      </c>
      <c r="W344" s="565">
        <f t="shared" si="560"/>
        <v>0</v>
      </c>
      <c r="X344" s="565">
        <f t="shared" si="560"/>
        <v>0</v>
      </c>
      <c r="Y344" s="565">
        <f t="shared" si="560"/>
        <v>0</v>
      </c>
      <c r="Z344" s="566">
        <f t="shared" si="560"/>
        <v>0</v>
      </c>
      <c r="AA344" s="564">
        <f t="shared" si="560"/>
        <v>0</v>
      </c>
      <c r="AB344" s="565">
        <f t="shared" si="560"/>
        <v>0</v>
      </c>
      <c r="AC344" s="565">
        <f t="shared" si="560"/>
        <v>0</v>
      </c>
      <c r="AD344" s="565">
        <f t="shared" si="560"/>
        <v>0</v>
      </c>
      <c r="AE344" s="566">
        <f t="shared" si="560"/>
        <v>0</v>
      </c>
      <c r="AF344" s="564">
        <f t="shared" si="560"/>
        <v>0</v>
      </c>
      <c r="AG344" s="565">
        <f t="shared" si="560"/>
        <v>0</v>
      </c>
      <c r="AH344" s="565">
        <f t="shared" si="560"/>
        <v>0</v>
      </c>
      <c r="AI344" s="565">
        <f t="shared" si="560"/>
        <v>0</v>
      </c>
      <c r="AJ344" s="566">
        <f t="shared" si="560"/>
        <v>0</v>
      </c>
      <c r="AK344" s="569"/>
      <c r="AL344" s="569"/>
      <c r="AN344" s="857"/>
      <c r="AO344" s="984" t="str">
        <f t="shared" si="506"/>
        <v>Rev</v>
      </c>
      <c r="AP344" s="985" t="str">
        <f t="shared" si="507"/>
        <v>[Service]</v>
      </c>
      <c r="AQ344" s="986" t="str">
        <f t="shared" si="508"/>
        <v>[Price]</v>
      </c>
      <c r="AR344" s="990" t="str">
        <f t="shared" si="509"/>
        <v>-</v>
      </c>
      <c r="AS344" s="987" t="str">
        <f t="shared" si="510"/>
        <v>-</v>
      </c>
      <c r="AT344" s="987" t="str">
        <f t="shared" si="511"/>
        <v>-</v>
      </c>
      <c r="AU344" s="987" t="str">
        <f t="shared" si="512"/>
        <v>-</v>
      </c>
      <c r="AV344" s="1353" t="str">
        <f t="shared" si="513"/>
        <v>-</v>
      </c>
      <c r="AW344" s="1346" t="str">
        <f t="shared" si="514"/>
        <v>-</v>
      </c>
      <c r="AX344" s="987" t="str">
        <f t="shared" si="515"/>
        <v>-</v>
      </c>
      <c r="AY344" s="987" t="str">
        <f t="shared" si="516"/>
        <v>-</v>
      </c>
      <c r="AZ344" s="987" t="str">
        <f t="shared" si="517"/>
        <v>-</v>
      </c>
      <c r="BA344" s="988" t="str">
        <f t="shared" si="518"/>
        <v>-</v>
      </c>
      <c r="BB344" s="1346" t="str">
        <f t="shared" si="519"/>
        <v>-</v>
      </c>
      <c r="BC344" s="987" t="str">
        <f t="shared" si="520"/>
        <v>-</v>
      </c>
      <c r="BD344" s="987" t="str">
        <f t="shared" si="521"/>
        <v>-</v>
      </c>
      <c r="BE344" s="987" t="str">
        <f t="shared" si="522"/>
        <v>-</v>
      </c>
      <c r="BF344" s="989" t="str">
        <f t="shared" si="523"/>
        <v>-</v>
      </c>
      <c r="BG344" s="951"/>
      <c r="BH344" s="1550" t="str">
        <f t="shared" si="524"/>
        <v>Rev</v>
      </c>
      <c r="BI344" s="1551" t="str">
        <f t="shared" si="525"/>
        <v>[Service]</v>
      </c>
      <c r="BJ344" s="1552" t="str">
        <f t="shared" si="526"/>
        <v>[Price]</v>
      </c>
      <c r="BK344" s="987" t="str">
        <f t="shared" ref="BK344:BU344" si="561">IF(V344="","-",IFERROR((V344/U344-1)*(U344/U$13),"-"))</f>
        <v>-</v>
      </c>
      <c r="BL344" s="987" t="str">
        <f t="shared" si="561"/>
        <v>-</v>
      </c>
      <c r="BM344" s="987" t="str">
        <f t="shared" si="561"/>
        <v>-</v>
      </c>
      <c r="BN344" s="987" t="str">
        <f t="shared" si="561"/>
        <v>-</v>
      </c>
      <c r="BO344" s="1353" t="str">
        <f t="shared" si="561"/>
        <v>-</v>
      </c>
      <c r="BP344" s="1346" t="str">
        <f t="shared" si="561"/>
        <v>-</v>
      </c>
      <c r="BQ344" s="987" t="str">
        <f t="shared" si="561"/>
        <v>-</v>
      </c>
      <c r="BR344" s="987" t="str">
        <f t="shared" si="561"/>
        <v>-</v>
      </c>
      <c r="BS344" s="987" t="str">
        <f t="shared" si="561"/>
        <v>-</v>
      </c>
      <c r="BT344" s="988" t="str">
        <f t="shared" si="561"/>
        <v>-</v>
      </c>
      <c r="BU344" s="987" t="str">
        <f t="shared" si="561"/>
        <v>-</v>
      </c>
      <c r="BV344" s="987" t="str">
        <f>IF(AG344="","-",IFERROR((AG344/AF344-1)*(AF344/AF$13),"-"))</f>
        <v>-</v>
      </c>
      <c r="BW344" s="987" t="str">
        <f>IF(AH344="","-",IFERROR((AH344/AG344-1)*(AG344/AG$13),"-"))</f>
        <v>-</v>
      </c>
      <c r="BX344" s="987" t="str">
        <f>IF(AI344="","-",IFERROR((AI344/AH344-1)*(AH344/AH$13),"-"))</f>
        <v>-</v>
      </c>
      <c r="BY344" s="989" t="str">
        <f>IF(AJ344="","-",IFERROR((AJ344/AI344-1)*(AI344/AI$13),"-"))</f>
        <v>-</v>
      </c>
      <c r="BZ344" s="951"/>
      <c r="CA344" s="984" t="str">
        <f t="shared" si="503"/>
        <v>Rev</v>
      </c>
      <c r="CB344" s="985" t="str">
        <f t="shared" si="504"/>
        <v>[Service]</v>
      </c>
      <c r="CC344" s="985" t="str">
        <f t="shared" si="505"/>
        <v>[Price]</v>
      </c>
      <c r="CD344" s="990" t="str">
        <f t="shared" si="536"/>
        <v>-</v>
      </c>
      <c r="CE344" s="987" t="str">
        <f t="shared" si="528"/>
        <v>-</v>
      </c>
      <c r="CF344" s="987" t="str">
        <f t="shared" si="529"/>
        <v>-</v>
      </c>
      <c r="CG344" s="988" t="str">
        <f t="shared" si="530"/>
        <v>-</v>
      </c>
      <c r="CH344" s="987" t="str">
        <f t="shared" si="537"/>
        <v>-</v>
      </c>
      <c r="CI344" s="987" t="str">
        <f t="shared" si="531"/>
        <v>-</v>
      </c>
      <c r="CJ344" s="987" t="str">
        <f t="shared" si="532"/>
        <v>-</v>
      </c>
      <c r="CK344" s="989" t="str">
        <f t="shared" si="533"/>
        <v>-</v>
      </c>
    </row>
    <row r="345" spans="4:89" outlineLevel="1">
      <c r="D345" s="63">
        <f>D342+1</f>
        <v>93</v>
      </c>
      <c r="E345" s="550" t="s">
        <v>857</v>
      </c>
      <c r="F345" s="595" t="s">
        <v>428</v>
      </c>
      <c r="G345" s="595"/>
      <c r="H345" s="595"/>
      <c r="I345" s="589" t="s">
        <v>920</v>
      </c>
      <c r="J345" s="589" t="s">
        <v>879</v>
      </c>
      <c r="K345" s="551"/>
      <c r="L345" s="552"/>
      <c r="M345" s="552"/>
      <c r="N345" s="551"/>
      <c r="O345" s="552"/>
      <c r="P345" s="552"/>
      <c r="Q345" s="552"/>
      <c r="R345" s="1035"/>
      <c r="S345" s="1138"/>
      <c r="T345" s="591"/>
      <c r="U345" s="1035"/>
      <c r="V345" s="1138"/>
      <c r="W345" s="591"/>
      <c r="X345" s="591"/>
      <c r="Y345" s="591"/>
      <c r="Z345" s="1035"/>
      <c r="AA345" s="1138"/>
      <c r="AB345" s="591"/>
      <c r="AC345" s="591"/>
      <c r="AD345" s="591"/>
      <c r="AE345" s="1035"/>
      <c r="AF345" s="1138"/>
      <c r="AG345" s="591"/>
      <c r="AH345" s="591"/>
      <c r="AI345" s="591"/>
      <c r="AJ345" s="1035"/>
      <c r="AK345" s="569"/>
      <c r="AL345" s="569"/>
      <c r="AM345" s="974"/>
      <c r="AN345" s="857"/>
      <c r="AO345" s="975" t="str">
        <f t="shared" si="506"/>
        <v>Price</v>
      </c>
      <c r="AP345" s="976" t="str">
        <f t="shared" si="507"/>
        <v>[Service]</v>
      </c>
      <c r="AQ345" s="977" t="str">
        <f t="shared" si="508"/>
        <v>[Price]</v>
      </c>
      <c r="AR345" s="1341" t="str">
        <f t="shared" si="509"/>
        <v>-</v>
      </c>
      <c r="AS345" s="978" t="str">
        <f t="shared" si="510"/>
        <v>-</v>
      </c>
      <c r="AT345" s="979" t="str">
        <f t="shared" si="511"/>
        <v>-</v>
      </c>
      <c r="AU345" s="979" t="str">
        <f t="shared" si="512"/>
        <v>-</v>
      </c>
      <c r="AV345" s="1352" t="str">
        <f t="shared" si="513"/>
        <v>-</v>
      </c>
      <c r="AW345" s="1345" t="str">
        <f t="shared" si="514"/>
        <v>-</v>
      </c>
      <c r="AX345" s="979" t="str">
        <f t="shared" si="515"/>
        <v>-</v>
      </c>
      <c r="AY345" s="979" t="str">
        <f t="shared" si="516"/>
        <v>-</v>
      </c>
      <c r="AZ345" s="979" t="str">
        <f t="shared" si="517"/>
        <v>-</v>
      </c>
      <c r="BA345" s="980" t="str">
        <f t="shared" si="518"/>
        <v>-</v>
      </c>
      <c r="BB345" s="1345" t="str">
        <f t="shared" si="519"/>
        <v>-</v>
      </c>
      <c r="BC345" s="979" t="str">
        <f t="shared" si="520"/>
        <v>-</v>
      </c>
      <c r="BD345" s="979" t="str">
        <f t="shared" si="521"/>
        <v>-</v>
      </c>
      <c r="BE345" s="979" t="str">
        <f t="shared" si="522"/>
        <v>-</v>
      </c>
      <c r="BF345" s="981" t="str">
        <f t="shared" si="523"/>
        <v>-</v>
      </c>
      <c r="BG345" s="951"/>
      <c r="BH345" s="1547" t="str">
        <f t="shared" si="524"/>
        <v>Price</v>
      </c>
      <c r="BI345" s="1548" t="str">
        <f t="shared" si="525"/>
        <v>[Service]</v>
      </c>
      <c r="BJ345" s="1549" t="str">
        <f t="shared" si="526"/>
        <v>[Price]</v>
      </c>
      <c r="BK345" s="978" t="str">
        <f t="shared" ref="BK345:BU345" si="562">IF(V345="","-",IFERROR((V345/U345-1)*(U347/U$13),"-"))</f>
        <v>-</v>
      </c>
      <c r="BL345" s="978" t="str">
        <f t="shared" si="562"/>
        <v>-</v>
      </c>
      <c r="BM345" s="979" t="str">
        <f t="shared" si="562"/>
        <v>-</v>
      </c>
      <c r="BN345" s="979" t="str">
        <f t="shared" si="562"/>
        <v>-</v>
      </c>
      <c r="BO345" s="1352" t="str">
        <f t="shared" si="562"/>
        <v>-</v>
      </c>
      <c r="BP345" s="1345" t="str">
        <f t="shared" si="562"/>
        <v>-</v>
      </c>
      <c r="BQ345" s="979" t="str">
        <f t="shared" si="562"/>
        <v>-</v>
      </c>
      <c r="BR345" s="979" t="str">
        <f t="shared" si="562"/>
        <v>-</v>
      </c>
      <c r="BS345" s="979" t="str">
        <f t="shared" si="562"/>
        <v>-</v>
      </c>
      <c r="BT345" s="980" t="str">
        <f t="shared" si="562"/>
        <v>-</v>
      </c>
      <c r="BU345" s="979" t="str">
        <f t="shared" si="562"/>
        <v>-</v>
      </c>
      <c r="BV345" s="979" t="str">
        <f>IF(AG345="","-",IFERROR((AG345/AF345-1)*(AF347/AF$13),"-"))</f>
        <v>-</v>
      </c>
      <c r="BW345" s="979" t="str">
        <f>IF(AH345="","-",IFERROR((AH345/AG345-1)*(AG347/AG$13),"-"))</f>
        <v>-</v>
      </c>
      <c r="BX345" s="979" t="str">
        <f>IF(AI345="","-",IFERROR((AI345/AH345-1)*(AH347/AH$13),"-"))</f>
        <v>-</v>
      </c>
      <c r="BY345" s="981" t="str">
        <f>IF(AJ345="","-",IFERROR((AJ345/AI345-1)*(AI347/AI$13),"-"))</f>
        <v>-</v>
      </c>
      <c r="BZ345" s="951"/>
      <c r="CA345" s="975" t="str">
        <f t="shared" si="503"/>
        <v>Price</v>
      </c>
      <c r="CB345" s="976" t="str">
        <f t="shared" si="504"/>
        <v>[Service]</v>
      </c>
      <c r="CC345" s="982" t="str">
        <f t="shared" si="505"/>
        <v>[Price]</v>
      </c>
      <c r="CD345" s="983" t="str">
        <f t="shared" si="536"/>
        <v>-</v>
      </c>
      <c r="CE345" s="979" t="str">
        <f t="shared" si="528"/>
        <v>-</v>
      </c>
      <c r="CF345" s="979" t="str">
        <f t="shared" si="529"/>
        <v>-</v>
      </c>
      <c r="CG345" s="980" t="str">
        <f t="shared" si="530"/>
        <v>-</v>
      </c>
      <c r="CH345" s="979" t="str">
        <f t="shared" si="537"/>
        <v>-</v>
      </c>
      <c r="CI345" s="979" t="str">
        <f t="shared" si="531"/>
        <v>-</v>
      </c>
      <c r="CJ345" s="979" t="str">
        <f t="shared" si="532"/>
        <v>-</v>
      </c>
      <c r="CK345" s="981" t="str">
        <f t="shared" si="533"/>
        <v>-</v>
      </c>
    </row>
    <row r="346" spans="4:89" outlineLevel="1">
      <c r="E346" s="567" t="s">
        <v>880</v>
      </c>
      <c r="F346" s="554" t="str">
        <f>+F345</f>
        <v>[Service]</v>
      </c>
      <c r="G346" s="555">
        <f>+G345</f>
        <v>0</v>
      </c>
      <c r="H346" s="555">
        <f>+H345</f>
        <v>0</v>
      </c>
      <c r="I346" s="556" t="str">
        <f>+I345</f>
        <v>[Price]</v>
      </c>
      <c r="J346" s="590" t="s">
        <v>916</v>
      </c>
      <c r="K346" s="557"/>
      <c r="L346" s="558"/>
      <c r="M346" s="558"/>
      <c r="N346" s="557"/>
      <c r="O346" s="558"/>
      <c r="P346" s="558"/>
      <c r="Q346" s="558"/>
      <c r="R346" s="1036"/>
      <c r="S346" s="1139"/>
      <c r="T346" s="593"/>
      <c r="U346" s="1036"/>
      <c r="V346" s="1139"/>
      <c r="W346" s="593"/>
      <c r="X346" s="593"/>
      <c r="Y346" s="593"/>
      <c r="Z346" s="1036"/>
      <c r="AA346" s="1139"/>
      <c r="AB346" s="593"/>
      <c r="AC346" s="593"/>
      <c r="AD346" s="593"/>
      <c r="AE346" s="1036"/>
      <c r="AF346" s="1139"/>
      <c r="AG346" s="593"/>
      <c r="AH346" s="593"/>
      <c r="AI346" s="593"/>
      <c r="AJ346" s="1036"/>
      <c r="AK346" s="569"/>
      <c r="AL346" s="569"/>
      <c r="AN346" s="857"/>
      <c r="AO346" s="961" t="str">
        <f t="shared" si="506"/>
        <v>Qty</v>
      </c>
      <c r="AP346" s="962" t="str">
        <f t="shared" si="507"/>
        <v>[Service]</v>
      </c>
      <c r="AQ346" s="963" t="str">
        <f t="shared" si="508"/>
        <v>[Price]</v>
      </c>
      <c r="AR346" s="967" t="str">
        <f t="shared" si="509"/>
        <v>-</v>
      </c>
      <c r="AS346" s="964" t="str">
        <f t="shared" si="510"/>
        <v>-</v>
      </c>
      <c r="AT346" s="964" t="str">
        <f t="shared" si="511"/>
        <v>-</v>
      </c>
      <c r="AU346" s="964" t="str">
        <f t="shared" si="512"/>
        <v>-</v>
      </c>
      <c r="AV346" s="1350" t="str">
        <f t="shared" si="513"/>
        <v>-</v>
      </c>
      <c r="AW346" s="1343" t="str">
        <f t="shared" si="514"/>
        <v>-</v>
      </c>
      <c r="AX346" s="964" t="str">
        <f t="shared" si="515"/>
        <v>-</v>
      </c>
      <c r="AY346" s="964" t="str">
        <f t="shared" si="516"/>
        <v>-</v>
      </c>
      <c r="AZ346" s="964" t="str">
        <f t="shared" si="517"/>
        <v>-</v>
      </c>
      <c r="BA346" s="965" t="str">
        <f t="shared" si="518"/>
        <v>-</v>
      </c>
      <c r="BB346" s="1343" t="str">
        <f t="shared" si="519"/>
        <v>-</v>
      </c>
      <c r="BC346" s="964" t="str">
        <f t="shared" si="520"/>
        <v>-</v>
      </c>
      <c r="BD346" s="964" t="str">
        <f t="shared" si="521"/>
        <v>-</v>
      </c>
      <c r="BE346" s="964" t="str">
        <f t="shared" si="522"/>
        <v>-</v>
      </c>
      <c r="BF346" s="966" t="str">
        <f t="shared" si="523"/>
        <v>-</v>
      </c>
      <c r="BG346" s="951"/>
      <c r="BH346" s="1541" t="str">
        <f t="shared" si="524"/>
        <v>Qty</v>
      </c>
      <c r="BI346" s="1542" t="str">
        <f t="shared" si="525"/>
        <v>[Service]</v>
      </c>
      <c r="BJ346" s="1543" t="str">
        <f t="shared" si="526"/>
        <v>[Price]</v>
      </c>
      <c r="BK346" s="964" t="str">
        <f t="shared" ref="BK346:BU346" si="563">IF(V346="","-",IFERROR((V346/U346-1)*(U347/U$13),"-"))</f>
        <v>-</v>
      </c>
      <c r="BL346" s="964" t="str">
        <f t="shared" si="563"/>
        <v>-</v>
      </c>
      <c r="BM346" s="964" t="str">
        <f t="shared" si="563"/>
        <v>-</v>
      </c>
      <c r="BN346" s="964" t="str">
        <f t="shared" si="563"/>
        <v>-</v>
      </c>
      <c r="BO346" s="1350" t="str">
        <f t="shared" si="563"/>
        <v>-</v>
      </c>
      <c r="BP346" s="1343" t="str">
        <f t="shared" si="563"/>
        <v>-</v>
      </c>
      <c r="BQ346" s="964" t="str">
        <f t="shared" si="563"/>
        <v>-</v>
      </c>
      <c r="BR346" s="964" t="str">
        <f t="shared" si="563"/>
        <v>-</v>
      </c>
      <c r="BS346" s="964" t="str">
        <f t="shared" si="563"/>
        <v>-</v>
      </c>
      <c r="BT346" s="965" t="str">
        <f t="shared" si="563"/>
        <v>-</v>
      </c>
      <c r="BU346" s="964" t="str">
        <f t="shared" si="563"/>
        <v>-</v>
      </c>
      <c r="BV346" s="964" t="str">
        <f>IF(AG346="","-",IFERROR((AG346/AF346-1)*(AF347/AF$13),"-"))</f>
        <v>-</v>
      </c>
      <c r="BW346" s="964" t="str">
        <f>IF(AH346="","-",IFERROR((AH346/AG346-1)*(AG347/AG$13),"-"))</f>
        <v>-</v>
      </c>
      <c r="BX346" s="964" t="str">
        <f>IF(AI346="","-",IFERROR((AI346/AH346-1)*(AH347/AH$13),"-"))</f>
        <v>-</v>
      </c>
      <c r="BY346" s="966" t="str">
        <f>IF(AJ346="","-",IFERROR((AJ346/AI346-1)*(AI347/AI$13),"-"))</f>
        <v>-</v>
      </c>
      <c r="BZ346" s="951"/>
      <c r="CA346" s="961" t="str">
        <f t="shared" si="503"/>
        <v>Qty</v>
      </c>
      <c r="CB346" s="962" t="str">
        <f t="shared" si="504"/>
        <v>[Service]</v>
      </c>
      <c r="CC346" s="962" t="str">
        <f t="shared" si="505"/>
        <v>[Price]</v>
      </c>
      <c r="CD346" s="967" t="str">
        <f t="shared" si="536"/>
        <v>-</v>
      </c>
      <c r="CE346" s="964" t="str">
        <f t="shared" si="528"/>
        <v>-</v>
      </c>
      <c r="CF346" s="964" t="str">
        <f t="shared" si="529"/>
        <v>-</v>
      </c>
      <c r="CG346" s="965" t="str">
        <f t="shared" si="530"/>
        <v>-</v>
      </c>
      <c r="CH346" s="964" t="str">
        <f t="shared" si="537"/>
        <v>-</v>
      </c>
      <c r="CI346" s="964" t="str">
        <f t="shared" si="531"/>
        <v>-</v>
      </c>
      <c r="CJ346" s="964" t="str">
        <f t="shared" si="532"/>
        <v>-</v>
      </c>
      <c r="CK346" s="966" t="str">
        <f t="shared" si="533"/>
        <v>-</v>
      </c>
    </row>
    <row r="347" spans="4:89" ht="12.75" outlineLevel="1" thickBot="1">
      <c r="E347" s="568" t="s">
        <v>882</v>
      </c>
      <c r="F347" s="560" t="str">
        <f>+F345</f>
        <v>[Service]</v>
      </c>
      <c r="G347" s="561">
        <f>+G345</f>
        <v>0</v>
      </c>
      <c r="H347" s="561">
        <f>+H345</f>
        <v>0</v>
      </c>
      <c r="I347" s="562" t="str">
        <f>+I345</f>
        <v>[Price]</v>
      </c>
      <c r="J347" s="563" t="s">
        <v>883</v>
      </c>
      <c r="K347" s="564">
        <f t="shared" ref="K347:AJ347" si="564">K345*K346/10^6</f>
        <v>0</v>
      </c>
      <c r="L347" s="565">
        <f t="shared" si="564"/>
        <v>0</v>
      </c>
      <c r="M347" s="565">
        <f t="shared" si="564"/>
        <v>0</v>
      </c>
      <c r="N347" s="564">
        <f t="shared" si="564"/>
        <v>0</v>
      </c>
      <c r="O347" s="565">
        <f t="shared" si="564"/>
        <v>0</v>
      </c>
      <c r="P347" s="565">
        <f t="shared" si="564"/>
        <v>0</v>
      </c>
      <c r="Q347" s="565">
        <f t="shared" si="564"/>
        <v>0</v>
      </c>
      <c r="R347" s="566">
        <f t="shared" si="564"/>
        <v>0</v>
      </c>
      <c r="S347" s="564">
        <f t="shared" si="564"/>
        <v>0</v>
      </c>
      <c r="T347" s="565">
        <f t="shared" si="564"/>
        <v>0</v>
      </c>
      <c r="U347" s="566">
        <f t="shared" si="564"/>
        <v>0</v>
      </c>
      <c r="V347" s="564">
        <f t="shared" si="564"/>
        <v>0</v>
      </c>
      <c r="W347" s="565">
        <f t="shared" si="564"/>
        <v>0</v>
      </c>
      <c r="X347" s="565">
        <f t="shared" si="564"/>
        <v>0</v>
      </c>
      <c r="Y347" s="565">
        <f t="shared" si="564"/>
        <v>0</v>
      </c>
      <c r="Z347" s="566">
        <f t="shared" si="564"/>
        <v>0</v>
      </c>
      <c r="AA347" s="564">
        <f t="shared" si="564"/>
        <v>0</v>
      </c>
      <c r="AB347" s="565">
        <f t="shared" si="564"/>
        <v>0</v>
      </c>
      <c r="AC347" s="565">
        <f t="shared" si="564"/>
        <v>0</v>
      </c>
      <c r="AD347" s="565">
        <f t="shared" si="564"/>
        <v>0</v>
      </c>
      <c r="AE347" s="566">
        <f t="shared" si="564"/>
        <v>0</v>
      </c>
      <c r="AF347" s="564">
        <f t="shared" si="564"/>
        <v>0</v>
      </c>
      <c r="AG347" s="565">
        <f t="shared" si="564"/>
        <v>0</v>
      </c>
      <c r="AH347" s="565">
        <f t="shared" si="564"/>
        <v>0</v>
      </c>
      <c r="AI347" s="565">
        <f t="shared" si="564"/>
        <v>0</v>
      </c>
      <c r="AJ347" s="566">
        <f t="shared" si="564"/>
        <v>0</v>
      </c>
      <c r="AK347" s="569"/>
      <c r="AL347" s="569"/>
      <c r="AN347" s="857"/>
      <c r="AO347" s="984" t="str">
        <f t="shared" si="506"/>
        <v>Rev</v>
      </c>
      <c r="AP347" s="985" t="str">
        <f t="shared" si="507"/>
        <v>[Service]</v>
      </c>
      <c r="AQ347" s="986" t="str">
        <f t="shared" si="508"/>
        <v>[Price]</v>
      </c>
      <c r="AR347" s="990" t="str">
        <f t="shared" si="509"/>
        <v>-</v>
      </c>
      <c r="AS347" s="987" t="str">
        <f t="shared" si="510"/>
        <v>-</v>
      </c>
      <c r="AT347" s="987" t="str">
        <f t="shared" si="511"/>
        <v>-</v>
      </c>
      <c r="AU347" s="987" t="str">
        <f t="shared" si="512"/>
        <v>-</v>
      </c>
      <c r="AV347" s="1353" t="str">
        <f t="shared" si="513"/>
        <v>-</v>
      </c>
      <c r="AW347" s="1346" t="str">
        <f t="shared" si="514"/>
        <v>-</v>
      </c>
      <c r="AX347" s="987" t="str">
        <f t="shared" si="515"/>
        <v>-</v>
      </c>
      <c r="AY347" s="987" t="str">
        <f t="shared" si="516"/>
        <v>-</v>
      </c>
      <c r="AZ347" s="987" t="str">
        <f t="shared" si="517"/>
        <v>-</v>
      </c>
      <c r="BA347" s="988" t="str">
        <f t="shared" si="518"/>
        <v>-</v>
      </c>
      <c r="BB347" s="1346" t="str">
        <f t="shared" si="519"/>
        <v>-</v>
      </c>
      <c r="BC347" s="987" t="str">
        <f t="shared" si="520"/>
        <v>-</v>
      </c>
      <c r="BD347" s="987" t="str">
        <f t="shared" si="521"/>
        <v>-</v>
      </c>
      <c r="BE347" s="987" t="str">
        <f t="shared" si="522"/>
        <v>-</v>
      </c>
      <c r="BF347" s="989" t="str">
        <f t="shared" si="523"/>
        <v>-</v>
      </c>
      <c r="BG347" s="951"/>
      <c r="BH347" s="1550" t="str">
        <f t="shared" si="524"/>
        <v>Rev</v>
      </c>
      <c r="BI347" s="1551" t="str">
        <f t="shared" si="525"/>
        <v>[Service]</v>
      </c>
      <c r="BJ347" s="1552" t="str">
        <f t="shared" si="526"/>
        <v>[Price]</v>
      </c>
      <c r="BK347" s="987" t="str">
        <f t="shared" ref="BK347:BU347" si="565">IF(V347="","-",IFERROR((V347/U347-1)*(U347/U$13),"-"))</f>
        <v>-</v>
      </c>
      <c r="BL347" s="987" t="str">
        <f t="shared" si="565"/>
        <v>-</v>
      </c>
      <c r="BM347" s="987" t="str">
        <f t="shared" si="565"/>
        <v>-</v>
      </c>
      <c r="BN347" s="987" t="str">
        <f t="shared" si="565"/>
        <v>-</v>
      </c>
      <c r="BO347" s="1353" t="str">
        <f t="shared" si="565"/>
        <v>-</v>
      </c>
      <c r="BP347" s="1346" t="str">
        <f t="shared" si="565"/>
        <v>-</v>
      </c>
      <c r="BQ347" s="987" t="str">
        <f t="shared" si="565"/>
        <v>-</v>
      </c>
      <c r="BR347" s="987" t="str">
        <f t="shared" si="565"/>
        <v>-</v>
      </c>
      <c r="BS347" s="987" t="str">
        <f t="shared" si="565"/>
        <v>-</v>
      </c>
      <c r="BT347" s="988" t="str">
        <f t="shared" si="565"/>
        <v>-</v>
      </c>
      <c r="BU347" s="987" t="str">
        <f t="shared" si="565"/>
        <v>-</v>
      </c>
      <c r="BV347" s="987" t="str">
        <f>IF(AG347="","-",IFERROR((AG347/AF347-1)*(AF347/AF$13),"-"))</f>
        <v>-</v>
      </c>
      <c r="BW347" s="987" t="str">
        <f>IF(AH347="","-",IFERROR((AH347/AG347-1)*(AG347/AG$13),"-"))</f>
        <v>-</v>
      </c>
      <c r="BX347" s="987" t="str">
        <f>IF(AI347="","-",IFERROR((AI347/AH347-1)*(AH347/AH$13),"-"))</f>
        <v>-</v>
      </c>
      <c r="BY347" s="989" t="str">
        <f>IF(AJ347="","-",IFERROR((AJ347/AI347-1)*(AI347/AI$13),"-"))</f>
        <v>-</v>
      </c>
      <c r="BZ347" s="951"/>
      <c r="CA347" s="984" t="str">
        <f t="shared" si="503"/>
        <v>Rev</v>
      </c>
      <c r="CB347" s="985" t="str">
        <f t="shared" si="504"/>
        <v>[Service]</v>
      </c>
      <c r="CC347" s="985" t="str">
        <f t="shared" si="505"/>
        <v>[Price]</v>
      </c>
      <c r="CD347" s="990" t="str">
        <f t="shared" si="536"/>
        <v>-</v>
      </c>
      <c r="CE347" s="987" t="str">
        <f t="shared" si="528"/>
        <v>-</v>
      </c>
      <c r="CF347" s="987" t="str">
        <f t="shared" si="529"/>
        <v>-</v>
      </c>
      <c r="CG347" s="988" t="str">
        <f t="shared" si="530"/>
        <v>-</v>
      </c>
      <c r="CH347" s="987" t="str">
        <f t="shared" si="537"/>
        <v>-</v>
      </c>
      <c r="CI347" s="987" t="str">
        <f t="shared" si="531"/>
        <v>-</v>
      </c>
      <c r="CJ347" s="987" t="str">
        <f t="shared" si="532"/>
        <v>-</v>
      </c>
      <c r="CK347" s="989" t="str">
        <f t="shared" si="533"/>
        <v>-</v>
      </c>
    </row>
    <row r="348" spans="4:89" outlineLevel="1">
      <c r="D348" s="63">
        <f>D345+1</f>
        <v>94</v>
      </c>
      <c r="E348" s="550" t="s">
        <v>857</v>
      </c>
      <c r="F348" s="595" t="s">
        <v>428</v>
      </c>
      <c r="G348" s="595"/>
      <c r="H348" s="595"/>
      <c r="I348" s="589" t="s">
        <v>920</v>
      </c>
      <c r="J348" s="589" t="s">
        <v>879</v>
      </c>
      <c r="K348" s="551"/>
      <c r="L348" s="552"/>
      <c r="M348" s="552"/>
      <c r="N348" s="551"/>
      <c r="O348" s="552"/>
      <c r="P348" s="552"/>
      <c r="Q348" s="552"/>
      <c r="R348" s="1035"/>
      <c r="S348" s="1138"/>
      <c r="T348" s="591"/>
      <c r="U348" s="1035"/>
      <c r="V348" s="1138"/>
      <c r="W348" s="591"/>
      <c r="X348" s="591"/>
      <c r="Y348" s="591"/>
      <c r="Z348" s="1035"/>
      <c r="AA348" s="1138"/>
      <c r="AB348" s="591"/>
      <c r="AC348" s="591"/>
      <c r="AD348" s="591"/>
      <c r="AE348" s="1035"/>
      <c r="AF348" s="1138"/>
      <c r="AG348" s="591"/>
      <c r="AH348" s="591"/>
      <c r="AI348" s="591"/>
      <c r="AJ348" s="1035"/>
      <c r="AK348" s="569"/>
      <c r="AL348" s="569"/>
      <c r="AM348" s="974"/>
      <c r="AN348" s="857"/>
      <c r="AO348" s="975" t="str">
        <f t="shared" si="506"/>
        <v>Price</v>
      </c>
      <c r="AP348" s="976" t="str">
        <f t="shared" si="507"/>
        <v>[Service]</v>
      </c>
      <c r="AQ348" s="977" t="str">
        <f t="shared" si="508"/>
        <v>[Price]</v>
      </c>
      <c r="AR348" s="1341" t="str">
        <f t="shared" si="509"/>
        <v>-</v>
      </c>
      <c r="AS348" s="978" t="str">
        <f t="shared" si="510"/>
        <v>-</v>
      </c>
      <c r="AT348" s="979" t="str">
        <f t="shared" si="511"/>
        <v>-</v>
      </c>
      <c r="AU348" s="979" t="str">
        <f t="shared" si="512"/>
        <v>-</v>
      </c>
      <c r="AV348" s="1352" t="str">
        <f t="shared" si="513"/>
        <v>-</v>
      </c>
      <c r="AW348" s="1345" t="str">
        <f t="shared" si="514"/>
        <v>-</v>
      </c>
      <c r="AX348" s="979" t="str">
        <f t="shared" si="515"/>
        <v>-</v>
      </c>
      <c r="AY348" s="979" t="str">
        <f t="shared" si="516"/>
        <v>-</v>
      </c>
      <c r="AZ348" s="979" t="str">
        <f t="shared" si="517"/>
        <v>-</v>
      </c>
      <c r="BA348" s="980" t="str">
        <f t="shared" si="518"/>
        <v>-</v>
      </c>
      <c r="BB348" s="1345" t="str">
        <f t="shared" si="519"/>
        <v>-</v>
      </c>
      <c r="BC348" s="979" t="str">
        <f t="shared" si="520"/>
        <v>-</v>
      </c>
      <c r="BD348" s="979" t="str">
        <f t="shared" si="521"/>
        <v>-</v>
      </c>
      <c r="BE348" s="979" t="str">
        <f t="shared" si="522"/>
        <v>-</v>
      </c>
      <c r="BF348" s="981" t="str">
        <f t="shared" si="523"/>
        <v>-</v>
      </c>
      <c r="BG348" s="951"/>
      <c r="BH348" s="1547" t="str">
        <f t="shared" si="524"/>
        <v>Price</v>
      </c>
      <c r="BI348" s="1548" t="str">
        <f t="shared" si="525"/>
        <v>[Service]</v>
      </c>
      <c r="BJ348" s="1549" t="str">
        <f t="shared" si="526"/>
        <v>[Price]</v>
      </c>
      <c r="BK348" s="978" t="str">
        <f t="shared" ref="BK348:BU348" si="566">IF(V348="","-",IFERROR((V348/U348-1)*(U350/U$13),"-"))</f>
        <v>-</v>
      </c>
      <c r="BL348" s="978" t="str">
        <f t="shared" si="566"/>
        <v>-</v>
      </c>
      <c r="BM348" s="979" t="str">
        <f t="shared" si="566"/>
        <v>-</v>
      </c>
      <c r="BN348" s="979" t="str">
        <f t="shared" si="566"/>
        <v>-</v>
      </c>
      <c r="BO348" s="1352" t="str">
        <f t="shared" si="566"/>
        <v>-</v>
      </c>
      <c r="BP348" s="1345" t="str">
        <f t="shared" si="566"/>
        <v>-</v>
      </c>
      <c r="BQ348" s="979" t="str">
        <f t="shared" si="566"/>
        <v>-</v>
      </c>
      <c r="BR348" s="979" t="str">
        <f t="shared" si="566"/>
        <v>-</v>
      </c>
      <c r="BS348" s="979" t="str">
        <f t="shared" si="566"/>
        <v>-</v>
      </c>
      <c r="BT348" s="980" t="str">
        <f t="shared" si="566"/>
        <v>-</v>
      </c>
      <c r="BU348" s="979" t="str">
        <f t="shared" si="566"/>
        <v>-</v>
      </c>
      <c r="BV348" s="979" t="str">
        <f>IF(AG348="","-",IFERROR((AG348/AF348-1)*(AF350/AF$13),"-"))</f>
        <v>-</v>
      </c>
      <c r="BW348" s="979" t="str">
        <f>IF(AH348="","-",IFERROR((AH348/AG348-1)*(AG350/AG$13),"-"))</f>
        <v>-</v>
      </c>
      <c r="BX348" s="979" t="str">
        <f>IF(AI348="","-",IFERROR((AI348/AH348-1)*(AH350/AH$13),"-"))</f>
        <v>-</v>
      </c>
      <c r="BY348" s="981" t="str">
        <f>IF(AJ348="","-",IFERROR((AJ348/AI348-1)*(AI350/AI$13),"-"))</f>
        <v>-</v>
      </c>
      <c r="BZ348" s="951"/>
      <c r="CA348" s="975" t="str">
        <f t="shared" si="503"/>
        <v>Price</v>
      </c>
      <c r="CB348" s="976" t="str">
        <f t="shared" si="504"/>
        <v>[Service]</v>
      </c>
      <c r="CC348" s="982" t="str">
        <f t="shared" si="505"/>
        <v>[Price]</v>
      </c>
      <c r="CD348" s="983" t="str">
        <f t="shared" si="536"/>
        <v>-</v>
      </c>
      <c r="CE348" s="979" t="str">
        <f t="shared" si="528"/>
        <v>-</v>
      </c>
      <c r="CF348" s="979" t="str">
        <f t="shared" si="529"/>
        <v>-</v>
      </c>
      <c r="CG348" s="980" t="str">
        <f t="shared" si="530"/>
        <v>-</v>
      </c>
      <c r="CH348" s="979" t="str">
        <f t="shared" si="537"/>
        <v>-</v>
      </c>
      <c r="CI348" s="979" t="str">
        <f t="shared" si="531"/>
        <v>-</v>
      </c>
      <c r="CJ348" s="979" t="str">
        <f t="shared" si="532"/>
        <v>-</v>
      </c>
      <c r="CK348" s="981" t="str">
        <f t="shared" si="533"/>
        <v>-</v>
      </c>
    </row>
    <row r="349" spans="4:89" outlineLevel="1">
      <c r="E349" s="567" t="s">
        <v>880</v>
      </c>
      <c r="F349" s="554" t="str">
        <f>+F348</f>
        <v>[Service]</v>
      </c>
      <c r="G349" s="555">
        <f>+G348</f>
        <v>0</v>
      </c>
      <c r="H349" s="555">
        <f>+H348</f>
        <v>0</v>
      </c>
      <c r="I349" s="556" t="str">
        <f>+I348</f>
        <v>[Price]</v>
      </c>
      <c r="J349" s="590" t="s">
        <v>916</v>
      </c>
      <c r="K349" s="557"/>
      <c r="L349" s="558"/>
      <c r="M349" s="558"/>
      <c r="N349" s="557"/>
      <c r="O349" s="558"/>
      <c r="P349" s="558"/>
      <c r="Q349" s="558"/>
      <c r="R349" s="1036"/>
      <c r="S349" s="1139"/>
      <c r="T349" s="593"/>
      <c r="U349" s="1036"/>
      <c r="V349" s="1139"/>
      <c r="W349" s="593"/>
      <c r="X349" s="593"/>
      <c r="Y349" s="593"/>
      <c r="Z349" s="1036"/>
      <c r="AA349" s="1139"/>
      <c r="AB349" s="593"/>
      <c r="AC349" s="593"/>
      <c r="AD349" s="593"/>
      <c r="AE349" s="1036"/>
      <c r="AF349" s="1139"/>
      <c r="AG349" s="593"/>
      <c r="AH349" s="593"/>
      <c r="AI349" s="593"/>
      <c r="AJ349" s="1036"/>
      <c r="AK349" s="569"/>
      <c r="AL349" s="569"/>
      <c r="AN349" s="857"/>
      <c r="AO349" s="961" t="str">
        <f t="shared" si="506"/>
        <v>Qty</v>
      </c>
      <c r="AP349" s="962" t="str">
        <f t="shared" si="507"/>
        <v>[Service]</v>
      </c>
      <c r="AQ349" s="963" t="str">
        <f t="shared" si="508"/>
        <v>[Price]</v>
      </c>
      <c r="AR349" s="967" t="str">
        <f t="shared" si="509"/>
        <v>-</v>
      </c>
      <c r="AS349" s="964" t="str">
        <f t="shared" si="510"/>
        <v>-</v>
      </c>
      <c r="AT349" s="964" t="str">
        <f t="shared" si="511"/>
        <v>-</v>
      </c>
      <c r="AU349" s="964" t="str">
        <f t="shared" si="512"/>
        <v>-</v>
      </c>
      <c r="AV349" s="1350" t="str">
        <f t="shared" si="513"/>
        <v>-</v>
      </c>
      <c r="AW349" s="1343" t="str">
        <f t="shared" si="514"/>
        <v>-</v>
      </c>
      <c r="AX349" s="964" t="str">
        <f t="shared" si="515"/>
        <v>-</v>
      </c>
      <c r="AY349" s="964" t="str">
        <f t="shared" si="516"/>
        <v>-</v>
      </c>
      <c r="AZ349" s="964" t="str">
        <f t="shared" si="517"/>
        <v>-</v>
      </c>
      <c r="BA349" s="965" t="str">
        <f t="shared" si="518"/>
        <v>-</v>
      </c>
      <c r="BB349" s="1343" t="str">
        <f t="shared" si="519"/>
        <v>-</v>
      </c>
      <c r="BC349" s="964" t="str">
        <f t="shared" si="520"/>
        <v>-</v>
      </c>
      <c r="BD349" s="964" t="str">
        <f t="shared" si="521"/>
        <v>-</v>
      </c>
      <c r="BE349" s="964" t="str">
        <f t="shared" si="522"/>
        <v>-</v>
      </c>
      <c r="BF349" s="966" t="str">
        <f t="shared" si="523"/>
        <v>-</v>
      </c>
      <c r="BG349" s="951"/>
      <c r="BH349" s="1541" t="str">
        <f t="shared" si="524"/>
        <v>Qty</v>
      </c>
      <c r="BI349" s="1542" t="str">
        <f t="shared" si="525"/>
        <v>[Service]</v>
      </c>
      <c r="BJ349" s="1543" t="str">
        <f t="shared" si="526"/>
        <v>[Price]</v>
      </c>
      <c r="BK349" s="964" t="str">
        <f t="shared" ref="BK349:BU349" si="567">IF(V349="","-",IFERROR((V349/U349-1)*(U350/U$13),"-"))</f>
        <v>-</v>
      </c>
      <c r="BL349" s="964" t="str">
        <f t="shared" si="567"/>
        <v>-</v>
      </c>
      <c r="BM349" s="964" t="str">
        <f t="shared" si="567"/>
        <v>-</v>
      </c>
      <c r="BN349" s="964" t="str">
        <f t="shared" si="567"/>
        <v>-</v>
      </c>
      <c r="BO349" s="1350" t="str">
        <f t="shared" si="567"/>
        <v>-</v>
      </c>
      <c r="BP349" s="1343" t="str">
        <f t="shared" si="567"/>
        <v>-</v>
      </c>
      <c r="BQ349" s="964" t="str">
        <f t="shared" si="567"/>
        <v>-</v>
      </c>
      <c r="BR349" s="964" t="str">
        <f t="shared" si="567"/>
        <v>-</v>
      </c>
      <c r="BS349" s="964" t="str">
        <f t="shared" si="567"/>
        <v>-</v>
      </c>
      <c r="BT349" s="965" t="str">
        <f t="shared" si="567"/>
        <v>-</v>
      </c>
      <c r="BU349" s="964" t="str">
        <f t="shared" si="567"/>
        <v>-</v>
      </c>
      <c r="BV349" s="964" t="str">
        <f>IF(AG349="","-",IFERROR((AG349/AF349-1)*(AF350/AF$13),"-"))</f>
        <v>-</v>
      </c>
      <c r="BW349" s="964" t="str">
        <f>IF(AH349="","-",IFERROR((AH349/AG349-1)*(AG350/AG$13),"-"))</f>
        <v>-</v>
      </c>
      <c r="BX349" s="964" t="str">
        <f>IF(AI349="","-",IFERROR((AI349/AH349-1)*(AH350/AH$13),"-"))</f>
        <v>-</v>
      </c>
      <c r="BY349" s="966" t="str">
        <f>IF(AJ349="","-",IFERROR((AJ349/AI349-1)*(AI350/AI$13),"-"))</f>
        <v>-</v>
      </c>
      <c r="BZ349" s="951"/>
      <c r="CA349" s="961" t="str">
        <f t="shared" si="503"/>
        <v>Qty</v>
      </c>
      <c r="CB349" s="962" t="str">
        <f t="shared" si="504"/>
        <v>[Service]</v>
      </c>
      <c r="CC349" s="962" t="str">
        <f t="shared" si="505"/>
        <v>[Price]</v>
      </c>
      <c r="CD349" s="967" t="str">
        <f t="shared" si="536"/>
        <v>-</v>
      </c>
      <c r="CE349" s="964" t="str">
        <f t="shared" si="528"/>
        <v>-</v>
      </c>
      <c r="CF349" s="964" t="str">
        <f t="shared" si="529"/>
        <v>-</v>
      </c>
      <c r="CG349" s="965" t="str">
        <f t="shared" si="530"/>
        <v>-</v>
      </c>
      <c r="CH349" s="964" t="str">
        <f t="shared" si="537"/>
        <v>-</v>
      </c>
      <c r="CI349" s="964" t="str">
        <f t="shared" si="531"/>
        <v>-</v>
      </c>
      <c r="CJ349" s="964" t="str">
        <f t="shared" si="532"/>
        <v>-</v>
      </c>
      <c r="CK349" s="966" t="str">
        <f t="shared" si="533"/>
        <v>-</v>
      </c>
    </row>
    <row r="350" spans="4:89" ht="12.75" outlineLevel="1" thickBot="1">
      <c r="E350" s="568" t="s">
        <v>882</v>
      </c>
      <c r="F350" s="560" t="str">
        <f>+F348</f>
        <v>[Service]</v>
      </c>
      <c r="G350" s="561">
        <f>+G348</f>
        <v>0</v>
      </c>
      <c r="H350" s="561">
        <f>+H348</f>
        <v>0</v>
      </c>
      <c r="I350" s="562" t="str">
        <f>+I348</f>
        <v>[Price]</v>
      </c>
      <c r="J350" s="563" t="s">
        <v>883</v>
      </c>
      <c r="K350" s="564">
        <f t="shared" ref="K350:AJ350" si="568">K348*K349/10^6</f>
        <v>0</v>
      </c>
      <c r="L350" s="565">
        <f t="shared" si="568"/>
        <v>0</v>
      </c>
      <c r="M350" s="565">
        <f t="shared" si="568"/>
        <v>0</v>
      </c>
      <c r="N350" s="564">
        <f t="shared" si="568"/>
        <v>0</v>
      </c>
      <c r="O350" s="565">
        <f t="shared" si="568"/>
        <v>0</v>
      </c>
      <c r="P350" s="565">
        <f t="shared" si="568"/>
        <v>0</v>
      </c>
      <c r="Q350" s="565">
        <f t="shared" si="568"/>
        <v>0</v>
      </c>
      <c r="R350" s="566">
        <f t="shared" si="568"/>
        <v>0</v>
      </c>
      <c r="S350" s="564">
        <f t="shared" si="568"/>
        <v>0</v>
      </c>
      <c r="T350" s="565">
        <f t="shared" si="568"/>
        <v>0</v>
      </c>
      <c r="U350" s="566">
        <f t="shared" si="568"/>
        <v>0</v>
      </c>
      <c r="V350" s="564">
        <f t="shared" si="568"/>
        <v>0</v>
      </c>
      <c r="W350" s="565">
        <f t="shared" si="568"/>
        <v>0</v>
      </c>
      <c r="X350" s="565">
        <f t="shared" si="568"/>
        <v>0</v>
      </c>
      <c r="Y350" s="565">
        <f t="shared" si="568"/>
        <v>0</v>
      </c>
      <c r="Z350" s="566">
        <f t="shared" si="568"/>
        <v>0</v>
      </c>
      <c r="AA350" s="564">
        <f t="shared" si="568"/>
        <v>0</v>
      </c>
      <c r="AB350" s="565">
        <f t="shared" si="568"/>
        <v>0</v>
      </c>
      <c r="AC350" s="565">
        <f t="shared" si="568"/>
        <v>0</v>
      </c>
      <c r="AD350" s="565">
        <f t="shared" si="568"/>
        <v>0</v>
      </c>
      <c r="AE350" s="566">
        <f t="shared" si="568"/>
        <v>0</v>
      </c>
      <c r="AF350" s="564">
        <f t="shared" si="568"/>
        <v>0</v>
      </c>
      <c r="AG350" s="565">
        <f t="shared" si="568"/>
        <v>0</v>
      </c>
      <c r="AH350" s="565">
        <f t="shared" si="568"/>
        <v>0</v>
      </c>
      <c r="AI350" s="565">
        <f t="shared" si="568"/>
        <v>0</v>
      </c>
      <c r="AJ350" s="566">
        <f t="shared" si="568"/>
        <v>0</v>
      </c>
      <c r="AK350" s="569"/>
      <c r="AL350" s="569"/>
      <c r="AN350" s="857"/>
      <c r="AO350" s="984" t="str">
        <f t="shared" si="506"/>
        <v>Rev</v>
      </c>
      <c r="AP350" s="985" t="str">
        <f t="shared" si="507"/>
        <v>[Service]</v>
      </c>
      <c r="AQ350" s="986" t="str">
        <f t="shared" si="508"/>
        <v>[Price]</v>
      </c>
      <c r="AR350" s="990" t="str">
        <f t="shared" si="509"/>
        <v>-</v>
      </c>
      <c r="AS350" s="987" t="str">
        <f t="shared" si="510"/>
        <v>-</v>
      </c>
      <c r="AT350" s="987" t="str">
        <f t="shared" si="511"/>
        <v>-</v>
      </c>
      <c r="AU350" s="987" t="str">
        <f t="shared" si="512"/>
        <v>-</v>
      </c>
      <c r="AV350" s="1353" t="str">
        <f t="shared" si="513"/>
        <v>-</v>
      </c>
      <c r="AW350" s="1346" t="str">
        <f t="shared" si="514"/>
        <v>-</v>
      </c>
      <c r="AX350" s="987" t="str">
        <f t="shared" si="515"/>
        <v>-</v>
      </c>
      <c r="AY350" s="987" t="str">
        <f t="shared" si="516"/>
        <v>-</v>
      </c>
      <c r="AZ350" s="987" t="str">
        <f t="shared" si="517"/>
        <v>-</v>
      </c>
      <c r="BA350" s="988" t="str">
        <f t="shared" si="518"/>
        <v>-</v>
      </c>
      <c r="BB350" s="1346" t="str">
        <f t="shared" si="519"/>
        <v>-</v>
      </c>
      <c r="BC350" s="987" t="str">
        <f t="shared" si="520"/>
        <v>-</v>
      </c>
      <c r="BD350" s="987" t="str">
        <f t="shared" si="521"/>
        <v>-</v>
      </c>
      <c r="BE350" s="987" t="str">
        <f t="shared" si="522"/>
        <v>-</v>
      </c>
      <c r="BF350" s="989" t="str">
        <f t="shared" si="523"/>
        <v>-</v>
      </c>
      <c r="BG350" s="951"/>
      <c r="BH350" s="1550" t="str">
        <f t="shared" si="524"/>
        <v>Rev</v>
      </c>
      <c r="BI350" s="1551" t="str">
        <f t="shared" si="525"/>
        <v>[Service]</v>
      </c>
      <c r="BJ350" s="1552" t="str">
        <f t="shared" si="526"/>
        <v>[Price]</v>
      </c>
      <c r="BK350" s="987" t="str">
        <f t="shared" ref="BK350:BU350" si="569">IF(V350="","-",IFERROR((V350/U350-1)*(U350/U$13),"-"))</f>
        <v>-</v>
      </c>
      <c r="BL350" s="987" t="str">
        <f t="shared" si="569"/>
        <v>-</v>
      </c>
      <c r="BM350" s="987" t="str">
        <f t="shared" si="569"/>
        <v>-</v>
      </c>
      <c r="BN350" s="987" t="str">
        <f t="shared" si="569"/>
        <v>-</v>
      </c>
      <c r="BO350" s="1353" t="str">
        <f t="shared" si="569"/>
        <v>-</v>
      </c>
      <c r="BP350" s="1346" t="str">
        <f t="shared" si="569"/>
        <v>-</v>
      </c>
      <c r="BQ350" s="987" t="str">
        <f t="shared" si="569"/>
        <v>-</v>
      </c>
      <c r="BR350" s="987" t="str">
        <f t="shared" si="569"/>
        <v>-</v>
      </c>
      <c r="BS350" s="987" t="str">
        <f t="shared" si="569"/>
        <v>-</v>
      </c>
      <c r="BT350" s="988" t="str">
        <f t="shared" si="569"/>
        <v>-</v>
      </c>
      <c r="BU350" s="987" t="str">
        <f t="shared" si="569"/>
        <v>-</v>
      </c>
      <c r="BV350" s="987" t="str">
        <f>IF(AG350="","-",IFERROR((AG350/AF350-1)*(AF350/AF$13),"-"))</f>
        <v>-</v>
      </c>
      <c r="BW350" s="987" t="str">
        <f>IF(AH350="","-",IFERROR((AH350/AG350-1)*(AG350/AG$13),"-"))</f>
        <v>-</v>
      </c>
      <c r="BX350" s="987" t="str">
        <f>IF(AI350="","-",IFERROR((AI350/AH350-1)*(AH350/AH$13),"-"))</f>
        <v>-</v>
      </c>
      <c r="BY350" s="989" t="str">
        <f>IF(AJ350="","-",IFERROR((AJ350/AI350-1)*(AI350/AI$13),"-"))</f>
        <v>-</v>
      </c>
      <c r="BZ350" s="951"/>
      <c r="CA350" s="984" t="str">
        <f t="shared" si="503"/>
        <v>Rev</v>
      </c>
      <c r="CB350" s="985" t="str">
        <f t="shared" si="504"/>
        <v>[Service]</v>
      </c>
      <c r="CC350" s="985" t="str">
        <f t="shared" si="505"/>
        <v>[Price]</v>
      </c>
      <c r="CD350" s="990" t="str">
        <f t="shared" si="536"/>
        <v>-</v>
      </c>
      <c r="CE350" s="987" t="str">
        <f t="shared" si="528"/>
        <v>-</v>
      </c>
      <c r="CF350" s="987" t="str">
        <f t="shared" si="529"/>
        <v>-</v>
      </c>
      <c r="CG350" s="988" t="str">
        <f t="shared" si="530"/>
        <v>-</v>
      </c>
      <c r="CH350" s="987" t="str">
        <f t="shared" si="537"/>
        <v>-</v>
      </c>
      <c r="CI350" s="987" t="str">
        <f t="shared" si="531"/>
        <v>-</v>
      </c>
      <c r="CJ350" s="987" t="str">
        <f t="shared" si="532"/>
        <v>-</v>
      </c>
      <c r="CK350" s="989" t="str">
        <f t="shared" si="533"/>
        <v>-</v>
      </c>
    </row>
    <row r="351" spans="4:89" outlineLevel="1">
      <c r="D351" s="63">
        <f>D348+1</f>
        <v>95</v>
      </c>
      <c r="E351" s="550" t="s">
        <v>857</v>
      </c>
      <c r="F351" s="595" t="s">
        <v>428</v>
      </c>
      <c r="G351" s="595"/>
      <c r="H351" s="595"/>
      <c r="I351" s="589" t="s">
        <v>920</v>
      </c>
      <c r="J351" s="589" t="s">
        <v>879</v>
      </c>
      <c r="K351" s="551"/>
      <c r="L351" s="552"/>
      <c r="M351" s="552"/>
      <c r="N351" s="551"/>
      <c r="O351" s="552"/>
      <c r="P351" s="552"/>
      <c r="Q351" s="552"/>
      <c r="R351" s="1035"/>
      <c r="S351" s="1138"/>
      <c r="T351" s="591"/>
      <c r="U351" s="1035"/>
      <c r="V351" s="1138"/>
      <c r="W351" s="591"/>
      <c r="X351" s="591"/>
      <c r="Y351" s="591"/>
      <c r="Z351" s="1035"/>
      <c r="AA351" s="1138"/>
      <c r="AB351" s="591"/>
      <c r="AC351" s="591"/>
      <c r="AD351" s="591"/>
      <c r="AE351" s="1035"/>
      <c r="AF351" s="1138"/>
      <c r="AG351" s="591"/>
      <c r="AH351" s="591"/>
      <c r="AI351" s="591"/>
      <c r="AJ351" s="1035"/>
      <c r="AK351" s="569"/>
      <c r="AL351" s="569"/>
      <c r="AM351" s="974"/>
      <c r="AN351" s="857"/>
      <c r="AO351" s="975" t="str">
        <f t="shared" si="506"/>
        <v>Price</v>
      </c>
      <c r="AP351" s="976" t="str">
        <f t="shared" si="507"/>
        <v>[Service]</v>
      </c>
      <c r="AQ351" s="977" t="str">
        <f t="shared" si="508"/>
        <v>[Price]</v>
      </c>
      <c r="AR351" s="1341" t="str">
        <f t="shared" si="509"/>
        <v>-</v>
      </c>
      <c r="AS351" s="978" t="str">
        <f t="shared" si="510"/>
        <v>-</v>
      </c>
      <c r="AT351" s="979" t="str">
        <f t="shared" si="511"/>
        <v>-</v>
      </c>
      <c r="AU351" s="979" t="str">
        <f t="shared" si="512"/>
        <v>-</v>
      </c>
      <c r="AV351" s="1352" t="str">
        <f t="shared" si="513"/>
        <v>-</v>
      </c>
      <c r="AW351" s="1345" t="str">
        <f t="shared" si="514"/>
        <v>-</v>
      </c>
      <c r="AX351" s="979" t="str">
        <f t="shared" si="515"/>
        <v>-</v>
      </c>
      <c r="AY351" s="979" t="str">
        <f t="shared" si="516"/>
        <v>-</v>
      </c>
      <c r="AZ351" s="979" t="str">
        <f t="shared" si="517"/>
        <v>-</v>
      </c>
      <c r="BA351" s="980" t="str">
        <f t="shared" si="518"/>
        <v>-</v>
      </c>
      <c r="BB351" s="1345" t="str">
        <f t="shared" si="519"/>
        <v>-</v>
      </c>
      <c r="BC351" s="979" t="str">
        <f t="shared" si="520"/>
        <v>-</v>
      </c>
      <c r="BD351" s="979" t="str">
        <f t="shared" si="521"/>
        <v>-</v>
      </c>
      <c r="BE351" s="979" t="str">
        <f t="shared" si="522"/>
        <v>-</v>
      </c>
      <c r="BF351" s="981" t="str">
        <f t="shared" si="523"/>
        <v>-</v>
      </c>
      <c r="BG351" s="951"/>
      <c r="BH351" s="1547" t="str">
        <f t="shared" si="524"/>
        <v>Price</v>
      </c>
      <c r="BI351" s="1548" t="str">
        <f t="shared" si="525"/>
        <v>[Service]</v>
      </c>
      <c r="BJ351" s="1549" t="str">
        <f t="shared" si="526"/>
        <v>[Price]</v>
      </c>
      <c r="BK351" s="978" t="str">
        <f t="shared" ref="BK351:BU351" si="570">IF(V351="","-",IFERROR((V351/U351-1)*(U353/U$13),"-"))</f>
        <v>-</v>
      </c>
      <c r="BL351" s="978" t="str">
        <f t="shared" si="570"/>
        <v>-</v>
      </c>
      <c r="BM351" s="979" t="str">
        <f t="shared" si="570"/>
        <v>-</v>
      </c>
      <c r="BN351" s="979" t="str">
        <f t="shared" si="570"/>
        <v>-</v>
      </c>
      <c r="BO351" s="1352" t="str">
        <f t="shared" si="570"/>
        <v>-</v>
      </c>
      <c r="BP351" s="1345" t="str">
        <f t="shared" si="570"/>
        <v>-</v>
      </c>
      <c r="BQ351" s="979" t="str">
        <f t="shared" si="570"/>
        <v>-</v>
      </c>
      <c r="BR351" s="979" t="str">
        <f t="shared" si="570"/>
        <v>-</v>
      </c>
      <c r="BS351" s="979" t="str">
        <f t="shared" si="570"/>
        <v>-</v>
      </c>
      <c r="BT351" s="980" t="str">
        <f t="shared" si="570"/>
        <v>-</v>
      </c>
      <c r="BU351" s="979" t="str">
        <f t="shared" si="570"/>
        <v>-</v>
      </c>
      <c r="BV351" s="979" t="str">
        <f>IF(AG351="","-",IFERROR((AG351/AF351-1)*(AF353/AF$13),"-"))</f>
        <v>-</v>
      </c>
      <c r="BW351" s="979" t="str">
        <f>IF(AH351="","-",IFERROR((AH351/AG351-1)*(AG353/AG$13),"-"))</f>
        <v>-</v>
      </c>
      <c r="BX351" s="979" t="str">
        <f>IF(AI351="","-",IFERROR((AI351/AH351-1)*(AH353/AH$13),"-"))</f>
        <v>-</v>
      </c>
      <c r="BY351" s="981" t="str">
        <f>IF(AJ351="","-",IFERROR((AJ351/AI351-1)*(AI353/AI$13),"-"))</f>
        <v>-</v>
      </c>
      <c r="BZ351" s="951"/>
      <c r="CA351" s="975" t="str">
        <f t="shared" si="503"/>
        <v>Price</v>
      </c>
      <c r="CB351" s="976" t="str">
        <f t="shared" si="504"/>
        <v>[Service]</v>
      </c>
      <c r="CC351" s="982" t="str">
        <f t="shared" si="505"/>
        <v>[Price]</v>
      </c>
      <c r="CD351" s="983" t="str">
        <f t="shared" si="536"/>
        <v>-</v>
      </c>
      <c r="CE351" s="979" t="str">
        <f t="shared" si="528"/>
        <v>-</v>
      </c>
      <c r="CF351" s="979" t="str">
        <f t="shared" si="529"/>
        <v>-</v>
      </c>
      <c r="CG351" s="980" t="str">
        <f t="shared" si="530"/>
        <v>-</v>
      </c>
      <c r="CH351" s="979" t="str">
        <f t="shared" si="537"/>
        <v>-</v>
      </c>
      <c r="CI351" s="979" t="str">
        <f t="shared" si="531"/>
        <v>-</v>
      </c>
      <c r="CJ351" s="979" t="str">
        <f t="shared" si="532"/>
        <v>-</v>
      </c>
      <c r="CK351" s="981" t="str">
        <f t="shared" si="533"/>
        <v>-</v>
      </c>
    </row>
    <row r="352" spans="4:89" outlineLevel="1">
      <c r="E352" s="567" t="s">
        <v>880</v>
      </c>
      <c r="F352" s="554" t="str">
        <f>+F351</f>
        <v>[Service]</v>
      </c>
      <c r="G352" s="555">
        <f>+G351</f>
        <v>0</v>
      </c>
      <c r="H352" s="555">
        <f>+H351</f>
        <v>0</v>
      </c>
      <c r="I352" s="556" t="str">
        <f>+I351</f>
        <v>[Price]</v>
      </c>
      <c r="J352" s="590" t="s">
        <v>916</v>
      </c>
      <c r="K352" s="557"/>
      <c r="L352" s="558"/>
      <c r="M352" s="558"/>
      <c r="N352" s="557"/>
      <c r="O352" s="558"/>
      <c r="P352" s="558"/>
      <c r="Q352" s="558"/>
      <c r="R352" s="1036"/>
      <c r="S352" s="1139"/>
      <c r="T352" s="593"/>
      <c r="U352" s="1036"/>
      <c r="V352" s="1139"/>
      <c r="W352" s="593"/>
      <c r="X352" s="593"/>
      <c r="Y352" s="593"/>
      <c r="Z352" s="1036"/>
      <c r="AA352" s="1139"/>
      <c r="AB352" s="593"/>
      <c r="AC352" s="593"/>
      <c r="AD352" s="593"/>
      <c r="AE352" s="1036"/>
      <c r="AF352" s="1139"/>
      <c r="AG352" s="593"/>
      <c r="AH352" s="593"/>
      <c r="AI352" s="593"/>
      <c r="AJ352" s="1036"/>
      <c r="AK352" s="569"/>
      <c r="AL352" s="569"/>
      <c r="AN352" s="857"/>
      <c r="AO352" s="961" t="str">
        <f t="shared" si="506"/>
        <v>Qty</v>
      </c>
      <c r="AP352" s="962" t="str">
        <f t="shared" si="507"/>
        <v>[Service]</v>
      </c>
      <c r="AQ352" s="963" t="str">
        <f t="shared" si="508"/>
        <v>[Price]</v>
      </c>
      <c r="AR352" s="967" t="str">
        <f t="shared" si="509"/>
        <v>-</v>
      </c>
      <c r="AS352" s="964" t="str">
        <f t="shared" si="510"/>
        <v>-</v>
      </c>
      <c r="AT352" s="964" t="str">
        <f t="shared" si="511"/>
        <v>-</v>
      </c>
      <c r="AU352" s="964" t="str">
        <f t="shared" si="512"/>
        <v>-</v>
      </c>
      <c r="AV352" s="1350" t="str">
        <f t="shared" si="513"/>
        <v>-</v>
      </c>
      <c r="AW352" s="1343" t="str">
        <f t="shared" si="514"/>
        <v>-</v>
      </c>
      <c r="AX352" s="964" t="str">
        <f t="shared" si="515"/>
        <v>-</v>
      </c>
      <c r="AY352" s="964" t="str">
        <f t="shared" si="516"/>
        <v>-</v>
      </c>
      <c r="AZ352" s="964" t="str">
        <f t="shared" si="517"/>
        <v>-</v>
      </c>
      <c r="BA352" s="965" t="str">
        <f t="shared" si="518"/>
        <v>-</v>
      </c>
      <c r="BB352" s="1343" t="str">
        <f t="shared" si="519"/>
        <v>-</v>
      </c>
      <c r="BC352" s="964" t="str">
        <f t="shared" si="520"/>
        <v>-</v>
      </c>
      <c r="BD352" s="964" t="str">
        <f t="shared" si="521"/>
        <v>-</v>
      </c>
      <c r="BE352" s="964" t="str">
        <f t="shared" si="522"/>
        <v>-</v>
      </c>
      <c r="BF352" s="966" t="str">
        <f t="shared" si="523"/>
        <v>-</v>
      </c>
      <c r="BG352" s="951"/>
      <c r="BH352" s="1541" t="str">
        <f t="shared" si="524"/>
        <v>Qty</v>
      </c>
      <c r="BI352" s="1542" t="str">
        <f t="shared" si="525"/>
        <v>[Service]</v>
      </c>
      <c r="BJ352" s="1543" t="str">
        <f t="shared" si="526"/>
        <v>[Price]</v>
      </c>
      <c r="BK352" s="964" t="str">
        <f t="shared" ref="BK352:BU352" si="571">IF(V352="","-",IFERROR((V352/U352-1)*(U353/U$13),"-"))</f>
        <v>-</v>
      </c>
      <c r="BL352" s="964" t="str">
        <f t="shared" si="571"/>
        <v>-</v>
      </c>
      <c r="BM352" s="964" t="str">
        <f t="shared" si="571"/>
        <v>-</v>
      </c>
      <c r="BN352" s="964" t="str">
        <f t="shared" si="571"/>
        <v>-</v>
      </c>
      <c r="BO352" s="1350" t="str">
        <f t="shared" si="571"/>
        <v>-</v>
      </c>
      <c r="BP352" s="1343" t="str">
        <f t="shared" si="571"/>
        <v>-</v>
      </c>
      <c r="BQ352" s="964" t="str">
        <f t="shared" si="571"/>
        <v>-</v>
      </c>
      <c r="BR352" s="964" t="str">
        <f t="shared" si="571"/>
        <v>-</v>
      </c>
      <c r="BS352" s="964" t="str">
        <f t="shared" si="571"/>
        <v>-</v>
      </c>
      <c r="BT352" s="965" t="str">
        <f t="shared" si="571"/>
        <v>-</v>
      </c>
      <c r="BU352" s="964" t="str">
        <f t="shared" si="571"/>
        <v>-</v>
      </c>
      <c r="BV352" s="964" t="str">
        <f>IF(AG352="","-",IFERROR((AG352/AF352-1)*(AF353/AF$13),"-"))</f>
        <v>-</v>
      </c>
      <c r="BW352" s="964" t="str">
        <f>IF(AH352="","-",IFERROR((AH352/AG352-1)*(AG353/AG$13),"-"))</f>
        <v>-</v>
      </c>
      <c r="BX352" s="964" t="str">
        <f>IF(AI352="","-",IFERROR((AI352/AH352-1)*(AH353/AH$13),"-"))</f>
        <v>-</v>
      </c>
      <c r="BY352" s="966" t="str">
        <f>IF(AJ352="","-",IFERROR((AJ352/AI352-1)*(AI353/AI$13),"-"))</f>
        <v>-</v>
      </c>
      <c r="BZ352" s="951"/>
      <c r="CA352" s="961" t="str">
        <f t="shared" si="503"/>
        <v>Qty</v>
      </c>
      <c r="CB352" s="962" t="str">
        <f t="shared" si="504"/>
        <v>[Service]</v>
      </c>
      <c r="CC352" s="962" t="str">
        <f t="shared" si="505"/>
        <v>[Price]</v>
      </c>
      <c r="CD352" s="967" t="str">
        <f t="shared" si="536"/>
        <v>-</v>
      </c>
      <c r="CE352" s="964" t="str">
        <f t="shared" si="528"/>
        <v>-</v>
      </c>
      <c r="CF352" s="964" t="str">
        <f t="shared" si="529"/>
        <v>-</v>
      </c>
      <c r="CG352" s="965" t="str">
        <f t="shared" si="530"/>
        <v>-</v>
      </c>
      <c r="CH352" s="964" t="str">
        <f t="shared" si="537"/>
        <v>-</v>
      </c>
      <c r="CI352" s="964" t="str">
        <f t="shared" si="531"/>
        <v>-</v>
      </c>
      <c r="CJ352" s="964" t="str">
        <f t="shared" si="532"/>
        <v>-</v>
      </c>
      <c r="CK352" s="966" t="str">
        <f t="shared" si="533"/>
        <v>-</v>
      </c>
    </row>
    <row r="353" spans="4:89" ht="12.75" outlineLevel="1" thickBot="1">
      <c r="E353" s="568" t="s">
        <v>882</v>
      </c>
      <c r="F353" s="560" t="str">
        <f>+F351</f>
        <v>[Service]</v>
      </c>
      <c r="G353" s="561">
        <f>+G351</f>
        <v>0</v>
      </c>
      <c r="H353" s="561">
        <f>+H351</f>
        <v>0</v>
      </c>
      <c r="I353" s="562" t="str">
        <f>+I351</f>
        <v>[Price]</v>
      </c>
      <c r="J353" s="563" t="s">
        <v>883</v>
      </c>
      <c r="K353" s="564">
        <f t="shared" ref="K353:AJ353" si="572">K351*K352/10^6</f>
        <v>0</v>
      </c>
      <c r="L353" s="565">
        <f t="shared" si="572"/>
        <v>0</v>
      </c>
      <c r="M353" s="565">
        <f t="shared" si="572"/>
        <v>0</v>
      </c>
      <c r="N353" s="564">
        <f t="shared" si="572"/>
        <v>0</v>
      </c>
      <c r="O353" s="565">
        <f t="shared" si="572"/>
        <v>0</v>
      </c>
      <c r="P353" s="565">
        <f t="shared" si="572"/>
        <v>0</v>
      </c>
      <c r="Q353" s="565">
        <f t="shared" si="572"/>
        <v>0</v>
      </c>
      <c r="R353" s="566">
        <f t="shared" si="572"/>
        <v>0</v>
      </c>
      <c r="S353" s="564">
        <f t="shared" si="572"/>
        <v>0</v>
      </c>
      <c r="T353" s="565">
        <f t="shared" si="572"/>
        <v>0</v>
      </c>
      <c r="U353" s="566">
        <f t="shared" si="572"/>
        <v>0</v>
      </c>
      <c r="V353" s="564">
        <f t="shared" si="572"/>
        <v>0</v>
      </c>
      <c r="W353" s="565">
        <f t="shared" si="572"/>
        <v>0</v>
      </c>
      <c r="X353" s="565">
        <f t="shared" si="572"/>
        <v>0</v>
      </c>
      <c r="Y353" s="565">
        <f t="shared" si="572"/>
        <v>0</v>
      </c>
      <c r="Z353" s="566">
        <f t="shared" si="572"/>
        <v>0</v>
      </c>
      <c r="AA353" s="564">
        <f t="shared" si="572"/>
        <v>0</v>
      </c>
      <c r="AB353" s="565">
        <f t="shared" si="572"/>
        <v>0</v>
      </c>
      <c r="AC353" s="565">
        <f t="shared" si="572"/>
        <v>0</v>
      </c>
      <c r="AD353" s="565">
        <f t="shared" si="572"/>
        <v>0</v>
      </c>
      <c r="AE353" s="566">
        <f t="shared" si="572"/>
        <v>0</v>
      </c>
      <c r="AF353" s="564">
        <f t="shared" si="572"/>
        <v>0</v>
      </c>
      <c r="AG353" s="565">
        <f t="shared" si="572"/>
        <v>0</v>
      </c>
      <c r="AH353" s="565">
        <f t="shared" si="572"/>
        <v>0</v>
      </c>
      <c r="AI353" s="565">
        <f t="shared" si="572"/>
        <v>0</v>
      </c>
      <c r="AJ353" s="566">
        <f t="shared" si="572"/>
        <v>0</v>
      </c>
      <c r="AK353" s="569"/>
      <c r="AL353" s="569"/>
      <c r="AN353" s="857"/>
      <c r="AO353" s="984" t="str">
        <f t="shared" si="506"/>
        <v>Rev</v>
      </c>
      <c r="AP353" s="985" t="str">
        <f t="shared" si="507"/>
        <v>[Service]</v>
      </c>
      <c r="AQ353" s="986" t="str">
        <f t="shared" si="508"/>
        <v>[Price]</v>
      </c>
      <c r="AR353" s="990" t="str">
        <f t="shared" si="509"/>
        <v>-</v>
      </c>
      <c r="AS353" s="987" t="str">
        <f t="shared" si="510"/>
        <v>-</v>
      </c>
      <c r="AT353" s="987" t="str">
        <f t="shared" si="511"/>
        <v>-</v>
      </c>
      <c r="AU353" s="987" t="str">
        <f t="shared" si="512"/>
        <v>-</v>
      </c>
      <c r="AV353" s="1353" t="str">
        <f t="shared" si="513"/>
        <v>-</v>
      </c>
      <c r="AW353" s="1346" t="str">
        <f t="shared" si="514"/>
        <v>-</v>
      </c>
      <c r="AX353" s="987" t="str">
        <f t="shared" si="515"/>
        <v>-</v>
      </c>
      <c r="AY353" s="987" t="str">
        <f t="shared" si="516"/>
        <v>-</v>
      </c>
      <c r="AZ353" s="987" t="str">
        <f t="shared" si="517"/>
        <v>-</v>
      </c>
      <c r="BA353" s="988" t="str">
        <f t="shared" si="518"/>
        <v>-</v>
      </c>
      <c r="BB353" s="1346" t="str">
        <f t="shared" si="519"/>
        <v>-</v>
      </c>
      <c r="BC353" s="987" t="str">
        <f t="shared" si="520"/>
        <v>-</v>
      </c>
      <c r="BD353" s="987" t="str">
        <f t="shared" si="521"/>
        <v>-</v>
      </c>
      <c r="BE353" s="987" t="str">
        <f t="shared" si="522"/>
        <v>-</v>
      </c>
      <c r="BF353" s="989" t="str">
        <f t="shared" si="523"/>
        <v>-</v>
      </c>
      <c r="BG353" s="951"/>
      <c r="BH353" s="1550" t="str">
        <f t="shared" si="524"/>
        <v>Rev</v>
      </c>
      <c r="BI353" s="1551" t="str">
        <f t="shared" si="525"/>
        <v>[Service]</v>
      </c>
      <c r="BJ353" s="1552" t="str">
        <f t="shared" si="526"/>
        <v>[Price]</v>
      </c>
      <c r="BK353" s="987" t="str">
        <f t="shared" ref="BK353:BU353" si="573">IF(V353="","-",IFERROR((V353/U353-1)*(U353/U$13),"-"))</f>
        <v>-</v>
      </c>
      <c r="BL353" s="987" t="str">
        <f t="shared" si="573"/>
        <v>-</v>
      </c>
      <c r="BM353" s="987" t="str">
        <f t="shared" si="573"/>
        <v>-</v>
      </c>
      <c r="BN353" s="987" t="str">
        <f t="shared" si="573"/>
        <v>-</v>
      </c>
      <c r="BO353" s="1353" t="str">
        <f t="shared" si="573"/>
        <v>-</v>
      </c>
      <c r="BP353" s="1346" t="str">
        <f t="shared" si="573"/>
        <v>-</v>
      </c>
      <c r="BQ353" s="987" t="str">
        <f t="shared" si="573"/>
        <v>-</v>
      </c>
      <c r="BR353" s="987" t="str">
        <f t="shared" si="573"/>
        <v>-</v>
      </c>
      <c r="BS353" s="987" t="str">
        <f t="shared" si="573"/>
        <v>-</v>
      </c>
      <c r="BT353" s="988" t="str">
        <f t="shared" si="573"/>
        <v>-</v>
      </c>
      <c r="BU353" s="987" t="str">
        <f t="shared" si="573"/>
        <v>-</v>
      </c>
      <c r="BV353" s="987" t="str">
        <f>IF(AG353="","-",IFERROR((AG353/AF353-1)*(AF353/AF$13),"-"))</f>
        <v>-</v>
      </c>
      <c r="BW353" s="987" t="str">
        <f>IF(AH353="","-",IFERROR((AH353/AG353-1)*(AG353/AG$13),"-"))</f>
        <v>-</v>
      </c>
      <c r="BX353" s="987" t="str">
        <f>IF(AI353="","-",IFERROR((AI353/AH353-1)*(AH353/AH$13),"-"))</f>
        <v>-</v>
      </c>
      <c r="BY353" s="989" t="str">
        <f>IF(AJ353="","-",IFERROR((AJ353/AI353-1)*(AI353/AI$13),"-"))</f>
        <v>-</v>
      </c>
      <c r="BZ353" s="951"/>
      <c r="CA353" s="984" t="str">
        <f t="shared" si="503"/>
        <v>Rev</v>
      </c>
      <c r="CB353" s="985" t="str">
        <f t="shared" si="504"/>
        <v>[Service]</v>
      </c>
      <c r="CC353" s="985" t="str">
        <f t="shared" si="505"/>
        <v>[Price]</v>
      </c>
      <c r="CD353" s="990" t="str">
        <f t="shared" si="536"/>
        <v>-</v>
      </c>
      <c r="CE353" s="987" t="str">
        <f t="shared" si="528"/>
        <v>-</v>
      </c>
      <c r="CF353" s="987" t="str">
        <f t="shared" si="529"/>
        <v>-</v>
      </c>
      <c r="CG353" s="988" t="str">
        <f t="shared" si="530"/>
        <v>-</v>
      </c>
      <c r="CH353" s="987" t="str">
        <f t="shared" si="537"/>
        <v>-</v>
      </c>
      <c r="CI353" s="987" t="str">
        <f t="shared" si="531"/>
        <v>-</v>
      </c>
      <c r="CJ353" s="987" t="str">
        <f t="shared" si="532"/>
        <v>-</v>
      </c>
      <c r="CK353" s="989" t="str">
        <f t="shared" si="533"/>
        <v>-</v>
      </c>
    </row>
    <row r="354" spans="4:89" outlineLevel="1">
      <c r="D354" s="63">
        <f>D351+1</f>
        <v>96</v>
      </c>
      <c r="E354" s="550" t="s">
        <v>857</v>
      </c>
      <c r="F354" s="595" t="s">
        <v>428</v>
      </c>
      <c r="G354" s="595"/>
      <c r="H354" s="595"/>
      <c r="I354" s="589" t="s">
        <v>920</v>
      </c>
      <c r="J354" s="589" t="s">
        <v>879</v>
      </c>
      <c r="K354" s="551"/>
      <c r="L354" s="552"/>
      <c r="M354" s="552"/>
      <c r="N354" s="551"/>
      <c r="O354" s="552"/>
      <c r="P354" s="552"/>
      <c r="Q354" s="552"/>
      <c r="R354" s="1035"/>
      <c r="S354" s="1138"/>
      <c r="T354" s="591"/>
      <c r="U354" s="1035"/>
      <c r="V354" s="1138"/>
      <c r="W354" s="591"/>
      <c r="X354" s="591"/>
      <c r="Y354" s="591"/>
      <c r="Z354" s="1035"/>
      <c r="AA354" s="1138"/>
      <c r="AB354" s="591"/>
      <c r="AC354" s="591"/>
      <c r="AD354" s="591"/>
      <c r="AE354" s="1035"/>
      <c r="AF354" s="1138"/>
      <c r="AG354" s="591"/>
      <c r="AH354" s="591"/>
      <c r="AI354" s="591"/>
      <c r="AJ354" s="1035"/>
      <c r="AK354" s="569"/>
      <c r="AL354" s="569"/>
      <c r="AM354" s="974"/>
      <c r="AN354" s="857"/>
      <c r="AO354" s="975" t="str">
        <f t="shared" si="506"/>
        <v>Price</v>
      </c>
      <c r="AP354" s="976" t="str">
        <f t="shared" si="507"/>
        <v>[Service]</v>
      </c>
      <c r="AQ354" s="977" t="str">
        <f t="shared" si="508"/>
        <v>[Price]</v>
      </c>
      <c r="AR354" s="1341" t="str">
        <f t="shared" si="509"/>
        <v>-</v>
      </c>
      <c r="AS354" s="978" t="str">
        <f t="shared" si="510"/>
        <v>-</v>
      </c>
      <c r="AT354" s="979" t="str">
        <f t="shared" si="511"/>
        <v>-</v>
      </c>
      <c r="AU354" s="979" t="str">
        <f t="shared" si="512"/>
        <v>-</v>
      </c>
      <c r="AV354" s="1352" t="str">
        <f t="shared" si="513"/>
        <v>-</v>
      </c>
      <c r="AW354" s="1345" t="str">
        <f t="shared" si="514"/>
        <v>-</v>
      </c>
      <c r="AX354" s="979" t="str">
        <f t="shared" si="515"/>
        <v>-</v>
      </c>
      <c r="AY354" s="979" t="str">
        <f t="shared" si="516"/>
        <v>-</v>
      </c>
      <c r="AZ354" s="979" t="str">
        <f t="shared" si="517"/>
        <v>-</v>
      </c>
      <c r="BA354" s="980" t="str">
        <f t="shared" si="518"/>
        <v>-</v>
      </c>
      <c r="BB354" s="1345" t="str">
        <f t="shared" si="519"/>
        <v>-</v>
      </c>
      <c r="BC354" s="979" t="str">
        <f t="shared" si="520"/>
        <v>-</v>
      </c>
      <c r="BD354" s="979" t="str">
        <f t="shared" si="521"/>
        <v>-</v>
      </c>
      <c r="BE354" s="979" t="str">
        <f t="shared" si="522"/>
        <v>-</v>
      </c>
      <c r="BF354" s="981" t="str">
        <f t="shared" si="523"/>
        <v>-</v>
      </c>
      <c r="BG354" s="951"/>
      <c r="BH354" s="1547" t="str">
        <f t="shared" si="524"/>
        <v>Price</v>
      </c>
      <c r="BI354" s="1548" t="str">
        <f t="shared" si="525"/>
        <v>[Service]</v>
      </c>
      <c r="BJ354" s="1549" t="str">
        <f t="shared" si="526"/>
        <v>[Price]</v>
      </c>
      <c r="BK354" s="978" t="str">
        <f t="shared" ref="BK354:BU354" si="574">IF(V354="","-",IFERROR((V354/U354-1)*(U356/U$13),"-"))</f>
        <v>-</v>
      </c>
      <c r="BL354" s="978" t="str">
        <f t="shared" si="574"/>
        <v>-</v>
      </c>
      <c r="BM354" s="979" t="str">
        <f t="shared" si="574"/>
        <v>-</v>
      </c>
      <c r="BN354" s="979" t="str">
        <f t="shared" si="574"/>
        <v>-</v>
      </c>
      <c r="BO354" s="1352" t="str">
        <f t="shared" si="574"/>
        <v>-</v>
      </c>
      <c r="BP354" s="1345" t="str">
        <f t="shared" si="574"/>
        <v>-</v>
      </c>
      <c r="BQ354" s="979" t="str">
        <f t="shared" si="574"/>
        <v>-</v>
      </c>
      <c r="BR354" s="979" t="str">
        <f t="shared" si="574"/>
        <v>-</v>
      </c>
      <c r="BS354" s="979" t="str">
        <f t="shared" si="574"/>
        <v>-</v>
      </c>
      <c r="BT354" s="980" t="str">
        <f t="shared" si="574"/>
        <v>-</v>
      </c>
      <c r="BU354" s="979" t="str">
        <f t="shared" si="574"/>
        <v>-</v>
      </c>
      <c r="BV354" s="979" t="str">
        <f>IF(AG354="","-",IFERROR((AG354/AF354-1)*(AF356/AF$13),"-"))</f>
        <v>-</v>
      </c>
      <c r="BW354" s="979" t="str">
        <f>IF(AH354="","-",IFERROR((AH354/AG354-1)*(AG356/AG$13),"-"))</f>
        <v>-</v>
      </c>
      <c r="BX354" s="979" t="str">
        <f>IF(AI354="","-",IFERROR((AI354/AH354-1)*(AH356/AH$13),"-"))</f>
        <v>-</v>
      </c>
      <c r="BY354" s="981" t="str">
        <f>IF(AJ354="","-",IFERROR((AJ354/AI354-1)*(AI356/AI$13),"-"))</f>
        <v>-</v>
      </c>
      <c r="BZ354" s="951"/>
      <c r="CA354" s="975" t="str">
        <f t="shared" si="503"/>
        <v>Price</v>
      </c>
      <c r="CB354" s="976" t="str">
        <f t="shared" si="504"/>
        <v>[Service]</v>
      </c>
      <c r="CC354" s="982" t="str">
        <f t="shared" si="505"/>
        <v>[Price]</v>
      </c>
      <c r="CD354" s="983" t="str">
        <f t="shared" si="536"/>
        <v>-</v>
      </c>
      <c r="CE354" s="979" t="str">
        <f t="shared" si="528"/>
        <v>-</v>
      </c>
      <c r="CF354" s="979" t="str">
        <f t="shared" si="529"/>
        <v>-</v>
      </c>
      <c r="CG354" s="980" t="str">
        <f t="shared" si="530"/>
        <v>-</v>
      </c>
      <c r="CH354" s="979" t="str">
        <f t="shared" si="537"/>
        <v>-</v>
      </c>
      <c r="CI354" s="979" t="str">
        <f t="shared" si="531"/>
        <v>-</v>
      </c>
      <c r="CJ354" s="979" t="str">
        <f t="shared" si="532"/>
        <v>-</v>
      </c>
      <c r="CK354" s="981" t="str">
        <f t="shared" si="533"/>
        <v>-</v>
      </c>
    </row>
    <row r="355" spans="4:89" outlineLevel="1">
      <c r="E355" s="567" t="s">
        <v>880</v>
      </c>
      <c r="F355" s="554" t="str">
        <f>+F354</f>
        <v>[Service]</v>
      </c>
      <c r="G355" s="555">
        <f>+G354</f>
        <v>0</v>
      </c>
      <c r="H355" s="555">
        <f>+H354</f>
        <v>0</v>
      </c>
      <c r="I355" s="556" t="str">
        <f>+I354</f>
        <v>[Price]</v>
      </c>
      <c r="J355" s="590" t="s">
        <v>916</v>
      </c>
      <c r="K355" s="557"/>
      <c r="L355" s="558"/>
      <c r="M355" s="558"/>
      <c r="N355" s="557"/>
      <c r="O355" s="558"/>
      <c r="P355" s="558"/>
      <c r="Q355" s="558"/>
      <c r="R355" s="1036"/>
      <c r="S355" s="1139"/>
      <c r="T355" s="593"/>
      <c r="U355" s="1036"/>
      <c r="V355" s="1139"/>
      <c r="W355" s="593"/>
      <c r="X355" s="593"/>
      <c r="Y355" s="593"/>
      <c r="Z355" s="1036"/>
      <c r="AA355" s="1139"/>
      <c r="AB355" s="593"/>
      <c r="AC355" s="593"/>
      <c r="AD355" s="593"/>
      <c r="AE355" s="1036"/>
      <c r="AF355" s="1139"/>
      <c r="AG355" s="593"/>
      <c r="AH355" s="593"/>
      <c r="AI355" s="593"/>
      <c r="AJ355" s="1036"/>
      <c r="AK355" s="569"/>
      <c r="AL355" s="569"/>
      <c r="AN355" s="857"/>
      <c r="AO355" s="961" t="str">
        <f t="shared" si="506"/>
        <v>Qty</v>
      </c>
      <c r="AP355" s="962" t="str">
        <f t="shared" si="507"/>
        <v>[Service]</v>
      </c>
      <c r="AQ355" s="963" t="str">
        <f t="shared" si="508"/>
        <v>[Price]</v>
      </c>
      <c r="AR355" s="967" t="str">
        <f t="shared" si="509"/>
        <v>-</v>
      </c>
      <c r="AS355" s="964" t="str">
        <f t="shared" si="510"/>
        <v>-</v>
      </c>
      <c r="AT355" s="964" t="str">
        <f t="shared" si="511"/>
        <v>-</v>
      </c>
      <c r="AU355" s="964" t="str">
        <f t="shared" si="512"/>
        <v>-</v>
      </c>
      <c r="AV355" s="1350" t="str">
        <f t="shared" si="513"/>
        <v>-</v>
      </c>
      <c r="AW355" s="1343" t="str">
        <f t="shared" si="514"/>
        <v>-</v>
      </c>
      <c r="AX355" s="964" t="str">
        <f t="shared" si="515"/>
        <v>-</v>
      </c>
      <c r="AY355" s="964" t="str">
        <f t="shared" si="516"/>
        <v>-</v>
      </c>
      <c r="AZ355" s="964" t="str">
        <f t="shared" si="517"/>
        <v>-</v>
      </c>
      <c r="BA355" s="965" t="str">
        <f t="shared" si="518"/>
        <v>-</v>
      </c>
      <c r="BB355" s="1343" t="str">
        <f t="shared" si="519"/>
        <v>-</v>
      </c>
      <c r="BC355" s="964" t="str">
        <f t="shared" si="520"/>
        <v>-</v>
      </c>
      <c r="BD355" s="964" t="str">
        <f t="shared" si="521"/>
        <v>-</v>
      </c>
      <c r="BE355" s="964" t="str">
        <f t="shared" si="522"/>
        <v>-</v>
      </c>
      <c r="BF355" s="966" t="str">
        <f t="shared" si="523"/>
        <v>-</v>
      </c>
      <c r="BG355" s="951"/>
      <c r="BH355" s="1541" t="str">
        <f t="shared" si="524"/>
        <v>Qty</v>
      </c>
      <c r="BI355" s="1542" t="str">
        <f t="shared" si="525"/>
        <v>[Service]</v>
      </c>
      <c r="BJ355" s="1543" t="str">
        <f t="shared" si="526"/>
        <v>[Price]</v>
      </c>
      <c r="BK355" s="964" t="str">
        <f t="shared" ref="BK355:BU355" si="575">IF(V355="","-",IFERROR((V355/U355-1)*(U356/U$13),"-"))</f>
        <v>-</v>
      </c>
      <c r="BL355" s="964" t="str">
        <f t="shared" si="575"/>
        <v>-</v>
      </c>
      <c r="BM355" s="964" t="str">
        <f t="shared" si="575"/>
        <v>-</v>
      </c>
      <c r="BN355" s="964" t="str">
        <f t="shared" si="575"/>
        <v>-</v>
      </c>
      <c r="BO355" s="1350" t="str">
        <f t="shared" si="575"/>
        <v>-</v>
      </c>
      <c r="BP355" s="1343" t="str">
        <f t="shared" si="575"/>
        <v>-</v>
      </c>
      <c r="BQ355" s="964" t="str">
        <f t="shared" si="575"/>
        <v>-</v>
      </c>
      <c r="BR355" s="964" t="str">
        <f t="shared" si="575"/>
        <v>-</v>
      </c>
      <c r="BS355" s="964" t="str">
        <f t="shared" si="575"/>
        <v>-</v>
      </c>
      <c r="BT355" s="965" t="str">
        <f t="shared" si="575"/>
        <v>-</v>
      </c>
      <c r="BU355" s="964" t="str">
        <f t="shared" si="575"/>
        <v>-</v>
      </c>
      <c r="BV355" s="964" t="str">
        <f>IF(AG355="","-",IFERROR((AG355/AF355-1)*(AF356/AF$13),"-"))</f>
        <v>-</v>
      </c>
      <c r="BW355" s="964" t="str">
        <f>IF(AH355="","-",IFERROR((AH355/AG355-1)*(AG356/AG$13),"-"))</f>
        <v>-</v>
      </c>
      <c r="BX355" s="964" t="str">
        <f>IF(AI355="","-",IFERROR((AI355/AH355-1)*(AH356/AH$13),"-"))</f>
        <v>-</v>
      </c>
      <c r="BY355" s="966" t="str">
        <f>IF(AJ355="","-",IFERROR((AJ355/AI355-1)*(AI356/AI$13),"-"))</f>
        <v>-</v>
      </c>
      <c r="BZ355" s="951"/>
      <c r="CA355" s="961" t="str">
        <f t="shared" si="503"/>
        <v>Qty</v>
      </c>
      <c r="CB355" s="962" t="str">
        <f t="shared" si="504"/>
        <v>[Service]</v>
      </c>
      <c r="CC355" s="962" t="str">
        <f t="shared" si="505"/>
        <v>[Price]</v>
      </c>
      <c r="CD355" s="967" t="str">
        <f t="shared" si="536"/>
        <v>-</v>
      </c>
      <c r="CE355" s="964" t="str">
        <f t="shared" si="528"/>
        <v>-</v>
      </c>
      <c r="CF355" s="964" t="str">
        <f t="shared" si="529"/>
        <v>-</v>
      </c>
      <c r="CG355" s="965" t="str">
        <f t="shared" si="530"/>
        <v>-</v>
      </c>
      <c r="CH355" s="964" t="str">
        <f t="shared" si="537"/>
        <v>-</v>
      </c>
      <c r="CI355" s="964" t="str">
        <f t="shared" si="531"/>
        <v>-</v>
      </c>
      <c r="CJ355" s="964" t="str">
        <f t="shared" si="532"/>
        <v>-</v>
      </c>
      <c r="CK355" s="966" t="str">
        <f t="shared" si="533"/>
        <v>-</v>
      </c>
    </row>
    <row r="356" spans="4:89" ht="12.75" outlineLevel="1" thickBot="1">
      <c r="E356" s="568" t="s">
        <v>882</v>
      </c>
      <c r="F356" s="560" t="str">
        <f>+F354</f>
        <v>[Service]</v>
      </c>
      <c r="G356" s="561">
        <f>+G354</f>
        <v>0</v>
      </c>
      <c r="H356" s="561">
        <f>+H354</f>
        <v>0</v>
      </c>
      <c r="I356" s="562" t="str">
        <f>+I354</f>
        <v>[Price]</v>
      </c>
      <c r="J356" s="563" t="s">
        <v>883</v>
      </c>
      <c r="K356" s="564">
        <f t="shared" ref="K356:AJ356" si="576">K354*K355/10^6</f>
        <v>0</v>
      </c>
      <c r="L356" s="565">
        <f t="shared" si="576"/>
        <v>0</v>
      </c>
      <c r="M356" s="565">
        <f t="shared" si="576"/>
        <v>0</v>
      </c>
      <c r="N356" s="564">
        <f t="shared" si="576"/>
        <v>0</v>
      </c>
      <c r="O356" s="565">
        <f t="shared" si="576"/>
        <v>0</v>
      </c>
      <c r="P356" s="565">
        <f t="shared" si="576"/>
        <v>0</v>
      </c>
      <c r="Q356" s="565">
        <f t="shared" si="576"/>
        <v>0</v>
      </c>
      <c r="R356" s="566">
        <f t="shared" si="576"/>
        <v>0</v>
      </c>
      <c r="S356" s="564">
        <f t="shared" si="576"/>
        <v>0</v>
      </c>
      <c r="T356" s="565">
        <f t="shared" si="576"/>
        <v>0</v>
      </c>
      <c r="U356" s="566">
        <f t="shared" si="576"/>
        <v>0</v>
      </c>
      <c r="V356" s="564">
        <f t="shared" si="576"/>
        <v>0</v>
      </c>
      <c r="W356" s="565">
        <f t="shared" si="576"/>
        <v>0</v>
      </c>
      <c r="X356" s="565">
        <f t="shared" si="576"/>
        <v>0</v>
      </c>
      <c r="Y356" s="565">
        <f t="shared" si="576"/>
        <v>0</v>
      </c>
      <c r="Z356" s="566">
        <f t="shared" si="576"/>
        <v>0</v>
      </c>
      <c r="AA356" s="564">
        <f t="shared" si="576"/>
        <v>0</v>
      </c>
      <c r="AB356" s="565">
        <f t="shared" si="576"/>
        <v>0</v>
      </c>
      <c r="AC356" s="565">
        <f t="shared" si="576"/>
        <v>0</v>
      </c>
      <c r="AD356" s="565">
        <f t="shared" si="576"/>
        <v>0</v>
      </c>
      <c r="AE356" s="566">
        <f t="shared" si="576"/>
        <v>0</v>
      </c>
      <c r="AF356" s="564">
        <f t="shared" si="576"/>
        <v>0</v>
      </c>
      <c r="AG356" s="565">
        <f t="shared" si="576"/>
        <v>0</v>
      </c>
      <c r="AH356" s="565">
        <f t="shared" si="576"/>
        <v>0</v>
      </c>
      <c r="AI356" s="565">
        <f t="shared" si="576"/>
        <v>0</v>
      </c>
      <c r="AJ356" s="566">
        <f t="shared" si="576"/>
        <v>0</v>
      </c>
      <c r="AK356" s="569"/>
      <c r="AL356" s="569"/>
      <c r="AN356" s="857"/>
      <c r="AO356" s="984" t="str">
        <f t="shared" si="506"/>
        <v>Rev</v>
      </c>
      <c r="AP356" s="985" t="str">
        <f t="shared" si="507"/>
        <v>[Service]</v>
      </c>
      <c r="AQ356" s="986" t="str">
        <f t="shared" si="508"/>
        <v>[Price]</v>
      </c>
      <c r="AR356" s="990" t="str">
        <f t="shared" si="509"/>
        <v>-</v>
      </c>
      <c r="AS356" s="987" t="str">
        <f t="shared" si="510"/>
        <v>-</v>
      </c>
      <c r="AT356" s="987" t="str">
        <f t="shared" si="511"/>
        <v>-</v>
      </c>
      <c r="AU356" s="987" t="str">
        <f t="shared" si="512"/>
        <v>-</v>
      </c>
      <c r="AV356" s="1353" t="str">
        <f t="shared" si="513"/>
        <v>-</v>
      </c>
      <c r="AW356" s="1346" t="str">
        <f t="shared" si="514"/>
        <v>-</v>
      </c>
      <c r="AX356" s="987" t="str">
        <f t="shared" si="515"/>
        <v>-</v>
      </c>
      <c r="AY356" s="987" t="str">
        <f t="shared" si="516"/>
        <v>-</v>
      </c>
      <c r="AZ356" s="987" t="str">
        <f t="shared" si="517"/>
        <v>-</v>
      </c>
      <c r="BA356" s="988" t="str">
        <f t="shared" si="518"/>
        <v>-</v>
      </c>
      <c r="BB356" s="1346" t="str">
        <f t="shared" si="519"/>
        <v>-</v>
      </c>
      <c r="BC356" s="987" t="str">
        <f t="shared" si="520"/>
        <v>-</v>
      </c>
      <c r="BD356" s="987" t="str">
        <f t="shared" si="521"/>
        <v>-</v>
      </c>
      <c r="BE356" s="987" t="str">
        <f t="shared" si="522"/>
        <v>-</v>
      </c>
      <c r="BF356" s="989" t="str">
        <f t="shared" si="523"/>
        <v>-</v>
      </c>
      <c r="BG356" s="951"/>
      <c r="BH356" s="1550" t="str">
        <f t="shared" si="524"/>
        <v>Rev</v>
      </c>
      <c r="BI356" s="1551" t="str">
        <f t="shared" si="525"/>
        <v>[Service]</v>
      </c>
      <c r="BJ356" s="1552" t="str">
        <f t="shared" si="526"/>
        <v>[Price]</v>
      </c>
      <c r="BK356" s="987" t="str">
        <f t="shared" ref="BK356:BU356" si="577">IF(V356="","-",IFERROR((V356/U356-1)*(U356/U$13),"-"))</f>
        <v>-</v>
      </c>
      <c r="BL356" s="987" t="str">
        <f t="shared" si="577"/>
        <v>-</v>
      </c>
      <c r="BM356" s="987" t="str">
        <f t="shared" si="577"/>
        <v>-</v>
      </c>
      <c r="BN356" s="987" t="str">
        <f t="shared" si="577"/>
        <v>-</v>
      </c>
      <c r="BO356" s="1353" t="str">
        <f t="shared" si="577"/>
        <v>-</v>
      </c>
      <c r="BP356" s="1346" t="str">
        <f t="shared" si="577"/>
        <v>-</v>
      </c>
      <c r="BQ356" s="987" t="str">
        <f t="shared" si="577"/>
        <v>-</v>
      </c>
      <c r="BR356" s="987" t="str">
        <f t="shared" si="577"/>
        <v>-</v>
      </c>
      <c r="BS356" s="987" t="str">
        <f t="shared" si="577"/>
        <v>-</v>
      </c>
      <c r="BT356" s="988" t="str">
        <f t="shared" si="577"/>
        <v>-</v>
      </c>
      <c r="BU356" s="987" t="str">
        <f t="shared" si="577"/>
        <v>-</v>
      </c>
      <c r="BV356" s="987" t="str">
        <f>IF(AG356="","-",IFERROR((AG356/AF356-1)*(AF356/AF$13),"-"))</f>
        <v>-</v>
      </c>
      <c r="BW356" s="987" t="str">
        <f>IF(AH356="","-",IFERROR((AH356/AG356-1)*(AG356/AG$13),"-"))</f>
        <v>-</v>
      </c>
      <c r="BX356" s="987" t="str">
        <f>IF(AI356="","-",IFERROR((AI356/AH356-1)*(AH356/AH$13),"-"))</f>
        <v>-</v>
      </c>
      <c r="BY356" s="989" t="str">
        <f>IF(AJ356="","-",IFERROR((AJ356/AI356-1)*(AI356/AI$13),"-"))</f>
        <v>-</v>
      </c>
      <c r="BZ356" s="951"/>
      <c r="CA356" s="984" t="str">
        <f t="shared" si="503"/>
        <v>Rev</v>
      </c>
      <c r="CB356" s="985" t="str">
        <f t="shared" si="504"/>
        <v>[Service]</v>
      </c>
      <c r="CC356" s="985" t="str">
        <f t="shared" si="505"/>
        <v>[Price]</v>
      </c>
      <c r="CD356" s="990" t="str">
        <f t="shared" si="536"/>
        <v>-</v>
      </c>
      <c r="CE356" s="987" t="str">
        <f t="shared" si="528"/>
        <v>-</v>
      </c>
      <c r="CF356" s="987" t="str">
        <f t="shared" si="529"/>
        <v>-</v>
      </c>
      <c r="CG356" s="988" t="str">
        <f t="shared" si="530"/>
        <v>-</v>
      </c>
      <c r="CH356" s="987" t="str">
        <f t="shared" si="537"/>
        <v>-</v>
      </c>
      <c r="CI356" s="987" t="str">
        <f t="shared" si="531"/>
        <v>-</v>
      </c>
      <c r="CJ356" s="987" t="str">
        <f t="shared" si="532"/>
        <v>-</v>
      </c>
      <c r="CK356" s="989" t="str">
        <f t="shared" si="533"/>
        <v>-</v>
      </c>
    </row>
    <row r="357" spans="4:89" outlineLevel="1">
      <c r="D357" s="63">
        <f>D354+1</f>
        <v>97</v>
      </c>
      <c r="E357" s="550" t="s">
        <v>857</v>
      </c>
      <c r="F357" s="595" t="s">
        <v>428</v>
      </c>
      <c r="G357" s="595"/>
      <c r="H357" s="595"/>
      <c r="I357" s="589" t="s">
        <v>920</v>
      </c>
      <c r="J357" s="589" t="s">
        <v>879</v>
      </c>
      <c r="K357" s="551"/>
      <c r="L357" s="552"/>
      <c r="M357" s="552"/>
      <c r="N357" s="551"/>
      <c r="O357" s="552"/>
      <c r="P357" s="552"/>
      <c r="Q357" s="552"/>
      <c r="R357" s="1035"/>
      <c r="S357" s="1138"/>
      <c r="T357" s="591"/>
      <c r="U357" s="1035"/>
      <c r="V357" s="1138"/>
      <c r="W357" s="591"/>
      <c r="X357" s="591"/>
      <c r="Y357" s="591"/>
      <c r="Z357" s="1035"/>
      <c r="AA357" s="1138"/>
      <c r="AB357" s="591"/>
      <c r="AC357" s="591"/>
      <c r="AD357" s="591"/>
      <c r="AE357" s="1035"/>
      <c r="AF357" s="1138"/>
      <c r="AG357" s="591"/>
      <c r="AH357" s="591"/>
      <c r="AI357" s="591"/>
      <c r="AJ357" s="1035"/>
      <c r="AK357" s="569"/>
      <c r="AL357" s="569"/>
      <c r="AM357" s="974"/>
      <c r="AN357" s="857"/>
      <c r="AO357" s="975" t="str">
        <f t="shared" si="506"/>
        <v>Price</v>
      </c>
      <c r="AP357" s="976" t="str">
        <f t="shared" si="507"/>
        <v>[Service]</v>
      </c>
      <c r="AQ357" s="977" t="str">
        <f t="shared" si="508"/>
        <v>[Price]</v>
      </c>
      <c r="AR357" s="1341" t="str">
        <f t="shared" si="509"/>
        <v>-</v>
      </c>
      <c r="AS357" s="978" t="str">
        <f t="shared" si="510"/>
        <v>-</v>
      </c>
      <c r="AT357" s="979" t="str">
        <f t="shared" si="511"/>
        <v>-</v>
      </c>
      <c r="AU357" s="979" t="str">
        <f t="shared" si="512"/>
        <v>-</v>
      </c>
      <c r="AV357" s="1352" t="str">
        <f t="shared" si="513"/>
        <v>-</v>
      </c>
      <c r="AW357" s="1345" t="str">
        <f t="shared" si="514"/>
        <v>-</v>
      </c>
      <c r="AX357" s="979" t="str">
        <f t="shared" si="515"/>
        <v>-</v>
      </c>
      <c r="AY357" s="979" t="str">
        <f t="shared" si="516"/>
        <v>-</v>
      </c>
      <c r="AZ357" s="979" t="str">
        <f t="shared" si="517"/>
        <v>-</v>
      </c>
      <c r="BA357" s="980" t="str">
        <f t="shared" si="518"/>
        <v>-</v>
      </c>
      <c r="BB357" s="1345" t="str">
        <f t="shared" si="519"/>
        <v>-</v>
      </c>
      <c r="BC357" s="979" t="str">
        <f t="shared" si="520"/>
        <v>-</v>
      </c>
      <c r="BD357" s="979" t="str">
        <f t="shared" si="521"/>
        <v>-</v>
      </c>
      <c r="BE357" s="979" t="str">
        <f t="shared" si="522"/>
        <v>-</v>
      </c>
      <c r="BF357" s="981" t="str">
        <f t="shared" si="523"/>
        <v>-</v>
      </c>
      <c r="BG357" s="951"/>
      <c r="BH357" s="1547" t="str">
        <f t="shared" si="524"/>
        <v>Price</v>
      </c>
      <c r="BI357" s="1548" t="str">
        <f t="shared" si="525"/>
        <v>[Service]</v>
      </c>
      <c r="BJ357" s="1549" t="str">
        <f t="shared" si="526"/>
        <v>[Price]</v>
      </c>
      <c r="BK357" s="978" t="str">
        <f t="shared" ref="BK357:BU357" si="578">IF(V357="","-",IFERROR((V357/U357-1)*(U359/U$13),"-"))</f>
        <v>-</v>
      </c>
      <c r="BL357" s="978" t="str">
        <f t="shared" si="578"/>
        <v>-</v>
      </c>
      <c r="BM357" s="979" t="str">
        <f t="shared" si="578"/>
        <v>-</v>
      </c>
      <c r="BN357" s="979" t="str">
        <f t="shared" si="578"/>
        <v>-</v>
      </c>
      <c r="BO357" s="1352" t="str">
        <f t="shared" si="578"/>
        <v>-</v>
      </c>
      <c r="BP357" s="1345" t="str">
        <f t="shared" si="578"/>
        <v>-</v>
      </c>
      <c r="BQ357" s="979" t="str">
        <f t="shared" si="578"/>
        <v>-</v>
      </c>
      <c r="BR357" s="979" t="str">
        <f t="shared" si="578"/>
        <v>-</v>
      </c>
      <c r="BS357" s="979" t="str">
        <f t="shared" si="578"/>
        <v>-</v>
      </c>
      <c r="BT357" s="980" t="str">
        <f t="shared" si="578"/>
        <v>-</v>
      </c>
      <c r="BU357" s="979" t="str">
        <f t="shared" si="578"/>
        <v>-</v>
      </c>
      <c r="BV357" s="979" t="str">
        <f>IF(AG357="","-",IFERROR((AG357/AF357-1)*(AF359/AF$13),"-"))</f>
        <v>-</v>
      </c>
      <c r="BW357" s="979" t="str">
        <f>IF(AH357="","-",IFERROR((AH357/AG357-1)*(AG359/AG$13),"-"))</f>
        <v>-</v>
      </c>
      <c r="BX357" s="979" t="str">
        <f>IF(AI357="","-",IFERROR((AI357/AH357-1)*(AH359/AH$13),"-"))</f>
        <v>-</v>
      </c>
      <c r="BY357" s="981" t="str">
        <f>IF(AJ357="","-",IFERROR((AJ357/AI357-1)*(AI359/AI$13),"-"))</f>
        <v>-</v>
      </c>
      <c r="BZ357" s="951"/>
      <c r="CA357" s="975" t="str">
        <f t="shared" si="503"/>
        <v>Price</v>
      </c>
      <c r="CB357" s="976" t="str">
        <f t="shared" si="504"/>
        <v>[Service]</v>
      </c>
      <c r="CC357" s="982" t="str">
        <f t="shared" si="505"/>
        <v>[Price]</v>
      </c>
      <c r="CD357" s="983" t="str">
        <f t="shared" si="536"/>
        <v>-</v>
      </c>
      <c r="CE357" s="979" t="str">
        <f t="shared" si="528"/>
        <v>-</v>
      </c>
      <c r="CF357" s="979" t="str">
        <f t="shared" si="529"/>
        <v>-</v>
      </c>
      <c r="CG357" s="980" t="str">
        <f t="shared" si="530"/>
        <v>-</v>
      </c>
      <c r="CH357" s="979" t="str">
        <f t="shared" si="537"/>
        <v>-</v>
      </c>
      <c r="CI357" s="979" t="str">
        <f t="shared" si="531"/>
        <v>-</v>
      </c>
      <c r="CJ357" s="979" t="str">
        <f t="shared" si="532"/>
        <v>-</v>
      </c>
      <c r="CK357" s="981" t="str">
        <f t="shared" si="533"/>
        <v>-</v>
      </c>
    </row>
    <row r="358" spans="4:89" outlineLevel="1">
      <c r="E358" s="567" t="s">
        <v>880</v>
      </c>
      <c r="F358" s="554" t="str">
        <f>+F357</f>
        <v>[Service]</v>
      </c>
      <c r="G358" s="555">
        <f>+G357</f>
        <v>0</v>
      </c>
      <c r="H358" s="555">
        <f>+H357</f>
        <v>0</v>
      </c>
      <c r="I358" s="556" t="str">
        <f>+I357</f>
        <v>[Price]</v>
      </c>
      <c r="J358" s="590" t="s">
        <v>916</v>
      </c>
      <c r="K358" s="557"/>
      <c r="L358" s="558"/>
      <c r="M358" s="558"/>
      <c r="N358" s="557"/>
      <c r="O358" s="558"/>
      <c r="P358" s="558"/>
      <c r="Q358" s="558"/>
      <c r="R358" s="1036"/>
      <c r="S358" s="1139"/>
      <c r="T358" s="593"/>
      <c r="U358" s="1036"/>
      <c r="V358" s="1139"/>
      <c r="W358" s="593"/>
      <c r="X358" s="593"/>
      <c r="Y358" s="593"/>
      <c r="Z358" s="1036"/>
      <c r="AA358" s="1139"/>
      <c r="AB358" s="593"/>
      <c r="AC358" s="593"/>
      <c r="AD358" s="593"/>
      <c r="AE358" s="1036"/>
      <c r="AF358" s="1139"/>
      <c r="AG358" s="593"/>
      <c r="AH358" s="593"/>
      <c r="AI358" s="593"/>
      <c r="AJ358" s="1036"/>
      <c r="AK358" s="569"/>
      <c r="AL358" s="569"/>
      <c r="AN358" s="857"/>
      <c r="AO358" s="961" t="str">
        <f t="shared" si="506"/>
        <v>Qty</v>
      </c>
      <c r="AP358" s="962" t="str">
        <f t="shared" si="507"/>
        <v>[Service]</v>
      </c>
      <c r="AQ358" s="963" t="str">
        <f t="shared" si="508"/>
        <v>[Price]</v>
      </c>
      <c r="AR358" s="967" t="str">
        <f t="shared" si="509"/>
        <v>-</v>
      </c>
      <c r="AS358" s="964" t="str">
        <f t="shared" si="510"/>
        <v>-</v>
      </c>
      <c r="AT358" s="964" t="str">
        <f t="shared" si="511"/>
        <v>-</v>
      </c>
      <c r="AU358" s="964" t="str">
        <f t="shared" si="512"/>
        <v>-</v>
      </c>
      <c r="AV358" s="1350" t="str">
        <f t="shared" si="513"/>
        <v>-</v>
      </c>
      <c r="AW358" s="1343" t="str">
        <f t="shared" si="514"/>
        <v>-</v>
      </c>
      <c r="AX358" s="964" t="str">
        <f t="shared" si="515"/>
        <v>-</v>
      </c>
      <c r="AY358" s="964" t="str">
        <f t="shared" si="516"/>
        <v>-</v>
      </c>
      <c r="AZ358" s="964" t="str">
        <f t="shared" si="517"/>
        <v>-</v>
      </c>
      <c r="BA358" s="965" t="str">
        <f t="shared" si="518"/>
        <v>-</v>
      </c>
      <c r="BB358" s="1343" t="str">
        <f t="shared" si="519"/>
        <v>-</v>
      </c>
      <c r="BC358" s="964" t="str">
        <f t="shared" si="520"/>
        <v>-</v>
      </c>
      <c r="BD358" s="964" t="str">
        <f t="shared" si="521"/>
        <v>-</v>
      </c>
      <c r="BE358" s="964" t="str">
        <f t="shared" si="522"/>
        <v>-</v>
      </c>
      <c r="BF358" s="966" t="str">
        <f t="shared" si="523"/>
        <v>-</v>
      </c>
      <c r="BG358" s="951"/>
      <c r="BH358" s="1541" t="str">
        <f t="shared" si="524"/>
        <v>Qty</v>
      </c>
      <c r="BI358" s="1542" t="str">
        <f t="shared" si="525"/>
        <v>[Service]</v>
      </c>
      <c r="BJ358" s="1543" t="str">
        <f t="shared" si="526"/>
        <v>[Price]</v>
      </c>
      <c r="BK358" s="964" t="str">
        <f t="shared" ref="BK358:BU358" si="579">IF(V358="","-",IFERROR((V358/U358-1)*(U359/U$13),"-"))</f>
        <v>-</v>
      </c>
      <c r="BL358" s="964" t="str">
        <f t="shared" si="579"/>
        <v>-</v>
      </c>
      <c r="BM358" s="964" t="str">
        <f t="shared" si="579"/>
        <v>-</v>
      </c>
      <c r="BN358" s="964" t="str">
        <f t="shared" si="579"/>
        <v>-</v>
      </c>
      <c r="BO358" s="1350" t="str">
        <f t="shared" si="579"/>
        <v>-</v>
      </c>
      <c r="BP358" s="1343" t="str">
        <f t="shared" si="579"/>
        <v>-</v>
      </c>
      <c r="BQ358" s="964" t="str">
        <f t="shared" si="579"/>
        <v>-</v>
      </c>
      <c r="BR358" s="964" t="str">
        <f t="shared" si="579"/>
        <v>-</v>
      </c>
      <c r="BS358" s="964" t="str">
        <f t="shared" si="579"/>
        <v>-</v>
      </c>
      <c r="BT358" s="965" t="str">
        <f t="shared" si="579"/>
        <v>-</v>
      </c>
      <c r="BU358" s="964" t="str">
        <f t="shared" si="579"/>
        <v>-</v>
      </c>
      <c r="BV358" s="964" t="str">
        <f>IF(AG358="","-",IFERROR((AG358/AF358-1)*(AF359/AF$13),"-"))</f>
        <v>-</v>
      </c>
      <c r="BW358" s="964" t="str">
        <f>IF(AH358="","-",IFERROR((AH358/AG358-1)*(AG359/AG$13),"-"))</f>
        <v>-</v>
      </c>
      <c r="BX358" s="964" t="str">
        <f>IF(AI358="","-",IFERROR((AI358/AH358-1)*(AH359/AH$13),"-"))</f>
        <v>-</v>
      </c>
      <c r="BY358" s="966" t="str">
        <f>IF(AJ358="","-",IFERROR((AJ358/AI358-1)*(AI359/AI$13),"-"))</f>
        <v>-</v>
      </c>
      <c r="BZ358" s="951"/>
      <c r="CA358" s="961" t="str">
        <f t="shared" si="503"/>
        <v>Qty</v>
      </c>
      <c r="CB358" s="962" t="str">
        <f t="shared" si="504"/>
        <v>[Service]</v>
      </c>
      <c r="CC358" s="962" t="str">
        <f t="shared" si="505"/>
        <v>[Price]</v>
      </c>
      <c r="CD358" s="967" t="str">
        <f t="shared" si="536"/>
        <v>-</v>
      </c>
      <c r="CE358" s="964" t="str">
        <f t="shared" si="528"/>
        <v>-</v>
      </c>
      <c r="CF358" s="964" t="str">
        <f t="shared" si="529"/>
        <v>-</v>
      </c>
      <c r="CG358" s="965" t="str">
        <f t="shared" si="530"/>
        <v>-</v>
      </c>
      <c r="CH358" s="964" t="str">
        <f t="shared" si="537"/>
        <v>-</v>
      </c>
      <c r="CI358" s="964" t="str">
        <f t="shared" si="531"/>
        <v>-</v>
      </c>
      <c r="CJ358" s="964" t="str">
        <f t="shared" si="532"/>
        <v>-</v>
      </c>
      <c r="CK358" s="966" t="str">
        <f t="shared" si="533"/>
        <v>-</v>
      </c>
    </row>
    <row r="359" spans="4:89" ht="12.75" outlineLevel="1" thickBot="1">
      <c r="E359" s="568" t="s">
        <v>882</v>
      </c>
      <c r="F359" s="560" t="str">
        <f>+F357</f>
        <v>[Service]</v>
      </c>
      <c r="G359" s="561">
        <f>+G357</f>
        <v>0</v>
      </c>
      <c r="H359" s="561">
        <f>+H357</f>
        <v>0</v>
      </c>
      <c r="I359" s="562" t="str">
        <f>+I357</f>
        <v>[Price]</v>
      </c>
      <c r="J359" s="563" t="s">
        <v>883</v>
      </c>
      <c r="K359" s="564">
        <f t="shared" ref="K359:AJ359" si="580">K357*K358/10^6</f>
        <v>0</v>
      </c>
      <c r="L359" s="565">
        <f t="shared" si="580"/>
        <v>0</v>
      </c>
      <c r="M359" s="565">
        <f t="shared" si="580"/>
        <v>0</v>
      </c>
      <c r="N359" s="564">
        <f t="shared" si="580"/>
        <v>0</v>
      </c>
      <c r="O359" s="565">
        <f t="shared" si="580"/>
        <v>0</v>
      </c>
      <c r="P359" s="565">
        <f t="shared" si="580"/>
        <v>0</v>
      </c>
      <c r="Q359" s="565">
        <f t="shared" si="580"/>
        <v>0</v>
      </c>
      <c r="R359" s="566">
        <f t="shared" si="580"/>
        <v>0</v>
      </c>
      <c r="S359" s="564">
        <f t="shared" si="580"/>
        <v>0</v>
      </c>
      <c r="T359" s="565">
        <f t="shared" si="580"/>
        <v>0</v>
      </c>
      <c r="U359" s="566">
        <f t="shared" si="580"/>
        <v>0</v>
      </c>
      <c r="V359" s="564">
        <f t="shared" si="580"/>
        <v>0</v>
      </c>
      <c r="W359" s="565">
        <f t="shared" si="580"/>
        <v>0</v>
      </c>
      <c r="X359" s="565">
        <f t="shared" si="580"/>
        <v>0</v>
      </c>
      <c r="Y359" s="565">
        <f t="shared" si="580"/>
        <v>0</v>
      </c>
      <c r="Z359" s="566">
        <f t="shared" si="580"/>
        <v>0</v>
      </c>
      <c r="AA359" s="564">
        <f t="shared" si="580"/>
        <v>0</v>
      </c>
      <c r="AB359" s="565">
        <f t="shared" si="580"/>
        <v>0</v>
      </c>
      <c r="AC359" s="565">
        <f t="shared" si="580"/>
        <v>0</v>
      </c>
      <c r="AD359" s="565">
        <f t="shared" si="580"/>
        <v>0</v>
      </c>
      <c r="AE359" s="566">
        <f t="shared" si="580"/>
        <v>0</v>
      </c>
      <c r="AF359" s="564">
        <f t="shared" si="580"/>
        <v>0</v>
      </c>
      <c r="AG359" s="565">
        <f t="shared" si="580"/>
        <v>0</v>
      </c>
      <c r="AH359" s="565">
        <f t="shared" si="580"/>
        <v>0</v>
      </c>
      <c r="AI359" s="565">
        <f t="shared" si="580"/>
        <v>0</v>
      </c>
      <c r="AJ359" s="566">
        <f t="shared" si="580"/>
        <v>0</v>
      </c>
      <c r="AK359" s="569"/>
      <c r="AL359" s="569"/>
      <c r="AN359" s="857"/>
      <c r="AO359" s="984" t="str">
        <f t="shared" si="506"/>
        <v>Rev</v>
      </c>
      <c r="AP359" s="985" t="str">
        <f t="shared" si="507"/>
        <v>[Service]</v>
      </c>
      <c r="AQ359" s="986" t="str">
        <f t="shared" si="508"/>
        <v>[Price]</v>
      </c>
      <c r="AR359" s="990" t="str">
        <f t="shared" si="509"/>
        <v>-</v>
      </c>
      <c r="AS359" s="987" t="str">
        <f t="shared" si="510"/>
        <v>-</v>
      </c>
      <c r="AT359" s="987" t="str">
        <f t="shared" si="511"/>
        <v>-</v>
      </c>
      <c r="AU359" s="987" t="str">
        <f t="shared" si="512"/>
        <v>-</v>
      </c>
      <c r="AV359" s="1353" t="str">
        <f t="shared" si="513"/>
        <v>-</v>
      </c>
      <c r="AW359" s="1346" t="str">
        <f t="shared" si="514"/>
        <v>-</v>
      </c>
      <c r="AX359" s="987" t="str">
        <f t="shared" si="515"/>
        <v>-</v>
      </c>
      <c r="AY359" s="987" t="str">
        <f t="shared" si="516"/>
        <v>-</v>
      </c>
      <c r="AZ359" s="987" t="str">
        <f t="shared" si="517"/>
        <v>-</v>
      </c>
      <c r="BA359" s="988" t="str">
        <f t="shared" si="518"/>
        <v>-</v>
      </c>
      <c r="BB359" s="1346" t="str">
        <f t="shared" si="519"/>
        <v>-</v>
      </c>
      <c r="BC359" s="987" t="str">
        <f t="shared" si="520"/>
        <v>-</v>
      </c>
      <c r="BD359" s="987" t="str">
        <f t="shared" si="521"/>
        <v>-</v>
      </c>
      <c r="BE359" s="987" t="str">
        <f t="shared" si="522"/>
        <v>-</v>
      </c>
      <c r="BF359" s="989" t="str">
        <f t="shared" si="523"/>
        <v>-</v>
      </c>
      <c r="BG359" s="951"/>
      <c r="BH359" s="1550" t="str">
        <f t="shared" si="524"/>
        <v>Rev</v>
      </c>
      <c r="BI359" s="1551" t="str">
        <f t="shared" si="525"/>
        <v>[Service]</v>
      </c>
      <c r="BJ359" s="1552" t="str">
        <f t="shared" si="526"/>
        <v>[Price]</v>
      </c>
      <c r="BK359" s="987" t="str">
        <f t="shared" ref="BK359:BU359" si="581">IF(V359="","-",IFERROR((V359/U359-1)*(U359/U$13),"-"))</f>
        <v>-</v>
      </c>
      <c r="BL359" s="987" t="str">
        <f t="shared" si="581"/>
        <v>-</v>
      </c>
      <c r="BM359" s="987" t="str">
        <f t="shared" si="581"/>
        <v>-</v>
      </c>
      <c r="BN359" s="987" t="str">
        <f t="shared" si="581"/>
        <v>-</v>
      </c>
      <c r="BO359" s="1353" t="str">
        <f t="shared" si="581"/>
        <v>-</v>
      </c>
      <c r="BP359" s="1346" t="str">
        <f t="shared" si="581"/>
        <v>-</v>
      </c>
      <c r="BQ359" s="987" t="str">
        <f t="shared" si="581"/>
        <v>-</v>
      </c>
      <c r="BR359" s="987" t="str">
        <f t="shared" si="581"/>
        <v>-</v>
      </c>
      <c r="BS359" s="987" t="str">
        <f t="shared" si="581"/>
        <v>-</v>
      </c>
      <c r="BT359" s="988" t="str">
        <f t="shared" si="581"/>
        <v>-</v>
      </c>
      <c r="BU359" s="987" t="str">
        <f t="shared" si="581"/>
        <v>-</v>
      </c>
      <c r="BV359" s="987" t="str">
        <f>IF(AG359="","-",IFERROR((AG359/AF359-1)*(AF359/AF$13),"-"))</f>
        <v>-</v>
      </c>
      <c r="BW359" s="987" t="str">
        <f>IF(AH359="","-",IFERROR((AH359/AG359-1)*(AG359/AG$13),"-"))</f>
        <v>-</v>
      </c>
      <c r="BX359" s="987" t="str">
        <f>IF(AI359="","-",IFERROR((AI359/AH359-1)*(AH359/AH$13),"-"))</f>
        <v>-</v>
      </c>
      <c r="BY359" s="989" t="str">
        <f>IF(AJ359="","-",IFERROR((AJ359/AI359-1)*(AI359/AI$13),"-"))</f>
        <v>-</v>
      </c>
      <c r="BZ359" s="951"/>
      <c r="CA359" s="984" t="str">
        <f t="shared" si="503"/>
        <v>Rev</v>
      </c>
      <c r="CB359" s="985" t="str">
        <f t="shared" si="504"/>
        <v>[Service]</v>
      </c>
      <c r="CC359" s="985" t="str">
        <f t="shared" si="505"/>
        <v>[Price]</v>
      </c>
      <c r="CD359" s="990" t="str">
        <f t="shared" si="536"/>
        <v>-</v>
      </c>
      <c r="CE359" s="987" t="str">
        <f t="shared" si="528"/>
        <v>-</v>
      </c>
      <c r="CF359" s="987" t="str">
        <f t="shared" si="529"/>
        <v>-</v>
      </c>
      <c r="CG359" s="988" t="str">
        <f t="shared" si="530"/>
        <v>-</v>
      </c>
      <c r="CH359" s="987" t="str">
        <f t="shared" si="537"/>
        <v>-</v>
      </c>
      <c r="CI359" s="987" t="str">
        <f t="shared" si="531"/>
        <v>-</v>
      </c>
      <c r="CJ359" s="987" t="str">
        <f t="shared" si="532"/>
        <v>-</v>
      </c>
      <c r="CK359" s="989" t="str">
        <f t="shared" si="533"/>
        <v>-</v>
      </c>
    </row>
    <row r="360" spans="4:89" outlineLevel="1">
      <c r="D360" s="63">
        <f>D357+1</f>
        <v>98</v>
      </c>
      <c r="E360" s="550" t="s">
        <v>857</v>
      </c>
      <c r="F360" s="595" t="s">
        <v>428</v>
      </c>
      <c r="G360" s="595"/>
      <c r="H360" s="595"/>
      <c r="I360" s="589" t="s">
        <v>920</v>
      </c>
      <c r="J360" s="589" t="s">
        <v>879</v>
      </c>
      <c r="K360" s="551"/>
      <c r="L360" s="552"/>
      <c r="M360" s="552"/>
      <c r="N360" s="551"/>
      <c r="O360" s="552"/>
      <c r="P360" s="552"/>
      <c r="Q360" s="552"/>
      <c r="R360" s="1035"/>
      <c r="S360" s="1138"/>
      <c r="T360" s="591"/>
      <c r="U360" s="1035"/>
      <c r="V360" s="1138"/>
      <c r="W360" s="591"/>
      <c r="X360" s="591"/>
      <c r="Y360" s="591"/>
      <c r="Z360" s="1035"/>
      <c r="AA360" s="1138"/>
      <c r="AB360" s="591"/>
      <c r="AC360" s="591"/>
      <c r="AD360" s="591"/>
      <c r="AE360" s="1035"/>
      <c r="AF360" s="1138"/>
      <c r="AG360" s="591"/>
      <c r="AH360" s="591"/>
      <c r="AI360" s="591"/>
      <c r="AJ360" s="1035"/>
      <c r="AK360" s="569"/>
      <c r="AL360" s="569"/>
      <c r="AM360" s="974"/>
      <c r="AN360" s="857"/>
      <c r="AO360" s="975" t="str">
        <f t="shared" si="506"/>
        <v>Price</v>
      </c>
      <c r="AP360" s="976" t="str">
        <f t="shared" si="507"/>
        <v>[Service]</v>
      </c>
      <c r="AQ360" s="977" t="str">
        <f t="shared" si="508"/>
        <v>[Price]</v>
      </c>
      <c r="AR360" s="1341" t="str">
        <f t="shared" si="509"/>
        <v>-</v>
      </c>
      <c r="AS360" s="978" t="str">
        <f t="shared" si="510"/>
        <v>-</v>
      </c>
      <c r="AT360" s="979" t="str">
        <f t="shared" si="511"/>
        <v>-</v>
      </c>
      <c r="AU360" s="979" t="str">
        <f t="shared" si="512"/>
        <v>-</v>
      </c>
      <c r="AV360" s="1352" t="str">
        <f t="shared" si="513"/>
        <v>-</v>
      </c>
      <c r="AW360" s="1345" t="str">
        <f t="shared" si="514"/>
        <v>-</v>
      </c>
      <c r="AX360" s="979" t="str">
        <f t="shared" si="515"/>
        <v>-</v>
      </c>
      <c r="AY360" s="979" t="str">
        <f t="shared" si="516"/>
        <v>-</v>
      </c>
      <c r="AZ360" s="979" t="str">
        <f t="shared" si="517"/>
        <v>-</v>
      </c>
      <c r="BA360" s="980" t="str">
        <f t="shared" si="518"/>
        <v>-</v>
      </c>
      <c r="BB360" s="1345" t="str">
        <f t="shared" si="519"/>
        <v>-</v>
      </c>
      <c r="BC360" s="979" t="str">
        <f t="shared" si="520"/>
        <v>-</v>
      </c>
      <c r="BD360" s="979" t="str">
        <f t="shared" si="521"/>
        <v>-</v>
      </c>
      <c r="BE360" s="979" t="str">
        <f t="shared" si="522"/>
        <v>-</v>
      </c>
      <c r="BF360" s="981" t="str">
        <f t="shared" si="523"/>
        <v>-</v>
      </c>
      <c r="BG360" s="951"/>
      <c r="BH360" s="1547" t="str">
        <f t="shared" si="524"/>
        <v>Price</v>
      </c>
      <c r="BI360" s="1548" t="str">
        <f t="shared" si="525"/>
        <v>[Service]</v>
      </c>
      <c r="BJ360" s="1549" t="str">
        <f t="shared" si="526"/>
        <v>[Price]</v>
      </c>
      <c r="BK360" s="978" t="str">
        <f t="shared" ref="BK360:BU360" si="582">IF(V360="","-",IFERROR((V360/U360-1)*(U362/U$13),"-"))</f>
        <v>-</v>
      </c>
      <c r="BL360" s="978" t="str">
        <f t="shared" si="582"/>
        <v>-</v>
      </c>
      <c r="BM360" s="979" t="str">
        <f t="shared" si="582"/>
        <v>-</v>
      </c>
      <c r="BN360" s="979" t="str">
        <f t="shared" si="582"/>
        <v>-</v>
      </c>
      <c r="BO360" s="1352" t="str">
        <f t="shared" si="582"/>
        <v>-</v>
      </c>
      <c r="BP360" s="1345" t="str">
        <f t="shared" si="582"/>
        <v>-</v>
      </c>
      <c r="BQ360" s="979" t="str">
        <f t="shared" si="582"/>
        <v>-</v>
      </c>
      <c r="BR360" s="979" t="str">
        <f t="shared" si="582"/>
        <v>-</v>
      </c>
      <c r="BS360" s="979" t="str">
        <f t="shared" si="582"/>
        <v>-</v>
      </c>
      <c r="BT360" s="980" t="str">
        <f t="shared" si="582"/>
        <v>-</v>
      </c>
      <c r="BU360" s="979" t="str">
        <f t="shared" si="582"/>
        <v>-</v>
      </c>
      <c r="BV360" s="979" t="str">
        <f>IF(AG360="","-",IFERROR((AG360/AF360-1)*(AF362/AF$13),"-"))</f>
        <v>-</v>
      </c>
      <c r="BW360" s="979" t="str">
        <f>IF(AH360="","-",IFERROR((AH360/AG360-1)*(AG362/AG$13),"-"))</f>
        <v>-</v>
      </c>
      <c r="BX360" s="979" t="str">
        <f>IF(AI360="","-",IFERROR((AI360/AH360-1)*(AH362/AH$13),"-"))</f>
        <v>-</v>
      </c>
      <c r="BY360" s="981" t="str">
        <f>IF(AJ360="","-",IFERROR((AJ360/AI360-1)*(AI362/AI$13),"-"))</f>
        <v>-</v>
      </c>
      <c r="BZ360" s="951"/>
      <c r="CA360" s="975" t="str">
        <f t="shared" si="503"/>
        <v>Price</v>
      </c>
      <c r="CB360" s="976" t="str">
        <f t="shared" si="504"/>
        <v>[Service]</v>
      </c>
      <c r="CC360" s="982" t="str">
        <f t="shared" si="505"/>
        <v>[Price]</v>
      </c>
      <c r="CD360" s="983" t="str">
        <f t="shared" si="536"/>
        <v>-</v>
      </c>
      <c r="CE360" s="979" t="str">
        <f t="shared" si="528"/>
        <v>-</v>
      </c>
      <c r="CF360" s="979" t="str">
        <f t="shared" si="529"/>
        <v>-</v>
      </c>
      <c r="CG360" s="980" t="str">
        <f t="shared" si="530"/>
        <v>-</v>
      </c>
      <c r="CH360" s="979" t="str">
        <f t="shared" si="537"/>
        <v>-</v>
      </c>
      <c r="CI360" s="979" t="str">
        <f t="shared" si="531"/>
        <v>-</v>
      </c>
      <c r="CJ360" s="979" t="str">
        <f t="shared" si="532"/>
        <v>-</v>
      </c>
      <c r="CK360" s="981" t="str">
        <f t="shared" si="533"/>
        <v>-</v>
      </c>
    </row>
    <row r="361" spans="4:89" outlineLevel="1">
      <c r="E361" s="567" t="s">
        <v>880</v>
      </c>
      <c r="F361" s="554" t="str">
        <f>+F360</f>
        <v>[Service]</v>
      </c>
      <c r="G361" s="555">
        <f>+G360</f>
        <v>0</v>
      </c>
      <c r="H361" s="555">
        <f>+H360</f>
        <v>0</v>
      </c>
      <c r="I361" s="556" t="str">
        <f>+I360</f>
        <v>[Price]</v>
      </c>
      <c r="J361" s="590" t="s">
        <v>916</v>
      </c>
      <c r="K361" s="557"/>
      <c r="L361" s="558"/>
      <c r="M361" s="558"/>
      <c r="N361" s="557"/>
      <c r="O361" s="558"/>
      <c r="P361" s="558"/>
      <c r="Q361" s="558"/>
      <c r="R361" s="1036"/>
      <c r="S361" s="1139"/>
      <c r="T361" s="593"/>
      <c r="U361" s="1036"/>
      <c r="V361" s="1139"/>
      <c r="W361" s="593"/>
      <c r="X361" s="593"/>
      <c r="Y361" s="593"/>
      <c r="Z361" s="1036"/>
      <c r="AA361" s="1139"/>
      <c r="AB361" s="593"/>
      <c r="AC361" s="593"/>
      <c r="AD361" s="593"/>
      <c r="AE361" s="1036"/>
      <c r="AF361" s="1139"/>
      <c r="AG361" s="593"/>
      <c r="AH361" s="593"/>
      <c r="AI361" s="593"/>
      <c r="AJ361" s="1036"/>
      <c r="AK361" s="569"/>
      <c r="AL361" s="569"/>
      <c r="AN361" s="857"/>
      <c r="AO361" s="961" t="str">
        <f t="shared" si="506"/>
        <v>Qty</v>
      </c>
      <c r="AP361" s="962" t="str">
        <f t="shared" si="507"/>
        <v>[Service]</v>
      </c>
      <c r="AQ361" s="963" t="str">
        <f t="shared" si="508"/>
        <v>[Price]</v>
      </c>
      <c r="AR361" s="967" t="str">
        <f t="shared" si="509"/>
        <v>-</v>
      </c>
      <c r="AS361" s="964" t="str">
        <f t="shared" si="510"/>
        <v>-</v>
      </c>
      <c r="AT361" s="964" t="str">
        <f t="shared" si="511"/>
        <v>-</v>
      </c>
      <c r="AU361" s="964" t="str">
        <f t="shared" si="512"/>
        <v>-</v>
      </c>
      <c r="AV361" s="1350" t="str">
        <f t="shared" si="513"/>
        <v>-</v>
      </c>
      <c r="AW361" s="1343" t="str">
        <f t="shared" si="514"/>
        <v>-</v>
      </c>
      <c r="AX361" s="964" t="str">
        <f t="shared" si="515"/>
        <v>-</v>
      </c>
      <c r="AY361" s="964" t="str">
        <f t="shared" si="516"/>
        <v>-</v>
      </c>
      <c r="AZ361" s="964" t="str">
        <f t="shared" si="517"/>
        <v>-</v>
      </c>
      <c r="BA361" s="965" t="str">
        <f t="shared" si="518"/>
        <v>-</v>
      </c>
      <c r="BB361" s="1343" t="str">
        <f t="shared" si="519"/>
        <v>-</v>
      </c>
      <c r="BC361" s="964" t="str">
        <f t="shared" si="520"/>
        <v>-</v>
      </c>
      <c r="BD361" s="964" t="str">
        <f t="shared" si="521"/>
        <v>-</v>
      </c>
      <c r="BE361" s="964" t="str">
        <f t="shared" si="522"/>
        <v>-</v>
      </c>
      <c r="BF361" s="966" t="str">
        <f t="shared" si="523"/>
        <v>-</v>
      </c>
      <c r="BG361" s="951"/>
      <c r="BH361" s="1541" t="str">
        <f t="shared" si="524"/>
        <v>Qty</v>
      </c>
      <c r="BI361" s="1542" t="str">
        <f t="shared" si="525"/>
        <v>[Service]</v>
      </c>
      <c r="BJ361" s="1543" t="str">
        <f t="shared" si="526"/>
        <v>[Price]</v>
      </c>
      <c r="BK361" s="964" t="str">
        <f t="shared" ref="BK361:BU361" si="583">IF(V361="","-",IFERROR((V361/U361-1)*(U362/U$13),"-"))</f>
        <v>-</v>
      </c>
      <c r="BL361" s="964" t="str">
        <f t="shared" si="583"/>
        <v>-</v>
      </c>
      <c r="BM361" s="964" t="str">
        <f t="shared" si="583"/>
        <v>-</v>
      </c>
      <c r="BN361" s="964" t="str">
        <f t="shared" si="583"/>
        <v>-</v>
      </c>
      <c r="BO361" s="1350" t="str">
        <f t="shared" si="583"/>
        <v>-</v>
      </c>
      <c r="BP361" s="1343" t="str">
        <f t="shared" si="583"/>
        <v>-</v>
      </c>
      <c r="BQ361" s="964" t="str">
        <f t="shared" si="583"/>
        <v>-</v>
      </c>
      <c r="BR361" s="964" t="str">
        <f t="shared" si="583"/>
        <v>-</v>
      </c>
      <c r="BS361" s="964" t="str">
        <f t="shared" si="583"/>
        <v>-</v>
      </c>
      <c r="BT361" s="965" t="str">
        <f t="shared" si="583"/>
        <v>-</v>
      </c>
      <c r="BU361" s="964" t="str">
        <f t="shared" si="583"/>
        <v>-</v>
      </c>
      <c r="BV361" s="964" t="str">
        <f>IF(AG361="","-",IFERROR((AG361/AF361-1)*(AF362/AF$13),"-"))</f>
        <v>-</v>
      </c>
      <c r="BW361" s="964" t="str">
        <f>IF(AH361="","-",IFERROR((AH361/AG361-1)*(AG362/AG$13),"-"))</f>
        <v>-</v>
      </c>
      <c r="BX361" s="964" t="str">
        <f>IF(AI361="","-",IFERROR((AI361/AH361-1)*(AH362/AH$13),"-"))</f>
        <v>-</v>
      </c>
      <c r="BY361" s="966" t="str">
        <f>IF(AJ361="","-",IFERROR((AJ361/AI361-1)*(AI362/AI$13),"-"))</f>
        <v>-</v>
      </c>
      <c r="BZ361" s="951"/>
      <c r="CA361" s="961" t="str">
        <f t="shared" si="503"/>
        <v>Qty</v>
      </c>
      <c r="CB361" s="962" t="str">
        <f t="shared" si="504"/>
        <v>[Service]</v>
      </c>
      <c r="CC361" s="962" t="str">
        <f t="shared" si="505"/>
        <v>[Price]</v>
      </c>
      <c r="CD361" s="967" t="str">
        <f t="shared" si="536"/>
        <v>-</v>
      </c>
      <c r="CE361" s="964" t="str">
        <f t="shared" si="528"/>
        <v>-</v>
      </c>
      <c r="CF361" s="964" t="str">
        <f t="shared" si="529"/>
        <v>-</v>
      </c>
      <c r="CG361" s="965" t="str">
        <f t="shared" si="530"/>
        <v>-</v>
      </c>
      <c r="CH361" s="964" t="str">
        <f t="shared" si="537"/>
        <v>-</v>
      </c>
      <c r="CI361" s="964" t="str">
        <f t="shared" si="531"/>
        <v>-</v>
      </c>
      <c r="CJ361" s="964" t="str">
        <f t="shared" si="532"/>
        <v>-</v>
      </c>
      <c r="CK361" s="966" t="str">
        <f t="shared" si="533"/>
        <v>-</v>
      </c>
    </row>
    <row r="362" spans="4:89" ht="12.75" outlineLevel="1" thickBot="1">
      <c r="E362" s="568" t="s">
        <v>882</v>
      </c>
      <c r="F362" s="560" t="str">
        <f>+F360</f>
        <v>[Service]</v>
      </c>
      <c r="G362" s="561">
        <f>+G360</f>
        <v>0</v>
      </c>
      <c r="H362" s="561">
        <f>+H360</f>
        <v>0</v>
      </c>
      <c r="I362" s="562" t="str">
        <f>+I360</f>
        <v>[Price]</v>
      </c>
      <c r="J362" s="563" t="s">
        <v>883</v>
      </c>
      <c r="K362" s="564">
        <f t="shared" ref="K362:AJ362" si="584">K360*K361/10^6</f>
        <v>0</v>
      </c>
      <c r="L362" s="565">
        <f t="shared" si="584"/>
        <v>0</v>
      </c>
      <c r="M362" s="565">
        <f t="shared" si="584"/>
        <v>0</v>
      </c>
      <c r="N362" s="564">
        <f t="shared" si="584"/>
        <v>0</v>
      </c>
      <c r="O362" s="565">
        <f t="shared" si="584"/>
        <v>0</v>
      </c>
      <c r="P362" s="565">
        <f t="shared" si="584"/>
        <v>0</v>
      </c>
      <c r="Q362" s="565">
        <f t="shared" si="584"/>
        <v>0</v>
      </c>
      <c r="R362" s="566">
        <f t="shared" si="584"/>
        <v>0</v>
      </c>
      <c r="S362" s="564">
        <f t="shared" si="584"/>
        <v>0</v>
      </c>
      <c r="T362" s="565">
        <f t="shared" si="584"/>
        <v>0</v>
      </c>
      <c r="U362" s="566">
        <f t="shared" si="584"/>
        <v>0</v>
      </c>
      <c r="V362" s="564">
        <f t="shared" si="584"/>
        <v>0</v>
      </c>
      <c r="W362" s="565">
        <f t="shared" si="584"/>
        <v>0</v>
      </c>
      <c r="X362" s="565">
        <f t="shared" si="584"/>
        <v>0</v>
      </c>
      <c r="Y362" s="565">
        <f t="shared" si="584"/>
        <v>0</v>
      </c>
      <c r="Z362" s="566">
        <f t="shared" si="584"/>
        <v>0</v>
      </c>
      <c r="AA362" s="564">
        <f t="shared" si="584"/>
        <v>0</v>
      </c>
      <c r="AB362" s="565">
        <f t="shared" si="584"/>
        <v>0</v>
      </c>
      <c r="AC362" s="565">
        <f t="shared" si="584"/>
        <v>0</v>
      </c>
      <c r="AD362" s="565">
        <f t="shared" si="584"/>
        <v>0</v>
      </c>
      <c r="AE362" s="566">
        <f t="shared" si="584"/>
        <v>0</v>
      </c>
      <c r="AF362" s="564">
        <f t="shared" si="584"/>
        <v>0</v>
      </c>
      <c r="AG362" s="565">
        <f t="shared" si="584"/>
        <v>0</v>
      </c>
      <c r="AH362" s="565">
        <f t="shared" si="584"/>
        <v>0</v>
      </c>
      <c r="AI362" s="565">
        <f t="shared" si="584"/>
        <v>0</v>
      </c>
      <c r="AJ362" s="566">
        <f t="shared" si="584"/>
        <v>0</v>
      </c>
      <c r="AK362" s="569"/>
      <c r="AL362" s="569"/>
      <c r="AN362" s="857"/>
      <c r="AO362" s="984" t="str">
        <f t="shared" si="506"/>
        <v>Rev</v>
      </c>
      <c r="AP362" s="985" t="str">
        <f t="shared" si="507"/>
        <v>[Service]</v>
      </c>
      <c r="AQ362" s="986" t="str">
        <f t="shared" si="508"/>
        <v>[Price]</v>
      </c>
      <c r="AR362" s="990" t="str">
        <f t="shared" si="509"/>
        <v>-</v>
      </c>
      <c r="AS362" s="987" t="str">
        <f t="shared" si="510"/>
        <v>-</v>
      </c>
      <c r="AT362" s="987" t="str">
        <f t="shared" si="511"/>
        <v>-</v>
      </c>
      <c r="AU362" s="987" t="str">
        <f t="shared" si="512"/>
        <v>-</v>
      </c>
      <c r="AV362" s="1353" t="str">
        <f t="shared" si="513"/>
        <v>-</v>
      </c>
      <c r="AW362" s="1346" t="str">
        <f t="shared" si="514"/>
        <v>-</v>
      </c>
      <c r="AX362" s="987" t="str">
        <f t="shared" si="515"/>
        <v>-</v>
      </c>
      <c r="AY362" s="987" t="str">
        <f t="shared" si="516"/>
        <v>-</v>
      </c>
      <c r="AZ362" s="987" t="str">
        <f t="shared" si="517"/>
        <v>-</v>
      </c>
      <c r="BA362" s="988" t="str">
        <f t="shared" si="518"/>
        <v>-</v>
      </c>
      <c r="BB362" s="1346" t="str">
        <f t="shared" si="519"/>
        <v>-</v>
      </c>
      <c r="BC362" s="987" t="str">
        <f t="shared" si="520"/>
        <v>-</v>
      </c>
      <c r="BD362" s="987" t="str">
        <f t="shared" si="521"/>
        <v>-</v>
      </c>
      <c r="BE362" s="987" t="str">
        <f t="shared" si="522"/>
        <v>-</v>
      </c>
      <c r="BF362" s="989" t="str">
        <f t="shared" si="523"/>
        <v>-</v>
      </c>
      <c r="BG362" s="951"/>
      <c r="BH362" s="1550" t="str">
        <f t="shared" si="524"/>
        <v>Rev</v>
      </c>
      <c r="BI362" s="1551" t="str">
        <f t="shared" si="525"/>
        <v>[Service]</v>
      </c>
      <c r="BJ362" s="1552" t="str">
        <f t="shared" si="526"/>
        <v>[Price]</v>
      </c>
      <c r="BK362" s="987" t="str">
        <f t="shared" ref="BK362:BU362" si="585">IF(V362="","-",IFERROR((V362/U362-1)*(U362/U$13),"-"))</f>
        <v>-</v>
      </c>
      <c r="BL362" s="987" t="str">
        <f t="shared" si="585"/>
        <v>-</v>
      </c>
      <c r="BM362" s="987" t="str">
        <f t="shared" si="585"/>
        <v>-</v>
      </c>
      <c r="BN362" s="987" t="str">
        <f t="shared" si="585"/>
        <v>-</v>
      </c>
      <c r="BO362" s="1353" t="str">
        <f t="shared" si="585"/>
        <v>-</v>
      </c>
      <c r="BP362" s="1346" t="str">
        <f t="shared" si="585"/>
        <v>-</v>
      </c>
      <c r="BQ362" s="987" t="str">
        <f t="shared" si="585"/>
        <v>-</v>
      </c>
      <c r="BR362" s="987" t="str">
        <f t="shared" si="585"/>
        <v>-</v>
      </c>
      <c r="BS362" s="987" t="str">
        <f t="shared" si="585"/>
        <v>-</v>
      </c>
      <c r="BT362" s="988" t="str">
        <f t="shared" si="585"/>
        <v>-</v>
      </c>
      <c r="BU362" s="987" t="str">
        <f t="shared" si="585"/>
        <v>-</v>
      </c>
      <c r="BV362" s="987" t="str">
        <f>IF(AG362="","-",IFERROR((AG362/AF362-1)*(AF362/AF$13),"-"))</f>
        <v>-</v>
      </c>
      <c r="BW362" s="987" t="str">
        <f>IF(AH362="","-",IFERROR((AH362/AG362-1)*(AG362/AG$13),"-"))</f>
        <v>-</v>
      </c>
      <c r="BX362" s="987" t="str">
        <f>IF(AI362="","-",IFERROR((AI362/AH362-1)*(AH362/AH$13),"-"))</f>
        <v>-</v>
      </c>
      <c r="BY362" s="989" t="str">
        <f>IF(AJ362="","-",IFERROR((AJ362/AI362-1)*(AI362/AI$13),"-"))</f>
        <v>-</v>
      </c>
      <c r="BZ362" s="951"/>
      <c r="CA362" s="984" t="str">
        <f t="shared" si="503"/>
        <v>Rev</v>
      </c>
      <c r="CB362" s="985" t="str">
        <f t="shared" si="504"/>
        <v>[Service]</v>
      </c>
      <c r="CC362" s="985" t="str">
        <f t="shared" si="505"/>
        <v>[Price]</v>
      </c>
      <c r="CD362" s="990" t="str">
        <f t="shared" si="536"/>
        <v>-</v>
      </c>
      <c r="CE362" s="987" t="str">
        <f t="shared" si="528"/>
        <v>-</v>
      </c>
      <c r="CF362" s="987" t="str">
        <f t="shared" si="529"/>
        <v>-</v>
      </c>
      <c r="CG362" s="988" t="str">
        <f t="shared" si="530"/>
        <v>-</v>
      </c>
      <c r="CH362" s="987" t="str">
        <f t="shared" si="537"/>
        <v>-</v>
      </c>
      <c r="CI362" s="987" t="str">
        <f t="shared" si="531"/>
        <v>-</v>
      </c>
      <c r="CJ362" s="987" t="str">
        <f t="shared" si="532"/>
        <v>-</v>
      </c>
      <c r="CK362" s="989" t="str">
        <f t="shared" si="533"/>
        <v>-</v>
      </c>
    </row>
    <row r="363" spans="4:89" outlineLevel="1">
      <c r="D363" s="63">
        <f>D360+1</f>
        <v>99</v>
      </c>
      <c r="E363" s="550" t="s">
        <v>857</v>
      </c>
      <c r="F363" s="595" t="s">
        <v>428</v>
      </c>
      <c r="G363" s="595"/>
      <c r="H363" s="595"/>
      <c r="I363" s="589" t="s">
        <v>920</v>
      </c>
      <c r="J363" s="589" t="s">
        <v>879</v>
      </c>
      <c r="K363" s="551"/>
      <c r="L363" s="552"/>
      <c r="M363" s="552"/>
      <c r="N363" s="551"/>
      <c r="O363" s="552"/>
      <c r="P363" s="552"/>
      <c r="Q363" s="552"/>
      <c r="R363" s="1035"/>
      <c r="S363" s="1138"/>
      <c r="T363" s="591"/>
      <c r="U363" s="1035"/>
      <c r="V363" s="1138"/>
      <c r="W363" s="591"/>
      <c r="X363" s="591"/>
      <c r="Y363" s="591"/>
      <c r="Z363" s="1035"/>
      <c r="AA363" s="1138"/>
      <c r="AB363" s="591"/>
      <c r="AC363" s="591"/>
      <c r="AD363" s="591"/>
      <c r="AE363" s="1035"/>
      <c r="AF363" s="1138"/>
      <c r="AG363" s="591"/>
      <c r="AH363" s="591"/>
      <c r="AI363" s="591"/>
      <c r="AJ363" s="1035"/>
      <c r="AK363" s="569"/>
      <c r="AL363" s="569"/>
      <c r="AM363" s="974"/>
      <c r="AN363" s="857"/>
      <c r="AO363" s="975" t="str">
        <f t="shared" si="506"/>
        <v>Price</v>
      </c>
      <c r="AP363" s="976" t="str">
        <f t="shared" si="507"/>
        <v>[Service]</v>
      </c>
      <c r="AQ363" s="977" t="str">
        <f t="shared" si="508"/>
        <v>[Price]</v>
      </c>
      <c r="AR363" s="1341" t="str">
        <f t="shared" si="509"/>
        <v>-</v>
      </c>
      <c r="AS363" s="978" t="str">
        <f t="shared" si="510"/>
        <v>-</v>
      </c>
      <c r="AT363" s="979" t="str">
        <f t="shared" si="511"/>
        <v>-</v>
      </c>
      <c r="AU363" s="979" t="str">
        <f t="shared" si="512"/>
        <v>-</v>
      </c>
      <c r="AV363" s="1352" t="str">
        <f t="shared" si="513"/>
        <v>-</v>
      </c>
      <c r="AW363" s="1345" t="str">
        <f t="shared" si="514"/>
        <v>-</v>
      </c>
      <c r="AX363" s="979" t="str">
        <f t="shared" si="515"/>
        <v>-</v>
      </c>
      <c r="AY363" s="979" t="str">
        <f t="shared" si="516"/>
        <v>-</v>
      </c>
      <c r="AZ363" s="979" t="str">
        <f t="shared" si="517"/>
        <v>-</v>
      </c>
      <c r="BA363" s="980" t="str">
        <f t="shared" si="518"/>
        <v>-</v>
      </c>
      <c r="BB363" s="1345" t="str">
        <f t="shared" si="519"/>
        <v>-</v>
      </c>
      <c r="BC363" s="979" t="str">
        <f t="shared" si="520"/>
        <v>-</v>
      </c>
      <c r="BD363" s="979" t="str">
        <f t="shared" si="521"/>
        <v>-</v>
      </c>
      <c r="BE363" s="979" t="str">
        <f t="shared" si="522"/>
        <v>-</v>
      </c>
      <c r="BF363" s="981" t="str">
        <f t="shared" si="523"/>
        <v>-</v>
      </c>
      <c r="BG363" s="951"/>
      <c r="BH363" s="1547" t="str">
        <f t="shared" si="524"/>
        <v>Price</v>
      </c>
      <c r="BI363" s="1548" t="str">
        <f t="shared" si="525"/>
        <v>[Service]</v>
      </c>
      <c r="BJ363" s="1549" t="str">
        <f t="shared" si="526"/>
        <v>[Price]</v>
      </c>
      <c r="BK363" s="978" t="str">
        <f t="shared" ref="BK363:BU363" si="586">IF(V363="","-",IFERROR((V363/U363-1)*(U365/U$13),"-"))</f>
        <v>-</v>
      </c>
      <c r="BL363" s="978" t="str">
        <f t="shared" si="586"/>
        <v>-</v>
      </c>
      <c r="BM363" s="979" t="str">
        <f t="shared" si="586"/>
        <v>-</v>
      </c>
      <c r="BN363" s="979" t="str">
        <f t="shared" si="586"/>
        <v>-</v>
      </c>
      <c r="BO363" s="1352" t="str">
        <f t="shared" si="586"/>
        <v>-</v>
      </c>
      <c r="BP363" s="1345" t="str">
        <f t="shared" si="586"/>
        <v>-</v>
      </c>
      <c r="BQ363" s="979" t="str">
        <f t="shared" si="586"/>
        <v>-</v>
      </c>
      <c r="BR363" s="979" t="str">
        <f t="shared" si="586"/>
        <v>-</v>
      </c>
      <c r="BS363" s="979" t="str">
        <f t="shared" si="586"/>
        <v>-</v>
      </c>
      <c r="BT363" s="980" t="str">
        <f t="shared" si="586"/>
        <v>-</v>
      </c>
      <c r="BU363" s="979" t="str">
        <f t="shared" si="586"/>
        <v>-</v>
      </c>
      <c r="BV363" s="979" t="str">
        <f>IF(AG363="","-",IFERROR((AG363/AF363-1)*(AF365/AF$13),"-"))</f>
        <v>-</v>
      </c>
      <c r="BW363" s="979" t="str">
        <f>IF(AH363="","-",IFERROR((AH363/AG363-1)*(AG365/AG$13),"-"))</f>
        <v>-</v>
      </c>
      <c r="BX363" s="979" t="str">
        <f>IF(AI363="","-",IFERROR((AI363/AH363-1)*(AH365/AH$13),"-"))</f>
        <v>-</v>
      </c>
      <c r="BY363" s="981" t="str">
        <f>IF(AJ363="","-",IFERROR((AJ363/AI363-1)*(AI365/AI$13),"-"))</f>
        <v>-</v>
      </c>
      <c r="BZ363" s="951"/>
      <c r="CA363" s="975" t="str">
        <f t="shared" si="503"/>
        <v>Price</v>
      </c>
      <c r="CB363" s="976" t="str">
        <f t="shared" si="504"/>
        <v>[Service]</v>
      </c>
      <c r="CC363" s="982" t="str">
        <f t="shared" si="505"/>
        <v>[Price]</v>
      </c>
      <c r="CD363" s="983" t="str">
        <f t="shared" si="536"/>
        <v>-</v>
      </c>
      <c r="CE363" s="979" t="str">
        <f t="shared" si="528"/>
        <v>-</v>
      </c>
      <c r="CF363" s="979" t="str">
        <f t="shared" si="529"/>
        <v>-</v>
      </c>
      <c r="CG363" s="980" t="str">
        <f t="shared" si="530"/>
        <v>-</v>
      </c>
      <c r="CH363" s="979" t="str">
        <f t="shared" si="537"/>
        <v>-</v>
      </c>
      <c r="CI363" s="979" t="str">
        <f t="shared" si="531"/>
        <v>-</v>
      </c>
      <c r="CJ363" s="979" t="str">
        <f t="shared" si="532"/>
        <v>-</v>
      </c>
      <c r="CK363" s="981" t="str">
        <f t="shared" si="533"/>
        <v>-</v>
      </c>
    </row>
    <row r="364" spans="4:89" outlineLevel="1">
      <c r="E364" s="567" t="s">
        <v>880</v>
      </c>
      <c r="F364" s="554" t="str">
        <f>+F363</f>
        <v>[Service]</v>
      </c>
      <c r="G364" s="555">
        <f>+G363</f>
        <v>0</v>
      </c>
      <c r="H364" s="555">
        <f>+H363</f>
        <v>0</v>
      </c>
      <c r="I364" s="556" t="str">
        <f>+I363</f>
        <v>[Price]</v>
      </c>
      <c r="J364" s="590" t="s">
        <v>916</v>
      </c>
      <c r="K364" s="557"/>
      <c r="L364" s="558"/>
      <c r="M364" s="558"/>
      <c r="N364" s="557"/>
      <c r="O364" s="558"/>
      <c r="P364" s="558"/>
      <c r="Q364" s="558"/>
      <c r="R364" s="1036"/>
      <c r="S364" s="1139"/>
      <c r="T364" s="593"/>
      <c r="U364" s="1036"/>
      <c r="V364" s="1139"/>
      <c r="W364" s="593"/>
      <c r="X364" s="593"/>
      <c r="Y364" s="593"/>
      <c r="Z364" s="1036"/>
      <c r="AA364" s="1139"/>
      <c r="AB364" s="593"/>
      <c r="AC364" s="593"/>
      <c r="AD364" s="593"/>
      <c r="AE364" s="1036"/>
      <c r="AF364" s="1139"/>
      <c r="AG364" s="593"/>
      <c r="AH364" s="593"/>
      <c r="AI364" s="593"/>
      <c r="AJ364" s="1036"/>
      <c r="AK364" s="569"/>
      <c r="AL364" s="569"/>
      <c r="AN364" s="857"/>
      <c r="AO364" s="961" t="str">
        <f t="shared" si="506"/>
        <v>Qty</v>
      </c>
      <c r="AP364" s="962" t="str">
        <f t="shared" si="507"/>
        <v>[Service]</v>
      </c>
      <c r="AQ364" s="963" t="str">
        <f t="shared" si="508"/>
        <v>[Price]</v>
      </c>
      <c r="AR364" s="967" t="str">
        <f t="shared" si="509"/>
        <v>-</v>
      </c>
      <c r="AS364" s="964" t="str">
        <f t="shared" si="510"/>
        <v>-</v>
      </c>
      <c r="AT364" s="964" t="str">
        <f t="shared" si="511"/>
        <v>-</v>
      </c>
      <c r="AU364" s="964" t="str">
        <f t="shared" si="512"/>
        <v>-</v>
      </c>
      <c r="AV364" s="1350" t="str">
        <f t="shared" si="513"/>
        <v>-</v>
      </c>
      <c r="AW364" s="1343" t="str">
        <f t="shared" si="514"/>
        <v>-</v>
      </c>
      <c r="AX364" s="964" t="str">
        <f t="shared" si="515"/>
        <v>-</v>
      </c>
      <c r="AY364" s="964" t="str">
        <f t="shared" si="516"/>
        <v>-</v>
      </c>
      <c r="AZ364" s="964" t="str">
        <f t="shared" si="517"/>
        <v>-</v>
      </c>
      <c r="BA364" s="965" t="str">
        <f t="shared" si="518"/>
        <v>-</v>
      </c>
      <c r="BB364" s="1343" t="str">
        <f t="shared" si="519"/>
        <v>-</v>
      </c>
      <c r="BC364" s="964" t="str">
        <f t="shared" si="520"/>
        <v>-</v>
      </c>
      <c r="BD364" s="964" t="str">
        <f t="shared" si="521"/>
        <v>-</v>
      </c>
      <c r="BE364" s="964" t="str">
        <f t="shared" si="522"/>
        <v>-</v>
      </c>
      <c r="BF364" s="966" t="str">
        <f t="shared" si="523"/>
        <v>-</v>
      </c>
      <c r="BG364" s="951"/>
      <c r="BH364" s="1541" t="str">
        <f t="shared" si="524"/>
        <v>Qty</v>
      </c>
      <c r="BI364" s="1542" t="str">
        <f t="shared" si="525"/>
        <v>[Service]</v>
      </c>
      <c r="BJ364" s="1543" t="str">
        <f t="shared" si="526"/>
        <v>[Price]</v>
      </c>
      <c r="BK364" s="964" t="str">
        <f t="shared" ref="BK364:BU364" si="587">IF(V364="","-",IFERROR((V364/U364-1)*(U365/U$13),"-"))</f>
        <v>-</v>
      </c>
      <c r="BL364" s="964" t="str">
        <f t="shared" si="587"/>
        <v>-</v>
      </c>
      <c r="BM364" s="964" t="str">
        <f t="shared" si="587"/>
        <v>-</v>
      </c>
      <c r="BN364" s="964" t="str">
        <f t="shared" si="587"/>
        <v>-</v>
      </c>
      <c r="BO364" s="1350" t="str">
        <f t="shared" si="587"/>
        <v>-</v>
      </c>
      <c r="BP364" s="1343" t="str">
        <f t="shared" si="587"/>
        <v>-</v>
      </c>
      <c r="BQ364" s="964" t="str">
        <f t="shared" si="587"/>
        <v>-</v>
      </c>
      <c r="BR364" s="964" t="str">
        <f t="shared" si="587"/>
        <v>-</v>
      </c>
      <c r="BS364" s="964" t="str">
        <f t="shared" si="587"/>
        <v>-</v>
      </c>
      <c r="BT364" s="965" t="str">
        <f t="shared" si="587"/>
        <v>-</v>
      </c>
      <c r="BU364" s="964" t="str">
        <f t="shared" si="587"/>
        <v>-</v>
      </c>
      <c r="BV364" s="964" t="str">
        <f>IF(AG364="","-",IFERROR((AG364/AF364-1)*(AF365/AF$13),"-"))</f>
        <v>-</v>
      </c>
      <c r="BW364" s="964" t="str">
        <f>IF(AH364="","-",IFERROR((AH364/AG364-1)*(AG365/AG$13),"-"))</f>
        <v>-</v>
      </c>
      <c r="BX364" s="964" t="str">
        <f>IF(AI364="","-",IFERROR((AI364/AH364-1)*(AH365/AH$13),"-"))</f>
        <v>-</v>
      </c>
      <c r="BY364" s="966" t="str">
        <f>IF(AJ364="","-",IFERROR((AJ364/AI364-1)*(AI365/AI$13),"-"))</f>
        <v>-</v>
      </c>
      <c r="BZ364" s="951"/>
      <c r="CA364" s="961" t="str">
        <f t="shared" si="503"/>
        <v>Qty</v>
      </c>
      <c r="CB364" s="962" t="str">
        <f t="shared" si="504"/>
        <v>[Service]</v>
      </c>
      <c r="CC364" s="962" t="str">
        <f t="shared" si="505"/>
        <v>[Price]</v>
      </c>
      <c r="CD364" s="967" t="str">
        <f t="shared" si="536"/>
        <v>-</v>
      </c>
      <c r="CE364" s="964" t="str">
        <f t="shared" si="528"/>
        <v>-</v>
      </c>
      <c r="CF364" s="964" t="str">
        <f t="shared" si="529"/>
        <v>-</v>
      </c>
      <c r="CG364" s="965" t="str">
        <f t="shared" si="530"/>
        <v>-</v>
      </c>
      <c r="CH364" s="964" t="str">
        <f t="shared" si="537"/>
        <v>-</v>
      </c>
      <c r="CI364" s="964" t="str">
        <f t="shared" si="531"/>
        <v>-</v>
      </c>
      <c r="CJ364" s="964" t="str">
        <f t="shared" si="532"/>
        <v>-</v>
      </c>
      <c r="CK364" s="966" t="str">
        <f t="shared" si="533"/>
        <v>-</v>
      </c>
    </row>
    <row r="365" spans="4:89" ht="12.75" outlineLevel="1" thickBot="1">
      <c r="E365" s="568" t="s">
        <v>882</v>
      </c>
      <c r="F365" s="560" t="str">
        <f>+F363</f>
        <v>[Service]</v>
      </c>
      <c r="G365" s="561">
        <f>+G363</f>
        <v>0</v>
      </c>
      <c r="H365" s="561">
        <f>+H363</f>
        <v>0</v>
      </c>
      <c r="I365" s="562" t="str">
        <f>+I363</f>
        <v>[Price]</v>
      </c>
      <c r="J365" s="563" t="s">
        <v>883</v>
      </c>
      <c r="K365" s="564">
        <f t="shared" ref="K365:AJ365" si="588">K363*K364/10^6</f>
        <v>0</v>
      </c>
      <c r="L365" s="565">
        <f t="shared" si="588"/>
        <v>0</v>
      </c>
      <c r="M365" s="565">
        <f t="shared" si="588"/>
        <v>0</v>
      </c>
      <c r="N365" s="564">
        <f t="shared" si="588"/>
        <v>0</v>
      </c>
      <c r="O365" s="565">
        <f t="shared" si="588"/>
        <v>0</v>
      </c>
      <c r="P365" s="565">
        <f t="shared" si="588"/>
        <v>0</v>
      </c>
      <c r="Q365" s="565">
        <f t="shared" si="588"/>
        <v>0</v>
      </c>
      <c r="R365" s="566">
        <f t="shared" si="588"/>
        <v>0</v>
      </c>
      <c r="S365" s="564">
        <f t="shared" si="588"/>
        <v>0</v>
      </c>
      <c r="T365" s="565">
        <f t="shared" si="588"/>
        <v>0</v>
      </c>
      <c r="U365" s="566">
        <f t="shared" si="588"/>
        <v>0</v>
      </c>
      <c r="V365" s="564">
        <f t="shared" si="588"/>
        <v>0</v>
      </c>
      <c r="W365" s="565">
        <f t="shared" si="588"/>
        <v>0</v>
      </c>
      <c r="X365" s="565">
        <f t="shared" si="588"/>
        <v>0</v>
      </c>
      <c r="Y365" s="565">
        <f t="shared" si="588"/>
        <v>0</v>
      </c>
      <c r="Z365" s="566">
        <f t="shared" si="588"/>
        <v>0</v>
      </c>
      <c r="AA365" s="564">
        <f t="shared" si="588"/>
        <v>0</v>
      </c>
      <c r="AB365" s="565">
        <f t="shared" si="588"/>
        <v>0</v>
      </c>
      <c r="AC365" s="565">
        <f t="shared" si="588"/>
        <v>0</v>
      </c>
      <c r="AD365" s="565">
        <f t="shared" si="588"/>
        <v>0</v>
      </c>
      <c r="AE365" s="566">
        <f t="shared" si="588"/>
        <v>0</v>
      </c>
      <c r="AF365" s="564">
        <f t="shared" si="588"/>
        <v>0</v>
      </c>
      <c r="AG365" s="565">
        <f t="shared" si="588"/>
        <v>0</v>
      </c>
      <c r="AH365" s="565">
        <f t="shared" si="588"/>
        <v>0</v>
      </c>
      <c r="AI365" s="565">
        <f t="shared" si="588"/>
        <v>0</v>
      </c>
      <c r="AJ365" s="566">
        <f t="shared" si="588"/>
        <v>0</v>
      </c>
      <c r="AK365" s="569"/>
      <c r="AL365" s="569"/>
      <c r="AN365" s="857"/>
      <c r="AO365" s="984" t="str">
        <f t="shared" si="506"/>
        <v>Rev</v>
      </c>
      <c r="AP365" s="985" t="str">
        <f t="shared" si="507"/>
        <v>[Service]</v>
      </c>
      <c r="AQ365" s="986" t="str">
        <f t="shared" si="508"/>
        <v>[Price]</v>
      </c>
      <c r="AR365" s="990" t="str">
        <f t="shared" si="509"/>
        <v>-</v>
      </c>
      <c r="AS365" s="987" t="str">
        <f t="shared" si="510"/>
        <v>-</v>
      </c>
      <c r="AT365" s="987" t="str">
        <f t="shared" si="511"/>
        <v>-</v>
      </c>
      <c r="AU365" s="987" t="str">
        <f t="shared" si="512"/>
        <v>-</v>
      </c>
      <c r="AV365" s="1353" t="str">
        <f t="shared" si="513"/>
        <v>-</v>
      </c>
      <c r="AW365" s="1346" t="str">
        <f t="shared" si="514"/>
        <v>-</v>
      </c>
      <c r="AX365" s="987" t="str">
        <f t="shared" si="515"/>
        <v>-</v>
      </c>
      <c r="AY365" s="987" t="str">
        <f t="shared" si="516"/>
        <v>-</v>
      </c>
      <c r="AZ365" s="987" t="str">
        <f t="shared" si="517"/>
        <v>-</v>
      </c>
      <c r="BA365" s="988" t="str">
        <f t="shared" si="518"/>
        <v>-</v>
      </c>
      <c r="BB365" s="1346" t="str">
        <f t="shared" si="519"/>
        <v>-</v>
      </c>
      <c r="BC365" s="987" t="str">
        <f t="shared" si="520"/>
        <v>-</v>
      </c>
      <c r="BD365" s="987" t="str">
        <f t="shared" si="521"/>
        <v>-</v>
      </c>
      <c r="BE365" s="987" t="str">
        <f t="shared" si="522"/>
        <v>-</v>
      </c>
      <c r="BF365" s="989" t="str">
        <f t="shared" si="523"/>
        <v>-</v>
      </c>
      <c r="BG365" s="951"/>
      <c r="BH365" s="1550" t="str">
        <f t="shared" si="524"/>
        <v>Rev</v>
      </c>
      <c r="BI365" s="1551" t="str">
        <f t="shared" si="525"/>
        <v>[Service]</v>
      </c>
      <c r="BJ365" s="1552" t="str">
        <f t="shared" si="526"/>
        <v>[Price]</v>
      </c>
      <c r="BK365" s="987" t="str">
        <f t="shared" ref="BK365:BU365" si="589">IF(V365="","-",IFERROR((V365/U365-1)*(U365/U$13),"-"))</f>
        <v>-</v>
      </c>
      <c r="BL365" s="987" t="str">
        <f t="shared" si="589"/>
        <v>-</v>
      </c>
      <c r="BM365" s="987" t="str">
        <f t="shared" si="589"/>
        <v>-</v>
      </c>
      <c r="BN365" s="987" t="str">
        <f t="shared" si="589"/>
        <v>-</v>
      </c>
      <c r="BO365" s="1353" t="str">
        <f t="shared" si="589"/>
        <v>-</v>
      </c>
      <c r="BP365" s="1346" t="str">
        <f t="shared" si="589"/>
        <v>-</v>
      </c>
      <c r="BQ365" s="987" t="str">
        <f t="shared" si="589"/>
        <v>-</v>
      </c>
      <c r="BR365" s="987" t="str">
        <f t="shared" si="589"/>
        <v>-</v>
      </c>
      <c r="BS365" s="987" t="str">
        <f t="shared" si="589"/>
        <v>-</v>
      </c>
      <c r="BT365" s="988" t="str">
        <f t="shared" si="589"/>
        <v>-</v>
      </c>
      <c r="BU365" s="987" t="str">
        <f t="shared" si="589"/>
        <v>-</v>
      </c>
      <c r="BV365" s="987" t="str">
        <f>IF(AG365="","-",IFERROR((AG365/AF365-1)*(AF365/AF$13),"-"))</f>
        <v>-</v>
      </c>
      <c r="BW365" s="987" t="str">
        <f>IF(AH365="","-",IFERROR((AH365/AG365-1)*(AG365/AG$13),"-"))</f>
        <v>-</v>
      </c>
      <c r="BX365" s="987" t="str">
        <f>IF(AI365="","-",IFERROR((AI365/AH365-1)*(AH365/AH$13),"-"))</f>
        <v>-</v>
      </c>
      <c r="BY365" s="989" t="str">
        <f>IF(AJ365="","-",IFERROR((AJ365/AI365-1)*(AI365/AI$13),"-"))</f>
        <v>-</v>
      </c>
      <c r="BZ365" s="951"/>
      <c r="CA365" s="984" t="str">
        <f t="shared" si="503"/>
        <v>Rev</v>
      </c>
      <c r="CB365" s="985" t="str">
        <f t="shared" si="504"/>
        <v>[Service]</v>
      </c>
      <c r="CC365" s="985" t="str">
        <f t="shared" si="505"/>
        <v>[Price]</v>
      </c>
      <c r="CD365" s="990" t="str">
        <f t="shared" si="536"/>
        <v>-</v>
      </c>
      <c r="CE365" s="987" t="str">
        <f t="shared" si="528"/>
        <v>-</v>
      </c>
      <c r="CF365" s="987" t="str">
        <f t="shared" si="529"/>
        <v>-</v>
      </c>
      <c r="CG365" s="988" t="str">
        <f t="shared" si="530"/>
        <v>-</v>
      </c>
      <c r="CH365" s="987" t="str">
        <f t="shared" si="537"/>
        <v>-</v>
      </c>
      <c r="CI365" s="987" t="str">
        <f t="shared" si="531"/>
        <v>-</v>
      </c>
      <c r="CJ365" s="987" t="str">
        <f t="shared" si="532"/>
        <v>-</v>
      </c>
      <c r="CK365" s="989" t="str">
        <f t="shared" si="533"/>
        <v>-</v>
      </c>
    </row>
    <row r="366" spans="4:89" outlineLevel="1">
      <c r="D366" s="63">
        <f>D363+1</f>
        <v>100</v>
      </c>
      <c r="E366" s="550" t="s">
        <v>857</v>
      </c>
      <c r="F366" s="595" t="s">
        <v>428</v>
      </c>
      <c r="G366" s="595"/>
      <c r="H366" s="595"/>
      <c r="I366" s="589" t="s">
        <v>920</v>
      </c>
      <c r="J366" s="589" t="s">
        <v>879</v>
      </c>
      <c r="K366" s="551"/>
      <c r="L366" s="552"/>
      <c r="M366" s="552"/>
      <c r="N366" s="551"/>
      <c r="O366" s="552"/>
      <c r="P366" s="552"/>
      <c r="Q366" s="552"/>
      <c r="R366" s="1035"/>
      <c r="S366" s="1138"/>
      <c r="T366" s="591"/>
      <c r="U366" s="1035"/>
      <c r="V366" s="1138"/>
      <c r="W366" s="591"/>
      <c r="X366" s="591"/>
      <c r="Y366" s="591"/>
      <c r="Z366" s="1035"/>
      <c r="AA366" s="1138"/>
      <c r="AB366" s="591"/>
      <c r="AC366" s="591"/>
      <c r="AD366" s="591"/>
      <c r="AE366" s="1035"/>
      <c r="AF366" s="1138"/>
      <c r="AG366" s="591"/>
      <c r="AH366" s="591"/>
      <c r="AI366" s="591"/>
      <c r="AJ366" s="1035"/>
      <c r="AK366" s="569"/>
      <c r="AL366" s="569"/>
      <c r="AM366" s="974"/>
      <c r="AN366" s="857"/>
      <c r="AO366" s="975" t="str">
        <f t="shared" si="506"/>
        <v>Price</v>
      </c>
      <c r="AP366" s="976" t="str">
        <f t="shared" si="507"/>
        <v>[Service]</v>
      </c>
      <c r="AQ366" s="977" t="str">
        <f t="shared" si="508"/>
        <v>[Price]</v>
      </c>
      <c r="AR366" s="1341" t="str">
        <f t="shared" si="509"/>
        <v>-</v>
      </c>
      <c r="AS366" s="978" t="str">
        <f t="shared" si="510"/>
        <v>-</v>
      </c>
      <c r="AT366" s="979" t="str">
        <f t="shared" si="511"/>
        <v>-</v>
      </c>
      <c r="AU366" s="979" t="str">
        <f t="shared" si="512"/>
        <v>-</v>
      </c>
      <c r="AV366" s="1352" t="str">
        <f t="shared" si="513"/>
        <v>-</v>
      </c>
      <c r="AW366" s="1345" t="str">
        <f t="shared" si="514"/>
        <v>-</v>
      </c>
      <c r="AX366" s="979" t="str">
        <f t="shared" si="515"/>
        <v>-</v>
      </c>
      <c r="AY366" s="979" t="str">
        <f t="shared" si="516"/>
        <v>-</v>
      </c>
      <c r="AZ366" s="979" t="str">
        <f t="shared" si="517"/>
        <v>-</v>
      </c>
      <c r="BA366" s="980" t="str">
        <f t="shared" si="518"/>
        <v>-</v>
      </c>
      <c r="BB366" s="1345" t="str">
        <f t="shared" si="519"/>
        <v>-</v>
      </c>
      <c r="BC366" s="979" t="str">
        <f t="shared" si="520"/>
        <v>-</v>
      </c>
      <c r="BD366" s="979" t="str">
        <f t="shared" si="521"/>
        <v>-</v>
      </c>
      <c r="BE366" s="979" t="str">
        <f t="shared" si="522"/>
        <v>-</v>
      </c>
      <c r="BF366" s="981" t="str">
        <f t="shared" si="523"/>
        <v>-</v>
      </c>
      <c r="BG366" s="951"/>
      <c r="BH366" s="1547" t="str">
        <f t="shared" si="524"/>
        <v>Price</v>
      </c>
      <c r="BI366" s="1548" t="str">
        <f t="shared" si="525"/>
        <v>[Service]</v>
      </c>
      <c r="BJ366" s="1549" t="str">
        <f t="shared" si="526"/>
        <v>[Price]</v>
      </c>
      <c r="BK366" s="978" t="str">
        <f t="shared" ref="BK366:BU366" si="590">IF(V366="","-",IFERROR((V366/U366-1)*(U368/U$13),"-"))</f>
        <v>-</v>
      </c>
      <c r="BL366" s="978" t="str">
        <f t="shared" si="590"/>
        <v>-</v>
      </c>
      <c r="BM366" s="979" t="str">
        <f t="shared" si="590"/>
        <v>-</v>
      </c>
      <c r="BN366" s="979" t="str">
        <f t="shared" si="590"/>
        <v>-</v>
      </c>
      <c r="BO366" s="1352" t="str">
        <f t="shared" si="590"/>
        <v>-</v>
      </c>
      <c r="BP366" s="1345" t="str">
        <f t="shared" si="590"/>
        <v>-</v>
      </c>
      <c r="BQ366" s="979" t="str">
        <f t="shared" si="590"/>
        <v>-</v>
      </c>
      <c r="BR366" s="979" t="str">
        <f t="shared" si="590"/>
        <v>-</v>
      </c>
      <c r="BS366" s="979" t="str">
        <f t="shared" si="590"/>
        <v>-</v>
      </c>
      <c r="BT366" s="980" t="str">
        <f t="shared" si="590"/>
        <v>-</v>
      </c>
      <c r="BU366" s="979" t="str">
        <f t="shared" si="590"/>
        <v>-</v>
      </c>
      <c r="BV366" s="979" t="str">
        <f>IF(AG366="","-",IFERROR((AG366/AF366-1)*(AF368/AF$13),"-"))</f>
        <v>-</v>
      </c>
      <c r="BW366" s="979" t="str">
        <f>IF(AH366="","-",IFERROR((AH366/AG366-1)*(AG368/AG$13),"-"))</f>
        <v>-</v>
      </c>
      <c r="BX366" s="979" t="str">
        <f>IF(AI366="","-",IFERROR((AI366/AH366-1)*(AH368/AH$13),"-"))</f>
        <v>-</v>
      </c>
      <c r="BY366" s="981" t="str">
        <f>IF(AJ366="","-",IFERROR((AJ366/AI366-1)*(AI368/AI$13),"-"))</f>
        <v>-</v>
      </c>
      <c r="BZ366" s="951"/>
      <c r="CA366" s="975" t="str">
        <f t="shared" si="503"/>
        <v>Price</v>
      </c>
      <c r="CB366" s="976" t="str">
        <f t="shared" si="504"/>
        <v>[Service]</v>
      </c>
      <c r="CC366" s="982" t="str">
        <f t="shared" si="505"/>
        <v>[Price]</v>
      </c>
      <c r="CD366" s="983" t="str">
        <f t="shared" si="536"/>
        <v>-</v>
      </c>
      <c r="CE366" s="979" t="str">
        <f t="shared" si="528"/>
        <v>-</v>
      </c>
      <c r="CF366" s="979" t="str">
        <f t="shared" si="529"/>
        <v>-</v>
      </c>
      <c r="CG366" s="980" t="str">
        <f t="shared" si="530"/>
        <v>-</v>
      </c>
      <c r="CH366" s="979" t="str">
        <f t="shared" si="537"/>
        <v>-</v>
      </c>
      <c r="CI366" s="979" t="str">
        <f t="shared" si="531"/>
        <v>-</v>
      </c>
      <c r="CJ366" s="979" t="str">
        <f t="shared" si="532"/>
        <v>-</v>
      </c>
      <c r="CK366" s="981" t="str">
        <f t="shared" si="533"/>
        <v>-</v>
      </c>
    </row>
    <row r="367" spans="4:89" outlineLevel="1">
      <c r="E367" s="567" t="s">
        <v>880</v>
      </c>
      <c r="F367" s="554" t="str">
        <f>+F366</f>
        <v>[Service]</v>
      </c>
      <c r="G367" s="555">
        <f>+G366</f>
        <v>0</v>
      </c>
      <c r="H367" s="555">
        <f>+H366</f>
        <v>0</v>
      </c>
      <c r="I367" s="556" t="str">
        <f>+I366</f>
        <v>[Price]</v>
      </c>
      <c r="J367" s="590" t="s">
        <v>916</v>
      </c>
      <c r="K367" s="557"/>
      <c r="L367" s="558"/>
      <c r="M367" s="558"/>
      <c r="N367" s="557"/>
      <c r="O367" s="558"/>
      <c r="P367" s="558"/>
      <c r="Q367" s="558"/>
      <c r="R367" s="1036"/>
      <c r="S367" s="1139"/>
      <c r="T367" s="593"/>
      <c r="U367" s="1036"/>
      <c r="V367" s="1139"/>
      <c r="W367" s="593"/>
      <c r="X367" s="593"/>
      <c r="Y367" s="593"/>
      <c r="Z367" s="1036"/>
      <c r="AA367" s="1139"/>
      <c r="AB367" s="593"/>
      <c r="AC367" s="593"/>
      <c r="AD367" s="593"/>
      <c r="AE367" s="1036"/>
      <c r="AF367" s="1139"/>
      <c r="AG367" s="593"/>
      <c r="AH367" s="593"/>
      <c r="AI367" s="593"/>
      <c r="AJ367" s="1036"/>
      <c r="AK367" s="569"/>
      <c r="AL367" s="569"/>
      <c r="AN367" s="857"/>
      <c r="AO367" s="961" t="str">
        <f t="shared" si="506"/>
        <v>Qty</v>
      </c>
      <c r="AP367" s="962" t="str">
        <f t="shared" si="507"/>
        <v>[Service]</v>
      </c>
      <c r="AQ367" s="963" t="str">
        <f t="shared" si="508"/>
        <v>[Price]</v>
      </c>
      <c r="AR367" s="967" t="str">
        <f t="shared" si="509"/>
        <v>-</v>
      </c>
      <c r="AS367" s="964" t="str">
        <f t="shared" si="510"/>
        <v>-</v>
      </c>
      <c r="AT367" s="964" t="str">
        <f t="shared" si="511"/>
        <v>-</v>
      </c>
      <c r="AU367" s="964" t="str">
        <f t="shared" si="512"/>
        <v>-</v>
      </c>
      <c r="AV367" s="1350" t="str">
        <f t="shared" si="513"/>
        <v>-</v>
      </c>
      <c r="AW367" s="1343" t="str">
        <f t="shared" si="514"/>
        <v>-</v>
      </c>
      <c r="AX367" s="964" t="str">
        <f t="shared" si="515"/>
        <v>-</v>
      </c>
      <c r="AY367" s="964" t="str">
        <f t="shared" si="516"/>
        <v>-</v>
      </c>
      <c r="AZ367" s="964" t="str">
        <f t="shared" si="517"/>
        <v>-</v>
      </c>
      <c r="BA367" s="965" t="str">
        <f t="shared" si="518"/>
        <v>-</v>
      </c>
      <c r="BB367" s="1343" t="str">
        <f t="shared" si="519"/>
        <v>-</v>
      </c>
      <c r="BC367" s="964" t="str">
        <f t="shared" si="520"/>
        <v>-</v>
      </c>
      <c r="BD367" s="964" t="str">
        <f t="shared" si="521"/>
        <v>-</v>
      </c>
      <c r="BE367" s="964" t="str">
        <f t="shared" si="522"/>
        <v>-</v>
      </c>
      <c r="BF367" s="966" t="str">
        <f t="shared" si="523"/>
        <v>-</v>
      </c>
      <c r="BG367" s="951"/>
      <c r="BH367" s="1541" t="str">
        <f t="shared" si="524"/>
        <v>Qty</v>
      </c>
      <c r="BI367" s="1542" t="str">
        <f t="shared" si="525"/>
        <v>[Service]</v>
      </c>
      <c r="BJ367" s="1543" t="str">
        <f t="shared" si="526"/>
        <v>[Price]</v>
      </c>
      <c r="BK367" s="964" t="str">
        <f t="shared" ref="BK367:BU367" si="591">IF(V367="","-",IFERROR((V367/U367-1)*(U368/U$13),"-"))</f>
        <v>-</v>
      </c>
      <c r="BL367" s="964" t="str">
        <f t="shared" si="591"/>
        <v>-</v>
      </c>
      <c r="BM367" s="964" t="str">
        <f t="shared" si="591"/>
        <v>-</v>
      </c>
      <c r="BN367" s="964" t="str">
        <f t="shared" si="591"/>
        <v>-</v>
      </c>
      <c r="BO367" s="1350" t="str">
        <f t="shared" si="591"/>
        <v>-</v>
      </c>
      <c r="BP367" s="1343" t="str">
        <f t="shared" si="591"/>
        <v>-</v>
      </c>
      <c r="BQ367" s="964" t="str">
        <f t="shared" si="591"/>
        <v>-</v>
      </c>
      <c r="BR367" s="964" t="str">
        <f t="shared" si="591"/>
        <v>-</v>
      </c>
      <c r="BS367" s="964" t="str">
        <f t="shared" si="591"/>
        <v>-</v>
      </c>
      <c r="BT367" s="965" t="str">
        <f t="shared" si="591"/>
        <v>-</v>
      </c>
      <c r="BU367" s="964" t="str">
        <f t="shared" si="591"/>
        <v>-</v>
      </c>
      <c r="BV367" s="964" t="str">
        <f>IF(AG367="","-",IFERROR((AG367/AF367-1)*(AF368/AF$13),"-"))</f>
        <v>-</v>
      </c>
      <c r="BW367" s="964" t="str">
        <f>IF(AH367="","-",IFERROR((AH367/AG367-1)*(AG368/AG$13),"-"))</f>
        <v>-</v>
      </c>
      <c r="BX367" s="964" t="str">
        <f>IF(AI367="","-",IFERROR((AI367/AH367-1)*(AH368/AH$13),"-"))</f>
        <v>-</v>
      </c>
      <c r="BY367" s="966" t="str">
        <f>IF(AJ367="","-",IFERROR((AJ367/AI367-1)*(AI368/AI$13),"-"))</f>
        <v>-</v>
      </c>
      <c r="BZ367" s="951"/>
      <c r="CA367" s="961" t="str">
        <f t="shared" si="503"/>
        <v>Qty</v>
      </c>
      <c r="CB367" s="962" t="str">
        <f t="shared" si="504"/>
        <v>[Service]</v>
      </c>
      <c r="CC367" s="962" t="str">
        <f t="shared" si="505"/>
        <v>[Price]</v>
      </c>
      <c r="CD367" s="967" t="str">
        <f t="shared" si="536"/>
        <v>-</v>
      </c>
      <c r="CE367" s="964" t="str">
        <f t="shared" si="528"/>
        <v>-</v>
      </c>
      <c r="CF367" s="964" t="str">
        <f t="shared" si="529"/>
        <v>-</v>
      </c>
      <c r="CG367" s="965" t="str">
        <f t="shared" si="530"/>
        <v>-</v>
      </c>
      <c r="CH367" s="964" t="str">
        <f t="shared" si="537"/>
        <v>-</v>
      </c>
      <c r="CI367" s="964" t="str">
        <f t="shared" si="531"/>
        <v>-</v>
      </c>
      <c r="CJ367" s="964" t="str">
        <f t="shared" si="532"/>
        <v>-</v>
      </c>
      <c r="CK367" s="966" t="str">
        <f t="shared" si="533"/>
        <v>-</v>
      </c>
    </row>
    <row r="368" spans="4:89" ht="12.75" outlineLevel="1" thickBot="1">
      <c r="E368" s="568" t="s">
        <v>882</v>
      </c>
      <c r="F368" s="560" t="str">
        <f>+F366</f>
        <v>[Service]</v>
      </c>
      <c r="G368" s="561">
        <f>+G366</f>
        <v>0</v>
      </c>
      <c r="H368" s="561">
        <f>+H366</f>
        <v>0</v>
      </c>
      <c r="I368" s="562" t="str">
        <f>+I366</f>
        <v>[Price]</v>
      </c>
      <c r="J368" s="563" t="s">
        <v>883</v>
      </c>
      <c r="K368" s="564">
        <f t="shared" ref="K368:AJ368" si="592">K366*K367/10^6</f>
        <v>0</v>
      </c>
      <c r="L368" s="565">
        <f t="shared" si="592"/>
        <v>0</v>
      </c>
      <c r="M368" s="565">
        <f t="shared" si="592"/>
        <v>0</v>
      </c>
      <c r="N368" s="564">
        <f t="shared" si="592"/>
        <v>0</v>
      </c>
      <c r="O368" s="565">
        <f t="shared" si="592"/>
        <v>0</v>
      </c>
      <c r="P368" s="565">
        <f t="shared" si="592"/>
        <v>0</v>
      </c>
      <c r="Q368" s="565">
        <f t="shared" si="592"/>
        <v>0</v>
      </c>
      <c r="R368" s="566">
        <f t="shared" si="592"/>
        <v>0</v>
      </c>
      <c r="S368" s="564">
        <f t="shared" si="592"/>
        <v>0</v>
      </c>
      <c r="T368" s="565">
        <f t="shared" si="592"/>
        <v>0</v>
      </c>
      <c r="U368" s="566">
        <f t="shared" si="592"/>
        <v>0</v>
      </c>
      <c r="V368" s="564">
        <f t="shared" si="592"/>
        <v>0</v>
      </c>
      <c r="W368" s="565">
        <f t="shared" si="592"/>
        <v>0</v>
      </c>
      <c r="X368" s="565">
        <f t="shared" si="592"/>
        <v>0</v>
      </c>
      <c r="Y368" s="565">
        <f t="shared" si="592"/>
        <v>0</v>
      </c>
      <c r="Z368" s="566">
        <f t="shared" si="592"/>
        <v>0</v>
      </c>
      <c r="AA368" s="564">
        <f t="shared" si="592"/>
        <v>0</v>
      </c>
      <c r="AB368" s="565">
        <f t="shared" si="592"/>
        <v>0</v>
      </c>
      <c r="AC368" s="565">
        <f t="shared" si="592"/>
        <v>0</v>
      </c>
      <c r="AD368" s="565">
        <f t="shared" si="592"/>
        <v>0</v>
      </c>
      <c r="AE368" s="566">
        <f t="shared" si="592"/>
        <v>0</v>
      </c>
      <c r="AF368" s="564">
        <f t="shared" si="592"/>
        <v>0</v>
      </c>
      <c r="AG368" s="565">
        <f t="shared" si="592"/>
        <v>0</v>
      </c>
      <c r="AH368" s="565">
        <f t="shared" si="592"/>
        <v>0</v>
      </c>
      <c r="AI368" s="565">
        <f t="shared" si="592"/>
        <v>0</v>
      </c>
      <c r="AJ368" s="566">
        <f t="shared" si="592"/>
        <v>0</v>
      </c>
      <c r="AK368" s="569"/>
      <c r="AL368" s="569"/>
      <c r="AN368" s="857"/>
      <c r="AO368" s="984" t="str">
        <f t="shared" si="506"/>
        <v>Rev</v>
      </c>
      <c r="AP368" s="985" t="str">
        <f t="shared" si="507"/>
        <v>[Service]</v>
      </c>
      <c r="AQ368" s="986" t="str">
        <f t="shared" si="508"/>
        <v>[Price]</v>
      </c>
      <c r="AR368" s="990" t="str">
        <f t="shared" si="509"/>
        <v>-</v>
      </c>
      <c r="AS368" s="987" t="str">
        <f t="shared" si="510"/>
        <v>-</v>
      </c>
      <c r="AT368" s="987" t="str">
        <f t="shared" si="511"/>
        <v>-</v>
      </c>
      <c r="AU368" s="987" t="str">
        <f t="shared" si="512"/>
        <v>-</v>
      </c>
      <c r="AV368" s="1353" t="str">
        <f t="shared" si="513"/>
        <v>-</v>
      </c>
      <c r="AW368" s="1346" t="str">
        <f t="shared" si="514"/>
        <v>-</v>
      </c>
      <c r="AX368" s="987" t="str">
        <f t="shared" si="515"/>
        <v>-</v>
      </c>
      <c r="AY368" s="987" t="str">
        <f t="shared" si="516"/>
        <v>-</v>
      </c>
      <c r="AZ368" s="987" t="str">
        <f t="shared" si="517"/>
        <v>-</v>
      </c>
      <c r="BA368" s="988" t="str">
        <f t="shared" si="518"/>
        <v>-</v>
      </c>
      <c r="BB368" s="1346" t="str">
        <f t="shared" si="519"/>
        <v>-</v>
      </c>
      <c r="BC368" s="987" t="str">
        <f t="shared" si="520"/>
        <v>-</v>
      </c>
      <c r="BD368" s="987" t="str">
        <f t="shared" si="521"/>
        <v>-</v>
      </c>
      <c r="BE368" s="987" t="str">
        <f t="shared" si="522"/>
        <v>-</v>
      </c>
      <c r="BF368" s="989" t="str">
        <f t="shared" si="523"/>
        <v>-</v>
      </c>
      <c r="BG368" s="951"/>
      <c r="BH368" s="1550" t="str">
        <f t="shared" si="524"/>
        <v>Rev</v>
      </c>
      <c r="BI368" s="1551" t="str">
        <f t="shared" si="525"/>
        <v>[Service]</v>
      </c>
      <c r="BJ368" s="1552" t="str">
        <f t="shared" si="526"/>
        <v>[Price]</v>
      </c>
      <c r="BK368" s="987" t="str">
        <f t="shared" ref="BK368:BU368" si="593">IF(V368="","-",IFERROR((V368/U368-1)*(U368/U$13),"-"))</f>
        <v>-</v>
      </c>
      <c r="BL368" s="987" t="str">
        <f t="shared" si="593"/>
        <v>-</v>
      </c>
      <c r="BM368" s="987" t="str">
        <f t="shared" si="593"/>
        <v>-</v>
      </c>
      <c r="BN368" s="987" t="str">
        <f t="shared" si="593"/>
        <v>-</v>
      </c>
      <c r="BO368" s="1353" t="str">
        <f t="shared" si="593"/>
        <v>-</v>
      </c>
      <c r="BP368" s="1346" t="str">
        <f t="shared" si="593"/>
        <v>-</v>
      </c>
      <c r="BQ368" s="987" t="str">
        <f t="shared" si="593"/>
        <v>-</v>
      </c>
      <c r="BR368" s="987" t="str">
        <f t="shared" si="593"/>
        <v>-</v>
      </c>
      <c r="BS368" s="987" t="str">
        <f t="shared" si="593"/>
        <v>-</v>
      </c>
      <c r="BT368" s="988" t="str">
        <f t="shared" si="593"/>
        <v>-</v>
      </c>
      <c r="BU368" s="987" t="str">
        <f t="shared" si="593"/>
        <v>-</v>
      </c>
      <c r="BV368" s="987" t="str">
        <f>IF(AG368="","-",IFERROR((AG368/AF368-1)*(AF368/AF$13),"-"))</f>
        <v>-</v>
      </c>
      <c r="BW368" s="987" t="str">
        <f>IF(AH368="","-",IFERROR((AH368/AG368-1)*(AG368/AG$13),"-"))</f>
        <v>-</v>
      </c>
      <c r="BX368" s="987" t="str">
        <f>IF(AI368="","-",IFERROR((AI368/AH368-1)*(AH368/AH$13),"-"))</f>
        <v>-</v>
      </c>
      <c r="BY368" s="989" t="str">
        <f>IF(AJ368="","-",IFERROR((AJ368/AI368-1)*(AI368/AI$13),"-"))</f>
        <v>-</v>
      </c>
      <c r="BZ368" s="951"/>
      <c r="CA368" s="984" t="str">
        <f t="shared" si="503"/>
        <v>Rev</v>
      </c>
      <c r="CB368" s="985" t="str">
        <f t="shared" si="504"/>
        <v>[Service]</v>
      </c>
      <c r="CC368" s="985" t="str">
        <f t="shared" si="505"/>
        <v>[Price]</v>
      </c>
      <c r="CD368" s="990" t="str">
        <f t="shared" si="536"/>
        <v>-</v>
      </c>
      <c r="CE368" s="987" t="str">
        <f t="shared" si="528"/>
        <v>-</v>
      </c>
      <c r="CF368" s="987" t="str">
        <f t="shared" si="529"/>
        <v>-</v>
      </c>
      <c r="CG368" s="988" t="str">
        <f t="shared" si="530"/>
        <v>-</v>
      </c>
      <c r="CH368" s="987" t="str">
        <f t="shared" si="537"/>
        <v>-</v>
      </c>
      <c r="CI368" s="987" t="str">
        <f t="shared" si="531"/>
        <v>-</v>
      </c>
      <c r="CJ368" s="987" t="str">
        <f t="shared" si="532"/>
        <v>-</v>
      </c>
      <c r="CK368" s="989" t="str">
        <f t="shared" si="533"/>
        <v>-</v>
      </c>
    </row>
    <row r="369" spans="4:89" outlineLevel="1">
      <c r="D369" s="63">
        <f>D366+1</f>
        <v>101</v>
      </c>
      <c r="E369" s="550" t="s">
        <v>857</v>
      </c>
      <c r="F369" s="595" t="s">
        <v>428</v>
      </c>
      <c r="G369" s="595"/>
      <c r="H369" s="595"/>
      <c r="I369" s="589" t="s">
        <v>920</v>
      </c>
      <c r="J369" s="589" t="s">
        <v>879</v>
      </c>
      <c r="K369" s="551"/>
      <c r="L369" s="552"/>
      <c r="M369" s="552"/>
      <c r="N369" s="551"/>
      <c r="O369" s="552"/>
      <c r="P369" s="552"/>
      <c r="Q369" s="552"/>
      <c r="R369" s="1035"/>
      <c r="S369" s="1138"/>
      <c r="T369" s="591"/>
      <c r="U369" s="1035"/>
      <c r="V369" s="1138"/>
      <c r="W369" s="591"/>
      <c r="X369" s="591"/>
      <c r="Y369" s="591"/>
      <c r="Z369" s="1035"/>
      <c r="AA369" s="1138"/>
      <c r="AB369" s="591"/>
      <c r="AC369" s="591"/>
      <c r="AD369" s="591"/>
      <c r="AE369" s="1035"/>
      <c r="AF369" s="1138"/>
      <c r="AG369" s="591"/>
      <c r="AH369" s="591"/>
      <c r="AI369" s="591"/>
      <c r="AJ369" s="1035"/>
      <c r="AK369" s="569"/>
      <c r="AL369" s="569"/>
      <c r="AM369" s="974"/>
      <c r="AN369" s="857"/>
      <c r="AO369" s="975" t="str">
        <f t="shared" si="506"/>
        <v>Price</v>
      </c>
      <c r="AP369" s="976" t="str">
        <f t="shared" si="507"/>
        <v>[Service]</v>
      </c>
      <c r="AQ369" s="977" t="str">
        <f t="shared" si="508"/>
        <v>[Price]</v>
      </c>
      <c r="AR369" s="1341" t="str">
        <f t="shared" si="509"/>
        <v>-</v>
      </c>
      <c r="AS369" s="978" t="str">
        <f t="shared" si="510"/>
        <v>-</v>
      </c>
      <c r="AT369" s="979" t="str">
        <f t="shared" si="511"/>
        <v>-</v>
      </c>
      <c r="AU369" s="979" t="str">
        <f t="shared" si="512"/>
        <v>-</v>
      </c>
      <c r="AV369" s="1352" t="str">
        <f t="shared" si="513"/>
        <v>-</v>
      </c>
      <c r="AW369" s="1345" t="str">
        <f t="shared" si="514"/>
        <v>-</v>
      </c>
      <c r="AX369" s="979" t="str">
        <f t="shared" si="515"/>
        <v>-</v>
      </c>
      <c r="AY369" s="979" t="str">
        <f t="shared" si="516"/>
        <v>-</v>
      </c>
      <c r="AZ369" s="979" t="str">
        <f t="shared" si="517"/>
        <v>-</v>
      </c>
      <c r="BA369" s="980" t="str">
        <f t="shared" si="518"/>
        <v>-</v>
      </c>
      <c r="BB369" s="1345" t="str">
        <f t="shared" si="519"/>
        <v>-</v>
      </c>
      <c r="BC369" s="979" t="str">
        <f t="shared" si="520"/>
        <v>-</v>
      </c>
      <c r="BD369" s="979" t="str">
        <f t="shared" si="521"/>
        <v>-</v>
      </c>
      <c r="BE369" s="979" t="str">
        <f t="shared" si="522"/>
        <v>-</v>
      </c>
      <c r="BF369" s="981" t="str">
        <f t="shared" si="523"/>
        <v>-</v>
      </c>
      <c r="BG369" s="951"/>
      <c r="BH369" s="1547" t="str">
        <f t="shared" si="524"/>
        <v>Price</v>
      </c>
      <c r="BI369" s="1548" t="str">
        <f t="shared" si="525"/>
        <v>[Service]</v>
      </c>
      <c r="BJ369" s="1549" t="str">
        <f t="shared" si="526"/>
        <v>[Price]</v>
      </c>
      <c r="BK369" s="978" t="str">
        <f t="shared" ref="BK369:BU369" si="594">IF(V369="","-",IFERROR((V369/U369-1)*(U371/U$13),"-"))</f>
        <v>-</v>
      </c>
      <c r="BL369" s="978" t="str">
        <f t="shared" si="594"/>
        <v>-</v>
      </c>
      <c r="BM369" s="979" t="str">
        <f t="shared" si="594"/>
        <v>-</v>
      </c>
      <c r="BN369" s="979" t="str">
        <f t="shared" si="594"/>
        <v>-</v>
      </c>
      <c r="BO369" s="1352" t="str">
        <f t="shared" si="594"/>
        <v>-</v>
      </c>
      <c r="BP369" s="1345" t="str">
        <f t="shared" si="594"/>
        <v>-</v>
      </c>
      <c r="BQ369" s="979" t="str">
        <f t="shared" si="594"/>
        <v>-</v>
      </c>
      <c r="BR369" s="979" t="str">
        <f t="shared" si="594"/>
        <v>-</v>
      </c>
      <c r="BS369" s="979" t="str">
        <f t="shared" si="594"/>
        <v>-</v>
      </c>
      <c r="BT369" s="980" t="str">
        <f t="shared" si="594"/>
        <v>-</v>
      </c>
      <c r="BU369" s="979" t="str">
        <f t="shared" si="594"/>
        <v>-</v>
      </c>
      <c r="BV369" s="979" t="str">
        <f>IF(AG369="","-",IFERROR((AG369/AF369-1)*(AF371/AF$13),"-"))</f>
        <v>-</v>
      </c>
      <c r="BW369" s="979" t="str">
        <f>IF(AH369="","-",IFERROR((AH369/AG369-1)*(AG371/AG$13),"-"))</f>
        <v>-</v>
      </c>
      <c r="BX369" s="979" t="str">
        <f>IF(AI369="","-",IFERROR((AI369/AH369-1)*(AH371/AH$13),"-"))</f>
        <v>-</v>
      </c>
      <c r="BY369" s="981" t="str">
        <f>IF(AJ369="","-",IFERROR((AJ369/AI369-1)*(AI371/AI$13),"-"))</f>
        <v>-</v>
      </c>
      <c r="BZ369" s="951"/>
      <c r="CA369" s="975" t="str">
        <f t="shared" si="503"/>
        <v>Price</v>
      </c>
      <c r="CB369" s="976" t="str">
        <f t="shared" si="504"/>
        <v>[Service]</v>
      </c>
      <c r="CC369" s="982" t="str">
        <f t="shared" si="505"/>
        <v>[Price]</v>
      </c>
      <c r="CD369" s="983" t="str">
        <f t="shared" si="536"/>
        <v>-</v>
      </c>
      <c r="CE369" s="979" t="str">
        <f t="shared" si="528"/>
        <v>-</v>
      </c>
      <c r="CF369" s="979" t="str">
        <f t="shared" si="529"/>
        <v>-</v>
      </c>
      <c r="CG369" s="980" t="str">
        <f t="shared" si="530"/>
        <v>-</v>
      </c>
      <c r="CH369" s="979" t="str">
        <f t="shared" si="537"/>
        <v>-</v>
      </c>
      <c r="CI369" s="979" t="str">
        <f t="shared" si="531"/>
        <v>-</v>
      </c>
      <c r="CJ369" s="979" t="str">
        <f t="shared" si="532"/>
        <v>-</v>
      </c>
      <c r="CK369" s="981" t="str">
        <f t="shared" si="533"/>
        <v>-</v>
      </c>
    </row>
    <row r="370" spans="4:89" outlineLevel="1">
      <c r="E370" s="567" t="s">
        <v>880</v>
      </c>
      <c r="F370" s="554" t="str">
        <f>+F369</f>
        <v>[Service]</v>
      </c>
      <c r="G370" s="555">
        <f>+G369</f>
        <v>0</v>
      </c>
      <c r="H370" s="555">
        <f>+H369</f>
        <v>0</v>
      </c>
      <c r="I370" s="556" t="str">
        <f>+I369</f>
        <v>[Price]</v>
      </c>
      <c r="J370" s="590" t="s">
        <v>916</v>
      </c>
      <c r="K370" s="557"/>
      <c r="L370" s="558"/>
      <c r="M370" s="558"/>
      <c r="N370" s="557"/>
      <c r="O370" s="558"/>
      <c r="P370" s="558"/>
      <c r="Q370" s="558"/>
      <c r="R370" s="1036"/>
      <c r="S370" s="1139"/>
      <c r="T370" s="593"/>
      <c r="U370" s="1036"/>
      <c r="V370" s="1139"/>
      <c r="W370" s="593"/>
      <c r="X370" s="593"/>
      <c r="Y370" s="593"/>
      <c r="Z370" s="1036"/>
      <c r="AA370" s="1139"/>
      <c r="AB370" s="593"/>
      <c r="AC370" s="593"/>
      <c r="AD370" s="593"/>
      <c r="AE370" s="1036"/>
      <c r="AF370" s="1139"/>
      <c r="AG370" s="593"/>
      <c r="AH370" s="593"/>
      <c r="AI370" s="593"/>
      <c r="AJ370" s="1036"/>
      <c r="AK370" s="569"/>
      <c r="AL370" s="569"/>
      <c r="AN370" s="857"/>
      <c r="AO370" s="961" t="str">
        <f t="shared" si="506"/>
        <v>Qty</v>
      </c>
      <c r="AP370" s="962" t="str">
        <f t="shared" si="507"/>
        <v>[Service]</v>
      </c>
      <c r="AQ370" s="963" t="str">
        <f t="shared" si="508"/>
        <v>[Price]</v>
      </c>
      <c r="AR370" s="967" t="str">
        <f t="shared" si="509"/>
        <v>-</v>
      </c>
      <c r="AS370" s="964" t="str">
        <f t="shared" si="510"/>
        <v>-</v>
      </c>
      <c r="AT370" s="964" t="str">
        <f t="shared" si="511"/>
        <v>-</v>
      </c>
      <c r="AU370" s="964" t="str">
        <f t="shared" si="512"/>
        <v>-</v>
      </c>
      <c r="AV370" s="1350" t="str">
        <f t="shared" si="513"/>
        <v>-</v>
      </c>
      <c r="AW370" s="1343" t="str">
        <f t="shared" si="514"/>
        <v>-</v>
      </c>
      <c r="AX370" s="964" t="str">
        <f t="shared" si="515"/>
        <v>-</v>
      </c>
      <c r="AY370" s="964" t="str">
        <f t="shared" si="516"/>
        <v>-</v>
      </c>
      <c r="AZ370" s="964" t="str">
        <f t="shared" si="517"/>
        <v>-</v>
      </c>
      <c r="BA370" s="965" t="str">
        <f t="shared" si="518"/>
        <v>-</v>
      </c>
      <c r="BB370" s="1343" t="str">
        <f t="shared" si="519"/>
        <v>-</v>
      </c>
      <c r="BC370" s="964" t="str">
        <f t="shared" si="520"/>
        <v>-</v>
      </c>
      <c r="BD370" s="964" t="str">
        <f t="shared" si="521"/>
        <v>-</v>
      </c>
      <c r="BE370" s="964" t="str">
        <f t="shared" si="522"/>
        <v>-</v>
      </c>
      <c r="BF370" s="966" t="str">
        <f t="shared" si="523"/>
        <v>-</v>
      </c>
      <c r="BG370" s="951"/>
      <c r="BH370" s="1541" t="str">
        <f t="shared" si="524"/>
        <v>Qty</v>
      </c>
      <c r="BI370" s="1542" t="str">
        <f t="shared" si="525"/>
        <v>[Service]</v>
      </c>
      <c r="BJ370" s="1543" t="str">
        <f t="shared" si="526"/>
        <v>[Price]</v>
      </c>
      <c r="BK370" s="964" t="str">
        <f t="shared" ref="BK370:BU370" si="595">IF(V370="","-",IFERROR((V370/U370-1)*(U371/U$13),"-"))</f>
        <v>-</v>
      </c>
      <c r="BL370" s="964" t="str">
        <f t="shared" si="595"/>
        <v>-</v>
      </c>
      <c r="BM370" s="964" t="str">
        <f t="shared" si="595"/>
        <v>-</v>
      </c>
      <c r="BN370" s="964" t="str">
        <f t="shared" si="595"/>
        <v>-</v>
      </c>
      <c r="BO370" s="1350" t="str">
        <f t="shared" si="595"/>
        <v>-</v>
      </c>
      <c r="BP370" s="1343" t="str">
        <f t="shared" si="595"/>
        <v>-</v>
      </c>
      <c r="BQ370" s="964" t="str">
        <f t="shared" si="595"/>
        <v>-</v>
      </c>
      <c r="BR370" s="964" t="str">
        <f t="shared" si="595"/>
        <v>-</v>
      </c>
      <c r="BS370" s="964" t="str">
        <f t="shared" si="595"/>
        <v>-</v>
      </c>
      <c r="BT370" s="965" t="str">
        <f t="shared" si="595"/>
        <v>-</v>
      </c>
      <c r="BU370" s="964" t="str">
        <f t="shared" si="595"/>
        <v>-</v>
      </c>
      <c r="BV370" s="964" t="str">
        <f>IF(AG370="","-",IFERROR((AG370/AF370-1)*(AF371/AF$13),"-"))</f>
        <v>-</v>
      </c>
      <c r="BW370" s="964" t="str">
        <f>IF(AH370="","-",IFERROR((AH370/AG370-1)*(AG371/AG$13),"-"))</f>
        <v>-</v>
      </c>
      <c r="BX370" s="964" t="str">
        <f>IF(AI370="","-",IFERROR((AI370/AH370-1)*(AH371/AH$13),"-"))</f>
        <v>-</v>
      </c>
      <c r="BY370" s="966" t="str">
        <f>IF(AJ370="","-",IFERROR((AJ370/AI370-1)*(AI371/AI$13),"-"))</f>
        <v>-</v>
      </c>
      <c r="BZ370" s="951"/>
      <c r="CA370" s="961" t="str">
        <f t="shared" si="503"/>
        <v>Qty</v>
      </c>
      <c r="CB370" s="962" t="str">
        <f t="shared" si="504"/>
        <v>[Service]</v>
      </c>
      <c r="CC370" s="962" t="str">
        <f t="shared" si="505"/>
        <v>[Price]</v>
      </c>
      <c r="CD370" s="967" t="str">
        <f t="shared" si="536"/>
        <v>-</v>
      </c>
      <c r="CE370" s="964" t="str">
        <f t="shared" si="528"/>
        <v>-</v>
      </c>
      <c r="CF370" s="964" t="str">
        <f t="shared" si="529"/>
        <v>-</v>
      </c>
      <c r="CG370" s="965" t="str">
        <f t="shared" si="530"/>
        <v>-</v>
      </c>
      <c r="CH370" s="964" t="str">
        <f t="shared" si="537"/>
        <v>-</v>
      </c>
      <c r="CI370" s="964" t="str">
        <f t="shared" si="531"/>
        <v>-</v>
      </c>
      <c r="CJ370" s="964" t="str">
        <f t="shared" si="532"/>
        <v>-</v>
      </c>
      <c r="CK370" s="966" t="str">
        <f t="shared" si="533"/>
        <v>-</v>
      </c>
    </row>
    <row r="371" spans="4:89" ht="12.75" outlineLevel="1" thickBot="1">
      <c r="E371" s="568" t="s">
        <v>882</v>
      </c>
      <c r="F371" s="560" t="str">
        <f>+F369</f>
        <v>[Service]</v>
      </c>
      <c r="G371" s="561">
        <f>+G369</f>
        <v>0</v>
      </c>
      <c r="H371" s="561">
        <f>+H369</f>
        <v>0</v>
      </c>
      <c r="I371" s="562" t="str">
        <f>+I369</f>
        <v>[Price]</v>
      </c>
      <c r="J371" s="563" t="s">
        <v>883</v>
      </c>
      <c r="K371" s="564">
        <f t="shared" ref="K371:AJ371" si="596">K369*K370/10^6</f>
        <v>0</v>
      </c>
      <c r="L371" s="565">
        <f t="shared" si="596"/>
        <v>0</v>
      </c>
      <c r="M371" s="565">
        <f t="shared" si="596"/>
        <v>0</v>
      </c>
      <c r="N371" s="564">
        <f t="shared" si="596"/>
        <v>0</v>
      </c>
      <c r="O371" s="565">
        <f t="shared" si="596"/>
        <v>0</v>
      </c>
      <c r="P371" s="565">
        <f t="shared" si="596"/>
        <v>0</v>
      </c>
      <c r="Q371" s="565">
        <f t="shared" si="596"/>
        <v>0</v>
      </c>
      <c r="R371" s="566">
        <f t="shared" si="596"/>
        <v>0</v>
      </c>
      <c r="S371" s="564">
        <f t="shared" si="596"/>
        <v>0</v>
      </c>
      <c r="T371" s="565">
        <f t="shared" si="596"/>
        <v>0</v>
      </c>
      <c r="U371" s="566">
        <f t="shared" si="596"/>
        <v>0</v>
      </c>
      <c r="V371" s="564">
        <f t="shared" si="596"/>
        <v>0</v>
      </c>
      <c r="W371" s="565">
        <f t="shared" si="596"/>
        <v>0</v>
      </c>
      <c r="X371" s="565">
        <f t="shared" si="596"/>
        <v>0</v>
      </c>
      <c r="Y371" s="565">
        <f t="shared" si="596"/>
        <v>0</v>
      </c>
      <c r="Z371" s="566">
        <f t="shared" si="596"/>
        <v>0</v>
      </c>
      <c r="AA371" s="564">
        <f t="shared" si="596"/>
        <v>0</v>
      </c>
      <c r="AB371" s="565">
        <f t="shared" si="596"/>
        <v>0</v>
      </c>
      <c r="AC371" s="565">
        <f t="shared" si="596"/>
        <v>0</v>
      </c>
      <c r="AD371" s="565">
        <f t="shared" si="596"/>
        <v>0</v>
      </c>
      <c r="AE371" s="566">
        <f t="shared" si="596"/>
        <v>0</v>
      </c>
      <c r="AF371" s="564">
        <f t="shared" si="596"/>
        <v>0</v>
      </c>
      <c r="AG371" s="565">
        <f t="shared" si="596"/>
        <v>0</v>
      </c>
      <c r="AH371" s="565">
        <f t="shared" si="596"/>
        <v>0</v>
      </c>
      <c r="AI371" s="565">
        <f t="shared" si="596"/>
        <v>0</v>
      </c>
      <c r="AJ371" s="566">
        <f t="shared" si="596"/>
        <v>0</v>
      </c>
      <c r="AK371" s="569"/>
      <c r="AL371" s="569"/>
      <c r="AN371" s="857"/>
      <c r="AO371" s="984" t="str">
        <f t="shared" si="506"/>
        <v>Rev</v>
      </c>
      <c r="AP371" s="985" t="str">
        <f t="shared" si="507"/>
        <v>[Service]</v>
      </c>
      <c r="AQ371" s="986" t="str">
        <f t="shared" si="508"/>
        <v>[Price]</v>
      </c>
      <c r="AR371" s="990" t="str">
        <f t="shared" si="509"/>
        <v>-</v>
      </c>
      <c r="AS371" s="987" t="str">
        <f t="shared" si="510"/>
        <v>-</v>
      </c>
      <c r="AT371" s="987" t="str">
        <f t="shared" si="511"/>
        <v>-</v>
      </c>
      <c r="AU371" s="987" t="str">
        <f t="shared" si="512"/>
        <v>-</v>
      </c>
      <c r="AV371" s="1353" t="str">
        <f t="shared" si="513"/>
        <v>-</v>
      </c>
      <c r="AW371" s="1346" t="str">
        <f t="shared" si="514"/>
        <v>-</v>
      </c>
      <c r="AX371" s="987" t="str">
        <f t="shared" si="515"/>
        <v>-</v>
      </c>
      <c r="AY371" s="987" t="str">
        <f t="shared" si="516"/>
        <v>-</v>
      </c>
      <c r="AZ371" s="987" t="str">
        <f t="shared" si="517"/>
        <v>-</v>
      </c>
      <c r="BA371" s="988" t="str">
        <f t="shared" si="518"/>
        <v>-</v>
      </c>
      <c r="BB371" s="1346" t="str">
        <f t="shared" si="519"/>
        <v>-</v>
      </c>
      <c r="BC371" s="987" t="str">
        <f t="shared" si="520"/>
        <v>-</v>
      </c>
      <c r="BD371" s="987" t="str">
        <f t="shared" si="521"/>
        <v>-</v>
      </c>
      <c r="BE371" s="987" t="str">
        <f t="shared" si="522"/>
        <v>-</v>
      </c>
      <c r="BF371" s="989" t="str">
        <f t="shared" si="523"/>
        <v>-</v>
      </c>
      <c r="BG371" s="951"/>
      <c r="BH371" s="1550" t="str">
        <f t="shared" si="524"/>
        <v>Rev</v>
      </c>
      <c r="BI371" s="1551" t="str">
        <f t="shared" si="525"/>
        <v>[Service]</v>
      </c>
      <c r="BJ371" s="1552" t="str">
        <f t="shared" si="526"/>
        <v>[Price]</v>
      </c>
      <c r="BK371" s="987" t="str">
        <f t="shared" ref="BK371:BU371" si="597">IF(V371="","-",IFERROR((V371/U371-1)*(U371/U$13),"-"))</f>
        <v>-</v>
      </c>
      <c r="BL371" s="987" t="str">
        <f t="shared" si="597"/>
        <v>-</v>
      </c>
      <c r="BM371" s="987" t="str">
        <f t="shared" si="597"/>
        <v>-</v>
      </c>
      <c r="BN371" s="987" t="str">
        <f t="shared" si="597"/>
        <v>-</v>
      </c>
      <c r="BO371" s="1353" t="str">
        <f t="shared" si="597"/>
        <v>-</v>
      </c>
      <c r="BP371" s="1346" t="str">
        <f t="shared" si="597"/>
        <v>-</v>
      </c>
      <c r="BQ371" s="987" t="str">
        <f t="shared" si="597"/>
        <v>-</v>
      </c>
      <c r="BR371" s="987" t="str">
        <f t="shared" si="597"/>
        <v>-</v>
      </c>
      <c r="BS371" s="987" t="str">
        <f t="shared" si="597"/>
        <v>-</v>
      </c>
      <c r="BT371" s="988" t="str">
        <f t="shared" si="597"/>
        <v>-</v>
      </c>
      <c r="BU371" s="987" t="str">
        <f t="shared" si="597"/>
        <v>-</v>
      </c>
      <c r="BV371" s="987" t="str">
        <f>IF(AG371="","-",IFERROR((AG371/AF371-1)*(AF371/AF$13),"-"))</f>
        <v>-</v>
      </c>
      <c r="BW371" s="987" t="str">
        <f>IF(AH371="","-",IFERROR((AH371/AG371-1)*(AG371/AG$13),"-"))</f>
        <v>-</v>
      </c>
      <c r="BX371" s="987" t="str">
        <f>IF(AI371="","-",IFERROR((AI371/AH371-1)*(AH371/AH$13),"-"))</f>
        <v>-</v>
      </c>
      <c r="BY371" s="989" t="str">
        <f>IF(AJ371="","-",IFERROR((AJ371/AI371-1)*(AI371/AI$13),"-"))</f>
        <v>-</v>
      </c>
      <c r="BZ371" s="951"/>
      <c r="CA371" s="984" t="str">
        <f t="shared" si="503"/>
        <v>Rev</v>
      </c>
      <c r="CB371" s="985" t="str">
        <f t="shared" si="504"/>
        <v>[Service]</v>
      </c>
      <c r="CC371" s="985" t="str">
        <f t="shared" si="505"/>
        <v>[Price]</v>
      </c>
      <c r="CD371" s="990" t="str">
        <f t="shared" si="536"/>
        <v>-</v>
      </c>
      <c r="CE371" s="987" t="str">
        <f t="shared" si="528"/>
        <v>-</v>
      </c>
      <c r="CF371" s="987" t="str">
        <f t="shared" si="529"/>
        <v>-</v>
      </c>
      <c r="CG371" s="988" t="str">
        <f t="shared" si="530"/>
        <v>-</v>
      </c>
      <c r="CH371" s="987" t="str">
        <f t="shared" si="537"/>
        <v>-</v>
      </c>
      <c r="CI371" s="987" t="str">
        <f t="shared" si="531"/>
        <v>-</v>
      </c>
      <c r="CJ371" s="987" t="str">
        <f t="shared" si="532"/>
        <v>-</v>
      </c>
      <c r="CK371" s="989" t="str">
        <f t="shared" si="533"/>
        <v>-</v>
      </c>
    </row>
    <row r="372" spans="4:89" outlineLevel="1">
      <c r="D372" s="63">
        <f>D369+1</f>
        <v>102</v>
      </c>
      <c r="E372" s="550" t="s">
        <v>857</v>
      </c>
      <c r="F372" s="595" t="s">
        <v>428</v>
      </c>
      <c r="G372" s="595"/>
      <c r="H372" s="595"/>
      <c r="I372" s="589" t="s">
        <v>920</v>
      </c>
      <c r="J372" s="589" t="s">
        <v>879</v>
      </c>
      <c r="K372" s="551"/>
      <c r="L372" s="552"/>
      <c r="M372" s="552"/>
      <c r="N372" s="551"/>
      <c r="O372" s="552"/>
      <c r="P372" s="552"/>
      <c r="Q372" s="552"/>
      <c r="R372" s="1035"/>
      <c r="S372" s="1138"/>
      <c r="T372" s="591"/>
      <c r="U372" s="1035"/>
      <c r="V372" s="1138"/>
      <c r="W372" s="591"/>
      <c r="X372" s="591"/>
      <c r="Y372" s="591"/>
      <c r="Z372" s="1035"/>
      <c r="AA372" s="1138"/>
      <c r="AB372" s="591"/>
      <c r="AC372" s="591"/>
      <c r="AD372" s="591"/>
      <c r="AE372" s="1035"/>
      <c r="AF372" s="1138"/>
      <c r="AG372" s="591"/>
      <c r="AH372" s="591"/>
      <c r="AI372" s="591"/>
      <c r="AJ372" s="1035"/>
      <c r="AK372" s="569"/>
      <c r="AL372" s="569"/>
      <c r="AM372" s="974"/>
      <c r="AN372" s="857"/>
      <c r="AO372" s="975" t="str">
        <f t="shared" si="506"/>
        <v>Price</v>
      </c>
      <c r="AP372" s="976" t="str">
        <f t="shared" si="507"/>
        <v>[Service]</v>
      </c>
      <c r="AQ372" s="977" t="str">
        <f t="shared" si="508"/>
        <v>[Price]</v>
      </c>
      <c r="AR372" s="1341" t="str">
        <f t="shared" si="509"/>
        <v>-</v>
      </c>
      <c r="AS372" s="978" t="str">
        <f t="shared" si="510"/>
        <v>-</v>
      </c>
      <c r="AT372" s="979" t="str">
        <f t="shared" si="511"/>
        <v>-</v>
      </c>
      <c r="AU372" s="979" t="str">
        <f t="shared" si="512"/>
        <v>-</v>
      </c>
      <c r="AV372" s="1352" t="str">
        <f t="shared" si="513"/>
        <v>-</v>
      </c>
      <c r="AW372" s="1345" t="str">
        <f t="shared" si="514"/>
        <v>-</v>
      </c>
      <c r="AX372" s="979" t="str">
        <f t="shared" si="515"/>
        <v>-</v>
      </c>
      <c r="AY372" s="979" t="str">
        <f t="shared" si="516"/>
        <v>-</v>
      </c>
      <c r="AZ372" s="979" t="str">
        <f t="shared" si="517"/>
        <v>-</v>
      </c>
      <c r="BA372" s="980" t="str">
        <f t="shared" si="518"/>
        <v>-</v>
      </c>
      <c r="BB372" s="1345" t="str">
        <f t="shared" si="519"/>
        <v>-</v>
      </c>
      <c r="BC372" s="979" t="str">
        <f t="shared" si="520"/>
        <v>-</v>
      </c>
      <c r="BD372" s="979" t="str">
        <f t="shared" si="521"/>
        <v>-</v>
      </c>
      <c r="BE372" s="979" t="str">
        <f t="shared" si="522"/>
        <v>-</v>
      </c>
      <c r="BF372" s="981" t="str">
        <f t="shared" si="523"/>
        <v>-</v>
      </c>
      <c r="BG372" s="951"/>
      <c r="BH372" s="1547" t="str">
        <f t="shared" si="524"/>
        <v>Price</v>
      </c>
      <c r="BI372" s="1548" t="str">
        <f t="shared" si="525"/>
        <v>[Service]</v>
      </c>
      <c r="BJ372" s="1549" t="str">
        <f t="shared" si="526"/>
        <v>[Price]</v>
      </c>
      <c r="BK372" s="978" t="str">
        <f t="shared" ref="BK372:BU372" si="598">IF(V372="","-",IFERROR((V372/U372-1)*(U374/U$13),"-"))</f>
        <v>-</v>
      </c>
      <c r="BL372" s="978" t="str">
        <f t="shared" si="598"/>
        <v>-</v>
      </c>
      <c r="BM372" s="979" t="str">
        <f t="shared" si="598"/>
        <v>-</v>
      </c>
      <c r="BN372" s="979" t="str">
        <f t="shared" si="598"/>
        <v>-</v>
      </c>
      <c r="BO372" s="1352" t="str">
        <f t="shared" si="598"/>
        <v>-</v>
      </c>
      <c r="BP372" s="1345" t="str">
        <f t="shared" si="598"/>
        <v>-</v>
      </c>
      <c r="BQ372" s="979" t="str">
        <f t="shared" si="598"/>
        <v>-</v>
      </c>
      <c r="BR372" s="979" t="str">
        <f t="shared" si="598"/>
        <v>-</v>
      </c>
      <c r="BS372" s="979" t="str">
        <f t="shared" si="598"/>
        <v>-</v>
      </c>
      <c r="BT372" s="980" t="str">
        <f t="shared" si="598"/>
        <v>-</v>
      </c>
      <c r="BU372" s="979" t="str">
        <f t="shared" si="598"/>
        <v>-</v>
      </c>
      <c r="BV372" s="979" t="str">
        <f>IF(AG372="","-",IFERROR((AG372/AF372-1)*(AF374/AF$13),"-"))</f>
        <v>-</v>
      </c>
      <c r="BW372" s="979" t="str">
        <f>IF(AH372="","-",IFERROR((AH372/AG372-1)*(AG374/AG$13),"-"))</f>
        <v>-</v>
      </c>
      <c r="BX372" s="979" t="str">
        <f>IF(AI372="","-",IFERROR((AI372/AH372-1)*(AH374/AH$13),"-"))</f>
        <v>-</v>
      </c>
      <c r="BY372" s="981" t="str">
        <f>IF(AJ372="","-",IFERROR((AJ372/AI372-1)*(AI374/AI$13),"-"))</f>
        <v>-</v>
      </c>
      <c r="BZ372" s="951"/>
      <c r="CA372" s="975" t="str">
        <f t="shared" si="503"/>
        <v>Price</v>
      </c>
      <c r="CB372" s="976" t="str">
        <f t="shared" si="504"/>
        <v>[Service]</v>
      </c>
      <c r="CC372" s="982" t="str">
        <f t="shared" si="505"/>
        <v>[Price]</v>
      </c>
      <c r="CD372" s="983" t="str">
        <f t="shared" si="536"/>
        <v>-</v>
      </c>
      <c r="CE372" s="979" t="str">
        <f t="shared" si="528"/>
        <v>-</v>
      </c>
      <c r="CF372" s="979" t="str">
        <f t="shared" si="529"/>
        <v>-</v>
      </c>
      <c r="CG372" s="980" t="str">
        <f t="shared" si="530"/>
        <v>-</v>
      </c>
      <c r="CH372" s="979" t="str">
        <f t="shared" si="537"/>
        <v>-</v>
      </c>
      <c r="CI372" s="979" t="str">
        <f t="shared" si="531"/>
        <v>-</v>
      </c>
      <c r="CJ372" s="979" t="str">
        <f t="shared" si="532"/>
        <v>-</v>
      </c>
      <c r="CK372" s="981" t="str">
        <f t="shared" si="533"/>
        <v>-</v>
      </c>
    </row>
    <row r="373" spans="4:89" outlineLevel="1">
      <c r="E373" s="567" t="s">
        <v>880</v>
      </c>
      <c r="F373" s="554" t="str">
        <f>+F372</f>
        <v>[Service]</v>
      </c>
      <c r="G373" s="555">
        <f>+G372</f>
        <v>0</v>
      </c>
      <c r="H373" s="555">
        <f>+H372</f>
        <v>0</v>
      </c>
      <c r="I373" s="556" t="str">
        <f>+I372</f>
        <v>[Price]</v>
      </c>
      <c r="J373" s="590" t="s">
        <v>916</v>
      </c>
      <c r="K373" s="557"/>
      <c r="L373" s="558"/>
      <c r="M373" s="558"/>
      <c r="N373" s="557"/>
      <c r="O373" s="558"/>
      <c r="P373" s="558"/>
      <c r="Q373" s="558"/>
      <c r="R373" s="1036"/>
      <c r="S373" s="1139"/>
      <c r="T373" s="593"/>
      <c r="U373" s="1036"/>
      <c r="V373" s="1139"/>
      <c r="W373" s="593"/>
      <c r="X373" s="593"/>
      <c r="Y373" s="593"/>
      <c r="Z373" s="1036"/>
      <c r="AA373" s="1139"/>
      <c r="AB373" s="593"/>
      <c r="AC373" s="593"/>
      <c r="AD373" s="593"/>
      <c r="AE373" s="1036"/>
      <c r="AF373" s="1139"/>
      <c r="AG373" s="593"/>
      <c r="AH373" s="593"/>
      <c r="AI373" s="593"/>
      <c r="AJ373" s="1036"/>
      <c r="AK373" s="569"/>
      <c r="AL373" s="569"/>
      <c r="AN373" s="857"/>
      <c r="AO373" s="961" t="str">
        <f t="shared" si="506"/>
        <v>Qty</v>
      </c>
      <c r="AP373" s="962" t="str">
        <f t="shared" si="507"/>
        <v>[Service]</v>
      </c>
      <c r="AQ373" s="963" t="str">
        <f t="shared" si="508"/>
        <v>[Price]</v>
      </c>
      <c r="AR373" s="967" t="str">
        <f t="shared" si="509"/>
        <v>-</v>
      </c>
      <c r="AS373" s="964" t="str">
        <f t="shared" si="510"/>
        <v>-</v>
      </c>
      <c r="AT373" s="964" t="str">
        <f t="shared" si="511"/>
        <v>-</v>
      </c>
      <c r="AU373" s="964" t="str">
        <f t="shared" si="512"/>
        <v>-</v>
      </c>
      <c r="AV373" s="1350" t="str">
        <f t="shared" si="513"/>
        <v>-</v>
      </c>
      <c r="AW373" s="1343" t="str">
        <f t="shared" si="514"/>
        <v>-</v>
      </c>
      <c r="AX373" s="964" t="str">
        <f t="shared" si="515"/>
        <v>-</v>
      </c>
      <c r="AY373" s="964" t="str">
        <f t="shared" si="516"/>
        <v>-</v>
      </c>
      <c r="AZ373" s="964" t="str">
        <f t="shared" si="517"/>
        <v>-</v>
      </c>
      <c r="BA373" s="965" t="str">
        <f t="shared" si="518"/>
        <v>-</v>
      </c>
      <c r="BB373" s="1343" t="str">
        <f t="shared" si="519"/>
        <v>-</v>
      </c>
      <c r="BC373" s="964" t="str">
        <f t="shared" si="520"/>
        <v>-</v>
      </c>
      <c r="BD373" s="964" t="str">
        <f t="shared" si="521"/>
        <v>-</v>
      </c>
      <c r="BE373" s="964" t="str">
        <f t="shared" si="522"/>
        <v>-</v>
      </c>
      <c r="BF373" s="966" t="str">
        <f t="shared" si="523"/>
        <v>-</v>
      </c>
      <c r="BG373" s="951"/>
      <c r="BH373" s="1541" t="str">
        <f t="shared" si="524"/>
        <v>Qty</v>
      </c>
      <c r="BI373" s="1542" t="str">
        <f t="shared" si="525"/>
        <v>[Service]</v>
      </c>
      <c r="BJ373" s="1543" t="str">
        <f t="shared" si="526"/>
        <v>[Price]</v>
      </c>
      <c r="BK373" s="964" t="str">
        <f t="shared" ref="BK373:BU373" si="599">IF(V373="","-",IFERROR((V373/U373-1)*(U374/U$13),"-"))</f>
        <v>-</v>
      </c>
      <c r="BL373" s="964" t="str">
        <f t="shared" si="599"/>
        <v>-</v>
      </c>
      <c r="BM373" s="964" t="str">
        <f t="shared" si="599"/>
        <v>-</v>
      </c>
      <c r="BN373" s="964" t="str">
        <f t="shared" si="599"/>
        <v>-</v>
      </c>
      <c r="BO373" s="1350" t="str">
        <f t="shared" si="599"/>
        <v>-</v>
      </c>
      <c r="BP373" s="1343" t="str">
        <f t="shared" si="599"/>
        <v>-</v>
      </c>
      <c r="BQ373" s="964" t="str">
        <f t="shared" si="599"/>
        <v>-</v>
      </c>
      <c r="BR373" s="964" t="str">
        <f t="shared" si="599"/>
        <v>-</v>
      </c>
      <c r="BS373" s="964" t="str">
        <f t="shared" si="599"/>
        <v>-</v>
      </c>
      <c r="BT373" s="965" t="str">
        <f t="shared" si="599"/>
        <v>-</v>
      </c>
      <c r="BU373" s="964" t="str">
        <f t="shared" si="599"/>
        <v>-</v>
      </c>
      <c r="BV373" s="964" t="str">
        <f>IF(AG373="","-",IFERROR((AG373/AF373-1)*(AF374/AF$13),"-"))</f>
        <v>-</v>
      </c>
      <c r="BW373" s="964" t="str">
        <f>IF(AH373="","-",IFERROR((AH373/AG373-1)*(AG374/AG$13),"-"))</f>
        <v>-</v>
      </c>
      <c r="BX373" s="964" t="str">
        <f>IF(AI373="","-",IFERROR((AI373/AH373-1)*(AH374/AH$13),"-"))</f>
        <v>-</v>
      </c>
      <c r="BY373" s="966" t="str">
        <f>IF(AJ373="","-",IFERROR((AJ373/AI373-1)*(AI374/AI$13),"-"))</f>
        <v>-</v>
      </c>
      <c r="BZ373" s="951"/>
      <c r="CA373" s="961" t="str">
        <f t="shared" si="503"/>
        <v>Qty</v>
      </c>
      <c r="CB373" s="962" t="str">
        <f t="shared" si="504"/>
        <v>[Service]</v>
      </c>
      <c r="CC373" s="962" t="str">
        <f t="shared" si="505"/>
        <v>[Price]</v>
      </c>
      <c r="CD373" s="967" t="str">
        <f t="shared" si="536"/>
        <v>-</v>
      </c>
      <c r="CE373" s="964" t="str">
        <f t="shared" si="528"/>
        <v>-</v>
      </c>
      <c r="CF373" s="964" t="str">
        <f t="shared" si="529"/>
        <v>-</v>
      </c>
      <c r="CG373" s="965" t="str">
        <f t="shared" si="530"/>
        <v>-</v>
      </c>
      <c r="CH373" s="964" t="str">
        <f t="shared" si="537"/>
        <v>-</v>
      </c>
      <c r="CI373" s="964" t="str">
        <f t="shared" si="531"/>
        <v>-</v>
      </c>
      <c r="CJ373" s="964" t="str">
        <f t="shared" si="532"/>
        <v>-</v>
      </c>
      <c r="CK373" s="966" t="str">
        <f t="shared" si="533"/>
        <v>-</v>
      </c>
    </row>
    <row r="374" spans="4:89" ht="12.75" outlineLevel="1" thickBot="1">
      <c r="E374" s="568" t="s">
        <v>882</v>
      </c>
      <c r="F374" s="560" t="str">
        <f>+F372</f>
        <v>[Service]</v>
      </c>
      <c r="G374" s="561">
        <f>+G372</f>
        <v>0</v>
      </c>
      <c r="H374" s="561">
        <f>+H372</f>
        <v>0</v>
      </c>
      <c r="I374" s="562" t="str">
        <f>+I372</f>
        <v>[Price]</v>
      </c>
      <c r="J374" s="563" t="s">
        <v>883</v>
      </c>
      <c r="K374" s="564">
        <f t="shared" ref="K374:AJ374" si="600">K372*K373/10^6</f>
        <v>0</v>
      </c>
      <c r="L374" s="565">
        <f t="shared" si="600"/>
        <v>0</v>
      </c>
      <c r="M374" s="565">
        <f t="shared" si="600"/>
        <v>0</v>
      </c>
      <c r="N374" s="564">
        <f t="shared" si="600"/>
        <v>0</v>
      </c>
      <c r="O374" s="565">
        <f t="shared" si="600"/>
        <v>0</v>
      </c>
      <c r="P374" s="565">
        <f t="shared" si="600"/>
        <v>0</v>
      </c>
      <c r="Q374" s="565">
        <f t="shared" si="600"/>
        <v>0</v>
      </c>
      <c r="R374" s="566">
        <f t="shared" si="600"/>
        <v>0</v>
      </c>
      <c r="S374" s="564">
        <f t="shared" si="600"/>
        <v>0</v>
      </c>
      <c r="T374" s="565">
        <f t="shared" si="600"/>
        <v>0</v>
      </c>
      <c r="U374" s="566">
        <f t="shared" si="600"/>
        <v>0</v>
      </c>
      <c r="V374" s="564">
        <f t="shared" si="600"/>
        <v>0</v>
      </c>
      <c r="W374" s="565">
        <f t="shared" si="600"/>
        <v>0</v>
      </c>
      <c r="X374" s="565">
        <f t="shared" si="600"/>
        <v>0</v>
      </c>
      <c r="Y374" s="565">
        <f t="shared" si="600"/>
        <v>0</v>
      </c>
      <c r="Z374" s="566">
        <f t="shared" si="600"/>
        <v>0</v>
      </c>
      <c r="AA374" s="564">
        <f t="shared" si="600"/>
        <v>0</v>
      </c>
      <c r="AB374" s="565">
        <f t="shared" si="600"/>
        <v>0</v>
      </c>
      <c r="AC374" s="565">
        <f t="shared" si="600"/>
        <v>0</v>
      </c>
      <c r="AD374" s="565">
        <f t="shared" si="600"/>
        <v>0</v>
      </c>
      <c r="AE374" s="566">
        <f t="shared" si="600"/>
        <v>0</v>
      </c>
      <c r="AF374" s="564">
        <f t="shared" si="600"/>
        <v>0</v>
      </c>
      <c r="AG374" s="565">
        <f t="shared" si="600"/>
        <v>0</v>
      </c>
      <c r="AH374" s="565">
        <f t="shared" si="600"/>
        <v>0</v>
      </c>
      <c r="AI374" s="565">
        <f t="shared" si="600"/>
        <v>0</v>
      </c>
      <c r="AJ374" s="566">
        <f t="shared" si="600"/>
        <v>0</v>
      </c>
      <c r="AK374" s="569"/>
      <c r="AL374" s="569"/>
      <c r="AN374" s="857"/>
      <c r="AO374" s="984" t="str">
        <f t="shared" si="506"/>
        <v>Rev</v>
      </c>
      <c r="AP374" s="985" t="str">
        <f t="shared" si="507"/>
        <v>[Service]</v>
      </c>
      <c r="AQ374" s="986" t="str">
        <f t="shared" si="508"/>
        <v>[Price]</v>
      </c>
      <c r="AR374" s="990" t="str">
        <f t="shared" si="509"/>
        <v>-</v>
      </c>
      <c r="AS374" s="987" t="str">
        <f t="shared" si="510"/>
        <v>-</v>
      </c>
      <c r="AT374" s="987" t="str">
        <f t="shared" si="511"/>
        <v>-</v>
      </c>
      <c r="AU374" s="987" t="str">
        <f t="shared" si="512"/>
        <v>-</v>
      </c>
      <c r="AV374" s="1353" t="str">
        <f t="shared" si="513"/>
        <v>-</v>
      </c>
      <c r="AW374" s="1346" t="str">
        <f t="shared" si="514"/>
        <v>-</v>
      </c>
      <c r="AX374" s="987" t="str">
        <f t="shared" si="515"/>
        <v>-</v>
      </c>
      <c r="AY374" s="987" t="str">
        <f t="shared" si="516"/>
        <v>-</v>
      </c>
      <c r="AZ374" s="987" t="str">
        <f t="shared" si="517"/>
        <v>-</v>
      </c>
      <c r="BA374" s="988" t="str">
        <f t="shared" si="518"/>
        <v>-</v>
      </c>
      <c r="BB374" s="1346" t="str">
        <f t="shared" si="519"/>
        <v>-</v>
      </c>
      <c r="BC374" s="987" t="str">
        <f t="shared" si="520"/>
        <v>-</v>
      </c>
      <c r="BD374" s="987" t="str">
        <f t="shared" si="521"/>
        <v>-</v>
      </c>
      <c r="BE374" s="987" t="str">
        <f t="shared" si="522"/>
        <v>-</v>
      </c>
      <c r="BF374" s="989" t="str">
        <f t="shared" si="523"/>
        <v>-</v>
      </c>
      <c r="BG374" s="951"/>
      <c r="BH374" s="1550" t="str">
        <f t="shared" si="524"/>
        <v>Rev</v>
      </c>
      <c r="BI374" s="1551" t="str">
        <f t="shared" si="525"/>
        <v>[Service]</v>
      </c>
      <c r="BJ374" s="1552" t="str">
        <f t="shared" si="526"/>
        <v>[Price]</v>
      </c>
      <c r="BK374" s="987" t="str">
        <f t="shared" ref="BK374:BU374" si="601">IF(V374="","-",IFERROR((V374/U374-1)*(U374/U$13),"-"))</f>
        <v>-</v>
      </c>
      <c r="BL374" s="987" t="str">
        <f t="shared" si="601"/>
        <v>-</v>
      </c>
      <c r="BM374" s="987" t="str">
        <f t="shared" si="601"/>
        <v>-</v>
      </c>
      <c r="BN374" s="987" t="str">
        <f t="shared" si="601"/>
        <v>-</v>
      </c>
      <c r="BO374" s="1353" t="str">
        <f t="shared" si="601"/>
        <v>-</v>
      </c>
      <c r="BP374" s="1346" t="str">
        <f t="shared" si="601"/>
        <v>-</v>
      </c>
      <c r="BQ374" s="987" t="str">
        <f t="shared" si="601"/>
        <v>-</v>
      </c>
      <c r="BR374" s="987" t="str">
        <f t="shared" si="601"/>
        <v>-</v>
      </c>
      <c r="BS374" s="987" t="str">
        <f t="shared" si="601"/>
        <v>-</v>
      </c>
      <c r="BT374" s="988" t="str">
        <f t="shared" si="601"/>
        <v>-</v>
      </c>
      <c r="BU374" s="987" t="str">
        <f t="shared" si="601"/>
        <v>-</v>
      </c>
      <c r="BV374" s="987" t="str">
        <f>IF(AG374="","-",IFERROR((AG374/AF374-1)*(AF374/AF$13),"-"))</f>
        <v>-</v>
      </c>
      <c r="BW374" s="987" t="str">
        <f>IF(AH374="","-",IFERROR((AH374/AG374-1)*(AG374/AG$13),"-"))</f>
        <v>-</v>
      </c>
      <c r="BX374" s="987" t="str">
        <f>IF(AI374="","-",IFERROR((AI374/AH374-1)*(AH374/AH$13),"-"))</f>
        <v>-</v>
      </c>
      <c r="BY374" s="989" t="str">
        <f>IF(AJ374="","-",IFERROR((AJ374/AI374-1)*(AI374/AI$13),"-"))</f>
        <v>-</v>
      </c>
      <c r="BZ374" s="951"/>
      <c r="CA374" s="984" t="str">
        <f t="shared" si="503"/>
        <v>Rev</v>
      </c>
      <c r="CB374" s="985" t="str">
        <f t="shared" si="504"/>
        <v>[Service]</v>
      </c>
      <c r="CC374" s="985" t="str">
        <f t="shared" si="505"/>
        <v>[Price]</v>
      </c>
      <c r="CD374" s="990" t="str">
        <f t="shared" si="536"/>
        <v>-</v>
      </c>
      <c r="CE374" s="987" t="str">
        <f t="shared" si="528"/>
        <v>-</v>
      </c>
      <c r="CF374" s="987" t="str">
        <f t="shared" si="529"/>
        <v>-</v>
      </c>
      <c r="CG374" s="988" t="str">
        <f t="shared" si="530"/>
        <v>-</v>
      </c>
      <c r="CH374" s="987" t="str">
        <f t="shared" si="537"/>
        <v>-</v>
      </c>
      <c r="CI374" s="987" t="str">
        <f t="shared" si="531"/>
        <v>-</v>
      </c>
      <c r="CJ374" s="987" t="str">
        <f t="shared" si="532"/>
        <v>-</v>
      </c>
      <c r="CK374" s="989" t="str">
        <f t="shared" si="533"/>
        <v>-</v>
      </c>
    </row>
    <row r="375" spans="4:89" outlineLevel="1">
      <c r="D375" s="63">
        <f>D372+1</f>
        <v>103</v>
      </c>
      <c r="E375" s="550" t="s">
        <v>857</v>
      </c>
      <c r="F375" s="595" t="s">
        <v>428</v>
      </c>
      <c r="G375" s="595"/>
      <c r="H375" s="595"/>
      <c r="I375" s="589" t="s">
        <v>920</v>
      </c>
      <c r="J375" s="589" t="s">
        <v>879</v>
      </c>
      <c r="K375" s="551"/>
      <c r="L375" s="552"/>
      <c r="M375" s="552"/>
      <c r="N375" s="551"/>
      <c r="O375" s="552"/>
      <c r="P375" s="552"/>
      <c r="Q375" s="552"/>
      <c r="R375" s="1035"/>
      <c r="S375" s="1138"/>
      <c r="T375" s="591"/>
      <c r="U375" s="1035"/>
      <c r="V375" s="1138"/>
      <c r="W375" s="591"/>
      <c r="X375" s="591"/>
      <c r="Y375" s="591"/>
      <c r="Z375" s="1035"/>
      <c r="AA375" s="1138"/>
      <c r="AB375" s="591"/>
      <c r="AC375" s="591"/>
      <c r="AD375" s="591"/>
      <c r="AE375" s="1035"/>
      <c r="AF375" s="1138"/>
      <c r="AG375" s="591"/>
      <c r="AH375" s="591"/>
      <c r="AI375" s="591"/>
      <c r="AJ375" s="1035"/>
      <c r="AK375" s="569"/>
      <c r="AL375" s="569"/>
      <c r="AM375" s="974"/>
      <c r="AN375" s="857"/>
      <c r="AO375" s="975" t="str">
        <f t="shared" si="506"/>
        <v>Price</v>
      </c>
      <c r="AP375" s="976" t="str">
        <f t="shared" si="507"/>
        <v>[Service]</v>
      </c>
      <c r="AQ375" s="977" t="str">
        <f t="shared" si="508"/>
        <v>[Price]</v>
      </c>
      <c r="AR375" s="1341" t="str">
        <f t="shared" si="509"/>
        <v>-</v>
      </c>
      <c r="AS375" s="978" t="str">
        <f t="shared" si="510"/>
        <v>-</v>
      </c>
      <c r="AT375" s="979" t="str">
        <f t="shared" si="511"/>
        <v>-</v>
      </c>
      <c r="AU375" s="979" t="str">
        <f t="shared" si="512"/>
        <v>-</v>
      </c>
      <c r="AV375" s="1352" t="str">
        <f t="shared" si="513"/>
        <v>-</v>
      </c>
      <c r="AW375" s="1345" t="str">
        <f t="shared" si="514"/>
        <v>-</v>
      </c>
      <c r="AX375" s="979" t="str">
        <f t="shared" si="515"/>
        <v>-</v>
      </c>
      <c r="AY375" s="979" t="str">
        <f t="shared" si="516"/>
        <v>-</v>
      </c>
      <c r="AZ375" s="979" t="str">
        <f t="shared" si="517"/>
        <v>-</v>
      </c>
      <c r="BA375" s="980" t="str">
        <f t="shared" si="518"/>
        <v>-</v>
      </c>
      <c r="BB375" s="1345" t="str">
        <f t="shared" si="519"/>
        <v>-</v>
      </c>
      <c r="BC375" s="979" t="str">
        <f t="shared" si="520"/>
        <v>-</v>
      </c>
      <c r="BD375" s="979" t="str">
        <f t="shared" si="521"/>
        <v>-</v>
      </c>
      <c r="BE375" s="979" t="str">
        <f t="shared" si="522"/>
        <v>-</v>
      </c>
      <c r="BF375" s="981" t="str">
        <f t="shared" si="523"/>
        <v>-</v>
      </c>
      <c r="BG375" s="951"/>
      <c r="BH375" s="1547" t="str">
        <f t="shared" si="524"/>
        <v>Price</v>
      </c>
      <c r="BI375" s="1548" t="str">
        <f t="shared" si="525"/>
        <v>[Service]</v>
      </c>
      <c r="BJ375" s="1549" t="str">
        <f t="shared" si="526"/>
        <v>[Price]</v>
      </c>
      <c r="BK375" s="978" t="str">
        <f t="shared" ref="BK375:BU375" si="602">IF(V375="","-",IFERROR((V375/U375-1)*(U377/U$13),"-"))</f>
        <v>-</v>
      </c>
      <c r="BL375" s="978" t="str">
        <f t="shared" si="602"/>
        <v>-</v>
      </c>
      <c r="BM375" s="979" t="str">
        <f t="shared" si="602"/>
        <v>-</v>
      </c>
      <c r="BN375" s="979" t="str">
        <f t="shared" si="602"/>
        <v>-</v>
      </c>
      <c r="BO375" s="1352" t="str">
        <f t="shared" si="602"/>
        <v>-</v>
      </c>
      <c r="BP375" s="1345" t="str">
        <f t="shared" si="602"/>
        <v>-</v>
      </c>
      <c r="BQ375" s="979" t="str">
        <f t="shared" si="602"/>
        <v>-</v>
      </c>
      <c r="BR375" s="979" t="str">
        <f t="shared" si="602"/>
        <v>-</v>
      </c>
      <c r="BS375" s="979" t="str">
        <f t="shared" si="602"/>
        <v>-</v>
      </c>
      <c r="BT375" s="980" t="str">
        <f t="shared" si="602"/>
        <v>-</v>
      </c>
      <c r="BU375" s="979" t="str">
        <f t="shared" si="602"/>
        <v>-</v>
      </c>
      <c r="BV375" s="979" t="str">
        <f>IF(AG375="","-",IFERROR((AG375/AF375-1)*(AF377/AF$13),"-"))</f>
        <v>-</v>
      </c>
      <c r="BW375" s="979" t="str">
        <f>IF(AH375="","-",IFERROR((AH375/AG375-1)*(AG377/AG$13),"-"))</f>
        <v>-</v>
      </c>
      <c r="BX375" s="979" t="str">
        <f>IF(AI375="","-",IFERROR((AI375/AH375-1)*(AH377/AH$13),"-"))</f>
        <v>-</v>
      </c>
      <c r="BY375" s="981" t="str">
        <f>IF(AJ375="","-",IFERROR((AJ375/AI375-1)*(AI377/AI$13),"-"))</f>
        <v>-</v>
      </c>
      <c r="BZ375" s="951"/>
      <c r="CA375" s="975" t="str">
        <f t="shared" si="503"/>
        <v>Price</v>
      </c>
      <c r="CB375" s="976" t="str">
        <f t="shared" si="504"/>
        <v>[Service]</v>
      </c>
      <c r="CC375" s="982" t="str">
        <f t="shared" si="505"/>
        <v>[Price]</v>
      </c>
      <c r="CD375" s="983" t="str">
        <f t="shared" si="536"/>
        <v>-</v>
      </c>
      <c r="CE375" s="979" t="str">
        <f t="shared" si="528"/>
        <v>-</v>
      </c>
      <c r="CF375" s="979" t="str">
        <f t="shared" si="529"/>
        <v>-</v>
      </c>
      <c r="CG375" s="980" t="str">
        <f t="shared" si="530"/>
        <v>-</v>
      </c>
      <c r="CH375" s="979" t="str">
        <f t="shared" si="537"/>
        <v>-</v>
      </c>
      <c r="CI375" s="979" t="str">
        <f t="shared" si="531"/>
        <v>-</v>
      </c>
      <c r="CJ375" s="979" t="str">
        <f t="shared" si="532"/>
        <v>-</v>
      </c>
      <c r="CK375" s="981" t="str">
        <f t="shared" si="533"/>
        <v>-</v>
      </c>
    </row>
    <row r="376" spans="4:89" outlineLevel="1">
      <c r="E376" s="567" t="s">
        <v>880</v>
      </c>
      <c r="F376" s="554" t="str">
        <f>+F375</f>
        <v>[Service]</v>
      </c>
      <c r="G376" s="555">
        <f>+G375</f>
        <v>0</v>
      </c>
      <c r="H376" s="555">
        <f>+H375</f>
        <v>0</v>
      </c>
      <c r="I376" s="556" t="str">
        <f>+I375</f>
        <v>[Price]</v>
      </c>
      <c r="J376" s="590" t="s">
        <v>916</v>
      </c>
      <c r="K376" s="557"/>
      <c r="L376" s="558"/>
      <c r="M376" s="558"/>
      <c r="N376" s="557"/>
      <c r="O376" s="558"/>
      <c r="P376" s="558"/>
      <c r="Q376" s="558"/>
      <c r="R376" s="1036"/>
      <c r="S376" s="1139"/>
      <c r="T376" s="593"/>
      <c r="U376" s="1036"/>
      <c r="V376" s="1139"/>
      <c r="W376" s="593"/>
      <c r="X376" s="593"/>
      <c r="Y376" s="593"/>
      <c r="Z376" s="1036"/>
      <c r="AA376" s="1139"/>
      <c r="AB376" s="593"/>
      <c r="AC376" s="593"/>
      <c r="AD376" s="593"/>
      <c r="AE376" s="1036"/>
      <c r="AF376" s="1139"/>
      <c r="AG376" s="593"/>
      <c r="AH376" s="593"/>
      <c r="AI376" s="593"/>
      <c r="AJ376" s="1036"/>
      <c r="AK376" s="569"/>
      <c r="AL376" s="569"/>
      <c r="AN376" s="857"/>
      <c r="AO376" s="961" t="str">
        <f t="shared" si="506"/>
        <v>Qty</v>
      </c>
      <c r="AP376" s="962" t="str">
        <f t="shared" si="507"/>
        <v>[Service]</v>
      </c>
      <c r="AQ376" s="963" t="str">
        <f t="shared" si="508"/>
        <v>[Price]</v>
      </c>
      <c r="AR376" s="967" t="str">
        <f t="shared" si="509"/>
        <v>-</v>
      </c>
      <c r="AS376" s="964" t="str">
        <f t="shared" si="510"/>
        <v>-</v>
      </c>
      <c r="AT376" s="964" t="str">
        <f t="shared" si="511"/>
        <v>-</v>
      </c>
      <c r="AU376" s="964" t="str">
        <f t="shared" si="512"/>
        <v>-</v>
      </c>
      <c r="AV376" s="1350" t="str">
        <f t="shared" si="513"/>
        <v>-</v>
      </c>
      <c r="AW376" s="1343" t="str">
        <f t="shared" si="514"/>
        <v>-</v>
      </c>
      <c r="AX376" s="964" t="str">
        <f t="shared" si="515"/>
        <v>-</v>
      </c>
      <c r="AY376" s="964" t="str">
        <f t="shared" si="516"/>
        <v>-</v>
      </c>
      <c r="AZ376" s="964" t="str">
        <f t="shared" si="517"/>
        <v>-</v>
      </c>
      <c r="BA376" s="965" t="str">
        <f t="shared" si="518"/>
        <v>-</v>
      </c>
      <c r="BB376" s="1343" t="str">
        <f t="shared" si="519"/>
        <v>-</v>
      </c>
      <c r="BC376" s="964" t="str">
        <f t="shared" si="520"/>
        <v>-</v>
      </c>
      <c r="BD376" s="964" t="str">
        <f t="shared" si="521"/>
        <v>-</v>
      </c>
      <c r="BE376" s="964" t="str">
        <f t="shared" si="522"/>
        <v>-</v>
      </c>
      <c r="BF376" s="966" t="str">
        <f t="shared" si="523"/>
        <v>-</v>
      </c>
      <c r="BG376" s="951"/>
      <c r="BH376" s="1541" t="str">
        <f t="shared" si="524"/>
        <v>Qty</v>
      </c>
      <c r="BI376" s="1542" t="str">
        <f t="shared" si="525"/>
        <v>[Service]</v>
      </c>
      <c r="BJ376" s="1543" t="str">
        <f t="shared" si="526"/>
        <v>[Price]</v>
      </c>
      <c r="BK376" s="964" t="str">
        <f t="shared" ref="BK376:BU376" si="603">IF(V376="","-",IFERROR((V376/U376-1)*(U377/U$13),"-"))</f>
        <v>-</v>
      </c>
      <c r="BL376" s="964" t="str">
        <f t="shared" si="603"/>
        <v>-</v>
      </c>
      <c r="BM376" s="964" t="str">
        <f t="shared" si="603"/>
        <v>-</v>
      </c>
      <c r="BN376" s="964" t="str">
        <f t="shared" si="603"/>
        <v>-</v>
      </c>
      <c r="BO376" s="1350" t="str">
        <f t="shared" si="603"/>
        <v>-</v>
      </c>
      <c r="BP376" s="1343" t="str">
        <f t="shared" si="603"/>
        <v>-</v>
      </c>
      <c r="BQ376" s="964" t="str">
        <f t="shared" si="603"/>
        <v>-</v>
      </c>
      <c r="BR376" s="964" t="str">
        <f t="shared" si="603"/>
        <v>-</v>
      </c>
      <c r="BS376" s="964" t="str">
        <f t="shared" si="603"/>
        <v>-</v>
      </c>
      <c r="BT376" s="965" t="str">
        <f t="shared" si="603"/>
        <v>-</v>
      </c>
      <c r="BU376" s="964" t="str">
        <f t="shared" si="603"/>
        <v>-</v>
      </c>
      <c r="BV376" s="964" t="str">
        <f>IF(AG376="","-",IFERROR((AG376/AF376-1)*(AF377/AF$13),"-"))</f>
        <v>-</v>
      </c>
      <c r="BW376" s="964" t="str">
        <f>IF(AH376="","-",IFERROR((AH376/AG376-1)*(AG377/AG$13),"-"))</f>
        <v>-</v>
      </c>
      <c r="BX376" s="964" t="str">
        <f>IF(AI376="","-",IFERROR((AI376/AH376-1)*(AH377/AH$13),"-"))</f>
        <v>-</v>
      </c>
      <c r="BY376" s="966" t="str">
        <f>IF(AJ376="","-",IFERROR((AJ376/AI376-1)*(AI377/AI$13),"-"))</f>
        <v>-</v>
      </c>
      <c r="BZ376" s="951"/>
      <c r="CA376" s="961" t="str">
        <f t="shared" si="503"/>
        <v>Qty</v>
      </c>
      <c r="CB376" s="962" t="str">
        <f t="shared" si="504"/>
        <v>[Service]</v>
      </c>
      <c r="CC376" s="962" t="str">
        <f t="shared" si="505"/>
        <v>[Price]</v>
      </c>
      <c r="CD376" s="967" t="str">
        <f t="shared" si="536"/>
        <v>-</v>
      </c>
      <c r="CE376" s="964" t="str">
        <f t="shared" si="528"/>
        <v>-</v>
      </c>
      <c r="CF376" s="964" t="str">
        <f t="shared" si="529"/>
        <v>-</v>
      </c>
      <c r="CG376" s="965" t="str">
        <f t="shared" si="530"/>
        <v>-</v>
      </c>
      <c r="CH376" s="964" t="str">
        <f t="shared" si="537"/>
        <v>-</v>
      </c>
      <c r="CI376" s="964" t="str">
        <f t="shared" si="531"/>
        <v>-</v>
      </c>
      <c r="CJ376" s="964" t="str">
        <f t="shared" si="532"/>
        <v>-</v>
      </c>
      <c r="CK376" s="966" t="str">
        <f t="shared" si="533"/>
        <v>-</v>
      </c>
    </row>
    <row r="377" spans="4:89" ht="12.75" outlineLevel="1" thickBot="1">
      <c r="E377" s="568" t="s">
        <v>882</v>
      </c>
      <c r="F377" s="560" t="str">
        <f>+F375</f>
        <v>[Service]</v>
      </c>
      <c r="G377" s="561">
        <f>+G375</f>
        <v>0</v>
      </c>
      <c r="H377" s="561">
        <f>+H375</f>
        <v>0</v>
      </c>
      <c r="I377" s="562" t="str">
        <f>+I375</f>
        <v>[Price]</v>
      </c>
      <c r="J377" s="563" t="s">
        <v>883</v>
      </c>
      <c r="K377" s="564">
        <f t="shared" ref="K377:AJ377" si="604">K375*K376/10^6</f>
        <v>0</v>
      </c>
      <c r="L377" s="565">
        <f t="shared" si="604"/>
        <v>0</v>
      </c>
      <c r="M377" s="565">
        <f t="shared" si="604"/>
        <v>0</v>
      </c>
      <c r="N377" s="564">
        <f t="shared" si="604"/>
        <v>0</v>
      </c>
      <c r="O377" s="565">
        <f t="shared" si="604"/>
        <v>0</v>
      </c>
      <c r="P377" s="565">
        <f t="shared" si="604"/>
        <v>0</v>
      </c>
      <c r="Q377" s="565">
        <f t="shared" si="604"/>
        <v>0</v>
      </c>
      <c r="R377" s="566">
        <f t="shared" si="604"/>
        <v>0</v>
      </c>
      <c r="S377" s="564">
        <f t="shared" si="604"/>
        <v>0</v>
      </c>
      <c r="T377" s="565">
        <f t="shared" si="604"/>
        <v>0</v>
      </c>
      <c r="U377" s="566">
        <f t="shared" si="604"/>
        <v>0</v>
      </c>
      <c r="V377" s="564">
        <f t="shared" si="604"/>
        <v>0</v>
      </c>
      <c r="W377" s="565">
        <f t="shared" si="604"/>
        <v>0</v>
      </c>
      <c r="X377" s="565">
        <f t="shared" si="604"/>
        <v>0</v>
      </c>
      <c r="Y377" s="565">
        <f t="shared" si="604"/>
        <v>0</v>
      </c>
      <c r="Z377" s="566">
        <f t="shared" si="604"/>
        <v>0</v>
      </c>
      <c r="AA377" s="564">
        <f t="shared" si="604"/>
        <v>0</v>
      </c>
      <c r="AB377" s="565">
        <f t="shared" si="604"/>
        <v>0</v>
      </c>
      <c r="AC377" s="565">
        <f t="shared" si="604"/>
        <v>0</v>
      </c>
      <c r="AD377" s="565">
        <f t="shared" si="604"/>
        <v>0</v>
      </c>
      <c r="AE377" s="566">
        <f t="shared" si="604"/>
        <v>0</v>
      </c>
      <c r="AF377" s="564">
        <f t="shared" si="604"/>
        <v>0</v>
      </c>
      <c r="AG377" s="565">
        <f t="shared" si="604"/>
        <v>0</v>
      </c>
      <c r="AH377" s="565">
        <f t="shared" si="604"/>
        <v>0</v>
      </c>
      <c r="AI377" s="565">
        <f t="shared" si="604"/>
        <v>0</v>
      </c>
      <c r="AJ377" s="566">
        <f t="shared" si="604"/>
        <v>0</v>
      </c>
      <c r="AK377" s="569"/>
      <c r="AL377" s="569"/>
      <c r="AN377" s="857"/>
      <c r="AO377" s="984" t="str">
        <f t="shared" si="506"/>
        <v>Rev</v>
      </c>
      <c r="AP377" s="985" t="str">
        <f t="shared" si="507"/>
        <v>[Service]</v>
      </c>
      <c r="AQ377" s="986" t="str">
        <f t="shared" si="508"/>
        <v>[Price]</v>
      </c>
      <c r="AR377" s="990" t="str">
        <f t="shared" si="509"/>
        <v>-</v>
      </c>
      <c r="AS377" s="987" t="str">
        <f t="shared" si="510"/>
        <v>-</v>
      </c>
      <c r="AT377" s="987" t="str">
        <f t="shared" si="511"/>
        <v>-</v>
      </c>
      <c r="AU377" s="987" t="str">
        <f t="shared" si="512"/>
        <v>-</v>
      </c>
      <c r="AV377" s="1353" t="str">
        <f t="shared" si="513"/>
        <v>-</v>
      </c>
      <c r="AW377" s="1346" t="str">
        <f t="shared" si="514"/>
        <v>-</v>
      </c>
      <c r="AX377" s="987" t="str">
        <f t="shared" si="515"/>
        <v>-</v>
      </c>
      <c r="AY377" s="987" t="str">
        <f t="shared" si="516"/>
        <v>-</v>
      </c>
      <c r="AZ377" s="987" t="str">
        <f t="shared" si="517"/>
        <v>-</v>
      </c>
      <c r="BA377" s="988" t="str">
        <f t="shared" si="518"/>
        <v>-</v>
      </c>
      <c r="BB377" s="1346" t="str">
        <f t="shared" si="519"/>
        <v>-</v>
      </c>
      <c r="BC377" s="987" t="str">
        <f t="shared" si="520"/>
        <v>-</v>
      </c>
      <c r="BD377" s="987" t="str">
        <f t="shared" si="521"/>
        <v>-</v>
      </c>
      <c r="BE377" s="987" t="str">
        <f t="shared" si="522"/>
        <v>-</v>
      </c>
      <c r="BF377" s="989" t="str">
        <f t="shared" si="523"/>
        <v>-</v>
      </c>
      <c r="BG377" s="951"/>
      <c r="BH377" s="1550" t="str">
        <f t="shared" si="524"/>
        <v>Rev</v>
      </c>
      <c r="BI377" s="1551" t="str">
        <f t="shared" si="525"/>
        <v>[Service]</v>
      </c>
      <c r="BJ377" s="1552" t="str">
        <f t="shared" si="526"/>
        <v>[Price]</v>
      </c>
      <c r="BK377" s="987" t="str">
        <f t="shared" ref="BK377:BU377" si="605">IF(V377="","-",IFERROR((V377/U377-1)*(U377/U$13),"-"))</f>
        <v>-</v>
      </c>
      <c r="BL377" s="987" t="str">
        <f t="shared" si="605"/>
        <v>-</v>
      </c>
      <c r="BM377" s="987" t="str">
        <f t="shared" si="605"/>
        <v>-</v>
      </c>
      <c r="BN377" s="987" t="str">
        <f t="shared" si="605"/>
        <v>-</v>
      </c>
      <c r="BO377" s="1353" t="str">
        <f t="shared" si="605"/>
        <v>-</v>
      </c>
      <c r="BP377" s="1346" t="str">
        <f t="shared" si="605"/>
        <v>-</v>
      </c>
      <c r="BQ377" s="987" t="str">
        <f t="shared" si="605"/>
        <v>-</v>
      </c>
      <c r="BR377" s="987" t="str">
        <f t="shared" si="605"/>
        <v>-</v>
      </c>
      <c r="BS377" s="987" t="str">
        <f t="shared" si="605"/>
        <v>-</v>
      </c>
      <c r="BT377" s="988" t="str">
        <f t="shared" si="605"/>
        <v>-</v>
      </c>
      <c r="BU377" s="987" t="str">
        <f t="shared" si="605"/>
        <v>-</v>
      </c>
      <c r="BV377" s="987" t="str">
        <f>IF(AG377="","-",IFERROR((AG377/AF377-1)*(AF377/AF$13),"-"))</f>
        <v>-</v>
      </c>
      <c r="BW377" s="987" t="str">
        <f>IF(AH377="","-",IFERROR((AH377/AG377-1)*(AG377/AG$13),"-"))</f>
        <v>-</v>
      </c>
      <c r="BX377" s="987" t="str">
        <f>IF(AI377="","-",IFERROR((AI377/AH377-1)*(AH377/AH$13),"-"))</f>
        <v>-</v>
      </c>
      <c r="BY377" s="989" t="str">
        <f>IF(AJ377="","-",IFERROR((AJ377/AI377-1)*(AI377/AI$13),"-"))</f>
        <v>-</v>
      </c>
      <c r="BZ377" s="951"/>
      <c r="CA377" s="984" t="str">
        <f t="shared" si="503"/>
        <v>Rev</v>
      </c>
      <c r="CB377" s="985" t="str">
        <f t="shared" si="504"/>
        <v>[Service]</v>
      </c>
      <c r="CC377" s="985" t="str">
        <f t="shared" si="505"/>
        <v>[Price]</v>
      </c>
      <c r="CD377" s="990" t="str">
        <f t="shared" si="536"/>
        <v>-</v>
      </c>
      <c r="CE377" s="987" t="str">
        <f t="shared" si="528"/>
        <v>-</v>
      </c>
      <c r="CF377" s="987" t="str">
        <f t="shared" si="529"/>
        <v>-</v>
      </c>
      <c r="CG377" s="988" t="str">
        <f t="shared" si="530"/>
        <v>-</v>
      </c>
      <c r="CH377" s="987" t="str">
        <f t="shared" si="537"/>
        <v>-</v>
      </c>
      <c r="CI377" s="987" t="str">
        <f t="shared" si="531"/>
        <v>-</v>
      </c>
      <c r="CJ377" s="987" t="str">
        <f t="shared" si="532"/>
        <v>-</v>
      </c>
      <c r="CK377" s="989" t="str">
        <f t="shared" si="533"/>
        <v>-</v>
      </c>
    </row>
    <row r="378" spans="4:89" outlineLevel="1">
      <c r="D378" s="63">
        <f>D375+1</f>
        <v>104</v>
      </c>
      <c r="E378" s="550" t="s">
        <v>857</v>
      </c>
      <c r="F378" s="595" t="s">
        <v>428</v>
      </c>
      <c r="G378" s="595"/>
      <c r="H378" s="595"/>
      <c r="I378" s="589" t="s">
        <v>920</v>
      </c>
      <c r="J378" s="589" t="s">
        <v>879</v>
      </c>
      <c r="K378" s="551"/>
      <c r="L378" s="552"/>
      <c r="M378" s="552"/>
      <c r="N378" s="551"/>
      <c r="O378" s="552"/>
      <c r="P378" s="552"/>
      <c r="Q378" s="552"/>
      <c r="R378" s="1035"/>
      <c r="S378" s="1138"/>
      <c r="T378" s="591"/>
      <c r="U378" s="1035"/>
      <c r="V378" s="1138"/>
      <c r="W378" s="591"/>
      <c r="X378" s="591"/>
      <c r="Y378" s="591"/>
      <c r="Z378" s="1035"/>
      <c r="AA378" s="1138"/>
      <c r="AB378" s="591"/>
      <c r="AC378" s="591"/>
      <c r="AD378" s="591"/>
      <c r="AE378" s="1035"/>
      <c r="AF378" s="1138"/>
      <c r="AG378" s="591"/>
      <c r="AH378" s="591"/>
      <c r="AI378" s="591"/>
      <c r="AJ378" s="1035"/>
      <c r="AK378" s="569"/>
      <c r="AL378" s="569"/>
      <c r="AM378" s="974"/>
      <c r="AN378" s="857"/>
      <c r="AO378" s="975" t="str">
        <f t="shared" si="506"/>
        <v>Price</v>
      </c>
      <c r="AP378" s="976" t="str">
        <f t="shared" si="507"/>
        <v>[Service]</v>
      </c>
      <c r="AQ378" s="977" t="str">
        <f t="shared" si="508"/>
        <v>[Price]</v>
      </c>
      <c r="AR378" s="1341" t="str">
        <f t="shared" si="509"/>
        <v>-</v>
      </c>
      <c r="AS378" s="978" t="str">
        <f t="shared" si="510"/>
        <v>-</v>
      </c>
      <c r="AT378" s="979" t="str">
        <f t="shared" si="511"/>
        <v>-</v>
      </c>
      <c r="AU378" s="979" t="str">
        <f t="shared" si="512"/>
        <v>-</v>
      </c>
      <c r="AV378" s="1352" t="str">
        <f t="shared" si="513"/>
        <v>-</v>
      </c>
      <c r="AW378" s="1345" t="str">
        <f t="shared" si="514"/>
        <v>-</v>
      </c>
      <c r="AX378" s="979" t="str">
        <f t="shared" si="515"/>
        <v>-</v>
      </c>
      <c r="AY378" s="979" t="str">
        <f t="shared" si="516"/>
        <v>-</v>
      </c>
      <c r="AZ378" s="979" t="str">
        <f t="shared" si="517"/>
        <v>-</v>
      </c>
      <c r="BA378" s="980" t="str">
        <f t="shared" si="518"/>
        <v>-</v>
      </c>
      <c r="BB378" s="1345" t="str">
        <f t="shared" si="519"/>
        <v>-</v>
      </c>
      <c r="BC378" s="979" t="str">
        <f t="shared" si="520"/>
        <v>-</v>
      </c>
      <c r="BD378" s="979" t="str">
        <f t="shared" si="521"/>
        <v>-</v>
      </c>
      <c r="BE378" s="979" t="str">
        <f t="shared" si="522"/>
        <v>-</v>
      </c>
      <c r="BF378" s="981" t="str">
        <f t="shared" si="523"/>
        <v>-</v>
      </c>
      <c r="BG378" s="951"/>
      <c r="BH378" s="1547" t="str">
        <f t="shared" si="524"/>
        <v>Price</v>
      </c>
      <c r="BI378" s="1548" t="str">
        <f t="shared" si="525"/>
        <v>[Service]</v>
      </c>
      <c r="BJ378" s="1549" t="str">
        <f t="shared" si="526"/>
        <v>[Price]</v>
      </c>
      <c r="BK378" s="978" t="str">
        <f t="shared" ref="BK378:BU378" si="606">IF(V378="","-",IFERROR((V378/U378-1)*(U380/U$13),"-"))</f>
        <v>-</v>
      </c>
      <c r="BL378" s="978" t="str">
        <f t="shared" si="606"/>
        <v>-</v>
      </c>
      <c r="BM378" s="979" t="str">
        <f t="shared" si="606"/>
        <v>-</v>
      </c>
      <c r="BN378" s="979" t="str">
        <f t="shared" si="606"/>
        <v>-</v>
      </c>
      <c r="BO378" s="1352" t="str">
        <f t="shared" si="606"/>
        <v>-</v>
      </c>
      <c r="BP378" s="1345" t="str">
        <f t="shared" si="606"/>
        <v>-</v>
      </c>
      <c r="BQ378" s="979" t="str">
        <f t="shared" si="606"/>
        <v>-</v>
      </c>
      <c r="BR378" s="979" t="str">
        <f t="shared" si="606"/>
        <v>-</v>
      </c>
      <c r="BS378" s="979" t="str">
        <f t="shared" si="606"/>
        <v>-</v>
      </c>
      <c r="BT378" s="980" t="str">
        <f t="shared" si="606"/>
        <v>-</v>
      </c>
      <c r="BU378" s="979" t="str">
        <f t="shared" si="606"/>
        <v>-</v>
      </c>
      <c r="BV378" s="979" t="str">
        <f>IF(AG378="","-",IFERROR((AG378/AF378-1)*(AF380/AF$13),"-"))</f>
        <v>-</v>
      </c>
      <c r="BW378" s="979" t="str">
        <f>IF(AH378="","-",IFERROR((AH378/AG378-1)*(AG380/AG$13),"-"))</f>
        <v>-</v>
      </c>
      <c r="BX378" s="979" t="str">
        <f>IF(AI378="","-",IFERROR((AI378/AH378-1)*(AH380/AH$13),"-"))</f>
        <v>-</v>
      </c>
      <c r="BY378" s="981" t="str">
        <f>IF(AJ378="","-",IFERROR((AJ378/AI378-1)*(AI380/AI$13),"-"))</f>
        <v>-</v>
      </c>
      <c r="BZ378" s="951"/>
      <c r="CA378" s="975" t="str">
        <f t="shared" si="503"/>
        <v>Price</v>
      </c>
      <c r="CB378" s="976" t="str">
        <f t="shared" si="504"/>
        <v>[Service]</v>
      </c>
      <c r="CC378" s="982" t="str">
        <f t="shared" si="505"/>
        <v>[Price]</v>
      </c>
      <c r="CD378" s="983" t="str">
        <f t="shared" si="536"/>
        <v>-</v>
      </c>
      <c r="CE378" s="979" t="str">
        <f t="shared" si="528"/>
        <v>-</v>
      </c>
      <c r="CF378" s="979" t="str">
        <f t="shared" si="529"/>
        <v>-</v>
      </c>
      <c r="CG378" s="980" t="str">
        <f t="shared" si="530"/>
        <v>-</v>
      </c>
      <c r="CH378" s="979" t="str">
        <f t="shared" si="537"/>
        <v>-</v>
      </c>
      <c r="CI378" s="979" t="str">
        <f t="shared" si="531"/>
        <v>-</v>
      </c>
      <c r="CJ378" s="979" t="str">
        <f t="shared" si="532"/>
        <v>-</v>
      </c>
      <c r="CK378" s="981" t="str">
        <f t="shared" si="533"/>
        <v>-</v>
      </c>
    </row>
    <row r="379" spans="4:89" outlineLevel="1">
      <c r="E379" s="567" t="s">
        <v>880</v>
      </c>
      <c r="F379" s="554" t="str">
        <f>+F378</f>
        <v>[Service]</v>
      </c>
      <c r="G379" s="555">
        <f>+G378</f>
        <v>0</v>
      </c>
      <c r="H379" s="555">
        <f>+H378</f>
        <v>0</v>
      </c>
      <c r="I379" s="556" t="str">
        <f>+I378</f>
        <v>[Price]</v>
      </c>
      <c r="J379" s="590" t="s">
        <v>916</v>
      </c>
      <c r="K379" s="557"/>
      <c r="L379" s="558"/>
      <c r="M379" s="558"/>
      <c r="N379" s="557"/>
      <c r="O379" s="558"/>
      <c r="P379" s="558"/>
      <c r="Q379" s="558"/>
      <c r="R379" s="1036"/>
      <c r="S379" s="1139"/>
      <c r="T379" s="593"/>
      <c r="U379" s="1036"/>
      <c r="V379" s="1139"/>
      <c r="W379" s="593"/>
      <c r="X379" s="593"/>
      <c r="Y379" s="593"/>
      <c r="Z379" s="1036"/>
      <c r="AA379" s="1139"/>
      <c r="AB379" s="593"/>
      <c r="AC379" s="593"/>
      <c r="AD379" s="593"/>
      <c r="AE379" s="1036"/>
      <c r="AF379" s="1139"/>
      <c r="AG379" s="593"/>
      <c r="AH379" s="593"/>
      <c r="AI379" s="593"/>
      <c r="AJ379" s="1036"/>
      <c r="AK379" s="569"/>
      <c r="AL379" s="569"/>
      <c r="AN379" s="857"/>
      <c r="AO379" s="961" t="str">
        <f t="shared" si="506"/>
        <v>Qty</v>
      </c>
      <c r="AP379" s="962" t="str">
        <f t="shared" si="507"/>
        <v>[Service]</v>
      </c>
      <c r="AQ379" s="963" t="str">
        <f t="shared" si="508"/>
        <v>[Price]</v>
      </c>
      <c r="AR379" s="967" t="str">
        <f t="shared" si="509"/>
        <v>-</v>
      </c>
      <c r="AS379" s="964" t="str">
        <f t="shared" si="510"/>
        <v>-</v>
      </c>
      <c r="AT379" s="964" t="str">
        <f t="shared" si="511"/>
        <v>-</v>
      </c>
      <c r="AU379" s="964" t="str">
        <f t="shared" si="512"/>
        <v>-</v>
      </c>
      <c r="AV379" s="1350" t="str">
        <f t="shared" si="513"/>
        <v>-</v>
      </c>
      <c r="AW379" s="1343" t="str">
        <f t="shared" si="514"/>
        <v>-</v>
      </c>
      <c r="AX379" s="964" t="str">
        <f t="shared" si="515"/>
        <v>-</v>
      </c>
      <c r="AY379" s="964" t="str">
        <f t="shared" si="516"/>
        <v>-</v>
      </c>
      <c r="AZ379" s="964" t="str">
        <f t="shared" si="517"/>
        <v>-</v>
      </c>
      <c r="BA379" s="965" t="str">
        <f t="shared" si="518"/>
        <v>-</v>
      </c>
      <c r="BB379" s="1343" t="str">
        <f t="shared" si="519"/>
        <v>-</v>
      </c>
      <c r="BC379" s="964" t="str">
        <f t="shared" si="520"/>
        <v>-</v>
      </c>
      <c r="BD379" s="964" t="str">
        <f t="shared" si="521"/>
        <v>-</v>
      </c>
      <c r="BE379" s="964" t="str">
        <f t="shared" si="522"/>
        <v>-</v>
      </c>
      <c r="BF379" s="966" t="str">
        <f t="shared" si="523"/>
        <v>-</v>
      </c>
      <c r="BG379" s="951"/>
      <c r="BH379" s="1541" t="str">
        <f t="shared" si="524"/>
        <v>Qty</v>
      </c>
      <c r="BI379" s="1542" t="str">
        <f t="shared" si="525"/>
        <v>[Service]</v>
      </c>
      <c r="BJ379" s="1543" t="str">
        <f t="shared" si="526"/>
        <v>[Price]</v>
      </c>
      <c r="BK379" s="964" t="str">
        <f t="shared" ref="BK379:BU379" si="607">IF(V379="","-",IFERROR((V379/U379-1)*(U380/U$13),"-"))</f>
        <v>-</v>
      </c>
      <c r="BL379" s="964" t="str">
        <f t="shared" si="607"/>
        <v>-</v>
      </c>
      <c r="BM379" s="964" t="str">
        <f t="shared" si="607"/>
        <v>-</v>
      </c>
      <c r="BN379" s="964" t="str">
        <f t="shared" si="607"/>
        <v>-</v>
      </c>
      <c r="BO379" s="1350" t="str">
        <f t="shared" si="607"/>
        <v>-</v>
      </c>
      <c r="BP379" s="1343" t="str">
        <f t="shared" si="607"/>
        <v>-</v>
      </c>
      <c r="BQ379" s="964" t="str">
        <f t="shared" si="607"/>
        <v>-</v>
      </c>
      <c r="BR379" s="964" t="str">
        <f t="shared" si="607"/>
        <v>-</v>
      </c>
      <c r="BS379" s="964" t="str">
        <f t="shared" si="607"/>
        <v>-</v>
      </c>
      <c r="BT379" s="965" t="str">
        <f t="shared" si="607"/>
        <v>-</v>
      </c>
      <c r="BU379" s="964" t="str">
        <f t="shared" si="607"/>
        <v>-</v>
      </c>
      <c r="BV379" s="964" t="str">
        <f>IF(AG379="","-",IFERROR((AG379/AF379-1)*(AF380/AF$13),"-"))</f>
        <v>-</v>
      </c>
      <c r="BW379" s="964" t="str">
        <f>IF(AH379="","-",IFERROR((AH379/AG379-1)*(AG380/AG$13),"-"))</f>
        <v>-</v>
      </c>
      <c r="BX379" s="964" t="str">
        <f>IF(AI379="","-",IFERROR((AI379/AH379-1)*(AH380/AH$13),"-"))</f>
        <v>-</v>
      </c>
      <c r="BY379" s="966" t="str">
        <f>IF(AJ379="","-",IFERROR((AJ379/AI379-1)*(AI380/AI$13),"-"))</f>
        <v>-</v>
      </c>
      <c r="BZ379" s="951"/>
      <c r="CA379" s="961" t="str">
        <f t="shared" si="503"/>
        <v>Qty</v>
      </c>
      <c r="CB379" s="962" t="str">
        <f t="shared" si="504"/>
        <v>[Service]</v>
      </c>
      <c r="CC379" s="962" t="str">
        <f t="shared" si="505"/>
        <v>[Price]</v>
      </c>
      <c r="CD379" s="967" t="str">
        <f t="shared" si="536"/>
        <v>-</v>
      </c>
      <c r="CE379" s="964" t="str">
        <f t="shared" si="528"/>
        <v>-</v>
      </c>
      <c r="CF379" s="964" t="str">
        <f t="shared" si="529"/>
        <v>-</v>
      </c>
      <c r="CG379" s="965" t="str">
        <f t="shared" si="530"/>
        <v>-</v>
      </c>
      <c r="CH379" s="964" t="str">
        <f t="shared" si="537"/>
        <v>-</v>
      </c>
      <c r="CI379" s="964" t="str">
        <f t="shared" si="531"/>
        <v>-</v>
      </c>
      <c r="CJ379" s="964" t="str">
        <f t="shared" si="532"/>
        <v>-</v>
      </c>
      <c r="CK379" s="966" t="str">
        <f t="shared" si="533"/>
        <v>-</v>
      </c>
    </row>
    <row r="380" spans="4:89" ht="12.75" outlineLevel="1" thickBot="1">
      <c r="E380" s="568" t="s">
        <v>882</v>
      </c>
      <c r="F380" s="560" t="str">
        <f>+F378</f>
        <v>[Service]</v>
      </c>
      <c r="G380" s="561">
        <f>+G378</f>
        <v>0</v>
      </c>
      <c r="H380" s="561">
        <f>+H378</f>
        <v>0</v>
      </c>
      <c r="I380" s="562" t="str">
        <f>+I378</f>
        <v>[Price]</v>
      </c>
      <c r="J380" s="563" t="s">
        <v>883</v>
      </c>
      <c r="K380" s="564">
        <f t="shared" ref="K380:AJ380" si="608">K378*K379/10^6</f>
        <v>0</v>
      </c>
      <c r="L380" s="565">
        <f t="shared" si="608"/>
        <v>0</v>
      </c>
      <c r="M380" s="565">
        <f t="shared" si="608"/>
        <v>0</v>
      </c>
      <c r="N380" s="564">
        <f t="shared" si="608"/>
        <v>0</v>
      </c>
      <c r="O380" s="565">
        <f t="shared" si="608"/>
        <v>0</v>
      </c>
      <c r="P380" s="565">
        <f t="shared" si="608"/>
        <v>0</v>
      </c>
      <c r="Q380" s="565">
        <f t="shared" si="608"/>
        <v>0</v>
      </c>
      <c r="R380" s="566">
        <f t="shared" si="608"/>
        <v>0</v>
      </c>
      <c r="S380" s="564">
        <f t="shared" si="608"/>
        <v>0</v>
      </c>
      <c r="T380" s="565">
        <f t="shared" si="608"/>
        <v>0</v>
      </c>
      <c r="U380" s="566">
        <f t="shared" si="608"/>
        <v>0</v>
      </c>
      <c r="V380" s="564">
        <f t="shared" si="608"/>
        <v>0</v>
      </c>
      <c r="W380" s="565">
        <f t="shared" si="608"/>
        <v>0</v>
      </c>
      <c r="X380" s="565">
        <f t="shared" si="608"/>
        <v>0</v>
      </c>
      <c r="Y380" s="565">
        <f t="shared" si="608"/>
        <v>0</v>
      </c>
      <c r="Z380" s="566">
        <f t="shared" si="608"/>
        <v>0</v>
      </c>
      <c r="AA380" s="564">
        <f t="shared" si="608"/>
        <v>0</v>
      </c>
      <c r="AB380" s="565">
        <f t="shared" si="608"/>
        <v>0</v>
      </c>
      <c r="AC380" s="565">
        <f t="shared" si="608"/>
        <v>0</v>
      </c>
      <c r="AD380" s="565">
        <f t="shared" si="608"/>
        <v>0</v>
      </c>
      <c r="AE380" s="566">
        <f t="shared" si="608"/>
        <v>0</v>
      </c>
      <c r="AF380" s="564">
        <f t="shared" si="608"/>
        <v>0</v>
      </c>
      <c r="AG380" s="565">
        <f t="shared" si="608"/>
        <v>0</v>
      </c>
      <c r="AH380" s="565">
        <f t="shared" si="608"/>
        <v>0</v>
      </c>
      <c r="AI380" s="565">
        <f t="shared" si="608"/>
        <v>0</v>
      </c>
      <c r="AJ380" s="566">
        <f t="shared" si="608"/>
        <v>0</v>
      </c>
      <c r="AK380" s="569"/>
      <c r="AL380" s="569"/>
      <c r="AN380" s="857"/>
      <c r="AO380" s="984" t="str">
        <f t="shared" si="506"/>
        <v>Rev</v>
      </c>
      <c r="AP380" s="985" t="str">
        <f t="shared" si="507"/>
        <v>[Service]</v>
      </c>
      <c r="AQ380" s="986" t="str">
        <f t="shared" si="508"/>
        <v>[Price]</v>
      </c>
      <c r="AR380" s="990" t="str">
        <f t="shared" si="509"/>
        <v>-</v>
      </c>
      <c r="AS380" s="987" t="str">
        <f t="shared" si="510"/>
        <v>-</v>
      </c>
      <c r="AT380" s="987" t="str">
        <f t="shared" si="511"/>
        <v>-</v>
      </c>
      <c r="AU380" s="987" t="str">
        <f t="shared" si="512"/>
        <v>-</v>
      </c>
      <c r="AV380" s="1353" t="str">
        <f t="shared" si="513"/>
        <v>-</v>
      </c>
      <c r="AW380" s="1346" t="str">
        <f t="shared" si="514"/>
        <v>-</v>
      </c>
      <c r="AX380" s="987" t="str">
        <f t="shared" si="515"/>
        <v>-</v>
      </c>
      <c r="AY380" s="987" t="str">
        <f t="shared" si="516"/>
        <v>-</v>
      </c>
      <c r="AZ380" s="987" t="str">
        <f t="shared" si="517"/>
        <v>-</v>
      </c>
      <c r="BA380" s="988" t="str">
        <f t="shared" si="518"/>
        <v>-</v>
      </c>
      <c r="BB380" s="1346" t="str">
        <f t="shared" si="519"/>
        <v>-</v>
      </c>
      <c r="BC380" s="987" t="str">
        <f t="shared" si="520"/>
        <v>-</v>
      </c>
      <c r="BD380" s="987" t="str">
        <f t="shared" si="521"/>
        <v>-</v>
      </c>
      <c r="BE380" s="987" t="str">
        <f t="shared" si="522"/>
        <v>-</v>
      </c>
      <c r="BF380" s="989" t="str">
        <f t="shared" si="523"/>
        <v>-</v>
      </c>
      <c r="BG380" s="951"/>
      <c r="BH380" s="1550" t="str">
        <f t="shared" si="524"/>
        <v>Rev</v>
      </c>
      <c r="BI380" s="1551" t="str">
        <f t="shared" si="525"/>
        <v>[Service]</v>
      </c>
      <c r="BJ380" s="1552" t="str">
        <f t="shared" si="526"/>
        <v>[Price]</v>
      </c>
      <c r="BK380" s="987" t="str">
        <f t="shared" ref="BK380:BU380" si="609">IF(V380="","-",IFERROR((V380/U380-1)*(U380/U$13),"-"))</f>
        <v>-</v>
      </c>
      <c r="BL380" s="987" t="str">
        <f t="shared" si="609"/>
        <v>-</v>
      </c>
      <c r="BM380" s="987" t="str">
        <f t="shared" si="609"/>
        <v>-</v>
      </c>
      <c r="BN380" s="987" t="str">
        <f t="shared" si="609"/>
        <v>-</v>
      </c>
      <c r="BO380" s="1353" t="str">
        <f t="shared" si="609"/>
        <v>-</v>
      </c>
      <c r="BP380" s="1346" t="str">
        <f t="shared" si="609"/>
        <v>-</v>
      </c>
      <c r="BQ380" s="987" t="str">
        <f t="shared" si="609"/>
        <v>-</v>
      </c>
      <c r="BR380" s="987" t="str">
        <f t="shared" si="609"/>
        <v>-</v>
      </c>
      <c r="BS380" s="987" t="str">
        <f t="shared" si="609"/>
        <v>-</v>
      </c>
      <c r="BT380" s="988" t="str">
        <f t="shared" si="609"/>
        <v>-</v>
      </c>
      <c r="BU380" s="987" t="str">
        <f t="shared" si="609"/>
        <v>-</v>
      </c>
      <c r="BV380" s="987" t="str">
        <f>IF(AG380="","-",IFERROR((AG380/AF380-1)*(AF380/AF$13),"-"))</f>
        <v>-</v>
      </c>
      <c r="BW380" s="987" t="str">
        <f>IF(AH380="","-",IFERROR((AH380/AG380-1)*(AG380/AG$13),"-"))</f>
        <v>-</v>
      </c>
      <c r="BX380" s="987" t="str">
        <f>IF(AI380="","-",IFERROR((AI380/AH380-1)*(AH380/AH$13),"-"))</f>
        <v>-</v>
      </c>
      <c r="BY380" s="989" t="str">
        <f>IF(AJ380="","-",IFERROR((AJ380/AI380-1)*(AI380/AI$13),"-"))</f>
        <v>-</v>
      </c>
      <c r="BZ380" s="951"/>
      <c r="CA380" s="984" t="str">
        <f t="shared" si="503"/>
        <v>Rev</v>
      </c>
      <c r="CB380" s="985" t="str">
        <f t="shared" si="504"/>
        <v>[Service]</v>
      </c>
      <c r="CC380" s="985" t="str">
        <f t="shared" si="505"/>
        <v>[Price]</v>
      </c>
      <c r="CD380" s="990" t="str">
        <f t="shared" si="536"/>
        <v>-</v>
      </c>
      <c r="CE380" s="987" t="str">
        <f t="shared" si="528"/>
        <v>-</v>
      </c>
      <c r="CF380" s="987" t="str">
        <f t="shared" si="529"/>
        <v>-</v>
      </c>
      <c r="CG380" s="988" t="str">
        <f t="shared" si="530"/>
        <v>-</v>
      </c>
      <c r="CH380" s="987" t="str">
        <f t="shared" si="537"/>
        <v>-</v>
      </c>
      <c r="CI380" s="987" t="str">
        <f t="shared" si="531"/>
        <v>-</v>
      </c>
      <c r="CJ380" s="987" t="str">
        <f t="shared" si="532"/>
        <v>-</v>
      </c>
      <c r="CK380" s="989" t="str">
        <f t="shared" si="533"/>
        <v>-</v>
      </c>
    </row>
    <row r="381" spans="4:89" outlineLevel="1">
      <c r="D381" s="63">
        <f>D378+1</f>
        <v>105</v>
      </c>
      <c r="E381" s="550" t="s">
        <v>857</v>
      </c>
      <c r="F381" s="595" t="s">
        <v>428</v>
      </c>
      <c r="G381" s="595"/>
      <c r="H381" s="595"/>
      <c r="I381" s="589" t="s">
        <v>920</v>
      </c>
      <c r="J381" s="589" t="s">
        <v>879</v>
      </c>
      <c r="K381" s="551"/>
      <c r="L381" s="552"/>
      <c r="M381" s="552"/>
      <c r="N381" s="551"/>
      <c r="O381" s="552"/>
      <c r="P381" s="552"/>
      <c r="Q381" s="552"/>
      <c r="R381" s="1035"/>
      <c r="S381" s="1138"/>
      <c r="T381" s="591"/>
      <c r="U381" s="1035"/>
      <c r="V381" s="1138"/>
      <c r="W381" s="591"/>
      <c r="X381" s="591"/>
      <c r="Y381" s="591"/>
      <c r="Z381" s="1035"/>
      <c r="AA381" s="1138"/>
      <c r="AB381" s="591"/>
      <c r="AC381" s="591"/>
      <c r="AD381" s="591"/>
      <c r="AE381" s="1035"/>
      <c r="AF381" s="1138"/>
      <c r="AG381" s="591"/>
      <c r="AH381" s="591"/>
      <c r="AI381" s="591"/>
      <c r="AJ381" s="1035"/>
      <c r="AK381" s="569"/>
      <c r="AL381" s="569"/>
      <c r="AM381" s="974"/>
      <c r="AN381" s="857"/>
      <c r="AO381" s="975" t="str">
        <f t="shared" si="506"/>
        <v>Price</v>
      </c>
      <c r="AP381" s="976" t="str">
        <f t="shared" si="507"/>
        <v>[Service]</v>
      </c>
      <c r="AQ381" s="977" t="str">
        <f t="shared" si="508"/>
        <v>[Price]</v>
      </c>
      <c r="AR381" s="1341" t="str">
        <f t="shared" si="509"/>
        <v>-</v>
      </c>
      <c r="AS381" s="978" t="str">
        <f t="shared" si="510"/>
        <v>-</v>
      </c>
      <c r="AT381" s="979" t="str">
        <f t="shared" si="511"/>
        <v>-</v>
      </c>
      <c r="AU381" s="979" t="str">
        <f t="shared" si="512"/>
        <v>-</v>
      </c>
      <c r="AV381" s="1352" t="str">
        <f t="shared" si="513"/>
        <v>-</v>
      </c>
      <c r="AW381" s="1345" t="str">
        <f t="shared" si="514"/>
        <v>-</v>
      </c>
      <c r="AX381" s="979" t="str">
        <f t="shared" si="515"/>
        <v>-</v>
      </c>
      <c r="AY381" s="979" t="str">
        <f t="shared" si="516"/>
        <v>-</v>
      </c>
      <c r="AZ381" s="979" t="str">
        <f t="shared" si="517"/>
        <v>-</v>
      </c>
      <c r="BA381" s="980" t="str">
        <f t="shared" si="518"/>
        <v>-</v>
      </c>
      <c r="BB381" s="1345" t="str">
        <f t="shared" si="519"/>
        <v>-</v>
      </c>
      <c r="BC381" s="979" t="str">
        <f t="shared" si="520"/>
        <v>-</v>
      </c>
      <c r="BD381" s="979" t="str">
        <f t="shared" si="521"/>
        <v>-</v>
      </c>
      <c r="BE381" s="979" t="str">
        <f t="shared" si="522"/>
        <v>-</v>
      </c>
      <c r="BF381" s="981" t="str">
        <f t="shared" si="523"/>
        <v>-</v>
      </c>
      <c r="BG381" s="951"/>
      <c r="BH381" s="1547" t="str">
        <f t="shared" si="524"/>
        <v>Price</v>
      </c>
      <c r="BI381" s="1548" t="str">
        <f t="shared" si="525"/>
        <v>[Service]</v>
      </c>
      <c r="BJ381" s="1549" t="str">
        <f t="shared" si="526"/>
        <v>[Price]</v>
      </c>
      <c r="BK381" s="978" t="str">
        <f t="shared" ref="BK381:BU381" si="610">IF(V381="","-",IFERROR((V381/U381-1)*(U383/U$13),"-"))</f>
        <v>-</v>
      </c>
      <c r="BL381" s="978" t="str">
        <f t="shared" si="610"/>
        <v>-</v>
      </c>
      <c r="BM381" s="979" t="str">
        <f t="shared" si="610"/>
        <v>-</v>
      </c>
      <c r="BN381" s="979" t="str">
        <f t="shared" si="610"/>
        <v>-</v>
      </c>
      <c r="BO381" s="1352" t="str">
        <f t="shared" si="610"/>
        <v>-</v>
      </c>
      <c r="BP381" s="1345" t="str">
        <f t="shared" si="610"/>
        <v>-</v>
      </c>
      <c r="BQ381" s="979" t="str">
        <f t="shared" si="610"/>
        <v>-</v>
      </c>
      <c r="BR381" s="979" t="str">
        <f t="shared" si="610"/>
        <v>-</v>
      </c>
      <c r="BS381" s="979" t="str">
        <f t="shared" si="610"/>
        <v>-</v>
      </c>
      <c r="BT381" s="980" t="str">
        <f t="shared" si="610"/>
        <v>-</v>
      </c>
      <c r="BU381" s="979" t="str">
        <f t="shared" si="610"/>
        <v>-</v>
      </c>
      <c r="BV381" s="979" t="str">
        <f>IF(AG381="","-",IFERROR((AG381/AF381-1)*(AF383/AF$13),"-"))</f>
        <v>-</v>
      </c>
      <c r="BW381" s="979" t="str">
        <f>IF(AH381="","-",IFERROR((AH381/AG381-1)*(AG383/AG$13),"-"))</f>
        <v>-</v>
      </c>
      <c r="BX381" s="979" t="str">
        <f>IF(AI381="","-",IFERROR((AI381/AH381-1)*(AH383/AH$13),"-"))</f>
        <v>-</v>
      </c>
      <c r="BY381" s="981" t="str">
        <f>IF(AJ381="","-",IFERROR((AJ381/AI381-1)*(AI383/AI$13),"-"))</f>
        <v>-</v>
      </c>
      <c r="BZ381" s="951"/>
      <c r="CA381" s="975" t="str">
        <f t="shared" si="503"/>
        <v>Price</v>
      </c>
      <c r="CB381" s="976" t="str">
        <f t="shared" si="504"/>
        <v>[Service]</v>
      </c>
      <c r="CC381" s="982" t="str">
        <f t="shared" si="505"/>
        <v>[Price]</v>
      </c>
      <c r="CD381" s="983" t="str">
        <f t="shared" si="536"/>
        <v>-</v>
      </c>
      <c r="CE381" s="979" t="str">
        <f t="shared" si="528"/>
        <v>-</v>
      </c>
      <c r="CF381" s="979" t="str">
        <f t="shared" si="529"/>
        <v>-</v>
      </c>
      <c r="CG381" s="980" t="str">
        <f t="shared" si="530"/>
        <v>-</v>
      </c>
      <c r="CH381" s="979" t="str">
        <f t="shared" si="537"/>
        <v>-</v>
      </c>
      <c r="CI381" s="979" t="str">
        <f t="shared" si="531"/>
        <v>-</v>
      </c>
      <c r="CJ381" s="979" t="str">
        <f t="shared" si="532"/>
        <v>-</v>
      </c>
      <c r="CK381" s="981" t="str">
        <f t="shared" si="533"/>
        <v>-</v>
      </c>
    </row>
    <row r="382" spans="4:89" outlineLevel="1">
      <c r="E382" s="567" t="s">
        <v>880</v>
      </c>
      <c r="F382" s="554" t="str">
        <f>+F381</f>
        <v>[Service]</v>
      </c>
      <c r="G382" s="555">
        <f>+G381</f>
        <v>0</v>
      </c>
      <c r="H382" s="555">
        <f>+H381</f>
        <v>0</v>
      </c>
      <c r="I382" s="556" t="str">
        <f>+I381</f>
        <v>[Price]</v>
      </c>
      <c r="J382" s="590" t="s">
        <v>916</v>
      </c>
      <c r="K382" s="557"/>
      <c r="L382" s="558"/>
      <c r="M382" s="558"/>
      <c r="N382" s="557"/>
      <c r="O382" s="558"/>
      <c r="P382" s="558"/>
      <c r="Q382" s="558"/>
      <c r="R382" s="1036"/>
      <c r="S382" s="1139"/>
      <c r="T382" s="593"/>
      <c r="U382" s="1036"/>
      <c r="V382" s="1139"/>
      <c r="W382" s="593"/>
      <c r="X382" s="593"/>
      <c r="Y382" s="593"/>
      <c r="Z382" s="1036"/>
      <c r="AA382" s="1139"/>
      <c r="AB382" s="593"/>
      <c r="AC382" s="593"/>
      <c r="AD382" s="593"/>
      <c r="AE382" s="1036"/>
      <c r="AF382" s="1139"/>
      <c r="AG382" s="593"/>
      <c r="AH382" s="593"/>
      <c r="AI382" s="593"/>
      <c r="AJ382" s="1036"/>
      <c r="AK382" s="569"/>
      <c r="AL382" s="569"/>
      <c r="AN382" s="857"/>
      <c r="AO382" s="961" t="str">
        <f t="shared" si="506"/>
        <v>Qty</v>
      </c>
      <c r="AP382" s="962" t="str">
        <f t="shared" si="507"/>
        <v>[Service]</v>
      </c>
      <c r="AQ382" s="963" t="str">
        <f t="shared" si="508"/>
        <v>[Price]</v>
      </c>
      <c r="AR382" s="967" t="str">
        <f t="shared" si="509"/>
        <v>-</v>
      </c>
      <c r="AS382" s="964" t="str">
        <f t="shared" si="510"/>
        <v>-</v>
      </c>
      <c r="AT382" s="964" t="str">
        <f t="shared" si="511"/>
        <v>-</v>
      </c>
      <c r="AU382" s="964" t="str">
        <f t="shared" si="512"/>
        <v>-</v>
      </c>
      <c r="AV382" s="1350" t="str">
        <f t="shared" si="513"/>
        <v>-</v>
      </c>
      <c r="AW382" s="1343" t="str">
        <f t="shared" si="514"/>
        <v>-</v>
      </c>
      <c r="AX382" s="964" t="str">
        <f t="shared" si="515"/>
        <v>-</v>
      </c>
      <c r="AY382" s="964" t="str">
        <f t="shared" si="516"/>
        <v>-</v>
      </c>
      <c r="AZ382" s="964" t="str">
        <f t="shared" si="517"/>
        <v>-</v>
      </c>
      <c r="BA382" s="965" t="str">
        <f t="shared" si="518"/>
        <v>-</v>
      </c>
      <c r="BB382" s="1343" t="str">
        <f t="shared" si="519"/>
        <v>-</v>
      </c>
      <c r="BC382" s="964" t="str">
        <f t="shared" si="520"/>
        <v>-</v>
      </c>
      <c r="BD382" s="964" t="str">
        <f t="shared" si="521"/>
        <v>-</v>
      </c>
      <c r="BE382" s="964" t="str">
        <f t="shared" si="522"/>
        <v>-</v>
      </c>
      <c r="BF382" s="966" t="str">
        <f t="shared" si="523"/>
        <v>-</v>
      </c>
      <c r="BG382" s="951"/>
      <c r="BH382" s="1541" t="str">
        <f t="shared" si="524"/>
        <v>Qty</v>
      </c>
      <c r="BI382" s="1542" t="str">
        <f t="shared" si="525"/>
        <v>[Service]</v>
      </c>
      <c r="BJ382" s="1543" t="str">
        <f t="shared" si="526"/>
        <v>[Price]</v>
      </c>
      <c r="BK382" s="964" t="str">
        <f t="shared" ref="BK382:BU382" si="611">IF(V382="","-",IFERROR((V382/U382-1)*(U383/U$13),"-"))</f>
        <v>-</v>
      </c>
      <c r="BL382" s="964" t="str">
        <f t="shared" si="611"/>
        <v>-</v>
      </c>
      <c r="BM382" s="964" t="str">
        <f t="shared" si="611"/>
        <v>-</v>
      </c>
      <c r="BN382" s="964" t="str">
        <f t="shared" si="611"/>
        <v>-</v>
      </c>
      <c r="BO382" s="1350" t="str">
        <f t="shared" si="611"/>
        <v>-</v>
      </c>
      <c r="BP382" s="1343" t="str">
        <f t="shared" si="611"/>
        <v>-</v>
      </c>
      <c r="BQ382" s="964" t="str">
        <f t="shared" si="611"/>
        <v>-</v>
      </c>
      <c r="BR382" s="964" t="str">
        <f t="shared" si="611"/>
        <v>-</v>
      </c>
      <c r="BS382" s="964" t="str">
        <f t="shared" si="611"/>
        <v>-</v>
      </c>
      <c r="BT382" s="965" t="str">
        <f t="shared" si="611"/>
        <v>-</v>
      </c>
      <c r="BU382" s="964" t="str">
        <f t="shared" si="611"/>
        <v>-</v>
      </c>
      <c r="BV382" s="964" t="str">
        <f>IF(AG382="","-",IFERROR((AG382/AF382-1)*(AF383/AF$13),"-"))</f>
        <v>-</v>
      </c>
      <c r="BW382" s="964" t="str">
        <f>IF(AH382="","-",IFERROR((AH382/AG382-1)*(AG383/AG$13),"-"))</f>
        <v>-</v>
      </c>
      <c r="BX382" s="964" t="str">
        <f>IF(AI382="","-",IFERROR((AI382/AH382-1)*(AH383/AH$13),"-"))</f>
        <v>-</v>
      </c>
      <c r="BY382" s="966" t="str">
        <f>IF(AJ382="","-",IFERROR((AJ382/AI382-1)*(AI383/AI$13),"-"))</f>
        <v>-</v>
      </c>
      <c r="BZ382" s="951"/>
      <c r="CA382" s="961" t="str">
        <f t="shared" si="503"/>
        <v>Qty</v>
      </c>
      <c r="CB382" s="962" t="str">
        <f t="shared" si="504"/>
        <v>[Service]</v>
      </c>
      <c r="CC382" s="962" t="str">
        <f t="shared" si="505"/>
        <v>[Price]</v>
      </c>
      <c r="CD382" s="967" t="str">
        <f t="shared" si="536"/>
        <v>-</v>
      </c>
      <c r="CE382" s="964" t="str">
        <f t="shared" si="528"/>
        <v>-</v>
      </c>
      <c r="CF382" s="964" t="str">
        <f t="shared" si="529"/>
        <v>-</v>
      </c>
      <c r="CG382" s="965" t="str">
        <f t="shared" si="530"/>
        <v>-</v>
      </c>
      <c r="CH382" s="964" t="str">
        <f t="shared" si="537"/>
        <v>-</v>
      </c>
      <c r="CI382" s="964" t="str">
        <f t="shared" si="531"/>
        <v>-</v>
      </c>
      <c r="CJ382" s="964" t="str">
        <f t="shared" si="532"/>
        <v>-</v>
      </c>
      <c r="CK382" s="966" t="str">
        <f t="shared" si="533"/>
        <v>-</v>
      </c>
    </row>
    <row r="383" spans="4:89" ht="12.75" outlineLevel="1" thickBot="1">
      <c r="E383" s="568" t="s">
        <v>882</v>
      </c>
      <c r="F383" s="560" t="str">
        <f>+F381</f>
        <v>[Service]</v>
      </c>
      <c r="G383" s="561">
        <f>+G381</f>
        <v>0</v>
      </c>
      <c r="H383" s="561">
        <f>+H381</f>
        <v>0</v>
      </c>
      <c r="I383" s="562" t="str">
        <f>+I381</f>
        <v>[Price]</v>
      </c>
      <c r="J383" s="563" t="s">
        <v>883</v>
      </c>
      <c r="K383" s="564">
        <f t="shared" ref="K383:AJ383" si="612">K381*K382/10^6</f>
        <v>0</v>
      </c>
      <c r="L383" s="565">
        <f t="shared" si="612"/>
        <v>0</v>
      </c>
      <c r="M383" s="565">
        <f t="shared" si="612"/>
        <v>0</v>
      </c>
      <c r="N383" s="564">
        <f t="shared" si="612"/>
        <v>0</v>
      </c>
      <c r="O383" s="565">
        <f t="shared" si="612"/>
        <v>0</v>
      </c>
      <c r="P383" s="565">
        <f t="shared" si="612"/>
        <v>0</v>
      </c>
      <c r="Q383" s="565">
        <f t="shared" si="612"/>
        <v>0</v>
      </c>
      <c r="R383" s="566">
        <f t="shared" si="612"/>
        <v>0</v>
      </c>
      <c r="S383" s="564">
        <f t="shared" si="612"/>
        <v>0</v>
      </c>
      <c r="T383" s="565">
        <f t="shared" si="612"/>
        <v>0</v>
      </c>
      <c r="U383" s="566">
        <f t="shared" si="612"/>
        <v>0</v>
      </c>
      <c r="V383" s="564">
        <f t="shared" si="612"/>
        <v>0</v>
      </c>
      <c r="W383" s="565">
        <f t="shared" si="612"/>
        <v>0</v>
      </c>
      <c r="X383" s="565">
        <f t="shared" si="612"/>
        <v>0</v>
      </c>
      <c r="Y383" s="565">
        <f t="shared" si="612"/>
        <v>0</v>
      </c>
      <c r="Z383" s="566">
        <f t="shared" si="612"/>
        <v>0</v>
      </c>
      <c r="AA383" s="564">
        <f t="shared" si="612"/>
        <v>0</v>
      </c>
      <c r="AB383" s="565">
        <f t="shared" si="612"/>
        <v>0</v>
      </c>
      <c r="AC383" s="565">
        <f t="shared" si="612"/>
        <v>0</v>
      </c>
      <c r="AD383" s="565">
        <f t="shared" si="612"/>
        <v>0</v>
      </c>
      <c r="AE383" s="566">
        <f t="shared" si="612"/>
        <v>0</v>
      </c>
      <c r="AF383" s="564">
        <f t="shared" si="612"/>
        <v>0</v>
      </c>
      <c r="AG383" s="565">
        <f t="shared" si="612"/>
        <v>0</v>
      </c>
      <c r="AH383" s="565">
        <f t="shared" si="612"/>
        <v>0</v>
      </c>
      <c r="AI383" s="565">
        <f t="shared" si="612"/>
        <v>0</v>
      </c>
      <c r="AJ383" s="566">
        <f t="shared" si="612"/>
        <v>0</v>
      </c>
      <c r="AK383" s="569"/>
      <c r="AL383" s="569"/>
      <c r="AN383" s="857"/>
      <c r="AO383" s="984" t="str">
        <f t="shared" si="506"/>
        <v>Rev</v>
      </c>
      <c r="AP383" s="985" t="str">
        <f t="shared" si="507"/>
        <v>[Service]</v>
      </c>
      <c r="AQ383" s="986" t="str">
        <f t="shared" si="508"/>
        <v>[Price]</v>
      </c>
      <c r="AR383" s="990" t="str">
        <f t="shared" si="509"/>
        <v>-</v>
      </c>
      <c r="AS383" s="987" t="str">
        <f t="shared" si="510"/>
        <v>-</v>
      </c>
      <c r="AT383" s="987" t="str">
        <f t="shared" si="511"/>
        <v>-</v>
      </c>
      <c r="AU383" s="987" t="str">
        <f t="shared" si="512"/>
        <v>-</v>
      </c>
      <c r="AV383" s="1353" t="str">
        <f t="shared" si="513"/>
        <v>-</v>
      </c>
      <c r="AW383" s="1346" t="str">
        <f t="shared" si="514"/>
        <v>-</v>
      </c>
      <c r="AX383" s="987" t="str">
        <f t="shared" si="515"/>
        <v>-</v>
      </c>
      <c r="AY383" s="987" t="str">
        <f t="shared" si="516"/>
        <v>-</v>
      </c>
      <c r="AZ383" s="987" t="str">
        <f t="shared" si="517"/>
        <v>-</v>
      </c>
      <c r="BA383" s="988" t="str">
        <f t="shared" si="518"/>
        <v>-</v>
      </c>
      <c r="BB383" s="1346" t="str">
        <f t="shared" si="519"/>
        <v>-</v>
      </c>
      <c r="BC383" s="987" t="str">
        <f t="shared" si="520"/>
        <v>-</v>
      </c>
      <c r="BD383" s="987" t="str">
        <f t="shared" si="521"/>
        <v>-</v>
      </c>
      <c r="BE383" s="987" t="str">
        <f t="shared" si="522"/>
        <v>-</v>
      </c>
      <c r="BF383" s="989" t="str">
        <f t="shared" si="523"/>
        <v>-</v>
      </c>
      <c r="BG383" s="951"/>
      <c r="BH383" s="1550" t="str">
        <f t="shared" si="524"/>
        <v>Rev</v>
      </c>
      <c r="BI383" s="1551" t="str">
        <f t="shared" si="525"/>
        <v>[Service]</v>
      </c>
      <c r="BJ383" s="1552" t="str">
        <f t="shared" si="526"/>
        <v>[Price]</v>
      </c>
      <c r="BK383" s="987" t="str">
        <f t="shared" ref="BK383:BU383" si="613">IF(V383="","-",IFERROR((V383/U383-1)*(U383/U$13),"-"))</f>
        <v>-</v>
      </c>
      <c r="BL383" s="987" t="str">
        <f t="shared" si="613"/>
        <v>-</v>
      </c>
      <c r="BM383" s="987" t="str">
        <f t="shared" si="613"/>
        <v>-</v>
      </c>
      <c r="BN383" s="987" t="str">
        <f t="shared" si="613"/>
        <v>-</v>
      </c>
      <c r="BO383" s="1353" t="str">
        <f t="shared" si="613"/>
        <v>-</v>
      </c>
      <c r="BP383" s="1346" t="str">
        <f t="shared" si="613"/>
        <v>-</v>
      </c>
      <c r="BQ383" s="987" t="str">
        <f t="shared" si="613"/>
        <v>-</v>
      </c>
      <c r="BR383" s="987" t="str">
        <f t="shared" si="613"/>
        <v>-</v>
      </c>
      <c r="BS383" s="987" t="str">
        <f t="shared" si="613"/>
        <v>-</v>
      </c>
      <c r="BT383" s="988" t="str">
        <f t="shared" si="613"/>
        <v>-</v>
      </c>
      <c r="BU383" s="987" t="str">
        <f t="shared" si="613"/>
        <v>-</v>
      </c>
      <c r="BV383" s="987" t="str">
        <f>IF(AG383="","-",IFERROR((AG383/AF383-1)*(AF383/AF$13),"-"))</f>
        <v>-</v>
      </c>
      <c r="BW383" s="987" t="str">
        <f>IF(AH383="","-",IFERROR((AH383/AG383-1)*(AG383/AG$13),"-"))</f>
        <v>-</v>
      </c>
      <c r="BX383" s="987" t="str">
        <f>IF(AI383="","-",IFERROR((AI383/AH383-1)*(AH383/AH$13),"-"))</f>
        <v>-</v>
      </c>
      <c r="BY383" s="989" t="str">
        <f>IF(AJ383="","-",IFERROR((AJ383/AI383-1)*(AI383/AI$13),"-"))</f>
        <v>-</v>
      </c>
      <c r="BZ383" s="951"/>
      <c r="CA383" s="984" t="str">
        <f t="shared" si="503"/>
        <v>Rev</v>
      </c>
      <c r="CB383" s="985" t="str">
        <f t="shared" si="504"/>
        <v>[Service]</v>
      </c>
      <c r="CC383" s="985" t="str">
        <f t="shared" si="505"/>
        <v>[Price]</v>
      </c>
      <c r="CD383" s="990" t="str">
        <f t="shared" si="536"/>
        <v>-</v>
      </c>
      <c r="CE383" s="987" t="str">
        <f t="shared" si="528"/>
        <v>-</v>
      </c>
      <c r="CF383" s="987" t="str">
        <f t="shared" si="529"/>
        <v>-</v>
      </c>
      <c r="CG383" s="988" t="str">
        <f t="shared" si="530"/>
        <v>-</v>
      </c>
      <c r="CH383" s="987" t="str">
        <f t="shared" si="537"/>
        <v>-</v>
      </c>
      <c r="CI383" s="987" t="str">
        <f t="shared" si="531"/>
        <v>-</v>
      </c>
      <c r="CJ383" s="987" t="str">
        <f t="shared" si="532"/>
        <v>-</v>
      </c>
      <c r="CK383" s="989" t="str">
        <f t="shared" si="533"/>
        <v>-</v>
      </c>
    </row>
    <row r="384" spans="4:89" outlineLevel="1">
      <c r="D384" s="63">
        <f>D381+1</f>
        <v>106</v>
      </c>
      <c r="E384" s="550" t="s">
        <v>857</v>
      </c>
      <c r="F384" s="595" t="s">
        <v>428</v>
      </c>
      <c r="G384" s="595"/>
      <c r="H384" s="595"/>
      <c r="I384" s="589" t="s">
        <v>920</v>
      </c>
      <c r="J384" s="589" t="s">
        <v>879</v>
      </c>
      <c r="K384" s="551"/>
      <c r="L384" s="552"/>
      <c r="M384" s="552"/>
      <c r="N384" s="551"/>
      <c r="O384" s="552"/>
      <c r="P384" s="552"/>
      <c r="Q384" s="552"/>
      <c r="R384" s="1035"/>
      <c r="S384" s="1138"/>
      <c r="T384" s="591"/>
      <c r="U384" s="1035"/>
      <c r="V384" s="1138"/>
      <c r="W384" s="591"/>
      <c r="X384" s="591"/>
      <c r="Y384" s="591"/>
      <c r="Z384" s="1035"/>
      <c r="AA384" s="1138"/>
      <c r="AB384" s="591"/>
      <c r="AC384" s="591"/>
      <c r="AD384" s="591"/>
      <c r="AE384" s="1035"/>
      <c r="AF384" s="1138"/>
      <c r="AG384" s="591"/>
      <c r="AH384" s="591"/>
      <c r="AI384" s="591"/>
      <c r="AJ384" s="1035"/>
      <c r="AK384" s="569"/>
      <c r="AL384" s="569"/>
      <c r="AM384" s="974"/>
      <c r="AN384" s="857"/>
      <c r="AO384" s="975" t="str">
        <f t="shared" si="506"/>
        <v>Price</v>
      </c>
      <c r="AP384" s="976" t="str">
        <f t="shared" si="507"/>
        <v>[Service]</v>
      </c>
      <c r="AQ384" s="977" t="str">
        <f t="shared" si="508"/>
        <v>[Price]</v>
      </c>
      <c r="AR384" s="1341" t="str">
        <f t="shared" si="509"/>
        <v>-</v>
      </c>
      <c r="AS384" s="978" t="str">
        <f t="shared" si="510"/>
        <v>-</v>
      </c>
      <c r="AT384" s="979" t="str">
        <f t="shared" si="511"/>
        <v>-</v>
      </c>
      <c r="AU384" s="979" t="str">
        <f t="shared" si="512"/>
        <v>-</v>
      </c>
      <c r="AV384" s="1352" t="str">
        <f t="shared" si="513"/>
        <v>-</v>
      </c>
      <c r="AW384" s="1345" t="str">
        <f t="shared" si="514"/>
        <v>-</v>
      </c>
      <c r="AX384" s="979" t="str">
        <f t="shared" si="515"/>
        <v>-</v>
      </c>
      <c r="AY384" s="979" t="str">
        <f t="shared" si="516"/>
        <v>-</v>
      </c>
      <c r="AZ384" s="979" t="str">
        <f t="shared" si="517"/>
        <v>-</v>
      </c>
      <c r="BA384" s="980" t="str">
        <f t="shared" si="518"/>
        <v>-</v>
      </c>
      <c r="BB384" s="1345" t="str">
        <f t="shared" si="519"/>
        <v>-</v>
      </c>
      <c r="BC384" s="979" t="str">
        <f t="shared" si="520"/>
        <v>-</v>
      </c>
      <c r="BD384" s="979" t="str">
        <f t="shared" si="521"/>
        <v>-</v>
      </c>
      <c r="BE384" s="979" t="str">
        <f t="shared" si="522"/>
        <v>-</v>
      </c>
      <c r="BF384" s="981" t="str">
        <f t="shared" si="523"/>
        <v>-</v>
      </c>
      <c r="BG384" s="951"/>
      <c r="BH384" s="1547" t="str">
        <f t="shared" si="524"/>
        <v>Price</v>
      </c>
      <c r="BI384" s="1548" t="str">
        <f t="shared" si="525"/>
        <v>[Service]</v>
      </c>
      <c r="BJ384" s="1549" t="str">
        <f t="shared" si="526"/>
        <v>[Price]</v>
      </c>
      <c r="BK384" s="978" t="str">
        <f t="shared" ref="BK384:BU384" si="614">IF(V384="","-",IFERROR((V384/U384-1)*(U386/U$13),"-"))</f>
        <v>-</v>
      </c>
      <c r="BL384" s="978" t="str">
        <f t="shared" si="614"/>
        <v>-</v>
      </c>
      <c r="BM384" s="979" t="str">
        <f t="shared" si="614"/>
        <v>-</v>
      </c>
      <c r="BN384" s="979" t="str">
        <f t="shared" si="614"/>
        <v>-</v>
      </c>
      <c r="BO384" s="1352" t="str">
        <f t="shared" si="614"/>
        <v>-</v>
      </c>
      <c r="BP384" s="1345" t="str">
        <f t="shared" si="614"/>
        <v>-</v>
      </c>
      <c r="BQ384" s="979" t="str">
        <f t="shared" si="614"/>
        <v>-</v>
      </c>
      <c r="BR384" s="979" t="str">
        <f t="shared" si="614"/>
        <v>-</v>
      </c>
      <c r="BS384" s="979" t="str">
        <f t="shared" si="614"/>
        <v>-</v>
      </c>
      <c r="BT384" s="980" t="str">
        <f t="shared" si="614"/>
        <v>-</v>
      </c>
      <c r="BU384" s="979" t="str">
        <f t="shared" si="614"/>
        <v>-</v>
      </c>
      <c r="BV384" s="979" t="str">
        <f>IF(AG384="","-",IFERROR((AG384/AF384-1)*(AF386/AF$13),"-"))</f>
        <v>-</v>
      </c>
      <c r="BW384" s="979" t="str">
        <f>IF(AH384="","-",IFERROR((AH384/AG384-1)*(AG386/AG$13),"-"))</f>
        <v>-</v>
      </c>
      <c r="BX384" s="979" t="str">
        <f>IF(AI384="","-",IFERROR((AI384/AH384-1)*(AH386/AH$13),"-"))</f>
        <v>-</v>
      </c>
      <c r="BY384" s="981" t="str">
        <f>IF(AJ384="","-",IFERROR((AJ384/AI384-1)*(AI386/AI$13),"-"))</f>
        <v>-</v>
      </c>
      <c r="BZ384" s="951"/>
      <c r="CA384" s="975" t="str">
        <f t="shared" si="503"/>
        <v>Price</v>
      </c>
      <c r="CB384" s="976" t="str">
        <f t="shared" si="504"/>
        <v>[Service]</v>
      </c>
      <c r="CC384" s="982" t="str">
        <f t="shared" si="505"/>
        <v>[Price]</v>
      </c>
      <c r="CD384" s="983" t="str">
        <f t="shared" si="536"/>
        <v>-</v>
      </c>
      <c r="CE384" s="979" t="str">
        <f t="shared" si="528"/>
        <v>-</v>
      </c>
      <c r="CF384" s="979" t="str">
        <f t="shared" si="529"/>
        <v>-</v>
      </c>
      <c r="CG384" s="980" t="str">
        <f t="shared" si="530"/>
        <v>-</v>
      </c>
      <c r="CH384" s="979" t="str">
        <f t="shared" si="537"/>
        <v>-</v>
      </c>
      <c r="CI384" s="979" t="str">
        <f t="shared" si="531"/>
        <v>-</v>
      </c>
      <c r="CJ384" s="979" t="str">
        <f t="shared" si="532"/>
        <v>-</v>
      </c>
      <c r="CK384" s="981" t="str">
        <f t="shared" si="533"/>
        <v>-</v>
      </c>
    </row>
    <row r="385" spans="4:89" outlineLevel="1">
      <c r="E385" s="567" t="s">
        <v>880</v>
      </c>
      <c r="F385" s="554" t="str">
        <f>+F384</f>
        <v>[Service]</v>
      </c>
      <c r="G385" s="555">
        <f>+G384</f>
        <v>0</v>
      </c>
      <c r="H385" s="555">
        <f>+H384</f>
        <v>0</v>
      </c>
      <c r="I385" s="556" t="str">
        <f>+I384</f>
        <v>[Price]</v>
      </c>
      <c r="J385" s="590" t="s">
        <v>916</v>
      </c>
      <c r="K385" s="557"/>
      <c r="L385" s="558"/>
      <c r="M385" s="558"/>
      <c r="N385" s="557"/>
      <c r="O385" s="558"/>
      <c r="P385" s="558"/>
      <c r="Q385" s="558"/>
      <c r="R385" s="1036"/>
      <c r="S385" s="1139"/>
      <c r="T385" s="593"/>
      <c r="U385" s="1036"/>
      <c r="V385" s="1139"/>
      <c r="W385" s="593"/>
      <c r="X385" s="593"/>
      <c r="Y385" s="593"/>
      <c r="Z385" s="1036"/>
      <c r="AA385" s="1139"/>
      <c r="AB385" s="593"/>
      <c r="AC385" s="593"/>
      <c r="AD385" s="593"/>
      <c r="AE385" s="1036"/>
      <c r="AF385" s="1139"/>
      <c r="AG385" s="593"/>
      <c r="AH385" s="593"/>
      <c r="AI385" s="593"/>
      <c r="AJ385" s="1036"/>
      <c r="AK385" s="569"/>
      <c r="AL385" s="569"/>
      <c r="AN385" s="857"/>
      <c r="AO385" s="961" t="str">
        <f t="shared" si="506"/>
        <v>Qty</v>
      </c>
      <c r="AP385" s="962" t="str">
        <f t="shared" si="507"/>
        <v>[Service]</v>
      </c>
      <c r="AQ385" s="963" t="str">
        <f t="shared" si="508"/>
        <v>[Price]</v>
      </c>
      <c r="AR385" s="967" t="str">
        <f t="shared" si="509"/>
        <v>-</v>
      </c>
      <c r="AS385" s="964" t="str">
        <f t="shared" si="510"/>
        <v>-</v>
      </c>
      <c r="AT385" s="964" t="str">
        <f t="shared" si="511"/>
        <v>-</v>
      </c>
      <c r="AU385" s="964" t="str">
        <f t="shared" si="512"/>
        <v>-</v>
      </c>
      <c r="AV385" s="1350" t="str">
        <f t="shared" si="513"/>
        <v>-</v>
      </c>
      <c r="AW385" s="1343" t="str">
        <f t="shared" si="514"/>
        <v>-</v>
      </c>
      <c r="AX385" s="964" t="str">
        <f t="shared" si="515"/>
        <v>-</v>
      </c>
      <c r="AY385" s="964" t="str">
        <f t="shared" si="516"/>
        <v>-</v>
      </c>
      <c r="AZ385" s="964" t="str">
        <f t="shared" si="517"/>
        <v>-</v>
      </c>
      <c r="BA385" s="965" t="str">
        <f t="shared" si="518"/>
        <v>-</v>
      </c>
      <c r="BB385" s="1343" t="str">
        <f t="shared" si="519"/>
        <v>-</v>
      </c>
      <c r="BC385" s="964" t="str">
        <f t="shared" si="520"/>
        <v>-</v>
      </c>
      <c r="BD385" s="964" t="str">
        <f t="shared" si="521"/>
        <v>-</v>
      </c>
      <c r="BE385" s="964" t="str">
        <f t="shared" si="522"/>
        <v>-</v>
      </c>
      <c r="BF385" s="966" t="str">
        <f t="shared" si="523"/>
        <v>-</v>
      </c>
      <c r="BG385" s="951"/>
      <c r="BH385" s="1541" t="str">
        <f t="shared" si="524"/>
        <v>Qty</v>
      </c>
      <c r="BI385" s="1542" t="str">
        <f t="shared" si="525"/>
        <v>[Service]</v>
      </c>
      <c r="BJ385" s="1543" t="str">
        <f t="shared" si="526"/>
        <v>[Price]</v>
      </c>
      <c r="BK385" s="964" t="str">
        <f t="shared" ref="BK385:BU385" si="615">IF(V385="","-",IFERROR((V385/U385-1)*(U386/U$13),"-"))</f>
        <v>-</v>
      </c>
      <c r="BL385" s="964" t="str">
        <f t="shared" si="615"/>
        <v>-</v>
      </c>
      <c r="BM385" s="964" t="str">
        <f t="shared" si="615"/>
        <v>-</v>
      </c>
      <c r="BN385" s="964" t="str">
        <f t="shared" si="615"/>
        <v>-</v>
      </c>
      <c r="BO385" s="1350" t="str">
        <f t="shared" si="615"/>
        <v>-</v>
      </c>
      <c r="BP385" s="1343" t="str">
        <f t="shared" si="615"/>
        <v>-</v>
      </c>
      <c r="BQ385" s="964" t="str">
        <f t="shared" si="615"/>
        <v>-</v>
      </c>
      <c r="BR385" s="964" t="str">
        <f t="shared" si="615"/>
        <v>-</v>
      </c>
      <c r="BS385" s="964" t="str">
        <f t="shared" si="615"/>
        <v>-</v>
      </c>
      <c r="BT385" s="965" t="str">
        <f t="shared" si="615"/>
        <v>-</v>
      </c>
      <c r="BU385" s="964" t="str">
        <f t="shared" si="615"/>
        <v>-</v>
      </c>
      <c r="BV385" s="964" t="str">
        <f>IF(AG385="","-",IFERROR((AG385/AF385-1)*(AF386/AF$13),"-"))</f>
        <v>-</v>
      </c>
      <c r="BW385" s="964" t="str">
        <f>IF(AH385="","-",IFERROR((AH385/AG385-1)*(AG386/AG$13),"-"))</f>
        <v>-</v>
      </c>
      <c r="BX385" s="964" t="str">
        <f>IF(AI385="","-",IFERROR((AI385/AH385-1)*(AH386/AH$13),"-"))</f>
        <v>-</v>
      </c>
      <c r="BY385" s="966" t="str">
        <f>IF(AJ385="","-",IFERROR((AJ385/AI385-1)*(AI386/AI$13),"-"))</f>
        <v>-</v>
      </c>
      <c r="BZ385" s="951"/>
      <c r="CA385" s="961" t="str">
        <f t="shared" si="503"/>
        <v>Qty</v>
      </c>
      <c r="CB385" s="962" t="str">
        <f t="shared" si="504"/>
        <v>[Service]</v>
      </c>
      <c r="CC385" s="962" t="str">
        <f t="shared" si="505"/>
        <v>[Price]</v>
      </c>
      <c r="CD385" s="967" t="str">
        <f t="shared" si="536"/>
        <v>-</v>
      </c>
      <c r="CE385" s="964" t="str">
        <f t="shared" si="528"/>
        <v>-</v>
      </c>
      <c r="CF385" s="964" t="str">
        <f t="shared" si="529"/>
        <v>-</v>
      </c>
      <c r="CG385" s="965" t="str">
        <f t="shared" si="530"/>
        <v>-</v>
      </c>
      <c r="CH385" s="964" t="str">
        <f t="shared" si="537"/>
        <v>-</v>
      </c>
      <c r="CI385" s="964" t="str">
        <f t="shared" si="531"/>
        <v>-</v>
      </c>
      <c r="CJ385" s="964" t="str">
        <f t="shared" si="532"/>
        <v>-</v>
      </c>
      <c r="CK385" s="966" t="str">
        <f t="shared" si="533"/>
        <v>-</v>
      </c>
    </row>
    <row r="386" spans="4:89" ht="12.75" outlineLevel="1" thickBot="1">
      <c r="E386" s="568" t="s">
        <v>882</v>
      </c>
      <c r="F386" s="560" t="str">
        <f>+F384</f>
        <v>[Service]</v>
      </c>
      <c r="G386" s="561">
        <f>+G384</f>
        <v>0</v>
      </c>
      <c r="H386" s="561">
        <f>+H384</f>
        <v>0</v>
      </c>
      <c r="I386" s="562" t="str">
        <f>+I384</f>
        <v>[Price]</v>
      </c>
      <c r="J386" s="563" t="s">
        <v>883</v>
      </c>
      <c r="K386" s="564">
        <f t="shared" ref="K386:AJ386" si="616">K384*K385/10^6</f>
        <v>0</v>
      </c>
      <c r="L386" s="565">
        <f t="shared" si="616"/>
        <v>0</v>
      </c>
      <c r="M386" s="565">
        <f t="shared" si="616"/>
        <v>0</v>
      </c>
      <c r="N386" s="564">
        <f t="shared" si="616"/>
        <v>0</v>
      </c>
      <c r="O386" s="565">
        <f t="shared" si="616"/>
        <v>0</v>
      </c>
      <c r="P386" s="565">
        <f t="shared" si="616"/>
        <v>0</v>
      </c>
      <c r="Q386" s="565">
        <f t="shared" si="616"/>
        <v>0</v>
      </c>
      <c r="R386" s="566">
        <f t="shared" si="616"/>
        <v>0</v>
      </c>
      <c r="S386" s="564">
        <f t="shared" si="616"/>
        <v>0</v>
      </c>
      <c r="T386" s="565">
        <f t="shared" si="616"/>
        <v>0</v>
      </c>
      <c r="U386" s="566">
        <f t="shared" si="616"/>
        <v>0</v>
      </c>
      <c r="V386" s="564">
        <f t="shared" si="616"/>
        <v>0</v>
      </c>
      <c r="W386" s="565">
        <f t="shared" si="616"/>
        <v>0</v>
      </c>
      <c r="X386" s="565">
        <f t="shared" si="616"/>
        <v>0</v>
      </c>
      <c r="Y386" s="565">
        <f t="shared" si="616"/>
        <v>0</v>
      </c>
      <c r="Z386" s="566">
        <f t="shared" si="616"/>
        <v>0</v>
      </c>
      <c r="AA386" s="564">
        <f t="shared" si="616"/>
        <v>0</v>
      </c>
      <c r="AB386" s="565">
        <f t="shared" si="616"/>
        <v>0</v>
      </c>
      <c r="AC386" s="565">
        <f t="shared" si="616"/>
        <v>0</v>
      </c>
      <c r="AD386" s="565">
        <f t="shared" si="616"/>
        <v>0</v>
      </c>
      <c r="AE386" s="566">
        <f t="shared" si="616"/>
        <v>0</v>
      </c>
      <c r="AF386" s="564">
        <f t="shared" si="616"/>
        <v>0</v>
      </c>
      <c r="AG386" s="565">
        <f t="shared" si="616"/>
        <v>0</v>
      </c>
      <c r="AH386" s="565">
        <f t="shared" si="616"/>
        <v>0</v>
      </c>
      <c r="AI386" s="565">
        <f t="shared" si="616"/>
        <v>0</v>
      </c>
      <c r="AJ386" s="566">
        <f t="shared" si="616"/>
        <v>0</v>
      </c>
      <c r="AK386" s="569"/>
      <c r="AL386" s="569"/>
      <c r="AN386" s="857"/>
      <c r="AO386" s="984" t="str">
        <f t="shared" si="506"/>
        <v>Rev</v>
      </c>
      <c r="AP386" s="985" t="str">
        <f t="shared" si="507"/>
        <v>[Service]</v>
      </c>
      <c r="AQ386" s="986" t="str">
        <f t="shared" si="508"/>
        <v>[Price]</v>
      </c>
      <c r="AR386" s="990" t="str">
        <f t="shared" si="509"/>
        <v>-</v>
      </c>
      <c r="AS386" s="987" t="str">
        <f t="shared" si="510"/>
        <v>-</v>
      </c>
      <c r="AT386" s="987" t="str">
        <f t="shared" si="511"/>
        <v>-</v>
      </c>
      <c r="AU386" s="987" t="str">
        <f t="shared" si="512"/>
        <v>-</v>
      </c>
      <c r="AV386" s="1353" t="str">
        <f t="shared" si="513"/>
        <v>-</v>
      </c>
      <c r="AW386" s="1346" t="str">
        <f t="shared" si="514"/>
        <v>-</v>
      </c>
      <c r="AX386" s="987" t="str">
        <f t="shared" si="515"/>
        <v>-</v>
      </c>
      <c r="AY386" s="987" t="str">
        <f t="shared" si="516"/>
        <v>-</v>
      </c>
      <c r="AZ386" s="987" t="str">
        <f t="shared" si="517"/>
        <v>-</v>
      </c>
      <c r="BA386" s="988" t="str">
        <f t="shared" si="518"/>
        <v>-</v>
      </c>
      <c r="BB386" s="1346" t="str">
        <f t="shared" si="519"/>
        <v>-</v>
      </c>
      <c r="BC386" s="987" t="str">
        <f t="shared" si="520"/>
        <v>-</v>
      </c>
      <c r="BD386" s="987" t="str">
        <f t="shared" si="521"/>
        <v>-</v>
      </c>
      <c r="BE386" s="987" t="str">
        <f t="shared" si="522"/>
        <v>-</v>
      </c>
      <c r="BF386" s="989" t="str">
        <f t="shared" si="523"/>
        <v>-</v>
      </c>
      <c r="BG386" s="951"/>
      <c r="BH386" s="1550" t="str">
        <f t="shared" si="524"/>
        <v>Rev</v>
      </c>
      <c r="BI386" s="1551" t="str">
        <f t="shared" si="525"/>
        <v>[Service]</v>
      </c>
      <c r="BJ386" s="1552" t="str">
        <f t="shared" si="526"/>
        <v>[Price]</v>
      </c>
      <c r="BK386" s="987" t="str">
        <f t="shared" ref="BK386:BU386" si="617">IF(V386="","-",IFERROR((V386/U386-1)*(U386/U$13),"-"))</f>
        <v>-</v>
      </c>
      <c r="BL386" s="987" t="str">
        <f t="shared" si="617"/>
        <v>-</v>
      </c>
      <c r="BM386" s="987" t="str">
        <f t="shared" si="617"/>
        <v>-</v>
      </c>
      <c r="BN386" s="987" t="str">
        <f t="shared" si="617"/>
        <v>-</v>
      </c>
      <c r="BO386" s="1353" t="str">
        <f t="shared" si="617"/>
        <v>-</v>
      </c>
      <c r="BP386" s="1346" t="str">
        <f t="shared" si="617"/>
        <v>-</v>
      </c>
      <c r="BQ386" s="987" t="str">
        <f t="shared" si="617"/>
        <v>-</v>
      </c>
      <c r="BR386" s="987" t="str">
        <f t="shared" si="617"/>
        <v>-</v>
      </c>
      <c r="BS386" s="987" t="str">
        <f t="shared" si="617"/>
        <v>-</v>
      </c>
      <c r="BT386" s="988" t="str">
        <f t="shared" si="617"/>
        <v>-</v>
      </c>
      <c r="BU386" s="987" t="str">
        <f t="shared" si="617"/>
        <v>-</v>
      </c>
      <c r="BV386" s="987" t="str">
        <f>IF(AG386="","-",IFERROR((AG386/AF386-1)*(AF386/AF$13),"-"))</f>
        <v>-</v>
      </c>
      <c r="BW386" s="987" t="str">
        <f>IF(AH386="","-",IFERROR((AH386/AG386-1)*(AG386/AG$13),"-"))</f>
        <v>-</v>
      </c>
      <c r="BX386" s="987" t="str">
        <f>IF(AI386="","-",IFERROR((AI386/AH386-1)*(AH386/AH$13),"-"))</f>
        <v>-</v>
      </c>
      <c r="BY386" s="989" t="str">
        <f>IF(AJ386="","-",IFERROR((AJ386/AI386-1)*(AI386/AI$13),"-"))</f>
        <v>-</v>
      </c>
      <c r="BZ386" s="951"/>
      <c r="CA386" s="984" t="str">
        <f t="shared" si="503"/>
        <v>Rev</v>
      </c>
      <c r="CB386" s="985" t="str">
        <f t="shared" si="504"/>
        <v>[Service]</v>
      </c>
      <c r="CC386" s="985" t="str">
        <f t="shared" si="505"/>
        <v>[Price]</v>
      </c>
      <c r="CD386" s="990" t="str">
        <f t="shared" si="536"/>
        <v>-</v>
      </c>
      <c r="CE386" s="987" t="str">
        <f t="shared" si="528"/>
        <v>-</v>
      </c>
      <c r="CF386" s="987" t="str">
        <f t="shared" si="529"/>
        <v>-</v>
      </c>
      <c r="CG386" s="988" t="str">
        <f t="shared" si="530"/>
        <v>-</v>
      </c>
      <c r="CH386" s="987" t="str">
        <f t="shared" si="537"/>
        <v>-</v>
      </c>
      <c r="CI386" s="987" t="str">
        <f t="shared" si="531"/>
        <v>-</v>
      </c>
      <c r="CJ386" s="987" t="str">
        <f t="shared" si="532"/>
        <v>-</v>
      </c>
      <c r="CK386" s="989" t="str">
        <f t="shared" si="533"/>
        <v>-</v>
      </c>
    </row>
    <row r="387" spans="4:89" outlineLevel="1">
      <c r="D387" s="63">
        <f>D384+1</f>
        <v>107</v>
      </c>
      <c r="E387" s="550" t="s">
        <v>857</v>
      </c>
      <c r="F387" s="595" t="s">
        <v>428</v>
      </c>
      <c r="G387" s="595"/>
      <c r="H387" s="595"/>
      <c r="I387" s="589" t="s">
        <v>920</v>
      </c>
      <c r="J387" s="589" t="s">
        <v>879</v>
      </c>
      <c r="K387" s="551"/>
      <c r="L387" s="552"/>
      <c r="M387" s="552"/>
      <c r="N387" s="551"/>
      <c r="O387" s="552"/>
      <c r="P387" s="552"/>
      <c r="Q387" s="552"/>
      <c r="R387" s="1035"/>
      <c r="S387" s="1138"/>
      <c r="T387" s="591"/>
      <c r="U387" s="1035"/>
      <c r="V387" s="1138"/>
      <c r="W387" s="591"/>
      <c r="X387" s="591"/>
      <c r="Y387" s="591"/>
      <c r="Z387" s="1035"/>
      <c r="AA387" s="1138"/>
      <c r="AB387" s="591"/>
      <c r="AC387" s="591"/>
      <c r="AD387" s="591"/>
      <c r="AE387" s="1035"/>
      <c r="AF387" s="1138"/>
      <c r="AG387" s="591"/>
      <c r="AH387" s="591"/>
      <c r="AI387" s="591"/>
      <c r="AJ387" s="1035"/>
      <c r="AK387" s="569"/>
      <c r="AL387" s="569"/>
      <c r="AM387" s="974"/>
      <c r="AN387" s="857"/>
      <c r="AO387" s="975" t="str">
        <f t="shared" si="506"/>
        <v>Price</v>
      </c>
      <c r="AP387" s="976" t="str">
        <f t="shared" si="507"/>
        <v>[Service]</v>
      </c>
      <c r="AQ387" s="977" t="str">
        <f t="shared" si="508"/>
        <v>[Price]</v>
      </c>
      <c r="AR387" s="1341" t="str">
        <f t="shared" si="509"/>
        <v>-</v>
      </c>
      <c r="AS387" s="978" t="str">
        <f t="shared" si="510"/>
        <v>-</v>
      </c>
      <c r="AT387" s="979" t="str">
        <f t="shared" si="511"/>
        <v>-</v>
      </c>
      <c r="AU387" s="979" t="str">
        <f t="shared" si="512"/>
        <v>-</v>
      </c>
      <c r="AV387" s="1352" t="str">
        <f t="shared" si="513"/>
        <v>-</v>
      </c>
      <c r="AW387" s="1345" t="str">
        <f t="shared" si="514"/>
        <v>-</v>
      </c>
      <c r="AX387" s="979" t="str">
        <f t="shared" si="515"/>
        <v>-</v>
      </c>
      <c r="AY387" s="979" t="str">
        <f t="shared" si="516"/>
        <v>-</v>
      </c>
      <c r="AZ387" s="979" t="str">
        <f t="shared" si="517"/>
        <v>-</v>
      </c>
      <c r="BA387" s="980" t="str">
        <f t="shared" si="518"/>
        <v>-</v>
      </c>
      <c r="BB387" s="1345" t="str">
        <f t="shared" si="519"/>
        <v>-</v>
      </c>
      <c r="BC387" s="979" t="str">
        <f t="shared" si="520"/>
        <v>-</v>
      </c>
      <c r="BD387" s="979" t="str">
        <f t="shared" si="521"/>
        <v>-</v>
      </c>
      <c r="BE387" s="979" t="str">
        <f t="shared" si="522"/>
        <v>-</v>
      </c>
      <c r="BF387" s="981" t="str">
        <f t="shared" si="523"/>
        <v>-</v>
      </c>
      <c r="BG387" s="951"/>
      <c r="BH387" s="1547" t="str">
        <f t="shared" si="524"/>
        <v>Price</v>
      </c>
      <c r="BI387" s="1548" t="str">
        <f t="shared" si="525"/>
        <v>[Service]</v>
      </c>
      <c r="BJ387" s="1549" t="str">
        <f t="shared" si="526"/>
        <v>[Price]</v>
      </c>
      <c r="BK387" s="978" t="str">
        <f t="shared" ref="BK387:BU387" si="618">IF(V387="","-",IFERROR((V387/U387-1)*(U389/U$13),"-"))</f>
        <v>-</v>
      </c>
      <c r="BL387" s="978" t="str">
        <f t="shared" si="618"/>
        <v>-</v>
      </c>
      <c r="BM387" s="979" t="str">
        <f t="shared" si="618"/>
        <v>-</v>
      </c>
      <c r="BN387" s="979" t="str">
        <f t="shared" si="618"/>
        <v>-</v>
      </c>
      <c r="BO387" s="1352" t="str">
        <f t="shared" si="618"/>
        <v>-</v>
      </c>
      <c r="BP387" s="1345" t="str">
        <f t="shared" si="618"/>
        <v>-</v>
      </c>
      <c r="BQ387" s="979" t="str">
        <f t="shared" si="618"/>
        <v>-</v>
      </c>
      <c r="BR387" s="979" t="str">
        <f t="shared" si="618"/>
        <v>-</v>
      </c>
      <c r="BS387" s="979" t="str">
        <f t="shared" si="618"/>
        <v>-</v>
      </c>
      <c r="BT387" s="980" t="str">
        <f t="shared" si="618"/>
        <v>-</v>
      </c>
      <c r="BU387" s="979" t="str">
        <f t="shared" si="618"/>
        <v>-</v>
      </c>
      <c r="BV387" s="979" t="str">
        <f>IF(AG387="","-",IFERROR((AG387/AF387-1)*(AF389/AF$13),"-"))</f>
        <v>-</v>
      </c>
      <c r="BW387" s="979" t="str">
        <f>IF(AH387="","-",IFERROR((AH387/AG387-1)*(AG389/AG$13),"-"))</f>
        <v>-</v>
      </c>
      <c r="BX387" s="979" t="str">
        <f>IF(AI387="","-",IFERROR((AI387/AH387-1)*(AH389/AH$13),"-"))</f>
        <v>-</v>
      </c>
      <c r="BY387" s="981" t="str">
        <f>IF(AJ387="","-",IFERROR((AJ387/AI387-1)*(AI389/AI$13),"-"))</f>
        <v>-</v>
      </c>
      <c r="BZ387" s="951"/>
      <c r="CA387" s="975" t="str">
        <f t="shared" si="503"/>
        <v>Price</v>
      </c>
      <c r="CB387" s="976" t="str">
        <f t="shared" si="504"/>
        <v>[Service]</v>
      </c>
      <c r="CC387" s="982" t="str">
        <f t="shared" si="505"/>
        <v>[Price]</v>
      </c>
      <c r="CD387" s="983" t="str">
        <f t="shared" si="536"/>
        <v>-</v>
      </c>
      <c r="CE387" s="979" t="str">
        <f t="shared" si="528"/>
        <v>-</v>
      </c>
      <c r="CF387" s="979" t="str">
        <f t="shared" si="529"/>
        <v>-</v>
      </c>
      <c r="CG387" s="980" t="str">
        <f t="shared" si="530"/>
        <v>-</v>
      </c>
      <c r="CH387" s="979" t="str">
        <f t="shared" si="537"/>
        <v>-</v>
      </c>
      <c r="CI387" s="979" t="str">
        <f t="shared" si="531"/>
        <v>-</v>
      </c>
      <c r="CJ387" s="979" t="str">
        <f t="shared" si="532"/>
        <v>-</v>
      </c>
      <c r="CK387" s="981" t="str">
        <f t="shared" si="533"/>
        <v>-</v>
      </c>
    </row>
    <row r="388" spans="4:89" outlineLevel="1">
      <c r="E388" s="567" t="s">
        <v>880</v>
      </c>
      <c r="F388" s="554" t="str">
        <f>+F387</f>
        <v>[Service]</v>
      </c>
      <c r="G388" s="555">
        <f>+G387</f>
        <v>0</v>
      </c>
      <c r="H388" s="555">
        <f>+H387</f>
        <v>0</v>
      </c>
      <c r="I388" s="556" t="str">
        <f>+I387</f>
        <v>[Price]</v>
      </c>
      <c r="J388" s="590" t="s">
        <v>916</v>
      </c>
      <c r="K388" s="557"/>
      <c r="L388" s="558"/>
      <c r="M388" s="558"/>
      <c r="N388" s="557"/>
      <c r="O388" s="558"/>
      <c r="P388" s="558"/>
      <c r="Q388" s="558"/>
      <c r="R388" s="1036"/>
      <c r="S388" s="1139"/>
      <c r="T388" s="593"/>
      <c r="U388" s="1036"/>
      <c r="V388" s="1139"/>
      <c r="W388" s="593"/>
      <c r="X388" s="593"/>
      <c r="Y388" s="593"/>
      <c r="Z388" s="1036"/>
      <c r="AA388" s="1139"/>
      <c r="AB388" s="593"/>
      <c r="AC388" s="593"/>
      <c r="AD388" s="593"/>
      <c r="AE388" s="1036"/>
      <c r="AF388" s="1139"/>
      <c r="AG388" s="593"/>
      <c r="AH388" s="593"/>
      <c r="AI388" s="593"/>
      <c r="AJ388" s="1036"/>
      <c r="AK388" s="569"/>
      <c r="AL388" s="569"/>
      <c r="AN388" s="857"/>
      <c r="AO388" s="961" t="str">
        <f t="shared" si="506"/>
        <v>Qty</v>
      </c>
      <c r="AP388" s="962" t="str">
        <f t="shared" si="507"/>
        <v>[Service]</v>
      </c>
      <c r="AQ388" s="963" t="str">
        <f t="shared" si="508"/>
        <v>[Price]</v>
      </c>
      <c r="AR388" s="967" t="str">
        <f t="shared" si="509"/>
        <v>-</v>
      </c>
      <c r="AS388" s="964" t="str">
        <f t="shared" si="510"/>
        <v>-</v>
      </c>
      <c r="AT388" s="964" t="str">
        <f t="shared" si="511"/>
        <v>-</v>
      </c>
      <c r="AU388" s="964" t="str">
        <f t="shared" si="512"/>
        <v>-</v>
      </c>
      <c r="AV388" s="1350" t="str">
        <f t="shared" si="513"/>
        <v>-</v>
      </c>
      <c r="AW388" s="1343" t="str">
        <f t="shared" si="514"/>
        <v>-</v>
      </c>
      <c r="AX388" s="964" t="str">
        <f t="shared" si="515"/>
        <v>-</v>
      </c>
      <c r="AY388" s="964" t="str">
        <f t="shared" si="516"/>
        <v>-</v>
      </c>
      <c r="AZ388" s="964" t="str">
        <f t="shared" si="517"/>
        <v>-</v>
      </c>
      <c r="BA388" s="965" t="str">
        <f t="shared" si="518"/>
        <v>-</v>
      </c>
      <c r="BB388" s="1343" t="str">
        <f t="shared" si="519"/>
        <v>-</v>
      </c>
      <c r="BC388" s="964" t="str">
        <f t="shared" si="520"/>
        <v>-</v>
      </c>
      <c r="BD388" s="964" t="str">
        <f t="shared" si="521"/>
        <v>-</v>
      </c>
      <c r="BE388" s="964" t="str">
        <f t="shared" si="522"/>
        <v>-</v>
      </c>
      <c r="BF388" s="966" t="str">
        <f t="shared" si="523"/>
        <v>-</v>
      </c>
      <c r="BG388" s="951"/>
      <c r="BH388" s="1541" t="str">
        <f t="shared" si="524"/>
        <v>Qty</v>
      </c>
      <c r="BI388" s="1542" t="str">
        <f t="shared" si="525"/>
        <v>[Service]</v>
      </c>
      <c r="BJ388" s="1543" t="str">
        <f t="shared" si="526"/>
        <v>[Price]</v>
      </c>
      <c r="BK388" s="964" t="str">
        <f t="shared" ref="BK388:BU388" si="619">IF(V388="","-",IFERROR((V388/U388-1)*(U389/U$13),"-"))</f>
        <v>-</v>
      </c>
      <c r="BL388" s="964" t="str">
        <f t="shared" si="619"/>
        <v>-</v>
      </c>
      <c r="BM388" s="964" t="str">
        <f t="shared" si="619"/>
        <v>-</v>
      </c>
      <c r="BN388" s="964" t="str">
        <f t="shared" si="619"/>
        <v>-</v>
      </c>
      <c r="BO388" s="1350" t="str">
        <f t="shared" si="619"/>
        <v>-</v>
      </c>
      <c r="BP388" s="1343" t="str">
        <f t="shared" si="619"/>
        <v>-</v>
      </c>
      <c r="BQ388" s="964" t="str">
        <f t="shared" si="619"/>
        <v>-</v>
      </c>
      <c r="BR388" s="964" t="str">
        <f t="shared" si="619"/>
        <v>-</v>
      </c>
      <c r="BS388" s="964" t="str">
        <f t="shared" si="619"/>
        <v>-</v>
      </c>
      <c r="BT388" s="965" t="str">
        <f t="shared" si="619"/>
        <v>-</v>
      </c>
      <c r="BU388" s="964" t="str">
        <f t="shared" si="619"/>
        <v>-</v>
      </c>
      <c r="BV388" s="964" t="str">
        <f>IF(AG388="","-",IFERROR((AG388/AF388-1)*(AF389/AF$13),"-"))</f>
        <v>-</v>
      </c>
      <c r="BW388" s="964" t="str">
        <f>IF(AH388="","-",IFERROR((AH388/AG388-1)*(AG389/AG$13),"-"))</f>
        <v>-</v>
      </c>
      <c r="BX388" s="964" t="str">
        <f>IF(AI388="","-",IFERROR((AI388/AH388-1)*(AH389/AH$13),"-"))</f>
        <v>-</v>
      </c>
      <c r="BY388" s="966" t="str">
        <f>IF(AJ388="","-",IFERROR((AJ388/AI388-1)*(AI389/AI$13),"-"))</f>
        <v>-</v>
      </c>
      <c r="BZ388" s="951"/>
      <c r="CA388" s="961" t="str">
        <f t="shared" ref="CA388:CA443" si="620">AO388</f>
        <v>Qty</v>
      </c>
      <c r="CB388" s="962" t="str">
        <f t="shared" ref="CB388:CB443" si="621">AP388</f>
        <v>[Service]</v>
      </c>
      <c r="CC388" s="962" t="str">
        <f t="shared" ref="CC388:CC443" si="622">AQ388</f>
        <v>[Price]</v>
      </c>
      <c r="CD388" s="967" t="str">
        <f t="shared" si="536"/>
        <v>-</v>
      </c>
      <c r="CE388" s="964" t="str">
        <f t="shared" si="528"/>
        <v>-</v>
      </c>
      <c r="CF388" s="964" t="str">
        <f t="shared" si="529"/>
        <v>-</v>
      </c>
      <c r="CG388" s="965" t="str">
        <f t="shared" si="530"/>
        <v>-</v>
      </c>
      <c r="CH388" s="964" t="str">
        <f t="shared" si="537"/>
        <v>-</v>
      </c>
      <c r="CI388" s="964" t="str">
        <f t="shared" si="531"/>
        <v>-</v>
      </c>
      <c r="CJ388" s="964" t="str">
        <f t="shared" si="532"/>
        <v>-</v>
      </c>
      <c r="CK388" s="966" t="str">
        <f t="shared" si="533"/>
        <v>-</v>
      </c>
    </row>
    <row r="389" spans="4:89" ht="12.75" outlineLevel="1" thickBot="1">
      <c r="E389" s="568" t="s">
        <v>882</v>
      </c>
      <c r="F389" s="560" t="str">
        <f>+F387</f>
        <v>[Service]</v>
      </c>
      <c r="G389" s="561">
        <f>+G387</f>
        <v>0</v>
      </c>
      <c r="H389" s="561">
        <f>+H387</f>
        <v>0</v>
      </c>
      <c r="I389" s="562" t="str">
        <f>+I387</f>
        <v>[Price]</v>
      </c>
      <c r="J389" s="563" t="s">
        <v>883</v>
      </c>
      <c r="K389" s="564">
        <f t="shared" ref="K389:AJ389" si="623">K387*K388/10^6</f>
        <v>0</v>
      </c>
      <c r="L389" s="565">
        <f t="shared" si="623"/>
        <v>0</v>
      </c>
      <c r="M389" s="565">
        <f t="shared" si="623"/>
        <v>0</v>
      </c>
      <c r="N389" s="564">
        <f t="shared" si="623"/>
        <v>0</v>
      </c>
      <c r="O389" s="565">
        <f t="shared" si="623"/>
        <v>0</v>
      </c>
      <c r="P389" s="565">
        <f t="shared" si="623"/>
        <v>0</v>
      </c>
      <c r="Q389" s="565">
        <f t="shared" si="623"/>
        <v>0</v>
      </c>
      <c r="R389" s="566">
        <f t="shared" si="623"/>
        <v>0</v>
      </c>
      <c r="S389" s="564">
        <f t="shared" si="623"/>
        <v>0</v>
      </c>
      <c r="T389" s="565">
        <f t="shared" si="623"/>
        <v>0</v>
      </c>
      <c r="U389" s="566">
        <f t="shared" si="623"/>
        <v>0</v>
      </c>
      <c r="V389" s="564">
        <f t="shared" si="623"/>
        <v>0</v>
      </c>
      <c r="W389" s="565">
        <f t="shared" si="623"/>
        <v>0</v>
      </c>
      <c r="X389" s="565">
        <f t="shared" si="623"/>
        <v>0</v>
      </c>
      <c r="Y389" s="565">
        <f t="shared" si="623"/>
        <v>0</v>
      </c>
      <c r="Z389" s="566">
        <f t="shared" si="623"/>
        <v>0</v>
      </c>
      <c r="AA389" s="564">
        <f t="shared" si="623"/>
        <v>0</v>
      </c>
      <c r="AB389" s="565">
        <f t="shared" si="623"/>
        <v>0</v>
      </c>
      <c r="AC389" s="565">
        <f t="shared" si="623"/>
        <v>0</v>
      </c>
      <c r="AD389" s="565">
        <f t="shared" si="623"/>
        <v>0</v>
      </c>
      <c r="AE389" s="566">
        <f t="shared" si="623"/>
        <v>0</v>
      </c>
      <c r="AF389" s="564">
        <f t="shared" si="623"/>
        <v>0</v>
      </c>
      <c r="AG389" s="565">
        <f t="shared" si="623"/>
        <v>0</v>
      </c>
      <c r="AH389" s="565">
        <f t="shared" si="623"/>
        <v>0</v>
      </c>
      <c r="AI389" s="565">
        <f t="shared" si="623"/>
        <v>0</v>
      </c>
      <c r="AJ389" s="566">
        <f t="shared" si="623"/>
        <v>0</v>
      </c>
      <c r="AK389" s="569"/>
      <c r="AL389" s="569"/>
      <c r="AN389" s="857"/>
      <c r="AO389" s="984" t="str">
        <f t="shared" ref="AO389:AO443" si="624">E389</f>
        <v>Rev</v>
      </c>
      <c r="AP389" s="985" t="str">
        <f t="shared" ref="AP389:AP443" si="625">F389</f>
        <v>[Service]</v>
      </c>
      <c r="AQ389" s="986" t="str">
        <f t="shared" ref="AQ389:AQ443" si="626">I389</f>
        <v>[Price]</v>
      </c>
      <c r="AR389" s="990" t="str">
        <f t="shared" ref="AR389:AR443" si="627">IF(V389="","-",IFERROR(V389/U389-1,"-"))</f>
        <v>-</v>
      </c>
      <c r="AS389" s="987" t="str">
        <f t="shared" ref="AS389:AS443" si="628">IF(W389="","-",IFERROR(W389/V389-1,"-"))</f>
        <v>-</v>
      </c>
      <c r="AT389" s="987" t="str">
        <f t="shared" ref="AT389:AT443" si="629">IF(X389="","-",IFERROR(X389/W389-1,"-"))</f>
        <v>-</v>
      </c>
      <c r="AU389" s="987" t="str">
        <f t="shared" ref="AU389:AU443" si="630">IF(Y389="","-",IFERROR(Y389/X389-1,"-"))</f>
        <v>-</v>
      </c>
      <c r="AV389" s="1353" t="str">
        <f t="shared" ref="AV389:AV443" si="631">IF(Z389="","-",IFERROR(Z389/Y389-1,"-"))</f>
        <v>-</v>
      </c>
      <c r="AW389" s="1346" t="str">
        <f t="shared" ref="AW389:AW443" si="632">IF(AA389="","-",IFERROR(AA389/Z389-1,"-"))</f>
        <v>-</v>
      </c>
      <c r="AX389" s="987" t="str">
        <f t="shared" ref="AX389:AX443" si="633">IF(AB389="","-",IFERROR(AB389/AA389-1,"-"))</f>
        <v>-</v>
      </c>
      <c r="AY389" s="987" t="str">
        <f t="shared" ref="AY389:AY443" si="634">IF(AC389="","-",IFERROR(AC389/AB389-1,"-"))</f>
        <v>-</v>
      </c>
      <c r="AZ389" s="987" t="str">
        <f t="shared" ref="AZ389:AZ443" si="635">IF(AD389="","-",IFERROR(AD389/AC389-1,"-"))</f>
        <v>-</v>
      </c>
      <c r="BA389" s="988" t="str">
        <f t="shared" ref="BA389:BA443" si="636">IF(AE389="","-",IFERROR(AE389/AD389-1,"-"))</f>
        <v>-</v>
      </c>
      <c r="BB389" s="1346" t="str">
        <f t="shared" ref="BB389:BB443" si="637">IF(AF389="","-",IFERROR(AF389/AE389-1,"-"))</f>
        <v>-</v>
      </c>
      <c r="BC389" s="987" t="str">
        <f t="shared" ref="BC389:BC443" si="638">IF(AG389="","-",IFERROR(AG389/AF389-1,"-"))</f>
        <v>-</v>
      </c>
      <c r="BD389" s="987" t="str">
        <f t="shared" ref="BD389:BD443" si="639">IF(AH389="","-",IFERROR(AH389/AG389-1,"-"))</f>
        <v>-</v>
      </c>
      <c r="BE389" s="987" t="str">
        <f t="shared" ref="BE389:BE443" si="640">IF(AI389="","-",IFERROR(AI389/AH389-1,"-"))</f>
        <v>-</v>
      </c>
      <c r="BF389" s="989" t="str">
        <f t="shared" ref="BF389:BF443" si="641">IF(AJ389="","-",IFERROR(AJ389/AI389-1,"-"))</f>
        <v>-</v>
      </c>
      <c r="BG389" s="951"/>
      <c r="BH389" s="1550" t="str">
        <f t="shared" ref="BH389:BH403" si="642">AO389</f>
        <v>Rev</v>
      </c>
      <c r="BI389" s="1551" t="str">
        <f t="shared" ref="BI389:BI403" si="643">AP389</f>
        <v>[Service]</v>
      </c>
      <c r="BJ389" s="1552" t="str">
        <f t="shared" ref="BJ389:BJ403" si="644">AQ389</f>
        <v>[Price]</v>
      </c>
      <c r="BK389" s="987" t="str">
        <f t="shared" ref="BK389:BU389" si="645">IF(V389="","-",IFERROR((V389/U389-1)*(U389/U$13),"-"))</f>
        <v>-</v>
      </c>
      <c r="BL389" s="987" t="str">
        <f t="shared" si="645"/>
        <v>-</v>
      </c>
      <c r="BM389" s="987" t="str">
        <f t="shared" si="645"/>
        <v>-</v>
      </c>
      <c r="BN389" s="987" t="str">
        <f t="shared" si="645"/>
        <v>-</v>
      </c>
      <c r="BO389" s="1353" t="str">
        <f t="shared" si="645"/>
        <v>-</v>
      </c>
      <c r="BP389" s="1346" t="str">
        <f t="shared" si="645"/>
        <v>-</v>
      </c>
      <c r="BQ389" s="987" t="str">
        <f t="shared" si="645"/>
        <v>-</v>
      </c>
      <c r="BR389" s="987" t="str">
        <f t="shared" si="645"/>
        <v>-</v>
      </c>
      <c r="BS389" s="987" t="str">
        <f t="shared" si="645"/>
        <v>-</v>
      </c>
      <c r="BT389" s="988" t="str">
        <f t="shared" si="645"/>
        <v>-</v>
      </c>
      <c r="BU389" s="987" t="str">
        <f t="shared" si="645"/>
        <v>-</v>
      </c>
      <c r="BV389" s="987" t="str">
        <f>IF(AG389="","-",IFERROR((AG389/AF389-1)*(AF389/AF$13),"-"))</f>
        <v>-</v>
      </c>
      <c r="BW389" s="987" t="str">
        <f>IF(AH389="","-",IFERROR((AH389/AG389-1)*(AG389/AG$13),"-"))</f>
        <v>-</v>
      </c>
      <c r="BX389" s="987" t="str">
        <f>IF(AI389="","-",IFERROR((AI389/AH389-1)*(AH389/AH$13),"-"))</f>
        <v>-</v>
      </c>
      <c r="BY389" s="989" t="str">
        <f>IF(AJ389="","-",IFERROR((AJ389/AI389-1)*(AI389/AI$13),"-"))</f>
        <v>-</v>
      </c>
      <c r="BZ389" s="951"/>
      <c r="CA389" s="984" t="str">
        <f t="shared" si="620"/>
        <v>Rev</v>
      </c>
      <c r="CB389" s="985" t="str">
        <f t="shared" si="621"/>
        <v>[Service]</v>
      </c>
      <c r="CC389" s="985" t="str">
        <f t="shared" si="622"/>
        <v>[Price]</v>
      </c>
      <c r="CD389" s="990" t="str">
        <f t="shared" si="536"/>
        <v>-</v>
      </c>
      <c r="CE389" s="987" t="str">
        <f t="shared" ref="CE389:CE443" si="646">IF(X389="","-",IFERROR((X389/$U389)^(1/CE$65)-1,"-"))</f>
        <v>-</v>
      </c>
      <c r="CF389" s="987" t="str">
        <f t="shared" ref="CF389:CF443" si="647">IF(Y389="","-",IFERROR((Y389/$U389)^(1/CF$65)-1,"-"))</f>
        <v>-</v>
      </c>
      <c r="CG389" s="988" t="str">
        <f t="shared" ref="CG389:CG443" si="648">IF(Z389="","-",IFERROR((Z389/$U389)^(1/CG$65)-1,"-"))</f>
        <v>-</v>
      </c>
      <c r="CH389" s="987" t="str">
        <f t="shared" si="537"/>
        <v>-</v>
      </c>
      <c r="CI389" s="987" t="str">
        <f t="shared" ref="CI389:CI443" si="649">IF(AC389="","-",IFERROR((AC389/$Z389)^(1/CI$65)-1,"-"))</f>
        <v>-</v>
      </c>
      <c r="CJ389" s="987" t="str">
        <f t="shared" ref="CJ389:CJ443" si="650">IF(AD389="","-",IFERROR((AD389/$Z389)^(1/CJ$65)-1,"-"))</f>
        <v>-</v>
      </c>
      <c r="CK389" s="989" t="str">
        <f t="shared" ref="CK389:CK443" si="651">IF(AE389="","-",IFERROR((AE389/$Z389)^(1/CK$65)-1,"-"))</f>
        <v>-</v>
      </c>
    </row>
    <row r="390" spans="4:89" outlineLevel="1">
      <c r="D390" s="63">
        <f>D387+1</f>
        <v>108</v>
      </c>
      <c r="E390" s="550" t="s">
        <v>857</v>
      </c>
      <c r="F390" s="595" t="s">
        <v>428</v>
      </c>
      <c r="G390" s="595"/>
      <c r="H390" s="595"/>
      <c r="I390" s="589" t="s">
        <v>920</v>
      </c>
      <c r="J390" s="589" t="s">
        <v>879</v>
      </c>
      <c r="K390" s="551"/>
      <c r="L390" s="552"/>
      <c r="M390" s="552"/>
      <c r="N390" s="551"/>
      <c r="O390" s="552"/>
      <c r="P390" s="552"/>
      <c r="Q390" s="552"/>
      <c r="R390" s="1035"/>
      <c r="S390" s="1138"/>
      <c r="T390" s="591"/>
      <c r="U390" s="1035"/>
      <c r="V390" s="1138"/>
      <c r="W390" s="591"/>
      <c r="X390" s="591"/>
      <c r="Y390" s="591"/>
      <c r="Z390" s="1035"/>
      <c r="AA390" s="1138"/>
      <c r="AB390" s="591"/>
      <c r="AC390" s="591"/>
      <c r="AD390" s="591"/>
      <c r="AE390" s="1035"/>
      <c r="AF390" s="1138"/>
      <c r="AG390" s="591"/>
      <c r="AH390" s="591"/>
      <c r="AI390" s="591"/>
      <c r="AJ390" s="1035"/>
      <c r="AK390" s="569"/>
      <c r="AL390" s="569"/>
      <c r="AM390" s="974"/>
      <c r="AN390" s="857"/>
      <c r="AO390" s="975" t="str">
        <f t="shared" si="624"/>
        <v>Price</v>
      </c>
      <c r="AP390" s="976" t="str">
        <f t="shared" si="625"/>
        <v>[Service]</v>
      </c>
      <c r="AQ390" s="977" t="str">
        <f t="shared" si="626"/>
        <v>[Price]</v>
      </c>
      <c r="AR390" s="1341" t="str">
        <f t="shared" si="627"/>
        <v>-</v>
      </c>
      <c r="AS390" s="978" t="str">
        <f t="shared" si="628"/>
        <v>-</v>
      </c>
      <c r="AT390" s="979" t="str">
        <f t="shared" si="629"/>
        <v>-</v>
      </c>
      <c r="AU390" s="979" t="str">
        <f t="shared" si="630"/>
        <v>-</v>
      </c>
      <c r="AV390" s="1352" t="str">
        <f t="shared" si="631"/>
        <v>-</v>
      </c>
      <c r="AW390" s="1345" t="str">
        <f t="shared" si="632"/>
        <v>-</v>
      </c>
      <c r="AX390" s="979" t="str">
        <f t="shared" si="633"/>
        <v>-</v>
      </c>
      <c r="AY390" s="979" t="str">
        <f t="shared" si="634"/>
        <v>-</v>
      </c>
      <c r="AZ390" s="979" t="str">
        <f t="shared" si="635"/>
        <v>-</v>
      </c>
      <c r="BA390" s="980" t="str">
        <f t="shared" si="636"/>
        <v>-</v>
      </c>
      <c r="BB390" s="1345" t="str">
        <f t="shared" si="637"/>
        <v>-</v>
      </c>
      <c r="BC390" s="979" t="str">
        <f t="shared" si="638"/>
        <v>-</v>
      </c>
      <c r="BD390" s="979" t="str">
        <f t="shared" si="639"/>
        <v>-</v>
      </c>
      <c r="BE390" s="979" t="str">
        <f t="shared" si="640"/>
        <v>-</v>
      </c>
      <c r="BF390" s="981" t="str">
        <f t="shared" si="641"/>
        <v>-</v>
      </c>
      <c r="BG390" s="951"/>
      <c r="BH390" s="1547" t="str">
        <f t="shared" si="642"/>
        <v>Price</v>
      </c>
      <c r="BI390" s="1548" t="str">
        <f t="shared" si="643"/>
        <v>[Service]</v>
      </c>
      <c r="BJ390" s="1549" t="str">
        <f t="shared" si="644"/>
        <v>[Price]</v>
      </c>
      <c r="BK390" s="978" t="str">
        <f t="shared" ref="BK390:BU390" si="652">IF(V390="","-",IFERROR((V390/U390-1)*(U392/U$13),"-"))</f>
        <v>-</v>
      </c>
      <c r="BL390" s="978" t="str">
        <f t="shared" si="652"/>
        <v>-</v>
      </c>
      <c r="BM390" s="979" t="str">
        <f t="shared" si="652"/>
        <v>-</v>
      </c>
      <c r="BN390" s="979" t="str">
        <f t="shared" si="652"/>
        <v>-</v>
      </c>
      <c r="BO390" s="1352" t="str">
        <f t="shared" si="652"/>
        <v>-</v>
      </c>
      <c r="BP390" s="1345" t="str">
        <f t="shared" si="652"/>
        <v>-</v>
      </c>
      <c r="BQ390" s="979" t="str">
        <f t="shared" si="652"/>
        <v>-</v>
      </c>
      <c r="BR390" s="979" t="str">
        <f t="shared" si="652"/>
        <v>-</v>
      </c>
      <c r="BS390" s="979" t="str">
        <f t="shared" si="652"/>
        <v>-</v>
      </c>
      <c r="BT390" s="980" t="str">
        <f t="shared" si="652"/>
        <v>-</v>
      </c>
      <c r="BU390" s="979" t="str">
        <f t="shared" si="652"/>
        <v>-</v>
      </c>
      <c r="BV390" s="979" t="str">
        <f>IF(AG390="","-",IFERROR((AG390/AF390-1)*(AF392/AF$13),"-"))</f>
        <v>-</v>
      </c>
      <c r="BW390" s="979" t="str">
        <f>IF(AH390="","-",IFERROR((AH390/AG390-1)*(AG392/AG$13),"-"))</f>
        <v>-</v>
      </c>
      <c r="BX390" s="979" t="str">
        <f>IF(AI390="","-",IFERROR((AI390/AH390-1)*(AH392/AH$13),"-"))</f>
        <v>-</v>
      </c>
      <c r="BY390" s="981" t="str">
        <f>IF(AJ390="","-",IFERROR((AJ390/AI390-1)*(AI392/AI$13),"-"))</f>
        <v>-</v>
      </c>
      <c r="BZ390" s="951"/>
      <c r="CA390" s="975" t="str">
        <f t="shared" si="620"/>
        <v>Price</v>
      </c>
      <c r="CB390" s="976" t="str">
        <f t="shared" si="621"/>
        <v>[Service]</v>
      </c>
      <c r="CC390" s="982" t="str">
        <f t="shared" si="622"/>
        <v>[Price]</v>
      </c>
      <c r="CD390" s="983" t="str">
        <f t="shared" ref="CD390:CD443" si="653">IF(W390="","-",IFERROR((W390/$U390)^(1/CD$65)-1,"-"))</f>
        <v>-</v>
      </c>
      <c r="CE390" s="979" t="str">
        <f t="shared" si="646"/>
        <v>-</v>
      </c>
      <c r="CF390" s="979" t="str">
        <f t="shared" si="647"/>
        <v>-</v>
      </c>
      <c r="CG390" s="980" t="str">
        <f t="shared" si="648"/>
        <v>-</v>
      </c>
      <c r="CH390" s="979" t="str">
        <f t="shared" ref="CH390:CH443" si="654">IF(AB390="","-",IFERROR((AB390/$Z390)^(1/CH$65)-1,"-"))</f>
        <v>-</v>
      </c>
      <c r="CI390" s="979" t="str">
        <f t="shared" si="649"/>
        <v>-</v>
      </c>
      <c r="CJ390" s="979" t="str">
        <f t="shared" si="650"/>
        <v>-</v>
      </c>
      <c r="CK390" s="981" t="str">
        <f t="shared" si="651"/>
        <v>-</v>
      </c>
    </row>
    <row r="391" spans="4:89" outlineLevel="1">
      <c r="E391" s="567" t="s">
        <v>880</v>
      </c>
      <c r="F391" s="554" t="str">
        <f>+F390</f>
        <v>[Service]</v>
      </c>
      <c r="G391" s="555">
        <f>+G390</f>
        <v>0</v>
      </c>
      <c r="H391" s="555">
        <f>+H390</f>
        <v>0</v>
      </c>
      <c r="I391" s="556" t="str">
        <f>+I390</f>
        <v>[Price]</v>
      </c>
      <c r="J391" s="590" t="s">
        <v>916</v>
      </c>
      <c r="K391" s="557"/>
      <c r="L391" s="558"/>
      <c r="M391" s="558"/>
      <c r="N391" s="557"/>
      <c r="O391" s="558"/>
      <c r="P391" s="558"/>
      <c r="Q391" s="558"/>
      <c r="R391" s="1036"/>
      <c r="S391" s="1139"/>
      <c r="T391" s="593"/>
      <c r="U391" s="1036"/>
      <c r="V391" s="1139"/>
      <c r="W391" s="593"/>
      <c r="X391" s="593"/>
      <c r="Y391" s="593"/>
      <c r="Z391" s="1036"/>
      <c r="AA391" s="1139"/>
      <c r="AB391" s="593"/>
      <c r="AC391" s="593"/>
      <c r="AD391" s="593"/>
      <c r="AE391" s="1036"/>
      <c r="AF391" s="1139"/>
      <c r="AG391" s="593"/>
      <c r="AH391" s="593"/>
      <c r="AI391" s="593"/>
      <c r="AJ391" s="1036"/>
      <c r="AK391" s="569"/>
      <c r="AL391" s="569"/>
      <c r="AN391" s="857"/>
      <c r="AO391" s="961" t="str">
        <f t="shared" si="624"/>
        <v>Qty</v>
      </c>
      <c r="AP391" s="962" t="str">
        <f t="shared" si="625"/>
        <v>[Service]</v>
      </c>
      <c r="AQ391" s="963" t="str">
        <f t="shared" si="626"/>
        <v>[Price]</v>
      </c>
      <c r="AR391" s="967" t="str">
        <f t="shared" si="627"/>
        <v>-</v>
      </c>
      <c r="AS391" s="964" t="str">
        <f t="shared" si="628"/>
        <v>-</v>
      </c>
      <c r="AT391" s="964" t="str">
        <f t="shared" si="629"/>
        <v>-</v>
      </c>
      <c r="AU391" s="964" t="str">
        <f t="shared" si="630"/>
        <v>-</v>
      </c>
      <c r="AV391" s="1350" t="str">
        <f t="shared" si="631"/>
        <v>-</v>
      </c>
      <c r="AW391" s="1343" t="str">
        <f t="shared" si="632"/>
        <v>-</v>
      </c>
      <c r="AX391" s="964" t="str">
        <f t="shared" si="633"/>
        <v>-</v>
      </c>
      <c r="AY391" s="964" t="str">
        <f t="shared" si="634"/>
        <v>-</v>
      </c>
      <c r="AZ391" s="964" t="str">
        <f t="shared" si="635"/>
        <v>-</v>
      </c>
      <c r="BA391" s="965" t="str">
        <f t="shared" si="636"/>
        <v>-</v>
      </c>
      <c r="BB391" s="1343" t="str">
        <f t="shared" si="637"/>
        <v>-</v>
      </c>
      <c r="BC391" s="964" t="str">
        <f t="shared" si="638"/>
        <v>-</v>
      </c>
      <c r="BD391" s="964" t="str">
        <f t="shared" si="639"/>
        <v>-</v>
      </c>
      <c r="BE391" s="964" t="str">
        <f t="shared" si="640"/>
        <v>-</v>
      </c>
      <c r="BF391" s="966" t="str">
        <f t="shared" si="641"/>
        <v>-</v>
      </c>
      <c r="BG391" s="951"/>
      <c r="BH391" s="1541" t="str">
        <f t="shared" si="642"/>
        <v>Qty</v>
      </c>
      <c r="BI391" s="1542" t="str">
        <f t="shared" si="643"/>
        <v>[Service]</v>
      </c>
      <c r="BJ391" s="1543" t="str">
        <f t="shared" si="644"/>
        <v>[Price]</v>
      </c>
      <c r="BK391" s="964" t="str">
        <f t="shared" ref="BK391:BU391" si="655">IF(V391="","-",IFERROR((V391/U391-1)*(U392/U$13),"-"))</f>
        <v>-</v>
      </c>
      <c r="BL391" s="964" t="str">
        <f t="shared" si="655"/>
        <v>-</v>
      </c>
      <c r="BM391" s="964" t="str">
        <f t="shared" si="655"/>
        <v>-</v>
      </c>
      <c r="BN391" s="964" t="str">
        <f t="shared" si="655"/>
        <v>-</v>
      </c>
      <c r="BO391" s="1350" t="str">
        <f t="shared" si="655"/>
        <v>-</v>
      </c>
      <c r="BP391" s="1343" t="str">
        <f t="shared" si="655"/>
        <v>-</v>
      </c>
      <c r="BQ391" s="964" t="str">
        <f t="shared" si="655"/>
        <v>-</v>
      </c>
      <c r="BR391" s="964" t="str">
        <f t="shared" si="655"/>
        <v>-</v>
      </c>
      <c r="BS391" s="964" t="str">
        <f t="shared" si="655"/>
        <v>-</v>
      </c>
      <c r="BT391" s="965" t="str">
        <f t="shared" si="655"/>
        <v>-</v>
      </c>
      <c r="BU391" s="964" t="str">
        <f t="shared" si="655"/>
        <v>-</v>
      </c>
      <c r="BV391" s="964" t="str">
        <f>IF(AG391="","-",IFERROR((AG391/AF391-1)*(AF392/AF$13),"-"))</f>
        <v>-</v>
      </c>
      <c r="BW391" s="964" t="str">
        <f>IF(AH391="","-",IFERROR((AH391/AG391-1)*(AG392/AG$13),"-"))</f>
        <v>-</v>
      </c>
      <c r="BX391" s="964" t="str">
        <f>IF(AI391="","-",IFERROR((AI391/AH391-1)*(AH392/AH$13),"-"))</f>
        <v>-</v>
      </c>
      <c r="BY391" s="966" t="str">
        <f>IF(AJ391="","-",IFERROR((AJ391/AI391-1)*(AI392/AI$13),"-"))</f>
        <v>-</v>
      </c>
      <c r="BZ391" s="951"/>
      <c r="CA391" s="961" t="str">
        <f t="shared" si="620"/>
        <v>Qty</v>
      </c>
      <c r="CB391" s="962" t="str">
        <f t="shared" si="621"/>
        <v>[Service]</v>
      </c>
      <c r="CC391" s="962" t="str">
        <f t="shared" si="622"/>
        <v>[Price]</v>
      </c>
      <c r="CD391" s="967" t="str">
        <f t="shared" si="653"/>
        <v>-</v>
      </c>
      <c r="CE391" s="964" t="str">
        <f t="shared" si="646"/>
        <v>-</v>
      </c>
      <c r="CF391" s="964" t="str">
        <f t="shared" si="647"/>
        <v>-</v>
      </c>
      <c r="CG391" s="965" t="str">
        <f t="shared" si="648"/>
        <v>-</v>
      </c>
      <c r="CH391" s="964" t="str">
        <f t="shared" si="654"/>
        <v>-</v>
      </c>
      <c r="CI391" s="964" t="str">
        <f t="shared" si="649"/>
        <v>-</v>
      </c>
      <c r="CJ391" s="964" t="str">
        <f t="shared" si="650"/>
        <v>-</v>
      </c>
      <c r="CK391" s="966" t="str">
        <f t="shared" si="651"/>
        <v>-</v>
      </c>
    </row>
    <row r="392" spans="4:89" ht="12.75" outlineLevel="1" thickBot="1">
      <c r="E392" s="568" t="s">
        <v>882</v>
      </c>
      <c r="F392" s="560" t="str">
        <f>+F390</f>
        <v>[Service]</v>
      </c>
      <c r="G392" s="561">
        <f>+G390</f>
        <v>0</v>
      </c>
      <c r="H392" s="561">
        <f>+H390</f>
        <v>0</v>
      </c>
      <c r="I392" s="562" t="str">
        <f>+I390</f>
        <v>[Price]</v>
      </c>
      <c r="J392" s="563" t="s">
        <v>883</v>
      </c>
      <c r="K392" s="564">
        <f t="shared" ref="K392:AJ392" si="656">K390*K391/10^6</f>
        <v>0</v>
      </c>
      <c r="L392" s="565">
        <f t="shared" si="656"/>
        <v>0</v>
      </c>
      <c r="M392" s="565">
        <f t="shared" si="656"/>
        <v>0</v>
      </c>
      <c r="N392" s="564">
        <f t="shared" si="656"/>
        <v>0</v>
      </c>
      <c r="O392" s="565">
        <f t="shared" si="656"/>
        <v>0</v>
      </c>
      <c r="P392" s="565">
        <f t="shared" si="656"/>
        <v>0</v>
      </c>
      <c r="Q392" s="565">
        <f t="shared" si="656"/>
        <v>0</v>
      </c>
      <c r="R392" s="566">
        <f t="shared" si="656"/>
        <v>0</v>
      </c>
      <c r="S392" s="564">
        <f t="shared" si="656"/>
        <v>0</v>
      </c>
      <c r="T392" s="565">
        <f t="shared" si="656"/>
        <v>0</v>
      </c>
      <c r="U392" s="566">
        <f t="shared" si="656"/>
        <v>0</v>
      </c>
      <c r="V392" s="564">
        <f t="shared" si="656"/>
        <v>0</v>
      </c>
      <c r="W392" s="565">
        <f t="shared" si="656"/>
        <v>0</v>
      </c>
      <c r="X392" s="565">
        <f t="shared" si="656"/>
        <v>0</v>
      </c>
      <c r="Y392" s="565">
        <f t="shared" si="656"/>
        <v>0</v>
      </c>
      <c r="Z392" s="566">
        <f t="shared" si="656"/>
        <v>0</v>
      </c>
      <c r="AA392" s="564">
        <f t="shared" si="656"/>
        <v>0</v>
      </c>
      <c r="AB392" s="565">
        <f t="shared" si="656"/>
        <v>0</v>
      </c>
      <c r="AC392" s="565">
        <f t="shared" si="656"/>
        <v>0</v>
      </c>
      <c r="AD392" s="565">
        <f t="shared" si="656"/>
        <v>0</v>
      </c>
      <c r="AE392" s="566">
        <f t="shared" si="656"/>
        <v>0</v>
      </c>
      <c r="AF392" s="564">
        <f t="shared" si="656"/>
        <v>0</v>
      </c>
      <c r="AG392" s="565">
        <f t="shared" si="656"/>
        <v>0</v>
      </c>
      <c r="AH392" s="565">
        <f t="shared" si="656"/>
        <v>0</v>
      </c>
      <c r="AI392" s="565">
        <f t="shared" si="656"/>
        <v>0</v>
      </c>
      <c r="AJ392" s="566">
        <f t="shared" si="656"/>
        <v>0</v>
      </c>
      <c r="AK392" s="569"/>
      <c r="AL392" s="569"/>
      <c r="AN392" s="857"/>
      <c r="AO392" s="984" t="str">
        <f t="shared" si="624"/>
        <v>Rev</v>
      </c>
      <c r="AP392" s="985" t="str">
        <f t="shared" si="625"/>
        <v>[Service]</v>
      </c>
      <c r="AQ392" s="986" t="str">
        <f t="shared" si="626"/>
        <v>[Price]</v>
      </c>
      <c r="AR392" s="990" t="str">
        <f t="shared" si="627"/>
        <v>-</v>
      </c>
      <c r="AS392" s="987" t="str">
        <f t="shared" si="628"/>
        <v>-</v>
      </c>
      <c r="AT392" s="987" t="str">
        <f t="shared" si="629"/>
        <v>-</v>
      </c>
      <c r="AU392" s="987" t="str">
        <f t="shared" si="630"/>
        <v>-</v>
      </c>
      <c r="AV392" s="1353" t="str">
        <f t="shared" si="631"/>
        <v>-</v>
      </c>
      <c r="AW392" s="1346" t="str">
        <f t="shared" si="632"/>
        <v>-</v>
      </c>
      <c r="AX392" s="987" t="str">
        <f t="shared" si="633"/>
        <v>-</v>
      </c>
      <c r="AY392" s="987" t="str">
        <f t="shared" si="634"/>
        <v>-</v>
      </c>
      <c r="AZ392" s="987" t="str">
        <f t="shared" si="635"/>
        <v>-</v>
      </c>
      <c r="BA392" s="988" t="str">
        <f t="shared" si="636"/>
        <v>-</v>
      </c>
      <c r="BB392" s="1346" t="str">
        <f t="shared" si="637"/>
        <v>-</v>
      </c>
      <c r="BC392" s="987" t="str">
        <f t="shared" si="638"/>
        <v>-</v>
      </c>
      <c r="BD392" s="987" t="str">
        <f t="shared" si="639"/>
        <v>-</v>
      </c>
      <c r="BE392" s="987" t="str">
        <f t="shared" si="640"/>
        <v>-</v>
      </c>
      <c r="BF392" s="989" t="str">
        <f t="shared" si="641"/>
        <v>-</v>
      </c>
      <c r="BG392" s="951"/>
      <c r="BH392" s="1550" t="str">
        <f t="shared" si="642"/>
        <v>Rev</v>
      </c>
      <c r="BI392" s="1551" t="str">
        <f t="shared" si="643"/>
        <v>[Service]</v>
      </c>
      <c r="BJ392" s="1552" t="str">
        <f t="shared" si="644"/>
        <v>[Price]</v>
      </c>
      <c r="BK392" s="987" t="str">
        <f t="shared" ref="BK392:BU392" si="657">IF(V392="","-",IFERROR((V392/U392-1)*(U392/U$13),"-"))</f>
        <v>-</v>
      </c>
      <c r="BL392" s="987" t="str">
        <f t="shared" si="657"/>
        <v>-</v>
      </c>
      <c r="BM392" s="987" t="str">
        <f t="shared" si="657"/>
        <v>-</v>
      </c>
      <c r="BN392" s="987" t="str">
        <f t="shared" si="657"/>
        <v>-</v>
      </c>
      <c r="BO392" s="1353" t="str">
        <f t="shared" si="657"/>
        <v>-</v>
      </c>
      <c r="BP392" s="1346" t="str">
        <f t="shared" si="657"/>
        <v>-</v>
      </c>
      <c r="BQ392" s="987" t="str">
        <f t="shared" si="657"/>
        <v>-</v>
      </c>
      <c r="BR392" s="987" t="str">
        <f t="shared" si="657"/>
        <v>-</v>
      </c>
      <c r="BS392" s="987" t="str">
        <f t="shared" si="657"/>
        <v>-</v>
      </c>
      <c r="BT392" s="988" t="str">
        <f t="shared" si="657"/>
        <v>-</v>
      </c>
      <c r="BU392" s="987" t="str">
        <f t="shared" si="657"/>
        <v>-</v>
      </c>
      <c r="BV392" s="987" t="str">
        <f>IF(AG392="","-",IFERROR((AG392/AF392-1)*(AF392/AF$13),"-"))</f>
        <v>-</v>
      </c>
      <c r="BW392" s="987" t="str">
        <f>IF(AH392="","-",IFERROR((AH392/AG392-1)*(AG392/AG$13),"-"))</f>
        <v>-</v>
      </c>
      <c r="BX392" s="987" t="str">
        <f>IF(AI392="","-",IFERROR((AI392/AH392-1)*(AH392/AH$13),"-"))</f>
        <v>-</v>
      </c>
      <c r="BY392" s="989" t="str">
        <f>IF(AJ392="","-",IFERROR((AJ392/AI392-1)*(AI392/AI$13),"-"))</f>
        <v>-</v>
      </c>
      <c r="BZ392" s="951"/>
      <c r="CA392" s="984" t="str">
        <f t="shared" si="620"/>
        <v>Rev</v>
      </c>
      <c r="CB392" s="985" t="str">
        <f t="shared" si="621"/>
        <v>[Service]</v>
      </c>
      <c r="CC392" s="985" t="str">
        <f t="shared" si="622"/>
        <v>[Price]</v>
      </c>
      <c r="CD392" s="990" t="str">
        <f t="shared" si="653"/>
        <v>-</v>
      </c>
      <c r="CE392" s="987" t="str">
        <f t="shared" si="646"/>
        <v>-</v>
      </c>
      <c r="CF392" s="987" t="str">
        <f t="shared" si="647"/>
        <v>-</v>
      </c>
      <c r="CG392" s="988" t="str">
        <f t="shared" si="648"/>
        <v>-</v>
      </c>
      <c r="CH392" s="987" t="str">
        <f t="shared" si="654"/>
        <v>-</v>
      </c>
      <c r="CI392" s="987" t="str">
        <f t="shared" si="649"/>
        <v>-</v>
      </c>
      <c r="CJ392" s="987" t="str">
        <f t="shared" si="650"/>
        <v>-</v>
      </c>
      <c r="CK392" s="989" t="str">
        <f t="shared" si="651"/>
        <v>-</v>
      </c>
    </row>
    <row r="393" spans="4:89" outlineLevel="1">
      <c r="D393" s="63">
        <f>D390+1</f>
        <v>109</v>
      </c>
      <c r="E393" s="550" t="s">
        <v>857</v>
      </c>
      <c r="F393" s="595" t="s">
        <v>428</v>
      </c>
      <c r="G393" s="595"/>
      <c r="H393" s="595"/>
      <c r="I393" s="589" t="s">
        <v>920</v>
      </c>
      <c r="J393" s="589" t="s">
        <v>879</v>
      </c>
      <c r="K393" s="551"/>
      <c r="L393" s="552"/>
      <c r="M393" s="552"/>
      <c r="N393" s="551"/>
      <c r="O393" s="552"/>
      <c r="P393" s="552"/>
      <c r="Q393" s="552"/>
      <c r="R393" s="1035"/>
      <c r="S393" s="1138"/>
      <c r="T393" s="591"/>
      <c r="U393" s="1035"/>
      <c r="V393" s="1138"/>
      <c r="W393" s="591"/>
      <c r="X393" s="591"/>
      <c r="Y393" s="591"/>
      <c r="Z393" s="1035"/>
      <c r="AA393" s="1138"/>
      <c r="AB393" s="591"/>
      <c r="AC393" s="591"/>
      <c r="AD393" s="591"/>
      <c r="AE393" s="1035"/>
      <c r="AF393" s="1138"/>
      <c r="AG393" s="591"/>
      <c r="AH393" s="591"/>
      <c r="AI393" s="591"/>
      <c r="AJ393" s="1035"/>
      <c r="AK393" s="569"/>
      <c r="AL393" s="569"/>
      <c r="AM393" s="974"/>
      <c r="AN393" s="857"/>
      <c r="AO393" s="975" t="str">
        <f t="shared" si="624"/>
        <v>Price</v>
      </c>
      <c r="AP393" s="976" t="str">
        <f t="shared" si="625"/>
        <v>[Service]</v>
      </c>
      <c r="AQ393" s="977" t="str">
        <f t="shared" si="626"/>
        <v>[Price]</v>
      </c>
      <c r="AR393" s="1341" t="str">
        <f t="shared" si="627"/>
        <v>-</v>
      </c>
      <c r="AS393" s="978" t="str">
        <f t="shared" si="628"/>
        <v>-</v>
      </c>
      <c r="AT393" s="979" t="str">
        <f t="shared" si="629"/>
        <v>-</v>
      </c>
      <c r="AU393" s="979" t="str">
        <f t="shared" si="630"/>
        <v>-</v>
      </c>
      <c r="AV393" s="1352" t="str">
        <f t="shared" si="631"/>
        <v>-</v>
      </c>
      <c r="AW393" s="1345" t="str">
        <f t="shared" si="632"/>
        <v>-</v>
      </c>
      <c r="AX393" s="979" t="str">
        <f t="shared" si="633"/>
        <v>-</v>
      </c>
      <c r="AY393" s="979" t="str">
        <f t="shared" si="634"/>
        <v>-</v>
      </c>
      <c r="AZ393" s="979" t="str">
        <f t="shared" si="635"/>
        <v>-</v>
      </c>
      <c r="BA393" s="980" t="str">
        <f t="shared" si="636"/>
        <v>-</v>
      </c>
      <c r="BB393" s="1345" t="str">
        <f t="shared" si="637"/>
        <v>-</v>
      </c>
      <c r="BC393" s="979" t="str">
        <f t="shared" si="638"/>
        <v>-</v>
      </c>
      <c r="BD393" s="979" t="str">
        <f t="shared" si="639"/>
        <v>-</v>
      </c>
      <c r="BE393" s="979" t="str">
        <f t="shared" si="640"/>
        <v>-</v>
      </c>
      <c r="BF393" s="981" t="str">
        <f t="shared" si="641"/>
        <v>-</v>
      </c>
      <c r="BG393" s="951"/>
      <c r="BH393" s="1547" t="str">
        <f t="shared" si="642"/>
        <v>Price</v>
      </c>
      <c r="BI393" s="1548" t="str">
        <f t="shared" si="643"/>
        <v>[Service]</v>
      </c>
      <c r="BJ393" s="1549" t="str">
        <f t="shared" si="644"/>
        <v>[Price]</v>
      </c>
      <c r="BK393" s="978" t="str">
        <f t="shared" ref="BK393:BU393" si="658">IF(V393="","-",IFERROR((V393/U393-1)*(U395/U$13),"-"))</f>
        <v>-</v>
      </c>
      <c r="BL393" s="978" t="str">
        <f t="shared" si="658"/>
        <v>-</v>
      </c>
      <c r="BM393" s="979" t="str">
        <f t="shared" si="658"/>
        <v>-</v>
      </c>
      <c r="BN393" s="979" t="str">
        <f t="shared" si="658"/>
        <v>-</v>
      </c>
      <c r="BO393" s="1352" t="str">
        <f t="shared" si="658"/>
        <v>-</v>
      </c>
      <c r="BP393" s="1345" t="str">
        <f t="shared" si="658"/>
        <v>-</v>
      </c>
      <c r="BQ393" s="979" t="str">
        <f t="shared" si="658"/>
        <v>-</v>
      </c>
      <c r="BR393" s="979" t="str">
        <f t="shared" si="658"/>
        <v>-</v>
      </c>
      <c r="BS393" s="979" t="str">
        <f t="shared" si="658"/>
        <v>-</v>
      </c>
      <c r="BT393" s="980" t="str">
        <f t="shared" si="658"/>
        <v>-</v>
      </c>
      <c r="BU393" s="979" t="str">
        <f t="shared" si="658"/>
        <v>-</v>
      </c>
      <c r="BV393" s="979" t="str">
        <f>IF(AG393="","-",IFERROR((AG393/AF393-1)*(AF395/AF$13),"-"))</f>
        <v>-</v>
      </c>
      <c r="BW393" s="979" t="str">
        <f>IF(AH393="","-",IFERROR((AH393/AG393-1)*(AG395/AG$13),"-"))</f>
        <v>-</v>
      </c>
      <c r="BX393" s="979" t="str">
        <f>IF(AI393="","-",IFERROR((AI393/AH393-1)*(AH395/AH$13),"-"))</f>
        <v>-</v>
      </c>
      <c r="BY393" s="981" t="str">
        <f>IF(AJ393="","-",IFERROR((AJ393/AI393-1)*(AI395/AI$13),"-"))</f>
        <v>-</v>
      </c>
      <c r="BZ393" s="951"/>
      <c r="CA393" s="975" t="str">
        <f t="shared" si="620"/>
        <v>Price</v>
      </c>
      <c r="CB393" s="976" t="str">
        <f t="shared" si="621"/>
        <v>[Service]</v>
      </c>
      <c r="CC393" s="982" t="str">
        <f t="shared" si="622"/>
        <v>[Price]</v>
      </c>
      <c r="CD393" s="983" t="str">
        <f t="shared" si="653"/>
        <v>-</v>
      </c>
      <c r="CE393" s="979" t="str">
        <f t="shared" si="646"/>
        <v>-</v>
      </c>
      <c r="CF393" s="979" t="str">
        <f t="shared" si="647"/>
        <v>-</v>
      </c>
      <c r="CG393" s="980" t="str">
        <f t="shared" si="648"/>
        <v>-</v>
      </c>
      <c r="CH393" s="979" t="str">
        <f t="shared" si="654"/>
        <v>-</v>
      </c>
      <c r="CI393" s="979" t="str">
        <f t="shared" si="649"/>
        <v>-</v>
      </c>
      <c r="CJ393" s="979" t="str">
        <f t="shared" si="650"/>
        <v>-</v>
      </c>
      <c r="CK393" s="981" t="str">
        <f t="shared" si="651"/>
        <v>-</v>
      </c>
    </row>
    <row r="394" spans="4:89" outlineLevel="1">
      <c r="E394" s="567" t="s">
        <v>880</v>
      </c>
      <c r="F394" s="554" t="str">
        <f>+F393</f>
        <v>[Service]</v>
      </c>
      <c r="G394" s="555">
        <f>+G393</f>
        <v>0</v>
      </c>
      <c r="H394" s="555">
        <f>+H393</f>
        <v>0</v>
      </c>
      <c r="I394" s="556" t="str">
        <f>+I393</f>
        <v>[Price]</v>
      </c>
      <c r="J394" s="590" t="s">
        <v>916</v>
      </c>
      <c r="K394" s="557"/>
      <c r="L394" s="558"/>
      <c r="M394" s="558"/>
      <c r="N394" s="557"/>
      <c r="O394" s="558"/>
      <c r="P394" s="558"/>
      <c r="Q394" s="558"/>
      <c r="R394" s="1036"/>
      <c r="S394" s="1139"/>
      <c r="T394" s="593"/>
      <c r="U394" s="1036"/>
      <c r="V394" s="1139"/>
      <c r="W394" s="593"/>
      <c r="X394" s="593"/>
      <c r="Y394" s="593"/>
      <c r="Z394" s="1036"/>
      <c r="AA394" s="1139"/>
      <c r="AB394" s="593"/>
      <c r="AC394" s="593"/>
      <c r="AD394" s="593"/>
      <c r="AE394" s="1036"/>
      <c r="AF394" s="1139"/>
      <c r="AG394" s="593"/>
      <c r="AH394" s="593"/>
      <c r="AI394" s="593"/>
      <c r="AJ394" s="1036"/>
      <c r="AK394" s="569"/>
      <c r="AL394" s="569"/>
      <c r="AN394" s="857"/>
      <c r="AO394" s="961" t="str">
        <f t="shared" si="624"/>
        <v>Qty</v>
      </c>
      <c r="AP394" s="962" t="str">
        <f t="shared" si="625"/>
        <v>[Service]</v>
      </c>
      <c r="AQ394" s="963" t="str">
        <f t="shared" si="626"/>
        <v>[Price]</v>
      </c>
      <c r="AR394" s="967" t="str">
        <f t="shared" si="627"/>
        <v>-</v>
      </c>
      <c r="AS394" s="964" t="str">
        <f t="shared" si="628"/>
        <v>-</v>
      </c>
      <c r="AT394" s="964" t="str">
        <f t="shared" si="629"/>
        <v>-</v>
      </c>
      <c r="AU394" s="964" t="str">
        <f t="shared" si="630"/>
        <v>-</v>
      </c>
      <c r="AV394" s="1350" t="str">
        <f t="shared" si="631"/>
        <v>-</v>
      </c>
      <c r="AW394" s="1343" t="str">
        <f t="shared" si="632"/>
        <v>-</v>
      </c>
      <c r="AX394" s="964" t="str">
        <f t="shared" si="633"/>
        <v>-</v>
      </c>
      <c r="AY394" s="964" t="str">
        <f t="shared" si="634"/>
        <v>-</v>
      </c>
      <c r="AZ394" s="964" t="str">
        <f t="shared" si="635"/>
        <v>-</v>
      </c>
      <c r="BA394" s="965" t="str">
        <f t="shared" si="636"/>
        <v>-</v>
      </c>
      <c r="BB394" s="1343" t="str">
        <f t="shared" si="637"/>
        <v>-</v>
      </c>
      <c r="BC394" s="964" t="str">
        <f t="shared" si="638"/>
        <v>-</v>
      </c>
      <c r="BD394" s="964" t="str">
        <f t="shared" si="639"/>
        <v>-</v>
      </c>
      <c r="BE394" s="964" t="str">
        <f t="shared" si="640"/>
        <v>-</v>
      </c>
      <c r="BF394" s="966" t="str">
        <f t="shared" si="641"/>
        <v>-</v>
      </c>
      <c r="BG394" s="951"/>
      <c r="BH394" s="1541" t="str">
        <f t="shared" si="642"/>
        <v>Qty</v>
      </c>
      <c r="BI394" s="1542" t="str">
        <f t="shared" si="643"/>
        <v>[Service]</v>
      </c>
      <c r="BJ394" s="1543" t="str">
        <f t="shared" si="644"/>
        <v>[Price]</v>
      </c>
      <c r="BK394" s="964" t="str">
        <f t="shared" ref="BK394:BU394" si="659">IF(V394="","-",IFERROR((V394/U394-1)*(U395/U$13),"-"))</f>
        <v>-</v>
      </c>
      <c r="BL394" s="964" t="str">
        <f t="shared" si="659"/>
        <v>-</v>
      </c>
      <c r="BM394" s="964" t="str">
        <f t="shared" si="659"/>
        <v>-</v>
      </c>
      <c r="BN394" s="964" t="str">
        <f t="shared" si="659"/>
        <v>-</v>
      </c>
      <c r="BO394" s="1350" t="str">
        <f t="shared" si="659"/>
        <v>-</v>
      </c>
      <c r="BP394" s="1343" t="str">
        <f t="shared" si="659"/>
        <v>-</v>
      </c>
      <c r="BQ394" s="964" t="str">
        <f t="shared" si="659"/>
        <v>-</v>
      </c>
      <c r="BR394" s="964" t="str">
        <f t="shared" si="659"/>
        <v>-</v>
      </c>
      <c r="BS394" s="964" t="str">
        <f t="shared" si="659"/>
        <v>-</v>
      </c>
      <c r="BT394" s="965" t="str">
        <f t="shared" si="659"/>
        <v>-</v>
      </c>
      <c r="BU394" s="964" t="str">
        <f t="shared" si="659"/>
        <v>-</v>
      </c>
      <c r="BV394" s="964" t="str">
        <f>IF(AG394="","-",IFERROR((AG394/AF394-1)*(AF395/AF$13),"-"))</f>
        <v>-</v>
      </c>
      <c r="BW394" s="964" t="str">
        <f>IF(AH394="","-",IFERROR((AH394/AG394-1)*(AG395/AG$13),"-"))</f>
        <v>-</v>
      </c>
      <c r="BX394" s="964" t="str">
        <f>IF(AI394="","-",IFERROR((AI394/AH394-1)*(AH395/AH$13),"-"))</f>
        <v>-</v>
      </c>
      <c r="BY394" s="966" t="str">
        <f>IF(AJ394="","-",IFERROR((AJ394/AI394-1)*(AI395/AI$13),"-"))</f>
        <v>-</v>
      </c>
      <c r="BZ394" s="951"/>
      <c r="CA394" s="961" t="str">
        <f t="shared" si="620"/>
        <v>Qty</v>
      </c>
      <c r="CB394" s="962" t="str">
        <f t="shared" si="621"/>
        <v>[Service]</v>
      </c>
      <c r="CC394" s="962" t="str">
        <f t="shared" si="622"/>
        <v>[Price]</v>
      </c>
      <c r="CD394" s="967" t="str">
        <f t="shared" si="653"/>
        <v>-</v>
      </c>
      <c r="CE394" s="964" t="str">
        <f t="shared" si="646"/>
        <v>-</v>
      </c>
      <c r="CF394" s="964" t="str">
        <f t="shared" si="647"/>
        <v>-</v>
      </c>
      <c r="CG394" s="965" t="str">
        <f t="shared" si="648"/>
        <v>-</v>
      </c>
      <c r="CH394" s="964" t="str">
        <f t="shared" si="654"/>
        <v>-</v>
      </c>
      <c r="CI394" s="964" t="str">
        <f t="shared" si="649"/>
        <v>-</v>
      </c>
      <c r="CJ394" s="964" t="str">
        <f t="shared" si="650"/>
        <v>-</v>
      </c>
      <c r="CK394" s="966" t="str">
        <f t="shared" si="651"/>
        <v>-</v>
      </c>
    </row>
    <row r="395" spans="4:89" ht="12.75" outlineLevel="1" thickBot="1">
      <c r="E395" s="568" t="s">
        <v>882</v>
      </c>
      <c r="F395" s="560" t="str">
        <f>+F393</f>
        <v>[Service]</v>
      </c>
      <c r="G395" s="561">
        <f>+G393</f>
        <v>0</v>
      </c>
      <c r="H395" s="561">
        <f>+H393</f>
        <v>0</v>
      </c>
      <c r="I395" s="562" t="str">
        <f>+I393</f>
        <v>[Price]</v>
      </c>
      <c r="J395" s="563" t="s">
        <v>883</v>
      </c>
      <c r="K395" s="564">
        <f t="shared" ref="K395:AJ395" si="660">K393*K394/10^6</f>
        <v>0</v>
      </c>
      <c r="L395" s="565">
        <f t="shared" si="660"/>
        <v>0</v>
      </c>
      <c r="M395" s="565">
        <f t="shared" si="660"/>
        <v>0</v>
      </c>
      <c r="N395" s="564">
        <f t="shared" si="660"/>
        <v>0</v>
      </c>
      <c r="O395" s="565">
        <f t="shared" si="660"/>
        <v>0</v>
      </c>
      <c r="P395" s="565">
        <f t="shared" si="660"/>
        <v>0</v>
      </c>
      <c r="Q395" s="565">
        <f t="shared" si="660"/>
        <v>0</v>
      </c>
      <c r="R395" s="566">
        <f t="shared" si="660"/>
        <v>0</v>
      </c>
      <c r="S395" s="564">
        <f t="shared" si="660"/>
        <v>0</v>
      </c>
      <c r="T395" s="565">
        <f t="shared" si="660"/>
        <v>0</v>
      </c>
      <c r="U395" s="566">
        <f t="shared" si="660"/>
        <v>0</v>
      </c>
      <c r="V395" s="564">
        <f t="shared" si="660"/>
        <v>0</v>
      </c>
      <c r="W395" s="565">
        <f t="shared" si="660"/>
        <v>0</v>
      </c>
      <c r="X395" s="565">
        <f t="shared" si="660"/>
        <v>0</v>
      </c>
      <c r="Y395" s="565">
        <f t="shared" si="660"/>
        <v>0</v>
      </c>
      <c r="Z395" s="566">
        <f t="shared" si="660"/>
        <v>0</v>
      </c>
      <c r="AA395" s="564">
        <f t="shared" si="660"/>
        <v>0</v>
      </c>
      <c r="AB395" s="565">
        <f t="shared" si="660"/>
        <v>0</v>
      </c>
      <c r="AC395" s="565">
        <f t="shared" si="660"/>
        <v>0</v>
      </c>
      <c r="AD395" s="565">
        <f t="shared" si="660"/>
        <v>0</v>
      </c>
      <c r="AE395" s="566">
        <f t="shared" si="660"/>
        <v>0</v>
      </c>
      <c r="AF395" s="564">
        <f t="shared" si="660"/>
        <v>0</v>
      </c>
      <c r="AG395" s="565">
        <f t="shared" si="660"/>
        <v>0</v>
      </c>
      <c r="AH395" s="565">
        <f t="shared" si="660"/>
        <v>0</v>
      </c>
      <c r="AI395" s="565">
        <f t="shared" si="660"/>
        <v>0</v>
      </c>
      <c r="AJ395" s="566">
        <f t="shared" si="660"/>
        <v>0</v>
      </c>
      <c r="AK395" s="569"/>
      <c r="AL395" s="569"/>
      <c r="AN395" s="857"/>
      <c r="AO395" s="984" t="str">
        <f t="shared" si="624"/>
        <v>Rev</v>
      </c>
      <c r="AP395" s="985" t="str">
        <f t="shared" si="625"/>
        <v>[Service]</v>
      </c>
      <c r="AQ395" s="986" t="str">
        <f t="shared" si="626"/>
        <v>[Price]</v>
      </c>
      <c r="AR395" s="990" t="str">
        <f t="shared" si="627"/>
        <v>-</v>
      </c>
      <c r="AS395" s="987" t="str">
        <f t="shared" si="628"/>
        <v>-</v>
      </c>
      <c r="AT395" s="987" t="str">
        <f t="shared" si="629"/>
        <v>-</v>
      </c>
      <c r="AU395" s="987" t="str">
        <f t="shared" si="630"/>
        <v>-</v>
      </c>
      <c r="AV395" s="1353" t="str">
        <f t="shared" si="631"/>
        <v>-</v>
      </c>
      <c r="AW395" s="1346" t="str">
        <f t="shared" si="632"/>
        <v>-</v>
      </c>
      <c r="AX395" s="987" t="str">
        <f t="shared" si="633"/>
        <v>-</v>
      </c>
      <c r="AY395" s="987" t="str">
        <f t="shared" si="634"/>
        <v>-</v>
      </c>
      <c r="AZ395" s="987" t="str">
        <f t="shared" si="635"/>
        <v>-</v>
      </c>
      <c r="BA395" s="988" t="str">
        <f t="shared" si="636"/>
        <v>-</v>
      </c>
      <c r="BB395" s="1346" t="str">
        <f t="shared" si="637"/>
        <v>-</v>
      </c>
      <c r="BC395" s="987" t="str">
        <f t="shared" si="638"/>
        <v>-</v>
      </c>
      <c r="BD395" s="987" t="str">
        <f t="shared" si="639"/>
        <v>-</v>
      </c>
      <c r="BE395" s="987" t="str">
        <f t="shared" si="640"/>
        <v>-</v>
      </c>
      <c r="BF395" s="989" t="str">
        <f t="shared" si="641"/>
        <v>-</v>
      </c>
      <c r="BG395" s="951"/>
      <c r="BH395" s="1550" t="str">
        <f t="shared" si="642"/>
        <v>Rev</v>
      </c>
      <c r="BI395" s="1551" t="str">
        <f t="shared" si="643"/>
        <v>[Service]</v>
      </c>
      <c r="BJ395" s="1552" t="str">
        <f t="shared" si="644"/>
        <v>[Price]</v>
      </c>
      <c r="BK395" s="987" t="str">
        <f t="shared" ref="BK395:BU395" si="661">IF(V395="","-",IFERROR((V395/U395-1)*(U395/U$13),"-"))</f>
        <v>-</v>
      </c>
      <c r="BL395" s="987" t="str">
        <f t="shared" si="661"/>
        <v>-</v>
      </c>
      <c r="BM395" s="987" t="str">
        <f t="shared" si="661"/>
        <v>-</v>
      </c>
      <c r="BN395" s="987" t="str">
        <f t="shared" si="661"/>
        <v>-</v>
      </c>
      <c r="BO395" s="1353" t="str">
        <f t="shared" si="661"/>
        <v>-</v>
      </c>
      <c r="BP395" s="1346" t="str">
        <f t="shared" si="661"/>
        <v>-</v>
      </c>
      <c r="BQ395" s="987" t="str">
        <f t="shared" si="661"/>
        <v>-</v>
      </c>
      <c r="BR395" s="987" t="str">
        <f t="shared" si="661"/>
        <v>-</v>
      </c>
      <c r="BS395" s="987" t="str">
        <f t="shared" si="661"/>
        <v>-</v>
      </c>
      <c r="BT395" s="988" t="str">
        <f t="shared" si="661"/>
        <v>-</v>
      </c>
      <c r="BU395" s="987" t="str">
        <f t="shared" si="661"/>
        <v>-</v>
      </c>
      <c r="BV395" s="987" t="str">
        <f>IF(AG395="","-",IFERROR((AG395/AF395-1)*(AF395/AF$13),"-"))</f>
        <v>-</v>
      </c>
      <c r="BW395" s="987" t="str">
        <f>IF(AH395="","-",IFERROR((AH395/AG395-1)*(AG395/AG$13),"-"))</f>
        <v>-</v>
      </c>
      <c r="BX395" s="987" t="str">
        <f>IF(AI395="","-",IFERROR((AI395/AH395-1)*(AH395/AH$13),"-"))</f>
        <v>-</v>
      </c>
      <c r="BY395" s="989" t="str">
        <f>IF(AJ395="","-",IFERROR((AJ395/AI395-1)*(AI395/AI$13),"-"))</f>
        <v>-</v>
      </c>
      <c r="BZ395" s="951"/>
      <c r="CA395" s="984" t="str">
        <f t="shared" si="620"/>
        <v>Rev</v>
      </c>
      <c r="CB395" s="985" t="str">
        <f t="shared" si="621"/>
        <v>[Service]</v>
      </c>
      <c r="CC395" s="985" t="str">
        <f t="shared" si="622"/>
        <v>[Price]</v>
      </c>
      <c r="CD395" s="990" t="str">
        <f t="shared" si="653"/>
        <v>-</v>
      </c>
      <c r="CE395" s="987" t="str">
        <f t="shared" si="646"/>
        <v>-</v>
      </c>
      <c r="CF395" s="987" t="str">
        <f t="shared" si="647"/>
        <v>-</v>
      </c>
      <c r="CG395" s="988" t="str">
        <f t="shared" si="648"/>
        <v>-</v>
      </c>
      <c r="CH395" s="987" t="str">
        <f t="shared" si="654"/>
        <v>-</v>
      </c>
      <c r="CI395" s="987" t="str">
        <f t="shared" si="649"/>
        <v>-</v>
      </c>
      <c r="CJ395" s="987" t="str">
        <f t="shared" si="650"/>
        <v>-</v>
      </c>
      <c r="CK395" s="989" t="str">
        <f t="shared" si="651"/>
        <v>-</v>
      </c>
    </row>
    <row r="396" spans="4:89" outlineLevel="1">
      <c r="D396" s="63">
        <f>D393+1</f>
        <v>110</v>
      </c>
      <c r="E396" s="550" t="s">
        <v>857</v>
      </c>
      <c r="F396" s="595" t="s">
        <v>428</v>
      </c>
      <c r="G396" s="595"/>
      <c r="H396" s="595"/>
      <c r="I396" s="589" t="s">
        <v>920</v>
      </c>
      <c r="J396" s="589" t="s">
        <v>879</v>
      </c>
      <c r="K396" s="551"/>
      <c r="L396" s="552"/>
      <c r="M396" s="552"/>
      <c r="N396" s="551"/>
      <c r="O396" s="552"/>
      <c r="P396" s="552"/>
      <c r="Q396" s="552"/>
      <c r="R396" s="1035"/>
      <c r="S396" s="1138"/>
      <c r="T396" s="591"/>
      <c r="U396" s="1035"/>
      <c r="V396" s="1138"/>
      <c r="W396" s="591"/>
      <c r="X396" s="591"/>
      <c r="Y396" s="591"/>
      <c r="Z396" s="1035"/>
      <c r="AA396" s="1138"/>
      <c r="AB396" s="591"/>
      <c r="AC396" s="591"/>
      <c r="AD396" s="591"/>
      <c r="AE396" s="1035"/>
      <c r="AF396" s="1138"/>
      <c r="AG396" s="591"/>
      <c r="AH396" s="591"/>
      <c r="AI396" s="591"/>
      <c r="AJ396" s="1035"/>
      <c r="AK396" s="569"/>
      <c r="AL396" s="569"/>
      <c r="AM396" s="974"/>
      <c r="AN396" s="857"/>
      <c r="AO396" s="975" t="str">
        <f t="shared" si="624"/>
        <v>Price</v>
      </c>
      <c r="AP396" s="976" t="str">
        <f t="shared" si="625"/>
        <v>[Service]</v>
      </c>
      <c r="AQ396" s="977" t="str">
        <f t="shared" si="626"/>
        <v>[Price]</v>
      </c>
      <c r="AR396" s="1341" t="str">
        <f t="shared" si="627"/>
        <v>-</v>
      </c>
      <c r="AS396" s="978" t="str">
        <f t="shared" si="628"/>
        <v>-</v>
      </c>
      <c r="AT396" s="979" t="str">
        <f t="shared" si="629"/>
        <v>-</v>
      </c>
      <c r="AU396" s="979" t="str">
        <f t="shared" si="630"/>
        <v>-</v>
      </c>
      <c r="AV396" s="1352" t="str">
        <f t="shared" si="631"/>
        <v>-</v>
      </c>
      <c r="AW396" s="1345" t="str">
        <f t="shared" si="632"/>
        <v>-</v>
      </c>
      <c r="AX396" s="979" t="str">
        <f t="shared" si="633"/>
        <v>-</v>
      </c>
      <c r="AY396" s="979" t="str">
        <f t="shared" si="634"/>
        <v>-</v>
      </c>
      <c r="AZ396" s="979" t="str">
        <f t="shared" si="635"/>
        <v>-</v>
      </c>
      <c r="BA396" s="980" t="str">
        <f t="shared" si="636"/>
        <v>-</v>
      </c>
      <c r="BB396" s="1345" t="str">
        <f t="shared" si="637"/>
        <v>-</v>
      </c>
      <c r="BC396" s="979" t="str">
        <f t="shared" si="638"/>
        <v>-</v>
      </c>
      <c r="BD396" s="979" t="str">
        <f t="shared" si="639"/>
        <v>-</v>
      </c>
      <c r="BE396" s="979" t="str">
        <f t="shared" si="640"/>
        <v>-</v>
      </c>
      <c r="BF396" s="981" t="str">
        <f t="shared" si="641"/>
        <v>-</v>
      </c>
      <c r="BG396" s="951"/>
      <c r="BH396" s="1547" t="str">
        <f t="shared" si="642"/>
        <v>Price</v>
      </c>
      <c r="BI396" s="1548" t="str">
        <f t="shared" si="643"/>
        <v>[Service]</v>
      </c>
      <c r="BJ396" s="1549" t="str">
        <f t="shared" si="644"/>
        <v>[Price]</v>
      </c>
      <c r="BK396" s="978" t="str">
        <f t="shared" ref="BK396:BU396" si="662">IF(V396="","-",IFERROR((V396/U396-1)*(U398/U$13),"-"))</f>
        <v>-</v>
      </c>
      <c r="BL396" s="978" t="str">
        <f t="shared" si="662"/>
        <v>-</v>
      </c>
      <c r="BM396" s="979" t="str">
        <f t="shared" si="662"/>
        <v>-</v>
      </c>
      <c r="BN396" s="979" t="str">
        <f t="shared" si="662"/>
        <v>-</v>
      </c>
      <c r="BO396" s="1352" t="str">
        <f t="shared" si="662"/>
        <v>-</v>
      </c>
      <c r="BP396" s="1345" t="str">
        <f t="shared" si="662"/>
        <v>-</v>
      </c>
      <c r="BQ396" s="979" t="str">
        <f t="shared" si="662"/>
        <v>-</v>
      </c>
      <c r="BR396" s="979" t="str">
        <f t="shared" si="662"/>
        <v>-</v>
      </c>
      <c r="BS396" s="979" t="str">
        <f t="shared" si="662"/>
        <v>-</v>
      </c>
      <c r="BT396" s="980" t="str">
        <f t="shared" si="662"/>
        <v>-</v>
      </c>
      <c r="BU396" s="979" t="str">
        <f t="shared" si="662"/>
        <v>-</v>
      </c>
      <c r="BV396" s="979" t="str">
        <f>IF(AG396="","-",IFERROR((AG396/AF396-1)*(AF398/AF$13),"-"))</f>
        <v>-</v>
      </c>
      <c r="BW396" s="979" t="str">
        <f>IF(AH396="","-",IFERROR((AH396/AG396-1)*(AG398/AG$13),"-"))</f>
        <v>-</v>
      </c>
      <c r="BX396" s="979" t="str">
        <f>IF(AI396="","-",IFERROR((AI396/AH396-1)*(AH398/AH$13),"-"))</f>
        <v>-</v>
      </c>
      <c r="BY396" s="981" t="str">
        <f>IF(AJ396="","-",IFERROR((AJ396/AI396-1)*(AI398/AI$13),"-"))</f>
        <v>-</v>
      </c>
      <c r="BZ396" s="951"/>
      <c r="CA396" s="975" t="str">
        <f t="shared" si="620"/>
        <v>Price</v>
      </c>
      <c r="CB396" s="976" t="str">
        <f t="shared" si="621"/>
        <v>[Service]</v>
      </c>
      <c r="CC396" s="982" t="str">
        <f t="shared" si="622"/>
        <v>[Price]</v>
      </c>
      <c r="CD396" s="983" t="str">
        <f t="shared" si="653"/>
        <v>-</v>
      </c>
      <c r="CE396" s="979" t="str">
        <f t="shared" si="646"/>
        <v>-</v>
      </c>
      <c r="CF396" s="979" t="str">
        <f t="shared" si="647"/>
        <v>-</v>
      </c>
      <c r="CG396" s="980" t="str">
        <f t="shared" si="648"/>
        <v>-</v>
      </c>
      <c r="CH396" s="979" t="str">
        <f t="shared" si="654"/>
        <v>-</v>
      </c>
      <c r="CI396" s="979" t="str">
        <f t="shared" si="649"/>
        <v>-</v>
      </c>
      <c r="CJ396" s="979" t="str">
        <f t="shared" si="650"/>
        <v>-</v>
      </c>
      <c r="CK396" s="981" t="str">
        <f t="shared" si="651"/>
        <v>-</v>
      </c>
    </row>
    <row r="397" spans="4:89" outlineLevel="1">
      <c r="E397" s="567" t="s">
        <v>880</v>
      </c>
      <c r="F397" s="554" t="str">
        <f>+F396</f>
        <v>[Service]</v>
      </c>
      <c r="G397" s="555">
        <f>+G396</f>
        <v>0</v>
      </c>
      <c r="H397" s="555">
        <f>+H396</f>
        <v>0</v>
      </c>
      <c r="I397" s="556" t="str">
        <f>+I396</f>
        <v>[Price]</v>
      </c>
      <c r="J397" s="590" t="s">
        <v>916</v>
      </c>
      <c r="K397" s="557"/>
      <c r="L397" s="558"/>
      <c r="M397" s="558"/>
      <c r="N397" s="557"/>
      <c r="O397" s="558"/>
      <c r="P397" s="558"/>
      <c r="Q397" s="558"/>
      <c r="R397" s="1036"/>
      <c r="S397" s="1139"/>
      <c r="T397" s="593"/>
      <c r="U397" s="1036"/>
      <c r="V397" s="1139"/>
      <c r="W397" s="593"/>
      <c r="X397" s="593"/>
      <c r="Y397" s="593"/>
      <c r="Z397" s="1036"/>
      <c r="AA397" s="1139"/>
      <c r="AB397" s="593"/>
      <c r="AC397" s="593"/>
      <c r="AD397" s="593"/>
      <c r="AE397" s="1036"/>
      <c r="AF397" s="1139"/>
      <c r="AG397" s="593"/>
      <c r="AH397" s="593"/>
      <c r="AI397" s="593"/>
      <c r="AJ397" s="1036"/>
      <c r="AK397" s="569"/>
      <c r="AL397" s="569"/>
      <c r="AN397" s="857"/>
      <c r="AO397" s="961" t="str">
        <f t="shared" si="624"/>
        <v>Qty</v>
      </c>
      <c r="AP397" s="962" t="str">
        <f t="shared" si="625"/>
        <v>[Service]</v>
      </c>
      <c r="AQ397" s="963" t="str">
        <f t="shared" si="626"/>
        <v>[Price]</v>
      </c>
      <c r="AR397" s="967" t="str">
        <f t="shared" si="627"/>
        <v>-</v>
      </c>
      <c r="AS397" s="964" t="str">
        <f t="shared" si="628"/>
        <v>-</v>
      </c>
      <c r="AT397" s="964" t="str">
        <f t="shared" si="629"/>
        <v>-</v>
      </c>
      <c r="AU397" s="964" t="str">
        <f t="shared" si="630"/>
        <v>-</v>
      </c>
      <c r="AV397" s="1350" t="str">
        <f t="shared" si="631"/>
        <v>-</v>
      </c>
      <c r="AW397" s="1343" t="str">
        <f t="shared" si="632"/>
        <v>-</v>
      </c>
      <c r="AX397" s="964" t="str">
        <f t="shared" si="633"/>
        <v>-</v>
      </c>
      <c r="AY397" s="964" t="str">
        <f t="shared" si="634"/>
        <v>-</v>
      </c>
      <c r="AZ397" s="964" t="str">
        <f t="shared" si="635"/>
        <v>-</v>
      </c>
      <c r="BA397" s="965" t="str">
        <f t="shared" si="636"/>
        <v>-</v>
      </c>
      <c r="BB397" s="1343" t="str">
        <f t="shared" si="637"/>
        <v>-</v>
      </c>
      <c r="BC397" s="964" t="str">
        <f t="shared" si="638"/>
        <v>-</v>
      </c>
      <c r="BD397" s="964" t="str">
        <f t="shared" si="639"/>
        <v>-</v>
      </c>
      <c r="BE397" s="964" t="str">
        <f t="shared" si="640"/>
        <v>-</v>
      </c>
      <c r="BF397" s="966" t="str">
        <f t="shared" si="641"/>
        <v>-</v>
      </c>
      <c r="BG397" s="951"/>
      <c r="BH397" s="1541" t="str">
        <f t="shared" si="642"/>
        <v>Qty</v>
      </c>
      <c r="BI397" s="1542" t="str">
        <f t="shared" si="643"/>
        <v>[Service]</v>
      </c>
      <c r="BJ397" s="1543" t="str">
        <f t="shared" si="644"/>
        <v>[Price]</v>
      </c>
      <c r="BK397" s="964" t="str">
        <f t="shared" ref="BK397:BU397" si="663">IF(V397="","-",IFERROR((V397/U397-1)*(U398/U$13),"-"))</f>
        <v>-</v>
      </c>
      <c r="BL397" s="964" t="str">
        <f t="shared" si="663"/>
        <v>-</v>
      </c>
      <c r="BM397" s="964" t="str">
        <f t="shared" si="663"/>
        <v>-</v>
      </c>
      <c r="BN397" s="964" t="str">
        <f t="shared" si="663"/>
        <v>-</v>
      </c>
      <c r="BO397" s="1350" t="str">
        <f t="shared" si="663"/>
        <v>-</v>
      </c>
      <c r="BP397" s="1343" t="str">
        <f t="shared" si="663"/>
        <v>-</v>
      </c>
      <c r="BQ397" s="964" t="str">
        <f t="shared" si="663"/>
        <v>-</v>
      </c>
      <c r="BR397" s="964" t="str">
        <f t="shared" si="663"/>
        <v>-</v>
      </c>
      <c r="BS397" s="964" t="str">
        <f t="shared" si="663"/>
        <v>-</v>
      </c>
      <c r="BT397" s="965" t="str">
        <f t="shared" si="663"/>
        <v>-</v>
      </c>
      <c r="BU397" s="964" t="str">
        <f t="shared" si="663"/>
        <v>-</v>
      </c>
      <c r="BV397" s="964" t="str">
        <f>IF(AG397="","-",IFERROR((AG397/AF397-1)*(AF398/AF$13),"-"))</f>
        <v>-</v>
      </c>
      <c r="BW397" s="964" t="str">
        <f>IF(AH397="","-",IFERROR((AH397/AG397-1)*(AG398/AG$13),"-"))</f>
        <v>-</v>
      </c>
      <c r="BX397" s="964" t="str">
        <f>IF(AI397="","-",IFERROR((AI397/AH397-1)*(AH398/AH$13),"-"))</f>
        <v>-</v>
      </c>
      <c r="BY397" s="966" t="str">
        <f>IF(AJ397="","-",IFERROR((AJ397/AI397-1)*(AI398/AI$13),"-"))</f>
        <v>-</v>
      </c>
      <c r="BZ397" s="951"/>
      <c r="CA397" s="961" t="str">
        <f t="shared" si="620"/>
        <v>Qty</v>
      </c>
      <c r="CB397" s="962" t="str">
        <f t="shared" si="621"/>
        <v>[Service]</v>
      </c>
      <c r="CC397" s="962" t="str">
        <f t="shared" si="622"/>
        <v>[Price]</v>
      </c>
      <c r="CD397" s="967" t="str">
        <f t="shared" si="653"/>
        <v>-</v>
      </c>
      <c r="CE397" s="964" t="str">
        <f t="shared" si="646"/>
        <v>-</v>
      </c>
      <c r="CF397" s="964" t="str">
        <f t="shared" si="647"/>
        <v>-</v>
      </c>
      <c r="CG397" s="965" t="str">
        <f t="shared" si="648"/>
        <v>-</v>
      </c>
      <c r="CH397" s="964" t="str">
        <f t="shared" si="654"/>
        <v>-</v>
      </c>
      <c r="CI397" s="964" t="str">
        <f t="shared" si="649"/>
        <v>-</v>
      </c>
      <c r="CJ397" s="964" t="str">
        <f t="shared" si="650"/>
        <v>-</v>
      </c>
      <c r="CK397" s="966" t="str">
        <f t="shared" si="651"/>
        <v>-</v>
      </c>
    </row>
    <row r="398" spans="4:89" ht="12.75" outlineLevel="1" thickBot="1">
      <c r="E398" s="568" t="s">
        <v>882</v>
      </c>
      <c r="F398" s="560" t="str">
        <f>+F396</f>
        <v>[Service]</v>
      </c>
      <c r="G398" s="561">
        <f>+G396</f>
        <v>0</v>
      </c>
      <c r="H398" s="561">
        <f>+H396</f>
        <v>0</v>
      </c>
      <c r="I398" s="562" t="str">
        <f>+I396</f>
        <v>[Price]</v>
      </c>
      <c r="J398" s="563" t="s">
        <v>883</v>
      </c>
      <c r="K398" s="564">
        <f t="shared" ref="K398:AJ398" si="664">K396*K397/10^6</f>
        <v>0</v>
      </c>
      <c r="L398" s="565">
        <f t="shared" si="664"/>
        <v>0</v>
      </c>
      <c r="M398" s="565">
        <f t="shared" si="664"/>
        <v>0</v>
      </c>
      <c r="N398" s="564">
        <f t="shared" si="664"/>
        <v>0</v>
      </c>
      <c r="O398" s="565">
        <f t="shared" si="664"/>
        <v>0</v>
      </c>
      <c r="P398" s="565">
        <f t="shared" si="664"/>
        <v>0</v>
      </c>
      <c r="Q398" s="565">
        <f t="shared" si="664"/>
        <v>0</v>
      </c>
      <c r="R398" s="566">
        <f t="shared" si="664"/>
        <v>0</v>
      </c>
      <c r="S398" s="564">
        <f t="shared" si="664"/>
        <v>0</v>
      </c>
      <c r="T398" s="565">
        <f t="shared" si="664"/>
        <v>0</v>
      </c>
      <c r="U398" s="566">
        <f t="shared" si="664"/>
        <v>0</v>
      </c>
      <c r="V398" s="564">
        <f t="shared" si="664"/>
        <v>0</v>
      </c>
      <c r="W398" s="565">
        <f t="shared" si="664"/>
        <v>0</v>
      </c>
      <c r="X398" s="565">
        <f t="shared" si="664"/>
        <v>0</v>
      </c>
      <c r="Y398" s="565">
        <f t="shared" si="664"/>
        <v>0</v>
      </c>
      <c r="Z398" s="566">
        <f t="shared" si="664"/>
        <v>0</v>
      </c>
      <c r="AA398" s="564">
        <f t="shared" si="664"/>
        <v>0</v>
      </c>
      <c r="AB398" s="565">
        <f t="shared" si="664"/>
        <v>0</v>
      </c>
      <c r="AC398" s="565">
        <f t="shared" si="664"/>
        <v>0</v>
      </c>
      <c r="AD398" s="565">
        <f t="shared" si="664"/>
        <v>0</v>
      </c>
      <c r="AE398" s="566">
        <f t="shared" si="664"/>
        <v>0</v>
      </c>
      <c r="AF398" s="564">
        <f t="shared" si="664"/>
        <v>0</v>
      </c>
      <c r="AG398" s="565">
        <f t="shared" si="664"/>
        <v>0</v>
      </c>
      <c r="AH398" s="565">
        <f t="shared" si="664"/>
        <v>0</v>
      </c>
      <c r="AI398" s="565">
        <f t="shared" si="664"/>
        <v>0</v>
      </c>
      <c r="AJ398" s="566">
        <f t="shared" si="664"/>
        <v>0</v>
      </c>
      <c r="AK398" s="569"/>
      <c r="AL398" s="569"/>
      <c r="AN398" s="857"/>
      <c r="AO398" s="984" t="str">
        <f t="shared" si="624"/>
        <v>Rev</v>
      </c>
      <c r="AP398" s="985" t="str">
        <f t="shared" si="625"/>
        <v>[Service]</v>
      </c>
      <c r="AQ398" s="986" t="str">
        <f t="shared" si="626"/>
        <v>[Price]</v>
      </c>
      <c r="AR398" s="990" t="str">
        <f t="shared" si="627"/>
        <v>-</v>
      </c>
      <c r="AS398" s="987" t="str">
        <f t="shared" si="628"/>
        <v>-</v>
      </c>
      <c r="AT398" s="987" t="str">
        <f t="shared" si="629"/>
        <v>-</v>
      </c>
      <c r="AU398" s="987" t="str">
        <f t="shared" si="630"/>
        <v>-</v>
      </c>
      <c r="AV398" s="1353" t="str">
        <f t="shared" si="631"/>
        <v>-</v>
      </c>
      <c r="AW398" s="1346" t="str">
        <f t="shared" si="632"/>
        <v>-</v>
      </c>
      <c r="AX398" s="987" t="str">
        <f t="shared" si="633"/>
        <v>-</v>
      </c>
      <c r="AY398" s="987" t="str">
        <f t="shared" si="634"/>
        <v>-</v>
      </c>
      <c r="AZ398" s="987" t="str">
        <f t="shared" si="635"/>
        <v>-</v>
      </c>
      <c r="BA398" s="988" t="str">
        <f t="shared" si="636"/>
        <v>-</v>
      </c>
      <c r="BB398" s="1346" t="str">
        <f t="shared" si="637"/>
        <v>-</v>
      </c>
      <c r="BC398" s="987" t="str">
        <f t="shared" si="638"/>
        <v>-</v>
      </c>
      <c r="BD398" s="987" t="str">
        <f t="shared" si="639"/>
        <v>-</v>
      </c>
      <c r="BE398" s="987" t="str">
        <f t="shared" si="640"/>
        <v>-</v>
      </c>
      <c r="BF398" s="989" t="str">
        <f t="shared" si="641"/>
        <v>-</v>
      </c>
      <c r="BG398" s="951"/>
      <c r="BH398" s="1550" t="str">
        <f t="shared" si="642"/>
        <v>Rev</v>
      </c>
      <c r="BI398" s="1551" t="str">
        <f t="shared" si="643"/>
        <v>[Service]</v>
      </c>
      <c r="BJ398" s="1552" t="str">
        <f t="shared" si="644"/>
        <v>[Price]</v>
      </c>
      <c r="BK398" s="987" t="str">
        <f t="shared" ref="BK398:BU398" si="665">IF(V398="","-",IFERROR((V398/U398-1)*(U398/U$13),"-"))</f>
        <v>-</v>
      </c>
      <c r="BL398" s="987" t="str">
        <f t="shared" si="665"/>
        <v>-</v>
      </c>
      <c r="BM398" s="987" t="str">
        <f t="shared" si="665"/>
        <v>-</v>
      </c>
      <c r="BN398" s="987" t="str">
        <f t="shared" si="665"/>
        <v>-</v>
      </c>
      <c r="BO398" s="1353" t="str">
        <f t="shared" si="665"/>
        <v>-</v>
      </c>
      <c r="BP398" s="1346" t="str">
        <f t="shared" si="665"/>
        <v>-</v>
      </c>
      <c r="BQ398" s="987" t="str">
        <f t="shared" si="665"/>
        <v>-</v>
      </c>
      <c r="BR398" s="987" t="str">
        <f t="shared" si="665"/>
        <v>-</v>
      </c>
      <c r="BS398" s="987" t="str">
        <f t="shared" si="665"/>
        <v>-</v>
      </c>
      <c r="BT398" s="988" t="str">
        <f t="shared" si="665"/>
        <v>-</v>
      </c>
      <c r="BU398" s="987" t="str">
        <f t="shared" si="665"/>
        <v>-</v>
      </c>
      <c r="BV398" s="987" t="str">
        <f>IF(AG398="","-",IFERROR((AG398/AF398-1)*(AF398/AF$13),"-"))</f>
        <v>-</v>
      </c>
      <c r="BW398" s="987" t="str">
        <f>IF(AH398="","-",IFERROR((AH398/AG398-1)*(AG398/AG$13),"-"))</f>
        <v>-</v>
      </c>
      <c r="BX398" s="987" t="str">
        <f>IF(AI398="","-",IFERROR((AI398/AH398-1)*(AH398/AH$13),"-"))</f>
        <v>-</v>
      </c>
      <c r="BY398" s="989" t="str">
        <f>IF(AJ398="","-",IFERROR((AJ398/AI398-1)*(AI398/AI$13),"-"))</f>
        <v>-</v>
      </c>
      <c r="BZ398" s="951"/>
      <c r="CA398" s="984" t="str">
        <f t="shared" si="620"/>
        <v>Rev</v>
      </c>
      <c r="CB398" s="985" t="str">
        <f t="shared" si="621"/>
        <v>[Service]</v>
      </c>
      <c r="CC398" s="985" t="str">
        <f t="shared" si="622"/>
        <v>[Price]</v>
      </c>
      <c r="CD398" s="990" t="str">
        <f t="shared" si="653"/>
        <v>-</v>
      </c>
      <c r="CE398" s="987" t="str">
        <f t="shared" si="646"/>
        <v>-</v>
      </c>
      <c r="CF398" s="987" t="str">
        <f t="shared" si="647"/>
        <v>-</v>
      </c>
      <c r="CG398" s="988" t="str">
        <f t="shared" si="648"/>
        <v>-</v>
      </c>
      <c r="CH398" s="987" t="str">
        <f t="shared" si="654"/>
        <v>-</v>
      </c>
      <c r="CI398" s="987" t="str">
        <f t="shared" si="649"/>
        <v>-</v>
      </c>
      <c r="CJ398" s="987" t="str">
        <f t="shared" si="650"/>
        <v>-</v>
      </c>
      <c r="CK398" s="989" t="str">
        <f t="shared" si="651"/>
        <v>-</v>
      </c>
    </row>
    <row r="399" spans="4:89" outlineLevel="1">
      <c r="D399" s="63">
        <f>D396+1</f>
        <v>111</v>
      </c>
      <c r="E399" s="550" t="s">
        <v>857</v>
      </c>
      <c r="F399" s="595" t="s">
        <v>428</v>
      </c>
      <c r="G399" s="595"/>
      <c r="H399" s="595"/>
      <c r="I399" s="589" t="s">
        <v>920</v>
      </c>
      <c r="J399" s="589" t="s">
        <v>879</v>
      </c>
      <c r="K399" s="551"/>
      <c r="L399" s="552"/>
      <c r="M399" s="552"/>
      <c r="N399" s="551"/>
      <c r="O399" s="552"/>
      <c r="P399" s="552"/>
      <c r="Q399" s="552"/>
      <c r="R399" s="1035"/>
      <c r="S399" s="1138"/>
      <c r="T399" s="591"/>
      <c r="U399" s="1035"/>
      <c r="V399" s="1138"/>
      <c r="W399" s="591"/>
      <c r="X399" s="591"/>
      <c r="Y399" s="591"/>
      <c r="Z399" s="1035"/>
      <c r="AA399" s="1138"/>
      <c r="AB399" s="591"/>
      <c r="AC399" s="591"/>
      <c r="AD399" s="591"/>
      <c r="AE399" s="1035"/>
      <c r="AF399" s="1138"/>
      <c r="AG399" s="591"/>
      <c r="AH399" s="591"/>
      <c r="AI399" s="591"/>
      <c r="AJ399" s="1035"/>
      <c r="AK399" s="569"/>
      <c r="AL399" s="569"/>
      <c r="AM399" s="974"/>
      <c r="AN399" s="857"/>
      <c r="AO399" s="975" t="str">
        <f t="shared" si="624"/>
        <v>Price</v>
      </c>
      <c r="AP399" s="976" t="str">
        <f t="shared" si="625"/>
        <v>[Service]</v>
      </c>
      <c r="AQ399" s="977" t="str">
        <f t="shared" si="626"/>
        <v>[Price]</v>
      </c>
      <c r="AR399" s="1341" t="str">
        <f t="shared" si="627"/>
        <v>-</v>
      </c>
      <c r="AS399" s="978" t="str">
        <f t="shared" si="628"/>
        <v>-</v>
      </c>
      <c r="AT399" s="979" t="str">
        <f t="shared" si="629"/>
        <v>-</v>
      </c>
      <c r="AU399" s="979" t="str">
        <f t="shared" si="630"/>
        <v>-</v>
      </c>
      <c r="AV399" s="1352" t="str">
        <f t="shared" si="631"/>
        <v>-</v>
      </c>
      <c r="AW399" s="1345" t="str">
        <f t="shared" si="632"/>
        <v>-</v>
      </c>
      <c r="AX399" s="979" t="str">
        <f t="shared" si="633"/>
        <v>-</v>
      </c>
      <c r="AY399" s="979" t="str">
        <f t="shared" si="634"/>
        <v>-</v>
      </c>
      <c r="AZ399" s="979" t="str">
        <f t="shared" si="635"/>
        <v>-</v>
      </c>
      <c r="BA399" s="980" t="str">
        <f t="shared" si="636"/>
        <v>-</v>
      </c>
      <c r="BB399" s="1345" t="str">
        <f t="shared" si="637"/>
        <v>-</v>
      </c>
      <c r="BC399" s="979" t="str">
        <f t="shared" si="638"/>
        <v>-</v>
      </c>
      <c r="BD399" s="979" t="str">
        <f t="shared" si="639"/>
        <v>-</v>
      </c>
      <c r="BE399" s="979" t="str">
        <f t="shared" si="640"/>
        <v>-</v>
      </c>
      <c r="BF399" s="981" t="str">
        <f t="shared" si="641"/>
        <v>-</v>
      </c>
      <c r="BG399" s="951"/>
      <c r="BH399" s="1547" t="str">
        <f t="shared" si="642"/>
        <v>Price</v>
      </c>
      <c r="BI399" s="1548" t="str">
        <f t="shared" si="643"/>
        <v>[Service]</v>
      </c>
      <c r="BJ399" s="1549" t="str">
        <f t="shared" si="644"/>
        <v>[Price]</v>
      </c>
      <c r="BK399" s="978" t="str">
        <f t="shared" ref="BK399:BU399" si="666">IF(V399="","-",IFERROR((V399/U399-1)*(U401/U$13),"-"))</f>
        <v>-</v>
      </c>
      <c r="BL399" s="978" t="str">
        <f t="shared" si="666"/>
        <v>-</v>
      </c>
      <c r="BM399" s="979" t="str">
        <f t="shared" si="666"/>
        <v>-</v>
      </c>
      <c r="BN399" s="979" t="str">
        <f t="shared" si="666"/>
        <v>-</v>
      </c>
      <c r="BO399" s="1352" t="str">
        <f t="shared" si="666"/>
        <v>-</v>
      </c>
      <c r="BP399" s="1345" t="str">
        <f t="shared" si="666"/>
        <v>-</v>
      </c>
      <c r="BQ399" s="979" t="str">
        <f t="shared" si="666"/>
        <v>-</v>
      </c>
      <c r="BR399" s="979" t="str">
        <f t="shared" si="666"/>
        <v>-</v>
      </c>
      <c r="BS399" s="979" t="str">
        <f t="shared" si="666"/>
        <v>-</v>
      </c>
      <c r="BT399" s="980" t="str">
        <f t="shared" si="666"/>
        <v>-</v>
      </c>
      <c r="BU399" s="979" t="str">
        <f t="shared" si="666"/>
        <v>-</v>
      </c>
      <c r="BV399" s="979" t="str">
        <f>IF(AG399="","-",IFERROR((AG399/AF399-1)*(AF401/AF$13),"-"))</f>
        <v>-</v>
      </c>
      <c r="BW399" s="979" t="str">
        <f>IF(AH399="","-",IFERROR((AH399/AG399-1)*(AG401/AG$13),"-"))</f>
        <v>-</v>
      </c>
      <c r="BX399" s="979" t="str">
        <f>IF(AI399="","-",IFERROR((AI399/AH399-1)*(AH401/AH$13),"-"))</f>
        <v>-</v>
      </c>
      <c r="BY399" s="981" t="str">
        <f>IF(AJ399="","-",IFERROR((AJ399/AI399-1)*(AI401/AI$13),"-"))</f>
        <v>-</v>
      </c>
      <c r="BZ399" s="951"/>
      <c r="CA399" s="975" t="str">
        <f t="shared" si="620"/>
        <v>Price</v>
      </c>
      <c r="CB399" s="976" t="str">
        <f t="shared" si="621"/>
        <v>[Service]</v>
      </c>
      <c r="CC399" s="982" t="str">
        <f t="shared" si="622"/>
        <v>[Price]</v>
      </c>
      <c r="CD399" s="983" t="str">
        <f t="shared" si="653"/>
        <v>-</v>
      </c>
      <c r="CE399" s="979" t="str">
        <f t="shared" si="646"/>
        <v>-</v>
      </c>
      <c r="CF399" s="979" t="str">
        <f t="shared" si="647"/>
        <v>-</v>
      </c>
      <c r="CG399" s="980" t="str">
        <f t="shared" si="648"/>
        <v>-</v>
      </c>
      <c r="CH399" s="979" t="str">
        <f t="shared" si="654"/>
        <v>-</v>
      </c>
      <c r="CI399" s="979" t="str">
        <f t="shared" si="649"/>
        <v>-</v>
      </c>
      <c r="CJ399" s="979" t="str">
        <f t="shared" si="650"/>
        <v>-</v>
      </c>
      <c r="CK399" s="981" t="str">
        <f t="shared" si="651"/>
        <v>-</v>
      </c>
    </row>
    <row r="400" spans="4:89" outlineLevel="1">
      <c r="E400" s="567" t="s">
        <v>880</v>
      </c>
      <c r="F400" s="554" t="str">
        <f>+F399</f>
        <v>[Service]</v>
      </c>
      <c r="G400" s="555">
        <f>+G399</f>
        <v>0</v>
      </c>
      <c r="H400" s="555">
        <f>+H399</f>
        <v>0</v>
      </c>
      <c r="I400" s="556" t="str">
        <f>+I399</f>
        <v>[Price]</v>
      </c>
      <c r="J400" s="590" t="s">
        <v>916</v>
      </c>
      <c r="K400" s="557"/>
      <c r="L400" s="558"/>
      <c r="M400" s="558"/>
      <c r="N400" s="557"/>
      <c r="O400" s="558"/>
      <c r="P400" s="558"/>
      <c r="Q400" s="558"/>
      <c r="R400" s="1036"/>
      <c r="S400" s="1139"/>
      <c r="T400" s="593"/>
      <c r="U400" s="1036"/>
      <c r="V400" s="1139"/>
      <c r="W400" s="593"/>
      <c r="X400" s="593"/>
      <c r="Y400" s="593"/>
      <c r="Z400" s="1036"/>
      <c r="AA400" s="1139"/>
      <c r="AB400" s="593"/>
      <c r="AC400" s="593"/>
      <c r="AD400" s="593"/>
      <c r="AE400" s="1036"/>
      <c r="AF400" s="1139"/>
      <c r="AG400" s="593"/>
      <c r="AH400" s="593"/>
      <c r="AI400" s="593"/>
      <c r="AJ400" s="1036"/>
      <c r="AK400" s="569"/>
      <c r="AL400" s="569"/>
      <c r="AN400" s="857"/>
      <c r="AO400" s="961" t="str">
        <f t="shared" si="624"/>
        <v>Qty</v>
      </c>
      <c r="AP400" s="962" t="str">
        <f t="shared" si="625"/>
        <v>[Service]</v>
      </c>
      <c r="AQ400" s="963" t="str">
        <f t="shared" si="626"/>
        <v>[Price]</v>
      </c>
      <c r="AR400" s="967" t="str">
        <f t="shared" si="627"/>
        <v>-</v>
      </c>
      <c r="AS400" s="964" t="str">
        <f t="shared" si="628"/>
        <v>-</v>
      </c>
      <c r="AT400" s="964" t="str">
        <f t="shared" si="629"/>
        <v>-</v>
      </c>
      <c r="AU400" s="964" t="str">
        <f t="shared" si="630"/>
        <v>-</v>
      </c>
      <c r="AV400" s="1350" t="str">
        <f t="shared" si="631"/>
        <v>-</v>
      </c>
      <c r="AW400" s="1343" t="str">
        <f t="shared" si="632"/>
        <v>-</v>
      </c>
      <c r="AX400" s="964" t="str">
        <f t="shared" si="633"/>
        <v>-</v>
      </c>
      <c r="AY400" s="964" t="str">
        <f t="shared" si="634"/>
        <v>-</v>
      </c>
      <c r="AZ400" s="964" t="str">
        <f t="shared" si="635"/>
        <v>-</v>
      </c>
      <c r="BA400" s="965" t="str">
        <f t="shared" si="636"/>
        <v>-</v>
      </c>
      <c r="BB400" s="1343" t="str">
        <f t="shared" si="637"/>
        <v>-</v>
      </c>
      <c r="BC400" s="964" t="str">
        <f t="shared" si="638"/>
        <v>-</v>
      </c>
      <c r="BD400" s="964" t="str">
        <f t="shared" si="639"/>
        <v>-</v>
      </c>
      <c r="BE400" s="964" t="str">
        <f t="shared" si="640"/>
        <v>-</v>
      </c>
      <c r="BF400" s="966" t="str">
        <f t="shared" si="641"/>
        <v>-</v>
      </c>
      <c r="BG400" s="951"/>
      <c r="BH400" s="1541" t="str">
        <f t="shared" si="642"/>
        <v>Qty</v>
      </c>
      <c r="BI400" s="1542" t="str">
        <f t="shared" si="643"/>
        <v>[Service]</v>
      </c>
      <c r="BJ400" s="1543" t="str">
        <f t="shared" si="644"/>
        <v>[Price]</v>
      </c>
      <c r="BK400" s="964" t="str">
        <f t="shared" ref="BK400:BU400" si="667">IF(V400="","-",IFERROR((V400/U400-1)*(U401/U$13),"-"))</f>
        <v>-</v>
      </c>
      <c r="BL400" s="964" t="str">
        <f t="shared" si="667"/>
        <v>-</v>
      </c>
      <c r="BM400" s="964" t="str">
        <f t="shared" si="667"/>
        <v>-</v>
      </c>
      <c r="BN400" s="964" t="str">
        <f t="shared" si="667"/>
        <v>-</v>
      </c>
      <c r="BO400" s="1350" t="str">
        <f t="shared" si="667"/>
        <v>-</v>
      </c>
      <c r="BP400" s="1343" t="str">
        <f t="shared" si="667"/>
        <v>-</v>
      </c>
      <c r="BQ400" s="964" t="str">
        <f t="shared" si="667"/>
        <v>-</v>
      </c>
      <c r="BR400" s="964" t="str">
        <f t="shared" si="667"/>
        <v>-</v>
      </c>
      <c r="BS400" s="964" t="str">
        <f t="shared" si="667"/>
        <v>-</v>
      </c>
      <c r="BT400" s="965" t="str">
        <f t="shared" si="667"/>
        <v>-</v>
      </c>
      <c r="BU400" s="964" t="str">
        <f t="shared" si="667"/>
        <v>-</v>
      </c>
      <c r="BV400" s="964" t="str">
        <f>IF(AG400="","-",IFERROR((AG400/AF400-1)*(AF401/AF$13),"-"))</f>
        <v>-</v>
      </c>
      <c r="BW400" s="964" t="str">
        <f>IF(AH400="","-",IFERROR((AH400/AG400-1)*(AG401/AG$13),"-"))</f>
        <v>-</v>
      </c>
      <c r="BX400" s="964" t="str">
        <f>IF(AI400="","-",IFERROR((AI400/AH400-1)*(AH401/AH$13),"-"))</f>
        <v>-</v>
      </c>
      <c r="BY400" s="966" t="str">
        <f>IF(AJ400="","-",IFERROR((AJ400/AI400-1)*(AI401/AI$13),"-"))</f>
        <v>-</v>
      </c>
      <c r="BZ400" s="951"/>
      <c r="CA400" s="961" t="str">
        <f t="shared" si="620"/>
        <v>Qty</v>
      </c>
      <c r="CB400" s="962" t="str">
        <f t="shared" si="621"/>
        <v>[Service]</v>
      </c>
      <c r="CC400" s="962" t="str">
        <f t="shared" si="622"/>
        <v>[Price]</v>
      </c>
      <c r="CD400" s="967" t="str">
        <f t="shared" si="653"/>
        <v>-</v>
      </c>
      <c r="CE400" s="964" t="str">
        <f t="shared" si="646"/>
        <v>-</v>
      </c>
      <c r="CF400" s="964" t="str">
        <f t="shared" si="647"/>
        <v>-</v>
      </c>
      <c r="CG400" s="965" t="str">
        <f t="shared" si="648"/>
        <v>-</v>
      </c>
      <c r="CH400" s="964" t="str">
        <f t="shared" si="654"/>
        <v>-</v>
      </c>
      <c r="CI400" s="964" t="str">
        <f t="shared" si="649"/>
        <v>-</v>
      </c>
      <c r="CJ400" s="964" t="str">
        <f t="shared" si="650"/>
        <v>-</v>
      </c>
      <c r="CK400" s="966" t="str">
        <f t="shared" si="651"/>
        <v>-</v>
      </c>
    </row>
    <row r="401" spans="4:89" ht="12.75" outlineLevel="1" thickBot="1">
      <c r="E401" s="568" t="s">
        <v>882</v>
      </c>
      <c r="F401" s="560" t="str">
        <f>+F399</f>
        <v>[Service]</v>
      </c>
      <c r="G401" s="561">
        <f>+G399</f>
        <v>0</v>
      </c>
      <c r="H401" s="561">
        <f>+H399</f>
        <v>0</v>
      </c>
      <c r="I401" s="562" t="str">
        <f>+I399</f>
        <v>[Price]</v>
      </c>
      <c r="J401" s="563" t="s">
        <v>883</v>
      </c>
      <c r="K401" s="564">
        <f t="shared" ref="K401:AJ401" si="668">K399*K400/10^6</f>
        <v>0</v>
      </c>
      <c r="L401" s="565">
        <f t="shared" si="668"/>
        <v>0</v>
      </c>
      <c r="M401" s="565">
        <f t="shared" si="668"/>
        <v>0</v>
      </c>
      <c r="N401" s="564">
        <f t="shared" si="668"/>
        <v>0</v>
      </c>
      <c r="O401" s="565">
        <f t="shared" si="668"/>
        <v>0</v>
      </c>
      <c r="P401" s="565">
        <f t="shared" si="668"/>
        <v>0</v>
      </c>
      <c r="Q401" s="565">
        <f t="shared" si="668"/>
        <v>0</v>
      </c>
      <c r="R401" s="566">
        <f t="shared" si="668"/>
        <v>0</v>
      </c>
      <c r="S401" s="564">
        <f t="shared" si="668"/>
        <v>0</v>
      </c>
      <c r="T401" s="565">
        <f t="shared" si="668"/>
        <v>0</v>
      </c>
      <c r="U401" s="566">
        <f t="shared" si="668"/>
        <v>0</v>
      </c>
      <c r="V401" s="564">
        <f t="shared" si="668"/>
        <v>0</v>
      </c>
      <c r="W401" s="565">
        <f t="shared" si="668"/>
        <v>0</v>
      </c>
      <c r="X401" s="565">
        <f t="shared" si="668"/>
        <v>0</v>
      </c>
      <c r="Y401" s="565">
        <f t="shared" si="668"/>
        <v>0</v>
      </c>
      <c r="Z401" s="566">
        <f t="shared" si="668"/>
        <v>0</v>
      </c>
      <c r="AA401" s="564">
        <f t="shared" si="668"/>
        <v>0</v>
      </c>
      <c r="AB401" s="565">
        <f t="shared" si="668"/>
        <v>0</v>
      </c>
      <c r="AC401" s="565">
        <f t="shared" si="668"/>
        <v>0</v>
      </c>
      <c r="AD401" s="565">
        <f t="shared" si="668"/>
        <v>0</v>
      </c>
      <c r="AE401" s="566">
        <f t="shared" si="668"/>
        <v>0</v>
      </c>
      <c r="AF401" s="564">
        <f t="shared" si="668"/>
        <v>0</v>
      </c>
      <c r="AG401" s="565">
        <f t="shared" si="668"/>
        <v>0</v>
      </c>
      <c r="AH401" s="565">
        <f t="shared" si="668"/>
        <v>0</v>
      </c>
      <c r="AI401" s="565">
        <f t="shared" si="668"/>
        <v>0</v>
      </c>
      <c r="AJ401" s="566">
        <f t="shared" si="668"/>
        <v>0</v>
      </c>
      <c r="AK401" s="569"/>
      <c r="AL401" s="569"/>
      <c r="AN401" s="857"/>
      <c r="AO401" s="984" t="str">
        <f t="shared" si="624"/>
        <v>Rev</v>
      </c>
      <c r="AP401" s="985" t="str">
        <f t="shared" si="625"/>
        <v>[Service]</v>
      </c>
      <c r="AQ401" s="986" t="str">
        <f t="shared" si="626"/>
        <v>[Price]</v>
      </c>
      <c r="AR401" s="990" t="str">
        <f t="shared" si="627"/>
        <v>-</v>
      </c>
      <c r="AS401" s="987" t="str">
        <f t="shared" si="628"/>
        <v>-</v>
      </c>
      <c r="AT401" s="987" t="str">
        <f t="shared" si="629"/>
        <v>-</v>
      </c>
      <c r="AU401" s="987" t="str">
        <f t="shared" si="630"/>
        <v>-</v>
      </c>
      <c r="AV401" s="1353" t="str">
        <f t="shared" si="631"/>
        <v>-</v>
      </c>
      <c r="AW401" s="1346" t="str">
        <f t="shared" si="632"/>
        <v>-</v>
      </c>
      <c r="AX401" s="987" t="str">
        <f t="shared" si="633"/>
        <v>-</v>
      </c>
      <c r="AY401" s="987" t="str">
        <f t="shared" si="634"/>
        <v>-</v>
      </c>
      <c r="AZ401" s="987" t="str">
        <f t="shared" si="635"/>
        <v>-</v>
      </c>
      <c r="BA401" s="988" t="str">
        <f t="shared" si="636"/>
        <v>-</v>
      </c>
      <c r="BB401" s="1346" t="str">
        <f t="shared" si="637"/>
        <v>-</v>
      </c>
      <c r="BC401" s="987" t="str">
        <f t="shared" si="638"/>
        <v>-</v>
      </c>
      <c r="BD401" s="987" t="str">
        <f t="shared" si="639"/>
        <v>-</v>
      </c>
      <c r="BE401" s="987" t="str">
        <f t="shared" si="640"/>
        <v>-</v>
      </c>
      <c r="BF401" s="989" t="str">
        <f t="shared" si="641"/>
        <v>-</v>
      </c>
      <c r="BG401" s="951"/>
      <c r="BH401" s="1550" t="str">
        <f t="shared" si="642"/>
        <v>Rev</v>
      </c>
      <c r="BI401" s="1551" t="str">
        <f t="shared" si="643"/>
        <v>[Service]</v>
      </c>
      <c r="BJ401" s="1552" t="str">
        <f t="shared" si="644"/>
        <v>[Price]</v>
      </c>
      <c r="BK401" s="987" t="str">
        <f t="shared" ref="BK401:BU401" si="669">IF(V401="","-",IFERROR((V401/U401-1)*(U401/U$13),"-"))</f>
        <v>-</v>
      </c>
      <c r="BL401" s="987" t="str">
        <f t="shared" si="669"/>
        <v>-</v>
      </c>
      <c r="BM401" s="987" t="str">
        <f t="shared" si="669"/>
        <v>-</v>
      </c>
      <c r="BN401" s="987" t="str">
        <f t="shared" si="669"/>
        <v>-</v>
      </c>
      <c r="BO401" s="1353" t="str">
        <f t="shared" si="669"/>
        <v>-</v>
      </c>
      <c r="BP401" s="1346" t="str">
        <f t="shared" si="669"/>
        <v>-</v>
      </c>
      <c r="BQ401" s="987" t="str">
        <f t="shared" si="669"/>
        <v>-</v>
      </c>
      <c r="BR401" s="987" t="str">
        <f t="shared" si="669"/>
        <v>-</v>
      </c>
      <c r="BS401" s="987" t="str">
        <f t="shared" si="669"/>
        <v>-</v>
      </c>
      <c r="BT401" s="988" t="str">
        <f t="shared" si="669"/>
        <v>-</v>
      </c>
      <c r="BU401" s="987" t="str">
        <f t="shared" si="669"/>
        <v>-</v>
      </c>
      <c r="BV401" s="987" t="str">
        <f>IF(AG401="","-",IFERROR((AG401/AF401-1)*(AF401/AF$13),"-"))</f>
        <v>-</v>
      </c>
      <c r="BW401" s="987" t="str">
        <f>IF(AH401="","-",IFERROR((AH401/AG401-1)*(AG401/AG$13),"-"))</f>
        <v>-</v>
      </c>
      <c r="BX401" s="987" t="str">
        <f>IF(AI401="","-",IFERROR((AI401/AH401-1)*(AH401/AH$13),"-"))</f>
        <v>-</v>
      </c>
      <c r="BY401" s="989" t="str">
        <f>IF(AJ401="","-",IFERROR((AJ401/AI401-1)*(AI401/AI$13),"-"))</f>
        <v>-</v>
      </c>
      <c r="BZ401" s="951"/>
      <c r="CA401" s="984" t="str">
        <f t="shared" si="620"/>
        <v>Rev</v>
      </c>
      <c r="CB401" s="985" t="str">
        <f t="shared" si="621"/>
        <v>[Service]</v>
      </c>
      <c r="CC401" s="985" t="str">
        <f t="shared" si="622"/>
        <v>[Price]</v>
      </c>
      <c r="CD401" s="990" t="str">
        <f t="shared" si="653"/>
        <v>-</v>
      </c>
      <c r="CE401" s="987" t="str">
        <f t="shared" si="646"/>
        <v>-</v>
      </c>
      <c r="CF401" s="987" t="str">
        <f t="shared" si="647"/>
        <v>-</v>
      </c>
      <c r="CG401" s="988" t="str">
        <f t="shared" si="648"/>
        <v>-</v>
      </c>
      <c r="CH401" s="987" t="str">
        <f t="shared" si="654"/>
        <v>-</v>
      </c>
      <c r="CI401" s="987" t="str">
        <f t="shared" si="649"/>
        <v>-</v>
      </c>
      <c r="CJ401" s="987" t="str">
        <f t="shared" si="650"/>
        <v>-</v>
      </c>
      <c r="CK401" s="989" t="str">
        <f t="shared" si="651"/>
        <v>-</v>
      </c>
    </row>
    <row r="402" spans="4:89" outlineLevel="1">
      <c r="D402" s="63">
        <f>D399+1</f>
        <v>112</v>
      </c>
      <c r="E402" s="550" t="s">
        <v>857</v>
      </c>
      <c r="F402" s="595" t="s">
        <v>428</v>
      </c>
      <c r="G402" s="595"/>
      <c r="H402" s="595"/>
      <c r="I402" s="589" t="s">
        <v>920</v>
      </c>
      <c r="J402" s="589" t="s">
        <v>879</v>
      </c>
      <c r="K402" s="551"/>
      <c r="L402" s="552"/>
      <c r="M402" s="552"/>
      <c r="N402" s="551"/>
      <c r="O402" s="552"/>
      <c r="P402" s="552"/>
      <c r="Q402" s="552"/>
      <c r="R402" s="1035"/>
      <c r="S402" s="1138"/>
      <c r="T402" s="591"/>
      <c r="U402" s="1035"/>
      <c r="V402" s="1138"/>
      <c r="W402" s="591"/>
      <c r="X402" s="591"/>
      <c r="Y402" s="591"/>
      <c r="Z402" s="1035"/>
      <c r="AA402" s="1138"/>
      <c r="AB402" s="591"/>
      <c r="AC402" s="591"/>
      <c r="AD402" s="591"/>
      <c r="AE402" s="1035"/>
      <c r="AF402" s="1138"/>
      <c r="AG402" s="591"/>
      <c r="AH402" s="591"/>
      <c r="AI402" s="591"/>
      <c r="AJ402" s="1035"/>
      <c r="AK402" s="569"/>
      <c r="AL402" s="569"/>
      <c r="AM402" s="974"/>
      <c r="AN402" s="857"/>
      <c r="AO402" s="975" t="str">
        <f t="shared" si="624"/>
        <v>Price</v>
      </c>
      <c r="AP402" s="976" t="str">
        <f t="shared" si="625"/>
        <v>[Service]</v>
      </c>
      <c r="AQ402" s="977" t="str">
        <f t="shared" si="626"/>
        <v>[Price]</v>
      </c>
      <c r="AR402" s="1341" t="str">
        <f t="shared" si="627"/>
        <v>-</v>
      </c>
      <c r="AS402" s="978" t="str">
        <f t="shared" si="628"/>
        <v>-</v>
      </c>
      <c r="AT402" s="979" t="str">
        <f t="shared" si="629"/>
        <v>-</v>
      </c>
      <c r="AU402" s="979" t="str">
        <f t="shared" si="630"/>
        <v>-</v>
      </c>
      <c r="AV402" s="1352" t="str">
        <f t="shared" si="631"/>
        <v>-</v>
      </c>
      <c r="AW402" s="1345" t="str">
        <f t="shared" si="632"/>
        <v>-</v>
      </c>
      <c r="AX402" s="979" t="str">
        <f t="shared" si="633"/>
        <v>-</v>
      </c>
      <c r="AY402" s="979" t="str">
        <f t="shared" si="634"/>
        <v>-</v>
      </c>
      <c r="AZ402" s="979" t="str">
        <f t="shared" si="635"/>
        <v>-</v>
      </c>
      <c r="BA402" s="980" t="str">
        <f t="shared" si="636"/>
        <v>-</v>
      </c>
      <c r="BB402" s="1345" t="str">
        <f t="shared" si="637"/>
        <v>-</v>
      </c>
      <c r="BC402" s="979" t="str">
        <f t="shared" si="638"/>
        <v>-</v>
      </c>
      <c r="BD402" s="979" t="str">
        <f t="shared" si="639"/>
        <v>-</v>
      </c>
      <c r="BE402" s="979" t="str">
        <f t="shared" si="640"/>
        <v>-</v>
      </c>
      <c r="BF402" s="981" t="str">
        <f t="shared" si="641"/>
        <v>-</v>
      </c>
      <c r="BG402" s="951"/>
      <c r="BH402" s="1547" t="str">
        <f t="shared" si="642"/>
        <v>Price</v>
      </c>
      <c r="BI402" s="1548" t="str">
        <f t="shared" si="643"/>
        <v>[Service]</v>
      </c>
      <c r="BJ402" s="1549" t="str">
        <f t="shared" si="644"/>
        <v>[Price]</v>
      </c>
      <c r="BK402" s="978" t="str">
        <f t="shared" ref="BK402:BU402" si="670">IF(V402="","-",IFERROR((V402/U402-1)*(U404/U$13),"-"))</f>
        <v>-</v>
      </c>
      <c r="BL402" s="978" t="str">
        <f t="shared" si="670"/>
        <v>-</v>
      </c>
      <c r="BM402" s="979" t="str">
        <f t="shared" si="670"/>
        <v>-</v>
      </c>
      <c r="BN402" s="979" t="str">
        <f t="shared" si="670"/>
        <v>-</v>
      </c>
      <c r="BO402" s="1352" t="str">
        <f t="shared" si="670"/>
        <v>-</v>
      </c>
      <c r="BP402" s="1345" t="str">
        <f t="shared" si="670"/>
        <v>-</v>
      </c>
      <c r="BQ402" s="979" t="str">
        <f t="shared" si="670"/>
        <v>-</v>
      </c>
      <c r="BR402" s="979" t="str">
        <f t="shared" si="670"/>
        <v>-</v>
      </c>
      <c r="BS402" s="979" t="str">
        <f t="shared" si="670"/>
        <v>-</v>
      </c>
      <c r="BT402" s="980" t="str">
        <f t="shared" si="670"/>
        <v>-</v>
      </c>
      <c r="BU402" s="979" t="str">
        <f t="shared" si="670"/>
        <v>-</v>
      </c>
      <c r="BV402" s="979" t="str">
        <f>IF(AG402="","-",IFERROR((AG402/AF402-1)*(AF404/AF$13),"-"))</f>
        <v>-</v>
      </c>
      <c r="BW402" s="979" t="str">
        <f>IF(AH402="","-",IFERROR((AH402/AG402-1)*(AG404/AG$13),"-"))</f>
        <v>-</v>
      </c>
      <c r="BX402" s="979" t="str">
        <f>IF(AI402="","-",IFERROR((AI402/AH402-1)*(AH404/AH$13),"-"))</f>
        <v>-</v>
      </c>
      <c r="BY402" s="981" t="str">
        <f>IF(AJ402="","-",IFERROR((AJ402/AI402-1)*(AI404/AI$13),"-"))</f>
        <v>-</v>
      </c>
      <c r="BZ402" s="951"/>
      <c r="CA402" s="975" t="str">
        <f t="shared" si="620"/>
        <v>Price</v>
      </c>
      <c r="CB402" s="976" t="str">
        <f t="shared" si="621"/>
        <v>[Service]</v>
      </c>
      <c r="CC402" s="982" t="str">
        <f t="shared" si="622"/>
        <v>[Price]</v>
      </c>
      <c r="CD402" s="983" t="str">
        <f t="shared" si="653"/>
        <v>-</v>
      </c>
      <c r="CE402" s="979" t="str">
        <f t="shared" si="646"/>
        <v>-</v>
      </c>
      <c r="CF402" s="979" t="str">
        <f t="shared" si="647"/>
        <v>-</v>
      </c>
      <c r="CG402" s="980" t="str">
        <f t="shared" si="648"/>
        <v>-</v>
      </c>
      <c r="CH402" s="979" t="str">
        <f t="shared" si="654"/>
        <v>-</v>
      </c>
      <c r="CI402" s="979" t="str">
        <f t="shared" si="649"/>
        <v>-</v>
      </c>
      <c r="CJ402" s="979" t="str">
        <f t="shared" si="650"/>
        <v>-</v>
      </c>
      <c r="CK402" s="981" t="str">
        <f t="shared" si="651"/>
        <v>-</v>
      </c>
    </row>
    <row r="403" spans="4:89" outlineLevel="1">
      <c r="E403" s="567" t="s">
        <v>880</v>
      </c>
      <c r="F403" s="554" t="str">
        <f>+F402</f>
        <v>[Service]</v>
      </c>
      <c r="G403" s="555">
        <f>+G402</f>
        <v>0</v>
      </c>
      <c r="H403" s="555">
        <f>+H402</f>
        <v>0</v>
      </c>
      <c r="I403" s="556" t="str">
        <f>+I402</f>
        <v>[Price]</v>
      </c>
      <c r="J403" s="590" t="s">
        <v>916</v>
      </c>
      <c r="K403" s="557"/>
      <c r="L403" s="558"/>
      <c r="M403" s="558"/>
      <c r="N403" s="557"/>
      <c r="O403" s="558"/>
      <c r="P403" s="558"/>
      <c r="Q403" s="558"/>
      <c r="R403" s="1036"/>
      <c r="S403" s="1139"/>
      <c r="T403" s="593"/>
      <c r="U403" s="1036"/>
      <c r="V403" s="1139"/>
      <c r="W403" s="593"/>
      <c r="X403" s="593"/>
      <c r="Y403" s="593"/>
      <c r="Z403" s="1036"/>
      <c r="AA403" s="1139"/>
      <c r="AB403" s="593"/>
      <c r="AC403" s="593"/>
      <c r="AD403" s="593"/>
      <c r="AE403" s="1036"/>
      <c r="AF403" s="1139"/>
      <c r="AG403" s="593"/>
      <c r="AH403" s="593"/>
      <c r="AI403" s="593"/>
      <c r="AJ403" s="1036"/>
      <c r="AK403" s="569"/>
      <c r="AL403" s="569"/>
      <c r="AN403" s="857"/>
      <c r="AO403" s="961" t="str">
        <f t="shared" si="624"/>
        <v>Qty</v>
      </c>
      <c r="AP403" s="962" t="str">
        <f t="shared" si="625"/>
        <v>[Service]</v>
      </c>
      <c r="AQ403" s="963" t="str">
        <f t="shared" si="626"/>
        <v>[Price]</v>
      </c>
      <c r="AR403" s="967" t="str">
        <f t="shared" si="627"/>
        <v>-</v>
      </c>
      <c r="AS403" s="964" t="str">
        <f t="shared" si="628"/>
        <v>-</v>
      </c>
      <c r="AT403" s="964" t="str">
        <f t="shared" si="629"/>
        <v>-</v>
      </c>
      <c r="AU403" s="964" t="str">
        <f t="shared" si="630"/>
        <v>-</v>
      </c>
      <c r="AV403" s="1350" t="str">
        <f t="shared" si="631"/>
        <v>-</v>
      </c>
      <c r="AW403" s="1343" t="str">
        <f t="shared" si="632"/>
        <v>-</v>
      </c>
      <c r="AX403" s="964" t="str">
        <f t="shared" si="633"/>
        <v>-</v>
      </c>
      <c r="AY403" s="964" t="str">
        <f t="shared" si="634"/>
        <v>-</v>
      </c>
      <c r="AZ403" s="964" t="str">
        <f t="shared" si="635"/>
        <v>-</v>
      </c>
      <c r="BA403" s="965" t="str">
        <f t="shared" si="636"/>
        <v>-</v>
      </c>
      <c r="BB403" s="1343" t="str">
        <f t="shared" si="637"/>
        <v>-</v>
      </c>
      <c r="BC403" s="964" t="str">
        <f t="shared" si="638"/>
        <v>-</v>
      </c>
      <c r="BD403" s="964" t="str">
        <f t="shared" si="639"/>
        <v>-</v>
      </c>
      <c r="BE403" s="964" t="str">
        <f t="shared" si="640"/>
        <v>-</v>
      </c>
      <c r="BF403" s="966" t="str">
        <f t="shared" si="641"/>
        <v>-</v>
      </c>
      <c r="BG403" s="951"/>
      <c r="BH403" s="1541" t="str">
        <f t="shared" si="642"/>
        <v>Qty</v>
      </c>
      <c r="BI403" s="1542" t="str">
        <f t="shared" si="643"/>
        <v>[Service]</v>
      </c>
      <c r="BJ403" s="1543" t="str">
        <f t="shared" si="644"/>
        <v>[Price]</v>
      </c>
      <c r="BK403" s="964" t="str">
        <f t="shared" ref="BK403:BU403" si="671">IF(V403="","-",IFERROR((V403/U403-1)*(U404/U$13),"-"))</f>
        <v>-</v>
      </c>
      <c r="BL403" s="964" t="str">
        <f t="shared" si="671"/>
        <v>-</v>
      </c>
      <c r="BM403" s="964" t="str">
        <f t="shared" si="671"/>
        <v>-</v>
      </c>
      <c r="BN403" s="964" t="str">
        <f t="shared" si="671"/>
        <v>-</v>
      </c>
      <c r="BO403" s="1350" t="str">
        <f t="shared" si="671"/>
        <v>-</v>
      </c>
      <c r="BP403" s="1343" t="str">
        <f t="shared" si="671"/>
        <v>-</v>
      </c>
      <c r="BQ403" s="964" t="str">
        <f t="shared" si="671"/>
        <v>-</v>
      </c>
      <c r="BR403" s="964" t="str">
        <f t="shared" si="671"/>
        <v>-</v>
      </c>
      <c r="BS403" s="964" t="str">
        <f t="shared" si="671"/>
        <v>-</v>
      </c>
      <c r="BT403" s="965" t="str">
        <f t="shared" si="671"/>
        <v>-</v>
      </c>
      <c r="BU403" s="964" t="str">
        <f t="shared" si="671"/>
        <v>-</v>
      </c>
      <c r="BV403" s="964" t="str">
        <f>IF(AG403="","-",IFERROR((AG403/AF403-1)*(AF404/AF$13),"-"))</f>
        <v>-</v>
      </c>
      <c r="BW403" s="964" t="str">
        <f>IF(AH403="","-",IFERROR((AH403/AG403-1)*(AG404/AG$13),"-"))</f>
        <v>-</v>
      </c>
      <c r="BX403" s="964" t="str">
        <f>IF(AI403="","-",IFERROR((AI403/AH403-1)*(AH404/AH$13),"-"))</f>
        <v>-</v>
      </c>
      <c r="BY403" s="966" t="str">
        <f>IF(AJ403="","-",IFERROR((AJ403/AI403-1)*(AI404/AI$13),"-"))</f>
        <v>-</v>
      </c>
      <c r="BZ403" s="951"/>
      <c r="CA403" s="961" t="str">
        <f t="shared" si="620"/>
        <v>Qty</v>
      </c>
      <c r="CB403" s="962" t="str">
        <f t="shared" si="621"/>
        <v>[Service]</v>
      </c>
      <c r="CC403" s="962" t="str">
        <f t="shared" si="622"/>
        <v>[Price]</v>
      </c>
      <c r="CD403" s="967" t="str">
        <f t="shared" si="653"/>
        <v>-</v>
      </c>
      <c r="CE403" s="964" t="str">
        <f t="shared" si="646"/>
        <v>-</v>
      </c>
      <c r="CF403" s="964" t="str">
        <f t="shared" si="647"/>
        <v>-</v>
      </c>
      <c r="CG403" s="965" t="str">
        <f t="shared" si="648"/>
        <v>-</v>
      </c>
      <c r="CH403" s="964" t="str">
        <f t="shared" si="654"/>
        <v>-</v>
      </c>
      <c r="CI403" s="964" t="str">
        <f t="shared" si="649"/>
        <v>-</v>
      </c>
      <c r="CJ403" s="964" t="str">
        <f t="shared" si="650"/>
        <v>-</v>
      </c>
      <c r="CK403" s="966" t="str">
        <f t="shared" si="651"/>
        <v>-</v>
      </c>
    </row>
    <row r="404" spans="4:89" ht="12.75" outlineLevel="1" thickBot="1">
      <c r="E404" s="568" t="s">
        <v>882</v>
      </c>
      <c r="F404" s="560" t="str">
        <f>+F402</f>
        <v>[Service]</v>
      </c>
      <c r="G404" s="561">
        <f>+G402</f>
        <v>0</v>
      </c>
      <c r="H404" s="561">
        <f>+H402</f>
        <v>0</v>
      </c>
      <c r="I404" s="562" t="str">
        <f>+I402</f>
        <v>[Price]</v>
      </c>
      <c r="J404" s="563" t="s">
        <v>883</v>
      </c>
      <c r="K404" s="564">
        <f t="shared" ref="K404:AJ404" si="672">K402*K403/10^6</f>
        <v>0</v>
      </c>
      <c r="L404" s="565">
        <f t="shared" si="672"/>
        <v>0</v>
      </c>
      <c r="M404" s="565">
        <f t="shared" si="672"/>
        <v>0</v>
      </c>
      <c r="N404" s="564">
        <f t="shared" si="672"/>
        <v>0</v>
      </c>
      <c r="O404" s="565">
        <f t="shared" si="672"/>
        <v>0</v>
      </c>
      <c r="P404" s="565">
        <f t="shared" si="672"/>
        <v>0</v>
      </c>
      <c r="Q404" s="565">
        <f t="shared" si="672"/>
        <v>0</v>
      </c>
      <c r="R404" s="566">
        <f t="shared" si="672"/>
        <v>0</v>
      </c>
      <c r="S404" s="564">
        <f t="shared" si="672"/>
        <v>0</v>
      </c>
      <c r="T404" s="565">
        <f t="shared" si="672"/>
        <v>0</v>
      </c>
      <c r="U404" s="566">
        <f t="shared" si="672"/>
        <v>0</v>
      </c>
      <c r="V404" s="564">
        <f t="shared" si="672"/>
        <v>0</v>
      </c>
      <c r="W404" s="565">
        <f t="shared" si="672"/>
        <v>0</v>
      </c>
      <c r="X404" s="565">
        <f t="shared" si="672"/>
        <v>0</v>
      </c>
      <c r="Y404" s="565">
        <f t="shared" si="672"/>
        <v>0</v>
      </c>
      <c r="Z404" s="566">
        <f t="shared" si="672"/>
        <v>0</v>
      </c>
      <c r="AA404" s="564">
        <f t="shared" si="672"/>
        <v>0</v>
      </c>
      <c r="AB404" s="565">
        <f t="shared" si="672"/>
        <v>0</v>
      </c>
      <c r="AC404" s="565">
        <f t="shared" si="672"/>
        <v>0</v>
      </c>
      <c r="AD404" s="565">
        <f t="shared" si="672"/>
        <v>0</v>
      </c>
      <c r="AE404" s="566">
        <f t="shared" si="672"/>
        <v>0</v>
      </c>
      <c r="AF404" s="564">
        <f t="shared" si="672"/>
        <v>0</v>
      </c>
      <c r="AG404" s="565">
        <f t="shared" si="672"/>
        <v>0</v>
      </c>
      <c r="AH404" s="565">
        <f t="shared" si="672"/>
        <v>0</v>
      </c>
      <c r="AI404" s="565">
        <f t="shared" si="672"/>
        <v>0</v>
      </c>
      <c r="AJ404" s="566">
        <f t="shared" si="672"/>
        <v>0</v>
      </c>
      <c r="AK404" s="569"/>
      <c r="AL404" s="569"/>
      <c r="AN404" s="857"/>
      <c r="AO404" s="984" t="str">
        <f t="shared" si="624"/>
        <v>Rev</v>
      </c>
      <c r="AP404" s="985" t="str">
        <f t="shared" si="625"/>
        <v>[Service]</v>
      </c>
      <c r="AQ404" s="986" t="str">
        <f t="shared" si="626"/>
        <v>[Price]</v>
      </c>
      <c r="AR404" s="990" t="str">
        <f t="shared" si="627"/>
        <v>-</v>
      </c>
      <c r="AS404" s="987" t="str">
        <f t="shared" si="628"/>
        <v>-</v>
      </c>
      <c r="AT404" s="987" t="str">
        <f t="shared" si="629"/>
        <v>-</v>
      </c>
      <c r="AU404" s="987" t="str">
        <f t="shared" si="630"/>
        <v>-</v>
      </c>
      <c r="AV404" s="1353" t="str">
        <f t="shared" si="631"/>
        <v>-</v>
      </c>
      <c r="AW404" s="1346" t="str">
        <f t="shared" si="632"/>
        <v>-</v>
      </c>
      <c r="AX404" s="987" t="str">
        <f t="shared" si="633"/>
        <v>-</v>
      </c>
      <c r="AY404" s="987" t="str">
        <f t="shared" si="634"/>
        <v>-</v>
      </c>
      <c r="AZ404" s="987" t="str">
        <f t="shared" si="635"/>
        <v>-</v>
      </c>
      <c r="BA404" s="988" t="str">
        <f t="shared" si="636"/>
        <v>-</v>
      </c>
      <c r="BB404" s="1346" t="str">
        <f t="shared" si="637"/>
        <v>-</v>
      </c>
      <c r="BC404" s="987" t="str">
        <f t="shared" si="638"/>
        <v>-</v>
      </c>
      <c r="BD404" s="987" t="str">
        <f t="shared" si="639"/>
        <v>-</v>
      </c>
      <c r="BE404" s="987" t="str">
        <f t="shared" si="640"/>
        <v>-</v>
      </c>
      <c r="BF404" s="989" t="str">
        <f t="shared" si="641"/>
        <v>-</v>
      </c>
      <c r="BG404" s="951"/>
      <c r="BH404" s="1550" t="str">
        <f t="shared" ref="BH404:BJ443" si="673">AO404</f>
        <v>Rev</v>
      </c>
      <c r="BI404" s="1551" t="str">
        <f t="shared" si="673"/>
        <v>[Service]</v>
      </c>
      <c r="BJ404" s="1552" t="str">
        <f t="shared" si="673"/>
        <v>[Price]</v>
      </c>
      <c r="BK404" s="987" t="str">
        <f t="shared" ref="BK404:BU404" si="674">IF(V404="","-",IFERROR((V404/U404-1)*(U404/U$13),"-"))</f>
        <v>-</v>
      </c>
      <c r="BL404" s="987" t="str">
        <f t="shared" si="674"/>
        <v>-</v>
      </c>
      <c r="BM404" s="987" t="str">
        <f t="shared" si="674"/>
        <v>-</v>
      </c>
      <c r="BN404" s="987" t="str">
        <f t="shared" si="674"/>
        <v>-</v>
      </c>
      <c r="BO404" s="1353" t="str">
        <f t="shared" si="674"/>
        <v>-</v>
      </c>
      <c r="BP404" s="1346" t="str">
        <f t="shared" si="674"/>
        <v>-</v>
      </c>
      <c r="BQ404" s="987" t="str">
        <f t="shared" si="674"/>
        <v>-</v>
      </c>
      <c r="BR404" s="987" t="str">
        <f t="shared" si="674"/>
        <v>-</v>
      </c>
      <c r="BS404" s="987" t="str">
        <f t="shared" si="674"/>
        <v>-</v>
      </c>
      <c r="BT404" s="988" t="str">
        <f t="shared" si="674"/>
        <v>-</v>
      </c>
      <c r="BU404" s="987" t="str">
        <f t="shared" si="674"/>
        <v>-</v>
      </c>
      <c r="BV404" s="987" t="str">
        <f>IF(AG404="","-",IFERROR((AG404/AF404-1)*(AF404/AF$13),"-"))</f>
        <v>-</v>
      </c>
      <c r="BW404" s="987" t="str">
        <f>IF(AH404="","-",IFERROR((AH404/AG404-1)*(AG404/AG$13),"-"))</f>
        <v>-</v>
      </c>
      <c r="BX404" s="987" t="str">
        <f>IF(AI404="","-",IFERROR((AI404/AH404-1)*(AH404/AH$13),"-"))</f>
        <v>-</v>
      </c>
      <c r="BY404" s="989" t="str">
        <f>IF(AJ404="","-",IFERROR((AJ404/AI404-1)*(AI404/AI$13),"-"))</f>
        <v>-</v>
      </c>
      <c r="BZ404" s="951"/>
      <c r="CA404" s="984" t="str">
        <f t="shared" si="620"/>
        <v>Rev</v>
      </c>
      <c r="CB404" s="985" t="str">
        <f t="shared" si="621"/>
        <v>[Service]</v>
      </c>
      <c r="CC404" s="985" t="str">
        <f t="shared" si="622"/>
        <v>[Price]</v>
      </c>
      <c r="CD404" s="990" t="str">
        <f t="shared" si="653"/>
        <v>-</v>
      </c>
      <c r="CE404" s="987" t="str">
        <f t="shared" si="646"/>
        <v>-</v>
      </c>
      <c r="CF404" s="987" t="str">
        <f t="shared" si="647"/>
        <v>-</v>
      </c>
      <c r="CG404" s="988" t="str">
        <f t="shared" si="648"/>
        <v>-</v>
      </c>
      <c r="CH404" s="987" t="str">
        <f t="shared" si="654"/>
        <v>-</v>
      </c>
      <c r="CI404" s="987" t="str">
        <f t="shared" si="649"/>
        <v>-</v>
      </c>
      <c r="CJ404" s="987" t="str">
        <f t="shared" si="650"/>
        <v>-</v>
      </c>
      <c r="CK404" s="989" t="str">
        <f t="shared" si="651"/>
        <v>-</v>
      </c>
    </row>
    <row r="405" spans="4:89" outlineLevel="1">
      <c r="D405" s="63">
        <f>D402+1</f>
        <v>113</v>
      </c>
      <c r="E405" s="550" t="s">
        <v>857</v>
      </c>
      <c r="F405" s="595" t="s">
        <v>428</v>
      </c>
      <c r="G405" s="595"/>
      <c r="H405" s="595"/>
      <c r="I405" s="589" t="s">
        <v>920</v>
      </c>
      <c r="J405" s="589" t="s">
        <v>879</v>
      </c>
      <c r="K405" s="551"/>
      <c r="L405" s="552"/>
      <c r="M405" s="552"/>
      <c r="N405" s="551"/>
      <c r="O405" s="552"/>
      <c r="P405" s="552"/>
      <c r="Q405" s="552"/>
      <c r="R405" s="1035"/>
      <c r="S405" s="1138"/>
      <c r="T405" s="591"/>
      <c r="U405" s="1035"/>
      <c r="V405" s="1138"/>
      <c r="W405" s="591"/>
      <c r="X405" s="591"/>
      <c r="Y405" s="591"/>
      <c r="Z405" s="1035"/>
      <c r="AA405" s="1138"/>
      <c r="AB405" s="591"/>
      <c r="AC405" s="591"/>
      <c r="AD405" s="591"/>
      <c r="AE405" s="1035"/>
      <c r="AF405" s="1138"/>
      <c r="AG405" s="591"/>
      <c r="AH405" s="591"/>
      <c r="AI405" s="591"/>
      <c r="AJ405" s="1035"/>
      <c r="AK405" s="569"/>
      <c r="AL405" s="569"/>
      <c r="AM405" s="974"/>
      <c r="AN405" s="857"/>
      <c r="AO405" s="975" t="str">
        <f t="shared" si="624"/>
        <v>Price</v>
      </c>
      <c r="AP405" s="976" t="str">
        <f t="shared" si="625"/>
        <v>[Service]</v>
      </c>
      <c r="AQ405" s="977" t="str">
        <f t="shared" si="626"/>
        <v>[Price]</v>
      </c>
      <c r="AR405" s="1341" t="str">
        <f t="shared" si="627"/>
        <v>-</v>
      </c>
      <c r="AS405" s="978" t="str">
        <f t="shared" si="628"/>
        <v>-</v>
      </c>
      <c r="AT405" s="979" t="str">
        <f t="shared" si="629"/>
        <v>-</v>
      </c>
      <c r="AU405" s="979" t="str">
        <f t="shared" si="630"/>
        <v>-</v>
      </c>
      <c r="AV405" s="1352" t="str">
        <f t="shared" si="631"/>
        <v>-</v>
      </c>
      <c r="AW405" s="1345" t="str">
        <f t="shared" si="632"/>
        <v>-</v>
      </c>
      <c r="AX405" s="979" t="str">
        <f t="shared" si="633"/>
        <v>-</v>
      </c>
      <c r="AY405" s="979" t="str">
        <f t="shared" si="634"/>
        <v>-</v>
      </c>
      <c r="AZ405" s="979" t="str">
        <f t="shared" si="635"/>
        <v>-</v>
      </c>
      <c r="BA405" s="980" t="str">
        <f t="shared" si="636"/>
        <v>-</v>
      </c>
      <c r="BB405" s="1345" t="str">
        <f t="shared" si="637"/>
        <v>-</v>
      </c>
      <c r="BC405" s="979" t="str">
        <f t="shared" si="638"/>
        <v>-</v>
      </c>
      <c r="BD405" s="979" t="str">
        <f t="shared" si="639"/>
        <v>-</v>
      </c>
      <c r="BE405" s="979" t="str">
        <f t="shared" si="640"/>
        <v>-</v>
      </c>
      <c r="BF405" s="981" t="str">
        <f t="shared" si="641"/>
        <v>-</v>
      </c>
      <c r="BG405" s="951"/>
      <c r="BH405" s="1547" t="str">
        <f t="shared" si="673"/>
        <v>Price</v>
      </c>
      <c r="BI405" s="1548" t="str">
        <f t="shared" si="673"/>
        <v>[Service]</v>
      </c>
      <c r="BJ405" s="1549" t="str">
        <f t="shared" si="673"/>
        <v>[Price]</v>
      </c>
      <c r="BK405" s="978" t="str">
        <f t="shared" ref="BK405:BU405" si="675">IF(V405="","-",IFERROR((V405/U405-1)*(U407/U$13),"-"))</f>
        <v>-</v>
      </c>
      <c r="BL405" s="978" t="str">
        <f t="shared" si="675"/>
        <v>-</v>
      </c>
      <c r="BM405" s="979" t="str">
        <f t="shared" si="675"/>
        <v>-</v>
      </c>
      <c r="BN405" s="979" t="str">
        <f t="shared" si="675"/>
        <v>-</v>
      </c>
      <c r="BO405" s="1352" t="str">
        <f t="shared" si="675"/>
        <v>-</v>
      </c>
      <c r="BP405" s="1345" t="str">
        <f t="shared" si="675"/>
        <v>-</v>
      </c>
      <c r="BQ405" s="979" t="str">
        <f t="shared" si="675"/>
        <v>-</v>
      </c>
      <c r="BR405" s="979" t="str">
        <f t="shared" si="675"/>
        <v>-</v>
      </c>
      <c r="BS405" s="979" t="str">
        <f t="shared" si="675"/>
        <v>-</v>
      </c>
      <c r="BT405" s="980" t="str">
        <f t="shared" si="675"/>
        <v>-</v>
      </c>
      <c r="BU405" s="979" t="str">
        <f t="shared" si="675"/>
        <v>-</v>
      </c>
      <c r="BV405" s="979" t="str">
        <f>IF(AG405="","-",IFERROR((AG405/AF405-1)*(AF407/AF$13),"-"))</f>
        <v>-</v>
      </c>
      <c r="BW405" s="979" t="str">
        <f>IF(AH405="","-",IFERROR((AH405/AG405-1)*(AG407/AG$13),"-"))</f>
        <v>-</v>
      </c>
      <c r="BX405" s="979" t="str">
        <f>IF(AI405="","-",IFERROR((AI405/AH405-1)*(AH407/AH$13),"-"))</f>
        <v>-</v>
      </c>
      <c r="BY405" s="981" t="str">
        <f>IF(AJ405="","-",IFERROR((AJ405/AI405-1)*(AI407/AI$13),"-"))</f>
        <v>-</v>
      </c>
      <c r="BZ405" s="951"/>
      <c r="CA405" s="975" t="str">
        <f t="shared" si="620"/>
        <v>Price</v>
      </c>
      <c r="CB405" s="976" t="str">
        <f t="shared" si="621"/>
        <v>[Service]</v>
      </c>
      <c r="CC405" s="982" t="str">
        <f t="shared" si="622"/>
        <v>[Price]</v>
      </c>
      <c r="CD405" s="983" t="str">
        <f t="shared" si="653"/>
        <v>-</v>
      </c>
      <c r="CE405" s="979" t="str">
        <f t="shared" si="646"/>
        <v>-</v>
      </c>
      <c r="CF405" s="979" t="str">
        <f t="shared" si="647"/>
        <v>-</v>
      </c>
      <c r="CG405" s="980" t="str">
        <f t="shared" si="648"/>
        <v>-</v>
      </c>
      <c r="CH405" s="979" t="str">
        <f t="shared" si="654"/>
        <v>-</v>
      </c>
      <c r="CI405" s="979" t="str">
        <f t="shared" si="649"/>
        <v>-</v>
      </c>
      <c r="CJ405" s="979" t="str">
        <f t="shared" si="650"/>
        <v>-</v>
      </c>
      <c r="CK405" s="981" t="str">
        <f t="shared" si="651"/>
        <v>-</v>
      </c>
    </row>
    <row r="406" spans="4:89" outlineLevel="1">
      <c r="E406" s="567" t="s">
        <v>880</v>
      </c>
      <c r="F406" s="554" t="str">
        <f>+F405</f>
        <v>[Service]</v>
      </c>
      <c r="G406" s="555">
        <f>+G405</f>
        <v>0</v>
      </c>
      <c r="H406" s="555">
        <f>+H405</f>
        <v>0</v>
      </c>
      <c r="I406" s="556" t="str">
        <f>+I405</f>
        <v>[Price]</v>
      </c>
      <c r="J406" s="590" t="s">
        <v>916</v>
      </c>
      <c r="K406" s="557"/>
      <c r="L406" s="558"/>
      <c r="M406" s="558"/>
      <c r="N406" s="557"/>
      <c r="O406" s="558"/>
      <c r="P406" s="558"/>
      <c r="Q406" s="558"/>
      <c r="R406" s="1036"/>
      <c r="S406" s="1139"/>
      <c r="T406" s="593"/>
      <c r="U406" s="1036"/>
      <c r="V406" s="1139"/>
      <c r="W406" s="593"/>
      <c r="X406" s="593"/>
      <c r="Y406" s="593"/>
      <c r="Z406" s="1036"/>
      <c r="AA406" s="1139"/>
      <c r="AB406" s="593"/>
      <c r="AC406" s="593"/>
      <c r="AD406" s="593"/>
      <c r="AE406" s="1036"/>
      <c r="AF406" s="1139"/>
      <c r="AG406" s="593"/>
      <c r="AH406" s="593"/>
      <c r="AI406" s="593"/>
      <c r="AJ406" s="1036"/>
      <c r="AK406" s="569"/>
      <c r="AL406" s="569"/>
      <c r="AN406" s="857"/>
      <c r="AO406" s="961" t="str">
        <f t="shared" si="624"/>
        <v>Qty</v>
      </c>
      <c r="AP406" s="962" t="str">
        <f t="shared" si="625"/>
        <v>[Service]</v>
      </c>
      <c r="AQ406" s="963" t="str">
        <f t="shared" si="626"/>
        <v>[Price]</v>
      </c>
      <c r="AR406" s="967" t="str">
        <f t="shared" si="627"/>
        <v>-</v>
      </c>
      <c r="AS406" s="964" t="str">
        <f t="shared" si="628"/>
        <v>-</v>
      </c>
      <c r="AT406" s="964" t="str">
        <f t="shared" si="629"/>
        <v>-</v>
      </c>
      <c r="AU406" s="964" t="str">
        <f t="shared" si="630"/>
        <v>-</v>
      </c>
      <c r="AV406" s="1350" t="str">
        <f t="shared" si="631"/>
        <v>-</v>
      </c>
      <c r="AW406" s="1343" t="str">
        <f t="shared" si="632"/>
        <v>-</v>
      </c>
      <c r="AX406" s="964" t="str">
        <f t="shared" si="633"/>
        <v>-</v>
      </c>
      <c r="AY406" s="964" t="str">
        <f t="shared" si="634"/>
        <v>-</v>
      </c>
      <c r="AZ406" s="964" t="str">
        <f t="shared" si="635"/>
        <v>-</v>
      </c>
      <c r="BA406" s="965" t="str">
        <f t="shared" si="636"/>
        <v>-</v>
      </c>
      <c r="BB406" s="1343" t="str">
        <f t="shared" si="637"/>
        <v>-</v>
      </c>
      <c r="BC406" s="964" t="str">
        <f t="shared" si="638"/>
        <v>-</v>
      </c>
      <c r="BD406" s="964" t="str">
        <f t="shared" si="639"/>
        <v>-</v>
      </c>
      <c r="BE406" s="964" t="str">
        <f t="shared" si="640"/>
        <v>-</v>
      </c>
      <c r="BF406" s="966" t="str">
        <f t="shared" si="641"/>
        <v>-</v>
      </c>
      <c r="BG406" s="951"/>
      <c r="BH406" s="1541" t="str">
        <f t="shared" si="673"/>
        <v>Qty</v>
      </c>
      <c r="BI406" s="1542" t="str">
        <f t="shared" si="673"/>
        <v>[Service]</v>
      </c>
      <c r="BJ406" s="1543" t="str">
        <f t="shared" si="673"/>
        <v>[Price]</v>
      </c>
      <c r="BK406" s="964" t="str">
        <f t="shared" ref="BK406:BU406" si="676">IF(V406="","-",IFERROR((V406/U406-1)*(U407/U$13),"-"))</f>
        <v>-</v>
      </c>
      <c r="BL406" s="964" t="str">
        <f t="shared" si="676"/>
        <v>-</v>
      </c>
      <c r="BM406" s="964" t="str">
        <f t="shared" si="676"/>
        <v>-</v>
      </c>
      <c r="BN406" s="964" t="str">
        <f t="shared" si="676"/>
        <v>-</v>
      </c>
      <c r="BO406" s="1350" t="str">
        <f t="shared" si="676"/>
        <v>-</v>
      </c>
      <c r="BP406" s="1343" t="str">
        <f t="shared" si="676"/>
        <v>-</v>
      </c>
      <c r="BQ406" s="964" t="str">
        <f t="shared" si="676"/>
        <v>-</v>
      </c>
      <c r="BR406" s="964" t="str">
        <f t="shared" si="676"/>
        <v>-</v>
      </c>
      <c r="BS406" s="964" t="str">
        <f t="shared" si="676"/>
        <v>-</v>
      </c>
      <c r="BT406" s="965" t="str">
        <f t="shared" si="676"/>
        <v>-</v>
      </c>
      <c r="BU406" s="964" t="str">
        <f t="shared" si="676"/>
        <v>-</v>
      </c>
      <c r="BV406" s="964" t="str">
        <f>IF(AG406="","-",IFERROR((AG406/AF406-1)*(AF407/AF$13),"-"))</f>
        <v>-</v>
      </c>
      <c r="BW406" s="964" t="str">
        <f>IF(AH406="","-",IFERROR((AH406/AG406-1)*(AG407/AG$13),"-"))</f>
        <v>-</v>
      </c>
      <c r="BX406" s="964" t="str">
        <f>IF(AI406="","-",IFERROR((AI406/AH406-1)*(AH407/AH$13),"-"))</f>
        <v>-</v>
      </c>
      <c r="BY406" s="966" t="str">
        <f>IF(AJ406="","-",IFERROR((AJ406/AI406-1)*(AI407/AI$13),"-"))</f>
        <v>-</v>
      </c>
      <c r="BZ406" s="951"/>
      <c r="CA406" s="961" t="str">
        <f t="shared" si="620"/>
        <v>Qty</v>
      </c>
      <c r="CB406" s="962" t="str">
        <f t="shared" si="621"/>
        <v>[Service]</v>
      </c>
      <c r="CC406" s="962" t="str">
        <f t="shared" si="622"/>
        <v>[Price]</v>
      </c>
      <c r="CD406" s="967" t="str">
        <f t="shared" si="653"/>
        <v>-</v>
      </c>
      <c r="CE406" s="964" t="str">
        <f t="shared" si="646"/>
        <v>-</v>
      </c>
      <c r="CF406" s="964" t="str">
        <f t="shared" si="647"/>
        <v>-</v>
      </c>
      <c r="CG406" s="965" t="str">
        <f t="shared" si="648"/>
        <v>-</v>
      </c>
      <c r="CH406" s="964" t="str">
        <f t="shared" si="654"/>
        <v>-</v>
      </c>
      <c r="CI406" s="964" t="str">
        <f t="shared" si="649"/>
        <v>-</v>
      </c>
      <c r="CJ406" s="964" t="str">
        <f t="shared" si="650"/>
        <v>-</v>
      </c>
      <c r="CK406" s="966" t="str">
        <f t="shared" si="651"/>
        <v>-</v>
      </c>
    </row>
    <row r="407" spans="4:89" ht="12.75" outlineLevel="1" thickBot="1">
      <c r="E407" s="568" t="s">
        <v>882</v>
      </c>
      <c r="F407" s="560" t="str">
        <f>+F405</f>
        <v>[Service]</v>
      </c>
      <c r="G407" s="561">
        <f>+G405</f>
        <v>0</v>
      </c>
      <c r="H407" s="561">
        <f>+H405</f>
        <v>0</v>
      </c>
      <c r="I407" s="562" t="str">
        <f>+I405</f>
        <v>[Price]</v>
      </c>
      <c r="J407" s="563" t="s">
        <v>883</v>
      </c>
      <c r="K407" s="564">
        <f t="shared" ref="K407:AJ407" si="677">K405*K406/10^6</f>
        <v>0</v>
      </c>
      <c r="L407" s="565">
        <f t="shared" si="677"/>
        <v>0</v>
      </c>
      <c r="M407" s="565">
        <f t="shared" si="677"/>
        <v>0</v>
      </c>
      <c r="N407" s="564">
        <f t="shared" si="677"/>
        <v>0</v>
      </c>
      <c r="O407" s="565">
        <f t="shared" si="677"/>
        <v>0</v>
      </c>
      <c r="P407" s="565">
        <f t="shared" si="677"/>
        <v>0</v>
      </c>
      <c r="Q407" s="565">
        <f t="shared" si="677"/>
        <v>0</v>
      </c>
      <c r="R407" s="566">
        <f t="shared" si="677"/>
        <v>0</v>
      </c>
      <c r="S407" s="564">
        <f t="shared" si="677"/>
        <v>0</v>
      </c>
      <c r="T407" s="565">
        <f t="shared" si="677"/>
        <v>0</v>
      </c>
      <c r="U407" s="566">
        <f t="shared" si="677"/>
        <v>0</v>
      </c>
      <c r="V407" s="564">
        <f t="shared" si="677"/>
        <v>0</v>
      </c>
      <c r="W407" s="565">
        <f t="shared" si="677"/>
        <v>0</v>
      </c>
      <c r="X407" s="565">
        <f t="shared" si="677"/>
        <v>0</v>
      </c>
      <c r="Y407" s="565">
        <f t="shared" si="677"/>
        <v>0</v>
      </c>
      <c r="Z407" s="566">
        <f t="shared" si="677"/>
        <v>0</v>
      </c>
      <c r="AA407" s="564">
        <f t="shared" si="677"/>
        <v>0</v>
      </c>
      <c r="AB407" s="565">
        <f t="shared" si="677"/>
        <v>0</v>
      </c>
      <c r="AC407" s="565">
        <f t="shared" si="677"/>
        <v>0</v>
      </c>
      <c r="AD407" s="565">
        <f t="shared" si="677"/>
        <v>0</v>
      </c>
      <c r="AE407" s="566">
        <f t="shared" si="677"/>
        <v>0</v>
      </c>
      <c r="AF407" s="564">
        <f t="shared" si="677"/>
        <v>0</v>
      </c>
      <c r="AG407" s="565">
        <f t="shared" si="677"/>
        <v>0</v>
      </c>
      <c r="AH407" s="565">
        <f t="shared" si="677"/>
        <v>0</v>
      </c>
      <c r="AI407" s="565">
        <f t="shared" si="677"/>
        <v>0</v>
      </c>
      <c r="AJ407" s="566">
        <f t="shared" si="677"/>
        <v>0</v>
      </c>
      <c r="AK407" s="569"/>
      <c r="AL407" s="569"/>
      <c r="AN407" s="857"/>
      <c r="AO407" s="984" t="str">
        <f t="shared" si="624"/>
        <v>Rev</v>
      </c>
      <c r="AP407" s="985" t="str">
        <f t="shared" si="625"/>
        <v>[Service]</v>
      </c>
      <c r="AQ407" s="986" t="str">
        <f t="shared" si="626"/>
        <v>[Price]</v>
      </c>
      <c r="AR407" s="990" t="str">
        <f t="shared" si="627"/>
        <v>-</v>
      </c>
      <c r="AS407" s="987" t="str">
        <f t="shared" si="628"/>
        <v>-</v>
      </c>
      <c r="AT407" s="987" t="str">
        <f t="shared" si="629"/>
        <v>-</v>
      </c>
      <c r="AU407" s="987" t="str">
        <f t="shared" si="630"/>
        <v>-</v>
      </c>
      <c r="AV407" s="1353" t="str">
        <f t="shared" si="631"/>
        <v>-</v>
      </c>
      <c r="AW407" s="1346" t="str">
        <f t="shared" si="632"/>
        <v>-</v>
      </c>
      <c r="AX407" s="987" t="str">
        <f t="shared" si="633"/>
        <v>-</v>
      </c>
      <c r="AY407" s="987" t="str">
        <f t="shared" si="634"/>
        <v>-</v>
      </c>
      <c r="AZ407" s="987" t="str">
        <f t="shared" si="635"/>
        <v>-</v>
      </c>
      <c r="BA407" s="988" t="str">
        <f t="shared" si="636"/>
        <v>-</v>
      </c>
      <c r="BB407" s="1346" t="str">
        <f t="shared" si="637"/>
        <v>-</v>
      </c>
      <c r="BC407" s="987" t="str">
        <f t="shared" si="638"/>
        <v>-</v>
      </c>
      <c r="BD407" s="987" t="str">
        <f t="shared" si="639"/>
        <v>-</v>
      </c>
      <c r="BE407" s="987" t="str">
        <f t="shared" si="640"/>
        <v>-</v>
      </c>
      <c r="BF407" s="989" t="str">
        <f t="shared" si="641"/>
        <v>-</v>
      </c>
      <c r="BG407" s="951"/>
      <c r="BH407" s="1550" t="str">
        <f t="shared" si="673"/>
        <v>Rev</v>
      </c>
      <c r="BI407" s="1551" t="str">
        <f t="shared" si="673"/>
        <v>[Service]</v>
      </c>
      <c r="BJ407" s="1552" t="str">
        <f t="shared" si="673"/>
        <v>[Price]</v>
      </c>
      <c r="BK407" s="987" t="str">
        <f t="shared" ref="BK407:BU407" si="678">IF(V407="","-",IFERROR((V407/U407-1)*(U407/U$13),"-"))</f>
        <v>-</v>
      </c>
      <c r="BL407" s="987" t="str">
        <f t="shared" si="678"/>
        <v>-</v>
      </c>
      <c r="BM407" s="987" t="str">
        <f t="shared" si="678"/>
        <v>-</v>
      </c>
      <c r="BN407" s="987" t="str">
        <f t="shared" si="678"/>
        <v>-</v>
      </c>
      <c r="BO407" s="1353" t="str">
        <f t="shared" si="678"/>
        <v>-</v>
      </c>
      <c r="BP407" s="1346" t="str">
        <f t="shared" si="678"/>
        <v>-</v>
      </c>
      <c r="BQ407" s="987" t="str">
        <f t="shared" si="678"/>
        <v>-</v>
      </c>
      <c r="BR407" s="987" t="str">
        <f t="shared" si="678"/>
        <v>-</v>
      </c>
      <c r="BS407" s="987" t="str">
        <f t="shared" si="678"/>
        <v>-</v>
      </c>
      <c r="BT407" s="988" t="str">
        <f t="shared" si="678"/>
        <v>-</v>
      </c>
      <c r="BU407" s="987" t="str">
        <f t="shared" si="678"/>
        <v>-</v>
      </c>
      <c r="BV407" s="987" t="str">
        <f>IF(AG407="","-",IFERROR((AG407/AF407-1)*(AF407/AF$13),"-"))</f>
        <v>-</v>
      </c>
      <c r="BW407" s="987" t="str">
        <f>IF(AH407="","-",IFERROR((AH407/AG407-1)*(AG407/AG$13),"-"))</f>
        <v>-</v>
      </c>
      <c r="BX407" s="987" t="str">
        <f>IF(AI407="","-",IFERROR((AI407/AH407-1)*(AH407/AH$13),"-"))</f>
        <v>-</v>
      </c>
      <c r="BY407" s="989" t="str">
        <f>IF(AJ407="","-",IFERROR((AJ407/AI407-1)*(AI407/AI$13),"-"))</f>
        <v>-</v>
      </c>
      <c r="BZ407" s="951"/>
      <c r="CA407" s="984" t="str">
        <f t="shared" si="620"/>
        <v>Rev</v>
      </c>
      <c r="CB407" s="985" t="str">
        <f t="shared" si="621"/>
        <v>[Service]</v>
      </c>
      <c r="CC407" s="985" t="str">
        <f t="shared" si="622"/>
        <v>[Price]</v>
      </c>
      <c r="CD407" s="990" t="str">
        <f t="shared" si="653"/>
        <v>-</v>
      </c>
      <c r="CE407" s="987" t="str">
        <f t="shared" si="646"/>
        <v>-</v>
      </c>
      <c r="CF407" s="987" t="str">
        <f t="shared" si="647"/>
        <v>-</v>
      </c>
      <c r="CG407" s="988" t="str">
        <f t="shared" si="648"/>
        <v>-</v>
      </c>
      <c r="CH407" s="987" t="str">
        <f t="shared" si="654"/>
        <v>-</v>
      </c>
      <c r="CI407" s="987" t="str">
        <f t="shared" si="649"/>
        <v>-</v>
      </c>
      <c r="CJ407" s="987" t="str">
        <f t="shared" si="650"/>
        <v>-</v>
      </c>
      <c r="CK407" s="989" t="str">
        <f t="shared" si="651"/>
        <v>-</v>
      </c>
    </row>
    <row r="408" spans="4:89" outlineLevel="1">
      <c r="D408" s="63">
        <f>D405+1</f>
        <v>114</v>
      </c>
      <c r="E408" s="550" t="s">
        <v>857</v>
      </c>
      <c r="F408" s="595" t="s">
        <v>428</v>
      </c>
      <c r="G408" s="595"/>
      <c r="H408" s="595"/>
      <c r="I408" s="589" t="s">
        <v>920</v>
      </c>
      <c r="J408" s="589" t="s">
        <v>879</v>
      </c>
      <c r="K408" s="551"/>
      <c r="L408" s="552"/>
      <c r="M408" s="552"/>
      <c r="N408" s="551"/>
      <c r="O408" s="552"/>
      <c r="P408" s="552"/>
      <c r="Q408" s="552"/>
      <c r="R408" s="1035"/>
      <c r="S408" s="1138"/>
      <c r="T408" s="591"/>
      <c r="U408" s="1035"/>
      <c r="V408" s="1138"/>
      <c r="W408" s="591"/>
      <c r="X408" s="591"/>
      <c r="Y408" s="591"/>
      <c r="Z408" s="1035"/>
      <c r="AA408" s="1138"/>
      <c r="AB408" s="591"/>
      <c r="AC408" s="591"/>
      <c r="AD408" s="591"/>
      <c r="AE408" s="1035"/>
      <c r="AF408" s="1138"/>
      <c r="AG408" s="591"/>
      <c r="AH408" s="591"/>
      <c r="AI408" s="591"/>
      <c r="AJ408" s="1035"/>
      <c r="AK408" s="569"/>
      <c r="AL408" s="569"/>
      <c r="AM408" s="974"/>
      <c r="AN408" s="857"/>
      <c r="AO408" s="975" t="str">
        <f t="shared" si="624"/>
        <v>Price</v>
      </c>
      <c r="AP408" s="976" t="str">
        <f t="shared" si="625"/>
        <v>[Service]</v>
      </c>
      <c r="AQ408" s="977" t="str">
        <f t="shared" si="626"/>
        <v>[Price]</v>
      </c>
      <c r="AR408" s="1341" t="str">
        <f t="shared" si="627"/>
        <v>-</v>
      </c>
      <c r="AS408" s="978" t="str">
        <f t="shared" si="628"/>
        <v>-</v>
      </c>
      <c r="AT408" s="979" t="str">
        <f t="shared" si="629"/>
        <v>-</v>
      </c>
      <c r="AU408" s="979" t="str">
        <f t="shared" si="630"/>
        <v>-</v>
      </c>
      <c r="AV408" s="1352" t="str">
        <f t="shared" si="631"/>
        <v>-</v>
      </c>
      <c r="AW408" s="1345" t="str">
        <f t="shared" si="632"/>
        <v>-</v>
      </c>
      <c r="AX408" s="979" t="str">
        <f t="shared" si="633"/>
        <v>-</v>
      </c>
      <c r="AY408" s="979" t="str">
        <f t="shared" si="634"/>
        <v>-</v>
      </c>
      <c r="AZ408" s="979" t="str">
        <f t="shared" si="635"/>
        <v>-</v>
      </c>
      <c r="BA408" s="980" t="str">
        <f t="shared" si="636"/>
        <v>-</v>
      </c>
      <c r="BB408" s="1345" t="str">
        <f t="shared" si="637"/>
        <v>-</v>
      </c>
      <c r="BC408" s="979" t="str">
        <f t="shared" si="638"/>
        <v>-</v>
      </c>
      <c r="BD408" s="979" t="str">
        <f t="shared" si="639"/>
        <v>-</v>
      </c>
      <c r="BE408" s="979" t="str">
        <f t="shared" si="640"/>
        <v>-</v>
      </c>
      <c r="BF408" s="981" t="str">
        <f t="shared" si="641"/>
        <v>-</v>
      </c>
      <c r="BG408" s="951"/>
      <c r="BH408" s="1547" t="str">
        <f t="shared" si="673"/>
        <v>Price</v>
      </c>
      <c r="BI408" s="1548" t="str">
        <f t="shared" si="673"/>
        <v>[Service]</v>
      </c>
      <c r="BJ408" s="1549" t="str">
        <f t="shared" si="673"/>
        <v>[Price]</v>
      </c>
      <c r="BK408" s="978" t="str">
        <f t="shared" ref="BK408:BU408" si="679">IF(V408="","-",IFERROR((V408/U408-1)*(U410/U$13),"-"))</f>
        <v>-</v>
      </c>
      <c r="BL408" s="978" t="str">
        <f t="shared" si="679"/>
        <v>-</v>
      </c>
      <c r="BM408" s="979" t="str">
        <f t="shared" si="679"/>
        <v>-</v>
      </c>
      <c r="BN408" s="979" t="str">
        <f t="shared" si="679"/>
        <v>-</v>
      </c>
      <c r="BO408" s="1352" t="str">
        <f t="shared" si="679"/>
        <v>-</v>
      </c>
      <c r="BP408" s="1345" t="str">
        <f t="shared" si="679"/>
        <v>-</v>
      </c>
      <c r="BQ408" s="979" t="str">
        <f t="shared" si="679"/>
        <v>-</v>
      </c>
      <c r="BR408" s="979" t="str">
        <f t="shared" si="679"/>
        <v>-</v>
      </c>
      <c r="BS408" s="979" t="str">
        <f t="shared" si="679"/>
        <v>-</v>
      </c>
      <c r="BT408" s="980" t="str">
        <f t="shared" si="679"/>
        <v>-</v>
      </c>
      <c r="BU408" s="979" t="str">
        <f t="shared" si="679"/>
        <v>-</v>
      </c>
      <c r="BV408" s="979" t="str">
        <f>IF(AG408="","-",IFERROR((AG408/AF408-1)*(AF410/AF$13),"-"))</f>
        <v>-</v>
      </c>
      <c r="BW408" s="979" t="str">
        <f>IF(AH408="","-",IFERROR((AH408/AG408-1)*(AG410/AG$13),"-"))</f>
        <v>-</v>
      </c>
      <c r="BX408" s="979" t="str">
        <f>IF(AI408="","-",IFERROR((AI408/AH408-1)*(AH410/AH$13),"-"))</f>
        <v>-</v>
      </c>
      <c r="BY408" s="981" t="str">
        <f>IF(AJ408="","-",IFERROR((AJ408/AI408-1)*(AI410/AI$13),"-"))</f>
        <v>-</v>
      </c>
      <c r="BZ408" s="951"/>
      <c r="CA408" s="975" t="str">
        <f t="shared" si="620"/>
        <v>Price</v>
      </c>
      <c r="CB408" s="976" t="str">
        <f t="shared" si="621"/>
        <v>[Service]</v>
      </c>
      <c r="CC408" s="982" t="str">
        <f t="shared" si="622"/>
        <v>[Price]</v>
      </c>
      <c r="CD408" s="983" t="str">
        <f t="shared" si="653"/>
        <v>-</v>
      </c>
      <c r="CE408" s="979" t="str">
        <f t="shared" si="646"/>
        <v>-</v>
      </c>
      <c r="CF408" s="979" t="str">
        <f t="shared" si="647"/>
        <v>-</v>
      </c>
      <c r="CG408" s="980" t="str">
        <f t="shared" si="648"/>
        <v>-</v>
      </c>
      <c r="CH408" s="979" t="str">
        <f t="shared" si="654"/>
        <v>-</v>
      </c>
      <c r="CI408" s="979" t="str">
        <f t="shared" si="649"/>
        <v>-</v>
      </c>
      <c r="CJ408" s="979" t="str">
        <f t="shared" si="650"/>
        <v>-</v>
      </c>
      <c r="CK408" s="981" t="str">
        <f t="shared" si="651"/>
        <v>-</v>
      </c>
    </row>
    <row r="409" spans="4:89" outlineLevel="1">
      <c r="E409" s="567" t="s">
        <v>880</v>
      </c>
      <c r="F409" s="554" t="str">
        <f>+F408</f>
        <v>[Service]</v>
      </c>
      <c r="G409" s="555">
        <f>+G408</f>
        <v>0</v>
      </c>
      <c r="H409" s="555">
        <f>+H408</f>
        <v>0</v>
      </c>
      <c r="I409" s="556" t="str">
        <f>+I408</f>
        <v>[Price]</v>
      </c>
      <c r="J409" s="590" t="s">
        <v>916</v>
      </c>
      <c r="K409" s="557"/>
      <c r="L409" s="558"/>
      <c r="M409" s="558"/>
      <c r="N409" s="557"/>
      <c r="O409" s="558"/>
      <c r="P409" s="558"/>
      <c r="Q409" s="558"/>
      <c r="R409" s="1036"/>
      <c r="S409" s="1139"/>
      <c r="T409" s="593"/>
      <c r="U409" s="1036"/>
      <c r="V409" s="1139"/>
      <c r="W409" s="593"/>
      <c r="X409" s="593"/>
      <c r="Y409" s="593"/>
      <c r="Z409" s="1036"/>
      <c r="AA409" s="1139"/>
      <c r="AB409" s="593"/>
      <c r="AC409" s="593"/>
      <c r="AD409" s="593"/>
      <c r="AE409" s="1036"/>
      <c r="AF409" s="1139"/>
      <c r="AG409" s="593"/>
      <c r="AH409" s="593"/>
      <c r="AI409" s="593"/>
      <c r="AJ409" s="1036"/>
      <c r="AK409" s="569"/>
      <c r="AL409" s="569"/>
      <c r="AN409" s="857"/>
      <c r="AO409" s="961" t="str">
        <f t="shared" si="624"/>
        <v>Qty</v>
      </c>
      <c r="AP409" s="962" t="str">
        <f t="shared" si="625"/>
        <v>[Service]</v>
      </c>
      <c r="AQ409" s="963" t="str">
        <f t="shared" si="626"/>
        <v>[Price]</v>
      </c>
      <c r="AR409" s="967" t="str">
        <f t="shared" si="627"/>
        <v>-</v>
      </c>
      <c r="AS409" s="964" t="str">
        <f t="shared" si="628"/>
        <v>-</v>
      </c>
      <c r="AT409" s="964" t="str">
        <f t="shared" si="629"/>
        <v>-</v>
      </c>
      <c r="AU409" s="964" t="str">
        <f t="shared" si="630"/>
        <v>-</v>
      </c>
      <c r="AV409" s="1350" t="str">
        <f t="shared" si="631"/>
        <v>-</v>
      </c>
      <c r="AW409" s="1343" t="str">
        <f t="shared" si="632"/>
        <v>-</v>
      </c>
      <c r="AX409" s="964" t="str">
        <f t="shared" si="633"/>
        <v>-</v>
      </c>
      <c r="AY409" s="964" t="str">
        <f t="shared" si="634"/>
        <v>-</v>
      </c>
      <c r="AZ409" s="964" t="str">
        <f t="shared" si="635"/>
        <v>-</v>
      </c>
      <c r="BA409" s="965" t="str">
        <f t="shared" si="636"/>
        <v>-</v>
      </c>
      <c r="BB409" s="1343" t="str">
        <f t="shared" si="637"/>
        <v>-</v>
      </c>
      <c r="BC409" s="964" t="str">
        <f t="shared" si="638"/>
        <v>-</v>
      </c>
      <c r="BD409" s="964" t="str">
        <f t="shared" si="639"/>
        <v>-</v>
      </c>
      <c r="BE409" s="964" t="str">
        <f t="shared" si="640"/>
        <v>-</v>
      </c>
      <c r="BF409" s="966" t="str">
        <f t="shared" si="641"/>
        <v>-</v>
      </c>
      <c r="BG409" s="951"/>
      <c r="BH409" s="1541" t="str">
        <f t="shared" si="673"/>
        <v>Qty</v>
      </c>
      <c r="BI409" s="1542" t="str">
        <f t="shared" si="673"/>
        <v>[Service]</v>
      </c>
      <c r="BJ409" s="1543" t="str">
        <f t="shared" si="673"/>
        <v>[Price]</v>
      </c>
      <c r="BK409" s="964" t="str">
        <f t="shared" ref="BK409:BU409" si="680">IF(V409="","-",IFERROR((V409/U409-1)*(U410/U$13),"-"))</f>
        <v>-</v>
      </c>
      <c r="BL409" s="964" t="str">
        <f t="shared" si="680"/>
        <v>-</v>
      </c>
      <c r="BM409" s="964" t="str">
        <f t="shared" si="680"/>
        <v>-</v>
      </c>
      <c r="BN409" s="964" t="str">
        <f t="shared" si="680"/>
        <v>-</v>
      </c>
      <c r="BO409" s="1350" t="str">
        <f t="shared" si="680"/>
        <v>-</v>
      </c>
      <c r="BP409" s="1343" t="str">
        <f t="shared" si="680"/>
        <v>-</v>
      </c>
      <c r="BQ409" s="964" t="str">
        <f t="shared" si="680"/>
        <v>-</v>
      </c>
      <c r="BR409" s="964" t="str">
        <f t="shared" si="680"/>
        <v>-</v>
      </c>
      <c r="BS409" s="964" t="str">
        <f t="shared" si="680"/>
        <v>-</v>
      </c>
      <c r="BT409" s="965" t="str">
        <f t="shared" si="680"/>
        <v>-</v>
      </c>
      <c r="BU409" s="964" t="str">
        <f t="shared" si="680"/>
        <v>-</v>
      </c>
      <c r="BV409" s="964" t="str">
        <f>IF(AG409="","-",IFERROR((AG409/AF409-1)*(AF410/AF$13),"-"))</f>
        <v>-</v>
      </c>
      <c r="BW409" s="964" t="str">
        <f>IF(AH409="","-",IFERROR((AH409/AG409-1)*(AG410/AG$13),"-"))</f>
        <v>-</v>
      </c>
      <c r="BX409" s="964" t="str">
        <f>IF(AI409="","-",IFERROR((AI409/AH409-1)*(AH410/AH$13),"-"))</f>
        <v>-</v>
      </c>
      <c r="BY409" s="966" t="str">
        <f>IF(AJ409="","-",IFERROR((AJ409/AI409-1)*(AI410/AI$13),"-"))</f>
        <v>-</v>
      </c>
      <c r="BZ409" s="951"/>
      <c r="CA409" s="961" t="str">
        <f t="shared" si="620"/>
        <v>Qty</v>
      </c>
      <c r="CB409" s="962" t="str">
        <f t="shared" si="621"/>
        <v>[Service]</v>
      </c>
      <c r="CC409" s="962" t="str">
        <f t="shared" si="622"/>
        <v>[Price]</v>
      </c>
      <c r="CD409" s="967" t="str">
        <f t="shared" si="653"/>
        <v>-</v>
      </c>
      <c r="CE409" s="964" t="str">
        <f t="shared" si="646"/>
        <v>-</v>
      </c>
      <c r="CF409" s="964" t="str">
        <f t="shared" si="647"/>
        <v>-</v>
      </c>
      <c r="CG409" s="965" t="str">
        <f t="shared" si="648"/>
        <v>-</v>
      </c>
      <c r="CH409" s="964" t="str">
        <f t="shared" si="654"/>
        <v>-</v>
      </c>
      <c r="CI409" s="964" t="str">
        <f t="shared" si="649"/>
        <v>-</v>
      </c>
      <c r="CJ409" s="964" t="str">
        <f t="shared" si="650"/>
        <v>-</v>
      </c>
      <c r="CK409" s="966" t="str">
        <f t="shared" si="651"/>
        <v>-</v>
      </c>
    </row>
    <row r="410" spans="4:89" ht="12.75" outlineLevel="1" thickBot="1">
      <c r="E410" s="568" t="s">
        <v>882</v>
      </c>
      <c r="F410" s="560" t="str">
        <f>+F408</f>
        <v>[Service]</v>
      </c>
      <c r="G410" s="561">
        <f>+G408</f>
        <v>0</v>
      </c>
      <c r="H410" s="561">
        <f>+H408</f>
        <v>0</v>
      </c>
      <c r="I410" s="562" t="str">
        <f>+I408</f>
        <v>[Price]</v>
      </c>
      <c r="J410" s="563" t="s">
        <v>883</v>
      </c>
      <c r="K410" s="564">
        <f t="shared" ref="K410:AJ410" si="681">K408*K409/10^6</f>
        <v>0</v>
      </c>
      <c r="L410" s="565">
        <f t="shared" si="681"/>
        <v>0</v>
      </c>
      <c r="M410" s="565">
        <f t="shared" si="681"/>
        <v>0</v>
      </c>
      <c r="N410" s="564">
        <f t="shared" si="681"/>
        <v>0</v>
      </c>
      <c r="O410" s="565">
        <f t="shared" si="681"/>
        <v>0</v>
      </c>
      <c r="P410" s="565">
        <f t="shared" si="681"/>
        <v>0</v>
      </c>
      <c r="Q410" s="565">
        <f t="shared" si="681"/>
        <v>0</v>
      </c>
      <c r="R410" s="566">
        <f t="shared" si="681"/>
        <v>0</v>
      </c>
      <c r="S410" s="564">
        <f t="shared" si="681"/>
        <v>0</v>
      </c>
      <c r="T410" s="565">
        <f t="shared" si="681"/>
        <v>0</v>
      </c>
      <c r="U410" s="566">
        <f t="shared" si="681"/>
        <v>0</v>
      </c>
      <c r="V410" s="564">
        <f t="shared" si="681"/>
        <v>0</v>
      </c>
      <c r="W410" s="565">
        <f t="shared" si="681"/>
        <v>0</v>
      </c>
      <c r="X410" s="565">
        <f t="shared" si="681"/>
        <v>0</v>
      </c>
      <c r="Y410" s="565">
        <f t="shared" si="681"/>
        <v>0</v>
      </c>
      <c r="Z410" s="566">
        <f t="shared" si="681"/>
        <v>0</v>
      </c>
      <c r="AA410" s="564">
        <f t="shared" si="681"/>
        <v>0</v>
      </c>
      <c r="AB410" s="565">
        <f t="shared" si="681"/>
        <v>0</v>
      </c>
      <c r="AC410" s="565">
        <f t="shared" si="681"/>
        <v>0</v>
      </c>
      <c r="AD410" s="565">
        <f t="shared" si="681"/>
        <v>0</v>
      </c>
      <c r="AE410" s="566">
        <f t="shared" si="681"/>
        <v>0</v>
      </c>
      <c r="AF410" s="564">
        <f t="shared" si="681"/>
        <v>0</v>
      </c>
      <c r="AG410" s="565">
        <f t="shared" si="681"/>
        <v>0</v>
      </c>
      <c r="AH410" s="565">
        <f t="shared" si="681"/>
        <v>0</v>
      </c>
      <c r="AI410" s="565">
        <f t="shared" si="681"/>
        <v>0</v>
      </c>
      <c r="AJ410" s="566">
        <f t="shared" si="681"/>
        <v>0</v>
      </c>
      <c r="AK410" s="569"/>
      <c r="AL410" s="569"/>
      <c r="AN410" s="857"/>
      <c r="AO410" s="984" t="str">
        <f t="shared" si="624"/>
        <v>Rev</v>
      </c>
      <c r="AP410" s="985" t="str">
        <f t="shared" si="625"/>
        <v>[Service]</v>
      </c>
      <c r="AQ410" s="986" t="str">
        <f t="shared" si="626"/>
        <v>[Price]</v>
      </c>
      <c r="AR410" s="990" t="str">
        <f t="shared" si="627"/>
        <v>-</v>
      </c>
      <c r="AS410" s="987" t="str">
        <f t="shared" si="628"/>
        <v>-</v>
      </c>
      <c r="AT410" s="987" t="str">
        <f t="shared" si="629"/>
        <v>-</v>
      </c>
      <c r="AU410" s="987" t="str">
        <f t="shared" si="630"/>
        <v>-</v>
      </c>
      <c r="AV410" s="1353" t="str">
        <f t="shared" si="631"/>
        <v>-</v>
      </c>
      <c r="AW410" s="1346" t="str">
        <f t="shared" si="632"/>
        <v>-</v>
      </c>
      <c r="AX410" s="987" t="str">
        <f t="shared" si="633"/>
        <v>-</v>
      </c>
      <c r="AY410" s="987" t="str">
        <f t="shared" si="634"/>
        <v>-</v>
      </c>
      <c r="AZ410" s="987" t="str">
        <f t="shared" si="635"/>
        <v>-</v>
      </c>
      <c r="BA410" s="988" t="str">
        <f t="shared" si="636"/>
        <v>-</v>
      </c>
      <c r="BB410" s="1346" t="str">
        <f t="shared" si="637"/>
        <v>-</v>
      </c>
      <c r="BC410" s="987" t="str">
        <f t="shared" si="638"/>
        <v>-</v>
      </c>
      <c r="BD410" s="987" t="str">
        <f t="shared" si="639"/>
        <v>-</v>
      </c>
      <c r="BE410" s="987" t="str">
        <f t="shared" si="640"/>
        <v>-</v>
      </c>
      <c r="BF410" s="989" t="str">
        <f t="shared" si="641"/>
        <v>-</v>
      </c>
      <c r="BG410" s="951"/>
      <c r="BH410" s="1550" t="str">
        <f t="shared" si="673"/>
        <v>Rev</v>
      </c>
      <c r="BI410" s="1551" t="str">
        <f t="shared" si="673"/>
        <v>[Service]</v>
      </c>
      <c r="BJ410" s="1552" t="str">
        <f t="shared" si="673"/>
        <v>[Price]</v>
      </c>
      <c r="BK410" s="987" t="str">
        <f t="shared" ref="BK410:BU410" si="682">IF(V410="","-",IFERROR((V410/U410-1)*(U410/U$13),"-"))</f>
        <v>-</v>
      </c>
      <c r="BL410" s="987" t="str">
        <f t="shared" si="682"/>
        <v>-</v>
      </c>
      <c r="BM410" s="987" t="str">
        <f t="shared" si="682"/>
        <v>-</v>
      </c>
      <c r="BN410" s="987" t="str">
        <f t="shared" si="682"/>
        <v>-</v>
      </c>
      <c r="BO410" s="1353" t="str">
        <f t="shared" si="682"/>
        <v>-</v>
      </c>
      <c r="BP410" s="1346" t="str">
        <f t="shared" si="682"/>
        <v>-</v>
      </c>
      <c r="BQ410" s="987" t="str">
        <f t="shared" si="682"/>
        <v>-</v>
      </c>
      <c r="BR410" s="987" t="str">
        <f t="shared" si="682"/>
        <v>-</v>
      </c>
      <c r="BS410" s="987" t="str">
        <f t="shared" si="682"/>
        <v>-</v>
      </c>
      <c r="BT410" s="988" t="str">
        <f t="shared" si="682"/>
        <v>-</v>
      </c>
      <c r="BU410" s="987" t="str">
        <f t="shared" si="682"/>
        <v>-</v>
      </c>
      <c r="BV410" s="987" t="str">
        <f>IF(AG410="","-",IFERROR((AG410/AF410-1)*(AF410/AF$13),"-"))</f>
        <v>-</v>
      </c>
      <c r="BW410" s="987" t="str">
        <f>IF(AH410="","-",IFERROR((AH410/AG410-1)*(AG410/AG$13),"-"))</f>
        <v>-</v>
      </c>
      <c r="BX410" s="987" t="str">
        <f>IF(AI410="","-",IFERROR((AI410/AH410-1)*(AH410/AH$13),"-"))</f>
        <v>-</v>
      </c>
      <c r="BY410" s="989" t="str">
        <f>IF(AJ410="","-",IFERROR((AJ410/AI410-1)*(AI410/AI$13),"-"))</f>
        <v>-</v>
      </c>
      <c r="BZ410" s="951"/>
      <c r="CA410" s="984" t="str">
        <f t="shared" si="620"/>
        <v>Rev</v>
      </c>
      <c r="CB410" s="985" t="str">
        <f t="shared" si="621"/>
        <v>[Service]</v>
      </c>
      <c r="CC410" s="985" t="str">
        <f t="shared" si="622"/>
        <v>[Price]</v>
      </c>
      <c r="CD410" s="990" t="str">
        <f t="shared" si="653"/>
        <v>-</v>
      </c>
      <c r="CE410" s="987" t="str">
        <f t="shared" si="646"/>
        <v>-</v>
      </c>
      <c r="CF410" s="987" t="str">
        <f t="shared" si="647"/>
        <v>-</v>
      </c>
      <c r="CG410" s="988" t="str">
        <f t="shared" si="648"/>
        <v>-</v>
      </c>
      <c r="CH410" s="987" t="str">
        <f t="shared" si="654"/>
        <v>-</v>
      </c>
      <c r="CI410" s="987" t="str">
        <f t="shared" si="649"/>
        <v>-</v>
      </c>
      <c r="CJ410" s="987" t="str">
        <f t="shared" si="650"/>
        <v>-</v>
      </c>
      <c r="CK410" s="989" t="str">
        <f t="shared" si="651"/>
        <v>-</v>
      </c>
    </row>
    <row r="411" spans="4:89" outlineLevel="1">
      <c r="D411" s="63">
        <f>D408+1</f>
        <v>115</v>
      </c>
      <c r="E411" s="550" t="s">
        <v>857</v>
      </c>
      <c r="F411" s="595" t="s">
        <v>428</v>
      </c>
      <c r="G411" s="595"/>
      <c r="H411" s="595"/>
      <c r="I411" s="589" t="s">
        <v>920</v>
      </c>
      <c r="J411" s="589" t="s">
        <v>879</v>
      </c>
      <c r="K411" s="551"/>
      <c r="L411" s="552"/>
      <c r="M411" s="552"/>
      <c r="N411" s="551"/>
      <c r="O411" s="552"/>
      <c r="P411" s="552"/>
      <c r="Q411" s="552"/>
      <c r="R411" s="1035"/>
      <c r="S411" s="1138"/>
      <c r="T411" s="591"/>
      <c r="U411" s="1035"/>
      <c r="V411" s="1138"/>
      <c r="W411" s="591"/>
      <c r="X411" s="591"/>
      <c r="Y411" s="591"/>
      <c r="Z411" s="1035"/>
      <c r="AA411" s="1138"/>
      <c r="AB411" s="591"/>
      <c r="AC411" s="591"/>
      <c r="AD411" s="591"/>
      <c r="AE411" s="1035"/>
      <c r="AF411" s="1138"/>
      <c r="AG411" s="591"/>
      <c r="AH411" s="591"/>
      <c r="AI411" s="591"/>
      <c r="AJ411" s="1035"/>
      <c r="AK411" s="569"/>
      <c r="AL411" s="569"/>
      <c r="AM411" s="974"/>
      <c r="AN411" s="857"/>
      <c r="AO411" s="975" t="str">
        <f t="shared" si="624"/>
        <v>Price</v>
      </c>
      <c r="AP411" s="976" t="str">
        <f t="shared" si="625"/>
        <v>[Service]</v>
      </c>
      <c r="AQ411" s="977" t="str">
        <f t="shared" si="626"/>
        <v>[Price]</v>
      </c>
      <c r="AR411" s="1341" t="str">
        <f t="shared" si="627"/>
        <v>-</v>
      </c>
      <c r="AS411" s="978" t="str">
        <f t="shared" si="628"/>
        <v>-</v>
      </c>
      <c r="AT411" s="979" t="str">
        <f t="shared" si="629"/>
        <v>-</v>
      </c>
      <c r="AU411" s="979" t="str">
        <f t="shared" si="630"/>
        <v>-</v>
      </c>
      <c r="AV411" s="1352" t="str">
        <f t="shared" si="631"/>
        <v>-</v>
      </c>
      <c r="AW411" s="1345" t="str">
        <f t="shared" si="632"/>
        <v>-</v>
      </c>
      <c r="AX411" s="979" t="str">
        <f t="shared" si="633"/>
        <v>-</v>
      </c>
      <c r="AY411" s="979" t="str">
        <f t="shared" si="634"/>
        <v>-</v>
      </c>
      <c r="AZ411" s="979" t="str">
        <f t="shared" si="635"/>
        <v>-</v>
      </c>
      <c r="BA411" s="980" t="str">
        <f t="shared" si="636"/>
        <v>-</v>
      </c>
      <c r="BB411" s="1345" t="str">
        <f t="shared" si="637"/>
        <v>-</v>
      </c>
      <c r="BC411" s="979" t="str">
        <f t="shared" si="638"/>
        <v>-</v>
      </c>
      <c r="BD411" s="979" t="str">
        <f t="shared" si="639"/>
        <v>-</v>
      </c>
      <c r="BE411" s="979" t="str">
        <f t="shared" si="640"/>
        <v>-</v>
      </c>
      <c r="BF411" s="981" t="str">
        <f t="shared" si="641"/>
        <v>-</v>
      </c>
      <c r="BG411" s="951"/>
      <c r="BH411" s="1547" t="str">
        <f t="shared" si="673"/>
        <v>Price</v>
      </c>
      <c r="BI411" s="1548" t="str">
        <f t="shared" si="673"/>
        <v>[Service]</v>
      </c>
      <c r="BJ411" s="1549" t="str">
        <f t="shared" si="673"/>
        <v>[Price]</v>
      </c>
      <c r="BK411" s="978" t="str">
        <f t="shared" ref="BK411:BU411" si="683">IF(V411="","-",IFERROR((V411/U411-1)*(U413/U$13),"-"))</f>
        <v>-</v>
      </c>
      <c r="BL411" s="978" t="str">
        <f t="shared" si="683"/>
        <v>-</v>
      </c>
      <c r="BM411" s="979" t="str">
        <f t="shared" si="683"/>
        <v>-</v>
      </c>
      <c r="BN411" s="979" t="str">
        <f t="shared" si="683"/>
        <v>-</v>
      </c>
      <c r="BO411" s="1352" t="str">
        <f t="shared" si="683"/>
        <v>-</v>
      </c>
      <c r="BP411" s="1345" t="str">
        <f t="shared" si="683"/>
        <v>-</v>
      </c>
      <c r="BQ411" s="979" t="str">
        <f t="shared" si="683"/>
        <v>-</v>
      </c>
      <c r="BR411" s="979" t="str">
        <f t="shared" si="683"/>
        <v>-</v>
      </c>
      <c r="BS411" s="979" t="str">
        <f t="shared" si="683"/>
        <v>-</v>
      </c>
      <c r="BT411" s="980" t="str">
        <f t="shared" si="683"/>
        <v>-</v>
      </c>
      <c r="BU411" s="979" t="str">
        <f t="shared" si="683"/>
        <v>-</v>
      </c>
      <c r="BV411" s="979" t="str">
        <f>IF(AG411="","-",IFERROR((AG411/AF411-1)*(AF413/AF$13),"-"))</f>
        <v>-</v>
      </c>
      <c r="BW411" s="979" t="str">
        <f>IF(AH411="","-",IFERROR((AH411/AG411-1)*(AG413/AG$13),"-"))</f>
        <v>-</v>
      </c>
      <c r="BX411" s="979" t="str">
        <f>IF(AI411="","-",IFERROR((AI411/AH411-1)*(AH413/AH$13),"-"))</f>
        <v>-</v>
      </c>
      <c r="BY411" s="981" t="str">
        <f>IF(AJ411="","-",IFERROR((AJ411/AI411-1)*(AI413/AI$13),"-"))</f>
        <v>-</v>
      </c>
      <c r="BZ411" s="951"/>
      <c r="CA411" s="975" t="str">
        <f t="shared" si="620"/>
        <v>Price</v>
      </c>
      <c r="CB411" s="976" t="str">
        <f t="shared" si="621"/>
        <v>[Service]</v>
      </c>
      <c r="CC411" s="982" t="str">
        <f t="shared" si="622"/>
        <v>[Price]</v>
      </c>
      <c r="CD411" s="983" t="str">
        <f t="shared" si="653"/>
        <v>-</v>
      </c>
      <c r="CE411" s="979" t="str">
        <f t="shared" si="646"/>
        <v>-</v>
      </c>
      <c r="CF411" s="979" t="str">
        <f t="shared" si="647"/>
        <v>-</v>
      </c>
      <c r="CG411" s="980" t="str">
        <f t="shared" si="648"/>
        <v>-</v>
      </c>
      <c r="CH411" s="979" t="str">
        <f t="shared" si="654"/>
        <v>-</v>
      </c>
      <c r="CI411" s="979" t="str">
        <f t="shared" si="649"/>
        <v>-</v>
      </c>
      <c r="CJ411" s="979" t="str">
        <f t="shared" si="650"/>
        <v>-</v>
      </c>
      <c r="CK411" s="981" t="str">
        <f t="shared" si="651"/>
        <v>-</v>
      </c>
    </row>
    <row r="412" spans="4:89" outlineLevel="1">
      <c r="E412" s="567" t="s">
        <v>880</v>
      </c>
      <c r="F412" s="554" t="str">
        <f>+F411</f>
        <v>[Service]</v>
      </c>
      <c r="G412" s="555">
        <f>+G411</f>
        <v>0</v>
      </c>
      <c r="H412" s="555">
        <f>+H411</f>
        <v>0</v>
      </c>
      <c r="I412" s="556" t="str">
        <f>+I411</f>
        <v>[Price]</v>
      </c>
      <c r="J412" s="590" t="s">
        <v>916</v>
      </c>
      <c r="K412" s="557"/>
      <c r="L412" s="558"/>
      <c r="M412" s="558"/>
      <c r="N412" s="557"/>
      <c r="O412" s="558"/>
      <c r="P412" s="558"/>
      <c r="Q412" s="558"/>
      <c r="R412" s="1036"/>
      <c r="S412" s="1139"/>
      <c r="T412" s="593"/>
      <c r="U412" s="1036"/>
      <c r="V412" s="1139"/>
      <c r="W412" s="593"/>
      <c r="X412" s="593"/>
      <c r="Y412" s="593"/>
      <c r="Z412" s="1036"/>
      <c r="AA412" s="1139"/>
      <c r="AB412" s="593"/>
      <c r="AC412" s="593"/>
      <c r="AD412" s="593"/>
      <c r="AE412" s="1036"/>
      <c r="AF412" s="1139"/>
      <c r="AG412" s="593"/>
      <c r="AH412" s="593"/>
      <c r="AI412" s="593"/>
      <c r="AJ412" s="1036"/>
      <c r="AK412" s="569"/>
      <c r="AL412" s="569"/>
      <c r="AN412" s="857"/>
      <c r="AO412" s="961" t="str">
        <f t="shared" si="624"/>
        <v>Qty</v>
      </c>
      <c r="AP412" s="962" t="str">
        <f t="shared" si="625"/>
        <v>[Service]</v>
      </c>
      <c r="AQ412" s="963" t="str">
        <f t="shared" si="626"/>
        <v>[Price]</v>
      </c>
      <c r="AR412" s="967" t="str">
        <f t="shared" si="627"/>
        <v>-</v>
      </c>
      <c r="AS412" s="964" t="str">
        <f t="shared" si="628"/>
        <v>-</v>
      </c>
      <c r="AT412" s="964" t="str">
        <f t="shared" si="629"/>
        <v>-</v>
      </c>
      <c r="AU412" s="964" t="str">
        <f t="shared" si="630"/>
        <v>-</v>
      </c>
      <c r="AV412" s="1350" t="str">
        <f t="shared" si="631"/>
        <v>-</v>
      </c>
      <c r="AW412" s="1343" t="str">
        <f t="shared" si="632"/>
        <v>-</v>
      </c>
      <c r="AX412" s="964" t="str">
        <f t="shared" si="633"/>
        <v>-</v>
      </c>
      <c r="AY412" s="964" t="str">
        <f t="shared" si="634"/>
        <v>-</v>
      </c>
      <c r="AZ412" s="964" t="str">
        <f t="shared" si="635"/>
        <v>-</v>
      </c>
      <c r="BA412" s="965" t="str">
        <f t="shared" si="636"/>
        <v>-</v>
      </c>
      <c r="BB412" s="1343" t="str">
        <f t="shared" si="637"/>
        <v>-</v>
      </c>
      <c r="BC412" s="964" t="str">
        <f t="shared" si="638"/>
        <v>-</v>
      </c>
      <c r="BD412" s="964" t="str">
        <f t="shared" si="639"/>
        <v>-</v>
      </c>
      <c r="BE412" s="964" t="str">
        <f t="shared" si="640"/>
        <v>-</v>
      </c>
      <c r="BF412" s="966" t="str">
        <f t="shared" si="641"/>
        <v>-</v>
      </c>
      <c r="BG412" s="951"/>
      <c r="BH412" s="1541" t="str">
        <f t="shared" si="673"/>
        <v>Qty</v>
      </c>
      <c r="BI412" s="1542" t="str">
        <f t="shared" si="673"/>
        <v>[Service]</v>
      </c>
      <c r="BJ412" s="1543" t="str">
        <f t="shared" si="673"/>
        <v>[Price]</v>
      </c>
      <c r="BK412" s="964" t="str">
        <f t="shared" ref="BK412:BU412" si="684">IF(V412="","-",IFERROR((V412/U412-1)*(U413/U$13),"-"))</f>
        <v>-</v>
      </c>
      <c r="BL412" s="964" t="str">
        <f t="shared" si="684"/>
        <v>-</v>
      </c>
      <c r="BM412" s="964" t="str">
        <f t="shared" si="684"/>
        <v>-</v>
      </c>
      <c r="BN412" s="964" t="str">
        <f t="shared" si="684"/>
        <v>-</v>
      </c>
      <c r="BO412" s="1350" t="str">
        <f t="shared" si="684"/>
        <v>-</v>
      </c>
      <c r="BP412" s="1343" t="str">
        <f t="shared" si="684"/>
        <v>-</v>
      </c>
      <c r="BQ412" s="964" t="str">
        <f t="shared" si="684"/>
        <v>-</v>
      </c>
      <c r="BR412" s="964" t="str">
        <f t="shared" si="684"/>
        <v>-</v>
      </c>
      <c r="BS412" s="964" t="str">
        <f t="shared" si="684"/>
        <v>-</v>
      </c>
      <c r="BT412" s="965" t="str">
        <f t="shared" si="684"/>
        <v>-</v>
      </c>
      <c r="BU412" s="964" t="str">
        <f t="shared" si="684"/>
        <v>-</v>
      </c>
      <c r="BV412" s="964" t="str">
        <f>IF(AG412="","-",IFERROR((AG412/AF412-1)*(AF413/AF$13),"-"))</f>
        <v>-</v>
      </c>
      <c r="BW412" s="964" t="str">
        <f>IF(AH412="","-",IFERROR((AH412/AG412-1)*(AG413/AG$13),"-"))</f>
        <v>-</v>
      </c>
      <c r="BX412" s="964" t="str">
        <f>IF(AI412="","-",IFERROR((AI412/AH412-1)*(AH413/AH$13),"-"))</f>
        <v>-</v>
      </c>
      <c r="BY412" s="966" t="str">
        <f>IF(AJ412="","-",IFERROR((AJ412/AI412-1)*(AI413/AI$13),"-"))</f>
        <v>-</v>
      </c>
      <c r="BZ412" s="951"/>
      <c r="CA412" s="961" t="str">
        <f t="shared" si="620"/>
        <v>Qty</v>
      </c>
      <c r="CB412" s="962" t="str">
        <f t="shared" si="621"/>
        <v>[Service]</v>
      </c>
      <c r="CC412" s="962" t="str">
        <f t="shared" si="622"/>
        <v>[Price]</v>
      </c>
      <c r="CD412" s="967" t="str">
        <f t="shared" si="653"/>
        <v>-</v>
      </c>
      <c r="CE412" s="964" t="str">
        <f t="shared" si="646"/>
        <v>-</v>
      </c>
      <c r="CF412" s="964" t="str">
        <f t="shared" si="647"/>
        <v>-</v>
      </c>
      <c r="CG412" s="965" t="str">
        <f t="shared" si="648"/>
        <v>-</v>
      </c>
      <c r="CH412" s="964" t="str">
        <f t="shared" si="654"/>
        <v>-</v>
      </c>
      <c r="CI412" s="964" t="str">
        <f t="shared" si="649"/>
        <v>-</v>
      </c>
      <c r="CJ412" s="964" t="str">
        <f t="shared" si="650"/>
        <v>-</v>
      </c>
      <c r="CK412" s="966" t="str">
        <f t="shared" si="651"/>
        <v>-</v>
      </c>
    </row>
    <row r="413" spans="4:89" ht="12.75" outlineLevel="1" thickBot="1">
      <c r="E413" s="568" t="s">
        <v>882</v>
      </c>
      <c r="F413" s="560" t="str">
        <f>+F411</f>
        <v>[Service]</v>
      </c>
      <c r="G413" s="561">
        <f>+G411</f>
        <v>0</v>
      </c>
      <c r="H413" s="561">
        <f>+H411</f>
        <v>0</v>
      </c>
      <c r="I413" s="562" t="str">
        <f>+I411</f>
        <v>[Price]</v>
      </c>
      <c r="J413" s="563" t="s">
        <v>883</v>
      </c>
      <c r="K413" s="564">
        <f t="shared" ref="K413:AJ413" si="685">K411*K412/10^6</f>
        <v>0</v>
      </c>
      <c r="L413" s="565">
        <f t="shared" si="685"/>
        <v>0</v>
      </c>
      <c r="M413" s="565">
        <f t="shared" si="685"/>
        <v>0</v>
      </c>
      <c r="N413" s="564">
        <f t="shared" si="685"/>
        <v>0</v>
      </c>
      <c r="O413" s="565">
        <f t="shared" si="685"/>
        <v>0</v>
      </c>
      <c r="P413" s="565">
        <f t="shared" si="685"/>
        <v>0</v>
      </c>
      <c r="Q413" s="565">
        <f t="shared" si="685"/>
        <v>0</v>
      </c>
      <c r="R413" s="566">
        <f t="shared" si="685"/>
        <v>0</v>
      </c>
      <c r="S413" s="564">
        <f t="shared" si="685"/>
        <v>0</v>
      </c>
      <c r="T413" s="565">
        <f t="shared" si="685"/>
        <v>0</v>
      </c>
      <c r="U413" s="566">
        <f t="shared" si="685"/>
        <v>0</v>
      </c>
      <c r="V413" s="564">
        <f t="shared" si="685"/>
        <v>0</v>
      </c>
      <c r="W413" s="565">
        <f t="shared" si="685"/>
        <v>0</v>
      </c>
      <c r="X413" s="565">
        <f t="shared" si="685"/>
        <v>0</v>
      </c>
      <c r="Y413" s="565">
        <f t="shared" si="685"/>
        <v>0</v>
      </c>
      <c r="Z413" s="566">
        <f t="shared" si="685"/>
        <v>0</v>
      </c>
      <c r="AA413" s="564">
        <f t="shared" si="685"/>
        <v>0</v>
      </c>
      <c r="AB413" s="565">
        <f t="shared" si="685"/>
        <v>0</v>
      </c>
      <c r="AC413" s="565">
        <f t="shared" si="685"/>
        <v>0</v>
      </c>
      <c r="AD413" s="565">
        <f t="shared" si="685"/>
        <v>0</v>
      </c>
      <c r="AE413" s="566">
        <f t="shared" si="685"/>
        <v>0</v>
      </c>
      <c r="AF413" s="564">
        <f t="shared" si="685"/>
        <v>0</v>
      </c>
      <c r="AG413" s="565">
        <f t="shared" si="685"/>
        <v>0</v>
      </c>
      <c r="AH413" s="565">
        <f t="shared" si="685"/>
        <v>0</v>
      </c>
      <c r="AI413" s="565">
        <f t="shared" si="685"/>
        <v>0</v>
      </c>
      <c r="AJ413" s="566">
        <f t="shared" si="685"/>
        <v>0</v>
      </c>
      <c r="AK413" s="569"/>
      <c r="AL413" s="569"/>
      <c r="AN413" s="857"/>
      <c r="AO413" s="984" t="str">
        <f t="shared" si="624"/>
        <v>Rev</v>
      </c>
      <c r="AP413" s="985" t="str">
        <f t="shared" si="625"/>
        <v>[Service]</v>
      </c>
      <c r="AQ413" s="986" t="str">
        <f t="shared" si="626"/>
        <v>[Price]</v>
      </c>
      <c r="AR413" s="990" t="str">
        <f t="shared" si="627"/>
        <v>-</v>
      </c>
      <c r="AS413" s="987" t="str">
        <f t="shared" si="628"/>
        <v>-</v>
      </c>
      <c r="AT413" s="987" t="str">
        <f t="shared" si="629"/>
        <v>-</v>
      </c>
      <c r="AU413" s="987" t="str">
        <f t="shared" si="630"/>
        <v>-</v>
      </c>
      <c r="AV413" s="1353" t="str">
        <f t="shared" si="631"/>
        <v>-</v>
      </c>
      <c r="AW413" s="1346" t="str">
        <f t="shared" si="632"/>
        <v>-</v>
      </c>
      <c r="AX413" s="987" t="str">
        <f t="shared" si="633"/>
        <v>-</v>
      </c>
      <c r="AY413" s="987" t="str">
        <f t="shared" si="634"/>
        <v>-</v>
      </c>
      <c r="AZ413" s="987" t="str">
        <f t="shared" si="635"/>
        <v>-</v>
      </c>
      <c r="BA413" s="988" t="str">
        <f t="shared" si="636"/>
        <v>-</v>
      </c>
      <c r="BB413" s="1346" t="str">
        <f t="shared" si="637"/>
        <v>-</v>
      </c>
      <c r="BC413" s="987" t="str">
        <f t="shared" si="638"/>
        <v>-</v>
      </c>
      <c r="BD413" s="987" t="str">
        <f t="shared" si="639"/>
        <v>-</v>
      </c>
      <c r="BE413" s="987" t="str">
        <f t="shared" si="640"/>
        <v>-</v>
      </c>
      <c r="BF413" s="989" t="str">
        <f t="shared" si="641"/>
        <v>-</v>
      </c>
      <c r="BG413" s="951"/>
      <c r="BH413" s="1550" t="str">
        <f t="shared" si="673"/>
        <v>Rev</v>
      </c>
      <c r="BI413" s="1551" t="str">
        <f t="shared" si="673"/>
        <v>[Service]</v>
      </c>
      <c r="BJ413" s="1552" t="str">
        <f t="shared" si="673"/>
        <v>[Price]</v>
      </c>
      <c r="BK413" s="987" t="str">
        <f t="shared" ref="BK413:BU413" si="686">IF(V413="","-",IFERROR((V413/U413-1)*(U413/U$13),"-"))</f>
        <v>-</v>
      </c>
      <c r="BL413" s="987" t="str">
        <f t="shared" si="686"/>
        <v>-</v>
      </c>
      <c r="BM413" s="987" t="str">
        <f t="shared" si="686"/>
        <v>-</v>
      </c>
      <c r="BN413" s="987" t="str">
        <f t="shared" si="686"/>
        <v>-</v>
      </c>
      <c r="BO413" s="1353" t="str">
        <f t="shared" si="686"/>
        <v>-</v>
      </c>
      <c r="BP413" s="1346" t="str">
        <f t="shared" si="686"/>
        <v>-</v>
      </c>
      <c r="BQ413" s="987" t="str">
        <f t="shared" si="686"/>
        <v>-</v>
      </c>
      <c r="BR413" s="987" t="str">
        <f t="shared" si="686"/>
        <v>-</v>
      </c>
      <c r="BS413" s="987" t="str">
        <f t="shared" si="686"/>
        <v>-</v>
      </c>
      <c r="BT413" s="988" t="str">
        <f t="shared" si="686"/>
        <v>-</v>
      </c>
      <c r="BU413" s="987" t="str">
        <f t="shared" si="686"/>
        <v>-</v>
      </c>
      <c r="BV413" s="987" t="str">
        <f>IF(AG413="","-",IFERROR((AG413/AF413-1)*(AF413/AF$13),"-"))</f>
        <v>-</v>
      </c>
      <c r="BW413" s="987" t="str">
        <f>IF(AH413="","-",IFERROR((AH413/AG413-1)*(AG413/AG$13),"-"))</f>
        <v>-</v>
      </c>
      <c r="BX413" s="987" t="str">
        <f>IF(AI413="","-",IFERROR((AI413/AH413-1)*(AH413/AH$13),"-"))</f>
        <v>-</v>
      </c>
      <c r="BY413" s="989" t="str">
        <f>IF(AJ413="","-",IFERROR((AJ413/AI413-1)*(AI413/AI$13),"-"))</f>
        <v>-</v>
      </c>
      <c r="BZ413" s="951"/>
      <c r="CA413" s="984" t="str">
        <f t="shared" si="620"/>
        <v>Rev</v>
      </c>
      <c r="CB413" s="985" t="str">
        <f t="shared" si="621"/>
        <v>[Service]</v>
      </c>
      <c r="CC413" s="985" t="str">
        <f t="shared" si="622"/>
        <v>[Price]</v>
      </c>
      <c r="CD413" s="990" t="str">
        <f t="shared" si="653"/>
        <v>-</v>
      </c>
      <c r="CE413" s="987" t="str">
        <f t="shared" si="646"/>
        <v>-</v>
      </c>
      <c r="CF413" s="987" t="str">
        <f t="shared" si="647"/>
        <v>-</v>
      </c>
      <c r="CG413" s="988" t="str">
        <f t="shared" si="648"/>
        <v>-</v>
      </c>
      <c r="CH413" s="987" t="str">
        <f t="shared" si="654"/>
        <v>-</v>
      </c>
      <c r="CI413" s="987" t="str">
        <f t="shared" si="649"/>
        <v>-</v>
      </c>
      <c r="CJ413" s="987" t="str">
        <f t="shared" si="650"/>
        <v>-</v>
      </c>
      <c r="CK413" s="989" t="str">
        <f t="shared" si="651"/>
        <v>-</v>
      </c>
    </row>
    <row r="414" spans="4:89" outlineLevel="1">
      <c r="D414" s="63">
        <f>D411+1</f>
        <v>116</v>
      </c>
      <c r="E414" s="550" t="s">
        <v>857</v>
      </c>
      <c r="F414" s="595" t="s">
        <v>428</v>
      </c>
      <c r="G414" s="595"/>
      <c r="H414" s="595"/>
      <c r="I414" s="589" t="s">
        <v>920</v>
      </c>
      <c r="J414" s="589" t="s">
        <v>879</v>
      </c>
      <c r="K414" s="551"/>
      <c r="L414" s="552"/>
      <c r="M414" s="552"/>
      <c r="N414" s="551"/>
      <c r="O414" s="552"/>
      <c r="P414" s="552"/>
      <c r="Q414" s="552"/>
      <c r="R414" s="1035"/>
      <c r="S414" s="1138"/>
      <c r="T414" s="591"/>
      <c r="U414" s="1035"/>
      <c r="V414" s="1138"/>
      <c r="W414" s="591"/>
      <c r="X414" s="591"/>
      <c r="Y414" s="591"/>
      <c r="Z414" s="1035"/>
      <c r="AA414" s="1138"/>
      <c r="AB414" s="591"/>
      <c r="AC414" s="591"/>
      <c r="AD414" s="591"/>
      <c r="AE414" s="1035"/>
      <c r="AF414" s="1138"/>
      <c r="AG414" s="591"/>
      <c r="AH414" s="591"/>
      <c r="AI414" s="591"/>
      <c r="AJ414" s="1035"/>
      <c r="AK414" s="569"/>
      <c r="AL414" s="569"/>
      <c r="AM414" s="974"/>
      <c r="AN414" s="857"/>
      <c r="AO414" s="975" t="str">
        <f t="shared" si="624"/>
        <v>Price</v>
      </c>
      <c r="AP414" s="976" t="str">
        <f t="shared" si="625"/>
        <v>[Service]</v>
      </c>
      <c r="AQ414" s="977" t="str">
        <f t="shared" si="626"/>
        <v>[Price]</v>
      </c>
      <c r="AR414" s="1341" t="str">
        <f t="shared" si="627"/>
        <v>-</v>
      </c>
      <c r="AS414" s="978" t="str">
        <f t="shared" si="628"/>
        <v>-</v>
      </c>
      <c r="AT414" s="979" t="str">
        <f t="shared" si="629"/>
        <v>-</v>
      </c>
      <c r="AU414" s="979" t="str">
        <f t="shared" si="630"/>
        <v>-</v>
      </c>
      <c r="AV414" s="1352" t="str">
        <f t="shared" si="631"/>
        <v>-</v>
      </c>
      <c r="AW414" s="1345" t="str">
        <f t="shared" si="632"/>
        <v>-</v>
      </c>
      <c r="AX414" s="979" t="str">
        <f t="shared" si="633"/>
        <v>-</v>
      </c>
      <c r="AY414" s="979" t="str">
        <f t="shared" si="634"/>
        <v>-</v>
      </c>
      <c r="AZ414" s="979" t="str">
        <f t="shared" si="635"/>
        <v>-</v>
      </c>
      <c r="BA414" s="980" t="str">
        <f t="shared" si="636"/>
        <v>-</v>
      </c>
      <c r="BB414" s="1345" t="str">
        <f t="shared" si="637"/>
        <v>-</v>
      </c>
      <c r="BC414" s="979" t="str">
        <f t="shared" si="638"/>
        <v>-</v>
      </c>
      <c r="BD414" s="979" t="str">
        <f t="shared" si="639"/>
        <v>-</v>
      </c>
      <c r="BE414" s="979" t="str">
        <f t="shared" si="640"/>
        <v>-</v>
      </c>
      <c r="BF414" s="981" t="str">
        <f t="shared" si="641"/>
        <v>-</v>
      </c>
      <c r="BG414" s="951"/>
      <c r="BH414" s="1547" t="str">
        <f t="shared" si="673"/>
        <v>Price</v>
      </c>
      <c r="BI414" s="1548" t="str">
        <f t="shared" si="673"/>
        <v>[Service]</v>
      </c>
      <c r="BJ414" s="1549" t="str">
        <f t="shared" si="673"/>
        <v>[Price]</v>
      </c>
      <c r="BK414" s="978" t="str">
        <f t="shared" ref="BK414:BU414" si="687">IF(V414="","-",IFERROR((V414/U414-1)*(U416/U$13),"-"))</f>
        <v>-</v>
      </c>
      <c r="BL414" s="978" t="str">
        <f t="shared" si="687"/>
        <v>-</v>
      </c>
      <c r="BM414" s="979" t="str">
        <f t="shared" si="687"/>
        <v>-</v>
      </c>
      <c r="BN414" s="979" t="str">
        <f t="shared" si="687"/>
        <v>-</v>
      </c>
      <c r="BO414" s="1352" t="str">
        <f t="shared" si="687"/>
        <v>-</v>
      </c>
      <c r="BP414" s="1345" t="str">
        <f t="shared" si="687"/>
        <v>-</v>
      </c>
      <c r="BQ414" s="979" t="str">
        <f t="shared" si="687"/>
        <v>-</v>
      </c>
      <c r="BR414" s="979" t="str">
        <f t="shared" si="687"/>
        <v>-</v>
      </c>
      <c r="BS414" s="979" t="str">
        <f t="shared" si="687"/>
        <v>-</v>
      </c>
      <c r="BT414" s="980" t="str">
        <f t="shared" si="687"/>
        <v>-</v>
      </c>
      <c r="BU414" s="979" t="str">
        <f t="shared" si="687"/>
        <v>-</v>
      </c>
      <c r="BV414" s="979" t="str">
        <f>IF(AG414="","-",IFERROR((AG414/AF414-1)*(AF416/AF$13),"-"))</f>
        <v>-</v>
      </c>
      <c r="BW414" s="979" t="str">
        <f>IF(AH414="","-",IFERROR((AH414/AG414-1)*(AG416/AG$13),"-"))</f>
        <v>-</v>
      </c>
      <c r="BX414" s="979" t="str">
        <f>IF(AI414="","-",IFERROR((AI414/AH414-1)*(AH416/AH$13),"-"))</f>
        <v>-</v>
      </c>
      <c r="BY414" s="981" t="str">
        <f>IF(AJ414="","-",IFERROR((AJ414/AI414-1)*(AI416/AI$13),"-"))</f>
        <v>-</v>
      </c>
      <c r="BZ414" s="951"/>
      <c r="CA414" s="975" t="str">
        <f t="shared" si="620"/>
        <v>Price</v>
      </c>
      <c r="CB414" s="976" t="str">
        <f t="shared" si="621"/>
        <v>[Service]</v>
      </c>
      <c r="CC414" s="982" t="str">
        <f t="shared" si="622"/>
        <v>[Price]</v>
      </c>
      <c r="CD414" s="983" t="str">
        <f t="shared" si="653"/>
        <v>-</v>
      </c>
      <c r="CE414" s="979" t="str">
        <f t="shared" si="646"/>
        <v>-</v>
      </c>
      <c r="CF414" s="979" t="str">
        <f t="shared" si="647"/>
        <v>-</v>
      </c>
      <c r="CG414" s="980" t="str">
        <f t="shared" si="648"/>
        <v>-</v>
      </c>
      <c r="CH414" s="979" t="str">
        <f t="shared" si="654"/>
        <v>-</v>
      </c>
      <c r="CI414" s="979" t="str">
        <f t="shared" si="649"/>
        <v>-</v>
      </c>
      <c r="CJ414" s="979" t="str">
        <f t="shared" si="650"/>
        <v>-</v>
      </c>
      <c r="CK414" s="981" t="str">
        <f t="shared" si="651"/>
        <v>-</v>
      </c>
    </row>
    <row r="415" spans="4:89" outlineLevel="1">
      <c r="E415" s="567" t="s">
        <v>880</v>
      </c>
      <c r="F415" s="554" t="str">
        <f>+F414</f>
        <v>[Service]</v>
      </c>
      <c r="G415" s="555">
        <f>+G414</f>
        <v>0</v>
      </c>
      <c r="H415" s="555">
        <f>+H414</f>
        <v>0</v>
      </c>
      <c r="I415" s="556" t="str">
        <f>+I414</f>
        <v>[Price]</v>
      </c>
      <c r="J415" s="590" t="s">
        <v>916</v>
      </c>
      <c r="K415" s="557"/>
      <c r="L415" s="558"/>
      <c r="M415" s="558"/>
      <c r="N415" s="557"/>
      <c r="O415" s="558"/>
      <c r="P415" s="558"/>
      <c r="Q415" s="558"/>
      <c r="R415" s="1036"/>
      <c r="S415" s="1139"/>
      <c r="T415" s="593"/>
      <c r="U415" s="1036"/>
      <c r="V415" s="1139"/>
      <c r="W415" s="593"/>
      <c r="X415" s="593"/>
      <c r="Y415" s="593"/>
      <c r="Z415" s="1036"/>
      <c r="AA415" s="1139"/>
      <c r="AB415" s="593"/>
      <c r="AC415" s="593"/>
      <c r="AD415" s="593"/>
      <c r="AE415" s="1036"/>
      <c r="AF415" s="1139"/>
      <c r="AG415" s="593"/>
      <c r="AH415" s="593"/>
      <c r="AI415" s="593"/>
      <c r="AJ415" s="1036"/>
      <c r="AK415" s="569"/>
      <c r="AL415" s="569"/>
      <c r="AN415" s="857"/>
      <c r="AO415" s="961" t="str">
        <f t="shared" si="624"/>
        <v>Qty</v>
      </c>
      <c r="AP415" s="962" t="str">
        <f t="shared" si="625"/>
        <v>[Service]</v>
      </c>
      <c r="AQ415" s="963" t="str">
        <f t="shared" si="626"/>
        <v>[Price]</v>
      </c>
      <c r="AR415" s="967" t="str">
        <f t="shared" si="627"/>
        <v>-</v>
      </c>
      <c r="AS415" s="964" t="str">
        <f t="shared" si="628"/>
        <v>-</v>
      </c>
      <c r="AT415" s="964" t="str">
        <f t="shared" si="629"/>
        <v>-</v>
      </c>
      <c r="AU415" s="964" t="str">
        <f t="shared" si="630"/>
        <v>-</v>
      </c>
      <c r="AV415" s="1350" t="str">
        <f t="shared" si="631"/>
        <v>-</v>
      </c>
      <c r="AW415" s="1343" t="str">
        <f t="shared" si="632"/>
        <v>-</v>
      </c>
      <c r="AX415" s="964" t="str">
        <f t="shared" si="633"/>
        <v>-</v>
      </c>
      <c r="AY415" s="964" t="str">
        <f t="shared" si="634"/>
        <v>-</v>
      </c>
      <c r="AZ415" s="964" t="str">
        <f t="shared" si="635"/>
        <v>-</v>
      </c>
      <c r="BA415" s="965" t="str">
        <f t="shared" si="636"/>
        <v>-</v>
      </c>
      <c r="BB415" s="1343" t="str">
        <f t="shared" si="637"/>
        <v>-</v>
      </c>
      <c r="BC415" s="964" t="str">
        <f t="shared" si="638"/>
        <v>-</v>
      </c>
      <c r="BD415" s="964" t="str">
        <f t="shared" si="639"/>
        <v>-</v>
      </c>
      <c r="BE415" s="964" t="str">
        <f t="shared" si="640"/>
        <v>-</v>
      </c>
      <c r="BF415" s="966" t="str">
        <f t="shared" si="641"/>
        <v>-</v>
      </c>
      <c r="BG415" s="951"/>
      <c r="BH415" s="1541" t="str">
        <f t="shared" si="673"/>
        <v>Qty</v>
      </c>
      <c r="BI415" s="1542" t="str">
        <f t="shared" si="673"/>
        <v>[Service]</v>
      </c>
      <c r="BJ415" s="1543" t="str">
        <f t="shared" si="673"/>
        <v>[Price]</v>
      </c>
      <c r="BK415" s="964" t="str">
        <f t="shared" ref="BK415:BU415" si="688">IF(V415="","-",IFERROR((V415/U415-1)*(U416/U$13),"-"))</f>
        <v>-</v>
      </c>
      <c r="BL415" s="964" t="str">
        <f t="shared" si="688"/>
        <v>-</v>
      </c>
      <c r="BM415" s="964" t="str">
        <f t="shared" si="688"/>
        <v>-</v>
      </c>
      <c r="BN415" s="964" t="str">
        <f t="shared" si="688"/>
        <v>-</v>
      </c>
      <c r="BO415" s="1350" t="str">
        <f t="shared" si="688"/>
        <v>-</v>
      </c>
      <c r="BP415" s="1343" t="str">
        <f t="shared" si="688"/>
        <v>-</v>
      </c>
      <c r="BQ415" s="964" t="str">
        <f t="shared" si="688"/>
        <v>-</v>
      </c>
      <c r="BR415" s="964" t="str">
        <f t="shared" si="688"/>
        <v>-</v>
      </c>
      <c r="BS415" s="964" t="str">
        <f t="shared" si="688"/>
        <v>-</v>
      </c>
      <c r="BT415" s="965" t="str">
        <f t="shared" si="688"/>
        <v>-</v>
      </c>
      <c r="BU415" s="964" t="str">
        <f t="shared" si="688"/>
        <v>-</v>
      </c>
      <c r="BV415" s="964" t="str">
        <f>IF(AG415="","-",IFERROR((AG415/AF415-1)*(AF416/AF$13),"-"))</f>
        <v>-</v>
      </c>
      <c r="BW415" s="964" t="str">
        <f>IF(AH415="","-",IFERROR((AH415/AG415-1)*(AG416/AG$13),"-"))</f>
        <v>-</v>
      </c>
      <c r="BX415" s="964" t="str">
        <f>IF(AI415="","-",IFERROR((AI415/AH415-1)*(AH416/AH$13),"-"))</f>
        <v>-</v>
      </c>
      <c r="BY415" s="966" t="str">
        <f>IF(AJ415="","-",IFERROR((AJ415/AI415-1)*(AI416/AI$13),"-"))</f>
        <v>-</v>
      </c>
      <c r="BZ415" s="951"/>
      <c r="CA415" s="961" t="str">
        <f t="shared" si="620"/>
        <v>Qty</v>
      </c>
      <c r="CB415" s="962" t="str">
        <f t="shared" si="621"/>
        <v>[Service]</v>
      </c>
      <c r="CC415" s="962" t="str">
        <f t="shared" si="622"/>
        <v>[Price]</v>
      </c>
      <c r="CD415" s="967" t="str">
        <f t="shared" si="653"/>
        <v>-</v>
      </c>
      <c r="CE415" s="964" t="str">
        <f t="shared" si="646"/>
        <v>-</v>
      </c>
      <c r="CF415" s="964" t="str">
        <f t="shared" si="647"/>
        <v>-</v>
      </c>
      <c r="CG415" s="965" t="str">
        <f t="shared" si="648"/>
        <v>-</v>
      </c>
      <c r="CH415" s="964" t="str">
        <f t="shared" si="654"/>
        <v>-</v>
      </c>
      <c r="CI415" s="964" t="str">
        <f t="shared" si="649"/>
        <v>-</v>
      </c>
      <c r="CJ415" s="964" t="str">
        <f t="shared" si="650"/>
        <v>-</v>
      </c>
      <c r="CK415" s="966" t="str">
        <f t="shared" si="651"/>
        <v>-</v>
      </c>
    </row>
    <row r="416" spans="4:89" ht="12.75" outlineLevel="1" thickBot="1">
      <c r="E416" s="568" t="s">
        <v>882</v>
      </c>
      <c r="F416" s="560" t="str">
        <f>+F414</f>
        <v>[Service]</v>
      </c>
      <c r="G416" s="561">
        <f>+G414</f>
        <v>0</v>
      </c>
      <c r="H416" s="561">
        <f>+H414</f>
        <v>0</v>
      </c>
      <c r="I416" s="562" t="str">
        <f>+I414</f>
        <v>[Price]</v>
      </c>
      <c r="J416" s="563" t="s">
        <v>883</v>
      </c>
      <c r="K416" s="564">
        <f t="shared" ref="K416:AJ416" si="689">K414*K415/10^6</f>
        <v>0</v>
      </c>
      <c r="L416" s="565">
        <f t="shared" si="689"/>
        <v>0</v>
      </c>
      <c r="M416" s="565">
        <f t="shared" si="689"/>
        <v>0</v>
      </c>
      <c r="N416" s="564">
        <f t="shared" si="689"/>
        <v>0</v>
      </c>
      <c r="O416" s="565">
        <f t="shared" si="689"/>
        <v>0</v>
      </c>
      <c r="P416" s="565">
        <f t="shared" si="689"/>
        <v>0</v>
      </c>
      <c r="Q416" s="565">
        <f t="shared" si="689"/>
        <v>0</v>
      </c>
      <c r="R416" s="566">
        <f t="shared" si="689"/>
        <v>0</v>
      </c>
      <c r="S416" s="564">
        <f t="shared" si="689"/>
        <v>0</v>
      </c>
      <c r="T416" s="565">
        <f t="shared" si="689"/>
        <v>0</v>
      </c>
      <c r="U416" s="566">
        <f t="shared" si="689"/>
        <v>0</v>
      </c>
      <c r="V416" s="564">
        <f t="shared" si="689"/>
        <v>0</v>
      </c>
      <c r="W416" s="565">
        <f t="shared" si="689"/>
        <v>0</v>
      </c>
      <c r="X416" s="565">
        <f t="shared" si="689"/>
        <v>0</v>
      </c>
      <c r="Y416" s="565">
        <f t="shared" si="689"/>
        <v>0</v>
      </c>
      <c r="Z416" s="566">
        <f t="shared" si="689"/>
        <v>0</v>
      </c>
      <c r="AA416" s="564">
        <f t="shared" si="689"/>
        <v>0</v>
      </c>
      <c r="AB416" s="565">
        <f t="shared" si="689"/>
        <v>0</v>
      </c>
      <c r="AC416" s="565">
        <f t="shared" si="689"/>
        <v>0</v>
      </c>
      <c r="AD416" s="565">
        <f t="shared" si="689"/>
        <v>0</v>
      </c>
      <c r="AE416" s="566">
        <f t="shared" si="689"/>
        <v>0</v>
      </c>
      <c r="AF416" s="564">
        <f t="shared" si="689"/>
        <v>0</v>
      </c>
      <c r="AG416" s="565">
        <f t="shared" si="689"/>
        <v>0</v>
      </c>
      <c r="AH416" s="565">
        <f t="shared" si="689"/>
        <v>0</v>
      </c>
      <c r="AI416" s="565">
        <f t="shared" si="689"/>
        <v>0</v>
      </c>
      <c r="AJ416" s="566">
        <f t="shared" si="689"/>
        <v>0</v>
      </c>
      <c r="AK416" s="569"/>
      <c r="AL416" s="569"/>
      <c r="AN416" s="857"/>
      <c r="AO416" s="984" t="str">
        <f t="shared" si="624"/>
        <v>Rev</v>
      </c>
      <c r="AP416" s="985" t="str">
        <f t="shared" si="625"/>
        <v>[Service]</v>
      </c>
      <c r="AQ416" s="986" t="str">
        <f t="shared" si="626"/>
        <v>[Price]</v>
      </c>
      <c r="AR416" s="990" t="str">
        <f t="shared" si="627"/>
        <v>-</v>
      </c>
      <c r="AS416" s="987" t="str">
        <f t="shared" si="628"/>
        <v>-</v>
      </c>
      <c r="AT416" s="987" t="str">
        <f t="shared" si="629"/>
        <v>-</v>
      </c>
      <c r="AU416" s="987" t="str">
        <f t="shared" si="630"/>
        <v>-</v>
      </c>
      <c r="AV416" s="1353" t="str">
        <f t="shared" si="631"/>
        <v>-</v>
      </c>
      <c r="AW416" s="1346" t="str">
        <f t="shared" si="632"/>
        <v>-</v>
      </c>
      <c r="AX416" s="987" t="str">
        <f t="shared" si="633"/>
        <v>-</v>
      </c>
      <c r="AY416" s="987" t="str">
        <f t="shared" si="634"/>
        <v>-</v>
      </c>
      <c r="AZ416" s="987" t="str">
        <f t="shared" si="635"/>
        <v>-</v>
      </c>
      <c r="BA416" s="988" t="str">
        <f t="shared" si="636"/>
        <v>-</v>
      </c>
      <c r="BB416" s="1346" t="str">
        <f t="shared" si="637"/>
        <v>-</v>
      </c>
      <c r="BC416" s="987" t="str">
        <f t="shared" si="638"/>
        <v>-</v>
      </c>
      <c r="BD416" s="987" t="str">
        <f t="shared" si="639"/>
        <v>-</v>
      </c>
      <c r="BE416" s="987" t="str">
        <f t="shared" si="640"/>
        <v>-</v>
      </c>
      <c r="BF416" s="989" t="str">
        <f t="shared" si="641"/>
        <v>-</v>
      </c>
      <c r="BG416" s="951"/>
      <c r="BH416" s="1550" t="str">
        <f t="shared" si="673"/>
        <v>Rev</v>
      </c>
      <c r="BI416" s="1551" t="str">
        <f t="shared" si="673"/>
        <v>[Service]</v>
      </c>
      <c r="BJ416" s="1552" t="str">
        <f t="shared" si="673"/>
        <v>[Price]</v>
      </c>
      <c r="BK416" s="987" t="str">
        <f t="shared" ref="BK416:BU416" si="690">IF(V416="","-",IFERROR((V416/U416-1)*(U416/U$13),"-"))</f>
        <v>-</v>
      </c>
      <c r="BL416" s="987" t="str">
        <f t="shared" si="690"/>
        <v>-</v>
      </c>
      <c r="BM416" s="987" t="str">
        <f t="shared" si="690"/>
        <v>-</v>
      </c>
      <c r="BN416" s="987" t="str">
        <f t="shared" si="690"/>
        <v>-</v>
      </c>
      <c r="BO416" s="1353" t="str">
        <f t="shared" si="690"/>
        <v>-</v>
      </c>
      <c r="BP416" s="1346" t="str">
        <f t="shared" si="690"/>
        <v>-</v>
      </c>
      <c r="BQ416" s="987" t="str">
        <f t="shared" si="690"/>
        <v>-</v>
      </c>
      <c r="BR416" s="987" t="str">
        <f t="shared" si="690"/>
        <v>-</v>
      </c>
      <c r="BS416" s="987" t="str">
        <f t="shared" si="690"/>
        <v>-</v>
      </c>
      <c r="BT416" s="988" t="str">
        <f t="shared" si="690"/>
        <v>-</v>
      </c>
      <c r="BU416" s="987" t="str">
        <f t="shared" si="690"/>
        <v>-</v>
      </c>
      <c r="BV416" s="987" t="str">
        <f>IF(AG416="","-",IFERROR((AG416/AF416-1)*(AF416/AF$13),"-"))</f>
        <v>-</v>
      </c>
      <c r="BW416" s="987" t="str">
        <f>IF(AH416="","-",IFERROR((AH416/AG416-1)*(AG416/AG$13),"-"))</f>
        <v>-</v>
      </c>
      <c r="BX416" s="987" t="str">
        <f>IF(AI416="","-",IFERROR((AI416/AH416-1)*(AH416/AH$13),"-"))</f>
        <v>-</v>
      </c>
      <c r="BY416" s="989" t="str">
        <f>IF(AJ416="","-",IFERROR((AJ416/AI416-1)*(AI416/AI$13),"-"))</f>
        <v>-</v>
      </c>
      <c r="BZ416" s="951"/>
      <c r="CA416" s="984" t="str">
        <f t="shared" si="620"/>
        <v>Rev</v>
      </c>
      <c r="CB416" s="985" t="str">
        <f t="shared" si="621"/>
        <v>[Service]</v>
      </c>
      <c r="CC416" s="985" t="str">
        <f t="shared" si="622"/>
        <v>[Price]</v>
      </c>
      <c r="CD416" s="990" t="str">
        <f t="shared" si="653"/>
        <v>-</v>
      </c>
      <c r="CE416" s="987" t="str">
        <f t="shared" si="646"/>
        <v>-</v>
      </c>
      <c r="CF416" s="987" t="str">
        <f t="shared" si="647"/>
        <v>-</v>
      </c>
      <c r="CG416" s="988" t="str">
        <f t="shared" si="648"/>
        <v>-</v>
      </c>
      <c r="CH416" s="987" t="str">
        <f t="shared" si="654"/>
        <v>-</v>
      </c>
      <c r="CI416" s="987" t="str">
        <f t="shared" si="649"/>
        <v>-</v>
      </c>
      <c r="CJ416" s="987" t="str">
        <f t="shared" si="650"/>
        <v>-</v>
      </c>
      <c r="CK416" s="989" t="str">
        <f t="shared" si="651"/>
        <v>-</v>
      </c>
    </row>
    <row r="417" spans="4:89" outlineLevel="1">
      <c r="D417" s="63">
        <f>D414+1</f>
        <v>117</v>
      </c>
      <c r="E417" s="550" t="s">
        <v>857</v>
      </c>
      <c r="F417" s="595" t="s">
        <v>428</v>
      </c>
      <c r="G417" s="595"/>
      <c r="H417" s="595"/>
      <c r="I417" s="589" t="s">
        <v>920</v>
      </c>
      <c r="J417" s="589" t="s">
        <v>879</v>
      </c>
      <c r="K417" s="551"/>
      <c r="L417" s="552"/>
      <c r="M417" s="552"/>
      <c r="N417" s="551"/>
      <c r="O417" s="552"/>
      <c r="P417" s="552"/>
      <c r="Q417" s="552"/>
      <c r="R417" s="1035"/>
      <c r="S417" s="1138"/>
      <c r="T417" s="591"/>
      <c r="U417" s="1035"/>
      <c r="V417" s="1138"/>
      <c r="W417" s="591"/>
      <c r="X417" s="591"/>
      <c r="Y417" s="591"/>
      <c r="Z417" s="1035"/>
      <c r="AA417" s="1138"/>
      <c r="AB417" s="591"/>
      <c r="AC417" s="591"/>
      <c r="AD417" s="591"/>
      <c r="AE417" s="1035"/>
      <c r="AF417" s="1138"/>
      <c r="AG417" s="591"/>
      <c r="AH417" s="591"/>
      <c r="AI417" s="591"/>
      <c r="AJ417" s="1035"/>
      <c r="AK417" s="569"/>
      <c r="AL417" s="569"/>
      <c r="AM417" s="974"/>
      <c r="AN417" s="857"/>
      <c r="AO417" s="975" t="str">
        <f t="shared" si="624"/>
        <v>Price</v>
      </c>
      <c r="AP417" s="976" t="str">
        <f t="shared" si="625"/>
        <v>[Service]</v>
      </c>
      <c r="AQ417" s="977" t="str">
        <f t="shared" si="626"/>
        <v>[Price]</v>
      </c>
      <c r="AR417" s="1341" t="str">
        <f t="shared" si="627"/>
        <v>-</v>
      </c>
      <c r="AS417" s="978" t="str">
        <f t="shared" si="628"/>
        <v>-</v>
      </c>
      <c r="AT417" s="979" t="str">
        <f t="shared" si="629"/>
        <v>-</v>
      </c>
      <c r="AU417" s="979" t="str">
        <f t="shared" si="630"/>
        <v>-</v>
      </c>
      <c r="AV417" s="1352" t="str">
        <f t="shared" si="631"/>
        <v>-</v>
      </c>
      <c r="AW417" s="1345" t="str">
        <f t="shared" si="632"/>
        <v>-</v>
      </c>
      <c r="AX417" s="979" t="str">
        <f t="shared" si="633"/>
        <v>-</v>
      </c>
      <c r="AY417" s="979" t="str">
        <f t="shared" si="634"/>
        <v>-</v>
      </c>
      <c r="AZ417" s="979" t="str">
        <f t="shared" si="635"/>
        <v>-</v>
      </c>
      <c r="BA417" s="980" t="str">
        <f t="shared" si="636"/>
        <v>-</v>
      </c>
      <c r="BB417" s="1345" t="str">
        <f t="shared" si="637"/>
        <v>-</v>
      </c>
      <c r="BC417" s="979" t="str">
        <f t="shared" si="638"/>
        <v>-</v>
      </c>
      <c r="BD417" s="979" t="str">
        <f t="shared" si="639"/>
        <v>-</v>
      </c>
      <c r="BE417" s="979" t="str">
        <f t="shared" si="640"/>
        <v>-</v>
      </c>
      <c r="BF417" s="981" t="str">
        <f t="shared" si="641"/>
        <v>-</v>
      </c>
      <c r="BG417" s="951"/>
      <c r="BH417" s="1547" t="str">
        <f t="shared" si="673"/>
        <v>Price</v>
      </c>
      <c r="BI417" s="1548" t="str">
        <f t="shared" si="673"/>
        <v>[Service]</v>
      </c>
      <c r="BJ417" s="1549" t="str">
        <f t="shared" si="673"/>
        <v>[Price]</v>
      </c>
      <c r="BK417" s="978" t="str">
        <f t="shared" ref="BK417:BU417" si="691">IF(V417="","-",IFERROR((V417/U417-1)*(U419/U$13),"-"))</f>
        <v>-</v>
      </c>
      <c r="BL417" s="978" t="str">
        <f t="shared" si="691"/>
        <v>-</v>
      </c>
      <c r="BM417" s="979" t="str">
        <f t="shared" si="691"/>
        <v>-</v>
      </c>
      <c r="BN417" s="979" t="str">
        <f t="shared" si="691"/>
        <v>-</v>
      </c>
      <c r="BO417" s="1352" t="str">
        <f t="shared" si="691"/>
        <v>-</v>
      </c>
      <c r="BP417" s="1345" t="str">
        <f t="shared" si="691"/>
        <v>-</v>
      </c>
      <c r="BQ417" s="979" t="str">
        <f t="shared" si="691"/>
        <v>-</v>
      </c>
      <c r="BR417" s="979" t="str">
        <f t="shared" si="691"/>
        <v>-</v>
      </c>
      <c r="BS417" s="979" t="str">
        <f t="shared" si="691"/>
        <v>-</v>
      </c>
      <c r="BT417" s="980" t="str">
        <f t="shared" si="691"/>
        <v>-</v>
      </c>
      <c r="BU417" s="979" t="str">
        <f t="shared" si="691"/>
        <v>-</v>
      </c>
      <c r="BV417" s="979" t="str">
        <f>IF(AG417="","-",IFERROR((AG417/AF417-1)*(AF419/AF$13),"-"))</f>
        <v>-</v>
      </c>
      <c r="BW417" s="979" t="str">
        <f>IF(AH417="","-",IFERROR((AH417/AG417-1)*(AG419/AG$13),"-"))</f>
        <v>-</v>
      </c>
      <c r="BX417" s="979" t="str">
        <f>IF(AI417="","-",IFERROR((AI417/AH417-1)*(AH419/AH$13),"-"))</f>
        <v>-</v>
      </c>
      <c r="BY417" s="981" t="str">
        <f>IF(AJ417="","-",IFERROR((AJ417/AI417-1)*(AI419/AI$13),"-"))</f>
        <v>-</v>
      </c>
      <c r="BZ417" s="951"/>
      <c r="CA417" s="975" t="str">
        <f t="shared" si="620"/>
        <v>Price</v>
      </c>
      <c r="CB417" s="976" t="str">
        <f t="shared" si="621"/>
        <v>[Service]</v>
      </c>
      <c r="CC417" s="982" t="str">
        <f t="shared" si="622"/>
        <v>[Price]</v>
      </c>
      <c r="CD417" s="983" t="str">
        <f t="shared" si="653"/>
        <v>-</v>
      </c>
      <c r="CE417" s="979" t="str">
        <f t="shared" si="646"/>
        <v>-</v>
      </c>
      <c r="CF417" s="979" t="str">
        <f t="shared" si="647"/>
        <v>-</v>
      </c>
      <c r="CG417" s="980" t="str">
        <f t="shared" si="648"/>
        <v>-</v>
      </c>
      <c r="CH417" s="979" t="str">
        <f t="shared" si="654"/>
        <v>-</v>
      </c>
      <c r="CI417" s="979" t="str">
        <f t="shared" si="649"/>
        <v>-</v>
      </c>
      <c r="CJ417" s="979" t="str">
        <f t="shared" si="650"/>
        <v>-</v>
      </c>
      <c r="CK417" s="981" t="str">
        <f t="shared" si="651"/>
        <v>-</v>
      </c>
    </row>
    <row r="418" spans="4:89" outlineLevel="1">
      <c r="E418" s="567" t="s">
        <v>880</v>
      </c>
      <c r="F418" s="554" t="str">
        <f>+F417</f>
        <v>[Service]</v>
      </c>
      <c r="G418" s="555">
        <f>+G417</f>
        <v>0</v>
      </c>
      <c r="H418" s="555">
        <f>+H417</f>
        <v>0</v>
      </c>
      <c r="I418" s="556" t="str">
        <f>+I417</f>
        <v>[Price]</v>
      </c>
      <c r="J418" s="590" t="s">
        <v>916</v>
      </c>
      <c r="K418" s="557"/>
      <c r="L418" s="558"/>
      <c r="M418" s="558"/>
      <c r="N418" s="557"/>
      <c r="O418" s="558"/>
      <c r="P418" s="558"/>
      <c r="Q418" s="558"/>
      <c r="R418" s="1036"/>
      <c r="S418" s="1139"/>
      <c r="T418" s="593"/>
      <c r="U418" s="1036"/>
      <c r="V418" s="1139"/>
      <c r="W418" s="593"/>
      <c r="X418" s="593"/>
      <c r="Y418" s="593"/>
      <c r="Z418" s="1036"/>
      <c r="AA418" s="1139"/>
      <c r="AB418" s="593"/>
      <c r="AC418" s="593"/>
      <c r="AD418" s="593"/>
      <c r="AE418" s="1036"/>
      <c r="AF418" s="1139"/>
      <c r="AG418" s="593"/>
      <c r="AH418" s="593"/>
      <c r="AI418" s="593"/>
      <c r="AJ418" s="1036"/>
      <c r="AK418" s="569"/>
      <c r="AL418" s="569"/>
      <c r="AN418" s="857"/>
      <c r="AO418" s="961" t="str">
        <f t="shared" si="624"/>
        <v>Qty</v>
      </c>
      <c r="AP418" s="962" t="str">
        <f t="shared" si="625"/>
        <v>[Service]</v>
      </c>
      <c r="AQ418" s="963" t="str">
        <f t="shared" si="626"/>
        <v>[Price]</v>
      </c>
      <c r="AR418" s="967" t="str">
        <f t="shared" si="627"/>
        <v>-</v>
      </c>
      <c r="AS418" s="964" t="str">
        <f t="shared" si="628"/>
        <v>-</v>
      </c>
      <c r="AT418" s="964" t="str">
        <f t="shared" si="629"/>
        <v>-</v>
      </c>
      <c r="AU418" s="964" t="str">
        <f t="shared" si="630"/>
        <v>-</v>
      </c>
      <c r="AV418" s="1350" t="str">
        <f t="shared" si="631"/>
        <v>-</v>
      </c>
      <c r="AW418" s="1343" t="str">
        <f t="shared" si="632"/>
        <v>-</v>
      </c>
      <c r="AX418" s="964" t="str">
        <f t="shared" si="633"/>
        <v>-</v>
      </c>
      <c r="AY418" s="964" t="str">
        <f t="shared" si="634"/>
        <v>-</v>
      </c>
      <c r="AZ418" s="964" t="str">
        <f t="shared" si="635"/>
        <v>-</v>
      </c>
      <c r="BA418" s="965" t="str">
        <f t="shared" si="636"/>
        <v>-</v>
      </c>
      <c r="BB418" s="1343" t="str">
        <f t="shared" si="637"/>
        <v>-</v>
      </c>
      <c r="BC418" s="964" t="str">
        <f t="shared" si="638"/>
        <v>-</v>
      </c>
      <c r="BD418" s="964" t="str">
        <f t="shared" si="639"/>
        <v>-</v>
      </c>
      <c r="BE418" s="964" t="str">
        <f t="shared" si="640"/>
        <v>-</v>
      </c>
      <c r="BF418" s="966" t="str">
        <f t="shared" si="641"/>
        <v>-</v>
      </c>
      <c r="BG418" s="951"/>
      <c r="BH418" s="1541" t="str">
        <f t="shared" si="673"/>
        <v>Qty</v>
      </c>
      <c r="BI418" s="1542" t="str">
        <f t="shared" si="673"/>
        <v>[Service]</v>
      </c>
      <c r="BJ418" s="1543" t="str">
        <f t="shared" si="673"/>
        <v>[Price]</v>
      </c>
      <c r="BK418" s="964" t="str">
        <f t="shared" ref="BK418:BU418" si="692">IF(V418="","-",IFERROR((V418/U418-1)*(U419/U$13),"-"))</f>
        <v>-</v>
      </c>
      <c r="BL418" s="964" t="str">
        <f t="shared" si="692"/>
        <v>-</v>
      </c>
      <c r="BM418" s="964" t="str">
        <f t="shared" si="692"/>
        <v>-</v>
      </c>
      <c r="BN418" s="964" t="str">
        <f t="shared" si="692"/>
        <v>-</v>
      </c>
      <c r="BO418" s="1350" t="str">
        <f t="shared" si="692"/>
        <v>-</v>
      </c>
      <c r="BP418" s="1343" t="str">
        <f t="shared" si="692"/>
        <v>-</v>
      </c>
      <c r="BQ418" s="964" t="str">
        <f t="shared" si="692"/>
        <v>-</v>
      </c>
      <c r="BR418" s="964" t="str">
        <f t="shared" si="692"/>
        <v>-</v>
      </c>
      <c r="BS418" s="964" t="str">
        <f t="shared" si="692"/>
        <v>-</v>
      </c>
      <c r="BT418" s="965" t="str">
        <f t="shared" si="692"/>
        <v>-</v>
      </c>
      <c r="BU418" s="964" t="str">
        <f t="shared" si="692"/>
        <v>-</v>
      </c>
      <c r="BV418" s="964" t="str">
        <f>IF(AG418="","-",IFERROR((AG418/AF418-1)*(AF419/AF$13),"-"))</f>
        <v>-</v>
      </c>
      <c r="BW418" s="964" t="str">
        <f>IF(AH418="","-",IFERROR((AH418/AG418-1)*(AG419/AG$13),"-"))</f>
        <v>-</v>
      </c>
      <c r="BX418" s="964" t="str">
        <f>IF(AI418="","-",IFERROR((AI418/AH418-1)*(AH419/AH$13),"-"))</f>
        <v>-</v>
      </c>
      <c r="BY418" s="966" t="str">
        <f>IF(AJ418="","-",IFERROR((AJ418/AI418-1)*(AI419/AI$13),"-"))</f>
        <v>-</v>
      </c>
      <c r="BZ418" s="951"/>
      <c r="CA418" s="961" t="str">
        <f t="shared" si="620"/>
        <v>Qty</v>
      </c>
      <c r="CB418" s="962" t="str">
        <f t="shared" si="621"/>
        <v>[Service]</v>
      </c>
      <c r="CC418" s="962" t="str">
        <f t="shared" si="622"/>
        <v>[Price]</v>
      </c>
      <c r="CD418" s="967" t="str">
        <f t="shared" si="653"/>
        <v>-</v>
      </c>
      <c r="CE418" s="964" t="str">
        <f t="shared" si="646"/>
        <v>-</v>
      </c>
      <c r="CF418" s="964" t="str">
        <f t="shared" si="647"/>
        <v>-</v>
      </c>
      <c r="CG418" s="965" t="str">
        <f t="shared" si="648"/>
        <v>-</v>
      </c>
      <c r="CH418" s="964" t="str">
        <f t="shared" si="654"/>
        <v>-</v>
      </c>
      <c r="CI418" s="964" t="str">
        <f t="shared" si="649"/>
        <v>-</v>
      </c>
      <c r="CJ418" s="964" t="str">
        <f t="shared" si="650"/>
        <v>-</v>
      </c>
      <c r="CK418" s="966" t="str">
        <f t="shared" si="651"/>
        <v>-</v>
      </c>
    </row>
    <row r="419" spans="4:89" ht="12.75" outlineLevel="1" thickBot="1">
      <c r="E419" s="568" t="s">
        <v>882</v>
      </c>
      <c r="F419" s="560" t="str">
        <f>+F417</f>
        <v>[Service]</v>
      </c>
      <c r="G419" s="561">
        <f>+G417</f>
        <v>0</v>
      </c>
      <c r="H419" s="561">
        <f>+H417</f>
        <v>0</v>
      </c>
      <c r="I419" s="562" t="str">
        <f>+I417</f>
        <v>[Price]</v>
      </c>
      <c r="J419" s="563" t="s">
        <v>883</v>
      </c>
      <c r="K419" s="564">
        <f t="shared" ref="K419:AJ419" si="693">K417*K418/10^6</f>
        <v>0</v>
      </c>
      <c r="L419" s="565">
        <f t="shared" si="693"/>
        <v>0</v>
      </c>
      <c r="M419" s="565">
        <f t="shared" si="693"/>
        <v>0</v>
      </c>
      <c r="N419" s="564">
        <f t="shared" si="693"/>
        <v>0</v>
      </c>
      <c r="O419" s="565">
        <f t="shared" si="693"/>
        <v>0</v>
      </c>
      <c r="P419" s="565">
        <f t="shared" si="693"/>
        <v>0</v>
      </c>
      <c r="Q419" s="565">
        <f t="shared" si="693"/>
        <v>0</v>
      </c>
      <c r="R419" s="566">
        <f t="shared" si="693"/>
        <v>0</v>
      </c>
      <c r="S419" s="564">
        <f t="shared" si="693"/>
        <v>0</v>
      </c>
      <c r="T419" s="565">
        <f t="shared" si="693"/>
        <v>0</v>
      </c>
      <c r="U419" s="566">
        <f t="shared" si="693"/>
        <v>0</v>
      </c>
      <c r="V419" s="564">
        <f t="shared" si="693"/>
        <v>0</v>
      </c>
      <c r="W419" s="565">
        <f t="shared" si="693"/>
        <v>0</v>
      </c>
      <c r="X419" s="565">
        <f t="shared" si="693"/>
        <v>0</v>
      </c>
      <c r="Y419" s="565">
        <f t="shared" si="693"/>
        <v>0</v>
      </c>
      <c r="Z419" s="566">
        <f t="shared" si="693"/>
        <v>0</v>
      </c>
      <c r="AA419" s="564">
        <f t="shared" si="693"/>
        <v>0</v>
      </c>
      <c r="AB419" s="565">
        <f t="shared" si="693"/>
        <v>0</v>
      </c>
      <c r="AC419" s="565">
        <f t="shared" si="693"/>
        <v>0</v>
      </c>
      <c r="AD419" s="565">
        <f t="shared" si="693"/>
        <v>0</v>
      </c>
      <c r="AE419" s="566">
        <f t="shared" si="693"/>
        <v>0</v>
      </c>
      <c r="AF419" s="564">
        <f t="shared" si="693"/>
        <v>0</v>
      </c>
      <c r="AG419" s="565">
        <f t="shared" si="693"/>
        <v>0</v>
      </c>
      <c r="AH419" s="565">
        <f t="shared" si="693"/>
        <v>0</v>
      </c>
      <c r="AI419" s="565">
        <f t="shared" si="693"/>
        <v>0</v>
      </c>
      <c r="AJ419" s="566">
        <f t="shared" si="693"/>
        <v>0</v>
      </c>
      <c r="AK419" s="569"/>
      <c r="AL419" s="569"/>
      <c r="AN419" s="857"/>
      <c r="AO419" s="984" t="str">
        <f t="shared" si="624"/>
        <v>Rev</v>
      </c>
      <c r="AP419" s="985" t="str">
        <f t="shared" si="625"/>
        <v>[Service]</v>
      </c>
      <c r="AQ419" s="986" t="str">
        <f t="shared" si="626"/>
        <v>[Price]</v>
      </c>
      <c r="AR419" s="990" t="str">
        <f t="shared" si="627"/>
        <v>-</v>
      </c>
      <c r="AS419" s="987" t="str">
        <f t="shared" si="628"/>
        <v>-</v>
      </c>
      <c r="AT419" s="987" t="str">
        <f t="shared" si="629"/>
        <v>-</v>
      </c>
      <c r="AU419" s="987" t="str">
        <f t="shared" si="630"/>
        <v>-</v>
      </c>
      <c r="AV419" s="1353" t="str">
        <f t="shared" si="631"/>
        <v>-</v>
      </c>
      <c r="AW419" s="1346" t="str">
        <f t="shared" si="632"/>
        <v>-</v>
      </c>
      <c r="AX419" s="987" t="str">
        <f t="shared" si="633"/>
        <v>-</v>
      </c>
      <c r="AY419" s="987" t="str">
        <f t="shared" si="634"/>
        <v>-</v>
      </c>
      <c r="AZ419" s="987" t="str">
        <f t="shared" si="635"/>
        <v>-</v>
      </c>
      <c r="BA419" s="988" t="str">
        <f t="shared" si="636"/>
        <v>-</v>
      </c>
      <c r="BB419" s="1346" t="str">
        <f t="shared" si="637"/>
        <v>-</v>
      </c>
      <c r="BC419" s="987" t="str">
        <f t="shared" si="638"/>
        <v>-</v>
      </c>
      <c r="BD419" s="987" t="str">
        <f t="shared" si="639"/>
        <v>-</v>
      </c>
      <c r="BE419" s="987" t="str">
        <f t="shared" si="640"/>
        <v>-</v>
      </c>
      <c r="BF419" s="989" t="str">
        <f t="shared" si="641"/>
        <v>-</v>
      </c>
      <c r="BG419" s="951"/>
      <c r="BH419" s="1550" t="str">
        <f t="shared" si="673"/>
        <v>Rev</v>
      </c>
      <c r="BI419" s="1551" t="str">
        <f t="shared" si="673"/>
        <v>[Service]</v>
      </c>
      <c r="BJ419" s="1552" t="str">
        <f t="shared" si="673"/>
        <v>[Price]</v>
      </c>
      <c r="BK419" s="987" t="str">
        <f t="shared" ref="BK419:BU419" si="694">IF(V419="","-",IFERROR((V419/U419-1)*(U419/U$13),"-"))</f>
        <v>-</v>
      </c>
      <c r="BL419" s="987" t="str">
        <f t="shared" si="694"/>
        <v>-</v>
      </c>
      <c r="BM419" s="987" t="str">
        <f t="shared" si="694"/>
        <v>-</v>
      </c>
      <c r="BN419" s="987" t="str">
        <f t="shared" si="694"/>
        <v>-</v>
      </c>
      <c r="BO419" s="1353" t="str">
        <f t="shared" si="694"/>
        <v>-</v>
      </c>
      <c r="BP419" s="1346" t="str">
        <f t="shared" si="694"/>
        <v>-</v>
      </c>
      <c r="BQ419" s="987" t="str">
        <f t="shared" si="694"/>
        <v>-</v>
      </c>
      <c r="BR419" s="987" t="str">
        <f t="shared" si="694"/>
        <v>-</v>
      </c>
      <c r="BS419" s="987" t="str">
        <f t="shared" si="694"/>
        <v>-</v>
      </c>
      <c r="BT419" s="988" t="str">
        <f t="shared" si="694"/>
        <v>-</v>
      </c>
      <c r="BU419" s="987" t="str">
        <f t="shared" si="694"/>
        <v>-</v>
      </c>
      <c r="BV419" s="987" t="str">
        <f>IF(AG419="","-",IFERROR((AG419/AF419-1)*(AF419/AF$13),"-"))</f>
        <v>-</v>
      </c>
      <c r="BW419" s="987" t="str">
        <f>IF(AH419="","-",IFERROR((AH419/AG419-1)*(AG419/AG$13),"-"))</f>
        <v>-</v>
      </c>
      <c r="BX419" s="987" t="str">
        <f>IF(AI419="","-",IFERROR((AI419/AH419-1)*(AH419/AH$13),"-"))</f>
        <v>-</v>
      </c>
      <c r="BY419" s="989" t="str">
        <f>IF(AJ419="","-",IFERROR((AJ419/AI419-1)*(AI419/AI$13),"-"))</f>
        <v>-</v>
      </c>
      <c r="BZ419" s="951"/>
      <c r="CA419" s="984" t="str">
        <f t="shared" si="620"/>
        <v>Rev</v>
      </c>
      <c r="CB419" s="985" t="str">
        <f t="shared" si="621"/>
        <v>[Service]</v>
      </c>
      <c r="CC419" s="985" t="str">
        <f t="shared" si="622"/>
        <v>[Price]</v>
      </c>
      <c r="CD419" s="990" t="str">
        <f t="shared" si="653"/>
        <v>-</v>
      </c>
      <c r="CE419" s="987" t="str">
        <f t="shared" si="646"/>
        <v>-</v>
      </c>
      <c r="CF419" s="987" t="str">
        <f t="shared" si="647"/>
        <v>-</v>
      </c>
      <c r="CG419" s="988" t="str">
        <f t="shared" si="648"/>
        <v>-</v>
      </c>
      <c r="CH419" s="987" t="str">
        <f t="shared" si="654"/>
        <v>-</v>
      </c>
      <c r="CI419" s="987" t="str">
        <f t="shared" si="649"/>
        <v>-</v>
      </c>
      <c r="CJ419" s="987" t="str">
        <f t="shared" si="650"/>
        <v>-</v>
      </c>
      <c r="CK419" s="989" t="str">
        <f t="shared" si="651"/>
        <v>-</v>
      </c>
    </row>
    <row r="420" spans="4:89" outlineLevel="1">
      <c r="D420" s="63">
        <f>D417+1</f>
        <v>118</v>
      </c>
      <c r="E420" s="550" t="s">
        <v>857</v>
      </c>
      <c r="F420" s="595" t="s">
        <v>428</v>
      </c>
      <c r="G420" s="595"/>
      <c r="H420" s="595"/>
      <c r="I420" s="589" t="s">
        <v>920</v>
      </c>
      <c r="J420" s="589" t="s">
        <v>879</v>
      </c>
      <c r="K420" s="551"/>
      <c r="L420" s="552"/>
      <c r="M420" s="552"/>
      <c r="N420" s="551"/>
      <c r="O420" s="552"/>
      <c r="P420" s="552"/>
      <c r="Q420" s="552"/>
      <c r="R420" s="1035"/>
      <c r="S420" s="1138"/>
      <c r="T420" s="591"/>
      <c r="U420" s="1035"/>
      <c r="V420" s="1138"/>
      <c r="W420" s="591"/>
      <c r="X420" s="591"/>
      <c r="Y420" s="591"/>
      <c r="Z420" s="1035"/>
      <c r="AA420" s="1138"/>
      <c r="AB420" s="591"/>
      <c r="AC420" s="591"/>
      <c r="AD420" s="591"/>
      <c r="AE420" s="1035"/>
      <c r="AF420" s="1138"/>
      <c r="AG420" s="591"/>
      <c r="AH420" s="591"/>
      <c r="AI420" s="591"/>
      <c r="AJ420" s="1035"/>
      <c r="AK420" s="569"/>
      <c r="AL420" s="569"/>
      <c r="AM420" s="974"/>
      <c r="AN420" s="857"/>
      <c r="AO420" s="975" t="str">
        <f t="shared" si="624"/>
        <v>Price</v>
      </c>
      <c r="AP420" s="976" t="str">
        <f t="shared" si="625"/>
        <v>[Service]</v>
      </c>
      <c r="AQ420" s="977" t="str">
        <f t="shared" si="626"/>
        <v>[Price]</v>
      </c>
      <c r="AR420" s="1341" t="str">
        <f t="shared" si="627"/>
        <v>-</v>
      </c>
      <c r="AS420" s="978" t="str">
        <f t="shared" si="628"/>
        <v>-</v>
      </c>
      <c r="AT420" s="979" t="str">
        <f t="shared" si="629"/>
        <v>-</v>
      </c>
      <c r="AU420" s="979" t="str">
        <f t="shared" si="630"/>
        <v>-</v>
      </c>
      <c r="AV420" s="1352" t="str">
        <f t="shared" si="631"/>
        <v>-</v>
      </c>
      <c r="AW420" s="1345" t="str">
        <f t="shared" si="632"/>
        <v>-</v>
      </c>
      <c r="AX420" s="979" t="str">
        <f t="shared" si="633"/>
        <v>-</v>
      </c>
      <c r="AY420" s="979" t="str">
        <f t="shared" si="634"/>
        <v>-</v>
      </c>
      <c r="AZ420" s="979" t="str">
        <f t="shared" si="635"/>
        <v>-</v>
      </c>
      <c r="BA420" s="980" t="str">
        <f t="shared" si="636"/>
        <v>-</v>
      </c>
      <c r="BB420" s="1345" t="str">
        <f t="shared" si="637"/>
        <v>-</v>
      </c>
      <c r="BC420" s="979" t="str">
        <f t="shared" si="638"/>
        <v>-</v>
      </c>
      <c r="BD420" s="979" t="str">
        <f t="shared" si="639"/>
        <v>-</v>
      </c>
      <c r="BE420" s="979" t="str">
        <f t="shared" si="640"/>
        <v>-</v>
      </c>
      <c r="BF420" s="981" t="str">
        <f t="shared" si="641"/>
        <v>-</v>
      </c>
      <c r="BG420" s="951"/>
      <c r="BH420" s="1547" t="str">
        <f t="shared" si="673"/>
        <v>Price</v>
      </c>
      <c r="BI420" s="1548" t="str">
        <f t="shared" si="673"/>
        <v>[Service]</v>
      </c>
      <c r="BJ420" s="1549" t="str">
        <f t="shared" si="673"/>
        <v>[Price]</v>
      </c>
      <c r="BK420" s="978" t="str">
        <f t="shared" ref="BK420:BU420" si="695">IF(V420="","-",IFERROR((V420/U420-1)*(U422/U$13),"-"))</f>
        <v>-</v>
      </c>
      <c r="BL420" s="978" t="str">
        <f t="shared" si="695"/>
        <v>-</v>
      </c>
      <c r="BM420" s="979" t="str">
        <f t="shared" si="695"/>
        <v>-</v>
      </c>
      <c r="BN420" s="979" t="str">
        <f t="shared" si="695"/>
        <v>-</v>
      </c>
      <c r="BO420" s="1352" t="str">
        <f t="shared" si="695"/>
        <v>-</v>
      </c>
      <c r="BP420" s="1345" t="str">
        <f t="shared" si="695"/>
        <v>-</v>
      </c>
      <c r="BQ420" s="979" t="str">
        <f t="shared" si="695"/>
        <v>-</v>
      </c>
      <c r="BR420" s="979" t="str">
        <f t="shared" si="695"/>
        <v>-</v>
      </c>
      <c r="BS420" s="979" t="str">
        <f t="shared" si="695"/>
        <v>-</v>
      </c>
      <c r="BT420" s="980" t="str">
        <f t="shared" si="695"/>
        <v>-</v>
      </c>
      <c r="BU420" s="979" t="str">
        <f t="shared" si="695"/>
        <v>-</v>
      </c>
      <c r="BV420" s="979" t="str">
        <f>IF(AG420="","-",IFERROR((AG420/AF420-1)*(AF422/AF$13),"-"))</f>
        <v>-</v>
      </c>
      <c r="BW420" s="979" t="str">
        <f>IF(AH420="","-",IFERROR((AH420/AG420-1)*(AG422/AG$13),"-"))</f>
        <v>-</v>
      </c>
      <c r="BX420" s="979" t="str">
        <f>IF(AI420="","-",IFERROR((AI420/AH420-1)*(AH422/AH$13),"-"))</f>
        <v>-</v>
      </c>
      <c r="BY420" s="981" t="str">
        <f>IF(AJ420="","-",IFERROR((AJ420/AI420-1)*(AI422/AI$13),"-"))</f>
        <v>-</v>
      </c>
      <c r="BZ420" s="951"/>
      <c r="CA420" s="975" t="str">
        <f t="shared" si="620"/>
        <v>Price</v>
      </c>
      <c r="CB420" s="976" t="str">
        <f t="shared" si="621"/>
        <v>[Service]</v>
      </c>
      <c r="CC420" s="982" t="str">
        <f t="shared" si="622"/>
        <v>[Price]</v>
      </c>
      <c r="CD420" s="983" t="str">
        <f t="shared" si="653"/>
        <v>-</v>
      </c>
      <c r="CE420" s="979" t="str">
        <f t="shared" si="646"/>
        <v>-</v>
      </c>
      <c r="CF420" s="979" t="str">
        <f t="shared" si="647"/>
        <v>-</v>
      </c>
      <c r="CG420" s="980" t="str">
        <f t="shared" si="648"/>
        <v>-</v>
      </c>
      <c r="CH420" s="979" t="str">
        <f t="shared" si="654"/>
        <v>-</v>
      </c>
      <c r="CI420" s="979" t="str">
        <f t="shared" si="649"/>
        <v>-</v>
      </c>
      <c r="CJ420" s="979" t="str">
        <f t="shared" si="650"/>
        <v>-</v>
      </c>
      <c r="CK420" s="981" t="str">
        <f t="shared" si="651"/>
        <v>-</v>
      </c>
    </row>
    <row r="421" spans="4:89" outlineLevel="1">
      <c r="E421" s="567" t="s">
        <v>880</v>
      </c>
      <c r="F421" s="554" t="str">
        <f>+F420</f>
        <v>[Service]</v>
      </c>
      <c r="G421" s="555">
        <f>+G420</f>
        <v>0</v>
      </c>
      <c r="H421" s="555">
        <f>+H420</f>
        <v>0</v>
      </c>
      <c r="I421" s="556" t="str">
        <f>+I420</f>
        <v>[Price]</v>
      </c>
      <c r="J421" s="590" t="s">
        <v>916</v>
      </c>
      <c r="K421" s="557"/>
      <c r="L421" s="558"/>
      <c r="M421" s="558"/>
      <c r="N421" s="557"/>
      <c r="O421" s="558"/>
      <c r="P421" s="558"/>
      <c r="Q421" s="558"/>
      <c r="R421" s="1036"/>
      <c r="S421" s="1139"/>
      <c r="T421" s="593"/>
      <c r="U421" s="1036"/>
      <c r="V421" s="1139"/>
      <c r="W421" s="593"/>
      <c r="X421" s="593"/>
      <c r="Y421" s="593"/>
      <c r="Z421" s="1036"/>
      <c r="AA421" s="1139"/>
      <c r="AB421" s="593"/>
      <c r="AC421" s="593"/>
      <c r="AD421" s="593"/>
      <c r="AE421" s="1036"/>
      <c r="AF421" s="1139"/>
      <c r="AG421" s="593"/>
      <c r="AH421" s="593"/>
      <c r="AI421" s="593"/>
      <c r="AJ421" s="1036"/>
      <c r="AK421" s="569"/>
      <c r="AL421" s="569"/>
      <c r="AN421" s="857"/>
      <c r="AO421" s="961" t="str">
        <f t="shared" si="624"/>
        <v>Qty</v>
      </c>
      <c r="AP421" s="962" t="str">
        <f t="shared" si="625"/>
        <v>[Service]</v>
      </c>
      <c r="AQ421" s="963" t="str">
        <f t="shared" si="626"/>
        <v>[Price]</v>
      </c>
      <c r="AR421" s="967" t="str">
        <f t="shared" si="627"/>
        <v>-</v>
      </c>
      <c r="AS421" s="964" t="str">
        <f t="shared" si="628"/>
        <v>-</v>
      </c>
      <c r="AT421" s="964" t="str">
        <f t="shared" si="629"/>
        <v>-</v>
      </c>
      <c r="AU421" s="964" t="str">
        <f t="shared" si="630"/>
        <v>-</v>
      </c>
      <c r="AV421" s="1350" t="str">
        <f t="shared" si="631"/>
        <v>-</v>
      </c>
      <c r="AW421" s="1343" t="str">
        <f t="shared" si="632"/>
        <v>-</v>
      </c>
      <c r="AX421" s="964" t="str">
        <f t="shared" si="633"/>
        <v>-</v>
      </c>
      <c r="AY421" s="964" t="str">
        <f t="shared" si="634"/>
        <v>-</v>
      </c>
      <c r="AZ421" s="964" t="str">
        <f t="shared" si="635"/>
        <v>-</v>
      </c>
      <c r="BA421" s="965" t="str">
        <f t="shared" si="636"/>
        <v>-</v>
      </c>
      <c r="BB421" s="1343" t="str">
        <f t="shared" si="637"/>
        <v>-</v>
      </c>
      <c r="BC421" s="964" t="str">
        <f t="shared" si="638"/>
        <v>-</v>
      </c>
      <c r="BD421" s="964" t="str">
        <f t="shared" si="639"/>
        <v>-</v>
      </c>
      <c r="BE421" s="964" t="str">
        <f t="shared" si="640"/>
        <v>-</v>
      </c>
      <c r="BF421" s="966" t="str">
        <f t="shared" si="641"/>
        <v>-</v>
      </c>
      <c r="BG421" s="951"/>
      <c r="BH421" s="1541" t="str">
        <f t="shared" si="673"/>
        <v>Qty</v>
      </c>
      <c r="BI421" s="1542" t="str">
        <f t="shared" si="673"/>
        <v>[Service]</v>
      </c>
      <c r="BJ421" s="1543" t="str">
        <f t="shared" si="673"/>
        <v>[Price]</v>
      </c>
      <c r="BK421" s="964" t="str">
        <f t="shared" ref="BK421:BU421" si="696">IF(V421="","-",IFERROR((V421/U421-1)*(U422/U$13),"-"))</f>
        <v>-</v>
      </c>
      <c r="BL421" s="964" t="str">
        <f t="shared" si="696"/>
        <v>-</v>
      </c>
      <c r="BM421" s="964" t="str">
        <f t="shared" si="696"/>
        <v>-</v>
      </c>
      <c r="BN421" s="964" t="str">
        <f t="shared" si="696"/>
        <v>-</v>
      </c>
      <c r="BO421" s="1350" t="str">
        <f t="shared" si="696"/>
        <v>-</v>
      </c>
      <c r="BP421" s="1343" t="str">
        <f t="shared" si="696"/>
        <v>-</v>
      </c>
      <c r="BQ421" s="964" t="str">
        <f t="shared" si="696"/>
        <v>-</v>
      </c>
      <c r="BR421" s="964" t="str">
        <f t="shared" si="696"/>
        <v>-</v>
      </c>
      <c r="BS421" s="964" t="str">
        <f t="shared" si="696"/>
        <v>-</v>
      </c>
      <c r="BT421" s="965" t="str">
        <f t="shared" si="696"/>
        <v>-</v>
      </c>
      <c r="BU421" s="964" t="str">
        <f t="shared" si="696"/>
        <v>-</v>
      </c>
      <c r="BV421" s="964" t="str">
        <f>IF(AG421="","-",IFERROR((AG421/AF421-1)*(AF422/AF$13),"-"))</f>
        <v>-</v>
      </c>
      <c r="BW421" s="964" t="str">
        <f>IF(AH421="","-",IFERROR((AH421/AG421-1)*(AG422/AG$13),"-"))</f>
        <v>-</v>
      </c>
      <c r="BX421" s="964" t="str">
        <f>IF(AI421="","-",IFERROR((AI421/AH421-1)*(AH422/AH$13),"-"))</f>
        <v>-</v>
      </c>
      <c r="BY421" s="966" t="str">
        <f>IF(AJ421="","-",IFERROR((AJ421/AI421-1)*(AI422/AI$13),"-"))</f>
        <v>-</v>
      </c>
      <c r="BZ421" s="951"/>
      <c r="CA421" s="961" t="str">
        <f t="shared" si="620"/>
        <v>Qty</v>
      </c>
      <c r="CB421" s="962" t="str">
        <f t="shared" si="621"/>
        <v>[Service]</v>
      </c>
      <c r="CC421" s="962" t="str">
        <f t="shared" si="622"/>
        <v>[Price]</v>
      </c>
      <c r="CD421" s="967" t="str">
        <f t="shared" si="653"/>
        <v>-</v>
      </c>
      <c r="CE421" s="964" t="str">
        <f t="shared" si="646"/>
        <v>-</v>
      </c>
      <c r="CF421" s="964" t="str">
        <f t="shared" si="647"/>
        <v>-</v>
      </c>
      <c r="CG421" s="965" t="str">
        <f t="shared" si="648"/>
        <v>-</v>
      </c>
      <c r="CH421" s="964" t="str">
        <f t="shared" si="654"/>
        <v>-</v>
      </c>
      <c r="CI421" s="964" t="str">
        <f t="shared" si="649"/>
        <v>-</v>
      </c>
      <c r="CJ421" s="964" t="str">
        <f t="shared" si="650"/>
        <v>-</v>
      </c>
      <c r="CK421" s="966" t="str">
        <f t="shared" si="651"/>
        <v>-</v>
      </c>
    </row>
    <row r="422" spans="4:89" ht="12.75" outlineLevel="1" thickBot="1">
      <c r="E422" s="568" t="s">
        <v>882</v>
      </c>
      <c r="F422" s="560" t="str">
        <f>+F420</f>
        <v>[Service]</v>
      </c>
      <c r="G422" s="561">
        <f>+G420</f>
        <v>0</v>
      </c>
      <c r="H422" s="561">
        <f>+H420</f>
        <v>0</v>
      </c>
      <c r="I422" s="562" t="str">
        <f>+I420</f>
        <v>[Price]</v>
      </c>
      <c r="J422" s="563" t="s">
        <v>883</v>
      </c>
      <c r="K422" s="564">
        <f t="shared" ref="K422:AJ422" si="697">K420*K421/10^6</f>
        <v>0</v>
      </c>
      <c r="L422" s="565">
        <f t="shared" si="697"/>
        <v>0</v>
      </c>
      <c r="M422" s="565">
        <f t="shared" si="697"/>
        <v>0</v>
      </c>
      <c r="N422" s="564">
        <f t="shared" si="697"/>
        <v>0</v>
      </c>
      <c r="O422" s="565">
        <f t="shared" si="697"/>
        <v>0</v>
      </c>
      <c r="P422" s="565">
        <f t="shared" si="697"/>
        <v>0</v>
      </c>
      <c r="Q422" s="565">
        <f t="shared" si="697"/>
        <v>0</v>
      </c>
      <c r="R422" s="566">
        <f t="shared" si="697"/>
        <v>0</v>
      </c>
      <c r="S422" s="564">
        <f t="shared" si="697"/>
        <v>0</v>
      </c>
      <c r="T422" s="565">
        <f t="shared" si="697"/>
        <v>0</v>
      </c>
      <c r="U422" s="566">
        <f t="shared" si="697"/>
        <v>0</v>
      </c>
      <c r="V422" s="564">
        <f t="shared" si="697"/>
        <v>0</v>
      </c>
      <c r="W422" s="565">
        <f t="shared" si="697"/>
        <v>0</v>
      </c>
      <c r="X422" s="565">
        <f t="shared" si="697"/>
        <v>0</v>
      </c>
      <c r="Y422" s="565">
        <f t="shared" si="697"/>
        <v>0</v>
      </c>
      <c r="Z422" s="566">
        <f t="shared" si="697"/>
        <v>0</v>
      </c>
      <c r="AA422" s="564">
        <f t="shared" si="697"/>
        <v>0</v>
      </c>
      <c r="AB422" s="565">
        <f t="shared" si="697"/>
        <v>0</v>
      </c>
      <c r="AC422" s="565">
        <f t="shared" si="697"/>
        <v>0</v>
      </c>
      <c r="AD422" s="565">
        <f t="shared" si="697"/>
        <v>0</v>
      </c>
      <c r="AE422" s="566">
        <f t="shared" si="697"/>
        <v>0</v>
      </c>
      <c r="AF422" s="564">
        <f t="shared" si="697"/>
        <v>0</v>
      </c>
      <c r="AG422" s="565">
        <f t="shared" si="697"/>
        <v>0</v>
      </c>
      <c r="AH422" s="565">
        <f t="shared" si="697"/>
        <v>0</v>
      </c>
      <c r="AI422" s="565">
        <f t="shared" si="697"/>
        <v>0</v>
      </c>
      <c r="AJ422" s="566">
        <f t="shared" si="697"/>
        <v>0</v>
      </c>
      <c r="AK422" s="569"/>
      <c r="AL422" s="569"/>
      <c r="AN422" s="857"/>
      <c r="AO422" s="984" t="str">
        <f t="shared" si="624"/>
        <v>Rev</v>
      </c>
      <c r="AP422" s="985" t="str">
        <f t="shared" si="625"/>
        <v>[Service]</v>
      </c>
      <c r="AQ422" s="986" t="str">
        <f t="shared" si="626"/>
        <v>[Price]</v>
      </c>
      <c r="AR422" s="990" t="str">
        <f t="shared" si="627"/>
        <v>-</v>
      </c>
      <c r="AS422" s="987" t="str">
        <f t="shared" si="628"/>
        <v>-</v>
      </c>
      <c r="AT422" s="987" t="str">
        <f t="shared" si="629"/>
        <v>-</v>
      </c>
      <c r="AU422" s="987" t="str">
        <f t="shared" si="630"/>
        <v>-</v>
      </c>
      <c r="AV422" s="1353" t="str">
        <f t="shared" si="631"/>
        <v>-</v>
      </c>
      <c r="AW422" s="1346" t="str">
        <f t="shared" si="632"/>
        <v>-</v>
      </c>
      <c r="AX422" s="987" t="str">
        <f t="shared" si="633"/>
        <v>-</v>
      </c>
      <c r="AY422" s="987" t="str">
        <f t="shared" si="634"/>
        <v>-</v>
      </c>
      <c r="AZ422" s="987" t="str">
        <f t="shared" si="635"/>
        <v>-</v>
      </c>
      <c r="BA422" s="988" t="str">
        <f t="shared" si="636"/>
        <v>-</v>
      </c>
      <c r="BB422" s="1346" t="str">
        <f t="shared" si="637"/>
        <v>-</v>
      </c>
      <c r="BC422" s="987" t="str">
        <f t="shared" si="638"/>
        <v>-</v>
      </c>
      <c r="BD422" s="987" t="str">
        <f t="shared" si="639"/>
        <v>-</v>
      </c>
      <c r="BE422" s="987" t="str">
        <f t="shared" si="640"/>
        <v>-</v>
      </c>
      <c r="BF422" s="989" t="str">
        <f t="shared" si="641"/>
        <v>-</v>
      </c>
      <c r="BG422" s="951"/>
      <c r="BH422" s="1550" t="str">
        <f t="shared" si="673"/>
        <v>Rev</v>
      </c>
      <c r="BI422" s="1551" t="str">
        <f t="shared" si="673"/>
        <v>[Service]</v>
      </c>
      <c r="BJ422" s="1552" t="str">
        <f t="shared" si="673"/>
        <v>[Price]</v>
      </c>
      <c r="BK422" s="987" t="str">
        <f t="shared" ref="BK422:BU422" si="698">IF(V422="","-",IFERROR((V422/U422-1)*(U422/U$13),"-"))</f>
        <v>-</v>
      </c>
      <c r="BL422" s="987" t="str">
        <f t="shared" si="698"/>
        <v>-</v>
      </c>
      <c r="BM422" s="987" t="str">
        <f t="shared" si="698"/>
        <v>-</v>
      </c>
      <c r="BN422" s="987" t="str">
        <f t="shared" si="698"/>
        <v>-</v>
      </c>
      <c r="BO422" s="1353" t="str">
        <f t="shared" si="698"/>
        <v>-</v>
      </c>
      <c r="BP422" s="1346" t="str">
        <f t="shared" si="698"/>
        <v>-</v>
      </c>
      <c r="BQ422" s="987" t="str">
        <f t="shared" si="698"/>
        <v>-</v>
      </c>
      <c r="BR422" s="987" t="str">
        <f t="shared" si="698"/>
        <v>-</v>
      </c>
      <c r="BS422" s="987" t="str">
        <f t="shared" si="698"/>
        <v>-</v>
      </c>
      <c r="BT422" s="988" t="str">
        <f t="shared" si="698"/>
        <v>-</v>
      </c>
      <c r="BU422" s="987" t="str">
        <f t="shared" si="698"/>
        <v>-</v>
      </c>
      <c r="BV422" s="987" t="str">
        <f>IF(AG422="","-",IFERROR((AG422/AF422-1)*(AF422/AF$13),"-"))</f>
        <v>-</v>
      </c>
      <c r="BW422" s="987" t="str">
        <f>IF(AH422="","-",IFERROR((AH422/AG422-1)*(AG422/AG$13),"-"))</f>
        <v>-</v>
      </c>
      <c r="BX422" s="987" t="str">
        <f>IF(AI422="","-",IFERROR((AI422/AH422-1)*(AH422/AH$13),"-"))</f>
        <v>-</v>
      </c>
      <c r="BY422" s="989" t="str">
        <f>IF(AJ422="","-",IFERROR((AJ422/AI422-1)*(AI422/AI$13),"-"))</f>
        <v>-</v>
      </c>
      <c r="BZ422" s="951"/>
      <c r="CA422" s="984" t="str">
        <f t="shared" si="620"/>
        <v>Rev</v>
      </c>
      <c r="CB422" s="985" t="str">
        <f t="shared" si="621"/>
        <v>[Service]</v>
      </c>
      <c r="CC422" s="985" t="str">
        <f t="shared" si="622"/>
        <v>[Price]</v>
      </c>
      <c r="CD422" s="990" t="str">
        <f t="shared" si="653"/>
        <v>-</v>
      </c>
      <c r="CE422" s="987" t="str">
        <f t="shared" si="646"/>
        <v>-</v>
      </c>
      <c r="CF422" s="987" t="str">
        <f t="shared" si="647"/>
        <v>-</v>
      </c>
      <c r="CG422" s="988" t="str">
        <f t="shared" si="648"/>
        <v>-</v>
      </c>
      <c r="CH422" s="987" t="str">
        <f t="shared" si="654"/>
        <v>-</v>
      </c>
      <c r="CI422" s="987" t="str">
        <f t="shared" si="649"/>
        <v>-</v>
      </c>
      <c r="CJ422" s="987" t="str">
        <f t="shared" si="650"/>
        <v>-</v>
      </c>
      <c r="CK422" s="989" t="str">
        <f t="shared" si="651"/>
        <v>-</v>
      </c>
    </row>
    <row r="423" spans="4:89" outlineLevel="1">
      <c r="D423" s="63">
        <f>D420+1</f>
        <v>119</v>
      </c>
      <c r="E423" s="550" t="s">
        <v>857</v>
      </c>
      <c r="F423" s="595" t="s">
        <v>428</v>
      </c>
      <c r="G423" s="595"/>
      <c r="H423" s="595"/>
      <c r="I423" s="589" t="s">
        <v>920</v>
      </c>
      <c r="J423" s="589" t="s">
        <v>879</v>
      </c>
      <c r="K423" s="551"/>
      <c r="L423" s="552"/>
      <c r="M423" s="552"/>
      <c r="N423" s="551"/>
      <c r="O423" s="552"/>
      <c r="P423" s="552"/>
      <c r="Q423" s="552"/>
      <c r="R423" s="1035"/>
      <c r="S423" s="1138"/>
      <c r="T423" s="591"/>
      <c r="U423" s="1035"/>
      <c r="V423" s="1138"/>
      <c r="W423" s="591"/>
      <c r="X423" s="591"/>
      <c r="Y423" s="591"/>
      <c r="Z423" s="1035"/>
      <c r="AA423" s="1138"/>
      <c r="AB423" s="591"/>
      <c r="AC423" s="591"/>
      <c r="AD423" s="591"/>
      <c r="AE423" s="1035"/>
      <c r="AF423" s="1138"/>
      <c r="AG423" s="591"/>
      <c r="AH423" s="591"/>
      <c r="AI423" s="591"/>
      <c r="AJ423" s="1035"/>
      <c r="AK423" s="569"/>
      <c r="AL423" s="569"/>
      <c r="AM423" s="974"/>
      <c r="AN423" s="857"/>
      <c r="AO423" s="975" t="str">
        <f t="shared" si="624"/>
        <v>Price</v>
      </c>
      <c r="AP423" s="976" t="str">
        <f t="shared" si="625"/>
        <v>[Service]</v>
      </c>
      <c r="AQ423" s="977" t="str">
        <f t="shared" si="626"/>
        <v>[Price]</v>
      </c>
      <c r="AR423" s="1341" t="str">
        <f t="shared" si="627"/>
        <v>-</v>
      </c>
      <c r="AS423" s="978" t="str">
        <f t="shared" si="628"/>
        <v>-</v>
      </c>
      <c r="AT423" s="979" t="str">
        <f t="shared" si="629"/>
        <v>-</v>
      </c>
      <c r="AU423" s="979" t="str">
        <f t="shared" si="630"/>
        <v>-</v>
      </c>
      <c r="AV423" s="1352" t="str">
        <f t="shared" si="631"/>
        <v>-</v>
      </c>
      <c r="AW423" s="1345" t="str">
        <f t="shared" si="632"/>
        <v>-</v>
      </c>
      <c r="AX423" s="979" t="str">
        <f t="shared" si="633"/>
        <v>-</v>
      </c>
      <c r="AY423" s="979" t="str">
        <f t="shared" si="634"/>
        <v>-</v>
      </c>
      <c r="AZ423" s="979" t="str">
        <f t="shared" si="635"/>
        <v>-</v>
      </c>
      <c r="BA423" s="980" t="str">
        <f t="shared" si="636"/>
        <v>-</v>
      </c>
      <c r="BB423" s="1345" t="str">
        <f t="shared" si="637"/>
        <v>-</v>
      </c>
      <c r="BC423" s="979" t="str">
        <f t="shared" si="638"/>
        <v>-</v>
      </c>
      <c r="BD423" s="979" t="str">
        <f t="shared" si="639"/>
        <v>-</v>
      </c>
      <c r="BE423" s="979" t="str">
        <f t="shared" si="640"/>
        <v>-</v>
      </c>
      <c r="BF423" s="981" t="str">
        <f t="shared" si="641"/>
        <v>-</v>
      </c>
      <c r="BG423" s="951"/>
      <c r="BH423" s="1547" t="str">
        <f t="shared" si="673"/>
        <v>Price</v>
      </c>
      <c r="BI423" s="1548" t="str">
        <f t="shared" si="673"/>
        <v>[Service]</v>
      </c>
      <c r="BJ423" s="1549" t="str">
        <f t="shared" si="673"/>
        <v>[Price]</v>
      </c>
      <c r="BK423" s="978" t="str">
        <f t="shared" ref="BK423:BU423" si="699">IF(V423="","-",IFERROR((V423/U423-1)*(U425/U$13),"-"))</f>
        <v>-</v>
      </c>
      <c r="BL423" s="978" t="str">
        <f t="shared" si="699"/>
        <v>-</v>
      </c>
      <c r="BM423" s="979" t="str">
        <f t="shared" si="699"/>
        <v>-</v>
      </c>
      <c r="BN423" s="979" t="str">
        <f t="shared" si="699"/>
        <v>-</v>
      </c>
      <c r="BO423" s="1352" t="str">
        <f t="shared" si="699"/>
        <v>-</v>
      </c>
      <c r="BP423" s="1345" t="str">
        <f t="shared" si="699"/>
        <v>-</v>
      </c>
      <c r="BQ423" s="979" t="str">
        <f t="shared" si="699"/>
        <v>-</v>
      </c>
      <c r="BR423" s="979" t="str">
        <f t="shared" si="699"/>
        <v>-</v>
      </c>
      <c r="BS423" s="979" t="str">
        <f t="shared" si="699"/>
        <v>-</v>
      </c>
      <c r="BT423" s="980" t="str">
        <f t="shared" si="699"/>
        <v>-</v>
      </c>
      <c r="BU423" s="979" t="str">
        <f t="shared" si="699"/>
        <v>-</v>
      </c>
      <c r="BV423" s="979" t="str">
        <f>IF(AG423="","-",IFERROR((AG423/AF423-1)*(AF425/AF$13),"-"))</f>
        <v>-</v>
      </c>
      <c r="BW423" s="979" t="str">
        <f>IF(AH423="","-",IFERROR((AH423/AG423-1)*(AG425/AG$13),"-"))</f>
        <v>-</v>
      </c>
      <c r="BX423" s="979" t="str">
        <f>IF(AI423="","-",IFERROR((AI423/AH423-1)*(AH425/AH$13),"-"))</f>
        <v>-</v>
      </c>
      <c r="BY423" s="981" t="str">
        <f>IF(AJ423="","-",IFERROR((AJ423/AI423-1)*(AI425/AI$13),"-"))</f>
        <v>-</v>
      </c>
      <c r="BZ423" s="951"/>
      <c r="CA423" s="975" t="str">
        <f t="shared" si="620"/>
        <v>Price</v>
      </c>
      <c r="CB423" s="976" t="str">
        <f t="shared" si="621"/>
        <v>[Service]</v>
      </c>
      <c r="CC423" s="982" t="str">
        <f t="shared" si="622"/>
        <v>[Price]</v>
      </c>
      <c r="CD423" s="983" t="str">
        <f t="shared" si="653"/>
        <v>-</v>
      </c>
      <c r="CE423" s="979" t="str">
        <f t="shared" si="646"/>
        <v>-</v>
      </c>
      <c r="CF423" s="979" t="str">
        <f t="shared" si="647"/>
        <v>-</v>
      </c>
      <c r="CG423" s="980" t="str">
        <f t="shared" si="648"/>
        <v>-</v>
      </c>
      <c r="CH423" s="979" t="str">
        <f t="shared" si="654"/>
        <v>-</v>
      </c>
      <c r="CI423" s="979" t="str">
        <f t="shared" si="649"/>
        <v>-</v>
      </c>
      <c r="CJ423" s="979" t="str">
        <f t="shared" si="650"/>
        <v>-</v>
      </c>
      <c r="CK423" s="981" t="str">
        <f t="shared" si="651"/>
        <v>-</v>
      </c>
    </row>
    <row r="424" spans="4:89" outlineLevel="1">
      <c r="E424" s="567" t="s">
        <v>880</v>
      </c>
      <c r="F424" s="554" t="str">
        <f>+F423</f>
        <v>[Service]</v>
      </c>
      <c r="G424" s="555">
        <f>+G423</f>
        <v>0</v>
      </c>
      <c r="H424" s="555">
        <f>+H423</f>
        <v>0</v>
      </c>
      <c r="I424" s="556" t="str">
        <f>+I423</f>
        <v>[Price]</v>
      </c>
      <c r="J424" s="590" t="s">
        <v>916</v>
      </c>
      <c r="K424" s="557"/>
      <c r="L424" s="558"/>
      <c r="M424" s="558"/>
      <c r="N424" s="557"/>
      <c r="O424" s="558"/>
      <c r="P424" s="558"/>
      <c r="Q424" s="558"/>
      <c r="R424" s="1036"/>
      <c r="S424" s="1139"/>
      <c r="T424" s="593"/>
      <c r="U424" s="1036"/>
      <c r="V424" s="1139"/>
      <c r="W424" s="593"/>
      <c r="X424" s="593"/>
      <c r="Y424" s="593"/>
      <c r="Z424" s="1036"/>
      <c r="AA424" s="1139"/>
      <c r="AB424" s="593"/>
      <c r="AC424" s="593"/>
      <c r="AD424" s="593"/>
      <c r="AE424" s="1036"/>
      <c r="AF424" s="1139"/>
      <c r="AG424" s="593"/>
      <c r="AH424" s="593"/>
      <c r="AI424" s="593"/>
      <c r="AJ424" s="1036"/>
      <c r="AK424" s="569"/>
      <c r="AL424" s="569"/>
      <c r="AN424" s="857"/>
      <c r="AO424" s="961" t="str">
        <f t="shared" si="624"/>
        <v>Qty</v>
      </c>
      <c r="AP424" s="962" t="str">
        <f t="shared" si="625"/>
        <v>[Service]</v>
      </c>
      <c r="AQ424" s="963" t="str">
        <f t="shared" si="626"/>
        <v>[Price]</v>
      </c>
      <c r="AR424" s="967" t="str">
        <f t="shared" si="627"/>
        <v>-</v>
      </c>
      <c r="AS424" s="964" t="str">
        <f t="shared" si="628"/>
        <v>-</v>
      </c>
      <c r="AT424" s="964" t="str">
        <f t="shared" si="629"/>
        <v>-</v>
      </c>
      <c r="AU424" s="964" t="str">
        <f t="shared" si="630"/>
        <v>-</v>
      </c>
      <c r="AV424" s="1350" t="str">
        <f t="shared" si="631"/>
        <v>-</v>
      </c>
      <c r="AW424" s="1343" t="str">
        <f t="shared" si="632"/>
        <v>-</v>
      </c>
      <c r="AX424" s="964" t="str">
        <f t="shared" si="633"/>
        <v>-</v>
      </c>
      <c r="AY424" s="964" t="str">
        <f t="shared" si="634"/>
        <v>-</v>
      </c>
      <c r="AZ424" s="964" t="str">
        <f t="shared" si="635"/>
        <v>-</v>
      </c>
      <c r="BA424" s="965" t="str">
        <f t="shared" si="636"/>
        <v>-</v>
      </c>
      <c r="BB424" s="1343" t="str">
        <f t="shared" si="637"/>
        <v>-</v>
      </c>
      <c r="BC424" s="964" t="str">
        <f t="shared" si="638"/>
        <v>-</v>
      </c>
      <c r="BD424" s="964" t="str">
        <f t="shared" si="639"/>
        <v>-</v>
      </c>
      <c r="BE424" s="964" t="str">
        <f t="shared" si="640"/>
        <v>-</v>
      </c>
      <c r="BF424" s="966" t="str">
        <f t="shared" si="641"/>
        <v>-</v>
      </c>
      <c r="BG424" s="951"/>
      <c r="BH424" s="1541" t="str">
        <f t="shared" si="673"/>
        <v>Qty</v>
      </c>
      <c r="BI424" s="1542" t="str">
        <f t="shared" si="673"/>
        <v>[Service]</v>
      </c>
      <c r="BJ424" s="1543" t="str">
        <f t="shared" si="673"/>
        <v>[Price]</v>
      </c>
      <c r="BK424" s="964" t="str">
        <f t="shared" ref="BK424:BU424" si="700">IF(V424="","-",IFERROR((V424/U424-1)*(U425/U$13),"-"))</f>
        <v>-</v>
      </c>
      <c r="BL424" s="964" t="str">
        <f t="shared" si="700"/>
        <v>-</v>
      </c>
      <c r="BM424" s="964" t="str">
        <f t="shared" si="700"/>
        <v>-</v>
      </c>
      <c r="BN424" s="964" t="str">
        <f t="shared" si="700"/>
        <v>-</v>
      </c>
      <c r="BO424" s="1350" t="str">
        <f t="shared" si="700"/>
        <v>-</v>
      </c>
      <c r="BP424" s="1343" t="str">
        <f t="shared" si="700"/>
        <v>-</v>
      </c>
      <c r="BQ424" s="964" t="str">
        <f t="shared" si="700"/>
        <v>-</v>
      </c>
      <c r="BR424" s="964" t="str">
        <f t="shared" si="700"/>
        <v>-</v>
      </c>
      <c r="BS424" s="964" t="str">
        <f t="shared" si="700"/>
        <v>-</v>
      </c>
      <c r="BT424" s="965" t="str">
        <f t="shared" si="700"/>
        <v>-</v>
      </c>
      <c r="BU424" s="964" t="str">
        <f t="shared" si="700"/>
        <v>-</v>
      </c>
      <c r="BV424" s="964" t="str">
        <f>IF(AG424="","-",IFERROR((AG424/AF424-1)*(AF425/AF$13),"-"))</f>
        <v>-</v>
      </c>
      <c r="BW424" s="964" t="str">
        <f>IF(AH424="","-",IFERROR((AH424/AG424-1)*(AG425/AG$13),"-"))</f>
        <v>-</v>
      </c>
      <c r="BX424" s="964" t="str">
        <f>IF(AI424="","-",IFERROR((AI424/AH424-1)*(AH425/AH$13),"-"))</f>
        <v>-</v>
      </c>
      <c r="BY424" s="966" t="str">
        <f>IF(AJ424="","-",IFERROR((AJ424/AI424-1)*(AI425/AI$13),"-"))</f>
        <v>-</v>
      </c>
      <c r="BZ424" s="951"/>
      <c r="CA424" s="961" t="str">
        <f t="shared" si="620"/>
        <v>Qty</v>
      </c>
      <c r="CB424" s="962" t="str">
        <f t="shared" si="621"/>
        <v>[Service]</v>
      </c>
      <c r="CC424" s="962" t="str">
        <f t="shared" si="622"/>
        <v>[Price]</v>
      </c>
      <c r="CD424" s="967" t="str">
        <f t="shared" si="653"/>
        <v>-</v>
      </c>
      <c r="CE424" s="964" t="str">
        <f t="shared" si="646"/>
        <v>-</v>
      </c>
      <c r="CF424" s="964" t="str">
        <f t="shared" si="647"/>
        <v>-</v>
      </c>
      <c r="CG424" s="965" t="str">
        <f t="shared" si="648"/>
        <v>-</v>
      </c>
      <c r="CH424" s="964" t="str">
        <f t="shared" si="654"/>
        <v>-</v>
      </c>
      <c r="CI424" s="964" t="str">
        <f t="shared" si="649"/>
        <v>-</v>
      </c>
      <c r="CJ424" s="964" t="str">
        <f t="shared" si="650"/>
        <v>-</v>
      </c>
      <c r="CK424" s="966" t="str">
        <f t="shared" si="651"/>
        <v>-</v>
      </c>
    </row>
    <row r="425" spans="4:89" ht="12.75" outlineLevel="1" thickBot="1">
      <c r="E425" s="568" t="s">
        <v>882</v>
      </c>
      <c r="F425" s="560" t="str">
        <f>+F423</f>
        <v>[Service]</v>
      </c>
      <c r="G425" s="561">
        <f>+G423</f>
        <v>0</v>
      </c>
      <c r="H425" s="561">
        <f>+H423</f>
        <v>0</v>
      </c>
      <c r="I425" s="562" t="str">
        <f>+I423</f>
        <v>[Price]</v>
      </c>
      <c r="J425" s="563" t="s">
        <v>883</v>
      </c>
      <c r="K425" s="564">
        <f t="shared" ref="K425:AJ425" si="701">K423*K424/10^6</f>
        <v>0</v>
      </c>
      <c r="L425" s="565">
        <f t="shared" si="701"/>
        <v>0</v>
      </c>
      <c r="M425" s="565">
        <f t="shared" si="701"/>
        <v>0</v>
      </c>
      <c r="N425" s="564">
        <f t="shared" si="701"/>
        <v>0</v>
      </c>
      <c r="O425" s="565">
        <f t="shared" si="701"/>
        <v>0</v>
      </c>
      <c r="P425" s="565">
        <f t="shared" si="701"/>
        <v>0</v>
      </c>
      <c r="Q425" s="565">
        <f t="shared" si="701"/>
        <v>0</v>
      </c>
      <c r="R425" s="566">
        <f t="shared" si="701"/>
        <v>0</v>
      </c>
      <c r="S425" s="564">
        <f t="shared" si="701"/>
        <v>0</v>
      </c>
      <c r="T425" s="565">
        <f t="shared" si="701"/>
        <v>0</v>
      </c>
      <c r="U425" s="566">
        <f t="shared" si="701"/>
        <v>0</v>
      </c>
      <c r="V425" s="564">
        <f t="shared" si="701"/>
        <v>0</v>
      </c>
      <c r="W425" s="565">
        <f t="shared" si="701"/>
        <v>0</v>
      </c>
      <c r="X425" s="565">
        <f t="shared" si="701"/>
        <v>0</v>
      </c>
      <c r="Y425" s="565">
        <f t="shared" si="701"/>
        <v>0</v>
      </c>
      <c r="Z425" s="566">
        <f t="shared" si="701"/>
        <v>0</v>
      </c>
      <c r="AA425" s="564">
        <f t="shared" si="701"/>
        <v>0</v>
      </c>
      <c r="AB425" s="565">
        <f t="shared" si="701"/>
        <v>0</v>
      </c>
      <c r="AC425" s="565">
        <f t="shared" si="701"/>
        <v>0</v>
      </c>
      <c r="AD425" s="565">
        <f t="shared" si="701"/>
        <v>0</v>
      </c>
      <c r="AE425" s="566">
        <f t="shared" si="701"/>
        <v>0</v>
      </c>
      <c r="AF425" s="564">
        <f t="shared" si="701"/>
        <v>0</v>
      </c>
      <c r="AG425" s="565">
        <f t="shared" si="701"/>
        <v>0</v>
      </c>
      <c r="AH425" s="565">
        <f t="shared" si="701"/>
        <v>0</v>
      </c>
      <c r="AI425" s="565">
        <f t="shared" si="701"/>
        <v>0</v>
      </c>
      <c r="AJ425" s="566">
        <f t="shared" si="701"/>
        <v>0</v>
      </c>
      <c r="AK425" s="569"/>
      <c r="AL425" s="569"/>
      <c r="AN425" s="857"/>
      <c r="AO425" s="984" t="str">
        <f t="shared" si="624"/>
        <v>Rev</v>
      </c>
      <c r="AP425" s="985" t="str">
        <f t="shared" si="625"/>
        <v>[Service]</v>
      </c>
      <c r="AQ425" s="986" t="str">
        <f t="shared" si="626"/>
        <v>[Price]</v>
      </c>
      <c r="AR425" s="990" t="str">
        <f t="shared" si="627"/>
        <v>-</v>
      </c>
      <c r="AS425" s="987" t="str">
        <f t="shared" si="628"/>
        <v>-</v>
      </c>
      <c r="AT425" s="987" t="str">
        <f t="shared" si="629"/>
        <v>-</v>
      </c>
      <c r="AU425" s="987" t="str">
        <f t="shared" si="630"/>
        <v>-</v>
      </c>
      <c r="AV425" s="1353" t="str">
        <f t="shared" si="631"/>
        <v>-</v>
      </c>
      <c r="AW425" s="1346" t="str">
        <f t="shared" si="632"/>
        <v>-</v>
      </c>
      <c r="AX425" s="987" t="str">
        <f t="shared" si="633"/>
        <v>-</v>
      </c>
      <c r="AY425" s="987" t="str">
        <f t="shared" si="634"/>
        <v>-</v>
      </c>
      <c r="AZ425" s="987" t="str">
        <f t="shared" si="635"/>
        <v>-</v>
      </c>
      <c r="BA425" s="988" t="str">
        <f t="shared" si="636"/>
        <v>-</v>
      </c>
      <c r="BB425" s="1346" t="str">
        <f t="shared" si="637"/>
        <v>-</v>
      </c>
      <c r="BC425" s="987" t="str">
        <f t="shared" si="638"/>
        <v>-</v>
      </c>
      <c r="BD425" s="987" t="str">
        <f t="shared" si="639"/>
        <v>-</v>
      </c>
      <c r="BE425" s="987" t="str">
        <f t="shared" si="640"/>
        <v>-</v>
      </c>
      <c r="BF425" s="989" t="str">
        <f t="shared" si="641"/>
        <v>-</v>
      </c>
      <c r="BG425" s="951"/>
      <c r="BH425" s="1550" t="str">
        <f t="shared" si="673"/>
        <v>Rev</v>
      </c>
      <c r="BI425" s="1551" t="str">
        <f t="shared" si="673"/>
        <v>[Service]</v>
      </c>
      <c r="BJ425" s="1552" t="str">
        <f t="shared" si="673"/>
        <v>[Price]</v>
      </c>
      <c r="BK425" s="987" t="str">
        <f t="shared" ref="BK425:BU425" si="702">IF(V425="","-",IFERROR((V425/U425-1)*(U425/U$13),"-"))</f>
        <v>-</v>
      </c>
      <c r="BL425" s="987" t="str">
        <f t="shared" si="702"/>
        <v>-</v>
      </c>
      <c r="BM425" s="987" t="str">
        <f t="shared" si="702"/>
        <v>-</v>
      </c>
      <c r="BN425" s="987" t="str">
        <f t="shared" si="702"/>
        <v>-</v>
      </c>
      <c r="BO425" s="1353" t="str">
        <f t="shared" si="702"/>
        <v>-</v>
      </c>
      <c r="BP425" s="1346" t="str">
        <f t="shared" si="702"/>
        <v>-</v>
      </c>
      <c r="BQ425" s="987" t="str">
        <f t="shared" si="702"/>
        <v>-</v>
      </c>
      <c r="BR425" s="987" t="str">
        <f t="shared" si="702"/>
        <v>-</v>
      </c>
      <c r="BS425" s="987" t="str">
        <f t="shared" si="702"/>
        <v>-</v>
      </c>
      <c r="BT425" s="988" t="str">
        <f t="shared" si="702"/>
        <v>-</v>
      </c>
      <c r="BU425" s="987" t="str">
        <f t="shared" si="702"/>
        <v>-</v>
      </c>
      <c r="BV425" s="987" t="str">
        <f>IF(AG425="","-",IFERROR((AG425/AF425-1)*(AF425/AF$13),"-"))</f>
        <v>-</v>
      </c>
      <c r="BW425" s="987" t="str">
        <f>IF(AH425="","-",IFERROR((AH425/AG425-1)*(AG425/AG$13),"-"))</f>
        <v>-</v>
      </c>
      <c r="BX425" s="987" t="str">
        <f>IF(AI425="","-",IFERROR((AI425/AH425-1)*(AH425/AH$13),"-"))</f>
        <v>-</v>
      </c>
      <c r="BY425" s="989" t="str">
        <f>IF(AJ425="","-",IFERROR((AJ425/AI425-1)*(AI425/AI$13),"-"))</f>
        <v>-</v>
      </c>
      <c r="BZ425" s="951"/>
      <c r="CA425" s="984" t="str">
        <f t="shared" si="620"/>
        <v>Rev</v>
      </c>
      <c r="CB425" s="985" t="str">
        <f t="shared" si="621"/>
        <v>[Service]</v>
      </c>
      <c r="CC425" s="985" t="str">
        <f t="shared" si="622"/>
        <v>[Price]</v>
      </c>
      <c r="CD425" s="990" t="str">
        <f t="shared" si="653"/>
        <v>-</v>
      </c>
      <c r="CE425" s="987" t="str">
        <f t="shared" si="646"/>
        <v>-</v>
      </c>
      <c r="CF425" s="987" t="str">
        <f t="shared" si="647"/>
        <v>-</v>
      </c>
      <c r="CG425" s="988" t="str">
        <f t="shared" si="648"/>
        <v>-</v>
      </c>
      <c r="CH425" s="987" t="str">
        <f t="shared" si="654"/>
        <v>-</v>
      </c>
      <c r="CI425" s="987" t="str">
        <f t="shared" si="649"/>
        <v>-</v>
      </c>
      <c r="CJ425" s="987" t="str">
        <f t="shared" si="650"/>
        <v>-</v>
      </c>
      <c r="CK425" s="989" t="str">
        <f t="shared" si="651"/>
        <v>-</v>
      </c>
    </row>
    <row r="426" spans="4:89" outlineLevel="1">
      <c r="D426" s="63">
        <f>D423+1</f>
        <v>120</v>
      </c>
      <c r="E426" s="550" t="s">
        <v>857</v>
      </c>
      <c r="F426" s="595" t="s">
        <v>428</v>
      </c>
      <c r="G426" s="595"/>
      <c r="H426" s="595"/>
      <c r="I426" s="589" t="s">
        <v>920</v>
      </c>
      <c r="J426" s="589" t="s">
        <v>879</v>
      </c>
      <c r="K426" s="551"/>
      <c r="L426" s="552"/>
      <c r="M426" s="552"/>
      <c r="N426" s="551"/>
      <c r="O426" s="552"/>
      <c r="P426" s="552"/>
      <c r="Q426" s="552"/>
      <c r="R426" s="1035"/>
      <c r="S426" s="1138"/>
      <c r="T426" s="591"/>
      <c r="U426" s="1035"/>
      <c r="V426" s="1138"/>
      <c r="W426" s="591"/>
      <c r="X426" s="591"/>
      <c r="Y426" s="591"/>
      <c r="Z426" s="1035"/>
      <c r="AA426" s="1138"/>
      <c r="AB426" s="591"/>
      <c r="AC426" s="591"/>
      <c r="AD426" s="591"/>
      <c r="AE426" s="1035"/>
      <c r="AF426" s="1138"/>
      <c r="AG426" s="591"/>
      <c r="AH426" s="591"/>
      <c r="AI426" s="591"/>
      <c r="AJ426" s="1035"/>
      <c r="AK426" s="569"/>
      <c r="AL426" s="569"/>
      <c r="AM426" s="974"/>
      <c r="AN426" s="857"/>
      <c r="AO426" s="975" t="str">
        <f t="shared" si="624"/>
        <v>Price</v>
      </c>
      <c r="AP426" s="976" t="str">
        <f t="shared" si="625"/>
        <v>[Service]</v>
      </c>
      <c r="AQ426" s="977" t="str">
        <f t="shared" si="626"/>
        <v>[Price]</v>
      </c>
      <c r="AR426" s="1341" t="str">
        <f t="shared" si="627"/>
        <v>-</v>
      </c>
      <c r="AS426" s="978" t="str">
        <f t="shared" si="628"/>
        <v>-</v>
      </c>
      <c r="AT426" s="979" t="str">
        <f t="shared" si="629"/>
        <v>-</v>
      </c>
      <c r="AU426" s="979" t="str">
        <f t="shared" si="630"/>
        <v>-</v>
      </c>
      <c r="AV426" s="1352" t="str">
        <f t="shared" si="631"/>
        <v>-</v>
      </c>
      <c r="AW426" s="1345" t="str">
        <f t="shared" si="632"/>
        <v>-</v>
      </c>
      <c r="AX426" s="979" t="str">
        <f t="shared" si="633"/>
        <v>-</v>
      </c>
      <c r="AY426" s="979" t="str">
        <f t="shared" si="634"/>
        <v>-</v>
      </c>
      <c r="AZ426" s="979" t="str">
        <f t="shared" si="635"/>
        <v>-</v>
      </c>
      <c r="BA426" s="980" t="str">
        <f t="shared" si="636"/>
        <v>-</v>
      </c>
      <c r="BB426" s="1345" t="str">
        <f t="shared" si="637"/>
        <v>-</v>
      </c>
      <c r="BC426" s="979" t="str">
        <f t="shared" si="638"/>
        <v>-</v>
      </c>
      <c r="BD426" s="979" t="str">
        <f t="shared" si="639"/>
        <v>-</v>
      </c>
      <c r="BE426" s="979" t="str">
        <f t="shared" si="640"/>
        <v>-</v>
      </c>
      <c r="BF426" s="981" t="str">
        <f t="shared" si="641"/>
        <v>-</v>
      </c>
      <c r="BG426" s="951"/>
      <c r="BH426" s="1547" t="str">
        <f t="shared" si="673"/>
        <v>Price</v>
      </c>
      <c r="BI426" s="1548" t="str">
        <f t="shared" si="673"/>
        <v>[Service]</v>
      </c>
      <c r="BJ426" s="1549" t="str">
        <f t="shared" si="673"/>
        <v>[Price]</v>
      </c>
      <c r="BK426" s="978" t="str">
        <f t="shared" ref="BK426:BU426" si="703">IF(V426="","-",IFERROR((V426/U426-1)*(U428/U$13),"-"))</f>
        <v>-</v>
      </c>
      <c r="BL426" s="978" t="str">
        <f t="shared" si="703"/>
        <v>-</v>
      </c>
      <c r="BM426" s="979" t="str">
        <f t="shared" si="703"/>
        <v>-</v>
      </c>
      <c r="BN426" s="979" t="str">
        <f t="shared" si="703"/>
        <v>-</v>
      </c>
      <c r="BO426" s="1352" t="str">
        <f t="shared" si="703"/>
        <v>-</v>
      </c>
      <c r="BP426" s="1345" t="str">
        <f t="shared" si="703"/>
        <v>-</v>
      </c>
      <c r="BQ426" s="979" t="str">
        <f t="shared" si="703"/>
        <v>-</v>
      </c>
      <c r="BR426" s="979" t="str">
        <f t="shared" si="703"/>
        <v>-</v>
      </c>
      <c r="BS426" s="979" t="str">
        <f t="shared" si="703"/>
        <v>-</v>
      </c>
      <c r="BT426" s="980" t="str">
        <f t="shared" si="703"/>
        <v>-</v>
      </c>
      <c r="BU426" s="979" t="str">
        <f t="shared" si="703"/>
        <v>-</v>
      </c>
      <c r="BV426" s="979" t="str">
        <f>IF(AG426="","-",IFERROR((AG426/AF426-1)*(AF428/AF$13),"-"))</f>
        <v>-</v>
      </c>
      <c r="BW426" s="979" t="str">
        <f>IF(AH426="","-",IFERROR((AH426/AG426-1)*(AG428/AG$13),"-"))</f>
        <v>-</v>
      </c>
      <c r="BX426" s="979" t="str">
        <f>IF(AI426="","-",IFERROR((AI426/AH426-1)*(AH428/AH$13),"-"))</f>
        <v>-</v>
      </c>
      <c r="BY426" s="981" t="str">
        <f>IF(AJ426="","-",IFERROR((AJ426/AI426-1)*(AI428/AI$13),"-"))</f>
        <v>-</v>
      </c>
      <c r="BZ426" s="951"/>
      <c r="CA426" s="975" t="str">
        <f t="shared" si="620"/>
        <v>Price</v>
      </c>
      <c r="CB426" s="976" t="str">
        <f t="shared" si="621"/>
        <v>[Service]</v>
      </c>
      <c r="CC426" s="982" t="str">
        <f t="shared" si="622"/>
        <v>[Price]</v>
      </c>
      <c r="CD426" s="983" t="str">
        <f t="shared" si="653"/>
        <v>-</v>
      </c>
      <c r="CE426" s="979" t="str">
        <f t="shared" si="646"/>
        <v>-</v>
      </c>
      <c r="CF426" s="979" t="str">
        <f t="shared" si="647"/>
        <v>-</v>
      </c>
      <c r="CG426" s="980" t="str">
        <f t="shared" si="648"/>
        <v>-</v>
      </c>
      <c r="CH426" s="979" t="str">
        <f t="shared" si="654"/>
        <v>-</v>
      </c>
      <c r="CI426" s="979" t="str">
        <f t="shared" si="649"/>
        <v>-</v>
      </c>
      <c r="CJ426" s="979" t="str">
        <f t="shared" si="650"/>
        <v>-</v>
      </c>
      <c r="CK426" s="981" t="str">
        <f t="shared" si="651"/>
        <v>-</v>
      </c>
    </row>
    <row r="427" spans="4:89" outlineLevel="1">
      <c r="E427" s="567" t="s">
        <v>880</v>
      </c>
      <c r="F427" s="554" t="str">
        <f>+F426</f>
        <v>[Service]</v>
      </c>
      <c r="G427" s="555">
        <f>+G426</f>
        <v>0</v>
      </c>
      <c r="H427" s="555">
        <f>+H426</f>
        <v>0</v>
      </c>
      <c r="I427" s="556" t="str">
        <f>+I426</f>
        <v>[Price]</v>
      </c>
      <c r="J427" s="590" t="s">
        <v>916</v>
      </c>
      <c r="K427" s="557"/>
      <c r="L427" s="558"/>
      <c r="M427" s="558"/>
      <c r="N427" s="557"/>
      <c r="O427" s="558"/>
      <c r="P427" s="558"/>
      <c r="Q427" s="558"/>
      <c r="R427" s="1036"/>
      <c r="S427" s="1139"/>
      <c r="T427" s="593"/>
      <c r="U427" s="1036"/>
      <c r="V427" s="1139"/>
      <c r="W427" s="593"/>
      <c r="X427" s="593"/>
      <c r="Y427" s="593"/>
      <c r="Z427" s="1036"/>
      <c r="AA427" s="1139"/>
      <c r="AB427" s="593"/>
      <c r="AC427" s="593"/>
      <c r="AD427" s="593"/>
      <c r="AE427" s="1036"/>
      <c r="AF427" s="1139"/>
      <c r="AG427" s="593"/>
      <c r="AH427" s="593"/>
      <c r="AI427" s="593"/>
      <c r="AJ427" s="1036"/>
      <c r="AK427" s="569"/>
      <c r="AL427" s="569"/>
      <c r="AN427" s="857"/>
      <c r="AO427" s="961" t="str">
        <f t="shared" si="624"/>
        <v>Qty</v>
      </c>
      <c r="AP427" s="962" t="str">
        <f t="shared" si="625"/>
        <v>[Service]</v>
      </c>
      <c r="AQ427" s="963" t="str">
        <f t="shared" si="626"/>
        <v>[Price]</v>
      </c>
      <c r="AR427" s="967" t="str">
        <f t="shared" si="627"/>
        <v>-</v>
      </c>
      <c r="AS427" s="964" t="str">
        <f t="shared" si="628"/>
        <v>-</v>
      </c>
      <c r="AT427" s="964" t="str">
        <f t="shared" si="629"/>
        <v>-</v>
      </c>
      <c r="AU427" s="964" t="str">
        <f t="shared" si="630"/>
        <v>-</v>
      </c>
      <c r="AV427" s="1350" t="str">
        <f t="shared" si="631"/>
        <v>-</v>
      </c>
      <c r="AW427" s="1343" t="str">
        <f t="shared" si="632"/>
        <v>-</v>
      </c>
      <c r="AX427" s="964" t="str">
        <f t="shared" si="633"/>
        <v>-</v>
      </c>
      <c r="AY427" s="964" t="str">
        <f t="shared" si="634"/>
        <v>-</v>
      </c>
      <c r="AZ427" s="964" t="str">
        <f t="shared" si="635"/>
        <v>-</v>
      </c>
      <c r="BA427" s="965" t="str">
        <f t="shared" si="636"/>
        <v>-</v>
      </c>
      <c r="BB427" s="1343" t="str">
        <f t="shared" si="637"/>
        <v>-</v>
      </c>
      <c r="BC427" s="964" t="str">
        <f t="shared" si="638"/>
        <v>-</v>
      </c>
      <c r="BD427" s="964" t="str">
        <f t="shared" si="639"/>
        <v>-</v>
      </c>
      <c r="BE427" s="964" t="str">
        <f t="shared" si="640"/>
        <v>-</v>
      </c>
      <c r="BF427" s="966" t="str">
        <f t="shared" si="641"/>
        <v>-</v>
      </c>
      <c r="BG427" s="951"/>
      <c r="BH427" s="1541" t="str">
        <f t="shared" si="673"/>
        <v>Qty</v>
      </c>
      <c r="BI427" s="1542" t="str">
        <f t="shared" si="673"/>
        <v>[Service]</v>
      </c>
      <c r="BJ427" s="1543" t="str">
        <f t="shared" si="673"/>
        <v>[Price]</v>
      </c>
      <c r="BK427" s="964" t="str">
        <f t="shared" ref="BK427:BU427" si="704">IF(V427="","-",IFERROR((V427/U427-1)*(U428/U$13),"-"))</f>
        <v>-</v>
      </c>
      <c r="BL427" s="964" t="str">
        <f t="shared" si="704"/>
        <v>-</v>
      </c>
      <c r="BM427" s="964" t="str">
        <f t="shared" si="704"/>
        <v>-</v>
      </c>
      <c r="BN427" s="964" t="str">
        <f t="shared" si="704"/>
        <v>-</v>
      </c>
      <c r="BO427" s="1350" t="str">
        <f t="shared" si="704"/>
        <v>-</v>
      </c>
      <c r="BP427" s="1343" t="str">
        <f t="shared" si="704"/>
        <v>-</v>
      </c>
      <c r="BQ427" s="964" t="str">
        <f t="shared" si="704"/>
        <v>-</v>
      </c>
      <c r="BR427" s="964" t="str">
        <f t="shared" si="704"/>
        <v>-</v>
      </c>
      <c r="BS427" s="964" t="str">
        <f t="shared" si="704"/>
        <v>-</v>
      </c>
      <c r="BT427" s="965" t="str">
        <f t="shared" si="704"/>
        <v>-</v>
      </c>
      <c r="BU427" s="964" t="str">
        <f t="shared" si="704"/>
        <v>-</v>
      </c>
      <c r="BV427" s="964" t="str">
        <f>IF(AG427="","-",IFERROR((AG427/AF427-1)*(AF428/AF$13),"-"))</f>
        <v>-</v>
      </c>
      <c r="BW427" s="964" t="str">
        <f>IF(AH427="","-",IFERROR((AH427/AG427-1)*(AG428/AG$13),"-"))</f>
        <v>-</v>
      </c>
      <c r="BX427" s="964" t="str">
        <f>IF(AI427="","-",IFERROR((AI427/AH427-1)*(AH428/AH$13),"-"))</f>
        <v>-</v>
      </c>
      <c r="BY427" s="966" t="str">
        <f>IF(AJ427="","-",IFERROR((AJ427/AI427-1)*(AI428/AI$13),"-"))</f>
        <v>-</v>
      </c>
      <c r="BZ427" s="951"/>
      <c r="CA427" s="961" t="str">
        <f t="shared" si="620"/>
        <v>Qty</v>
      </c>
      <c r="CB427" s="962" t="str">
        <f t="shared" si="621"/>
        <v>[Service]</v>
      </c>
      <c r="CC427" s="962" t="str">
        <f t="shared" si="622"/>
        <v>[Price]</v>
      </c>
      <c r="CD427" s="967" t="str">
        <f t="shared" si="653"/>
        <v>-</v>
      </c>
      <c r="CE427" s="964" t="str">
        <f t="shared" si="646"/>
        <v>-</v>
      </c>
      <c r="CF427" s="964" t="str">
        <f t="shared" si="647"/>
        <v>-</v>
      </c>
      <c r="CG427" s="965" t="str">
        <f t="shared" si="648"/>
        <v>-</v>
      </c>
      <c r="CH427" s="964" t="str">
        <f t="shared" si="654"/>
        <v>-</v>
      </c>
      <c r="CI427" s="964" t="str">
        <f t="shared" si="649"/>
        <v>-</v>
      </c>
      <c r="CJ427" s="964" t="str">
        <f t="shared" si="650"/>
        <v>-</v>
      </c>
      <c r="CK427" s="966" t="str">
        <f t="shared" si="651"/>
        <v>-</v>
      </c>
    </row>
    <row r="428" spans="4:89" ht="12.75" outlineLevel="1" thickBot="1">
      <c r="E428" s="568" t="s">
        <v>882</v>
      </c>
      <c r="F428" s="560" t="str">
        <f>+F426</f>
        <v>[Service]</v>
      </c>
      <c r="G428" s="561">
        <f>+G426</f>
        <v>0</v>
      </c>
      <c r="H428" s="561">
        <f>+H426</f>
        <v>0</v>
      </c>
      <c r="I428" s="562" t="str">
        <f>+I426</f>
        <v>[Price]</v>
      </c>
      <c r="J428" s="563" t="s">
        <v>883</v>
      </c>
      <c r="K428" s="564">
        <f t="shared" ref="K428:AJ428" si="705">K426*K427/10^6</f>
        <v>0</v>
      </c>
      <c r="L428" s="565">
        <f t="shared" si="705"/>
        <v>0</v>
      </c>
      <c r="M428" s="565">
        <f t="shared" si="705"/>
        <v>0</v>
      </c>
      <c r="N428" s="564">
        <f t="shared" si="705"/>
        <v>0</v>
      </c>
      <c r="O428" s="565">
        <f t="shared" si="705"/>
        <v>0</v>
      </c>
      <c r="P428" s="565">
        <f t="shared" si="705"/>
        <v>0</v>
      </c>
      <c r="Q428" s="565">
        <f t="shared" si="705"/>
        <v>0</v>
      </c>
      <c r="R428" s="566">
        <f t="shared" si="705"/>
        <v>0</v>
      </c>
      <c r="S428" s="564">
        <f t="shared" si="705"/>
        <v>0</v>
      </c>
      <c r="T428" s="565">
        <f t="shared" si="705"/>
        <v>0</v>
      </c>
      <c r="U428" s="566">
        <f t="shared" si="705"/>
        <v>0</v>
      </c>
      <c r="V428" s="564">
        <f t="shared" si="705"/>
        <v>0</v>
      </c>
      <c r="W428" s="565">
        <f t="shared" si="705"/>
        <v>0</v>
      </c>
      <c r="X428" s="565">
        <f t="shared" si="705"/>
        <v>0</v>
      </c>
      <c r="Y428" s="565">
        <f t="shared" si="705"/>
        <v>0</v>
      </c>
      <c r="Z428" s="566">
        <f t="shared" si="705"/>
        <v>0</v>
      </c>
      <c r="AA428" s="564">
        <f t="shared" si="705"/>
        <v>0</v>
      </c>
      <c r="AB428" s="565">
        <f t="shared" si="705"/>
        <v>0</v>
      </c>
      <c r="AC428" s="565">
        <f t="shared" si="705"/>
        <v>0</v>
      </c>
      <c r="AD428" s="565">
        <f t="shared" si="705"/>
        <v>0</v>
      </c>
      <c r="AE428" s="566">
        <f t="shared" si="705"/>
        <v>0</v>
      </c>
      <c r="AF428" s="564">
        <f t="shared" si="705"/>
        <v>0</v>
      </c>
      <c r="AG428" s="565">
        <f t="shared" si="705"/>
        <v>0</v>
      </c>
      <c r="AH428" s="565">
        <f t="shared" si="705"/>
        <v>0</v>
      </c>
      <c r="AI428" s="565">
        <f t="shared" si="705"/>
        <v>0</v>
      </c>
      <c r="AJ428" s="566">
        <f t="shared" si="705"/>
        <v>0</v>
      </c>
      <c r="AK428" s="569"/>
      <c r="AL428" s="569"/>
      <c r="AN428" s="857"/>
      <c r="AO428" s="984" t="str">
        <f t="shared" si="624"/>
        <v>Rev</v>
      </c>
      <c r="AP428" s="985" t="str">
        <f t="shared" si="625"/>
        <v>[Service]</v>
      </c>
      <c r="AQ428" s="986" t="str">
        <f t="shared" si="626"/>
        <v>[Price]</v>
      </c>
      <c r="AR428" s="990" t="str">
        <f t="shared" si="627"/>
        <v>-</v>
      </c>
      <c r="AS428" s="987" t="str">
        <f t="shared" si="628"/>
        <v>-</v>
      </c>
      <c r="AT428" s="987" t="str">
        <f t="shared" si="629"/>
        <v>-</v>
      </c>
      <c r="AU428" s="987" t="str">
        <f t="shared" si="630"/>
        <v>-</v>
      </c>
      <c r="AV428" s="1353" t="str">
        <f t="shared" si="631"/>
        <v>-</v>
      </c>
      <c r="AW428" s="1346" t="str">
        <f t="shared" si="632"/>
        <v>-</v>
      </c>
      <c r="AX428" s="987" t="str">
        <f t="shared" si="633"/>
        <v>-</v>
      </c>
      <c r="AY428" s="987" t="str">
        <f t="shared" si="634"/>
        <v>-</v>
      </c>
      <c r="AZ428" s="987" t="str">
        <f t="shared" si="635"/>
        <v>-</v>
      </c>
      <c r="BA428" s="988" t="str">
        <f t="shared" si="636"/>
        <v>-</v>
      </c>
      <c r="BB428" s="1346" t="str">
        <f t="shared" si="637"/>
        <v>-</v>
      </c>
      <c r="BC428" s="987" t="str">
        <f t="shared" si="638"/>
        <v>-</v>
      </c>
      <c r="BD428" s="987" t="str">
        <f t="shared" si="639"/>
        <v>-</v>
      </c>
      <c r="BE428" s="987" t="str">
        <f t="shared" si="640"/>
        <v>-</v>
      </c>
      <c r="BF428" s="989" t="str">
        <f t="shared" si="641"/>
        <v>-</v>
      </c>
      <c r="BG428" s="951"/>
      <c r="BH428" s="1550" t="str">
        <f t="shared" si="673"/>
        <v>Rev</v>
      </c>
      <c r="BI428" s="1551" t="str">
        <f t="shared" si="673"/>
        <v>[Service]</v>
      </c>
      <c r="BJ428" s="1552" t="str">
        <f t="shared" si="673"/>
        <v>[Price]</v>
      </c>
      <c r="BK428" s="987" t="str">
        <f t="shared" ref="BK428:BU428" si="706">IF(V428="","-",IFERROR((V428/U428-1)*(U428/U$13),"-"))</f>
        <v>-</v>
      </c>
      <c r="BL428" s="987" t="str">
        <f t="shared" si="706"/>
        <v>-</v>
      </c>
      <c r="BM428" s="987" t="str">
        <f t="shared" si="706"/>
        <v>-</v>
      </c>
      <c r="BN428" s="987" t="str">
        <f t="shared" si="706"/>
        <v>-</v>
      </c>
      <c r="BO428" s="1353" t="str">
        <f t="shared" si="706"/>
        <v>-</v>
      </c>
      <c r="BP428" s="1346" t="str">
        <f t="shared" si="706"/>
        <v>-</v>
      </c>
      <c r="BQ428" s="987" t="str">
        <f t="shared" si="706"/>
        <v>-</v>
      </c>
      <c r="BR428" s="987" t="str">
        <f t="shared" si="706"/>
        <v>-</v>
      </c>
      <c r="BS428" s="987" t="str">
        <f t="shared" si="706"/>
        <v>-</v>
      </c>
      <c r="BT428" s="988" t="str">
        <f t="shared" si="706"/>
        <v>-</v>
      </c>
      <c r="BU428" s="987" t="str">
        <f t="shared" si="706"/>
        <v>-</v>
      </c>
      <c r="BV428" s="987" t="str">
        <f>IF(AG428="","-",IFERROR((AG428/AF428-1)*(AF428/AF$13),"-"))</f>
        <v>-</v>
      </c>
      <c r="BW428" s="987" t="str">
        <f>IF(AH428="","-",IFERROR((AH428/AG428-1)*(AG428/AG$13),"-"))</f>
        <v>-</v>
      </c>
      <c r="BX428" s="987" t="str">
        <f>IF(AI428="","-",IFERROR((AI428/AH428-1)*(AH428/AH$13),"-"))</f>
        <v>-</v>
      </c>
      <c r="BY428" s="989" t="str">
        <f>IF(AJ428="","-",IFERROR((AJ428/AI428-1)*(AI428/AI$13),"-"))</f>
        <v>-</v>
      </c>
      <c r="BZ428" s="951"/>
      <c r="CA428" s="984" t="str">
        <f t="shared" si="620"/>
        <v>Rev</v>
      </c>
      <c r="CB428" s="985" t="str">
        <f t="shared" si="621"/>
        <v>[Service]</v>
      </c>
      <c r="CC428" s="985" t="str">
        <f t="shared" si="622"/>
        <v>[Price]</v>
      </c>
      <c r="CD428" s="990" t="str">
        <f t="shared" si="653"/>
        <v>-</v>
      </c>
      <c r="CE428" s="987" t="str">
        <f t="shared" si="646"/>
        <v>-</v>
      </c>
      <c r="CF428" s="987" t="str">
        <f t="shared" si="647"/>
        <v>-</v>
      </c>
      <c r="CG428" s="988" t="str">
        <f t="shared" si="648"/>
        <v>-</v>
      </c>
      <c r="CH428" s="987" t="str">
        <f t="shared" si="654"/>
        <v>-</v>
      </c>
      <c r="CI428" s="987" t="str">
        <f t="shared" si="649"/>
        <v>-</v>
      </c>
      <c r="CJ428" s="987" t="str">
        <f t="shared" si="650"/>
        <v>-</v>
      </c>
      <c r="CK428" s="989" t="str">
        <f t="shared" si="651"/>
        <v>-</v>
      </c>
    </row>
    <row r="429" spans="4:89" outlineLevel="1">
      <c r="D429" s="63">
        <f>D426+1</f>
        <v>121</v>
      </c>
      <c r="E429" s="550" t="s">
        <v>857</v>
      </c>
      <c r="F429" s="595" t="s">
        <v>428</v>
      </c>
      <c r="G429" s="595"/>
      <c r="H429" s="595"/>
      <c r="I429" s="589" t="s">
        <v>920</v>
      </c>
      <c r="J429" s="589" t="s">
        <v>879</v>
      </c>
      <c r="K429" s="551"/>
      <c r="L429" s="552"/>
      <c r="M429" s="552"/>
      <c r="N429" s="551"/>
      <c r="O429" s="552"/>
      <c r="P429" s="552"/>
      <c r="Q429" s="552"/>
      <c r="R429" s="1035"/>
      <c r="S429" s="1138"/>
      <c r="T429" s="591"/>
      <c r="U429" s="1035"/>
      <c r="V429" s="1138"/>
      <c r="W429" s="591"/>
      <c r="X429" s="591"/>
      <c r="Y429" s="591"/>
      <c r="Z429" s="1035"/>
      <c r="AA429" s="1138"/>
      <c r="AB429" s="591"/>
      <c r="AC429" s="591"/>
      <c r="AD429" s="591"/>
      <c r="AE429" s="1035"/>
      <c r="AF429" s="1138"/>
      <c r="AG429" s="591"/>
      <c r="AH429" s="591"/>
      <c r="AI429" s="591"/>
      <c r="AJ429" s="1035"/>
      <c r="AK429" s="569"/>
      <c r="AL429" s="569"/>
      <c r="AM429" s="974"/>
      <c r="AN429" s="857"/>
      <c r="AO429" s="975" t="str">
        <f t="shared" si="624"/>
        <v>Price</v>
      </c>
      <c r="AP429" s="976" t="str">
        <f t="shared" si="625"/>
        <v>[Service]</v>
      </c>
      <c r="AQ429" s="977" t="str">
        <f t="shared" si="626"/>
        <v>[Price]</v>
      </c>
      <c r="AR429" s="1341" t="str">
        <f t="shared" si="627"/>
        <v>-</v>
      </c>
      <c r="AS429" s="978" t="str">
        <f t="shared" si="628"/>
        <v>-</v>
      </c>
      <c r="AT429" s="979" t="str">
        <f t="shared" si="629"/>
        <v>-</v>
      </c>
      <c r="AU429" s="979" t="str">
        <f t="shared" si="630"/>
        <v>-</v>
      </c>
      <c r="AV429" s="1352" t="str">
        <f t="shared" si="631"/>
        <v>-</v>
      </c>
      <c r="AW429" s="1345" t="str">
        <f t="shared" si="632"/>
        <v>-</v>
      </c>
      <c r="AX429" s="979" t="str">
        <f t="shared" si="633"/>
        <v>-</v>
      </c>
      <c r="AY429" s="979" t="str">
        <f t="shared" si="634"/>
        <v>-</v>
      </c>
      <c r="AZ429" s="979" t="str">
        <f t="shared" si="635"/>
        <v>-</v>
      </c>
      <c r="BA429" s="980" t="str">
        <f t="shared" si="636"/>
        <v>-</v>
      </c>
      <c r="BB429" s="1345" t="str">
        <f t="shared" si="637"/>
        <v>-</v>
      </c>
      <c r="BC429" s="979" t="str">
        <f t="shared" si="638"/>
        <v>-</v>
      </c>
      <c r="BD429" s="979" t="str">
        <f t="shared" si="639"/>
        <v>-</v>
      </c>
      <c r="BE429" s="979" t="str">
        <f t="shared" si="640"/>
        <v>-</v>
      </c>
      <c r="BF429" s="981" t="str">
        <f t="shared" si="641"/>
        <v>-</v>
      </c>
      <c r="BG429" s="951"/>
      <c r="BH429" s="1547" t="str">
        <f t="shared" si="673"/>
        <v>Price</v>
      </c>
      <c r="BI429" s="1548" t="str">
        <f t="shared" si="673"/>
        <v>[Service]</v>
      </c>
      <c r="BJ429" s="1549" t="str">
        <f t="shared" si="673"/>
        <v>[Price]</v>
      </c>
      <c r="BK429" s="978" t="str">
        <f t="shared" ref="BK429:BU429" si="707">IF(V429="","-",IFERROR((V429/U429-1)*(U431/U$13),"-"))</f>
        <v>-</v>
      </c>
      <c r="BL429" s="978" t="str">
        <f t="shared" si="707"/>
        <v>-</v>
      </c>
      <c r="BM429" s="979" t="str">
        <f t="shared" si="707"/>
        <v>-</v>
      </c>
      <c r="BN429" s="979" t="str">
        <f t="shared" si="707"/>
        <v>-</v>
      </c>
      <c r="BO429" s="1352" t="str">
        <f t="shared" si="707"/>
        <v>-</v>
      </c>
      <c r="BP429" s="1345" t="str">
        <f t="shared" si="707"/>
        <v>-</v>
      </c>
      <c r="BQ429" s="979" t="str">
        <f t="shared" si="707"/>
        <v>-</v>
      </c>
      <c r="BR429" s="979" t="str">
        <f t="shared" si="707"/>
        <v>-</v>
      </c>
      <c r="BS429" s="979" t="str">
        <f t="shared" si="707"/>
        <v>-</v>
      </c>
      <c r="BT429" s="980" t="str">
        <f t="shared" si="707"/>
        <v>-</v>
      </c>
      <c r="BU429" s="979" t="str">
        <f t="shared" si="707"/>
        <v>-</v>
      </c>
      <c r="BV429" s="979" t="str">
        <f>IF(AG429="","-",IFERROR((AG429/AF429-1)*(AF431/AF$13),"-"))</f>
        <v>-</v>
      </c>
      <c r="BW429" s="979" t="str">
        <f>IF(AH429="","-",IFERROR((AH429/AG429-1)*(AG431/AG$13),"-"))</f>
        <v>-</v>
      </c>
      <c r="BX429" s="979" t="str">
        <f>IF(AI429="","-",IFERROR((AI429/AH429-1)*(AH431/AH$13),"-"))</f>
        <v>-</v>
      </c>
      <c r="BY429" s="981" t="str">
        <f>IF(AJ429="","-",IFERROR((AJ429/AI429-1)*(AI431/AI$13),"-"))</f>
        <v>-</v>
      </c>
      <c r="BZ429" s="951"/>
      <c r="CA429" s="975" t="str">
        <f t="shared" si="620"/>
        <v>Price</v>
      </c>
      <c r="CB429" s="976" t="str">
        <f t="shared" si="621"/>
        <v>[Service]</v>
      </c>
      <c r="CC429" s="982" t="str">
        <f t="shared" si="622"/>
        <v>[Price]</v>
      </c>
      <c r="CD429" s="983" t="str">
        <f t="shared" si="653"/>
        <v>-</v>
      </c>
      <c r="CE429" s="979" t="str">
        <f t="shared" si="646"/>
        <v>-</v>
      </c>
      <c r="CF429" s="979" t="str">
        <f t="shared" si="647"/>
        <v>-</v>
      </c>
      <c r="CG429" s="980" t="str">
        <f t="shared" si="648"/>
        <v>-</v>
      </c>
      <c r="CH429" s="979" t="str">
        <f t="shared" si="654"/>
        <v>-</v>
      </c>
      <c r="CI429" s="979" t="str">
        <f t="shared" si="649"/>
        <v>-</v>
      </c>
      <c r="CJ429" s="979" t="str">
        <f t="shared" si="650"/>
        <v>-</v>
      </c>
      <c r="CK429" s="981" t="str">
        <f t="shared" si="651"/>
        <v>-</v>
      </c>
    </row>
    <row r="430" spans="4:89" outlineLevel="1">
      <c r="E430" s="567" t="s">
        <v>880</v>
      </c>
      <c r="F430" s="554" t="str">
        <f>+F429</f>
        <v>[Service]</v>
      </c>
      <c r="G430" s="555">
        <f>+G429</f>
        <v>0</v>
      </c>
      <c r="H430" s="555">
        <f>+H429</f>
        <v>0</v>
      </c>
      <c r="I430" s="556" t="str">
        <f>+I429</f>
        <v>[Price]</v>
      </c>
      <c r="J430" s="590" t="s">
        <v>916</v>
      </c>
      <c r="K430" s="557"/>
      <c r="L430" s="558"/>
      <c r="M430" s="558"/>
      <c r="N430" s="557"/>
      <c r="O430" s="558"/>
      <c r="P430" s="558"/>
      <c r="Q430" s="558"/>
      <c r="R430" s="1036"/>
      <c r="S430" s="1139"/>
      <c r="T430" s="593"/>
      <c r="U430" s="1036"/>
      <c r="V430" s="1139"/>
      <c r="W430" s="593"/>
      <c r="X430" s="593"/>
      <c r="Y430" s="593"/>
      <c r="Z430" s="1036"/>
      <c r="AA430" s="1139"/>
      <c r="AB430" s="593"/>
      <c r="AC430" s="593"/>
      <c r="AD430" s="593"/>
      <c r="AE430" s="1036"/>
      <c r="AF430" s="1139"/>
      <c r="AG430" s="593"/>
      <c r="AH430" s="593"/>
      <c r="AI430" s="593"/>
      <c r="AJ430" s="1036"/>
      <c r="AK430" s="569"/>
      <c r="AL430" s="569"/>
      <c r="AN430" s="857"/>
      <c r="AO430" s="961" t="str">
        <f t="shared" si="624"/>
        <v>Qty</v>
      </c>
      <c r="AP430" s="962" t="str">
        <f t="shared" si="625"/>
        <v>[Service]</v>
      </c>
      <c r="AQ430" s="963" t="str">
        <f t="shared" si="626"/>
        <v>[Price]</v>
      </c>
      <c r="AR430" s="967" t="str">
        <f t="shared" si="627"/>
        <v>-</v>
      </c>
      <c r="AS430" s="964" t="str">
        <f t="shared" si="628"/>
        <v>-</v>
      </c>
      <c r="AT430" s="964" t="str">
        <f t="shared" si="629"/>
        <v>-</v>
      </c>
      <c r="AU430" s="964" t="str">
        <f t="shared" si="630"/>
        <v>-</v>
      </c>
      <c r="AV430" s="1350" t="str">
        <f t="shared" si="631"/>
        <v>-</v>
      </c>
      <c r="AW430" s="1343" t="str">
        <f t="shared" si="632"/>
        <v>-</v>
      </c>
      <c r="AX430" s="964" t="str">
        <f t="shared" si="633"/>
        <v>-</v>
      </c>
      <c r="AY430" s="964" t="str">
        <f t="shared" si="634"/>
        <v>-</v>
      </c>
      <c r="AZ430" s="964" t="str">
        <f t="shared" si="635"/>
        <v>-</v>
      </c>
      <c r="BA430" s="965" t="str">
        <f t="shared" si="636"/>
        <v>-</v>
      </c>
      <c r="BB430" s="1343" t="str">
        <f t="shared" si="637"/>
        <v>-</v>
      </c>
      <c r="BC430" s="964" t="str">
        <f t="shared" si="638"/>
        <v>-</v>
      </c>
      <c r="BD430" s="964" t="str">
        <f t="shared" si="639"/>
        <v>-</v>
      </c>
      <c r="BE430" s="964" t="str">
        <f t="shared" si="640"/>
        <v>-</v>
      </c>
      <c r="BF430" s="966" t="str">
        <f t="shared" si="641"/>
        <v>-</v>
      </c>
      <c r="BG430" s="951"/>
      <c r="BH430" s="1541" t="str">
        <f t="shared" si="673"/>
        <v>Qty</v>
      </c>
      <c r="BI430" s="1542" t="str">
        <f t="shared" si="673"/>
        <v>[Service]</v>
      </c>
      <c r="BJ430" s="1543" t="str">
        <f t="shared" si="673"/>
        <v>[Price]</v>
      </c>
      <c r="BK430" s="964" t="str">
        <f t="shared" ref="BK430:BU430" si="708">IF(V430="","-",IFERROR((V430/U430-1)*(U431/U$13),"-"))</f>
        <v>-</v>
      </c>
      <c r="BL430" s="964" t="str">
        <f t="shared" si="708"/>
        <v>-</v>
      </c>
      <c r="BM430" s="964" t="str">
        <f t="shared" si="708"/>
        <v>-</v>
      </c>
      <c r="BN430" s="964" t="str">
        <f t="shared" si="708"/>
        <v>-</v>
      </c>
      <c r="BO430" s="1350" t="str">
        <f t="shared" si="708"/>
        <v>-</v>
      </c>
      <c r="BP430" s="1343" t="str">
        <f t="shared" si="708"/>
        <v>-</v>
      </c>
      <c r="BQ430" s="964" t="str">
        <f t="shared" si="708"/>
        <v>-</v>
      </c>
      <c r="BR430" s="964" t="str">
        <f t="shared" si="708"/>
        <v>-</v>
      </c>
      <c r="BS430" s="964" t="str">
        <f t="shared" si="708"/>
        <v>-</v>
      </c>
      <c r="BT430" s="965" t="str">
        <f t="shared" si="708"/>
        <v>-</v>
      </c>
      <c r="BU430" s="964" t="str">
        <f t="shared" si="708"/>
        <v>-</v>
      </c>
      <c r="BV430" s="964" t="str">
        <f>IF(AG430="","-",IFERROR((AG430/AF430-1)*(AF431/AF$13),"-"))</f>
        <v>-</v>
      </c>
      <c r="BW430" s="964" t="str">
        <f>IF(AH430="","-",IFERROR((AH430/AG430-1)*(AG431/AG$13),"-"))</f>
        <v>-</v>
      </c>
      <c r="BX430" s="964" t="str">
        <f>IF(AI430="","-",IFERROR((AI430/AH430-1)*(AH431/AH$13),"-"))</f>
        <v>-</v>
      </c>
      <c r="BY430" s="966" t="str">
        <f>IF(AJ430="","-",IFERROR((AJ430/AI430-1)*(AI431/AI$13),"-"))</f>
        <v>-</v>
      </c>
      <c r="BZ430" s="951"/>
      <c r="CA430" s="961" t="str">
        <f t="shared" si="620"/>
        <v>Qty</v>
      </c>
      <c r="CB430" s="962" t="str">
        <f t="shared" si="621"/>
        <v>[Service]</v>
      </c>
      <c r="CC430" s="962" t="str">
        <f t="shared" si="622"/>
        <v>[Price]</v>
      </c>
      <c r="CD430" s="967" t="str">
        <f t="shared" si="653"/>
        <v>-</v>
      </c>
      <c r="CE430" s="964" t="str">
        <f t="shared" si="646"/>
        <v>-</v>
      </c>
      <c r="CF430" s="964" t="str">
        <f t="shared" si="647"/>
        <v>-</v>
      </c>
      <c r="CG430" s="965" t="str">
        <f t="shared" si="648"/>
        <v>-</v>
      </c>
      <c r="CH430" s="964" t="str">
        <f t="shared" si="654"/>
        <v>-</v>
      </c>
      <c r="CI430" s="964" t="str">
        <f t="shared" si="649"/>
        <v>-</v>
      </c>
      <c r="CJ430" s="964" t="str">
        <f t="shared" si="650"/>
        <v>-</v>
      </c>
      <c r="CK430" s="966" t="str">
        <f t="shared" si="651"/>
        <v>-</v>
      </c>
    </row>
    <row r="431" spans="4:89" ht="12.75" outlineLevel="1" thickBot="1">
      <c r="E431" s="568" t="s">
        <v>882</v>
      </c>
      <c r="F431" s="560" t="str">
        <f>+F429</f>
        <v>[Service]</v>
      </c>
      <c r="G431" s="561">
        <f>+G429</f>
        <v>0</v>
      </c>
      <c r="H431" s="561">
        <f>+H429</f>
        <v>0</v>
      </c>
      <c r="I431" s="562" t="str">
        <f>+I429</f>
        <v>[Price]</v>
      </c>
      <c r="J431" s="563" t="s">
        <v>883</v>
      </c>
      <c r="K431" s="564">
        <f t="shared" ref="K431:AJ431" si="709">K429*K430/10^6</f>
        <v>0</v>
      </c>
      <c r="L431" s="565">
        <f t="shared" si="709"/>
        <v>0</v>
      </c>
      <c r="M431" s="565">
        <f t="shared" si="709"/>
        <v>0</v>
      </c>
      <c r="N431" s="564">
        <f t="shared" si="709"/>
        <v>0</v>
      </c>
      <c r="O431" s="565">
        <f t="shared" si="709"/>
        <v>0</v>
      </c>
      <c r="P431" s="565">
        <f t="shared" si="709"/>
        <v>0</v>
      </c>
      <c r="Q431" s="565">
        <f t="shared" si="709"/>
        <v>0</v>
      </c>
      <c r="R431" s="566">
        <f t="shared" si="709"/>
        <v>0</v>
      </c>
      <c r="S431" s="564">
        <f t="shared" si="709"/>
        <v>0</v>
      </c>
      <c r="T431" s="565">
        <f t="shared" si="709"/>
        <v>0</v>
      </c>
      <c r="U431" s="566">
        <f t="shared" si="709"/>
        <v>0</v>
      </c>
      <c r="V431" s="564">
        <f t="shared" si="709"/>
        <v>0</v>
      </c>
      <c r="W431" s="565">
        <f t="shared" si="709"/>
        <v>0</v>
      </c>
      <c r="X431" s="565">
        <f t="shared" si="709"/>
        <v>0</v>
      </c>
      <c r="Y431" s="565">
        <f t="shared" si="709"/>
        <v>0</v>
      </c>
      <c r="Z431" s="566">
        <f t="shared" si="709"/>
        <v>0</v>
      </c>
      <c r="AA431" s="564">
        <f t="shared" si="709"/>
        <v>0</v>
      </c>
      <c r="AB431" s="565">
        <f t="shared" si="709"/>
        <v>0</v>
      </c>
      <c r="AC431" s="565">
        <f t="shared" si="709"/>
        <v>0</v>
      </c>
      <c r="AD431" s="565">
        <f t="shared" si="709"/>
        <v>0</v>
      </c>
      <c r="AE431" s="566">
        <f t="shared" si="709"/>
        <v>0</v>
      </c>
      <c r="AF431" s="564">
        <f t="shared" si="709"/>
        <v>0</v>
      </c>
      <c r="AG431" s="565">
        <f t="shared" si="709"/>
        <v>0</v>
      </c>
      <c r="AH431" s="565">
        <f t="shared" si="709"/>
        <v>0</v>
      </c>
      <c r="AI431" s="565">
        <f t="shared" si="709"/>
        <v>0</v>
      </c>
      <c r="AJ431" s="566">
        <f t="shared" si="709"/>
        <v>0</v>
      </c>
      <c r="AK431" s="569"/>
      <c r="AL431" s="569"/>
      <c r="AN431" s="857"/>
      <c r="AO431" s="984" t="str">
        <f t="shared" si="624"/>
        <v>Rev</v>
      </c>
      <c r="AP431" s="985" t="str">
        <f t="shared" si="625"/>
        <v>[Service]</v>
      </c>
      <c r="AQ431" s="986" t="str">
        <f t="shared" si="626"/>
        <v>[Price]</v>
      </c>
      <c r="AR431" s="990" t="str">
        <f t="shared" si="627"/>
        <v>-</v>
      </c>
      <c r="AS431" s="987" t="str">
        <f t="shared" si="628"/>
        <v>-</v>
      </c>
      <c r="AT431" s="987" t="str">
        <f t="shared" si="629"/>
        <v>-</v>
      </c>
      <c r="AU431" s="987" t="str">
        <f t="shared" si="630"/>
        <v>-</v>
      </c>
      <c r="AV431" s="1353" t="str">
        <f t="shared" si="631"/>
        <v>-</v>
      </c>
      <c r="AW431" s="1346" t="str">
        <f t="shared" si="632"/>
        <v>-</v>
      </c>
      <c r="AX431" s="987" t="str">
        <f t="shared" si="633"/>
        <v>-</v>
      </c>
      <c r="AY431" s="987" t="str">
        <f t="shared" si="634"/>
        <v>-</v>
      </c>
      <c r="AZ431" s="987" t="str">
        <f t="shared" si="635"/>
        <v>-</v>
      </c>
      <c r="BA431" s="988" t="str">
        <f t="shared" si="636"/>
        <v>-</v>
      </c>
      <c r="BB431" s="1346" t="str">
        <f t="shared" si="637"/>
        <v>-</v>
      </c>
      <c r="BC431" s="987" t="str">
        <f t="shared" si="638"/>
        <v>-</v>
      </c>
      <c r="BD431" s="987" t="str">
        <f t="shared" si="639"/>
        <v>-</v>
      </c>
      <c r="BE431" s="987" t="str">
        <f t="shared" si="640"/>
        <v>-</v>
      </c>
      <c r="BF431" s="989" t="str">
        <f t="shared" si="641"/>
        <v>-</v>
      </c>
      <c r="BG431" s="951"/>
      <c r="BH431" s="1550" t="str">
        <f t="shared" si="673"/>
        <v>Rev</v>
      </c>
      <c r="BI431" s="1551" t="str">
        <f t="shared" si="673"/>
        <v>[Service]</v>
      </c>
      <c r="BJ431" s="1552" t="str">
        <f t="shared" si="673"/>
        <v>[Price]</v>
      </c>
      <c r="BK431" s="987" t="str">
        <f t="shared" ref="BK431:BU431" si="710">IF(V431="","-",IFERROR((V431/U431-1)*(U431/U$13),"-"))</f>
        <v>-</v>
      </c>
      <c r="BL431" s="987" t="str">
        <f t="shared" si="710"/>
        <v>-</v>
      </c>
      <c r="BM431" s="987" t="str">
        <f t="shared" si="710"/>
        <v>-</v>
      </c>
      <c r="BN431" s="987" t="str">
        <f t="shared" si="710"/>
        <v>-</v>
      </c>
      <c r="BO431" s="1353" t="str">
        <f t="shared" si="710"/>
        <v>-</v>
      </c>
      <c r="BP431" s="1346" t="str">
        <f t="shared" si="710"/>
        <v>-</v>
      </c>
      <c r="BQ431" s="987" t="str">
        <f t="shared" si="710"/>
        <v>-</v>
      </c>
      <c r="BR431" s="987" t="str">
        <f t="shared" si="710"/>
        <v>-</v>
      </c>
      <c r="BS431" s="987" t="str">
        <f t="shared" si="710"/>
        <v>-</v>
      </c>
      <c r="BT431" s="988" t="str">
        <f t="shared" si="710"/>
        <v>-</v>
      </c>
      <c r="BU431" s="987" t="str">
        <f t="shared" si="710"/>
        <v>-</v>
      </c>
      <c r="BV431" s="987" t="str">
        <f>IF(AG431="","-",IFERROR((AG431/AF431-1)*(AF431/AF$13),"-"))</f>
        <v>-</v>
      </c>
      <c r="BW431" s="987" t="str">
        <f>IF(AH431="","-",IFERROR((AH431/AG431-1)*(AG431/AG$13),"-"))</f>
        <v>-</v>
      </c>
      <c r="BX431" s="987" t="str">
        <f>IF(AI431="","-",IFERROR((AI431/AH431-1)*(AH431/AH$13),"-"))</f>
        <v>-</v>
      </c>
      <c r="BY431" s="989" t="str">
        <f>IF(AJ431="","-",IFERROR((AJ431/AI431-1)*(AI431/AI$13),"-"))</f>
        <v>-</v>
      </c>
      <c r="BZ431" s="951"/>
      <c r="CA431" s="984" t="str">
        <f t="shared" si="620"/>
        <v>Rev</v>
      </c>
      <c r="CB431" s="985" t="str">
        <f t="shared" si="621"/>
        <v>[Service]</v>
      </c>
      <c r="CC431" s="985" t="str">
        <f t="shared" si="622"/>
        <v>[Price]</v>
      </c>
      <c r="CD431" s="990" t="str">
        <f t="shared" si="653"/>
        <v>-</v>
      </c>
      <c r="CE431" s="987" t="str">
        <f t="shared" si="646"/>
        <v>-</v>
      </c>
      <c r="CF431" s="987" t="str">
        <f t="shared" si="647"/>
        <v>-</v>
      </c>
      <c r="CG431" s="988" t="str">
        <f t="shared" si="648"/>
        <v>-</v>
      </c>
      <c r="CH431" s="987" t="str">
        <f t="shared" si="654"/>
        <v>-</v>
      </c>
      <c r="CI431" s="987" t="str">
        <f t="shared" si="649"/>
        <v>-</v>
      </c>
      <c r="CJ431" s="987" t="str">
        <f t="shared" si="650"/>
        <v>-</v>
      </c>
      <c r="CK431" s="989" t="str">
        <f t="shared" si="651"/>
        <v>-</v>
      </c>
    </row>
    <row r="432" spans="4:89" outlineLevel="1">
      <c r="D432" s="63">
        <f>D429+1</f>
        <v>122</v>
      </c>
      <c r="E432" s="550" t="s">
        <v>857</v>
      </c>
      <c r="F432" s="595" t="s">
        <v>428</v>
      </c>
      <c r="G432" s="595"/>
      <c r="H432" s="595"/>
      <c r="I432" s="589" t="s">
        <v>920</v>
      </c>
      <c r="J432" s="589" t="s">
        <v>879</v>
      </c>
      <c r="K432" s="551"/>
      <c r="L432" s="552"/>
      <c r="M432" s="552"/>
      <c r="N432" s="551"/>
      <c r="O432" s="552"/>
      <c r="P432" s="552"/>
      <c r="Q432" s="552"/>
      <c r="R432" s="1035"/>
      <c r="S432" s="1138"/>
      <c r="T432" s="591"/>
      <c r="U432" s="1035"/>
      <c r="V432" s="1138"/>
      <c r="W432" s="591"/>
      <c r="X432" s="591"/>
      <c r="Y432" s="591"/>
      <c r="Z432" s="1035"/>
      <c r="AA432" s="1138"/>
      <c r="AB432" s="591"/>
      <c r="AC432" s="591"/>
      <c r="AD432" s="591"/>
      <c r="AE432" s="1035"/>
      <c r="AF432" s="1138"/>
      <c r="AG432" s="591"/>
      <c r="AH432" s="591"/>
      <c r="AI432" s="591"/>
      <c r="AJ432" s="1035"/>
      <c r="AK432" s="569"/>
      <c r="AL432" s="569"/>
      <c r="AM432" s="974"/>
      <c r="AN432" s="857"/>
      <c r="AO432" s="975" t="str">
        <f t="shared" si="624"/>
        <v>Price</v>
      </c>
      <c r="AP432" s="976" t="str">
        <f t="shared" si="625"/>
        <v>[Service]</v>
      </c>
      <c r="AQ432" s="977" t="str">
        <f t="shared" si="626"/>
        <v>[Price]</v>
      </c>
      <c r="AR432" s="1341" t="str">
        <f t="shared" si="627"/>
        <v>-</v>
      </c>
      <c r="AS432" s="978" t="str">
        <f t="shared" si="628"/>
        <v>-</v>
      </c>
      <c r="AT432" s="979" t="str">
        <f t="shared" si="629"/>
        <v>-</v>
      </c>
      <c r="AU432" s="979" t="str">
        <f t="shared" si="630"/>
        <v>-</v>
      </c>
      <c r="AV432" s="1352" t="str">
        <f t="shared" si="631"/>
        <v>-</v>
      </c>
      <c r="AW432" s="1345" t="str">
        <f t="shared" si="632"/>
        <v>-</v>
      </c>
      <c r="AX432" s="979" t="str">
        <f t="shared" si="633"/>
        <v>-</v>
      </c>
      <c r="AY432" s="979" t="str">
        <f t="shared" si="634"/>
        <v>-</v>
      </c>
      <c r="AZ432" s="979" t="str">
        <f t="shared" si="635"/>
        <v>-</v>
      </c>
      <c r="BA432" s="980" t="str">
        <f t="shared" si="636"/>
        <v>-</v>
      </c>
      <c r="BB432" s="1345" t="str">
        <f t="shared" si="637"/>
        <v>-</v>
      </c>
      <c r="BC432" s="979" t="str">
        <f t="shared" si="638"/>
        <v>-</v>
      </c>
      <c r="BD432" s="979" t="str">
        <f t="shared" si="639"/>
        <v>-</v>
      </c>
      <c r="BE432" s="979" t="str">
        <f t="shared" si="640"/>
        <v>-</v>
      </c>
      <c r="BF432" s="981" t="str">
        <f t="shared" si="641"/>
        <v>-</v>
      </c>
      <c r="BG432" s="951"/>
      <c r="BH432" s="1547" t="str">
        <f t="shared" si="673"/>
        <v>Price</v>
      </c>
      <c r="BI432" s="1548" t="str">
        <f t="shared" si="673"/>
        <v>[Service]</v>
      </c>
      <c r="BJ432" s="1549" t="str">
        <f t="shared" si="673"/>
        <v>[Price]</v>
      </c>
      <c r="BK432" s="978" t="str">
        <f t="shared" ref="BK432:BU432" si="711">IF(V432="","-",IFERROR((V432/U432-1)*(U434/U$13),"-"))</f>
        <v>-</v>
      </c>
      <c r="BL432" s="978" t="str">
        <f t="shared" si="711"/>
        <v>-</v>
      </c>
      <c r="BM432" s="979" t="str">
        <f t="shared" si="711"/>
        <v>-</v>
      </c>
      <c r="BN432" s="979" t="str">
        <f t="shared" si="711"/>
        <v>-</v>
      </c>
      <c r="BO432" s="1352" t="str">
        <f t="shared" si="711"/>
        <v>-</v>
      </c>
      <c r="BP432" s="1345" t="str">
        <f t="shared" si="711"/>
        <v>-</v>
      </c>
      <c r="BQ432" s="979" t="str">
        <f t="shared" si="711"/>
        <v>-</v>
      </c>
      <c r="BR432" s="979" t="str">
        <f t="shared" si="711"/>
        <v>-</v>
      </c>
      <c r="BS432" s="979" t="str">
        <f t="shared" si="711"/>
        <v>-</v>
      </c>
      <c r="BT432" s="980" t="str">
        <f t="shared" si="711"/>
        <v>-</v>
      </c>
      <c r="BU432" s="979" t="str">
        <f t="shared" si="711"/>
        <v>-</v>
      </c>
      <c r="BV432" s="979" t="str">
        <f>IF(AG432="","-",IFERROR((AG432/AF432-1)*(AF434/AF$13),"-"))</f>
        <v>-</v>
      </c>
      <c r="BW432" s="979" t="str">
        <f>IF(AH432="","-",IFERROR((AH432/AG432-1)*(AG434/AG$13),"-"))</f>
        <v>-</v>
      </c>
      <c r="BX432" s="979" t="str">
        <f>IF(AI432="","-",IFERROR((AI432/AH432-1)*(AH434/AH$13),"-"))</f>
        <v>-</v>
      </c>
      <c r="BY432" s="981" t="str">
        <f>IF(AJ432="","-",IFERROR((AJ432/AI432-1)*(AI434/AI$13),"-"))</f>
        <v>-</v>
      </c>
      <c r="BZ432" s="951"/>
      <c r="CA432" s="975" t="str">
        <f t="shared" si="620"/>
        <v>Price</v>
      </c>
      <c r="CB432" s="976" t="str">
        <f t="shared" si="621"/>
        <v>[Service]</v>
      </c>
      <c r="CC432" s="982" t="str">
        <f t="shared" si="622"/>
        <v>[Price]</v>
      </c>
      <c r="CD432" s="983" t="str">
        <f t="shared" si="653"/>
        <v>-</v>
      </c>
      <c r="CE432" s="979" t="str">
        <f t="shared" si="646"/>
        <v>-</v>
      </c>
      <c r="CF432" s="979" t="str">
        <f t="shared" si="647"/>
        <v>-</v>
      </c>
      <c r="CG432" s="980" t="str">
        <f t="shared" si="648"/>
        <v>-</v>
      </c>
      <c r="CH432" s="979" t="str">
        <f t="shared" si="654"/>
        <v>-</v>
      </c>
      <c r="CI432" s="979" t="str">
        <f t="shared" si="649"/>
        <v>-</v>
      </c>
      <c r="CJ432" s="979" t="str">
        <f t="shared" si="650"/>
        <v>-</v>
      </c>
      <c r="CK432" s="981" t="str">
        <f t="shared" si="651"/>
        <v>-</v>
      </c>
    </row>
    <row r="433" spans="4:89" outlineLevel="1">
      <c r="E433" s="567" t="s">
        <v>880</v>
      </c>
      <c r="F433" s="554" t="str">
        <f>+F432</f>
        <v>[Service]</v>
      </c>
      <c r="G433" s="555">
        <f>+G432</f>
        <v>0</v>
      </c>
      <c r="H433" s="555">
        <f>+H432</f>
        <v>0</v>
      </c>
      <c r="I433" s="556" t="str">
        <f>+I432</f>
        <v>[Price]</v>
      </c>
      <c r="J433" s="590" t="s">
        <v>916</v>
      </c>
      <c r="K433" s="557"/>
      <c r="L433" s="558"/>
      <c r="M433" s="558"/>
      <c r="N433" s="557"/>
      <c r="O433" s="558"/>
      <c r="P433" s="558"/>
      <c r="Q433" s="558"/>
      <c r="R433" s="1036"/>
      <c r="S433" s="1139"/>
      <c r="T433" s="593"/>
      <c r="U433" s="1036"/>
      <c r="V433" s="1139"/>
      <c r="W433" s="593"/>
      <c r="X433" s="593"/>
      <c r="Y433" s="593"/>
      <c r="Z433" s="1036"/>
      <c r="AA433" s="1139"/>
      <c r="AB433" s="593"/>
      <c r="AC433" s="593"/>
      <c r="AD433" s="593"/>
      <c r="AE433" s="1036"/>
      <c r="AF433" s="1139"/>
      <c r="AG433" s="593"/>
      <c r="AH433" s="593"/>
      <c r="AI433" s="593"/>
      <c r="AJ433" s="1036"/>
      <c r="AK433" s="569"/>
      <c r="AL433" s="569"/>
      <c r="AN433" s="857"/>
      <c r="AO433" s="961" t="str">
        <f t="shared" si="624"/>
        <v>Qty</v>
      </c>
      <c r="AP433" s="962" t="str">
        <f t="shared" si="625"/>
        <v>[Service]</v>
      </c>
      <c r="AQ433" s="963" t="str">
        <f t="shared" si="626"/>
        <v>[Price]</v>
      </c>
      <c r="AR433" s="967" t="str">
        <f t="shared" si="627"/>
        <v>-</v>
      </c>
      <c r="AS433" s="964" t="str">
        <f t="shared" si="628"/>
        <v>-</v>
      </c>
      <c r="AT433" s="964" t="str">
        <f t="shared" si="629"/>
        <v>-</v>
      </c>
      <c r="AU433" s="964" t="str">
        <f t="shared" si="630"/>
        <v>-</v>
      </c>
      <c r="AV433" s="1350" t="str">
        <f t="shared" si="631"/>
        <v>-</v>
      </c>
      <c r="AW433" s="1343" t="str">
        <f t="shared" si="632"/>
        <v>-</v>
      </c>
      <c r="AX433" s="964" t="str">
        <f t="shared" si="633"/>
        <v>-</v>
      </c>
      <c r="AY433" s="964" t="str">
        <f t="shared" si="634"/>
        <v>-</v>
      </c>
      <c r="AZ433" s="964" t="str">
        <f t="shared" si="635"/>
        <v>-</v>
      </c>
      <c r="BA433" s="965" t="str">
        <f t="shared" si="636"/>
        <v>-</v>
      </c>
      <c r="BB433" s="1343" t="str">
        <f t="shared" si="637"/>
        <v>-</v>
      </c>
      <c r="BC433" s="964" t="str">
        <f t="shared" si="638"/>
        <v>-</v>
      </c>
      <c r="BD433" s="964" t="str">
        <f t="shared" si="639"/>
        <v>-</v>
      </c>
      <c r="BE433" s="964" t="str">
        <f t="shared" si="640"/>
        <v>-</v>
      </c>
      <c r="BF433" s="966" t="str">
        <f t="shared" si="641"/>
        <v>-</v>
      </c>
      <c r="BG433" s="951"/>
      <c r="BH433" s="1541" t="str">
        <f t="shared" si="673"/>
        <v>Qty</v>
      </c>
      <c r="BI433" s="1542" t="str">
        <f t="shared" si="673"/>
        <v>[Service]</v>
      </c>
      <c r="BJ433" s="1543" t="str">
        <f t="shared" si="673"/>
        <v>[Price]</v>
      </c>
      <c r="BK433" s="964" t="str">
        <f t="shared" ref="BK433:BU433" si="712">IF(V433="","-",IFERROR((V433/U433-1)*(U434/U$13),"-"))</f>
        <v>-</v>
      </c>
      <c r="BL433" s="964" t="str">
        <f t="shared" si="712"/>
        <v>-</v>
      </c>
      <c r="BM433" s="964" t="str">
        <f t="shared" si="712"/>
        <v>-</v>
      </c>
      <c r="BN433" s="964" t="str">
        <f t="shared" si="712"/>
        <v>-</v>
      </c>
      <c r="BO433" s="1350" t="str">
        <f t="shared" si="712"/>
        <v>-</v>
      </c>
      <c r="BP433" s="1343" t="str">
        <f t="shared" si="712"/>
        <v>-</v>
      </c>
      <c r="BQ433" s="964" t="str">
        <f t="shared" si="712"/>
        <v>-</v>
      </c>
      <c r="BR433" s="964" t="str">
        <f t="shared" si="712"/>
        <v>-</v>
      </c>
      <c r="BS433" s="964" t="str">
        <f t="shared" si="712"/>
        <v>-</v>
      </c>
      <c r="BT433" s="965" t="str">
        <f t="shared" si="712"/>
        <v>-</v>
      </c>
      <c r="BU433" s="964" t="str">
        <f t="shared" si="712"/>
        <v>-</v>
      </c>
      <c r="BV433" s="964" t="str">
        <f>IF(AG433="","-",IFERROR((AG433/AF433-1)*(AF434/AF$13),"-"))</f>
        <v>-</v>
      </c>
      <c r="BW433" s="964" t="str">
        <f>IF(AH433="","-",IFERROR((AH433/AG433-1)*(AG434/AG$13),"-"))</f>
        <v>-</v>
      </c>
      <c r="BX433" s="964" t="str">
        <f>IF(AI433="","-",IFERROR((AI433/AH433-1)*(AH434/AH$13),"-"))</f>
        <v>-</v>
      </c>
      <c r="BY433" s="966" t="str">
        <f>IF(AJ433="","-",IFERROR((AJ433/AI433-1)*(AI434/AI$13),"-"))</f>
        <v>-</v>
      </c>
      <c r="BZ433" s="951"/>
      <c r="CA433" s="961" t="str">
        <f t="shared" si="620"/>
        <v>Qty</v>
      </c>
      <c r="CB433" s="962" t="str">
        <f t="shared" si="621"/>
        <v>[Service]</v>
      </c>
      <c r="CC433" s="962" t="str">
        <f t="shared" si="622"/>
        <v>[Price]</v>
      </c>
      <c r="CD433" s="967" t="str">
        <f t="shared" si="653"/>
        <v>-</v>
      </c>
      <c r="CE433" s="964" t="str">
        <f t="shared" si="646"/>
        <v>-</v>
      </c>
      <c r="CF433" s="964" t="str">
        <f t="shared" si="647"/>
        <v>-</v>
      </c>
      <c r="CG433" s="965" t="str">
        <f t="shared" si="648"/>
        <v>-</v>
      </c>
      <c r="CH433" s="964" t="str">
        <f t="shared" si="654"/>
        <v>-</v>
      </c>
      <c r="CI433" s="964" t="str">
        <f t="shared" si="649"/>
        <v>-</v>
      </c>
      <c r="CJ433" s="964" t="str">
        <f t="shared" si="650"/>
        <v>-</v>
      </c>
      <c r="CK433" s="966" t="str">
        <f t="shared" si="651"/>
        <v>-</v>
      </c>
    </row>
    <row r="434" spans="4:89" ht="12.75" outlineLevel="1" thickBot="1">
      <c r="E434" s="568" t="s">
        <v>882</v>
      </c>
      <c r="F434" s="560" t="str">
        <f>+F432</f>
        <v>[Service]</v>
      </c>
      <c r="G434" s="561">
        <f>+G432</f>
        <v>0</v>
      </c>
      <c r="H434" s="561">
        <f>+H432</f>
        <v>0</v>
      </c>
      <c r="I434" s="562" t="str">
        <f>+I432</f>
        <v>[Price]</v>
      </c>
      <c r="J434" s="563" t="s">
        <v>883</v>
      </c>
      <c r="K434" s="564">
        <f t="shared" ref="K434:AJ434" si="713">K432*K433/10^6</f>
        <v>0</v>
      </c>
      <c r="L434" s="565">
        <f t="shared" si="713"/>
        <v>0</v>
      </c>
      <c r="M434" s="565">
        <f t="shared" si="713"/>
        <v>0</v>
      </c>
      <c r="N434" s="564">
        <f t="shared" si="713"/>
        <v>0</v>
      </c>
      <c r="O434" s="565">
        <f t="shared" si="713"/>
        <v>0</v>
      </c>
      <c r="P434" s="565">
        <f t="shared" si="713"/>
        <v>0</v>
      </c>
      <c r="Q434" s="565">
        <f t="shared" si="713"/>
        <v>0</v>
      </c>
      <c r="R434" s="566">
        <f t="shared" si="713"/>
        <v>0</v>
      </c>
      <c r="S434" s="564">
        <f t="shared" si="713"/>
        <v>0</v>
      </c>
      <c r="T434" s="565">
        <f t="shared" si="713"/>
        <v>0</v>
      </c>
      <c r="U434" s="566">
        <f t="shared" si="713"/>
        <v>0</v>
      </c>
      <c r="V434" s="564">
        <f t="shared" si="713"/>
        <v>0</v>
      </c>
      <c r="W434" s="565">
        <f t="shared" si="713"/>
        <v>0</v>
      </c>
      <c r="X434" s="565">
        <f t="shared" si="713"/>
        <v>0</v>
      </c>
      <c r="Y434" s="565">
        <f t="shared" si="713"/>
        <v>0</v>
      </c>
      <c r="Z434" s="566">
        <f t="shared" si="713"/>
        <v>0</v>
      </c>
      <c r="AA434" s="564">
        <f t="shared" si="713"/>
        <v>0</v>
      </c>
      <c r="AB434" s="565">
        <f t="shared" si="713"/>
        <v>0</v>
      </c>
      <c r="AC434" s="565">
        <f t="shared" si="713"/>
        <v>0</v>
      </c>
      <c r="AD434" s="565">
        <f t="shared" si="713"/>
        <v>0</v>
      </c>
      <c r="AE434" s="566">
        <f t="shared" si="713"/>
        <v>0</v>
      </c>
      <c r="AF434" s="564">
        <f t="shared" si="713"/>
        <v>0</v>
      </c>
      <c r="AG434" s="565">
        <f t="shared" si="713"/>
        <v>0</v>
      </c>
      <c r="AH434" s="565">
        <f t="shared" si="713"/>
        <v>0</v>
      </c>
      <c r="AI434" s="565">
        <f t="shared" si="713"/>
        <v>0</v>
      </c>
      <c r="AJ434" s="566">
        <f t="shared" si="713"/>
        <v>0</v>
      </c>
      <c r="AK434" s="569"/>
      <c r="AL434" s="569"/>
      <c r="AN434" s="857"/>
      <c r="AO434" s="984" t="str">
        <f t="shared" si="624"/>
        <v>Rev</v>
      </c>
      <c r="AP434" s="985" t="str">
        <f t="shared" si="625"/>
        <v>[Service]</v>
      </c>
      <c r="AQ434" s="986" t="str">
        <f t="shared" si="626"/>
        <v>[Price]</v>
      </c>
      <c r="AR434" s="990" t="str">
        <f t="shared" si="627"/>
        <v>-</v>
      </c>
      <c r="AS434" s="987" t="str">
        <f t="shared" si="628"/>
        <v>-</v>
      </c>
      <c r="AT434" s="987" t="str">
        <f t="shared" si="629"/>
        <v>-</v>
      </c>
      <c r="AU434" s="987" t="str">
        <f t="shared" si="630"/>
        <v>-</v>
      </c>
      <c r="AV434" s="1353" t="str">
        <f t="shared" si="631"/>
        <v>-</v>
      </c>
      <c r="AW434" s="1346" t="str">
        <f t="shared" si="632"/>
        <v>-</v>
      </c>
      <c r="AX434" s="987" t="str">
        <f t="shared" si="633"/>
        <v>-</v>
      </c>
      <c r="AY434" s="987" t="str">
        <f t="shared" si="634"/>
        <v>-</v>
      </c>
      <c r="AZ434" s="987" t="str">
        <f t="shared" si="635"/>
        <v>-</v>
      </c>
      <c r="BA434" s="988" t="str">
        <f t="shared" si="636"/>
        <v>-</v>
      </c>
      <c r="BB434" s="1346" t="str">
        <f t="shared" si="637"/>
        <v>-</v>
      </c>
      <c r="BC434" s="987" t="str">
        <f t="shared" si="638"/>
        <v>-</v>
      </c>
      <c r="BD434" s="987" t="str">
        <f t="shared" si="639"/>
        <v>-</v>
      </c>
      <c r="BE434" s="987" t="str">
        <f t="shared" si="640"/>
        <v>-</v>
      </c>
      <c r="BF434" s="989" t="str">
        <f t="shared" si="641"/>
        <v>-</v>
      </c>
      <c r="BG434" s="951"/>
      <c r="BH434" s="1550" t="str">
        <f t="shared" si="673"/>
        <v>Rev</v>
      </c>
      <c r="BI434" s="1551" t="str">
        <f t="shared" si="673"/>
        <v>[Service]</v>
      </c>
      <c r="BJ434" s="1552" t="str">
        <f t="shared" si="673"/>
        <v>[Price]</v>
      </c>
      <c r="BK434" s="987" t="str">
        <f t="shared" ref="BK434:BU434" si="714">IF(V434="","-",IFERROR((V434/U434-1)*(U434/U$13),"-"))</f>
        <v>-</v>
      </c>
      <c r="BL434" s="987" t="str">
        <f t="shared" si="714"/>
        <v>-</v>
      </c>
      <c r="BM434" s="987" t="str">
        <f t="shared" si="714"/>
        <v>-</v>
      </c>
      <c r="BN434" s="987" t="str">
        <f t="shared" si="714"/>
        <v>-</v>
      </c>
      <c r="BO434" s="1353" t="str">
        <f t="shared" si="714"/>
        <v>-</v>
      </c>
      <c r="BP434" s="1346" t="str">
        <f t="shared" si="714"/>
        <v>-</v>
      </c>
      <c r="BQ434" s="987" t="str">
        <f t="shared" si="714"/>
        <v>-</v>
      </c>
      <c r="BR434" s="987" t="str">
        <f t="shared" si="714"/>
        <v>-</v>
      </c>
      <c r="BS434" s="987" t="str">
        <f t="shared" si="714"/>
        <v>-</v>
      </c>
      <c r="BT434" s="988" t="str">
        <f t="shared" si="714"/>
        <v>-</v>
      </c>
      <c r="BU434" s="987" t="str">
        <f t="shared" si="714"/>
        <v>-</v>
      </c>
      <c r="BV434" s="987" t="str">
        <f>IF(AG434="","-",IFERROR((AG434/AF434-1)*(AF434/AF$13),"-"))</f>
        <v>-</v>
      </c>
      <c r="BW434" s="987" t="str">
        <f>IF(AH434="","-",IFERROR((AH434/AG434-1)*(AG434/AG$13),"-"))</f>
        <v>-</v>
      </c>
      <c r="BX434" s="987" t="str">
        <f>IF(AI434="","-",IFERROR((AI434/AH434-1)*(AH434/AH$13),"-"))</f>
        <v>-</v>
      </c>
      <c r="BY434" s="989" t="str">
        <f>IF(AJ434="","-",IFERROR((AJ434/AI434-1)*(AI434/AI$13),"-"))</f>
        <v>-</v>
      </c>
      <c r="BZ434" s="951"/>
      <c r="CA434" s="984" t="str">
        <f t="shared" si="620"/>
        <v>Rev</v>
      </c>
      <c r="CB434" s="985" t="str">
        <f t="shared" si="621"/>
        <v>[Service]</v>
      </c>
      <c r="CC434" s="985" t="str">
        <f t="shared" si="622"/>
        <v>[Price]</v>
      </c>
      <c r="CD434" s="990" t="str">
        <f t="shared" si="653"/>
        <v>-</v>
      </c>
      <c r="CE434" s="987" t="str">
        <f t="shared" si="646"/>
        <v>-</v>
      </c>
      <c r="CF434" s="987" t="str">
        <f t="shared" si="647"/>
        <v>-</v>
      </c>
      <c r="CG434" s="988" t="str">
        <f t="shared" si="648"/>
        <v>-</v>
      </c>
      <c r="CH434" s="987" t="str">
        <f t="shared" si="654"/>
        <v>-</v>
      </c>
      <c r="CI434" s="987" t="str">
        <f t="shared" si="649"/>
        <v>-</v>
      </c>
      <c r="CJ434" s="987" t="str">
        <f t="shared" si="650"/>
        <v>-</v>
      </c>
      <c r="CK434" s="989" t="str">
        <f t="shared" si="651"/>
        <v>-</v>
      </c>
    </row>
    <row r="435" spans="4:89" outlineLevel="1">
      <c r="D435" s="63">
        <f>D432+1</f>
        <v>123</v>
      </c>
      <c r="E435" s="550" t="s">
        <v>857</v>
      </c>
      <c r="F435" s="595" t="s">
        <v>428</v>
      </c>
      <c r="G435" s="595"/>
      <c r="H435" s="595"/>
      <c r="I435" s="589" t="s">
        <v>920</v>
      </c>
      <c r="J435" s="589" t="s">
        <v>879</v>
      </c>
      <c r="K435" s="551"/>
      <c r="L435" s="552"/>
      <c r="M435" s="552"/>
      <c r="N435" s="551"/>
      <c r="O435" s="552"/>
      <c r="P435" s="552"/>
      <c r="Q435" s="552"/>
      <c r="R435" s="1035"/>
      <c r="S435" s="1138"/>
      <c r="T435" s="591"/>
      <c r="U435" s="1035"/>
      <c r="V435" s="1138"/>
      <c r="W435" s="591"/>
      <c r="X435" s="591"/>
      <c r="Y435" s="591"/>
      <c r="Z435" s="1035"/>
      <c r="AA435" s="1138"/>
      <c r="AB435" s="591"/>
      <c r="AC435" s="591"/>
      <c r="AD435" s="591"/>
      <c r="AE435" s="1035"/>
      <c r="AF435" s="1138"/>
      <c r="AG435" s="591"/>
      <c r="AH435" s="591"/>
      <c r="AI435" s="591"/>
      <c r="AJ435" s="1035"/>
      <c r="AK435" s="569"/>
      <c r="AL435" s="569"/>
      <c r="AM435" s="974"/>
      <c r="AN435" s="857"/>
      <c r="AO435" s="975" t="str">
        <f t="shared" si="624"/>
        <v>Price</v>
      </c>
      <c r="AP435" s="976" t="str">
        <f t="shared" si="625"/>
        <v>[Service]</v>
      </c>
      <c r="AQ435" s="977" t="str">
        <f t="shared" si="626"/>
        <v>[Price]</v>
      </c>
      <c r="AR435" s="1341" t="str">
        <f t="shared" si="627"/>
        <v>-</v>
      </c>
      <c r="AS435" s="978" t="str">
        <f t="shared" si="628"/>
        <v>-</v>
      </c>
      <c r="AT435" s="979" t="str">
        <f t="shared" si="629"/>
        <v>-</v>
      </c>
      <c r="AU435" s="979" t="str">
        <f t="shared" si="630"/>
        <v>-</v>
      </c>
      <c r="AV435" s="1352" t="str">
        <f t="shared" si="631"/>
        <v>-</v>
      </c>
      <c r="AW435" s="1345" t="str">
        <f t="shared" si="632"/>
        <v>-</v>
      </c>
      <c r="AX435" s="979" t="str">
        <f t="shared" si="633"/>
        <v>-</v>
      </c>
      <c r="AY435" s="979" t="str">
        <f t="shared" si="634"/>
        <v>-</v>
      </c>
      <c r="AZ435" s="979" t="str">
        <f t="shared" si="635"/>
        <v>-</v>
      </c>
      <c r="BA435" s="980" t="str">
        <f t="shared" si="636"/>
        <v>-</v>
      </c>
      <c r="BB435" s="1345" t="str">
        <f t="shared" si="637"/>
        <v>-</v>
      </c>
      <c r="BC435" s="979" t="str">
        <f t="shared" si="638"/>
        <v>-</v>
      </c>
      <c r="BD435" s="979" t="str">
        <f t="shared" si="639"/>
        <v>-</v>
      </c>
      <c r="BE435" s="979" t="str">
        <f t="shared" si="640"/>
        <v>-</v>
      </c>
      <c r="BF435" s="981" t="str">
        <f t="shared" si="641"/>
        <v>-</v>
      </c>
      <c r="BG435" s="951"/>
      <c r="BH435" s="1547" t="str">
        <f t="shared" si="673"/>
        <v>Price</v>
      </c>
      <c r="BI435" s="1548" t="str">
        <f t="shared" si="673"/>
        <v>[Service]</v>
      </c>
      <c r="BJ435" s="1549" t="str">
        <f t="shared" si="673"/>
        <v>[Price]</v>
      </c>
      <c r="BK435" s="978" t="str">
        <f t="shared" ref="BK435:BU435" si="715">IF(V435="","-",IFERROR((V435/U435-1)*(U437/U$13),"-"))</f>
        <v>-</v>
      </c>
      <c r="BL435" s="978" t="str">
        <f t="shared" si="715"/>
        <v>-</v>
      </c>
      <c r="BM435" s="979" t="str">
        <f t="shared" si="715"/>
        <v>-</v>
      </c>
      <c r="BN435" s="979" t="str">
        <f t="shared" si="715"/>
        <v>-</v>
      </c>
      <c r="BO435" s="1352" t="str">
        <f t="shared" si="715"/>
        <v>-</v>
      </c>
      <c r="BP435" s="1345" t="str">
        <f t="shared" si="715"/>
        <v>-</v>
      </c>
      <c r="BQ435" s="979" t="str">
        <f t="shared" si="715"/>
        <v>-</v>
      </c>
      <c r="BR435" s="979" t="str">
        <f t="shared" si="715"/>
        <v>-</v>
      </c>
      <c r="BS435" s="979" t="str">
        <f t="shared" si="715"/>
        <v>-</v>
      </c>
      <c r="BT435" s="980" t="str">
        <f t="shared" si="715"/>
        <v>-</v>
      </c>
      <c r="BU435" s="979" t="str">
        <f t="shared" si="715"/>
        <v>-</v>
      </c>
      <c r="BV435" s="979" t="str">
        <f>IF(AG435="","-",IFERROR((AG435/AF435-1)*(AF437/AF$13),"-"))</f>
        <v>-</v>
      </c>
      <c r="BW435" s="979" t="str">
        <f>IF(AH435="","-",IFERROR((AH435/AG435-1)*(AG437/AG$13),"-"))</f>
        <v>-</v>
      </c>
      <c r="BX435" s="979" t="str">
        <f>IF(AI435="","-",IFERROR((AI435/AH435-1)*(AH437/AH$13),"-"))</f>
        <v>-</v>
      </c>
      <c r="BY435" s="981" t="str">
        <f>IF(AJ435="","-",IFERROR((AJ435/AI435-1)*(AI437/AI$13),"-"))</f>
        <v>-</v>
      </c>
      <c r="BZ435" s="951"/>
      <c r="CA435" s="975" t="str">
        <f t="shared" si="620"/>
        <v>Price</v>
      </c>
      <c r="CB435" s="976" t="str">
        <f t="shared" si="621"/>
        <v>[Service]</v>
      </c>
      <c r="CC435" s="982" t="str">
        <f t="shared" si="622"/>
        <v>[Price]</v>
      </c>
      <c r="CD435" s="983" t="str">
        <f t="shared" si="653"/>
        <v>-</v>
      </c>
      <c r="CE435" s="979" t="str">
        <f t="shared" si="646"/>
        <v>-</v>
      </c>
      <c r="CF435" s="979" t="str">
        <f t="shared" si="647"/>
        <v>-</v>
      </c>
      <c r="CG435" s="980" t="str">
        <f t="shared" si="648"/>
        <v>-</v>
      </c>
      <c r="CH435" s="979" t="str">
        <f t="shared" si="654"/>
        <v>-</v>
      </c>
      <c r="CI435" s="979" t="str">
        <f t="shared" si="649"/>
        <v>-</v>
      </c>
      <c r="CJ435" s="979" t="str">
        <f t="shared" si="650"/>
        <v>-</v>
      </c>
      <c r="CK435" s="981" t="str">
        <f t="shared" si="651"/>
        <v>-</v>
      </c>
    </row>
    <row r="436" spans="4:89" outlineLevel="1">
      <c r="E436" s="567" t="s">
        <v>880</v>
      </c>
      <c r="F436" s="554" t="str">
        <f>+F435</f>
        <v>[Service]</v>
      </c>
      <c r="G436" s="555">
        <f>+G435</f>
        <v>0</v>
      </c>
      <c r="H436" s="555">
        <f>+H435</f>
        <v>0</v>
      </c>
      <c r="I436" s="556" t="str">
        <f>+I435</f>
        <v>[Price]</v>
      </c>
      <c r="J436" s="590" t="s">
        <v>916</v>
      </c>
      <c r="K436" s="557"/>
      <c r="L436" s="558"/>
      <c r="M436" s="558"/>
      <c r="N436" s="557"/>
      <c r="O436" s="558"/>
      <c r="P436" s="558"/>
      <c r="Q436" s="558"/>
      <c r="R436" s="1036"/>
      <c r="S436" s="1139"/>
      <c r="T436" s="593"/>
      <c r="U436" s="1036"/>
      <c r="V436" s="1139"/>
      <c r="W436" s="593"/>
      <c r="X436" s="593"/>
      <c r="Y436" s="593"/>
      <c r="Z436" s="1036"/>
      <c r="AA436" s="1139"/>
      <c r="AB436" s="593"/>
      <c r="AC436" s="593"/>
      <c r="AD436" s="593"/>
      <c r="AE436" s="1036"/>
      <c r="AF436" s="1139"/>
      <c r="AG436" s="593"/>
      <c r="AH436" s="593"/>
      <c r="AI436" s="593"/>
      <c r="AJ436" s="1036"/>
      <c r="AK436" s="569"/>
      <c r="AL436" s="569"/>
      <c r="AN436" s="857"/>
      <c r="AO436" s="961" t="str">
        <f t="shared" si="624"/>
        <v>Qty</v>
      </c>
      <c r="AP436" s="962" t="str">
        <f t="shared" si="625"/>
        <v>[Service]</v>
      </c>
      <c r="AQ436" s="963" t="str">
        <f t="shared" si="626"/>
        <v>[Price]</v>
      </c>
      <c r="AR436" s="967" t="str">
        <f t="shared" si="627"/>
        <v>-</v>
      </c>
      <c r="AS436" s="964" t="str">
        <f t="shared" si="628"/>
        <v>-</v>
      </c>
      <c r="AT436" s="964" t="str">
        <f t="shared" si="629"/>
        <v>-</v>
      </c>
      <c r="AU436" s="964" t="str">
        <f t="shared" si="630"/>
        <v>-</v>
      </c>
      <c r="AV436" s="1350" t="str">
        <f t="shared" si="631"/>
        <v>-</v>
      </c>
      <c r="AW436" s="1343" t="str">
        <f t="shared" si="632"/>
        <v>-</v>
      </c>
      <c r="AX436" s="964" t="str">
        <f t="shared" si="633"/>
        <v>-</v>
      </c>
      <c r="AY436" s="964" t="str">
        <f t="shared" si="634"/>
        <v>-</v>
      </c>
      <c r="AZ436" s="964" t="str">
        <f t="shared" si="635"/>
        <v>-</v>
      </c>
      <c r="BA436" s="965" t="str">
        <f t="shared" si="636"/>
        <v>-</v>
      </c>
      <c r="BB436" s="1343" t="str">
        <f t="shared" si="637"/>
        <v>-</v>
      </c>
      <c r="BC436" s="964" t="str">
        <f t="shared" si="638"/>
        <v>-</v>
      </c>
      <c r="BD436" s="964" t="str">
        <f t="shared" si="639"/>
        <v>-</v>
      </c>
      <c r="BE436" s="964" t="str">
        <f t="shared" si="640"/>
        <v>-</v>
      </c>
      <c r="BF436" s="966" t="str">
        <f t="shared" si="641"/>
        <v>-</v>
      </c>
      <c r="BG436" s="951"/>
      <c r="BH436" s="1541" t="str">
        <f t="shared" si="673"/>
        <v>Qty</v>
      </c>
      <c r="BI436" s="1542" t="str">
        <f t="shared" si="673"/>
        <v>[Service]</v>
      </c>
      <c r="BJ436" s="1543" t="str">
        <f t="shared" si="673"/>
        <v>[Price]</v>
      </c>
      <c r="BK436" s="964" t="str">
        <f t="shared" ref="BK436:BU436" si="716">IF(V436="","-",IFERROR((V436/U436-1)*(U437/U$13),"-"))</f>
        <v>-</v>
      </c>
      <c r="BL436" s="964" t="str">
        <f t="shared" si="716"/>
        <v>-</v>
      </c>
      <c r="BM436" s="964" t="str">
        <f t="shared" si="716"/>
        <v>-</v>
      </c>
      <c r="BN436" s="964" t="str">
        <f t="shared" si="716"/>
        <v>-</v>
      </c>
      <c r="BO436" s="1350" t="str">
        <f t="shared" si="716"/>
        <v>-</v>
      </c>
      <c r="BP436" s="1343" t="str">
        <f t="shared" si="716"/>
        <v>-</v>
      </c>
      <c r="BQ436" s="964" t="str">
        <f t="shared" si="716"/>
        <v>-</v>
      </c>
      <c r="BR436" s="964" t="str">
        <f t="shared" si="716"/>
        <v>-</v>
      </c>
      <c r="BS436" s="964" t="str">
        <f t="shared" si="716"/>
        <v>-</v>
      </c>
      <c r="BT436" s="965" t="str">
        <f t="shared" si="716"/>
        <v>-</v>
      </c>
      <c r="BU436" s="964" t="str">
        <f t="shared" si="716"/>
        <v>-</v>
      </c>
      <c r="BV436" s="964" t="str">
        <f>IF(AG436="","-",IFERROR((AG436/AF436-1)*(AF437/AF$13),"-"))</f>
        <v>-</v>
      </c>
      <c r="BW436" s="964" t="str">
        <f>IF(AH436="","-",IFERROR((AH436/AG436-1)*(AG437/AG$13),"-"))</f>
        <v>-</v>
      </c>
      <c r="BX436" s="964" t="str">
        <f>IF(AI436="","-",IFERROR((AI436/AH436-1)*(AH437/AH$13),"-"))</f>
        <v>-</v>
      </c>
      <c r="BY436" s="966" t="str">
        <f>IF(AJ436="","-",IFERROR((AJ436/AI436-1)*(AI437/AI$13),"-"))</f>
        <v>-</v>
      </c>
      <c r="BZ436" s="951"/>
      <c r="CA436" s="961" t="str">
        <f t="shared" si="620"/>
        <v>Qty</v>
      </c>
      <c r="CB436" s="962" t="str">
        <f t="shared" si="621"/>
        <v>[Service]</v>
      </c>
      <c r="CC436" s="962" t="str">
        <f t="shared" si="622"/>
        <v>[Price]</v>
      </c>
      <c r="CD436" s="967" t="str">
        <f t="shared" si="653"/>
        <v>-</v>
      </c>
      <c r="CE436" s="964" t="str">
        <f t="shared" si="646"/>
        <v>-</v>
      </c>
      <c r="CF436" s="964" t="str">
        <f t="shared" si="647"/>
        <v>-</v>
      </c>
      <c r="CG436" s="965" t="str">
        <f t="shared" si="648"/>
        <v>-</v>
      </c>
      <c r="CH436" s="964" t="str">
        <f t="shared" si="654"/>
        <v>-</v>
      </c>
      <c r="CI436" s="964" t="str">
        <f t="shared" si="649"/>
        <v>-</v>
      </c>
      <c r="CJ436" s="964" t="str">
        <f t="shared" si="650"/>
        <v>-</v>
      </c>
      <c r="CK436" s="966" t="str">
        <f t="shared" si="651"/>
        <v>-</v>
      </c>
    </row>
    <row r="437" spans="4:89" ht="12.75" outlineLevel="1" thickBot="1">
      <c r="E437" s="568" t="s">
        <v>882</v>
      </c>
      <c r="F437" s="560" t="str">
        <f>+F435</f>
        <v>[Service]</v>
      </c>
      <c r="G437" s="561">
        <f>+G435</f>
        <v>0</v>
      </c>
      <c r="H437" s="561">
        <f>+H435</f>
        <v>0</v>
      </c>
      <c r="I437" s="562" t="str">
        <f>+I435</f>
        <v>[Price]</v>
      </c>
      <c r="J437" s="563" t="s">
        <v>883</v>
      </c>
      <c r="K437" s="564">
        <f t="shared" ref="K437:AJ437" si="717">K435*K436/10^6</f>
        <v>0</v>
      </c>
      <c r="L437" s="565">
        <f t="shared" si="717"/>
        <v>0</v>
      </c>
      <c r="M437" s="565">
        <f t="shared" si="717"/>
        <v>0</v>
      </c>
      <c r="N437" s="564">
        <f t="shared" si="717"/>
        <v>0</v>
      </c>
      <c r="O437" s="565">
        <f t="shared" si="717"/>
        <v>0</v>
      </c>
      <c r="P437" s="565">
        <f t="shared" si="717"/>
        <v>0</v>
      </c>
      <c r="Q437" s="565">
        <f t="shared" si="717"/>
        <v>0</v>
      </c>
      <c r="R437" s="566">
        <f t="shared" si="717"/>
        <v>0</v>
      </c>
      <c r="S437" s="564">
        <f t="shared" si="717"/>
        <v>0</v>
      </c>
      <c r="T437" s="565">
        <f t="shared" si="717"/>
        <v>0</v>
      </c>
      <c r="U437" s="566">
        <f t="shared" si="717"/>
        <v>0</v>
      </c>
      <c r="V437" s="564">
        <f t="shared" si="717"/>
        <v>0</v>
      </c>
      <c r="W437" s="565">
        <f t="shared" si="717"/>
        <v>0</v>
      </c>
      <c r="X437" s="565">
        <f t="shared" si="717"/>
        <v>0</v>
      </c>
      <c r="Y437" s="565">
        <f t="shared" si="717"/>
        <v>0</v>
      </c>
      <c r="Z437" s="566">
        <f t="shared" si="717"/>
        <v>0</v>
      </c>
      <c r="AA437" s="564">
        <f t="shared" si="717"/>
        <v>0</v>
      </c>
      <c r="AB437" s="565">
        <f t="shared" si="717"/>
        <v>0</v>
      </c>
      <c r="AC437" s="565">
        <f t="shared" si="717"/>
        <v>0</v>
      </c>
      <c r="AD437" s="565">
        <f t="shared" si="717"/>
        <v>0</v>
      </c>
      <c r="AE437" s="566">
        <f t="shared" si="717"/>
        <v>0</v>
      </c>
      <c r="AF437" s="564">
        <f t="shared" si="717"/>
        <v>0</v>
      </c>
      <c r="AG437" s="565">
        <f t="shared" si="717"/>
        <v>0</v>
      </c>
      <c r="AH437" s="565">
        <f t="shared" si="717"/>
        <v>0</v>
      </c>
      <c r="AI437" s="565">
        <f t="shared" si="717"/>
        <v>0</v>
      </c>
      <c r="AJ437" s="566">
        <f t="shared" si="717"/>
        <v>0</v>
      </c>
      <c r="AK437" s="569"/>
      <c r="AL437" s="569"/>
      <c r="AN437" s="857"/>
      <c r="AO437" s="984" t="str">
        <f t="shared" si="624"/>
        <v>Rev</v>
      </c>
      <c r="AP437" s="985" t="str">
        <f t="shared" si="625"/>
        <v>[Service]</v>
      </c>
      <c r="AQ437" s="986" t="str">
        <f t="shared" si="626"/>
        <v>[Price]</v>
      </c>
      <c r="AR437" s="990" t="str">
        <f t="shared" si="627"/>
        <v>-</v>
      </c>
      <c r="AS437" s="987" t="str">
        <f t="shared" si="628"/>
        <v>-</v>
      </c>
      <c r="AT437" s="987" t="str">
        <f t="shared" si="629"/>
        <v>-</v>
      </c>
      <c r="AU437" s="987" t="str">
        <f t="shared" si="630"/>
        <v>-</v>
      </c>
      <c r="AV437" s="1353" t="str">
        <f t="shared" si="631"/>
        <v>-</v>
      </c>
      <c r="AW437" s="1346" t="str">
        <f t="shared" si="632"/>
        <v>-</v>
      </c>
      <c r="AX437" s="987" t="str">
        <f t="shared" si="633"/>
        <v>-</v>
      </c>
      <c r="AY437" s="987" t="str">
        <f t="shared" si="634"/>
        <v>-</v>
      </c>
      <c r="AZ437" s="987" t="str">
        <f t="shared" si="635"/>
        <v>-</v>
      </c>
      <c r="BA437" s="988" t="str">
        <f t="shared" si="636"/>
        <v>-</v>
      </c>
      <c r="BB437" s="1346" t="str">
        <f t="shared" si="637"/>
        <v>-</v>
      </c>
      <c r="BC437" s="987" t="str">
        <f t="shared" si="638"/>
        <v>-</v>
      </c>
      <c r="BD437" s="987" t="str">
        <f t="shared" si="639"/>
        <v>-</v>
      </c>
      <c r="BE437" s="987" t="str">
        <f t="shared" si="640"/>
        <v>-</v>
      </c>
      <c r="BF437" s="989" t="str">
        <f t="shared" si="641"/>
        <v>-</v>
      </c>
      <c r="BG437" s="951"/>
      <c r="BH437" s="1550" t="str">
        <f t="shared" si="673"/>
        <v>Rev</v>
      </c>
      <c r="BI437" s="1551" t="str">
        <f t="shared" si="673"/>
        <v>[Service]</v>
      </c>
      <c r="BJ437" s="1552" t="str">
        <f t="shared" si="673"/>
        <v>[Price]</v>
      </c>
      <c r="BK437" s="987" t="str">
        <f t="shared" ref="BK437:BU437" si="718">IF(V437="","-",IFERROR((V437/U437-1)*(U437/U$13),"-"))</f>
        <v>-</v>
      </c>
      <c r="BL437" s="987" t="str">
        <f t="shared" si="718"/>
        <v>-</v>
      </c>
      <c r="BM437" s="987" t="str">
        <f t="shared" si="718"/>
        <v>-</v>
      </c>
      <c r="BN437" s="987" t="str">
        <f t="shared" si="718"/>
        <v>-</v>
      </c>
      <c r="BO437" s="1353" t="str">
        <f t="shared" si="718"/>
        <v>-</v>
      </c>
      <c r="BP437" s="1346" t="str">
        <f t="shared" si="718"/>
        <v>-</v>
      </c>
      <c r="BQ437" s="987" t="str">
        <f t="shared" si="718"/>
        <v>-</v>
      </c>
      <c r="BR437" s="987" t="str">
        <f t="shared" si="718"/>
        <v>-</v>
      </c>
      <c r="BS437" s="987" t="str">
        <f t="shared" si="718"/>
        <v>-</v>
      </c>
      <c r="BT437" s="988" t="str">
        <f t="shared" si="718"/>
        <v>-</v>
      </c>
      <c r="BU437" s="987" t="str">
        <f t="shared" si="718"/>
        <v>-</v>
      </c>
      <c r="BV437" s="987" t="str">
        <f>IF(AG437="","-",IFERROR((AG437/AF437-1)*(AF437/AF$13),"-"))</f>
        <v>-</v>
      </c>
      <c r="BW437" s="987" t="str">
        <f>IF(AH437="","-",IFERROR((AH437/AG437-1)*(AG437/AG$13),"-"))</f>
        <v>-</v>
      </c>
      <c r="BX437" s="987" t="str">
        <f>IF(AI437="","-",IFERROR((AI437/AH437-1)*(AH437/AH$13),"-"))</f>
        <v>-</v>
      </c>
      <c r="BY437" s="989" t="str">
        <f>IF(AJ437="","-",IFERROR((AJ437/AI437-1)*(AI437/AI$13),"-"))</f>
        <v>-</v>
      </c>
      <c r="BZ437" s="951"/>
      <c r="CA437" s="984" t="str">
        <f t="shared" si="620"/>
        <v>Rev</v>
      </c>
      <c r="CB437" s="985" t="str">
        <f t="shared" si="621"/>
        <v>[Service]</v>
      </c>
      <c r="CC437" s="985" t="str">
        <f t="shared" si="622"/>
        <v>[Price]</v>
      </c>
      <c r="CD437" s="990" t="str">
        <f t="shared" si="653"/>
        <v>-</v>
      </c>
      <c r="CE437" s="987" t="str">
        <f t="shared" si="646"/>
        <v>-</v>
      </c>
      <c r="CF437" s="987" t="str">
        <f t="shared" si="647"/>
        <v>-</v>
      </c>
      <c r="CG437" s="988" t="str">
        <f t="shared" si="648"/>
        <v>-</v>
      </c>
      <c r="CH437" s="987" t="str">
        <f t="shared" si="654"/>
        <v>-</v>
      </c>
      <c r="CI437" s="987" t="str">
        <f t="shared" si="649"/>
        <v>-</v>
      </c>
      <c r="CJ437" s="987" t="str">
        <f t="shared" si="650"/>
        <v>-</v>
      </c>
      <c r="CK437" s="989" t="str">
        <f t="shared" si="651"/>
        <v>-</v>
      </c>
    </row>
    <row r="438" spans="4:89" outlineLevel="1">
      <c r="D438" s="63">
        <f>D435+1</f>
        <v>124</v>
      </c>
      <c r="E438" s="550" t="s">
        <v>857</v>
      </c>
      <c r="F438" s="595" t="s">
        <v>428</v>
      </c>
      <c r="G438" s="595"/>
      <c r="H438" s="595"/>
      <c r="I438" s="589" t="s">
        <v>920</v>
      </c>
      <c r="J438" s="589" t="s">
        <v>879</v>
      </c>
      <c r="K438" s="551"/>
      <c r="L438" s="552"/>
      <c r="M438" s="552"/>
      <c r="N438" s="551"/>
      <c r="O438" s="552"/>
      <c r="P438" s="552"/>
      <c r="Q438" s="552"/>
      <c r="R438" s="1035"/>
      <c r="S438" s="1138"/>
      <c r="T438" s="591"/>
      <c r="U438" s="1035"/>
      <c r="V438" s="1138"/>
      <c r="W438" s="591"/>
      <c r="X438" s="591"/>
      <c r="Y438" s="591"/>
      <c r="Z438" s="1035"/>
      <c r="AA438" s="1138"/>
      <c r="AB438" s="591"/>
      <c r="AC438" s="591"/>
      <c r="AD438" s="591"/>
      <c r="AE438" s="1035"/>
      <c r="AF438" s="1138"/>
      <c r="AG438" s="591"/>
      <c r="AH438" s="591"/>
      <c r="AI438" s="591"/>
      <c r="AJ438" s="1035"/>
      <c r="AK438" s="569"/>
      <c r="AL438" s="569"/>
      <c r="AM438" s="974"/>
      <c r="AN438" s="857"/>
      <c r="AO438" s="975" t="str">
        <f t="shared" si="624"/>
        <v>Price</v>
      </c>
      <c r="AP438" s="976" t="str">
        <f t="shared" si="625"/>
        <v>[Service]</v>
      </c>
      <c r="AQ438" s="977" t="str">
        <f t="shared" si="626"/>
        <v>[Price]</v>
      </c>
      <c r="AR438" s="1341" t="str">
        <f t="shared" si="627"/>
        <v>-</v>
      </c>
      <c r="AS438" s="978" t="str">
        <f t="shared" si="628"/>
        <v>-</v>
      </c>
      <c r="AT438" s="979" t="str">
        <f t="shared" si="629"/>
        <v>-</v>
      </c>
      <c r="AU438" s="979" t="str">
        <f t="shared" si="630"/>
        <v>-</v>
      </c>
      <c r="AV438" s="1352" t="str">
        <f t="shared" si="631"/>
        <v>-</v>
      </c>
      <c r="AW438" s="1345" t="str">
        <f t="shared" si="632"/>
        <v>-</v>
      </c>
      <c r="AX438" s="979" t="str">
        <f t="shared" si="633"/>
        <v>-</v>
      </c>
      <c r="AY438" s="979" t="str">
        <f t="shared" si="634"/>
        <v>-</v>
      </c>
      <c r="AZ438" s="979" t="str">
        <f t="shared" si="635"/>
        <v>-</v>
      </c>
      <c r="BA438" s="980" t="str">
        <f t="shared" si="636"/>
        <v>-</v>
      </c>
      <c r="BB438" s="1345" t="str">
        <f t="shared" si="637"/>
        <v>-</v>
      </c>
      <c r="BC438" s="979" t="str">
        <f t="shared" si="638"/>
        <v>-</v>
      </c>
      <c r="BD438" s="979" t="str">
        <f t="shared" si="639"/>
        <v>-</v>
      </c>
      <c r="BE438" s="979" t="str">
        <f t="shared" si="640"/>
        <v>-</v>
      </c>
      <c r="BF438" s="981" t="str">
        <f t="shared" si="641"/>
        <v>-</v>
      </c>
      <c r="BG438" s="951"/>
      <c r="BH438" s="1547" t="str">
        <f t="shared" si="673"/>
        <v>Price</v>
      </c>
      <c r="BI438" s="1548" t="str">
        <f t="shared" si="673"/>
        <v>[Service]</v>
      </c>
      <c r="BJ438" s="1549" t="str">
        <f t="shared" si="673"/>
        <v>[Price]</v>
      </c>
      <c r="BK438" s="978" t="str">
        <f t="shared" ref="BK438:BU438" si="719">IF(V438="","-",IFERROR((V438/U438-1)*(U440/U$13),"-"))</f>
        <v>-</v>
      </c>
      <c r="BL438" s="978" t="str">
        <f t="shared" si="719"/>
        <v>-</v>
      </c>
      <c r="BM438" s="979" t="str">
        <f t="shared" si="719"/>
        <v>-</v>
      </c>
      <c r="BN438" s="979" t="str">
        <f t="shared" si="719"/>
        <v>-</v>
      </c>
      <c r="BO438" s="1352" t="str">
        <f t="shared" si="719"/>
        <v>-</v>
      </c>
      <c r="BP438" s="1345" t="str">
        <f t="shared" si="719"/>
        <v>-</v>
      </c>
      <c r="BQ438" s="979" t="str">
        <f t="shared" si="719"/>
        <v>-</v>
      </c>
      <c r="BR438" s="979" t="str">
        <f t="shared" si="719"/>
        <v>-</v>
      </c>
      <c r="BS438" s="979" t="str">
        <f t="shared" si="719"/>
        <v>-</v>
      </c>
      <c r="BT438" s="980" t="str">
        <f t="shared" si="719"/>
        <v>-</v>
      </c>
      <c r="BU438" s="979" t="str">
        <f t="shared" si="719"/>
        <v>-</v>
      </c>
      <c r="BV438" s="979" t="str">
        <f>IF(AG438="","-",IFERROR((AG438/AF438-1)*(AF440/AF$13),"-"))</f>
        <v>-</v>
      </c>
      <c r="BW438" s="979" t="str">
        <f>IF(AH438="","-",IFERROR((AH438/AG438-1)*(AG440/AG$13),"-"))</f>
        <v>-</v>
      </c>
      <c r="BX438" s="979" t="str">
        <f>IF(AI438="","-",IFERROR((AI438/AH438-1)*(AH440/AH$13),"-"))</f>
        <v>-</v>
      </c>
      <c r="BY438" s="981" t="str">
        <f>IF(AJ438="","-",IFERROR((AJ438/AI438-1)*(AI440/AI$13),"-"))</f>
        <v>-</v>
      </c>
      <c r="BZ438" s="951"/>
      <c r="CA438" s="975" t="str">
        <f t="shared" si="620"/>
        <v>Price</v>
      </c>
      <c r="CB438" s="976" t="str">
        <f t="shared" si="621"/>
        <v>[Service]</v>
      </c>
      <c r="CC438" s="982" t="str">
        <f t="shared" si="622"/>
        <v>[Price]</v>
      </c>
      <c r="CD438" s="983" t="str">
        <f t="shared" si="653"/>
        <v>-</v>
      </c>
      <c r="CE438" s="979" t="str">
        <f t="shared" si="646"/>
        <v>-</v>
      </c>
      <c r="CF438" s="979" t="str">
        <f t="shared" si="647"/>
        <v>-</v>
      </c>
      <c r="CG438" s="980" t="str">
        <f t="shared" si="648"/>
        <v>-</v>
      </c>
      <c r="CH438" s="979" t="str">
        <f t="shared" si="654"/>
        <v>-</v>
      </c>
      <c r="CI438" s="979" t="str">
        <f t="shared" si="649"/>
        <v>-</v>
      </c>
      <c r="CJ438" s="979" t="str">
        <f t="shared" si="650"/>
        <v>-</v>
      </c>
      <c r="CK438" s="981" t="str">
        <f t="shared" si="651"/>
        <v>-</v>
      </c>
    </row>
    <row r="439" spans="4:89" outlineLevel="1">
      <c r="E439" s="567" t="s">
        <v>880</v>
      </c>
      <c r="F439" s="554" t="str">
        <f>+F438</f>
        <v>[Service]</v>
      </c>
      <c r="G439" s="555">
        <f>+G438</f>
        <v>0</v>
      </c>
      <c r="H439" s="555">
        <f>+H438</f>
        <v>0</v>
      </c>
      <c r="I439" s="556" t="str">
        <f>+I438</f>
        <v>[Price]</v>
      </c>
      <c r="J439" s="590" t="s">
        <v>916</v>
      </c>
      <c r="K439" s="557"/>
      <c r="L439" s="558"/>
      <c r="M439" s="558"/>
      <c r="N439" s="557"/>
      <c r="O439" s="558"/>
      <c r="P439" s="558"/>
      <c r="Q439" s="558"/>
      <c r="R439" s="1036"/>
      <c r="S439" s="1139"/>
      <c r="T439" s="593"/>
      <c r="U439" s="1036"/>
      <c r="V439" s="1139"/>
      <c r="W439" s="593"/>
      <c r="X439" s="593"/>
      <c r="Y439" s="593"/>
      <c r="Z439" s="1036"/>
      <c r="AA439" s="1139"/>
      <c r="AB439" s="593"/>
      <c r="AC439" s="593"/>
      <c r="AD439" s="593"/>
      <c r="AE439" s="1036"/>
      <c r="AF439" s="1139"/>
      <c r="AG439" s="593"/>
      <c r="AH439" s="593"/>
      <c r="AI439" s="593"/>
      <c r="AJ439" s="1036"/>
      <c r="AK439" s="569"/>
      <c r="AL439" s="569"/>
      <c r="AN439" s="857"/>
      <c r="AO439" s="961" t="str">
        <f t="shared" si="624"/>
        <v>Qty</v>
      </c>
      <c r="AP439" s="962" t="str">
        <f t="shared" si="625"/>
        <v>[Service]</v>
      </c>
      <c r="AQ439" s="963" t="str">
        <f t="shared" si="626"/>
        <v>[Price]</v>
      </c>
      <c r="AR439" s="967" t="str">
        <f t="shared" si="627"/>
        <v>-</v>
      </c>
      <c r="AS439" s="964" t="str">
        <f t="shared" si="628"/>
        <v>-</v>
      </c>
      <c r="AT439" s="964" t="str">
        <f t="shared" si="629"/>
        <v>-</v>
      </c>
      <c r="AU439" s="964" t="str">
        <f t="shared" si="630"/>
        <v>-</v>
      </c>
      <c r="AV439" s="1350" t="str">
        <f t="shared" si="631"/>
        <v>-</v>
      </c>
      <c r="AW439" s="1343" t="str">
        <f t="shared" si="632"/>
        <v>-</v>
      </c>
      <c r="AX439" s="964" t="str">
        <f t="shared" si="633"/>
        <v>-</v>
      </c>
      <c r="AY439" s="964" t="str">
        <f t="shared" si="634"/>
        <v>-</v>
      </c>
      <c r="AZ439" s="964" t="str">
        <f t="shared" si="635"/>
        <v>-</v>
      </c>
      <c r="BA439" s="965" t="str">
        <f t="shared" si="636"/>
        <v>-</v>
      </c>
      <c r="BB439" s="1343" t="str">
        <f t="shared" si="637"/>
        <v>-</v>
      </c>
      <c r="BC439" s="964" t="str">
        <f t="shared" si="638"/>
        <v>-</v>
      </c>
      <c r="BD439" s="964" t="str">
        <f t="shared" si="639"/>
        <v>-</v>
      </c>
      <c r="BE439" s="964" t="str">
        <f t="shared" si="640"/>
        <v>-</v>
      </c>
      <c r="BF439" s="966" t="str">
        <f t="shared" si="641"/>
        <v>-</v>
      </c>
      <c r="BG439" s="951"/>
      <c r="BH439" s="1541" t="str">
        <f t="shared" si="673"/>
        <v>Qty</v>
      </c>
      <c r="BI439" s="1542" t="str">
        <f t="shared" si="673"/>
        <v>[Service]</v>
      </c>
      <c r="BJ439" s="1543" t="str">
        <f t="shared" si="673"/>
        <v>[Price]</v>
      </c>
      <c r="BK439" s="964" t="str">
        <f t="shared" ref="BK439:BU439" si="720">IF(V439="","-",IFERROR((V439/U439-1)*(U440/U$13),"-"))</f>
        <v>-</v>
      </c>
      <c r="BL439" s="964" t="str">
        <f t="shared" si="720"/>
        <v>-</v>
      </c>
      <c r="BM439" s="964" t="str">
        <f t="shared" si="720"/>
        <v>-</v>
      </c>
      <c r="BN439" s="964" t="str">
        <f t="shared" si="720"/>
        <v>-</v>
      </c>
      <c r="BO439" s="1350" t="str">
        <f t="shared" si="720"/>
        <v>-</v>
      </c>
      <c r="BP439" s="1343" t="str">
        <f t="shared" si="720"/>
        <v>-</v>
      </c>
      <c r="BQ439" s="964" t="str">
        <f t="shared" si="720"/>
        <v>-</v>
      </c>
      <c r="BR439" s="964" t="str">
        <f t="shared" si="720"/>
        <v>-</v>
      </c>
      <c r="BS439" s="964" t="str">
        <f t="shared" si="720"/>
        <v>-</v>
      </c>
      <c r="BT439" s="965" t="str">
        <f t="shared" si="720"/>
        <v>-</v>
      </c>
      <c r="BU439" s="964" t="str">
        <f t="shared" si="720"/>
        <v>-</v>
      </c>
      <c r="BV439" s="964" t="str">
        <f>IF(AG439="","-",IFERROR((AG439/AF439-1)*(AF440/AF$13),"-"))</f>
        <v>-</v>
      </c>
      <c r="BW439" s="964" t="str">
        <f>IF(AH439="","-",IFERROR((AH439/AG439-1)*(AG440/AG$13),"-"))</f>
        <v>-</v>
      </c>
      <c r="BX439" s="964" t="str">
        <f>IF(AI439="","-",IFERROR((AI439/AH439-1)*(AH440/AH$13),"-"))</f>
        <v>-</v>
      </c>
      <c r="BY439" s="966" t="str">
        <f>IF(AJ439="","-",IFERROR((AJ439/AI439-1)*(AI440/AI$13),"-"))</f>
        <v>-</v>
      </c>
      <c r="BZ439" s="951"/>
      <c r="CA439" s="961" t="str">
        <f t="shared" si="620"/>
        <v>Qty</v>
      </c>
      <c r="CB439" s="962" t="str">
        <f t="shared" si="621"/>
        <v>[Service]</v>
      </c>
      <c r="CC439" s="962" t="str">
        <f t="shared" si="622"/>
        <v>[Price]</v>
      </c>
      <c r="CD439" s="967" t="str">
        <f t="shared" si="653"/>
        <v>-</v>
      </c>
      <c r="CE439" s="964" t="str">
        <f t="shared" si="646"/>
        <v>-</v>
      </c>
      <c r="CF439" s="964" t="str">
        <f t="shared" si="647"/>
        <v>-</v>
      </c>
      <c r="CG439" s="965" t="str">
        <f t="shared" si="648"/>
        <v>-</v>
      </c>
      <c r="CH439" s="964" t="str">
        <f t="shared" si="654"/>
        <v>-</v>
      </c>
      <c r="CI439" s="964" t="str">
        <f t="shared" si="649"/>
        <v>-</v>
      </c>
      <c r="CJ439" s="964" t="str">
        <f t="shared" si="650"/>
        <v>-</v>
      </c>
      <c r="CK439" s="966" t="str">
        <f t="shared" si="651"/>
        <v>-</v>
      </c>
    </row>
    <row r="440" spans="4:89" ht="12.75" outlineLevel="1" thickBot="1">
      <c r="E440" s="568" t="s">
        <v>882</v>
      </c>
      <c r="F440" s="560" t="str">
        <f>+F438</f>
        <v>[Service]</v>
      </c>
      <c r="G440" s="561">
        <f>+G438</f>
        <v>0</v>
      </c>
      <c r="H440" s="561">
        <f>+H438</f>
        <v>0</v>
      </c>
      <c r="I440" s="562" t="str">
        <f>+I438</f>
        <v>[Price]</v>
      </c>
      <c r="J440" s="563" t="s">
        <v>883</v>
      </c>
      <c r="K440" s="564">
        <f t="shared" ref="K440:AJ440" si="721">K438*K439/10^6</f>
        <v>0</v>
      </c>
      <c r="L440" s="565">
        <f t="shared" si="721"/>
        <v>0</v>
      </c>
      <c r="M440" s="565">
        <f t="shared" si="721"/>
        <v>0</v>
      </c>
      <c r="N440" s="564">
        <f t="shared" si="721"/>
        <v>0</v>
      </c>
      <c r="O440" s="565">
        <f t="shared" si="721"/>
        <v>0</v>
      </c>
      <c r="P440" s="565">
        <f t="shared" si="721"/>
        <v>0</v>
      </c>
      <c r="Q440" s="565">
        <f t="shared" si="721"/>
        <v>0</v>
      </c>
      <c r="R440" s="566">
        <f t="shared" si="721"/>
        <v>0</v>
      </c>
      <c r="S440" s="564">
        <f t="shared" si="721"/>
        <v>0</v>
      </c>
      <c r="T440" s="565">
        <f t="shared" si="721"/>
        <v>0</v>
      </c>
      <c r="U440" s="566">
        <f t="shared" si="721"/>
        <v>0</v>
      </c>
      <c r="V440" s="564">
        <f t="shared" si="721"/>
        <v>0</v>
      </c>
      <c r="W440" s="565">
        <f t="shared" si="721"/>
        <v>0</v>
      </c>
      <c r="X440" s="565">
        <f t="shared" si="721"/>
        <v>0</v>
      </c>
      <c r="Y440" s="565">
        <f t="shared" si="721"/>
        <v>0</v>
      </c>
      <c r="Z440" s="566">
        <f t="shared" si="721"/>
        <v>0</v>
      </c>
      <c r="AA440" s="564">
        <f t="shared" si="721"/>
        <v>0</v>
      </c>
      <c r="AB440" s="565">
        <f t="shared" si="721"/>
        <v>0</v>
      </c>
      <c r="AC440" s="565">
        <f t="shared" si="721"/>
        <v>0</v>
      </c>
      <c r="AD440" s="565">
        <f t="shared" si="721"/>
        <v>0</v>
      </c>
      <c r="AE440" s="566">
        <f t="shared" si="721"/>
        <v>0</v>
      </c>
      <c r="AF440" s="564">
        <f t="shared" si="721"/>
        <v>0</v>
      </c>
      <c r="AG440" s="565">
        <f t="shared" si="721"/>
        <v>0</v>
      </c>
      <c r="AH440" s="565">
        <f t="shared" si="721"/>
        <v>0</v>
      </c>
      <c r="AI440" s="565">
        <f t="shared" si="721"/>
        <v>0</v>
      </c>
      <c r="AJ440" s="566">
        <f t="shared" si="721"/>
        <v>0</v>
      </c>
      <c r="AK440" s="569"/>
      <c r="AL440" s="569"/>
      <c r="AN440" s="857"/>
      <c r="AO440" s="984" t="str">
        <f t="shared" si="624"/>
        <v>Rev</v>
      </c>
      <c r="AP440" s="985" t="str">
        <f t="shared" si="625"/>
        <v>[Service]</v>
      </c>
      <c r="AQ440" s="986" t="str">
        <f t="shared" si="626"/>
        <v>[Price]</v>
      </c>
      <c r="AR440" s="990" t="str">
        <f t="shared" si="627"/>
        <v>-</v>
      </c>
      <c r="AS440" s="987" t="str">
        <f t="shared" si="628"/>
        <v>-</v>
      </c>
      <c r="AT440" s="987" t="str">
        <f t="shared" si="629"/>
        <v>-</v>
      </c>
      <c r="AU440" s="987" t="str">
        <f t="shared" si="630"/>
        <v>-</v>
      </c>
      <c r="AV440" s="1353" t="str">
        <f t="shared" si="631"/>
        <v>-</v>
      </c>
      <c r="AW440" s="1346" t="str">
        <f t="shared" si="632"/>
        <v>-</v>
      </c>
      <c r="AX440" s="987" t="str">
        <f t="shared" si="633"/>
        <v>-</v>
      </c>
      <c r="AY440" s="987" t="str">
        <f t="shared" si="634"/>
        <v>-</v>
      </c>
      <c r="AZ440" s="987" t="str">
        <f t="shared" si="635"/>
        <v>-</v>
      </c>
      <c r="BA440" s="988" t="str">
        <f t="shared" si="636"/>
        <v>-</v>
      </c>
      <c r="BB440" s="1346" t="str">
        <f t="shared" si="637"/>
        <v>-</v>
      </c>
      <c r="BC440" s="987" t="str">
        <f t="shared" si="638"/>
        <v>-</v>
      </c>
      <c r="BD440" s="987" t="str">
        <f t="shared" si="639"/>
        <v>-</v>
      </c>
      <c r="BE440" s="987" t="str">
        <f t="shared" si="640"/>
        <v>-</v>
      </c>
      <c r="BF440" s="989" t="str">
        <f t="shared" si="641"/>
        <v>-</v>
      </c>
      <c r="BG440" s="951"/>
      <c r="BH440" s="1550" t="str">
        <f t="shared" si="673"/>
        <v>Rev</v>
      </c>
      <c r="BI440" s="1551" t="str">
        <f t="shared" si="673"/>
        <v>[Service]</v>
      </c>
      <c r="BJ440" s="1552" t="str">
        <f t="shared" si="673"/>
        <v>[Price]</v>
      </c>
      <c r="BK440" s="987" t="str">
        <f t="shared" ref="BK440:BU440" si="722">IF(V440="","-",IFERROR((V440/U440-1)*(U440/U$13),"-"))</f>
        <v>-</v>
      </c>
      <c r="BL440" s="987" t="str">
        <f t="shared" si="722"/>
        <v>-</v>
      </c>
      <c r="BM440" s="987" t="str">
        <f t="shared" si="722"/>
        <v>-</v>
      </c>
      <c r="BN440" s="987" t="str">
        <f t="shared" si="722"/>
        <v>-</v>
      </c>
      <c r="BO440" s="1353" t="str">
        <f t="shared" si="722"/>
        <v>-</v>
      </c>
      <c r="BP440" s="1346" t="str">
        <f t="shared" si="722"/>
        <v>-</v>
      </c>
      <c r="BQ440" s="987" t="str">
        <f t="shared" si="722"/>
        <v>-</v>
      </c>
      <c r="BR440" s="987" t="str">
        <f t="shared" si="722"/>
        <v>-</v>
      </c>
      <c r="BS440" s="987" t="str">
        <f t="shared" si="722"/>
        <v>-</v>
      </c>
      <c r="BT440" s="988" t="str">
        <f t="shared" si="722"/>
        <v>-</v>
      </c>
      <c r="BU440" s="987" t="str">
        <f t="shared" si="722"/>
        <v>-</v>
      </c>
      <c r="BV440" s="987" t="str">
        <f>IF(AG440="","-",IFERROR((AG440/AF440-1)*(AF440/AF$13),"-"))</f>
        <v>-</v>
      </c>
      <c r="BW440" s="987" t="str">
        <f>IF(AH440="","-",IFERROR((AH440/AG440-1)*(AG440/AG$13),"-"))</f>
        <v>-</v>
      </c>
      <c r="BX440" s="987" t="str">
        <f>IF(AI440="","-",IFERROR((AI440/AH440-1)*(AH440/AH$13),"-"))</f>
        <v>-</v>
      </c>
      <c r="BY440" s="989" t="str">
        <f>IF(AJ440="","-",IFERROR((AJ440/AI440-1)*(AI440/AI$13),"-"))</f>
        <v>-</v>
      </c>
      <c r="BZ440" s="951"/>
      <c r="CA440" s="984" t="str">
        <f t="shared" si="620"/>
        <v>Rev</v>
      </c>
      <c r="CB440" s="985" t="str">
        <f t="shared" si="621"/>
        <v>[Service]</v>
      </c>
      <c r="CC440" s="985" t="str">
        <f t="shared" si="622"/>
        <v>[Price]</v>
      </c>
      <c r="CD440" s="990" t="str">
        <f t="shared" si="653"/>
        <v>-</v>
      </c>
      <c r="CE440" s="987" t="str">
        <f t="shared" si="646"/>
        <v>-</v>
      </c>
      <c r="CF440" s="987" t="str">
        <f t="shared" si="647"/>
        <v>-</v>
      </c>
      <c r="CG440" s="988" t="str">
        <f t="shared" si="648"/>
        <v>-</v>
      </c>
      <c r="CH440" s="987" t="str">
        <f t="shared" si="654"/>
        <v>-</v>
      </c>
      <c r="CI440" s="987" t="str">
        <f t="shared" si="649"/>
        <v>-</v>
      </c>
      <c r="CJ440" s="987" t="str">
        <f t="shared" si="650"/>
        <v>-</v>
      </c>
      <c r="CK440" s="989" t="str">
        <f t="shared" si="651"/>
        <v>-</v>
      </c>
    </row>
    <row r="441" spans="4:89">
      <c r="D441" s="63">
        <f>D438+1</f>
        <v>125</v>
      </c>
      <c r="E441" s="550" t="s">
        <v>857</v>
      </c>
      <c r="F441" s="595" t="s">
        <v>428</v>
      </c>
      <c r="G441" s="595"/>
      <c r="H441" s="595"/>
      <c r="I441" s="589" t="s">
        <v>920</v>
      </c>
      <c r="J441" s="589" t="s">
        <v>879</v>
      </c>
      <c r="K441" s="551"/>
      <c r="L441" s="552"/>
      <c r="M441" s="552"/>
      <c r="N441" s="551"/>
      <c r="O441" s="552"/>
      <c r="P441" s="552"/>
      <c r="Q441" s="552"/>
      <c r="R441" s="1035"/>
      <c r="S441" s="1138"/>
      <c r="T441" s="591"/>
      <c r="U441" s="1035"/>
      <c r="V441" s="1138"/>
      <c r="W441" s="591"/>
      <c r="X441" s="591"/>
      <c r="Y441" s="591"/>
      <c r="Z441" s="1035"/>
      <c r="AA441" s="1138"/>
      <c r="AB441" s="591"/>
      <c r="AC441" s="591"/>
      <c r="AD441" s="591"/>
      <c r="AE441" s="1035"/>
      <c r="AF441" s="1138"/>
      <c r="AG441" s="591"/>
      <c r="AH441" s="591"/>
      <c r="AI441" s="591"/>
      <c r="AJ441" s="1035"/>
      <c r="AK441" s="569"/>
      <c r="AL441" s="569"/>
      <c r="AM441" s="974"/>
      <c r="AN441" s="857"/>
      <c r="AO441" s="975" t="str">
        <f t="shared" si="624"/>
        <v>Price</v>
      </c>
      <c r="AP441" s="976" t="str">
        <f t="shared" si="625"/>
        <v>[Service]</v>
      </c>
      <c r="AQ441" s="977" t="str">
        <f t="shared" si="626"/>
        <v>[Price]</v>
      </c>
      <c r="AR441" s="1341" t="str">
        <f t="shared" si="627"/>
        <v>-</v>
      </c>
      <c r="AS441" s="978" t="str">
        <f t="shared" si="628"/>
        <v>-</v>
      </c>
      <c r="AT441" s="979" t="str">
        <f t="shared" si="629"/>
        <v>-</v>
      </c>
      <c r="AU441" s="979" t="str">
        <f t="shared" si="630"/>
        <v>-</v>
      </c>
      <c r="AV441" s="1352" t="str">
        <f t="shared" si="631"/>
        <v>-</v>
      </c>
      <c r="AW441" s="1345" t="str">
        <f t="shared" si="632"/>
        <v>-</v>
      </c>
      <c r="AX441" s="979" t="str">
        <f t="shared" si="633"/>
        <v>-</v>
      </c>
      <c r="AY441" s="979" t="str">
        <f t="shared" si="634"/>
        <v>-</v>
      </c>
      <c r="AZ441" s="979" t="str">
        <f t="shared" si="635"/>
        <v>-</v>
      </c>
      <c r="BA441" s="980" t="str">
        <f t="shared" si="636"/>
        <v>-</v>
      </c>
      <c r="BB441" s="1345" t="str">
        <f t="shared" si="637"/>
        <v>-</v>
      </c>
      <c r="BC441" s="979" t="str">
        <f t="shared" si="638"/>
        <v>-</v>
      </c>
      <c r="BD441" s="979" t="str">
        <f t="shared" si="639"/>
        <v>-</v>
      </c>
      <c r="BE441" s="979" t="str">
        <f t="shared" si="640"/>
        <v>-</v>
      </c>
      <c r="BF441" s="981" t="str">
        <f t="shared" si="641"/>
        <v>-</v>
      </c>
      <c r="BG441" s="951"/>
      <c r="BH441" s="1547" t="str">
        <f t="shared" si="673"/>
        <v>Price</v>
      </c>
      <c r="BI441" s="1548" t="str">
        <f t="shared" si="673"/>
        <v>[Service]</v>
      </c>
      <c r="BJ441" s="1549" t="str">
        <f t="shared" si="673"/>
        <v>[Price]</v>
      </c>
      <c r="BK441" s="978" t="str">
        <f t="shared" ref="BK441:BU441" si="723">IF(V441="","-",IFERROR((V441/U441-1)*(U443/U$13),"-"))</f>
        <v>-</v>
      </c>
      <c r="BL441" s="978" t="str">
        <f t="shared" si="723"/>
        <v>-</v>
      </c>
      <c r="BM441" s="979" t="str">
        <f t="shared" si="723"/>
        <v>-</v>
      </c>
      <c r="BN441" s="979" t="str">
        <f t="shared" si="723"/>
        <v>-</v>
      </c>
      <c r="BO441" s="1352" t="str">
        <f t="shared" si="723"/>
        <v>-</v>
      </c>
      <c r="BP441" s="1345" t="str">
        <f t="shared" si="723"/>
        <v>-</v>
      </c>
      <c r="BQ441" s="979" t="str">
        <f t="shared" si="723"/>
        <v>-</v>
      </c>
      <c r="BR441" s="979" t="str">
        <f t="shared" si="723"/>
        <v>-</v>
      </c>
      <c r="BS441" s="979" t="str">
        <f t="shared" si="723"/>
        <v>-</v>
      </c>
      <c r="BT441" s="980" t="str">
        <f t="shared" si="723"/>
        <v>-</v>
      </c>
      <c r="BU441" s="979" t="str">
        <f t="shared" si="723"/>
        <v>-</v>
      </c>
      <c r="BV441" s="979" t="str">
        <f>IF(AG441="","-",IFERROR((AG441/AF441-1)*(AF443/AF$13),"-"))</f>
        <v>-</v>
      </c>
      <c r="BW441" s="979" t="str">
        <f>IF(AH441="","-",IFERROR((AH441/AG441-1)*(AG443/AG$13),"-"))</f>
        <v>-</v>
      </c>
      <c r="BX441" s="979" t="str">
        <f>IF(AI441="","-",IFERROR((AI441/AH441-1)*(AH443/AH$13),"-"))</f>
        <v>-</v>
      </c>
      <c r="BY441" s="981" t="str">
        <f>IF(AJ441="","-",IFERROR((AJ441/AI441-1)*(AI443/AI$13),"-"))</f>
        <v>-</v>
      </c>
      <c r="BZ441" s="951"/>
      <c r="CA441" s="975" t="str">
        <f t="shared" si="620"/>
        <v>Price</v>
      </c>
      <c r="CB441" s="976" t="str">
        <f t="shared" si="621"/>
        <v>[Service]</v>
      </c>
      <c r="CC441" s="982" t="str">
        <f t="shared" si="622"/>
        <v>[Price]</v>
      </c>
      <c r="CD441" s="983" t="str">
        <f t="shared" si="653"/>
        <v>-</v>
      </c>
      <c r="CE441" s="979" t="str">
        <f t="shared" si="646"/>
        <v>-</v>
      </c>
      <c r="CF441" s="979" t="str">
        <f t="shared" si="647"/>
        <v>-</v>
      </c>
      <c r="CG441" s="980" t="str">
        <f t="shared" si="648"/>
        <v>-</v>
      </c>
      <c r="CH441" s="979" t="str">
        <f t="shared" si="654"/>
        <v>-</v>
      </c>
      <c r="CI441" s="979" t="str">
        <f t="shared" si="649"/>
        <v>-</v>
      </c>
      <c r="CJ441" s="979" t="str">
        <f t="shared" si="650"/>
        <v>-</v>
      </c>
      <c r="CK441" s="981" t="str">
        <f t="shared" si="651"/>
        <v>-</v>
      </c>
    </row>
    <row r="442" spans="4:89">
      <c r="E442" s="567" t="s">
        <v>880</v>
      </c>
      <c r="F442" s="554" t="str">
        <f>+F441</f>
        <v>[Service]</v>
      </c>
      <c r="G442" s="555">
        <f>+G441</f>
        <v>0</v>
      </c>
      <c r="H442" s="555">
        <f>+H441</f>
        <v>0</v>
      </c>
      <c r="I442" s="556" t="str">
        <f>+I441</f>
        <v>[Price]</v>
      </c>
      <c r="J442" s="590" t="s">
        <v>916</v>
      </c>
      <c r="K442" s="557"/>
      <c r="L442" s="558"/>
      <c r="M442" s="558"/>
      <c r="N442" s="557"/>
      <c r="O442" s="558"/>
      <c r="P442" s="558"/>
      <c r="Q442" s="558"/>
      <c r="R442" s="1036"/>
      <c r="S442" s="1139"/>
      <c r="T442" s="593"/>
      <c r="U442" s="1036"/>
      <c r="V442" s="1139"/>
      <c r="W442" s="593"/>
      <c r="X442" s="593"/>
      <c r="Y442" s="593"/>
      <c r="Z442" s="1036"/>
      <c r="AA442" s="1139"/>
      <c r="AB442" s="593"/>
      <c r="AC442" s="593"/>
      <c r="AD442" s="593"/>
      <c r="AE442" s="1036"/>
      <c r="AF442" s="1139"/>
      <c r="AG442" s="593"/>
      <c r="AH442" s="593"/>
      <c r="AI442" s="593"/>
      <c r="AJ442" s="1036"/>
      <c r="AK442" s="569"/>
      <c r="AL442" s="569"/>
      <c r="AN442" s="857"/>
      <c r="AO442" s="961" t="str">
        <f t="shared" si="624"/>
        <v>Qty</v>
      </c>
      <c r="AP442" s="962" t="str">
        <f t="shared" si="625"/>
        <v>[Service]</v>
      </c>
      <c r="AQ442" s="963" t="str">
        <f t="shared" si="626"/>
        <v>[Price]</v>
      </c>
      <c r="AR442" s="967" t="str">
        <f t="shared" si="627"/>
        <v>-</v>
      </c>
      <c r="AS442" s="964" t="str">
        <f t="shared" si="628"/>
        <v>-</v>
      </c>
      <c r="AT442" s="964" t="str">
        <f t="shared" si="629"/>
        <v>-</v>
      </c>
      <c r="AU442" s="964" t="str">
        <f t="shared" si="630"/>
        <v>-</v>
      </c>
      <c r="AV442" s="1350" t="str">
        <f t="shared" si="631"/>
        <v>-</v>
      </c>
      <c r="AW442" s="1343" t="str">
        <f t="shared" si="632"/>
        <v>-</v>
      </c>
      <c r="AX442" s="964" t="str">
        <f t="shared" si="633"/>
        <v>-</v>
      </c>
      <c r="AY442" s="964" t="str">
        <f t="shared" si="634"/>
        <v>-</v>
      </c>
      <c r="AZ442" s="964" t="str">
        <f t="shared" si="635"/>
        <v>-</v>
      </c>
      <c r="BA442" s="965" t="str">
        <f t="shared" si="636"/>
        <v>-</v>
      </c>
      <c r="BB442" s="1343" t="str">
        <f t="shared" si="637"/>
        <v>-</v>
      </c>
      <c r="BC442" s="964" t="str">
        <f t="shared" si="638"/>
        <v>-</v>
      </c>
      <c r="BD442" s="964" t="str">
        <f t="shared" si="639"/>
        <v>-</v>
      </c>
      <c r="BE442" s="964" t="str">
        <f t="shared" si="640"/>
        <v>-</v>
      </c>
      <c r="BF442" s="966" t="str">
        <f t="shared" si="641"/>
        <v>-</v>
      </c>
      <c r="BG442" s="951"/>
      <c r="BH442" s="1541" t="str">
        <f t="shared" si="673"/>
        <v>Qty</v>
      </c>
      <c r="BI442" s="1542" t="str">
        <f t="shared" si="673"/>
        <v>[Service]</v>
      </c>
      <c r="BJ442" s="1543" t="str">
        <f t="shared" si="673"/>
        <v>[Price]</v>
      </c>
      <c r="BK442" s="964" t="str">
        <f t="shared" ref="BK442:BU442" si="724">IF(V442="","-",IFERROR((V442/U442-1)*(U443/U$13),"-"))</f>
        <v>-</v>
      </c>
      <c r="BL442" s="964" t="str">
        <f t="shared" si="724"/>
        <v>-</v>
      </c>
      <c r="BM442" s="964" t="str">
        <f t="shared" si="724"/>
        <v>-</v>
      </c>
      <c r="BN442" s="964" t="str">
        <f t="shared" si="724"/>
        <v>-</v>
      </c>
      <c r="BO442" s="1350" t="str">
        <f t="shared" si="724"/>
        <v>-</v>
      </c>
      <c r="BP442" s="1343" t="str">
        <f t="shared" si="724"/>
        <v>-</v>
      </c>
      <c r="BQ442" s="964" t="str">
        <f t="shared" si="724"/>
        <v>-</v>
      </c>
      <c r="BR442" s="964" t="str">
        <f t="shared" si="724"/>
        <v>-</v>
      </c>
      <c r="BS442" s="964" t="str">
        <f t="shared" si="724"/>
        <v>-</v>
      </c>
      <c r="BT442" s="965" t="str">
        <f t="shared" si="724"/>
        <v>-</v>
      </c>
      <c r="BU442" s="964" t="str">
        <f t="shared" si="724"/>
        <v>-</v>
      </c>
      <c r="BV442" s="964" t="str">
        <f>IF(AG442="","-",IFERROR((AG442/AF442-1)*(AF443/AF$13),"-"))</f>
        <v>-</v>
      </c>
      <c r="BW442" s="964" t="str">
        <f>IF(AH442="","-",IFERROR((AH442/AG442-1)*(AG443/AG$13),"-"))</f>
        <v>-</v>
      </c>
      <c r="BX442" s="964" t="str">
        <f>IF(AI442="","-",IFERROR((AI442/AH442-1)*(AH443/AH$13),"-"))</f>
        <v>-</v>
      </c>
      <c r="BY442" s="966" t="str">
        <f>IF(AJ442="","-",IFERROR((AJ442/AI442-1)*(AI443/AI$13),"-"))</f>
        <v>-</v>
      </c>
      <c r="BZ442" s="951"/>
      <c r="CA442" s="961" t="str">
        <f t="shared" si="620"/>
        <v>Qty</v>
      </c>
      <c r="CB442" s="962" t="str">
        <f t="shared" si="621"/>
        <v>[Service]</v>
      </c>
      <c r="CC442" s="962" t="str">
        <f t="shared" si="622"/>
        <v>[Price]</v>
      </c>
      <c r="CD442" s="967" t="str">
        <f t="shared" si="653"/>
        <v>-</v>
      </c>
      <c r="CE442" s="964" t="str">
        <f t="shared" si="646"/>
        <v>-</v>
      </c>
      <c r="CF442" s="964" t="str">
        <f t="shared" si="647"/>
        <v>-</v>
      </c>
      <c r="CG442" s="965" t="str">
        <f t="shared" si="648"/>
        <v>-</v>
      </c>
      <c r="CH442" s="964" t="str">
        <f t="shared" si="654"/>
        <v>-</v>
      </c>
      <c r="CI442" s="964" t="str">
        <f t="shared" si="649"/>
        <v>-</v>
      </c>
      <c r="CJ442" s="964" t="str">
        <f t="shared" si="650"/>
        <v>-</v>
      </c>
      <c r="CK442" s="966" t="str">
        <f t="shared" si="651"/>
        <v>-</v>
      </c>
    </row>
    <row r="443" spans="4:89" ht="12.75" thickBot="1">
      <c r="E443" s="568" t="s">
        <v>882</v>
      </c>
      <c r="F443" s="560" t="str">
        <f>+F441</f>
        <v>[Service]</v>
      </c>
      <c r="G443" s="561">
        <f>+G441</f>
        <v>0</v>
      </c>
      <c r="H443" s="561">
        <f>+H441</f>
        <v>0</v>
      </c>
      <c r="I443" s="562" t="str">
        <f>+I441</f>
        <v>[Price]</v>
      </c>
      <c r="J443" s="563" t="s">
        <v>883</v>
      </c>
      <c r="K443" s="564">
        <f t="shared" ref="K443:AJ443" si="725">K441*K442/10^6</f>
        <v>0</v>
      </c>
      <c r="L443" s="565">
        <f t="shared" si="725"/>
        <v>0</v>
      </c>
      <c r="M443" s="565">
        <f t="shared" si="725"/>
        <v>0</v>
      </c>
      <c r="N443" s="564">
        <f t="shared" si="725"/>
        <v>0</v>
      </c>
      <c r="O443" s="565">
        <f t="shared" si="725"/>
        <v>0</v>
      </c>
      <c r="P443" s="565">
        <f t="shared" si="725"/>
        <v>0</v>
      </c>
      <c r="Q443" s="565">
        <f t="shared" si="725"/>
        <v>0</v>
      </c>
      <c r="R443" s="566">
        <f t="shared" si="725"/>
        <v>0</v>
      </c>
      <c r="S443" s="564">
        <f t="shared" si="725"/>
        <v>0</v>
      </c>
      <c r="T443" s="565">
        <f t="shared" si="725"/>
        <v>0</v>
      </c>
      <c r="U443" s="566">
        <f t="shared" si="725"/>
        <v>0</v>
      </c>
      <c r="V443" s="564">
        <f t="shared" si="725"/>
        <v>0</v>
      </c>
      <c r="W443" s="565">
        <f t="shared" si="725"/>
        <v>0</v>
      </c>
      <c r="X443" s="565">
        <f t="shared" si="725"/>
        <v>0</v>
      </c>
      <c r="Y443" s="565">
        <f t="shared" si="725"/>
        <v>0</v>
      </c>
      <c r="Z443" s="566">
        <f t="shared" si="725"/>
        <v>0</v>
      </c>
      <c r="AA443" s="564">
        <f t="shared" si="725"/>
        <v>0</v>
      </c>
      <c r="AB443" s="565">
        <f t="shared" si="725"/>
        <v>0</v>
      </c>
      <c r="AC443" s="565">
        <f t="shared" si="725"/>
        <v>0</v>
      </c>
      <c r="AD443" s="565">
        <f t="shared" si="725"/>
        <v>0</v>
      </c>
      <c r="AE443" s="566">
        <f t="shared" si="725"/>
        <v>0</v>
      </c>
      <c r="AF443" s="564">
        <f t="shared" si="725"/>
        <v>0</v>
      </c>
      <c r="AG443" s="565">
        <f t="shared" si="725"/>
        <v>0</v>
      </c>
      <c r="AH443" s="565">
        <f t="shared" si="725"/>
        <v>0</v>
      </c>
      <c r="AI443" s="565">
        <f t="shared" si="725"/>
        <v>0</v>
      </c>
      <c r="AJ443" s="566">
        <f t="shared" si="725"/>
        <v>0</v>
      </c>
      <c r="AK443" s="569"/>
      <c r="AL443" s="569"/>
      <c r="AN443" s="857"/>
      <c r="AO443" s="568" t="str">
        <f t="shared" si="624"/>
        <v>Rev</v>
      </c>
      <c r="AP443" s="991" t="str">
        <f t="shared" si="625"/>
        <v>[Service]</v>
      </c>
      <c r="AQ443" s="992" t="str">
        <f t="shared" si="626"/>
        <v>[Price]</v>
      </c>
      <c r="AR443" s="996" t="str">
        <f t="shared" si="627"/>
        <v>-</v>
      </c>
      <c r="AS443" s="993" t="str">
        <f t="shared" si="628"/>
        <v>-</v>
      </c>
      <c r="AT443" s="993" t="str">
        <f t="shared" si="629"/>
        <v>-</v>
      </c>
      <c r="AU443" s="993" t="str">
        <f t="shared" si="630"/>
        <v>-</v>
      </c>
      <c r="AV443" s="1354" t="str">
        <f t="shared" si="631"/>
        <v>-</v>
      </c>
      <c r="AW443" s="1347" t="str">
        <f t="shared" si="632"/>
        <v>-</v>
      </c>
      <c r="AX443" s="993" t="str">
        <f t="shared" si="633"/>
        <v>-</v>
      </c>
      <c r="AY443" s="993" t="str">
        <f t="shared" si="634"/>
        <v>-</v>
      </c>
      <c r="AZ443" s="993" t="str">
        <f t="shared" si="635"/>
        <v>-</v>
      </c>
      <c r="BA443" s="994" t="str">
        <f t="shared" si="636"/>
        <v>-</v>
      </c>
      <c r="BB443" s="1347" t="str">
        <f t="shared" si="637"/>
        <v>-</v>
      </c>
      <c r="BC443" s="993" t="str">
        <f t="shared" si="638"/>
        <v>-</v>
      </c>
      <c r="BD443" s="993" t="str">
        <f t="shared" si="639"/>
        <v>-</v>
      </c>
      <c r="BE443" s="993" t="str">
        <f t="shared" si="640"/>
        <v>-</v>
      </c>
      <c r="BF443" s="995" t="str">
        <f t="shared" si="641"/>
        <v>-</v>
      </c>
      <c r="BG443" s="951"/>
      <c r="BH443" s="1553" t="str">
        <f t="shared" si="673"/>
        <v>Rev</v>
      </c>
      <c r="BI443" s="1554" t="str">
        <f t="shared" si="673"/>
        <v>[Service]</v>
      </c>
      <c r="BJ443" s="1555" t="str">
        <f t="shared" si="673"/>
        <v>[Price]</v>
      </c>
      <c r="BK443" s="993" t="str">
        <f t="shared" ref="BK443:BU443" si="726">IF(V443="","-",IFERROR((V443/U443-1)*(U443/U$13),"-"))</f>
        <v>-</v>
      </c>
      <c r="BL443" s="993" t="str">
        <f t="shared" si="726"/>
        <v>-</v>
      </c>
      <c r="BM443" s="993" t="str">
        <f t="shared" si="726"/>
        <v>-</v>
      </c>
      <c r="BN443" s="993" t="str">
        <f t="shared" si="726"/>
        <v>-</v>
      </c>
      <c r="BO443" s="1354" t="str">
        <f t="shared" si="726"/>
        <v>-</v>
      </c>
      <c r="BP443" s="1347" t="str">
        <f t="shared" si="726"/>
        <v>-</v>
      </c>
      <c r="BQ443" s="993" t="str">
        <f t="shared" si="726"/>
        <v>-</v>
      </c>
      <c r="BR443" s="993" t="str">
        <f t="shared" si="726"/>
        <v>-</v>
      </c>
      <c r="BS443" s="993" t="str">
        <f t="shared" si="726"/>
        <v>-</v>
      </c>
      <c r="BT443" s="994" t="str">
        <f t="shared" si="726"/>
        <v>-</v>
      </c>
      <c r="BU443" s="993" t="str">
        <f t="shared" si="726"/>
        <v>-</v>
      </c>
      <c r="BV443" s="993" t="str">
        <f>IF(AG443="","-",IFERROR((AG443/AF443-1)*(AF443/AF$13),"-"))</f>
        <v>-</v>
      </c>
      <c r="BW443" s="993" t="str">
        <f>IF(AH443="","-",IFERROR((AH443/AG443-1)*(AG443/AG$13),"-"))</f>
        <v>-</v>
      </c>
      <c r="BX443" s="993" t="str">
        <f>IF(AI443="","-",IFERROR((AI443/AH443-1)*(AH443/AH$13),"-"))</f>
        <v>-</v>
      </c>
      <c r="BY443" s="995" t="str">
        <f>IF(AJ443="","-",IFERROR((AJ443/AI443-1)*(AI443/AI$13),"-"))</f>
        <v>-</v>
      </c>
      <c r="BZ443" s="951"/>
      <c r="CA443" s="568" t="str">
        <f t="shared" si="620"/>
        <v>Rev</v>
      </c>
      <c r="CB443" s="991" t="str">
        <f t="shared" si="621"/>
        <v>[Service]</v>
      </c>
      <c r="CC443" s="991" t="str">
        <f t="shared" si="622"/>
        <v>[Price]</v>
      </c>
      <c r="CD443" s="996" t="str">
        <f t="shared" si="653"/>
        <v>-</v>
      </c>
      <c r="CE443" s="993" t="str">
        <f t="shared" si="646"/>
        <v>-</v>
      </c>
      <c r="CF443" s="993" t="str">
        <f t="shared" si="647"/>
        <v>-</v>
      </c>
      <c r="CG443" s="994" t="str">
        <f t="shared" si="648"/>
        <v>-</v>
      </c>
      <c r="CH443" s="993" t="str">
        <f t="shared" si="654"/>
        <v>-</v>
      </c>
      <c r="CI443" s="993" t="str">
        <f t="shared" si="649"/>
        <v>-</v>
      </c>
      <c r="CJ443" s="993" t="str">
        <f t="shared" si="650"/>
        <v>-</v>
      </c>
      <c r="CK443" s="995" t="str">
        <f t="shared" si="651"/>
        <v>-</v>
      </c>
    </row>
    <row r="444" spans="4:89">
      <c r="AK444" s="569"/>
      <c r="AL444" s="569"/>
      <c r="AM444" s="974"/>
      <c r="AN444" s="857"/>
    </row>
    <row r="445" spans="4:89">
      <c r="J445" s="139"/>
      <c r="Z445" s="63" t="s">
        <v>921</v>
      </c>
      <c r="AA445" s="116">
        <f>SUM(AA230:AE230,AA233:AE233,AA236:AE236,AA239:AE239,AA242:AE242,AA245:AE245,AA248:AE248,AA251:AE251,AA254:AE254)</f>
        <v>0</v>
      </c>
      <c r="AF445" s="545"/>
      <c r="AG445" s="545"/>
      <c r="AH445" s="545"/>
      <c r="AI445" s="545"/>
      <c r="AJ445" s="569"/>
      <c r="AK445" s="569"/>
      <c r="AL445" s="569"/>
      <c r="AN445" s="857"/>
    </row>
    <row r="446" spans="4:89">
      <c r="J446" s="139"/>
      <c r="AA446" s="1533"/>
      <c r="AB446" s="833"/>
      <c r="AC446" s="833"/>
      <c r="AD446" s="833"/>
      <c r="AE446" s="833"/>
      <c r="AF446" s="545"/>
      <c r="AG446" s="545"/>
      <c r="AH446" s="545"/>
      <c r="AI446" s="545"/>
      <c r="AJ446" s="569"/>
      <c r="AK446" s="569"/>
      <c r="AL446" s="569"/>
      <c r="AN446" s="857"/>
    </row>
    <row r="447" spans="4:89">
      <c r="I447" s="68" t="s">
        <v>922</v>
      </c>
      <c r="J447" s="570"/>
      <c r="K447" s="68"/>
      <c r="L447" s="68"/>
      <c r="M447" s="68"/>
      <c r="N447" s="68"/>
      <c r="O447" s="68"/>
      <c r="P447" s="68"/>
      <c r="Q447" s="68"/>
      <c r="R447" s="68"/>
      <c r="S447" s="68"/>
      <c r="T447" s="68"/>
      <c r="U447" s="68"/>
      <c r="V447" s="68"/>
      <c r="W447" s="68"/>
      <c r="X447" s="68"/>
      <c r="Y447" s="68"/>
      <c r="Z447" s="68"/>
      <c r="AA447" s="1534"/>
      <c r="AB447" s="1534"/>
      <c r="AC447" s="1534"/>
      <c r="AD447" s="1534"/>
      <c r="AE447" s="1534"/>
      <c r="AF447" s="571"/>
      <c r="AG447" s="571"/>
      <c r="AH447" s="571"/>
      <c r="AI447" s="571"/>
      <c r="AJ447" s="572"/>
      <c r="AK447" s="569"/>
      <c r="AL447" s="569"/>
      <c r="AN447" s="857"/>
    </row>
    <row r="448" spans="4:89">
      <c r="I448" s="1140" t="str">
        <f>General_BL!C58</f>
        <v>Water</v>
      </c>
      <c r="J448" s="1141"/>
      <c r="K448" s="1058">
        <f t="shared" ref="K448:T453" si="727">+SUMIFS(K$69:K$444,$E$69:$E$444,$E$71,$F$69:$F$444,$I448)</f>
        <v>0</v>
      </c>
      <c r="L448" s="1058">
        <f t="shared" si="727"/>
        <v>0</v>
      </c>
      <c r="M448" s="1060">
        <f t="shared" si="727"/>
        <v>0</v>
      </c>
      <c r="N448" s="1059">
        <f t="shared" si="727"/>
        <v>0</v>
      </c>
      <c r="O448" s="1058">
        <f t="shared" si="727"/>
        <v>0</v>
      </c>
      <c r="P448" s="1058">
        <f t="shared" si="727"/>
        <v>0</v>
      </c>
      <c r="Q448" s="1058">
        <f t="shared" si="727"/>
        <v>0</v>
      </c>
      <c r="R448" s="1060">
        <f t="shared" si="727"/>
        <v>0</v>
      </c>
      <c r="S448" s="1059">
        <f t="shared" si="727"/>
        <v>0</v>
      </c>
      <c r="T448" s="1058">
        <f t="shared" si="727"/>
        <v>0</v>
      </c>
      <c r="U448" s="1058">
        <f t="shared" ref="U448:AJ453" si="728">+SUMIFS(U$69:U$444,$E$69:$E$444,$E$71,$F$69:$F$444,$I448)</f>
        <v>0</v>
      </c>
      <c r="V448" s="1059">
        <f t="shared" si="728"/>
        <v>0</v>
      </c>
      <c r="W448" s="1058">
        <f t="shared" si="728"/>
        <v>0</v>
      </c>
      <c r="X448" s="1058">
        <f t="shared" si="728"/>
        <v>0</v>
      </c>
      <c r="Y448" s="1058">
        <f t="shared" si="728"/>
        <v>0</v>
      </c>
      <c r="Z448" s="1060">
        <f t="shared" si="728"/>
        <v>0</v>
      </c>
      <c r="AA448" s="1059">
        <f t="shared" si="728"/>
        <v>0</v>
      </c>
      <c r="AB448" s="1058">
        <f t="shared" si="728"/>
        <v>0</v>
      </c>
      <c r="AC448" s="1058">
        <f t="shared" si="728"/>
        <v>0</v>
      </c>
      <c r="AD448" s="1058">
        <f t="shared" si="728"/>
        <v>0</v>
      </c>
      <c r="AE448" s="1060">
        <f t="shared" si="728"/>
        <v>0</v>
      </c>
      <c r="AF448" s="1059">
        <f t="shared" si="728"/>
        <v>0</v>
      </c>
      <c r="AG448" s="1058">
        <f t="shared" si="728"/>
        <v>0</v>
      </c>
      <c r="AH448" s="1058">
        <f t="shared" si="728"/>
        <v>0</v>
      </c>
      <c r="AI448" s="1058">
        <f t="shared" si="728"/>
        <v>0</v>
      </c>
      <c r="AJ448" s="1060">
        <f t="shared" si="728"/>
        <v>0</v>
      </c>
      <c r="AK448" s="569"/>
      <c r="AL448" s="569"/>
      <c r="AN448" s="857"/>
    </row>
    <row r="449" spans="8:40">
      <c r="I449" s="1142" t="str">
        <f>General_BL!C59</f>
        <v>Sewerage</v>
      </c>
      <c r="J449" s="1143"/>
      <c r="K449" s="1047">
        <f t="shared" si="727"/>
        <v>0</v>
      </c>
      <c r="L449" s="1047">
        <f t="shared" si="727"/>
        <v>0</v>
      </c>
      <c r="M449" s="1046">
        <f t="shared" si="727"/>
        <v>0</v>
      </c>
      <c r="N449" s="1048">
        <f t="shared" si="727"/>
        <v>0</v>
      </c>
      <c r="O449" s="1047">
        <f t="shared" si="727"/>
        <v>0</v>
      </c>
      <c r="P449" s="1047">
        <f t="shared" si="727"/>
        <v>0</v>
      </c>
      <c r="Q449" s="1047">
        <f t="shared" si="727"/>
        <v>0</v>
      </c>
      <c r="R449" s="1046">
        <f t="shared" si="727"/>
        <v>0</v>
      </c>
      <c r="S449" s="1048">
        <f t="shared" si="727"/>
        <v>0</v>
      </c>
      <c r="T449" s="1047">
        <f t="shared" si="727"/>
        <v>0</v>
      </c>
      <c r="U449" s="1047">
        <f t="shared" si="728"/>
        <v>0</v>
      </c>
      <c r="V449" s="1048">
        <f t="shared" si="728"/>
        <v>0</v>
      </c>
      <c r="W449" s="1047">
        <f t="shared" si="728"/>
        <v>0</v>
      </c>
      <c r="X449" s="1047">
        <f t="shared" si="728"/>
        <v>0</v>
      </c>
      <c r="Y449" s="1047">
        <f t="shared" si="728"/>
        <v>0</v>
      </c>
      <c r="Z449" s="1046">
        <f t="shared" si="728"/>
        <v>0</v>
      </c>
      <c r="AA449" s="1048">
        <f t="shared" si="728"/>
        <v>0</v>
      </c>
      <c r="AB449" s="1047">
        <f t="shared" si="728"/>
        <v>0</v>
      </c>
      <c r="AC449" s="1047">
        <f t="shared" si="728"/>
        <v>0</v>
      </c>
      <c r="AD449" s="1047">
        <f t="shared" si="728"/>
        <v>0</v>
      </c>
      <c r="AE449" s="1046">
        <f t="shared" si="728"/>
        <v>0</v>
      </c>
      <c r="AF449" s="1048">
        <f t="shared" si="728"/>
        <v>0</v>
      </c>
      <c r="AG449" s="1047">
        <f t="shared" si="728"/>
        <v>0</v>
      </c>
      <c r="AH449" s="1047">
        <f t="shared" si="728"/>
        <v>0</v>
      </c>
      <c r="AI449" s="1047">
        <f t="shared" si="728"/>
        <v>0</v>
      </c>
      <c r="AJ449" s="1046">
        <f t="shared" si="728"/>
        <v>0</v>
      </c>
      <c r="AK449" s="569"/>
      <c r="AL449" s="569"/>
      <c r="AN449" s="857"/>
    </row>
    <row r="450" spans="8:40" outlineLevel="1">
      <c r="I450" s="1142" t="str">
        <f>General_BL!C60</f>
        <v>Recycled Water</v>
      </c>
      <c r="J450" s="1143"/>
      <c r="K450" s="1047">
        <f t="shared" si="727"/>
        <v>0</v>
      </c>
      <c r="L450" s="1047">
        <f t="shared" si="727"/>
        <v>0</v>
      </c>
      <c r="M450" s="1046">
        <f t="shared" si="727"/>
        <v>0</v>
      </c>
      <c r="N450" s="1048">
        <f t="shared" si="727"/>
        <v>0</v>
      </c>
      <c r="O450" s="1047">
        <f t="shared" si="727"/>
        <v>0</v>
      </c>
      <c r="P450" s="1047">
        <f t="shared" si="727"/>
        <v>0</v>
      </c>
      <c r="Q450" s="1047">
        <f t="shared" si="727"/>
        <v>0</v>
      </c>
      <c r="R450" s="1046">
        <f t="shared" si="727"/>
        <v>0</v>
      </c>
      <c r="S450" s="1048">
        <f t="shared" si="727"/>
        <v>0</v>
      </c>
      <c r="T450" s="1047">
        <f t="shared" si="727"/>
        <v>0</v>
      </c>
      <c r="U450" s="1047">
        <f t="shared" si="728"/>
        <v>0</v>
      </c>
      <c r="V450" s="1048">
        <f t="shared" si="728"/>
        <v>0</v>
      </c>
      <c r="W450" s="1047">
        <f t="shared" si="728"/>
        <v>0</v>
      </c>
      <c r="X450" s="1047">
        <f t="shared" si="728"/>
        <v>0</v>
      </c>
      <c r="Y450" s="1047">
        <f t="shared" si="728"/>
        <v>0</v>
      </c>
      <c r="Z450" s="1046">
        <f t="shared" si="728"/>
        <v>0</v>
      </c>
      <c r="AA450" s="1048">
        <f t="shared" si="728"/>
        <v>0</v>
      </c>
      <c r="AB450" s="1047">
        <f t="shared" si="728"/>
        <v>0</v>
      </c>
      <c r="AC450" s="1047">
        <f t="shared" si="728"/>
        <v>0</v>
      </c>
      <c r="AD450" s="1047">
        <f t="shared" si="728"/>
        <v>0</v>
      </c>
      <c r="AE450" s="1046">
        <f t="shared" si="728"/>
        <v>0</v>
      </c>
      <c r="AF450" s="1048">
        <f t="shared" si="728"/>
        <v>0</v>
      </c>
      <c r="AG450" s="1047">
        <f t="shared" si="728"/>
        <v>0</v>
      </c>
      <c r="AH450" s="1047">
        <f t="shared" si="728"/>
        <v>0</v>
      </c>
      <c r="AI450" s="1047">
        <f t="shared" si="728"/>
        <v>0</v>
      </c>
      <c r="AJ450" s="1046">
        <f t="shared" si="728"/>
        <v>0</v>
      </c>
      <c r="AK450" s="569"/>
      <c r="AL450" s="569"/>
      <c r="AN450" s="857"/>
    </row>
    <row r="451" spans="8:40">
      <c r="I451" s="1142" t="str">
        <f>General_BL!C61</f>
        <v>Waterways and Drainage</v>
      </c>
      <c r="J451" s="1143"/>
      <c r="K451" s="1047">
        <f t="shared" si="727"/>
        <v>0</v>
      </c>
      <c r="L451" s="1047">
        <f t="shared" si="727"/>
        <v>0</v>
      </c>
      <c r="M451" s="1046">
        <f t="shared" si="727"/>
        <v>0</v>
      </c>
      <c r="N451" s="1048">
        <f t="shared" si="727"/>
        <v>0</v>
      </c>
      <c r="O451" s="1047">
        <f t="shared" si="727"/>
        <v>0</v>
      </c>
      <c r="P451" s="1047">
        <f t="shared" si="727"/>
        <v>0</v>
      </c>
      <c r="Q451" s="1047">
        <f t="shared" si="727"/>
        <v>0</v>
      </c>
      <c r="R451" s="1046">
        <f t="shared" si="727"/>
        <v>0</v>
      </c>
      <c r="S451" s="1048">
        <f t="shared" si="727"/>
        <v>0</v>
      </c>
      <c r="T451" s="1047">
        <f t="shared" si="727"/>
        <v>0</v>
      </c>
      <c r="U451" s="1047">
        <f t="shared" si="728"/>
        <v>0</v>
      </c>
      <c r="V451" s="1048">
        <f t="shared" si="728"/>
        <v>0</v>
      </c>
      <c r="W451" s="1047">
        <f t="shared" si="728"/>
        <v>0</v>
      </c>
      <c r="X451" s="1047">
        <f t="shared" si="728"/>
        <v>0</v>
      </c>
      <c r="Y451" s="1047">
        <f t="shared" si="728"/>
        <v>0</v>
      </c>
      <c r="Z451" s="1046">
        <f t="shared" si="728"/>
        <v>0</v>
      </c>
      <c r="AA451" s="1048">
        <f t="shared" si="728"/>
        <v>0</v>
      </c>
      <c r="AB451" s="1047">
        <f t="shared" si="728"/>
        <v>0</v>
      </c>
      <c r="AC451" s="1047">
        <f t="shared" si="728"/>
        <v>0</v>
      </c>
      <c r="AD451" s="1047">
        <f t="shared" si="728"/>
        <v>0</v>
      </c>
      <c r="AE451" s="1046">
        <f t="shared" si="728"/>
        <v>0</v>
      </c>
      <c r="AF451" s="1048">
        <f t="shared" si="728"/>
        <v>0</v>
      </c>
      <c r="AG451" s="1047">
        <f t="shared" si="728"/>
        <v>0</v>
      </c>
      <c r="AH451" s="1047">
        <f t="shared" si="728"/>
        <v>0</v>
      </c>
      <c r="AI451" s="1047">
        <f t="shared" si="728"/>
        <v>0</v>
      </c>
      <c r="AJ451" s="1046">
        <f t="shared" si="728"/>
        <v>0</v>
      </c>
      <c r="AK451" s="569"/>
      <c r="AL451" s="569"/>
      <c r="AN451" s="857"/>
    </row>
    <row r="452" spans="8:40" outlineLevel="1">
      <c r="I452" s="1142" t="str">
        <f>General_BL!C62</f>
        <v>Diversions</v>
      </c>
      <c r="J452" s="1143"/>
      <c r="K452" s="1047">
        <f t="shared" si="727"/>
        <v>0</v>
      </c>
      <c r="L452" s="1047">
        <f t="shared" si="727"/>
        <v>0</v>
      </c>
      <c r="M452" s="1046">
        <f t="shared" si="727"/>
        <v>0</v>
      </c>
      <c r="N452" s="1048">
        <f t="shared" si="727"/>
        <v>0</v>
      </c>
      <c r="O452" s="1047">
        <f t="shared" si="727"/>
        <v>0</v>
      </c>
      <c r="P452" s="1047">
        <f t="shared" si="727"/>
        <v>0</v>
      </c>
      <c r="Q452" s="1047">
        <f t="shared" si="727"/>
        <v>0</v>
      </c>
      <c r="R452" s="1046">
        <f t="shared" si="727"/>
        <v>0</v>
      </c>
      <c r="S452" s="1048">
        <f t="shared" si="727"/>
        <v>0</v>
      </c>
      <c r="T452" s="1047">
        <f t="shared" si="727"/>
        <v>0</v>
      </c>
      <c r="U452" s="1047">
        <f t="shared" si="728"/>
        <v>0</v>
      </c>
      <c r="V452" s="1048">
        <f t="shared" si="728"/>
        <v>0</v>
      </c>
      <c r="W452" s="1047">
        <f t="shared" si="728"/>
        <v>0</v>
      </c>
      <c r="X452" s="1047">
        <f t="shared" si="728"/>
        <v>0</v>
      </c>
      <c r="Y452" s="1047">
        <f t="shared" si="728"/>
        <v>0</v>
      </c>
      <c r="Z452" s="1046">
        <f t="shared" si="728"/>
        <v>0</v>
      </c>
      <c r="AA452" s="1048">
        <f t="shared" si="728"/>
        <v>0</v>
      </c>
      <c r="AB452" s="1047">
        <f t="shared" si="728"/>
        <v>0</v>
      </c>
      <c r="AC452" s="1047">
        <f t="shared" si="728"/>
        <v>0</v>
      </c>
      <c r="AD452" s="1047">
        <f t="shared" si="728"/>
        <v>0</v>
      </c>
      <c r="AE452" s="1046">
        <f t="shared" si="728"/>
        <v>0</v>
      </c>
      <c r="AF452" s="1048">
        <f t="shared" si="728"/>
        <v>0</v>
      </c>
      <c r="AG452" s="1047">
        <f t="shared" si="728"/>
        <v>0</v>
      </c>
      <c r="AH452" s="1047">
        <f t="shared" si="728"/>
        <v>0</v>
      </c>
      <c r="AI452" s="1047">
        <f t="shared" si="728"/>
        <v>0</v>
      </c>
      <c r="AJ452" s="1046">
        <f t="shared" si="728"/>
        <v>0</v>
      </c>
      <c r="AK452" s="569"/>
      <c r="AL452" s="569"/>
      <c r="AN452" s="857"/>
    </row>
    <row r="453" spans="8:40" outlineLevel="1">
      <c r="I453" s="1144" t="str">
        <f>General_BL!C63</f>
        <v>Trade Waste</v>
      </c>
      <c r="J453" s="1145"/>
      <c r="K453" s="1050">
        <f t="shared" si="727"/>
        <v>0</v>
      </c>
      <c r="L453" s="1050">
        <f t="shared" si="727"/>
        <v>0</v>
      </c>
      <c r="M453" s="1049">
        <f t="shared" si="727"/>
        <v>0</v>
      </c>
      <c r="N453" s="1051">
        <f t="shared" si="727"/>
        <v>0</v>
      </c>
      <c r="O453" s="1050">
        <f t="shared" si="727"/>
        <v>0</v>
      </c>
      <c r="P453" s="1050">
        <f t="shared" si="727"/>
        <v>0</v>
      </c>
      <c r="Q453" s="1050">
        <f t="shared" si="727"/>
        <v>0</v>
      </c>
      <c r="R453" s="1049">
        <f t="shared" si="727"/>
        <v>0</v>
      </c>
      <c r="S453" s="1051">
        <f t="shared" si="727"/>
        <v>0</v>
      </c>
      <c r="T453" s="1050">
        <f t="shared" si="727"/>
        <v>0</v>
      </c>
      <c r="U453" s="1050">
        <f t="shared" si="728"/>
        <v>0</v>
      </c>
      <c r="V453" s="1051">
        <f t="shared" si="728"/>
        <v>0</v>
      </c>
      <c r="W453" s="1050">
        <f t="shared" si="728"/>
        <v>0</v>
      </c>
      <c r="X453" s="1050">
        <f t="shared" si="728"/>
        <v>0</v>
      </c>
      <c r="Y453" s="1050">
        <f t="shared" si="728"/>
        <v>0</v>
      </c>
      <c r="Z453" s="1049">
        <f t="shared" si="728"/>
        <v>0</v>
      </c>
      <c r="AA453" s="1051">
        <f t="shared" si="728"/>
        <v>0</v>
      </c>
      <c r="AB453" s="1050">
        <f t="shared" si="728"/>
        <v>0</v>
      </c>
      <c r="AC453" s="1050">
        <f t="shared" si="728"/>
        <v>0</v>
      </c>
      <c r="AD453" s="1050">
        <f t="shared" si="728"/>
        <v>0</v>
      </c>
      <c r="AE453" s="1049">
        <f t="shared" si="728"/>
        <v>0</v>
      </c>
      <c r="AF453" s="1051">
        <f t="shared" si="728"/>
        <v>0</v>
      </c>
      <c r="AG453" s="1050">
        <f t="shared" si="728"/>
        <v>0</v>
      </c>
      <c r="AH453" s="1050">
        <f t="shared" si="728"/>
        <v>0</v>
      </c>
      <c r="AI453" s="1050">
        <f t="shared" si="728"/>
        <v>0</v>
      </c>
      <c r="AJ453" s="1049">
        <f t="shared" si="728"/>
        <v>0</v>
      </c>
      <c r="AK453" s="569"/>
      <c r="AL453" s="569"/>
      <c r="AN453" s="857"/>
    </row>
    <row r="454" spans="8:40">
      <c r="I454" s="1453" t="s">
        <v>113</v>
      </c>
      <c r="J454" s="73"/>
      <c r="K454" s="1052">
        <f>SUM(K448:K453)</f>
        <v>0</v>
      </c>
      <c r="L454" s="1052">
        <f t="shared" ref="L454:AJ454" si="729">SUM(L448:L453)</f>
        <v>0</v>
      </c>
      <c r="M454" s="1054">
        <f t="shared" si="729"/>
        <v>0</v>
      </c>
      <c r="N454" s="1053">
        <f t="shared" si="729"/>
        <v>0</v>
      </c>
      <c r="O454" s="1052">
        <f t="shared" si="729"/>
        <v>0</v>
      </c>
      <c r="P454" s="1052">
        <f t="shared" si="729"/>
        <v>0</v>
      </c>
      <c r="Q454" s="1052">
        <f t="shared" si="729"/>
        <v>0</v>
      </c>
      <c r="R454" s="1054">
        <f t="shared" si="729"/>
        <v>0</v>
      </c>
      <c r="S454" s="1053">
        <f t="shared" si="729"/>
        <v>0</v>
      </c>
      <c r="T454" s="1052">
        <f t="shared" si="729"/>
        <v>0</v>
      </c>
      <c r="U454" s="1052">
        <f t="shared" si="729"/>
        <v>0</v>
      </c>
      <c r="V454" s="1053">
        <f t="shared" si="729"/>
        <v>0</v>
      </c>
      <c r="W454" s="1052">
        <f t="shared" si="729"/>
        <v>0</v>
      </c>
      <c r="X454" s="1052">
        <f t="shared" si="729"/>
        <v>0</v>
      </c>
      <c r="Y454" s="1052">
        <f t="shared" si="729"/>
        <v>0</v>
      </c>
      <c r="Z454" s="1054">
        <f t="shared" si="729"/>
        <v>0</v>
      </c>
      <c r="AA454" s="1053">
        <f t="shared" si="729"/>
        <v>0</v>
      </c>
      <c r="AB454" s="1052">
        <f t="shared" si="729"/>
        <v>0</v>
      </c>
      <c r="AC454" s="1052">
        <f t="shared" si="729"/>
        <v>0</v>
      </c>
      <c r="AD454" s="1052">
        <f t="shared" si="729"/>
        <v>0</v>
      </c>
      <c r="AE454" s="1054">
        <f t="shared" si="729"/>
        <v>0</v>
      </c>
      <c r="AF454" s="1053">
        <f t="shared" si="729"/>
        <v>0</v>
      </c>
      <c r="AG454" s="1052">
        <f>SUM(AG448:AG453)</f>
        <v>0</v>
      </c>
      <c r="AH454" s="1052">
        <f>SUM(AH448:AH453)</f>
        <v>0</v>
      </c>
      <c r="AI454" s="1052">
        <f>SUM(AI448:AI453)</f>
        <v>0</v>
      </c>
      <c r="AJ454" s="1054">
        <f t="shared" si="729"/>
        <v>0</v>
      </c>
      <c r="AK454" s="569"/>
      <c r="AL454" s="569"/>
      <c r="AN454" s="857"/>
    </row>
    <row r="455" spans="8:40">
      <c r="I455" s="75" t="s">
        <v>130</v>
      </c>
      <c r="J455" s="74"/>
      <c r="K455" s="116">
        <f>+K13</f>
        <v>0</v>
      </c>
      <c r="L455" s="116">
        <f t="shared" ref="L455:AJ455" si="730">+L13</f>
        <v>0</v>
      </c>
      <c r="M455" s="508">
        <f t="shared" si="730"/>
        <v>0</v>
      </c>
      <c r="N455" s="1043">
        <f t="shared" si="730"/>
        <v>0</v>
      </c>
      <c r="O455" s="116">
        <f t="shared" si="730"/>
        <v>0</v>
      </c>
      <c r="P455" s="116">
        <f t="shared" si="730"/>
        <v>0</v>
      </c>
      <c r="Q455" s="116">
        <f t="shared" si="730"/>
        <v>0</v>
      </c>
      <c r="R455" s="508">
        <f t="shared" si="730"/>
        <v>0</v>
      </c>
      <c r="S455" s="1043">
        <f t="shared" si="730"/>
        <v>0</v>
      </c>
      <c r="T455" s="116">
        <f t="shared" si="730"/>
        <v>0</v>
      </c>
      <c r="U455" s="116">
        <f t="shared" si="730"/>
        <v>0</v>
      </c>
      <c r="V455" s="1043">
        <f t="shared" si="730"/>
        <v>0</v>
      </c>
      <c r="W455" s="116">
        <f t="shared" si="730"/>
        <v>0</v>
      </c>
      <c r="X455" s="116">
        <f t="shared" si="730"/>
        <v>0</v>
      </c>
      <c r="Y455" s="116">
        <f t="shared" si="730"/>
        <v>0</v>
      </c>
      <c r="Z455" s="508">
        <f t="shared" si="730"/>
        <v>0</v>
      </c>
      <c r="AA455" s="1043">
        <f t="shared" si="730"/>
        <v>0</v>
      </c>
      <c r="AB455" s="116">
        <f t="shared" si="730"/>
        <v>0</v>
      </c>
      <c r="AC455" s="116">
        <f t="shared" si="730"/>
        <v>0</v>
      </c>
      <c r="AD455" s="116">
        <f t="shared" si="730"/>
        <v>0</v>
      </c>
      <c r="AE455" s="508">
        <f t="shared" si="730"/>
        <v>0</v>
      </c>
      <c r="AF455" s="1043">
        <f t="shared" si="730"/>
        <v>0</v>
      </c>
      <c r="AG455" s="116">
        <f t="shared" si="730"/>
        <v>0</v>
      </c>
      <c r="AH455" s="116">
        <f t="shared" si="730"/>
        <v>0</v>
      </c>
      <c r="AI455" s="116">
        <f t="shared" si="730"/>
        <v>0</v>
      </c>
      <c r="AJ455" s="508">
        <f t="shared" si="730"/>
        <v>0</v>
      </c>
      <c r="AK455" s="569"/>
      <c r="AL455" s="569"/>
      <c r="AN455" s="857"/>
    </row>
    <row r="456" spans="8:40">
      <c r="I456" s="81" t="s">
        <v>231</v>
      </c>
      <c r="J456" s="83"/>
      <c r="K456" s="1055">
        <f>+K455-K454</f>
        <v>0</v>
      </c>
      <c r="L456" s="1055">
        <f t="shared" ref="L456:AJ456" si="731">+L455-L454</f>
        <v>0</v>
      </c>
      <c r="M456" s="1057">
        <f t="shared" si="731"/>
        <v>0</v>
      </c>
      <c r="N456" s="1056">
        <f t="shared" si="731"/>
        <v>0</v>
      </c>
      <c r="O456" s="1055">
        <f t="shared" si="731"/>
        <v>0</v>
      </c>
      <c r="P456" s="1055">
        <f t="shared" si="731"/>
        <v>0</v>
      </c>
      <c r="Q456" s="1055">
        <f t="shared" si="731"/>
        <v>0</v>
      </c>
      <c r="R456" s="1057">
        <f t="shared" si="731"/>
        <v>0</v>
      </c>
      <c r="S456" s="1056">
        <f t="shared" si="731"/>
        <v>0</v>
      </c>
      <c r="T456" s="1055">
        <f t="shared" si="731"/>
        <v>0</v>
      </c>
      <c r="U456" s="1055">
        <f t="shared" si="731"/>
        <v>0</v>
      </c>
      <c r="V456" s="1056">
        <f t="shared" si="731"/>
        <v>0</v>
      </c>
      <c r="W456" s="1055">
        <f t="shared" si="731"/>
        <v>0</v>
      </c>
      <c r="X456" s="1055">
        <f t="shared" si="731"/>
        <v>0</v>
      </c>
      <c r="Y456" s="1055">
        <f t="shared" si="731"/>
        <v>0</v>
      </c>
      <c r="Z456" s="1057">
        <f t="shared" si="731"/>
        <v>0</v>
      </c>
      <c r="AA456" s="1056">
        <f t="shared" si="731"/>
        <v>0</v>
      </c>
      <c r="AB456" s="1055">
        <f t="shared" si="731"/>
        <v>0</v>
      </c>
      <c r="AC456" s="1055">
        <f t="shared" si="731"/>
        <v>0</v>
      </c>
      <c r="AD456" s="1055">
        <f t="shared" si="731"/>
        <v>0</v>
      </c>
      <c r="AE456" s="1057">
        <f t="shared" si="731"/>
        <v>0</v>
      </c>
      <c r="AF456" s="1056">
        <f t="shared" si="731"/>
        <v>0</v>
      </c>
      <c r="AG456" s="1055">
        <f>+AG455-AG454</f>
        <v>0</v>
      </c>
      <c r="AH456" s="1055">
        <f>+AH455-AH454</f>
        <v>0</v>
      </c>
      <c r="AI456" s="1055">
        <f>+AI455-AI454</f>
        <v>0</v>
      </c>
      <c r="AJ456" s="1057">
        <f t="shared" si="731"/>
        <v>0</v>
      </c>
      <c r="AK456" s="77"/>
      <c r="AL456" s="77"/>
      <c r="AN456" s="857"/>
    </row>
    <row r="457" spans="8:40">
      <c r="AK457" s="569"/>
      <c r="AL457" s="569"/>
      <c r="AN457" s="857"/>
    </row>
    <row r="458" spans="8:40">
      <c r="K458" s="94" t="b">
        <f t="shared" ref="K458:Q458" si="732">+K454=K463</f>
        <v>1</v>
      </c>
      <c r="L458" s="94" t="b">
        <f t="shared" si="732"/>
        <v>1</v>
      </c>
      <c r="M458" s="94" t="b">
        <f t="shared" si="732"/>
        <v>1</v>
      </c>
      <c r="N458" s="94" t="b">
        <f t="shared" si="732"/>
        <v>1</v>
      </c>
      <c r="O458" s="94" t="b">
        <f t="shared" si="732"/>
        <v>1</v>
      </c>
      <c r="P458" s="94" t="b">
        <f t="shared" si="732"/>
        <v>1</v>
      </c>
      <c r="Q458" s="94" t="b">
        <f t="shared" si="732"/>
        <v>1</v>
      </c>
      <c r="R458" s="94" t="b">
        <f>ROUND(R454,2)=ROUND(R463,2)</f>
        <v>1</v>
      </c>
      <c r="S458" s="94" t="b">
        <f>ROUND(S454,2)=ROUND(S463,2)</f>
        <v>1</v>
      </c>
      <c r="T458" s="94" t="b">
        <f>ROUND(T454,2)=ROUND(T463,2)</f>
        <v>1</v>
      </c>
      <c r="U458" s="1660">
        <f>IF(ROUND(U454,2)=ROUND(U463,2),0,1)</f>
        <v>0</v>
      </c>
      <c r="V458" s="1660">
        <f t="shared" ref="V458:AJ458" si="733">IF(ROUND(V454,2)=ROUND(V463,2),0,1)</f>
        <v>0</v>
      </c>
      <c r="W458" s="1660">
        <f t="shared" si="733"/>
        <v>0</v>
      </c>
      <c r="X458" s="1660">
        <f t="shared" si="733"/>
        <v>0</v>
      </c>
      <c r="Y458" s="1660">
        <f t="shared" si="733"/>
        <v>0</v>
      </c>
      <c r="Z458" s="1660">
        <f t="shared" si="733"/>
        <v>0</v>
      </c>
      <c r="AA458" s="1660">
        <f t="shared" si="733"/>
        <v>0</v>
      </c>
      <c r="AB458" s="1660">
        <f t="shared" si="733"/>
        <v>0</v>
      </c>
      <c r="AC458" s="1660">
        <f t="shared" si="733"/>
        <v>0</v>
      </c>
      <c r="AD458" s="1660">
        <f t="shared" si="733"/>
        <v>0</v>
      </c>
      <c r="AE458" s="1660">
        <f t="shared" si="733"/>
        <v>0</v>
      </c>
      <c r="AF458" s="1660">
        <f t="shared" si="733"/>
        <v>0</v>
      </c>
      <c r="AG458" s="1660">
        <f t="shared" si="733"/>
        <v>0</v>
      </c>
      <c r="AH458" s="1660">
        <f t="shared" si="733"/>
        <v>0</v>
      </c>
      <c r="AI458" s="1660">
        <f t="shared" si="733"/>
        <v>0</v>
      </c>
      <c r="AJ458" s="1660">
        <f t="shared" si="733"/>
        <v>0</v>
      </c>
      <c r="AK458" s="569"/>
      <c r="AL458" s="569"/>
      <c r="AN458" s="857"/>
    </row>
    <row r="459" spans="8:40">
      <c r="AK459" s="569"/>
      <c r="AL459" s="569"/>
      <c r="AN459" s="857"/>
    </row>
    <row r="460" spans="8:40">
      <c r="I460" s="63" t="s">
        <v>923</v>
      </c>
      <c r="J460" s="572"/>
      <c r="K460" s="572"/>
      <c r="L460" s="572"/>
      <c r="M460" s="572"/>
      <c r="N460" s="572"/>
      <c r="O460" s="572"/>
      <c r="P460" s="572"/>
      <c r="Q460" s="572"/>
      <c r="R460" s="572"/>
      <c r="S460" s="572"/>
      <c r="T460" s="572"/>
      <c r="U460" s="572"/>
      <c r="V460" s="572"/>
      <c r="W460" s="572"/>
      <c r="X460" s="572"/>
      <c r="Y460" s="572"/>
      <c r="Z460" s="572"/>
      <c r="AA460" s="572"/>
      <c r="AB460" s="572"/>
      <c r="AC460" s="572"/>
      <c r="AD460" s="572"/>
      <c r="AE460" s="572"/>
      <c r="AF460" s="572"/>
      <c r="AG460" s="572"/>
      <c r="AH460" s="572"/>
      <c r="AI460" s="572"/>
      <c r="AJ460" s="572"/>
      <c r="AK460" s="569"/>
      <c r="AL460" s="569"/>
      <c r="AN460" s="857"/>
    </row>
    <row r="461" spans="8:40">
      <c r="I461" s="1146" t="s">
        <v>842</v>
      </c>
      <c r="J461" s="1147"/>
      <c r="K461" s="1058">
        <f t="shared" ref="K461:T462" si="734">+SUMIFS(K$69:K$444,$E$69:$E$444,$E$71,$I$69:$I$444,$I461)</f>
        <v>0</v>
      </c>
      <c r="L461" s="1058">
        <f t="shared" si="734"/>
        <v>0</v>
      </c>
      <c r="M461" s="1058">
        <f t="shared" si="734"/>
        <v>0</v>
      </c>
      <c r="N461" s="1059">
        <f t="shared" si="734"/>
        <v>0</v>
      </c>
      <c r="O461" s="1058">
        <f t="shared" si="734"/>
        <v>0</v>
      </c>
      <c r="P461" s="1058">
        <f t="shared" si="734"/>
        <v>0</v>
      </c>
      <c r="Q461" s="1058">
        <f t="shared" si="734"/>
        <v>0</v>
      </c>
      <c r="R461" s="1058">
        <f t="shared" si="734"/>
        <v>0</v>
      </c>
      <c r="S461" s="1059">
        <f t="shared" si="734"/>
        <v>0</v>
      </c>
      <c r="T461" s="1058">
        <f t="shared" si="734"/>
        <v>0</v>
      </c>
      <c r="U461" s="1058">
        <f t="shared" ref="U461:AJ462" si="735">+SUMIFS(U$69:U$444,$E$69:$E$444,$E$71,$I$69:$I$444,$I461)</f>
        <v>0</v>
      </c>
      <c r="V461" s="1059">
        <f t="shared" si="735"/>
        <v>0</v>
      </c>
      <c r="W461" s="1058">
        <f t="shared" si="735"/>
        <v>0</v>
      </c>
      <c r="X461" s="1058">
        <f t="shared" si="735"/>
        <v>0</v>
      </c>
      <c r="Y461" s="1058">
        <f t="shared" si="735"/>
        <v>0</v>
      </c>
      <c r="Z461" s="1060">
        <f t="shared" si="735"/>
        <v>0</v>
      </c>
      <c r="AA461" s="1059">
        <f t="shared" si="735"/>
        <v>0</v>
      </c>
      <c r="AB461" s="1058">
        <f t="shared" si="735"/>
        <v>0</v>
      </c>
      <c r="AC461" s="1058">
        <f t="shared" si="735"/>
        <v>0</v>
      </c>
      <c r="AD461" s="1058">
        <f t="shared" si="735"/>
        <v>0</v>
      </c>
      <c r="AE461" s="1060">
        <f t="shared" si="735"/>
        <v>0</v>
      </c>
      <c r="AF461" s="1059">
        <f t="shared" si="735"/>
        <v>0</v>
      </c>
      <c r="AG461" s="1058">
        <f t="shared" si="735"/>
        <v>0</v>
      </c>
      <c r="AH461" s="1058">
        <f t="shared" si="735"/>
        <v>0</v>
      </c>
      <c r="AI461" s="1058">
        <f t="shared" si="735"/>
        <v>0</v>
      </c>
      <c r="AJ461" s="1060">
        <f t="shared" si="735"/>
        <v>0</v>
      </c>
      <c r="AK461" s="569"/>
      <c r="AL461" s="569"/>
      <c r="AN461" s="857"/>
    </row>
    <row r="462" spans="8:40">
      <c r="I462" s="1148" t="s">
        <v>843</v>
      </c>
      <c r="J462" s="1149"/>
      <c r="K462" s="1050">
        <f t="shared" si="734"/>
        <v>0</v>
      </c>
      <c r="L462" s="1050">
        <f t="shared" si="734"/>
        <v>0</v>
      </c>
      <c r="M462" s="1050">
        <f t="shared" si="734"/>
        <v>0</v>
      </c>
      <c r="N462" s="1051">
        <f t="shared" si="734"/>
        <v>0</v>
      </c>
      <c r="O462" s="1050">
        <f t="shared" si="734"/>
        <v>0</v>
      </c>
      <c r="P462" s="1050">
        <f t="shared" si="734"/>
        <v>0</v>
      </c>
      <c r="Q462" s="1050">
        <f t="shared" si="734"/>
        <v>0</v>
      </c>
      <c r="R462" s="1050">
        <f t="shared" si="734"/>
        <v>0</v>
      </c>
      <c r="S462" s="1051">
        <f t="shared" si="734"/>
        <v>0</v>
      </c>
      <c r="T462" s="1050">
        <f t="shared" si="734"/>
        <v>0</v>
      </c>
      <c r="U462" s="1050">
        <f t="shared" si="735"/>
        <v>0</v>
      </c>
      <c r="V462" s="1051">
        <f t="shared" si="735"/>
        <v>0</v>
      </c>
      <c r="W462" s="1050">
        <f t="shared" si="735"/>
        <v>0</v>
      </c>
      <c r="X462" s="1050">
        <f t="shared" si="735"/>
        <v>0</v>
      </c>
      <c r="Y462" s="1050">
        <f t="shared" si="735"/>
        <v>0</v>
      </c>
      <c r="Z462" s="1049">
        <f t="shared" si="735"/>
        <v>0</v>
      </c>
      <c r="AA462" s="1051">
        <f t="shared" si="735"/>
        <v>0</v>
      </c>
      <c r="AB462" s="1050">
        <f t="shared" si="735"/>
        <v>0</v>
      </c>
      <c r="AC462" s="1050">
        <f t="shared" si="735"/>
        <v>0</v>
      </c>
      <c r="AD462" s="1050">
        <f t="shared" si="735"/>
        <v>0</v>
      </c>
      <c r="AE462" s="1049">
        <f t="shared" si="735"/>
        <v>0</v>
      </c>
      <c r="AF462" s="1051">
        <f t="shared" si="735"/>
        <v>0</v>
      </c>
      <c r="AG462" s="1050">
        <f t="shared" si="735"/>
        <v>0</v>
      </c>
      <c r="AH462" s="1050">
        <f t="shared" si="735"/>
        <v>0</v>
      </c>
      <c r="AI462" s="1050">
        <f t="shared" si="735"/>
        <v>0</v>
      </c>
      <c r="AJ462" s="1049">
        <f t="shared" si="735"/>
        <v>0</v>
      </c>
      <c r="AK462" s="569"/>
      <c r="AL462" s="569"/>
      <c r="AN462" s="857"/>
    </row>
    <row r="463" spans="8:40">
      <c r="H463" s="582"/>
      <c r="I463" s="1150" t="s">
        <v>113</v>
      </c>
      <c r="J463" s="106"/>
      <c r="K463" s="1062">
        <f>SUM(K461:K462)</f>
        <v>0</v>
      </c>
      <c r="L463" s="1062">
        <f t="shared" ref="L463:AJ463" si="736">SUM(L461:L462)</f>
        <v>0</v>
      </c>
      <c r="M463" s="1061">
        <f t="shared" si="736"/>
        <v>0</v>
      </c>
      <c r="N463" s="1062">
        <f t="shared" si="736"/>
        <v>0</v>
      </c>
      <c r="O463" s="1062">
        <f t="shared" si="736"/>
        <v>0</v>
      </c>
      <c r="P463" s="1062">
        <f t="shared" si="736"/>
        <v>0</v>
      </c>
      <c r="Q463" s="1062">
        <f t="shared" si="736"/>
        <v>0</v>
      </c>
      <c r="R463" s="1061">
        <f t="shared" si="736"/>
        <v>0</v>
      </c>
      <c r="S463" s="1062">
        <f t="shared" si="736"/>
        <v>0</v>
      </c>
      <c r="T463" s="1062">
        <f t="shared" si="736"/>
        <v>0</v>
      </c>
      <c r="U463" s="1062">
        <f t="shared" si="736"/>
        <v>0</v>
      </c>
      <c r="V463" s="1063">
        <f t="shared" si="736"/>
        <v>0</v>
      </c>
      <c r="W463" s="1325">
        <f t="shared" si="736"/>
        <v>0</v>
      </c>
      <c r="X463" s="1062">
        <f t="shared" si="736"/>
        <v>0</v>
      </c>
      <c r="Y463" s="1062">
        <f t="shared" si="736"/>
        <v>0</v>
      </c>
      <c r="Z463" s="1326">
        <f t="shared" si="736"/>
        <v>0</v>
      </c>
      <c r="AA463" s="1063">
        <f t="shared" si="736"/>
        <v>0</v>
      </c>
      <c r="AB463" s="1325">
        <f t="shared" si="736"/>
        <v>0</v>
      </c>
      <c r="AC463" s="1062">
        <f t="shared" si="736"/>
        <v>0</v>
      </c>
      <c r="AD463" s="1062">
        <f t="shared" si="736"/>
        <v>0</v>
      </c>
      <c r="AE463" s="1326">
        <f t="shared" si="736"/>
        <v>0</v>
      </c>
      <c r="AF463" s="1063">
        <f t="shared" si="736"/>
        <v>0</v>
      </c>
      <c r="AG463" s="1062">
        <f>SUM(AG461:AG462)</f>
        <v>0</v>
      </c>
      <c r="AH463" s="1062">
        <f>SUM(AH461:AH462)</f>
        <v>0</v>
      </c>
      <c r="AI463" s="1062">
        <f>SUM(AI461:AI462)</f>
        <v>0</v>
      </c>
      <c r="AJ463" s="1061">
        <f t="shared" si="736"/>
        <v>0</v>
      </c>
      <c r="AK463" s="569"/>
      <c r="AL463" s="569"/>
      <c r="AN463" s="857"/>
    </row>
    <row r="464" spans="8:40">
      <c r="I464" s="1151" t="s">
        <v>924</v>
      </c>
      <c r="J464" s="106"/>
      <c r="K464" s="584" t="str">
        <f>IFERROR(K461/K463,"")</f>
        <v/>
      </c>
      <c r="L464" s="584" t="str">
        <f t="shared" ref="L464:AJ464" si="737">IFERROR(L461/L463,"")</f>
        <v/>
      </c>
      <c r="M464" s="585" t="str">
        <f t="shared" si="737"/>
        <v/>
      </c>
      <c r="N464" s="584" t="str">
        <f t="shared" si="737"/>
        <v/>
      </c>
      <c r="O464" s="584" t="str">
        <f t="shared" si="737"/>
        <v/>
      </c>
      <c r="P464" s="584" t="str">
        <f t="shared" si="737"/>
        <v/>
      </c>
      <c r="Q464" s="584" t="str">
        <f t="shared" si="737"/>
        <v/>
      </c>
      <c r="R464" s="585" t="str">
        <f t="shared" si="737"/>
        <v/>
      </c>
      <c r="S464" s="584" t="str">
        <f t="shared" si="737"/>
        <v/>
      </c>
      <c r="T464" s="584" t="str">
        <f t="shared" si="737"/>
        <v/>
      </c>
      <c r="U464" s="584" t="str">
        <f t="shared" si="737"/>
        <v/>
      </c>
      <c r="V464" s="1044" t="str">
        <f t="shared" si="737"/>
        <v/>
      </c>
      <c r="W464" s="584" t="str">
        <f t="shared" si="737"/>
        <v/>
      </c>
      <c r="X464" s="584" t="str">
        <f t="shared" si="737"/>
        <v/>
      </c>
      <c r="Y464" s="584" t="str">
        <f t="shared" si="737"/>
        <v/>
      </c>
      <c r="Z464" s="585" t="str">
        <f t="shared" si="737"/>
        <v/>
      </c>
      <c r="AA464" s="1044" t="str">
        <f t="shared" si="737"/>
        <v/>
      </c>
      <c r="AB464" s="584" t="str">
        <f t="shared" si="737"/>
        <v/>
      </c>
      <c r="AC464" s="584" t="str">
        <f t="shared" si="737"/>
        <v/>
      </c>
      <c r="AD464" s="584" t="str">
        <f t="shared" si="737"/>
        <v/>
      </c>
      <c r="AE464" s="585" t="str">
        <f t="shared" si="737"/>
        <v/>
      </c>
      <c r="AF464" s="1044" t="str">
        <f t="shared" si="737"/>
        <v/>
      </c>
      <c r="AG464" s="584" t="str">
        <f>IFERROR(AG461/AG463,"")</f>
        <v/>
      </c>
      <c r="AH464" s="584" t="str">
        <f>IFERROR(AH461/AH463,"")</f>
        <v/>
      </c>
      <c r="AI464" s="584" t="str">
        <f>IFERROR(AI461/AI463,"")</f>
        <v/>
      </c>
      <c r="AJ464" s="585" t="str">
        <f t="shared" si="737"/>
        <v/>
      </c>
      <c r="AK464" s="569"/>
      <c r="AL464" s="569"/>
      <c r="AN464" s="857"/>
    </row>
    <row r="465" spans="1:89">
      <c r="I465" s="1152" t="s">
        <v>925</v>
      </c>
      <c r="J465" s="110"/>
      <c r="K465" s="587" t="str">
        <f>IFERROR(K462/K463,"")</f>
        <v/>
      </c>
      <c r="L465" s="587" t="str">
        <f t="shared" ref="L465:AJ465" si="738">IFERROR(L462/L463,"")</f>
        <v/>
      </c>
      <c r="M465" s="588" t="str">
        <f t="shared" si="738"/>
        <v/>
      </c>
      <c r="N465" s="587" t="str">
        <f t="shared" si="738"/>
        <v/>
      </c>
      <c r="O465" s="587" t="str">
        <f t="shared" si="738"/>
        <v/>
      </c>
      <c r="P465" s="587" t="str">
        <f t="shared" si="738"/>
        <v/>
      </c>
      <c r="Q465" s="587" t="str">
        <f t="shared" si="738"/>
        <v/>
      </c>
      <c r="R465" s="588" t="str">
        <f t="shared" si="738"/>
        <v/>
      </c>
      <c r="S465" s="587" t="str">
        <f t="shared" si="738"/>
        <v/>
      </c>
      <c r="T465" s="587" t="str">
        <f t="shared" si="738"/>
        <v/>
      </c>
      <c r="U465" s="587" t="str">
        <f t="shared" si="738"/>
        <v/>
      </c>
      <c r="V465" s="1045" t="str">
        <f t="shared" si="738"/>
        <v/>
      </c>
      <c r="W465" s="587" t="str">
        <f t="shared" si="738"/>
        <v/>
      </c>
      <c r="X465" s="587" t="str">
        <f t="shared" si="738"/>
        <v/>
      </c>
      <c r="Y465" s="587" t="str">
        <f t="shared" si="738"/>
        <v/>
      </c>
      <c r="Z465" s="588" t="str">
        <f t="shared" si="738"/>
        <v/>
      </c>
      <c r="AA465" s="1045" t="str">
        <f t="shared" si="738"/>
        <v/>
      </c>
      <c r="AB465" s="587" t="str">
        <f t="shared" si="738"/>
        <v/>
      </c>
      <c r="AC465" s="587" t="str">
        <f t="shared" si="738"/>
        <v/>
      </c>
      <c r="AD465" s="587" t="str">
        <f t="shared" si="738"/>
        <v/>
      </c>
      <c r="AE465" s="588" t="str">
        <f t="shared" si="738"/>
        <v/>
      </c>
      <c r="AF465" s="1045" t="str">
        <f t="shared" si="738"/>
        <v/>
      </c>
      <c r="AG465" s="587" t="str">
        <f>IFERROR(AG462/AG463,"")</f>
        <v/>
      </c>
      <c r="AH465" s="587" t="str">
        <f>IFERROR(AH462/AH463,"")</f>
        <v/>
      </c>
      <c r="AI465" s="587" t="str">
        <f>IFERROR(AI462/AI463,"")</f>
        <v/>
      </c>
      <c r="AJ465" s="588" t="str">
        <f t="shared" si="738"/>
        <v/>
      </c>
      <c r="AK465" s="569"/>
      <c r="AL465" s="569"/>
      <c r="AN465" s="857"/>
    </row>
    <row r="466" spans="1:89">
      <c r="AJ466" s="569"/>
      <c r="AK466" s="569"/>
      <c r="AL466" s="569"/>
      <c r="AN466" s="857"/>
    </row>
    <row r="467" spans="1:89">
      <c r="A467" s="856"/>
      <c r="B467" s="856"/>
      <c r="C467" s="856"/>
      <c r="D467" s="856"/>
      <c r="E467" s="856"/>
      <c r="F467" s="856"/>
      <c r="G467" s="856"/>
      <c r="H467" s="856"/>
      <c r="I467" s="856"/>
      <c r="J467" s="856"/>
      <c r="K467" s="856"/>
      <c r="L467" s="856"/>
      <c r="M467" s="856"/>
      <c r="N467" s="856"/>
      <c r="O467" s="856"/>
      <c r="P467" s="856"/>
      <c r="Q467" s="856"/>
      <c r="R467" s="856"/>
      <c r="S467" s="856"/>
      <c r="T467" s="856"/>
      <c r="U467" s="856"/>
      <c r="V467" s="856"/>
      <c r="W467" s="856"/>
      <c r="X467" s="856"/>
      <c r="Y467" s="856"/>
      <c r="Z467" s="856"/>
      <c r="AA467" s="856"/>
      <c r="AB467" s="856"/>
      <c r="AC467" s="856"/>
      <c r="AD467" s="856"/>
      <c r="AE467" s="856"/>
      <c r="AF467" s="856"/>
      <c r="AG467" s="856"/>
      <c r="AH467" s="856"/>
      <c r="AI467" s="856"/>
      <c r="AJ467" s="856"/>
      <c r="AK467" s="856"/>
      <c r="AL467" s="856"/>
      <c r="AN467" s="857"/>
    </row>
    <row r="468" spans="1:89">
      <c r="AN468" s="857"/>
    </row>
    <row r="469" spans="1:89" ht="12.75" thickBot="1">
      <c r="AN469" s="857"/>
    </row>
    <row r="470" spans="1:89" ht="12.75" thickBot="1">
      <c r="I470" s="2099" t="s">
        <v>926</v>
      </c>
      <c r="J470" s="2100"/>
      <c r="K470" s="2100"/>
      <c r="L470" s="2100"/>
      <c r="M470" s="2100"/>
      <c r="N470" s="2100"/>
      <c r="O470" s="2100"/>
      <c r="P470" s="2100"/>
      <c r="Q470" s="2100"/>
      <c r="R470" s="2100"/>
      <c r="S470" s="2100"/>
      <c r="T470" s="2100"/>
      <c r="U470" s="2100"/>
      <c r="V470" s="2100"/>
      <c r="W470" s="2100"/>
      <c r="X470" s="2100"/>
      <c r="Y470" s="2100"/>
      <c r="Z470" s="2100"/>
      <c r="AA470" s="2100"/>
      <c r="AB470" s="2100"/>
      <c r="AC470" s="2100"/>
      <c r="AD470" s="2100"/>
      <c r="AE470" s="2100"/>
      <c r="AF470" s="2100"/>
      <c r="AG470" s="2100"/>
      <c r="AH470" s="2100"/>
      <c r="AI470" s="2100"/>
      <c r="AJ470" s="2101"/>
    </row>
    <row r="471" spans="1:89" s="89" customFormat="1">
      <c r="H471" s="860"/>
      <c r="I471" s="861" t="str">
        <f>I448</f>
        <v>Water</v>
      </c>
      <c r="J471" s="862"/>
      <c r="K471" s="1065">
        <f t="shared" ref="K471:Q471" si="739">SUM(K472:K473)</f>
        <v>0</v>
      </c>
      <c r="L471" s="1065">
        <f t="shared" si="739"/>
        <v>0</v>
      </c>
      <c r="M471" s="1064">
        <f t="shared" si="739"/>
        <v>0</v>
      </c>
      <c r="N471" s="1065">
        <f t="shared" si="739"/>
        <v>0</v>
      </c>
      <c r="O471" s="1065">
        <f t="shared" si="739"/>
        <v>0</v>
      </c>
      <c r="P471" s="1065">
        <f t="shared" si="739"/>
        <v>0</v>
      </c>
      <c r="Q471" s="1065">
        <f t="shared" si="739"/>
        <v>0</v>
      </c>
      <c r="R471" s="1064">
        <f t="shared" ref="R471:AJ471" si="740">SUM(R472:R473)</f>
        <v>0</v>
      </c>
      <c r="S471" s="1065">
        <f t="shared" si="740"/>
        <v>0</v>
      </c>
      <c r="T471" s="1065">
        <f t="shared" si="740"/>
        <v>0</v>
      </c>
      <c r="U471" s="1356">
        <f t="shared" si="740"/>
        <v>0</v>
      </c>
      <c r="V471" s="1327">
        <f t="shared" si="740"/>
        <v>0</v>
      </c>
      <c r="W471" s="1328">
        <f t="shared" si="740"/>
        <v>0</v>
      </c>
      <c r="X471" s="1328">
        <f t="shared" si="740"/>
        <v>0</v>
      </c>
      <c r="Y471" s="1328">
        <f t="shared" si="740"/>
        <v>0</v>
      </c>
      <c r="Z471" s="1329">
        <f t="shared" si="740"/>
        <v>0</v>
      </c>
      <c r="AA471" s="1327">
        <f t="shared" si="740"/>
        <v>0</v>
      </c>
      <c r="AB471" s="1328">
        <f t="shared" si="740"/>
        <v>0</v>
      </c>
      <c r="AC471" s="1328">
        <f t="shared" si="740"/>
        <v>0</v>
      </c>
      <c r="AD471" s="1328">
        <f t="shared" si="740"/>
        <v>0</v>
      </c>
      <c r="AE471" s="1329">
        <f t="shared" si="740"/>
        <v>0</v>
      </c>
      <c r="AF471" s="1065">
        <f t="shared" si="740"/>
        <v>0</v>
      </c>
      <c r="AG471" s="1065">
        <f>SUM(AG472:AG473)</f>
        <v>0</v>
      </c>
      <c r="AH471" s="1065">
        <f>SUM(AH472:AH473)</f>
        <v>0</v>
      </c>
      <c r="AI471" s="1065">
        <f>SUM(AI472:AI473)</f>
        <v>0</v>
      </c>
      <c r="AJ471" s="1064">
        <f t="shared" si="740"/>
        <v>0</v>
      </c>
      <c r="AM471" s="856"/>
      <c r="AO471" s="63"/>
      <c r="AP471" s="63"/>
      <c r="AQ471" s="63"/>
      <c r="AR471" s="63"/>
      <c r="AS471" s="63"/>
      <c r="AT471" s="63"/>
      <c r="AU471" s="63"/>
      <c r="AV471" s="63"/>
      <c r="AW471" s="63"/>
      <c r="AX471" s="63"/>
      <c r="AY471" s="63"/>
      <c r="AZ471" s="63"/>
      <c r="BA471" s="63"/>
      <c r="BB471" s="63"/>
      <c r="BC471" s="63"/>
      <c r="BD471" s="63"/>
      <c r="BE471" s="63"/>
      <c r="BF471" s="63"/>
      <c r="BG471" s="63"/>
      <c r="BH471" s="63"/>
      <c r="BI471" s="63"/>
      <c r="BJ471" s="63"/>
      <c r="BK471" s="63"/>
      <c r="BL471" s="63"/>
      <c r="BM471" s="63"/>
      <c r="BN471" s="63"/>
      <c r="BO471" s="63"/>
      <c r="BP471" s="63"/>
      <c r="BQ471" s="63"/>
      <c r="BR471" s="63"/>
      <c r="BS471" s="63"/>
      <c r="BT471" s="63"/>
      <c r="BU471" s="63"/>
      <c r="BV471" s="63"/>
      <c r="BW471" s="63"/>
      <c r="BX471" s="63"/>
      <c r="BY471" s="63"/>
      <c r="BZ471" s="63"/>
      <c r="CA471" s="63"/>
      <c r="CB471" s="63"/>
      <c r="CC471" s="63"/>
      <c r="CD471" s="63"/>
      <c r="CE471" s="63"/>
      <c r="CF471" s="63"/>
      <c r="CG471" s="63"/>
      <c r="CH471" s="63"/>
      <c r="CI471" s="63"/>
      <c r="CJ471" s="63"/>
      <c r="CK471" s="63"/>
    </row>
    <row r="472" spans="1:89">
      <c r="H472" s="865"/>
      <c r="I472" s="866" t="str">
        <f>I461</f>
        <v>Fixed</v>
      </c>
      <c r="J472" s="867"/>
      <c r="K472" s="1067">
        <f t="shared" ref="K472:Q473" si="741">+SUMIFS(K$69:K$445,$E$69:$E$445,$E$71,$F$69:$F$445,$I$471,$I$69:$I$445,$I472)</f>
        <v>0</v>
      </c>
      <c r="L472" s="1067">
        <f t="shared" si="741"/>
        <v>0</v>
      </c>
      <c r="M472" s="1066">
        <f t="shared" si="741"/>
        <v>0</v>
      </c>
      <c r="N472" s="1067">
        <f t="shared" si="741"/>
        <v>0</v>
      </c>
      <c r="O472" s="1067">
        <f t="shared" si="741"/>
        <v>0</v>
      </c>
      <c r="P472" s="1067">
        <f t="shared" si="741"/>
        <v>0</v>
      </c>
      <c r="Q472" s="1067">
        <f t="shared" si="741"/>
        <v>0</v>
      </c>
      <c r="R472" s="1066">
        <f t="shared" ref="R472:AJ473" si="742">+SUMIFS(R$69:R$445,$E$69:$E$445,$E$71,$F$69:$F$445,$I$471,$I$69:$I$445,$I472)</f>
        <v>0</v>
      </c>
      <c r="S472" s="1067">
        <f t="shared" si="742"/>
        <v>0</v>
      </c>
      <c r="T472" s="1067">
        <f t="shared" si="742"/>
        <v>0</v>
      </c>
      <c r="U472" s="1357">
        <f t="shared" si="742"/>
        <v>0</v>
      </c>
      <c r="V472" s="1330">
        <f t="shared" si="742"/>
        <v>0</v>
      </c>
      <c r="W472" s="1067">
        <f t="shared" si="742"/>
        <v>0</v>
      </c>
      <c r="X472" s="1067">
        <f t="shared" si="742"/>
        <v>0</v>
      </c>
      <c r="Y472" s="1067">
        <f t="shared" si="742"/>
        <v>0</v>
      </c>
      <c r="Z472" s="1066">
        <f t="shared" si="742"/>
        <v>0</v>
      </c>
      <c r="AA472" s="1330">
        <f t="shared" si="742"/>
        <v>0</v>
      </c>
      <c r="AB472" s="1067">
        <f t="shared" si="742"/>
        <v>0</v>
      </c>
      <c r="AC472" s="1067">
        <f t="shared" si="742"/>
        <v>0</v>
      </c>
      <c r="AD472" s="1067">
        <f t="shared" si="742"/>
        <v>0</v>
      </c>
      <c r="AE472" s="1066">
        <f t="shared" si="742"/>
        <v>0</v>
      </c>
      <c r="AF472" s="1067">
        <f t="shared" si="742"/>
        <v>0</v>
      </c>
      <c r="AG472" s="1067">
        <f t="shared" si="742"/>
        <v>0</v>
      </c>
      <c r="AH472" s="1067">
        <f t="shared" si="742"/>
        <v>0</v>
      </c>
      <c r="AI472" s="1067">
        <f t="shared" si="742"/>
        <v>0</v>
      </c>
      <c r="AJ472" s="1066">
        <f>+SUMIFS(AJ$69:AJ$445,$E$69:$E$445,$E$71,$F$69:$F$445,$I$471,$I$69:$I$445,$I472)</f>
        <v>0</v>
      </c>
    </row>
    <row r="473" spans="1:89">
      <c r="H473" s="865"/>
      <c r="I473" s="866" t="str">
        <f>I462</f>
        <v>Variable</v>
      </c>
      <c r="J473" s="867"/>
      <c r="K473" s="1067">
        <f t="shared" si="741"/>
        <v>0</v>
      </c>
      <c r="L473" s="1067">
        <f t="shared" si="741"/>
        <v>0</v>
      </c>
      <c r="M473" s="1066">
        <f t="shared" si="741"/>
        <v>0</v>
      </c>
      <c r="N473" s="1067">
        <f t="shared" si="741"/>
        <v>0</v>
      </c>
      <c r="O473" s="1067">
        <f t="shared" si="741"/>
        <v>0</v>
      </c>
      <c r="P473" s="1067">
        <f t="shared" si="741"/>
        <v>0</v>
      </c>
      <c r="Q473" s="1067">
        <f t="shared" si="741"/>
        <v>0</v>
      </c>
      <c r="R473" s="1066">
        <f t="shared" si="742"/>
        <v>0</v>
      </c>
      <c r="S473" s="1067">
        <f t="shared" si="742"/>
        <v>0</v>
      </c>
      <c r="T473" s="1067">
        <f t="shared" si="742"/>
        <v>0</v>
      </c>
      <c r="U473" s="1357">
        <f t="shared" si="742"/>
        <v>0</v>
      </c>
      <c r="V473" s="1330">
        <f t="shared" si="742"/>
        <v>0</v>
      </c>
      <c r="W473" s="1067">
        <f t="shared" si="742"/>
        <v>0</v>
      </c>
      <c r="X473" s="1067">
        <f t="shared" si="742"/>
        <v>0</v>
      </c>
      <c r="Y473" s="1067">
        <f t="shared" si="742"/>
        <v>0</v>
      </c>
      <c r="Z473" s="1066">
        <f t="shared" si="742"/>
        <v>0</v>
      </c>
      <c r="AA473" s="1330">
        <f t="shared" si="742"/>
        <v>0</v>
      </c>
      <c r="AB473" s="1067">
        <f t="shared" si="742"/>
        <v>0</v>
      </c>
      <c r="AC473" s="1067">
        <f t="shared" si="742"/>
        <v>0</v>
      </c>
      <c r="AD473" s="1067">
        <f t="shared" si="742"/>
        <v>0</v>
      </c>
      <c r="AE473" s="1066">
        <f t="shared" si="742"/>
        <v>0</v>
      </c>
      <c r="AF473" s="1067">
        <f t="shared" si="742"/>
        <v>0</v>
      </c>
      <c r="AG473" s="1067">
        <f t="shared" si="742"/>
        <v>0</v>
      </c>
      <c r="AH473" s="1067">
        <f t="shared" si="742"/>
        <v>0</v>
      </c>
      <c r="AI473" s="1067">
        <f t="shared" si="742"/>
        <v>0</v>
      </c>
      <c r="AJ473" s="1066">
        <f t="shared" si="742"/>
        <v>0</v>
      </c>
      <c r="AO473" s="89"/>
      <c r="AP473" s="89"/>
      <c r="AQ473" s="89"/>
      <c r="AR473" s="89"/>
      <c r="AS473" s="89"/>
      <c r="AT473" s="89"/>
      <c r="AU473" s="89"/>
      <c r="AV473" s="89"/>
      <c r="AW473" s="89"/>
      <c r="AX473" s="89"/>
      <c r="AY473" s="89"/>
      <c r="AZ473" s="89"/>
      <c r="BA473" s="89"/>
      <c r="BB473" s="89"/>
      <c r="BC473" s="89"/>
      <c r="BD473" s="89"/>
      <c r="BE473" s="89"/>
      <c r="BF473" s="89"/>
      <c r="BG473" s="89"/>
      <c r="BH473" s="89"/>
      <c r="BI473" s="89"/>
      <c r="BJ473" s="89"/>
      <c r="BK473" s="89"/>
      <c r="BL473" s="89"/>
      <c r="BM473" s="89"/>
      <c r="BN473" s="89"/>
      <c r="BO473" s="89"/>
      <c r="BP473" s="89"/>
      <c r="BQ473" s="89"/>
      <c r="BR473" s="89"/>
      <c r="BS473" s="89"/>
      <c r="BT473" s="89"/>
      <c r="BU473" s="89"/>
      <c r="BV473" s="89"/>
      <c r="BW473" s="89"/>
      <c r="BX473" s="89"/>
      <c r="BY473" s="89"/>
      <c r="BZ473" s="89"/>
      <c r="CA473" s="89"/>
      <c r="CB473" s="89"/>
      <c r="CC473" s="89"/>
      <c r="CD473" s="89"/>
      <c r="CE473" s="89"/>
      <c r="CF473" s="89"/>
      <c r="CG473" s="89"/>
      <c r="CH473" s="89"/>
      <c r="CI473" s="89"/>
      <c r="CJ473" s="89"/>
      <c r="CK473" s="89"/>
    </row>
    <row r="474" spans="1:89" s="868" customFormat="1">
      <c r="H474" s="869"/>
      <c r="I474" s="870" t="s">
        <v>130</v>
      </c>
      <c r="J474" s="871"/>
      <c r="K474" s="1069">
        <f t="shared" ref="K474:Q474" si="743">K471-K448</f>
        <v>0</v>
      </c>
      <c r="L474" s="1069">
        <f t="shared" si="743"/>
        <v>0</v>
      </c>
      <c r="M474" s="1068">
        <f t="shared" si="743"/>
        <v>0</v>
      </c>
      <c r="N474" s="1069">
        <f t="shared" si="743"/>
        <v>0</v>
      </c>
      <c r="O474" s="1069">
        <f t="shared" si="743"/>
        <v>0</v>
      </c>
      <c r="P474" s="1069">
        <f t="shared" si="743"/>
        <v>0</v>
      </c>
      <c r="Q474" s="1069">
        <f t="shared" si="743"/>
        <v>0</v>
      </c>
      <c r="R474" s="1068">
        <f>R471-R448</f>
        <v>0</v>
      </c>
      <c r="S474" s="1069">
        <f t="shared" ref="S474:AJ474" si="744">S471-S448</f>
        <v>0</v>
      </c>
      <c r="T474" s="1069">
        <f t="shared" si="744"/>
        <v>0</v>
      </c>
      <c r="U474" s="1358">
        <f t="shared" si="744"/>
        <v>0</v>
      </c>
      <c r="V474" s="1331">
        <f t="shared" si="744"/>
        <v>0</v>
      </c>
      <c r="W474" s="1069">
        <f t="shared" si="744"/>
        <v>0</v>
      </c>
      <c r="X474" s="1069">
        <f t="shared" si="744"/>
        <v>0</v>
      </c>
      <c r="Y474" s="1069">
        <f t="shared" si="744"/>
        <v>0</v>
      </c>
      <c r="Z474" s="1068">
        <f t="shared" si="744"/>
        <v>0</v>
      </c>
      <c r="AA474" s="1331">
        <f t="shared" si="744"/>
        <v>0</v>
      </c>
      <c r="AB474" s="1069">
        <f t="shared" si="744"/>
        <v>0</v>
      </c>
      <c r="AC474" s="1069">
        <f t="shared" si="744"/>
        <v>0</v>
      </c>
      <c r="AD474" s="1069">
        <f t="shared" si="744"/>
        <v>0</v>
      </c>
      <c r="AE474" s="1068">
        <f t="shared" si="744"/>
        <v>0</v>
      </c>
      <c r="AF474" s="1069">
        <f t="shared" si="744"/>
        <v>0</v>
      </c>
      <c r="AG474" s="1069">
        <f>AG471-AG448</f>
        <v>0</v>
      </c>
      <c r="AH474" s="1069">
        <f>AH471-AH448</f>
        <v>0</v>
      </c>
      <c r="AI474" s="1069">
        <f>AI471-AI448</f>
        <v>0</v>
      </c>
      <c r="AJ474" s="1068">
        <f t="shared" si="744"/>
        <v>0</v>
      </c>
      <c r="AM474" s="856"/>
      <c r="AO474" s="63"/>
      <c r="AP474" s="63"/>
      <c r="AQ474" s="63"/>
      <c r="AR474" s="63"/>
      <c r="AS474" s="63"/>
      <c r="AT474" s="63"/>
      <c r="AU474" s="63"/>
      <c r="AV474" s="63"/>
      <c r="AW474" s="63"/>
      <c r="AX474" s="63"/>
      <c r="AY474" s="63"/>
      <c r="AZ474" s="63"/>
      <c r="BA474" s="63"/>
      <c r="BB474" s="63"/>
      <c r="BC474" s="63"/>
      <c r="BD474" s="63"/>
      <c r="BE474" s="63"/>
      <c r="BF474" s="63"/>
      <c r="BG474" s="63"/>
      <c r="BH474" s="63"/>
      <c r="BI474" s="63"/>
      <c r="BJ474" s="63"/>
      <c r="BK474" s="63"/>
      <c r="BL474" s="63"/>
      <c r="BM474" s="63"/>
      <c r="BN474" s="63"/>
      <c r="BO474" s="63"/>
      <c r="BP474" s="63"/>
      <c r="BQ474" s="63"/>
      <c r="BR474" s="63"/>
      <c r="BS474" s="63"/>
      <c r="BT474" s="63"/>
      <c r="BU474" s="63"/>
      <c r="BV474" s="63"/>
      <c r="BW474" s="63"/>
      <c r="BX474" s="63"/>
      <c r="BY474" s="63"/>
      <c r="BZ474" s="63"/>
      <c r="CA474" s="63"/>
      <c r="CB474" s="63"/>
      <c r="CC474" s="63"/>
      <c r="CD474" s="63"/>
      <c r="CE474" s="63"/>
      <c r="CF474" s="63"/>
      <c r="CG474" s="63"/>
      <c r="CH474" s="63"/>
      <c r="CI474" s="63"/>
      <c r="CJ474" s="63"/>
      <c r="CK474" s="63"/>
    </row>
    <row r="475" spans="1:89" s="89" customFormat="1">
      <c r="H475" s="860"/>
      <c r="I475" s="861" t="str">
        <f>I449</f>
        <v>Sewerage</v>
      </c>
      <c r="J475" s="862"/>
      <c r="K475" s="1065">
        <f t="shared" ref="K475:Q475" si="745">SUM(K476:K477)</f>
        <v>0</v>
      </c>
      <c r="L475" s="1065">
        <f t="shared" si="745"/>
        <v>0</v>
      </c>
      <c r="M475" s="1064">
        <f t="shared" si="745"/>
        <v>0</v>
      </c>
      <c r="N475" s="1065">
        <f t="shared" si="745"/>
        <v>0</v>
      </c>
      <c r="O475" s="1065">
        <f t="shared" si="745"/>
        <v>0</v>
      </c>
      <c r="P475" s="1065">
        <f t="shared" si="745"/>
        <v>0</v>
      </c>
      <c r="Q475" s="1065">
        <f t="shared" si="745"/>
        <v>0</v>
      </c>
      <c r="R475" s="1064">
        <f t="shared" ref="R475:AJ475" si="746">SUM(R476:R477)</f>
        <v>0</v>
      </c>
      <c r="S475" s="1065">
        <f t="shared" si="746"/>
        <v>0</v>
      </c>
      <c r="T475" s="1065">
        <f t="shared" si="746"/>
        <v>0</v>
      </c>
      <c r="U475" s="1359">
        <f t="shared" si="746"/>
        <v>0</v>
      </c>
      <c r="V475" s="1332">
        <f t="shared" si="746"/>
        <v>0</v>
      </c>
      <c r="W475" s="1065">
        <f t="shared" si="746"/>
        <v>0</v>
      </c>
      <c r="X475" s="1065">
        <f t="shared" si="746"/>
        <v>0</v>
      </c>
      <c r="Y475" s="1065">
        <f t="shared" si="746"/>
        <v>0</v>
      </c>
      <c r="Z475" s="1064">
        <f t="shared" si="746"/>
        <v>0</v>
      </c>
      <c r="AA475" s="1332">
        <f t="shared" si="746"/>
        <v>0</v>
      </c>
      <c r="AB475" s="1065">
        <f t="shared" si="746"/>
        <v>0</v>
      </c>
      <c r="AC475" s="1065">
        <f t="shared" si="746"/>
        <v>0</v>
      </c>
      <c r="AD475" s="1065">
        <f t="shared" si="746"/>
        <v>0</v>
      </c>
      <c r="AE475" s="1064">
        <f t="shared" si="746"/>
        <v>0</v>
      </c>
      <c r="AF475" s="1065">
        <f t="shared" si="746"/>
        <v>0</v>
      </c>
      <c r="AG475" s="1065">
        <f>SUM(AG476:AG477)</f>
        <v>0</v>
      </c>
      <c r="AH475" s="1065">
        <f>SUM(AH476:AH477)</f>
        <v>0</v>
      </c>
      <c r="AI475" s="1065">
        <f>SUM(AI476:AI477)</f>
        <v>0</v>
      </c>
      <c r="AJ475" s="1064">
        <f t="shared" si="746"/>
        <v>0</v>
      </c>
      <c r="AM475" s="856"/>
      <c r="AO475" s="63"/>
      <c r="AP475" s="63"/>
      <c r="AQ475" s="63"/>
      <c r="AR475" s="63"/>
      <c r="AS475" s="63"/>
      <c r="AT475" s="63"/>
      <c r="AU475" s="63"/>
      <c r="AV475" s="63"/>
      <c r="AW475" s="63"/>
      <c r="AX475" s="63"/>
      <c r="AY475" s="63"/>
      <c r="AZ475" s="63"/>
      <c r="BA475" s="63"/>
      <c r="BB475" s="63"/>
      <c r="BC475" s="63"/>
      <c r="BD475" s="63"/>
      <c r="BE475" s="63"/>
      <c r="BF475" s="63"/>
      <c r="BG475" s="63"/>
      <c r="BH475" s="63"/>
      <c r="BI475" s="63"/>
      <c r="BJ475" s="63"/>
      <c r="BK475" s="63"/>
      <c r="BL475" s="63"/>
      <c r="BM475" s="63"/>
      <c r="BN475" s="63"/>
      <c r="BO475" s="63"/>
      <c r="BP475" s="63"/>
      <c r="BQ475" s="63"/>
      <c r="BR475" s="63"/>
      <c r="BS475" s="63"/>
      <c r="BT475" s="63"/>
      <c r="BU475" s="63"/>
      <c r="BV475" s="63"/>
      <c r="BW475" s="63"/>
      <c r="BX475" s="63"/>
      <c r="BY475" s="63"/>
      <c r="BZ475" s="63"/>
      <c r="CA475" s="63"/>
      <c r="CB475" s="63"/>
      <c r="CC475" s="63"/>
      <c r="CD475" s="63"/>
      <c r="CE475" s="63"/>
      <c r="CF475" s="63"/>
      <c r="CG475" s="63"/>
      <c r="CH475" s="63"/>
      <c r="CI475" s="63"/>
      <c r="CJ475" s="63"/>
      <c r="CK475" s="63"/>
    </row>
    <row r="476" spans="1:89">
      <c r="H476" s="865"/>
      <c r="I476" s="866" t="str">
        <f>I472</f>
        <v>Fixed</v>
      </c>
      <c r="J476" s="867"/>
      <c r="K476" s="1067">
        <f t="shared" ref="K476:Q477" si="747">+SUMIFS(K$69:K$445,$E$69:$E$445,$E$71,$F$69:$F$445,$I$475,$I$69:$I$445,$I476)</f>
        <v>0</v>
      </c>
      <c r="L476" s="1067">
        <f t="shared" si="747"/>
        <v>0</v>
      </c>
      <c r="M476" s="1066">
        <f t="shared" si="747"/>
        <v>0</v>
      </c>
      <c r="N476" s="1067">
        <f t="shared" si="747"/>
        <v>0</v>
      </c>
      <c r="O476" s="1067">
        <f t="shared" si="747"/>
        <v>0</v>
      </c>
      <c r="P476" s="1067">
        <f t="shared" si="747"/>
        <v>0</v>
      </c>
      <c r="Q476" s="1067">
        <f t="shared" si="747"/>
        <v>0</v>
      </c>
      <c r="R476" s="1066">
        <f t="shared" ref="R476:AJ477" si="748">+SUMIFS(R$69:R$445,$E$69:$E$445,$E$71,$F$69:$F$445,$I$475,$I$69:$I$445,$I476)</f>
        <v>0</v>
      </c>
      <c r="S476" s="1067">
        <f t="shared" si="748"/>
        <v>0</v>
      </c>
      <c r="T476" s="1067">
        <f t="shared" si="748"/>
        <v>0</v>
      </c>
      <c r="U476" s="1357">
        <f t="shared" si="748"/>
        <v>0</v>
      </c>
      <c r="V476" s="1330">
        <f t="shared" si="748"/>
        <v>0</v>
      </c>
      <c r="W476" s="1067">
        <f t="shared" si="748"/>
        <v>0</v>
      </c>
      <c r="X476" s="1067">
        <f t="shared" si="748"/>
        <v>0</v>
      </c>
      <c r="Y476" s="1067">
        <f t="shared" si="748"/>
        <v>0</v>
      </c>
      <c r="Z476" s="1066">
        <f t="shared" si="748"/>
        <v>0</v>
      </c>
      <c r="AA476" s="1330">
        <f t="shared" si="748"/>
        <v>0</v>
      </c>
      <c r="AB476" s="1067">
        <f t="shared" si="748"/>
        <v>0</v>
      </c>
      <c r="AC476" s="1067">
        <f t="shared" si="748"/>
        <v>0</v>
      </c>
      <c r="AD476" s="1067">
        <f t="shared" si="748"/>
        <v>0</v>
      </c>
      <c r="AE476" s="1066">
        <f t="shared" si="748"/>
        <v>0</v>
      </c>
      <c r="AF476" s="1067">
        <f t="shared" si="748"/>
        <v>0</v>
      </c>
      <c r="AG476" s="1067">
        <f t="shared" si="748"/>
        <v>0</v>
      </c>
      <c r="AH476" s="1067">
        <f t="shared" si="748"/>
        <v>0</v>
      </c>
      <c r="AI476" s="1067">
        <f t="shared" si="748"/>
        <v>0</v>
      </c>
      <c r="AJ476" s="1066">
        <f>+SUMIFS(AJ$69:AJ$445,$E$69:$E$445,$E$71,$F$69:$F$445,$I$475,$I$69:$I$445,$I476)</f>
        <v>0</v>
      </c>
      <c r="AM476" s="877"/>
    </row>
    <row r="477" spans="1:89">
      <c r="H477" s="865"/>
      <c r="I477" s="866" t="str">
        <f>I473</f>
        <v>Variable</v>
      </c>
      <c r="J477" s="867"/>
      <c r="K477" s="1067">
        <f t="shared" si="747"/>
        <v>0</v>
      </c>
      <c r="L477" s="1067">
        <f t="shared" si="747"/>
        <v>0</v>
      </c>
      <c r="M477" s="1066">
        <f t="shared" si="747"/>
        <v>0</v>
      </c>
      <c r="N477" s="1067">
        <f t="shared" si="747"/>
        <v>0</v>
      </c>
      <c r="O477" s="1067">
        <f t="shared" si="747"/>
        <v>0</v>
      </c>
      <c r="P477" s="1067">
        <f t="shared" si="747"/>
        <v>0</v>
      </c>
      <c r="Q477" s="1067">
        <f t="shared" si="747"/>
        <v>0</v>
      </c>
      <c r="R477" s="1066">
        <f t="shared" si="748"/>
        <v>0</v>
      </c>
      <c r="S477" s="1067">
        <f t="shared" si="748"/>
        <v>0</v>
      </c>
      <c r="T477" s="1067">
        <f t="shared" si="748"/>
        <v>0</v>
      </c>
      <c r="U477" s="1357">
        <f t="shared" si="748"/>
        <v>0</v>
      </c>
      <c r="V477" s="1330">
        <f t="shared" si="748"/>
        <v>0</v>
      </c>
      <c r="W477" s="1067">
        <f t="shared" si="748"/>
        <v>0</v>
      </c>
      <c r="X477" s="1067">
        <f t="shared" si="748"/>
        <v>0</v>
      </c>
      <c r="Y477" s="1067">
        <f t="shared" si="748"/>
        <v>0</v>
      </c>
      <c r="Z477" s="1066">
        <f t="shared" si="748"/>
        <v>0</v>
      </c>
      <c r="AA477" s="1330">
        <f t="shared" si="748"/>
        <v>0</v>
      </c>
      <c r="AB477" s="1067">
        <f t="shared" si="748"/>
        <v>0</v>
      </c>
      <c r="AC477" s="1067">
        <f t="shared" si="748"/>
        <v>0</v>
      </c>
      <c r="AD477" s="1067">
        <f t="shared" si="748"/>
        <v>0</v>
      </c>
      <c r="AE477" s="1066">
        <f t="shared" si="748"/>
        <v>0</v>
      </c>
      <c r="AF477" s="1067">
        <f t="shared" si="748"/>
        <v>0</v>
      </c>
      <c r="AG477" s="1067">
        <f t="shared" si="748"/>
        <v>0</v>
      </c>
      <c r="AH477" s="1067">
        <f t="shared" si="748"/>
        <v>0</v>
      </c>
      <c r="AI477" s="1067">
        <f t="shared" si="748"/>
        <v>0</v>
      </c>
      <c r="AJ477" s="1066">
        <f t="shared" si="748"/>
        <v>0</v>
      </c>
    </row>
    <row r="478" spans="1:89" s="868" customFormat="1">
      <c r="H478" s="869"/>
      <c r="I478" s="870" t="s">
        <v>130</v>
      </c>
      <c r="J478" s="871"/>
      <c r="K478" s="1069">
        <f t="shared" ref="K478:Q478" si="749">K475-K449</f>
        <v>0</v>
      </c>
      <c r="L478" s="1069">
        <f t="shared" si="749"/>
        <v>0</v>
      </c>
      <c r="M478" s="1068">
        <f t="shared" si="749"/>
        <v>0</v>
      </c>
      <c r="N478" s="1069">
        <f t="shared" si="749"/>
        <v>0</v>
      </c>
      <c r="O478" s="1069">
        <f t="shared" si="749"/>
        <v>0</v>
      </c>
      <c r="P478" s="1069">
        <f t="shared" si="749"/>
        <v>0</v>
      </c>
      <c r="Q478" s="1069">
        <f t="shared" si="749"/>
        <v>0</v>
      </c>
      <c r="R478" s="1068">
        <f>R475-R449</f>
        <v>0</v>
      </c>
      <c r="S478" s="1069">
        <f t="shared" ref="S478:AJ478" si="750">S475-S449</f>
        <v>0</v>
      </c>
      <c r="T478" s="1069">
        <f t="shared" si="750"/>
        <v>0</v>
      </c>
      <c r="U478" s="1358">
        <f t="shared" si="750"/>
        <v>0</v>
      </c>
      <c r="V478" s="1331">
        <f t="shared" si="750"/>
        <v>0</v>
      </c>
      <c r="W478" s="1069">
        <f t="shared" si="750"/>
        <v>0</v>
      </c>
      <c r="X478" s="1069">
        <f t="shared" si="750"/>
        <v>0</v>
      </c>
      <c r="Y478" s="1069">
        <f t="shared" si="750"/>
        <v>0</v>
      </c>
      <c r="Z478" s="1068">
        <f t="shared" si="750"/>
        <v>0</v>
      </c>
      <c r="AA478" s="1331">
        <f t="shared" si="750"/>
        <v>0</v>
      </c>
      <c r="AB478" s="1069">
        <f t="shared" si="750"/>
        <v>0</v>
      </c>
      <c r="AC478" s="1069">
        <f t="shared" si="750"/>
        <v>0</v>
      </c>
      <c r="AD478" s="1069">
        <f t="shared" si="750"/>
        <v>0</v>
      </c>
      <c r="AE478" s="1068">
        <f t="shared" si="750"/>
        <v>0</v>
      </c>
      <c r="AF478" s="1069">
        <f t="shared" si="750"/>
        <v>0</v>
      </c>
      <c r="AG478" s="1069">
        <f>AG475-AG449</f>
        <v>0</v>
      </c>
      <c r="AH478" s="1069">
        <f>AH475-AH449</f>
        <v>0</v>
      </c>
      <c r="AI478" s="1069">
        <f>AI475-AI449</f>
        <v>0</v>
      </c>
      <c r="AJ478" s="1068">
        <f t="shared" si="750"/>
        <v>0</v>
      </c>
      <c r="AM478" s="856"/>
    </row>
    <row r="479" spans="1:89" s="89" customFormat="1" hidden="1" outlineLevel="1">
      <c r="H479" s="860"/>
      <c r="I479" s="878" t="str">
        <f>I450</f>
        <v>Recycled Water</v>
      </c>
      <c r="J479" s="879"/>
      <c r="K479" s="1065">
        <f t="shared" ref="K479:Q479" si="751">SUM(K480:K481)</f>
        <v>0</v>
      </c>
      <c r="L479" s="1065">
        <f t="shared" si="751"/>
        <v>0</v>
      </c>
      <c r="M479" s="1064">
        <f t="shared" si="751"/>
        <v>0</v>
      </c>
      <c r="N479" s="1065">
        <f t="shared" si="751"/>
        <v>0</v>
      </c>
      <c r="O479" s="1065">
        <f t="shared" si="751"/>
        <v>0</v>
      </c>
      <c r="P479" s="1065">
        <f t="shared" si="751"/>
        <v>0</v>
      </c>
      <c r="Q479" s="1065">
        <f t="shared" si="751"/>
        <v>0</v>
      </c>
      <c r="R479" s="1064">
        <f t="shared" ref="R479:AJ479" si="752">SUM(R480:R481)</f>
        <v>0</v>
      </c>
      <c r="S479" s="1065">
        <f t="shared" si="752"/>
        <v>0</v>
      </c>
      <c r="T479" s="1065">
        <f t="shared" si="752"/>
        <v>0</v>
      </c>
      <c r="U479" s="1359">
        <f t="shared" si="752"/>
        <v>0</v>
      </c>
      <c r="V479" s="1332">
        <f t="shared" si="752"/>
        <v>0</v>
      </c>
      <c r="W479" s="1065">
        <f t="shared" si="752"/>
        <v>0</v>
      </c>
      <c r="X479" s="1065">
        <f t="shared" si="752"/>
        <v>0</v>
      </c>
      <c r="Y479" s="1065">
        <f t="shared" si="752"/>
        <v>0</v>
      </c>
      <c r="Z479" s="1064">
        <f t="shared" si="752"/>
        <v>0</v>
      </c>
      <c r="AA479" s="1332">
        <f t="shared" si="752"/>
        <v>0</v>
      </c>
      <c r="AB479" s="1065">
        <f t="shared" si="752"/>
        <v>0</v>
      </c>
      <c r="AC479" s="1065">
        <f t="shared" si="752"/>
        <v>0</v>
      </c>
      <c r="AD479" s="1065">
        <f t="shared" si="752"/>
        <v>0</v>
      </c>
      <c r="AE479" s="1064">
        <f t="shared" si="752"/>
        <v>0</v>
      </c>
      <c r="AF479" s="1065">
        <f t="shared" si="752"/>
        <v>0</v>
      </c>
      <c r="AG479" s="1065">
        <f>SUM(AG480:AG481)</f>
        <v>0</v>
      </c>
      <c r="AH479" s="1065">
        <f>SUM(AH480:AH481)</f>
        <v>0</v>
      </c>
      <c r="AI479" s="1065">
        <f>SUM(AI480:AI481)</f>
        <v>0</v>
      </c>
      <c r="AJ479" s="1064">
        <f t="shared" si="752"/>
        <v>0</v>
      </c>
      <c r="AM479" s="856"/>
      <c r="AO479" s="868"/>
      <c r="AP479" s="868"/>
      <c r="AQ479" s="868"/>
      <c r="AR479" s="868"/>
      <c r="AS479" s="868"/>
      <c r="AT479" s="868"/>
      <c r="AU479" s="868"/>
      <c r="AV479" s="868"/>
      <c r="AW479" s="868"/>
      <c r="AX479" s="868"/>
      <c r="AY479" s="868"/>
      <c r="AZ479" s="868"/>
      <c r="BA479" s="868"/>
      <c r="BB479" s="868"/>
      <c r="BC479" s="868"/>
      <c r="BD479" s="868"/>
      <c r="BE479" s="868"/>
      <c r="BF479" s="868"/>
      <c r="BG479" s="868"/>
      <c r="BH479" s="868"/>
      <c r="BI479" s="868"/>
      <c r="BJ479" s="868"/>
      <c r="BK479" s="868"/>
      <c r="BL479" s="868"/>
      <c r="BM479" s="868"/>
      <c r="BN479" s="868"/>
      <c r="BO479" s="868"/>
      <c r="BP479" s="868"/>
      <c r="BQ479" s="868"/>
      <c r="BR479" s="868"/>
      <c r="BS479" s="868"/>
      <c r="BT479" s="868"/>
      <c r="BU479" s="868"/>
      <c r="BV479" s="868"/>
      <c r="BW479" s="868"/>
      <c r="BX479" s="868"/>
      <c r="BY479" s="868"/>
      <c r="BZ479" s="868"/>
      <c r="CA479" s="868"/>
      <c r="CB479" s="868"/>
      <c r="CC479" s="868"/>
      <c r="CD479" s="868"/>
      <c r="CE479" s="868"/>
      <c r="CF479" s="868"/>
      <c r="CG479" s="868"/>
      <c r="CH479" s="868"/>
      <c r="CI479" s="868"/>
      <c r="CJ479" s="868"/>
      <c r="CK479" s="868"/>
    </row>
    <row r="480" spans="1:89" hidden="1" outlineLevel="1">
      <c r="H480" s="880"/>
      <c r="I480" s="866" t="str">
        <f>I476</f>
        <v>Fixed</v>
      </c>
      <c r="J480" s="867"/>
      <c r="K480" s="1067">
        <f t="shared" ref="K480:Q481" si="753">+SUMIFS(K$69:K$445,$E$69:$E$445,$E$71,$F$69:$F$445,$I$479,$I$69:$I$445,$I480)</f>
        <v>0</v>
      </c>
      <c r="L480" s="1067">
        <f t="shared" si="753"/>
        <v>0</v>
      </c>
      <c r="M480" s="1066">
        <f t="shared" si="753"/>
        <v>0</v>
      </c>
      <c r="N480" s="1067">
        <f t="shared" si="753"/>
        <v>0</v>
      </c>
      <c r="O480" s="1067">
        <f t="shared" si="753"/>
        <v>0</v>
      </c>
      <c r="P480" s="1067">
        <f t="shared" si="753"/>
        <v>0</v>
      </c>
      <c r="Q480" s="1067">
        <f t="shared" si="753"/>
        <v>0</v>
      </c>
      <c r="R480" s="1066">
        <f t="shared" ref="R480:AJ481" si="754">+SUMIFS(R$69:R$445,$E$69:$E$445,$E$71,$F$69:$F$445,$I$479,$I$69:$I$445,$I480)</f>
        <v>0</v>
      </c>
      <c r="S480" s="1067">
        <f t="shared" si="754"/>
        <v>0</v>
      </c>
      <c r="T480" s="1067">
        <f t="shared" si="754"/>
        <v>0</v>
      </c>
      <c r="U480" s="1357">
        <f t="shared" si="754"/>
        <v>0</v>
      </c>
      <c r="V480" s="1330">
        <f t="shared" si="754"/>
        <v>0</v>
      </c>
      <c r="W480" s="1067">
        <f t="shared" si="754"/>
        <v>0</v>
      </c>
      <c r="X480" s="1067">
        <f t="shared" si="754"/>
        <v>0</v>
      </c>
      <c r="Y480" s="1067">
        <f t="shared" si="754"/>
        <v>0</v>
      </c>
      <c r="Z480" s="1066">
        <f t="shared" si="754"/>
        <v>0</v>
      </c>
      <c r="AA480" s="1330">
        <f t="shared" si="754"/>
        <v>0</v>
      </c>
      <c r="AB480" s="1067">
        <f t="shared" si="754"/>
        <v>0</v>
      </c>
      <c r="AC480" s="1067">
        <f t="shared" si="754"/>
        <v>0</v>
      </c>
      <c r="AD480" s="1067">
        <f t="shared" si="754"/>
        <v>0</v>
      </c>
      <c r="AE480" s="1066">
        <f t="shared" si="754"/>
        <v>0</v>
      </c>
      <c r="AF480" s="1067">
        <f t="shared" si="754"/>
        <v>0</v>
      </c>
      <c r="AG480" s="1067">
        <f t="shared" si="754"/>
        <v>0</v>
      </c>
      <c r="AH480" s="1067">
        <f t="shared" si="754"/>
        <v>0</v>
      </c>
      <c r="AI480" s="1067">
        <f t="shared" si="754"/>
        <v>0</v>
      </c>
      <c r="AJ480" s="1066">
        <f>+SUMIFS(AJ$69:AJ$445,$E$69:$E$445,$E$71,$F$69:$F$445,$I$479,$I$69:$I$445,$I480)</f>
        <v>0</v>
      </c>
      <c r="AO480" s="868"/>
      <c r="AP480" s="868"/>
      <c r="AQ480" s="868"/>
      <c r="AR480" s="868"/>
      <c r="AS480" s="868"/>
      <c r="AT480" s="868"/>
      <c r="AU480" s="868"/>
      <c r="AV480" s="868"/>
      <c r="AW480" s="868"/>
      <c r="AX480" s="868"/>
      <c r="AY480" s="868"/>
      <c r="AZ480" s="868"/>
      <c r="BA480" s="868"/>
      <c r="BB480" s="868"/>
      <c r="BC480" s="868"/>
      <c r="BD480" s="868"/>
      <c r="BE480" s="868"/>
      <c r="BF480" s="868"/>
      <c r="BG480" s="868"/>
      <c r="BH480" s="868"/>
      <c r="BI480" s="868"/>
      <c r="BJ480" s="868"/>
      <c r="BK480" s="868"/>
      <c r="BL480" s="868"/>
      <c r="BM480" s="868"/>
      <c r="BN480" s="868"/>
      <c r="BO480" s="868"/>
      <c r="BP480" s="868"/>
      <c r="BQ480" s="868"/>
      <c r="BR480" s="868"/>
      <c r="BS480" s="868"/>
      <c r="BT480" s="868"/>
      <c r="BU480" s="868"/>
      <c r="BV480" s="868"/>
      <c r="BW480" s="868"/>
      <c r="BX480" s="868"/>
      <c r="BY480" s="868"/>
      <c r="BZ480" s="868"/>
      <c r="CA480" s="868"/>
      <c r="CB480" s="868"/>
      <c r="CC480" s="868"/>
      <c r="CD480" s="868"/>
      <c r="CE480" s="868"/>
      <c r="CF480" s="868"/>
      <c r="CG480" s="868"/>
      <c r="CH480" s="868"/>
      <c r="CI480" s="868"/>
      <c r="CJ480" s="868"/>
      <c r="CK480" s="868"/>
    </row>
    <row r="481" spans="8:89" hidden="1" outlineLevel="1">
      <c r="H481" s="880"/>
      <c r="I481" s="866" t="str">
        <f>I477</f>
        <v>Variable</v>
      </c>
      <c r="J481" s="867"/>
      <c r="K481" s="1067">
        <f t="shared" si="753"/>
        <v>0</v>
      </c>
      <c r="L481" s="1067">
        <f t="shared" si="753"/>
        <v>0</v>
      </c>
      <c r="M481" s="1066">
        <f t="shared" si="753"/>
        <v>0</v>
      </c>
      <c r="N481" s="1067">
        <f t="shared" si="753"/>
        <v>0</v>
      </c>
      <c r="O481" s="1067">
        <f t="shared" si="753"/>
        <v>0</v>
      </c>
      <c r="P481" s="1067">
        <f t="shared" si="753"/>
        <v>0</v>
      </c>
      <c r="Q481" s="1067">
        <f t="shared" si="753"/>
        <v>0</v>
      </c>
      <c r="R481" s="1066">
        <f t="shared" si="754"/>
        <v>0</v>
      </c>
      <c r="S481" s="1067">
        <f t="shared" si="754"/>
        <v>0</v>
      </c>
      <c r="T481" s="1067">
        <f t="shared" si="754"/>
        <v>0</v>
      </c>
      <c r="U481" s="1357">
        <f t="shared" si="754"/>
        <v>0</v>
      </c>
      <c r="V481" s="1330">
        <f t="shared" si="754"/>
        <v>0</v>
      </c>
      <c r="W481" s="1067">
        <f t="shared" si="754"/>
        <v>0</v>
      </c>
      <c r="X481" s="1067">
        <f t="shared" si="754"/>
        <v>0</v>
      </c>
      <c r="Y481" s="1067">
        <f t="shared" si="754"/>
        <v>0</v>
      </c>
      <c r="Z481" s="1066">
        <f t="shared" si="754"/>
        <v>0</v>
      </c>
      <c r="AA481" s="1330">
        <f t="shared" si="754"/>
        <v>0</v>
      </c>
      <c r="AB481" s="1067">
        <f t="shared" si="754"/>
        <v>0</v>
      </c>
      <c r="AC481" s="1067">
        <f t="shared" si="754"/>
        <v>0</v>
      </c>
      <c r="AD481" s="1067">
        <f t="shared" si="754"/>
        <v>0</v>
      </c>
      <c r="AE481" s="1066">
        <f t="shared" si="754"/>
        <v>0</v>
      </c>
      <c r="AF481" s="1067">
        <f t="shared" si="754"/>
        <v>0</v>
      </c>
      <c r="AG481" s="1067">
        <f t="shared" si="754"/>
        <v>0</v>
      </c>
      <c r="AH481" s="1067">
        <f t="shared" si="754"/>
        <v>0</v>
      </c>
      <c r="AI481" s="1067">
        <f t="shared" si="754"/>
        <v>0</v>
      </c>
      <c r="AJ481" s="1066">
        <f t="shared" si="754"/>
        <v>0</v>
      </c>
      <c r="AM481" s="881"/>
      <c r="AO481" s="89"/>
      <c r="AP481" s="89"/>
      <c r="AQ481" s="89"/>
      <c r="AR481" s="89"/>
      <c r="AS481" s="89"/>
      <c r="AT481" s="89"/>
      <c r="AU481" s="89"/>
      <c r="AV481" s="89"/>
      <c r="AW481" s="89"/>
      <c r="AX481" s="89"/>
      <c r="AY481" s="89"/>
      <c r="AZ481" s="89"/>
      <c r="BA481" s="89"/>
      <c r="BB481" s="89"/>
      <c r="BC481" s="89"/>
      <c r="BD481" s="89"/>
      <c r="BE481" s="89"/>
      <c r="BF481" s="89"/>
      <c r="BG481" s="89"/>
      <c r="BH481" s="89"/>
      <c r="BI481" s="89"/>
      <c r="BJ481" s="89"/>
      <c r="BK481" s="89"/>
      <c r="BL481" s="89"/>
      <c r="BM481" s="89"/>
      <c r="BN481" s="89"/>
      <c r="BO481" s="89"/>
      <c r="BP481" s="89"/>
      <c r="BQ481" s="89"/>
      <c r="BR481" s="89"/>
      <c r="BS481" s="89"/>
      <c r="BT481" s="89"/>
      <c r="BU481" s="89"/>
      <c r="BV481" s="89"/>
      <c r="BW481" s="89"/>
      <c r="BX481" s="89"/>
      <c r="BY481" s="89"/>
      <c r="BZ481" s="89"/>
      <c r="CA481" s="89"/>
      <c r="CB481" s="89"/>
      <c r="CC481" s="89"/>
      <c r="CD481" s="89"/>
      <c r="CE481" s="89"/>
      <c r="CF481" s="89"/>
      <c r="CG481" s="89"/>
      <c r="CH481" s="89"/>
      <c r="CI481" s="89"/>
      <c r="CJ481" s="89"/>
      <c r="CK481" s="89"/>
    </row>
    <row r="482" spans="8:89" s="868" customFormat="1" hidden="1" outlineLevel="1">
      <c r="H482" s="869"/>
      <c r="I482" s="870" t="s">
        <v>130</v>
      </c>
      <c r="J482" s="871"/>
      <c r="K482" s="1069">
        <f t="shared" ref="K482:Q482" si="755">K479-K450</f>
        <v>0</v>
      </c>
      <c r="L482" s="1069">
        <f t="shared" si="755"/>
        <v>0</v>
      </c>
      <c r="M482" s="1068">
        <f t="shared" si="755"/>
        <v>0</v>
      </c>
      <c r="N482" s="1069">
        <f t="shared" si="755"/>
        <v>0</v>
      </c>
      <c r="O482" s="1069">
        <f t="shared" si="755"/>
        <v>0</v>
      </c>
      <c r="P482" s="1069">
        <f t="shared" si="755"/>
        <v>0</v>
      </c>
      <c r="Q482" s="1069">
        <f t="shared" si="755"/>
        <v>0</v>
      </c>
      <c r="R482" s="1068">
        <f>R479-R450</f>
        <v>0</v>
      </c>
      <c r="S482" s="1069">
        <f t="shared" ref="S482:AJ482" si="756">S479-S450</f>
        <v>0</v>
      </c>
      <c r="T482" s="1069">
        <f t="shared" si="756"/>
        <v>0</v>
      </c>
      <c r="U482" s="1358">
        <f t="shared" si="756"/>
        <v>0</v>
      </c>
      <c r="V482" s="1331">
        <f t="shared" si="756"/>
        <v>0</v>
      </c>
      <c r="W482" s="1069">
        <f t="shared" si="756"/>
        <v>0</v>
      </c>
      <c r="X482" s="1069">
        <f t="shared" si="756"/>
        <v>0</v>
      </c>
      <c r="Y482" s="1069">
        <f t="shared" si="756"/>
        <v>0</v>
      </c>
      <c r="Z482" s="1068">
        <f t="shared" si="756"/>
        <v>0</v>
      </c>
      <c r="AA482" s="1331">
        <f t="shared" si="756"/>
        <v>0</v>
      </c>
      <c r="AB482" s="1069">
        <f t="shared" si="756"/>
        <v>0</v>
      </c>
      <c r="AC482" s="1069">
        <f t="shared" si="756"/>
        <v>0</v>
      </c>
      <c r="AD482" s="1069">
        <f t="shared" si="756"/>
        <v>0</v>
      </c>
      <c r="AE482" s="1068">
        <f t="shared" si="756"/>
        <v>0</v>
      </c>
      <c r="AF482" s="1069">
        <f t="shared" si="756"/>
        <v>0</v>
      </c>
      <c r="AG482" s="1069">
        <f>AG479-AG450</f>
        <v>0</v>
      </c>
      <c r="AH482" s="1069">
        <f>AH479-AH450</f>
        <v>0</v>
      </c>
      <c r="AI482" s="1069">
        <f>AI479-AI450</f>
        <v>0</v>
      </c>
      <c r="AJ482" s="1068">
        <f t="shared" si="756"/>
        <v>0</v>
      </c>
      <c r="AM482" s="877"/>
      <c r="AO482" s="89"/>
      <c r="AP482" s="89"/>
      <c r="AQ482" s="89"/>
      <c r="AR482" s="89"/>
      <c r="AS482" s="89"/>
      <c r="AT482" s="89"/>
      <c r="AU482" s="89"/>
      <c r="AV482" s="89"/>
      <c r="AW482" s="89"/>
      <c r="AX482" s="89"/>
      <c r="AY482" s="89"/>
      <c r="AZ482" s="89"/>
      <c r="BA482" s="89"/>
      <c r="BB482" s="89"/>
      <c r="BC482" s="89"/>
      <c r="BD482" s="89"/>
      <c r="BE482" s="89"/>
      <c r="BF482" s="89"/>
      <c r="BG482" s="89"/>
      <c r="BH482" s="89"/>
      <c r="BI482" s="89"/>
      <c r="BJ482" s="89"/>
      <c r="BK482" s="89"/>
      <c r="BL482" s="89"/>
      <c r="BM482" s="89"/>
      <c r="BN482" s="89"/>
      <c r="BO482" s="89"/>
      <c r="BP482" s="89"/>
      <c r="BQ482" s="89"/>
      <c r="BR482" s="89"/>
      <c r="BS482" s="89"/>
      <c r="BT482" s="89"/>
      <c r="BU482" s="89"/>
      <c r="BV482" s="89"/>
      <c r="BW482" s="89"/>
      <c r="BX482" s="89"/>
      <c r="BY482" s="89"/>
      <c r="BZ482" s="89"/>
      <c r="CA482" s="89"/>
      <c r="CB482" s="89"/>
      <c r="CC482" s="89"/>
      <c r="CD482" s="89"/>
      <c r="CE482" s="89"/>
      <c r="CF482" s="89"/>
      <c r="CG482" s="89"/>
      <c r="CH482" s="89"/>
      <c r="CI482" s="89"/>
      <c r="CJ482" s="89"/>
      <c r="CK482" s="89"/>
    </row>
    <row r="483" spans="8:89" s="89" customFormat="1" collapsed="1">
      <c r="H483" s="860"/>
      <c r="I483" s="878" t="str">
        <f>I451</f>
        <v>Waterways and Drainage</v>
      </c>
      <c r="J483" s="879"/>
      <c r="K483" s="1065">
        <f t="shared" ref="K483:Q483" si="757">SUM(K484:K485)</f>
        <v>0</v>
      </c>
      <c r="L483" s="1065">
        <f t="shared" si="757"/>
        <v>0</v>
      </c>
      <c r="M483" s="1064">
        <f t="shared" si="757"/>
        <v>0</v>
      </c>
      <c r="N483" s="1065">
        <f t="shared" si="757"/>
        <v>0</v>
      </c>
      <c r="O483" s="1065">
        <f t="shared" si="757"/>
        <v>0</v>
      </c>
      <c r="P483" s="1065">
        <f t="shared" si="757"/>
        <v>0</v>
      </c>
      <c r="Q483" s="1065">
        <f t="shared" si="757"/>
        <v>0</v>
      </c>
      <c r="R483" s="1064">
        <f t="shared" ref="R483:AJ483" si="758">SUM(R484:R485)</f>
        <v>0</v>
      </c>
      <c r="S483" s="1065">
        <f t="shared" si="758"/>
        <v>0</v>
      </c>
      <c r="T483" s="1065">
        <f t="shared" si="758"/>
        <v>0</v>
      </c>
      <c r="U483" s="1359">
        <f t="shared" si="758"/>
        <v>0</v>
      </c>
      <c r="V483" s="1332">
        <f t="shared" si="758"/>
        <v>0</v>
      </c>
      <c r="W483" s="1065">
        <f t="shared" si="758"/>
        <v>0</v>
      </c>
      <c r="X483" s="1065">
        <f t="shared" si="758"/>
        <v>0</v>
      </c>
      <c r="Y483" s="1065">
        <f t="shared" si="758"/>
        <v>0</v>
      </c>
      <c r="Z483" s="1064">
        <f t="shared" si="758"/>
        <v>0</v>
      </c>
      <c r="AA483" s="1332">
        <f t="shared" si="758"/>
        <v>0</v>
      </c>
      <c r="AB483" s="1065">
        <f t="shared" si="758"/>
        <v>0</v>
      </c>
      <c r="AC483" s="1065">
        <f t="shared" si="758"/>
        <v>0</v>
      </c>
      <c r="AD483" s="1065">
        <f t="shared" si="758"/>
        <v>0</v>
      </c>
      <c r="AE483" s="1064">
        <f t="shared" si="758"/>
        <v>0</v>
      </c>
      <c r="AF483" s="1065">
        <f t="shared" si="758"/>
        <v>0</v>
      </c>
      <c r="AG483" s="1065">
        <f>SUM(AG484:AG485)</f>
        <v>0</v>
      </c>
      <c r="AH483" s="1065">
        <f>SUM(AH484:AH485)</f>
        <v>0</v>
      </c>
      <c r="AI483" s="1065">
        <f>SUM(AI484:AI485)</f>
        <v>0</v>
      </c>
      <c r="AJ483" s="1064">
        <f t="shared" si="758"/>
        <v>0</v>
      </c>
      <c r="AM483" s="856"/>
      <c r="AO483" s="63"/>
      <c r="AP483" s="63"/>
      <c r="AQ483" s="63"/>
      <c r="AR483" s="63"/>
      <c r="AS483" s="63"/>
      <c r="AT483" s="63"/>
      <c r="AU483" s="63"/>
      <c r="AV483" s="63"/>
      <c r="AW483" s="63"/>
      <c r="AX483" s="63"/>
      <c r="AY483" s="63"/>
      <c r="AZ483" s="63"/>
      <c r="BA483" s="63"/>
      <c r="BB483" s="63"/>
      <c r="BC483" s="63"/>
      <c r="BD483" s="63"/>
      <c r="BE483" s="63"/>
      <c r="BF483" s="63"/>
      <c r="BG483" s="63"/>
      <c r="BH483" s="63"/>
      <c r="BI483" s="63"/>
      <c r="BJ483" s="63"/>
      <c r="BK483" s="63"/>
      <c r="BL483" s="63"/>
      <c r="BM483" s="63"/>
      <c r="BN483" s="63"/>
      <c r="BO483" s="63"/>
      <c r="BP483" s="63"/>
      <c r="BQ483" s="63"/>
      <c r="BR483" s="63"/>
      <c r="BS483" s="63"/>
      <c r="BT483" s="63"/>
      <c r="BU483" s="63"/>
      <c r="BV483" s="63"/>
      <c r="BW483" s="63"/>
      <c r="BX483" s="63"/>
      <c r="BY483" s="63"/>
      <c r="BZ483" s="63"/>
      <c r="CA483" s="63"/>
      <c r="CB483" s="63"/>
      <c r="CC483" s="63"/>
      <c r="CD483" s="63"/>
      <c r="CE483" s="63"/>
      <c r="CF483" s="63"/>
      <c r="CG483" s="63"/>
      <c r="CH483" s="63"/>
      <c r="CI483" s="63"/>
      <c r="CJ483" s="63"/>
      <c r="CK483" s="63"/>
    </row>
    <row r="484" spans="8:89">
      <c r="H484" s="880"/>
      <c r="I484" s="866" t="str">
        <f>I480</f>
        <v>Fixed</v>
      </c>
      <c r="J484" s="867"/>
      <c r="K484" s="1067">
        <f t="shared" ref="K484:Q485" si="759">+SUMIFS(K$69:K$445,$E$69:$E$445,$E$71,$F$69:$F$445,$I$483,$I$69:$I$445,$I484)</f>
        <v>0</v>
      </c>
      <c r="L484" s="1067">
        <f t="shared" si="759"/>
        <v>0</v>
      </c>
      <c r="M484" s="1066">
        <f t="shared" si="759"/>
        <v>0</v>
      </c>
      <c r="N484" s="1067">
        <f t="shared" si="759"/>
        <v>0</v>
      </c>
      <c r="O484" s="1067">
        <f t="shared" si="759"/>
        <v>0</v>
      </c>
      <c r="P484" s="1067">
        <f t="shared" si="759"/>
        <v>0</v>
      </c>
      <c r="Q484" s="1067">
        <f t="shared" si="759"/>
        <v>0</v>
      </c>
      <c r="R484" s="1066">
        <f t="shared" ref="R484:AJ485" si="760">+SUMIFS(R$69:R$445,$E$69:$E$445,$E$71,$F$69:$F$445,$I$483,$I$69:$I$445,$I484)</f>
        <v>0</v>
      </c>
      <c r="S484" s="1067">
        <f t="shared" si="760"/>
        <v>0</v>
      </c>
      <c r="T484" s="1067">
        <f t="shared" si="760"/>
        <v>0</v>
      </c>
      <c r="U484" s="1357">
        <f t="shared" si="760"/>
        <v>0</v>
      </c>
      <c r="V484" s="1330">
        <f t="shared" si="760"/>
        <v>0</v>
      </c>
      <c r="W484" s="1067">
        <f t="shared" si="760"/>
        <v>0</v>
      </c>
      <c r="X484" s="1067">
        <f t="shared" si="760"/>
        <v>0</v>
      </c>
      <c r="Y484" s="1067">
        <f t="shared" si="760"/>
        <v>0</v>
      </c>
      <c r="Z484" s="1066">
        <f t="shared" si="760"/>
        <v>0</v>
      </c>
      <c r="AA484" s="1330">
        <f t="shared" si="760"/>
        <v>0</v>
      </c>
      <c r="AB484" s="1067">
        <f t="shared" si="760"/>
        <v>0</v>
      </c>
      <c r="AC484" s="1067">
        <f t="shared" si="760"/>
        <v>0</v>
      </c>
      <c r="AD484" s="1067">
        <f t="shared" si="760"/>
        <v>0</v>
      </c>
      <c r="AE484" s="1066">
        <f t="shared" si="760"/>
        <v>0</v>
      </c>
      <c r="AF484" s="1067">
        <f t="shared" si="760"/>
        <v>0</v>
      </c>
      <c r="AG484" s="1067">
        <f t="shared" si="760"/>
        <v>0</v>
      </c>
      <c r="AH484" s="1067">
        <f t="shared" si="760"/>
        <v>0</v>
      </c>
      <c r="AI484" s="1067">
        <f t="shared" si="760"/>
        <v>0</v>
      </c>
      <c r="AJ484" s="1066">
        <f>+SUMIFS(AJ$69:AJ$445,$E$69:$E$445,$E$71,$F$69:$F$445,$I$483,$I$69:$I$445,$I484)</f>
        <v>0</v>
      </c>
    </row>
    <row r="485" spans="8:89">
      <c r="H485" s="880"/>
      <c r="I485" s="866" t="str">
        <f>I481</f>
        <v>Variable</v>
      </c>
      <c r="J485" s="867"/>
      <c r="K485" s="1067">
        <f t="shared" si="759"/>
        <v>0</v>
      </c>
      <c r="L485" s="1067">
        <f t="shared" si="759"/>
        <v>0</v>
      </c>
      <c r="M485" s="1066">
        <f t="shared" si="759"/>
        <v>0</v>
      </c>
      <c r="N485" s="1067">
        <f t="shared" si="759"/>
        <v>0</v>
      </c>
      <c r="O485" s="1067">
        <f t="shared" si="759"/>
        <v>0</v>
      </c>
      <c r="P485" s="1067">
        <f t="shared" si="759"/>
        <v>0</v>
      </c>
      <c r="Q485" s="1067">
        <f t="shared" si="759"/>
        <v>0</v>
      </c>
      <c r="R485" s="1066">
        <f t="shared" si="760"/>
        <v>0</v>
      </c>
      <c r="S485" s="1067">
        <f t="shared" si="760"/>
        <v>0</v>
      </c>
      <c r="T485" s="1067">
        <f t="shared" si="760"/>
        <v>0</v>
      </c>
      <c r="U485" s="1357">
        <f t="shared" si="760"/>
        <v>0</v>
      </c>
      <c r="V485" s="1330">
        <f t="shared" si="760"/>
        <v>0</v>
      </c>
      <c r="W485" s="1067">
        <f t="shared" si="760"/>
        <v>0</v>
      </c>
      <c r="X485" s="1067">
        <f t="shared" si="760"/>
        <v>0</v>
      </c>
      <c r="Y485" s="1067">
        <f t="shared" si="760"/>
        <v>0</v>
      </c>
      <c r="Z485" s="1066">
        <f t="shared" si="760"/>
        <v>0</v>
      </c>
      <c r="AA485" s="1330">
        <f t="shared" si="760"/>
        <v>0</v>
      </c>
      <c r="AB485" s="1067">
        <f t="shared" si="760"/>
        <v>0</v>
      </c>
      <c r="AC485" s="1067">
        <f t="shared" si="760"/>
        <v>0</v>
      </c>
      <c r="AD485" s="1067">
        <f t="shared" si="760"/>
        <v>0</v>
      </c>
      <c r="AE485" s="1066">
        <f t="shared" si="760"/>
        <v>0</v>
      </c>
      <c r="AF485" s="1067">
        <f t="shared" si="760"/>
        <v>0</v>
      </c>
      <c r="AG485" s="1067">
        <f t="shared" si="760"/>
        <v>0</v>
      </c>
      <c r="AH485" s="1067">
        <f t="shared" si="760"/>
        <v>0</v>
      </c>
      <c r="AI485" s="1067">
        <f t="shared" si="760"/>
        <v>0</v>
      </c>
      <c r="AJ485" s="1066">
        <f t="shared" si="760"/>
        <v>0</v>
      </c>
    </row>
    <row r="486" spans="8:89" s="868" customFormat="1">
      <c r="H486" s="869"/>
      <c r="I486" s="870" t="s">
        <v>130</v>
      </c>
      <c r="J486" s="871"/>
      <c r="K486" s="1069">
        <f t="shared" ref="K486:Q486" si="761">K483-K451</f>
        <v>0</v>
      </c>
      <c r="L486" s="1069">
        <f t="shared" si="761"/>
        <v>0</v>
      </c>
      <c r="M486" s="1068">
        <f t="shared" si="761"/>
        <v>0</v>
      </c>
      <c r="N486" s="1069">
        <f t="shared" si="761"/>
        <v>0</v>
      </c>
      <c r="O486" s="1069">
        <f t="shared" si="761"/>
        <v>0</v>
      </c>
      <c r="P486" s="1069">
        <f t="shared" si="761"/>
        <v>0</v>
      </c>
      <c r="Q486" s="1069">
        <f t="shared" si="761"/>
        <v>0</v>
      </c>
      <c r="R486" s="1068">
        <f>R483-R451</f>
        <v>0</v>
      </c>
      <c r="S486" s="1069">
        <f t="shared" ref="S486:AJ486" si="762">S483-S451</f>
        <v>0</v>
      </c>
      <c r="T486" s="1069">
        <f t="shared" si="762"/>
        <v>0</v>
      </c>
      <c r="U486" s="1358">
        <f t="shared" si="762"/>
        <v>0</v>
      </c>
      <c r="V486" s="1331">
        <f t="shared" si="762"/>
        <v>0</v>
      </c>
      <c r="W486" s="1069">
        <f t="shared" si="762"/>
        <v>0</v>
      </c>
      <c r="X486" s="1069">
        <f t="shared" si="762"/>
        <v>0</v>
      </c>
      <c r="Y486" s="1069">
        <f t="shared" si="762"/>
        <v>0</v>
      </c>
      <c r="Z486" s="1068">
        <f t="shared" si="762"/>
        <v>0</v>
      </c>
      <c r="AA486" s="1331">
        <f t="shared" si="762"/>
        <v>0</v>
      </c>
      <c r="AB486" s="1069">
        <f t="shared" si="762"/>
        <v>0</v>
      </c>
      <c r="AC486" s="1069">
        <f t="shared" si="762"/>
        <v>0</v>
      </c>
      <c r="AD486" s="1069">
        <f t="shared" si="762"/>
        <v>0</v>
      </c>
      <c r="AE486" s="1068">
        <f t="shared" si="762"/>
        <v>0</v>
      </c>
      <c r="AF486" s="1069">
        <f t="shared" si="762"/>
        <v>0</v>
      </c>
      <c r="AG486" s="1069">
        <f>AG483-AG451</f>
        <v>0</v>
      </c>
      <c r="AH486" s="1069">
        <f>AH483-AH451</f>
        <v>0</v>
      </c>
      <c r="AI486" s="1069">
        <f>AI483-AI451</f>
        <v>0</v>
      </c>
      <c r="AJ486" s="1068">
        <f t="shared" si="762"/>
        <v>0</v>
      </c>
      <c r="AM486" s="856"/>
      <c r="AO486" s="63"/>
      <c r="AP486" s="63"/>
      <c r="AQ486" s="63"/>
      <c r="AR486" s="63"/>
      <c r="AS486" s="63"/>
      <c r="AT486" s="63"/>
      <c r="AU486" s="63"/>
      <c r="AV486" s="63"/>
      <c r="AW486" s="63"/>
      <c r="AX486" s="63"/>
      <c r="AY486" s="63"/>
      <c r="AZ486" s="63"/>
      <c r="BA486" s="63"/>
      <c r="BB486" s="63"/>
      <c r="BC486" s="63"/>
      <c r="BD486" s="63"/>
      <c r="BE486" s="63"/>
      <c r="BF486" s="63"/>
      <c r="BG486" s="63"/>
      <c r="BH486" s="63"/>
      <c r="BI486" s="63"/>
      <c r="BJ486" s="63"/>
      <c r="BK486" s="63"/>
      <c r="BL486" s="63"/>
      <c r="BM486" s="63"/>
      <c r="BN486" s="63"/>
      <c r="BO486" s="63"/>
      <c r="BP486" s="63"/>
      <c r="BQ486" s="63"/>
      <c r="BR486" s="63"/>
      <c r="BS486" s="63"/>
      <c r="BT486" s="63"/>
      <c r="BU486" s="63"/>
      <c r="BV486" s="63"/>
      <c r="BW486" s="63"/>
      <c r="BX486" s="63"/>
      <c r="BY486" s="63"/>
      <c r="BZ486" s="63"/>
      <c r="CA486" s="63"/>
      <c r="CB486" s="63"/>
      <c r="CC486" s="63"/>
      <c r="CD486" s="63"/>
      <c r="CE486" s="63"/>
      <c r="CF486" s="63"/>
      <c r="CG486" s="63"/>
      <c r="CH486" s="63"/>
      <c r="CI486" s="63"/>
      <c r="CJ486" s="63"/>
      <c r="CK486" s="63"/>
    </row>
    <row r="487" spans="8:89" s="89" customFormat="1" hidden="1" outlineLevel="1">
      <c r="H487" s="860"/>
      <c r="I487" s="878" t="str">
        <f>I452</f>
        <v>Diversions</v>
      </c>
      <c r="J487" s="879"/>
      <c r="K487" s="1065">
        <f t="shared" ref="K487:Q487" si="763">SUM(K488:K489)</f>
        <v>0</v>
      </c>
      <c r="L487" s="1065">
        <f t="shared" si="763"/>
        <v>0</v>
      </c>
      <c r="M487" s="1064">
        <f t="shared" si="763"/>
        <v>0</v>
      </c>
      <c r="N487" s="1065">
        <f t="shared" si="763"/>
        <v>0</v>
      </c>
      <c r="O487" s="1065">
        <f t="shared" si="763"/>
        <v>0</v>
      </c>
      <c r="P487" s="1065">
        <f t="shared" si="763"/>
        <v>0</v>
      </c>
      <c r="Q487" s="1065">
        <f t="shared" si="763"/>
        <v>0</v>
      </c>
      <c r="R487" s="1064">
        <f t="shared" ref="R487:AJ487" si="764">SUM(R488:R489)</f>
        <v>0</v>
      </c>
      <c r="S487" s="1065">
        <f t="shared" si="764"/>
        <v>0</v>
      </c>
      <c r="T487" s="1065">
        <f t="shared" si="764"/>
        <v>0</v>
      </c>
      <c r="U487" s="1359">
        <f t="shared" si="764"/>
        <v>0</v>
      </c>
      <c r="V487" s="1332">
        <f t="shared" si="764"/>
        <v>0</v>
      </c>
      <c r="W487" s="1065">
        <f t="shared" si="764"/>
        <v>0</v>
      </c>
      <c r="X487" s="1065">
        <f t="shared" si="764"/>
        <v>0</v>
      </c>
      <c r="Y487" s="1065">
        <f t="shared" si="764"/>
        <v>0</v>
      </c>
      <c r="Z487" s="1064">
        <f t="shared" si="764"/>
        <v>0</v>
      </c>
      <c r="AA487" s="1332">
        <f t="shared" si="764"/>
        <v>0</v>
      </c>
      <c r="AB487" s="1065">
        <f t="shared" si="764"/>
        <v>0</v>
      </c>
      <c r="AC487" s="1065">
        <f t="shared" si="764"/>
        <v>0</v>
      </c>
      <c r="AD487" s="1065">
        <f t="shared" si="764"/>
        <v>0</v>
      </c>
      <c r="AE487" s="1064">
        <f t="shared" si="764"/>
        <v>0</v>
      </c>
      <c r="AF487" s="1065">
        <f t="shared" si="764"/>
        <v>0</v>
      </c>
      <c r="AG487" s="1065">
        <f>SUM(AG488:AG489)</f>
        <v>0</v>
      </c>
      <c r="AH487" s="1065">
        <f>SUM(AH488:AH489)</f>
        <v>0</v>
      </c>
      <c r="AI487" s="1065">
        <f>SUM(AI488:AI489)</f>
        <v>0</v>
      </c>
      <c r="AJ487" s="1064">
        <f t="shared" si="764"/>
        <v>0</v>
      </c>
      <c r="AM487" s="881"/>
      <c r="AO487" s="63"/>
      <c r="AP487" s="63"/>
      <c r="AQ487" s="63"/>
      <c r="AR487" s="63"/>
      <c r="AS487" s="63"/>
      <c r="AT487" s="63"/>
      <c r="AU487" s="63"/>
      <c r="AV487" s="63"/>
      <c r="AW487" s="63"/>
      <c r="AX487" s="63"/>
      <c r="AY487" s="63"/>
      <c r="AZ487" s="63"/>
      <c r="BA487" s="63"/>
      <c r="BB487" s="63"/>
      <c r="BC487" s="63"/>
      <c r="BD487" s="63"/>
      <c r="BE487" s="63"/>
      <c r="BF487" s="63"/>
      <c r="BG487" s="63"/>
      <c r="BH487" s="63"/>
      <c r="BI487" s="63"/>
      <c r="BJ487" s="63"/>
      <c r="BK487" s="63"/>
      <c r="BL487" s="63"/>
      <c r="BM487" s="63"/>
      <c r="BN487" s="63"/>
      <c r="BO487" s="63"/>
      <c r="BP487" s="63"/>
      <c r="BQ487" s="63"/>
      <c r="BR487" s="63"/>
      <c r="BS487" s="63"/>
      <c r="BT487" s="63"/>
      <c r="BU487" s="63"/>
      <c r="BV487" s="63"/>
      <c r="BW487" s="63"/>
      <c r="BX487" s="63"/>
      <c r="BY487" s="63"/>
      <c r="BZ487" s="63"/>
      <c r="CA487" s="63"/>
      <c r="CB487" s="63"/>
      <c r="CC487" s="63"/>
      <c r="CD487" s="63"/>
      <c r="CE487" s="63"/>
      <c r="CF487" s="63"/>
      <c r="CG487" s="63"/>
      <c r="CH487" s="63"/>
      <c r="CI487" s="63"/>
      <c r="CJ487" s="63"/>
      <c r="CK487" s="63"/>
    </row>
    <row r="488" spans="8:89" hidden="1" outlineLevel="1">
      <c r="H488" s="880"/>
      <c r="I488" s="866" t="str">
        <f>I484</f>
        <v>Fixed</v>
      </c>
      <c r="J488" s="867"/>
      <c r="K488" s="1067">
        <f t="shared" ref="K488:Q489" si="765">+SUMIFS(K$69:K$445,$E$69:$E$445,$E$71,$F$69:$F$445,$I$487,$I$69:$I$445,$I488)</f>
        <v>0</v>
      </c>
      <c r="L488" s="1067">
        <f t="shared" si="765"/>
        <v>0</v>
      </c>
      <c r="M488" s="1066">
        <f t="shared" si="765"/>
        <v>0</v>
      </c>
      <c r="N488" s="1067">
        <f t="shared" si="765"/>
        <v>0</v>
      </c>
      <c r="O488" s="1067">
        <f t="shared" si="765"/>
        <v>0</v>
      </c>
      <c r="P488" s="1067">
        <f t="shared" si="765"/>
        <v>0</v>
      </c>
      <c r="Q488" s="1067">
        <f t="shared" si="765"/>
        <v>0</v>
      </c>
      <c r="R488" s="1066">
        <f t="shared" ref="R488:AJ489" si="766">+SUMIFS(R$69:R$445,$E$69:$E$445,$E$71,$F$69:$F$445,$I$487,$I$69:$I$445,$I488)</f>
        <v>0</v>
      </c>
      <c r="S488" s="1067">
        <f t="shared" si="766"/>
        <v>0</v>
      </c>
      <c r="T488" s="1067">
        <f t="shared" si="766"/>
        <v>0</v>
      </c>
      <c r="U488" s="1357">
        <f t="shared" si="766"/>
        <v>0</v>
      </c>
      <c r="V488" s="1330">
        <f t="shared" si="766"/>
        <v>0</v>
      </c>
      <c r="W488" s="1067">
        <f t="shared" si="766"/>
        <v>0</v>
      </c>
      <c r="X488" s="1067">
        <f t="shared" si="766"/>
        <v>0</v>
      </c>
      <c r="Y488" s="1067">
        <f t="shared" si="766"/>
        <v>0</v>
      </c>
      <c r="Z488" s="1066">
        <f t="shared" si="766"/>
        <v>0</v>
      </c>
      <c r="AA488" s="1330">
        <f t="shared" si="766"/>
        <v>0</v>
      </c>
      <c r="AB488" s="1067">
        <f t="shared" si="766"/>
        <v>0</v>
      </c>
      <c r="AC488" s="1067">
        <f t="shared" si="766"/>
        <v>0</v>
      </c>
      <c r="AD488" s="1067">
        <f t="shared" si="766"/>
        <v>0</v>
      </c>
      <c r="AE488" s="1066">
        <f t="shared" si="766"/>
        <v>0</v>
      </c>
      <c r="AF488" s="1067">
        <f t="shared" si="766"/>
        <v>0</v>
      </c>
      <c r="AG488" s="1067">
        <f t="shared" si="766"/>
        <v>0</v>
      </c>
      <c r="AH488" s="1067">
        <f t="shared" si="766"/>
        <v>0</v>
      </c>
      <c r="AI488" s="1067">
        <f t="shared" si="766"/>
        <v>0</v>
      </c>
      <c r="AJ488" s="1066">
        <f>+SUMIFS(AJ$69:AJ$445,$E$69:$E$445,$E$71,$F$69:$F$445,$I$487,$I$69:$I$445,$I488)</f>
        <v>0</v>
      </c>
      <c r="AM488" s="877"/>
    </row>
    <row r="489" spans="8:89" hidden="1" outlineLevel="1">
      <c r="H489" s="880"/>
      <c r="I489" s="866" t="str">
        <f>I485</f>
        <v>Variable</v>
      </c>
      <c r="J489" s="867"/>
      <c r="K489" s="1067">
        <f t="shared" si="765"/>
        <v>0</v>
      </c>
      <c r="L489" s="1067">
        <f t="shared" si="765"/>
        <v>0</v>
      </c>
      <c r="M489" s="1066">
        <f t="shared" si="765"/>
        <v>0</v>
      </c>
      <c r="N489" s="1067">
        <f t="shared" si="765"/>
        <v>0</v>
      </c>
      <c r="O489" s="1067">
        <f t="shared" si="765"/>
        <v>0</v>
      </c>
      <c r="P489" s="1067">
        <f t="shared" si="765"/>
        <v>0</v>
      </c>
      <c r="Q489" s="1067">
        <f t="shared" si="765"/>
        <v>0</v>
      </c>
      <c r="R489" s="1066">
        <f t="shared" si="766"/>
        <v>0</v>
      </c>
      <c r="S489" s="1067">
        <f t="shared" si="766"/>
        <v>0</v>
      </c>
      <c r="T489" s="1067">
        <f t="shared" si="766"/>
        <v>0</v>
      </c>
      <c r="U489" s="1357">
        <f t="shared" si="766"/>
        <v>0</v>
      </c>
      <c r="V489" s="1330">
        <f t="shared" si="766"/>
        <v>0</v>
      </c>
      <c r="W489" s="1067">
        <f t="shared" si="766"/>
        <v>0</v>
      </c>
      <c r="X489" s="1067">
        <f t="shared" si="766"/>
        <v>0</v>
      </c>
      <c r="Y489" s="1067">
        <f t="shared" si="766"/>
        <v>0</v>
      </c>
      <c r="Z489" s="1066">
        <f t="shared" si="766"/>
        <v>0</v>
      </c>
      <c r="AA489" s="1330">
        <f t="shared" si="766"/>
        <v>0</v>
      </c>
      <c r="AB489" s="1067">
        <f t="shared" si="766"/>
        <v>0</v>
      </c>
      <c r="AC489" s="1067">
        <f t="shared" si="766"/>
        <v>0</v>
      </c>
      <c r="AD489" s="1067">
        <f t="shared" si="766"/>
        <v>0</v>
      </c>
      <c r="AE489" s="1066">
        <f t="shared" si="766"/>
        <v>0</v>
      </c>
      <c r="AF489" s="1067">
        <f t="shared" si="766"/>
        <v>0</v>
      </c>
      <c r="AG489" s="1067">
        <f t="shared" si="766"/>
        <v>0</v>
      </c>
      <c r="AH489" s="1067">
        <f t="shared" si="766"/>
        <v>0</v>
      </c>
      <c r="AI489" s="1067">
        <f t="shared" si="766"/>
        <v>0</v>
      </c>
      <c r="AJ489" s="1066">
        <f t="shared" si="766"/>
        <v>0</v>
      </c>
      <c r="AO489" s="868"/>
      <c r="AP489" s="868"/>
      <c r="AQ489" s="868"/>
      <c r="AR489" s="868"/>
      <c r="AS489" s="868"/>
      <c r="AT489" s="868"/>
      <c r="AU489" s="868"/>
      <c r="AV489" s="868"/>
      <c r="AW489" s="868"/>
      <c r="AX489" s="868"/>
      <c r="AY489" s="868"/>
      <c r="AZ489" s="868"/>
      <c r="BA489" s="868"/>
      <c r="BB489" s="868"/>
      <c r="BC489" s="868"/>
      <c r="BD489" s="868"/>
      <c r="BE489" s="868"/>
      <c r="BF489" s="868"/>
      <c r="BG489" s="868"/>
      <c r="BH489" s="868"/>
      <c r="BI489" s="868"/>
      <c r="BJ489" s="868"/>
      <c r="BK489" s="868"/>
      <c r="BL489" s="868"/>
      <c r="BM489" s="868"/>
      <c r="BN489" s="868"/>
      <c r="BO489" s="868"/>
      <c r="BP489" s="868"/>
      <c r="BQ489" s="868"/>
      <c r="BR489" s="868"/>
      <c r="BS489" s="868"/>
      <c r="BT489" s="868"/>
      <c r="BU489" s="868"/>
      <c r="BV489" s="868"/>
      <c r="BW489" s="868"/>
      <c r="BX489" s="868"/>
      <c r="BY489" s="868"/>
      <c r="BZ489" s="868"/>
      <c r="CA489" s="868"/>
      <c r="CB489" s="868"/>
      <c r="CC489" s="868"/>
      <c r="CD489" s="868"/>
      <c r="CE489" s="868"/>
      <c r="CF489" s="868"/>
      <c r="CG489" s="868"/>
      <c r="CH489" s="868"/>
      <c r="CI489" s="868"/>
      <c r="CJ489" s="868"/>
      <c r="CK489" s="868"/>
    </row>
    <row r="490" spans="8:89" s="868" customFormat="1" hidden="1" outlineLevel="1">
      <c r="H490" s="869"/>
      <c r="I490" s="870" t="s">
        <v>130</v>
      </c>
      <c r="J490" s="871"/>
      <c r="K490" s="1069">
        <f t="shared" ref="K490:Q490" si="767">K487-K452</f>
        <v>0</v>
      </c>
      <c r="L490" s="1069">
        <f t="shared" si="767"/>
        <v>0</v>
      </c>
      <c r="M490" s="1068">
        <f t="shared" si="767"/>
        <v>0</v>
      </c>
      <c r="N490" s="1069">
        <f t="shared" si="767"/>
        <v>0</v>
      </c>
      <c r="O490" s="1069">
        <f t="shared" si="767"/>
        <v>0</v>
      </c>
      <c r="P490" s="1069">
        <f t="shared" si="767"/>
        <v>0</v>
      </c>
      <c r="Q490" s="1069">
        <f t="shared" si="767"/>
        <v>0</v>
      </c>
      <c r="R490" s="1068">
        <f>R487-R452</f>
        <v>0</v>
      </c>
      <c r="S490" s="1069">
        <f t="shared" ref="S490:AJ490" si="768">S487-S452</f>
        <v>0</v>
      </c>
      <c r="T490" s="1069">
        <f t="shared" si="768"/>
        <v>0</v>
      </c>
      <c r="U490" s="1358">
        <f t="shared" si="768"/>
        <v>0</v>
      </c>
      <c r="V490" s="1331">
        <f t="shared" si="768"/>
        <v>0</v>
      </c>
      <c r="W490" s="1069">
        <f t="shared" si="768"/>
        <v>0</v>
      </c>
      <c r="X490" s="1069">
        <f t="shared" si="768"/>
        <v>0</v>
      </c>
      <c r="Y490" s="1069">
        <f t="shared" si="768"/>
        <v>0</v>
      </c>
      <c r="Z490" s="1068">
        <f t="shared" si="768"/>
        <v>0</v>
      </c>
      <c r="AA490" s="1331">
        <f t="shared" si="768"/>
        <v>0</v>
      </c>
      <c r="AB490" s="1069">
        <f t="shared" si="768"/>
        <v>0</v>
      </c>
      <c r="AC490" s="1069">
        <f t="shared" si="768"/>
        <v>0</v>
      </c>
      <c r="AD490" s="1069">
        <f t="shared" si="768"/>
        <v>0</v>
      </c>
      <c r="AE490" s="1068">
        <f t="shared" si="768"/>
        <v>0</v>
      </c>
      <c r="AF490" s="1069">
        <f t="shared" si="768"/>
        <v>0</v>
      </c>
      <c r="AG490" s="1069">
        <f>AG487-AG452</f>
        <v>0</v>
      </c>
      <c r="AH490" s="1069">
        <f>AH487-AH452</f>
        <v>0</v>
      </c>
      <c r="AI490" s="1069">
        <f>AI487-AI452</f>
        <v>0</v>
      </c>
      <c r="AJ490" s="1068">
        <f t="shared" si="768"/>
        <v>0</v>
      </c>
      <c r="AM490" s="856"/>
      <c r="AO490" s="89"/>
      <c r="AP490" s="89"/>
      <c r="AQ490" s="89"/>
      <c r="AR490" s="89"/>
      <c r="AS490" s="89"/>
      <c r="AT490" s="89"/>
      <c r="AU490" s="89"/>
      <c r="AV490" s="89"/>
      <c r="AW490" s="89"/>
      <c r="AX490" s="89"/>
      <c r="AY490" s="89"/>
      <c r="AZ490" s="89"/>
      <c r="BA490" s="89"/>
      <c r="BB490" s="89"/>
      <c r="BC490" s="89"/>
      <c r="BD490" s="89"/>
      <c r="BE490" s="89"/>
      <c r="BF490" s="89"/>
      <c r="BG490" s="89"/>
      <c r="BH490" s="89"/>
      <c r="BI490" s="89"/>
      <c r="BJ490" s="89"/>
      <c r="BK490" s="89"/>
      <c r="BL490" s="89"/>
      <c r="BM490" s="89"/>
      <c r="BN490" s="89"/>
      <c r="BO490" s="89"/>
      <c r="BP490" s="89"/>
      <c r="BQ490" s="89"/>
      <c r="BR490" s="89"/>
      <c r="BS490" s="89"/>
      <c r="BT490" s="89"/>
      <c r="BU490" s="89"/>
      <c r="BV490" s="89"/>
      <c r="BW490" s="89"/>
      <c r="BX490" s="89"/>
      <c r="BY490" s="89"/>
      <c r="BZ490" s="89"/>
      <c r="CA490" s="89"/>
      <c r="CB490" s="89"/>
      <c r="CC490" s="89"/>
      <c r="CD490" s="89"/>
      <c r="CE490" s="89"/>
      <c r="CF490" s="89"/>
      <c r="CG490" s="89"/>
      <c r="CH490" s="89"/>
      <c r="CI490" s="89"/>
      <c r="CJ490" s="89"/>
      <c r="CK490" s="89"/>
    </row>
    <row r="491" spans="8:89" s="89" customFormat="1" hidden="1" outlineLevel="1">
      <c r="H491" s="860"/>
      <c r="I491" s="878" t="str">
        <f>I453</f>
        <v>Trade Waste</v>
      </c>
      <c r="J491" s="879"/>
      <c r="K491" s="1065">
        <f t="shared" ref="K491:Q491" si="769">SUM(K492:K493)</f>
        <v>0</v>
      </c>
      <c r="L491" s="1065">
        <f t="shared" si="769"/>
        <v>0</v>
      </c>
      <c r="M491" s="1064">
        <f t="shared" si="769"/>
        <v>0</v>
      </c>
      <c r="N491" s="1065">
        <f t="shared" si="769"/>
        <v>0</v>
      </c>
      <c r="O491" s="1065">
        <f t="shared" si="769"/>
        <v>0</v>
      </c>
      <c r="P491" s="1065">
        <f t="shared" si="769"/>
        <v>0</v>
      </c>
      <c r="Q491" s="1065">
        <f t="shared" si="769"/>
        <v>0</v>
      </c>
      <c r="R491" s="1064">
        <f t="shared" ref="R491:AJ491" si="770">SUM(R492:R493)</f>
        <v>0</v>
      </c>
      <c r="S491" s="1065">
        <f t="shared" si="770"/>
        <v>0</v>
      </c>
      <c r="T491" s="1065">
        <f t="shared" si="770"/>
        <v>0</v>
      </c>
      <c r="U491" s="1359">
        <f t="shared" si="770"/>
        <v>0</v>
      </c>
      <c r="V491" s="1332">
        <f t="shared" si="770"/>
        <v>0</v>
      </c>
      <c r="W491" s="1065">
        <f t="shared" si="770"/>
        <v>0</v>
      </c>
      <c r="X491" s="1065">
        <f t="shared" si="770"/>
        <v>0</v>
      </c>
      <c r="Y491" s="1065">
        <f t="shared" si="770"/>
        <v>0</v>
      </c>
      <c r="Z491" s="1064">
        <f t="shared" si="770"/>
        <v>0</v>
      </c>
      <c r="AA491" s="1332">
        <f t="shared" si="770"/>
        <v>0</v>
      </c>
      <c r="AB491" s="1065">
        <f t="shared" si="770"/>
        <v>0</v>
      </c>
      <c r="AC491" s="1065">
        <f t="shared" si="770"/>
        <v>0</v>
      </c>
      <c r="AD491" s="1065">
        <f t="shared" si="770"/>
        <v>0</v>
      </c>
      <c r="AE491" s="1064">
        <f t="shared" si="770"/>
        <v>0</v>
      </c>
      <c r="AF491" s="1065">
        <f t="shared" si="770"/>
        <v>0</v>
      </c>
      <c r="AG491" s="1065">
        <f>SUM(AG492:AG493)</f>
        <v>0</v>
      </c>
      <c r="AH491" s="1065">
        <f>SUM(AH492:AH493)</f>
        <v>0</v>
      </c>
      <c r="AI491" s="1065">
        <f>SUM(AI492:AI493)</f>
        <v>0</v>
      </c>
      <c r="AJ491" s="1064">
        <f t="shared" si="770"/>
        <v>0</v>
      </c>
      <c r="AM491" s="856"/>
    </row>
    <row r="492" spans="8:89" hidden="1" outlineLevel="1">
      <c r="H492" s="880"/>
      <c r="I492" s="866" t="str">
        <f>I488</f>
        <v>Fixed</v>
      </c>
      <c r="J492" s="867"/>
      <c r="K492" s="1067">
        <f t="shared" ref="K492:Q493" si="771">+SUMIFS(K$69:K$445,$E$69:$E$445,$E$71,$F$69:$F$445,$I$491,$I$69:$I$445,$I492)</f>
        <v>0</v>
      </c>
      <c r="L492" s="1067">
        <f t="shared" si="771"/>
        <v>0</v>
      </c>
      <c r="M492" s="1066">
        <f t="shared" si="771"/>
        <v>0</v>
      </c>
      <c r="N492" s="1067">
        <f t="shared" si="771"/>
        <v>0</v>
      </c>
      <c r="O492" s="1067">
        <f t="shared" si="771"/>
        <v>0</v>
      </c>
      <c r="P492" s="1067">
        <f t="shared" si="771"/>
        <v>0</v>
      </c>
      <c r="Q492" s="1067">
        <f t="shared" si="771"/>
        <v>0</v>
      </c>
      <c r="R492" s="1066">
        <f t="shared" ref="R492:AJ493" si="772">+SUMIFS(R$69:R$445,$E$69:$E$445,$E$71,$F$69:$F$445,$I$491,$I$69:$I$445,$I492)</f>
        <v>0</v>
      </c>
      <c r="S492" s="1067">
        <f t="shared" si="772"/>
        <v>0</v>
      </c>
      <c r="T492" s="1067">
        <f t="shared" si="772"/>
        <v>0</v>
      </c>
      <c r="U492" s="1357">
        <f t="shared" si="772"/>
        <v>0</v>
      </c>
      <c r="V492" s="1330">
        <f t="shared" si="772"/>
        <v>0</v>
      </c>
      <c r="W492" s="1067">
        <f t="shared" si="772"/>
        <v>0</v>
      </c>
      <c r="X492" s="1067">
        <f t="shared" si="772"/>
        <v>0</v>
      </c>
      <c r="Y492" s="1067">
        <f t="shared" si="772"/>
        <v>0</v>
      </c>
      <c r="Z492" s="1066">
        <f t="shared" si="772"/>
        <v>0</v>
      </c>
      <c r="AA492" s="1330">
        <f t="shared" si="772"/>
        <v>0</v>
      </c>
      <c r="AB492" s="1067">
        <f t="shared" si="772"/>
        <v>0</v>
      </c>
      <c r="AC492" s="1067">
        <f t="shared" si="772"/>
        <v>0</v>
      </c>
      <c r="AD492" s="1067">
        <f t="shared" si="772"/>
        <v>0</v>
      </c>
      <c r="AE492" s="1066">
        <f t="shared" si="772"/>
        <v>0</v>
      </c>
      <c r="AF492" s="1067">
        <f t="shared" si="772"/>
        <v>0</v>
      </c>
      <c r="AG492" s="1067">
        <f t="shared" si="772"/>
        <v>0</v>
      </c>
      <c r="AH492" s="1067">
        <f t="shared" si="772"/>
        <v>0</v>
      </c>
      <c r="AI492" s="1067">
        <f t="shared" si="772"/>
        <v>0</v>
      </c>
      <c r="AJ492" s="1066">
        <f>+SUMIFS(AJ$69:AJ$445,$E$69:$E$445,$E$71,$F$69:$F$445,$I$491,$I$69:$I$445,$I492)</f>
        <v>0</v>
      </c>
    </row>
    <row r="493" spans="8:89" hidden="1" outlineLevel="1">
      <c r="H493" s="880"/>
      <c r="I493" s="866" t="str">
        <f>I489</f>
        <v>Variable</v>
      </c>
      <c r="J493" s="867"/>
      <c r="K493" s="1067">
        <f t="shared" si="771"/>
        <v>0</v>
      </c>
      <c r="L493" s="1067">
        <f t="shared" si="771"/>
        <v>0</v>
      </c>
      <c r="M493" s="1066">
        <f t="shared" si="771"/>
        <v>0</v>
      </c>
      <c r="N493" s="1067">
        <f t="shared" si="771"/>
        <v>0</v>
      </c>
      <c r="O493" s="1067">
        <f t="shared" si="771"/>
        <v>0</v>
      </c>
      <c r="P493" s="1067">
        <f t="shared" si="771"/>
        <v>0</v>
      </c>
      <c r="Q493" s="1067">
        <f t="shared" si="771"/>
        <v>0</v>
      </c>
      <c r="R493" s="1066">
        <f t="shared" si="772"/>
        <v>0</v>
      </c>
      <c r="S493" s="1067">
        <f t="shared" si="772"/>
        <v>0</v>
      </c>
      <c r="T493" s="1067">
        <f t="shared" si="772"/>
        <v>0</v>
      </c>
      <c r="U493" s="1357">
        <f t="shared" si="772"/>
        <v>0</v>
      </c>
      <c r="V493" s="1330">
        <f t="shared" si="772"/>
        <v>0</v>
      </c>
      <c r="W493" s="1067">
        <f t="shared" si="772"/>
        <v>0</v>
      </c>
      <c r="X493" s="1067">
        <f t="shared" si="772"/>
        <v>0</v>
      </c>
      <c r="Y493" s="1067">
        <f t="shared" si="772"/>
        <v>0</v>
      </c>
      <c r="Z493" s="1066">
        <f t="shared" si="772"/>
        <v>0</v>
      </c>
      <c r="AA493" s="1330">
        <f t="shared" si="772"/>
        <v>0</v>
      </c>
      <c r="AB493" s="1067">
        <f t="shared" si="772"/>
        <v>0</v>
      </c>
      <c r="AC493" s="1067">
        <f t="shared" si="772"/>
        <v>0</v>
      </c>
      <c r="AD493" s="1067">
        <f t="shared" si="772"/>
        <v>0</v>
      </c>
      <c r="AE493" s="1066">
        <f t="shared" si="772"/>
        <v>0</v>
      </c>
      <c r="AF493" s="1067">
        <f t="shared" si="772"/>
        <v>0</v>
      </c>
      <c r="AG493" s="1067">
        <f t="shared" si="772"/>
        <v>0</v>
      </c>
      <c r="AH493" s="1067">
        <f t="shared" si="772"/>
        <v>0</v>
      </c>
      <c r="AI493" s="1067">
        <f t="shared" si="772"/>
        <v>0</v>
      </c>
      <c r="AJ493" s="1066">
        <f t="shared" si="772"/>
        <v>0</v>
      </c>
      <c r="AM493" s="881"/>
    </row>
    <row r="494" spans="8:89" s="868" customFormat="1" hidden="1" outlineLevel="1">
      <c r="H494" s="869"/>
      <c r="I494" s="882" t="s">
        <v>130</v>
      </c>
      <c r="J494" s="883"/>
      <c r="K494" s="1071">
        <f t="shared" ref="K494:Q494" si="773">K491-K453</f>
        <v>0</v>
      </c>
      <c r="L494" s="1071">
        <f t="shared" si="773"/>
        <v>0</v>
      </c>
      <c r="M494" s="1070">
        <f t="shared" si="773"/>
        <v>0</v>
      </c>
      <c r="N494" s="1071">
        <f t="shared" si="773"/>
        <v>0</v>
      </c>
      <c r="O494" s="1071">
        <f t="shared" si="773"/>
        <v>0</v>
      </c>
      <c r="P494" s="1071">
        <f t="shared" si="773"/>
        <v>0</v>
      </c>
      <c r="Q494" s="1071">
        <f t="shared" si="773"/>
        <v>0</v>
      </c>
      <c r="R494" s="1070">
        <f>R491-R453</f>
        <v>0</v>
      </c>
      <c r="S494" s="1071">
        <f t="shared" ref="S494:AJ494" si="774">S491-S453</f>
        <v>0</v>
      </c>
      <c r="T494" s="1071">
        <f t="shared" si="774"/>
        <v>0</v>
      </c>
      <c r="U494" s="1360">
        <f t="shared" si="774"/>
        <v>0</v>
      </c>
      <c r="V494" s="1333">
        <f t="shared" si="774"/>
        <v>0</v>
      </c>
      <c r="W494" s="1071">
        <f t="shared" si="774"/>
        <v>0</v>
      </c>
      <c r="X494" s="1071">
        <f t="shared" si="774"/>
        <v>0</v>
      </c>
      <c r="Y494" s="1071">
        <f t="shared" si="774"/>
        <v>0</v>
      </c>
      <c r="Z494" s="1070">
        <f t="shared" si="774"/>
        <v>0</v>
      </c>
      <c r="AA494" s="1333">
        <f t="shared" si="774"/>
        <v>0</v>
      </c>
      <c r="AB494" s="1071">
        <f t="shared" si="774"/>
        <v>0</v>
      </c>
      <c r="AC494" s="1071">
        <f t="shared" si="774"/>
        <v>0</v>
      </c>
      <c r="AD494" s="1071">
        <f t="shared" si="774"/>
        <v>0</v>
      </c>
      <c r="AE494" s="1070">
        <f t="shared" si="774"/>
        <v>0</v>
      </c>
      <c r="AF494" s="1071">
        <f t="shared" si="774"/>
        <v>0</v>
      </c>
      <c r="AG494" s="1071">
        <f>AG491-AG453</f>
        <v>0</v>
      </c>
      <c r="AH494" s="1071">
        <f>AH491-AH453</f>
        <v>0</v>
      </c>
      <c r="AI494" s="1071">
        <f>AI491-AI453</f>
        <v>0</v>
      </c>
      <c r="AJ494" s="1070">
        <f t="shared" si="774"/>
        <v>0</v>
      </c>
      <c r="AM494" s="877"/>
      <c r="AO494" s="63"/>
      <c r="AP494" s="63"/>
      <c r="AQ494" s="63"/>
      <c r="AR494" s="63"/>
      <c r="AS494" s="63"/>
      <c r="AT494" s="63"/>
      <c r="AU494" s="63"/>
      <c r="AV494" s="63"/>
      <c r="AW494" s="63"/>
      <c r="AX494" s="63"/>
      <c r="AY494" s="63"/>
      <c r="AZ494" s="63"/>
      <c r="BA494" s="63"/>
      <c r="BB494" s="63"/>
      <c r="BC494" s="63"/>
      <c r="BD494" s="63"/>
      <c r="BE494" s="63"/>
      <c r="BF494" s="63"/>
      <c r="BG494" s="63"/>
      <c r="BH494" s="63"/>
      <c r="BI494" s="63"/>
      <c r="BJ494" s="63"/>
      <c r="BK494" s="63"/>
      <c r="BL494" s="63"/>
      <c r="BM494" s="63"/>
      <c r="BN494" s="63"/>
      <c r="BO494" s="63"/>
      <c r="BP494" s="63"/>
      <c r="BQ494" s="63"/>
      <c r="BR494" s="63"/>
      <c r="BS494" s="63"/>
      <c r="BT494" s="63"/>
      <c r="BU494" s="63"/>
      <c r="BV494" s="63"/>
      <c r="BW494" s="63"/>
      <c r="BX494" s="63"/>
      <c r="BY494" s="63"/>
      <c r="BZ494" s="63"/>
      <c r="CA494" s="63"/>
      <c r="CB494" s="63"/>
      <c r="CC494" s="63"/>
      <c r="CD494" s="63"/>
      <c r="CE494" s="63"/>
      <c r="CF494" s="63"/>
      <c r="CG494" s="63"/>
      <c r="CH494" s="63"/>
      <c r="CI494" s="63"/>
      <c r="CJ494" s="63"/>
      <c r="CK494" s="63"/>
    </row>
    <row r="495" spans="8:89" ht="12.75" collapsed="1" thickBot="1">
      <c r="I495" s="884" t="s">
        <v>113</v>
      </c>
      <c r="J495" s="885"/>
      <c r="K495" s="481">
        <f t="shared" ref="K495:Q495" si="775">SUM(K472:K473,K476:K477,K480:K481,K484:K485,K488:K489,K492:K493)</f>
        <v>0</v>
      </c>
      <c r="L495" s="481">
        <f t="shared" si="775"/>
        <v>0</v>
      </c>
      <c r="M495" s="1072">
        <f t="shared" si="775"/>
        <v>0</v>
      </c>
      <c r="N495" s="481">
        <f t="shared" si="775"/>
        <v>0</v>
      </c>
      <c r="O495" s="481">
        <f t="shared" si="775"/>
        <v>0</v>
      </c>
      <c r="P495" s="481">
        <f t="shared" si="775"/>
        <v>0</v>
      </c>
      <c r="Q495" s="481">
        <f t="shared" si="775"/>
        <v>0</v>
      </c>
      <c r="R495" s="1072">
        <f t="shared" ref="R495:AJ495" si="776">SUM(R472:R473,R476:R477,R480:R481,R484:R485,R488:R489,R492:R493)</f>
        <v>0</v>
      </c>
      <c r="S495" s="481">
        <f t="shared" si="776"/>
        <v>0</v>
      </c>
      <c r="T495" s="481">
        <f t="shared" si="776"/>
        <v>0</v>
      </c>
      <c r="U495" s="1361">
        <f t="shared" si="776"/>
        <v>0</v>
      </c>
      <c r="V495" s="1334">
        <f t="shared" si="776"/>
        <v>0</v>
      </c>
      <c r="W495" s="481">
        <f t="shared" si="776"/>
        <v>0</v>
      </c>
      <c r="X495" s="481">
        <f t="shared" si="776"/>
        <v>0</v>
      </c>
      <c r="Y495" s="481">
        <f t="shared" si="776"/>
        <v>0</v>
      </c>
      <c r="Z495" s="1072">
        <f t="shared" si="776"/>
        <v>0</v>
      </c>
      <c r="AA495" s="1334">
        <f t="shared" si="776"/>
        <v>0</v>
      </c>
      <c r="AB495" s="481">
        <f t="shared" si="776"/>
        <v>0</v>
      </c>
      <c r="AC495" s="481">
        <f t="shared" si="776"/>
        <v>0</v>
      </c>
      <c r="AD495" s="481">
        <f t="shared" si="776"/>
        <v>0</v>
      </c>
      <c r="AE495" s="1072">
        <f t="shared" si="776"/>
        <v>0</v>
      </c>
      <c r="AF495" s="481">
        <f t="shared" si="776"/>
        <v>0</v>
      </c>
      <c r="AG495" s="481">
        <f>SUM(AG472:AG473,AG476:AG477,AG480:AG481,AG484:AG485,AG488:AG489,AG492:AG493)</f>
        <v>0</v>
      </c>
      <c r="AH495" s="481">
        <f>SUM(AH472:AH473,AH476:AH477,AH480:AH481,AH484:AH485,AH488:AH489,AH492:AH493)</f>
        <v>0</v>
      </c>
      <c r="AI495" s="481">
        <f>SUM(AI472:AI473,AI476:AI477,AI480:AI481,AI484:AI485,AI488:AI489,AI492:AI493)</f>
        <v>0</v>
      </c>
      <c r="AJ495" s="1072">
        <f t="shared" si="776"/>
        <v>0</v>
      </c>
    </row>
    <row r="496" spans="8:89" s="868" customFormat="1">
      <c r="H496" s="886"/>
      <c r="I496" s="887" t="s">
        <v>130</v>
      </c>
      <c r="J496" s="888"/>
      <c r="K496" s="889"/>
      <c r="L496" s="889"/>
      <c r="M496" s="890"/>
      <c r="N496" s="1074"/>
      <c r="O496" s="1074"/>
      <c r="P496" s="1074"/>
      <c r="Q496" s="1074"/>
      <c r="R496" s="1073">
        <f>R495-R455</f>
        <v>0</v>
      </c>
      <c r="S496" s="1074">
        <f t="shared" ref="S496:AJ496" si="777">S495-S455</f>
        <v>0</v>
      </c>
      <c r="T496" s="1074">
        <f t="shared" si="777"/>
        <v>0</v>
      </c>
      <c r="U496" s="1362">
        <f t="shared" si="777"/>
        <v>0</v>
      </c>
      <c r="V496" s="1335">
        <f t="shared" si="777"/>
        <v>0</v>
      </c>
      <c r="W496" s="1074">
        <f t="shared" si="777"/>
        <v>0</v>
      </c>
      <c r="X496" s="1074">
        <f t="shared" si="777"/>
        <v>0</v>
      </c>
      <c r="Y496" s="1074">
        <f t="shared" si="777"/>
        <v>0</v>
      </c>
      <c r="Z496" s="1073">
        <f t="shared" si="777"/>
        <v>0</v>
      </c>
      <c r="AA496" s="1335">
        <f t="shared" si="777"/>
        <v>0</v>
      </c>
      <c r="AB496" s="1074">
        <f t="shared" si="777"/>
        <v>0</v>
      </c>
      <c r="AC496" s="892">
        <f t="shared" si="777"/>
        <v>0</v>
      </c>
      <c r="AD496" s="892">
        <f t="shared" si="777"/>
        <v>0</v>
      </c>
      <c r="AE496" s="891">
        <f t="shared" si="777"/>
        <v>0</v>
      </c>
      <c r="AF496" s="892">
        <f t="shared" si="777"/>
        <v>0</v>
      </c>
      <c r="AG496" s="892">
        <f>AG495-AG455</f>
        <v>0</v>
      </c>
      <c r="AH496" s="892">
        <f>AH495-AH455</f>
        <v>0</v>
      </c>
      <c r="AI496" s="892">
        <f>AI495-AI455</f>
        <v>0</v>
      </c>
      <c r="AJ496" s="893">
        <f t="shared" si="777"/>
        <v>0</v>
      </c>
      <c r="AM496" s="856"/>
      <c r="AO496" s="63"/>
      <c r="AP496" s="63"/>
      <c r="AQ496" s="63"/>
      <c r="AR496" s="63"/>
      <c r="AS496" s="63"/>
      <c r="AT496" s="63"/>
      <c r="AU496" s="63"/>
      <c r="AV496" s="63"/>
      <c r="AW496" s="63"/>
      <c r="AX496" s="63"/>
      <c r="AY496" s="63"/>
      <c r="AZ496" s="63"/>
      <c r="BA496" s="63"/>
      <c r="BB496" s="63"/>
      <c r="BC496" s="63"/>
      <c r="BD496" s="63"/>
      <c r="BE496" s="63"/>
      <c r="BF496" s="63"/>
      <c r="BG496" s="63"/>
      <c r="BH496" s="63"/>
      <c r="BI496" s="63"/>
      <c r="BJ496" s="63"/>
      <c r="BK496" s="63"/>
      <c r="BL496" s="63"/>
      <c r="BM496" s="63"/>
      <c r="BN496" s="63"/>
      <c r="BO496" s="63"/>
      <c r="BP496" s="63"/>
      <c r="BQ496" s="63"/>
      <c r="BR496" s="63"/>
      <c r="BS496" s="63"/>
      <c r="BT496" s="63"/>
      <c r="BU496" s="63"/>
      <c r="BV496" s="63"/>
      <c r="BW496" s="63"/>
      <c r="BX496" s="63"/>
      <c r="BY496" s="63"/>
      <c r="BZ496" s="63"/>
      <c r="CA496" s="63"/>
      <c r="CB496" s="63"/>
      <c r="CC496" s="63"/>
      <c r="CD496" s="63"/>
      <c r="CE496" s="63"/>
      <c r="CF496" s="63"/>
      <c r="CG496" s="63"/>
      <c r="CH496" s="63"/>
      <c r="CI496" s="63"/>
      <c r="CJ496" s="63"/>
      <c r="CK496" s="63"/>
    </row>
    <row r="497" spans="8:89" s="868" customFormat="1">
      <c r="H497" s="886"/>
      <c r="I497" s="870"/>
      <c r="J497" s="871"/>
      <c r="K497" s="872"/>
      <c r="L497" s="872"/>
      <c r="M497" s="873"/>
      <c r="N497" s="875"/>
      <c r="O497" s="875"/>
      <c r="P497" s="875"/>
      <c r="Q497" s="875"/>
      <c r="R497" s="874"/>
      <c r="S497" s="875"/>
      <c r="T497" s="875"/>
      <c r="U497" s="1363"/>
      <c r="V497" s="1336"/>
      <c r="W497" s="875"/>
      <c r="X497" s="875"/>
      <c r="Y497" s="875"/>
      <c r="Z497" s="874"/>
      <c r="AA497" s="1336"/>
      <c r="AB497" s="875"/>
      <c r="AC497" s="875"/>
      <c r="AD497" s="875"/>
      <c r="AE497" s="874"/>
      <c r="AF497" s="875"/>
      <c r="AG497" s="875"/>
      <c r="AH497" s="875"/>
      <c r="AI497" s="875"/>
      <c r="AJ497" s="876"/>
      <c r="AM497" s="856"/>
      <c r="AO497" s="63"/>
      <c r="AP497" s="63"/>
      <c r="AQ497" s="63"/>
      <c r="AR497" s="63"/>
      <c r="AS497" s="63"/>
      <c r="AT497" s="63"/>
      <c r="AU497" s="63"/>
      <c r="AV497" s="63"/>
      <c r="AW497" s="63"/>
      <c r="AX497" s="63"/>
      <c r="AY497" s="63"/>
      <c r="AZ497" s="63"/>
      <c r="BA497" s="63"/>
      <c r="BB497" s="63"/>
      <c r="BC497" s="63"/>
      <c r="BD497" s="63"/>
      <c r="BE497" s="63"/>
      <c r="BF497" s="63"/>
      <c r="BG497" s="63"/>
      <c r="BH497" s="63"/>
      <c r="BI497" s="63"/>
      <c r="BJ497" s="63"/>
      <c r="BK497" s="63"/>
      <c r="BL497" s="63"/>
      <c r="BM497" s="63"/>
      <c r="BN497" s="63"/>
      <c r="BO497" s="63"/>
      <c r="BP497" s="63"/>
      <c r="BQ497" s="63"/>
      <c r="BR497" s="63"/>
      <c r="BS497" s="63"/>
      <c r="BT497" s="63"/>
      <c r="BU497" s="63"/>
      <c r="BV497" s="63"/>
      <c r="BW497" s="63"/>
      <c r="BX497" s="63"/>
      <c r="BY497" s="63"/>
      <c r="BZ497" s="63"/>
      <c r="CA497" s="63"/>
      <c r="CB497" s="63"/>
      <c r="CC497" s="63"/>
      <c r="CD497" s="63"/>
      <c r="CE497" s="63"/>
      <c r="CF497" s="63"/>
      <c r="CG497" s="63"/>
      <c r="CH497" s="63"/>
      <c r="CI497" s="63"/>
      <c r="CJ497" s="63"/>
      <c r="CK497" s="63"/>
    </row>
    <row r="498" spans="8:89" s="89" customFormat="1">
      <c r="H498" s="894"/>
      <c r="I498" s="861" t="str">
        <f>I471</f>
        <v>Water</v>
      </c>
      <c r="J498" s="862"/>
      <c r="K498" s="863" t="str">
        <f t="shared" ref="K498:R498" si="778">IFERROR(K471/K$495,"-")</f>
        <v>-</v>
      </c>
      <c r="L498" s="863" t="str">
        <f t="shared" si="778"/>
        <v>-</v>
      </c>
      <c r="M498" s="864" t="str">
        <f t="shared" si="778"/>
        <v>-</v>
      </c>
      <c r="N498" s="896" t="str">
        <f t="shared" si="778"/>
        <v>-</v>
      </c>
      <c r="O498" s="896" t="str">
        <f t="shared" si="778"/>
        <v>-</v>
      </c>
      <c r="P498" s="896" t="str">
        <f t="shared" si="778"/>
        <v>-</v>
      </c>
      <c r="Q498" s="896" t="str">
        <f t="shared" si="778"/>
        <v>-</v>
      </c>
      <c r="R498" s="895" t="str">
        <f t="shared" si="778"/>
        <v>-</v>
      </c>
      <c r="S498" s="896" t="str">
        <f>IFERROR(S471/S$495,"-")</f>
        <v>-</v>
      </c>
      <c r="T498" s="896" t="str">
        <f t="shared" ref="T498:AJ498" si="779">IFERROR(T471/T$495,"-")</f>
        <v>-</v>
      </c>
      <c r="U498" s="1364" t="str">
        <f t="shared" si="779"/>
        <v>-</v>
      </c>
      <c r="V498" s="1337" t="str">
        <f t="shared" si="779"/>
        <v>-</v>
      </c>
      <c r="W498" s="896" t="str">
        <f t="shared" si="779"/>
        <v>-</v>
      </c>
      <c r="X498" s="896" t="str">
        <f t="shared" si="779"/>
        <v>-</v>
      </c>
      <c r="Y498" s="896" t="str">
        <f t="shared" si="779"/>
        <v>-</v>
      </c>
      <c r="Z498" s="895" t="str">
        <f t="shared" si="779"/>
        <v>-</v>
      </c>
      <c r="AA498" s="1337" t="str">
        <f t="shared" si="779"/>
        <v>-</v>
      </c>
      <c r="AB498" s="896" t="str">
        <f t="shared" si="779"/>
        <v>-</v>
      </c>
      <c r="AC498" s="896" t="str">
        <f t="shared" si="779"/>
        <v>-</v>
      </c>
      <c r="AD498" s="896" t="str">
        <f t="shared" si="779"/>
        <v>-</v>
      </c>
      <c r="AE498" s="895" t="str">
        <f t="shared" si="779"/>
        <v>-</v>
      </c>
      <c r="AF498" s="896" t="str">
        <f t="shared" si="779"/>
        <v>-</v>
      </c>
      <c r="AG498" s="896" t="str">
        <f>IFERROR(AG471/AG$495,"-")</f>
        <v>-</v>
      </c>
      <c r="AH498" s="896" t="str">
        <f>IFERROR(AH471/AH$495,"-")</f>
        <v>-</v>
      </c>
      <c r="AI498" s="896" t="str">
        <f>IFERROR(AI471/AI$495,"-")</f>
        <v>-</v>
      </c>
      <c r="AJ498" s="897" t="str">
        <f t="shared" si="779"/>
        <v>-</v>
      </c>
      <c r="AM498" s="856"/>
      <c r="AO498" s="868"/>
      <c r="AP498" s="868"/>
      <c r="AQ498" s="868"/>
      <c r="AR498" s="868"/>
      <c r="AS498" s="868"/>
      <c r="AT498" s="868"/>
      <c r="AU498" s="868"/>
      <c r="AV498" s="868"/>
      <c r="AW498" s="868"/>
      <c r="AX498" s="868"/>
      <c r="AY498" s="868"/>
      <c r="AZ498" s="868"/>
      <c r="BA498" s="868"/>
      <c r="BB498" s="868"/>
      <c r="BC498" s="868"/>
      <c r="BD498" s="868"/>
      <c r="BE498" s="868"/>
      <c r="BF498" s="868"/>
      <c r="BG498" s="868"/>
      <c r="BH498" s="868"/>
      <c r="BI498" s="868"/>
      <c r="BJ498" s="868"/>
      <c r="BK498" s="868"/>
      <c r="BL498" s="868"/>
      <c r="BM498" s="868"/>
      <c r="BN498" s="868"/>
      <c r="BO498" s="868"/>
      <c r="BP498" s="868"/>
      <c r="BQ498" s="868"/>
      <c r="BR498" s="868"/>
      <c r="BS498" s="868"/>
      <c r="BT498" s="868"/>
      <c r="BU498" s="868"/>
      <c r="BV498" s="868"/>
      <c r="BW498" s="868"/>
      <c r="BX498" s="868"/>
      <c r="BY498" s="868"/>
      <c r="BZ498" s="868"/>
      <c r="CA498" s="868"/>
      <c r="CB498" s="868"/>
      <c r="CC498" s="868"/>
      <c r="CD498" s="868"/>
      <c r="CE498" s="868"/>
      <c r="CF498" s="868"/>
      <c r="CG498" s="868"/>
      <c r="CH498" s="868"/>
      <c r="CI498" s="868"/>
      <c r="CJ498" s="868"/>
      <c r="CK498" s="868"/>
    </row>
    <row r="499" spans="8:89">
      <c r="H499" s="898"/>
      <c r="I499" s="866" t="str">
        <f>I472</f>
        <v>Fixed</v>
      </c>
      <c r="J499" s="867"/>
      <c r="K499" s="624" t="str">
        <f t="shared" ref="K499:R499" si="780">IFERROR(K472/K$471,"-")</f>
        <v>-</v>
      </c>
      <c r="L499" s="624" t="str">
        <f t="shared" si="780"/>
        <v>-</v>
      </c>
      <c r="M499" s="625" t="str">
        <f t="shared" si="780"/>
        <v>-</v>
      </c>
      <c r="N499" s="900" t="str">
        <f t="shared" si="780"/>
        <v>-</v>
      </c>
      <c r="O499" s="900" t="str">
        <f t="shared" si="780"/>
        <v>-</v>
      </c>
      <c r="P499" s="900" t="str">
        <f t="shared" si="780"/>
        <v>-</v>
      </c>
      <c r="Q499" s="900" t="str">
        <f t="shared" si="780"/>
        <v>-</v>
      </c>
      <c r="R499" s="899" t="str">
        <f t="shared" si="780"/>
        <v>-</v>
      </c>
      <c r="S499" s="900" t="str">
        <f>IFERROR(S472/S$471,"-")</f>
        <v>-</v>
      </c>
      <c r="T499" s="900" t="str">
        <f t="shared" ref="T499:AJ499" si="781">IFERROR(T472/T$471,"-")</f>
        <v>-</v>
      </c>
      <c r="U499" s="1365" t="str">
        <f t="shared" si="781"/>
        <v>-</v>
      </c>
      <c r="V499" s="1338" t="str">
        <f t="shared" si="781"/>
        <v>-</v>
      </c>
      <c r="W499" s="900" t="str">
        <f t="shared" si="781"/>
        <v>-</v>
      </c>
      <c r="X499" s="900" t="str">
        <f t="shared" si="781"/>
        <v>-</v>
      </c>
      <c r="Y499" s="900" t="str">
        <f t="shared" si="781"/>
        <v>-</v>
      </c>
      <c r="Z499" s="899" t="str">
        <f t="shared" si="781"/>
        <v>-</v>
      </c>
      <c r="AA499" s="1338" t="str">
        <f t="shared" si="781"/>
        <v>-</v>
      </c>
      <c r="AB499" s="900" t="str">
        <f t="shared" si="781"/>
        <v>-</v>
      </c>
      <c r="AC499" s="900" t="str">
        <f t="shared" si="781"/>
        <v>-</v>
      </c>
      <c r="AD499" s="900" t="str">
        <f t="shared" si="781"/>
        <v>-</v>
      </c>
      <c r="AE499" s="899" t="str">
        <f t="shared" si="781"/>
        <v>-</v>
      </c>
      <c r="AF499" s="900" t="str">
        <f t="shared" si="781"/>
        <v>-</v>
      </c>
      <c r="AG499" s="900" t="str">
        <f t="shared" ref="AG499:AI500" si="782">IFERROR(AG472/AG$471,"-")</f>
        <v>-</v>
      </c>
      <c r="AH499" s="900" t="str">
        <f t="shared" si="782"/>
        <v>-</v>
      </c>
      <c r="AI499" s="900" t="str">
        <f t="shared" si="782"/>
        <v>-</v>
      </c>
      <c r="AJ499" s="901" t="str">
        <f t="shared" si="781"/>
        <v>-</v>
      </c>
      <c r="AM499" s="881"/>
      <c r="AO499" s="89"/>
      <c r="AP499" s="89"/>
      <c r="AQ499" s="89"/>
      <c r="AR499" s="89"/>
      <c r="AS499" s="89"/>
      <c r="AT499" s="89"/>
      <c r="AU499" s="89"/>
      <c r="AV499" s="89"/>
      <c r="AW499" s="89"/>
      <c r="AX499" s="89"/>
      <c r="AY499" s="89"/>
      <c r="AZ499" s="89"/>
      <c r="BA499" s="89"/>
      <c r="BB499" s="89"/>
      <c r="BC499" s="89"/>
      <c r="BD499" s="89"/>
      <c r="BE499" s="89"/>
      <c r="BF499" s="89"/>
      <c r="BG499" s="89"/>
      <c r="BH499" s="89"/>
      <c r="BI499" s="89"/>
      <c r="BJ499" s="89"/>
      <c r="BK499" s="89"/>
      <c r="BL499" s="89"/>
      <c r="BM499" s="89"/>
      <c r="BN499" s="89"/>
      <c r="BO499" s="89"/>
      <c r="BP499" s="89"/>
      <c r="BQ499" s="89"/>
      <c r="BR499" s="89"/>
      <c r="BS499" s="89"/>
      <c r="BT499" s="89"/>
      <c r="BU499" s="89"/>
      <c r="BV499" s="89"/>
      <c r="BW499" s="89"/>
      <c r="BX499" s="89"/>
      <c r="BY499" s="89"/>
      <c r="BZ499" s="89"/>
      <c r="CA499" s="89"/>
      <c r="CB499" s="89"/>
      <c r="CC499" s="89"/>
      <c r="CD499" s="89"/>
      <c r="CE499" s="89"/>
      <c r="CF499" s="89"/>
      <c r="CG499" s="89"/>
      <c r="CH499" s="89"/>
      <c r="CI499" s="89"/>
      <c r="CJ499" s="89"/>
      <c r="CK499" s="89"/>
    </row>
    <row r="500" spans="8:89">
      <c r="H500" s="898"/>
      <c r="I500" s="866" t="str">
        <f>I473</f>
        <v>Variable</v>
      </c>
      <c r="J500" s="867"/>
      <c r="K500" s="624" t="str">
        <f t="shared" ref="K500:R500" si="783">IFERROR(K473/K$471,"-")</f>
        <v>-</v>
      </c>
      <c r="L500" s="624" t="str">
        <f t="shared" si="783"/>
        <v>-</v>
      </c>
      <c r="M500" s="625" t="str">
        <f t="shared" si="783"/>
        <v>-</v>
      </c>
      <c r="N500" s="900" t="str">
        <f t="shared" si="783"/>
        <v>-</v>
      </c>
      <c r="O500" s="900" t="str">
        <f t="shared" si="783"/>
        <v>-</v>
      </c>
      <c r="P500" s="900" t="str">
        <f t="shared" si="783"/>
        <v>-</v>
      </c>
      <c r="Q500" s="900" t="str">
        <f t="shared" si="783"/>
        <v>-</v>
      </c>
      <c r="R500" s="899" t="str">
        <f t="shared" si="783"/>
        <v>-</v>
      </c>
      <c r="S500" s="900" t="str">
        <f>IFERROR(S473/S$471,"-")</f>
        <v>-</v>
      </c>
      <c r="T500" s="900" t="str">
        <f t="shared" ref="T500:AJ500" si="784">IFERROR(T473/T$471,"-")</f>
        <v>-</v>
      </c>
      <c r="U500" s="1365" t="str">
        <f t="shared" si="784"/>
        <v>-</v>
      </c>
      <c r="V500" s="1338" t="str">
        <f t="shared" si="784"/>
        <v>-</v>
      </c>
      <c r="W500" s="900" t="str">
        <f t="shared" si="784"/>
        <v>-</v>
      </c>
      <c r="X500" s="900" t="str">
        <f t="shared" si="784"/>
        <v>-</v>
      </c>
      <c r="Y500" s="900" t="str">
        <f t="shared" si="784"/>
        <v>-</v>
      </c>
      <c r="Z500" s="899" t="str">
        <f t="shared" si="784"/>
        <v>-</v>
      </c>
      <c r="AA500" s="1338" t="str">
        <f t="shared" si="784"/>
        <v>-</v>
      </c>
      <c r="AB500" s="900" t="str">
        <f t="shared" si="784"/>
        <v>-</v>
      </c>
      <c r="AC500" s="900" t="str">
        <f t="shared" si="784"/>
        <v>-</v>
      </c>
      <c r="AD500" s="900" t="str">
        <f t="shared" si="784"/>
        <v>-</v>
      </c>
      <c r="AE500" s="899" t="str">
        <f t="shared" si="784"/>
        <v>-</v>
      </c>
      <c r="AF500" s="900" t="str">
        <f t="shared" si="784"/>
        <v>-</v>
      </c>
      <c r="AG500" s="900" t="str">
        <f t="shared" si="782"/>
        <v>-</v>
      </c>
      <c r="AH500" s="900" t="str">
        <f t="shared" si="782"/>
        <v>-</v>
      </c>
      <c r="AI500" s="900" t="str">
        <f t="shared" si="782"/>
        <v>-</v>
      </c>
      <c r="AJ500" s="901" t="str">
        <f t="shared" si="784"/>
        <v>-</v>
      </c>
      <c r="AM500" s="877"/>
      <c r="AO500" s="89"/>
      <c r="AP500" s="89"/>
      <c r="AQ500" s="89"/>
      <c r="AR500" s="89"/>
      <c r="AS500" s="89"/>
      <c r="AT500" s="89"/>
      <c r="AU500" s="89"/>
      <c r="AV500" s="89"/>
      <c r="AW500" s="89"/>
      <c r="AX500" s="89"/>
      <c r="AY500" s="89"/>
      <c r="AZ500" s="89"/>
      <c r="BA500" s="89"/>
      <c r="BB500" s="89"/>
      <c r="BC500" s="89"/>
      <c r="BD500" s="89"/>
      <c r="BE500" s="89"/>
      <c r="BF500" s="89"/>
      <c r="BG500" s="89"/>
      <c r="BH500" s="89"/>
      <c r="BI500" s="89"/>
      <c r="BJ500" s="89"/>
      <c r="BK500" s="89"/>
      <c r="BL500" s="89"/>
      <c r="BM500" s="89"/>
      <c r="BN500" s="89"/>
      <c r="BO500" s="89"/>
      <c r="BP500" s="89"/>
      <c r="BQ500" s="89"/>
      <c r="BR500" s="89"/>
      <c r="BS500" s="89"/>
      <c r="BT500" s="89"/>
      <c r="BU500" s="89"/>
      <c r="BV500" s="89"/>
      <c r="BW500" s="89"/>
      <c r="BX500" s="89"/>
      <c r="BY500" s="89"/>
      <c r="BZ500" s="89"/>
      <c r="CA500" s="89"/>
      <c r="CB500" s="89"/>
      <c r="CC500" s="89"/>
      <c r="CD500" s="89"/>
      <c r="CE500" s="89"/>
      <c r="CF500" s="89"/>
      <c r="CG500" s="89"/>
      <c r="CH500" s="89"/>
      <c r="CI500" s="89"/>
      <c r="CJ500" s="89"/>
      <c r="CK500" s="89"/>
    </row>
    <row r="501" spans="8:89" s="868" customFormat="1">
      <c r="H501" s="886"/>
      <c r="I501" s="870"/>
      <c r="J501" s="871"/>
      <c r="K501" s="872"/>
      <c r="L501" s="872"/>
      <c r="M501" s="873"/>
      <c r="N501" s="875"/>
      <c r="O501" s="875"/>
      <c r="P501" s="875"/>
      <c r="Q501" s="875"/>
      <c r="R501" s="874"/>
      <c r="S501" s="875"/>
      <c r="T501" s="875"/>
      <c r="U501" s="1363"/>
      <c r="V501" s="1336"/>
      <c r="W501" s="875"/>
      <c r="X501" s="875"/>
      <c r="Y501" s="875"/>
      <c r="Z501" s="874"/>
      <c r="AA501" s="1336"/>
      <c r="AB501" s="875"/>
      <c r="AC501" s="875"/>
      <c r="AD501" s="875"/>
      <c r="AE501" s="874"/>
      <c r="AF501" s="875"/>
      <c r="AG501" s="875"/>
      <c r="AH501" s="875"/>
      <c r="AI501" s="875"/>
      <c r="AJ501" s="876"/>
      <c r="AM501" s="856"/>
      <c r="AO501" s="63"/>
      <c r="AP501" s="63"/>
      <c r="AQ501" s="63"/>
      <c r="AR501" s="63"/>
      <c r="AS501" s="63"/>
      <c r="AT501" s="63"/>
      <c r="AU501" s="63"/>
      <c r="AV501" s="63"/>
      <c r="AW501" s="63"/>
      <c r="AX501" s="63"/>
      <c r="AY501" s="63"/>
      <c r="AZ501" s="63"/>
      <c r="BA501" s="63"/>
      <c r="BB501" s="63"/>
      <c r="BC501" s="63"/>
      <c r="BD501" s="63"/>
      <c r="BE501" s="63"/>
      <c r="BF501" s="63"/>
      <c r="BG501" s="63"/>
      <c r="BH501" s="63"/>
      <c r="BI501" s="63"/>
      <c r="BJ501" s="63"/>
      <c r="BK501" s="63"/>
      <c r="BL501" s="63"/>
      <c r="BM501" s="63"/>
      <c r="BN501" s="63"/>
      <c r="BO501" s="63"/>
      <c r="BP501" s="63"/>
      <c r="BQ501" s="63"/>
      <c r="BR501" s="63"/>
      <c r="BS501" s="63"/>
      <c r="BT501" s="63"/>
      <c r="BU501" s="63"/>
      <c r="BV501" s="63"/>
      <c r="BW501" s="63"/>
      <c r="BX501" s="63"/>
      <c r="BY501" s="63"/>
      <c r="BZ501" s="63"/>
      <c r="CA501" s="63"/>
      <c r="CB501" s="63"/>
      <c r="CC501" s="63"/>
      <c r="CD501" s="63"/>
      <c r="CE501" s="63"/>
      <c r="CF501" s="63"/>
      <c r="CG501" s="63"/>
      <c r="CH501" s="63"/>
      <c r="CI501" s="63"/>
      <c r="CJ501" s="63"/>
      <c r="CK501" s="63"/>
    </row>
    <row r="502" spans="8:89" s="89" customFormat="1">
      <c r="H502" s="894"/>
      <c r="I502" s="861" t="str">
        <f>I475</f>
        <v>Sewerage</v>
      </c>
      <c r="J502" s="862"/>
      <c r="K502" s="863" t="str">
        <f t="shared" ref="K502:R502" si="785">IFERROR(K475/K$495,"-")</f>
        <v>-</v>
      </c>
      <c r="L502" s="863" t="str">
        <f t="shared" si="785"/>
        <v>-</v>
      </c>
      <c r="M502" s="864" t="str">
        <f t="shared" si="785"/>
        <v>-</v>
      </c>
      <c r="N502" s="896" t="str">
        <f t="shared" si="785"/>
        <v>-</v>
      </c>
      <c r="O502" s="896" t="str">
        <f t="shared" si="785"/>
        <v>-</v>
      </c>
      <c r="P502" s="896" t="str">
        <f t="shared" si="785"/>
        <v>-</v>
      </c>
      <c r="Q502" s="896" t="str">
        <f t="shared" si="785"/>
        <v>-</v>
      </c>
      <c r="R502" s="895" t="str">
        <f t="shared" si="785"/>
        <v>-</v>
      </c>
      <c r="S502" s="896" t="str">
        <f>IFERROR(S475/S$495,"-")</f>
        <v>-</v>
      </c>
      <c r="T502" s="896" t="str">
        <f t="shared" ref="T502:AJ502" si="786">IFERROR(T475/T$495,"-")</f>
        <v>-</v>
      </c>
      <c r="U502" s="1364" t="str">
        <f t="shared" si="786"/>
        <v>-</v>
      </c>
      <c r="V502" s="1337" t="str">
        <f t="shared" si="786"/>
        <v>-</v>
      </c>
      <c r="W502" s="896" t="str">
        <f t="shared" si="786"/>
        <v>-</v>
      </c>
      <c r="X502" s="896" t="str">
        <f t="shared" si="786"/>
        <v>-</v>
      </c>
      <c r="Y502" s="896" t="str">
        <f t="shared" si="786"/>
        <v>-</v>
      </c>
      <c r="Z502" s="895" t="str">
        <f t="shared" si="786"/>
        <v>-</v>
      </c>
      <c r="AA502" s="1337" t="str">
        <f t="shared" si="786"/>
        <v>-</v>
      </c>
      <c r="AB502" s="896" t="str">
        <f t="shared" si="786"/>
        <v>-</v>
      </c>
      <c r="AC502" s="896" t="str">
        <f t="shared" si="786"/>
        <v>-</v>
      </c>
      <c r="AD502" s="896" t="str">
        <f t="shared" si="786"/>
        <v>-</v>
      </c>
      <c r="AE502" s="895" t="str">
        <f t="shared" si="786"/>
        <v>-</v>
      </c>
      <c r="AF502" s="896" t="str">
        <f t="shared" si="786"/>
        <v>-</v>
      </c>
      <c r="AG502" s="896" t="str">
        <f>IFERROR(AG475/AG$495,"-")</f>
        <v>-</v>
      </c>
      <c r="AH502" s="896" t="str">
        <f>IFERROR(AH475/AH$495,"-")</f>
        <v>-</v>
      </c>
      <c r="AI502" s="896" t="str">
        <f>IFERROR(AI475/AI$495,"-")</f>
        <v>-</v>
      </c>
      <c r="AJ502" s="897" t="str">
        <f t="shared" si="786"/>
        <v>-</v>
      </c>
      <c r="AM502" s="856"/>
      <c r="AO502" s="63"/>
      <c r="AP502" s="63"/>
      <c r="AQ502" s="63"/>
      <c r="AR502" s="63"/>
      <c r="AS502" s="63"/>
      <c r="AT502" s="63"/>
      <c r="AU502" s="63"/>
      <c r="AV502" s="63"/>
      <c r="AW502" s="63"/>
      <c r="AX502" s="63"/>
      <c r="AY502" s="63"/>
      <c r="AZ502" s="63"/>
      <c r="BA502" s="63"/>
      <c r="BB502" s="63"/>
      <c r="BC502" s="63"/>
      <c r="BD502" s="63"/>
      <c r="BE502" s="63"/>
      <c r="BF502" s="63"/>
      <c r="BG502" s="63"/>
      <c r="BH502" s="63"/>
      <c r="BI502" s="63"/>
      <c r="BJ502" s="63"/>
      <c r="BK502" s="63"/>
      <c r="BL502" s="63"/>
      <c r="BM502" s="63"/>
      <c r="BN502" s="63"/>
      <c r="BO502" s="63"/>
      <c r="BP502" s="63"/>
      <c r="BQ502" s="63"/>
      <c r="BR502" s="63"/>
      <c r="BS502" s="63"/>
      <c r="BT502" s="63"/>
      <c r="BU502" s="63"/>
      <c r="BV502" s="63"/>
      <c r="BW502" s="63"/>
      <c r="BX502" s="63"/>
      <c r="BY502" s="63"/>
      <c r="BZ502" s="63"/>
      <c r="CA502" s="63"/>
      <c r="CB502" s="63"/>
      <c r="CC502" s="63"/>
      <c r="CD502" s="63"/>
      <c r="CE502" s="63"/>
      <c r="CF502" s="63"/>
      <c r="CG502" s="63"/>
      <c r="CH502" s="63"/>
      <c r="CI502" s="63"/>
      <c r="CJ502" s="63"/>
      <c r="CK502" s="63"/>
    </row>
    <row r="503" spans="8:89">
      <c r="H503" s="898"/>
      <c r="I503" s="866" t="str">
        <f>I476</f>
        <v>Fixed</v>
      </c>
      <c r="J503" s="867"/>
      <c r="K503" s="624" t="str">
        <f t="shared" ref="K503:R503" si="787">IFERROR(K476/K$475,"-")</f>
        <v>-</v>
      </c>
      <c r="L503" s="624" t="str">
        <f t="shared" si="787"/>
        <v>-</v>
      </c>
      <c r="M503" s="625" t="str">
        <f t="shared" si="787"/>
        <v>-</v>
      </c>
      <c r="N503" s="900" t="str">
        <f t="shared" si="787"/>
        <v>-</v>
      </c>
      <c r="O503" s="900" t="str">
        <f t="shared" si="787"/>
        <v>-</v>
      </c>
      <c r="P503" s="900" t="str">
        <f t="shared" si="787"/>
        <v>-</v>
      </c>
      <c r="Q503" s="900" t="str">
        <f t="shared" si="787"/>
        <v>-</v>
      </c>
      <c r="R503" s="899" t="str">
        <f t="shared" si="787"/>
        <v>-</v>
      </c>
      <c r="S503" s="900" t="str">
        <f>IFERROR(S476/S$475,"-")</f>
        <v>-</v>
      </c>
      <c r="T503" s="900" t="str">
        <f t="shared" ref="T503:AJ503" si="788">IFERROR(T476/T$475,"-")</f>
        <v>-</v>
      </c>
      <c r="U503" s="1365" t="str">
        <f t="shared" si="788"/>
        <v>-</v>
      </c>
      <c r="V503" s="1338" t="str">
        <f t="shared" si="788"/>
        <v>-</v>
      </c>
      <c r="W503" s="900" t="str">
        <f t="shared" si="788"/>
        <v>-</v>
      </c>
      <c r="X503" s="900" t="str">
        <f t="shared" si="788"/>
        <v>-</v>
      </c>
      <c r="Y503" s="900" t="str">
        <f t="shared" si="788"/>
        <v>-</v>
      </c>
      <c r="Z503" s="899" t="str">
        <f t="shared" si="788"/>
        <v>-</v>
      </c>
      <c r="AA503" s="1338" t="str">
        <f t="shared" si="788"/>
        <v>-</v>
      </c>
      <c r="AB503" s="900" t="str">
        <f t="shared" si="788"/>
        <v>-</v>
      </c>
      <c r="AC503" s="900" t="str">
        <f t="shared" si="788"/>
        <v>-</v>
      </c>
      <c r="AD503" s="900" t="str">
        <f t="shared" si="788"/>
        <v>-</v>
      </c>
      <c r="AE503" s="899" t="str">
        <f t="shared" si="788"/>
        <v>-</v>
      </c>
      <c r="AF503" s="900" t="str">
        <f t="shared" si="788"/>
        <v>-</v>
      </c>
      <c r="AG503" s="900" t="str">
        <f t="shared" ref="AG503:AI504" si="789">IFERROR(AG476/AG$475,"-")</f>
        <v>-</v>
      </c>
      <c r="AH503" s="900" t="str">
        <f t="shared" si="789"/>
        <v>-</v>
      </c>
      <c r="AI503" s="900" t="str">
        <f t="shared" si="789"/>
        <v>-</v>
      </c>
      <c r="AJ503" s="901" t="str">
        <f t="shared" si="788"/>
        <v>-</v>
      </c>
    </row>
    <row r="504" spans="8:89">
      <c r="H504" s="898"/>
      <c r="I504" s="866" t="str">
        <f>I477</f>
        <v>Variable</v>
      </c>
      <c r="J504" s="867"/>
      <c r="K504" s="624" t="str">
        <f t="shared" ref="K504:R504" si="790">IFERROR(K477/K$475,"-")</f>
        <v>-</v>
      </c>
      <c r="L504" s="624" t="str">
        <f t="shared" si="790"/>
        <v>-</v>
      </c>
      <c r="M504" s="625" t="str">
        <f t="shared" si="790"/>
        <v>-</v>
      </c>
      <c r="N504" s="900" t="str">
        <f t="shared" si="790"/>
        <v>-</v>
      </c>
      <c r="O504" s="900" t="str">
        <f t="shared" si="790"/>
        <v>-</v>
      </c>
      <c r="P504" s="900" t="str">
        <f t="shared" si="790"/>
        <v>-</v>
      </c>
      <c r="Q504" s="900" t="str">
        <f t="shared" si="790"/>
        <v>-</v>
      </c>
      <c r="R504" s="899" t="str">
        <f t="shared" si="790"/>
        <v>-</v>
      </c>
      <c r="S504" s="900" t="str">
        <f>IFERROR(S477/S$475,"-")</f>
        <v>-</v>
      </c>
      <c r="T504" s="900" t="str">
        <f t="shared" ref="T504:AJ504" si="791">IFERROR(T477/T$475,"-")</f>
        <v>-</v>
      </c>
      <c r="U504" s="1365" t="str">
        <f t="shared" si="791"/>
        <v>-</v>
      </c>
      <c r="V504" s="1338" t="str">
        <f t="shared" si="791"/>
        <v>-</v>
      </c>
      <c r="W504" s="900" t="str">
        <f t="shared" si="791"/>
        <v>-</v>
      </c>
      <c r="X504" s="900" t="str">
        <f t="shared" si="791"/>
        <v>-</v>
      </c>
      <c r="Y504" s="900" t="str">
        <f t="shared" si="791"/>
        <v>-</v>
      </c>
      <c r="Z504" s="899" t="str">
        <f t="shared" si="791"/>
        <v>-</v>
      </c>
      <c r="AA504" s="1338" t="str">
        <f t="shared" si="791"/>
        <v>-</v>
      </c>
      <c r="AB504" s="900" t="str">
        <f t="shared" si="791"/>
        <v>-</v>
      </c>
      <c r="AC504" s="900" t="str">
        <f t="shared" si="791"/>
        <v>-</v>
      </c>
      <c r="AD504" s="900" t="str">
        <f t="shared" si="791"/>
        <v>-</v>
      </c>
      <c r="AE504" s="899" t="str">
        <f t="shared" si="791"/>
        <v>-</v>
      </c>
      <c r="AF504" s="900" t="str">
        <f t="shared" si="791"/>
        <v>-</v>
      </c>
      <c r="AG504" s="900" t="str">
        <f t="shared" si="789"/>
        <v>-</v>
      </c>
      <c r="AH504" s="900" t="str">
        <f t="shared" si="789"/>
        <v>-</v>
      </c>
      <c r="AI504" s="900" t="str">
        <f t="shared" si="789"/>
        <v>-</v>
      </c>
      <c r="AJ504" s="901" t="str">
        <f t="shared" si="791"/>
        <v>-</v>
      </c>
    </row>
    <row r="505" spans="8:89" s="868" customFormat="1">
      <c r="H505" s="886"/>
      <c r="I505" s="870"/>
      <c r="J505" s="871"/>
      <c r="K505" s="872"/>
      <c r="L505" s="872"/>
      <c r="M505" s="873"/>
      <c r="N505" s="875"/>
      <c r="O505" s="875"/>
      <c r="P505" s="875"/>
      <c r="Q505" s="875"/>
      <c r="R505" s="874"/>
      <c r="S505" s="875"/>
      <c r="T505" s="875"/>
      <c r="U505" s="1363"/>
      <c r="V505" s="1336"/>
      <c r="W505" s="875"/>
      <c r="X505" s="875"/>
      <c r="Y505" s="875"/>
      <c r="Z505" s="874"/>
      <c r="AA505" s="1336"/>
      <c r="AB505" s="875"/>
      <c r="AC505" s="875"/>
      <c r="AD505" s="875"/>
      <c r="AE505" s="874"/>
      <c r="AF505" s="875"/>
      <c r="AG505" s="875"/>
      <c r="AH505" s="875"/>
      <c r="AI505" s="875"/>
      <c r="AJ505" s="876"/>
      <c r="AM505" s="881"/>
      <c r="AO505" s="63"/>
      <c r="AP505" s="63"/>
      <c r="AQ505" s="63"/>
      <c r="AR505" s="63"/>
      <c r="AS505" s="63"/>
      <c r="AT505" s="63"/>
      <c r="AU505" s="63"/>
      <c r="AV505" s="63"/>
      <c r="AW505" s="63"/>
      <c r="AX505" s="63"/>
      <c r="AY505" s="63"/>
      <c r="AZ505" s="63"/>
      <c r="BA505" s="63"/>
      <c r="BB505" s="63"/>
      <c r="BC505" s="63"/>
      <c r="BD505" s="63"/>
      <c r="BE505" s="63"/>
      <c r="BF505" s="63"/>
      <c r="BG505" s="63"/>
      <c r="BH505" s="63"/>
      <c r="BI505" s="63"/>
      <c r="BJ505" s="63"/>
      <c r="BK505" s="63"/>
      <c r="BL505" s="63"/>
      <c r="BM505" s="63"/>
      <c r="BN505" s="63"/>
      <c r="BO505" s="63"/>
      <c r="BP505" s="63"/>
      <c r="BQ505" s="63"/>
      <c r="BR505" s="63"/>
      <c r="BS505" s="63"/>
      <c r="BT505" s="63"/>
      <c r="BU505" s="63"/>
      <c r="BV505" s="63"/>
      <c r="BW505" s="63"/>
      <c r="BX505" s="63"/>
      <c r="BY505" s="63"/>
      <c r="BZ505" s="63"/>
      <c r="CA505" s="63"/>
      <c r="CB505" s="63"/>
      <c r="CC505" s="63"/>
      <c r="CD505" s="63"/>
      <c r="CE505" s="63"/>
      <c r="CF505" s="63"/>
      <c r="CG505" s="63"/>
      <c r="CH505" s="63"/>
      <c r="CI505" s="63"/>
      <c r="CJ505" s="63"/>
      <c r="CK505" s="63"/>
    </row>
    <row r="506" spans="8:89" s="89" customFormat="1" hidden="1" outlineLevel="1">
      <c r="H506" s="894"/>
      <c r="I506" s="878" t="str">
        <f>I479</f>
        <v>Recycled Water</v>
      </c>
      <c r="J506" s="879"/>
      <c r="K506" s="863" t="str">
        <f t="shared" ref="K506:R506" si="792">IFERROR(K479/K$495,"-")</f>
        <v>-</v>
      </c>
      <c r="L506" s="863" t="str">
        <f t="shared" si="792"/>
        <v>-</v>
      </c>
      <c r="M506" s="864" t="str">
        <f t="shared" si="792"/>
        <v>-</v>
      </c>
      <c r="N506" s="896" t="str">
        <f t="shared" si="792"/>
        <v>-</v>
      </c>
      <c r="O506" s="896" t="str">
        <f t="shared" si="792"/>
        <v>-</v>
      </c>
      <c r="P506" s="896" t="str">
        <f t="shared" si="792"/>
        <v>-</v>
      </c>
      <c r="Q506" s="896" t="str">
        <f t="shared" si="792"/>
        <v>-</v>
      </c>
      <c r="R506" s="895" t="str">
        <f t="shared" si="792"/>
        <v>-</v>
      </c>
      <c r="S506" s="896" t="str">
        <f>IFERROR(S479/S$495,"-")</f>
        <v>-</v>
      </c>
      <c r="T506" s="896" t="str">
        <f t="shared" ref="T506:AJ506" si="793">IFERROR(T479/T$495,"-")</f>
        <v>-</v>
      </c>
      <c r="U506" s="1364" t="str">
        <f t="shared" si="793"/>
        <v>-</v>
      </c>
      <c r="V506" s="1337" t="str">
        <f t="shared" si="793"/>
        <v>-</v>
      </c>
      <c r="W506" s="896" t="str">
        <f t="shared" si="793"/>
        <v>-</v>
      </c>
      <c r="X506" s="896" t="str">
        <f t="shared" si="793"/>
        <v>-</v>
      </c>
      <c r="Y506" s="896" t="str">
        <f t="shared" si="793"/>
        <v>-</v>
      </c>
      <c r="Z506" s="895" t="str">
        <f t="shared" si="793"/>
        <v>-</v>
      </c>
      <c r="AA506" s="1337" t="str">
        <f t="shared" si="793"/>
        <v>-</v>
      </c>
      <c r="AB506" s="896" t="str">
        <f t="shared" si="793"/>
        <v>-</v>
      </c>
      <c r="AC506" s="896" t="str">
        <f t="shared" si="793"/>
        <v>-</v>
      </c>
      <c r="AD506" s="896" t="str">
        <f t="shared" si="793"/>
        <v>-</v>
      </c>
      <c r="AE506" s="895" t="str">
        <f t="shared" si="793"/>
        <v>-</v>
      </c>
      <c r="AF506" s="896" t="str">
        <f t="shared" si="793"/>
        <v>-</v>
      </c>
      <c r="AG506" s="896" t="str">
        <f>IFERROR(AG479/AG$495,"-")</f>
        <v>-</v>
      </c>
      <c r="AH506" s="896" t="str">
        <f>IFERROR(AH479/AH$495,"-")</f>
        <v>-</v>
      </c>
      <c r="AI506" s="896" t="str">
        <f>IFERROR(AI479/AI$495,"-")</f>
        <v>-</v>
      </c>
      <c r="AJ506" s="897" t="str">
        <f t="shared" si="793"/>
        <v>-</v>
      </c>
      <c r="AM506" s="877"/>
      <c r="AO506" s="63"/>
      <c r="AP506" s="63"/>
      <c r="AQ506" s="63"/>
      <c r="AR506" s="63"/>
      <c r="AS506" s="63"/>
      <c r="AT506" s="63"/>
      <c r="AU506" s="63"/>
      <c r="AV506" s="63"/>
      <c r="AW506" s="63"/>
      <c r="AX506" s="63"/>
      <c r="AY506" s="63"/>
      <c r="AZ506" s="63"/>
      <c r="BA506" s="63"/>
      <c r="BB506" s="63"/>
      <c r="BC506" s="63"/>
      <c r="BD506" s="63"/>
      <c r="BE506" s="63"/>
      <c r="BF506" s="63"/>
      <c r="BG506" s="63"/>
      <c r="BH506" s="63"/>
      <c r="BI506" s="63"/>
      <c r="BJ506" s="63"/>
      <c r="BK506" s="63"/>
      <c r="BL506" s="63"/>
      <c r="BM506" s="63"/>
      <c r="BN506" s="63"/>
      <c r="BO506" s="63"/>
      <c r="BP506" s="63"/>
      <c r="BQ506" s="63"/>
      <c r="BR506" s="63"/>
      <c r="BS506" s="63"/>
      <c r="BT506" s="63"/>
      <c r="BU506" s="63"/>
      <c r="BV506" s="63"/>
      <c r="BW506" s="63"/>
      <c r="BX506" s="63"/>
      <c r="BY506" s="63"/>
      <c r="BZ506" s="63"/>
      <c r="CA506" s="63"/>
      <c r="CB506" s="63"/>
      <c r="CC506" s="63"/>
      <c r="CD506" s="63"/>
      <c r="CE506" s="63"/>
      <c r="CF506" s="63"/>
      <c r="CG506" s="63"/>
      <c r="CH506" s="63"/>
      <c r="CI506" s="63"/>
      <c r="CJ506" s="63"/>
      <c r="CK506" s="63"/>
    </row>
    <row r="507" spans="8:89" hidden="1" outlineLevel="1">
      <c r="H507" s="902"/>
      <c r="I507" s="866" t="str">
        <f>I480</f>
        <v>Fixed</v>
      </c>
      <c r="J507" s="867"/>
      <c r="K507" s="624" t="str">
        <f t="shared" ref="K507:R507" si="794">IFERROR(K480/K$479,"-")</f>
        <v>-</v>
      </c>
      <c r="L507" s="624" t="str">
        <f t="shared" si="794"/>
        <v>-</v>
      </c>
      <c r="M507" s="625" t="str">
        <f t="shared" si="794"/>
        <v>-</v>
      </c>
      <c r="N507" s="900" t="str">
        <f t="shared" si="794"/>
        <v>-</v>
      </c>
      <c r="O507" s="900" t="str">
        <f t="shared" si="794"/>
        <v>-</v>
      </c>
      <c r="P507" s="900" t="str">
        <f t="shared" si="794"/>
        <v>-</v>
      </c>
      <c r="Q507" s="900" t="str">
        <f t="shared" si="794"/>
        <v>-</v>
      </c>
      <c r="R507" s="899" t="str">
        <f t="shared" si="794"/>
        <v>-</v>
      </c>
      <c r="S507" s="900" t="str">
        <f>IFERROR(S480/S$479,"-")</f>
        <v>-</v>
      </c>
      <c r="T507" s="900" t="str">
        <f t="shared" ref="T507:AJ507" si="795">IFERROR(T480/T$479,"-")</f>
        <v>-</v>
      </c>
      <c r="U507" s="1365" t="str">
        <f t="shared" si="795"/>
        <v>-</v>
      </c>
      <c r="V507" s="1338" t="str">
        <f t="shared" si="795"/>
        <v>-</v>
      </c>
      <c r="W507" s="900" t="str">
        <f t="shared" si="795"/>
        <v>-</v>
      </c>
      <c r="X507" s="900" t="str">
        <f t="shared" si="795"/>
        <v>-</v>
      </c>
      <c r="Y507" s="900" t="str">
        <f t="shared" si="795"/>
        <v>-</v>
      </c>
      <c r="Z507" s="899" t="str">
        <f t="shared" si="795"/>
        <v>-</v>
      </c>
      <c r="AA507" s="1338" t="str">
        <f t="shared" si="795"/>
        <v>-</v>
      </c>
      <c r="AB507" s="900" t="str">
        <f t="shared" si="795"/>
        <v>-</v>
      </c>
      <c r="AC507" s="900" t="str">
        <f t="shared" si="795"/>
        <v>-</v>
      </c>
      <c r="AD507" s="900" t="str">
        <f t="shared" si="795"/>
        <v>-</v>
      </c>
      <c r="AE507" s="899" t="str">
        <f t="shared" si="795"/>
        <v>-</v>
      </c>
      <c r="AF507" s="900" t="str">
        <f t="shared" si="795"/>
        <v>-</v>
      </c>
      <c r="AG507" s="900" t="str">
        <f t="shared" ref="AG507:AI508" si="796">IFERROR(AG480/AG$479,"-")</f>
        <v>-</v>
      </c>
      <c r="AH507" s="900" t="str">
        <f t="shared" si="796"/>
        <v>-</v>
      </c>
      <c r="AI507" s="900" t="str">
        <f t="shared" si="796"/>
        <v>-</v>
      </c>
      <c r="AJ507" s="901" t="str">
        <f t="shared" si="795"/>
        <v>-</v>
      </c>
      <c r="AO507" s="868"/>
      <c r="AP507" s="868"/>
      <c r="AQ507" s="868"/>
      <c r="AR507" s="868"/>
      <c r="AS507" s="868"/>
      <c r="AT507" s="868"/>
      <c r="AU507" s="868"/>
      <c r="AV507" s="868"/>
      <c r="AW507" s="868"/>
      <c r="AX507" s="868"/>
      <c r="AY507" s="868"/>
      <c r="AZ507" s="868"/>
      <c r="BA507" s="868"/>
      <c r="BB507" s="868"/>
      <c r="BC507" s="868"/>
      <c r="BD507" s="868"/>
      <c r="BE507" s="868"/>
      <c r="BF507" s="868"/>
      <c r="BG507" s="868"/>
      <c r="BH507" s="868"/>
      <c r="BI507" s="868"/>
      <c r="BJ507" s="868"/>
      <c r="BK507" s="868"/>
      <c r="BL507" s="868"/>
      <c r="BM507" s="868"/>
      <c r="BN507" s="868"/>
      <c r="BO507" s="868"/>
      <c r="BP507" s="868"/>
      <c r="BQ507" s="868"/>
      <c r="BR507" s="868"/>
      <c r="BS507" s="868"/>
      <c r="BT507" s="868"/>
      <c r="BU507" s="868"/>
      <c r="BV507" s="868"/>
      <c r="BW507" s="868"/>
      <c r="BX507" s="868"/>
      <c r="BY507" s="868"/>
      <c r="BZ507" s="868"/>
      <c r="CA507" s="868"/>
      <c r="CB507" s="868"/>
      <c r="CC507" s="868"/>
      <c r="CD507" s="868"/>
      <c r="CE507" s="868"/>
      <c r="CF507" s="868"/>
      <c r="CG507" s="868"/>
      <c r="CH507" s="868"/>
      <c r="CI507" s="868"/>
      <c r="CJ507" s="868"/>
      <c r="CK507" s="868"/>
    </row>
    <row r="508" spans="8:89" hidden="1" outlineLevel="1">
      <c r="H508" s="902"/>
      <c r="I508" s="866" t="str">
        <f>I481</f>
        <v>Variable</v>
      </c>
      <c r="J508" s="867"/>
      <c r="K508" s="624" t="str">
        <f t="shared" ref="K508:R508" si="797">IFERROR(K481/K$479,"-")</f>
        <v>-</v>
      </c>
      <c r="L508" s="624" t="str">
        <f t="shared" si="797"/>
        <v>-</v>
      </c>
      <c r="M508" s="625" t="str">
        <f t="shared" si="797"/>
        <v>-</v>
      </c>
      <c r="N508" s="900" t="str">
        <f t="shared" si="797"/>
        <v>-</v>
      </c>
      <c r="O508" s="900" t="str">
        <f t="shared" si="797"/>
        <v>-</v>
      </c>
      <c r="P508" s="900" t="str">
        <f t="shared" si="797"/>
        <v>-</v>
      </c>
      <c r="Q508" s="900" t="str">
        <f t="shared" si="797"/>
        <v>-</v>
      </c>
      <c r="R508" s="899" t="str">
        <f t="shared" si="797"/>
        <v>-</v>
      </c>
      <c r="S508" s="900" t="str">
        <f>IFERROR(S481/S$479,"-")</f>
        <v>-</v>
      </c>
      <c r="T508" s="900" t="str">
        <f t="shared" ref="T508:AJ508" si="798">IFERROR(T481/T$479,"-")</f>
        <v>-</v>
      </c>
      <c r="U508" s="1365" t="str">
        <f t="shared" si="798"/>
        <v>-</v>
      </c>
      <c r="V508" s="1338" t="str">
        <f t="shared" si="798"/>
        <v>-</v>
      </c>
      <c r="W508" s="900" t="str">
        <f t="shared" si="798"/>
        <v>-</v>
      </c>
      <c r="X508" s="900" t="str">
        <f t="shared" si="798"/>
        <v>-</v>
      </c>
      <c r="Y508" s="900" t="str">
        <f t="shared" si="798"/>
        <v>-</v>
      </c>
      <c r="Z508" s="899" t="str">
        <f t="shared" si="798"/>
        <v>-</v>
      </c>
      <c r="AA508" s="1338" t="str">
        <f t="shared" si="798"/>
        <v>-</v>
      </c>
      <c r="AB508" s="900" t="str">
        <f t="shared" si="798"/>
        <v>-</v>
      </c>
      <c r="AC508" s="900" t="str">
        <f t="shared" si="798"/>
        <v>-</v>
      </c>
      <c r="AD508" s="900" t="str">
        <f t="shared" si="798"/>
        <v>-</v>
      </c>
      <c r="AE508" s="899" t="str">
        <f t="shared" si="798"/>
        <v>-</v>
      </c>
      <c r="AF508" s="900" t="str">
        <f t="shared" si="798"/>
        <v>-</v>
      </c>
      <c r="AG508" s="900" t="str">
        <f t="shared" si="796"/>
        <v>-</v>
      </c>
      <c r="AH508" s="900" t="str">
        <f t="shared" si="796"/>
        <v>-</v>
      </c>
      <c r="AI508" s="900" t="str">
        <f t="shared" si="796"/>
        <v>-</v>
      </c>
      <c r="AJ508" s="901" t="str">
        <f t="shared" si="798"/>
        <v>-</v>
      </c>
      <c r="AO508" s="89"/>
      <c r="AP508" s="89"/>
      <c r="AQ508" s="89"/>
      <c r="AR508" s="89"/>
      <c r="AS508" s="89"/>
      <c r="AT508" s="89"/>
      <c r="AU508" s="89"/>
      <c r="AV508" s="89"/>
      <c r="AW508" s="89"/>
      <c r="AX508" s="89"/>
      <c r="AY508" s="89"/>
      <c r="AZ508" s="89"/>
      <c r="BA508" s="89"/>
      <c r="BB508" s="89"/>
      <c r="BC508" s="89"/>
      <c r="BD508" s="89"/>
      <c r="BE508" s="89"/>
      <c r="BF508" s="89"/>
      <c r="BG508" s="89"/>
      <c r="BH508" s="89"/>
      <c r="BI508" s="89"/>
      <c r="BJ508" s="89"/>
      <c r="BK508" s="89"/>
      <c r="BL508" s="89"/>
      <c r="BM508" s="89"/>
      <c r="BN508" s="89"/>
      <c r="BO508" s="89"/>
      <c r="BP508" s="89"/>
      <c r="BQ508" s="89"/>
      <c r="BR508" s="89"/>
      <c r="BS508" s="89"/>
      <c r="BT508" s="89"/>
      <c r="BU508" s="89"/>
      <c r="BV508" s="89"/>
      <c r="BW508" s="89"/>
      <c r="BX508" s="89"/>
      <c r="BY508" s="89"/>
      <c r="BZ508" s="89"/>
      <c r="CA508" s="89"/>
      <c r="CB508" s="89"/>
      <c r="CC508" s="89"/>
      <c r="CD508" s="89"/>
      <c r="CE508" s="89"/>
      <c r="CF508" s="89"/>
      <c r="CG508" s="89"/>
      <c r="CH508" s="89"/>
      <c r="CI508" s="89"/>
      <c r="CJ508" s="89"/>
      <c r="CK508" s="89"/>
    </row>
    <row r="509" spans="8:89" s="868" customFormat="1" hidden="1" outlineLevel="1">
      <c r="H509" s="886"/>
      <c r="I509" s="870"/>
      <c r="J509" s="871"/>
      <c r="K509" s="872"/>
      <c r="L509" s="872"/>
      <c r="M509" s="873"/>
      <c r="N509" s="875"/>
      <c r="O509" s="875"/>
      <c r="P509" s="875"/>
      <c r="Q509" s="875"/>
      <c r="R509" s="874"/>
      <c r="S509" s="875"/>
      <c r="T509" s="875"/>
      <c r="U509" s="1363"/>
      <c r="V509" s="1336"/>
      <c r="W509" s="875"/>
      <c r="X509" s="875"/>
      <c r="Y509" s="875"/>
      <c r="Z509" s="874"/>
      <c r="AA509" s="1336"/>
      <c r="AB509" s="875"/>
      <c r="AC509" s="875"/>
      <c r="AD509" s="875"/>
      <c r="AE509" s="874"/>
      <c r="AF509" s="875"/>
      <c r="AG509" s="875"/>
      <c r="AH509" s="875"/>
      <c r="AI509" s="875"/>
      <c r="AJ509" s="876"/>
      <c r="AM509" s="856"/>
      <c r="AO509" s="89"/>
      <c r="AP509" s="89"/>
      <c r="AQ509" s="89"/>
      <c r="AR509" s="89"/>
      <c r="AS509" s="89"/>
      <c r="AT509" s="89"/>
      <c r="AU509" s="89"/>
      <c r="AV509" s="89"/>
      <c r="AW509" s="89"/>
      <c r="AX509" s="89"/>
      <c r="AY509" s="89"/>
      <c r="AZ509" s="89"/>
      <c r="BA509" s="89"/>
      <c r="BB509" s="89"/>
      <c r="BC509" s="89"/>
      <c r="BD509" s="89"/>
      <c r="BE509" s="89"/>
      <c r="BF509" s="89"/>
      <c r="BG509" s="89"/>
      <c r="BH509" s="89"/>
      <c r="BI509" s="89"/>
      <c r="BJ509" s="89"/>
      <c r="BK509" s="89"/>
      <c r="BL509" s="89"/>
      <c r="BM509" s="89"/>
      <c r="BN509" s="89"/>
      <c r="BO509" s="89"/>
      <c r="BP509" s="89"/>
      <c r="BQ509" s="89"/>
      <c r="BR509" s="89"/>
      <c r="BS509" s="89"/>
      <c r="BT509" s="89"/>
      <c r="BU509" s="89"/>
      <c r="BV509" s="89"/>
      <c r="BW509" s="89"/>
      <c r="BX509" s="89"/>
      <c r="BY509" s="89"/>
      <c r="BZ509" s="89"/>
      <c r="CA509" s="89"/>
      <c r="CB509" s="89"/>
      <c r="CC509" s="89"/>
      <c r="CD509" s="89"/>
      <c r="CE509" s="89"/>
      <c r="CF509" s="89"/>
      <c r="CG509" s="89"/>
      <c r="CH509" s="89"/>
      <c r="CI509" s="89"/>
      <c r="CJ509" s="89"/>
      <c r="CK509" s="89"/>
    </row>
    <row r="510" spans="8:89" s="89" customFormat="1" collapsed="1">
      <c r="H510" s="894"/>
      <c r="I510" s="878" t="str">
        <f>I483</f>
        <v>Waterways and Drainage</v>
      </c>
      <c r="J510" s="879"/>
      <c r="K510" s="863" t="str">
        <f t="shared" ref="K510:R510" si="799">IFERROR(K483/K$495,"-")</f>
        <v>-</v>
      </c>
      <c r="L510" s="863" t="str">
        <f t="shared" si="799"/>
        <v>-</v>
      </c>
      <c r="M510" s="864" t="str">
        <f t="shared" si="799"/>
        <v>-</v>
      </c>
      <c r="N510" s="896" t="str">
        <f t="shared" si="799"/>
        <v>-</v>
      </c>
      <c r="O510" s="896" t="str">
        <f t="shared" si="799"/>
        <v>-</v>
      </c>
      <c r="P510" s="896" t="str">
        <f t="shared" si="799"/>
        <v>-</v>
      </c>
      <c r="Q510" s="896" t="str">
        <f t="shared" si="799"/>
        <v>-</v>
      </c>
      <c r="R510" s="895" t="str">
        <f t="shared" si="799"/>
        <v>-</v>
      </c>
      <c r="S510" s="896" t="str">
        <f>IFERROR(S483/S$495,"-")</f>
        <v>-</v>
      </c>
      <c r="T510" s="896" t="str">
        <f t="shared" ref="T510:AJ510" si="800">IFERROR(T483/T$495,"-")</f>
        <v>-</v>
      </c>
      <c r="U510" s="1364" t="str">
        <f t="shared" si="800"/>
        <v>-</v>
      </c>
      <c r="V510" s="1337" t="str">
        <f t="shared" si="800"/>
        <v>-</v>
      </c>
      <c r="W510" s="896" t="str">
        <f t="shared" si="800"/>
        <v>-</v>
      </c>
      <c r="X510" s="896" t="str">
        <f t="shared" si="800"/>
        <v>-</v>
      </c>
      <c r="Y510" s="896" t="str">
        <f t="shared" si="800"/>
        <v>-</v>
      </c>
      <c r="Z510" s="895" t="str">
        <f t="shared" si="800"/>
        <v>-</v>
      </c>
      <c r="AA510" s="1337" t="str">
        <f t="shared" si="800"/>
        <v>-</v>
      </c>
      <c r="AB510" s="896" t="str">
        <f t="shared" si="800"/>
        <v>-</v>
      </c>
      <c r="AC510" s="896" t="str">
        <f t="shared" si="800"/>
        <v>-</v>
      </c>
      <c r="AD510" s="896" t="str">
        <f t="shared" si="800"/>
        <v>-</v>
      </c>
      <c r="AE510" s="895" t="str">
        <f t="shared" si="800"/>
        <v>-</v>
      </c>
      <c r="AF510" s="896" t="str">
        <f t="shared" si="800"/>
        <v>-</v>
      </c>
      <c r="AG510" s="896" t="str">
        <f>IFERROR(AG483/AG$495,"-")</f>
        <v>-</v>
      </c>
      <c r="AH510" s="896" t="str">
        <f>IFERROR(AH483/AH$495,"-")</f>
        <v>-</v>
      </c>
      <c r="AI510" s="896" t="str">
        <f>IFERROR(AI483/AI$495,"-")</f>
        <v>-</v>
      </c>
      <c r="AJ510" s="897" t="str">
        <f t="shared" si="800"/>
        <v>-</v>
      </c>
      <c r="AM510" s="856"/>
      <c r="AO510" s="63"/>
      <c r="AP510" s="63"/>
      <c r="AQ510" s="63"/>
      <c r="AR510" s="63"/>
      <c r="AS510" s="63"/>
      <c r="AT510" s="63"/>
      <c r="AU510" s="63"/>
      <c r="AV510" s="63"/>
      <c r="AW510" s="63"/>
      <c r="AX510" s="63"/>
      <c r="AY510" s="63"/>
      <c r="AZ510" s="63"/>
      <c r="BA510" s="63"/>
      <c r="BB510" s="63"/>
      <c r="BC510" s="63"/>
      <c r="BD510" s="63"/>
      <c r="BE510" s="63"/>
      <c r="BF510" s="63"/>
      <c r="BG510" s="63"/>
      <c r="BH510" s="63"/>
      <c r="BI510" s="63"/>
      <c r="BJ510" s="63"/>
      <c r="BK510" s="63"/>
      <c r="BL510" s="63"/>
      <c r="BM510" s="63"/>
      <c r="BN510" s="63"/>
      <c r="BO510" s="63"/>
      <c r="BP510" s="63"/>
      <c r="BQ510" s="63"/>
      <c r="BR510" s="63"/>
      <c r="BS510" s="63"/>
      <c r="BT510" s="63"/>
      <c r="BU510" s="63"/>
      <c r="BV510" s="63"/>
      <c r="BW510" s="63"/>
      <c r="BX510" s="63"/>
      <c r="BY510" s="63"/>
      <c r="BZ510" s="63"/>
      <c r="CA510" s="63"/>
      <c r="CB510" s="63"/>
      <c r="CC510" s="63"/>
      <c r="CD510" s="63"/>
      <c r="CE510" s="63"/>
      <c r="CF510" s="63"/>
      <c r="CG510" s="63"/>
      <c r="CH510" s="63"/>
      <c r="CI510" s="63"/>
      <c r="CJ510" s="63"/>
      <c r="CK510" s="63"/>
    </row>
    <row r="511" spans="8:89">
      <c r="H511" s="902"/>
      <c r="I511" s="866" t="str">
        <f>I484</f>
        <v>Fixed</v>
      </c>
      <c r="J511" s="867"/>
      <c r="K511" s="624" t="str">
        <f t="shared" ref="K511:R511" si="801">IFERROR(K484/K$483,"-")</f>
        <v>-</v>
      </c>
      <c r="L511" s="624" t="str">
        <f t="shared" si="801"/>
        <v>-</v>
      </c>
      <c r="M511" s="625" t="str">
        <f t="shared" si="801"/>
        <v>-</v>
      </c>
      <c r="N511" s="900" t="str">
        <f t="shared" si="801"/>
        <v>-</v>
      </c>
      <c r="O511" s="900" t="str">
        <f t="shared" si="801"/>
        <v>-</v>
      </c>
      <c r="P511" s="900" t="str">
        <f t="shared" si="801"/>
        <v>-</v>
      </c>
      <c r="Q511" s="900" t="str">
        <f t="shared" si="801"/>
        <v>-</v>
      </c>
      <c r="R511" s="899" t="str">
        <f t="shared" si="801"/>
        <v>-</v>
      </c>
      <c r="S511" s="900" t="str">
        <f>IFERROR(S484/S$483,"-")</f>
        <v>-</v>
      </c>
      <c r="T511" s="900" t="str">
        <f t="shared" ref="T511:AJ511" si="802">IFERROR(T484/T$483,"-")</f>
        <v>-</v>
      </c>
      <c r="U511" s="1365" t="str">
        <f t="shared" si="802"/>
        <v>-</v>
      </c>
      <c r="V511" s="1338" t="str">
        <f t="shared" si="802"/>
        <v>-</v>
      </c>
      <c r="W511" s="900" t="str">
        <f t="shared" si="802"/>
        <v>-</v>
      </c>
      <c r="X511" s="900" t="str">
        <f t="shared" si="802"/>
        <v>-</v>
      </c>
      <c r="Y511" s="900" t="str">
        <f t="shared" si="802"/>
        <v>-</v>
      </c>
      <c r="Z511" s="899" t="str">
        <f t="shared" si="802"/>
        <v>-</v>
      </c>
      <c r="AA511" s="1338" t="str">
        <f t="shared" si="802"/>
        <v>-</v>
      </c>
      <c r="AB511" s="900" t="str">
        <f t="shared" si="802"/>
        <v>-</v>
      </c>
      <c r="AC511" s="900" t="str">
        <f t="shared" si="802"/>
        <v>-</v>
      </c>
      <c r="AD511" s="900" t="str">
        <f t="shared" si="802"/>
        <v>-</v>
      </c>
      <c r="AE511" s="899" t="str">
        <f t="shared" si="802"/>
        <v>-</v>
      </c>
      <c r="AF511" s="900" t="str">
        <f t="shared" si="802"/>
        <v>-</v>
      </c>
      <c r="AG511" s="900" t="str">
        <f t="shared" ref="AG511:AI512" si="803">IFERROR(AG484/AG$483,"-")</f>
        <v>-</v>
      </c>
      <c r="AH511" s="900" t="str">
        <f t="shared" si="803"/>
        <v>-</v>
      </c>
      <c r="AI511" s="900" t="str">
        <f t="shared" si="803"/>
        <v>-</v>
      </c>
      <c r="AJ511" s="901" t="str">
        <f t="shared" si="802"/>
        <v>-</v>
      </c>
      <c r="AM511" s="881"/>
    </row>
    <row r="512" spans="8:89">
      <c r="H512" s="902"/>
      <c r="I512" s="866" t="str">
        <f>I485</f>
        <v>Variable</v>
      </c>
      <c r="J512" s="867"/>
      <c r="K512" s="624" t="str">
        <f t="shared" ref="K512:R512" si="804">IFERROR(K485/K$483,"-")</f>
        <v>-</v>
      </c>
      <c r="L512" s="624" t="str">
        <f t="shared" si="804"/>
        <v>-</v>
      </c>
      <c r="M512" s="625" t="str">
        <f t="shared" si="804"/>
        <v>-</v>
      </c>
      <c r="N512" s="900" t="str">
        <f t="shared" si="804"/>
        <v>-</v>
      </c>
      <c r="O512" s="900" t="str">
        <f t="shared" si="804"/>
        <v>-</v>
      </c>
      <c r="P512" s="900" t="str">
        <f t="shared" si="804"/>
        <v>-</v>
      </c>
      <c r="Q512" s="900" t="str">
        <f t="shared" si="804"/>
        <v>-</v>
      </c>
      <c r="R512" s="899" t="str">
        <f t="shared" si="804"/>
        <v>-</v>
      </c>
      <c r="S512" s="900" t="str">
        <f>IFERROR(S485/S$483,"-")</f>
        <v>-</v>
      </c>
      <c r="T512" s="900" t="str">
        <f t="shared" ref="T512:AJ512" si="805">IFERROR(T485/T$483,"-")</f>
        <v>-</v>
      </c>
      <c r="U512" s="1365" t="str">
        <f t="shared" si="805"/>
        <v>-</v>
      </c>
      <c r="V512" s="1338" t="str">
        <f t="shared" si="805"/>
        <v>-</v>
      </c>
      <c r="W512" s="900" t="str">
        <f t="shared" si="805"/>
        <v>-</v>
      </c>
      <c r="X512" s="900" t="str">
        <f t="shared" si="805"/>
        <v>-</v>
      </c>
      <c r="Y512" s="900" t="str">
        <f t="shared" si="805"/>
        <v>-</v>
      </c>
      <c r="Z512" s="899" t="str">
        <f t="shared" si="805"/>
        <v>-</v>
      </c>
      <c r="AA512" s="1338" t="str">
        <f t="shared" si="805"/>
        <v>-</v>
      </c>
      <c r="AB512" s="900" t="str">
        <f t="shared" si="805"/>
        <v>-</v>
      </c>
      <c r="AC512" s="900" t="str">
        <f t="shared" si="805"/>
        <v>-</v>
      </c>
      <c r="AD512" s="900" t="str">
        <f t="shared" si="805"/>
        <v>-</v>
      </c>
      <c r="AE512" s="899" t="str">
        <f t="shared" si="805"/>
        <v>-</v>
      </c>
      <c r="AF512" s="900" t="str">
        <f t="shared" si="805"/>
        <v>-</v>
      </c>
      <c r="AG512" s="900" t="str">
        <f t="shared" si="803"/>
        <v>-</v>
      </c>
      <c r="AH512" s="900" t="str">
        <f t="shared" si="803"/>
        <v>-</v>
      </c>
      <c r="AI512" s="900" t="str">
        <f t="shared" si="803"/>
        <v>-</v>
      </c>
      <c r="AJ512" s="901" t="str">
        <f t="shared" si="805"/>
        <v>-</v>
      </c>
    </row>
    <row r="513" spans="8:89" s="868" customFormat="1" hidden="1" outlineLevel="1">
      <c r="H513" s="886"/>
      <c r="I513" s="870"/>
      <c r="J513" s="871"/>
      <c r="K513" s="872"/>
      <c r="L513" s="872"/>
      <c r="M513" s="873"/>
      <c r="N513" s="875"/>
      <c r="O513" s="875"/>
      <c r="P513" s="875"/>
      <c r="Q513" s="875"/>
      <c r="R513" s="874"/>
      <c r="S513" s="875"/>
      <c r="T513" s="875"/>
      <c r="U513" s="1363"/>
      <c r="V513" s="1336"/>
      <c r="W513" s="875"/>
      <c r="X513" s="875"/>
      <c r="Y513" s="875"/>
      <c r="Z513" s="874"/>
      <c r="AA513" s="1336"/>
      <c r="AB513" s="875"/>
      <c r="AC513" s="875"/>
      <c r="AD513" s="875"/>
      <c r="AE513" s="874"/>
      <c r="AF513" s="875"/>
      <c r="AG513" s="875"/>
      <c r="AH513" s="875"/>
      <c r="AI513" s="875"/>
      <c r="AJ513" s="876"/>
      <c r="AM513" s="881"/>
      <c r="AO513" s="63"/>
      <c r="AP513" s="63"/>
      <c r="AQ513" s="63"/>
      <c r="AR513" s="63"/>
      <c r="AS513" s="63"/>
      <c r="AT513" s="63"/>
      <c r="AU513" s="63"/>
      <c r="AV513" s="63"/>
      <c r="AW513" s="63"/>
      <c r="AX513" s="63"/>
      <c r="AY513" s="63"/>
      <c r="AZ513" s="63"/>
      <c r="BA513" s="63"/>
      <c r="BB513" s="63"/>
      <c r="BC513" s="63"/>
      <c r="BD513" s="63"/>
      <c r="BE513" s="63"/>
      <c r="BF513" s="63"/>
      <c r="BG513" s="63"/>
      <c r="BH513" s="63"/>
      <c r="BI513" s="63"/>
      <c r="BJ513" s="63"/>
      <c r="BK513" s="63"/>
      <c r="BL513" s="63"/>
      <c r="BM513" s="63"/>
      <c r="BN513" s="63"/>
      <c r="BO513" s="63"/>
      <c r="BP513" s="63"/>
      <c r="BQ513" s="63"/>
      <c r="BR513" s="63"/>
      <c r="BS513" s="63"/>
      <c r="BT513" s="63"/>
      <c r="BU513" s="63"/>
      <c r="BV513" s="63"/>
      <c r="BW513" s="63"/>
      <c r="BX513" s="63"/>
      <c r="BY513" s="63"/>
      <c r="BZ513" s="63"/>
      <c r="CA513" s="63"/>
      <c r="CB513" s="63"/>
      <c r="CC513" s="63"/>
      <c r="CD513" s="63"/>
      <c r="CE513" s="63"/>
      <c r="CF513" s="63"/>
      <c r="CG513" s="63"/>
      <c r="CH513" s="63"/>
      <c r="CI513" s="63"/>
      <c r="CJ513" s="63"/>
      <c r="CK513" s="63"/>
    </row>
    <row r="514" spans="8:89" s="89" customFormat="1" hidden="1" outlineLevel="1">
      <c r="H514" s="894"/>
      <c r="I514" s="878" t="str">
        <f>I487</f>
        <v>Diversions</v>
      </c>
      <c r="J514" s="879"/>
      <c r="K514" s="863" t="str">
        <f t="shared" ref="K514:R514" si="806">IFERROR(K487/K$495,"-")</f>
        <v>-</v>
      </c>
      <c r="L514" s="863" t="str">
        <f t="shared" si="806"/>
        <v>-</v>
      </c>
      <c r="M514" s="864" t="str">
        <f t="shared" si="806"/>
        <v>-</v>
      </c>
      <c r="N514" s="896" t="str">
        <f t="shared" si="806"/>
        <v>-</v>
      </c>
      <c r="O514" s="896" t="str">
        <f t="shared" si="806"/>
        <v>-</v>
      </c>
      <c r="P514" s="896" t="str">
        <f t="shared" si="806"/>
        <v>-</v>
      </c>
      <c r="Q514" s="896" t="str">
        <f t="shared" si="806"/>
        <v>-</v>
      </c>
      <c r="R514" s="895" t="str">
        <f t="shared" si="806"/>
        <v>-</v>
      </c>
      <c r="S514" s="896" t="str">
        <f>IFERROR(S487/S$495,"-")</f>
        <v>-</v>
      </c>
      <c r="T514" s="896" t="str">
        <f t="shared" ref="T514:AJ514" si="807">IFERROR(T487/T$495,"-")</f>
        <v>-</v>
      </c>
      <c r="U514" s="1364" t="str">
        <f t="shared" si="807"/>
        <v>-</v>
      </c>
      <c r="V514" s="1337" t="str">
        <f t="shared" si="807"/>
        <v>-</v>
      </c>
      <c r="W514" s="896" t="str">
        <f t="shared" si="807"/>
        <v>-</v>
      </c>
      <c r="X514" s="896" t="str">
        <f t="shared" si="807"/>
        <v>-</v>
      </c>
      <c r="Y514" s="896" t="str">
        <f t="shared" si="807"/>
        <v>-</v>
      </c>
      <c r="Z514" s="895" t="str">
        <f t="shared" si="807"/>
        <v>-</v>
      </c>
      <c r="AA514" s="1337" t="str">
        <f t="shared" si="807"/>
        <v>-</v>
      </c>
      <c r="AB514" s="896" t="str">
        <f t="shared" si="807"/>
        <v>-</v>
      </c>
      <c r="AC514" s="896" t="str">
        <f t="shared" si="807"/>
        <v>-</v>
      </c>
      <c r="AD514" s="896" t="str">
        <f t="shared" si="807"/>
        <v>-</v>
      </c>
      <c r="AE514" s="895" t="str">
        <f t="shared" si="807"/>
        <v>-</v>
      </c>
      <c r="AF514" s="896" t="str">
        <f t="shared" si="807"/>
        <v>-</v>
      </c>
      <c r="AG514" s="896" t="str">
        <f>IFERROR(AG487/AG$495,"-")</f>
        <v>-</v>
      </c>
      <c r="AH514" s="896" t="str">
        <f>IFERROR(AH487/AH$495,"-")</f>
        <v>-</v>
      </c>
      <c r="AI514" s="896" t="str">
        <f>IFERROR(AI487/AI$495,"-")</f>
        <v>-</v>
      </c>
      <c r="AJ514" s="897" t="str">
        <f t="shared" si="807"/>
        <v>-</v>
      </c>
      <c r="AM514" s="881"/>
      <c r="AO514" s="63"/>
      <c r="AP514" s="63"/>
      <c r="AQ514" s="63"/>
      <c r="AR514" s="63"/>
      <c r="AS514" s="63"/>
      <c r="AT514" s="63"/>
      <c r="AU514" s="63"/>
      <c r="AV514" s="63"/>
      <c r="AW514" s="63"/>
      <c r="AX514" s="63"/>
      <c r="AY514" s="63"/>
      <c r="AZ514" s="63"/>
      <c r="BA514" s="63"/>
      <c r="BB514" s="63"/>
      <c r="BC514" s="63"/>
      <c r="BD514" s="63"/>
      <c r="BE514" s="63"/>
      <c r="BF514" s="63"/>
      <c r="BG514" s="63"/>
      <c r="BH514" s="63"/>
      <c r="BI514" s="63"/>
      <c r="BJ514" s="63"/>
      <c r="BK514" s="63"/>
      <c r="BL514" s="63"/>
      <c r="BM514" s="63"/>
      <c r="BN514" s="63"/>
      <c r="BO514" s="63"/>
      <c r="BP514" s="63"/>
      <c r="BQ514" s="63"/>
      <c r="BR514" s="63"/>
      <c r="BS514" s="63"/>
      <c r="BT514" s="63"/>
      <c r="BU514" s="63"/>
      <c r="BV514" s="63"/>
      <c r="BW514" s="63"/>
      <c r="BX514" s="63"/>
      <c r="BY514" s="63"/>
      <c r="BZ514" s="63"/>
      <c r="CA514" s="63"/>
      <c r="CB514" s="63"/>
      <c r="CC514" s="63"/>
      <c r="CD514" s="63"/>
      <c r="CE514" s="63"/>
      <c r="CF514" s="63"/>
      <c r="CG514" s="63"/>
      <c r="CH514" s="63"/>
      <c r="CI514" s="63"/>
      <c r="CJ514" s="63"/>
      <c r="CK514" s="63"/>
    </row>
    <row r="515" spans="8:89" hidden="1" outlineLevel="1">
      <c r="H515" s="902"/>
      <c r="I515" s="866" t="str">
        <f>I488</f>
        <v>Fixed</v>
      </c>
      <c r="J515" s="867"/>
      <c r="K515" s="624" t="str">
        <f t="shared" ref="K515:R515" si="808">IFERROR(K488/K$487,"-")</f>
        <v>-</v>
      </c>
      <c r="L515" s="624" t="str">
        <f t="shared" si="808"/>
        <v>-</v>
      </c>
      <c r="M515" s="625" t="str">
        <f t="shared" si="808"/>
        <v>-</v>
      </c>
      <c r="N515" s="900" t="str">
        <f t="shared" si="808"/>
        <v>-</v>
      </c>
      <c r="O515" s="900" t="str">
        <f t="shared" si="808"/>
        <v>-</v>
      </c>
      <c r="P515" s="900" t="str">
        <f t="shared" si="808"/>
        <v>-</v>
      </c>
      <c r="Q515" s="900" t="str">
        <f t="shared" si="808"/>
        <v>-</v>
      </c>
      <c r="R515" s="899" t="str">
        <f t="shared" si="808"/>
        <v>-</v>
      </c>
      <c r="S515" s="900" t="str">
        <f>IFERROR(S488/S$487,"-")</f>
        <v>-</v>
      </c>
      <c r="T515" s="900" t="str">
        <f t="shared" ref="T515:AJ515" si="809">IFERROR(T488/T$487,"-")</f>
        <v>-</v>
      </c>
      <c r="U515" s="1365" t="str">
        <f t="shared" si="809"/>
        <v>-</v>
      </c>
      <c r="V515" s="1338" t="str">
        <f t="shared" si="809"/>
        <v>-</v>
      </c>
      <c r="W515" s="900" t="str">
        <f t="shared" si="809"/>
        <v>-</v>
      </c>
      <c r="X515" s="900" t="str">
        <f t="shared" si="809"/>
        <v>-</v>
      </c>
      <c r="Y515" s="900" t="str">
        <f t="shared" si="809"/>
        <v>-</v>
      </c>
      <c r="Z515" s="899" t="str">
        <f t="shared" si="809"/>
        <v>-</v>
      </c>
      <c r="AA515" s="1338" t="str">
        <f t="shared" si="809"/>
        <v>-</v>
      </c>
      <c r="AB515" s="900" t="str">
        <f t="shared" si="809"/>
        <v>-</v>
      </c>
      <c r="AC515" s="900" t="str">
        <f t="shared" si="809"/>
        <v>-</v>
      </c>
      <c r="AD515" s="900" t="str">
        <f t="shared" si="809"/>
        <v>-</v>
      </c>
      <c r="AE515" s="899" t="str">
        <f t="shared" si="809"/>
        <v>-</v>
      </c>
      <c r="AF515" s="900" t="str">
        <f t="shared" si="809"/>
        <v>-</v>
      </c>
      <c r="AG515" s="900" t="str">
        <f t="shared" ref="AG515:AI516" si="810">IFERROR(AG488/AG$487,"-")</f>
        <v>-</v>
      </c>
      <c r="AH515" s="900" t="str">
        <f t="shared" si="810"/>
        <v>-</v>
      </c>
      <c r="AI515" s="900" t="str">
        <f t="shared" si="810"/>
        <v>-</v>
      </c>
      <c r="AJ515" s="901" t="str">
        <f t="shared" si="809"/>
        <v>-</v>
      </c>
      <c r="AM515" s="877"/>
    </row>
    <row r="516" spans="8:89" hidden="1" outlineLevel="1">
      <c r="H516" s="902"/>
      <c r="I516" s="866" t="str">
        <f>I489</f>
        <v>Variable</v>
      </c>
      <c r="J516" s="867"/>
      <c r="K516" s="624" t="str">
        <f t="shared" ref="K516:R516" si="811">IFERROR(K489/K$487,"-")</f>
        <v>-</v>
      </c>
      <c r="L516" s="624" t="str">
        <f t="shared" si="811"/>
        <v>-</v>
      </c>
      <c r="M516" s="625" t="str">
        <f t="shared" si="811"/>
        <v>-</v>
      </c>
      <c r="N516" s="900" t="str">
        <f t="shared" si="811"/>
        <v>-</v>
      </c>
      <c r="O516" s="900" t="str">
        <f t="shared" si="811"/>
        <v>-</v>
      </c>
      <c r="P516" s="900" t="str">
        <f t="shared" si="811"/>
        <v>-</v>
      </c>
      <c r="Q516" s="900" t="str">
        <f t="shared" si="811"/>
        <v>-</v>
      </c>
      <c r="R516" s="899" t="str">
        <f t="shared" si="811"/>
        <v>-</v>
      </c>
      <c r="S516" s="900" t="str">
        <f>IFERROR(S489/S$487,"-")</f>
        <v>-</v>
      </c>
      <c r="T516" s="900" t="str">
        <f t="shared" ref="T516:AJ516" si="812">IFERROR(T489/T$487,"-")</f>
        <v>-</v>
      </c>
      <c r="U516" s="1365" t="str">
        <f t="shared" si="812"/>
        <v>-</v>
      </c>
      <c r="V516" s="1338" t="str">
        <f t="shared" si="812"/>
        <v>-</v>
      </c>
      <c r="W516" s="900" t="str">
        <f t="shared" si="812"/>
        <v>-</v>
      </c>
      <c r="X516" s="900" t="str">
        <f t="shared" si="812"/>
        <v>-</v>
      </c>
      <c r="Y516" s="900" t="str">
        <f t="shared" si="812"/>
        <v>-</v>
      </c>
      <c r="Z516" s="899" t="str">
        <f t="shared" si="812"/>
        <v>-</v>
      </c>
      <c r="AA516" s="1338" t="str">
        <f t="shared" si="812"/>
        <v>-</v>
      </c>
      <c r="AB516" s="900" t="str">
        <f t="shared" si="812"/>
        <v>-</v>
      </c>
      <c r="AC516" s="900" t="str">
        <f t="shared" si="812"/>
        <v>-</v>
      </c>
      <c r="AD516" s="900" t="str">
        <f t="shared" si="812"/>
        <v>-</v>
      </c>
      <c r="AE516" s="899" t="str">
        <f t="shared" si="812"/>
        <v>-</v>
      </c>
      <c r="AF516" s="900" t="str">
        <f t="shared" si="812"/>
        <v>-</v>
      </c>
      <c r="AG516" s="900" t="str">
        <f t="shared" si="810"/>
        <v>-</v>
      </c>
      <c r="AH516" s="900" t="str">
        <f t="shared" si="810"/>
        <v>-</v>
      </c>
      <c r="AI516" s="900" t="str">
        <f t="shared" si="810"/>
        <v>-</v>
      </c>
      <c r="AJ516" s="901" t="str">
        <f t="shared" si="812"/>
        <v>-</v>
      </c>
      <c r="AO516" s="868"/>
      <c r="AP516" s="868"/>
      <c r="AQ516" s="868"/>
      <c r="AR516" s="868"/>
      <c r="AS516" s="868"/>
      <c r="AT516" s="868"/>
      <c r="AU516" s="868"/>
      <c r="AV516" s="868"/>
      <c r="AW516" s="868"/>
      <c r="AX516" s="868"/>
      <c r="AY516" s="868"/>
      <c r="AZ516" s="868"/>
      <c r="BA516" s="868"/>
      <c r="BB516" s="868"/>
      <c r="BC516" s="868"/>
      <c r="BD516" s="868"/>
      <c r="BE516" s="868"/>
      <c r="BF516" s="868"/>
      <c r="BG516" s="868"/>
      <c r="BH516" s="868"/>
      <c r="BI516" s="868"/>
      <c r="BJ516" s="868"/>
      <c r="BK516" s="868"/>
      <c r="BL516" s="868"/>
      <c r="BM516" s="868"/>
      <c r="BN516" s="868"/>
      <c r="BO516" s="868"/>
      <c r="BP516" s="868"/>
      <c r="BQ516" s="868"/>
      <c r="BR516" s="868"/>
      <c r="BS516" s="868"/>
      <c r="BT516" s="868"/>
      <c r="BU516" s="868"/>
      <c r="BV516" s="868"/>
      <c r="BW516" s="868"/>
      <c r="BX516" s="868"/>
      <c r="BY516" s="868"/>
      <c r="BZ516" s="868"/>
      <c r="CA516" s="868"/>
      <c r="CB516" s="868"/>
      <c r="CC516" s="868"/>
      <c r="CD516" s="868"/>
      <c r="CE516" s="868"/>
      <c r="CF516" s="868"/>
      <c r="CG516" s="868"/>
      <c r="CH516" s="868"/>
      <c r="CI516" s="868"/>
      <c r="CJ516" s="868"/>
      <c r="CK516" s="868"/>
    </row>
    <row r="517" spans="8:89" s="868" customFormat="1" hidden="1" outlineLevel="1">
      <c r="H517" s="886"/>
      <c r="I517" s="870"/>
      <c r="J517" s="871"/>
      <c r="K517" s="872"/>
      <c r="L517" s="872"/>
      <c r="M517" s="873"/>
      <c r="N517" s="875"/>
      <c r="O517" s="875"/>
      <c r="P517" s="875"/>
      <c r="Q517" s="875"/>
      <c r="R517" s="874"/>
      <c r="S517" s="875"/>
      <c r="T517" s="875"/>
      <c r="U517" s="1363"/>
      <c r="V517" s="1336"/>
      <c r="W517" s="875"/>
      <c r="X517" s="875"/>
      <c r="Y517" s="875"/>
      <c r="Z517" s="874"/>
      <c r="AA517" s="1336"/>
      <c r="AB517" s="875"/>
      <c r="AC517" s="875"/>
      <c r="AD517" s="875"/>
      <c r="AE517" s="874"/>
      <c r="AF517" s="875"/>
      <c r="AG517" s="875"/>
      <c r="AH517" s="875"/>
      <c r="AI517" s="875"/>
      <c r="AJ517" s="876"/>
      <c r="AM517" s="856"/>
      <c r="AO517" s="89"/>
      <c r="AP517" s="89"/>
      <c r="AQ517" s="89"/>
      <c r="AR517" s="89"/>
      <c r="AS517" s="89"/>
      <c r="AT517" s="89"/>
      <c r="AU517" s="89"/>
      <c r="AV517" s="89"/>
      <c r="AW517" s="89"/>
      <c r="AX517" s="89"/>
      <c r="AY517" s="89"/>
      <c r="AZ517" s="89"/>
      <c r="BA517" s="89"/>
      <c r="BB517" s="89"/>
      <c r="BC517" s="89"/>
      <c r="BD517" s="89"/>
      <c r="BE517" s="89"/>
      <c r="BF517" s="89"/>
      <c r="BG517" s="89"/>
      <c r="BH517" s="89"/>
      <c r="BI517" s="89"/>
      <c r="BJ517" s="89"/>
      <c r="BK517" s="89"/>
      <c r="BL517" s="89"/>
      <c r="BM517" s="89"/>
      <c r="BN517" s="89"/>
      <c r="BO517" s="89"/>
      <c r="BP517" s="89"/>
      <c r="BQ517" s="89"/>
      <c r="BR517" s="89"/>
      <c r="BS517" s="89"/>
      <c r="BT517" s="89"/>
      <c r="BU517" s="89"/>
      <c r="BV517" s="89"/>
      <c r="BW517" s="89"/>
      <c r="BX517" s="89"/>
      <c r="BY517" s="89"/>
      <c r="BZ517" s="89"/>
      <c r="CA517" s="89"/>
      <c r="CB517" s="89"/>
      <c r="CC517" s="89"/>
      <c r="CD517" s="89"/>
      <c r="CE517" s="89"/>
      <c r="CF517" s="89"/>
      <c r="CG517" s="89"/>
      <c r="CH517" s="89"/>
      <c r="CI517" s="89"/>
      <c r="CJ517" s="89"/>
      <c r="CK517" s="89"/>
    </row>
    <row r="518" spans="8:89" s="89" customFormat="1" hidden="1" outlineLevel="1">
      <c r="H518" s="894"/>
      <c r="I518" s="878" t="str">
        <f>I491</f>
        <v>Trade Waste</v>
      </c>
      <c r="J518" s="879"/>
      <c r="K518" s="863" t="str">
        <f t="shared" ref="K518:R518" si="813">IFERROR(K491/K$495,"-")</f>
        <v>-</v>
      </c>
      <c r="L518" s="863" t="str">
        <f t="shared" si="813"/>
        <v>-</v>
      </c>
      <c r="M518" s="864" t="str">
        <f t="shared" si="813"/>
        <v>-</v>
      </c>
      <c r="N518" s="896" t="str">
        <f t="shared" si="813"/>
        <v>-</v>
      </c>
      <c r="O518" s="896" t="str">
        <f t="shared" si="813"/>
        <v>-</v>
      </c>
      <c r="P518" s="896" t="str">
        <f t="shared" si="813"/>
        <v>-</v>
      </c>
      <c r="Q518" s="896" t="str">
        <f t="shared" si="813"/>
        <v>-</v>
      </c>
      <c r="R518" s="895" t="str">
        <f t="shared" si="813"/>
        <v>-</v>
      </c>
      <c r="S518" s="896" t="str">
        <f>IFERROR(S491/S$495,"-")</f>
        <v>-</v>
      </c>
      <c r="T518" s="896" t="str">
        <f t="shared" ref="T518:AJ518" si="814">IFERROR(T491/T$495,"-")</f>
        <v>-</v>
      </c>
      <c r="U518" s="1364" t="str">
        <f t="shared" si="814"/>
        <v>-</v>
      </c>
      <c r="V518" s="1337" t="str">
        <f t="shared" si="814"/>
        <v>-</v>
      </c>
      <c r="W518" s="896" t="str">
        <f t="shared" si="814"/>
        <v>-</v>
      </c>
      <c r="X518" s="896" t="str">
        <f t="shared" si="814"/>
        <v>-</v>
      </c>
      <c r="Y518" s="896" t="str">
        <f t="shared" si="814"/>
        <v>-</v>
      </c>
      <c r="Z518" s="895" t="str">
        <f t="shared" si="814"/>
        <v>-</v>
      </c>
      <c r="AA518" s="1337" t="str">
        <f t="shared" si="814"/>
        <v>-</v>
      </c>
      <c r="AB518" s="896" t="str">
        <f t="shared" si="814"/>
        <v>-</v>
      </c>
      <c r="AC518" s="896" t="str">
        <f t="shared" si="814"/>
        <v>-</v>
      </c>
      <c r="AD518" s="896" t="str">
        <f t="shared" si="814"/>
        <v>-</v>
      </c>
      <c r="AE518" s="895" t="str">
        <f t="shared" si="814"/>
        <v>-</v>
      </c>
      <c r="AF518" s="896" t="str">
        <f t="shared" si="814"/>
        <v>-</v>
      </c>
      <c r="AG518" s="896" t="str">
        <f>IFERROR(AG491/AG$495,"-")</f>
        <v>-</v>
      </c>
      <c r="AH518" s="896" t="str">
        <f>IFERROR(AH491/AH$495,"-")</f>
        <v>-</v>
      </c>
      <c r="AI518" s="896" t="str">
        <f>IFERROR(AI491/AI$495,"-")</f>
        <v>-</v>
      </c>
      <c r="AJ518" s="897" t="str">
        <f t="shared" si="814"/>
        <v>-</v>
      </c>
      <c r="AM518" s="856"/>
    </row>
    <row r="519" spans="8:89" hidden="1" outlineLevel="1">
      <c r="H519" s="902"/>
      <c r="I519" s="866" t="str">
        <f>I492</f>
        <v>Fixed</v>
      </c>
      <c r="J519" s="867"/>
      <c r="K519" s="624" t="str">
        <f t="shared" ref="K519:R519" si="815">IFERROR(K492/K$491,"-")</f>
        <v>-</v>
      </c>
      <c r="L519" s="624" t="str">
        <f t="shared" si="815"/>
        <v>-</v>
      </c>
      <c r="M519" s="625" t="str">
        <f t="shared" si="815"/>
        <v>-</v>
      </c>
      <c r="N519" s="900" t="str">
        <f t="shared" si="815"/>
        <v>-</v>
      </c>
      <c r="O519" s="900" t="str">
        <f t="shared" si="815"/>
        <v>-</v>
      </c>
      <c r="P519" s="900" t="str">
        <f t="shared" si="815"/>
        <v>-</v>
      </c>
      <c r="Q519" s="900" t="str">
        <f t="shared" si="815"/>
        <v>-</v>
      </c>
      <c r="R519" s="899" t="str">
        <f t="shared" si="815"/>
        <v>-</v>
      </c>
      <c r="S519" s="900" t="str">
        <f>IFERROR(S492/S$491,"-")</f>
        <v>-</v>
      </c>
      <c r="T519" s="900" t="str">
        <f t="shared" ref="T519:AJ519" si="816">IFERROR(T492/T$491,"-")</f>
        <v>-</v>
      </c>
      <c r="U519" s="1365" t="str">
        <f t="shared" si="816"/>
        <v>-</v>
      </c>
      <c r="V519" s="1338" t="str">
        <f t="shared" si="816"/>
        <v>-</v>
      </c>
      <c r="W519" s="900" t="str">
        <f t="shared" si="816"/>
        <v>-</v>
      </c>
      <c r="X519" s="900" t="str">
        <f t="shared" si="816"/>
        <v>-</v>
      </c>
      <c r="Y519" s="900" t="str">
        <f t="shared" si="816"/>
        <v>-</v>
      </c>
      <c r="Z519" s="899" t="str">
        <f t="shared" si="816"/>
        <v>-</v>
      </c>
      <c r="AA519" s="1338" t="str">
        <f t="shared" si="816"/>
        <v>-</v>
      </c>
      <c r="AB519" s="900" t="str">
        <f t="shared" si="816"/>
        <v>-</v>
      </c>
      <c r="AC519" s="900" t="str">
        <f t="shared" si="816"/>
        <v>-</v>
      </c>
      <c r="AD519" s="900" t="str">
        <f t="shared" si="816"/>
        <v>-</v>
      </c>
      <c r="AE519" s="899" t="str">
        <f t="shared" si="816"/>
        <v>-</v>
      </c>
      <c r="AF519" s="900" t="str">
        <f t="shared" si="816"/>
        <v>-</v>
      </c>
      <c r="AG519" s="900" t="str">
        <f t="shared" ref="AG519:AI520" si="817">IFERROR(AG492/AG$491,"-")</f>
        <v>-</v>
      </c>
      <c r="AH519" s="900" t="str">
        <f t="shared" si="817"/>
        <v>-</v>
      </c>
      <c r="AI519" s="900" t="str">
        <f t="shared" si="817"/>
        <v>-</v>
      </c>
      <c r="AJ519" s="901" t="str">
        <f t="shared" si="816"/>
        <v>-</v>
      </c>
    </row>
    <row r="520" spans="8:89" hidden="1" outlineLevel="1">
      <c r="H520" s="902"/>
      <c r="I520" s="866" t="str">
        <f>I493</f>
        <v>Variable</v>
      </c>
      <c r="J520" s="867"/>
      <c r="K520" s="624" t="str">
        <f t="shared" ref="K520:R520" si="818">IFERROR(K493/K$491,"-")</f>
        <v>-</v>
      </c>
      <c r="L520" s="624" t="str">
        <f t="shared" si="818"/>
        <v>-</v>
      </c>
      <c r="M520" s="625" t="str">
        <f t="shared" si="818"/>
        <v>-</v>
      </c>
      <c r="N520" s="900" t="str">
        <f t="shared" si="818"/>
        <v>-</v>
      </c>
      <c r="O520" s="900" t="str">
        <f t="shared" si="818"/>
        <v>-</v>
      </c>
      <c r="P520" s="900" t="str">
        <f t="shared" si="818"/>
        <v>-</v>
      </c>
      <c r="Q520" s="900" t="str">
        <f t="shared" si="818"/>
        <v>-</v>
      </c>
      <c r="R520" s="899" t="str">
        <f t="shared" si="818"/>
        <v>-</v>
      </c>
      <c r="S520" s="900" t="str">
        <f>IFERROR(S493/S$491,"-")</f>
        <v>-</v>
      </c>
      <c r="T520" s="900" t="str">
        <f t="shared" ref="T520:AJ520" si="819">IFERROR(T493/T$491,"-")</f>
        <v>-</v>
      </c>
      <c r="U520" s="1365" t="str">
        <f t="shared" si="819"/>
        <v>-</v>
      </c>
      <c r="V520" s="1338" t="str">
        <f t="shared" si="819"/>
        <v>-</v>
      </c>
      <c r="W520" s="900" t="str">
        <f t="shared" si="819"/>
        <v>-</v>
      </c>
      <c r="X520" s="900" t="str">
        <f t="shared" si="819"/>
        <v>-</v>
      </c>
      <c r="Y520" s="900" t="str">
        <f t="shared" si="819"/>
        <v>-</v>
      </c>
      <c r="Z520" s="899" t="str">
        <f t="shared" si="819"/>
        <v>-</v>
      </c>
      <c r="AA520" s="1338" t="str">
        <f t="shared" si="819"/>
        <v>-</v>
      </c>
      <c r="AB520" s="900" t="str">
        <f t="shared" si="819"/>
        <v>-</v>
      </c>
      <c r="AC520" s="900" t="str">
        <f t="shared" si="819"/>
        <v>-</v>
      </c>
      <c r="AD520" s="900" t="str">
        <f t="shared" si="819"/>
        <v>-</v>
      </c>
      <c r="AE520" s="899" t="str">
        <f t="shared" si="819"/>
        <v>-</v>
      </c>
      <c r="AF520" s="900" t="str">
        <f t="shared" si="819"/>
        <v>-</v>
      </c>
      <c r="AG520" s="900" t="str">
        <f t="shared" si="817"/>
        <v>-</v>
      </c>
      <c r="AH520" s="900" t="str">
        <f t="shared" si="817"/>
        <v>-</v>
      </c>
      <c r="AI520" s="900" t="str">
        <f t="shared" si="817"/>
        <v>-</v>
      </c>
      <c r="AJ520" s="901" t="str">
        <f t="shared" si="819"/>
        <v>-</v>
      </c>
    </row>
    <row r="521" spans="8:89" s="868" customFormat="1" ht="12.75" collapsed="1" thickBot="1">
      <c r="H521" s="886"/>
      <c r="I521" s="903"/>
      <c r="J521" s="904"/>
      <c r="K521" s="905"/>
      <c r="L521" s="905"/>
      <c r="M521" s="906"/>
      <c r="N521" s="908"/>
      <c r="O521" s="908"/>
      <c r="P521" s="908"/>
      <c r="Q521" s="908"/>
      <c r="R521" s="907"/>
      <c r="S521" s="908"/>
      <c r="T521" s="908"/>
      <c r="U521" s="1366"/>
      <c r="V521" s="1339"/>
      <c r="W521" s="908"/>
      <c r="X521" s="908"/>
      <c r="Y521" s="908"/>
      <c r="Z521" s="907"/>
      <c r="AA521" s="1339"/>
      <c r="AB521" s="908"/>
      <c r="AC521" s="908"/>
      <c r="AD521" s="908"/>
      <c r="AE521" s="907"/>
      <c r="AF521" s="908"/>
      <c r="AG521" s="908"/>
      <c r="AH521" s="908"/>
      <c r="AI521" s="908"/>
      <c r="AJ521" s="909"/>
      <c r="AM521" s="910"/>
      <c r="AO521" s="63"/>
      <c r="AP521" s="63"/>
      <c r="AQ521" s="63"/>
      <c r="AR521" s="63"/>
      <c r="AS521" s="63"/>
      <c r="AT521" s="63"/>
      <c r="AU521" s="63"/>
      <c r="AV521" s="63"/>
      <c r="AW521" s="63"/>
      <c r="AX521" s="63"/>
      <c r="AY521" s="63"/>
      <c r="AZ521" s="63"/>
      <c r="BA521" s="63"/>
      <c r="BB521" s="63"/>
      <c r="BC521" s="63"/>
      <c r="BD521" s="63"/>
      <c r="BE521" s="63"/>
      <c r="BF521" s="63"/>
      <c r="BG521" s="63"/>
      <c r="BH521" s="63"/>
      <c r="BI521" s="63"/>
      <c r="BJ521" s="63"/>
      <c r="BK521" s="63"/>
      <c r="BL521" s="63"/>
      <c r="BM521" s="63"/>
      <c r="BN521" s="63"/>
      <c r="BO521" s="63"/>
      <c r="BP521" s="63"/>
      <c r="BQ521" s="63"/>
      <c r="BR521" s="63"/>
      <c r="BS521" s="63"/>
      <c r="BT521" s="63"/>
      <c r="BU521" s="63"/>
      <c r="BV521" s="63"/>
      <c r="BW521" s="63"/>
      <c r="BX521" s="63"/>
      <c r="BY521" s="63"/>
      <c r="BZ521" s="63"/>
      <c r="CA521" s="63"/>
      <c r="CB521" s="63"/>
      <c r="CC521" s="63"/>
      <c r="CD521" s="63"/>
      <c r="CE521" s="63"/>
      <c r="CF521" s="63"/>
      <c r="CG521" s="63"/>
      <c r="CH521" s="63"/>
      <c r="CI521" s="63"/>
      <c r="CJ521" s="63"/>
      <c r="CK521" s="63"/>
    </row>
    <row r="522" spans="8:89">
      <c r="AM522" s="910"/>
    </row>
    <row r="523" spans="8:89">
      <c r="AM523" s="881"/>
    </row>
    <row r="524" spans="8:89">
      <c r="I524" s="69"/>
      <c r="J524" s="1483" t="s">
        <v>927</v>
      </c>
      <c r="U524" s="1486">
        <f t="shared" ref="U524:AA524" si="820">U229</f>
        <v>0</v>
      </c>
      <c r="V524" s="1487">
        <f t="shared" si="820"/>
        <v>0</v>
      </c>
      <c r="W524" s="1488">
        <f t="shared" si="820"/>
        <v>0</v>
      </c>
      <c r="X524" s="1488">
        <f t="shared" si="820"/>
        <v>0</v>
      </c>
      <c r="Y524" s="1488">
        <f t="shared" si="820"/>
        <v>0</v>
      </c>
      <c r="Z524" s="1489">
        <f t="shared" si="820"/>
        <v>0</v>
      </c>
      <c r="AA524" s="1487">
        <f t="shared" si="820"/>
        <v>0</v>
      </c>
      <c r="AB524" s="1488">
        <f t="shared" ref="AB524:AJ524" si="821">AB229</f>
        <v>0</v>
      </c>
      <c r="AC524" s="1488">
        <f t="shared" si="821"/>
        <v>0</v>
      </c>
      <c r="AD524" s="1488">
        <f t="shared" si="821"/>
        <v>0</v>
      </c>
      <c r="AE524" s="1489">
        <f t="shared" si="821"/>
        <v>0</v>
      </c>
      <c r="AF524" s="1487">
        <f t="shared" si="821"/>
        <v>0</v>
      </c>
      <c r="AG524" s="1488">
        <f t="shared" si="821"/>
        <v>0</v>
      </c>
      <c r="AH524" s="1488">
        <f t="shared" si="821"/>
        <v>0</v>
      </c>
      <c r="AI524" s="1488">
        <f t="shared" si="821"/>
        <v>0</v>
      </c>
      <c r="AJ524" s="1489">
        <f t="shared" si="821"/>
        <v>0</v>
      </c>
      <c r="AM524" s="877"/>
    </row>
    <row r="525" spans="8:89">
      <c r="I525" s="75"/>
      <c r="J525" s="1484" t="s">
        <v>928</v>
      </c>
      <c r="U525" s="1490">
        <f t="shared" ref="U525:AA525" si="822">U232</f>
        <v>0</v>
      </c>
      <c r="V525" s="1491">
        <f t="shared" si="822"/>
        <v>0</v>
      </c>
      <c r="W525" s="1492">
        <f t="shared" si="822"/>
        <v>0</v>
      </c>
      <c r="X525" s="1492">
        <f t="shared" si="822"/>
        <v>0</v>
      </c>
      <c r="Y525" s="1492">
        <f t="shared" si="822"/>
        <v>0</v>
      </c>
      <c r="Z525" s="1493">
        <f t="shared" si="822"/>
        <v>0</v>
      </c>
      <c r="AA525" s="1491">
        <f t="shared" si="822"/>
        <v>0</v>
      </c>
      <c r="AB525" s="1492">
        <f t="shared" ref="AB525:AJ525" si="823">AB232</f>
        <v>0</v>
      </c>
      <c r="AC525" s="1492">
        <f t="shared" si="823"/>
        <v>0</v>
      </c>
      <c r="AD525" s="1492">
        <f t="shared" si="823"/>
        <v>0</v>
      </c>
      <c r="AE525" s="1493">
        <f t="shared" si="823"/>
        <v>0</v>
      </c>
      <c r="AF525" s="1491">
        <f t="shared" si="823"/>
        <v>0</v>
      </c>
      <c r="AG525" s="1492">
        <f t="shared" si="823"/>
        <v>0</v>
      </c>
      <c r="AH525" s="1492">
        <f t="shared" si="823"/>
        <v>0</v>
      </c>
      <c r="AI525" s="1492">
        <f t="shared" si="823"/>
        <v>0</v>
      </c>
      <c r="AJ525" s="1493">
        <f t="shared" si="823"/>
        <v>0</v>
      </c>
      <c r="AO525" s="868"/>
      <c r="AP525" s="868"/>
      <c r="AQ525" s="868"/>
      <c r="AR525" s="868"/>
      <c r="AS525" s="868"/>
      <c r="AT525" s="868"/>
      <c r="AU525" s="868"/>
      <c r="AV525" s="868"/>
      <c r="AW525" s="868"/>
      <c r="AX525" s="868"/>
      <c r="AY525" s="868"/>
      <c r="AZ525" s="868"/>
      <c r="BA525" s="868"/>
      <c r="BB525" s="868"/>
      <c r="BC525" s="868"/>
      <c r="BD525" s="868"/>
      <c r="BE525" s="868"/>
      <c r="BF525" s="868"/>
      <c r="BG525" s="868"/>
      <c r="BH525" s="868"/>
      <c r="BI525" s="868"/>
      <c r="BJ525" s="868"/>
      <c r="BK525" s="868"/>
      <c r="BL525" s="868"/>
      <c r="BM525" s="868"/>
      <c r="BN525" s="868"/>
      <c r="BO525" s="868"/>
      <c r="BP525" s="868"/>
      <c r="BQ525" s="868"/>
      <c r="BR525" s="868"/>
      <c r="BS525" s="868"/>
      <c r="BT525" s="868"/>
      <c r="BU525" s="868"/>
      <c r="BV525" s="868"/>
      <c r="BW525" s="868"/>
      <c r="BX525" s="868"/>
      <c r="BY525" s="868"/>
      <c r="BZ525" s="868"/>
      <c r="CA525" s="868"/>
      <c r="CB525" s="868"/>
      <c r="CC525" s="868"/>
      <c r="CD525" s="868"/>
      <c r="CE525" s="868"/>
      <c r="CF525" s="868"/>
      <c r="CG525" s="868"/>
      <c r="CH525" s="868"/>
      <c r="CI525" s="868"/>
      <c r="CJ525" s="868"/>
      <c r="CK525" s="868"/>
    </row>
    <row r="526" spans="8:89">
      <c r="I526" s="75"/>
      <c r="J526" s="1484" t="s">
        <v>929</v>
      </c>
      <c r="U526" s="1490">
        <f t="shared" ref="U526:AA526" si="824">SUM(U238,U241,U244,U247,U250,U253)</f>
        <v>0</v>
      </c>
      <c r="V526" s="1491">
        <f t="shared" si="824"/>
        <v>0</v>
      </c>
      <c r="W526" s="1492">
        <f t="shared" si="824"/>
        <v>0</v>
      </c>
      <c r="X526" s="1492">
        <f t="shared" si="824"/>
        <v>0</v>
      </c>
      <c r="Y526" s="1492">
        <f t="shared" si="824"/>
        <v>0</v>
      </c>
      <c r="Z526" s="1493">
        <f t="shared" si="824"/>
        <v>0</v>
      </c>
      <c r="AA526" s="1491">
        <f t="shared" si="824"/>
        <v>0</v>
      </c>
      <c r="AB526" s="1492">
        <f t="shared" ref="AB526:AJ526" si="825">SUM(AB238,AB241,AB244,AB247,AB250,AB253)</f>
        <v>0</v>
      </c>
      <c r="AC526" s="1492">
        <f t="shared" si="825"/>
        <v>0</v>
      </c>
      <c r="AD526" s="1492">
        <f t="shared" si="825"/>
        <v>0</v>
      </c>
      <c r="AE526" s="1493">
        <f t="shared" si="825"/>
        <v>0</v>
      </c>
      <c r="AF526" s="1491">
        <f t="shared" si="825"/>
        <v>0</v>
      </c>
      <c r="AG526" s="1492">
        <f t="shared" si="825"/>
        <v>0</v>
      </c>
      <c r="AH526" s="1492">
        <f t="shared" si="825"/>
        <v>0</v>
      </c>
      <c r="AI526" s="1492">
        <f t="shared" si="825"/>
        <v>0</v>
      </c>
      <c r="AJ526" s="1493">
        <f t="shared" si="825"/>
        <v>0</v>
      </c>
    </row>
    <row r="527" spans="8:89">
      <c r="I527" s="81"/>
      <c r="J527" s="1485" t="s">
        <v>930</v>
      </c>
      <c r="U527" s="1494">
        <f t="shared" ref="U527:Z527" si="826">SUM(U524:U526)</f>
        <v>0</v>
      </c>
      <c r="V527" s="1495">
        <f t="shared" si="826"/>
        <v>0</v>
      </c>
      <c r="W527" s="1496">
        <f t="shared" si="826"/>
        <v>0</v>
      </c>
      <c r="X527" s="1496">
        <f t="shared" si="826"/>
        <v>0</v>
      </c>
      <c r="Y527" s="1496">
        <f t="shared" si="826"/>
        <v>0</v>
      </c>
      <c r="Z527" s="1497">
        <f t="shared" si="826"/>
        <v>0</v>
      </c>
      <c r="AA527" s="1495">
        <f>SUM(AA524:AA526)</f>
        <v>0</v>
      </c>
      <c r="AB527" s="1496">
        <f t="shared" ref="AB527:AJ527" si="827">SUM(AB524:AB526)</f>
        <v>0</v>
      </c>
      <c r="AC527" s="1496">
        <f t="shared" si="827"/>
        <v>0</v>
      </c>
      <c r="AD527" s="1496">
        <f t="shared" si="827"/>
        <v>0</v>
      </c>
      <c r="AE527" s="1497">
        <f t="shared" si="827"/>
        <v>0</v>
      </c>
      <c r="AF527" s="1495">
        <f t="shared" si="827"/>
        <v>0</v>
      </c>
      <c r="AG527" s="1496">
        <f t="shared" si="827"/>
        <v>0</v>
      </c>
      <c r="AH527" s="1496">
        <f t="shared" si="827"/>
        <v>0</v>
      </c>
      <c r="AI527" s="1496">
        <f t="shared" si="827"/>
        <v>0</v>
      </c>
      <c r="AJ527" s="1497">
        <f t="shared" si="827"/>
        <v>0</v>
      </c>
    </row>
    <row r="528" spans="8:89">
      <c r="AO528" s="868"/>
      <c r="AP528" s="868"/>
      <c r="AQ528" s="868"/>
      <c r="AR528" s="868"/>
      <c r="AS528" s="868"/>
      <c r="AT528" s="868"/>
      <c r="AU528" s="868"/>
      <c r="AV528" s="868"/>
      <c r="AW528" s="868"/>
      <c r="AX528" s="868"/>
      <c r="AY528" s="868"/>
      <c r="AZ528" s="868"/>
      <c r="BA528" s="868"/>
      <c r="BB528" s="868"/>
      <c r="BC528" s="868"/>
      <c r="BD528" s="868"/>
      <c r="BE528" s="868"/>
      <c r="BF528" s="868"/>
      <c r="BG528" s="868"/>
      <c r="BH528" s="868"/>
      <c r="BI528" s="868"/>
      <c r="BJ528" s="868"/>
      <c r="BK528" s="868"/>
      <c r="BL528" s="868"/>
      <c r="BM528" s="868"/>
      <c r="BN528" s="868"/>
      <c r="BO528" s="868"/>
      <c r="BP528" s="868"/>
      <c r="BQ528" s="868"/>
      <c r="BR528" s="868"/>
      <c r="BS528" s="868"/>
      <c r="BT528" s="868"/>
      <c r="BU528" s="868"/>
      <c r="BV528" s="868"/>
      <c r="BW528" s="868"/>
      <c r="BX528" s="868"/>
      <c r="BY528" s="868"/>
      <c r="BZ528" s="868"/>
      <c r="CA528" s="868"/>
      <c r="CB528" s="868"/>
      <c r="CC528" s="868"/>
      <c r="CD528" s="868"/>
      <c r="CE528" s="868"/>
      <c r="CF528" s="868"/>
      <c r="CG528" s="868"/>
      <c r="CH528" s="868"/>
      <c r="CI528" s="868"/>
      <c r="CJ528" s="868"/>
      <c r="CK528" s="868"/>
    </row>
    <row r="529" spans="26:89">
      <c r="Z529" s="63" t="s">
        <v>931</v>
      </c>
      <c r="AA529" s="1492">
        <f>AVERAGE(AA527:AE527)</f>
        <v>0</v>
      </c>
      <c r="AO529" s="868"/>
      <c r="AP529" s="868"/>
      <c r="AQ529" s="868"/>
      <c r="AR529" s="868"/>
      <c r="AS529" s="868"/>
      <c r="AT529" s="868"/>
      <c r="AU529" s="868"/>
      <c r="AV529" s="868"/>
      <c r="AW529" s="868"/>
      <c r="AX529" s="868"/>
      <c r="AY529" s="868"/>
      <c r="AZ529" s="868"/>
      <c r="BA529" s="868"/>
      <c r="BB529" s="868"/>
      <c r="BC529" s="868"/>
      <c r="BD529" s="868"/>
      <c r="BE529" s="868"/>
      <c r="BF529" s="868"/>
      <c r="BG529" s="868"/>
      <c r="BH529" s="868"/>
      <c r="BI529" s="868"/>
      <c r="BJ529" s="868"/>
      <c r="BK529" s="868"/>
      <c r="BL529" s="868"/>
      <c r="BM529" s="868"/>
      <c r="BN529" s="868"/>
      <c r="BO529" s="868"/>
      <c r="BP529" s="868"/>
      <c r="BQ529" s="868"/>
      <c r="BR529" s="868"/>
      <c r="BS529" s="868"/>
      <c r="BT529" s="868"/>
      <c r="BU529" s="868"/>
      <c r="BV529" s="868"/>
      <c r="BW529" s="868"/>
      <c r="BX529" s="868"/>
      <c r="BY529" s="868"/>
      <c r="BZ529" s="868"/>
      <c r="CA529" s="868"/>
      <c r="CB529" s="868"/>
      <c r="CC529" s="868"/>
      <c r="CD529" s="868"/>
      <c r="CE529" s="868"/>
      <c r="CF529" s="868"/>
      <c r="CG529" s="868"/>
      <c r="CH529" s="868"/>
      <c r="CI529" s="868"/>
      <c r="CJ529" s="868"/>
      <c r="CK529" s="868"/>
    </row>
    <row r="530" spans="26:89">
      <c r="AM530" s="910"/>
      <c r="AO530" s="89"/>
      <c r="AP530" s="89"/>
      <c r="AQ530" s="89"/>
      <c r="AR530" s="89"/>
      <c r="AS530" s="89"/>
      <c r="AT530" s="89"/>
      <c r="AU530" s="89"/>
      <c r="AV530" s="89"/>
      <c r="AW530" s="89"/>
      <c r="AX530" s="89"/>
      <c r="AY530" s="89"/>
      <c r="AZ530" s="89"/>
      <c r="BA530" s="89"/>
      <c r="BB530" s="89"/>
      <c r="BC530" s="89"/>
      <c r="BD530" s="89"/>
      <c r="BE530" s="89"/>
      <c r="BF530" s="89"/>
      <c r="BG530" s="89"/>
      <c r="BH530" s="89"/>
      <c r="BI530" s="89"/>
      <c r="BJ530" s="89"/>
      <c r="BK530" s="89"/>
      <c r="BL530" s="89"/>
      <c r="BM530" s="89"/>
      <c r="BN530" s="89"/>
      <c r="BO530" s="89"/>
      <c r="BP530" s="89"/>
      <c r="BQ530" s="89"/>
      <c r="BR530" s="89"/>
      <c r="BS530" s="89"/>
      <c r="BT530" s="89"/>
      <c r="BU530" s="89"/>
      <c r="BV530" s="89"/>
      <c r="BW530" s="89"/>
      <c r="BX530" s="89"/>
      <c r="BY530" s="89"/>
      <c r="BZ530" s="89"/>
      <c r="CA530" s="89"/>
      <c r="CB530" s="89"/>
      <c r="CC530" s="89"/>
      <c r="CD530" s="89"/>
      <c r="CE530" s="89"/>
      <c r="CF530" s="89"/>
      <c r="CG530" s="89"/>
      <c r="CH530" s="89"/>
      <c r="CI530" s="89"/>
      <c r="CJ530" s="89"/>
      <c r="CK530" s="89"/>
    </row>
    <row r="531" spans="26:89">
      <c r="AM531" s="910"/>
    </row>
    <row r="532" spans="26:89">
      <c r="AM532" s="881"/>
    </row>
    <row r="533" spans="26:89">
      <c r="AM533" s="877"/>
    </row>
    <row r="539" spans="26:89">
      <c r="AM539" s="910"/>
    </row>
    <row r="540" spans="26:89">
      <c r="AM540" s="910"/>
    </row>
    <row r="541" spans="26:89">
      <c r="AM541" s="881"/>
    </row>
    <row r="542" spans="26:89">
      <c r="AM542" s="877"/>
    </row>
    <row r="548" spans="39:39">
      <c r="AM548" s="910"/>
    </row>
    <row r="549" spans="39:39">
      <c r="AM549" s="910"/>
    </row>
    <row r="550" spans="39:39">
      <c r="AM550" s="881"/>
    </row>
    <row r="551" spans="39:39">
      <c r="AM551" s="877"/>
    </row>
    <row r="557" spans="39:39">
      <c r="AM557" s="910"/>
    </row>
    <row r="558" spans="39:39">
      <c r="AM558" s="910"/>
    </row>
    <row r="559" spans="39:39">
      <c r="AM559" s="881"/>
    </row>
    <row r="560" spans="39:39">
      <c r="AM560" s="877"/>
    </row>
    <row r="566" spans="39:39">
      <c r="AM566" s="910"/>
    </row>
    <row r="567" spans="39:39">
      <c r="AM567" s="910"/>
    </row>
    <row r="568" spans="39:39">
      <c r="AM568" s="881"/>
    </row>
  </sheetData>
  <autoFilter ref="D68:AJ443" xr:uid="{00000000-0001-0000-0B00-000000000000}"/>
  <mergeCells count="25">
    <mergeCell ref="AW55:BA55"/>
    <mergeCell ref="AR55:AV55"/>
    <mergeCell ref="BU55:BY55"/>
    <mergeCell ref="BP55:BT55"/>
    <mergeCell ref="BP66:BT66"/>
    <mergeCell ref="BK66:BO66"/>
    <mergeCell ref="BK55:BO55"/>
    <mergeCell ref="BB55:BF55"/>
    <mergeCell ref="CD67:CG67"/>
    <mergeCell ref="I470:AJ470"/>
    <mergeCell ref="CD66:CK66"/>
    <mergeCell ref="CH67:CK67"/>
    <mergeCell ref="BU66:BY66"/>
    <mergeCell ref="AR67:AU67"/>
    <mergeCell ref="AV67:BF67"/>
    <mergeCell ref="BK67:BN67"/>
    <mergeCell ref="BO67:BY67"/>
    <mergeCell ref="AW66:BA66"/>
    <mergeCell ref="AR66:AV66"/>
    <mergeCell ref="BB66:BF66"/>
    <mergeCell ref="C3:G3"/>
    <mergeCell ref="AB34:AD34"/>
    <mergeCell ref="AG34:AI34"/>
    <mergeCell ref="BK54:BY54"/>
    <mergeCell ref="AR54:BF54"/>
  </mergeCells>
  <phoneticPr fontId="0" type="noConversion"/>
  <conditionalFormatting sqref="AA35">
    <cfRule type="expression" dxfId="76" priority="58" stopIfTrue="1">
      <formula>AA35="PRICE CONTROL OK"</formula>
    </cfRule>
    <cfRule type="expression" dxfId="75" priority="59" stopIfTrue="1">
      <formula>AA35="BREACH"</formula>
    </cfRule>
    <cfRule type="expression" dxfId="74" priority="60" stopIfTrue="1">
      <formula>AA35="INSUFFICIENT"</formula>
    </cfRule>
  </conditionalFormatting>
  <conditionalFormatting sqref="AB34">
    <cfRule type="cellIs" dxfId="73" priority="44" stopIfTrue="1" operator="equal">
      <formula>"BREACH"</formula>
    </cfRule>
    <cfRule type="cellIs" dxfId="72" priority="45" stopIfTrue="1" operator="equal">
      <formula>"PRICE CONTROL OK"</formula>
    </cfRule>
    <cfRule type="cellIs" dxfId="71" priority="46" stopIfTrue="1" operator="equal">
      <formula>"INSUFFICIENT REVENUE"</formula>
    </cfRule>
  </conditionalFormatting>
  <conditionalFormatting sqref="AF35">
    <cfRule type="expression" dxfId="70" priority="41" stopIfTrue="1">
      <formula>AF35="PRICE CONTROL OK"</formula>
    </cfRule>
    <cfRule type="expression" dxfId="69" priority="42" stopIfTrue="1">
      <formula>AF35="BREACH"</formula>
    </cfRule>
    <cfRule type="expression" dxfId="68" priority="43" stopIfTrue="1">
      <formula>AF35="INSUFFICIENT"</formula>
    </cfRule>
  </conditionalFormatting>
  <conditionalFormatting sqref="AG34">
    <cfRule type="cellIs" dxfId="67" priority="38" stopIfTrue="1" operator="equal">
      <formula>"BREACH"</formula>
    </cfRule>
    <cfRule type="cellIs" dxfId="66" priority="39" stopIfTrue="1" operator="equal">
      <formula>"PRICE CONTROL OK"</formula>
    </cfRule>
    <cfRule type="cellIs" dxfId="65" priority="40" stopIfTrue="1" operator="equal">
      <formula>"INSUFFICIENT REVENUE"</formula>
    </cfRule>
  </conditionalFormatting>
  <conditionalFormatting sqref="AF62:AJ62 AB64:AF64 AD65:AF65 AC66:AF66 AB65:AB66">
    <cfRule type="containsText" dxfId="64" priority="37" stopIfTrue="1" operator="containsText" text="CHECK">
      <formula>NOT(ISERROR(SEARCH("CHECK",AB62)))</formula>
    </cfRule>
  </conditionalFormatting>
  <conditionalFormatting sqref="S458:T458">
    <cfRule type="containsText" dxfId="63" priority="36" operator="containsText" text="FALSE">
      <formula>NOT(ISERROR(SEARCH("FALSE",S458)))</formula>
    </cfRule>
  </conditionalFormatting>
  <conditionalFormatting sqref="R66:Y66">
    <cfRule type="containsText" dxfId="62" priority="35" stopIfTrue="1" operator="containsText" text="CHECK">
      <formula>NOT(ISERROR(SEARCH("CHECK",R66)))</formula>
    </cfRule>
  </conditionalFormatting>
  <conditionalFormatting sqref="N458:R458">
    <cfRule type="containsText" dxfId="61" priority="22" operator="containsText" text="FALSE">
      <formula>NOT(ISERROR(SEARCH("FALSE",N458)))</formula>
    </cfRule>
  </conditionalFormatting>
  <conditionalFormatting sqref="K458:M458">
    <cfRule type="containsText" dxfId="60" priority="21" operator="containsText" text="FALSE">
      <formula>NOT(ISERROR(SEARCH("FALSE",K458)))</formula>
    </cfRule>
  </conditionalFormatting>
  <conditionalFormatting sqref="BJ34">
    <cfRule type="expression" dxfId="59" priority="12" stopIfTrue="1">
      <formula>BJ34="PRICE CONTROL OK"</formula>
    </cfRule>
    <cfRule type="expression" dxfId="58" priority="13" stopIfTrue="1">
      <formula>BJ34="BREACH"</formula>
    </cfRule>
    <cfRule type="expression" dxfId="57" priority="14" stopIfTrue="1">
      <formula>BJ34="INSUFFICIENT"</formula>
    </cfRule>
  </conditionalFormatting>
  <conditionalFormatting sqref="AQ34">
    <cfRule type="expression" dxfId="56" priority="18" stopIfTrue="1">
      <formula>AQ34="PRICE CONTROL OK"</formula>
    </cfRule>
    <cfRule type="expression" dxfId="55" priority="19" stopIfTrue="1">
      <formula>AQ34="BREACH"</formula>
    </cfRule>
    <cfRule type="expression" dxfId="54" priority="20" stopIfTrue="1">
      <formula>AQ34="INSUFFICIENT"</formula>
    </cfRule>
  </conditionalFormatting>
  <conditionalFormatting sqref="CC34">
    <cfRule type="expression" dxfId="53" priority="9" stopIfTrue="1">
      <formula>CC34="PRICE CONTROL OK"</formula>
    </cfRule>
    <cfRule type="expression" dxfId="52" priority="10" stopIfTrue="1">
      <formula>CC34="BREACH"</formula>
    </cfRule>
    <cfRule type="expression" dxfId="51" priority="11" stopIfTrue="1">
      <formula>CC34="INSUFFICIENT"</formula>
    </cfRule>
  </conditionalFormatting>
  <conditionalFormatting sqref="AA63:AE63">
    <cfRule type="containsText" dxfId="50" priority="4" stopIfTrue="1" operator="containsText" text="CHECK">
      <formula>NOT(ISERROR(SEARCH("CHECK",AA63)))</formula>
    </cfRule>
  </conditionalFormatting>
  <conditionalFormatting sqref="U458:AJ458">
    <cfRule type="containsText" dxfId="49" priority="3" operator="containsText" text="FALSE">
      <formula>NOT(ISERROR(SEARCH("FALSE",U458)))</formula>
    </cfRule>
  </conditionalFormatting>
  <conditionalFormatting sqref="U458:AJ458">
    <cfRule type="cellIs" dxfId="48" priority="2" operator="equal">
      <formula>0</formula>
    </cfRule>
  </conditionalFormatting>
  <dataValidations count="3">
    <dataValidation type="list" allowBlank="1" showInputMessage="1" showErrorMessage="1" sqref="F69 F72 F75 F78 F81 F84 F87 F90 F93 F96 F99 F102 F105 F108 F111 F114 F117 F120 F123 F126 F129 F132 F135 F138 F141 F144 F147 F150 F153 F156 F159 F162 F165 F168 F171 F174 F177 F180 F183 F186 F189 F192 F195 F198 F201 F204 F207 F210 F213 F216 F219 F222 F225 F228 F231 F234 F237 F240 F243 F246 F249 F252 F255 F258 F261 F264 F267 F270 F273 F276 F279 F282 F285 F288 F291 F294 F297 F300 F303 F306 F309 F312 F315 F318 F321 F324 F327 F330 F333 F336 F339 F342 F345 F348 F351 F354 F357 F360 F363 F366 F369 F372 F375 F378 F381 F384 F387 F390 F393 F396 F399 F402 F405 F408 F411 F414 F417 F420 F423 F426 F429 F432 F435 F438 F441" xr:uid="{00000000-0002-0000-0B00-000000000000}">
      <formula1>Price_Asset_Class</formula1>
    </dataValidation>
    <dataValidation type="list" allowBlank="1" showInputMessage="1" showErrorMessage="1" sqref="I69 I72 I75 I78 I81 I84 I87 I90 I93 I96 I99 I102 I105 I108 I111 I114 I117 I120 I123 I126 I129 I132 I135 I138 I141 I144 I147 I150 I153 I156 I159 I162 I165 I168 I171 I174 I177 I180 I183 I186 I189 I192 I195 I198 I201 I204 I207 I210 I213 I216 I219 I222 I225 I228 I231 I234 I237 I240 I243 I246 I249 I252 I255 I258 I261 I264 I267 I270 I273 I276 I279 I282 I285 I288 I291 I294 I297 I300 I303 I306 I309 I312 I315 I318 I321 I324 I327 I330 I333 I336 I339 I342 I345 I348 I351 I354 I357 I360 I363 I366 I369 I372 I375 I378 I381 I384 I387 I390 I393 I396 I399 I402 I405 I408 I411 I414 I417 I420 I423 I426 I429 I432 I435 I438 I441" xr:uid="{00000000-0002-0000-0B00-000001000000}">
      <formula1>Fixed_or_Var</formula1>
    </dataValidation>
    <dataValidation type="list" allowBlank="1" showInputMessage="1" showErrorMessage="1" sqref="J70 J73 J76 J79 J82 J85 J88 J91 J94 J97 J100 J103 J106 J109 J112 J115 J118 J121 J124 J127 J130 J133 J136 J139 J142 J145 J148 J151 J154 J157 J160 J163 J166 J169 J172 J175 J178 J181 J184 J187 J190 J193 J196 J199 J202 J205 J208 J211 J214 J217 J220 J223 J226 J229 J232 J235 J238 J241 J244 J247 J250 J253 J256 J259 J262 J265 J268 J271 J274 J277 J280 J283 J286 J289 J292 J295 J298 J301 J304 J307 J310 J313 J316 J319 J322 J325 J328 J331 J334 J337 J340 J343 J346 J349 J352 J355 J358 J361 J364 J367 J370 J373 J376 J379 J382 J385 J388 J391 J394 J397 J400 J403 J406 J409 J412 J415 J418 J421 J424 J427 J430 J433 J436 J439 J442" xr:uid="{00000000-0002-0000-0B00-000002000000}">
      <formula1>Pricing_Unit</formula1>
    </dataValidation>
  </dataValidations>
  <hyperlinks>
    <hyperlink ref="C3" location="HL_Home" tooltip="Go to Table of Contents" display="HL_Home" xr:uid="{00000000-0004-0000-0B00-000000000000}"/>
  </hyperlinks>
  <pageMargins left="0.39370078740157499" right="0.39370078740157499" top="0.59055118110236249" bottom="0.98425196850393748" header="0" footer="0.31496062992125973"/>
  <pageSetup paperSize="9" scale="68" orientation="landscape" r:id="rId1"/>
  <headerFooter alignWithMargins="0">
    <oddHeader>&amp;C&amp;"Calibri"&amp;14&amp;KFF0000 OFFICIAL&amp;1#_x000D_&amp;"Arial"&amp;8&amp;K000000&amp;"Arial"&amp;8&amp;K000000&amp;B&amp;"Arial"&amp;12&amp;Kff0000​‌OFFICIAL‌​</oddHeader>
    <oddFooter>&amp;C&amp;"Arial,Bold"&amp;8Sheet k.
Page &amp;P of &amp;N&amp;L&amp;"Arial,Bold"&amp;7&amp;F
&amp;A
Printed: &amp;T on &amp;D</oddFooter>
  </headerFooter>
  <rowBreaks count="10" manualBreakCount="10">
    <brk id="62" min="2" max="24" man="1"/>
    <brk id="98" min="2" max="24" man="1"/>
    <brk id="128" min="2" max="24" man="1"/>
    <brk id="158" min="2" max="24" man="1"/>
    <brk id="185" min="2" max="24" man="1"/>
    <brk id="215" min="2" max="24" man="1"/>
    <brk id="245" min="2" max="24" man="1"/>
    <brk id="275" min="2" max="24" man="1"/>
    <brk id="305" min="2" max="24" man="1"/>
    <brk id="335" min="2" max="24" man="1"/>
  </rowBreaks>
  <ignoredErrors>
    <ignoredError sqref="BI69:BJ71 K57:AJ57 CB69:CC443 AA98:AJ98 AA194:AJ194 AA224:AJ224 AB230:AE230 AA158:AJ158 AA140:AJ140 AA128:AJ128 AA74:AJ74 AA101:AJ101 AB233:AE233 AB236:AE236 AA107:AJ107 AA113:AJ113 AA92:AJ92 AA77:AJ77 AA80:AJ80 AA83:AJ83 AA86:AJ86 AA89:AJ89 AA104:AJ104 AA110:AJ110 AA116:AJ116 AA119:AJ119 AA122:AJ122 AA131:AJ131 AA143:AJ143 AA146:AJ146 AA149:AJ149 AA152:AJ152 AA161:AJ161 AA164:AJ164 AA167:AJ167 AA170:AJ170 AA173:AJ173 AA176:AJ176 AA179:AJ179 AA182:AJ182 AA185:AJ185 AA197:AJ197 AA200:AJ200 AA203:AJ203 AA206:AJ206 AA209:AJ209 AA212:AJ212 AA215:AJ215 AA218:AJ218" unlocked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autoPageBreaks="0"/>
  </sheetPr>
  <dimension ref="A1:CK566"/>
  <sheetViews>
    <sheetView showGridLines="0" zoomScaleNormal="100" workbookViewId="0">
      <pane ySplit="7" topLeftCell="A8" activePane="bottomLeft" state="frozen"/>
      <selection pane="bottomLeft" activeCell="Z90" sqref="Z90"/>
    </sheetView>
  </sheetViews>
  <sheetFormatPr defaultColWidth="10.83203125" defaultRowHeight="12" outlineLevelCol="1"/>
  <cols>
    <col min="1" max="3" width="3.83203125" style="63" customWidth="1"/>
    <col min="4" max="4" width="5" style="63" bestFit="1" customWidth="1"/>
    <col min="5" max="5" width="8.83203125" style="63" customWidth="1"/>
    <col min="6" max="6" width="15.6640625" style="63" customWidth="1"/>
    <col min="7" max="7" width="29.1640625" style="63" customWidth="1"/>
    <col min="8" max="8" width="21" style="63" customWidth="1"/>
    <col min="9" max="9" width="16.83203125" style="63" customWidth="1"/>
    <col min="10" max="10" width="15.33203125" style="63" customWidth="1"/>
    <col min="11" max="11" width="7.83203125" style="63" hidden="1" customWidth="1" outlineLevel="1"/>
    <col min="12" max="17" width="10.83203125" style="63" hidden="1" customWidth="1" outlineLevel="1"/>
    <col min="18" max="18" width="11.5" style="63" hidden="1" customWidth="1" outlineLevel="1"/>
    <col min="19" max="19" width="12.1640625" style="63" hidden="1" customWidth="1" outlineLevel="1"/>
    <col min="20" max="20" width="12.5" style="63" hidden="1" customWidth="1" outlineLevel="1"/>
    <col min="21" max="21" width="14.1640625" style="63" bestFit="1" customWidth="1" collapsed="1"/>
    <col min="22" max="29" width="14.1640625" style="63" bestFit="1" customWidth="1"/>
    <col min="30" max="30" width="14.6640625" style="63" bestFit="1" customWidth="1"/>
    <col min="31" max="36" width="14.1640625" style="63" bestFit="1" customWidth="1"/>
    <col min="37" max="37" width="4.6640625" style="63" customWidth="1"/>
    <col min="38" max="38" width="10.83203125" style="63"/>
    <col min="39" max="39" width="2.83203125" style="856" customWidth="1"/>
    <col min="40" max="40" width="10.83203125" style="63"/>
    <col min="41" max="41" width="8.83203125" style="63" customWidth="1"/>
    <col min="42" max="42" width="15.6640625" style="63" customWidth="1"/>
    <col min="43" max="43" width="23" style="63" customWidth="1"/>
    <col min="44" max="58" width="10.83203125" style="63"/>
    <col min="59" max="59" width="5.83203125" style="63" customWidth="1"/>
    <col min="60" max="60" width="8.83203125" style="63" customWidth="1"/>
    <col min="61" max="61" width="15.6640625" style="63" customWidth="1"/>
    <col min="62" max="62" width="23" style="63" customWidth="1"/>
    <col min="63" max="77" width="10.83203125" style="63"/>
    <col min="78" max="78" width="5.83203125" style="63" customWidth="1"/>
    <col min="79" max="79" width="8.83203125" style="63" customWidth="1"/>
    <col min="80" max="80" width="15.6640625" style="63" customWidth="1"/>
    <col min="81" max="81" width="22.83203125" style="63" customWidth="1"/>
    <col min="82" max="89" width="13.83203125" style="63" customWidth="1"/>
    <col min="90" max="16384" width="10.83203125" style="63"/>
  </cols>
  <sheetData>
    <row r="1" spans="1:81" ht="15">
      <c r="A1" s="139" t="s">
        <v>932</v>
      </c>
      <c r="B1" s="139"/>
      <c r="C1" s="140" t="s">
        <v>56</v>
      </c>
    </row>
    <row r="2" spans="1:81" ht="12.75">
      <c r="C2" s="142" t="str">
        <f>+Contents!H7</f>
        <v>Melbourne Water</v>
      </c>
    </row>
    <row r="3" spans="1:81">
      <c r="C3" s="2075" t="s">
        <v>138</v>
      </c>
      <c r="D3" s="2075"/>
      <c r="E3" s="2075"/>
      <c r="F3" s="2075"/>
      <c r="G3" s="2075"/>
      <c r="H3" s="146"/>
    </row>
    <row r="4" spans="1:81">
      <c r="A4" s="147"/>
      <c r="B4" s="147"/>
      <c r="C4" s="65"/>
      <c r="D4" s="66"/>
      <c r="G4" s="57"/>
      <c r="K4" s="1208"/>
      <c r="L4" s="1209"/>
      <c r="M4" s="1210"/>
      <c r="N4" s="1208"/>
      <c r="O4" s="1211"/>
      <c r="P4" s="1209"/>
      <c r="Q4" s="1211"/>
      <c r="R4" s="1210"/>
      <c r="S4" s="1208"/>
      <c r="T4" s="1209"/>
      <c r="U4" s="1211"/>
      <c r="V4" s="1208"/>
      <c r="W4" s="1211"/>
      <c r="X4" s="1209" t="str">
        <f>PrevPerAdj_FO!X4</f>
        <v>FIFTH REG PERIOD</v>
      </c>
      <c r="Y4" s="1213"/>
      <c r="Z4" s="1210"/>
      <c r="AA4" s="1208"/>
      <c r="AB4" s="1211"/>
      <c r="AC4" s="1209" t="str">
        <f>PrevPerAdj_FO!AC4</f>
        <v>SIXTH REG PERIOD</v>
      </c>
      <c r="AD4" s="1211"/>
      <c r="AE4" s="1210"/>
      <c r="AF4" s="1287"/>
      <c r="AG4" s="721"/>
      <c r="AH4" s="1209" t="str">
        <f>PrevPerAdj_FO!AH4</f>
        <v>SEVENTH REG PERIOD</v>
      </c>
      <c r="AI4" s="721"/>
      <c r="AJ4" s="1207"/>
      <c r="AK4" s="93"/>
      <c r="AQ4" s="141"/>
    </row>
    <row r="5" spans="1:81">
      <c r="AQ5" s="77"/>
    </row>
    <row r="6" spans="1:81">
      <c r="C6" s="148"/>
      <c r="G6" s="149" t="s">
        <v>142</v>
      </c>
      <c r="K6" s="59"/>
      <c r="L6" s="59"/>
      <c r="M6" s="59"/>
      <c r="N6" s="59"/>
      <c r="O6" s="59"/>
      <c r="P6" s="59"/>
      <c r="Q6" s="59"/>
      <c r="R6" s="59"/>
      <c r="S6" s="59"/>
      <c r="T6" s="59"/>
      <c r="U6" s="59">
        <v>2016</v>
      </c>
      <c r="V6" s="59">
        <v>2017</v>
      </c>
      <c r="W6" s="59">
        <v>2018</v>
      </c>
      <c r="X6" s="59">
        <v>2019</v>
      </c>
      <c r="Y6" s="59">
        <v>2020</v>
      </c>
      <c r="Z6" s="59">
        <v>2021</v>
      </c>
      <c r="AA6" s="59">
        <v>2022</v>
      </c>
      <c r="AB6" s="59">
        <v>2023</v>
      </c>
      <c r="AC6" s="60">
        <v>2024</v>
      </c>
      <c r="AD6" s="60">
        <v>2025</v>
      </c>
      <c r="AE6" s="60">
        <v>2026</v>
      </c>
      <c r="AF6" s="60">
        <v>2027</v>
      </c>
      <c r="AG6" s="60">
        <v>2028</v>
      </c>
      <c r="AH6" s="60">
        <v>2029</v>
      </c>
      <c r="AI6" s="60">
        <v>2030</v>
      </c>
      <c r="AJ6" s="60">
        <v>2031</v>
      </c>
      <c r="AK6" s="60"/>
    </row>
    <row r="7" spans="1:81">
      <c r="A7" s="68"/>
      <c r="B7" s="68"/>
      <c r="C7" s="63" t="str">
        <f>Expenditure_Detail!$B$6</f>
        <v>$m, 01/01/26</v>
      </c>
      <c r="D7" s="68"/>
      <c r="E7" s="68"/>
      <c r="F7" s="68"/>
      <c r="G7" s="151" t="s">
        <v>143</v>
      </c>
      <c r="H7" s="68"/>
      <c r="I7" s="68"/>
      <c r="J7" s="68"/>
      <c r="K7" s="61"/>
      <c r="L7" s="61"/>
      <c r="M7" s="61"/>
      <c r="N7" s="61"/>
      <c r="O7" s="61"/>
      <c r="P7" s="61"/>
      <c r="Q7" s="61"/>
      <c r="R7" s="61"/>
      <c r="S7" s="61"/>
      <c r="T7" s="61"/>
      <c r="U7" s="61" t="str">
        <f>PrevPerAdj_FO!U7</f>
        <v>2020-21</v>
      </c>
      <c r="V7" s="61" t="str">
        <f>PrevPerAdj_FO!V7</f>
        <v>2021-22</v>
      </c>
      <c r="W7" s="61" t="str">
        <f>PrevPerAdj_FO!W7</f>
        <v>2022-23</v>
      </c>
      <c r="X7" s="61" t="str">
        <f>PrevPerAdj_FO!X7</f>
        <v>2023-24</v>
      </c>
      <c r="Y7" s="61" t="str">
        <f>PrevPerAdj_FO!Y7</f>
        <v>2024-25</v>
      </c>
      <c r="Z7" s="61" t="str">
        <f>PrevPerAdj_FO!Z7</f>
        <v>2025-26</v>
      </c>
      <c r="AA7" s="61" t="str">
        <f>PrevPerAdj_FO!AA7</f>
        <v>2026-27</v>
      </c>
      <c r="AB7" s="61" t="str">
        <f>PrevPerAdj_FO!AB7</f>
        <v>2027-28</v>
      </c>
      <c r="AC7" s="61" t="str">
        <f>PrevPerAdj_FO!AC7</f>
        <v>2028-29</v>
      </c>
      <c r="AD7" s="61" t="str">
        <f>PrevPerAdj_FO!AD7</f>
        <v>2029-30</v>
      </c>
      <c r="AE7" s="61" t="str">
        <f>PrevPerAdj_FO!AE7</f>
        <v>2030-31</v>
      </c>
      <c r="AF7" s="61" t="str">
        <f>PrevPerAdj_FO!AF7</f>
        <v>2031-32</v>
      </c>
      <c r="AG7" s="61" t="str">
        <f>PrevPerAdj_FO!AG7</f>
        <v>2032-33</v>
      </c>
      <c r="AH7" s="61" t="str">
        <f>PrevPerAdj_FO!AH7</f>
        <v>2033-34</v>
      </c>
      <c r="AI7" s="61" t="str">
        <f>PrevPerAdj_FO!AI7</f>
        <v>2034-35</v>
      </c>
      <c r="AJ7" s="61" t="str">
        <f>PrevPerAdj_FO!AJ7</f>
        <v>2035-36</v>
      </c>
      <c r="AK7" s="1372"/>
      <c r="AO7" s="68"/>
      <c r="AP7" s="68"/>
      <c r="AQ7" s="68"/>
      <c r="BH7" s="68"/>
      <c r="BI7" s="68"/>
      <c r="BJ7" s="68"/>
      <c r="CA7" s="68"/>
      <c r="CB7" s="68"/>
      <c r="CC7" s="68"/>
    </row>
    <row r="8" spans="1:81" ht="12.75" thickBot="1">
      <c r="X8" s="70"/>
      <c r="Y8" s="70"/>
      <c r="Z8" s="70"/>
      <c r="AA8" s="70"/>
      <c r="AB8" s="70"/>
      <c r="AQ8" s="603"/>
      <c r="BJ8" s="603"/>
      <c r="CC8" s="603"/>
    </row>
    <row r="9" spans="1:81">
      <c r="D9" s="152"/>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4"/>
      <c r="AQ9" s="603"/>
      <c r="BJ9" s="603"/>
      <c r="CC9" s="603"/>
    </row>
    <row r="10" spans="1:81">
      <c r="D10" s="155"/>
      <c r="E10" s="156" t="s">
        <v>830</v>
      </c>
      <c r="AK10" s="157"/>
      <c r="AQ10" s="603"/>
      <c r="BJ10" s="603"/>
      <c r="CC10" s="603"/>
    </row>
    <row r="11" spans="1:81">
      <c r="D11" s="155"/>
      <c r="Y11" s="149"/>
      <c r="AD11" s="149"/>
      <c r="AK11" s="157"/>
      <c r="AQ11" s="603"/>
      <c r="BJ11" s="603"/>
      <c r="CC11" s="603"/>
    </row>
    <row r="12" spans="1:81">
      <c r="D12" s="155"/>
      <c r="F12" s="506" t="s">
        <v>933</v>
      </c>
      <c r="J12" s="166"/>
      <c r="K12" s="468">
        <f t="shared" ref="K12:R12" si="0">+K57</f>
        <v>0</v>
      </c>
      <c r="L12" s="468">
        <f t="shared" si="0"/>
        <v>0</v>
      </c>
      <c r="M12" s="468">
        <f t="shared" si="0"/>
        <v>0</v>
      </c>
      <c r="N12" s="468">
        <f t="shared" si="0"/>
        <v>0</v>
      </c>
      <c r="O12" s="468">
        <f t="shared" si="0"/>
        <v>0</v>
      </c>
      <c r="P12" s="468">
        <f t="shared" si="0"/>
        <v>0</v>
      </c>
      <c r="Q12" s="468">
        <f t="shared" si="0"/>
        <v>0</v>
      </c>
      <c r="R12" s="468">
        <f t="shared" si="0"/>
        <v>0</v>
      </c>
      <c r="S12" s="468">
        <f t="shared" ref="S12:AB12" si="1">+S57</f>
        <v>0</v>
      </c>
      <c r="T12" s="468">
        <f t="shared" si="1"/>
        <v>0</v>
      </c>
      <c r="U12" s="468">
        <f t="shared" si="1"/>
        <v>29.654612160139013</v>
      </c>
      <c r="V12" s="468">
        <f t="shared" si="1"/>
        <v>27.211110607832062</v>
      </c>
      <c r="W12" s="468">
        <f t="shared" si="1"/>
        <v>30.621573458644065</v>
      </c>
      <c r="X12" s="468">
        <f t="shared" si="1"/>
        <v>30.023109269057379</v>
      </c>
      <c r="Y12" s="468">
        <f t="shared" si="1"/>
        <v>28.275554928357902</v>
      </c>
      <c r="Z12" s="468">
        <f t="shared" si="1"/>
        <v>27.070234949208626</v>
      </c>
      <c r="AA12" s="468">
        <f t="shared" si="1"/>
        <v>28.116424655218093</v>
      </c>
      <c r="AB12" s="468">
        <f t="shared" si="1"/>
        <v>28.824267349354081</v>
      </c>
      <c r="AC12" s="468">
        <f t="shared" ref="AC12:AJ12" si="2">+AC57</f>
        <v>28.953326008395052</v>
      </c>
      <c r="AD12" s="468">
        <f t="shared" si="2"/>
        <v>28.957630122641515</v>
      </c>
      <c r="AE12" s="468">
        <f t="shared" si="2"/>
        <v>28.760521370618875</v>
      </c>
      <c r="AF12" s="468">
        <f t="shared" si="2"/>
        <v>29.073815774414655</v>
      </c>
      <c r="AG12" s="468">
        <f t="shared" si="2"/>
        <v>28.584679353602986</v>
      </c>
      <c r="AH12" s="468">
        <f t="shared" si="2"/>
        <v>27.967213681845841</v>
      </c>
      <c r="AI12" s="468">
        <f t="shared" si="2"/>
        <v>27.37208088934247</v>
      </c>
      <c r="AJ12" s="468">
        <f t="shared" si="2"/>
        <v>26.798467312955481</v>
      </c>
      <c r="AK12" s="1313"/>
      <c r="AQ12" s="603"/>
      <c r="BJ12" s="603"/>
      <c r="CC12" s="603"/>
    </row>
    <row r="13" spans="1:81">
      <c r="D13" s="155"/>
      <c r="F13" s="448" t="s">
        <v>832</v>
      </c>
      <c r="J13" s="166"/>
      <c r="K13" s="468">
        <f t="shared" ref="K13:AJ13" si="3">+SUMIF($E$69:$E$65539,$E$71,K$69:K$65539)</f>
        <v>0</v>
      </c>
      <c r="L13" s="468">
        <f t="shared" si="3"/>
        <v>0</v>
      </c>
      <c r="M13" s="468">
        <f t="shared" si="3"/>
        <v>0</v>
      </c>
      <c r="N13" s="468">
        <f t="shared" si="3"/>
        <v>0</v>
      </c>
      <c r="O13" s="468">
        <f t="shared" si="3"/>
        <v>0</v>
      </c>
      <c r="P13" s="468">
        <f t="shared" si="3"/>
        <v>0</v>
      </c>
      <c r="Q13" s="468">
        <f t="shared" si="3"/>
        <v>0</v>
      </c>
      <c r="R13" s="468">
        <f t="shared" si="3"/>
        <v>0</v>
      </c>
      <c r="S13" s="468">
        <f t="shared" si="3"/>
        <v>0</v>
      </c>
      <c r="T13" s="468">
        <f t="shared" si="3"/>
        <v>0</v>
      </c>
      <c r="U13" s="468">
        <f t="shared" si="3"/>
        <v>1928.3883540002439</v>
      </c>
      <c r="V13" s="468">
        <f t="shared" si="3"/>
        <v>1863.4913725141937</v>
      </c>
      <c r="W13" s="468">
        <f t="shared" si="3"/>
        <v>1850.3182268629637</v>
      </c>
      <c r="X13" s="468">
        <f t="shared" si="3"/>
        <v>1860.9939467005504</v>
      </c>
      <c r="Y13" s="468">
        <f t="shared" si="3"/>
        <v>1884.6482554317231</v>
      </c>
      <c r="Z13" s="468">
        <f t="shared" si="3"/>
        <v>1883.8406593782124</v>
      </c>
      <c r="AA13" s="468">
        <f t="shared" si="3"/>
        <v>1893.2829085360954</v>
      </c>
      <c r="AB13" s="468">
        <f t="shared" si="3"/>
        <v>1966.6590870588511</v>
      </c>
      <c r="AC13" s="468">
        <f t="shared" si="3"/>
        <v>2004.580780571556</v>
      </c>
      <c r="AD13" s="468">
        <f t="shared" si="3"/>
        <v>2042.7304903590159</v>
      </c>
      <c r="AE13" s="468">
        <f t="shared" si="3"/>
        <v>2081.9818345573049</v>
      </c>
      <c r="AF13" s="468">
        <f t="shared" si="3"/>
        <v>2179.7753105821334</v>
      </c>
      <c r="AG13" s="468">
        <f t="shared" si="3"/>
        <v>2210.306734419124</v>
      </c>
      <c r="AH13" s="468">
        <f t="shared" si="3"/>
        <v>2242.6805324728575</v>
      </c>
      <c r="AI13" s="468">
        <f t="shared" si="3"/>
        <v>2281.2905969439562</v>
      </c>
      <c r="AJ13" s="468">
        <f t="shared" si="3"/>
        <v>2316.9475655516576</v>
      </c>
      <c r="AK13" s="1313"/>
      <c r="AQ13" s="603"/>
      <c r="BJ13" s="603"/>
      <c r="CC13" s="603"/>
    </row>
    <row r="14" spans="1:81">
      <c r="D14" s="155"/>
      <c r="F14" s="472" t="s">
        <v>833</v>
      </c>
      <c r="G14" s="89"/>
      <c r="H14" s="89"/>
      <c r="I14" s="89"/>
      <c r="J14" s="166"/>
      <c r="K14" s="517">
        <f t="shared" ref="K14:R14" si="4">+K12+K13</f>
        <v>0</v>
      </c>
      <c r="L14" s="517">
        <f t="shared" si="4"/>
        <v>0</v>
      </c>
      <c r="M14" s="517">
        <f t="shared" si="4"/>
        <v>0</v>
      </c>
      <c r="N14" s="517">
        <f t="shared" si="4"/>
        <v>0</v>
      </c>
      <c r="O14" s="517">
        <f t="shared" si="4"/>
        <v>0</v>
      </c>
      <c r="P14" s="517">
        <f t="shared" si="4"/>
        <v>0</v>
      </c>
      <c r="Q14" s="517">
        <f t="shared" si="4"/>
        <v>0</v>
      </c>
      <c r="R14" s="517">
        <f t="shared" si="4"/>
        <v>0</v>
      </c>
      <c r="S14" s="517">
        <f t="shared" ref="S14:AB14" si="5">+S12+S13</f>
        <v>0</v>
      </c>
      <c r="T14" s="517">
        <f t="shared" si="5"/>
        <v>0</v>
      </c>
      <c r="U14" s="517">
        <f t="shared" si="5"/>
        <v>1958.042966160383</v>
      </c>
      <c r="V14" s="517">
        <f t="shared" si="5"/>
        <v>1890.7024831220258</v>
      </c>
      <c r="W14" s="517">
        <f t="shared" si="5"/>
        <v>1880.9398003216077</v>
      </c>
      <c r="X14" s="517">
        <f t="shared" si="5"/>
        <v>1891.0170559696078</v>
      </c>
      <c r="Y14" s="517">
        <f t="shared" si="5"/>
        <v>1912.923810360081</v>
      </c>
      <c r="Z14" s="517">
        <f t="shared" si="5"/>
        <v>1910.9108943274211</v>
      </c>
      <c r="AA14" s="517">
        <f t="shared" si="5"/>
        <v>1921.3993331913134</v>
      </c>
      <c r="AB14" s="517">
        <f t="shared" si="5"/>
        <v>1995.4833544082053</v>
      </c>
      <c r="AC14" s="517">
        <f t="shared" ref="AC14:AJ14" si="6">+AC12+AC13</f>
        <v>2033.5341065799512</v>
      </c>
      <c r="AD14" s="517">
        <f t="shared" si="6"/>
        <v>2071.6881204816573</v>
      </c>
      <c r="AE14" s="517">
        <f t="shared" si="6"/>
        <v>2110.7423559279237</v>
      </c>
      <c r="AF14" s="517">
        <f t="shared" si="6"/>
        <v>2208.8491263565479</v>
      </c>
      <c r="AG14" s="517">
        <f t="shared" si="6"/>
        <v>2238.891413772727</v>
      </c>
      <c r="AH14" s="517">
        <f t="shared" si="6"/>
        <v>2270.6477461547033</v>
      </c>
      <c r="AI14" s="517">
        <f t="shared" si="6"/>
        <v>2308.6626778332989</v>
      </c>
      <c r="AJ14" s="517">
        <f t="shared" si="6"/>
        <v>2343.746032864613</v>
      </c>
      <c r="AK14" s="1313"/>
      <c r="AQ14" s="603"/>
      <c r="BJ14" s="603"/>
      <c r="CC14" s="603"/>
    </row>
    <row r="15" spans="1:81">
      <c r="D15" s="155"/>
      <c r="F15" s="448" t="s">
        <v>834</v>
      </c>
      <c r="J15" s="166"/>
      <c r="K15" s="468">
        <f t="shared" ref="K15:R15" si="7">+K59</f>
        <v>0</v>
      </c>
      <c r="L15" s="468">
        <f t="shared" si="7"/>
        <v>0</v>
      </c>
      <c r="M15" s="468">
        <f t="shared" si="7"/>
        <v>0</v>
      </c>
      <c r="N15" s="468">
        <f t="shared" si="7"/>
        <v>0</v>
      </c>
      <c r="O15" s="468">
        <f t="shared" si="7"/>
        <v>0</v>
      </c>
      <c r="P15" s="468">
        <f t="shared" si="7"/>
        <v>0</v>
      </c>
      <c r="Q15" s="468">
        <f t="shared" si="7"/>
        <v>0</v>
      </c>
      <c r="R15" s="468">
        <f t="shared" si="7"/>
        <v>0</v>
      </c>
      <c r="S15" s="468">
        <f t="shared" ref="S15:AF15" si="8">+S59</f>
        <v>0</v>
      </c>
      <c r="T15" s="468">
        <f t="shared" si="8"/>
        <v>0</v>
      </c>
      <c r="U15" s="468">
        <f t="shared" si="8"/>
        <v>0</v>
      </c>
      <c r="V15" s="468">
        <f t="shared" si="8"/>
        <v>0</v>
      </c>
      <c r="W15" s="468">
        <f t="shared" si="8"/>
        <v>0</v>
      </c>
      <c r="X15" s="468">
        <f t="shared" si="8"/>
        <v>0</v>
      </c>
      <c r="Y15" s="468">
        <f t="shared" si="8"/>
        <v>0</v>
      </c>
      <c r="Z15" s="468">
        <f t="shared" si="8"/>
        <v>0</v>
      </c>
      <c r="AA15" s="468">
        <f t="shared" si="8"/>
        <v>0</v>
      </c>
      <c r="AB15" s="468">
        <f t="shared" si="8"/>
        <v>0</v>
      </c>
      <c r="AC15" s="468">
        <f t="shared" si="8"/>
        <v>0</v>
      </c>
      <c r="AD15" s="468">
        <f t="shared" si="8"/>
        <v>0</v>
      </c>
      <c r="AE15" s="468">
        <f t="shared" si="8"/>
        <v>0</v>
      </c>
      <c r="AF15" s="468">
        <f t="shared" si="8"/>
        <v>0</v>
      </c>
      <c r="AG15" s="468">
        <f>+AG59</f>
        <v>0</v>
      </c>
      <c r="AH15" s="468">
        <f>+AH59</f>
        <v>0</v>
      </c>
      <c r="AI15" s="468">
        <f>+AI59</f>
        <v>0</v>
      </c>
      <c r="AJ15" s="468">
        <f>+AJ59</f>
        <v>0</v>
      </c>
      <c r="AK15" s="1313"/>
      <c r="AQ15" s="603"/>
      <c r="BJ15" s="603"/>
      <c r="CC15" s="603"/>
    </row>
    <row r="16" spans="1:81">
      <c r="D16" s="155"/>
      <c r="F16" s="448"/>
      <c r="J16" s="166"/>
      <c r="K16" s="468"/>
      <c r="L16" s="468"/>
      <c r="M16" s="468"/>
      <c r="N16" s="468"/>
      <c r="O16" s="468"/>
      <c r="P16" s="468"/>
      <c r="Q16" s="468"/>
      <c r="R16" s="468"/>
      <c r="S16" s="468"/>
      <c r="T16" s="468"/>
      <c r="U16" s="468"/>
      <c r="V16" s="468"/>
      <c r="W16" s="468"/>
      <c r="AB16" s="468"/>
      <c r="AK16" s="157"/>
      <c r="AQ16" s="603"/>
      <c r="BJ16" s="603"/>
      <c r="CC16" s="603"/>
    </row>
    <row r="17" spans="4:81" ht="12.75" thickBot="1">
      <c r="D17" s="155"/>
      <c r="F17" s="472" t="s">
        <v>835</v>
      </c>
      <c r="J17" s="166"/>
      <c r="K17" s="518">
        <f t="shared" ref="K17:R17" si="9">+K14-K15</f>
        <v>0</v>
      </c>
      <c r="L17" s="518">
        <f t="shared" si="9"/>
        <v>0</v>
      </c>
      <c r="M17" s="518">
        <f t="shared" si="9"/>
        <v>0</v>
      </c>
      <c r="N17" s="518">
        <f t="shared" si="9"/>
        <v>0</v>
      </c>
      <c r="O17" s="518">
        <f t="shared" si="9"/>
        <v>0</v>
      </c>
      <c r="P17" s="518">
        <f t="shared" si="9"/>
        <v>0</v>
      </c>
      <c r="Q17" s="518">
        <f t="shared" si="9"/>
        <v>0</v>
      </c>
      <c r="R17" s="518">
        <f t="shared" si="9"/>
        <v>0</v>
      </c>
      <c r="S17" s="518">
        <f t="shared" ref="S17:AF17" si="10">+S14-S15</f>
        <v>0</v>
      </c>
      <c r="T17" s="518">
        <f t="shared" si="10"/>
        <v>0</v>
      </c>
      <c r="U17" s="518">
        <f t="shared" si="10"/>
        <v>1958.042966160383</v>
      </c>
      <c r="V17" s="518">
        <f t="shared" si="10"/>
        <v>1890.7024831220258</v>
      </c>
      <c r="W17" s="518">
        <f t="shared" si="10"/>
        <v>1880.9398003216077</v>
      </c>
      <c r="X17" s="518">
        <f t="shared" si="10"/>
        <v>1891.0170559696078</v>
      </c>
      <c r="Y17" s="518">
        <f t="shared" si="10"/>
        <v>1912.923810360081</v>
      </c>
      <c r="Z17" s="518">
        <f t="shared" si="10"/>
        <v>1910.9108943274211</v>
      </c>
      <c r="AA17" s="518">
        <f t="shared" si="10"/>
        <v>1921.3993331913134</v>
      </c>
      <c r="AB17" s="518">
        <f t="shared" si="10"/>
        <v>1995.4833544082053</v>
      </c>
      <c r="AC17" s="518">
        <f t="shared" si="10"/>
        <v>2033.5341065799512</v>
      </c>
      <c r="AD17" s="518">
        <f t="shared" si="10"/>
        <v>2071.6881204816573</v>
      </c>
      <c r="AE17" s="518">
        <f t="shared" si="10"/>
        <v>2110.7423559279237</v>
      </c>
      <c r="AF17" s="518">
        <f t="shared" si="10"/>
        <v>2208.8491263565479</v>
      </c>
      <c r="AG17" s="518">
        <f>+AG14-AG15</f>
        <v>2238.891413772727</v>
      </c>
      <c r="AH17" s="518">
        <f>+AH14-AH15</f>
        <v>2270.6477461547033</v>
      </c>
      <c r="AI17" s="518">
        <f>+AI14-AI15</f>
        <v>2308.6626778332989</v>
      </c>
      <c r="AJ17" s="518">
        <f>+AJ14-AJ15</f>
        <v>2343.746032864613</v>
      </c>
      <c r="AK17" s="1313"/>
      <c r="AQ17" s="603"/>
      <c r="BJ17" s="603"/>
      <c r="CC17" s="603"/>
    </row>
    <row r="18" spans="4:81">
      <c r="D18" s="155"/>
      <c r="F18" s="519" t="s">
        <v>836</v>
      </c>
      <c r="G18" s="76"/>
      <c r="H18" s="76"/>
      <c r="I18" s="76"/>
      <c r="J18" s="596"/>
      <c r="K18" s="520"/>
      <c r="L18" s="520"/>
      <c r="M18" s="520"/>
      <c r="N18" s="520"/>
      <c r="O18" s="520"/>
      <c r="P18" s="520"/>
      <c r="Q18" s="520"/>
      <c r="R18" s="468">
        <f>+'Rev&amp;RAV_FO'!R23</f>
        <v>0</v>
      </c>
      <c r="S18" s="468">
        <f>+'Rev&amp;RAV_FO'!S23</f>
        <v>0</v>
      </c>
      <c r="T18" s="468">
        <f>+'Rev&amp;RAV_FO'!T23</f>
        <v>0</v>
      </c>
      <c r="U18" s="1866">
        <f>+'Rev&amp;RAV_FO'!U23</f>
        <v>2046.2315172530705</v>
      </c>
      <c r="V18" s="1866">
        <f>+'Rev&amp;RAV_FO'!V23</f>
        <v>1858.5664789427162</v>
      </c>
      <c r="W18" s="1866">
        <f>+'Rev&amp;RAV_FO'!W23</f>
        <v>1893.0493600804243</v>
      </c>
      <c r="X18" s="1866">
        <f>+'Rev&amp;RAV_FO'!X23</f>
        <v>1925.145146714148</v>
      </c>
      <c r="Y18" s="1866">
        <f>+'Rev&amp;RAV_FO'!Y23</f>
        <v>1940.8329096597854</v>
      </c>
      <c r="Z18" s="1866">
        <f>+'Rev&amp;RAV_FO'!Z23</f>
        <v>1958.4335203749017</v>
      </c>
      <c r="AA18" s="468">
        <f ca="1">+'Rev&amp;RAV_FO'!AA23</f>
        <v>1929.643416118794</v>
      </c>
      <c r="AB18" s="468">
        <f ca="1">+'Rev&amp;RAV_FO'!AB23</f>
        <v>1983.0288928167606</v>
      </c>
      <c r="AC18" s="468">
        <f ca="1">+'Rev&amp;RAV_FO'!AC23</f>
        <v>2046.3168200095809</v>
      </c>
      <c r="AD18" s="468">
        <f ca="1">+'Rev&amp;RAV_FO'!AD23</f>
        <v>2066.00886448548</v>
      </c>
      <c r="AE18" s="468">
        <f ca="1">+'Rev&amp;RAV_FO'!AE23</f>
        <v>2107.3949994914656</v>
      </c>
      <c r="AF18" s="468">
        <f ca="1">+'Rev&amp;RAV_FO'!AF23</f>
        <v>2174.3164651308389</v>
      </c>
      <c r="AG18" s="468">
        <f ca="1">+'Rev&amp;RAV_FO'!AG23</f>
        <v>2253.6926450828537</v>
      </c>
      <c r="AH18" s="468">
        <f ca="1">+'Rev&amp;RAV_FO'!AH23</f>
        <v>2275.4042948123283</v>
      </c>
      <c r="AI18" s="468">
        <f ca="1">+'Rev&amp;RAV_FO'!AI23</f>
        <v>2312.3961382469506</v>
      </c>
      <c r="AJ18" s="468">
        <f ca="1">+'Rev&amp;RAV_FO'!AJ23</f>
        <v>2359.6732068373431</v>
      </c>
      <c r="AK18" s="1313"/>
      <c r="AQ18" s="603"/>
      <c r="BJ18" s="603"/>
      <c r="CC18" s="603"/>
    </row>
    <row r="19" spans="4:81">
      <c r="D19" s="155"/>
      <c r="F19" s="448"/>
      <c r="J19" s="166"/>
      <c r="K19" s="597"/>
      <c r="L19" s="597"/>
      <c r="M19" s="597"/>
      <c r="N19" s="468"/>
      <c r="O19" s="468"/>
      <c r="P19" s="468"/>
      <c r="Q19" s="468"/>
      <c r="R19" s="468"/>
      <c r="S19" s="468"/>
      <c r="T19" s="468"/>
      <c r="U19" s="468"/>
      <c r="V19" s="468"/>
      <c r="W19" s="468"/>
      <c r="AB19" s="468"/>
      <c r="AK19" s="157"/>
      <c r="AQ19" s="603"/>
      <c r="BJ19" s="603"/>
      <c r="CC19" s="603"/>
    </row>
    <row r="20" spans="4:81">
      <c r="D20" s="155"/>
      <c r="F20" s="448" t="s">
        <v>837</v>
      </c>
      <c r="J20" s="166"/>
      <c r="K20" s="468">
        <f ca="1">+NotPres_FO!K12</f>
        <v>0</v>
      </c>
      <c r="L20" s="468">
        <f ca="1">+NotPres_FO!L12</f>
        <v>0</v>
      </c>
      <c r="M20" s="468">
        <f ca="1">+NotPres_FO!M12</f>
        <v>0</v>
      </c>
      <c r="N20" s="468">
        <f ca="1">+NotPres_FO!N12</f>
        <v>0</v>
      </c>
      <c r="O20" s="468">
        <f ca="1">+NotPres_FO!O12</f>
        <v>0</v>
      </c>
      <c r="P20" s="468">
        <f ca="1">+NotPres_FO!P12</f>
        <v>0</v>
      </c>
      <c r="Q20" s="468">
        <f ca="1">+NotPres_FO!Q12</f>
        <v>0</v>
      </c>
      <c r="R20" s="468">
        <f ca="1">+NotPres_FO!R12</f>
        <v>0</v>
      </c>
      <c r="S20" s="468">
        <f ca="1">+NotPres_FO!S12</f>
        <v>0</v>
      </c>
      <c r="T20" s="468">
        <f ca="1">+NotPres_FO!T12</f>
        <v>0</v>
      </c>
      <c r="U20" s="468">
        <f ca="1">+NotPres_FO!U12</f>
        <v>0</v>
      </c>
      <c r="V20" s="468">
        <f ca="1">+NotPres_FO!V12</f>
        <v>0</v>
      </c>
      <c r="W20" s="468">
        <f ca="1">+NotPres_FO!W12</f>
        <v>0</v>
      </c>
      <c r="X20" s="468">
        <f ca="1">+NotPres_FO!X12</f>
        <v>0</v>
      </c>
      <c r="Y20" s="468">
        <f ca="1">+NotPres_FO!Y12</f>
        <v>0</v>
      </c>
      <c r="Z20" s="468">
        <f ca="1">+NotPres_FO!Z12</f>
        <v>0</v>
      </c>
      <c r="AA20" s="468">
        <f ca="1">+NotPres_FO!AA12</f>
        <v>2.3657089827483646</v>
      </c>
      <c r="AB20" s="468">
        <f ca="1">+NotPres_FO!AB12</f>
        <v>2.2477324472947293</v>
      </c>
      <c r="AC20" s="468">
        <f ca="1">+NotPres_FO!AC12</f>
        <v>2.3655766499714597</v>
      </c>
      <c r="AD20" s="468">
        <f ca="1">+NotPres_FO!AD12</f>
        <v>2.7192139538564719</v>
      </c>
      <c r="AE20" s="468">
        <f ca="1">+NotPres_FO!AE12</f>
        <v>2.7191246845734236</v>
      </c>
      <c r="AF20" s="468">
        <f ca="1">+NotPres_FO!AF12</f>
        <v>2.3325306889931023</v>
      </c>
      <c r="AG20" s="468">
        <f ca="1">+NotPres_FO!AG12</f>
        <v>2.0638698456308719</v>
      </c>
      <c r="AH20" s="468">
        <f ca="1">+NotPres_FO!AH12</f>
        <v>2.0638698456308719</v>
      </c>
      <c r="AI20" s="468">
        <f ca="1">+NotPres_FO!AI12</f>
        <v>2.0638698456308719</v>
      </c>
      <c r="AJ20" s="468">
        <f ca="1">+NotPres_FO!AJ12</f>
        <v>2.0638698456308719</v>
      </c>
      <c r="AK20" s="1313"/>
      <c r="AQ20" s="603"/>
      <c r="BJ20" s="603"/>
      <c r="CC20" s="603"/>
    </row>
    <row r="21" spans="4:81">
      <c r="D21" s="155"/>
      <c r="F21" s="448"/>
      <c r="J21" s="166"/>
      <c r="K21" s="468"/>
      <c r="L21" s="468"/>
      <c r="M21" s="468"/>
      <c r="N21" s="468"/>
      <c r="O21" s="468"/>
      <c r="P21" s="468"/>
      <c r="Q21" s="468"/>
      <c r="R21" s="468"/>
      <c r="S21" s="468"/>
      <c r="T21" s="468"/>
      <c r="U21" s="468"/>
      <c r="V21" s="468"/>
      <c r="W21" s="468"/>
      <c r="AB21" s="468"/>
      <c r="AK21" s="157"/>
      <c r="AQ21" s="603"/>
      <c r="BJ21" s="603"/>
      <c r="CC21" s="603"/>
    </row>
    <row r="22" spans="4:81" ht="12.75" thickBot="1">
      <c r="D22" s="155"/>
      <c r="F22" s="472" t="s">
        <v>838</v>
      </c>
      <c r="G22" s="89"/>
      <c r="H22" s="89"/>
      <c r="I22" s="89"/>
      <c r="J22" s="166"/>
      <c r="K22" s="518">
        <f t="shared" ref="K22:AF22" ca="1" si="11">+K17+K20</f>
        <v>0</v>
      </c>
      <c r="L22" s="518">
        <f t="shared" ca="1" si="11"/>
        <v>0</v>
      </c>
      <c r="M22" s="518">
        <f t="shared" ca="1" si="11"/>
        <v>0</v>
      </c>
      <c r="N22" s="518">
        <f t="shared" ca="1" si="11"/>
        <v>0</v>
      </c>
      <c r="O22" s="518">
        <f t="shared" ca="1" si="11"/>
        <v>0</v>
      </c>
      <c r="P22" s="518">
        <f t="shared" ca="1" si="11"/>
        <v>0</v>
      </c>
      <c r="Q22" s="518">
        <f t="shared" ca="1" si="11"/>
        <v>0</v>
      </c>
      <c r="R22" s="518">
        <f t="shared" ca="1" si="11"/>
        <v>0</v>
      </c>
      <c r="S22" s="518">
        <f t="shared" ca="1" si="11"/>
        <v>0</v>
      </c>
      <c r="T22" s="518">
        <f t="shared" ca="1" si="11"/>
        <v>0</v>
      </c>
      <c r="U22" s="518">
        <f t="shared" ca="1" si="11"/>
        <v>1958.042966160383</v>
      </c>
      <c r="V22" s="518">
        <f t="shared" ca="1" si="11"/>
        <v>1890.7024831220258</v>
      </c>
      <c r="W22" s="518">
        <f t="shared" ca="1" si="11"/>
        <v>1880.9398003216077</v>
      </c>
      <c r="X22" s="518">
        <f t="shared" ca="1" si="11"/>
        <v>1891.0170559696078</v>
      </c>
      <c r="Y22" s="518">
        <f t="shared" ca="1" si="11"/>
        <v>1912.923810360081</v>
      </c>
      <c r="Z22" s="518">
        <f t="shared" ca="1" si="11"/>
        <v>1910.9108943274211</v>
      </c>
      <c r="AA22" s="518">
        <f t="shared" ca="1" si="11"/>
        <v>1923.7650421740618</v>
      </c>
      <c r="AB22" s="518">
        <f t="shared" ca="1" si="11"/>
        <v>1997.7310868555001</v>
      </c>
      <c r="AC22" s="518">
        <f t="shared" ca="1" si="11"/>
        <v>2035.8996832299226</v>
      </c>
      <c r="AD22" s="518">
        <f t="shared" ca="1" si="11"/>
        <v>2074.4073344355138</v>
      </c>
      <c r="AE22" s="518">
        <f t="shared" ca="1" si="11"/>
        <v>2113.4614806124969</v>
      </c>
      <c r="AF22" s="518">
        <f t="shared" ca="1" si="11"/>
        <v>2211.1816570455412</v>
      </c>
      <c r="AG22" s="518">
        <f ca="1">+AG17+AG20</f>
        <v>2240.955283618358</v>
      </c>
      <c r="AH22" s="518">
        <f ca="1">+AH17+AH20</f>
        <v>2272.7116160003343</v>
      </c>
      <c r="AI22" s="518">
        <f ca="1">+AI17+AI20</f>
        <v>2310.7265476789298</v>
      </c>
      <c r="AJ22" s="518">
        <f ca="1">+AJ17+AJ20</f>
        <v>2345.8099027102439</v>
      </c>
      <c r="AK22" s="1313"/>
      <c r="AQ22" s="603"/>
      <c r="BJ22" s="603"/>
      <c r="CC22" s="603"/>
    </row>
    <row r="23" spans="4:81">
      <c r="D23" s="155"/>
      <c r="F23" s="448"/>
      <c r="K23" s="116"/>
      <c r="L23" s="116"/>
      <c r="M23" s="116"/>
      <c r="N23" s="116"/>
      <c r="O23" s="116"/>
      <c r="P23" s="116"/>
      <c r="Q23" s="116"/>
      <c r="R23" s="116"/>
      <c r="S23" s="116"/>
      <c r="T23" s="116"/>
      <c r="U23" s="116"/>
      <c r="V23" s="116"/>
      <c r="W23" s="116"/>
      <c r="AB23" s="116"/>
      <c r="AK23" s="157"/>
      <c r="AQ23" s="603"/>
      <c r="BJ23" s="603"/>
      <c r="CC23" s="603"/>
    </row>
    <row r="24" spans="4:81" ht="12.75" thickBot="1">
      <c r="D24" s="167"/>
      <c r="E24" s="168"/>
      <c r="F24" s="598"/>
      <c r="G24" s="168"/>
      <c r="H24" s="168"/>
      <c r="I24" s="168"/>
      <c r="J24" s="168"/>
      <c r="K24" s="462"/>
      <c r="L24" s="462"/>
      <c r="M24" s="462"/>
      <c r="N24" s="462"/>
      <c r="O24" s="462"/>
      <c r="P24" s="462"/>
      <c r="Q24" s="462"/>
      <c r="R24" s="462"/>
      <c r="S24" s="462"/>
      <c r="T24" s="462"/>
      <c r="U24" s="462"/>
      <c r="V24" s="462"/>
      <c r="W24" s="462"/>
      <c r="X24" s="168"/>
      <c r="Y24" s="168"/>
      <c r="Z24" s="168"/>
      <c r="AA24" s="168"/>
      <c r="AB24" s="462"/>
      <c r="AC24" s="168"/>
      <c r="AD24" s="168"/>
      <c r="AE24" s="168"/>
      <c r="AF24" s="168"/>
      <c r="AG24" s="168"/>
      <c r="AH24" s="168"/>
      <c r="AI24" s="168"/>
      <c r="AJ24" s="168"/>
      <c r="AK24" s="170"/>
      <c r="AQ24" s="603"/>
      <c r="BJ24" s="603"/>
      <c r="CC24" s="603"/>
    </row>
    <row r="25" spans="4:81">
      <c r="D25" s="67"/>
      <c r="AQ25" s="603"/>
      <c r="BJ25" s="603"/>
      <c r="CC25" s="603"/>
    </row>
    <row r="26" spans="4:81" ht="12.75" thickBot="1">
      <c r="K26" s="116"/>
      <c r="AQ26" s="603"/>
      <c r="BJ26" s="603"/>
      <c r="CC26" s="603"/>
    </row>
    <row r="27" spans="4:81">
      <c r="K27" s="116"/>
      <c r="P27" s="67"/>
      <c r="Q27" s="67"/>
      <c r="R27" s="67"/>
      <c r="S27" s="67"/>
      <c r="T27" s="67"/>
      <c r="U27" s="67"/>
      <c r="V27" s="67"/>
      <c r="W27" s="67"/>
      <c r="AA27" s="264"/>
      <c r="AB27" s="220"/>
      <c r="AC27" s="220"/>
      <c r="AD27" s="220"/>
      <c r="AE27" s="265"/>
      <c r="AF27" s="264"/>
      <c r="AG27" s="220"/>
      <c r="AH27" s="220"/>
      <c r="AI27" s="220"/>
      <c r="AJ27" s="265"/>
      <c r="AQ27" s="603"/>
      <c r="BJ27" s="603"/>
      <c r="CC27" s="603"/>
    </row>
    <row r="28" spans="4:81">
      <c r="G28" s="599"/>
      <c r="K28" s="600"/>
      <c r="O28" s="600"/>
      <c r="P28" s="67"/>
      <c r="Q28" s="67"/>
      <c r="R28" s="67"/>
      <c r="S28" s="67"/>
      <c r="T28" s="67"/>
      <c r="U28" s="67"/>
      <c r="V28" s="67"/>
      <c r="W28" s="67"/>
      <c r="AA28" s="525" t="str">
        <f>RevenuePriceCap_FO!AA28</f>
        <v>Price control - SIXTH REG PERIOD</v>
      </c>
      <c r="AE28" s="157"/>
      <c r="AF28" s="525" t="str">
        <f>RevenuePriceCap_FO!AF28</f>
        <v>Price control - SEVENTH REG PERIOD</v>
      </c>
      <c r="AJ28" s="157"/>
      <c r="AQ28" s="603"/>
      <c r="BJ28" s="603"/>
      <c r="CC28" s="603"/>
    </row>
    <row r="29" spans="4:81">
      <c r="K29" s="599"/>
      <c r="P29" s="67"/>
      <c r="Q29" s="67"/>
      <c r="R29" s="530"/>
      <c r="S29" s="2116"/>
      <c r="T29" s="2116"/>
      <c r="U29" s="2116"/>
      <c r="V29" s="2116"/>
      <c r="W29" s="2116"/>
      <c r="AA29" s="601"/>
      <c r="AB29" s="67"/>
      <c r="AC29" s="67"/>
      <c r="AD29" s="67"/>
      <c r="AE29" s="177"/>
      <c r="AF29" s="601"/>
      <c r="AG29" s="67"/>
      <c r="AH29" s="67"/>
      <c r="AI29" s="67"/>
      <c r="AJ29" s="177"/>
      <c r="AQ29" s="603"/>
      <c r="BJ29" s="603"/>
      <c r="CC29" s="603"/>
    </row>
    <row r="30" spans="4:81">
      <c r="H30" s="602"/>
      <c r="I30" s="603"/>
      <c r="P30" s="604"/>
      <c r="Q30" s="67"/>
      <c r="R30" s="111"/>
      <c r="S30" s="111"/>
      <c r="T30" s="111"/>
      <c r="U30" s="111"/>
      <c r="V30" s="111"/>
      <c r="W30" s="111"/>
      <c r="AA30" s="601"/>
      <c r="AB30" s="67"/>
      <c r="AC30" s="605" t="s">
        <v>839</v>
      </c>
      <c r="AD30" s="606">
        <f>+NPV(RRR,AA17:AE17)*(1+RRR)^0.5</f>
        <v>9450.0685189456799</v>
      </c>
      <c r="AE30" s="177"/>
      <c r="AF30" s="601"/>
      <c r="AG30" s="67"/>
      <c r="AH30" s="605" t="s">
        <v>839</v>
      </c>
      <c r="AI30" s="606">
        <f>+NPV(RRR,AF17:AJ17)*(1+RRR)^0.5</f>
        <v>10609.056991548909</v>
      </c>
      <c r="AJ30" s="1367"/>
      <c r="AQ30" s="603"/>
      <c r="BJ30" s="603"/>
      <c r="CC30" s="603"/>
    </row>
    <row r="31" spans="4:81">
      <c r="H31" s="602"/>
      <c r="I31" s="603"/>
      <c r="P31" s="604"/>
      <c r="Q31" s="67"/>
      <c r="R31" s="111"/>
      <c r="S31" s="111"/>
      <c r="T31" s="111"/>
      <c r="U31" s="111"/>
      <c r="V31" s="111"/>
      <c r="W31" s="111"/>
      <c r="AA31" s="601"/>
      <c r="AB31" s="67"/>
      <c r="AC31" s="605" t="s">
        <v>840</v>
      </c>
      <c r="AD31" s="606">
        <f ca="1">+NPV(RRR,AA18:AE18)*(1+RRR)^0.5</f>
        <v>9450.0697164412559</v>
      </c>
      <c r="AE31" s="177"/>
      <c r="AF31" s="601"/>
      <c r="AG31" s="67"/>
      <c r="AH31" s="605" t="s">
        <v>840</v>
      </c>
      <c r="AI31" s="606">
        <f ca="1">+NPV(RRR,AF18:AJ18)*(1+RRR)^0.5</f>
        <v>10611.08442661924</v>
      </c>
      <c r="AJ31" s="1367"/>
      <c r="AQ31" s="603"/>
      <c r="BJ31" s="603"/>
      <c r="CC31" s="603"/>
    </row>
    <row r="32" spans="4:81">
      <c r="H32" s="94"/>
      <c r="I32" s="468"/>
      <c r="P32" s="604"/>
      <c r="Q32" s="67"/>
      <c r="R32" s="111"/>
      <c r="S32" s="111"/>
      <c r="T32" s="111"/>
      <c r="U32" s="111"/>
      <c r="V32" s="111"/>
      <c r="W32" s="111"/>
      <c r="AA32" s="601"/>
      <c r="AB32" s="67"/>
      <c r="AC32" s="533" t="s">
        <v>841</v>
      </c>
      <c r="AD32" s="270">
        <f ca="1">+AD30-AD31</f>
        <v>-1.1974955759797012E-3</v>
      </c>
      <c r="AE32" s="177"/>
      <c r="AF32" s="601"/>
      <c r="AG32" s="67"/>
      <c r="AH32" s="533" t="s">
        <v>841</v>
      </c>
      <c r="AI32" s="270">
        <f ca="1">+AI30-AI31</f>
        <v>-2.0274350703311939</v>
      </c>
      <c r="AJ32" s="1368"/>
      <c r="AQ32" s="468"/>
      <c r="BJ32" s="468"/>
      <c r="CC32" s="468"/>
    </row>
    <row r="33" spans="3:81">
      <c r="P33" s="604"/>
      <c r="Q33" s="67"/>
      <c r="R33" s="111"/>
      <c r="S33" s="111"/>
      <c r="T33" s="111"/>
      <c r="U33" s="111"/>
      <c r="V33" s="111"/>
      <c r="W33" s="111"/>
      <c r="AA33" s="601"/>
      <c r="AB33" s="67"/>
      <c r="AC33" s="67"/>
      <c r="AD33" s="67"/>
      <c r="AE33" s="177"/>
      <c r="AF33" s="601"/>
      <c r="AG33" s="67"/>
      <c r="AH33" s="67"/>
      <c r="AI33" s="67"/>
      <c r="AJ33" s="177"/>
    </row>
    <row r="34" spans="3:81">
      <c r="H34" s="2117"/>
      <c r="I34" s="2117"/>
      <c r="L34" s="607"/>
      <c r="N34" s="608"/>
      <c r="P34" s="609"/>
      <c r="Q34" s="93"/>
      <c r="R34" s="98"/>
      <c r="S34" s="111"/>
      <c r="T34" s="111"/>
      <c r="U34" s="111"/>
      <c r="V34" s="111"/>
      <c r="W34" s="111"/>
      <c r="AA34" s="601"/>
      <c r="AB34" s="2118" t="str">
        <f ca="1">IF(AD30+AD31=0,"",IF(AD30&lt;(AD31*0.9975),"INSUFFICIENT",IF(AD30&gt;(AD31*1.005),"BREACH","PRICE CONTROL OK")))</f>
        <v>PRICE CONTROL OK</v>
      </c>
      <c r="AC34" s="2119"/>
      <c r="AD34" s="2120"/>
      <c r="AE34" s="177"/>
      <c r="AF34" s="601"/>
      <c r="AG34" s="2118" t="str">
        <f ca="1">IF(AI30+AI31=0,"",IF(AI30&lt;(AI31*0.9975),"INSUFFICIENT",IF(AI30&gt;(AI31*1.005),"BREACH","PRICE CONTROL OK")))</f>
        <v>PRICE CONTROL OK</v>
      </c>
      <c r="AH34" s="2119"/>
      <c r="AI34" s="2120"/>
      <c r="AJ34" s="1369"/>
      <c r="AQ34" s="911"/>
      <c r="BJ34" s="911"/>
      <c r="CC34" s="911"/>
    </row>
    <row r="35" spans="3:81">
      <c r="J35" s="196"/>
      <c r="P35" s="604"/>
      <c r="Q35" s="67"/>
      <c r="R35" s="111"/>
      <c r="S35" s="111"/>
      <c r="T35" s="111"/>
      <c r="U35" s="111"/>
      <c r="V35" s="111"/>
      <c r="W35" s="111"/>
      <c r="AA35" s="601"/>
      <c r="AB35" s="67"/>
      <c r="AC35" s="67"/>
      <c r="AD35" s="67"/>
      <c r="AE35" s="177"/>
      <c r="AF35" s="601"/>
      <c r="AG35" s="67"/>
      <c r="AH35" s="67"/>
      <c r="AI35" s="67"/>
      <c r="AJ35" s="177"/>
    </row>
    <row r="36" spans="3:81" ht="12.75" thickBot="1">
      <c r="H36" s="610"/>
      <c r="I36" s="531"/>
      <c r="J36" s="196"/>
      <c r="P36" s="78"/>
      <c r="Q36" s="67"/>
      <c r="R36" s="67"/>
      <c r="S36" s="67"/>
      <c r="T36" s="67"/>
      <c r="U36" s="67"/>
      <c r="V36" s="67"/>
      <c r="W36" s="67"/>
      <c r="AA36" s="167"/>
      <c r="AB36" s="168"/>
      <c r="AC36" s="168"/>
      <c r="AD36" s="168"/>
      <c r="AE36" s="170"/>
      <c r="AF36" s="1370"/>
      <c r="AG36" s="181"/>
      <c r="AH36" s="612"/>
      <c r="AI36" s="612"/>
      <c r="AJ36" s="1371"/>
      <c r="AQ36" s="531"/>
      <c r="BJ36" s="531"/>
      <c r="CC36" s="531"/>
    </row>
    <row r="37" spans="3:81">
      <c r="J37" s="196"/>
      <c r="P37" s="609"/>
      <c r="Q37" s="67"/>
      <c r="R37" s="98"/>
      <c r="S37" s="111"/>
      <c r="T37" s="111"/>
      <c r="U37" s="111"/>
      <c r="V37" s="111"/>
      <c r="W37" s="111"/>
    </row>
    <row r="38" spans="3:81">
      <c r="J38" s="196"/>
      <c r="K38" s="116"/>
      <c r="L38" s="116"/>
      <c r="M38" s="116"/>
      <c r="N38" s="116"/>
      <c r="O38" s="116"/>
      <c r="P38" s="116"/>
      <c r="Q38" s="116"/>
      <c r="R38" s="116"/>
      <c r="S38" s="116"/>
      <c r="T38" s="116"/>
      <c r="U38" s="116"/>
      <c r="V38" s="116"/>
      <c r="W38" s="116"/>
      <c r="Y38" s="67"/>
      <c r="Z38" s="613"/>
      <c r="AA38" s="613"/>
      <c r="AB38" s="67"/>
    </row>
    <row r="39" spans="3:81">
      <c r="D39" s="471"/>
      <c r="J39" s="196"/>
      <c r="K39" s="116"/>
      <c r="L39" s="116"/>
      <c r="M39" s="116"/>
      <c r="N39" s="116"/>
      <c r="O39" s="116"/>
      <c r="P39" s="116"/>
      <c r="Q39" s="116"/>
      <c r="R39" s="116"/>
      <c r="S39" s="116"/>
      <c r="T39" s="116"/>
      <c r="U39" s="116"/>
      <c r="V39" s="116"/>
      <c r="W39" s="614" t="s">
        <v>934</v>
      </c>
      <c r="X39" s="581">
        <f>+SUMIFS(X$69:X$444,$E$69:$E$444,$E$71,$I$69:$I$444,"*Revenue cap*")</f>
        <v>0</v>
      </c>
      <c r="Y39" s="580">
        <f t="shared" ref="Y39:AJ39" si="12">+SUMIFS(Y$69:Y$444,$E$69:$E$444,$E$71,$I$69:$I$444,"*Revenue cap*")</f>
        <v>0</v>
      </c>
      <c r="Z39" s="580">
        <f t="shared" si="12"/>
        <v>0</v>
      </c>
      <c r="AA39" s="580">
        <f t="shared" si="12"/>
        <v>0</v>
      </c>
      <c r="AB39" s="615">
        <f t="shared" si="12"/>
        <v>0</v>
      </c>
      <c r="AC39" s="581">
        <f>+SUMIFS(AC$69:AC$444,$E$69:$E$444,$E$71,$I$69:$I$444,"*Revenue cap*")</f>
        <v>0</v>
      </c>
      <c r="AD39" s="580">
        <f t="shared" si="12"/>
        <v>0</v>
      </c>
      <c r="AE39" s="580">
        <f t="shared" si="12"/>
        <v>0</v>
      </c>
      <c r="AF39" s="580">
        <f t="shared" si="12"/>
        <v>0</v>
      </c>
      <c r="AG39" s="580">
        <f t="shared" si="12"/>
        <v>0</v>
      </c>
      <c r="AH39" s="580">
        <f t="shared" si="12"/>
        <v>0</v>
      </c>
      <c r="AI39" s="580">
        <f t="shared" si="12"/>
        <v>0</v>
      </c>
      <c r="AJ39" s="615">
        <f t="shared" si="12"/>
        <v>0</v>
      </c>
    </row>
    <row r="40" spans="3:81">
      <c r="C40" s="537" t="s">
        <v>844</v>
      </c>
      <c r="W40" s="616" t="s">
        <v>935</v>
      </c>
      <c r="X40" s="576">
        <f>+SUMIFS(X$69:X$444,$E$69:$E$444,$E$71,$I$69:$I$444,"*Price cap*")</f>
        <v>1860.9939467005504</v>
      </c>
      <c r="Y40" s="575">
        <f t="shared" ref="Y40:AJ40" si="13">+SUMIFS(Y$69:Y$444,$E$69:$E$444,$E$71,$I$69:$I$444,"*Price cap*")</f>
        <v>1884.6482554317231</v>
      </c>
      <c r="Z40" s="575">
        <f t="shared" si="13"/>
        <v>1883.8406593782124</v>
      </c>
      <c r="AA40" s="575">
        <f t="shared" si="13"/>
        <v>1893.2829085360954</v>
      </c>
      <c r="AB40" s="577">
        <f t="shared" si="13"/>
        <v>1966.6590870588511</v>
      </c>
      <c r="AC40" s="576">
        <f>+SUMIFS(AC$69:AC$444,$E$69:$E$444,$E$71,$I$69:$I$444,"*Price cap*")</f>
        <v>2004.580780571556</v>
      </c>
      <c r="AD40" s="575">
        <f t="shared" si="13"/>
        <v>2042.7304903590159</v>
      </c>
      <c r="AE40" s="575">
        <f t="shared" si="13"/>
        <v>2081.9818345573049</v>
      </c>
      <c r="AF40" s="575">
        <f t="shared" si="13"/>
        <v>2179.7753105821334</v>
      </c>
      <c r="AG40" s="575">
        <f t="shared" si="13"/>
        <v>2210.306734419124</v>
      </c>
      <c r="AH40" s="575">
        <f t="shared" si="13"/>
        <v>2242.6805324728575</v>
      </c>
      <c r="AI40" s="575">
        <f t="shared" si="13"/>
        <v>2281.2905969439562</v>
      </c>
      <c r="AJ40" s="577">
        <f t="shared" si="13"/>
        <v>2316.9475655516576</v>
      </c>
    </row>
    <row r="41" spans="3:81">
      <c r="W41" s="483" t="s">
        <v>936</v>
      </c>
      <c r="X41" s="464">
        <f t="shared" ref="X41:AC41" si="14">+X39+X40</f>
        <v>1860.9939467005504</v>
      </c>
      <c r="Y41" s="464">
        <f t="shared" si="14"/>
        <v>1884.6482554317231</v>
      </c>
      <c r="Z41" s="464">
        <f t="shared" si="14"/>
        <v>1883.8406593782124</v>
      </c>
      <c r="AA41" s="464">
        <f t="shared" si="14"/>
        <v>1893.2829085360954</v>
      </c>
      <c r="AB41" s="464">
        <f t="shared" si="14"/>
        <v>1966.6590870588511</v>
      </c>
      <c r="AC41" s="464">
        <f t="shared" si="14"/>
        <v>2004.580780571556</v>
      </c>
      <c r="AD41" s="464">
        <f t="shared" ref="AD41:AJ41" si="15">+AD39+AD40</f>
        <v>2042.7304903590159</v>
      </c>
      <c r="AE41" s="464">
        <f t="shared" si="15"/>
        <v>2081.9818345573049</v>
      </c>
      <c r="AF41" s="464">
        <f t="shared" si="15"/>
        <v>2179.7753105821334</v>
      </c>
      <c r="AG41" s="464">
        <f t="shared" si="15"/>
        <v>2210.306734419124</v>
      </c>
      <c r="AH41" s="464">
        <f t="shared" si="15"/>
        <v>2242.6805324728575</v>
      </c>
      <c r="AI41" s="464">
        <f t="shared" si="15"/>
        <v>2281.2905969439562</v>
      </c>
      <c r="AJ41" s="464">
        <f t="shared" si="15"/>
        <v>2316.9475655516576</v>
      </c>
    </row>
    <row r="42" spans="3:81">
      <c r="E42" s="539" t="s">
        <v>933</v>
      </c>
      <c r="H42" s="63" t="str">
        <f>Expenditure_Detail!$B$6</f>
        <v>$m, 01/01/26</v>
      </c>
      <c r="W42" s="617" t="s">
        <v>231</v>
      </c>
      <c r="X42" s="468">
        <f t="shared" ref="X42:AC42" si="16">+X41-X13</f>
        <v>0</v>
      </c>
      <c r="Y42" s="468">
        <f t="shared" si="16"/>
        <v>0</v>
      </c>
      <c r="Z42" s="468">
        <f t="shared" si="16"/>
        <v>0</v>
      </c>
      <c r="AA42" s="468">
        <f t="shared" si="16"/>
        <v>0</v>
      </c>
      <c r="AB42" s="468">
        <f t="shared" si="16"/>
        <v>0</v>
      </c>
      <c r="AC42" s="468">
        <f t="shared" si="16"/>
        <v>0</v>
      </c>
      <c r="AD42" s="468">
        <f t="shared" ref="AD42:AJ42" si="17">+AD41-AD13</f>
        <v>0</v>
      </c>
      <c r="AE42" s="468">
        <f t="shared" si="17"/>
        <v>0</v>
      </c>
      <c r="AF42" s="468">
        <f t="shared" si="17"/>
        <v>0</v>
      </c>
      <c r="AG42" s="468">
        <f t="shared" si="17"/>
        <v>0</v>
      </c>
      <c r="AH42" s="468">
        <f t="shared" si="17"/>
        <v>0</v>
      </c>
      <c r="AI42" s="468">
        <f t="shared" si="17"/>
        <v>0</v>
      </c>
      <c r="AJ42" s="468">
        <f t="shared" si="17"/>
        <v>0</v>
      </c>
      <c r="AO42" s="539"/>
      <c r="BH42" s="539"/>
      <c r="CA42" s="539"/>
    </row>
    <row r="44" spans="3:81">
      <c r="F44" s="540" t="s">
        <v>845</v>
      </c>
      <c r="AP44" s="540"/>
      <c r="BI44" s="540"/>
      <c r="CB44" s="540"/>
    </row>
    <row r="45" spans="3:81">
      <c r="F45" s="301" t="s">
        <v>846</v>
      </c>
      <c r="K45" s="302"/>
      <c r="L45" s="303"/>
      <c r="M45" s="303"/>
      <c r="N45" s="1314"/>
      <c r="O45" s="627"/>
      <c r="P45" s="627"/>
      <c r="Q45" s="627"/>
      <c r="R45" s="1317"/>
      <c r="S45" s="324"/>
      <c r="T45" s="325"/>
      <c r="U45" s="449"/>
      <c r="V45" s="324"/>
      <c r="W45" s="325"/>
      <c r="X45" s="325"/>
      <c r="Y45" s="325"/>
      <c r="Z45" s="326"/>
      <c r="AA45" s="324"/>
      <c r="AB45" s="325"/>
      <c r="AC45" s="325"/>
      <c r="AD45" s="325"/>
      <c r="AE45" s="326"/>
      <c r="AF45" s="324"/>
      <c r="AG45" s="325"/>
      <c r="AH45" s="325"/>
      <c r="AI45" s="325"/>
      <c r="AJ45" s="326"/>
      <c r="AP45" s="301"/>
      <c r="BI45" s="301"/>
      <c r="CB45" s="301"/>
    </row>
    <row r="46" spans="3:81">
      <c r="F46" s="301" t="s">
        <v>848</v>
      </c>
      <c r="K46" s="304"/>
      <c r="L46" s="270"/>
      <c r="M46" s="270"/>
      <c r="N46" s="1315"/>
      <c r="O46" s="296"/>
      <c r="P46" s="296"/>
      <c r="Q46" s="296"/>
      <c r="R46" s="1318"/>
      <c r="S46" s="327"/>
      <c r="T46" s="328"/>
      <c r="U46" s="450"/>
      <c r="V46" s="327"/>
      <c r="W46" s="328"/>
      <c r="X46" s="328"/>
      <c r="Y46" s="328"/>
      <c r="Z46" s="329"/>
      <c r="AA46" s="327"/>
      <c r="AB46" s="328"/>
      <c r="AC46" s="328"/>
      <c r="AD46" s="328"/>
      <c r="AE46" s="329"/>
      <c r="AF46" s="327"/>
      <c r="AG46" s="328"/>
      <c r="AH46" s="328"/>
      <c r="AI46" s="328"/>
      <c r="AJ46" s="329"/>
      <c r="AP46" s="301"/>
      <c r="BI46" s="301"/>
      <c r="CB46" s="301"/>
    </row>
    <row r="47" spans="3:81">
      <c r="F47" s="301" t="s">
        <v>849</v>
      </c>
      <c r="K47" s="304"/>
      <c r="L47" s="270"/>
      <c r="M47" s="270"/>
      <c r="N47" s="1315"/>
      <c r="O47" s="296"/>
      <c r="P47" s="296"/>
      <c r="Q47" s="296"/>
      <c r="R47" s="1318"/>
      <c r="S47" s="327"/>
      <c r="T47" s="328"/>
      <c r="U47" s="450"/>
      <c r="V47" s="327"/>
      <c r="W47" s="328"/>
      <c r="X47" s="328"/>
      <c r="Y47" s="328"/>
      <c r="Z47" s="329"/>
      <c r="AA47" s="327"/>
      <c r="AB47" s="328"/>
      <c r="AC47" s="328"/>
      <c r="AD47" s="328"/>
      <c r="AE47" s="329"/>
      <c r="AF47" s="327"/>
      <c r="AG47" s="328"/>
      <c r="AH47" s="328"/>
      <c r="AI47" s="328"/>
      <c r="AJ47" s="329"/>
      <c r="CB47" s="301"/>
    </row>
    <row r="48" spans="3:81">
      <c r="F48" s="301" t="s">
        <v>850</v>
      </c>
      <c r="K48" s="305"/>
      <c r="L48" s="306"/>
      <c r="M48" s="306"/>
      <c r="N48" s="1316"/>
      <c r="O48" s="629"/>
      <c r="P48" s="629"/>
      <c r="Q48" s="629"/>
      <c r="R48" s="1319"/>
      <c r="S48" s="330"/>
      <c r="T48" s="331"/>
      <c r="U48" s="451">
        <v>3.7722376637392796</v>
      </c>
      <c r="V48" s="330">
        <v>2.2503085658524169</v>
      </c>
      <c r="W48" s="331">
        <v>3.6771272047457622</v>
      </c>
      <c r="X48" s="331">
        <v>3.1141166334162893</v>
      </c>
      <c r="Y48" s="331">
        <v>2.8518546489082968</v>
      </c>
      <c r="Z48" s="332">
        <v>3.0704459238959139</v>
      </c>
      <c r="AA48" s="330">
        <v>3.289037198883531</v>
      </c>
      <c r="AB48" s="331">
        <v>3.289037198883531</v>
      </c>
      <c r="AC48" s="331">
        <v>3.289037198883531</v>
      </c>
      <c r="AD48" s="331">
        <v>3.2890371988835305</v>
      </c>
      <c r="AE48" s="332">
        <v>3.289037198883531</v>
      </c>
      <c r="AF48" s="330">
        <v>3.2890371988835305</v>
      </c>
      <c r="AG48" s="331">
        <v>3.2890371988835305</v>
      </c>
      <c r="AH48" s="331">
        <v>3.2890371988835305</v>
      </c>
      <c r="AI48" s="331">
        <v>3.289037198883531</v>
      </c>
      <c r="AJ48" s="332">
        <v>3.2890371988835305</v>
      </c>
      <c r="CB48" s="301"/>
    </row>
    <row r="49" spans="5:80">
      <c r="F49" s="540" t="str">
        <f>+CONCATENATE("Total ",F44)</f>
        <v>Total Contract revenue</v>
      </c>
      <c r="K49" s="270">
        <f t="shared" ref="K49:R49" si="18">+SUM(K45:K48)</f>
        <v>0</v>
      </c>
      <c r="L49" s="270">
        <f t="shared" si="18"/>
        <v>0</v>
      </c>
      <c r="M49" s="270">
        <f t="shared" si="18"/>
        <v>0</v>
      </c>
      <c r="N49" s="431">
        <f t="shared" si="18"/>
        <v>0</v>
      </c>
      <c r="O49" s="431">
        <f t="shared" si="18"/>
        <v>0</v>
      </c>
      <c r="P49" s="431">
        <f t="shared" si="18"/>
        <v>0</v>
      </c>
      <c r="Q49" s="431">
        <f t="shared" si="18"/>
        <v>0</v>
      </c>
      <c r="R49" s="303">
        <f t="shared" si="18"/>
        <v>0</v>
      </c>
      <c r="S49" s="431">
        <f t="shared" ref="S49:AF49" si="19">+SUM(S45:S48)</f>
        <v>0</v>
      </c>
      <c r="T49" s="431">
        <f t="shared" si="19"/>
        <v>0</v>
      </c>
      <c r="U49" s="431">
        <f t="shared" si="19"/>
        <v>3.7722376637392796</v>
      </c>
      <c r="V49" s="431">
        <f t="shared" si="19"/>
        <v>2.2503085658524169</v>
      </c>
      <c r="W49" s="431">
        <f t="shared" si="19"/>
        <v>3.6771272047457622</v>
      </c>
      <c r="X49" s="300">
        <f t="shared" si="19"/>
        <v>3.1141166334162893</v>
      </c>
      <c r="Y49" s="300">
        <f t="shared" si="19"/>
        <v>2.8518546489082968</v>
      </c>
      <c r="Z49" s="300">
        <f t="shared" si="19"/>
        <v>3.0704459238959139</v>
      </c>
      <c r="AA49" s="300">
        <f t="shared" si="19"/>
        <v>3.289037198883531</v>
      </c>
      <c r="AB49" s="300">
        <f t="shared" si="19"/>
        <v>3.289037198883531</v>
      </c>
      <c r="AC49" s="300">
        <f t="shared" si="19"/>
        <v>3.289037198883531</v>
      </c>
      <c r="AD49" s="300">
        <f t="shared" si="19"/>
        <v>3.2890371988835305</v>
      </c>
      <c r="AE49" s="300">
        <f t="shared" si="19"/>
        <v>3.289037198883531</v>
      </c>
      <c r="AF49" s="300">
        <f t="shared" si="19"/>
        <v>3.2890371988835305</v>
      </c>
      <c r="AG49" s="300">
        <f>+SUM(AG45:AG48)</f>
        <v>3.2890371988835305</v>
      </c>
      <c r="AH49" s="300">
        <f>+SUM(AH45:AH48)</f>
        <v>3.2890371988835305</v>
      </c>
      <c r="AI49" s="300">
        <f>+SUM(AI45:AI48)</f>
        <v>3.289037198883531</v>
      </c>
      <c r="AJ49" s="300">
        <f>+SUM(AJ45:AJ48)</f>
        <v>3.2890371988835305</v>
      </c>
      <c r="CB49" s="540"/>
    </row>
    <row r="50" spans="5:80">
      <c r="K50" s="111"/>
      <c r="L50" s="111"/>
      <c r="M50" s="111"/>
      <c r="N50" s="111"/>
      <c r="O50" s="111"/>
      <c r="P50" s="111"/>
      <c r="Q50" s="111"/>
      <c r="R50" s="111"/>
      <c r="S50" s="111"/>
      <c r="T50" s="111"/>
      <c r="U50" s="111"/>
      <c r="V50" s="111"/>
      <c r="W50" s="111"/>
      <c r="X50" s="116"/>
      <c r="Y50" s="116"/>
      <c r="Z50" s="116"/>
      <c r="AA50" s="116"/>
      <c r="AB50" s="116"/>
      <c r="AC50" s="116"/>
      <c r="AD50" s="116"/>
      <c r="AE50" s="116"/>
      <c r="AF50" s="116"/>
      <c r="AG50" s="116"/>
      <c r="AH50" s="116"/>
      <c r="AI50" s="116"/>
      <c r="AJ50" s="116"/>
    </row>
    <row r="51" spans="5:80">
      <c r="F51" s="540" t="s">
        <v>851</v>
      </c>
      <c r="K51" s="111"/>
      <c r="L51" s="111"/>
      <c r="M51" s="111"/>
      <c r="N51" s="111"/>
      <c r="O51" s="111"/>
      <c r="P51" s="111"/>
      <c r="Q51" s="111"/>
      <c r="R51" s="111"/>
      <c r="S51" s="111"/>
      <c r="T51" s="111"/>
      <c r="U51" s="111"/>
      <c r="V51" s="111"/>
      <c r="W51" s="111"/>
      <c r="X51" s="116"/>
      <c r="Y51" s="116"/>
      <c r="Z51" s="116"/>
      <c r="AA51" s="116"/>
      <c r="AB51" s="116"/>
      <c r="AC51" s="116"/>
      <c r="AD51" s="116"/>
      <c r="AE51" s="116"/>
      <c r="AF51" s="116"/>
      <c r="AG51" s="116"/>
      <c r="AH51" s="116"/>
      <c r="AI51" s="116"/>
      <c r="AJ51" s="116"/>
      <c r="AP51" s="540"/>
      <c r="CB51" s="540"/>
    </row>
    <row r="52" spans="5:80">
      <c r="F52" s="301" t="s">
        <v>852</v>
      </c>
      <c r="K52" s="302"/>
      <c r="L52" s="303"/>
      <c r="M52" s="303"/>
      <c r="N52" s="1314"/>
      <c r="O52" s="627"/>
      <c r="P52" s="627"/>
      <c r="Q52" s="627"/>
      <c r="R52" s="1317"/>
      <c r="S52" s="324"/>
      <c r="T52" s="325"/>
      <c r="U52" s="449">
        <v>2.2976865801201454</v>
      </c>
      <c r="V52" s="324">
        <v>2.080073750305341</v>
      </c>
      <c r="W52" s="325">
        <v>1.7355918928813556</v>
      </c>
      <c r="X52" s="325">
        <v>2.8197254925791855</v>
      </c>
      <c r="Y52" s="325">
        <v>2.0056461820087335</v>
      </c>
      <c r="Z52" s="326">
        <v>1.7103352656079875</v>
      </c>
      <c r="AA52" s="324">
        <v>1.7513905379602979</v>
      </c>
      <c r="AB52" s="325">
        <v>1.8085129566951375</v>
      </c>
      <c r="AC52" s="325">
        <v>1.8581898362414331</v>
      </c>
      <c r="AD52" s="325">
        <v>1.9128344037423577</v>
      </c>
      <c r="AE52" s="326">
        <v>1.9729434279933749</v>
      </c>
      <c r="AF52" s="324">
        <v>1.9729434279933749</v>
      </c>
      <c r="AG52" s="325">
        <v>1.9729434279933749</v>
      </c>
      <c r="AH52" s="325">
        <v>1.9729434279933749</v>
      </c>
      <c r="AI52" s="325">
        <v>1.9729434279933749</v>
      </c>
      <c r="AJ52" s="326">
        <v>1.9729434279933749</v>
      </c>
      <c r="BH52" s="487"/>
      <c r="BI52" s="487"/>
      <c r="BJ52" s="487"/>
      <c r="CB52" s="301"/>
    </row>
    <row r="53" spans="5:80" ht="12.75" thickBot="1">
      <c r="F53" s="301" t="s">
        <v>853</v>
      </c>
      <c r="K53" s="304"/>
      <c r="L53" s="270"/>
      <c r="M53" s="270"/>
      <c r="N53" s="1315"/>
      <c r="O53" s="296"/>
      <c r="P53" s="296"/>
      <c r="Q53" s="296"/>
      <c r="R53" s="1318"/>
      <c r="S53" s="327"/>
      <c r="T53" s="328"/>
      <c r="U53" s="450"/>
      <c r="V53" s="327"/>
      <c r="W53" s="328"/>
      <c r="X53" s="328"/>
      <c r="Y53" s="328"/>
      <c r="Z53" s="329"/>
      <c r="AA53" s="327"/>
      <c r="AB53" s="328"/>
      <c r="AC53" s="328"/>
      <c r="AD53" s="328"/>
      <c r="AE53" s="329"/>
      <c r="AF53" s="327"/>
      <c r="AG53" s="328"/>
      <c r="AH53" s="328"/>
      <c r="AI53" s="328"/>
      <c r="AJ53" s="329"/>
      <c r="BJ53" s="368"/>
      <c r="CB53" s="301"/>
    </row>
    <row r="54" spans="5:80" ht="12.75" thickBot="1">
      <c r="F54" s="301" t="s">
        <v>854</v>
      </c>
      <c r="K54" s="305"/>
      <c r="L54" s="306"/>
      <c r="M54" s="306"/>
      <c r="N54" s="1316"/>
      <c r="O54" s="629"/>
      <c r="P54" s="629"/>
      <c r="Q54" s="629"/>
      <c r="R54" s="1319"/>
      <c r="S54" s="330"/>
      <c r="T54" s="331"/>
      <c r="U54" s="451">
        <v>23.584687916279588</v>
      </c>
      <c r="V54" s="330">
        <v>22.880728291674302</v>
      </c>
      <c r="W54" s="331">
        <v>25.208854361016947</v>
      </c>
      <c r="X54" s="331">
        <v>24.089267143061903</v>
      </c>
      <c r="Y54" s="331">
        <v>23.418054097440873</v>
      </c>
      <c r="Z54" s="332">
        <v>22.289453759704724</v>
      </c>
      <c r="AA54" s="330">
        <v>23.075996918374265</v>
      </c>
      <c r="AB54" s="331">
        <v>23.726717193775414</v>
      </c>
      <c r="AC54" s="331">
        <v>23.806098973270089</v>
      </c>
      <c r="AD54" s="331">
        <v>23.755758520015625</v>
      </c>
      <c r="AE54" s="332">
        <v>23.49854074374197</v>
      </c>
      <c r="AF54" s="330">
        <v>23.811835147537749</v>
      </c>
      <c r="AG54" s="331">
        <v>23.322698726726081</v>
      </c>
      <c r="AH54" s="331">
        <v>22.705233054968936</v>
      </c>
      <c r="AI54" s="331">
        <v>22.110100262465565</v>
      </c>
      <c r="AJ54" s="332">
        <v>21.536486686078575</v>
      </c>
      <c r="AR54" s="2099" t="s">
        <v>855</v>
      </c>
      <c r="AS54" s="2100"/>
      <c r="AT54" s="2100"/>
      <c r="AU54" s="2100"/>
      <c r="AV54" s="2100"/>
      <c r="AW54" s="2100"/>
      <c r="AX54" s="2100"/>
      <c r="AY54" s="2100"/>
      <c r="AZ54" s="2100"/>
      <c r="BA54" s="2100"/>
      <c r="BB54" s="2100"/>
      <c r="BC54" s="2100"/>
      <c r="BD54" s="2100"/>
      <c r="BE54" s="2100"/>
      <c r="BF54" s="2101"/>
      <c r="BK54" s="2099" t="s">
        <v>856</v>
      </c>
      <c r="BL54" s="2100"/>
      <c r="BM54" s="2100"/>
      <c r="BN54" s="2100"/>
      <c r="BO54" s="2100"/>
      <c r="BP54" s="2100"/>
      <c r="BQ54" s="2100"/>
      <c r="BR54" s="2100"/>
      <c r="BS54" s="2100"/>
      <c r="BT54" s="2100"/>
      <c r="BU54" s="2100"/>
      <c r="BV54" s="2100"/>
      <c r="BW54" s="2100"/>
      <c r="BX54" s="2100"/>
      <c r="BY54" s="2101"/>
      <c r="CB54" s="301"/>
    </row>
    <row r="55" spans="5:80" ht="12.75" thickBot="1">
      <c r="F55" s="540" t="str">
        <f>+CONCATENATE("Total ",F51)</f>
        <v>Total Other non-scheduled tariff revenue</v>
      </c>
      <c r="K55" s="270">
        <f>+SUM(K52:K54)</f>
        <v>0</v>
      </c>
      <c r="L55" s="270">
        <f t="shared" ref="L55:AF55" si="20">+SUM(L52:L54)</f>
        <v>0</v>
      </c>
      <c r="M55" s="270">
        <f t="shared" si="20"/>
        <v>0</v>
      </c>
      <c r="N55" s="270">
        <f t="shared" si="20"/>
        <v>0</v>
      </c>
      <c r="O55" s="270">
        <f t="shared" si="20"/>
        <v>0</v>
      </c>
      <c r="P55" s="270">
        <f t="shared" si="20"/>
        <v>0</v>
      </c>
      <c r="Q55" s="270">
        <f t="shared" si="20"/>
        <v>0</v>
      </c>
      <c r="R55" s="270">
        <f t="shared" si="20"/>
        <v>0</v>
      </c>
      <c r="S55" s="270">
        <f t="shared" si="20"/>
        <v>0</v>
      </c>
      <c r="T55" s="270">
        <f t="shared" si="20"/>
        <v>0</v>
      </c>
      <c r="U55" s="270">
        <f t="shared" si="20"/>
        <v>25.882374496399734</v>
      </c>
      <c r="V55" s="270">
        <f t="shared" si="20"/>
        <v>24.960802041979644</v>
      </c>
      <c r="W55" s="270">
        <f t="shared" si="20"/>
        <v>26.944446253898303</v>
      </c>
      <c r="X55" s="270">
        <f t="shared" si="20"/>
        <v>26.908992635641088</v>
      </c>
      <c r="Y55" s="270">
        <f t="shared" si="20"/>
        <v>25.423700279449605</v>
      </c>
      <c r="Z55" s="270">
        <f t="shared" si="20"/>
        <v>23.999789025312712</v>
      </c>
      <c r="AA55" s="270">
        <f t="shared" si="20"/>
        <v>24.827387456334563</v>
      </c>
      <c r="AB55" s="270">
        <f t="shared" si="20"/>
        <v>25.53523015047055</v>
      </c>
      <c r="AC55" s="270">
        <f t="shared" si="20"/>
        <v>25.664288809511522</v>
      </c>
      <c r="AD55" s="270">
        <f t="shared" si="20"/>
        <v>25.668592923757984</v>
      </c>
      <c r="AE55" s="270">
        <f t="shared" si="20"/>
        <v>25.471484171735344</v>
      </c>
      <c r="AF55" s="270">
        <f t="shared" si="20"/>
        <v>25.784778575531124</v>
      </c>
      <c r="AG55" s="270">
        <f>+SUM(AG52:AG54)</f>
        <v>25.295642154719456</v>
      </c>
      <c r="AH55" s="270">
        <f>+SUM(AH52:AH54)</f>
        <v>24.678176482962311</v>
      </c>
      <c r="AI55" s="270">
        <f>+SUM(AI52:AI54)</f>
        <v>24.08304369045894</v>
      </c>
      <c r="AJ55" s="270">
        <f>+SUM(AJ52:AJ54)</f>
        <v>23.50943011407195</v>
      </c>
      <c r="AR55" s="2102" t="str">
        <f>$X$4</f>
        <v>FIFTH REG PERIOD</v>
      </c>
      <c r="AS55" s="2103"/>
      <c r="AT55" s="2103"/>
      <c r="AU55" s="2103"/>
      <c r="AV55" s="2104"/>
      <c r="AW55" s="2115" t="str">
        <f>$AC$4</f>
        <v>SIXTH REG PERIOD</v>
      </c>
      <c r="AX55" s="2103"/>
      <c r="AY55" s="2103"/>
      <c r="AZ55" s="2103"/>
      <c r="BA55" s="2104"/>
      <c r="BB55" s="2115" t="str">
        <f>$AH$4</f>
        <v>SEVENTH REG PERIOD</v>
      </c>
      <c r="BC55" s="2103"/>
      <c r="BD55" s="2103"/>
      <c r="BE55" s="2103"/>
      <c r="BF55" s="2108"/>
      <c r="BK55" s="2102" t="str">
        <f>AR55</f>
        <v>FIFTH REG PERIOD</v>
      </c>
      <c r="BL55" s="2103"/>
      <c r="BM55" s="2103"/>
      <c r="BN55" s="2103"/>
      <c r="BO55" s="2104"/>
      <c r="BP55" s="2102" t="str">
        <f>AW55</f>
        <v>SIXTH REG PERIOD</v>
      </c>
      <c r="BQ55" s="2103"/>
      <c r="BR55" s="2103"/>
      <c r="BS55" s="2103"/>
      <c r="BT55" s="2104"/>
      <c r="BU55" s="2102" t="str">
        <f>BB55</f>
        <v>SEVENTH REG PERIOD</v>
      </c>
      <c r="BV55" s="2103"/>
      <c r="BW55" s="2103"/>
      <c r="BX55" s="2103"/>
      <c r="BY55" s="2104"/>
      <c r="CB55" s="540"/>
    </row>
    <row r="56" spans="5:80" ht="12.75" thickBot="1">
      <c r="K56" s="111"/>
      <c r="L56" s="111"/>
      <c r="M56" s="111"/>
      <c r="N56" s="111"/>
      <c r="O56" s="111"/>
      <c r="P56" s="111"/>
      <c r="Q56" s="111"/>
      <c r="R56" s="111"/>
      <c r="S56" s="111"/>
      <c r="T56" s="111"/>
      <c r="U56" s="111"/>
      <c r="V56" s="111"/>
      <c r="W56" s="111"/>
      <c r="X56" s="116"/>
      <c r="Y56" s="116"/>
      <c r="Z56" s="116"/>
      <c r="AA56" s="116"/>
      <c r="AB56" s="116"/>
      <c r="AC56" s="116"/>
      <c r="AD56" s="116"/>
      <c r="AE56" s="116"/>
      <c r="AF56" s="116"/>
      <c r="AG56" s="116"/>
      <c r="AH56" s="116"/>
      <c r="AI56" s="116"/>
      <c r="AJ56" s="116"/>
      <c r="AO56" s="912" t="str">
        <f>AO68</f>
        <v>PQR</v>
      </c>
      <c r="AP56" s="913"/>
      <c r="AQ56" s="913"/>
      <c r="AR56" s="914" t="str">
        <f t="shared" ref="AR56:BF56" si="21">AR68</f>
        <v>2021-22</v>
      </c>
      <c r="AS56" s="915" t="str">
        <f t="shared" si="21"/>
        <v>2022-23</v>
      </c>
      <c r="AT56" s="915" t="str">
        <f t="shared" si="21"/>
        <v>2023-24</v>
      </c>
      <c r="AU56" s="915" t="str">
        <f t="shared" si="21"/>
        <v>2024-25</v>
      </c>
      <c r="AV56" s="916" t="str">
        <f t="shared" si="21"/>
        <v>2025-26</v>
      </c>
      <c r="AW56" s="943" t="str">
        <f t="shared" si="21"/>
        <v>2026-27</v>
      </c>
      <c r="AX56" s="915" t="str">
        <f t="shared" si="21"/>
        <v>2027-28</v>
      </c>
      <c r="AY56" s="915" t="str">
        <f t="shared" si="21"/>
        <v>2028-29</v>
      </c>
      <c r="AZ56" s="915" t="str">
        <f t="shared" si="21"/>
        <v>2029-30</v>
      </c>
      <c r="BA56" s="915" t="str">
        <f t="shared" si="21"/>
        <v>2030-31</v>
      </c>
      <c r="BB56" s="943" t="str">
        <f t="shared" si="21"/>
        <v>2031-32</v>
      </c>
      <c r="BC56" s="915" t="str">
        <f t="shared" si="21"/>
        <v>2032-33</v>
      </c>
      <c r="BD56" s="915" t="str">
        <f t="shared" si="21"/>
        <v>2033-34</v>
      </c>
      <c r="BE56" s="915" t="str">
        <f t="shared" si="21"/>
        <v>2034-35</v>
      </c>
      <c r="BF56" s="917" t="str">
        <f t="shared" si="21"/>
        <v>2035-36</v>
      </c>
      <c r="BH56" s="912" t="str">
        <f>BH68</f>
        <v>PQR</v>
      </c>
      <c r="BI56" s="913"/>
      <c r="BJ56" s="913"/>
      <c r="BK56" s="914" t="str">
        <f t="shared" ref="BK56:BY56" si="22">BK68</f>
        <v>2021-22</v>
      </c>
      <c r="BL56" s="915" t="str">
        <f t="shared" si="22"/>
        <v>2022-23</v>
      </c>
      <c r="BM56" s="915" t="str">
        <f t="shared" si="22"/>
        <v>2023-24</v>
      </c>
      <c r="BN56" s="915" t="str">
        <f t="shared" si="22"/>
        <v>2024-25</v>
      </c>
      <c r="BO56" s="915" t="str">
        <f t="shared" si="22"/>
        <v>2025-26</v>
      </c>
      <c r="BP56" s="943" t="str">
        <f t="shared" si="22"/>
        <v>2026-27</v>
      </c>
      <c r="BQ56" s="915" t="str">
        <f t="shared" si="22"/>
        <v>2027-28</v>
      </c>
      <c r="BR56" s="915" t="str">
        <f t="shared" si="22"/>
        <v>2028-29</v>
      </c>
      <c r="BS56" s="915" t="str">
        <f t="shared" si="22"/>
        <v>2029-30</v>
      </c>
      <c r="BT56" s="916" t="str">
        <f t="shared" si="22"/>
        <v>2030-31</v>
      </c>
      <c r="BU56" s="915" t="str">
        <f t="shared" si="22"/>
        <v>2031-32</v>
      </c>
      <c r="BV56" s="915" t="str">
        <f t="shared" si="22"/>
        <v>2032-33</v>
      </c>
      <c r="BW56" s="915" t="str">
        <f t="shared" si="22"/>
        <v>2033-34</v>
      </c>
      <c r="BX56" s="915" t="str">
        <f t="shared" si="22"/>
        <v>2034-35</v>
      </c>
      <c r="BY56" s="917" t="str">
        <f t="shared" si="22"/>
        <v>2035-36</v>
      </c>
    </row>
    <row r="57" spans="5:80">
      <c r="E57" s="539" t="str">
        <f>+CONCATENATE("Total ",E42)</f>
        <v>Total Non-tariff revenue</v>
      </c>
      <c r="H57" s="63" t="str">
        <f>Expenditure_Detail!$B$6</f>
        <v>$m, 01/01/26</v>
      </c>
      <c r="K57" s="1320">
        <f>+K49+K55</f>
        <v>0</v>
      </c>
      <c r="L57" s="1321">
        <f t="shared" ref="L57:AF57" si="23">+L49+L55</f>
        <v>0</v>
      </c>
      <c r="M57" s="1321">
        <f t="shared" si="23"/>
        <v>0</v>
      </c>
      <c r="N57" s="1320">
        <f t="shared" si="23"/>
        <v>0</v>
      </c>
      <c r="O57" s="1321">
        <f t="shared" si="23"/>
        <v>0</v>
      </c>
      <c r="P57" s="1321">
        <f t="shared" si="23"/>
        <v>0</v>
      </c>
      <c r="Q57" s="1321">
        <f t="shared" si="23"/>
        <v>0</v>
      </c>
      <c r="R57" s="1322">
        <f t="shared" si="23"/>
        <v>0</v>
      </c>
      <c r="S57" s="1323">
        <f t="shared" si="23"/>
        <v>0</v>
      </c>
      <c r="T57" s="1324">
        <f t="shared" si="23"/>
        <v>0</v>
      </c>
      <c r="U57" s="1355">
        <f t="shared" si="23"/>
        <v>29.654612160139013</v>
      </c>
      <c r="V57" s="1323">
        <f t="shared" si="23"/>
        <v>27.211110607832062</v>
      </c>
      <c r="W57" s="1324">
        <f t="shared" si="23"/>
        <v>30.621573458644065</v>
      </c>
      <c r="X57" s="1324">
        <f t="shared" si="23"/>
        <v>30.023109269057379</v>
      </c>
      <c r="Y57" s="1324">
        <f t="shared" si="23"/>
        <v>28.275554928357902</v>
      </c>
      <c r="Z57" s="1322">
        <f t="shared" si="23"/>
        <v>27.070234949208626</v>
      </c>
      <c r="AA57" s="1323">
        <f t="shared" si="23"/>
        <v>28.116424655218093</v>
      </c>
      <c r="AB57" s="1324">
        <f t="shared" si="23"/>
        <v>28.824267349354081</v>
      </c>
      <c r="AC57" s="1324">
        <f t="shared" si="23"/>
        <v>28.953326008395052</v>
      </c>
      <c r="AD57" s="1324">
        <f t="shared" si="23"/>
        <v>28.957630122641515</v>
      </c>
      <c r="AE57" s="1322">
        <f t="shared" si="23"/>
        <v>28.760521370618875</v>
      </c>
      <c r="AF57" s="1323">
        <f t="shared" si="23"/>
        <v>29.073815774414655</v>
      </c>
      <c r="AG57" s="1324">
        <f>+AG49+AG55</f>
        <v>28.584679353602986</v>
      </c>
      <c r="AH57" s="1324">
        <f>+AH49+AH55</f>
        <v>27.967213681845841</v>
      </c>
      <c r="AI57" s="1324">
        <f>+AI49+AI55</f>
        <v>27.37208088934247</v>
      </c>
      <c r="AJ57" s="1322">
        <f>+AJ49+AJ55</f>
        <v>26.798467312955481</v>
      </c>
      <c r="AO57" s="918" t="s">
        <v>857</v>
      </c>
      <c r="AP57" s="919"/>
      <c r="AQ57" s="919"/>
      <c r="AR57" s="920">
        <f t="shared" ref="AR57:BF57" si="24">IFERROR(AVERAGEIF($AO$69:$AO$65549,$AO$69,AR$69:AR$65549),"-")</f>
        <v>0.28216067168160863</v>
      </c>
      <c r="AS57" s="921">
        <f t="shared" si="24"/>
        <v>2.4095552110460052E-3</v>
      </c>
      <c r="AT57" s="921">
        <f t="shared" si="24"/>
        <v>-2.6243593457991325E-2</v>
      </c>
      <c r="AU57" s="921">
        <f t="shared" si="24"/>
        <v>3.41390679966482E-3</v>
      </c>
      <c r="AV57" s="922">
        <f t="shared" si="24"/>
        <v>-4.4931321272079585E-4</v>
      </c>
      <c r="AW57" s="923">
        <f t="shared" si="24"/>
        <v>0.44565279547059522</v>
      </c>
      <c r="AX57" s="921">
        <f t="shared" si="24"/>
        <v>2.4126642296535248E-2</v>
      </c>
      <c r="AY57" s="921">
        <f t="shared" si="24"/>
        <v>2.0145764545472743E-2</v>
      </c>
      <c r="AZ57" s="921">
        <f t="shared" si="24"/>
        <v>2.0145764545472736E-2</v>
      </c>
      <c r="BA57" s="921">
        <f t="shared" si="24"/>
        <v>2.014576454547274E-2</v>
      </c>
      <c r="BB57" s="923">
        <f t="shared" si="24"/>
        <v>9.9536330328547515E-2</v>
      </c>
      <c r="BC57" s="921">
        <f t="shared" si="24"/>
        <v>8.8194795304307409E-3</v>
      </c>
      <c r="BD57" s="921">
        <f t="shared" si="24"/>
        <v>8.8194795304307374E-3</v>
      </c>
      <c r="BE57" s="921">
        <f t="shared" si="24"/>
        <v>-9.5911206484767877E-3</v>
      </c>
      <c r="BF57" s="924">
        <f t="shared" si="24"/>
        <v>9.4686406038082815E-3</v>
      </c>
      <c r="BH57" s="918" t="s">
        <v>857</v>
      </c>
      <c r="BI57" s="919"/>
      <c r="BJ57" s="919"/>
      <c r="BK57" s="920">
        <f t="shared" ref="BK57:BY57" si="25">SUMIF($BH$69:$BH$65549,$BH$69,BK$69:BK$65549)</f>
        <v>-4.4278170663098762E-2</v>
      </c>
      <c r="BL57" s="921">
        <f t="shared" si="25"/>
        <v>-1.2523519584833144E-2</v>
      </c>
      <c r="BM57" s="921">
        <f t="shared" si="25"/>
        <v>-5.8239996328940452E-3</v>
      </c>
      <c r="BN57" s="921">
        <f t="shared" si="25"/>
        <v>3.7229862747204081E-3</v>
      </c>
      <c r="BO57" s="921">
        <f t="shared" si="25"/>
        <v>-3.8235452545950345E-3</v>
      </c>
      <c r="BP57" s="923">
        <f t="shared" si="25"/>
        <v>-0.27947477468885357</v>
      </c>
      <c r="BQ57" s="921">
        <f t="shared" si="25"/>
        <v>3.4144537571210228E-2</v>
      </c>
      <c r="BR57" s="921">
        <f t="shared" si="25"/>
        <v>1.2377093233269715E-2</v>
      </c>
      <c r="BS57" s="921">
        <f t="shared" si="25"/>
        <v>1.2739295704718311E-2</v>
      </c>
      <c r="BT57" s="922">
        <f t="shared" si="25"/>
        <v>1.3132301674095239E-2</v>
      </c>
      <c r="BU57" s="921">
        <f t="shared" si="25"/>
        <v>3.9654180455698379E-2</v>
      </c>
      <c r="BV57" s="921">
        <f t="shared" si="25"/>
        <v>7.8434726925032585E-3</v>
      </c>
      <c r="BW57" s="921">
        <f t="shared" si="25"/>
        <v>8.5302760489204578E-3</v>
      </c>
      <c r="BX57" s="921">
        <f t="shared" si="25"/>
        <v>9.2138219767068028E-3</v>
      </c>
      <c r="BY57" s="924">
        <f t="shared" si="25"/>
        <v>9.9356274147433237E-3</v>
      </c>
    </row>
    <row r="58" spans="5:80">
      <c r="K58" s="111"/>
      <c r="L58" s="111"/>
      <c r="M58" s="111"/>
      <c r="N58" s="111"/>
      <c r="O58" s="111"/>
      <c r="P58" s="111"/>
      <c r="Q58" s="111"/>
      <c r="R58" s="111"/>
      <c r="S58" s="111"/>
      <c r="T58" s="111"/>
      <c r="U58" s="111"/>
      <c r="V58" s="111"/>
      <c r="W58" s="111"/>
      <c r="X58" s="116"/>
      <c r="Y58" s="116"/>
      <c r="Z58" s="116"/>
      <c r="AA58" s="116"/>
      <c r="AB58" s="116"/>
      <c r="AC58" s="116"/>
      <c r="AD58" s="116"/>
      <c r="AE58" s="116"/>
      <c r="AF58" s="116"/>
      <c r="AG58" s="116"/>
      <c r="AH58" s="116"/>
      <c r="AI58" s="116"/>
      <c r="AJ58" s="116"/>
      <c r="AO58" s="925" t="s">
        <v>858</v>
      </c>
      <c r="AP58" s="926"/>
      <c r="AQ58" s="926"/>
      <c r="AR58" s="927">
        <f t="shared" ref="AR58:BF58" si="26">IFERROR(AVERAGEIF($AO$69:$AO$65549,$AO$70,AR$69:AR$65549),"-")</f>
        <v>-4.278133509299154E-3</v>
      </c>
      <c r="AS58" s="928">
        <f t="shared" si="26"/>
        <v>5.7860085821410064E-2</v>
      </c>
      <c r="AT58" s="928">
        <f t="shared" si="26"/>
        <v>3.9156214256040461E-2</v>
      </c>
      <c r="AU58" s="928">
        <f t="shared" si="26"/>
        <v>0.24714753553443913</v>
      </c>
      <c r="AV58" s="929">
        <f t="shared" si="26"/>
        <v>0.13202995719979196</v>
      </c>
      <c r="AW58" s="930">
        <f t="shared" si="26"/>
        <v>-1.1351985219890797E-2</v>
      </c>
      <c r="AX58" s="928">
        <f t="shared" si="26"/>
        <v>-4.9966773387139604E-5</v>
      </c>
      <c r="AY58" s="928">
        <f t="shared" si="26"/>
        <v>1.3220435911099926E-2</v>
      </c>
      <c r="AZ58" s="928">
        <f t="shared" si="26"/>
        <v>8.3109240742841473E-3</v>
      </c>
      <c r="BA58" s="928">
        <f t="shared" si="26"/>
        <v>9.5915118573251072E-3</v>
      </c>
      <c r="BB58" s="930">
        <f t="shared" si="26"/>
        <v>8.6571219781762746E-3</v>
      </c>
      <c r="BC58" s="928">
        <f t="shared" si="26"/>
        <v>9.4181650355710401E-3</v>
      </c>
      <c r="BD58" s="928">
        <f t="shared" si="26"/>
        <v>7.995164333400015E-3</v>
      </c>
      <c r="BE58" s="928">
        <f t="shared" si="26"/>
        <v>1.291811392434605E-2</v>
      </c>
      <c r="BF58" s="931">
        <f t="shared" si="26"/>
        <v>7.6865351627049324E-3</v>
      </c>
      <c r="BH58" s="925" t="s">
        <v>858</v>
      </c>
      <c r="BI58" s="926"/>
      <c r="BJ58" s="926"/>
      <c r="BK58" s="927">
        <f t="shared" ref="BK58:BY58" si="27">SUMIF($BH$69:$BH$65549,$BH$70,BK$69:BK$65549)</f>
        <v>1.1471128008083758E-2</v>
      </c>
      <c r="BL58" s="928">
        <f t="shared" si="27"/>
        <v>5.4633363751487828E-3</v>
      </c>
      <c r="BM58" s="928">
        <f t="shared" si="27"/>
        <v>4.8685647997282729E-3</v>
      </c>
      <c r="BN58" s="928">
        <f t="shared" si="27"/>
        <v>8.1888205777642976E-3</v>
      </c>
      <c r="BO58" s="928">
        <f t="shared" si="27"/>
        <v>3.4016011621569131E-3</v>
      </c>
      <c r="BP58" s="930">
        <f t="shared" si="27"/>
        <v>-8.5822674547764623E-3</v>
      </c>
      <c r="BQ58" s="928">
        <f t="shared" si="27"/>
        <v>4.6112066889146498E-3</v>
      </c>
      <c r="BR58" s="928">
        <f t="shared" si="27"/>
        <v>6.9048794455990551E-3</v>
      </c>
      <c r="BS58" s="928">
        <f t="shared" si="27"/>
        <v>6.2916382256624302E-3</v>
      </c>
      <c r="BT58" s="929">
        <f t="shared" si="27"/>
        <v>6.0824884985352899E-3</v>
      </c>
      <c r="BU58" s="928">
        <f t="shared" si="27"/>
        <v>6.8374905010242801E-3</v>
      </c>
      <c r="BV58" s="928">
        <f t="shared" si="27"/>
        <v>6.1632112481625513E-3</v>
      </c>
      <c r="BW58" s="928">
        <f t="shared" si="27"/>
        <v>6.1164684728263492E-3</v>
      </c>
      <c r="BX58" s="928">
        <f t="shared" si="27"/>
        <v>8.0022121003913184E-3</v>
      </c>
      <c r="BY58" s="931">
        <f t="shared" si="27"/>
        <v>5.6945464243404742E-3</v>
      </c>
    </row>
    <row r="59" spans="5:80" ht="12.75" thickBot="1">
      <c r="E59" s="539" t="s">
        <v>834</v>
      </c>
      <c r="H59" s="63" t="str">
        <f>Expenditure_Detail!$B$6</f>
        <v>$m, 01/01/26</v>
      </c>
      <c r="K59" s="311"/>
      <c r="L59" s="312"/>
      <c r="M59" s="312"/>
      <c r="N59" s="1320"/>
      <c r="O59" s="1321"/>
      <c r="P59" s="1321"/>
      <c r="Q59" s="1321"/>
      <c r="R59" s="1322"/>
      <c r="S59" s="333"/>
      <c r="T59" s="334"/>
      <c r="U59" s="336"/>
      <c r="V59" s="333"/>
      <c r="W59" s="334"/>
      <c r="X59" s="334"/>
      <c r="Y59" s="334"/>
      <c r="Z59" s="335"/>
      <c r="AA59" s="333"/>
      <c r="AB59" s="334"/>
      <c r="AC59" s="334"/>
      <c r="AD59" s="334"/>
      <c r="AE59" s="335"/>
      <c r="AF59" s="333"/>
      <c r="AG59" s="334"/>
      <c r="AH59" s="334"/>
      <c r="AI59" s="334"/>
      <c r="AJ59" s="335"/>
      <c r="AO59" s="167" t="s">
        <v>859</v>
      </c>
      <c r="AP59" s="168"/>
      <c r="AQ59" s="168"/>
      <c r="AR59" s="932">
        <f t="shared" ref="AR59:BF59" si="28">IFERROR(AVERAGEIF($AO$69:$AO$65549,$AO$71,AR$69:AR$65549),"-")</f>
        <v>0.23053816461354365</v>
      </c>
      <c r="AS59" s="933">
        <f t="shared" si="28"/>
        <v>6.0574815898538817E-2</v>
      </c>
      <c r="AT59" s="933">
        <f t="shared" si="28"/>
        <v>3.2110399075295247E-2</v>
      </c>
      <c r="AU59" s="933">
        <f t="shared" si="28"/>
        <v>0.25241566534308529</v>
      </c>
      <c r="AV59" s="934">
        <f t="shared" si="28"/>
        <v>0.13150600038468716</v>
      </c>
      <c r="AW59" s="935">
        <f t="shared" si="28"/>
        <v>0.44486649801246753</v>
      </c>
      <c r="AX59" s="933">
        <f t="shared" si="28"/>
        <v>2.4076629871097124E-2</v>
      </c>
      <c r="AY59" s="933">
        <f t="shared" si="28"/>
        <v>3.5654155267364311E-2</v>
      </c>
      <c r="AZ59" s="933">
        <f t="shared" si="28"/>
        <v>2.9898175872476816E-2</v>
      </c>
      <c r="BA59" s="933">
        <f t="shared" si="28"/>
        <v>3.139955465259385E-2</v>
      </c>
      <c r="BB59" s="935">
        <f t="shared" si="28"/>
        <v>0.11115105281958308</v>
      </c>
      <c r="BC59" s="933">
        <f t="shared" si="28"/>
        <v>1.9861466123858841E-2</v>
      </c>
      <c r="BD59" s="933">
        <f t="shared" si="28"/>
        <v>1.8193120473037686E-2</v>
      </c>
      <c r="BE59" s="933">
        <f t="shared" si="28"/>
        <v>5.5542542973082108E-3</v>
      </c>
      <c r="BF59" s="936">
        <f t="shared" si="28"/>
        <v>1.8638542201421186E-2</v>
      </c>
      <c r="BH59" s="167" t="s">
        <v>859</v>
      </c>
      <c r="BI59" s="168"/>
      <c r="BJ59" s="168"/>
      <c r="BK59" s="932">
        <f t="shared" ref="BK59:BY59" si="29">SUMIF($BH$69:$BH$65549,$BH$71,BK$69:BK$65549)</f>
        <v>-3.3653481339185706E-2</v>
      </c>
      <c r="BL59" s="933">
        <f t="shared" si="29"/>
        <v>-7.06906715294159E-3</v>
      </c>
      <c r="BM59" s="933">
        <f t="shared" si="29"/>
        <v>5.7696669051826169E-3</v>
      </c>
      <c r="BN59" s="933">
        <f t="shared" si="29"/>
        <v>1.1928518973780135E-2</v>
      </c>
      <c r="BO59" s="933">
        <f t="shared" si="29"/>
        <v>-4.2851288094901348E-4</v>
      </c>
      <c r="BP59" s="935">
        <f t="shared" si="29"/>
        <v>-0.27387022683986534</v>
      </c>
      <c r="BQ59" s="933">
        <f t="shared" si="29"/>
        <v>3.8756056050541235E-2</v>
      </c>
      <c r="BR59" s="933">
        <f t="shared" si="29"/>
        <v>1.9282291355039328E-2</v>
      </c>
      <c r="BS59" s="933">
        <f t="shared" si="29"/>
        <v>1.9031265867260741E-2</v>
      </c>
      <c r="BT59" s="934">
        <f t="shared" si="29"/>
        <v>1.9215136007193698E-2</v>
      </c>
      <c r="BU59" s="933">
        <f t="shared" si="29"/>
        <v>4.6971339711820284E-2</v>
      </c>
      <c r="BV59" s="933">
        <f t="shared" si="29"/>
        <v>1.400668394066582E-2</v>
      </c>
      <c r="BW59" s="933">
        <f t="shared" si="29"/>
        <v>1.464674452174688E-2</v>
      </c>
      <c r="BX59" s="933">
        <f t="shared" si="29"/>
        <v>1.7216034077098045E-2</v>
      </c>
      <c r="BY59" s="936">
        <f t="shared" si="29"/>
        <v>1.5630173839083817E-2</v>
      </c>
    </row>
    <row r="60" spans="5:80">
      <c r="AO60" s="918" t="s">
        <v>860</v>
      </c>
      <c r="AP60" s="919"/>
      <c r="AQ60" s="919"/>
      <c r="AR60" s="920"/>
      <c r="AS60" s="921"/>
      <c r="AT60" s="921"/>
      <c r="AU60" s="921"/>
      <c r="AV60" s="922">
        <f>IFERROR(AVERAGE(AR57:AV57),"-")</f>
        <v>5.2258245404321467E-2</v>
      </c>
      <c r="AW60" s="923"/>
      <c r="AX60" s="921"/>
      <c r="AY60" s="921"/>
      <c r="AZ60" s="921"/>
      <c r="BA60" s="921">
        <f>IFERROR(AVERAGE(AW57:BA57),"-")</f>
        <v>0.10604334628070974</v>
      </c>
      <c r="BB60" s="923"/>
      <c r="BC60" s="921"/>
      <c r="BD60" s="921"/>
      <c r="BE60" s="921"/>
      <c r="BF60" s="924">
        <f>IFERROR(AVERAGE(BB57:BF57),"-")</f>
        <v>2.3410561868948097E-2</v>
      </c>
      <c r="BH60" s="918" t="s">
        <v>861</v>
      </c>
      <c r="BI60" s="919"/>
      <c r="BJ60" s="919"/>
      <c r="BK60" s="920"/>
      <c r="BL60" s="921"/>
      <c r="BM60" s="921"/>
      <c r="BN60" s="921"/>
      <c r="BO60" s="921">
        <f>IFERROR(AVERAGE(BK57:BO57),"-")</f>
        <v>-1.2545249772140115E-2</v>
      </c>
      <c r="BP60" s="923"/>
      <c r="BQ60" s="921"/>
      <c r="BR60" s="921"/>
      <c r="BS60" s="921"/>
      <c r="BT60" s="922">
        <f>IFERROR(AVERAGE(BP57:BT57),"-")</f>
        <v>-4.1416309301112016E-2</v>
      </c>
      <c r="BU60" s="921"/>
      <c r="BV60" s="921"/>
      <c r="BW60" s="921"/>
      <c r="BX60" s="921"/>
      <c r="BY60" s="924">
        <f>IFERROR(AVERAGE(BU57:BY57),"-")</f>
        <v>1.5035475717714446E-2</v>
      </c>
    </row>
    <row r="61" spans="5:80">
      <c r="E61" s="541" t="s">
        <v>862</v>
      </c>
      <c r="F61" s="196"/>
      <c r="G61" s="196"/>
      <c r="H61" s="63" t="str">
        <f>Expenditure_Detail!$B$6</f>
        <v>$m, 01/01/26</v>
      </c>
      <c r="K61" s="310"/>
      <c r="L61" s="310"/>
      <c r="M61" s="310"/>
      <c r="N61" s="310"/>
      <c r="O61" s="310"/>
      <c r="P61" s="310"/>
      <c r="Q61" s="297"/>
      <c r="R61" s="297"/>
      <c r="S61" s="297"/>
      <c r="T61" s="297"/>
      <c r="X61" s="1857"/>
      <c r="Y61" s="1858"/>
      <c r="Z61" s="1859" t="s">
        <v>863</v>
      </c>
      <c r="AA61" s="333"/>
      <c r="AB61" s="334"/>
      <c r="AC61" s="334"/>
      <c r="AD61" s="334"/>
      <c r="AE61" s="335"/>
      <c r="AF61" s="334"/>
      <c r="AG61" s="334"/>
      <c r="AH61" s="334"/>
      <c r="AI61" s="334"/>
      <c r="AJ61" s="335"/>
      <c r="AO61" s="925" t="s">
        <v>864</v>
      </c>
      <c r="AP61" s="926"/>
      <c r="AQ61" s="926"/>
      <c r="AR61" s="927"/>
      <c r="AS61" s="928"/>
      <c r="AT61" s="928"/>
      <c r="AU61" s="928"/>
      <c r="AV61" s="929">
        <f>IFERROR(AVERAGE(AR58:AV58),"-")</f>
        <v>9.4383131860476491E-2</v>
      </c>
      <c r="AW61" s="930"/>
      <c r="AX61" s="928"/>
      <c r="AY61" s="928"/>
      <c r="AZ61" s="928"/>
      <c r="BA61" s="928">
        <f>IFERROR(AVERAGE(AW58:BA58),"-")</f>
        <v>3.944183969886249E-3</v>
      </c>
      <c r="BB61" s="930"/>
      <c r="BC61" s="928"/>
      <c r="BD61" s="928"/>
      <c r="BE61" s="928"/>
      <c r="BF61" s="931">
        <f>IFERROR(AVERAGE(BB58:BF58),"-")</f>
        <v>9.3350200868396634E-3</v>
      </c>
      <c r="BH61" s="925" t="s">
        <v>865</v>
      </c>
      <c r="BI61" s="926"/>
      <c r="BJ61" s="926"/>
      <c r="BK61" s="927"/>
      <c r="BL61" s="928"/>
      <c r="BM61" s="928"/>
      <c r="BN61" s="928"/>
      <c r="BO61" s="928">
        <f>IFERROR(AVERAGE(BK58:BO58),"-")</f>
        <v>6.6786901845764038E-3</v>
      </c>
      <c r="BP61" s="930"/>
      <c r="BQ61" s="928"/>
      <c r="BR61" s="928"/>
      <c r="BS61" s="928"/>
      <c r="BT61" s="929">
        <f>IFERROR(AVERAGE(BP58:BT58),"-")</f>
        <v>3.0615890807869925E-3</v>
      </c>
      <c r="BU61" s="928"/>
      <c r="BV61" s="928"/>
      <c r="BW61" s="928"/>
      <c r="BX61" s="928"/>
      <c r="BY61" s="931">
        <f>IFERROR(AVERAGE(BU58:BY58),"-")</f>
        <v>6.5627857493489958E-3</v>
      </c>
      <c r="CB61" s="196"/>
    </row>
    <row r="62" spans="5:80" s="196" customFormat="1" ht="12.75" thickBot="1">
      <c r="K62" s="310"/>
      <c r="L62" s="310"/>
      <c r="M62" s="310"/>
      <c r="N62" s="310"/>
      <c r="O62" s="310"/>
      <c r="P62" s="310"/>
      <c r="Q62" s="310"/>
      <c r="R62" s="310"/>
      <c r="S62" s="310"/>
      <c r="T62" s="310"/>
      <c r="U62" s="310"/>
      <c r="V62" s="310"/>
      <c r="W62" s="310"/>
      <c r="X62" s="63"/>
      <c r="Y62" s="63"/>
      <c r="Z62" s="63"/>
      <c r="AA62" s="310" t="str">
        <f t="shared" ref="AA62:AJ62" si="30">+IF(AA61&gt;0,"CHECK","")</f>
        <v/>
      </c>
      <c r="AB62" s="310" t="str">
        <f t="shared" si="30"/>
        <v/>
      </c>
      <c r="AC62" s="310" t="str">
        <f t="shared" si="30"/>
        <v/>
      </c>
      <c r="AD62" s="310" t="str">
        <f t="shared" si="30"/>
        <v/>
      </c>
      <c r="AE62" s="310" t="str">
        <f t="shared" si="30"/>
        <v/>
      </c>
      <c r="AF62" s="310" t="str">
        <f t="shared" si="30"/>
        <v/>
      </c>
      <c r="AG62" s="310" t="str">
        <f t="shared" si="30"/>
        <v/>
      </c>
      <c r="AH62" s="310" t="str">
        <f t="shared" si="30"/>
        <v/>
      </c>
      <c r="AI62" s="310" t="str">
        <f t="shared" si="30"/>
        <v/>
      </c>
      <c r="AJ62" s="310" t="str">
        <f t="shared" si="30"/>
        <v/>
      </c>
      <c r="AK62" s="63"/>
      <c r="AM62" s="856"/>
      <c r="AN62" s="63"/>
      <c r="AO62" s="167" t="s">
        <v>866</v>
      </c>
      <c r="AP62" s="168"/>
      <c r="AQ62" s="168"/>
      <c r="AR62" s="932"/>
      <c r="AS62" s="933"/>
      <c r="AT62" s="933"/>
      <c r="AU62" s="933"/>
      <c r="AV62" s="934">
        <f>IFERROR(AVERAGE(AR59:AV59),"-")</f>
        <v>0.14142900906303002</v>
      </c>
      <c r="AW62" s="935"/>
      <c r="AX62" s="933"/>
      <c r="AY62" s="933"/>
      <c r="AZ62" s="933"/>
      <c r="BA62" s="933">
        <f>IFERROR(AVERAGE(AW59:BA59),"-")</f>
        <v>0.1131790027351999</v>
      </c>
      <c r="BB62" s="935"/>
      <c r="BC62" s="933"/>
      <c r="BD62" s="933"/>
      <c r="BE62" s="933"/>
      <c r="BF62" s="936">
        <f>IFERROR(AVERAGE(BB59:BF59),"-")</f>
        <v>3.4679687183041805E-2</v>
      </c>
      <c r="BG62" s="63"/>
      <c r="BH62" s="167" t="s">
        <v>867</v>
      </c>
      <c r="BI62" s="168"/>
      <c r="BJ62" s="168"/>
      <c r="BK62" s="932"/>
      <c r="BL62" s="933"/>
      <c r="BM62" s="933"/>
      <c r="BN62" s="933"/>
      <c r="BO62" s="933">
        <f>IFERROR(AVERAGE(BK59:BO59),"-")</f>
        <v>-4.6905750988227111E-3</v>
      </c>
      <c r="BP62" s="935"/>
      <c r="BQ62" s="933"/>
      <c r="BR62" s="933"/>
      <c r="BS62" s="933"/>
      <c r="BT62" s="934">
        <f>IFERROR(AVERAGE(BP59:BT59),"-")</f>
        <v>-3.5517095511966065E-2</v>
      </c>
      <c r="BU62" s="933"/>
      <c r="BV62" s="933"/>
      <c r="BW62" s="933"/>
      <c r="BX62" s="933"/>
      <c r="BY62" s="936">
        <f>IFERROR(AVERAGE(BU59:BY59),"-")</f>
        <v>2.1694195218082968E-2</v>
      </c>
      <c r="BZ62" s="63"/>
      <c r="CA62" s="63"/>
    </row>
    <row r="63" spans="5:80">
      <c r="E63" s="539" t="s">
        <v>832</v>
      </c>
      <c r="BH63" s="94"/>
      <c r="BI63" s="94"/>
      <c r="BJ63" s="937" t="s">
        <v>130</v>
      </c>
      <c r="BK63" s="938">
        <f t="shared" ref="BK63:BU63" si="31">IFERROR((V13/U13-1)-BK59,"-")</f>
        <v>4.163336342344337E-17</v>
      </c>
      <c r="BL63" s="938">
        <f t="shared" si="31"/>
        <v>5.7245874707234634E-17</v>
      </c>
      <c r="BM63" s="938">
        <f t="shared" si="31"/>
        <v>-2.92300905702092E-16</v>
      </c>
      <c r="BN63" s="938">
        <f t="shared" si="31"/>
        <v>7.8205903380055078E-4</v>
      </c>
      <c r="BO63" s="938">
        <f t="shared" si="31"/>
        <v>-1.4474099002681484E-17</v>
      </c>
      <c r="BP63" s="938">
        <f t="shared" si="31"/>
        <v>0.27888246028481051</v>
      </c>
      <c r="BQ63" s="938">
        <f t="shared" si="31"/>
        <v>-5.6898930012039273E-16</v>
      </c>
      <c r="BR63" s="938">
        <f t="shared" si="31"/>
        <v>3.434752482434078E-16</v>
      </c>
      <c r="BS63" s="938">
        <f t="shared" si="31"/>
        <v>8.1878948066105295E-16</v>
      </c>
      <c r="BT63" s="938">
        <f t="shared" si="31"/>
        <v>-4.3021142204224816E-16</v>
      </c>
      <c r="BU63" s="938">
        <f t="shared" si="31"/>
        <v>-6.2450045135165055E-16</v>
      </c>
      <c r="BV63" s="938">
        <f>IFERROR((AG13/AF13-1)-BV59,"-")</f>
        <v>2.2551405187698492E-17</v>
      </c>
      <c r="BW63" s="938">
        <f>IFERROR((AH13/AG13-1)-BW59,"-")</f>
        <v>-2.2551405187698492E-17</v>
      </c>
      <c r="BX63" s="938">
        <f>IFERROR((AI13/AH13-1)-BX59,"-")</f>
        <v>7.7368667028565596E-16</v>
      </c>
      <c r="BY63" s="938">
        <f>IFERROR((AJ13/AI13-1)-BY59,"-")</f>
        <v>1.0408340855860843E-17</v>
      </c>
    </row>
    <row r="64" spans="5:80">
      <c r="E64" s="539"/>
      <c r="BH64" s="94"/>
      <c r="BI64" s="94"/>
      <c r="BJ64" s="937"/>
      <c r="BK64" s="938"/>
      <c r="BL64" s="938"/>
      <c r="BM64" s="938"/>
      <c r="BN64" s="938"/>
      <c r="BO64" s="938"/>
      <c r="BP64" s="938"/>
      <c r="BQ64" s="938"/>
      <c r="BR64" s="938"/>
      <c r="BS64" s="938"/>
      <c r="BT64" s="938"/>
      <c r="BU64" s="938"/>
      <c r="BV64" s="938"/>
      <c r="BW64" s="938"/>
      <c r="BX64" s="938"/>
      <c r="BY64" s="938"/>
    </row>
    <row r="65" spans="4:89" ht="12.75" thickBot="1">
      <c r="AR65" s="368"/>
      <c r="AS65" s="368"/>
      <c r="AT65" s="368"/>
      <c r="AU65" s="368"/>
      <c r="AV65" s="368"/>
      <c r="AW65" s="368"/>
      <c r="AX65" s="368"/>
      <c r="AY65" s="368"/>
      <c r="AZ65" s="368"/>
      <c r="BA65" s="368"/>
      <c r="BB65" s="368"/>
      <c r="BC65" s="368"/>
      <c r="BD65" s="368"/>
      <c r="BE65" s="368"/>
      <c r="BF65" s="368"/>
      <c r="BH65" s="94"/>
      <c r="BI65" s="94"/>
      <c r="BJ65" s="94"/>
      <c r="BK65" s="94"/>
      <c r="BL65" s="94"/>
      <c r="BM65" s="94"/>
      <c r="BN65" s="94"/>
      <c r="BO65" s="94"/>
      <c r="BP65" s="94"/>
      <c r="BQ65" s="94"/>
      <c r="BR65" s="94"/>
      <c r="BS65" s="94"/>
      <c r="BT65" s="94"/>
      <c r="BU65" s="94"/>
      <c r="BV65" s="94"/>
      <c r="BW65" s="94"/>
      <c r="BX65" s="94"/>
      <c r="BY65" s="94"/>
      <c r="CD65" s="880">
        <v>2</v>
      </c>
      <c r="CE65" s="880">
        <f>CD65+1</f>
        <v>3</v>
      </c>
      <c r="CF65" s="880">
        <v>4</v>
      </c>
      <c r="CG65" s="880">
        <v>5</v>
      </c>
      <c r="CH65" s="880">
        <v>2</v>
      </c>
      <c r="CI65" s="880">
        <v>3</v>
      </c>
      <c r="CJ65" s="880">
        <v>4</v>
      </c>
      <c r="CK65" s="880">
        <v>5</v>
      </c>
    </row>
    <row r="66" spans="4:89" ht="12.75" thickBot="1">
      <c r="E66" s="539"/>
      <c r="S66" s="310" t="str">
        <f>+IF(S65&gt;0,"CHECK","")</f>
        <v/>
      </c>
      <c r="T66" s="310" t="str">
        <f>+IF(T65&gt;0,"CHECK","")</f>
        <v/>
      </c>
      <c r="U66" s="310" t="str">
        <f>+IF(U65&gt;0,"CHECK","")</f>
        <v/>
      </c>
      <c r="V66" s="310" t="str">
        <f>+IF(V65&gt;0,"CHECK","")</f>
        <v/>
      </c>
      <c r="W66" s="310" t="str">
        <f>+IF(W65&gt;0,"CHECK","")</f>
        <v/>
      </c>
      <c r="AO66" s="539"/>
      <c r="AR66" s="2102" t="str">
        <f>AR55</f>
        <v>FIFTH REG PERIOD</v>
      </c>
      <c r="AS66" s="2103"/>
      <c r="AT66" s="2103"/>
      <c r="AU66" s="2103"/>
      <c r="AV66" s="2104"/>
      <c r="AW66" s="2115" t="str">
        <f>AW55</f>
        <v>SIXTH REG PERIOD</v>
      </c>
      <c r="AX66" s="2103"/>
      <c r="AY66" s="2103"/>
      <c r="AZ66" s="2103"/>
      <c r="BA66" s="2104"/>
      <c r="BB66" s="2115" t="str">
        <f>BB55</f>
        <v>SEVENTH REG PERIOD</v>
      </c>
      <c r="BC66" s="2103"/>
      <c r="BD66" s="2103"/>
      <c r="BE66" s="2103"/>
      <c r="BF66" s="2108"/>
      <c r="BG66" s="911"/>
      <c r="BH66" s="539"/>
      <c r="BK66" s="2102" t="str">
        <f>BK55</f>
        <v>FIFTH REG PERIOD</v>
      </c>
      <c r="BL66" s="2103"/>
      <c r="BM66" s="2103"/>
      <c r="BN66" s="2103"/>
      <c r="BO66" s="2103"/>
      <c r="BP66" s="2115" t="str">
        <f>BP55</f>
        <v>SIXTH REG PERIOD</v>
      </c>
      <c r="BQ66" s="2103"/>
      <c r="BR66" s="2103"/>
      <c r="BS66" s="2103"/>
      <c r="BT66" s="2104"/>
      <c r="BU66" s="2103" t="str">
        <f>BU55</f>
        <v>SEVENTH REG PERIOD</v>
      </c>
      <c r="BV66" s="2103"/>
      <c r="BW66" s="2103"/>
      <c r="BX66" s="2103"/>
      <c r="BY66" s="2108"/>
      <c r="BZ66" s="911"/>
      <c r="CD66" s="2105" t="s">
        <v>868</v>
      </c>
      <c r="CE66" s="2106"/>
      <c r="CF66" s="2106"/>
      <c r="CG66" s="2106"/>
      <c r="CH66" s="2106"/>
      <c r="CI66" s="2106"/>
      <c r="CJ66" s="2106"/>
      <c r="CK66" s="2107"/>
    </row>
    <row r="67" spans="4:89" ht="12.75" thickBot="1">
      <c r="AM67" s="960"/>
      <c r="AR67" s="2109" t="s">
        <v>194</v>
      </c>
      <c r="AS67" s="2110"/>
      <c r="AT67" s="2110"/>
      <c r="AU67" s="2110"/>
      <c r="AV67" s="2111" t="s">
        <v>869</v>
      </c>
      <c r="AW67" s="2112"/>
      <c r="AX67" s="2112"/>
      <c r="AY67" s="2112"/>
      <c r="AZ67" s="2112"/>
      <c r="BA67" s="2112"/>
      <c r="BB67" s="2112"/>
      <c r="BC67" s="2112"/>
      <c r="BD67" s="2112"/>
      <c r="BE67" s="2112"/>
      <c r="BF67" s="2113"/>
      <c r="BG67" s="911"/>
      <c r="BK67" s="2109" t="s">
        <v>194</v>
      </c>
      <c r="BL67" s="2110"/>
      <c r="BM67" s="2110"/>
      <c r="BN67" s="2114"/>
      <c r="BO67" s="2111" t="s">
        <v>869</v>
      </c>
      <c r="BP67" s="2112"/>
      <c r="BQ67" s="2112"/>
      <c r="BR67" s="2112"/>
      <c r="BS67" s="2112"/>
      <c r="BT67" s="2112"/>
      <c r="BU67" s="2112"/>
      <c r="BV67" s="2112"/>
      <c r="BW67" s="2112"/>
      <c r="BX67" s="2112"/>
      <c r="BY67" s="2113"/>
      <c r="BZ67" s="911"/>
      <c r="CD67" s="2102" t="s">
        <v>870</v>
      </c>
      <c r="CE67" s="2103"/>
      <c r="CF67" s="2103"/>
      <c r="CG67" s="2104"/>
      <c r="CH67" s="2102" t="s">
        <v>871</v>
      </c>
      <c r="CI67" s="2103"/>
      <c r="CJ67" s="2103"/>
      <c r="CK67" s="2104"/>
    </row>
    <row r="68" spans="4:89" ht="12.75" thickBot="1">
      <c r="E68" s="472" t="s">
        <v>872</v>
      </c>
      <c r="F68" s="472" t="s">
        <v>503</v>
      </c>
      <c r="G68" s="472" t="s">
        <v>937</v>
      </c>
      <c r="H68" s="472" t="s">
        <v>874</v>
      </c>
      <c r="I68" s="472" t="s">
        <v>875</v>
      </c>
      <c r="J68" s="472" t="s">
        <v>876</v>
      </c>
      <c r="K68" s="548">
        <f>+K7</f>
        <v>0</v>
      </c>
      <c r="L68" s="548">
        <f t="shared" ref="L68:AJ68" si="32">+L7</f>
        <v>0</v>
      </c>
      <c r="M68" s="548">
        <f t="shared" si="32"/>
        <v>0</v>
      </c>
      <c r="N68" s="548">
        <f t="shared" si="32"/>
        <v>0</v>
      </c>
      <c r="O68" s="548">
        <f t="shared" si="32"/>
        <v>0</v>
      </c>
      <c r="P68" s="548">
        <f t="shared" si="32"/>
        <v>0</v>
      </c>
      <c r="Q68" s="548">
        <f t="shared" si="32"/>
        <v>0</v>
      </c>
      <c r="R68" s="548">
        <f t="shared" si="32"/>
        <v>0</v>
      </c>
      <c r="S68" s="548">
        <f t="shared" si="32"/>
        <v>0</v>
      </c>
      <c r="T68" s="548">
        <f t="shared" si="32"/>
        <v>0</v>
      </c>
      <c r="U68" s="548" t="str">
        <f t="shared" si="32"/>
        <v>2020-21</v>
      </c>
      <c r="V68" s="548" t="str">
        <f t="shared" si="32"/>
        <v>2021-22</v>
      </c>
      <c r="W68" s="548" t="str">
        <f t="shared" si="32"/>
        <v>2022-23</v>
      </c>
      <c r="X68" s="548" t="str">
        <f t="shared" si="32"/>
        <v>2023-24</v>
      </c>
      <c r="Y68" s="548" t="str">
        <f t="shared" si="32"/>
        <v>2024-25</v>
      </c>
      <c r="Z68" s="548" t="str">
        <f t="shared" si="32"/>
        <v>2025-26</v>
      </c>
      <c r="AA68" s="548" t="str">
        <f t="shared" si="32"/>
        <v>2026-27</v>
      </c>
      <c r="AB68" s="548" t="str">
        <f t="shared" si="32"/>
        <v>2027-28</v>
      </c>
      <c r="AC68" s="548" t="str">
        <f t="shared" si="32"/>
        <v>2028-29</v>
      </c>
      <c r="AD68" s="548" t="str">
        <f t="shared" si="32"/>
        <v>2029-30</v>
      </c>
      <c r="AE68" s="548" t="str">
        <f t="shared" si="32"/>
        <v>2030-31</v>
      </c>
      <c r="AF68" s="548" t="str">
        <f t="shared" si="32"/>
        <v>2031-32</v>
      </c>
      <c r="AG68" s="548" t="str">
        <f t="shared" si="32"/>
        <v>2032-33</v>
      </c>
      <c r="AH68" s="548" t="str">
        <f t="shared" si="32"/>
        <v>2033-34</v>
      </c>
      <c r="AI68" s="548" t="str">
        <f t="shared" si="32"/>
        <v>2034-35</v>
      </c>
      <c r="AJ68" s="548" t="str">
        <f t="shared" si="32"/>
        <v>2035-36</v>
      </c>
      <c r="AK68" s="548"/>
      <c r="AM68" s="968"/>
      <c r="AO68" s="939" t="s">
        <v>872</v>
      </c>
      <c r="AP68" s="940" t="s">
        <v>503</v>
      </c>
      <c r="AQ68" s="942" t="s">
        <v>875</v>
      </c>
      <c r="AR68" s="914" t="str">
        <f t="shared" ref="AR68:BB68" si="33">V68</f>
        <v>2021-22</v>
      </c>
      <c r="AS68" s="915" t="str">
        <f t="shared" si="33"/>
        <v>2022-23</v>
      </c>
      <c r="AT68" s="915" t="str">
        <f t="shared" si="33"/>
        <v>2023-24</v>
      </c>
      <c r="AU68" s="915" t="str">
        <f t="shared" si="33"/>
        <v>2024-25</v>
      </c>
      <c r="AV68" s="1348" t="str">
        <f t="shared" si="33"/>
        <v>2025-26</v>
      </c>
      <c r="AW68" s="943" t="str">
        <f t="shared" si="33"/>
        <v>2026-27</v>
      </c>
      <c r="AX68" s="915" t="str">
        <f t="shared" si="33"/>
        <v>2027-28</v>
      </c>
      <c r="AY68" s="915" t="str">
        <f t="shared" si="33"/>
        <v>2028-29</v>
      </c>
      <c r="AZ68" s="915" t="str">
        <f t="shared" si="33"/>
        <v>2029-30</v>
      </c>
      <c r="BA68" s="916" t="str">
        <f t="shared" si="33"/>
        <v>2030-31</v>
      </c>
      <c r="BB68" s="943" t="str">
        <f t="shared" si="33"/>
        <v>2031-32</v>
      </c>
      <c r="BC68" s="915" t="str">
        <f>AG68</f>
        <v>2032-33</v>
      </c>
      <c r="BD68" s="915" t="str">
        <f>AH68</f>
        <v>2033-34</v>
      </c>
      <c r="BE68" s="915" t="str">
        <f>AI68</f>
        <v>2034-35</v>
      </c>
      <c r="BF68" s="917" t="str">
        <f>AJ68</f>
        <v>2035-36</v>
      </c>
      <c r="BG68" s="941"/>
      <c r="BH68" s="939" t="str">
        <f t="shared" ref="BH68:BU68" si="34">AO68</f>
        <v>PQR</v>
      </c>
      <c r="BI68" s="940" t="str">
        <f t="shared" si="34"/>
        <v>Service</v>
      </c>
      <c r="BJ68" s="942" t="str">
        <f t="shared" si="34"/>
        <v>Type</v>
      </c>
      <c r="BK68" s="914" t="str">
        <f t="shared" si="34"/>
        <v>2021-22</v>
      </c>
      <c r="BL68" s="915" t="str">
        <f t="shared" si="34"/>
        <v>2022-23</v>
      </c>
      <c r="BM68" s="915" t="str">
        <f t="shared" si="34"/>
        <v>2023-24</v>
      </c>
      <c r="BN68" s="915" t="str">
        <f t="shared" si="34"/>
        <v>2024-25</v>
      </c>
      <c r="BO68" s="1348" t="str">
        <f t="shared" si="34"/>
        <v>2025-26</v>
      </c>
      <c r="BP68" s="943" t="str">
        <f t="shared" si="34"/>
        <v>2026-27</v>
      </c>
      <c r="BQ68" s="915" t="str">
        <f t="shared" si="34"/>
        <v>2027-28</v>
      </c>
      <c r="BR68" s="915" t="str">
        <f t="shared" si="34"/>
        <v>2028-29</v>
      </c>
      <c r="BS68" s="915" t="str">
        <f t="shared" si="34"/>
        <v>2029-30</v>
      </c>
      <c r="BT68" s="916" t="str">
        <f t="shared" si="34"/>
        <v>2030-31</v>
      </c>
      <c r="BU68" s="915" t="str">
        <f t="shared" si="34"/>
        <v>2031-32</v>
      </c>
      <c r="BV68" s="915" t="str">
        <f>BC68</f>
        <v>2032-33</v>
      </c>
      <c r="BW68" s="915" t="str">
        <f>BD68</f>
        <v>2033-34</v>
      </c>
      <c r="BX68" s="915" t="str">
        <f>BE68</f>
        <v>2034-35</v>
      </c>
      <c r="BY68" s="917" t="str">
        <f>BF68</f>
        <v>2035-36</v>
      </c>
      <c r="BZ68" s="941"/>
      <c r="CA68" s="939" t="str">
        <f t="shared" ref="CA68:CA131" si="35">AO68</f>
        <v>PQR</v>
      </c>
      <c r="CB68" s="940" t="str">
        <f t="shared" ref="CB68:CB131" si="36">AP68</f>
        <v>Service</v>
      </c>
      <c r="CC68" s="942" t="str">
        <f t="shared" ref="CC68:CC131" si="37">AQ68</f>
        <v>Type</v>
      </c>
      <c r="CD68" s="914" t="str">
        <f>W68</f>
        <v>2022-23</v>
      </c>
      <c r="CE68" s="915" t="str">
        <f>X68</f>
        <v>2023-24</v>
      </c>
      <c r="CF68" s="915" t="str">
        <f>Y68</f>
        <v>2024-25</v>
      </c>
      <c r="CG68" s="915" t="str">
        <f>Z68</f>
        <v>2025-26</v>
      </c>
      <c r="CH68" s="943" t="str">
        <f>AB68</f>
        <v>2027-28</v>
      </c>
      <c r="CI68" s="915" t="str">
        <f>AC68</f>
        <v>2028-29</v>
      </c>
      <c r="CJ68" s="915" t="str">
        <f>AD68</f>
        <v>2029-30</v>
      </c>
      <c r="CK68" s="917" t="str">
        <f>AE68</f>
        <v>2030-31</v>
      </c>
    </row>
    <row r="69" spans="4:89">
      <c r="D69" s="63">
        <v>1</v>
      </c>
      <c r="E69" s="550" t="s">
        <v>857</v>
      </c>
      <c r="F69" s="595" t="s">
        <v>401</v>
      </c>
      <c r="G69" s="595" t="s">
        <v>877</v>
      </c>
      <c r="H69" s="595" t="s">
        <v>938</v>
      </c>
      <c r="I69" s="589" t="s">
        <v>939</v>
      </c>
      <c r="J69" s="589" t="s">
        <v>879</v>
      </c>
      <c r="K69" s="551"/>
      <c r="L69" s="552"/>
      <c r="M69" s="552"/>
      <c r="N69" s="551"/>
      <c r="O69" s="552"/>
      <c r="P69" s="552"/>
      <c r="Q69" s="552"/>
      <c r="R69" s="1035"/>
      <c r="S69" s="1138"/>
      <c r="T69" s="591"/>
      <c r="U69" s="1035"/>
      <c r="V69" s="591"/>
      <c r="W69" s="591"/>
      <c r="X69" s="591"/>
      <c r="Y69" s="591"/>
      <c r="Z69" s="591"/>
      <c r="AA69" s="1138">
        <v>12305982.841696702</v>
      </c>
      <c r="AB69" s="591">
        <v>13088910.451078506</v>
      </c>
      <c r="AC69" s="591">
        <v>13505279.850447116</v>
      </c>
      <c r="AD69" s="591">
        <v>13934894.315352583</v>
      </c>
      <c r="AE69" s="1035">
        <v>14378175.182620671</v>
      </c>
      <c r="AF69" s="591">
        <v>14183148.877087871</v>
      </c>
      <c r="AG69" s="591">
        <v>13990767.918364847</v>
      </c>
      <c r="AH69" s="591">
        <v>13800996.424831813</v>
      </c>
      <c r="AI69" s="591">
        <v>13613799.001569109</v>
      </c>
      <c r="AJ69" s="592">
        <v>13429140.733755583</v>
      </c>
      <c r="AK69" s="548"/>
      <c r="AM69" s="974"/>
      <c r="AO69" s="944" t="str">
        <f t="shared" ref="AO69:AP132" si="38">E69</f>
        <v>Price</v>
      </c>
      <c r="AP69" s="945" t="str">
        <f t="shared" si="38"/>
        <v>Water</v>
      </c>
      <c r="AQ69" s="946" t="str">
        <f t="shared" ref="AQ69:AQ132" si="39">I69</f>
        <v>Price cap - Fixed</v>
      </c>
      <c r="AR69" s="1340" t="str">
        <f t="shared" ref="AR69:AR132" si="40">IF(V69="","-",IFERROR(V69/U69-1,"-"))</f>
        <v>-</v>
      </c>
      <c r="AS69" s="947" t="str">
        <f t="shared" ref="AS69:AS132" si="41">IF(W69="","-",IFERROR(W69/V69-1,"-"))</f>
        <v>-</v>
      </c>
      <c r="AT69" s="948" t="str">
        <f t="shared" ref="AT69:AT132" si="42">IF(X69="","-",IFERROR(X69/W69-1,"-"))</f>
        <v>-</v>
      </c>
      <c r="AU69" s="948" t="str">
        <f t="shared" ref="AU69:AU132" si="43">IF(Y69="","-",IFERROR(Y69/X69-1,"-"))</f>
        <v>-</v>
      </c>
      <c r="AV69" s="1349" t="str">
        <f t="shared" ref="AV69:AV132" si="44">IF(Z69="","-",IFERROR(Z69/Y69-1,"-"))</f>
        <v>-</v>
      </c>
      <c r="AW69" s="1342" t="str">
        <f t="shared" ref="AW69:AW132" si="45">IF(AA69="","-",IFERROR(AA69/Z69-1,"-"))</f>
        <v>-</v>
      </c>
      <c r="AX69" s="948">
        <f t="shared" ref="AX69:AX132" si="46">IF(AB69="","-",IFERROR(AB69/AA69-1,"-"))</f>
        <v>6.362170494249253E-2</v>
      </c>
      <c r="AY69" s="948">
        <f t="shared" ref="AY69:AY132" si="47">IF(AC69="","-",IFERROR(AC69/AB69-1,"-"))</f>
        <v>3.1810852471246154E-2</v>
      </c>
      <c r="AZ69" s="948">
        <f t="shared" ref="AZ69:AZ132" si="48">IF(AD69="","-",IFERROR(AD69/AC69-1,"-"))</f>
        <v>3.1810852471246154E-2</v>
      </c>
      <c r="BA69" s="949">
        <f t="shared" ref="BA69:BA132" si="49">IF(AE69="","-",IFERROR(AE69/AD69-1,"-"))</f>
        <v>3.1810852471246154E-2</v>
      </c>
      <c r="BB69" s="1342">
        <f t="shared" ref="BB69:BB132" si="50">IF(AF69="","-",IFERROR(AF69/AE69-1,"-"))</f>
        <v>-1.3564051282984324E-2</v>
      </c>
      <c r="BC69" s="948">
        <f t="shared" ref="BC69:BC132" si="51">IF(AG69="","-",IFERROR(AG69/AF69-1,"-"))</f>
        <v>-1.3564051282984435E-2</v>
      </c>
      <c r="BD69" s="948">
        <f t="shared" ref="BD69:BD132" si="52">IF(AH69="","-",IFERROR(AH69/AG69-1,"-"))</f>
        <v>-1.3564051282984435E-2</v>
      </c>
      <c r="BE69" s="948">
        <f t="shared" ref="BE69:BE132" si="53">IF(AI69="","-",IFERROR(AI69/AH69-1,"-"))</f>
        <v>-1.3564051282984435E-2</v>
      </c>
      <c r="BF69" s="950">
        <f t="shared" ref="BF69:BF132" si="54">IF(AJ69="","-",IFERROR(AJ69/AI69-1,"-"))</f>
        <v>-1.3564051282984435E-2</v>
      </c>
      <c r="BG69" s="951"/>
      <c r="BH69" s="952" t="str">
        <f t="shared" ref="BH69:BH132" si="55">AO69</f>
        <v>Price</v>
      </c>
      <c r="BI69" s="953" t="str">
        <f t="shared" ref="BI69:BI132" si="56">AP69</f>
        <v>Water</v>
      </c>
      <c r="BJ69" s="954" t="str">
        <f t="shared" ref="BJ69:BJ132" si="57">AQ69</f>
        <v>Price cap - Fixed</v>
      </c>
      <c r="BK69" s="947" t="str">
        <f t="shared" ref="BK69:BU69" si="58">IF(V69="","-",IFERROR((V69/U69-1)*(U71/U$13),"-"))</f>
        <v>-</v>
      </c>
      <c r="BL69" s="947" t="str">
        <f t="shared" si="58"/>
        <v>-</v>
      </c>
      <c r="BM69" s="948" t="str">
        <f t="shared" si="58"/>
        <v>-</v>
      </c>
      <c r="BN69" s="948" t="str">
        <f t="shared" si="58"/>
        <v>-</v>
      </c>
      <c r="BO69" s="1349" t="str">
        <f t="shared" si="58"/>
        <v>-</v>
      </c>
      <c r="BP69" s="1342" t="str">
        <f t="shared" si="58"/>
        <v>-</v>
      </c>
      <c r="BQ69" s="948">
        <f t="shared" si="58"/>
        <v>4.9623494038965607E-3</v>
      </c>
      <c r="BR69" s="948">
        <f t="shared" si="58"/>
        <v>2.540568838443431E-3</v>
      </c>
      <c r="BS69" s="948">
        <f t="shared" si="58"/>
        <v>2.5717963720053587E-3</v>
      </c>
      <c r="BT69" s="949">
        <f t="shared" si="58"/>
        <v>2.6040490570452875E-3</v>
      </c>
      <c r="BU69" s="948">
        <f t="shared" si="58"/>
        <v>-1.1240807328615412E-3</v>
      </c>
      <c r="BV69" s="948">
        <f>IF(AG69="","-",IFERROR((AG69/AF69-1)*(AF71/AF$13),"-"))</f>
        <v>-1.0590869129808364E-3</v>
      </c>
      <c r="BW69" s="948">
        <f>IF(AH69="","-",IFERROR((AH69/AG69-1)*(AG71/AG$13),"-"))</f>
        <v>-1.030290451064875E-3</v>
      </c>
      <c r="BX69" s="948">
        <f>IF(AI69="","-",IFERROR((AI69/AH69-1)*(AH71/AH$13),"-"))</f>
        <v>-1.0016447044624399E-3</v>
      </c>
      <c r="BY69" s="950">
        <f>IF(AJ69="","-",IFERROR((AJ69/AI69-1)*(AI71/AI$13),"-"))</f>
        <v>-9.7133579419068894E-4</v>
      </c>
      <c r="BZ69" s="951"/>
      <c r="CA69" s="944" t="str">
        <f t="shared" si="35"/>
        <v>Price</v>
      </c>
      <c r="CB69" s="945" t="str">
        <f t="shared" si="36"/>
        <v>Water</v>
      </c>
      <c r="CC69" s="958" t="str">
        <f t="shared" si="37"/>
        <v>Price cap - Fixed</v>
      </c>
      <c r="CD69" s="959" t="str">
        <f t="shared" ref="CD69:CD100" si="59">IF(W69="","-",IFERROR((W69/$U69)^(1/CD$65)-1,"-"))</f>
        <v>-</v>
      </c>
      <c r="CE69" s="955" t="str">
        <f t="shared" ref="CE69:CG132" si="60">IF(X69="","-",IFERROR((X69/$U69)^(1/CE$65)-1,"-"))</f>
        <v>-</v>
      </c>
      <c r="CF69" s="955" t="str">
        <f t="shared" si="60"/>
        <v>-</v>
      </c>
      <c r="CG69" s="956" t="str">
        <f t="shared" si="60"/>
        <v>-</v>
      </c>
      <c r="CH69" s="955" t="str">
        <f t="shared" ref="CH69:CH100" si="61">IF(AB69="","-",IFERROR((AB69/$Z69)^(1/CH$65)-1,"-"))</f>
        <v>-</v>
      </c>
      <c r="CI69" s="955" t="str">
        <f t="shared" ref="CI69:CK132" si="62">IF(AC69="","-",IFERROR((AC69/$Z69)^(1/CI$65)-1,"-"))</f>
        <v>-</v>
      </c>
      <c r="CJ69" s="955" t="str">
        <f t="shared" si="62"/>
        <v>-</v>
      </c>
      <c r="CK69" s="957" t="str">
        <f t="shared" si="62"/>
        <v>-</v>
      </c>
    </row>
    <row r="70" spans="4:89">
      <c r="E70" s="553" t="s">
        <v>880</v>
      </c>
      <c r="F70" s="554" t="str">
        <f>+F69</f>
        <v>Water</v>
      </c>
      <c r="G70" s="555" t="str">
        <f>+G69</f>
        <v>GWW</v>
      </c>
      <c r="H70" s="555" t="str">
        <f>+H69</f>
        <v>South-Central Pool</v>
      </c>
      <c r="I70" s="556" t="str">
        <f>+I69</f>
        <v>Price cap - Fixed</v>
      </c>
      <c r="J70" s="590" t="s">
        <v>890</v>
      </c>
      <c r="K70" s="557"/>
      <c r="L70" s="558"/>
      <c r="M70" s="558"/>
      <c r="N70" s="557"/>
      <c r="O70" s="558"/>
      <c r="P70" s="558"/>
      <c r="Q70" s="558"/>
      <c r="R70" s="1036"/>
      <c r="S70" s="1139"/>
      <c r="T70" s="593"/>
      <c r="U70" s="1036"/>
      <c r="V70" s="593"/>
      <c r="W70" s="593"/>
      <c r="X70" s="593"/>
      <c r="Y70" s="593"/>
      <c r="Z70" s="593"/>
      <c r="AA70" s="1139">
        <v>12</v>
      </c>
      <c r="AB70" s="593">
        <v>12</v>
      </c>
      <c r="AC70" s="593">
        <v>12</v>
      </c>
      <c r="AD70" s="593">
        <v>12</v>
      </c>
      <c r="AE70" s="1036">
        <v>12</v>
      </c>
      <c r="AF70" s="593">
        <v>12</v>
      </c>
      <c r="AG70" s="593">
        <v>12</v>
      </c>
      <c r="AH70" s="593">
        <v>12</v>
      </c>
      <c r="AI70" s="593">
        <v>12</v>
      </c>
      <c r="AJ70" s="594">
        <v>12</v>
      </c>
      <c r="AK70" s="548"/>
      <c r="AO70" s="961" t="str">
        <f t="shared" si="38"/>
        <v>Qty</v>
      </c>
      <c r="AP70" s="962" t="str">
        <f t="shared" si="38"/>
        <v>Water</v>
      </c>
      <c r="AQ70" s="963" t="str">
        <f t="shared" si="39"/>
        <v>Price cap - Fixed</v>
      </c>
      <c r="AR70" s="967" t="str">
        <f t="shared" si="40"/>
        <v>-</v>
      </c>
      <c r="AS70" s="964" t="str">
        <f t="shared" si="41"/>
        <v>-</v>
      </c>
      <c r="AT70" s="964" t="str">
        <f t="shared" si="42"/>
        <v>-</v>
      </c>
      <c r="AU70" s="964" t="str">
        <f t="shared" si="43"/>
        <v>-</v>
      </c>
      <c r="AV70" s="1350" t="str">
        <f t="shared" si="44"/>
        <v>-</v>
      </c>
      <c r="AW70" s="1343" t="str">
        <f t="shared" si="45"/>
        <v>-</v>
      </c>
      <c r="AX70" s="964">
        <f t="shared" si="46"/>
        <v>0</v>
      </c>
      <c r="AY70" s="964">
        <f t="shared" si="47"/>
        <v>0</v>
      </c>
      <c r="AZ70" s="964">
        <f t="shared" si="48"/>
        <v>0</v>
      </c>
      <c r="BA70" s="965">
        <f t="shared" si="49"/>
        <v>0</v>
      </c>
      <c r="BB70" s="1343">
        <f t="shared" si="50"/>
        <v>0</v>
      </c>
      <c r="BC70" s="964">
        <f t="shared" si="51"/>
        <v>0</v>
      </c>
      <c r="BD70" s="964">
        <f t="shared" si="52"/>
        <v>0</v>
      </c>
      <c r="BE70" s="964">
        <f t="shared" si="53"/>
        <v>0</v>
      </c>
      <c r="BF70" s="966">
        <f t="shared" si="54"/>
        <v>0</v>
      </c>
      <c r="BG70" s="951"/>
      <c r="BH70" s="961" t="str">
        <f t="shared" si="55"/>
        <v>Qty</v>
      </c>
      <c r="BI70" s="962" t="str">
        <f t="shared" si="56"/>
        <v>Water</v>
      </c>
      <c r="BJ70" s="963" t="str">
        <f t="shared" si="57"/>
        <v>Price cap - Fixed</v>
      </c>
      <c r="BK70" s="964" t="str">
        <f t="shared" ref="BK70:BU70" si="63">IF(V70="","-",IFERROR((V70/U70-1)*(U71/U$13),"-"))</f>
        <v>-</v>
      </c>
      <c r="BL70" s="964" t="str">
        <f t="shared" si="63"/>
        <v>-</v>
      </c>
      <c r="BM70" s="964" t="str">
        <f t="shared" si="63"/>
        <v>-</v>
      </c>
      <c r="BN70" s="964" t="str">
        <f t="shared" si="63"/>
        <v>-</v>
      </c>
      <c r="BO70" s="1350" t="str">
        <f t="shared" si="63"/>
        <v>-</v>
      </c>
      <c r="BP70" s="1343" t="str">
        <f t="shared" si="63"/>
        <v>-</v>
      </c>
      <c r="BQ70" s="964">
        <f t="shared" si="63"/>
        <v>0</v>
      </c>
      <c r="BR70" s="964">
        <f t="shared" si="63"/>
        <v>0</v>
      </c>
      <c r="BS70" s="964">
        <f t="shared" si="63"/>
        <v>0</v>
      </c>
      <c r="BT70" s="965">
        <f t="shared" si="63"/>
        <v>0</v>
      </c>
      <c r="BU70" s="964">
        <f t="shared" si="63"/>
        <v>0</v>
      </c>
      <c r="BV70" s="964">
        <f>IF(AG70="","-",IFERROR((AG70/AF70-1)*(AF71/AF$13),"-"))</f>
        <v>0</v>
      </c>
      <c r="BW70" s="964">
        <f>IF(AH70="","-",IFERROR((AH70/AG70-1)*(AG71/AG$13),"-"))</f>
        <v>0</v>
      </c>
      <c r="BX70" s="964">
        <f>IF(AI70="","-",IFERROR((AI70/AH70-1)*(AH71/AH$13),"-"))</f>
        <v>0</v>
      </c>
      <c r="BY70" s="966">
        <f>IF(AJ70="","-",IFERROR((AJ70/AI70-1)*(AI71/AI$13),"-"))</f>
        <v>0</v>
      </c>
      <c r="BZ70" s="951"/>
      <c r="CA70" s="961" t="str">
        <f t="shared" si="35"/>
        <v>Qty</v>
      </c>
      <c r="CB70" s="962" t="str">
        <f t="shared" si="36"/>
        <v>Water</v>
      </c>
      <c r="CC70" s="962" t="str">
        <f t="shared" si="37"/>
        <v>Price cap - Fixed</v>
      </c>
      <c r="CD70" s="967" t="str">
        <f t="shared" si="59"/>
        <v>-</v>
      </c>
      <c r="CE70" s="964" t="str">
        <f t="shared" si="60"/>
        <v>-</v>
      </c>
      <c r="CF70" s="964" t="str">
        <f t="shared" si="60"/>
        <v>-</v>
      </c>
      <c r="CG70" s="965" t="str">
        <f t="shared" si="60"/>
        <v>-</v>
      </c>
      <c r="CH70" s="964" t="str">
        <f t="shared" si="61"/>
        <v>-</v>
      </c>
      <c r="CI70" s="964" t="str">
        <f t="shared" si="62"/>
        <v>-</v>
      </c>
      <c r="CJ70" s="964" t="str">
        <f t="shared" si="62"/>
        <v>-</v>
      </c>
      <c r="CK70" s="966" t="str">
        <f t="shared" si="62"/>
        <v>-</v>
      </c>
    </row>
    <row r="71" spans="4:89" ht="12.75" thickBot="1">
      <c r="E71" s="559" t="s">
        <v>882</v>
      </c>
      <c r="F71" s="560" t="str">
        <f>+F69</f>
        <v>Water</v>
      </c>
      <c r="G71" s="561" t="str">
        <f>+G69</f>
        <v>GWW</v>
      </c>
      <c r="H71" s="561" t="str">
        <f>+H69</f>
        <v>South-Central Pool</v>
      </c>
      <c r="I71" s="562" t="str">
        <f>+I69</f>
        <v>Price cap - Fixed</v>
      </c>
      <c r="J71" s="563" t="s">
        <v>883</v>
      </c>
      <c r="K71" s="564">
        <f t="shared" ref="K71:AJ71" si="64">K69*K70/10^6</f>
        <v>0</v>
      </c>
      <c r="L71" s="565">
        <f t="shared" si="64"/>
        <v>0</v>
      </c>
      <c r="M71" s="565">
        <f t="shared" si="64"/>
        <v>0</v>
      </c>
      <c r="N71" s="564">
        <f t="shared" si="64"/>
        <v>0</v>
      </c>
      <c r="O71" s="565">
        <f t="shared" si="64"/>
        <v>0</v>
      </c>
      <c r="P71" s="565">
        <f t="shared" si="64"/>
        <v>0</v>
      </c>
      <c r="Q71" s="565">
        <f t="shared" si="64"/>
        <v>0</v>
      </c>
      <c r="R71" s="566">
        <f t="shared" si="64"/>
        <v>0</v>
      </c>
      <c r="S71" s="564">
        <f t="shared" si="64"/>
        <v>0</v>
      </c>
      <c r="T71" s="565">
        <f t="shared" si="64"/>
        <v>0</v>
      </c>
      <c r="U71" s="566">
        <f t="shared" si="64"/>
        <v>0</v>
      </c>
      <c r="V71" s="565">
        <f t="shared" si="64"/>
        <v>0</v>
      </c>
      <c r="W71" s="565">
        <f t="shared" si="64"/>
        <v>0</v>
      </c>
      <c r="X71" s="565">
        <f t="shared" si="64"/>
        <v>0</v>
      </c>
      <c r="Y71" s="565">
        <f t="shared" si="64"/>
        <v>0</v>
      </c>
      <c r="Z71" s="565">
        <f t="shared" si="64"/>
        <v>0</v>
      </c>
      <c r="AA71" s="564">
        <f t="shared" si="64"/>
        <v>147.67179410036042</v>
      </c>
      <c r="AB71" s="565">
        <f t="shared" si="64"/>
        <v>157.06692541294208</v>
      </c>
      <c r="AC71" s="565">
        <f t="shared" si="64"/>
        <v>162.06335820536538</v>
      </c>
      <c r="AD71" s="565">
        <f t="shared" si="64"/>
        <v>167.21873178423101</v>
      </c>
      <c r="AE71" s="566">
        <f t="shared" si="64"/>
        <v>172.53810219144805</v>
      </c>
      <c r="AF71" s="565">
        <f t="shared" si="64"/>
        <v>170.19778652505445</v>
      </c>
      <c r="AG71" s="565">
        <f>AG69*AG70/10^6</f>
        <v>167.88921502037817</v>
      </c>
      <c r="AH71" s="565">
        <f>AH69*AH70/10^6</f>
        <v>165.61195709798176</v>
      </c>
      <c r="AI71" s="565">
        <f>AI69*AI70/10^6</f>
        <v>163.36558801882933</v>
      </c>
      <c r="AJ71" s="566">
        <f t="shared" si="64"/>
        <v>161.149688805067</v>
      </c>
      <c r="AK71" s="548"/>
      <c r="AO71" s="567" t="str">
        <f t="shared" si="38"/>
        <v>Rev</v>
      </c>
      <c r="AP71" s="969" t="str">
        <f t="shared" si="38"/>
        <v>Water</v>
      </c>
      <c r="AQ71" s="970" t="str">
        <f t="shared" si="39"/>
        <v>Price cap - Fixed</v>
      </c>
      <c r="AR71" s="973" t="str">
        <f t="shared" si="40"/>
        <v>-</v>
      </c>
      <c r="AS71" s="951" t="str">
        <f t="shared" si="41"/>
        <v>-</v>
      </c>
      <c r="AT71" s="951" t="str">
        <f t="shared" si="42"/>
        <v>-</v>
      </c>
      <c r="AU71" s="951" t="str">
        <f t="shared" si="43"/>
        <v>-</v>
      </c>
      <c r="AV71" s="1351" t="str">
        <f t="shared" si="44"/>
        <v>-</v>
      </c>
      <c r="AW71" s="1344" t="str">
        <f t="shared" si="45"/>
        <v>-</v>
      </c>
      <c r="AX71" s="951">
        <f t="shared" si="46"/>
        <v>6.3621704942492752E-2</v>
      </c>
      <c r="AY71" s="951">
        <f t="shared" si="47"/>
        <v>3.1810852471245932E-2</v>
      </c>
      <c r="AZ71" s="951">
        <f t="shared" si="48"/>
        <v>3.1810852471246376E-2</v>
      </c>
      <c r="BA71" s="971">
        <f t="shared" si="49"/>
        <v>3.1810852471246154E-2</v>
      </c>
      <c r="BB71" s="1344">
        <f t="shared" si="50"/>
        <v>-1.3564051282984324E-2</v>
      </c>
      <c r="BC71" s="951">
        <f t="shared" si="51"/>
        <v>-1.3564051282984435E-2</v>
      </c>
      <c r="BD71" s="951">
        <f t="shared" si="52"/>
        <v>-1.3564051282984435E-2</v>
      </c>
      <c r="BE71" s="951">
        <f t="shared" si="53"/>
        <v>-1.3564051282984324E-2</v>
      </c>
      <c r="BF71" s="972">
        <f t="shared" si="54"/>
        <v>-1.3564051282984546E-2</v>
      </c>
      <c r="BG71" s="951"/>
      <c r="BH71" s="567" t="str">
        <f t="shared" si="55"/>
        <v>Rev</v>
      </c>
      <c r="BI71" s="969" t="str">
        <f t="shared" si="56"/>
        <v>Water</v>
      </c>
      <c r="BJ71" s="970" t="str">
        <f t="shared" si="57"/>
        <v>Price cap - Fixed</v>
      </c>
      <c r="BK71" s="951" t="str">
        <f t="shared" ref="BK71:BU71" si="65">IF(V71="","-",IFERROR((V71/U71-1)*(U71/U$13),"-"))</f>
        <v>-</v>
      </c>
      <c r="BL71" s="951" t="str">
        <f t="shared" si="65"/>
        <v>-</v>
      </c>
      <c r="BM71" s="951" t="str">
        <f t="shared" si="65"/>
        <v>-</v>
      </c>
      <c r="BN71" s="951" t="str">
        <f t="shared" si="65"/>
        <v>-</v>
      </c>
      <c r="BO71" s="1351" t="str">
        <f t="shared" si="65"/>
        <v>-</v>
      </c>
      <c r="BP71" s="1344" t="str">
        <f t="shared" si="65"/>
        <v>-</v>
      </c>
      <c r="BQ71" s="951">
        <f t="shared" si="65"/>
        <v>4.9623494038965781E-3</v>
      </c>
      <c r="BR71" s="951">
        <f t="shared" si="65"/>
        <v>2.5405688384434132E-3</v>
      </c>
      <c r="BS71" s="951">
        <f t="shared" si="65"/>
        <v>2.5717963720053765E-3</v>
      </c>
      <c r="BT71" s="971">
        <f t="shared" si="65"/>
        <v>2.6040490570452875E-3</v>
      </c>
      <c r="BU71" s="951">
        <f t="shared" si="65"/>
        <v>-1.1240807328615412E-3</v>
      </c>
      <c r="BV71" s="951">
        <f>IF(AG71="","-",IFERROR((AG71/AF71-1)*(AF71/AF$13),"-"))</f>
        <v>-1.0590869129808364E-3</v>
      </c>
      <c r="BW71" s="951">
        <f>IF(AH71="","-",IFERROR((AH71/AG71-1)*(AG71/AG$13),"-"))</f>
        <v>-1.030290451064875E-3</v>
      </c>
      <c r="BX71" s="951">
        <f>IF(AI71="","-",IFERROR((AI71/AH71-1)*(AH71/AH$13),"-"))</f>
        <v>-1.0016447044624319E-3</v>
      </c>
      <c r="BY71" s="972">
        <f>IF(AJ71="","-",IFERROR((AJ71/AI71-1)*(AI71/AI$13),"-"))</f>
        <v>-9.7133579419069697E-4</v>
      </c>
      <c r="BZ71" s="951"/>
      <c r="CA71" s="567" t="str">
        <f t="shared" si="35"/>
        <v>Rev</v>
      </c>
      <c r="CB71" s="969" t="str">
        <f t="shared" si="36"/>
        <v>Water</v>
      </c>
      <c r="CC71" s="969" t="str">
        <f t="shared" si="37"/>
        <v>Price cap - Fixed</v>
      </c>
      <c r="CD71" s="973" t="str">
        <f t="shared" si="59"/>
        <v>-</v>
      </c>
      <c r="CE71" s="951" t="str">
        <f t="shared" si="60"/>
        <v>-</v>
      </c>
      <c r="CF71" s="951" t="str">
        <f t="shared" si="60"/>
        <v>-</v>
      </c>
      <c r="CG71" s="971" t="str">
        <f t="shared" si="60"/>
        <v>-</v>
      </c>
      <c r="CH71" s="951" t="str">
        <f t="shared" si="61"/>
        <v>-</v>
      </c>
      <c r="CI71" s="951" t="str">
        <f t="shared" si="62"/>
        <v>-</v>
      </c>
      <c r="CJ71" s="951" t="str">
        <f t="shared" si="62"/>
        <v>-</v>
      </c>
      <c r="CK71" s="972" t="str">
        <f t="shared" si="62"/>
        <v>-</v>
      </c>
    </row>
    <row r="72" spans="4:89">
      <c r="D72" s="63">
        <f>D69+1</f>
        <v>2</v>
      </c>
      <c r="E72" s="567" t="s">
        <v>857</v>
      </c>
      <c r="F72" s="595" t="s">
        <v>401</v>
      </c>
      <c r="G72" s="595" t="s">
        <v>92</v>
      </c>
      <c r="H72" s="595" t="s">
        <v>938</v>
      </c>
      <c r="I72" s="589" t="s">
        <v>939</v>
      </c>
      <c r="J72" s="589" t="s">
        <v>879</v>
      </c>
      <c r="K72" s="551"/>
      <c r="L72" s="552"/>
      <c r="M72" s="552"/>
      <c r="N72" s="551"/>
      <c r="O72" s="552"/>
      <c r="P72" s="552"/>
      <c r="Q72" s="552"/>
      <c r="R72" s="1035"/>
      <c r="S72" s="1138"/>
      <c r="T72" s="591"/>
      <c r="U72" s="1035"/>
      <c r="V72" s="591"/>
      <c r="W72" s="591"/>
      <c r="X72" s="591"/>
      <c r="Y72" s="591"/>
      <c r="Z72" s="591"/>
      <c r="AA72" s="1138">
        <v>15504326.21504296</v>
      </c>
      <c r="AB72" s="591">
        <v>16886177.971153442</v>
      </c>
      <c r="AC72" s="591">
        <v>17145662.772916801</v>
      </c>
      <c r="AD72" s="591">
        <v>17409134.999333698</v>
      </c>
      <c r="AE72" s="1035">
        <v>17676655.923955645</v>
      </c>
      <c r="AF72" s="591">
        <v>17218702.077117726</v>
      </c>
      <c r="AG72" s="591">
        <v>16772612.562919185</v>
      </c>
      <c r="AH72" s="591">
        <v>16338080.008925114</v>
      </c>
      <c r="AI72" s="591">
        <v>15914805.005880382</v>
      </c>
      <c r="AJ72" s="592">
        <v>15502495.901405413</v>
      </c>
      <c r="AK72" s="548"/>
      <c r="AM72" s="974"/>
      <c r="AO72" s="975" t="str">
        <f t="shared" si="38"/>
        <v>Price</v>
      </c>
      <c r="AP72" s="976" t="str">
        <f t="shared" si="38"/>
        <v>Water</v>
      </c>
      <c r="AQ72" s="977" t="str">
        <f t="shared" si="39"/>
        <v>Price cap - Fixed</v>
      </c>
      <c r="AR72" s="1341" t="str">
        <f t="shared" si="40"/>
        <v>-</v>
      </c>
      <c r="AS72" s="978" t="str">
        <f t="shared" si="41"/>
        <v>-</v>
      </c>
      <c r="AT72" s="979" t="str">
        <f t="shared" si="42"/>
        <v>-</v>
      </c>
      <c r="AU72" s="979" t="str">
        <f t="shared" si="43"/>
        <v>-</v>
      </c>
      <c r="AV72" s="1352" t="str">
        <f t="shared" si="44"/>
        <v>-</v>
      </c>
      <c r="AW72" s="1345" t="str">
        <f t="shared" si="45"/>
        <v>-</v>
      </c>
      <c r="AX72" s="979">
        <f t="shared" si="46"/>
        <v>8.9126849947839037E-2</v>
      </c>
      <c r="AY72" s="979">
        <f t="shared" si="47"/>
        <v>1.5366698266868761E-2</v>
      </c>
      <c r="AZ72" s="979">
        <f t="shared" si="48"/>
        <v>1.5366698266868761E-2</v>
      </c>
      <c r="BA72" s="980">
        <f t="shared" si="49"/>
        <v>1.5366698266868761E-2</v>
      </c>
      <c r="BB72" s="1345">
        <f t="shared" si="50"/>
        <v>-2.5907267121565325E-2</v>
      </c>
      <c r="BC72" s="979">
        <f t="shared" si="51"/>
        <v>-2.5907267121565436E-2</v>
      </c>
      <c r="BD72" s="979">
        <f t="shared" si="52"/>
        <v>-2.5907267121565436E-2</v>
      </c>
      <c r="BE72" s="979">
        <f t="shared" si="53"/>
        <v>-2.5907267121565436E-2</v>
      </c>
      <c r="BF72" s="981">
        <f t="shared" si="54"/>
        <v>-2.5907267121565436E-2</v>
      </c>
      <c r="BG72" s="951"/>
      <c r="BH72" s="975" t="str">
        <f t="shared" si="55"/>
        <v>Price</v>
      </c>
      <c r="BI72" s="976" t="str">
        <f t="shared" si="56"/>
        <v>Water</v>
      </c>
      <c r="BJ72" s="977" t="str">
        <f t="shared" si="57"/>
        <v>Price cap - Fixed</v>
      </c>
      <c r="BK72" s="978" t="str">
        <f t="shared" ref="BK72:BU72" si="66">IF(V72="","-",IFERROR((V72/U72-1)*(U74/U$13),"-"))</f>
        <v>-</v>
      </c>
      <c r="BL72" s="978" t="str">
        <f t="shared" si="66"/>
        <v>-</v>
      </c>
      <c r="BM72" s="979" t="str">
        <f t="shared" si="66"/>
        <v>-</v>
      </c>
      <c r="BN72" s="979" t="str">
        <f t="shared" si="66"/>
        <v>-</v>
      </c>
      <c r="BO72" s="1352" t="str">
        <f t="shared" si="66"/>
        <v>-</v>
      </c>
      <c r="BP72" s="1345" t="str">
        <f t="shared" si="66"/>
        <v>-</v>
      </c>
      <c r="BQ72" s="979">
        <f t="shared" si="66"/>
        <v>8.7584486177754092E-3</v>
      </c>
      <c r="BR72" s="979">
        <f t="shared" si="66"/>
        <v>1.5833031976157411E-3</v>
      </c>
      <c r="BS72" s="979">
        <f t="shared" si="66"/>
        <v>1.5772209070573308E-3</v>
      </c>
      <c r="BT72" s="980">
        <f t="shared" si="66"/>
        <v>1.571549017657799E-3</v>
      </c>
      <c r="BU72" s="979">
        <f t="shared" si="66"/>
        <v>-2.6395264698471942E-3</v>
      </c>
      <c r="BV72" s="979">
        <f>IF(AG72="","-",IFERROR((AG72/AF72-1)*(AF74/AF$13),"-"))</f>
        <v>-2.455791725135611E-3</v>
      </c>
      <c r="BW72" s="979">
        <f>IF(AH72="","-",IFERROR((AH72/AG72-1)*(AG74/AG$13),"-"))</f>
        <v>-2.3591253497669946E-3</v>
      </c>
      <c r="BX72" s="979">
        <f>IF(AI72="","-",IFERROR((AI72/AH72-1)*(AH74/AH$13),"-"))</f>
        <v>-2.2648344081964101E-3</v>
      </c>
      <c r="BY72" s="981">
        <f>IF(AJ72="","-",IFERROR((AJ72/AI72-1)*(AI74/AI$13),"-"))</f>
        <v>-2.1688202547836947E-3</v>
      </c>
      <c r="BZ72" s="951"/>
      <c r="CA72" s="975" t="str">
        <f t="shared" si="35"/>
        <v>Price</v>
      </c>
      <c r="CB72" s="976" t="str">
        <f t="shared" si="36"/>
        <v>Water</v>
      </c>
      <c r="CC72" s="982" t="str">
        <f t="shared" si="37"/>
        <v>Price cap - Fixed</v>
      </c>
      <c r="CD72" s="983" t="str">
        <f t="shared" si="59"/>
        <v>-</v>
      </c>
      <c r="CE72" s="979" t="str">
        <f t="shared" si="60"/>
        <v>-</v>
      </c>
      <c r="CF72" s="979" t="str">
        <f t="shared" si="60"/>
        <v>-</v>
      </c>
      <c r="CG72" s="980" t="str">
        <f t="shared" si="60"/>
        <v>-</v>
      </c>
      <c r="CH72" s="979" t="str">
        <f t="shared" si="61"/>
        <v>-</v>
      </c>
      <c r="CI72" s="979" t="str">
        <f t="shared" si="62"/>
        <v>-</v>
      </c>
      <c r="CJ72" s="979" t="str">
        <f t="shared" si="62"/>
        <v>-</v>
      </c>
      <c r="CK72" s="981" t="str">
        <f t="shared" si="62"/>
        <v>-</v>
      </c>
    </row>
    <row r="73" spans="4:89">
      <c r="E73" s="567" t="s">
        <v>880</v>
      </c>
      <c r="F73" s="554" t="str">
        <f>+F72</f>
        <v>Water</v>
      </c>
      <c r="G73" s="555" t="str">
        <f>+G72</f>
        <v>SEW</v>
      </c>
      <c r="H73" s="555" t="str">
        <f>+H72</f>
        <v>South-Central Pool</v>
      </c>
      <c r="I73" s="556" t="str">
        <f>+I72</f>
        <v>Price cap - Fixed</v>
      </c>
      <c r="J73" s="590" t="s">
        <v>890</v>
      </c>
      <c r="K73" s="557"/>
      <c r="L73" s="558"/>
      <c r="M73" s="558"/>
      <c r="N73" s="557"/>
      <c r="O73" s="558"/>
      <c r="P73" s="558"/>
      <c r="Q73" s="558"/>
      <c r="R73" s="1036"/>
      <c r="S73" s="1139"/>
      <c r="T73" s="593"/>
      <c r="U73" s="1036"/>
      <c r="V73" s="593"/>
      <c r="W73" s="593"/>
      <c r="X73" s="593"/>
      <c r="Y73" s="593"/>
      <c r="Z73" s="593"/>
      <c r="AA73" s="1139">
        <v>12</v>
      </c>
      <c r="AB73" s="593">
        <v>12</v>
      </c>
      <c r="AC73" s="593">
        <v>12</v>
      </c>
      <c r="AD73" s="593">
        <v>12</v>
      </c>
      <c r="AE73" s="1036">
        <v>12</v>
      </c>
      <c r="AF73" s="593">
        <v>12</v>
      </c>
      <c r="AG73" s="593">
        <v>12</v>
      </c>
      <c r="AH73" s="593">
        <v>12</v>
      </c>
      <c r="AI73" s="593">
        <v>12</v>
      </c>
      <c r="AJ73" s="594">
        <v>12</v>
      </c>
      <c r="AK73" s="548"/>
      <c r="AO73" s="961" t="str">
        <f t="shared" si="38"/>
        <v>Qty</v>
      </c>
      <c r="AP73" s="962" t="str">
        <f t="shared" si="38"/>
        <v>Water</v>
      </c>
      <c r="AQ73" s="963" t="str">
        <f t="shared" si="39"/>
        <v>Price cap - Fixed</v>
      </c>
      <c r="AR73" s="967" t="str">
        <f t="shared" si="40"/>
        <v>-</v>
      </c>
      <c r="AS73" s="964" t="str">
        <f t="shared" si="41"/>
        <v>-</v>
      </c>
      <c r="AT73" s="964" t="str">
        <f t="shared" si="42"/>
        <v>-</v>
      </c>
      <c r="AU73" s="964" t="str">
        <f t="shared" si="43"/>
        <v>-</v>
      </c>
      <c r="AV73" s="1350" t="str">
        <f t="shared" si="44"/>
        <v>-</v>
      </c>
      <c r="AW73" s="1343" t="str">
        <f t="shared" si="45"/>
        <v>-</v>
      </c>
      <c r="AX73" s="964">
        <f t="shared" si="46"/>
        <v>0</v>
      </c>
      <c r="AY73" s="964">
        <f t="shared" si="47"/>
        <v>0</v>
      </c>
      <c r="AZ73" s="964">
        <f t="shared" si="48"/>
        <v>0</v>
      </c>
      <c r="BA73" s="965">
        <f t="shared" si="49"/>
        <v>0</v>
      </c>
      <c r="BB73" s="1343">
        <f t="shared" si="50"/>
        <v>0</v>
      </c>
      <c r="BC73" s="964">
        <f t="shared" si="51"/>
        <v>0</v>
      </c>
      <c r="BD73" s="964">
        <f t="shared" si="52"/>
        <v>0</v>
      </c>
      <c r="BE73" s="964">
        <f t="shared" si="53"/>
        <v>0</v>
      </c>
      <c r="BF73" s="966">
        <f t="shared" si="54"/>
        <v>0</v>
      </c>
      <c r="BG73" s="951"/>
      <c r="BH73" s="961" t="str">
        <f t="shared" si="55"/>
        <v>Qty</v>
      </c>
      <c r="BI73" s="962" t="str">
        <f t="shared" si="56"/>
        <v>Water</v>
      </c>
      <c r="BJ73" s="963" t="str">
        <f t="shared" si="57"/>
        <v>Price cap - Fixed</v>
      </c>
      <c r="BK73" s="964" t="str">
        <f t="shared" ref="BK73:BU73" si="67">IF(V73="","-",IFERROR((V73/U73-1)*(U74/U$13),"-"))</f>
        <v>-</v>
      </c>
      <c r="BL73" s="964" t="str">
        <f t="shared" si="67"/>
        <v>-</v>
      </c>
      <c r="BM73" s="964" t="str">
        <f t="shared" si="67"/>
        <v>-</v>
      </c>
      <c r="BN73" s="964" t="str">
        <f t="shared" si="67"/>
        <v>-</v>
      </c>
      <c r="BO73" s="1350" t="str">
        <f t="shared" si="67"/>
        <v>-</v>
      </c>
      <c r="BP73" s="1343" t="str">
        <f t="shared" si="67"/>
        <v>-</v>
      </c>
      <c r="BQ73" s="964">
        <f t="shared" si="67"/>
        <v>0</v>
      </c>
      <c r="BR73" s="964">
        <f t="shared" si="67"/>
        <v>0</v>
      </c>
      <c r="BS73" s="964">
        <f t="shared" si="67"/>
        <v>0</v>
      </c>
      <c r="BT73" s="965">
        <f t="shared" si="67"/>
        <v>0</v>
      </c>
      <c r="BU73" s="964">
        <f t="shared" si="67"/>
        <v>0</v>
      </c>
      <c r="BV73" s="964">
        <f>IF(AG73="","-",IFERROR((AG73/AF73-1)*(AF74/AF$13),"-"))</f>
        <v>0</v>
      </c>
      <c r="BW73" s="964">
        <f>IF(AH73="","-",IFERROR((AH73/AG73-1)*(AG74/AG$13),"-"))</f>
        <v>0</v>
      </c>
      <c r="BX73" s="964">
        <f>IF(AI73="","-",IFERROR((AI73/AH73-1)*(AH74/AH$13),"-"))</f>
        <v>0</v>
      </c>
      <c r="BY73" s="966">
        <f>IF(AJ73="","-",IFERROR((AJ73/AI73-1)*(AI74/AI$13),"-"))</f>
        <v>0</v>
      </c>
      <c r="BZ73" s="951"/>
      <c r="CA73" s="961" t="str">
        <f t="shared" si="35"/>
        <v>Qty</v>
      </c>
      <c r="CB73" s="962" t="str">
        <f t="shared" si="36"/>
        <v>Water</v>
      </c>
      <c r="CC73" s="962" t="str">
        <f t="shared" si="37"/>
        <v>Price cap - Fixed</v>
      </c>
      <c r="CD73" s="967" t="str">
        <f t="shared" si="59"/>
        <v>-</v>
      </c>
      <c r="CE73" s="964" t="str">
        <f t="shared" si="60"/>
        <v>-</v>
      </c>
      <c r="CF73" s="964" t="str">
        <f t="shared" si="60"/>
        <v>-</v>
      </c>
      <c r="CG73" s="965" t="str">
        <f t="shared" si="60"/>
        <v>-</v>
      </c>
      <c r="CH73" s="964" t="str">
        <f t="shared" si="61"/>
        <v>-</v>
      </c>
      <c r="CI73" s="964" t="str">
        <f t="shared" si="62"/>
        <v>-</v>
      </c>
      <c r="CJ73" s="964" t="str">
        <f t="shared" si="62"/>
        <v>-</v>
      </c>
      <c r="CK73" s="966" t="str">
        <f t="shared" si="62"/>
        <v>-</v>
      </c>
    </row>
    <row r="74" spans="4:89" ht="12.75" thickBot="1">
      <c r="E74" s="568" t="s">
        <v>882</v>
      </c>
      <c r="F74" s="560" t="str">
        <f>+F72</f>
        <v>Water</v>
      </c>
      <c r="G74" s="561" t="str">
        <f>+G72</f>
        <v>SEW</v>
      </c>
      <c r="H74" s="561" t="str">
        <f>+H72</f>
        <v>South-Central Pool</v>
      </c>
      <c r="I74" s="562" t="str">
        <f>+I72</f>
        <v>Price cap - Fixed</v>
      </c>
      <c r="J74" s="563" t="s">
        <v>883</v>
      </c>
      <c r="K74" s="564">
        <f t="shared" ref="K74:AJ74" si="68">K72*K73/10^6</f>
        <v>0</v>
      </c>
      <c r="L74" s="565">
        <f t="shared" si="68"/>
        <v>0</v>
      </c>
      <c r="M74" s="565">
        <f t="shared" si="68"/>
        <v>0</v>
      </c>
      <c r="N74" s="564">
        <f t="shared" si="68"/>
        <v>0</v>
      </c>
      <c r="O74" s="565">
        <f t="shared" si="68"/>
        <v>0</v>
      </c>
      <c r="P74" s="565">
        <f t="shared" si="68"/>
        <v>0</v>
      </c>
      <c r="Q74" s="565">
        <f t="shared" si="68"/>
        <v>0</v>
      </c>
      <c r="R74" s="566">
        <f t="shared" si="68"/>
        <v>0</v>
      </c>
      <c r="S74" s="564">
        <f t="shared" si="68"/>
        <v>0</v>
      </c>
      <c r="T74" s="565">
        <f t="shared" si="68"/>
        <v>0</v>
      </c>
      <c r="U74" s="566">
        <f t="shared" si="68"/>
        <v>0</v>
      </c>
      <c r="V74" s="565">
        <f t="shared" si="68"/>
        <v>0</v>
      </c>
      <c r="W74" s="565">
        <f t="shared" si="68"/>
        <v>0</v>
      </c>
      <c r="X74" s="565">
        <f t="shared" si="68"/>
        <v>0</v>
      </c>
      <c r="Y74" s="565">
        <f t="shared" si="68"/>
        <v>0</v>
      </c>
      <c r="Z74" s="565">
        <f t="shared" si="68"/>
        <v>0</v>
      </c>
      <c r="AA74" s="564">
        <f t="shared" si="68"/>
        <v>186.0519145805155</v>
      </c>
      <c r="AB74" s="565">
        <f t="shared" si="68"/>
        <v>202.63413565384133</v>
      </c>
      <c r="AC74" s="565">
        <f t="shared" si="68"/>
        <v>205.74795327500161</v>
      </c>
      <c r="AD74" s="565">
        <f t="shared" si="68"/>
        <v>208.90961999200439</v>
      </c>
      <c r="AE74" s="566">
        <f t="shared" si="68"/>
        <v>212.11987108746774</v>
      </c>
      <c r="AF74" s="565">
        <f t="shared" si="68"/>
        <v>206.62442492541271</v>
      </c>
      <c r="AG74" s="565">
        <f>AG72*AG73/10^6</f>
        <v>201.27135075503023</v>
      </c>
      <c r="AH74" s="565">
        <f>AH72*AH73/10^6</f>
        <v>196.05696010710139</v>
      </c>
      <c r="AI74" s="565">
        <f>AI72*AI73/10^6</f>
        <v>190.97766007056458</v>
      </c>
      <c r="AJ74" s="566">
        <f t="shared" si="68"/>
        <v>186.02995081686495</v>
      </c>
      <c r="AK74" s="548"/>
      <c r="AO74" s="984" t="str">
        <f t="shared" si="38"/>
        <v>Rev</v>
      </c>
      <c r="AP74" s="985" t="str">
        <f t="shared" si="38"/>
        <v>Water</v>
      </c>
      <c r="AQ74" s="986" t="str">
        <f t="shared" si="39"/>
        <v>Price cap - Fixed</v>
      </c>
      <c r="AR74" s="990" t="str">
        <f t="shared" si="40"/>
        <v>-</v>
      </c>
      <c r="AS74" s="987" t="str">
        <f t="shared" si="41"/>
        <v>-</v>
      </c>
      <c r="AT74" s="987" t="str">
        <f t="shared" si="42"/>
        <v>-</v>
      </c>
      <c r="AU74" s="987" t="str">
        <f t="shared" si="43"/>
        <v>-</v>
      </c>
      <c r="AV74" s="1353" t="str">
        <f t="shared" si="44"/>
        <v>-</v>
      </c>
      <c r="AW74" s="1346" t="str">
        <f t="shared" si="45"/>
        <v>-</v>
      </c>
      <c r="AX74" s="987">
        <f t="shared" si="46"/>
        <v>8.912684994783926E-2</v>
      </c>
      <c r="AY74" s="987">
        <f t="shared" si="47"/>
        <v>1.5366698266868539E-2</v>
      </c>
      <c r="AZ74" s="987">
        <f t="shared" si="48"/>
        <v>1.5366698266868983E-2</v>
      </c>
      <c r="BA74" s="988">
        <f t="shared" si="49"/>
        <v>1.5366698266868761E-2</v>
      </c>
      <c r="BB74" s="1346">
        <f t="shared" si="50"/>
        <v>-2.5907267121565325E-2</v>
      </c>
      <c r="BC74" s="987">
        <f t="shared" si="51"/>
        <v>-2.5907267121565325E-2</v>
      </c>
      <c r="BD74" s="987">
        <f t="shared" si="52"/>
        <v>-2.5907267121565325E-2</v>
      </c>
      <c r="BE74" s="987">
        <f t="shared" si="53"/>
        <v>-2.5907267121565658E-2</v>
      </c>
      <c r="BF74" s="989">
        <f t="shared" si="54"/>
        <v>-2.5907267121565436E-2</v>
      </c>
      <c r="BG74" s="951"/>
      <c r="BH74" s="984" t="str">
        <f t="shared" si="55"/>
        <v>Rev</v>
      </c>
      <c r="BI74" s="985" t="str">
        <f t="shared" si="56"/>
        <v>Water</v>
      </c>
      <c r="BJ74" s="986" t="str">
        <f t="shared" si="57"/>
        <v>Price cap - Fixed</v>
      </c>
      <c r="BK74" s="987" t="str">
        <f t="shared" ref="BK74:BU74" si="69">IF(V74="","-",IFERROR((V74/U74-1)*(U74/U$13),"-"))</f>
        <v>-</v>
      </c>
      <c r="BL74" s="987" t="str">
        <f t="shared" si="69"/>
        <v>-</v>
      </c>
      <c r="BM74" s="987" t="str">
        <f t="shared" si="69"/>
        <v>-</v>
      </c>
      <c r="BN74" s="987" t="str">
        <f t="shared" si="69"/>
        <v>-</v>
      </c>
      <c r="BO74" s="1353" t="str">
        <f t="shared" si="69"/>
        <v>-</v>
      </c>
      <c r="BP74" s="1346" t="str">
        <f t="shared" si="69"/>
        <v>-</v>
      </c>
      <c r="BQ74" s="987">
        <f t="shared" si="69"/>
        <v>8.75844861777543E-3</v>
      </c>
      <c r="BR74" s="987">
        <f t="shared" si="69"/>
        <v>1.5833031976157182E-3</v>
      </c>
      <c r="BS74" s="987">
        <f t="shared" si="69"/>
        <v>1.5772209070573535E-3</v>
      </c>
      <c r="BT74" s="988">
        <f t="shared" si="69"/>
        <v>1.571549017657799E-3</v>
      </c>
      <c r="BU74" s="987">
        <f t="shared" si="69"/>
        <v>-2.6395264698471942E-3</v>
      </c>
      <c r="BV74" s="987">
        <f>IF(AG74="","-",IFERROR((AG74/AF74-1)*(AF74/AF$13),"-"))</f>
        <v>-2.4557917251356006E-3</v>
      </c>
      <c r="BW74" s="987">
        <f>IF(AH74="","-",IFERROR((AH74/AG74-1)*(AG74/AG$13),"-"))</f>
        <v>-2.3591253497669846E-3</v>
      </c>
      <c r="BX74" s="987">
        <f>IF(AI74="","-",IFERROR((AI74/AH74-1)*(AH74/AH$13),"-"))</f>
        <v>-2.2648344081964296E-3</v>
      </c>
      <c r="BY74" s="989">
        <f>IF(AJ74="","-",IFERROR((AJ74/AI74-1)*(AI74/AI$13),"-"))</f>
        <v>-2.1688202547836947E-3</v>
      </c>
      <c r="BZ74" s="951"/>
      <c r="CA74" s="984" t="str">
        <f t="shared" si="35"/>
        <v>Rev</v>
      </c>
      <c r="CB74" s="985" t="str">
        <f t="shared" si="36"/>
        <v>Water</v>
      </c>
      <c r="CC74" s="985" t="str">
        <f t="shared" si="37"/>
        <v>Price cap - Fixed</v>
      </c>
      <c r="CD74" s="990" t="str">
        <f t="shared" si="59"/>
        <v>-</v>
      </c>
      <c r="CE74" s="987" t="str">
        <f t="shared" si="60"/>
        <v>-</v>
      </c>
      <c r="CF74" s="987" t="str">
        <f t="shared" si="60"/>
        <v>-</v>
      </c>
      <c r="CG74" s="988" t="str">
        <f t="shared" si="60"/>
        <v>-</v>
      </c>
      <c r="CH74" s="987" t="str">
        <f t="shared" si="61"/>
        <v>-</v>
      </c>
      <c r="CI74" s="987" t="str">
        <f t="shared" si="62"/>
        <v>-</v>
      </c>
      <c r="CJ74" s="987" t="str">
        <f t="shared" si="62"/>
        <v>-</v>
      </c>
      <c r="CK74" s="989" t="str">
        <f t="shared" si="62"/>
        <v>-</v>
      </c>
    </row>
    <row r="75" spans="4:89">
      <c r="D75" s="63">
        <f>D72+1</f>
        <v>3</v>
      </c>
      <c r="E75" s="550" t="s">
        <v>857</v>
      </c>
      <c r="F75" s="595" t="s">
        <v>401</v>
      </c>
      <c r="G75" s="595" t="s">
        <v>103</v>
      </c>
      <c r="H75" s="595" t="s">
        <v>938</v>
      </c>
      <c r="I75" s="589" t="s">
        <v>939</v>
      </c>
      <c r="J75" s="589" t="s">
        <v>879</v>
      </c>
      <c r="K75" s="551"/>
      <c r="L75" s="552"/>
      <c r="M75" s="552"/>
      <c r="N75" s="551"/>
      <c r="O75" s="552"/>
      <c r="P75" s="552"/>
      <c r="Q75" s="552"/>
      <c r="R75" s="1035"/>
      <c r="S75" s="1138"/>
      <c r="T75" s="591"/>
      <c r="U75" s="1035"/>
      <c r="V75" s="591"/>
      <c r="W75" s="591"/>
      <c r="X75" s="591"/>
      <c r="Y75" s="591"/>
      <c r="Z75" s="591"/>
      <c r="AA75" s="1138">
        <v>15525549.507777976</v>
      </c>
      <c r="AB75" s="591">
        <v>17471209.903521806</v>
      </c>
      <c r="AC75" s="591">
        <v>17471209.903521806</v>
      </c>
      <c r="AD75" s="591">
        <v>17471209.903521806</v>
      </c>
      <c r="AE75" s="1035">
        <v>17471209.903521806</v>
      </c>
      <c r="AF75" s="591">
        <v>17229409.489215467</v>
      </c>
      <c r="AG75" s="591">
        <v>16990955.576993506</v>
      </c>
      <c r="AH75" s="591">
        <v>16755801.851483664</v>
      </c>
      <c r="AI75" s="591">
        <v>16523902.638315435</v>
      </c>
      <c r="AJ75" s="592">
        <v>16295212.895248652</v>
      </c>
      <c r="AK75" s="548"/>
      <c r="AM75" s="974"/>
      <c r="AO75" s="975" t="str">
        <f t="shared" si="38"/>
        <v>Price</v>
      </c>
      <c r="AP75" s="976" t="str">
        <f t="shared" si="38"/>
        <v>Water</v>
      </c>
      <c r="AQ75" s="977" t="str">
        <f t="shared" si="39"/>
        <v>Price cap - Fixed</v>
      </c>
      <c r="AR75" s="1341" t="str">
        <f t="shared" si="40"/>
        <v>-</v>
      </c>
      <c r="AS75" s="978" t="str">
        <f t="shared" si="41"/>
        <v>-</v>
      </c>
      <c r="AT75" s="979" t="str">
        <f t="shared" si="42"/>
        <v>-</v>
      </c>
      <c r="AU75" s="979" t="str">
        <f t="shared" si="43"/>
        <v>-</v>
      </c>
      <c r="AV75" s="1352" t="str">
        <f t="shared" si="44"/>
        <v>-</v>
      </c>
      <c r="AW75" s="1345" t="str">
        <f t="shared" si="45"/>
        <v>-</v>
      </c>
      <c r="AX75" s="979">
        <f t="shared" si="46"/>
        <v>0.12531990540940896</v>
      </c>
      <c r="AY75" s="979">
        <f t="shared" si="47"/>
        <v>0</v>
      </c>
      <c r="AZ75" s="979">
        <f t="shared" si="48"/>
        <v>0</v>
      </c>
      <c r="BA75" s="980">
        <f t="shared" si="49"/>
        <v>0</v>
      </c>
      <c r="BB75" s="1345">
        <f t="shared" si="50"/>
        <v>-1.3839935278758042E-2</v>
      </c>
      <c r="BC75" s="979">
        <f t="shared" si="51"/>
        <v>-1.3839935278757931E-2</v>
      </c>
      <c r="BD75" s="979">
        <f t="shared" si="52"/>
        <v>-1.3839935278758042E-2</v>
      </c>
      <c r="BE75" s="979">
        <f t="shared" si="53"/>
        <v>-1.3839935278758042E-2</v>
      </c>
      <c r="BF75" s="981">
        <f t="shared" si="54"/>
        <v>-1.3839935278758042E-2</v>
      </c>
      <c r="BG75" s="951"/>
      <c r="BH75" s="975" t="str">
        <f t="shared" si="55"/>
        <v>Price</v>
      </c>
      <c r="BI75" s="976" t="str">
        <f t="shared" si="56"/>
        <v>Water</v>
      </c>
      <c r="BJ75" s="977" t="str">
        <f t="shared" si="57"/>
        <v>Price cap - Fixed</v>
      </c>
      <c r="BK75" s="978" t="str">
        <f t="shared" ref="BK75:BU75" si="70">IF(V75="","-",IFERROR((V75/U75-1)*(U77/U$13),"-"))</f>
        <v>-</v>
      </c>
      <c r="BL75" s="978" t="str">
        <f t="shared" si="70"/>
        <v>-</v>
      </c>
      <c r="BM75" s="979" t="str">
        <f t="shared" si="70"/>
        <v>-</v>
      </c>
      <c r="BN75" s="979" t="str">
        <f t="shared" si="70"/>
        <v>-</v>
      </c>
      <c r="BO75" s="1352" t="str">
        <f t="shared" si="70"/>
        <v>-</v>
      </c>
      <c r="BP75" s="1345" t="str">
        <f t="shared" si="70"/>
        <v>-</v>
      </c>
      <c r="BQ75" s="979">
        <f t="shared" si="70"/>
        <v>1.2331978830875742E-2</v>
      </c>
      <c r="BR75" s="979">
        <f t="shared" si="70"/>
        <v>0</v>
      </c>
      <c r="BS75" s="979">
        <f t="shared" si="70"/>
        <v>0</v>
      </c>
      <c r="BT75" s="980">
        <f t="shared" si="70"/>
        <v>0</v>
      </c>
      <c r="BU75" s="979">
        <f t="shared" si="70"/>
        <v>-1.3936744901009344E-3</v>
      </c>
      <c r="BV75" s="979">
        <f>IF(AG75="","-",IFERROR((AG75/AF75-1)*(AF77/AF$13),"-"))</f>
        <v>-1.3127256432220696E-3</v>
      </c>
      <c r="BW75" s="979">
        <f>IF(AH75="","-",IFERROR((AH75/AG75-1)*(AG77/AG$13),"-"))</f>
        <v>-1.2766756134685114E-3</v>
      </c>
      <c r="BX75" s="979">
        <f>IF(AI75="","-",IFERROR((AI75/AH75-1)*(AH77/AH$13),"-"))</f>
        <v>-1.2408323511643162E-3</v>
      </c>
      <c r="BY75" s="981">
        <f>IF(AJ75="","-",IFERROR((AJ75/AI75-1)*(AI77/AI$13),"-"))</f>
        <v>-1.2029492956652187E-3</v>
      </c>
      <c r="BZ75" s="951"/>
      <c r="CA75" s="975" t="str">
        <f t="shared" si="35"/>
        <v>Price</v>
      </c>
      <c r="CB75" s="976" t="str">
        <f t="shared" si="36"/>
        <v>Water</v>
      </c>
      <c r="CC75" s="982" t="str">
        <f t="shared" si="37"/>
        <v>Price cap - Fixed</v>
      </c>
      <c r="CD75" s="983" t="str">
        <f t="shared" si="59"/>
        <v>-</v>
      </c>
      <c r="CE75" s="979" t="str">
        <f t="shared" si="60"/>
        <v>-</v>
      </c>
      <c r="CF75" s="979" t="str">
        <f t="shared" si="60"/>
        <v>-</v>
      </c>
      <c r="CG75" s="980" t="str">
        <f t="shared" si="60"/>
        <v>-</v>
      </c>
      <c r="CH75" s="979" t="str">
        <f t="shared" si="61"/>
        <v>-</v>
      </c>
      <c r="CI75" s="979" t="str">
        <f t="shared" si="62"/>
        <v>-</v>
      </c>
      <c r="CJ75" s="979" t="str">
        <f t="shared" si="62"/>
        <v>-</v>
      </c>
      <c r="CK75" s="981" t="str">
        <f t="shared" si="62"/>
        <v>-</v>
      </c>
    </row>
    <row r="76" spans="4:89">
      <c r="E76" s="567" t="s">
        <v>880</v>
      </c>
      <c r="F76" s="554" t="str">
        <f>+F75</f>
        <v>Water</v>
      </c>
      <c r="G76" s="555" t="str">
        <f>+G75</f>
        <v>YVW</v>
      </c>
      <c r="H76" s="555" t="str">
        <f>+H75</f>
        <v>South-Central Pool</v>
      </c>
      <c r="I76" s="556" t="str">
        <f>+I75</f>
        <v>Price cap - Fixed</v>
      </c>
      <c r="J76" s="590" t="s">
        <v>890</v>
      </c>
      <c r="K76" s="557"/>
      <c r="L76" s="558"/>
      <c r="M76" s="558"/>
      <c r="N76" s="557"/>
      <c r="O76" s="558"/>
      <c r="P76" s="558"/>
      <c r="Q76" s="558"/>
      <c r="R76" s="1036"/>
      <c r="S76" s="1139"/>
      <c r="T76" s="593"/>
      <c r="U76" s="1036"/>
      <c r="V76" s="593"/>
      <c r="W76" s="593"/>
      <c r="X76" s="593"/>
      <c r="Y76" s="593"/>
      <c r="Z76" s="593"/>
      <c r="AA76" s="1139">
        <v>12</v>
      </c>
      <c r="AB76" s="593">
        <v>12</v>
      </c>
      <c r="AC76" s="593">
        <v>12</v>
      </c>
      <c r="AD76" s="593">
        <v>12</v>
      </c>
      <c r="AE76" s="1036">
        <v>12</v>
      </c>
      <c r="AF76" s="593">
        <v>12</v>
      </c>
      <c r="AG76" s="593">
        <v>12</v>
      </c>
      <c r="AH76" s="593">
        <v>12</v>
      </c>
      <c r="AI76" s="593">
        <v>12</v>
      </c>
      <c r="AJ76" s="594">
        <v>12</v>
      </c>
      <c r="AK76" s="548"/>
      <c r="AO76" s="961" t="str">
        <f t="shared" si="38"/>
        <v>Qty</v>
      </c>
      <c r="AP76" s="962" t="str">
        <f t="shared" si="38"/>
        <v>Water</v>
      </c>
      <c r="AQ76" s="963" t="str">
        <f t="shared" si="39"/>
        <v>Price cap - Fixed</v>
      </c>
      <c r="AR76" s="967" t="str">
        <f t="shared" si="40"/>
        <v>-</v>
      </c>
      <c r="AS76" s="964" t="str">
        <f t="shared" si="41"/>
        <v>-</v>
      </c>
      <c r="AT76" s="964" t="str">
        <f t="shared" si="42"/>
        <v>-</v>
      </c>
      <c r="AU76" s="964" t="str">
        <f t="shared" si="43"/>
        <v>-</v>
      </c>
      <c r="AV76" s="1350" t="str">
        <f t="shared" si="44"/>
        <v>-</v>
      </c>
      <c r="AW76" s="1343" t="str">
        <f t="shared" si="45"/>
        <v>-</v>
      </c>
      <c r="AX76" s="964">
        <f t="shared" si="46"/>
        <v>0</v>
      </c>
      <c r="AY76" s="964">
        <f t="shared" si="47"/>
        <v>0</v>
      </c>
      <c r="AZ76" s="964">
        <f t="shared" si="48"/>
        <v>0</v>
      </c>
      <c r="BA76" s="965">
        <f t="shared" si="49"/>
        <v>0</v>
      </c>
      <c r="BB76" s="1343">
        <f t="shared" si="50"/>
        <v>0</v>
      </c>
      <c r="BC76" s="964">
        <f t="shared" si="51"/>
        <v>0</v>
      </c>
      <c r="BD76" s="964">
        <f t="shared" si="52"/>
        <v>0</v>
      </c>
      <c r="BE76" s="964">
        <f t="shared" si="53"/>
        <v>0</v>
      </c>
      <c r="BF76" s="966">
        <f t="shared" si="54"/>
        <v>0</v>
      </c>
      <c r="BG76" s="951"/>
      <c r="BH76" s="961" t="str">
        <f t="shared" si="55"/>
        <v>Qty</v>
      </c>
      <c r="BI76" s="962" t="str">
        <f t="shared" si="56"/>
        <v>Water</v>
      </c>
      <c r="BJ76" s="963" t="str">
        <f t="shared" si="57"/>
        <v>Price cap - Fixed</v>
      </c>
      <c r="BK76" s="964" t="str">
        <f t="shared" ref="BK76:BU76" si="71">IF(V76="","-",IFERROR((V76/U76-1)*(U77/U$13),"-"))</f>
        <v>-</v>
      </c>
      <c r="BL76" s="964" t="str">
        <f t="shared" si="71"/>
        <v>-</v>
      </c>
      <c r="BM76" s="964" t="str">
        <f t="shared" si="71"/>
        <v>-</v>
      </c>
      <c r="BN76" s="964" t="str">
        <f t="shared" si="71"/>
        <v>-</v>
      </c>
      <c r="BO76" s="1350" t="str">
        <f t="shared" si="71"/>
        <v>-</v>
      </c>
      <c r="BP76" s="1343" t="str">
        <f t="shared" si="71"/>
        <v>-</v>
      </c>
      <c r="BQ76" s="964">
        <f t="shared" si="71"/>
        <v>0</v>
      </c>
      <c r="BR76" s="964">
        <f t="shared" si="71"/>
        <v>0</v>
      </c>
      <c r="BS76" s="964">
        <f t="shared" si="71"/>
        <v>0</v>
      </c>
      <c r="BT76" s="965">
        <f t="shared" si="71"/>
        <v>0</v>
      </c>
      <c r="BU76" s="964">
        <f t="shared" si="71"/>
        <v>0</v>
      </c>
      <c r="BV76" s="964">
        <f>IF(AG76="","-",IFERROR((AG76/AF76-1)*(AF77/AF$13),"-"))</f>
        <v>0</v>
      </c>
      <c r="BW76" s="964">
        <f>IF(AH76="","-",IFERROR((AH76/AG76-1)*(AG77/AG$13),"-"))</f>
        <v>0</v>
      </c>
      <c r="BX76" s="964">
        <f>IF(AI76="","-",IFERROR((AI76/AH76-1)*(AH77/AH$13),"-"))</f>
        <v>0</v>
      </c>
      <c r="BY76" s="966">
        <f>IF(AJ76="","-",IFERROR((AJ76/AI76-1)*(AI77/AI$13),"-"))</f>
        <v>0</v>
      </c>
      <c r="BZ76" s="951"/>
      <c r="CA76" s="961" t="str">
        <f t="shared" si="35"/>
        <v>Qty</v>
      </c>
      <c r="CB76" s="962" t="str">
        <f t="shared" si="36"/>
        <v>Water</v>
      </c>
      <c r="CC76" s="962" t="str">
        <f t="shared" si="37"/>
        <v>Price cap - Fixed</v>
      </c>
      <c r="CD76" s="967" t="str">
        <f t="shared" si="59"/>
        <v>-</v>
      </c>
      <c r="CE76" s="964" t="str">
        <f t="shared" si="60"/>
        <v>-</v>
      </c>
      <c r="CF76" s="964" t="str">
        <f t="shared" si="60"/>
        <v>-</v>
      </c>
      <c r="CG76" s="965" t="str">
        <f t="shared" si="60"/>
        <v>-</v>
      </c>
      <c r="CH76" s="964" t="str">
        <f t="shared" si="61"/>
        <v>-</v>
      </c>
      <c r="CI76" s="964" t="str">
        <f t="shared" si="62"/>
        <v>-</v>
      </c>
      <c r="CJ76" s="964" t="str">
        <f t="shared" si="62"/>
        <v>-</v>
      </c>
      <c r="CK76" s="966" t="str">
        <f t="shared" si="62"/>
        <v>-</v>
      </c>
    </row>
    <row r="77" spans="4:89" ht="12.75" thickBot="1">
      <c r="E77" s="568" t="s">
        <v>882</v>
      </c>
      <c r="F77" s="560" t="str">
        <f>+F75</f>
        <v>Water</v>
      </c>
      <c r="G77" s="561" t="str">
        <f>+G75</f>
        <v>YVW</v>
      </c>
      <c r="H77" s="561" t="str">
        <f>+H75</f>
        <v>South-Central Pool</v>
      </c>
      <c r="I77" s="562" t="str">
        <f>+I75</f>
        <v>Price cap - Fixed</v>
      </c>
      <c r="J77" s="563" t="s">
        <v>883</v>
      </c>
      <c r="K77" s="564">
        <f t="shared" ref="K77:AJ77" si="72">K75*K76/10^6</f>
        <v>0</v>
      </c>
      <c r="L77" s="565">
        <f t="shared" si="72"/>
        <v>0</v>
      </c>
      <c r="M77" s="565">
        <f t="shared" si="72"/>
        <v>0</v>
      </c>
      <c r="N77" s="564">
        <f t="shared" si="72"/>
        <v>0</v>
      </c>
      <c r="O77" s="565">
        <f t="shared" si="72"/>
        <v>0</v>
      </c>
      <c r="P77" s="565">
        <f t="shared" si="72"/>
        <v>0</v>
      </c>
      <c r="Q77" s="565">
        <f t="shared" si="72"/>
        <v>0</v>
      </c>
      <c r="R77" s="566">
        <f t="shared" si="72"/>
        <v>0</v>
      </c>
      <c r="S77" s="564">
        <f t="shared" si="72"/>
        <v>0</v>
      </c>
      <c r="T77" s="565">
        <f t="shared" si="72"/>
        <v>0</v>
      </c>
      <c r="U77" s="566">
        <f t="shared" si="72"/>
        <v>0</v>
      </c>
      <c r="V77" s="565">
        <f t="shared" si="72"/>
        <v>0</v>
      </c>
      <c r="W77" s="565">
        <f t="shared" si="72"/>
        <v>0</v>
      </c>
      <c r="X77" s="565">
        <f t="shared" si="72"/>
        <v>0</v>
      </c>
      <c r="Y77" s="565">
        <f t="shared" si="72"/>
        <v>0</v>
      </c>
      <c r="Z77" s="565">
        <f t="shared" si="72"/>
        <v>0</v>
      </c>
      <c r="AA77" s="564">
        <f t="shared" si="72"/>
        <v>186.30659409333572</v>
      </c>
      <c r="AB77" s="565">
        <f t="shared" si="72"/>
        <v>209.65451884226167</v>
      </c>
      <c r="AC77" s="565">
        <f t="shared" si="72"/>
        <v>209.65451884226167</v>
      </c>
      <c r="AD77" s="565">
        <f t="shared" si="72"/>
        <v>209.65451884226167</v>
      </c>
      <c r="AE77" s="566">
        <f t="shared" si="72"/>
        <v>209.65451884226167</v>
      </c>
      <c r="AF77" s="565">
        <f t="shared" si="72"/>
        <v>206.75291387058562</v>
      </c>
      <c r="AG77" s="565">
        <f>AG75*AG76/10^6</f>
        <v>203.89146692392205</v>
      </c>
      <c r="AH77" s="565">
        <f>AH75*AH76/10^6</f>
        <v>201.06962221780395</v>
      </c>
      <c r="AI77" s="565">
        <f>AI75*AI76/10^6</f>
        <v>198.28683165978521</v>
      </c>
      <c r="AJ77" s="566">
        <f t="shared" si="72"/>
        <v>195.54255474298381</v>
      </c>
      <c r="AK77" s="548"/>
      <c r="AO77" s="984" t="str">
        <f t="shared" si="38"/>
        <v>Rev</v>
      </c>
      <c r="AP77" s="985" t="str">
        <f t="shared" si="38"/>
        <v>Water</v>
      </c>
      <c r="AQ77" s="986" t="str">
        <f t="shared" si="39"/>
        <v>Price cap - Fixed</v>
      </c>
      <c r="AR77" s="990" t="str">
        <f t="shared" si="40"/>
        <v>-</v>
      </c>
      <c r="AS77" s="987" t="str">
        <f t="shared" si="41"/>
        <v>-</v>
      </c>
      <c r="AT77" s="987" t="str">
        <f t="shared" si="42"/>
        <v>-</v>
      </c>
      <c r="AU77" s="987" t="str">
        <f t="shared" si="43"/>
        <v>-</v>
      </c>
      <c r="AV77" s="1353" t="str">
        <f t="shared" si="44"/>
        <v>-</v>
      </c>
      <c r="AW77" s="1346" t="str">
        <f t="shared" si="45"/>
        <v>-</v>
      </c>
      <c r="AX77" s="987">
        <f t="shared" si="46"/>
        <v>0.12531990540940874</v>
      </c>
      <c r="AY77" s="987">
        <f t="shared" si="47"/>
        <v>0</v>
      </c>
      <c r="AZ77" s="987">
        <f t="shared" si="48"/>
        <v>0</v>
      </c>
      <c r="BA77" s="988">
        <f t="shared" si="49"/>
        <v>0</v>
      </c>
      <c r="BB77" s="1346">
        <f t="shared" si="50"/>
        <v>-1.3839935278758042E-2</v>
      </c>
      <c r="BC77" s="987">
        <f t="shared" si="51"/>
        <v>-1.3839935278758153E-2</v>
      </c>
      <c r="BD77" s="987">
        <f t="shared" si="52"/>
        <v>-1.3839935278757931E-2</v>
      </c>
      <c r="BE77" s="987">
        <f t="shared" si="53"/>
        <v>-1.3839935278758042E-2</v>
      </c>
      <c r="BF77" s="989">
        <f t="shared" si="54"/>
        <v>-1.3839935278757931E-2</v>
      </c>
      <c r="BG77" s="951"/>
      <c r="BH77" s="984" t="str">
        <f t="shared" si="55"/>
        <v>Rev</v>
      </c>
      <c r="BI77" s="985" t="str">
        <f t="shared" si="56"/>
        <v>Water</v>
      </c>
      <c r="BJ77" s="986" t="str">
        <f t="shared" si="57"/>
        <v>Price cap - Fixed</v>
      </c>
      <c r="BK77" s="987" t="str">
        <f t="shared" ref="BK77:BU77" si="73">IF(V77="","-",IFERROR((V77/U77-1)*(U77/U$13),"-"))</f>
        <v>-</v>
      </c>
      <c r="BL77" s="987" t="str">
        <f t="shared" si="73"/>
        <v>-</v>
      </c>
      <c r="BM77" s="987" t="str">
        <f t="shared" si="73"/>
        <v>-</v>
      </c>
      <c r="BN77" s="987" t="str">
        <f t="shared" si="73"/>
        <v>-</v>
      </c>
      <c r="BO77" s="1353" t="str">
        <f t="shared" si="73"/>
        <v>-</v>
      </c>
      <c r="BP77" s="1346" t="str">
        <f t="shared" si="73"/>
        <v>-</v>
      </c>
      <c r="BQ77" s="987">
        <f t="shared" si="73"/>
        <v>1.2331978830875721E-2</v>
      </c>
      <c r="BR77" s="987">
        <f t="shared" si="73"/>
        <v>0</v>
      </c>
      <c r="BS77" s="987">
        <f t="shared" si="73"/>
        <v>0</v>
      </c>
      <c r="BT77" s="988">
        <f t="shared" si="73"/>
        <v>0</v>
      </c>
      <c r="BU77" s="987">
        <f t="shared" si="73"/>
        <v>-1.3936744901009344E-3</v>
      </c>
      <c r="BV77" s="987">
        <f>IF(AG77="","-",IFERROR((AG77/AF77-1)*(AF77/AF$13),"-"))</f>
        <v>-1.3127256432220907E-3</v>
      </c>
      <c r="BW77" s="987">
        <f>IF(AH77="","-",IFERROR((AH77/AG77-1)*(AG77/AG$13),"-"))</f>
        <v>-1.2766756134685012E-3</v>
      </c>
      <c r="BX77" s="987">
        <f>IF(AI77="","-",IFERROR((AI77/AH77-1)*(AH77/AH$13),"-"))</f>
        <v>-1.2408323511643162E-3</v>
      </c>
      <c r="BY77" s="989">
        <f>IF(AJ77="","-",IFERROR((AJ77/AI77-1)*(AI77/AI$13),"-"))</f>
        <v>-1.2029492956652091E-3</v>
      </c>
      <c r="BZ77" s="951"/>
      <c r="CA77" s="984" t="str">
        <f t="shared" si="35"/>
        <v>Rev</v>
      </c>
      <c r="CB77" s="985" t="str">
        <f t="shared" si="36"/>
        <v>Water</v>
      </c>
      <c r="CC77" s="985" t="str">
        <f t="shared" si="37"/>
        <v>Price cap - Fixed</v>
      </c>
      <c r="CD77" s="990" t="str">
        <f t="shared" si="59"/>
        <v>-</v>
      </c>
      <c r="CE77" s="987" t="str">
        <f t="shared" si="60"/>
        <v>-</v>
      </c>
      <c r="CF77" s="987" t="str">
        <f t="shared" si="60"/>
        <v>-</v>
      </c>
      <c r="CG77" s="988" t="str">
        <f t="shared" si="60"/>
        <v>-</v>
      </c>
      <c r="CH77" s="987" t="str">
        <f t="shared" si="61"/>
        <v>-</v>
      </c>
      <c r="CI77" s="987" t="str">
        <f t="shared" si="62"/>
        <v>-</v>
      </c>
      <c r="CJ77" s="987" t="str">
        <f t="shared" si="62"/>
        <v>-</v>
      </c>
      <c r="CK77" s="989" t="str">
        <f t="shared" si="62"/>
        <v>-</v>
      </c>
    </row>
    <row r="78" spans="4:89">
      <c r="D78" s="63">
        <f>D75+1</f>
        <v>4</v>
      </c>
      <c r="E78" s="550" t="s">
        <v>857</v>
      </c>
      <c r="F78" s="595" t="s">
        <v>401</v>
      </c>
      <c r="G78" s="595" t="s">
        <v>61</v>
      </c>
      <c r="H78" s="595" t="s">
        <v>938</v>
      </c>
      <c r="I78" s="589" t="s">
        <v>939</v>
      </c>
      <c r="J78" s="589" t="s">
        <v>879</v>
      </c>
      <c r="K78" s="551"/>
      <c r="L78" s="552"/>
      <c r="M78" s="552"/>
      <c r="N78" s="551"/>
      <c r="O78" s="552"/>
      <c r="P78" s="552"/>
      <c r="Q78" s="552"/>
      <c r="R78" s="1035"/>
      <c r="S78" s="1138"/>
      <c r="T78" s="591"/>
      <c r="U78" s="1035"/>
      <c r="V78" s="591"/>
      <c r="W78" s="591"/>
      <c r="X78" s="591"/>
      <c r="Y78" s="591"/>
      <c r="Z78" s="591"/>
      <c r="AA78" s="1138">
        <v>337280.71774432849</v>
      </c>
      <c r="AB78" s="591">
        <v>337280.71774432849</v>
      </c>
      <c r="AC78" s="591">
        <v>337280.71774432849</v>
      </c>
      <c r="AD78" s="591">
        <v>337280.71774432849</v>
      </c>
      <c r="AE78" s="1035">
        <v>337280.71774432849</v>
      </c>
      <c r="AF78" s="591">
        <v>390116.54403905937</v>
      </c>
      <c r="AG78" s="591">
        <v>451229.22813614801</v>
      </c>
      <c r="AH78" s="591">
        <v>521915.359487954</v>
      </c>
      <c r="AI78" s="591">
        <v>603674.64136709506</v>
      </c>
      <c r="AJ78" s="592">
        <v>698241.70912927855</v>
      </c>
      <c r="AK78" s="548"/>
      <c r="AM78" s="974"/>
      <c r="AO78" s="975" t="str">
        <f t="shared" si="38"/>
        <v>Price</v>
      </c>
      <c r="AP78" s="976" t="str">
        <f t="shared" si="38"/>
        <v>Water</v>
      </c>
      <c r="AQ78" s="977" t="str">
        <f t="shared" si="39"/>
        <v>Price cap - Fixed</v>
      </c>
      <c r="AR78" s="1341" t="str">
        <f t="shared" si="40"/>
        <v>-</v>
      </c>
      <c r="AS78" s="978" t="str">
        <f t="shared" si="41"/>
        <v>-</v>
      </c>
      <c r="AT78" s="979" t="str">
        <f t="shared" si="42"/>
        <v>-</v>
      </c>
      <c r="AU78" s="979" t="str">
        <f t="shared" si="43"/>
        <v>-</v>
      </c>
      <c r="AV78" s="1352" t="str">
        <f t="shared" si="44"/>
        <v>-</v>
      </c>
      <c r="AW78" s="1345" t="str">
        <f t="shared" si="45"/>
        <v>-</v>
      </c>
      <c r="AX78" s="979">
        <f t="shared" si="46"/>
        <v>0</v>
      </c>
      <c r="AY78" s="979">
        <f t="shared" si="47"/>
        <v>0</v>
      </c>
      <c r="AZ78" s="979">
        <f t="shared" si="48"/>
        <v>0</v>
      </c>
      <c r="BA78" s="980">
        <f t="shared" si="49"/>
        <v>0</v>
      </c>
      <c r="BB78" s="1345">
        <f t="shared" si="50"/>
        <v>0.1566523774263977</v>
      </c>
      <c r="BC78" s="979">
        <f t="shared" si="51"/>
        <v>0.1566523774263977</v>
      </c>
      <c r="BD78" s="979">
        <f t="shared" si="52"/>
        <v>0.1566523774263977</v>
      </c>
      <c r="BE78" s="979">
        <f t="shared" si="53"/>
        <v>0.1566523774263977</v>
      </c>
      <c r="BF78" s="981">
        <f t="shared" si="54"/>
        <v>0.1566523774263977</v>
      </c>
      <c r="BG78" s="951"/>
      <c r="BH78" s="975" t="str">
        <f t="shared" si="55"/>
        <v>Price</v>
      </c>
      <c r="BI78" s="976" t="str">
        <f t="shared" si="56"/>
        <v>Water</v>
      </c>
      <c r="BJ78" s="977" t="str">
        <f t="shared" si="57"/>
        <v>Price cap - Fixed</v>
      </c>
      <c r="BK78" s="978" t="str">
        <f t="shared" ref="BK78:BU78" si="74">IF(V78="","-",IFERROR((V78/U78-1)*(U80/U$13),"-"))</f>
        <v>-</v>
      </c>
      <c r="BL78" s="978" t="str">
        <f t="shared" si="74"/>
        <v>-</v>
      </c>
      <c r="BM78" s="979" t="str">
        <f t="shared" si="74"/>
        <v>-</v>
      </c>
      <c r="BN78" s="979" t="str">
        <f t="shared" si="74"/>
        <v>-</v>
      </c>
      <c r="BO78" s="1352" t="str">
        <f t="shared" si="74"/>
        <v>-</v>
      </c>
      <c r="BP78" s="1345" t="str">
        <f t="shared" si="74"/>
        <v>-</v>
      </c>
      <c r="BQ78" s="979">
        <f t="shared" si="74"/>
        <v>0</v>
      </c>
      <c r="BR78" s="979">
        <f t="shared" si="74"/>
        <v>0</v>
      </c>
      <c r="BS78" s="979">
        <f t="shared" si="74"/>
        <v>0</v>
      </c>
      <c r="BT78" s="980">
        <f t="shared" si="74"/>
        <v>0</v>
      </c>
      <c r="BU78" s="979">
        <f t="shared" si="74"/>
        <v>3.0453191522277861E-4</v>
      </c>
      <c r="BV78" s="979">
        <f>IF(AG78="","-",IFERROR((AG78/AF78-1)*(AF80/AF$13),"-"))</f>
        <v>3.3643477178811317E-4</v>
      </c>
      <c r="BW78" s="979">
        <f>IF(AH78="","-",IFERROR((AH78/AG78-1)*(AG80/AG$13),"-"))</f>
        <v>3.8376283391480971E-4</v>
      </c>
      <c r="BX78" s="979">
        <f>IF(AI78="","-",IFERROR((AI78/AH78-1)*(AH80/AH$13),"-"))</f>
        <v>4.374726441611746E-4</v>
      </c>
      <c r="BY78" s="981">
        <f>IF(AJ78="","-",IFERROR((AJ78/AI78-1)*(AI80/AI$13),"-"))</f>
        <v>4.9743983281498616E-4</v>
      </c>
      <c r="BZ78" s="951"/>
      <c r="CA78" s="975" t="str">
        <f t="shared" si="35"/>
        <v>Price</v>
      </c>
      <c r="CB78" s="976" t="str">
        <f t="shared" si="36"/>
        <v>Water</v>
      </c>
      <c r="CC78" s="982" t="str">
        <f t="shared" si="37"/>
        <v>Price cap - Fixed</v>
      </c>
      <c r="CD78" s="983" t="str">
        <f t="shared" si="59"/>
        <v>-</v>
      </c>
      <c r="CE78" s="979" t="str">
        <f t="shared" si="60"/>
        <v>-</v>
      </c>
      <c r="CF78" s="979" t="str">
        <f t="shared" si="60"/>
        <v>-</v>
      </c>
      <c r="CG78" s="980" t="str">
        <f t="shared" si="60"/>
        <v>-</v>
      </c>
      <c r="CH78" s="979" t="str">
        <f t="shared" si="61"/>
        <v>-</v>
      </c>
      <c r="CI78" s="979" t="str">
        <f t="shared" si="62"/>
        <v>-</v>
      </c>
      <c r="CJ78" s="979" t="str">
        <f t="shared" si="62"/>
        <v>-</v>
      </c>
      <c r="CK78" s="981" t="str">
        <f t="shared" si="62"/>
        <v>-</v>
      </c>
    </row>
    <row r="79" spans="4:89">
      <c r="E79" s="567" t="s">
        <v>880</v>
      </c>
      <c r="F79" s="554" t="str">
        <f>+F78</f>
        <v>Water</v>
      </c>
      <c r="G79" s="555" t="str">
        <f>+G78</f>
        <v>BW</v>
      </c>
      <c r="H79" s="555" t="str">
        <f>+H78</f>
        <v>South-Central Pool</v>
      </c>
      <c r="I79" s="556" t="str">
        <f>+I78</f>
        <v>Price cap - Fixed</v>
      </c>
      <c r="J79" s="590" t="s">
        <v>890</v>
      </c>
      <c r="K79" s="557"/>
      <c r="L79" s="558"/>
      <c r="M79" s="558"/>
      <c r="N79" s="557"/>
      <c r="O79" s="558"/>
      <c r="P79" s="558"/>
      <c r="Q79" s="558"/>
      <c r="R79" s="1036"/>
      <c r="S79" s="1139"/>
      <c r="T79" s="593"/>
      <c r="U79" s="1036"/>
      <c r="V79" s="593"/>
      <c r="W79" s="593"/>
      <c r="X79" s="593"/>
      <c r="Y79" s="593"/>
      <c r="Z79" s="593"/>
      <c r="AA79" s="1139">
        <v>12</v>
      </c>
      <c r="AB79" s="593">
        <v>12</v>
      </c>
      <c r="AC79" s="593">
        <v>12</v>
      </c>
      <c r="AD79" s="593">
        <v>12</v>
      </c>
      <c r="AE79" s="1036">
        <v>12</v>
      </c>
      <c r="AF79" s="593">
        <v>12</v>
      </c>
      <c r="AG79" s="593">
        <v>12</v>
      </c>
      <c r="AH79" s="593">
        <v>12</v>
      </c>
      <c r="AI79" s="593">
        <v>12</v>
      </c>
      <c r="AJ79" s="594">
        <v>12</v>
      </c>
      <c r="AK79" s="548"/>
      <c r="AO79" s="961" t="str">
        <f t="shared" si="38"/>
        <v>Qty</v>
      </c>
      <c r="AP79" s="962" t="str">
        <f t="shared" si="38"/>
        <v>Water</v>
      </c>
      <c r="AQ79" s="963" t="str">
        <f t="shared" si="39"/>
        <v>Price cap - Fixed</v>
      </c>
      <c r="AR79" s="967" t="str">
        <f t="shared" si="40"/>
        <v>-</v>
      </c>
      <c r="AS79" s="964" t="str">
        <f t="shared" si="41"/>
        <v>-</v>
      </c>
      <c r="AT79" s="964" t="str">
        <f t="shared" si="42"/>
        <v>-</v>
      </c>
      <c r="AU79" s="964" t="str">
        <f t="shared" si="43"/>
        <v>-</v>
      </c>
      <c r="AV79" s="1350" t="str">
        <f t="shared" si="44"/>
        <v>-</v>
      </c>
      <c r="AW79" s="1343" t="str">
        <f t="shared" si="45"/>
        <v>-</v>
      </c>
      <c r="AX79" s="964">
        <f t="shared" si="46"/>
        <v>0</v>
      </c>
      <c r="AY79" s="964">
        <f t="shared" si="47"/>
        <v>0</v>
      </c>
      <c r="AZ79" s="964">
        <f t="shared" si="48"/>
        <v>0</v>
      </c>
      <c r="BA79" s="965">
        <f t="shared" si="49"/>
        <v>0</v>
      </c>
      <c r="BB79" s="1343">
        <f t="shared" si="50"/>
        <v>0</v>
      </c>
      <c r="BC79" s="964">
        <f t="shared" si="51"/>
        <v>0</v>
      </c>
      <c r="BD79" s="964">
        <f t="shared" si="52"/>
        <v>0</v>
      </c>
      <c r="BE79" s="964">
        <f t="shared" si="53"/>
        <v>0</v>
      </c>
      <c r="BF79" s="966">
        <f t="shared" si="54"/>
        <v>0</v>
      </c>
      <c r="BG79" s="951"/>
      <c r="BH79" s="961" t="str">
        <f t="shared" si="55"/>
        <v>Qty</v>
      </c>
      <c r="BI79" s="962" t="str">
        <f t="shared" si="56"/>
        <v>Water</v>
      </c>
      <c r="BJ79" s="963" t="str">
        <f t="shared" si="57"/>
        <v>Price cap - Fixed</v>
      </c>
      <c r="BK79" s="964" t="str">
        <f t="shared" ref="BK79:BU79" si="75">IF(V79="","-",IFERROR((V79/U79-1)*(U80/U$13),"-"))</f>
        <v>-</v>
      </c>
      <c r="BL79" s="964" t="str">
        <f t="shared" si="75"/>
        <v>-</v>
      </c>
      <c r="BM79" s="964" t="str">
        <f t="shared" si="75"/>
        <v>-</v>
      </c>
      <c r="BN79" s="964" t="str">
        <f t="shared" si="75"/>
        <v>-</v>
      </c>
      <c r="BO79" s="1350" t="str">
        <f t="shared" si="75"/>
        <v>-</v>
      </c>
      <c r="BP79" s="1343" t="str">
        <f t="shared" si="75"/>
        <v>-</v>
      </c>
      <c r="BQ79" s="964">
        <f t="shared" si="75"/>
        <v>0</v>
      </c>
      <c r="BR79" s="964">
        <f t="shared" si="75"/>
        <v>0</v>
      </c>
      <c r="BS79" s="964">
        <f t="shared" si="75"/>
        <v>0</v>
      </c>
      <c r="BT79" s="965">
        <f t="shared" si="75"/>
        <v>0</v>
      </c>
      <c r="BU79" s="964">
        <f t="shared" si="75"/>
        <v>0</v>
      </c>
      <c r="BV79" s="964">
        <f>IF(AG79="","-",IFERROR((AG79/AF79-1)*(AF80/AF$13),"-"))</f>
        <v>0</v>
      </c>
      <c r="BW79" s="964">
        <f>IF(AH79="","-",IFERROR((AH79/AG79-1)*(AG80/AG$13),"-"))</f>
        <v>0</v>
      </c>
      <c r="BX79" s="964">
        <f>IF(AI79="","-",IFERROR((AI79/AH79-1)*(AH80/AH$13),"-"))</f>
        <v>0</v>
      </c>
      <c r="BY79" s="966">
        <f>IF(AJ79="","-",IFERROR((AJ79/AI79-1)*(AI80/AI$13),"-"))</f>
        <v>0</v>
      </c>
      <c r="BZ79" s="951"/>
      <c r="CA79" s="961" t="str">
        <f t="shared" si="35"/>
        <v>Qty</v>
      </c>
      <c r="CB79" s="962" t="str">
        <f t="shared" si="36"/>
        <v>Water</v>
      </c>
      <c r="CC79" s="962" t="str">
        <f t="shared" si="37"/>
        <v>Price cap - Fixed</v>
      </c>
      <c r="CD79" s="967" t="str">
        <f t="shared" si="59"/>
        <v>-</v>
      </c>
      <c r="CE79" s="964" t="str">
        <f t="shared" si="60"/>
        <v>-</v>
      </c>
      <c r="CF79" s="964" t="str">
        <f t="shared" si="60"/>
        <v>-</v>
      </c>
      <c r="CG79" s="965" t="str">
        <f t="shared" si="60"/>
        <v>-</v>
      </c>
      <c r="CH79" s="964" t="str">
        <f t="shared" si="61"/>
        <v>-</v>
      </c>
      <c r="CI79" s="964" t="str">
        <f t="shared" si="62"/>
        <v>-</v>
      </c>
      <c r="CJ79" s="964" t="str">
        <f t="shared" si="62"/>
        <v>-</v>
      </c>
      <c r="CK79" s="966" t="str">
        <f t="shared" si="62"/>
        <v>-</v>
      </c>
    </row>
    <row r="80" spans="4:89" ht="12.75" thickBot="1">
      <c r="E80" s="568" t="s">
        <v>882</v>
      </c>
      <c r="F80" s="560" t="str">
        <f>+F78</f>
        <v>Water</v>
      </c>
      <c r="G80" s="561" t="str">
        <f>+G78</f>
        <v>BW</v>
      </c>
      <c r="H80" s="561" t="str">
        <f>+H78</f>
        <v>South-Central Pool</v>
      </c>
      <c r="I80" s="562" t="str">
        <f>+I78</f>
        <v>Price cap - Fixed</v>
      </c>
      <c r="J80" s="563" t="s">
        <v>883</v>
      </c>
      <c r="K80" s="564">
        <f t="shared" ref="K80:AJ80" si="76">K78*K79/10^6</f>
        <v>0</v>
      </c>
      <c r="L80" s="565">
        <f t="shared" si="76"/>
        <v>0</v>
      </c>
      <c r="M80" s="565">
        <f t="shared" si="76"/>
        <v>0</v>
      </c>
      <c r="N80" s="564">
        <f t="shared" si="76"/>
        <v>0</v>
      </c>
      <c r="O80" s="565">
        <f t="shared" si="76"/>
        <v>0</v>
      </c>
      <c r="P80" s="565">
        <f t="shared" si="76"/>
        <v>0</v>
      </c>
      <c r="Q80" s="565">
        <f t="shared" si="76"/>
        <v>0</v>
      </c>
      <c r="R80" s="566">
        <f t="shared" si="76"/>
        <v>0</v>
      </c>
      <c r="S80" s="564">
        <f t="shared" si="76"/>
        <v>0</v>
      </c>
      <c r="T80" s="565">
        <f t="shared" si="76"/>
        <v>0</v>
      </c>
      <c r="U80" s="566">
        <f t="shared" si="76"/>
        <v>0</v>
      </c>
      <c r="V80" s="565">
        <f t="shared" si="76"/>
        <v>0</v>
      </c>
      <c r="W80" s="565">
        <f t="shared" si="76"/>
        <v>0</v>
      </c>
      <c r="X80" s="565">
        <f t="shared" si="76"/>
        <v>0</v>
      </c>
      <c r="Y80" s="565">
        <f t="shared" si="76"/>
        <v>0</v>
      </c>
      <c r="Z80" s="565">
        <f t="shared" si="76"/>
        <v>0</v>
      </c>
      <c r="AA80" s="564">
        <f t="shared" si="76"/>
        <v>4.0473686129319413</v>
      </c>
      <c r="AB80" s="565">
        <f t="shared" si="76"/>
        <v>4.0473686129319413</v>
      </c>
      <c r="AC80" s="565">
        <f t="shared" si="76"/>
        <v>4.0473686129319413</v>
      </c>
      <c r="AD80" s="565">
        <f t="shared" si="76"/>
        <v>4.0473686129319413</v>
      </c>
      <c r="AE80" s="566">
        <f t="shared" si="76"/>
        <v>4.0473686129319413</v>
      </c>
      <c r="AF80" s="565">
        <f t="shared" si="76"/>
        <v>4.6813985284687121</v>
      </c>
      <c r="AG80" s="565">
        <f>AG78*AG79/10^6</f>
        <v>5.414750737633776</v>
      </c>
      <c r="AH80" s="565">
        <f>AH78*AH79/10^6</f>
        <v>6.2629843138554477</v>
      </c>
      <c r="AI80" s="565">
        <f>AI78*AI79/10^6</f>
        <v>7.2440956964051404</v>
      </c>
      <c r="AJ80" s="566">
        <f t="shared" si="76"/>
        <v>8.3789005095513431</v>
      </c>
      <c r="AK80" s="548"/>
      <c r="AO80" s="984" t="str">
        <f t="shared" si="38"/>
        <v>Rev</v>
      </c>
      <c r="AP80" s="985" t="str">
        <f t="shared" si="38"/>
        <v>Water</v>
      </c>
      <c r="AQ80" s="986" t="str">
        <f t="shared" si="39"/>
        <v>Price cap - Fixed</v>
      </c>
      <c r="AR80" s="990" t="str">
        <f t="shared" si="40"/>
        <v>-</v>
      </c>
      <c r="AS80" s="987" t="str">
        <f t="shared" si="41"/>
        <v>-</v>
      </c>
      <c r="AT80" s="987" t="str">
        <f t="shared" si="42"/>
        <v>-</v>
      </c>
      <c r="AU80" s="987" t="str">
        <f t="shared" si="43"/>
        <v>-</v>
      </c>
      <c r="AV80" s="1353" t="str">
        <f t="shared" si="44"/>
        <v>-</v>
      </c>
      <c r="AW80" s="1346" t="str">
        <f t="shared" si="45"/>
        <v>-</v>
      </c>
      <c r="AX80" s="987">
        <f t="shared" si="46"/>
        <v>0</v>
      </c>
      <c r="AY80" s="987">
        <f t="shared" si="47"/>
        <v>0</v>
      </c>
      <c r="AZ80" s="987">
        <f t="shared" si="48"/>
        <v>0</v>
      </c>
      <c r="BA80" s="988">
        <f t="shared" si="49"/>
        <v>0</v>
      </c>
      <c r="BB80" s="1346">
        <f t="shared" si="50"/>
        <v>0.15665237742639793</v>
      </c>
      <c r="BC80" s="987">
        <f t="shared" si="51"/>
        <v>0.1566523774263977</v>
      </c>
      <c r="BD80" s="987">
        <f t="shared" si="52"/>
        <v>0.1566523774263977</v>
      </c>
      <c r="BE80" s="987">
        <f t="shared" si="53"/>
        <v>0.1566523774263977</v>
      </c>
      <c r="BF80" s="989">
        <f t="shared" si="54"/>
        <v>0.15665237742639793</v>
      </c>
      <c r="BG80" s="951"/>
      <c r="BH80" s="984" t="str">
        <f t="shared" si="55"/>
        <v>Rev</v>
      </c>
      <c r="BI80" s="985" t="str">
        <f t="shared" si="56"/>
        <v>Water</v>
      </c>
      <c r="BJ80" s="986" t="str">
        <f t="shared" si="57"/>
        <v>Price cap - Fixed</v>
      </c>
      <c r="BK80" s="987" t="str">
        <f t="shared" ref="BK80:BU80" si="77">IF(V80="","-",IFERROR((V80/U80-1)*(U80/U$13),"-"))</f>
        <v>-</v>
      </c>
      <c r="BL80" s="987" t="str">
        <f t="shared" si="77"/>
        <v>-</v>
      </c>
      <c r="BM80" s="987" t="str">
        <f t="shared" si="77"/>
        <v>-</v>
      </c>
      <c r="BN80" s="987" t="str">
        <f t="shared" si="77"/>
        <v>-</v>
      </c>
      <c r="BO80" s="1353" t="str">
        <f t="shared" si="77"/>
        <v>-</v>
      </c>
      <c r="BP80" s="1346" t="str">
        <f t="shared" si="77"/>
        <v>-</v>
      </c>
      <c r="BQ80" s="987">
        <f t="shared" si="77"/>
        <v>0</v>
      </c>
      <c r="BR80" s="987">
        <f t="shared" si="77"/>
        <v>0</v>
      </c>
      <c r="BS80" s="987">
        <f t="shared" si="77"/>
        <v>0</v>
      </c>
      <c r="BT80" s="988">
        <f t="shared" si="77"/>
        <v>0</v>
      </c>
      <c r="BU80" s="987">
        <f t="shared" si="77"/>
        <v>3.0453191522277905E-4</v>
      </c>
      <c r="BV80" s="987">
        <f>IF(AG80="","-",IFERROR((AG80/AF80-1)*(AF80/AF$13),"-"))</f>
        <v>3.3643477178811317E-4</v>
      </c>
      <c r="BW80" s="987">
        <f>IF(AH80="","-",IFERROR((AH80/AG80-1)*(AG80/AG$13),"-"))</f>
        <v>3.8376283391480971E-4</v>
      </c>
      <c r="BX80" s="987">
        <f>IF(AI80="","-",IFERROR((AI80/AH80-1)*(AH80/AH$13),"-"))</f>
        <v>4.374726441611746E-4</v>
      </c>
      <c r="BY80" s="989">
        <f>IF(AJ80="","-",IFERROR((AJ80/AI80-1)*(AI80/AI$13),"-"))</f>
        <v>4.9743983281498681E-4</v>
      </c>
      <c r="BZ80" s="951"/>
      <c r="CA80" s="984" t="str">
        <f t="shared" si="35"/>
        <v>Rev</v>
      </c>
      <c r="CB80" s="985" t="str">
        <f t="shared" si="36"/>
        <v>Water</v>
      </c>
      <c r="CC80" s="985" t="str">
        <f t="shared" si="37"/>
        <v>Price cap - Fixed</v>
      </c>
      <c r="CD80" s="990" t="str">
        <f t="shared" si="59"/>
        <v>-</v>
      </c>
      <c r="CE80" s="987" t="str">
        <f t="shared" si="60"/>
        <v>-</v>
      </c>
      <c r="CF80" s="987" t="str">
        <f t="shared" si="60"/>
        <v>-</v>
      </c>
      <c r="CG80" s="988" t="str">
        <f t="shared" si="60"/>
        <v>-</v>
      </c>
      <c r="CH80" s="987" t="str">
        <f t="shared" si="61"/>
        <v>-</v>
      </c>
      <c r="CI80" s="987" t="str">
        <f t="shared" si="62"/>
        <v>-</v>
      </c>
      <c r="CJ80" s="987" t="str">
        <f t="shared" si="62"/>
        <v>-</v>
      </c>
      <c r="CK80" s="989" t="str">
        <f t="shared" si="62"/>
        <v>-</v>
      </c>
    </row>
    <row r="81" spans="4:89">
      <c r="D81" s="63">
        <f>D78+1</f>
        <v>5</v>
      </c>
      <c r="E81" s="550" t="s">
        <v>857</v>
      </c>
      <c r="F81" s="595" t="s">
        <v>401</v>
      </c>
      <c r="G81" s="595" t="s">
        <v>94</v>
      </c>
      <c r="H81" s="595" t="s">
        <v>938</v>
      </c>
      <c r="I81" s="589" t="s">
        <v>939</v>
      </c>
      <c r="J81" s="589" t="s">
        <v>879</v>
      </c>
      <c r="K81" s="551"/>
      <c r="L81" s="552"/>
      <c r="M81" s="552"/>
      <c r="N81" s="551"/>
      <c r="O81" s="552"/>
      <c r="P81" s="552"/>
      <c r="Q81" s="552"/>
      <c r="R81" s="1035"/>
      <c r="S81" s="1138"/>
      <c r="T81" s="591"/>
      <c r="U81" s="1035"/>
      <c r="V81" s="591"/>
      <c r="W81" s="591"/>
      <c r="X81" s="591"/>
      <c r="Y81" s="591"/>
      <c r="Z81" s="591"/>
      <c r="AA81" s="1138">
        <v>38245.510731840703</v>
      </c>
      <c r="AB81" s="591">
        <v>50308.446207526256</v>
      </c>
      <c r="AC81" s="591">
        <v>66176.126593296314</v>
      </c>
      <c r="AD81" s="591">
        <v>87048.598416796842</v>
      </c>
      <c r="AE81" s="1035">
        <v>114504.41233736952</v>
      </c>
      <c r="AF81" s="591">
        <v>90214.621598031299</v>
      </c>
      <c r="AG81" s="591">
        <v>90214.621598031299</v>
      </c>
      <c r="AH81" s="591">
        <v>90214.621598031299</v>
      </c>
      <c r="AI81" s="591">
        <v>90214.621598031299</v>
      </c>
      <c r="AJ81" s="592">
        <v>90214.621598031299</v>
      </c>
      <c r="AK81" s="548"/>
      <c r="AM81" s="974"/>
      <c r="AO81" s="975" t="str">
        <f t="shared" si="38"/>
        <v>Price</v>
      </c>
      <c r="AP81" s="976" t="str">
        <f t="shared" si="38"/>
        <v>Water</v>
      </c>
      <c r="AQ81" s="977" t="str">
        <f t="shared" si="39"/>
        <v>Price cap - Fixed</v>
      </c>
      <c r="AR81" s="1341" t="str">
        <f t="shared" si="40"/>
        <v>-</v>
      </c>
      <c r="AS81" s="978" t="str">
        <f t="shared" si="41"/>
        <v>-</v>
      </c>
      <c r="AT81" s="979" t="str">
        <f t="shared" si="42"/>
        <v>-</v>
      </c>
      <c r="AU81" s="979" t="str">
        <f t="shared" si="43"/>
        <v>-</v>
      </c>
      <c r="AV81" s="1352" t="str">
        <f t="shared" si="44"/>
        <v>-</v>
      </c>
      <c r="AW81" s="1345" t="str">
        <f t="shared" si="45"/>
        <v>-</v>
      </c>
      <c r="AX81" s="979">
        <f t="shared" si="46"/>
        <v>0.3154078804245839</v>
      </c>
      <c r="AY81" s="979">
        <f t="shared" si="47"/>
        <v>0.3154078804245839</v>
      </c>
      <c r="AZ81" s="979">
        <f t="shared" si="48"/>
        <v>0.3154078804245839</v>
      </c>
      <c r="BA81" s="980">
        <f t="shared" si="49"/>
        <v>0.3154078804245839</v>
      </c>
      <c r="BB81" s="1345">
        <f t="shared" si="50"/>
        <v>-0.21212973581989236</v>
      </c>
      <c r="BC81" s="979">
        <f t="shared" si="51"/>
        <v>0</v>
      </c>
      <c r="BD81" s="979">
        <f t="shared" si="52"/>
        <v>0</v>
      </c>
      <c r="BE81" s="979">
        <f t="shared" si="53"/>
        <v>0</v>
      </c>
      <c r="BF81" s="981">
        <f t="shared" si="54"/>
        <v>0</v>
      </c>
      <c r="BG81" s="951"/>
      <c r="BH81" s="975" t="str">
        <f t="shared" si="55"/>
        <v>Price</v>
      </c>
      <c r="BI81" s="976" t="str">
        <f t="shared" si="56"/>
        <v>Water</v>
      </c>
      <c r="BJ81" s="977" t="str">
        <f t="shared" si="57"/>
        <v>Price cap - Fixed</v>
      </c>
      <c r="BK81" s="978" t="str">
        <f t="shared" ref="BK81:BU81" si="78">IF(V81="","-",IFERROR((V81/U81-1)*(U83/U$13),"-"))</f>
        <v>-</v>
      </c>
      <c r="BL81" s="978" t="str">
        <f t="shared" si="78"/>
        <v>-</v>
      </c>
      <c r="BM81" s="979" t="str">
        <f t="shared" si="78"/>
        <v>-</v>
      </c>
      <c r="BN81" s="979" t="str">
        <f t="shared" si="78"/>
        <v>-</v>
      </c>
      <c r="BO81" s="1352" t="str">
        <f t="shared" si="78"/>
        <v>-</v>
      </c>
      <c r="BP81" s="1345" t="str">
        <f t="shared" si="78"/>
        <v>-</v>
      </c>
      <c r="BQ81" s="979">
        <f t="shared" si="78"/>
        <v>7.6457261118018948E-5</v>
      </c>
      <c r="BR81" s="979">
        <f t="shared" si="78"/>
        <v>9.6820117875133602E-5</v>
      </c>
      <c r="BS81" s="979">
        <f t="shared" si="78"/>
        <v>1.2494864976735496E-4</v>
      </c>
      <c r="BT81" s="980">
        <f t="shared" si="78"/>
        <v>1.6128890649151026E-4</v>
      </c>
      <c r="BU81" s="979">
        <f t="shared" si="78"/>
        <v>-1.4000001538631867E-4</v>
      </c>
      <c r="BV81" s="979">
        <f>IF(AG81="","-",IFERROR((AG81/AF81-1)*(AF83/AF$13),"-"))</f>
        <v>0</v>
      </c>
      <c r="BW81" s="979">
        <f>IF(AH81="","-",IFERROR((AH81/AG81-1)*(AG83/AG$13),"-"))</f>
        <v>0</v>
      </c>
      <c r="BX81" s="979">
        <f>IF(AI81="","-",IFERROR((AI81/AH81-1)*(AH83/AH$13),"-"))</f>
        <v>0</v>
      </c>
      <c r="BY81" s="981">
        <f>IF(AJ81="","-",IFERROR((AJ81/AI81-1)*(AI83/AI$13),"-"))</f>
        <v>0</v>
      </c>
      <c r="BZ81" s="951"/>
      <c r="CA81" s="975" t="str">
        <f t="shared" si="35"/>
        <v>Price</v>
      </c>
      <c r="CB81" s="976" t="str">
        <f t="shared" si="36"/>
        <v>Water</v>
      </c>
      <c r="CC81" s="982" t="str">
        <f t="shared" si="37"/>
        <v>Price cap - Fixed</v>
      </c>
      <c r="CD81" s="983" t="str">
        <f t="shared" si="59"/>
        <v>-</v>
      </c>
      <c r="CE81" s="979" t="str">
        <f t="shared" si="60"/>
        <v>-</v>
      </c>
      <c r="CF81" s="979" t="str">
        <f t="shared" si="60"/>
        <v>-</v>
      </c>
      <c r="CG81" s="980" t="str">
        <f t="shared" si="60"/>
        <v>-</v>
      </c>
      <c r="CH81" s="979" t="str">
        <f t="shared" si="61"/>
        <v>-</v>
      </c>
      <c r="CI81" s="979" t="str">
        <f t="shared" si="62"/>
        <v>-</v>
      </c>
      <c r="CJ81" s="979" t="str">
        <f t="shared" si="62"/>
        <v>-</v>
      </c>
      <c r="CK81" s="981" t="str">
        <f t="shared" si="62"/>
        <v>-</v>
      </c>
    </row>
    <row r="82" spans="4:89">
      <c r="E82" s="567" t="s">
        <v>880</v>
      </c>
      <c r="F82" s="554" t="str">
        <f>+F81</f>
        <v>Water</v>
      </c>
      <c r="G82" s="555" t="str">
        <f>+G81</f>
        <v>SGW</v>
      </c>
      <c r="H82" s="555" t="str">
        <f>+H81</f>
        <v>South-Central Pool</v>
      </c>
      <c r="I82" s="556" t="str">
        <f>+I81</f>
        <v>Price cap - Fixed</v>
      </c>
      <c r="J82" s="590" t="s">
        <v>890</v>
      </c>
      <c r="K82" s="557"/>
      <c r="L82" s="558"/>
      <c r="M82" s="558"/>
      <c r="N82" s="557"/>
      <c r="O82" s="558"/>
      <c r="P82" s="558"/>
      <c r="Q82" s="558"/>
      <c r="R82" s="1036"/>
      <c r="S82" s="1139"/>
      <c r="T82" s="593"/>
      <c r="U82" s="1036"/>
      <c r="V82" s="593"/>
      <c r="W82" s="593"/>
      <c r="X82" s="593"/>
      <c r="Y82" s="593"/>
      <c r="Z82" s="593"/>
      <c r="AA82" s="1139">
        <v>12</v>
      </c>
      <c r="AB82" s="593">
        <v>12</v>
      </c>
      <c r="AC82" s="593">
        <v>12</v>
      </c>
      <c r="AD82" s="593">
        <v>12</v>
      </c>
      <c r="AE82" s="1036">
        <v>12</v>
      </c>
      <c r="AF82" s="593">
        <v>12</v>
      </c>
      <c r="AG82" s="593">
        <v>12</v>
      </c>
      <c r="AH82" s="593">
        <v>12</v>
      </c>
      <c r="AI82" s="593">
        <v>12</v>
      </c>
      <c r="AJ82" s="594">
        <v>12</v>
      </c>
      <c r="AK82" s="548"/>
      <c r="AO82" s="961" t="str">
        <f t="shared" si="38"/>
        <v>Qty</v>
      </c>
      <c r="AP82" s="962" t="str">
        <f t="shared" si="38"/>
        <v>Water</v>
      </c>
      <c r="AQ82" s="963" t="str">
        <f t="shared" si="39"/>
        <v>Price cap - Fixed</v>
      </c>
      <c r="AR82" s="967" t="str">
        <f t="shared" si="40"/>
        <v>-</v>
      </c>
      <c r="AS82" s="964" t="str">
        <f t="shared" si="41"/>
        <v>-</v>
      </c>
      <c r="AT82" s="964" t="str">
        <f t="shared" si="42"/>
        <v>-</v>
      </c>
      <c r="AU82" s="964" t="str">
        <f t="shared" si="43"/>
        <v>-</v>
      </c>
      <c r="AV82" s="1350" t="str">
        <f t="shared" si="44"/>
        <v>-</v>
      </c>
      <c r="AW82" s="1343" t="str">
        <f t="shared" si="45"/>
        <v>-</v>
      </c>
      <c r="AX82" s="964">
        <f t="shared" si="46"/>
        <v>0</v>
      </c>
      <c r="AY82" s="964">
        <f t="shared" si="47"/>
        <v>0</v>
      </c>
      <c r="AZ82" s="964">
        <f t="shared" si="48"/>
        <v>0</v>
      </c>
      <c r="BA82" s="965">
        <f t="shared" si="49"/>
        <v>0</v>
      </c>
      <c r="BB82" s="1343">
        <f t="shared" si="50"/>
        <v>0</v>
      </c>
      <c r="BC82" s="964">
        <f t="shared" si="51"/>
        <v>0</v>
      </c>
      <c r="BD82" s="964">
        <f t="shared" si="52"/>
        <v>0</v>
      </c>
      <c r="BE82" s="964">
        <f t="shared" si="53"/>
        <v>0</v>
      </c>
      <c r="BF82" s="966">
        <f t="shared" si="54"/>
        <v>0</v>
      </c>
      <c r="BG82" s="951"/>
      <c r="BH82" s="961" t="str">
        <f t="shared" si="55"/>
        <v>Qty</v>
      </c>
      <c r="BI82" s="962" t="str">
        <f t="shared" si="56"/>
        <v>Water</v>
      </c>
      <c r="BJ82" s="963" t="str">
        <f t="shared" si="57"/>
        <v>Price cap - Fixed</v>
      </c>
      <c r="BK82" s="964" t="str">
        <f t="shared" ref="BK82:BU82" si="79">IF(V82="","-",IFERROR((V82/U82-1)*(U83/U$13),"-"))</f>
        <v>-</v>
      </c>
      <c r="BL82" s="964" t="str">
        <f t="shared" si="79"/>
        <v>-</v>
      </c>
      <c r="BM82" s="964" t="str">
        <f t="shared" si="79"/>
        <v>-</v>
      </c>
      <c r="BN82" s="964" t="str">
        <f t="shared" si="79"/>
        <v>-</v>
      </c>
      <c r="BO82" s="1350" t="str">
        <f t="shared" si="79"/>
        <v>-</v>
      </c>
      <c r="BP82" s="1343" t="str">
        <f t="shared" si="79"/>
        <v>-</v>
      </c>
      <c r="BQ82" s="964">
        <f t="shared" si="79"/>
        <v>0</v>
      </c>
      <c r="BR82" s="964">
        <f t="shared" si="79"/>
        <v>0</v>
      </c>
      <c r="BS82" s="964">
        <f t="shared" si="79"/>
        <v>0</v>
      </c>
      <c r="BT82" s="965">
        <f t="shared" si="79"/>
        <v>0</v>
      </c>
      <c r="BU82" s="964">
        <f t="shared" si="79"/>
        <v>0</v>
      </c>
      <c r="BV82" s="964">
        <f>IF(AG82="","-",IFERROR((AG82/AF82-1)*(AF83/AF$13),"-"))</f>
        <v>0</v>
      </c>
      <c r="BW82" s="964">
        <f>IF(AH82="","-",IFERROR((AH82/AG82-1)*(AG83/AG$13),"-"))</f>
        <v>0</v>
      </c>
      <c r="BX82" s="964">
        <f>IF(AI82="","-",IFERROR((AI82/AH82-1)*(AH83/AH$13),"-"))</f>
        <v>0</v>
      </c>
      <c r="BY82" s="966">
        <f>IF(AJ82="","-",IFERROR((AJ82/AI82-1)*(AI83/AI$13),"-"))</f>
        <v>0</v>
      </c>
      <c r="BZ82" s="951"/>
      <c r="CA82" s="961" t="str">
        <f t="shared" si="35"/>
        <v>Qty</v>
      </c>
      <c r="CB82" s="962" t="str">
        <f t="shared" si="36"/>
        <v>Water</v>
      </c>
      <c r="CC82" s="962" t="str">
        <f t="shared" si="37"/>
        <v>Price cap - Fixed</v>
      </c>
      <c r="CD82" s="967" t="str">
        <f t="shared" si="59"/>
        <v>-</v>
      </c>
      <c r="CE82" s="964" t="str">
        <f t="shared" si="60"/>
        <v>-</v>
      </c>
      <c r="CF82" s="964" t="str">
        <f t="shared" si="60"/>
        <v>-</v>
      </c>
      <c r="CG82" s="965" t="str">
        <f t="shared" si="60"/>
        <v>-</v>
      </c>
      <c r="CH82" s="964" t="str">
        <f t="shared" si="61"/>
        <v>-</v>
      </c>
      <c r="CI82" s="964" t="str">
        <f t="shared" si="62"/>
        <v>-</v>
      </c>
      <c r="CJ82" s="964" t="str">
        <f t="shared" si="62"/>
        <v>-</v>
      </c>
      <c r="CK82" s="966" t="str">
        <f t="shared" si="62"/>
        <v>-</v>
      </c>
    </row>
    <row r="83" spans="4:89" ht="12.75" thickBot="1">
      <c r="E83" s="568" t="s">
        <v>882</v>
      </c>
      <c r="F83" s="560" t="str">
        <f>+F81</f>
        <v>Water</v>
      </c>
      <c r="G83" s="561" t="str">
        <f>+G81</f>
        <v>SGW</v>
      </c>
      <c r="H83" s="561" t="str">
        <f>+H81</f>
        <v>South-Central Pool</v>
      </c>
      <c r="I83" s="562" t="str">
        <f>+I81</f>
        <v>Price cap - Fixed</v>
      </c>
      <c r="J83" s="563" t="s">
        <v>883</v>
      </c>
      <c r="K83" s="564">
        <f t="shared" ref="K83:AJ83" si="80">K81*K82/10^6</f>
        <v>0</v>
      </c>
      <c r="L83" s="565">
        <f t="shared" si="80"/>
        <v>0</v>
      </c>
      <c r="M83" s="565">
        <f t="shared" si="80"/>
        <v>0</v>
      </c>
      <c r="N83" s="564">
        <f t="shared" si="80"/>
        <v>0</v>
      </c>
      <c r="O83" s="565">
        <f t="shared" si="80"/>
        <v>0</v>
      </c>
      <c r="P83" s="565">
        <f t="shared" si="80"/>
        <v>0</v>
      </c>
      <c r="Q83" s="565">
        <f t="shared" si="80"/>
        <v>0</v>
      </c>
      <c r="R83" s="566">
        <f t="shared" si="80"/>
        <v>0</v>
      </c>
      <c r="S83" s="564">
        <f t="shared" si="80"/>
        <v>0</v>
      </c>
      <c r="T83" s="565">
        <f t="shared" si="80"/>
        <v>0</v>
      </c>
      <c r="U83" s="566">
        <f t="shared" si="80"/>
        <v>0</v>
      </c>
      <c r="V83" s="565">
        <f t="shared" si="80"/>
        <v>0</v>
      </c>
      <c r="W83" s="565">
        <f t="shared" si="80"/>
        <v>0</v>
      </c>
      <c r="X83" s="565">
        <f t="shared" si="80"/>
        <v>0</v>
      </c>
      <c r="Y83" s="565">
        <f t="shared" si="80"/>
        <v>0</v>
      </c>
      <c r="Z83" s="565">
        <f t="shared" si="80"/>
        <v>0</v>
      </c>
      <c r="AA83" s="564">
        <f t="shared" si="80"/>
        <v>0.4589461287820884</v>
      </c>
      <c r="AB83" s="565">
        <f t="shared" si="80"/>
        <v>0.60370135449031503</v>
      </c>
      <c r="AC83" s="565">
        <f t="shared" si="80"/>
        <v>0.79411351911955586</v>
      </c>
      <c r="AD83" s="565">
        <f t="shared" si="80"/>
        <v>1.0445831810015622</v>
      </c>
      <c r="AE83" s="566">
        <f t="shared" si="80"/>
        <v>1.3740529480484343</v>
      </c>
      <c r="AF83" s="565">
        <f t="shared" si="80"/>
        <v>1.0825754591763754</v>
      </c>
      <c r="AG83" s="565">
        <f>AG81*AG82/10^6</f>
        <v>1.0825754591763754</v>
      </c>
      <c r="AH83" s="565">
        <f>AH81*AH82/10^6</f>
        <v>1.0825754591763754</v>
      </c>
      <c r="AI83" s="565">
        <f>AI81*AI82/10^6</f>
        <v>1.0825754591763754</v>
      </c>
      <c r="AJ83" s="566">
        <f t="shared" si="80"/>
        <v>1.0825754591763754</v>
      </c>
      <c r="AK83" s="548"/>
      <c r="AO83" s="984" t="str">
        <f t="shared" si="38"/>
        <v>Rev</v>
      </c>
      <c r="AP83" s="985" t="str">
        <f t="shared" si="38"/>
        <v>Water</v>
      </c>
      <c r="AQ83" s="986" t="str">
        <f t="shared" si="39"/>
        <v>Price cap - Fixed</v>
      </c>
      <c r="AR83" s="990" t="str">
        <f t="shared" si="40"/>
        <v>-</v>
      </c>
      <c r="AS83" s="987" t="str">
        <f t="shared" si="41"/>
        <v>-</v>
      </c>
      <c r="AT83" s="987" t="str">
        <f t="shared" si="42"/>
        <v>-</v>
      </c>
      <c r="AU83" s="987" t="str">
        <f t="shared" si="43"/>
        <v>-</v>
      </c>
      <c r="AV83" s="1353" t="str">
        <f t="shared" si="44"/>
        <v>-</v>
      </c>
      <c r="AW83" s="1346" t="str">
        <f t="shared" si="45"/>
        <v>-</v>
      </c>
      <c r="AX83" s="987">
        <f t="shared" si="46"/>
        <v>0.3154078804245839</v>
      </c>
      <c r="AY83" s="987">
        <f t="shared" si="47"/>
        <v>0.31540788042458434</v>
      </c>
      <c r="AZ83" s="987">
        <f t="shared" si="48"/>
        <v>0.3154078804245839</v>
      </c>
      <c r="BA83" s="988">
        <f t="shared" si="49"/>
        <v>0.31540788042458368</v>
      </c>
      <c r="BB83" s="1346">
        <f t="shared" si="50"/>
        <v>-0.21212973581989247</v>
      </c>
      <c r="BC83" s="987">
        <f t="shared" si="51"/>
        <v>0</v>
      </c>
      <c r="BD83" s="987">
        <f t="shared" si="52"/>
        <v>0</v>
      </c>
      <c r="BE83" s="987">
        <f t="shared" si="53"/>
        <v>0</v>
      </c>
      <c r="BF83" s="989">
        <f t="shared" si="54"/>
        <v>0</v>
      </c>
      <c r="BG83" s="951"/>
      <c r="BH83" s="984" t="str">
        <f t="shared" si="55"/>
        <v>Rev</v>
      </c>
      <c r="BI83" s="985" t="str">
        <f t="shared" si="56"/>
        <v>Water</v>
      </c>
      <c r="BJ83" s="986" t="str">
        <f t="shared" si="57"/>
        <v>Price cap - Fixed</v>
      </c>
      <c r="BK83" s="987" t="str">
        <f t="shared" ref="BK83:BU83" si="81">IF(V83="","-",IFERROR((V83/U83-1)*(U83/U$13),"-"))</f>
        <v>-</v>
      </c>
      <c r="BL83" s="987" t="str">
        <f t="shared" si="81"/>
        <v>-</v>
      </c>
      <c r="BM83" s="987" t="str">
        <f t="shared" si="81"/>
        <v>-</v>
      </c>
      <c r="BN83" s="987" t="str">
        <f t="shared" si="81"/>
        <v>-</v>
      </c>
      <c r="BO83" s="1353" t="str">
        <f t="shared" si="81"/>
        <v>-</v>
      </c>
      <c r="BP83" s="1346" t="str">
        <f t="shared" si="81"/>
        <v>-</v>
      </c>
      <c r="BQ83" s="987">
        <f t="shared" si="81"/>
        <v>7.6457261118018948E-5</v>
      </c>
      <c r="BR83" s="987">
        <f t="shared" si="81"/>
        <v>9.6820117875133751E-5</v>
      </c>
      <c r="BS83" s="987">
        <f t="shared" si="81"/>
        <v>1.2494864976735496E-4</v>
      </c>
      <c r="BT83" s="988">
        <f t="shared" si="81"/>
        <v>1.6128890649151016E-4</v>
      </c>
      <c r="BU83" s="987">
        <f t="shared" si="81"/>
        <v>-1.4000001538631875E-4</v>
      </c>
      <c r="BV83" s="987">
        <f>IF(AG83="","-",IFERROR((AG83/AF83-1)*(AF83/AF$13),"-"))</f>
        <v>0</v>
      </c>
      <c r="BW83" s="987">
        <f>IF(AH83="","-",IFERROR((AH83/AG83-1)*(AG83/AG$13),"-"))</f>
        <v>0</v>
      </c>
      <c r="BX83" s="987">
        <f>IF(AI83="","-",IFERROR((AI83/AH83-1)*(AH83/AH$13),"-"))</f>
        <v>0</v>
      </c>
      <c r="BY83" s="989">
        <f>IF(AJ83="","-",IFERROR((AJ83/AI83-1)*(AI83/AI$13),"-"))</f>
        <v>0</v>
      </c>
      <c r="BZ83" s="951"/>
      <c r="CA83" s="984" t="str">
        <f t="shared" si="35"/>
        <v>Rev</v>
      </c>
      <c r="CB83" s="985" t="str">
        <f t="shared" si="36"/>
        <v>Water</v>
      </c>
      <c r="CC83" s="985" t="str">
        <f t="shared" si="37"/>
        <v>Price cap - Fixed</v>
      </c>
      <c r="CD83" s="990" t="str">
        <f t="shared" si="59"/>
        <v>-</v>
      </c>
      <c r="CE83" s="987" t="str">
        <f t="shared" si="60"/>
        <v>-</v>
      </c>
      <c r="CF83" s="987" t="str">
        <f t="shared" si="60"/>
        <v>-</v>
      </c>
      <c r="CG83" s="988" t="str">
        <f t="shared" si="60"/>
        <v>-</v>
      </c>
      <c r="CH83" s="987" t="str">
        <f t="shared" si="61"/>
        <v>-</v>
      </c>
      <c r="CI83" s="987" t="str">
        <f t="shared" si="62"/>
        <v>-</v>
      </c>
      <c r="CJ83" s="987" t="str">
        <f t="shared" si="62"/>
        <v>-</v>
      </c>
      <c r="CK83" s="989" t="str">
        <f t="shared" si="62"/>
        <v>-</v>
      </c>
    </row>
    <row r="84" spans="4:89">
      <c r="D84" s="63">
        <f>D81+1</f>
        <v>6</v>
      </c>
      <c r="E84" s="550" t="s">
        <v>857</v>
      </c>
      <c r="F84" s="595" t="s">
        <v>401</v>
      </c>
      <c r="G84" s="595" t="s">
        <v>101</v>
      </c>
      <c r="H84" s="595" t="s">
        <v>938</v>
      </c>
      <c r="I84" s="589" t="s">
        <v>939</v>
      </c>
      <c r="J84" s="589" t="s">
        <v>879</v>
      </c>
      <c r="K84" s="551"/>
      <c r="L84" s="552"/>
      <c r="M84" s="552"/>
      <c r="N84" s="551"/>
      <c r="O84" s="552"/>
      <c r="P84" s="552"/>
      <c r="Q84" s="552"/>
      <c r="R84" s="1035"/>
      <c r="S84" s="1138"/>
      <c r="T84" s="591"/>
      <c r="U84" s="1035"/>
      <c r="V84" s="591"/>
      <c r="W84" s="591"/>
      <c r="X84" s="591"/>
      <c r="Y84" s="591"/>
      <c r="Z84" s="591"/>
      <c r="AA84" s="1138">
        <v>16828.292779062438</v>
      </c>
      <c r="AB84" s="591">
        <v>20355.277309481429</v>
      </c>
      <c r="AC84" s="591">
        <v>24621.470507180806</v>
      </c>
      <c r="AD84" s="591">
        <v>29781.800597410685</v>
      </c>
      <c r="AE84" s="1035">
        <v>36023.666684134587</v>
      </c>
      <c r="AF84" s="591">
        <v>39237.589539267057</v>
      </c>
      <c r="AG84" s="591">
        <v>42738.248894859433</v>
      </c>
      <c r="AH84" s="591">
        <v>46551.226516374656</v>
      </c>
      <c r="AI84" s="591">
        <v>50704.386497207946</v>
      </c>
      <c r="AJ84" s="592">
        <v>55228.078881098925</v>
      </c>
      <c r="AK84" s="548"/>
      <c r="AM84" s="974"/>
      <c r="AO84" s="975" t="str">
        <f t="shared" si="38"/>
        <v>Price</v>
      </c>
      <c r="AP84" s="976" t="str">
        <f t="shared" si="38"/>
        <v>Water</v>
      </c>
      <c r="AQ84" s="977" t="str">
        <f t="shared" si="39"/>
        <v>Price cap - Fixed</v>
      </c>
      <c r="AR84" s="1341" t="str">
        <f t="shared" si="40"/>
        <v>-</v>
      </c>
      <c r="AS84" s="978" t="str">
        <f t="shared" si="41"/>
        <v>-</v>
      </c>
      <c r="AT84" s="979" t="str">
        <f t="shared" si="42"/>
        <v>-</v>
      </c>
      <c r="AU84" s="979" t="str">
        <f t="shared" si="43"/>
        <v>-</v>
      </c>
      <c r="AV84" s="1352" t="str">
        <f t="shared" si="44"/>
        <v>-</v>
      </c>
      <c r="AW84" s="1345" t="str">
        <f t="shared" si="45"/>
        <v>-</v>
      </c>
      <c r="AX84" s="979">
        <f t="shared" si="46"/>
        <v>0.20958659186196371</v>
      </c>
      <c r="AY84" s="979">
        <f t="shared" si="47"/>
        <v>0.20958659186196371</v>
      </c>
      <c r="AZ84" s="979">
        <f t="shared" si="48"/>
        <v>0.20958659186196371</v>
      </c>
      <c r="BA84" s="980">
        <f t="shared" si="49"/>
        <v>0.20958659186196371</v>
      </c>
      <c r="BB84" s="1345">
        <f t="shared" si="50"/>
        <v>8.921698291606539E-2</v>
      </c>
      <c r="BC84" s="979">
        <f t="shared" si="51"/>
        <v>8.921698291606539E-2</v>
      </c>
      <c r="BD84" s="979">
        <f t="shared" si="52"/>
        <v>8.921698291606539E-2</v>
      </c>
      <c r="BE84" s="979">
        <f t="shared" si="53"/>
        <v>8.921698291606539E-2</v>
      </c>
      <c r="BF84" s="981">
        <f t="shared" si="54"/>
        <v>8.921698291606539E-2</v>
      </c>
      <c r="BG84" s="951"/>
      <c r="BH84" s="975" t="str">
        <f t="shared" si="55"/>
        <v>Price</v>
      </c>
      <c r="BI84" s="976" t="str">
        <f t="shared" si="56"/>
        <v>Water</v>
      </c>
      <c r="BJ84" s="977" t="str">
        <f t="shared" si="57"/>
        <v>Price cap - Fixed</v>
      </c>
      <c r="BK84" s="978" t="str">
        <f t="shared" ref="BK84:BU84" si="82">IF(V84="","-",IFERROR((V84/U84-1)*(U86/U$13),"-"))</f>
        <v>-</v>
      </c>
      <c r="BL84" s="978" t="str">
        <f t="shared" si="82"/>
        <v>-</v>
      </c>
      <c r="BM84" s="979" t="str">
        <f t="shared" si="82"/>
        <v>-</v>
      </c>
      <c r="BN84" s="979" t="str">
        <f t="shared" si="82"/>
        <v>-</v>
      </c>
      <c r="BO84" s="1352" t="str">
        <f t="shared" si="82"/>
        <v>-</v>
      </c>
      <c r="BP84" s="1345" t="str">
        <f t="shared" si="82"/>
        <v>-</v>
      </c>
      <c r="BQ84" s="979">
        <f t="shared" si="82"/>
        <v>2.2354722674675737E-5</v>
      </c>
      <c r="BR84" s="979">
        <f t="shared" si="82"/>
        <v>2.6031109666777001E-5</v>
      </c>
      <c r="BS84" s="979">
        <f t="shared" si="82"/>
        <v>3.0891227573828427E-5</v>
      </c>
      <c r="BT84" s="980">
        <f t="shared" si="82"/>
        <v>3.6667780401869117E-5</v>
      </c>
      <c r="BU84" s="979">
        <f t="shared" si="82"/>
        <v>1.852421266191797E-5</v>
      </c>
      <c r="BV84" s="979">
        <f>IF(AG84="","-",IFERROR((AG84/AF84-1)*(AF86/AF$13),"-"))</f>
        <v>1.9271670829178176E-5</v>
      </c>
      <c r="BW84" s="979">
        <f>IF(AH84="","-",IFERROR((AH84/AG84-1)*(AG86/AG$13),"-"))</f>
        <v>2.070107770368236E-5</v>
      </c>
      <c r="BX84" s="979">
        <f>IF(AI84="","-",IFERROR((AI84/AH84-1)*(AH86/AH$13),"-"))</f>
        <v>2.2222478435235014E-5</v>
      </c>
      <c r="BY84" s="981">
        <f>IF(AJ84="","-",IFERROR((AJ84/AI84-1)*(AI86/AI$13),"-"))</f>
        <v>2.3795437845319505E-5</v>
      </c>
      <c r="BZ84" s="951"/>
      <c r="CA84" s="975" t="str">
        <f t="shared" si="35"/>
        <v>Price</v>
      </c>
      <c r="CB84" s="976" t="str">
        <f t="shared" si="36"/>
        <v>Water</v>
      </c>
      <c r="CC84" s="982" t="str">
        <f t="shared" si="37"/>
        <v>Price cap - Fixed</v>
      </c>
      <c r="CD84" s="983" t="str">
        <f t="shared" si="59"/>
        <v>-</v>
      </c>
      <c r="CE84" s="979" t="str">
        <f t="shared" si="60"/>
        <v>-</v>
      </c>
      <c r="CF84" s="979" t="str">
        <f t="shared" si="60"/>
        <v>-</v>
      </c>
      <c r="CG84" s="980" t="str">
        <f t="shared" si="60"/>
        <v>-</v>
      </c>
      <c r="CH84" s="979" t="str">
        <f t="shared" si="61"/>
        <v>-</v>
      </c>
      <c r="CI84" s="979" t="str">
        <f t="shared" si="62"/>
        <v>-</v>
      </c>
      <c r="CJ84" s="979" t="str">
        <f t="shared" si="62"/>
        <v>-</v>
      </c>
      <c r="CK84" s="981" t="str">
        <f t="shared" si="62"/>
        <v>-</v>
      </c>
    </row>
    <row r="85" spans="4:89">
      <c r="E85" s="567" t="s">
        <v>880</v>
      </c>
      <c r="F85" s="554" t="str">
        <f>+F84</f>
        <v>Water</v>
      </c>
      <c r="G85" s="555" t="str">
        <f>+G84</f>
        <v>WPW</v>
      </c>
      <c r="H85" s="555" t="str">
        <f>+H84</f>
        <v>South-Central Pool</v>
      </c>
      <c r="I85" s="556" t="str">
        <f>+I84</f>
        <v>Price cap - Fixed</v>
      </c>
      <c r="J85" s="590" t="s">
        <v>890</v>
      </c>
      <c r="K85" s="557"/>
      <c r="L85" s="558"/>
      <c r="M85" s="558"/>
      <c r="N85" s="557"/>
      <c r="O85" s="558"/>
      <c r="P85" s="558"/>
      <c r="Q85" s="558"/>
      <c r="R85" s="1036"/>
      <c r="S85" s="1139"/>
      <c r="T85" s="593"/>
      <c r="U85" s="1036"/>
      <c r="V85" s="593"/>
      <c r="W85" s="593"/>
      <c r="X85" s="593"/>
      <c r="Y85" s="593"/>
      <c r="Z85" s="593"/>
      <c r="AA85" s="1139">
        <v>12</v>
      </c>
      <c r="AB85" s="593">
        <v>12</v>
      </c>
      <c r="AC85" s="593">
        <v>12</v>
      </c>
      <c r="AD85" s="593">
        <v>12</v>
      </c>
      <c r="AE85" s="1036">
        <v>12</v>
      </c>
      <c r="AF85" s="593">
        <v>12</v>
      </c>
      <c r="AG85" s="593">
        <v>12</v>
      </c>
      <c r="AH85" s="593">
        <v>12</v>
      </c>
      <c r="AI85" s="593">
        <v>12</v>
      </c>
      <c r="AJ85" s="594">
        <v>12</v>
      </c>
      <c r="AK85" s="548"/>
      <c r="AO85" s="961" t="str">
        <f t="shared" si="38"/>
        <v>Qty</v>
      </c>
      <c r="AP85" s="962" t="str">
        <f t="shared" si="38"/>
        <v>Water</v>
      </c>
      <c r="AQ85" s="963" t="str">
        <f t="shared" si="39"/>
        <v>Price cap - Fixed</v>
      </c>
      <c r="AR85" s="967" t="str">
        <f t="shared" si="40"/>
        <v>-</v>
      </c>
      <c r="AS85" s="964" t="str">
        <f t="shared" si="41"/>
        <v>-</v>
      </c>
      <c r="AT85" s="964" t="str">
        <f t="shared" si="42"/>
        <v>-</v>
      </c>
      <c r="AU85" s="964" t="str">
        <f t="shared" si="43"/>
        <v>-</v>
      </c>
      <c r="AV85" s="1350" t="str">
        <f t="shared" si="44"/>
        <v>-</v>
      </c>
      <c r="AW85" s="1343" t="str">
        <f t="shared" si="45"/>
        <v>-</v>
      </c>
      <c r="AX85" s="964">
        <f t="shared" si="46"/>
        <v>0</v>
      </c>
      <c r="AY85" s="964">
        <f t="shared" si="47"/>
        <v>0</v>
      </c>
      <c r="AZ85" s="964">
        <f t="shared" si="48"/>
        <v>0</v>
      </c>
      <c r="BA85" s="965">
        <f t="shared" si="49"/>
        <v>0</v>
      </c>
      <c r="BB85" s="1343">
        <f t="shared" si="50"/>
        <v>0</v>
      </c>
      <c r="BC85" s="964">
        <f t="shared" si="51"/>
        <v>0</v>
      </c>
      <c r="BD85" s="964">
        <f t="shared" si="52"/>
        <v>0</v>
      </c>
      <c r="BE85" s="964">
        <f t="shared" si="53"/>
        <v>0</v>
      </c>
      <c r="BF85" s="966">
        <f t="shared" si="54"/>
        <v>0</v>
      </c>
      <c r="BG85" s="951"/>
      <c r="BH85" s="961" t="str">
        <f t="shared" si="55"/>
        <v>Qty</v>
      </c>
      <c r="BI85" s="962" t="str">
        <f t="shared" si="56"/>
        <v>Water</v>
      </c>
      <c r="BJ85" s="963" t="str">
        <f t="shared" si="57"/>
        <v>Price cap - Fixed</v>
      </c>
      <c r="BK85" s="964" t="str">
        <f t="shared" ref="BK85:BU85" si="83">IF(V85="","-",IFERROR((V85/U85-1)*(U86/U$13),"-"))</f>
        <v>-</v>
      </c>
      <c r="BL85" s="964" t="str">
        <f t="shared" si="83"/>
        <v>-</v>
      </c>
      <c r="BM85" s="964" t="str">
        <f t="shared" si="83"/>
        <v>-</v>
      </c>
      <c r="BN85" s="964" t="str">
        <f t="shared" si="83"/>
        <v>-</v>
      </c>
      <c r="BO85" s="1350" t="str">
        <f t="shared" si="83"/>
        <v>-</v>
      </c>
      <c r="BP85" s="1343" t="str">
        <f t="shared" si="83"/>
        <v>-</v>
      </c>
      <c r="BQ85" s="964">
        <f t="shared" si="83"/>
        <v>0</v>
      </c>
      <c r="BR85" s="964">
        <f t="shared" si="83"/>
        <v>0</v>
      </c>
      <c r="BS85" s="964">
        <f t="shared" si="83"/>
        <v>0</v>
      </c>
      <c r="BT85" s="965">
        <f t="shared" si="83"/>
        <v>0</v>
      </c>
      <c r="BU85" s="964">
        <f t="shared" si="83"/>
        <v>0</v>
      </c>
      <c r="BV85" s="964">
        <f>IF(AG85="","-",IFERROR((AG85/AF85-1)*(AF86/AF$13),"-"))</f>
        <v>0</v>
      </c>
      <c r="BW85" s="964">
        <f>IF(AH85="","-",IFERROR((AH85/AG85-1)*(AG86/AG$13),"-"))</f>
        <v>0</v>
      </c>
      <c r="BX85" s="964">
        <f>IF(AI85="","-",IFERROR((AI85/AH85-1)*(AH86/AH$13),"-"))</f>
        <v>0</v>
      </c>
      <c r="BY85" s="966">
        <f>IF(AJ85="","-",IFERROR((AJ85/AI85-1)*(AI86/AI$13),"-"))</f>
        <v>0</v>
      </c>
      <c r="BZ85" s="951"/>
      <c r="CA85" s="961" t="str">
        <f t="shared" si="35"/>
        <v>Qty</v>
      </c>
      <c r="CB85" s="962" t="str">
        <f t="shared" si="36"/>
        <v>Water</v>
      </c>
      <c r="CC85" s="962" t="str">
        <f t="shared" si="37"/>
        <v>Price cap - Fixed</v>
      </c>
      <c r="CD85" s="967" t="str">
        <f t="shared" si="59"/>
        <v>-</v>
      </c>
      <c r="CE85" s="964" t="str">
        <f t="shared" si="60"/>
        <v>-</v>
      </c>
      <c r="CF85" s="964" t="str">
        <f t="shared" si="60"/>
        <v>-</v>
      </c>
      <c r="CG85" s="965" t="str">
        <f t="shared" si="60"/>
        <v>-</v>
      </c>
      <c r="CH85" s="964" t="str">
        <f t="shared" si="61"/>
        <v>-</v>
      </c>
      <c r="CI85" s="964" t="str">
        <f t="shared" si="62"/>
        <v>-</v>
      </c>
      <c r="CJ85" s="964" t="str">
        <f t="shared" si="62"/>
        <v>-</v>
      </c>
      <c r="CK85" s="966" t="str">
        <f t="shared" si="62"/>
        <v>-</v>
      </c>
    </row>
    <row r="86" spans="4:89" ht="12.75" thickBot="1">
      <c r="E86" s="568" t="s">
        <v>882</v>
      </c>
      <c r="F86" s="560" t="str">
        <f>+F84</f>
        <v>Water</v>
      </c>
      <c r="G86" s="561" t="str">
        <f>+G84</f>
        <v>WPW</v>
      </c>
      <c r="H86" s="561" t="str">
        <f>+H84</f>
        <v>South-Central Pool</v>
      </c>
      <c r="I86" s="562" t="str">
        <f>+I84</f>
        <v>Price cap - Fixed</v>
      </c>
      <c r="J86" s="563" t="s">
        <v>883</v>
      </c>
      <c r="K86" s="564">
        <f t="shared" ref="K86:AJ86" si="84">K84*K85/10^6</f>
        <v>0</v>
      </c>
      <c r="L86" s="565">
        <f t="shared" si="84"/>
        <v>0</v>
      </c>
      <c r="M86" s="565">
        <f t="shared" si="84"/>
        <v>0</v>
      </c>
      <c r="N86" s="564">
        <f t="shared" si="84"/>
        <v>0</v>
      </c>
      <c r="O86" s="565">
        <f t="shared" si="84"/>
        <v>0</v>
      </c>
      <c r="P86" s="565">
        <f t="shared" si="84"/>
        <v>0</v>
      </c>
      <c r="Q86" s="565">
        <f t="shared" si="84"/>
        <v>0</v>
      </c>
      <c r="R86" s="566">
        <f t="shared" si="84"/>
        <v>0</v>
      </c>
      <c r="S86" s="564">
        <f t="shared" si="84"/>
        <v>0</v>
      </c>
      <c r="T86" s="565">
        <f t="shared" si="84"/>
        <v>0</v>
      </c>
      <c r="U86" s="566">
        <f t="shared" si="84"/>
        <v>0</v>
      </c>
      <c r="V86" s="565">
        <f t="shared" si="84"/>
        <v>0</v>
      </c>
      <c r="W86" s="565">
        <f t="shared" si="84"/>
        <v>0</v>
      </c>
      <c r="X86" s="565">
        <f t="shared" si="84"/>
        <v>0</v>
      </c>
      <c r="Y86" s="565">
        <f t="shared" si="84"/>
        <v>0</v>
      </c>
      <c r="Z86" s="565">
        <f t="shared" si="84"/>
        <v>0</v>
      </c>
      <c r="AA86" s="564">
        <f t="shared" si="84"/>
        <v>0.20193951334874927</v>
      </c>
      <c r="AB86" s="565">
        <f t="shared" si="84"/>
        <v>0.24426332771377712</v>
      </c>
      <c r="AC86" s="565">
        <f t="shared" si="84"/>
        <v>0.29545764608616965</v>
      </c>
      <c r="AD86" s="565">
        <f t="shared" si="84"/>
        <v>0.35738160716892825</v>
      </c>
      <c r="AE86" s="566">
        <f t="shared" si="84"/>
        <v>0.43228400020961505</v>
      </c>
      <c r="AF86" s="565">
        <f t="shared" si="84"/>
        <v>0.47085107447120467</v>
      </c>
      <c r="AG86" s="565">
        <f>AG84*AG85/10^6</f>
        <v>0.51285898673831321</v>
      </c>
      <c r="AH86" s="565">
        <f>AH84*AH85/10^6</f>
        <v>0.55861471819649589</v>
      </c>
      <c r="AI86" s="565">
        <f>AI84*AI85/10^6</f>
        <v>0.6084526379664954</v>
      </c>
      <c r="AJ86" s="566">
        <f t="shared" si="84"/>
        <v>0.66273694657318716</v>
      </c>
      <c r="AK86" s="548"/>
      <c r="AO86" s="984" t="str">
        <f t="shared" si="38"/>
        <v>Rev</v>
      </c>
      <c r="AP86" s="985" t="str">
        <f t="shared" si="38"/>
        <v>Water</v>
      </c>
      <c r="AQ86" s="986" t="str">
        <f t="shared" si="39"/>
        <v>Price cap - Fixed</v>
      </c>
      <c r="AR86" s="990" t="str">
        <f t="shared" si="40"/>
        <v>-</v>
      </c>
      <c r="AS86" s="987" t="str">
        <f t="shared" si="41"/>
        <v>-</v>
      </c>
      <c r="AT86" s="987" t="str">
        <f t="shared" si="42"/>
        <v>-</v>
      </c>
      <c r="AU86" s="987" t="str">
        <f t="shared" si="43"/>
        <v>-</v>
      </c>
      <c r="AV86" s="1353" t="str">
        <f t="shared" si="44"/>
        <v>-</v>
      </c>
      <c r="AW86" s="1346" t="str">
        <f t="shared" si="45"/>
        <v>-</v>
      </c>
      <c r="AX86" s="987">
        <f t="shared" si="46"/>
        <v>0.20958659186196349</v>
      </c>
      <c r="AY86" s="987">
        <f t="shared" si="47"/>
        <v>0.20958659186196371</v>
      </c>
      <c r="AZ86" s="987">
        <f t="shared" si="48"/>
        <v>0.20958659186196393</v>
      </c>
      <c r="BA86" s="988">
        <f t="shared" si="49"/>
        <v>0.20958659186196371</v>
      </c>
      <c r="BB86" s="1346">
        <f t="shared" si="50"/>
        <v>8.921698291606539E-2</v>
      </c>
      <c r="BC86" s="987">
        <f t="shared" si="51"/>
        <v>8.921698291606539E-2</v>
      </c>
      <c r="BD86" s="987">
        <f t="shared" si="52"/>
        <v>8.921698291606539E-2</v>
      </c>
      <c r="BE86" s="987">
        <f t="shared" si="53"/>
        <v>8.921698291606539E-2</v>
      </c>
      <c r="BF86" s="989">
        <f t="shared" si="54"/>
        <v>8.921698291606539E-2</v>
      </c>
      <c r="BG86" s="951"/>
      <c r="BH86" s="984" t="str">
        <f t="shared" si="55"/>
        <v>Rev</v>
      </c>
      <c r="BI86" s="985" t="str">
        <f t="shared" si="56"/>
        <v>Water</v>
      </c>
      <c r="BJ86" s="986" t="str">
        <f t="shared" si="57"/>
        <v>Price cap - Fixed</v>
      </c>
      <c r="BK86" s="987" t="str">
        <f t="shared" ref="BK86:BU86" si="85">IF(V86="","-",IFERROR((V86/U86-1)*(U86/U$13),"-"))</f>
        <v>-</v>
      </c>
      <c r="BL86" s="987" t="str">
        <f t="shared" si="85"/>
        <v>-</v>
      </c>
      <c r="BM86" s="987" t="str">
        <f t="shared" si="85"/>
        <v>-</v>
      </c>
      <c r="BN86" s="987" t="str">
        <f t="shared" si="85"/>
        <v>-</v>
      </c>
      <c r="BO86" s="1353" t="str">
        <f t="shared" si="85"/>
        <v>-</v>
      </c>
      <c r="BP86" s="1346" t="str">
        <f t="shared" si="85"/>
        <v>-</v>
      </c>
      <c r="BQ86" s="987">
        <f t="shared" si="85"/>
        <v>2.2354722674675713E-5</v>
      </c>
      <c r="BR86" s="987">
        <f t="shared" si="85"/>
        <v>2.6031109666777001E-5</v>
      </c>
      <c r="BS86" s="987">
        <f t="shared" si="85"/>
        <v>3.0891227573828454E-5</v>
      </c>
      <c r="BT86" s="988">
        <f t="shared" si="85"/>
        <v>3.6667780401869117E-5</v>
      </c>
      <c r="BU86" s="987">
        <f t="shared" si="85"/>
        <v>1.852421266191797E-5</v>
      </c>
      <c r="BV86" s="987">
        <f>IF(AG86="","-",IFERROR((AG86/AF86-1)*(AF86/AF$13),"-"))</f>
        <v>1.9271670829178176E-5</v>
      </c>
      <c r="BW86" s="987">
        <f>IF(AH86="","-",IFERROR((AH86/AG86-1)*(AG86/AG$13),"-"))</f>
        <v>2.070107770368236E-5</v>
      </c>
      <c r="BX86" s="987">
        <f>IF(AI86="","-",IFERROR((AI86/AH86-1)*(AH86/AH$13),"-"))</f>
        <v>2.2222478435235014E-5</v>
      </c>
      <c r="BY86" s="989">
        <f>IF(AJ86="","-",IFERROR((AJ86/AI86-1)*(AI86/AI$13),"-"))</f>
        <v>2.3795437845319505E-5</v>
      </c>
      <c r="BZ86" s="951"/>
      <c r="CA86" s="984" t="str">
        <f t="shared" si="35"/>
        <v>Rev</v>
      </c>
      <c r="CB86" s="985" t="str">
        <f t="shared" si="36"/>
        <v>Water</v>
      </c>
      <c r="CC86" s="985" t="str">
        <f t="shared" si="37"/>
        <v>Price cap - Fixed</v>
      </c>
      <c r="CD86" s="990" t="str">
        <f t="shared" si="59"/>
        <v>-</v>
      </c>
      <c r="CE86" s="987" t="str">
        <f t="shared" si="60"/>
        <v>-</v>
      </c>
      <c r="CF86" s="987" t="str">
        <f t="shared" si="60"/>
        <v>-</v>
      </c>
      <c r="CG86" s="988" t="str">
        <f t="shared" si="60"/>
        <v>-</v>
      </c>
      <c r="CH86" s="987" t="str">
        <f t="shared" si="61"/>
        <v>-</v>
      </c>
      <c r="CI86" s="987" t="str">
        <f t="shared" si="62"/>
        <v>-</v>
      </c>
      <c r="CJ86" s="987" t="str">
        <f t="shared" si="62"/>
        <v>-</v>
      </c>
      <c r="CK86" s="989" t="str">
        <f t="shared" si="62"/>
        <v>-</v>
      </c>
    </row>
    <row r="87" spans="4:89">
      <c r="D87" s="63">
        <f>D84+1</f>
        <v>7</v>
      </c>
      <c r="E87" s="550" t="s">
        <v>857</v>
      </c>
      <c r="F87" s="595" t="s">
        <v>401</v>
      </c>
      <c r="G87" s="595" t="s">
        <v>888</v>
      </c>
      <c r="H87" s="595" t="s">
        <v>938</v>
      </c>
      <c r="I87" s="589" t="s">
        <v>939</v>
      </c>
      <c r="J87" s="589" t="s">
        <v>879</v>
      </c>
      <c r="K87" s="551"/>
      <c r="L87" s="552"/>
      <c r="M87" s="552"/>
      <c r="N87" s="551"/>
      <c r="O87" s="552"/>
      <c r="P87" s="552"/>
      <c r="Q87" s="552"/>
      <c r="R87" s="1035"/>
      <c r="S87" s="1138"/>
      <c r="T87" s="591"/>
      <c r="U87" s="1035"/>
      <c r="V87" s="591"/>
      <c r="W87" s="591"/>
      <c r="X87" s="591"/>
      <c r="Y87" s="591"/>
      <c r="Z87" s="591"/>
      <c r="AA87" s="1138">
        <v>23732.018462299216</v>
      </c>
      <c r="AB87" s="591">
        <v>23732.018462299216</v>
      </c>
      <c r="AC87" s="591">
        <v>23732.018462299216</v>
      </c>
      <c r="AD87" s="591">
        <v>23732.018462299216</v>
      </c>
      <c r="AE87" s="1035">
        <v>23732.018462299216</v>
      </c>
      <c r="AF87" s="591">
        <v>28965.651701240527</v>
      </c>
      <c r="AG87" s="591">
        <v>35353.460549949908</v>
      </c>
      <c r="AH87" s="591">
        <v>43149.975900709178</v>
      </c>
      <c r="AI87" s="591">
        <v>52665.860463677323</v>
      </c>
      <c r="AJ87" s="592">
        <v>64280.28754319522</v>
      </c>
      <c r="AK87" s="548"/>
      <c r="AM87" s="974"/>
      <c r="AO87" s="975" t="str">
        <f t="shared" si="38"/>
        <v>Price</v>
      </c>
      <c r="AP87" s="976" t="str">
        <f t="shared" si="38"/>
        <v>Water</v>
      </c>
      <c r="AQ87" s="977" t="str">
        <f t="shared" si="39"/>
        <v>Price cap - Fixed</v>
      </c>
      <c r="AR87" s="1341" t="str">
        <f t="shared" si="40"/>
        <v>-</v>
      </c>
      <c r="AS87" s="978" t="str">
        <f t="shared" si="41"/>
        <v>-</v>
      </c>
      <c r="AT87" s="979" t="str">
        <f t="shared" si="42"/>
        <v>-</v>
      </c>
      <c r="AU87" s="979" t="str">
        <f t="shared" si="43"/>
        <v>-</v>
      </c>
      <c r="AV87" s="1352" t="str">
        <f t="shared" si="44"/>
        <v>-</v>
      </c>
      <c r="AW87" s="1345" t="str">
        <f t="shared" si="45"/>
        <v>-</v>
      </c>
      <c r="AX87" s="979">
        <f t="shared" si="46"/>
        <v>0</v>
      </c>
      <c r="AY87" s="979">
        <f t="shared" si="47"/>
        <v>0</v>
      </c>
      <c r="AZ87" s="979">
        <f t="shared" si="48"/>
        <v>0</v>
      </c>
      <c r="BA87" s="980">
        <f t="shared" si="49"/>
        <v>0</v>
      </c>
      <c r="BB87" s="1345">
        <f t="shared" si="50"/>
        <v>0.22053047225019995</v>
      </c>
      <c r="BC87" s="979">
        <f t="shared" si="51"/>
        <v>0.22053047225019995</v>
      </c>
      <c r="BD87" s="979">
        <f t="shared" si="52"/>
        <v>0.22053047225019995</v>
      </c>
      <c r="BE87" s="979">
        <f t="shared" si="53"/>
        <v>0.22053047225019995</v>
      </c>
      <c r="BF87" s="981">
        <f t="shared" si="54"/>
        <v>0.22053047225019995</v>
      </c>
      <c r="BG87" s="951"/>
      <c r="BH87" s="975" t="str">
        <f t="shared" si="55"/>
        <v>Price</v>
      </c>
      <c r="BI87" s="976" t="str">
        <f t="shared" si="56"/>
        <v>Water</v>
      </c>
      <c r="BJ87" s="977" t="str">
        <f t="shared" si="57"/>
        <v>Price cap - Fixed</v>
      </c>
      <c r="BK87" s="978" t="str">
        <f t="shared" ref="BK87:BU87" si="86">IF(V87="","-",IFERROR((V87/U87-1)*(U89/U$13),"-"))</f>
        <v>-</v>
      </c>
      <c r="BL87" s="978" t="str">
        <f t="shared" si="86"/>
        <v>-</v>
      </c>
      <c r="BM87" s="979" t="str">
        <f t="shared" si="86"/>
        <v>-</v>
      </c>
      <c r="BN87" s="979" t="str">
        <f t="shared" si="86"/>
        <v>-</v>
      </c>
      <c r="BO87" s="1352" t="str">
        <f t="shared" si="86"/>
        <v>-</v>
      </c>
      <c r="BP87" s="1345" t="str">
        <f t="shared" si="86"/>
        <v>-</v>
      </c>
      <c r="BQ87" s="979">
        <f t="shared" si="86"/>
        <v>0</v>
      </c>
      <c r="BR87" s="979">
        <f t="shared" si="86"/>
        <v>0</v>
      </c>
      <c r="BS87" s="979">
        <f t="shared" si="86"/>
        <v>0</v>
      </c>
      <c r="BT87" s="980">
        <f t="shared" si="86"/>
        <v>0</v>
      </c>
      <c r="BU87" s="979">
        <f t="shared" si="86"/>
        <v>3.0165296269575638E-5</v>
      </c>
      <c r="BV87" s="979">
        <f>IF(AG87="","-",IFERROR((AG87/AF87-1)*(AF89/AF$13),"-"))</f>
        <v>3.5165875038763209E-5</v>
      </c>
      <c r="BW87" s="979">
        <f>IF(AH87="","-",IFERROR((AH87/AG87-1)*(AG89/AG$13),"-"))</f>
        <v>4.2328145117694993E-5</v>
      </c>
      <c r="BX87" s="979">
        <f>IF(AI87="","-",IFERROR((AI87/AH87-1)*(AH89/AH$13),"-"))</f>
        <v>5.0917022332069368E-5</v>
      </c>
      <c r="BY87" s="981">
        <f>IF(AJ87="","-",IFERROR((AJ87/AI87-1)*(AI89/AI$13),"-"))</f>
        <v>6.1093981249438643E-5</v>
      </c>
      <c r="BZ87" s="951"/>
      <c r="CA87" s="975" t="str">
        <f t="shared" si="35"/>
        <v>Price</v>
      </c>
      <c r="CB87" s="976" t="str">
        <f t="shared" si="36"/>
        <v>Water</v>
      </c>
      <c r="CC87" s="982" t="str">
        <f t="shared" si="37"/>
        <v>Price cap - Fixed</v>
      </c>
      <c r="CD87" s="983" t="str">
        <f t="shared" si="59"/>
        <v>-</v>
      </c>
      <c r="CE87" s="979" t="str">
        <f t="shared" si="60"/>
        <v>-</v>
      </c>
      <c r="CF87" s="979" t="str">
        <f t="shared" si="60"/>
        <v>-</v>
      </c>
      <c r="CG87" s="980" t="str">
        <f t="shared" si="60"/>
        <v>-</v>
      </c>
      <c r="CH87" s="979" t="str">
        <f t="shared" si="61"/>
        <v>-</v>
      </c>
      <c r="CI87" s="979" t="str">
        <f t="shared" si="62"/>
        <v>-</v>
      </c>
      <c r="CJ87" s="979" t="str">
        <f t="shared" si="62"/>
        <v>-</v>
      </c>
      <c r="CK87" s="981" t="str">
        <f t="shared" si="62"/>
        <v>-</v>
      </c>
    </row>
    <row r="88" spans="4:89">
      <c r="E88" s="567" t="s">
        <v>880</v>
      </c>
      <c r="F88" s="554" t="str">
        <f>+F87</f>
        <v>Water</v>
      </c>
      <c r="G88" s="555" t="str">
        <f>+G87</f>
        <v>GW</v>
      </c>
      <c r="H88" s="555" t="str">
        <f>+H87</f>
        <v>South-Central Pool</v>
      </c>
      <c r="I88" s="556" t="str">
        <f>+I87</f>
        <v>Price cap - Fixed</v>
      </c>
      <c r="J88" s="590" t="s">
        <v>890</v>
      </c>
      <c r="K88" s="557"/>
      <c r="L88" s="558"/>
      <c r="M88" s="558"/>
      <c r="N88" s="557"/>
      <c r="O88" s="558"/>
      <c r="P88" s="558"/>
      <c r="Q88" s="558"/>
      <c r="R88" s="1036"/>
      <c r="S88" s="1139"/>
      <c r="T88" s="593"/>
      <c r="U88" s="1036"/>
      <c r="V88" s="593"/>
      <c r="W88" s="593"/>
      <c r="X88" s="593"/>
      <c r="Y88" s="593"/>
      <c r="Z88" s="593"/>
      <c r="AA88" s="1139">
        <v>12</v>
      </c>
      <c r="AB88" s="593">
        <v>12</v>
      </c>
      <c r="AC88" s="593">
        <v>12</v>
      </c>
      <c r="AD88" s="593">
        <v>12</v>
      </c>
      <c r="AE88" s="1036">
        <v>12</v>
      </c>
      <c r="AF88" s="593">
        <v>12</v>
      </c>
      <c r="AG88" s="593">
        <v>12</v>
      </c>
      <c r="AH88" s="593">
        <v>12</v>
      </c>
      <c r="AI88" s="593">
        <v>12</v>
      </c>
      <c r="AJ88" s="594">
        <v>12</v>
      </c>
      <c r="AK88" s="548"/>
      <c r="AO88" s="961" t="str">
        <f t="shared" si="38"/>
        <v>Qty</v>
      </c>
      <c r="AP88" s="962" t="str">
        <f t="shared" si="38"/>
        <v>Water</v>
      </c>
      <c r="AQ88" s="963" t="str">
        <f t="shared" si="39"/>
        <v>Price cap - Fixed</v>
      </c>
      <c r="AR88" s="967" t="str">
        <f t="shared" si="40"/>
        <v>-</v>
      </c>
      <c r="AS88" s="964" t="str">
        <f t="shared" si="41"/>
        <v>-</v>
      </c>
      <c r="AT88" s="964" t="str">
        <f t="shared" si="42"/>
        <v>-</v>
      </c>
      <c r="AU88" s="964" t="str">
        <f t="shared" si="43"/>
        <v>-</v>
      </c>
      <c r="AV88" s="1350" t="str">
        <f t="shared" si="44"/>
        <v>-</v>
      </c>
      <c r="AW88" s="1343" t="str">
        <f t="shared" si="45"/>
        <v>-</v>
      </c>
      <c r="AX88" s="964">
        <f t="shared" si="46"/>
        <v>0</v>
      </c>
      <c r="AY88" s="964">
        <f t="shared" si="47"/>
        <v>0</v>
      </c>
      <c r="AZ88" s="964">
        <f t="shared" si="48"/>
        <v>0</v>
      </c>
      <c r="BA88" s="965">
        <f t="shared" si="49"/>
        <v>0</v>
      </c>
      <c r="BB88" s="1343">
        <f t="shared" si="50"/>
        <v>0</v>
      </c>
      <c r="BC88" s="964">
        <f t="shared" si="51"/>
        <v>0</v>
      </c>
      <c r="BD88" s="964">
        <f t="shared" si="52"/>
        <v>0</v>
      </c>
      <c r="BE88" s="964">
        <f t="shared" si="53"/>
        <v>0</v>
      </c>
      <c r="BF88" s="966">
        <f t="shared" si="54"/>
        <v>0</v>
      </c>
      <c r="BG88" s="951"/>
      <c r="BH88" s="961" t="str">
        <f t="shared" si="55"/>
        <v>Qty</v>
      </c>
      <c r="BI88" s="962" t="str">
        <f t="shared" si="56"/>
        <v>Water</v>
      </c>
      <c r="BJ88" s="963" t="str">
        <f t="shared" si="57"/>
        <v>Price cap - Fixed</v>
      </c>
      <c r="BK88" s="964" t="str">
        <f t="shared" ref="BK88:BU88" si="87">IF(V88="","-",IFERROR((V88/U88-1)*(U89/U$13),"-"))</f>
        <v>-</v>
      </c>
      <c r="BL88" s="964" t="str">
        <f t="shared" si="87"/>
        <v>-</v>
      </c>
      <c r="BM88" s="964" t="str">
        <f t="shared" si="87"/>
        <v>-</v>
      </c>
      <c r="BN88" s="964" t="str">
        <f t="shared" si="87"/>
        <v>-</v>
      </c>
      <c r="BO88" s="1350" t="str">
        <f t="shared" si="87"/>
        <v>-</v>
      </c>
      <c r="BP88" s="1343" t="str">
        <f t="shared" si="87"/>
        <v>-</v>
      </c>
      <c r="BQ88" s="964">
        <f t="shared" si="87"/>
        <v>0</v>
      </c>
      <c r="BR88" s="964">
        <f t="shared" si="87"/>
        <v>0</v>
      </c>
      <c r="BS88" s="964">
        <f t="shared" si="87"/>
        <v>0</v>
      </c>
      <c r="BT88" s="965">
        <f t="shared" si="87"/>
        <v>0</v>
      </c>
      <c r="BU88" s="964">
        <f t="shared" si="87"/>
        <v>0</v>
      </c>
      <c r="BV88" s="964">
        <f>IF(AG88="","-",IFERROR((AG88/AF88-1)*(AF89/AF$13),"-"))</f>
        <v>0</v>
      </c>
      <c r="BW88" s="964">
        <f>IF(AH88="","-",IFERROR((AH88/AG88-1)*(AG89/AG$13),"-"))</f>
        <v>0</v>
      </c>
      <c r="BX88" s="964">
        <f>IF(AI88="","-",IFERROR((AI88/AH88-1)*(AH89/AH$13),"-"))</f>
        <v>0</v>
      </c>
      <c r="BY88" s="966">
        <f>IF(AJ88="","-",IFERROR((AJ88/AI88-1)*(AI89/AI$13),"-"))</f>
        <v>0</v>
      </c>
      <c r="BZ88" s="951"/>
      <c r="CA88" s="961" t="str">
        <f t="shared" si="35"/>
        <v>Qty</v>
      </c>
      <c r="CB88" s="962" t="str">
        <f t="shared" si="36"/>
        <v>Water</v>
      </c>
      <c r="CC88" s="962" t="str">
        <f t="shared" si="37"/>
        <v>Price cap - Fixed</v>
      </c>
      <c r="CD88" s="967" t="str">
        <f t="shared" si="59"/>
        <v>-</v>
      </c>
      <c r="CE88" s="964" t="str">
        <f t="shared" si="60"/>
        <v>-</v>
      </c>
      <c r="CF88" s="964" t="str">
        <f t="shared" si="60"/>
        <v>-</v>
      </c>
      <c r="CG88" s="965" t="str">
        <f t="shared" si="60"/>
        <v>-</v>
      </c>
      <c r="CH88" s="964" t="str">
        <f t="shared" si="61"/>
        <v>-</v>
      </c>
      <c r="CI88" s="964" t="str">
        <f t="shared" si="62"/>
        <v>-</v>
      </c>
      <c r="CJ88" s="964" t="str">
        <f t="shared" si="62"/>
        <v>-</v>
      </c>
      <c r="CK88" s="966" t="str">
        <f t="shared" si="62"/>
        <v>-</v>
      </c>
    </row>
    <row r="89" spans="4:89" ht="12.75" thickBot="1">
      <c r="E89" s="568" t="s">
        <v>882</v>
      </c>
      <c r="F89" s="560" t="str">
        <f>+F87</f>
        <v>Water</v>
      </c>
      <c r="G89" s="561" t="str">
        <f>+G87</f>
        <v>GW</v>
      </c>
      <c r="H89" s="561" t="str">
        <f>+H87</f>
        <v>South-Central Pool</v>
      </c>
      <c r="I89" s="562" t="str">
        <f>+I87</f>
        <v>Price cap - Fixed</v>
      </c>
      <c r="J89" s="563" t="s">
        <v>883</v>
      </c>
      <c r="K89" s="564">
        <f t="shared" ref="K89:AJ89" si="88">K87*K88/10^6</f>
        <v>0</v>
      </c>
      <c r="L89" s="565">
        <f t="shared" si="88"/>
        <v>0</v>
      </c>
      <c r="M89" s="565">
        <f t="shared" si="88"/>
        <v>0</v>
      </c>
      <c r="N89" s="564">
        <f t="shared" si="88"/>
        <v>0</v>
      </c>
      <c r="O89" s="565">
        <f t="shared" si="88"/>
        <v>0</v>
      </c>
      <c r="P89" s="565">
        <f t="shared" si="88"/>
        <v>0</v>
      </c>
      <c r="Q89" s="565">
        <f t="shared" si="88"/>
        <v>0</v>
      </c>
      <c r="R89" s="566">
        <f t="shared" si="88"/>
        <v>0</v>
      </c>
      <c r="S89" s="564">
        <f t="shared" si="88"/>
        <v>0</v>
      </c>
      <c r="T89" s="565">
        <f t="shared" si="88"/>
        <v>0</v>
      </c>
      <c r="U89" s="566">
        <f t="shared" si="88"/>
        <v>0</v>
      </c>
      <c r="V89" s="565">
        <f t="shared" si="88"/>
        <v>0</v>
      </c>
      <c r="W89" s="565">
        <f t="shared" si="88"/>
        <v>0</v>
      </c>
      <c r="X89" s="565">
        <f t="shared" si="88"/>
        <v>0</v>
      </c>
      <c r="Y89" s="565">
        <f t="shared" si="88"/>
        <v>0</v>
      </c>
      <c r="Z89" s="565">
        <f t="shared" si="88"/>
        <v>0</v>
      </c>
      <c r="AA89" s="564">
        <f t="shared" si="88"/>
        <v>0.28478422154759059</v>
      </c>
      <c r="AB89" s="565">
        <f t="shared" si="88"/>
        <v>0.28478422154759059</v>
      </c>
      <c r="AC89" s="565">
        <f t="shared" si="88"/>
        <v>0.28478422154759059</v>
      </c>
      <c r="AD89" s="565">
        <f t="shared" si="88"/>
        <v>0.28478422154759059</v>
      </c>
      <c r="AE89" s="566">
        <f t="shared" si="88"/>
        <v>0.28478422154759059</v>
      </c>
      <c r="AF89" s="565">
        <f t="shared" si="88"/>
        <v>0.34758782041488634</v>
      </c>
      <c r="AG89" s="565">
        <f>AG87*AG88/10^6</f>
        <v>0.42424152659939895</v>
      </c>
      <c r="AH89" s="565">
        <f>AH87*AH88/10^6</f>
        <v>0.51779971080851017</v>
      </c>
      <c r="AI89" s="565">
        <f>AI87*AI88/10^6</f>
        <v>0.63199032556412793</v>
      </c>
      <c r="AJ89" s="566">
        <f t="shared" si="88"/>
        <v>0.77136345051834265</v>
      </c>
      <c r="AK89" s="548"/>
      <c r="AO89" s="984" t="str">
        <f t="shared" si="38"/>
        <v>Rev</v>
      </c>
      <c r="AP89" s="985" t="str">
        <f t="shared" si="38"/>
        <v>Water</v>
      </c>
      <c r="AQ89" s="986" t="str">
        <f t="shared" si="39"/>
        <v>Price cap - Fixed</v>
      </c>
      <c r="AR89" s="990" t="str">
        <f t="shared" si="40"/>
        <v>-</v>
      </c>
      <c r="AS89" s="987" t="str">
        <f t="shared" si="41"/>
        <v>-</v>
      </c>
      <c r="AT89" s="987" t="str">
        <f t="shared" si="42"/>
        <v>-</v>
      </c>
      <c r="AU89" s="987" t="str">
        <f t="shared" si="43"/>
        <v>-</v>
      </c>
      <c r="AV89" s="1353" t="str">
        <f t="shared" si="44"/>
        <v>-</v>
      </c>
      <c r="AW89" s="1346" t="str">
        <f t="shared" si="45"/>
        <v>-</v>
      </c>
      <c r="AX89" s="987">
        <f t="shared" si="46"/>
        <v>0</v>
      </c>
      <c r="AY89" s="987">
        <f t="shared" si="47"/>
        <v>0</v>
      </c>
      <c r="AZ89" s="987">
        <f t="shared" si="48"/>
        <v>0</v>
      </c>
      <c r="BA89" s="988">
        <f t="shared" si="49"/>
        <v>0</v>
      </c>
      <c r="BB89" s="1346">
        <f t="shared" si="50"/>
        <v>0.22053047225019995</v>
      </c>
      <c r="BC89" s="987">
        <f t="shared" si="51"/>
        <v>0.22053047225020017</v>
      </c>
      <c r="BD89" s="987">
        <f t="shared" si="52"/>
        <v>0.22053047225019995</v>
      </c>
      <c r="BE89" s="987">
        <f t="shared" si="53"/>
        <v>0.22053047225019995</v>
      </c>
      <c r="BF89" s="989">
        <f t="shared" si="54"/>
        <v>0.22053047225019995</v>
      </c>
      <c r="BG89" s="951"/>
      <c r="BH89" s="984" t="str">
        <f t="shared" si="55"/>
        <v>Rev</v>
      </c>
      <c r="BI89" s="985" t="str">
        <f t="shared" si="56"/>
        <v>Water</v>
      </c>
      <c r="BJ89" s="986" t="str">
        <f t="shared" si="57"/>
        <v>Price cap - Fixed</v>
      </c>
      <c r="BK89" s="987" t="str">
        <f t="shared" ref="BK89:BU89" si="89">IF(V89="","-",IFERROR((V89/U89-1)*(U89/U$13),"-"))</f>
        <v>-</v>
      </c>
      <c r="BL89" s="987" t="str">
        <f t="shared" si="89"/>
        <v>-</v>
      </c>
      <c r="BM89" s="987" t="str">
        <f t="shared" si="89"/>
        <v>-</v>
      </c>
      <c r="BN89" s="987" t="str">
        <f t="shared" si="89"/>
        <v>-</v>
      </c>
      <c r="BO89" s="1353" t="str">
        <f t="shared" si="89"/>
        <v>-</v>
      </c>
      <c r="BP89" s="1346" t="str">
        <f t="shared" si="89"/>
        <v>-</v>
      </c>
      <c r="BQ89" s="987">
        <f t="shared" si="89"/>
        <v>0</v>
      </c>
      <c r="BR89" s="987">
        <f t="shared" si="89"/>
        <v>0</v>
      </c>
      <c r="BS89" s="987">
        <f t="shared" si="89"/>
        <v>0</v>
      </c>
      <c r="BT89" s="988">
        <f t="shared" si="89"/>
        <v>0</v>
      </c>
      <c r="BU89" s="987">
        <f t="shared" si="89"/>
        <v>3.0165296269575638E-5</v>
      </c>
      <c r="BV89" s="987">
        <f>IF(AG89="","-",IFERROR((AG89/AF89-1)*(AF89/AF$13),"-"))</f>
        <v>3.5165875038763243E-5</v>
      </c>
      <c r="BW89" s="987">
        <f>IF(AH89="","-",IFERROR((AH89/AG89-1)*(AG89/AG$13),"-"))</f>
        <v>4.2328145117694993E-5</v>
      </c>
      <c r="BX89" s="987">
        <f>IF(AI89="","-",IFERROR((AI89/AH89-1)*(AH89/AH$13),"-"))</f>
        <v>5.0917022332069368E-5</v>
      </c>
      <c r="BY89" s="989">
        <f>IF(AJ89="","-",IFERROR((AJ89/AI89-1)*(AI89/AI$13),"-"))</f>
        <v>6.1093981249438643E-5</v>
      </c>
      <c r="BZ89" s="951"/>
      <c r="CA89" s="984" t="str">
        <f t="shared" si="35"/>
        <v>Rev</v>
      </c>
      <c r="CB89" s="985" t="str">
        <f t="shared" si="36"/>
        <v>Water</v>
      </c>
      <c r="CC89" s="985" t="str">
        <f t="shared" si="37"/>
        <v>Price cap - Fixed</v>
      </c>
      <c r="CD89" s="990" t="str">
        <f t="shared" si="59"/>
        <v>-</v>
      </c>
      <c r="CE89" s="987" t="str">
        <f t="shared" si="60"/>
        <v>-</v>
      </c>
      <c r="CF89" s="987" t="str">
        <f t="shared" si="60"/>
        <v>-</v>
      </c>
      <c r="CG89" s="988" t="str">
        <f t="shared" si="60"/>
        <v>-</v>
      </c>
      <c r="CH89" s="987" t="str">
        <f t="shared" si="61"/>
        <v>-</v>
      </c>
      <c r="CI89" s="987" t="str">
        <f t="shared" si="62"/>
        <v>-</v>
      </c>
      <c r="CJ89" s="987" t="str">
        <f t="shared" si="62"/>
        <v>-</v>
      </c>
      <c r="CK89" s="989" t="str">
        <f t="shared" si="62"/>
        <v>-</v>
      </c>
    </row>
    <row r="90" spans="4:89">
      <c r="D90" s="63">
        <f>D87+1</f>
        <v>8</v>
      </c>
      <c r="E90" s="550" t="s">
        <v>857</v>
      </c>
      <c r="F90" s="595" t="s">
        <v>401</v>
      </c>
      <c r="G90" s="595" t="s">
        <v>877</v>
      </c>
      <c r="H90" s="595" t="s">
        <v>878</v>
      </c>
      <c r="I90" s="589" t="s">
        <v>939</v>
      </c>
      <c r="J90" s="589" t="s">
        <v>879</v>
      </c>
      <c r="K90" s="551"/>
      <c r="L90" s="552"/>
      <c r="M90" s="552"/>
      <c r="N90" s="551"/>
      <c r="O90" s="552"/>
      <c r="P90" s="552"/>
      <c r="Q90" s="552"/>
      <c r="R90" s="1035"/>
      <c r="S90" s="1138"/>
      <c r="T90" s="591"/>
      <c r="U90" s="1035">
        <v>439.93193927958839</v>
      </c>
      <c r="V90" s="591">
        <v>385.53041526717561</v>
      </c>
      <c r="W90" s="591">
        <v>392.58362711864407</v>
      </c>
      <c r="X90" s="591">
        <v>408.5994153846155</v>
      </c>
      <c r="Y90" s="591">
        <v>420.14730000000003</v>
      </c>
      <c r="Z90" s="591">
        <v>431.19</v>
      </c>
      <c r="AA90" s="1138">
        <v>0</v>
      </c>
      <c r="AB90" s="591">
        <v>0</v>
      </c>
      <c r="AC90" s="591">
        <v>0</v>
      </c>
      <c r="AD90" s="591">
        <v>0</v>
      </c>
      <c r="AE90" s="1035">
        <v>0</v>
      </c>
      <c r="AF90" s="591">
        <v>0</v>
      </c>
      <c r="AG90" s="591">
        <v>0</v>
      </c>
      <c r="AH90" s="591">
        <v>0</v>
      </c>
      <c r="AI90" s="591">
        <v>0</v>
      </c>
      <c r="AJ90" s="592">
        <v>0</v>
      </c>
      <c r="AK90" s="548"/>
      <c r="AM90" s="974"/>
      <c r="AO90" s="975" t="str">
        <f t="shared" si="38"/>
        <v>Price</v>
      </c>
      <c r="AP90" s="976" t="str">
        <f t="shared" si="38"/>
        <v>Water</v>
      </c>
      <c r="AQ90" s="977" t="str">
        <f t="shared" si="39"/>
        <v>Price cap - Fixed</v>
      </c>
      <c r="AR90" s="1341">
        <f t="shared" si="40"/>
        <v>-0.12365895529544435</v>
      </c>
      <c r="AS90" s="978">
        <f t="shared" si="41"/>
        <v>1.8294825964847661E-2</v>
      </c>
      <c r="AT90" s="979">
        <f t="shared" si="42"/>
        <v>4.0795864013786876E-2</v>
      </c>
      <c r="AU90" s="979">
        <f t="shared" si="43"/>
        <v>2.8262117322205293E-2</v>
      </c>
      <c r="AV90" s="1352">
        <f t="shared" si="44"/>
        <v>2.6282925059853968E-2</v>
      </c>
      <c r="AW90" s="1345">
        <f t="shared" si="45"/>
        <v>-1</v>
      </c>
      <c r="AX90" s="979" t="str">
        <f t="shared" si="46"/>
        <v>-</v>
      </c>
      <c r="AY90" s="979" t="str">
        <f t="shared" si="47"/>
        <v>-</v>
      </c>
      <c r="AZ90" s="979" t="str">
        <f t="shared" si="48"/>
        <v>-</v>
      </c>
      <c r="BA90" s="980" t="str">
        <f t="shared" si="49"/>
        <v>-</v>
      </c>
      <c r="BB90" s="1345" t="str">
        <f t="shared" si="50"/>
        <v>-</v>
      </c>
      <c r="BC90" s="979" t="str">
        <f t="shared" si="51"/>
        <v>-</v>
      </c>
      <c r="BD90" s="979" t="str">
        <f t="shared" si="52"/>
        <v>-</v>
      </c>
      <c r="BE90" s="979" t="str">
        <f t="shared" si="53"/>
        <v>-</v>
      </c>
      <c r="BF90" s="981" t="str">
        <f t="shared" si="54"/>
        <v>-</v>
      </c>
      <c r="BG90" s="951"/>
      <c r="BH90" s="975" t="str">
        <f t="shared" si="55"/>
        <v>Price</v>
      </c>
      <c r="BI90" s="976" t="str">
        <f t="shared" si="56"/>
        <v>Water</v>
      </c>
      <c r="BJ90" s="977" t="str">
        <f t="shared" si="57"/>
        <v>Price cap - Fixed</v>
      </c>
      <c r="BK90" s="978">
        <f t="shared" ref="BK90:BU90" si="90">IF(V90="","-",IFERROR((V90/U90-1)*(U92/U$13),"-"))</f>
        <v>-4.310537162953423E-3</v>
      </c>
      <c r="BL90" s="978">
        <f t="shared" si="90"/>
        <v>5.7832820004677116E-4</v>
      </c>
      <c r="BM90" s="979">
        <f t="shared" si="90"/>
        <v>1.3225640671683629E-3</v>
      </c>
      <c r="BN90" s="979">
        <f t="shared" si="90"/>
        <v>1.0613849783389453E-3</v>
      </c>
      <c r="BO90" s="1352">
        <f t="shared" si="90"/>
        <v>1.0022139152259574E-3</v>
      </c>
      <c r="BP90" s="1345">
        <f t="shared" si="90"/>
        <v>-3.9150740038886009E-2</v>
      </c>
      <c r="BQ90" s="979" t="str">
        <f t="shared" si="90"/>
        <v>-</v>
      </c>
      <c r="BR90" s="979" t="str">
        <f t="shared" si="90"/>
        <v>-</v>
      </c>
      <c r="BS90" s="979" t="str">
        <f t="shared" si="90"/>
        <v>-</v>
      </c>
      <c r="BT90" s="980" t="str">
        <f t="shared" si="90"/>
        <v>-</v>
      </c>
      <c r="BU90" s="979" t="str">
        <f t="shared" si="90"/>
        <v>-</v>
      </c>
      <c r="BV90" s="979" t="str">
        <f>IF(AG90="","-",IFERROR((AG90/AF90-1)*(AF92/AF$13),"-"))</f>
        <v>-</v>
      </c>
      <c r="BW90" s="979" t="str">
        <f>IF(AH90="","-",IFERROR((AH90/AG90-1)*(AG92/AG$13),"-"))</f>
        <v>-</v>
      </c>
      <c r="BX90" s="979" t="str">
        <f>IF(AI90="","-",IFERROR((AI90/AH90-1)*(AH92/AH$13),"-"))</f>
        <v>-</v>
      </c>
      <c r="BY90" s="981" t="str">
        <f>IF(AJ90="","-",IFERROR((AJ90/AI90-1)*(AI92/AI$13),"-"))</f>
        <v>-</v>
      </c>
      <c r="BZ90" s="951"/>
      <c r="CA90" s="975" t="str">
        <f t="shared" si="35"/>
        <v>Price</v>
      </c>
      <c r="CB90" s="976" t="str">
        <f t="shared" si="36"/>
        <v>Water</v>
      </c>
      <c r="CC90" s="982" t="str">
        <f t="shared" si="37"/>
        <v>Price cap - Fixed</v>
      </c>
      <c r="CD90" s="983">
        <f t="shared" si="59"/>
        <v>-5.5344744574361449E-2</v>
      </c>
      <c r="CE90" s="979">
        <f t="shared" si="60"/>
        <v>-2.4327458830318838E-2</v>
      </c>
      <c r="CF90" s="979">
        <f t="shared" si="60"/>
        <v>-1.1437752671881518E-2</v>
      </c>
      <c r="CG90" s="980">
        <f t="shared" si="60"/>
        <v>-4.0061943583517001E-3</v>
      </c>
      <c r="CH90" s="979">
        <f t="shared" si="61"/>
        <v>-1</v>
      </c>
      <c r="CI90" s="979">
        <f t="shared" si="62"/>
        <v>-1</v>
      </c>
      <c r="CJ90" s="979">
        <f t="shared" si="62"/>
        <v>-1</v>
      </c>
      <c r="CK90" s="981">
        <f t="shared" si="62"/>
        <v>-1</v>
      </c>
    </row>
    <row r="91" spans="4:89">
      <c r="E91" s="567" t="s">
        <v>880</v>
      </c>
      <c r="F91" s="554" t="str">
        <f>+F90</f>
        <v>Water</v>
      </c>
      <c r="G91" s="555" t="str">
        <f>+G90</f>
        <v>GWW</v>
      </c>
      <c r="H91" s="555" t="str">
        <f>+H90</f>
        <v>Greater Yarra System - Thomson River</v>
      </c>
      <c r="I91" s="556" t="str">
        <f>+I90</f>
        <v>Price cap - Fixed</v>
      </c>
      <c r="J91" s="590" t="s">
        <v>881</v>
      </c>
      <c r="K91" s="557"/>
      <c r="L91" s="558"/>
      <c r="M91" s="558"/>
      <c r="N91" s="557"/>
      <c r="O91" s="558"/>
      <c r="P91" s="558"/>
      <c r="Q91" s="558"/>
      <c r="R91" s="1036"/>
      <c r="S91" s="1139"/>
      <c r="T91" s="593"/>
      <c r="U91" s="1036">
        <v>152797</v>
      </c>
      <c r="V91" s="593">
        <v>152797</v>
      </c>
      <c r="W91" s="593">
        <v>152797</v>
      </c>
      <c r="X91" s="593">
        <v>171047</v>
      </c>
      <c r="Y91" s="593">
        <v>171047</v>
      </c>
      <c r="Z91" s="593">
        <v>171047</v>
      </c>
      <c r="AA91" s="1139">
        <v>171047</v>
      </c>
      <c r="AB91" s="593">
        <v>171047</v>
      </c>
      <c r="AC91" s="593">
        <v>171047</v>
      </c>
      <c r="AD91" s="593">
        <v>171047</v>
      </c>
      <c r="AE91" s="1036">
        <v>171047</v>
      </c>
      <c r="AF91" s="593">
        <v>171047</v>
      </c>
      <c r="AG91" s="593">
        <v>171047</v>
      </c>
      <c r="AH91" s="593">
        <v>171047</v>
      </c>
      <c r="AI91" s="593">
        <v>171047</v>
      </c>
      <c r="AJ91" s="594">
        <v>171047</v>
      </c>
      <c r="AK91" s="548"/>
      <c r="AO91" s="961" t="str">
        <f t="shared" si="38"/>
        <v>Qty</v>
      </c>
      <c r="AP91" s="962" t="str">
        <f t="shared" si="38"/>
        <v>Water</v>
      </c>
      <c r="AQ91" s="963" t="str">
        <f t="shared" si="39"/>
        <v>Price cap - Fixed</v>
      </c>
      <c r="AR91" s="967">
        <f t="shared" si="40"/>
        <v>0</v>
      </c>
      <c r="AS91" s="964">
        <f t="shared" si="41"/>
        <v>0</v>
      </c>
      <c r="AT91" s="964">
        <f t="shared" si="42"/>
        <v>0.11943951779157969</v>
      </c>
      <c r="AU91" s="964">
        <f t="shared" si="43"/>
        <v>0</v>
      </c>
      <c r="AV91" s="1350">
        <f t="shared" si="44"/>
        <v>0</v>
      </c>
      <c r="AW91" s="1343">
        <f t="shared" si="45"/>
        <v>0</v>
      </c>
      <c r="AX91" s="964">
        <f t="shared" si="46"/>
        <v>0</v>
      </c>
      <c r="AY91" s="964">
        <f t="shared" si="47"/>
        <v>0</v>
      </c>
      <c r="AZ91" s="964">
        <f t="shared" si="48"/>
        <v>0</v>
      </c>
      <c r="BA91" s="965">
        <f t="shared" si="49"/>
        <v>0</v>
      </c>
      <c r="BB91" s="1343">
        <f t="shared" si="50"/>
        <v>0</v>
      </c>
      <c r="BC91" s="964">
        <f t="shared" si="51"/>
        <v>0</v>
      </c>
      <c r="BD91" s="964">
        <f t="shared" si="52"/>
        <v>0</v>
      </c>
      <c r="BE91" s="964">
        <f t="shared" si="53"/>
        <v>0</v>
      </c>
      <c r="BF91" s="966">
        <f t="shared" si="54"/>
        <v>0</v>
      </c>
      <c r="BG91" s="951"/>
      <c r="BH91" s="961" t="str">
        <f t="shared" si="55"/>
        <v>Qty</v>
      </c>
      <c r="BI91" s="962" t="str">
        <f t="shared" si="56"/>
        <v>Water</v>
      </c>
      <c r="BJ91" s="963" t="str">
        <f t="shared" si="57"/>
        <v>Price cap - Fixed</v>
      </c>
      <c r="BK91" s="964">
        <f t="shared" ref="BK91:BU91" si="91">IF(V91="","-",IFERROR((V91/U91-1)*(U92/U$13),"-"))</f>
        <v>0</v>
      </c>
      <c r="BL91" s="964">
        <f t="shared" si="91"/>
        <v>0</v>
      </c>
      <c r="BM91" s="964">
        <f t="shared" si="91"/>
        <v>3.8721183690992611E-3</v>
      </c>
      <c r="BN91" s="964">
        <f t="shared" si="91"/>
        <v>0</v>
      </c>
      <c r="BO91" s="1350">
        <f t="shared" si="91"/>
        <v>0</v>
      </c>
      <c r="BP91" s="1343">
        <f t="shared" si="91"/>
        <v>0</v>
      </c>
      <c r="BQ91" s="964">
        <f t="shared" si="91"/>
        <v>0</v>
      </c>
      <c r="BR91" s="964">
        <f t="shared" si="91"/>
        <v>0</v>
      </c>
      <c r="BS91" s="964">
        <f t="shared" si="91"/>
        <v>0</v>
      </c>
      <c r="BT91" s="965">
        <f t="shared" si="91"/>
        <v>0</v>
      </c>
      <c r="BU91" s="964">
        <f t="shared" si="91"/>
        <v>0</v>
      </c>
      <c r="BV91" s="964">
        <f>IF(AG91="","-",IFERROR((AG91/AF91-1)*(AF92/AF$13),"-"))</f>
        <v>0</v>
      </c>
      <c r="BW91" s="964">
        <f>IF(AH91="","-",IFERROR((AH91/AG91-1)*(AG92/AG$13),"-"))</f>
        <v>0</v>
      </c>
      <c r="BX91" s="964">
        <f>IF(AI91="","-",IFERROR((AI91/AH91-1)*(AH92/AH$13),"-"))</f>
        <v>0</v>
      </c>
      <c r="BY91" s="966">
        <f>IF(AJ91="","-",IFERROR((AJ91/AI91-1)*(AI92/AI$13),"-"))</f>
        <v>0</v>
      </c>
      <c r="BZ91" s="951"/>
      <c r="CA91" s="961" t="str">
        <f t="shared" si="35"/>
        <v>Qty</v>
      </c>
      <c r="CB91" s="962" t="str">
        <f t="shared" si="36"/>
        <v>Water</v>
      </c>
      <c r="CC91" s="962" t="str">
        <f t="shared" si="37"/>
        <v>Price cap - Fixed</v>
      </c>
      <c r="CD91" s="967">
        <f t="shared" si="59"/>
        <v>0</v>
      </c>
      <c r="CE91" s="964">
        <f t="shared" si="60"/>
        <v>3.8325559289018818E-2</v>
      </c>
      <c r="CF91" s="964">
        <f t="shared" si="60"/>
        <v>2.8608617665388802E-2</v>
      </c>
      <c r="CG91" s="965">
        <f t="shared" si="60"/>
        <v>2.2822155587823634E-2</v>
      </c>
      <c r="CH91" s="964">
        <f t="shared" si="61"/>
        <v>0</v>
      </c>
      <c r="CI91" s="964">
        <f t="shared" si="62"/>
        <v>0</v>
      </c>
      <c r="CJ91" s="964">
        <f t="shared" si="62"/>
        <v>0</v>
      </c>
      <c r="CK91" s="966">
        <f t="shared" si="62"/>
        <v>0</v>
      </c>
    </row>
    <row r="92" spans="4:89" ht="12.75" thickBot="1">
      <c r="E92" s="568" t="s">
        <v>882</v>
      </c>
      <c r="F92" s="560" t="str">
        <f>+F90</f>
        <v>Water</v>
      </c>
      <c r="G92" s="561" t="str">
        <f>+G90</f>
        <v>GWW</v>
      </c>
      <c r="H92" s="561" t="str">
        <f>+H90</f>
        <v>Greater Yarra System - Thomson River</v>
      </c>
      <c r="I92" s="562" t="str">
        <f>+I90</f>
        <v>Price cap - Fixed</v>
      </c>
      <c r="J92" s="563" t="s">
        <v>883</v>
      </c>
      <c r="K92" s="564">
        <f t="shared" ref="K92:AJ92" si="92">K90*K91/10^6</f>
        <v>0</v>
      </c>
      <c r="L92" s="565">
        <f t="shared" si="92"/>
        <v>0</v>
      </c>
      <c r="M92" s="565">
        <f t="shared" si="92"/>
        <v>0</v>
      </c>
      <c r="N92" s="564">
        <f t="shared" si="92"/>
        <v>0</v>
      </c>
      <c r="O92" s="565">
        <f t="shared" si="92"/>
        <v>0</v>
      </c>
      <c r="P92" s="565">
        <f t="shared" si="92"/>
        <v>0</v>
      </c>
      <c r="Q92" s="565">
        <f t="shared" si="92"/>
        <v>0</v>
      </c>
      <c r="R92" s="566">
        <f t="shared" si="92"/>
        <v>0</v>
      </c>
      <c r="S92" s="564">
        <f t="shared" si="92"/>
        <v>0</v>
      </c>
      <c r="T92" s="565">
        <f t="shared" si="92"/>
        <v>0</v>
      </c>
      <c r="U92" s="566">
        <f t="shared" si="92"/>
        <v>67.220280526103267</v>
      </c>
      <c r="V92" s="565">
        <f t="shared" si="92"/>
        <v>58.907890861578629</v>
      </c>
      <c r="W92" s="565">
        <f t="shared" si="92"/>
        <v>59.985600472847459</v>
      </c>
      <c r="X92" s="565">
        <f t="shared" si="92"/>
        <v>69.889704203292325</v>
      </c>
      <c r="Y92" s="565">
        <f t="shared" si="92"/>
        <v>71.864935223100005</v>
      </c>
      <c r="Z92" s="565">
        <f t="shared" si="92"/>
        <v>73.753755929999997</v>
      </c>
      <c r="AA92" s="564">
        <f t="shared" si="92"/>
        <v>0</v>
      </c>
      <c r="AB92" s="565">
        <f t="shared" si="92"/>
        <v>0</v>
      </c>
      <c r="AC92" s="565">
        <f t="shared" si="92"/>
        <v>0</v>
      </c>
      <c r="AD92" s="565">
        <f t="shared" si="92"/>
        <v>0</v>
      </c>
      <c r="AE92" s="566">
        <f t="shared" si="92"/>
        <v>0</v>
      </c>
      <c r="AF92" s="565">
        <f t="shared" si="92"/>
        <v>0</v>
      </c>
      <c r="AG92" s="565">
        <f>AG90*AG91/10^6</f>
        <v>0</v>
      </c>
      <c r="AH92" s="565">
        <f>AH90*AH91/10^6</f>
        <v>0</v>
      </c>
      <c r="AI92" s="565">
        <f>AI90*AI91/10^6</f>
        <v>0</v>
      </c>
      <c r="AJ92" s="566">
        <f t="shared" si="92"/>
        <v>0</v>
      </c>
      <c r="AK92" s="548"/>
      <c r="AO92" s="984" t="str">
        <f t="shared" si="38"/>
        <v>Rev</v>
      </c>
      <c r="AP92" s="985" t="str">
        <f t="shared" si="38"/>
        <v>Water</v>
      </c>
      <c r="AQ92" s="986" t="str">
        <f t="shared" si="39"/>
        <v>Price cap - Fixed</v>
      </c>
      <c r="AR92" s="990">
        <f t="shared" si="40"/>
        <v>-0.12365895529544446</v>
      </c>
      <c r="AS92" s="987">
        <f t="shared" si="41"/>
        <v>1.8294825964847883E-2</v>
      </c>
      <c r="AT92" s="987">
        <f t="shared" si="42"/>
        <v>0.16510802013106418</v>
      </c>
      <c r="AU92" s="987">
        <f t="shared" si="43"/>
        <v>2.8262117322205516E-2</v>
      </c>
      <c r="AV92" s="1353">
        <f t="shared" si="44"/>
        <v>2.6282925059853968E-2</v>
      </c>
      <c r="AW92" s="1346">
        <f t="shared" si="45"/>
        <v>-1</v>
      </c>
      <c r="AX92" s="987" t="str">
        <f t="shared" si="46"/>
        <v>-</v>
      </c>
      <c r="AY92" s="987" t="str">
        <f t="shared" si="47"/>
        <v>-</v>
      </c>
      <c r="AZ92" s="987" t="str">
        <f t="shared" si="48"/>
        <v>-</v>
      </c>
      <c r="BA92" s="988" t="str">
        <f t="shared" si="49"/>
        <v>-</v>
      </c>
      <c r="BB92" s="1346" t="str">
        <f t="shared" si="50"/>
        <v>-</v>
      </c>
      <c r="BC92" s="987" t="str">
        <f t="shared" si="51"/>
        <v>-</v>
      </c>
      <c r="BD92" s="987" t="str">
        <f t="shared" si="52"/>
        <v>-</v>
      </c>
      <c r="BE92" s="987" t="str">
        <f t="shared" si="53"/>
        <v>-</v>
      </c>
      <c r="BF92" s="989" t="str">
        <f t="shared" si="54"/>
        <v>-</v>
      </c>
      <c r="BG92" s="951"/>
      <c r="BH92" s="984" t="str">
        <f t="shared" si="55"/>
        <v>Rev</v>
      </c>
      <c r="BI92" s="985" t="str">
        <f t="shared" si="56"/>
        <v>Water</v>
      </c>
      <c r="BJ92" s="986" t="str">
        <f t="shared" si="57"/>
        <v>Price cap - Fixed</v>
      </c>
      <c r="BK92" s="987">
        <f t="shared" ref="BK92:BU92" si="93">IF(V92="","-",IFERROR((V92/U92-1)*(U92/U$13),"-"))</f>
        <v>-4.3105371629534265E-3</v>
      </c>
      <c r="BL92" s="987">
        <f t="shared" si="93"/>
        <v>5.7832820004677821E-4</v>
      </c>
      <c r="BM92" s="987">
        <f t="shared" si="93"/>
        <v>5.3526488506986858E-3</v>
      </c>
      <c r="BN92" s="987">
        <f t="shared" si="93"/>
        <v>1.0613849783389538E-3</v>
      </c>
      <c r="BO92" s="1353">
        <f t="shared" si="93"/>
        <v>1.0022139152259574E-3</v>
      </c>
      <c r="BP92" s="1346">
        <f t="shared" si="93"/>
        <v>-3.9150740038886009E-2</v>
      </c>
      <c r="BQ92" s="987" t="str">
        <f t="shared" si="93"/>
        <v>-</v>
      </c>
      <c r="BR92" s="987" t="str">
        <f t="shared" si="93"/>
        <v>-</v>
      </c>
      <c r="BS92" s="987" t="str">
        <f t="shared" si="93"/>
        <v>-</v>
      </c>
      <c r="BT92" s="988" t="str">
        <f t="shared" si="93"/>
        <v>-</v>
      </c>
      <c r="BU92" s="987" t="str">
        <f t="shared" si="93"/>
        <v>-</v>
      </c>
      <c r="BV92" s="987" t="str">
        <f>IF(AG92="","-",IFERROR((AG92/AF92-1)*(AF92/AF$13),"-"))</f>
        <v>-</v>
      </c>
      <c r="BW92" s="987" t="str">
        <f>IF(AH92="","-",IFERROR((AH92/AG92-1)*(AG92/AG$13),"-"))</f>
        <v>-</v>
      </c>
      <c r="BX92" s="987" t="str">
        <f>IF(AI92="","-",IFERROR((AI92/AH92-1)*(AH92/AH$13),"-"))</f>
        <v>-</v>
      </c>
      <c r="BY92" s="989" t="str">
        <f>IF(AJ92="","-",IFERROR((AJ92/AI92-1)*(AI92/AI$13),"-"))</f>
        <v>-</v>
      </c>
      <c r="BZ92" s="951"/>
      <c r="CA92" s="984" t="str">
        <f t="shared" si="35"/>
        <v>Rev</v>
      </c>
      <c r="CB92" s="985" t="str">
        <f t="shared" si="36"/>
        <v>Water</v>
      </c>
      <c r="CC92" s="985" t="str">
        <f t="shared" si="37"/>
        <v>Price cap - Fixed</v>
      </c>
      <c r="CD92" s="990">
        <f t="shared" si="59"/>
        <v>-5.5344744574361449E-2</v>
      </c>
      <c r="CE92" s="987">
        <f t="shared" si="60"/>
        <v>1.3065736992947663E-2</v>
      </c>
      <c r="CF92" s="987">
        <f t="shared" si="60"/>
        <v>1.6843646700366088E-2</v>
      </c>
      <c r="CG92" s="988">
        <f t="shared" si="60"/>
        <v>1.87245312385107E-2</v>
      </c>
      <c r="CH92" s="987">
        <f t="shared" si="61"/>
        <v>-1</v>
      </c>
      <c r="CI92" s="987">
        <f t="shared" si="62"/>
        <v>-1</v>
      </c>
      <c r="CJ92" s="987">
        <f t="shared" si="62"/>
        <v>-1</v>
      </c>
      <c r="CK92" s="989">
        <f t="shared" si="62"/>
        <v>-1</v>
      </c>
    </row>
    <row r="93" spans="4:89">
      <c r="D93" s="63">
        <f>D90+1</f>
        <v>9</v>
      </c>
      <c r="E93" s="550" t="s">
        <v>857</v>
      </c>
      <c r="F93" s="595" t="s">
        <v>401</v>
      </c>
      <c r="G93" s="595" t="s">
        <v>92</v>
      </c>
      <c r="H93" s="595" t="s">
        <v>878</v>
      </c>
      <c r="I93" s="589" t="s">
        <v>939</v>
      </c>
      <c r="J93" s="589" t="s">
        <v>879</v>
      </c>
      <c r="K93" s="551"/>
      <c r="L93" s="552"/>
      <c r="M93" s="552"/>
      <c r="N93" s="551"/>
      <c r="O93" s="552"/>
      <c r="P93" s="552"/>
      <c r="Q93" s="552"/>
      <c r="R93" s="1035"/>
      <c r="S93" s="1138"/>
      <c r="T93" s="591"/>
      <c r="U93" s="1035">
        <v>439.93193927958839</v>
      </c>
      <c r="V93" s="591">
        <v>385.53041526717561</v>
      </c>
      <c r="W93" s="591">
        <v>392.58362711864407</v>
      </c>
      <c r="X93" s="591">
        <v>408.5994153846155</v>
      </c>
      <c r="Y93" s="591">
        <v>420.14730000000003</v>
      </c>
      <c r="Z93" s="591">
        <v>431.19</v>
      </c>
      <c r="AA93" s="1138">
        <v>0</v>
      </c>
      <c r="AB93" s="591">
        <v>0</v>
      </c>
      <c r="AC93" s="591">
        <v>0</v>
      </c>
      <c r="AD93" s="591">
        <v>0</v>
      </c>
      <c r="AE93" s="1035">
        <v>0</v>
      </c>
      <c r="AF93" s="591">
        <v>0</v>
      </c>
      <c r="AG93" s="591">
        <v>0</v>
      </c>
      <c r="AH93" s="591">
        <v>0</v>
      </c>
      <c r="AI93" s="591">
        <v>0</v>
      </c>
      <c r="AJ93" s="592">
        <v>0</v>
      </c>
      <c r="AK93" s="548"/>
      <c r="AM93" s="974"/>
      <c r="AO93" s="975" t="str">
        <f t="shared" si="38"/>
        <v>Price</v>
      </c>
      <c r="AP93" s="976" t="str">
        <f t="shared" si="38"/>
        <v>Water</v>
      </c>
      <c r="AQ93" s="977" t="str">
        <f t="shared" si="39"/>
        <v>Price cap - Fixed</v>
      </c>
      <c r="AR93" s="1341">
        <f t="shared" si="40"/>
        <v>-0.12365895529544435</v>
      </c>
      <c r="AS93" s="978">
        <f t="shared" si="41"/>
        <v>1.8294825964847661E-2</v>
      </c>
      <c r="AT93" s="979">
        <f t="shared" si="42"/>
        <v>4.0795864013786876E-2</v>
      </c>
      <c r="AU93" s="979">
        <f t="shared" si="43"/>
        <v>2.8262117322205293E-2</v>
      </c>
      <c r="AV93" s="1352">
        <f t="shared" si="44"/>
        <v>2.6282925059853968E-2</v>
      </c>
      <c r="AW93" s="1345">
        <f t="shared" si="45"/>
        <v>-1</v>
      </c>
      <c r="AX93" s="979" t="str">
        <f t="shared" si="46"/>
        <v>-</v>
      </c>
      <c r="AY93" s="979" t="str">
        <f t="shared" si="47"/>
        <v>-</v>
      </c>
      <c r="AZ93" s="979" t="str">
        <f t="shared" si="48"/>
        <v>-</v>
      </c>
      <c r="BA93" s="980" t="str">
        <f t="shared" si="49"/>
        <v>-</v>
      </c>
      <c r="BB93" s="1345" t="str">
        <f t="shared" si="50"/>
        <v>-</v>
      </c>
      <c r="BC93" s="979" t="str">
        <f t="shared" si="51"/>
        <v>-</v>
      </c>
      <c r="BD93" s="979" t="str">
        <f t="shared" si="52"/>
        <v>-</v>
      </c>
      <c r="BE93" s="979" t="str">
        <f t="shared" si="53"/>
        <v>-</v>
      </c>
      <c r="BF93" s="981" t="str">
        <f t="shared" si="54"/>
        <v>-</v>
      </c>
      <c r="BG93" s="951"/>
      <c r="BH93" s="975" t="str">
        <f t="shared" si="55"/>
        <v>Price</v>
      </c>
      <c r="BI93" s="976" t="str">
        <f t="shared" si="56"/>
        <v>Water</v>
      </c>
      <c r="BJ93" s="977" t="str">
        <f t="shared" si="57"/>
        <v>Price cap - Fixed</v>
      </c>
      <c r="BK93" s="978">
        <f t="shared" ref="BK93:BU93" si="94">IF(V93="","-",IFERROR((V93/U93-1)*(U95/U$13),"-"))</f>
        <v>-5.8193676349090296E-3</v>
      </c>
      <c r="BL93" s="978">
        <f t="shared" si="94"/>
        <v>7.8076218403403243E-4</v>
      </c>
      <c r="BM93" s="979">
        <f t="shared" si="94"/>
        <v>1.7855052019316938E-3</v>
      </c>
      <c r="BN93" s="979">
        <f t="shared" si="94"/>
        <v>1.2800198466897171E-3</v>
      </c>
      <c r="BO93" s="1352">
        <f t="shared" si="94"/>
        <v>1.2086601264373283E-3</v>
      </c>
      <c r="BP93" s="1345">
        <f t="shared" si="94"/>
        <v>-4.721540749595985E-2</v>
      </c>
      <c r="BQ93" s="979" t="str">
        <f t="shared" si="94"/>
        <v>-</v>
      </c>
      <c r="BR93" s="979" t="str">
        <f t="shared" si="94"/>
        <v>-</v>
      </c>
      <c r="BS93" s="979" t="str">
        <f t="shared" si="94"/>
        <v>-</v>
      </c>
      <c r="BT93" s="980" t="str">
        <f t="shared" si="94"/>
        <v>-</v>
      </c>
      <c r="BU93" s="979" t="str">
        <f t="shared" si="94"/>
        <v>-</v>
      </c>
      <c r="BV93" s="979" t="str">
        <f>IF(AG93="","-",IFERROR((AG93/AF93-1)*(AF95/AF$13),"-"))</f>
        <v>-</v>
      </c>
      <c r="BW93" s="979" t="str">
        <f>IF(AH93="","-",IFERROR((AH93/AG93-1)*(AG95/AG$13),"-"))</f>
        <v>-</v>
      </c>
      <c r="BX93" s="979" t="str">
        <f>IF(AI93="","-",IFERROR((AI93/AH93-1)*(AH95/AH$13),"-"))</f>
        <v>-</v>
      </c>
      <c r="BY93" s="981" t="str">
        <f>IF(AJ93="","-",IFERROR((AJ93/AI93-1)*(AI95/AI$13),"-"))</f>
        <v>-</v>
      </c>
      <c r="BZ93" s="951"/>
      <c r="CA93" s="975" t="str">
        <f t="shared" si="35"/>
        <v>Price</v>
      </c>
      <c r="CB93" s="976" t="str">
        <f t="shared" si="36"/>
        <v>Water</v>
      </c>
      <c r="CC93" s="982" t="str">
        <f t="shared" si="37"/>
        <v>Price cap - Fixed</v>
      </c>
      <c r="CD93" s="983">
        <f t="shared" si="59"/>
        <v>-5.5344744574361449E-2</v>
      </c>
      <c r="CE93" s="979">
        <f t="shared" si="60"/>
        <v>-2.4327458830318838E-2</v>
      </c>
      <c r="CF93" s="979">
        <f t="shared" si="60"/>
        <v>-1.1437752671881518E-2</v>
      </c>
      <c r="CG93" s="980">
        <f t="shared" si="60"/>
        <v>-4.0061943583517001E-3</v>
      </c>
      <c r="CH93" s="979">
        <f t="shared" si="61"/>
        <v>-1</v>
      </c>
      <c r="CI93" s="979">
        <f t="shared" si="62"/>
        <v>-1</v>
      </c>
      <c r="CJ93" s="979">
        <f t="shared" si="62"/>
        <v>-1</v>
      </c>
      <c r="CK93" s="981">
        <f t="shared" si="62"/>
        <v>-1</v>
      </c>
    </row>
    <row r="94" spans="4:89">
      <c r="E94" s="567" t="s">
        <v>880</v>
      </c>
      <c r="F94" s="554" t="str">
        <f>+F93</f>
        <v>Water</v>
      </c>
      <c r="G94" s="555" t="str">
        <f>+G93</f>
        <v>SEW</v>
      </c>
      <c r="H94" s="555" t="str">
        <f>+H93</f>
        <v>Greater Yarra System - Thomson River</v>
      </c>
      <c r="I94" s="556" t="str">
        <f>+I93</f>
        <v>Price cap - Fixed</v>
      </c>
      <c r="J94" s="590" t="s">
        <v>881</v>
      </c>
      <c r="K94" s="557"/>
      <c r="L94" s="558"/>
      <c r="M94" s="558"/>
      <c r="N94" s="557"/>
      <c r="O94" s="558"/>
      <c r="P94" s="558"/>
      <c r="Q94" s="558"/>
      <c r="R94" s="1036"/>
      <c r="S94" s="1139"/>
      <c r="T94" s="593"/>
      <c r="U94" s="1036">
        <v>206281</v>
      </c>
      <c r="V94" s="593">
        <v>206281</v>
      </c>
      <c r="W94" s="593">
        <v>206281</v>
      </c>
      <c r="X94" s="593">
        <v>206281</v>
      </c>
      <c r="Y94" s="593">
        <v>206281</v>
      </c>
      <c r="Z94" s="593">
        <v>206281</v>
      </c>
      <c r="AA94" s="1139">
        <v>206281</v>
      </c>
      <c r="AB94" s="593">
        <v>206281</v>
      </c>
      <c r="AC94" s="593">
        <v>206281</v>
      </c>
      <c r="AD94" s="593">
        <v>206281</v>
      </c>
      <c r="AE94" s="1036">
        <v>206281</v>
      </c>
      <c r="AF94" s="593">
        <v>206281</v>
      </c>
      <c r="AG94" s="593">
        <v>206281</v>
      </c>
      <c r="AH94" s="593">
        <v>206281</v>
      </c>
      <c r="AI94" s="593">
        <v>206281</v>
      </c>
      <c r="AJ94" s="594">
        <v>206281</v>
      </c>
      <c r="AK94" s="548"/>
      <c r="AO94" s="961" t="str">
        <f t="shared" si="38"/>
        <v>Qty</v>
      </c>
      <c r="AP94" s="962" t="str">
        <f t="shared" si="38"/>
        <v>Water</v>
      </c>
      <c r="AQ94" s="963" t="str">
        <f t="shared" si="39"/>
        <v>Price cap - Fixed</v>
      </c>
      <c r="AR94" s="967">
        <f t="shared" si="40"/>
        <v>0</v>
      </c>
      <c r="AS94" s="964">
        <f t="shared" si="41"/>
        <v>0</v>
      </c>
      <c r="AT94" s="964">
        <f t="shared" si="42"/>
        <v>0</v>
      </c>
      <c r="AU94" s="964">
        <f t="shared" si="43"/>
        <v>0</v>
      </c>
      <c r="AV94" s="1350">
        <f t="shared" si="44"/>
        <v>0</v>
      </c>
      <c r="AW94" s="1343">
        <f t="shared" si="45"/>
        <v>0</v>
      </c>
      <c r="AX94" s="964">
        <f t="shared" si="46"/>
        <v>0</v>
      </c>
      <c r="AY94" s="964">
        <f t="shared" si="47"/>
        <v>0</v>
      </c>
      <c r="AZ94" s="964">
        <f t="shared" si="48"/>
        <v>0</v>
      </c>
      <c r="BA94" s="965">
        <f t="shared" si="49"/>
        <v>0</v>
      </c>
      <c r="BB94" s="1343">
        <f t="shared" si="50"/>
        <v>0</v>
      </c>
      <c r="BC94" s="964">
        <f t="shared" si="51"/>
        <v>0</v>
      </c>
      <c r="BD94" s="964">
        <f t="shared" si="52"/>
        <v>0</v>
      </c>
      <c r="BE94" s="964">
        <f t="shared" si="53"/>
        <v>0</v>
      </c>
      <c r="BF94" s="966">
        <f t="shared" si="54"/>
        <v>0</v>
      </c>
      <c r="BG94" s="951"/>
      <c r="BH94" s="961" t="str">
        <f t="shared" si="55"/>
        <v>Qty</v>
      </c>
      <c r="BI94" s="962" t="str">
        <f t="shared" si="56"/>
        <v>Water</v>
      </c>
      <c r="BJ94" s="963" t="str">
        <f t="shared" si="57"/>
        <v>Price cap - Fixed</v>
      </c>
      <c r="BK94" s="964">
        <f t="shared" ref="BK94:BU94" si="95">IF(V94="","-",IFERROR((V94/U94-1)*(U95/U$13),"-"))</f>
        <v>0</v>
      </c>
      <c r="BL94" s="964">
        <f t="shared" si="95"/>
        <v>0</v>
      </c>
      <c r="BM94" s="964">
        <f t="shared" si="95"/>
        <v>0</v>
      </c>
      <c r="BN94" s="964">
        <f t="shared" si="95"/>
        <v>0</v>
      </c>
      <c r="BO94" s="1350">
        <f t="shared" si="95"/>
        <v>0</v>
      </c>
      <c r="BP94" s="1343">
        <f t="shared" si="95"/>
        <v>0</v>
      </c>
      <c r="BQ94" s="964">
        <f t="shared" si="95"/>
        <v>0</v>
      </c>
      <c r="BR94" s="964">
        <f t="shared" si="95"/>
        <v>0</v>
      </c>
      <c r="BS94" s="964">
        <f t="shared" si="95"/>
        <v>0</v>
      </c>
      <c r="BT94" s="965">
        <f t="shared" si="95"/>
        <v>0</v>
      </c>
      <c r="BU94" s="964">
        <f t="shared" si="95"/>
        <v>0</v>
      </c>
      <c r="BV94" s="964">
        <f>IF(AG94="","-",IFERROR((AG94/AF94-1)*(AF95/AF$13),"-"))</f>
        <v>0</v>
      </c>
      <c r="BW94" s="964">
        <f>IF(AH94="","-",IFERROR((AH94/AG94-1)*(AG95/AG$13),"-"))</f>
        <v>0</v>
      </c>
      <c r="BX94" s="964">
        <f>IF(AI94="","-",IFERROR((AI94/AH94-1)*(AH95/AH$13),"-"))</f>
        <v>0</v>
      </c>
      <c r="BY94" s="966">
        <f>IF(AJ94="","-",IFERROR((AJ94/AI94-1)*(AI95/AI$13),"-"))</f>
        <v>0</v>
      </c>
      <c r="BZ94" s="951"/>
      <c r="CA94" s="961" t="str">
        <f t="shared" si="35"/>
        <v>Qty</v>
      </c>
      <c r="CB94" s="962" t="str">
        <f t="shared" si="36"/>
        <v>Water</v>
      </c>
      <c r="CC94" s="962" t="str">
        <f t="shared" si="37"/>
        <v>Price cap - Fixed</v>
      </c>
      <c r="CD94" s="967">
        <f t="shared" si="59"/>
        <v>0</v>
      </c>
      <c r="CE94" s="964">
        <f t="shared" si="60"/>
        <v>0</v>
      </c>
      <c r="CF94" s="964">
        <f t="shared" si="60"/>
        <v>0</v>
      </c>
      <c r="CG94" s="965">
        <f t="shared" si="60"/>
        <v>0</v>
      </c>
      <c r="CH94" s="964">
        <f t="shared" si="61"/>
        <v>0</v>
      </c>
      <c r="CI94" s="964">
        <f t="shared" si="62"/>
        <v>0</v>
      </c>
      <c r="CJ94" s="964">
        <f t="shared" si="62"/>
        <v>0</v>
      </c>
      <c r="CK94" s="966">
        <f t="shared" si="62"/>
        <v>0</v>
      </c>
    </row>
    <row r="95" spans="4:89" ht="12.75" thickBot="1">
      <c r="E95" s="568" t="s">
        <v>882</v>
      </c>
      <c r="F95" s="560" t="str">
        <f>+F93</f>
        <v>Water</v>
      </c>
      <c r="G95" s="561" t="str">
        <f>+G93</f>
        <v>SEW</v>
      </c>
      <c r="H95" s="561" t="str">
        <f>+H93</f>
        <v>Greater Yarra System - Thomson River</v>
      </c>
      <c r="I95" s="562" t="str">
        <f>+I93</f>
        <v>Price cap - Fixed</v>
      </c>
      <c r="J95" s="563" t="s">
        <v>883</v>
      </c>
      <c r="K95" s="564">
        <f t="shared" ref="K95:AJ95" si="96">K93*K94/10^6</f>
        <v>0</v>
      </c>
      <c r="L95" s="565">
        <f t="shared" si="96"/>
        <v>0</v>
      </c>
      <c r="M95" s="565">
        <f t="shared" si="96"/>
        <v>0</v>
      </c>
      <c r="N95" s="564">
        <f t="shared" si="96"/>
        <v>0</v>
      </c>
      <c r="O95" s="565">
        <f t="shared" si="96"/>
        <v>0</v>
      </c>
      <c r="P95" s="565">
        <f t="shared" si="96"/>
        <v>0</v>
      </c>
      <c r="Q95" s="565">
        <f t="shared" si="96"/>
        <v>0</v>
      </c>
      <c r="R95" s="566">
        <f t="shared" si="96"/>
        <v>0</v>
      </c>
      <c r="S95" s="564">
        <f t="shared" si="96"/>
        <v>0</v>
      </c>
      <c r="T95" s="565">
        <f t="shared" si="96"/>
        <v>0</v>
      </c>
      <c r="U95" s="566">
        <f t="shared" si="96"/>
        <v>90.749600366532775</v>
      </c>
      <c r="V95" s="565">
        <f t="shared" si="96"/>
        <v>79.527599591728261</v>
      </c>
      <c r="W95" s="565">
        <f t="shared" si="96"/>
        <v>80.982543185661015</v>
      </c>
      <c r="X95" s="565">
        <f t="shared" si="96"/>
        <v>84.286296004953883</v>
      </c>
      <c r="Y95" s="565">
        <f t="shared" si="96"/>
        <v>86.66840519130001</v>
      </c>
      <c r="Z95" s="565">
        <f t="shared" si="96"/>
        <v>88.946304389999995</v>
      </c>
      <c r="AA95" s="564">
        <f t="shared" si="96"/>
        <v>0</v>
      </c>
      <c r="AB95" s="565">
        <f t="shared" si="96"/>
        <v>0</v>
      </c>
      <c r="AC95" s="565">
        <f t="shared" si="96"/>
        <v>0</v>
      </c>
      <c r="AD95" s="565">
        <f t="shared" si="96"/>
        <v>0</v>
      </c>
      <c r="AE95" s="566">
        <f t="shared" si="96"/>
        <v>0</v>
      </c>
      <c r="AF95" s="565">
        <f t="shared" si="96"/>
        <v>0</v>
      </c>
      <c r="AG95" s="565">
        <f>AG93*AG94/10^6</f>
        <v>0</v>
      </c>
      <c r="AH95" s="565">
        <f>AH93*AH94/10^6</f>
        <v>0</v>
      </c>
      <c r="AI95" s="565">
        <f>AI93*AI94/10^6</f>
        <v>0</v>
      </c>
      <c r="AJ95" s="566">
        <f t="shared" si="96"/>
        <v>0</v>
      </c>
      <c r="AK95" s="548"/>
      <c r="AO95" s="984" t="str">
        <f t="shared" si="38"/>
        <v>Rev</v>
      </c>
      <c r="AP95" s="985" t="str">
        <f t="shared" si="38"/>
        <v>Water</v>
      </c>
      <c r="AQ95" s="986" t="str">
        <f t="shared" si="39"/>
        <v>Price cap - Fixed</v>
      </c>
      <c r="AR95" s="990">
        <f t="shared" si="40"/>
        <v>-0.12365895529544435</v>
      </c>
      <c r="AS95" s="987">
        <f t="shared" si="41"/>
        <v>1.8294825964847661E-2</v>
      </c>
      <c r="AT95" s="987">
        <f t="shared" si="42"/>
        <v>4.0795864013787098E-2</v>
      </c>
      <c r="AU95" s="987">
        <f t="shared" si="43"/>
        <v>2.8262117322205293E-2</v>
      </c>
      <c r="AV95" s="1353">
        <f t="shared" si="44"/>
        <v>2.6282925059853746E-2</v>
      </c>
      <c r="AW95" s="1346">
        <f t="shared" si="45"/>
        <v>-1</v>
      </c>
      <c r="AX95" s="987" t="str">
        <f t="shared" si="46"/>
        <v>-</v>
      </c>
      <c r="AY95" s="987" t="str">
        <f t="shared" si="47"/>
        <v>-</v>
      </c>
      <c r="AZ95" s="987" t="str">
        <f t="shared" si="48"/>
        <v>-</v>
      </c>
      <c r="BA95" s="988" t="str">
        <f t="shared" si="49"/>
        <v>-</v>
      </c>
      <c r="BB95" s="1346" t="str">
        <f t="shared" si="50"/>
        <v>-</v>
      </c>
      <c r="BC95" s="987" t="str">
        <f t="shared" si="51"/>
        <v>-</v>
      </c>
      <c r="BD95" s="987" t="str">
        <f t="shared" si="52"/>
        <v>-</v>
      </c>
      <c r="BE95" s="987" t="str">
        <f t="shared" si="53"/>
        <v>-</v>
      </c>
      <c r="BF95" s="989" t="str">
        <f t="shared" si="54"/>
        <v>-</v>
      </c>
      <c r="BG95" s="951"/>
      <c r="BH95" s="984" t="str">
        <f t="shared" si="55"/>
        <v>Rev</v>
      </c>
      <c r="BI95" s="985" t="str">
        <f t="shared" si="56"/>
        <v>Water</v>
      </c>
      <c r="BJ95" s="986" t="str">
        <f t="shared" si="57"/>
        <v>Price cap - Fixed</v>
      </c>
      <c r="BK95" s="987">
        <f t="shared" ref="BK95:BU95" si="97">IF(V95="","-",IFERROR((V95/U95-1)*(U95/U$13),"-"))</f>
        <v>-5.8193676349090296E-3</v>
      </c>
      <c r="BL95" s="987">
        <f t="shared" si="97"/>
        <v>7.8076218403403243E-4</v>
      </c>
      <c r="BM95" s="987">
        <f t="shared" si="97"/>
        <v>1.7855052019317035E-3</v>
      </c>
      <c r="BN95" s="987">
        <f t="shared" si="97"/>
        <v>1.2800198466897171E-3</v>
      </c>
      <c r="BO95" s="1353">
        <f t="shared" si="97"/>
        <v>1.2086601264373182E-3</v>
      </c>
      <c r="BP95" s="1346">
        <f t="shared" si="97"/>
        <v>-4.721540749595985E-2</v>
      </c>
      <c r="BQ95" s="987" t="str">
        <f t="shared" si="97"/>
        <v>-</v>
      </c>
      <c r="BR95" s="987" t="str">
        <f t="shared" si="97"/>
        <v>-</v>
      </c>
      <c r="BS95" s="987" t="str">
        <f t="shared" si="97"/>
        <v>-</v>
      </c>
      <c r="BT95" s="988" t="str">
        <f t="shared" si="97"/>
        <v>-</v>
      </c>
      <c r="BU95" s="987" t="str">
        <f t="shared" si="97"/>
        <v>-</v>
      </c>
      <c r="BV95" s="987" t="str">
        <f>IF(AG95="","-",IFERROR((AG95/AF95-1)*(AF95/AF$13),"-"))</f>
        <v>-</v>
      </c>
      <c r="BW95" s="987" t="str">
        <f>IF(AH95="","-",IFERROR((AH95/AG95-1)*(AG95/AG$13),"-"))</f>
        <v>-</v>
      </c>
      <c r="BX95" s="987" t="str">
        <f>IF(AI95="","-",IFERROR((AI95/AH95-1)*(AH95/AH$13),"-"))</f>
        <v>-</v>
      </c>
      <c r="BY95" s="989" t="str">
        <f>IF(AJ95="","-",IFERROR((AJ95/AI95-1)*(AI95/AI$13),"-"))</f>
        <v>-</v>
      </c>
      <c r="BZ95" s="951"/>
      <c r="CA95" s="984" t="str">
        <f t="shared" si="35"/>
        <v>Rev</v>
      </c>
      <c r="CB95" s="985" t="str">
        <f t="shared" si="36"/>
        <v>Water</v>
      </c>
      <c r="CC95" s="985" t="str">
        <f t="shared" si="37"/>
        <v>Price cap - Fixed</v>
      </c>
      <c r="CD95" s="990">
        <f t="shared" si="59"/>
        <v>-5.534474457436156E-2</v>
      </c>
      <c r="CE95" s="987">
        <f t="shared" si="60"/>
        <v>-2.4327458830318727E-2</v>
      </c>
      <c r="CF95" s="987">
        <f t="shared" si="60"/>
        <v>-1.1437752671881518E-2</v>
      </c>
      <c r="CG95" s="988">
        <f t="shared" si="60"/>
        <v>-4.0061943583517001E-3</v>
      </c>
      <c r="CH95" s="987">
        <f t="shared" si="61"/>
        <v>-1</v>
      </c>
      <c r="CI95" s="987">
        <f t="shared" si="62"/>
        <v>-1</v>
      </c>
      <c r="CJ95" s="987">
        <f t="shared" si="62"/>
        <v>-1</v>
      </c>
      <c r="CK95" s="989">
        <f t="shared" si="62"/>
        <v>-1</v>
      </c>
    </row>
    <row r="96" spans="4:89">
      <c r="D96" s="63">
        <f>D93+1</f>
        <v>10</v>
      </c>
      <c r="E96" s="550" t="s">
        <v>857</v>
      </c>
      <c r="F96" s="595" t="s">
        <v>401</v>
      </c>
      <c r="G96" s="595" t="s">
        <v>103</v>
      </c>
      <c r="H96" s="595" t="s">
        <v>878</v>
      </c>
      <c r="I96" s="589" t="s">
        <v>939</v>
      </c>
      <c r="J96" s="589" t="s">
        <v>879</v>
      </c>
      <c r="K96" s="551"/>
      <c r="L96" s="552"/>
      <c r="M96" s="552"/>
      <c r="N96" s="551"/>
      <c r="O96" s="552"/>
      <c r="P96" s="552"/>
      <c r="Q96" s="552"/>
      <c r="R96" s="1035"/>
      <c r="S96" s="1138"/>
      <c r="T96" s="591"/>
      <c r="U96" s="1035">
        <v>439.93193927958839</v>
      </c>
      <c r="V96" s="591">
        <v>385.53041526717561</v>
      </c>
      <c r="W96" s="591">
        <v>392.58362711864407</v>
      </c>
      <c r="X96" s="591">
        <v>408.5994153846155</v>
      </c>
      <c r="Y96" s="591">
        <v>420.14730000000003</v>
      </c>
      <c r="Z96" s="591">
        <v>431.19</v>
      </c>
      <c r="AA96" s="1138">
        <v>0</v>
      </c>
      <c r="AB96" s="591">
        <v>0</v>
      </c>
      <c r="AC96" s="591">
        <v>0</v>
      </c>
      <c r="AD96" s="591">
        <v>0</v>
      </c>
      <c r="AE96" s="1035">
        <v>0</v>
      </c>
      <c r="AF96" s="591">
        <v>0</v>
      </c>
      <c r="AG96" s="591">
        <v>0</v>
      </c>
      <c r="AH96" s="591">
        <v>0</v>
      </c>
      <c r="AI96" s="591">
        <v>0</v>
      </c>
      <c r="AJ96" s="592">
        <v>0</v>
      </c>
      <c r="AK96" s="548"/>
      <c r="AM96" s="974"/>
      <c r="AO96" s="975" t="str">
        <f t="shared" si="38"/>
        <v>Price</v>
      </c>
      <c r="AP96" s="976" t="str">
        <f t="shared" si="38"/>
        <v>Water</v>
      </c>
      <c r="AQ96" s="977" t="str">
        <f t="shared" si="39"/>
        <v>Price cap - Fixed</v>
      </c>
      <c r="AR96" s="1341">
        <f t="shared" si="40"/>
        <v>-0.12365895529544435</v>
      </c>
      <c r="AS96" s="978">
        <f t="shared" si="41"/>
        <v>1.8294825964847661E-2</v>
      </c>
      <c r="AT96" s="979">
        <f t="shared" si="42"/>
        <v>4.0795864013786876E-2</v>
      </c>
      <c r="AU96" s="979">
        <f t="shared" si="43"/>
        <v>2.8262117322205293E-2</v>
      </c>
      <c r="AV96" s="1352">
        <f t="shared" si="44"/>
        <v>2.6282925059853968E-2</v>
      </c>
      <c r="AW96" s="1345">
        <f t="shared" si="45"/>
        <v>-1</v>
      </c>
      <c r="AX96" s="979" t="str">
        <f t="shared" si="46"/>
        <v>-</v>
      </c>
      <c r="AY96" s="979" t="str">
        <f t="shared" si="47"/>
        <v>-</v>
      </c>
      <c r="AZ96" s="979" t="str">
        <f t="shared" si="48"/>
        <v>-</v>
      </c>
      <c r="BA96" s="980" t="str">
        <f t="shared" si="49"/>
        <v>-</v>
      </c>
      <c r="BB96" s="1345" t="str">
        <f t="shared" si="50"/>
        <v>-</v>
      </c>
      <c r="BC96" s="979" t="str">
        <f t="shared" si="51"/>
        <v>-</v>
      </c>
      <c r="BD96" s="979" t="str">
        <f t="shared" si="52"/>
        <v>-</v>
      </c>
      <c r="BE96" s="979" t="str">
        <f t="shared" si="53"/>
        <v>-</v>
      </c>
      <c r="BF96" s="981" t="str">
        <f t="shared" si="54"/>
        <v>-</v>
      </c>
      <c r="BG96" s="951"/>
      <c r="BH96" s="975" t="str">
        <f t="shared" si="55"/>
        <v>Price</v>
      </c>
      <c r="BI96" s="976" t="str">
        <f t="shared" si="56"/>
        <v>Water</v>
      </c>
      <c r="BJ96" s="977" t="str">
        <f t="shared" si="57"/>
        <v>Price cap - Fixed</v>
      </c>
      <c r="BK96" s="978">
        <f t="shared" ref="BK96:BU96" si="98">IF(V96="","-",IFERROR((V96/U96-1)*(U98/U$13),"-"))</f>
        <v>-6.2000734014754965E-3</v>
      </c>
      <c r="BL96" s="978">
        <f t="shared" si="98"/>
        <v>8.3184001317747867E-4</v>
      </c>
      <c r="BM96" s="979">
        <f t="shared" si="98"/>
        <v>1.902313791671264E-3</v>
      </c>
      <c r="BN96" s="979">
        <f t="shared" si="98"/>
        <v>1.3637593468427977E-3</v>
      </c>
      <c r="BO96" s="1352">
        <f t="shared" si="98"/>
        <v>1.2682198056382019E-3</v>
      </c>
      <c r="BP96" s="1345">
        <f t="shared" si="98"/>
        <v>-4.9542061997326588E-2</v>
      </c>
      <c r="BQ96" s="979" t="str">
        <f t="shared" si="98"/>
        <v>-</v>
      </c>
      <c r="BR96" s="979" t="str">
        <f t="shared" si="98"/>
        <v>-</v>
      </c>
      <c r="BS96" s="979" t="str">
        <f t="shared" si="98"/>
        <v>-</v>
      </c>
      <c r="BT96" s="980" t="str">
        <f t="shared" si="98"/>
        <v>-</v>
      </c>
      <c r="BU96" s="979" t="str">
        <f t="shared" si="98"/>
        <v>-</v>
      </c>
      <c r="BV96" s="979" t="str">
        <f>IF(AG96="","-",IFERROR((AG96/AF96-1)*(AF98/AF$13),"-"))</f>
        <v>-</v>
      </c>
      <c r="BW96" s="979" t="str">
        <f>IF(AH96="","-",IFERROR((AH96/AG96-1)*(AG98/AG$13),"-"))</f>
        <v>-</v>
      </c>
      <c r="BX96" s="979" t="str">
        <f>IF(AI96="","-",IFERROR((AI96/AH96-1)*(AH98/AH$13),"-"))</f>
        <v>-</v>
      </c>
      <c r="BY96" s="981" t="str">
        <f>IF(AJ96="","-",IFERROR((AJ96/AI96-1)*(AI98/AI$13),"-"))</f>
        <v>-</v>
      </c>
      <c r="BZ96" s="951"/>
      <c r="CA96" s="975" t="str">
        <f t="shared" si="35"/>
        <v>Price</v>
      </c>
      <c r="CB96" s="976" t="str">
        <f t="shared" si="36"/>
        <v>Water</v>
      </c>
      <c r="CC96" s="982" t="str">
        <f t="shared" si="37"/>
        <v>Price cap - Fixed</v>
      </c>
      <c r="CD96" s="983">
        <f t="shared" si="59"/>
        <v>-5.5344744574361449E-2</v>
      </c>
      <c r="CE96" s="979">
        <f t="shared" si="60"/>
        <v>-2.4327458830318838E-2</v>
      </c>
      <c r="CF96" s="979">
        <f t="shared" si="60"/>
        <v>-1.1437752671881518E-2</v>
      </c>
      <c r="CG96" s="980">
        <f t="shared" si="60"/>
        <v>-4.0061943583517001E-3</v>
      </c>
      <c r="CH96" s="979">
        <f t="shared" si="61"/>
        <v>-1</v>
      </c>
      <c r="CI96" s="979">
        <f t="shared" si="62"/>
        <v>-1</v>
      </c>
      <c r="CJ96" s="979">
        <f t="shared" si="62"/>
        <v>-1</v>
      </c>
      <c r="CK96" s="981">
        <f t="shared" si="62"/>
        <v>-1</v>
      </c>
    </row>
    <row r="97" spans="4:89">
      <c r="E97" s="567" t="s">
        <v>880</v>
      </c>
      <c r="F97" s="554" t="str">
        <f>+F96</f>
        <v>Water</v>
      </c>
      <c r="G97" s="555" t="str">
        <f>+G96</f>
        <v>YVW</v>
      </c>
      <c r="H97" s="555" t="str">
        <f>+H96</f>
        <v>Greater Yarra System - Thomson River</v>
      </c>
      <c r="I97" s="556" t="str">
        <f>+I96</f>
        <v>Price cap - Fixed</v>
      </c>
      <c r="J97" s="590" t="s">
        <v>881</v>
      </c>
      <c r="K97" s="557"/>
      <c r="L97" s="558"/>
      <c r="M97" s="558"/>
      <c r="N97" s="557"/>
      <c r="O97" s="558"/>
      <c r="P97" s="558"/>
      <c r="Q97" s="558"/>
      <c r="R97" s="1036"/>
      <c r="S97" s="1139"/>
      <c r="T97" s="593"/>
      <c r="U97" s="1036">
        <v>219776</v>
      </c>
      <c r="V97" s="593">
        <v>219776</v>
      </c>
      <c r="W97" s="593">
        <v>219776</v>
      </c>
      <c r="X97" s="593">
        <v>219776</v>
      </c>
      <c r="Y97" s="593">
        <v>216446</v>
      </c>
      <c r="Z97" s="593">
        <v>216446</v>
      </c>
      <c r="AA97" s="1139">
        <v>216446</v>
      </c>
      <c r="AB97" s="593">
        <v>216446</v>
      </c>
      <c r="AC97" s="593">
        <v>216446</v>
      </c>
      <c r="AD97" s="593">
        <v>216446</v>
      </c>
      <c r="AE97" s="1036">
        <v>216446</v>
      </c>
      <c r="AF97" s="593">
        <v>216446</v>
      </c>
      <c r="AG97" s="593">
        <v>216446</v>
      </c>
      <c r="AH97" s="593">
        <v>216446</v>
      </c>
      <c r="AI97" s="593">
        <v>216446</v>
      </c>
      <c r="AJ97" s="594">
        <v>216446</v>
      </c>
      <c r="AK97" s="548"/>
      <c r="AO97" s="961" t="str">
        <f t="shared" si="38"/>
        <v>Qty</v>
      </c>
      <c r="AP97" s="962" t="str">
        <f t="shared" si="38"/>
        <v>Water</v>
      </c>
      <c r="AQ97" s="963" t="str">
        <f t="shared" si="39"/>
        <v>Price cap - Fixed</v>
      </c>
      <c r="AR97" s="967">
        <f t="shared" si="40"/>
        <v>0</v>
      </c>
      <c r="AS97" s="964">
        <f t="shared" si="41"/>
        <v>0</v>
      </c>
      <c r="AT97" s="964">
        <f t="shared" si="42"/>
        <v>0</v>
      </c>
      <c r="AU97" s="964">
        <f t="shared" si="43"/>
        <v>-1.5151790914385566E-2</v>
      </c>
      <c r="AV97" s="1350">
        <f t="shared" si="44"/>
        <v>0</v>
      </c>
      <c r="AW97" s="1343">
        <f t="shared" si="45"/>
        <v>0</v>
      </c>
      <c r="AX97" s="964">
        <f t="shared" si="46"/>
        <v>0</v>
      </c>
      <c r="AY97" s="964">
        <f t="shared" si="47"/>
        <v>0</v>
      </c>
      <c r="AZ97" s="964">
        <f t="shared" si="48"/>
        <v>0</v>
      </c>
      <c r="BA97" s="965">
        <f t="shared" si="49"/>
        <v>0</v>
      </c>
      <c r="BB97" s="1343">
        <f t="shared" si="50"/>
        <v>0</v>
      </c>
      <c r="BC97" s="964">
        <f t="shared" si="51"/>
        <v>0</v>
      </c>
      <c r="BD97" s="964">
        <f t="shared" si="52"/>
        <v>0</v>
      </c>
      <c r="BE97" s="964">
        <f t="shared" si="53"/>
        <v>0</v>
      </c>
      <c r="BF97" s="966">
        <f t="shared" si="54"/>
        <v>0</v>
      </c>
      <c r="BG97" s="951"/>
      <c r="BH97" s="961" t="str">
        <f t="shared" si="55"/>
        <v>Qty</v>
      </c>
      <c r="BI97" s="962" t="str">
        <f t="shared" si="56"/>
        <v>Water</v>
      </c>
      <c r="BJ97" s="963" t="str">
        <f t="shared" si="57"/>
        <v>Price cap - Fixed</v>
      </c>
      <c r="BK97" s="964">
        <f t="shared" ref="BK97:BU97" si="99">IF(V97="","-",IFERROR((V97/U97-1)*(U98/U$13),"-"))</f>
        <v>0</v>
      </c>
      <c r="BL97" s="964">
        <f t="shared" si="99"/>
        <v>0</v>
      </c>
      <c r="BM97" s="964">
        <f t="shared" si="99"/>
        <v>0</v>
      </c>
      <c r="BN97" s="964">
        <f t="shared" si="99"/>
        <v>-7.3113405642350967E-4</v>
      </c>
      <c r="BO97" s="1350">
        <f t="shared" si="99"/>
        <v>0</v>
      </c>
      <c r="BP97" s="1343">
        <f t="shared" si="99"/>
        <v>0</v>
      </c>
      <c r="BQ97" s="964">
        <f t="shared" si="99"/>
        <v>0</v>
      </c>
      <c r="BR97" s="964">
        <f t="shared" si="99"/>
        <v>0</v>
      </c>
      <c r="BS97" s="964">
        <f t="shared" si="99"/>
        <v>0</v>
      </c>
      <c r="BT97" s="965">
        <f t="shared" si="99"/>
        <v>0</v>
      </c>
      <c r="BU97" s="964">
        <f t="shared" si="99"/>
        <v>0</v>
      </c>
      <c r="BV97" s="964">
        <f>IF(AG97="","-",IFERROR((AG97/AF97-1)*(AF98/AF$13),"-"))</f>
        <v>0</v>
      </c>
      <c r="BW97" s="964">
        <f>IF(AH97="","-",IFERROR((AH97/AG97-1)*(AG98/AG$13),"-"))</f>
        <v>0</v>
      </c>
      <c r="BX97" s="964">
        <f>IF(AI97="","-",IFERROR((AI97/AH97-1)*(AH98/AH$13),"-"))</f>
        <v>0</v>
      </c>
      <c r="BY97" s="966">
        <f>IF(AJ97="","-",IFERROR((AJ97/AI97-1)*(AI98/AI$13),"-"))</f>
        <v>0</v>
      </c>
      <c r="BZ97" s="951"/>
      <c r="CA97" s="961" t="str">
        <f t="shared" si="35"/>
        <v>Qty</v>
      </c>
      <c r="CB97" s="962" t="str">
        <f t="shared" si="36"/>
        <v>Water</v>
      </c>
      <c r="CC97" s="962" t="str">
        <f t="shared" si="37"/>
        <v>Price cap - Fixed</v>
      </c>
      <c r="CD97" s="967">
        <f t="shared" si="59"/>
        <v>0</v>
      </c>
      <c r="CE97" s="964">
        <f t="shared" si="60"/>
        <v>0</v>
      </c>
      <c r="CF97" s="964">
        <f t="shared" si="60"/>
        <v>-3.8096627854076193E-3</v>
      </c>
      <c r="CG97" s="965">
        <f t="shared" si="60"/>
        <v>-3.0488930838186157E-3</v>
      </c>
      <c r="CH97" s="964">
        <f t="shared" si="61"/>
        <v>0</v>
      </c>
      <c r="CI97" s="964">
        <f t="shared" si="62"/>
        <v>0</v>
      </c>
      <c r="CJ97" s="964">
        <f t="shared" si="62"/>
        <v>0</v>
      </c>
      <c r="CK97" s="966">
        <f t="shared" si="62"/>
        <v>0</v>
      </c>
    </row>
    <row r="98" spans="4:89" ht="12.75" thickBot="1">
      <c r="E98" s="568" t="s">
        <v>882</v>
      </c>
      <c r="F98" s="560" t="str">
        <f>+F96</f>
        <v>Water</v>
      </c>
      <c r="G98" s="561" t="str">
        <f>+G96</f>
        <v>YVW</v>
      </c>
      <c r="H98" s="561" t="str">
        <f>+H96</f>
        <v>Greater Yarra System - Thomson River</v>
      </c>
      <c r="I98" s="562" t="str">
        <f>+I96</f>
        <v>Price cap - Fixed</v>
      </c>
      <c r="J98" s="563" t="s">
        <v>883</v>
      </c>
      <c r="K98" s="564">
        <f t="shared" ref="K98:AJ98" si="100">K96*K97/10^6</f>
        <v>0</v>
      </c>
      <c r="L98" s="565">
        <f t="shared" si="100"/>
        <v>0</v>
      </c>
      <c r="M98" s="565">
        <f t="shared" si="100"/>
        <v>0</v>
      </c>
      <c r="N98" s="564">
        <f t="shared" si="100"/>
        <v>0</v>
      </c>
      <c r="O98" s="565">
        <f t="shared" si="100"/>
        <v>0</v>
      </c>
      <c r="P98" s="565">
        <f t="shared" si="100"/>
        <v>0</v>
      </c>
      <c r="Q98" s="565">
        <f t="shared" si="100"/>
        <v>0</v>
      </c>
      <c r="R98" s="566">
        <f t="shared" si="100"/>
        <v>0</v>
      </c>
      <c r="S98" s="564">
        <f t="shared" si="100"/>
        <v>0</v>
      </c>
      <c r="T98" s="565">
        <f t="shared" si="100"/>
        <v>0</v>
      </c>
      <c r="U98" s="566">
        <f t="shared" si="100"/>
        <v>96.686481887110816</v>
      </c>
      <c r="V98" s="565">
        <f t="shared" si="100"/>
        <v>84.730332545758785</v>
      </c>
      <c r="W98" s="565">
        <f t="shared" si="100"/>
        <v>86.280459233627127</v>
      </c>
      <c r="X98" s="565">
        <f t="shared" si="100"/>
        <v>89.800345115569243</v>
      </c>
      <c r="Y98" s="565">
        <f t="shared" si="100"/>
        <v>90.939202495800004</v>
      </c>
      <c r="Z98" s="565">
        <f t="shared" si="100"/>
        <v>93.329350739999995</v>
      </c>
      <c r="AA98" s="564">
        <f t="shared" si="100"/>
        <v>0</v>
      </c>
      <c r="AB98" s="565">
        <f t="shared" si="100"/>
        <v>0</v>
      </c>
      <c r="AC98" s="565">
        <f t="shared" si="100"/>
        <v>0</v>
      </c>
      <c r="AD98" s="565">
        <f t="shared" si="100"/>
        <v>0</v>
      </c>
      <c r="AE98" s="566">
        <f t="shared" si="100"/>
        <v>0</v>
      </c>
      <c r="AF98" s="565">
        <f t="shared" si="100"/>
        <v>0</v>
      </c>
      <c r="AG98" s="565">
        <f>AG96*AG97/10^6</f>
        <v>0</v>
      </c>
      <c r="AH98" s="565">
        <f>AH96*AH97/10^6</f>
        <v>0</v>
      </c>
      <c r="AI98" s="565">
        <f>AI96*AI97/10^6</f>
        <v>0</v>
      </c>
      <c r="AJ98" s="566">
        <f t="shared" si="100"/>
        <v>0</v>
      </c>
      <c r="AK98" s="548"/>
      <c r="AO98" s="984" t="str">
        <f t="shared" si="38"/>
        <v>Rev</v>
      </c>
      <c r="AP98" s="985" t="str">
        <f t="shared" si="38"/>
        <v>Water</v>
      </c>
      <c r="AQ98" s="986" t="str">
        <f t="shared" si="39"/>
        <v>Price cap - Fixed</v>
      </c>
      <c r="AR98" s="990">
        <f t="shared" si="40"/>
        <v>-0.12365895529544435</v>
      </c>
      <c r="AS98" s="987">
        <f t="shared" si="41"/>
        <v>1.8294825964847883E-2</v>
      </c>
      <c r="AT98" s="987">
        <f t="shared" si="42"/>
        <v>4.0795864013786654E-2</v>
      </c>
      <c r="AU98" s="987">
        <f t="shared" si="43"/>
        <v>1.2682104715356024E-2</v>
      </c>
      <c r="AV98" s="1353">
        <f t="shared" si="44"/>
        <v>2.6282925059853968E-2</v>
      </c>
      <c r="AW98" s="1346">
        <f t="shared" si="45"/>
        <v>-1</v>
      </c>
      <c r="AX98" s="987" t="str">
        <f t="shared" si="46"/>
        <v>-</v>
      </c>
      <c r="AY98" s="987" t="str">
        <f t="shared" si="47"/>
        <v>-</v>
      </c>
      <c r="AZ98" s="987" t="str">
        <f t="shared" si="48"/>
        <v>-</v>
      </c>
      <c r="BA98" s="988" t="str">
        <f t="shared" si="49"/>
        <v>-</v>
      </c>
      <c r="BB98" s="1346" t="str">
        <f t="shared" si="50"/>
        <v>-</v>
      </c>
      <c r="BC98" s="987" t="str">
        <f t="shared" si="51"/>
        <v>-</v>
      </c>
      <c r="BD98" s="987" t="str">
        <f t="shared" si="52"/>
        <v>-</v>
      </c>
      <c r="BE98" s="987" t="str">
        <f t="shared" si="53"/>
        <v>-</v>
      </c>
      <c r="BF98" s="989" t="str">
        <f t="shared" si="54"/>
        <v>-</v>
      </c>
      <c r="BG98" s="951"/>
      <c r="BH98" s="984" t="str">
        <f t="shared" si="55"/>
        <v>Rev</v>
      </c>
      <c r="BI98" s="985" t="str">
        <f t="shared" si="56"/>
        <v>Water</v>
      </c>
      <c r="BJ98" s="986" t="str">
        <f t="shared" si="57"/>
        <v>Price cap - Fixed</v>
      </c>
      <c r="BK98" s="987">
        <f t="shared" ref="BK98:BU98" si="101">IF(V98="","-",IFERROR((V98/U98-1)*(U98/U$13),"-"))</f>
        <v>-6.2000734014754965E-3</v>
      </c>
      <c r="BL98" s="987">
        <f t="shared" si="101"/>
        <v>8.3184001317748875E-4</v>
      </c>
      <c r="BM98" s="987">
        <f t="shared" si="101"/>
        <v>1.9023137916712538E-3</v>
      </c>
      <c r="BN98" s="987">
        <f t="shared" si="101"/>
        <v>6.1196189393839591E-4</v>
      </c>
      <c r="BO98" s="1353">
        <f t="shared" si="101"/>
        <v>1.2682198056382019E-3</v>
      </c>
      <c r="BP98" s="1346">
        <f t="shared" si="101"/>
        <v>-4.9542061997326588E-2</v>
      </c>
      <c r="BQ98" s="987" t="str">
        <f t="shared" si="101"/>
        <v>-</v>
      </c>
      <c r="BR98" s="987" t="str">
        <f t="shared" si="101"/>
        <v>-</v>
      </c>
      <c r="BS98" s="987" t="str">
        <f t="shared" si="101"/>
        <v>-</v>
      </c>
      <c r="BT98" s="988" t="str">
        <f t="shared" si="101"/>
        <v>-</v>
      </c>
      <c r="BU98" s="987" t="str">
        <f t="shared" si="101"/>
        <v>-</v>
      </c>
      <c r="BV98" s="987" t="str">
        <f>IF(AG98="","-",IFERROR((AG98/AF98-1)*(AF98/AF$13),"-"))</f>
        <v>-</v>
      </c>
      <c r="BW98" s="987" t="str">
        <f>IF(AH98="","-",IFERROR((AH98/AG98-1)*(AG98/AG$13),"-"))</f>
        <v>-</v>
      </c>
      <c r="BX98" s="987" t="str">
        <f>IF(AI98="","-",IFERROR((AI98/AH98-1)*(AH98/AH$13),"-"))</f>
        <v>-</v>
      </c>
      <c r="BY98" s="989" t="str">
        <f>IF(AJ98="","-",IFERROR((AJ98/AI98-1)*(AI98/AI$13),"-"))</f>
        <v>-</v>
      </c>
      <c r="BZ98" s="951"/>
      <c r="CA98" s="984" t="str">
        <f t="shared" si="35"/>
        <v>Rev</v>
      </c>
      <c r="CB98" s="985" t="str">
        <f t="shared" si="36"/>
        <v>Water</v>
      </c>
      <c r="CC98" s="985" t="str">
        <f t="shared" si="37"/>
        <v>Price cap - Fixed</v>
      </c>
      <c r="CD98" s="990">
        <f t="shared" si="59"/>
        <v>-5.5344744574361449E-2</v>
      </c>
      <c r="CE98" s="987">
        <f t="shared" si="60"/>
        <v>-2.4327458830318838E-2</v>
      </c>
      <c r="CF98" s="987">
        <f t="shared" si="60"/>
        <v>-1.5203841476586377E-2</v>
      </c>
      <c r="CG98" s="988">
        <f t="shared" si="60"/>
        <v>-7.0428729838987181E-3</v>
      </c>
      <c r="CH98" s="987">
        <f t="shared" si="61"/>
        <v>-1</v>
      </c>
      <c r="CI98" s="987">
        <f t="shared" si="62"/>
        <v>-1</v>
      </c>
      <c r="CJ98" s="987">
        <f t="shared" si="62"/>
        <v>-1</v>
      </c>
      <c r="CK98" s="989">
        <f t="shared" si="62"/>
        <v>-1</v>
      </c>
    </row>
    <row r="99" spans="4:89">
      <c r="D99" s="63">
        <f>D96+1</f>
        <v>11</v>
      </c>
      <c r="E99" s="550" t="s">
        <v>857</v>
      </c>
      <c r="F99" s="595" t="s">
        <v>401</v>
      </c>
      <c r="G99" s="595" t="s">
        <v>99</v>
      </c>
      <c r="H99" s="595" t="s">
        <v>878</v>
      </c>
      <c r="I99" s="589" t="s">
        <v>939</v>
      </c>
      <c r="J99" s="589" t="s">
        <v>879</v>
      </c>
      <c r="K99" s="551"/>
      <c r="L99" s="552"/>
      <c r="M99" s="552"/>
      <c r="N99" s="551"/>
      <c r="O99" s="552"/>
      <c r="P99" s="552"/>
      <c r="Q99" s="552"/>
      <c r="R99" s="1035"/>
      <c r="S99" s="1138"/>
      <c r="T99" s="591"/>
      <c r="U99" s="1035">
        <v>439.93193927958839</v>
      </c>
      <c r="V99" s="591">
        <v>385.53041526717561</v>
      </c>
      <c r="W99" s="591">
        <v>392.58362711864407</v>
      </c>
      <c r="X99" s="591">
        <v>0</v>
      </c>
      <c r="Y99" s="591">
        <v>0</v>
      </c>
      <c r="Z99" s="591">
        <v>0</v>
      </c>
      <c r="AA99" s="1138">
        <v>0</v>
      </c>
      <c r="AB99" s="591">
        <v>0</v>
      </c>
      <c r="AC99" s="591">
        <v>0</v>
      </c>
      <c r="AD99" s="591">
        <v>0</v>
      </c>
      <c r="AE99" s="1035">
        <v>0</v>
      </c>
      <c r="AF99" s="591">
        <v>0</v>
      </c>
      <c r="AG99" s="591">
        <v>0</v>
      </c>
      <c r="AH99" s="591">
        <v>0</v>
      </c>
      <c r="AI99" s="591">
        <v>0</v>
      </c>
      <c r="AJ99" s="592">
        <v>0</v>
      </c>
      <c r="AK99" s="548"/>
      <c r="AM99" s="974"/>
      <c r="AO99" s="975" t="str">
        <f t="shared" si="38"/>
        <v>Price</v>
      </c>
      <c r="AP99" s="976" t="str">
        <f t="shared" si="38"/>
        <v>Water</v>
      </c>
      <c r="AQ99" s="977" t="str">
        <f t="shared" si="39"/>
        <v>Price cap - Fixed</v>
      </c>
      <c r="AR99" s="1341">
        <f t="shared" si="40"/>
        <v>-0.12365895529544435</v>
      </c>
      <c r="AS99" s="978">
        <f t="shared" si="41"/>
        <v>1.8294825964847661E-2</v>
      </c>
      <c r="AT99" s="979">
        <f t="shared" si="42"/>
        <v>-1</v>
      </c>
      <c r="AU99" s="979" t="str">
        <f t="shared" si="43"/>
        <v>-</v>
      </c>
      <c r="AV99" s="1352" t="str">
        <f t="shared" si="44"/>
        <v>-</v>
      </c>
      <c r="AW99" s="1345" t="str">
        <f t="shared" si="45"/>
        <v>-</v>
      </c>
      <c r="AX99" s="979" t="str">
        <f t="shared" si="46"/>
        <v>-</v>
      </c>
      <c r="AY99" s="979" t="str">
        <f t="shared" si="47"/>
        <v>-</v>
      </c>
      <c r="AZ99" s="979" t="str">
        <f t="shared" si="48"/>
        <v>-</v>
      </c>
      <c r="BA99" s="980" t="str">
        <f t="shared" si="49"/>
        <v>-</v>
      </c>
      <c r="BB99" s="1345" t="str">
        <f t="shared" si="50"/>
        <v>-</v>
      </c>
      <c r="BC99" s="979" t="str">
        <f t="shared" si="51"/>
        <v>-</v>
      </c>
      <c r="BD99" s="979" t="str">
        <f t="shared" si="52"/>
        <v>-</v>
      </c>
      <c r="BE99" s="979" t="str">
        <f t="shared" si="53"/>
        <v>-</v>
      </c>
      <c r="BF99" s="981" t="str">
        <f t="shared" si="54"/>
        <v>-</v>
      </c>
      <c r="BG99" s="951"/>
      <c r="BH99" s="975" t="str">
        <f t="shared" si="55"/>
        <v>Price</v>
      </c>
      <c r="BI99" s="976" t="str">
        <f t="shared" si="56"/>
        <v>Water</v>
      </c>
      <c r="BJ99" s="977" t="str">
        <f t="shared" si="57"/>
        <v>Price cap - Fixed</v>
      </c>
      <c r="BK99" s="978">
        <f t="shared" ref="BK99:BU99" si="102">IF(V99="","-",IFERROR((V99/U99-1)*(U101/U$13),"-"))</f>
        <v>-5.1484848016584062E-4</v>
      </c>
      <c r="BL99" s="978">
        <f t="shared" si="102"/>
        <v>6.9075241338858591E-5</v>
      </c>
      <c r="BM99" s="979">
        <f t="shared" si="102"/>
        <v>-3.8721183690992606E-3</v>
      </c>
      <c r="BN99" s="979" t="str">
        <f t="shared" si="102"/>
        <v>-</v>
      </c>
      <c r="BO99" s="1352" t="str">
        <f t="shared" si="102"/>
        <v>-</v>
      </c>
      <c r="BP99" s="1345" t="str">
        <f t="shared" si="102"/>
        <v>-</v>
      </c>
      <c r="BQ99" s="979" t="str">
        <f t="shared" si="102"/>
        <v>-</v>
      </c>
      <c r="BR99" s="979" t="str">
        <f t="shared" si="102"/>
        <v>-</v>
      </c>
      <c r="BS99" s="979" t="str">
        <f t="shared" si="102"/>
        <v>-</v>
      </c>
      <c r="BT99" s="980" t="str">
        <f t="shared" si="102"/>
        <v>-</v>
      </c>
      <c r="BU99" s="979" t="str">
        <f t="shared" si="102"/>
        <v>-</v>
      </c>
      <c r="BV99" s="979" t="str">
        <f>IF(AG99="","-",IFERROR((AG99/AF99-1)*(AF101/AF$13),"-"))</f>
        <v>-</v>
      </c>
      <c r="BW99" s="979" t="str">
        <f>IF(AH99="","-",IFERROR((AH99/AG99-1)*(AG101/AG$13),"-"))</f>
        <v>-</v>
      </c>
      <c r="BX99" s="979" t="str">
        <f>IF(AI99="","-",IFERROR((AI99/AH99-1)*(AH101/AH$13),"-"))</f>
        <v>-</v>
      </c>
      <c r="BY99" s="981" t="str">
        <f>IF(AJ99="","-",IFERROR((AJ99/AI99-1)*(AI101/AI$13),"-"))</f>
        <v>-</v>
      </c>
      <c r="BZ99" s="951"/>
      <c r="CA99" s="975" t="str">
        <f t="shared" si="35"/>
        <v>Price</v>
      </c>
      <c r="CB99" s="976" t="str">
        <f t="shared" si="36"/>
        <v>Water</v>
      </c>
      <c r="CC99" s="982" t="str">
        <f t="shared" si="37"/>
        <v>Price cap - Fixed</v>
      </c>
      <c r="CD99" s="983">
        <f t="shared" si="59"/>
        <v>-5.5344744574361449E-2</v>
      </c>
      <c r="CE99" s="979">
        <f t="shared" si="60"/>
        <v>-1</v>
      </c>
      <c r="CF99" s="979">
        <f t="shared" si="60"/>
        <v>-1</v>
      </c>
      <c r="CG99" s="980">
        <f t="shared" si="60"/>
        <v>-1</v>
      </c>
      <c r="CH99" s="979" t="str">
        <f t="shared" si="61"/>
        <v>-</v>
      </c>
      <c r="CI99" s="979" t="str">
        <f t="shared" si="62"/>
        <v>-</v>
      </c>
      <c r="CJ99" s="979" t="str">
        <f t="shared" si="62"/>
        <v>-</v>
      </c>
      <c r="CK99" s="981" t="str">
        <f t="shared" si="62"/>
        <v>-</v>
      </c>
    </row>
    <row r="100" spans="4:89">
      <c r="E100" s="567" t="s">
        <v>880</v>
      </c>
      <c r="F100" s="554" t="str">
        <f>+F99</f>
        <v>Water</v>
      </c>
      <c r="G100" s="555" t="str">
        <f>+G99</f>
        <v>WW</v>
      </c>
      <c r="H100" s="555" t="str">
        <f>+H99</f>
        <v>Greater Yarra System - Thomson River</v>
      </c>
      <c r="I100" s="556" t="str">
        <f>+I99</f>
        <v>Price cap - Fixed</v>
      </c>
      <c r="J100" s="590" t="s">
        <v>881</v>
      </c>
      <c r="K100" s="557"/>
      <c r="L100" s="558"/>
      <c r="M100" s="558"/>
      <c r="N100" s="557"/>
      <c r="O100" s="558"/>
      <c r="P100" s="558"/>
      <c r="Q100" s="558"/>
      <c r="R100" s="1036"/>
      <c r="S100" s="1139"/>
      <c r="T100" s="593"/>
      <c r="U100" s="1036">
        <v>18250</v>
      </c>
      <c r="V100" s="593">
        <v>18250</v>
      </c>
      <c r="W100" s="593">
        <v>18250</v>
      </c>
      <c r="X100" s="593">
        <v>0</v>
      </c>
      <c r="Y100" s="593">
        <v>0</v>
      </c>
      <c r="Z100" s="593">
        <v>0</v>
      </c>
      <c r="AA100" s="1139">
        <v>0</v>
      </c>
      <c r="AB100" s="593">
        <v>0</v>
      </c>
      <c r="AC100" s="593">
        <v>0</v>
      </c>
      <c r="AD100" s="593">
        <v>0</v>
      </c>
      <c r="AE100" s="1036">
        <v>0</v>
      </c>
      <c r="AF100" s="593">
        <v>0</v>
      </c>
      <c r="AG100" s="593">
        <v>0</v>
      </c>
      <c r="AH100" s="593">
        <v>0</v>
      </c>
      <c r="AI100" s="593">
        <v>0</v>
      </c>
      <c r="AJ100" s="594">
        <v>0</v>
      </c>
      <c r="AK100" s="548"/>
      <c r="AO100" s="961" t="str">
        <f t="shared" si="38"/>
        <v>Qty</v>
      </c>
      <c r="AP100" s="962" t="str">
        <f t="shared" si="38"/>
        <v>Water</v>
      </c>
      <c r="AQ100" s="963" t="str">
        <f t="shared" si="39"/>
        <v>Price cap - Fixed</v>
      </c>
      <c r="AR100" s="967">
        <f t="shared" si="40"/>
        <v>0</v>
      </c>
      <c r="AS100" s="964">
        <f t="shared" si="41"/>
        <v>0</v>
      </c>
      <c r="AT100" s="964">
        <f t="shared" si="42"/>
        <v>-1</v>
      </c>
      <c r="AU100" s="964" t="str">
        <f t="shared" si="43"/>
        <v>-</v>
      </c>
      <c r="AV100" s="1350" t="str">
        <f t="shared" si="44"/>
        <v>-</v>
      </c>
      <c r="AW100" s="1343" t="str">
        <f t="shared" si="45"/>
        <v>-</v>
      </c>
      <c r="AX100" s="964" t="str">
        <f t="shared" si="46"/>
        <v>-</v>
      </c>
      <c r="AY100" s="964" t="str">
        <f t="shared" si="47"/>
        <v>-</v>
      </c>
      <c r="AZ100" s="964" t="str">
        <f t="shared" si="48"/>
        <v>-</v>
      </c>
      <c r="BA100" s="965" t="str">
        <f t="shared" si="49"/>
        <v>-</v>
      </c>
      <c r="BB100" s="1343" t="str">
        <f t="shared" si="50"/>
        <v>-</v>
      </c>
      <c r="BC100" s="964" t="str">
        <f t="shared" si="51"/>
        <v>-</v>
      </c>
      <c r="BD100" s="964" t="str">
        <f t="shared" si="52"/>
        <v>-</v>
      </c>
      <c r="BE100" s="964" t="str">
        <f t="shared" si="53"/>
        <v>-</v>
      </c>
      <c r="BF100" s="966" t="str">
        <f t="shared" si="54"/>
        <v>-</v>
      </c>
      <c r="BG100" s="951"/>
      <c r="BH100" s="961" t="str">
        <f t="shared" si="55"/>
        <v>Qty</v>
      </c>
      <c r="BI100" s="962" t="str">
        <f t="shared" si="56"/>
        <v>Water</v>
      </c>
      <c r="BJ100" s="963" t="str">
        <f t="shared" si="57"/>
        <v>Price cap - Fixed</v>
      </c>
      <c r="BK100" s="964">
        <f t="shared" ref="BK100:BU100" si="103">IF(V100="","-",IFERROR((V100/U100-1)*(U101/U$13),"-"))</f>
        <v>0</v>
      </c>
      <c r="BL100" s="964">
        <f t="shared" si="103"/>
        <v>0</v>
      </c>
      <c r="BM100" s="964">
        <f t="shared" si="103"/>
        <v>-3.8721183690992606E-3</v>
      </c>
      <c r="BN100" s="964" t="str">
        <f t="shared" si="103"/>
        <v>-</v>
      </c>
      <c r="BO100" s="1350" t="str">
        <f t="shared" si="103"/>
        <v>-</v>
      </c>
      <c r="BP100" s="1343" t="str">
        <f t="shared" si="103"/>
        <v>-</v>
      </c>
      <c r="BQ100" s="964" t="str">
        <f t="shared" si="103"/>
        <v>-</v>
      </c>
      <c r="BR100" s="964" t="str">
        <f t="shared" si="103"/>
        <v>-</v>
      </c>
      <c r="BS100" s="964" t="str">
        <f t="shared" si="103"/>
        <v>-</v>
      </c>
      <c r="BT100" s="965" t="str">
        <f t="shared" si="103"/>
        <v>-</v>
      </c>
      <c r="BU100" s="964" t="str">
        <f t="shared" si="103"/>
        <v>-</v>
      </c>
      <c r="BV100" s="964" t="str">
        <f>IF(AG100="","-",IFERROR((AG100/AF100-1)*(AF101/AF$13),"-"))</f>
        <v>-</v>
      </c>
      <c r="BW100" s="964" t="str">
        <f>IF(AH100="","-",IFERROR((AH100/AG100-1)*(AG101/AG$13),"-"))</f>
        <v>-</v>
      </c>
      <c r="BX100" s="964" t="str">
        <f>IF(AI100="","-",IFERROR((AI100/AH100-1)*(AH101/AH$13),"-"))</f>
        <v>-</v>
      </c>
      <c r="BY100" s="966" t="str">
        <f>IF(AJ100="","-",IFERROR((AJ100/AI100-1)*(AI101/AI$13),"-"))</f>
        <v>-</v>
      </c>
      <c r="BZ100" s="951"/>
      <c r="CA100" s="961" t="str">
        <f t="shared" si="35"/>
        <v>Qty</v>
      </c>
      <c r="CB100" s="962" t="str">
        <f t="shared" si="36"/>
        <v>Water</v>
      </c>
      <c r="CC100" s="962" t="str">
        <f t="shared" si="37"/>
        <v>Price cap - Fixed</v>
      </c>
      <c r="CD100" s="967">
        <f t="shared" si="59"/>
        <v>0</v>
      </c>
      <c r="CE100" s="964">
        <f t="shared" si="60"/>
        <v>-1</v>
      </c>
      <c r="CF100" s="964">
        <f t="shared" si="60"/>
        <v>-1</v>
      </c>
      <c r="CG100" s="965">
        <f t="shared" si="60"/>
        <v>-1</v>
      </c>
      <c r="CH100" s="964" t="str">
        <f t="shared" si="61"/>
        <v>-</v>
      </c>
      <c r="CI100" s="964" t="str">
        <f t="shared" si="62"/>
        <v>-</v>
      </c>
      <c r="CJ100" s="964" t="str">
        <f t="shared" si="62"/>
        <v>-</v>
      </c>
      <c r="CK100" s="966" t="str">
        <f t="shared" si="62"/>
        <v>-</v>
      </c>
    </row>
    <row r="101" spans="4:89" ht="12.75" thickBot="1">
      <c r="E101" s="568" t="s">
        <v>882</v>
      </c>
      <c r="F101" s="560" t="str">
        <f>+F99</f>
        <v>Water</v>
      </c>
      <c r="G101" s="561" t="str">
        <f>+G99</f>
        <v>WW</v>
      </c>
      <c r="H101" s="561" t="str">
        <f>+H99</f>
        <v>Greater Yarra System - Thomson River</v>
      </c>
      <c r="I101" s="562" t="str">
        <f>+I99</f>
        <v>Price cap - Fixed</v>
      </c>
      <c r="J101" s="563" t="s">
        <v>883</v>
      </c>
      <c r="K101" s="564">
        <f t="shared" ref="K101:AJ101" si="104">K99*K100/10^6</f>
        <v>0</v>
      </c>
      <c r="L101" s="565">
        <f t="shared" si="104"/>
        <v>0</v>
      </c>
      <c r="M101" s="565">
        <f t="shared" si="104"/>
        <v>0</v>
      </c>
      <c r="N101" s="564">
        <f t="shared" si="104"/>
        <v>0</v>
      </c>
      <c r="O101" s="565">
        <f t="shared" si="104"/>
        <v>0</v>
      </c>
      <c r="P101" s="565">
        <f t="shared" si="104"/>
        <v>0</v>
      </c>
      <c r="Q101" s="565">
        <f t="shared" si="104"/>
        <v>0</v>
      </c>
      <c r="R101" s="566">
        <f t="shared" si="104"/>
        <v>0</v>
      </c>
      <c r="S101" s="564">
        <f t="shared" si="104"/>
        <v>0</v>
      </c>
      <c r="T101" s="565">
        <f t="shared" si="104"/>
        <v>0</v>
      </c>
      <c r="U101" s="566">
        <f t="shared" si="104"/>
        <v>8.0287578918524876</v>
      </c>
      <c r="V101" s="565">
        <f t="shared" si="104"/>
        <v>7.0359300786259551</v>
      </c>
      <c r="W101" s="565">
        <f t="shared" si="104"/>
        <v>7.1646511949152547</v>
      </c>
      <c r="X101" s="565">
        <f t="shared" si="104"/>
        <v>0</v>
      </c>
      <c r="Y101" s="565">
        <f t="shared" si="104"/>
        <v>0</v>
      </c>
      <c r="Z101" s="565">
        <f t="shared" si="104"/>
        <v>0</v>
      </c>
      <c r="AA101" s="564">
        <f t="shared" si="104"/>
        <v>0</v>
      </c>
      <c r="AB101" s="565">
        <f t="shared" si="104"/>
        <v>0</v>
      </c>
      <c r="AC101" s="565">
        <f t="shared" si="104"/>
        <v>0</v>
      </c>
      <c r="AD101" s="565">
        <f t="shared" si="104"/>
        <v>0</v>
      </c>
      <c r="AE101" s="566">
        <f t="shared" si="104"/>
        <v>0</v>
      </c>
      <c r="AF101" s="565">
        <f t="shared" si="104"/>
        <v>0</v>
      </c>
      <c r="AG101" s="565">
        <f>AG99*AG100/10^6</f>
        <v>0</v>
      </c>
      <c r="AH101" s="565">
        <f>AH99*AH100/10^6</f>
        <v>0</v>
      </c>
      <c r="AI101" s="565">
        <f>AI99*AI100/10^6</f>
        <v>0</v>
      </c>
      <c r="AJ101" s="566">
        <f t="shared" si="104"/>
        <v>0</v>
      </c>
      <c r="AK101" s="548"/>
      <c r="AO101" s="984" t="str">
        <f t="shared" si="38"/>
        <v>Rev</v>
      </c>
      <c r="AP101" s="985" t="str">
        <f t="shared" si="38"/>
        <v>Water</v>
      </c>
      <c r="AQ101" s="986" t="str">
        <f t="shared" si="39"/>
        <v>Price cap - Fixed</v>
      </c>
      <c r="AR101" s="990">
        <f t="shared" si="40"/>
        <v>-0.12365895529544435</v>
      </c>
      <c r="AS101" s="987">
        <f t="shared" si="41"/>
        <v>1.8294825964847883E-2</v>
      </c>
      <c r="AT101" s="987">
        <f t="shared" si="42"/>
        <v>-1</v>
      </c>
      <c r="AU101" s="987" t="str">
        <f t="shared" si="43"/>
        <v>-</v>
      </c>
      <c r="AV101" s="1353" t="str">
        <f t="shared" si="44"/>
        <v>-</v>
      </c>
      <c r="AW101" s="1346" t="str">
        <f t="shared" si="45"/>
        <v>-</v>
      </c>
      <c r="AX101" s="987" t="str">
        <f t="shared" si="46"/>
        <v>-</v>
      </c>
      <c r="AY101" s="987" t="str">
        <f t="shared" si="47"/>
        <v>-</v>
      </c>
      <c r="AZ101" s="987" t="str">
        <f t="shared" si="48"/>
        <v>-</v>
      </c>
      <c r="BA101" s="988" t="str">
        <f t="shared" si="49"/>
        <v>-</v>
      </c>
      <c r="BB101" s="1346" t="str">
        <f t="shared" si="50"/>
        <v>-</v>
      </c>
      <c r="BC101" s="987" t="str">
        <f t="shared" si="51"/>
        <v>-</v>
      </c>
      <c r="BD101" s="987" t="str">
        <f t="shared" si="52"/>
        <v>-</v>
      </c>
      <c r="BE101" s="987" t="str">
        <f t="shared" si="53"/>
        <v>-</v>
      </c>
      <c r="BF101" s="989" t="str">
        <f t="shared" si="54"/>
        <v>-</v>
      </c>
      <c r="BG101" s="951"/>
      <c r="BH101" s="984" t="str">
        <f t="shared" si="55"/>
        <v>Rev</v>
      </c>
      <c r="BI101" s="985" t="str">
        <f t="shared" si="56"/>
        <v>Water</v>
      </c>
      <c r="BJ101" s="986" t="str">
        <f t="shared" si="57"/>
        <v>Price cap - Fixed</v>
      </c>
      <c r="BK101" s="987">
        <f t="shared" ref="BK101:BU101" si="105">IF(V101="","-",IFERROR((V101/U101-1)*(U101/U$13),"-"))</f>
        <v>-5.1484848016584062E-4</v>
      </c>
      <c r="BL101" s="987">
        <f t="shared" si="105"/>
        <v>6.9075241338859431E-5</v>
      </c>
      <c r="BM101" s="987">
        <f t="shared" si="105"/>
        <v>-3.8721183690992606E-3</v>
      </c>
      <c r="BN101" s="987" t="str">
        <f t="shared" si="105"/>
        <v>-</v>
      </c>
      <c r="BO101" s="1353" t="str">
        <f t="shared" si="105"/>
        <v>-</v>
      </c>
      <c r="BP101" s="1346" t="str">
        <f t="shared" si="105"/>
        <v>-</v>
      </c>
      <c r="BQ101" s="987" t="str">
        <f t="shared" si="105"/>
        <v>-</v>
      </c>
      <c r="BR101" s="987" t="str">
        <f t="shared" si="105"/>
        <v>-</v>
      </c>
      <c r="BS101" s="987" t="str">
        <f t="shared" si="105"/>
        <v>-</v>
      </c>
      <c r="BT101" s="988" t="str">
        <f t="shared" si="105"/>
        <v>-</v>
      </c>
      <c r="BU101" s="987" t="str">
        <f t="shared" si="105"/>
        <v>-</v>
      </c>
      <c r="BV101" s="987" t="str">
        <f>IF(AG101="","-",IFERROR((AG101/AF101-1)*(AF101/AF$13),"-"))</f>
        <v>-</v>
      </c>
      <c r="BW101" s="987" t="str">
        <f>IF(AH101="","-",IFERROR((AH101/AG101-1)*(AG101/AG$13),"-"))</f>
        <v>-</v>
      </c>
      <c r="BX101" s="987" t="str">
        <f>IF(AI101="","-",IFERROR((AI101/AH101-1)*(AH101/AH$13),"-"))</f>
        <v>-</v>
      </c>
      <c r="BY101" s="989" t="str">
        <f>IF(AJ101="","-",IFERROR((AJ101/AI101-1)*(AI101/AI$13),"-"))</f>
        <v>-</v>
      </c>
      <c r="BZ101" s="951"/>
      <c r="CA101" s="984" t="str">
        <f t="shared" si="35"/>
        <v>Rev</v>
      </c>
      <c r="CB101" s="985" t="str">
        <f t="shared" si="36"/>
        <v>Water</v>
      </c>
      <c r="CC101" s="985" t="str">
        <f t="shared" si="37"/>
        <v>Price cap - Fixed</v>
      </c>
      <c r="CD101" s="990">
        <f t="shared" ref="CD101:CD133" si="106">IF(W101="","-",IFERROR((W101/$U101)^(1/CD$65)-1,"-"))</f>
        <v>-5.5344744574361449E-2</v>
      </c>
      <c r="CE101" s="987">
        <f t="shared" si="60"/>
        <v>-1</v>
      </c>
      <c r="CF101" s="987">
        <f t="shared" si="60"/>
        <v>-1</v>
      </c>
      <c r="CG101" s="988">
        <f t="shared" si="60"/>
        <v>-1</v>
      </c>
      <c r="CH101" s="987" t="str">
        <f t="shared" ref="CH101:CH133" si="107">IF(AB101="","-",IFERROR((AB101/$Z101)^(1/CH$65)-1,"-"))</f>
        <v>-</v>
      </c>
      <c r="CI101" s="987" t="str">
        <f t="shared" si="62"/>
        <v>-</v>
      </c>
      <c r="CJ101" s="987" t="str">
        <f t="shared" si="62"/>
        <v>-</v>
      </c>
      <c r="CK101" s="989" t="str">
        <f t="shared" si="62"/>
        <v>-</v>
      </c>
    </row>
    <row r="102" spans="4:89">
      <c r="D102" s="63">
        <f>D99+1</f>
        <v>12</v>
      </c>
      <c r="E102" s="550" t="s">
        <v>857</v>
      </c>
      <c r="F102" s="595" t="s">
        <v>401</v>
      </c>
      <c r="G102" s="595" t="s">
        <v>61</v>
      </c>
      <c r="H102" s="595" t="s">
        <v>878</v>
      </c>
      <c r="I102" s="589" t="s">
        <v>939</v>
      </c>
      <c r="J102" s="589" t="s">
        <v>879</v>
      </c>
      <c r="K102" s="551"/>
      <c r="L102" s="552"/>
      <c r="M102" s="552"/>
      <c r="N102" s="551"/>
      <c r="O102" s="552"/>
      <c r="P102" s="552"/>
      <c r="Q102" s="552"/>
      <c r="R102" s="1035"/>
      <c r="S102" s="1138"/>
      <c r="T102" s="591"/>
      <c r="U102" s="1035">
        <v>439.93193927958839</v>
      </c>
      <c r="V102" s="591">
        <v>385.53041526717561</v>
      </c>
      <c r="W102" s="591">
        <v>392.58362711864407</v>
      </c>
      <c r="X102" s="591">
        <v>408.5994153846155</v>
      </c>
      <c r="Y102" s="591">
        <v>420.14730000000003</v>
      </c>
      <c r="Z102" s="591">
        <v>431.19</v>
      </c>
      <c r="AA102" s="1138">
        <v>0</v>
      </c>
      <c r="AB102" s="591">
        <v>0</v>
      </c>
      <c r="AC102" s="591">
        <v>0</v>
      </c>
      <c r="AD102" s="591">
        <v>0</v>
      </c>
      <c r="AE102" s="1035">
        <v>0</v>
      </c>
      <c r="AF102" s="591">
        <v>0</v>
      </c>
      <c r="AG102" s="591">
        <v>0</v>
      </c>
      <c r="AH102" s="591">
        <v>0</v>
      </c>
      <c r="AI102" s="591">
        <v>0</v>
      </c>
      <c r="AJ102" s="592">
        <v>0</v>
      </c>
      <c r="AK102" s="548"/>
      <c r="AM102" s="974"/>
      <c r="AO102" s="975" t="str">
        <f t="shared" si="38"/>
        <v>Price</v>
      </c>
      <c r="AP102" s="976" t="str">
        <f t="shared" si="38"/>
        <v>Water</v>
      </c>
      <c r="AQ102" s="977" t="str">
        <f t="shared" si="39"/>
        <v>Price cap - Fixed</v>
      </c>
      <c r="AR102" s="1341">
        <f t="shared" si="40"/>
        <v>-0.12365895529544435</v>
      </c>
      <c r="AS102" s="978">
        <f t="shared" si="41"/>
        <v>1.8294825964847661E-2</v>
      </c>
      <c r="AT102" s="979">
        <f t="shared" si="42"/>
        <v>4.0795864013786876E-2</v>
      </c>
      <c r="AU102" s="979">
        <f t="shared" si="43"/>
        <v>2.8262117322205293E-2</v>
      </c>
      <c r="AV102" s="1352">
        <f t="shared" si="44"/>
        <v>2.6282925059853968E-2</v>
      </c>
      <c r="AW102" s="1345">
        <f t="shared" si="45"/>
        <v>-1</v>
      </c>
      <c r="AX102" s="979" t="str">
        <f t="shared" si="46"/>
        <v>-</v>
      </c>
      <c r="AY102" s="979" t="str">
        <f t="shared" si="47"/>
        <v>-</v>
      </c>
      <c r="AZ102" s="979" t="str">
        <f t="shared" si="48"/>
        <v>-</v>
      </c>
      <c r="BA102" s="980" t="str">
        <f t="shared" si="49"/>
        <v>-</v>
      </c>
      <c r="BB102" s="1345" t="str">
        <f t="shared" si="50"/>
        <v>-</v>
      </c>
      <c r="BC102" s="979" t="str">
        <f t="shared" si="51"/>
        <v>-</v>
      </c>
      <c r="BD102" s="979" t="str">
        <f t="shared" si="52"/>
        <v>-</v>
      </c>
      <c r="BE102" s="979" t="str">
        <f t="shared" si="53"/>
        <v>-</v>
      </c>
      <c r="BF102" s="981" t="str">
        <f t="shared" si="54"/>
        <v>-</v>
      </c>
      <c r="BG102" s="951"/>
      <c r="BH102" s="975" t="str">
        <f t="shared" si="55"/>
        <v>Price</v>
      </c>
      <c r="BI102" s="976" t="str">
        <f t="shared" si="56"/>
        <v>Water</v>
      </c>
      <c r="BJ102" s="977" t="str">
        <f t="shared" si="57"/>
        <v>Price cap - Fixed</v>
      </c>
      <c r="BK102" s="978">
        <f t="shared" ref="BK102:BU102" si="108">IF(V102="","-",IFERROR((V102/U102-1)*(U104/U$13),"-"))</f>
        <v>-4.5137401000840832E-4</v>
      </c>
      <c r="BL102" s="978">
        <f t="shared" si="108"/>
        <v>6.0559115694341776E-5</v>
      </c>
      <c r="BM102" s="979">
        <f t="shared" si="108"/>
        <v>1.384911030628468E-4</v>
      </c>
      <c r="BN102" s="979">
        <f t="shared" si="108"/>
        <v>9.9283586695020221E-5</v>
      </c>
      <c r="BO102" s="1352">
        <f t="shared" si="108"/>
        <v>9.3748634256171209E-5</v>
      </c>
      <c r="BP102" s="1345">
        <f t="shared" si="108"/>
        <v>-3.662220562898947E-3</v>
      </c>
      <c r="BQ102" s="979" t="str">
        <f t="shared" si="108"/>
        <v>-</v>
      </c>
      <c r="BR102" s="979" t="str">
        <f t="shared" si="108"/>
        <v>-</v>
      </c>
      <c r="BS102" s="979" t="str">
        <f t="shared" si="108"/>
        <v>-</v>
      </c>
      <c r="BT102" s="980" t="str">
        <f t="shared" si="108"/>
        <v>-</v>
      </c>
      <c r="BU102" s="979" t="str">
        <f t="shared" si="108"/>
        <v>-</v>
      </c>
      <c r="BV102" s="979" t="str">
        <f>IF(AG102="","-",IFERROR((AG102/AF102-1)*(AF104/AF$13),"-"))</f>
        <v>-</v>
      </c>
      <c r="BW102" s="979" t="str">
        <f>IF(AH102="","-",IFERROR((AH102/AG102-1)*(AG104/AG$13),"-"))</f>
        <v>-</v>
      </c>
      <c r="BX102" s="979" t="str">
        <f>IF(AI102="","-",IFERROR((AI102/AH102-1)*(AH104/AH$13),"-"))</f>
        <v>-</v>
      </c>
      <c r="BY102" s="981" t="str">
        <f>IF(AJ102="","-",IFERROR((AJ102/AI102-1)*(AI104/AI$13),"-"))</f>
        <v>-</v>
      </c>
      <c r="BZ102" s="951"/>
      <c r="CA102" s="975" t="str">
        <f t="shared" si="35"/>
        <v>Price</v>
      </c>
      <c r="CB102" s="976" t="str">
        <f t="shared" si="36"/>
        <v>Water</v>
      </c>
      <c r="CC102" s="982" t="str">
        <f t="shared" si="37"/>
        <v>Price cap - Fixed</v>
      </c>
      <c r="CD102" s="983">
        <f t="shared" si="106"/>
        <v>-5.5344744574361449E-2</v>
      </c>
      <c r="CE102" s="979">
        <f t="shared" si="60"/>
        <v>-2.4327458830318838E-2</v>
      </c>
      <c r="CF102" s="979">
        <f t="shared" si="60"/>
        <v>-1.1437752671881518E-2</v>
      </c>
      <c r="CG102" s="980">
        <f t="shared" si="60"/>
        <v>-4.0061943583517001E-3</v>
      </c>
      <c r="CH102" s="979">
        <f t="shared" si="107"/>
        <v>-1</v>
      </c>
      <c r="CI102" s="979">
        <f t="shared" si="62"/>
        <v>-1</v>
      </c>
      <c r="CJ102" s="979">
        <f t="shared" si="62"/>
        <v>-1</v>
      </c>
      <c r="CK102" s="981">
        <f t="shared" si="62"/>
        <v>-1</v>
      </c>
    </row>
    <row r="103" spans="4:89">
      <c r="E103" s="567" t="s">
        <v>880</v>
      </c>
      <c r="F103" s="554" t="str">
        <f>+F102</f>
        <v>Water</v>
      </c>
      <c r="G103" s="555" t="str">
        <f>+G102</f>
        <v>BW</v>
      </c>
      <c r="H103" s="555" t="str">
        <f>+H102</f>
        <v>Greater Yarra System - Thomson River</v>
      </c>
      <c r="I103" s="556" t="str">
        <f>+I102</f>
        <v>Price cap - Fixed</v>
      </c>
      <c r="J103" s="590" t="s">
        <v>881</v>
      </c>
      <c r="K103" s="557"/>
      <c r="L103" s="558"/>
      <c r="M103" s="558"/>
      <c r="N103" s="557"/>
      <c r="O103" s="558"/>
      <c r="P103" s="558"/>
      <c r="Q103" s="558"/>
      <c r="R103" s="1036"/>
      <c r="S103" s="1139"/>
      <c r="T103" s="593"/>
      <c r="U103" s="1036">
        <v>16000</v>
      </c>
      <c r="V103" s="593">
        <v>16000</v>
      </c>
      <c r="W103" s="593">
        <v>16000</v>
      </c>
      <c r="X103" s="593">
        <v>16000</v>
      </c>
      <c r="Y103" s="593">
        <v>16000</v>
      </c>
      <c r="Z103" s="593">
        <v>16000</v>
      </c>
      <c r="AA103" s="1139">
        <v>16000</v>
      </c>
      <c r="AB103" s="593">
        <v>16000</v>
      </c>
      <c r="AC103" s="593">
        <v>16000</v>
      </c>
      <c r="AD103" s="593">
        <v>16000</v>
      </c>
      <c r="AE103" s="1036">
        <v>16000</v>
      </c>
      <c r="AF103" s="593">
        <v>16000</v>
      </c>
      <c r="AG103" s="593">
        <v>16000</v>
      </c>
      <c r="AH103" s="593">
        <v>16000</v>
      </c>
      <c r="AI103" s="593">
        <v>16000</v>
      </c>
      <c r="AJ103" s="594">
        <v>16000</v>
      </c>
      <c r="AK103" s="548"/>
      <c r="AO103" s="961" t="str">
        <f t="shared" si="38"/>
        <v>Qty</v>
      </c>
      <c r="AP103" s="962" t="str">
        <f t="shared" si="38"/>
        <v>Water</v>
      </c>
      <c r="AQ103" s="963" t="str">
        <f t="shared" si="39"/>
        <v>Price cap - Fixed</v>
      </c>
      <c r="AR103" s="967">
        <f t="shared" si="40"/>
        <v>0</v>
      </c>
      <c r="AS103" s="964">
        <f t="shared" si="41"/>
        <v>0</v>
      </c>
      <c r="AT103" s="964">
        <f t="shared" si="42"/>
        <v>0</v>
      </c>
      <c r="AU103" s="964">
        <f t="shared" si="43"/>
        <v>0</v>
      </c>
      <c r="AV103" s="1350">
        <f t="shared" si="44"/>
        <v>0</v>
      </c>
      <c r="AW103" s="1343">
        <f t="shared" si="45"/>
        <v>0</v>
      </c>
      <c r="AX103" s="964">
        <f t="shared" si="46"/>
        <v>0</v>
      </c>
      <c r="AY103" s="964">
        <f t="shared" si="47"/>
        <v>0</v>
      </c>
      <c r="AZ103" s="964">
        <f t="shared" si="48"/>
        <v>0</v>
      </c>
      <c r="BA103" s="965">
        <f t="shared" si="49"/>
        <v>0</v>
      </c>
      <c r="BB103" s="1343">
        <f t="shared" si="50"/>
        <v>0</v>
      </c>
      <c r="BC103" s="964">
        <f t="shared" si="51"/>
        <v>0</v>
      </c>
      <c r="BD103" s="964">
        <f t="shared" si="52"/>
        <v>0</v>
      </c>
      <c r="BE103" s="964">
        <f t="shared" si="53"/>
        <v>0</v>
      </c>
      <c r="BF103" s="966">
        <f t="shared" si="54"/>
        <v>0</v>
      </c>
      <c r="BG103" s="951"/>
      <c r="BH103" s="961" t="str">
        <f t="shared" si="55"/>
        <v>Qty</v>
      </c>
      <c r="BI103" s="962" t="str">
        <f t="shared" si="56"/>
        <v>Water</v>
      </c>
      <c r="BJ103" s="963" t="str">
        <f t="shared" si="57"/>
        <v>Price cap - Fixed</v>
      </c>
      <c r="BK103" s="964">
        <f t="shared" ref="BK103:BU103" si="109">IF(V103="","-",IFERROR((V103/U103-1)*(U104/U$13),"-"))</f>
        <v>0</v>
      </c>
      <c r="BL103" s="964">
        <f t="shared" si="109"/>
        <v>0</v>
      </c>
      <c r="BM103" s="964">
        <f t="shared" si="109"/>
        <v>0</v>
      </c>
      <c r="BN103" s="964">
        <f t="shared" si="109"/>
        <v>0</v>
      </c>
      <c r="BO103" s="1350">
        <f t="shared" si="109"/>
        <v>0</v>
      </c>
      <c r="BP103" s="1343">
        <f t="shared" si="109"/>
        <v>0</v>
      </c>
      <c r="BQ103" s="964">
        <f t="shared" si="109"/>
        <v>0</v>
      </c>
      <c r="BR103" s="964">
        <f t="shared" si="109"/>
        <v>0</v>
      </c>
      <c r="BS103" s="964">
        <f t="shared" si="109"/>
        <v>0</v>
      </c>
      <c r="BT103" s="965">
        <f t="shared" si="109"/>
        <v>0</v>
      </c>
      <c r="BU103" s="964">
        <f t="shared" si="109"/>
        <v>0</v>
      </c>
      <c r="BV103" s="964">
        <f>IF(AG103="","-",IFERROR((AG103/AF103-1)*(AF104/AF$13),"-"))</f>
        <v>0</v>
      </c>
      <c r="BW103" s="964">
        <f>IF(AH103="","-",IFERROR((AH103/AG103-1)*(AG104/AG$13),"-"))</f>
        <v>0</v>
      </c>
      <c r="BX103" s="964">
        <f>IF(AI103="","-",IFERROR((AI103/AH103-1)*(AH104/AH$13),"-"))</f>
        <v>0</v>
      </c>
      <c r="BY103" s="966">
        <f>IF(AJ103="","-",IFERROR((AJ103/AI103-1)*(AI104/AI$13),"-"))</f>
        <v>0</v>
      </c>
      <c r="BZ103" s="951"/>
      <c r="CA103" s="961" t="str">
        <f t="shared" si="35"/>
        <v>Qty</v>
      </c>
      <c r="CB103" s="962" t="str">
        <f t="shared" si="36"/>
        <v>Water</v>
      </c>
      <c r="CC103" s="962" t="str">
        <f t="shared" si="37"/>
        <v>Price cap - Fixed</v>
      </c>
      <c r="CD103" s="967">
        <f t="shared" si="106"/>
        <v>0</v>
      </c>
      <c r="CE103" s="964">
        <f t="shared" si="60"/>
        <v>0</v>
      </c>
      <c r="CF103" s="964">
        <f t="shared" si="60"/>
        <v>0</v>
      </c>
      <c r="CG103" s="965">
        <f t="shared" si="60"/>
        <v>0</v>
      </c>
      <c r="CH103" s="964">
        <f t="shared" si="107"/>
        <v>0</v>
      </c>
      <c r="CI103" s="964">
        <f t="shared" si="62"/>
        <v>0</v>
      </c>
      <c r="CJ103" s="964">
        <f t="shared" si="62"/>
        <v>0</v>
      </c>
      <c r="CK103" s="966">
        <f t="shared" si="62"/>
        <v>0</v>
      </c>
    </row>
    <row r="104" spans="4:89" ht="12.75" thickBot="1">
      <c r="E104" s="568" t="s">
        <v>882</v>
      </c>
      <c r="F104" s="560" t="str">
        <f>+F102</f>
        <v>Water</v>
      </c>
      <c r="G104" s="561" t="str">
        <f>+G102</f>
        <v>BW</v>
      </c>
      <c r="H104" s="561" t="str">
        <f>+H102</f>
        <v>Greater Yarra System - Thomson River</v>
      </c>
      <c r="I104" s="562" t="str">
        <f>+I102</f>
        <v>Price cap - Fixed</v>
      </c>
      <c r="J104" s="563" t="s">
        <v>883</v>
      </c>
      <c r="K104" s="564">
        <f t="shared" ref="K104:AJ104" si="110">K102*K103/10^6</f>
        <v>0</v>
      </c>
      <c r="L104" s="565">
        <f t="shared" si="110"/>
        <v>0</v>
      </c>
      <c r="M104" s="565">
        <f t="shared" si="110"/>
        <v>0</v>
      </c>
      <c r="N104" s="564">
        <f t="shared" si="110"/>
        <v>0</v>
      </c>
      <c r="O104" s="565">
        <f t="shared" si="110"/>
        <v>0</v>
      </c>
      <c r="P104" s="565">
        <f t="shared" si="110"/>
        <v>0</v>
      </c>
      <c r="Q104" s="565">
        <f t="shared" si="110"/>
        <v>0</v>
      </c>
      <c r="R104" s="566">
        <f t="shared" si="110"/>
        <v>0</v>
      </c>
      <c r="S104" s="564">
        <f t="shared" si="110"/>
        <v>0</v>
      </c>
      <c r="T104" s="565">
        <f t="shared" si="110"/>
        <v>0</v>
      </c>
      <c r="U104" s="566">
        <f t="shared" si="110"/>
        <v>7.0389110284734144</v>
      </c>
      <c r="V104" s="565">
        <f t="shared" si="110"/>
        <v>6.1684866442748092</v>
      </c>
      <c r="W104" s="565">
        <f t="shared" si="110"/>
        <v>6.2813380338983054</v>
      </c>
      <c r="X104" s="565">
        <f t="shared" si="110"/>
        <v>6.5375906461538476</v>
      </c>
      <c r="Y104" s="565">
        <f t="shared" si="110"/>
        <v>6.7223568000000009</v>
      </c>
      <c r="Z104" s="565">
        <f t="shared" si="110"/>
        <v>6.8990400000000003</v>
      </c>
      <c r="AA104" s="564">
        <f t="shared" si="110"/>
        <v>0</v>
      </c>
      <c r="AB104" s="565">
        <f t="shared" si="110"/>
        <v>0</v>
      </c>
      <c r="AC104" s="565">
        <f t="shared" si="110"/>
        <v>0</v>
      </c>
      <c r="AD104" s="565">
        <f t="shared" si="110"/>
        <v>0</v>
      </c>
      <c r="AE104" s="566">
        <f t="shared" si="110"/>
        <v>0</v>
      </c>
      <c r="AF104" s="565">
        <f t="shared" si="110"/>
        <v>0</v>
      </c>
      <c r="AG104" s="565">
        <f>AG102*AG103/10^6</f>
        <v>0</v>
      </c>
      <c r="AH104" s="565">
        <f>AH102*AH103/10^6</f>
        <v>0</v>
      </c>
      <c r="AI104" s="565">
        <f>AI102*AI103/10^6</f>
        <v>0</v>
      </c>
      <c r="AJ104" s="566">
        <f t="shared" si="110"/>
        <v>0</v>
      </c>
      <c r="AK104" s="548"/>
      <c r="AO104" s="984" t="str">
        <f t="shared" si="38"/>
        <v>Rev</v>
      </c>
      <c r="AP104" s="985" t="str">
        <f t="shared" si="38"/>
        <v>Water</v>
      </c>
      <c r="AQ104" s="986" t="str">
        <f t="shared" si="39"/>
        <v>Price cap - Fixed</v>
      </c>
      <c r="AR104" s="990">
        <f t="shared" si="40"/>
        <v>-0.12365895529544446</v>
      </c>
      <c r="AS104" s="987">
        <f t="shared" si="41"/>
        <v>1.8294825964847883E-2</v>
      </c>
      <c r="AT104" s="987">
        <f t="shared" si="42"/>
        <v>4.0795864013786876E-2</v>
      </c>
      <c r="AU104" s="987">
        <f t="shared" si="43"/>
        <v>2.8262117322205516E-2</v>
      </c>
      <c r="AV104" s="1353">
        <f t="shared" si="44"/>
        <v>2.6282925059853968E-2</v>
      </c>
      <c r="AW104" s="1346">
        <f t="shared" si="45"/>
        <v>-1</v>
      </c>
      <c r="AX104" s="987" t="str">
        <f t="shared" si="46"/>
        <v>-</v>
      </c>
      <c r="AY104" s="987" t="str">
        <f t="shared" si="47"/>
        <v>-</v>
      </c>
      <c r="AZ104" s="987" t="str">
        <f t="shared" si="48"/>
        <v>-</v>
      </c>
      <c r="BA104" s="988" t="str">
        <f t="shared" si="49"/>
        <v>-</v>
      </c>
      <c r="BB104" s="1346" t="str">
        <f t="shared" si="50"/>
        <v>-</v>
      </c>
      <c r="BC104" s="987" t="str">
        <f t="shared" si="51"/>
        <v>-</v>
      </c>
      <c r="BD104" s="987" t="str">
        <f t="shared" si="52"/>
        <v>-</v>
      </c>
      <c r="BE104" s="987" t="str">
        <f t="shared" si="53"/>
        <v>-</v>
      </c>
      <c r="BF104" s="989" t="str">
        <f t="shared" si="54"/>
        <v>-</v>
      </c>
      <c r="BG104" s="951"/>
      <c r="BH104" s="984" t="str">
        <f t="shared" si="55"/>
        <v>Rev</v>
      </c>
      <c r="BI104" s="985" t="str">
        <f t="shared" si="56"/>
        <v>Water</v>
      </c>
      <c r="BJ104" s="986" t="str">
        <f t="shared" si="57"/>
        <v>Price cap - Fixed</v>
      </c>
      <c r="BK104" s="987">
        <f t="shared" ref="BK104:BU104" si="111">IF(V104="","-",IFERROR((V104/U104-1)*(U104/U$13),"-"))</f>
        <v>-4.5137401000840875E-4</v>
      </c>
      <c r="BL104" s="987">
        <f t="shared" si="111"/>
        <v>6.0559115694342508E-5</v>
      </c>
      <c r="BM104" s="987">
        <f t="shared" si="111"/>
        <v>1.384911030628468E-4</v>
      </c>
      <c r="BN104" s="987">
        <f t="shared" si="111"/>
        <v>9.9283586695021007E-5</v>
      </c>
      <c r="BO104" s="1353">
        <f t="shared" si="111"/>
        <v>9.3748634256171209E-5</v>
      </c>
      <c r="BP104" s="1346">
        <f t="shared" si="111"/>
        <v>-3.662220562898947E-3</v>
      </c>
      <c r="BQ104" s="987" t="str">
        <f t="shared" si="111"/>
        <v>-</v>
      </c>
      <c r="BR104" s="987" t="str">
        <f t="shared" si="111"/>
        <v>-</v>
      </c>
      <c r="BS104" s="987" t="str">
        <f t="shared" si="111"/>
        <v>-</v>
      </c>
      <c r="BT104" s="988" t="str">
        <f t="shared" si="111"/>
        <v>-</v>
      </c>
      <c r="BU104" s="987" t="str">
        <f t="shared" si="111"/>
        <v>-</v>
      </c>
      <c r="BV104" s="987" t="str">
        <f>IF(AG104="","-",IFERROR((AG104/AF104-1)*(AF104/AF$13),"-"))</f>
        <v>-</v>
      </c>
      <c r="BW104" s="987" t="str">
        <f>IF(AH104="","-",IFERROR((AH104/AG104-1)*(AG104/AG$13),"-"))</f>
        <v>-</v>
      </c>
      <c r="BX104" s="987" t="str">
        <f>IF(AI104="","-",IFERROR((AI104/AH104-1)*(AH104/AH$13),"-"))</f>
        <v>-</v>
      </c>
      <c r="BY104" s="989" t="str">
        <f>IF(AJ104="","-",IFERROR((AJ104/AI104-1)*(AI104/AI$13),"-"))</f>
        <v>-</v>
      </c>
      <c r="BZ104" s="951"/>
      <c r="CA104" s="984" t="str">
        <f t="shared" si="35"/>
        <v>Rev</v>
      </c>
      <c r="CB104" s="985" t="str">
        <f t="shared" si="36"/>
        <v>Water</v>
      </c>
      <c r="CC104" s="985" t="str">
        <f t="shared" si="37"/>
        <v>Price cap - Fixed</v>
      </c>
      <c r="CD104" s="990">
        <f t="shared" si="106"/>
        <v>-5.5344744574361449E-2</v>
      </c>
      <c r="CE104" s="987">
        <f t="shared" si="60"/>
        <v>-2.4327458830318838E-2</v>
      </c>
      <c r="CF104" s="987">
        <f t="shared" si="60"/>
        <v>-1.1437752671881518E-2</v>
      </c>
      <c r="CG104" s="988">
        <f t="shared" si="60"/>
        <v>-4.0061943583517001E-3</v>
      </c>
      <c r="CH104" s="987">
        <f t="shared" si="107"/>
        <v>-1</v>
      </c>
      <c r="CI104" s="987">
        <f t="shared" si="62"/>
        <v>-1</v>
      </c>
      <c r="CJ104" s="987">
        <f t="shared" si="62"/>
        <v>-1</v>
      </c>
      <c r="CK104" s="989">
        <f t="shared" si="62"/>
        <v>-1</v>
      </c>
    </row>
    <row r="105" spans="4:89">
      <c r="D105" s="63">
        <f>D102+1</f>
        <v>13</v>
      </c>
      <c r="E105" s="550" t="s">
        <v>857</v>
      </c>
      <c r="F105" s="595" t="s">
        <v>401</v>
      </c>
      <c r="G105" s="595" t="s">
        <v>94</v>
      </c>
      <c r="H105" s="595" t="s">
        <v>878</v>
      </c>
      <c r="I105" s="589" t="s">
        <v>939</v>
      </c>
      <c r="J105" s="589" t="s">
        <v>879</v>
      </c>
      <c r="K105" s="551"/>
      <c r="L105" s="552"/>
      <c r="M105" s="552"/>
      <c r="N105" s="551"/>
      <c r="O105" s="552"/>
      <c r="P105" s="552"/>
      <c r="Q105" s="552"/>
      <c r="R105" s="1035"/>
      <c r="S105" s="1138"/>
      <c r="T105" s="591"/>
      <c r="U105" s="1035">
        <v>439.93193927958839</v>
      </c>
      <c r="V105" s="591">
        <v>385.53041526717561</v>
      </c>
      <c r="W105" s="591">
        <v>392.58362711864407</v>
      </c>
      <c r="X105" s="591">
        <v>408.5994153846155</v>
      </c>
      <c r="Y105" s="591">
        <v>420.14730000000003</v>
      </c>
      <c r="Z105" s="591">
        <v>431.19</v>
      </c>
      <c r="AA105" s="1138">
        <v>0</v>
      </c>
      <c r="AB105" s="591">
        <v>0</v>
      </c>
      <c r="AC105" s="591">
        <v>0</v>
      </c>
      <c r="AD105" s="591">
        <v>0</v>
      </c>
      <c r="AE105" s="1035">
        <v>0</v>
      </c>
      <c r="AF105" s="591">
        <v>0</v>
      </c>
      <c r="AG105" s="591">
        <v>0</v>
      </c>
      <c r="AH105" s="591">
        <v>0</v>
      </c>
      <c r="AI105" s="591">
        <v>0</v>
      </c>
      <c r="AJ105" s="592">
        <v>0</v>
      </c>
      <c r="AK105" s="548"/>
      <c r="AM105" s="974"/>
      <c r="AO105" s="975" t="str">
        <f t="shared" si="38"/>
        <v>Price</v>
      </c>
      <c r="AP105" s="976" t="str">
        <f t="shared" si="38"/>
        <v>Water</v>
      </c>
      <c r="AQ105" s="977" t="str">
        <f t="shared" si="39"/>
        <v>Price cap - Fixed</v>
      </c>
      <c r="AR105" s="1341">
        <f t="shared" si="40"/>
        <v>-0.12365895529544435</v>
      </c>
      <c r="AS105" s="978">
        <f t="shared" si="41"/>
        <v>1.8294825964847661E-2</v>
      </c>
      <c r="AT105" s="979">
        <f t="shared" si="42"/>
        <v>4.0795864013786876E-2</v>
      </c>
      <c r="AU105" s="979">
        <f t="shared" si="43"/>
        <v>2.8262117322205293E-2</v>
      </c>
      <c r="AV105" s="1352">
        <f t="shared" si="44"/>
        <v>2.6282925059853968E-2</v>
      </c>
      <c r="AW105" s="1345">
        <f t="shared" si="45"/>
        <v>-1</v>
      </c>
      <c r="AX105" s="979" t="str">
        <f t="shared" si="46"/>
        <v>-</v>
      </c>
      <c r="AY105" s="979" t="str">
        <f t="shared" si="47"/>
        <v>-</v>
      </c>
      <c r="AZ105" s="979" t="str">
        <f t="shared" si="48"/>
        <v>-</v>
      </c>
      <c r="BA105" s="980" t="str">
        <f t="shared" si="49"/>
        <v>-</v>
      </c>
      <c r="BB105" s="1345" t="str">
        <f t="shared" si="50"/>
        <v>-</v>
      </c>
      <c r="BC105" s="979" t="str">
        <f t="shared" si="51"/>
        <v>-</v>
      </c>
      <c r="BD105" s="979" t="str">
        <f t="shared" si="52"/>
        <v>-</v>
      </c>
      <c r="BE105" s="979" t="str">
        <f t="shared" si="53"/>
        <v>-</v>
      </c>
      <c r="BF105" s="981" t="str">
        <f t="shared" si="54"/>
        <v>-</v>
      </c>
      <c r="BG105" s="951"/>
      <c r="BH105" s="975" t="str">
        <f t="shared" si="55"/>
        <v>Price</v>
      </c>
      <c r="BI105" s="976" t="str">
        <f t="shared" si="56"/>
        <v>Water</v>
      </c>
      <c r="BJ105" s="977" t="str">
        <f t="shared" si="57"/>
        <v>Price cap - Fixed</v>
      </c>
      <c r="BK105" s="978">
        <f t="shared" ref="BK105:BU105" si="112">IF(V105="","-",IFERROR((V105/U105-1)*(U107/U$13),"-"))</f>
        <v>-2.821087562552552E-5</v>
      </c>
      <c r="BL105" s="978">
        <f t="shared" si="112"/>
        <v>3.784944730896361E-6</v>
      </c>
      <c r="BM105" s="979">
        <f t="shared" si="112"/>
        <v>8.6556939414279252E-6</v>
      </c>
      <c r="BN105" s="979">
        <f t="shared" si="112"/>
        <v>6.2052241684387638E-6</v>
      </c>
      <c r="BO105" s="1352">
        <f t="shared" si="112"/>
        <v>5.8592896410107005E-6</v>
      </c>
      <c r="BP105" s="1345">
        <f t="shared" si="112"/>
        <v>-2.2888878518118418E-4</v>
      </c>
      <c r="BQ105" s="979" t="str">
        <f t="shared" si="112"/>
        <v>-</v>
      </c>
      <c r="BR105" s="979" t="str">
        <f t="shared" si="112"/>
        <v>-</v>
      </c>
      <c r="BS105" s="979" t="str">
        <f t="shared" si="112"/>
        <v>-</v>
      </c>
      <c r="BT105" s="980" t="str">
        <f t="shared" si="112"/>
        <v>-</v>
      </c>
      <c r="BU105" s="979" t="str">
        <f t="shared" si="112"/>
        <v>-</v>
      </c>
      <c r="BV105" s="979" t="str">
        <f>IF(AG105="","-",IFERROR((AG105/AF105-1)*(AF107/AF$13),"-"))</f>
        <v>-</v>
      </c>
      <c r="BW105" s="979" t="str">
        <f>IF(AH105="","-",IFERROR((AH105/AG105-1)*(AG107/AG$13),"-"))</f>
        <v>-</v>
      </c>
      <c r="BX105" s="979" t="str">
        <f>IF(AI105="","-",IFERROR((AI105/AH105-1)*(AH107/AH$13),"-"))</f>
        <v>-</v>
      </c>
      <c r="BY105" s="981" t="str">
        <f>IF(AJ105="","-",IFERROR((AJ105/AI105-1)*(AI107/AI$13),"-"))</f>
        <v>-</v>
      </c>
      <c r="BZ105" s="951"/>
      <c r="CA105" s="975" t="str">
        <f t="shared" si="35"/>
        <v>Price</v>
      </c>
      <c r="CB105" s="976" t="str">
        <f t="shared" si="36"/>
        <v>Water</v>
      </c>
      <c r="CC105" s="982" t="str">
        <f t="shared" si="37"/>
        <v>Price cap - Fixed</v>
      </c>
      <c r="CD105" s="983">
        <f t="shared" si="106"/>
        <v>-5.5344744574361449E-2</v>
      </c>
      <c r="CE105" s="979">
        <f t="shared" si="60"/>
        <v>-2.4327458830318838E-2</v>
      </c>
      <c r="CF105" s="979">
        <f t="shared" si="60"/>
        <v>-1.1437752671881518E-2</v>
      </c>
      <c r="CG105" s="980">
        <f t="shared" si="60"/>
        <v>-4.0061943583517001E-3</v>
      </c>
      <c r="CH105" s="979">
        <f t="shared" si="107"/>
        <v>-1</v>
      </c>
      <c r="CI105" s="979">
        <f t="shared" si="62"/>
        <v>-1</v>
      </c>
      <c r="CJ105" s="979">
        <f t="shared" si="62"/>
        <v>-1</v>
      </c>
      <c r="CK105" s="981">
        <f t="shared" si="62"/>
        <v>-1</v>
      </c>
    </row>
    <row r="106" spans="4:89">
      <c r="E106" s="567" t="s">
        <v>880</v>
      </c>
      <c r="F106" s="554" t="str">
        <f>+F105</f>
        <v>Water</v>
      </c>
      <c r="G106" s="555" t="str">
        <f>+G105</f>
        <v>SGW</v>
      </c>
      <c r="H106" s="555" t="str">
        <f>+H105</f>
        <v>Greater Yarra System - Thomson River</v>
      </c>
      <c r="I106" s="556" t="str">
        <f>+I105</f>
        <v>Price cap - Fixed</v>
      </c>
      <c r="J106" s="590" t="s">
        <v>881</v>
      </c>
      <c r="K106" s="557"/>
      <c r="L106" s="558"/>
      <c r="M106" s="558"/>
      <c r="N106" s="557"/>
      <c r="O106" s="558"/>
      <c r="P106" s="558"/>
      <c r="Q106" s="558"/>
      <c r="R106" s="1036"/>
      <c r="S106" s="1139"/>
      <c r="T106" s="593"/>
      <c r="U106" s="1036">
        <v>1000</v>
      </c>
      <c r="V106" s="593">
        <v>1000</v>
      </c>
      <c r="W106" s="593">
        <v>1000</v>
      </c>
      <c r="X106" s="593">
        <v>1000</v>
      </c>
      <c r="Y106" s="593">
        <v>1000</v>
      </c>
      <c r="Z106" s="593">
        <v>1000</v>
      </c>
      <c r="AA106" s="1139">
        <v>1000</v>
      </c>
      <c r="AB106" s="593">
        <v>1000</v>
      </c>
      <c r="AC106" s="593">
        <v>1000</v>
      </c>
      <c r="AD106" s="593">
        <v>1000</v>
      </c>
      <c r="AE106" s="1036">
        <v>1000</v>
      </c>
      <c r="AF106" s="593">
        <v>1000</v>
      </c>
      <c r="AG106" s="593">
        <v>1000</v>
      </c>
      <c r="AH106" s="593">
        <v>1000</v>
      </c>
      <c r="AI106" s="593">
        <v>1000</v>
      </c>
      <c r="AJ106" s="594">
        <v>1000</v>
      </c>
      <c r="AK106" s="548"/>
      <c r="AO106" s="961" t="str">
        <f t="shared" si="38"/>
        <v>Qty</v>
      </c>
      <c r="AP106" s="962" t="str">
        <f t="shared" si="38"/>
        <v>Water</v>
      </c>
      <c r="AQ106" s="963" t="str">
        <f t="shared" si="39"/>
        <v>Price cap - Fixed</v>
      </c>
      <c r="AR106" s="967">
        <f t="shared" si="40"/>
        <v>0</v>
      </c>
      <c r="AS106" s="964">
        <f t="shared" si="41"/>
        <v>0</v>
      </c>
      <c r="AT106" s="964">
        <f t="shared" si="42"/>
        <v>0</v>
      </c>
      <c r="AU106" s="964">
        <f t="shared" si="43"/>
        <v>0</v>
      </c>
      <c r="AV106" s="1350">
        <f t="shared" si="44"/>
        <v>0</v>
      </c>
      <c r="AW106" s="1343">
        <f t="shared" si="45"/>
        <v>0</v>
      </c>
      <c r="AX106" s="964">
        <f t="shared" si="46"/>
        <v>0</v>
      </c>
      <c r="AY106" s="964">
        <f t="shared" si="47"/>
        <v>0</v>
      </c>
      <c r="AZ106" s="964">
        <f t="shared" si="48"/>
        <v>0</v>
      </c>
      <c r="BA106" s="965">
        <f t="shared" si="49"/>
        <v>0</v>
      </c>
      <c r="BB106" s="1343">
        <f t="shared" si="50"/>
        <v>0</v>
      </c>
      <c r="BC106" s="964">
        <f t="shared" si="51"/>
        <v>0</v>
      </c>
      <c r="BD106" s="964">
        <f t="shared" si="52"/>
        <v>0</v>
      </c>
      <c r="BE106" s="964">
        <f t="shared" si="53"/>
        <v>0</v>
      </c>
      <c r="BF106" s="966">
        <f t="shared" si="54"/>
        <v>0</v>
      </c>
      <c r="BG106" s="951"/>
      <c r="BH106" s="961" t="str">
        <f t="shared" si="55"/>
        <v>Qty</v>
      </c>
      <c r="BI106" s="962" t="str">
        <f t="shared" si="56"/>
        <v>Water</v>
      </c>
      <c r="BJ106" s="963" t="str">
        <f t="shared" si="57"/>
        <v>Price cap - Fixed</v>
      </c>
      <c r="BK106" s="964">
        <f t="shared" ref="BK106:BU106" si="113">IF(V106="","-",IFERROR((V106/U106-1)*(U107/U$13),"-"))</f>
        <v>0</v>
      </c>
      <c r="BL106" s="964">
        <f t="shared" si="113"/>
        <v>0</v>
      </c>
      <c r="BM106" s="964">
        <f t="shared" si="113"/>
        <v>0</v>
      </c>
      <c r="BN106" s="964">
        <f t="shared" si="113"/>
        <v>0</v>
      </c>
      <c r="BO106" s="1350">
        <f t="shared" si="113"/>
        <v>0</v>
      </c>
      <c r="BP106" s="1343">
        <f t="shared" si="113"/>
        <v>0</v>
      </c>
      <c r="BQ106" s="964">
        <f t="shared" si="113"/>
        <v>0</v>
      </c>
      <c r="BR106" s="964">
        <f t="shared" si="113"/>
        <v>0</v>
      </c>
      <c r="BS106" s="964">
        <f t="shared" si="113"/>
        <v>0</v>
      </c>
      <c r="BT106" s="965">
        <f t="shared" si="113"/>
        <v>0</v>
      </c>
      <c r="BU106" s="964">
        <f t="shared" si="113"/>
        <v>0</v>
      </c>
      <c r="BV106" s="964">
        <f>IF(AG106="","-",IFERROR((AG106/AF106-1)*(AF107/AF$13),"-"))</f>
        <v>0</v>
      </c>
      <c r="BW106" s="964">
        <f>IF(AH106="","-",IFERROR((AH106/AG106-1)*(AG107/AG$13),"-"))</f>
        <v>0</v>
      </c>
      <c r="BX106" s="964">
        <f>IF(AI106="","-",IFERROR((AI106/AH106-1)*(AH107/AH$13),"-"))</f>
        <v>0</v>
      </c>
      <c r="BY106" s="966">
        <f>IF(AJ106="","-",IFERROR((AJ106/AI106-1)*(AI107/AI$13),"-"))</f>
        <v>0</v>
      </c>
      <c r="BZ106" s="951"/>
      <c r="CA106" s="961" t="str">
        <f t="shared" si="35"/>
        <v>Qty</v>
      </c>
      <c r="CB106" s="962" t="str">
        <f t="shared" si="36"/>
        <v>Water</v>
      </c>
      <c r="CC106" s="962" t="str">
        <f t="shared" si="37"/>
        <v>Price cap - Fixed</v>
      </c>
      <c r="CD106" s="967">
        <f t="shared" si="106"/>
        <v>0</v>
      </c>
      <c r="CE106" s="964">
        <f t="shared" si="60"/>
        <v>0</v>
      </c>
      <c r="CF106" s="964">
        <f t="shared" si="60"/>
        <v>0</v>
      </c>
      <c r="CG106" s="965">
        <f t="shared" si="60"/>
        <v>0</v>
      </c>
      <c r="CH106" s="964">
        <f t="shared" si="107"/>
        <v>0</v>
      </c>
      <c r="CI106" s="964">
        <f t="shared" si="62"/>
        <v>0</v>
      </c>
      <c r="CJ106" s="964">
        <f t="shared" si="62"/>
        <v>0</v>
      </c>
      <c r="CK106" s="966">
        <f t="shared" si="62"/>
        <v>0</v>
      </c>
    </row>
    <row r="107" spans="4:89" ht="12.75" thickBot="1">
      <c r="E107" s="568" t="s">
        <v>882</v>
      </c>
      <c r="F107" s="560" t="str">
        <f>+F105</f>
        <v>Water</v>
      </c>
      <c r="G107" s="561" t="str">
        <f>+G105</f>
        <v>SGW</v>
      </c>
      <c r="H107" s="561" t="str">
        <f>+H105</f>
        <v>Greater Yarra System - Thomson River</v>
      </c>
      <c r="I107" s="562" t="str">
        <f>+I105</f>
        <v>Price cap - Fixed</v>
      </c>
      <c r="J107" s="563" t="s">
        <v>883</v>
      </c>
      <c r="K107" s="564">
        <f t="shared" ref="K107:AJ107" si="114">K105*K106/10^6</f>
        <v>0</v>
      </c>
      <c r="L107" s="565">
        <f t="shared" si="114"/>
        <v>0</v>
      </c>
      <c r="M107" s="565">
        <f t="shared" si="114"/>
        <v>0</v>
      </c>
      <c r="N107" s="564">
        <f t="shared" si="114"/>
        <v>0</v>
      </c>
      <c r="O107" s="565">
        <f t="shared" si="114"/>
        <v>0</v>
      </c>
      <c r="P107" s="565">
        <f t="shared" si="114"/>
        <v>0</v>
      </c>
      <c r="Q107" s="565">
        <f t="shared" si="114"/>
        <v>0</v>
      </c>
      <c r="R107" s="566">
        <f t="shared" si="114"/>
        <v>0</v>
      </c>
      <c r="S107" s="564">
        <f t="shared" si="114"/>
        <v>0</v>
      </c>
      <c r="T107" s="565">
        <f t="shared" si="114"/>
        <v>0</v>
      </c>
      <c r="U107" s="566">
        <f t="shared" si="114"/>
        <v>0.4399319392795884</v>
      </c>
      <c r="V107" s="565">
        <f t="shared" si="114"/>
        <v>0.38553041526717557</v>
      </c>
      <c r="W107" s="565">
        <f t="shared" si="114"/>
        <v>0.39258362711864409</v>
      </c>
      <c r="X107" s="565">
        <f t="shared" si="114"/>
        <v>0.40859941538461547</v>
      </c>
      <c r="Y107" s="565">
        <f t="shared" si="114"/>
        <v>0.42014730000000006</v>
      </c>
      <c r="Z107" s="565">
        <f t="shared" si="114"/>
        <v>0.43119000000000002</v>
      </c>
      <c r="AA107" s="564">
        <f t="shared" si="114"/>
        <v>0</v>
      </c>
      <c r="AB107" s="565">
        <f t="shared" si="114"/>
        <v>0</v>
      </c>
      <c r="AC107" s="565">
        <f t="shared" si="114"/>
        <v>0</v>
      </c>
      <c r="AD107" s="565">
        <f t="shared" si="114"/>
        <v>0</v>
      </c>
      <c r="AE107" s="566">
        <f t="shared" si="114"/>
        <v>0</v>
      </c>
      <c r="AF107" s="565">
        <f t="shared" si="114"/>
        <v>0</v>
      </c>
      <c r="AG107" s="565">
        <f>AG105*AG106/10^6</f>
        <v>0</v>
      </c>
      <c r="AH107" s="565">
        <f>AH105*AH106/10^6</f>
        <v>0</v>
      </c>
      <c r="AI107" s="565">
        <f>AI105*AI106/10^6</f>
        <v>0</v>
      </c>
      <c r="AJ107" s="566">
        <f t="shared" si="114"/>
        <v>0</v>
      </c>
      <c r="AK107" s="548"/>
      <c r="AO107" s="984" t="str">
        <f t="shared" si="38"/>
        <v>Rev</v>
      </c>
      <c r="AP107" s="985" t="str">
        <f t="shared" si="38"/>
        <v>Water</v>
      </c>
      <c r="AQ107" s="986" t="str">
        <f t="shared" si="39"/>
        <v>Price cap - Fixed</v>
      </c>
      <c r="AR107" s="990">
        <f t="shared" si="40"/>
        <v>-0.12365895529544446</v>
      </c>
      <c r="AS107" s="987">
        <f t="shared" si="41"/>
        <v>1.8294825964847883E-2</v>
      </c>
      <c r="AT107" s="987">
        <f t="shared" si="42"/>
        <v>4.0795864013786876E-2</v>
      </c>
      <c r="AU107" s="987">
        <f t="shared" si="43"/>
        <v>2.8262117322205516E-2</v>
      </c>
      <c r="AV107" s="1353">
        <f t="shared" si="44"/>
        <v>2.6282925059853968E-2</v>
      </c>
      <c r="AW107" s="1346">
        <f t="shared" si="45"/>
        <v>-1</v>
      </c>
      <c r="AX107" s="987" t="str">
        <f t="shared" si="46"/>
        <v>-</v>
      </c>
      <c r="AY107" s="987" t="str">
        <f t="shared" si="47"/>
        <v>-</v>
      </c>
      <c r="AZ107" s="987" t="str">
        <f t="shared" si="48"/>
        <v>-</v>
      </c>
      <c r="BA107" s="988" t="str">
        <f t="shared" si="49"/>
        <v>-</v>
      </c>
      <c r="BB107" s="1346" t="str">
        <f t="shared" si="50"/>
        <v>-</v>
      </c>
      <c r="BC107" s="987" t="str">
        <f t="shared" si="51"/>
        <v>-</v>
      </c>
      <c r="BD107" s="987" t="str">
        <f t="shared" si="52"/>
        <v>-</v>
      </c>
      <c r="BE107" s="987" t="str">
        <f t="shared" si="53"/>
        <v>-</v>
      </c>
      <c r="BF107" s="989" t="str">
        <f t="shared" si="54"/>
        <v>-</v>
      </c>
      <c r="BG107" s="951"/>
      <c r="BH107" s="984" t="str">
        <f t="shared" si="55"/>
        <v>Rev</v>
      </c>
      <c r="BI107" s="985" t="str">
        <f t="shared" si="56"/>
        <v>Water</v>
      </c>
      <c r="BJ107" s="986" t="str">
        <f t="shared" si="57"/>
        <v>Price cap - Fixed</v>
      </c>
      <c r="BK107" s="987">
        <f t="shared" ref="BK107:BU107" si="115">IF(V107="","-",IFERROR((V107/U107-1)*(U107/U$13),"-"))</f>
        <v>-2.8210875625525547E-5</v>
      </c>
      <c r="BL107" s="987">
        <f t="shared" si="115"/>
        <v>3.7849447308964067E-6</v>
      </c>
      <c r="BM107" s="987">
        <f t="shared" si="115"/>
        <v>8.6556939414279252E-6</v>
      </c>
      <c r="BN107" s="987">
        <f t="shared" si="115"/>
        <v>6.2052241684388129E-6</v>
      </c>
      <c r="BO107" s="1353">
        <f t="shared" si="115"/>
        <v>5.8592896410107005E-6</v>
      </c>
      <c r="BP107" s="1346">
        <f t="shared" si="115"/>
        <v>-2.2888878518118418E-4</v>
      </c>
      <c r="BQ107" s="987" t="str">
        <f t="shared" si="115"/>
        <v>-</v>
      </c>
      <c r="BR107" s="987" t="str">
        <f t="shared" si="115"/>
        <v>-</v>
      </c>
      <c r="BS107" s="987" t="str">
        <f t="shared" si="115"/>
        <v>-</v>
      </c>
      <c r="BT107" s="988" t="str">
        <f t="shared" si="115"/>
        <v>-</v>
      </c>
      <c r="BU107" s="987" t="str">
        <f t="shared" si="115"/>
        <v>-</v>
      </c>
      <c r="BV107" s="987" t="str">
        <f>IF(AG107="","-",IFERROR((AG107/AF107-1)*(AF107/AF$13),"-"))</f>
        <v>-</v>
      </c>
      <c r="BW107" s="987" t="str">
        <f>IF(AH107="","-",IFERROR((AH107/AG107-1)*(AG107/AG$13),"-"))</f>
        <v>-</v>
      </c>
      <c r="BX107" s="987" t="str">
        <f>IF(AI107="","-",IFERROR((AI107/AH107-1)*(AH107/AH$13),"-"))</f>
        <v>-</v>
      </c>
      <c r="BY107" s="989" t="str">
        <f>IF(AJ107="","-",IFERROR((AJ107/AI107-1)*(AI107/AI$13),"-"))</f>
        <v>-</v>
      </c>
      <c r="BZ107" s="951"/>
      <c r="CA107" s="984" t="str">
        <f t="shared" si="35"/>
        <v>Rev</v>
      </c>
      <c r="CB107" s="985" t="str">
        <f t="shared" si="36"/>
        <v>Water</v>
      </c>
      <c r="CC107" s="985" t="str">
        <f t="shared" si="37"/>
        <v>Price cap - Fixed</v>
      </c>
      <c r="CD107" s="990">
        <f t="shared" si="106"/>
        <v>-5.5344744574361449E-2</v>
      </c>
      <c r="CE107" s="987">
        <f t="shared" si="60"/>
        <v>-2.4327458830318838E-2</v>
      </c>
      <c r="CF107" s="987">
        <f t="shared" si="60"/>
        <v>-1.1437752671881518E-2</v>
      </c>
      <c r="CG107" s="988">
        <f t="shared" si="60"/>
        <v>-4.0061943583517001E-3</v>
      </c>
      <c r="CH107" s="987">
        <f t="shared" si="107"/>
        <v>-1</v>
      </c>
      <c r="CI107" s="987">
        <f t="shared" si="62"/>
        <v>-1</v>
      </c>
      <c r="CJ107" s="987">
        <f t="shared" si="62"/>
        <v>-1</v>
      </c>
      <c r="CK107" s="989">
        <f t="shared" si="62"/>
        <v>-1</v>
      </c>
    </row>
    <row r="108" spans="4:89">
      <c r="D108" s="63">
        <f>D105+1</f>
        <v>14</v>
      </c>
      <c r="E108" s="550" t="s">
        <v>857</v>
      </c>
      <c r="F108" s="595" t="s">
        <v>401</v>
      </c>
      <c r="G108" s="595" t="s">
        <v>101</v>
      </c>
      <c r="H108" s="595" t="s">
        <v>878</v>
      </c>
      <c r="I108" s="589" t="s">
        <v>939</v>
      </c>
      <c r="J108" s="589" t="s">
        <v>879</v>
      </c>
      <c r="K108" s="551"/>
      <c r="L108" s="552"/>
      <c r="M108" s="552"/>
      <c r="N108" s="551"/>
      <c r="O108" s="552"/>
      <c r="P108" s="552"/>
      <c r="Q108" s="552"/>
      <c r="R108" s="1035"/>
      <c r="S108" s="1138"/>
      <c r="T108" s="591"/>
      <c r="U108" s="1035">
        <v>439.93193927958839</v>
      </c>
      <c r="V108" s="591">
        <v>385.53041526717561</v>
      </c>
      <c r="W108" s="591">
        <v>392.58362711864407</v>
      </c>
      <c r="X108" s="591">
        <v>408.5994153846155</v>
      </c>
      <c r="Y108" s="591">
        <v>420.14730000000003</v>
      </c>
      <c r="Z108" s="591">
        <v>431.19</v>
      </c>
      <c r="AA108" s="1138">
        <v>0</v>
      </c>
      <c r="AB108" s="591">
        <v>0</v>
      </c>
      <c r="AC108" s="591">
        <v>0</v>
      </c>
      <c r="AD108" s="591">
        <v>0</v>
      </c>
      <c r="AE108" s="1035">
        <v>0</v>
      </c>
      <c r="AF108" s="591">
        <v>0</v>
      </c>
      <c r="AG108" s="591">
        <v>0</v>
      </c>
      <c r="AH108" s="591">
        <v>0</v>
      </c>
      <c r="AI108" s="591">
        <v>0</v>
      </c>
      <c r="AJ108" s="592">
        <v>0</v>
      </c>
      <c r="AK108" s="548"/>
      <c r="AM108" s="974"/>
      <c r="AO108" s="975" t="str">
        <f t="shared" si="38"/>
        <v>Price</v>
      </c>
      <c r="AP108" s="976" t="str">
        <f t="shared" si="38"/>
        <v>Water</v>
      </c>
      <c r="AQ108" s="977" t="str">
        <f t="shared" si="39"/>
        <v>Price cap - Fixed</v>
      </c>
      <c r="AR108" s="1341">
        <f t="shared" si="40"/>
        <v>-0.12365895529544435</v>
      </c>
      <c r="AS108" s="978">
        <f t="shared" si="41"/>
        <v>1.8294825964847661E-2</v>
      </c>
      <c r="AT108" s="979">
        <f t="shared" si="42"/>
        <v>4.0795864013786876E-2</v>
      </c>
      <c r="AU108" s="979">
        <f t="shared" si="43"/>
        <v>2.8262117322205293E-2</v>
      </c>
      <c r="AV108" s="1352">
        <f t="shared" si="44"/>
        <v>2.6282925059853968E-2</v>
      </c>
      <c r="AW108" s="1345">
        <f t="shared" si="45"/>
        <v>-1</v>
      </c>
      <c r="AX108" s="979" t="str">
        <f t="shared" si="46"/>
        <v>-</v>
      </c>
      <c r="AY108" s="979" t="str">
        <f t="shared" si="47"/>
        <v>-</v>
      </c>
      <c r="AZ108" s="979" t="str">
        <f t="shared" si="48"/>
        <v>-</v>
      </c>
      <c r="BA108" s="980" t="str">
        <f t="shared" si="49"/>
        <v>-</v>
      </c>
      <c r="BB108" s="1345" t="str">
        <f t="shared" si="50"/>
        <v>-</v>
      </c>
      <c r="BC108" s="979" t="str">
        <f t="shared" si="51"/>
        <v>-</v>
      </c>
      <c r="BD108" s="979" t="str">
        <f t="shared" si="52"/>
        <v>-</v>
      </c>
      <c r="BE108" s="979" t="str">
        <f t="shared" si="53"/>
        <v>-</v>
      </c>
      <c r="BF108" s="981" t="str">
        <f t="shared" si="54"/>
        <v>-</v>
      </c>
      <c r="BG108" s="951"/>
      <c r="BH108" s="975" t="str">
        <f t="shared" si="55"/>
        <v>Price</v>
      </c>
      <c r="BI108" s="976" t="str">
        <f t="shared" si="56"/>
        <v>Water</v>
      </c>
      <c r="BJ108" s="977" t="str">
        <f t="shared" si="57"/>
        <v>Price cap - Fixed</v>
      </c>
      <c r="BK108" s="978">
        <f t="shared" ref="BK108:BU108" si="116">IF(V108="","-",IFERROR((V108/U108-1)*(U110/U$13),"-"))</f>
        <v>-2.821087562552552E-5</v>
      </c>
      <c r="BL108" s="978">
        <f t="shared" si="116"/>
        <v>3.784944730896361E-6</v>
      </c>
      <c r="BM108" s="979">
        <f t="shared" si="116"/>
        <v>8.6556939414279252E-6</v>
      </c>
      <c r="BN108" s="979">
        <f t="shared" si="116"/>
        <v>6.2052241684387638E-6</v>
      </c>
      <c r="BO108" s="1352">
        <f t="shared" si="116"/>
        <v>5.8592896410107005E-6</v>
      </c>
      <c r="BP108" s="1345">
        <f t="shared" si="116"/>
        <v>-2.2888878518118418E-4</v>
      </c>
      <c r="BQ108" s="979" t="str">
        <f t="shared" si="116"/>
        <v>-</v>
      </c>
      <c r="BR108" s="979" t="str">
        <f t="shared" si="116"/>
        <v>-</v>
      </c>
      <c r="BS108" s="979" t="str">
        <f t="shared" si="116"/>
        <v>-</v>
      </c>
      <c r="BT108" s="980" t="str">
        <f t="shared" si="116"/>
        <v>-</v>
      </c>
      <c r="BU108" s="979" t="str">
        <f t="shared" si="116"/>
        <v>-</v>
      </c>
      <c r="BV108" s="979" t="str">
        <f>IF(AG108="","-",IFERROR((AG108/AF108-1)*(AF110/AF$13),"-"))</f>
        <v>-</v>
      </c>
      <c r="BW108" s="979" t="str">
        <f>IF(AH108="","-",IFERROR((AH108/AG108-1)*(AG110/AG$13),"-"))</f>
        <v>-</v>
      </c>
      <c r="BX108" s="979" t="str">
        <f>IF(AI108="","-",IFERROR((AI108/AH108-1)*(AH110/AH$13),"-"))</f>
        <v>-</v>
      </c>
      <c r="BY108" s="981" t="str">
        <f>IF(AJ108="","-",IFERROR((AJ108/AI108-1)*(AI110/AI$13),"-"))</f>
        <v>-</v>
      </c>
      <c r="BZ108" s="951"/>
      <c r="CA108" s="975" t="str">
        <f t="shared" si="35"/>
        <v>Price</v>
      </c>
      <c r="CB108" s="976" t="str">
        <f t="shared" si="36"/>
        <v>Water</v>
      </c>
      <c r="CC108" s="982" t="str">
        <f t="shared" si="37"/>
        <v>Price cap - Fixed</v>
      </c>
      <c r="CD108" s="983">
        <f t="shared" si="106"/>
        <v>-5.5344744574361449E-2</v>
      </c>
      <c r="CE108" s="979">
        <f t="shared" si="60"/>
        <v>-2.4327458830318838E-2</v>
      </c>
      <c r="CF108" s="979">
        <f t="shared" si="60"/>
        <v>-1.1437752671881518E-2</v>
      </c>
      <c r="CG108" s="980">
        <f t="shared" si="60"/>
        <v>-4.0061943583517001E-3</v>
      </c>
      <c r="CH108" s="979">
        <f t="shared" si="107"/>
        <v>-1</v>
      </c>
      <c r="CI108" s="979">
        <f t="shared" si="62"/>
        <v>-1</v>
      </c>
      <c r="CJ108" s="979">
        <f t="shared" si="62"/>
        <v>-1</v>
      </c>
      <c r="CK108" s="981">
        <f t="shared" si="62"/>
        <v>-1</v>
      </c>
    </row>
    <row r="109" spans="4:89">
      <c r="E109" s="567" t="s">
        <v>880</v>
      </c>
      <c r="F109" s="554" t="str">
        <f>+F108</f>
        <v>Water</v>
      </c>
      <c r="G109" s="555" t="str">
        <f>+G108</f>
        <v>WPW</v>
      </c>
      <c r="H109" s="555" t="str">
        <f>+H108</f>
        <v>Greater Yarra System - Thomson River</v>
      </c>
      <c r="I109" s="556" t="str">
        <f>+I108</f>
        <v>Price cap - Fixed</v>
      </c>
      <c r="J109" s="590" t="s">
        <v>881</v>
      </c>
      <c r="K109" s="557"/>
      <c r="L109" s="558"/>
      <c r="M109" s="558"/>
      <c r="N109" s="557"/>
      <c r="O109" s="558"/>
      <c r="P109" s="558"/>
      <c r="Q109" s="558"/>
      <c r="R109" s="1036"/>
      <c r="S109" s="1139"/>
      <c r="T109" s="593"/>
      <c r="U109" s="1036">
        <v>1000</v>
      </c>
      <c r="V109" s="593">
        <v>1000</v>
      </c>
      <c r="W109" s="593">
        <v>1000</v>
      </c>
      <c r="X109" s="593">
        <v>1000</v>
      </c>
      <c r="Y109" s="593">
        <v>1000</v>
      </c>
      <c r="Z109" s="593">
        <v>1000</v>
      </c>
      <c r="AA109" s="1139">
        <v>1000</v>
      </c>
      <c r="AB109" s="593">
        <v>1000</v>
      </c>
      <c r="AC109" s="593">
        <v>1000</v>
      </c>
      <c r="AD109" s="593">
        <v>1000</v>
      </c>
      <c r="AE109" s="1036">
        <v>1000</v>
      </c>
      <c r="AF109" s="593">
        <v>1000</v>
      </c>
      <c r="AG109" s="593">
        <v>1000</v>
      </c>
      <c r="AH109" s="593">
        <v>1000</v>
      </c>
      <c r="AI109" s="593">
        <v>1000</v>
      </c>
      <c r="AJ109" s="594">
        <v>1000</v>
      </c>
      <c r="AK109" s="548"/>
      <c r="AO109" s="961" t="str">
        <f t="shared" si="38"/>
        <v>Qty</v>
      </c>
      <c r="AP109" s="962" t="str">
        <f t="shared" si="38"/>
        <v>Water</v>
      </c>
      <c r="AQ109" s="963" t="str">
        <f t="shared" si="39"/>
        <v>Price cap - Fixed</v>
      </c>
      <c r="AR109" s="967">
        <f t="shared" si="40"/>
        <v>0</v>
      </c>
      <c r="AS109" s="964">
        <f t="shared" si="41"/>
        <v>0</v>
      </c>
      <c r="AT109" s="964">
        <f t="shared" si="42"/>
        <v>0</v>
      </c>
      <c r="AU109" s="964">
        <f t="shared" si="43"/>
        <v>0</v>
      </c>
      <c r="AV109" s="1350">
        <f t="shared" si="44"/>
        <v>0</v>
      </c>
      <c r="AW109" s="1343">
        <f t="shared" si="45"/>
        <v>0</v>
      </c>
      <c r="AX109" s="964">
        <f t="shared" si="46"/>
        <v>0</v>
      </c>
      <c r="AY109" s="964">
        <f t="shared" si="47"/>
        <v>0</v>
      </c>
      <c r="AZ109" s="964">
        <f t="shared" si="48"/>
        <v>0</v>
      </c>
      <c r="BA109" s="965">
        <f t="shared" si="49"/>
        <v>0</v>
      </c>
      <c r="BB109" s="1343">
        <f t="shared" si="50"/>
        <v>0</v>
      </c>
      <c r="BC109" s="964">
        <f t="shared" si="51"/>
        <v>0</v>
      </c>
      <c r="BD109" s="964">
        <f t="shared" si="52"/>
        <v>0</v>
      </c>
      <c r="BE109" s="964">
        <f t="shared" si="53"/>
        <v>0</v>
      </c>
      <c r="BF109" s="966">
        <f t="shared" si="54"/>
        <v>0</v>
      </c>
      <c r="BG109" s="951"/>
      <c r="BH109" s="961" t="str">
        <f t="shared" si="55"/>
        <v>Qty</v>
      </c>
      <c r="BI109" s="962" t="str">
        <f t="shared" si="56"/>
        <v>Water</v>
      </c>
      <c r="BJ109" s="963" t="str">
        <f t="shared" si="57"/>
        <v>Price cap - Fixed</v>
      </c>
      <c r="BK109" s="964">
        <f t="shared" ref="BK109:BU109" si="117">IF(V109="","-",IFERROR((V109/U109-1)*(U110/U$13),"-"))</f>
        <v>0</v>
      </c>
      <c r="BL109" s="964">
        <f t="shared" si="117"/>
        <v>0</v>
      </c>
      <c r="BM109" s="964">
        <f t="shared" si="117"/>
        <v>0</v>
      </c>
      <c r="BN109" s="964">
        <f t="shared" si="117"/>
        <v>0</v>
      </c>
      <c r="BO109" s="1350">
        <f t="shared" si="117"/>
        <v>0</v>
      </c>
      <c r="BP109" s="1343">
        <f t="shared" si="117"/>
        <v>0</v>
      </c>
      <c r="BQ109" s="964">
        <f t="shared" si="117"/>
        <v>0</v>
      </c>
      <c r="BR109" s="964">
        <f t="shared" si="117"/>
        <v>0</v>
      </c>
      <c r="BS109" s="964">
        <f t="shared" si="117"/>
        <v>0</v>
      </c>
      <c r="BT109" s="965">
        <f t="shared" si="117"/>
        <v>0</v>
      </c>
      <c r="BU109" s="964">
        <f t="shared" si="117"/>
        <v>0</v>
      </c>
      <c r="BV109" s="964">
        <f>IF(AG109="","-",IFERROR((AG109/AF109-1)*(AF110/AF$13),"-"))</f>
        <v>0</v>
      </c>
      <c r="BW109" s="964">
        <f>IF(AH109="","-",IFERROR((AH109/AG109-1)*(AG110/AG$13),"-"))</f>
        <v>0</v>
      </c>
      <c r="BX109" s="964">
        <f>IF(AI109="","-",IFERROR((AI109/AH109-1)*(AH110/AH$13),"-"))</f>
        <v>0</v>
      </c>
      <c r="BY109" s="966">
        <f>IF(AJ109="","-",IFERROR((AJ109/AI109-1)*(AI110/AI$13),"-"))</f>
        <v>0</v>
      </c>
      <c r="BZ109" s="951"/>
      <c r="CA109" s="961" t="str">
        <f t="shared" si="35"/>
        <v>Qty</v>
      </c>
      <c r="CB109" s="962" t="str">
        <f t="shared" si="36"/>
        <v>Water</v>
      </c>
      <c r="CC109" s="962" t="str">
        <f t="shared" si="37"/>
        <v>Price cap - Fixed</v>
      </c>
      <c r="CD109" s="967">
        <f t="shared" si="106"/>
        <v>0</v>
      </c>
      <c r="CE109" s="964">
        <f t="shared" si="60"/>
        <v>0</v>
      </c>
      <c r="CF109" s="964">
        <f t="shared" si="60"/>
        <v>0</v>
      </c>
      <c r="CG109" s="965">
        <f t="shared" si="60"/>
        <v>0</v>
      </c>
      <c r="CH109" s="964">
        <f t="shared" si="107"/>
        <v>0</v>
      </c>
      <c r="CI109" s="964">
        <f t="shared" si="62"/>
        <v>0</v>
      </c>
      <c r="CJ109" s="964">
        <f t="shared" si="62"/>
        <v>0</v>
      </c>
      <c r="CK109" s="966">
        <f t="shared" si="62"/>
        <v>0</v>
      </c>
    </row>
    <row r="110" spans="4:89" ht="12.75" thickBot="1">
      <c r="E110" s="568" t="s">
        <v>882</v>
      </c>
      <c r="F110" s="560" t="str">
        <f>+F108</f>
        <v>Water</v>
      </c>
      <c r="G110" s="561" t="str">
        <f>+G108</f>
        <v>WPW</v>
      </c>
      <c r="H110" s="561" t="str">
        <f>+H108</f>
        <v>Greater Yarra System - Thomson River</v>
      </c>
      <c r="I110" s="562" t="str">
        <f>+I108</f>
        <v>Price cap - Fixed</v>
      </c>
      <c r="J110" s="563" t="s">
        <v>883</v>
      </c>
      <c r="K110" s="564">
        <f t="shared" ref="K110:AJ110" si="118">K108*K109/10^6</f>
        <v>0</v>
      </c>
      <c r="L110" s="565">
        <f t="shared" si="118"/>
        <v>0</v>
      </c>
      <c r="M110" s="565">
        <f t="shared" si="118"/>
        <v>0</v>
      </c>
      <c r="N110" s="564">
        <f t="shared" si="118"/>
        <v>0</v>
      </c>
      <c r="O110" s="565">
        <f t="shared" si="118"/>
        <v>0</v>
      </c>
      <c r="P110" s="565">
        <f t="shared" si="118"/>
        <v>0</v>
      </c>
      <c r="Q110" s="565">
        <f t="shared" si="118"/>
        <v>0</v>
      </c>
      <c r="R110" s="566">
        <f t="shared" si="118"/>
        <v>0</v>
      </c>
      <c r="S110" s="564">
        <f t="shared" si="118"/>
        <v>0</v>
      </c>
      <c r="T110" s="565">
        <f t="shared" si="118"/>
        <v>0</v>
      </c>
      <c r="U110" s="566">
        <f t="shared" si="118"/>
        <v>0.4399319392795884</v>
      </c>
      <c r="V110" s="565">
        <f t="shared" si="118"/>
        <v>0.38553041526717557</v>
      </c>
      <c r="W110" s="565">
        <f t="shared" si="118"/>
        <v>0.39258362711864409</v>
      </c>
      <c r="X110" s="565">
        <f t="shared" si="118"/>
        <v>0.40859941538461547</v>
      </c>
      <c r="Y110" s="565">
        <f t="shared" si="118"/>
        <v>0.42014730000000006</v>
      </c>
      <c r="Z110" s="565">
        <f t="shared" si="118"/>
        <v>0.43119000000000002</v>
      </c>
      <c r="AA110" s="564">
        <f t="shared" si="118"/>
        <v>0</v>
      </c>
      <c r="AB110" s="565">
        <f t="shared" si="118"/>
        <v>0</v>
      </c>
      <c r="AC110" s="565">
        <f t="shared" si="118"/>
        <v>0</v>
      </c>
      <c r="AD110" s="565">
        <f t="shared" si="118"/>
        <v>0</v>
      </c>
      <c r="AE110" s="566">
        <f t="shared" si="118"/>
        <v>0</v>
      </c>
      <c r="AF110" s="565">
        <f t="shared" si="118"/>
        <v>0</v>
      </c>
      <c r="AG110" s="565">
        <f>AG108*AG109/10^6</f>
        <v>0</v>
      </c>
      <c r="AH110" s="565">
        <f>AH108*AH109/10^6</f>
        <v>0</v>
      </c>
      <c r="AI110" s="565">
        <f>AI108*AI109/10^6</f>
        <v>0</v>
      </c>
      <c r="AJ110" s="566">
        <f t="shared" si="118"/>
        <v>0</v>
      </c>
      <c r="AK110" s="548"/>
      <c r="AO110" s="984" t="str">
        <f t="shared" si="38"/>
        <v>Rev</v>
      </c>
      <c r="AP110" s="985" t="str">
        <f t="shared" si="38"/>
        <v>Water</v>
      </c>
      <c r="AQ110" s="986" t="str">
        <f t="shared" si="39"/>
        <v>Price cap - Fixed</v>
      </c>
      <c r="AR110" s="990">
        <f t="shared" si="40"/>
        <v>-0.12365895529544446</v>
      </c>
      <c r="AS110" s="987">
        <f t="shared" si="41"/>
        <v>1.8294825964847883E-2</v>
      </c>
      <c r="AT110" s="987">
        <f t="shared" si="42"/>
        <v>4.0795864013786876E-2</v>
      </c>
      <c r="AU110" s="987">
        <f t="shared" si="43"/>
        <v>2.8262117322205516E-2</v>
      </c>
      <c r="AV110" s="1353">
        <f t="shared" si="44"/>
        <v>2.6282925059853968E-2</v>
      </c>
      <c r="AW110" s="1346">
        <f t="shared" si="45"/>
        <v>-1</v>
      </c>
      <c r="AX110" s="987" t="str">
        <f t="shared" si="46"/>
        <v>-</v>
      </c>
      <c r="AY110" s="987" t="str">
        <f t="shared" si="47"/>
        <v>-</v>
      </c>
      <c r="AZ110" s="987" t="str">
        <f t="shared" si="48"/>
        <v>-</v>
      </c>
      <c r="BA110" s="988" t="str">
        <f t="shared" si="49"/>
        <v>-</v>
      </c>
      <c r="BB110" s="1346" t="str">
        <f t="shared" si="50"/>
        <v>-</v>
      </c>
      <c r="BC110" s="987" t="str">
        <f t="shared" si="51"/>
        <v>-</v>
      </c>
      <c r="BD110" s="987" t="str">
        <f t="shared" si="52"/>
        <v>-</v>
      </c>
      <c r="BE110" s="987" t="str">
        <f t="shared" si="53"/>
        <v>-</v>
      </c>
      <c r="BF110" s="989" t="str">
        <f t="shared" si="54"/>
        <v>-</v>
      </c>
      <c r="BG110" s="951"/>
      <c r="BH110" s="984" t="str">
        <f t="shared" si="55"/>
        <v>Rev</v>
      </c>
      <c r="BI110" s="985" t="str">
        <f t="shared" si="56"/>
        <v>Water</v>
      </c>
      <c r="BJ110" s="986" t="str">
        <f t="shared" si="57"/>
        <v>Price cap - Fixed</v>
      </c>
      <c r="BK110" s="987">
        <f t="shared" ref="BK110:BU110" si="119">IF(V110="","-",IFERROR((V110/U110-1)*(U110/U$13),"-"))</f>
        <v>-2.8210875625525547E-5</v>
      </c>
      <c r="BL110" s="987">
        <f t="shared" si="119"/>
        <v>3.7849447308964067E-6</v>
      </c>
      <c r="BM110" s="987">
        <f t="shared" si="119"/>
        <v>8.6556939414279252E-6</v>
      </c>
      <c r="BN110" s="987">
        <f t="shared" si="119"/>
        <v>6.2052241684388129E-6</v>
      </c>
      <c r="BO110" s="1353">
        <f t="shared" si="119"/>
        <v>5.8592896410107005E-6</v>
      </c>
      <c r="BP110" s="1346">
        <f t="shared" si="119"/>
        <v>-2.2888878518118418E-4</v>
      </c>
      <c r="BQ110" s="987" t="str">
        <f t="shared" si="119"/>
        <v>-</v>
      </c>
      <c r="BR110" s="987" t="str">
        <f t="shared" si="119"/>
        <v>-</v>
      </c>
      <c r="BS110" s="987" t="str">
        <f t="shared" si="119"/>
        <v>-</v>
      </c>
      <c r="BT110" s="988" t="str">
        <f t="shared" si="119"/>
        <v>-</v>
      </c>
      <c r="BU110" s="987" t="str">
        <f t="shared" si="119"/>
        <v>-</v>
      </c>
      <c r="BV110" s="987" t="str">
        <f>IF(AG110="","-",IFERROR((AG110/AF110-1)*(AF110/AF$13),"-"))</f>
        <v>-</v>
      </c>
      <c r="BW110" s="987" t="str">
        <f>IF(AH110="","-",IFERROR((AH110/AG110-1)*(AG110/AG$13),"-"))</f>
        <v>-</v>
      </c>
      <c r="BX110" s="987" t="str">
        <f>IF(AI110="","-",IFERROR((AI110/AH110-1)*(AH110/AH$13),"-"))</f>
        <v>-</v>
      </c>
      <c r="BY110" s="989" t="str">
        <f>IF(AJ110="","-",IFERROR((AJ110/AI110-1)*(AI110/AI$13),"-"))</f>
        <v>-</v>
      </c>
      <c r="BZ110" s="951"/>
      <c r="CA110" s="984" t="str">
        <f t="shared" si="35"/>
        <v>Rev</v>
      </c>
      <c r="CB110" s="985" t="str">
        <f t="shared" si="36"/>
        <v>Water</v>
      </c>
      <c r="CC110" s="985" t="str">
        <f t="shared" si="37"/>
        <v>Price cap - Fixed</v>
      </c>
      <c r="CD110" s="990">
        <f t="shared" si="106"/>
        <v>-5.5344744574361449E-2</v>
      </c>
      <c r="CE110" s="987">
        <f t="shared" si="60"/>
        <v>-2.4327458830318838E-2</v>
      </c>
      <c r="CF110" s="987">
        <f t="shared" si="60"/>
        <v>-1.1437752671881518E-2</v>
      </c>
      <c r="CG110" s="988">
        <f t="shared" si="60"/>
        <v>-4.0061943583517001E-3</v>
      </c>
      <c r="CH110" s="987">
        <f t="shared" si="107"/>
        <v>-1</v>
      </c>
      <c r="CI110" s="987">
        <f t="shared" si="62"/>
        <v>-1</v>
      </c>
      <c r="CJ110" s="987">
        <f t="shared" si="62"/>
        <v>-1</v>
      </c>
      <c r="CK110" s="989">
        <f t="shared" si="62"/>
        <v>-1</v>
      </c>
    </row>
    <row r="111" spans="4:89">
      <c r="D111" s="63">
        <f>D108+1</f>
        <v>15</v>
      </c>
      <c r="E111" s="550" t="s">
        <v>857</v>
      </c>
      <c r="F111" s="595" t="s">
        <v>401</v>
      </c>
      <c r="G111" s="595" t="s">
        <v>888</v>
      </c>
      <c r="H111" s="595" t="s">
        <v>878</v>
      </c>
      <c r="I111" s="589" t="s">
        <v>939</v>
      </c>
      <c r="J111" s="589" t="s">
        <v>879</v>
      </c>
      <c r="K111" s="551"/>
      <c r="L111" s="552"/>
      <c r="M111" s="552"/>
      <c r="N111" s="551"/>
      <c r="O111" s="552"/>
      <c r="P111" s="552"/>
      <c r="Q111" s="552"/>
      <c r="R111" s="1035"/>
      <c r="S111" s="1138"/>
      <c r="T111" s="591"/>
      <c r="U111" s="1035"/>
      <c r="V111" s="591"/>
      <c r="W111" s="591"/>
      <c r="X111" s="591"/>
      <c r="Y111" s="591">
        <v>420.14730000000003</v>
      </c>
      <c r="Z111" s="591">
        <v>431.19</v>
      </c>
      <c r="AA111" s="1138">
        <v>0</v>
      </c>
      <c r="AB111" s="591">
        <v>0</v>
      </c>
      <c r="AC111" s="591">
        <v>0</v>
      </c>
      <c r="AD111" s="591">
        <v>0</v>
      </c>
      <c r="AE111" s="1035">
        <v>0</v>
      </c>
      <c r="AF111" s="591">
        <v>0</v>
      </c>
      <c r="AG111" s="591">
        <v>0</v>
      </c>
      <c r="AH111" s="591">
        <v>0</v>
      </c>
      <c r="AI111" s="591">
        <v>0</v>
      </c>
      <c r="AJ111" s="592">
        <v>0</v>
      </c>
      <c r="AK111" s="548"/>
      <c r="AM111" s="974"/>
      <c r="AO111" s="975" t="str">
        <f t="shared" si="38"/>
        <v>Price</v>
      </c>
      <c r="AP111" s="976" t="str">
        <f t="shared" si="38"/>
        <v>Water</v>
      </c>
      <c r="AQ111" s="977" t="str">
        <f t="shared" si="39"/>
        <v>Price cap - Fixed</v>
      </c>
      <c r="AR111" s="1341" t="str">
        <f t="shared" si="40"/>
        <v>-</v>
      </c>
      <c r="AS111" s="978" t="str">
        <f t="shared" si="41"/>
        <v>-</v>
      </c>
      <c r="AT111" s="979" t="str">
        <f t="shared" si="42"/>
        <v>-</v>
      </c>
      <c r="AU111" s="979" t="str">
        <f t="shared" si="43"/>
        <v>-</v>
      </c>
      <c r="AV111" s="1352">
        <f t="shared" si="44"/>
        <v>2.6282925059853968E-2</v>
      </c>
      <c r="AW111" s="1345">
        <f t="shared" si="45"/>
        <v>-1</v>
      </c>
      <c r="AX111" s="979" t="str">
        <f t="shared" si="46"/>
        <v>-</v>
      </c>
      <c r="AY111" s="979" t="str">
        <f t="shared" si="47"/>
        <v>-</v>
      </c>
      <c r="AZ111" s="979" t="str">
        <f t="shared" si="48"/>
        <v>-</v>
      </c>
      <c r="BA111" s="980" t="str">
        <f t="shared" si="49"/>
        <v>-</v>
      </c>
      <c r="BB111" s="1345" t="str">
        <f t="shared" si="50"/>
        <v>-</v>
      </c>
      <c r="BC111" s="979" t="str">
        <f t="shared" si="51"/>
        <v>-</v>
      </c>
      <c r="BD111" s="979" t="str">
        <f t="shared" si="52"/>
        <v>-</v>
      </c>
      <c r="BE111" s="979" t="str">
        <f t="shared" si="53"/>
        <v>-</v>
      </c>
      <c r="BF111" s="981" t="str">
        <f t="shared" si="54"/>
        <v>-</v>
      </c>
      <c r="BG111" s="951"/>
      <c r="BH111" s="975" t="str">
        <f t="shared" si="55"/>
        <v>Price</v>
      </c>
      <c r="BI111" s="976" t="str">
        <f t="shared" si="56"/>
        <v>Water</v>
      </c>
      <c r="BJ111" s="977" t="str">
        <f t="shared" si="57"/>
        <v>Price cap - Fixed</v>
      </c>
      <c r="BK111" s="978" t="str">
        <f t="shared" ref="BK111:BU111" si="120">IF(V111="","-",IFERROR((V111/U111-1)*(U113/U$13),"-"))</f>
        <v>-</v>
      </c>
      <c r="BL111" s="978" t="str">
        <f t="shared" si="120"/>
        <v>-</v>
      </c>
      <c r="BM111" s="979" t="str">
        <f t="shared" si="120"/>
        <v>-</v>
      </c>
      <c r="BN111" s="979" t="str">
        <f t="shared" si="120"/>
        <v>-</v>
      </c>
      <c r="BO111" s="1352">
        <f t="shared" si="120"/>
        <v>1.9511434504565632E-5</v>
      </c>
      <c r="BP111" s="1345">
        <f t="shared" si="120"/>
        <v>-7.6219965465334322E-4</v>
      </c>
      <c r="BQ111" s="979" t="str">
        <f t="shared" si="120"/>
        <v>-</v>
      </c>
      <c r="BR111" s="979" t="str">
        <f t="shared" si="120"/>
        <v>-</v>
      </c>
      <c r="BS111" s="979" t="str">
        <f t="shared" si="120"/>
        <v>-</v>
      </c>
      <c r="BT111" s="980" t="str">
        <f t="shared" si="120"/>
        <v>-</v>
      </c>
      <c r="BU111" s="979" t="str">
        <f t="shared" si="120"/>
        <v>-</v>
      </c>
      <c r="BV111" s="979" t="str">
        <f>IF(AG111="","-",IFERROR((AG111/AF111-1)*(AF113/AF$13),"-"))</f>
        <v>-</v>
      </c>
      <c r="BW111" s="979" t="str">
        <f>IF(AH111="","-",IFERROR((AH111/AG111-1)*(AG113/AG$13),"-"))</f>
        <v>-</v>
      </c>
      <c r="BX111" s="979" t="str">
        <f>IF(AI111="","-",IFERROR((AI111/AH111-1)*(AH113/AH$13),"-"))</f>
        <v>-</v>
      </c>
      <c r="BY111" s="981" t="str">
        <f>IF(AJ111="","-",IFERROR((AJ111/AI111-1)*(AI113/AI$13),"-"))</f>
        <v>-</v>
      </c>
      <c r="BZ111" s="951"/>
      <c r="CA111" s="975" t="str">
        <f t="shared" si="35"/>
        <v>Price</v>
      </c>
      <c r="CB111" s="976" t="str">
        <f t="shared" si="36"/>
        <v>Water</v>
      </c>
      <c r="CC111" s="982" t="str">
        <f t="shared" si="37"/>
        <v>Price cap - Fixed</v>
      </c>
      <c r="CD111" s="983" t="str">
        <f t="shared" si="106"/>
        <v>-</v>
      </c>
      <c r="CE111" s="979" t="str">
        <f t="shared" si="60"/>
        <v>-</v>
      </c>
      <c r="CF111" s="979" t="str">
        <f t="shared" si="60"/>
        <v>-</v>
      </c>
      <c r="CG111" s="980" t="str">
        <f t="shared" si="60"/>
        <v>-</v>
      </c>
      <c r="CH111" s="979">
        <f t="shared" si="107"/>
        <v>-1</v>
      </c>
      <c r="CI111" s="979">
        <f t="shared" si="62"/>
        <v>-1</v>
      </c>
      <c r="CJ111" s="979">
        <f t="shared" si="62"/>
        <v>-1</v>
      </c>
      <c r="CK111" s="981">
        <f t="shared" si="62"/>
        <v>-1</v>
      </c>
    </row>
    <row r="112" spans="4:89">
      <c r="E112" s="567" t="s">
        <v>880</v>
      </c>
      <c r="F112" s="554" t="str">
        <f>+F111</f>
        <v>Water</v>
      </c>
      <c r="G112" s="555" t="str">
        <f>+G111</f>
        <v>GW</v>
      </c>
      <c r="H112" s="555" t="str">
        <f>+H111</f>
        <v>Greater Yarra System - Thomson River</v>
      </c>
      <c r="I112" s="556" t="str">
        <f>+I111</f>
        <v>Price cap - Fixed</v>
      </c>
      <c r="J112" s="590" t="s">
        <v>881</v>
      </c>
      <c r="K112" s="557"/>
      <c r="L112" s="558"/>
      <c r="M112" s="558"/>
      <c r="N112" s="557"/>
      <c r="O112" s="558"/>
      <c r="P112" s="558"/>
      <c r="Q112" s="558"/>
      <c r="R112" s="1036"/>
      <c r="S112" s="1139"/>
      <c r="T112" s="593"/>
      <c r="U112" s="1036"/>
      <c r="V112" s="593"/>
      <c r="W112" s="593"/>
      <c r="X112" s="593"/>
      <c r="Y112" s="593">
        <v>3330</v>
      </c>
      <c r="Z112" s="593">
        <v>3330</v>
      </c>
      <c r="AA112" s="1139">
        <v>3330</v>
      </c>
      <c r="AB112" s="593">
        <v>3330</v>
      </c>
      <c r="AC112" s="593">
        <v>3330</v>
      </c>
      <c r="AD112" s="593">
        <v>3330</v>
      </c>
      <c r="AE112" s="1036">
        <v>3330</v>
      </c>
      <c r="AF112" s="593">
        <v>3330</v>
      </c>
      <c r="AG112" s="593">
        <v>3330</v>
      </c>
      <c r="AH112" s="593">
        <v>3330</v>
      </c>
      <c r="AI112" s="593">
        <v>3330</v>
      </c>
      <c r="AJ112" s="594">
        <v>3330</v>
      </c>
      <c r="AK112" s="548"/>
      <c r="AO112" s="961" t="str">
        <f t="shared" si="38"/>
        <v>Qty</v>
      </c>
      <c r="AP112" s="962" t="str">
        <f t="shared" si="38"/>
        <v>Water</v>
      </c>
      <c r="AQ112" s="963" t="str">
        <f t="shared" si="39"/>
        <v>Price cap - Fixed</v>
      </c>
      <c r="AR112" s="967" t="str">
        <f t="shared" si="40"/>
        <v>-</v>
      </c>
      <c r="AS112" s="964" t="str">
        <f t="shared" si="41"/>
        <v>-</v>
      </c>
      <c r="AT112" s="964" t="str">
        <f t="shared" si="42"/>
        <v>-</v>
      </c>
      <c r="AU112" s="964" t="str">
        <f t="shared" si="43"/>
        <v>-</v>
      </c>
      <c r="AV112" s="1350">
        <f t="shared" si="44"/>
        <v>0</v>
      </c>
      <c r="AW112" s="1343">
        <f t="shared" si="45"/>
        <v>0</v>
      </c>
      <c r="AX112" s="964">
        <f t="shared" si="46"/>
        <v>0</v>
      </c>
      <c r="AY112" s="964">
        <f t="shared" si="47"/>
        <v>0</v>
      </c>
      <c r="AZ112" s="964">
        <f t="shared" si="48"/>
        <v>0</v>
      </c>
      <c r="BA112" s="965">
        <f t="shared" si="49"/>
        <v>0</v>
      </c>
      <c r="BB112" s="1343">
        <f t="shared" si="50"/>
        <v>0</v>
      </c>
      <c r="BC112" s="964">
        <f t="shared" si="51"/>
        <v>0</v>
      </c>
      <c r="BD112" s="964">
        <f t="shared" si="52"/>
        <v>0</v>
      </c>
      <c r="BE112" s="964">
        <f t="shared" si="53"/>
        <v>0</v>
      </c>
      <c r="BF112" s="966">
        <f t="shared" si="54"/>
        <v>0</v>
      </c>
      <c r="BG112" s="951"/>
      <c r="BH112" s="961" t="str">
        <f t="shared" si="55"/>
        <v>Qty</v>
      </c>
      <c r="BI112" s="962" t="str">
        <f t="shared" si="56"/>
        <v>Water</v>
      </c>
      <c r="BJ112" s="963" t="str">
        <f t="shared" si="57"/>
        <v>Price cap - Fixed</v>
      </c>
      <c r="BK112" s="964" t="str">
        <f t="shared" ref="BK112:BU112" si="121">IF(V112="","-",IFERROR((V112/U112-1)*(U113/U$13),"-"))</f>
        <v>-</v>
      </c>
      <c r="BL112" s="964" t="str">
        <f t="shared" si="121"/>
        <v>-</v>
      </c>
      <c r="BM112" s="964" t="str">
        <f t="shared" si="121"/>
        <v>-</v>
      </c>
      <c r="BN112" s="964" t="str">
        <f t="shared" si="121"/>
        <v>-</v>
      </c>
      <c r="BO112" s="1350">
        <f t="shared" si="121"/>
        <v>0</v>
      </c>
      <c r="BP112" s="1343">
        <f t="shared" si="121"/>
        <v>0</v>
      </c>
      <c r="BQ112" s="964">
        <f t="shared" si="121"/>
        <v>0</v>
      </c>
      <c r="BR112" s="964">
        <f t="shared" si="121"/>
        <v>0</v>
      </c>
      <c r="BS112" s="964">
        <f t="shared" si="121"/>
        <v>0</v>
      </c>
      <c r="BT112" s="965">
        <f t="shared" si="121"/>
        <v>0</v>
      </c>
      <c r="BU112" s="964">
        <f t="shared" si="121"/>
        <v>0</v>
      </c>
      <c r="BV112" s="964">
        <f>IF(AG112="","-",IFERROR((AG112/AF112-1)*(AF113/AF$13),"-"))</f>
        <v>0</v>
      </c>
      <c r="BW112" s="964">
        <f>IF(AH112="","-",IFERROR((AH112/AG112-1)*(AG113/AG$13),"-"))</f>
        <v>0</v>
      </c>
      <c r="BX112" s="964">
        <f>IF(AI112="","-",IFERROR((AI112/AH112-1)*(AH113/AH$13),"-"))</f>
        <v>0</v>
      </c>
      <c r="BY112" s="966">
        <f>IF(AJ112="","-",IFERROR((AJ112/AI112-1)*(AI113/AI$13),"-"))</f>
        <v>0</v>
      </c>
      <c r="BZ112" s="951"/>
      <c r="CA112" s="961" t="str">
        <f t="shared" si="35"/>
        <v>Qty</v>
      </c>
      <c r="CB112" s="962" t="str">
        <f t="shared" si="36"/>
        <v>Water</v>
      </c>
      <c r="CC112" s="962" t="str">
        <f t="shared" si="37"/>
        <v>Price cap - Fixed</v>
      </c>
      <c r="CD112" s="967" t="str">
        <f t="shared" si="106"/>
        <v>-</v>
      </c>
      <c r="CE112" s="964" t="str">
        <f t="shared" si="60"/>
        <v>-</v>
      </c>
      <c r="CF112" s="964" t="str">
        <f t="shared" si="60"/>
        <v>-</v>
      </c>
      <c r="CG112" s="965" t="str">
        <f t="shared" si="60"/>
        <v>-</v>
      </c>
      <c r="CH112" s="964">
        <f t="shared" si="107"/>
        <v>0</v>
      </c>
      <c r="CI112" s="964">
        <f t="shared" si="62"/>
        <v>0</v>
      </c>
      <c r="CJ112" s="964">
        <f t="shared" si="62"/>
        <v>0</v>
      </c>
      <c r="CK112" s="966">
        <f t="shared" si="62"/>
        <v>0</v>
      </c>
    </row>
    <row r="113" spans="4:89" ht="12.75" thickBot="1">
      <c r="E113" s="568" t="s">
        <v>882</v>
      </c>
      <c r="F113" s="560" t="str">
        <f>+F111</f>
        <v>Water</v>
      </c>
      <c r="G113" s="561" t="str">
        <f>+G111</f>
        <v>GW</v>
      </c>
      <c r="H113" s="561" t="str">
        <f>+H111</f>
        <v>Greater Yarra System - Thomson River</v>
      </c>
      <c r="I113" s="562" t="str">
        <f>+I111</f>
        <v>Price cap - Fixed</v>
      </c>
      <c r="J113" s="563" t="s">
        <v>883</v>
      </c>
      <c r="K113" s="564">
        <f t="shared" ref="K113:AJ113" si="122">K111*K112/10^6</f>
        <v>0</v>
      </c>
      <c r="L113" s="565">
        <f t="shared" si="122"/>
        <v>0</v>
      </c>
      <c r="M113" s="565">
        <f t="shared" si="122"/>
        <v>0</v>
      </c>
      <c r="N113" s="564">
        <f t="shared" si="122"/>
        <v>0</v>
      </c>
      <c r="O113" s="565">
        <f t="shared" si="122"/>
        <v>0</v>
      </c>
      <c r="P113" s="565">
        <f t="shared" si="122"/>
        <v>0</v>
      </c>
      <c r="Q113" s="565">
        <f t="shared" si="122"/>
        <v>0</v>
      </c>
      <c r="R113" s="566">
        <f t="shared" si="122"/>
        <v>0</v>
      </c>
      <c r="S113" s="564">
        <f t="shared" si="122"/>
        <v>0</v>
      </c>
      <c r="T113" s="565">
        <f t="shared" si="122"/>
        <v>0</v>
      </c>
      <c r="U113" s="566">
        <f t="shared" si="122"/>
        <v>0</v>
      </c>
      <c r="V113" s="565">
        <f t="shared" si="122"/>
        <v>0</v>
      </c>
      <c r="W113" s="565">
        <f t="shared" si="122"/>
        <v>0</v>
      </c>
      <c r="X113" s="565">
        <f t="shared" si="122"/>
        <v>0</v>
      </c>
      <c r="Y113" s="565">
        <f t="shared" si="122"/>
        <v>1.3990905090000001</v>
      </c>
      <c r="Z113" s="565">
        <f t="shared" si="122"/>
        <v>1.4358626999999999</v>
      </c>
      <c r="AA113" s="564">
        <f t="shared" si="122"/>
        <v>0</v>
      </c>
      <c r="AB113" s="565">
        <f t="shared" si="122"/>
        <v>0</v>
      </c>
      <c r="AC113" s="565">
        <f t="shared" si="122"/>
        <v>0</v>
      </c>
      <c r="AD113" s="565">
        <f t="shared" si="122"/>
        <v>0</v>
      </c>
      <c r="AE113" s="566">
        <f t="shared" si="122"/>
        <v>0</v>
      </c>
      <c r="AF113" s="565">
        <f t="shared" si="122"/>
        <v>0</v>
      </c>
      <c r="AG113" s="565">
        <f>AG111*AG112/10^6</f>
        <v>0</v>
      </c>
      <c r="AH113" s="565">
        <f>AH111*AH112/10^6</f>
        <v>0</v>
      </c>
      <c r="AI113" s="565">
        <f>AI111*AI112/10^6</f>
        <v>0</v>
      </c>
      <c r="AJ113" s="566">
        <f t="shared" si="122"/>
        <v>0</v>
      </c>
      <c r="AK113" s="548"/>
      <c r="AO113" s="984" t="str">
        <f t="shared" si="38"/>
        <v>Rev</v>
      </c>
      <c r="AP113" s="985" t="str">
        <f t="shared" si="38"/>
        <v>Water</v>
      </c>
      <c r="AQ113" s="986" t="str">
        <f t="shared" si="39"/>
        <v>Price cap - Fixed</v>
      </c>
      <c r="AR113" s="990" t="str">
        <f t="shared" si="40"/>
        <v>-</v>
      </c>
      <c r="AS113" s="987" t="str">
        <f t="shared" si="41"/>
        <v>-</v>
      </c>
      <c r="AT113" s="987" t="str">
        <f t="shared" si="42"/>
        <v>-</v>
      </c>
      <c r="AU113" s="987" t="str">
        <f t="shared" si="43"/>
        <v>-</v>
      </c>
      <c r="AV113" s="1353">
        <f t="shared" si="44"/>
        <v>2.6282925059853968E-2</v>
      </c>
      <c r="AW113" s="1346">
        <f t="shared" si="45"/>
        <v>-1</v>
      </c>
      <c r="AX113" s="987" t="str">
        <f t="shared" si="46"/>
        <v>-</v>
      </c>
      <c r="AY113" s="987" t="str">
        <f t="shared" si="47"/>
        <v>-</v>
      </c>
      <c r="AZ113" s="987" t="str">
        <f t="shared" si="48"/>
        <v>-</v>
      </c>
      <c r="BA113" s="988" t="str">
        <f t="shared" si="49"/>
        <v>-</v>
      </c>
      <c r="BB113" s="1346" t="str">
        <f t="shared" si="50"/>
        <v>-</v>
      </c>
      <c r="BC113" s="987" t="str">
        <f t="shared" si="51"/>
        <v>-</v>
      </c>
      <c r="BD113" s="987" t="str">
        <f t="shared" si="52"/>
        <v>-</v>
      </c>
      <c r="BE113" s="987" t="str">
        <f t="shared" si="53"/>
        <v>-</v>
      </c>
      <c r="BF113" s="989" t="str">
        <f t="shared" si="54"/>
        <v>-</v>
      </c>
      <c r="BG113" s="951"/>
      <c r="BH113" s="984" t="str">
        <f t="shared" si="55"/>
        <v>Rev</v>
      </c>
      <c r="BI113" s="985" t="str">
        <f t="shared" si="56"/>
        <v>Water</v>
      </c>
      <c r="BJ113" s="986" t="str">
        <f t="shared" si="57"/>
        <v>Price cap - Fixed</v>
      </c>
      <c r="BK113" s="987" t="str">
        <f t="shared" ref="BK113:BU113" si="123">IF(V113="","-",IFERROR((V113/U113-1)*(U113/U$13),"-"))</f>
        <v>-</v>
      </c>
      <c r="BL113" s="987" t="str">
        <f t="shared" si="123"/>
        <v>-</v>
      </c>
      <c r="BM113" s="987" t="str">
        <f t="shared" si="123"/>
        <v>-</v>
      </c>
      <c r="BN113" s="987" t="str">
        <f t="shared" si="123"/>
        <v>-</v>
      </c>
      <c r="BO113" s="1353">
        <f t="shared" si="123"/>
        <v>1.9511434504565632E-5</v>
      </c>
      <c r="BP113" s="1346">
        <f t="shared" si="123"/>
        <v>-7.6219965465334322E-4</v>
      </c>
      <c r="BQ113" s="987" t="str">
        <f t="shared" si="123"/>
        <v>-</v>
      </c>
      <c r="BR113" s="987" t="str">
        <f t="shared" si="123"/>
        <v>-</v>
      </c>
      <c r="BS113" s="987" t="str">
        <f t="shared" si="123"/>
        <v>-</v>
      </c>
      <c r="BT113" s="988" t="str">
        <f t="shared" si="123"/>
        <v>-</v>
      </c>
      <c r="BU113" s="987" t="str">
        <f t="shared" si="123"/>
        <v>-</v>
      </c>
      <c r="BV113" s="987" t="str">
        <f>IF(AG113="","-",IFERROR((AG113/AF113-1)*(AF113/AF$13),"-"))</f>
        <v>-</v>
      </c>
      <c r="BW113" s="987" t="str">
        <f>IF(AH113="","-",IFERROR((AH113/AG113-1)*(AG113/AG$13),"-"))</f>
        <v>-</v>
      </c>
      <c r="BX113" s="987" t="str">
        <f>IF(AI113="","-",IFERROR((AI113/AH113-1)*(AH113/AH$13),"-"))</f>
        <v>-</v>
      </c>
      <c r="BY113" s="989" t="str">
        <f>IF(AJ113="","-",IFERROR((AJ113/AI113-1)*(AI113/AI$13),"-"))</f>
        <v>-</v>
      </c>
      <c r="BZ113" s="951"/>
      <c r="CA113" s="984" t="str">
        <f t="shared" si="35"/>
        <v>Rev</v>
      </c>
      <c r="CB113" s="985" t="str">
        <f t="shared" si="36"/>
        <v>Water</v>
      </c>
      <c r="CC113" s="985" t="str">
        <f t="shared" si="37"/>
        <v>Price cap - Fixed</v>
      </c>
      <c r="CD113" s="990" t="str">
        <f t="shared" si="106"/>
        <v>-</v>
      </c>
      <c r="CE113" s="987" t="str">
        <f t="shared" si="60"/>
        <v>-</v>
      </c>
      <c r="CF113" s="987" t="str">
        <f t="shared" si="60"/>
        <v>-</v>
      </c>
      <c r="CG113" s="988" t="str">
        <f t="shared" si="60"/>
        <v>-</v>
      </c>
      <c r="CH113" s="987">
        <f t="shared" si="107"/>
        <v>-1</v>
      </c>
      <c r="CI113" s="987">
        <f t="shared" si="62"/>
        <v>-1</v>
      </c>
      <c r="CJ113" s="987">
        <f t="shared" si="62"/>
        <v>-1</v>
      </c>
      <c r="CK113" s="989">
        <f t="shared" si="62"/>
        <v>-1</v>
      </c>
    </row>
    <row r="114" spans="4:89">
      <c r="D114" s="63">
        <f>D111+1</f>
        <v>16</v>
      </c>
      <c r="E114" s="550" t="s">
        <v>857</v>
      </c>
      <c r="F114" s="595" t="s">
        <v>401</v>
      </c>
      <c r="G114" s="595" t="s">
        <v>877</v>
      </c>
      <c r="H114" s="595" t="s">
        <v>884</v>
      </c>
      <c r="I114" s="589" t="s">
        <v>939</v>
      </c>
      <c r="J114" s="589" t="s">
        <v>879</v>
      </c>
      <c r="K114" s="551"/>
      <c r="L114" s="552"/>
      <c r="M114" s="552"/>
      <c r="N114" s="551"/>
      <c r="O114" s="552"/>
      <c r="P114" s="552"/>
      <c r="Q114" s="552"/>
      <c r="R114" s="1035"/>
      <c r="S114" s="1138"/>
      <c r="T114" s="591"/>
      <c r="U114" s="1035">
        <v>4181.5381538593492</v>
      </c>
      <c r="V114" s="591">
        <v>4269.234996437659</v>
      </c>
      <c r="W114" s="591">
        <v>4030.7612987893467</v>
      </c>
      <c r="X114" s="591">
        <v>3807.2833312217208</v>
      </c>
      <c r="Y114" s="591">
        <v>3718.1970000000001</v>
      </c>
      <c r="Z114" s="591">
        <v>3520.23</v>
      </c>
      <c r="AA114" s="1138">
        <v>0</v>
      </c>
      <c r="AB114" s="591">
        <v>0</v>
      </c>
      <c r="AC114" s="591">
        <v>0</v>
      </c>
      <c r="AD114" s="591">
        <v>0</v>
      </c>
      <c r="AE114" s="1035">
        <v>0</v>
      </c>
      <c r="AF114" s="591">
        <v>0</v>
      </c>
      <c r="AG114" s="591">
        <v>0</v>
      </c>
      <c r="AH114" s="591">
        <v>0</v>
      </c>
      <c r="AI114" s="591">
        <v>0</v>
      </c>
      <c r="AJ114" s="592">
        <v>0</v>
      </c>
      <c r="AK114" s="548"/>
      <c r="AM114" s="974"/>
      <c r="AO114" s="975" t="str">
        <f t="shared" si="38"/>
        <v>Price</v>
      </c>
      <c r="AP114" s="976" t="str">
        <f t="shared" si="38"/>
        <v>Water</v>
      </c>
      <c r="AQ114" s="977" t="str">
        <f t="shared" si="39"/>
        <v>Price cap - Fixed</v>
      </c>
      <c r="AR114" s="1341">
        <f t="shared" si="40"/>
        <v>2.0972388473215364E-2</v>
      </c>
      <c r="AS114" s="978">
        <f t="shared" si="41"/>
        <v>-5.5858648644850906E-2</v>
      </c>
      <c r="AT114" s="979">
        <f t="shared" si="42"/>
        <v>-5.544311632513399E-2</v>
      </c>
      <c r="AU114" s="979">
        <f t="shared" si="43"/>
        <v>-2.3398923450525966E-2</v>
      </c>
      <c r="AV114" s="1352">
        <f t="shared" si="44"/>
        <v>-5.3242741038196817E-2</v>
      </c>
      <c r="AW114" s="1345">
        <f t="shared" si="45"/>
        <v>-1</v>
      </c>
      <c r="AX114" s="979" t="str">
        <f t="shared" si="46"/>
        <v>-</v>
      </c>
      <c r="AY114" s="979" t="str">
        <f t="shared" si="47"/>
        <v>-</v>
      </c>
      <c r="AZ114" s="979" t="str">
        <f t="shared" si="48"/>
        <v>-</v>
      </c>
      <c r="BA114" s="980" t="str">
        <f t="shared" si="49"/>
        <v>-</v>
      </c>
      <c r="BB114" s="1345" t="str">
        <f t="shared" si="50"/>
        <v>-</v>
      </c>
      <c r="BC114" s="979" t="str">
        <f t="shared" si="51"/>
        <v>-</v>
      </c>
      <c r="BD114" s="979" t="str">
        <f t="shared" si="52"/>
        <v>-</v>
      </c>
      <c r="BE114" s="979" t="str">
        <f t="shared" si="53"/>
        <v>-</v>
      </c>
      <c r="BF114" s="981" t="str">
        <f t="shared" si="54"/>
        <v>-</v>
      </c>
      <c r="BG114" s="951"/>
      <c r="BH114" s="975" t="str">
        <f t="shared" si="55"/>
        <v>Price</v>
      </c>
      <c r="BI114" s="976" t="str">
        <f t="shared" si="56"/>
        <v>Water</v>
      </c>
      <c r="BJ114" s="977" t="str">
        <f t="shared" si="57"/>
        <v>Price cap - Fixed</v>
      </c>
      <c r="BK114" s="978">
        <f t="shared" ref="BK114:BU114" si="124">IF(V114="","-",IFERROR((V114/U114-1)*(U116/U$13),"-"))</f>
        <v>1.8006520702560454E-3</v>
      </c>
      <c r="BL114" s="978">
        <f t="shared" si="124"/>
        <v>-5.0670296614496475E-3</v>
      </c>
      <c r="BM114" s="979">
        <f t="shared" si="124"/>
        <v>-4.7822098909127185E-3</v>
      </c>
      <c r="BN114" s="979">
        <f t="shared" si="124"/>
        <v>-1.8954243730764852E-3</v>
      </c>
      <c r="BO114" s="1352">
        <f t="shared" si="124"/>
        <v>-4.159133324963293E-3</v>
      </c>
      <c r="BP114" s="1345">
        <f t="shared" si="124"/>
        <v>-7.3989010777591693E-2</v>
      </c>
      <c r="BQ114" s="979" t="str">
        <f t="shared" si="124"/>
        <v>-</v>
      </c>
      <c r="BR114" s="979" t="str">
        <f t="shared" si="124"/>
        <v>-</v>
      </c>
      <c r="BS114" s="979" t="str">
        <f t="shared" si="124"/>
        <v>-</v>
      </c>
      <c r="BT114" s="980" t="str">
        <f t="shared" si="124"/>
        <v>-</v>
      </c>
      <c r="BU114" s="979" t="str">
        <f t="shared" si="124"/>
        <v>-</v>
      </c>
      <c r="BV114" s="979" t="str">
        <f>IF(AG114="","-",IFERROR((AG114/AF114-1)*(AF116/AF$13),"-"))</f>
        <v>-</v>
      </c>
      <c r="BW114" s="979" t="str">
        <f>IF(AH114="","-",IFERROR((AH114/AG114-1)*(AG116/AG$13),"-"))</f>
        <v>-</v>
      </c>
      <c r="BX114" s="979" t="str">
        <f>IF(AI114="","-",IFERROR((AI114/AH114-1)*(AH116/AH$13),"-"))</f>
        <v>-</v>
      </c>
      <c r="BY114" s="981" t="str">
        <f>IF(AJ114="","-",IFERROR((AJ114/AI114-1)*(AI116/AI$13),"-"))</f>
        <v>-</v>
      </c>
      <c r="BZ114" s="951"/>
      <c r="CA114" s="975" t="str">
        <f t="shared" si="35"/>
        <v>Price</v>
      </c>
      <c r="CB114" s="976" t="str">
        <f t="shared" si="36"/>
        <v>Water</v>
      </c>
      <c r="CC114" s="982" t="str">
        <f t="shared" si="37"/>
        <v>Price cap - Fixed</v>
      </c>
      <c r="CD114" s="983">
        <f t="shared" si="106"/>
        <v>-1.819439268794365E-2</v>
      </c>
      <c r="CE114" s="979">
        <f t="shared" si="60"/>
        <v>-3.0771049479386914E-2</v>
      </c>
      <c r="CF114" s="979">
        <f t="shared" si="60"/>
        <v>-2.8933251677174199E-2</v>
      </c>
      <c r="CG114" s="980">
        <f t="shared" si="60"/>
        <v>-3.3844578579166673E-2</v>
      </c>
      <c r="CH114" s="979">
        <f t="shared" si="107"/>
        <v>-1</v>
      </c>
      <c r="CI114" s="979">
        <f t="shared" si="62"/>
        <v>-1</v>
      </c>
      <c r="CJ114" s="979">
        <f t="shared" si="62"/>
        <v>-1</v>
      </c>
      <c r="CK114" s="981">
        <f t="shared" si="62"/>
        <v>-1</v>
      </c>
    </row>
    <row r="115" spans="4:89">
      <c r="E115" s="567" t="s">
        <v>880</v>
      </c>
      <c r="F115" s="554" t="str">
        <f>+F114</f>
        <v>Water</v>
      </c>
      <c r="G115" s="555" t="str">
        <f>+G114</f>
        <v>GWW</v>
      </c>
      <c r="H115" s="555" t="str">
        <f>+H114</f>
        <v>Victorian Desalination Plant</v>
      </c>
      <c r="I115" s="556" t="str">
        <f>+I114</f>
        <v>Price cap - Fixed</v>
      </c>
      <c r="J115" s="590" t="s">
        <v>881</v>
      </c>
      <c r="K115" s="557"/>
      <c r="L115" s="558"/>
      <c r="M115" s="558"/>
      <c r="N115" s="557"/>
      <c r="O115" s="558"/>
      <c r="P115" s="558"/>
      <c r="Q115" s="558"/>
      <c r="R115" s="1036"/>
      <c r="S115" s="1139"/>
      <c r="T115" s="593"/>
      <c r="U115" s="1036">
        <v>39595</v>
      </c>
      <c r="V115" s="593">
        <v>39595</v>
      </c>
      <c r="W115" s="593">
        <v>39595</v>
      </c>
      <c r="X115" s="593">
        <v>39595</v>
      </c>
      <c r="Y115" s="593">
        <v>39595</v>
      </c>
      <c r="Z115" s="593">
        <v>39595</v>
      </c>
      <c r="AA115" s="1139">
        <v>39595</v>
      </c>
      <c r="AB115" s="593">
        <v>39595</v>
      </c>
      <c r="AC115" s="593">
        <v>39595</v>
      </c>
      <c r="AD115" s="593">
        <v>39595</v>
      </c>
      <c r="AE115" s="1036">
        <v>39595</v>
      </c>
      <c r="AF115" s="593">
        <v>39595</v>
      </c>
      <c r="AG115" s="593">
        <v>39595</v>
      </c>
      <c r="AH115" s="593">
        <v>39595</v>
      </c>
      <c r="AI115" s="593">
        <v>39595</v>
      </c>
      <c r="AJ115" s="594">
        <v>39595</v>
      </c>
      <c r="AK115" s="548"/>
      <c r="AO115" s="961" t="str">
        <f t="shared" si="38"/>
        <v>Qty</v>
      </c>
      <c r="AP115" s="962" t="str">
        <f t="shared" si="38"/>
        <v>Water</v>
      </c>
      <c r="AQ115" s="963" t="str">
        <f t="shared" si="39"/>
        <v>Price cap - Fixed</v>
      </c>
      <c r="AR115" s="967">
        <f t="shared" si="40"/>
        <v>0</v>
      </c>
      <c r="AS115" s="964">
        <f t="shared" si="41"/>
        <v>0</v>
      </c>
      <c r="AT115" s="964">
        <f t="shared" si="42"/>
        <v>0</v>
      </c>
      <c r="AU115" s="964">
        <f t="shared" si="43"/>
        <v>0</v>
      </c>
      <c r="AV115" s="1350">
        <f t="shared" si="44"/>
        <v>0</v>
      </c>
      <c r="AW115" s="1343">
        <f t="shared" si="45"/>
        <v>0</v>
      </c>
      <c r="AX115" s="964">
        <f t="shared" si="46"/>
        <v>0</v>
      </c>
      <c r="AY115" s="964">
        <f t="shared" si="47"/>
        <v>0</v>
      </c>
      <c r="AZ115" s="964">
        <f t="shared" si="48"/>
        <v>0</v>
      </c>
      <c r="BA115" s="965">
        <f t="shared" si="49"/>
        <v>0</v>
      </c>
      <c r="BB115" s="1343">
        <f t="shared" si="50"/>
        <v>0</v>
      </c>
      <c r="BC115" s="964">
        <f t="shared" si="51"/>
        <v>0</v>
      </c>
      <c r="BD115" s="964">
        <f t="shared" si="52"/>
        <v>0</v>
      </c>
      <c r="BE115" s="964">
        <f t="shared" si="53"/>
        <v>0</v>
      </c>
      <c r="BF115" s="966">
        <f t="shared" si="54"/>
        <v>0</v>
      </c>
      <c r="BG115" s="951"/>
      <c r="BH115" s="961" t="str">
        <f t="shared" si="55"/>
        <v>Qty</v>
      </c>
      <c r="BI115" s="962" t="str">
        <f t="shared" si="56"/>
        <v>Water</v>
      </c>
      <c r="BJ115" s="963" t="str">
        <f t="shared" si="57"/>
        <v>Price cap - Fixed</v>
      </c>
      <c r="BK115" s="964">
        <f t="shared" ref="BK115:BU115" si="125">IF(V115="","-",IFERROR((V115/U115-1)*(U116/U$13),"-"))</f>
        <v>0</v>
      </c>
      <c r="BL115" s="964">
        <f t="shared" si="125"/>
        <v>0</v>
      </c>
      <c r="BM115" s="964">
        <f t="shared" si="125"/>
        <v>0</v>
      </c>
      <c r="BN115" s="964">
        <f t="shared" si="125"/>
        <v>0</v>
      </c>
      <c r="BO115" s="1350">
        <f t="shared" si="125"/>
        <v>0</v>
      </c>
      <c r="BP115" s="1343">
        <f t="shared" si="125"/>
        <v>0</v>
      </c>
      <c r="BQ115" s="964">
        <f t="shared" si="125"/>
        <v>0</v>
      </c>
      <c r="BR115" s="964">
        <f t="shared" si="125"/>
        <v>0</v>
      </c>
      <c r="BS115" s="964">
        <f t="shared" si="125"/>
        <v>0</v>
      </c>
      <c r="BT115" s="965">
        <f t="shared" si="125"/>
        <v>0</v>
      </c>
      <c r="BU115" s="964">
        <f t="shared" si="125"/>
        <v>0</v>
      </c>
      <c r="BV115" s="964">
        <f>IF(AG115="","-",IFERROR((AG115/AF115-1)*(AF116/AF$13),"-"))</f>
        <v>0</v>
      </c>
      <c r="BW115" s="964">
        <f>IF(AH115="","-",IFERROR((AH115/AG115-1)*(AG116/AG$13),"-"))</f>
        <v>0</v>
      </c>
      <c r="BX115" s="964">
        <f>IF(AI115="","-",IFERROR((AI115/AH115-1)*(AH116/AH$13),"-"))</f>
        <v>0</v>
      </c>
      <c r="BY115" s="966">
        <f>IF(AJ115="","-",IFERROR((AJ115/AI115-1)*(AI116/AI$13),"-"))</f>
        <v>0</v>
      </c>
      <c r="BZ115" s="951"/>
      <c r="CA115" s="961" t="str">
        <f t="shared" si="35"/>
        <v>Qty</v>
      </c>
      <c r="CB115" s="962" t="str">
        <f t="shared" si="36"/>
        <v>Water</v>
      </c>
      <c r="CC115" s="962" t="str">
        <f t="shared" si="37"/>
        <v>Price cap - Fixed</v>
      </c>
      <c r="CD115" s="967">
        <f t="shared" si="106"/>
        <v>0</v>
      </c>
      <c r="CE115" s="964">
        <f t="shared" si="60"/>
        <v>0</v>
      </c>
      <c r="CF115" s="964">
        <f t="shared" si="60"/>
        <v>0</v>
      </c>
      <c r="CG115" s="965">
        <f t="shared" si="60"/>
        <v>0</v>
      </c>
      <c r="CH115" s="964">
        <f t="shared" si="107"/>
        <v>0</v>
      </c>
      <c r="CI115" s="964">
        <f t="shared" si="62"/>
        <v>0</v>
      </c>
      <c r="CJ115" s="964">
        <f t="shared" si="62"/>
        <v>0</v>
      </c>
      <c r="CK115" s="966">
        <f t="shared" si="62"/>
        <v>0</v>
      </c>
    </row>
    <row r="116" spans="4:89" ht="12.75" thickBot="1">
      <c r="E116" s="568" t="s">
        <v>882</v>
      </c>
      <c r="F116" s="560" t="str">
        <f>+F114</f>
        <v>Water</v>
      </c>
      <c r="G116" s="561" t="str">
        <f>+G114</f>
        <v>GWW</v>
      </c>
      <c r="H116" s="561" t="str">
        <f>+H114</f>
        <v>Victorian Desalination Plant</v>
      </c>
      <c r="I116" s="562" t="str">
        <f>+I114</f>
        <v>Price cap - Fixed</v>
      </c>
      <c r="J116" s="563" t="s">
        <v>883</v>
      </c>
      <c r="K116" s="564">
        <f t="shared" ref="K116:AJ116" si="126">K114*K115/10^6</f>
        <v>0</v>
      </c>
      <c r="L116" s="565">
        <f t="shared" si="126"/>
        <v>0</v>
      </c>
      <c r="M116" s="565">
        <f t="shared" si="126"/>
        <v>0</v>
      </c>
      <c r="N116" s="564">
        <f t="shared" si="126"/>
        <v>0</v>
      </c>
      <c r="O116" s="565">
        <f t="shared" si="126"/>
        <v>0</v>
      </c>
      <c r="P116" s="565">
        <f t="shared" si="126"/>
        <v>0</v>
      </c>
      <c r="Q116" s="565">
        <f t="shared" si="126"/>
        <v>0</v>
      </c>
      <c r="R116" s="566">
        <f t="shared" si="126"/>
        <v>0</v>
      </c>
      <c r="S116" s="564">
        <f t="shared" si="126"/>
        <v>0</v>
      </c>
      <c r="T116" s="565">
        <f t="shared" si="126"/>
        <v>0</v>
      </c>
      <c r="U116" s="566">
        <f t="shared" si="126"/>
        <v>165.56800320206094</v>
      </c>
      <c r="V116" s="565">
        <f t="shared" si="126"/>
        <v>169.04035968394911</v>
      </c>
      <c r="W116" s="565">
        <f t="shared" si="126"/>
        <v>159.59799362556419</v>
      </c>
      <c r="X116" s="565">
        <f t="shared" si="126"/>
        <v>150.74938349972402</v>
      </c>
      <c r="Y116" s="565">
        <f t="shared" si="126"/>
        <v>147.22201021500001</v>
      </c>
      <c r="Z116" s="565">
        <f t="shared" si="126"/>
        <v>139.38350685</v>
      </c>
      <c r="AA116" s="564">
        <f t="shared" si="126"/>
        <v>0</v>
      </c>
      <c r="AB116" s="565">
        <f t="shared" si="126"/>
        <v>0</v>
      </c>
      <c r="AC116" s="565">
        <f t="shared" si="126"/>
        <v>0</v>
      </c>
      <c r="AD116" s="565">
        <f t="shared" si="126"/>
        <v>0</v>
      </c>
      <c r="AE116" s="566">
        <f t="shared" si="126"/>
        <v>0</v>
      </c>
      <c r="AF116" s="565">
        <f t="shared" si="126"/>
        <v>0</v>
      </c>
      <c r="AG116" s="565">
        <f>AG114*AG115/10^6</f>
        <v>0</v>
      </c>
      <c r="AH116" s="565">
        <f>AH114*AH115/10^6</f>
        <v>0</v>
      </c>
      <c r="AI116" s="565">
        <f>AI114*AI115/10^6</f>
        <v>0</v>
      </c>
      <c r="AJ116" s="566">
        <f t="shared" si="126"/>
        <v>0</v>
      </c>
      <c r="AK116" s="548"/>
      <c r="AO116" s="984" t="str">
        <f t="shared" si="38"/>
        <v>Rev</v>
      </c>
      <c r="AP116" s="985" t="str">
        <f t="shared" si="38"/>
        <v>Water</v>
      </c>
      <c r="AQ116" s="986" t="str">
        <f t="shared" si="39"/>
        <v>Price cap - Fixed</v>
      </c>
      <c r="AR116" s="990">
        <f t="shared" si="40"/>
        <v>2.0972388473215364E-2</v>
      </c>
      <c r="AS116" s="987">
        <f t="shared" si="41"/>
        <v>-5.5858648644850795E-2</v>
      </c>
      <c r="AT116" s="987">
        <f t="shared" si="42"/>
        <v>-5.5443116325134101E-2</v>
      </c>
      <c r="AU116" s="987">
        <f t="shared" si="43"/>
        <v>-2.3398923450525855E-2</v>
      </c>
      <c r="AV116" s="1353">
        <f t="shared" si="44"/>
        <v>-5.3242741038196817E-2</v>
      </c>
      <c r="AW116" s="1346">
        <f t="shared" si="45"/>
        <v>-1</v>
      </c>
      <c r="AX116" s="987" t="str">
        <f t="shared" si="46"/>
        <v>-</v>
      </c>
      <c r="AY116" s="987" t="str">
        <f t="shared" si="47"/>
        <v>-</v>
      </c>
      <c r="AZ116" s="987" t="str">
        <f t="shared" si="48"/>
        <v>-</v>
      </c>
      <c r="BA116" s="988" t="str">
        <f t="shared" si="49"/>
        <v>-</v>
      </c>
      <c r="BB116" s="1346" t="str">
        <f t="shared" si="50"/>
        <v>-</v>
      </c>
      <c r="BC116" s="987" t="str">
        <f t="shared" si="51"/>
        <v>-</v>
      </c>
      <c r="BD116" s="987" t="str">
        <f t="shared" si="52"/>
        <v>-</v>
      </c>
      <c r="BE116" s="987" t="str">
        <f t="shared" si="53"/>
        <v>-</v>
      </c>
      <c r="BF116" s="989" t="str">
        <f t="shared" si="54"/>
        <v>-</v>
      </c>
      <c r="BG116" s="951"/>
      <c r="BH116" s="984" t="str">
        <f t="shared" si="55"/>
        <v>Rev</v>
      </c>
      <c r="BI116" s="985" t="str">
        <f t="shared" si="56"/>
        <v>Water</v>
      </c>
      <c r="BJ116" s="986" t="str">
        <f t="shared" si="57"/>
        <v>Price cap - Fixed</v>
      </c>
      <c r="BK116" s="987">
        <f t="shared" ref="BK116:BU116" si="127">IF(V116="","-",IFERROR((V116/U116-1)*(U116/U$13),"-"))</f>
        <v>1.8006520702560454E-3</v>
      </c>
      <c r="BL116" s="987">
        <f t="shared" si="127"/>
        <v>-5.0670296614496371E-3</v>
      </c>
      <c r="BM116" s="987">
        <f t="shared" si="127"/>
        <v>-4.7822098909127281E-3</v>
      </c>
      <c r="BN116" s="987">
        <f t="shared" si="127"/>
        <v>-1.8954243730764761E-3</v>
      </c>
      <c r="BO116" s="1353">
        <f t="shared" si="127"/>
        <v>-4.159133324963293E-3</v>
      </c>
      <c r="BP116" s="1346">
        <f t="shared" si="127"/>
        <v>-7.3989010777591693E-2</v>
      </c>
      <c r="BQ116" s="987" t="str">
        <f t="shared" si="127"/>
        <v>-</v>
      </c>
      <c r="BR116" s="987" t="str">
        <f t="shared" si="127"/>
        <v>-</v>
      </c>
      <c r="BS116" s="987" t="str">
        <f t="shared" si="127"/>
        <v>-</v>
      </c>
      <c r="BT116" s="988" t="str">
        <f t="shared" si="127"/>
        <v>-</v>
      </c>
      <c r="BU116" s="987" t="str">
        <f t="shared" si="127"/>
        <v>-</v>
      </c>
      <c r="BV116" s="987" t="str">
        <f>IF(AG116="","-",IFERROR((AG116/AF116-1)*(AF116/AF$13),"-"))</f>
        <v>-</v>
      </c>
      <c r="BW116" s="987" t="str">
        <f>IF(AH116="","-",IFERROR((AH116/AG116-1)*(AG116/AG$13),"-"))</f>
        <v>-</v>
      </c>
      <c r="BX116" s="987" t="str">
        <f>IF(AI116="","-",IFERROR((AI116/AH116-1)*(AH116/AH$13),"-"))</f>
        <v>-</v>
      </c>
      <c r="BY116" s="989" t="str">
        <f>IF(AJ116="","-",IFERROR((AJ116/AI116-1)*(AI116/AI$13),"-"))</f>
        <v>-</v>
      </c>
      <c r="BZ116" s="951"/>
      <c r="CA116" s="984" t="str">
        <f t="shared" si="35"/>
        <v>Rev</v>
      </c>
      <c r="CB116" s="985" t="str">
        <f t="shared" si="36"/>
        <v>Water</v>
      </c>
      <c r="CC116" s="985" t="str">
        <f t="shared" si="37"/>
        <v>Price cap - Fixed</v>
      </c>
      <c r="CD116" s="990">
        <f t="shared" si="106"/>
        <v>-1.819439268794365E-2</v>
      </c>
      <c r="CE116" s="987">
        <f t="shared" si="60"/>
        <v>-3.0771049479387025E-2</v>
      </c>
      <c r="CF116" s="987">
        <f t="shared" si="60"/>
        <v>-2.8933251677174199E-2</v>
      </c>
      <c r="CG116" s="988">
        <f t="shared" si="60"/>
        <v>-3.3844578579166673E-2</v>
      </c>
      <c r="CH116" s="987">
        <f t="shared" si="107"/>
        <v>-1</v>
      </c>
      <c r="CI116" s="987">
        <f t="shared" si="62"/>
        <v>-1</v>
      </c>
      <c r="CJ116" s="987">
        <f t="shared" si="62"/>
        <v>-1</v>
      </c>
      <c r="CK116" s="989">
        <f t="shared" si="62"/>
        <v>-1</v>
      </c>
    </row>
    <row r="117" spans="4:89">
      <c r="D117" s="63">
        <f>D114+1</f>
        <v>17</v>
      </c>
      <c r="E117" s="550" t="s">
        <v>857</v>
      </c>
      <c r="F117" s="595" t="s">
        <v>401</v>
      </c>
      <c r="G117" s="595" t="s">
        <v>92</v>
      </c>
      <c r="H117" s="595" t="s">
        <v>884</v>
      </c>
      <c r="I117" s="589" t="s">
        <v>939</v>
      </c>
      <c r="J117" s="589" t="s">
        <v>879</v>
      </c>
      <c r="K117" s="551"/>
      <c r="L117" s="552"/>
      <c r="M117" s="552"/>
      <c r="N117" s="551"/>
      <c r="O117" s="552"/>
      <c r="P117" s="552"/>
      <c r="Q117" s="552"/>
      <c r="R117" s="1035"/>
      <c r="S117" s="1138"/>
      <c r="T117" s="591"/>
      <c r="U117" s="1035">
        <v>4181.5381538593492</v>
      </c>
      <c r="V117" s="591">
        <v>4269.234996437659</v>
      </c>
      <c r="W117" s="591">
        <v>4030.7612987893467</v>
      </c>
      <c r="X117" s="591">
        <v>3807.2833312217208</v>
      </c>
      <c r="Y117" s="591">
        <v>3718.1970000000001</v>
      </c>
      <c r="Z117" s="591">
        <v>3520.23</v>
      </c>
      <c r="AA117" s="1138">
        <v>0</v>
      </c>
      <c r="AB117" s="591">
        <v>0</v>
      </c>
      <c r="AC117" s="591">
        <v>0</v>
      </c>
      <c r="AD117" s="591">
        <v>0</v>
      </c>
      <c r="AE117" s="1035">
        <v>0</v>
      </c>
      <c r="AF117" s="591">
        <v>0</v>
      </c>
      <c r="AG117" s="591">
        <v>0</v>
      </c>
      <c r="AH117" s="591">
        <v>0</v>
      </c>
      <c r="AI117" s="591">
        <v>0</v>
      </c>
      <c r="AJ117" s="592">
        <v>0</v>
      </c>
      <c r="AK117" s="548"/>
      <c r="AM117" s="974"/>
      <c r="AO117" s="975" t="str">
        <f t="shared" si="38"/>
        <v>Price</v>
      </c>
      <c r="AP117" s="976" t="str">
        <f t="shared" si="38"/>
        <v>Water</v>
      </c>
      <c r="AQ117" s="977" t="str">
        <f t="shared" si="39"/>
        <v>Price cap - Fixed</v>
      </c>
      <c r="AR117" s="1341">
        <f t="shared" si="40"/>
        <v>2.0972388473215364E-2</v>
      </c>
      <c r="AS117" s="978">
        <f t="shared" si="41"/>
        <v>-5.5858648644850906E-2</v>
      </c>
      <c r="AT117" s="979">
        <f t="shared" si="42"/>
        <v>-5.544311632513399E-2</v>
      </c>
      <c r="AU117" s="979">
        <f t="shared" si="43"/>
        <v>-2.3398923450525966E-2</v>
      </c>
      <c r="AV117" s="1352">
        <f t="shared" si="44"/>
        <v>-5.3242741038196817E-2</v>
      </c>
      <c r="AW117" s="1345">
        <f t="shared" si="45"/>
        <v>-1</v>
      </c>
      <c r="AX117" s="979" t="str">
        <f t="shared" si="46"/>
        <v>-</v>
      </c>
      <c r="AY117" s="979" t="str">
        <f t="shared" si="47"/>
        <v>-</v>
      </c>
      <c r="AZ117" s="979" t="str">
        <f t="shared" si="48"/>
        <v>-</v>
      </c>
      <c r="BA117" s="980" t="str">
        <f t="shared" si="49"/>
        <v>-</v>
      </c>
      <c r="BB117" s="1345" t="str">
        <f t="shared" si="50"/>
        <v>-</v>
      </c>
      <c r="BC117" s="979" t="str">
        <f t="shared" si="51"/>
        <v>-</v>
      </c>
      <c r="BD117" s="979" t="str">
        <f t="shared" si="52"/>
        <v>-</v>
      </c>
      <c r="BE117" s="979" t="str">
        <f t="shared" si="53"/>
        <v>-</v>
      </c>
      <c r="BF117" s="981" t="str">
        <f t="shared" si="54"/>
        <v>-</v>
      </c>
      <c r="BG117" s="951"/>
      <c r="BH117" s="975" t="str">
        <f t="shared" si="55"/>
        <v>Price</v>
      </c>
      <c r="BI117" s="976" t="str">
        <f t="shared" si="56"/>
        <v>Water</v>
      </c>
      <c r="BJ117" s="977" t="str">
        <f t="shared" si="57"/>
        <v>Price cap - Fixed</v>
      </c>
      <c r="BK117" s="978">
        <f t="shared" ref="BK117:BU117" si="128">IF(V117="","-",IFERROR((V117/U117-1)*(U119/U$13),"-"))</f>
        <v>2.4309144024110786E-3</v>
      </c>
      <c r="BL117" s="978">
        <f t="shared" si="128"/>
        <v>-6.8405860215463932E-3</v>
      </c>
      <c r="BM117" s="979">
        <f t="shared" si="128"/>
        <v>-6.4560739363265177E-3</v>
      </c>
      <c r="BN117" s="979">
        <f t="shared" si="128"/>
        <v>-2.5588588063753114E-3</v>
      </c>
      <c r="BO117" s="1352">
        <f t="shared" si="128"/>
        <v>-5.6149087701120809E-3</v>
      </c>
      <c r="BP117" s="1345">
        <f t="shared" si="128"/>
        <v>-9.9886566033726115E-2</v>
      </c>
      <c r="BQ117" s="979" t="str">
        <f t="shared" si="128"/>
        <v>-</v>
      </c>
      <c r="BR117" s="979" t="str">
        <f t="shared" si="128"/>
        <v>-</v>
      </c>
      <c r="BS117" s="979" t="str">
        <f t="shared" si="128"/>
        <v>-</v>
      </c>
      <c r="BT117" s="980" t="str">
        <f t="shared" si="128"/>
        <v>-</v>
      </c>
      <c r="BU117" s="979" t="str">
        <f t="shared" si="128"/>
        <v>-</v>
      </c>
      <c r="BV117" s="979" t="str">
        <f>IF(AG117="","-",IFERROR((AG117/AF117-1)*(AF119/AF$13),"-"))</f>
        <v>-</v>
      </c>
      <c r="BW117" s="979" t="str">
        <f>IF(AH117="","-",IFERROR((AH117/AG117-1)*(AG119/AG$13),"-"))</f>
        <v>-</v>
      </c>
      <c r="BX117" s="979" t="str">
        <f>IF(AI117="","-",IFERROR((AI117/AH117-1)*(AH119/AH$13),"-"))</f>
        <v>-</v>
      </c>
      <c r="BY117" s="981" t="str">
        <f>IF(AJ117="","-",IFERROR((AJ117/AI117-1)*(AI119/AI$13),"-"))</f>
        <v>-</v>
      </c>
      <c r="BZ117" s="951"/>
      <c r="CA117" s="975" t="str">
        <f t="shared" si="35"/>
        <v>Price</v>
      </c>
      <c r="CB117" s="976" t="str">
        <f t="shared" si="36"/>
        <v>Water</v>
      </c>
      <c r="CC117" s="982" t="str">
        <f t="shared" si="37"/>
        <v>Price cap - Fixed</v>
      </c>
      <c r="CD117" s="983">
        <f t="shared" si="106"/>
        <v>-1.819439268794365E-2</v>
      </c>
      <c r="CE117" s="979">
        <f t="shared" si="60"/>
        <v>-3.0771049479386914E-2</v>
      </c>
      <c r="CF117" s="979">
        <f t="shared" si="60"/>
        <v>-2.8933251677174199E-2</v>
      </c>
      <c r="CG117" s="980">
        <f t="shared" si="60"/>
        <v>-3.3844578579166673E-2</v>
      </c>
      <c r="CH117" s="979">
        <f t="shared" si="107"/>
        <v>-1</v>
      </c>
      <c r="CI117" s="979">
        <f t="shared" si="62"/>
        <v>-1</v>
      </c>
      <c r="CJ117" s="979">
        <f t="shared" si="62"/>
        <v>-1</v>
      </c>
      <c r="CK117" s="981">
        <f t="shared" si="62"/>
        <v>-1</v>
      </c>
    </row>
    <row r="118" spans="4:89">
      <c r="E118" s="567" t="s">
        <v>880</v>
      </c>
      <c r="F118" s="554" t="str">
        <f>+F117</f>
        <v>Water</v>
      </c>
      <c r="G118" s="555" t="str">
        <f>+G117</f>
        <v>SEW</v>
      </c>
      <c r="H118" s="555" t="str">
        <f>+H117</f>
        <v>Victorian Desalination Plant</v>
      </c>
      <c r="I118" s="556" t="str">
        <f>+I117</f>
        <v>Price cap - Fixed</v>
      </c>
      <c r="J118" s="590" t="s">
        <v>881</v>
      </c>
      <c r="K118" s="557"/>
      <c r="L118" s="558"/>
      <c r="M118" s="558"/>
      <c r="N118" s="557"/>
      <c r="O118" s="558"/>
      <c r="P118" s="558"/>
      <c r="Q118" s="558"/>
      <c r="R118" s="1036"/>
      <c r="S118" s="1139"/>
      <c r="T118" s="593"/>
      <c r="U118" s="1036">
        <v>53454</v>
      </c>
      <c r="V118" s="593">
        <v>53454</v>
      </c>
      <c r="W118" s="593">
        <v>53454</v>
      </c>
      <c r="X118" s="593">
        <v>53454</v>
      </c>
      <c r="Y118" s="593">
        <v>53454</v>
      </c>
      <c r="Z118" s="593">
        <v>53454</v>
      </c>
      <c r="AA118" s="1139">
        <v>53454</v>
      </c>
      <c r="AB118" s="593">
        <v>53454</v>
      </c>
      <c r="AC118" s="593">
        <v>53454</v>
      </c>
      <c r="AD118" s="593">
        <v>53454</v>
      </c>
      <c r="AE118" s="1036">
        <v>53454</v>
      </c>
      <c r="AF118" s="593">
        <v>53454</v>
      </c>
      <c r="AG118" s="593">
        <v>53454</v>
      </c>
      <c r="AH118" s="593">
        <v>53454</v>
      </c>
      <c r="AI118" s="593">
        <v>53454</v>
      </c>
      <c r="AJ118" s="594">
        <v>53454</v>
      </c>
      <c r="AK118" s="548"/>
      <c r="AO118" s="961" t="str">
        <f t="shared" si="38"/>
        <v>Qty</v>
      </c>
      <c r="AP118" s="962" t="str">
        <f t="shared" si="38"/>
        <v>Water</v>
      </c>
      <c r="AQ118" s="963" t="str">
        <f t="shared" si="39"/>
        <v>Price cap - Fixed</v>
      </c>
      <c r="AR118" s="967">
        <f t="shared" si="40"/>
        <v>0</v>
      </c>
      <c r="AS118" s="964">
        <f t="shared" si="41"/>
        <v>0</v>
      </c>
      <c r="AT118" s="964">
        <f t="shared" si="42"/>
        <v>0</v>
      </c>
      <c r="AU118" s="964">
        <f t="shared" si="43"/>
        <v>0</v>
      </c>
      <c r="AV118" s="1350">
        <f t="shared" si="44"/>
        <v>0</v>
      </c>
      <c r="AW118" s="1343">
        <f t="shared" si="45"/>
        <v>0</v>
      </c>
      <c r="AX118" s="964">
        <f t="shared" si="46"/>
        <v>0</v>
      </c>
      <c r="AY118" s="964">
        <f t="shared" si="47"/>
        <v>0</v>
      </c>
      <c r="AZ118" s="964">
        <f t="shared" si="48"/>
        <v>0</v>
      </c>
      <c r="BA118" s="965">
        <f t="shared" si="49"/>
        <v>0</v>
      </c>
      <c r="BB118" s="1343">
        <f t="shared" si="50"/>
        <v>0</v>
      </c>
      <c r="BC118" s="964">
        <f t="shared" si="51"/>
        <v>0</v>
      </c>
      <c r="BD118" s="964">
        <f t="shared" si="52"/>
        <v>0</v>
      </c>
      <c r="BE118" s="964">
        <f t="shared" si="53"/>
        <v>0</v>
      </c>
      <c r="BF118" s="966">
        <f t="shared" si="54"/>
        <v>0</v>
      </c>
      <c r="BG118" s="951"/>
      <c r="BH118" s="961" t="str">
        <f t="shared" si="55"/>
        <v>Qty</v>
      </c>
      <c r="BI118" s="962" t="str">
        <f t="shared" si="56"/>
        <v>Water</v>
      </c>
      <c r="BJ118" s="963" t="str">
        <f t="shared" si="57"/>
        <v>Price cap - Fixed</v>
      </c>
      <c r="BK118" s="964">
        <f t="shared" ref="BK118:BU118" si="129">IF(V118="","-",IFERROR((V118/U118-1)*(U119/U$13),"-"))</f>
        <v>0</v>
      </c>
      <c r="BL118" s="964">
        <f t="shared" si="129"/>
        <v>0</v>
      </c>
      <c r="BM118" s="964">
        <f t="shared" si="129"/>
        <v>0</v>
      </c>
      <c r="BN118" s="964">
        <f t="shared" si="129"/>
        <v>0</v>
      </c>
      <c r="BO118" s="1350">
        <f t="shared" si="129"/>
        <v>0</v>
      </c>
      <c r="BP118" s="1343">
        <f t="shared" si="129"/>
        <v>0</v>
      </c>
      <c r="BQ118" s="964">
        <f t="shared" si="129"/>
        <v>0</v>
      </c>
      <c r="BR118" s="964">
        <f t="shared" si="129"/>
        <v>0</v>
      </c>
      <c r="BS118" s="964">
        <f t="shared" si="129"/>
        <v>0</v>
      </c>
      <c r="BT118" s="965">
        <f t="shared" si="129"/>
        <v>0</v>
      </c>
      <c r="BU118" s="964">
        <f t="shared" si="129"/>
        <v>0</v>
      </c>
      <c r="BV118" s="964">
        <f>IF(AG118="","-",IFERROR((AG118/AF118-1)*(AF119/AF$13),"-"))</f>
        <v>0</v>
      </c>
      <c r="BW118" s="964">
        <f>IF(AH118="","-",IFERROR((AH118/AG118-1)*(AG119/AG$13),"-"))</f>
        <v>0</v>
      </c>
      <c r="BX118" s="964">
        <f>IF(AI118="","-",IFERROR((AI118/AH118-1)*(AH119/AH$13),"-"))</f>
        <v>0</v>
      </c>
      <c r="BY118" s="966">
        <f>IF(AJ118="","-",IFERROR((AJ118/AI118-1)*(AI119/AI$13),"-"))</f>
        <v>0</v>
      </c>
      <c r="BZ118" s="951"/>
      <c r="CA118" s="961" t="str">
        <f t="shared" si="35"/>
        <v>Qty</v>
      </c>
      <c r="CB118" s="962" t="str">
        <f t="shared" si="36"/>
        <v>Water</v>
      </c>
      <c r="CC118" s="962" t="str">
        <f t="shared" si="37"/>
        <v>Price cap - Fixed</v>
      </c>
      <c r="CD118" s="967">
        <f t="shared" si="106"/>
        <v>0</v>
      </c>
      <c r="CE118" s="964">
        <f t="shared" si="60"/>
        <v>0</v>
      </c>
      <c r="CF118" s="964">
        <f t="shared" si="60"/>
        <v>0</v>
      </c>
      <c r="CG118" s="965">
        <f t="shared" si="60"/>
        <v>0</v>
      </c>
      <c r="CH118" s="964">
        <f t="shared" si="107"/>
        <v>0</v>
      </c>
      <c r="CI118" s="964">
        <f t="shared" si="62"/>
        <v>0</v>
      </c>
      <c r="CJ118" s="964">
        <f t="shared" si="62"/>
        <v>0</v>
      </c>
      <c r="CK118" s="966">
        <f t="shared" si="62"/>
        <v>0</v>
      </c>
    </row>
    <row r="119" spans="4:89" ht="12.75" thickBot="1">
      <c r="E119" s="568" t="s">
        <v>882</v>
      </c>
      <c r="F119" s="560" t="str">
        <f>+F117</f>
        <v>Water</v>
      </c>
      <c r="G119" s="561" t="str">
        <f>+G117</f>
        <v>SEW</v>
      </c>
      <c r="H119" s="561" t="str">
        <f>+H117</f>
        <v>Victorian Desalination Plant</v>
      </c>
      <c r="I119" s="562" t="str">
        <f>+I117</f>
        <v>Price cap - Fixed</v>
      </c>
      <c r="J119" s="563" t="s">
        <v>883</v>
      </c>
      <c r="K119" s="564">
        <f t="shared" ref="K119:AJ119" si="130">K117*K118/10^6</f>
        <v>0</v>
      </c>
      <c r="L119" s="565">
        <f t="shared" si="130"/>
        <v>0</v>
      </c>
      <c r="M119" s="565">
        <f t="shared" si="130"/>
        <v>0</v>
      </c>
      <c r="N119" s="564">
        <f t="shared" si="130"/>
        <v>0</v>
      </c>
      <c r="O119" s="565">
        <f t="shared" si="130"/>
        <v>0</v>
      </c>
      <c r="P119" s="565">
        <f t="shared" si="130"/>
        <v>0</v>
      </c>
      <c r="Q119" s="565">
        <f t="shared" si="130"/>
        <v>0</v>
      </c>
      <c r="R119" s="566">
        <f t="shared" si="130"/>
        <v>0</v>
      </c>
      <c r="S119" s="564">
        <f t="shared" si="130"/>
        <v>0</v>
      </c>
      <c r="T119" s="565">
        <f t="shared" si="130"/>
        <v>0</v>
      </c>
      <c r="U119" s="566">
        <f t="shared" si="130"/>
        <v>223.51994047639766</v>
      </c>
      <c r="V119" s="565">
        <f t="shared" si="130"/>
        <v>228.20768749957861</v>
      </c>
      <c r="W119" s="565">
        <f t="shared" si="130"/>
        <v>215.46031446548577</v>
      </c>
      <c r="X119" s="565">
        <f t="shared" si="130"/>
        <v>203.51452318712586</v>
      </c>
      <c r="Y119" s="565">
        <f t="shared" si="130"/>
        <v>198.75250243799999</v>
      </c>
      <c r="Z119" s="565">
        <f t="shared" si="130"/>
        <v>188.17037441999997</v>
      </c>
      <c r="AA119" s="564">
        <f t="shared" si="130"/>
        <v>0</v>
      </c>
      <c r="AB119" s="565">
        <f t="shared" si="130"/>
        <v>0</v>
      </c>
      <c r="AC119" s="565">
        <f t="shared" si="130"/>
        <v>0</v>
      </c>
      <c r="AD119" s="565">
        <f t="shared" si="130"/>
        <v>0</v>
      </c>
      <c r="AE119" s="566">
        <f t="shared" si="130"/>
        <v>0</v>
      </c>
      <c r="AF119" s="565">
        <f t="shared" si="130"/>
        <v>0</v>
      </c>
      <c r="AG119" s="565">
        <f>AG117*AG118/10^6</f>
        <v>0</v>
      </c>
      <c r="AH119" s="565">
        <f>AH117*AH118/10^6</f>
        <v>0</v>
      </c>
      <c r="AI119" s="565">
        <f>AI117*AI118/10^6</f>
        <v>0</v>
      </c>
      <c r="AJ119" s="566">
        <f t="shared" si="130"/>
        <v>0</v>
      </c>
      <c r="AK119" s="548"/>
      <c r="AO119" s="984" t="str">
        <f t="shared" si="38"/>
        <v>Rev</v>
      </c>
      <c r="AP119" s="985" t="str">
        <f t="shared" si="38"/>
        <v>Water</v>
      </c>
      <c r="AQ119" s="986" t="str">
        <f t="shared" si="39"/>
        <v>Price cap - Fixed</v>
      </c>
      <c r="AR119" s="990">
        <f t="shared" si="40"/>
        <v>2.0972388473215142E-2</v>
      </c>
      <c r="AS119" s="987">
        <f t="shared" si="41"/>
        <v>-5.5858648644850684E-2</v>
      </c>
      <c r="AT119" s="987">
        <f t="shared" si="42"/>
        <v>-5.5443116325134101E-2</v>
      </c>
      <c r="AU119" s="987">
        <f t="shared" si="43"/>
        <v>-2.3398923450526077E-2</v>
      </c>
      <c r="AV119" s="1353">
        <f t="shared" si="44"/>
        <v>-5.3242741038196817E-2</v>
      </c>
      <c r="AW119" s="1346">
        <f t="shared" si="45"/>
        <v>-1</v>
      </c>
      <c r="AX119" s="987" t="str">
        <f t="shared" si="46"/>
        <v>-</v>
      </c>
      <c r="AY119" s="987" t="str">
        <f t="shared" si="47"/>
        <v>-</v>
      </c>
      <c r="AZ119" s="987" t="str">
        <f t="shared" si="48"/>
        <v>-</v>
      </c>
      <c r="BA119" s="988" t="str">
        <f t="shared" si="49"/>
        <v>-</v>
      </c>
      <c r="BB119" s="1346" t="str">
        <f t="shared" si="50"/>
        <v>-</v>
      </c>
      <c r="BC119" s="987" t="str">
        <f t="shared" si="51"/>
        <v>-</v>
      </c>
      <c r="BD119" s="987" t="str">
        <f t="shared" si="52"/>
        <v>-</v>
      </c>
      <c r="BE119" s="987" t="str">
        <f t="shared" si="53"/>
        <v>-</v>
      </c>
      <c r="BF119" s="989" t="str">
        <f t="shared" si="54"/>
        <v>-</v>
      </c>
      <c r="BG119" s="951"/>
      <c r="BH119" s="984" t="str">
        <f t="shared" si="55"/>
        <v>Rev</v>
      </c>
      <c r="BI119" s="985" t="str">
        <f t="shared" si="56"/>
        <v>Water</v>
      </c>
      <c r="BJ119" s="986" t="str">
        <f t="shared" si="57"/>
        <v>Price cap - Fixed</v>
      </c>
      <c r="BK119" s="987">
        <f t="shared" ref="BK119:BU119" si="131">IF(V119="","-",IFERROR((V119/U119-1)*(U119/U$13),"-"))</f>
        <v>2.430914402411053E-3</v>
      </c>
      <c r="BL119" s="987">
        <f t="shared" si="131"/>
        <v>-6.8405860215463654E-3</v>
      </c>
      <c r="BM119" s="987">
        <f t="shared" si="131"/>
        <v>-6.4560739363265307E-3</v>
      </c>
      <c r="BN119" s="987">
        <f t="shared" si="131"/>
        <v>-2.5588588063753235E-3</v>
      </c>
      <c r="BO119" s="1353">
        <f t="shared" si="131"/>
        <v>-5.6149087701120809E-3</v>
      </c>
      <c r="BP119" s="1346">
        <f t="shared" si="131"/>
        <v>-9.9886566033726115E-2</v>
      </c>
      <c r="BQ119" s="987" t="str">
        <f t="shared" si="131"/>
        <v>-</v>
      </c>
      <c r="BR119" s="987" t="str">
        <f t="shared" si="131"/>
        <v>-</v>
      </c>
      <c r="BS119" s="987" t="str">
        <f t="shared" si="131"/>
        <v>-</v>
      </c>
      <c r="BT119" s="988" t="str">
        <f t="shared" si="131"/>
        <v>-</v>
      </c>
      <c r="BU119" s="987" t="str">
        <f t="shared" si="131"/>
        <v>-</v>
      </c>
      <c r="BV119" s="987" t="str">
        <f>IF(AG119="","-",IFERROR((AG119/AF119-1)*(AF119/AF$13),"-"))</f>
        <v>-</v>
      </c>
      <c r="BW119" s="987" t="str">
        <f>IF(AH119="","-",IFERROR((AH119/AG119-1)*(AG119/AG$13),"-"))</f>
        <v>-</v>
      </c>
      <c r="BX119" s="987" t="str">
        <f>IF(AI119="","-",IFERROR((AI119/AH119-1)*(AH119/AH$13),"-"))</f>
        <v>-</v>
      </c>
      <c r="BY119" s="989" t="str">
        <f>IF(AJ119="","-",IFERROR((AJ119/AI119-1)*(AI119/AI$13),"-"))</f>
        <v>-</v>
      </c>
      <c r="BZ119" s="951"/>
      <c r="CA119" s="984" t="str">
        <f t="shared" si="35"/>
        <v>Rev</v>
      </c>
      <c r="CB119" s="985" t="str">
        <f t="shared" si="36"/>
        <v>Water</v>
      </c>
      <c r="CC119" s="985" t="str">
        <f t="shared" si="37"/>
        <v>Price cap - Fixed</v>
      </c>
      <c r="CD119" s="990">
        <f t="shared" si="106"/>
        <v>-1.819439268794365E-2</v>
      </c>
      <c r="CE119" s="987">
        <f t="shared" si="60"/>
        <v>-3.0771049479386914E-2</v>
      </c>
      <c r="CF119" s="987">
        <f t="shared" si="60"/>
        <v>-2.8933251677174199E-2</v>
      </c>
      <c r="CG119" s="988">
        <f t="shared" si="60"/>
        <v>-3.3844578579166784E-2</v>
      </c>
      <c r="CH119" s="987">
        <f t="shared" si="107"/>
        <v>-1</v>
      </c>
      <c r="CI119" s="987">
        <f t="shared" si="62"/>
        <v>-1</v>
      </c>
      <c r="CJ119" s="987">
        <f t="shared" si="62"/>
        <v>-1</v>
      </c>
      <c r="CK119" s="989">
        <f t="shared" si="62"/>
        <v>-1</v>
      </c>
    </row>
    <row r="120" spans="4:89">
      <c r="D120" s="63">
        <f>D117+1</f>
        <v>18</v>
      </c>
      <c r="E120" s="550" t="s">
        <v>857</v>
      </c>
      <c r="F120" s="595" t="s">
        <v>401</v>
      </c>
      <c r="G120" s="595" t="s">
        <v>103</v>
      </c>
      <c r="H120" s="595" t="s">
        <v>884</v>
      </c>
      <c r="I120" s="589" t="s">
        <v>939</v>
      </c>
      <c r="J120" s="589" t="s">
        <v>879</v>
      </c>
      <c r="K120" s="551"/>
      <c r="L120" s="552"/>
      <c r="M120" s="552"/>
      <c r="N120" s="551"/>
      <c r="O120" s="552"/>
      <c r="P120" s="552"/>
      <c r="Q120" s="552"/>
      <c r="R120" s="1035"/>
      <c r="S120" s="1138"/>
      <c r="T120" s="591"/>
      <c r="U120" s="1035">
        <v>4181.5381538593492</v>
      </c>
      <c r="V120" s="591">
        <v>4269.234996437659</v>
      </c>
      <c r="W120" s="591">
        <v>4030.7612987893467</v>
      </c>
      <c r="X120" s="591">
        <v>3807.2833312217208</v>
      </c>
      <c r="Y120" s="591">
        <v>3718.1970000000001</v>
      </c>
      <c r="Z120" s="591">
        <v>3520.23</v>
      </c>
      <c r="AA120" s="1138">
        <v>0</v>
      </c>
      <c r="AB120" s="591">
        <v>0</v>
      </c>
      <c r="AC120" s="591">
        <v>0</v>
      </c>
      <c r="AD120" s="591">
        <v>0</v>
      </c>
      <c r="AE120" s="1035">
        <v>0</v>
      </c>
      <c r="AF120" s="591">
        <v>0</v>
      </c>
      <c r="AG120" s="591">
        <v>0</v>
      </c>
      <c r="AH120" s="591">
        <v>0</v>
      </c>
      <c r="AI120" s="591">
        <v>0</v>
      </c>
      <c r="AJ120" s="592">
        <v>0</v>
      </c>
      <c r="AK120" s="548"/>
      <c r="AM120" s="974"/>
      <c r="AO120" s="975" t="str">
        <f t="shared" si="38"/>
        <v>Price</v>
      </c>
      <c r="AP120" s="976" t="str">
        <f t="shared" si="38"/>
        <v>Water</v>
      </c>
      <c r="AQ120" s="977" t="str">
        <f t="shared" si="39"/>
        <v>Price cap - Fixed</v>
      </c>
      <c r="AR120" s="1341">
        <f t="shared" si="40"/>
        <v>2.0972388473215364E-2</v>
      </c>
      <c r="AS120" s="978">
        <f t="shared" si="41"/>
        <v>-5.5858648644850906E-2</v>
      </c>
      <c r="AT120" s="979">
        <f t="shared" si="42"/>
        <v>-5.544311632513399E-2</v>
      </c>
      <c r="AU120" s="979">
        <f t="shared" si="43"/>
        <v>-2.3398923450525966E-2</v>
      </c>
      <c r="AV120" s="1352">
        <f t="shared" si="44"/>
        <v>-5.3242741038196817E-2</v>
      </c>
      <c r="AW120" s="1345">
        <f t="shared" si="45"/>
        <v>-1</v>
      </c>
      <c r="AX120" s="979" t="str">
        <f t="shared" si="46"/>
        <v>-</v>
      </c>
      <c r="AY120" s="979" t="str">
        <f t="shared" si="47"/>
        <v>-</v>
      </c>
      <c r="AZ120" s="979" t="str">
        <f t="shared" si="48"/>
        <v>-</v>
      </c>
      <c r="BA120" s="980" t="str">
        <f t="shared" si="49"/>
        <v>-</v>
      </c>
      <c r="BB120" s="1345" t="str">
        <f t="shared" si="50"/>
        <v>-</v>
      </c>
      <c r="BC120" s="979" t="str">
        <f t="shared" si="51"/>
        <v>-</v>
      </c>
      <c r="BD120" s="979" t="str">
        <f t="shared" si="52"/>
        <v>-</v>
      </c>
      <c r="BE120" s="979" t="str">
        <f t="shared" si="53"/>
        <v>-</v>
      </c>
      <c r="BF120" s="981" t="str">
        <f t="shared" si="54"/>
        <v>-</v>
      </c>
      <c r="BG120" s="951"/>
      <c r="BH120" s="975" t="str">
        <f t="shared" si="55"/>
        <v>Price</v>
      </c>
      <c r="BI120" s="976" t="str">
        <f t="shared" si="56"/>
        <v>Water</v>
      </c>
      <c r="BJ120" s="977" t="str">
        <f t="shared" si="57"/>
        <v>Price cap - Fixed</v>
      </c>
      <c r="BK120" s="978">
        <f t="shared" ref="BK120:BU120" si="132">IF(V120="","-",IFERROR((V120/U120-1)*(U122/U$13),"-"))</f>
        <v>2.5899466107627742E-3</v>
      </c>
      <c r="BL120" s="978">
        <f t="shared" si="132"/>
        <v>-7.2881021909134694E-3</v>
      </c>
      <c r="BM120" s="979">
        <f t="shared" si="132"/>
        <v>-6.8784350422369045E-3</v>
      </c>
      <c r="BN120" s="979">
        <f t="shared" si="132"/>
        <v>-2.7262612317484258E-3</v>
      </c>
      <c r="BO120" s="1352">
        <f t="shared" si="132"/>
        <v>-5.9822402320996214E-3</v>
      </c>
      <c r="BP120" s="1345">
        <f t="shared" si="132"/>
        <v>-0.10642121865878582</v>
      </c>
      <c r="BQ120" s="979" t="str">
        <f t="shared" si="132"/>
        <v>-</v>
      </c>
      <c r="BR120" s="979" t="str">
        <f t="shared" si="132"/>
        <v>-</v>
      </c>
      <c r="BS120" s="979" t="str">
        <f t="shared" si="132"/>
        <v>-</v>
      </c>
      <c r="BT120" s="980" t="str">
        <f t="shared" si="132"/>
        <v>-</v>
      </c>
      <c r="BU120" s="979" t="str">
        <f t="shared" si="132"/>
        <v>-</v>
      </c>
      <c r="BV120" s="979" t="str">
        <f>IF(AG120="","-",IFERROR((AG120/AF120-1)*(AF122/AF$13),"-"))</f>
        <v>-</v>
      </c>
      <c r="BW120" s="979" t="str">
        <f>IF(AH120="","-",IFERROR((AH120/AG120-1)*(AG122/AG$13),"-"))</f>
        <v>-</v>
      </c>
      <c r="BX120" s="979" t="str">
        <f>IF(AI120="","-",IFERROR((AI120/AH120-1)*(AH122/AH$13),"-"))</f>
        <v>-</v>
      </c>
      <c r="BY120" s="981" t="str">
        <f>IF(AJ120="","-",IFERROR((AJ120/AI120-1)*(AI122/AI$13),"-"))</f>
        <v>-</v>
      </c>
      <c r="BZ120" s="951"/>
      <c r="CA120" s="975" t="str">
        <f t="shared" si="35"/>
        <v>Price</v>
      </c>
      <c r="CB120" s="976" t="str">
        <f t="shared" si="36"/>
        <v>Water</v>
      </c>
      <c r="CC120" s="982" t="str">
        <f t="shared" si="37"/>
        <v>Price cap - Fixed</v>
      </c>
      <c r="CD120" s="983">
        <f t="shared" si="106"/>
        <v>-1.819439268794365E-2</v>
      </c>
      <c r="CE120" s="979">
        <f t="shared" si="60"/>
        <v>-3.0771049479386914E-2</v>
      </c>
      <c r="CF120" s="979">
        <f t="shared" si="60"/>
        <v>-2.8933251677174199E-2</v>
      </c>
      <c r="CG120" s="980">
        <f t="shared" si="60"/>
        <v>-3.3844578579166673E-2</v>
      </c>
      <c r="CH120" s="979">
        <f t="shared" si="107"/>
        <v>-1</v>
      </c>
      <c r="CI120" s="979">
        <f t="shared" si="62"/>
        <v>-1</v>
      </c>
      <c r="CJ120" s="979">
        <f t="shared" si="62"/>
        <v>-1</v>
      </c>
      <c r="CK120" s="981">
        <f t="shared" si="62"/>
        <v>-1</v>
      </c>
    </row>
    <row r="121" spans="4:89">
      <c r="E121" s="567" t="s">
        <v>880</v>
      </c>
      <c r="F121" s="554" t="str">
        <f>+F120</f>
        <v>Water</v>
      </c>
      <c r="G121" s="555" t="str">
        <f>+G120</f>
        <v>YVW</v>
      </c>
      <c r="H121" s="555" t="str">
        <f>+H120</f>
        <v>Victorian Desalination Plant</v>
      </c>
      <c r="I121" s="556" t="str">
        <f>+I120</f>
        <v>Price cap - Fixed</v>
      </c>
      <c r="J121" s="590" t="s">
        <v>881</v>
      </c>
      <c r="K121" s="557"/>
      <c r="L121" s="558"/>
      <c r="M121" s="558"/>
      <c r="N121" s="557"/>
      <c r="O121" s="558"/>
      <c r="P121" s="558"/>
      <c r="Q121" s="558"/>
      <c r="R121" s="1036"/>
      <c r="S121" s="1139"/>
      <c r="T121" s="593"/>
      <c r="U121" s="1036">
        <v>56951</v>
      </c>
      <c r="V121" s="593">
        <v>56951</v>
      </c>
      <c r="W121" s="593">
        <v>56951</v>
      </c>
      <c r="X121" s="593">
        <v>56951</v>
      </c>
      <c r="Y121" s="593">
        <v>56951</v>
      </c>
      <c r="Z121" s="593">
        <v>56951</v>
      </c>
      <c r="AA121" s="1139">
        <v>56951</v>
      </c>
      <c r="AB121" s="593">
        <v>56951</v>
      </c>
      <c r="AC121" s="593">
        <v>56951</v>
      </c>
      <c r="AD121" s="593">
        <v>56951</v>
      </c>
      <c r="AE121" s="1036">
        <v>56951</v>
      </c>
      <c r="AF121" s="593">
        <v>56951</v>
      </c>
      <c r="AG121" s="593">
        <v>56951</v>
      </c>
      <c r="AH121" s="593">
        <v>56951</v>
      </c>
      <c r="AI121" s="593">
        <v>56951</v>
      </c>
      <c r="AJ121" s="594">
        <v>56951</v>
      </c>
      <c r="AK121" s="548"/>
      <c r="AO121" s="961" t="str">
        <f t="shared" si="38"/>
        <v>Qty</v>
      </c>
      <c r="AP121" s="962" t="str">
        <f t="shared" si="38"/>
        <v>Water</v>
      </c>
      <c r="AQ121" s="963" t="str">
        <f t="shared" si="39"/>
        <v>Price cap - Fixed</v>
      </c>
      <c r="AR121" s="967">
        <f t="shared" si="40"/>
        <v>0</v>
      </c>
      <c r="AS121" s="964">
        <f t="shared" si="41"/>
        <v>0</v>
      </c>
      <c r="AT121" s="964">
        <f t="shared" si="42"/>
        <v>0</v>
      </c>
      <c r="AU121" s="964">
        <f t="shared" si="43"/>
        <v>0</v>
      </c>
      <c r="AV121" s="1350">
        <f t="shared" si="44"/>
        <v>0</v>
      </c>
      <c r="AW121" s="1343">
        <f t="shared" si="45"/>
        <v>0</v>
      </c>
      <c r="AX121" s="964">
        <f t="shared" si="46"/>
        <v>0</v>
      </c>
      <c r="AY121" s="964">
        <f t="shared" si="47"/>
        <v>0</v>
      </c>
      <c r="AZ121" s="964">
        <f t="shared" si="48"/>
        <v>0</v>
      </c>
      <c r="BA121" s="965">
        <f t="shared" si="49"/>
        <v>0</v>
      </c>
      <c r="BB121" s="1343">
        <f t="shared" si="50"/>
        <v>0</v>
      </c>
      <c r="BC121" s="964">
        <f t="shared" si="51"/>
        <v>0</v>
      </c>
      <c r="BD121" s="964">
        <f t="shared" si="52"/>
        <v>0</v>
      </c>
      <c r="BE121" s="964">
        <f t="shared" si="53"/>
        <v>0</v>
      </c>
      <c r="BF121" s="966">
        <f t="shared" si="54"/>
        <v>0</v>
      </c>
      <c r="BG121" s="951"/>
      <c r="BH121" s="961" t="str">
        <f t="shared" si="55"/>
        <v>Qty</v>
      </c>
      <c r="BI121" s="962" t="str">
        <f t="shared" si="56"/>
        <v>Water</v>
      </c>
      <c r="BJ121" s="963" t="str">
        <f t="shared" si="57"/>
        <v>Price cap - Fixed</v>
      </c>
      <c r="BK121" s="964">
        <f t="shared" ref="BK121:BU121" si="133">IF(V121="","-",IFERROR((V121/U121-1)*(U122/U$13),"-"))</f>
        <v>0</v>
      </c>
      <c r="BL121" s="964">
        <f t="shared" si="133"/>
        <v>0</v>
      </c>
      <c r="BM121" s="964">
        <f t="shared" si="133"/>
        <v>0</v>
      </c>
      <c r="BN121" s="964">
        <f t="shared" si="133"/>
        <v>0</v>
      </c>
      <c r="BO121" s="1350">
        <f t="shared" si="133"/>
        <v>0</v>
      </c>
      <c r="BP121" s="1343">
        <f t="shared" si="133"/>
        <v>0</v>
      </c>
      <c r="BQ121" s="964">
        <f t="shared" si="133"/>
        <v>0</v>
      </c>
      <c r="BR121" s="964">
        <f t="shared" si="133"/>
        <v>0</v>
      </c>
      <c r="BS121" s="964">
        <f t="shared" si="133"/>
        <v>0</v>
      </c>
      <c r="BT121" s="965">
        <f t="shared" si="133"/>
        <v>0</v>
      </c>
      <c r="BU121" s="964">
        <f t="shared" si="133"/>
        <v>0</v>
      </c>
      <c r="BV121" s="964">
        <f>IF(AG121="","-",IFERROR((AG121/AF121-1)*(AF122/AF$13),"-"))</f>
        <v>0</v>
      </c>
      <c r="BW121" s="964">
        <f>IF(AH121="","-",IFERROR((AH121/AG121-1)*(AG122/AG$13),"-"))</f>
        <v>0</v>
      </c>
      <c r="BX121" s="964">
        <f>IF(AI121="","-",IFERROR((AI121/AH121-1)*(AH122/AH$13),"-"))</f>
        <v>0</v>
      </c>
      <c r="BY121" s="966">
        <f>IF(AJ121="","-",IFERROR((AJ121/AI121-1)*(AI122/AI$13),"-"))</f>
        <v>0</v>
      </c>
      <c r="BZ121" s="951"/>
      <c r="CA121" s="961" t="str">
        <f t="shared" si="35"/>
        <v>Qty</v>
      </c>
      <c r="CB121" s="962" t="str">
        <f t="shared" si="36"/>
        <v>Water</v>
      </c>
      <c r="CC121" s="962" t="str">
        <f t="shared" si="37"/>
        <v>Price cap - Fixed</v>
      </c>
      <c r="CD121" s="967">
        <f t="shared" si="106"/>
        <v>0</v>
      </c>
      <c r="CE121" s="964">
        <f t="shared" si="60"/>
        <v>0</v>
      </c>
      <c r="CF121" s="964">
        <f t="shared" si="60"/>
        <v>0</v>
      </c>
      <c r="CG121" s="965">
        <f t="shared" si="60"/>
        <v>0</v>
      </c>
      <c r="CH121" s="964">
        <f t="shared" si="107"/>
        <v>0</v>
      </c>
      <c r="CI121" s="964">
        <f t="shared" si="62"/>
        <v>0</v>
      </c>
      <c r="CJ121" s="964">
        <f t="shared" si="62"/>
        <v>0</v>
      </c>
      <c r="CK121" s="966">
        <f t="shared" si="62"/>
        <v>0</v>
      </c>
    </row>
    <row r="122" spans="4:89" ht="12.75" thickBot="1">
      <c r="E122" s="568" t="s">
        <v>882</v>
      </c>
      <c r="F122" s="560" t="str">
        <f>+F120</f>
        <v>Water</v>
      </c>
      <c r="G122" s="561" t="str">
        <f>+G120</f>
        <v>YVW</v>
      </c>
      <c r="H122" s="561" t="str">
        <f>+H120</f>
        <v>Victorian Desalination Plant</v>
      </c>
      <c r="I122" s="562" t="str">
        <f>+I120</f>
        <v>Price cap - Fixed</v>
      </c>
      <c r="J122" s="563" t="s">
        <v>883</v>
      </c>
      <c r="K122" s="564">
        <f t="shared" ref="K122:AJ122" si="134">K120*K121/10^6</f>
        <v>0</v>
      </c>
      <c r="L122" s="565">
        <f t="shared" si="134"/>
        <v>0</v>
      </c>
      <c r="M122" s="565">
        <f t="shared" si="134"/>
        <v>0</v>
      </c>
      <c r="N122" s="564">
        <f t="shared" si="134"/>
        <v>0</v>
      </c>
      <c r="O122" s="565">
        <f t="shared" si="134"/>
        <v>0</v>
      </c>
      <c r="P122" s="565">
        <f t="shared" si="134"/>
        <v>0</v>
      </c>
      <c r="Q122" s="565">
        <f t="shared" si="134"/>
        <v>0</v>
      </c>
      <c r="R122" s="566">
        <f t="shared" si="134"/>
        <v>0</v>
      </c>
      <c r="S122" s="564">
        <f t="shared" si="134"/>
        <v>0</v>
      </c>
      <c r="T122" s="565">
        <f t="shared" si="134"/>
        <v>0</v>
      </c>
      <c r="U122" s="566">
        <f t="shared" si="134"/>
        <v>238.1427794004438</v>
      </c>
      <c r="V122" s="565">
        <f t="shared" si="134"/>
        <v>243.13720228212111</v>
      </c>
      <c r="W122" s="565">
        <f t="shared" si="134"/>
        <v>229.55588672735209</v>
      </c>
      <c r="X122" s="565">
        <f t="shared" si="134"/>
        <v>216.82859299640822</v>
      </c>
      <c r="Y122" s="565">
        <f t="shared" si="134"/>
        <v>211.75503734700001</v>
      </c>
      <c r="Z122" s="565">
        <f t="shared" si="134"/>
        <v>200.48061873</v>
      </c>
      <c r="AA122" s="564">
        <f t="shared" si="134"/>
        <v>0</v>
      </c>
      <c r="AB122" s="565">
        <f t="shared" si="134"/>
        <v>0</v>
      </c>
      <c r="AC122" s="565">
        <f t="shared" si="134"/>
        <v>0</v>
      </c>
      <c r="AD122" s="565">
        <f t="shared" si="134"/>
        <v>0</v>
      </c>
      <c r="AE122" s="566">
        <f t="shared" si="134"/>
        <v>0</v>
      </c>
      <c r="AF122" s="565">
        <f t="shared" si="134"/>
        <v>0</v>
      </c>
      <c r="AG122" s="565">
        <f>AG120*AG121/10^6</f>
        <v>0</v>
      </c>
      <c r="AH122" s="565">
        <f>AH120*AH121/10^6</f>
        <v>0</v>
      </c>
      <c r="AI122" s="565">
        <f>AI120*AI121/10^6</f>
        <v>0</v>
      </c>
      <c r="AJ122" s="566">
        <f t="shared" si="134"/>
        <v>0</v>
      </c>
      <c r="AK122" s="548"/>
      <c r="AO122" s="984" t="str">
        <f t="shared" si="38"/>
        <v>Rev</v>
      </c>
      <c r="AP122" s="985" t="str">
        <f t="shared" si="38"/>
        <v>Water</v>
      </c>
      <c r="AQ122" s="986" t="str">
        <f t="shared" si="39"/>
        <v>Price cap - Fixed</v>
      </c>
      <c r="AR122" s="990">
        <f t="shared" si="40"/>
        <v>2.0972388473215142E-2</v>
      </c>
      <c r="AS122" s="987">
        <f t="shared" si="41"/>
        <v>-5.5858648644850795E-2</v>
      </c>
      <c r="AT122" s="987">
        <f t="shared" si="42"/>
        <v>-5.544311632513399E-2</v>
      </c>
      <c r="AU122" s="987">
        <f t="shared" si="43"/>
        <v>-2.3398923450525966E-2</v>
      </c>
      <c r="AV122" s="1353">
        <f t="shared" si="44"/>
        <v>-5.3242741038196817E-2</v>
      </c>
      <c r="AW122" s="1346">
        <f t="shared" si="45"/>
        <v>-1</v>
      </c>
      <c r="AX122" s="987" t="str">
        <f t="shared" si="46"/>
        <v>-</v>
      </c>
      <c r="AY122" s="987" t="str">
        <f t="shared" si="47"/>
        <v>-</v>
      </c>
      <c r="AZ122" s="987" t="str">
        <f t="shared" si="48"/>
        <v>-</v>
      </c>
      <c r="BA122" s="988" t="str">
        <f t="shared" si="49"/>
        <v>-</v>
      </c>
      <c r="BB122" s="1346" t="str">
        <f t="shared" si="50"/>
        <v>-</v>
      </c>
      <c r="BC122" s="987" t="str">
        <f t="shared" si="51"/>
        <v>-</v>
      </c>
      <c r="BD122" s="987" t="str">
        <f t="shared" si="52"/>
        <v>-</v>
      </c>
      <c r="BE122" s="987" t="str">
        <f t="shared" si="53"/>
        <v>-</v>
      </c>
      <c r="BF122" s="989" t="str">
        <f t="shared" si="54"/>
        <v>-</v>
      </c>
      <c r="BG122" s="951"/>
      <c r="BH122" s="984" t="str">
        <f t="shared" si="55"/>
        <v>Rev</v>
      </c>
      <c r="BI122" s="985" t="str">
        <f t="shared" si="56"/>
        <v>Water</v>
      </c>
      <c r="BJ122" s="986" t="str">
        <f t="shared" si="57"/>
        <v>Price cap - Fixed</v>
      </c>
      <c r="BK122" s="987">
        <f t="shared" ref="BK122:BU122" si="135">IF(V122="","-",IFERROR((V122/U122-1)*(U122/U$13),"-"))</f>
        <v>2.5899466107627469E-3</v>
      </c>
      <c r="BL122" s="987">
        <f t="shared" si="135"/>
        <v>-7.2881021909134555E-3</v>
      </c>
      <c r="BM122" s="987">
        <f t="shared" si="135"/>
        <v>-6.8784350422369045E-3</v>
      </c>
      <c r="BN122" s="987">
        <f t="shared" si="135"/>
        <v>-2.7262612317484258E-3</v>
      </c>
      <c r="BO122" s="1353">
        <f t="shared" si="135"/>
        <v>-5.9822402320996214E-3</v>
      </c>
      <c r="BP122" s="1346">
        <f t="shared" si="135"/>
        <v>-0.10642121865878582</v>
      </c>
      <c r="BQ122" s="987" t="str">
        <f t="shared" si="135"/>
        <v>-</v>
      </c>
      <c r="BR122" s="987" t="str">
        <f t="shared" si="135"/>
        <v>-</v>
      </c>
      <c r="BS122" s="987" t="str">
        <f t="shared" si="135"/>
        <v>-</v>
      </c>
      <c r="BT122" s="988" t="str">
        <f t="shared" si="135"/>
        <v>-</v>
      </c>
      <c r="BU122" s="987" t="str">
        <f t="shared" si="135"/>
        <v>-</v>
      </c>
      <c r="BV122" s="987" t="str">
        <f>IF(AG122="","-",IFERROR((AG122/AF122-1)*(AF122/AF$13),"-"))</f>
        <v>-</v>
      </c>
      <c r="BW122" s="987" t="str">
        <f>IF(AH122="","-",IFERROR((AH122/AG122-1)*(AG122/AG$13),"-"))</f>
        <v>-</v>
      </c>
      <c r="BX122" s="987" t="str">
        <f>IF(AI122="","-",IFERROR((AI122/AH122-1)*(AH122/AH$13),"-"))</f>
        <v>-</v>
      </c>
      <c r="BY122" s="989" t="str">
        <f>IF(AJ122="","-",IFERROR((AJ122/AI122-1)*(AI122/AI$13),"-"))</f>
        <v>-</v>
      </c>
      <c r="BZ122" s="951"/>
      <c r="CA122" s="984" t="str">
        <f t="shared" si="35"/>
        <v>Rev</v>
      </c>
      <c r="CB122" s="985" t="str">
        <f t="shared" si="36"/>
        <v>Water</v>
      </c>
      <c r="CC122" s="985" t="str">
        <f t="shared" si="37"/>
        <v>Price cap - Fixed</v>
      </c>
      <c r="CD122" s="990">
        <f t="shared" si="106"/>
        <v>-1.819439268794365E-2</v>
      </c>
      <c r="CE122" s="987">
        <f t="shared" si="60"/>
        <v>-3.0771049479386914E-2</v>
      </c>
      <c r="CF122" s="987">
        <f t="shared" si="60"/>
        <v>-2.8933251677174199E-2</v>
      </c>
      <c r="CG122" s="988">
        <f t="shared" si="60"/>
        <v>-3.3844578579166673E-2</v>
      </c>
      <c r="CH122" s="987">
        <f t="shared" si="107"/>
        <v>-1</v>
      </c>
      <c r="CI122" s="987">
        <f t="shared" si="62"/>
        <v>-1</v>
      </c>
      <c r="CJ122" s="987">
        <f t="shared" si="62"/>
        <v>-1</v>
      </c>
      <c r="CK122" s="989">
        <f t="shared" si="62"/>
        <v>-1</v>
      </c>
    </row>
    <row r="123" spans="4:89">
      <c r="D123" s="63">
        <f>D120+1</f>
        <v>19</v>
      </c>
      <c r="E123" s="550" t="s">
        <v>857</v>
      </c>
      <c r="F123" s="595" t="s">
        <v>401</v>
      </c>
      <c r="G123" s="595" t="s">
        <v>877</v>
      </c>
      <c r="H123" s="595" t="s">
        <v>885</v>
      </c>
      <c r="I123" s="589" t="s">
        <v>939</v>
      </c>
      <c r="J123" s="589" t="s">
        <v>879</v>
      </c>
      <c r="K123" s="551"/>
      <c r="L123" s="552"/>
      <c r="M123" s="552"/>
      <c r="N123" s="551"/>
      <c r="O123" s="552"/>
      <c r="P123" s="552"/>
      <c r="Q123" s="552"/>
      <c r="R123" s="1035"/>
      <c r="S123" s="1138"/>
      <c r="T123" s="591"/>
      <c r="U123" s="1035">
        <v>595.81247495711841</v>
      </c>
      <c r="V123" s="591">
        <v>567.81651297709936</v>
      </c>
      <c r="W123" s="591">
        <v>560.05703825665864</v>
      </c>
      <c r="X123" s="591">
        <v>564.60447375565627</v>
      </c>
      <c r="Y123" s="591">
        <v>562.34910000000002</v>
      </c>
      <c r="Z123" s="591">
        <v>559.01</v>
      </c>
      <c r="AA123" s="1138">
        <v>457.28343354448816</v>
      </c>
      <c r="AB123" s="591">
        <v>457.28343354448816</v>
      </c>
      <c r="AC123" s="591">
        <v>457.28343354448816</v>
      </c>
      <c r="AD123" s="591">
        <v>457.28343354448816</v>
      </c>
      <c r="AE123" s="1035">
        <v>457.28343354448816</v>
      </c>
      <c r="AF123" s="591">
        <v>463.96869026358371</v>
      </c>
      <c r="AG123" s="591">
        <v>470.75168211612544</v>
      </c>
      <c r="AH123" s="591">
        <v>477.63383794123075</v>
      </c>
      <c r="AI123" s="591">
        <v>484.61660746693531</v>
      </c>
      <c r="AJ123" s="592">
        <v>491.70146161557881</v>
      </c>
      <c r="AK123" s="548"/>
      <c r="AM123" s="974"/>
      <c r="AO123" s="975" t="str">
        <f t="shared" si="38"/>
        <v>Price</v>
      </c>
      <c r="AP123" s="976" t="str">
        <f t="shared" si="38"/>
        <v>Water</v>
      </c>
      <c r="AQ123" s="977" t="str">
        <f t="shared" si="39"/>
        <v>Price cap - Fixed</v>
      </c>
      <c r="AR123" s="1341">
        <f t="shared" si="40"/>
        <v>-4.698787480412181E-2</v>
      </c>
      <c r="AS123" s="978">
        <f t="shared" si="41"/>
        <v>-1.3665461541013113E-2</v>
      </c>
      <c r="AT123" s="979">
        <f t="shared" si="42"/>
        <v>8.119593520604429E-3</v>
      </c>
      <c r="AU123" s="979">
        <f t="shared" si="43"/>
        <v>-3.9946083683217726E-3</v>
      </c>
      <c r="AV123" s="1352">
        <f t="shared" si="44"/>
        <v>-5.9377706837265842E-3</v>
      </c>
      <c r="AW123" s="1345">
        <f t="shared" si="45"/>
        <v>-0.18197629104222079</v>
      </c>
      <c r="AX123" s="979">
        <f t="shared" si="46"/>
        <v>0</v>
      </c>
      <c r="AY123" s="979">
        <f t="shared" si="47"/>
        <v>0</v>
      </c>
      <c r="AZ123" s="979">
        <f t="shared" si="48"/>
        <v>0</v>
      </c>
      <c r="BA123" s="980">
        <f t="shared" si="49"/>
        <v>0</v>
      </c>
      <c r="BB123" s="1345">
        <f t="shared" si="50"/>
        <v>1.4619503416681612E-2</v>
      </c>
      <c r="BC123" s="979">
        <f t="shared" si="51"/>
        <v>1.4619503416681612E-2</v>
      </c>
      <c r="BD123" s="979">
        <f t="shared" si="52"/>
        <v>1.4619503416681612E-2</v>
      </c>
      <c r="BE123" s="979">
        <f t="shared" si="53"/>
        <v>1.4619503416681612E-2</v>
      </c>
      <c r="BF123" s="981">
        <f t="shared" si="54"/>
        <v>1.4619503416681612E-2</v>
      </c>
      <c r="BG123" s="951"/>
      <c r="BH123" s="975" t="str">
        <f t="shared" si="55"/>
        <v>Price</v>
      </c>
      <c r="BI123" s="976" t="str">
        <f t="shared" si="56"/>
        <v>Water</v>
      </c>
      <c r="BJ123" s="977" t="str">
        <f t="shared" si="57"/>
        <v>Price cap - Fixed</v>
      </c>
      <c r="BK123" s="978">
        <f t="shared" ref="BK123:BU123" si="136">IF(V123="","-",IFERROR((V123/U123-1)*(U125/U$13),"-"))</f>
        <v>-3.6294507174792215E-4</v>
      </c>
      <c r="BL123" s="978">
        <f t="shared" si="136"/>
        <v>-1.0409861342652424E-4</v>
      </c>
      <c r="BM123" s="979">
        <f t="shared" si="136"/>
        <v>6.1441262278265116E-5</v>
      </c>
      <c r="BN123" s="979">
        <f t="shared" si="136"/>
        <v>-3.0297972753416539E-5</v>
      </c>
      <c r="BO123" s="1352">
        <f t="shared" si="136"/>
        <v>-4.4293411122956863E-5</v>
      </c>
      <c r="BP123" s="1345">
        <f t="shared" si="136"/>
        <v>-1.3499889965360461E-3</v>
      </c>
      <c r="BQ123" s="979">
        <f t="shared" si="136"/>
        <v>0</v>
      </c>
      <c r="BR123" s="979">
        <f t="shared" si="136"/>
        <v>0</v>
      </c>
      <c r="BS123" s="979">
        <f t="shared" si="136"/>
        <v>0</v>
      </c>
      <c r="BT123" s="980">
        <f t="shared" si="136"/>
        <v>0</v>
      </c>
      <c r="BU123" s="979">
        <f t="shared" si="136"/>
        <v>8.027515668162686E-5</v>
      </c>
      <c r="BV123" s="979">
        <f>IF(AG123="","-",IFERROR((AG123/AF123-1)*(AF125/AF$13),"-"))</f>
        <v>7.7794621991684565E-5</v>
      </c>
      <c r="BW123" s="979">
        <f>IF(AH123="","-",IFERROR((AH123/AG123-1)*(AG125/AG$13),"-"))</f>
        <v>7.7841637519531485E-5</v>
      </c>
      <c r="BX123" s="979">
        <f>IF(AI123="","-",IFERROR((AI123/AH123-1)*(AH125/AH$13),"-"))</f>
        <v>7.7839547637276833E-5</v>
      </c>
      <c r="BY123" s="981">
        <f>IF(AJ123="","-",IFERROR((AJ123/AI123-1)*(AI125/AI$13),"-"))</f>
        <v>7.76408555549046E-5</v>
      </c>
      <c r="BZ123" s="951"/>
      <c r="CA123" s="975" t="str">
        <f t="shared" si="35"/>
        <v>Price</v>
      </c>
      <c r="CB123" s="976" t="str">
        <f t="shared" si="36"/>
        <v>Water</v>
      </c>
      <c r="CC123" s="982" t="str">
        <f t="shared" si="37"/>
        <v>Price cap - Fixed</v>
      </c>
      <c r="CD123" s="983">
        <f t="shared" si="106"/>
        <v>-3.046981756579914E-2</v>
      </c>
      <c r="CE123" s="979">
        <f t="shared" si="60"/>
        <v>-1.7773664423189284E-2</v>
      </c>
      <c r="CF123" s="979">
        <f t="shared" si="60"/>
        <v>-1.4346875218358202E-2</v>
      </c>
      <c r="CG123" s="980">
        <f t="shared" si="60"/>
        <v>-1.2670764491771846E-2</v>
      </c>
      <c r="CH123" s="979">
        <f t="shared" si="107"/>
        <v>-9.5553368651428272E-2</v>
      </c>
      <c r="CI123" s="979">
        <f t="shared" si="62"/>
        <v>-6.4762389324892422E-2</v>
      </c>
      <c r="CJ123" s="979">
        <f t="shared" si="62"/>
        <v>-4.8976009057304704E-2</v>
      </c>
      <c r="CK123" s="981">
        <f t="shared" si="62"/>
        <v>-3.9376562992678221E-2</v>
      </c>
    </row>
    <row r="124" spans="4:89">
      <c r="E124" s="567" t="s">
        <v>880</v>
      </c>
      <c r="F124" s="554" t="str">
        <f>+F123</f>
        <v>Water</v>
      </c>
      <c r="G124" s="555" t="str">
        <f>+G123</f>
        <v>GWW</v>
      </c>
      <c r="H124" s="555" t="str">
        <f>+H123</f>
        <v>North South Pipeline</v>
      </c>
      <c r="I124" s="556" t="str">
        <f>+I123</f>
        <v>Price cap - Fixed</v>
      </c>
      <c r="J124" s="590" t="s">
        <v>881</v>
      </c>
      <c r="K124" s="557"/>
      <c r="L124" s="558"/>
      <c r="M124" s="558"/>
      <c r="N124" s="557"/>
      <c r="O124" s="558"/>
      <c r="P124" s="558"/>
      <c r="Q124" s="558"/>
      <c r="R124" s="1036"/>
      <c r="S124" s="1139"/>
      <c r="T124" s="593"/>
      <c r="U124" s="1036">
        <v>25000</v>
      </c>
      <c r="V124" s="593">
        <v>25000</v>
      </c>
      <c r="W124" s="593">
        <v>25000</v>
      </c>
      <c r="X124" s="593">
        <v>25000</v>
      </c>
      <c r="Y124" s="593">
        <v>25000</v>
      </c>
      <c r="Z124" s="593">
        <v>25000</v>
      </c>
      <c r="AA124" s="1139">
        <v>25000</v>
      </c>
      <c r="AB124" s="593">
        <v>25000</v>
      </c>
      <c r="AC124" s="593">
        <v>25000</v>
      </c>
      <c r="AD124" s="593">
        <v>25000</v>
      </c>
      <c r="AE124" s="1036">
        <v>25000</v>
      </c>
      <c r="AF124" s="593">
        <v>25000</v>
      </c>
      <c r="AG124" s="593">
        <v>25000</v>
      </c>
      <c r="AH124" s="593">
        <v>25000</v>
      </c>
      <c r="AI124" s="593">
        <v>25000</v>
      </c>
      <c r="AJ124" s="594">
        <v>25000</v>
      </c>
      <c r="AK124" s="548"/>
      <c r="AO124" s="961" t="str">
        <f t="shared" si="38"/>
        <v>Qty</v>
      </c>
      <c r="AP124" s="962" t="str">
        <f t="shared" si="38"/>
        <v>Water</v>
      </c>
      <c r="AQ124" s="963" t="str">
        <f t="shared" si="39"/>
        <v>Price cap - Fixed</v>
      </c>
      <c r="AR124" s="967">
        <f t="shared" si="40"/>
        <v>0</v>
      </c>
      <c r="AS124" s="964">
        <f t="shared" si="41"/>
        <v>0</v>
      </c>
      <c r="AT124" s="964">
        <f t="shared" si="42"/>
        <v>0</v>
      </c>
      <c r="AU124" s="964">
        <f t="shared" si="43"/>
        <v>0</v>
      </c>
      <c r="AV124" s="1350">
        <f t="shared" si="44"/>
        <v>0</v>
      </c>
      <c r="AW124" s="1343">
        <f t="shared" si="45"/>
        <v>0</v>
      </c>
      <c r="AX124" s="964">
        <f t="shared" si="46"/>
        <v>0</v>
      </c>
      <c r="AY124" s="964">
        <f t="shared" si="47"/>
        <v>0</v>
      </c>
      <c r="AZ124" s="964">
        <f t="shared" si="48"/>
        <v>0</v>
      </c>
      <c r="BA124" s="965">
        <f t="shared" si="49"/>
        <v>0</v>
      </c>
      <c r="BB124" s="1343">
        <f t="shared" si="50"/>
        <v>0</v>
      </c>
      <c r="BC124" s="964">
        <f t="shared" si="51"/>
        <v>0</v>
      </c>
      <c r="BD124" s="964">
        <f t="shared" si="52"/>
        <v>0</v>
      </c>
      <c r="BE124" s="964">
        <f t="shared" si="53"/>
        <v>0</v>
      </c>
      <c r="BF124" s="966">
        <f t="shared" si="54"/>
        <v>0</v>
      </c>
      <c r="BG124" s="951"/>
      <c r="BH124" s="961" t="str">
        <f t="shared" si="55"/>
        <v>Qty</v>
      </c>
      <c r="BI124" s="962" t="str">
        <f t="shared" si="56"/>
        <v>Water</v>
      </c>
      <c r="BJ124" s="963" t="str">
        <f t="shared" si="57"/>
        <v>Price cap - Fixed</v>
      </c>
      <c r="BK124" s="964">
        <f t="shared" ref="BK124:BU124" si="137">IF(V124="","-",IFERROR((V124/U124-1)*(U125/U$13),"-"))</f>
        <v>0</v>
      </c>
      <c r="BL124" s="964">
        <f t="shared" si="137"/>
        <v>0</v>
      </c>
      <c r="BM124" s="964">
        <f t="shared" si="137"/>
        <v>0</v>
      </c>
      <c r="BN124" s="964">
        <f t="shared" si="137"/>
        <v>0</v>
      </c>
      <c r="BO124" s="1350">
        <f t="shared" si="137"/>
        <v>0</v>
      </c>
      <c r="BP124" s="1343">
        <f t="shared" si="137"/>
        <v>0</v>
      </c>
      <c r="BQ124" s="964">
        <f t="shared" si="137"/>
        <v>0</v>
      </c>
      <c r="BR124" s="964">
        <f t="shared" si="137"/>
        <v>0</v>
      </c>
      <c r="BS124" s="964">
        <f t="shared" si="137"/>
        <v>0</v>
      </c>
      <c r="BT124" s="965">
        <f t="shared" si="137"/>
        <v>0</v>
      </c>
      <c r="BU124" s="964">
        <f t="shared" si="137"/>
        <v>0</v>
      </c>
      <c r="BV124" s="964">
        <f>IF(AG124="","-",IFERROR((AG124/AF124-1)*(AF125/AF$13),"-"))</f>
        <v>0</v>
      </c>
      <c r="BW124" s="964">
        <f>IF(AH124="","-",IFERROR((AH124/AG124-1)*(AG125/AG$13),"-"))</f>
        <v>0</v>
      </c>
      <c r="BX124" s="964">
        <f>IF(AI124="","-",IFERROR((AI124/AH124-1)*(AH125/AH$13),"-"))</f>
        <v>0</v>
      </c>
      <c r="BY124" s="966">
        <f>IF(AJ124="","-",IFERROR((AJ124/AI124-1)*(AI125/AI$13),"-"))</f>
        <v>0</v>
      </c>
      <c r="BZ124" s="951"/>
      <c r="CA124" s="961" t="str">
        <f t="shared" si="35"/>
        <v>Qty</v>
      </c>
      <c r="CB124" s="962" t="str">
        <f t="shared" si="36"/>
        <v>Water</v>
      </c>
      <c r="CC124" s="962" t="str">
        <f t="shared" si="37"/>
        <v>Price cap - Fixed</v>
      </c>
      <c r="CD124" s="967">
        <f t="shared" si="106"/>
        <v>0</v>
      </c>
      <c r="CE124" s="964">
        <f t="shared" si="60"/>
        <v>0</v>
      </c>
      <c r="CF124" s="964">
        <f t="shared" si="60"/>
        <v>0</v>
      </c>
      <c r="CG124" s="965">
        <f t="shared" si="60"/>
        <v>0</v>
      </c>
      <c r="CH124" s="964">
        <f t="shared" si="107"/>
        <v>0</v>
      </c>
      <c r="CI124" s="964">
        <f t="shared" si="62"/>
        <v>0</v>
      </c>
      <c r="CJ124" s="964">
        <f t="shared" si="62"/>
        <v>0</v>
      </c>
      <c r="CK124" s="966">
        <f t="shared" si="62"/>
        <v>0</v>
      </c>
    </row>
    <row r="125" spans="4:89" ht="12.75" thickBot="1">
      <c r="E125" s="568" t="s">
        <v>882</v>
      </c>
      <c r="F125" s="560" t="str">
        <f>+F123</f>
        <v>Water</v>
      </c>
      <c r="G125" s="561" t="str">
        <f>+G123</f>
        <v>GWW</v>
      </c>
      <c r="H125" s="561" t="str">
        <f>+H123</f>
        <v>North South Pipeline</v>
      </c>
      <c r="I125" s="562" t="str">
        <f>+I123</f>
        <v>Price cap - Fixed</v>
      </c>
      <c r="J125" s="563" t="s">
        <v>883</v>
      </c>
      <c r="K125" s="564">
        <f t="shared" ref="K125:AJ125" si="138">K123*K124/10^6</f>
        <v>0</v>
      </c>
      <c r="L125" s="565">
        <f t="shared" si="138"/>
        <v>0</v>
      </c>
      <c r="M125" s="565">
        <f t="shared" si="138"/>
        <v>0</v>
      </c>
      <c r="N125" s="564">
        <f t="shared" si="138"/>
        <v>0</v>
      </c>
      <c r="O125" s="565">
        <f t="shared" si="138"/>
        <v>0</v>
      </c>
      <c r="P125" s="565">
        <f t="shared" si="138"/>
        <v>0</v>
      </c>
      <c r="Q125" s="565">
        <f t="shared" si="138"/>
        <v>0</v>
      </c>
      <c r="R125" s="566">
        <f t="shared" si="138"/>
        <v>0</v>
      </c>
      <c r="S125" s="564">
        <f t="shared" si="138"/>
        <v>0</v>
      </c>
      <c r="T125" s="565">
        <f t="shared" si="138"/>
        <v>0</v>
      </c>
      <c r="U125" s="566">
        <f t="shared" si="138"/>
        <v>14.895311873927961</v>
      </c>
      <c r="V125" s="565">
        <f t="shared" si="138"/>
        <v>14.195412824427484</v>
      </c>
      <c r="W125" s="565">
        <f t="shared" si="138"/>
        <v>14.001425956416465</v>
      </c>
      <c r="X125" s="565">
        <f t="shared" si="138"/>
        <v>14.115111843891407</v>
      </c>
      <c r="Y125" s="565">
        <f t="shared" si="138"/>
        <v>14.0587275</v>
      </c>
      <c r="Z125" s="565">
        <f t="shared" si="138"/>
        <v>13.975250000000001</v>
      </c>
      <c r="AA125" s="564">
        <f t="shared" si="138"/>
        <v>11.432085838612204</v>
      </c>
      <c r="AB125" s="565">
        <f t="shared" si="138"/>
        <v>11.432085838612204</v>
      </c>
      <c r="AC125" s="565">
        <f t="shared" si="138"/>
        <v>11.432085838612204</v>
      </c>
      <c r="AD125" s="565">
        <f t="shared" si="138"/>
        <v>11.432085838612204</v>
      </c>
      <c r="AE125" s="566">
        <f t="shared" si="138"/>
        <v>11.432085838612204</v>
      </c>
      <c r="AF125" s="565">
        <f t="shared" si="138"/>
        <v>11.599217256589593</v>
      </c>
      <c r="AG125" s="565">
        <f>AG123*AG124/10^6</f>
        <v>11.768792052903136</v>
      </c>
      <c r="AH125" s="565">
        <f>AH123*AH124/10^6</f>
        <v>11.94084594853077</v>
      </c>
      <c r="AI125" s="565">
        <f>AI123*AI124/10^6</f>
        <v>12.115415186673383</v>
      </c>
      <c r="AJ125" s="566">
        <f t="shared" si="138"/>
        <v>12.29253654038947</v>
      </c>
      <c r="AK125" s="548"/>
      <c r="AO125" s="984" t="str">
        <f t="shared" si="38"/>
        <v>Rev</v>
      </c>
      <c r="AP125" s="985" t="str">
        <f t="shared" si="38"/>
        <v>Water</v>
      </c>
      <c r="AQ125" s="986" t="str">
        <f t="shared" si="39"/>
        <v>Price cap - Fixed</v>
      </c>
      <c r="AR125" s="990">
        <f t="shared" si="40"/>
        <v>-4.6987874804121921E-2</v>
      </c>
      <c r="AS125" s="987">
        <f t="shared" si="41"/>
        <v>-1.3665461541013113E-2</v>
      </c>
      <c r="AT125" s="987">
        <f t="shared" si="42"/>
        <v>8.119593520604429E-3</v>
      </c>
      <c r="AU125" s="987">
        <f t="shared" si="43"/>
        <v>-3.9946083683218836E-3</v>
      </c>
      <c r="AV125" s="1353">
        <f t="shared" si="44"/>
        <v>-5.9377706837264732E-3</v>
      </c>
      <c r="AW125" s="1346">
        <f t="shared" si="45"/>
        <v>-0.18197629104222079</v>
      </c>
      <c r="AX125" s="987">
        <f t="shared" si="46"/>
        <v>0</v>
      </c>
      <c r="AY125" s="987">
        <f t="shared" si="47"/>
        <v>0</v>
      </c>
      <c r="AZ125" s="987">
        <f t="shared" si="48"/>
        <v>0</v>
      </c>
      <c r="BA125" s="988">
        <f t="shared" si="49"/>
        <v>0</v>
      </c>
      <c r="BB125" s="1346">
        <f t="shared" si="50"/>
        <v>1.4619503416681612E-2</v>
      </c>
      <c r="BC125" s="987">
        <f t="shared" si="51"/>
        <v>1.461950341668139E-2</v>
      </c>
      <c r="BD125" s="987">
        <f t="shared" si="52"/>
        <v>1.4619503416681834E-2</v>
      </c>
      <c r="BE125" s="987">
        <f t="shared" si="53"/>
        <v>1.4619503416681612E-2</v>
      </c>
      <c r="BF125" s="989">
        <f t="shared" si="54"/>
        <v>1.4619503416681612E-2</v>
      </c>
      <c r="BG125" s="951"/>
      <c r="BH125" s="984" t="str">
        <f t="shared" si="55"/>
        <v>Rev</v>
      </c>
      <c r="BI125" s="985" t="str">
        <f t="shared" si="56"/>
        <v>Water</v>
      </c>
      <c r="BJ125" s="986" t="str">
        <f t="shared" si="57"/>
        <v>Price cap - Fixed</v>
      </c>
      <c r="BK125" s="987">
        <f t="shared" ref="BK125:BU125" si="139">IF(V125="","-",IFERROR((V125/U125-1)*(U125/U$13),"-"))</f>
        <v>-3.6294507174792302E-4</v>
      </c>
      <c r="BL125" s="987">
        <f t="shared" si="139"/>
        <v>-1.0409861342652424E-4</v>
      </c>
      <c r="BM125" s="987">
        <f t="shared" si="139"/>
        <v>6.1441262278265116E-5</v>
      </c>
      <c r="BN125" s="987">
        <f t="shared" si="139"/>
        <v>-3.0297972753417379E-5</v>
      </c>
      <c r="BO125" s="1353">
        <f t="shared" si="139"/>
        <v>-4.4293411122956036E-5</v>
      </c>
      <c r="BP125" s="1346">
        <f t="shared" si="139"/>
        <v>-1.3499889965360461E-3</v>
      </c>
      <c r="BQ125" s="987">
        <f t="shared" si="139"/>
        <v>0</v>
      </c>
      <c r="BR125" s="987">
        <f t="shared" si="139"/>
        <v>0</v>
      </c>
      <c r="BS125" s="987">
        <f t="shared" si="139"/>
        <v>0</v>
      </c>
      <c r="BT125" s="988">
        <f t="shared" si="139"/>
        <v>0</v>
      </c>
      <c r="BU125" s="987">
        <f t="shared" si="139"/>
        <v>8.027515668162686E-5</v>
      </c>
      <c r="BV125" s="987">
        <f>IF(AG125="","-",IFERROR((AG125/AF125-1)*(AF125/AF$13),"-"))</f>
        <v>7.7794621991683372E-5</v>
      </c>
      <c r="BW125" s="987">
        <f>IF(AH125="","-",IFERROR((AH125/AG125-1)*(AG125/AG$13),"-"))</f>
        <v>7.7841637519532664E-5</v>
      </c>
      <c r="BX125" s="987">
        <f>IF(AI125="","-",IFERROR((AI125/AH125-1)*(AH125/AH$13),"-"))</f>
        <v>7.7839547637276833E-5</v>
      </c>
      <c r="BY125" s="989">
        <f>IF(AJ125="","-",IFERROR((AJ125/AI125-1)*(AI125/AI$13),"-"))</f>
        <v>7.76408555549046E-5</v>
      </c>
      <c r="BZ125" s="951"/>
      <c r="CA125" s="984" t="str">
        <f t="shared" si="35"/>
        <v>Rev</v>
      </c>
      <c r="CB125" s="985" t="str">
        <f t="shared" si="36"/>
        <v>Water</v>
      </c>
      <c r="CC125" s="985" t="str">
        <f t="shared" si="37"/>
        <v>Price cap - Fixed</v>
      </c>
      <c r="CD125" s="990">
        <f t="shared" si="106"/>
        <v>-3.046981756579914E-2</v>
      </c>
      <c r="CE125" s="987">
        <f t="shared" si="60"/>
        <v>-1.7773664423189284E-2</v>
      </c>
      <c r="CF125" s="987">
        <f t="shared" si="60"/>
        <v>-1.4346875218358202E-2</v>
      </c>
      <c r="CG125" s="988">
        <f t="shared" si="60"/>
        <v>-1.2670764491771846E-2</v>
      </c>
      <c r="CH125" s="987">
        <f t="shared" si="107"/>
        <v>-9.5553368651428272E-2</v>
      </c>
      <c r="CI125" s="987">
        <f t="shared" si="62"/>
        <v>-6.4762389324892422E-2</v>
      </c>
      <c r="CJ125" s="987">
        <f t="shared" si="62"/>
        <v>-4.8976009057304704E-2</v>
      </c>
      <c r="CK125" s="989">
        <f t="shared" si="62"/>
        <v>-3.9376562992678221E-2</v>
      </c>
    </row>
    <row r="126" spans="4:89">
      <c r="D126" s="63">
        <f>D123+1</f>
        <v>20</v>
      </c>
      <c r="E126" s="550" t="s">
        <v>857</v>
      </c>
      <c r="F126" s="595" t="s">
        <v>401</v>
      </c>
      <c r="G126" s="595" t="s">
        <v>92</v>
      </c>
      <c r="H126" s="595" t="s">
        <v>885</v>
      </c>
      <c r="I126" s="589" t="s">
        <v>939</v>
      </c>
      <c r="J126" s="589" t="s">
        <v>879</v>
      </c>
      <c r="K126" s="551"/>
      <c r="L126" s="552"/>
      <c r="M126" s="552"/>
      <c r="N126" s="551"/>
      <c r="O126" s="552"/>
      <c r="P126" s="552"/>
      <c r="Q126" s="552"/>
      <c r="R126" s="1035"/>
      <c r="S126" s="1138"/>
      <c r="T126" s="591"/>
      <c r="U126" s="1035">
        <v>595.81247495711841</v>
      </c>
      <c r="V126" s="591">
        <v>567.81651297709936</v>
      </c>
      <c r="W126" s="591">
        <v>560.05703825665864</v>
      </c>
      <c r="X126" s="591">
        <v>564.60447375565627</v>
      </c>
      <c r="Y126" s="591">
        <v>562.34910000000002</v>
      </c>
      <c r="Z126" s="591">
        <v>559.01</v>
      </c>
      <c r="AA126" s="1138">
        <v>457.28343354448816</v>
      </c>
      <c r="AB126" s="591">
        <v>457.28343354448816</v>
      </c>
      <c r="AC126" s="591">
        <v>457.28343354448816</v>
      </c>
      <c r="AD126" s="591">
        <v>457.28343354448816</v>
      </c>
      <c r="AE126" s="1035">
        <v>457.28343354448816</v>
      </c>
      <c r="AF126" s="591">
        <v>463.96869026358371</v>
      </c>
      <c r="AG126" s="591">
        <v>470.75168211612544</v>
      </c>
      <c r="AH126" s="591">
        <v>477.63383794123075</v>
      </c>
      <c r="AI126" s="591">
        <v>484.61660746693531</v>
      </c>
      <c r="AJ126" s="592">
        <v>491.70146161557881</v>
      </c>
      <c r="AK126" s="548"/>
      <c r="AM126" s="974"/>
      <c r="AO126" s="975" t="str">
        <f t="shared" si="38"/>
        <v>Price</v>
      </c>
      <c r="AP126" s="976" t="str">
        <f t="shared" si="38"/>
        <v>Water</v>
      </c>
      <c r="AQ126" s="977" t="str">
        <f t="shared" si="39"/>
        <v>Price cap - Fixed</v>
      </c>
      <c r="AR126" s="1341">
        <f t="shared" si="40"/>
        <v>-4.698787480412181E-2</v>
      </c>
      <c r="AS126" s="978">
        <f t="shared" si="41"/>
        <v>-1.3665461541013113E-2</v>
      </c>
      <c r="AT126" s="979">
        <f t="shared" si="42"/>
        <v>8.119593520604429E-3</v>
      </c>
      <c r="AU126" s="979">
        <f t="shared" si="43"/>
        <v>-3.9946083683217726E-3</v>
      </c>
      <c r="AV126" s="1352">
        <f t="shared" si="44"/>
        <v>-5.9377706837265842E-3</v>
      </c>
      <c r="AW126" s="1345">
        <f t="shared" si="45"/>
        <v>-0.18197629104222079</v>
      </c>
      <c r="AX126" s="979">
        <f t="shared" si="46"/>
        <v>0</v>
      </c>
      <c r="AY126" s="979">
        <f t="shared" si="47"/>
        <v>0</v>
      </c>
      <c r="AZ126" s="979">
        <f t="shared" si="48"/>
        <v>0</v>
      </c>
      <c r="BA126" s="980">
        <f t="shared" si="49"/>
        <v>0</v>
      </c>
      <c r="BB126" s="1345">
        <f t="shared" si="50"/>
        <v>1.4619503416681612E-2</v>
      </c>
      <c r="BC126" s="979">
        <f t="shared" si="51"/>
        <v>1.4619503416681612E-2</v>
      </c>
      <c r="BD126" s="979">
        <f t="shared" si="52"/>
        <v>1.4619503416681612E-2</v>
      </c>
      <c r="BE126" s="979">
        <f t="shared" si="53"/>
        <v>1.4619503416681612E-2</v>
      </c>
      <c r="BF126" s="981">
        <f t="shared" si="54"/>
        <v>1.4619503416681612E-2</v>
      </c>
      <c r="BG126" s="951"/>
      <c r="BH126" s="975" t="str">
        <f t="shared" si="55"/>
        <v>Price</v>
      </c>
      <c r="BI126" s="976" t="str">
        <f t="shared" si="56"/>
        <v>Water</v>
      </c>
      <c r="BJ126" s="977" t="str">
        <f t="shared" si="57"/>
        <v>Price cap - Fixed</v>
      </c>
      <c r="BK126" s="978">
        <f t="shared" ref="BK126:BU126" si="140">IF(V126="","-",IFERROR((V126/U126-1)*(U128/U$13),"-"))</f>
        <v>-3.6294507174792215E-4</v>
      </c>
      <c r="BL126" s="978">
        <f t="shared" si="140"/>
        <v>-1.0409861342652424E-4</v>
      </c>
      <c r="BM126" s="979">
        <f t="shared" si="140"/>
        <v>6.1441262278265116E-5</v>
      </c>
      <c r="BN126" s="979">
        <f t="shared" si="140"/>
        <v>-3.0297972753416539E-5</v>
      </c>
      <c r="BO126" s="1352">
        <f t="shared" si="140"/>
        <v>-4.4293411122956863E-5</v>
      </c>
      <c r="BP126" s="1345">
        <f t="shared" si="140"/>
        <v>-1.3499889965360461E-3</v>
      </c>
      <c r="BQ126" s="979">
        <f t="shared" si="140"/>
        <v>0</v>
      </c>
      <c r="BR126" s="979">
        <f t="shared" si="140"/>
        <v>0</v>
      </c>
      <c r="BS126" s="979">
        <f t="shared" si="140"/>
        <v>0</v>
      </c>
      <c r="BT126" s="980">
        <f t="shared" si="140"/>
        <v>0</v>
      </c>
      <c r="BU126" s="979">
        <f t="shared" si="140"/>
        <v>8.027515668162686E-5</v>
      </c>
      <c r="BV126" s="979">
        <f>IF(AG126="","-",IFERROR((AG126/AF126-1)*(AF128/AF$13),"-"))</f>
        <v>7.7794621991684565E-5</v>
      </c>
      <c r="BW126" s="979">
        <f>IF(AH126="","-",IFERROR((AH126/AG126-1)*(AG128/AG$13),"-"))</f>
        <v>7.7841637519531485E-5</v>
      </c>
      <c r="BX126" s="979">
        <f>IF(AI126="","-",IFERROR((AI126/AH126-1)*(AH128/AH$13),"-"))</f>
        <v>7.7839547637276833E-5</v>
      </c>
      <c r="BY126" s="981">
        <f>IF(AJ126="","-",IFERROR((AJ126/AI126-1)*(AI128/AI$13),"-"))</f>
        <v>7.76408555549046E-5</v>
      </c>
      <c r="BZ126" s="951"/>
      <c r="CA126" s="975" t="str">
        <f t="shared" si="35"/>
        <v>Price</v>
      </c>
      <c r="CB126" s="976" t="str">
        <f t="shared" si="36"/>
        <v>Water</v>
      </c>
      <c r="CC126" s="982" t="str">
        <f t="shared" si="37"/>
        <v>Price cap - Fixed</v>
      </c>
      <c r="CD126" s="983">
        <f t="shared" si="106"/>
        <v>-3.046981756579914E-2</v>
      </c>
      <c r="CE126" s="979">
        <f t="shared" si="60"/>
        <v>-1.7773664423189284E-2</v>
      </c>
      <c r="CF126" s="979">
        <f t="shared" si="60"/>
        <v>-1.4346875218358202E-2</v>
      </c>
      <c r="CG126" s="980">
        <f t="shared" si="60"/>
        <v>-1.2670764491771846E-2</v>
      </c>
      <c r="CH126" s="979">
        <f t="shared" si="107"/>
        <v>-9.5553368651428272E-2</v>
      </c>
      <c r="CI126" s="979">
        <f t="shared" si="62"/>
        <v>-6.4762389324892422E-2</v>
      </c>
      <c r="CJ126" s="979">
        <f t="shared" si="62"/>
        <v>-4.8976009057304704E-2</v>
      </c>
      <c r="CK126" s="981">
        <f t="shared" si="62"/>
        <v>-3.9376562992678221E-2</v>
      </c>
    </row>
    <row r="127" spans="4:89">
      <c r="E127" s="567" t="s">
        <v>880</v>
      </c>
      <c r="F127" s="554" t="str">
        <f>+F126</f>
        <v>Water</v>
      </c>
      <c r="G127" s="555" t="str">
        <f>+G126</f>
        <v>SEW</v>
      </c>
      <c r="H127" s="555" t="str">
        <f>+H126</f>
        <v>North South Pipeline</v>
      </c>
      <c r="I127" s="556" t="str">
        <f>+I126</f>
        <v>Price cap - Fixed</v>
      </c>
      <c r="J127" s="590" t="s">
        <v>881</v>
      </c>
      <c r="K127" s="557"/>
      <c r="L127" s="558"/>
      <c r="M127" s="558"/>
      <c r="N127" s="557"/>
      <c r="O127" s="558"/>
      <c r="P127" s="558"/>
      <c r="Q127" s="558"/>
      <c r="R127" s="1036"/>
      <c r="S127" s="1139"/>
      <c r="T127" s="593"/>
      <c r="U127" s="1036">
        <v>25000</v>
      </c>
      <c r="V127" s="593">
        <v>25000</v>
      </c>
      <c r="W127" s="593">
        <v>25000</v>
      </c>
      <c r="X127" s="593">
        <v>25000</v>
      </c>
      <c r="Y127" s="593">
        <v>25000</v>
      </c>
      <c r="Z127" s="593">
        <v>25000</v>
      </c>
      <c r="AA127" s="1139">
        <v>25000</v>
      </c>
      <c r="AB127" s="593">
        <v>25000</v>
      </c>
      <c r="AC127" s="593">
        <v>25000</v>
      </c>
      <c r="AD127" s="593">
        <v>25000</v>
      </c>
      <c r="AE127" s="1036">
        <v>25000</v>
      </c>
      <c r="AF127" s="593">
        <v>25000</v>
      </c>
      <c r="AG127" s="593">
        <v>25000</v>
      </c>
      <c r="AH127" s="593">
        <v>25000</v>
      </c>
      <c r="AI127" s="593">
        <v>25000</v>
      </c>
      <c r="AJ127" s="594">
        <v>25000</v>
      </c>
      <c r="AK127" s="548"/>
      <c r="AO127" s="961" t="str">
        <f t="shared" si="38"/>
        <v>Qty</v>
      </c>
      <c r="AP127" s="962" t="str">
        <f t="shared" si="38"/>
        <v>Water</v>
      </c>
      <c r="AQ127" s="963" t="str">
        <f t="shared" si="39"/>
        <v>Price cap - Fixed</v>
      </c>
      <c r="AR127" s="967">
        <f t="shared" si="40"/>
        <v>0</v>
      </c>
      <c r="AS127" s="964">
        <f t="shared" si="41"/>
        <v>0</v>
      </c>
      <c r="AT127" s="964">
        <f t="shared" si="42"/>
        <v>0</v>
      </c>
      <c r="AU127" s="964">
        <f t="shared" si="43"/>
        <v>0</v>
      </c>
      <c r="AV127" s="1350">
        <f t="shared" si="44"/>
        <v>0</v>
      </c>
      <c r="AW127" s="1343">
        <f t="shared" si="45"/>
        <v>0</v>
      </c>
      <c r="AX127" s="964">
        <f t="shared" si="46"/>
        <v>0</v>
      </c>
      <c r="AY127" s="964">
        <f t="shared" si="47"/>
        <v>0</v>
      </c>
      <c r="AZ127" s="964">
        <f t="shared" si="48"/>
        <v>0</v>
      </c>
      <c r="BA127" s="965">
        <f t="shared" si="49"/>
        <v>0</v>
      </c>
      <c r="BB127" s="1343">
        <f t="shared" si="50"/>
        <v>0</v>
      </c>
      <c r="BC127" s="964">
        <f t="shared" si="51"/>
        <v>0</v>
      </c>
      <c r="BD127" s="964">
        <f t="shared" si="52"/>
        <v>0</v>
      </c>
      <c r="BE127" s="964">
        <f t="shared" si="53"/>
        <v>0</v>
      </c>
      <c r="BF127" s="966">
        <f t="shared" si="54"/>
        <v>0</v>
      </c>
      <c r="BG127" s="951"/>
      <c r="BH127" s="961" t="str">
        <f t="shared" si="55"/>
        <v>Qty</v>
      </c>
      <c r="BI127" s="962" t="str">
        <f t="shared" si="56"/>
        <v>Water</v>
      </c>
      <c r="BJ127" s="963" t="str">
        <f t="shared" si="57"/>
        <v>Price cap - Fixed</v>
      </c>
      <c r="BK127" s="964">
        <f t="shared" ref="BK127:BU127" si="141">IF(V127="","-",IFERROR((V127/U127-1)*(U128/U$13),"-"))</f>
        <v>0</v>
      </c>
      <c r="BL127" s="964">
        <f t="shared" si="141"/>
        <v>0</v>
      </c>
      <c r="BM127" s="964">
        <f t="shared" si="141"/>
        <v>0</v>
      </c>
      <c r="BN127" s="964">
        <f t="shared" si="141"/>
        <v>0</v>
      </c>
      <c r="BO127" s="1350">
        <f t="shared" si="141"/>
        <v>0</v>
      </c>
      <c r="BP127" s="1343">
        <f t="shared" si="141"/>
        <v>0</v>
      </c>
      <c r="BQ127" s="964">
        <f t="shared" si="141"/>
        <v>0</v>
      </c>
      <c r="BR127" s="964">
        <f t="shared" si="141"/>
        <v>0</v>
      </c>
      <c r="BS127" s="964">
        <f t="shared" si="141"/>
        <v>0</v>
      </c>
      <c r="BT127" s="965">
        <f t="shared" si="141"/>
        <v>0</v>
      </c>
      <c r="BU127" s="964">
        <f t="shared" si="141"/>
        <v>0</v>
      </c>
      <c r="BV127" s="964">
        <f>IF(AG127="","-",IFERROR((AG127/AF127-1)*(AF128/AF$13),"-"))</f>
        <v>0</v>
      </c>
      <c r="BW127" s="964">
        <f>IF(AH127="","-",IFERROR((AH127/AG127-1)*(AG128/AG$13),"-"))</f>
        <v>0</v>
      </c>
      <c r="BX127" s="964">
        <f>IF(AI127="","-",IFERROR((AI127/AH127-1)*(AH128/AH$13),"-"))</f>
        <v>0</v>
      </c>
      <c r="BY127" s="966">
        <f>IF(AJ127="","-",IFERROR((AJ127/AI127-1)*(AI128/AI$13),"-"))</f>
        <v>0</v>
      </c>
      <c r="BZ127" s="951"/>
      <c r="CA127" s="961" t="str">
        <f t="shared" si="35"/>
        <v>Qty</v>
      </c>
      <c r="CB127" s="962" t="str">
        <f t="shared" si="36"/>
        <v>Water</v>
      </c>
      <c r="CC127" s="962" t="str">
        <f t="shared" si="37"/>
        <v>Price cap - Fixed</v>
      </c>
      <c r="CD127" s="967">
        <f t="shared" si="106"/>
        <v>0</v>
      </c>
      <c r="CE127" s="964">
        <f t="shared" si="60"/>
        <v>0</v>
      </c>
      <c r="CF127" s="964">
        <f t="shared" si="60"/>
        <v>0</v>
      </c>
      <c r="CG127" s="965">
        <f t="shared" si="60"/>
        <v>0</v>
      </c>
      <c r="CH127" s="964">
        <f t="shared" si="107"/>
        <v>0</v>
      </c>
      <c r="CI127" s="964">
        <f t="shared" si="62"/>
        <v>0</v>
      </c>
      <c r="CJ127" s="964">
        <f t="shared" si="62"/>
        <v>0</v>
      </c>
      <c r="CK127" s="966">
        <f t="shared" si="62"/>
        <v>0</v>
      </c>
    </row>
    <row r="128" spans="4:89" ht="12.75" thickBot="1">
      <c r="E128" s="568" t="s">
        <v>882</v>
      </c>
      <c r="F128" s="560" t="str">
        <f>+F126</f>
        <v>Water</v>
      </c>
      <c r="G128" s="561" t="str">
        <f>+G126</f>
        <v>SEW</v>
      </c>
      <c r="H128" s="561" t="str">
        <f>+H126</f>
        <v>North South Pipeline</v>
      </c>
      <c r="I128" s="562" t="str">
        <f>+I126</f>
        <v>Price cap - Fixed</v>
      </c>
      <c r="J128" s="563" t="s">
        <v>883</v>
      </c>
      <c r="K128" s="564">
        <f t="shared" ref="K128:AJ128" si="142">K126*K127/10^6</f>
        <v>0</v>
      </c>
      <c r="L128" s="565">
        <f t="shared" si="142"/>
        <v>0</v>
      </c>
      <c r="M128" s="565">
        <f t="shared" si="142"/>
        <v>0</v>
      </c>
      <c r="N128" s="564">
        <f t="shared" si="142"/>
        <v>0</v>
      </c>
      <c r="O128" s="565">
        <f t="shared" si="142"/>
        <v>0</v>
      </c>
      <c r="P128" s="565">
        <f t="shared" si="142"/>
        <v>0</v>
      </c>
      <c r="Q128" s="565">
        <f t="shared" si="142"/>
        <v>0</v>
      </c>
      <c r="R128" s="566">
        <f t="shared" si="142"/>
        <v>0</v>
      </c>
      <c r="S128" s="564">
        <f t="shared" si="142"/>
        <v>0</v>
      </c>
      <c r="T128" s="565">
        <f t="shared" si="142"/>
        <v>0</v>
      </c>
      <c r="U128" s="566">
        <f t="shared" si="142"/>
        <v>14.895311873927961</v>
      </c>
      <c r="V128" s="565">
        <f t="shared" si="142"/>
        <v>14.195412824427484</v>
      </c>
      <c r="W128" s="565">
        <f t="shared" si="142"/>
        <v>14.001425956416465</v>
      </c>
      <c r="X128" s="565">
        <f t="shared" si="142"/>
        <v>14.115111843891407</v>
      </c>
      <c r="Y128" s="565">
        <f t="shared" si="142"/>
        <v>14.0587275</v>
      </c>
      <c r="Z128" s="565">
        <f t="shared" si="142"/>
        <v>13.975250000000001</v>
      </c>
      <c r="AA128" s="564">
        <f t="shared" si="142"/>
        <v>11.432085838612204</v>
      </c>
      <c r="AB128" s="565">
        <f t="shared" si="142"/>
        <v>11.432085838612204</v>
      </c>
      <c r="AC128" s="565">
        <f t="shared" si="142"/>
        <v>11.432085838612204</v>
      </c>
      <c r="AD128" s="565">
        <f t="shared" si="142"/>
        <v>11.432085838612204</v>
      </c>
      <c r="AE128" s="566">
        <f t="shared" si="142"/>
        <v>11.432085838612204</v>
      </c>
      <c r="AF128" s="565">
        <f t="shared" si="142"/>
        <v>11.599217256589593</v>
      </c>
      <c r="AG128" s="565">
        <f>AG126*AG127/10^6</f>
        <v>11.768792052903136</v>
      </c>
      <c r="AH128" s="565">
        <f>AH126*AH127/10^6</f>
        <v>11.94084594853077</v>
      </c>
      <c r="AI128" s="565">
        <f>AI126*AI127/10^6</f>
        <v>12.115415186673383</v>
      </c>
      <c r="AJ128" s="566">
        <f t="shared" si="142"/>
        <v>12.29253654038947</v>
      </c>
      <c r="AK128" s="548"/>
      <c r="AO128" s="984" t="str">
        <f t="shared" si="38"/>
        <v>Rev</v>
      </c>
      <c r="AP128" s="985" t="str">
        <f t="shared" si="38"/>
        <v>Water</v>
      </c>
      <c r="AQ128" s="986" t="str">
        <f t="shared" si="39"/>
        <v>Price cap - Fixed</v>
      </c>
      <c r="AR128" s="990">
        <f t="shared" si="40"/>
        <v>-4.6987874804121921E-2</v>
      </c>
      <c r="AS128" s="987">
        <f t="shared" si="41"/>
        <v>-1.3665461541013113E-2</v>
      </c>
      <c r="AT128" s="987">
        <f t="shared" si="42"/>
        <v>8.119593520604429E-3</v>
      </c>
      <c r="AU128" s="987">
        <f t="shared" si="43"/>
        <v>-3.9946083683218836E-3</v>
      </c>
      <c r="AV128" s="1353">
        <f t="shared" si="44"/>
        <v>-5.9377706837264732E-3</v>
      </c>
      <c r="AW128" s="1346">
        <f t="shared" si="45"/>
        <v>-0.18197629104222079</v>
      </c>
      <c r="AX128" s="987">
        <f t="shared" si="46"/>
        <v>0</v>
      </c>
      <c r="AY128" s="987">
        <f t="shared" si="47"/>
        <v>0</v>
      </c>
      <c r="AZ128" s="987">
        <f t="shared" si="48"/>
        <v>0</v>
      </c>
      <c r="BA128" s="988">
        <f t="shared" si="49"/>
        <v>0</v>
      </c>
      <c r="BB128" s="1346">
        <f t="shared" si="50"/>
        <v>1.4619503416681612E-2</v>
      </c>
      <c r="BC128" s="987">
        <f t="shared" si="51"/>
        <v>1.461950341668139E-2</v>
      </c>
      <c r="BD128" s="987">
        <f t="shared" si="52"/>
        <v>1.4619503416681834E-2</v>
      </c>
      <c r="BE128" s="987">
        <f t="shared" si="53"/>
        <v>1.4619503416681612E-2</v>
      </c>
      <c r="BF128" s="989">
        <f t="shared" si="54"/>
        <v>1.4619503416681612E-2</v>
      </c>
      <c r="BG128" s="951"/>
      <c r="BH128" s="984" t="str">
        <f t="shared" si="55"/>
        <v>Rev</v>
      </c>
      <c r="BI128" s="985" t="str">
        <f t="shared" si="56"/>
        <v>Water</v>
      </c>
      <c r="BJ128" s="986" t="str">
        <f t="shared" si="57"/>
        <v>Price cap - Fixed</v>
      </c>
      <c r="BK128" s="987">
        <f t="shared" ref="BK128:BU128" si="143">IF(V128="","-",IFERROR((V128/U128-1)*(U128/U$13),"-"))</f>
        <v>-3.6294507174792302E-4</v>
      </c>
      <c r="BL128" s="987">
        <f t="shared" si="143"/>
        <v>-1.0409861342652424E-4</v>
      </c>
      <c r="BM128" s="987">
        <f t="shared" si="143"/>
        <v>6.1441262278265116E-5</v>
      </c>
      <c r="BN128" s="987">
        <f t="shared" si="143"/>
        <v>-3.0297972753417379E-5</v>
      </c>
      <c r="BO128" s="1353">
        <f t="shared" si="143"/>
        <v>-4.4293411122956036E-5</v>
      </c>
      <c r="BP128" s="1346">
        <f t="shared" si="143"/>
        <v>-1.3499889965360461E-3</v>
      </c>
      <c r="BQ128" s="987">
        <f t="shared" si="143"/>
        <v>0</v>
      </c>
      <c r="BR128" s="987">
        <f t="shared" si="143"/>
        <v>0</v>
      </c>
      <c r="BS128" s="987">
        <f t="shared" si="143"/>
        <v>0</v>
      </c>
      <c r="BT128" s="988">
        <f t="shared" si="143"/>
        <v>0</v>
      </c>
      <c r="BU128" s="987">
        <f t="shared" si="143"/>
        <v>8.027515668162686E-5</v>
      </c>
      <c r="BV128" s="987">
        <f>IF(AG128="","-",IFERROR((AG128/AF128-1)*(AF128/AF$13),"-"))</f>
        <v>7.7794621991683372E-5</v>
      </c>
      <c r="BW128" s="987">
        <f>IF(AH128="","-",IFERROR((AH128/AG128-1)*(AG128/AG$13),"-"))</f>
        <v>7.7841637519532664E-5</v>
      </c>
      <c r="BX128" s="987">
        <f>IF(AI128="","-",IFERROR((AI128/AH128-1)*(AH128/AH$13),"-"))</f>
        <v>7.7839547637276833E-5</v>
      </c>
      <c r="BY128" s="989">
        <f>IF(AJ128="","-",IFERROR((AJ128/AI128-1)*(AI128/AI$13),"-"))</f>
        <v>7.76408555549046E-5</v>
      </c>
      <c r="BZ128" s="951"/>
      <c r="CA128" s="984" t="str">
        <f t="shared" si="35"/>
        <v>Rev</v>
      </c>
      <c r="CB128" s="985" t="str">
        <f t="shared" si="36"/>
        <v>Water</v>
      </c>
      <c r="CC128" s="985" t="str">
        <f t="shared" si="37"/>
        <v>Price cap - Fixed</v>
      </c>
      <c r="CD128" s="990">
        <f t="shared" si="106"/>
        <v>-3.046981756579914E-2</v>
      </c>
      <c r="CE128" s="987">
        <f t="shared" si="60"/>
        <v>-1.7773664423189284E-2</v>
      </c>
      <c r="CF128" s="987">
        <f t="shared" si="60"/>
        <v>-1.4346875218358202E-2</v>
      </c>
      <c r="CG128" s="988">
        <f t="shared" si="60"/>
        <v>-1.2670764491771846E-2</v>
      </c>
      <c r="CH128" s="987">
        <f t="shared" si="107"/>
        <v>-9.5553368651428272E-2</v>
      </c>
      <c r="CI128" s="987">
        <f t="shared" si="62"/>
        <v>-6.4762389324892422E-2</v>
      </c>
      <c r="CJ128" s="987">
        <f t="shared" si="62"/>
        <v>-4.8976009057304704E-2</v>
      </c>
      <c r="CK128" s="989">
        <f t="shared" si="62"/>
        <v>-3.9376562992678221E-2</v>
      </c>
    </row>
    <row r="129" spans="4:89">
      <c r="D129" s="63">
        <f>D126+1</f>
        <v>21</v>
      </c>
      <c r="E129" s="550" t="s">
        <v>857</v>
      </c>
      <c r="F129" s="595" t="s">
        <v>401</v>
      </c>
      <c r="G129" s="595" t="s">
        <v>103</v>
      </c>
      <c r="H129" s="595" t="s">
        <v>885</v>
      </c>
      <c r="I129" s="589" t="s">
        <v>939</v>
      </c>
      <c r="J129" s="589" t="s">
        <v>879</v>
      </c>
      <c r="K129" s="551"/>
      <c r="L129" s="552"/>
      <c r="M129" s="552"/>
      <c r="N129" s="551"/>
      <c r="O129" s="552"/>
      <c r="P129" s="552"/>
      <c r="Q129" s="552"/>
      <c r="R129" s="1035"/>
      <c r="S129" s="1138"/>
      <c r="T129" s="591"/>
      <c r="U129" s="1035">
        <v>595.81247495711841</v>
      </c>
      <c r="V129" s="591">
        <v>567.81651297709936</v>
      </c>
      <c r="W129" s="591">
        <v>560.05703825665864</v>
      </c>
      <c r="X129" s="591">
        <v>564.60447375565627</v>
      </c>
      <c r="Y129" s="591">
        <v>562.34910000000002</v>
      </c>
      <c r="Z129" s="591">
        <v>559.01</v>
      </c>
      <c r="AA129" s="1138">
        <v>457.28343354448816</v>
      </c>
      <c r="AB129" s="591">
        <v>457.28343354448816</v>
      </c>
      <c r="AC129" s="591">
        <v>457.28343354448816</v>
      </c>
      <c r="AD129" s="591">
        <v>457.28343354448816</v>
      </c>
      <c r="AE129" s="1035">
        <v>457.28343354448816</v>
      </c>
      <c r="AF129" s="591">
        <v>463.96869026358371</v>
      </c>
      <c r="AG129" s="591">
        <v>470.75168211612544</v>
      </c>
      <c r="AH129" s="591">
        <v>477.63383794123075</v>
      </c>
      <c r="AI129" s="591">
        <v>484.61660746693531</v>
      </c>
      <c r="AJ129" s="592">
        <v>491.70146161557881</v>
      </c>
      <c r="AK129" s="548"/>
      <c r="AM129" s="974"/>
      <c r="AO129" s="975" t="str">
        <f t="shared" si="38"/>
        <v>Price</v>
      </c>
      <c r="AP129" s="976" t="str">
        <f t="shared" si="38"/>
        <v>Water</v>
      </c>
      <c r="AQ129" s="977" t="str">
        <f t="shared" si="39"/>
        <v>Price cap - Fixed</v>
      </c>
      <c r="AR129" s="1341">
        <f t="shared" si="40"/>
        <v>-4.698787480412181E-2</v>
      </c>
      <c r="AS129" s="978">
        <f t="shared" si="41"/>
        <v>-1.3665461541013113E-2</v>
      </c>
      <c r="AT129" s="979">
        <f t="shared" si="42"/>
        <v>8.119593520604429E-3</v>
      </c>
      <c r="AU129" s="979">
        <f t="shared" si="43"/>
        <v>-3.9946083683217726E-3</v>
      </c>
      <c r="AV129" s="1352">
        <f t="shared" si="44"/>
        <v>-5.9377706837265842E-3</v>
      </c>
      <c r="AW129" s="1345">
        <f t="shared" si="45"/>
        <v>-0.18197629104222079</v>
      </c>
      <c r="AX129" s="979">
        <f t="shared" si="46"/>
        <v>0</v>
      </c>
      <c r="AY129" s="979">
        <f t="shared" si="47"/>
        <v>0</v>
      </c>
      <c r="AZ129" s="979">
        <f t="shared" si="48"/>
        <v>0</v>
      </c>
      <c r="BA129" s="980">
        <f t="shared" si="49"/>
        <v>0</v>
      </c>
      <c r="BB129" s="1345">
        <f t="shared" si="50"/>
        <v>1.4619503416681612E-2</v>
      </c>
      <c r="BC129" s="979">
        <f t="shared" si="51"/>
        <v>1.4619503416681612E-2</v>
      </c>
      <c r="BD129" s="979">
        <f t="shared" si="52"/>
        <v>1.4619503416681612E-2</v>
      </c>
      <c r="BE129" s="979">
        <f t="shared" si="53"/>
        <v>1.4619503416681612E-2</v>
      </c>
      <c r="BF129" s="981">
        <f t="shared" si="54"/>
        <v>1.4619503416681612E-2</v>
      </c>
      <c r="BG129" s="951"/>
      <c r="BH129" s="975" t="str">
        <f t="shared" si="55"/>
        <v>Price</v>
      </c>
      <c r="BI129" s="976" t="str">
        <f t="shared" si="56"/>
        <v>Water</v>
      </c>
      <c r="BJ129" s="977" t="str">
        <f t="shared" si="57"/>
        <v>Price cap - Fixed</v>
      </c>
      <c r="BK129" s="978">
        <f t="shared" ref="BK129:BU129" si="144">IF(V129="","-",IFERROR((V129/U129-1)*(U131/U$13),"-"))</f>
        <v>-3.6294507174792215E-4</v>
      </c>
      <c r="BL129" s="978">
        <f t="shared" si="144"/>
        <v>-1.0409861342652424E-4</v>
      </c>
      <c r="BM129" s="979">
        <f t="shared" si="144"/>
        <v>6.1441262278265116E-5</v>
      </c>
      <c r="BN129" s="979">
        <f t="shared" si="144"/>
        <v>-3.0297972753416539E-5</v>
      </c>
      <c r="BO129" s="1352">
        <f t="shared" si="144"/>
        <v>-4.4293411122956863E-5</v>
      </c>
      <c r="BP129" s="1345">
        <f t="shared" si="144"/>
        <v>-1.3499889965360461E-3</v>
      </c>
      <c r="BQ129" s="979">
        <f t="shared" si="144"/>
        <v>0</v>
      </c>
      <c r="BR129" s="979">
        <f t="shared" si="144"/>
        <v>0</v>
      </c>
      <c r="BS129" s="979">
        <f t="shared" si="144"/>
        <v>0</v>
      </c>
      <c r="BT129" s="980">
        <f t="shared" si="144"/>
        <v>0</v>
      </c>
      <c r="BU129" s="979">
        <f t="shared" si="144"/>
        <v>8.027515668162686E-5</v>
      </c>
      <c r="BV129" s="979">
        <f>IF(AG129="","-",IFERROR((AG129/AF129-1)*(AF131/AF$13),"-"))</f>
        <v>7.7794621991684565E-5</v>
      </c>
      <c r="BW129" s="979">
        <f>IF(AH129="","-",IFERROR((AH129/AG129-1)*(AG131/AG$13),"-"))</f>
        <v>7.7841637519531485E-5</v>
      </c>
      <c r="BX129" s="979">
        <f>IF(AI129="","-",IFERROR((AI129/AH129-1)*(AH131/AH$13),"-"))</f>
        <v>7.7839547637276833E-5</v>
      </c>
      <c r="BY129" s="981">
        <f>IF(AJ129="","-",IFERROR((AJ129/AI129-1)*(AI131/AI$13),"-"))</f>
        <v>7.76408555549046E-5</v>
      </c>
      <c r="BZ129" s="951"/>
      <c r="CA129" s="975" t="str">
        <f t="shared" si="35"/>
        <v>Price</v>
      </c>
      <c r="CB129" s="976" t="str">
        <f t="shared" si="36"/>
        <v>Water</v>
      </c>
      <c r="CC129" s="982" t="str">
        <f t="shared" si="37"/>
        <v>Price cap - Fixed</v>
      </c>
      <c r="CD129" s="983">
        <f t="shared" si="106"/>
        <v>-3.046981756579914E-2</v>
      </c>
      <c r="CE129" s="979">
        <f t="shared" si="60"/>
        <v>-1.7773664423189284E-2</v>
      </c>
      <c r="CF129" s="979">
        <f t="shared" si="60"/>
        <v>-1.4346875218358202E-2</v>
      </c>
      <c r="CG129" s="980">
        <f t="shared" si="60"/>
        <v>-1.2670764491771846E-2</v>
      </c>
      <c r="CH129" s="979">
        <f t="shared" si="107"/>
        <v>-9.5553368651428272E-2</v>
      </c>
      <c r="CI129" s="979">
        <f t="shared" si="62"/>
        <v>-6.4762389324892422E-2</v>
      </c>
      <c r="CJ129" s="979">
        <f t="shared" si="62"/>
        <v>-4.8976009057304704E-2</v>
      </c>
      <c r="CK129" s="981">
        <f t="shared" si="62"/>
        <v>-3.9376562992678221E-2</v>
      </c>
    </row>
    <row r="130" spans="4:89">
      <c r="E130" s="567" t="s">
        <v>880</v>
      </c>
      <c r="F130" s="554" t="str">
        <f>+F129</f>
        <v>Water</v>
      </c>
      <c r="G130" s="555" t="str">
        <f>+G129</f>
        <v>YVW</v>
      </c>
      <c r="H130" s="555" t="str">
        <f>+H129</f>
        <v>North South Pipeline</v>
      </c>
      <c r="I130" s="556" t="str">
        <f>+I129</f>
        <v>Price cap - Fixed</v>
      </c>
      <c r="J130" s="590" t="s">
        <v>881</v>
      </c>
      <c r="K130" s="557"/>
      <c r="L130" s="558"/>
      <c r="M130" s="558"/>
      <c r="N130" s="557"/>
      <c r="O130" s="558"/>
      <c r="P130" s="558"/>
      <c r="Q130" s="558"/>
      <c r="R130" s="1036"/>
      <c r="S130" s="1139"/>
      <c r="T130" s="593"/>
      <c r="U130" s="1036">
        <v>25000</v>
      </c>
      <c r="V130" s="593">
        <v>25000</v>
      </c>
      <c r="W130" s="593">
        <v>25000</v>
      </c>
      <c r="X130" s="593">
        <v>25000</v>
      </c>
      <c r="Y130" s="593">
        <v>25000</v>
      </c>
      <c r="Z130" s="593">
        <v>25000</v>
      </c>
      <c r="AA130" s="1139">
        <v>25000</v>
      </c>
      <c r="AB130" s="593">
        <v>25000</v>
      </c>
      <c r="AC130" s="593">
        <v>25000</v>
      </c>
      <c r="AD130" s="593">
        <v>25000</v>
      </c>
      <c r="AE130" s="1036">
        <v>25000</v>
      </c>
      <c r="AF130" s="593">
        <v>25000</v>
      </c>
      <c r="AG130" s="593">
        <v>25000</v>
      </c>
      <c r="AH130" s="593">
        <v>25000</v>
      </c>
      <c r="AI130" s="593">
        <v>25000</v>
      </c>
      <c r="AJ130" s="594">
        <v>25000</v>
      </c>
      <c r="AK130" s="548"/>
      <c r="AO130" s="961" t="str">
        <f t="shared" si="38"/>
        <v>Qty</v>
      </c>
      <c r="AP130" s="962" t="str">
        <f t="shared" si="38"/>
        <v>Water</v>
      </c>
      <c r="AQ130" s="963" t="str">
        <f t="shared" si="39"/>
        <v>Price cap - Fixed</v>
      </c>
      <c r="AR130" s="967">
        <f t="shared" si="40"/>
        <v>0</v>
      </c>
      <c r="AS130" s="964">
        <f t="shared" si="41"/>
        <v>0</v>
      </c>
      <c r="AT130" s="964">
        <f t="shared" si="42"/>
        <v>0</v>
      </c>
      <c r="AU130" s="964">
        <f t="shared" si="43"/>
        <v>0</v>
      </c>
      <c r="AV130" s="1350">
        <f t="shared" si="44"/>
        <v>0</v>
      </c>
      <c r="AW130" s="1343">
        <f t="shared" si="45"/>
        <v>0</v>
      </c>
      <c r="AX130" s="964">
        <f t="shared" si="46"/>
        <v>0</v>
      </c>
      <c r="AY130" s="964">
        <f t="shared" si="47"/>
        <v>0</v>
      </c>
      <c r="AZ130" s="964">
        <f t="shared" si="48"/>
        <v>0</v>
      </c>
      <c r="BA130" s="965">
        <f t="shared" si="49"/>
        <v>0</v>
      </c>
      <c r="BB130" s="1343">
        <f t="shared" si="50"/>
        <v>0</v>
      </c>
      <c r="BC130" s="964">
        <f t="shared" si="51"/>
        <v>0</v>
      </c>
      <c r="BD130" s="964">
        <f t="shared" si="52"/>
        <v>0</v>
      </c>
      <c r="BE130" s="964">
        <f t="shared" si="53"/>
        <v>0</v>
      </c>
      <c r="BF130" s="966">
        <f t="shared" si="54"/>
        <v>0</v>
      </c>
      <c r="BG130" s="951"/>
      <c r="BH130" s="961" t="str">
        <f t="shared" si="55"/>
        <v>Qty</v>
      </c>
      <c r="BI130" s="962" t="str">
        <f t="shared" si="56"/>
        <v>Water</v>
      </c>
      <c r="BJ130" s="963" t="str">
        <f t="shared" si="57"/>
        <v>Price cap - Fixed</v>
      </c>
      <c r="BK130" s="964">
        <f t="shared" ref="BK130:BU130" si="145">IF(V130="","-",IFERROR((V130/U130-1)*(U131/U$13),"-"))</f>
        <v>0</v>
      </c>
      <c r="BL130" s="964">
        <f t="shared" si="145"/>
        <v>0</v>
      </c>
      <c r="BM130" s="964">
        <f t="shared" si="145"/>
        <v>0</v>
      </c>
      <c r="BN130" s="964">
        <f t="shared" si="145"/>
        <v>0</v>
      </c>
      <c r="BO130" s="1350">
        <f t="shared" si="145"/>
        <v>0</v>
      </c>
      <c r="BP130" s="1343">
        <f t="shared" si="145"/>
        <v>0</v>
      </c>
      <c r="BQ130" s="964">
        <f t="shared" si="145"/>
        <v>0</v>
      </c>
      <c r="BR130" s="964">
        <f t="shared" si="145"/>
        <v>0</v>
      </c>
      <c r="BS130" s="964">
        <f t="shared" si="145"/>
        <v>0</v>
      </c>
      <c r="BT130" s="965">
        <f t="shared" si="145"/>
        <v>0</v>
      </c>
      <c r="BU130" s="964">
        <f t="shared" si="145"/>
        <v>0</v>
      </c>
      <c r="BV130" s="964">
        <f>IF(AG130="","-",IFERROR((AG130/AF130-1)*(AF131/AF$13),"-"))</f>
        <v>0</v>
      </c>
      <c r="BW130" s="964">
        <f>IF(AH130="","-",IFERROR((AH130/AG130-1)*(AG131/AG$13),"-"))</f>
        <v>0</v>
      </c>
      <c r="BX130" s="964">
        <f>IF(AI130="","-",IFERROR((AI130/AH130-1)*(AH131/AH$13),"-"))</f>
        <v>0</v>
      </c>
      <c r="BY130" s="966">
        <f>IF(AJ130="","-",IFERROR((AJ130/AI130-1)*(AI131/AI$13),"-"))</f>
        <v>0</v>
      </c>
      <c r="BZ130" s="951"/>
      <c r="CA130" s="961" t="str">
        <f t="shared" si="35"/>
        <v>Qty</v>
      </c>
      <c r="CB130" s="962" t="str">
        <f t="shared" si="36"/>
        <v>Water</v>
      </c>
      <c r="CC130" s="962" t="str">
        <f t="shared" si="37"/>
        <v>Price cap - Fixed</v>
      </c>
      <c r="CD130" s="967">
        <f t="shared" si="106"/>
        <v>0</v>
      </c>
      <c r="CE130" s="964">
        <f t="shared" si="60"/>
        <v>0</v>
      </c>
      <c r="CF130" s="964">
        <f t="shared" si="60"/>
        <v>0</v>
      </c>
      <c r="CG130" s="965">
        <f t="shared" si="60"/>
        <v>0</v>
      </c>
      <c r="CH130" s="964">
        <f t="shared" si="107"/>
        <v>0</v>
      </c>
      <c r="CI130" s="964">
        <f t="shared" si="62"/>
        <v>0</v>
      </c>
      <c r="CJ130" s="964">
        <f t="shared" si="62"/>
        <v>0</v>
      </c>
      <c r="CK130" s="966">
        <f t="shared" si="62"/>
        <v>0</v>
      </c>
    </row>
    <row r="131" spans="4:89" ht="12.75" thickBot="1">
      <c r="E131" s="568" t="s">
        <v>882</v>
      </c>
      <c r="F131" s="560" t="str">
        <f>+F129</f>
        <v>Water</v>
      </c>
      <c r="G131" s="561" t="str">
        <f>+G129</f>
        <v>YVW</v>
      </c>
      <c r="H131" s="561" t="str">
        <f>+H129</f>
        <v>North South Pipeline</v>
      </c>
      <c r="I131" s="562" t="str">
        <f>+I129</f>
        <v>Price cap - Fixed</v>
      </c>
      <c r="J131" s="563" t="s">
        <v>883</v>
      </c>
      <c r="K131" s="564">
        <f t="shared" ref="K131:AJ131" si="146">K129*K130/10^6</f>
        <v>0</v>
      </c>
      <c r="L131" s="565">
        <f t="shared" si="146"/>
        <v>0</v>
      </c>
      <c r="M131" s="565">
        <f t="shared" si="146"/>
        <v>0</v>
      </c>
      <c r="N131" s="564">
        <f t="shared" si="146"/>
        <v>0</v>
      </c>
      <c r="O131" s="565">
        <f t="shared" si="146"/>
        <v>0</v>
      </c>
      <c r="P131" s="565">
        <f t="shared" si="146"/>
        <v>0</v>
      </c>
      <c r="Q131" s="565">
        <f t="shared" si="146"/>
        <v>0</v>
      </c>
      <c r="R131" s="566">
        <f t="shared" si="146"/>
        <v>0</v>
      </c>
      <c r="S131" s="564">
        <f t="shared" si="146"/>
        <v>0</v>
      </c>
      <c r="T131" s="565">
        <f t="shared" si="146"/>
        <v>0</v>
      </c>
      <c r="U131" s="566">
        <f t="shared" si="146"/>
        <v>14.895311873927961</v>
      </c>
      <c r="V131" s="565">
        <f t="shared" si="146"/>
        <v>14.195412824427484</v>
      </c>
      <c r="W131" s="565">
        <f t="shared" si="146"/>
        <v>14.001425956416465</v>
      </c>
      <c r="X131" s="565">
        <f t="shared" si="146"/>
        <v>14.115111843891407</v>
      </c>
      <c r="Y131" s="565">
        <f t="shared" si="146"/>
        <v>14.0587275</v>
      </c>
      <c r="Z131" s="565">
        <f t="shared" si="146"/>
        <v>13.975250000000001</v>
      </c>
      <c r="AA131" s="564">
        <f t="shared" si="146"/>
        <v>11.432085838612204</v>
      </c>
      <c r="AB131" s="565">
        <f t="shared" si="146"/>
        <v>11.432085838612204</v>
      </c>
      <c r="AC131" s="565">
        <f t="shared" si="146"/>
        <v>11.432085838612204</v>
      </c>
      <c r="AD131" s="565">
        <f t="shared" si="146"/>
        <v>11.432085838612204</v>
      </c>
      <c r="AE131" s="566">
        <f t="shared" si="146"/>
        <v>11.432085838612204</v>
      </c>
      <c r="AF131" s="565">
        <f t="shared" si="146"/>
        <v>11.599217256589593</v>
      </c>
      <c r="AG131" s="565">
        <f>AG129*AG130/10^6</f>
        <v>11.768792052903136</v>
      </c>
      <c r="AH131" s="565">
        <f>AH129*AH130/10^6</f>
        <v>11.94084594853077</v>
      </c>
      <c r="AI131" s="565">
        <f>AI129*AI130/10^6</f>
        <v>12.115415186673383</v>
      </c>
      <c r="AJ131" s="566">
        <f t="shared" si="146"/>
        <v>12.29253654038947</v>
      </c>
      <c r="AK131" s="548"/>
      <c r="AO131" s="984" t="str">
        <f t="shared" si="38"/>
        <v>Rev</v>
      </c>
      <c r="AP131" s="985" t="str">
        <f t="shared" si="38"/>
        <v>Water</v>
      </c>
      <c r="AQ131" s="986" t="str">
        <f t="shared" si="39"/>
        <v>Price cap - Fixed</v>
      </c>
      <c r="AR131" s="990">
        <f t="shared" si="40"/>
        <v>-4.6987874804121921E-2</v>
      </c>
      <c r="AS131" s="987">
        <f t="shared" si="41"/>
        <v>-1.3665461541013113E-2</v>
      </c>
      <c r="AT131" s="987">
        <f t="shared" si="42"/>
        <v>8.119593520604429E-3</v>
      </c>
      <c r="AU131" s="987">
        <f t="shared" si="43"/>
        <v>-3.9946083683218836E-3</v>
      </c>
      <c r="AV131" s="1353">
        <f t="shared" si="44"/>
        <v>-5.9377706837264732E-3</v>
      </c>
      <c r="AW131" s="1346">
        <f t="shared" si="45"/>
        <v>-0.18197629104222079</v>
      </c>
      <c r="AX131" s="987">
        <f t="shared" si="46"/>
        <v>0</v>
      </c>
      <c r="AY131" s="987">
        <f t="shared" si="47"/>
        <v>0</v>
      </c>
      <c r="AZ131" s="987">
        <f t="shared" si="48"/>
        <v>0</v>
      </c>
      <c r="BA131" s="988">
        <f t="shared" si="49"/>
        <v>0</v>
      </c>
      <c r="BB131" s="1346">
        <f t="shared" si="50"/>
        <v>1.4619503416681612E-2</v>
      </c>
      <c r="BC131" s="987">
        <f t="shared" si="51"/>
        <v>1.461950341668139E-2</v>
      </c>
      <c r="BD131" s="987">
        <f t="shared" si="52"/>
        <v>1.4619503416681834E-2</v>
      </c>
      <c r="BE131" s="987">
        <f t="shared" si="53"/>
        <v>1.4619503416681612E-2</v>
      </c>
      <c r="BF131" s="989">
        <f t="shared" si="54"/>
        <v>1.4619503416681612E-2</v>
      </c>
      <c r="BG131" s="951"/>
      <c r="BH131" s="984" t="str">
        <f t="shared" si="55"/>
        <v>Rev</v>
      </c>
      <c r="BI131" s="985" t="str">
        <f t="shared" si="56"/>
        <v>Water</v>
      </c>
      <c r="BJ131" s="986" t="str">
        <f t="shared" si="57"/>
        <v>Price cap - Fixed</v>
      </c>
      <c r="BK131" s="987">
        <f t="shared" ref="BK131:BU131" si="147">IF(V131="","-",IFERROR((V131/U131-1)*(U131/U$13),"-"))</f>
        <v>-3.6294507174792302E-4</v>
      </c>
      <c r="BL131" s="987">
        <f t="shared" si="147"/>
        <v>-1.0409861342652424E-4</v>
      </c>
      <c r="BM131" s="987">
        <f t="shared" si="147"/>
        <v>6.1441262278265116E-5</v>
      </c>
      <c r="BN131" s="987">
        <f t="shared" si="147"/>
        <v>-3.0297972753417379E-5</v>
      </c>
      <c r="BO131" s="1353">
        <f t="shared" si="147"/>
        <v>-4.4293411122956036E-5</v>
      </c>
      <c r="BP131" s="1346">
        <f t="shared" si="147"/>
        <v>-1.3499889965360461E-3</v>
      </c>
      <c r="BQ131" s="987">
        <f t="shared" si="147"/>
        <v>0</v>
      </c>
      <c r="BR131" s="987">
        <f t="shared" si="147"/>
        <v>0</v>
      </c>
      <c r="BS131" s="987">
        <f t="shared" si="147"/>
        <v>0</v>
      </c>
      <c r="BT131" s="988">
        <f t="shared" si="147"/>
        <v>0</v>
      </c>
      <c r="BU131" s="987">
        <f t="shared" si="147"/>
        <v>8.027515668162686E-5</v>
      </c>
      <c r="BV131" s="987">
        <f>IF(AG131="","-",IFERROR((AG131/AF131-1)*(AF131/AF$13),"-"))</f>
        <v>7.7794621991683372E-5</v>
      </c>
      <c r="BW131" s="987">
        <f>IF(AH131="","-",IFERROR((AH131/AG131-1)*(AG131/AG$13),"-"))</f>
        <v>7.7841637519532664E-5</v>
      </c>
      <c r="BX131" s="987">
        <f>IF(AI131="","-",IFERROR((AI131/AH131-1)*(AH131/AH$13),"-"))</f>
        <v>7.7839547637276833E-5</v>
      </c>
      <c r="BY131" s="989">
        <f>IF(AJ131="","-",IFERROR((AJ131/AI131-1)*(AI131/AI$13),"-"))</f>
        <v>7.76408555549046E-5</v>
      </c>
      <c r="BZ131" s="951"/>
      <c r="CA131" s="984" t="str">
        <f t="shared" si="35"/>
        <v>Rev</v>
      </c>
      <c r="CB131" s="985" t="str">
        <f t="shared" si="36"/>
        <v>Water</v>
      </c>
      <c r="CC131" s="985" t="str">
        <f t="shared" si="37"/>
        <v>Price cap - Fixed</v>
      </c>
      <c r="CD131" s="990">
        <f t="shared" si="106"/>
        <v>-3.046981756579914E-2</v>
      </c>
      <c r="CE131" s="987">
        <f t="shared" si="60"/>
        <v>-1.7773664423189284E-2</v>
      </c>
      <c r="CF131" s="987">
        <f t="shared" si="60"/>
        <v>-1.4346875218358202E-2</v>
      </c>
      <c r="CG131" s="988">
        <f t="shared" si="60"/>
        <v>-1.2670764491771846E-2</v>
      </c>
      <c r="CH131" s="987">
        <f t="shared" si="107"/>
        <v>-9.5553368651428272E-2</v>
      </c>
      <c r="CI131" s="987">
        <f t="shared" si="62"/>
        <v>-6.4762389324892422E-2</v>
      </c>
      <c r="CJ131" s="987">
        <f t="shared" si="62"/>
        <v>-4.8976009057304704E-2</v>
      </c>
      <c r="CK131" s="989">
        <f t="shared" si="62"/>
        <v>-3.9376562992678221E-2</v>
      </c>
    </row>
    <row r="132" spans="4:89">
      <c r="D132" s="63">
        <f>D129+1</f>
        <v>22</v>
      </c>
      <c r="E132" s="550" t="s">
        <v>857</v>
      </c>
      <c r="F132" s="595" t="s">
        <v>401</v>
      </c>
      <c r="G132" s="595" t="s">
        <v>877</v>
      </c>
      <c r="H132" s="595" t="s">
        <v>940</v>
      </c>
      <c r="I132" s="589" t="s">
        <v>941</v>
      </c>
      <c r="J132" s="589" t="s">
        <v>879</v>
      </c>
      <c r="K132" s="551"/>
      <c r="L132" s="552"/>
      <c r="M132" s="552"/>
      <c r="N132" s="551"/>
      <c r="O132" s="552"/>
      <c r="P132" s="552"/>
      <c r="Q132" s="552"/>
      <c r="R132" s="1035"/>
      <c r="S132" s="1138"/>
      <c r="T132" s="591"/>
      <c r="U132" s="1035">
        <v>308.58107444253864</v>
      </c>
      <c r="V132" s="591">
        <v>297.02971059033081</v>
      </c>
      <c r="W132" s="591">
        <v>305.99991924939468</v>
      </c>
      <c r="X132" s="591">
        <v>316.49570242533946</v>
      </c>
      <c r="Y132" s="591">
        <v>318.70260000000002</v>
      </c>
      <c r="Z132" s="1537">
        <v>320.06020000000001</v>
      </c>
      <c r="AA132" s="1138">
        <v>800</v>
      </c>
      <c r="AB132" s="591">
        <v>800</v>
      </c>
      <c r="AC132" s="591">
        <v>800</v>
      </c>
      <c r="AD132" s="591">
        <v>800</v>
      </c>
      <c r="AE132" s="1035">
        <v>800</v>
      </c>
      <c r="AF132" s="591">
        <v>900</v>
      </c>
      <c r="AG132" s="591">
        <v>900</v>
      </c>
      <c r="AH132" s="591">
        <v>900</v>
      </c>
      <c r="AI132" s="591">
        <v>900</v>
      </c>
      <c r="AJ132" s="592">
        <v>900</v>
      </c>
      <c r="AK132" s="548"/>
      <c r="AM132" s="974"/>
      <c r="AO132" s="975" t="str">
        <f t="shared" si="38"/>
        <v>Price</v>
      </c>
      <c r="AP132" s="976" t="str">
        <f t="shared" si="38"/>
        <v>Water</v>
      </c>
      <c r="AQ132" s="977" t="str">
        <f t="shared" si="39"/>
        <v xml:space="preserve">Price cap - Variable </v>
      </c>
      <c r="AR132" s="1341">
        <f t="shared" si="40"/>
        <v>-3.7433805274920795E-2</v>
      </c>
      <c r="AS132" s="978">
        <f t="shared" si="41"/>
        <v>3.0199701710768467E-2</v>
      </c>
      <c r="AT132" s="979">
        <f t="shared" si="42"/>
        <v>3.4299954070871941E-2</v>
      </c>
      <c r="AU132" s="979">
        <f t="shared" si="43"/>
        <v>6.9729148223778292E-3</v>
      </c>
      <c r="AV132" s="1352">
        <f t="shared" si="44"/>
        <v>4.2597707078637637E-3</v>
      </c>
      <c r="AW132" s="1345">
        <f t="shared" si="45"/>
        <v>1.4995297759608972</v>
      </c>
      <c r="AX132" s="979">
        <f t="shared" si="46"/>
        <v>0</v>
      </c>
      <c r="AY132" s="979">
        <f t="shared" si="47"/>
        <v>0</v>
      </c>
      <c r="AZ132" s="979">
        <f t="shared" si="48"/>
        <v>0</v>
      </c>
      <c r="BA132" s="980">
        <f t="shared" si="49"/>
        <v>0</v>
      </c>
      <c r="BB132" s="1345">
        <f t="shared" si="50"/>
        <v>0.125</v>
      </c>
      <c r="BC132" s="979">
        <f t="shared" si="51"/>
        <v>0</v>
      </c>
      <c r="BD132" s="979">
        <f t="shared" si="52"/>
        <v>0</v>
      </c>
      <c r="BE132" s="979">
        <f t="shared" si="53"/>
        <v>0</v>
      </c>
      <c r="BF132" s="981">
        <f t="shared" si="54"/>
        <v>0</v>
      </c>
      <c r="BG132" s="951"/>
      <c r="BH132" s="975" t="str">
        <f t="shared" si="55"/>
        <v>Price</v>
      </c>
      <c r="BI132" s="976" t="str">
        <f t="shared" si="56"/>
        <v>Water</v>
      </c>
      <c r="BJ132" s="977" t="str">
        <f t="shared" si="57"/>
        <v xml:space="preserve">Price cap - Variable </v>
      </c>
      <c r="BK132" s="978">
        <f t="shared" ref="BK132:BU132" si="148">IF(V132="","-",IFERROR((V132/U132-1)*(U134/U$13),"-"))</f>
        <v>-6.3704203585666496E-4</v>
      </c>
      <c r="BL132" s="978">
        <f t="shared" si="148"/>
        <v>5.1746814880519211E-4</v>
      </c>
      <c r="BM132" s="979">
        <f t="shared" si="148"/>
        <v>6.3720569260430188E-4</v>
      </c>
      <c r="BN132" s="979">
        <f t="shared" si="148"/>
        <v>1.575096738929519E-4</v>
      </c>
      <c r="BO132" s="1352">
        <f t="shared" si="148"/>
        <v>1.0387254185803442E-4</v>
      </c>
      <c r="BP132" s="1345">
        <f t="shared" si="148"/>
        <v>3.6360807796880598E-2</v>
      </c>
      <c r="BQ132" s="979">
        <f t="shared" si="148"/>
        <v>0</v>
      </c>
      <c r="BR132" s="979">
        <f t="shared" si="148"/>
        <v>0</v>
      </c>
      <c r="BS132" s="979">
        <f t="shared" si="148"/>
        <v>0</v>
      </c>
      <c r="BT132" s="980">
        <f t="shared" si="148"/>
        <v>0</v>
      </c>
      <c r="BU132" s="979">
        <f t="shared" si="148"/>
        <v>7.6406526396914885E-3</v>
      </c>
      <c r="BV132" s="979">
        <f>IF(AG132="","-",IFERROR((AG132/AF132-1)*(AF134/AF$13),"-"))</f>
        <v>0</v>
      </c>
      <c r="BW132" s="979">
        <f>IF(AH132="","-",IFERROR((AH132/AG132-1)*(AG134/AG$13),"-"))</f>
        <v>0</v>
      </c>
      <c r="BX132" s="979">
        <f>IF(AI132="","-",IFERROR((AI132/AH132-1)*(AH134/AH$13),"-"))</f>
        <v>0</v>
      </c>
      <c r="BY132" s="981">
        <f>IF(AJ132="","-",IFERROR((AJ132/AI132-1)*(AI134/AI$13),"-"))</f>
        <v>0</v>
      </c>
      <c r="BZ132" s="951"/>
      <c r="CA132" s="975" t="str">
        <f t="shared" ref="CA132:CA195" si="149">AO132</f>
        <v>Price</v>
      </c>
      <c r="CB132" s="976" t="str">
        <f t="shared" ref="CB132:CB195" si="150">AP132</f>
        <v>Water</v>
      </c>
      <c r="CC132" s="982" t="str">
        <f t="shared" ref="CC132:CC195" si="151">AQ132</f>
        <v xml:space="preserve">Price cap - Variable </v>
      </c>
      <c r="CD132" s="983">
        <f t="shared" si="106"/>
        <v>-4.1910792312381817E-3</v>
      </c>
      <c r="CE132" s="979">
        <f t="shared" si="60"/>
        <v>8.47741554045367E-3</v>
      </c>
      <c r="CF132" s="979">
        <f t="shared" si="60"/>
        <v>8.1010797562315329E-3</v>
      </c>
      <c r="CG132" s="980">
        <f t="shared" si="60"/>
        <v>7.3316442959332484E-3</v>
      </c>
      <c r="CH132" s="979">
        <f t="shared" si="107"/>
        <v>0.58099012519398663</v>
      </c>
      <c r="CI132" s="979">
        <f t="shared" si="62"/>
        <v>0.35712371066753756</v>
      </c>
      <c r="CJ132" s="979">
        <f t="shared" si="62"/>
        <v>0.25737429796937805</v>
      </c>
      <c r="CK132" s="981">
        <f t="shared" si="62"/>
        <v>0.20107924677498068</v>
      </c>
    </row>
    <row r="133" spans="4:89">
      <c r="E133" s="567" t="s">
        <v>880</v>
      </c>
      <c r="F133" s="554" t="str">
        <f>+F132</f>
        <v>Water</v>
      </c>
      <c r="G133" s="555" t="str">
        <f>+G132</f>
        <v>GWW</v>
      </c>
      <c r="H133" s="555" t="str">
        <f>+H132</f>
        <v>Transfer-Treated Water</v>
      </c>
      <c r="I133" s="556" t="str">
        <f>+I132</f>
        <v xml:space="preserve">Price cap - Variable </v>
      </c>
      <c r="J133" s="590" t="s">
        <v>887</v>
      </c>
      <c r="K133" s="557"/>
      <c r="L133" s="558"/>
      <c r="M133" s="558"/>
      <c r="N133" s="557"/>
      <c r="O133" s="558"/>
      <c r="P133" s="558"/>
      <c r="Q133" s="558"/>
      <c r="R133" s="1036"/>
      <c r="S133" s="1139"/>
      <c r="T133" s="593"/>
      <c r="U133" s="1036">
        <v>106348</v>
      </c>
      <c r="V133" s="593">
        <v>107500</v>
      </c>
      <c r="W133" s="593">
        <v>112334</v>
      </c>
      <c r="X133" s="593">
        <v>132822</v>
      </c>
      <c r="Y133" s="593">
        <v>144198</v>
      </c>
      <c r="Z133" s="593">
        <v>142722</v>
      </c>
      <c r="AA133" s="1139">
        <v>144274</v>
      </c>
      <c r="AB133" s="593">
        <v>148284</v>
      </c>
      <c r="AC133" s="593">
        <v>152859</v>
      </c>
      <c r="AD133" s="593">
        <v>156405</v>
      </c>
      <c r="AE133" s="1036">
        <v>159077</v>
      </c>
      <c r="AF133" s="593">
        <v>162882</v>
      </c>
      <c r="AG133" s="593">
        <v>164153</v>
      </c>
      <c r="AH133" s="593">
        <v>166798</v>
      </c>
      <c r="AI133" s="593">
        <v>172593</v>
      </c>
      <c r="AJ133" s="594">
        <v>173667</v>
      </c>
      <c r="AK133" s="548"/>
      <c r="AO133" s="961" t="str">
        <f t="shared" ref="AO133:AP196" si="152">E133</f>
        <v>Qty</v>
      </c>
      <c r="AP133" s="962" t="str">
        <f t="shared" si="152"/>
        <v>Water</v>
      </c>
      <c r="AQ133" s="963" t="str">
        <f t="shared" ref="AQ133:AQ196" si="153">I133</f>
        <v xml:space="preserve">Price cap - Variable </v>
      </c>
      <c r="AR133" s="967">
        <f t="shared" ref="AR133:AR196" si="154">IF(V133="","-",IFERROR(V133/U133-1,"-"))</f>
        <v>1.0832361680520597E-2</v>
      </c>
      <c r="AS133" s="964">
        <f t="shared" ref="AS133:AS196" si="155">IF(W133="","-",IFERROR(W133/V133-1,"-"))</f>
        <v>4.4967441860465085E-2</v>
      </c>
      <c r="AT133" s="964">
        <f t="shared" ref="AT133:AT196" si="156">IF(X133="","-",IFERROR(X133/W133-1,"-"))</f>
        <v>0.18238467427493021</v>
      </c>
      <c r="AU133" s="964">
        <f t="shared" ref="AU133:AU196" si="157">IF(Y133="","-",IFERROR(Y133/X133-1,"-"))</f>
        <v>8.5648461851199453E-2</v>
      </c>
      <c r="AV133" s="1350">
        <f t="shared" ref="AV133:AV196" si="158">IF(Z133="","-",IFERROR(Z133/Y133-1,"-"))</f>
        <v>-1.0235925602296803E-2</v>
      </c>
      <c r="AW133" s="1343">
        <f t="shared" ref="AW133:AW196" si="159">IF(AA133="","-",IFERROR(AA133/Z133-1,"-"))</f>
        <v>1.0874287075573585E-2</v>
      </c>
      <c r="AX133" s="964">
        <f t="shared" ref="AX133:AX196" si="160">IF(AB133="","-",IFERROR(AB133/AA133-1,"-"))</f>
        <v>2.7794335777756141E-2</v>
      </c>
      <c r="AY133" s="964">
        <f t="shared" ref="AY133:AY196" si="161">IF(AC133="","-",IFERROR(AC133/AB133-1,"-"))</f>
        <v>3.0852957837662842E-2</v>
      </c>
      <c r="AZ133" s="964">
        <f t="shared" ref="AZ133:AZ196" si="162">IF(AD133="","-",IFERROR(AD133/AC133-1,"-"))</f>
        <v>2.3197848998096182E-2</v>
      </c>
      <c r="BA133" s="965">
        <f t="shared" ref="BA133:BA196" si="163">IF(AE133="","-",IFERROR(AE133/AD133-1,"-"))</f>
        <v>1.7083852818004619E-2</v>
      </c>
      <c r="BB133" s="1343">
        <f t="shared" ref="BB133:BB196" si="164">IF(AF133="","-",IFERROR(AF133/AE133-1,"-"))</f>
        <v>2.3919234081608343E-2</v>
      </c>
      <c r="BC133" s="964">
        <f t="shared" ref="BC133:BC196" si="165">IF(AG133="","-",IFERROR(AG133/AF133-1,"-"))</f>
        <v>7.8031949509460574E-3</v>
      </c>
      <c r="BD133" s="964">
        <f t="shared" ref="BD133:BD196" si="166">IF(AH133="","-",IFERROR(AH133/AG133-1,"-"))</f>
        <v>1.6113016515080458E-2</v>
      </c>
      <c r="BE133" s="964">
        <f t="shared" ref="BE133:BE196" si="167">IF(AI133="","-",IFERROR(AI133/AH133-1,"-"))</f>
        <v>3.4742622813223267E-2</v>
      </c>
      <c r="BF133" s="966">
        <f t="shared" ref="BF133:BF196" si="168">IF(AJ133="","-",IFERROR(AJ133/AI133-1,"-"))</f>
        <v>6.2227320922632057E-3</v>
      </c>
      <c r="BG133" s="951"/>
      <c r="BH133" s="961" t="str">
        <f t="shared" ref="BH133:BH196" si="169">AO133</f>
        <v>Qty</v>
      </c>
      <c r="BI133" s="962" t="str">
        <f t="shared" ref="BI133:BI196" si="170">AP133</f>
        <v>Water</v>
      </c>
      <c r="BJ133" s="963" t="str">
        <f t="shared" ref="BJ133:BJ196" si="171">AQ133</f>
        <v xml:space="preserve">Price cap - Variable </v>
      </c>
      <c r="BK133" s="964">
        <f t="shared" ref="BK133:BU133" si="172">IF(V133="","-",IFERROR((V133/U133-1)*(U134/U$13),"-"))</f>
        <v>1.8434326105547564E-4</v>
      </c>
      <c r="BL133" s="964">
        <f t="shared" si="172"/>
        <v>7.705115473952759E-4</v>
      </c>
      <c r="BM133" s="964">
        <f t="shared" si="172"/>
        <v>3.3882422248040218E-3</v>
      </c>
      <c r="BN133" s="964">
        <f t="shared" si="172"/>
        <v>1.9346946921423864E-3</v>
      </c>
      <c r="BO133" s="1350">
        <f t="shared" si="172"/>
        <v>-2.4959831960380367E-4</v>
      </c>
      <c r="BP133" s="1343">
        <f t="shared" si="172"/>
        <v>2.6368123435872647E-4</v>
      </c>
      <c r="BQ133" s="964">
        <f t="shared" si="172"/>
        <v>1.6944113241271735E-3</v>
      </c>
      <c r="BR133" s="964">
        <f t="shared" si="172"/>
        <v>1.861024121609987E-3</v>
      </c>
      <c r="BS133" s="964">
        <f t="shared" si="172"/>
        <v>1.4151587341823884E-3</v>
      </c>
      <c r="BT133" s="965">
        <f t="shared" si="172"/>
        <v>1.0464424994333543E-3</v>
      </c>
      <c r="BU133" s="964">
        <f t="shared" si="172"/>
        <v>1.4620684722003153E-3</v>
      </c>
      <c r="BV133" s="964">
        <f>IF(AG133="","-",IFERROR((AG133/AF133-1)*(AF134/AF$13),"-"))</f>
        <v>5.2477885883316327E-4</v>
      </c>
      <c r="BW133" s="964">
        <f>IF(AH133="","-",IFERROR((AH133/AG133-1)*(AG134/AG$13),"-"))</f>
        <v>1.0769998403075062E-3</v>
      </c>
      <c r="BX133" s="964">
        <f>IF(AI133="","-",IFERROR((AI133/AH133-1)*(AH134/AH$13),"-"))</f>
        <v>2.3255652887169006E-3</v>
      </c>
      <c r="BY133" s="966">
        <f>IF(AJ133="","-",IFERROR((AJ133/AI133-1)*(AI134/AI$13),"-"))</f>
        <v>4.2370752822759795E-4</v>
      </c>
      <c r="BZ133" s="951"/>
      <c r="CA133" s="961" t="str">
        <f t="shared" si="149"/>
        <v>Qty</v>
      </c>
      <c r="CB133" s="962" t="str">
        <f t="shared" si="150"/>
        <v>Water</v>
      </c>
      <c r="CC133" s="962" t="str">
        <f t="shared" si="151"/>
        <v xml:space="preserve">Price cap - Variable </v>
      </c>
      <c r="CD133" s="967">
        <f t="shared" si="106"/>
        <v>2.7758194876142062E-2</v>
      </c>
      <c r="CE133" s="964">
        <f>IF(X133="","-",IFERROR((X133/$U133)^(1/CE$65)-1,"-"))</f>
        <v>7.6912032728495339E-2</v>
      </c>
      <c r="CF133" s="964">
        <f>IF(Y133="","-",IFERROR((Y133/$U133)^(1/CF$65)-1,"-"))</f>
        <v>7.9089526829407619E-2</v>
      </c>
      <c r="CG133" s="965">
        <f>IF(Z133="","-",IFERROR((Z133/$U133)^(1/CG$65)-1,"-"))</f>
        <v>6.0601700767296318E-2</v>
      </c>
      <c r="CH133" s="964">
        <f t="shared" si="107"/>
        <v>1.9299203590217751E-2</v>
      </c>
      <c r="CI133" s="964">
        <f>IF(AC133="","-",IFERROR((AC133/$Z133)^(1/CI$65)-1,"-"))</f>
        <v>2.3135994643310509E-2</v>
      </c>
      <c r="CJ133" s="964">
        <f>IF(AD133="","-",IFERROR((AD133/$Z133)^(1/CJ$65)-1,"-"))</f>
        <v>2.3151457881446236E-2</v>
      </c>
      <c r="CK133" s="966">
        <f>IF(AE133="","-",IFERROR((AE133/$Z133)^(1/CK$65)-1,"-"))</f>
        <v>2.1935047961177068E-2</v>
      </c>
    </row>
    <row r="134" spans="4:89" ht="12.75" thickBot="1">
      <c r="E134" s="568" t="s">
        <v>882</v>
      </c>
      <c r="F134" s="560" t="str">
        <f>+F132</f>
        <v>Water</v>
      </c>
      <c r="G134" s="561" t="str">
        <f>+G132</f>
        <v>GWW</v>
      </c>
      <c r="H134" s="561" t="str">
        <f>+H132</f>
        <v>Transfer-Treated Water</v>
      </c>
      <c r="I134" s="562" t="str">
        <f>+I132</f>
        <v xml:space="preserve">Price cap - Variable </v>
      </c>
      <c r="J134" s="563" t="s">
        <v>883</v>
      </c>
      <c r="K134" s="564">
        <f t="shared" ref="K134:AJ134" si="173">K132*K133/10^6</f>
        <v>0</v>
      </c>
      <c r="L134" s="565">
        <f t="shared" si="173"/>
        <v>0</v>
      </c>
      <c r="M134" s="565">
        <f t="shared" si="173"/>
        <v>0</v>
      </c>
      <c r="N134" s="564">
        <f t="shared" si="173"/>
        <v>0</v>
      </c>
      <c r="O134" s="565">
        <f t="shared" si="173"/>
        <v>0</v>
      </c>
      <c r="P134" s="565">
        <f t="shared" si="173"/>
        <v>0</v>
      </c>
      <c r="Q134" s="565">
        <f t="shared" si="173"/>
        <v>0</v>
      </c>
      <c r="R134" s="566">
        <f t="shared" si="173"/>
        <v>0</v>
      </c>
      <c r="S134" s="564">
        <f t="shared" si="173"/>
        <v>0</v>
      </c>
      <c r="T134" s="565">
        <f t="shared" si="173"/>
        <v>0</v>
      </c>
      <c r="U134" s="566">
        <f t="shared" si="173"/>
        <v>32.816980104815102</v>
      </c>
      <c r="V134" s="565">
        <f t="shared" si="173"/>
        <v>31.93069388846056</v>
      </c>
      <c r="W134" s="565">
        <f t="shared" si="173"/>
        <v>34.374194928961501</v>
      </c>
      <c r="X134" s="565">
        <f t="shared" si="173"/>
        <v>42.037592187538436</v>
      </c>
      <c r="Y134" s="565">
        <f t="shared" si="173"/>
        <v>45.956277514800007</v>
      </c>
      <c r="Z134" s="565">
        <f t="shared" si="173"/>
        <v>45.679631864400001</v>
      </c>
      <c r="AA134" s="564">
        <f t="shared" si="173"/>
        <v>115.4192</v>
      </c>
      <c r="AB134" s="565">
        <f t="shared" si="173"/>
        <v>118.6272</v>
      </c>
      <c r="AC134" s="565">
        <f t="shared" si="173"/>
        <v>122.2872</v>
      </c>
      <c r="AD134" s="565">
        <f t="shared" si="173"/>
        <v>125.124</v>
      </c>
      <c r="AE134" s="566">
        <f t="shared" si="173"/>
        <v>127.2616</v>
      </c>
      <c r="AF134" s="565">
        <f t="shared" si="173"/>
        <v>146.59379999999999</v>
      </c>
      <c r="AG134" s="565">
        <f>AG132*AG133/10^6</f>
        <v>147.73769999999999</v>
      </c>
      <c r="AH134" s="565">
        <f>AH132*AH133/10^6</f>
        <v>150.1182</v>
      </c>
      <c r="AI134" s="565">
        <f>AI132*AI133/10^6</f>
        <v>155.33369999999999</v>
      </c>
      <c r="AJ134" s="566">
        <f t="shared" si="173"/>
        <v>156.30029999999999</v>
      </c>
      <c r="AK134" s="548"/>
      <c r="AO134" s="984" t="str">
        <f t="shared" si="152"/>
        <v>Rev</v>
      </c>
      <c r="AP134" s="985" t="str">
        <f t="shared" si="152"/>
        <v>Water</v>
      </c>
      <c r="AQ134" s="986" t="str">
        <f t="shared" si="153"/>
        <v xml:space="preserve">Price cap - Variable </v>
      </c>
      <c r="AR134" s="990">
        <f t="shared" si="154"/>
        <v>-2.7006940112216493E-2</v>
      </c>
      <c r="AS134" s="987">
        <f t="shared" si="155"/>
        <v>7.6525146902115981E-2</v>
      </c>
      <c r="AT134" s="987">
        <f t="shared" si="156"/>
        <v>0.22294041429666311</v>
      </c>
      <c r="AU134" s="987">
        <f t="shared" si="157"/>
        <v>9.321859610273342E-2</v>
      </c>
      <c r="AV134" s="1353">
        <f t="shared" si="158"/>
        <v>-6.019757590481789E-3</v>
      </c>
      <c r="AW134" s="1346">
        <f t="shared" si="159"/>
        <v>1.5267103802986401</v>
      </c>
      <c r="AX134" s="987">
        <f t="shared" si="160"/>
        <v>2.7794335777756141E-2</v>
      </c>
      <c r="AY134" s="987">
        <f t="shared" si="161"/>
        <v>3.0852957837662842E-2</v>
      </c>
      <c r="AZ134" s="987">
        <f t="shared" si="162"/>
        <v>2.3197848998096182E-2</v>
      </c>
      <c r="BA134" s="988">
        <f t="shared" si="163"/>
        <v>1.7083852818004619E-2</v>
      </c>
      <c r="BB134" s="1346">
        <f t="shared" si="164"/>
        <v>0.15190913834180919</v>
      </c>
      <c r="BC134" s="987">
        <f t="shared" si="165"/>
        <v>7.8031949509460574E-3</v>
      </c>
      <c r="BD134" s="987">
        <f t="shared" si="166"/>
        <v>1.6113016515080458E-2</v>
      </c>
      <c r="BE134" s="987">
        <f t="shared" si="167"/>
        <v>3.4742622813223045E-2</v>
      </c>
      <c r="BF134" s="989">
        <f t="shared" si="168"/>
        <v>6.2227320922632057E-3</v>
      </c>
      <c r="BG134" s="951"/>
      <c r="BH134" s="984" t="str">
        <f t="shared" si="169"/>
        <v>Rev</v>
      </c>
      <c r="BI134" s="985" t="str">
        <f t="shared" si="170"/>
        <v>Water</v>
      </c>
      <c r="BJ134" s="986" t="str">
        <f t="shared" si="171"/>
        <v xml:space="preserve">Price cap - Variable </v>
      </c>
      <c r="BK134" s="987">
        <f t="shared" ref="BK134:BU134" si="174">IF(V134="","-",IFERROR((V134/U134-1)*(U134/U$13),"-"))</f>
        <v>-4.5959944453928683E-4</v>
      </c>
      <c r="BL134" s="987">
        <f t="shared" si="174"/>
        <v>1.3112489150965091E-3</v>
      </c>
      <c r="BM134" s="987">
        <f t="shared" si="174"/>
        <v>4.1416644701000888E-3</v>
      </c>
      <c r="BN134" s="987">
        <f t="shared" si="174"/>
        <v>2.1056948273309546E-3</v>
      </c>
      <c r="BO134" s="1353">
        <f t="shared" si="174"/>
        <v>-1.4678900935635478E-4</v>
      </c>
      <c r="BP134" s="1346">
        <f t="shared" si="174"/>
        <v>3.7019886893522362E-2</v>
      </c>
      <c r="BQ134" s="987">
        <f t="shared" si="174"/>
        <v>1.6944113241271735E-3</v>
      </c>
      <c r="BR134" s="987">
        <f t="shared" si="174"/>
        <v>1.861024121609987E-3</v>
      </c>
      <c r="BS134" s="987">
        <f t="shared" si="174"/>
        <v>1.4151587341823884E-3</v>
      </c>
      <c r="BT134" s="988">
        <f t="shared" si="174"/>
        <v>1.0464424994333543E-3</v>
      </c>
      <c r="BU134" s="987">
        <f t="shared" si="174"/>
        <v>9.2854796709168318E-3</v>
      </c>
      <c r="BV134" s="987">
        <f>IF(AG134="","-",IFERROR((AG134/AF134-1)*(AF134/AF$13),"-"))</f>
        <v>5.2477885883316327E-4</v>
      </c>
      <c r="BW134" s="987">
        <f>IF(AH134="","-",IFERROR((AH134/AG134-1)*(AG134/AG$13),"-"))</f>
        <v>1.0769998403075062E-3</v>
      </c>
      <c r="BX134" s="987">
        <f>IF(AI134="","-",IFERROR((AI134/AH134-1)*(AH134/AH$13),"-"))</f>
        <v>2.3255652887168854E-3</v>
      </c>
      <c r="BY134" s="989">
        <f>IF(AJ134="","-",IFERROR((AJ134/AI134-1)*(AI134/AI$13),"-"))</f>
        <v>4.2370752822759795E-4</v>
      </c>
      <c r="BZ134" s="951"/>
      <c r="CA134" s="984" t="str">
        <f t="shared" si="149"/>
        <v>Rev</v>
      </c>
      <c r="CB134" s="985" t="str">
        <f t="shared" si="150"/>
        <v>Water</v>
      </c>
      <c r="CC134" s="985" t="str">
        <f t="shared" si="151"/>
        <v xml:space="preserve">Price cap - Variable </v>
      </c>
      <c r="CD134" s="990">
        <f t="shared" ref="CD134:CG197" si="175">IF(W134="","-",IFERROR((W134/$U134)^(1/CD$65)-1,"-"))</f>
        <v>2.3450778850861775E-2</v>
      </c>
      <c r="CE134" s="987">
        <f t="shared" si="175"/>
        <v>8.6041463530449613E-2</v>
      </c>
      <c r="CF134" s="987">
        <f t="shared" si="175"/>
        <v>8.783131715036685E-2</v>
      </c>
      <c r="CG134" s="988">
        <f t="shared" si="175"/>
        <v>6.8377655176984131E-2</v>
      </c>
      <c r="CH134" s="987">
        <f t="shared" ref="CH134:CK197" si="176">IF(AB134="","-",IFERROR((AB134/$Z134)^(1/CH$65)-1,"-"))</f>
        <v>0.61150197549422902</v>
      </c>
      <c r="CI134" s="987">
        <f t="shared" si="176"/>
        <v>0.38852211756785127</v>
      </c>
      <c r="CJ134" s="987">
        <f t="shared" si="176"/>
        <v>0.28648434607002926</v>
      </c>
      <c r="CK134" s="989">
        <f t="shared" si="176"/>
        <v>0.22742497765816427</v>
      </c>
    </row>
    <row r="135" spans="4:89">
      <c r="D135" s="63">
        <f>D132+1</f>
        <v>23</v>
      </c>
      <c r="E135" s="550" t="s">
        <v>857</v>
      </c>
      <c r="F135" s="595" t="s">
        <v>401</v>
      </c>
      <c r="G135" s="595" t="s">
        <v>92</v>
      </c>
      <c r="H135" s="595" t="s">
        <v>940</v>
      </c>
      <c r="I135" s="589" t="s">
        <v>941</v>
      </c>
      <c r="J135" s="589" t="s">
        <v>879</v>
      </c>
      <c r="K135" s="551"/>
      <c r="L135" s="552"/>
      <c r="M135" s="552"/>
      <c r="N135" s="551"/>
      <c r="O135" s="552"/>
      <c r="P135" s="552"/>
      <c r="Q135" s="552"/>
      <c r="R135" s="1035"/>
      <c r="S135" s="1138"/>
      <c r="T135" s="591"/>
      <c r="U135" s="1035">
        <v>308.58107444253864</v>
      </c>
      <c r="V135" s="591">
        <v>297.02971059033081</v>
      </c>
      <c r="W135" s="591">
        <v>305.99991924939468</v>
      </c>
      <c r="X135" s="591">
        <v>316.49570242533946</v>
      </c>
      <c r="Y135" s="591">
        <v>318.70260000000002</v>
      </c>
      <c r="Z135" s="1537">
        <v>320.06020000000001</v>
      </c>
      <c r="AA135" s="1138">
        <v>800</v>
      </c>
      <c r="AB135" s="591">
        <v>800</v>
      </c>
      <c r="AC135" s="591">
        <v>800</v>
      </c>
      <c r="AD135" s="591">
        <v>800</v>
      </c>
      <c r="AE135" s="1035">
        <v>800</v>
      </c>
      <c r="AF135" s="591">
        <v>900</v>
      </c>
      <c r="AG135" s="591">
        <v>900</v>
      </c>
      <c r="AH135" s="591">
        <v>900</v>
      </c>
      <c r="AI135" s="591">
        <v>900</v>
      </c>
      <c r="AJ135" s="592">
        <v>900</v>
      </c>
      <c r="AK135" s="548"/>
      <c r="AM135" s="974"/>
      <c r="AO135" s="975" t="str">
        <f t="shared" si="152"/>
        <v>Price</v>
      </c>
      <c r="AP135" s="976" t="str">
        <f t="shared" si="152"/>
        <v>Water</v>
      </c>
      <c r="AQ135" s="977" t="str">
        <f t="shared" si="153"/>
        <v xml:space="preserve">Price cap - Variable </v>
      </c>
      <c r="AR135" s="1341">
        <f t="shared" si="154"/>
        <v>-3.7433805274920795E-2</v>
      </c>
      <c r="AS135" s="978">
        <f t="shared" si="155"/>
        <v>3.0199701710768467E-2</v>
      </c>
      <c r="AT135" s="979">
        <f t="shared" si="156"/>
        <v>3.4299954070871941E-2</v>
      </c>
      <c r="AU135" s="979">
        <f t="shared" si="157"/>
        <v>6.9729148223778292E-3</v>
      </c>
      <c r="AV135" s="1352">
        <f t="shared" si="158"/>
        <v>4.2597707078637637E-3</v>
      </c>
      <c r="AW135" s="1345">
        <f t="shared" si="159"/>
        <v>1.4995297759608972</v>
      </c>
      <c r="AX135" s="979">
        <f t="shared" si="160"/>
        <v>0</v>
      </c>
      <c r="AY135" s="979">
        <f t="shared" si="161"/>
        <v>0</v>
      </c>
      <c r="AZ135" s="979">
        <f t="shared" si="162"/>
        <v>0</v>
      </c>
      <c r="BA135" s="980">
        <f t="shared" si="163"/>
        <v>0</v>
      </c>
      <c r="BB135" s="1345">
        <f t="shared" si="164"/>
        <v>0.125</v>
      </c>
      <c r="BC135" s="979">
        <f t="shared" si="165"/>
        <v>0</v>
      </c>
      <c r="BD135" s="979">
        <f t="shared" si="166"/>
        <v>0</v>
      </c>
      <c r="BE135" s="979">
        <f t="shared" si="167"/>
        <v>0</v>
      </c>
      <c r="BF135" s="981">
        <f t="shared" si="168"/>
        <v>0</v>
      </c>
      <c r="BG135" s="951"/>
      <c r="BH135" s="975" t="str">
        <f t="shared" si="169"/>
        <v>Price</v>
      </c>
      <c r="BI135" s="976" t="str">
        <f t="shared" si="170"/>
        <v>Water</v>
      </c>
      <c r="BJ135" s="977" t="str">
        <f t="shared" si="171"/>
        <v xml:space="preserve">Price cap - Variable </v>
      </c>
      <c r="BK135" s="978">
        <f t="shared" ref="BK135:BU135" si="177">IF(V135="","-",IFERROR((V135/U135-1)*(U137/U$13),"-"))</f>
        <v>-9.2730744687996949E-4</v>
      </c>
      <c r="BL135" s="978">
        <f t="shared" si="177"/>
        <v>7.7210580093213044E-4</v>
      </c>
      <c r="BM135" s="979">
        <f t="shared" si="177"/>
        <v>9.108035540833137E-4</v>
      </c>
      <c r="BN135" s="979">
        <f t="shared" si="177"/>
        <v>1.9466773597424684E-4</v>
      </c>
      <c r="BO135" s="1352">
        <f t="shared" si="177"/>
        <v>1.222161685270232E-4</v>
      </c>
      <c r="BP135" s="1345">
        <f t="shared" si="177"/>
        <v>4.2427056829626247E-2</v>
      </c>
      <c r="BQ135" s="979">
        <f t="shared" si="177"/>
        <v>0</v>
      </c>
      <c r="BR135" s="979">
        <f t="shared" si="177"/>
        <v>0</v>
      </c>
      <c r="BS135" s="979">
        <f t="shared" si="177"/>
        <v>0</v>
      </c>
      <c r="BT135" s="980">
        <f t="shared" si="177"/>
        <v>0</v>
      </c>
      <c r="BU135" s="979">
        <f t="shared" si="177"/>
        <v>8.2337413878757672E-3</v>
      </c>
      <c r="BV135" s="979">
        <f>IF(AG135="","-",IFERROR((AG135/AF135-1)*(AF137/AF$13),"-"))</f>
        <v>0</v>
      </c>
      <c r="BW135" s="979">
        <f>IF(AH135="","-",IFERROR((AH135/AG135-1)*(AG137/AG$13),"-"))</f>
        <v>0</v>
      </c>
      <c r="BX135" s="979">
        <f>IF(AI135="","-",IFERROR((AI135/AH135-1)*(AH137/AH$13),"-"))</f>
        <v>0</v>
      </c>
      <c r="BY135" s="981">
        <f>IF(AJ135="","-",IFERROR((AJ135/AI135-1)*(AI137/AI$13),"-"))</f>
        <v>0</v>
      </c>
      <c r="BZ135" s="951"/>
      <c r="CA135" s="975" t="str">
        <f t="shared" si="149"/>
        <v>Price</v>
      </c>
      <c r="CB135" s="976" t="str">
        <f t="shared" si="150"/>
        <v>Water</v>
      </c>
      <c r="CC135" s="982" t="str">
        <f t="shared" si="151"/>
        <v xml:space="preserve">Price cap - Variable </v>
      </c>
      <c r="CD135" s="983">
        <f t="shared" si="175"/>
        <v>-4.1910792312381817E-3</v>
      </c>
      <c r="CE135" s="979">
        <f t="shared" si="175"/>
        <v>8.47741554045367E-3</v>
      </c>
      <c r="CF135" s="979">
        <f t="shared" si="175"/>
        <v>8.1010797562315329E-3</v>
      </c>
      <c r="CG135" s="980">
        <f t="shared" si="175"/>
        <v>7.3316442959332484E-3</v>
      </c>
      <c r="CH135" s="979">
        <f t="shared" si="176"/>
        <v>0.58099012519398663</v>
      </c>
      <c r="CI135" s="979">
        <f t="shared" si="176"/>
        <v>0.35712371066753756</v>
      </c>
      <c r="CJ135" s="979">
        <f t="shared" si="176"/>
        <v>0.25737429796937805</v>
      </c>
      <c r="CK135" s="981">
        <f t="shared" si="176"/>
        <v>0.20107924677498068</v>
      </c>
    </row>
    <row r="136" spans="4:89">
      <c r="E136" s="567" t="s">
        <v>880</v>
      </c>
      <c r="F136" s="554" t="str">
        <f>+F135</f>
        <v>Water</v>
      </c>
      <c r="G136" s="555" t="str">
        <f>+G135</f>
        <v>SEW</v>
      </c>
      <c r="H136" s="555" t="str">
        <f>+H135</f>
        <v>Transfer-Treated Water</v>
      </c>
      <c r="I136" s="556" t="str">
        <f>+I135</f>
        <v xml:space="preserve">Price cap - Variable </v>
      </c>
      <c r="J136" s="590" t="s">
        <v>887</v>
      </c>
      <c r="K136" s="557"/>
      <c r="L136" s="558"/>
      <c r="M136" s="558"/>
      <c r="N136" s="557"/>
      <c r="O136" s="558"/>
      <c r="P136" s="558"/>
      <c r="Q136" s="558"/>
      <c r="R136" s="1036"/>
      <c r="S136" s="1139"/>
      <c r="T136" s="593"/>
      <c r="U136" s="1036">
        <v>154805</v>
      </c>
      <c r="V136" s="593">
        <v>160399</v>
      </c>
      <c r="W136" s="593">
        <v>160567</v>
      </c>
      <c r="X136" s="593">
        <v>164156</v>
      </c>
      <c r="Y136" s="593">
        <v>169663</v>
      </c>
      <c r="Z136" s="593">
        <v>166533</v>
      </c>
      <c r="AA136" s="1139">
        <v>167246</v>
      </c>
      <c r="AB136" s="593">
        <v>168044</v>
      </c>
      <c r="AC136" s="593">
        <v>168867</v>
      </c>
      <c r="AD136" s="593">
        <v>169824</v>
      </c>
      <c r="AE136" s="1036">
        <v>171425</v>
      </c>
      <c r="AF136" s="593">
        <v>173284</v>
      </c>
      <c r="AG136" s="593">
        <v>175099</v>
      </c>
      <c r="AH136" s="593">
        <v>176802</v>
      </c>
      <c r="AI136" s="593">
        <v>178555</v>
      </c>
      <c r="AJ136" s="594">
        <v>180349</v>
      </c>
      <c r="AK136" s="548"/>
      <c r="AO136" s="961" t="str">
        <f t="shared" si="152"/>
        <v>Qty</v>
      </c>
      <c r="AP136" s="962" t="str">
        <f t="shared" si="152"/>
        <v>Water</v>
      </c>
      <c r="AQ136" s="963" t="str">
        <f t="shared" si="153"/>
        <v xml:space="preserve">Price cap - Variable </v>
      </c>
      <c r="AR136" s="967">
        <f t="shared" si="154"/>
        <v>3.6135783727915705E-2</v>
      </c>
      <c r="AS136" s="964">
        <f t="shared" si="155"/>
        <v>1.0473880759855891E-3</v>
      </c>
      <c r="AT136" s="964">
        <f t="shared" si="156"/>
        <v>2.2352039958397407E-2</v>
      </c>
      <c r="AU136" s="964">
        <f t="shared" si="157"/>
        <v>3.35473573917493E-2</v>
      </c>
      <c r="AV136" s="1350">
        <f t="shared" si="158"/>
        <v>-1.8448335818652239E-2</v>
      </c>
      <c r="AW136" s="1343">
        <f t="shared" si="159"/>
        <v>4.2814337098353583E-3</v>
      </c>
      <c r="AX136" s="964">
        <f t="shared" si="160"/>
        <v>4.7714145629791371E-3</v>
      </c>
      <c r="AY136" s="964">
        <f t="shared" si="161"/>
        <v>4.8975268382089876E-3</v>
      </c>
      <c r="AZ136" s="964">
        <f t="shared" si="162"/>
        <v>5.6671818650180228E-3</v>
      </c>
      <c r="BA136" s="965">
        <f t="shared" si="163"/>
        <v>9.4274071980402496E-3</v>
      </c>
      <c r="BB136" s="1343">
        <f t="shared" si="164"/>
        <v>1.0844392591512264E-2</v>
      </c>
      <c r="BC136" s="964">
        <f t="shared" si="165"/>
        <v>1.0474134946099944E-2</v>
      </c>
      <c r="BD136" s="964">
        <f t="shared" si="166"/>
        <v>9.7259264758793318E-3</v>
      </c>
      <c r="BE136" s="964">
        <f t="shared" si="167"/>
        <v>9.9150462098844816E-3</v>
      </c>
      <c r="BF136" s="966">
        <f t="shared" si="168"/>
        <v>1.0047324353840592E-2</v>
      </c>
      <c r="BG136" s="951"/>
      <c r="BH136" s="961" t="str">
        <f t="shared" si="169"/>
        <v>Qty</v>
      </c>
      <c r="BI136" s="962" t="str">
        <f t="shared" si="170"/>
        <v>Water</v>
      </c>
      <c r="BJ136" s="963" t="str">
        <f t="shared" si="171"/>
        <v xml:space="preserve">Price cap - Variable </v>
      </c>
      <c r="BK136" s="964">
        <f t="shared" ref="BK136:BU136" si="178">IF(V136="","-",IFERROR((V136/U136-1)*(U137/U$13),"-"))</f>
        <v>8.9515295342389308E-4</v>
      </c>
      <c r="BL136" s="964">
        <f t="shared" si="178"/>
        <v>2.6778225064628901E-5</v>
      </c>
      <c r="BM136" s="964">
        <f t="shared" si="178"/>
        <v>5.9353774623299585E-4</v>
      </c>
      <c r="BN136" s="964">
        <f t="shared" si="178"/>
        <v>9.3656502018531174E-4</v>
      </c>
      <c r="BO136" s="1350">
        <f t="shared" si="178"/>
        <v>-5.2929724956633285E-4</v>
      </c>
      <c r="BP136" s="1343">
        <f t="shared" si="178"/>
        <v>1.2113706191866848E-4</v>
      </c>
      <c r="BQ136" s="964">
        <f t="shared" si="178"/>
        <v>3.3719207896596072E-4</v>
      </c>
      <c r="BR136" s="964">
        <f t="shared" si="178"/>
        <v>3.3478095127541067E-4</v>
      </c>
      <c r="BS136" s="964">
        <f t="shared" si="178"/>
        <v>3.819252421355188E-4</v>
      </c>
      <c r="BT136" s="965">
        <f t="shared" si="178"/>
        <v>6.2700390778172859E-4</v>
      </c>
      <c r="BU136" s="964">
        <f t="shared" si="178"/>
        <v>7.1431939285686297E-4</v>
      </c>
      <c r="BV136" s="964">
        <f>IF(AG136="","-",IFERROR((AG136/AF136-1)*(AF137/AF$13),"-"))</f>
        <v>7.4938916505286042E-4</v>
      </c>
      <c r="BW136" s="964">
        <f>IF(AH136="","-",IFERROR((AH136/AG136-1)*(AG137/AG$13),"-"))</f>
        <v>6.9343316750233505E-4</v>
      </c>
      <c r="BX136" s="964">
        <f>IF(AI136="","-",IFERROR((AI136/AH136-1)*(AH137/AH$13),"-"))</f>
        <v>7.0348851615542835E-4</v>
      </c>
      <c r="BY136" s="966">
        <f>IF(AJ136="","-",IFERROR((AJ136/AI136-1)*(AI137/AI$13),"-"))</f>
        <v>7.0775726782153203E-4</v>
      </c>
      <c r="BZ136" s="951"/>
      <c r="CA136" s="961" t="str">
        <f t="shared" si="149"/>
        <v>Qty</v>
      </c>
      <c r="CB136" s="962" t="str">
        <f t="shared" si="150"/>
        <v>Water</v>
      </c>
      <c r="CC136" s="962" t="str">
        <f t="shared" si="151"/>
        <v xml:space="preserve">Price cap - Variable </v>
      </c>
      <c r="CD136" s="967">
        <f t="shared" si="175"/>
        <v>1.8440484266456281E-2</v>
      </c>
      <c r="CE136" s="964">
        <f t="shared" si="175"/>
        <v>1.9742670468387846E-2</v>
      </c>
      <c r="CF136" s="964">
        <f t="shared" si="175"/>
        <v>2.317645928875911E-2</v>
      </c>
      <c r="CG136" s="965">
        <f t="shared" si="175"/>
        <v>1.4712626211844437E-2</v>
      </c>
      <c r="CH136" s="964">
        <f t="shared" si="176"/>
        <v>4.5263942614788277E-3</v>
      </c>
      <c r="CI136" s="964">
        <f t="shared" si="176"/>
        <v>4.6500898881001174E-3</v>
      </c>
      <c r="CJ136" s="964">
        <f t="shared" si="176"/>
        <v>4.904266406053237E-3</v>
      </c>
      <c r="CK136" s="966">
        <f t="shared" si="176"/>
        <v>5.8072702326659176E-3</v>
      </c>
    </row>
    <row r="137" spans="4:89" ht="12.75" thickBot="1">
      <c r="E137" s="568" t="s">
        <v>882</v>
      </c>
      <c r="F137" s="560" t="str">
        <f>+F135</f>
        <v>Water</v>
      </c>
      <c r="G137" s="561" t="str">
        <f>+G135</f>
        <v>SEW</v>
      </c>
      <c r="H137" s="561" t="str">
        <f>+H135</f>
        <v>Transfer-Treated Water</v>
      </c>
      <c r="I137" s="562" t="str">
        <f>+I135</f>
        <v xml:space="preserve">Price cap - Variable </v>
      </c>
      <c r="J137" s="563" t="s">
        <v>883</v>
      </c>
      <c r="K137" s="564">
        <f t="shared" ref="K137:AJ137" si="179">K135*K136/10^6</f>
        <v>0</v>
      </c>
      <c r="L137" s="565">
        <f t="shared" si="179"/>
        <v>0</v>
      </c>
      <c r="M137" s="565">
        <f t="shared" si="179"/>
        <v>0</v>
      </c>
      <c r="N137" s="564">
        <f t="shared" si="179"/>
        <v>0</v>
      </c>
      <c r="O137" s="565">
        <f t="shared" si="179"/>
        <v>0</v>
      </c>
      <c r="P137" s="565">
        <f t="shared" si="179"/>
        <v>0</v>
      </c>
      <c r="Q137" s="565">
        <f t="shared" si="179"/>
        <v>0</v>
      </c>
      <c r="R137" s="566">
        <f t="shared" si="179"/>
        <v>0</v>
      </c>
      <c r="S137" s="564">
        <f t="shared" si="179"/>
        <v>0</v>
      </c>
      <c r="T137" s="565">
        <f t="shared" si="179"/>
        <v>0</v>
      </c>
      <c r="U137" s="566">
        <f t="shared" si="179"/>
        <v>47.769893229077191</v>
      </c>
      <c r="V137" s="565">
        <f t="shared" si="179"/>
        <v>47.643268548978469</v>
      </c>
      <c r="W137" s="565">
        <f t="shared" si="179"/>
        <v>49.133489034117559</v>
      </c>
      <c r="X137" s="565">
        <f t="shared" si="179"/>
        <v>51.954668527334029</v>
      </c>
      <c r="Y137" s="565">
        <f t="shared" si="179"/>
        <v>54.072039223800004</v>
      </c>
      <c r="Z137" s="565">
        <f t="shared" si="179"/>
        <v>53.300585286600004</v>
      </c>
      <c r="AA137" s="564">
        <f t="shared" si="179"/>
        <v>133.79679999999999</v>
      </c>
      <c r="AB137" s="565">
        <f t="shared" si="179"/>
        <v>134.43520000000001</v>
      </c>
      <c r="AC137" s="565">
        <f t="shared" si="179"/>
        <v>135.09360000000001</v>
      </c>
      <c r="AD137" s="565">
        <f t="shared" si="179"/>
        <v>135.85919999999999</v>
      </c>
      <c r="AE137" s="566">
        <f t="shared" si="179"/>
        <v>137.13999999999999</v>
      </c>
      <c r="AF137" s="565">
        <f t="shared" si="179"/>
        <v>155.9556</v>
      </c>
      <c r="AG137" s="565">
        <f>AG135*AG136/10^6</f>
        <v>157.5891</v>
      </c>
      <c r="AH137" s="565">
        <f>AH135*AH136/10^6</f>
        <v>159.12180000000001</v>
      </c>
      <c r="AI137" s="565">
        <f>AI135*AI136/10^6</f>
        <v>160.6995</v>
      </c>
      <c r="AJ137" s="566">
        <f t="shared" si="179"/>
        <v>162.3141</v>
      </c>
      <c r="AK137" s="548"/>
      <c r="AO137" s="984" t="str">
        <f t="shared" si="152"/>
        <v>Rev</v>
      </c>
      <c r="AP137" s="985" t="str">
        <f t="shared" si="152"/>
        <v>Water</v>
      </c>
      <c r="AQ137" s="986" t="str">
        <f t="shared" si="153"/>
        <v xml:space="preserve">Price cap - Variable </v>
      </c>
      <c r="AR137" s="990">
        <f t="shared" si="154"/>
        <v>-2.6507214385325106E-3</v>
      </c>
      <c r="AS137" s="987">
        <f t="shared" si="155"/>
        <v>3.1278720594224207E-2</v>
      </c>
      <c r="AT137" s="987">
        <f t="shared" si="156"/>
        <v>5.7418667973232695E-2</v>
      </c>
      <c r="AU137" s="987">
        <f t="shared" si="157"/>
        <v>4.0754195079735656E-2</v>
      </c>
      <c r="AV137" s="1353">
        <f t="shared" si="158"/>
        <v>-1.4267150791317684E-2</v>
      </c>
      <c r="AW137" s="1346">
        <f t="shared" si="159"/>
        <v>1.5102313470024331</v>
      </c>
      <c r="AX137" s="987">
        <f t="shared" si="160"/>
        <v>4.7714145629791371E-3</v>
      </c>
      <c r="AY137" s="987">
        <f t="shared" si="161"/>
        <v>4.8975268382089876E-3</v>
      </c>
      <c r="AZ137" s="987">
        <f t="shared" si="162"/>
        <v>5.6671818650178007E-3</v>
      </c>
      <c r="BA137" s="988">
        <f t="shared" si="163"/>
        <v>9.4274071980402496E-3</v>
      </c>
      <c r="BB137" s="1346">
        <f t="shared" si="164"/>
        <v>0.13719994166545146</v>
      </c>
      <c r="BC137" s="987">
        <f t="shared" si="165"/>
        <v>1.0474134946099944E-2</v>
      </c>
      <c r="BD137" s="987">
        <f t="shared" si="166"/>
        <v>9.7259264758793318E-3</v>
      </c>
      <c r="BE137" s="987">
        <f t="shared" si="167"/>
        <v>9.9150462098844816E-3</v>
      </c>
      <c r="BF137" s="989">
        <f t="shared" si="168"/>
        <v>1.0047324353840592E-2</v>
      </c>
      <c r="BG137" s="951"/>
      <c r="BH137" s="984" t="str">
        <f t="shared" si="169"/>
        <v>Rev</v>
      </c>
      <c r="BI137" s="985" t="str">
        <f t="shared" si="170"/>
        <v>Water</v>
      </c>
      <c r="BJ137" s="986" t="str">
        <f t="shared" si="171"/>
        <v xml:space="preserve">Price cap - Variable </v>
      </c>
      <c r="BK137" s="987">
        <f t="shared" ref="BK137:BU137" si="180">IF(V137="","-",IFERROR((V137/U137-1)*(U137/U$13),"-"))</f>
        <v>-6.5663474805815959E-5</v>
      </c>
      <c r="BL137" s="987">
        <f t="shared" si="180"/>
        <v>7.9969272040605421E-4</v>
      </c>
      <c r="BM137" s="987">
        <f t="shared" si="180"/>
        <v>1.5246996177514308E-3</v>
      </c>
      <c r="BN137" s="987">
        <f t="shared" si="180"/>
        <v>1.137763344270929E-3</v>
      </c>
      <c r="BO137" s="1353">
        <f t="shared" si="180"/>
        <v>-4.0933576595876742E-4</v>
      </c>
      <c r="BP137" s="1346">
        <f t="shared" si="180"/>
        <v>4.2729842522864367E-2</v>
      </c>
      <c r="BQ137" s="987">
        <f t="shared" si="180"/>
        <v>3.3719207896596072E-4</v>
      </c>
      <c r="BR137" s="987">
        <f t="shared" si="180"/>
        <v>3.3478095127541067E-4</v>
      </c>
      <c r="BS137" s="987">
        <f t="shared" si="180"/>
        <v>3.8192524213550384E-4</v>
      </c>
      <c r="BT137" s="988">
        <f t="shared" si="180"/>
        <v>6.2700390778172859E-4</v>
      </c>
      <c r="BU137" s="987">
        <f t="shared" si="180"/>
        <v>9.0373507048397486E-3</v>
      </c>
      <c r="BV137" s="987">
        <f>IF(AG137="","-",IFERROR((AG137/AF137-1)*(AF137/AF$13),"-"))</f>
        <v>7.4938916505286042E-4</v>
      </c>
      <c r="BW137" s="987">
        <f>IF(AH137="","-",IFERROR((AH137/AG137-1)*(AG137/AG$13),"-"))</f>
        <v>6.9343316750233505E-4</v>
      </c>
      <c r="BX137" s="987">
        <f>IF(AI137="","-",IFERROR((AI137/AH137-1)*(AH137/AH$13),"-"))</f>
        <v>7.0348851615542835E-4</v>
      </c>
      <c r="BY137" s="989">
        <f>IF(AJ137="","-",IFERROR((AJ137/AI137-1)*(AI137/AI$13),"-"))</f>
        <v>7.0775726782153203E-4</v>
      </c>
      <c r="BZ137" s="951"/>
      <c r="CA137" s="984" t="str">
        <f t="shared" si="149"/>
        <v>Rev</v>
      </c>
      <c r="CB137" s="985" t="str">
        <f t="shared" si="150"/>
        <v>Water</v>
      </c>
      <c r="CC137" s="985" t="str">
        <f t="shared" si="151"/>
        <v xml:space="preserve">Price cap - Variable </v>
      </c>
      <c r="CD137" s="990">
        <f t="shared" si="175"/>
        <v>1.4172119504595182E-2</v>
      </c>
      <c r="CE137" s="987">
        <f t="shared" si="175"/>
        <v>2.8387452830280546E-2</v>
      </c>
      <c r="CF137" s="987">
        <f t="shared" si="175"/>
        <v>3.1465293390156024E-2</v>
      </c>
      <c r="CG137" s="988">
        <f t="shared" si="175"/>
        <v>2.2152138249821984E-2</v>
      </c>
      <c r="CH137" s="987">
        <f t="shared" si="176"/>
        <v>0.58814630982411931</v>
      </c>
      <c r="CI137" s="987">
        <f t="shared" si="176"/>
        <v>0.36343445791141371</v>
      </c>
      <c r="CJ137" s="987">
        <f t="shared" si="176"/>
        <v>0.26354079649874418</v>
      </c>
      <c r="CK137" s="989">
        <f t="shared" si="176"/>
        <v>0.20805423853184979</v>
      </c>
    </row>
    <row r="138" spans="4:89">
      <c r="D138" s="63">
        <f>D135+1</f>
        <v>24</v>
      </c>
      <c r="E138" s="550" t="s">
        <v>857</v>
      </c>
      <c r="F138" s="595" t="s">
        <v>401</v>
      </c>
      <c r="G138" s="595" t="s">
        <v>103</v>
      </c>
      <c r="H138" s="595" t="s">
        <v>940</v>
      </c>
      <c r="I138" s="589" t="s">
        <v>941</v>
      </c>
      <c r="J138" s="589" t="s">
        <v>879</v>
      </c>
      <c r="K138" s="551"/>
      <c r="L138" s="552"/>
      <c r="M138" s="552"/>
      <c r="N138" s="551"/>
      <c r="O138" s="552"/>
      <c r="P138" s="552"/>
      <c r="Q138" s="552"/>
      <c r="R138" s="1035"/>
      <c r="S138" s="1138"/>
      <c r="T138" s="591"/>
      <c r="U138" s="1035">
        <v>308.58107444253864</v>
      </c>
      <c r="V138" s="591">
        <v>297.02971059033081</v>
      </c>
      <c r="W138" s="591">
        <v>305.99991924939468</v>
      </c>
      <c r="X138" s="591">
        <v>316.49570242533946</v>
      </c>
      <c r="Y138" s="591">
        <v>318.70260000000002</v>
      </c>
      <c r="Z138" s="1537">
        <v>320.06020000000001</v>
      </c>
      <c r="AA138" s="1138">
        <v>800</v>
      </c>
      <c r="AB138" s="591">
        <v>800</v>
      </c>
      <c r="AC138" s="591">
        <v>800</v>
      </c>
      <c r="AD138" s="591">
        <v>800</v>
      </c>
      <c r="AE138" s="1035">
        <v>800</v>
      </c>
      <c r="AF138" s="591">
        <v>900</v>
      </c>
      <c r="AG138" s="591">
        <v>900</v>
      </c>
      <c r="AH138" s="591">
        <v>900</v>
      </c>
      <c r="AI138" s="591">
        <v>900</v>
      </c>
      <c r="AJ138" s="592">
        <v>900</v>
      </c>
      <c r="AK138" s="548"/>
      <c r="AM138" s="974"/>
      <c r="AO138" s="975" t="str">
        <f t="shared" si="152"/>
        <v>Price</v>
      </c>
      <c r="AP138" s="976" t="str">
        <f t="shared" si="152"/>
        <v>Water</v>
      </c>
      <c r="AQ138" s="977" t="str">
        <f t="shared" si="153"/>
        <v xml:space="preserve">Price cap - Variable </v>
      </c>
      <c r="AR138" s="1341">
        <f t="shared" si="154"/>
        <v>-3.7433805274920795E-2</v>
      </c>
      <c r="AS138" s="978">
        <f t="shared" si="155"/>
        <v>3.0199701710768467E-2</v>
      </c>
      <c r="AT138" s="979">
        <f t="shared" si="156"/>
        <v>3.4299954070871941E-2</v>
      </c>
      <c r="AU138" s="979">
        <f t="shared" si="157"/>
        <v>6.9729148223778292E-3</v>
      </c>
      <c r="AV138" s="1352">
        <f t="shared" si="158"/>
        <v>4.2597707078637637E-3</v>
      </c>
      <c r="AW138" s="1345">
        <f t="shared" si="159"/>
        <v>1.4995297759608972</v>
      </c>
      <c r="AX138" s="979">
        <f t="shared" si="160"/>
        <v>0</v>
      </c>
      <c r="AY138" s="979">
        <f t="shared" si="161"/>
        <v>0</v>
      </c>
      <c r="AZ138" s="979">
        <f t="shared" si="162"/>
        <v>0</v>
      </c>
      <c r="BA138" s="980">
        <f t="shared" si="163"/>
        <v>0</v>
      </c>
      <c r="BB138" s="1345">
        <f t="shared" si="164"/>
        <v>0.125</v>
      </c>
      <c r="BC138" s="979">
        <f t="shared" si="165"/>
        <v>0</v>
      </c>
      <c r="BD138" s="979">
        <f t="shared" si="166"/>
        <v>0</v>
      </c>
      <c r="BE138" s="979">
        <f t="shared" si="167"/>
        <v>0</v>
      </c>
      <c r="BF138" s="981">
        <f t="shared" si="168"/>
        <v>0</v>
      </c>
      <c r="BG138" s="951"/>
      <c r="BH138" s="975" t="str">
        <f t="shared" si="169"/>
        <v>Price</v>
      </c>
      <c r="BI138" s="976" t="str">
        <f t="shared" si="170"/>
        <v>Water</v>
      </c>
      <c r="BJ138" s="977" t="str">
        <f t="shared" si="171"/>
        <v xml:space="preserve">Price cap - Variable </v>
      </c>
      <c r="BK138" s="978">
        <f t="shared" ref="BK138:BU138" si="181">IF(V138="","-",IFERROR((V138/U138-1)*(U140/U$13),"-"))</f>
        <v>-9.3699354320505527E-4</v>
      </c>
      <c r="BL138" s="978">
        <f t="shared" si="181"/>
        <v>7.659780153188374E-4</v>
      </c>
      <c r="BM138" s="979">
        <f t="shared" si="181"/>
        <v>9.0333864860975028E-4</v>
      </c>
      <c r="BN138" s="979">
        <f t="shared" si="181"/>
        <v>1.978399392061184E-4</v>
      </c>
      <c r="BO138" s="1352">
        <f t="shared" si="181"/>
        <v>1.2747397850373433E-4</v>
      </c>
      <c r="BP138" s="1345">
        <f t="shared" si="181"/>
        <v>4.3450199751616354E-2</v>
      </c>
      <c r="BQ138" s="979">
        <f t="shared" si="181"/>
        <v>0</v>
      </c>
      <c r="BR138" s="979">
        <f t="shared" si="181"/>
        <v>0</v>
      </c>
      <c r="BS138" s="979">
        <f t="shared" si="181"/>
        <v>0</v>
      </c>
      <c r="BT138" s="980">
        <f t="shared" si="181"/>
        <v>0</v>
      </c>
      <c r="BU138" s="979">
        <f t="shared" si="181"/>
        <v>8.6886925235091887E-3</v>
      </c>
      <c r="BV138" s="979">
        <f>IF(AG138="","-",IFERROR((AG138/AF138-1)*(AF140/AF$13),"-"))</f>
        <v>0</v>
      </c>
      <c r="BW138" s="979">
        <f>IF(AH138="","-",IFERROR((AH138/AG138-1)*(AG140/AG$13),"-"))</f>
        <v>0</v>
      </c>
      <c r="BX138" s="979">
        <f>IF(AI138="","-",IFERROR((AI138/AH138-1)*(AH140/AH$13),"-"))</f>
        <v>0</v>
      </c>
      <c r="BY138" s="981">
        <f>IF(AJ138="","-",IFERROR((AJ138/AI138-1)*(AI140/AI$13),"-"))</f>
        <v>0</v>
      </c>
      <c r="BZ138" s="951"/>
      <c r="CA138" s="975" t="str">
        <f t="shared" si="149"/>
        <v>Price</v>
      </c>
      <c r="CB138" s="976" t="str">
        <f t="shared" si="150"/>
        <v>Water</v>
      </c>
      <c r="CC138" s="982" t="str">
        <f t="shared" si="151"/>
        <v xml:space="preserve">Price cap - Variable </v>
      </c>
      <c r="CD138" s="983">
        <f t="shared" si="175"/>
        <v>-4.1910792312381817E-3</v>
      </c>
      <c r="CE138" s="979">
        <f t="shared" si="175"/>
        <v>8.47741554045367E-3</v>
      </c>
      <c r="CF138" s="979">
        <f t="shared" si="175"/>
        <v>8.1010797562315329E-3</v>
      </c>
      <c r="CG138" s="980">
        <f t="shared" si="175"/>
        <v>7.3316442959332484E-3</v>
      </c>
      <c r="CH138" s="979">
        <f t="shared" si="176"/>
        <v>0.58099012519398663</v>
      </c>
      <c r="CI138" s="979">
        <f t="shared" si="176"/>
        <v>0.35712371066753756</v>
      </c>
      <c r="CJ138" s="979">
        <f t="shared" si="176"/>
        <v>0.25737429796937805</v>
      </c>
      <c r="CK138" s="981">
        <f t="shared" si="176"/>
        <v>0.20107924677498068</v>
      </c>
    </row>
    <row r="139" spans="4:89">
      <c r="E139" s="567" t="s">
        <v>880</v>
      </c>
      <c r="F139" s="554" t="str">
        <f>+F138</f>
        <v>Water</v>
      </c>
      <c r="G139" s="555" t="str">
        <f>+G138</f>
        <v>YVW</v>
      </c>
      <c r="H139" s="555" t="str">
        <f>+H138</f>
        <v>Transfer-Treated Water</v>
      </c>
      <c r="I139" s="556" t="str">
        <f>+I138</f>
        <v xml:space="preserve">Price cap - Variable </v>
      </c>
      <c r="J139" s="590" t="s">
        <v>887</v>
      </c>
      <c r="K139" s="557"/>
      <c r="L139" s="558"/>
      <c r="M139" s="558"/>
      <c r="N139" s="557"/>
      <c r="O139" s="558"/>
      <c r="P139" s="558"/>
      <c r="Q139" s="558"/>
      <c r="R139" s="1036"/>
      <c r="S139" s="1139"/>
      <c r="T139" s="593"/>
      <c r="U139" s="1036">
        <v>156422</v>
      </c>
      <c r="V139" s="593">
        <v>159126</v>
      </c>
      <c r="W139" s="593">
        <v>159251</v>
      </c>
      <c r="X139" s="593">
        <v>166831</v>
      </c>
      <c r="Y139" s="593">
        <v>176962</v>
      </c>
      <c r="Z139" s="593">
        <v>170549</v>
      </c>
      <c r="AA139" s="1139">
        <v>172081</v>
      </c>
      <c r="AB139" s="593">
        <v>174154</v>
      </c>
      <c r="AC139" s="593">
        <v>176430</v>
      </c>
      <c r="AD139" s="593">
        <v>178559</v>
      </c>
      <c r="AE139" s="1036">
        <v>180897</v>
      </c>
      <c r="AF139" s="593">
        <v>183188</v>
      </c>
      <c r="AG139" s="593">
        <v>185545</v>
      </c>
      <c r="AH139" s="593">
        <v>187841</v>
      </c>
      <c r="AI139" s="593">
        <v>190110</v>
      </c>
      <c r="AJ139" s="594">
        <v>192446</v>
      </c>
      <c r="AK139" s="548"/>
      <c r="AO139" s="961" t="str">
        <f t="shared" si="152"/>
        <v>Qty</v>
      </c>
      <c r="AP139" s="962" t="str">
        <f t="shared" si="152"/>
        <v>Water</v>
      </c>
      <c r="AQ139" s="963" t="str">
        <f t="shared" si="153"/>
        <v xml:space="preserve">Price cap - Variable </v>
      </c>
      <c r="AR139" s="967">
        <f t="shared" si="154"/>
        <v>1.7286570942706359E-2</v>
      </c>
      <c r="AS139" s="964">
        <f t="shared" si="155"/>
        <v>7.8554101780969887E-4</v>
      </c>
      <c r="AT139" s="964">
        <f t="shared" si="156"/>
        <v>4.7597817282152066E-2</v>
      </c>
      <c r="AU139" s="964">
        <f t="shared" si="157"/>
        <v>6.0726124041694973E-2</v>
      </c>
      <c r="AV139" s="1350">
        <f t="shared" si="158"/>
        <v>-3.6239418632248777E-2</v>
      </c>
      <c r="AW139" s="1343">
        <f t="shared" si="159"/>
        <v>8.9827556889807703E-3</v>
      </c>
      <c r="AX139" s="964">
        <f t="shared" si="160"/>
        <v>1.2046652448556294E-2</v>
      </c>
      <c r="AY139" s="964">
        <f t="shared" si="161"/>
        <v>1.3068893048681085E-2</v>
      </c>
      <c r="AZ139" s="964">
        <f t="shared" si="162"/>
        <v>1.2067108768350154E-2</v>
      </c>
      <c r="BA139" s="965">
        <f t="shared" si="163"/>
        <v>1.3093711322307966E-2</v>
      </c>
      <c r="BB139" s="1343">
        <f t="shared" si="164"/>
        <v>1.2664665527897023E-2</v>
      </c>
      <c r="BC139" s="964">
        <f t="shared" si="165"/>
        <v>1.2866563312007306E-2</v>
      </c>
      <c r="BD139" s="964">
        <f t="shared" si="166"/>
        <v>1.2374356625077576E-2</v>
      </c>
      <c r="BE139" s="964">
        <f t="shared" si="167"/>
        <v>1.2079364994862729E-2</v>
      </c>
      <c r="BF139" s="966">
        <f t="shared" si="168"/>
        <v>1.2287622955131194E-2</v>
      </c>
      <c r="BG139" s="951"/>
      <c r="BH139" s="961" t="str">
        <f t="shared" si="169"/>
        <v>Qty</v>
      </c>
      <c r="BI139" s="962" t="str">
        <f t="shared" si="170"/>
        <v>Water</v>
      </c>
      <c r="BJ139" s="963" t="str">
        <f t="shared" si="171"/>
        <v xml:space="preserve">Price cap - Variable </v>
      </c>
      <c r="BK139" s="964">
        <f t="shared" ref="BK139:BU139" si="182">IF(V139="","-",IFERROR((V139/U139-1)*(U140/U$13),"-"))</f>
        <v>4.3269459886632525E-4</v>
      </c>
      <c r="BL139" s="964">
        <f t="shared" si="182"/>
        <v>1.9924274601654716E-5</v>
      </c>
      <c r="BM139" s="964">
        <f t="shared" si="182"/>
        <v>1.2535570121053527E-3</v>
      </c>
      <c r="BN139" s="964">
        <f t="shared" si="182"/>
        <v>1.7229599091152005E-3</v>
      </c>
      <c r="BO139" s="1350">
        <f t="shared" si="182"/>
        <v>-1.0844674956769654E-3</v>
      </c>
      <c r="BP139" s="1343">
        <f t="shared" si="182"/>
        <v>2.6028328030770656E-4</v>
      </c>
      <c r="BQ139" s="964">
        <f t="shared" si="182"/>
        <v>8.7593882167472982E-4</v>
      </c>
      <c r="BR139" s="964">
        <f t="shared" si="182"/>
        <v>9.2583407667417368E-4</v>
      </c>
      <c r="BS139" s="964">
        <f t="shared" si="182"/>
        <v>8.4965396082186794E-4</v>
      </c>
      <c r="BT139" s="965">
        <f t="shared" si="182"/>
        <v>9.1563718700417599E-4</v>
      </c>
      <c r="BU139" s="964">
        <f t="shared" si="182"/>
        <v>8.8031507747986736E-4</v>
      </c>
      <c r="BV139" s="964">
        <f>IF(AG139="","-",IFERROR((AG139/AF139-1)*(AF140/AF$13),"-"))</f>
        <v>9.7317369808793644E-4</v>
      </c>
      <c r="BW139" s="964">
        <f>IF(AH139="","-",IFERROR((AH139/AG139-1)*(AG140/AG$13),"-"))</f>
        <v>9.3489286704954706E-4</v>
      </c>
      <c r="BX139" s="964">
        <f>IF(AI139="","-",IFERROR((AI139/AH139-1)*(AH140/AH$13),"-"))</f>
        <v>9.1056214669519545E-4</v>
      </c>
      <c r="BY139" s="966">
        <f>IF(AJ139="","-",IFERROR((AJ139/AI139-1)*(AI140/AI$13),"-"))</f>
        <v>9.21583599571397E-4</v>
      </c>
      <c r="BZ139" s="951"/>
      <c r="CA139" s="961" t="str">
        <f t="shared" si="149"/>
        <v>Qty</v>
      </c>
      <c r="CB139" s="962" t="str">
        <f t="shared" si="150"/>
        <v>Water</v>
      </c>
      <c r="CC139" s="962" t="str">
        <f t="shared" si="151"/>
        <v xml:space="preserve">Price cap - Variable </v>
      </c>
      <c r="CD139" s="967">
        <f t="shared" si="175"/>
        <v>9.0023247104282778E-3</v>
      </c>
      <c r="CE139" s="964">
        <f t="shared" si="175"/>
        <v>2.1706852547576538E-2</v>
      </c>
      <c r="CF139" s="964">
        <f t="shared" si="175"/>
        <v>3.1325001005250375E-2</v>
      </c>
      <c r="CG139" s="965">
        <f t="shared" si="175"/>
        <v>1.744342259232412E-2</v>
      </c>
      <c r="CH139" s="964">
        <f t="shared" si="176"/>
        <v>1.0513542845098423E-2</v>
      </c>
      <c r="CI139" s="964">
        <f t="shared" si="176"/>
        <v>1.136460926688998E-2</v>
      </c>
      <c r="CJ139" s="964">
        <f t="shared" si="176"/>
        <v>1.1540188414524977E-2</v>
      </c>
      <c r="CK139" s="966">
        <f t="shared" si="176"/>
        <v>1.1850702299802007E-2</v>
      </c>
    </row>
    <row r="140" spans="4:89" ht="12.75" thickBot="1">
      <c r="E140" s="568" t="s">
        <v>882</v>
      </c>
      <c r="F140" s="560" t="str">
        <f>+F138</f>
        <v>Water</v>
      </c>
      <c r="G140" s="561" t="str">
        <f>+G138</f>
        <v>YVW</v>
      </c>
      <c r="H140" s="561" t="str">
        <f>+H138</f>
        <v>Transfer-Treated Water</v>
      </c>
      <c r="I140" s="562" t="str">
        <f>+I138</f>
        <v xml:space="preserve">Price cap - Variable </v>
      </c>
      <c r="J140" s="563" t="s">
        <v>883</v>
      </c>
      <c r="K140" s="564">
        <f t="shared" ref="K140:AJ140" si="183">K138*K139/10^6</f>
        <v>0</v>
      </c>
      <c r="L140" s="565">
        <f t="shared" si="183"/>
        <v>0</v>
      </c>
      <c r="M140" s="565">
        <f t="shared" si="183"/>
        <v>0</v>
      </c>
      <c r="N140" s="564">
        <f t="shared" si="183"/>
        <v>0</v>
      </c>
      <c r="O140" s="565">
        <f t="shared" si="183"/>
        <v>0</v>
      </c>
      <c r="P140" s="565">
        <f t="shared" si="183"/>
        <v>0</v>
      </c>
      <c r="Q140" s="565">
        <f t="shared" si="183"/>
        <v>0</v>
      </c>
      <c r="R140" s="566">
        <f t="shared" si="183"/>
        <v>0</v>
      </c>
      <c r="S140" s="564">
        <f t="shared" si="183"/>
        <v>0</v>
      </c>
      <c r="T140" s="565">
        <f t="shared" si="183"/>
        <v>0</v>
      </c>
      <c r="U140" s="566">
        <f t="shared" si="183"/>
        <v>48.268868826450777</v>
      </c>
      <c r="V140" s="565">
        <f t="shared" si="183"/>
        <v>47.265149727396981</v>
      </c>
      <c r="W140" s="565">
        <f t="shared" si="183"/>
        <v>48.730793140385352</v>
      </c>
      <c r="X140" s="565">
        <f t="shared" si="183"/>
        <v>52.801294531321808</v>
      </c>
      <c r="Y140" s="565">
        <f t="shared" si="183"/>
        <v>56.398249501200006</v>
      </c>
      <c r="Z140" s="565">
        <f t="shared" si="183"/>
        <v>54.585947049799998</v>
      </c>
      <c r="AA140" s="564">
        <f t="shared" si="183"/>
        <v>137.66480000000001</v>
      </c>
      <c r="AB140" s="565">
        <f t="shared" si="183"/>
        <v>139.32320000000001</v>
      </c>
      <c r="AC140" s="565">
        <f t="shared" si="183"/>
        <v>141.14400000000001</v>
      </c>
      <c r="AD140" s="565">
        <f t="shared" si="183"/>
        <v>142.84719999999999</v>
      </c>
      <c r="AE140" s="566">
        <f t="shared" si="183"/>
        <v>144.7176</v>
      </c>
      <c r="AF140" s="565">
        <f t="shared" si="183"/>
        <v>164.86920000000001</v>
      </c>
      <c r="AG140" s="565">
        <f>AG138*AG139/10^6</f>
        <v>166.9905</v>
      </c>
      <c r="AH140" s="565">
        <f>AH138*AH139/10^6</f>
        <v>169.05690000000001</v>
      </c>
      <c r="AI140" s="565">
        <f>AI138*AI139/10^6</f>
        <v>171.09899999999999</v>
      </c>
      <c r="AJ140" s="566">
        <f t="shared" si="183"/>
        <v>173.20140000000001</v>
      </c>
      <c r="AK140" s="548"/>
      <c r="AO140" s="984" t="str">
        <f t="shared" si="152"/>
        <v>Rev</v>
      </c>
      <c r="AP140" s="985" t="str">
        <f t="shared" si="152"/>
        <v>Water</v>
      </c>
      <c r="AQ140" s="986" t="str">
        <f t="shared" si="153"/>
        <v xml:space="preserve">Price cap - Variable </v>
      </c>
      <c r="AR140" s="990">
        <f t="shared" si="154"/>
        <v>-2.0794336462754859E-2</v>
      </c>
      <c r="AS140" s="987">
        <f t="shared" si="155"/>
        <v>3.1008965832997726E-2</v>
      </c>
      <c r="AT140" s="987">
        <f t="shared" si="156"/>
        <v>8.353037429967558E-2</v>
      </c>
      <c r="AU140" s="987">
        <f t="shared" si="157"/>
        <v>6.8122476954508793E-2</v>
      </c>
      <c r="AV140" s="1353">
        <f t="shared" si="158"/>
        <v>-3.2134019538344827E-2</v>
      </c>
      <c r="AW140" s="1346">
        <f t="shared" si="159"/>
        <v>1.5219824412756875</v>
      </c>
      <c r="AX140" s="987">
        <f t="shared" si="160"/>
        <v>1.2046652448556294E-2</v>
      </c>
      <c r="AY140" s="987">
        <f t="shared" si="161"/>
        <v>1.3068893048681085E-2</v>
      </c>
      <c r="AZ140" s="987">
        <f t="shared" si="162"/>
        <v>1.2067108768349932E-2</v>
      </c>
      <c r="BA140" s="988">
        <f t="shared" si="163"/>
        <v>1.3093711322308188E-2</v>
      </c>
      <c r="BB140" s="1346">
        <f t="shared" si="164"/>
        <v>0.13924774871888435</v>
      </c>
      <c r="BC140" s="987">
        <f t="shared" si="165"/>
        <v>1.2866563312007306E-2</v>
      </c>
      <c r="BD140" s="987">
        <f t="shared" si="166"/>
        <v>1.2374356625077576E-2</v>
      </c>
      <c r="BE140" s="987">
        <f t="shared" si="167"/>
        <v>1.2079364994862507E-2</v>
      </c>
      <c r="BF140" s="989">
        <f t="shared" si="168"/>
        <v>1.2287622955131416E-2</v>
      </c>
      <c r="BG140" s="951"/>
      <c r="BH140" s="984" t="str">
        <f t="shared" si="169"/>
        <v>Rev</v>
      </c>
      <c r="BI140" s="985" t="str">
        <f t="shared" si="170"/>
        <v>Water</v>
      </c>
      <c r="BJ140" s="986" t="str">
        <f t="shared" si="171"/>
        <v xml:space="preserve">Price cap - Variable </v>
      </c>
      <c r="BK140" s="987">
        <f t="shared" ref="BK140:BU140" si="184">IF(V140="","-",IFERROR((V140/U140-1)*(U140/U$13),"-"))</f>
        <v>-5.2049634969620327E-4</v>
      </c>
      <c r="BL140" s="987">
        <f t="shared" si="184"/>
        <v>7.8650399707026893E-4</v>
      </c>
      <c r="BM140" s="987">
        <f t="shared" si="184"/>
        <v>2.1998926086555363E-3</v>
      </c>
      <c r="BN140" s="987">
        <f t="shared" si="184"/>
        <v>1.932813901009954E-3</v>
      </c>
      <c r="BO140" s="1353">
        <f t="shared" si="184"/>
        <v>-9.6161310004495067E-4</v>
      </c>
      <c r="BP140" s="1346">
        <f t="shared" si="184"/>
        <v>4.4100785560930264E-2</v>
      </c>
      <c r="BQ140" s="987">
        <f t="shared" si="184"/>
        <v>8.7593882167472982E-4</v>
      </c>
      <c r="BR140" s="987">
        <f t="shared" si="184"/>
        <v>9.2583407667417368E-4</v>
      </c>
      <c r="BS140" s="987">
        <f t="shared" si="184"/>
        <v>8.4965396082185233E-4</v>
      </c>
      <c r="BT140" s="988">
        <f t="shared" si="184"/>
        <v>9.156371870041915E-4</v>
      </c>
      <c r="BU140" s="987">
        <f t="shared" si="184"/>
        <v>9.679046985674053E-3</v>
      </c>
      <c r="BV140" s="987">
        <f>IF(AG140="","-",IFERROR((AG140/AF140-1)*(AF140/AF$13),"-"))</f>
        <v>9.7317369808793644E-4</v>
      </c>
      <c r="BW140" s="987">
        <f>IF(AH140="","-",IFERROR((AH140/AG140-1)*(AG140/AG$13),"-"))</f>
        <v>9.3489286704954706E-4</v>
      </c>
      <c r="BX140" s="987">
        <f>IF(AI140="","-",IFERROR((AI140/AH140-1)*(AH140/AH$13),"-"))</f>
        <v>9.1056214669517875E-4</v>
      </c>
      <c r="BY140" s="989">
        <f>IF(AJ140="","-",IFERROR((AJ140/AI140-1)*(AI140/AI$13),"-"))</f>
        <v>9.2158359957141369E-4</v>
      </c>
      <c r="BZ140" s="951"/>
      <c r="CA140" s="984" t="str">
        <f t="shared" si="149"/>
        <v>Rev</v>
      </c>
      <c r="CB140" s="985" t="str">
        <f t="shared" si="150"/>
        <v>Water</v>
      </c>
      <c r="CC140" s="985" t="str">
        <f t="shared" si="151"/>
        <v xml:space="preserve">Price cap - Variable </v>
      </c>
      <c r="CD140" s="990">
        <f t="shared" si="175"/>
        <v>4.7735160230635287E-3</v>
      </c>
      <c r="CE140" s="987">
        <f t="shared" si="175"/>
        <v>3.0368286097151476E-2</v>
      </c>
      <c r="CF140" s="987">
        <f t="shared" si="175"/>
        <v>3.9679847092989551E-2</v>
      </c>
      <c r="CG140" s="988">
        <f t="shared" si="175"/>
        <v>2.4902955858008058E-2</v>
      </c>
      <c r="CH140" s="987">
        <f t="shared" si="176"/>
        <v>0.59761193261289125</v>
      </c>
      <c r="CI140" s="987">
        <f t="shared" si="176"/>
        <v>0.37254689136610608</v>
      </c>
      <c r="CJ140" s="987">
        <f t="shared" si="176"/>
        <v>0.27188463427552589</v>
      </c>
      <c r="CK140" s="989">
        <f t="shared" si="176"/>
        <v>0.2153128793669814</v>
      </c>
    </row>
    <row r="141" spans="4:89">
      <c r="D141" s="63">
        <f>D138+1</f>
        <v>25</v>
      </c>
      <c r="E141" s="550" t="s">
        <v>857</v>
      </c>
      <c r="F141" s="595" t="s">
        <v>401</v>
      </c>
      <c r="G141" s="595" t="s">
        <v>99</v>
      </c>
      <c r="H141" s="595" t="s">
        <v>940</v>
      </c>
      <c r="I141" s="589" t="s">
        <v>941</v>
      </c>
      <c r="J141" s="589" t="s">
        <v>879</v>
      </c>
      <c r="K141" s="551"/>
      <c r="L141" s="552"/>
      <c r="M141" s="552"/>
      <c r="N141" s="551"/>
      <c r="O141" s="552"/>
      <c r="P141" s="552"/>
      <c r="Q141" s="552"/>
      <c r="R141" s="1035"/>
      <c r="S141" s="1138"/>
      <c r="T141" s="591"/>
      <c r="U141" s="1035">
        <v>308.58107444253864</v>
      </c>
      <c r="V141" s="591">
        <v>297.02971059033081</v>
      </c>
      <c r="W141" s="591">
        <v>305.99991924939468</v>
      </c>
      <c r="X141" s="591">
        <v>0</v>
      </c>
      <c r="Y141" s="591">
        <v>0</v>
      </c>
      <c r="Z141" s="591">
        <v>0</v>
      </c>
      <c r="AA141" s="1138">
        <v>0</v>
      </c>
      <c r="AB141" s="591">
        <v>0</v>
      </c>
      <c r="AC141" s="591">
        <v>0</v>
      </c>
      <c r="AD141" s="591">
        <v>0</v>
      </c>
      <c r="AE141" s="1035">
        <v>0</v>
      </c>
      <c r="AF141" s="591">
        <v>0</v>
      </c>
      <c r="AG141" s="591">
        <v>0</v>
      </c>
      <c r="AH141" s="591">
        <v>0</v>
      </c>
      <c r="AI141" s="591">
        <v>0</v>
      </c>
      <c r="AJ141" s="592">
        <v>0</v>
      </c>
      <c r="AK141" s="548"/>
      <c r="AM141" s="974"/>
      <c r="AO141" s="975" t="str">
        <f t="shared" si="152"/>
        <v>Price</v>
      </c>
      <c r="AP141" s="976" t="str">
        <f t="shared" si="152"/>
        <v>Water</v>
      </c>
      <c r="AQ141" s="977" t="str">
        <f t="shared" si="153"/>
        <v xml:space="preserve">Price cap - Variable </v>
      </c>
      <c r="AR141" s="1341">
        <f t="shared" si="154"/>
        <v>-3.7433805274920795E-2</v>
      </c>
      <c r="AS141" s="978">
        <f t="shared" si="155"/>
        <v>3.0199701710768467E-2</v>
      </c>
      <c r="AT141" s="979">
        <f t="shared" si="156"/>
        <v>-1</v>
      </c>
      <c r="AU141" s="979" t="str">
        <f t="shared" si="157"/>
        <v>-</v>
      </c>
      <c r="AV141" s="1352" t="str">
        <f t="shared" si="158"/>
        <v>-</v>
      </c>
      <c r="AW141" s="1345" t="str">
        <f t="shared" si="159"/>
        <v>-</v>
      </c>
      <c r="AX141" s="979" t="str">
        <f t="shared" si="160"/>
        <v>-</v>
      </c>
      <c r="AY141" s="979" t="str">
        <f t="shared" si="161"/>
        <v>-</v>
      </c>
      <c r="AZ141" s="979" t="str">
        <f t="shared" si="162"/>
        <v>-</v>
      </c>
      <c r="BA141" s="980" t="str">
        <f t="shared" si="163"/>
        <v>-</v>
      </c>
      <c r="BB141" s="1345" t="str">
        <f t="shared" si="164"/>
        <v>-</v>
      </c>
      <c r="BC141" s="979" t="str">
        <f t="shared" si="165"/>
        <v>-</v>
      </c>
      <c r="BD141" s="979" t="str">
        <f t="shared" si="166"/>
        <v>-</v>
      </c>
      <c r="BE141" s="979" t="str">
        <f t="shared" si="167"/>
        <v>-</v>
      </c>
      <c r="BF141" s="981" t="str">
        <f t="shared" si="168"/>
        <v>-</v>
      </c>
      <c r="BG141" s="951"/>
      <c r="BH141" s="975" t="str">
        <f t="shared" si="169"/>
        <v>Price</v>
      </c>
      <c r="BI141" s="976" t="str">
        <f t="shared" si="170"/>
        <v>Water</v>
      </c>
      <c r="BJ141" s="977" t="str">
        <f t="shared" si="171"/>
        <v xml:space="preserve">Price cap - Variable </v>
      </c>
      <c r="BK141" s="978">
        <f t="shared" ref="BK141:BU141" si="185">IF(V141="","-",IFERROR((V141/U141-1)*(U143/U$13),"-"))</f>
        <v>-8.3407053327455146E-5</v>
      </c>
      <c r="BL141" s="978">
        <f t="shared" si="185"/>
        <v>7.3923333592570577E-5</v>
      </c>
      <c r="BM141" s="979">
        <f t="shared" si="185"/>
        <v>-2.5160443775950983E-3</v>
      </c>
      <c r="BN141" s="979" t="str">
        <f t="shared" si="185"/>
        <v>-</v>
      </c>
      <c r="BO141" s="1352" t="str">
        <f t="shared" si="185"/>
        <v>-</v>
      </c>
      <c r="BP141" s="1345" t="str">
        <f t="shared" si="185"/>
        <v>-</v>
      </c>
      <c r="BQ141" s="979" t="str">
        <f t="shared" si="185"/>
        <v>-</v>
      </c>
      <c r="BR141" s="979" t="str">
        <f t="shared" si="185"/>
        <v>-</v>
      </c>
      <c r="BS141" s="979" t="str">
        <f t="shared" si="185"/>
        <v>-</v>
      </c>
      <c r="BT141" s="980" t="str">
        <f t="shared" si="185"/>
        <v>-</v>
      </c>
      <c r="BU141" s="979" t="str">
        <f t="shared" si="185"/>
        <v>-</v>
      </c>
      <c r="BV141" s="979" t="str">
        <f>IF(AG141="","-",IFERROR((AG141/AF141-1)*(AF143/AF$13),"-"))</f>
        <v>-</v>
      </c>
      <c r="BW141" s="979" t="str">
        <f>IF(AH141="","-",IFERROR((AH141/AG141-1)*(AG143/AG$13),"-"))</f>
        <v>-</v>
      </c>
      <c r="BX141" s="979" t="str">
        <f>IF(AI141="","-",IFERROR((AI141/AH141-1)*(AH143/AH$13),"-"))</f>
        <v>-</v>
      </c>
      <c r="BY141" s="981" t="str">
        <f>IF(AJ141="","-",IFERROR((AJ141/AI141-1)*(AI143/AI$13),"-"))</f>
        <v>-</v>
      </c>
      <c r="BZ141" s="951"/>
      <c r="CA141" s="975" t="str">
        <f t="shared" si="149"/>
        <v>Price</v>
      </c>
      <c r="CB141" s="976" t="str">
        <f t="shared" si="150"/>
        <v>Water</v>
      </c>
      <c r="CC141" s="982" t="str">
        <f t="shared" si="151"/>
        <v xml:space="preserve">Price cap - Variable </v>
      </c>
      <c r="CD141" s="983">
        <f t="shared" si="175"/>
        <v>-4.1910792312381817E-3</v>
      </c>
      <c r="CE141" s="979">
        <f t="shared" si="175"/>
        <v>-1</v>
      </c>
      <c r="CF141" s="979">
        <f t="shared" si="175"/>
        <v>-1</v>
      </c>
      <c r="CG141" s="980">
        <f t="shared" si="175"/>
        <v>-1</v>
      </c>
      <c r="CH141" s="979" t="str">
        <f t="shared" si="176"/>
        <v>-</v>
      </c>
      <c r="CI141" s="979" t="str">
        <f t="shared" si="176"/>
        <v>-</v>
      </c>
      <c r="CJ141" s="979" t="str">
        <f t="shared" si="176"/>
        <v>-</v>
      </c>
      <c r="CK141" s="981" t="str">
        <f t="shared" si="176"/>
        <v>-</v>
      </c>
    </row>
    <row r="142" spans="4:89">
      <c r="E142" s="567" t="s">
        <v>880</v>
      </c>
      <c r="F142" s="554" t="str">
        <f>+F141</f>
        <v>Water</v>
      </c>
      <c r="G142" s="555" t="str">
        <f>+G141</f>
        <v>WW</v>
      </c>
      <c r="H142" s="555" t="str">
        <f>+H141</f>
        <v>Transfer-Treated Water</v>
      </c>
      <c r="I142" s="556" t="str">
        <f>+I141</f>
        <v xml:space="preserve">Price cap - Variable </v>
      </c>
      <c r="J142" s="590" t="s">
        <v>887</v>
      </c>
      <c r="K142" s="557"/>
      <c r="L142" s="558"/>
      <c r="M142" s="558"/>
      <c r="N142" s="557"/>
      <c r="O142" s="558"/>
      <c r="P142" s="558"/>
      <c r="Q142" s="558"/>
      <c r="R142" s="1036"/>
      <c r="S142" s="1139"/>
      <c r="T142" s="593"/>
      <c r="U142" s="1036">
        <v>13924</v>
      </c>
      <c r="V142" s="593">
        <v>15357</v>
      </c>
      <c r="W142" s="593">
        <v>15214</v>
      </c>
      <c r="X142" s="593">
        <v>0</v>
      </c>
      <c r="Y142" s="593">
        <v>0</v>
      </c>
      <c r="Z142" s="593">
        <v>0</v>
      </c>
      <c r="AA142" s="1139">
        <v>0</v>
      </c>
      <c r="AB142" s="593">
        <v>0</v>
      </c>
      <c r="AC142" s="593">
        <v>0</v>
      </c>
      <c r="AD142" s="593">
        <v>0</v>
      </c>
      <c r="AE142" s="1036">
        <v>0</v>
      </c>
      <c r="AF142" s="593">
        <v>0</v>
      </c>
      <c r="AG142" s="593">
        <v>0</v>
      </c>
      <c r="AH142" s="593">
        <v>0</v>
      </c>
      <c r="AI142" s="593">
        <v>0</v>
      </c>
      <c r="AJ142" s="594">
        <v>0</v>
      </c>
      <c r="AK142" s="548"/>
      <c r="AO142" s="961" t="str">
        <f t="shared" si="152"/>
        <v>Qty</v>
      </c>
      <c r="AP142" s="962" t="str">
        <f t="shared" si="152"/>
        <v>Water</v>
      </c>
      <c r="AQ142" s="963" t="str">
        <f t="shared" si="153"/>
        <v xml:space="preserve">Price cap - Variable </v>
      </c>
      <c r="AR142" s="967">
        <f t="shared" si="154"/>
        <v>0.10291582878483196</v>
      </c>
      <c r="AS142" s="964">
        <f t="shared" si="155"/>
        <v>-9.3117145275769531E-3</v>
      </c>
      <c r="AT142" s="964">
        <f t="shared" si="156"/>
        <v>-1</v>
      </c>
      <c r="AU142" s="964" t="str">
        <f t="shared" si="157"/>
        <v>-</v>
      </c>
      <c r="AV142" s="1350" t="str">
        <f t="shared" si="158"/>
        <v>-</v>
      </c>
      <c r="AW142" s="1343" t="str">
        <f t="shared" si="159"/>
        <v>-</v>
      </c>
      <c r="AX142" s="964" t="str">
        <f t="shared" si="160"/>
        <v>-</v>
      </c>
      <c r="AY142" s="964" t="str">
        <f t="shared" si="161"/>
        <v>-</v>
      </c>
      <c r="AZ142" s="964" t="str">
        <f t="shared" si="162"/>
        <v>-</v>
      </c>
      <c r="BA142" s="965" t="str">
        <f t="shared" si="163"/>
        <v>-</v>
      </c>
      <c r="BB142" s="1343" t="str">
        <f t="shared" si="164"/>
        <v>-</v>
      </c>
      <c r="BC142" s="964" t="str">
        <f t="shared" si="165"/>
        <v>-</v>
      </c>
      <c r="BD142" s="964" t="str">
        <f t="shared" si="166"/>
        <v>-</v>
      </c>
      <c r="BE142" s="964" t="str">
        <f t="shared" si="167"/>
        <v>-</v>
      </c>
      <c r="BF142" s="966" t="str">
        <f t="shared" si="168"/>
        <v>-</v>
      </c>
      <c r="BG142" s="951"/>
      <c r="BH142" s="961" t="str">
        <f t="shared" si="169"/>
        <v>Qty</v>
      </c>
      <c r="BI142" s="962" t="str">
        <f t="shared" si="170"/>
        <v>Water</v>
      </c>
      <c r="BJ142" s="963" t="str">
        <f t="shared" si="171"/>
        <v xml:space="preserve">Price cap - Variable </v>
      </c>
      <c r="BK142" s="964">
        <f t="shared" ref="BK142:BU142" si="186">IF(V142="","-",IFERROR((V142/U142-1)*(U143/U$13),"-"))</f>
        <v>2.2930893497612463E-4</v>
      </c>
      <c r="BL142" s="964">
        <f t="shared" si="186"/>
        <v>-2.2793370144295402E-5</v>
      </c>
      <c r="BM142" s="964">
        <f t="shared" si="186"/>
        <v>-2.5160443775950983E-3</v>
      </c>
      <c r="BN142" s="964" t="str">
        <f t="shared" si="186"/>
        <v>-</v>
      </c>
      <c r="BO142" s="1350" t="str">
        <f t="shared" si="186"/>
        <v>-</v>
      </c>
      <c r="BP142" s="1343" t="str">
        <f t="shared" si="186"/>
        <v>-</v>
      </c>
      <c r="BQ142" s="964" t="str">
        <f t="shared" si="186"/>
        <v>-</v>
      </c>
      <c r="BR142" s="964" t="str">
        <f t="shared" si="186"/>
        <v>-</v>
      </c>
      <c r="BS142" s="964" t="str">
        <f t="shared" si="186"/>
        <v>-</v>
      </c>
      <c r="BT142" s="965" t="str">
        <f t="shared" si="186"/>
        <v>-</v>
      </c>
      <c r="BU142" s="964" t="str">
        <f t="shared" si="186"/>
        <v>-</v>
      </c>
      <c r="BV142" s="964" t="str">
        <f>IF(AG142="","-",IFERROR((AG142/AF142-1)*(AF143/AF$13),"-"))</f>
        <v>-</v>
      </c>
      <c r="BW142" s="964" t="str">
        <f>IF(AH142="","-",IFERROR((AH142/AG142-1)*(AG143/AG$13),"-"))</f>
        <v>-</v>
      </c>
      <c r="BX142" s="964" t="str">
        <f>IF(AI142="","-",IFERROR((AI142/AH142-1)*(AH143/AH$13),"-"))</f>
        <v>-</v>
      </c>
      <c r="BY142" s="966" t="str">
        <f>IF(AJ142="","-",IFERROR((AJ142/AI142-1)*(AI143/AI$13),"-"))</f>
        <v>-</v>
      </c>
      <c r="BZ142" s="951"/>
      <c r="CA142" s="961" t="str">
        <f t="shared" si="149"/>
        <v>Qty</v>
      </c>
      <c r="CB142" s="962" t="str">
        <f t="shared" si="150"/>
        <v>Water</v>
      </c>
      <c r="CC142" s="962" t="str">
        <f t="shared" si="151"/>
        <v xml:space="preserve">Price cap - Variable </v>
      </c>
      <c r="CD142" s="967">
        <f t="shared" si="175"/>
        <v>4.5296987195142302E-2</v>
      </c>
      <c r="CE142" s="964">
        <f t="shared" si="175"/>
        <v>-1</v>
      </c>
      <c r="CF142" s="964">
        <f t="shared" si="175"/>
        <v>-1</v>
      </c>
      <c r="CG142" s="965">
        <f t="shared" si="175"/>
        <v>-1</v>
      </c>
      <c r="CH142" s="964" t="str">
        <f t="shared" si="176"/>
        <v>-</v>
      </c>
      <c r="CI142" s="964" t="str">
        <f t="shared" si="176"/>
        <v>-</v>
      </c>
      <c r="CJ142" s="964" t="str">
        <f t="shared" si="176"/>
        <v>-</v>
      </c>
      <c r="CK142" s="966" t="str">
        <f t="shared" si="176"/>
        <v>-</v>
      </c>
    </row>
    <row r="143" spans="4:89" ht="12.75" thickBot="1">
      <c r="E143" s="568" t="s">
        <v>882</v>
      </c>
      <c r="F143" s="560" t="str">
        <f>+F141</f>
        <v>Water</v>
      </c>
      <c r="G143" s="561" t="str">
        <f>+G141</f>
        <v>WW</v>
      </c>
      <c r="H143" s="561" t="str">
        <f>+H141</f>
        <v>Transfer-Treated Water</v>
      </c>
      <c r="I143" s="562" t="str">
        <f>+I141</f>
        <v xml:space="preserve">Price cap - Variable </v>
      </c>
      <c r="J143" s="563" t="s">
        <v>883</v>
      </c>
      <c r="K143" s="564">
        <f t="shared" ref="K143:AJ143" si="187">K141*K142/10^6</f>
        <v>0</v>
      </c>
      <c r="L143" s="565">
        <f t="shared" si="187"/>
        <v>0</v>
      </c>
      <c r="M143" s="565">
        <f t="shared" si="187"/>
        <v>0</v>
      </c>
      <c r="N143" s="564">
        <f t="shared" si="187"/>
        <v>0</v>
      </c>
      <c r="O143" s="565">
        <f t="shared" si="187"/>
        <v>0</v>
      </c>
      <c r="P143" s="565">
        <f t="shared" si="187"/>
        <v>0</v>
      </c>
      <c r="Q143" s="565">
        <f t="shared" si="187"/>
        <v>0</v>
      </c>
      <c r="R143" s="566">
        <f t="shared" si="187"/>
        <v>0</v>
      </c>
      <c r="S143" s="564">
        <f t="shared" si="187"/>
        <v>0</v>
      </c>
      <c r="T143" s="565">
        <f t="shared" si="187"/>
        <v>0</v>
      </c>
      <c r="U143" s="566">
        <f t="shared" si="187"/>
        <v>4.296682880537908</v>
      </c>
      <c r="V143" s="565">
        <f t="shared" si="187"/>
        <v>4.5614852655357101</v>
      </c>
      <c r="W143" s="565">
        <f t="shared" si="187"/>
        <v>4.6554827714602913</v>
      </c>
      <c r="X143" s="565">
        <f t="shared" si="187"/>
        <v>0</v>
      </c>
      <c r="Y143" s="565">
        <f t="shared" si="187"/>
        <v>0</v>
      </c>
      <c r="Z143" s="565">
        <f t="shared" si="187"/>
        <v>0</v>
      </c>
      <c r="AA143" s="564">
        <f t="shared" si="187"/>
        <v>0</v>
      </c>
      <c r="AB143" s="565">
        <f t="shared" si="187"/>
        <v>0</v>
      </c>
      <c r="AC143" s="565">
        <f t="shared" si="187"/>
        <v>0</v>
      </c>
      <c r="AD143" s="565">
        <f t="shared" si="187"/>
        <v>0</v>
      </c>
      <c r="AE143" s="566">
        <f t="shared" si="187"/>
        <v>0</v>
      </c>
      <c r="AF143" s="565">
        <f t="shared" si="187"/>
        <v>0</v>
      </c>
      <c r="AG143" s="565">
        <f>AG141*AG142/10^6</f>
        <v>0</v>
      </c>
      <c r="AH143" s="565">
        <f>AH141*AH142/10^6</f>
        <v>0</v>
      </c>
      <c r="AI143" s="565">
        <f>AI141*AI142/10^6</f>
        <v>0</v>
      </c>
      <c r="AJ143" s="566">
        <f t="shared" si="187"/>
        <v>0</v>
      </c>
      <c r="AK143" s="548"/>
      <c r="AO143" s="984" t="str">
        <f t="shared" si="152"/>
        <v>Rev</v>
      </c>
      <c r="AP143" s="985" t="str">
        <f t="shared" si="152"/>
        <v>Water</v>
      </c>
      <c r="AQ143" s="986" t="str">
        <f t="shared" si="153"/>
        <v xml:space="preserve">Price cap - Variable </v>
      </c>
      <c r="AR143" s="990">
        <f t="shared" si="154"/>
        <v>6.1629492415472553E-2</v>
      </c>
      <c r="AS143" s="987">
        <f t="shared" si="155"/>
        <v>2.0606776182042985E-2</v>
      </c>
      <c r="AT143" s="987">
        <f t="shared" si="156"/>
        <v>-1</v>
      </c>
      <c r="AU143" s="987" t="str">
        <f t="shared" si="157"/>
        <v>-</v>
      </c>
      <c r="AV143" s="1353" t="str">
        <f t="shared" si="158"/>
        <v>-</v>
      </c>
      <c r="AW143" s="1346" t="str">
        <f t="shared" si="159"/>
        <v>-</v>
      </c>
      <c r="AX143" s="987" t="str">
        <f t="shared" si="160"/>
        <v>-</v>
      </c>
      <c r="AY143" s="987" t="str">
        <f t="shared" si="161"/>
        <v>-</v>
      </c>
      <c r="AZ143" s="987" t="str">
        <f t="shared" si="162"/>
        <v>-</v>
      </c>
      <c r="BA143" s="988" t="str">
        <f t="shared" si="163"/>
        <v>-</v>
      </c>
      <c r="BB143" s="1346" t="str">
        <f t="shared" si="164"/>
        <v>-</v>
      </c>
      <c r="BC143" s="987" t="str">
        <f t="shared" si="165"/>
        <v>-</v>
      </c>
      <c r="BD143" s="987" t="str">
        <f t="shared" si="166"/>
        <v>-</v>
      </c>
      <c r="BE143" s="987" t="str">
        <f t="shared" si="167"/>
        <v>-</v>
      </c>
      <c r="BF143" s="989" t="str">
        <f t="shared" si="168"/>
        <v>-</v>
      </c>
      <c r="BG143" s="951"/>
      <c r="BH143" s="984" t="str">
        <f t="shared" si="169"/>
        <v>Rev</v>
      </c>
      <c r="BI143" s="985" t="str">
        <f t="shared" si="170"/>
        <v>Water</v>
      </c>
      <c r="BJ143" s="986" t="str">
        <f t="shared" si="171"/>
        <v xml:space="preserve">Price cap - Variable </v>
      </c>
      <c r="BK143" s="987">
        <f t="shared" ref="BK143:BU143" si="188">IF(V143="","-",IFERROR((V143/U143-1)*(U143/U$13),"-"))</f>
        <v>1.3731797562897347E-4</v>
      </c>
      <c r="BL143" s="987">
        <f t="shared" si="188"/>
        <v>5.0441610468934613E-5</v>
      </c>
      <c r="BM143" s="987">
        <f t="shared" si="188"/>
        <v>-2.5160443775950983E-3</v>
      </c>
      <c r="BN143" s="987" t="str">
        <f t="shared" si="188"/>
        <v>-</v>
      </c>
      <c r="BO143" s="1353" t="str">
        <f t="shared" si="188"/>
        <v>-</v>
      </c>
      <c r="BP143" s="1346" t="str">
        <f t="shared" si="188"/>
        <v>-</v>
      </c>
      <c r="BQ143" s="987" t="str">
        <f t="shared" si="188"/>
        <v>-</v>
      </c>
      <c r="BR143" s="987" t="str">
        <f t="shared" si="188"/>
        <v>-</v>
      </c>
      <c r="BS143" s="987" t="str">
        <f t="shared" si="188"/>
        <v>-</v>
      </c>
      <c r="BT143" s="988" t="str">
        <f t="shared" si="188"/>
        <v>-</v>
      </c>
      <c r="BU143" s="987" t="str">
        <f t="shared" si="188"/>
        <v>-</v>
      </c>
      <c r="BV143" s="987" t="str">
        <f>IF(AG143="","-",IFERROR((AG143/AF143-1)*(AF143/AF$13),"-"))</f>
        <v>-</v>
      </c>
      <c r="BW143" s="987" t="str">
        <f>IF(AH143="","-",IFERROR((AH143/AG143-1)*(AG143/AG$13),"-"))</f>
        <v>-</v>
      </c>
      <c r="BX143" s="987" t="str">
        <f>IF(AI143="","-",IFERROR((AI143/AH143-1)*(AH143/AH$13),"-"))</f>
        <v>-</v>
      </c>
      <c r="BY143" s="989" t="str">
        <f>IF(AJ143="","-",IFERROR((AJ143/AI143-1)*(AI143/AI$13),"-"))</f>
        <v>-</v>
      </c>
      <c r="BZ143" s="951"/>
      <c r="CA143" s="984" t="str">
        <f t="shared" si="149"/>
        <v>Rev</v>
      </c>
      <c r="CB143" s="985" t="str">
        <f t="shared" si="150"/>
        <v>Water</v>
      </c>
      <c r="CC143" s="985" t="str">
        <f t="shared" si="151"/>
        <v xml:space="preserve">Price cap - Variable </v>
      </c>
      <c r="CD143" s="990">
        <f t="shared" si="175"/>
        <v>4.0916064701632893E-2</v>
      </c>
      <c r="CE143" s="987">
        <f t="shared" si="175"/>
        <v>-1</v>
      </c>
      <c r="CF143" s="987">
        <f t="shared" si="175"/>
        <v>-1</v>
      </c>
      <c r="CG143" s="988">
        <f t="shared" si="175"/>
        <v>-1</v>
      </c>
      <c r="CH143" s="987" t="str">
        <f t="shared" si="176"/>
        <v>-</v>
      </c>
      <c r="CI143" s="987" t="str">
        <f t="shared" si="176"/>
        <v>-</v>
      </c>
      <c r="CJ143" s="987" t="str">
        <f t="shared" si="176"/>
        <v>-</v>
      </c>
      <c r="CK143" s="989" t="str">
        <f t="shared" si="176"/>
        <v>-</v>
      </c>
    </row>
    <row r="144" spans="4:89">
      <c r="D144" s="63">
        <f>D141+1</f>
        <v>26</v>
      </c>
      <c r="E144" s="550" t="s">
        <v>857</v>
      </c>
      <c r="F144" s="595" t="s">
        <v>401</v>
      </c>
      <c r="G144" s="595" t="s">
        <v>61</v>
      </c>
      <c r="H144" s="595" t="s">
        <v>940</v>
      </c>
      <c r="I144" s="589" t="s">
        <v>941</v>
      </c>
      <c r="J144" s="589" t="s">
        <v>879</v>
      </c>
      <c r="K144" s="551"/>
      <c r="L144" s="552"/>
      <c r="M144" s="552"/>
      <c r="N144" s="551"/>
      <c r="O144" s="552"/>
      <c r="P144" s="552"/>
      <c r="Q144" s="552"/>
      <c r="R144" s="1035"/>
      <c r="S144" s="1138"/>
      <c r="T144" s="591"/>
      <c r="U144" s="1035">
        <v>308.58107444253864</v>
      </c>
      <c r="V144" s="591">
        <v>297.02971059033081</v>
      </c>
      <c r="W144" s="591">
        <v>305.99991924939468</v>
      </c>
      <c r="X144" s="591">
        <v>316.49570242533946</v>
      </c>
      <c r="Y144" s="591">
        <v>318.70260000000002</v>
      </c>
      <c r="Z144" s="1537">
        <v>320.06020000000001</v>
      </c>
      <c r="AA144" s="1138">
        <v>800</v>
      </c>
      <c r="AB144" s="591">
        <v>800</v>
      </c>
      <c r="AC144" s="591">
        <v>800</v>
      </c>
      <c r="AD144" s="591">
        <v>800</v>
      </c>
      <c r="AE144" s="1035">
        <v>800</v>
      </c>
      <c r="AF144" s="591">
        <v>900</v>
      </c>
      <c r="AG144" s="591">
        <v>900</v>
      </c>
      <c r="AH144" s="591">
        <v>900</v>
      </c>
      <c r="AI144" s="591">
        <v>900</v>
      </c>
      <c r="AJ144" s="592">
        <v>900</v>
      </c>
      <c r="AK144" s="548"/>
      <c r="AM144" s="974"/>
      <c r="AO144" s="975" t="str">
        <f t="shared" si="152"/>
        <v>Price</v>
      </c>
      <c r="AP144" s="976" t="str">
        <f t="shared" si="152"/>
        <v>Water</v>
      </c>
      <c r="AQ144" s="977" t="str">
        <f t="shared" si="153"/>
        <v xml:space="preserve">Price cap - Variable </v>
      </c>
      <c r="AR144" s="1341">
        <f t="shared" si="154"/>
        <v>-3.7433805274920795E-2</v>
      </c>
      <c r="AS144" s="978">
        <f t="shared" si="155"/>
        <v>3.0199701710768467E-2</v>
      </c>
      <c r="AT144" s="979">
        <f t="shared" si="156"/>
        <v>3.4299954070871941E-2</v>
      </c>
      <c r="AU144" s="979">
        <f t="shared" si="157"/>
        <v>6.9729148223778292E-3</v>
      </c>
      <c r="AV144" s="1352">
        <f t="shared" si="158"/>
        <v>4.2597707078637637E-3</v>
      </c>
      <c r="AW144" s="1345">
        <f t="shared" si="159"/>
        <v>1.4995297759608972</v>
      </c>
      <c r="AX144" s="979">
        <f t="shared" si="160"/>
        <v>0</v>
      </c>
      <c r="AY144" s="979">
        <f t="shared" si="161"/>
        <v>0</v>
      </c>
      <c r="AZ144" s="979">
        <f t="shared" si="162"/>
        <v>0</v>
      </c>
      <c r="BA144" s="980">
        <f t="shared" si="163"/>
        <v>0</v>
      </c>
      <c r="BB144" s="1345">
        <f t="shared" si="164"/>
        <v>0.125</v>
      </c>
      <c r="BC144" s="979">
        <f t="shared" si="165"/>
        <v>0</v>
      </c>
      <c r="BD144" s="979">
        <f t="shared" si="166"/>
        <v>0</v>
      </c>
      <c r="BE144" s="979">
        <f t="shared" si="167"/>
        <v>0</v>
      </c>
      <c r="BF144" s="981">
        <f t="shared" si="168"/>
        <v>0</v>
      </c>
      <c r="BG144" s="951"/>
      <c r="BH144" s="975" t="str">
        <f t="shared" si="169"/>
        <v>Price</v>
      </c>
      <c r="BI144" s="976" t="str">
        <f t="shared" si="170"/>
        <v>Water</v>
      </c>
      <c r="BJ144" s="977" t="str">
        <f t="shared" si="171"/>
        <v xml:space="preserve">Price cap - Variable </v>
      </c>
      <c r="BK144" s="978">
        <f t="shared" ref="BK144:BU144" si="189">IF(V144="","-",IFERROR((V144/U144-1)*(U146/U$13),"-"))</f>
        <v>-2.7099505117308758E-5</v>
      </c>
      <c r="BL144" s="978">
        <f t="shared" si="189"/>
        <v>6.1614812136804289E-6</v>
      </c>
      <c r="BM144" s="979">
        <f t="shared" si="189"/>
        <v>2.1498473970216536E-6</v>
      </c>
      <c r="BN144" s="979">
        <f t="shared" si="189"/>
        <v>2.9528172139664383E-6</v>
      </c>
      <c r="BO144" s="1352">
        <f t="shared" si="189"/>
        <v>8.1399168018681868E-6</v>
      </c>
      <c r="BP144" s="1345">
        <f t="shared" si="189"/>
        <v>4.0337205886129017E-3</v>
      </c>
      <c r="BQ144" s="979">
        <f t="shared" si="189"/>
        <v>0</v>
      </c>
      <c r="BR144" s="979">
        <f t="shared" si="189"/>
        <v>0</v>
      </c>
      <c r="BS144" s="979">
        <f t="shared" si="189"/>
        <v>0</v>
      </c>
      <c r="BT144" s="980">
        <f t="shared" si="189"/>
        <v>0</v>
      </c>
      <c r="BU144" s="979">
        <f t="shared" si="189"/>
        <v>2.0621640263973235E-4</v>
      </c>
      <c r="BV144" s="979">
        <f>IF(AG144="","-",IFERROR((AG144/AF144-1)*(AF146/AF$13),"-"))</f>
        <v>0</v>
      </c>
      <c r="BW144" s="979">
        <f>IF(AH144="","-",IFERROR((AH144/AG144-1)*(AG146/AG$13),"-"))</f>
        <v>0</v>
      </c>
      <c r="BX144" s="979">
        <f>IF(AI144="","-",IFERROR((AI144/AH144-1)*(AH146/AH$13),"-"))</f>
        <v>0</v>
      </c>
      <c r="BY144" s="981">
        <f>IF(AJ144="","-",IFERROR((AJ144/AI144-1)*(AI146/AI$13),"-"))</f>
        <v>0</v>
      </c>
      <c r="BZ144" s="951"/>
      <c r="CA144" s="975" t="str">
        <f t="shared" si="149"/>
        <v>Price</v>
      </c>
      <c r="CB144" s="976" t="str">
        <f t="shared" si="150"/>
        <v>Water</v>
      </c>
      <c r="CC144" s="982" t="str">
        <f t="shared" si="151"/>
        <v xml:space="preserve">Price cap - Variable </v>
      </c>
      <c r="CD144" s="983">
        <f t="shared" si="175"/>
        <v>-4.1910792312381817E-3</v>
      </c>
      <c r="CE144" s="979">
        <f t="shared" si="175"/>
        <v>8.47741554045367E-3</v>
      </c>
      <c r="CF144" s="979">
        <f t="shared" si="175"/>
        <v>8.1010797562315329E-3</v>
      </c>
      <c r="CG144" s="980">
        <f t="shared" si="175"/>
        <v>7.3316442959332484E-3</v>
      </c>
      <c r="CH144" s="979">
        <f t="shared" si="176"/>
        <v>0.58099012519398663</v>
      </c>
      <c r="CI144" s="979">
        <f t="shared" si="176"/>
        <v>0.35712371066753756</v>
      </c>
      <c r="CJ144" s="979">
        <f t="shared" si="176"/>
        <v>0.25737429796937805</v>
      </c>
      <c r="CK144" s="981">
        <f t="shared" si="176"/>
        <v>0.20107924677498068</v>
      </c>
    </row>
    <row r="145" spans="4:89">
      <c r="E145" s="567" t="s">
        <v>880</v>
      </c>
      <c r="F145" s="554" t="str">
        <f>+F144</f>
        <v>Water</v>
      </c>
      <c r="G145" s="555" t="str">
        <f>+G144</f>
        <v>BW</v>
      </c>
      <c r="H145" s="555" t="str">
        <f>+H144</f>
        <v>Transfer-Treated Water</v>
      </c>
      <c r="I145" s="556" t="str">
        <f>+I144</f>
        <v xml:space="preserve">Price cap - Variable </v>
      </c>
      <c r="J145" s="590" t="s">
        <v>887</v>
      </c>
      <c r="K145" s="557"/>
      <c r="L145" s="558"/>
      <c r="M145" s="558"/>
      <c r="N145" s="557"/>
      <c r="O145" s="558"/>
      <c r="P145" s="558"/>
      <c r="Q145" s="558"/>
      <c r="R145" s="1036"/>
      <c r="S145" s="1139"/>
      <c r="T145" s="593"/>
      <c r="U145" s="1036">
        <v>4524</v>
      </c>
      <c r="V145" s="593">
        <v>1280</v>
      </c>
      <c r="W145" s="593">
        <v>379</v>
      </c>
      <c r="X145" s="593">
        <v>2490</v>
      </c>
      <c r="Y145" s="593">
        <v>11300</v>
      </c>
      <c r="Z145" s="593">
        <v>15833</v>
      </c>
      <c r="AA145" s="1139">
        <v>8309</v>
      </c>
      <c r="AB145" s="593">
        <v>3031</v>
      </c>
      <c r="AC145" s="593">
        <v>3031</v>
      </c>
      <c r="AD145" s="593">
        <v>3031</v>
      </c>
      <c r="AE145" s="1036">
        <v>4293.3880428367784</v>
      </c>
      <c r="AF145" s="593">
        <v>4978.7726201842734</v>
      </c>
      <c r="AG145" s="593">
        <v>5639.8239368466711</v>
      </c>
      <c r="AH145" s="593">
        <v>5476.2057773793977</v>
      </c>
      <c r="AI145" s="593">
        <v>6449.248937334386</v>
      </c>
      <c r="AJ145" s="594">
        <v>6738.1394777643272</v>
      </c>
      <c r="AK145" s="548"/>
      <c r="AO145" s="961" t="str">
        <f t="shared" si="152"/>
        <v>Qty</v>
      </c>
      <c r="AP145" s="962" t="str">
        <f t="shared" si="152"/>
        <v>Water</v>
      </c>
      <c r="AQ145" s="963" t="str">
        <f t="shared" si="153"/>
        <v xml:space="preserve">Price cap - Variable </v>
      </c>
      <c r="AR145" s="967">
        <f t="shared" si="154"/>
        <v>-0.71706454465075153</v>
      </c>
      <c r="AS145" s="964">
        <f t="shared" si="155"/>
        <v>-0.70390624999999996</v>
      </c>
      <c r="AT145" s="964">
        <f t="shared" si="156"/>
        <v>5.5699208443271768</v>
      </c>
      <c r="AU145" s="964">
        <f t="shared" si="157"/>
        <v>3.5381526104417667</v>
      </c>
      <c r="AV145" s="1350">
        <f t="shared" si="158"/>
        <v>0.40115044247787601</v>
      </c>
      <c r="AW145" s="1343">
        <f t="shared" si="159"/>
        <v>-0.47521000442114569</v>
      </c>
      <c r="AX145" s="964">
        <f t="shared" si="160"/>
        <v>-0.63521482729570344</v>
      </c>
      <c r="AY145" s="964">
        <f t="shared" si="161"/>
        <v>0</v>
      </c>
      <c r="AZ145" s="964">
        <f t="shared" si="162"/>
        <v>0</v>
      </c>
      <c r="BA145" s="965">
        <f t="shared" si="163"/>
        <v>0.41649226091612612</v>
      </c>
      <c r="BB145" s="1343">
        <f t="shared" si="164"/>
        <v>0.15963723066938051</v>
      </c>
      <c r="BC145" s="964">
        <f t="shared" si="165"/>
        <v>0.1327739519540323</v>
      </c>
      <c r="BD145" s="964">
        <f t="shared" si="166"/>
        <v>-2.9011217601724537E-2</v>
      </c>
      <c r="BE145" s="964">
        <f t="shared" si="167"/>
        <v>0.17768564577582979</v>
      </c>
      <c r="BF145" s="966">
        <f t="shared" si="168"/>
        <v>4.4794447111130786E-2</v>
      </c>
      <c r="BG145" s="951"/>
      <c r="BH145" s="961" t="str">
        <f t="shared" si="169"/>
        <v>Qty</v>
      </c>
      <c r="BI145" s="962" t="str">
        <f t="shared" si="170"/>
        <v>Water</v>
      </c>
      <c r="BJ145" s="963" t="str">
        <f t="shared" si="171"/>
        <v xml:space="preserve">Price cap - Variable </v>
      </c>
      <c r="BK145" s="964">
        <f t="shared" ref="BK145:BU145" si="190">IF(V145="","-",IFERROR((V145/U145-1)*(U146/U$13),"-"))</f>
        <v>-5.191055024860769E-4</v>
      </c>
      <c r="BL145" s="964">
        <f t="shared" si="190"/>
        <v>-1.436141713287431E-4</v>
      </c>
      <c r="BM145" s="964">
        <f t="shared" si="190"/>
        <v>3.4911066656390506E-4</v>
      </c>
      <c r="BN145" s="964">
        <f t="shared" si="190"/>
        <v>1.4982999505779187E-3</v>
      </c>
      <c r="BO145" s="1350">
        <f t="shared" si="190"/>
        <v>7.6655093683200949E-4</v>
      </c>
      <c r="BP145" s="1343">
        <f t="shared" si="190"/>
        <v>-1.2783103139916501E-3</v>
      </c>
      <c r="BQ145" s="964">
        <f t="shared" si="190"/>
        <v>-2.2302002415818564E-3</v>
      </c>
      <c r="BR145" s="964">
        <f t="shared" si="190"/>
        <v>0</v>
      </c>
      <c r="BS145" s="964">
        <f t="shared" si="190"/>
        <v>0</v>
      </c>
      <c r="BT145" s="965">
        <f t="shared" si="190"/>
        <v>4.9439240224584294E-4</v>
      </c>
      <c r="BU145" s="964">
        <f t="shared" si="190"/>
        <v>2.6335852348807043E-4</v>
      </c>
      <c r="BV145" s="964">
        <f>IF(AG145="","-",IFERROR((AG145/AF145-1)*(AF146/AF$13),"-"))</f>
        <v>2.7293922548249773E-4</v>
      </c>
      <c r="BW145" s="964">
        <f>IF(AH145="","-",IFERROR((AH145/AG145-1)*(AG146/AG$13),"-"))</f>
        <v>-6.6622582842216073E-5</v>
      </c>
      <c r="BX145" s="964">
        <f>IF(AI145="","-",IFERROR((AI145/AH145-1)*(AH146/AH$13),"-"))</f>
        <v>3.9048755775922728E-4</v>
      </c>
      <c r="BY145" s="966">
        <f>IF(AJ145="","-",IFERROR((AJ145/AI145-1)*(AI146/AI$13),"-"))</f>
        <v>1.1397122608371266E-4</v>
      </c>
      <c r="BZ145" s="951"/>
      <c r="CA145" s="961" t="str">
        <f t="shared" si="149"/>
        <v>Qty</v>
      </c>
      <c r="CB145" s="962" t="str">
        <f t="shared" si="150"/>
        <v>Water</v>
      </c>
      <c r="CC145" s="962" t="str">
        <f t="shared" si="151"/>
        <v xml:space="preserve">Price cap - Variable </v>
      </c>
      <c r="CD145" s="967">
        <f t="shared" si="175"/>
        <v>-0.71056016172213521</v>
      </c>
      <c r="CE145" s="964">
        <f t="shared" si="175"/>
        <v>-0.18048120738818185</v>
      </c>
      <c r="CF145" s="964">
        <f t="shared" si="175"/>
        <v>0.25715539021216904</v>
      </c>
      <c r="CG145" s="965">
        <f t="shared" si="175"/>
        <v>0.28471892916318353</v>
      </c>
      <c r="CH145" s="964">
        <f t="shared" si="176"/>
        <v>-0.56246644794859524</v>
      </c>
      <c r="CI145" s="964">
        <f t="shared" si="176"/>
        <v>-0.4236659991844397</v>
      </c>
      <c r="CJ145" s="964">
        <f t="shared" si="176"/>
        <v>-0.33853680975325251</v>
      </c>
      <c r="CK145" s="966">
        <f t="shared" si="176"/>
        <v>-0.2297221914963814</v>
      </c>
    </row>
    <row r="146" spans="4:89" ht="12.75" thickBot="1">
      <c r="E146" s="568" t="s">
        <v>882</v>
      </c>
      <c r="F146" s="560" t="str">
        <f>+F144</f>
        <v>Water</v>
      </c>
      <c r="G146" s="561" t="str">
        <f>+G144</f>
        <v>BW</v>
      </c>
      <c r="H146" s="561" t="str">
        <f>+H144</f>
        <v>Transfer-Treated Water</v>
      </c>
      <c r="I146" s="562" t="str">
        <f>+I144</f>
        <v xml:space="preserve">Price cap - Variable </v>
      </c>
      <c r="J146" s="563" t="s">
        <v>883</v>
      </c>
      <c r="K146" s="564">
        <f t="shared" ref="K146:AJ146" si="191">K144*K145/10^6</f>
        <v>0</v>
      </c>
      <c r="L146" s="565">
        <f t="shared" si="191"/>
        <v>0</v>
      </c>
      <c r="M146" s="565">
        <f t="shared" si="191"/>
        <v>0</v>
      </c>
      <c r="N146" s="564">
        <f t="shared" si="191"/>
        <v>0</v>
      </c>
      <c r="O146" s="565">
        <f t="shared" si="191"/>
        <v>0</v>
      </c>
      <c r="P146" s="565">
        <f t="shared" si="191"/>
        <v>0</v>
      </c>
      <c r="Q146" s="565">
        <f t="shared" si="191"/>
        <v>0</v>
      </c>
      <c r="R146" s="566">
        <f t="shared" si="191"/>
        <v>0</v>
      </c>
      <c r="S146" s="564">
        <f t="shared" si="191"/>
        <v>0</v>
      </c>
      <c r="T146" s="565">
        <f t="shared" si="191"/>
        <v>0</v>
      </c>
      <c r="U146" s="566">
        <f t="shared" si="191"/>
        <v>1.3960207807780449</v>
      </c>
      <c r="V146" s="565">
        <f t="shared" si="191"/>
        <v>0.38019802955562343</v>
      </c>
      <c r="W146" s="565">
        <f t="shared" si="191"/>
        <v>0.11597396939552058</v>
      </c>
      <c r="X146" s="565">
        <f t="shared" si="191"/>
        <v>0.78807429903909532</v>
      </c>
      <c r="Y146" s="565">
        <f t="shared" si="191"/>
        <v>3.6013393800000002</v>
      </c>
      <c r="Z146" s="565">
        <f t="shared" si="191"/>
        <v>5.0675131466000005</v>
      </c>
      <c r="AA146" s="564">
        <f t="shared" si="191"/>
        <v>6.6471999999999998</v>
      </c>
      <c r="AB146" s="565">
        <f t="shared" si="191"/>
        <v>2.4247999999999998</v>
      </c>
      <c r="AC146" s="565">
        <f t="shared" si="191"/>
        <v>2.4247999999999998</v>
      </c>
      <c r="AD146" s="565">
        <f t="shared" si="191"/>
        <v>2.4247999999999998</v>
      </c>
      <c r="AE146" s="566">
        <f t="shared" si="191"/>
        <v>3.4347104342694226</v>
      </c>
      <c r="AF146" s="565">
        <f t="shared" si="191"/>
        <v>4.4808953581658466</v>
      </c>
      <c r="AG146" s="565">
        <f>AG144*AG145/10^6</f>
        <v>5.0758415431620039</v>
      </c>
      <c r="AH146" s="565">
        <f>AH144*AH145/10^6</f>
        <v>4.928585199641458</v>
      </c>
      <c r="AI146" s="565">
        <f>AI144*AI145/10^6</f>
        <v>5.804324043600948</v>
      </c>
      <c r="AJ146" s="566">
        <f t="shared" si="191"/>
        <v>6.0643255299878946</v>
      </c>
      <c r="AK146" s="548"/>
      <c r="AO146" s="984" t="str">
        <f t="shared" si="152"/>
        <v>Rev</v>
      </c>
      <c r="AP146" s="985" t="str">
        <f t="shared" si="152"/>
        <v>Water</v>
      </c>
      <c r="AQ146" s="986" t="str">
        <f t="shared" si="153"/>
        <v xml:space="preserve">Price cap - Variable </v>
      </c>
      <c r="AR146" s="990">
        <f t="shared" si="154"/>
        <v>-0.72765589539166631</v>
      </c>
      <c r="AS146" s="987">
        <f t="shared" si="155"/>
        <v>-0.69496430707157719</v>
      </c>
      <c r="AT146" s="987">
        <f t="shared" si="156"/>
        <v>5.795268827536864</v>
      </c>
      <c r="AU146" s="987">
        <f t="shared" si="157"/>
        <v>3.5697967620453293</v>
      </c>
      <c r="AV146" s="1353">
        <f t="shared" si="158"/>
        <v>0.40711902209005357</v>
      </c>
      <c r="AW146" s="1346">
        <f t="shared" si="159"/>
        <v>0.31172822007573386</v>
      </c>
      <c r="AX146" s="987">
        <f t="shared" si="160"/>
        <v>-0.63521482729570344</v>
      </c>
      <c r="AY146" s="987">
        <f t="shared" si="161"/>
        <v>0</v>
      </c>
      <c r="AZ146" s="987">
        <f t="shared" si="162"/>
        <v>0</v>
      </c>
      <c r="BA146" s="988">
        <f t="shared" si="163"/>
        <v>0.41649226091612612</v>
      </c>
      <c r="BB146" s="1346">
        <f t="shared" si="164"/>
        <v>0.3045918845030533</v>
      </c>
      <c r="BC146" s="987">
        <f t="shared" si="165"/>
        <v>0.13277395195403208</v>
      </c>
      <c r="BD146" s="987">
        <f t="shared" si="166"/>
        <v>-2.9011217601724426E-2</v>
      </c>
      <c r="BE146" s="987">
        <f t="shared" si="167"/>
        <v>0.17768564577582979</v>
      </c>
      <c r="BF146" s="989">
        <f t="shared" si="168"/>
        <v>4.4794447111130564E-2</v>
      </c>
      <c r="BG146" s="951"/>
      <c r="BH146" s="984" t="str">
        <f t="shared" si="169"/>
        <v>Rev</v>
      </c>
      <c r="BI146" s="985" t="str">
        <f t="shared" si="170"/>
        <v>Water</v>
      </c>
      <c r="BJ146" s="986" t="str">
        <f t="shared" si="171"/>
        <v xml:space="preserve">Price cap - Variable </v>
      </c>
      <c r="BK146" s="987">
        <f t="shared" ref="BK146:BU146" si="192">IF(V146="","-",IFERROR((V146/U146-1)*(U146/U$13),"-"))</f>
        <v>-5.2677291330618199E-4</v>
      </c>
      <c r="BL146" s="987">
        <f t="shared" si="192"/>
        <v>-1.4178979525062994E-4</v>
      </c>
      <c r="BM146" s="987">
        <f t="shared" si="192"/>
        <v>3.6323499378972021E-4</v>
      </c>
      <c r="BN146" s="987">
        <f t="shared" si="192"/>
        <v>1.5117002857256382E-3</v>
      </c>
      <c r="BO146" s="1353">
        <f t="shared" si="192"/>
        <v>7.7795618486068015E-4</v>
      </c>
      <c r="BP146" s="1346">
        <f t="shared" si="192"/>
        <v>8.385458958728478E-4</v>
      </c>
      <c r="BQ146" s="987">
        <f t="shared" si="192"/>
        <v>-2.2302002415818564E-3</v>
      </c>
      <c r="BR146" s="987">
        <f t="shared" si="192"/>
        <v>0</v>
      </c>
      <c r="BS146" s="987">
        <f t="shared" si="192"/>
        <v>0</v>
      </c>
      <c r="BT146" s="988">
        <f t="shared" si="192"/>
        <v>4.9439240224584294E-4</v>
      </c>
      <c r="BU146" s="987">
        <f t="shared" si="192"/>
        <v>5.0249474156381191E-4</v>
      </c>
      <c r="BV146" s="987">
        <f>IF(AG146="","-",IFERROR((AG146/AF146-1)*(AF146/AF$13),"-"))</f>
        <v>2.7293922548249729E-4</v>
      </c>
      <c r="BW146" s="987">
        <f>IF(AH146="","-",IFERROR((AH146/AG146-1)*(AG146/AG$13),"-"))</f>
        <v>-6.6622582842215815E-5</v>
      </c>
      <c r="BX146" s="987">
        <f>IF(AI146="","-",IFERROR((AI146/AH146-1)*(AH146/AH$13),"-"))</f>
        <v>3.9048755775922728E-4</v>
      </c>
      <c r="BY146" s="989">
        <f>IF(AJ146="","-",IFERROR((AJ146/AI146-1)*(AI146/AI$13),"-"))</f>
        <v>1.1397122608371209E-4</v>
      </c>
      <c r="BZ146" s="951"/>
      <c r="CA146" s="984" t="str">
        <f t="shared" si="149"/>
        <v>Rev</v>
      </c>
      <c r="CB146" s="985" t="str">
        <f t="shared" si="150"/>
        <v>Water</v>
      </c>
      <c r="CC146" s="985" t="str">
        <f t="shared" si="151"/>
        <v xml:space="preserve">Price cap - Variable </v>
      </c>
      <c r="CD146" s="990">
        <f t="shared" si="175"/>
        <v>-0.71177322701703449</v>
      </c>
      <c r="CE146" s="987">
        <f t="shared" si="175"/>
        <v>-0.17353380604000057</v>
      </c>
      <c r="CF146" s="987">
        <f t="shared" si="175"/>
        <v>0.26733970629425441</v>
      </c>
      <c r="CG146" s="988">
        <f t="shared" si="175"/>
        <v>0.29413803137206029</v>
      </c>
      <c r="CH146" s="987">
        <f t="shared" si="176"/>
        <v>-0.3082637747656799</v>
      </c>
      <c r="CI146" s="987">
        <f t="shared" si="176"/>
        <v>-0.21784346222931916</v>
      </c>
      <c r="CJ146" s="987">
        <f t="shared" si="176"/>
        <v>-0.16829318553091066</v>
      </c>
      <c r="CK146" s="989">
        <f t="shared" si="176"/>
        <v>-7.4835309954990992E-2</v>
      </c>
    </row>
    <row r="147" spans="4:89">
      <c r="D147" s="63">
        <f>D144+1</f>
        <v>27</v>
      </c>
      <c r="E147" s="550" t="s">
        <v>857</v>
      </c>
      <c r="F147" s="595" t="s">
        <v>401</v>
      </c>
      <c r="G147" s="595" t="s">
        <v>94</v>
      </c>
      <c r="H147" s="595" t="s">
        <v>940</v>
      </c>
      <c r="I147" s="589" t="s">
        <v>941</v>
      </c>
      <c r="J147" s="589" t="s">
        <v>879</v>
      </c>
      <c r="K147" s="551"/>
      <c r="L147" s="552"/>
      <c r="M147" s="552"/>
      <c r="N147" s="551"/>
      <c r="O147" s="552"/>
      <c r="P147" s="552"/>
      <c r="Q147" s="552"/>
      <c r="R147" s="1035"/>
      <c r="S147" s="1138"/>
      <c r="T147" s="591"/>
      <c r="U147" s="1035">
        <v>308.58107444253864</v>
      </c>
      <c r="V147" s="591">
        <v>297.02971059033081</v>
      </c>
      <c r="W147" s="591">
        <v>305.99991924939468</v>
      </c>
      <c r="X147" s="591">
        <v>316.49570242533946</v>
      </c>
      <c r="Y147" s="591">
        <v>318.70260000000002</v>
      </c>
      <c r="Z147" s="1537">
        <v>320.06020000000001</v>
      </c>
      <c r="AA147" s="1138">
        <v>800</v>
      </c>
      <c r="AB147" s="591">
        <v>800</v>
      </c>
      <c r="AC147" s="591">
        <v>800</v>
      </c>
      <c r="AD147" s="591">
        <v>800</v>
      </c>
      <c r="AE147" s="1035">
        <v>800</v>
      </c>
      <c r="AF147" s="591">
        <v>900</v>
      </c>
      <c r="AG147" s="591">
        <v>900</v>
      </c>
      <c r="AH147" s="591">
        <v>900</v>
      </c>
      <c r="AI147" s="591">
        <v>900</v>
      </c>
      <c r="AJ147" s="592">
        <v>900</v>
      </c>
      <c r="AK147" s="548"/>
      <c r="AM147" s="974"/>
      <c r="AO147" s="975" t="str">
        <f t="shared" si="152"/>
        <v>Price</v>
      </c>
      <c r="AP147" s="976" t="str">
        <f t="shared" si="152"/>
        <v>Water</v>
      </c>
      <c r="AQ147" s="977" t="str">
        <f t="shared" si="153"/>
        <v xml:space="preserve">Price cap - Variable </v>
      </c>
      <c r="AR147" s="1341">
        <f t="shared" si="154"/>
        <v>-3.7433805274920795E-2</v>
      </c>
      <c r="AS147" s="978">
        <f t="shared" si="155"/>
        <v>3.0199701710768467E-2</v>
      </c>
      <c r="AT147" s="979">
        <f t="shared" si="156"/>
        <v>3.4299954070871941E-2</v>
      </c>
      <c r="AU147" s="979">
        <f t="shared" si="157"/>
        <v>6.9729148223778292E-3</v>
      </c>
      <c r="AV147" s="1352">
        <f t="shared" si="158"/>
        <v>4.2597707078637637E-3</v>
      </c>
      <c r="AW147" s="1345">
        <f t="shared" si="159"/>
        <v>1.4995297759608972</v>
      </c>
      <c r="AX147" s="979">
        <f t="shared" si="160"/>
        <v>0</v>
      </c>
      <c r="AY147" s="979">
        <f t="shared" si="161"/>
        <v>0</v>
      </c>
      <c r="AZ147" s="979">
        <f t="shared" si="162"/>
        <v>0</v>
      </c>
      <c r="BA147" s="980">
        <f t="shared" si="163"/>
        <v>0</v>
      </c>
      <c r="BB147" s="1345">
        <f t="shared" si="164"/>
        <v>0.125</v>
      </c>
      <c r="BC147" s="979">
        <f t="shared" si="165"/>
        <v>0</v>
      </c>
      <c r="BD147" s="979">
        <f t="shared" si="166"/>
        <v>0</v>
      </c>
      <c r="BE147" s="979">
        <f t="shared" si="167"/>
        <v>0</v>
      </c>
      <c r="BF147" s="981">
        <f t="shared" si="168"/>
        <v>0</v>
      </c>
      <c r="BG147" s="951"/>
      <c r="BH147" s="975" t="str">
        <f t="shared" si="169"/>
        <v>Price</v>
      </c>
      <c r="BI147" s="976" t="str">
        <f t="shared" si="170"/>
        <v>Water</v>
      </c>
      <c r="BJ147" s="977" t="str">
        <f t="shared" si="171"/>
        <v xml:space="preserve">Price cap - Variable </v>
      </c>
      <c r="BK147" s="978">
        <f t="shared" ref="BK147:BU147" si="193">IF(V147="","-",IFERROR((V147/U147-1)*(U149/U$13),"-"))</f>
        <v>-4.2769775980898441E-6</v>
      </c>
      <c r="BL147" s="978">
        <f t="shared" si="193"/>
        <v>3.2781005519659157E-6</v>
      </c>
      <c r="BM147" s="979">
        <f t="shared" si="193"/>
        <v>5.0314370479108357E-6</v>
      </c>
      <c r="BN147" s="979">
        <f t="shared" si="193"/>
        <v>1.0008745897942468E-6</v>
      </c>
      <c r="BO147" s="1352">
        <f t="shared" si="193"/>
        <v>9.1844194003379974E-7</v>
      </c>
      <c r="BP147" s="1345">
        <f t="shared" si="193"/>
        <v>2.1349446429972917E-4</v>
      </c>
      <c r="BQ147" s="979">
        <f t="shared" si="193"/>
        <v>0</v>
      </c>
      <c r="BR147" s="979">
        <f t="shared" si="193"/>
        <v>0</v>
      </c>
      <c r="BS147" s="979">
        <f t="shared" si="193"/>
        <v>0</v>
      </c>
      <c r="BT147" s="980">
        <f t="shared" si="193"/>
        <v>0</v>
      </c>
      <c r="BU147" s="979">
        <f t="shared" si="193"/>
        <v>5.1969713762179267E-5</v>
      </c>
      <c r="BV147" s="979">
        <f>IF(AG147="","-",IFERROR((AG147/AF147-1)*(AF149/AF$13),"-"))</f>
        <v>0</v>
      </c>
      <c r="BW147" s="979">
        <f>IF(AH147="","-",IFERROR((AH147/AG147-1)*(AG149/AG$13),"-"))</f>
        <v>0</v>
      </c>
      <c r="BX147" s="979">
        <f>IF(AI147="","-",IFERROR((AI147/AH147-1)*(AH149/AH$13),"-"))</f>
        <v>0</v>
      </c>
      <c r="BY147" s="981">
        <f>IF(AJ147="","-",IFERROR((AJ147/AI147-1)*(AI149/AI$13),"-"))</f>
        <v>0</v>
      </c>
      <c r="BZ147" s="951"/>
      <c r="CA147" s="975" t="str">
        <f t="shared" si="149"/>
        <v>Price</v>
      </c>
      <c r="CB147" s="976" t="str">
        <f t="shared" si="150"/>
        <v>Water</v>
      </c>
      <c r="CC147" s="982" t="str">
        <f t="shared" si="151"/>
        <v xml:space="preserve">Price cap - Variable </v>
      </c>
      <c r="CD147" s="983">
        <f t="shared" si="175"/>
        <v>-4.1910792312381817E-3</v>
      </c>
      <c r="CE147" s="979">
        <f t="shared" si="175"/>
        <v>8.47741554045367E-3</v>
      </c>
      <c r="CF147" s="979">
        <f t="shared" si="175"/>
        <v>8.1010797562315329E-3</v>
      </c>
      <c r="CG147" s="980">
        <f t="shared" si="175"/>
        <v>7.3316442959332484E-3</v>
      </c>
      <c r="CH147" s="979">
        <f t="shared" si="176"/>
        <v>0.58099012519398663</v>
      </c>
      <c r="CI147" s="979">
        <f t="shared" si="176"/>
        <v>0.35712371066753756</v>
      </c>
      <c r="CJ147" s="979">
        <f t="shared" si="176"/>
        <v>0.25737429796937805</v>
      </c>
      <c r="CK147" s="981">
        <f t="shared" si="176"/>
        <v>0.20107924677498068</v>
      </c>
    </row>
    <row r="148" spans="4:89">
      <c r="E148" s="567" t="s">
        <v>880</v>
      </c>
      <c r="F148" s="554" t="str">
        <f>+F147</f>
        <v>Water</v>
      </c>
      <c r="G148" s="555" t="str">
        <f>+G147</f>
        <v>SGW</v>
      </c>
      <c r="H148" s="555" t="str">
        <f>+H147</f>
        <v>Transfer-Treated Water</v>
      </c>
      <c r="I148" s="556" t="str">
        <f>+I147</f>
        <v xml:space="preserve">Price cap - Variable </v>
      </c>
      <c r="J148" s="590" t="s">
        <v>887</v>
      </c>
      <c r="K148" s="557"/>
      <c r="L148" s="558"/>
      <c r="M148" s="558"/>
      <c r="N148" s="557"/>
      <c r="O148" s="558"/>
      <c r="P148" s="558"/>
      <c r="Q148" s="558"/>
      <c r="R148" s="1036"/>
      <c r="S148" s="1139"/>
      <c r="T148" s="593"/>
      <c r="U148" s="1036">
        <v>714</v>
      </c>
      <c r="V148" s="593">
        <v>681</v>
      </c>
      <c r="W148" s="593">
        <v>887</v>
      </c>
      <c r="X148" s="593">
        <v>844</v>
      </c>
      <c r="Y148" s="593">
        <v>1275</v>
      </c>
      <c r="Z148" s="593">
        <v>838</v>
      </c>
      <c r="AA148" s="1139">
        <v>882</v>
      </c>
      <c r="AB148" s="593">
        <v>944</v>
      </c>
      <c r="AC148" s="593">
        <v>990</v>
      </c>
      <c r="AD148" s="593">
        <v>1036</v>
      </c>
      <c r="AE148" s="1036">
        <v>1082</v>
      </c>
      <c r="AF148" s="593">
        <v>1130</v>
      </c>
      <c r="AG148" s="593">
        <v>1177</v>
      </c>
      <c r="AH148" s="593">
        <v>1226</v>
      </c>
      <c r="AI148" s="593">
        <v>1275</v>
      </c>
      <c r="AJ148" s="594">
        <v>1325</v>
      </c>
      <c r="AK148" s="548"/>
      <c r="AO148" s="961" t="str">
        <f t="shared" si="152"/>
        <v>Qty</v>
      </c>
      <c r="AP148" s="962" t="str">
        <f t="shared" si="152"/>
        <v>Water</v>
      </c>
      <c r="AQ148" s="963" t="str">
        <f t="shared" si="153"/>
        <v xml:space="preserve">Price cap - Variable </v>
      </c>
      <c r="AR148" s="967">
        <f t="shared" si="154"/>
        <v>-4.621848739495793E-2</v>
      </c>
      <c r="AS148" s="964">
        <f t="shared" si="155"/>
        <v>0.3024963289280469</v>
      </c>
      <c r="AT148" s="964">
        <f t="shared" si="156"/>
        <v>-4.8478015783540052E-2</v>
      </c>
      <c r="AU148" s="964">
        <f t="shared" si="157"/>
        <v>0.51066350710900466</v>
      </c>
      <c r="AV148" s="1350">
        <f t="shared" si="158"/>
        <v>-0.34274509803921571</v>
      </c>
      <c r="AW148" s="1343">
        <f t="shared" si="159"/>
        <v>5.2505966587112152E-2</v>
      </c>
      <c r="AX148" s="964">
        <f t="shared" si="160"/>
        <v>7.029478458049887E-2</v>
      </c>
      <c r="AY148" s="964">
        <f t="shared" si="161"/>
        <v>4.8728813559322015E-2</v>
      </c>
      <c r="AZ148" s="964">
        <f t="shared" si="162"/>
        <v>4.6464646464646542E-2</v>
      </c>
      <c r="BA148" s="965">
        <f t="shared" si="163"/>
        <v>4.4401544401544424E-2</v>
      </c>
      <c r="BB148" s="1343">
        <f t="shared" si="164"/>
        <v>4.4362292051755903E-2</v>
      </c>
      <c r="BC148" s="964">
        <f t="shared" si="165"/>
        <v>4.159292035398221E-2</v>
      </c>
      <c r="BD148" s="964">
        <f t="shared" si="166"/>
        <v>4.1631265930331285E-2</v>
      </c>
      <c r="BE148" s="964">
        <f t="shared" si="167"/>
        <v>3.9967373572593834E-2</v>
      </c>
      <c r="BF148" s="966">
        <f t="shared" si="168"/>
        <v>3.9215686274509887E-2</v>
      </c>
      <c r="BG148" s="951"/>
      <c r="BH148" s="961" t="str">
        <f t="shared" si="169"/>
        <v>Qty</v>
      </c>
      <c r="BI148" s="962" t="str">
        <f t="shared" si="170"/>
        <v>Water</v>
      </c>
      <c r="BJ148" s="963" t="str">
        <f t="shared" si="171"/>
        <v xml:space="preserve">Price cap - Variable </v>
      </c>
      <c r="BK148" s="964">
        <f t="shared" ref="BK148:BU148" si="194">IF(V148="","-",IFERROR((V148/U148-1)*(U149/U$13),"-"))</f>
        <v>-5.2806663323182857E-6</v>
      </c>
      <c r="BL148" s="964">
        <f t="shared" si="194"/>
        <v>3.2835204543530605E-5</v>
      </c>
      <c r="BM148" s="964">
        <f t="shared" si="194"/>
        <v>-7.1112073246082074E-6</v>
      </c>
      <c r="BN148" s="964">
        <f t="shared" si="194"/>
        <v>7.329935059013428E-5</v>
      </c>
      <c r="BO148" s="1350">
        <f t="shared" si="194"/>
        <v>-7.3898689476194185E-5</v>
      </c>
      <c r="BP148" s="1343">
        <f t="shared" si="194"/>
        <v>7.4754989122318703E-6</v>
      </c>
      <c r="BQ148" s="964">
        <f t="shared" si="194"/>
        <v>2.6197880821916469E-5</v>
      </c>
      <c r="BR148" s="964">
        <f t="shared" si="194"/>
        <v>1.8711936523291677E-5</v>
      </c>
      <c r="BS148" s="964">
        <f t="shared" si="194"/>
        <v>1.8357953122501487E-5</v>
      </c>
      <c r="BT148" s="965">
        <f t="shared" si="194"/>
        <v>1.8015102909406473E-5</v>
      </c>
      <c r="BU148" s="964">
        <f t="shared" si="194"/>
        <v>1.8443964958111638E-5</v>
      </c>
      <c r="BV148" s="964">
        <f>IF(AG148="","-",IFERROR((AG148/AF148-1)*(AF149/AF$13),"-"))</f>
        <v>1.9405669838834541E-5</v>
      </c>
      <c r="BW148" s="964">
        <f>IF(AH148="","-",IFERROR((AH148/AG148-1)*(AG149/AG$13),"-"))</f>
        <v>1.9951981918740137E-5</v>
      </c>
      <c r="BX148" s="964">
        <f>IF(AI148="","-",IFERROR((AI148/AH148-1)*(AH149/AH$13),"-"))</f>
        <v>1.9663968791566508E-5</v>
      </c>
      <c r="BY148" s="966">
        <f>IF(AJ148="","-",IFERROR((AJ148/AI148-1)*(AI149/AI$13),"-"))</f>
        <v>1.9725676360689263E-5</v>
      </c>
      <c r="BZ148" s="951"/>
      <c r="CA148" s="961" t="str">
        <f t="shared" si="149"/>
        <v>Qty</v>
      </c>
      <c r="CB148" s="962" t="str">
        <f t="shared" si="150"/>
        <v>Water</v>
      </c>
      <c r="CC148" s="962" t="str">
        <f t="shared" si="151"/>
        <v xml:space="preserve">Price cap - Variable </v>
      </c>
      <c r="CD148" s="967">
        <f t="shared" si="175"/>
        <v>0.11458374237537972</v>
      </c>
      <c r="CE148" s="964">
        <f t="shared" si="175"/>
        <v>5.734020142040297E-2</v>
      </c>
      <c r="CF148" s="964">
        <f t="shared" si="175"/>
        <v>0.15598711479069771</v>
      </c>
      <c r="CG148" s="965">
        <f t="shared" si="175"/>
        <v>3.254541218179785E-2</v>
      </c>
      <c r="CH148" s="964">
        <f t="shared" si="176"/>
        <v>6.1363107884405022E-2</v>
      </c>
      <c r="CI148" s="964">
        <f t="shared" si="176"/>
        <v>5.713485431351506E-2</v>
      </c>
      <c r="CJ148" s="964">
        <f t="shared" si="176"/>
        <v>5.4457145619255076E-2</v>
      </c>
      <c r="CK148" s="966">
        <f t="shared" si="176"/>
        <v>5.2438309742017353E-2</v>
      </c>
    </row>
    <row r="149" spans="4:89" ht="12.75" thickBot="1">
      <c r="E149" s="568" t="s">
        <v>882</v>
      </c>
      <c r="F149" s="560" t="str">
        <f>+F147</f>
        <v>Water</v>
      </c>
      <c r="G149" s="561" t="str">
        <f>+G147</f>
        <v>SGW</v>
      </c>
      <c r="H149" s="561" t="str">
        <f>+H147</f>
        <v>Transfer-Treated Water</v>
      </c>
      <c r="I149" s="562" t="str">
        <f>+I147</f>
        <v xml:space="preserve">Price cap - Variable </v>
      </c>
      <c r="J149" s="563" t="s">
        <v>883</v>
      </c>
      <c r="K149" s="564">
        <f t="shared" ref="K149:AJ149" si="195">K147*K148/10^6</f>
        <v>0</v>
      </c>
      <c r="L149" s="565">
        <f t="shared" si="195"/>
        <v>0</v>
      </c>
      <c r="M149" s="565">
        <f t="shared" si="195"/>
        <v>0</v>
      </c>
      <c r="N149" s="564">
        <f t="shared" si="195"/>
        <v>0</v>
      </c>
      <c r="O149" s="565">
        <f t="shared" si="195"/>
        <v>0</v>
      </c>
      <c r="P149" s="565">
        <f t="shared" si="195"/>
        <v>0</v>
      </c>
      <c r="Q149" s="565">
        <f t="shared" si="195"/>
        <v>0</v>
      </c>
      <c r="R149" s="566">
        <f t="shared" si="195"/>
        <v>0</v>
      </c>
      <c r="S149" s="564">
        <f t="shared" si="195"/>
        <v>0</v>
      </c>
      <c r="T149" s="565">
        <f t="shared" si="195"/>
        <v>0</v>
      </c>
      <c r="U149" s="566">
        <f t="shared" si="195"/>
        <v>0.2203268871519726</v>
      </c>
      <c r="V149" s="565">
        <f t="shared" si="195"/>
        <v>0.2022772329120153</v>
      </c>
      <c r="W149" s="565">
        <f t="shared" si="195"/>
        <v>0.27142192837421308</v>
      </c>
      <c r="X149" s="565">
        <f t="shared" si="195"/>
        <v>0.26712237284698653</v>
      </c>
      <c r="Y149" s="565">
        <f t="shared" si="195"/>
        <v>0.406345815</v>
      </c>
      <c r="Z149" s="565">
        <f t="shared" si="195"/>
        <v>0.26821044760000001</v>
      </c>
      <c r="AA149" s="564">
        <f t="shared" si="195"/>
        <v>0.7056</v>
      </c>
      <c r="AB149" s="565">
        <f t="shared" si="195"/>
        <v>0.75519999999999998</v>
      </c>
      <c r="AC149" s="565">
        <f t="shared" si="195"/>
        <v>0.79200000000000004</v>
      </c>
      <c r="AD149" s="565">
        <f t="shared" si="195"/>
        <v>0.82879999999999998</v>
      </c>
      <c r="AE149" s="566">
        <f t="shared" si="195"/>
        <v>0.86560000000000004</v>
      </c>
      <c r="AF149" s="565">
        <f t="shared" si="195"/>
        <v>1.0169999999999999</v>
      </c>
      <c r="AG149" s="565">
        <f>AG147*AG148/10^6</f>
        <v>1.0592999999999999</v>
      </c>
      <c r="AH149" s="565">
        <f>AH147*AH148/10^6</f>
        <v>1.1033999999999999</v>
      </c>
      <c r="AI149" s="565">
        <f>AI147*AI148/10^6</f>
        <v>1.1475</v>
      </c>
      <c r="AJ149" s="566">
        <f t="shared" si="195"/>
        <v>1.1924999999999999</v>
      </c>
      <c r="AK149" s="548"/>
      <c r="AO149" s="984" t="str">
        <f t="shared" si="152"/>
        <v>Rev</v>
      </c>
      <c r="AP149" s="985" t="str">
        <f t="shared" si="152"/>
        <v>Water</v>
      </c>
      <c r="AQ149" s="986" t="str">
        <f t="shared" si="153"/>
        <v xml:space="preserve">Price cap - Variable </v>
      </c>
      <c r="AR149" s="990">
        <f t="shared" si="154"/>
        <v>-8.1922158812634538E-2</v>
      </c>
      <c r="AS149" s="987">
        <f t="shared" si="155"/>
        <v>0.34183132954104489</v>
      </c>
      <c r="AT149" s="987">
        <f t="shared" si="156"/>
        <v>-1.5840855427490363E-2</v>
      </c>
      <c r="AU149" s="987">
        <f t="shared" si="157"/>
        <v>0.52119723506935034</v>
      </c>
      <c r="AV149" s="1353">
        <f t="shared" si="158"/>
        <v>-0.33994534286024325</v>
      </c>
      <c r="AW149" s="1346">
        <f t="shared" si="159"/>
        <v>1.6307700028609919</v>
      </c>
      <c r="AX149" s="987">
        <f t="shared" si="160"/>
        <v>7.029478458049887E-2</v>
      </c>
      <c r="AY149" s="987">
        <f t="shared" si="161"/>
        <v>4.8728813559322015E-2</v>
      </c>
      <c r="AZ149" s="987">
        <f t="shared" si="162"/>
        <v>4.646464646464632E-2</v>
      </c>
      <c r="BA149" s="988">
        <f t="shared" si="163"/>
        <v>4.4401544401544424E-2</v>
      </c>
      <c r="BB149" s="1346">
        <f t="shared" si="164"/>
        <v>0.17490757855822525</v>
      </c>
      <c r="BC149" s="987">
        <f t="shared" si="165"/>
        <v>4.159292035398221E-2</v>
      </c>
      <c r="BD149" s="987">
        <f t="shared" si="166"/>
        <v>4.1631265930331285E-2</v>
      </c>
      <c r="BE149" s="987">
        <f t="shared" si="167"/>
        <v>3.9967373572593834E-2</v>
      </c>
      <c r="BF149" s="989">
        <f t="shared" si="168"/>
        <v>3.9215686274509665E-2</v>
      </c>
      <c r="BG149" s="951"/>
      <c r="BH149" s="984" t="str">
        <f t="shared" si="169"/>
        <v>Rev</v>
      </c>
      <c r="BI149" s="985" t="str">
        <f t="shared" si="170"/>
        <v>Water</v>
      </c>
      <c r="BJ149" s="986" t="str">
        <f t="shared" si="171"/>
        <v xml:space="preserve">Price cap - Variable </v>
      </c>
      <c r="BK149" s="987">
        <f t="shared" ref="BK149:BU149" si="196">IF(V149="","-",IFERROR((V149/U149-1)*(U149/U$13),"-"))</f>
        <v>-9.3599684952023027E-6</v>
      </c>
      <c r="BL149" s="987">
        <f t="shared" si="196"/>
        <v>3.7104918478323212E-5</v>
      </c>
      <c r="BM149" s="987">
        <f t="shared" si="196"/>
        <v>-2.3236843613198559E-6</v>
      </c>
      <c r="BN149" s="987">
        <f t="shared" si="196"/>
        <v>7.4811335308129148E-5</v>
      </c>
      <c r="BO149" s="1353">
        <f t="shared" si="196"/>
        <v>-7.3295039008940591E-5</v>
      </c>
      <c r="BP149" s="1346">
        <f t="shared" si="196"/>
        <v>2.3217969642101602E-4</v>
      </c>
      <c r="BQ149" s="987">
        <f t="shared" si="196"/>
        <v>2.6197880821916469E-5</v>
      </c>
      <c r="BR149" s="987">
        <f t="shared" si="196"/>
        <v>1.8711936523291677E-5</v>
      </c>
      <c r="BS149" s="987">
        <f t="shared" si="196"/>
        <v>1.8357953122501399E-5</v>
      </c>
      <c r="BT149" s="988">
        <f t="shared" si="196"/>
        <v>1.8015102909406473E-5</v>
      </c>
      <c r="BU149" s="987">
        <f t="shared" si="196"/>
        <v>7.2719174340054796E-5</v>
      </c>
      <c r="BV149" s="987">
        <f>IF(AG149="","-",IFERROR((AG149/AF149-1)*(AF149/AF$13),"-"))</f>
        <v>1.9405669838834541E-5</v>
      </c>
      <c r="BW149" s="987">
        <f>IF(AH149="","-",IFERROR((AH149/AG149-1)*(AG149/AG$13),"-"))</f>
        <v>1.9951981918740137E-5</v>
      </c>
      <c r="BX149" s="987">
        <f>IF(AI149="","-",IFERROR((AI149/AH149-1)*(AH149/AH$13),"-"))</f>
        <v>1.9663968791566508E-5</v>
      </c>
      <c r="BY149" s="989">
        <f>IF(AJ149="","-",IFERROR((AJ149/AI149-1)*(AI149/AI$13),"-"))</f>
        <v>1.9725676360689151E-5</v>
      </c>
      <c r="BZ149" s="951"/>
      <c r="CA149" s="984" t="str">
        <f t="shared" si="149"/>
        <v>Rev</v>
      </c>
      <c r="CB149" s="985" t="str">
        <f t="shared" si="150"/>
        <v>Water</v>
      </c>
      <c r="CC149" s="985" t="str">
        <f t="shared" si="151"/>
        <v xml:space="preserve">Price cap - Variable </v>
      </c>
      <c r="CD149" s="990">
        <f t="shared" si="175"/>
        <v>0.10991243360123448</v>
      </c>
      <c r="CE149" s="987">
        <f t="shared" si="175"/>
        <v>6.6303713675470943E-2</v>
      </c>
      <c r="CF149" s="987">
        <f t="shared" si="175"/>
        <v>0.16535185860479329</v>
      </c>
      <c r="CG149" s="988">
        <f t="shared" si="175"/>
        <v>4.0115667863312776E-2</v>
      </c>
      <c r="CH149" s="987">
        <f t="shared" si="176"/>
        <v>0.6780045928104439</v>
      </c>
      <c r="CI149" s="987">
        <f t="shared" si="176"/>
        <v>0.43466277616194438</v>
      </c>
      <c r="CJ149" s="987">
        <f t="shared" si="176"/>
        <v>0.32584731321180538</v>
      </c>
      <c r="CK149" s="989">
        <f t="shared" si="176"/>
        <v>0.26406181234207593</v>
      </c>
    </row>
    <row r="150" spans="4:89">
      <c r="D150" s="63">
        <f>D147+1</f>
        <v>28</v>
      </c>
      <c r="E150" s="550" t="s">
        <v>857</v>
      </c>
      <c r="F150" s="595" t="s">
        <v>401</v>
      </c>
      <c r="G150" s="595" t="s">
        <v>101</v>
      </c>
      <c r="H150" s="595" t="s">
        <v>940</v>
      </c>
      <c r="I150" s="589" t="s">
        <v>941</v>
      </c>
      <c r="J150" s="589" t="s">
        <v>879</v>
      </c>
      <c r="K150" s="551"/>
      <c r="L150" s="552"/>
      <c r="M150" s="552"/>
      <c r="N150" s="551"/>
      <c r="O150" s="552"/>
      <c r="P150" s="552"/>
      <c r="Q150" s="552"/>
      <c r="R150" s="1035"/>
      <c r="S150" s="1138"/>
      <c r="T150" s="591"/>
      <c r="U150" s="1035">
        <v>308.58107444253864</v>
      </c>
      <c r="V150" s="591">
        <v>297.02971059033081</v>
      </c>
      <c r="W150" s="591">
        <v>305.99991924939468</v>
      </c>
      <c r="X150" s="591">
        <v>316.49570242533946</v>
      </c>
      <c r="Y150" s="591">
        <v>318.70260000000002</v>
      </c>
      <c r="Z150" s="1537">
        <v>320.06020000000001</v>
      </c>
      <c r="AA150" s="1138">
        <v>800</v>
      </c>
      <c r="AB150" s="591">
        <v>800</v>
      </c>
      <c r="AC150" s="591">
        <v>800</v>
      </c>
      <c r="AD150" s="591">
        <v>800</v>
      </c>
      <c r="AE150" s="1035">
        <v>800</v>
      </c>
      <c r="AF150" s="591">
        <v>900</v>
      </c>
      <c r="AG150" s="591">
        <v>900</v>
      </c>
      <c r="AH150" s="591">
        <v>900</v>
      </c>
      <c r="AI150" s="591">
        <v>900</v>
      </c>
      <c r="AJ150" s="592">
        <v>900</v>
      </c>
      <c r="AK150" s="548"/>
      <c r="AM150" s="974"/>
      <c r="AO150" s="975" t="str">
        <f t="shared" si="152"/>
        <v>Price</v>
      </c>
      <c r="AP150" s="976" t="str">
        <f t="shared" si="152"/>
        <v>Water</v>
      </c>
      <c r="AQ150" s="977" t="str">
        <f t="shared" si="153"/>
        <v xml:space="preserve">Price cap - Variable </v>
      </c>
      <c r="AR150" s="1341">
        <f t="shared" si="154"/>
        <v>-3.7433805274920795E-2</v>
      </c>
      <c r="AS150" s="978">
        <f t="shared" si="155"/>
        <v>3.0199701710768467E-2</v>
      </c>
      <c r="AT150" s="979">
        <f t="shared" si="156"/>
        <v>3.4299954070871941E-2</v>
      </c>
      <c r="AU150" s="979">
        <f t="shared" si="157"/>
        <v>6.9729148223778292E-3</v>
      </c>
      <c r="AV150" s="1352">
        <f t="shared" si="158"/>
        <v>4.2597707078637637E-3</v>
      </c>
      <c r="AW150" s="1345">
        <f t="shared" si="159"/>
        <v>1.4995297759608972</v>
      </c>
      <c r="AX150" s="979">
        <f t="shared" si="160"/>
        <v>0</v>
      </c>
      <c r="AY150" s="979">
        <f t="shared" si="161"/>
        <v>0</v>
      </c>
      <c r="AZ150" s="979">
        <f t="shared" si="162"/>
        <v>0</v>
      </c>
      <c r="BA150" s="980">
        <f t="shared" si="163"/>
        <v>0</v>
      </c>
      <c r="BB150" s="1345">
        <f t="shared" si="164"/>
        <v>0.125</v>
      </c>
      <c r="BC150" s="979">
        <f t="shared" si="165"/>
        <v>0</v>
      </c>
      <c r="BD150" s="979">
        <f t="shared" si="166"/>
        <v>0</v>
      </c>
      <c r="BE150" s="979">
        <f t="shared" si="167"/>
        <v>0</v>
      </c>
      <c r="BF150" s="981">
        <f t="shared" si="168"/>
        <v>0</v>
      </c>
      <c r="BG150" s="951"/>
      <c r="BH150" s="975" t="str">
        <f t="shared" si="169"/>
        <v>Price</v>
      </c>
      <c r="BI150" s="976" t="str">
        <f t="shared" si="170"/>
        <v>Water</v>
      </c>
      <c r="BJ150" s="977" t="str">
        <f t="shared" si="171"/>
        <v xml:space="preserve">Price cap - Variable </v>
      </c>
      <c r="BK150" s="978">
        <f t="shared" ref="BK150:BU150" si="197">IF(V150="","-",IFERROR((V150/U150-1)*(U152/U$13),"-"))</f>
        <v>-1.5155116699113869E-6</v>
      </c>
      <c r="BL150" s="978">
        <f t="shared" si="197"/>
        <v>6.3540275016079418E-7</v>
      </c>
      <c r="BM150" s="979">
        <f t="shared" si="197"/>
        <v>1.5031914517433725E-6</v>
      </c>
      <c r="BN150" s="979">
        <f t="shared" si="197"/>
        <v>1.3874683294541092E-7</v>
      </c>
      <c r="BO150" s="1352">
        <f t="shared" si="197"/>
        <v>1.0315363593163931E-6</v>
      </c>
      <c r="BP150" s="1345">
        <f t="shared" si="197"/>
        <v>1.2738333192107944E-4</v>
      </c>
      <c r="BQ150" s="979">
        <f t="shared" si="197"/>
        <v>0</v>
      </c>
      <c r="BR150" s="979">
        <f t="shared" si="197"/>
        <v>0</v>
      </c>
      <c r="BS150" s="979">
        <f t="shared" si="197"/>
        <v>0</v>
      </c>
      <c r="BT150" s="980">
        <f t="shared" si="197"/>
        <v>0</v>
      </c>
      <c r="BU150" s="979">
        <f t="shared" si="197"/>
        <v>2.4015579372541252E-5</v>
      </c>
      <c r="BV150" s="979">
        <f>IF(AG150="","-",IFERROR((AG150/AF150-1)*(AF152/AF$13),"-"))</f>
        <v>0</v>
      </c>
      <c r="BW150" s="979">
        <f>IF(AH150="","-",IFERROR((AH150/AG150-1)*(AG152/AG$13),"-"))</f>
        <v>0</v>
      </c>
      <c r="BX150" s="979">
        <f>IF(AI150="","-",IFERROR((AI150/AH150-1)*(AH152/AH$13),"-"))</f>
        <v>0</v>
      </c>
      <c r="BY150" s="981">
        <f>IF(AJ150="","-",IFERROR((AJ150/AI150-1)*(AI152/AI$13),"-"))</f>
        <v>0</v>
      </c>
      <c r="BZ150" s="951"/>
      <c r="CA150" s="975" t="str">
        <f t="shared" si="149"/>
        <v>Price</v>
      </c>
      <c r="CB150" s="976" t="str">
        <f t="shared" si="150"/>
        <v>Water</v>
      </c>
      <c r="CC150" s="982" t="str">
        <f t="shared" si="151"/>
        <v xml:space="preserve">Price cap - Variable </v>
      </c>
      <c r="CD150" s="983">
        <f t="shared" si="175"/>
        <v>-4.1910792312381817E-3</v>
      </c>
      <c r="CE150" s="979">
        <f t="shared" si="175"/>
        <v>8.47741554045367E-3</v>
      </c>
      <c r="CF150" s="979">
        <f t="shared" si="175"/>
        <v>8.1010797562315329E-3</v>
      </c>
      <c r="CG150" s="980">
        <f t="shared" si="175"/>
        <v>7.3316442959332484E-3</v>
      </c>
      <c r="CH150" s="979">
        <f t="shared" si="176"/>
        <v>0.58099012519398663</v>
      </c>
      <c r="CI150" s="979">
        <f t="shared" si="176"/>
        <v>0.35712371066753756</v>
      </c>
      <c r="CJ150" s="979">
        <f t="shared" si="176"/>
        <v>0.25737429796937805</v>
      </c>
      <c r="CK150" s="981">
        <f t="shared" si="176"/>
        <v>0.20107924677498068</v>
      </c>
    </row>
    <row r="151" spans="4:89">
      <c r="E151" s="567" t="s">
        <v>880</v>
      </c>
      <c r="F151" s="554" t="str">
        <f>+F150</f>
        <v>Water</v>
      </c>
      <c r="G151" s="555" t="str">
        <f>+G150</f>
        <v>WPW</v>
      </c>
      <c r="H151" s="555" t="str">
        <f>+H150</f>
        <v>Transfer-Treated Water</v>
      </c>
      <c r="I151" s="556" t="str">
        <f>+I150</f>
        <v xml:space="preserve">Price cap - Variable </v>
      </c>
      <c r="J151" s="590" t="s">
        <v>887</v>
      </c>
      <c r="K151" s="557"/>
      <c r="L151" s="558"/>
      <c r="M151" s="558"/>
      <c r="N151" s="557"/>
      <c r="O151" s="558"/>
      <c r="P151" s="558"/>
      <c r="Q151" s="558"/>
      <c r="R151" s="1036"/>
      <c r="S151" s="1139"/>
      <c r="T151" s="593"/>
      <c r="U151" s="1036">
        <v>253</v>
      </c>
      <c r="V151" s="593">
        <v>132</v>
      </c>
      <c r="W151" s="593">
        <v>265</v>
      </c>
      <c r="X151" s="593">
        <v>117</v>
      </c>
      <c r="Y151" s="593">
        <v>1432</v>
      </c>
      <c r="Z151" s="593">
        <v>500</v>
      </c>
      <c r="AA151" s="1139">
        <v>500</v>
      </c>
      <c r="AB151" s="593">
        <v>500</v>
      </c>
      <c r="AC151" s="593">
        <v>500</v>
      </c>
      <c r="AD151" s="593">
        <v>500</v>
      </c>
      <c r="AE151" s="1036">
        <v>500</v>
      </c>
      <c r="AF151" s="593">
        <v>500</v>
      </c>
      <c r="AG151" s="593">
        <v>500</v>
      </c>
      <c r="AH151" s="593">
        <v>500</v>
      </c>
      <c r="AI151" s="593">
        <v>500</v>
      </c>
      <c r="AJ151" s="594">
        <v>500</v>
      </c>
      <c r="AK151" s="548"/>
      <c r="AO151" s="961" t="str">
        <f t="shared" si="152"/>
        <v>Qty</v>
      </c>
      <c r="AP151" s="962" t="str">
        <f t="shared" si="152"/>
        <v>Water</v>
      </c>
      <c r="AQ151" s="963" t="str">
        <f t="shared" si="153"/>
        <v xml:space="preserve">Price cap - Variable </v>
      </c>
      <c r="AR151" s="967">
        <f t="shared" si="154"/>
        <v>-0.47826086956521741</v>
      </c>
      <c r="AS151" s="964">
        <f t="shared" si="155"/>
        <v>1.0075757575757578</v>
      </c>
      <c r="AT151" s="964">
        <f t="shared" si="156"/>
        <v>-0.55849056603773584</v>
      </c>
      <c r="AU151" s="964">
        <f t="shared" si="157"/>
        <v>11.239316239316238</v>
      </c>
      <c r="AV151" s="1350">
        <f t="shared" si="158"/>
        <v>-0.65083798882681565</v>
      </c>
      <c r="AW151" s="1343">
        <f t="shared" si="159"/>
        <v>0</v>
      </c>
      <c r="AX151" s="964">
        <f t="shared" si="160"/>
        <v>0</v>
      </c>
      <c r="AY151" s="964">
        <f t="shared" si="161"/>
        <v>0</v>
      </c>
      <c r="AZ151" s="964">
        <f t="shared" si="162"/>
        <v>0</v>
      </c>
      <c r="BA151" s="965">
        <f t="shared" si="163"/>
        <v>0</v>
      </c>
      <c r="BB151" s="1343">
        <f t="shared" si="164"/>
        <v>0</v>
      </c>
      <c r="BC151" s="964">
        <f t="shared" si="165"/>
        <v>0</v>
      </c>
      <c r="BD151" s="964">
        <f t="shared" si="166"/>
        <v>0</v>
      </c>
      <c r="BE151" s="964">
        <f t="shared" si="167"/>
        <v>0</v>
      </c>
      <c r="BF151" s="966">
        <f t="shared" si="168"/>
        <v>0</v>
      </c>
      <c r="BG151" s="951"/>
      <c r="BH151" s="961" t="str">
        <f t="shared" si="169"/>
        <v>Qty</v>
      </c>
      <c r="BI151" s="962" t="str">
        <f t="shared" si="170"/>
        <v>Water</v>
      </c>
      <c r="BJ151" s="963" t="str">
        <f t="shared" si="171"/>
        <v xml:space="preserve">Price cap - Variable </v>
      </c>
      <c r="BK151" s="964">
        <f t="shared" ref="BK151:BU151" si="198">IF(V151="","-",IFERROR((V151/U151-1)*(U152/U$13),"-"))</f>
        <v>-1.9362443218500399E-5</v>
      </c>
      <c r="BL151" s="964">
        <f t="shared" si="198"/>
        <v>2.119942817616297E-5</v>
      </c>
      <c r="BM151" s="964">
        <f t="shared" si="198"/>
        <v>-2.4475783349814281E-5</v>
      </c>
      <c r="BN151" s="964">
        <f t="shared" si="198"/>
        <v>2.2363954994437715E-4</v>
      </c>
      <c r="BO151" s="1350">
        <f t="shared" si="198"/>
        <v>-1.5760544300186038E-4</v>
      </c>
      <c r="BP151" s="1343">
        <f t="shared" si="198"/>
        <v>0</v>
      </c>
      <c r="BQ151" s="964">
        <f t="shared" si="198"/>
        <v>0</v>
      </c>
      <c r="BR151" s="964">
        <f t="shared" si="198"/>
        <v>0</v>
      </c>
      <c r="BS151" s="964">
        <f t="shared" si="198"/>
        <v>0</v>
      </c>
      <c r="BT151" s="965">
        <f t="shared" si="198"/>
        <v>0</v>
      </c>
      <c r="BU151" s="964">
        <f t="shared" si="198"/>
        <v>0</v>
      </c>
      <c r="BV151" s="964">
        <f>IF(AG151="","-",IFERROR((AG151/AF151-1)*(AF152/AF$13),"-"))</f>
        <v>0</v>
      </c>
      <c r="BW151" s="964">
        <f>IF(AH151="","-",IFERROR((AH151/AG151-1)*(AG152/AG$13),"-"))</f>
        <v>0</v>
      </c>
      <c r="BX151" s="964">
        <f>IF(AI151="","-",IFERROR((AI151/AH151-1)*(AH152/AH$13),"-"))</f>
        <v>0</v>
      </c>
      <c r="BY151" s="966">
        <f>IF(AJ151="","-",IFERROR((AJ151/AI151-1)*(AI152/AI$13),"-"))</f>
        <v>0</v>
      </c>
      <c r="BZ151" s="951"/>
      <c r="CA151" s="961" t="str">
        <f t="shared" si="149"/>
        <v>Qty</v>
      </c>
      <c r="CB151" s="962" t="str">
        <f t="shared" si="150"/>
        <v>Water</v>
      </c>
      <c r="CC151" s="962" t="str">
        <f t="shared" si="151"/>
        <v xml:space="preserve">Price cap - Variable </v>
      </c>
      <c r="CD151" s="967">
        <f t="shared" si="175"/>
        <v>2.3440682228103249E-2</v>
      </c>
      <c r="CE151" s="964">
        <f t="shared" si="175"/>
        <v>-0.22668735175750976</v>
      </c>
      <c r="CF151" s="964">
        <f t="shared" si="175"/>
        <v>0.54243057039967724</v>
      </c>
      <c r="CG151" s="965">
        <f t="shared" si="175"/>
        <v>0.14596115543710719</v>
      </c>
      <c r="CH151" s="964">
        <f t="shared" si="176"/>
        <v>0</v>
      </c>
      <c r="CI151" s="964">
        <f t="shared" si="176"/>
        <v>0</v>
      </c>
      <c r="CJ151" s="964">
        <f t="shared" si="176"/>
        <v>0</v>
      </c>
      <c r="CK151" s="966">
        <f t="shared" si="176"/>
        <v>0</v>
      </c>
    </row>
    <row r="152" spans="4:89" ht="12.75" thickBot="1">
      <c r="E152" s="568" t="s">
        <v>882</v>
      </c>
      <c r="F152" s="560" t="str">
        <f>+F150</f>
        <v>Water</v>
      </c>
      <c r="G152" s="561" t="str">
        <f>+G150</f>
        <v>WPW</v>
      </c>
      <c r="H152" s="561" t="str">
        <f>+H150</f>
        <v>Transfer-Treated Water</v>
      </c>
      <c r="I152" s="562" t="str">
        <f>+I150</f>
        <v xml:space="preserve">Price cap - Variable </v>
      </c>
      <c r="J152" s="563" t="s">
        <v>883</v>
      </c>
      <c r="K152" s="564">
        <f t="shared" ref="K152:AJ152" si="199">K150*K151/10^6</f>
        <v>0</v>
      </c>
      <c r="L152" s="565">
        <f t="shared" si="199"/>
        <v>0</v>
      </c>
      <c r="M152" s="565">
        <f t="shared" si="199"/>
        <v>0</v>
      </c>
      <c r="N152" s="564">
        <f t="shared" si="199"/>
        <v>0</v>
      </c>
      <c r="O152" s="565">
        <f t="shared" si="199"/>
        <v>0</v>
      </c>
      <c r="P152" s="565">
        <f t="shared" si="199"/>
        <v>0</v>
      </c>
      <c r="Q152" s="565">
        <f t="shared" si="199"/>
        <v>0</v>
      </c>
      <c r="R152" s="566">
        <f t="shared" si="199"/>
        <v>0</v>
      </c>
      <c r="S152" s="564">
        <f t="shared" si="199"/>
        <v>0</v>
      </c>
      <c r="T152" s="565">
        <f t="shared" si="199"/>
        <v>0</v>
      </c>
      <c r="U152" s="566">
        <f t="shared" si="199"/>
        <v>7.807101183396227E-2</v>
      </c>
      <c r="V152" s="565">
        <f t="shared" si="199"/>
        <v>3.9207921797923664E-2</v>
      </c>
      <c r="W152" s="565">
        <f t="shared" si="199"/>
        <v>8.1089978601089588E-2</v>
      </c>
      <c r="X152" s="565">
        <f t="shared" si="199"/>
        <v>3.7029997183764714E-2</v>
      </c>
      <c r="Y152" s="565">
        <f t="shared" si="199"/>
        <v>0.45638212320000004</v>
      </c>
      <c r="Z152" s="565">
        <f t="shared" si="199"/>
        <v>0.16003010000000001</v>
      </c>
      <c r="AA152" s="564">
        <f t="shared" si="199"/>
        <v>0.4</v>
      </c>
      <c r="AB152" s="565">
        <f t="shared" si="199"/>
        <v>0.4</v>
      </c>
      <c r="AC152" s="565">
        <f t="shared" si="199"/>
        <v>0.4</v>
      </c>
      <c r="AD152" s="565">
        <f t="shared" si="199"/>
        <v>0.4</v>
      </c>
      <c r="AE152" s="566">
        <f t="shared" si="199"/>
        <v>0.4</v>
      </c>
      <c r="AF152" s="565">
        <f t="shared" si="199"/>
        <v>0.45</v>
      </c>
      <c r="AG152" s="565">
        <f>AG150*AG151/10^6</f>
        <v>0.45</v>
      </c>
      <c r="AH152" s="565">
        <f>AH150*AH151/10^6</f>
        <v>0.45</v>
      </c>
      <c r="AI152" s="565">
        <f>AI150*AI151/10^6</f>
        <v>0.45</v>
      </c>
      <c r="AJ152" s="566">
        <f t="shared" si="199"/>
        <v>0.45</v>
      </c>
      <c r="AK152" s="548"/>
      <c r="AO152" s="984" t="str">
        <f t="shared" si="152"/>
        <v>Rev</v>
      </c>
      <c r="AP152" s="985" t="str">
        <f t="shared" si="152"/>
        <v>Water</v>
      </c>
      <c r="AQ152" s="986" t="str">
        <f t="shared" si="153"/>
        <v xml:space="preserve">Price cap - Variable </v>
      </c>
      <c r="AR152" s="990">
        <f t="shared" si="154"/>
        <v>-0.49779155057821955</v>
      </c>
      <c r="AS152" s="987">
        <f t="shared" si="155"/>
        <v>1.0682039466163156</v>
      </c>
      <c r="AT152" s="987">
        <f t="shared" si="156"/>
        <v>-0.54334681273097352</v>
      </c>
      <c r="AU152" s="987">
        <f t="shared" si="157"/>
        <v>11.324659948937139</v>
      </c>
      <c r="AV152" s="1353">
        <f t="shared" si="158"/>
        <v>-0.6493506387193213</v>
      </c>
      <c r="AW152" s="1346">
        <f t="shared" si="159"/>
        <v>1.4995297759608972</v>
      </c>
      <c r="AX152" s="987">
        <f t="shared" si="160"/>
        <v>0</v>
      </c>
      <c r="AY152" s="987">
        <f t="shared" si="161"/>
        <v>0</v>
      </c>
      <c r="AZ152" s="987">
        <f t="shared" si="162"/>
        <v>0</v>
      </c>
      <c r="BA152" s="988">
        <f t="shared" si="163"/>
        <v>0</v>
      </c>
      <c r="BB152" s="1346">
        <f t="shared" si="164"/>
        <v>0.125</v>
      </c>
      <c r="BC152" s="987">
        <f t="shared" si="165"/>
        <v>0</v>
      </c>
      <c r="BD152" s="987">
        <f t="shared" si="166"/>
        <v>0</v>
      </c>
      <c r="BE152" s="987">
        <f t="shared" si="167"/>
        <v>0</v>
      </c>
      <c r="BF152" s="989">
        <f t="shared" si="168"/>
        <v>0</v>
      </c>
      <c r="BG152" s="951"/>
      <c r="BH152" s="984" t="str">
        <f t="shared" si="169"/>
        <v>Rev</v>
      </c>
      <c r="BI152" s="985" t="str">
        <f t="shared" si="170"/>
        <v>Water</v>
      </c>
      <c r="BJ152" s="986" t="str">
        <f t="shared" si="171"/>
        <v xml:space="preserve">Price cap - Variable </v>
      </c>
      <c r="BK152" s="987">
        <f t="shared" ref="BK152:BU152" si="200">IF(V152="","-",IFERROR((V152/U152-1)*(U152/U$13),"-"))</f>
        <v>-2.0153144959323731E-5</v>
      </c>
      <c r="BL152" s="987">
        <f t="shared" si="200"/>
        <v>2.2475047333682744E-5</v>
      </c>
      <c r="BM152" s="987">
        <f t="shared" si="200"/>
        <v>-2.381211014281815E-5</v>
      </c>
      <c r="BN152" s="987">
        <f t="shared" si="200"/>
        <v>2.2533771630999969E-4</v>
      </c>
      <c r="BO152" s="1353">
        <f t="shared" si="200"/>
        <v>-1.572452696920432E-4</v>
      </c>
      <c r="BP152" s="1346">
        <f t="shared" si="200"/>
        <v>1.2738333192107944E-4</v>
      </c>
      <c r="BQ152" s="987">
        <f t="shared" si="200"/>
        <v>0</v>
      </c>
      <c r="BR152" s="987">
        <f t="shared" si="200"/>
        <v>0</v>
      </c>
      <c r="BS152" s="987">
        <f t="shared" si="200"/>
        <v>0</v>
      </c>
      <c r="BT152" s="988">
        <f t="shared" si="200"/>
        <v>0</v>
      </c>
      <c r="BU152" s="987">
        <f t="shared" si="200"/>
        <v>2.4015579372541252E-5</v>
      </c>
      <c r="BV152" s="987">
        <f>IF(AG152="","-",IFERROR((AG152/AF152-1)*(AF152/AF$13),"-"))</f>
        <v>0</v>
      </c>
      <c r="BW152" s="987">
        <f>IF(AH152="","-",IFERROR((AH152/AG152-1)*(AG152/AG$13),"-"))</f>
        <v>0</v>
      </c>
      <c r="BX152" s="987">
        <f>IF(AI152="","-",IFERROR((AI152/AH152-1)*(AH152/AH$13),"-"))</f>
        <v>0</v>
      </c>
      <c r="BY152" s="989">
        <f>IF(AJ152="","-",IFERROR((AJ152/AI152-1)*(AI152/AI$13),"-"))</f>
        <v>0</v>
      </c>
      <c r="BZ152" s="951"/>
      <c r="CA152" s="984" t="str">
        <f t="shared" si="149"/>
        <v>Rev</v>
      </c>
      <c r="CB152" s="985" t="str">
        <f t="shared" si="150"/>
        <v>Water</v>
      </c>
      <c r="CC152" s="985" t="str">
        <f t="shared" si="151"/>
        <v xml:space="preserve">Price cap - Variable </v>
      </c>
      <c r="CD152" s="990">
        <f t="shared" si="175"/>
        <v>1.9151361240412834E-2</v>
      </c>
      <c r="CE152" s="987">
        <f t="shared" si="175"/>
        <v>-0.22013165909566945</v>
      </c>
      <c r="CF152" s="987">
        <f t="shared" si="175"/>
        <v>0.55492592346893477</v>
      </c>
      <c r="CG152" s="988">
        <f t="shared" si="175"/>
        <v>0.15436293500572873</v>
      </c>
      <c r="CH152" s="987">
        <f t="shared" si="176"/>
        <v>0.58099012519398663</v>
      </c>
      <c r="CI152" s="987">
        <f t="shared" si="176"/>
        <v>0.35712371066753756</v>
      </c>
      <c r="CJ152" s="987">
        <f t="shared" si="176"/>
        <v>0.25737429796937805</v>
      </c>
      <c r="CK152" s="989">
        <f t="shared" si="176"/>
        <v>0.20107924677498068</v>
      </c>
    </row>
    <row r="153" spans="4:89">
      <c r="D153" s="63">
        <f>D150+1</f>
        <v>29</v>
      </c>
      <c r="E153" s="550" t="s">
        <v>857</v>
      </c>
      <c r="F153" s="595" t="s">
        <v>401</v>
      </c>
      <c r="G153" s="595" t="s">
        <v>888</v>
      </c>
      <c r="H153" s="595" t="s">
        <v>889</v>
      </c>
      <c r="I153" s="589" t="s">
        <v>941</v>
      </c>
      <c r="J153" s="589" t="s">
        <v>879</v>
      </c>
      <c r="K153" s="551"/>
      <c r="L153" s="552"/>
      <c r="M153" s="552"/>
      <c r="N153" s="551"/>
      <c r="O153" s="552"/>
      <c r="P153" s="552"/>
      <c r="Q153" s="552"/>
      <c r="R153" s="1035"/>
      <c r="S153" s="1138"/>
      <c r="T153" s="591"/>
      <c r="U153" s="1035">
        <v>485.67777272727278</v>
      </c>
      <c r="V153" s="591"/>
      <c r="W153" s="591"/>
      <c r="X153" s="591"/>
      <c r="Y153" s="591"/>
      <c r="Z153" s="591"/>
      <c r="AA153" s="1138"/>
      <c r="AB153" s="591"/>
      <c r="AC153" s="591"/>
      <c r="AD153" s="591"/>
      <c r="AE153" s="1035"/>
      <c r="AF153" s="591"/>
      <c r="AG153" s="591"/>
      <c r="AH153" s="591"/>
      <c r="AI153" s="591"/>
      <c r="AJ153" s="592"/>
      <c r="AK153" s="548"/>
      <c r="AM153" s="974"/>
      <c r="AO153" s="975" t="str">
        <f t="shared" si="152"/>
        <v>Price</v>
      </c>
      <c r="AP153" s="976" t="str">
        <f t="shared" si="152"/>
        <v>Water</v>
      </c>
      <c r="AQ153" s="977" t="str">
        <f t="shared" si="153"/>
        <v xml:space="preserve">Price cap - Variable </v>
      </c>
      <c r="AR153" s="1341" t="str">
        <f t="shared" si="154"/>
        <v>-</v>
      </c>
      <c r="AS153" s="978" t="str">
        <f t="shared" si="155"/>
        <v>-</v>
      </c>
      <c r="AT153" s="979" t="str">
        <f t="shared" si="156"/>
        <v>-</v>
      </c>
      <c r="AU153" s="979" t="str">
        <f t="shared" si="157"/>
        <v>-</v>
      </c>
      <c r="AV153" s="1352" t="str">
        <f t="shared" si="158"/>
        <v>-</v>
      </c>
      <c r="AW153" s="1345" t="str">
        <f t="shared" si="159"/>
        <v>-</v>
      </c>
      <c r="AX153" s="979" t="str">
        <f t="shared" si="160"/>
        <v>-</v>
      </c>
      <c r="AY153" s="979" t="str">
        <f t="shared" si="161"/>
        <v>-</v>
      </c>
      <c r="AZ153" s="979" t="str">
        <f t="shared" si="162"/>
        <v>-</v>
      </c>
      <c r="BA153" s="980" t="str">
        <f t="shared" si="163"/>
        <v>-</v>
      </c>
      <c r="BB153" s="1345" t="str">
        <f t="shared" si="164"/>
        <v>-</v>
      </c>
      <c r="BC153" s="979" t="str">
        <f t="shared" si="165"/>
        <v>-</v>
      </c>
      <c r="BD153" s="979" t="str">
        <f t="shared" si="166"/>
        <v>-</v>
      </c>
      <c r="BE153" s="979" t="str">
        <f t="shared" si="167"/>
        <v>-</v>
      </c>
      <c r="BF153" s="981" t="str">
        <f t="shared" si="168"/>
        <v>-</v>
      </c>
      <c r="BG153" s="951"/>
      <c r="BH153" s="975" t="str">
        <f t="shared" si="169"/>
        <v>Price</v>
      </c>
      <c r="BI153" s="976" t="str">
        <f t="shared" si="170"/>
        <v>Water</v>
      </c>
      <c r="BJ153" s="977" t="str">
        <f t="shared" si="171"/>
        <v xml:space="preserve">Price cap - Variable </v>
      </c>
      <c r="BK153" s="978" t="str">
        <f t="shared" ref="BK153:BU153" si="201">IF(V153="","-",IFERROR((V153/U153-1)*(U155/U$13),"-"))</f>
        <v>-</v>
      </c>
      <c r="BL153" s="978" t="str">
        <f t="shared" si="201"/>
        <v>-</v>
      </c>
      <c r="BM153" s="979" t="str">
        <f t="shared" si="201"/>
        <v>-</v>
      </c>
      <c r="BN153" s="979" t="str">
        <f t="shared" si="201"/>
        <v>-</v>
      </c>
      <c r="BO153" s="1352" t="str">
        <f t="shared" si="201"/>
        <v>-</v>
      </c>
      <c r="BP153" s="1345" t="str">
        <f t="shared" si="201"/>
        <v>-</v>
      </c>
      <c r="BQ153" s="979" t="str">
        <f t="shared" si="201"/>
        <v>-</v>
      </c>
      <c r="BR153" s="979" t="str">
        <f t="shared" si="201"/>
        <v>-</v>
      </c>
      <c r="BS153" s="979" t="str">
        <f t="shared" si="201"/>
        <v>-</v>
      </c>
      <c r="BT153" s="980" t="str">
        <f t="shared" si="201"/>
        <v>-</v>
      </c>
      <c r="BU153" s="979" t="str">
        <f t="shared" si="201"/>
        <v>-</v>
      </c>
      <c r="BV153" s="979" t="str">
        <f>IF(AG153="","-",IFERROR((AG153/AF153-1)*(AF155/AF$13),"-"))</f>
        <v>-</v>
      </c>
      <c r="BW153" s="979" t="str">
        <f>IF(AH153="","-",IFERROR((AH153/AG153-1)*(AG155/AG$13),"-"))</f>
        <v>-</v>
      </c>
      <c r="BX153" s="979" t="str">
        <f>IF(AI153="","-",IFERROR((AI153/AH153-1)*(AH155/AH$13),"-"))</f>
        <v>-</v>
      </c>
      <c r="BY153" s="981" t="str">
        <f>IF(AJ153="","-",IFERROR((AJ153/AI153-1)*(AI155/AI$13),"-"))</f>
        <v>-</v>
      </c>
      <c r="BZ153" s="951"/>
      <c r="CA153" s="975" t="str">
        <f t="shared" si="149"/>
        <v>Price</v>
      </c>
      <c r="CB153" s="976" t="str">
        <f t="shared" si="150"/>
        <v>Water</v>
      </c>
      <c r="CC153" s="982" t="str">
        <f t="shared" si="151"/>
        <v xml:space="preserve">Price cap - Variable </v>
      </c>
      <c r="CD153" s="983" t="str">
        <f t="shared" si="175"/>
        <v>-</v>
      </c>
      <c r="CE153" s="979" t="str">
        <f t="shared" si="175"/>
        <v>-</v>
      </c>
      <c r="CF153" s="979" t="str">
        <f t="shared" si="175"/>
        <v>-</v>
      </c>
      <c r="CG153" s="980" t="str">
        <f t="shared" si="175"/>
        <v>-</v>
      </c>
      <c r="CH153" s="979" t="str">
        <f t="shared" si="176"/>
        <v>-</v>
      </c>
      <c r="CI153" s="979" t="str">
        <f t="shared" si="176"/>
        <v>-</v>
      </c>
      <c r="CJ153" s="979" t="str">
        <f t="shared" si="176"/>
        <v>-</v>
      </c>
      <c r="CK153" s="981" t="str">
        <f t="shared" si="176"/>
        <v>-</v>
      </c>
    </row>
    <row r="154" spans="4:89">
      <c r="E154" s="567" t="s">
        <v>880</v>
      </c>
      <c r="F154" s="554" t="str">
        <f>+F153</f>
        <v>Water</v>
      </c>
      <c r="G154" s="555" t="str">
        <f>+G153</f>
        <v>GW</v>
      </c>
      <c r="H154" s="555" t="str">
        <f>+H153</f>
        <v>Tarago Headworks/Transfer</v>
      </c>
      <c r="I154" s="556" t="str">
        <f>+I153</f>
        <v xml:space="preserve">Price cap - Variable </v>
      </c>
      <c r="J154" s="590" t="s">
        <v>887</v>
      </c>
      <c r="K154" s="557"/>
      <c r="L154" s="558"/>
      <c r="M154" s="558"/>
      <c r="N154" s="557"/>
      <c r="O154" s="558"/>
      <c r="P154" s="558"/>
      <c r="Q154" s="558"/>
      <c r="R154" s="1036"/>
      <c r="S154" s="1139"/>
      <c r="T154" s="593"/>
      <c r="U154" s="1036">
        <v>49</v>
      </c>
      <c r="V154" s="593"/>
      <c r="W154" s="593"/>
      <c r="X154" s="593"/>
      <c r="Y154" s="593"/>
      <c r="Z154" s="593"/>
      <c r="AA154" s="1139"/>
      <c r="AB154" s="593"/>
      <c r="AC154" s="593"/>
      <c r="AD154" s="593"/>
      <c r="AE154" s="1036"/>
      <c r="AF154" s="593"/>
      <c r="AG154" s="593"/>
      <c r="AH154" s="593"/>
      <c r="AI154" s="593"/>
      <c r="AJ154" s="594"/>
      <c r="AK154" s="548"/>
      <c r="AO154" s="961" t="str">
        <f t="shared" si="152"/>
        <v>Qty</v>
      </c>
      <c r="AP154" s="962" t="str">
        <f t="shared" si="152"/>
        <v>Water</v>
      </c>
      <c r="AQ154" s="963" t="str">
        <f t="shared" si="153"/>
        <v xml:space="preserve">Price cap - Variable </v>
      </c>
      <c r="AR154" s="967" t="str">
        <f t="shared" si="154"/>
        <v>-</v>
      </c>
      <c r="AS154" s="964" t="str">
        <f t="shared" si="155"/>
        <v>-</v>
      </c>
      <c r="AT154" s="964" t="str">
        <f t="shared" si="156"/>
        <v>-</v>
      </c>
      <c r="AU154" s="964" t="str">
        <f t="shared" si="157"/>
        <v>-</v>
      </c>
      <c r="AV154" s="1350" t="str">
        <f t="shared" si="158"/>
        <v>-</v>
      </c>
      <c r="AW154" s="1343" t="str">
        <f t="shared" si="159"/>
        <v>-</v>
      </c>
      <c r="AX154" s="964" t="str">
        <f t="shared" si="160"/>
        <v>-</v>
      </c>
      <c r="AY154" s="964" t="str">
        <f t="shared" si="161"/>
        <v>-</v>
      </c>
      <c r="AZ154" s="964" t="str">
        <f t="shared" si="162"/>
        <v>-</v>
      </c>
      <c r="BA154" s="965" t="str">
        <f t="shared" si="163"/>
        <v>-</v>
      </c>
      <c r="BB154" s="1343" t="str">
        <f t="shared" si="164"/>
        <v>-</v>
      </c>
      <c r="BC154" s="964" t="str">
        <f t="shared" si="165"/>
        <v>-</v>
      </c>
      <c r="BD154" s="964" t="str">
        <f t="shared" si="166"/>
        <v>-</v>
      </c>
      <c r="BE154" s="964" t="str">
        <f t="shared" si="167"/>
        <v>-</v>
      </c>
      <c r="BF154" s="966" t="str">
        <f t="shared" si="168"/>
        <v>-</v>
      </c>
      <c r="BG154" s="951"/>
      <c r="BH154" s="961" t="str">
        <f t="shared" si="169"/>
        <v>Qty</v>
      </c>
      <c r="BI154" s="962" t="str">
        <f t="shared" si="170"/>
        <v>Water</v>
      </c>
      <c r="BJ154" s="963" t="str">
        <f t="shared" si="171"/>
        <v xml:space="preserve">Price cap - Variable </v>
      </c>
      <c r="BK154" s="964" t="str">
        <f t="shared" ref="BK154:BU154" si="202">IF(V154="","-",IFERROR((V154/U154-1)*(U155/U$13),"-"))</f>
        <v>-</v>
      </c>
      <c r="BL154" s="964" t="str">
        <f t="shared" si="202"/>
        <v>-</v>
      </c>
      <c r="BM154" s="964" t="str">
        <f t="shared" si="202"/>
        <v>-</v>
      </c>
      <c r="BN154" s="964" t="str">
        <f t="shared" si="202"/>
        <v>-</v>
      </c>
      <c r="BO154" s="1350" t="str">
        <f t="shared" si="202"/>
        <v>-</v>
      </c>
      <c r="BP154" s="1343" t="str">
        <f t="shared" si="202"/>
        <v>-</v>
      </c>
      <c r="BQ154" s="964" t="str">
        <f t="shared" si="202"/>
        <v>-</v>
      </c>
      <c r="BR154" s="964" t="str">
        <f t="shared" si="202"/>
        <v>-</v>
      </c>
      <c r="BS154" s="964" t="str">
        <f t="shared" si="202"/>
        <v>-</v>
      </c>
      <c r="BT154" s="965" t="str">
        <f t="shared" si="202"/>
        <v>-</v>
      </c>
      <c r="BU154" s="964" t="str">
        <f t="shared" si="202"/>
        <v>-</v>
      </c>
      <c r="BV154" s="964" t="str">
        <f>IF(AG154="","-",IFERROR((AG154/AF154-1)*(AF155/AF$13),"-"))</f>
        <v>-</v>
      </c>
      <c r="BW154" s="964" t="str">
        <f>IF(AH154="","-",IFERROR((AH154/AG154-1)*(AG155/AG$13),"-"))</f>
        <v>-</v>
      </c>
      <c r="BX154" s="964" t="str">
        <f>IF(AI154="","-",IFERROR((AI154/AH154-1)*(AH155/AH$13),"-"))</f>
        <v>-</v>
      </c>
      <c r="BY154" s="966" t="str">
        <f>IF(AJ154="","-",IFERROR((AJ154/AI154-1)*(AI155/AI$13),"-"))</f>
        <v>-</v>
      </c>
      <c r="BZ154" s="951"/>
      <c r="CA154" s="961" t="str">
        <f t="shared" si="149"/>
        <v>Qty</v>
      </c>
      <c r="CB154" s="962" t="str">
        <f t="shared" si="150"/>
        <v>Water</v>
      </c>
      <c r="CC154" s="962" t="str">
        <f t="shared" si="151"/>
        <v xml:space="preserve">Price cap - Variable </v>
      </c>
      <c r="CD154" s="967" t="str">
        <f t="shared" si="175"/>
        <v>-</v>
      </c>
      <c r="CE154" s="964" t="str">
        <f t="shared" si="175"/>
        <v>-</v>
      </c>
      <c r="CF154" s="964" t="str">
        <f t="shared" si="175"/>
        <v>-</v>
      </c>
      <c r="CG154" s="965" t="str">
        <f t="shared" si="175"/>
        <v>-</v>
      </c>
      <c r="CH154" s="964" t="str">
        <f t="shared" si="176"/>
        <v>-</v>
      </c>
      <c r="CI154" s="964" t="str">
        <f t="shared" si="176"/>
        <v>-</v>
      </c>
      <c r="CJ154" s="964" t="str">
        <f t="shared" si="176"/>
        <v>-</v>
      </c>
      <c r="CK154" s="966" t="str">
        <f t="shared" si="176"/>
        <v>-</v>
      </c>
    </row>
    <row r="155" spans="4:89" ht="12.75" thickBot="1">
      <c r="E155" s="568" t="s">
        <v>882</v>
      </c>
      <c r="F155" s="560" t="str">
        <f>+F153</f>
        <v>Water</v>
      </c>
      <c r="G155" s="561" t="str">
        <f>+G153</f>
        <v>GW</v>
      </c>
      <c r="H155" s="561" t="str">
        <f>+H153</f>
        <v>Tarago Headworks/Transfer</v>
      </c>
      <c r="I155" s="562" t="str">
        <f>+I153</f>
        <v xml:space="preserve">Price cap - Variable </v>
      </c>
      <c r="J155" s="563" t="s">
        <v>883</v>
      </c>
      <c r="K155" s="564">
        <f t="shared" ref="K155:AJ155" si="203">K153*K154/10^6</f>
        <v>0</v>
      </c>
      <c r="L155" s="565">
        <f t="shared" si="203"/>
        <v>0</v>
      </c>
      <c r="M155" s="565">
        <f t="shared" si="203"/>
        <v>0</v>
      </c>
      <c r="N155" s="564">
        <f t="shared" si="203"/>
        <v>0</v>
      </c>
      <c r="O155" s="565">
        <f t="shared" si="203"/>
        <v>0</v>
      </c>
      <c r="P155" s="565">
        <f t="shared" si="203"/>
        <v>0</v>
      </c>
      <c r="Q155" s="565">
        <f t="shared" si="203"/>
        <v>0</v>
      </c>
      <c r="R155" s="566">
        <f t="shared" si="203"/>
        <v>0</v>
      </c>
      <c r="S155" s="564">
        <f t="shared" si="203"/>
        <v>0</v>
      </c>
      <c r="T155" s="565">
        <f t="shared" si="203"/>
        <v>0</v>
      </c>
      <c r="U155" s="566">
        <f t="shared" si="203"/>
        <v>2.3798210863636367E-2</v>
      </c>
      <c r="V155" s="565">
        <f t="shared" si="203"/>
        <v>0</v>
      </c>
      <c r="W155" s="565">
        <f t="shared" si="203"/>
        <v>0</v>
      </c>
      <c r="X155" s="565">
        <f t="shared" si="203"/>
        <v>0</v>
      </c>
      <c r="Y155" s="565">
        <f t="shared" si="203"/>
        <v>0</v>
      </c>
      <c r="Z155" s="565">
        <f t="shared" si="203"/>
        <v>0</v>
      </c>
      <c r="AA155" s="564">
        <f t="shared" si="203"/>
        <v>0</v>
      </c>
      <c r="AB155" s="565">
        <f t="shared" si="203"/>
        <v>0</v>
      </c>
      <c r="AC155" s="565">
        <f t="shared" si="203"/>
        <v>0</v>
      </c>
      <c r="AD155" s="565">
        <f t="shared" si="203"/>
        <v>0</v>
      </c>
      <c r="AE155" s="566">
        <f t="shared" si="203"/>
        <v>0</v>
      </c>
      <c r="AF155" s="565">
        <f t="shared" si="203"/>
        <v>0</v>
      </c>
      <c r="AG155" s="565">
        <f>AG153*AG154/10^6</f>
        <v>0</v>
      </c>
      <c r="AH155" s="565">
        <f>AH153*AH154/10^6</f>
        <v>0</v>
      </c>
      <c r="AI155" s="565">
        <f>AI153*AI154/10^6</f>
        <v>0</v>
      </c>
      <c r="AJ155" s="566">
        <f t="shared" si="203"/>
        <v>0</v>
      </c>
      <c r="AK155" s="548"/>
      <c r="AO155" s="984" t="str">
        <f t="shared" si="152"/>
        <v>Rev</v>
      </c>
      <c r="AP155" s="985" t="str">
        <f t="shared" si="152"/>
        <v>Water</v>
      </c>
      <c r="AQ155" s="986" t="str">
        <f t="shared" si="153"/>
        <v xml:space="preserve">Price cap - Variable </v>
      </c>
      <c r="AR155" s="990">
        <f t="shared" si="154"/>
        <v>-1</v>
      </c>
      <c r="AS155" s="987" t="str">
        <f t="shared" si="155"/>
        <v>-</v>
      </c>
      <c r="AT155" s="987" t="str">
        <f t="shared" si="156"/>
        <v>-</v>
      </c>
      <c r="AU155" s="987" t="str">
        <f t="shared" si="157"/>
        <v>-</v>
      </c>
      <c r="AV155" s="1353" t="str">
        <f t="shared" si="158"/>
        <v>-</v>
      </c>
      <c r="AW155" s="1346" t="str">
        <f t="shared" si="159"/>
        <v>-</v>
      </c>
      <c r="AX155" s="987" t="str">
        <f t="shared" si="160"/>
        <v>-</v>
      </c>
      <c r="AY155" s="987" t="str">
        <f t="shared" si="161"/>
        <v>-</v>
      </c>
      <c r="AZ155" s="987" t="str">
        <f t="shared" si="162"/>
        <v>-</v>
      </c>
      <c r="BA155" s="988" t="str">
        <f t="shared" si="163"/>
        <v>-</v>
      </c>
      <c r="BB155" s="1346" t="str">
        <f t="shared" si="164"/>
        <v>-</v>
      </c>
      <c r="BC155" s="987" t="str">
        <f t="shared" si="165"/>
        <v>-</v>
      </c>
      <c r="BD155" s="987" t="str">
        <f t="shared" si="166"/>
        <v>-</v>
      </c>
      <c r="BE155" s="987" t="str">
        <f t="shared" si="167"/>
        <v>-</v>
      </c>
      <c r="BF155" s="989" t="str">
        <f t="shared" si="168"/>
        <v>-</v>
      </c>
      <c r="BG155" s="951"/>
      <c r="BH155" s="984" t="str">
        <f t="shared" si="169"/>
        <v>Rev</v>
      </c>
      <c r="BI155" s="985" t="str">
        <f t="shared" si="170"/>
        <v>Water</v>
      </c>
      <c r="BJ155" s="986" t="str">
        <f t="shared" si="171"/>
        <v xml:space="preserve">Price cap - Variable </v>
      </c>
      <c r="BK155" s="987">
        <f t="shared" ref="BK155:BU155" si="204">IF(V155="","-",IFERROR((V155/U155-1)*(U155/U$13),"-"))</f>
        <v>-1.2340984539898003E-5</v>
      </c>
      <c r="BL155" s="987" t="str">
        <f t="shared" si="204"/>
        <v>-</v>
      </c>
      <c r="BM155" s="987" t="str">
        <f t="shared" si="204"/>
        <v>-</v>
      </c>
      <c r="BN155" s="987" t="str">
        <f t="shared" si="204"/>
        <v>-</v>
      </c>
      <c r="BO155" s="1353" t="str">
        <f t="shared" si="204"/>
        <v>-</v>
      </c>
      <c r="BP155" s="1346" t="str">
        <f t="shared" si="204"/>
        <v>-</v>
      </c>
      <c r="BQ155" s="987" t="str">
        <f t="shared" si="204"/>
        <v>-</v>
      </c>
      <c r="BR155" s="987" t="str">
        <f t="shared" si="204"/>
        <v>-</v>
      </c>
      <c r="BS155" s="987" t="str">
        <f t="shared" si="204"/>
        <v>-</v>
      </c>
      <c r="BT155" s="988" t="str">
        <f t="shared" si="204"/>
        <v>-</v>
      </c>
      <c r="BU155" s="987" t="str">
        <f t="shared" si="204"/>
        <v>-</v>
      </c>
      <c r="BV155" s="987" t="str">
        <f>IF(AG155="","-",IFERROR((AG155/AF155-1)*(AF155/AF$13),"-"))</f>
        <v>-</v>
      </c>
      <c r="BW155" s="987" t="str">
        <f>IF(AH155="","-",IFERROR((AH155/AG155-1)*(AG155/AG$13),"-"))</f>
        <v>-</v>
      </c>
      <c r="BX155" s="987" t="str">
        <f>IF(AI155="","-",IFERROR((AI155/AH155-1)*(AH155/AH$13),"-"))</f>
        <v>-</v>
      </c>
      <c r="BY155" s="989" t="str">
        <f>IF(AJ155="","-",IFERROR((AJ155/AI155-1)*(AI155/AI$13),"-"))</f>
        <v>-</v>
      </c>
      <c r="BZ155" s="951"/>
      <c r="CA155" s="984" t="str">
        <f t="shared" si="149"/>
        <v>Rev</v>
      </c>
      <c r="CB155" s="985" t="str">
        <f t="shared" si="150"/>
        <v>Water</v>
      </c>
      <c r="CC155" s="985" t="str">
        <f t="shared" si="151"/>
        <v xml:space="preserve">Price cap - Variable </v>
      </c>
      <c r="CD155" s="990">
        <f t="shared" si="175"/>
        <v>-1</v>
      </c>
      <c r="CE155" s="987">
        <f t="shared" si="175"/>
        <v>-1</v>
      </c>
      <c r="CF155" s="987">
        <f t="shared" si="175"/>
        <v>-1</v>
      </c>
      <c r="CG155" s="988">
        <f t="shared" si="175"/>
        <v>-1</v>
      </c>
      <c r="CH155" s="987" t="str">
        <f t="shared" si="176"/>
        <v>-</v>
      </c>
      <c r="CI155" s="987" t="str">
        <f t="shared" si="176"/>
        <v>-</v>
      </c>
      <c r="CJ155" s="987" t="str">
        <f t="shared" si="176"/>
        <v>-</v>
      </c>
      <c r="CK155" s="989" t="str">
        <f t="shared" si="176"/>
        <v>-</v>
      </c>
    </row>
    <row r="156" spans="4:89">
      <c r="D156" s="63">
        <f>D153+1</f>
        <v>30</v>
      </c>
      <c r="E156" s="550" t="s">
        <v>857</v>
      </c>
      <c r="F156" s="595" t="s">
        <v>401</v>
      </c>
      <c r="G156" s="595" t="s">
        <v>888</v>
      </c>
      <c r="H156" s="595" t="s">
        <v>515</v>
      </c>
      <c r="I156" s="589" t="s">
        <v>939</v>
      </c>
      <c r="J156" s="589" t="s">
        <v>879</v>
      </c>
      <c r="K156" s="551"/>
      <c r="L156" s="552"/>
      <c r="M156" s="552"/>
      <c r="N156" s="551"/>
      <c r="O156" s="552"/>
      <c r="P156" s="552"/>
      <c r="Q156" s="552"/>
      <c r="R156" s="1035"/>
      <c r="S156" s="1138"/>
      <c r="T156" s="591"/>
      <c r="U156" s="1035">
        <v>1623.6675838765011</v>
      </c>
      <c r="V156" s="591">
        <v>4041.4794045801532</v>
      </c>
      <c r="W156" s="591">
        <v>4086.3306716707029</v>
      </c>
      <c r="X156" s="591"/>
      <c r="Y156" s="591"/>
      <c r="Z156" s="591"/>
      <c r="AA156" s="1138"/>
      <c r="AB156" s="591"/>
      <c r="AC156" s="591"/>
      <c r="AD156" s="591"/>
      <c r="AE156" s="1035"/>
      <c r="AF156" s="591"/>
      <c r="AG156" s="591"/>
      <c r="AH156" s="591"/>
      <c r="AI156" s="591"/>
      <c r="AJ156" s="592"/>
      <c r="AK156" s="548"/>
      <c r="AM156" s="974"/>
      <c r="AO156" s="975" t="str">
        <f t="shared" si="152"/>
        <v>Price</v>
      </c>
      <c r="AP156" s="976" t="str">
        <f t="shared" si="152"/>
        <v>Water</v>
      </c>
      <c r="AQ156" s="977" t="str">
        <f t="shared" si="153"/>
        <v>Price cap - Fixed</v>
      </c>
      <c r="AR156" s="1341">
        <f t="shared" si="154"/>
        <v>1.4891051867471137</v>
      </c>
      <c r="AS156" s="978">
        <f t="shared" si="155"/>
        <v>1.109773491353705E-2</v>
      </c>
      <c r="AT156" s="979" t="str">
        <f t="shared" si="156"/>
        <v>-</v>
      </c>
      <c r="AU156" s="979" t="str">
        <f t="shared" si="157"/>
        <v>-</v>
      </c>
      <c r="AV156" s="1352" t="str">
        <f t="shared" si="158"/>
        <v>-</v>
      </c>
      <c r="AW156" s="1345" t="str">
        <f t="shared" si="159"/>
        <v>-</v>
      </c>
      <c r="AX156" s="979" t="str">
        <f t="shared" si="160"/>
        <v>-</v>
      </c>
      <c r="AY156" s="979" t="str">
        <f t="shared" si="161"/>
        <v>-</v>
      </c>
      <c r="AZ156" s="979" t="str">
        <f t="shared" si="162"/>
        <v>-</v>
      </c>
      <c r="BA156" s="980" t="str">
        <f t="shared" si="163"/>
        <v>-</v>
      </c>
      <c r="BB156" s="1345" t="str">
        <f t="shared" si="164"/>
        <v>-</v>
      </c>
      <c r="BC156" s="979" t="str">
        <f t="shared" si="165"/>
        <v>-</v>
      </c>
      <c r="BD156" s="979" t="str">
        <f t="shared" si="166"/>
        <v>-</v>
      </c>
      <c r="BE156" s="979" t="str">
        <f t="shared" si="167"/>
        <v>-</v>
      </c>
      <c r="BF156" s="981" t="str">
        <f t="shared" si="168"/>
        <v>-</v>
      </c>
      <c r="BG156" s="951"/>
      <c r="BH156" s="975" t="str">
        <f t="shared" si="169"/>
        <v>Price</v>
      </c>
      <c r="BI156" s="976" t="str">
        <f t="shared" si="170"/>
        <v>Water</v>
      </c>
      <c r="BJ156" s="977" t="str">
        <f t="shared" si="171"/>
        <v>Price cap - Fixed</v>
      </c>
      <c r="BK156" s="978">
        <f t="shared" ref="BK156:BU156" si="205">IF(V156="","-",IFERROR((V156/U156-1)*(U158/U$13),"-"))</f>
        <v>1.5045590681077175E-5</v>
      </c>
      <c r="BL156" s="978">
        <f t="shared" si="205"/>
        <v>2.888208730263395E-7</v>
      </c>
      <c r="BM156" s="979" t="str">
        <f t="shared" si="205"/>
        <v>-</v>
      </c>
      <c r="BN156" s="979" t="str">
        <f t="shared" si="205"/>
        <v>-</v>
      </c>
      <c r="BO156" s="1352" t="str">
        <f t="shared" si="205"/>
        <v>-</v>
      </c>
      <c r="BP156" s="1345" t="str">
        <f t="shared" si="205"/>
        <v>-</v>
      </c>
      <c r="BQ156" s="979" t="str">
        <f t="shared" si="205"/>
        <v>-</v>
      </c>
      <c r="BR156" s="979" t="str">
        <f t="shared" si="205"/>
        <v>-</v>
      </c>
      <c r="BS156" s="979" t="str">
        <f t="shared" si="205"/>
        <v>-</v>
      </c>
      <c r="BT156" s="980" t="str">
        <f t="shared" si="205"/>
        <v>-</v>
      </c>
      <c r="BU156" s="979" t="str">
        <f t="shared" si="205"/>
        <v>-</v>
      </c>
      <c r="BV156" s="979" t="str">
        <f>IF(AG156="","-",IFERROR((AG156/AF156-1)*(AF158/AF$13),"-"))</f>
        <v>-</v>
      </c>
      <c r="BW156" s="979" t="str">
        <f>IF(AH156="","-",IFERROR((AH156/AG156-1)*(AG158/AG$13),"-"))</f>
        <v>-</v>
      </c>
      <c r="BX156" s="979" t="str">
        <f>IF(AI156="","-",IFERROR((AI156/AH156-1)*(AH158/AH$13),"-"))</f>
        <v>-</v>
      </c>
      <c r="BY156" s="981" t="str">
        <f>IF(AJ156="","-",IFERROR((AJ156/AI156-1)*(AI158/AI$13),"-"))</f>
        <v>-</v>
      </c>
      <c r="BZ156" s="951"/>
      <c r="CA156" s="975" t="str">
        <f t="shared" si="149"/>
        <v>Price</v>
      </c>
      <c r="CB156" s="976" t="str">
        <f t="shared" si="150"/>
        <v>Water</v>
      </c>
      <c r="CC156" s="982" t="str">
        <f t="shared" si="151"/>
        <v>Price cap - Fixed</v>
      </c>
      <c r="CD156" s="983">
        <f t="shared" si="175"/>
        <v>0.58642006299767369</v>
      </c>
      <c r="CE156" s="979" t="str">
        <f t="shared" si="175"/>
        <v>-</v>
      </c>
      <c r="CF156" s="979" t="str">
        <f t="shared" si="175"/>
        <v>-</v>
      </c>
      <c r="CG156" s="980" t="str">
        <f t="shared" si="175"/>
        <v>-</v>
      </c>
      <c r="CH156" s="979" t="str">
        <f t="shared" si="176"/>
        <v>-</v>
      </c>
      <c r="CI156" s="979" t="str">
        <f t="shared" si="176"/>
        <v>-</v>
      </c>
      <c r="CJ156" s="979" t="str">
        <f t="shared" si="176"/>
        <v>-</v>
      </c>
      <c r="CK156" s="981" t="str">
        <f t="shared" si="176"/>
        <v>-</v>
      </c>
    </row>
    <row r="157" spans="4:89">
      <c r="E157" s="567" t="s">
        <v>880</v>
      </c>
      <c r="F157" s="554" t="str">
        <f>+F156</f>
        <v>Water</v>
      </c>
      <c r="G157" s="555" t="str">
        <f>+G156</f>
        <v>GW</v>
      </c>
      <c r="H157" s="555" t="str">
        <f>+H156</f>
        <v>Headworks</v>
      </c>
      <c r="I157" s="556" t="str">
        <f>+I156</f>
        <v>Price cap - Fixed</v>
      </c>
      <c r="J157" s="590" t="s">
        <v>890</v>
      </c>
      <c r="K157" s="557"/>
      <c r="L157" s="558"/>
      <c r="M157" s="558"/>
      <c r="N157" s="557"/>
      <c r="O157" s="558"/>
      <c r="P157" s="558"/>
      <c r="Q157" s="558"/>
      <c r="R157" s="1036"/>
      <c r="S157" s="1139"/>
      <c r="T157" s="593"/>
      <c r="U157" s="1036">
        <v>12</v>
      </c>
      <c r="V157" s="593">
        <v>12</v>
      </c>
      <c r="W157" s="593">
        <v>12</v>
      </c>
      <c r="X157" s="593"/>
      <c r="Y157" s="593"/>
      <c r="Z157" s="593"/>
      <c r="AA157" s="1139"/>
      <c r="AB157" s="593"/>
      <c r="AC157" s="593"/>
      <c r="AD157" s="593"/>
      <c r="AE157" s="1036"/>
      <c r="AF157" s="593"/>
      <c r="AG157" s="593"/>
      <c r="AH157" s="593"/>
      <c r="AI157" s="593"/>
      <c r="AJ157" s="594"/>
      <c r="AK157" s="548"/>
      <c r="AO157" s="961" t="str">
        <f t="shared" si="152"/>
        <v>Qty</v>
      </c>
      <c r="AP157" s="962" t="str">
        <f t="shared" si="152"/>
        <v>Water</v>
      </c>
      <c r="AQ157" s="963" t="str">
        <f t="shared" si="153"/>
        <v>Price cap - Fixed</v>
      </c>
      <c r="AR157" s="967">
        <f t="shared" si="154"/>
        <v>0</v>
      </c>
      <c r="AS157" s="964">
        <f t="shared" si="155"/>
        <v>0</v>
      </c>
      <c r="AT157" s="964" t="str">
        <f t="shared" si="156"/>
        <v>-</v>
      </c>
      <c r="AU157" s="964" t="str">
        <f t="shared" si="157"/>
        <v>-</v>
      </c>
      <c r="AV157" s="1350" t="str">
        <f t="shared" si="158"/>
        <v>-</v>
      </c>
      <c r="AW157" s="1343" t="str">
        <f t="shared" si="159"/>
        <v>-</v>
      </c>
      <c r="AX157" s="964" t="str">
        <f t="shared" si="160"/>
        <v>-</v>
      </c>
      <c r="AY157" s="964" t="str">
        <f t="shared" si="161"/>
        <v>-</v>
      </c>
      <c r="AZ157" s="964" t="str">
        <f t="shared" si="162"/>
        <v>-</v>
      </c>
      <c r="BA157" s="965" t="str">
        <f t="shared" si="163"/>
        <v>-</v>
      </c>
      <c r="BB157" s="1343" t="str">
        <f t="shared" si="164"/>
        <v>-</v>
      </c>
      <c r="BC157" s="964" t="str">
        <f t="shared" si="165"/>
        <v>-</v>
      </c>
      <c r="BD157" s="964" t="str">
        <f t="shared" si="166"/>
        <v>-</v>
      </c>
      <c r="BE157" s="964" t="str">
        <f t="shared" si="167"/>
        <v>-</v>
      </c>
      <c r="BF157" s="966" t="str">
        <f t="shared" si="168"/>
        <v>-</v>
      </c>
      <c r="BG157" s="951"/>
      <c r="BH157" s="961" t="str">
        <f t="shared" si="169"/>
        <v>Qty</v>
      </c>
      <c r="BI157" s="962" t="str">
        <f t="shared" si="170"/>
        <v>Water</v>
      </c>
      <c r="BJ157" s="963" t="str">
        <f t="shared" si="171"/>
        <v>Price cap - Fixed</v>
      </c>
      <c r="BK157" s="964">
        <f t="shared" ref="BK157:BU157" si="206">IF(V157="","-",IFERROR((V157/U157-1)*(U158/U$13),"-"))</f>
        <v>0</v>
      </c>
      <c r="BL157" s="964">
        <f t="shared" si="206"/>
        <v>0</v>
      </c>
      <c r="BM157" s="964" t="str">
        <f t="shared" si="206"/>
        <v>-</v>
      </c>
      <c r="BN157" s="964" t="str">
        <f t="shared" si="206"/>
        <v>-</v>
      </c>
      <c r="BO157" s="1350" t="str">
        <f t="shared" si="206"/>
        <v>-</v>
      </c>
      <c r="BP157" s="1343" t="str">
        <f t="shared" si="206"/>
        <v>-</v>
      </c>
      <c r="BQ157" s="964" t="str">
        <f t="shared" si="206"/>
        <v>-</v>
      </c>
      <c r="BR157" s="964" t="str">
        <f t="shared" si="206"/>
        <v>-</v>
      </c>
      <c r="BS157" s="964" t="str">
        <f t="shared" si="206"/>
        <v>-</v>
      </c>
      <c r="BT157" s="965" t="str">
        <f t="shared" si="206"/>
        <v>-</v>
      </c>
      <c r="BU157" s="964" t="str">
        <f t="shared" si="206"/>
        <v>-</v>
      </c>
      <c r="BV157" s="964" t="str">
        <f>IF(AG157="","-",IFERROR((AG157/AF157-1)*(AF158/AF$13),"-"))</f>
        <v>-</v>
      </c>
      <c r="BW157" s="964" t="str">
        <f>IF(AH157="","-",IFERROR((AH157/AG157-1)*(AG158/AG$13),"-"))</f>
        <v>-</v>
      </c>
      <c r="BX157" s="964" t="str">
        <f>IF(AI157="","-",IFERROR((AI157/AH157-1)*(AH158/AH$13),"-"))</f>
        <v>-</v>
      </c>
      <c r="BY157" s="966" t="str">
        <f>IF(AJ157="","-",IFERROR((AJ157/AI157-1)*(AI158/AI$13),"-"))</f>
        <v>-</v>
      </c>
      <c r="BZ157" s="951"/>
      <c r="CA157" s="961" t="str">
        <f t="shared" si="149"/>
        <v>Qty</v>
      </c>
      <c r="CB157" s="962" t="str">
        <f t="shared" si="150"/>
        <v>Water</v>
      </c>
      <c r="CC157" s="962" t="str">
        <f t="shared" si="151"/>
        <v>Price cap - Fixed</v>
      </c>
      <c r="CD157" s="967">
        <f t="shared" si="175"/>
        <v>0</v>
      </c>
      <c r="CE157" s="964" t="str">
        <f t="shared" si="175"/>
        <v>-</v>
      </c>
      <c r="CF157" s="964" t="str">
        <f t="shared" si="175"/>
        <v>-</v>
      </c>
      <c r="CG157" s="965" t="str">
        <f t="shared" si="175"/>
        <v>-</v>
      </c>
      <c r="CH157" s="964" t="str">
        <f t="shared" si="176"/>
        <v>-</v>
      </c>
      <c r="CI157" s="964" t="str">
        <f t="shared" si="176"/>
        <v>-</v>
      </c>
      <c r="CJ157" s="964" t="str">
        <f t="shared" si="176"/>
        <v>-</v>
      </c>
      <c r="CK157" s="966" t="str">
        <f t="shared" si="176"/>
        <v>-</v>
      </c>
    </row>
    <row r="158" spans="4:89" ht="12.75" thickBot="1">
      <c r="E158" s="568" t="s">
        <v>882</v>
      </c>
      <c r="F158" s="560" t="str">
        <f>+F156</f>
        <v>Water</v>
      </c>
      <c r="G158" s="561" t="str">
        <f>+G156</f>
        <v>GW</v>
      </c>
      <c r="H158" s="561" t="str">
        <f>+H156</f>
        <v>Headworks</v>
      </c>
      <c r="I158" s="562" t="str">
        <f>+I156</f>
        <v>Price cap - Fixed</v>
      </c>
      <c r="J158" s="563" t="s">
        <v>883</v>
      </c>
      <c r="K158" s="564">
        <f t="shared" ref="K158:AJ158" si="207">K156*K157/10^6</f>
        <v>0</v>
      </c>
      <c r="L158" s="565">
        <f t="shared" si="207"/>
        <v>0</v>
      </c>
      <c r="M158" s="565">
        <f t="shared" si="207"/>
        <v>0</v>
      </c>
      <c r="N158" s="564">
        <f t="shared" si="207"/>
        <v>0</v>
      </c>
      <c r="O158" s="565">
        <f t="shared" si="207"/>
        <v>0</v>
      </c>
      <c r="P158" s="565">
        <f t="shared" si="207"/>
        <v>0</v>
      </c>
      <c r="Q158" s="565">
        <f t="shared" si="207"/>
        <v>0</v>
      </c>
      <c r="R158" s="566">
        <f t="shared" si="207"/>
        <v>0</v>
      </c>
      <c r="S158" s="564">
        <f t="shared" si="207"/>
        <v>0</v>
      </c>
      <c r="T158" s="565">
        <f t="shared" si="207"/>
        <v>0</v>
      </c>
      <c r="U158" s="566">
        <f t="shared" si="207"/>
        <v>1.9484011006518011E-2</v>
      </c>
      <c r="V158" s="565">
        <f t="shared" si="207"/>
        <v>4.8497752854961836E-2</v>
      </c>
      <c r="W158" s="565">
        <f t="shared" si="207"/>
        <v>4.9035968060048438E-2</v>
      </c>
      <c r="X158" s="565">
        <f t="shared" si="207"/>
        <v>0</v>
      </c>
      <c r="Y158" s="565">
        <f t="shared" si="207"/>
        <v>0</v>
      </c>
      <c r="Z158" s="565">
        <f t="shared" si="207"/>
        <v>0</v>
      </c>
      <c r="AA158" s="564">
        <f t="shared" si="207"/>
        <v>0</v>
      </c>
      <c r="AB158" s="565">
        <f t="shared" si="207"/>
        <v>0</v>
      </c>
      <c r="AC158" s="565">
        <f t="shared" si="207"/>
        <v>0</v>
      </c>
      <c r="AD158" s="565">
        <f t="shared" si="207"/>
        <v>0</v>
      </c>
      <c r="AE158" s="566">
        <f t="shared" si="207"/>
        <v>0</v>
      </c>
      <c r="AF158" s="565">
        <f t="shared" si="207"/>
        <v>0</v>
      </c>
      <c r="AG158" s="565">
        <f>AG156*AG157/10^6</f>
        <v>0</v>
      </c>
      <c r="AH158" s="565">
        <f>AH156*AH157/10^6</f>
        <v>0</v>
      </c>
      <c r="AI158" s="565">
        <f>AI156*AI157/10^6</f>
        <v>0</v>
      </c>
      <c r="AJ158" s="566">
        <f t="shared" si="207"/>
        <v>0</v>
      </c>
      <c r="AK158" s="548"/>
      <c r="AO158" s="984" t="str">
        <f t="shared" si="152"/>
        <v>Rev</v>
      </c>
      <c r="AP158" s="985" t="str">
        <f t="shared" si="152"/>
        <v>Water</v>
      </c>
      <c r="AQ158" s="986" t="str">
        <f t="shared" si="153"/>
        <v>Price cap - Fixed</v>
      </c>
      <c r="AR158" s="990">
        <f t="shared" si="154"/>
        <v>1.4891051867471137</v>
      </c>
      <c r="AS158" s="987">
        <f t="shared" si="155"/>
        <v>1.109773491353705E-2</v>
      </c>
      <c r="AT158" s="987">
        <f t="shared" si="156"/>
        <v>-1</v>
      </c>
      <c r="AU158" s="987" t="str">
        <f t="shared" si="157"/>
        <v>-</v>
      </c>
      <c r="AV158" s="1353" t="str">
        <f t="shared" si="158"/>
        <v>-</v>
      </c>
      <c r="AW158" s="1346" t="str">
        <f t="shared" si="159"/>
        <v>-</v>
      </c>
      <c r="AX158" s="987" t="str">
        <f t="shared" si="160"/>
        <v>-</v>
      </c>
      <c r="AY158" s="987" t="str">
        <f t="shared" si="161"/>
        <v>-</v>
      </c>
      <c r="AZ158" s="987" t="str">
        <f t="shared" si="162"/>
        <v>-</v>
      </c>
      <c r="BA158" s="988" t="str">
        <f t="shared" si="163"/>
        <v>-</v>
      </c>
      <c r="BB158" s="1346" t="str">
        <f t="shared" si="164"/>
        <v>-</v>
      </c>
      <c r="BC158" s="987" t="str">
        <f t="shared" si="165"/>
        <v>-</v>
      </c>
      <c r="BD158" s="987" t="str">
        <f t="shared" si="166"/>
        <v>-</v>
      </c>
      <c r="BE158" s="987" t="str">
        <f t="shared" si="167"/>
        <v>-</v>
      </c>
      <c r="BF158" s="989" t="str">
        <f t="shared" si="168"/>
        <v>-</v>
      </c>
      <c r="BG158" s="951"/>
      <c r="BH158" s="984" t="str">
        <f t="shared" si="169"/>
        <v>Rev</v>
      </c>
      <c r="BI158" s="985" t="str">
        <f t="shared" si="170"/>
        <v>Water</v>
      </c>
      <c r="BJ158" s="986" t="str">
        <f t="shared" si="171"/>
        <v>Price cap - Fixed</v>
      </c>
      <c r="BK158" s="987">
        <f t="shared" ref="BK158:BU158" si="208">IF(V158="","-",IFERROR((V158/U158-1)*(U158/U$13),"-"))</f>
        <v>1.5045590681077175E-5</v>
      </c>
      <c r="BL158" s="987">
        <f t="shared" si="208"/>
        <v>2.888208730263395E-7</v>
      </c>
      <c r="BM158" s="987">
        <f t="shared" si="208"/>
        <v>-2.6501370060643135E-5</v>
      </c>
      <c r="BN158" s="987" t="str">
        <f t="shared" si="208"/>
        <v>-</v>
      </c>
      <c r="BO158" s="1353" t="str">
        <f t="shared" si="208"/>
        <v>-</v>
      </c>
      <c r="BP158" s="1346" t="str">
        <f t="shared" si="208"/>
        <v>-</v>
      </c>
      <c r="BQ158" s="987" t="str">
        <f t="shared" si="208"/>
        <v>-</v>
      </c>
      <c r="BR158" s="987" t="str">
        <f t="shared" si="208"/>
        <v>-</v>
      </c>
      <c r="BS158" s="987" t="str">
        <f t="shared" si="208"/>
        <v>-</v>
      </c>
      <c r="BT158" s="988" t="str">
        <f t="shared" si="208"/>
        <v>-</v>
      </c>
      <c r="BU158" s="987" t="str">
        <f t="shared" si="208"/>
        <v>-</v>
      </c>
      <c r="BV158" s="987" t="str">
        <f>IF(AG158="","-",IFERROR((AG158/AF158-1)*(AF158/AF$13),"-"))</f>
        <v>-</v>
      </c>
      <c r="BW158" s="987" t="str">
        <f>IF(AH158="","-",IFERROR((AH158/AG158-1)*(AG158/AG$13),"-"))</f>
        <v>-</v>
      </c>
      <c r="BX158" s="987" t="str">
        <f>IF(AI158="","-",IFERROR((AI158/AH158-1)*(AH158/AH$13),"-"))</f>
        <v>-</v>
      </c>
      <c r="BY158" s="989" t="str">
        <f>IF(AJ158="","-",IFERROR((AJ158/AI158-1)*(AI158/AI$13),"-"))</f>
        <v>-</v>
      </c>
      <c r="BZ158" s="951"/>
      <c r="CA158" s="984" t="str">
        <f t="shared" si="149"/>
        <v>Rev</v>
      </c>
      <c r="CB158" s="985" t="str">
        <f t="shared" si="150"/>
        <v>Water</v>
      </c>
      <c r="CC158" s="985" t="str">
        <f t="shared" si="151"/>
        <v>Price cap - Fixed</v>
      </c>
      <c r="CD158" s="990">
        <f t="shared" si="175"/>
        <v>0.58642006299767391</v>
      </c>
      <c r="CE158" s="987">
        <f t="shared" si="175"/>
        <v>-1</v>
      </c>
      <c r="CF158" s="987">
        <f t="shared" si="175"/>
        <v>-1</v>
      </c>
      <c r="CG158" s="988">
        <f t="shared" si="175"/>
        <v>-1</v>
      </c>
      <c r="CH158" s="987" t="str">
        <f t="shared" si="176"/>
        <v>-</v>
      </c>
      <c r="CI158" s="987" t="str">
        <f t="shared" si="176"/>
        <v>-</v>
      </c>
      <c r="CJ158" s="987" t="str">
        <f t="shared" si="176"/>
        <v>-</v>
      </c>
      <c r="CK158" s="989" t="str">
        <f t="shared" si="176"/>
        <v>-</v>
      </c>
    </row>
    <row r="159" spans="4:89">
      <c r="D159" s="63">
        <f>D156+1</f>
        <v>31</v>
      </c>
      <c r="E159" s="550" t="s">
        <v>857</v>
      </c>
      <c r="F159" s="595" t="s">
        <v>401</v>
      </c>
      <c r="G159" s="595" t="s">
        <v>888</v>
      </c>
      <c r="H159" s="595" t="s">
        <v>942</v>
      </c>
      <c r="I159" s="589" t="s">
        <v>941</v>
      </c>
      <c r="J159" s="589" t="s">
        <v>879</v>
      </c>
      <c r="K159" s="551"/>
      <c r="L159" s="552"/>
      <c r="M159" s="552"/>
      <c r="N159" s="551"/>
      <c r="O159" s="552"/>
      <c r="P159" s="552"/>
      <c r="Q159" s="552"/>
      <c r="R159" s="1035"/>
      <c r="S159" s="1138"/>
      <c r="T159" s="591"/>
      <c r="U159" s="1035"/>
      <c r="V159" s="591"/>
      <c r="W159" s="591"/>
      <c r="X159" s="591"/>
      <c r="Y159" s="591">
        <v>102.02286026200872</v>
      </c>
      <c r="Z159" s="591">
        <v>103.05</v>
      </c>
      <c r="AA159" s="1138">
        <v>612.67954263752461</v>
      </c>
      <c r="AB159" s="591">
        <v>612.67954263752461</v>
      </c>
      <c r="AC159" s="591">
        <v>612.67954263752461</v>
      </c>
      <c r="AD159" s="591">
        <v>612.67954263752461</v>
      </c>
      <c r="AE159" s="1035">
        <v>612.67954263752461</v>
      </c>
      <c r="AF159" s="591">
        <v>640.68886724494564</v>
      </c>
      <c r="AG159" s="591">
        <v>640.68886724494564</v>
      </c>
      <c r="AH159" s="591">
        <v>640.68886724494564</v>
      </c>
      <c r="AI159" s="591">
        <v>640.68886724494564</v>
      </c>
      <c r="AJ159" s="592">
        <v>640.68886724494564</v>
      </c>
      <c r="AK159" s="548"/>
      <c r="AM159" s="974"/>
      <c r="AO159" s="975" t="str">
        <f t="shared" si="152"/>
        <v>Price</v>
      </c>
      <c r="AP159" s="976" t="str">
        <f t="shared" si="152"/>
        <v>Water</v>
      </c>
      <c r="AQ159" s="977" t="str">
        <f t="shared" si="153"/>
        <v xml:space="preserve">Price cap - Variable </v>
      </c>
      <c r="AR159" s="1341" t="str">
        <f t="shared" si="154"/>
        <v>-</v>
      </c>
      <c r="AS159" s="978" t="str">
        <f t="shared" si="155"/>
        <v>-</v>
      </c>
      <c r="AT159" s="979" t="str">
        <f t="shared" si="156"/>
        <v>-</v>
      </c>
      <c r="AU159" s="979" t="str">
        <f t="shared" si="157"/>
        <v>-</v>
      </c>
      <c r="AV159" s="1352">
        <f t="shared" si="158"/>
        <v>1.0067741046991152E-2</v>
      </c>
      <c r="AW159" s="1345">
        <f t="shared" si="159"/>
        <v>4.9454589290395399</v>
      </c>
      <c r="AX159" s="979">
        <f t="shared" si="160"/>
        <v>0</v>
      </c>
      <c r="AY159" s="979">
        <f t="shared" si="161"/>
        <v>0</v>
      </c>
      <c r="AZ159" s="979">
        <f t="shared" si="162"/>
        <v>0</v>
      </c>
      <c r="BA159" s="980">
        <f t="shared" si="163"/>
        <v>0</v>
      </c>
      <c r="BB159" s="1345">
        <f t="shared" si="164"/>
        <v>4.5716108761920893E-2</v>
      </c>
      <c r="BC159" s="979">
        <f t="shared" si="165"/>
        <v>0</v>
      </c>
      <c r="BD159" s="979">
        <f t="shared" si="166"/>
        <v>0</v>
      </c>
      <c r="BE159" s="979">
        <f t="shared" si="167"/>
        <v>0</v>
      </c>
      <c r="BF159" s="981">
        <f t="shared" si="168"/>
        <v>0</v>
      </c>
      <c r="BG159" s="951"/>
      <c r="BH159" s="975" t="str">
        <f t="shared" si="169"/>
        <v>Price</v>
      </c>
      <c r="BI159" s="976" t="str">
        <f t="shared" si="170"/>
        <v>Water</v>
      </c>
      <c r="BJ159" s="977" t="str">
        <f t="shared" si="171"/>
        <v xml:space="preserve">Price cap - Variable </v>
      </c>
      <c r="BK159" s="978" t="str">
        <f t="shared" ref="BK159:BU159" si="209">IF(V159="","-",IFERROR((V159/U159-1)*(U161/U$13),"-"))</f>
        <v>-</v>
      </c>
      <c r="BL159" s="978" t="str">
        <f t="shared" si="209"/>
        <v>-</v>
      </c>
      <c r="BM159" s="979" t="str">
        <f t="shared" si="209"/>
        <v>-</v>
      </c>
      <c r="BN159" s="979" t="str">
        <f t="shared" si="209"/>
        <v>-</v>
      </c>
      <c r="BO159" s="1352">
        <f t="shared" si="209"/>
        <v>3.0084188587291552E-7</v>
      </c>
      <c r="BP159" s="1345">
        <f t="shared" si="209"/>
        <v>1.4094450631604258E-4</v>
      </c>
      <c r="BQ159" s="979">
        <f t="shared" si="209"/>
        <v>0</v>
      </c>
      <c r="BR159" s="979">
        <f t="shared" si="209"/>
        <v>0</v>
      </c>
      <c r="BS159" s="979">
        <f t="shared" si="209"/>
        <v>0</v>
      </c>
      <c r="BT159" s="980">
        <f t="shared" si="209"/>
        <v>0</v>
      </c>
      <c r="BU159" s="979">
        <f t="shared" si="209"/>
        <v>1.1838818785741947E-5</v>
      </c>
      <c r="BV159" s="979">
        <f>IF(AG159="","-",IFERROR((AG159/AF159-1)*(AF161/AF$13),"-"))</f>
        <v>0</v>
      </c>
      <c r="BW159" s="979">
        <f>IF(AH159="","-",IFERROR((AH159/AG159-1)*(AG161/AG$13),"-"))</f>
        <v>0</v>
      </c>
      <c r="BX159" s="979">
        <f>IF(AI159="","-",IFERROR((AI159/AH159-1)*(AH161/AH$13),"-"))</f>
        <v>0</v>
      </c>
      <c r="BY159" s="981">
        <f>IF(AJ159="","-",IFERROR((AJ159/AI159-1)*(AI161/AI$13),"-"))</f>
        <v>0</v>
      </c>
      <c r="BZ159" s="951"/>
      <c r="CA159" s="975" t="str">
        <f t="shared" si="149"/>
        <v>Price</v>
      </c>
      <c r="CB159" s="976" t="str">
        <f t="shared" si="150"/>
        <v>Water</v>
      </c>
      <c r="CC159" s="982" t="str">
        <f t="shared" si="151"/>
        <v xml:space="preserve">Price cap - Variable </v>
      </c>
      <c r="CD159" s="983" t="str">
        <f t="shared" si="175"/>
        <v>-</v>
      </c>
      <c r="CE159" s="979" t="str">
        <f t="shared" si="175"/>
        <v>-</v>
      </c>
      <c r="CF159" s="979" t="str">
        <f t="shared" si="175"/>
        <v>-</v>
      </c>
      <c r="CG159" s="980" t="str">
        <f t="shared" si="175"/>
        <v>-</v>
      </c>
      <c r="CH159" s="979">
        <f t="shared" si="176"/>
        <v>1.4383311770634317</v>
      </c>
      <c r="CI159" s="979">
        <f t="shared" si="176"/>
        <v>0.81159784109641531</v>
      </c>
      <c r="CJ159" s="979">
        <f t="shared" si="176"/>
        <v>0.56151566660838581</v>
      </c>
      <c r="CK159" s="981">
        <f t="shared" si="176"/>
        <v>0.42835801687677422</v>
      </c>
    </row>
    <row r="160" spans="4:89">
      <c r="E160" s="567" t="s">
        <v>880</v>
      </c>
      <c r="F160" s="554" t="str">
        <f>+F159</f>
        <v>Water</v>
      </c>
      <c r="G160" s="555" t="str">
        <f>+G159</f>
        <v>GW</v>
      </c>
      <c r="H160" s="555" t="str">
        <f>+H159</f>
        <v xml:space="preserve">Transfer-Raw Water </v>
      </c>
      <c r="I160" s="556" t="str">
        <f>+I159</f>
        <v xml:space="preserve">Price cap - Variable </v>
      </c>
      <c r="J160" s="590" t="s">
        <v>887</v>
      </c>
      <c r="K160" s="557"/>
      <c r="L160" s="558"/>
      <c r="M160" s="558"/>
      <c r="N160" s="557"/>
      <c r="O160" s="558"/>
      <c r="P160" s="558"/>
      <c r="Q160" s="558"/>
      <c r="R160" s="1036"/>
      <c r="S160" s="1139"/>
      <c r="T160" s="593"/>
      <c r="U160" s="1036"/>
      <c r="V160" s="593"/>
      <c r="W160" s="593"/>
      <c r="X160" s="593"/>
      <c r="Y160" s="593">
        <v>552</v>
      </c>
      <c r="Z160" s="593">
        <v>521</v>
      </c>
      <c r="AA160" s="1139">
        <v>525</v>
      </c>
      <c r="AB160" s="593">
        <v>510</v>
      </c>
      <c r="AC160" s="593">
        <v>723</v>
      </c>
      <c r="AD160" s="593">
        <v>823</v>
      </c>
      <c r="AE160" s="1036">
        <v>880</v>
      </c>
      <c r="AF160" s="593">
        <v>894</v>
      </c>
      <c r="AG160" s="593">
        <v>880</v>
      </c>
      <c r="AH160" s="593">
        <v>978</v>
      </c>
      <c r="AI160" s="593">
        <v>1145</v>
      </c>
      <c r="AJ160" s="594">
        <v>1170</v>
      </c>
      <c r="AK160" s="548"/>
      <c r="AO160" s="961" t="str">
        <f t="shared" si="152"/>
        <v>Qty</v>
      </c>
      <c r="AP160" s="962" t="str">
        <f t="shared" si="152"/>
        <v>Water</v>
      </c>
      <c r="AQ160" s="963" t="str">
        <f t="shared" si="153"/>
        <v xml:space="preserve">Price cap - Variable </v>
      </c>
      <c r="AR160" s="967" t="str">
        <f t="shared" si="154"/>
        <v>-</v>
      </c>
      <c r="AS160" s="964" t="str">
        <f t="shared" si="155"/>
        <v>-</v>
      </c>
      <c r="AT160" s="964" t="str">
        <f t="shared" si="156"/>
        <v>-</v>
      </c>
      <c r="AU160" s="964" t="str">
        <f t="shared" si="157"/>
        <v>-</v>
      </c>
      <c r="AV160" s="1350">
        <f t="shared" si="158"/>
        <v>-5.61594202898551E-2</v>
      </c>
      <c r="AW160" s="1343">
        <f t="shared" si="159"/>
        <v>7.6775431861804133E-3</v>
      </c>
      <c r="AX160" s="964">
        <f t="shared" si="160"/>
        <v>-2.8571428571428581E-2</v>
      </c>
      <c r="AY160" s="964">
        <f t="shared" si="161"/>
        <v>0.41764705882352948</v>
      </c>
      <c r="AZ160" s="964">
        <f t="shared" si="162"/>
        <v>0.13831258644536648</v>
      </c>
      <c r="BA160" s="965">
        <f t="shared" si="163"/>
        <v>6.925880923450789E-2</v>
      </c>
      <c r="BB160" s="1343">
        <f t="shared" si="164"/>
        <v>1.5909090909090873E-2</v>
      </c>
      <c r="BC160" s="964">
        <f t="shared" si="165"/>
        <v>-1.5659955257270708E-2</v>
      </c>
      <c r="BD160" s="964">
        <f t="shared" si="166"/>
        <v>0.11136363636363633</v>
      </c>
      <c r="BE160" s="964">
        <f t="shared" si="167"/>
        <v>0.17075664621676889</v>
      </c>
      <c r="BF160" s="966">
        <f t="shared" si="168"/>
        <v>2.1834061135371119E-2</v>
      </c>
      <c r="BG160" s="951"/>
      <c r="BH160" s="961" t="str">
        <f t="shared" si="169"/>
        <v>Qty</v>
      </c>
      <c r="BI160" s="962" t="str">
        <f t="shared" si="170"/>
        <v>Water</v>
      </c>
      <c r="BJ160" s="963" t="str">
        <f t="shared" si="171"/>
        <v xml:space="preserve">Price cap - Variable </v>
      </c>
      <c r="BK160" s="964" t="str">
        <f t="shared" ref="BK160:BU160" si="210">IF(V160="","-",IFERROR((V160/U160-1)*(U161/U$13),"-"))</f>
        <v>-</v>
      </c>
      <c r="BL160" s="964" t="str">
        <f t="shared" si="210"/>
        <v>-</v>
      </c>
      <c r="BM160" s="964" t="str">
        <f t="shared" si="210"/>
        <v>-</v>
      </c>
      <c r="BN160" s="964" t="str">
        <f t="shared" si="210"/>
        <v>-</v>
      </c>
      <c r="BO160" s="1350">
        <f t="shared" si="210"/>
        <v>-1.6781426767605389E-6</v>
      </c>
      <c r="BP160" s="1343">
        <f t="shared" si="210"/>
        <v>2.1880831478393281E-7</v>
      </c>
      <c r="BQ160" s="964">
        <f t="shared" si="210"/>
        <v>-4.8541045282391624E-6</v>
      </c>
      <c r="BR160" s="964">
        <f t="shared" si="210"/>
        <v>6.6356565528068873E-5</v>
      </c>
      <c r="BS160" s="964">
        <f t="shared" si="210"/>
        <v>3.0563973703411152E-5</v>
      </c>
      <c r="BT160" s="965">
        <f t="shared" si="210"/>
        <v>1.7096104500893372E-5</v>
      </c>
      <c r="BU160" s="964">
        <f t="shared" si="210"/>
        <v>4.1198791721202384E-6</v>
      </c>
      <c r="BV160" s="964">
        <f>IF(AG160="","-",IFERROR((AG160/AF160-1)*(AF161/AF$13),"-"))</f>
        <v>-4.114939782042858E-6</v>
      </c>
      <c r="BW160" s="964">
        <f>IF(AH160="","-",IFERROR((AH160/AG160-1)*(AG161/AG$13),"-"))</f>
        <v>2.8406694877353942E-5</v>
      </c>
      <c r="BX160" s="964">
        <f>IF(AI160="","-",IFERROR((AI160/AH160-1)*(AH161/AH$13),"-"))</f>
        <v>4.7708552012055611E-5</v>
      </c>
      <c r="BY160" s="966">
        <f>IF(AJ160="","-",IFERROR((AJ160/AI160-1)*(AI161/AI$13),"-"))</f>
        <v>7.0211229128724131E-6</v>
      </c>
      <c r="BZ160" s="951"/>
      <c r="CA160" s="961" t="str">
        <f t="shared" si="149"/>
        <v>Qty</v>
      </c>
      <c r="CB160" s="962" t="str">
        <f t="shared" si="150"/>
        <v>Water</v>
      </c>
      <c r="CC160" s="962" t="str">
        <f t="shared" si="151"/>
        <v xml:space="preserve">Price cap - Variable </v>
      </c>
      <c r="CD160" s="967" t="str">
        <f t="shared" si="175"/>
        <v>-</v>
      </c>
      <c r="CE160" s="964" t="str">
        <f t="shared" si="175"/>
        <v>-</v>
      </c>
      <c r="CF160" s="964" t="str">
        <f t="shared" si="175"/>
        <v>-</v>
      </c>
      <c r="CG160" s="965" t="str">
        <f t="shared" si="175"/>
        <v>-</v>
      </c>
      <c r="CH160" s="964">
        <f t="shared" si="176"/>
        <v>-1.0612939119373888E-2</v>
      </c>
      <c r="CI160" s="964">
        <f t="shared" si="176"/>
        <v>0.11540740832009222</v>
      </c>
      <c r="CJ160" s="964">
        <f t="shared" si="176"/>
        <v>0.12109012713631806</v>
      </c>
      <c r="CK160" s="966">
        <f t="shared" si="176"/>
        <v>0.11052666208294615</v>
      </c>
    </row>
    <row r="161" spans="4:89" ht="12.75" thickBot="1">
      <c r="E161" s="568" t="s">
        <v>882</v>
      </c>
      <c r="F161" s="560" t="str">
        <f>+F159</f>
        <v>Water</v>
      </c>
      <c r="G161" s="561" t="str">
        <f>+G159</f>
        <v>GW</v>
      </c>
      <c r="H161" s="561" t="str">
        <f>+H159</f>
        <v xml:space="preserve">Transfer-Raw Water </v>
      </c>
      <c r="I161" s="562" t="str">
        <f>+I159</f>
        <v xml:space="preserve">Price cap - Variable </v>
      </c>
      <c r="J161" s="563" t="s">
        <v>883</v>
      </c>
      <c r="K161" s="564">
        <f t="shared" ref="K161:AJ161" si="211">K159*K160/10^6</f>
        <v>0</v>
      </c>
      <c r="L161" s="565">
        <f t="shared" si="211"/>
        <v>0</v>
      </c>
      <c r="M161" s="565">
        <f t="shared" si="211"/>
        <v>0</v>
      </c>
      <c r="N161" s="564">
        <f t="shared" si="211"/>
        <v>0</v>
      </c>
      <c r="O161" s="565">
        <f t="shared" si="211"/>
        <v>0</v>
      </c>
      <c r="P161" s="565">
        <f t="shared" si="211"/>
        <v>0</v>
      </c>
      <c r="Q161" s="565">
        <f t="shared" si="211"/>
        <v>0</v>
      </c>
      <c r="R161" s="566">
        <f t="shared" si="211"/>
        <v>0</v>
      </c>
      <c r="S161" s="564">
        <f t="shared" si="211"/>
        <v>0</v>
      </c>
      <c r="T161" s="565">
        <f t="shared" si="211"/>
        <v>0</v>
      </c>
      <c r="U161" s="566">
        <f t="shared" si="211"/>
        <v>0</v>
      </c>
      <c r="V161" s="565">
        <f t="shared" si="211"/>
        <v>0</v>
      </c>
      <c r="W161" s="565">
        <f t="shared" si="211"/>
        <v>0</v>
      </c>
      <c r="X161" s="565">
        <f t="shared" si="211"/>
        <v>0</v>
      </c>
      <c r="Y161" s="565">
        <f t="shared" si="211"/>
        <v>5.6316618864628812E-2</v>
      </c>
      <c r="Z161" s="565">
        <f t="shared" si="211"/>
        <v>5.3689049999999995E-2</v>
      </c>
      <c r="AA161" s="564">
        <f t="shared" si="211"/>
        <v>0.32165675988470044</v>
      </c>
      <c r="AB161" s="565">
        <f t="shared" si="211"/>
        <v>0.31246656674513756</v>
      </c>
      <c r="AC161" s="565">
        <f t="shared" si="211"/>
        <v>0.44296730932693024</v>
      </c>
      <c r="AD161" s="565">
        <f t="shared" si="211"/>
        <v>0.50423526359068271</v>
      </c>
      <c r="AE161" s="566">
        <f t="shared" si="211"/>
        <v>0.53915799752102167</v>
      </c>
      <c r="AF161" s="565">
        <f t="shared" si="211"/>
        <v>0.57277584731698139</v>
      </c>
      <c r="AG161" s="565">
        <f>AG159*AG160/10^6</f>
        <v>0.56380620317555219</v>
      </c>
      <c r="AH161" s="565">
        <f>AH159*AH160/10^6</f>
        <v>0.62659371216555682</v>
      </c>
      <c r="AI161" s="565">
        <f>AI159*AI160/10^6</f>
        <v>0.73358875299546278</v>
      </c>
      <c r="AJ161" s="566">
        <f t="shared" si="211"/>
        <v>0.74960597467658641</v>
      </c>
      <c r="AK161" s="548"/>
      <c r="AO161" s="984" t="str">
        <f t="shared" si="152"/>
        <v>Rev</v>
      </c>
      <c r="AP161" s="985" t="str">
        <f t="shared" si="152"/>
        <v>Water</v>
      </c>
      <c r="AQ161" s="986" t="str">
        <f t="shared" si="153"/>
        <v xml:space="preserve">Price cap - Variable </v>
      </c>
      <c r="AR161" s="990" t="str">
        <f t="shared" si="154"/>
        <v>-</v>
      </c>
      <c r="AS161" s="987" t="str">
        <f t="shared" si="155"/>
        <v>-</v>
      </c>
      <c r="AT161" s="987" t="str">
        <f t="shared" si="156"/>
        <v>-</v>
      </c>
      <c r="AU161" s="987" t="str">
        <f t="shared" si="157"/>
        <v>-</v>
      </c>
      <c r="AV161" s="1353">
        <f t="shared" si="158"/>
        <v>-4.6657077743691322E-2</v>
      </c>
      <c r="AW161" s="1346">
        <f t="shared" si="159"/>
        <v>4.9911054467289038</v>
      </c>
      <c r="AX161" s="987">
        <f t="shared" si="160"/>
        <v>-2.8571428571428581E-2</v>
      </c>
      <c r="AY161" s="987">
        <f t="shared" si="161"/>
        <v>0.41764705882352926</v>
      </c>
      <c r="AZ161" s="987">
        <f t="shared" si="162"/>
        <v>0.13831258644536648</v>
      </c>
      <c r="BA161" s="988">
        <f t="shared" si="163"/>
        <v>6.9258809234508112E-2</v>
      </c>
      <c r="BB161" s="1346">
        <f t="shared" si="164"/>
        <v>6.2352501401315097E-2</v>
      </c>
      <c r="BC161" s="987">
        <f t="shared" si="165"/>
        <v>-1.5659955257270597E-2</v>
      </c>
      <c r="BD161" s="987">
        <f t="shared" si="166"/>
        <v>0.11136363636363633</v>
      </c>
      <c r="BE161" s="987">
        <f t="shared" si="167"/>
        <v>0.17075664621676889</v>
      </c>
      <c r="BF161" s="989">
        <f t="shared" si="168"/>
        <v>2.1834061135371119E-2</v>
      </c>
      <c r="BG161" s="951"/>
      <c r="BH161" s="984" t="str">
        <f t="shared" si="169"/>
        <v>Rev</v>
      </c>
      <c r="BI161" s="985" t="str">
        <f t="shared" si="170"/>
        <v>Water</v>
      </c>
      <c r="BJ161" s="986" t="str">
        <f t="shared" si="171"/>
        <v xml:space="preserve">Price cap - Variable </v>
      </c>
      <c r="BK161" s="987" t="str">
        <f t="shared" ref="BK161:BU161" si="212">IF(V161="","-",IFERROR((V161/U161-1)*(U161/U$13),"-"))</f>
        <v>-</v>
      </c>
      <c r="BL161" s="987" t="str">
        <f t="shared" si="212"/>
        <v>-</v>
      </c>
      <c r="BM161" s="987" t="str">
        <f t="shared" si="212"/>
        <v>-</v>
      </c>
      <c r="BN161" s="987" t="str">
        <f t="shared" si="212"/>
        <v>-</v>
      </c>
      <c r="BO161" s="1353">
        <f t="shared" si="212"/>
        <v>-1.3941958967971523E-6</v>
      </c>
      <c r="BP161" s="1346">
        <f t="shared" si="212"/>
        <v>1.4224542216492283E-4</v>
      </c>
      <c r="BQ161" s="987">
        <f t="shared" si="212"/>
        <v>-4.8541045282391624E-6</v>
      </c>
      <c r="BR161" s="987">
        <f t="shared" si="212"/>
        <v>6.6356565528068832E-5</v>
      </c>
      <c r="BS161" s="987">
        <f t="shared" si="212"/>
        <v>3.0563973703411152E-5</v>
      </c>
      <c r="BT161" s="988">
        <f t="shared" si="212"/>
        <v>1.7096104500893426E-5</v>
      </c>
      <c r="BU161" s="987">
        <f t="shared" si="212"/>
        <v>1.6147042802180819E-5</v>
      </c>
      <c r="BV161" s="987">
        <f>IF(AG161="","-",IFERROR((AG161/AF161-1)*(AF161/AF$13),"-"))</f>
        <v>-4.1149397820428284E-6</v>
      </c>
      <c r="BW161" s="987">
        <f>IF(AH161="","-",IFERROR((AH161/AG161-1)*(AG161/AG$13),"-"))</f>
        <v>2.8406694877353942E-5</v>
      </c>
      <c r="BX161" s="987">
        <f>IF(AI161="","-",IFERROR((AI161/AH161-1)*(AH161/AH$13),"-"))</f>
        <v>4.7708552012055611E-5</v>
      </c>
      <c r="BY161" s="989">
        <f>IF(AJ161="","-",IFERROR((AJ161/AI161-1)*(AI161/AI$13),"-"))</f>
        <v>7.0211229128724131E-6</v>
      </c>
      <c r="BZ161" s="951"/>
      <c r="CA161" s="984" t="str">
        <f t="shared" si="149"/>
        <v>Rev</v>
      </c>
      <c r="CB161" s="985" t="str">
        <f t="shared" si="150"/>
        <v>Water</v>
      </c>
      <c r="CC161" s="985" t="str">
        <f t="shared" si="151"/>
        <v xml:space="preserve">Price cap - Variable </v>
      </c>
      <c r="CD161" s="990" t="str">
        <f t="shared" si="175"/>
        <v>-</v>
      </c>
      <c r="CE161" s="987" t="str">
        <f t="shared" si="175"/>
        <v>-</v>
      </c>
      <c r="CF161" s="987" t="str">
        <f t="shared" si="175"/>
        <v>-</v>
      </c>
      <c r="CG161" s="988" t="str">
        <f t="shared" si="175"/>
        <v>-</v>
      </c>
      <c r="CH161" s="987">
        <f t="shared" si="176"/>
        <v>1.4124533167283864</v>
      </c>
      <c r="CI161" s="987">
        <f t="shared" si="176"/>
        <v>1.0206696528556267</v>
      </c>
      <c r="CJ161" s="987">
        <f t="shared" si="176"/>
        <v>0.75059979720334757</v>
      </c>
      <c r="CK161" s="989">
        <f t="shared" si="176"/>
        <v>0.58622966074158045</v>
      </c>
    </row>
    <row r="162" spans="4:89">
      <c r="D162" s="63">
        <f>D159+1</f>
        <v>32</v>
      </c>
      <c r="E162" s="550" t="s">
        <v>857</v>
      </c>
      <c r="F162" s="595" t="s">
        <v>401</v>
      </c>
      <c r="G162" s="595" t="s">
        <v>92</v>
      </c>
      <c r="H162" s="595" t="s">
        <v>942</v>
      </c>
      <c r="I162" s="589" t="s">
        <v>941</v>
      </c>
      <c r="J162" s="589" t="s">
        <v>879</v>
      </c>
      <c r="K162" s="551"/>
      <c r="L162" s="552"/>
      <c r="M162" s="552"/>
      <c r="N162" s="551"/>
      <c r="O162" s="552"/>
      <c r="P162" s="552"/>
      <c r="Q162" s="552"/>
      <c r="R162" s="1035"/>
      <c r="S162" s="1138"/>
      <c r="T162" s="591"/>
      <c r="U162" s="1035"/>
      <c r="V162" s="591"/>
      <c r="W162" s="591"/>
      <c r="X162" s="591"/>
      <c r="Y162" s="591"/>
      <c r="Z162" s="591"/>
      <c r="AA162" s="1138">
        <v>612.67954263752461</v>
      </c>
      <c r="AB162" s="591">
        <v>612.67954263752461</v>
      </c>
      <c r="AC162" s="591">
        <v>612.67954263752461</v>
      </c>
      <c r="AD162" s="591">
        <v>612.67954263752461</v>
      </c>
      <c r="AE162" s="1035">
        <v>612.67954263752461</v>
      </c>
      <c r="AF162" s="591">
        <v>640.68886724494564</v>
      </c>
      <c r="AG162" s="591">
        <v>640.68886724494564</v>
      </c>
      <c r="AH162" s="591">
        <v>640.68886724494564</v>
      </c>
      <c r="AI162" s="591">
        <v>640.68886724494564</v>
      </c>
      <c r="AJ162" s="592">
        <v>640.68886724494564</v>
      </c>
      <c r="AK162" s="548"/>
      <c r="AM162" s="974"/>
      <c r="AO162" s="975" t="str">
        <f t="shared" si="152"/>
        <v>Price</v>
      </c>
      <c r="AP162" s="976" t="str">
        <f t="shared" si="152"/>
        <v>Water</v>
      </c>
      <c r="AQ162" s="977" t="str">
        <f t="shared" si="153"/>
        <v xml:space="preserve">Price cap - Variable </v>
      </c>
      <c r="AR162" s="1341" t="str">
        <f t="shared" si="154"/>
        <v>-</v>
      </c>
      <c r="AS162" s="978" t="str">
        <f t="shared" si="155"/>
        <v>-</v>
      </c>
      <c r="AT162" s="979" t="str">
        <f t="shared" si="156"/>
        <v>-</v>
      </c>
      <c r="AU162" s="979" t="str">
        <f t="shared" si="157"/>
        <v>-</v>
      </c>
      <c r="AV162" s="1352" t="str">
        <f t="shared" si="158"/>
        <v>-</v>
      </c>
      <c r="AW162" s="1345" t="str">
        <f t="shared" si="159"/>
        <v>-</v>
      </c>
      <c r="AX162" s="979">
        <f t="shared" si="160"/>
        <v>0</v>
      </c>
      <c r="AY162" s="979">
        <f t="shared" si="161"/>
        <v>0</v>
      </c>
      <c r="AZ162" s="979">
        <f t="shared" si="162"/>
        <v>0</v>
      </c>
      <c r="BA162" s="980">
        <f t="shared" si="163"/>
        <v>0</v>
      </c>
      <c r="BB162" s="1345">
        <f t="shared" si="164"/>
        <v>4.5716108761920893E-2</v>
      </c>
      <c r="BC162" s="979">
        <f t="shared" si="165"/>
        <v>0</v>
      </c>
      <c r="BD162" s="979">
        <f t="shared" si="166"/>
        <v>0</v>
      </c>
      <c r="BE162" s="979">
        <f t="shared" si="167"/>
        <v>0</v>
      </c>
      <c r="BF162" s="981">
        <f t="shared" si="168"/>
        <v>0</v>
      </c>
      <c r="BG162" s="951"/>
      <c r="BH162" s="975" t="str">
        <f t="shared" si="169"/>
        <v>Price</v>
      </c>
      <c r="BI162" s="976" t="str">
        <f t="shared" si="170"/>
        <v>Water</v>
      </c>
      <c r="BJ162" s="977" t="str">
        <f t="shared" si="171"/>
        <v xml:space="preserve">Price cap - Variable </v>
      </c>
      <c r="BK162" s="978" t="str">
        <f t="shared" ref="BK162:BU162" si="213">IF(V162="","-",IFERROR((V162/U162-1)*(U164/U$13),"-"))</f>
        <v>-</v>
      </c>
      <c r="BL162" s="978" t="str">
        <f t="shared" si="213"/>
        <v>-</v>
      </c>
      <c r="BM162" s="979" t="str">
        <f t="shared" si="213"/>
        <v>-</v>
      </c>
      <c r="BN162" s="979" t="str">
        <f t="shared" si="213"/>
        <v>-</v>
      </c>
      <c r="BO162" s="1352" t="str">
        <f t="shared" si="213"/>
        <v>-</v>
      </c>
      <c r="BP162" s="1345" t="str">
        <f t="shared" si="213"/>
        <v>-</v>
      </c>
      <c r="BQ162" s="979">
        <f t="shared" si="213"/>
        <v>0</v>
      </c>
      <c r="BR162" s="979">
        <f t="shared" si="213"/>
        <v>0</v>
      </c>
      <c r="BS162" s="979">
        <f t="shared" si="213"/>
        <v>0</v>
      </c>
      <c r="BT162" s="980">
        <f t="shared" si="213"/>
        <v>0</v>
      </c>
      <c r="BU162" s="979">
        <f t="shared" si="213"/>
        <v>8.8791140893064599E-7</v>
      </c>
      <c r="BV162" s="979">
        <f>IF(AG162="","-",IFERROR((AG162/AF162-1)*(AF164/AF$13),"-"))</f>
        <v>0</v>
      </c>
      <c r="BW162" s="979">
        <f>IF(AH162="","-",IFERROR((AH162/AG162-1)*(AG164/AG$13),"-"))</f>
        <v>0</v>
      </c>
      <c r="BX162" s="979">
        <f>IF(AI162="","-",IFERROR((AI162/AH162-1)*(AH164/AH$13),"-"))</f>
        <v>0</v>
      </c>
      <c r="BY162" s="981">
        <f>IF(AJ162="","-",IFERROR((AJ162/AI162-1)*(AI164/AI$13),"-"))</f>
        <v>0</v>
      </c>
      <c r="BZ162" s="951"/>
      <c r="CA162" s="975" t="str">
        <f t="shared" si="149"/>
        <v>Price</v>
      </c>
      <c r="CB162" s="976" t="str">
        <f t="shared" si="150"/>
        <v>Water</v>
      </c>
      <c r="CC162" s="982" t="str">
        <f t="shared" si="151"/>
        <v xml:space="preserve">Price cap - Variable </v>
      </c>
      <c r="CD162" s="983" t="str">
        <f t="shared" si="175"/>
        <v>-</v>
      </c>
      <c r="CE162" s="979" t="str">
        <f t="shared" si="175"/>
        <v>-</v>
      </c>
      <c r="CF162" s="979" t="str">
        <f t="shared" si="175"/>
        <v>-</v>
      </c>
      <c r="CG162" s="980" t="str">
        <f t="shared" si="175"/>
        <v>-</v>
      </c>
      <c r="CH162" s="979" t="str">
        <f t="shared" si="176"/>
        <v>-</v>
      </c>
      <c r="CI162" s="979" t="str">
        <f t="shared" si="176"/>
        <v>-</v>
      </c>
      <c r="CJ162" s="979" t="str">
        <f t="shared" si="176"/>
        <v>-</v>
      </c>
      <c r="CK162" s="981" t="str">
        <f t="shared" si="176"/>
        <v>-</v>
      </c>
    </row>
    <row r="163" spans="4:89">
      <c r="E163" s="567" t="s">
        <v>880</v>
      </c>
      <c r="F163" s="554" t="str">
        <f>+F162</f>
        <v>Water</v>
      </c>
      <c r="G163" s="555" t="str">
        <f>+G162</f>
        <v>SEW</v>
      </c>
      <c r="H163" s="555" t="str">
        <f>+H162</f>
        <v xml:space="preserve">Transfer-Raw Water </v>
      </c>
      <c r="I163" s="556" t="str">
        <f>+I162</f>
        <v xml:space="preserve">Price cap - Variable </v>
      </c>
      <c r="J163" s="590" t="s">
        <v>887</v>
      </c>
      <c r="K163" s="557"/>
      <c r="L163" s="558"/>
      <c r="M163" s="558"/>
      <c r="N163" s="557"/>
      <c r="O163" s="558"/>
      <c r="P163" s="558"/>
      <c r="Q163" s="558"/>
      <c r="R163" s="1036"/>
      <c r="S163" s="1139"/>
      <c r="T163" s="593"/>
      <c r="U163" s="1036"/>
      <c r="V163" s="593"/>
      <c r="W163" s="593"/>
      <c r="X163" s="593"/>
      <c r="Y163" s="593"/>
      <c r="Z163" s="593"/>
      <c r="AA163" s="1139">
        <v>66</v>
      </c>
      <c r="AB163" s="593">
        <v>66</v>
      </c>
      <c r="AC163" s="593">
        <v>66</v>
      </c>
      <c r="AD163" s="593">
        <v>66</v>
      </c>
      <c r="AE163" s="1036">
        <v>66</v>
      </c>
      <c r="AF163" s="593">
        <v>66</v>
      </c>
      <c r="AG163" s="593">
        <v>66</v>
      </c>
      <c r="AH163" s="593">
        <v>66</v>
      </c>
      <c r="AI163" s="593">
        <v>66</v>
      </c>
      <c r="AJ163" s="594">
        <v>66</v>
      </c>
      <c r="AK163" s="548"/>
      <c r="AO163" s="961" t="str">
        <f t="shared" si="152"/>
        <v>Qty</v>
      </c>
      <c r="AP163" s="962" t="str">
        <f t="shared" si="152"/>
        <v>Water</v>
      </c>
      <c r="AQ163" s="963" t="str">
        <f t="shared" si="153"/>
        <v xml:space="preserve">Price cap - Variable </v>
      </c>
      <c r="AR163" s="967" t="str">
        <f t="shared" si="154"/>
        <v>-</v>
      </c>
      <c r="AS163" s="964" t="str">
        <f t="shared" si="155"/>
        <v>-</v>
      </c>
      <c r="AT163" s="964" t="str">
        <f t="shared" si="156"/>
        <v>-</v>
      </c>
      <c r="AU163" s="964" t="str">
        <f t="shared" si="157"/>
        <v>-</v>
      </c>
      <c r="AV163" s="1350" t="str">
        <f t="shared" si="158"/>
        <v>-</v>
      </c>
      <c r="AW163" s="1343" t="str">
        <f t="shared" si="159"/>
        <v>-</v>
      </c>
      <c r="AX163" s="964">
        <f t="shared" si="160"/>
        <v>0</v>
      </c>
      <c r="AY163" s="964">
        <f t="shared" si="161"/>
        <v>0</v>
      </c>
      <c r="AZ163" s="964">
        <f t="shared" si="162"/>
        <v>0</v>
      </c>
      <c r="BA163" s="965">
        <f t="shared" si="163"/>
        <v>0</v>
      </c>
      <c r="BB163" s="1343">
        <f t="shared" si="164"/>
        <v>0</v>
      </c>
      <c r="BC163" s="964">
        <f t="shared" si="165"/>
        <v>0</v>
      </c>
      <c r="BD163" s="964">
        <f t="shared" si="166"/>
        <v>0</v>
      </c>
      <c r="BE163" s="964">
        <f t="shared" si="167"/>
        <v>0</v>
      </c>
      <c r="BF163" s="966">
        <f t="shared" si="168"/>
        <v>0</v>
      </c>
      <c r="BG163" s="951"/>
      <c r="BH163" s="961" t="str">
        <f t="shared" si="169"/>
        <v>Qty</v>
      </c>
      <c r="BI163" s="962" t="str">
        <f t="shared" si="170"/>
        <v>Water</v>
      </c>
      <c r="BJ163" s="963" t="str">
        <f t="shared" si="171"/>
        <v xml:space="preserve">Price cap - Variable </v>
      </c>
      <c r="BK163" s="964" t="str">
        <f t="shared" ref="BK163:BU163" si="214">IF(V163="","-",IFERROR((V163/U163-1)*(U164/U$13),"-"))</f>
        <v>-</v>
      </c>
      <c r="BL163" s="964" t="str">
        <f t="shared" si="214"/>
        <v>-</v>
      </c>
      <c r="BM163" s="964" t="str">
        <f t="shared" si="214"/>
        <v>-</v>
      </c>
      <c r="BN163" s="964" t="str">
        <f t="shared" si="214"/>
        <v>-</v>
      </c>
      <c r="BO163" s="1350" t="str">
        <f t="shared" si="214"/>
        <v>-</v>
      </c>
      <c r="BP163" s="1343" t="str">
        <f t="shared" si="214"/>
        <v>-</v>
      </c>
      <c r="BQ163" s="964">
        <f t="shared" si="214"/>
        <v>0</v>
      </c>
      <c r="BR163" s="964">
        <f t="shared" si="214"/>
        <v>0</v>
      </c>
      <c r="BS163" s="964">
        <f t="shared" si="214"/>
        <v>0</v>
      </c>
      <c r="BT163" s="965">
        <f t="shared" si="214"/>
        <v>0</v>
      </c>
      <c r="BU163" s="964">
        <f t="shared" si="214"/>
        <v>0</v>
      </c>
      <c r="BV163" s="964">
        <f>IF(AG163="","-",IFERROR((AG163/AF163-1)*(AF164/AF$13),"-"))</f>
        <v>0</v>
      </c>
      <c r="BW163" s="964">
        <f>IF(AH163="","-",IFERROR((AH163/AG163-1)*(AG164/AG$13),"-"))</f>
        <v>0</v>
      </c>
      <c r="BX163" s="964">
        <f>IF(AI163="","-",IFERROR((AI163/AH163-1)*(AH164/AH$13),"-"))</f>
        <v>0</v>
      </c>
      <c r="BY163" s="966">
        <f>IF(AJ163="","-",IFERROR((AJ163/AI163-1)*(AI164/AI$13),"-"))</f>
        <v>0</v>
      </c>
      <c r="BZ163" s="951"/>
      <c r="CA163" s="961" t="str">
        <f t="shared" si="149"/>
        <v>Qty</v>
      </c>
      <c r="CB163" s="962" t="str">
        <f t="shared" si="150"/>
        <v>Water</v>
      </c>
      <c r="CC163" s="962" t="str">
        <f t="shared" si="151"/>
        <v xml:space="preserve">Price cap - Variable </v>
      </c>
      <c r="CD163" s="967" t="str">
        <f t="shared" si="175"/>
        <v>-</v>
      </c>
      <c r="CE163" s="964" t="str">
        <f t="shared" si="175"/>
        <v>-</v>
      </c>
      <c r="CF163" s="964" t="str">
        <f t="shared" si="175"/>
        <v>-</v>
      </c>
      <c r="CG163" s="965" t="str">
        <f t="shared" si="175"/>
        <v>-</v>
      </c>
      <c r="CH163" s="964" t="str">
        <f t="shared" si="176"/>
        <v>-</v>
      </c>
      <c r="CI163" s="964" t="str">
        <f t="shared" si="176"/>
        <v>-</v>
      </c>
      <c r="CJ163" s="964" t="str">
        <f t="shared" si="176"/>
        <v>-</v>
      </c>
      <c r="CK163" s="966" t="str">
        <f t="shared" si="176"/>
        <v>-</v>
      </c>
    </row>
    <row r="164" spans="4:89" ht="12.75" thickBot="1">
      <c r="E164" s="568" t="s">
        <v>882</v>
      </c>
      <c r="F164" s="560" t="str">
        <f>+F162</f>
        <v>Water</v>
      </c>
      <c r="G164" s="561" t="str">
        <f>+G162</f>
        <v>SEW</v>
      </c>
      <c r="H164" s="561" t="str">
        <f>+H162</f>
        <v xml:space="preserve">Transfer-Raw Water </v>
      </c>
      <c r="I164" s="562" t="str">
        <f>+I162</f>
        <v xml:space="preserve">Price cap - Variable </v>
      </c>
      <c r="J164" s="563" t="s">
        <v>883</v>
      </c>
      <c r="K164" s="564">
        <f t="shared" ref="K164:AJ164" si="215">K162*K163/10^6</f>
        <v>0</v>
      </c>
      <c r="L164" s="565">
        <f t="shared" si="215"/>
        <v>0</v>
      </c>
      <c r="M164" s="565">
        <f t="shared" si="215"/>
        <v>0</v>
      </c>
      <c r="N164" s="564">
        <f t="shared" si="215"/>
        <v>0</v>
      </c>
      <c r="O164" s="565">
        <f t="shared" si="215"/>
        <v>0</v>
      </c>
      <c r="P164" s="565">
        <f t="shared" si="215"/>
        <v>0</v>
      </c>
      <c r="Q164" s="565">
        <f t="shared" si="215"/>
        <v>0</v>
      </c>
      <c r="R164" s="566">
        <f t="shared" si="215"/>
        <v>0</v>
      </c>
      <c r="S164" s="564">
        <f t="shared" si="215"/>
        <v>0</v>
      </c>
      <c r="T164" s="565">
        <f t="shared" si="215"/>
        <v>0</v>
      </c>
      <c r="U164" s="566">
        <f t="shared" si="215"/>
        <v>0</v>
      </c>
      <c r="V164" s="565">
        <f t="shared" si="215"/>
        <v>0</v>
      </c>
      <c r="W164" s="565">
        <f t="shared" si="215"/>
        <v>0</v>
      </c>
      <c r="X164" s="565">
        <f t="shared" si="215"/>
        <v>0</v>
      </c>
      <c r="Y164" s="565">
        <f t="shared" si="215"/>
        <v>0</v>
      </c>
      <c r="Z164" s="565">
        <f t="shared" si="215"/>
        <v>0</v>
      </c>
      <c r="AA164" s="564">
        <f t="shared" si="215"/>
        <v>4.0436849814076622E-2</v>
      </c>
      <c r="AB164" s="565">
        <f t="shared" si="215"/>
        <v>4.0436849814076622E-2</v>
      </c>
      <c r="AC164" s="565">
        <f t="shared" si="215"/>
        <v>4.0436849814076622E-2</v>
      </c>
      <c r="AD164" s="565">
        <f t="shared" si="215"/>
        <v>4.0436849814076622E-2</v>
      </c>
      <c r="AE164" s="566">
        <f t="shared" si="215"/>
        <v>4.0436849814076622E-2</v>
      </c>
      <c r="AF164" s="565">
        <f t="shared" si="215"/>
        <v>4.2285465238166411E-2</v>
      </c>
      <c r="AG164" s="565">
        <f>AG162*AG163/10^6</f>
        <v>4.2285465238166411E-2</v>
      </c>
      <c r="AH164" s="565">
        <f>AH162*AH163/10^6</f>
        <v>4.2285465238166411E-2</v>
      </c>
      <c r="AI164" s="565">
        <f>AI162*AI163/10^6</f>
        <v>4.2285465238166411E-2</v>
      </c>
      <c r="AJ164" s="566">
        <f t="shared" si="215"/>
        <v>4.2285465238166411E-2</v>
      </c>
      <c r="AK164" s="548"/>
      <c r="AO164" s="984" t="str">
        <f t="shared" si="152"/>
        <v>Rev</v>
      </c>
      <c r="AP164" s="985" t="str">
        <f t="shared" si="152"/>
        <v>Water</v>
      </c>
      <c r="AQ164" s="986" t="str">
        <f t="shared" si="153"/>
        <v xml:space="preserve">Price cap - Variable </v>
      </c>
      <c r="AR164" s="990" t="str">
        <f t="shared" si="154"/>
        <v>-</v>
      </c>
      <c r="AS164" s="987" t="str">
        <f t="shared" si="155"/>
        <v>-</v>
      </c>
      <c r="AT164" s="987" t="str">
        <f t="shared" si="156"/>
        <v>-</v>
      </c>
      <c r="AU164" s="987" t="str">
        <f t="shared" si="157"/>
        <v>-</v>
      </c>
      <c r="AV164" s="1353" t="str">
        <f t="shared" si="158"/>
        <v>-</v>
      </c>
      <c r="AW164" s="1346" t="str">
        <f t="shared" si="159"/>
        <v>-</v>
      </c>
      <c r="AX164" s="987">
        <f t="shared" si="160"/>
        <v>0</v>
      </c>
      <c r="AY164" s="987">
        <f t="shared" si="161"/>
        <v>0</v>
      </c>
      <c r="AZ164" s="987">
        <f t="shared" si="162"/>
        <v>0</v>
      </c>
      <c r="BA164" s="988">
        <f t="shared" si="163"/>
        <v>0</v>
      </c>
      <c r="BB164" s="1346">
        <f t="shared" si="164"/>
        <v>4.5716108761920893E-2</v>
      </c>
      <c r="BC164" s="987">
        <f t="shared" si="165"/>
        <v>0</v>
      </c>
      <c r="BD164" s="987">
        <f t="shared" si="166"/>
        <v>0</v>
      </c>
      <c r="BE164" s="987">
        <f t="shared" si="167"/>
        <v>0</v>
      </c>
      <c r="BF164" s="989">
        <f t="shared" si="168"/>
        <v>0</v>
      </c>
      <c r="BG164" s="951"/>
      <c r="BH164" s="984" t="str">
        <f t="shared" si="169"/>
        <v>Rev</v>
      </c>
      <c r="BI164" s="985" t="str">
        <f t="shared" si="170"/>
        <v>Water</v>
      </c>
      <c r="BJ164" s="986" t="str">
        <f t="shared" si="171"/>
        <v xml:space="preserve">Price cap - Variable </v>
      </c>
      <c r="BK164" s="987" t="str">
        <f t="shared" ref="BK164:BU164" si="216">IF(V164="","-",IFERROR((V164/U164-1)*(U164/U$13),"-"))</f>
        <v>-</v>
      </c>
      <c r="BL164" s="987" t="str">
        <f t="shared" si="216"/>
        <v>-</v>
      </c>
      <c r="BM164" s="987" t="str">
        <f t="shared" si="216"/>
        <v>-</v>
      </c>
      <c r="BN164" s="987" t="str">
        <f t="shared" si="216"/>
        <v>-</v>
      </c>
      <c r="BO164" s="1353" t="str">
        <f t="shared" si="216"/>
        <v>-</v>
      </c>
      <c r="BP164" s="1346" t="str">
        <f t="shared" si="216"/>
        <v>-</v>
      </c>
      <c r="BQ164" s="987">
        <f t="shared" si="216"/>
        <v>0</v>
      </c>
      <c r="BR164" s="987">
        <f t="shared" si="216"/>
        <v>0</v>
      </c>
      <c r="BS164" s="987">
        <f t="shared" si="216"/>
        <v>0</v>
      </c>
      <c r="BT164" s="988">
        <f t="shared" si="216"/>
        <v>0</v>
      </c>
      <c r="BU164" s="987">
        <f t="shared" si="216"/>
        <v>8.8791140893064599E-7</v>
      </c>
      <c r="BV164" s="987">
        <f>IF(AG164="","-",IFERROR((AG164/AF164-1)*(AF164/AF$13),"-"))</f>
        <v>0</v>
      </c>
      <c r="BW164" s="987">
        <f>IF(AH164="","-",IFERROR((AH164/AG164-1)*(AG164/AG$13),"-"))</f>
        <v>0</v>
      </c>
      <c r="BX164" s="987">
        <f>IF(AI164="","-",IFERROR((AI164/AH164-1)*(AH164/AH$13),"-"))</f>
        <v>0</v>
      </c>
      <c r="BY164" s="989">
        <f>IF(AJ164="","-",IFERROR((AJ164/AI164-1)*(AI164/AI$13),"-"))</f>
        <v>0</v>
      </c>
      <c r="BZ164" s="951"/>
      <c r="CA164" s="984" t="str">
        <f t="shared" si="149"/>
        <v>Rev</v>
      </c>
      <c r="CB164" s="985" t="str">
        <f t="shared" si="150"/>
        <v>Water</v>
      </c>
      <c r="CC164" s="985" t="str">
        <f t="shared" si="151"/>
        <v xml:space="preserve">Price cap - Variable </v>
      </c>
      <c r="CD164" s="990" t="str">
        <f t="shared" si="175"/>
        <v>-</v>
      </c>
      <c r="CE164" s="987" t="str">
        <f t="shared" si="175"/>
        <v>-</v>
      </c>
      <c r="CF164" s="987" t="str">
        <f t="shared" si="175"/>
        <v>-</v>
      </c>
      <c r="CG164" s="988" t="str">
        <f t="shared" si="175"/>
        <v>-</v>
      </c>
      <c r="CH164" s="987" t="str">
        <f t="shared" si="176"/>
        <v>-</v>
      </c>
      <c r="CI164" s="987" t="str">
        <f t="shared" si="176"/>
        <v>-</v>
      </c>
      <c r="CJ164" s="987" t="str">
        <f t="shared" si="176"/>
        <v>-</v>
      </c>
      <c r="CK164" s="989" t="str">
        <f t="shared" si="176"/>
        <v>-</v>
      </c>
    </row>
    <row r="165" spans="4:89">
      <c r="D165" s="63">
        <f>D162+1</f>
        <v>33</v>
      </c>
      <c r="E165" s="550" t="s">
        <v>857</v>
      </c>
      <c r="F165" s="595" t="s">
        <v>401</v>
      </c>
      <c r="G165" s="595" t="s">
        <v>103</v>
      </c>
      <c r="H165" s="595" t="s">
        <v>942</v>
      </c>
      <c r="I165" s="589" t="s">
        <v>941</v>
      </c>
      <c r="J165" s="589" t="s">
        <v>879</v>
      </c>
      <c r="K165" s="551"/>
      <c r="L165" s="552"/>
      <c r="M165" s="552"/>
      <c r="N165" s="551"/>
      <c r="O165" s="552"/>
      <c r="P165" s="552"/>
      <c r="Q165" s="552"/>
      <c r="R165" s="1035"/>
      <c r="S165" s="1138"/>
      <c r="T165" s="591"/>
      <c r="U165" s="1035"/>
      <c r="V165" s="591"/>
      <c r="W165" s="591"/>
      <c r="X165" s="591"/>
      <c r="Y165" s="591"/>
      <c r="Z165" s="591"/>
      <c r="AA165" s="1138">
        <v>612.67954263752461</v>
      </c>
      <c r="AB165" s="591">
        <v>612.67954263752461</v>
      </c>
      <c r="AC165" s="591">
        <v>612.67954263752461</v>
      </c>
      <c r="AD165" s="591">
        <v>612.67954263752461</v>
      </c>
      <c r="AE165" s="1035">
        <v>612.67954263752461</v>
      </c>
      <c r="AF165" s="591">
        <v>640.68886724494564</v>
      </c>
      <c r="AG165" s="591">
        <v>640.68886724494564</v>
      </c>
      <c r="AH165" s="591">
        <v>640.68886724494564</v>
      </c>
      <c r="AI165" s="591">
        <v>640.68886724494564</v>
      </c>
      <c r="AJ165" s="592">
        <v>640.68886724494564</v>
      </c>
      <c r="AK165" s="548"/>
      <c r="AM165" s="974"/>
      <c r="AO165" s="975" t="str">
        <f t="shared" si="152"/>
        <v>Price</v>
      </c>
      <c r="AP165" s="976" t="str">
        <f t="shared" si="152"/>
        <v>Water</v>
      </c>
      <c r="AQ165" s="977" t="str">
        <f t="shared" si="153"/>
        <v xml:space="preserve">Price cap - Variable </v>
      </c>
      <c r="AR165" s="1341" t="str">
        <f t="shared" si="154"/>
        <v>-</v>
      </c>
      <c r="AS165" s="978" t="str">
        <f t="shared" si="155"/>
        <v>-</v>
      </c>
      <c r="AT165" s="979" t="str">
        <f t="shared" si="156"/>
        <v>-</v>
      </c>
      <c r="AU165" s="979" t="str">
        <f t="shared" si="157"/>
        <v>-</v>
      </c>
      <c r="AV165" s="1352" t="str">
        <f t="shared" si="158"/>
        <v>-</v>
      </c>
      <c r="AW165" s="1345" t="str">
        <f t="shared" si="159"/>
        <v>-</v>
      </c>
      <c r="AX165" s="979">
        <f t="shared" si="160"/>
        <v>0</v>
      </c>
      <c r="AY165" s="979">
        <f t="shared" si="161"/>
        <v>0</v>
      </c>
      <c r="AZ165" s="979">
        <f t="shared" si="162"/>
        <v>0</v>
      </c>
      <c r="BA165" s="980">
        <f t="shared" si="163"/>
        <v>0</v>
      </c>
      <c r="BB165" s="1345">
        <f t="shared" si="164"/>
        <v>4.5716108761920893E-2</v>
      </c>
      <c r="BC165" s="979">
        <f t="shared" si="165"/>
        <v>0</v>
      </c>
      <c r="BD165" s="979">
        <f t="shared" si="166"/>
        <v>0</v>
      </c>
      <c r="BE165" s="979">
        <f t="shared" si="167"/>
        <v>0</v>
      </c>
      <c r="BF165" s="981">
        <f t="shared" si="168"/>
        <v>0</v>
      </c>
      <c r="BG165" s="951"/>
      <c r="BH165" s="975" t="str">
        <f t="shared" si="169"/>
        <v>Price</v>
      </c>
      <c r="BI165" s="976" t="str">
        <f t="shared" si="170"/>
        <v>Water</v>
      </c>
      <c r="BJ165" s="977" t="str">
        <f t="shared" si="171"/>
        <v xml:space="preserve">Price cap - Variable </v>
      </c>
      <c r="BK165" s="978" t="str">
        <f t="shared" ref="BK165:BU165" si="217">IF(V165="","-",IFERROR((V165/U165-1)*(U167/U$13),"-"))</f>
        <v>-</v>
      </c>
      <c r="BL165" s="978" t="str">
        <f t="shared" si="217"/>
        <v>-</v>
      </c>
      <c r="BM165" s="979" t="str">
        <f t="shared" si="217"/>
        <v>-</v>
      </c>
      <c r="BN165" s="979" t="str">
        <f t="shared" si="217"/>
        <v>-</v>
      </c>
      <c r="BO165" s="1352" t="str">
        <f t="shared" si="217"/>
        <v>-</v>
      </c>
      <c r="BP165" s="1345" t="str">
        <f t="shared" si="217"/>
        <v>-</v>
      </c>
      <c r="BQ165" s="979">
        <f t="shared" si="217"/>
        <v>0</v>
      </c>
      <c r="BR165" s="979">
        <f t="shared" si="217"/>
        <v>0</v>
      </c>
      <c r="BS165" s="979">
        <f t="shared" si="217"/>
        <v>0</v>
      </c>
      <c r="BT165" s="980">
        <f t="shared" si="217"/>
        <v>0</v>
      </c>
      <c r="BU165" s="979">
        <f t="shared" si="217"/>
        <v>6.7266015828079247E-6</v>
      </c>
      <c r="BV165" s="979">
        <f>IF(AG165="","-",IFERROR((AG165/AF165-1)*(AF167/AF$13),"-"))</f>
        <v>0</v>
      </c>
      <c r="BW165" s="979">
        <f>IF(AH165="","-",IFERROR((AH165/AG165-1)*(AG167/AG$13),"-"))</f>
        <v>0</v>
      </c>
      <c r="BX165" s="979">
        <f>IF(AI165="","-",IFERROR((AI165/AH165-1)*(AH167/AH$13),"-"))</f>
        <v>0</v>
      </c>
      <c r="BY165" s="981">
        <f>IF(AJ165="","-",IFERROR((AJ165/AI165-1)*(AI167/AI$13),"-"))</f>
        <v>0</v>
      </c>
      <c r="BZ165" s="951"/>
      <c r="CA165" s="975" t="str">
        <f t="shared" si="149"/>
        <v>Price</v>
      </c>
      <c r="CB165" s="976" t="str">
        <f t="shared" si="150"/>
        <v>Water</v>
      </c>
      <c r="CC165" s="982" t="str">
        <f t="shared" si="151"/>
        <v xml:space="preserve">Price cap - Variable </v>
      </c>
      <c r="CD165" s="983" t="str">
        <f t="shared" si="175"/>
        <v>-</v>
      </c>
      <c r="CE165" s="979" t="str">
        <f t="shared" si="175"/>
        <v>-</v>
      </c>
      <c r="CF165" s="979" t="str">
        <f t="shared" si="175"/>
        <v>-</v>
      </c>
      <c r="CG165" s="980" t="str">
        <f t="shared" si="175"/>
        <v>-</v>
      </c>
      <c r="CH165" s="979" t="str">
        <f t="shared" si="176"/>
        <v>-</v>
      </c>
      <c r="CI165" s="979" t="str">
        <f t="shared" si="176"/>
        <v>-</v>
      </c>
      <c r="CJ165" s="979" t="str">
        <f t="shared" si="176"/>
        <v>-</v>
      </c>
      <c r="CK165" s="981" t="str">
        <f t="shared" si="176"/>
        <v>-</v>
      </c>
    </row>
    <row r="166" spans="4:89">
      <c r="E166" s="567" t="s">
        <v>880</v>
      </c>
      <c r="F166" s="554" t="str">
        <f>+F165</f>
        <v>Water</v>
      </c>
      <c r="G166" s="555" t="str">
        <f>+G165</f>
        <v>YVW</v>
      </c>
      <c r="H166" s="555" t="str">
        <f>+H165</f>
        <v xml:space="preserve">Transfer-Raw Water </v>
      </c>
      <c r="I166" s="556" t="str">
        <f>+I165</f>
        <v xml:space="preserve">Price cap - Variable </v>
      </c>
      <c r="J166" s="590" t="s">
        <v>887</v>
      </c>
      <c r="K166" s="557"/>
      <c r="L166" s="558"/>
      <c r="M166" s="558"/>
      <c r="N166" s="557"/>
      <c r="O166" s="558"/>
      <c r="P166" s="558"/>
      <c r="Q166" s="558"/>
      <c r="R166" s="1036"/>
      <c r="S166" s="1139"/>
      <c r="T166" s="593"/>
      <c r="U166" s="1036"/>
      <c r="V166" s="593"/>
      <c r="W166" s="593"/>
      <c r="X166" s="593"/>
      <c r="Y166" s="593"/>
      <c r="Z166" s="593"/>
      <c r="AA166" s="1139">
        <v>500</v>
      </c>
      <c r="AB166" s="593">
        <v>500</v>
      </c>
      <c r="AC166" s="593">
        <v>500</v>
      </c>
      <c r="AD166" s="593">
        <v>500</v>
      </c>
      <c r="AE166" s="1036">
        <v>500</v>
      </c>
      <c r="AF166" s="593">
        <v>500</v>
      </c>
      <c r="AG166" s="593">
        <v>500</v>
      </c>
      <c r="AH166" s="593">
        <v>500</v>
      </c>
      <c r="AI166" s="593">
        <v>500</v>
      </c>
      <c r="AJ166" s="594">
        <v>500</v>
      </c>
      <c r="AK166" s="548"/>
      <c r="AO166" s="961" t="str">
        <f t="shared" si="152"/>
        <v>Qty</v>
      </c>
      <c r="AP166" s="962" t="str">
        <f t="shared" si="152"/>
        <v>Water</v>
      </c>
      <c r="AQ166" s="963" t="str">
        <f t="shared" si="153"/>
        <v xml:space="preserve">Price cap - Variable </v>
      </c>
      <c r="AR166" s="967" t="str">
        <f t="shared" si="154"/>
        <v>-</v>
      </c>
      <c r="AS166" s="964" t="str">
        <f t="shared" si="155"/>
        <v>-</v>
      </c>
      <c r="AT166" s="964" t="str">
        <f t="shared" si="156"/>
        <v>-</v>
      </c>
      <c r="AU166" s="964" t="str">
        <f t="shared" si="157"/>
        <v>-</v>
      </c>
      <c r="AV166" s="1350" t="str">
        <f t="shared" si="158"/>
        <v>-</v>
      </c>
      <c r="AW166" s="1343" t="str">
        <f t="shared" si="159"/>
        <v>-</v>
      </c>
      <c r="AX166" s="964">
        <f t="shared" si="160"/>
        <v>0</v>
      </c>
      <c r="AY166" s="964">
        <f t="shared" si="161"/>
        <v>0</v>
      </c>
      <c r="AZ166" s="964">
        <f t="shared" si="162"/>
        <v>0</v>
      </c>
      <c r="BA166" s="965">
        <f t="shared" si="163"/>
        <v>0</v>
      </c>
      <c r="BB166" s="1343">
        <f t="shared" si="164"/>
        <v>0</v>
      </c>
      <c r="BC166" s="964">
        <f t="shared" si="165"/>
        <v>0</v>
      </c>
      <c r="BD166" s="964">
        <f t="shared" si="166"/>
        <v>0</v>
      </c>
      <c r="BE166" s="964">
        <f t="shared" si="167"/>
        <v>0</v>
      </c>
      <c r="BF166" s="966">
        <f t="shared" si="168"/>
        <v>0</v>
      </c>
      <c r="BG166" s="951"/>
      <c r="BH166" s="961" t="str">
        <f t="shared" si="169"/>
        <v>Qty</v>
      </c>
      <c r="BI166" s="962" t="str">
        <f t="shared" si="170"/>
        <v>Water</v>
      </c>
      <c r="BJ166" s="963" t="str">
        <f t="shared" si="171"/>
        <v xml:space="preserve">Price cap - Variable </v>
      </c>
      <c r="BK166" s="964" t="str">
        <f t="shared" ref="BK166:BU166" si="218">IF(V166="","-",IFERROR((V166/U166-1)*(U167/U$13),"-"))</f>
        <v>-</v>
      </c>
      <c r="BL166" s="964" t="str">
        <f t="shared" si="218"/>
        <v>-</v>
      </c>
      <c r="BM166" s="964" t="str">
        <f t="shared" si="218"/>
        <v>-</v>
      </c>
      <c r="BN166" s="964" t="str">
        <f t="shared" si="218"/>
        <v>-</v>
      </c>
      <c r="BO166" s="1350" t="str">
        <f t="shared" si="218"/>
        <v>-</v>
      </c>
      <c r="BP166" s="1343" t="str">
        <f t="shared" si="218"/>
        <v>-</v>
      </c>
      <c r="BQ166" s="964">
        <f t="shared" si="218"/>
        <v>0</v>
      </c>
      <c r="BR166" s="964">
        <f t="shared" si="218"/>
        <v>0</v>
      </c>
      <c r="BS166" s="964">
        <f t="shared" si="218"/>
        <v>0</v>
      </c>
      <c r="BT166" s="965">
        <f t="shared" si="218"/>
        <v>0</v>
      </c>
      <c r="BU166" s="964">
        <f t="shared" si="218"/>
        <v>0</v>
      </c>
      <c r="BV166" s="964">
        <f>IF(AG166="","-",IFERROR((AG166/AF166-1)*(AF167/AF$13),"-"))</f>
        <v>0</v>
      </c>
      <c r="BW166" s="964">
        <f>IF(AH166="","-",IFERROR((AH166/AG166-1)*(AG167/AG$13),"-"))</f>
        <v>0</v>
      </c>
      <c r="BX166" s="964">
        <f>IF(AI166="","-",IFERROR((AI166/AH166-1)*(AH167/AH$13),"-"))</f>
        <v>0</v>
      </c>
      <c r="BY166" s="966">
        <f>IF(AJ166="","-",IFERROR((AJ166/AI166-1)*(AI167/AI$13),"-"))</f>
        <v>0</v>
      </c>
      <c r="BZ166" s="951"/>
      <c r="CA166" s="961" t="str">
        <f t="shared" si="149"/>
        <v>Qty</v>
      </c>
      <c r="CB166" s="962" t="str">
        <f t="shared" si="150"/>
        <v>Water</v>
      </c>
      <c r="CC166" s="962" t="str">
        <f t="shared" si="151"/>
        <v xml:space="preserve">Price cap - Variable </v>
      </c>
      <c r="CD166" s="967" t="str">
        <f t="shared" si="175"/>
        <v>-</v>
      </c>
      <c r="CE166" s="964" t="str">
        <f t="shared" si="175"/>
        <v>-</v>
      </c>
      <c r="CF166" s="964" t="str">
        <f t="shared" si="175"/>
        <v>-</v>
      </c>
      <c r="CG166" s="965" t="str">
        <f t="shared" si="175"/>
        <v>-</v>
      </c>
      <c r="CH166" s="964" t="str">
        <f t="shared" si="176"/>
        <v>-</v>
      </c>
      <c r="CI166" s="964" t="str">
        <f t="shared" si="176"/>
        <v>-</v>
      </c>
      <c r="CJ166" s="964" t="str">
        <f t="shared" si="176"/>
        <v>-</v>
      </c>
      <c r="CK166" s="966" t="str">
        <f t="shared" si="176"/>
        <v>-</v>
      </c>
    </row>
    <row r="167" spans="4:89" ht="12.75" thickBot="1">
      <c r="E167" s="568" t="s">
        <v>882</v>
      </c>
      <c r="F167" s="560" t="str">
        <f>+F165</f>
        <v>Water</v>
      </c>
      <c r="G167" s="561" t="str">
        <f>+G165</f>
        <v>YVW</v>
      </c>
      <c r="H167" s="561" t="str">
        <f>+H165</f>
        <v xml:space="preserve">Transfer-Raw Water </v>
      </c>
      <c r="I167" s="562" t="str">
        <f>+I165</f>
        <v xml:space="preserve">Price cap - Variable </v>
      </c>
      <c r="J167" s="563" t="s">
        <v>883</v>
      </c>
      <c r="K167" s="564">
        <f t="shared" ref="K167:AJ167" si="219">K165*K166/10^6</f>
        <v>0</v>
      </c>
      <c r="L167" s="565">
        <f t="shared" si="219"/>
        <v>0</v>
      </c>
      <c r="M167" s="565">
        <f t="shared" si="219"/>
        <v>0</v>
      </c>
      <c r="N167" s="564">
        <f t="shared" si="219"/>
        <v>0</v>
      </c>
      <c r="O167" s="565">
        <f t="shared" si="219"/>
        <v>0</v>
      </c>
      <c r="P167" s="565">
        <f t="shared" si="219"/>
        <v>0</v>
      </c>
      <c r="Q167" s="565">
        <f t="shared" si="219"/>
        <v>0</v>
      </c>
      <c r="R167" s="566">
        <f t="shared" si="219"/>
        <v>0</v>
      </c>
      <c r="S167" s="564">
        <f t="shared" si="219"/>
        <v>0</v>
      </c>
      <c r="T167" s="565">
        <f t="shared" si="219"/>
        <v>0</v>
      </c>
      <c r="U167" s="566">
        <f t="shared" si="219"/>
        <v>0</v>
      </c>
      <c r="V167" s="565">
        <f t="shared" si="219"/>
        <v>0</v>
      </c>
      <c r="W167" s="565">
        <f t="shared" si="219"/>
        <v>0</v>
      </c>
      <c r="X167" s="565">
        <f t="shared" si="219"/>
        <v>0</v>
      </c>
      <c r="Y167" s="565">
        <f t="shared" si="219"/>
        <v>0</v>
      </c>
      <c r="Z167" s="565">
        <f t="shared" si="219"/>
        <v>0</v>
      </c>
      <c r="AA167" s="564">
        <f t="shared" si="219"/>
        <v>0.30633977131876233</v>
      </c>
      <c r="AB167" s="565">
        <f t="shared" si="219"/>
        <v>0.30633977131876233</v>
      </c>
      <c r="AC167" s="565">
        <f t="shared" si="219"/>
        <v>0.30633977131876233</v>
      </c>
      <c r="AD167" s="565">
        <f t="shared" si="219"/>
        <v>0.30633977131876233</v>
      </c>
      <c r="AE167" s="566">
        <f t="shared" si="219"/>
        <v>0.30633977131876233</v>
      </c>
      <c r="AF167" s="565">
        <f t="shared" si="219"/>
        <v>0.32034443362247278</v>
      </c>
      <c r="AG167" s="565">
        <f>AG165*AG166/10^6</f>
        <v>0.32034443362247278</v>
      </c>
      <c r="AH167" s="565">
        <f>AH165*AH166/10^6</f>
        <v>0.32034443362247278</v>
      </c>
      <c r="AI167" s="565">
        <f>AI165*AI166/10^6</f>
        <v>0.32034443362247278</v>
      </c>
      <c r="AJ167" s="566">
        <f t="shared" si="219"/>
        <v>0.32034443362247278</v>
      </c>
      <c r="AK167" s="548"/>
      <c r="AO167" s="984" t="str">
        <f t="shared" si="152"/>
        <v>Rev</v>
      </c>
      <c r="AP167" s="985" t="str">
        <f t="shared" si="152"/>
        <v>Water</v>
      </c>
      <c r="AQ167" s="986" t="str">
        <f t="shared" si="153"/>
        <v xml:space="preserve">Price cap - Variable </v>
      </c>
      <c r="AR167" s="990" t="str">
        <f t="shared" si="154"/>
        <v>-</v>
      </c>
      <c r="AS167" s="987" t="str">
        <f t="shared" si="155"/>
        <v>-</v>
      </c>
      <c r="AT167" s="987" t="str">
        <f t="shared" si="156"/>
        <v>-</v>
      </c>
      <c r="AU167" s="987" t="str">
        <f t="shared" si="157"/>
        <v>-</v>
      </c>
      <c r="AV167" s="1353" t="str">
        <f t="shared" si="158"/>
        <v>-</v>
      </c>
      <c r="AW167" s="1346" t="str">
        <f t="shared" si="159"/>
        <v>-</v>
      </c>
      <c r="AX167" s="987">
        <f t="shared" si="160"/>
        <v>0</v>
      </c>
      <c r="AY167" s="987">
        <f t="shared" si="161"/>
        <v>0</v>
      </c>
      <c r="AZ167" s="987">
        <f t="shared" si="162"/>
        <v>0</v>
      </c>
      <c r="BA167" s="988">
        <f t="shared" si="163"/>
        <v>0</v>
      </c>
      <c r="BB167" s="1346">
        <f t="shared" si="164"/>
        <v>4.5716108761920671E-2</v>
      </c>
      <c r="BC167" s="987">
        <f t="shared" si="165"/>
        <v>0</v>
      </c>
      <c r="BD167" s="987">
        <f t="shared" si="166"/>
        <v>0</v>
      </c>
      <c r="BE167" s="987">
        <f t="shared" si="167"/>
        <v>0</v>
      </c>
      <c r="BF167" s="989">
        <f t="shared" si="168"/>
        <v>0</v>
      </c>
      <c r="BG167" s="951"/>
      <c r="BH167" s="984" t="str">
        <f t="shared" si="169"/>
        <v>Rev</v>
      </c>
      <c r="BI167" s="985" t="str">
        <f t="shared" si="170"/>
        <v>Water</v>
      </c>
      <c r="BJ167" s="986" t="str">
        <f t="shared" si="171"/>
        <v xml:space="preserve">Price cap - Variable </v>
      </c>
      <c r="BK167" s="987" t="str">
        <f t="shared" ref="BK167:BU167" si="220">IF(V167="","-",IFERROR((V167/U167-1)*(U167/U$13),"-"))</f>
        <v>-</v>
      </c>
      <c r="BL167" s="987" t="str">
        <f t="shared" si="220"/>
        <v>-</v>
      </c>
      <c r="BM167" s="987" t="str">
        <f t="shared" si="220"/>
        <v>-</v>
      </c>
      <c r="BN167" s="987" t="str">
        <f t="shared" si="220"/>
        <v>-</v>
      </c>
      <c r="BO167" s="1353" t="str">
        <f t="shared" si="220"/>
        <v>-</v>
      </c>
      <c r="BP167" s="1346" t="str">
        <f t="shared" si="220"/>
        <v>-</v>
      </c>
      <c r="BQ167" s="987">
        <f t="shared" si="220"/>
        <v>0</v>
      </c>
      <c r="BR167" s="987">
        <f t="shared" si="220"/>
        <v>0</v>
      </c>
      <c r="BS167" s="987">
        <f t="shared" si="220"/>
        <v>0</v>
      </c>
      <c r="BT167" s="988">
        <f t="shared" si="220"/>
        <v>0</v>
      </c>
      <c r="BU167" s="987">
        <f t="shared" si="220"/>
        <v>6.7266015828078917E-6</v>
      </c>
      <c r="BV167" s="987">
        <f>IF(AG167="","-",IFERROR((AG167/AF167-1)*(AF167/AF$13),"-"))</f>
        <v>0</v>
      </c>
      <c r="BW167" s="987">
        <f>IF(AH167="","-",IFERROR((AH167/AG167-1)*(AG167/AG$13),"-"))</f>
        <v>0</v>
      </c>
      <c r="BX167" s="987">
        <f>IF(AI167="","-",IFERROR((AI167/AH167-1)*(AH167/AH$13),"-"))</f>
        <v>0</v>
      </c>
      <c r="BY167" s="989">
        <f>IF(AJ167="","-",IFERROR((AJ167/AI167-1)*(AI167/AI$13),"-"))</f>
        <v>0</v>
      </c>
      <c r="BZ167" s="951"/>
      <c r="CA167" s="984" t="str">
        <f t="shared" si="149"/>
        <v>Rev</v>
      </c>
      <c r="CB167" s="985" t="str">
        <f t="shared" si="150"/>
        <v>Water</v>
      </c>
      <c r="CC167" s="985" t="str">
        <f t="shared" si="151"/>
        <v xml:space="preserve">Price cap - Variable </v>
      </c>
      <c r="CD167" s="990" t="str">
        <f t="shared" si="175"/>
        <v>-</v>
      </c>
      <c r="CE167" s="987" t="str">
        <f t="shared" si="175"/>
        <v>-</v>
      </c>
      <c r="CF167" s="987" t="str">
        <f t="shared" si="175"/>
        <v>-</v>
      </c>
      <c r="CG167" s="988" t="str">
        <f t="shared" si="175"/>
        <v>-</v>
      </c>
      <c r="CH167" s="987" t="str">
        <f t="shared" si="176"/>
        <v>-</v>
      </c>
      <c r="CI167" s="987" t="str">
        <f t="shared" si="176"/>
        <v>-</v>
      </c>
      <c r="CJ167" s="987" t="str">
        <f t="shared" si="176"/>
        <v>-</v>
      </c>
      <c r="CK167" s="989" t="str">
        <f t="shared" si="176"/>
        <v>-</v>
      </c>
    </row>
    <row r="168" spans="4:89">
      <c r="D168" s="63">
        <f>D165+1</f>
        <v>34</v>
      </c>
      <c r="E168" s="550" t="s">
        <v>857</v>
      </c>
      <c r="F168" s="595" t="s">
        <v>402</v>
      </c>
      <c r="G168" s="595" t="s">
        <v>877</v>
      </c>
      <c r="H168" s="595" t="s">
        <v>891</v>
      </c>
      <c r="I168" s="589" t="s">
        <v>941</v>
      </c>
      <c r="J168" s="589" t="s">
        <v>879</v>
      </c>
      <c r="K168" s="551"/>
      <c r="L168" s="552"/>
      <c r="M168" s="552"/>
      <c r="N168" s="551"/>
      <c r="O168" s="552"/>
      <c r="P168" s="552"/>
      <c r="Q168" s="552"/>
      <c r="R168" s="1035"/>
      <c r="S168" s="1138"/>
      <c r="T168" s="591"/>
      <c r="U168" s="1035">
        <v>353.909974271012</v>
      </c>
      <c r="V168" s="591">
        <v>72.271348600508901</v>
      </c>
      <c r="W168" s="591">
        <v>72.280508474576266</v>
      </c>
      <c r="X168" s="591">
        <v>72.270565610859734</v>
      </c>
      <c r="Y168" s="591">
        <v>72.275152838427942</v>
      </c>
      <c r="Z168" s="591">
        <v>72.2804</v>
      </c>
      <c r="AA168" s="1138">
        <v>72.28</v>
      </c>
      <c r="AB168" s="591">
        <v>72.28</v>
      </c>
      <c r="AC168" s="591">
        <v>72.28</v>
      </c>
      <c r="AD168" s="591">
        <v>72.28</v>
      </c>
      <c r="AE168" s="1035">
        <v>72.28</v>
      </c>
      <c r="AF168" s="591">
        <v>86.660116906825181</v>
      </c>
      <c r="AG168" s="591">
        <v>86.660116906825181</v>
      </c>
      <c r="AH168" s="591">
        <v>86.660116906825181</v>
      </c>
      <c r="AI168" s="591">
        <v>86.660116906825181</v>
      </c>
      <c r="AJ168" s="592">
        <v>86.660116906825181</v>
      </c>
      <c r="AK168" s="548"/>
      <c r="AM168" s="974"/>
      <c r="AO168" s="975" t="str">
        <f t="shared" si="152"/>
        <v>Price</v>
      </c>
      <c r="AP168" s="976" t="str">
        <f t="shared" si="152"/>
        <v>Sewerage</v>
      </c>
      <c r="AQ168" s="977" t="str">
        <f t="shared" si="153"/>
        <v xml:space="preserve">Price cap - Variable </v>
      </c>
      <c r="AR168" s="1341">
        <f t="shared" si="154"/>
        <v>-0.79579171581876351</v>
      </c>
      <c r="AS168" s="978">
        <f t="shared" si="155"/>
        <v>1.2674281364244422E-4</v>
      </c>
      <c r="AT168" s="979">
        <f t="shared" si="156"/>
        <v>-1.3755940469106775E-4</v>
      </c>
      <c r="AU168" s="979">
        <f t="shared" si="157"/>
        <v>6.347297173392441E-5</v>
      </c>
      <c r="AV168" s="1352">
        <f t="shared" si="158"/>
        <v>7.2599799045613977E-5</v>
      </c>
      <c r="AW168" s="1345">
        <f t="shared" si="159"/>
        <v>-5.5340036856366126E-6</v>
      </c>
      <c r="AX168" s="979">
        <f t="shared" si="160"/>
        <v>0</v>
      </c>
      <c r="AY168" s="979">
        <f t="shared" si="161"/>
        <v>0</v>
      </c>
      <c r="AZ168" s="979">
        <f t="shared" si="162"/>
        <v>0</v>
      </c>
      <c r="BA168" s="980">
        <f t="shared" si="163"/>
        <v>0</v>
      </c>
      <c r="BB168" s="1345">
        <f t="shared" si="164"/>
        <v>0.19895015089686185</v>
      </c>
      <c r="BC168" s="979">
        <f t="shared" si="165"/>
        <v>0</v>
      </c>
      <c r="BD168" s="979">
        <f t="shared" si="166"/>
        <v>0</v>
      </c>
      <c r="BE168" s="979">
        <f t="shared" si="167"/>
        <v>0</v>
      </c>
      <c r="BF168" s="981">
        <f t="shared" si="168"/>
        <v>0</v>
      </c>
      <c r="BG168" s="951"/>
      <c r="BH168" s="975" t="str">
        <f t="shared" si="169"/>
        <v>Price</v>
      </c>
      <c r="BI168" s="976" t="str">
        <f t="shared" si="170"/>
        <v>Sewerage</v>
      </c>
      <c r="BJ168" s="977" t="str">
        <f t="shared" si="171"/>
        <v xml:space="preserve">Price cap - Variable </v>
      </c>
      <c r="BK168" s="978">
        <f t="shared" ref="BK168:BU168" si="221">IF(V168="","-",IFERROR((V168/U168-1)*(U170/U$13),"-"))</f>
        <v>-1.2385923483704153E-2</v>
      </c>
      <c r="BL168" s="978">
        <f t="shared" si="221"/>
        <v>4.3359676003728858E-7</v>
      </c>
      <c r="BM168" s="979">
        <f t="shared" si="221"/>
        <v>-5.1400289164988039E-7</v>
      </c>
      <c r="BN168" s="979">
        <f t="shared" si="221"/>
        <v>2.3699328950548475E-7</v>
      </c>
      <c r="BO168" s="1352">
        <f t="shared" si="221"/>
        <v>2.7099631589218309E-7</v>
      </c>
      <c r="BP168" s="1345">
        <f t="shared" si="221"/>
        <v>-2.1162673942794172E-8</v>
      </c>
      <c r="BQ168" s="979">
        <f t="shared" si="221"/>
        <v>0</v>
      </c>
      <c r="BR168" s="979">
        <f t="shared" si="221"/>
        <v>0</v>
      </c>
      <c r="BS168" s="979">
        <f t="shared" si="221"/>
        <v>0</v>
      </c>
      <c r="BT168" s="980">
        <f t="shared" si="221"/>
        <v>0</v>
      </c>
      <c r="BU168" s="979">
        <f t="shared" si="221"/>
        <v>7.4392820549405258E-4</v>
      </c>
      <c r="BV168" s="979">
        <f>IF(AG168="","-",IFERROR((AG168/AF168-1)*(AF170/AF$13),"-"))</f>
        <v>0</v>
      </c>
      <c r="BW168" s="979">
        <f>IF(AH168="","-",IFERROR((AH168/AG168-1)*(AG170/AG$13),"-"))</f>
        <v>0</v>
      </c>
      <c r="BX168" s="979">
        <f>IF(AI168="","-",IFERROR((AI168/AH168-1)*(AH170/AH$13),"-"))</f>
        <v>0</v>
      </c>
      <c r="BY168" s="981">
        <f>IF(AJ168="","-",IFERROR((AJ168/AI168-1)*(AI170/AI$13),"-"))</f>
        <v>0</v>
      </c>
      <c r="BZ168" s="951"/>
      <c r="CA168" s="975" t="str">
        <f t="shared" si="149"/>
        <v>Price</v>
      </c>
      <c r="CB168" s="976" t="str">
        <f t="shared" si="150"/>
        <v>Sewerage</v>
      </c>
      <c r="CC168" s="982" t="str">
        <f t="shared" si="151"/>
        <v xml:space="preserve">Price cap - Variable </v>
      </c>
      <c r="CD168" s="983">
        <f t="shared" si="175"/>
        <v>-0.54807725647657135</v>
      </c>
      <c r="CE168" s="979">
        <f t="shared" si="175"/>
        <v>-0.41112531668020791</v>
      </c>
      <c r="CF168" s="979">
        <f t="shared" si="175"/>
        <v>-0.32776045893720107</v>
      </c>
      <c r="CG168" s="980">
        <f t="shared" si="175"/>
        <v>-0.2721773799242283</v>
      </c>
      <c r="CH168" s="979">
        <f t="shared" si="176"/>
        <v>-2.7670056710338287E-6</v>
      </c>
      <c r="CI168" s="979">
        <f t="shared" si="176"/>
        <v>-1.8446712980457747E-6</v>
      </c>
      <c r="CJ168" s="979">
        <f t="shared" si="176"/>
        <v>-1.3835037925291616E-6</v>
      </c>
      <c r="CK168" s="981">
        <f t="shared" si="176"/>
        <v>-1.1068031871008799E-6</v>
      </c>
    </row>
    <row r="169" spans="4:89">
      <c r="E169" s="567" t="s">
        <v>880</v>
      </c>
      <c r="F169" s="554" t="str">
        <f>+F168</f>
        <v>Sewerage</v>
      </c>
      <c r="G169" s="555" t="str">
        <f>+G168</f>
        <v>GWW</v>
      </c>
      <c r="H169" s="555" t="str">
        <f>+H168</f>
        <v>Western Treatment</v>
      </c>
      <c r="I169" s="556" t="str">
        <f>+I168</f>
        <v xml:space="preserve">Price cap - Variable </v>
      </c>
      <c r="J169" s="590" t="s">
        <v>887</v>
      </c>
      <c r="K169" s="557"/>
      <c r="L169" s="558"/>
      <c r="M169" s="558"/>
      <c r="N169" s="557"/>
      <c r="O169" s="558"/>
      <c r="P169" s="558"/>
      <c r="Q169" s="558"/>
      <c r="R169" s="1036"/>
      <c r="S169" s="1139"/>
      <c r="T169" s="593"/>
      <c r="U169" s="1036">
        <v>84806.799999999988</v>
      </c>
      <c r="V169" s="593">
        <v>88211.23691630167</v>
      </c>
      <c r="W169" s="593">
        <v>95653.420000000027</v>
      </c>
      <c r="X169" s="593">
        <v>96145.89</v>
      </c>
      <c r="Y169" s="593">
        <v>97335.050000000047</v>
      </c>
      <c r="Z169" s="593">
        <v>99667.764086675961</v>
      </c>
      <c r="AA169" s="1139">
        <v>101202.46580117283</v>
      </c>
      <c r="AB169" s="593">
        <v>102920.24426750727</v>
      </c>
      <c r="AC169" s="593">
        <v>105052.27548407977</v>
      </c>
      <c r="AD169" s="593">
        <v>106559.95206187114</v>
      </c>
      <c r="AE169" s="1036">
        <v>107707.40043972171</v>
      </c>
      <c r="AF169" s="593">
        <v>109125.06775741187</v>
      </c>
      <c r="AG169" s="593">
        <v>111234.54419634042</v>
      </c>
      <c r="AH169" s="593">
        <v>112655.49813359333</v>
      </c>
      <c r="AI169" s="593">
        <v>114754.12432506689</v>
      </c>
      <c r="AJ169" s="594">
        <v>116144.73053841565</v>
      </c>
      <c r="AK169" s="548"/>
      <c r="AO169" s="961" t="str">
        <f t="shared" si="152"/>
        <v>Qty</v>
      </c>
      <c r="AP169" s="962" t="str">
        <f t="shared" si="152"/>
        <v>Sewerage</v>
      </c>
      <c r="AQ169" s="963" t="str">
        <f t="shared" si="153"/>
        <v xml:space="preserve">Price cap - Variable </v>
      </c>
      <c r="AR169" s="967">
        <f t="shared" si="154"/>
        <v>4.0143442699190235E-2</v>
      </c>
      <c r="AS169" s="964">
        <f t="shared" si="155"/>
        <v>8.4367744335790196E-2</v>
      </c>
      <c r="AT169" s="964">
        <f t="shared" si="156"/>
        <v>5.1484829293084733E-3</v>
      </c>
      <c r="AU169" s="964">
        <f t="shared" si="157"/>
        <v>1.2368287401573141E-2</v>
      </c>
      <c r="AV169" s="1350">
        <f t="shared" si="158"/>
        <v>2.3965817931730804E-2</v>
      </c>
      <c r="AW169" s="1343">
        <f t="shared" si="159"/>
        <v>1.5398175413689597E-2</v>
      </c>
      <c r="AX169" s="964">
        <f t="shared" si="160"/>
        <v>1.6973681942782592E-2</v>
      </c>
      <c r="AY169" s="964">
        <f t="shared" si="161"/>
        <v>2.0715372682472477E-2</v>
      </c>
      <c r="AZ169" s="964">
        <f t="shared" si="162"/>
        <v>1.4351679398128425E-2</v>
      </c>
      <c r="BA169" s="965">
        <f t="shared" si="163"/>
        <v>1.0768101483231929E-2</v>
      </c>
      <c r="BB169" s="1343">
        <f t="shared" si="164"/>
        <v>1.3162209020944227E-2</v>
      </c>
      <c r="BC169" s="964">
        <f t="shared" si="165"/>
        <v>1.9330814470768232E-2</v>
      </c>
      <c r="BD169" s="964">
        <f t="shared" si="166"/>
        <v>1.2774394389073684E-2</v>
      </c>
      <c r="BE169" s="964">
        <f t="shared" si="167"/>
        <v>1.8628706332512124E-2</v>
      </c>
      <c r="BF169" s="966">
        <f t="shared" si="168"/>
        <v>1.2118137117316685E-2</v>
      </c>
      <c r="BG169" s="951"/>
      <c r="BH169" s="961" t="str">
        <f t="shared" si="169"/>
        <v>Qty</v>
      </c>
      <c r="BI169" s="962" t="str">
        <f t="shared" si="170"/>
        <v>Sewerage</v>
      </c>
      <c r="BJ169" s="963" t="str">
        <f t="shared" si="171"/>
        <v xml:space="preserve">Price cap - Variable </v>
      </c>
      <c r="BK169" s="964">
        <f t="shared" ref="BK169:BU169" si="222">IF(V169="","-",IFERROR((V169/U169-1)*(U170/U$13),"-"))</f>
        <v>6.2480370147239585E-4</v>
      </c>
      <c r="BL169" s="964">
        <f t="shared" si="222"/>
        <v>2.886284401011777E-4</v>
      </c>
      <c r="BM169" s="964">
        <f t="shared" si="222"/>
        <v>1.9237762181493638E-5</v>
      </c>
      <c r="BN169" s="964">
        <f t="shared" si="222"/>
        <v>4.6180303785609957E-5</v>
      </c>
      <c r="BO169" s="1350">
        <f t="shared" si="222"/>
        <v>8.9458214102787294E-5</v>
      </c>
      <c r="BP169" s="1343">
        <f t="shared" si="222"/>
        <v>5.8884414269481303E-5</v>
      </c>
      <c r="BQ169" s="964">
        <f t="shared" si="222"/>
        <v>6.5579754080522394E-5</v>
      </c>
      <c r="BR169" s="964">
        <f t="shared" si="222"/>
        <v>7.8357869621584252E-5</v>
      </c>
      <c r="BS169" s="964">
        <f t="shared" si="222"/>
        <v>5.4362919219294045E-5</v>
      </c>
      <c r="BT169" s="965">
        <f t="shared" si="222"/>
        <v>4.06013270680959E-5</v>
      </c>
      <c r="BU169" s="964">
        <f t="shared" si="222"/>
        <v>4.9217045039412033E-5</v>
      </c>
      <c r="BV169" s="964">
        <f>IF(AG169="","-",IFERROR((AG169/AF169-1)*(AF170/AF$13),"-"))</f>
        <v>8.3865283693354559E-5</v>
      </c>
      <c r="BW169" s="964">
        <f>IF(AH169="","-",IFERROR((AH169/AG169-1)*(AG170/AG$13),"-"))</f>
        <v>5.5711740096521688E-5</v>
      </c>
      <c r="BX169" s="964">
        <f>IF(AI169="","-",IFERROR((AI169/AH169-1)*(AH170/AH$13),"-"))</f>
        <v>8.1093668252558667E-5</v>
      </c>
      <c r="BY169" s="966">
        <f>IF(AJ169="","-",IFERROR((AJ169/AI169-1)*(AI170/AI$13),"-"))</f>
        <v>5.2825403822554799E-5</v>
      </c>
      <c r="BZ169" s="951"/>
      <c r="CA169" s="961" t="str">
        <f t="shared" si="149"/>
        <v>Qty</v>
      </c>
      <c r="CB169" s="962" t="str">
        <f t="shared" si="150"/>
        <v>Sewerage</v>
      </c>
      <c r="CC169" s="962" t="str">
        <f t="shared" si="151"/>
        <v xml:space="preserve">Price cap - Variable </v>
      </c>
      <c r="CD169" s="967">
        <f t="shared" si="175"/>
        <v>6.2025422833834165E-2</v>
      </c>
      <c r="CE169" s="964">
        <f t="shared" si="175"/>
        <v>4.2717548339936684E-2</v>
      </c>
      <c r="CF169" s="964">
        <f t="shared" si="175"/>
        <v>3.5045984855252232E-2</v>
      </c>
      <c r="CG169" s="965">
        <f t="shared" si="175"/>
        <v>3.282040100723016E-2</v>
      </c>
      <c r="CH169" s="964">
        <f t="shared" si="176"/>
        <v>1.618562334272533E-2</v>
      </c>
      <c r="CI169" s="964">
        <f t="shared" si="176"/>
        <v>1.769330179417139E-2</v>
      </c>
      <c r="CJ169" s="964">
        <f t="shared" si="176"/>
        <v>1.6856865566933443E-2</v>
      </c>
      <c r="CK169" s="966">
        <f t="shared" si="176"/>
        <v>1.5636185549532167E-2</v>
      </c>
    </row>
    <row r="170" spans="4:89" ht="12.75" thickBot="1">
      <c r="E170" s="568" t="s">
        <v>882</v>
      </c>
      <c r="F170" s="560" t="str">
        <f>+F168</f>
        <v>Sewerage</v>
      </c>
      <c r="G170" s="561" t="str">
        <f>+G168</f>
        <v>GWW</v>
      </c>
      <c r="H170" s="561" t="str">
        <f>+H168</f>
        <v>Western Treatment</v>
      </c>
      <c r="I170" s="562" t="str">
        <f>+I168</f>
        <v xml:space="preserve">Price cap - Variable </v>
      </c>
      <c r="J170" s="563" t="s">
        <v>883</v>
      </c>
      <c r="K170" s="564">
        <f t="shared" ref="K170:AJ170" si="223">K168*K169/10^6</f>
        <v>0</v>
      </c>
      <c r="L170" s="565">
        <f t="shared" si="223"/>
        <v>0</v>
      </c>
      <c r="M170" s="565">
        <f t="shared" si="223"/>
        <v>0</v>
      </c>
      <c r="N170" s="564">
        <f t="shared" si="223"/>
        <v>0</v>
      </c>
      <c r="O170" s="565">
        <f t="shared" si="223"/>
        <v>0</v>
      </c>
      <c r="P170" s="565">
        <f t="shared" si="223"/>
        <v>0</v>
      </c>
      <c r="Q170" s="565">
        <f t="shared" si="223"/>
        <v>0</v>
      </c>
      <c r="R170" s="566">
        <f t="shared" si="223"/>
        <v>0</v>
      </c>
      <c r="S170" s="564">
        <f t="shared" si="223"/>
        <v>0</v>
      </c>
      <c r="T170" s="565">
        <f t="shared" si="223"/>
        <v>0</v>
      </c>
      <c r="U170" s="566">
        <f t="shared" si="223"/>
        <v>30.013972406006857</v>
      </c>
      <c r="V170" s="565">
        <f t="shared" si="223"/>
        <v>6.375145053660118</v>
      </c>
      <c r="W170" s="565">
        <f t="shared" si="223"/>
        <v>6.9138778349322054</v>
      </c>
      <c r="X170" s="565">
        <f t="shared" si="223"/>
        <v>6.9485178514595027</v>
      </c>
      <c r="Y170" s="565">
        <f t="shared" si="223"/>
        <v>7.0349056152860285</v>
      </c>
      <c r="Z170" s="565">
        <f t="shared" si="223"/>
        <v>7.2040258552905732</v>
      </c>
      <c r="AA170" s="564">
        <f t="shared" si="223"/>
        <v>7.3149142281087718</v>
      </c>
      <c r="AB170" s="565">
        <f t="shared" si="223"/>
        <v>7.4390752556554256</v>
      </c>
      <c r="AC170" s="565">
        <f t="shared" si="223"/>
        <v>7.5931784719892859</v>
      </c>
      <c r="AD170" s="565">
        <f t="shared" si="223"/>
        <v>7.7021533350320457</v>
      </c>
      <c r="AE170" s="566">
        <f t="shared" si="223"/>
        <v>7.7850909037830851</v>
      </c>
      <c r="AF170" s="565">
        <f t="shared" si="223"/>
        <v>9.4567911293225322</v>
      </c>
      <c r="AG170" s="565">
        <f>AG168*AG169/10^6</f>
        <v>9.6395986041322725</v>
      </c>
      <c r="AH170" s="565">
        <f>AH168*AH169/10^6</f>
        <v>9.7627386384538237</v>
      </c>
      <c r="AI170" s="565">
        <f>AI168*AI169/10^6</f>
        <v>9.9446058295506479</v>
      </c>
      <c r="AJ170" s="566">
        <f t="shared" si="223"/>
        <v>10.065115926570808</v>
      </c>
      <c r="AK170" s="548"/>
      <c r="AO170" s="984" t="str">
        <f t="shared" si="152"/>
        <v>Rev</v>
      </c>
      <c r="AP170" s="985" t="str">
        <f t="shared" si="152"/>
        <v>Sewerage</v>
      </c>
      <c r="AQ170" s="986" t="str">
        <f t="shared" si="153"/>
        <v xml:space="preserve">Price cap - Variable </v>
      </c>
      <c r="AR170" s="990">
        <f t="shared" si="154"/>
        <v>-0.7875940922640341</v>
      </c>
      <c r="AS170" s="987">
        <f t="shared" si="155"/>
        <v>8.4505180154730519E-2</v>
      </c>
      <c r="AT170" s="987">
        <f t="shared" si="156"/>
        <v>5.0102153023705576E-3</v>
      </c>
      <c r="AU170" s="987">
        <f t="shared" si="157"/>
        <v>1.2432545425263619E-2</v>
      </c>
      <c r="AV170" s="1353">
        <f t="shared" si="158"/>
        <v>2.4040157644342308E-2</v>
      </c>
      <c r="AW170" s="1346">
        <f t="shared" si="159"/>
        <v>1.5392556196444307E-2</v>
      </c>
      <c r="AX170" s="987">
        <f t="shared" si="160"/>
        <v>1.6973681942782592E-2</v>
      </c>
      <c r="AY170" s="987">
        <f t="shared" si="161"/>
        <v>2.0715372682472255E-2</v>
      </c>
      <c r="AZ170" s="987">
        <f t="shared" si="162"/>
        <v>1.4351679398128203E-2</v>
      </c>
      <c r="BA170" s="988">
        <f t="shared" si="163"/>
        <v>1.0768101483232151E-2</v>
      </c>
      <c r="BB170" s="1346">
        <f t="shared" si="164"/>
        <v>0.21473098338865926</v>
      </c>
      <c r="BC170" s="987">
        <f t="shared" si="165"/>
        <v>1.9330814470768232E-2</v>
      </c>
      <c r="BD170" s="987">
        <f t="shared" si="166"/>
        <v>1.2774394389073906E-2</v>
      </c>
      <c r="BE170" s="987">
        <f t="shared" si="167"/>
        <v>1.8628706332511902E-2</v>
      </c>
      <c r="BF170" s="989">
        <f t="shared" si="168"/>
        <v>1.2118137117316463E-2</v>
      </c>
      <c r="BG170" s="951"/>
      <c r="BH170" s="984" t="str">
        <f t="shared" si="169"/>
        <v>Rev</v>
      </c>
      <c r="BI170" s="985" t="str">
        <f t="shared" si="170"/>
        <v>Sewerage</v>
      </c>
      <c r="BJ170" s="986" t="str">
        <f t="shared" si="171"/>
        <v xml:space="preserve">Price cap - Variable </v>
      </c>
      <c r="BK170" s="987">
        <f t="shared" ref="BK170:BU170" si="224">IF(V170="","-",IFERROR((V170/U170-1)*(U170/U$13),"-"))</f>
        <v>-1.225833339187639E-2</v>
      </c>
      <c r="BL170" s="987">
        <f t="shared" si="224"/>
        <v>2.8909861844181095E-4</v>
      </c>
      <c r="BM170" s="987">
        <f t="shared" si="224"/>
        <v>1.872111295473037E-5</v>
      </c>
      <c r="BN170" s="987">
        <f t="shared" si="224"/>
        <v>4.6420228276231976E-5</v>
      </c>
      <c r="BO170" s="1353">
        <f t="shared" si="224"/>
        <v>8.9735705067046624E-5</v>
      </c>
      <c r="BP170" s="1346">
        <f t="shared" si="224"/>
        <v>5.8862925728972299E-5</v>
      </c>
      <c r="BQ170" s="987">
        <f t="shared" si="224"/>
        <v>6.5579754080522394E-5</v>
      </c>
      <c r="BR170" s="987">
        <f t="shared" si="224"/>
        <v>7.8357869621583411E-5</v>
      </c>
      <c r="BS170" s="987">
        <f t="shared" si="224"/>
        <v>5.4362919219293204E-5</v>
      </c>
      <c r="BT170" s="988">
        <f t="shared" si="224"/>
        <v>4.0601327068096734E-5</v>
      </c>
      <c r="BU170" s="987">
        <f t="shared" si="224"/>
        <v>8.0293698907075441E-4</v>
      </c>
      <c r="BV170" s="987">
        <f>IF(AG170="","-",IFERROR((AG170/AF170-1)*(AF170/AF$13),"-"))</f>
        <v>8.3865283693354559E-5</v>
      </c>
      <c r="BW170" s="987">
        <f>IF(AH170="","-",IFERROR((AH170/AG170-1)*(AG170/AG$13),"-"))</f>
        <v>5.5711740096522657E-5</v>
      </c>
      <c r="BX170" s="987">
        <f>IF(AI170="","-",IFERROR((AI170/AH170-1)*(AH170/AH$13),"-"))</f>
        <v>8.1093668252557705E-5</v>
      </c>
      <c r="BY170" s="989">
        <f>IF(AJ170="","-",IFERROR((AJ170/AI170-1)*(AI170/AI$13),"-"))</f>
        <v>5.2825403822553836E-5</v>
      </c>
      <c r="BZ170" s="951"/>
      <c r="CA170" s="984" t="str">
        <f t="shared" si="149"/>
        <v>Rev</v>
      </c>
      <c r="CB170" s="985" t="str">
        <f t="shared" si="150"/>
        <v>Sewerage</v>
      </c>
      <c r="CC170" s="985" t="str">
        <f t="shared" si="151"/>
        <v xml:space="preserve">Price cap - Variable </v>
      </c>
      <c r="CD170" s="990">
        <f t="shared" si="175"/>
        <v>-0.52004655722130422</v>
      </c>
      <c r="CE170" s="987">
        <f t="shared" si="175"/>
        <v>-0.38597003392932971</v>
      </c>
      <c r="CF170" s="987">
        <f t="shared" si="175"/>
        <v>-0.30420116216201254</v>
      </c>
      <c r="CG170" s="988">
        <f t="shared" si="175"/>
        <v>-0.24828994967120843</v>
      </c>
      <c r="CH170" s="987">
        <f t="shared" si="176"/>
        <v>1.6182811551342935E-2</v>
      </c>
      <c r="CI170" s="987">
        <f t="shared" si="176"/>
        <v>1.7691424484547413E-2</v>
      </c>
      <c r="CJ170" s="987">
        <f t="shared" si="176"/>
        <v>1.6855458741603435E-2</v>
      </c>
      <c r="CK170" s="989">
        <f t="shared" si="176"/>
        <v>1.5635061440165021E-2</v>
      </c>
    </row>
    <row r="171" spans="4:89">
      <c r="D171" s="63">
        <f>D168+1</f>
        <v>35</v>
      </c>
      <c r="E171" s="550" t="s">
        <v>857</v>
      </c>
      <c r="F171" s="595" t="s">
        <v>402</v>
      </c>
      <c r="G171" s="595" t="s">
        <v>92</v>
      </c>
      <c r="H171" s="595" t="s">
        <v>891</v>
      </c>
      <c r="I171" s="589" t="s">
        <v>941</v>
      </c>
      <c r="J171" s="589" t="s">
        <v>879</v>
      </c>
      <c r="K171" s="551"/>
      <c r="L171" s="552"/>
      <c r="M171" s="552"/>
      <c r="N171" s="551"/>
      <c r="O171" s="552"/>
      <c r="P171" s="552"/>
      <c r="Q171" s="552"/>
      <c r="R171" s="1035"/>
      <c r="S171" s="1138"/>
      <c r="T171" s="591"/>
      <c r="U171" s="1035">
        <v>353.909974271012</v>
      </c>
      <c r="V171" s="591">
        <v>72.271348600508901</v>
      </c>
      <c r="W171" s="591">
        <v>72.280508474576266</v>
      </c>
      <c r="X171" s="591">
        <v>72.270565610859734</v>
      </c>
      <c r="Y171" s="591">
        <v>72.275152838427942</v>
      </c>
      <c r="Z171" s="591">
        <v>72.2804</v>
      </c>
      <c r="AA171" s="1138">
        <v>72.28</v>
      </c>
      <c r="AB171" s="591">
        <v>72.28</v>
      </c>
      <c r="AC171" s="591">
        <v>72.28</v>
      </c>
      <c r="AD171" s="591">
        <v>72.28</v>
      </c>
      <c r="AE171" s="1035">
        <v>72.28</v>
      </c>
      <c r="AF171" s="591">
        <v>86.660116906825181</v>
      </c>
      <c r="AG171" s="591">
        <v>86.660116906825181</v>
      </c>
      <c r="AH171" s="591">
        <v>86.660116906825181</v>
      </c>
      <c r="AI171" s="591">
        <v>86.660116906825181</v>
      </c>
      <c r="AJ171" s="592">
        <v>86.660116906825181</v>
      </c>
      <c r="AK171" s="548"/>
      <c r="AM171" s="974"/>
      <c r="AO171" s="975" t="str">
        <f t="shared" si="152"/>
        <v>Price</v>
      </c>
      <c r="AP171" s="976" t="str">
        <f t="shared" si="152"/>
        <v>Sewerage</v>
      </c>
      <c r="AQ171" s="977" t="str">
        <f t="shared" si="153"/>
        <v xml:space="preserve">Price cap - Variable </v>
      </c>
      <c r="AR171" s="1341">
        <f t="shared" si="154"/>
        <v>-0.79579171581876351</v>
      </c>
      <c r="AS171" s="978">
        <f t="shared" si="155"/>
        <v>1.2674281364244422E-4</v>
      </c>
      <c r="AT171" s="979">
        <f t="shared" si="156"/>
        <v>-1.3755940469106775E-4</v>
      </c>
      <c r="AU171" s="979">
        <f t="shared" si="157"/>
        <v>6.347297173392441E-5</v>
      </c>
      <c r="AV171" s="1352">
        <f t="shared" si="158"/>
        <v>7.2599799045613977E-5</v>
      </c>
      <c r="AW171" s="1345">
        <f t="shared" si="159"/>
        <v>-5.5340036856366126E-6</v>
      </c>
      <c r="AX171" s="979">
        <f t="shared" si="160"/>
        <v>0</v>
      </c>
      <c r="AY171" s="979">
        <f t="shared" si="161"/>
        <v>0</v>
      </c>
      <c r="AZ171" s="979">
        <f t="shared" si="162"/>
        <v>0</v>
      </c>
      <c r="BA171" s="980">
        <f t="shared" si="163"/>
        <v>0</v>
      </c>
      <c r="BB171" s="1345">
        <f t="shared" si="164"/>
        <v>0.19895015089686185</v>
      </c>
      <c r="BC171" s="979">
        <f t="shared" si="165"/>
        <v>0</v>
      </c>
      <c r="BD171" s="979">
        <f t="shared" si="166"/>
        <v>0</v>
      </c>
      <c r="BE171" s="979">
        <f t="shared" si="167"/>
        <v>0</v>
      </c>
      <c r="BF171" s="981">
        <f t="shared" si="168"/>
        <v>0</v>
      </c>
      <c r="BG171" s="951"/>
      <c r="BH171" s="975" t="str">
        <f t="shared" si="169"/>
        <v>Price</v>
      </c>
      <c r="BI171" s="976" t="str">
        <f t="shared" si="170"/>
        <v>Sewerage</v>
      </c>
      <c r="BJ171" s="977" t="str">
        <f t="shared" si="171"/>
        <v xml:space="preserve">Price cap - Variable </v>
      </c>
      <c r="BK171" s="978">
        <f t="shared" ref="BK171:BU171" si="225">IF(V171="","-",IFERROR((V171/U171-1)*(U173/U$13),"-"))</f>
        <v>-4.0107399347163088E-3</v>
      </c>
      <c r="BL171" s="978">
        <f t="shared" si="225"/>
        <v>1.328153831952462E-7</v>
      </c>
      <c r="BM171" s="979">
        <f t="shared" si="225"/>
        <v>-1.6543498375890649E-7</v>
      </c>
      <c r="BN171" s="979">
        <f t="shared" si="225"/>
        <v>7.6323334244070196E-8</v>
      </c>
      <c r="BO171" s="1352">
        <f t="shared" si="225"/>
        <v>8.426328696143774E-8</v>
      </c>
      <c r="BP171" s="1345">
        <f t="shared" si="225"/>
        <v>-6.5418269529233491E-9</v>
      </c>
      <c r="BQ171" s="979">
        <f t="shared" si="225"/>
        <v>0</v>
      </c>
      <c r="BR171" s="979">
        <f t="shared" si="225"/>
        <v>0</v>
      </c>
      <c r="BS171" s="979">
        <f t="shared" si="225"/>
        <v>0</v>
      </c>
      <c r="BT171" s="980">
        <f t="shared" si="225"/>
        <v>0</v>
      </c>
      <c r="BU171" s="979">
        <f t="shared" si="225"/>
        <v>2.245233898255589E-4</v>
      </c>
      <c r="BV171" s="979">
        <f>IF(AG171="","-",IFERROR((AG171/AF171-1)*(AF173/AF$13),"-"))</f>
        <v>0</v>
      </c>
      <c r="BW171" s="979">
        <f>IF(AH171="","-",IFERROR((AH171/AG171-1)*(AG173/AG$13),"-"))</f>
        <v>0</v>
      </c>
      <c r="BX171" s="979">
        <f>IF(AI171="","-",IFERROR((AI171/AH171-1)*(AH173/AH$13),"-"))</f>
        <v>0</v>
      </c>
      <c r="BY171" s="981">
        <f>IF(AJ171="","-",IFERROR((AJ171/AI171-1)*(AI173/AI$13),"-"))</f>
        <v>0</v>
      </c>
      <c r="BZ171" s="951"/>
      <c r="CA171" s="975" t="str">
        <f t="shared" si="149"/>
        <v>Price</v>
      </c>
      <c r="CB171" s="976" t="str">
        <f t="shared" si="150"/>
        <v>Sewerage</v>
      </c>
      <c r="CC171" s="982" t="str">
        <f t="shared" si="151"/>
        <v xml:space="preserve">Price cap - Variable </v>
      </c>
      <c r="CD171" s="983">
        <f t="shared" si="175"/>
        <v>-0.54807725647657135</v>
      </c>
      <c r="CE171" s="979">
        <f t="shared" si="175"/>
        <v>-0.41112531668020791</v>
      </c>
      <c r="CF171" s="979">
        <f t="shared" si="175"/>
        <v>-0.32776045893720107</v>
      </c>
      <c r="CG171" s="980">
        <f t="shared" si="175"/>
        <v>-0.2721773799242283</v>
      </c>
      <c r="CH171" s="979">
        <f t="shared" si="176"/>
        <v>-2.7670056710338287E-6</v>
      </c>
      <c r="CI171" s="979">
        <f t="shared" si="176"/>
        <v>-1.8446712980457747E-6</v>
      </c>
      <c r="CJ171" s="979">
        <f t="shared" si="176"/>
        <v>-1.3835037925291616E-6</v>
      </c>
      <c r="CK171" s="981">
        <f t="shared" si="176"/>
        <v>-1.1068031871008799E-6</v>
      </c>
    </row>
    <row r="172" spans="4:89">
      <c r="E172" s="567" t="s">
        <v>880</v>
      </c>
      <c r="F172" s="554" t="str">
        <f>+F171</f>
        <v>Sewerage</v>
      </c>
      <c r="G172" s="555" t="str">
        <f>+G171</f>
        <v>SEW</v>
      </c>
      <c r="H172" s="555" t="str">
        <f>+H171</f>
        <v>Western Treatment</v>
      </c>
      <c r="I172" s="556" t="str">
        <f>+I171</f>
        <v xml:space="preserve">Price cap - Variable </v>
      </c>
      <c r="J172" s="590" t="s">
        <v>887</v>
      </c>
      <c r="K172" s="557"/>
      <c r="L172" s="558"/>
      <c r="M172" s="558"/>
      <c r="N172" s="557"/>
      <c r="O172" s="558"/>
      <c r="P172" s="558"/>
      <c r="Q172" s="558"/>
      <c r="R172" s="1036"/>
      <c r="S172" s="1139"/>
      <c r="T172" s="593"/>
      <c r="U172" s="1036">
        <v>27461.659999999996</v>
      </c>
      <c r="V172" s="593">
        <v>27020.057142857146</v>
      </c>
      <c r="W172" s="593">
        <v>30786.639999999996</v>
      </c>
      <c r="X172" s="593">
        <v>30963.639999999992</v>
      </c>
      <c r="Y172" s="593">
        <v>30265.249999999996</v>
      </c>
      <c r="Z172" s="593">
        <v>30809.399001388003</v>
      </c>
      <c r="AA172" s="1139">
        <v>31127.987229696708</v>
      </c>
      <c r="AB172" s="593">
        <v>31473.776142272385</v>
      </c>
      <c r="AC172" s="593">
        <v>31935.325918119037</v>
      </c>
      <c r="AD172" s="593">
        <v>32251.597379169267</v>
      </c>
      <c r="AE172" s="1036">
        <v>32506.941499771565</v>
      </c>
      <c r="AF172" s="593">
        <v>32826.291021506448</v>
      </c>
      <c r="AG172" s="593">
        <v>33302.444499038553</v>
      </c>
      <c r="AH172" s="593">
        <v>33621.462525534131</v>
      </c>
      <c r="AI172" s="593">
        <v>34095.851864601507</v>
      </c>
      <c r="AJ172" s="594">
        <v>34405.205457427815</v>
      </c>
      <c r="AK172" s="548"/>
      <c r="AO172" s="961" t="str">
        <f t="shared" si="152"/>
        <v>Qty</v>
      </c>
      <c r="AP172" s="962" t="str">
        <f t="shared" si="152"/>
        <v>Sewerage</v>
      </c>
      <c r="AQ172" s="963" t="str">
        <f t="shared" si="153"/>
        <v xml:space="preserve">Price cap - Variable </v>
      </c>
      <c r="AR172" s="967">
        <f t="shared" si="154"/>
        <v>-1.6080705141016671E-2</v>
      </c>
      <c r="AS172" s="964">
        <f t="shared" si="155"/>
        <v>0.1393995148577456</v>
      </c>
      <c r="AT172" s="964">
        <f t="shared" si="156"/>
        <v>5.7492470760043268E-3</v>
      </c>
      <c r="AU172" s="964">
        <f t="shared" si="157"/>
        <v>-2.2555164702857788E-2</v>
      </c>
      <c r="AV172" s="1350">
        <f t="shared" si="158"/>
        <v>1.7979332778946366E-2</v>
      </c>
      <c r="AW172" s="1343">
        <f t="shared" si="159"/>
        <v>1.0340618078734654E-2</v>
      </c>
      <c r="AX172" s="964">
        <f t="shared" si="160"/>
        <v>1.1108617785790864E-2</v>
      </c>
      <c r="AY172" s="964">
        <f t="shared" si="161"/>
        <v>1.4664582151194372E-2</v>
      </c>
      <c r="AZ172" s="964">
        <f t="shared" si="162"/>
        <v>9.903498773149666E-3</v>
      </c>
      <c r="BA172" s="965">
        <f t="shared" si="163"/>
        <v>7.9172549998165476E-3</v>
      </c>
      <c r="BB172" s="1343">
        <f t="shared" si="164"/>
        <v>9.8240408663832213E-3</v>
      </c>
      <c r="BC172" s="964">
        <f t="shared" si="165"/>
        <v>1.4505247553558531E-2</v>
      </c>
      <c r="BD172" s="964">
        <f t="shared" si="166"/>
        <v>9.5794177062524799E-3</v>
      </c>
      <c r="BE172" s="964">
        <f t="shared" si="167"/>
        <v>1.4109717526627374E-2</v>
      </c>
      <c r="BF172" s="966">
        <f t="shared" si="168"/>
        <v>9.0730565716552469E-3</v>
      </c>
      <c r="BG172" s="951"/>
      <c r="BH172" s="961" t="str">
        <f t="shared" si="169"/>
        <v>Qty</v>
      </c>
      <c r="BI172" s="962" t="str">
        <f t="shared" si="170"/>
        <v>Sewerage</v>
      </c>
      <c r="BJ172" s="963" t="str">
        <f t="shared" si="171"/>
        <v xml:space="preserve">Price cap - Variable </v>
      </c>
      <c r="BK172" s="964">
        <f t="shared" ref="BK172:BU172" si="226">IF(V172="","-",IFERROR((V172/U172-1)*(U173/U$13),"-"))</f>
        <v>-8.1045737226751754E-5</v>
      </c>
      <c r="BL172" s="964">
        <f t="shared" si="226"/>
        <v>1.4607849905631817E-4</v>
      </c>
      <c r="BM172" s="964">
        <f t="shared" si="226"/>
        <v>6.914297126981363E-6</v>
      </c>
      <c r="BN172" s="964">
        <f t="shared" si="226"/>
        <v>-2.7121549968743415E-5</v>
      </c>
      <c r="BO172" s="1350">
        <f t="shared" si="226"/>
        <v>2.086779436366867E-5</v>
      </c>
      <c r="BP172" s="1343">
        <f t="shared" si="226"/>
        <v>1.2223796350719451E-5</v>
      </c>
      <c r="BQ172" s="964">
        <f t="shared" si="226"/>
        <v>1.3201208592906721E-5</v>
      </c>
      <c r="BR172" s="964">
        <f t="shared" si="226"/>
        <v>1.6963193070786606E-5</v>
      </c>
      <c r="BS172" s="964">
        <f t="shared" si="226"/>
        <v>1.1403931149231309E-5</v>
      </c>
      <c r="BT172" s="965">
        <f t="shared" si="226"/>
        <v>9.035099404567247E-6</v>
      </c>
      <c r="BU172" s="964">
        <f t="shared" si="226"/>
        <v>1.1086832290208498E-5</v>
      </c>
      <c r="BV172" s="964">
        <f>IF(AG172="","-",IFERROR((AG172/AF172-1)*(AF173/AF$13),"-"))</f>
        <v>1.8930169466642803E-5</v>
      </c>
      <c r="BW172" s="964">
        <f>IF(AH172="","-",IFERROR((AH172/AG172-1)*(AG173/AG$13),"-"))</f>
        <v>1.2507829361863273E-5</v>
      </c>
      <c r="BX172" s="964">
        <f>IF(AI172="","-",IFERROR((AI172/AH172-1)*(AH173/AH$13),"-"))</f>
        <v>1.833102619283906E-5</v>
      </c>
      <c r="BY172" s="966">
        <f>IF(AJ172="","-",IFERROR((AJ172/AI172-1)*(AI173/AI$13),"-"))</f>
        <v>1.1751514057782581E-5</v>
      </c>
      <c r="BZ172" s="951"/>
      <c r="CA172" s="961" t="str">
        <f t="shared" si="149"/>
        <v>Qty</v>
      </c>
      <c r="CB172" s="962" t="str">
        <f t="shared" si="150"/>
        <v>Sewerage</v>
      </c>
      <c r="CC172" s="962" t="str">
        <f t="shared" si="151"/>
        <v xml:space="preserve">Price cap - Variable </v>
      </c>
      <c r="CD172" s="967">
        <f t="shared" si="175"/>
        <v>5.8809315798411754E-2</v>
      </c>
      <c r="CE172" s="964">
        <f t="shared" si="175"/>
        <v>4.0818671475197466E-2</v>
      </c>
      <c r="CF172" s="964">
        <f t="shared" si="175"/>
        <v>2.4600043418916195E-2</v>
      </c>
      <c r="CG172" s="965">
        <f t="shared" si="175"/>
        <v>2.327246545052275E-2</v>
      </c>
      <c r="CH172" s="964">
        <f t="shared" si="176"/>
        <v>1.0724544986630447E-2</v>
      </c>
      <c r="CI172" s="964">
        <f t="shared" si="176"/>
        <v>1.2036187819728372E-2</v>
      </c>
      <c r="CJ172" s="964">
        <f t="shared" si="176"/>
        <v>1.1502593701701924E-2</v>
      </c>
      <c r="CK172" s="966">
        <f t="shared" si="176"/>
        <v>1.0784507115879416E-2</v>
      </c>
    </row>
    <row r="173" spans="4:89" ht="12.75" thickBot="1">
      <c r="E173" s="568" t="s">
        <v>882</v>
      </c>
      <c r="F173" s="560" t="str">
        <f>+F171</f>
        <v>Sewerage</v>
      </c>
      <c r="G173" s="561" t="str">
        <f>+G171</f>
        <v>SEW</v>
      </c>
      <c r="H173" s="561" t="str">
        <f>+H171</f>
        <v>Western Treatment</v>
      </c>
      <c r="I173" s="562" t="str">
        <f>+I171</f>
        <v xml:space="preserve">Price cap - Variable </v>
      </c>
      <c r="J173" s="563" t="s">
        <v>883</v>
      </c>
      <c r="K173" s="564">
        <f t="shared" ref="K173:AJ173" si="227">K171*K172/10^6</f>
        <v>0</v>
      </c>
      <c r="L173" s="565">
        <f t="shared" si="227"/>
        <v>0</v>
      </c>
      <c r="M173" s="565">
        <f t="shared" si="227"/>
        <v>0</v>
      </c>
      <c r="N173" s="564">
        <f t="shared" si="227"/>
        <v>0</v>
      </c>
      <c r="O173" s="565">
        <f t="shared" si="227"/>
        <v>0</v>
      </c>
      <c r="P173" s="565">
        <f t="shared" si="227"/>
        <v>0</v>
      </c>
      <c r="Q173" s="565">
        <f t="shared" si="227"/>
        <v>0</v>
      </c>
      <c r="R173" s="566">
        <f t="shared" si="227"/>
        <v>0</v>
      </c>
      <c r="S173" s="564">
        <f t="shared" si="227"/>
        <v>0</v>
      </c>
      <c r="T173" s="565">
        <f t="shared" si="227"/>
        <v>0</v>
      </c>
      <c r="U173" s="566">
        <f t="shared" si="227"/>
        <v>9.7189553840392797</v>
      </c>
      <c r="V173" s="565">
        <f t="shared" si="227"/>
        <v>1.9527759689770994</v>
      </c>
      <c r="W173" s="565">
        <f t="shared" si="227"/>
        <v>2.2252739934237282</v>
      </c>
      <c r="X173" s="565">
        <f t="shared" si="227"/>
        <v>2.2377597761710404</v>
      </c>
      <c r="Y173" s="565">
        <f t="shared" si="227"/>
        <v>2.187425569443231</v>
      </c>
      <c r="Z173" s="565">
        <f t="shared" si="227"/>
        <v>2.2269156835799255</v>
      </c>
      <c r="AA173" s="564">
        <f t="shared" si="227"/>
        <v>2.2499309169624779</v>
      </c>
      <c r="AB173" s="565">
        <f t="shared" si="227"/>
        <v>2.2749245395634481</v>
      </c>
      <c r="AC173" s="565">
        <f t="shared" si="227"/>
        <v>2.308285357361644</v>
      </c>
      <c r="AD173" s="565">
        <f t="shared" si="227"/>
        <v>2.3311454585663545</v>
      </c>
      <c r="AE173" s="566">
        <f t="shared" si="227"/>
        <v>2.3496017316034887</v>
      </c>
      <c r="AF173" s="565">
        <f t="shared" si="227"/>
        <v>2.8447302175412146</v>
      </c>
      <c r="AG173" s="565">
        <f>AG171*AG172/10^6</f>
        <v>2.8859937335697379</v>
      </c>
      <c r="AH173" s="565">
        <f>AH171*AH172/10^6</f>
        <v>2.9136398730412298</v>
      </c>
      <c r="AI173" s="565">
        <f>AI171*AI172/10^6</f>
        <v>2.9547505086241599</v>
      </c>
      <c r="AJ173" s="566">
        <f t="shared" si="227"/>
        <v>2.9815591271440338</v>
      </c>
      <c r="AK173" s="548"/>
      <c r="AO173" s="984" t="str">
        <f t="shared" si="152"/>
        <v>Rev</v>
      </c>
      <c r="AP173" s="985" t="str">
        <f t="shared" si="152"/>
        <v>Sewerage</v>
      </c>
      <c r="AQ173" s="986" t="str">
        <f t="shared" si="153"/>
        <v xml:space="preserve">Price cap - Variable </v>
      </c>
      <c r="AR173" s="990">
        <f t="shared" si="154"/>
        <v>-0.799075529024035</v>
      </c>
      <c r="AS173" s="987">
        <f t="shared" si="155"/>
        <v>0.13954392555812145</v>
      </c>
      <c r="AT173" s="987">
        <f t="shared" si="156"/>
        <v>5.6108968083081745E-3</v>
      </c>
      <c r="AU173" s="987">
        <f t="shared" si="157"/>
        <v>-2.2493123374455637E-2</v>
      </c>
      <c r="AV173" s="1353">
        <f t="shared" si="158"/>
        <v>1.8053237873938643E-2</v>
      </c>
      <c r="AW173" s="1346">
        <f t="shared" si="159"/>
        <v>1.0335026850030404E-2</v>
      </c>
      <c r="AX173" s="987">
        <f t="shared" si="160"/>
        <v>1.1108617785790864E-2</v>
      </c>
      <c r="AY173" s="987">
        <f t="shared" si="161"/>
        <v>1.466458215119415E-2</v>
      </c>
      <c r="AZ173" s="987">
        <f t="shared" si="162"/>
        <v>9.903498773149666E-3</v>
      </c>
      <c r="BA173" s="988">
        <f t="shared" si="163"/>
        <v>7.9172549998165476E-3</v>
      </c>
      <c r="BB173" s="1346">
        <f t="shared" si="164"/>
        <v>0.21072868617602891</v>
      </c>
      <c r="BC173" s="987">
        <f t="shared" si="165"/>
        <v>1.4505247553558309E-2</v>
      </c>
      <c r="BD173" s="987">
        <f t="shared" si="166"/>
        <v>9.5794177062527019E-3</v>
      </c>
      <c r="BE173" s="987">
        <f t="shared" si="167"/>
        <v>1.4109717526627374E-2</v>
      </c>
      <c r="BF173" s="989">
        <f t="shared" si="168"/>
        <v>9.0730565716552469E-3</v>
      </c>
      <c r="BG173" s="951"/>
      <c r="BH173" s="984" t="str">
        <f t="shared" si="169"/>
        <v>Rev</v>
      </c>
      <c r="BI173" s="985" t="str">
        <f t="shared" si="170"/>
        <v>Sewerage</v>
      </c>
      <c r="BJ173" s="986" t="str">
        <f t="shared" si="171"/>
        <v xml:space="preserve">Price cap - Variable </v>
      </c>
      <c r="BK173" s="987">
        <f t="shared" ref="BK173:BU173" si="228">IF(V173="","-",IFERROR((V173/U173-1)*(U173/U$13),"-"))</f>
        <v>-4.0272901456555876E-3</v>
      </c>
      <c r="BL173" s="987">
        <f t="shared" si="228"/>
        <v>1.4622982883949644E-4</v>
      </c>
      <c r="BM173" s="987">
        <f t="shared" si="228"/>
        <v>6.7479110166259476E-6</v>
      </c>
      <c r="BN173" s="987">
        <f t="shared" si="228"/>
        <v>-2.7046948119874052E-5</v>
      </c>
      <c r="BO173" s="1353">
        <f t="shared" si="228"/>
        <v>2.0953572648307365E-5</v>
      </c>
      <c r="BP173" s="1346">
        <f t="shared" si="228"/>
        <v>1.2217186877232407E-5</v>
      </c>
      <c r="BQ173" s="987">
        <f t="shared" si="228"/>
        <v>1.3201208592906721E-5</v>
      </c>
      <c r="BR173" s="987">
        <f t="shared" si="228"/>
        <v>1.6963193070786348E-5</v>
      </c>
      <c r="BS173" s="987">
        <f t="shared" si="228"/>
        <v>1.1403931149231309E-5</v>
      </c>
      <c r="BT173" s="988">
        <f t="shared" si="228"/>
        <v>9.035099404567247E-6</v>
      </c>
      <c r="BU173" s="987">
        <f t="shared" si="228"/>
        <v>2.3781594907287254E-4</v>
      </c>
      <c r="BV173" s="987">
        <f>IF(AG173="","-",IFERROR((AG173/AF173-1)*(AF173/AF$13),"-"))</f>
        <v>1.8930169466642511E-5</v>
      </c>
      <c r="BW173" s="987">
        <f>IF(AH173="","-",IFERROR((AH173/AG173-1)*(AG173/AG$13),"-"))</f>
        <v>1.2507829361863563E-5</v>
      </c>
      <c r="BX173" s="987">
        <f>IF(AI173="","-",IFERROR((AI173/AH173-1)*(AH173/AH$13),"-"))</f>
        <v>1.833102619283906E-5</v>
      </c>
      <c r="BY173" s="989">
        <f>IF(AJ173="","-",IFERROR((AJ173/AI173-1)*(AI173/AI$13),"-"))</f>
        <v>1.1751514057782581E-5</v>
      </c>
      <c r="BZ173" s="951"/>
      <c r="CA173" s="984" t="str">
        <f t="shared" si="149"/>
        <v>Rev</v>
      </c>
      <c r="CB173" s="985" t="str">
        <f t="shared" si="150"/>
        <v>Sewerage</v>
      </c>
      <c r="CC173" s="985" t="str">
        <f t="shared" si="151"/>
        <v xml:space="preserve">Price cap - Variable </v>
      </c>
      <c r="CD173" s="990">
        <f t="shared" si="175"/>
        <v>-0.52149998913621742</v>
      </c>
      <c r="CE173" s="987">
        <f t="shared" si="175"/>
        <v>-0.38708823444171636</v>
      </c>
      <c r="CF173" s="987">
        <f t="shared" si="175"/>
        <v>-0.31122333703914395</v>
      </c>
      <c r="CG173" s="988">
        <f t="shared" si="175"/>
        <v>-0.25523915314440593</v>
      </c>
      <c r="CH173" s="987">
        <f t="shared" si="176"/>
        <v>1.0721748306082635E-2</v>
      </c>
      <c r="CI173" s="987">
        <f t="shared" si="176"/>
        <v>1.2034320945620181E-2</v>
      </c>
      <c r="CJ173" s="987">
        <f t="shared" si="176"/>
        <v>1.1501194284027294E-2</v>
      </c>
      <c r="CK173" s="989">
        <f t="shared" si="176"/>
        <v>1.0783388376365499E-2</v>
      </c>
    </row>
    <row r="174" spans="4:89">
      <c r="D174" s="63">
        <f>D171+1</f>
        <v>36</v>
      </c>
      <c r="E174" s="550" t="s">
        <v>857</v>
      </c>
      <c r="F174" s="595" t="s">
        <v>402</v>
      </c>
      <c r="G174" s="595" t="s">
        <v>103</v>
      </c>
      <c r="H174" s="595" t="s">
        <v>891</v>
      </c>
      <c r="I174" s="589" t="s">
        <v>941</v>
      </c>
      <c r="J174" s="589" t="s">
        <v>879</v>
      </c>
      <c r="K174" s="551"/>
      <c r="L174" s="552"/>
      <c r="M174" s="552"/>
      <c r="N174" s="551"/>
      <c r="O174" s="552"/>
      <c r="P174" s="552"/>
      <c r="Q174" s="552"/>
      <c r="R174" s="1035"/>
      <c r="S174" s="1138"/>
      <c r="T174" s="591"/>
      <c r="U174" s="1035">
        <v>353.909974271012</v>
      </c>
      <c r="V174" s="591">
        <v>72.271348600508901</v>
      </c>
      <c r="W174" s="591">
        <v>72.280508474576266</v>
      </c>
      <c r="X174" s="591">
        <v>72.270565610859734</v>
      </c>
      <c r="Y174" s="591">
        <v>72.275152838427942</v>
      </c>
      <c r="Z174" s="591">
        <v>72.2804</v>
      </c>
      <c r="AA174" s="1138">
        <v>72.28</v>
      </c>
      <c r="AB174" s="591">
        <v>72.28</v>
      </c>
      <c r="AC174" s="591">
        <v>72.28</v>
      </c>
      <c r="AD174" s="591">
        <v>72.28</v>
      </c>
      <c r="AE174" s="1035">
        <v>72.28</v>
      </c>
      <c r="AF174" s="591">
        <v>86.660116906825181</v>
      </c>
      <c r="AG174" s="591">
        <v>86.660116906825181</v>
      </c>
      <c r="AH174" s="591">
        <v>86.660116906825181</v>
      </c>
      <c r="AI174" s="591">
        <v>86.660116906825181</v>
      </c>
      <c r="AJ174" s="592">
        <v>86.660116906825181</v>
      </c>
      <c r="AK174" s="548"/>
      <c r="AM174" s="974"/>
      <c r="AO174" s="975" t="str">
        <f t="shared" si="152"/>
        <v>Price</v>
      </c>
      <c r="AP174" s="976" t="str">
        <f t="shared" si="152"/>
        <v>Sewerage</v>
      </c>
      <c r="AQ174" s="977" t="str">
        <f t="shared" si="153"/>
        <v xml:space="preserve">Price cap - Variable </v>
      </c>
      <c r="AR174" s="1341">
        <f t="shared" si="154"/>
        <v>-0.79579171581876351</v>
      </c>
      <c r="AS174" s="978">
        <f t="shared" si="155"/>
        <v>1.2674281364244422E-4</v>
      </c>
      <c r="AT174" s="979">
        <f t="shared" si="156"/>
        <v>-1.3755940469106775E-4</v>
      </c>
      <c r="AU174" s="979">
        <f t="shared" si="157"/>
        <v>6.347297173392441E-5</v>
      </c>
      <c r="AV174" s="1352">
        <f t="shared" si="158"/>
        <v>7.2599799045613977E-5</v>
      </c>
      <c r="AW174" s="1345">
        <f t="shared" si="159"/>
        <v>-5.5340036856366126E-6</v>
      </c>
      <c r="AX174" s="979">
        <f t="shared" si="160"/>
        <v>0</v>
      </c>
      <c r="AY174" s="979">
        <f t="shared" si="161"/>
        <v>0</v>
      </c>
      <c r="AZ174" s="979">
        <f t="shared" si="162"/>
        <v>0</v>
      </c>
      <c r="BA174" s="980">
        <f t="shared" si="163"/>
        <v>0</v>
      </c>
      <c r="BB174" s="1345">
        <f t="shared" si="164"/>
        <v>0.19895015089686185</v>
      </c>
      <c r="BC174" s="979">
        <f t="shared" si="165"/>
        <v>0</v>
      </c>
      <c r="BD174" s="979">
        <f t="shared" si="166"/>
        <v>0</v>
      </c>
      <c r="BE174" s="979">
        <f t="shared" si="167"/>
        <v>0</v>
      </c>
      <c r="BF174" s="981">
        <f t="shared" si="168"/>
        <v>0</v>
      </c>
      <c r="BG174" s="951"/>
      <c r="BH174" s="975" t="str">
        <f t="shared" si="169"/>
        <v>Price</v>
      </c>
      <c r="BI174" s="976" t="str">
        <f t="shared" si="170"/>
        <v>Sewerage</v>
      </c>
      <c r="BJ174" s="977" t="str">
        <f t="shared" si="171"/>
        <v xml:space="preserve">Price cap - Variable </v>
      </c>
      <c r="BK174" s="978">
        <f t="shared" ref="BK174:BU174" si="229">IF(V174="","-",IFERROR((V174/U174-1)*(U176/U$13),"-"))</f>
        <v>-1.264968744852266E-2</v>
      </c>
      <c r="BL174" s="978">
        <f t="shared" si="229"/>
        <v>4.3723824424228642E-7</v>
      </c>
      <c r="BM174" s="979">
        <f t="shared" si="229"/>
        <v>-5.0718035847381223E-7</v>
      </c>
      <c r="BN174" s="979">
        <f t="shared" si="229"/>
        <v>2.0852283151176967E-7</v>
      </c>
      <c r="BO174" s="1352">
        <f t="shared" si="229"/>
        <v>2.3732677755873433E-7</v>
      </c>
      <c r="BP174" s="1345">
        <f t="shared" si="229"/>
        <v>-1.8501536961269962E-8</v>
      </c>
      <c r="BQ174" s="979">
        <f t="shared" si="229"/>
        <v>0</v>
      </c>
      <c r="BR174" s="979">
        <f t="shared" si="229"/>
        <v>0</v>
      </c>
      <c r="BS174" s="979">
        <f t="shared" si="229"/>
        <v>0</v>
      </c>
      <c r="BT174" s="980">
        <f t="shared" si="229"/>
        <v>0</v>
      </c>
      <c r="BU174" s="979">
        <f t="shared" si="229"/>
        <v>5.8522487601617016E-4</v>
      </c>
      <c r="BV174" s="979">
        <f>IF(AG174="","-",IFERROR((AG174/AF174-1)*(AF176/AF$13),"-"))</f>
        <v>0</v>
      </c>
      <c r="BW174" s="979">
        <f>IF(AH174="","-",IFERROR((AH174/AG174-1)*(AG176/AG$13),"-"))</f>
        <v>0</v>
      </c>
      <c r="BX174" s="979">
        <f>IF(AI174="","-",IFERROR((AI174/AH174-1)*(AH176/AH$13),"-"))</f>
        <v>0</v>
      </c>
      <c r="BY174" s="981">
        <f>IF(AJ174="","-",IFERROR((AJ174/AI174-1)*(AI176/AI$13),"-"))</f>
        <v>0</v>
      </c>
      <c r="BZ174" s="951"/>
      <c r="CA174" s="975" t="str">
        <f t="shared" si="149"/>
        <v>Price</v>
      </c>
      <c r="CB174" s="976" t="str">
        <f t="shared" si="150"/>
        <v>Sewerage</v>
      </c>
      <c r="CC174" s="982" t="str">
        <f t="shared" si="151"/>
        <v xml:space="preserve">Price cap - Variable </v>
      </c>
      <c r="CD174" s="983">
        <f t="shared" si="175"/>
        <v>-0.54807725647657135</v>
      </c>
      <c r="CE174" s="979">
        <f t="shared" si="175"/>
        <v>-0.41112531668020791</v>
      </c>
      <c r="CF174" s="979">
        <f t="shared" si="175"/>
        <v>-0.32776045893720107</v>
      </c>
      <c r="CG174" s="980">
        <f t="shared" si="175"/>
        <v>-0.2721773799242283</v>
      </c>
      <c r="CH174" s="979">
        <f t="shared" si="176"/>
        <v>-2.7670056710338287E-6</v>
      </c>
      <c r="CI174" s="979">
        <f t="shared" si="176"/>
        <v>-1.8446712980457747E-6</v>
      </c>
      <c r="CJ174" s="979">
        <f t="shared" si="176"/>
        <v>-1.3835037925291616E-6</v>
      </c>
      <c r="CK174" s="981">
        <f t="shared" si="176"/>
        <v>-1.1068031871008799E-6</v>
      </c>
    </row>
    <row r="175" spans="4:89">
      <c r="E175" s="567" t="s">
        <v>880</v>
      </c>
      <c r="F175" s="554" t="str">
        <f>+F174</f>
        <v>Sewerage</v>
      </c>
      <c r="G175" s="555" t="str">
        <f>+G174</f>
        <v>YVW</v>
      </c>
      <c r="H175" s="555" t="str">
        <f>+H174</f>
        <v>Western Treatment</v>
      </c>
      <c r="I175" s="556" t="str">
        <f>+I174</f>
        <v xml:space="preserve">Price cap - Variable </v>
      </c>
      <c r="J175" s="590" t="s">
        <v>887</v>
      </c>
      <c r="K175" s="557"/>
      <c r="L175" s="558"/>
      <c r="M175" s="558"/>
      <c r="N175" s="557"/>
      <c r="O175" s="558"/>
      <c r="P175" s="558"/>
      <c r="Q175" s="558"/>
      <c r="R175" s="1036"/>
      <c r="S175" s="1139"/>
      <c r="T175" s="593"/>
      <c r="U175" s="1036">
        <v>86612.800000000017</v>
      </c>
      <c r="V175" s="593">
        <v>88952.063083698333</v>
      </c>
      <c r="W175" s="593">
        <v>94383.78</v>
      </c>
      <c r="X175" s="593">
        <v>84595.700000000012</v>
      </c>
      <c r="Y175" s="593">
        <v>85241.8</v>
      </c>
      <c r="Z175" s="593">
        <v>87134.86897172789</v>
      </c>
      <c r="AA175" s="1139">
        <v>87941.033432560143</v>
      </c>
      <c r="AB175" s="593">
        <v>88864.421161309496</v>
      </c>
      <c r="AC175" s="593">
        <v>90134.279837294744</v>
      </c>
      <c r="AD175" s="593">
        <v>90976.697242956754</v>
      </c>
      <c r="AE175" s="1036">
        <v>84730.017766296456</v>
      </c>
      <c r="AF175" s="593">
        <v>85405.693599801787</v>
      </c>
      <c r="AG175" s="593">
        <v>86507.325181359862</v>
      </c>
      <c r="AH175" s="593">
        <v>87200.447813308274</v>
      </c>
      <c r="AI175" s="593">
        <v>88303.211714749312</v>
      </c>
      <c r="AJ175" s="594">
        <v>88982.211080648893</v>
      </c>
      <c r="AK175" s="548"/>
      <c r="AO175" s="961" t="str">
        <f t="shared" si="152"/>
        <v>Qty</v>
      </c>
      <c r="AP175" s="962" t="str">
        <f t="shared" si="152"/>
        <v>Sewerage</v>
      </c>
      <c r="AQ175" s="963" t="str">
        <f t="shared" si="153"/>
        <v xml:space="preserve">Price cap - Variable </v>
      </c>
      <c r="AR175" s="967">
        <f t="shared" si="154"/>
        <v>2.7008283806762012E-2</v>
      </c>
      <c r="AS175" s="964">
        <f t="shared" si="155"/>
        <v>6.1063416946167459E-2</v>
      </c>
      <c r="AT175" s="964">
        <f t="shared" si="156"/>
        <v>-0.10370510695799628</v>
      </c>
      <c r="AU175" s="964">
        <f t="shared" si="157"/>
        <v>7.6375040338929612E-3</v>
      </c>
      <c r="AV175" s="1350">
        <f t="shared" si="158"/>
        <v>2.2208223802499427E-2</v>
      </c>
      <c r="AW175" s="1343">
        <f t="shared" si="159"/>
        <v>9.2519156836492478E-3</v>
      </c>
      <c r="AX175" s="964">
        <f t="shared" si="160"/>
        <v>1.0500078208172114E-2</v>
      </c>
      <c r="AY175" s="964">
        <f t="shared" si="161"/>
        <v>1.4289843554825543E-2</v>
      </c>
      <c r="AZ175" s="964">
        <f t="shared" si="162"/>
        <v>9.3462488099167462E-3</v>
      </c>
      <c r="BA175" s="965">
        <f t="shared" si="163"/>
        <v>-6.8662412089749769E-2</v>
      </c>
      <c r="BB175" s="1343">
        <f t="shared" si="164"/>
        <v>7.9744564124721862E-3</v>
      </c>
      <c r="BC175" s="964">
        <f t="shared" si="165"/>
        <v>1.2898807270627088E-2</v>
      </c>
      <c r="BD175" s="964">
        <f t="shared" si="166"/>
        <v>8.0122998890013175E-3</v>
      </c>
      <c r="BE175" s="964">
        <f t="shared" si="167"/>
        <v>1.2646310071732669E-2</v>
      </c>
      <c r="BF175" s="966">
        <f t="shared" si="168"/>
        <v>7.6894073580584532E-3</v>
      </c>
      <c r="BG175" s="951"/>
      <c r="BH175" s="961" t="str">
        <f t="shared" si="169"/>
        <v>Qty</v>
      </c>
      <c r="BI175" s="962" t="str">
        <f t="shared" si="170"/>
        <v>Sewerage</v>
      </c>
      <c r="BJ175" s="963" t="str">
        <f t="shared" si="171"/>
        <v xml:space="preserve">Price cap - Variable </v>
      </c>
      <c r="BK175" s="964">
        <f t="shared" ref="BK175:BU175" si="230">IF(V175="","-",IFERROR((V175/U175-1)*(U176/U$13),"-"))</f>
        <v>4.293162920463764E-4</v>
      </c>
      <c r="BL175" s="964">
        <f t="shared" si="230"/>
        <v>2.1065700252085746E-4</v>
      </c>
      <c r="BM175" s="964">
        <f t="shared" si="230"/>
        <v>-3.8235984984556223E-4</v>
      </c>
      <c r="BN175" s="964">
        <f t="shared" si="230"/>
        <v>2.5090899690438305E-5</v>
      </c>
      <c r="BO175" s="1350">
        <f t="shared" si="230"/>
        <v>7.2598082358862784E-5</v>
      </c>
      <c r="BP175" s="1343">
        <f t="shared" si="230"/>
        <v>3.0931432233749673E-5</v>
      </c>
      <c r="BQ175" s="964">
        <f t="shared" si="230"/>
        <v>3.5252240821003168E-5</v>
      </c>
      <c r="BR175" s="964">
        <f t="shared" si="230"/>
        <v>4.667071466742045E-5</v>
      </c>
      <c r="BS175" s="964">
        <f t="shared" si="230"/>
        <v>3.0375393534347612E-5</v>
      </c>
      <c r="BT175" s="965">
        <f t="shared" si="230"/>
        <v>-2.2103258100076244E-4</v>
      </c>
      <c r="BU175" s="964">
        <f t="shared" si="230"/>
        <v>2.3457384898917415E-5</v>
      </c>
      <c r="BV175" s="964">
        <f>IF(AG175="","-",IFERROR((AG175/AF175-1)*(AF176/AF$13),"-"))</f>
        <v>4.3796955210295334E-5</v>
      </c>
      <c r="BW175" s="964">
        <f>IF(AH175="","-",IFERROR((AH175/AG175-1)*(AG176/AG$13),"-"))</f>
        <v>2.7175453696113894E-5</v>
      </c>
      <c r="BX175" s="964">
        <f>IF(AI175="","-",IFERROR((AI175/AH175-1)*(AH176/AH$13),"-"))</f>
        <v>4.2612243356004481E-5</v>
      </c>
      <c r="BY175" s="966">
        <f>IF(AJ175="","-",IFERROR((AJ175/AI175-1)*(AI176/AI$13),"-"))</f>
        <v>2.579336648620917E-5</v>
      </c>
      <c r="BZ175" s="951"/>
      <c r="CA175" s="961" t="str">
        <f t="shared" si="149"/>
        <v>Qty</v>
      </c>
      <c r="CB175" s="962" t="str">
        <f t="shared" si="150"/>
        <v>Sewerage</v>
      </c>
      <c r="CC175" s="962" t="str">
        <f t="shared" si="151"/>
        <v xml:space="preserve">Price cap - Variable </v>
      </c>
      <c r="CD175" s="967">
        <f t="shared" si="175"/>
        <v>4.3896986703200636E-2</v>
      </c>
      <c r="CE175" s="964">
        <f t="shared" si="175"/>
        <v>-7.8239565147079082E-3</v>
      </c>
      <c r="CF175" s="964">
        <f t="shared" si="175"/>
        <v>-3.980976518775603E-3</v>
      </c>
      <c r="CG175" s="965">
        <f t="shared" si="175"/>
        <v>1.2026277218473158E-3</v>
      </c>
      <c r="CH175" s="964">
        <f t="shared" si="176"/>
        <v>9.875804111612041E-3</v>
      </c>
      <c r="CI175" s="964">
        <f t="shared" si="176"/>
        <v>1.1345012093199491E-2</v>
      </c>
      <c r="CJ175" s="964">
        <f t="shared" si="176"/>
        <v>1.084495050993084E-2</v>
      </c>
      <c r="CK175" s="966">
        <f t="shared" si="176"/>
        <v>-5.5818028212298865E-3</v>
      </c>
    </row>
    <row r="176" spans="4:89" ht="12.75" thickBot="1">
      <c r="E176" s="568" t="s">
        <v>882</v>
      </c>
      <c r="F176" s="560" t="str">
        <f>+F174</f>
        <v>Sewerage</v>
      </c>
      <c r="G176" s="561" t="str">
        <f>+G174</f>
        <v>YVW</v>
      </c>
      <c r="H176" s="561" t="str">
        <f>+H174</f>
        <v>Western Treatment</v>
      </c>
      <c r="I176" s="562" t="str">
        <f>+I174</f>
        <v xml:space="preserve">Price cap - Variable </v>
      </c>
      <c r="J176" s="563" t="s">
        <v>883</v>
      </c>
      <c r="K176" s="564">
        <f t="shared" ref="K176:AJ176" si="231">K174*K175/10^6</f>
        <v>0</v>
      </c>
      <c r="L176" s="565">
        <f t="shared" si="231"/>
        <v>0</v>
      </c>
      <c r="M176" s="565">
        <f t="shared" si="231"/>
        <v>0</v>
      </c>
      <c r="N176" s="564">
        <f t="shared" si="231"/>
        <v>0</v>
      </c>
      <c r="O176" s="565">
        <f t="shared" si="231"/>
        <v>0</v>
      </c>
      <c r="P176" s="565">
        <f t="shared" si="231"/>
        <v>0</v>
      </c>
      <c r="Q176" s="565">
        <f t="shared" si="231"/>
        <v>0</v>
      </c>
      <c r="R176" s="566">
        <f t="shared" si="231"/>
        <v>0</v>
      </c>
      <c r="S176" s="564">
        <f t="shared" si="231"/>
        <v>0</v>
      </c>
      <c r="T176" s="565">
        <f t="shared" si="231"/>
        <v>0</v>
      </c>
      <c r="U176" s="566">
        <f t="shared" si="231"/>
        <v>30.653133819540315</v>
      </c>
      <c r="V176" s="565">
        <f t="shared" si="231"/>
        <v>6.4286855598564214</v>
      </c>
      <c r="W176" s="565">
        <f t="shared" si="231"/>
        <v>6.8221076101525417</v>
      </c>
      <c r="X176" s="565">
        <f t="shared" si="231"/>
        <v>6.1137790872466082</v>
      </c>
      <c r="Y176" s="565">
        <f t="shared" si="231"/>
        <v>6.1608641232227068</v>
      </c>
      <c r="Z176" s="565">
        <f t="shared" si="231"/>
        <v>6.2981431832240808</v>
      </c>
      <c r="AA176" s="564">
        <f t="shared" si="231"/>
        <v>6.3563778965054469</v>
      </c>
      <c r="AB176" s="565">
        <f t="shared" si="231"/>
        <v>6.4231203615394508</v>
      </c>
      <c r="AC176" s="565">
        <f t="shared" si="231"/>
        <v>6.5149057466396645</v>
      </c>
      <c r="AD176" s="565">
        <f t="shared" si="231"/>
        <v>6.5757956767209143</v>
      </c>
      <c r="AE176" s="566">
        <f t="shared" si="231"/>
        <v>6.1242856841479085</v>
      </c>
      <c r="AF176" s="565">
        <f t="shared" si="231"/>
        <v>7.4012673918673135</v>
      </c>
      <c r="AG176" s="565">
        <f>AG174*AG175/10^6</f>
        <v>7.4967349135133876</v>
      </c>
      <c r="AH176" s="565">
        <f>AH174*AH175/10^6</f>
        <v>7.556801001828803</v>
      </c>
      <c r="AI176" s="565">
        <f>AI174*AI175/10^6</f>
        <v>7.6523666504483101</v>
      </c>
      <c r="AJ176" s="566">
        <f t="shared" si="231"/>
        <v>7.7112088148768283</v>
      </c>
      <c r="AK176" s="548"/>
      <c r="AO176" s="984" t="str">
        <f t="shared" si="152"/>
        <v>Rev</v>
      </c>
      <c r="AP176" s="985" t="str">
        <f t="shared" si="152"/>
        <v>Sewerage</v>
      </c>
      <c r="AQ176" s="986" t="str">
        <f t="shared" si="153"/>
        <v xml:space="preserve">Price cap - Variable </v>
      </c>
      <c r="AR176" s="990">
        <f t="shared" si="154"/>
        <v>-0.7902764005239048</v>
      </c>
      <c r="AS176" s="987">
        <f t="shared" si="155"/>
        <v>6.1197899109084242E-2</v>
      </c>
      <c r="AT176" s="987">
        <f t="shared" si="156"/>
        <v>-0.10382840074991073</v>
      </c>
      <c r="AU176" s="987">
        <f t="shared" si="157"/>
        <v>7.7014617807042995E-3</v>
      </c>
      <c r="AV176" s="1353">
        <f t="shared" si="158"/>
        <v>2.2282435914130261E-2</v>
      </c>
      <c r="AW176" s="1346">
        <f t="shared" si="159"/>
        <v>9.2463304798280355E-3</v>
      </c>
      <c r="AX176" s="987">
        <f t="shared" si="160"/>
        <v>1.0500078208172114E-2</v>
      </c>
      <c r="AY176" s="987">
        <f t="shared" si="161"/>
        <v>1.4289843554825543E-2</v>
      </c>
      <c r="AZ176" s="987">
        <f t="shared" si="162"/>
        <v>9.3462488099165242E-3</v>
      </c>
      <c r="BA176" s="988">
        <f t="shared" si="163"/>
        <v>-6.8662412089749658E-2</v>
      </c>
      <c r="BB176" s="1346">
        <f t="shared" si="164"/>
        <v>0.20851112661591586</v>
      </c>
      <c r="BC176" s="987">
        <f t="shared" si="165"/>
        <v>1.2898807270627088E-2</v>
      </c>
      <c r="BD176" s="987">
        <f t="shared" si="166"/>
        <v>8.0122998890013175E-3</v>
      </c>
      <c r="BE176" s="987">
        <f t="shared" si="167"/>
        <v>1.2646310071732669E-2</v>
      </c>
      <c r="BF176" s="989">
        <f t="shared" si="168"/>
        <v>7.6894073580584532E-3</v>
      </c>
      <c r="BG176" s="951"/>
      <c r="BH176" s="984" t="str">
        <f t="shared" si="169"/>
        <v>Rev</v>
      </c>
      <c r="BI176" s="985" t="str">
        <f t="shared" si="170"/>
        <v>Sewerage</v>
      </c>
      <c r="BJ176" s="986" t="str">
        <f t="shared" si="171"/>
        <v xml:space="preserve">Price cap - Variable </v>
      </c>
      <c r="BK176" s="987">
        <f t="shared" ref="BK176:BU176" si="232">IF(V176="","-",IFERROR((V176/U176-1)*(U176/U$13),"-"))</f>
        <v>-1.2562017505152819E-2</v>
      </c>
      <c r="BL176" s="987">
        <f t="shared" si="232"/>
        <v>2.1112094002631259E-4</v>
      </c>
      <c r="BM176" s="987">
        <f t="shared" si="232"/>
        <v>-3.8281443301071332E-4</v>
      </c>
      <c r="BN176" s="987">
        <f t="shared" si="232"/>
        <v>2.5301015115916091E-5</v>
      </c>
      <c r="BO176" s="1353">
        <f t="shared" si="232"/>
        <v>7.2840679742611862E-5</v>
      </c>
      <c r="BP176" s="1346">
        <f t="shared" si="232"/>
        <v>3.0912759522128139E-5</v>
      </c>
      <c r="BQ176" s="987">
        <f t="shared" si="232"/>
        <v>3.5252240821003168E-5</v>
      </c>
      <c r="BR176" s="987">
        <f t="shared" si="232"/>
        <v>4.667071466742045E-5</v>
      </c>
      <c r="BS176" s="987">
        <f t="shared" si="232"/>
        <v>3.0375393534346891E-5</v>
      </c>
      <c r="BT176" s="988">
        <f t="shared" si="232"/>
        <v>-2.2103258100076209E-4</v>
      </c>
      <c r="BU176" s="987">
        <f t="shared" si="232"/>
        <v>6.1334911118037308E-4</v>
      </c>
      <c r="BV176" s="987">
        <f>IF(AG176="","-",IFERROR((AG176/AF176-1)*(AF176/AF$13),"-"))</f>
        <v>4.3796955210295334E-5</v>
      </c>
      <c r="BW176" s="987">
        <f>IF(AH176="","-",IFERROR((AH176/AG176-1)*(AG176/AG$13),"-"))</f>
        <v>2.7175453696113894E-5</v>
      </c>
      <c r="BX176" s="987">
        <f>IF(AI176="","-",IFERROR((AI176/AH176-1)*(AH176/AH$13),"-"))</f>
        <v>4.2612243356004481E-5</v>
      </c>
      <c r="BY176" s="989">
        <f>IF(AJ176="","-",IFERROR((AJ176/AI176-1)*(AI176/AI$13),"-"))</f>
        <v>2.579336648620917E-5</v>
      </c>
      <c r="BZ176" s="951"/>
      <c r="CA176" s="984" t="str">
        <f t="shared" si="149"/>
        <v>Rev</v>
      </c>
      <c r="CB176" s="985" t="str">
        <f t="shared" si="150"/>
        <v>Sewerage</v>
      </c>
      <c r="CC176" s="985" t="str">
        <f t="shared" si="151"/>
        <v xml:space="preserve">Price cap - Variable </v>
      </c>
      <c r="CD176" s="990">
        <f t="shared" si="175"/>
        <v>-0.52823920981324946</v>
      </c>
      <c r="CE176" s="987">
        <f t="shared" si="175"/>
        <v>-0.41573264659511422</v>
      </c>
      <c r="CF176" s="987">
        <f t="shared" si="175"/>
        <v>-0.33043662876516466</v>
      </c>
      <c r="CG176" s="988">
        <f t="shared" si="175"/>
        <v>-0.27130208026473768</v>
      </c>
      <c r="CH176" s="987">
        <f t="shared" si="176"/>
        <v>9.8730097795352023E-3</v>
      </c>
      <c r="CI176" s="987">
        <f t="shared" si="176"/>
        <v>1.1343146494083411E-2</v>
      </c>
      <c r="CJ176" s="987">
        <f t="shared" si="176"/>
        <v>1.0843552002108181E-2</v>
      </c>
      <c r="CK176" s="989">
        <f t="shared" si="176"/>
        <v>-5.5829034464599525E-3</v>
      </c>
    </row>
    <row r="177" spans="4:89">
      <c r="D177" s="63">
        <f>D174+1</f>
        <v>37</v>
      </c>
      <c r="E177" s="550" t="s">
        <v>857</v>
      </c>
      <c r="F177" s="595" t="s">
        <v>402</v>
      </c>
      <c r="G177" s="595" t="s">
        <v>92</v>
      </c>
      <c r="H177" s="595" t="s">
        <v>892</v>
      </c>
      <c r="I177" s="589" t="s">
        <v>941</v>
      </c>
      <c r="J177" s="589" t="s">
        <v>879</v>
      </c>
      <c r="K177" s="551"/>
      <c r="L177" s="552"/>
      <c r="M177" s="552"/>
      <c r="N177" s="551"/>
      <c r="O177" s="552"/>
      <c r="P177" s="552"/>
      <c r="Q177" s="552"/>
      <c r="R177" s="1035"/>
      <c r="S177" s="1138"/>
      <c r="T177" s="591"/>
      <c r="U177" s="1035">
        <v>95.075068610634645</v>
      </c>
      <c r="V177" s="591">
        <v>47.413155216284984</v>
      </c>
      <c r="W177" s="591">
        <v>47.422372881355926</v>
      </c>
      <c r="X177" s="591">
        <v>47.419932126696828</v>
      </c>
      <c r="Y177" s="591">
        <v>47.422248908296943</v>
      </c>
      <c r="Z177" s="591">
        <v>47.422600000000003</v>
      </c>
      <c r="AA177" s="1138">
        <v>88</v>
      </c>
      <c r="AB177" s="591">
        <v>88</v>
      </c>
      <c r="AC177" s="591">
        <v>88</v>
      </c>
      <c r="AD177" s="591">
        <v>88</v>
      </c>
      <c r="AE177" s="1035">
        <v>88</v>
      </c>
      <c r="AF177" s="591">
        <v>105.50761327892384</v>
      </c>
      <c r="AG177" s="591">
        <v>105.50761327892384</v>
      </c>
      <c r="AH177" s="591">
        <v>105.50761327892384</v>
      </c>
      <c r="AI177" s="591">
        <v>105.50761327892384</v>
      </c>
      <c r="AJ177" s="592">
        <v>105.50761327892384</v>
      </c>
      <c r="AK177" s="548"/>
      <c r="AM177" s="974"/>
      <c r="AO177" s="975" t="str">
        <f t="shared" si="152"/>
        <v>Price</v>
      </c>
      <c r="AP177" s="976" t="str">
        <f t="shared" si="152"/>
        <v>Sewerage</v>
      </c>
      <c r="AQ177" s="977" t="str">
        <f t="shared" si="153"/>
        <v xml:space="preserve">Price cap - Variable </v>
      </c>
      <c r="AR177" s="1341">
        <f t="shared" si="154"/>
        <v>-0.50130821981882245</v>
      </c>
      <c r="AS177" s="978">
        <f t="shared" si="155"/>
        <v>1.94411551580842E-4</v>
      </c>
      <c r="AT177" s="979">
        <f t="shared" si="156"/>
        <v>-5.146842114378547E-5</v>
      </c>
      <c r="AU177" s="979">
        <f t="shared" si="157"/>
        <v>4.885670426357791E-5</v>
      </c>
      <c r="AV177" s="1352">
        <f t="shared" si="158"/>
        <v>7.403522843008048E-6</v>
      </c>
      <c r="AW177" s="1345">
        <f t="shared" si="159"/>
        <v>0.8556553204590216</v>
      </c>
      <c r="AX177" s="979">
        <f t="shared" si="160"/>
        <v>0</v>
      </c>
      <c r="AY177" s="979">
        <f t="shared" si="161"/>
        <v>0</v>
      </c>
      <c r="AZ177" s="979">
        <f t="shared" si="162"/>
        <v>0</v>
      </c>
      <c r="BA177" s="980">
        <f t="shared" si="163"/>
        <v>0</v>
      </c>
      <c r="BB177" s="1345">
        <f t="shared" si="164"/>
        <v>0.19895015089686185</v>
      </c>
      <c r="BC177" s="979">
        <f t="shared" si="165"/>
        <v>0</v>
      </c>
      <c r="BD177" s="979">
        <f t="shared" si="166"/>
        <v>0</v>
      </c>
      <c r="BE177" s="979">
        <f t="shared" si="167"/>
        <v>0</v>
      </c>
      <c r="BF177" s="981">
        <f t="shared" si="168"/>
        <v>0</v>
      </c>
      <c r="BG177" s="951"/>
      <c r="BH177" s="975" t="str">
        <f t="shared" si="169"/>
        <v>Price</v>
      </c>
      <c r="BI177" s="976" t="str">
        <f t="shared" si="170"/>
        <v>Sewerage</v>
      </c>
      <c r="BJ177" s="977" t="str">
        <f t="shared" si="171"/>
        <v xml:space="preserve">Price cap - Variable </v>
      </c>
      <c r="BK177" s="978">
        <f t="shared" ref="BK177:BU177" si="233">IF(V177="","-",IFERROR((V177/U177-1)*(U179/U$13),"-"))</f>
        <v>-2.3636771610975565E-3</v>
      </c>
      <c r="BL177" s="978">
        <f t="shared" si="233"/>
        <v>4.8111707284550366E-7</v>
      </c>
      <c r="BM177" s="979">
        <f t="shared" si="233"/>
        <v>-1.4232345682186869E-7</v>
      </c>
      <c r="BN177" s="979">
        <f t="shared" si="233"/>
        <v>1.3095062368108591E-7</v>
      </c>
      <c r="BO177" s="1352">
        <f t="shared" si="233"/>
        <v>1.9570726392940648E-8</v>
      </c>
      <c r="BP177" s="1345">
        <f t="shared" si="233"/>
        <v>2.3628102760336785E-3</v>
      </c>
      <c r="BQ177" s="979">
        <f t="shared" si="233"/>
        <v>0</v>
      </c>
      <c r="BR177" s="979">
        <f t="shared" si="233"/>
        <v>0</v>
      </c>
      <c r="BS177" s="979">
        <f t="shared" si="233"/>
        <v>0</v>
      </c>
      <c r="BT177" s="980">
        <f t="shared" si="233"/>
        <v>0</v>
      </c>
      <c r="BU177" s="979">
        <f t="shared" si="233"/>
        <v>9.5223414397123971E-4</v>
      </c>
      <c r="BV177" s="979">
        <f>IF(AG177="","-",IFERROR((AG177/AF177-1)*(AF179/AF$13),"-"))</f>
        <v>0</v>
      </c>
      <c r="BW177" s="979">
        <f>IF(AH177="","-",IFERROR((AH177/AG177-1)*(AG179/AG$13),"-"))</f>
        <v>0</v>
      </c>
      <c r="BX177" s="979">
        <f>IF(AI177="","-",IFERROR((AI177/AH177-1)*(AH179/AH$13),"-"))</f>
        <v>0</v>
      </c>
      <c r="BY177" s="981">
        <f>IF(AJ177="","-",IFERROR((AJ177/AI177-1)*(AI179/AI$13),"-"))</f>
        <v>0</v>
      </c>
      <c r="BZ177" s="951"/>
      <c r="CA177" s="975" t="str">
        <f t="shared" si="149"/>
        <v>Price</v>
      </c>
      <c r="CB177" s="976" t="str">
        <f t="shared" si="150"/>
        <v>Sewerage</v>
      </c>
      <c r="CC177" s="982" t="str">
        <f t="shared" si="151"/>
        <v xml:space="preserve">Price cap - Variable </v>
      </c>
      <c r="CD177" s="983">
        <f t="shared" si="175"/>
        <v>-0.29375023424858882</v>
      </c>
      <c r="CE177" s="979">
        <f t="shared" si="175"/>
        <v>-0.20695452123122371</v>
      </c>
      <c r="CF177" s="979">
        <f t="shared" si="175"/>
        <v>-0.15961387291279583</v>
      </c>
      <c r="CG177" s="980">
        <f t="shared" si="175"/>
        <v>-0.1298708007100281</v>
      </c>
      <c r="CH177" s="979">
        <f t="shared" si="176"/>
        <v>0.36222440165305425</v>
      </c>
      <c r="CI177" s="979">
        <f t="shared" si="176"/>
        <v>0.22885065051041864</v>
      </c>
      <c r="CJ177" s="979">
        <f t="shared" si="176"/>
        <v>0.16714369366117654</v>
      </c>
      <c r="CK177" s="981">
        <f t="shared" si="176"/>
        <v>0.13161699764946722</v>
      </c>
    </row>
    <row r="178" spans="4:89">
      <c r="E178" s="567" t="s">
        <v>880</v>
      </c>
      <c r="F178" s="554" t="str">
        <f>+F177</f>
        <v>Sewerage</v>
      </c>
      <c r="G178" s="555" t="str">
        <f>+G177</f>
        <v>SEW</v>
      </c>
      <c r="H178" s="555" t="str">
        <f>+H177</f>
        <v>Eastern Treatment</v>
      </c>
      <c r="I178" s="556" t="str">
        <f>+I177</f>
        <v xml:space="preserve">Price cap - Variable </v>
      </c>
      <c r="J178" s="590" t="s">
        <v>887</v>
      </c>
      <c r="K178" s="557"/>
      <c r="L178" s="558"/>
      <c r="M178" s="558"/>
      <c r="N178" s="557"/>
      <c r="O178" s="558"/>
      <c r="P178" s="558"/>
      <c r="Q178" s="558"/>
      <c r="R178" s="1036"/>
      <c r="S178" s="1139"/>
      <c r="T178" s="593"/>
      <c r="U178" s="1036">
        <v>95633.75</v>
      </c>
      <c r="V178" s="593">
        <v>97265.143343435411</v>
      </c>
      <c r="W178" s="593">
        <v>107894.37000000001</v>
      </c>
      <c r="X178" s="593">
        <v>105188.30000000003</v>
      </c>
      <c r="Y178" s="593">
        <v>105054.99</v>
      </c>
      <c r="Z178" s="593">
        <v>109695.49720753181</v>
      </c>
      <c r="AA178" s="1139">
        <v>110620.05921865518</v>
      </c>
      <c r="AB178" s="593">
        <v>111627.6937556436</v>
      </c>
      <c r="AC178" s="593">
        <v>112382.50197422906</v>
      </c>
      <c r="AD178" s="593">
        <v>113061.14901715102</v>
      </c>
      <c r="AE178" s="1036">
        <v>113238.40425353561</v>
      </c>
      <c r="AF178" s="593">
        <v>114188.56659334339</v>
      </c>
      <c r="AG178" s="593">
        <v>115643.44299133208</v>
      </c>
      <c r="AH178" s="593">
        <v>115746.03411054505</v>
      </c>
      <c r="AI178" s="593">
        <v>116817.32460299054</v>
      </c>
      <c r="AJ178" s="594">
        <v>117930.2116837728</v>
      </c>
      <c r="AK178" s="548"/>
      <c r="AO178" s="961" t="str">
        <f t="shared" si="152"/>
        <v>Qty</v>
      </c>
      <c r="AP178" s="962" t="str">
        <f t="shared" si="152"/>
        <v>Sewerage</v>
      </c>
      <c r="AQ178" s="963" t="str">
        <f t="shared" si="153"/>
        <v xml:space="preserve">Price cap - Variable </v>
      </c>
      <c r="AR178" s="967">
        <f t="shared" si="154"/>
        <v>1.7058761613294671E-2</v>
      </c>
      <c r="AS178" s="964">
        <f t="shared" si="155"/>
        <v>0.10928094372959141</v>
      </c>
      <c r="AT178" s="964">
        <f t="shared" si="156"/>
        <v>-2.5080734054983345E-2</v>
      </c>
      <c r="AU178" s="964">
        <f t="shared" si="157"/>
        <v>-1.2673462733024943E-3</v>
      </c>
      <c r="AV178" s="1350">
        <f t="shared" si="158"/>
        <v>4.4172173140293536E-2</v>
      </c>
      <c r="AW178" s="1343">
        <f t="shared" si="159"/>
        <v>8.4284408627475216E-3</v>
      </c>
      <c r="AX178" s="964">
        <f t="shared" si="160"/>
        <v>9.108967614966712E-3</v>
      </c>
      <c r="AY178" s="964">
        <f t="shared" si="161"/>
        <v>6.7618365406505454E-3</v>
      </c>
      <c r="AZ178" s="964">
        <f t="shared" si="162"/>
        <v>6.0387251662858965E-3</v>
      </c>
      <c r="BA178" s="965">
        <f t="shared" si="163"/>
        <v>1.5677820181865254E-3</v>
      </c>
      <c r="BB178" s="1343">
        <f t="shared" si="164"/>
        <v>8.3908135766415093E-3</v>
      </c>
      <c r="BC178" s="964">
        <f t="shared" si="165"/>
        <v>1.2740998870490294E-2</v>
      </c>
      <c r="BD178" s="964">
        <f t="shared" si="166"/>
        <v>8.8713304065723975E-4</v>
      </c>
      <c r="BE178" s="964">
        <f t="shared" si="167"/>
        <v>9.2555265558589284E-3</v>
      </c>
      <c r="BF178" s="966">
        <f t="shared" si="168"/>
        <v>9.5267297429080244E-3</v>
      </c>
      <c r="BG178" s="951"/>
      <c r="BH178" s="961" t="str">
        <f t="shared" si="169"/>
        <v>Qty</v>
      </c>
      <c r="BI178" s="962" t="str">
        <f t="shared" si="170"/>
        <v>Sewerage</v>
      </c>
      <c r="BJ178" s="963" t="str">
        <f t="shared" si="171"/>
        <v xml:space="preserve">Price cap - Variable </v>
      </c>
      <c r="BK178" s="964">
        <f t="shared" ref="BK178:BU178" si="234">IF(V178="","-",IFERROR((V178/U178-1)*(U179/U$13),"-"))</f>
        <v>8.0432364018537053E-5</v>
      </c>
      <c r="BL178" s="964">
        <f t="shared" si="234"/>
        <v>2.7044137726102245E-4</v>
      </c>
      <c r="BM178" s="964">
        <f t="shared" si="234"/>
        <v>-6.9354697327182353E-5</v>
      </c>
      <c r="BN178" s="964">
        <f t="shared" si="234"/>
        <v>-3.396868196706887E-6</v>
      </c>
      <c r="BO178" s="1350">
        <f t="shared" si="234"/>
        <v>1.1676623859230887E-4</v>
      </c>
      <c r="BP178" s="1343">
        <f t="shared" si="234"/>
        <v>2.3274332789467825E-5</v>
      </c>
      <c r="BQ178" s="964">
        <f t="shared" si="234"/>
        <v>4.6834965263349759E-5</v>
      </c>
      <c r="BR178" s="964">
        <f t="shared" si="234"/>
        <v>3.3774599610376086E-5</v>
      </c>
      <c r="BS178" s="964">
        <f t="shared" si="234"/>
        <v>2.9792234045117307E-5</v>
      </c>
      <c r="BT178" s="965">
        <f t="shared" si="234"/>
        <v>7.6360836025427025E-6</v>
      </c>
      <c r="BU178" s="964">
        <f t="shared" si="234"/>
        <v>4.0160910395677988E-5</v>
      </c>
      <c r="BV178" s="964">
        <f>IF(AG178="","-",IFERROR((AG178/AF178-1)*(AF179/AF$13),"-"))</f>
        <v>7.0420348199388844E-5</v>
      </c>
      <c r="BW178" s="964">
        <f>IF(AH178="","-",IFERROR((AH178/AG178-1)*(AG179/AG$13),"-"))</f>
        <v>4.8971230839682104E-6</v>
      </c>
      <c r="BX178" s="964">
        <f>IF(AI178="","-",IFERROR((AI178/AH178-1)*(AH179/AH$13),"-"))</f>
        <v>5.0399199239357546E-5</v>
      </c>
      <c r="BY178" s="966">
        <f>IF(AJ178="","-",IFERROR((AJ178/AI178-1)*(AI179/AI$13),"-"))</f>
        <v>5.1470014341697142E-5</v>
      </c>
      <c r="BZ178" s="951"/>
      <c r="CA178" s="961" t="str">
        <f t="shared" si="149"/>
        <v>Qty</v>
      </c>
      <c r="CB178" s="962" t="str">
        <f t="shared" si="150"/>
        <v>Sewerage</v>
      </c>
      <c r="CC178" s="962" t="str">
        <f t="shared" si="151"/>
        <v xml:space="preserve">Price cap - Variable </v>
      </c>
      <c r="CD178" s="967">
        <f t="shared" si="175"/>
        <v>6.2169432299218785E-2</v>
      </c>
      <c r="CE178" s="964">
        <f t="shared" si="175"/>
        <v>3.2251248613052841E-2</v>
      </c>
      <c r="CF178" s="964">
        <f t="shared" si="175"/>
        <v>2.3767585970809746E-2</v>
      </c>
      <c r="CG178" s="965">
        <f t="shared" si="175"/>
        <v>2.7816352614841833E-2</v>
      </c>
      <c r="CH178" s="964">
        <f t="shared" si="176"/>
        <v>8.7686468524770245E-3</v>
      </c>
      <c r="CI178" s="964">
        <f t="shared" si="176"/>
        <v>8.0992660042160658E-3</v>
      </c>
      <c r="CJ178" s="964">
        <f t="shared" si="176"/>
        <v>7.5837354748395924E-3</v>
      </c>
      <c r="CK178" s="966">
        <f t="shared" si="176"/>
        <v>6.3776609026089393E-3</v>
      </c>
    </row>
    <row r="179" spans="4:89" ht="12.75" thickBot="1">
      <c r="E179" s="568" t="s">
        <v>882</v>
      </c>
      <c r="F179" s="560" t="str">
        <f>+F177</f>
        <v>Sewerage</v>
      </c>
      <c r="G179" s="561" t="str">
        <f>+G177</f>
        <v>SEW</v>
      </c>
      <c r="H179" s="561" t="str">
        <f>+H177</f>
        <v>Eastern Treatment</v>
      </c>
      <c r="I179" s="562" t="str">
        <f>+I177</f>
        <v xml:space="preserve">Price cap - Variable </v>
      </c>
      <c r="J179" s="563" t="s">
        <v>883</v>
      </c>
      <c r="K179" s="564">
        <f t="shared" ref="K179:AJ179" si="235">K177*K178/10^6</f>
        <v>0</v>
      </c>
      <c r="L179" s="565">
        <f t="shared" si="235"/>
        <v>0</v>
      </c>
      <c r="M179" s="565">
        <f t="shared" si="235"/>
        <v>0</v>
      </c>
      <c r="N179" s="564">
        <f t="shared" si="235"/>
        <v>0</v>
      </c>
      <c r="O179" s="565">
        <f t="shared" si="235"/>
        <v>0</v>
      </c>
      <c r="P179" s="565">
        <f t="shared" si="235"/>
        <v>0</v>
      </c>
      <c r="Q179" s="565">
        <f t="shared" si="235"/>
        <v>0</v>
      </c>
      <c r="R179" s="566">
        <f t="shared" si="235"/>
        <v>0</v>
      </c>
      <c r="S179" s="564">
        <f t="shared" si="235"/>
        <v>0</v>
      </c>
      <c r="T179" s="565">
        <f t="shared" si="235"/>
        <v>0</v>
      </c>
      <c r="U179" s="566">
        <f t="shared" si="235"/>
        <v>9.0923853427422809</v>
      </c>
      <c r="V179" s="565">
        <f t="shared" si="235"/>
        <v>4.6116473384765113</v>
      </c>
      <c r="W179" s="565">
        <f t="shared" si="235"/>
        <v>5.1166070459389825</v>
      </c>
      <c r="X179" s="565">
        <f t="shared" si="235"/>
        <v>4.9880220465226257</v>
      </c>
      <c r="Y179" s="565">
        <f t="shared" si="235"/>
        <v>4.9819438848386461</v>
      </c>
      <c r="Z179" s="565">
        <f t="shared" si="235"/>
        <v>5.2020456858738982</v>
      </c>
      <c r="AA179" s="564">
        <f t="shared" si="235"/>
        <v>9.7345652112416552</v>
      </c>
      <c r="AB179" s="565">
        <f t="shared" si="235"/>
        <v>9.8232370504966386</v>
      </c>
      <c r="AC179" s="565">
        <f t="shared" si="235"/>
        <v>9.8896601737321586</v>
      </c>
      <c r="AD179" s="565">
        <f t="shared" si="235"/>
        <v>9.9493811135092898</v>
      </c>
      <c r="AE179" s="566">
        <f t="shared" si="235"/>
        <v>9.9649795743111333</v>
      </c>
      <c r="AF179" s="565">
        <f t="shared" si="235"/>
        <v>12.047763125005117</v>
      </c>
      <c r="AG179" s="565">
        <f>AG177*AG178/10^6</f>
        <v>12.201263661372741</v>
      </c>
      <c r="AH179" s="565">
        <f>AH177*AH178/10^6</f>
        <v>12.212087805504513</v>
      </c>
      <c r="AI179" s="565">
        <f>AI177*AI178/10^6</f>
        <v>12.325117108490842</v>
      </c>
      <c r="AJ179" s="566">
        <f t="shared" si="235"/>
        <v>12.442535168233126</v>
      </c>
      <c r="AK179" s="548"/>
      <c r="AO179" s="984" t="str">
        <f t="shared" si="152"/>
        <v>Rev</v>
      </c>
      <c r="AP179" s="985" t="str">
        <f t="shared" si="152"/>
        <v>Sewerage</v>
      </c>
      <c r="AQ179" s="986" t="str">
        <f t="shared" si="153"/>
        <v xml:space="preserve">Price cap - Variable </v>
      </c>
      <c r="AR179" s="990">
        <f t="shared" si="154"/>
        <v>-0.49280115562220228</v>
      </c>
      <c r="AS179" s="987">
        <f t="shared" si="155"/>
        <v>0.10949660075900081</v>
      </c>
      <c r="AT179" s="987">
        <f t="shared" si="156"/>
        <v>-2.5130911610344198E-2</v>
      </c>
      <c r="AU179" s="987">
        <f t="shared" si="157"/>
        <v>-1.2185514874011316E-3</v>
      </c>
      <c r="AV179" s="1353">
        <f t="shared" si="158"/>
        <v>4.4179903692829425E-2</v>
      </c>
      <c r="AW179" s="1346">
        <f t="shared" si="159"/>
        <v>0.87129560158915309</v>
      </c>
      <c r="AX179" s="987">
        <f t="shared" si="160"/>
        <v>9.1089676149669341E-3</v>
      </c>
      <c r="AY179" s="987">
        <f t="shared" si="161"/>
        <v>6.7618365406505454E-3</v>
      </c>
      <c r="AZ179" s="987">
        <f t="shared" si="162"/>
        <v>6.0387251662858965E-3</v>
      </c>
      <c r="BA179" s="988">
        <f t="shared" si="163"/>
        <v>1.5677820181865254E-3</v>
      </c>
      <c r="BB179" s="1346">
        <f t="shared" si="164"/>
        <v>0.20901031810072368</v>
      </c>
      <c r="BC179" s="987">
        <f t="shared" si="165"/>
        <v>1.2740998870490072E-2</v>
      </c>
      <c r="BD179" s="987">
        <f t="shared" si="166"/>
        <v>8.871330406570177E-4</v>
      </c>
      <c r="BE179" s="987">
        <f t="shared" si="167"/>
        <v>9.2555265558589284E-3</v>
      </c>
      <c r="BF179" s="989">
        <f t="shared" si="168"/>
        <v>9.5267297429080244E-3</v>
      </c>
      <c r="BG179" s="951"/>
      <c r="BH179" s="984" t="str">
        <f t="shared" si="169"/>
        <v>Rev</v>
      </c>
      <c r="BI179" s="985" t="str">
        <f t="shared" si="170"/>
        <v>Sewerage</v>
      </c>
      <c r="BJ179" s="986" t="str">
        <f t="shared" si="171"/>
        <v xml:space="preserve">Price cap - Variable </v>
      </c>
      <c r="BK179" s="987">
        <f t="shared" ref="BK179:BU179" si="236">IF(V179="","-",IFERROR((V179/U179-1)*(U179/U$13),"-"))</f>
        <v>-2.3235662023009724E-3</v>
      </c>
      <c r="BL179" s="987">
        <f t="shared" si="236"/>
        <v>2.7097507126163262E-4</v>
      </c>
      <c r="BM179" s="987">
        <f t="shared" si="236"/>
        <v>-6.9493451207233896E-5</v>
      </c>
      <c r="BN179" s="987">
        <f t="shared" si="236"/>
        <v>-3.2660835328110878E-6</v>
      </c>
      <c r="BO179" s="1353">
        <f t="shared" si="236"/>
        <v>1.1678667380021655E-4</v>
      </c>
      <c r="BP179" s="1346">
        <f t="shared" si="236"/>
        <v>2.405999415504588E-3</v>
      </c>
      <c r="BQ179" s="987">
        <f t="shared" si="236"/>
        <v>4.6834965263350904E-5</v>
      </c>
      <c r="BR179" s="987">
        <f t="shared" si="236"/>
        <v>3.3774599610376086E-5</v>
      </c>
      <c r="BS179" s="987">
        <f t="shared" si="236"/>
        <v>2.9792234045117307E-5</v>
      </c>
      <c r="BT179" s="988">
        <f t="shared" si="236"/>
        <v>7.6360836025427025E-6</v>
      </c>
      <c r="BU179" s="987">
        <f t="shared" si="236"/>
        <v>1.0003850735502934E-3</v>
      </c>
      <c r="BV179" s="987">
        <f>IF(AG179="","-",IFERROR((AG179/AF179-1)*(AF179/AF$13),"-"))</f>
        <v>7.0420348199387624E-5</v>
      </c>
      <c r="BW179" s="987">
        <f>IF(AH179="","-",IFERROR((AH179/AG179-1)*(AG179/AG$13),"-"))</f>
        <v>4.8971230839669847E-6</v>
      </c>
      <c r="BX179" s="987">
        <f>IF(AI179="","-",IFERROR((AI179/AH179-1)*(AH179/AH$13),"-"))</f>
        <v>5.0399199239357546E-5</v>
      </c>
      <c r="BY179" s="989">
        <f>IF(AJ179="","-",IFERROR((AJ179/AI179-1)*(AI179/AI$13),"-"))</f>
        <v>5.1470014341697142E-5</v>
      </c>
      <c r="BZ179" s="951"/>
      <c r="CA179" s="984" t="str">
        <f t="shared" si="149"/>
        <v>Rev</v>
      </c>
      <c r="CB179" s="985" t="str">
        <f t="shared" si="150"/>
        <v>Sewerage</v>
      </c>
      <c r="CC179" s="985" t="str">
        <f t="shared" si="151"/>
        <v xml:space="preserve">Price cap - Variable </v>
      </c>
      <c r="CD179" s="990">
        <f t="shared" si="175"/>
        <v>-0.2498430872503673</v>
      </c>
      <c r="CE179" s="987">
        <f t="shared" si="175"/>
        <v>-0.18137781433399447</v>
      </c>
      <c r="CF179" s="987">
        <f t="shared" si="175"/>
        <v>-0.13963992338857489</v>
      </c>
      <c r="CG179" s="988">
        <f t="shared" si="175"/>
        <v>-0.1056669800821084</v>
      </c>
      <c r="CH179" s="987">
        <f t="shared" si="176"/>
        <v>0.37416926636497694</v>
      </c>
      <c r="CI179" s="987">
        <f t="shared" si="176"/>
        <v>0.23880343880835642</v>
      </c>
      <c r="CJ179" s="987">
        <f t="shared" si="176"/>
        <v>0.1759950026950301</v>
      </c>
      <c r="CK179" s="989">
        <f t="shared" si="176"/>
        <v>0.138834067132104</v>
      </c>
    </row>
    <row r="180" spans="4:89">
      <c r="D180" s="63">
        <f>D177+1</f>
        <v>38</v>
      </c>
      <c r="E180" s="550" t="s">
        <v>857</v>
      </c>
      <c r="F180" s="595" t="s">
        <v>402</v>
      </c>
      <c r="G180" s="595" t="s">
        <v>103</v>
      </c>
      <c r="H180" s="595" t="s">
        <v>892</v>
      </c>
      <c r="I180" s="589" t="s">
        <v>941</v>
      </c>
      <c r="J180" s="589" t="s">
        <v>879</v>
      </c>
      <c r="K180" s="551"/>
      <c r="L180" s="552"/>
      <c r="M180" s="552"/>
      <c r="N180" s="551"/>
      <c r="O180" s="552"/>
      <c r="P180" s="552"/>
      <c r="Q180" s="552"/>
      <c r="R180" s="1035"/>
      <c r="S180" s="1138"/>
      <c r="T180" s="591"/>
      <c r="U180" s="1035">
        <v>95.075068610634645</v>
      </c>
      <c r="V180" s="591">
        <v>47.413155216284984</v>
      </c>
      <c r="W180" s="591">
        <v>47.422372881355926</v>
      </c>
      <c r="X180" s="591">
        <v>47.419932126696828</v>
      </c>
      <c r="Y180" s="591">
        <v>47.422248908296943</v>
      </c>
      <c r="Z180" s="591">
        <v>47.422600000000003</v>
      </c>
      <c r="AA180" s="1138">
        <v>88</v>
      </c>
      <c r="AB180" s="591">
        <v>88</v>
      </c>
      <c r="AC180" s="591">
        <v>88</v>
      </c>
      <c r="AD180" s="591">
        <v>88</v>
      </c>
      <c r="AE180" s="1035">
        <v>88</v>
      </c>
      <c r="AF180" s="591">
        <v>105.50761327892384</v>
      </c>
      <c r="AG180" s="591">
        <v>105.50761327892384</v>
      </c>
      <c r="AH180" s="591">
        <v>105.50761327892384</v>
      </c>
      <c r="AI180" s="591">
        <v>105.50761327892384</v>
      </c>
      <c r="AJ180" s="592">
        <v>105.50761327892384</v>
      </c>
      <c r="AK180" s="548"/>
      <c r="AM180" s="974"/>
      <c r="AO180" s="975" t="str">
        <f t="shared" si="152"/>
        <v>Price</v>
      </c>
      <c r="AP180" s="976" t="str">
        <f t="shared" si="152"/>
        <v>Sewerage</v>
      </c>
      <c r="AQ180" s="977" t="str">
        <f t="shared" si="153"/>
        <v xml:space="preserve">Price cap - Variable </v>
      </c>
      <c r="AR180" s="1341">
        <f t="shared" si="154"/>
        <v>-0.50130821981882245</v>
      </c>
      <c r="AS180" s="978">
        <f t="shared" si="155"/>
        <v>1.94411551580842E-4</v>
      </c>
      <c r="AT180" s="979">
        <f t="shared" si="156"/>
        <v>-5.146842114378547E-5</v>
      </c>
      <c r="AU180" s="979">
        <f t="shared" si="157"/>
        <v>4.885670426357791E-5</v>
      </c>
      <c r="AV180" s="1352">
        <f t="shared" si="158"/>
        <v>7.403522843008048E-6</v>
      </c>
      <c r="AW180" s="1345">
        <f t="shared" si="159"/>
        <v>0.8556553204590216</v>
      </c>
      <c r="AX180" s="979">
        <f t="shared" si="160"/>
        <v>0</v>
      </c>
      <c r="AY180" s="979">
        <f t="shared" si="161"/>
        <v>0</v>
      </c>
      <c r="AZ180" s="979">
        <f t="shared" si="162"/>
        <v>0</v>
      </c>
      <c r="BA180" s="980">
        <f t="shared" si="163"/>
        <v>0</v>
      </c>
      <c r="BB180" s="1345">
        <f t="shared" si="164"/>
        <v>0.19895015089686185</v>
      </c>
      <c r="BC180" s="979">
        <f t="shared" si="165"/>
        <v>0</v>
      </c>
      <c r="BD180" s="979">
        <f t="shared" si="166"/>
        <v>0</v>
      </c>
      <c r="BE180" s="979">
        <f t="shared" si="167"/>
        <v>0</v>
      </c>
      <c r="BF180" s="981">
        <f t="shared" si="168"/>
        <v>0</v>
      </c>
      <c r="BG180" s="951"/>
      <c r="BH180" s="975" t="str">
        <f t="shared" si="169"/>
        <v>Price</v>
      </c>
      <c r="BI180" s="976" t="str">
        <f t="shared" si="170"/>
        <v>Sewerage</v>
      </c>
      <c r="BJ180" s="977" t="str">
        <f t="shared" si="171"/>
        <v xml:space="preserve">Price cap - Variable </v>
      </c>
      <c r="BK180" s="978">
        <f t="shared" ref="BK180:BU180" si="237">IF(V180="","-",IFERROR((V180/U180-1)*(U182/U$13),"-"))</f>
        <v>-1.1654008799342427E-3</v>
      </c>
      <c r="BL180" s="978">
        <f t="shared" si="237"/>
        <v>2.401111799144602E-7</v>
      </c>
      <c r="BM180" s="979">
        <f t="shared" si="237"/>
        <v>-7.2998304659683957E-8</v>
      </c>
      <c r="BN180" s="979">
        <f t="shared" si="237"/>
        <v>6.1425163567846631E-8</v>
      </c>
      <c r="BO180" s="1352">
        <f t="shared" si="237"/>
        <v>9.1971934658152491E-9</v>
      </c>
      <c r="BP180" s="1345">
        <f t="shared" si="237"/>
        <v>1.1024206076467918E-3</v>
      </c>
      <c r="BQ180" s="979">
        <f t="shared" si="237"/>
        <v>0</v>
      </c>
      <c r="BR180" s="979">
        <f t="shared" si="237"/>
        <v>0</v>
      </c>
      <c r="BS180" s="979">
        <f t="shared" si="237"/>
        <v>0</v>
      </c>
      <c r="BT180" s="980">
        <f t="shared" si="237"/>
        <v>0</v>
      </c>
      <c r="BU180" s="979">
        <f t="shared" si="237"/>
        <v>4.2567090817859961E-4</v>
      </c>
      <c r="BV180" s="979">
        <f>IF(AG180="","-",IFERROR((AG180/AF180-1)*(AF182/AF$13),"-"))</f>
        <v>0</v>
      </c>
      <c r="BW180" s="979">
        <f>IF(AH180="","-",IFERROR((AH180/AG180-1)*(AG182/AG$13),"-"))</f>
        <v>0</v>
      </c>
      <c r="BX180" s="979">
        <f>IF(AI180="","-",IFERROR((AI180/AH180-1)*(AH182/AH$13),"-"))</f>
        <v>0</v>
      </c>
      <c r="BY180" s="981">
        <f>IF(AJ180="","-",IFERROR((AJ180/AI180-1)*(AI182/AI$13),"-"))</f>
        <v>0</v>
      </c>
      <c r="BZ180" s="951"/>
      <c r="CA180" s="975" t="str">
        <f t="shared" si="149"/>
        <v>Price</v>
      </c>
      <c r="CB180" s="976" t="str">
        <f t="shared" si="150"/>
        <v>Sewerage</v>
      </c>
      <c r="CC180" s="982" t="str">
        <f t="shared" si="151"/>
        <v xml:space="preserve">Price cap - Variable </v>
      </c>
      <c r="CD180" s="983">
        <f t="shared" si="175"/>
        <v>-0.29375023424858882</v>
      </c>
      <c r="CE180" s="979">
        <f t="shared" si="175"/>
        <v>-0.20695452123122371</v>
      </c>
      <c r="CF180" s="979">
        <f t="shared" si="175"/>
        <v>-0.15961387291279583</v>
      </c>
      <c r="CG180" s="980">
        <f t="shared" si="175"/>
        <v>-0.1298708007100281</v>
      </c>
      <c r="CH180" s="979">
        <f t="shared" si="176"/>
        <v>0.36222440165305425</v>
      </c>
      <c r="CI180" s="979">
        <f t="shared" si="176"/>
        <v>0.22885065051041864</v>
      </c>
      <c r="CJ180" s="979">
        <f t="shared" si="176"/>
        <v>0.16714369366117654</v>
      </c>
      <c r="CK180" s="981">
        <f t="shared" si="176"/>
        <v>0.13161699764946722</v>
      </c>
    </row>
    <row r="181" spans="4:89">
      <c r="E181" s="567" t="s">
        <v>880</v>
      </c>
      <c r="F181" s="554" t="str">
        <f>+F180</f>
        <v>Sewerage</v>
      </c>
      <c r="G181" s="555" t="str">
        <f>+G180</f>
        <v>YVW</v>
      </c>
      <c r="H181" s="555" t="str">
        <f>+H180</f>
        <v>Eastern Treatment</v>
      </c>
      <c r="I181" s="556" t="str">
        <f>+I180</f>
        <v xml:space="preserve">Price cap - Variable </v>
      </c>
      <c r="J181" s="590" t="s">
        <v>887</v>
      </c>
      <c r="K181" s="557"/>
      <c r="L181" s="558"/>
      <c r="M181" s="558"/>
      <c r="N181" s="557"/>
      <c r="O181" s="558"/>
      <c r="P181" s="558"/>
      <c r="Q181" s="558"/>
      <c r="R181" s="1036"/>
      <c r="S181" s="1139"/>
      <c r="T181" s="593"/>
      <c r="U181" s="1036">
        <v>47151.81</v>
      </c>
      <c r="V181" s="593">
        <v>48542.131740647994</v>
      </c>
      <c r="W181" s="593">
        <v>55339.48</v>
      </c>
      <c r="X181" s="593">
        <v>49340.80000000001</v>
      </c>
      <c r="Y181" s="593">
        <v>49370.22</v>
      </c>
      <c r="Z181" s="593">
        <v>51180.823917290465</v>
      </c>
      <c r="AA181" s="1139">
        <v>51417.721632840097</v>
      </c>
      <c r="AB181" s="593">
        <v>51697.985475231697</v>
      </c>
      <c r="AC181" s="593">
        <v>52178.18651038799</v>
      </c>
      <c r="AD181" s="593">
        <v>52433.268963557392</v>
      </c>
      <c r="AE181" s="1036">
        <v>50620.212144749305</v>
      </c>
      <c r="AF181" s="593">
        <v>50803.855793474431</v>
      </c>
      <c r="AG181" s="593">
        <v>51215.953660279847</v>
      </c>
      <c r="AH181" s="593">
        <v>51403.517929701724</v>
      </c>
      <c r="AI181" s="593">
        <v>51815.278325495819</v>
      </c>
      <c r="AJ181" s="594">
        <v>51997.695973827096</v>
      </c>
      <c r="AK181" s="548"/>
      <c r="AO181" s="961" t="str">
        <f t="shared" si="152"/>
        <v>Qty</v>
      </c>
      <c r="AP181" s="962" t="str">
        <f t="shared" si="152"/>
        <v>Sewerage</v>
      </c>
      <c r="AQ181" s="963" t="str">
        <f t="shared" si="153"/>
        <v xml:space="preserve">Price cap - Variable </v>
      </c>
      <c r="AR181" s="967">
        <f t="shared" si="154"/>
        <v>2.9486073613038233E-2</v>
      </c>
      <c r="AS181" s="964">
        <f t="shared" si="155"/>
        <v>0.14002986716094457</v>
      </c>
      <c r="AT181" s="964">
        <f t="shared" si="156"/>
        <v>-0.10839783821604387</v>
      </c>
      <c r="AU181" s="964">
        <f t="shared" si="157"/>
        <v>5.9626110642696517E-4</v>
      </c>
      <c r="AV181" s="1350">
        <f t="shared" si="158"/>
        <v>3.6674009499865878E-2</v>
      </c>
      <c r="AW181" s="1343">
        <f t="shared" si="159"/>
        <v>4.6286420854120269E-3</v>
      </c>
      <c r="AX181" s="964">
        <f t="shared" si="160"/>
        <v>5.4507246430108847E-3</v>
      </c>
      <c r="AY181" s="964">
        <f t="shared" si="161"/>
        <v>9.2885831187050627E-3</v>
      </c>
      <c r="AZ181" s="964">
        <f t="shared" si="162"/>
        <v>4.8886799298519801E-3</v>
      </c>
      <c r="BA181" s="965">
        <f t="shared" si="163"/>
        <v>-3.4578367030066559E-2</v>
      </c>
      <c r="BB181" s="1343">
        <f t="shared" si="164"/>
        <v>3.6278719694020634E-3</v>
      </c>
      <c r="BC181" s="964">
        <f t="shared" si="165"/>
        <v>8.1115470542365564E-3</v>
      </c>
      <c r="BD181" s="964">
        <f t="shared" si="166"/>
        <v>3.6622235068783926E-3</v>
      </c>
      <c r="BE181" s="964">
        <f t="shared" si="167"/>
        <v>8.0103543955338807E-3</v>
      </c>
      <c r="BF181" s="966">
        <f t="shared" si="168"/>
        <v>3.5205378457172642E-3</v>
      </c>
      <c r="BG181" s="951"/>
      <c r="BH181" s="961" t="str">
        <f t="shared" si="169"/>
        <v>Qty</v>
      </c>
      <c r="BI181" s="962" t="str">
        <f t="shared" si="170"/>
        <v>Sewerage</v>
      </c>
      <c r="BJ181" s="963" t="str">
        <f t="shared" si="171"/>
        <v xml:space="preserve">Price cap - Variable </v>
      </c>
      <c r="BK181" s="964">
        <f t="shared" ref="BK181:BU181" si="238">IF(V181="","-",IFERROR((V181/U181-1)*(U182/U$13),"-"))</f>
        <v>6.854684359027617E-5</v>
      </c>
      <c r="BL181" s="964">
        <f t="shared" si="238"/>
        <v>1.729461873735327E-4</v>
      </c>
      <c r="BM181" s="964">
        <f t="shared" si="238"/>
        <v>-1.5374200806432428E-4</v>
      </c>
      <c r="BN181" s="964">
        <f t="shared" si="238"/>
        <v>7.4965015638038791E-7</v>
      </c>
      <c r="BO181" s="1350">
        <f t="shared" si="238"/>
        <v>4.5559116611081978E-5</v>
      </c>
      <c r="BP181" s="1343">
        <f t="shared" si="238"/>
        <v>5.963511589739266E-6</v>
      </c>
      <c r="BQ181" s="964">
        <f t="shared" si="238"/>
        <v>1.3026694541667961E-5</v>
      </c>
      <c r="BR181" s="964">
        <f t="shared" si="238"/>
        <v>2.1487044384978128E-5</v>
      </c>
      <c r="BS181" s="964">
        <f t="shared" si="238"/>
        <v>1.1197980194396332E-5</v>
      </c>
      <c r="BT181" s="965">
        <f t="shared" si="238"/>
        <v>-7.8105751496894863E-5</v>
      </c>
      <c r="BU181" s="964">
        <f t="shared" si="238"/>
        <v>7.7621431751093971E-6</v>
      </c>
      <c r="BV181" s="964">
        <f>IF(AG181="","-",IFERROR((AG181/AF181-1)*(AF182/AF$13),"-"))</f>
        <v>1.9946763390197158E-5</v>
      </c>
      <c r="BW181" s="964">
        <f>IF(AH181="","-",IFERROR((AH181/AG181-1)*(AG182/AG$13),"-"))</f>
        <v>8.9532634068128178E-6</v>
      </c>
      <c r="BX181" s="964">
        <f>IF(AI181="","-",IFERROR((AI181/AH181-1)*(AH182/AH$13),"-"))</f>
        <v>1.9371397742110353E-5</v>
      </c>
      <c r="BY181" s="966">
        <f>IF(AJ181="","-",IFERROR((AJ181/AI181-1)*(AI182/AI$13),"-"))</f>
        <v>8.4366501668706083E-6</v>
      </c>
      <c r="BZ181" s="951"/>
      <c r="CA181" s="961" t="str">
        <f t="shared" si="149"/>
        <v>Qty</v>
      </c>
      <c r="CB181" s="962" t="str">
        <f t="shared" si="150"/>
        <v>Sewerage</v>
      </c>
      <c r="CC181" s="962" t="str">
        <f t="shared" si="151"/>
        <v xml:space="preserve">Price cap - Variable </v>
      </c>
      <c r="CD181" s="967">
        <f t="shared" si="175"/>
        <v>8.3348915052354977E-2</v>
      </c>
      <c r="CE181" s="964">
        <f t="shared" si="175"/>
        <v>1.5241291147187086E-2</v>
      </c>
      <c r="CF181" s="964">
        <f t="shared" si="175"/>
        <v>1.1560059959657032E-2</v>
      </c>
      <c r="CG181" s="965">
        <f t="shared" si="175"/>
        <v>1.6533699999257134E-2</v>
      </c>
      <c r="CH181" s="964">
        <f t="shared" si="176"/>
        <v>5.0395993103462544E-3</v>
      </c>
      <c r="CI181" s="964">
        <f t="shared" si="176"/>
        <v>6.4539359949913333E-3</v>
      </c>
      <c r="CJ181" s="964">
        <f t="shared" si="176"/>
        <v>6.0623935543533403E-3</v>
      </c>
      <c r="CK181" s="966">
        <f t="shared" si="176"/>
        <v>-2.2003722219183786E-3</v>
      </c>
    </row>
    <row r="182" spans="4:89" ht="12.75" thickBot="1">
      <c r="E182" s="568" t="s">
        <v>882</v>
      </c>
      <c r="F182" s="560" t="str">
        <f>+F180</f>
        <v>Sewerage</v>
      </c>
      <c r="G182" s="561" t="str">
        <f>+G180</f>
        <v>YVW</v>
      </c>
      <c r="H182" s="561" t="str">
        <f>+H180</f>
        <v>Eastern Treatment</v>
      </c>
      <c r="I182" s="562" t="str">
        <f>+I180</f>
        <v xml:space="preserve">Price cap - Variable </v>
      </c>
      <c r="J182" s="563" t="s">
        <v>883</v>
      </c>
      <c r="K182" s="564">
        <f t="shared" ref="K182:AJ182" si="239">K180*K181/10^6</f>
        <v>0</v>
      </c>
      <c r="L182" s="565">
        <f t="shared" si="239"/>
        <v>0</v>
      </c>
      <c r="M182" s="565">
        <f t="shared" si="239"/>
        <v>0</v>
      </c>
      <c r="N182" s="564">
        <f t="shared" si="239"/>
        <v>0</v>
      </c>
      <c r="O182" s="565">
        <f t="shared" si="239"/>
        <v>0</v>
      </c>
      <c r="P182" s="565">
        <f t="shared" si="239"/>
        <v>0</v>
      </c>
      <c r="Q182" s="565">
        <f t="shared" si="239"/>
        <v>0</v>
      </c>
      <c r="R182" s="566">
        <f t="shared" si="239"/>
        <v>0</v>
      </c>
      <c r="S182" s="564">
        <f t="shared" si="239"/>
        <v>0</v>
      </c>
      <c r="T182" s="565">
        <f t="shared" si="239"/>
        <v>0</v>
      </c>
      <c r="U182" s="566">
        <f t="shared" si="239"/>
        <v>4.4829615708656085</v>
      </c>
      <c r="V182" s="565">
        <f t="shared" si="239"/>
        <v>2.3015356267486973</v>
      </c>
      <c r="W182" s="565">
        <f t="shared" si="239"/>
        <v>2.6243294556203387</v>
      </c>
      <c r="X182" s="565">
        <f t="shared" si="239"/>
        <v>2.3397373870769234</v>
      </c>
      <c r="Y182" s="565">
        <f t="shared" si="239"/>
        <v>2.34124686149738</v>
      </c>
      <c r="Z182" s="565">
        <f t="shared" si="239"/>
        <v>2.427127740300099</v>
      </c>
      <c r="AA182" s="564">
        <f t="shared" si="239"/>
        <v>4.5247595036899293</v>
      </c>
      <c r="AB182" s="565">
        <f t="shared" si="239"/>
        <v>4.5494227218203891</v>
      </c>
      <c r="AC182" s="565">
        <f t="shared" si="239"/>
        <v>4.5916804129141431</v>
      </c>
      <c r="AD182" s="565">
        <f t="shared" si="239"/>
        <v>4.6141276687930501</v>
      </c>
      <c r="AE182" s="566">
        <f t="shared" si="239"/>
        <v>4.4545786687379385</v>
      </c>
      <c r="AF182" s="565">
        <f t="shared" si="239"/>
        <v>5.360193570136115</v>
      </c>
      <c r="AG182" s="565">
        <f>AG180*AG181/10^6</f>
        <v>5.4036730325000901</v>
      </c>
      <c r="AH182" s="565">
        <f>AH180*AH181/10^6</f>
        <v>5.4234624909031979</v>
      </c>
      <c r="AI182" s="565">
        <f>AI180*AI181/10^6</f>
        <v>5.4669063475062174</v>
      </c>
      <c r="AJ182" s="566">
        <f t="shared" si="239"/>
        <v>5.486152798201605</v>
      </c>
      <c r="AK182" s="548"/>
      <c r="AO182" s="984" t="str">
        <f t="shared" si="152"/>
        <v>Rev</v>
      </c>
      <c r="AP182" s="985" t="str">
        <f t="shared" si="152"/>
        <v>Sewerage</v>
      </c>
      <c r="AQ182" s="986" t="str">
        <f t="shared" si="153"/>
        <v xml:space="preserve">Price cap - Variable </v>
      </c>
      <c r="AR182" s="990">
        <f t="shared" si="154"/>
        <v>-0.48660375727818317</v>
      </c>
      <c r="AS182" s="987">
        <f t="shared" si="155"/>
        <v>0.1402515021362678</v>
      </c>
      <c r="AT182" s="987">
        <f t="shared" si="156"/>
        <v>-0.10844372757159926</v>
      </c>
      <c r="AU182" s="987">
        <f t="shared" si="157"/>
        <v>6.4514694204320655E-4</v>
      </c>
      <c r="AV182" s="1353">
        <f t="shared" si="158"/>
        <v>3.6681684539575876E-2</v>
      </c>
      <c r="AW182" s="1346">
        <f t="shared" si="159"/>
        <v>0.8642444847713171</v>
      </c>
      <c r="AX182" s="987">
        <f t="shared" si="160"/>
        <v>5.4507246430106626E-3</v>
      </c>
      <c r="AY182" s="987">
        <f t="shared" si="161"/>
        <v>9.2885831187050627E-3</v>
      </c>
      <c r="AZ182" s="987">
        <f t="shared" si="162"/>
        <v>4.888679929851758E-3</v>
      </c>
      <c r="BA182" s="988">
        <f t="shared" si="163"/>
        <v>-3.4578367030066559E-2</v>
      </c>
      <c r="BB182" s="1346">
        <f t="shared" si="164"/>
        <v>0.20329978854201114</v>
      </c>
      <c r="BC182" s="987">
        <f t="shared" si="165"/>
        <v>8.1115470542365564E-3</v>
      </c>
      <c r="BD182" s="987">
        <f t="shared" si="166"/>
        <v>3.6622235068786146E-3</v>
      </c>
      <c r="BE182" s="987">
        <f t="shared" si="167"/>
        <v>8.0103543955338807E-3</v>
      </c>
      <c r="BF182" s="989">
        <f t="shared" si="168"/>
        <v>3.5205378457172642E-3</v>
      </c>
      <c r="BG182" s="951"/>
      <c r="BH182" s="984" t="str">
        <f t="shared" si="169"/>
        <v>Rev</v>
      </c>
      <c r="BI182" s="985" t="str">
        <f t="shared" si="170"/>
        <v>Sewerage</v>
      </c>
      <c r="BJ182" s="986" t="str">
        <f t="shared" si="171"/>
        <v xml:space="preserve">Price cap - Variable </v>
      </c>
      <c r="BK182" s="987">
        <f t="shared" ref="BK182:BU182" si="240">IF(V182="","-",IFERROR((V182/U182-1)*(U182/U$13),"-"))</f>
        <v>-1.1312171324784071E-3</v>
      </c>
      <c r="BL182" s="987">
        <f t="shared" si="240"/>
        <v>1.732199212900744E-4</v>
      </c>
      <c r="BM182" s="987">
        <f t="shared" si="240"/>
        <v>-1.5380709351056539E-4</v>
      </c>
      <c r="BN182" s="987">
        <f t="shared" si="240"/>
        <v>8.1111194538438046E-7</v>
      </c>
      <c r="BO182" s="1353">
        <f t="shared" si="240"/>
        <v>4.5568651102508221E-5</v>
      </c>
      <c r="BP182" s="1346">
        <f t="shared" si="240"/>
        <v>1.1134868296569108E-3</v>
      </c>
      <c r="BQ182" s="987">
        <f t="shared" si="240"/>
        <v>1.3026694541667431E-5</v>
      </c>
      <c r="BR182" s="987">
        <f t="shared" si="240"/>
        <v>2.1487044384978128E-5</v>
      </c>
      <c r="BS182" s="987">
        <f t="shared" si="240"/>
        <v>1.1197980194395822E-5</v>
      </c>
      <c r="BT182" s="988">
        <f t="shared" si="240"/>
        <v>-7.8105751496894863E-5</v>
      </c>
      <c r="BU182" s="987">
        <f t="shared" si="240"/>
        <v>4.3497733090968048E-4</v>
      </c>
      <c r="BV182" s="987">
        <f>IF(AG182="","-",IFERROR((AG182/AF182-1)*(AF182/AF$13),"-"))</f>
        <v>1.9946763390197158E-5</v>
      </c>
      <c r="BW182" s="987">
        <f>IF(AH182="","-",IFERROR((AH182/AG182-1)*(AG182/AG$13),"-"))</f>
        <v>8.9532634068133599E-6</v>
      </c>
      <c r="BX182" s="987">
        <f>IF(AI182="","-",IFERROR((AI182/AH182-1)*(AH182/AH$13),"-"))</f>
        <v>1.9371397742110353E-5</v>
      </c>
      <c r="BY182" s="989">
        <f>IF(AJ182="","-",IFERROR((AJ182/AI182-1)*(AI182/AI$13),"-"))</f>
        <v>8.4366501668706083E-6</v>
      </c>
      <c r="BZ182" s="951"/>
      <c r="CA182" s="984" t="str">
        <f t="shared" si="149"/>
        <v>Rev</v>
      </c>
      <c r="CB182" s="985" t="str">
        <f t="shared" si="150"/>
        <v>Sewerage</v>
      </c>
      <c r="CC182" s="985" t="str">
        <f t="shared" si="151"/>
        <v xml:space="preserve">Price cap - Variable </v>
      </c>
      <c r="CD182" s="990">
        <f t="shared" si="175"/>
        <v>-0.23488508251722895</v>
      </c>
      <c r="CE182" s="987">
        <f t="shared" si="175"/>
        <v>-0.19486748419634836</v>
      </c>
      <c r="CF182" s="987">
        <f t="shared" si="175"/>
        <v>-0.14989895889440374</v>
      </c>
      <c r="CG182" s="988">
        <f t="shared" si="175"/>
        <v>-0.11548434556837384</v>
      </c>
      <c r="CH182" s="987">
        <f t="shared" si="176"/>
        <v>0.3690894668081619</v>
      </c>
      <c r="CI182" s="987">
        <f t="shared" si="176"/>
        <v>0.23678157395621646</v>
      </c>
      <c r="CJ182" s="987">
        <f t="shared" si="176"/>
        <v>0.17421937806663212</v>
      </c>
      <c r="CK182" s="989">
        <f t="shared" si="176"/>
        <v>0.12912701904198864</v>
      </c>
    </row>
    <row r="183" spans="4:89">
      <c r="D183" s="63">
        <f>D180+1</f>
        <v>39</v>
      </c>
      <c r="E183" s="550" t="s">
        <v>857</v>
      </c>
      <c r="F183" s="595" t="s">
        <v>402</v>
      </c>
      <c r="G183" s="595" t="s">
        <v>877</v>
      </c>
      <c r="H183" s="595" t="s">
        <v>893</v>
      </c>
      <c r="I183" s="589" t="s">
        <v>941</v>
      </c>
      <c r="J183" s="589" t="s">
        <v>879</v>
      </c>
      <c r="K183" s="551"/>
      <c r="L183" s="552"/>
      <c r="M183" s="552"/>
      <c r="N183" s="551"/>
      <c r="O183" s="552"/>
      <c r="P183" s="552"/>
      <c r="Q183" s="552"/>
      <c r="R183" s="1035"/>
      <c r="S183" s="1138"/>
      <c r="T183" s="591"/>
      <c r="U183" s="1035">
        <v>48.412384219554021</v>
      </c>
      <c r="V183" s="591">
        <v>48.320127226463107</v>
      </c>
      <c r="W183" s="591">
        <v>48.319491525423722</v>
      </c>
      <c r="X183" s="591">
        <v>48.321855203619911</v>
      </c>
      <c r="Y183" s="591">
        <v>48.323384279475974</v>
      </c>
      <c r="Z183" s="591">
        <v>48.328000000000003</v>
      </c>
      <c r="AA183" s="1138">
        <v>50.800095827408093</v>
      </c>
      <c r="AB183" s="591">
        <v>50.800095827408093</v>
      </c>
      <c r="AC183" s="591">
        <v>50.800095827408093</v>
      </c>
      <c r="AD183" s="591">
        <v>50.800095827408093</v>
      </c>
      <c r="AE183" s="1035">
        <v>50.800095827408093</v>
      </c>
      <c r="AF183" s="591">
        <v>60.906782557845972</v>
      </c>
      <c r="AG183" s="591">
        <v>60.906782557845972</v>
      </c>
      <c r="AH183" s="591">
        <v>60.906782557845972</v>
      </c>
      <c r="AI183" s="591">
        <v>60.906782557845972</v>
      </c>
      <c r="AJ183" s="592">
        <v>60.906782557845972</v>
      </c>
      <c r="AK183" s="548"/>
      <c r="AM183" s="974"/>
      <c r="AO183" s="975" t="str">
        <f t="shared" si="152"/>
        <v>Price</v>
      </c>
      <c r="AP183" s="976" t="str">
        <f t="shared" si="152"/>
        <v>Sewerage</v>
      </c>
      <c r="AQ183" s="977" t="str">
        <f t="shared" si="153"/>
        <v xml:space="preserve">Price cap - Variable </v>
      </c>
      <c r="AR183" s="1341">
        <f t="shared" si="154"/>
        <v>-1.9056486181825427E-3</v>
      </c>
      <c r="AS183" s="978">
        <f t="shared" si="155"/>
        <v>-1.3156029917027467E-5</v>
      </c>
      <c r="AT183" s="979">
        <f t="shared" si="156"/>
        <v>4.8917695976813391E-5</v>
      </c>
      <c r="AU183" s="979">
        <f t="shared" si="157"/>
        <v>3.1643566862582517E-5</v>
      </c>
      <c r="AV183" s="1352">
        <f t="shared" si="158"/>
        <v>9.5517327539207386E-5</v>
      </c>
      <c r="AW183" s="1345">
        <f t="shared" si="159"/>
        <v>5.1152454631023136E-2</v>
      </c>
      <c r="AX183" s="979">
        <f t="shared" si="160"/>
        <v>0</v>
      </c>
      <c r="AY183" s="979">
        <f t="shared" si="161"/>
        <v>0</v>
      </c>
      <c r="AZ183" s="979">
        <f t="shared" si="162"/>
        <v>0</v>
      </c>
      <c r="BA183" s="980">
        <f t="shared" si="163"/>
        <v>0</v>
      </c>
      <c r="BB183" s="1345">
        <f t="shared" si="164"/>
        <v>0.19895015089686185</v>
      </c>
      <c r="BC183" s="979">
        <f t="shared" si="165"/>
        <v>0</v>
      </c>
      <c r="BD183" s="979">
        <f t="shared" si="166"/>
        <v>0</v>
      </c>
      <c r="BE183" s="979">
        <f t="shared" si="167"/>
        <v>0</v>
      </c>
      <c r="BF183" s="981">
        <f t="shared" si="168"/>
        <v>0</v>
      </c>
      <c r="BG183" s="951"/>
      <c r="BH183" s="975" t="str">
        <f t="shared" si="169"/>
        <v>Price</v>
      </c>
      <c r="BI183" s="976" t="str">
        <f t="shared" si="170"/>
        <v>Sewerage</v>
      </c>
      <c r="BJ183" s="977" t="str">
        <f t="shared" si="171"/>
        <v xml:space="preserve">Price cap - Variable </v>
      </c>
      <c r="BK183" s="978">
        <f t="shared" ref="BK183:BU183" si="241">IF(V183="","-",IFERROR((V183/U183-1)*(U185/U$13),"-"))</f>
        <v>-4.0572845948963132E-6</v>
      </c>
      <c r="BL183" s="978">
        <f t="shared" si="241"/>
        <v>-3.0091888709714798E-8</v>
      </c>
      <c r="BM183" s="979">
        <f t="shared" si="241"/>
        <v>1.2219190189181275E-7</v>
      </c>
      <c r="BN183" s="979">
        <f t="shared" si="241"/>
        <v>7.8997763167918066E-8</v>
      </c>
      <c r="BO183" s="1352">
        <f t="shared" si="241"/>
        <v>2.3838474192583532E-7</v>
      </c>
      <c r="BP183" s="1345">
        <f t="shared" si="241"/>
        <v>1.3079039487718085E-4</v>
      </c>
      <c r="BQ183" s="979">
        <f t="shared" si="241"/>
        <v>0</v>
      </c>
      <c r="BR183" s="979">
        <f t="shared" si="241"/>
        <v>0</v>
      </c>
      <c r="BS183" s="979">
        <f t="shared" si="241"/>
        <v>0</v>
      </c>
      <c r="BT183" s="980">
        <f t="shared" si="241"/>
        <v>0</v>
      </c>
      <c r="BU183" s="979">
        <f t="shared" si="241"/>
        <v>5.228503614804872E-4</v>
      </c>
      <c r="BV183" s="979">
        <f>IF(AG183="","-",IFERROR((AG183/AF183-1)*(AF185/AF$13),"-"))</f>
        <v>0</v>
      </c>
      <c r="BW183" s="979">
        <f>IF(AH183="","-",IFERROR((AH183/AG183-1)*(AG185/AG$13),"-"))</f>
        <v>0</v>
      </c>
      <c r="BX183" s="979">
        <f>IF(AI183="","-",IFERROR((AI183/AH183-1)*(AH185/AH$13),"-"))</f>
        <v>0</v>
      </c>
      <c r="BY183" s="981">
        <f>IF(AJ183="","-",IFERROR((AJ183/AI183-1)*(AI185/AI$13),"-"))</f>
        <v>0</v>
      </c>
      <c r="BZ183" s="951"/>
      <c r="CA183" s="975" t="str">
        <f t="shared" si="149"/>
        <v>Price</v>
      </c>
      <c r="CB183" s="976" t="str">
        <f t="shared" si="150"/>
        <v>Sewerage</v>
      </c>
      <c r="CC183" s="982" t="str">
        <f t="shared" si="151"/>
        <v xml:space="preserve">Price cap - Variable </v>
      </c>
      <c r="CD183" s="983">
        <f t="shared" si="175"/>
        <v>-9.5985044510316087E-4</v>
      </c>
      <c r="CE183" s="979">
        <f t="shared" si="175"/>
        <v>-6.2370751139295688E-4</v>
      </c>
      <c r="CF183" s="979">
        <f t="shared" si="175"/>
        <v>-4.5991001577505575E-4</v>
      </c>
      <c r="CG183" s="980">
        <f t="shared" si="175"/>
        <v>-3.4884923020161995E-4</v>
      </c>
      <c r="CH183" s="979">
        <f t="shared" si="176"/>
        <v>2.5257262657047974E-2</v>
      </c>
      <c r="CI183" s="979">
        <f t="shared" si="176"/>
        <v>1.6768078211917281E-2</v>
      </c>
      <c r="CJ183" s="979">
        <f t="shared" si="176"/>
        <v>1.2549881564877685E-2</v>
      </c>
      <c r="CK183" s="981">
        <f t="shared" si="176"/>
        <v>1.00273681078209E-2</v>
      </c>
    </row>
    <row r="184" spans="4:89">
      <c r="E184" s="567" t="s">
        <v>880</v>
      </c>
      <c r="F184" s="554" t="str">
        <f>+F183</f>
        <v>Sewerage</v>
      </c>
      <c r="G184" s="555" t="str">
        <f>+G183</f>
        <v>GWW</v>
      </c>
      <c r="H184" s="555" t="str">
        <f>+H183</f>
        <v>Western Transfer</v>
      </c>
      <c r="I184" s="556" t="str">
        <f>+I183</f>
        <v xml:space="preserve">Price cap - Variable </v>
      </c>
      <c r="J184" s="590" t="s">
        <v>887</v>
      </c>
      <c r="K184" s="557"/>
      <c r="L184" s="558"/>
      <c r="M184" s="558"/>
      <c r="N184" s="557"/>
      <c r="O184" s="558"/>
      <c r="P184" s="558"/>
      <c r="Q184" s="558"/>
      <c r="R184" s="1036"/>
      <c r="S184" s="1139"/>
      <c r="T184" s="593"/>
      <c r="U184" s="1036">
        <v>84806.799999999988</v>
      </c>
      <c r="V184" s="593">
        <v>88211.23691630167</v>
      </c>
      <c r="W184" s="593">
        <v>95653.420000000027</v>
      </c>
      <c r="X184" s="593">
        <v>96145.89</v>
      </c>
      <c r="Y184" s="593">
        <v>97335.050000000047</v>
      </c>
      <c r="Z184" s="593">
        <v>99667.764086675961</v>
      </c>
      <c r="AA184" s="1139">
        <v>101202.46580117283</v>
      </c>
      <c r="AB184" s="593">
        <v>102920.24426750727</v>
      </c>
      <c r="AC184" s="593">
        <v>105052.27548407977</v>
      </c>
      <c r="AD184" s="593">
        <v>106559.95206187114</v>
      </c>
      <c r="AE184" s="1036">
        <v>107707.40043972171</v>
      </c>
      <c r="AF184" s="593">
        <v>109125.06775741187</v>
      </c>
      <c r="AG184" s="593">
        <v>111234.54419634042</v>
      </c>
      <c r="AH184" s="593">
        <v>112655.49813359333</v>
      </c>
      <c r="AI184" s="593">
        <v>114754.12432506689</v>
      </c>
      <c r="AJ184" s="594">
        <v>116144.73053841565</v>
      </c>
      <c r="AK184" s="548"/>
      <c r="AO184" s="961" t="str">
        <f t="shared" si="152"/>
        <v>Qty</v>
      </c>
      <c r="AP184" s="962" t="str">
        <f t="shared" si="152"/>
        <v>Sewerage</v>
      </c>
      <c r="AQ184" s="963" t="str">
        <f t="shared" si="153"/>
        <v xml:space="preserve">Price cap - Variable </v>
      </c>
      <c r="AR184" s="967">
        <f t="shared" si="154"/>
        <v>4.0143442699190235E-2</v>
      </c>
      <c r="AS184" s="964">
        <f t="shared" si="155"/>
        <v>8.4367744335790196E-2</v>
      </c>
      <c r="AT184" s="964">
        <f t="shared" si="156"/>
        <v>5.1484829293084733E-3</v>
      </c>
      <c r="AU184" s="964">
        <f t="shared" si="157"/>
        <v>1.2368287401573141E-2</v>
      </c>
      <c r="AV184" s="1350">
        <f t="shared" si="158"/>
        <v>2.3965817931730804E-2</v>
      </c>
      <c r="AW184" s="1343">
        <f t="shared" si="159"/>
        <v>1.5398175413689597E-2</v>
      </c>
      <c r="AX184" s="964">
        <f t="shared" si="160"/>
        <v>1.6973681942782592E-2</v>
      </c>
      <c r="AY184" s="964">
        <f t="shared" si="161"/>
        <v>2.0715372682472477E-2</v>
      </c>
      <c r="AZ184" s="964">
        <f t="shared" si="162"/>
        <v>1.4351679398128425E-2</v>
      </c>
      <c r="BA184" s="965">
        <f t="shared" si="163"/>
        <v>1.0768101483231929E-2</v>
      </c>
      <c r="BB184" s="1343">
        <f t="shared" si="164"/>
        <v>1.3162209020944227E-2</v>
      </c>
      <c r="BC184" s="964">
        <f t="shared" si="165"/>
        <v>1.9330814470768232E-2</v>
      </c>
      <c r="BD184" s="964">
        <f t="shared" si="166"/>
        <v>1.2774394389073684E-2</v>
      </c>
      <c r="BE184" s="964">
        <f t="shared" si="167"/>
        <v>1.8628706332512124E-2</v>
      </c>
      <c r="BF184" s="966">
        <f t="shared" si="168"/>
        <v>1.2118137117316685E-2</v>
      </c>
      <c r="BG184" s="951"/>
      <c r="BH184" s="961" t="str">
        <f t="shared" si="169"/>
        <v>Qty</v>
      </c>
      <c r="BI184" s="962" t="str">
        <f t="shared" si="170"/>
        <v>Sewerage</v>
      </c>
      <c r="BJ184" s="963" t="str">
        <f t="shared" si="171"/>
        <v xml:space="preserve">Price cap - Variable </v>
      </c>
      <c r="BK184" s="964">
        <f t="shared" ref="BK184:BU184" si="242">IF(V184="","-",IFERROR((V184/U184-1)*(U185/U$13),"-"))</f>
        <v>8.5468732323204047E-5</v>
      </c>
      <c r="BL184" s="964">
        <f t="shared" si="242"/>
        <v>1.9297499239921871E-4</v>
      </c>
      <c r="BM184" s="964">
        <f t="shared" si="242"/>
        <v>1.2860436462255366E-5</v>
      </c>
      <c r="BN184" s="964">
        <f t="shared" si="242"/>
        <v>3.0877272564919652E-5</v>
      </c>
      <c r="BO184" s="1350">
        <f t="shared" si="242"/>
        <v>5.9812030653308751E-5</v>
      </c>
      <c r="BP184" s="1343">
        <f t="shared" si="242"/>
        <v>3.9371198455120507E-5</v>
      </c>
      <c r="BQ184" s="964">
        <f t="shared" si="242"/>
        <v>4.6091004311405585E-5</v>
      </c>
      <c r="BR184" s="964">
        <f t="shared" si="242"/>
        <v>5.5071766541339641E-5</v>
      </c>
      <c r="BS184" s="964">
        <f t="shared" si="242"/>
        <v>3.8207547119504468E-5</v>
      </c>
      <c r="BT184" s="965">
        <f t="shared" si="242"/>
        <v>2.8535574236015628E-5</v>
      </c>
      <c r="BU184" s="964">
        <f t="shared" si="242"/>
        <v>3.4590904874709341E-5</v>
      </c>
      <c r="BV184" s="964">
        <f>IF(AG184="","-",IFERROR((AG184/AF184-1)*(AF185/AF$13),"-"))</f>
        <v>5.8942507584603986E-5</v>
      </c>
      <c r="BW184" s="964">
        <f>IF(AH184="","-",IFERROR((AH184/AG184-1)*(AG185/AG$13),"-"))</f>
        <v>3.9155530376521239E-5</v>
      </c>
      <c r="BX184" s="964">
        <f>IF(AI184="","-",IFERROR((AI184/AH184-1)*(AH185/AH$13),"-"))</f>
        <v>5.6994550611870792E-5</v>
      </c>
      <c r="BY184" s="966">
        <f>IF(AJ184="","-",IFERROR((AJ184/AI184-1)*(AI185/AI$13),"-"))</f>
        <v>3.7126944885269965E-5</v>
      </c>
      <c r="BZ184" s="951"/>
      <c r="CA184" s="961" t="str">
        <f t="shared" si="149"/>
        <v>Qty</v>
      </c>
      <c r="CB184" s="962" t="str">
        <f t="shared" si="150"/>
        <v>Sewerage</v>
      </c>
      <c r="CC184" s="962" t="str">
        <f t="shared" si="151"/>
        <v xml:space="preserve">Price cap - Variable </v>
      </c>
      <c r="CD184" s="967">
        <f t="shared" si="175"/>
        <v>6.2025422833834165E-2</v>
      </c>
      <c r="CE184" s="964">
        <f t="shared" si="175"/>
        <v>4.2717548339936684E-2</v>
      </c>
      <c r="CF184" s="964">
        <f t="shared" si="175"/>
        <v>3.5045984855252232E-2</v>
      </c>
      <c r="CG184" s="965">
        <f t="shared" si="175"/>
        <v>3.282040100723016E-2</v>
      </c>
      <c r="CH184" s="964">
        <f t="shared" si="176"/>
        <v>1.618562334272533E-2</v>
      </c>
      <c r="CI184" s="964">
        <f t="shared" si="176"/>
        <v>1.769330179417139E-2</v>
      </c>
      <c r="CJ184" s="964">
        <f t="shared" si="176"/>
        <v>1.6856865566933443E-2</v>
      </c>
      <c r="CK184" s="966">
        <f t="shared" si="176"/>
        <v>1.5636185549532167E-2</v>
      </c>
    </row>
    <row r="185" spans="4:89" ht="12.75" thickBot="1">
      <c r="E185" s="568" t="s">
        <v>882</v>
      </c>
      <c r="F185" s="560" t="str">
        <f>+F183</f>
        <v>Sewerage</v>
      </c>
      <c r="G185" s="561" t="str">
        <f>+G183</f>
        <v>GWW</v>
      </c>
      <c r="H185" s="561" t="str">
        <f>+H183</f>
        <v>Western Transfer</v>
      </c>
      <c r="I185" s="562" t="str">
        <f>+I183</f>
        <v xml:space="preserve">Price cap - Variable </v>
      </c>
      <c r="J185" s="563" t="s">
        <v>883</v>
      </c>
      <c r="K185" s="564">
        <f t="shared" ref="K185:AJ185" si="243">K183*K184/10^6</f>
        <v>0</v>
      </c>
      <c r="L185" s="565">
        <f t="shared" si="243"/>
        <v>0</v>
      </c>
      <c r="M185" s="565">
        <f t="shared" si="243"/>
        <v>0</v>
      </c>
      <c r="N185" s="564">
        <f t="shared" si="243"/>
        <v>0</v>
      </c>
      <c r="O185" s="565">
        <f t="shared" si="243"/>
        <v>0</v>
      </c>
      <c r="P185" s="565">
        <f t="shared" si="243"/>
        <v>0</v>
      </c>
      <c r="Q185" s="565">
        <f t="shared" si="243"/>
        <v>0</v>
      </c>
      <c r="R185" s="566">
        <f t="shared" si="243"/>
        <v>0</v>
      </c>
      <c r="S185" s="564">
        <f t="shared" si="243"/>
        <v>0</v>
      </c>
      <c r="T185" s="565">
        <f t="shared" si="243"/>
        <v>0</v>
      </c>
      <c r="U185" s="566">
        <f t="shared" si="243"/>
        <v>4.1056993860308735</v>
      </c>
      <c r="V185" s="565">
        <f t="shared" si="243"/>
        <v>4.2623781905993763</v>
      </c>
      <c r="W185" s="565">
        <f t="shared" si="243"/>
        <v>4.6219246170677968</v>
      </c>
      <c r="X185" s="565">
        <f t="shared" si="243"/>
        <v>4.6459477750031679</v>
      </c>
      <c r="Y185" s="565">
        <f t="shared" si="243"/>
        <v>4.7035590250120096</v>
      </c>
      <c r="Z185" s="565">
        <f t="shared" si="243"/>
        <v>4.8167437027808759</v>
      </c>
      <c r="AA185" s="564">
        <f t="shared" si="243"/>
        <v>5.1410949606695704</v>
      </c>
      <c r="AB185" s="565">
        <f t="shared" si="243"/>
        <v>5.2283582713696175</v>
      </c>
      <c r="AC185" s="565">
        <f t="shared" si="243"/>
        <v>5.3366656614785262</v>
      </c>
      <c r="AD185" s="565">
        <f t="shared" si="243"/>
        <v>5.4132557761070661</v>
      </c>
      <c r="AE185" s="566">
        <f t="shared" si="243"/>
        <v>5.4715462636588796</v>
      </c>
      <c r="AF185" s="565">
        <f t="shared" si="243"/>
        <v>6.6464567735108941</v>
      </c>
      <c r="AG185" s="565">
        <f>AG183*AG184/10^6</f>
        <v>6.7749381962876134</v>
      </c>
      <c r="AH185" s="565">
        <f>AH183*AH184/10^6</f>
        <v>6.8614839287685907</v>
      </c>
      <c r="AI185" s="565">
        <f>AI183*AI184/10^6</f>
        <v>6.9893044978828716</v>
      </c>
      <c r="AJ185" s="566">
        <f t="shared" si="243"/>
        <v>7.0740018481428946</v>
      </c>
      <c r="AK185" s="548"/>
      <c r="AO185" s="984" t="str">
        <f t="shared" si="152"/>
        <v>Rev</v>
      </c>
      <c r="AP185" s="985" t="str">
        <f t="shared" si="152"/>
        <v>Sewerage</v>
      </c>
      <c r="AQ185" s="986" t="str">
        <f t="shared" si="153"/>
        <v xml:space="preserve">Price cap - Variable </v>
      </c>
      <c r="AR185" s="990">
        <f t="shared" si="154"/>
        <v>3.8161294784899047E-2</v>
      </c>
      <c r="AS185" s="987">
        <f t="shared" si="155"/>
        <v>8.4353478361304468E-2</v>
      </c>
      <c r="AT185" s="987">
        <f t="shared" si="156"/>
        <v>5.1976524772079369E-3</v>
      </c>
      <c r="AU185" s="987">
        <f t="shared" si="157"/>
        <v>1.2400322345164971E-2</v>
      </c>
      <c r="AV185" s="1353">
        <f t="shared" si="158"/>
        <v>2.4063624410151307E-2</v>
      </c>
      <c r="AW185" s="1346">
        <f t="shared" si="159"/>
        <v>6.7338284513962288E-2</v>
      </c>
      <c r="AX185" s="987">
        <f t="shared" si="160"/>
        <v>1.6973681942782592E-2</v>
      </c>
      <c r="AY185" s="987">
        <f t="shared" si="161"/>
        <v>2.0715372682472477E-2</v>
      </c>
      <c r="AZ185" s="987">
        <f t="shared" si="162"/>
        <v>1.4351679398128203E-2</v>
      </c>
      <c r="BA185" s="988">
        <f t="shared" si="163"/>
        <v>1.0768101483232151E-2</v>
      </c>
      <c r="BB185" s="1346">
        <f t="shared" si="164"/>
        <v>0.21473098338865904</v>
      </c>
      <c r="BC185" s="987">
        <f t="shared" si="165"/>
        <v>1.9330814470768232E-2</v>
      </c>
      <c r="BD185" s="987">
        <f t="shared" si="166"/>
        <v>1.2774394389073684E-2</v>
      </c>
      <c r="BE185" s="987">
        <f t="shared" si="167"/>
        <v>1.8628706332512124E-2</v>
      </c>
      <c r="BF185" s="989">
        <f t="shared" si="168"/>
        <v>1.2118137117316685E-2</v>
      </c>
      <c r="BG185" s="951"/>
      <c r="BH185" s="984" t="str">
        <f t="shared" si="169"/>
        <v>Rev</v>
      </c>
      <c r="BI185" s="985" t="str">
        <f t="shared" si="170"/>
        <v>Sewerage</v>
      </c>
      <c r="BJ185" s="986" t="str">
        <f t="shared" si="171"/>
        <v xml:space="preserve">Price cap - Variable </v>
      </c>
      <c r="BK185" s="987">
        <f t="shared" ref="BK185:BU185" si="244">IF(V185="","-",IFERROR((V185/U185-1)*(U185/U$13),"-"))</f>
        <v>8.1248574356658539E-5</v>
      </c>
      <c r="BL185" s="987">
        <f t="shared" si="244"/>
        <v>1.9294236172573531E-4</v>
      </c>
      <c r="BM185" s="987">
        <f t="shared" si="244"/>
        <v>1.2983257467068101E-5</v>
      </c>
      <c r="BN185" s="987">
        <f t="shared" si="244"/>
        <v>3.095724739512621E-5</v>
      </c>
      <c r="BO185" s="1353">
        <f t="shared" si="244"/>
        <v>6.0056128480557697E-5</v>
      </c>
      <c r="BP185" s="1346">
        <f t="shared" si="244"/>
        <v>1.7217552677504659E-4</v>
      </c>
      <c r="BQ185" s="987">
        <f t="shared" si="244"/>
        <v>4.6091004311405585E-5</v>
      </c>
      <c r="BR185" s="987">
        <f t="shared" si="244"/>
        <v>5.5071766541339641E-5</v>
      </c>
      <c r="BS185" s="987">
        <f t="shared" si="244"/>
        <v>3.8207547119503872E-5</v>
      </c>
      <c r="BT185" s="988">
        <f t="shared" si="244"/>
        <v>2.8535574236016214E-5</v>
      </c>
      <c r="BU185" s="987">
        <f t="shared" si="244"/>
        <v>5.6432313209967911E-4</v>
      </c>
      <c r="BV185" s="987">
        <f>IF(AG185="","-",IFERROR((AG185/AF185-1)*(AF185/AF$13),"-"))</f>
        <v>5.8942507584603986E-5</v>
      </c>
      <c r="BW185" s="987">
        <f>IF(AH185="","-",IFERROR((AH185/AG185-1)*(AG185/AG$13),"-"))</f>
        <v>3.9155530376521239E-5</v>
      </c>
      <c r="BX185" s="987">
        <f>IF(AI185="","-",IFERROR((AI185/AH185-1)*(AH185/AH$13),"-"))</f>
        <v>5.6994550611870792E-5</v>
      </c>
      <c r="BY185" s="989">
        <f>IF(AJ185="","-",IFERROR((AJ185/AI185-1)*(AI185/AI$13),"-"))</f>
        <v>3.7126944885269965E-5</v>
      </c>
      <c r="BZ185" s="951"/>
      <c r="CA185" s="984" t="str">
        <f t="shared" si="149"/>
        <v>Rev</v>
      </c>
      <c r="CB185" s="985" t="str">
        <f t="shared" si="150"/>
        <v>Sewerage</v>
      </c>
      <c r="CC185" s="985" t="str">
        <f t="shared" si="151"/>
        <v xml:space="preserve">Price cap - Variable </v>
      </c>
      <c r="CD185" s="990">
        <f t="shared" si="175"/>
        <v>6.100603725901621E-2</v>
      </c>
      <c r="CE185" s="987">
        <f t="shared" si="175"/>
        <v>4.2067197572775772E-2</v>
      </c>
      <c r="CF185" s="987">
        <f t="shared" si="175"/>
        <v>3.4569956840029503E-2</v>
      </c>
      <c r="CG185" s="988">
        <f t="shared" si="175"/>
        <v>3.2460102405402314E-2</v>
      </c>
      <c r="CH185" s="987">
        <f t="shared" si="176"/>
        <v>4.185169053980875E-2</v>
      </c>
      <c r="CI185" s="987">
        <f t="shared" si="176"/>
        <v>3.4758062674400181E-2</v>
      </c>
      <c r="CJ185" s="987">
        <f t="shared" si="176"/>
        <v>2.9618298798231413E-2</v>
      </c>
      <c r="CK185" s="989">
        <f t="shared" si="176"/>
        <v>2.582034344566031E-2</v>
      </c>
    </row>
    <row r="186" spans="4:89">
      <c r="D186" s="63">
        <f>D183+1</f>
        <v>40</v>
      </c>
      <c r="E186" s="550" t="s">
        <v>857</v>
      </c>
      <c r="F186" s="595" t="s">
        <v>402</v>
      </c>
      <c r="G186" s="595" t="s">
        <v>92</v>
      </c>
      <c r="H186" s="595" t="s">
        <v>893</v>
      </c>
      <c r="I186" s="589" t="s">
        <v>941</v>
      </c>
      <c r="J186" s="589" t="s">
        <v>879</v>
      </c>
      <c r="K186" s="551"/>
      <c r="L186" s="552"/>
      <c r="M186" s="552"/>
      <c r="N186" s="551"/>
      <c r="O186" s="552"/>
      <c r="P186" s="552"/>
      <c r="Q186" s="552"/>
      <c r="R186" s="1035"/>
      <c r="S186" s="1138"/>
      <c r="T186" s="591"/>
      <c r="U186" s="1035">
        <v>48.412384219554021</v>
      </c>
      <c r="V186" s="591">
        <v>48.320127226463107</v>
      </c>
      <c r="W186" s="591">
        <v>48.319491525423722</v>
      </c>
      <c r="X186" s="591">
        <v>48.321855203619911</v>
      </c>
      <c r="Y186" s="591">
        <v>48.323384279475974</v>
      </c>
      <c r="Z186" s="591">
        <v>48.328000000000003</v>
      </c>
      <c r="AA186" s="1138">
        <v>50.800095827408093</v>
      </c>
      <c r="AB186" s="591">
        <v>50.800095827408093</v>
      </c>
      <c r="AC186" s="591">
        <v>50.800095827408093</v>
      </c>
      <c r="AD186" s="591">
        <v>50.800095827408093</v>
      </c>
      <c r="AE186" s="1035">
        <v>50.800095827408093</v>
      </c>
      <c r="AF186" s="591">
        <v>60.906782557845972</v>
      </c>
      <c r="AG186" s="591">
        <v>60.906782557845972</v>
      </c>
      <c r="AH186" s="591">
        <v>60.906782557845972</v>
      </c>
      <c r="AI186" s="591">
        <v>60.906782557845972</v>
      </c>
      <c r="AJ186" s="592">
        <v>60.906782557845972</v>
      </c>
      <c r="AK186" s="548"/>
      <c r="AM186" s="974"/>
      <c r="AO186" s="975" t="str">
        <f t="shared" si="152"/>
        <v>Price</v>
      </c>
      <c r="AP186" s="976" t="str">
        <f t="shared" si="152"/>
        <v>Sewerage</v>
      </c>
      <c r="AQ186" s="977" t="str">
        <f t="shared" si="153"/>
        <v xml:space="preserve">Price cap - Variable </v>
      </c>
      <c r="AR186" s="1341">
        <f t="shared" si="154"/>
        <v>-1.9056486181825427E-3</v>
      </c>
      <c r="AS186" s="978">
        <f t="shared" si="155"/>
        <v>-1.3156029917027467E-5</v>
      </c>
      <c r="AT186" s="979">
        <f t="shared" si="156"/>
        <v>4.8917695976813391E-5</v>
      </c>
      <c r="AU186" s="979">
        <f t="shared" si="157"/>
        <v>3.1643566862582517E-5</v>
      </c>
      <c r="AV186" s="1352">
        <f t="shared" si="158"/>
        <v>9.5517327539207386E-5</v>
      </c>
      <c r="AW186" s="1345">
        <f t="shared" si="159"/>
        <v>5.1152454631023136E-2</v>
      </c>
      <c r="AX186" s="979">
        <f t="shared" si="160"/>
        <v>0</v>
      </c>
      <c r="AY186" s="979">
        <f t="shared" si="161"/>
        <v>0</v>
      </c>
      <c r="AZ186" s="979">
        <f t="shared" si="162"/>
        <v>0</v>
      </c>
      <c r="BA186" s="980">
        <f t="shared" si="163"/>
        <v>0</v>
      </c>
      <c r="BB186" s="1345">
        <f t="shared" si="164"/>
        <v>0.19895015089686185</v>
      </c>
      <c r="BC186" s="979">
        <f t="shared" si="165"/>
        <v>0</v>
      </c>
      <c r="BD186" s="979">
        <f t="shared" si="166"/>
        <v>0</v>
      </c>
      <c r="BE186" s="979">
        <f t="shared" si="167"/>
        <v>0</v>
      </c>
      <c r="BF186" s="981">
        <f t="shared" si="168"/>
        <v>0</v>
      </c>
      <c r="BG186" s="951"/>
      <c r="BH186" s="975" t="str">
        <f t="shared" si="169"/>
        <v>Price</v>
      </c>
      <c r="BI186" s="976" t="str">
        <f t="shared" si="170"/>
        <v>Sewerage</v>
      </c>
      <c r="BJ186" s="977" t="str">
        <f t="shared" si="171"/>
        <v xml:space="preserve">Price cap - Variable </v>
      </c>
      <c r="BK186" s="978">
        <f t="shared" ref="BK186:BU186" si="245">IF(V186="","-",IFERROR((V186/U186-1)*(U188/U$13),"-"))</f>
        <v>-1.3138070304301105E-6</v>
      </c>
      <c r="BL186" s="978">
        <f t="shared" si="245"/>
        <v>-9.2174713890984035E-9</v>
      </c>
      <c r="BM186" s="979">
        <f t="shared" si="245"/>
        <v>3.9328213193616662E-8</v>
      </c>
      <c r="BN186" s="979">
        <f t="shared" si="245"/>
        <v>2.5441111414504293E-8</v>
      </c>
      <c r="BO186" s="1352">
        <f t="shared" si="245"/>
        <v>7.4123081157002385E-8</v>
      </c>
      <c r="BP186" s="1345">
        <f t="shared" si="245"/>
        <v>4.0430057784940818E-5</v>
      </c>
      <c r="BQ186" s="979">
        <f t="shared" si="245"/>
        <v>0</v>
      </c>
      <c r="BR186" s="979">
        <f t="shared" si="245"/>
        <v>0</v>
      </c>
      <c r="BS186" s="979">
        <f t="shared" si="245"/>
        <v>0</v>
      </c>
      <c r="BT186" s="980">
        <f t="shared" si="245"/>
        <v>0</v>
      </c>
      <c r="BU186" s="979">
        <f t="shared" si="245"/>
        <v>1.5780035581949216E-4</v>
      </c>
      <c r="BV186" s="979">
        <f>IF(AG186="","-",IFERROR((AG186/AF186-1)*(AF188/AF$13),"-"))</f>
        <v>0</v>
      </c>
      <c r="BW186" s="979">
        <f>IF(AH186="","-",IFERROR((AH186/AG186-1)*(AG188/AG$13),"-"))</f>
        <v>0</v>
      </c>
      <c r="BX186" s="979">
        <f>IF(AI186="","-",IFERROR((AI186/AH186-1)*(AH188/AH$13),"-"))</f>
        <v>0</v>
      </c>
      <c r="BY186" s="981">
        <f>IF(AJ186="","-",IFERROR((AJ186/AI186-1)*(AI188/AI$13),"-"))</f>
        <v>0</v>
      </c>
      <c r="BZ186" s="951"/>
      <c r="CA186" s="975" t="str">
        <f t="shared" si="149"/>
        <v>Price</v>
      </c>
      <c r="CB186" s="976" t="str">
        <f t="shared" si="150"/>
        <v>Sewerage</v>
      </c>
      <c r="CC186" s="982" t="str">
        <f t="shared" si="151"/>
        <v xml:space="preserve">Price cap - Variable </v>
      </c>
      <c r="CD186" s="983">
        <f t="shared" si="175"/>
        <v>-9.5985044510316087E-4</v>
      </c>
      <c r="CE186" s="979">
        <f t="shared" si="175"/>
        <v>-6.2370751139295688E-4</v>
      </c>
      <c r="CF186" s="979">
        <f t="shared" si="175"/>
        <v>-4.5991001577505575E-4</v>
      </c>
      <c r="CG186" s="980">
        <f t="shared" si="175"/>
        <v>-3.4884923020161995E-4</v>
      </c>
      <c r="CH186" s="979">
        <f t="shared" si="176"/>
        <v>2.5257262657047974E-2</v>
      </c>
      <c r="CI186" s="979">
        <f t="shared" si="176"/>
        <v>1.6768078211917281E-2</v>
      </c>
      <c r="CJ186" s="979">
        <f t="shared" si="176"/>
        <v>1.2549881564877685E-2</v>
      </c>
      <c r="CK186" s="981">
        <f t="shared" si="176"/>
        <v>1.00273681078209E-2</v>
      </c>
    </row>
    <row r="187" spans="4:89">
      <c r="E187" s="567" t="s">
        <v>880</v>
      </c>
      <c r="F187" s="554" t="str">
        <f>+F186</f>
        <v>Sewerage</v>
      </c>
      <c r="G187" s="555" t="str">
        <f>+G186</f>
        <v>SEW</v>
      </c>
      <c r="H187" s="555" t="str">
        <f>+H186</f>
        <v>Western Transfer</v>
      </c>
      <c r="I187" s="556" t="str">
        <f>+I186</f>
        <v xml:space="preserve">Price cap - Variable </v>
      </c>
      <c r="J187" s="590" t="s">
        <v>887</v>
      </c>
      <c r="K187" s="557"/>
      <c r="L187" s="558"/>
      <c r="M187" s="558"/>
      <c r="N187" s="557"/>
      <c r="O187" s="558"/>
      <c r="P187" s="558"/>
      <c r="Q187" s="558"/>
      <c r="R187" s="1036"/>
      <c r="S187" s="1139"/>
      <c r="T187" s="593"/>
      <c r="U187" s="1036">
        <v>27461.659999999996</v>
      </c>
      <c r="V187" s="593">
        <v>27020.057142857146</v>
      </c>
      <c r="W187" s="593">
        <v>30786.639999999996</v>
      </c>
      <c r="X187" s="593">
        <v>30963.639999999992</v>
      </c>
      <c r="Y187" s="593">
        <v>30265.249999999996</v>
      </c>
      <c r="Z187" s="593">
        <v>30809.399001388003</v>
      </c>
      <c r="AA187" s="1139">
        <v>31127.987229696708</v>
      </c>
      <c r="AB187" s="593">
        <v>31473.776142272385</v>
      </c>
      <c r="AC187" s="593">
        <v>31935.325918119037</v>
      </c>
      <c r="AD187" s="593">
        <v>32251.597379169267</v>
      </c>
      <c r="AE187" s="1036">
        <v>32506.941499771565</v>
      </c>
      <c r="AF187" s="593">
        <v>32826.291021506448</v>
      </c>
      <c r="AG187" s="593">
        <v>33302.444499038553</v>
      </c>
      <c r="AH187" s="593">
        <v>33621.462525534131</v>
      </c>
      <c r="AI187" s="593">
        <v>34095.851864601507</v>
      </c>
      <c r="AJ187" s="594">
        <v>34405.205457427815</v>
      </c>
      <c r="AK187" s="548"/>
      <c r="AO187" s="961" t="str">
        <f t="shared" si="152"/>
        <v>Qty</v>
      </c>
      <c r="AP187" s="962" t="str">
        <f t="shared" si="152"/>
        <v>Sewerage</v>
      </c>
      <c r="AQ187" s="963" t="str">
        <f t="shared" si="153"/>
        <v xml:space="preserve">Price cap - Variable </v>
      </c>
      <c r="AR187" s="967">
        <f t="shared" si="154"/>
        <v>-1.6080705141016671E-2</v>
      </c>
      <c r="AS187" s="964">
        <f t="shared" si="155"/>
        <v>0.1393995148577456</v>
      </c>
      <c r="AT187" s="964">
        <f t="shared" si="156"/>
        <v>5.7492470760043268E-3</v>
      </c>
      <c r="AU187" s="964">
        <f t="shared" si="157"/>
        <v>-2.2555164702857788E-2</v>
      </c>
      <c r="AV187" s="1350">
        <f t="shared" si="158"/>
        <v>1.7979332778946366E-2</v>
      </c>
      <c r="AW187" s="1343">
        <f t="shared" si="159"/>
        <v>1.0340618078734654E-2</v>
      </c>
      <c r="AX187" s="964">
        <f t="shared" si="160"/>
        <v>1.1108617785790864E-2</v>
      </c>
      <c r="AY187" s="964">
        <f t="shared" si="161"/>
        <v>1.4664582151194372E-2</v>
      </c>
      <c r="AZ187" s="964">
        <f t="shared" si="162"/>
        <v>9.903498773149666E-3</v>
      </c>
      <c r="BA187" s="965">
        <f t="shared" si="163"/>
        <v>7.9172549998165476E-3</v>
      </c>
      <c r="BB187" s="1343">
        <f t="shared" si="164"/>
        <v>9.8240408663832213E-3</v>
      </c>
      <c r="BC187" s="964">
        <f t="shared" si="165"/>
        <v>1.4505247553558531E-2</v>
      </c>
      <c r="BD187" s="964">
        <f t="shared" si="166"/>
        <v>9.5794177062524799E-3</v>
      </c>
      <c r="BE187" s="964">
        <f t="shared" si="167"/>
        <v>1.4109717526627374E-2</v>
      </c>
      <c r="BF187" s="966">
        <f t="shared" si="168"/>
        <v>9.0730565716552469E-3</v>
      </c>
      <c r="BG187" s="951"/>
      <c r="BH187" s="961" t="str">
        <f t="shared" si="169"/>
        <v>Qty</v>
      </c>
      <c r="BI187" s="962" t="str">
        <f t="shared" si="170"/>
        <v>Sewerage</v>
      </c>
      <c r="BJ187" s="963" t="str">
        <f t="shared" si="171"/>
        <v xml:space="preserve">Price cap - Variable </v>
      </c>
      <c r="BK187" s="964">
        <f t="shared" ref="BK187:BU187" si="246">IF(V187="","-",IFERROR((V187/U187-1)*(U188/U$13),"-"))</f>
        <v>-1.1086484290419992E-5</v>
      </c>
      <c r="BL187" s="964">
        <f t="shared" si="246"/>
        <v>9.7667081023618287E-5</v>
      </c>
      <c r="BM187" s="964">
        <f t="shared" si="246"/>
        <v>4.6222049136379741E-6</v>
      </c>
      <c r="BN187" s="964">
        <f t="shared" si="246"/>
        <v>-1.8134126935495158E-5</v>
      </c>
      <c r="BO187" s="1350">
        <f t="shared" si="246"/>
        <v>1.3952269991803975E-5</v>
      </c>
      <c r="BP187" s="1343">
        <f t="shared" si="246"/>
        <v>8.1730542448239032E-6</v>
      </c>
      <c r="BQ187" s="964">
        <f t="shared" si="246"/>
        <v>9.2781220470014469E-6</v>
      </c>
      <c r="BR187" s="964">
        <f t="shared" si="246"/>
        <v>1.1922133834183516E-5</v>
      </c>
      <c r="BS187" s="964">
        <f t="shared" si="246"/>
        <v>8.0149528941631791E-6</v>
      </c>
      <c r="BT187" s="965">
        <f t="shared" si="246"/>
        <v>6.3500818423101009E-6</v>
      </c>
      <c r="BU187" s="964">
        <f t="shared" si="246"/>
        <v>7.79208830610119E-6</v>
      </c>
      <c r="BV187" s="964">
        <f>IF(AG187="","-",IFERROR((AG187/AF187-1)*(AF188/AF$13),"-"))</f>
        <v>1.3304571429642071E-5</v>
      </c>
      <c r="BW187" s="964">
        <f>IF(AH187="","-",IFERROR((AH187/AG187-1)*(AG188/AG$13),"-"))</f>
        <v>8.7907987019303116E-6</v>
      </c>
      <c r="BX187" s="964">
        <f>IF(AI187="","-",IFERROR((AI187/AH187-1)*(AH188/AH$13),"-"))</f>
        <v>1.2883479347135471E-5</v>
      </c>
      <c r="BY187" s="966">
        <f>IF(AJ187="","-",IFERROR((AJ187/AI187-1)*(AI188/AI$13),"-"))</f>
        <v>8.2592423941960219E-6</v>
      </c>
      <c r="BZ187" s="951"/>
      <c r="CA187" s="961" t="str">
        <f t="shared" si="149"/>
        <v>Qty</v>
      </c>
      <c r="CB187" s="962" t="str">
        <f t="shared" si="150"/>
        <v>Sewerage</v>
      </c>
      <c r="CC187" s="962" t="str">
        <f t="shared" si="151"/>
        <v xml:space="preserve">Price cap - Variable </v>
      </c>
      <c r="CD187" s="967">
        <f t="shared" si="175"/>
        <v>5.8809315798411754E-2</v>
      </c>
      <c r="CE187" s="964">
        <f t="shared" si="175"/>
        <v>4.0818671475197466E-2</v>
      </c>
      <c r="CF187" s="964">
        <f t="shared" si="175"/>
        <v>2.4600043418916195E-2</v>
      </c>
      <c r="CG187" s="965">
        <f t="shared" si="175"/>
        <v>2.327246545052275E-2</v>
      </c>
      <c r="CH187" s="964">
        <f t="shared" si="176"/>
        <v>1.0724544986630447E-2</v>
      </c>
      <c r="CI187" s="964">
        <f t="shared" si="176"/>
        <v>1.2036187819728372E-2</v>
      </c>
      <c r="CJ187" s="964">
        <f t="shared" si="176"/>
        <v>1.1502593701701924E-2</v>
      </c>
      <c r="CK187" s="966">
        <f t="shared" si="176"/>
        <v>1.0784507115879416E-2</v>
      </c>
    </row>
    <row r="188" spans="4:89" ht="12.75" thickBot="1">
      <c r="E188" s="568" t="s">
        <v>882</v>
      </c>
      <c r="F188" s="560" t="str">
        <f>+F186</f>
        <v>Sewerage</v>
      </c>
      <c r="G188" s="561" t="str">
        <f>+G186</f>
        <v>SEW</v>
      </c>
      <c r="H188" s="561" t="str">
        <f>+H186</f>
        <v>Western Transfer</v>
      </c>
      <c r="I188" s="562" t="str">
        <f>+I186</f>
        <v xml:space="preserve">Price cap - Variable </v>
      </c>
      <c r="J188" s="563" t="s">
        <v>883</v>
      </c>
      <c r="K188" s="564">
        <f t="shared" ref="K188:AJ188" si="247">K186*K187/10^6</f>
        <v>0</v>
      </c>
      <c r="L188" s="565">
        <f t="shared" si="247"/>
        <v>0</v>
      </c>
      <c r="M188" s="565">
        <f t="shared" si="247"/>
        <v>0</v>
      </c>
      <c r="N188" s="564">
        <f t="shared" si="247"/>
        <v>0</v>
      </c>
      <c r="O188" s="565">
        <f t="shared" si="247"/>
        <v>0</v>
      </c>
      <c r="P188" s="565">
        <f t="shared" si="247"/>
        <v>0</v>
      </c>
      <c r="Q188" s="565">
        <f t="shared" si="247"/>
        <v>0</v>
      </c>
      <c r="R188" s="566">
        <f t="shared" si="247"/>
        <v>0</v>
      </c>
      <c r="S188" s="564">
        <f t="shared" si="247"/>
        <v>0</v>
      </c>
      <c r="T188" s="565">
        <f t="shared" si="247"/>
        <v>0</v>
      </c>
      <c r="U188" s="566">
        <f t="shared" si="247"/>
        <v>1.3294844352267579</v>
      </c>
      <c r="V188" s="565">
        <f t="shared" si="247"/>
        <v>1.3056125988091605</v>
      </c>
      <c r="W188" s="565">
        <f t="shared" si="247"/>
        <v>1.4875947905762708</v>
      </c>
      <c r="X188" s="565">
        <f t="shared" si="247"/>
        <v>1.4962205286570134</v>
      </c>
      <c r="Y188" s="565">
        <f t="shared" si="247"/>
        <v>1.4625193060644102</v>
      </c>
      <c r="Z188" s="565">
        <f t="shared" si="247"/>
        <v>1.4889566349390795</v>
      </c>
      <c r="AA188" s="564">
        <f t="shared" si="247"/>
        <v>1.5813047341829283</v>
      </c>
      <c r="AB188" s="565">
        <f t="shared" si="247"/>
        <v>1.5988708440778279</v>
      </c>
      <c r="AC188" s="565">
        <f t="shared" si="247"/>
        <v>1.6223176169199565</v>
      </c>
      <c r="AD188" s="565">
        <f t="shared" si="247"/>
        <v>1.6383842374487825</v>
      </c>
      <c r="AE188" s="566">
        <f t="shared" si="247"/>
        <v>1.6513557432443444</v>
      </c>
      <c r="AF188" s="565">
        <f t="shared" si="247"/>
        <v>1.9993437694274647</v>
      </c>
      <c r="AG188" s="565">
        <f>AG186*AG187/10^6</f>
        <v>2.0283447457476749</v>
      </c>
      <c r="AH188" s="565">
        <f>AH186*AH187/10^6</f>
        <v>2.0477751073194743</v>
      </c>
      <c r="AI188" s="565">
        <f>AI186*AI187/10^6</f>
        <v>2.0766686356418114</v>
      </c>
      <c r="AJ188" s="566">
        <f t="shared" si="247"/>
        <v>2.0955103676535716</v>
      </c>
      <c r="AK188" s="548"/>
      <c r="AO188" s="984" t="str">
        <f t="shared" si="152"/>
        <v>Rev</v>
      </c>
      <c r="AP188" s="985" t="str">
        <f t="shared" si="152"/>
        <v>Sewerage</v>
      </c>
      <c r="AQ188" s="986" t="str">
        <f t="shared" si="153"/>
        <v xml:space="preserve">Price cap - Variable </v>
      </c>
      <c r="AR188" s="990">
        <f t="shared" si="154"/>
        <v>-1.7955709585667945E-2</v>
      </c>
      <c r="AS188" s="987">
        <f t="shared" si="155"/>
        <v>0.13938452488364073</v>
      </c>
      <c r="AT188" s="987">
        <f t="shared" si="156"/>
        <v>5.7984460119016035E-3</v>
      </c>
      <c r="AU188" s="987">
        <f t="shared" si="157"/>
        <v>-2.2524234861857506E-2</v>
      </c>
      <c r="AV188" s="1353">
        <f t="shared" si="158"/>
        <v>1.8076567444303526E-2</v>
      </c>
      <c r="AW188" s="1346">
        <f t="shared" si="159"/>
        <v>6.2022020706887337E-2</v>
      </c>
      <c r="AX188" s="987">
        <f t="shared" si="160"/>
        <v>1.1108617785790642E-2</v>
      </c>
      <c r="AY188" s="987">
        <f t="shared" si="161"/>
        <v>1.466458215119415E-2</v>
      </c>
      <c r="AZ188" s="987">
        <f t="shared" si="162"/>
        <v>9.903498773149666E-3</v>
      </c>
      <c r="BA188" s="988">
        <f t="shared" si="163"/>
        <v>7.9172549998165476E-3</v>
      </c>
      <c r="BB188" s="1346">
        <f t="shared" si="164"/>
        <v>0.21072868617602891</v>
      </c>
      <c r="BC188" s="987">
        <f t="shared" si="165"/>
        <v>1.4505247553558531E-2</v>
      </c>
      <c r="BD188" s="987">
        <f t="shared" si="166"/>
        <v>9.5794177062524799E-3</v>
      </c>
      <c r="BE188" s="987">
        <f t="shared" si="167"/>
        <v>1.4109717526627374E-2</v>
      </c>
      <c r="BF188" s="989">
        <f t="shared" si="168"/>
        <v>9.0730565716552469E-3</v>
      </c>
      <c r="BG188" s="951"/>
      <c r="BH188" s="984" t="str">
        <f t="shared" si="169"/>
        <v>Rev</v>
      </c>
      <c r="BI188" s="985" t="str">
        <f t="shared" si="170"/>
        <v>Sewerage</v>
      </c>
      <c r="BJ188" s="986" t="str">
        <f t="shared" si="171"/>
        <v xml:space="preserve">Price cap - Variable </v>
      </c>
      <c r="BK188" s="987">
        <f t="shared" ref="BK188:BU188" si="248">IF(V188="","-",IFERROR((V188/U188-1)*(U188/U$13),"-"))</f>
        <v>-1.2379164377381636E-5</v>
      </c>
      <c r="BL188" s="987">
        <f t="shared" si="248"/>
        <v>9.7656578641189354E-5</v>
      </c>
      <c r="BM188" s="987">
        <f t="shared" si="248"/>
        <v>4.6617592344462205E-6</v>
      </c>
      <c r="BN188" s="987">
        <f t="shared" si="248"/>
        <v>-1.8109259652538774E-5</v>
      </c>
      <c r="BO188" s="1353">
        <f t="shared" si="248"/>
        <v>1.4027725756503677E-5</v>
      </c>
      <c r="BP188" s="1346">
        <f t="shared" si="248"/>
        <v>4.9021183816220231E-5</v>
      </c>
      <c r="BQ188" s="987">
        <f t="shared" si="248"/>
        <v>9.2781220470012623E-6</v>
      </c>
      <c r="BR188" s="987">
        <f t="shared" si="248"/>
        <v>1.1922133834183335E-5</v>
      </c>
      <c r="BS188" s="987">
        <f t="shared" si="248"/>
        <v>8.0149528941631791E-6</v>
      </c>
      <c r="BT188" s="988">
        <f t="shared" si="248"/>
        <v>6.3500818423101009E-6</v>
      </c>
      <c r="BU188" s="987">
        <f t="shared" si="248"/>
        <v>1.6714268126989383E-4</v>
      </c>
      <c r="BV188" s="987">
        <f>IF(AG188="","-",IFERROR((AG188/AF188-1)*(AF188/AF$13),"-"))</f>
        <v>1.3304571429642071E-5</v>
      </c>
      <c r="BW188" s="987">
        <f>IF(AH188="","-",IFERROR((AH188/AG188-1)*(AG188/AG$13),"-"))</f>
        <v>8.7907987019303116E-6</v>
      </c>
      <c r="BX188" s="987">
        <f>IF(AI188="","-",IFERROR((AI188/AH188-1)*(AH188/AH$13),"-"))</f>
        <v>1.2883479347135471E-5</v>
      </c>
      <c r="BY188" s="989">
        <f>IF(AJ188="","-",IFERROR((AJ188/AI188-1)*(AI188/AI$13),"-"))</f>
        <v>8.2592423941960219E-6</v>
      </c>
      <c r="BZ188" s="951"/>
      <c r="CA188" s="984" t="str">
        <f t="shared" si="149"/>
        <v>Rev</v>
      </c>
      <c r="CB188" s="985" t="str">
        <f t="shared" si="150"/>
        <v>Sewerage</v>
      </c>
      <c r="CC188" s="985" t="str">
        <f t="shared" si="151"/>
        <v xml:space="preserve">Price cap - Variable </v>
      </c>
      <c r="CD188" s="990">
        <f t="shared" si="175"/>
        <v>5.7793017205363117E-2</v>
      </c>
      <c r="CE188" s="987">
        <f t="shared" si="175"/>
        <v>4.0169505051800503E-2</v>
      </c>
      <c r="CF188" s="987">
        <f t="shared" si="175"/>
        <v>2.4128819596784146E-2</v>
      </c>
      <c r="CG188" s="988">
        <f t="shared" si="175"/>
        <v>2.2915497638663851E-2</v>
      </c>
      <c r="CH188" s="987">
        <f t="shared" si="176"/>
        <v>3.6252680293282991E-2</v>
      </c>
      <c r="CI188" s="987">
        <f t="shared" si="176"/>
        <v>2.9006089770380106E-2</v>
      </c>
      <c r="CJ188" s="987">
        <f t="shared" si="176"/>
        <v>2.4196831455224999E-2</v>
      </c>
      <c r="CK188" s="989">
        <f t="shared" si="176"/>
        <v>2.0920015446412643E-2</v>
      </c>
    </row>
    <row r="189" spans="4:89">
      <c r="D189" s="63">
        <f>D186+1</f>
        <v>41</v>
      </c>
      <c r="E189" s="550" t="s">
        <v>857</v>
      </c>
      <c r="F189" s="595" t="s">
        <v>402</v>
      </c>
      <c r="G189" s="595" t="s">
        <v>103</v>
      </c>
      <c r="H189" s="595" t="s">
        <v>893</v>
      </c>
      <c r="I189" s="589" t="s">
        <v>941</v>
      </c>
      <c r="J189" s="589" t="s">
        <v>879</v>
      </c>
      <c r="K189" s="551"/>
      <c r="L189" s="552"/>
      <c r="M189" s="552"/>
      <c r="N189" s="551"/>
      <c r="O189" s="552"/>
      <c r="P189" s="552"/>
      <c r="Q189" s="552"/>
      <c r="R189" s="1035"/>
      <c r="S189" s="1138"/>
      <c r="T189" s="591"/>
      <c r="U189" s="1035">
        <v>48.412384219554021</v>
      </c>
      <c r="V189" s="591">
        <v>48.320127226463107</v>
      </c>
      <c r="W189" s="591">
        <v>48.319491525423722</v>
      </c>
      <c r="X189" s="591">
        <v>48.321855203619911</v>
      </c>
      <c r="Y189" s="591">
        <v>48.323384279475974</v>
      </c>
      <c r="Z189" s="591">
        <v>48.328000000000003</v>
      </c>
      <c r="AA189" s="1138">
        <v>50.800095827408093</v>
      </c>
      <c r="AB189" s="591">
        <v>50.800095827408093</v>
      </c>
      <c r="AC189" s="591">
        <v>50.800095827408093</v>
      </c>
      <c r="AD189" s="591">
        <v>50.800095827408093</v>
      </c>
      <c r="AE189" s="1035">
        <v>50.800095827408093</v>
      </c>
      <c r="AF189" s="591">
        <v>60.906782557845972</v>
      </c>
      <c r="AG189" s="591">
        <v>60.906782557845972</v>
      </c>
      <c r="AH189" s="591">
        <v>60.906782557845972</v>
      </c>
      <c r="AI189" s="591">
        <v>60.906782557845972</v>
      </c>
      <c r="AJ189" s="592">
        <v>60.906782557845972</v>
      </c>
      <c r="AK189" s="548"/>
      <c r="AM189" s="974"/>
      <c r="AO189" s="975" t="str">
        <f t="shared" si="152"/>
        <v>Price</v>
      </c>
      <c r="AP189" s="976" t="str">
        <f t="shared" si="152"/>
        <v>Sewerage</v>
      </c>
      <c r="AQ189" s="977" t="str">
        <f t="shared" si="153"/>
        <v xml:space="preserve">Price cap - Variable </v>
      </c>
      <c r="AR189" s="1341">
        <f t="shared" si="154"/>
        <v>-1.9056486181825427E-3</v>
      </c>
      <c r="AS189" s="978">
        <f t="shared" si="155"/>
        <v>-1.3156029917027467E-5</v>
      </c>
      <c r="AT189" s="979">
        <f t="shared" si="156"/>
        <v>4.8917695976813391E-5</v>
      </c>
      <c r="AU189" s="979">
        <f t="shared" si="157"/>
        <v>3.1643566862582517E-5</v>
      </c>
      <c r="AV189" s="1352">
        <f t="shared" si="158"/>
        <v>9.5517327539207386E-5</v>
      </c>
      <c r="AW189" s="1345">
        <f t="shared" si="159"/>
        <v>5.1152454631023136E-2</v>
      </c>
      <c r="AX189" s="979">
        <f t="shared" si="160"/>
        <v>0</v>
      </c>
      <c r="AY189" s="979">
        <f t="shared" si="161"/>
        <v>0</v>
      </c>
      <c r="AZ189" s="979">
        <f t="shared" si="162"/>
        <v>0</v>
      </c>
      <c r="BA189" s="980">
        <f t="shared" si="163"/>
        <v>0</v>
      </c>
      <c r="BB189" s="1345">
        <f t="shared" si="164"/>
        <v>0.19895015089686185</v>
      </c>
      <c r="BC189" s="979">
        <f t="shared" si="165"/>
        <v>0</v>
      </c>
      <c r="BD189" s="979">
        <f t="shared" si="166"/>
        <v>0</v>
      </c>
      <c r="BE189" s="979">
        <f t="shared" si="167"/>
        <v>0</v>
      </c>
      <c r="BF189" s="981">
        <f t="shared" si="168"/>
        <v>0</v>
      </c>
      <c r="BG189" s="951"/>
      <c r="BH189" s="975" t="str">
        <f t="shared" si="169"/>
        <v>Price</v>
      </c>
      <c r="BI189" s="976" t="str">
        <f t="shared" si="170"/>
        <v>Sewerage</v>
      </c>
      <c r="BJ189" s="977" t="str">
        <f t="shared" si="171"/>
        <v xml:space="preserve">Price cap - Variable </v>
      </c>
      <c r="BK189" s="978">
        <f t="shared" ref="BK189:BU189" si="249">IF(V189="","-",IFERROR((V189/U189-1)*(U191/U$13),"-"))</f>
        <v>-4.1436863454444159E-6</v>
      </c>
      <c r="BL189" s="978">
        <f t="shared" si="249"/>
        <v>-3.0344610011012242E-8</v>
      </c>
      <c r="BM189" s="979">
        <f t="shared" si="249"/>
        <v>1.2057000770007424E-7</v>
      </c>
      <c r="BN189" s="979">
        <f t="shared" si="249"/>
        <v>6.9507610503415666E-8</v>
      </c>
      <c r="BO189" s="1352">
        <f t="shared" si="249"/>
        <v>2.0876698059222925E-7</v>
      </c>
      <c r="BP189" s="1345">
        <f t="shared" si="249"/>
        <v>1.1434393080668322E-4</v>
      </c>
      <c r="BQ189" s="979">
        <f t="shared" si="249"/>
        <v>0</v>
      </c>
      <c r="BR189" s="979">
        <f t="shared" si="249"/>
        <v>0</v>
      </c>
      <c r="BS189" s="979">
        <f t="shared" si="249"/>
        <v>0</v>
      </c>
      <c r="BT189" s="980">
        <f t="shared" si="249"/>
        <v>0</v>
      </c>
      <c r="BU189" s="979">
        <f t="shared" si="249"/>
        <v>4.1130990290819672E-4</v>
      </c>
      <c r="BV189" s="979">
        <f>IF(AG189="","-",IFERROR((AG189/AF189-1)*(AF191/AF$13),"-"))</f>
        <v>0</v>
      </c>
      <c r="BW189" s="979">
        <f>IF(AH189="","-",IFERROR((AH189/AG189-1)*(AG191/AG$13),"-"))</f>
        <v>0</v>
      </c>
      <c r="BX189" s="979">
        <f>IF(AI189="","-",IFERROR((AI189/AH189-1)*(AH191/AH$13),"-"))</f>
        <v>0</v>
      </c>
      <c r="BY189" s="981">
        <f>IF(AJ189="","-",IFERROR((AJ189/AI189-1)*(AI191/AI$13),"-"))</f>
        <v>0</v>
      </c>
      <c r="BZ189" s="951"/>
      <c r="CA189" s="975" t="str">
        <f t="shared" si="149"/>
        <v>Price</v>
      </c>
      <c r="CB189" s="976" t="str">
        <f t="shared" si="150"/>
        <v>Sewerage</v>
      </c>
      <c r="CC189" s="982" t="str">
        <f t="shared" si="151"/>
        <v xml:space="preserve">Price cap - Variable </v>
      </c>
      <c r="CD189" s="983">
        <f t="shared" si="175"/>
        <v>-9.5985044510316087E-4</v>
      </c>
      <c r="CE189" s="979">
        <f t="shared" si="175"/>
        <v>-6.2370751139295688E-4</v>
      </c>
      <c r="CF189" s="979">
        <f t="shared" si="175"/>
        <v>-4.5991001577505575E-4</v>
      </c>
      <c r="CG189" s="980">
        <f t="shared" si="175"/>
        <v>-3.4884923020161995E-4</v>
      </c>
      <c r="CH189" s="979">
        <f t="shared" si="176"/>
        <v>2.5257262657047974E-2</v>
      </c>
      <c r="CI189" s="979">
        <f t="shared" si="176"/>
        <v>1.6768078211917281E-2</v>
      </c>
      <c r="CJ189" s="979">
        <f t="shared" si="176"/>
        <v>1.2549881564877685E-2</v>
      </c>
      <c r="CK189" s="981">
        <f t="shared" si="176"/>
        <v>1.00273681078209E-2</v>
      </c>
    </row>
    <row r="190" spans="4:89">
      <c r="E190" s="567" t="s">
        <v>880</v>
      </c>
      <c r="F190" s="554" t="str">
        <f>+F189</f>
        <v>Sewerage</v>
      </c>
      <c r="G190" s="555" t="str">
        <f>+G189</f>
        <v>YVW</v>
      </c>
      <c r="H190" s="555" t="str">
        <f>+H189</f>
        <v>Western Transfer</v>
      </c>
      <c r="I190" s="556" t="str">
        <f>+I189</f>
        <v xml:space="preserve">Price cap - Variable </v>
      </c>
      <c r="J190" s="590" t="s">
        <v>887</v>
      </c>
      <c r="K190" s="557"/>
      <c r="L190" s="558"/>
      <c r="M190" s="558"/>
      <c r="N190" s="557"/>
      <c r="O190" s="558"/>
      <c r="P190" s="558"/>
      <c r="Q190" s="558"/>
      <c r="R190" s="1036"/>
      <c r="S190" s="1139"/>
      <c r="T190" s="593"/>
      <c r="U190" s="1036">
        <v>86612.800000000017</v>
      </c>
      <c r="V190" s="593">
        <v>88952.063083698333</v>
      </c>
      <c r="W190" s="593">
        <v>94383.78</v>
      </c>
      <c r="X190" s="593">
        <v>84595.700000000012</v>
      </c>
      <c r="Y190" s="593">
        <v>85241.8</v>
      </c>
      <c r="Z190" s="593">
        <v>87134.86897172789</v>
      </c>
      <c r="AA190" s="1139">
        <v>87941.033432560143</v>
      </c>
      <c r="AB190" s="593">
        <v>88864.421161309496</v>
      </c>
      <c r="AC190" s="593">
        <v>90134.279837294744</v>
      </c>
      <c r="AD190" s="593">
        <v>90976.697242956754</v>
      </c>
      <c r="AE190" s="1036">
        <v>84730.017766296456</v>
      </c>
      <c r="AF190" s="593">
        <v>85405.693599801787</v>
      </c>
      <c r="AG190" s="593">
        <v>86507.325181359862</v>
      </c>
      <c r="AH190" s="593">
        <v>87200.447813308274</v>
      </c>
      <c r="AI190" s="593">
        <v>88303.211714749312</v>
      </c>
      <c r="AJ190" s="594">
        <v>88982.211080648893</v>
      </c>
      <c r="AK190" s="548"/>
      <c r="AO190" s="961" t="str">
        <f t="shared" si="152"/>
        <v>Qty</v>
      </c>
      <c r="AP190" s="962" t="str">
        <f t="shared" si="152"/>
        <v>Sewerage</v>
      </c>
      <c r="AQ190" s="963" t="str">
        <f t="shared" si="153"/>
        <v xml:space="preserve">Price cap - Variable </v>
      </c>
      <c r="AR190" s="967">
        <f t="shared" si="154"/>
        <v>2.7008283806762012E-2</v>
      </c>
      <c r="AS190" s="964">
        <f t="shared" si="155"/>
        <v>6.1063416946167459E-2</v>
      </c>
      <c r="AT190" s="964">
        <f t="shared" si="156"/>
        <v>-0.10370510695799628</v>
      </c>
      <c r="AU190" s="964">
        <f t="shared" si="157"/>
        <v>7.6375040338929612E-3</v>
      </c>
      <c r="AV190" s="1350">
        <f t="shared" si="158"/>
        <v>2.2208223802499427E-2</v>
      </c>
      <c r="AW190" s="1343">
        <f t="shared" si="159"/>
        <v>9.2519156836492478E-3</v>
      </c>
      <c r="AX190" s="964">
        <f t="shared" si="160"/>
        <v>1.0500078208172114E-2</v>
      </c>
      <c r="AY190" s="964">
        <f t="shared" si="161"/>
        <v>1.4289843554825543E-2</v>
      </c>
      <c r="AZ190" s="964">
        <f t="shared" si="162"/>
        <v>9.3462488099167462E-3</v>
      </c>
      <c r="BA190" s="965">
        <f t="shared" si="163"/>
        <v>-6.8662412089749769E-2</v>
      </c>
      <c r="BB190" s="1343">
        <f t="shared" si="164"/>
        <v>7.9744564124721862E-3</v>
      </c>
      <c r="BC190" s="964">
        <f t="shared" si="165"/>
        <v>1.2898807270627088E-2</v>
      </c>
      <c r="BD190" s="964">
        <f t="shared" si="166"/>
        <v>8.0122998890013175E-3</v>
      </c>
      <c r="BE190" s="964">
        <f t="shared" si="167"/>
        <v>1.2646310071732669E-2</v>
      </c>
      <c r="BF190" s="966">
        <f t="shared" si="168"/>
        <v>7.6894073580584532E-3</v>
      </c>
      <c r="BG190" s="951"/>
      <c r="BH190" s="961" t="str">
        <f t="shared" si="169"/>
        <v>Qty</v>
      </c>
      <c r="BI190" s="962" t="str">
        <f t="shared" si="170"/>
        <v>Sewerage</v>
      </c>
      <c r="BJ190" s="963" t="str">
        <f t="shared" si="171"/>
        <v xml:space="preserve">Price cap - Variable </v>
      </c>
      <c r="BK190" s="964">
        <f t="shared" ref="BK190:BU190" si="250">IF(V190="","-",IFERROR((V190/U190-1)*(U191/U$13),"-"))</f>
        <v>5.8727435769718082E-5</v>
      </c>
      <c r="BL190" s="964">
        <f t="shared" si="250"/>
        <v>1.4084382483602243E-4</v>
      </c>
      <c r="BM190" s="964">
        <f t="shared" si="250"/>
        <v>-2.5560740944114178E-4</v>
      </c>
      <c r="BN190" s="964">
        <f t="shared" si="250"/>
        <v>1.6776384846609313E-5</v>
      </c>
      <c r="BO190" s="1350">
        <f t="shared" si="250"/>
        <v>4.8539295926816869E-5</v>
      </c>
      <c r="BP190" s="1343">
        <f t="shared" si="250"/>
        <v>2.0681322419254097E-5</v>
      </c>
      <c r="BQ190" s="964">
        <f t="shared" si="250"/>
        <v>2.4776109737656724E-5</v>
      </c>
      <c r="BR190" s="964">
        <f t="shared" si="250"/>
        <v>3.2801283583820963E-5</v>
      </c>
      <c r="BS190" s="964">
        <f t="shared" si="250"/>
        <v>2.134854596486014E-5</v>
      </c>
      <c r="BT190" s="965">
        <f t="shared" si="250"/>
        <v>-1.5534693270362581E-4</v>
      </c>
      <c r="BU190" s="964">
        <f t="shared" si="250"/>
        <v>1.6486405654750968E-5</v>
      </c>
      <c r="BV190" s="964">
        <f>IF(AG190="","-",IFERROR((AG190/AF190-1)*(AF191/AF$13),"-"))</f>
        <v>3.0781537377306345E-5</v>
      </c>
      <c r="BW190" s="964">
        <f>IF(AH190="","-",IFERROR((AH190/AG190-1)*(AG191/AG$13),"-"))</f>
        <v>1.9099552461481417E-5</v>
      </c>
      <c r="BX190" s="964">
        <f>IF(AI190="","-",IFERROR((AI190/AH190-1)*(AH191/AH$13),"-"))</f>
        <v>2.9948893828249332E-5</v>
      </c>
      <c r="BY190" s="966">
        <f>IF(AJ190="","-",IFERROR((AJ190/AI190-1)*(AI191/AI$13),"-"))</f>
        <v>1.8128188838003353E-5</v>
      </c>
      <c r="BZ190" s="951"/>
      <c r="CA190" s="961" t="str">
        <f t="shared" si="149"/>
        <v>Qty</v>
      </c>
      <c r="CB190" s="962" t="str">
        <f t="shared" si="150"/>
        <v>Sewerage</v>
      </c>
      <c r="CC190" s="962" t="str">
        <f t="shared" si="151"/>
        <v xml:space="preserve">Price cap - Variable </v>
      </c>
      <c r="CD190" s="967">
        <f t="shared" si="175"/>
        <v>4.3896986703200636E-2</v>
      </c>
      <c r="CE190" s="964">
        <f t="shared" si="175"/>
        <v>-7.8239565147079082E-3</v>
      </c>
      <c r="CF190" s="964">
        <f t="shared" si="175"/>
        <v>-3.980976518775603E-3</v>
      </c>
      <c r="CG190" s="965">
        <f t="shared" si="175"/>
        <v>1.2026277218473158E-3</v>
      </c>
      <c r="CH190" s="964">
        <f t="shared" si="176"/>
        <v>9.875804111612041E-3</v>
      </c>
      <c r="CI190" s="964">
        <f t="shared" si="176"/>
        <v>1.1345012093199491E-2</v>
      </c>
      <c r="CJ190" s="964">
        <f t="shared" si="176"/>
        <v>1.084495050993084E-2</v>
      </c>
      <c r="CK190" s="966">
        <f t="shared" si="176"/>
        <v>-5.5818028212298865E-3</v>
      </c>
    </row>
    <row r="191" spans="4:89" ht="12.75" thickBot="1">
      <c r="E191" s="568" t="s">
        <v>882</v>
      </c>
      <c r="F191" s="560" t="str">
        <f>+F189</f>
        <v>Sewerage</v>
      </c>
      <c r="G191" s="561" t="str">
        <f>+G189</f>
        <v>YVW</v>
      </c>
      <c r="H191" s="561" t="str">
        <f>+H189</f>
        <v>Western Transfer</v>
      </c>
      <c r="I191" s="562" t="str">
        <f>+I189</f>
        <v xml:space="preserve">Price cap - Variable </v>
      </c>
      <c r="J191" s="563" t="s">
        <v>883</v>
      </c>
      <c r="K191" s="564">
        <f t="shared" ref="K191:AJ191" si="251">K189*K190/10^6</f>
        <v>0</v>
      </c>
      <c r="L191" s="565">
        <f t="shared" si="251"/>
        <v>0</v>
      </c>
      <c r="M191" s="565">
        <f t="shared" si="251"/>
        <v>0</v>
      </c>
      <c r="N191" s="564">
        <f t="shared" si="251"/>
        <v>0</v>
      </c>
      <c r="O191" s="565">
        <f t="shared" si="251"/>
        <v>0</v>
      </c>
      <c r="P191" s="565">
        <f t="shared" si="251"/>
        <v>0</v>
      </c>
      <c r="Q191" s="565">
        <f t="shared" si="251"/>
        <v>0</v>
      </c>
      <c r="R191" s="566">
        <f t="shared" si="251"/>
        <v>0</v>
      </c>
      <c r="S191" s="564">
        <f t="shared" si="251"/>
        <v>0</v>
      </c>
      <c r="T191" s="565">
        <f t="shared" si="251"/>
        <v>0</v>
      </c>
      <c r="U191" s="566">
        <f t="shared" si="251"/>
        <v>4.1931321519313896</v>
      </c>
      <c r="V191" s="565">
        <f t="shared" si="251"/>
        <v>4.2981750052606751</v>
      </c>
      <c r="W191" s="565">
        <f t="shared" si="251"/>
        <v>4.5605762578474573</v>
      </c>
      <c r="X191" s="565">
        <f t="shared" si="251"/>
        <v>4.0878211662488697</v>
      </c>
      <c r="Y191" s="565">
        <f t="shared" si="251"/>
        <v>4.1191722580742356</v>
      </c>
      <c r="Z191" s="565">
        <f t="shared" si="251"/>
        <v>4.2110539476656657</v>
      </c>
      <c r="AA191" s="564">
        <f t="shared" si="251"/>
        <v>4.4674129255353536</v>
      </c>
      <c r="AB191" s="565">
        <f t="shared" si="251"/>
        <v>4.5143211106416743</v>
      </c>
      <c r="AC191" s="565">
        <f t="shared" si="251"/>
        <v>4.57883005306899</v>
      </c>
      <c r="AD191" s="565">
        <f t="shared" si="251"/>
        <v>4.621624938003297</v>
      </c>
      <c r="AE191" s="566">
        <f t="shared" si="251"/>
        <v>4.30429302198585</v>
      </c>
      <c r="AF191" s="565">
        <f t="shared" si="251"/>
        <v>5.2017860092851445</v>
      </c>
      <c r="AG191" s="565">
        <f>AG189*AG190/10^6</f>
        <v>5.2688828444819578</v>
      </c>
      <c r="AH191" s="565">
        <f>AH189*AH190/10^6</f>
        <v>5.3110987139119628</v>
      </c>
      <c r="AI191" s="565">
        <f>AI189*AI190/10^6</f>
        <v>5.3782645150696737</v>
      </c>
      <c r="AJ191" s="566">
        <f t="shared" si="251"/>
        <v>5.4196201818054348</v>
      </c>
      <c r="AK191" s="548"/>
      <c r="AO191" s="984" t="str">
        <f t="shared" si="152"/>
        <v>Rev</v>
      </c>
      <c r="AP191" s="985" t="str">
        <f t="shared" si="152"/>
        <v>Sewerage</v>
      </c>
      <c r="AQ191" s="986" t="str">
        <f t="shared" si="153"/>
        <v xml:space="preserve">Price cap - Variable </v>
      </c>
      <c r="AR191" s="990">
        <f t="shared" si="154"/>
        <v>2.5051166889863419E-2</v>
      </c>
      <c r="AS191" s="987">
        <f t="shared" si="155"/>
        <v>6.104945756411051E-2</v>
      </c>
      <c r="AT191" s="987">
        <f t="shared" si="156"/>
        <v>-0.10366126227691297</v>
      </c>
      <c r="AU191" s="987">
        <f t="shared" si="157"/>
        <v>7.6693892786250384E-3</v>
      </c>
      <c r="AV191" s="1353">
        <f t="shared" si="158"/>
        <v>2.2305862400225474E-2</v>
      </c>
      <c r="AW191" s="1346">
        <f t="shared" si="159"/>
        <v>6.0877628511930348E-2</v>
      </c>
      <c r="AX191" s="987">
        <f t="shared" si="160"/>
        <v>1.0500078208172114E-2</v>
      </c>
      <c r="AY191" s="987">
        <f t="shared" si="161"/>
        <v>1.4289843554825543E-2</v>
      </c>
      <c r="AZ191" s="987">
        <f t="shared" si="162"/>
        <v>9.3462488099167462E-3</v>
      </c>
      <c r="BA191" s="988">
        <f t="shared" si="163"/>
        <v>-6.866241208974988E-2</v>
      </c>
      <c r="BB191" s="1346">
        <f t="shared" si="164"/>
        <v>0.20851112661591586</v>
      </c>
      <c r="BC191" s="987">
        <f t="shared" si="165"/>
        <v>1.2898807270627088E-2</v>
      </c>
      <c r="BD191" s="987">
        <f t="shared" si="166"/>
        <v>8.0122998890015396E-3</v>
      </c>
      <c r="BE191" s="987">
        <f t="shared" si="167"/>
        <v>1.2646310071732669E-2</v>
      </c>
      <c r="BF191" s="989">
        <f t="shared" si="168"/>
        <v>7.6894073580584532E-3</v>
      </c>
      <c r="BG191" s="951"/>
      <c r="BH191" s="984" t="str">
        <f t="shared" si="169"/>
        <v>Rev</v>
      </c>
      <c r="BI191" s="985" t="str">
        <f t="shared" si="170"/>
        <v>Sewerage</v>
      </c>
      <c r="BJ191" s="986" t="str">
        <f t="shared" si="171"/>
        <v xml:space="preserve">Price cap - Variable </v>
      </c>
      <c r="BK191" s="987">
        <f t="shared" ref="BK191:BU191" si="252">IF(V191="","-",IFERROR((V191/U191-1)*(U191/U$13),"-"))</f>
        <v>5.447183556744923E-5</v>
      </c>
      <c r="BL191" s="987">
        <f t="shared" si="252"/>
        <v>1.4081162728043885E-4</v>
      </c>
      <c r="BM191" s="987">
        <f t="shared" si="252"/>
        <v>-2.5549934315898638E-4</v>
      </c>
      <c r="BN191" s="987">
        <f t="shared" si="252"/>
        <v>1.6846423321768191E-5</v>
      </c>
      <c r="BO191" s="1353">
        <f t="shared" si="252"/>
        <v>4.8752699251236297E-5</v>
      </c>
      <c r="BP191" s="1346">
        <f t="shared" si="252"/>
        <v>1.3608315363269788E-4</v>
      </c>
      <c r="BQ191" s="987">
        <f t="shared" si="252"/>
        <v>2.4776109737656724E-5</v>
      </c>
      <c r="BR191" s="987">
        <f t="shared" si="252"/>
        <v>3.2801283583820963E-5</v>
      </c>
      <c r="BS191" s="987">
        <f t="shared" si="252"/>
        <v>2.134854596486014E-5</v>
      </c>
      <c r="BT191" s="988">
        <f t="shared" si="252"/>
        <v>-1.5534693270362608E-4</v>
      </c>
      <c r="BU191" s="987">
        <f t="shared" si="252"/>
        <v>4.3107628145570734E-4</v>
      </c>
      <c r="BV191" s="987">
        <f>IF(AG191="","-",IFERROR((AG191/AF191-1)*(AF191/AF$13),"-"))</f>
        <v>3.0781537377306345E-5</v>
      </c>
      <c r="BW191" s="987">
        <f>IF(AH191="","-",IFERROR((AH191/AG191-1)*(AG191/AG$13),"-"))</f>
        <v>1.9099552461481948E-5</v>
      </c>
      <c r="BX191" s="987">
        <f>IF(AI191="","-",IFERROR((AI191/AH191-1)*(AH191/AH$13),"-"))</f>
        <v>2.9948893828249332E-5</v>
      </c>
      <c r="BY191" s="989">
        <f>IF(AJ191="","-",IFERROR((AJ191/AI191-1)*(AI191/AI$13),"-"))</f>
        <v>1.8128188838003353E-5</v>
      </c>
      <c r="BZ191" s="951"/>
      <c r="CA191" s="984" t="str">
        <f t="shared" si="149"/>
        <v>Rev</v>
      </c>
      <c r="CB191" s="985" t="str">
        <f t="shared" si="150"/>
        <v>Sewerage</v>
      </c>
      <c r="CC191" s="985" t="str">
        <f t="shared" si="151"/>
        <v xml:space="preserve">Price cap - Variable </v>
      </c>
      <c r="CD191" s="990">
        <f t="shared" si="175"/>
        <v>4.2895001715871794E-2</v>
      </c>
      <c r="CE191" s="987">
        <f t="shared" si="175"/>
        <v>-8.4427841656536939E-3</v>
      </c>
      <c r="CF191" s="987">
        <f t="shared" si="175"/>
        <v>-4.4390556435771611E-3</v>
      </c>
      <c r="CG191" s="988">
        <f t="shared" si="175"/>
        <v>8.533589558907817E-4</v>
      </c>
      <c r="CH191" s="987">
        <f t="shared" si="176"/>
        <v>3.538250254705666E-2</v>
      </c>
      <c r="CI191" s="987">
        <f t="shared" si="176"/>
        <v>2.8303324355210657E-2</v>
      </c>
      <c r="CJ191" s="987">
        <f t="shared" si="176"/>
        <v>2.3530934919285151E-2</v>
      </c>
      <c r="CK191" s="989">
        <f t="shared" si="176"/>
        <v>4.3895944949972066E-3</v>
      </c>
    </row>
    <row r="192" spans="4:89">
      <c r="D192" s="63">
        <f>D189+1</f>
        <v>42</v>
      </c>
      <c r="E192" s="550" t="s">
        <v>857</v>
      </c>
      <c r="F192" s="595" t="s">
        <v>402</v>
      </c>
      <c r="G192" s="595" t="s">
        <v>92</v>
      </c>
      <c r="H192" s="595" t="s">
        <v>894</v>
      </c>
      <c r="I192" s="589" t="s">
        <v>941</v>
      </c>
      <c r="J192" s="589" t="s">
        <v>879</v>
      </c>
      <c r="K192" s="551"/>
      <c r="L192" s="552"/>
      <c r="M192" s="552"/>
      <c r="N192" s="551"/>
      <c r="O192" s="552"/>
      <c r="P192" s="552"/>
      <c r="Q192" s="552"/>
      <c r="R192" s="1035"/>
      <c r="S192" s="1138"/>
      <c r="T192" s="591"/>
      <c r="U192" s="1035">
        <v>6.9143310463121779</v>
      </c>
      <c r="V192" s="591">
        <v>6.8977608142493638</v>
      </c>
      <c r="W192" s="591">
        <v>6.8930508474576264</v>
      </c>
      <c r="X192" s="591">
        <v>6.8970588235294121</v>
      </c>
      <c r="Y192" s="591">
        <v>6.9018777292576416</v>
      </c>
      <c r="Z192" s="591">
        <v>6.9020000000000001</v>
      </c>
      <c r="AA192" s="1138">
        <v>50.800095827408093</v>
      </c>
      <c r="AB192" s="591">
        <v>50.800095827408093</v>
      </c>
      <c r="AC192" s="591">
        <v>50.800095827408093</v>
      </c>
      <c r="AD192" s="591">
        <v>50.800095827408093</v>
      </c>
      <c r="AE192" s="1035">
        <v>50.800095827408093</v>
      </c>
      <c r="AF192" s="591">
        <v>60.906782557845972</v>
      </c>
      <c r="AG192" s="591">
        <v>60.906782557845972</v>
      </c>
      <c r="AH192" s="591">
        <v>60.906782557845972</v>
      </c>
      <c r="AI192" s="591">
        <v>60.906782557845972</v>
      </c>
      <c r="AJ192" s="592">
        <v>60.906782557845972</v>
      </c>
      <c r="AK192" s="548"/>
      <c r="AM192" s="974"/>
      <c r="AO192" s="975" t="str">
        <f t="shared" si="152"/>
        <v>Price</v>
      </c>
      <c r="AP192" s="976" t="str">
        <f t="shared" si="152"/>
        <v>Sewerage</v>
      </c>
      <c r="AQ192" s="977" t="str">
        <f t="shared" si="153"/>
        <v xml:space="preserve">Price cap - Variable </v>
      </c>
      <c r="AR192" s="1341">
        <f t="shared" si="154"/>
        <v>-2.3965054539371033E-3</v>
      </c>
      <c r="AS192" s="978">
        <f t="shared" si="155"/>
        <v>-6.8282547316045328E-4</v>
      </c>
      <c r="AT192" s="979">
        <f t="shared" si="156"/>
        <v>5.8145169105539019E-4</v>
      </c>
      <c r="AU192" s="979">
        <f t="shared" si="157"/>
        <v>6.986899563317106E-4</v>
      </c>
      <c r="AV192" s="1352">
        <f t="shared" si="158"/>
        <v>1.7715576420718193E-5</v>
      </c>
      <c r="AW192" s="1345">
        <f t="shared" si="159"/>
        <v>6.3601993374975505</v>
      </c>
      <c r="AX192" s="979">
        <f t="shared" si="160"/>
        <v>0</v>
      </c>
      <c r="AY192" s="979">
        <f t="shared" si="161"/>
        <v>0</v>
      </c>
      <c r="AZ192" s="979">
        <f t="shared" si="162"/>
        <v>0</v>
      </c>
      <c r="BA192" s="980">
        <f t="shared" si="163"/>
        <v>0</v>
      </c>
      <c r="BB192" s="1345">
        <f t="shared" si="164"/>
        <v>0.19895015089686185</v>
      </c>
      <c r="BC192" s="979">
        <f t="shared" si="165"/>
        <v>0</v>
      </c>
      <c r="BD192" s="979">
        <f t="shared" si="166"/>
        <v>0</v>
      </c>
      <c r="BE192" s="979">
        <f t="shared" si="167"/>
        <v>0</v>
      </c>
      <c r="BF192" s="981">
        <f t="shared" si="168"/>
        <v>0</v>
      </c>
      <c r="BG192" s="951"/>
      <c r="BH192" s="975" t="str">
        <f t="shared" si="169"/>
        <v>Price</v>
      </c>
      <c r="BI192" s="976" t="str">
        <f t="shared" si="170"/>
        <v>Sewerage</v>
      </c>
      <c r="BJ192" s="977" t="str">
        <f t="shared" si="171"/>
        <v xml:space="preserve">Price cap - Variable </v>
      </c>
      <c r="BK192" s="978">
        <f t="shared" ref="BK192:BU192" si="253">IF(V192="","-",IFERROR((V192/U192-1)*(U194/U$13),"-"))</f>
        <v>-8.2176052725576464E-7</v>
      </c>
      <c r="BL192" s="978">
        <f t="shared" si="253"/>
        <v>-2.4583725038827616E-7</v>
      </c>
      <c r="BM192" s="979">
        <f t="shared" si="253"/>
        <v>2.3371009751845627E-7</v>
      </c>
      <c r="BN192" s="979">
        <f t="shared" si="253"/>
        <v>2.723772972563217E-7</v>
      </c>
      <c r="BO192" s="1352">
        <f t="shared" si="253"/>
        <v>6.8156758582450159E-9</v>
      </c>
      <c r="BP192" s="1345">
        <f t="shared" si="253"/>
        <v>2.5561734344563968E-3</v>
      </c>
      <c r="BQ192" s="979">
        <f t="shared" si="253"/>
        <v>0</v>
      </c>
      <c r="BR192" s="979">
        <f t="shared" si="253"/>
        <v>0</v>
      </c>
      <c r="BS192" s="979">
        <f t="shared" si="253"/>
        <v>0</v>
      </c>
      <c r="BT192" s="980">
        <f t="shared" si="253"/>
        <v>0</v>
      </c>
      <c r="BU192" s="979">
        <f t="shared" si="253"/>
        <v>5.4969983822578279E-4</v>
      </c>
      <c r="BV192" s="979">
        <f>IF(AG192="","-",IFERROR((AG192/AF192-1)*(AF194/AF$13),"-"))</f>
        <v>0</v>
      </c>
      <c r="BW192" s="979">
        <f>IF(AH192="","-",IFERROR((AH192/AG192-1)*(AG194/AG$13),"-"))</f>
        <v>0</v>
      </c>
      <c r="BX192" s="979">
        <f>IF(AI192="","-",IFERROR((AI192/AH192-1)*(AH194/AH$13),"-"))</f>
        <v>0</v>
      </c>
      <c r="BY192" s="981">
        <f>IF(AJ192="","-",IFERROR((AJ192/AI192-1)*(AI194/AI$13),"-"))</f>
        <v>0</v>
      </c>
      <c r="BZ192" s="951"/>
      <c r="CA192" s="975" t="str">
        <f t="shared" si="149"/>
        <v>Price</v>
      </c>
      <c r="CB192" s="976" t="str">
        <f t="shared" si="150"/>
        <v>Sewerage</v>
      </c>
      <c r="CC192" s="982" t="str">
        <f t="shared" si="151"/>
        <v xml:space="preserve">Price cap - Variable </v>
      </c>
      <c r="CD192" s="983">
        <f t="shared" si="175"/>
        <v>-1.5400331170642989E-3</v>
      </c>
      <c r="CE192" s="979">
        <f t="shared" si="175"/>
        <v>-8.3337177283782093E-4</v>
      </c>
      <c r="CF192" s="979">
        <f t="shared" si="175"/>
        <v>-4.5057637853374022E-4</v>
      </c>
      <c r="CG192" s="980">
        <f t="shared" si="175"/>
        <v>-3.5693553430748981E-4</v>
      </c>
      <c r="CH192" s="979">
        <f t="shared" si="176"/>
        <v>1.7129687313895734</v>
      </c>
      <c r="CI192" s="979">
        <f t="shared" si="176"/>
        <v>0.94519521327761291</v>
      </c>
      <c r="CJ192" s="979">
        <f t="shared" si="176"/>
        <v>0.6471092044517186</v>
      </c>
      <c r="CK192" s="981">
        <f t="shared" si="176"/>
        <v>0.49065765720881815</v>
      </c>
    </row>
    <row r="193" spans="4:89">
      <c r="E193" s="567" t="s">
        <v>880</v>
      </c>
      <c r="F193" s="554" t="str">
        <f>+F192</f>
        <v>Sewerage</v>
      </c>
      <c r="G193" s="555" t="str">
        <f>+G192</f>
        <v>SEW</v>
      </c>
      <c r="H193" s="555" t="str">
        <f>+H192</f>
        <v>Eastern Transfer</v>
      </c>
      <c r="I193" s="556" t="str">
        <f>+I192</f>
        <v xml:space="preserve">Price cap - Variable </v>
      </c>
      <c r="J193" s="590" t="s">
        <v>887</v>
      </c>
      <c r="K193" s="557"/>
      <c r="L193" s="558"/>
      <c r="M193" s="558"/>
      <c r="N193" s="557"/>
      <c r="O193" s="558"/>
      <c r="P193" s="558"/>
      <c r="Q193" s="558"/>
      <c r="R193" s="1036"/>
      <c r="S193" s="1139"/>
      <c r="T193" s="593"/>
      <c r="U193" s="1036">
        <v>95633.75</v>
      </c>
      <c r="V193" s="593">
        <v>97265.143343435411</v>
      </c>
      <c r="W193" s="593">
        <v>107894.37000000001</v>
      </c>
      <c r="X193" s="593">
        <v>105188.30000000003</v>
      </c>
      <c r="Y193" s="593">
        <v>105054.99</v>
      </c>
      <c r="Z193" s="593">
        <v>109695.49720753181</v>
      </c>
      <c r="AA193" s="1139">
        <v>110620.05921865518</v>
      </c>
      <c r="AB193" s="593">
        <v>111627.6937556436</v>
      </c>
      <c r="AC193" s="593">
        <v>112382.50197422906</v>
      </c>
      <c r="AD193" s="593">
        <v>113061.14901715102</v>
      </c>
      <c r="AE193" s="1036">
        <v>113238.40425353561</v>
      </c>
      <c r="AF193" s="593">
        <v>114188.56659334339</v>
      </c>
      <c r="AG193" s="593">
        <v>115643.44299133208</v>
      </c>
      <c r="AH193" s="593">
        <v>115746.03411054505</v>
      </c>
      <c r="AI193" s="593">
        <v>116817.32460299054</v>
      </c>
      <c r="AJ193" s="594">
        <v>117930.2116837728</v>
      </c>
      <c r="AK193" s="548"/>
      <c r="AO193" s="961" t="str">
        <f t="shared" si="152"/>
        <v>Qty</v>
      </c>
      <c r="AP193" s="962" t="str">
        <f t="shared" si="152"/>
        <v>Sewerage</v>
      </c>
      <c r="AQ193" s="963" t="str">
        <f t="shared" si="153"/>
        <v xml:space="preserve">Price cap - Variable </v>
      </c>
      <c r="AR193" s="967">
        <f t="shared" si="154"/>
        <v>1.7058761613294671E-2</v>
      </c>
      <c r="AS193" s="964">
        <f t="shared" si="155"/>
        <v>0.10928094372959141</v>
      </c>
      <c r="AT193" s="964">
        <f t="shared" si="156"/>
        <v>-2.5080734054983345E-2</v>
      </c>
      <c r="AU193" s="964">
        <f t="shared" si="157"/>
        <v>-1.2673462733024943E-3</v>
      </c>
      <c r="AV193" s="1350">
        <f t="shared" si="158"/>
        <v>4.4172173140293536E-2</v>
      </c>
      <c r="AW193" s="1343">
        <f t="shared" si="159"/>
        <v>8.4284408627475216E-3</v>
      </c>
      <c r="AX193" s="964">
        <f t="shared" si="160"/>
        <v>9.108967614966712E-3</v>
      </c>
      <c r="AY193" s="964">
        <f t="shared" si="161"/>
        <v>6.7618365406505454E-3</v>
      </c>
      <c r="AZ193" s="964">
        <f t="shared" si="162"/>
        <v>6.0387251662858965E-3</v>
      </c>
      <c r="BA193" s="965">
        <f t="shared" si="163"/>
        <v>1.5677820181865254E-3</v>
      </c>
      <c r="BB193" s="1343">
        <f t="shared" si="164"/>
        <v>8.3908135766415093E-3</v>
      </c>
      <c r="BC193" s="964">
        <f t="shared" si="165"/>
        <v>1.2740998870490294E-2</v>
      </c>
      <c r="BD193" s="964">
        <f t="shared" si="166"/>
        <v>8.8713304065723975E-4</v>
      </c>
      <c r="BE193" s="964">
        <f t="shared" si="167"/>
        <v>9.2555265558589284E-3</v>
      </c>
      <c r="BF193" s="966">
        <f t="shared" si="168"/>
        <v>9.5267297429080244E-3</v>
      </c>
      <c r="BG193" s="951"/>
      <c r="BH193" s="961" t="str">
        <f t="shared" si="169"/>
        <v>Qty</v>
      </c>
      <c r="BI193" s="962" t="str">
        <f t="shared" si="170"/>
        <v>Sewerage</v>
      </c>
      <c r="BJ193" s="963" t="str">
        <f t="shared" si="171"/>
        <v xml:space="preserve">Price cap - Variable </v>
      </c>
      <c r="BK193" s="964">
        <f t="shared" ref="BK193:BU193" si="254">IF(V193="","-",IFERROR((V193/U193-1)*(U194/U$13),"-"))</f>
        <v>5.8494408659248293E-6</v>
      </c>
      <c r="BL193" s="964">
        <f t="shared" si="254"/>
        <v>3.9344353399665497E-5</v>
      </c>
      <c r="BM193" s="964">
        <f t="shared" si="254"/>
        <v>-1.0081010842337089E-5</v>
      </c>
      <c r="BN193" s="964">
        <f t="shared" si="254"/>
        <v>-4.9406227967318783E-7</v>
      </c>
      <c r="BO193" s="1350">
        <f t="shared" si="254"/>
        <v>1.6994265776552839E-5</v>
      </c>
      <c r="BP193" s="1343">
        <f t="shared" si="254"/>
        <v>3.3874027344115872E-6</v>
      </c>
      <c r="BQ193" s="964">
        <f t="shared" si="254"/>
        <v>2.7036599130130653E-5</v>
      </c>
      <c r="BR193" s="964">
        <f t="shared" si="254"/>
        <v>1.9497192008402782E-5</v>
      </c>
      <c r="BS193" s="964">
        <f t="shared" si="254"/>
        <v>1.7198276640960557E-5</v>
      </c>
      <c r="BT193" s="965">
        <f t="shared" si="254"/>
        <v>4.4081111222189645E-6</v>
      </c>
      <c r="BU193" s="964">
        <f t="shared" si="254"/>
        <v>2.3183842007004449E-5</v>
      </c>
      <c r="BV193" s="964">
        <f>IF(AG193="","-",IFERROR((AG193/AF193-1)*(AF194/AF$13),"-"))</f>
        <v>4.065182314464089E-5</v>
      </c>
      <c r="BW193" s="964">
        <f>IF(AH193="","-",IFERROR((AH193/AG193-1)*(AG194/AG$13),"-"))</f>
        <v>2.8269809311840604E-6</v>
      </c>
      <c r="BX193" s="964">
        <f>IF(AI193="","-",IFERROR((AI193/AH193-1)*(AH194/AH$13),"-"))</f>
        <v>2.9094138079363596E-5</v>
      </c>
      <c r="BY193" s="966">
        <f>IF(AJ193="","-",IFERROR((AJ193/AI193-1)*(AI194/AI$13),"-"))</f>
        <v>2.9712291599957765E-5</v>
      </c>
      <c r="BZ193" s="951"/>
      <c r="CA193" s="961" t="str">
        <f t="shared" si="149"/>
        <v>Qty</v>
      </c>
      <c r="CB193" s="962" t="str">
        <f t="shared" si="150"/>
        <v>Sewerage</v>
      </c>
      <c r="CC193" s="962" t="str">
        <f t="shared" si="151"/>
        <v xml:space="preserve">Price cap - Variable </v>
      </c>
      <c r="CD193" s="967">
        <f t="shared" si="175"/>
        <v>6.2169432299218785E-2</v>
      </c>
      <c r="CE193" s="964">
        <f t="shared" si="175"/>
        <v>3.2251248613052841E-2</v>
      </c>
      <c r="CF193" s="964">
        <f t="shared" si="175"/>
        <v>2.3767585970809746E-2</v>
      </c>
      <c r="CG193" s="965">
        <f t="shared" si="175"/>
        <v>2.7816352614841833E-2</v>
      </c>
      <c r="CH193" s="964">
        <f t="shared" si="176"/>
        <v>8.7686468524770245E-3</v>
      </c>
      <c r="CI193" s="964">
        <f t="shared" si="176"/>
        <v>8.0992660042160658E-3</v>
      </c>
      <c r="CJ193" s="964">
        <f t="shared" si="176"/>
        <v>7.5837354748395924E-3</v>
      </c>
      <c r="CK193" s="966">
        <f t="shared" si="176"/>
        <v>6.3776609026089393E-3</v>
      </c>
    </row>
    <row r="194" spans="4:89" ht="12.75" thickBot="1">
      <c r="E194" s="568" t="s">
        <v>882</v>
      </c>
      <c r="F194" s="560" t="str">
        <f>+F192</f>
        <v>Sewerage</v>
      </c>
      <c r="G194" s="561" t="str">
        <f>+G192</f>
        <v>SEW</v>
      </c>
      <c r="H194" s="561" t="str">
        <f>+H192</f>
        <v>Eastern Transfer</v>
      </c>
      <c r="I194" s="562" t="str">
        <f>+I192</f>
        <v xml:space="preserve">Price cap - Variable </v>
      </c>
      <c r="J194" s="563" t="s">
        <v>883</v>
      </c>
      <c r="K194" s="564">
        <f t="shared" ref="K194:AJ194" si="255">K192*K193/10^6</f>
        <v>0</v>
      </c>
      <c r="L194" s="565">
        <f t="shared" si="255"/>
        <v>0</v>
      </c>
      <c r="M194" s="565">
        <f t="shared" si="255"/>
        <v>0</v>
      </c>
      <c r="N194" s="564">
        <f t="shared" si="255"/>
        <v>0</v>
      </c>
      <c r="O194" s="565">
        <f t="shared" si="255"/>
        <v>0</v>
      </c>
      <c r="P194" s="565">
        <f t="shared" si="255"/>
        <v>0</v>
      </c>
      <c r="Q194" s="565">
        <f t="shared" si="255"/>
        <v>0</v>
      </c>
      <c r="R194" s="566">
        <f t="shared" si="255"/>
        <v>0</v>
      </c>
      <c r="S194" s="564">
        <f t="shared" si="255"/>
        <v>0</v>
      </c>
      <c r="T194" s="565">
        <f t="shared" si="255"/>
        <v>0</v>
      </c>
      <c r="U194" s="566">
        <f t="shared" si="255"/>
        <v>0.66124340670025716</v>
      </c>
      <c r="V194" s="565">
        <f t="shared" si="255"/>
        <v>0.67091169434669617</v>
      </c>
      <c r="W194" s="565">
        <f t="shared" si="255"/>
        <v>0.74372137856440679</v>
      </c>
      <c r="X194" s="565">
        <f t="shared" si="255"/>
        <v>0.7254898926470591</v>
      </c>
      <c r="Y194" s="565">
        <f t="shared" si="255"/>
        <v>0.7250766958283843</v>
      </c>
      <c r="Z194" s="565">
        <f t="shared" si="255"/>
        <v>0.7571183217263846</v>
      </c>
      <c r="AA194" s="564">
        <f t="shared" si="255"/>
        <v>5.6195096087412413</v>
      </c>
      <c r="AB194" s="565">
        <f t="shared" si="255"/>
        <v>5.6706975397792592</v>
      </c>
      <c r="AC194" s="565">
        <f t="shared" si="255"/>
        <v>5.7090418696147154</v>
      </c>
      <c r="AD194" s="565">
        <f t="shared" si="255"/>
        <v>5.7435172044281382</v>
      </c>
      <c r="AE194" s="566">
        <f t="shared" si="255"/>
        <v>5.7525217874223848</v>
      </c>
      <c r="AF194" s="565">
        <f t="shared" si="255"/>
        <v>6.9548581960928804</v>
      </c>
      <c r="AG194" s="565">
        <f>AG192*AG193/10^6</f>
        <v>7.0434700365137193</v>
      </c>
      <c r="AH194" s="565">
        <f>AH192*AH193/10^6</f>
        <v>7.0497185315039905</v>
      </c>
      <c r="AI194" s="565">
        <f>AI192*AI193/10^6</f>
        <v>7.1149673885836551</v>
      </c>
      <c r="AJ194" s="566">
        <f t="shared" si="255"/>
        <v>7.1827497600242962</v>
      </c>
      <c r="AK194" s="548"/>
      <c r="AO194" s="984" t="str">
        <f t="shared" si="152"/>
        <v>Rev</v>
      </c>
      <c r="AP194" s="985" t="str">
        <f t="shared" si="152"/>
        <v>Sewerage</v>
      </c>
      <c r="AQ194" s="986" t="str">
        <f t="shared" si="153"/>
        <v xml:space="preserve">Price cap - Variable </v>
      </c>
      <c r="AR194" s="990">
        <f t="shared" si="154"/>
        <v>1.4621374744113957E-2</v>
      </c>
      <c r="AS194" s="987">
        <f t="shared" si="155"/>
        <v>0.1085234984443213</v>
      </c>
      <c r="AT194" s="987">
        <f t="shared" si="156"/>
        <v>-2.4513865599157025E-2</v>
      </c>
      <c r="AU194" s="987">
        <f t="shared" si="157"/>
        <v>-5.6954179908308422E-4</v>
      </c>
      <c r="AV194" s="1353">
        <f t="shared" si="158"/>
        <v>4.419067125222309E-2</v>
      </c>
      <c r="AW194" s="1346">
        <f t="shared" si="159"/>
        <v>6.4222343423516817</v>
      </c>
      <c r="AX194" s="987">
        <f t="shared" si="160"/>
        <v>9.108967614966712E-3</v>
      </c>
      <c r="AY194" s="987">
        <f t="shared" si="161"/>
        <v>6.7618365406505454E-3</v>
      </c>
      <c r="AZ194" s="987">
        <f t="shared" si="162"/>
        <v>6.0387251662858965E-3</v>
      </c>
      <c r="BA194" s="988">
        <f t="shared" si="163"/>
        <v>1.5677820181863034E-3</v>
      </c>
      <c r="BB194" s="1346">
        <f t="shared" si="164"/>
        <v>0.20901031810072346</v>
      </c>
      <c r="BC194" s="987">
        <f t="shared" si="165"/>
        <v>1.2740998870490294E-2</v>
      </c>
      <c r="BD194" s="987">
        <f t="shared" si="166"/>
        <v>8.8713304065723975E-4</v>
      </c>
      <c r="BE194" s="987">
        <f t="shared" si="167"/>
        <v>9.2555265558587063E-3</v>
      </c>
      <c r="BF194" s="989">
        <f t="shared" si="168"/>
        <v>9.5267297429080244E-3</v>
      </c>
      <c r="BG194" s="951"/>
      <c r="BH194" s="984" t="str">
        <f t="shared" si="169"/>
        <v>Rev</v>
      </c>
      <c r="BI194" s="985" t="str">
        <f t="shared" si="170"/>
        <v>Sewerage</v>
      </c>
      <c r="BJ194" s="986" t="str">
        <f t="shared" si="171"/>
        <v xml:space="preserve">Price cap - Variable </v>
      </c>
      <c r="BK194" s="987">
        <f t="shared" ref="BK194:BU194" si="256">IF(V194="","-",IFERROR((V194/U194-1)*(U194/U$13),"-"))</f>
        <v>5.0136621217314156E-6</v>
      </c>
      <c r="BL194" s="987">
        <f t="shared" si="256"/>
        <v>3.9071650822550873E-5</v>
      </c>
      <c r="BM194" s="987">
        <f t="shared" si="256"/>
        <v>-9.8531623656204149E-6</v>
      </c>
      <c r="BN194" s="987">
        <f t="shared" si="256"/>
        <v>-2.2203017876945653E-7</v>
      </c>
      <c r="BO194" s="1353">
        <f t="shared" si="256"/>
        <v>1.7001382515625124E-5</v>
      </c>
      <c r="BP194" s="1346">
        <f t="shared" si="256"/>
        <v>2.5811053938180504E-3</v>
      </c>
      <c r="BQ194" s="987">
        <f t="shared" si="256"/>
        <v>2.7036599130130653E-5</v>
      </c>
      <c r="BR194" s="987">
        <f t="shared" si="256"/>
        <v>1.9497192008402782E-5</v>
      </c>
      <c r="BS194" s="987">
        <f t="shared" si="256"/>
        <v>1.7198276640960557E-5</v>
      </c>
      <c r="BT194" s="988">
        <f t="shared" si="256"/>
        <v>4.4081111222183402E-6</v>
      </c>
      <c r="BU194" s="987">
        <f t="shared" si="256"/>
        <v>5.7749610909844928E-4</v>
      </c>
      <c r="BV194" s="987">
        <f>IF(AG194="","-",IFERROR((AG194/AF194-1)*(AF194/AF$13),"-"))</f>
        <v>4.065182314464089E-5</v>
      </c>
      <c r="BW194" s="987">
        <f>IF(AH194="","-",IFERROR((AH194/AG194-1)*(AG194/AG$13),"-"))</f>
        <v>2.8269809311840604E-6</v>
      </c>
      <c r="BX194" s="987">
        <f>IF(AI194="","-",IFERROR((AI194/AH194-1)*(AH194/AH$13),"-"))</f>
        <v>2.9094138079362898E-5</v>
      </c>
      <c r="BY194" s="989">
        <f>IF(AJ194="","-",IFERROR((AJ194/AI194-1)*(AI194/AI$13),"-"))</f>
        <v>2.9712291599957765E-5</v>
      </c>
      <c r="BZ194" s="951"/>
      <c r="CA194" s="984" t="str">
        <f t="shared" si="149"/>
        <v>Rev</v>
      </c>
      <c r="CB194" s="985" t="str">
        <f t="shared" si="150"/>
        <v>Sewerage</v>
      </c>
      <c r="CC194" s="985" t="str">
        <f t="shared" si="151"/>
        <v xml:space="preserve">Price cap - Variable </v>
      </c>
      <c r="CD194" s="990">
        <f t="shared" si="175"/>
        <v>6.0533656197544694E-2</v>
      </c>
      <c r="CE194" s="987">
        <f t="shared" si="175"/>
        <v>3.1390999559982147E-2</v>
      </c>
      <c r="CF194" s="987">
        <f t="shared" si="175"/>
        <v>2.3306300479462694E-2</v>
      </c>
      <c r="CG194" s="988">
        <f t="shared" si="175"/>
        <v>2.7449488435851377E-2</v>
      </c>
      <c r="CH194" s="987">
        <f t="shared" si="176"/>
        <v>1.7367577961169411</v>
      </c>
      <c r="CI194" s="987">
        <f t="shared" si="176"/>
        <v>0.96094986674007599</v>
      </c>
      <c r="CJ194" s="987">
        <f t="shared" si="176"/>
        <v>0.65960044495645387</v>
      </c>
      <c r="CK194" s="989">
        <f t="shared" si="176"/>
        <v>0.50016456626837336</v>
      </c>
    </row>
    <row r="195" spans="4:89">
      <c r="D195" s="63">
        <f>D192+1</f>
        <v>43</v>
      </c>
      <c r="E195" s="550" t="s">
        <v>857</v>
      </c>
      <c r="F195" s="595" t="s">
        <v>402</v>
      </c>
      <c r="G195" s="595" t="s">
        <v>103</v>
      </c>
      <c r="H195" s="595" t="s">
        <v>894</v>
      </c>
      <c r="I195" s="589" t="s">
        <v>941</v>
      </c>
      <c r="J195" s="589" t="s">
        <v>879</v>
      </c>
      <c r="K195" s="551"/>
      <c r="L195" s="552"/>
      <c r="M195" s="552"/>
      <c r="N195" s="551"/>
      <c r="O195" s="552"/>
      <c r="P195" s="552"/>
      <c r="Q195" s="552"/>
      <c r="R195" s="1035"/>
      <c r="S195" s="1138"/>
      <c r="T195" s="591"/>
      <c r="U195" s="1035">
        <v>6.9143310463121779</v>
      </c>
      <c r="V195" s="591">
        <v>6.8977608142493638</v>
      </c>
      <c r="W195" s="591">
        <v>6.8930508474576264</v>
      </c>
      <c r="X195" s="591">
        <v>6.8970588235294121</v>
      </c>
      <c r="Y195" s="591">
        <v>6.9018777292576416</v>
      </c>
      <c r="Z195" s="591">
        <v>6.9020000000000001</v>
      </c>
      <c r="AA195" s="1138">
        <v>50.800095827408093</v>
      </c>
      <c r="AB195" s="591">
        <v>50.800095827408093</v>
      </c>
      <c r="AC195" s="591">
        <v>50.800095827408093</v>
      </c>
      <c r="AD195" s="591">
        <v>50.800095827408093</v>
      </c>
      <c r="AE195" s="1035">
        <v>50.800095827408093</v>
      </c>
      <c r="AF195" s="591">
        <v>60.906782557845972</v>
      </c>
      <c r="AG195" s="591">
        <v>60.906782557845972</v>
      </c>
      <c r="AH195" s="591">
        <v>60.906782557845972</v>
      </c>
      <c r="AI195" s="591">
        <v>60.906782557845972</v>
      </c>
      <c r="AJ195" s="592">
        <v>60.906782557845972</v>
      </c>
      <c r="AK195" s="548"/>
      <c r="AM195" s="974"/>
      <c r="AO195" s="975" t="str">
        <f t="shared" si="152"/>
        <v>Price</v>
      </c>
      <c r="AP195" s="976" t="str">
        <f t="shared" si="152"/>
        <v>Sewerage</v>
      </c>
      <c r="AQ195" s="977" t="str">
        <f t="shared" si="153"/>
        <v xml:space="preserve">Price cap - Variable </v>
      </c>
      <c r="AR195" s="1341">
        <f t="shared" si="154"/>
        <v>-2.3965054539371033E-3</v>
      </c>
      <c r="AS195" s="978">
        <f t="shared" si="155"/>
        <v>-6.8282547316045328E-4</v>
      </c>
      <c r="AT195" s="979">
        <f t="shared" si="156"/>
        <v>5.8145169105539019E-4</v>
      </c>
      <c r="AU195" s="979">
        <f t="shared" si="157"/>
        <v>6.986899563317106E-4</v>
      </c>
      <c r="AV195" s="1352">
        <f t="shared" si="158"/>
        <v>1.7715576420718193E-5</v>
      </c>
      <c r="AW195" s="1345">
        <f t="shared" si="159"/>
        <v>6.3601993374975505</v>
      </c>
      <c r="AX195" s="979">
        <f t="shared" si="160"/>
        <v>0</v>
      </c>
      <c r="AY195" s="979">
        <f t="shared" si="161"/>
        <v>0</v>
      </c>
      <c r="AZ195" s="979">
        <f t="shared" si="162"/>
        <v>0</v>
      </c>
      <c r="BA195" s="980">
        <f t="shared" si="163"/>
        <v>0</v>
      </c>
      <c r="BB195" s="1345">
        <f t="shared" si="164"/>
        <v>0.19895015089686185</v>
      </c>
      <c r="BC195" s="979">
        <f t="shared" si="165"/>
        <v>0</v>
      </c>
      <c r="BD195" s="979">
        <f t="shared" si="166"/>
        <v>0</v>
      </c>
      <c r="BE195" s="979">
        <f t="shared" si="167"/>
        <v>0</v>
      </c>
      <c r="BF195" s="981">
        <f t="shared" si="168"/>
        <v>0</v>
      </c>
      <c r="BG195" s="951"/>
      <c r="BH195" s="975" t="str">
        <f t="shared" si="169"/>
        <v>Price</v>
      </c>
      <c r="BI195" s="976" t="str">
        <f t="shared" si="170"/>
        <v>Sewerage</v>
      </c>
      <c r="BJ195" s="977" t="str">
        <f t="shared" si="171"/>
        <v xml:space="preserve">Price cap - Variable </v>
      </c>
      <c r="BK195" s="978">
        <f t="shared" ref="BK195:BU195" si="257">IF(V195="","-",IFERROR((V195/U195-1)*(U197/U$13),"-"))</f>
        <v>-4.0516550116108211E-7</v>
      </c>
      <c r="BL195" s="978">
        <f t="shared" si="257"/>
        <v>-1.226900386397444E-7</v>
      </c>
      <c r="BM195" s="979">
        <f t="shared" si="257"/>
        <v>1.1987090028349633E-7</v>
      </c>
      <c r="BN195" s="979">
        <f t="shared" si="257"/>
        <v>1.2776434022096294E-7</v>
      </c>
      <c r="BO195" s="1352">
        <f t="shared" si="257"/>
        <v>3.2030026995409287E-9</v>
      </c>
      <c r="BP195" s="1345">
        <f t="shared" si="257"/>
        <v>1.1926384015877884E-3</v>
      </c>
      <c r="BQ195" s="979">
        <f t="shared" si="257"/>
        <v>0</v>
      </c>
      <c r="BR195" s="979">
        <f t="shared" si="257"/>
        <v>0</v>
      </c>
      <c r="BS195" s="979">
        <f t="shared" si="257"/>
        <v>0</v>
      </c>
      <c r="BT195" s="980">
        <f t="shared" si="257"/>
        <v>0</v>
      </c>
      <c r="BU195" s="979">
        <f t="shared" si="257"/>
        <v>2.4572866961832603E-4</v>
      </c>
      <c r="BV195" s="979">
        <f>IF(AG195="","-",IFERROR((AG195/AF195-1)*(AF197/AF$13),"-"))</f>
        <v>0</v>
      </c>
      <c r="BW195" s="979">
        <f>IF(AH195="","-",IFERROR((AH195/AG195-1)*(AG197/AG$13),"-"))</f>
        <v>0</v>
      </c>
      <c r="BX195" s="979">
        <f>IF(AI195="","-",IFERROR((AI195/AH195-1)*(AH197/AH$13),"-"))</f>
        <v>0</v>
      </c>
      <c r="BY195" s="981">
        <f>IF(AJ195="","-",IFERROR((AJ195/AI195-1)*(AI197/AI$13),"-"))</f>
        <v>0</v>
      </c>
      <c r="BZ195" s="951"/>
      <c r="CA195" s="975" t="str">
        <f t="shared" si="149"/>
        <v>Price</v>
      </c>
      <c r="CB195" s="976" t="str">
        <f t="shared" si="150"/>
        <v>Sewerage</v>
      </c>
      <c r="CC195" s="982" t="str">
        <f t="shared" si="151"/>
        <v xml:space="preserve">Price cap - Variable </v>
      </c>
      <c r="CD195" s="983">
        <f t="shared" si="175"/>
        <v>-1.5400331170642989E-3</v>
      </c>
      <c r="CE195" s="979">
        <f t="shared" si="175"/>
        <v>-8.3337177283782093E-4</v>
      </c>
      <c r="CF195" s="979">
        <f t="shared" si="175"/>
        <v>-4.5057637853374022E-4</v>
      </c>
      <c r="CG195" s="980">
        <f t="shared" si="175"/>
        <v>-3.5693553430748981E-4</v>
      </c>
      <c r="CH195" s="979">
        <f t="shared" si="176"/>
        <v>1.7129687313895734</v>
      </c>
      <c r="CI195" s="979">
        <f t="shared" si="176"/>
        <v>0.94519521327761291</v>
      </c>
      <c r="CJ195" s="979">
        <f t="shared" si="176"/>
        <v>0.6471092044517186</v>
      </c>
      <c r="CK195" s="981">
        <f t="shared" si="176"/>
        <v>0.49065765720881815</v>
      </c>
    </row>
    <row r="196" spans="4:89">
      <c r="E196" s="567" t="s">
        <v>880</v>
      </c>
      <c r="F196" s="554" t="str">
        <f>+F195</f>
        <v>Sewerage</v>
      </c>
      <c r="G196" s="555" t="str">
        <f>+G195</f>
        <v>YVW</v>
      </c>
      <c r="H196" s="555" t="str">
        <f>+H195</f>
        <v>Eastern Transfer</v>
      </c>
      <c r="I196" s="556" t="str">
        <f>+I195</f>
        <v xml:space="preserve">Price cap - Variable </v>
      </c>
      <c r="J196" s="590" t="s">
        <v>887</v>
      </c>
      <c r="K196" s="557"/>
      <c r="L196" s="558"/>
      <c r="M196" s="558"/>
      <c r="N196" s="557"/>
      <c r="O196" s="558"/>
      <c r="P196" s="558"/>
      <c r="Q196" s="558"/>
      <c r="R196" s="1036"/>
      <c r="S196" s="1139"/>
      <c r="T196" s="593"/>
      <c r="U196" s="1036">
        <v>47151.81</v>
      </c>
      <c r="V196" s="593">
        <v>48542.131740647994</v>
      </c>
      <c r="W196" s="593">
        <v>55339.48</v>
      </c>
      <c r="X196" s="593">
        <v>49340.80000000001</v>
      </c>
      <c r="Y196" s="593">
        <v>49370.22</v>
      </c>
      <c r="Z196" s="593">
        <v>51180.823917290465</v>
      </c>
      <c r="AA196" s="1139">
        <v>51417.721632840097</v>
      </c>
      <c r="AB196" s="593">
        <v>51697.985475231697</v>
      </c>
      <c r="AC196" s="593">
        <v>52178.18651038799</v>
      </c>
      <c r="AD196" s="593">
        <v>52433.268963557392</v>
      </c>
      <c r="AE196" s="1036">
        <v>50620.212144749305</v>
      </c>
      <c r="AF196" s="593">
        <v>50803.855793474431</v>
      </c>
      <c r="AG196" s="593">
        <v>51215.953660279847</v>
      </c>
      <c r="AH196" s="593">
        <v>51403.517929701724</v>
      </c>
      <c r="AI196" s="593">
        <v>51815.278325495819</v>
      </c>
      <c r="AJ196" s="594">
        <v>51997.695973827096</v>
      </c>
      <c r="AK196" s="548"/>
      <c r="AO196" s="961" t="str">
        <f t="shared" si="152"/>
        <v>Qty</v>
      </c>
      <c r="AP196" s="962" t="str">
        <f t="shared" si="152"/>
        <v>Sewerage</v>
      </c>
      <c r="AQ196" s="963" t="str">
        <f t="shared" si="153"/>
        <v xml:space="preserve">Price cap - Variable </v>
      </c>
      <c r="AR196" s="967">
        <f t="shared" si="154"/>
        <v>2.9486073613038233E-2</v>
      </c>
      <c r="AS196" s="964">
        <f t="shared" si="155"/>
        <v>0.14002986716094457</v>
      </c>
      <c r="AT196" s="964">
        <f t="shared" si="156"/>
        <v>-0.10839783821604387</v>
      </c>
      <c r="AU196" s="964">
        <f t="shared" si="157"/>
        <v>5.9626110642696517E-4</v>
      </c>
      <c r="AV196" s="1350">
        <f t="shared" si="158"/>
        <v>3.6674009499865878E-2</v>
      </c>
      <c r="AW196" s="1343">
        <f t="shared" si="159"/>
        <v>4.6286420854120269E-3</v>
      </c>
      <c r="AX196" s="964">
        <f t="shared" si="160"/>
        <v>5.4507246430108847E-3</v>
      </c>
      <c r="AY196" s="964">
        <f t="shared" si="161"/>
        <v>9.2885831187050627E-3</v>
      </c>
      <c r="AZ196" s="964">
        <f t="shared" si="162"/>
        <v>4.8886799298519801E-3</v>
      </c>
      <c r="BA196" s="965">
        <f t="shared" si="163"/>
        <v>-3.4578367030066559E-2</v>
      </c>
      <c r="BB196" s="1343">
        <f t="shared" si="164"/>
        <v>3.6278719694020634E-3</v>
      </c>
      <c r="BC196" s="964">
        <f t="shared" si="165"/>
        <v>8.1115470542365564E-3</v>
      </c>
      <c r="BD196" s="964">
        <f t="shared" si="166"/>
        <v>3.6622235068783926E-3</v>
      </c>
      <c r="BE196" s="964">
        <f t="shared" si="167"/>
        <v>8.0103543955338807E-3</v>
      </c>
      <c r="BF196" s="966">
        <f t="shared" si="168"/>
        <v>3.5205378457172642E-3</v>
      </c>
      <c r="BG196" s="951"/>
      <c r="BH196" s="961" t="str">
        <f t="shared" si="169"/>
        <v>Qty</v>
      </c>
      <c r="BI196" s="962" t="str">
        <f t="shared" si="170"/>
        <v>Sewerage</v>
      </c>
      <c r="BJ196" s="963" t="str">
        <f t="shared" si="171"/>
        <v xml:space="preserve">Price cap - Variable </v>
      </c>
      <c r="BK196" s="964">
        <f t="shared" ref="BK196:BU196" si="258">IF(V196="","-",IFERROR((V196/U196-1)*(U197/U$13),"-"))</f>
        <v>4.9850668076187655E-6</v>
      </c>
      <c r="BL196" s="964">
        <f t="shared" si="258"/>
        <v>2.5160557840901564E-5</v>
      </c>
      <c r="BM196" s="964">
        <f t="shared" si="258"/>
        <v>-2.234707827946476E-5</v>
      </c>
      <c r="BN196" s="964">
        <f t="shared" si="258"/>
        <v>1.0903392294635312E-7</v>
      </c>
      <c r="BO196" s="1350">
        <f t="shared" si="258"/>
        <v>6.6307157408484676E-6</v>
      </c>
      <c r="BP196" s="1343">
        <f t="shared" si="258"/>
        <v>8.6794391265726488E-7</v>
      </c>
      <c r="BQ196" s="964">
        <f t="shared" si="258"/>
        <v>7.5199696708080257E-6</v>
      </c>
      <c r="BR196" s="964">
        <f t="shared" si="258"/>
        <v>1.2403908111416591E-5</v>
      </c>
      <c r="BS196" s="964">
        <f t="shared" si="258"/>
        <v>6.4643007607812679E-6</v>
      </c>
      <c r="BT196" s="965">
        <f t="shared" si="258"/>
        <v>-4.508840523538616E-5</v>
      </c>
      <c r="BU196" s="964">
        <f t="shared" si="258"/>
        <v>4.4808820127456712E-6</v>
      </c>
      <c r="BV196" s="964">
        <f>IF(AG196="","-",IFERROR((AG196/AF196-1)*(AF197/AF$13),"-"))</f>
        <v>1.1514744223507397E-5</v>
      </c>
      <c r="BW196" s="964">
        <f>IF(AH196="","-",IFERROR((AH196/AG196-1)*(AG197/AG$13),"-"))</f>
        <v>5.1684845344786064E-6</v>
      </c>
      <c r="BX196" s="964">
        <f>IF(AI196="","-",IFERROR((AI196/AH196-1)*(AH197/AH$13),"-"))</f>
        <v>1.1182600700114119E-5</v>
      </c>
      <c r="BY196" s="966">
        <f>IF(AJ196="","-",IFERROR((AJ196/AI196-1)*(AI197/AI$13),"-"))</f>
        <v>4.8702572379471061E-6</v>
      </c>
      <c r="BZ196" s="951"/>
      <c r="CA196" s="961" t="str">
        <f t="shared" ref="CA196:CA259" si="259">AO196</f>
        <v>Qty</v>
      </c>
      <c r="CB196" s="962" t="str">
        <f t="shared" ref="CB196:CB259" si="260">AP196</f>
        <v>Sewerage</v>
      </c>
      <c r="CC196" s="962" t="str">
        <f t="shared" ref="CC196:CC259" si="261">AQ196</f>
        <v xml:space="preserve">Price cap - Variable </v>
      </c>
      <c r="CD196" s="967">
        <f t="shared" si="175"/>
        <v>8.3348915052354977E-2</v>
      </c>
      <c r="CE196" s="964">
        <f t="shared" si="175"/>
        <v>1.5241291147187086E-2</v>
      </c>
      <c r="CF196" s="964">
        <f t="shared" si="175"/>
        <v>1.1560059959657032E-2</v>
      </c>
      <c r="CG196" s="965">
        <f t="shared" si="175"/>
        <v>1.6533699999257134E-2</v>
      </c>
      <c r="CH196" s="964">
        <f t="shared" si="176"/>
        <v>5.0395993103462544E-3</v>
      </c>
      <c r="CI196" s="964">
        <f t="shared" si="176"/>
        <v>6.4539359949913333E-3</v>
      </c>
      <c r="CJ196" s="964">
        <f t="shared" si="176"/>
        <v>6.0623935543533403E-3</v>
      </c>
      <c r="CK196" s="966">
        <f t="shared" si="176"/>
        <v>-2.2003722219183786E-3</v>
      </c>
    </row>
    <row r="197" spans="4:89" ht="12.75" thickBot="1">
      <c r="E197" s="568" t="s">
        <v>882</v>
      </c>
      <c r="F197" s="560" t="str">
        <f>+F195</f>
        <v>Sewerage</v>
      </c>
      <c r="G197" s="561" t="str">
        <f>+G195</f>
        <v>YVW</v>
      </c>
      <c r="H197" s="561" t="str">
        <f>+H195</f>
        <v>Eastern Transfer</v>
      </c>
      <c r="I197" s="562" t="str">
        <f>+I195</f>
        <v xml:space="preserve">Price cap - Variable </v>
      </c>
      <c r="J197" s="563" t="s">
        <v>883</v>
      </c>
      <c r="K197" s="564">
        <f t="shared" ref="K197:AJ197" si="262">K195*K196/10^6</f>
        <v>0</v>
      </c>
      <c r="L197" s="565">
        <f t="shared" si="262"/>
        <v>0</v>
      </c>
      <c r="M197" s="565">
        <f t="shared" si="262"/>
        <v>0</v>
      </c>
      <c r="N197" s="564">
        <f t="shared" si="262"/>
        <v>0</v>
      </c>
      <c r="O197" s="565">
        <f t="shared" si="262"/>
        <v>0</v>
      </c>
      <c r="P197" s="565">
        <f t="shared" si="262"/>
        <v>0</v>
      </c>
      <c r="Q197" s="565">
        <f t="shared" si="262"/>
        <v>0</v>
      </c>
      <c r="R197" s="566">
        <f t="shared" si="262"/>
        <v>0</v>
      </c>
      <c r="S197" s="564">
        <f t="shared" si="262"/>
        <v>0</v>
      </c>
      <c r="T197" s="565">
        <f t="shared" si="262"/>
        <v>0</v>
      </c>
      <c r="U197" s="566">
        <f t="shared" si="262"/>
        <v>0.32602322377281301</v>
      </c>
      <c r="V197" s="565">
        <f t="shared" si="262"/>
        <v>0.33483201416077196</v>
      </c>
      <c r="W197" s="565">
        <f t="shared" si="262"/>
        <v>0.38145784951186434</v>
      </c>
      <c r="X197" s="565">
        <f t="shared" si="262"/>
        <v>0.34030640000000006</v>
      </c>
      <c r="Y197" s="565">
        <f t="shared" si="262"/>
        <v>0.34074722190655021</v>
      </c>
      <c r="Z197" s="565">
        <f t="shared" si="262"/>
        <v>0.35325004667713877</v>
      </c>
      <c r="AA197" s="564">
        <f t="shared" si="262"/>
        <v>2.6120251861752708</v>
      </c>
      <c r="AB197" s="565">
        <f t="shared" si="262"/>
        <v>2.6262626162257217</v>
      </c>
      <c r="AC197" s="565">
        <f t="shared" si="262"/>
        <v>2.6506568748280821</v>
      </c>
      <c r="AD197" s="565">
        <f t="shared" si="262"/>
        <v>2.6636150878929779</v>
      </c>
      <c r="AE197" s="566">
        <f t="shared" si="262"/>
        <v>2.5715116277569914</v>
      </c>
      <c r="AF197" s="565">
        <f t="shared" si="262"/>
        <v>3.0942993979133107</v>
      </c>
      <c r="AG197" s="565">
        <f>AG195*AG196/10^6</f>
        <v>3.1193989530793802</v>
      </c>
      <c r="AH197" s="565">
        <f>AH195*AH196/10^6</f>
        <v>3.1308228892526793</v>
      </c>
      <c r="AI197" s="565">
        <f>AI195*AI196/10^6</f>
        <v>3.1559018901452434</v>
      </c>
      <c r="AJ197" s="566">
        <f t="shared" si="262"/>
        <v>3.16701236218687</v>
      </c>
      <c r="AK197" s="548"/>
      <c r="AO197" s="984" t="str">
        <f t="shared" ref="AO197:AP260" si="263">E197</f>
        <v>Rev</v>
      </c>
      <c r="AP197" s="985" t="str">
        <f t="shared" si="263"/>
        <v>Sewerage</v>
      </c>
      <c r="AQ197" s="986" t="str">
        <f t="shared" ref="AQ197:AQ260" si="264">I197</f>
        <v xml:space="preserve">Price cap - Variable </v>
      </c>
      <c r="AR197" s="990">
        <f t="shared" ref="AR197:AR260" si="265">IF(V197="","-",IFERROR(V197/U197-1,"-"))</f>
        <v>2.7018904622872153E-2</v>
      </c>
      <c r="AS197" s="987">
        <f t="shared" ref="AS197:AS260" si="266">IF(W197="","-",IFERROR(W197/V197-1,"-"))</f>
        <v>0.13925142572748328</v>
      </c>
      <c r="AT197" s="987">
        <f t="shared" ref="AT197:AT260" si="267">IF(X197="","-",IFERROR(X197/W197-1,"-"))</f>
        <v>-0.10787941463132578</v>
      </c>
      <c r="AU197" s="987">
        <f t="shared" ref="AU197:AU260" si="268">IF(Y197="","-",IFERROR(Y197/X197-1,"-"))</f>
        <v>1.2953676644051892E-3</v>
      </c>
      <c r="AV197" s="1353">
        <f t="shared" ref="AV197:AV260" si="269">IF(Z197="","-",IFERROR(Z197/Y197-1,"-"))</f>
        <v>3.6692374777504311E-2</v>
      </c>
      <c r="AW197" s="1346">
        <f t="shared" ref="AW197:AW260" si="270">IF(AA197="","-",IFERROR(AA197/Z197-1,"-"))</f>
        <v>6.3942670659081129</v>
      </c>
      <c r="AX197" s="987">
        <f t="shared" ref="AX197:AX260" si="271">IF(AB197="","-",IFERROR(AB197/AA197-1,"-"))</f>
        <v>5.4507246430108847E-3</v>
      </c>
      <c r="AY197" s="987">
        <f t="shared" ref="AY197:AY260" si="272">IF(AC197="","-",IFERROR(AC197/AB197-1,"-"))</f>
        <v>9.2885831187050627E-3</v>
      </c>
      <c r="AZ197" s="987">
        <f t="shared" ref="AZ197:AZ260" si="273">IF(AD197="","-",IFERROR(AD197/AC197-1,"-"))</f>
        <v>4.888679929851758E-3</v>
      </c>
      <c r="BA197" s="988">
        <f t="shared" ref="BA197:BA260" si="274">IF(AE197="","-",IFERROR(AE197/AD197-1,"-"))</f>
        <v>-3.4578367030066559E-2</v>
      </c>
      <c r="BB197" s="1346">
        <f t="shared" ref="BB197:BB260" si="275">IF(AF197="","-",IFERROR(AF197/AE197-1,"-"))</f>
        <v>0.20329978854201114</v>
      </c>
      <c r="BC197" s="987">
        <f t="shared" ref="BC197:BC260" si="276">IF(AG197="","-",IFERROR(AG197/AF197-1,"-"))</f>
        <v>8.1115470542365564E-3</v>
      </c>
      <c r="BD197" s="987">
        <f t="shared" ref="BD197:BD260" si="277">IF(AH197="","-",IFERROR(AH197/AG197-1,"-"))</f>
        <v>3.6622235068783926E-3</v>
      </c>
      <c r="BE197" s="987">
        <f t="shared" ref="BE197:BE260" si="278">IF(AI197="","-",IFERROR(AI197/AH197-1,"-"))</f>
        <v>8.0103543955341028E-3</v>
      </c>
      <c r="BF197" s="989">
        <f t="shared" ref="BF197:BF260" si="279">IF(AJ197="","-",IFERROR(AJ197/AI197-1,"-"))</f>
        <v>3.5205378457172642E-3</v>
      </c>
      <c r="BG197" s="951"/>
      <c r="BH197" s="984" t="str">
        <f t="shared" ref="BH197:BH260" si="280">AO197</f>
        <v>Rev</v>
      </c>
      <c r="BI197" s="985" t="str">
        <f t="shared" ref="BI197:BI260" si="281">AP197</f>
        <v>Sewerage</v>
      </c>
      <c r="BJ197" s="986" t="str">
        <f t="shared" ref="BJ197:BJ260" si="282">AQ197</f>
        <v xml:space="preserve">Price cap - Variable </v>
      </c>
      <c r="BK197" s="987">
        <f t="shared" ref="BK197:BU197" si="283">IF(V197="","-",IFERROR((V197/U197-1)*(U197/U$13),"-"))</f>
        <v>4.5679545666649605E-6</v>
      </c>
      <c r="BL197" s="987">
        <f t="shared" si="283"/>
        <v>2.5020687532449112E-5</v>
      </c>
      <c r="BM197" s="987">
        <f t="shared" si="283"/>
        <v>-2.2240201125636969E-5</v>
      </c>
      <c r="BN197" s="987">
        <f t="shared" si="283"/>
        <v>2.368744440741967E-7</v>
      </c>
      <c r="BO197" s="1353">
        <f t="shared" si="283"/>
        <v>6.6340362104993973E-6</v>
      </c>
      <c r="BP197" s="1346">
        <f t="shared" si="283"/>
        <v>1.1990266417987135E-3</v>
      </c>
      <c r="BQ197" s="987">
        <f t="shared" si="283"/>
        <v>7.5199696708080257E-6</v>
      </c>
      <c r="BR197" s="987">
        <f t="shared" si="283"/>
        <v>1.2403908111416591E-5</v>
      </c>
      <c r="BS197" s="987">
        <f t="shared" si="283"/>
        <v>6.4643007607809749E-6</v>
      </c>
      <c r="BT197" s="988">
        <f t="shared" si="283"/>
        <v>-4.508840523538616E-5</v>
      </c>
      <c r="BU197" s="987">
        <f t="shared" si="283"/>
        <v>2.5110102378365868E-4</v>
      </c>
      <c r="BV197" s="987">
        <f>IF(AG197="","-",IFERROR((AG197/AF197-1)*(AF197/AF$13),"-"))</f>
        <v>1.1514744223507397E-5</v>
      </c>
      <c r="BW197" s="987">
        <f>IF(AH197="","-",IFERROR((AH197/AG197-1)*(AG197/AG$13),"-"))</f>
        <v>5.1684845344786064E-6</v>
      </c>
      <c r="BX197" s="987">
        <f>IF(AI197="","-",IFERROR((AI197/AH197-1)*(AH197/AH$13),"-"))</f>
        <v>1.1182600700114429E-5</v>
      </c>
      <c r="BY197" s="989">
        <f>IF(AJ197="","-",IFERROR((AJ197/AI197-1)*(AI197/AI$13),"-"))</f>
        <v>4.8702572379471061E-6</v>
      </c>
      <c r="BZ197" s="951"/>
      <c r="CA197" s="984" t="str">
        <f t="shared" si="259"/>
        <v>Rev</v>
      </c>
      <c r="CB197" s="985" t="str">
        <f t="shared" si="260"/>
        <v>Sewerage</v>
      </c>
      <c r="CC197" s="985" t="str">
        <f t="shared" si="261"/>
        <v xml:space="preserve">Price cap - Variable </v>
      </c>
      <c r="CD197" s="990">
        <f t="shared" si="175"/>
        <v>8.1680521845838516E-2</v>
      </c>
      <c r="CE197" s="987">
        <f t="shared" si="175"/>
        <v>1.4395217712525721E-2</v>
      </c>
      <c r="CF197" s="987">
        <f t="shared" si="175"/>
        <v>1.110427489117094E-2</v>
      </c>
      <c r="CG197" s="988">
        <f t="shared" ref="CG197:CG260" si="284">IF(Z197="","-",IFERROR((Z197/$U197)^(1/CG$65)-1,"-"))</f>
        <v>1.6170862999906443E-2</v>
      </c>
      <c r="CH197" s="987">
        <f t="shared" si="176"/>
        <v>1.7266410067372755</v>
      </c>
      <c r="CI197" s="987">
        <f t="shared" si="176"/>
        <v>0.95774937868187049</v>
      </c>
      <c r="CJ197" s="987">
        <f t="shared" si="176"/>
        <v>0.6570946286761028</v>
      </c>
      <c r="CK197" s="989">
        <f t="shared" ref="CK197:CK260" si="285">IF(AE197="","-",IFERROR((AE197/$Z197)^(1/CK$65)-1,"-"))</f>
        <v>0.487377655507506</v>
      </c>
    </row>
    <row r="198" spans="4:89">
      <c r="D198" s="63">
        <f>D195+1</f>
        <v>44</v>
      </c>
      <c r="E198" s="550" t="s">
        <v>857</v>
      </c>
      <c r="F198" s="595" t="s">
        <v>402</v>
      </c>
      <c r="G198" s="595" t="s">
        <v>877</v>
      </c>
      <c r="H198" s="595" t="s">
        <v>895</v>
      </c>
      <c r="I198" s="589" t="s">
        <v>941</v>
      </c>
      <c r="J198" s="589" t="s">
        <v>879</v>
      </c>
      <c r="K198" s="551"/>
      <c r="L198" s="552"/>
      <c r="M198" s="552"/>
      <c r="N198" s="551"/>
      <c r="O198" s="552"/>
      <c r="P198" s="552"/>
      <c r="Q198" s="552"/>
      <c r="R198" s="1035"/>
      <c r="S198" s="1138"/>
      <c r="T198" s="591"/>
      <c r="U198" s="1035">
        <v>235.54579759862776</v>
      </c>
      <c r="V198" s="591">
        <v>396.15582697201012</v>
      </c>
      <c r="W198" s="591">
        <v>396.15169491525421</v>
      </c>
      <c r="X198" s="591">
        <v>396.14583710407237</v>
      </c>
      <c r="Y198" s="591">
        <v>396.15139737991262</v>
      </c>
      <c r="Z198" s="591">
        <v>396.15589999999997</v>
      </c>
      <c r="AA198" s="1138">
        <v>591</v>
      </c>
      <c r="AB198" s="591">
        <v>591</v>
      </c>
      <c r="AC198" s="591">
        <v>591</v>
      </c>
      <c r="AD198" s="591">
        <v>591</v>
      </c>
      <c r="AE198" s="1035">
        <v>591</v>
      </c>
      <c r="AF198" s="591">
        <v>708.57953918004534</v>
      </c>
      <c r="AG198" s="591">
        <v>708.57953918004534</v>
      </c>
      <c r="AH198" s="591">
        <v>708.57953918004534</v>
      </c>
      <c r="AI198" s="591">
        <v>708.57953918004534</v>
      </c>
      <c r="AJ198" s="592">
        <v>708.57953918004534</v>
      </c>
      <c r="AK198" s="548"/>
      <c r="AM198" s="974"/>
      <c r="AO198" s="975" t="str">
        <f t="shared" si="263"/>
        <v>Price</v>
      </c>
      <c r="AP198" s="976" t="str">
        <f t="shared" si="263"/>
        <v>Sewerage</v>
      </c>
      <c r="AQ198" s="977" t="str">
        <f t="shared" si="264"/>
        <v xml:space="preserve">Price cap - Variable </v>
      </c>
      <c r="AR198" s="1341">
        <f t="shared" si="265"/>
        <v>0.68186327674189018</v>
      </c>
      <c r="AS198" s="978">
        <f t="shared" si="266"/>
        <v>-1.0430382376247493E-5</v>
      </c>
      <c r="AT198" s="979">
        <f t="shared" si="267"/>
        <v>-1.4786788134490969E-5</v>
      </c>
      <c r="AU198" s="979">
        <f t="shared" si="268"/>
        <v>1.4035931516831468E-5</v>
      </c>
      <c r="AV198" s="1352">
        <f t="shared" si="269"/>
        <v>1.1365907370608497E-5</v>
      </c>
      <c r="AW198" s="1345">
        <f t="shared" si="270"/>
        <v>0.49183692581632643</v>
      </c>
      <c r="AX198" s="979">
        <f t="shared" si="271"/>
        <v>0</v>
      </c>
      <c r="AY198" s="979">
        <f t="shared" si="272"/>
        <v>0</v>
      </c>
      <c r="AZ198" s="979">
        <f t="shared" si="273"/>
        <v>0</v>
      </c>
      <c r="BA198" s="980">
        <f t="shared" si="274"/>
        <v>0</v>
      </c>
      <c r="BB198" s="1345">
        <f t="shared" si="275"/>
        <v>0.19895015089686185</v>
      </c>
      <c r="BC198" s="979">
        <f t="shared" si="276"/>
        <v>0</v>
      </c>
      <c r="BD198" s="979">
        <f t="shared" si="277"/>
        <v>0</v>
      </c>
      <c r="BE198" s="979">
        <f t="shared" si="278"/>
        <v>0</v>
      </c>
      <c r="BF198" s="981">
        <f t="shared" si="279"/>
        <v>0</v>
      </c>
      <c r="BG198" s="951"/>
      <c r="BH198" s="975" t="str">
        <f t="shared" si="280"/>
        <v>Price</v>
      </c>
      <c r="BI198" s="976" t="str">
        <f t="shared" si="281"/>
        <v>Sewerage</v>
      </c>
      <c r="BJ198" s="977" t="str">
        <f t="shared" si="282"/>
        <v xml:space="preserve">Price cap - Variable </v>
      </c>
      <c r="BK198" s="978">
        <f t="shared" ref="BK198:BU198" si="286">IF(V198="","-",IFERROR((V198/U198-1)*(U200/U$13),"-"))</f>
        <v>9.793377283788486E-4</v>
      </c>
      <c r="BL198" s="978">
        <f t="shared" si="286"/>
        <v>-2.4799994388113539E-8</v>
      </c>
      <c r="BM198" s="979">
        <f t="shared" si="286"/>
        <v>-3.4827071800728334E-8</v>
      </c>
      <c r="BN198" s="979">
        <f t="shared" si="286"/>
        <v>3.3600100283561989E-8</v>
      </c>
      <c r="BO198" s="1352">
        <f t="shared" si="286"/>
        <v>2.6867740558736429E-8</v>
      </c>
      <c r="BP198" s="1345">
        <f t="shared" si="286"/>
        <v>1.1800038650726884E-3</v>
      </c>
      <c r="BQ198" s="979">
        <f t="shared" si="286"/>
        <v>0</v>
      </c>
      <c r="BR198" s="979">
        <f t="shared" si="286"/>
        <v>0</v>
      </c>
      <c r="BS198" s="979">
        <f t="shared" si="286"/>
        <v>0</v>
      </c>
      <c r="BT198" s="980">
        <f t="shared" si="286"/>
        <v>0</v>
      </c>
      <c r="BU198" s="979">
        <f t="shared" si="286"/>
        <v>6.9081115417201082E-4</v>
      </c>
      <c r="BV198" s="979">
        <f>IF(AG198="","-",IFERROR((AG198/AF198-1)*(AF200/AF$13),"-"))</f>
        <v>0</v>
      </c>
      <c r="BW198" s="979">
        <f>IF(AH198="","-",IFERROR((AH198/AG198-1)*(AG200/AG$13),"-"))</f>
        <v>0</v>
      </c>
      <c r="BX198" s="979">
        <f>IF(AI198="","-",IFERROR((AI198/AH198-1)*(AH200/AH$13),"-"))</f>
        <v>0</v>
      </c>
      <c r="BY198" s="981">
        <f>IF(AJ198="","-",IFERROR((AJ198/AI198-1)*(AI200/AI$13),"-"))</f>
        <v>0</v>
      </c>
      <c r="BZ198" s="951"/>
      <c r="CA198" s="975" t="str">
        <f t="shared" si="259"/>
        <v>Price</v>
      </c>
      <c r="CB198" s="976" t="str">
        <f t="shared" si="260"/>
        <v>Sewerage</v>
      </c>
      <c r="CC198" s="982" t="str">
        <f t="shared" si="261"/>
        <v xml:space="preserve">Price cap - Variable </v>
      </c>
      <c r="CD198" s="983">
        <f t="shared" ref="CD198:CG261" si="287">IF(W198="","-",IFERROR((W198/$U198)^(1/CD$65)-1,"-"))</f>
        <v>0.29685995167743884</v>
      </c>
      <c r="CE198" s="979">
        <f t="shared" si="287"/>
        <v>0.18921372279893256</v>
      </c>
      <c r="CF198" s="979">
        <f t="shared" si="287"/>
        <v>0.13879737647433554</v>
      </c>
      <c r="CG198" s="980">
        <f t="shared" si="284"/>
        <v>0.10957880825676614</v>
      </c>
      <c r="CH198" s="979">
        <f t="shared" ref="CH198:CK261" si="288">IF(AB198="","-",IFERROR((AB198/$Z198)^(1/CH$65)-1,"-"))</f>
        <v>0.22140776394139827</v>
      </c>
      <c r="CI198" s="979">
        <f t="shared" si="288"/>
        <v>0.14263393375579336</v>
      </c>
      <c r="CJ198" s="979">
        <f t="shared" si="288"/>
        <v>0.10517318278240828</v>
      </c>
      <c r="CK198" s="981">
        <f t="shared" si="285"/>
        <v>8.3288843564644388E-2</v>
      </c>
    </row>
    <row r="199" spans="4:89">
      <c r="E199" s="567" t="s">
        <v>880</v>
      </c>
      <c r="F199" s="554" t="str">
        <f>+F198</f>
        <v>Sewerage</v>
      </c>
      <c r="G199" s="555" t="str">
        <f>+G198</f>
        <v>GWW</v>
      </c>
      <c r="H199" s="555" t="str">
        <f>+H198</f>
        <v>Trade waste - BOD Western</v>
      </c>
      <c r="I199" s="556" t="str">
        <f>+I198</f>
        <v xml:space="preserve">Price cap - Variable </v>
      </c>
      <c r="J199" s="590" t="s">
        <v>896</v>
      </c>
      <c r="K199" s="557"/>
      <c r="L199" s="558"/>
      <c r="M199" s="558"/>
      <c r="N199" s="557"/>
      <c r="O199" s="558"/>
      <c r="P199" s="558"/>
      <c r="Q199" s="558"/>
      <c r="R199" s="1036"/>
      <c r="S199" s="1139"/>
      <c r="T199" s="593"/>
      <c r="U199" s="1036">
        <v>11758.565000000001</v>
      </c>
      <c r="V199" s="593">
        <v>11184.4</v>
      </c>
      <c r="W199" s="593">
        <v>11000.895</v>
      </c>
      <c r="X199" s="593">
        <v>11245.77</v>
      </c>
      <c r="Y199" s="593">
        <v>11245.95</v>
      </c>
      <c r="Z199" s="593">
        <v>11408.809706054082</v>
      </c>
      <c r="AA199" s="1139">
        <v>11570.573252271624</v>
      </c>
      <c r="AB199" s="593">
        <v>11857.30224790773</v>
      </c>
      <c r="AC199" s="593">
        <v>11982.267697326293</v>
      </c>
      <c r="AD199" s="593">
        <v>12107.233146744853</v>
      </c>
      <c r="AE199" s="1036">
        <v>12232.198596163416</v>
      </c>
      <c r="AF199" s="593">
        <v>12357.164045581976</v>
      </c>
      <c r="AG199" s="593">
        <v>12530.37739104815</v>
      </c>
      <c r="AH199" s="593">
        <v>12703.590736514323</v>
      </c>
      <c r="AI199" s="593">
        <v>12876.804081980496</v>
      </c>
      <c r="AJ199" s="594">
        <v>13050.01742744667</v>
      </c>
      <c r="AK199" s="548"/>
      <c r="AO199" s="961" t="str">
        <f t="shared" si="263"/>
        <v>Qty</v>
      </c>
      <c r="AP199" s="962" t="str">
        <f t="shared" si="263"/>
        <v>Sewerage</v>
      </c>
      <c r="AQ199" s="963" t="str">
        <f t="shared" si="264"/>
        <v xml:space="preserve">Price cap - Variable </v>
      </c>
      <c r="AR199" s="967">
        <f t="shared" si="265"/>
        <v>-4.8829512784935969E-2</v>
      </c>
      <c r="AS199" s="964">
        <f t="shared" si="266"/>
        <v>-1.6407227924609247E-2</v>
      </c>
      <c r="AT199" s="964">
        <f t="shared" si="267"/>
        <v>2.2259552518226977E-2</v>
      </c>
      <c r="AU199" s="964">
        <f t="shared" si="268"/>
        <v>1.600601826279302E-5</v>
      </c>
      <c r="AV199" s="1350">
        <f t="shared" si="269"/>
        <v>1.448163170333161E-2</v>
      </c>
      <c r="AW199" s="1343">
        <f t="shared" si="270"/>
        <v>1.4178827624033552E-2</v>
      </c>
      <c r="AX199" s="964">
        <f t="shared" si="271"/>
        <v>2.4780880720824516E-2</v>
      </c>
      <c r="AY199" s="964">
        <f t="shared" si="272"/>
        <v>1.0539113097215225E-2</v>
      </c>
      <c r="AZ199" s="964">
        <f t="shared" si="273"/>
        <v>1.0429198593722377E-2</v>
      </c>
      <c r="BA199" s="965">
        <f t="shared" si="274"/>
        <v>1.032155306699134E-2</v>
      </c>
      <c r="BB199" s="1343">
        <f t="shared" si="275"/>
        <v>1.0216106976693062E-2</v>
      </c>
      <c r="BC199" s="964">
        <f t="shared" si="276"/>
        <v>1.401724091605816E-2</v>
      </c>
      <c r="BD199" s="964">
        <f t="shared" si="277"/>
        <v>1.3823473951384502E-2</v>
      </c>
      <c r="BE199" s="964">
        <f t="shared" si="278"/>
        <v>1.3634991008353303E-2</v>
      </c>
      <c r="BF199" s="966">
        <f t="shared" si="279"/>
        <v>1.3451578851662926E-2</v>
      </c>
      <c r="BG199" s="951"/>
      <c r="BH199" s="961" t="str">
        <f t="shared" si="280"/>
        <v>Qty</v>
      </c>
      <c r="BI199" s="962" t="str">
        <f t="shared" si="281"/>
        <v>Sewerage</v>
      </c>
      <c r="BJ199" s="963" t="str">
        <f t="shared" si="282"/>
        <v xml:space="preserve">Price cap - Variable </v>
      </c>
      <c r="BK199" s="964">
        <f t="shared" ref="BK199:BU199" si="289">IF(V199="","-",IFERROR((V199/U199-1)*(U200/U$13),"-"))</f>
        <v>-7.0132218231701236E-5</v>
      </c>
      <c r="BL199" s="964">
        <f t="shared" si="289"/>
        <v>-3.9010953364606939E-5</v>
      </c>
      <c r="BM199" s="964">
        <f t="shared" si="289"/>
        <v>5.2427547264040201E-5</v>
      </c>
      <c r="BN199" s="964">
        <f t="shared" si="289"/>
        <v>3.8316218494330202E-8</v>
      </c>
      <c r="BO199" s="1350">
        <f t="shared" si="289"/>
        <v>3.4232966254717535E-5</v>
      </c>
      <c r="BP199" s="1343">
        <f t="shared" si="289"/>
        <v>3.4017517840470384E-5</v>
      </c>
      <c r="BQ199" s="964">
        <f t="shared" si="289"/>
        <v>8.9504233972071361E-5</v>
      </c>
      <c r="BR199" s="964">
        <f t="shared" si="289"/>
        <v>3.755332131143337E-5</v>
      </c>
      <c r="BS199" s="964">
        <f t="shared" si="289"/>
        <v>3.6842905669938354E-5</v>
      </c>
      <c r="BT199" s="965">
        <f t="shared" si="289"/>
        <v>3.615483342268558E-5</v>
      </c>
      <c r="BU199" s="964">
        <f t="shared" si="289"/>
        <v>3.5473210851560032E-5</v>
      </c>
      <c r="BV199" s="964">
        <f>IF(AG199="","-",IFERROR((AG199/AF199-1)*(AF200/AF$13),"-"))</f>
        <v>5.6306460539493869E-5</v>
      </c>
      <c r="BW199" s="964">
        <f>IF(AH199="","-",IFERROR((AH199/AG199-1)*(AG200/AG$13),"-"))</f>
        <v>5.5528687760393132E-5</v>
      </c>
      <c r="BX199" s="964">
        <f>IF(AI199="","-",IFERROR((AI199/AH199-1)*(AH200/AH$13),"-"))</f>
        <v>5.4727113707507243E-5</v>
      </c>
      <c r="BY199" s="966">
        <f>IF(AJ199="","-",IFERROR((AJ199/AI199-1)*(AI200/AI$13),"-"))</f>
        <v>5.38008759930342E-5</v>
      </c>
      <c r="BZ199" s="951"/>
      <c r="CA199" s="961" t="str">
        <f t="shared" si="259"/>
        <v>Qty</v>
      </c>
      <c r="CB199" s="962" t="str">
        <f t="shared" si="260"/>
        <v>Sewerage</v>
      </c>
      <c r="CC199" s="962" t="str">
        <f t="shared" si="261"/>
        <v xml:space="preserve">Price cap - Variable </v>
      </c>
      <c r="CD199" s="967">
        <f t="shared" si="287"/>
        <v>-3.2754211052761995E-2</v>
      </c>
      <c r="CE199" s="964">
        <f t="shared" si="287"/>
        <v>-1.4753371043420227E-2</v>
      </c>
      <c r="CF199" s="964">
        <f t="shared" si="287"/>
        <v>-1.1081603459595413E-2</v>
      </c>
      <c r="CG199" s="965">
        <f t="shared" si="284"/>
        <v>-6.0210152033773889E-3</v>
      </c>
      <c r="CH199" s="964">
        <f t="shared" si="288"/>
        <v>1.946607210881246E-2</v>
      </c>
      <c r="CI199" s="964">
        <f t="shared" si="288"/>
        <v>1.6481691165016965E-2</v>
      </c>
      <c r="CJ199" s="964">
        <f t="shared" si="288"/>
        <v>1.496517761172278E-2</v>
      </c>
      <c r="CK199" s="966">
        <f t="shared" si="285"/>
        <v>1.4034748397425689E-2</v>
      </c>
    </row>
    <row r="200" spans="4:89" ht="12.75" thickBot="1">
      <c r="E200" s="568" t="s">
        <v>882</v>
      </c>
      <c r="F200" s="560" t="str">
        <f>+F198</f>
        <v>Sewerage</v>
      </c>
      <c r="G200" s="561" t="str">
        <f>+G198</f>
        <v>GWW</v>
      </c>
      <c r="H200" s="561" t="str">
        <f>+H198</f>
        <v>Trade waste - BOD Western</v>
      </c>
      <c r="I200" s="562" t="str">
        <f>+I198</f>
        <v xml:space="preserve">Price cap - Variable </v>
      </c>
      <c r="J200" s="563" t="s">
        <v>883</v>
      </c>
      <c r="K200" s="564">
        <f t="shared" ref="K200:AJ200" si="290">K198*K199/10^6</f>
        <v>0</v>
      </c>
      <c r="L200" s="565">
        <f t="shared" si="290"/>
        <v>0</v>
      </c>
      <c r="M200" s="565">
        <f t="shared" si="290"/>
        <v>0</v>
      </c>
      <c r="N200" s="564">
        <f t="shared" si="290"/>
        <v>0</v>
      </c>
      <c r="O200" s="565">
        <f t="shared" si="290"/>
        <v>0</v>
      </c>
      <c r="P200" s="565">
        <f t="shared" si="290"/>
        <v>0</v>
      </c>
      <c r="Q200" s="565">
        <f t="shared" si="290"/>
        <v>0</v>
      </c>
      <c r="R200" s="566">
        <f t="shared" si="290"/>
        <v>0</v>
      </c>
      <c r="S200" s="564">
        <f t="shared" si="290"/>
        <v>0</v>
      </c>
      <c r="T200" s="565">
        <f t="shared" si="290"/>
        <v>0</v>
      </c>
      <c r="U200" s="566">
        <f t="shared" si="290"/>
        <v>2.7696805715403086</v>
      </c>
      <c r="V200" s="565">
        <f t="shared" si="290"/>
        <v>4.4307652311857497</v>
      </c>
      <c r="W200" s="565">
        <f t="shared" si="290"/>
        <v>4.3580231998347454</v>
      </c>
      <c r="X200" s="565">
        <f t="shared" si="290"/>
        <v>4.4549649705298648</v>
      </c>
      <c r="Y200" s="565">
        <f t="shared" si="290"/>
        <v>4.4550988073646289</v>
      </c>
      <c r="Z200" s="565">
        <f t="shared" si="290"/>
        <v>4.5196672770305897</v>
      </c>
      <c r="AA200" s="564">
        <f t="shared" si="290"/>
        <v>6.8382087920925301</v>
      </c>
      <c r="AB200" s="565">
        <f t="shared" si="290"/>
        <v>7.0076656285134682</v>
      </c>
      <c r="AC200" s="565">
        <f t="shared" si="290"/>
        <v>7.0815202091198399</v>
      </c>
      <c r="AD200" s="565">
        <f t="shared" si="290"/>
        <v>7.1553747897262081</v>
      </c>
      <c r="AE200" s="566">
        <f t="shared" si="290"/>
        <v>7.229229370332579</v>
      </c>
      <c r="AF200" s="565">
        <f t="shared" si="290"/>
        <v>8.7560336049907015</v>
      </c>
      <c r="AG200" s="565">
        <f>AG198*AG199/10^6</f>
        <v>8.8787690375009571</v>
      </c>
      <c r="AH200" s="565">
        <f>AH198*AH199/10^6</f>
        <v>9.0015044700112128</v>
      </c>
      <c r="AI200" s="565">
        <f>AI198*AI199/10^6</f>
        <v>9.1242399025214667</v>
      </c>
      <c r="AJ200" s="566">
        <f t="shared" si="290"/>
        <v>9.2469753350317223</v>
      </c>
      <c r="AK200" s="548"/>
      <c r="AO200" s="984" t="str">
        <f t="shared" si="263"/>
        <v>Rev</v>
      </c>
      <c r="AP200" s="985" t="str">
        <f t="shared" si="263"/>
        <v>Sewerage</v>
      </c>
      <c r="AQ200" s="986" t="str">
        <f t="shared" si="264"/>
        <v xml:space="preserve">Price cap - Variable </v>
      </c>
      <c r="AR200" s="990">
        <f t="shared" si="265"/>
        <v>0.59973871236770759</v>
      </c>
      <c r="AS200" s="987">
        <f t="shared" si="266"/>
        <v>-1.6417487173324474E-2</v>
      </c>
      <c r="AT200" s="987">
        <f t="shared" si="267"/>
        <v>2.2244436582805616E-2</v>
      </c>
      <c r="AU200" s="987">
        <f t="shared" si="268"/>
        <v>3.0042174439026681E-5</v>
      </c>
      <c r="AV200" s="1353">
        <f t="shared" si="269"/>
        <v>1.4493162207586563E-2</v>
      </c>
      <c r="AW200" s="1346">
        <f t="shared" si="270"/>
        <v>0.51298942443064455</v>
      </c>
      <c r="AX200" s="987">
        <f t="shared" si="271"/>
        <v>2.4780880720824516E-2</v>
      </c>
      <c r="AY200" s="987">
        <f t="shared" si="272"/>
        <v>1.0539113097215225E-2</v>
      </c>
      <c r="AZ200" s="987">
        <f t="shared" si="273"/>
        <v>1.0429198593722155E-2</v>
      </c>
      <c r="BA200" s="988">
        <f t="shared" si="274"/>
        <v>1.032155306699134E-2</v>
      </c>
      <c r="BB200" s="1346">
        <f t="shared" si="275"/>
        <v>0.21119875389814635</v>
      </c>
      <c r="BC200" s="987">
        <f t="shared" si="276"/>
        <v>1.401724091605816E-2</v>
      </c>
      <c r="BD200" s="987">
        <f t="shared" si="277"/>
        <v>1.3823473951384724E-2</v>
      </c>
      <c r="BE200" s="987">
        <f t="shared" si="278"/>
        <v>1.3634991008353081E-2</v>
      </c>
      <c r="BF200" s="989">
        <f t="shared" si="279"/>
        <v>1.3451578851662704E-2</v>
      </c>
      <c r="BG200" s="951"/>
      <c r="BH200" s="984" t="str">
        <f t="shared" si="280"/>
        <v>Rev</v>
      </c>
      <c r="BI200" s="985" t="str">
        <f t="shared" si="281"/>
        <v>Sewerage</v>
      </c>
      <c r="BJ200" s="986" t="str">
        <f t="shared" si="282"/>
        <v xml:space="preserve">Price cap - Variable </v>
      </c>
      <c r="BK200" s="987">
        <f t="shared" ref="BK200:BU200" si="291">IF(V200="","-",IFERROR((V200/U200-1)*(U200/U$13),"-"))</f>
        <v>8.6138492601850198E-4</v>
      </c>
      <c r="BL200" s="987">
        <f t="shared" si="291"/>
        <v>-3.9035346459834517E-5</v>
      </c>
      <c r="BM200" s="987">
        <f t="shared" si="291"/>
        <v>5.2391944957206105E-5</v>
      </c>
      <c r="BN200" s="987">
        <f t="shared" si="291"/>
        <v>7.19168565817732E-8</v>
      </c>
      <c r="BO200" s="1353">
        <f t="shared" si="291"/>
        <v>3.426022308399934E-5</v>
      </c>
      <c r="BP200" s="1346">
        <f t="shared" si="291"/>
        <v>1.2307524543117183E-3</v>
      </c>
      <c r="BQ200" s="987">
        <f t="shared" si="291"/>
        <v>8.9504233972071361E-5</v>
      </c>
      <c r="BR200" s="987">
        <f t="shared" si="291"/>
        <v>3.755332131143337E-5</v>
      </c>
      <c r="BS200" s="987">
        <f t="shared" si="291"/>
        <v>3.6842905669937568E-5</v>
      </c>
      <c r="BT200" s="988">
        <f t="shared" si="291"/>
        <v>3.615483342268558E-5</v>
      </c>
      <c r="BU200" s="987">
        <f t="shared" si="291"/>
        <v>7.3334176567528444E-4</v>
      </c>
      <c r="BV200" s="987">
        <f>IF(AG200="","-",IFERROR((AG200/AF200-1)*(AF200/AF$13),"-"))</f>
        <v>5.6306460539493869E-5</v>
      </c>
      <c r="BW200" s="987">
        <f>IF(AH200="","-",IFERROR((AH200/AG200-1)*(AG200/AG$13),"-"))</f>
        <v>5.5528687760394027E-5</v>
      </c>
      <c r="BX200" s="987">
        <f>IF(AI200="","-",IFERROR((AI200/AH200-1)*(AH200/AH$13),"-"))</f>
        <v>5.4727113707506355E-5</v>
      </c>
      <c r="BY200" s="989">
        <f>IF(AJ200="","-",IFERROR((AJ200/AI200-1)*(AI200/AI$13),"-"))</f>
        <v>5.3800875993033313E-5</v>
      </c>
      <c r="BZ200" s="951"/>
      <c r="CA200" s="984" t="str">
        <f t="shared" si="259"/>
        <v>Rev</v>
      </c>
      <c r="CB200" s="985" t="str">
        <f t="shared" si="260"/>
        <v>Sewerage</v>
      </c>
      <c r="CC200" s="985" t="str">
        <f t="shared" si="261"/>
        <v xml:space="preserve">Price cap - Variable </v>
      </c>
      <c r="CD200" s="990">
        <f t="shared" si="287"/>
        <v>0.25438232711432129</v>
      </c>
      <c r="CE200" s="987">
        <f t="shared" si="287"/>
        <v>0.171668811496553</v>
      </c>
      <c r="CF200" s="987">
        <f t="shared" si="287"/>
        <v>0.12617767552741932</v>
      </c>
      <c r="CG200" s="988">
        <f t="shared" si="284"/>
        <v>0.1028980173829066</v>
      </c>
      <c r="CH200" s="987">
        <f t="shared" si="288"/>
        <v>0.24518377554854509</v>
      </c>
      <c r="CI200" s="987">
        <f t="shared" si="288"/>
        <v>0.16146647336662467</v>
      </c>
      <c r="CJ200" s="987">
        <f t="shared" si="288"/>
        <v>0.12171229575446008</v>
      </c>
      <c r="CK200" s="989">
        <f t="shared" si="285"/>
        <v>9.8492529925812367E-2</v>
      </c>
    </row>
    <row r="201" spans="4:89">
      <c r="D201" s="63">
        <f>D198+1</f>
        <v>45</v>
      </c>
      <c r="E201" s="550" t="s">
        <v>857</v>
      </c>
      <c r="F201" s="595" t="s">
        <v>402</v>
      </c>
      <c r="G201" s="595" t="s">
        <v>92</v>
      </c>
      <c r="H201" s="595" t="s">
        <v>895</v>
      </c>
      <c r="I201" s="589" t="s">
        <v>941</v>
      </c>
      <c r="J201" s="589" t="s">
        <v>879</v>
      </c>
      <c r="K201" s="551"/>
      <c r="L201" s="552"/>
      <c r="M201" s="552"/>
      <c r="N201" s="551"/>
      <c r="O201" s="552"/>
      <c r="P201" s="552"/>
      <c r="Q201" s="552"/>
      <c r="R201" s="1035"/>
      <c r="S201" s="1138"/>
      <c r="T201" s="591"/>
      <c r="U201" s="1035">
        <v>235.54579759862776</v>
      </c>
      <c r="V201" s="591">
        <v>396.15582697201012</v>
      </c>
      <c r="W201" s="591">
        <v>396.15169491525421</v>
      </c>
      <c r="X201" s="591">
        <v>396.14583710407237</v>
      </c>
      <c r="Y201" s="591">
        <v>396.15139737991262</v>
      </c>
      <c r="Z201" s="591">
        <v>396.15589999999997</v>
      </c>
      <c r="AA201" s="1138">
        <v>591</v>
      </c>
      <c r="AB201" s="591">
        <v>591</v>
      </c>
      <c r="AC201" s="591">
        <v>591</v>
      </c>
      <c r="AD201" s="591">
        <v>591</v>
      </c>
      <c r="AE201" s="1035">
        <v>591</v>
      </c>
      <c r="AF201" s="591">
        <v>708.57953918004534</v>
      </c>
      <c r="AG201" s="591">
        <v>708.57953918004534</v>
      </c>
      <c r="AH201" s="591">
        <v>708.57953918004534</v>
      </c>
      <c r="AI201" s="591">
        <v>708.57953918004534</v>
      </c>
      <c r="AJ201" s="592">
        <v>708.57953918004534</v>
      </c>
      <c r="AK201" s="548"/>
      <c r="AM201" s="974"/>
      <c r="AO201" s="975" t="str">
        <f t="shared" si="263"/>
        <v>Price</v>
      </c>
      <c r="AP201" s="976" t="str">
        <f t="shared" si="263"/>
        <v>Sewerage</v>
      </c>
      <c r="AQ201" s="977" t="str">
        <f t="shared" si="264"/>
        <v xml:space="preserve">Price cap - Variable </v>
      </c>
      <c r="AR201" s="1341">
        <f t="shared" si="265"/>
        <v>0.68186327674189018</v>
      </c>
      <c r="AS201" s="978">
        <f t="shared" si="266"/>
        <v>-1.0430382376247493E-5</v>
      </c>
      <c r="AT201" s="979">
        <f t="shared" si="267"/>
        <v>-1.4786788134490969E-5</v>
      </c>
      <c r="AU201" s="979">
        <f t="shared" si="268"/>
        <v>1.4035931516831468E-5</v>
      </c>
      <c r="AV201" s="1352">
        <f t="shared" si="269"/>
        <v>1.1365907370608497E-5</v>
      </c>
      <c r="AW201" s="1345">
        <f t="shared" si="270"/>
        <v>0.49183692581632643</v>
      </c>
      <c r="AX201" s="979">
        <f t="shared" si="271"/>
        <v>0</v>
      </c>
      <c r="AY201" s="979">
        <f t="shared" si="272"/>
        <v>0</v>
      </c>
      <c r="AZ201" s="979">
        <f t="shared" si="273"/>
        <v>0</v>
      </c>
      <c r="BA201" s="980">
        <f t="shared" si="274"/>
        <v>0</v>
      </c>
      <c r="BB201" s="1345">
        <f t="shared" si="275"/>
        <v>0.19895015089686185</v>
      </c>
      <c r="BC201" s="979">
        <f t="shared" si="276"/>
        <v>0</v>
      </c>
      <c r="BD201" s="979">
        <f t="shared" si="277"/>
        <v>0</v>
      </c>
      <c r="BE201" s="979">
        <f t="shared" si="278"/>
        <v>0</v>
      </c>
      <c r="BF201" s="981">
        <f t="shared" si="279"/>
        <v>0</v>
      </c>
      <c r="BG201" s="951"/>
      <c r="BH201" s="975" t="str">
        <f t="shared" si="280"/>
        <v>Price</v>
      </c>
      <c r="BI201" s="976" t="str">
        <f t="shared" si="281"/>
        <v>Sewerage</v>
      </c>
      <c r="BJ201" s="977" t="str">
        <f t="shared" si="282"/>
        <v xml:space="preserve">Price cap - Variable </v>
      </c>
      <c r="BK201" s="978">
        <f t="shared" ref="BK201:BU201" si="292">IF(V201="","-",IFERROR((V201/U201-1)*(U203/U$13),"-"))</f>
        <v>1.3132805946006613E-4</v>
      </c>
      <c r="BL201" s="978">
        <f t="shared" si="292"/>
        <v>-3.1934061655432048E-9</v>
      </c>
      <c r="BM201" s="979">
        <f t="shared" si="292"/>
        <v>-6.5548239263560835E-9</v>
      </c>
      <c r="BN201" s="979">
        <f t="shared" si="292"/>
        <v>5.7609545066947721E-9</v>
      </c>
      <c r="BO201" s="1352">
        <f t="shared" si="292"/>
        <v>3.2180868238352108E-9</v>
      </c>
      <c r="BP201" s="1345">
        <f t="shared" si="292"/>
        <v>2.3272889594008511E-4</v>
      </c>
      <c r="BQ201" s="979">
        <f t="shared" si="292"/>
        <v>0</v>
      </c>
      <c r="BR201" s="979">
        <f t="shared" si="292"/>
        <v>0</v>
      </c>
      <c r="BS201" s="979">
        <f t="shared" si="292"/>
        <v>0</v>
      </c>
      <c r="BT201" s="980">
        <f t="shared" si="292"/>
        <v>0</v>
      </c>
      <c r="BU201" s="979">
        <f t="shared" si="292"/>
        <v>1.3285029201195184E-4</v>
      </c>
      <c r="BV201" s="979">
        <f>IF(AG201="","-",IFERROR((AG201/AF201-1)*(AF203/AF$13),"-"))</f>
        <v>0</v>
      </c>
      <c r="BW201" s="979">
        <f>IF(AH201="","-",IFERROR((AH201/AG201-1)*(AG203/AG$13),"-"))</f>
        <v>0</v>
      </c>
      <c r="BX201" s="979">
        <f>IF(AI201="","-",IFERROR((AI201/AH201-1)*(AH203/AH$13),"-"))</f>
        <v>0</v>
      </c>
      <c r="BY201" s="981">
        <f>IF(AJ201="","-",IFERROR((AJ201/AI201-1)*(AI203/AI$13),"-"))</f>
        <v>0</v>
      </c>
      <c r="BZ201" s="951"/>
      <c r="CA201" s="975" t="str">
        <f t="shared" si="259"/>
        <v>Price</v>
      </c>
      <c r="CB201" s="976" t="str">
        <f t="shared" si="260"/>
        <v>Sewerage</v>
      </c>
      <c r="CC201" s="982" t="str">
        <f t="shared" si="261"/>
        <v xml:space="preserve">Price cap - Variable </v>
      </c>
      <c r="CD201" s="983">
        <f t="shared" si="287"/>
        <v>0.29685995167743884</v>
      </c>
      <c r="CE201" s="979">
        <f t="shared" si="287"/>
        <v>0.18921372279893256</v>
      </c>
      <c r="CF201" s="979">
        <f t="shared" si="287"/>
        <v>0.13879737647433554</v>
      </c>
      <c r="CG201" s="980">
        <f t="shared" si="284"/>
        <v>0.10957880825676614</v>
      </c>
      <c r="CH201" s="979">
        <f t="shared" si="288"/>
        <v>0.22140776394139827</v>
      </c>
      <c r="CI201" s="979">
        <f t="shared" si="288"/>
        <v>0.14263393375579336</v>
      </c>
      <c r="CJ201" s="979">
        <f t="shared" si="288"/>
        <v>0.10517318278240828</v>
      </c>
      <c r="CK201" s="981">
        <f t="shared" si="285"/>
        <v>8.3288843564644388E-2</v>
      </c>
    </row>
    <row r="202" spans="4:89">
      <c r="E202" s="567" t="s">
        <v>880</v>
      </c>
      <c r="F202" s="554" t="str">
        <f>+F201</f>
        <v>Sewerage</v>
      </c>
      <c r="G202" s="555" t="str">
        <f>+G201</f>
        <v>SEW</v>
      </c>
      <c r="H202" s="555" t="str">
        <f>+H201</f>
        <v>Trade waste - BOD Western</v>
      </c>
      <c r="I202" s="556" t="str">
        <f>+I201</f>
        <v xml:space="preserve">Price cap - Variable </v>
      </c>
      <c r="J202" s="590" t="s">
        <v>896</v>
      </c>
      <c r="K202" s="557"/>
      <c r="L202" s="558"/>
      <c r="M202" s="558"/>
      <c r="N202" s="557"/>
      <c r="O202" s="558"/>
      <c r="P202" s="558"/>
      <c r="Q202" s="558"/>
      <c r="R202" s="1036"/>
      <c r="S202" s="1139"/>
      <c r="T202" s="593"/>
      <c r="U202" s="1036">
        <v>1576.8100000000002</v>
      </c>
      <c r="V202" s="593">
        <v>1440.1750000000002</v>
      </c>
      <c r="W202" s="593">
        <v>2070.4850000000001</v>
      </c>
      <c r="X202" s="593">
        <v>1928.16</v>
      </c>
      <c r="Y202" s="593">
        <v>1346.9850000000001</v>
      </c>
      <c r="Z202" s="593">
        <v>2250.1279576037114</v>
      </c>
      <c r="AA202" s="1139">
        <v>2263.6264970555667</v>
      </c>
      <c r="AB202" s="593">
        <v>2295.9390714541851</v>
      </c>
      <c r="AC202" s="593">
        <v>2314.7531064009477</v>
      </c>
      <c r="AD202" s="593">
        <v>2333.5671413477103</v>
      </c>
      <c r="AE202" s="1036">
        <v>2352.3811762944729</v>
      </c>
      <c r="AF202" s="593">
        <v>2371.1952112412355</v>
      </c>
      <c r="AG202" s="593">
        <v>2405.3404222831091</v>
      </c>
      <c r="AH202" s="593">
        <v>2439.4856333249827</v>
      </c>
      <c r="AI202" s="593">
        <v>2473.6308443668568</v>
      </c>
      <c r="AJ202" s="594">
        <v>2507.7760554087308</v>
      </c>
      <c r="AK202" s="548"/>
      <c r="AO202" s="961" t="str">
        <f t="shared" si="263"/>
        <v>Qty</v>
      </c>
      <c r="AP202" s="962" t="str">
        <f t="shared" si="263"/>
        <v>Sewerage</v>
      </c>
      <c r="AQ202" s="963" t="str">
        <f t="shared" si="264"/>
        <v xml:space="preserve">Price cap - Variable </v>
      </c>
      <c r="AR202" s="967">
        <f t="shared" si="265"/>
        <v>-8.66527990055872E-2</v>
      </c>
      <c r="AS202" s="964">
        <f t="shared" si="266"/>
        <v>0.4376620896766017</v>
      </c>
      <c r="AT202" s="964">
        <f t="shared" si="267"/>
        <v>-6.8739932914268942E-2</v>
      </c>
      <c r="AU202" s="964">
        <f t="shared" si="268"/>
        <v>-0.30141430171769978</v>
      </c>
      <c r="AV202" s="1350">
        <f t="shared" si="269"/>
        <v>0.67049221602594766</v>
      </c>
      <c r="AW202" s="1343">
        <f t="shared" si="270"/>
        <v>5.9990097035329537E-3</v>
      </c>
      <c r="AX202" s="964">
        <f t="shared" si="271"/>
        <v>1.4274693479975342E-2</v>
      </c>
      <c r="AY202" s="964">
        <f t="shared" si="272"/>
        <v>8.1944835473557465E-3</v>
      </c>
      <c r="AZ202" s="964">
        <f t="shared" si="273"/>
        <v>8.1278797703030481E-3</v>
      </c>
      <c r="BA202" s="965">
        <f t="shared" si="274"/>
        <v>8.0623499591689907E-3</v>
      </c>
      <c r="BB202" s="1343">
        <f t="shared" si="275"/>
        <v>7.997868345638981E-3</v>
      </c>
      <c r="BC202" s="964">
        <f t="shared" si="276"/>
        <v>1.4399999999999968E-2</v>
      </c>
      <c r="BD202" s="964">
        <f t="shared" si="277"/>
        <v>1.4195583596214423E-2</v>
      </c>
      <c r="BE202" s="964">
        <f t="shared" si="278"/>
        <v>1.3996889580093486E-2</v>
      </c>
      <c r="BF202" s="966">
        <f t="shared" si="279"/>
        <v>1.3803680981595123E-2</v>
      </c>
      <c r="BG202" s="951"/>
      <c r="BH202" s="961" t="str">
        <f t="shared" si="280"/>
        <v>Qty</v>
      </c>
      <c r="BI202" s="962" t="str">
        <f t="shared" si="281"/>
        <v>Sewerage</v>
      </c>
      <c r="BJ202" s="963" t="str">
        <f t="shared" si="282"/>
        <v xml:space="preserve">Price cap - Variable </v>
      </c>
      <c r="BK202" s="964">
        <f t="shared" ref="BK202:BU202" si="293">IF(V202="","-",IFERROR((V202/U202-1)*(U203/U$13),"-"))</f>
        <v>-1.6689480616353291E-5</v>
      </c>
      <c r="BL202" s="964">
        <f t="shared" si="293"/>
        <v>1.339963162597501E-4</v>
      </c>
      <c r="BM202" s="964">
        <f t="shared" si="293"/>
        <v>-3.0471671932024551E-5</v>
      </c>
      <c r="BN202" s="964">
        <f t="shared" si="293"/>
        <v>-1.2371349046413918E-4</v>
      </c>
      <c r="BO202" s="1350">
        <f t="shared" si="293"/>
        <v>1.8983985136609969E-4</v>
      </c>
      <c r="BP202" s="1343">
        <f t="shared" si="293"/>
        <v>2.8386296997116132E-6</v>
      </c>
      <c r="BQ202" s="964">
        <f t="shared" si="293"/>
        <v>1.0086570466296197E-5</v>
      </c>
      <c r="BR202" s="964">
        <f t="shared" si="293"/>
        <v>5.6537987324307078E-6</v>
      </c>
      <c r="BS202" s="964">
        <f t="shared" si="293"/>
        <v>5.5468428916924205E-6</v>
      </c>
      <c r="BT202" s="965">
        <f t="shared" si="293"/>
        <v>5.4432509359482886E-6</v>
      </c>
      <c r="BU202" s="964">
        <f t="shared" si="293"/>
        <v>5.3406300040561796E-6</v>
      </c>
      <c r="BV202" s="964">
        <f>IF(AG202="","-",IFERROR((AG202/AF202-1)*(AF203/AF$13),"-"))</f>
        <v>1.1099583423942367E-5</v>
      </c>
      <c r="BW202" s="964">
        <f>IF(AH202="","-",IFERROR((AH202/AG202-1)*(AG203/AG$13),"-"))</f>
        <v>1.0946262583602268E-5</v>
      </c>
      <c r="BX202" s="964">
        <f>IF(AI202="","-",IFERROR((AI202/AH202-1)*(AH203/AH$13),"-"))</f>
        <v>1.0788249844296287E-5</v>
      </c>
      <c r="BY202" s="966">
        <f>IF(AJ202="","-",IFERROR((AJ202/AI202-1)*(AI203/AI$13),"-"))</f>
        <v>1.0605662399024372E-5</v>
      </c>
      <c r="BZ202" s="951"/>
      <c r="CA202" s="961" t="str">
        <f t="shared" si="259"/>
        <v>Qty</v>
      </c>
      <c r="CB202" s="962" t="str">
        <f t="shared" si="260"/>
        <v>Sewerage</v>
      </c>
      <c r="CC202" s="962" t="str">
        <f t="shared" si="261"/>
        <v xml:space="preserve">Price cap - Variable </v>
      </c>
      <c r="CD202" s="967">
        <f t="shared" si="287"/>
        <v>0.14589905558120719</v>
      </c>
      <c r="CE202" s="964">
        <f t="shared" si="287"/>
        <v>6.9353350547367798E-2</v>
      </c>
      <c r="CF202" s="964">
        <f t="shared" si="287"/>
        <v>-3.8618305650071183E-2</v>
      </c>
      <c r="CG202" s="965">
        <f t="shared" si="284"/>
        <v>7.3706469826672949E-2</v>
      </c>
      <c r="CH202" s="964">
        <f t="shared" si="288"/>
        <v>1.0128376597850819E-2</v>
      </c>
      <c r="CI202" s="964">
        <f t="shared" si="288"/>
        <v>9.4833337603974499E-3</v>
      </c>
      <c r="CJ202" s="964">
        <f t="shared" si="288"/>
        <v>9.1442995044932474E-3</v>
      </c>
      <c r="CK202" s="966">
        <f t="shared" si="285"/>
        <v>8.9278167350970161E-3</v>
      </c>
    </row>
    <row r="203" spans="4:89" ht="12.75" thickBot="1">
      <c r="E203" s="568" t="s">
        <v>882</v>
      </c>
      <c r="F203" s="560" t="str">
        <f>+F201</f>
        <v>Sewerage</v>
      </c>
      <c r="G203" s="561" t="str">
        <f>+G201</f>
        <v>SEW</v>
      </c>
      <c r="H203" s="561" t="str">
        <f>+H201</f>
        <v>Trade waste - BOD Western</v>
      </c>
      <c r="I203" s="562" t="str">
        <f>+I201</f>
        <v xml:space="preserve">Price cap - Variable </v>
      </c>
      <c r="J203" s="563" t="s">
        <v>883</v>
      </c>
      <c r="K203" s="564">
        <f t="shared" ref="K203:AJ203" si="294">K201*K202/10^6</f>
        <v>0</v>
      </c>
      <c r="L203" s="565">
        <f t="shared" si="294"/>
        <v>0</v>
      </c>
      <c r="M203" s="565">
        <f t="shared" si="294"/>
        <v>0</v>
      </c>
      <c r="N203" s="564">
        <f t="shared" si="294"/>
        <v>0</v>
      </c>
      <c r="O203" s="565">
        <f t="shared" si="294"/>
        <v>0</v>
      </c>
      <c r="P203" s="565">
        <f t="shared" si="294"/>
        <v>0</v>
      </c>
      <c r="Q203" s="565">
        <f t="shared" si="294"/>
        <v>0</v>
      </c>
      <c r="R203" s="566">
        <f t="shared" si="294"/>
        <v>0</v>
      </c>
      <c r="S203" s="564">
        <f t="shared" si="294"/>
        <v>0</v>
      </c>
      <c r="T203" s="565">
        <f t="shared" si="294"/>
        <v>0</v>
      </c>
      <c r="U203" s="566">
        <f t="shared" si="294"/>
        <v>0.3714109691114923</v>
      </c>
      <c r="V203" s="565">
        <f t="shared" si="294"/>
        <v>0.57053371810941478</v>
      </c>
      <c r="W203" s="565">
        <f t="shared" si="294"/>
        <v>0.82022614204661015</v>
      </c>
      <c r="X203" s="565">
        <f t="shared" si="294"/>
        <v>0.76383255727058819</v>
      </c>
      <c r="Y203" s="565">
        <f t="shared" si="294"/>
        <v>0.53360998999978171</v>
      </c>
      <c r="Z203" s="565">
        <f t="shared" si="294"/>
        <v>0.89140146615965998</v>
      </c>
      <c r="AA203" s="564">
        <f t="shared" si="294"/>
        <v>1.3378032597598399</v>
      </c>
      <c r="AB203" s="565">
        <f t="shared" si="294"/>
        <v>1.3568999912294233</v>
      </c>
      <c r="AC203" s="565">
        <f t="shared" si="294"/>
        <v>1.3680190858829602</v>
      </c>
      <c r="AD203" s="565">
        <f t="shared" si="294"/>
        <v>1.3791381805364966</v>
      </c>
      <c r="AE203" s="566">
        <f t="shared" si="294"/>
        <v>1.3902572751900335</v>
      </c>
      <c r="AF203" s="565">
        <f t="shared" si="294"/>
        <v>1.6801804100872448</v>
      </c>
      <c r="AG203" s="565">
        <f>AG201*AG202/10^6</f>
        <v>1.7043750079925011</v>
      </c>
      <c r="AH203" s="565">
        <f>AH201*AH202/10^6</f>
        <v>1.7285696058977573</v>
      </c>
      <c r="AI203" s="565">
        <f>AI201*AI202/10^6</f>
        <v>1.7527642038030138</v>
      </c>
      <c r="AJ203" s="566">
        <f t="shared" si="294"/>
        <v>1.7769588017082703</v>
      </c>
      <c r="AK203" s="548"/>
      <c r="AO203" s="984" t="str">
        <f t="shared" si="263"/>
        <v>Rev</v>
      </c>
      <c r="AP203" s="985" t="str">
        <f t="shared" si="263"/>
        <v>Sewerage</v>
      </c>
      <c r="AQ203" s="986" t="str">
        <f t="shared" si="264"/>
        <v xml:space="preserve">Price cap - Variable </v>
      </c>
      <c r="AR203" s="990">
        <f t="shared" si="265"/>
        <v>0.53612511626749693</v>
      </c>
      <c r="AS203" s="987">
        <f t="shared" si="266"/>
        <v>0.43764709431127846</v>
      </c>
      <c r="AT203" s="987">
        <f t="shared" si="267"/>
        <v>-6.875370325957908E-2</v>
      </c>
      <c r="AU203" s="987">
        <f t="shared" si="268"/>
        <v>-0.30140449641667999</v>
      </c>
      <c r="AV203" s="1353">
        <f t="shared" si="269"/>
        <v>0.67051120268573805</v>
      </c>
      <c r="AW203" s="1346">
        <f t="shared" si="270"/>
        <v>0.50078647001038745</v>
      </c>
      <c r="AX203" s="987">
        <f t="shared" si="271"/>
        <v>1.427469347997512E-2</v>
      </c>
      <c r="AY203" s="987">
        <f t="shared" si="272"/>
        <v>8.1944835473559685E-3</v>
      </c>
      <c r="AZ203" s="987">
        <f t="shared" si="273"/>
        <v>8.1278797703030481E-3</v>
      </c>
      <c r="BA203" s="988">
        <f t="shared" si="274"/>
        <v>8.0623499591689907E-3</v>
      </c>
      <c r="BB203" s="1346">
        <f t="shared" si="275"/>
        <v>0.20853919635671891</v>
      </c>
      <c r="BC203" s="987">
        <f t="shared" si="276"/>
        <v>1.4399999999999968E-2</v>
      </c>
      <c r="BD203" s="987">
        <f t="shared" si="277"/>
        <v>1.4195583596214423E-2</v>
      </c>
      <c r="BE203" s="987">
        <f t="shared" si="278"/>
        <v>1.3996889580093486E-2</v>
      </c>
      <c r="BF203" s="989">
        <f t="shared" si="279"/>
        <v>1.3803680981595123E-2</v>
      </c>
      <c r="BG203" s="951"/>
      <c r="BH203" s="984" t="str">
        <f t="shared" si="280"/>
        <v>Rev</v>
      </c>
      <c r="BI203" s="985" t="str">
        <f t="shared" si="281"/>
        <v>Sewerage</v>
      </c>
      <c r="BJ203" s="986" t="str">
        <f t="shared" si="282"/>
        <v xml:space="preserve">Price cap - Variable </v>
      </c>
      <c r="BK203" s="987">
        <f t="shared" ref="BK203:BU203" si="295">IF(V203="","-",IFERROR((V203/U203-1)*(U203/U$13),"-"))</f>
        <v>1.0325863490352595E-4</v>
      </c>
      <c r="BL203" s="987">
        <f t="shared" si="295"/>
        <v>1.3399172522076893E-4</v>
      </c>
      <c r="BM203" s="987">
        <f t="shared" si="295"/>
        <v>-3.047777617779396E-5</v>
      </c>
      <c r="BN203" s="987">
        <f t="shared" si="295"/>
        <v>-1.2370946594371233E-4</v>
      </c>
      <c r="BO203" s="1353">
        <f t="shared" si="295"/>
        <v>1.8984522715508932E-4</v>
      </c>
      <c r="BP203" s="1346">
        <f t="shared" si="295"/>
        <v>2.3696366854483386E-4</v>
      </c>
      <c r="BQ203" s="987">
        <f t="shared" si="295"/>
        <v>1.0086570466296041E-5</v>
      </c>
      <c r="BR203" s="987">
        <f t="shared" si="295"/>
        <v>5.6537987324308611E-6</v>
      </c>
      <c r="BS203" s="987">
        <f t="shared" si="295"/>
        <v>5.5468428916924205E-6</v>
      </c>
      <c r="BT203" s="988">
        <f t="shared" si="295"/>
        <v>5.4432509359482886E-6</v>
      </c>
      <c r="BU203" s="987">
        <f t="shared" si="295"/>
        <v>1.392534411611993E-4</v>
      </c>
      <c r="BV203" s="987">
        <f>IF(AG203="","-",IFERROR((AG203/AF203-1)*(AF203/AF$13),"-"))</f>
        <v>1.1099583423942367E-5</v>
      </c>
      <c r="BW203" s="987">
        <f>IF(AH203="","-",IFERROR((AH203/AG203-1)*(AG203/AG$13),"-"))</f>
        <v>1.0946262583602268E-5</v>
      </c>
      <c r="BX203" s="987">
        <f>IF(AI203="","-",IFERROR((AI203/AH203-1)*(AH203/AH$13),"-"))</f>
        <v>1.0788249844296287E-5</v>
      </c>
      <c r="BY203" s="989">
        <f>IF(AJ203="","-",IFERROR((AJ203/AI203-1)*(AI203/AI$13),"-"))</f>
        <v>1.0605662399024372E-5</v>
      </c>
      <c r="BZ203" s="951"/>
      <c r="CA203" s="984" t="str">
        <f t="shared" si="259"/>
        <v>Rev</v>
      </c>
      <c r="CB203" s="985" t="str">
        <f t="shared" si="260"/>
        <v>Sewerage</v>
      </c>
      <c r="CC203" s="985" t="str">
        <f t="shared" si="261"/>
        <v xml:space="preserve">Price cap - Variable </v>
      </c>
      <c r="CD203" s="990">
        <f t="shared" si="287"/>
        <v>0.48607059384826723</v>
      </c>
      <c r="CE203" s="987">
        <f t="shared" si="287"/>
        <v>0.27168967899194718</v>
      </c>
      <c r="CF203" s="987">
        <f t="shared" si="287"/>
        <v>9.481895131615059E-2</v>
      </c>
      <c r="CG203" s="988">
        <f t="shared" si="284"/>
        <v>0.19136194520785921</v>
      </c>
      <c r="CH203" s="987">
        <f t="shared" si="288"/>
        <v>0.23377864175413565</v>
      </c>
      <c r="CI203" s="987">
        <f t="shared" si="288"/>
        <v>0.15346991271555543</v>
      </c>
      <c r="CJ203" s="987">
        <f t="shared" si="288"/>
        <v>0.11527921737010471</v>
      </c>
      <c r="CK203" s="989">
        <f t="shared" si="285"/>
        <v>9.2960247831164633E-2</v>
      </c>
    </row>
    <row r="204" spans="4:89">
      <c r="D204" s="63">
        <f>D201+1</f>
        <v>46</v>
      </c>
      <c r="E204" s="550" t="s">
        <v>857</v>
      </c>
      <c r="F204" s="595" t="s">
        <v>402</v>
      </c>
      <c r="G204" s="595" t="s">
        <v>103</v>
      </c>
      <c r="H204" s="595" t="s">
        <v>895</v>
      </c>
      <c r="I204" s="589" t="s">
        <v>941</v>
      </c>
      <c r="J204" s="589" t="s">
        <v>879</v>
      </c>
      <c r="K204" s="551"/>
      <c r="L204" s="552"/>
      <c r="M204" s="552"/>
      <c r="N204" s="551"/>
      <c r="O204" s="552"/>
      <c r="P204" s="552"/>
      <c r="Q204" s="552"/>
      <c r="R204" s="1035"/>
      <c r="S204" s="1138"/>
      <c r="T204" s="591"/>
      <c r="U204" s="1035">
        <v>235.54579759862776</v>
      </c>
      <c r="V204" s="591">
        <v>396.15582697201012</v>
      </c>
      <c r="W204" s="591">
        <v>396.15169491525421</v>
      </c>
      <c r="X204" s="591">
        <v>396.14583710407237</v>
      </c>
      <c r="Y204" s="591">
        <v>396.15139737991262</v>
      </c>
      <c r="Z204" s="591">
        <v>396.15589999999997</v>
      </c>
      <c r="AA204" s="1138">
        <v>591</v>
      </c>
      <c r="AB204" s="591">
        <v>591</v>
      </c>
      <c r="AC204" s="591">
        <v>591</v>
      </c>
      <c r="AD204" s="591">
        <v>591</v>
      </c>
      <c r="AE204" s="1035">
        <v>591</v>
      </c>
      <c r="AF204" s="591">
        <v>708.57953918004534</v>
      </c>
      <c r="AG204" s="591">
        <v>708.57953918004534</v>
      </c>
      <c r="AH204" s="591">
        <v>708.57953918004534</v>
      </c>
      <c r="AI204" s="591">
        <v>708.57953918004534</v>
      </c>
      <c r="AJ204" s="592">
        <v>708.57953918004534</v>
      </c>
      <c r="AK204" s="548"/>
      <c r="AM204" s="974"/>
      <c r="AO204" s="975" t="str">
        <f t="shared" si="263"/>
        <v>Price</v>
      </c>
      <c r="AP204" s="976" t="str">
        <f t="shared" si="263"/>
        <v>Sewerage</v>
      </c>
      <c r="AQ204" s="977" t="str">
        <f t="shared" si="264"/>
        <v xml:space="preserve">Price cap - Variable </v>
      </c>
      <c r="AR204" s="1341">
        <f t="shared" si="265"/>
        <v>0.68186327674189018</v>
      </c>
      <c r="AS204" s="978">
        <f t="shared" si="266"/>
        <v>-1.0430382376247493E-5</v>
      </c>
      <c r="AT204" s="979">
        <f t="shared" si="267"/>
        <v>-1.4786788134490969E-5</v>
      </c>
      <c r="AU204" s="979">
        <f t="shared" si="268"/>
        <v>1.4035931516831468E-5</v>
      </c>
      <c r="AV204" s="1352">
        <f t="shared" si="269"/>
        <v>1.1365907370608497E-5</v>
      </c>
      <c r="AW204" s="1345">
        <f t="shared" si="270"/>
        <v>0.49183692581632643</v>
      </c>
      <c r="AX204" s="979">
        <f t="shared" si="271"/>
        <v>0</v>
      </c>
      <c r="AY204" s="979">
        <f t="shared" si="272"/>
        <v>0</v>
      </c>
      <c r="AZ204" s="979">
        <f t="shared" si="273"/>
        <v>0</v>
      </c>
      <c r="BA204" s="980">
        <f t="shared" si="274"/>
        <v>0</v>
      </c>
      <c r="BB204" s="1345">
        <f t="shared" si="275"/>
        <v>0.19895015089686185</v>
      </c>
      <c r="BC204" s="979">
        <f t="shared" si="276"/>
        <v>0</v>
      </c>
      <c r="BD204" s="979">
        <f t="shared" si="277"/>
        <v>0</v>
      </c>
      <c r="BE204" s="979">
        <f t="shared" si="278"/>
        <v>0</v>
      </c>
      <c r="BF204" s="981">
        <f t="shared" si="279"/>
        <v>0</v>
      </c>
      <c r="BG204" s="951"/>
      <c r="BH204" s="975" t="str">
        <f t="shared" si="280"/>
        <v>Price</v>
      </c>
      <c r="BI204" s="976" t="str">
        <f t="shared" si="281"/>
        <v>Sewerage</v>
      </c>
      <c r="BJ204" s="977" t="str">
        <f t="shared" si="282"/>
        <v xml:space="preserve">Price cap - Variable </v>
      </c>
      <c r="BK204" s="978">
        <f t="shared" ref="BK204:BU204" si="296">IF(V204="","-",IFERROR((V204/U204-1)*(U206/U$13),"-"))</f>
        <v>8.276701065106656E-4</v>
      </c>
      <c r="BL204" s="978">
        <f t="shared" si="296"/>
        <v>-2.3543475234657634E-8</v>
      </c>
      <c r="BM204" s="979">
        <f t="shared" si="296"/>
        <v>-3.2542950005773694E-8</v>
      </c>
      <c r="BN204" s="979">
        <f t="shared" si="296"/>
        <v>3.1183209921996792E-8</v>
      </c>
      <c r="BO204" s="1352">
        <f t="shared" si="296"/>
        <v>2.7971291440741583E-8</v>
      </c>
      <c r="BP204" s="1345">
        <f t="shared" si="296"/>
        <v>1.0788681241384989E-3</v>
      </c>
      <c r="BQ204" s="979">
        <f t="shared" si="296"/>
        <v>0</v>
      </c>
      <c r="BR204" s="979">
        <f t="shared" si="296"/>
        <v>0</v>
      </c>
      <c r="BS204" s="979">
        <f t="shared" si="296"/>
        <v>0</v>
      </c>
      <c r="BT204" s="980">
        <f t="shared" si="296"/>
        <v>0</v>
      </c>
      <c r="BU204" s="979">
        <f t="shared" si="296"/>
        <v>6.294419745639094E-4</v>
      </c>
      <c r="BV204" s="979">
        <f>IF(AG204="","-",IFERROR((AG204/AF204-1)*(AF206/AF$13),"-"))</f>
        <v>0</v>
      </c>
      <c r="BW204" s="979">
        <f>IF(AH204="","-",IFERROR((AH204/AG204-1)*(AG206/AG$13),"-"))</f>
        <v>0</v>
      </c>
      <c r="BX204" s="979">
        <f>IF(AI204="","-",IFERROR((AI204/AH204-1)*(AH206/AH$13),"-"))</f>
        <v>0</v>
      </c>
      <c r="BY204" s="981">
        <f>IF(AJ204="","-",IFERROR((AJ204/AI204-1)*(AI206/AI$13),"-"))</f>
        <v>0</v>
      </c>
      <c r="BZ204" s="951"/>
      <c r="CA204" s="975" t="str">
        <f t="shared" si="259"/>
        <v>Price</v>
      </c>
      <c r="CB204" s="976" t="str">
        <f t="shared" si="260"/>
        <v>Sewerage</v>
      </c>
      <c r="CC204" s="982" t="str">
        <f t="shared" si="261"/>
        <v xml:space="preserve">Price cap - Variable </v>
      </c>
      <c r="CD204" s="983">
        <f t="shared" si="287"/>
        <v>0.29685995167743884</v>
      </c>
      <c r="CE204" s="979">
        <f t="shared" si="287"/>
        <v>0.18921372279893256</v>
      </c>
      <c r="CF204" s="979">
        <f t="shared" si="287"/>
        <v>0.13879737647433554</v>
      </c>
      <c r="CG204" s="980">
        <f t="shared" si="284"/>
        <v>0.10957880825676614</v>
      </c>
      <c r="CH204" s="979">
        <f t="shared" si="288"/>
        <v>0.22140776394139827</v>
      </c>
      <c r="CI204" s="979">
        <f t="shared" si="288"/>
        <v>0.14263393375579336</v>
      </c>
      <c r="CJ204" s="979">
        <f t="shared" si="288"/>
        <v>0.10517318278240828</v>
      </c>
      <c r="CK204" s="981">
        <f t="shared" si="285"/>
        <v>8.3288843564644388E-2</v>
      </c>
    </row>
    <row r="205" spans="4:89">
      <c r="E205" s="567" t="s">
        <v>880</v>
      </c>
      <c r="F205" s="554" t="str">
        <f>+F204</f>
        <v>Sewerage</v>
      </c>
      <c r="G205" s="555" t="str">
        <f>+G204</f>
        <v>YVW</v>
      </c>
      <c r="H205" s="555" t="str">
        <f>+H204</f>
        <v>Trade waste - BOD Western</v>
      </c>
      <c r="I205" s="556" t="str">
        <f>+I204</f>
        <v xml:space="preserve">Price cap - Variable </v>
      </c>
      <c r="J205" s="590" t="s">
        <v>896</v>
      </c>
      <c r="K205" s="557"/>
      <c r="L205" s="558"/>
      <c r="M205" s="558"/>
      <c r="N205" s="557"/>
      <c r="O205" s="558"/>
      <c r="P205" s="558"/>
      <c r="Q205" s="558"/>
      <c r="R205" s="1036"/>
      <c r="S205" s="1139"/>
      <c r="T205" s="593"/>
      <c r="U205" s="1036">
        <v>9937.5449999999983</v>
      </c>
      <c r="V205" s="593">
        <v>10617.730000000003</v>
      </c>
      <c r="W205" s="593">
        <v>10279.404999999999</v>
      </c>
      <c r="X205" s="593">
        <v>10436.85</v>
      </c>
      <c r="Y205" s="593">
        <v>11707.859999999999</v>
      </c>
      <c r="Z205" s="593">
        <v>10430.983737045179</v>
      </c>
      <c r="AA205" s="1139">
        <v>10540.72666217312</v>
      </c>
      <c r="AB205" s="593">
        <v>10774.2357017754</v>
      </c>
      <c r="AC205" s="593">
        <v>10898.001816249751</v>
      </c>
      <c r="AD205" s="593">
        <v>11021.767930724098</v>
      </c>
      <c r="AE205" s="1036">
        <v>11145.53404519845</v>
      </c>
      <c r="AF205" s="593">
        <v>11269.300159672795</v>
      </c>
      <c r="AG205" s="593">
        <v>11438.798955839076</v>
      </c>
      <c r="AH205" s="593">
        <v>11608.297752005357</v>
      </c>
      <c r="AI205" s="593">
        <v>11777.796548171642</v>
      </c>
      <c r="AJ205" s="594">
        <v>11947.295344337927</v>
      </c>
      <c r="AK205" s="548"/>
      <c r="AO205" s="961" t="str">
        <f t="shared" si="263"/>
        <v>Qty</v>
      </c>
      <c r="AP205" s="962" t="str">
        <f t="shared" si="263"/>
        <v>Sewerage</v>
      </c>
      <c r="AQ205" s="963" t="str">
        <f t="shared" si="264"/>
        <v xml:space="preserve">Price cap - Variable </v>
      </c>
      <c r="AR205" s="967">
        <f t="shared" si="265"/>
        <v>6.8445979364119003E-2</v>
      </c>
      <c r="AS205" s="964">
        <f t="shared" si="266"/>
        <v>-3.1864155521001636E-2</v>
      </c>
      <c r="AT205" s="964">
        <f t="shared" si="267"/>
        <v>1.5316547990861462E-2</v>
      </c>
      <c r="AU205" s="964">
        <f t="shared" si="268"/>
        <v>0.1217809971399415</v>
      </c>
      <c r="AV205" s="1350">
        <f t="shared" si="269"/>
        <v>-0.10906145640235021</v>
      </c>
      <c r="AW205" s="1343">
        <f t="shared" si="270"/>
        <v>1.0520860533814735E-2</v>
      </c>
      <c r="AX205" s="964">
        <f t="shared" si="271"/>
        <v>2.2153030534437512E-2</v>
      </c>
      <c r="AY205" s="964">
        <f t="shared" si="272"/>
        <v>1.1487229154821366E-2</v>
      </c>
      <c r="AZ205" s="964">
        <f t="shared" si="273"/>
        <v>1.1356771320206738E-2</v>
      </c>
      <c r="BA205" s="965">
        <f t="shared" si="274"/>
        <v>1.1229243371142283E-2</v>
      </c>
      <c r="BB205" s="1343">
        <f t="shared" si="275"/>
        <v>1.1104547702464274E-2</v>
      </c>
      <c r="BC205" s="964">
        <f t="shared" si="276"/>
        <v>1.5040756192902904E-2</v>
      </c>
      <c r="BD205" s="964">
        <f t="shared" si="277"/>
        <v>1.4817884012181093E-2</v>
      </c>
      <c r="BE205" s="964">
        <f t="shared" si="278"/>
        <v>1.460152037683593E-2</v>
      </c>
      <c r="BF205" s="966">
        <f t="shared" si="279"/>
        <v>1.4391384285934006E-2</v>
      </c>
      <c r="BG205" s="951"/>
      <c r="BH205" s="961" t="str">
        <f t="shared" si="280"/>
        <v>Qty</v>
      </c>
      <c r="BI205" s="962" t="str">
        <f t="shared" si="281"/>
        <v>Sewerage</v>
      </c>
      <c r="BJ205" s="963" t="str">
        <f t="shared" si="282"/>
        <v xml:space="preserve">Price cap - Variable </v>
      </c>
      <c r="BK205" s="964">
        <f t="shared" ref="BK205:BU205" si="297">IF(V205="","-",IFERROR((V205/U205-1)*(U206/U$13),"-"))</f>
        <v>8.308218518706283E-5</v>
      </c>
      <c r="BL205" s="964">
        <f t="shared" si="297"/>
        <v>-7.1923821133379766E-5</v>
      </c>
      <c r="BM205" s="964">
        <f t="shared" si="297"/>
        <v>3.370885218575541E-5</v>
      </c>
      <c r="BN205" s="964">
        <f t="shared" si="297"/>
        <v>2.7055720482612871E-4</v>
      </c>
      <c r="BO205" s="1350">
        <f t="shared" si="297"/>
        <v>-2.6839826179390642E-4</v>
      </c>
      <c r="BP205" s="1343">
        <f t="shared" si="297"/>
        <v>2.3078017270867318E-5</v>
      </c>
      <c r="BQ205" s="964">
        <f t="shared" si="297"/>
        <v>7.2891294683293694E-5</v>
      </c>
      <c r="BR205" s="964">
        <f t="shared" si="297"/>
        <v>3.7192909607801772E-5</v>
      </c>
      <c r="BS205" s="964">
        <f t="shared" si="297"/>
        <v>3.6489312061289375E-5</v>
      </c>
      <c r="BT205" s="965">
        <f t="shared" si="297"/>
        <v>3.580784347204145E-5</v>
      </c>
      <c r="BU205" s="964">
        <f t="shared" si="297"/>
        <v>3.5132762659233986E-5</v>
      </c>
      <c r="BV205" s="964">
        <f>IF(AG205="","-",IFERROR((AG205/AF205-1)*(AF206/AF$13),"-"))</f>
        <v>5.509897203441595E-5</v>
      </c>
      <c r="BW205" s="964">
        <f>IF(AH205="","-",IFERROR((AH205/AG205-1)*(AG206/AG$13),"-"))</f>
        <v>5.4337878543649212E-5</v>
      </c>
      <c r="BX205" s="964">
        <f>IF(AI205="","-",IFERROR((AI205/AH205-1)*(AH206/AH$13),"-"))</f>
        <v>5.3553494195915839E-5</v>
      </c>
      <c r="BY205" s="966">
        <f>IF(AJ205="","-",IFERROR((AJ205/AI205-1)*(AI206/AI$13),"-"))</f>
        <v>5.2647119590976566E-5</v>
      </c>
      <c r="BZ205" s="951"/>
      <c r="CA205" s="961" t="str">
        <f t="shared" si="259"/>
        <v>Qty</v>
      </c>
      <c r="CB205" s="962" t="str">
        <f t="shared" si="260"/>
        <v>Sewerage</v>
      </c>
      <c r="CC205" s="962" t="str">
        <f t="shared" si="261"/>
        <v xml:space="preserve">Price cap - Variable </v>
      </c>
      <c r="CD205" s="967">
        <f t="shared" si="287"/>
        <v>1.7054988932197368E-2</v>
      </c>
      <c r="CE205" s="964">
        <f t="shared" si="287"/>
        <v>1.6475178138084301E-2</v>
      </c>
      <c r="CF205" s="964">
        <f t="shared" si="287"/>
        <v>4.1836582807132761E-2</v>
      </c>
      <c r="CG205" s="965">
        <f t="shared" si="284"/>
        <v>9.7392355196108671E-3</v>
      </c>
      <c r="CH205" s="964">
        <f t="shared" si="288"/>
        <v>1.632030384761407E-2</v>
      </c>
      <c r="CI205" s="964">
        <f t="shared" si="288"/>
        <v>1.4706718458132872E-2</v>
      </c>
      <c r="CJ205" s="964">
        <f t="shared" si="288"/>
        <v>1.3868192844534777E-2</v>
      </c>
      <c r="CK205" s="966">
        <f t="shared" si="285"/>
        <v>1.3339852586401024E-2</v>
      </c>
    </row>
    <row r="206" spans="4:89" ht="12.75" thickBot="1">
      <c r="E206" s="568" t="s">
        <v>882</v>
      </c>
      <c r="F206" s="560" t="str">
        <f>+F204</f>
        <v>Sewerage</v>
      </c>
      <c r="G206" s="561" t="str">
        <f>+G204</f>
        <v>YVW</v>
      </c>
      <c r="H206" s="561" t="str">
        <f>+H204</f>
        <v>Trade waste - BOD Western</v>
      </c>
      <c r="I206" s="562" t="str">
        <f>+I204</f>
        <v xml:space="preserve">Price cap - Variable </v>
      </c>
      <c r="J206" s="563" t="s">
        <v>883</v>
      </c>
      <c r="K206" s="564">
        <f t="shared" ref="K206:AJ206" si="298">K204*K205/10^6</f>
        <v>0</v>
      </c>
      <c r="L206" s="565">
        <f t="shared" si="298"/>
        <v>0</v>
      </c>
      <c r="M206" s="565">
        <f t="shared" si="298"/>
        <v>0</v>
      </c>
      <c r="N206" s="564">
        <f t="shared" si="298"/>
        <v>0</v>
      </c>
      <c r="O206" s="565">
        <f t="shared" si="298"/>
        <v>0</v>
      </c>
      <c r="P206" s="565">
        <f t="shared" si="298"/>
        <v>0</v>
      </c>
      <c r="Q206" s="565">
        <f t="shared" si="298"/>
        <v>0</v>
      </c>
      <c r="R206" s="566">
        <f t="shared" si="298"/>
        <v>0</v>
      </c>
      <c r="S206" s="564">
        <f t="shared" si="298"/>
        <v>0</v>
      </c>
      <c r="T206" s="565">
        <f t="shared" si="298"/>
        <v>0</v>
      </c>
      <c r="U206" s="566">
        <f t="shared" si="298"/>
        <v>2.3407469631972551</v>
      </c>
      <c r="V206" s="565">
        <f t="shared" si="298"/>
        <v>4.2062756087155222</v>
      </c>
      <c r="W206" s="565">
        <f t="shared" si="298"/>
        <v>4.0722037134703379</v>
      </c>
      <c r="X206" s="565">
        <f t="shared" si="298"/>
        <v>4.1345146799796382</v>
      </c>
      <c r="Y206" s="565">
        <f t="shared" si="298"/>
        <v>4.6380850993283831</v>
      </c>
      <c r="Z206" s="565">
        <f t="shared" si="298"/>
        <v>4.1322957502344959</v>
      </c>
      <c r="AA206" s="564">
        <f t="shared" si="298"/>
        <v>6.2295694573443141</v>
      </c>
      <c r="AB206" s="565">
        <f t="shared" si="298"/>
        <v>6.367573299749262</v>
      </c>
      <c r="AC206" s="565">
        <f t="shared" si="298"/>
        <v>6.4407190734036028</v>
      </c>
      <c r="AD206" s="565">
        <f t="shared" si="298"/>
        <v>6.513864847057941</v>
      </c>
      <c r="AE206" s="566">
        <f t="shared" si="298"/>
        <v>6.5870106207122836</v>
      </c>
      <c r="AF206" s="565">
        <f t="shared" si="298"/>
        <v>7.9851955140225606</v>
      </c>
      <c r="AG206" s="565">
        <f>AG204*AG205/10^6</f>
        <v>8.1052988929016365</v>
      </c>
      <c r="AH206" s="565">
        <f>AH204*AH205/10^6</f>
        <v>8.2254022717807125</v>
      </c>
      <c r="AI206" s="565">
        <f>AI204*AI205/10^6</f>
        <v>8.345505650659792</v>
      </c>
      <c r="AJ206" s="566">
        <f t="shared" si="298"/>
        <v>8.4656090295388697</v>
      </c>
      <c r="AK206" s="548"/>
      <c r="AO206" s="984" t="str">
        <f t="shared" si="263"/>
        <v>Rev</v>
      </c>
      <c r="AP206" s="985" t="str">
        <f t="shared" si="263"/>
        <v>Sewerage</v>
      </c>
      <c r="AQ206" s="986" t="str">
        <f t="shared" si="264"/>
        <v xml:space="preserve">Price cap - Variable </v>
      </c>
      <c r="AR206" s="990">
        <f t="shared" si="265"/>
        <v>0.79698005587503506</v>
      </c>
      <c r="AS206" s="987">
        <f t="shared" si="266"/>
        <v>-3.1874253548051734E-2</v>
      </c>
      <c r="AT206" s="987">
        <f t="shared" si="267"/>
        <v>1.5301534720177035E-2</v>
      </c>
      <c r="AU206" s="987">
        <f t="shared" si="268"/>
        <v>0.12179674238119409</v>
      </c>
      <c r="AV206" s="1353">
        <f t="shared" si="269"/>
        <v>-0.10905133007739076</v>
      </c>
      <c r="AW206" s="1346">
        <f t="shared" si="270"/>
        <v>0.50753233405203479</v>
      </c>
      <c r="AX206" s="987">
        <f t="shared" si="271"/>
        <v>2.2153030534437512E-2</v>
      </c>
      <c r="AY206" s="987">
        <f t="shared" si="272"/>
        <v>1.1487229154821144E-2</v>
      </c>
      <c r="AZ206" s="987">
        <f t="shared" si="273"/>
        <v>1.1356771320206738E-2</v>
      </c>
      <c r="BA206" s="988">
        <f t="shared" si="274"/>
        <v>1.1229243371142283E-2</v>
      </c>
      <c r="BB206" s="1346">
        <f t="shared" si="275"/>
        <v>0.21226395004037268</v>
      </c>
      <c r="BC206" s="987">
        <f t="shared" si="276"/>
        <v>1.5040756192902904E-2</v>
      </c>
      <c r="BD206" s="987">
        <f t="shared" si="277"/>
        <v>1.4817884012181093E-2</v>
      </c>
      <c r="BE206" s="987">
        <f t="shared" si="278"/>
        <v>1.460152037683593E-2</v>
      </c>
      <c r="BF206" s="989">
        <f t="shared" si="279"/>
        <v>1.4391384285933784E-2</v>
      </c>
      <c r="BG206" s="951"/>
      <c r="BH206" s="984" t="str">
        <f t="shared" si="280"/>
        <v>Rev</v>
      </c>
      <c r="BI206" s="985" t="str">
        <f t="shared" si="281"/>
        <v>Sewerage</v>
      </c>
      <c r="BJ206" s="986" t="str">
        <f t="shared" si="282"/>
        <v xml:space="preserve">Price cap - Variable </v>
      </c>
      <c r="BK206" s="987">
        <f t="shared" ref="BK206:BU206" si="299">IF(V206="","-",IFERROR((V206/U206-1)*(U206/U$13),"-"))</f>
        <v>9.6740298272825545E-4</v>
      </c>
      <c r="BL206" s="987">
        <f t="shared" si="299"/>
        <v>-7.1946614415658113E-5</v>
      </c>
      <c r="BM206" s="987">
        <f t="shared" si="299"/>
        <v>3.3675810790094452E-5</v>
      </c>
      <c r="BN206" s="987">
        <f t="shared" si="299"/>
        <v>2.7059218555844865E-4</v>
      </c>
      <c r="BO206" s="1353">
        <f t="shared" si="299"/>
        <v>-2.6837334109224763E-4</v>
      </c>
      <c r="BP206" s="1346">
        <f t="shared" si="299"/>
        <v>1.1132967624778055E-3</v>
      </c>
      <c r="BQ206" s="987">
        <f t="shared" si="299"/>
        <v>7.2891294683293694E-5</v>
      </c>
      <c r="BR206" s="987">
        <f t="shared" si="299"/>
        <v>3.7192909607801053E-5</v>
      </c>
      <c r="BS206" s="987">
        <f t="shared" si="299"/>
        <v>3.6489312061289375E-5</v>
      </c>
      <c r="BT206" s="988">
        <f t="shared" si="299"/>
        <v>3.580784347204145E-5</v>
      </c>
      <c r="BU206" s="987">
        <f t="shared" si="299"/>
        <v>6.7156440565562122E-4</v>
      </c>
      <c r="BV206" s="987">
        <f>IF(AG206="","-",IFERROR((AG206/AF206-1)*(AF206/AF$13),"-"))</f>
        <v>5.509897203441595E-5</v>
      </c>
      <c r="BW206" s="987">
        <f>IF(AH206="","-",IFERROR((AH206/AG206-1)*(AG206/AG$13),"-"))</f>
        <v>5.4337878543649212E-5</v>
      </c>
      <c r="BX206" s="987">
        <f>IF(AI206="","-",IFERROR((AI206/AH206-1)*(AH206/AH$13),"-"))</f>
        <v>5.3553494195915839E-5</v>
      </c>
      <c r="BY206" s="989">
        <f>IF(AJ206="","-",IFERROR((AJ206/AI206-1)*(AI206/AI$13),"-"))</f>
        <v>5.2647119590975753E-5</v>
      </c>
      <c r="BZ206" s="951"/>
      <c r="CA206" s="984" t="str">
        <f t="shared" si="259"/>
        <v>Rev</v>
      </c>
      <c r="CB206" s="985" t="str">
        <f t="shared" si="260"/>
        <v>Sewerage</v>
      </c>
      <c r="CC206" s="985" t="str">
        <f t="shared" si="261"/>
        <v xml:space="preserve">Price cap - Variable </v>
      </c>
      <c r="CD206" s="990">
        <f t="shared" si="287"/>
        <v>0.31897788379990755</v>
      </c>
      <c r="CE206" s="987">
        <f t="shared" si="287"/>
        <v>0.20880623072629945</v>
      </c>
      <c r="CF206" s="987">
        <f t="shared" si="287"/>
        <v>0.18644076721574976</v>
      </c>
      <c r="CG206" s="988">
        <f t="shared" si="284"/>
        <v>0.12038525759794783</v>
      </c>
      <c r="CH206" s="987">
        <f t="shared" si="288"/>
        <v>0.24134150977075675</v>
      </c>
      <c r="CI206" s="987">
        <f t="shared" si="288"/>
        <v>0.15943832932024837</v>
      </c>
      <c r="CJ206" s="987">
        <f t="shared" si="288"/>
        <v>0.12049993760784306</v>
      </c>
      <c r="CK206" s="989">
        <f t="shared" si="285"/>
        <v>9.7739757046289677E-2</v>
      </c>
    </row>
    <row r="207" spans="4:89">
      <c r="D207" s="63">
        <f>D204+1</f>
        <v>47</v>
      </c>
      <c r="E207" s="550" t="s">
        <v>857</v>
      </c>
      <c r="F207" s="595" t="s">
        <v>402</v>
      </c>
      <c r="G207" s="595" t="s">
        <v>92</v>
      </c>
      <c r="H207" s="595" t="s">
        <v>897</v>
      </c>
      <c r="I207" s="589" t="s">
        <v>941</v>
      </c>
      <c r="J207" s="589" t="s">
        <v>879</v>
      </c>
      <c r="K207" s="551"/>
      <c r="L207" s="552"/>
      <c r="M207" s="552"/>
      <c r="N207" s="551"/>
      <c r="O207" s="552"/>
      <c r="P207" s="552"/>
      <c r="Q207" s="552"/>
      <c r="R207" s="1035"/>
      <c r="S207" s="1138"/>
      <c r="T207" s="591"/>
      <c r="U207" s="1035">
        <v>443.63940823327607</v>
      </c>
      <c r="V207" s="591">
        <v>298.8950127226463</v>
      </c>
      <c r="W207" s="591">
        <v>298.88813559322028</v>
      </c>
      <c r="X207" s="591">
        <v>298.88669683257922</v>
      </c>
      <c r="Y207" s="591">
        <v>298.89021834061134</v>
      </c>
      <c r="Z207" s="591">
        <v>298.89670000000001</v>
      </c>
      <c r="AA207" s="1138">
        <v>926.2</v>
      </c>
      <c r="AB207" s="591">
        <v>926.2</v>
      </c>
      <c r="AC207" s="591">
        <v>926.2</v>
      </c>
      <c r="AD207" s="591">
        <v>926.2</v>
      </c>
      <c r="AE207" s="1035">
        <v>926.2</v>
      </c>
      <c r="AF207" s="591">
        <v>1110.4676297606736</v>
      </c>
      <c r="AG207" s="591">
        <v>1110.4676297606736</v>
      </c>
      <c r="AH207" s="591">
        <v>1110.4676297606736</v>
      </c>
      <c r="AI207" s="591">
        <v>1110.4676297606736</v>
      </c>
      <c r="AJ207" s="592">
        <v>1110.4676297606736</v>
      </c>
      <c r="AK207" s="548"/>
      <c r="AM207" s="974"/>
      <c r="AO207" s="975" t="str">
        <f t="shared" si="263"/>
        <v>Price</v>
      </c>
      <c r="AP207" s="976" t="str">
        <f t="shared" si="263"/>
        <v>Sewerage</v>
      </c>
      <c r="AQ207" s="977" t="str">
        <f t="shared" si="264"/>
        <v xml:space="preserve">Price cap - Variable </v>
      </c>
      <c r="AR207" s="1341">
        <f t="shared" si="265"/>
        <v>-0.32626586553041237</v>
      </c>
      <c r="AS207" s="978">
        <f t="shared" si="266"/>
        <v>-2.300851179604102E-5</v>
      </c>
      <c r="AT207" s="979">
        <f t="shared" si="267"/>
        <v>-4.8137094441624839E-6</v>
      </c>
      <c r="AU207" s="979">
        <f t="shared" si="268"/>
        <v>1.178208354346566E-5</v>
      </c>
      <c r="AV207" s="1352">
        <f t="shared" si="269"/>
        <v>2.1685752797928615E-5</v>
      </c>
      <c r="AW207" s="1345">
        <f t="shared" si="270"/>
        <v>2.0987294272569756</v>
      </c>
      <c r="AX207" s="979">
        <f t="shared" si="271"/>
        <v>0</v>
      </c>
      <c r="AY207" s="979">
        <f t="shared" si="272"/>
        <v>0</v>
      </c>
      <c r="AZ207" s="979">
        <f t="shared" si="273"/>
        <v>0</v>
      </c>
      <c r="BA207" s="980">
        <f t="shared" si="274"/>
        <v>0</v>
      </c>
      <c r="BB207" s="1345">
        <f t="shared" si="275"/>
        <v>0.19895015089686208</v>
      </c>
      <c r="BC207" s="979">
        <f t="shared" si="276"/>
        <v>0</v>
      </c>
      <c r="BD207" s="979">
        <f t="shared" si="277"/>
        <v>0</v>
      </c>
      <c r="BE207" s="979">
        <f t="shared" si="278"/>
        <v>0</v>
      </c>
      <c r="BF207" s="981">
        <f t="shared" si="279"/>
        <v>0</v>
      </c>
      <c r="BG207" s="951"/>
      <c r="BH207" s="975" t="str">
        <f t="shared" si="280"/>
        <v>Price</v>
      </c>
      <c r="BI207" s="976" t="str">
        <f t="shared" si="281"/>
        <v>Sewerage</v>
      </c>
      <c r="BJ207" s="977" t="str">
        <f t="shared" si="282"/>
        <v xml:space="preserve">Price cap - Variable </v>
      </c>
      <c r="BK207" s="978">
        <f t="shared" ref="BK207:BU207" si="300">IF(V207="","-",IFERROR((V207/U207-1)*(U209/U$13),"-"))</f>
        <v>-7.0412899169035846E-4</v>
      </c>
      <c r="BL207" s="978">
        <f t="shared" si="300"/>
        <v>-3.7364667088831701E-8</v>
      </c>
      <c r="BM207" s="979">
        <f t="shared" si="300"/>
        <v>-8.2428050244335575E-9</v>
      </c>
      <c r="BN207" s="979">
        <f t="shared" si="300"/>
        <v>1.9422892475417283E-8</v>
      </c>
      <c r="BO207" s="1352">
        <f t="shared" si="300"/>
        <v>3.5405355610081253E-8</v>
      </c>
      <c r="BP207" s="1345">
        <f t="shared" si="300"/>
        <v>3.9889352931547217E-3</v>
      </c>
      <c r="BQ207" s="979">
        <f t="shared" si="300"/>
        <v>0</v>
      </c>
      <c r="BR207" s="979">
        <f t="shared" si="300"/>
        <v>0</v>
      </c>
      <c r="BS207" s="979">
        <f t="shared" si="300"/>
        <v>0</v>
      </c>
      <c r="BT207" s="980">
        <f t="shared" si="300"/>
        <v>0</v>
      </c>
      <c r="BU207" s="979">
        <f t="shared" si="300"/>
        <v>1.1101903997075462E-3</v>
      </c>
      <c r="BV207" s="979">
        <f>IF(AG207="","-",IFERROR((AG207/AF207-1)*(AF209/AF$13),"-"))</f>
        <v>0</v>
      </c>
      <c r="BW207" s="979">
        <f>IF(AH207="","-",IFERROR((AH207/AG207-1)*(AG209/AG$13),"-"))</f>
        <v>0</v>
      </c>
      <c r="BX207" s="979">
        <f>IF(AI207="","-",IFERROR((AI207/AH207-1)*(AH209/AH$13),"-"))</f>
        <v>0</v>
      </c>
      <c r="BY207" s="981">
        <f>IF(AJ207="","-",IFERROR((AJ207/AI207-1)*(AI209/AI$13),"-"))</f>
        <v>0</v>
      </c>
      <c r="BZ207" s="951"/>
      <c r="CA207" s="975" t="str">
        <f t="shared" si="259"/>
        <v>Price</v>
      </c>
      <c r="CB207" s="976" t="str">
        <f t="shared" si="260"/>
        <v>Sewerage</v>
      </c>
      <c r="CC207" s="982" t="str">
        <f t="shared" si="261"/>
        <v xml:space="preserve">Price cap - Variable </v>
      </c>
      <c r="CD207" s="983">
        <f t="shared" si="287"/>
        <v>-0.17919634939298223</v>
      </c>
      <c r="CE207" s="979">
        <f t="shared" si="287"/>
        <v>-0.12335150942425666</v>
      </c>
      <c r="CF207" s="979">
        <f t="shared" si="287"/>
        <v>-9.4016274753122686E-2</v>
      </c>
      <c r="CG207" s="980">
        <f t="shared" si="284"/>
        <v>-7.5944193038494645E-2</v>
      </c>
      <c r="CH207" s="979">
        <f t="shared" si="288"/>
        <v>0.76032083077403123</v>
      </c>
      <c r="CI207" s="979">
        <f t="shared" si="288"/>
        <v>0.45790050196164378</v>
      </c>
      <c r="CJ207" s="979">
        <f t="shared" si="288"/>
        <v>0.32677082827971127</v>
      </c>
      <c r="CK207" s="981">
        <f t="shared" si="285"/>
        <v>0.25382444081508648</v>
      </c>
    </row>
    <row r="208" spans="4:89">
      <c r="E208" s="567" t="s">
        <v>880</v>
      </c>
      <c r="F208" s="554" t="str">
        <f>+F207</f>
        <v>Sewerage</v>
      </c>
      <c r="G208" s="555" t="str">
        <f>+G207</f>
        <v>SEW</v>
      </c>
      <c r="H208" s="555" t="str">
        <f>+H207</f>
        <v>Trade waste - BOD Eastern</v>
      </c>
      <c r="I208" s="556" t="str">
        <f>+I207</f>
        <v xml:space="preserve">Price cap - Variable </v>
      </c>
      <c r="J208" s="590" t="s">
        <v>896</v>
      </c>
      <c r="K208" s="557"/>
      <c r="L208" s="558"/>
      <c r="M208" s="558"/>
      <c r="N208" s="557"/>
      <c r="O208" s="558"/>
      <c r="P208" s="558"/>
      <c r="Q208" s="558"/>
      <c r="R208" s="1036"/>
      <c r="S208" s="1139"/>
      <c r="T208" s="593"/>
      <c r="U208" s="1036">
        <v>9380.91</v>
      </c>
      <c r="V208" s="593">
        <v>10124.68</v>
      </c>
      <c r="W208" s="593">
        <v>10600.66</v>
      </c>
      <c r="X208" s="593">
        <v>10264.319999999998</v>
      </c>
      <c r="Y208" s="593">
        <v>10294.685000000001</v>
      </c>
      <c r="Z208" s="593">
        <v>11979.083312448083</v>
      </c>
      <c r="AA208" s="1139">
        <v>12076.838542933794</v>
      </c>
      <c r="AB208" s="593">
        <v>12266.868129002592</v>
      </c>
      <c r="AC208" s="593">
        <v>12359.142484585684</v>
      </c>
      <c r="AD208" s="593">
        <v>12451.416840168768</v>
      </c>
      <c r="AE208" s="1036">
        <v>12543.691195751853</v>
      </c>
      <c r="AF208" s="593">
        <v>12635.965551334941</v>
      </c>
      <c r="AG208" s="593">
        <v>12819.159137712757</v>
      </c>
      <c r="AH208" s="593">
        <v>13002.35272409057</v>
      </c>
      <c r="AI208" s="593">
        <v>13185.546310468384</v>
      </c>
      <c r="AJ208" s="594">
        <v>13368.7398968462</v>
      </c>
      <c r="AK208" s="548"/>
      <c r="AO208" s="961" t="str">
        <f t="shared" si="263"/>
        <v>Qty</v>
      </c>
      <c r="AP208" s="962" t="str">
        <f t="shared" si="263"/>
        <v>Sewerage</v>
      </c>
      <c r="AQ208" s="963" t="str">
        <f t="shared" si="264"/>
        <v xml:space="preserve">Price cap - Variable </v>
      </c>
      <c r="AR208" s="967">
        <f t="shared" si="265"/>
        <v>7.9285485096861619E-2</v>
      </c>
      <c r="AS208" s="964">
        <f t="shared" si="266"/>
        <v>4.7011856177182842E-2</v>
      </c>
      <c r="AT208" s="964">
        <f t="shared" si="267"/>
        <v>-3.1728213148992768E-2</v>
      </c>
      <c r="AU208" s="964">
        <f t="shared" si="268"/>
        <v>2.9583060543711959E-3</v>
      </c>
      <c r="AV208" s="1350">
        <f t="shared" si="269"/>
        <v>0.16361824693500404</v>
      </c>
      <c r="AW208" s="1343">
        <f t="shared" si="270"/>
        <v>8.1604934147279096E-3</v>
      </c>
      <c r="AX208" s="964">
        <f t="shared" si="271"/>
        <v>1.5735044017789468E-2</v>
      </c>
      <c r="AY208" s="964">
        <f t="shared" si="272"/>
        <v>7.5222424022742818E-3</v>
      </c>
      <c r="AZ208" s="964">
        <f t="shared" si="273"/>
        <v>7.4660807332036505E-3</v>
      </c>
      <c r="BA208" s="965">
        <f t="shared" si="274"/>
        <v>7.4107514644763395E-3</v>
      </c>
      <c r="BB208" s="1343">
        <f t="shared" si="275"/>
        <v>7.3562362260908287E-3</v>
      </c>
      <c r="BC208" s="964">
        <f t="shared" si="276"/>
        <v>1.4497790899601126E-2</v>
      </c>
      <c r="BD208" s="964">
        <f t="shared" si="277"/>
        <v>1.4290608643656943E-2</v>
      </c>
      <c r="BE208" s="964">
        <f t="shared" si="278"/>
        <v>1.4089264478912122E-2</v>
      </c>
      <c r="BF208" s="966">
        <f t="shared" si="279"/>
        <v>1.3893515070541484E-2</v>
      </c>
      <c r="BG208" s="951"/>
      <c r="BH208" s="961" t="str">
        <f t="shared" si="280"/>
        <v>Qty</v>
      </c>
      <c r="BI208" s="962" t="str">
        <f t="shared" si="281"/>
        <v>Sewerage</v>
      </c>
      <c r="BJ208" s="963" t="str">
        <f t="shared" si="282"/>
        <v xml:space="preserve">Price cap - Variable </v>
      </c>
      <c r="BK208" s="964">
        <f t="shared" ref="BK208:BU208" si="301">IF(V208="","-",IFERROR((V208/U208-1)*(U209/U$13),"-"))</f>
        <v>1.7110955994791393E-4</v>
      </c>
      <c r="BL208" s="964">
        <f t="shared" si="301"/>
        <v>7.6344892310276273E-5</v>
      </c>
      <c r="BM208" s="964">
        <f t="shared" si="301"/>
        <v>-5.4330133090598041E-5</v>
      </c>
      <c r="BN208" s="964">
        <f t="shared" si="301"/>
        <v>4.8767996077649915E-6</v>
      </c>
      <c r="BO208" s="1350">
        <f t="shared" si="301"/>
        <v>2.6713217064732191E-4</v>
      </c>
      <c r="BP208" s="1343">
        <f t="shared" si="301"/>
        <v>1.5510184289982376E-5</v>
      </c>
      <c r="BQ208" s="964">
        <f t="shared" si="301"/>
        <v>9.2963075842168426E-5</v>
      </c>
      <c r="BR208" s="964">
        <f t="shared" si="301"/>
        <v>4.3456697047006173E-5</v>
      </c>
      <c r="BS208" s="964">
        <f t="shared" si="301"/>
        <v>4.2634604187257657E-5</v>
      </c>
      <c r="BT208" s="965">
        <f t="shared" si="301"/>
        <v>4.1838367099535322E-5</v>
      </c>
      <c r="BU208" s="964">
        <f t="shared" si="301"/>
        <v>4.1049593575933895E-5</v>
      </c>
      <c r="BV208" s="964">
        <f>IF(AG208="","-",IFERROR((AG208/AF208-1)*(AF209/AF$13),"-"))</f>
        <v>9.3326383992303904E-5</v>
      </c>
      <c r="BW208" s="964">
        <f>IF(AH208="","-",IFERROR((AH208/AG208-1)*(AG209/AG$13),"-"))</f>
        <v>9.2037247357791774E-5</v>
      </c>
      <c r="BX208" s="964">
        <f>IF(AI208="","-",IFERROR((AI208/AH208-1)*(AH209/AH$13),"-"))</f>
        <v>9.0708660777476165E-5</v>
      </c>
      <c r="BY208" s="966">
        <f>IF(AJ208="","-",IFERROR((AJ208/AI208-1)*(AI209/AI$13),"-"))</f>
        <v>8.9173447663724905E-5</v>
      </c>
      <c r="BZ208" s="951"/>
      <c r="CA208" s="961" t="str">
        <f t="shared" si="259"/>
        <v>Qty</v>
      </c>
      <c r="CB208" s="962" t="str">
        <f t="shared" si="260"/>
        <v>Sewerage</v>
      </c>
      <c r="CC208" s="962" t="str">
        <f t="shared" si="261"/>
        <v xml:space="preserve">Price cap - Variable </v>
      </c>
      <c r="CD208" s="967">
        <f t="shared" si="287"/>
        <v>6.3026198687669455E-2</v>
      </c>
      <c r="CE208" s="964">
        <f t="shared" si="287"/>
        <v>3.0453513982148461E-2</v>
      </c>
      <c r="CF208" s="964">
        <f t="shared" si="287"/>
        <v>2.3509842258621294E-2</v>
      </c>
      <c r="CG208" s="965">
        <f t="shared" si="284"/>
        <v>5.0112246277359329E-2</v>
      </c>
      <c r="CH208" s="964">
        <f t="shared" si="288"/>
        <v>1.1940681638803019E-2</v>
      </c>
      <c r="CI208" s="964">
        <f t="shared" si="288"/>
        <v>1.0465719762508208E-2</v>
      </c>
      <c r="CJ208" s="964">
        <f t="shared" si="288"/>
        <v>9.7149737465347386E-3</v>
      </c>
      <c r="CK208" s="966">
        <f t="shared" si="285"/>
        <v>9.2537080447658848E-3</v>
      </c>
    </row>
    <row r="209" spans="4:89" ht="12.75" thickBot="1">
      <c r="E209" s="568" t="s">
        <v>882</v>
      </c>
      <c r="F209" s="560" t="str">
        <f>+F207</f>
        <v>Sewerage</v>
      </c>
      <c r="G209" s="561" t="str">
        <f>+G207</f>
        <v>SEW</v>
      </c>
      <c r="H209" s="561" t="str">
        <f>+H207</f>
        <v>Trade waste - BOD Eastern</v>
      </c>
      <c r="I209" s="562" t="str">
        <f>+I207</f>
        <v xml:space="preserve">Price cap - Variable </v>
      </c>
      <c r="J209" s="563" t="s">
        <v>883</v>
      </c>
      <c r="K209" s="564">
        <f t="shared" ref="K209:AJ209" si="302">K207*K208/10^6</f>
        <v>0</v>
      </c>
      <c r="L209" s="565">
        <f t="shared" si="302"/>
        <v>0</v>
      </c>
      <c r="M209" s="565">
        <f t="shared" si="302"/>
        <v>0</v>
      </c>
      <c r="N209" s="564">
        <f t="shared" si="302"/>
        <v>0</v>
      </c>
      <c r="O209" s="565">
        <f t="shared" si="302"/>
        <v>0</v>
      </c>
      <c r="P209" s="565">
        <f t="shared" si="302"/>
        <v>0</v>
      </c>
      <c r="Q209" s="565">
        <f t="shared" si="302"/>
        <v>0</v>
      </c>
      <c r="R209" s="566">
        <f t="shared" si="302"/>
        <v>0</v>
      </c>
      <c r="S209" s="564">
        <f t="shared" si="302"/>
        <v>0</v>
      </c>
      <c r="T209" s="565">
        <f t="shared" si="302"/>
        <v>0</v>
      </c>
      <c r="U209" s="566">
        <f t="shared" si="302"/>
        <v>4.1617413610896214</v>
      </c>
      <c r="V209" s="565">
        <f t="shared" si="302"/>
        <v>3.0262163574127223</v>
      </c>
      <c r="W209" s="565">
        <f t="shared" si="302"/>
        <v>3.1684115034576261</v>
      </c>
      <c r="X209" s="565">
        <f t="shared" si="302"/>
        <v>3.0678687000325788</v>
      </c>
      <c r="Y209" s="565">
        <f t="shared" si="302"/>
        <v>3.0769806473978165</v>
      </c>
      <c r="Z209" s="565">
        <f t="shared" si="302"/>
        <v>3.5805084711158011</v>
      </c>
      <c r="AA209" s="564">
        <f t="shared" si="302"/>
        <v>11.18556785846528</v>
      </c>
      <c r="AB209" s="565">
        <f t="shared" si="302"/>
        <v>11.361573261082203</v>
      </c>
      <c r="AC209" s="565">
        <f t="shared" si="302"/>
        <v>11.447037769223261</v>
      </c>
      <c r="AD209" s="565">
        <f t="shared" si="302"/>
        <v>11.532502277364314</v>
      </c>
      <c r="AE209" s="566">
        <f t="shared" si="302"/>
        <v>11.617966785505368</v>
      </c>
      <c r="AF209" s="565">
        <f t="shared" si="302"/>
        <v>14.031830715528434</v>
      </c>
      <c r="AG209" s="565">
        <f>AG207*AG208/10^6</f>
        <v>14.235261263180766</v>
      </c>
      <c r="AH209" s="565">
        <f>AH207*AH208/10^6</f>
        <v>14.438691810833093</v>
      </c>
      <c r="AI209" s="565">
        <f>AI207*AI208/10^6</f>
        <v>14.642122358485421</v>
      </c>
      <c r="AJ209" s="566">
        <f t="shared" si="302"/>
        <v>14.845552906137751</v>
      </c>
      <c r="AK209" s="548"/>
      <c r="AO209" s="984" t="str">
        <f t="shared" si="263"/>
        <v>Rev</v>
      </c>
      <c r="AP209" s="985" t="str">
        <f t="shared" si="263"/>
        <v>Sewerage</v>
      </c>
      <c r="AQ209" s="986" t="str">
        <f t="shared" si="264"/>
        <v xml:space="preserve">Price cap - Variable </v>
      </c>
      <c r="AR209" s="990">
        <f t="shared" si="265"/>
        <v>-0.27284852785267688</v>
      </c>
      <c r="AS209" s="987">
        <f t="shared" si="266"/>
        <v>4.6987765992539288E-2</v>
      </c>
      <c r="AT209" s="987">
        <f t="shared" si="267"/>
        <v>-3.1732874128037603E-2</v>
      </c>
      <c r="AU209" s="987">
        <f t="shared" si="268"/>
        <v>2.9701229929237627E-3</v>
      </c>
      <c r="AV209" s="1353">
        <f t="shared" si="269"/>
        <v>0.16364348087265834</v>
      </c>
      <c r="AW209" s="1346">
        <f t="shared" si="270"/>
        <v>2.1240165883421298</v>
      </c>
      <c r="AX209" s="987">
        <f t="shared" si="271"/>
        <v>1.5735044017789468E-2</v>
      </c>
      <c r="AY209" s="987">
        <f t="shared" si="272"/>
        <v>7.5222424022742818E-3</v>
      </c>
      <c r="AZ209" s="987">
        <f t="shared" si="273"/>
        <v>7.4660807332036505E-3</v>
      </c>
      <c r="BA209" s="988">
        <f t="shared" si="274"/>
        <v>7.4107514644763395E-3</v>
      </c>
      <c r="BB209" s="1346">
        <f t="shared" si="275"/>
        <v>0.20776991143016632</v>
      </c>
      <c r="BC209" s="987">
        <f t="shared" si="276"/>
        <v>1.4497790899601126E-2</v>
      </c>
      <c r="BD209" s="987">
        <f t="shared" si="277"/>
        <v>1.4290608643657166E-2</v>
      </c>
      <c r="BE209" s="987">
        <f t="shared" si="278"/>
        <v>1.40892644789119E-2</v>
      </c>
      <c r="BF209" s="989">
        <f t="shared" si="279"/>
        <v>1.3893515070541484E-2</v>
      </c>
      <c r="BG209" s="951"/>
      <c r="BH209" s="984" t="str">
        <f t="shared" si="280"/>
        <v>Rev</v>
      </c>
      <c r="BI209" s="985" t="str">
        <f t="shared" si="281"/>
        <v>Sewerage</v>
      </c>
      <c r="BJ209" s="986" t="str">
        <f t="shared" si="282"/>
        <v xml:space="preserve">Price cap - Variable </v>
      </c>
      <c r="BK209" s="987">
        <f t="shared" ref="BK209:BU209" si="303">IF(V209="","-",IFERROR((V209/U209-1)*(U209/U$13),"-"))</f>
        <v>-5.8884664041937863E-4</v>
      </c>
      <c r="BL209" s="987">
        <f t="shared" si="303"/>
        <v>7.6305771060831973E-5</v>
      </c>
      <c r="BM209" s="987">
        <f t="shared" si="303"/>
        <v>-5.4338114366147636E-5</v>
      </c>
      <c r="BN209" s="987">
        <f t="shared" si="303"/>
        <v>4.8962799591008476E-6</v>
      </c>
      <c r="BO209" s="1353">
        <f t="shared" si="303"/>
        <v>2.6717336896514918E-4</v>
      </c>
      <c r="BP209" s="1346">
        <f t="shared" si="303"/>
        <v>4.0369971576362691E-3</v>
      </c>
      <c r="BQ209" s="987">
        <f t="shared" si="303"/>
        <v>9.2963075842168426E-5</v>
      </c>
      <c r="BR209" s="987">
        <f t="shared" si="303"/>
        <v>4.3456697047006173E-5</v>
      </c>
      <c r="BS209" s="987">
        <f t="shared" si="303"/>
        <v>4.2634604187257657E-5</v>
      </c>
      <c r="BT209" s="988">
        <f t="shared" si="303"/>
        <v>4.1838367099535322E-5</v>
      </c>
      <c r="BU209" s="987">
        <f t="shared" si="303"/>
        <v>1.1594068161196653E-3</v>
      </c>
      <c r="BV209" s="987">
        <f>IF(AG209="","-",IFERROR((AG209/AF209-1)*(AF209/AF$13),"-"))</f>
        <v>9.3326383992303904E-5</v>
      </c>
      <c r="BW209" s="987">
        <f>IF(AH209="","-",IFERROR((AH209/AG209-1)*(AG209/AG$13),"-"))</f>
        <v>9.2037247357793211E-5</v>
      </c>
      <c r="BX209" s="987">
        <f>IF(AI209="","-",IFERROR((AI209/AH209-1)*(AH209/AH$13),"-"))</f>
        <v>9.0708660777474729E-5</v>
      </c>
      <c r="BY209" s="989">
        <f>IF(AJ209="","-",IFERROR((AJ209/AI209-1)*(AI209/AI$13),"-"))</f>
        <v>8.9173447663724905E-5</v>
      </c>
      <c r="BZ209" s="951"/>
      <c r="CA209" s="984" t="str">
        <f t="shared" si="259"/>
        <v>Rev</v>
      </c>
      <c r="CB209" s="985" t="str">
        <f t="shared" si="260"/>
        <v>Sewerage</v>
      </c>
      <c r="CC209" s="985" t="str">
        <f t="shared" si="261"/>
        <v xml:space="preserve">Price cap - Variable </v>
      </c>
      <c r="CD209" s="990">
        <f t="shared" si="287"/>
        <v>-0.12746421542625996</v>
      </c>
      <c r="CE209" s="987">
        <f t="shared" si="287"/>
        <v>-9.6654482359078808E-2</v>
      </c>
      <c r="CF209" s="987">
        <f t="shared" si="287"/>
        <v>-7.2716740283690462E-2</v>
      </c>
      <c r="CG209" s="988">
        <f t="shared" si="284"/>
        <v>-2.9637680866015592E-2</v>
      </c>
      <c r="CH209" s="987">
        <f t="shared" si="288"/>
        <v>0.78134026139645707</v>
      </c>
      <c r="CI209" s="987">
        <f t="shared" si="288"/>
        <v>0.47315848005679406</v>
      </c>
      <c r="CJ209" s="987">
        <f t="shared" si="288"/>
        <v>0.33966037204411692</v>
      </c>
      <c r="CK209" s="989">
        <f t="shared" si="285"/>
        <v>0.26542696612978123</v>
      </c>
    </row>
    <row r="210" spans="4:89">
      <c r="D210" s="63">
        <f>D207+1</f>
        <v>48</v>
      </c>
      <c r="E210" s="550" t="s">
        <v>857</v>
      </c>
      <c r="F210" s="595" t="s">
        <v>402</v>
      </c>
      <c r="G210" s="595" t="s">
        <v>103</v>
      </c>
      <c r="H210" s="595" t="s">
        <v>897</v>
      </c>
      <c r="I210" s="589" t="s">
        <v>941</v>
      </c>
      <c r="J210" s="589" t="s">
        <v>879</v>
      </c>
      <c r="K210" s="551"/>
      <c r="L210" s="552"/>
      <c r="M210" s="552"/>
      <c r="N210" s="551"/>
      <c r="O210" s="552"/>
      <c r="P210" s="552"/>
      <c r="Q210" s="552"/>
      <c r="R210" s="1035"/>
      <c r="S210" s="1138"/>
      <c r="T210" s="591"/>
      <c r="U210" s="1035">
        <v>443.63940823327607</v>
      </c>
      <c r="V210" s="591">
        <v>298.8950127226463</v>
      </c>
      <c r="W210" s="591">
        <v>298.88813559322028</v>
      </c>
      <c r="X210" s="591">
        <v>298.88669683257922</v>
      </c>
      <c r="Y210" s="591">
        <v>298.89021834061134</v>
      </c>
      <c r="Z210" s="591">
        <v>298.89670000000001</v>
      </c>
      <c r="AA210" s="1138">
        <v>926.2</v>
      </c>
      <c r="AB210" s="591">
        <v>926.2</v>
      </c>
      <c r="AC210" s="591">
        <v>926.2</v>
      </c>
      <c r="AD210" s="591">
        <v>926.2</v>
      </c>
      <c r="AE210" s="1035">
        <v>926.2</v>
      </c>
      <c r="AF210" s="591">
        <v>1110.4676297606736</v>
      </c>
      <c r="AG210" s="591">
        <v>1110.4676297606736</v>
      </c>
      <c r="AH210" s="591">
        <v>1110.4676297606736</v>
      </c>
      <c r="AI210" s="591">
        <v>1110.4676297606736</v>
      </c>
      <c r="AJ210" s="592">
        <v>1110.4676297606736</v>
      </c>
      <c r="AK210" s="548"/>
      <c r="AM210" s="974"/>
      <c r="AO210" s="975" t="str">
        <f t="shared" si="263"/>
        <v>Price</v>
      </c>
      <c r="AP210" s="976" t="str">
        <f t="shared" si="263"/>
        <v>Sewerage</v>
      </c>
      <c r="AQ210" s="977" t="str">
        <f t="shared" si="264"/>
        <v xml:space="preserve">Price cap - Variable </v>
      </c>
      <c r="AR210" s="1341">
        <f t="shared" si="265"/>
        <v>-0.32626586553041237</v>
      </c>
      <c r="AS210" s="978">
        <f t="shared" si="266"/>
        <v>-2.300851179604102E-5</v>
      </c>
      <c r="AT210" s="979">
        <f t="shared" si="267"/>
        <v>-4.8137094441624839E-6</v>
      </c>
      <c r="AU210" s="979">
        <f t="shared" si="268"/>
        <v>1.178208354346566E-5</v>
      </c>
      <c r="AV210" s="1352">
        <f t="shared" si="269"/>
        <v>2.1685752797928615E-5</v>
      </c>
      <c r="AW210" s="1345">
        <f t="shared" si="270"/>
        <v>2.0987294272569756</v>
      </c>
      <c r="AX210" s="979">
        <f t="shared" si="271"/>
        <v>0</v>
      </c>
      <c r="AY210" s="979">
        <f t="shared" si="272"/>
        <v>0</v>
      </c>
      <c r="AZ210" s="979">
        <f t="shared" si="273"/>
        <v>0</v>
      </c>
      <c r="BA210" s="980">
        <f t="shared" si="274"/>
        <v>0</v>
      </c>
      <c r="BB210" s="1345">
        <f t="shared" si="275"/>
        <v>0.19895015089686208</v>
      </c>
      <c r="BC210" s="979">
        <f t="shared" si="276"/>
        <v>0</v>
      </c>
      <c r="BD210" s="979">
        <f t="shared" si="277"/>
        <v>0</v>
      </c>
      <c r="BE210" s="979">
        <f t="shared" si="278"/>
        <v>0</v>
      </c>
      <c r="BF210" s="981">
        <f t="shared" si="279"/>
        <v>0</v>
      </c>
      <c r="BG210" s="951"/>
      <c r="BH210" s="975" t="str">
        <f t="shared" si="280"/>
        <v>Price</v>
      </c>
      <c r="BI210" s="976" t="str">
        <f t="shared" si="281"/>
        <v>Sewerage</v>
      </c>
      <c r="BJ210" s="977" t="str">
        <f t="shared" si="282"/>
        <v xml:space="preserve">Price cap - Variable </v>
      </c>
      <c r="BK210" s="978">
        <f t="shared" ref="BK210:BU210" si="304">IF(V210="","-",IFERROR((V210/U210-1)*(U212/U$13),"-"))</f>
        <v>-1.0194543548802069E-4</v>
      </c>
      <c r="BL210" s="978">
        <f t="shared" si="304"/>
        <v>-5.4770952309813589E-9</v>
      </c>
      <c r="BM210" s="979">
        <f t="shared" si="304"/>
        <v>-1.1684692781644305E-9</v>
      </c>
      <c r="BN210" s="979">
        <f t="shared" si="304"/>
        <v>2.6699305440182259E-9</v>
      </c>
      <c r="BO210" s="1352">
        <f t="shared" si="304"/>
        <v>5.371443961546298E-9</v>
      </c>
      <c r="BP210" s="1345">
        <f t="shared" si="304"/>
        <v>4.3586060135220142E-4</v>
      </c>
      <c r="BQ210" s="979">
        <f t="shared" si="304"/>
        <v>0</v>
      </c>
      <c r="BR210" s="979">
        <f t="shared" si="304"/>
        <v>0</v>
      </c>
      <c r="BS210" s="979">
        <f t="shared" si="304"/>
        <v>0</v>
      </c>
      <c r="BT210" s="980">
        <f t="shared" si="304"/>
        <v>0</v>
      </c>
      <c r="BU210" s="979">
        <f t="shared" si="304"/>
        <v>1.2281730471306096E-4</v>
      </c>
      <c r="BV210" s="979">
        <f>IF(AG210="","-",IFERROR((AG210/AF210-1)*(AF212/AF$13),"-"))</f>
        <v>0</v>
      </c>
      <c r="BW210" s="979">
        <f>IF(AH210="","-",IFERROR((AH210/AG210-1)*(AG212/AG$13),"-"))</f>
        <v>0</v>
      </c>
      <c r="BX210" s="979">
        <f>IF(AI210="","-",IFERROR((AI210/AH210-1)*(AH212/AH$13),"-"))</f>
        <v>0</v>
      </c>
      <c r="BY210" s="981">
        <f>IF(AJ210="","-",IFERROR((AJ210/AI210-1)*(AI212/AI$13),"-"))</f>
        <v>0</v>
      </c>
      <c r="BZ210" s="951"/>
      <c r="CA210" s="975" t="str">
        <f t="shared" si="259"/>
        <v>Price</v>
      </c>
      <c r="CB210" s="976" t="str">
        <f t="shared" si="260"/>
        <v>Sewerage</v>
      </c>
      <c r="CC210" s="982" t="str">
        <f t="shared" si="261"/>
        <v xml:space="preserve">Price cap - Variable </v>
      </c>
      <c r="CD210" s="983">
        <f t="shared" si="287"/>
        <v>-0.17919634939298223</v>
      </c>
      <c r="CE210" s="979">
        <f t="shared" si="287"/>
        <v>-0.12335150942425666</v>
      </c>
      <c r="CF210" s="979">
        <f t="shared" si="287"/>
        <v>-9.4016274753122686E-2</v>
      </c>
      <c r="CG210" s="980">
        <f t="shared" si="284"/>
        <v>-7.5944193038494645E-2</v>
      </c>
      <c r="CH210" s="979">
        <f t="shared" si="288"/>
        <v>0.76032083077403123</v>
      </c>
      <c r="CI210" s="979">
        <f t="shared" si="288"/>
        <v>0.45790050196164378</v>
      </c>
      <c r="CJ210" s="979">
        <f t="shared" si="288"/>
        <v>0.32677082827971127</v>
      </c>
      <c r="CK210" s="981">
        <f t="shared" si="285"/>
        <v>0.25382444081508648</v>
      </c>
    </row>
    <row r="211" spans="4:89">
      <c r="E211" s="567" t="s">
        <v>880</v>
      </c>
      <c r="F211" s="554" t="str">
        <f>+F210</f>
        <v>Sewerage</v>
      </c>
      <c r="G211" s="555" t="str">
        <f>+G210</f>
        <v>YVW</v>
      </c>
      <c r="H211" s="555" t="str">
        <f>+H210</f>
        <v>Trade waste - BOD Eastern</v>
      </c>
      <c r="I211" s="556" t="str">
        <f>+I210</f>
        <v xml:space="preserve">Price cap - Variable </v>
      </c>
      <c r="J211" s="590" t="s">
        <v>896</v>
      </c>
      <c r="K211" s="557"/>
      <c r="L211" s="558"/>
      <c r="M211" s="558"/>
      <c r="N211" s="557"/>
      <c r="O211" s="558"/>
      <c r="P211" s="558"/>
      <c r="Q211" s="558"/>
      <c r="R211" s="1036"/>
      <c r="S211" s="1139"/>
      <c r="T211" s="593"/>
      <c r="U211" s="1036">
        <v>1358.19</v>
      </c>
      <c r="V211" s="593">
        <v>1484.125</v>
      </c>
      <c r="W211" s="593">
        <v>1502.7099999999998</v>
      </c>
      <c r="X211" s="593">
        <v>1410.9649999999999</v>
      </c>
      <c r="Y211" s="593">
        <v>1561.835</v>
      </c>
      <c r="Z211" s="593">
        <v>1308.9233272777542</v>
      </c>
      <c r="AA211" s="1139">
        <v>1321.7176987307812</v>
      </c>
      <c r="AB211" s="593">
        <v>1347.8025506317649</v>
      </c>
      <c r="AC211" s="593">
        <v>1361.0930310797212</v>
      </c>
      <c r="AD211" s="593">
        <v>1374.3835115276777</v>
      </c>
      <c r="AE211" s="1036">
        <v>1387.6739919756342</v>
      </c>
      <c r="AF211" s="593">
        <v>1400.9644724235905</v>
      </c>
      <c r="AG211" s="593">
        <v>1421.2051298241713</v>
      </c>
      <c r="AH211" s="593">
        <v>1441.4457872247522</v>
      </c>
      <c r="AI211" s="593">
        <v>1461.6864446253326</v>
      </c>
      <c r="AJ211" s="594">
        <v>1481.9271020259139</v>
      </c>
      <c r="AK211" s="548"/>
      <c r="AO211" s="961" t="str">
        <f t="shared" si="263"/>
        <v>Qty</v>
      </c>
      <c r="AP211" s="962" t="str">
        <f t="shared" si="263"/>
        <v>Sewerage</v>
      </c>
      <c r="AQ211" s="963" t="str">
        <f t="shared" si="264"/>
        <v xml:space="preserve">Price cap - Variable </v>
      </c>
      <c r="AR211" s="967">
        <f t="shared" si="265"/>
        <v>9.2722667667999303E-2</v>
      </c>
      <c r="AS211" s="964">
        <f t="shared" si="266"/>
        <v>1.2522530110334218E-2</v>
      </c>
      <c r="AT211" s="964">
        <f t="shared" si="267"/>
        <v>-6.1053030857583845E-2</v>
      </c>
      <c r="AU211" s="964">
        <f t="shared" si="268"/>
        <v>0.10692681958801264</v>
      </c>
      <c r="AV211" s="1350">
        <f t="shared" si="269"/>
        <v>-0.1619323889669817</v>
      </c>
      <c r="AW211" s="1343">
        <f t="shared" si="270"/>
        <v>9.7747294943824059E-3</v>
      </c>
      <c r="AX211" s="964">
        <f t="shared" si="271"/>
        <v>1.9735569801351938E-2</v>
      </c>
      <c r="AY211" s="964">
        <f t="shared" si="272"/>
        <v>9.8608512365008227E-3</v>
      </c>
      <c r="AZ211" s="964">
        <f t="shared" si="273"/>
        <v>9.7645643203487786E-3</v>
      </c>
      <c r="BA211" s="965">
        <f t="shared" si="274"/>
        <v>9.6701396200422618E-3</v>
      </c>
      <c r="BB211" s="1343">
        <f t="shared" si="275"/>
        <v>9.5775236293320631E-3</v>
      </c>
      <c r="BC211" s="964">
        <f t="shared" si="276"/>
        <v>1.4447659308280514E-2</v>
      </c>
      <c r="BD211" s="964">
        <f t="shared" si="277"/>
        <v>1.4241897229209322E-2</v>
      </c>
      <c r="BE211" s="964">
        <f t="shared" si="278"/>
        <v>1.4041913736867029E-2</v>
      </c>
      <c r="BF211" s="966">
        <f t="shared" si="279"/>
        <v>1.3847468774857097E-2</v>
      </c>
      <c r="BG211" s="951"/>
      <c r="BH211" s="961" t="str">
        <f t="shared" si="280"/>
        <v>Qty</v>
      </c>
      <c r="BI211" s="962" t="str">
        <f t="shared" si="281"/>
        <v>Sewerage</v>
      </c>
      <c r="BJ211" s="963" t="str">
        <f t="shared" si="282"/>
        <v xml:space="preserve">Price cap - Variable </v>
      </c>
      <c r="BK211" s="964">
        <f t="shared" ref="BK211:BU211" si="305">IF(V211="","-",IFERROR((V211/U211-1)*(U212/U$13),"-"))</f>
        <v>2.8972239310594046E-5</v>
      </c>
      <c r="BL211" s="964">
        <f t="shared" si="305"/>
        <v>2.9809442068710207E-6</v>
      </c>
      <c r="BM211" s="964">
        <f t="shared" si="305"/>
        <v>-1.4819878873749429E-5</v>
      </c>
      <c r="BN211" s="964">
        <f t="shared" si="305"/>
        <v>2.4230619358584703E-5</v>
      </c>
      <c r="BO211" s="1350">
        <f t="shared" si="305"/>
        <v>-4.0109779033289685E-5</v>
      </c>
      <c r="BP211" s="1343">
        <f t="shared" si="305"/>
        <v>2.0299993987528698E-6</v>
      </c>
      <c r="BQ211" s="964">
        <f t="shared" si="305"/>
        <v>1.2760792231189357E-5</v>
      </c>
      <c r="BR211" s="964">
        <f t="shared" si="305"/>
        <v>6.2591646269034703E-6</v>
      </c>
      <c r="BS211" s="964">
        <f t="shared" si="305"/>
        <v>6.1407567658048917E-6</v>
      </c>
      <c r="BT211" s="965">
        <f t="shared" si="305"/>
        <v>6.0260729689964885E-6</v>
      </c>
      <c r="BU211" s="964">
        <f t="shared" si="305"/>
        <v>5.9124641659106698E-6</v>
      </c>
      <c r="BV211" s="964">
        <f>IF(AG211="","-",IFERROR((AG211/AF211-1)*(AF212/AF$13),"-"))</f>
        <v>1.0311427393137313E-5</v>
      </c>
      <c r="BW211" s="964">
        <f>IF(AH211="","-",IFERROR((AH211/AG211-1)*(AG212/AG$13),"-"))</f>
        <v>1.0168993514978306E-5</v>
      </c>
      <c r="BX211" s="964">
        <f>IF(AI211="","-",IFERROR((AI211/AH211-1)*(AH212/AH$13),"-"))</f>
        <v>1.0022200898866693E-5</v>
      </c>
      <c r="BY211" s="966">
        <f>IF(AJ211="","-",IFERROR((AJ211/AI211-1)*(AI212/AI$13),"-"))</f>
        <v>9.8525785704509259E-6</v>
      </c>
      <c r="BZ211" s="951"/>
      <c r="CA211" s="961" t="str">
        <f t="shared" si="259"/>
        <v>Qty</v>
      </c>
      <c r="CB211" s="962" t="str">
        <f t="shared" si="260"/>
        <v>Sewerage</v>
      </c>
      <c r="CC211" s="962" t="str">
        <f t="shared" si="261"/>
        <v xml:space="preserve">Price cap - Variable </v>
      </c>
      <c r="CD211" s="967">
        <f t="shared" si="287"/>
        <v>5.1858507678725907E-2</v>
      </c>
      <c r="CE211" s="964">
        <f t="shared" si="287"/>
        <v>1.278805553004303E-2</v>
      </c>
      <c r="CF211" s="964">
        <f t="shared" si="287"/>
        <v>3.5544235857481121E-2</v>
      </c>
      <c r="CG211" s="965">
        <f t="shared" si="284"/>
        <v>-7.3623678625480693E-3</v>
      </c>
      <c r="CH211" s="964">
        <f t="shared" si="288"/>
        <v>1.4742927618596635E-2</v>
      </c>
      <c r="CI211" s="964">
        <f t="shared" si="288"/>
        <v>1.3112952006176792E-2</v>
      </c>
      <c r="CJ211" s="964">
        <f t="shared" si="288"/>
        <v>1.227481558763821E-2</v>
      </c>
      <c r="CK211" s="966">
        <f t="shared" si="285"/>
        <v>1.1753343399245386E-2</v>
      </c>
    </row>
    <row r="212" spans="4:89" ht="12.75" thickBot="1">
      <c r="E212" s="568" t="s">
        <v>882</v>
      </c>
      <c r="F212" s="560" t="str">
        <f>+F210</f>
        <v>Sewerage</v>
      </c>
      <c r="G212" s="561" t="str">
        <f>+G210</f>
        <v>YVW</v>
      </c>
      <c r="H212" s="561" t="str">
        <f>+H210</f>
        <v>Trade waste - BOD Eastern</v>
      </c>
      <c r="I212" s="562" t="str">
        <f>+I210</f>
        <v xml:space="preserve">Price cap - Variable </v>
      </c>
      <c r="J212" s="563" t="s">
        <v>883</v>
      </c>
      <c r="K212" s="564">
        <f t="shared" ref="K212:AJ212" si="306">K210*K211/10^6</f>
        <v>0</v>
      </c>
      <c r="L212" s="565">
        <f t="shared" si="306"/>
        <v>0</v>
      </c>
      <c r="M212" s="565">
        <f t="shared" si="306"/>
        <v>0</v>
      </c>
      <c r="N212" s="564">
        <f t="shared" si="306"/>
        <v>0</v>
      </c>
      <c r="O212" s="565">
        <f t="shared" si="306"/>
        <v>0</v>
      </c>
      <c r="P212" s="565">
        <f t="shared" si="306"/>
        <v>0</v>
      </c>
      <c r="Q212" s="565">
        <f t="shared" si="306"/>
        <v>0</v>
      </c>
      <c r="R212" s="566">
        <f t="shared" si="306"/>
        <v>0</v>
      </c>
      <c r="S212" s="564">
        <f t="shared" si="306"/>
        <v>0</v>
      </c>
      <c r="T212" s="565">
        <f t="shared" si="306"/>
        <v>0</v>
      </c>
      <c r="U212" s="566">
        <f t="shared" si="306"/>
        <v>0.60254660786835323</v>
      </c>
      <c r="V212" s="565">
        <f t="shared" si="306"/>
        <v>0.44359756075699741</v>
      </c>
      <c r="W212" s="565">
        <f t="shared" si="306"/>
        <v>0.44914219023728802</v>
      </c>
      <c r="X212" s="565">
        <f t="shared" si="306"/>
        <v>0.42171866819638015</v>
      </c>
      <c r="Y212" s="565">
        <f t="shared" si="306"/>
        <v>0.46681720416200873</v>
      </c>
      <c r="Z212" s="565">
        <f t="shared" si="306"/>
        <v>0.3912328630763407</v>
      </c>
      <c r="AA212" s="564">
        <f t="shared" si="306"/>
        <v>1.2241749325644495</v>
      </c>
      <c r="AB212" s="565">
        <f t="shared" si="306"/>
        <v>1.2483347223951407</v>
      </c>
      <c r="AC212" s="565">
        <f t="shared" si="306"/>
        <v>1.2606443653860377</v>
      </c>
      <c r="AD212" s="565">
        <f t="shared" si="306"/>
        <v>1.2729540083769351</v>
      </c>
      <c r="AE212" s="566">
        <f t="shared" si="306"/>
        <v>1.2852636513678324</v>
      </c>
      <c r="AF212" s="565">
        <f t="shared" si="306"/>
        <v>1.5557256970711371</v>
      </c>
      <c r="AG212" s="565">
        <f>AG210*AG211/10^6</f>
        <v>1.5782022919195577</v>
      </c>
      <c r="AH212" s="565">
        <f>AH210*AH211/10^6</f>
        <v>1.6006788867679789</v>
      </c>
      <c r="AI212" s="565">
        <f>AI210*AI211/10^6</f>
        <v>1.6231554816163993</v>
      </c>
      <c r="AJ212" s="566">
        <f t="shared" si="306"/>
        <v>1.6456320764648205</v>
      </c>
      <c r="AK212" s="548"/>
      <c r="AO212" s="984" t="str">
        <f t="shared" si="263"/>
        <v>Rev</v>
      </c>
      <c r="AP212" s="985" t="str">
        <f t="shared" si="263"/>
        <v>Sewerage</v>
      </c>
      <c r="AQ212" s="986" t="str">
        <f t="shared" si="264"/>
        <v xml:space="preserve">Price cap - Variable </v>
      </c>
      <c r="AR212" s="990">
        <f t="shared" si="265"/>
        <v>-0.26379543928340166</v>
      </c>
      <c r="AS212" s="987">
        <f t="shared" si="266"/>
        <v>1.2499233473756588E-2</v>
      </c>
      <c r="AT212" s="987">
        <f t="shared" si="267"/>
        <v>-6.1057550675476802E-2</v>
      </c>
      <c r="AU212" s="987">
        <f t="shared" si="268"/>
        <v>0.10693986149227741</v>
      </c>
      <c r="AV212" s="1353">
        <f t="shared" si="269"/>
        <v>-0.16191421483994084</v>
      </c>
      <c r="AW212" s="1346">
        <f t="shared" si="270"/>
        <v>2.1290186691846951</v>
      </c>
      <c r="AX212" s="987">
        <f t="shared" si="271"/>
        <v>1.9735569801351938E-2</v>
      </c>
      <c r="AY212" s="987">
        <f t="shared" si="272"/>
        <v>9.8608512365008227E-3</v>
      </c>
      <c r="AZ212" s="987">
        <f t="shared" si="273"/>
        <v>9.7645643203487786E-3</v>
      </c>
      <c r="BA212" s="988">
        <f t="shared" si="274"/>
        <v>9.6701396200422618E-3</v>
      </c>
      <c r="BB212" s="1346">
        <f t="shared" si="275"/>
        <v>0.21043312429746797</v>
      </c>
      <c r="BC212" s="987">
        <f t="shared" si="276"/>
        <v>1.4447659308280292E-2</v>
      </c>
      <c r="BD212" s="987">
        <f t="shared" si="277"/>
        <v>1.4241897229209544E-2</v>
      </c>
      <c r="BE212" s="987">
        <f t="shared" si="278"/>
        <v>1.4041913736867029E-2</v>
      </c>
      <c r="BF212" s="989">
        <f t="shared" si="279"/>
        <v>1.3847468774857097E-2</v>
      </c>
      <c r="BG212" s="951"/>
      <c r="BH212" s="984" t="str">
        <f t="shared" si="280"/>
        <v>Rev</v>
      </c>
      <c r="BI212" s="985" t="str">
        <f t="shared" si="281"/>
        <v>Sewerage</v>
      </c>
      <c r="BJ212" s="986" t="str">
        <f t="shared" si="282"/>
        <v xml:space="preserve">Price cap - Variable </v>
      </c>
      <c r="BK212" s="987">
        <f t="shared" ref="BK212:BU212" si="307">IF(V212="","-",IFERROR((V212/U212-1)*(U212/U$13),"-"))</f>
        <v>-8.2425848912451847E-5</v>
      </c>
      <c r="BL212" s="987">
        <f t="shared" si="307"/>
        <v>2.9753985245501327E-6</v>
      </c>
      <c r="BM212" s="987">
        <f t="shared" si="307"/>
        <v>-1.4820976004436705E-5</v>
      </c>
      <c r="BN212" s="987">
        <f t="shared" si="307"/>
        <v>2.4233574776310287E-5</v>
      </c>
      <c r="BO212" s="1353">
        <f t="shared" si="307"/>
        <v>-4.0105277400081024E-5</v>
      </c>
      <c r="BP212" s="1346">
        <f t="shared" si="307"/>
        <v>4.4215102022643088E-4</v>
      </c>
      <c r="BQ212" s="987">
        <f t="shared" si="307"/>
        <v>1.2760792231189357E-5</v>
      </c>
      <c r="BR212" s="987">
        <f t="shared" si="307"/>
        <v>6.2591646269034703E-6</v>
      </c>
      <c r="BS212" s="987">
        <f t="shared" si="307"/>
        <v>6.1407567658048917E-6</v>
      </c>
      <c r="BT212" s="988">
        <f t="shared" si="307"/>
        <v>6.0260729689964885E-6</v>
      </c>
      <c r="BU212" s="987">
        <f t="shared" si="307"/>
        <v>1.2990605451695182E-4</v>
      </c>
      <c r="BV212" s="987">
        <f>IF(AG212="","-",IFERROR((AG212/AF212-1)*(AF212/AF$13),"-"))</f>
        <v>1.0311427393137154E-5</v>
      </c>
      <c r="BW212" s="987">
        <f>IF(AH212="","-",IFERROR((AH212/AG212-1)*(AG212/AG$13),"-"))</f>
        <v>1.0168993514978464E-5</v>
      </c>
      <c r="BX212" s="987">
        <f>IF(AI212="","-",IFERROR((AI212/AH212-1)*(AH212/AH$13),"-"))</f>
        <v>1.0022200898866693E-5</v>
      </c>
      <c r="BY212" s="989">
        <f>IF(AJ212="","-",IFERROR((AJ212/AI212-1)*(AI212/AI$13),"-"))</f>
        <v>9.8525785704509259E-6</v>
      </c>
      <c r="BZ212" s="951"/>
      <c r="CA212" s="984" t="str">
        <f t="shared" si="259"/>
        <v>Rev</v>
      </c>
      <c r="CB212" s="985" t="str">
        <f t="shared" si="260"/>
        <v>Sewerage</v>
      </c>
      <c r="CC212" s="985" t="str">
        <f t="shared" si="261"/>
        <v xml:space="preserve">Price cap - Variable </v>
      </c>
      <c r="CD212" s="990">
        <f t="shared" si="287"/>
        <v>-0.13663069697525176</v>
      </c>
      <c r="CE212" s="987">
        <f t="shared" si="287"/>
        <v>-0.11214087984644572</v>
      </c>
      <c r="CF212" s="987">
        <f t="shared" si="287"/>
        <v>-6.1813775539908189E-2</v>
      </c>
      <c r="CG212" s="988">
        <f t="shared" si="284"/>
        <v>-8.2747431814868988E-2</v>
      </c>
      <c r="CH212" s="987">
        <f t="shared" si="288"/>
        <v>0.78627311336764039</v>
      </c>
      <c r="CI212" s="987">
        <f t="shared" si="288"/>
        <v>0.47701788127364764</v>
      </c>
      <c r="CJ212" s="987">
        <f t="shared" si="288"/>
        <v>0.34305669552390272</v>
      </c>
      <c r="CK212" s="989">
        <f t="shared" si="285"/>
        <v>0.26856107003035334</v>
      </c>
    </row>
    <row r="213" spans="4:89">
      <c r="D213" s="63">
        <f>D210+1</f>
        <v>49</v>
      </c>
      <c r="E213" s="550" t="s">
        <v>857</v>
      </c>
      <c r="F213" s="595" t="s">
        <v>402</v>
      </c>
      <c r="G213" s="595" t="s">
        <v>877</v>
      </c>
      <c r="H213" s="595" t="s">
        <v>898</v>
      </c>
      <c r="I213" s="589" t="s">
        <v>941</v>
      </c>
      <c r="J213" s="589" t="s">
        <v>879</v>
      </c>
      <c r="K213" s="551"/>
      <c r="L213" s="552"/>
      <c r="M213" s="552"/>
      <c r="N213" s="551"/>
      <c r="O213" s="552"/>
      <c r="P213" s="552"/>
      <c r="Q213" s="552"/>
      <c r="R213" s="1035"/>
      <c r="S213" s="1138"/>
      <c r="T213" s="591"/>
      <c r="U213" s="1035">
        <v>136.8385934819897</v>
      </c>
      <c r="V213" s="591">
        <v>648.95040712468187</v>
      </c>
      <c r="W213" s="591">
        <v>648.95745762711863</v>
      </c>
      <c r="X213" s="591">
        <v>648.94957013574663</v>
      </c>
      <c r="Y213" s="591">
        <v>648.95058951965063</v>
      </c>
      <c r="Z213" s="591">
        <v>648.95730000000003</v>
      </c>
      <c r="AA213" s="1138">
        <v>161</v>
      </c>
      <c r="AB213" s="591">
        <v>161</v>
      </c>
      <c r="AC213" s="591">
        <v>161</v>
      </c>
      <c r="AD213" s="591">
        <v>161</v>
      </c>
      <c r="AE213" s="1035">
        <v>161</v>
      </c>
      <c r="AF213" s="591">
        <v>193.03097429439475</v>
      </c>
      <c r="AG213" s="591">
        <v>193.03097429439475</v>
      </c>
      <c r="AH213" s="591">
        <v>193.03097429439475</v>
      </c>
      <c r="AI213" s="591">
        <v>193.03097429439475</v>
      </c>
      <c r="AJ213" s="592">
        <v>193.03097429439475</v>
      </c>
      <c r="AK213" s="548"/>
      <c r="AM213" s="974"/>
      <c r="AO213" s="975" t="str">
        <f t="shared" si="263"/>
        <v>Price</v>
      </c>
      <c r="AP213" s="976" t="str">
        <f t="shared" si="263"/>
        <v>Sewerage</v>
      </c>
      <c r="AQ213" s="977" t="str">
        <f t="shared" si="264"/>
        <v xml:space="preserve">Price cap - Variable </v>
      </c>
      <c r="AR213" s="1341">
        <f t="shared" si="265"/>
        <v>3.742451603831304</v>
      </c>
      <c r="AS213" s="978">
        <f t="shared" si="266"/>
        <v>1.0864470319171815E-5</v>
      </c>
      <c r="AT213" s="979">
        <f t="shared" si="267"/>
        <v>-1.2154096203587095E-5</v>
      </c>
      <c r="AU213" s="979">
        <f t="shared" si="268"/>
        <v>1.5708214489151828E-6</v>
      </c>
      <c r="AV213" s="1352">
        <f t="shared" si="269"/>
        <v>1.0340510445239204E-5</v>
      </c>
      <c r="AW213" s="1345">
        <f t="shared" si="270"/>
        <v>-0.75190971732654832</v>
      </c>
      <c r="AX213" s="979">
        <f t="shared" si="271"/>
        <v>0</v>
      </c>
      <c r="AY213" s="979">
        <f t="shared" si="272"/>
        <v>0</v>
      </c>
      <c r="AZ213" s="979">
        <f t="shared" si="273"/>
        <v>0</v>
      </c>
      <c r="BA213" s="980">
        <f t="shared" si="274"/>
        <v>0</v>
      </c>
      <c r="BB213" s="1345">
        <f t="shared" si="275"/>
        <v>0.19895015089686185</v>
      </c>
      <c r="BC213" s="979">
        <f t="shared" si="276"/>
        <v>0</v>
      </c>
      <c r="BD213" s="979">
        <f t="shared" si="277"/>
        <v>0</v>
      </c>
      <c r="BE213" s="979">
        <f t="shared" si="278"/>
        <v>0</v>
      </c>
      <c r="BF213" s="981">
        <f t="shared" si="279"/>
        <v>0</v>
      </c>
      <c r="BG213" s="951"/>
      <c r="BH213" s="975" t="str">
        <f t="shared" si="280"/>
        <v>Price</v>
      </c>
      <c r="BI213" s="976" t="str">
        <f t="shared" si="281"/>
        <v>Sewerage</v>
      </c>
      <c r="BJ213" s="977" t="str">
        <f t="shared" si="282"/>
        <v xml:space="preserve">Price cap - Variable </v>
      </c>
      <c r="BK213" s="978">
        <f t="shared" ref="BK213:BU213" si="308">IF(V213="","-",IFERROR((V213/U213-1)*(U215/U$13),"-"))</f>
        <v>9.0945674663504361E-4</v>
      </c>
      <c r="BL213" s="978">
        <f t="shared" si="308"/>
        <v>1.2944475941984901E-8</v>
      </c>
      <c r="BM213" s="979">
        <f t="shared" si="308"/>
        <v>-1.5546321264491483E-8</v>
      </c>
      <c r="BN213" s="979">
        <f t="shared" si="308"/>
        <v>1.9261707691289855E-9</v>
      </c>
      <c r="BO213" s="1352">
        <f t="shared" si="308"/>
        <v>1.2520603962534667E-8</v>
      </c>
      <c r="BP213" s="1345">
        <f t="shared" si="308"/>
        <v>-9.1275942551908033E-4</v>
      </c>
      <c r="BQ213" s="979">
        <f t="shared" si="308"/>
        <v>0</v>
      </c>
      <c r="BR213" s="979">
        <f t="shared" si="308"/>
        <v>0</v>
      </c>
      <c r="BS213" s="979">
        <f t="shared" si="308"/>
        <v>0</v>
      </c>
      <c r="BT213" s="980">
        <f t="shared" si="308"/>
        <v>0</v>
      </c>
      <c r="BU213" s="979">
        <f t="shared" si="308"/>
        <v>5.8076923478765278E-5</v>
      </c>
      <c r="BV213" s="979">
        <f>IF(AG213="","-",IFERROR((AG213/AF213-1)*(AF215/AF$13),"-"))</f>
        <v>0</v>
      </c>
      <c r="BW213" s="979">
        <f>IF(AH213="","-",IFERROR((AH213/AG213-1)*(AG215/AG$13),"-"))</f>
        <v>0</v>
      </c>
      <c r="BX213" s="979">
        <f>IF(AI213="","-",IFERROR((AI213/AH213-1)*(AH215/AH$13),"-"))</f>
        <v>0</v>
      </c>
      <c r="BY213" s="981">
        <f>IF(AJ213="","-",IFERROR((AJ213/AI213-1)*(AI215/AI$13),"-"))</f>
        <v>0</v>
      </c>
      <c r="BZ213" s="951"/>
      <c r="CA213" s="975" t="str">
        <f t="shared" si="259"/>
        <v>Price</v>
      </c>
      <c r="CB213" s="976" t="str">
        <f t="shared" si="260"/>
        <v>Sewerage</v>
      </c>
      <c r="CC213" s="982" t="str">
        <f t="shared" si="261"/>
        <v xml:space="preserve">Price cap - Variable </v>
      </c>
      <c r="CD213" s="983">
        <f t="shared" si="287"/>
        <v>1.1777288922306179</v>
      </c>
      <c r="CE213" s="979">
        <f t="shared" si="287"/>
        <v>0.68009606962157565</v>
      </c>
      <c r="CF213" s="979">
        <f t="shared" si="287"/>
        <v>0.47570910698136415</v>
      </c>
      <c r="CG213" s="980">
        <f t="shared" si="284"/>
        <v>0.36521642325312209</v>
      </c>
      <c r="CH213" s="979">
        <f t="shared" si="288"/>
        <v>-0.50191337834323257</v>
      </c>
      <c r="CI213" s="979">
        <f t="shared" si="288"/>
        <v>-0.37164763892094221</v>
      </c>
      <c r="CJ213" s="979">
        <f t="shared" si="288"/>
        <v>-0.29424747846233845</v>
      </c>
      <c r="CK213" s="981">
        <f t="shared" si="285"/>
        <v>-0.24330310694605917</v>
      </c>
    </row>
    <row r="214" spans="4:89">
      <c r="E214" s="567" t="s">
        <v>880</v>
      </c>
      <c r="F214" s="554" t="str">
        <f>+F213</f>
        <v>Sewerage</v>
      </c>
      <c r="G214" s="555" t="str">
        <f>+G213</f>
        <v>GWW</v>
      </c>
      <c r="H214" s="555" t="str">
        <f>+H213</f>
        <v>Trade waste - SS Western</v>
      </c>
      <c r="I214" s="556" t="str">
        <f>+I213</f>
        <v xml:space="preserve">Price cap - Variable </v>
      </c>
      <c r="J214" s="590" t="s">
        <v>896</v>
      </c>
      <c r="K214" s="557"/>
      <c r="L214" s="558"/>
      <c r="M214" s="558"/>
      <c r="N214" s="557"/>
      <c r="O214" s="558"/>
      <c r="P214" s="558"/>
      <c r="Q214" s="558"/>
      <c r="R214" s="1036"/>
      <c r="S214" s="1139"/>
      <c r="T214" s="593"/>
      <c r="U214" s="1036">
        <v>3424.6150000000002</v>
      </c>
      <c r="V214" s="593">
        <v>3421.3049999999998</v>
      </c>
      <c r="W214" s="593">
        <v>3646.9949999999999</v>
      </c>
      <c r="X214" s="593">
        <v>3516.4299999999994</v>
      </c>
      <c r="Y214" s="593">
        <v>3516.4299999999994</v>
      </c>
      <c r="Z214" s="593">
        <v>3523.8602189649432</v>
      </c>
      <c r="AA214" s="1139">
        <v>3569.0979443569149</v>
      </c>
      <c r="AB214" s="593">
        <v>3654.487482752148</v>
      </c>
      <c r="AC214" s="593">
        <v>3694.6392957554094</v>
      </c>
      <c r="AD214" s="593">
        <v>3734.7911087586713</v>
      </c>
      <c r="AE214" s="1036">
        <v>3774.9429217619331</v>
      </c>
      <c r="AF214" s="593">
        <v>3815.0947347651963</v>
      </c>
      <c r="AG214" s="593">
        <v>3867.7432916024122</v>
      </c>
      <c r="AH214" s="593">
        <v>3920.3918484396295</v>
      </c>
      <c r="AI214" s="593">
        <v>3973.0404052768472</v>
      </c>
      <c r="AJ214" s="594">
        <v>4025.6889621140654</v>
      </c>
      <c r="AK214" s="548"/>
      <c r="AO214" s="961" t="str">
        <f t="shared" si="263"/>
        <v>Qty</v>
      </c>
      <c r="AP214" s="962" t="str">
        <f t="shared" si="263"/>
        <v>Sewerage</v>
      </c>
      <c r="AQ214" s="963" t="str">
        <f t="shared" si="264"/>
        <v xml:space="preserve">Price cap - Variable </v>
      </c>
      <c r="AR214" s="967">
        <f t="shared" si="265"/>
        <v>-9.6653200432761377E-4</v>
      </c>
      <c r="AS214" s="964">
        <f t="shared" si="266"/>
        <v>6.5966056811655127E-2</v>
      </c>
      <c r="AT214" s="964">
        <f t="shared" si="267"/>
        <v>-3.5800707157536693E-2</v>
      </c>
      <c r="AU214" s="964">
        <f t="shared" si="268"/>
        <v>0</v>
      </c>
      <c r="AV214" s="1350">
        <f t="shared" si="269"/>
        <v>2.1130006753848907E-3</v>
      </c>
      <c r="AW214" s="1343">
        <f t="shared" si="270"/>
        <v>1.283754819459304E-2</v>
      </c>
      <c r="AX214" s="964">
        <f t="shared" si="271"/>
        <v>2.3924683414822567E-2</v>
      </c>
      <c r="AY214" s="964">
        <f t="shared" si="272"/>
        <v>1.0986988789197794E-2</v>
      </c>
      <c r="AZ214" s="964">
        <f t="shared" si="273"/>
        <v>1.0867586735568535E-2</v>
      </c>
      <c r="BA214" s="965">
        <f t="shared" si="274"/>
        <v>1.0750752005674213E-2</v>
      </c>
      <c r="BB214" s="1343">
        <f t="shared" si="275"/>
        <v>1.0636402678248391E-2</v>
      </c>
      <c r="BC214" s="964">
        <f t="shared" si="276"/>
        <v>1.3800065397447048E-2</v>
      </c>
      <c r="BD214" s="964">
        <f t="shared" si="277"/>
        <v>1.3612215927444549E-2</v>
      </c>
      <c r="BE214" s="964">
        <f t="shared" si="278"/>
        <v>1.3429411873247421E-2</v>
      </c>
      <c r="BF214" s="966">
        <f t="shared" si="279"/>
        <v>1.3251452657589979E-2</v>
      </c>
      <c r="BG214" s="951"/>
      <c r="BH214" s="961" t="str">
        <f t="shared" si="280"/>
        <v>Qty</v>
      </c>
      <c r="BI214" s="962" t="str">
        <f t="shared" si="281"/>
        <v>Sewerage</v>
      </c>
      <c r="BJ214" s="963" t="str">
        <f t="shared" si="282"/>
        <v xml:space="preserve">Price cap - Variable </v>
      </c>
      <c r="BK214" s="964">
        <f t="shared" ref="BK214:BU214" si="309">IF(V214="","-",IFERROR((V214/U214-1)*(U215/U$13),"-"))</f>
        <v>-2.3487786756535501E-7</v>
      </c>
      <c r="BL214" s="964">
        <f t="shared" si="309"/>
        <v>7.859527526889782E-5</v>
      </c>
      <c r="BM214" s="964">
        <f t="shared" si="309"/>
        <v>-4.5792734041613244E-5</v>
      </c>
      <c r="BN214" s="964">
        <f t="shared" si="309"/>
        <v>0</v>
      </c>
      <c r="BO214" s="1350">
        <f t="shared" si="309"/>
        <v>2.5584853638674012E-6</v>
      </c>
      <c r="BP214" s="1343">
        <f t="shared" si="309"/>
        <v>1.5583776675785924E-5</v>
      </c>
      <c r="BQ214" s="964">
        <f t="shared" si="309"/>
        <v>7.2613108266330956E-6</v>
      </c>
      <c r="BR214" s="964">
        <f t="shared" si="309"/>
        <v>3.2870170209279686E-6</v>
      </c>
      <c r="BS214" s="964">
        <f t="shared" si="309"/>
        <v>3.2248348164257917E-6</v>
      </c>
      <c r="BT214" s="965">
        <f t="shared" si="309"/>
        <v>3.1646083142318774E-6</v>
      </c>
      <c r="BU214" s="964">
        <f t="shared" si="309"/>
        <v>3.1049463478628083E-6</v>
      </c>
      <c r="BV214" s="964">
        <f>IF(AG214="","-",IFERROR((AG214/AF214-1)*(AF215/AF$13),"-"))</f>
        <v>4.6623164195613615E-6</v>
      </c>
      <c r="BW214" s="964">
        <f>IF(AH214="","-",IFERROR((AH214/AG214-1)*(AG215/AG$13),"-"))</f>
        <v>4.59791487906436E-6</v>
      </c>
      <c r="BX214" s="964">
        <f>IF(AI214="","-",IFERROR((AI214/AH214-1)*(AH215/AH$13),"-"))</f>
        <v>4.5315425332898688E-6</v>
      </c>
      <c r="BY214" s="966">
        <f>IF(AJ214="","-",IFERROR((AJ214/AI214-1)*(AI215/AI$13),"-"))</f>
        <v>4.4548477230810777E-6</v>
      </c>
      <c r="BZ214" s="951"/>
      <c r="CA214" s="961" t="str">
        <f t="shared" si="259"/>
        <v>Qty</v>
      </c>
      <c r="CB214" s="962" t="str">
        <f t="shared" si="260"/>
        <v>Sewerage</v>
      </c>
      <c r="CC214" s="962" t="str">
        <f t="shared" si="261"/>
        <v xml:space="preserve">Price cap - Variable </v>
      </c>
      <c r="CD214" s="967">
        <f t="shared" si="287"/>
        <v>3.1957250326882347E-2</v>
      </c>
      <c r="CE214" s="964">
        <f t="shared" si="287"/>
        <v>8.8580738382564306E-3</v>
      </c>
      <c r="CF214" s="964">
        <f t="shared" si="287"/>
        <v>6.6362262566785901E-3</v>
      </c>
      <c r="CG214" s="965">
        <f t="shared" si="284"/>
        <v>5.7299507676504824E-3</v>
      </c>
      <c r="CH214" s="964">
        <f t="shared" si="288"/>
        <v>1.8366027460555934E-2</v>
      </c>
      <c r="CI214" s="964">
        <f t="shared" si="288"/>
        <v>1.5900382959393555E-2</v>
      </c>
      <c r="CJ214" s="964">
        <f t="shared" si="288"/>
        <v>1.4639839694279289E-2</v>
      </c>
      <c r="CK214" s="966">
        <f t="shared" si="285"/>
        <v>1.3860826864964038E-2</v>
      </c>
    </row>
    <row r="215" spans="4:89" ht="12.75" thickBot="1">
      <c r="E215" s="568" t="s">
        <v>882</v>
      </c>
      <c r="F215" s="560" t="str">
        <f>+F213</f>
        <v>Sewerage</v>
      </c>
      <c r="G215" s="561" t="str">
        <f>+G213</f>
        <v>GWW</v>
      </c>
      <c r="H215" s="561" t="str">
        <f>+H213</f>
        <v>Trade waste - SS Western</v>
      </c>
      <c r="I215" s="562" t="str">
        <f>+I213</f>
        <v xml:space="preserve">Price cap - Variable </v>
      </c>
      <c r="J215" s="563" t="s">
        <v>883</v>
      </c>
      <c r="K215" s="564">
        <f t="shared" ref="K215:AJ215" si="310">K213*K214/10^6</f>
        <v>0</v>
      </c>
      <c r="L215" s="565">
        <f t="shared" si="310"/>
        <v>0</v>
      </c>
      <c r="M215" s="565">
        <f t="shared" si="310"/>
        <v>0</v>
      </c>
      <c r="N215" s="564">
        <f t="shared" si="310"/>
        <v>0</v>
      </c>
      <c r="O215" s="565">
        <f t="shared" si="310"/>
        <v>0</v>
      </c>
      <c r="P215" s="565">
        <f t="shared" si="310"/>
        <v>0</v>
      </c>
      <c r="Q215" s="565">
        <f t="shared" si="310"/>
        <v>0</v>
      </c>
      <c r="R215" s="566">
        <f t="shared" si="310"/>
        <v>0</v>
      </c>
      <c r="S215" s="564">
        <f t="shared" si="310"/>
        <v>0</v>
      </c>
      <c r="T215" s="565">
        <f t="shared" si="310"/>
        <v>0</v>
      </c>
      <c r="U215" s="566">
        <f t="shared" si="310"/>
        <v>0.4686194998173242</v>
      </c>
      <c r="V215" s="565">
        <f t="shared" si="310"/>
        <v>2.2202572726477094</v>
      </c>
      <c r="W215" s="565">
        <f t="shared" si="310"/>
        <v>2.3667446031788137</v>
      </c>
      <c r="X215" s="565">
        <f t="shared" si="310"/>
        <v>2.2819857369124432</v>
      </c>
      <c r="Y215" s="565">
        <f t="shared" si="310"/>
        <v>2.2819893215045846</v>
      </c>
      <c r="Z215" s="565">
        <f t="shared" si="310"/>
        <v>2.2868348132768985</v>
      </c>
      <c r="AA215" s="564">
        <f t="shared" si="310"/>
        <v>0.57462476904146331</v>
      </c>
      <c r="AB215" s="565">
        <f t="shared" si="310"/>
        <v>0.58837248472309578</v>
      </c>
      <c r="AC215" s="565">
        <f t="shared" si="310"/>
        <v>0.59483692661662102</v>
      </c>
      <c r="AD215" s="565">
        <f t="shared" si="310"/>
        <v>0.60130136851014604</v>
      </c>
      <c r="AE215" s="566">
        <f t="shared" si="310"/>
        <v>0.60776581040367128</v>
      </c>
      <c r="AF215" s="565">
        <f t="shared" si="310"/>
        <v>0.73643145367714136</v>
      </c>
      <c r="AG215" s="565">
        <f>AG213*AG214/10^6</f>
        <v>0.74659425589862305</v>
      </c>
      <c r="AH215" s="565">
        <f>AH213*AH214/10^6</f>
        <v>0.75675705812010485</v>
      </c>
      <c r="AI215" s="565">
        <f>AI213*AI214/10^6</f>
        <v>0.76691986034158677</v>
      </c>
      <c r="AJ215" s="566">
        <f t="shared" si="310"/>
        <v>0.77708266256306879</v>
      </c>
      <c r="AK215" s="548"/>
      <c r="AO215" s="984" t="str">
        <f t="shared" si="263"/>
        <v>Rev</v>
      </c>
      <c r="AP215" s="985" t="str">
        <f t="shared" si="263"/>
        <v>Sewerage</v>
      </c>
      <c r="AQ215" s="986" t="str">
        <f t="shared" si="264"/>
        <v xml:space="preserve">Price cap - Variable </v>
      </c>
      <c r="AR215" s="990">
        <f t="shared" si="265"/>
        <v>3.7378678725772261</v>
      </c>
      <c r="AS215" s="987">
        <f t="shared" si="266"/>
        <v>6.5977637968240854E-2</v>
      </c>
      <c r="AT215" s="987">
        <f t="shared" si="267"/>
        <v>-3.5812426128501329E-2</v>
      </c>
      <c r="AU215" s="987">
        <f t="shared" si="268"/>
        <v>1.5708214486931382E-6</v>
      </c>
      <c r="AV215" s="1353">
        <f t="shared" si="269"/>
        <v>2.1233630353358901E-3</v>
      </c>
      <c r="AW215" s="1346">
        <f t="shared" si="270"/>
        <v>-0.74872484636611758</v>
      </c>
      <c r="AX215" s="987">
        <f t="shared" si="271"/>
        <v>2.3924683414822345E-2</v>
      </c>
      <c r="AY215" s="987">
        <f t="shared" si="272"/>
        <v>1.0986988789198016E-2</v>
      </c>
      <c r="AZ215" s="987">
        <f t="shared" si="273"/>
        <v>1.0867586735568313E-2</v>
      </c>
      <c r="BA215" s="988">
        <f t="shared" si="274"/>
        <v>1.0750752005674435E-2</v>
      </c>
      <c r="BB215" s="1346">
        <f t="shared" si="275"/>
        <v>0.21170266749294742</v>
      </c>
      <c r="BC215" s="987">
        <f t="shared" si="276"/>
        <v>1.380006539744727E-2</v>
      </c>
      <c r="BD215" s="987">
        <f t="shared" si="277"/>
        <v>1.3612215927444549E-2</v>
      </c>
      <c r="BE215" s="987">
        <f t="shared" si="278"/>
        <v>1.3429411873247421E-2</v>
      </c>
      <c r="BF215" s="989">
        <f t="shared" si="279"/>
        <v>1.3251452657589979E-2</v>
      </c>
      <c r="BG215" s="951"/>
      <c r="BH215" s="984" t="str">
        <f t="shared" si="280"/>
        <v>Rev</v>
      </c>
      <c r="BI215" s="985" t="str">
        <f t="shared" si="281"/>
        <v>Sewerage</v>
      </c>
      <c r="BJ215" s="986" t="str">
        <f t="shared" si="282"/>
        <v xml:space="preserve">Price cap - Variable </v>
      </c>
      <c r="BK215" s="987">
        <f t="shared" ref="BK215:BU215" si="311">IF(V215="","-",IFERROR((V215/U215-1)*(U215/U$13),"-"))</f>
        <v>9.0834284971530368E-4</v>
      </c>
      <c r="BL215" s="987">
        <f t="shared" si="311"/>
        <v>7.8609073640875494E-5</v>
      </c>
      <c r="BM215" s="987">
        <f t="shared" si="311"/>
        <v>-4.5807723793582771E-5</v>
      </c>
      <c r="BN215" s="987">
        <f t="shared" si="311"/>
        <v>1.9261707688567103E-9</v>
      </c>
      <c r="BO215" s="1353">
        <f t="shared" si="311"/>
        <v>2.5710324238748139E-6</v>
      </c>
      <c r="BP215" s="1346">
        <f t="shared" si="311"/>
        <v>-9.0889324195846458E-4</v>
      </c>
      <c r="BQ215" s="987">
        <f t="shared" si="311"/>
        <v>7.2613108266330279E-6</v>
      </c>
      <c r="BR215" s="987">
        <f t="shared" si="311"/>
        <v>3.2870170209280351E-6</v>
      </c>
      <c r="BS215" s="987">
        <f t="shared" si="311"/>
        <v>3.2248348164257261E-6</v>
      </c>
      <c r="BT215" s="988">
        <f t="shared" si="311"/>
        <v>3.1646083142319431E-6</v>
      </c>
      <c r="BU215" s="987">
        <f t="shared" si="311"/>
        <v>6.1799599371062015E-5</v>
      </c>
      <c r="BV215" s="987">
        <f>IF(AG215="","-",IFERROR((AG215/AF215-1)*(AF215/AF$13),"-"))</f>
        <v>4.6623164195614369E-6</v>
      </c>
      <c r="BW215" s="987">
        <f>IF(AH215="","-",IFERROR((AH215/AG215-1)*(AG215/AG$13),"-"))</f>
        <v>4.59791487906436E-6</v>
      </c>
      <c r="BX215" s="987">
        <f>IF(AI215="","-",IFERROR((AI215/AH215-1)*(AH215/AH$13),"-"))</f>
        <v>4.5315425332898688E-6</v>
      </c>
      <c r="BY215" s="989">
        <f>IF(AJ215="","-",IFERROR((AJ215/AI215-1)*(AI215/AI$13),"-"))</f>
        <v>4.4548477230810777E-6</v>
      </c>
      <c r="BZ215" s="951"/>
      <c r="CA215" s="984" t="str">
        <f t="shared" si="259"/>
        <v>Rev</v>
      </c>
      <c r="CB215" s="985" t="str">
        <f t="shared" si="260"/>
        <v>Sewerage</v>
      </c>
      <c r="CC215" s="985" t="str">
        <f t="shared" si="261"/>
        <v xml:space="preserve">Price cap - Variable </v>
      </c>
      <c r="CD215" s="990">
        <f t="shared" si="287"/>
        <v>1.247323119583716</v>
      </c>
      <c r="CE215" s="987">
        <f t="shared" si="287"/>
        <v>0.69497848466164802</v>
      </c>
      <c r="CF215" s="987">
        <f t="shared" si="287"/>
        <v>0.48550224650433349</v>
      </c>
      <c r="CG215" s="988">
        <f t="shared" si="284"/>
        <v>0.37303904614555017</v>
      </c>
      <c r="CH215" s="987">
        <f t="shared" si="288"/>
        <v>-0.49276550577214895</v>
      </c>
      <c r="CI215" s="987">
        <f t="shared" si="288"/>
        <v>-0.36165659574634612</v>
      </c>
      <c r="CJ215" s="987">
        <f t="shared" si="288"/>
        <v>-0.28391537468319372</v>
      </c>
      <c r="CK215" s="989">
        <f t="shared" si="285"/>
        <v>-0.23281466232218218</v>
      </c>
    </row>
    <row r="216" spans="4:89">
      <c r="D216" s="63">
        <f>D213+1</f>
        <v>50</v>
      </c>
      <c r="E216" s="550" t="s">
        <v>857</v>
      </c>
      <c r="F216" s="595" t="s">
        <v>402</v>
      </c>
      <c r="G216" s="595" t="s">
        <v>92</v>
      </c>
      <c r="H216" s="595" t="s">
        <v>898</v>
      </c>
      <c r="I216" s="589" t="s">
        <v>941</v>
      </c>
      <c r="J216" s="589" t="s">
        <v>879</v>
      </c>
      <c r="K216" s="551"/>
      <c r="L216" s="552"/>
      <c r="M216" s="552"/>
      <c r="N216" s="551"/>
      <c r="O216" s="552"/>
      <c r="P216" s="552"/>
      <c r="Q216" s="552"/>
      <c r="R216" s="1035"/>
      <c r="S216" s="1138"/>
      <c r="T216" s="591"/>
      <c r="U216" s="1035">
        <v>136.8385934819897</v>
      </c>
      <c r="V216" s="591">
        <v>648.95040712468187</v>
      </c>
      <c r="W216" s="591">
        <v>648.95745762711863</v>
      </c>
      <c r="X216" s="591">
        <v>648.94957013574663</v>
      </c>
      <c r="Y216" s="591">
        <v>648.95058951965063</v>
      </c>
      <c r="Z216" s="591">
        <v>648.95730000000003</v>
      </c>
      <c r="AA216" s="1138">
        <v>161</v>
      </c>
      <c r="AB216" s="591">
        <v>161</v>
      </c>
      <c r="AC216" s="591">
        <v>161</v>
      </c>
      <c r="AD216" s="591">
        <v>161</v>
      </c>
      <c r="AE216" s="1035">
        <v>161</v>
      </c>
      <c r="AF216" s="591">
        <v>193.03097429439475</v>
      </c>
      <c r="AG216" s="591">
        <v>193.03097429439475</v>
      </c>
      <c r="AH216" s="591">
        <v>193.03097429439475</v>
      </c>
      <c r="AI216" s="591">
        <v>193.03097429439475</v>
      </c>
      <c r="AJ216" s="592">
        <v>193.03097429439475</v>
      </c>
      <c r="AK216" s="548"/>
      <c r="AM216" s="974"/>
      <c r="AO216" s="975" t="str">
        <f t="shared" si="263"/>
        <v>Price</v>
      </c>
      <c r="AP216" s="976" t="str">
        <f t="shared" si="263"/>
        <v>Sewerage</v>
      </c>
      <c r="AQ216" s="977" t="str">
        <f t="shared" si="264"/>
        <v xml:space="preserve">Price cap - Variable </v>
      </c>
      <c r="AR216" s="1341">
        <f t="shared" si="265"/>
        <v>3.742451603831304</v>
      </c>
      <c r="AS216" s="978">
        <f t="shared" si="266"/>
        <v>1.0864470319171815E-5</v>
      </c>
      <c r="AT216" s="979">
        <f t="shared" si="267"/>
        <v>-1.2154096203587095E-5</v>
      </c>
      <c r="AU216" s="979">
        <f t="shared" si="268"/>
        <v>1.5708214489151828E-6</v>
      </c>
      <c r="AV216" s="1352">
        <f t="shared" si="269"/>
        <v>1.0340510445239204E-5</v>
      </c>
      <c r="AW216" s="1345">
        <f t="shared" si="270"/>
        <v>-0.75190971732654832</v>
      </c>
      <c r="AX216" s="979">
        <f t="shared" si="271"/>
        <v>0</v>
      </c>
      <c r="AY216" s="979">
        <f t="shared" si="272"/>
        <v>0</v>
      </c>
      <c r="AZ216" s="979">
        <f t="shared" si="273"/>
        <v>0</v>
      </c>
      <c r="BA216" s="980">
        <f t="shared" si="274"/>
        <v>0</v>
      </c>
      <c r="BB216" s="1345">
        <f t="shared" si="275"/>
        <v>0.19895015089686185</v>
      </c>
      <c r="BC216" s="979">
        <f t="shared" si="276"/>
        <v>0</v>
      </c>
      <c r="BD216" s="979">
        <f t="shared" si="277"/>
        <v>0</v>
      </c>
      <c r="BE216" s="979">
        <f t="shared" si="278"/>
        <v>0</v>
      </c>
      <c r="BF216" s="981">
        <f t="shared" si="279"/>
        <v>0</v>
      </c>
      <c r="BG216" s="951"/>
      <c r="BH216" s="975" t="str">
        <f t="shared" si="280"/>
        <v>Price</v>
      </c>
      <c r="BI216" s="976" t="str">
        <f t="shared" si="281"/>
        <v>Sewerage</v>
      </c>
      <c r="BJ216" s="977" t="str">
        <f t="shared" si="282"/>
        <v xml:space="preserve">Price cap - Variable </v>
      </c>
      <c r="BK216" s="978">
        <f t="shared" ref="BK216:BU216" si="312">IF(V216="","-",IFERROR((V216/U216-1)*(U218/U$13),"-"))</f>
        <v>1.0298996184863683E-4</v>
      </c>
      <c r="BL216" s="978">
        <f t="shared" si="312"/>
        <v>1.0470810748951995E-9</v>
      </c>
      <c r="BM216" s="979">
        <f t="shared" si="312"/>
        <v>-1.4980459118737256E-9</v>
      </c>
      <c r="BN216" s="979">
        <f t="shared" si="312"/>
        <v>1.6580242749255715E-10</v>
      </c>
      <c r="BO216" s="1352">
        <f t="shared" si="312"/>
        <v>7.6024170964887405E-10</v>
      </c>
      <c r="BP216" s="1345">
        <f t="shared" si="312"/>
        <v>-8.5823721543191401E-5</v>
      </c>
      <c r="BQ216" s="979">
        <f t="shared" si="312"/>
        <v>0</v>
      </c>
      <c r="BR216" s="979">
        <f t="shared" si="312"/>
        <v>0</v>
      </c>
      <c r="BS216" s="979">
        <f t="shared" si="312"/>
        <v>0</v>
      </c>
      <c r="BT216" s="980">
        <f t="shared" si="312"/>
        <v>0</v>
      </c>
      <c r="BU216" s="979">
        <f t="shared" si="312"/>
        <v>5.354248082075347E-6</v>
      </c>
      <c r="BV216" s="979">
        <f>IF(AG216="","-",IFERROR((AG216/AF216-1)*(AF218/AF$13),"-"))</f>
        <v>0</v>
      </c>
      <c r="BW216" s="979">
        <f>IF(AH216="","-",IFERROR((AH216/AG216-1)*(AG218/AG$13),"-"))</f>
        <v>0</v>
      </c>
      <c r="BX216" s="979">
        <f>IF(AI216="","-",IFERROR((AI216/AH216-1)*(AH218/AH$13),"-"))</f>
        <v>0</v>
      </c>
      <c r="BY216" s="981">
        <f>IF(AJ216="","-",IFERROR((AJ216/AI216-1)*(AI218/AI$13),"-"))</f>
        <v>0</v>
      </c>
      <c r="BZ216" s="951"/>
      <c r="CA216" s="975" t="str">
        <f t="shared" si="259"/>
        <v>Price</v>
      </c>
      <c r="CB216" s="976" t="str">
        <f t="shared" si="260"/>
        <v>Sewerage</v>
      </c>
      <c r="CC216" s="982" t="str">
        <f t="shared" si="261"/>
        <v xml:space="preserve">Price cap - Variable </v>
      </c>
      <c r="CD216" s="983">
        <f t="shared" si="287"/>
        <v>1.1777288922306179</v>
      </c>
      <c r="CE216" s="979">
        <f t="shared" si="287"/>
        <v>0.68009606962157565</v>
      </c>
      <c r="CF216" s="979">
        <f t="shared" si="287"/>
        <v>0.47570910698136415</v>
      </c>
      <c r="CG216" s="980">
        <f t="shared" si="284"/>
        <v>0.36521642325312209</v>
      </c>
      <c r="CH216" s="979">
        <f t="shared" si="288"/>
        <v>-0.50191337834323257</v>
      </c>
      <c r="CI216" s="979">
        <f t="shared" si="288"/>
        <v>-0.37164763892094221</v>
      </c>
      <c r="CJ216" s="979">
        <f t="shared" si="288"/>
        <v>-0.29424747846233845</v>
      </c>
      <c r="CK216" s="981">
        <f t="shared" si="285"/>
        <v>-0.24330310694605917</v>
      </c>
    </row>
    <row r="217" spans="4:89">
      <c r="E217" s="567" t="s">
        <v>880</v>
      </c>
      <c r="F217" s="554" t="str">
        <f>+F216</f>
        <v>Sewerage</v>
      </c>
      <c r="G217" s="555" t="str">
        <f>+G216</f>
        <v>SEW</v>
      </c>
      <c r="H217" s="555" t="str">
        <f>+H216</f>
        <v>Trade waste - SS Western</v>
      </c>
      <c r="I217" s="556" t="str">
        <f>+I216</f>
        <v xml:space="preserve">Price cap - Variable </v>
      </c>
      <c r="J217" s="590" t="s">
        <v>896</v>
      </c>
      <c r="K217" s="557"/>
      <c r="L217" s="558"/>
      <c r="M217" s="558"/>
      <c r="N217" s="557"/>
      <c r="O217" s="558"/>
      <c r="P217" s="558"/>
      <c r="Q217" s="558"/>
      <c r="R217" s="1036"/>
      <c r="S217" s="1139"/>
      <c r="T217" s="593"/>
      <c r="U217" s="1036">
        <v>387.815</v>
      </c>
      <c r="V217" s="593">
        <v>276.74999999999994</v>
      </c>
      <c r="W217" s="593">
        <v>351.42500000000001</v>
      </c>
      <c r="X217" s="593">
        <v>302.69000000000005</v>
      </c>
      <c r="Y217" s="593">
        <v>213.51500000000001</v>
      </c>
      <c r="Z217" s="593">
        <v>331.3368120165797</v>
      </c>
      <c r="AA217" s="1139">
        <v>333.55679590486955</v>
      </c>
      <c r="AB217" s="593">
        <v>338.83780003235211</v>
      </c>
      <c r="AC217" s="593">
        <v>341.89882027154493</v>
      </c>
      <c r="AD217" s="593">
        <v>344.95984051073771</v>
      </c>
      <c r="AE217" s="1036">
        <v>348.02086074993053</v>
      </c>
      <c r="AF217" s="593">
        <v>351.08188098912331</v>
      </c>
      <c r="AG217" s="593">
        <v>356.13746007536668</v>
      </c>
      <c r="AH217" s="593">
        <v>361.19303916161005</v>
      </c>
      <c r="AI217" s="593">
        <v>366.24861824785341</v>
      </c>
      <c r="AJ217" s="594">
        <v>371.30419733409684</v>
      </c>
      <c r="AK217" s="548"/>
      <c r="AO217" s="961" t="str">
        <f t="shared" si="263"/>
        <v>Qty</v>
      </c>
      <c r="AP217" s="962" t="str">
        <f t="shared" si="263"/>
        <v>Sewerage</v>
      </c>
      <c r="AQ217" s="963" t="str">
        <f t="shared" si="264"/>
        <v xml:space="preserve">Price cap - Variable </v>
      </c>
      <c r="AR217" s="967">
        <f t="shared" si="265"/>
        <v>-0.28638655028815296</v>
      </c>
      <c r="AS217" s="964">
        <f t="shared" si="266"/>
        <v>0.26982836495031637</v>
      </c>
      <c r="AT217" s="964">
        <f t="shared" si="267"/>
        <v>-0.13867823859998563</v>
      </c>
      <c r="AU217" s="964">
        <f t="shared" si="268"/>
        <v>-0.29460834517162782</v>
      </c>
      <c r="AV217" s="1350">
        <f t="shared" si="269"/>
        <v>0.5518198347496881</v>
      </c>
      <c r="AW217" s="1343">
        <f t="shared" si="270"/>
        <v>6.7000822358933565E-3</v>
      </c>
      <c r="AX217" s="964">
        <f t="shared" si="271"/>
        <v>1.5832398536975711E-2</v>
      </c>
      <c r="AY217" s="964">
        <f t="shared" si="272"/>
        <v>9.0338806322687315E-3</v>
      </c>
      <c r="AZ217" s="964">
        <f t="shared" si="273"/>
        <v>8.9530002962912025E-3</v>
      </c>
      <c r="BA217" s="965">
        <f t="shared" si="274"/>
        <v>8.8735553525904898E-3</v>
      </c>
      <c r="BB217" s="1343">
        <f t="shared" si="275"/>
        <v>8.7955079261534674E-3</v>
      </c>
      <c r="BC217" s="964">
        <f t="shared" si="276"/>
        <v>1.4399999999999968E-2</v>
      </c>
      <c r="BD217" s="964">
        <f t="shared" si="277"/>
        <v>1.4195583596214423E-2</v>
      </c>
      <c r="BE217" s="964">
        <f t="shared" si="278"/>
        <v>1.3996889580093264E-2</v>
      </c>
      <c r="BF217" s="966">
        <f t="shared" si="279"/>
        <v>1.3803680981595123E-2</v>
      </c>
      <c r="BG217" s="951"/>
      <c r="BH217" s="961" t="str">
        <f t="shared" si="280"/>
        <v>Qty</v>
      </c>
      <c r="BI217" s="962" t="str">
        <f t="shared" si="281"/>
        <v>Sewerage</v>
      </c>
      <c r="BJ217" s="963" t="str">
        <f t="shared" si="282"/>
        <v xml:space="preserve">Price cap - Variable </v>
      </c>
      <c r="BK217" s="964">
        <f t="shared" ref="BK217:BU217" si="313">IF(V217="","-",IFERROR((V217/U217-1)*(U218/U$13),"-"))</f>
        <v>-7.881181377988798E-6</v>
      </c>
      <c r="BL217" s="964">
        <f t="shared" si="313"/>
        <v>2.6005149455912777E-5</v>
      </c>
      <c r="BM217" s="964">
        <f t="shared" si="313"/>
        <v>-1.7092703967510511E-5</v>
      </c>
      <c r="BN217" s="964">
        <f t="shared" si="313"/>
        <v>-3.1096327862568273E-5</v>
      </c>
      <c r="BO217" s="1350">
        <f t="shared" si="313"/>
        <v>4.0570188174937573E-5</v>
      </c>
      <c r="BP217" s="1343">
        <f t="shared" si="313"/>
        <v>7.6475403745854965E-7</v>
      </c>
      <c r="BQ217" s="964">
        <f t="shared" si="313"/>
        <v>4.490832620372132E-7</v>
      </c>
      <c r="BR217" s="964">
        <f t="shared" si="313"/>
        <v>2.5058957180375571E-7</v>
      </c>
      <c r="BS217" s="964">
        <f t="shared" si="313"/>
        <v>2.4584903900431336E-7</v>
      </c>
      <c r="BT217" s="965">
        <f t="shared" si="313"/>
        <v>2.4125760144865145E-7</v>
      </c>
      <c r="BU217" s="964">
        <f t="shared" si="313"/>
        <v>2.3670920193923081E-7</v>
      </c>
      <c r="BV217" s="964">
        <f>IF(AG217="","-",IFERROR((AG217/AF217-1)*(AF218/AF$13),"-"))</f>
        <v>4.4769905957843975E-7</v>
      </c>
      <c r="BW217" s="964">
        <f>IF(AH217="","-",IFERROR((AH217/AG217-1)*(AG218/AG$13),"-"))</f>
        <v>4.4151489992016156E-7</v>
      </c>
      <c r="BX217" s="964">
        <f>IF(AI217="","-",IFERROR((AI217/AH217-1)*(AH218/AH$13),"-"))</f>
        <v>4.3514149363212172E-7</v>
      </c>
      <c r="BY217" s="966">
        <f>IF(AJ217="","-",IFERROR((AJ217/AI217-1)*(AI218/AI$13),"-"))</f>
        <v>4.2777687241916121E-7</v>
      </c>
      <c r="BZ217" s="951"/>
      <c r="CA217" s="961" t="str">
        <f t="shared" si="259"/>
        <v>Qty</v>
      </c>
      <c r="CB217" s="962" t="str">
        <f t="shared" si="260"/>
        <v>Sewerage</v>
      </c>
      <c r="CC217" s="962" t="str">
        <f t="shared" si="261"/>
        <v xml:space="preserve">Price cap - Variable </v>
      </c>
      <c r="CD217" s="967">
        <f t="shared" si="287"/>
        <v>-4.8072166572407871E-2</v>
      </c>
      <c r="CE217" s="964">
        <f t="shared" si="287"/>
        <v>-7.9286544256211178E-2</v>
      </c>
      <c r="CF217" s="964">
        <f t="shared" si="287"/>
        <v>-0.13860777593723728</v>
      </c>
      <c r="CG217" s="965">
        <f t="shared" si="284"/>
        <v>-3.0988307851064989E-2</v>
      </c>
      <c r="CH217" s="964">
        <f t="shared" si="288"/>
        <v>1.1255931574721822E-2</v>
      </c>
      <c r="CI217" s="964">
        <f t="shared" si="288"/>
        <v>1.0514704758154414E-2</v>
      </c>
      <c r="CJ217" s="964">
        <f t="shared" si="288"/>
        <v>1.012405216881751E-2</v>
      </c>
      <c r="CK217" s="966">
        <f t="shared" si="285"/>
        <v>9.8738288679385278E-3</v>
      </c>
    </row>
    <row r="218" spans="4:89" ht="12.75" thickBot="1">
      <c r="E218" s="568" t="s">
        <v>882</v>
      </c>
      <c r="F218" s="560" t="str">
        <f>+F216</f>
        <v>Sewerage</v>
      </c>
      <c r="G218" s="561" t="str">
        <f>+G216</f>
        <v>SEW</v>
      </c>
      <c r="H218" s="561" t="str">
        <f>+H216</f>
        <v>Trade waste - SS Western</v>
      </c>
      <c r="I218" s="562" t="str">
        <f>+I216</f>
        <v xml:space="preserve">Price cap - Variable </v>
      </c>
      <c r="J218" s="563" t="s">
        <v>883</v>
      </c>
      <c r="K218" s="564">
        <f t="shared" ref="K218:AJ218" si="314">K216*K217/10^6</f>
        <v>0</v>
      </c>
      <c r="L218" s="565">
        <f t="shared" si="314"/>
        <v>0</v>
      </c>
      <c r="M218" s="565">
        <f t="shared" si="314"/>
        <v>0</v>
      </c>
      <c r="N218" s="564">
        <f t="shared" si="314"/>
        <v>0</v>
      </c>
      <c r="O218" s="565">
        <f t="shared" si="314"/>
        <v>0</v>
      </c>
      <c r="P218" s="565">
        <f t="shared" si="314"/>
        <v>0</v>
      </c>
      <c r="Q218" s="565">
        <f t="shared" si="314"/>
        <v>0</v>
      </c>
      <c r="R218" s="566">
        <f t="shared" si="314"/>
        <v>0</v>
      </c>
      <c r="S218" s="564">
        <f t="shared" si="314"/>
        <v>0</v>
      </c>
      <c r="T218" s="565">
        <f t="shared" si="314"/>
        <v>0</v>
      </c>
      <c r="U218" s="566">
        <f t="shared" si="314"/>
        <v>5.3068059131217836E-2</v>
      </c>
      <c r="V218" s="565">
        <f t="shared" si="314"/>
        <v>0.17959702517175566</v>
      </c>
      <c r="W218" s="565">
        <f t="shared" si="314"/>
        <v>0.22805987454661017</v>
      </c>
      <c r="X218" s="565">
        <f t="shared" si="314"/>
        <v>0.19643054538438917</v>
      </c>
      <c r="Y218" s="565">
        <f t="shared" si="314"/>
        <v>0.13856068512128819</v>
      </c>
      <c r="Z218" s="565">
        <f t="shared" si="314"/>
        <v>0.2150234429168871</v>
      </c>
      <c r="AA218" s="564">
        <f t="shared" si="314"/>
        <v>5.3702644140683993E-2</v>
      </c>
      <c r="AB218" s="565">
        <f t="shared" si="314"/>
        <v>5.4552885805208687E-2</v>
      </c>
      <c r="AC218" s="565">
        <f t="shared" si="314"/>
        <v>5.5045710063718729E-2</v>
      </c>
      <c r="AD218" s="565">
        <f t="shared" si="314"/>
        <v>5.5538534322228772E-2</v>
      </c>
      <c r="AE218" s="566">
        <f t="shared" si="314"/>
        <v>5.6031358580738815E-2</v>
      </c>
      <c r="AF218" s="565">
        <f t="shared" si="314"/>
        <v>6.7769677544439216E-2</v>
      </c>
      <c r="AG218" s="565">
        <f>AG216*AG217/10^6</f>
        <v>6.8745560901079139E-2</v>
      </c>
      <c r="AH218" s="565">
        <f>AH216*AH217/10^6</f>
        <v>6.9721444257719062E-2</v>
      </c>
      <c r="AI218" s="565">
        <f>AI216*AI217/10^6</f>
        <v>7.0697327614358985E-2</v>
      </c>
      <c r="AJ218" s="566">
        <f t="shared" si="314"/>
        <v>7.1673210970998935E-2</v>
      </c>
      <c r="AK218" s="548"/>
      <c r="AO218" s="984" t="str">
        <f t="shared" si="263"/>
        <v>Rev</v>
      </c>
      <c r="AP218" s="985" t="str">
        <f t="shared" si="263"/>
        <v>Sewerage</v>
      </c>
      <c r="AQ218" s="986" t="str">
        <f t="shared" si="264"/>
        <v xml:space="preserve">Price cap - Variable </v>
      </c>
      <c r="AR218" s="990">
        <f t="shared" si="265"/>
        <v>2.384277249101538</v>
      </c>
      <c r="AS218" s="987">
        <f t="shared" si="266"/>
        <v>0.26984216096289781</v>
      </c>
      <c r="AT218" s="987">
        <f t="shared" si="267"/>
        <v>-0.1386887071875359</v>
      </c>
      <c r="AU218" s="987">
        <f t="shared" si="268"/>
        <v>-0.29460723712728665</v>
      </c>
      <c r="AV218" s="1353">
        <f t="shared" si="269"/>
        <v>0.55183588135889861</v>
      </c>
      <c r="AW218" s="1346">
        <f t="shared" si="270"/>
        <v>-0.75024749203071006</v>
      </c>
      <c r="AX218" s="987">
        <f t="shared" si="271"/>
        <v>1.5832398536975711E-2</v>
      </c>
      <c r="AY218" s="987">
        <f t="shared" si="272"/>
        <v>9.0338806322687315E-3</v>
      </c>
      <c r="AZ218" s="987">
        <f t="shared" si="273"/>
        <v>8.9530002962914246E-3</v>
      </c>
      <c r="BA218" s="988">
        <f t="shared" si="274"/>
        <v>8.8735553525904898E-3</v>
      </c>
      <c r="BB218" s="1346">
        <f t="shared" si="275"/>
        <v>0.20949552645213809</v>
      </c>
      <c r="BC218" s="987">
        <f t="shared" si="276"/>
        <v>1.4399999999999968E-2</v>
      </c>
      <c r="BD218" s="987">
        <f t="shared" si="277"/>
        <v>1.4195583596214423E-2</v>
      </c>
      <c r="BE218" s="987">
        <f t="shared" si="278"/>
        <v>1.3996889580093264E-2</v>
      </c>
      <c r="BF218" s="989">
        <f t="shared" si="279"/>
        <v>1.3803680981595567E-2</v>
      </c>
      <c r="BG218" s="951"/>
      <c r="BH218" s="984" t="str">
        <f t="shared" si="280"/>
        <v>Rev</v>
      </c>
      <c r="BI218" s="985" t="str">
        <f t="shared" si="281"/>
        <v>Sewerage</v>
      </c>
      <c r="BJ218" s="986" t="str">
        <f t="shared" si="282"/>
        <v xml:space="preserve">Price cap - Variable </v>
      </c>
      <c r="BK218" s="987">
        <f t="shared" ref="BK218:BU218" si="315">IF(V218="","-",IFERROR((V218/U218-1)*(U218/U$13),"-"))</f>
        <v>6.5613840582508422E-5</v>
      </c>
      <c r="BL218" s="987">
        <f t="shared" si="315"/>
        <v>2.6006479069162082E-5</v>
      </c>
      <c r="BM218" s="987">
        <f t="shared" si="315"/>
        <v>-1.709399426705398E-5</v>
      </c>
      <c r="BN218" s="987">
        <f t="shared" si="315"/>
        <v>-3.1096210906919582E-5</v>
      </c>
      <c r="BO218" s="1353">
        <f t="shared" si="315"/>
        <v>4.0571367933101821E-5</v>
      </c>
      <c r="BP218" s="1346">
        <f t="shared" si="315"/>
        <v>-8.563399349786263E-5</v>
      </c>
      <c r="BQ218" s="987">
        <f t="shared" si="315"/>
        <v>4.490832620372132E-7</v>
      </c>
      <c r="BR218" s="987">
        <f t="shared" si="315"/>
        <v>2.5058957180375571E-7</v>
      </c>
      <c r="BS218" s="987">
        <f t="shared" si="315"/>
        <v>2.4584903900431945E-7</v>
      </c>
      <c r="BT218" s="988">
        <f t="shared" si="315"/>
        <v>2.4125760144865145E-7</v>
      </c>
      <c r="BU218" s="987">
        <f t="shared" si="315"/>
        <v>5.6380506154590634E-6</v>
      </c>
      <c r="BV218" s="987">
        <f>IF(AG218="","-",IFERROR((AG218/AF218-1)*(AF218/AF$13),"-"))</f>
        <v>4.4769905957843975E-7</v>
      </c>
      <c r="BW218" s="987">
        <f>IF(AH218="","-",IFERROR((AH218/AG218-1)*(AG218/AG$13),"-"))</f>
        <v>4.4151489992016156E-7</v>
      </c>
      <c r="BX218" s="987">
        <f>IF(AI218="","-",IFERROR((AI218/AH218-1)*(AH218/AH$13),"-"))</f>
        <v>4.3514149363212172E-7</v>
      </c>
      <c r="BY218" s="989">
        <f>IF(AJ218="","-",IFERROR((AJ218/AI218-1)*(AI218/AI$13),"-"))</f>
        <v>4.2777687241917497E-7</v>
      </c>
      <c r="BZ218" s="951"/>
      <c r="CA218" s="984" t="str">
        <f t="shared" si="259"/>
        <v>Rev</v>
      </c>
      <c r="CB218" s="985" t="str">
        <f t="shared" si="260"/>
        <v>Sewerage</v>
      </c>
      <c r="CC218" s="985" t="str">
        <f t="shared" si="261"/>
        <v xml:space="preserve">Price cap - Variable </v>
      </c>
      <c r="CD218" s="990">
        <f t="shared" si="287"/>
        <v>1.0730407461737621</v>
      </c>
      <c r="CE218" s="987">
        <f t="shared" si="287"/>
        <v>0.54688705824283823</v>
      </c>
      <c r="CF218" s="987">
        <f t="shared" si="287"/>
        <v>0.27116434973235082</v>
      </c>
      <c r="CG218" s="988">
        <f t="shared" si="284"/>
        <v>0.32291067644602434</v>
      </c>
      <c r="CH218" s="987">
        <f t="shared" si="288"/>
        <v>-0.49630694941157971</v>
      </c>
      <c r="CI218" s="987">
        <f t="shared" si="288"/>
        <v>-0.36504069936010664</v>
      </c>
      <c r="CJ218" s="987">
        <f t="shared" si="288"/>
        <v>-0.28710240311601676</v>
      </c>
      <c r="CK218" s="989">
        <f t="shared" si="285"/>
        <v>-0.23583161131914376</v>
      </c>
    </row>
    <row r="219" spans="4:89">
      <c r="D219" s="63">
        <f>D216+1</f>
        <v>51</v>
      </c>
      <c r="E219" s="550" t="s">
        <v>857</v>
      </c>
      <c r="F219" s="595" t="s">
        <v>402</v>
      </c>
      <c r="G219" s="595" t="s">
        <v>103</v>
      </c>
      <c r="H219" s="595" t="s">
        <v>898</v>
      </c>
      <c r="I219" s="589" t="s">
        <v>941</v>
      </c>
      <c r="J219" s="589" t="s">
        <v>879</v>
      </c>
      <c r="K219" s="551"/>
      <c r="L219" s="552"/>
      <c r="M219" s="552"/>
      <c r="N219" s="551"/>
      <c r="O219" s="552"/>
      <c r="P219" s="552"/>
      <c r="Q219" s="552"/>
      <c r="R219" s="1035"/>
      <c r="S219" s="1138"/>
      <c r="T219" s="591"/>
      <c r="U219" s="1035">
        <v>136.8385934819897</v>
      </c>
      <c r="V219" s="591">
        <v>648.95040712468187</v>
      </c>
      <c r="W219" s="591">
        <v>648.95745762711863</v>
      </c>
      <c r="X219" s="591">
        <v>648.94957013574663</v>
      </c>
      <c r="Y219" s="591">
        <v>648.95058951965063</v>
      </c>
      <c r="Z219" s="591">
        <v>648.95730000000003</v>
      </c>
      <c r="AA219" s="1138">
        <v>161</v>
      </c>
      <c r="AB219" s="591">
        <v>161</v>
      </c>
      <c r="AC219" s="591">
        <v>161</v>
      </c>
      <c r="AD219" s="591">
        <v>161</v>
      </c>
      <c r="AE219" s="1035">
        <v>161</v>
      </c>
      <c r="AF219" s="591">
        <v>193.03097429439475</v>
      </c>
      <c r="AG219" s="591">
        <v>193.03097429439475</v>
      </c>
      <c r="AH219" s="591">
        <v>193.03097429439475</v>
      </c>
      <c r="AI219" s="591">
        <v>193.03097429439475</v>
      </c>
      <c r="AJ219" s="592">
        <v>193.03097429439475</v>
      </c>
      <c r="AK219" s="548"/>
      <c r="AM219" s="974"/>
      <c r="AO219" s="975" t="str">
        <f t="shared" si="263"/>
        <v>Price</v>
      </c>
      <c r="AP219" s="976" t="str">
        <f t="shared" si="263"/>
        <v>Sewerage</v>
      </c>
      <c r="AQ219" s="977" t="str">
        <f t="shared" si="264"/>
        <v xml:space="preserve">Price cap - Variable </v>
      </c>
      <c r="AR219" s="1341">
        <f t="shared" si="265"/>
        <v>3.742451603831304</v>
      </c>
      <c r="AS219" s="978">
        <f t="shared" si="266"/>
        <v>1.0864470319171815E-5</v>
      </c>
      <c r="AT219" s="979">
        <f t="shared" si="267"/>
        <v>-1.2154096203587095E-5</v>
      </c>
      <c r="AU219" s="979">
        <f t="shared" si="268"/>
        <v>1.5708214489151828E-6</v>
      </c>
      <c r="AV219" s="1352">
        <f t="shared" si="269"/>
        <v>1.0340510445239204E-5</v>
      </c>
      <c r="AW219" s="1345">
        <f t="shared" si="270"/>
        <v>-0.75190971732654832</v>
      </c>
      <c r="AX219" s="979">
        <f t="shared" si="271"/>
        <v>0</v>
      </c>
      <c r="AY219" s="979">
        <f t="shared" si="272"/>
        <v>0</v>
      </c>
      <c r="AZ219" s="979">
        <f t="shared" si="273"/>
        <v>0</v>
      </c>
      <c r="BA219" s="980">
        <f t="shared" si="274"/>
        <v>0</v>
      </c>
      <c r="BB219" s="1345">
        <f t="shared" si="275"/>
        <v>0.19895015089686185</v>
      </c>
      <c r="BC219" s="979">
        <f t="shared" si="276"/>
        <v>0</v>
      </c>
      <c r="BD219" s="979">
        <f t="shared" si="277"/>
        <v>0</v>
      </c>
      <c r="BE219" s="979">
        <f t="shared" si="278"/>
        <v>0</v>
      </c>
      <c r="BF219" s="981">
        <f t="shared" si="279"/>
        <v>0</v>
      </c>
      <c r="BG219" s="951"/>
      <c r="BH219" s="975" t="str">
        <f t="shared" si="280"/>
        <v>Price</v>
      </c>
      <c r="BI219" s="976" t="str">
        <f t="shared" si="281"/>
        <v>Sewerage</v>
      </c>
      <c r="BJ219" s="977" t="str">
        <f t="shared" si="282"/>
        <v xml:space="preserve">Price cap - Variable </v>
      </c>
      <c r="BK219" s="978">
        <f t="shared" ref="BK219:BU219" si="316">IF(V219="","-",IFERROR((V219/U219-1)*(U221/U$13),"-"))</f>
        <v>8.0469281280195831E-4</v>
      </c>
      <c r="BL219" s="978">
        <f t="shared" si="316"/>
        <v>1.3414480084817265E-8</v>
      </c>
      <c r="BM219" s="979">
        <f t="shared" si="316"/>
        <v>-1.7157373357268024E-8</v>
      </c>
      <c r="BN219" s="979">
        <f t="shared" si="316"/>
        <v>2.1230478000496467E-9</v>
      </c>
      <c r="BO219" s="1352">
        <f t="shared" si="316"/>
        <v>1.4748187122455655E-8</v>
      </c>
      <c r="BP219" s="1345">
        <f t="shared" si="316"/>
        <v>-1.3552747929358694E-3</v>
      </c>
      <c r="BQ219" s="979">
        <f t="shared" si="316"/>
        <v>0</v>
      </c>
      <c r="BR219" s="979">
        <f t="shared" si="316"/>
        <v>0</v>
      </c>
      <c r="BS219" s="979">
        <f t="shared" si="316"/>
        <v>0</v>
      </c>
      <c r="BT219" s="980">
        <f t="shared" si="316"/>
        <v>0</v>
      </c>
      <c r="BU219" s="979">
        <f t="shared" si="316"/>
        <v>8.6131694935207625E-5</v>
      </c>
      <c r="BV219" s="979">
        <f>IF(AG219="","-",IFERROR((AG219/AF219-1)*(AF221/AF$13),"-"))</f>
        <v>0</v>
      </c>
      <c r="BW219" s="979">
        <f>IF(AH219="","-",IFERROR((AH219/AG219-1)*(AG221/AG$13),"-"))</f>
        <v>0</v>
      </c>
      <c r="BX219" s="979">
        <f>IF(AI219="","-",IFERROR((AI219/AH219-1)*(AH221/AH$13),"-"))</f>
        <v>0</v>
      </c>
      <c r="BY219" s="981">
        <f>IF(AJ219="","-",IFERROR((AJ219/AI219-1)*(AI221/AI$13),"-"))</f>
        <v>0</v>
      </c>
      <c r="BZ219" s="951"/>
      <c r="CA219" s="975" t="str">
        <f t="shared" si="259"/>
        <v>Price</v>
      </c>
      <c r="CB219" s="976" t="str">
        <f t="shared" si="260"/>
        <v>Sewerage</v>
      </c>
      <c r="CC219" s="982" t="str">
        <f t="shared" si="261"/>
        <v xml:space="preserve">Price cap - Variable </v>
      </c>
      <c r="CD219" s="983">
        <f t="shared" si="287"/>
        <v>1.1777288922306179</v>
      </c>
      <c r="CE219" s="979">
        <f t="shared" si="287"/>
        <v>0.68009606962157565</v>
      </c>
      <c r="CF219" s="979">
        <f t="shared" si="287"/>
        <v>0.47570910698136415</v>
      </c>
      <c r="CG219" s="980">
        <f t="shared" si="284"/>
        <v>0.36521642325312209</v>
      </c>
      <c r="CH219" s="979">
        <f t="shared" si="288"/>
        <v>-0.50191337834323257</v>
      </c>
      <c r="CI219" s="979">
        <f t="shared" si="288"/>
        <v>-0.37164763892094221</v>
      </c>
      <c r="CJ219" s="979">
        <f t="shared" si="288"/>
        <v>-0.29424747846233845</v>
      </c>
      <c r="CK219" s="981">
        <f t="shared" si="285"/>
        <v>-0.24330310694605917</v>
      </c>
    </row>
    <row r="220" spans="4:89">
      <c r="E220" s="567" t="s">
        <v>880</v>
      </c>
      <c r="F220" s="554" t="str">
        <f>+F219</f>
        <v>Sewerage</v>
      </c>
      <c r="G220" s="555" t="str">
        <f>+G219</f>
        <v>YVW</v>
      </c>
      <c r="H220" s="555" t="str">
        <f>+H219</f>
        <v>Trade waste - SS Western</v>
      </c>
      <c r="I220" s="556" t="str">
        <f>+I219</f>
        <v xml:space="preserve">Price cap - Variable </v>
      </c>
      <c r="J220" s="590" t="s">
        <v>896</v>
      </c>
      <c r="K220" s="557"/>
      <c r="L220" s="558"/>
      <c r="M220" s="558"/>
      <c r="N220" s="557"/>
      <c r="O220" s="558"/>
      <c r="P220" s="558"/>
      <c r="Q220" s="558"/>
      <c r="R220" s="1036"/>
      <c r="S220" s="1139"/>
      <c r="T220" s="593"/>
      <c r="U220" s="1036">
        <v>3030.1200000000003</v>
      </c>
      <c r="V220" s="593">
        <v>3545.53</v>
      </c>
      <c r="W220" s="593">
        <v>4024.9300000000003</v>
      </c>
      <c r="X220" s="593">
        <v>3875.8500000000004</v>
      </c>
      <c r="Y220" s="593">
        <v>4142.05</v>
      </c>
      <c r="Z220" s="593">
        <v>5232.2647075122723</v>
      </c>
      <c r="AA220" s="1139">
        <v>5287.537899387311</v>
      </c>
      <c r="AB220" s="593">
        <v>5406.7271888140167</v>
      </c>
      <c r="AC220" s="593">
        <v>5470.6432863656864</v>
      </c>
      <c r="AD220" s="593">
        <v>5534.5593839173562</v>
      </c>
      <c r="AE220" s="1036">
        <v>5598.4754814690259</v>
      </c>
      <c r="AF220" s="593">
        <v>5662.3915790206956</v>
      </c>
      <c r="AG220" s="593">
        <v>5744.5594906114247</v>
      </c>
      <c r="AH220" s="593">
        <v>5826.7274022021575</v>
      </c>
      <c r="AI220" s="593">
        <v>5908.8953137928866</v>
      </c>
      <c r="AJ220" s="594">
        <v>5991.0632253836193</v>
      </c>
      <c r="AK220" s="548"/>
      <c r="AO220" s="961" t="str">
        <f t="shared" si="263"/>
        <v>Qty</v>
      </c>
      <c r="AP220" s="962" t="str">
        <f t="shared" si="263"/>
        <v>Sewerage</v>
      </c>
      <c r="AQ220" s="963" t="str">
        <f t="shared" si="264"/>
        <v xml:space="preserve">Price cap - Variable </v>
      </c>
      <c r="AR220" s="967">
        <f t="shared" si="265"/>
        <v>0.17009557377265572</v>
      </c>
      <c r="AS220" s="964">
        <f t="shared" si="266"/>
        <v>0.13521250701587628</v>
      </c>
      <c r="AT220" s="964">
        <f t="shared" si="267"/>
        <v>-3.7039153475961095E-2</v>
      </c>
      <c r="AU220" s="964">
        <f t="shared" si="268"/>
        <v>6.8681708528451679E-2</v>
      </c>
      <c r="AV220" s="1350">
        <f t="shared" si="269"/>
        <v>0.26320655412471416</v>
      </c>
      <c r="AW220" s="1343">
        <f t="shared" si="270"/>
        <v>1.0563913518304879E-2</v>
      </c>
      <c r="AX220" s="964">
        <f t="shared" si="271"/>
        <v>2.2541548012453339E-2</v>
      </c>
      <c r="AY220" s="964">
        <f t="shared" si="272"/>
        <v>1.1821587315133275E-2</v>
      </c>
      <c r="AZ220" s="964">
        <f t="shared" si="273"/>
        <v>1.1683470152580755E-2</v>
      </c>
      <c r="BA220" s="965">
        <f t="shared" si="274"/>
        <v>1.1548543094035857E-2</v>
      </c>
      <c r="BB220" s="1343">
        <f t="shared" si="275"/>
        <v>1.1416696878147059E-2</v>
      </c>
      <c r="BC220" s="964">
        <f t="shared" si="276"/>
        <v>1.4511167312264872E-2</v>
      </c>
      <c r="BD220" s="964">
        <f t="shared" si="277"/>
        <v>1.4303605302551592E-2</v>
      </c>
      <c r="BE220" s="964">
        <f t="shared" si="278"/>
        <v>1.4101897329137802E-2</v>
      </c>
      <c r="BF220" s="966">
        <f t="shared" si="279"/>
        <v>1.390579917686674E-2</v>
      </c>
      <c r="BG220" s="951"/>
      <c r="BH220" s="961" t="str">
        <f t="shared" si="280"/>
        <v>Qty</v>
      </c>
      <c r="BI220" s="962" t="str">
        <f t="shared" si="281"/>
        <v>Sewerage</v>
      </c>
      <c r="BJ220" s="963" t="str">
        <f t="shared" si="282"/>
        <v xml:space="preserve">Price cap - Variable </v>
      </c>
      <c r="BK220" s="964">
        <f t="shared" ref="BK220:BU220" si="317">IF(V220="","-",IFERROR((V220/U220-1)*(U221/U$13),"-"))</f>
        <v>3.6573535263397127E-5</v>
      </c>
      <c r="BL220" s="964">
        <f t="shared" si="317"/>
        <v>1.6694835820776132E-4</v>
      </c>
      <c r="BM220" s="964">
        <f t="shared" si="317"/>
        <v>-5.2286453421082826E-5</v>
      </c>
      <c r="BN220" s="964">
        <f t="shared" si="317"/>
        <v>9.2826941149600848E-5</v>
      </c>
      <c r="BO220" s="1350">
        <f t="shared" si="317"/>
        <v>3.7539921579744025E-4</v>
      </c>
      <c r="BP220" s="1343">
        <f t="shared" si="317"/>
        <v>1.9040857401095825E-5</v>
      </c>
      <c r="BQ220" s="964">
        <f t="shared" si="317"/>
        <v>1.0135556345637279E-5</v>
      </c>
      <c r="BR220" s="964">
        <f t="shared" si="317"/>
        <v>5.2324735758897326E-6</v>
      </c>
      <c r="BS220" s="964">
        <f t="shared" si="317"/>
        <v>5.1334881614921801E-6</v>
      </c>
      <c r="BT220" s="965">
        <f t="shared" si="317"/>
        <v>5.037615952954375E-6</v>
      </c>
      <c r="BU220" s="964">
        <f t="shared" si="317"/>
        <v>4.9426424068714315E-6</v>
      </c>
      <c r="BV220" s="964">
        <f>IF(AG220="","-",IFERROR((AG220/AF220-1)*(AF221/AF$13),"-"))</f>
        <v>7.2764160384302481E-6</v>
      </c>
      <c r="BW220" s="964">
        <f>IF(AH220="","-",IFERROR((AH220/AG220-1)*(AG221/AG$13),"-"))</f>
        <v>7.1759053995114961E-6</v>
      </c>
      <c r="BX220" s="964">
        <f>IF(AI220="","-",IFERROR((AI220/AH220-1)*(AH221/AH$13),"-"))</f>
        <v>7.0723189506644554E-6</v>
      </c>
      <c r="BY220" s="966">
        <f>IF(AJ220="","-",IFERROR((AJ220/AI220-1)*(AI221/AI$13),"-"))</f>
        <v>6.9526223670681739E-6</v>
      </c>
      <c r="BZ220" s="951"/>
      <c r="CA220" s="961" t="str">
        <f t="shared" si="259"/>
        <v>Qty</v>
      </c>
      <c r="CB220" s="962" t="str">
        <f t="shared" si="260"/>
        <v>Sewerage</v>
      </c>
      <c r="CC220" s="962" t="str">
        <f t="shared" si="261"/>
        <v xml:space="preserve">Price cap - Variable </v>
      </c>
      <c r="CD220" s="967">
        <f t="shared" si="287"/>
        <v>0.15252207343314539</v>
      </c>
      <c r="CE220" s="964">
        <f t="shared" si="287"/>
        <v>8.5514704963997934E-2</v>
      </c>
      <c r="CF220" s="964">
        <f t="shared" si="287"/>
        <v>8.1281760728316499E-2</v>
      </c>
      <c r="CG220" s="965">
        <f t="shared" si="284"/>
        <v>0.11543938753391436</v>
      </c>
      <c r="CH220" s="964">
        <f t="shared" si="288"/>
        <v>1.6535089652359503E-2</v>
      </c>
      <c r="CI220" s="964">
        <f t="shared" si="288"/>
        <v>1.4961487518464711E-2</v>
      </c>
      <c r="CJ220" s="964">
        <f t="shared" si="288"/>
        <v>1.4140988771609075E-2</v>
      </c>
      <c r="CK220" s="966">
        <f t="shared" si="285"/>
        <v>1.3621968656569949E-2</v>
      </c>
    </row>
    <row r="221" spans="4:89" ht="12.75" thickBot="1">
      <c r="E221" s="568" t="s">
        <v>882</v>
      </c>
      <c r="F221" s="560" t="str">
        <f>+F219</f>
        <v>Sewerage</v>
      </c>
      <c r="G221" s="561" t="str">
        <f>+G219</f>
        <v>YVW</v>
      </c>
      <c r="H221" s="561" t="str">
        <f>+H219</f>
        <v>Trade waste - SS Western</v>
      </c>
      <c r="I221" s="562" t="str">
        <f>+I219</f>
        <v xml:space="preserve">Price cap - Variable </v>
      </c>
      <c r="J221" s="563" t="s">
        <v>883</v>
      </c>
      <c r="K221" s="564">
        <f t="shared" ref="K221:AJ221" si="318">K219*K220/10^6</f>
        <v>0</v>
      </c>
      <c r="L221" s="565">
        <f t="shared" si="318"/>
        <v>0</v>
      </c>
      <c r="M221" s="565">
        <f t="shared" si="318"/>
        <v>0</v>
      </c>
      <c r="N221" s="564">
        <f t="shared" si="318"/>
        <v>0</v>
      </c>
      <c r="O221" s="565">
        <f t="shared" si="318"/>
        <v>0</v>
      </c>
      <c r="P221" s="565">
        <f t="shared" si="318"/>
        <v>0</v>
      </c>
      <c r="Q221" s="565">
        <f t="shared" si="318"/>
        <v>0</v>
      </c>
      <c r="R221" s="566">
        <f t="shared" si="318"/>
        <v>0</v>
      </c>
      <c r="S221" s="564">
        <f t="shared" si="318"/>
        <v>0</v>
      </c>
      <c r="T221" s="565">
        <f t="shared" si="318"/>
        <v>0</v>
      </c>
      <c r="U221" s="566">
        <f t="shared" si="318"/>
        <v>0.41463735888164671</v>
      </c>
      <c r="V221" s="565">
        <f t="shared" si="318"/>
        <v>2.3008731369727733</v>
      </c>
      <c r="W221" s="565">
        <f t="shared" si="318"/>
        <v>2.6120083399271188</v>
      </c>
      <c r="X221" s="565">
        <f t="shared" si="318"/>
        <v>2.5152311914106336</v>
      </c>
      <c r="Y221" s="565">
        <f t="shared" si="318"/>
        <v>2.6879857893198693</v>
      </c>
      <c r="Z221" s="565">
        <f t="shared" si="318"/>
        <v>3.3955163774724544</v>
      </c>
      <c r="AA221" s="564">
        <f t="shared" si="318"/>
        <v>0.85129360180135716</v>
      </c>
      <c r="AB221" s="565">
        <f t="shared" si="318"/>
        <v>0.87048307739905662</v>
      </c>
      <c r="AC221" s="565">
        <f t="shared" si="318"/>
        <v>0.88077356910487559</v>
      </c>
      <c r="AD221" s="565">
        <f t="shared" si="318"/>
        <v>0.89106406081069434</v>
      </c>
      <c r="AE221" s="566">
        <f t="shared" si="318"/>
        <v>0.9013545525165132</v>
      </c>
      <c r="AF221" s="565">
        <f t="shared" si="318"/>
        <v>1.0930169633347413</v>
      </c>
      <c r="AG221" s="565">
        <f>AG219*AG220/10^6</f>
        <v>1.1088779153648354</v>
      </c>
      <c r="AH221" s="565">
        <f>AH219*AH220/10^6</f>
        <v>1.1247388673949301</v>
      </c>
      <c r="AI221" s="565">
        <f>AI219*AI220/10^6</f>
        <v>1.1405998194250244</v>
      </c>
      <c r="AJ221" s="566">
        <f t="shared" si="318"/>
        <v>1.1564607714551192</v>
      </c>
      <c r="AK221" s="548"/>
      <c r="AO221" s="984" t="str">
        <f t="shared" si="263"/>
        <v>Rev</v>
      </c>
      <c r="AP221" s="985" t="str">
        <f t="shared" si="263"/>
        <v>Sewerage</v>
      </c>
      <c r="AQ221" s="986" t="str">
        <f t="shared" si="264"/>
        <v xml:space="preserve">Price cap - Variable </v>
      </c>
      <c r="AR221" s="990">
        <f t="shared" si="265"/>
        <v>4.5491216304740405</v>
      </c>
      <c r="AS221" s="987">
        <f t="shared" si="266"/>
        <v>0.13522484049846484</v>
      </c>
      <c r="AT221" s="987">
        <f t="shared" si="267"/>
        <v>-3.7050857394730019E-2</v>
      </c>
      <c r="AU221" s="987">
        <f t="shared" si="268"/>
        <v>6.8683387236601723E-2</v>
      </c>
      <c r="AV221" s="1353">
        <f t="shared" si="269"/>
        <v>0.26321961632528157</v>
      </c>
      <c r="AW221" s="1346">
        <f t="shared" si="270"/>
        <v>-0.74928891303565415</v>
      </c>
      <c r="AX221" s="987">
        <f t="shared" si="271"/>
        <v>2.2541548012453116E-2</v>
      </c>
      <c r="AY221" s="987">
        <f t="shared" si="272"/>
        <v>1.1821587315133497E-2</v>
      </c>
      <c r="AZ221" s="987">
        <f t="shared" si="273"/>
        <v>1.1683470152580755E-2</v>
      </c>
      <c r="BA221" s="988">
        <f t="shared" si="274"/>
        <v>1.1548543094035857E-2</v>
      </c>
      <c r="BB221" s="1346">
        <f t="shared" si="275"/>
        <v>0.21263820134165989</v>
      </c>
      <c r="BC221" s="987">
        <f t="shared" si="276"/>
        <v>1.4511167312264872E-2</v>
      </c>
      <c r="BD221" s="987">
        <f t="shared" si="277"/>
        <v>1.4303605302551592E-2</v>
      </c>
      <c r="BE221" s="987">
        <f t="shared" si="278"/>
        <v>1.4101897329138025E-2</v>
      </c>
      <c r="BF221" s="989">
        <f t="shared" si="279"/>
        <v>1.390579917686674E-2</v>
      </c>
      <c r="BG221" s="951"/>
      <c r="BH221" s="984" t="str">
        <f t="shared" si="280"/>
        <v>Rev</v>
      </c>
      <c r="BI221" s="985" t="str">
        <f t="shared" si="281"/>
        <v>Sewerage</v>
      </c>
      <c r="BJ221" s="986" t="str">
        <f t="shared" si="282"/>
        <v xml:space="preserve">Price cap - Variable </v>
      </c>
      <c r="BK221" s="987">
        <f t="shared" ref="BK221:BU221" si="319">IF(V221="","-",IFERROR((V221/U221-1)*(U221/U$13),"-"))</f>
        <v>9.7814103376963669E-4</v>
      </c>
      <c r="BL221" s="987">
        <f t="shared" si="319"/>
        <v>1.6696358649332887E-4</v>
      </c>
      <c r="BM221" s="987">
        <f t="shared" si="319"/>
        <v>-5.2302975299855046E-5</v>
      </c>
      <c r="BN221" s="987">
        <f t="shared" si="319"/>
        <v>9.2829210011951394E-5</v>
      </c>
      <c r="BO221" s="1353">
        <f t="shared" si="319"/>
        <v>3.7541784580407474E-4</v>
      </c>
      <c r="BP221" s="1346">
        <f t="shared" si="319"/>
        <v>-1.3505509412408867E-3</v>
      </c>
      <c r="BQ221" s="987">
        <f t="shared" si="319"/>
        <v>1.0135556345637179E-5</v>
      </c>
      <c r="BR221" s="987">
        <f t="shared" si="319"/>
        <v>5.2324735758898308E-6</v>
      </c>
      <c r="BS221" s="987">
        <f t="shared" si="319"/>
        <v>5.1334881614921801E-6</v>
      </c>
      <c r="BT221" s="988">
        <f t="shared" si="319"/>
        <v>5.037615952954375E-6</v>
      </c>
      <c r="BU221" s="987">
        <f t="shared" si="319"/>
        <v>9.2057676794755306E-5</v>
      </c>
      <c r="BV221" s="987">
        <f>IF(AG221="","-",IFERROR((AG221/AF221-1)*(AF221/AF$13),"-"))</f>
        <v>7.2764160384302481E-6</v>
      </c>
      <c r="BW221" s="987">
        <f>IF(AH221="","-",IFERROR((AH221/AG221-1)*(AG221/AG$13),"-"))</f>
        <v>7.1759053995114961E-6</v>
      </c>
      <c r="BX221" s="987">
        <f>IF(AI221="","-",IFERROR((AI221/AH221-1)*(AH221/AH$13),"-"))</f>
        <v>7.0723189506645663E-6</v>
      </c>
      <c r="BY221" s="989">
        <f>IF(AJ221="","-",IFERROR((AJ221/AI221-1)*(AI221/AI$13),"-"))</f>
        <v>6.9526223670681739E-6</v>
      </c>
      <c r="BZ221" s="951"/>
      <c r="CA221" s="984" t="str">
        <f t="shared" si="259"/>
        <v>Rev</v>
      </c>
      <c r="CB221" s="985" t="str">
        <f t="shared" si="260"/>
        <v>Sewerage</v>
      </c>
      <c r="CC221" s="985" t="str">
        <f t="shared" si="261"/>
        <v xml:space="preserve">Price cap - Variable </v>
      </c>
      <c r="CD221" s="990">
        <f t="shared" si="287"/>
        <v>1.5098806182488986</v>
      </c>
      <c r="CE221" s="987">
        <f t="shared" si="287"/>
        <v>0.82376898932643727</v>
      </c>
      <c r="CF221" s="987">
        <f t="shared" si="287"/>
        <v>0.59565734151962091</v>
      </c>
      <c r="CG221" s="988">
        <f t="shared" si="284"/>
        <v>0.52281617100470346</v>
      </c>
      <c r="CH221" s="987">
        <f t="shared" si="288"/>
        <v>-0.49367747139949725</v>
      </c>
      <c r="CI221" s="987">
        <f t="shared" si="288"/>
        <v>-0.36224655291346008</v>
      </c>
      <c r="CJ221" s="987">
        <f t="shared" si="288"/>
        <v>-0.28426743997973958</v>
      </c>
      <c r="CK221" s="989">
        <f t="shared" si="285"/>
        <v>-0.23299540558635445</v>
      </c>
    </row>
    <row r="222" spans="4:89">
      <c r="D222" s="63">
        <f>D219+1</f>
        <v>52</v>
      </c>
      <c r="E222" s="550" t="s">
        <v>857</v>
      </c>
      <c r="F222" s="595" t="s">
        <v>402</v>
      </c>
      <c r="G222" s="595" t="s">
        <v>92</v>
      </c>
      <c r="H222" s="595" t="s">
        <v>899</v>
      </c>
      <c r="I222" s="589" t="s">
        <v>941</v>
      </c>
      <c r="J222" s="589" t="s">
        <v>879</v>
      </c>
      <c r="K222" s="551"/>
      <c r="L222" s="552"/>
      <c r="M222" s="552"/>
      <c r="N222" s="551"/>
      <c r="O222" s="552"/>
      <c r="P222" s="552"/>
      <c r="Q222" s="552"/>
      <c r="R222" s="1035"/>
      <c r="S222" s="1138"/>
      <c r="T222" s="591"/>
      <c r="U222" s="1035">
        <v>728.45433962264133</v>
      </c>
      <c r="V222" s="591">
        <v>692.03157760814247</v>
      </c>
      <c r="W222" s="591">
        <v>692.03050847457621</v>
      </c>
      <c r="X222" s="591">
        <v>692.02966063348424</v>
      </c>
      <c r="Y222" s="591">
        <v>692.03100436681211</v>
      </c>
      <c r="Z222" s="591">
        <v>692.03620000000001</v>
      </c>
      <c r="AA222" s="1138">
        <v>485</v>
      </c>
      <c r="AB222" s="591">
        <v>485</v>
      </c>
      <c r="AC222" s="591">
        <v>485</v>
      </c>
      <c r="AD222" s="591">
        <v>485</v>
      </c>
      <c r="AE222" s="1035">
        <v>485</v>
      </c>
      <c r="AF222" s="591">
        <v>581.49082318497801</v>
      </c>
      <c r="AG222" s="591">
        <v>581.49082318497801</v>
      </c>
      <c r="AH222" s="591">
        <v>581.49082318497801</v>
      </c>
      <c r="AI222" s="591">
        <v>581.49082318497801</v>
      </c>
      <c r="AJ222" s="592">
        <v>581.49082318497801</v>
      </c>
      <c r="AK222" s="548"/>
      <c r="AM222" s="974"/>
      <c r="AO222" s="975" t="str">
        <f t="shared" si="263"/>
        <v>Price</v>
      </c>
      <c r="AP222" s="976" t="str">
        <f t="shared" si="263"/>
        <v>Sewerage</v>
      </c>
      <c r="AQ222" s="977" t="str">
        <f t="shared" si="264"/>
        <v xml:space="preserve">Price cap - Variable </v>
      </c>
      <c r="AR222" s="1341">
        <f t="shared" si="265"/>
        <v>-5.000006182043859E-2</v>
      </c>
      <c r="AS222" s="978">
        <f t="shared" si="266"/>
        <v>-1.5449202043216204E-6</v>
      </c>
      <c r="AT222" s="979">
        <f t="shared" si="267"/>
        <v>-1.2251498764381807E-6</v>
      </c>
      <c r="AU222" s="979">
        <f t="shared" si="268"/>
        <v>1.9417279406575005E-6</v>
      </c>
      <c r="AV222" s="1352">
        <f t="shared" si="269"/>
        <v>7.5078040653320244E-6</v>
      </c>
      <c r="AW222" s="1345">
        <f t="shared" si="270"/>
        <v>-0.29916960991346986</v>
      </c>
      <c r="AX222" s="979">
        <f t="shared" si="271"/>
        <v>0</v>
      </c>
      <c r="AY222" s="979">
        <f t="shared" si="272"/>
        <v>0</v>
      </c>
      <c r="AZ222" s="979">
        <f t="shared" si="273"/>
        <v>0</v>
      </c>
      <c r="BA222" s="980">
        <f t="shared" si="274"/>
        <v>0</v>
      </c>
      <c r="BB222" s="1345">
        <f t="shared" si="275"/>
        <v>0.19895015089686185</v>
      </c>
      <c r="BC222" s="979">
        <f t="shared" si="276"/>
        <v>0</v>
      </c>
      <c r="BD222" s="979">
        <f t="shared" si="277"/>
        <v>0</v>
      </c>
      <c r="BE222" s="979">
        <f t="shared" si="278"/>
        <v>0</v>
      </c>
      <c r="BF222" s="981">
        <f t="shared" si="279"/>
        <v>0</v>
      </c>
      <c r="BG222" s="951"/>
      <c r="BH222" s="975" t="str">
        <f t="shared" si="280"/>
        <v>Price</v>
      </c>
      <c r="BI222" s="976" t="str">
        <f t="shared" si="281"/>
        <v>Sewerage</v>
      </c>
      <c r="BJ222" s="977" t="str">
        <f t="shared" si="282"/>
        <v xml:space="preserve">Price cap - Variable </v>
      </c>
      <c r="BK222" s="978">
        <f t="shared" ref="BK222:BU222" si="320">IF(V222="","-",IFERROR((V222/U222-1)*(U224/U$13),"-"))</f>
        <v>-7.3534513954412589E-5</v>
      </c>
      <c r="BL222" s="978">
        <f t="shared" si="320"/>
        <v>-2.6908153904764051E-9</v>
      </c>
      <c r="BM222" s="979">
        <f t="shared" si="320"/>
        <v>-2.0650704619917886E-9</v>
      </c>
      <c r="BN222" s="979">
        <f t="shared" si="320"/>
        <v>3.3240323216706279E-9</v>
      </c>
      <c r="BO222" s="1352">
        <f t="shared" si="320"/>
        <v>1.1488407055600703E-8</v>
      </c>
      <c r="BP222" s="1345">
        <f t="shared" si="320"/>
        <v>-6.6273876604629222E-4</v>
      </c>
      <c r="BQ222" s="979">
        <f t="shared" si="320"/>
        <v>0</v>
      </c>
      <c r="BR222" s="979">
        <f t="shared" si="320"/>
        <v>0</v>
      </c>
      <c r="BS222" s="979">
        <f t="shared" si="320"/>
        <v>0</v>
      </c>
      <c r="BT222" s="980">
        <f t="shared" si="320"/>
        <v>0</v>
      </c>
      <c r="BU222" s="979">
        <f t="shared" si="320"/>
        <v>2.9293663805777604E-4</v>
      </c>
      <c r="BV222" s="979">
        <f>IF(AG222="","-",IFERROR((AG222/AF222-1)*(AF224/AF$13),"-"))</f>
        <v>0</v>
      </c>
      <c r="BW222" s="979">
        <f>IF(AH222="","-",IFERROR((AH222/AG222-1)*(AG224/AG$13),"-"))</f>
        <v>0</v>
      </c>
      <c r="BX222" s="979">
        <f>IF(AI222="","-",IFERROR((AI222/AH222-1)*(AH224/AH$13),"-"))</f>
        <v>0</v>
      </c>
      <c r="BY222" s="981">
        <f>IF(AJ222="","-",IFERROR((AJ222/AI222-1)*(AI224/AI$13),"-"))</f>
        <v>0</v>
      </c>
      <c r="BZ222" s="951"/>
      <c r="CA222" s="975" t="str">
        <f t="shared" si="259"/>
        <v>Price</v>
      </c>
      <c r="CB222" s="976" t="str">
        <f t="shared" si="260"/>
        <v>Sewerage</v>
      </c>
      <c r="CC222" s="982" t="str">
        <f t="shared" si="261"/>
        <v xml:space="preserve">Price cap - Variable </v>
      </c>
      <c r="CD222" s="983">
        <f t="shared" si="287"/>
        <v>-2.5321350133561848E-2</v>
      </c>
      <c r="CE222" s="979">
        <f t="shared" si="287"/>
        <v>-1.6953356535856723E-2</v>
      </c>
      <c r="CF222" s="979">
        <f t="shared" si="287"/>
        <v>-1.2741675607702785E-2</v>
      </c>
      <c r="CG222" s="980">
        <f t="shared" si="284"/>
        <v>-1.0204908942504254E-2</v>
      </c>
      <c r="CH222" s="979">
        <f t="shared" si="288"/>
        <v>-0.1628438675572339</v>
      </c>
      <c r="CI222" s="979">
        <f t="shared" si="288"/>
        <v>-0.11174503857921791</v>
      </c>
      <c r="CJ222" s="979">
        <f t="shared" si="288"/>
        <v>-8.5037633318852723E-2</v>
      </c>
      <c r="CK222" s="981">
        <f t="shared" si="285"/>
        <v>-6.8629270327719039E-2</v>
      </c>
    </row>
    <row r="223" spans="4:89">
      <c r="E223" s="567" t="s">
        <v>880</v>
      </c>
      <c r="F223" s="554" t="str">
        <f>+F222</f>
        <v>Sewerage</v>
      </c>
      <c r="G223" s="555" t="str">
        <f>+G222</f>
        <v>SEW</v>
      </c>
      <c r="H223" s="555" t="str">
        <f>+H222</f>
        <v>Trade waste - SS Eastern</v>
      </c>
      <c r="I223" s="556" t="str">
        <f>+I222</f>
        <v xml:space="preserve">Price cap - Variable </v>
      </c>
      <c r="J223" s="590" t="s">
        <v>896</v>
      </c>
      <c r="K223" s="557"/>
      <c r="L223" s="558"/>
      <c r="M223" s="558"/>
      <c r="N223" s="557"/>
      <c r="O223" s="558"/>
      <c r="P223" s="558"/>
      <c r="Q223" s="558"/>
      <c r="R223" s="1036"/>
      <c r="S223" s="1139"/>
      <c r="T223" s="593"/>
      <c r="U223" s="1036">
        <v>3893.2550000000001</v>
      </c>
      <c r="V223" s="593">
        <v>4690.0699999999988</v>
      </c>
      <c r="W223" s="593">
        <v>4506.7849999999999</v>
      </c>
      <c r="X223" s="593">
        <v>4603.5950000000012</v>
      </c>
      <c r="Y223" s="593">
        <v>4167.2700000000004</v>
      </c>
      <c r="Z223" s="593">
        <v>6030.3185337837058</v>
      </c>
      <c r="AA223" s="1139">
        <v>6077.0272479502273</v>
      </c>
      <c r="AB223" s="593">
        <v>6172.9749325524317</v>
      </c>
      <c r="AC223" s="593">
        <v>6222.2139029881155</v>
      </c>
      <c r="AD223" s="593">
        <v>6271.4528734237974</v>
      </c>
      <c r="AE223" s="1036">
        <v>6320.6918438594812</v>
      </c>
      <c r="AF223" s="593">
        <v>6369.9308142951631</v>
      </c>
      <c r="AG223" s="593">
        <v>6461.919609774558</v>
      </c>
      <c r="AH223" s="593">
        <v>6553.9084052539501</v>
      </c>
      <c r="AI223" s="593">
        <v>6645.8972007333432</v>
      </c>
      <c r="AJ223" s="594">
        <v>6737.8859962127399</v>
      </c>
      <c r="AK223" s="548"/>
      <c r="AO223" s="961" t="str">
        <f t="shared" si="263"/>
        <v>Qty</v>
      </c>
      <c r="AP223" s="962" t="str">
        <f t="shared" si="263"/>
        <v>Sewerage</v>
      </c>
      <c r="AQ223" s="963" t="str">
        <f t="shared" si="264"/>
        <v xml:space="preserve">Price cap - Variable </v>
      </c>
      <c r="AR223" s="967">
        <f t="shared" si="265"/>
        <v>0.20466550482822177</v>
      </c>
      <c r="AS223" s="964">
        <f t="shared" si="266"/>
        <v>-3.9079374081836482E-2</v>
      </c>
      <c r="AT223" s="964">
        <f t="shared" si="267"/>
        <v>2.1480944842055205E-2</v>
      </c>
      <c r="AU223" s="964">
        <f t="shared" si="268"/>
        <v>-9.4779188873043929E-2</v>
      </c>
      <c r="AV223" s="1350">
        <f t="shared" si="269"/>
        <v>0.44706691281911293</v>
      </c>
      <c r="AW223" s="1343">
        <f t="shared" si="270"/>
        <v>7.7456462548113336E-3</v>
      </c>
      <c r="AX223" s="964">
        <f t="shared" si="271"/>
        <v>1.5788588842442275E-2</v>
      </c>
      <c r="AY223" s="964">
        <f t="shared" si="272"/>
        <v>7.9765382127225948E-3</v>
      </c>
      <c r="AZ223" s="964">
        <f t="shared" si="273"/>
        <v>7.9134165432717118E-3</v>
      </c>
      <c r="BA223" s="965">
        <f t="shared" si="274"/>
        <v>7.8512860463866296E-3</v>
      </c>
      <c r="BB223" s="1343">
        <f t="shared" si="275"/>
        <v>7.7901235579957984E-3</v>
      </c>
      <c r="BC223" s="964">
        <f t="shared" si="276"/>
        <v>1.4441098052895285E-2</v>
      </c>
      <c r="BD223" s="964">
        <f t="shared" si="277"/>
        <v>1.4235521491206216E-2</v>
      </c>
      <c r="BE223" s="964">
        <f t="shared" si="278"/>
        <v>1.403571575789031E-2</v>
      </c>
      <c r="BF223" s="966">
        <f t="shared" si="279"/>
        <v>1.3841441223202411E-2</v>
      </c>
      <c r="BG223" s="951"/>
      <c r="BH223" s="961" t="str">
        <f t="shared" si="280"/>
        <v>Qty</v>
      </c>
      <c r="BI223" s="962" t="str">
        <f t="shared" si="281"/>
        <v>Sewerage</v>
      </c>
      <c r="BJ223" s="963" t="str">
        <f t="shared" si="282"/>
        <v xml:space="preserve">Price cap - Variable </v>
      </c>
      <c r="BK223" s="964">
        <f t="shared" ref="BK223:BU223" si="321">IF(V223="","-",IFERROR((V223/U223-1)*(U224/U$13),"-"))</f>
        <v>3.0099919625750887E-4</v>
      </c>
      <c r="BL223" s="964">
        <f t="shared" si="321"/>
        <v>-6.8065250836540401E-5</v>
      </c>
      <c r="BM223" s="964">
        <f t="shared" si="321"/>
        <v>3.6207541250355252E-5</v>
      </c>
      <c r="BN223" s="964">
        <f t="shared" si="321"/>
        <v>-1.6225192038439866E-4</v>
      </c>
      <c r="BO223" s="1350">
        <f t="shared" si="321"/>
        <v>6.8409972221745551E-4</v>
      </c>
      <c r="BP223" s="1343">
        <f t="shared" si="321"/>
        <v>1.715862798574189E-5</v>
      </c>
      <c r="BQ223" s="964">
        <f t="shared" si="321"/>
        <v>2.4578802683033923E-5</v>
      </c>
      <c r="BR223" s="964">
        <f t="shared" si="321"/>
        <v>1.2142877643842351E-5</v>
      </c>
      <c r="BS223" s="964">
        <f t="shared" si="321"/>
        <v>1.1913164534330434E-5</v>
      </c>
      <c r="BT223" s="965">
        <f t="shared" si="321"/>
        <v>1.1690676168009516E-5</v>
      </c>
      <c r="BU223" s="964">
        <f t="shared" si="321"/>
        <v>1.1470273306387147E-5</v>
      </c>
      <c r="BV223" s="964">
        <f>IF(AG223="","-",IFERROR((AG223/AF223-1)*(AF224/AF$13),"-"))</f>
        <v>2.453952026496852E-5</v>
      </c>
      <c r="BW223" s="964">
        <f>IF(AH223="","-",IFERROR((AH223/AG223-1)*(AG224/AG$13),"-"))</f>
        <v>2.4200550798739753E-5</v>
      </c>
      <c r="BX223" s="964">
        <f>IF(AI223="","-",IFERROR((AI223/AH223-1)*(AH224/AH$13),"-"))</f>
        <v>2.3851208245039677E-5</v>
      </c>
      <c r="BY223" s="966">
        <f>IF(AJ223="","-",IFERROR((AJ223/AI223-1)*(AI224/AI$13),"-"))</f>
        <v>2.3447534688813981E-5</v>
      </c>
      <c r="BZ223" s="951"/>
      <c r="CA223" s="961" t="str">
        <f t="shared" si="259"/>
        <v>Qty</v>
      </c>
      <c r="CB223" s="962" t="str">
        <f t="shared" si="260"/>
        <v>Sewerage</v>
      </c>
      <c r="CC223" s="962" t="str">
        <f t="shared" si="261"/>
        <v xml:space="preserve">Price cap - Variable </v>
      </c>
      <c r="CD223" s="967">
        <f t="shared" si="287"/>
        <v>7.5912603756250974E-2</v>
      </c>
      <c r="CE223" s="964">
        <f t="shared" si="287"/>
        <v>5.7453843079424693E-2</v>
      </c>
      <c r="CF223" s="964">
        <f t="shared" si="287"/>
        <v>1.7149283221714828E-2</v>
      </c>
      <c r="CG223" s="965">
        <f t="shared" si="284"/>
        <v>9.1454110043008185E-2</v>
      </c>
      <c r="CH223" s="964">
        <f t="shared" si="288"/>
        <v>1.1759125445028884E-2</v>
      </c>
      <c r="CI223" s="964">
        <f t="shared" si="288"/>
        <v>1.0496688465557513E-2</v>
      </c>
      <c r="CJ223" s="964">
        <f t="shared" si="288"/>
        <v>9.8502504375310718E-3</v>
      </c>
      <c r="CK223" s="966">
        <f t="shared" si="285"/>
        <v>9.4501406322313741E-3</v>
      </c>
    </row>
    <row r="224" spans="4:89" ht="12.75" thickBot="1">
      <c r="E224" s="568" t="s">
        <v>882</v>
      </c>
      <c r="F224" s="560" t="str">
        <f>+F222</f>
        <v>Sewerage</v>
      </c>
      <c r="G224" s="561" t="str">
        <f>+G222</f>
        <v>SEW</v>
      </c>
      <c r="H224" s="561" t="str">
        <f>+H222</f>
        <v>Trade waste - SS Eastern</v>
      </c>
      <c r="I224" s="562" t="str">
        <f>+I222</f>
        <v xml:space="preserve">Price cap - Variable </v>
      </c>
      <c r="J224" s="563" t="s">
        <v>883</v>
      </c>
      <c r="K224" s="564">
        <f t="shared" ref="K224:AJ224" si="322">K222*K223/10^6</f>
        <v>0</v>
      </c>
      <c r="L224" s="565">
        <f t="shared" si="322"/>
        <v>0</v>
      </c>
      <c r="M224" s="565">
        <f t="shared" si="322"/>
        <v>0</v>
      </c>
      <c r="N224" s="564">
        <f t="shared" si="322"/>
        <v>0</v>
      </c>
      <c r="O224" s="565">
        <f t="shared" si="322"/>
        <v>0</v>
      </c>
      <c r="P224" s="565">
        <f t="shared" si="322"/>
        <v>0</v>
      </c>
      <c r="Q224" s="565">
        <f t="shared" si="322"/>
        <v>0</v>
      </c>
      <c r="R224" s="566">
        <f t="shared" si="322"/>
        <v>0</v>
      </c>
      <c r="S224" s="564">
        <f t="shared" si="322"/>
        <v>0</v>
      </c>
      <c r="T224" s="565">
        <f t="shared" si="322"/>
        <v>0</v>
      </c>
      <c r="U224" s="566">
        <f t="shared" si="322"/>
        <v>2.8360585000075464</v>
      </c>
      <c r="V224" s="565">
        <f t="shared" si="322"/>
        <v>3.2456765411926201</v>
      </c>
      <c r="W224" s="565">
        <f t="shared" si="322"/>
        <v>3.1188327151355928</v>
      </c>
      <c r="X224" s="565">
        <f t="shared" si="322"/>
        <v>3.1858242855440055</v>
      </c>
      <c r="Y224" s="565">
        <f t="shared" si="322"/>
        <v>2.8838800435676855</v>
      </c>
      <c r="Z224" s="565">
        <f t="shared" si="322"/>
        <v>4.1731987229092473</v>
      </c>
      <c r="AA224" s="564">
        <f t="shared" si="322"/>
        <v>2.9473582152558602</v>
      </c>
      <c r="AB224" s="565">
        <f t="shared" si="322"/>
        <v>2.9938928422879294</v>
      </c>
      <c r="AC224" s="565">
        <f t="shared" si="322"/>
        <v>3.0177737429492364</v>
      </c>
      <c r="AD224" s="565">
        <f t="shared" si="322"/>
        <v>3.0416546436105416</v>
      </c>
      <c r="AE224" s="566">
        <f t="shared" si="322"/>
        <v>3.0655355442718482</v>
      </c>
      <c r="AF224" s="565">
        <f t="shared" si="322"/>
        <v>3.7040563128358519</v>
      </c>
      <c r="AG224" s="565">
        <f>AG222*AG223/10^6</f>
        <v>3.7575469532429593</v>
      </c>
      <c r="AH224" s="565">
        <f>AH222*AH223/10^6</f>
        <v>3.8110375936500658</v>
      </c>
      <c r="AI224" s="565">
        <f>AI222*AI223/10^6</f>
        <v>3.8645282340571727</v>
      </c>
      <c r="AJ224" s="566">
        <f t="shared" si="322"/>
        <v>3.9180188744642819</v>
      </c>
      <c r="AK224" s="548"/>
      <c r="AO224" s="984" t="str">
        <f t="shared" si="263"/>
        <v>Rev</v>
      </c>
      <c r="AP224" s="985" t="str">
        <f t="shared" si="263"/>
        <v>Sewerage</v>
      </c>
      <c r="AQ224" s="986" t="str">
        <f t="shared" si="264"/>
        <v xml:space="preserve">Price cap - Variable </v>
      </c>
      <c r="AR224" s="990">
        <f t="shared" si="265"/>
        <v>0.14443215511386098</v>
      </c>
      <c r="AS224" s="987">
        <f t="shared" si="266"/>
        <v>-3.9080858627526305E-2</v>
      </c>
      <c r="AT224" s="987">
        <f t="shared" si="267"/>
        <v>2.1479693374801601E-2</v>
      </c>
      <c r="AU224" s="987">
        <f t="shared" si="268"/>
        <v>-9.4777431180502414E-2</v>
      </c>
      <c r="AV224" s="1353">
        <f t="shared" si="269"/>
        <v>0.44707777711396379</v>
      </c>
      <c r="AW224" s="1346">
        <f t="shared" si="270"/>
        <v>-0.29374122562723815</v>
      </c>
      <c r="AX224" s="987">
        <f t="shared" si="271"/>
        <v>1.5788588842442275E-2</v>
      </c>
      <c r="AY224" s="987">
        <f t="shared" si="272"/>
        <v>7.9765382127228168E-3</v>
      </c>
      <c r="AZ224" s="987">
        <f t="shared" si="273"/>
        <v>7.9134165432717118E-3</v>
      </c>
      <c r="BA224" s="988">
        <f t="shared" si="274"/>
        <v>7.8512860463866296E-3</v>
      </c>
      <c r="BB224" s="1346">
        <f t="shared" si="275"/>
        <v>0.2082901207122263</v>
      </c>
      <c r="BC224" s="987">
        <f t="shared" si="276"/>
        <v>1.4441098052895063E-2</v>
      </c>
      <c r="BD224" s="987">
        <f t="shared" si="277"/>
        <v>1.4235521491206216E-2</v>
      </c>
      <c r="BE224" s="987">
        <f t="shared" si="278"/>
        <v>1.403571575789031E-2</v>
      </c>
      <c r="BF224" s="989">
        <f t="shared" si="279"/>
        <v>1.3841441223202633E-2</v>
      </c>
      <c r="BG224" s="951"/>
      <c r="BH224" s="984" t="str">
        <f t="shared" si="280"/>
        <v>Rev</v>
      </c>
      <c r="BI224" s="985" t="str">
        <f t="shared" si="281"/>
        <v>Sewerage</v>
      </c>
      <c r="BJ224" s="986" t="str">
        <f t="shared" si="282"/>
        <v xml:space="preserve">Price cap - Variable </v>
      </c>
      <c r="BK224" s="987">
        <f t="shared" ref="BK224:BU224" si="323">IF(V224="","-",IFERROR((V224/U224-1)*(U224/U$13),"-"))</f>
        <v>2.1241470388231874E-4</v>
      </c>
      <c r="BL224" s="987">
        <f t="shared" si="323"/>
        <v>-6.8067836496549813E-5</v>
      </c>
      <c r="BM224" s="987">
        <f t="shared" si="323"/>
        <v>3.6205431820228151E-5</v>
      </c>
      <c r="BN224" s="987">
        <f t="shared" si="323"/>
        <v>-1.6224891140116407E-4</v>
      </c>
      <c r="BO224" s="1353">
        <f t="shared" si="323"/>
        <v>6.8411634671118669E-4</v>
      </c>
      <c r="BP224" s="1346">
        <f t="shared" si="323"/>
        <v>-6.5071347810169509E-4</v>
      </c>
      <c r="BQ224" s="987">
        <f t="shared" si="323"/>
        <v>2.4578802683033923E-5</v>
      </c>
      <c r="BR224" s="987">
        <f t="shared" si="323"/>
        <v>1.2142877643842688E-5</v>
      </c>
      <c r="BS224" s="987">
        <f t="shared" si="323"/>
        <v>1.1913164534330434E-5</v>
      </c>
      <c r="BT224" s="988">
        <f t="shared" si="323"/>
        <v>1.1690676168009516E-5</v>
      </c>
      <c r="BU224" s="987">
        <f t="shared" si="323"/>
        <v>3.066889239692974E-4</v>
      </c>
      <c r="BV224" s="987">
        <f>IF(AG224="","-",IFERROR((AG224/AF224-1)*(AF224/AF$13),"-"))</f>
        <v>2.4539520264968141E-5</v>
      </c>
      <c r="BW224" s="987">
        <f>IF(AH224="","-",IFERROR((AH224/AG224-1)*(AG224/AG$13),"-"))</f>
        <v>2.4200550798739753E-5</v>
      </c>
      <c r="BX224" s="987">
        <f>IF(AI224="","-",IFERROR((AI224/AH224-1)*(AH224/AH$13),"-"))</f>
        <v>2.3851208245039677E-5</v>
      </c>
      <c r="BY224" s="989">
        <f>IF(AJ224="","-",IFERROR((AJ224/AI224-1)*(AI224/AI$13),"-"))</f>
        <v>2.3447534688814357E-5</v>
      </c>
      <c r="BZ224" s="951"/>
      <c r="CA224" s="984" t="str">
        <f t="shared" si="259"/>
        <v>Rev</v>
      </c>
      <c r="CB224" s="985" t="str">
        <f t="shared" si="260"/>
        <v>Sewerage</v>
      </c>
      <c r="CC224" s="985" t="str">
        <f t="shared" si="261"/>
        <v xml:space="preserve">Price cap - Variable </v>
      </c>
      <c r="CD224" s="990">
        <f t="shared" si="287"/>
        <v>4.8669044003426754E-2</v>
      </c>
      <c r="CE224" s="987">
        <f t="shared" si="287"/>
        <v>3.9526451057487311E-2</v>
      </c>
      <c r="CF224" s="987">
        <f t="shared" si="287"/>
        <v>4.1890970102962388E-3</v>
      </c>
      <c r="CG224" s="988">
        <f t="shared" si="284"/>
        <v>8.0315920235097149E-2</v>
      </c>
      <c r="CH224" s="987">
        <f t="shared" si="288"/>
        <v>-0.15299964357876417</v>
      </c>
      <c r="CI224" s="987">
        <f t="shared" si="288"/>
        <v>-0.102421302971198</v>
      </c>
      <c r="CJ224" s="987">
        <f t="shared" si="288"/>
        <v>-7.6025024866127389E-2</v>
      </c>
      <c r="CK224" s="989">
        <f t="shared" si="285"/>
        <v>-5.9827685951572063E-2</v>
      </c>
    </row>
    <row r="225" spans="4:89">
      <c r="D225" s="63">
        <f>D222+1</f>
        <v>53</v>
      </c>
      <c r="E225" s="550" t="s">
        <v>857</v>
      </c>
      <c r="F225" s="595" t="s">
        <v>402</v>
      </c>
      <c r="G225" s="595" t="s">
        <v>103</v>
      </c>
      <c r="H225" s="595" t="s">
        <v>899</v>
      </c>
      <c r="I225" s="589" t="s">
        <v>941</v>
      </c>
      <c r="J225" s="589" t="s">
        <v>879</v>
      </c>
      <c r="K225" s="551"/>
      <c r="L225" s="552"/>
      <c r="M225" s="552"/>
      <c r="N225" s="551"/>
      <c r="O225" s="552"/>
      <c r="P225" s="552"/>
      <c r="Q225" s="552"/>
      <c r="R225" s="1035"/>
      <c r="S225" s="1138"/>
      <c r="T225" s="591"/>
      <c r="U225" s="1035">
        <v>728.45433962264133</v>
      </c>
      <c r="V225" s="591">
        <v>692.03157760814247</v>
      </c>
      <c r="W225" s="591">
        <v>692.03050847457621</v>
      </c>
      <c r="X225" s="591">
        <v>692.02966063348424</v>
      </c>
      <c r="Y225" s="591">
        <v>692.03100436681211</v>
      </c>
      <c r="Z225" s="591">
        <v>692.03620000000001</v>
      </c>
      <c r="AA225" s="1138">
        <v>485</v>
      </c>
      <c r="AB225" s="591">
        <v>485</v>
      </c>
      <c r="AC225" s="591">
        <v>485</v>
      </c>
      <c r="AD225" s="591">
        <v>485</v>
      </c>
      <c r="AE225" s="1035">
        <v>485</v>
      </c>
      <c r="AF225" s="591">
        <v>581.49082318497801</v>
      </c>
      <c r="AG225" s="591">
        <v>581.49082318497801</v>
      </c>
      <c r="AH225" s="591">
        <v>581.49082318497801</v>
      </c>
      <c r="AI225" s="591">
        <v>581.49082318497801</v>
      </c>
      <c r="AJ225" s="592">
        <v>581.49082318497801</v>
      </c>
      <c r="AK225" s="548"/>
      <c r="AM225" s="974"/>
      <c r="AO225" s="975" t="str">
        <f t="shared" si="263"/>
        <v>Price</v>
      </c>
      <c r="AP225" s="976" t="str">
        <f t="shared" si="263"/>
        <v>Sewerage</v>
      </c>
      <c r="AQ225" s="977" t="str">
        <f t="shared" si="264"/>
        <v xml:space="preserve">Price cap - Variable </v>
      </c>
      <c r="AR225" s="1341">
        <f t="shared" si="265"/>
        <v>-5.000006182043859E-2</v>
      </c>
      <c r="AS225" s="978">
        <f t="shared" si="266"/>
        <v>-1.5449202043216204E-6</v>
      </c>
      <c r="AT225" s="979">
        <f t="shared" si="267"/>
        <v>-1.2251498764381807E-6</v>
      </c>
      <c r="AU225" s="979">
        <f t="shared" si="268"/>
        <v>1.9417279406575005E-6</v>
      </c>
      <c r="AV225" s="1352">
        <f t="shared" si="269"/>
        <v>7.5078040653320244E-6</v>
      </c>
      <c r="AW225" s="1345">
        <f t="shared" si="270"/>
        <v>-0.29916960991346986</v>
      </c>
      <c r="AX225" s="979">
        <f t="shared" si="271"/>
        <v>0</v>
      </c>
      <c r="AY225" s="979">
        <f t="shared" si="272"/>
        <v>0</v>
      </c>
      <c r="AZ225" s="979">
        <f t="shared" si="273"/>
        <v>0</v>
      </c>
      <c r="BA225" s="980">
        <f t="shared" si="274"/>
        <v>0</v>
      </c>
      <c r="BB225" s="1345">
        <f t="shared" si="275"/>
        <v>0.19895015089686185</v>
      </c>
      <c r="BC225" s="979">
        <f t="shared" si="276"/>
        <v>0</v>
      </c>
      <c r="BD225" s="979">
        <f t="shared" si="277"/>
        <v>0</v>
      </c>
      <c r="BE225" s="979">
        <f t="shared" si="278"/>
        <v>0</v>
      </c>
      <c r="BF225" s="981">
        <f t="shared" si="279"/>
        <v>0</v>
      </c>
      <c r="BG225" s="951"/>
      <c r="BH225" s="975" t="str">
        <f t="shared" si="280"/>
        <v>Price</v>
      </c>
      <c r="BI225" s="976" t="str">
        <f t="shared" si="281"/>
        <v>Sewerage</v>
      </c>
      <c r="BJ225" s="977" t="str">
        <f t="shared" si="282"/>
        <v xml:space="preserve">Price cap - Variable </v>
      </c>
      <c r="BK225" s="978">
        <f t="shared" ref="BK225:BU225" si="324">IF(V225="","-",IFERROR((V225/U225-1)*(U227/U$13),"-"))</f>
        <v>-1.537012441982674E-5</v>
      </c>
      <c r="BL225" s="978">
        <f t="shared" si="324"/>
        <v>-6.132012834388687E-10</v>
      </c>
      <c r="BM225" s="979">
        <f t="shared" si="324"/>
        <v>-5.3440313950176757E-10</v>
      </c>
      <c r="BN225" s="979">
        <f t="shared" si="324"/>
        <v>6.0725246744081825E-10</v>
      </c>
      <c r="BO225" s="1352">
        <f t="shared" si="324"/>
        <v>1.8863944150248519E-9</v>
      </c>
      <c r="BP225" s="1345">
        <f t="shared" si="324"/>
        <v>-6.2847787333539663E-5</v>
      </c>
      <c r="BQ225" s="979">
        <f t="shared" si="324"/>
        <v>0</v>
      </c>
      <c r="BR225" s="979">
        <f t="shared" si="324"/>
        <v>0</v>
      </c>
      <c r="BS225" s="979">
        <f t="shared" si="324"/>
        <v>0</v>
      </c>
      <c r="BT225" s="980">
        <f t="shared" si="324"/>
        <v>0</v>
      </c>
      <c r="BU225" s="979">
        <f t="shared" si="324"/>
        <v>2.8675698110008379E-5</v>
      </c>
      <c r="BV225" s="979">
        <f>IF(AG225="","-",IFERROR((AG225/AF225-1)*(AF227/AF$13),"-"))</f>
        <v>0</v>
      </c>
      <c r="BW225" s="979">
        <f>IF(AH225="","-",IFERROR((AH225/AG225-1)*(AG227/AG$13),"-"))</f>
        <v>0</v>
      </c>
      <c r="BX225" s="979">
        <f>IF(AI225="","-",IFERROR((AI225/AH225-1)*(AH227/AH$13),"-"))</f>
        <v>0</v>
      </c>
      <c r="BY225" s="981">
        <f>IF(AJ225="","-",IFERROR((AJ225/AI225-1)*(AI227/AI$13),"-"))</f>
        <v>0</v>
      </c>
      <c r="BZ225" s="951"/>
      <c r="CA225" s="975" t="str">
        <f t="shared" si="259"/>
        <v>Price</v>
      </c>
      <c r="CB225" s="976" t="str">
        <f t="shared" si="260"/>
        <v>Sewerage</v>
      </c>
      <c r="CC225" s="982" t="str">
        <f t="shared" si="261"/>
        <v xml:space="preserve">Price cap - Variable </v>
      </c>
      <c r="CD225" s="983">
        <f t="shared" si="287"/>
        <v>-2.5321350133561848E-2</v>
      </c>
      <c r="CE225" s="979">
        <f t="shared" si="287"/>
        <v>-1.6953356535856723E-2</v>
      </c>
      <c r="CF225" s="979">
        <f t="shared" si="287"/>
        <v>-1.2741675607702785E-2</v>
      </c>
      <c r="CG225" s="980">
        <f t="shared" si="284"/>
        <v>-1.0204908942504254E-2</v>
      </c>
      <c r="CH225" s="979">
        <f t="shared" si="288"/>
        <v>-0.1628438675572339</v>
      </c>
      <c r="CI225" s="979">
        <f t="shared" si="288"/>
        <v>-0.11174503857921791</v>
      </c>
      <c r="CJ225" s="979">
        <f t="shared" si="288"/>
        <v>-8.5037633318852723E-2</v>
      </c>
      <c r="CK225" s="981">
        <f t="shared" si="285"/>
        <v>-6.8629270327719039E-2</v>
      </c>
    </row>
    <row r="226" spans="4:89">
      <c r="E226" s="567" t="s">
        <v>880</v>
      </c>
      <c r="F226" s="554" t="str">
        <f>+F225</f>
        <v>Sewerage</v>
      </c>
      <c r="G226" s="555" t="str">
        <f>+G225</f>
        <v>YVW</v>
      </c>
      <c r="H226" s="555" t="str">
        <f>+H225</f>
        <v>Trade waste - SS Eastern</v>
      </c>
      <c r="I226" s="556" t="str">
        <f>+I225</f>
        <v xml:space="preserve">Price cap - Variable </v>
      </c>
      <c r="J226" s="590" t="s">
        <v>896</v>
      </c>
      <c r="K226" s="557"/>
      <c r="L226" s="558"/>
      <c r="M226" s="558"/>
      <c r="N226" s="557"/>
      <c r="O226" s="558"/>
      <c r="P226" s="558"/>
      <c r="Q226" s="558"/>
      <c r="R226" s="1036"/>
      <c r="S226" s="1139"/>
      <c r="T226" s="593"/>
      <c r="U226" s="1036">
        <v>813.76499999999987</v>
      </c>
      <c r="V226" s="593">
        <v>1068.8049999999998</v>
      </c>
      <c r="W226" s="593">
        <v>1166.2750000000001</v>
      </c>
      <c r="X226" s="593">
        <v>841.00999999999988</v>
      </c>
      <c r="Y226" s="593">
        <v>684.26499999999999</v>
      </c>
      <c r="Z226" s="593">
        <v>571.85756467167107</v>
      </c>
      <c r="AA226" s="1139">
        <v>579.9995645476065</v>
      </c>
      <c r="AB226" s="593">
        <v>595.79000901215102</v>
      </c>
      <c r="AC226" s="593">
        <v>603.43845360076023</v>
      </c>
      <c r="AD226" s="593">
        <v>611.08689818936932</v>
      </c>
      <c r="AE226" s="1036">
        <v>618.73534277797853</v>
      </c>
      <c r="AF226" s="593">
        <v>626.38378736658774</v>
      </c>
      <c r="AG226" s="593">
        <v>635.38828922029029</v>
      </c>
      <c r="AH226" s="593">
        <v>644.39279107399273</v>
      </c>
      <c r="AI226" s="593">
        <v>653.39729292769516</v>
      </c>
      <c r="AJ226" s="594">
        <v>662.40179478139794</v>
      </c>
      <c r="AK226" s="548"/>
      <c r="AO226" s="961" t="str">
        <f t="shared" si="263"/>
        <v>Qty</v>
      </c>
      <c r="AP226" s="962" t="str">
        <f t="shared" si="263"/>
        <v>Sewerage</v>
      </c>
      <c r="AQ226" s="963" t="str">
        <f t="shared" si="264"/>
        <v xml:space="preserve">Price cap - Variable </v>
      </c>
      <c r="AR226" s="967">
        <f t="shared" si="265"/>
        <v>0.31340743334992283</v>
      </c>
      <c r="AS226" s="964">
        <f t="shared" si="266"/>
        <v>9.1195306908182783E-2</v>
      </c>
      <c r="AT226" s="964">
        <f t="shared" si="267"/>
        <v>-0.27889219952412614</v>
      </c>
      <c r="AU226" s="964">
        <f t="shared" si="268"/>
        <v>-0.1863770942081544</v>
      </c>
      <c r="AV226" s="1350">
        <f t="shared" si="269"/>
        <v>-0.16427471130092719</v>
      </c>
      <c r="AW226" s="1343">
        <f t="shared" si="270"/>
        <v>1.4237810914698779E-2</v>
      </c>
      <c r="AX226" s="964">
        <f t="shared" si="271"/>
        <v>2.7224924689143393E-2</v>
      </c>
      <c r="AY226" s="964">
        <f t="shared" si="272"/>
        <v>1.2837483799519767E-2</v>
      </c>
      <c r="AZ226" s="964">
        <f t="shared" si="273"/>
        <v>1.2674771624132219E-2</v>
      </c>
      <c r="BA226" s="965">
        <f t="shared" si="274"/>
        <v>1.2516132503038957E-2</v>
      </c>
      <c r="BB226" s="1343">
        <f t="shared" si="275"/>
        <v>1.2361415390091501E-2</v>
      </c>
      <c r="BC226" s="964">
        <f t="shared" si="276"/>
        <v>1.4375375026162152E-2</v>
      </c>
      <c r="BD226" s="964">
        <f t="shared" si="277"/>
        <v>1.4171652210890118E-2</v>
      </c>
      <c r="BE226" s="964">
        <f t="shared" si="278"/>
        <v>1.3973622887206494E-2</v>
      </c>
      <c r="BF226" s="966">
        <f t="shared" si="279"/>
        <v>1.3781051668206423E-2</v>
      </c>
      <c r="BG226" s="951"/>
      <c r="BH226" s="961" t="str">
        <f t="shared" si="280"/>
        <v>Qty</v>
      </c>
      <c r="BI226" s="962" t="str">
        <f t="shared" si="281"/>
        <v>Sewerage</v>
      </c>
      <c r="BJ226" s="963" t="str">
        <f t="shared" si="282"/>
        <v xml:space="preserve">Price cap - Variable </v>
      </c>
      <c r="BK226" s="964">
        <f t="shared" ref="BK226:BU226" si="325">IF(V226="","-",IFERROR((V226/U226-1)*(U227/U$13),"-"))</f>
        <v>9.6342105775512718E-5</v>
      </c>
      <c r="BL226" s="964">
        <f t="shared" si="325"/>
        <v>3.6196742772390852E-5</v>
      </c>
      <c r="BM226" s="964">
        <f t="shared" si="325"/>
        <v>-1.2165113009809518E-4</v>
      </c>
      <c r="BN226" s="964">
        <f t="shared" si="325"/>
        <v>-5.8287233737815872E-5</v>
      </c>
      <c r="BO226" s="1350">
        <f t="shared" si="325"/>
        <v>-4.1275304367467475E-5</v>
      </c>
      <c r="BP226" s="1343">
        <f t="shared" si="325"/>
        <v>2.99099535116869E-6</v>
      </c>
      <c r="BQ226" s="964">
        <f t="shared" si="325"/>
        <v>4.0450191203731029E-6</v>
      </c>
      <c r="BR226" s="964">
        <f t="shared" si="325"/>
        <v>1.886191485796882E-6</v>
      </c>
      <c r="BS226" s="964">
        <f t="shared" si="325"/>
        <v>1.8505094239294089E-6</v>
      </c>
      <c r="BT226" s="965">
        <f t="shared" si="325"/>
        <v>1.8159496042101561E-6</v>
      </c>
      <c r="BU226" s="964">
        <f t="shared" si="325"/>
        <v>1.7817137325140205E-6</v>
      </c>
      <c r="BV226" s="964">
        <f>IF(AG226="","-",IFERROR((AG226/AF226-1)*(AF227/AF$13),"-"))</f>
        <v>2.4020985878043504E-6</v>
      </c>
      <c r="BW226" s="964">
        <f>IF(AH226="","-",IFERROR((AH226/AG226-1)*(AG227/AG$13),"-"))</f>
        <v>2.3689179034493265E-6</v>
      </c>
      <c r="BX226" s="964">
        <f>IF(AI226="","-",IFERROR((AI226/AH226-1)*(AH227/AH$13),"-"))</f>
        <v>2.3347218292864231E-6</v>
      </c>
      <c r="BY226" s="966">
        <f>IF(AJ226="","-",IFERROR((AJ226/AI226-1)*(AI227/AI$13),"-"))</f>
        <v>2.295207459450603E-6</v>
      </c>
      <c r="BZ226" s="951"/>
      <c r="CA226" s="961" t="str">
        <f t="shared" si="259"/>
        <v>Qty</v>
      </c>
      <c r="CB226" s="962" t="str">
        <f t="shared" si="260"/>
        <v>Sewerage</v>
      </c>
      <c r="CC226" s="962" t="str">
        <f t="shared" si="261"/>
        <v xml:space="preserve">Price cap - Variable </v>
      </c>
      <c r="CD226" s="967">
        <f t="shared" si="287"/>
        <v>0.1971566427705933</v>
      </c>
      <c r="CE226" s="964">
        <f t="shared" si="287"/>
        <v>1.1037779707048001E-2</v>
      </c>
      <c r="CF226" s="964">
        <f t="shared" si="287"/>
        <v>-4.2406190405876676E-2</v>
      </c>
      <c r="CG226" s="965">
        <f t="shared" si="284"/>
        <v>-6.8124759885181629E-2</v>
      </c>
      <c r="CH226" s="964">
        <f t="shared" si="288"/>
        <v>2.0710712657476371E-2</v>
      </c>
      <c r="CI226" s="964">
        <f t="shared" si="288"/>
        <v>1.807952619798403E-2</v>
      </c>
      <c r="CJ226" s="964">
        <f t="shared" si="288"/>
        <v>1.6725639260446679E-2</v>
      </c>
      <c r="CK226" s="966">
        <f t="shared" si="285"/>
        <v>1.5882340159678376E-2</v>
      </c>
    </row>
    <row r="227" spans="4:89" ht="12.75" thickBot="1">
      <c r="E227" s="568" t="s">
        <v>882</v>
      </c>
      <c r="F227" s="560" t="str">
        <f>+F225</f>
        <v>Sewerage</v>
      </c>
      <c r="G227" s="561" t="str">
        <f>+G225</f>
        <v>YVW</v>
      </c>
      <c r="H227" s="561" t="str">
        <f>+H225</f>
        <v>Trade waste - SS Eastern</v>
      </c>
      <c r="I227" s="562" t="str">
        <f>+I225</f>
        <v xml:space="preserve">Price cap - Variable </v>
      </c>
      <c r="J227" s="563" t="s">
        <v>883</v>
      </c>
      <c r="K227" s="564">
        <f t="shared" ref="K227:AJ227" si="326">K225*K226/10^6</f>
        <v>0</v>
      </c>
      <c r="L227" s="565">
        <f t="shared" si="326"/>
        <v>0</v>
      </c>
      <c r="M227" s="565">
        <f t="shared" si="326"/>
        <v>0</v>
      </c>
      <c r="N227" s="564">
        <f t="shared" si="326"/>
        <v>0</v>
      </c>
      <c r="O227" s="565">
        <f t="shared" si="326"/>
        <v>0</v>
      </c>
      <c r="P227" s="565">
        <f t="shared" si="326"/>
        <v>0</v>
      </c>
      <c r="Q227" s="565">
        <f t="shared" si="326"/>
        <v>0</v>
      </c>
      <c r="R227" s="566">
        <f t="shared" si="326"/>
        <v>0</v>
      </c>
      <c r="S227" s="564">
        <f t="shared" si="326"/>
        <v>0</v>
      </c>
      <c r="T227" s="565">
        <f t="shared" si="326"/>
        <v>0</v>
      </c>
      <c r="U227" s="566">
        <f t="shared" si="326"/>
        <v>0.59279064568301865</v>
      </c>
      <c r="V227" s="565">
        <f t="shared" si="326"/>
        <v>0.73964681030547064</v>
      </c>
      <c r="W227" s="565">
        <f t="shared" si="326"/>
        <v>0.80709788127118642</v>
      </c>
      <c r="X227" s="565">
        <f t="shared" si="326"/>
        <v>0.58200386488936651</v>
      </c>
      <c r="Y227" s="565">
        <f t="shared" si="326"/>
        <v>0.47353259520305668</v>
      </c>
      <c r="Z227" s="565">
        <f t="shared" si="326"/>
        <v>0.39574613599663749</v>
      </c>
      <c r="AA227" s="564">
        <f t="shared" si="326"/>
        <v>0.28129978880558915</v>
      </c>
      <c r="AB227" s="565">
        <f t="shared" si="326"/>
        <v>0.28895815437089328</v>
      </c>
      <c r="AC227" s="565">
        <f t="shared" si="326"/>
        <v>0.29266764999636874</v>
      </c>
      <c r="AD227" s="565">
        <f t="shared" si="326"/>
        <v>0.29637714562184408</v>
      </c>
      <c r="AE227" s="566">
        <f t="shared" si="326"/>
        <v>0.3000866412473196</v>
      </c>
      <c r="AF227" s="565">
        <f t="shared" si="326"/>
        <v>0.36423642414552138</v>
      </c>
      <c r="AG227" s="565">
        <f>AG225*AG226/10^6</f>
        <v>0.36947245934080147</v>
      </c>
      <c r="AH227" s="565">
        <f>AH225*AH226/10^6</f>
        <v>0.37470849453608157</v>
      </c>
      <c r="AI227" s="565">
        <f>AI225*AI226/10^6</f>
        <v>0.37994452973136167</v>
      </c>
      <c r="AJ227" s="566">
        <f t="shared" si="326"/>
        <v>0.38518056492664193</v>
      </c>
      <c r="AK227" s="548"/>
      <c r="AO227" s="984" t="str">
        <f t="shared" si="263"/>
        <v>Rev</v>
      </c>
      <c r="AP227" s="985" t="str">
        <f t="shared" si="263"/>
        <v>Sewerage</v>
      </c>
      <c r="AQ227" s="986" t="str">
        <f t="shared" si="264"/>
        <v xml:space="preserve">Price cap - Variable </v>
      </c>
      <c r="AR227" s="990">
        <f t="shared" si="265"/>
        <v>0.2477369804870031</v>
      </c>
      <c r="AS227" s="987">
        <f t="shared" si="266"/>
        <v>9.1193621098506261E-2</v>
      </c>
      <c r="AT227" s="987">
        <f t="shared" si="267"/>
        <v>-0.27889308298925874</v>
      </c>
      <c r="AU227" s="987">
        <f t="shared" si="268"/>
        <v>-0.18637551437382494</v>
      </c>
      <c r="AV227" s="1353">
        <f t="shared" si="269"/>
        <v>-0.16426843683920722</v>
      </c>
      <c r="AW227" s="1346">
        <f t="shared" si="270"/>
        <v>-0.28919131933614317</v>
      </c>
      <c r="AX227" s="987">
        <f t="shared" si="271"/>
        <v>2.7224924689143393E-2</v>
      </c>
      <c r="AY227" s="987">
        <f t="shared" si="272"/>
        <v>1.2837483799519767E-2</v>
      </c>
      <c r="AZ227" s="987">
        <f t="shared" si="273"/>
        <v>1.2674771624131997E-2</v>
      </c>
      <c r="BA227" s="988">
        <f t="shared" si="274"/>
        <v>1.2516132503039179E-2</v>
      </c>
      <c r="BB227" s="1346">
        <f t="shared" si="275"/>
        <v>0.21377087174411091</v>
      </c>
      <c r="BC227" s="987">
        <f t="shared" si="276"/>
        <v>1.4375375026162152E-2</v>
      </c>
      <c r="BD227" s="987">
        <f t="shared" si="277"/>
        <v>1.4171652210890118E-2</v>
      </c>
      <c r="BE227" s="987">
        <f t="shared" si="278"/>
        <v>1.3973622887206494E-2</v>
      </c>
      <c r="BF227" s="989">
        <f t="shared" si="279"/>
        <v>1.3781051668206423E-2</v>
      </c>
      <c r="BG227" s="951"/>
      <c r="BH227" s="984" t="str">
        <f t="shared" si="280"/>
        <v>Rev</v>
      </c>
      <c r="BI227" s="985" t="str">
        <f t="shared" si="281"/>
        <v>Sewerage</v>
      </c>
      <c r="BJ227" s="986" t="str">
        <f t="shared" si="282"/>
        <v xml:space="preserve">Price cap - Variable </v>
      </c>
      <c r="BK227" s="987">
        <f t="shared" ref="BK227:BU227" si="327">IF(V227="","-",IFERROR((V227/U227-1)*(U227/U$13),"-"))</f>
        <v>7.615487011099911E-5</v>
      </c>
      <c r="BL227" s="987">
        <f t="shared" si="327"/>
        <v>3.6196073650028164E-5</v>
      </c>
      <c r="BM227" s="987">
        <f t="shared" si="327"/>
        <v>-1.2165151546036766E-4</v>
      </c>
      <c r="BN227" s="987">
        <f t="shared" si="327"/>
        <v>-5.828673966329872E-5</v>
      </c>
      <c r="BO227" s="1353">
        <f t="shared" si="327"/>
        <v>-4.1273727859950381E-5</v>
      </c>
      <c r="BP227" s="1346">
        <f t="shared" si="327"/>
        <v>-6.0751606894833103E-5</v>
      </c>
      <c r="BQ227" s="987">
        <f t="shared" si="327"/>
        <v>4.0450191203731029E-6</v>
      </c>
      <c r="BR227" s="987">
        <f t="shared" si="327"/>
        <v>1.886191485796882E-6</v>
      </c>
      <c r="BS227" s="987">
        <f t="shared" si="327"/>
        <v>1.8505094239293763E-6</v>
      </c>
      <c r="BT227" s="988">
        <f t="shared" si="327"/>
        <v>1.8159496042101883E-6</v>
      </c>
      <c r="BU227" s="987">
        <f t="shared" si="327"/>
        <v>3.0811884058461081E-5</v>
      </c>
      <c r="BV227" s="987">
        <f>IF(AG227="","-",IFERROR((AG227/AF227-1)*(AF227/AF$13),"-"))</f>
        <v>2.4020985878043504E-6</v>
      </c>
      <c r="BW227" s="987">
        <f>IF(AH227="","-",IFERROR((AH227/AG227-1)*(AG227/AG$13),"-"))</f>
        <v>2.3689179034493265E-6</v>
      </c>
      <c r="BX227" s="987">
        <f>IF(AI227="","-",IFERROR((AI227/AH227-1)*(AH227/AH$13),"-"))</f>
        <v>2.3347218292864231E-6</v>
      </c>
      <c r="BY227" s="989">
        <f>IF(AJ227="","-",IFERROR((AJ227/AI227-1)*(AI227/AI$13),"-"))</f>
        <v>2.295207459450603E-6</v>
      </c>
      <c r="BZ227" s="951"/>
      <c r="CA227" s="984" t="str">
        <f t="shared" si="259"/>
        <v>Rev</v>
      </c>
      <c r="CB227" s="985" t="str">
        <f t="shared" si="260"/>
        <v>Sewerage</v>
      </c>
      <c r="CC227" s="985" t="str">
        <f t="shared" si="261"/>
        <v xml:space="preserve">Price cap - Variable </v>
      </c>
      <c r="CD227" s="990">
        <f t="shared" si="287"/>
        <v>0.16684302025427966</v>
      </c>
      <c r="CE227" s="987">
        <f t="shared" si="287"/>
        <v>-6.1027042435466416E-3</v>
      </c>
      <c r="CF227" s="987">
        <f t="shared" si="287"/>
        <v>-5.4607540091669349E-2</v>
      </c>
      <c r="CG227" s="988">
        <f t="shared" si="284"/>
        <v>-7.7634461856327608E-2</v>
      </c>
      <c r="CH227" s="987">
        <f t="shared" si="288"/>
        <v>-0.14550576744876753</v>
      </c>
      <c r="CI227" s="987">
        <f t="shared" si="288"/>
        <v>-9.5685809733721539E-2</v>
      </c>
      <c r="CJ227" s="987">
        <f t="shared" si="288"/>
        <v>-6.973430283685933E-2</v>
      </c>
      <c r="CK227" s="989">
        <f t="shared" si="285"/>
        <v>-5.3836923584296037E-2</v>
      </c>
    </row>
    <row r="228" spans="4:89">
      <c r="D228" s="63">
        <f>D225+1</f>
        <v>54</v>
      </c>
      <c r="E228" s="550" t="s">
        <v>857</v>
      </c>
      <c r="F228" s="595" t="s">
        <v>402</v>
      </c>
      <c r="G228" s="595" t="s">
        <v>877</v>
      </c>
      <c r="H228" s="595" t="s">
        <v>900</v>
      </c>
      <c r="I228" s="589" t="s">
        <v>941</v>
      </c>
      <c r="J228" s="589" t="s">
        <v>879</v>
      </c>
      <c r="K228" s="551"/>
      <c r="L228" s="552"/>
      <c r="M228" s="552"/>
      <c r="N228" s="551"/>
      <c r="O228" s="552"/>
      <c r="P228" s="552"/>
      <c r="Q228" s="552"/>
      <c r="R228" s="1035"/>
      <c r="S228" s="1138"/>
      <c r="T228" s="591"/>
      <c r="U228" s="1035">
        <v>325.29936535162943</v>
      </c>
      <c r="V228" s="591">
        <v>1349.4311450381679</v>
      </c>
      <c r="W228" s="591">
        <v>1349.4367796610168</v>
      </c>
      <c r="X228" s="591">
        <v>1349.4360859728506</v>
      </c>
      <c r="Y228" s="591">
        <v>1349.4399781659388</v>
      </c>
      <c r="Z228" s="591">
        <v>1349.4404999999999</v>
      </c>
      <c r="AA228" s="1138">
        <v>1549.5</v>
      </c>
      <c r="AB228" s="591">
        <v>1549.5</v>
      </c>
      <c r="AC228" s="591">
        <v>1549.5</v>
      </c>
      <c r="AD228" s="591">
        <v>1549.5</v>
      </c>
      <c r="AE228" s="1035">
        <v>1549.5</v>
      </c>
      <c r="AF228" s="591">
        <v>1857.7732588146876</v>
      </c>
      <c r="AG228" s="591">
        <v>1857.7732588146876</v>
      </c>
      <c r="AH228" s="591">
        <v>1857.7732588146876</v>
      </c>
      <c r="AI228" s="591">
        <v>1857.7732588146876</v>
      </c>
      <c r="AJ228" s="592">
        <v>1857.7732588146876</v>
      </c>
      <c r="AK228" s="548"/>
      <c r="AM228" s="974"/>
      <c r="AO228" s="975" t="str">
        <f t="shared" si="263"/>
        <v>Price</v>
      </c>
      <c r="AP228" s="976" t="str">
        <f t="shared" si="263"/>
        <v>Sewerage</v>
      </c>
      <c r="AQ228" s="977" t="str">
        <f t="shared" si="264"/>
        <v xml:space="preserve">Price cap - Variable </v>
      </c>
      <c r="AR228" s="1341">
        <f t="shared" si="265"/>
        <v>3.1482747547924426</v>
      </c>
      <c r="AS228" s="978">
        <f t="shared" si="266"/>
        <v>4.1755541730914558E-6</v>
      </c>
      <c r="AT228" s="979">
        <f t="shared" si="267"/>
        <v>-5.1405755097100325E-7</v>
      </c>
      <c r="AU228" s="979">
        <f t="shared" si="268"/>
        <v>2.8843108084153357E-6</v>
      </c>
      <c r="AV228" s="1352">
        <f t="shared" si="269"/>
        <v>3.8670416580011135E-7</v>
      </c>
      <c r="AW228" s="1345">
        <f t="shared" si="270"/>
        <v>0.14825366513010407</v>
      </c>
      <c r="AX228" s="979">
        <f t="shared" si="271"/>
        <v>0</v>
      </c>
      <c r="AY228" s="979">
        <f t="shared" si="272"/>
        <v>0</v>
      </c>
      <c r="AZ228" s="979">
        <f t="shared" si="273"/>
        <v>0</v>
      </c>
      <c r="BA228" s="980">
        <f t="shared" si="274"/>
        <v>0</v>
      </c>
      <c r="BB228" s="1345">
        <f t="shared" si="275"/>
        <v>0.19895015089686185</v>
      </c>
      <c r="BC228" s="979">
        <f t="shared" si="276"/>
        <v>0</v>
      </c>
      <c r="BD228" s="979">
        <f t="shared" si="277"/>
        <v>0</v>
      </c>
      <c r="BE228" s="979">
        <f t="shared" si="278"/>
        <v>0</v>
      </c>
      <c r="BF228" s="981">
        <f t="shared" si="279"/>
        <v>0</v>
      </c>
      <c r="BG228" s="951"/>
      <c r="BH228" s="975" t="str">
        <f t="shared" si="280"/>
        <v>Price</v>
      </c>
      <c r="BI228" s="976" t="str">
        <f t="shared" si="281"/>
        <v>Sewerage</v>
      </c>
      <c r="BJ228" s="977" t="str">
        <f t="shared" si="282"/>
        <v xml:space="preserve">Price cap - Variable </v>
      </c>
      <c r="BK228" s="978">
        <f t="shared" ref="BK228:BU228" si="328">IF(V228="","-",IFERROR((V228/U228-1)*(U230/U$13),"-"))</f>
        <v>4.8056787085405526E-4</v>
      </c>
      <c r="BL228" s="978">
        <f t="shared" si="328"/>
        <v>2.4473455874226188E-9</v>
      </c>
      <c r="BM228" s="979">
        <f t="shared" si="328"/>
        <v>-2.7937328672609592E-10</v>
      </c>
      <c r="BN228" s="979">
        <f t="shared" si="328"/>
        <v>1.6937264809880297E-9</v>
      </c>
      <c r="BO228" s="1352">
        <f t="shared" si="328"/>
        <v>2.250618271202772E-10</v>
      </c>
      <c r="BP228" s="1345">
        <f t="shared" si="328"/>
        <v>8.6448250586452043E-5</v>
      </c>
      <c r="BQ228" s="979">
        <f t="shared" si="328"/>
        <v>0</v>
      </c>
      <c r="BR228" s="979">
        <f t="shared" si="328"/>
        <v>0</v>
      </c>
      <c r="BS228" s="979">
        <f t="shared" si="328"/>
        <v>0</v>
      </c>
      <c r="BT228" s="980">
        <f t="shared" si="328"/>
        <v>0</v>
      </c>
      <c r="BU228" s="979">
        <f t="shared" si="328"/>
        <v>1.2816853617764635E-4</v>
      </c>
      <c r="BV228" s="979">
        <f>IF(AG228="","-",IFERROR((AG228/AF228-1)*(AF230/AF$13),"-"))</f>
        <v>0</v>
      </c>
      <c r="BW228" s="979">
        <f>IF(AH228="","-",IFERROR((AH228/AG228-1)*(AG230/AG$13),"-"))</f>
        <v>0</v>
      </c>
      <c r="BX228" s="979">
        <f>IF(AI228="","-",IFERROR((AI228/AH228-1)*(AH230/AH$13),"-"))</f>
        <v>0</v>
      </c>
      <c r="BY228" s="981">
        <f>IF(AJ228="","-",IFERROR((AJ228/AI228-1)*(AI230/AI$13),"-"))</f>
        <v>0</v>
      </c>
      <c r="BZ228" s="951"/>
      <c r="CA228" s="975" t="str">
        <f t="shared" si="259"/>
        <v>Price</v>
      </c>
      <c r="CB228" s="976" t="str">
        <f t="shared" si="260"/>
        <v>Sewerage</v>
      </c>
      <c r="CC228" s="982" t="str">
        <f t="shared" si="261"/>
        <v xml:space="preserve">Price cap - Variable </v>
      </c>
      <c r="CD228" s="983">
        <f t="shared" si="287"/>
        <v>1.0367356421829532</v>
      </c>
      <c r="CE228" s="979">
        <f t="shared" si="287"/>
        <v>0.60677981713788731</v>
      </c>
      <c r="CF228" s="979">
        <f t="shared" si="287"/>
        <v>0.42714332005221478</v>
      </c>
      <c r="CG228" s="980">
        <f t="shared" si="284"/>
        <v>0.32915033432691021</v>
      </c>
      <c r="CH228" s="979">
        <f t="shared" si="288"/>
        <v>7.1565987296211331E-2</v>
      </c>
      <c r="CI228" s="979">
        <f t="shared" si="288"/>
        <v>4.7158960793553861E-2</v>
      </c>
      <c r="CJ228" s="979">
        <f t="shared" si="288"/>
        <v>3.5164715055633788E-2</v>
      </c>
      <c r="CK228" s="981">
        <f t="shared" si="285"/>
        <v>2.8034212610938303E-2</v>
      </c>
    </row>
    <row r="229" spans="4:89">
      <c r="E229" s="567" t="s">
        <v>880</v>
      </c>
      <c r="F229" s="554" t="str">
        <f>+F228</f>
        <v>Sewerage</v>
      </c>
      <c r="G229" s="555" t="str">
        <f>+G228</f>
        <v>GWW</v>
      </c>
      <c r="H229" s="555" t="str">
        <f>+H228</f>
        <v>Trade waste - TN/TKN Western</v>
      </c>
      <c r="I229" s="556" t="str">
        <f>+I228</f>
        <v xml:space="preserve">Price cap - Variable </v>
      </c>
      <c r="J229" s="590" t="s">
        <v>896</v>
      </c>
      <c r="K229" s="557"/>
      <c r="L229" s="558"/>
      <c r="M229" s="558"/>
      <c r="N229" s="557"/>
      <c r="O229" s="558"/>
      <c r="P229" s="558"/>
      <c r="Q229" s="558"/>
      <c r="R229" s="1036"/>
      <c r="S229" s="1139"/>
      <c r="T229" s="593"/>
      <c r="U229" s="1036">
        <v>904.88499999999999</v>
      </c>
      <c r="V229" s="593">
        <v>809.3900000000001</v>
      </c>
      <c r="W229" s="593">
        <v>745.19</v>
      </c>
      <c r="X229" s="593">
        <v>809.82999999999993</v>
      </c>
      <c r="Y229" s="593">
        <v>812.82999999999993</v>
      </c>
      <c r="Z229" s="593">
        <v>814.03147257128285</v>
      </c>
      <c r="AA229" s="1139">
        <v>823.4015912829243</v>
      </c>
      <c r="AB229" s="593">
        <v>840.98140294188806</v>
      </c>
      <c r="AC229" s="593">
        <v>849.19109588920981</v>
      </c>
      <c r="AD229" s="593">
        <v>857.40078883653246</v>
      </c>
      <c r="AE229" s="1036">
        <v>865.61048178385431</v>
      </c>
      <c r="AF229" s="593">
        <v>873.82017473117685</v>
      </c>
      <c r="AG229" s="593">
        <v>886.24780088458772</v>
      </c>
      <c r="AH229" s="593">
        <v>898.67542703799893</v>
      </c>
      <c r="AI229" s="593">
        <v>911.1030531914098</v>
      </c>
      <c r="AJ229" s="594">
        <v>923.5306793448209</v>
      </c>
      <c r="AK229" s="548"/>
      <c r="AO229" s="961" t="str">
        <f t="shared" si="263"/>
        <v>Qty</v>
      </c>
      <c r="AP229" s="962" t="str">
        <f t="shared" si="263"/>
        <v>Sewerage</v>
      </c>
      <c r="AQ229" s="963" t="str">
        <f t="shared" si="264"/>
        <v xml:space="preserve">Price cap - Variable </v>
      </c>
      <c r="AR229" s="967">
        <f t="shared" si="265"/>
        <v>-0.10553274725517592</v>
      </c>
      <c r="AS229" s="964">
        <f t="shared" si="266"/>
        <v>-7.9318993315954045E-2</v>
      </c>
      <c r="AT229" s="964">
        <f t="shared" si="267"/>
        <v>8.6742978300835771E-2</v>
      </c>
      <c r="AU229" s="964">
        <f t="shared" si="268"/>
        <v>3.7044811874096251E-3</v>
      </c>
      <c r="AV229" s="1350">
        <f t="shared" si="269"/>
        <v>1.4781351220831684E-3</v>
      </c>
      <c r="AW229" s="1343">
        <f t="shared" si="270"/>
        <v>1.1510757295469132E-2</v>
      </c>
      <c r="AX229" s="964">
        <f t="shared" si="271"/>
        <v>2.1350227938681909E-2</v>
      </c>
      <c r="AY229" s="964">
        <f t="shared" si="272"/>
        <v>9.7620386355785627E-3</v>
      </c>
      <c r="AZ229" s="964">
        <f t="shared" si="273"/>
        <v>9.6676625403451233E-3</v>
      </c>
      <c r="BA229" s="965">
        <f t="shared" si="274"/>
        <v>9.5750937650316281E-3</v>
      </c>
      <c r="BB229" s="1343">
        <f t="shared" si="275"/>
        <v>9.4842808862525274E-3</v>
      </c>
      <c r="BC229" s="964">
        <f t="shared" si="276"/>
        <v>1.422217810115689E-2</v>
      </c>
      <c r="BD229" s="964">
        <f t="shared" si="277"/>
        <v>1.402274413657989E-2</v>
      </c>
      <c r="BE229" s="964">
        <f t="shared" si="278"/>
        <v>1.3828826047210141E-2</v>
      </c>
      <c r="BF229" s="966">
        <f t="shared" si="279"/>
        <v>1.3640198120157265E-2</v>
      </c>
      <c r="BG229" s="951"/>
      <c r="BH229" s="961" t="str">
        <f t="shared" si="280"/>
        <v>Qty</v>
      </c>
      <c r="BI229" s="962" t="str">
        <f t="shared" si="281"/>
        <v>Sewerage</v>
      </c>
      <c r="BJ229" s="963" t="str">
        <f t="shared" si="282"/>
        <v xml:space="preserve">Price cap - Variable </v>
      </c>
      <c r="BK229" s="964">
        <f t="shared" ref="BK229:BU229" si="329">IF(V229="","-",IFERROR((V229/U229-1)*(U230/U$13),"-"))</f>
        <v>-1.6109028469194895E-5</v>
      </c>
      <c r="BL229" s="964">
        <f t="shared" si="329"/>
        <v>-4.648987421635652E-5</v>
      </c>
      <c r="BM229" s="964">
        <f t="shared" si="329"/>
        <v>4.7141941408194341E-5</v>
      </c>
      <c r="BN229" s="964">
        <f t="shared" si="329"/>
        <v>2.1753473540824326E-6</v>
      </c>
      <c r="BO229" s="1350">
        <f t="shared" si="329"/>
        <v>8.6027465108470287E-7</v>
      </c>
      <c r="BP229" s="1343">
        <f t="shared" si="329"/>
        <v>6.7120420277318775E-6</v>
      </c>
      <c r="BQ229" s="964">
        <f t="shared" si="329"/>
        <v>1.4387663905246272E-5</v>
      </c>
      <c r="BR229" s="964">
        <f t="shared" si="329"/>
        <v>6.468288940153471E-6</v>
      </c>
      <c r="BS229" s="964">
        <f t="shared" si="329"/>
        <v>6.3459249660417924E-6</v>
      </c>
      <c r="BT229" s="965">
        <f t="shared" si="329"/>
        <v>6.2274094805524336E-6</v>
      </c>
      <c r="BU229" s="964">
        <f t="shared" si="329"/>
        <v>6.1100049052930415E-6</v>
      </c>
      <c r="BV229" s="964">
        <f>IF(AG229="","-",IFERROR((AG229/AF229-1)*(AF230/AF$13),"-"))</f>
        <v>1.0591785046040753E-5</v>
      </c>
      <c r="BW229" s="964">
        <f>IF(AH229="","-",IFERROR((AH229/AG229-1)*(AG230/AG$13),"-"))</f>
        <v>1.044547852966699E-5</v>
      </c>
      <c r="BX229" s="964">
        <f>IF(AI229="","-",IFERROR((AI229/AH229-1)*(AH230/AH$13),"-"))</f>
        <v>1.0294694765506911E-5</v>
      </c>
      <c r="BY229" s="966">
        <f>IF(AJ229="","-",IFERROR((AJ229/AI229-1)*(AI230/AI$13),"-"))</f>
        <v>1.0120460571433376E-5</v>
      </c>
      <c r="BZ229" s="951"/>
      <c r="CA229" s="961" t="str">
        <f t="shared" si="259"/>
        <v>Qty</v>
      </c>
      <c r="CB229" s="962" t="str">
        <f t="shared" si="260"/>
        <v>Sewerage</v>
      </c>
      <c r="CC229" s="962" t="str">
        <f t="shared" si="261"/>
        <v xml:space="preserve">Price cap - Variable </v>
      </c>
      <c r="CD229" s="967">
        <f t="shared" si="287"/>
        <v>-9.2520517750942388E-2</v>
      </c>
      <c r="CE229" s="964">
        <f t="shared" si="287"/>
        <v>-3.6318569141690182E-2</v>
      </c>
      <c r="CF229" s="964">
        <f t="shared" si="287"/>
        <v>-2.6464968344806494E-2</v>
      </c>
      <c r="CG229" s="965">
        <f t="shared" si="284"/>
        <v>-2.0939427826344614E-2</v>
      </c>
      <c r="CH229" s="964">
        <f t="shared" si="288"/>
        <v>1.641858627543602E-2</v>
      </c>
      <c r="CI229" s="964">
        <f t="shared" si="288"/>
        <v>1.419487559747501E-2</v>
      </c>
      <c r="CJ229" s="964">
        <f t="shared" si="288"/>
        <v>1.3061172810004296E-2</v>
      </c>
      <c r="CK229" s="966">
        <f t="shared" si="285"/>
        <v>1.2362995329626481E-2</v>
      </c>
    </row>
    <row r="230" spans="4:89" ht="12.75" thickBot="1">
      <c r="E230" s="568" t="s">
        <v>882</v>
      </c>
      <c r="F230" s="560" t="str">
        <f>+F228</f>
        <v>Sewerage</v>
      </c>
      <c r="G230" s="561" t="str">
        <f>+G228</f>
        <v>GWW</v>
      </c>
      <c r="H230" s="561" t="str">
        <f>+H228</f>
        <v>Trade waste - TN/TKN Western</v>
      </c>
      <c r="I230" s="562" t="str">
        <f>+I228</f>
        <v xml:space="preserve">Price cap - Variable </v>
      </c>
      <c r="J230" s="563" t="s">
        <v>883</v>
      </c>
      <c r="K230" s="564">
        <f t="shared" ref="K230:AJ230" si="330">K228*K229/10^6</f>
        <v>0</v>
      </c>
      <c r="L230" s="565">
        <f t="shared" si="330"/>
        <v>0</v>
      </c>
      <c r="M230" s="565">
        <f t="shared" si="330"/>
        <v>0</v>
      </c>
      <c r="N230" s="564">
        <f t="shared" si="330"/>
        <v>0</v>
      </c>
      <c r="O230" s="565">
        <f t="shared" si="330"/>
        <v>0</v>
      </c>
      <c r="P230" s="565">
        <f t="shared" si="330"/>
        <v>0</v>
      </c>
      <c r="Q230" s="565">
        <f t="shared" si="330"/>
        <v>0</v>
      </c>
      <c r="R230" s="566">
        <f t="shared" si="330"/>
        <v>0</v>
      </c>
      <c r="S230" s="564">
        <f t="shared" si="330"/>
        <v>0</v>
      </c>
      <c r="T230" s="565">
        <f t="shared" si="330"/>
        <v>0</v>
      </c>
      <c r="U230" s="566">
        <f t="shared" si="330"/>
        <v>0.29435851621620923</v>
      </c>
      <c r="V230" s="565">
        <f t="shared" si="330"/>
        <v>1.0922160744824427</v>
      </c>
      <c r="W230" s="565">
        <f t="shared" si="330"/>
        <v>1.0055867938355931</v>
      </c>
      <c r="X230" s="565">
        <f t="shared" si="330"/>
        <v>1.0928138255033935</v>
      </c>
      <c r="Y230" s="565">
        <f t="shared" si="330"/>
        <v>1.0968652974526201</v>
      </c>
      <c r="Z230" s="565">
        <f t="shared" si="330"/>
        <v>1.0984870373623283</v>
      </c>
      <c r="AA230" s="564">
        <f t="shared" si="330"/>
        <v>1.2758607656928913</v>
      </c>
      <c r="AB230" s="565">
        <f t="shared" si="330"/>
        <v>1.3031006838584556</v>
      </c>
      <c r="AC230" s="565">
        <f t="shared" si="330"/>
        <v>1.3158216030803307</v>
      </c>
      <c r="AD230" s="565">
        <f t="shared" si="330"/>
        <v>1.3285425223022072</v>
      </c>
      <c r="AE230" s="566">
        <f t="shared" si="330"/>
        <v>1.3412634415240823</v>
      </c>
      <c r="AF230" s="565">
        <f t="shared" si="330"/>
        <v>1.6233597536283579</v>
      </c>
      <c r="AG230" s="565">
        <f>AG228*AG229/10^6</f>
        <v>1.6464474651667107</v>
      </c>
      <c r="AH230" s="565">
        <f>AH228*AH229/10^6</f>
        <v>1.6695351767050643</v>
      </c>
      <c r="AI230" s="565">
        <f>AI228*AI229/10^6</f>
        <v>1.6926228882434171</v>
      </c>
      <c r="AJ230" s="566">
        <f t="shared" si="330"/>
        <v>1.7157105997817703</v>
      </c>
      <c r="AK230" s="548"/>
      <c r="AO230" s="984" t="str">
        <f t="shared" si="263"/>
        <v>Rev</v>
      </c>
      <c r="AP230" s="985" t="str">
        <f t="shared" si="263"/>
        <v>Sewerage</v>
      </c>
      <c r="AQ230" s="986" t="str">
        <f t="shared" si="264"/>
        <v xml:space="preserve">Price cap - Variable </v>
      </c>
      <c r="AR230" s="990">
        <f t="shared" si="265"/>
        <v>2.7104959235499044</v>
      </c>
      <c r="AS230" s="987">
        <f t="shared" si="266"/>
        <v>-7.9315148962534443E-2</v>
      </c>
      <c r="AT230" s="987">
        <f t="shared" si="267"/>
        <v>8.6742419652401814E-2</v>
      </c>
      <c r="AU230" s="987">
        <f t="shared" si="268"/>
        <v>3.7073761830934693E-3</v>
      </c>
      <c r="AV230" s="1353">
        <f t="shared" si="269"/>
        <v>1.4785223978501794E-3</v>
      </c>
      <c r="AW230" s="1346">
        <f t="shared" si="270"/>
        <v>0.1614709343830496</v>
      </c>
      <c r="AX230" s="987">
        <f t="shared" si="271"/>
        <v>2.1350227938681687E-2</v>
      </c>
      <c r="AY230" s="987">
        <f t="shared" si="272"/>
        <v>9.7620386355785627E-3</v>
      </c>
      <c r="AZ230" s="987">
        <f t="shared" si="273"/>
        <v>9.6676625403451233E-3</v>
      </c>
      <c r="BA230" s="988">
        <f t="shared" si="274"/>
        <v>9.5750937650316281E-3</v>
      </c>
      <c r="BB230" s="1346">
        <f t="shared" si="275"/>
        <v>0.21032133089658256</v>
      </c>
      <c r="BC230" s="987">
        <f t="shared" si="276"/>
        <v>1.422217810115689E-2</v>
      </c>
      <c r="BD230" s="987">
        <f t="shared" si="277"/>
        <v>1.4022744136580112E-2</v>
      </c>
      <c r="BE230" s="987">
        <f t="shared" si="278"/>
        <v>1.3828826047210141E-2</v>
      </c>
      <c r="BF230" s="989">
        <f t="shared" si="279"/>
        <v>1.3640198120157265E-2</v>
      </c>
      <c r="BG230" s="951"/>
      <c r="BH230" s="984" t="str">
        <f t="shared" si="280"/>
        <v>Rev</v>
      </c>
      <c r="BI230" s="985" t="str">
        <f t="shared" si="281"/>
        <v>Sewerage</v>
      </c>
      <c r="BJ230" s="986" t="str">
        <f t="shared" si="282"/>
        <v xml:space="preserve">Price cap - Variable </v>
      </c>
      <c r="BK230" s="987">
        <f t="shared" ref="BK230:BU230" si="331">IF(V230="","-",IFERROR((V230/U230-1)*(U230/U$13),"-"))</f>
        <v>4.1374319473106124E-4</v>
      </c>
      <c r="BL230" s="987">
        <f t="shared" si="331"/>
        <v>-4.6487620991757356E-5</v>
      </c>
      <c r="BM230" s="987">
        <f t="shared" si="331"/>
        <v>4.7141637801236665E-5</v>
      </c>
      <c r="BN230" s="987">
        <f t="shared" si="331"/>
        <v>2.1770473549414823E-6</v>
      </c>
      <c r="BO230" s="1353">
        <f t="shared" si="331"/>
        <v>8.6050004558373171E-7</v>
      </c>
      <c r="BP230" s="1346">
        <f t="shared" si="331"/>
        <v>9.415537744530248E-5</v>
      </c>
      <c r="BQ230" s="987">
        <f t="shared" si="331"/>
        <v>1.4387663905246123E-5</v>
      </c>
      <c r="BR230" s="987">
        <f t="shared" si="331"/>
        <v>6.468288940153471E-6</v>
      </c>
      <c r="BS230" s="987">
        <f t="shared" si="331"/>
        <v>6.3459249660417924E-6</v>
      </c>
      <c r="BT230" s="988">
        <f t="shared" si="331"/>
        <v>6.2274094805524336E-6</v>
      </c>
      <c r="BU230" s="987">
        <f t="shared" si="331"/>
        <v>1.3549412748082801E-4</v>
      </c>
      <c r="BV230" s="987">
        <f>IF(AG230="","-",IFERROR((AG230/AF230-1)*(AF230/AF$13),"-"))</f>
        <v>1.0591785046040753E-5</v>
      </c>
      <c r="BW230" s="987">
        <f>IF(AH230="","-",IFERROR((AH230/AG230-1)*(AG230/AG$13),"-"))</f>
        <v>1.0445478529667154E-5</v>
      </c>
      <c r="BX230" s="987">
        <f>IF(AI230="","-",IFERROR((AI230/AH230-1)*(AH230/AH$13),"-"))</f>
        <v>1.0294694765506911E-5</v>
      </c>
      <c r="BY230" s="989">
        <f>IF(AJ230="","-",IFERROR((AJ230/AI230-1)*(AI230/AI$13),"-"))</f>
        <v>1.0120460571433376E-5</v>
      </c>
      <c r="BZ230" s="951"/>
      <c r="CA230" s="984" t="str">
        <f t="shared" si="259"/>
        <v>Rev</v>
      </c>
      <c r="CB230" s="985" t="str">
        <f t="shared" si="260"/>
        <v>Sewerage</v>
      </c>
      <c r="CC230" s="985" t="str">
        <f t="shared" si="261"/>
        <v xml:space="preserve">Price cap - Variable </v>
      </c>
      <c r="CD230" s="990">
        <f t="shared" si="287"/>
        <v>0.84829580604638788</v>
      </c>
      <c r="CE230" s="987">
        <f t="shared" si="287"/>
        <v>0.54842387325369235</v>
      </c>
      <c r="CF230" s="987">
        <f t="shared" si="287"/>
        <v>0.38937401726353071</v>
      </c>
      <c r="CG230" s="988">
        <f t="shared" si="284"/>
        <v>0.30131868683091012</v>
      </c>
      <c r="CH230" s="987">
        <f t="shared" si="288"/>
        <v>8.9159585908456851E-2</v>
      </c>
      <c r="CI230" s="987">
        <f t="shared" si="288"/>
        <v>6.2023251972799454E-2</v>
      </c>
      <c r="CJ230" s="987">
        <f t="shared" si="288"/>
        <v>4.8685180285794161E-2</v>
      </c>
      <c r="CK230" s="989">
        <f t="shared" si="285"/>
        <v>4.074379478014345E-2</v>
      </c>
    </row>
    <row r="231" spans="4:89">
      <c r="D231" s="63">
        <f>D228+1</f>
        <v>55</v>
      </c>
      <c r="E231" s="550" t="s">
        <v>857</v>
      </c>
      <c r="F231" s="595" t="s">
        <v>402</v>
      </c>
      <c r="G231" s="595" t="s">
        <v>92</v>
      </c>
      <c r="H231" s="595" t="s">
        <v>900</v>
      </c>
      <c r="I231" s="589" t="s">
        <v>941</v>
      </c>
      <c r="J231" s="589" t="s">
        <v>879</v>
      </c>
      <c r="K231" s="551"/>
      <c r="L231" s="552"/>
      <c r="M231" s="552"/>
      <c r="N231" s="551"/>
      <c r="O231" s="552"/>
      <c r="P231" s="552"/>
      <c r="Q231" s="552"/>
      <c r="R231" s="1035"/>
      <c r="S231" s="1138"/>
      <c r="T231" s="591"/>
      <c r="U231" s="1035">
        <v>325.29936535162943</v>
      </c>
      <c r="V231" s="591">
        <v>1349.4311450381679</v>
      </c>
      <c r="W231" s="591">
        <v>1349.4367796610168</v>
      </c>
      <c r="X231" s="591">
        <v>1349.4360859728506</v>
      </c>
      <c r="Y231" s="591">
        <v>1349.4399781659388</v>
      </c>
      <c r="Z231" s="591">
        <v>1349.4404999999999</v>
      </c>
      <c r="AA231" s="1138">
        <v>1549.5</v>
      </c>
      <c r="AB231" s="591">
        <v>1549.5</v>
      </c>
      <c r="AC231" s="591">
        <v>1549.5</v>
      </c>
      <c r="AD231" s="591">
        <v>1549.5</v>
      </c>
      <c r="AE231" s="1035">
        <v>1549.5</v>
      </c>
      <c r="AF231" s="591">
        <v>1857.7732588146876</v>
      </c>
      <c r="AG231" s="591">
        <v>1857.7732588146876</v>
      </c>
      <c r="AH231" s="591">
        <v>1857.7732588146876</v>
      </c>
      <c r="AI231" s="591">
        <v>1857.7732588146876</v>
      </c>
      <c r="AJ231" s="592">
        <v>1857.7732588146876</v>
      </c>
      <c r="AK231" s="548"/>
      <c r="AM231" s="974"/>
      <c r="AO231" s="975" t="str">
        <f t="shared" si="263"/>
        <v>Price</v>
      </c>
      <c r="AP231" s="976" t="str">
        <f t="shared" si="263"/>
        <v>Sewerage</v>
      </c>
      <c r="AQ231" s="977" t="str">
        <f t="shared" si="264"/>
        <v xml:space="preserve">Price cap - Variable </v>
      </c>
      <c r="AR231" s="1341">
        <f t="shared" si="265"/>
        <v>3.1482747547924426</v>
      </c>
      <c r="AS231" s="978">
        <f t="shared" si="266"/>
        <v>4.1755541730914558E-6</v>
      </c>
      <c r="AT231" s="979">
        <f t="shared" si="267"/>
        <v>-5.1405755097100325E-7</v>
      </c>
      <c r="AU231" s="979">
        <f t="shared" si="268"/>
        <v>2.8843108084153357E-6</v>
      </c>
      <c r="AV231" s="1352">
        <f t="shared" si="269"/>
        <v>3.8670416580011135E-7</v>
      </c>
      <c r="AW231" s="1345">
        <f t="shared" si="270"/>
        <v>0.14825366513010407</v>
      </c>
      <c r="AX231" s="979">
        <f t="shared" si="271"/>
        <v>0</v>
      </c>
      <c r="AY231" s="979">
        <f t="shared" si="272"/>
        <v>0</v>
      </c>
      <c r="AZ231" s="979">
        <f t="shared" si="273"/>
        <v>0</v>
      </c>
      <c r="BA231" s="980">
        <f t="shared" si="274"/>
        <v>0</v>
      </c>
      <c r="BB231" s="1345">
        <f t="shared" si="275"/>
        <v>0.19895015089686185</v>
      </c>
      <c r="BC231" s="979">
        <f t="shared" si="276"/>
        <v>0</v>
      </c>
      <c r="BD231" s="979">
        <f t="shared" si="277"/>
        <v>0</v>
      </c>
      <c r="BE231" s="979">
        <f t="shared" si="278"/>
        <v>0</v>
      </c>
      <c r="BF231" s="981">
        <f t="shared" si="279"/>
        <v>0</v>
      </c>
      <c r="BG231" s="951"/>
      <c r="BH231" s="975" t="str">
        <f t="shared" si="280"/>
        <v>Price</v>
      </c>
      <c r="BI231" s="976" t="str">
        <f t="shared" si="281"/>
        <v>Sewerage</v>
      </c>
      <c r="BJ231" s="977" t="str">
        <f t="shared" si="282"/>
        <v xml:space="preserve">Price cap - Variable </v>
      </c>
      <c r="BK231" s="978">
        <f t="shared" ref="BK231:BU231" si="332">IF(V231="","-",IFERROR((V231/U231-1)*(U233/U$13),"-"))</f>
        <v>3.0231826197104704E-5</v>
      </c>
      <c r="BL231" s="978">
        <f t="shared" si="332"/>
        <v>1.5407219561289306E-10</v>
      </c>
      <c r="BM231" s="979">
        <f t="shared" si="332"/>
        <v>-2.3335780448296191E-11</v>
      </c>
      <c r="BN231" s="979">
        <f t="shared" si="332"/>
        <v>1.1626422221716234E-10</v>
      </c>
      <c r="BO231" s="1352">
        <f t="shared" si="332"/>
        <v>1.0338949872262527E-11</v>
      </c>
      <c r="BP231" s="1345">
        <f t="shared" si="332"/>
        <v>8.0493366809332586E-6</v>
      </c>
      <c r="BQ231" s="979">
        <f t="shared" si="332"/>
        <v>0</v>
      </c>
      <c r="BR231" s="979">
        <f t="shared" si="332"/>
        <v>0</v>
      </c>
      <c r="BS231" s="979">
        <f t="shared" si="332"/>
        <v>0</v>
      </c>
      <c r="BT231" s="980">
        <f t="shared" si="332"/>
        <v>0</v>
      </c>
      <c r="BU231" s="979">
        <f t="shared" si="332"/>
        <v>1.1821030161244361E-5</v>
      </c>
      <c r="BV231" s="979">
        <f>IF(AG231="","-",IFERROR((AG231/AF231-1)*(AF233/AF$13),"-"))</f>
        <v>0</v>
      </c>
      <c r="BW231" s="979">
        <f>IF(AH231="","-",IFERROR((AH231/AG231-1)*(AG233/AG$13),"-"))</f>
        <v>0</v>
      </c>
      <c r="BX231" s="979">
        <f>IF(AI231="","-",IFERROR((AI231/AH231-1)*(AH233/AH$13),"-"))</f>
        <v>0</v>
      </c>
      <c r="BY231" s="981">
        <f>IF(AJ231="","-",IFERROR((AJ231/AI231-1)*(AI233/AI$13),"-"))</f>
        <v>0</v>
      </c>
      <c r="BZ231" s="951"/>
      <c r="CA231" s="975" t="str">
        <f t="shared" si="259"/>
        <v>Price</v>
      </c>
      <c r="CB231" s="976" t="str">
        <f t="shared" si="260"/>
        <v>Sewerage</v>
      </c>
      <c r="CC231" s="982" t="str">
        <f t="shared" si="261"/>
        <v xml:space="preserve">Price cap - Variable </v>
      </c>
      <c r="CD231" s="983">
        <f t="shared" si="287"/>
        <v>1.0367356421829532</v>
      </c>
      <c r="CE231" s="979">
        <f t="shared" si="287"/>
        <v>0.60677981713788731</v>
      </c>
      <c r="CF231" s="979">
        <f t="shared" si="287"/>
        <v>0.42714332005221478</v>
      </c>
      <c r="CG231" s="980">
        <f t="shared" si="284"/>
        <v>0.32915033432691021</v>
      </c>
      <c r="CH231" s="979">
        <f t="shared" si="288"/>
        <v>7.1565987296211331E-2</v>
      </c>
      <c r="CI231" s="979">
        <f t="shared" si="288"/>
        <v>4.7158960793553861E-2</v>
      </c>
      <c r="CJ231" s="979">
        <f t="shared" si="288"/>
        <v>3.5164715055633788E-2</v>
      </c>
      <c r="CK231" s="981">
        <f t="shared" si="285"/>
        <v>2.8034212610938303E-2</v>
      </c>
    </row>
    <row r="232" spans="4:89">
      <c r="E232" s="567" t="s">
        <v>880</v>
      </c>
      <c r="F232" s="554" t="str">
        <f>+F231</f>
        <v>Sewerage</v>
      </c>
      <c r="G232" s="555" t="str">
        <f>+G231</f>
        <v>SEW</v>
      </c>
      <c r="H232" s="555" t="str">
        <f>+H231</f>
        <v>Trade waste - TN/TKN Western</v>
      </c>
      <c r="I232" s="556" t="str">
        <f>+I231</f>
        <v xml:space="preserve">Price cap - Variable </v>
      </c>
      <c r="J232" s="590" t="s">
        <v>896</v>
      </c>
      <c r="K232" s="557"/>
      <c r="L232" s="558"/>
      <c r="M232" s="558"/>
      <c r="N232" s="557"/>
      <c r="O232" s="558"/>
      <c r="P232" s="558"/>
      <c r="Q232" s="558"/>
      <c r="R232" s="1036"/>
      <c r="S232" s="1139"/>
      <c r="T232" s="593"/>
      <c r="U232" s="1036">
        <v>56.92499999999999</v>
      </c>
      <c r="V232" s="593">
        <v>50.954999999999998</v>
      </c>
      <c r="W232" s="593">
        <v>62.244999999999997</v>
      </c>
      <c r="X232" s="593">
        <v>55.589999999999989</v>
      </c>
      <c r="Y232" s="593">
        <v>37.340000000000003</v>
      </c>
      <c r="Z232" s="593">
        <v>75.795789355499366</v>
      </c>
      <c r="AA232" s="1139">
        <v>76.289177497249057</v>
      </c>
      <c r="AB232" s="593">
        <v>77.545815697888656</v>
      </c>
      <c r="AC232" s="593">
        <v>78.309065756778551</v>
      </c>
      <c r="AD232" s="593">
        <v>79.072315815668475</v>
      </c>
      <c r="AE232" s="1036">
        <v>79.835565874558398</v>
      </c>
      <c r="AF232" s="593">
        <v>80.598815933448307</v>
      </c>
      <c r="AG232" s="593">
        <v>81.759438882889953</v>
      </c>
      <c r="AH232" s="593">
        <v>82.920061832331612</v>
      </c>
      <c r="AI232" s="593">
        <v>84.080684781773257</v>
      </c>
      <c r="AJ232" s="594">
        <v>85.241307731214931</v>
      </c>
      <c r="AK232" s="548"/>
      <c r="AO232" s="961" t="str">
        <f t="shared" si="263"/>
        <v>Qty</v>
      </c>
      <c r="AP232" s="962" t="str">
        <f t="shared" si="263"/>
        <v>Sewerage</v>
      </c>
      <c r="AQ232" s="963" t="str">
        <f t="shared" si="264"/>
        <v xml:space="preserve">Price cap - Variable </v>
      </c>
      <c r="AR232" s="967">
        <f t="shared" si="265"/>
        <v>-0.10487483530961783</v>
      </c>
      <c r="AS232" s="964">
        <f t="shared" si="266"/>
        <v>0.22156805024040827</v>
      </c>
      <c r="AT232" s="964">
        <f t="shared" si="267"/>
        <v>-0.1069162181701343</v>
      </c>
      <c r="AU232" s="964">
        <f t="shared" si="268"/>
        <v>-0.32829645619715753</v>
      </c>
      <c r="AV232" s="1350">
        <f t="shared" si="269"/>
        <v>1.0298818788296562</v>
      </c>
      <c r="AW232" s="1343">
        <f t="shared" si="270"/>
        <v>6.5094399826828298E-3</v>
      </c>
      <c r="AX232" s="964">
        <f t="shared" si="271"/>
        <v>1.6472037605660628E-2</v>
      </c>
      <c r="AY232" s="964">
        <f t="shared" si="272"/>
        <v>9.8425692220898142E-3</v>
      </c>
      <c r="AZ232" s="964">
        <f t="shared" si="273"/>
        <v>9.7466372700769632E-3</v>
      </c>
      <c r="BA232" s="965">
        <f t="shared" si="274"/>
        <v>9.6525572953900518E-3</v>
      </c>
      <c r="BB232" s="1343">
        <f t="shared" si="275"/>
        <v>9.5602761817854542E-3</v>
      </c>
      <c r="BC232" s="964">
        <f t="shared" si="276"/>
        <v>1.4399999999999968E-2</v>
      </c>
      <c r="BD232" s="964">
        <f t="shared" si="277"/>
        <v>1.4195583596214645E-2</v>
      </c>
      <c r="BE232" s="964">
        <f t="shared" si="278"/>
        <v>1.3996889580093264E-2</v>
      </c>
      <c r="BF232" s="966">
        <f t="shared" si="279"/>
        <v>1.3803680981595345E-2</v>
      </c>
      <c r="BG232" s="951"/>
      <c r="BH232" s="961" t="str">
        <f t="shared" si="280"/>
        <v>Qty</v>
      </c>
      <c r="BI232" s="962" t="str">
        <f t="shared" si="281"/>
        <v>Sewerage</v>
      </c>
      <c r="BJ232" s="963" t="str">
        <f t="shared" si="282"/>
        <v xml:space="preserve">Price cap - Variable </v>
      </c>
      <c r="BK232" s="964">
        <f t="shared" ref="BK232:BU232" si="333">IF(V232="","-",IFERROR((V232/U232-1)*(U233/U$13),"-"))</f>
        <v>-1.0070778570720305E-6</v>
      </c>
      <c r="BL232" s="964">
        <f t="shared" si="333"/>
        <v>8.1755557617237499E-6</v>
      </c>
      <c r="BM232" s="964">
        <f t="shared" si="333"/>
        <v>-4.8534904095225037E-6</v>
      </c>
      <c r="BN232" s="964">
        <f t="shared" si="333"/>
        <v>-1.3233363070668401E-5</v>
      </c>
      <c r="BO232" s="1350">
        <f t="shared" si="333"/>
        <v>2.7534994606381607E-5</v>
      </c>
      <c r="BP232" s="1343">
        <f t="shared" si="333"/>
        <v>3.5342582578960407E-7</v>
      </c>
      <c r="BQ232" s="964">
        <f t="shared" si="333"/>
        <v>1.0284574392511849E-6</v>
      </c>
      <c r="BR232" s="964">
        <f t="shared" si="333"/>
        <v>6.0135280894999943E-7</v>
      </c>
      <c r="BS232" s="964">
        <f t="shared" si="333"/>
        <v>5.8997670620823506E-7</v>
      </c>
      <c r="BT232" s="965">
        <f t="shared" si="333"/>
        <v>5.7895839506565103E-7</v>
      </c>
      <c r="BU232" s="964">
        <f t="shared" si="333"/>
        <v>5.6804336455768202E-7</v>
      </c>
      <c r="BV232" s="964">
        <f>IF(AG232="","-",IFERROR((AG232/AF232-1)*(AF233/AF$13),"-"))</f>
        <v>9.8917272279017749E-7</v>
      </c>
      <c r="BW232" s="964">
        <f>IF(AH232="","-",IFERROR((AH232/AG232-1)*(AG233/AG$13),"-"))</f>
        <v>9.7550907548856967E-7</v>
      </c>
      <c r="BX232" s="964">
        <f>IF(AI232="","-",IFERROR((AI232/AH232-1)*(AH233/AH$13),"-"))</f>
        <v>9.6142729551491581E-7</v>
      </c>
      <c r="BY232" s="966">
        <f>IF(AJ232="","-",IFERROR((AJ232/AI232-1)*(AI233/AI$13),"-"))</f>
        <v>9.451554667905153E-7</v>
      </c>
      <c r="BZ232" s="951"/>
      <c r="CA232" s="961" t="str">
        <f t="shared" si="259"/>
        <v>Qty</v>
      </c>
      <c r="CB232" s="962" t="str">
        <f t="shared" si="260"/>
        <v>Sewerage</v>
      </c>
      <c r="CC232" s="962" t="str">
        <f t="shared" si="261"/>
        <v xml:space="preserve">Price cap - Variable </v>
      </c>
      <c r="CD232" s="967">
        <f t="shared" si="287"/>
        <v>4.5684609311982927E-2</v>
      </c>
      <c r="CE232" s="964">
        <f t="shared" si="287"/>
        <v>-7.8792225646800995E-3</v>
      </c>
      <c r="CF232" s="964">
        <f t="shared" si="287"/>
        <v>-0.10005116606662634</v>
      </c>
      <c r="CG232" s="965">
        <f t="shared" si="284"/>
        <v>5.8932818463526715E-2</v>
      </c>
      <c r="CH232" s="964">
        <f t="shared" si="288"/>
        <v>1.1478472993137867E-2</v>
      </c>
      <c r="CI232" s="964">
        <f t="shared" si="288"/>
        <v>1.0932877492659587E-2</v>
      </c>
      <c r="CJ232" s="964">
        <f t="shared" si="288"/>
        <v>1.0636186852506446E-2</v>
      </c>
      <c r="CK232" s="966">
        <f t="shared" si="285"/>
        <v>1.0439384308759347E-2</v>
      </c>
    </row>
    <row r="233" spans="4:89" ht="12.75" thickBot="1">
      <c r="E233" s="568" t="s">
        <v>882</v>
      </c>
      <c r="F233" s="560" t="str">
        <f>+F231</f>
        <v>Sewerage</v>
      </c>
      <c r="G233" s="561" t="str">
        <f>+G231</f>
        <v>SEW</v>
      </c>
      <c r="H233" s="561" t="str">
        <f>+H231</f>
        <v>Trade waste - TN/TKN Western</v>
      </c>
      <c r="I233" s="562" t="str">
        <f>+I231</f>
        <v xml:space="preserve">Price cap - Variable </v>
      </c>
      <c r="J233" s="563" t="s">
        <v>883</v>
      </c>
      <c r="K233" s="564">
        <f t="shared" ref="K233:AJ233" si="334">K231*K232/10^6</f>
        <v>0</v>
      </c>
      <c r="L233" s="565">
        <f t="shared" si="334"/>
        <v>0</v>
      </c>
      <c r="M233" s="565">
        <f t="shared" si="334"/>
        <v>0</v>
      </c>
      <c r="N233" s="564">
        <f t="shared" si="334"/>
        <v>0</v>
      </c>
      <c r="O233" s="565">
        <f t="shared" si="334"/>
        <v>0</v>
      </c>
      <c r="P233" s="565">
        <f t="shared" si="334"/>
        <v>0</v>
      </c>
      <c r="Q233" s="565">
        <f t="shared" si="334"/>
        <v>0</v>
      </c>
      <c r="R233" s="566">
        <f t="shared" si="334"/>
        <v>0</v>
      </c>
      <c r="S233" s="564">
        <f t="shared" si="334"/>
        <v>0</v>
      </c>
      <c r="T233" s="565">
        <f t="shared" si="334"/>
        <v>0</v>
      </c>
      <c r="U233" s="566">
        <f t="shared" si="334"/>
        <v>1.8517666372641503E-2</v>
      </c>
      <c r="V233" s="565">
        <f t="shared" si="334"/>
        <v>6.8760263995419832E-2</v>
      </c>
      <c r="W233" s="565">
        <f t="shared" si="334"/>
        <v>8.3995692349999984E-2</v>
      </c>
      <c r="X233" s="565">
        <f t="shared" si="334"/>
        <v>7.5015152019230757E-2</v>
      </c>
      <c r="Y233" s="565">
        <f t="shared" si="334"/>
        <v>5.0388088784716158E-2</v>
      </c>
      <c r="Z233" s="565">
        <f t="shared" si="334"/>
        <v>0.10228190788577975</v>
      </c>
      <c r="AA233" s="564">
        <f t="shared" si="334"/>
        <v>0.11821008053198742</v>
      </c>
      <c r="AB233" s="565">
        <f t="shared" si="334"/>
        <v>0.12015724142387847</v>
      </c>
      <c r="AC233" s="565">
        <f t="shared" si="334"/>
        <v>0.12133989739012836</v>
      </c>
      <c r="AD233" s="565">
        <f t="shared" si="334"/>
        <v>0.12252255335637829</v>
      </c>
      <c r="AE233" s="566">
        <f t="shared" si="334"/>
        <v>0.12370520932262824</v>
      </c>
      <c r="AF233" s="565">
        <f t="shared" si="334"/>
        <v>0.14973432493328742</v>
      </c>
      <c r="AG233" s="565">
        <f>AG231*AG232/10^6</f>
        <v>0.15189049921232675</v>
      </c>
      <c r="AH233" s="565">
        <f>AH231*AH232/10^6</f>
        <v>0.15404667349136608</v>
      </c>
      <c r="AI233" s="565">
        <f>AI231*AI232/10^6</f>
        <v>0.15620284777040541</v>
      </c>
      <c r="AJ233" s="566">
        <f t="shared" si="334"/>
        <v>0.1583590220494448</v>
      </c>
      <c r="AK233" s="548"/>
      <c r="AO233" s="984" t="str">
        <f t="shared" si="263"/>
        <v>Rev</v>
      </c>
      <c r="AP233" s="985" t="str">
        <f t="shared" si="263"/>
        <v>Sewerage</v>
      </c>
      <c r="AQ233" s="986" t="str">
        <f t="shared" si="264"/>
        <v xml:space="preserve">Price cap - Variable </v>
      </c>
      <c r="AR233" s="990">
        <f t="shared" si="265"/>
        <v>2.7132251230645394</v>
      </c>
      <c r="AS233" s="987">
        <f t="shared" si="266"/>
        <v>0.22157315096397823</v>
      </c>
      <c r="AT233" s="987">
        <f t="shared" si="267"/>
        <v>-0.10691667726659593</v>
      </c>
      <c r="AU233" s="987">
        <f t="shared" si="268"/>
        <v>-0.32829451879536609</v>
      </c>
      <c r="AV233" s="1353">
        <f t="shared" si="269"/>
        <v>1.0298826637934351</v>
      </c>
      <c r="AW233" s="1346">
        <f t="shared" si="270"/>
        <v>0.15572815344816382</v>
      </c>
      <c r="AX233" s="987">
        <f t="shared" si="271"/>
        <v>1.6472037605660406E-2</v>
      </c>
      <c r="AY233" s="987">
        <f t="shared" si="272"/>
        <v>9.8425692220898142E-3</v>
      </c>
      <c r="AZ233" s="987">
        <f t="shared" si="273"/>
        <v>9.7466372700769632E-3</v>
      </c>
      <c r="BA233" s="988">
        <f t="shared" si="274"/>
        <v>9.6525572953902739E-3</v>
      </c>
      <c r="BB233" s="1346">
        <f t="shared" si="275"/>
        <v>0.21041244546762927</v>
      </c>
      <c r="BC233" s="987">
        <f t="shared" si="276"/>
        <v>1.4399999999999968E-2</v>
      </c>
      <c r="BD233" s="987">
        <f t="shared" si="277"/>
        <v>1.4195583596214423E-2</v>
      </c>
      <c r="BE233" s="987">
        <f t="shared" si="278"/>
        <v>1.3996889580093264E-2</v>
      </c>
      <c r="BF233" s="989">
        <f t="shared" si="279"/>
        <v>1.3803680981595345E-2</v>
      </c>
      <c r="BG233" s="951"/>
      <c r="BH233" s="984" t="str">
        <f t="shared" si="280"/>
        <v>Rev</v>
      </c>
      <c r="BI233" s="985" t="str">
        <f t="shared" si="281"/>
        <v>Sewerage</v>
      </c>
      <c r="BJ233" s="986" t="str">
        <f t="shared" si="282"/>
        <v xml:space="preserve">Price cap - Variable </v>
      </c>
      <c r="BK233" s="987">
        <f t="shared" ref="BK233:BU233" si="335">IF(V233="","-",IFERROR((V233/U233-1)*(U233/U$13),"-"))</f>
        <v>2.6054190546502322E-5</v>
      </c>
      <c r="BL233" s="987">
        <f t="shared" si="335"/>
        <v>8.175743971395344E-6</v>
      </c>
      <c r="BM233" s="987">
        <f t="shared" si="335"/>
        <v>-4.8535112503295553E-6</v>
      </c>
      <c r="BN233" s="987">
        <f t="shared" si="335"/>
        <v>-1.323328497557832E-5</v>
      </c>
      <c r="BO233" s="1353">
        <f t="shared" si="335"/>
        <v>2.7535015593228606E-5</v>
      </c>
      <c r="BP233" s="1346">
        <f t="shared" si="335"/>
        <v>8.4551591807477909E-6</v>
      </c>
      <c r="BQ233" s="987">
        <f t="shared" si="335"/>
        <v>1.028457439251171E-6</v>
      </c>
      <c r="BR233" s="987">
        <f t="shared" si="335"/>
        <v>6.0135280894999943E-7</v>
      </c>
      <c r="BS233" s="987">
        <f t="shared" si="335"/>
        <v>5.8997670620823506E-7</v>
      </c>
      <c r="BT233" s="988">
        <f t="shared" si="335"/>
        <v>5.7895839506566437E-7</v>
      </c>
      <c r="BU233" s="987">
        <f t="shared" si="335"/>
        <v>1.2502085838896759E-5</v>
      </c>
      <c r="BV233" s="987">
        <f>IF(AG233="","-",IFERROR((AG233/AF233-1)*(AF233/AF$13),"-"))</f>
        <v>9.8917272279017749E-7</v>
      </c>
      <c r="BW233" s="987">
        <f>IF(AH233="","-",IFERROR((AH233/AG233-1)*(AG233/AG$13),"-"))</f>
        <v>9.7550907548855443E-7</v>
      </c>
      <c r="BX233" s="987">
        <f>IF(AI233="","-",IFERROR((AI233/AH233-1)*(AH233/AH$13),"-"))</f>
        <v>9.6142729551491581E-7</v>
      </c>
      <c r="BY233" s="989">
        <f>IF(AJ233="","-",IFERROR((AJ233/AI233-1)*(AI233/AI$13),"-"))</f>
        <v>9.451554667905153E-7</v>
      </c>
      <c r="BZ233" s="951"/>
      <c r="CA233" s="984" t="str">
        <f t="shared" si="259"/>
        <v>Rev</v>
      </c>
      <c r="CB233" s="985" t="str">
        <f t="shared" si="260"/>
        <v>Sewerage</v>
      </c>
      <c r="CC233" s="985" t="str">
        <f t="shared" si="261"/>
        <v xml:space="preserve">Price cap - Variable </v>
      </c>
      <c r="CD233" s="990">
        <f t="shared" si="287"/>
        <v>1.1297831142678718</v>
      </c>
      <c r="CE233" s="987">
        <f t="shared" si="287"/>
        <v>0.59411964134622197</v>
      </c>
      <c r="CF233" s="987">
        <f t="shared" si="287"/>
        <v>0.28435596673679409</v>
      </c>
      <c r="CG233" s="988">
        <f t="shared" si="284"/>
        <v>0.40748090969053385</v>
      </c>
      <c r="CH233" s="987">
        <f t="shared" si="288"/>
        <v>8.3865928541755785E-2</v>
      </c>
      <c r="CI233" s="987">
        <f t="shared" si="288"/>
        <v>5.8607421427250506E-2</v>
      </c>
      <c r="CJ233" s="987">
        <f t="shared" si="288"/>
        <v>4.6174920388087015E-2</v>
      </c>
      <c r="CK233" s="989">
        <f t="shared" si="285"/>
        <v>3.8766256838936641E-2</v>
      </c>
    </row>
    <row r="234" spans="4:89">
      <c r="D234" s="63">
        <f>D231+1</f>
        <v>56</v>
      </c>
      <c r="E234" s="550" t="s">
        <v>857</v>
      </c>
      <c r="F234" s="595" t="s">
        <v>402</v>
      </c>
      <c r="G234" s="595" t="s">
        <v>103</v>
      </c>
      <c r="H234" s="595" t="s">
        <v>900</v>
      </c>
      <c r="I234" s="589" t="s">
        <v>941</v>
      </c>
      <c r="J234" s="589" t="s">
        <v>879</v>
      </c>
      <c r="K234" s="551"/>
      <c r="L234" s="552"/>
      <c r="M234" s="552"/>
      <c r="N234" s="551"/>
      <c r="O234" s="552"/>
      <c r="P234" s="552"/>
      <c r="Q234" s="552"/>
      <c r="R234" s="1035"/>
      <c r="S234" s="1138"/>
      <c r="T234" s="591"/>
      <c r="U234" s="1035">
        <v>325.29936535162943</v>
      </c>
      <c r="V234" s="591">
        <v>1349.4311450381679</v>
      </c>
      <c r="W234" s="591">
        <v>1349.4367796610168</v>
      </c>
      <c r="X234" s="591">
        <v>1349.4360859728506</v>
      </c>
      <c r="Y234" s="591">
        <v>1349.4399781659388</v>
      </c>
      <c r="Z234" s="591">
        <v>1349.4404999999999</v>
      </c>
      <c r="AA234" s="1138">
        <v>1549.5</v>
      </c>
      <c r="AB234" s="591">
        <v>1549.5</v>
      </c>
      <c r="AC234" s="591">
        <v>1549.5</v>
      </c>
      <c r="AD234" s="591">
        <v>1549.5</v>
      </c>
      <c r="AE234" s="1035">
        <v>1549.5</v>
      </c>
      <c r="AF234" s="591">
        <v>1857.7732588146876</v>
      </c>
      <c r="AG234" s="591">
        <v>1857.7732588146876</v>
      </c>
      <c r="AH234" s="591">
        <v>1857.7732588146876</v>
      </c>
      <c r="AI234" s="591">
        <v>1857.7732588146876</v>
      </c>
      <c r="AJ234" s="592">
        <v>1857.7732588146876</v>
      </c>
      <c r="AK234" s="548"/>
      <c r="AM234" s="974"/>
      <c r="AO234" s="975" t="str">
        <f t="shared" si="263"/>
        <v>Price</v>
      </c>
      <c r="AP234" s="976" t="str">
        <f t="shared" si="263"/>
        <v>Sewerage</v>
      </c>
      <c r="AQ234" s="977" t="str">
        <f t="shared" si="264"/>
        <v xml:space="preserve">Price cap - Variable </v>
      </c>
      <c r="AR234" s="1341">
        <f t="shared" si="265"/>
        <v>3.1482747547924426</v>
      </c>
      <c r="AS234" s="978">
        <f t="shared" si="266"/>
        <v>4.1755541730914558E-6</v>
      </c>
      <c r="AT234" s="979">
        <f t="shared" si="267"/>
        <v>-5.1405755097100325E-7</v>
      </c>
      <c r="AU234" s="979">
        <f t="shared" si="268"/>
        <v>2.8843108084153357E-6</v>
      </c>
      <c r="AV234" s="1352">
        <f t="shared" si="269"/>
        <v>3.8670416580011135E-7</v>
      </c>
      <c r="AW234" s="1345">
        <f t="shared" si="270"/>
        <v>0.14825366513010407</v>
      </c>
      <c r="AX234" s="979">
        <f t="shared" si="271"/>
        <v>0</v>
      </c>
      <c r="AY234" s="979">
        <f t="shared" si="272"/>
        <v>0</v>
      </c>
      <c r="AZ234" s="979">
        <f t="shared" si="273"/>
        <v>0</v>
      </c>
      <c r="BA234" s="980">
        <f t="shared" si="274"/>
        <v>0</v>
      </c>
      <c r="BB234" s="1345">
        <f t="shared" si="275"/>
        <v>0.19895015089686185</v>
      </c>
      <c r="BC234" s="979">
        <f t="shared" si="276"/>
        <v>0</v>
      </c>
      <c r="BD234" s="979">
        <f t="shared" si="277"/>
        <v>0</v>
      </c>
      <c r="BE234" s="979">
        <f t="shared" si="278"/>
        <v>0</v>
      </c>
      <c r="BF234" s="981">
        <f t="shared" si="279"/>
        <v>0</v>
      </c>
      <c r="BG234" s="951"/>
      <c r="BH234" s="975" t="str">
        <f t="shared" si="280"/>
        <v>Price</v>
      </c>
      <c r="BI234" s="976" t="str">
        <f t="shared" si="281"/>
        <v>Sewerage</v>
      </c>
      <c r="BJ234" s="977" t="str">
        <f t="shared" si="282"/>
        <v xml:space="preserve">Price cap - Variable </v>
      </c>
      <c r="BK234" s="978">
        <f t="shared" ref="BK234:BU234" si="336">IF(V234="","-",IFERROR((V234/U234-1)*(U236/U$13),"-"))</f>
        <v>1.6292524621427815E-4</v>
      </c>
      <c r="BL234" s="978">
        <f t="shared" si="336"/>
        <v>8.5345201791221949E-10</v>
      </c>
      <c r="BM234" s="979">
        <f t="shared" si="336"/>
        <v>-1.1831347534381162E-10</v>
      </c>
      <c r="BN234" s="979">
        <f t="shared" si="336"/>
        <v>7.7729084704098581E-10</v>
      </c>
      <c r="BO234" s="1352">
        <f t="shared" si="336"/>
        <v>9.2642140948338452E-11</v>
      </c>
      <c r="BP234" s="1345">
        <f t="shared" si="336"/>
        <v>3.459631788995279E-5</v>
      </c>
      <c r="BQ234" s="979">
        <f t="shared" si="336"/>
        <v>0</v>
      </c>
      <c r="BR234" s="979">
        <f t="shared" si="336"/>
        <v>0</v>
      </c>
      <c r="BS234" s="979">
        <f t="shared" si="336"/>
        <v>0</v>
      </c>
      <c r="BT234" s="980">
        <f t="shared" si="336"/>
        <v>0</v>
      </c>
      <c r="BU234" s="979">
        <f t="shared" si="336"/>
        <v>5.0956006620796974E-5</v>
      </c>
      <c r="BV234" s="979">
        <f>IF(AG234="","-",IFERROR((AG234/AF234-1)*(AF236/AF$13),"-"))</f>
        <v>0</v>
      </c>
      <c r="BW234" s="979">
        <f>IF(AH234="","-",IFERROR((AH234/AG234-1)*(AG236/AG$13),"-"))</f>
        <v>0</v>
      </c>
      <c r="BX234" s="979">
        <f>IF(AI234="","-",IFERROR((AI234/AH234-1)*(AH236/AH$13),"-"))</f>
        <v>0</v>
      </c>
      <c r="BY234" s="981">
        <f>IF(AJ234="","-",IFERROR((AJ234/AI234-1)*(AI236/AI$13),"-"))</f>
        <v>0</v>
      </c>
      <c r="BZ234" s="951"/>
      <c r="CA234" s="975" t="str">
        <f t="shared" si="259"/>
        <v>Price</v>
      </c>
      <c r="CB234" s="976" t="str">
        <f t="shared" si="260"/>
        <v>Sewerage</v>
      </c>
      <c r="CC234" s="982" t="str">
        <f t="shared" si="261"/>
        <v xml:space="preserve">Price cap - Variable </v>
      </c>
      <c r="CD234" s="983">
        <f t="shared" si="287"/>
        <v>1.0367356421829532</v>
      </c>
      <c r="CE234" s="979">
        <f t="shared" si="287"/>
        <v>0.60677981713788731</v>
      </c>
      <c r="CF234" s="979">
        <f t="shared" si="287"/>
        <v>0.42714332005221478</v>
      </c>
      <c r="CG234" s="980">
        <f t="shared" si="284"/>
        <v>0.32915033432691021</v>
      </c>
      <c r="CH234" s="979">
        <f t="shared" si="288"/>
        <v>7.1565987296211331E-2</v>
      </c>
      <c r="CI234" s="979">
        <f t="shared" si="288"/>
        <v>4.7158960793553861E-2</v>
      </c>
      <c r="CJ234" s="979">
        <f t="shared" si="288"/>
        <v>3.5164715055633788E-2</v>
      </c>
      <c r="CK234" s="981">
        <f t="shared" si="285"/>
        <v>2.8034212610938303E-2</v>
      </c>
    </row>
    <row r="235" spans="4:89">
      <c r="E235" s="567" t="s">
        <v>880</v>
      </c>
      <c r="F235" s="554" t="str">
        <f>+F234</f>
        <v>Sewerage</v>
      </c>
      <c r="G235" s="555" t="str">
        <f>+G234</f>
        <v>YVW</v>
      </c>
      <c r="H235" s="555" t="str">
        <f>+H234</f>
        <v>Trade waste - TN/TKN Western</v>
      </c>
      <c r="I235" s="556" t="str">
        <f>+I234</f>
        <v xml:space="preserve">Price cap - Variable </v>
      </c>
      <c r="J235" s="590" t="s">
        <v>896</v>
      </c>
      <c r="K235" s="557"/>
      <c r="L235" s="558"/>
      <c r="M235" s="558"/>
      <c r="N235" s="557"/>
      <c r="O235" s="558"/>
      <c r="P235" s="558"/>
      <c r="Q235" s="558"/>
      <c r="R235" s="1036"/>
      <c r="S235" s="1139"/>
      <c r="T235" s="593"/>
      <c r="U235" s="1036">
        <v>306.78000000000003</v>
      </c>
      <c r="V235" s="593">
        <v>282.255</v>
      </c>
      <c r="W235" s="593">
        <v>315.58499999999998</v>
      </c>
      <c r="X235" s="593">
        <v>371.65000000000009</v>
      </c>
      <c r="Y235" s="593">
        <v>334.58500000000004</v>
      </c>
      <c r="Z235" s="593">
        <v>325.77283411118617</v>
      </c>
      <c r="AA235" s="1139">
        <v>328.25676887342922</v>
      </c>
      <c r="AB235" s="593">
        <v>334.09078793225814</v>
      </c>
      <c r="AC235" s="593">
        <v>337.44087222884389</v>
      </c>
      <c r="AD235" s="593">
        <v>340.79095652542958</v>
      </c>
      <c r="AE235" s="1036">
        <v>344.14104082201538</v>
      </c>
      <c r="AF235" s="593">
        <v>347.49112511860108</v>
      </c>
      <c r="AG235" s="593">
        <v>352.61930605767031</v>
      </c>
      <c r="AH235" s="593">
        <v>357.74748699673967</v>
      </c>
      <c r="AI235" s="593">
        <v>362.87566793580891</v>
      </c>
      <c r="AJ235" s="594">
        <v>368.00384887487832</v>
      </c>
      <c r="AK235" s="548"/>
      <c r="AO235" s="961" t="str">
        <f t="shared" si="263"/>
        <v>Qty</v>
      </c>
      <c r="AP235" s="962" t="str">
        <f t="shared" si="263"/>
        <v>Sewerage</v>
      </c>
      <c r="AQ235" s="963" t="str">
        <f t="shared" si="264"/>
        <v xml:space="preserve">Price cap - Variable </v>
      </c>
      <c r="AR235" s="967">
        <f t="shared" si="265"/>
        <v>-7.9943281830627932E-2</v>
      </c>
      <c r="AS235" s="964">
        <f t="shared" si="266"/>
        <v>0.11808471063400106</v>
      </c>
      <c r="AT235" s="964">
        <f t="shared" si="267"/>
        <v>0.17765419775971636</v>
      </c>
      <c r="AU235" s="964">
        <f t="shared" si="268"/>
        <v>-9.9730929638100485E-2</v>
      </c>
      <c r="AV235" s="1350">
        <f t="shared" si="269"/>
        <v>-2.6337599978522253E-2</v>
      </c>
      <c r="AW235" s="1343">
        <f t="shared" si="270"/>
        <v>7.6247449208588503E-3</v>
      </c>
      <c r="AX235" s="964">
        <f t="shared" si="271"/>
        <v>1.7772730411169224E-2</v>
      </c>
      <c r="AY235" s="964">
        <f t="shared" si="272"/>
        <v>1.0027466837143173E-2</v>
      </c>
      <c r="AZ235" s="964">
        <f t="shared" si="273"/>
        <v>9.9279149987312465E-3</v>
      </c>
      <c r="BA235" s="965">
        <f t="shared" si="274"/>
        <v>9.8303204132583755E-3</v>
      </c>
      <c r="BB235" s="1343">
        <f t="shared" si="275"/>
        <v>9.7346259213479946E-3</v>
      </c>
      <c r="BC235" s="964">
        <f t="shared" si="276"/>
        <v>1.4757732121414513E-2</v>
      </c>
      <c r="BD235" s="964">
        <f t="shared" si="277"/>
        <v>1.454310881727694E-2</v>
      </c>
      <c r="BE235" s="964">
        <f t="shared" si="278"/>
        <v>1.4334638608141992E-2</v>
      </c>
      <c r="BF235" s="966">
        <f t="shared" si="279"/>
        <v>1.4132060626276477E-2</v>
      </c>
      <c r="BG235" s="951"/>
      <c r="BH235" s="961" t="str">
        <f t="shared" si="280"/>
        <v>Qty</v>
      </c>
      <c r="BI235" s="962" t="str">
        <f t="shared" si="281"/>
        <v>Sewerage</v>
      </c>
      <c r="BJ235" s="963" t="str">
        <f t="shared" si="282"/>
        <v xml:space="preserve">Price cap - Variable </v>
      </c>
      <c r="BK235" s="964">
        <f t="shared" ref="BK235:BU235" si="337">IF(V235="","-",IFERROR((V235/U235-1)*(U236/U$13),"-"))</f>
        <v>-4.1371163223939053E-6</v>
      </c>
      <c r="BL235" s="964">
        <f t="shared" si="337"/>
        <v>2.413563095998692E-5</v>
      </c>
      <c r="BM235" s="964">
        <f t="shared" si="337"/>
        <v>4.0888195313280122E-5</v>
      </c>
      <c r="BN235" s="964">
        <f t="shared" si="337"/>
        <v>-2.6876416559689064E-5</v>
      </c>
      <c r="BO235" s="1350">
        <f t="shared" si="337"/>
        <v>-6.3096595931486392E-6</v>
      </c>
      <c r="BP235" s="1343">
        <f t="shared" si="337"/>
        <v>1.7793023793397702E-6</v>
      </c>
      <c r="BQ235" s="964">
        <f t="shared" si="337"/>
        <v>4.7746760354188787E-6</v>
      </c>
      <c r="BR235" s="964">
        <f t="shared" si="337"/>
        <v>2.6394791307336963E-6</v>
      </c>
      <c r="BS235" s="964">
        <f t="shared" si="337"/>
        <v>2.5895467360908554E-6</v>
      </c>
      <c r="BT235" s="965">
        <f t="shared" si="337"/>
        <v>2.5411847730570354E-6</v>
      </c>
      <c r="BU235" s="964">
        <f t="shared" si="337"/>
        <v>2.4932761330567784E-6</v>
      </c>
      <c r="BV235" s="964">
        <f>IF(AG235="","-",IFERROR((AG235/AF235-1)*(AF236/AF$13),"-"))</f>
        <v>4.3706327751834895E-6</v>
      </c>
      <c r="BW235" s="964">
        <f>IF(AH235="","-",IFERROR((AH235/AG235-1)*(AG236/AG$13),"-"))</f>
        <v>4.310260321163078E-6</v>
      </c>
      <c r="BX235" s="964">
        <f>IF(AI235="","-",IFERROR((AI235/AH235-1)*(AH236/AH$13),"-"))</f>
        <v>4.2480403593021902E-6</v>
      </c>
      <c r="BY235" s="966">
        <f>IF(AJ235="","-",IFERROR((AJ235/AI235-1)*(AI236/AI$13),"-"))</f>
        <v>4.1761437265944309E-6</v>
      </c>
      <c r="BZ235" s="951"/>
      <c r="CA235" s="961" t="str">
        <f t="shared" si="259"/>
        <v>Qty</v>
      </c>
      <c r="CB235" s="962" t="str">
        <f t="shared" si="260"/>
        <v>Sewerage</v>
      </c>
      <c r="CC235" s="962" t="str">
        <f t="shared" si="261"/>
        <v xml:space="preserve">Price cap - Variable </v>
      </c>
      <c r="CD235" s="967">
        <f t="shared" si="287"/>
        <v>1.4249155533920588E-2</v>
      </c>
      <c r="CE235" s="964">
        <f t="shared" si="287"/>
        <v>6.6029029572371778E-2</v>
      </c>
      <c r="CF235" s="964">
        <f t="shared" si="287"/>
        <v>2.1926958342366021E-2</v>
      </c>
      <c r="CG235" s="965">
        <f t="shared" si="284"/>
        <v>1.2086343058852922E-2</v>
      </c>
      <c r="CH235" s="964">
        <f t="shared" si="288"/>
        <v>1.2686026302308751E-2</v>
      </c>
      <c r="CI235" s="964">
        <f t="shared" si="288"/>
        <v>1.1799063192282855E-2</v>
      </c>
      <c r="CJ235" s="964">
        <f t="shared" si="288"/>
        <v>1.1330951384127319E-2</v>
      </c>
      <c r="CK235" s="966">
        <f t="shared" si="285"/>
        <v>1.1030646898150476E-2</v>
      </c>
    </row>
    <row r="236" spans="4:89" ht="12.75" thickBot="1">
      <c r="E236" s="568" t="s">
        <v>882</v>
      </c>
      <c r="F236" s="560" t="str">
        <f>+F234</f>
        <v>Sewerage</v>
      </c>
      <c r="G236" s="561" t="str">
        <f>+G234</f>
        <v>YVW</v>
      </c>
      <c r="H236" s="561" t="str">
        <f>+H234</f>
        <v>Trade waste - TN/TKN Western</v>
      </c>
      <c r="I236" s="562" t="str">
        <f>+I234</f>
        <v xml:space="preserve">Price cap - Variable </v>
      </c>
      <c r="J236" s="563" t="s">
        <v>883</v>
      </c>
      <c r="K236" s="564">
        <f t="shared" ref="K236:AJ236" si="338">K234*K235/10^6</f>
        <v>0</v>
      </c>
      <c r="L236" s="565">
        <f t="shared" si="338"/>
        <v>0</v>
      </c>
      <c r="M236" s="565">
        <f t="shared" si="338"/>
        <v>0</v>
      </c>
      <c r="N236" s="564">
        <f t="shared" si="338"/>
        <v>0</v>
      </c>
      <c r="O236" s="565">
        <f t="shared" si="338"/>
        <v>0</v>
      </c>
      <c r="P236" s="565">
        <f t="shared" si="338"/>
        <v>0</v>
      </c>
      <c r="Q236" s="565">
        <f t="shared" si="338"/>
        <v>0</v>
      </c>
      <c r="R236" s="566">
        <f t="shared" si="338"/>
        <v>0</v>
      </c>
      <c r="S236" s="564">
        <f t="shared" si="338"/>
        <v>0</v>
      </c>
      <c r="T236" s="565">
        <f t="shared" si="338"/>
        <v>0</v>
      </c>
      <c r="U236" s="566">
        <f t="shared" si="338"/>
        <v>9.9795339302572894E-2</v>
      </c>
      <c r="V236" s="565">
        <f t="shared" si="338"/>
        <v>0.38088368784274806</v>
      </c>
      <c r="W236" s="565">
        <f t="shared" si="338"/>
        <v>0.42586200610932196</v>
      </c>
      <c r="X236" s="565">
        <f t="shared" si="338"/>
        <v>0.50151792135181006</v>
      </c>
      <c r="Y236" s="565">
        <f t="shared" si="338"/>
        <v>0.45150237509465069</v>
      </c>
      <c r="Z236" s="565">
        <f t="shared" si="338"/>
        <v>0.43961105614941609</v>
      </c>
      <c r="AA236" s="564">
        <f t="shared" si="338"/>
        <v>0.50863386336937866</v>
      </c>
      <c r="AB236" s="565">
        <f t="shared" si="338"/>
        <v>0.51767367590103397</v>
      </c>
      <c r="AC236" s="565">
        <f t="shared" si="338"/>
        <v>0.52286463151859364</v>
      </c>
      <c r="AD236" s="565">
        <f t="shared" si="338"/>
        <v>0.52805558713615308</v>
      </c>
      <c r="AE236" s="566">
        <f t="shared" si="338"/>
        <v>0.53324654275371286</v>
      </c>
      <c r="AF236" s="565">
        <f t="shared" si="338"/>
        <v>0.64555971992076588</v>
      </c>
      <c r="AG236" s="565">
        <f>AG234*AG235/10^6</f>
        <v>0.65508671733573187</v>
      </c>
      <c r="AH236" s="565">
        <f>AH234*AH235/10^6</f>
        <v>0.66461371475069808</v>
      </c>
      <c r="AI236" s="565">
        <f>AI234*AI235/10^6</f>
        <v>0.67414071216566418</v>
      </c>
      <c r="AJ236" s="566">
        <f t="shared" si="338"/>
        <v>0.6836677095806305</v>
      </c>
      <c r="AK236" s="548"/>
      <c r="AO236" s="984" t="str">
        <f t="shared" si="263"/>
        <v>Rev</v>
      </c>
      <c r="AP236" s="985" t="str">
        <f t="shared" si="263"/>
        <v>Sewerage</v>
      </c>
      <c r="AQ236" s="986" t="str">
        <f t="shared" si="264"/>
        <v xml:space="preserve">Price cap - Variable </v>
      </c>
      <c r="AR236" s="990">
        <f t="shared" si="265"/>
        <v>2.8166480569591914</v>
      </c>
      <c r="AS236" s="987">
        <f t="shared" si="266"/>
        <v>0.11808937925728036</v>
      </c>
      <c r="AT236" s="987">
        <f t="shared" si="267"/>
        <v>0.17765359237768363</v>
      </c>
      <c r="AU236" s="987">
        <f t="shared" si="268"/>
        <v>-9.9728332982290224E-2</v>
      </c>
      <c r="AV236" s="1353">
        <f t="shared" si="269"/>
        <v>-2.6337223459216075E-2</v>
      </c>
      <c r="AW236" s="1346">
        <f t="shared" si="270"/>
        <v>0.15700880643116255</v>
      </c>
      <c r="AX236" s="987">
        <f t="shared" si="271"/>
        <v>1.7772730411169002E-2</v>
      </c>
      <c r="AY236" s="987">
        <f t="shared" si="272"/>
        <v>1.0027466837143173E-2</v>
      </c>
      <c r="AZ236" s="987">
        <f t="shared" si="273"/>
        <v>9.9279149987310245E-3</v>
      </c>
      <c r="BA236" s="988">
        <f t="shared" si="274"/>
        <v>9.8303204132585975E-3</v>
      </c>
      <c r="BB236" s="1346">
        <f t="shared" si="275"/>
        <v>0.21062148211418674</v>
      </c>
      <c r="BC236" s="987">
        <f t="shared" si="276"/>
        <v>1.4757732121414513E-2</v>
      </c>
      <c r="BD236" s="987">
        <f t="shared" si="277"/>
        <v>1.4543108817276718E-2</v>
      </c>
      <c r="BE236" s="987">
        <f t="shared" si="278"/>
        <v>1.4334638608141992E-2</v>
      </c>
      <c r="BF236" s="989">
        <f t="shared" si="279"/>
        <v>1.4132060626276477E-2</v>
      </c>
      <c r="BG236" s="951"/>
      <c r="BH236" s="984" t="str">
        <f t="shared" si="280"/>
        <v>Rev</v>
      </c>
      <c r="BI236" s="985" t="str">
        <f t="shared" si="281"/>
        <v>Sewerage</v>
      </c>
      <c r="BJ236" s="986" t="str">
        <f t="shared" si="282"/>
        <v xml:space="preserve">Price cap - Variable </v>
      </c>
      <c r="BK236" s="987">
        <f t="shared" ref="BK236:BU236" si="339">IF(V236="","-",IFERROR((V236/U236-1)*(U236/U$13),"-"))</f>
        <v>1.4576335101645175E-4</v>
      </c>
      <c r="BL236" s="987">
        <f t="shared" si="339"/>
        <v>2.4136585191639396E-5</v>
      </c>
      <c r="BM236" s="987">
        <f t="shared" si="339"/>
        <v>4.0888055980919247E-5</v>
      </c>
      <c r="BN236" s="987">
        <f t="shared" si="339"/>
        <v>-2.6875716788780761E-5</v>
      </c>
      <c r="BO236" s="1353">
        <f t="shared" si="339"/>
        <v>-6.3095693909793385E-6</v>
      </c>
      <c r="BP236" s="1346">
        <f t="shared" si="339"/>
        <v>3.6639408368404433E-5</v>
      </c>
      <c r="BQ236" s="987">
        <f t="shared" si="339"/>
        <v>4.7746760354188195E-6</v>
      </c>
      <c r="BR236" s="987">
        <f t="shared" si="339"/>
        <v>2.6394791307336963E-6</v>
      </c>
      <c r="BS236" s="987">
        <f t="shared" si="339"/>
        <v>2.5895467360907973E-6</v>
      </c>
      <c r="BT236" s="988">
        <f t="shared" si="339"/>
        <v>2.5411847730570926E-6</v>
      </c>
      <c r="BU236" s="987">
        <f t="shared" si="339"/>
        <v>5.3945320416752998E-5</v>
      </c>
      <c r="BV236" s="987">
        <f>IF(AG236="","-",IFERROR((AG236/AF236-1)*(AF236/AF$13),"-"))</f>
        <v>4.3706327751834895E-6</v>
      </c>
      <c r="BW236" s="987">
        <f>IF(AH236="","-",IFERROR((AH236/AG236-1)*(AG236/AG$13),"-"))</f>
        <v>4.3102603211630119E-6</v>
      </c>
      <c r="BX236" s="987">
        <f>IF(AI236="","-",IFERROR((AI236/AH236-1)*(AH236/AH$13),"-"))</f>
        <v>4.2480403593021902E-6</v>
      </c>
      <c r="BY236" s="989">
        <f>IF(AJ236="","-",IFERROR((AJ236/AI236-1)*(AI236/AI$13),"-"))</f>
        <v>4.1761437265944309E-6</v>
      </c>
      <c r="BZ236" s="951"/>
      <c r="CA236" s="984" t="str">
        <f t="shared" si="259"/>
        <v>Rev</v>
      </c>
      <c r="CB236" s="985" t="str">
        <f t="shared" si="260"/>
        <v>Sewerage</v>
      </c>
      <c r="CC236" s="985" t="str">
        <f t="shared" si="261"/>
        <v xml:space="preserve">Price cap - Variable </v>
      </c>
      <c r="CD236" s="990">
        <f t="shared" si="287"/>
        <v>1.0657574051298977</v>
      </c>
      <c r="CE236" s="987">
        <f t="shared" si="287"/>
        <v>0.71287392919997528</v>
      </c>
      <c r="CF236" s="987">
        <f t="shared" si="287"/>
        <v>0.45843623217958562</v>
      </c>
      <c r="CG236" s="988">
        <f t="shared" si="284"/>
        <v>0.34521490124437459</v>
      </c>
      <c r="CH236" s="987">
        <f t="shared" si="288"/>
        <v>8.5159901595710297E-2</v>
      </c>
      <c r="CI236" s="987">
        <f t="shared" si="288"/>
        <v>5.9514455544322109E-2</v>
      </c>
      <c r="CJ236" s="987">
        <f t="shared" si="288"/>
        <v>4.6894116116493079E-2</v>
      </c>
      <c r="CK236" s="989">
        <f t="shared" si="285"/>
        <v>3.9374095009467647E-2</v>
      </c>
    </row>
    <row r="237" spans="4:89">
      <c r="D237" s="63">
        <f>D234+1</f>
        <v>57</v>
      </c>
      <c r="E237" s="550" t="s">
        <v>857</v>
      </c>
      <c r="F237" s="595" t="s">
        <v>402</v>
      </c>
      <c r="G237" s="595" t="s">
        <v>92</v>
      </c>
      <c r="H237" s="595" t="s">
        <v>901</v>
      </c>
      <c r="I237" s="589" t="s">
        <v>941</v>
      </c>
      <c r="J237" s="589" t="s">
        <v>879</v>
      </c>
      <c r="K237" s="551"/>
      <c r="L237" s="552"/>
      <c r="M237" s="552"/>
      <c r="N237" s="551"/>
      <c r="O237" s="552"/>
      <c r="P237" s="552"/>
      <c r="Q237" s="552"/>
      <c r="R237" s="1035"/>
      <c r="S237" s="1138"/>
      <c r="T237" s="591"/>
      <c r="U237" s="1035">
        <v>253.81507718696395</v>
      </c>
      <c r="V237" s="591">
        <v>84.706412213740464</v>
      </c>
      <c r="W237" s="591">
        <v>84.703898305084735</v>
      </c>
      <c r="X237" s="591">
        <v>84.706493212669685</v>
      </c>
      <c r="Y237" s="591">
        <v>84.70672489082969</v>
      </c>
      <c r="Z237" s="591">
        <v>84.709199999999996</v>
      </c>
      <c r="AA237" s="1138">
        <v>371</v>
      </c>
      <c r="AB237" s="591">
        <v>371</v>
      </c>
      <c r="AC237" s="591">
        <v>371</v>
      </c>
      <c r="AD237" s="591">
        <v>371</v>
      </c>
      <c r="AE237" s="1035">
        <v>371</v>
      </c>
      <c r="AF237" s="591">
        <v>444.81050598273578</v>
      </c>
      <c r="AG237" s="591">
        <v>444.81050598273578</v>
      </c>
      <c r="AH237" s="591">
        <v>444.81050598273578</v>
      </c>
      <c r="AI237" s="591">
        <v>444.81050598273578</v>
      </c>
      <c r="AJ237" s="592">
        <v>444.81050598273578</v>
      </c>
      <c r="AK237" s="548"/>
      <c r="AM237" s="974"/>
      <c r="AO237" s="975" t="str">
        <f t="shared" si="263"/>
        <v>Price</v>
      </c>
      <c r="AP237" s="976" t="str">
        <f t="shared" si="263"/>
        <v>Sewerage</v>
      </c>
      <c r="AQ237" s="977" t="str">
        <f t="shared" si="264"/>
        <v xml:space="preserve">Price cap - Variable </v>
      </c>
      <c r="AR237" s="1341">
        <f t="shared" si="265"/>
        <v>-0.66626721646112275</v>
      </c>
      <c r="AS237" s="978">
        <f t="shared" si="266"/>
        <v>-2.9677902652625043E-5</v>
      </c>
      <c r="AT237" s="979">
        <f t="shared" si="267"/>
        <v>3.0635043213766977E-5</v>
      </c>
      <c r="AU237" s="979">
        <f t="shared" si="268"/>
        <v>2.7350696649719453E-6</v>
      </c>
      <c r="AV237" s="1352">
        <f t="shared" si="269"/>
        <v>2.9219748178155314E-5</v>
      </c>
      <c r="AW237" s="1345">
        <f t="shared" si="270"/>
        <v>3.3796895732694914</v>
      </c>
      <c r="AX237" s="979">
        <f t="shared" si="271"/>
        <v>0</v>
      </c>
      <c r="AY237" s="979">
        <f t="shared" si="272"/>
        <v>0</v>
      </c>
      <c r="AZ237" s="979">
        <f t="shared" si="273"/>
        <v>0</v>
      </c>
      <c r="BA237" s="980">
        <f t="shared" si="274"/>
        <v>0</v>
      </c>
      <c r="BB237" s="1345">
        <f t="shared" si="275"/>
        <v>0.19895015089686185</v>
      </c>
      <c r="BC237" s="979">
        <f t="shared" si="276"/>
        <v>0</v>
      </c>
      <c r="BD237" s="979">
        <f t="shared" si="277"/>
        <v>0</v>
      </c>
      <c r="BE237" s="979">
        <f t="shared" si="278"/>
        <v>0</v>
      </c>
      <c r="BF237" s="981">
        <f t="shared" si="279"/>
        <v>0</v>
      </c>
      <c r="BG237" s="951"/>
      <c r="BH237" s="975" t="str">
        <f t="shared" si="280"/>
        <v>Price</v>
      </c>
      <c r="BI237" s="976" t="str">
        <f t="shared" si="281"/>
        <v>Sewerage</v>
      </c>
      <c r="BJ237" s="977" t="str">
        <f t="shared" si="282"/>
        <v xml:space="preserve">Price cap - Variable </v>
      </c>
      <c r="BK237" s="978">
        <f t="shared" ref="BK237:BU237" si="340">IF(V237="","-",IFERROR((V237/U237-1)*(U239/U$13),"-"))</f>
        <v>-4.8594918867805089E-5</v>
      </c>
      <c r="BL237" s="978">
        <f t="shared" si="340"/>
        <v>-7.6260079037821772E-10</v>
      </c>
      <c r="BM237" s="979">
        <f t="shared" si="340"/>
        <v>8.1367916011992786E-10</v>
      </c>
      <c r="BN237" s="979">
        <f t="shared" si="340"/>
        <v>6.9414040109366656E-11</v>
      </c>
      <c r="BO237" s="1352">
        <f t="shared" si="340"/>
        <v>7.9889372197155112E-10</v>
      </c>
      <c r="BP237" s="1345">
        <f t="shared" si="340"/>
        <v>1.1736812423436684E-4</v>
      </c>
      <c r="BQ237" s="979">
        <f t="shared" si="340"/>
        <v>0</v>
      </c>
      <c r="BR237" s="979">
        <f t="shared" si="340"/>
        <v>0</v>
      </c>
      <c r="BS237" s="979">
        <f t="shared" si="340"/>
        <v>0</v>
      </c>
      <c r="BT237" s="980">
        <f t="shared" si="340"/>
        <v>0</v>
      </c>
      <c r="BU237" s="979">
        <f t="shared" si="340"/>
        <v>2.8765483031899343E-5</v>
      </c>
      <c r="BV237" s="979">
        <f>IF(AG237="","-",IFERROR((AG237/AF237-1)*(AF239/AF$13),"-"))</f>
        <v>0</v>
      </c>
      <c r="BW237" s="979">
        <f>IF(AH237="","-",IFERROR((AH237/AG237-1)*(AG239/AG$13),"-"))</f>
        <v>0</v>
      </c>
      <c r="BX237" s="979">
        <f>IF(AI237="","-",IFERROR((AI237/AH237-1)*(AH239/AH$13),"-"))</f>
        <v>0</v>
      </c>
      <c r="BY237" s="981">
        <f>IF(AJ237="","-",IFERROR((AJ237/AI237-1)*(AI239/AI$13),"-"))</f>
        <v>0</v>
      </c>
      <c r="BZ237" s="951"/>
      <c r="CA237" s="975" t="str">
        <f t="shared" si="259"/>
        <v>Price</v>
      </c>
      <c r="CB237" s="976" t="str">
        <f t="shared" si="260"/>
        <v>Sewerage</v>
      </c>
      <c r="CC237" s="982" t="str">
        <f t="shared" si="261"/>
        <v xml:space="preserve">Price cap - Variable </v>
      </c>
      <c r="CD237" s="983">
        <f t="shared" si="287"/>
        <v>-0.42231247282824658</v>
      </c>
      <c r="CE237" s="979">
        <f t="shared" si="287"/>
        <v>-0.30636165181248631</v>
      </c>
      <c r="CF237" s="979">
        <f t="shared" si="287"/>
        <v>-0.23993607777730963</v>
      </c>
      <c r="CG237" s="980">
        <f t="shared" si="284"/>
        <v>-0.19706085219885705</v>
      </c>
      <c r="CH237" s="979">
        <f t="shared" si="288"/>
        <v>1.0927707885168627</v>
      </c>
      <c r="CI237" s="979">
        <f t="shared" si="288"/>
        <v>0.63611732375836705</v>
      </c>
      <c r="CJ237" s="979">
        <f t="shared" si="288"/>
        <v>0.44664120932484952</v>
      </c>
      <c r="CK237" s="981">
        <f t="shared" si="285"/>
        <v>0.34365776379176038</v>
      </c>
    </row>
    <row r="238" spans="4:89">
      <c r="E238" s="567" t="s">
        <v>880</v>
      </c>
      <c r="F238" s="554" t="str">
        <f>+F237</f>
        <v>Sewerage</v>
      </c>
      <c r="G238" s="555" t="str">
        <f>+G237</f>
        <v>SEW</v>
      </c>
      <c r="H238" s="555" t="str">
        <f>+H237</f>
        <v>Trade waste - TN/TKN Eastern</v>
      </c>
      <c r="I238" s="556" t="str">
        <f>+I237</f>
        <v xml:space="preserve">Price cap - Variable </v>
      </c>
      <c r="J238" s="590" t="s">
        <v>896</v>
      </c>
      <c r="K238" s="557"/>
      <c r="L238" s="558"/>
      <c r="M238" s="558"/>
      <c r="N238" s="557"/>
      <c r="O238" s="558"/>
      <c r="P238" s="558"/>
      <c r="Q238" s="558"/>
      <c r="R238" s="1036"/>
      <c r="S238" s="1139"/>
      <c r="T238" s="593"/>
      <c r="U238" s="1036">
        <v>554.14</v>
      </c>
      <c r="V238" s="593">
        <v>565.29499999999996</v>
      </c>
      <c r="W238" s="593">
        <v>580.19999999999993</v>
      </c>
      <c r="X238" s="593">
        <v>557.57999999999993</v>
      </c>
      <c r="Y238" s="593">
        <v>608.30999999999995</v>
      </c>
      <c r="Z238" s="593">
        <v>772.30160573673197</v>
      </c>
      <c r="AA238" s="1139">
        <v>778.28097926381588</v>
      </c>
      <c r="AB238" s="593">
        <v>791.04312594196745</v>
      </c>
      <c r="AC238" s="593">
        <v>797.82589909303522</v>
      </c>
      <c r="AD238" s="593">
        <v>804.60867224410276</v>
      </c>
      <c r="AE238" s="1036">
        <v>811.39144539517042</v>
      </c>
      <c r="AF238" s="593">
        <v>818.17421854623808</v>
      </c>
      <c r="AG238" s="593">
        <v>829.97351177198004</v>
      </c>
      <c r="AH238" s="593">
        <v>841.77280499772223</v>
      </c>
      <c r="AI238" s="593">
        <v>853.57209822346454</v>
      </c>
      <c r="AJ238" s="594">
        <v>865.37139144920661</v>
      </c>
      <c r="AK238" s="548"/>
      <c r="AO238" s="961" t="str">
        <f t="shared" si="263"/>
        <v>Qty</v>
      </c>
      <c r="AP238" s="962" t="str">
        <f t="shared" si="263"/>
        <v>Sewerage</v>
      </c>
      <c r="AQ238" s="963" t="str">
        <f t="shared" si="264"/>
        <v xml:space="preserve">Price cap - Variable </v>
      </c>
      <c r="AR238" s="967">
        <f t="shared" si="265"/>
        <v>2.0130291983975201E-2</v>
      </c>
      <c r="AS238" s="964">
        <f t="shared" si="266"/>
        <v>2.6366764255830955E-2</v>
      </c>
      <c r="AT238" s="964">
        <f t="shared" si="267"/>
        <v>-3.8986556359875912E-2</v>
      </c>
      <c r="AU238" s="964">
        <f t="shared" si="268"/>
        <v>9.0982459916065794E-2</v>
      </c>
      <c r="AV238" s="1350">
        <f t="shared" si="269"/>
        <v>0.2695855825758775</v>
      </c>
      <c r="AW238" s="1343">
        <f t="shared" si="270"/>
        <v>7.7422777353672867E-3</v>
      </c>
      <c r="AX238" s="964">
        <f t="shared" si="271"/>
        <v>1.639786531879972E-2</v>
      </c>
      <c r="AY238" s="964">
        <f t="shared" si="272"/>
        <v>8.5744669647320748E-3</v>
      </c>
      <c r="AZ238" s="964">
        <f t="shared" si="273"/>
        <v>8.5015705290818477E-3</v>
      </c>
      <c r="BA238" s="965">
        <f t="shared" si="274"/>
        <v>8.4299031132115676E-3</v>
      </c>
      <c r="BB238" s="1343">
        <f t="shared" si="275"/>
        <v>8.3594338953922875E-3</v>
      </c>
      <c r="BC238" s="964">
        <f t="shared" si="276"/>
        <v>1.4421492340234598E-2</v>
      </c>
      <c r="BD238" s="964">
        <f t="shared" si="277"/>
        <v>1.4216469632327033E-2</v>
      </c>
      <c r="BE238" s="964">
        <f t="shared" si="278"/>
        <v>1.4017194610812078E-2</v>
      </c>
      <c r="BF238" s="966">
        <f t="shared" si="279"/>
        <v>1.382342891748678E-2</v>
      </c>
      <c r="BG238" s="951"/>
      <c r="BH238" s="961" t="str">
        <f t="shared" si="280"/>
        <v>Qty</v>
      </c>
      <c r="BI238" s="962" t="str">
        <f t="shared" si="281"/>
        <v>Sewerage</v>
      </c>
      <c r="BJ238" s="963" t="str">
        <f t="shared" si="282"/>
        <v xml:space="preserve">Price cap - Variable </v>
      </c>
      <c r="BK238" s="964">
        <f t="shared" ref="BK238:BU238" si="341">IF(V238="","-",IFERROR((V238/U238-1)*(U239/U$13),"-"))</f>
        <v>1.4682245825366714E-6</v>
      </c>
      <c r="BL238" s="964">
        <f t="shared" si="341"/>
        <v>6.7751806778820034E-7</v>
      </c>
      <c r="BM238" s="964">
        <f t="shared" si="341"/>
        <v>-1.0354987330527537E-6</v>
      </c>
      <c r="BN238" s="964">
        <f t="shared" si="341"/>
        <v>2.3090673713890265E-6</v>
      </c>
      <c r="BO238" s="1350">
        <f t="shared" si="341"/>
        <v>7.3707079246809704E-6</v>
      </c>
      <c r="BP238" s="1343">
        <f t="shared" si="341"/>
        <v>2.6886984600259972E-7</v>
      </c>
      <c r="BQ238" s="964">
        <f t="shared" si="341"/>
        <v>2.5008182328414971E-6</v>
      </c>
      <c r="BR238" s="964">
        <f t="shared" si="341"/>
        <v>1.279534849534829E-6</v>
      </c>
      <c r="BS238" s="964">
        <f t="shared" si="341"/>
        <v>1.2553292256591323E-6</v>
      </c>
      <c r="BT238" s="965">
        <f t="shared" si="341"/>
        <v>1.2318848966726925E-6</v>
      </c>
      <c r="BU238" s="964">
        <f t="shared" si="341"/>
        <v>1.2086603241575327E-6</v>
      </c>
      <c r="BV238" s="964">
        <f>IF(AG238="","-",IFERROR((AG238/AF238-1)*(AF239/AF$13),"-"))</f>
        <v>2.4077938512751153E-6</v>
      </c>
      <c r="BW238" s="964">
        <f>IF(AH238="","-",IFERROR((AH238/AG238-1)*(AG239/AG$13),"-"))</f>
        <v>2.374534497068505E-6</v>
      </c>
      <c r="BX238" s="964">
        <f>IF(AI238="","-",IFERROR((AI238/AH238-1)*(AH239/AH$13),"-"))</f>
        <v>2.3402573456121939E-6</v>
      </c>
      <c r="BY238" s="966">
        <f>IF(AJ238="","-",IFERROR((AJ238/AI238-1)*(AI239/AI$13),"-"))</f>
        <v>2.3006492890523886E-6</v>
      </c>
      <c r="BZ238" s="951"/>
      <c r="CA238" s="961" t="str">
        <f t="shared" si="259"/>
        <v>Qty</v>
      </c>
      <c r="CB238" s="962" t="str">
        <f t="shared" si="260"/>
        <v>Sewerage</v>
      </c>
      <c r="CC238" s="962" t="str">
        <f t="shared" si="261"/>
        <v xml:space="preserve">Price cap - Variable </v>
      </c>
      <c r="CD238" s="967">
        <f t="shared" si="287"/>
        <v>2.3243776869885879E-2</v>
      </c>
      <c r="CE238" s="964">
        <f t="shared" si="287"/>
        <v>2.0650053241264565E-3</v>
      </c>
      <c r="CF238" s="964">
        <f t="shared" si="287"/>
        <v>2.3590776594650587E-2</v>
      </c>
      <c r="CG238" s="965">
        <f t="shared" si="284"/>
        <v>6.8645072280952402E-2</v>
      </c>
      <c r="CH238" s="964">
        <f t="shared" si="288"/>
        <v>1.2060818272169094E-2</v>
      </c>
      <c r="CI238" s="964">
        <f t="shared" si="288"/>
        <v>1.0897364188080738E-2</v>
      </c>
      <c r="CJ238" s="964">
        <f t="shared" si="288"/>
        <v>1.0297882728173446E-2</v>
      </c>
      <c r="CK238" s="966">
        <f t="shared" si="285"/>
        <v>9.9240101957673854E-3</v>
      </c>
    </row>
    <row r="239" spans="4:89" ht="12.75" thickBot="1">
      <c r="E239" s="568" t="s">
        <v>882</v>
      </c>
      <c r="F239" s="560" t="str">
        <f>+F237</f>
        <v>Sewerage</v>
      </c>
      <c r="G239" s="561" t="str">
        <f>+G237</f>
        <v>SEW</v>
      </c>
      <c r="H239" s="561" t="str">
        <f>+H237</f>
        <v>Trade waste - TN/TKN Eastern</v>
      </c>
      <c r="I239" s="562" t="str">
        <f>+I237</f>
        <v xml:space="preserve">Price cap - Variable </v>
      </c>
      <c r="J239" s="563" t="s">
        <v>883</v>
      </c>
      <c r="K239" s="564">
        <f t="shared" ref="K239:AJ239" si="342">K237*K238/10^6</f>
        <v>0</v>
      </c>
      <c r="L239" s="565">
        <f t="shared" si="342"/>
        <v>0</v>
      </c>
      <c r="M239" s="565">
        <f t="shared" si="342"/>
        <v>0</v>
      </c>
      <c r="N239" s="564">
        <f t="shared" si="342"/>
        <v>0</v>
      </c>
      <c r="O239" s="565">
        <f t="shared" si="342"/>
        <v>0</v>
      </c>
      <c r="P239" s="565">
        <f t="shared" si="342"/>
        <v>0</v>
      </c>
      <c r="Q239" s="565">
        <f t="shared" si="342"/>
        <v>0</v>
      </c>
      <c r="R239" s="566">
        <f t="shared" si="342"/>
        <v>0</v>
      </c>
      <c r="S239" s="564">
        <f t="shared" si="342"/>
        <v>0</v>
      </c>
      <c r="T239" s="565">
        <f t="shared" si="342"/>
        <v>0</v>
      </c>
      <c r="U239" s="566">
        <f t="shared" si="342"/>
        <v>0.14064908687238417</v>
      </c>
      <c r="V239" s="565">
        <f t="shared" si="342"/>
        <v>4.7884111292366409E-2</v>
      </c>
      <c r="W239" s="565">
        <f t="shared" si="342"/>
        <v>4.9145201796610152E-2</v>
      </c>
      <c r="X239" s="565">
        <f t="shared" si="342"/>
        <v>4.7230646485520361E-2</v>
      </c>
      <c r="Y239" s="565">
        <f t="shared" si="342"/>
        <v>5.1527947818340601E-2</v>
      </c>
      <c r="Z239" s="565">
        <f t="shared" si="342"/>
        <v>6.542105118067397E-2</v>
      </c>
      <c r="AA239" s="564">
        <f t="shared" si="342"/>
        <v>0.2887422433068757</v>
      </c>
      <c r="AB239" s="565">
        <f t="shared" si="342"/>
        <v>0.29347699972446989</v>
      </c>
      <c r="AC239" s="565">
        <f t="shared" si="342"/>
        <v>0.29599340856351603</v>
      </c>
      <c r="AD239" s="565">
        <f t="shared" si="342"/>
        <v>0.29850981740256211</v>
      </c>
      <c r="AE239" s="566">
        <f t="shared" si="342"/>
        <v>0.30102622624160819</v>
      </c>
      <c r="AF239" s="565">
        <f t="shared" si="342"/>
        <v>0.36393248813358159</v>
      </c>
      <c r="AG239" s="565">
        <f>AG237*AG238/10^6</f>
        <v>0.36918093772356253</v>
      </c>
      <c r="AH239" s="565">
        <f>AH237*AH238/10^6</f>
        <v>0.37442938731354358</v>
      </c>
      <c r="AI239" s="565">
        <f>AI237*AI238/10^6</f>
        <v>0.37967783690352469</v>
      </c>
      <c r="AJ239" s="566">
        <f t="shared" si="342"/>
        <v>0.38492628649350569</v>
      </c>
      <c r="AK239" s="548"/>
      <c r="AO239" s="984" t="str">
        <f t="shared" si="263"/>
        <v>Rev</v>
      </c>
      <c r="AP239" s="985" t="str">
        <f t="shared" si="263"/>
        <v>Sewerage</v>
      </c>
      <c r="AQ239" s="986" t="str">
        <f t="shared" si="264"/>
        <v xml:space="preserve">Price cap - Variable </v>
      </c>
      <c r="AR239" s="990">
        <f t="shared" si="265"/>
        <v>-0.65954907808386032</v>
      </c>
      <c r="AS239" s="987">
        <f t="shared" si="266"/>
        <v>2.6336303842915409E-2</v>
      </c>
      <c r="AT239" s="987">
        <f t="shared" si="267"/>
        <v>-3.8957115671500842E-2</v>
      </c>
      <c r="AU239" s="987">
        <f t="shared" si="268"/>
        <v>9.0985443829096679E-2</v>
      </c>
      <c r="AV239" s="1353">
        <f t="shared" si="269"/>
        <v>0.26962267954689101</v>
      </c>
      <c r="AW239" s="1346">
        <f t="shared" si="270"/>
        <v>3.4135983463404367</v>
      </c>
      <c r="AX239" s="987">
        <f t="shared" si="271"/>
        <v>1.6397865318799498E-2</v>
      </c>
      <c r="AY239" s="987">
        <f t="shared" si="272"/>
        <v>8.5744669647320748E-3</v>
      </c>
      <c r="AZ239" s="987">
        <f t="shared" si="273"/>
        <v>8.5015705290818477E-3</v>
      </c>
      <c r="BA239" s="988">
        <f t="shared" si="274"/>
        <v>8.4299031132115676E-3</v>
      </c>
      <c r="BB239" s="1346">
        <f t="shared" si="275"/>
        <v>0.20897269542715491</v>
      </c>
      <c r="BC239" s="987">
        <f t="shared" si="276"/>
        <v>1.4421492340234598E-2</v>
      </c>
      <c r="BD239" s="987">
        <f t="shared" si="277"/>
        <v>1.4216469632327033E-2</v>
      </c>
      <c r="BE239" s="987">
        <f t="shared" si="278"/>
        <v>1.4017194610812078E-2</v>
      </c>
      <c r="BF239" s="989">
        <f t="shared" si="279"/>
        <v>1.382342891748678E-2</v>
      </c>
      <c r="BG239" s="951"/>
      <c r="BH239" s="984" t="str">
        <f t="shared" si="280"/>
        <v>Rev</v>
      </c>
      <c r="BI239" s="985" t="str">
        <f t="shared" si="281"/>
        <v>Sewerage</v>
      </c>
      <c r="BJ239" s="986" t="str">
        <f t="shared" si="282"/>
        <v xml:space="preserve">Price cap - Variable </v>
      </c>
      <c r="BK239" s="987">
        <f t="shared" ref="BK239:BU239" si="343">IF(V239="","-",IFERROR((V239/U239-1)*(U239/U$13),"-"))</f>
        <v>-4.8104924191014915E-5</v>
      </c>
      <c r="BL239" s="987">
        <f t="shared" si="343"/>
        <v>6.7673535968255912E-7</v>
      </c>
      <c r="BM239" s="987">
        <f t="shared" si="343"/>
        <v>-1.0347167764410648E-6</v>
      </c>
      <c r="BN239" s="987">
        <f t="shared" si="343"/>
        <v>2.3091431008892513E-6</v>
      </c>
      <c r="BO239" s="1353">
        <f t="shared" si="343"/>
        <v>7.3717221886323962E-6</v>
      </c>
      <c r="BP239" s="1346">
        <f t="shared" si="343"/>
        <v>1.1854569069547103E-4</v>
      </c>
      <c r="BQ239" s="987">
        <f t="shared" si="343"/>
        <v>2.5008182328414632E-6</v>
      </c>
      <c r="BR239" s="987">
        <f t="shared" si="343"/>
        <v>1.279534849534829E-6</v>
      </c>
      <c r="BS239" s="987">
        <f t="shared" si="343"/>
        <v>1.2553292256591323E-6</v>
      </c>
      <c r="BT239" s="988">
        <f t="shared" si="343"/>
        <v>1.2318848966726925E-6</v>
      </c>
      <c r="BU239" s="987">
        <f t="shared" si="343"/>
        <v>3.0214606509931087E-5</v>
      </c>
      <c r="BV239" s="987">
        <f>IF(AG239="","-",IFERROR((AG239/AF239-1)*(AF239/AF$13),"-"))</f>
        <v>2.4077938512751153E-6</v>
      </c>
      <c r="BW239" s="987">
        <f>IF(AH239="","-",IFERROR((AH239/AG239-1)*(AG239/AG$13),"-"))</f>
        <v>2.374534497068505E-6</v>
      </c>
      <c r="BX239" s="987">
        <f>IF(AI239="","-",IFERROR((AI239/AH239-1)*(AH239/AH$13),"-"))</f>
        <v>2.3402573456121939E-6</v>
      </c>
      <c r="BY239" s="989">
        <f>IF(AJ239="","-",IFERROR((AJ239/AI239-1)*(AI239/AI$13),"-"))</f>
        <v>2.3006492890523886E-6</v>
      </c>
      <c r="BZ239" s="951"/>
      <c r="CA239" s="984" t="str">
        <f t="shared" si="259"/>
        <v>Rev</v>
      </c>
      <c r="CB239" s="985" t="str">
        <f t="shared" si="260"/>
        <v>Sewerage</v>
      </c>
      <c r="CC239" s="985" t="str">
        <f t="shared" si="261"/>
        <v xml:space="preserve">Price cap - Variable </v>
      </c>
      <c r="CD239" s="990">
        <f t="shared" si="287"/>
        <v>-0.40888483284615018</v>
      </c>
      <c r="CE239" s="987">
        <f t="shared" si="287"/>
        <v>-0.30492928493046068</v>
      </c>
      <c r="CF239" s="987">
        <f t="shared" si="287"/>
        <v>-0.22200557959050016</v>
      </c>
      <c r="CG239" s="988">
        <f t="shared" si="284"/>
        <v>-0.14194303636084127</v>
      </c>
      <c r="CH239" s="987">
        <f t="shared" si="288"/>
        <v>1.1180113166824683</v>
      </c>
      <c r="CI239" s="987">
        <f t="shared" si="288"/>
        <v>0.65394669008978989</v>
      </c>
      <c r="CJ239" s="987">
        <f t="shared" si="288"/>
        <v>0.46153855084821993</v>
      </c>
      <c r="CK239" s="989">
        <f t="shared" si="285"/>
        <v>0.35699223713925154</v>
      </c>
    </row>
    <row r="240" spans="4:89">
      <c r="D240" s="63">
        <f>D237+1</f>
        <v>58</v>
      </c>
      <c r="E240" s="550" t="s">
        <v>857</v>
      </c>
      <c r="F240" s="595" t="s">
        <v>402</v>
      </c>
      <c r="G240" s="595" t="s">
        <v>103</v>
      </c>
      <c r="H240" s="595" t="s">
        <v>901</v>
      </c>
      <c r="I240" s="589" t="s">
        <v>941</v>
      </c>
      <c r="J240" s="589" t="s">
        <v>879</v>
      </c>
      <c r="K240" s="551"/>
      <c r="L240" s="552"/>
      <c r="M240" s="552"/>
      <c r="N240" s="551"/>
      <c r="O240" s="552"/>
      <c r="P240" s="552"/>
      <c r="Q240" s="552"/>
      <c r="R240" s="1035"/>
      <c r="S240" s="1138"/>
      <c r="T240" s="591"/>
      <c r="U240" s="1035">
        <v>253.81507718696395</v>
      </c>
      <c r="V240" s="591">
        <v>84.706412213740464</v>
      </c>
      <c r="W240" s="591">
        <v>84.703898305084735</v>
      </c>
      <c r="X240" s="591">
        <v>84.706493212669685</v>
      </c>
      <c r="Y240" s="591">
        <v>84.70672489082969</v>
      </c>
      <c r="Z240" s="591">
        <v>84.709199999999996</v>
      </c>
      <c r="AA240" s="1138">
        <v>371</v>
      </c>
      <c r="AB240" s="591">
        <v>371</v>
      </c>
      <c r="AC240" s="591">
        <v>371</v>
      </c>
      <c r="AD240" s="591">
        <v>371</v>
      </c>
      <c r="AE240" s="1035">
        <v>371</v>
      </c>
      <c r="AF240" s="591">
        <v>444.81050598273578</v>
      </c>
      <c r="AG240" s="591">
        <v>444.81050598273578</v>
      </c>
      <c r="AH240" s="591">
        <v>444.81050598273578</v>
      </c>
      <c r="AI240" s="591">
        <v>444.81050598273578</v>
      </c>
      <c r="AJ240" s="592">
        <v>444.81050598273578</v>
      </c>
      <c r="AK240" s="548"/>
      <c r="AM240" s="974"/>
      <c r="AO240" s="975" t="str">
        <f t="shared" si="263"/>
        <v>Price</v>
      </c>
      <c r="AP240" s="976" t="str">
        <f t="shared" si="263"/>
        <v>Sewerage</v>
      </c>
      <c r="AQ240" s="977" t="str">
        <f t="shared" si="264"/>
        <v xml:space="preserve">Price cap - Variable </v>
      </c>
      <c r="AR240" s="1341">
        <f t="shared" si="265"/>
        <v>-0.66626721646112275</v>
      </c>
      <c r="AS240" s="978">
        <f t="shared" si="266"/>
        <v>-2.9677902652625043E-5</v>
      </c>
      <c r="AT240" s="979">
        <f t="shared" si="267"/>
        <v>3.0635043213766977E-5</v>
      </c>
      <c r="AU240" s="979">
        <f t="shared" si="268"/>
        <v>2.7350696649719453E-6</v>
      </c>
      <c r="AV240" s="1352">
        <f t="shared" si="269"/>
        <v>2.9219748178155314E-5</v>
      </c>
      <c r="AW240" s="1345">
        <f t="shared" si="270"/>
        <v>3.3796895732694914</v>
      </c>
      <c r="AX240" s="979">
        <f t="shared" si="271"/>
        <v>0</v>
      </c>
      <c r="AY240" s="979">
        <f t="shared" si="272"/>
        <v>0</v>
      </c>
      <c r="AZ240" s="979">
        <f t="shared" si="273"/>
        <v>0</v>
      </c>
      <c r="BA240" s="980">
        <f t="shared" si="274"/>
        <v>0</v>
      </c>
      <c r="BB240" s="1345">
        <f t="shared" si="275"/>
        <v>0.19895015089686185</v>
      </c>
      <c r="BC240" s="979">
        <f t="shared" si="276"/>
        <v>0</v>
      </c>
      <c r="BD240" s="979">
        <f t="shared" si="277"/>
        <v>0</v>
      </c>
      <c r="BE240" s="979">
        <f t="shared" si="278"/>
        <v>0</v>
      </c>
      <c r="BF240" s="981">
        <f t="shared" si="279"/>
        <v>0</v>
      </c>
      <c r="BG240" s="951"/>
      <c r="BH240" s="975" t="str">
        <f t="shared" si="280"/>
        <v>Price</v>
      </c>
      <c r="BI240" s="976" t="str">
        <f t="shared" si="281"/>
        <v>Sewerage</v>
      </c>
      <c r="BJ240" s="977" t="str">
        <f t="shared" si="282"/>
        <v xml:space="preserve">Price cap - Variable </v>
      </c>
      <c r="BK240" s="978">
        <f t="shared" ref="BK240:BU240" si="344">IF(V240="","-",IFERROR((V240/U240-1)*(U242/U$13),"-"))</f>
        <v>-3.2332888054570581E-6</v>
      </c>
      <c r="BL240" s="978">
        <f t="shared" si="344"/>
        <v>-6.0598497251505035E-11</v>
      </c>
      <c r="BM240" s="979">
        <f t="shared" si="344"/>
        <v>7.5575956461328726E-11</v>
      </c>
      <c r="BN240" s="979">
        <f t="shared" si="344"/>
        <v>5.0823705790467624E-12</v>
      </c>
      <c r="BO240" s="1352">
        <f t="shared" si="344"/>
        <v>5.7450322808511299E-11</v>
      </c>
      <c r="BP240" s="1345">
        <f t="shared" si="344"/>
        <v>4.7055730344934811E-6</v>
      </c>
      <c r="BQ240" s="979">
        <f t="shared" si="344"/>
        <v>0</v>
      </c>
      <c r="BR240" s="979">
        <f t="shared" si="344"/>
        <v>0</v>
      </c>
      <c r="BS240" s="979">
        <f t="shared" si="344"/>
        <v>0</v>
      </c>
      <c r="BT240" s="980">
        <f t="shared" si="344"/>
        <v>0</v>
      </c>
      <c r="BU240" s="979">
        <f t="shared" si="344"/>
        <v>1.179141782260018E-6</v>
      </c>
      <c r="BV240" s="979">
        <f>IF(AG240="","-",IFERROR((AG240/AF240-1)*(AF242/AF$13),"-"))</f>
        <v>0</v>
      </c>
      <c r="BW240" s="979">
        <f>IF(AH240="","-",IFERROR((AH240/AG240-1)*(AG242/AG$13),"-"))</f>
        <v>0</v>
      </c>
      <c r="BX240" s="979">
        <f>IF(AI240="","-",IFERROR((AI240/AH240-1)*(AH242/AH$13),"-"))</f>
        <v>0</v>
      </c>
      <c r="BY240" s="981">
        <f>IF(AJ240="","-",IFERROR((AJ240/AI240-1)*(AI242/AI$13),"-"))</f>
        <v>0</v>
      </c>
      <c r="BZ240" s="951"/>
      <c r="CA240" s="975" t="str">
        <f t="shared" si="259"/>
        <v>Price</v>
      </c>
      <c r="CB240" s="976" t="str">
        <f t="shared" si="260"/>
        <v>Sewerage</v>
      </c>
      <c r="CC240" s="982" t="str">
        <f t="shared" si="261"/>
        <v xml:space="preserve">Price cap - Variable </v>
      </c>
      <c r="CD240" s="983">
        <f t="shared" si="287"/>
        <v>-0.42231247282824658</v>
      </c>
      <c r="CE240" s="979">
        <f t="shared" si="287"/>
        <v>-0.30636165181248631</v>
      </c>
      <c r="CF240" s="979">
        <f t="shared" si="287"/>
        <v>-0.23993607777730963</v>
      </c>
      <c r="CG240" s="980">
        <f t="shared" si="284"/>
        <v>-0.19706085219885705</v>
      </c>
      <c r="CH240" s="979">
        <f t="shared" si="288"/>
        <v>1.0927707885168627</v>
      </c>
      <c r="CI240" s="979">
        <f t="shared" si="288"/>
        <v>0.63611732375836705</v>
      </c>
      <c r="CJ240" s="979">
        <f t="shared" si="288"/>
        <v>0.44664120932484952</v>
      </c>
      <c r="CK240" s="981">
        <f t="shared" si="285"/>
        <v>0.34365776379176038</v>
      </c>
    </row>
    <row r="241" spans="4:89">
      <c r="E241" s="567" t="s">
        <v>880</v>
      </c>
      <c r="F241" s="554" t="str">
        <f>+F240</f>
        <v>Sewerage</v>
      </c>
      <c r="G241" s="555" t="str">
        <f>+G240</f>
        <v>YVW</v>
      </c>
      <c r="H241" s="555" t="str">
        <f>+H240</f>
        <v>Trade waste - TN/TKN Eastern</v>
      </c>
      <c r="I241" s="556" t="str">
        <f>+I240</f>
        <v xml:space="preserve">Price cap - Variable </v>
      </c>
      <c r="J241" s="590" t="s">
        <v>896</v>
      </c>
      <c r="K241" s="557"/>
      <c r="L241" s="558"/>
      <c r="M241" s="558"/>
      <c r="N241" s="557"/>
      <c r="O241" s="558"/>
      <c r="P241" s="558"/>
      <c r="Q241" s="558"/>
      <c r="R241" s="1036"/>
      <c r="S241" s="1139"/>
      <c r="T241" s="593"/>
      <c r="U241" s="1036">
        <v>36.870000000000005</v>
      </c>
      <c r="V241" s="593">
        <v>44.919999999999995</v>
      </c>
      <c r="W241" s="593">
        <v>53.890000000000008</v>
      </c>
      <c r="X241" s="593">
        <v>40.824999999999996</v>
      </c>
      <c r="Y241" s="593">
        <v>43.744999999999997</v>
      </c>
      <c r="Z241" s="593">
        <v>30.963446286267445</v>
      </c>
      <c r="AA241" s="1139">
        <v>31.339472446751159</v>
      </c>
      <c r="AB241" s="593">
        <v>32.101672532681192</v>
      </c>
      <c r="AC241" s="593">
        <v>32.4878464581275</v>
      </c>
      <c r="AD241" s="593">
        <v>32.8740203835738</v>
      </c>
      <c r="AE241" s="1036">
        <v>33.260194309020108</v>
      </c>
      <c r="AF241" s="593">
        <v>33.646368234466415</v>
      </c>
      <c r="AG241" s="593">
        <v>34.133288975679207</v>
      </c>
      <c r="AH241" s="593">
        <v>34.620209716892013</v>
      </c>
      <c r="AI241" s="593">
        <v>35.10713045810482</v>
      </c>
      <c r="AJ241" s="594">
        <v>35.594051199317626</v>
      </c>
      <c r="AK241" s="548"/>
      <c r="AO241" s="961" t="str">
        <f t="shared" si="263"/>
        <v>Qty</v>
      </c>
      <c r="AP241" s="962" t="str">
        <f t="shared" si="263"/>
        <v>Sewerage</v>
      </c>
      <c r="AQ241" s="963" t="str">
        <f t="shared" si="264"/>
        <v xml:space="preserve">Price cap - Variable </v>
      </c>
      <c r="AR241" s="967">
        <f t="shared" si="265"/>
        <v>0.21833468944941647</v>
      </c>
      <c r="AS241" s="964">
        <f t="shared" si="266"/>
        <v>0.19968833481745363</v>
      </c>
      <c r="AT241" s="964">
        <f t="shared" si="267"/>
        <v>-0.24243830024123236</v>
      </c>
      <c r="AU241" s="964">
        <f t="shared" si="268"/>
        <v>7.1524800979791747E-2</v>
      </c>
      <c r="AV241" s="1350">
        <f t="shared" si="269"/>
        <v>-0.29218319153577677</v>
      </c>
      <c r="AW241" s="1343">
        <f t="shared" si="270"/>
        <v>1.21441959983144E-2</v>
      </c>
      <c r="AX241" s="964">
        <f t="shared" si="271"/>
        <v>2.4320769509604379E-2</v>
      </c>
      <c r="AY241" s="964">
        <f t="shared" si="272"/>
        <v>1.2029713562530464E-2</v>
      </c>
      <c r="AZ241" s="964">
        <f t="shared" si="273"/>
        <v>1.1886719728992468E-2</v>
      </c>
      <c r="BA241" s="965">
        <f t="shared" si="274"/>
        <v>1.1747085417008085E-2</v>
      </c>
      <c r="BB241" s="1343">
        <f t="shared" si="275"/>
        <v>1.1610693607450706E-2</v>
      </c>
      <c r="BC241" s="964">
        <f t="shared" si="276"/>
        <v>1.4471717655220928E-2</v>
      </c>
      <c r="BD241" s="964">
        <f t="shared" si="277"/>
        <v>1.4265274628523228E-2</v>
      </c>
      <c r="BE241" s="964">
        <f t="shared" si="278"/>
        <v>1.4064638694988307E-2</v>
      </c>
      <c r="BF241" s="966">
        <f t="shared" si="279"/>
        <v>1.3869568228991991E-2</v>
      </c>
      <c r="BG241" s="951"/>
      <c r="BH241" s="961" t="str">
        <f t="shared" si="280"/>
        <v>Qty</v>
      </c>
      <c r="BI241" s="962" t="str">
        <f t="shared" si="281"/>
        <v>Sewerage</v>
      </c>
      <c r="BJ241" s="963" t="str">
        <f t="shared" si="282"/>
        <v xml:space="preserve">Price cap - Variable </v>
      </c>
      <c r="BK241" s="964">
        <f t="shared" ref="BK241:BU241" si="345">IF(V241="","-",IFERROR((V241/U241-1)*(U242/U$13),"-"))</f>
        <v>1.0595435131707904E-6</v>
      </c>
      <c r="BL241" s="964">
        <f t="shared" si="345"/>
        <v>4.0773814612949918E-7</v>
      </c>
      <c r="BM241" s="964">
        <f t="shared" si="345"/>
        <v>-5.9808978547012557E-7</v>
      </c>
      <c r="BN241" s="964">
        <f t="shared" si="345"/>
        <v>1.3290906218127257E-7</v>
      </c>
      <c r="BO241" s="1350">
        <f t="shared" si="345"/>
        <v>-5.7447513135998526E-7</v>
      </c>
      <c r="BP241" s="1343">
        <f t="shared" si="345"/>
        <v>1.6908476348610254E-8</v>
      </c>
      <c r="BQ241" s="964">
        <f t="shared" si="345"/>
        <v>1.493576214125797E-7</v>
      </c>
      <c r="BR241" s="964">
        <f t="shared" si="345"/>
        <v>7.2849700938682552E-8</v>
      </c>
      <c r="BS241" s="964">
        <f t="shared" si="345"/>
        <v>7.1471565391207689E-8</v>
      </c>
      <c r="BT241" s="965">
        <f t="shared" si="345"/>
        <v>7.0136773801912268E-8</v>
      </c>
      <c r="BU241" s="964">
        <f t="shared" si="345"/>
        <v>6.8814493941559361E-8</v>
      </c>
      <c r="BV241" s="964">
        <f>IF(AG241="","-",IFERROR((AG241/AF241-1)*(AF242/AF$13),"-"))</f>
        <v>9.9362287581149248E-8</v>
      </c>
      <c r="BW241" s="964">
        <f>IF(AH241="","-",IFERROR((AH241/AG241-1)*(AG242/AG$13),"-"))</f>
        <v>9.7989775762628652E-8</v>
      </c>
      <c r="BX241" s="964">
        <f>IF(AI241="","-",IFERROR((AI241/AH241-1)*(AH242/AH$13),"-"))</f>
        <v>9.6575262564722809E-8</v>
      </c>
      <c r="BY241" s="966">
        <f>IF(AJ241="","-",IFERROR((AJ241/AI241-1)*(AI242/AI$13),"-"))</f>
        <v>9.4940759218707536E-8</v>
      </c>
      <c r="BZ241" s="951"/>
      <c r="CA241" s="961" t="str">
        <f t="shared" si="259"/>
        <v>Qty</v>
      </c>
      <c r="CB241" s="962" t="str">
        <f t="shared" si="260"/>
        <v>Sewerage</v>
      </c>
      <c r="CC241" s="962" t="str">
        <f t="shared" si="261"/>
        <v xml:space="preserve">Price cap - Variable </v>
      </c>
      <c r="CD241" s="967">
        <f t="shared" si="287"/>
        <v>0.20897556420132402</v>
      </c>
      <c r="CE241" s="964">
        <f t="shared" si="287"/>
        <v>3.4548888866535066E-2</v>
      </c>
      <c r="CF241" s="964">
        <f t="shared" si="287"/>
        <v>4.3671491968255038E-2</v>
      </c>
      <c r="CG241" s="965">
        <f t="shared" si="284"/>
        <v>-3.4315566092743333E-2</v>
      </c>
      <c r="CH241" s="964">
        <f t="shared" si="288"/>
        <v>1.8214280836638563E-2</v>
      </c>
      <c r="CI241" s="964">
        <f t="shared" si="288"/>
        <v>1.614857041935891E-2</v>
      </c>
      <c r="CJ241" s="964">
        <f t="shared" si="288"/>
        <v>1.5081427880042408E-2</v>
      </c>
      <c r="CK241" s="966">
        <f t="shared" si="285"/>
        <v>1.4413681443908199E-2</v>
      </c>
    </row>
    <row r="242" spans="4:89" ht="12.75" thickBot="1">
      <c r="E242" s="568" t="s">
        <v>882</v>
      </c>
      <c r="F242" s="560" t="str">
        <f>+F240</f>
        <v>Sewerage</v>
      </c>
      <c r="G242" s="561" t="str">
        <f>+G240</f>
        <v>YVW</v>
      </c>
      <c r="H242" s="561" t="str">
        <f>+H240</f>
        <v>Trade waste - TN/TKN Eastern</v>
      </c>
      <c r="I242" s="562" t="str">
        <f>+I240</f>
        <v xml:space="preserve">Price cap - Variable </v>
      </c>
      <c r="J242" s="563" t="s">
        <v>883</v>
      </c>
      <c r="K242" s="564">
        <f t="shared" ref="K242:AJ242" si="346">K240*K241/10^6</f>
        <v>0</v>
      </c>
      <c r="L242" s="565">
        <f t="shared" si="346"/>
        <v>0</v>
      </c>
      <c r="M242" s="565">
        <f t="shared" si="346"/>
        <v>0</v>
      </c>
      <c r="N242" s="564">
        <f t="shared" si="346"/>
        <v>0</v>
      </c>
      <c r="O242" s="565">
        <f t="shared" si="346"/>
        <v>0</v>
      </c>
      <c r="P242" s="565">
        <f t="shared" si="346"/>
        <v>0</v>
      </c>
      <c r="Q242" s="565">
        <f t="shared" si="346"/>
        <v>0</v>
      </c>
      <c r="R242" s="566">
        <f t="shared" si="346"/>
        <v>0</v>
      </c>
      <c r="S242" s="564">
        <f t="shared" si="346"/>
        <v>0</v>
      </c>
      <c r="T242" s="565">
        <f t="shared" si="346"/>
        <v>0</v>
      </c>
      <c r="U242" s="566">
        <f t="shared" si="346"/>
        <v>9.3581618958833625E-3</v>
      </c>
      <c r="V242" s="565">
        <f t="shared" si="346"/>
        <v>3.8050120366412213E-3</v>
      </c>
      <c r="W242" s="565">
        <f t="shared" si="346"/>
        <v>4.5646930796610164E-3</v>
      </c>
      <c r="X242" s="565">
        <f t="shared" si="346"/>
        <v>3.4581425854072396E-3</v>
      </c>
      <c r="Y242" s="565">
        <f t="shared" si="346"/>
        <v>3.7054956803493446E-3</v>
      </c>
      <c r="Z242" s="565">
        <f t="shared" si="346"/>
        <v>2.6228887641526863E-3</v>
      </c>
      <c r="AA242" s="564">
        <f t="shared" si="346"/>
        <v>1.162694427774468E-2</v>
      </c>
      <c r="AB242" s="565">
        <f t="shared" si="346"/>
        <v>1.1909720509624721E-2</v>
      </c>
      <c r="AC242" s="565">
        <f t="shared" si="346"/>
        <v>1.2052991035965303E-2</v>
      </c>
      <c r="AD242" s="565">
        <f t="shared" si="346"/>
        <v>1.2196261562305879E-2</v>
      </c>
      <c r="AE242" s="566">
        <f t="shared" si="346"/>
        <v>1.233953208864646E-2</v>
      </c>
      <c r="AF242" s="565">
        <f t="shared" si="346"/>
        <v>1.4966258078854454E-2</v>
      </c>
      <c r="AG242" s="565">
        <f>AG240*AG241/10^6</f>
        <v>1.5182845540126806E-2</v>
      </c>
      <c r="AH242" s="565">
        <f>AH240*AH241/10^6</f>
        <v>1.5399433001399163E-2</v>
      </c>
      <c r="AI242" s="565">
        <f>AI240*AI241/10^6</f>
        <v>1.5616020462671519E-2</v>
      </c>
      <c r="AJ242" s="566">
        <f t="shared" si="346"/>
        <v>1.5832607923943878E-2</v>
      </c>
      <c r="AK242" s="548"/>
      <c r="AO242" s="984" t="str">
        <f t="shared" si="263"/>
        <v>Rev</v>
      </c>
      <c r="AP242" s="985" t="str">
        <f t="shared" si="263"/>
        <v>Sewerage</v>
      </c>
      <c r="AQ242" s="986" t="str">
        <f t="shared" si="264"/>
        <v xml:space="preserve">Price cap - Variable </v>
      </c>
      <c r="AR242" s="990">
        <f t="shared" si="265"/>
        <v>-0.5934017728080726</v>
      </c>
      <c r="AS242" s="987">
        <f t="shared" si="266"/>
        <v>0.19965273058383914</v>
      </c>
      <c r="AT242" s="987">
        <f t="shared" si="267"/>
        <v>-0.24241509230582303</v>
      </c>
      <c r="AU242" s="987">
        <f t="shared" si="268"/>
        <v>7.1527731674770223E-2</v>
      </c>
      <c r="AV242" s="1353">
        <f t="shared" si="269"/>
        <v>-0.29216250930687715</v>
      </c>
      <c r="AW242" s="1346">
        <f t="shared" si="270"/>
        <v>3.4328773818590506</v>
      </c>
      <c r="AX242" s="987">
        <f t="shared" si="271"/>
        <v>2.4320769509604379E-2</v>
      </c>
      <c r="AY242" s="987">
        <f t="shared" si="272"/>
        <v>1.2029713562530686E-2</v>
      </c>
      <c r="AZ242" s="987">
        <f t="shared" si="273"/>
        <v>1.1886719728992245E-2</v>
      </c>
      <c r="BA242" s="988">
        <f t="shared" si="274"/>
        <v>1.1747085417008307E-2</v>
      </c>
      <c r="BB242" s="1346">
        <f t="shared" si="275"/>
        <v>0.21287079374953199</v>
      </c>
      <c r="BC242" s="987">
        <f t="shared" si="276"/>
        <v>1.447171765522115E-2</v>
      </c>
      <c r="BD242" s="987">
        <f t="shared" si="277"/>
        <v>1.4265274628523006E-2</v>
      </c>
      <c r="BE242" s="987">
        <f t="shared" si="278"/>
        <v>1.4064638694988085E-2</v>
      </c>
      <c r="BF242" s="989">
        <f t="shared" si="279"/>
        <v>1.3869568228992213E-2</v>
      </c>
      <c r="BG242" s="951"/>
      <c r="BH242" s="984" t="str">
        <f t="shared" si="280"/>
        <v>Rev</v>
      </c>
      <c r="BI242" s="985" t="str">
        <f t="shared" si="281"/>
        <v>Sewerage</v>
      </c>
      <c r="BJ242" s="986" t="str">
        <f t="shared" si="282"/>
        <v xml:space="preserve">Price cap - Variable </v>
      </c>
      <c r="BK242" s="987">
        <f t="shared" ref="BK242:BU242" si="347">IF(V242="","-",IFERROR((V242/U242-1)*(U242/U$13),"-"))</f>
        <v>-2.8796843995260087E-6</v>
      </c>
      <c r="BL242" s="987">
        <f t="shared" si="347"/>
        <v>4.0766544681923851E-7</v>
      </c>
      <c r="BM242" s="987">
        <f t="shared" si="347"/>
        <v>-5.9803253202008759E-7</v>
      </c>
      <c r="BN242" s="987">
        <f t="shared" si="347"/>
        <v>1.3291450806739588E-7</v>
      </c>
      <c r="BO242" s="1353">
        <f t="shared" si="347"/>
        <v>-5.7443446705584959E-7</v>
      </c>
      <c r="BP242" s="1346">
        <f t="shared" si="347"/>
        <v>4.7796269120573638E-6</v>
      </c>
      <c r="BQ242" s="987">
        <f t="shared" si="347"/>
        <v>1.493576214125797E-7</v>
      </c>
      <c r="BR242" s="987">
        <f t="shared" si="347"/>
        <v>7.2849700938683888E-8</v>
      </c>
      <c r="BS242" s="987">
        <f t="shared" si="347"/>
        <v>7.1471565391206352E-8</v>
      </c>
      <c r="BT242" s="988">
        <f t="shared" si="347"/>
        <v>7.0136773801913592E-8</v>
      </c>
      <c r="BU242" s="987">
        <f t="shared" si="347"/>
        <v>1.261646930155141E-6</v>
      </c>
      <c r="BV242" s="987">
        <f>IF(AG242="","-",IFERROR((AG242/AF242-1)*(AF242/AF$13),"-"))</f>
        <v>9.936228758115077E-8</v>
      </c>
      <c r="BW242" s="987">
        <f>IF(AH242="","-",IFERROR((AH242/AG242-1)*(AG242/AG$13),"-"))</f>
        <v>9.798977576262713E-8</v>
      </c>
      <c r="BX242" s="987">
        <f>IF(AI242="","-",IFERROR((AI242/AH242-1)*(AH242/AH$13),"-"))</f>
        <v>9.6575262564721287E-8</v>
      </c>
      <c r="BY242" s="989">
        <f>IF(AJ242="","-",IFERROR((AJ242/AI242-1)*(AI242/AI$13),"-"))</f>
        <v>9.4940759218709058E-8</v>
      </c>
      <c r="BZ242" s="951"/>
      <c r="CA242" s="984" t="str">
        <f t="shared" si="259"/>
        <v>Rev</v>
      </c>
      <c r="CB242" s="985" t="str">
        <f t="shared" si="260"/>
        <v>Sewerage</v>
      </c>
      <c r="CC242" s="985" t="str">
        <f t="shared" si="261"/>
        <v xml:space="preserve">Price cap - Variable </v>
      </c>
      <c r="CD242" s="990">
        <f t="shared" si="287"/>
        <v>-0.30158989590546159</v>
      </c>
      <c r="CE242" s="987">
        <f t="shared" si="287"/>
        <v>-0.2823972176073889</v>
      </c>
      <c r="CF242" s="987">
        <f t="shared" si="287"/>
        <v>-0.20674295230260098</v>
      </c>
      <c r="CG242" s="988">
        <f t="shared" si="284"/>
        <v>-0.22461416359367814</v>
      </c>
      <c r="CH242" s="987">
        <f t="shared" si="288"/>
        <v>1.1308891033856225</v>
      </c>
      <c r="CI242" s="987">
        <f t="shared" si="288"/>
        <v>0.662538279575412</v>
      </c>
      <c r="CJ242" s="987">
        <f t="shared" si="288"/>
        <v>0.46845862439157959</v>
      </c>
      <c r="CK242" s="989">
        <f t="shared" si="285"/>
        <v>0.36302481876868886</v>
      </c>
    </row>
    <row r="243" spans="4:89">
      <c r="D243" s="63">
        <f>D240+1</f>
        <v>59</v>
      </c>
      <c r="E243" s="550" t="s">
        <v>857</v>
      </c>
      <c r="F243" s="595" t="s">
        <v>402</v>
      </c>
      <c r="G243" s="595" t="s">
        <v>877</v>
      </c>
      <c r="H243" s="595" t="s">
        <v>902</v>
      </c>
      <c r="I243" s="589" t="s">
        <v>941</v>
      </c>
      <c r="J243" s="589" t="s">
        <v>879</v>
      </c>
      <c r="K243" s="551"/>
      <c r="L243" s="552"/>
      <c r="M243" s="552"/>
      <c r="N243" s="551"/>
      <c r="O243" s="552"/>
      <c r="P243" s="552"/>
      <c r="Q243" s="552"/>
      <c r="R243" s="1035"/>
      <c r="S243" s="1138"/>
      <c r="T243" s="591"/>
      <c r="U243" s="1035">
        <v>38.565797598627782</v>
      </c>
      <c r="V243" s="591">
        <v>38.558244274809162</v>
      </c>
      <c r="W243" s="591">
        <v>38.564745762711858</v>
      </c>
      <c r="X243" s="591">
        <v>38.55986425339367</v>
      </c>
      <c r="Y243" s="591">
        <v>38.564497816593878</v>
      </c>
      <c r="Z243" s="591">
        <v>38.5655</v>
      </c>
      <c r="AA243" s="1138">
        <v>38.56</v>
      </c>
      <c r="AB243" s="591">
        <v>38.56</v>
      </c>
      <c r="AC243" s="591">
        <v>38.56</v>
      </c>
      <c r="AD243" s="591">
        <v>38.56</v>
      </c>
      <c r="AE243" s="1035">
        <v>38.56</v>
      </c>
      <c r="AF243" s="591">
        <v>46.231517818582994</v>
      </c>
      <c r="AG243" s="591">
        <v>46.231517818582994</v>
      </c>
      <c r="AH243" s="591">
        <v>46.231517818582994</v>
      </c>
      <c r="AI243" s="591">
        <v>46.231517818582994</v>
      </c>
      <c r="AJ243" s="592">
        <v>46.231517818582994</v>
      </c>
      <c r="AK243" s="548"/>
      <c r="AM243" s="974"/>
      <c r="AO243" s="975" t="str">
        <f t="shared" si="263"/>
        <v>Price</v>
      </c>
      <c r="AP243" s="976" t="str">
        <f t="shared" si="263"/>
        <v>Sewerage</v>
      </c>
      <c r="AQ243" s="977" t="str">
        <f t="shared" si="264"/>
        <v xml:space="preserve">Price cap - Variable </v>
      </c>
      <c r="AR243" s="1341">
        <f t="shared" si="265"/>
        <v>-1.9585550640566218E-4</v>
      </c>
      <c r="AS243" s="978">
        <f t="shared" si="266"/>
        <v>1.6861472883356043E-4</v>
      </c>
      <c r="AT243" s="979">
        <f t="shared" si="267"/>
        <v>-1.2657957991546454E-4</v>
      </c>
      <c r="AU243" s="979">
        <f t="shared" si="268"/>
        <v>1.2016544378257166E-4</v>
      </c>
      <c r="AV243" s="1352">
        <f t="shared" si="269"/>
        <v>2.5987202293853429E-5</v>
      </c>
      <c r="AW243" s="1345">
        <f t="shared" si="270"/>
        <v>-1.4261451297137295E-4</v>
      </c>
      <c r="AX243" s="979">
        <f t="shared" si="271"/>
        <v>0</v>
      </c>
      <c r="AY243" s="979">
        <f t="shared" si="272"/>
        <v>0</v>
      </c>
      <c r="AZ243" s="979">
        <f t="shared" si="273"/>
        <v>0</v>
      </c>
      <c r="BA243" s="980">
        <f t="shared" si="274"/>
        <v>0</v>
      </c>
      <c r="BB243" s="1345">
        <f t="shared" si="275"/>
        <v>0.19895015089686185</v>
      </c>
      <c r="BC243" s="979">
        <f t="shared" si="276"/>
        <v>0</v>
      </c>
      <c r="BD243" s="979">
        <f t="shared" si="277"/>
        <v>0</v>
      </c>
      <c r="BE243" s="979">
        <f t="shared" si="278"/>
        <v>0</v>
      </c>
      <c r="BF243" s="981">
        <f t="shared" si="279"/>
        <v>0</v>
      </c>
      <c r="BG243" s="951"/>
      <c r="BH243" s="975" t="str">
        <f t="shared" si="280"/>
        <v>Price</v>
      </c>
      <c r="BI243" s="976" t="str">
        <f t="shared" si="281"/>
        <v>Sewerage</v>
      </c>
      <c r="BJ243" s="977" t="str">
        <f t="shared" si="282"/>
        <v xml:space="preserve">Price cap - Variable </v>
      </c>
      <c r="BK243" s="978">
        <f t="shared" ref="BK243:BU243" si="348">IF(V243="","-",IFERROR((V243/U243-1)*(U245/U$13),"-"))</f>
        <v>-1.1979428885468759E-7</v>
      </c>
      <c r="BL243" s="978">
        <f t="shared" si="348"/>
        <v>8.9672261193752279E-8</v>
      </c>
      <c r="BM243" s="979">
        <f t="shared" si="348"/>
        <v>-6.9968912505130806E-8</v>
      </c>
      <c r="BN243" s="979">
        <f t="shared" si="348"/>
        <v>5.722675821901479E-8</v>
      </c>
      <c r="BO243" s="1352">
        <f t="shared" si="348"/>
        <v>1.2222102311613884E-8</v>
      </c>
      <c r="BP243" s="1345">
        <f t="shared" si="348"/>
        <v>-6.8846419724776226E-8</v>
      </c>
      <c r="BQ243" s="979">
        <f t="shared" si="348"/>
        <v>0</v>
      </c>
      <c r="BR243" s="979">
        <f t="shared" si="348"/>
        <v>0</v>
      </c>
      <c r="BS243" s="979">
        <f t="shared" si="348"/>
        <v>0</v>
      </c>
      <c r="BT243" s="980">
        <f t="shared" si="348"/>
        <v>0</v>
      </c>
      <c r="BU243" s="979">
        <f t="shared" si="348"/>
        <v>9.524934310265441E-5</v>
      </c>
      <c r="BV243" s="979">
        <f>IF(AG243="","-",IFERROR((AG243/AF243-1)*(AF245/AF$13),"-"))</f>
        <v>0</v>
      </c>
      <c r="BW243" s="979">
        <f>IF(AH243="","-",IFERROR((AH243/AG243-1)*(AG245/AG$13),"-"))</f>
        <v>0</v>
      </c>
      <c r="BX243" s="979">
        <f>IF(AI243="","-",IFERROR((AI243/AH243-1)*(AH245/AH$13),"-"))</f>
        <v>0</v>
      </c>
      <c r="BY243" s="981">
        <f>IF(AJ243="","-",IFERROR((AJ243/AI243-1)*(AI245/AI$13),"-"))</f>
        <v>0</v>
      </c>
      <c r="BZ243" s="951"/>
      <c r="CA243" s="975" t="str">
        <f t="shared" si="259"/>
        <v>Price</v>
      </c>
      <c r="CB243" s="976" t="str">
        <f t="shared" si="260"/>
        <v>Sewerage</v>
      </c>
      <c r="CC243" s="982" t="str">
        <f t="shared" si="261"/>
        <v xml:space="preserve">Price cap - Variable </v>
      </c>
      <c r="CD243" s="983">
        <f t="shared" si="287"/>
        <v>-1.363699383138961E-5</v>
      </c>
      <c r="CE243" s="979">
        <f t="shared" si="287"/>
        <v>-5.1285939970724392E-5</v>
      </c>
      <c r="CF243" s="979">
        <f t="shared" si="287"/>
        <v>-8.4258497334843696E-6</v>
      </c>
      <c r="CG243" s="980">
        <f t="shared" si="284"/>
        <v>-1.5433340675441443E-6</v>
      </c>
      <c r="CH243" s="979">
        <f t="shared" si="288"/>
        <v>-7.1309799029362075E-5</v>
      </c>
      <c r="CI243" s="979">
        <f t="shared" si="288"/>
        <v>-4.7540431047266019E-5</v>
      </c>
      <c r="CJ243" s="979">
        <f t="shared" si="288"/>
        <v>-3.5655535173262365E-5</v>
      </c>
      <c r="CK243" s="981">
        <f t="shared" si="285"/>
        <v>-2.8524529845475044E-5</v>
      </c>
    </row>
    <row r="244" spans="4:89">
      <c r="E244" s="567" t="s">
        <v>880</v>
      </c>
      <c r="F244" s="554" t="str">
        <f>+F243</f>
        <v>Sewerage</v>
      </c>
      <c r="G244" s="555" t="str">
        <f>+G243</f>
        <v>GWW</v>
      </c>
      <c r="H244" s="555" t="str">
        <f>+H243</f>
        <v>Trade waste - TDS/inorganic TDS Western</v>
      </c>
      <c r="I244" s="556" t="str">
        <f>+I243</f>
        <v xml:space="preserve">Price cap - Variable </v>
      </c>
      <c r="J244" s="590" t="s">
        <v>896</v>
      </c>
      <c r="K244" s="557"/>
      <c r="L244" s="558"/>
      <c r="M244" s="558"/>
      <c r="N244" s="557"/>
      <c r="O244" s="558"/>
      <c r="P244" s="558"/>
      <c r="Q244" s="558"/>
      <c r="R244" s="1036"/>
      <c r="S244" s="1139"/>
      <c r="T244" s="593"/>
      <c r="U244" s="1036">
        <v>30583.875</v>
      </c>
      <c r="V244" s="593">
        <v>25702.345000000001</v>
      </c>
      <c r="W244" s="593">
        <v>26521.460000000003</v>
      </c>
      <c r="X244" s="593">
        <v>22984.18</v>
      </c>
      <c r="Y244" s="593">
        <v>22984.18</v>
      </c>
      <c r="Z244" s="593">
        <v>23581.033587311082</v>
      </c>
      <c r="AA244" s="1139">
        <v>24034.72979035163</v>
      </c>
      <c r="AB244" s="593">
        <v>24828.776038287608</v>
      </c>
      <c r="AC244" s="593">
        <v>25169.126083183059</v>
      </c>
      <c r="AD244" s="593">
        <v>25509.476128078488</v>
      </c>
      <c r="AE244" s="1036">
        <v>25849.826172973939</v>
      </c>
      <c r="AF244" s="593">
        <v>26190.176217869375</v>
      </c>
      <c r="AG244" s="593">
        <v>26578.136865269418</v>
      </c>
      <c r="AH244" s="593">
        <v>26966.097512669439</v>
      </c>
      <c r="AI244" s="593">
        <v>27354.05816006946</v>
      </c>
      <c r="AJ244" s="594">
        <v>27742.0188074695</v>
      </c>
      <c r="AK244" s="548"/>
      <c r="AO244" s="961" t="str">
        <f t="shared" si="263"/>
        <v>Qty</v>
      </c>
      <c r="AP244" s="962" t="str">
        <f t="shared" si="263"/>
        <v>Sewerage</v>
      </c>
      <c r="AQ244" s="963" t="str">
        <f t="shared" si="264"/>
        <v xml:space="preserve">Price cap - Variable </v>
      </c>
      <c r="AR244" s="967">
        <f t="shared" si="265"/>
        <v>-0.1596112330435564</v>
      </c>
      <c r="AS244" s="964">
        <f t="shared" si="266"/>
        <v>3.1869271072347827E-2</v>
      </c>
      <c r="AT244" s="964">
        <f t="shared" si="267"/>
        <v>-0.13337425616840104</v>
      </c>
      <c r="AU244" s="964">
        <f t="shared" si="268"/>
        <v>0</v>
      </c>
      <c r="AV244" s="1350">
        <f t="shared" si="269"/>
        <v>2.5968017449875536E-2</v>
      </c>
      <c r="AW244" s="1343">
        <f t="shared" si="270"/>
        <v>1.9239877733123745E-2</v>
      </c>
      <c r="AX244" s="964">
        <f t="shared" si="271"/>
        <v>3.303745267212177E-2</v>
      </c>
      <c r="AY244" s="964">
        <f t="shared" si="272"/>
        <v>1.3707886541431069E-2</v>
      </c>
      <c r="AZ244" s="964">
        <f t="shared" si="273"/>
        <v>1.3522521352969719E-2</v>
      </c>
      <c r="BA244" s="965">
        <f t="shared" si="274"/>
        <v>1.334210248719403E-2</v>
      </c>
      <c r="BB244" s="1343">
        <f t="shared" si="275"/>
        <v>1.3166434567798868E-2</v>
      </c>
      <c r="BC244" s="964">
        <f t="shared" si="276"/>
        <v>1.4813212563852041E-2</v>
      </c>
      <c r="BD244" s="964">
        <f t="shared" si="277"/>
        <v>1.4596984332147844E-2</v>
      </c>
      <c r="BE244" s="964">
        <f t="shared" si="278"/>
        <v>1.4386977842001381E-2</v>
      </c>
      <c r="BF244" s="966">
        <f t="shared" si="279"/>
        <v>1.4182928365867431E-2</v>
      </c>
      <c r="BG244" s="951"/>
      <c r="BH244" s="961" t="str">
        <f t="shared" si="280"/>
        <v>Qty</v>
      </c>
      <c r="BI244" s="962" t="str">
        <f t="shared" si="281"/>
        <v>Sewerage</v>
      </c>
      <c r="BJ244" s="963" t="str">
        <f t="shared" si="282"/>
        <v xml:space="preserve">Price cap - Variable </v>
      </c>
      <c r="BK244" s="964">
        <f t="shared" ref="BK244:BU244" si="349">IF(V244="","-",IFERROR((V244/U244-1)*(U245/U$13),"-"))</f>
        <v>-9.762561444695679E-5</v>
      </c>
      <c r="BL244" s="964">
        <f t="shared" si="349"/>
        <v>1.6948635622899774E-5</v>
      </c>
      <c r="BM244" s="964">
        <f t="shared" si="349"/>
        <v>-7.3724779830333718E-5</v>
      </c>
      <c r="BN244" s="964">
        <f t="shared" si="349"/>
        <v>0</v>
      </c>
      <c r="BO244" s="1350">
        <f t="shared" si="349"/>
        <v>1.2213079442461645E-5</v>
      </c>
      <c r="BP244" s="1343">
        <f t="shared" si="349"/>
        <v>9.2879516275731353E-6</v>
      </c>
      <c r="BQ244" s="964">
        <f t="shared" si="349"/>
        <v>1.6172133167401663E-5</v>
      </c>
      <c r="BR244" s="964">
        <f t="shared" si="349"/>
        <v>6.6731940566249176E-6</v>
      </c>
      <c r="BS244" s="964">
        <f t="shared" si="349"/>
        <v>6.5469537862304709E-6</v>
      </c>
      <c r="BT244" s="965">
        <f t="shared" si="349"/>
        <v>6.4246839184654725E-6</v>
      </c>
      <c r="BU244" s="964">
        <f t="shared" si="349"/>
        <v>6.3035601527995885E-6</v>
      </c>
      <c r="BV244" s="964">
        <f>IF(AG244="","-",IFERROR((AG244/AF244-1)*(AF245/AF$13),"-"))</f>
        <v>8.2283754183792466E-6</v>
      </c>
      <c r="BW244" s="964">
        <f>IF(AH244="","-",IFERROR((AH244/AG244-1)*(AG245/AG$13),"-"))</f>
        <v>8.1147151677554848E-6</v>
      </c>
      <c r="BX244" s="964">
        <f>IF(AI244="","-",IFERROR((AI244/AH244-1)*(AH245/AH$13),"-"))</f>
        <v>7.9975767049648938E-6</v>
      </c>
      <c r="BY244" s="966">
        <f>IF(AJ244="","-",IFERROR((AJ244/AI244-1)*(AI245/AI$13),"-"))</f>
        <v>7.8622204497800824E-6</v>
      </c>
      <c r="BZ244" s="951"/>
      <c r="CA244" s="961" t="str">
        <f t="shared" si="259"/>
        <v>Qty</v>
      </c>
      <c r="CB244" s="962" t="str">
        <f t="shared" si="260"/>
        <v>Sewerage</v>
      </c>
      <c r="CC244" s="962" t="str">
        <f t="shared" si="261"/>
        <v xml:space="preserve">Price cap - Variable </v>
      </c>
      <c r="CD244" s="967">
        <f t="shared" si="287"/>
        <v>-6.8779647786446518E-2</v>
      </c>
      <c r="CE244" s="964">
        <f t="shared" si="287"/>
        <v>-9.0829153057525591E-2</v>
      </c>
      <c r="CF244" s="964">
        <f t="shared" si="287"/>
        <v>-6.8926156966569674E-2</v>
      </c>
      <c r="CG244" s="965">
        <f t="shared" si="284"/>
        <v>-5.0676863652165838E-2</v>
      </c>
      <c r="CH244" s="964">
        <f t="shared" si="288"/>
        <v>2.6115474474130984E-2</v>
      </c>
      <c r="CI244" s="964">
        <f t="shared" si="288"/>
        <v>2.196282892097523E-2</v>
      </c>
      <c r="CJ244" s="964">
        <f t="shared" si="288"/>
        <v>1.9846185257598181E-2</v>
      </c>
      <c r="CK244" s="966">
        <f t="shared" si="285"/>
        <v>1.8542037558676894E-2</v>
      </c>
    </row>
    <row r="245" spans="4:89" ht="12.75" thickBot="1">
      <c r="E245" s="568" t="s">
        <v>882</v>
      </c>
      <c r="F245" s="560" t="str">
        <f>+F243</f>
        <v>Sewerage</v>
      </c>
      <c r="G245" s="561" t="str">
        <f>+G243</f>
        <v>GWW</v>
      </c>
      <c r="H245" s="561" t="str">
        <f>+H243</f>
        <v>Trade waste - TDS/inorganic TDS Western</v>
      </c>
      <c r="I245" s="562" t="str">
        <f>+I243</f>
        <v xml:space="preserve">Price cap - Variable </v>
      </c>
      <c r="J245" s="563" t="s">
        <v>883</v>
      </c>
      <c r="K245" s="564">
        <f t="shared" ref="K245:AJ245" si="350">K243*K244/10^6</f>
        <v>0</v>
      </c>
      <c r="L245" s="565">
        <f t="shared" si="350"/>
        <v>0</v>
      </c>
      <c r="M245" s="565">
        <f t="shared" si="350"/>
        <v>0</v>
      </c>
      <c r="N245" s="564">
        <f t="shared" si="350"/>
        <v>0</v>
      </c>
      <c r="O245" s="565">
        <f t="shared" si="350"/>
        <v>0</v>
      </c>
      <c r="P245" s="565">
        <f t="shared" si="350"/>
        <v>0</v>
      </c>
      <c r="Q245" s="565">
        <f t="shared" si="350"/>
        <v>0</v>
      </c>
      <c r="R245" s="566">
        <f t="shared" si="350"/>
        <v>0</v>
      </c>
      <c r="S245" s="564">
        <f t="shared" si="350"/>
        <v>0</v>
      </c>
      <c r="T245" s="565">
        <f t="shared" si="350"/>
        <v>0</v>
      </c>
      <c r="U245" s="566">
        <f t="shared" si="350"/>
        <v>1.1794915330317324</v>
      </c>
      <c r="V245" s="565">
        <f t="shared" si="350"/>
        <v>0.99103729694541998</v>
      </c>
      <c r="W245" s="565">
        <f t="shared" si="350"/>
        <v>1.0227933621559322</v>
      </c>
      <c r="X245" s="565">
        <f t="shared" si="350"/>
        <v>0.88626686077556571</v>
      </c>
      <c r="Y245" s="565">
        <f t="shared" si="350"/>
        <v>0.88637335942620077</v>
      </c>
      <c r="Z245" s="565">
        <f t="shared" si="350"/>
        <v>0.9094143508114455</v>
      </c>
      <c r="AA245" s="564">
        <f t="shared" si="350"/>
        <v>0.92677918071595888</v>
      </c>
      <c r="AB245" s="565">
        <f t="shared" si="350"/>
        <v>0.9573976040363702</v>
      </c>
      <c r="AC245" s="565">
        <f t="shared" si="350"/>
        <v>0.97052150176753882</v>
      </c>
      <c r="AD245" s="565">
        <f t="shared" si="350"/>
        <v>0.98364539949870655</v>
      </c>
      <c r="AE245" s="566">
        <f t="shared" si="350"/>
        <v>0.99676929722987506</v>
      </c>
      <c r="AF245" s="565">
        <f t="shared" si="350"/>
        <v>1.2108115984882566</v>
      </c>
      <c r="AG245" s="565">
        <f>AG243*AG244/10^6</f>
        <v>1.2287476080714406</v>
      </c>
      <c r="AH245" s="565">
        <f>AH243*AH244/10^6</f>
        <v>1.2466836176546237</v>
      </c>
      <c r="AI245" s="565">
        <f>AI243*AI244/10^6</f>
        <v>1.2646196272378067</v>
      </c>
      <c r="AJ245" s="566">
        <f t="shared" si="350"/>
        <v>1.2825556368209905</v>
      </c>
      <c r="AK245" s="548"/>
      <c r="AO245" s="984" t="str">
        <f t="shared" si="263"/>
        <v>Rev</v>
      </c>
      <c r="AP245" s="985" t="str">
        <f t="shared" si="263"/>
        <v>Sewerage</v>
      </c>
      <c r="AQ245" s="986" t="str">
        <f t="shared" si="264"/>
        <v xml:space="preserve">Price cap - Variable </v>
      </c>
      <c r="AR245" s="990">
        <f t="shared" si="265"/>
        <v>-0.15977582781108635</v>
      </c>
      <c r="AS245" s="987">
        <f t="shared" si="266"/>
        <v>3.2043259429681337E-2</v>
      </c>
      <c r="AT245" s="987">
        <f t="shared" si="267"/>
        <v>-0.13348395329099916</v>
      </c>
      <c r="AU245" s="987">
        <f t="shared" si="268"/>
        <v>1.201654437827937E-4</v>
      </c>
      <c r="AV245" s="1353">
        <f t="shared" si="269"/>
        <v>2.5994679488291927E-2</v>
      </c>
      <c r="AW245" s="1346">
        <f t="shared" si="270"/>
        <v>1.9094519334359683E-2</v>
      </c>
      <c r="AX245" s="987">
        <f t="shared" si="271"/>
        <v>3.303745267212177E-2</v>
      </c>
      <c r="AY245" s="987">
        <f t="shared" si="272"/>
        <v>1.3707886541431291E-2</v>
      </c>
      <c r="AZ245" s="987">
        <f t="shared" si="273"/>
        <v>1.3522521352969719E-2</v>
      </c>
      <c r="BA245" s="988">
        <f t="shared" si="274"/>
        <v>1.3342102487193808E-2</v>
      </c>
      <c r="BB245" s="1346">
        <f t="shared" si="275"/>
        <v>0.21473604960869808</v>
      </c>
      <c r="BC245" s="987">
        <f t="shared" si="276"/>
        <v>1.4813212563852041E-2</v>
      </c>
      <c r="BD245" s="987">
        <f t="shared" si="277"/>
        <v>1.4596984332147844E-2</v>
      </c>
      <c r="BE245" s="987">
        <f t="shared" si="278"/>
        <v>1.4386977842001381E-2</v>
      </c>
      <c r="BF245" s="989">
        <f t="shared" si="279"/>
        <v>1.4182928365867431E-2</v>
      </c>
      <c r="BG245" s="951"/>
      <c r="BH245" s="984" t="str">
        <f t="shared" si="280"/>
        <v>Rev</v>
      </c>
      <c r="BI245" s="985" t="str">
        <f t="shared" si="281"/>
        <v>Sewerage</v>
      </c>
      <c r="BJ245" s="986" t="str">
        <f t="shared" si="282"/>
        <v xml:space="preserve">Price cap - Variable </v>
      </c>
      <c r="BK245" s="987">
        <f t="shared" ref="BK245:BU245" si="351">IF(V245="","-",IFERROR((V245/U245-1)*(U245/U$13),"-"))</f>
        <v>-9.7726288221655844E-5</v>
      </c>
      <c r="BL245" s="987">
        <f t="shared" si="351"/>
        <v>1.704116567369316E-5</v>
      </c>
      <c r="BM245" s="987">
        <f t="shared" si="351"/>
        <v>-7.3785416691178564E-5</v>
      </c>
      <c r="BN245" s="987">
        <f t="shared" si="351"/>
        <v>5.7226758219120537E-8</v>
      </c>
      <c r="BO245" s="1353">
        <f t="shared" si="351"/>
        <v>1.2225618928539314E-5</v>
      </c>
      <c r="BP245" s="1346">
        <f t="shared" si="351"/>
        <v>9.217780611150418E-6</v>
      </c>
      <c r="BQ245" s="987">
        <f t="shared" si="351"/>
        <v>1.6172133167401663E-5</v>
      </c>
      <c r="BR245" s="987">
        <f t="shared" si="351"/>
        <v>6.6731940566250251E-6</v>
      </c>
      <c r="BS245" s="987">
        <f t="shared" si="351"/>
        <v>6.5469537862304709E-6</v>
      </c>
      <c r="BT245" s="988">
        <f t="shared" si="351"/>
        <v>6.424683918465365E-6</v>
      </c>
      <c r="BU245" s="987">
        <f t="shared" si="351"/>
        <v>1.0280699749904097E-4</v>
      </c>
      <c r="BV245" s="987">
        <f>IF(AG245="","-",IFERROR((AG245/AF245-1)*(AF245/AF$13),"-"))</f>
        <v>8.2283754183792466E-6</v>
      </c>
      <c r="BW245" s="987">
        <f>IF(AH245="","-",IFERROR((AH245/AG245-1)*(AG245/AG$13),"-"))</f>
        <v>8.1147151677554848E-6</v>
      </c>
      <c r="BX245" s="987">
        <f>IF(AI245="","-",IFERROR((AI245/AH245-1)*(AH245/AH$13),"-"))</f>
        <v>7.9975767049648938E-6</v>
      </c>
      <c r="BY245" s="989">
        <f>IF(AJ245="","-",IFERROR((AJ245/AI245-1)*(AI245/AI$13),"-"))</f>
        <v>7.8622204497800824E-6</v>
      </c>
      <c r="BZ245" s="951"/>
      <c r="CA245" s="984" t="str">
        <f t="shared" si="259"/>
        <v>Rev</v>
      </c>
      <c r="CB245" s="985" t="str">
        <f t="shared" si="260"/>
        <v>Sewerage</v>
      </c>
      <c r="CC245" s="985" t="str">
        <f t="shared" si="261"/>
        <v xml:space="preserve">Price cap - Variable </v>
      </c>
      <c r="CD245" s="990">
        <f t="shared" si="287"/>
        <v>-6.8792346832645346E-2</v>
      </c>
      <c r="CE245" s="987">
        <f t="shared" si="287"/>
        <v>-9.0875780739005041E-2</v>
      </c>
      <c r="CF245" s="987">
        <f t="shared" si="287"/>
        <v>-6.8934002054861776E-2</v>
      </c>
      <c r="CG245" s="988">
        <f t="shared" si="284"/>
        <v>-5.0678328774903192E-2</v>
      </c>
      <c r="CH245" s="987">
        <f t="shared" si="288"/>
        <v>2.6042302385865357E-2</v>
      </c>
      <c r="CI245" s="987">
        <f t="shared" si="288"/>
        <v>2.1914244367574165E-2</v>
      </c>
      <c r="CJ245" s="987">
        <f t="shared" si="288"/>
        <v>1.9809822096068297E-2</v>
      </c>
      <c r="CK245" s="989">
        <f t="shared" si="285"/>
        <v>1.8512984125927723E-2</v>
      </c>
    </row>
    <row r="246" spans="4:89">
      <c r="D246" s="63">
        <f>D243+1</f>
        <v>60</v>
      </c>
      <c r="E246" s="550" t="s">
        <v>857</v>
      </c>
      <c r="F246" s="595" t="s">
        <v>402</v>
      </c>
      <c r="G246" s="595" t="s">
        <v>92</v>
      </c>
      <c r="H246" s="595" t="s">
        <v>902</v>
      </c>
      <c r="I246" s="589" t="s">
        <v>941</v>
      </c>
      <c r="J246" s="589" t="s">
        <v>879</v>
      </c>
      <c r="K246" s="551"/>
      <c r="L246" s="552"/>
      <c r="M246" s="552"/>
      <c r="N246" s="551"/>
      <c r="O246" s="552"/>
      <c r="P246" s="552"/>
      <c r="Q246" s="552"/>
      <c r="R246" s="1035"/>
      <c r="S246" s="1138"/>
      <c r="T246" s="591"/>
      <c r="U246" s="1035">
        <v>38.565797598627782</v>
      </c>
      <c r="V246" s="591">
        <v>38.558244274809162</v>
      </c>
      <c r="W246" s="591">
        <v>38.564745762711858</v>
      </c>
      <c r="X246" s="591">
        <v>38.55986425339367</v>
      </c>
      <c r="Y246" s="591">
        <v>38.564497816593878</v>
      </c>
      <c r="Z246" s="591">
        <v>38.5655</v>
      </c>
      <c r="AA246" s="1138">
        <v>38.56</v>
      </c>
      <c r="AB246" s="591">
        <v>38.56</v>
      </c>
      <c r="AC246" s="591">
        <v>38.56</v>
      </c>
      <c r="AD246" s="591">
        <v>38.56</v>
      </c>
      <c r="AE246" s="1035">
        <v>38.56</v>
      </c>
      <c r="AF246" s="591">
        <v>46.231517818582994</v>
      </c>
      <c r="AG246" s="591">
        <v>46.231517818582994</v>
      </c>
      <c r="AH246" s="591">
        <v>46.231517818582994</v>
      </c>
      <c r="AI246" s="591">
        <v>46.231517818582994</v>
      </c>
      <c r="AJ246" s="592">
        <v>46.231517818582994</v>
      </c>
      <c r="AK246" s="548"/>
      <c r="AM246" s="974"/>
      <c r="AO246" s="975" t="str">
        <f t="shared" si="263"/>
        <v>Price</v>
      </c>
      <c r="AP246" s="976" t="str">
        <f t="shared" si="263"/>
        <v>Sewerage</v>
      </c>
      <c r="AQ246" s="977" t="str">
        <f t="shared" si="264"/>
        <v xml:space="preserve">Price cap - Variable </v>
      </c>
      <c r="AR246" s="1341">
        <f t="shared" si="265"/>
        <v>-1.9585550640566218E-4</v>
      </c>
      <c r="AS246" s="978">
        <f t="shared" si="266"/>
        <v>1.6861472883356043E-4</v>
      </c>
      <c r="AT246" s="979">
        <f t="shared" si="267"/>
        <v>-1.2657957991546454E-4</v>
      </c>
      <c r="AU246" s="979">
        <f t="shared" si="268"/>
        <v>1.2016544378257166E-4</v>
      </c>
      <c r="AV246" s="1352">
        <f t="shared" si="269"/>
        <v>2.5987202293853429E-5</v>
      </c>
      <c r="AW246" s="1345">
        <f t="shared" si="270"/>
        <v>-1.4261451297137295E-4</v>
      </c>
      <c r="AX246" s="979">
        <f t="shared" si="271"/>
        <v>0</v>
      </c>
      <c r="AY246" s="979">
        <f t="shared" si="272"/>
        <v>0</v>
      </c>
      <c r="AZ246" s="979">
        <f t="shared" si="273"/>
        <v>0</v>
      </c>
      <c r="BA246" s="980">
        <f t="shared" si="274"/>
        <v>0</v>
      </c>
      <c r="BB246" s="1345">
        <f t="shared" si="275"/>
        <v>0.19895015089686185</v>
      </c>
      <c r="BC246" s="979">
        <f t="shared" si="276"/>
        <v>0</v>
      </c>
      <c r="BD246" s="979">
        <f t="shared" si="277"/>
        <v>0</v>
      </c>
      <c r="BE246" s="979">
        <f t="shared" si="278"/>
        <v>0</v>
      </c>
      <c r="BF246" s="981">
        <f t="shared" si="279"/>
        <v>0</v>
      </c>
      <c r="BG246" s="951"/>
      <c r="BH246" s="975" t="str">
        <f t="shared" si="280"/>
        <v>Price</v>
      </c>
      <c r="BI246" s="976" t="str">
        <f t="shared" si="281"/>
        <v>Sewerage</v>
      </c>
      <c r="BJ246" s="977" t="str">
        <f t="shared" si="282"/>
        <v xml:space="preserve">Price cap - Variable </v>
      </c>
      <c r="BK246" s="978">
        <f t="shared" ref="BK246:BU246" si="352">IF(V246="","-",IFERROR((V246/U246-1)*(U248/U$13),"-"))</f>
        <v>-6.9254887460785498E-10</v>
      </c>
      <c r="BL246" s="978">
        <f t="shared" si="352"/>
        <v>6.3462630787749292E-10</v>
      </c>
      <c r="BM246" s="979">
        <f t="shared" si="352"/>
        <v>-5.9228906334584847E-10</v>
      </c>
      <c r="BN246" s="979">
        <f t="shared" si="352"/>
        <v>5.2120908519588108E-10</v>
      </c>
      <c r="BO246" s="1352">
        <f t="shared" si="352"/>
        <v>7.3534640703367514E-11</v>
      </c>
      <c r="BP246" s="1345">
        <f t="shared" si="352"/>
        <v>-2.7624329096194625E-9</v>
      </c>
      <c r="BQ246" s="979">
        <f t="shared" si="352"/>
        <v>0</v>
      </c>
      <c r="BR246" s="979">
        <f t="shared" si="352"/>
        <v>0</v>
      </c>
      <c r="BS246" s="979">
        <f t="shared" si="352"/>
        <v>0</v>
      </c>
      <c r="BT246" s="980">
        <f t="shared" si="352"/>
        <v>0</v>
      </c>
      <c r="BU246" s="979">
        <f t="shared" si="352"/>
        <v>3.6448365529982286E-6</v>
      </c>
      <c r="BV246" s="979">
        <f>IF(AG246="","-",IFERROR((AG246/AF246-1)*(AF248/AF$13),"-"))</f>
        <v>0</v>
      </c>
      <c r="BW246" s="979">
        <f>IF(AH246="","-",IFERROR((AH246/AG246-1)*(AG248/AG$13),"-"))</f>
        <v>0</v>
      </c>
      <c r="BX246" s="979">
        <f>IF(AI246="","-",IFERROR((AI246/AH246-1)*(AH248/AH$13),"-"))</f>
        <v>0</v>
      </c>
      <c r="BY246" s="981">
        <f>IF(AJ246="","-",IFERROR((AJ246/AI246-1)*(AI248/AI$13),"-"))</f>
        <v>0</v>
      </c>
      <c r="BZ246" s="951"/>
      <c r="CA246" s="975" t="str">
        <f t="shared" si="259"/>
        <v>Price</v>
      </c>
      <c r="CB246" s="976" t="str">
        <f t="shared" si="260"/>
        <v>Sewerage</v>
      </c>
      <c r="CC246" s="982" t="str">
        <f t="shared" si="261"/>
        <v xml:space="preserve">Price cap - Variable </v>
      </c>
      <c r="CD246" s="983">
        <f t="shared" si="287"/>
        <v>-1.363699383138961E-5</v>
      </c>
      <c r="CE246" s="979">
        <f t="shared" si="287"/>
        <v>-5.1285939970724392E-5</v>
      </c>
      <c r="CF246" s="979">
        <f t="shared" si="287"/>
        <v>-8.4258497334843696E-6</v>
      </c>
      <c r="CG246" s="980">
        <f t="shared" si="284"/>
        <v>-1.5433340675441443E-6</v>
      </c>
      <c r="CH246" s="979">
        <f t="shared" si="288"/>
        <v>-7.1309799029362075E-5</v>
      </c>
      <c r="CI246" s="979">
        <f t="shared" si="288"/>
        <v>-4.7540431047266019E-5</v>
      </c>
      <c r="CJ246" s="979">
        <f t="shared" si="288"/>
        <v>-3.5655535173262365E-5</v>
      </c>
      <c r="CK246" s="981">
        <f t="shared" si="285"/>
        <v>-2.8524529845475044E-5</v>
      </c>
    </row>
    <row r="247" spans="4:89">
      <c r="E247" s="567" t="s">
        <v>880</v>
      </c>
      <c r="F247" s="554" t="str">
        <f>+F246</f>
        <v>Sewerage</v>
      </c>
      <c r="G247" s="555" t="str">
        <f>+G246</f>
        <v>SEW</v>
      </c>
      <c r="H247" s="555" t="str">
        <f>+H246</f>
        <v>Trade waste - TDS/inorganic TDS Western</v>
      </c>
      <c r="I247" s="556" t="str">
        <f>+I246</f>
        <v xml:space="preserve">Price cap - Variable </v>
      </c>
      <c r="J247" s="590" t="s">
        <v>896</v>
      </c>
      <c r="K247" s="557"/>
      <c r="L247" s="558"/>
      <c r="M247" s="558"/>
      <c r="N247" s="557"/>
      <c r="O247" s="558"/>
      <c r="P247" s="558"/>
      <c r="Q247" s="558"/>
      <c r="R247" s="1036"/>
      <c r="S247" s="1139"/>
      <c r="T247" s="593"/>
      <c r="U247" s="1036">
        <v>176.81</v>
      </c>
      <c r="V247" s="593">
        <v>181.90000000000003</v>
      </c>
      <c r="W247" s="593">
        <v>224.50499999999997</v>
      </c>
      <c r="X247" s="593">
        <v>209.33500000000004</v>
      </c>
      <c r="Y247" s="593">
        <v>138.285</v>
      </c>
      <c r="Z247" s="593">
        <v>946.17880617236051</v>
      </c>
      <c r="AA247" s="1139">
        <v>951.85494201186589</v>
      </c>
      <c r="AB247" s="593">
        <v>965.44237954648486</v>
      </c>
      <c r="AC247" s="593">
        <v>973.35368124159857</v>
      </c>
      <c r="AD247" s="593">
        <v>981.26498293671216</v>
      </c>
      <c r="AE247" s="1036">
        <v>989.17628463182587</v>
      </c>
      <c r="AF247" s="593">
        <v>997.08758632693957</v>
      </c>
      <c r="AG247" s="593">
        <v>1011.4456475700475</v>
      </c>
      <c r="AH247" s="593">
        <v>1025.8037088131555</v>
      </c>
      <c r="AI247" s="593">
        <v>1040.1617700562633</v>
      </c>
      <c r="AJ247" s="594">
        <v>1054.5198312993714</v>
      </c>
      <c r="AK247" s="548"/>
      <c r="AO247" s="961" t="str">
        <f t="shared" si="263"/>
        <v>Qty</v>
      </c>
      <c r="AP247" s="962" t="str">
        <f t="shared" si="263"/>
        <v>Sewerage</v>
      </c>
      <c r="AQ247" s="963" t="str">
        <f t="shared" si="264"/>
        <v xml:space="preserve">Price cap - Variable </v>
      </c>
      <c r="AR247" s="967">
        <f t="shared" si="265"/>
        <v>2.878796448164711E-2</v>
      </c>
      <c r="AS247" s="964">
        <f t="shared" si="266"/>
        <v>0.2342221000549749</v>
      </c>
      <c r="AT247" s="964">
        <f t="shared" si="267"/>
        <v>-6.7570878154161074E-2</v>
      </c>
      <c r="AU247" s="964">
        <f t="shared" si="268"/>
        <v>-0.33940812573148316</v>
      </c>
      <c r="AV247" s="1350">
        <f t="shared" si="269"/>
        <v>5.8422374528861445</v>
      </c>
      <c r="AW247" s="1343">
        <f t="shared" si="270"/>
        <v>5.9990097035331758E-3</v>
      </c>
      <c r="AX247" s="964">
        <f t="shared" si="271"/>
        <v>1.427469347997512E-2</v>
      </c>
      <c r="AY247" s="964">
        <f t="shared" si="272"/>
        <v>8.1944835473557465E-3</v>
      </c>
      <c r="AZ247" s="964">
        <f t="shared" si="273"/>
        <v>8.1278797703030481E-3</v>
      </c>
      <c r="BA247" s="965">
        <f t="shared" si="274"/>
        <v>8.0623499591689907E-3</v>
      </c>
      <c r="BB247" s="1343">
        <f t="shared" si="275"/>
        <v>7.997868345638981E-3</v>
      </c>
      <c r="BC247" s="964">
        <f t="shared" si="276"/>
        <v>1.4399999999999968E-2</v>
      </c>
      <c r="BD247" s="964">
        <f t="shared" si="277"/>
        <v>1.4195583596214645E-2</v>
      </c>
      <c r="BE247" s="964">
        <f t="shared" si="278"/>
        <v>1.3996889580093264E-2</v>
      </c>
      <c r="BF247" s="966">
        <f t="shared" si="279"/>
        <v>1.3803680981595123E-2</v>
      </c>
      <c r="BG247" s="951"/>
      <c r="BH247" s="961" t="str">
        <f t="shared" si="280"/>
        <v>Qty</v>
      </c>
      <c r="BI247" s="962" t="str">
        <f t="shared" si="281"/>
        <v>Sewerage</v>
      </c>
      <c r="BJ247" s="963" t="str">
        <f t="shared" si="282"/>
        <v xml:space="preserve">Price cap - Variable </v>
      </c>
      <c r="BK247" s="964">
        <f t="shared" ref="BK247:BU247" si="353">IF(V247="","-",IFERROR((V247/U247-1)*(U248/U$13),"-"))</f>
        <v>1.0179480153456247E-7</v>
      </c>
      <c r="BL247" s="964">
        <f t="shared" si="353"/>
        <v>8.8155707161221612E-7</v>
      </c>
      <c r="BM247" s="964">
        <f t="shared" si="353"/>
        <v>-3.1617652830032021E-7</v>
      </c>
      <c r="BN247" s="964">
        <f t="shared" si="353"/>
        <v>-1.4721586601938901E-6</v>
      </c>
      <c r="BO247" s="1350">
        <f t="shared" si="353"/>
        <v>1.6531476807080213E-5</v>
      </c>
      <c r="BP247" s="1343">
        <f t="shared" si="353"/>
        <v>1.1620038862028728E-7</v>
      </c>
      <c r="BQ247" s="964">
        <f t="shared" si="353"/>
        <v>2.767318021900979E-7</v>
      </c>
      <c r="BR247" s="964">
        <f t="shared" si="353"/>
        <v>1.5511574698988678E-7</v>
      </c>
      <c r="BS247" s="964">
        <f t="shared" si="353"/>
        <v>1.5218134201436369E-7</v>
      </c>
      <c r="BT247" s="965">
        <f t="shared" si="353"/>
        <v>1.4933922747193713E-7</v>
      </c>
      <c r="BU247" s="964">
        <f t="shared" si="353"/>
        <v>1.4652375361788298E-7</v>
      </c>
      <c r="BV247" s="964">
        <f>IF(AG247="","-",IFERROR((AG247/AF247-1)*(AF248/AF$13),"-"))</f>
        <v>3.0452448973916257E-7</v>
      </c>
      <c r="BW247" s="964">
        <f>IF(AH247="","-",IFERROR((AH247/AG247-1)*(AG248/AG$13),"-"))</f>
        <v>3.0031803001111697E-7</v>
      </c>
      <c r="BX247" s="964">
        <f>IF(AI247="","-",IFERROR((AI247/AH247-1)*(AH248/AH$13),"-"))</f>
        <v>2.9598284489905679E-7</v>
      </c>
      <c r="BY247" s="966">
        <f>IF(AJ247="","-",IFERROR((AJ247/AI247-1)*(AI248/AI$13),"-"))</f>
        <v>2.9097343630411631E-7</v>
      </c>
      <c r="BZ247" s="951"/>
      <c r="CA247" s="961" t="str">
        <f t="shared" si="259"/>
        <v>Qty</v>
      </c>
      <c r="CB247" s="962" t="str">
        <f t="shared" si="260"/>
        <v>Sewerage</v>
      </c>
      <c r="CC247" s="962" t="str">
        <f t="shared" si="261"/>
        <v xml:space="preserve">Price cap - Variable </v>
      </c>
      <c r="CD247" s="967">
        <f t="shared" si="287"/>
        <v>0.12683310300763773</v>
      </c>
      <c r="CE247" s="964">
        <f t="shared" si="287"/>
        <v>5.7900950992600952E-2</v>
      </c>
      <c r="CF247" s="964">
        <f t="shared" si="287"/>
        <v>-5.9590381423574201E-2</v>
      </c>
      <c r="CG247" s="965">
        <f t="shared" si="284"/>
        <v>0.39859920921227054</v>
      </c>
      <c r="CH247" s="964">
        <f t="shared" si="288"/>
        <v>1.0128376597850819E-2</v>
      </c>
      <c r="CI247" s="964">
        <f t="shared" si="288"/>
        <v>9.483333760397672E-3</v>
      </c>
      <c r="CJ247" s="964">
        <f t="shared" si="288"/>
        <v>9.1442995044932474E-3</v>
      </c>
      <c r="CK247" s="966">
        <f t="shared" si="285"/>
        <v>8.9278167350970161E-3</v>
      </c>
    </row>
    <row r="248" spans="4:89" ht="12.75" thickBot="1">
      <c r="E248" s="568" t="s">
        <v>882</v>
      </c>
      <c r="F248" s="560" t="str">
        <f>+F246</f>
        <v>Sewerage</v>
      </c>
      <c r="G248" s="561" t="str">
        <f>+G246</f>
        <v>SEW</v>
      </c>
      <c r="H248" s="561" t="str">
        <f>+H246</f>
        <v>Trade waste - TDS/inorganic TDS Western</v>
      </c>
      <c r="I248" s="562" t="str">
        <f>+I246</f>
        <v xml:space="preserve">Price cap - Variable </v>
      </c>
      <c r="J248" s="563" t="s">
        <v>883</v>
      </c>
      <c r="K248" s="564">
        <f t="shared" ref="K248:AJ248" si="354">K246*K247/10^6</f>
        <v>0</v>
      </c>
      <c r="L248" s="565">
        <f t="shared" si="354"/>
        <v>0</v>
      </c>
      <c r="M248" s="565">
        <f t="shared" si="354"/>
        <v>0</v>
      </c>
      <c r="N248" s="564">
        <f t="shared" si="354"/>
        <v>0</v>
      </c>
      <c r="O248" s="565">
        <f t="shared" si="354"/>
        <v>0</v>
      </c>
      <c r="P248" s="565">
        <f t="shared" si="354"/>
        <v>0</v>
      </c>
      <c r="Q248" s="565">
        <f t="shared" si="354"/>
        <v>0</v>
      </c>
      <c r="R248" s="566">
        <f t="shared" si="354"/>
        <v>0</v>
      </c>
      <c r="S248" s="564">
        <f t="shared" si="354"/>
        <v>0</v>
      </c>
      <c r="T248" s="565">
        <f t="shared" si="354"/>
        <v>0</v>
      </c>
      <c r="U248" s="566">
        <f t="shared" si="354"/>
        <v>6.8188186734133779E-3</v>
      </c>
      <c r="V248" s="565">
        <f t="shared" si="354"/>
        <v>7.0137446335877878E-3</v>
      </c>
      <c r="W248" s="565">
        <f t="shared" si="354"/>
        <v>8.657978247457624E-3</v>
      </c>
      <c r="X248" s="565">
        <f t="shared" si="354"/>
        <v>8.0719291834841656E-3</v>
      </c>
      <c r="Y248" s="565">
        <f t="shared" si="354"/>
        <v>5.3328915805676844E-3</v>
      </c>
      <c r="Z248" s="565">
        <f t="shared" si="354"/>
        <v>3.648985874944017E-2</v>
      </c>
      <c r="AA248" s="564">
        <f t="shared" si="354"/>
        <v>3.6703526563977552E-2</v>
      </c>
      <c r="AB248" s="565">
        <f t="shared" si="354"/>
        <v>3.7227458155312462E-2</v>
      </c>
      <c r="AC248" s="565">
        <f t="shared" si="354"/>
        <v>3.7532517948676049E-2</v>
      </c>
      <c r="AD248" s="565">
        <f t="shared" si="354"/>
        <v>3.7837577742039628E-2</v>
      </c>
      <c r="AE248" s="566">
        <f t="shared" si="354"/>
        <v>3.8142637535403208E-2</v>
      </c>
      <c r="AF248" s="565">
        <f t="shared" si="354"/>
        <v>4.6096872513961822E-2</v>
      </c>
      <c r="AG248" s="565">
        <f>AG246*AG247/10^6</f>
        <v>4.6760667478162869E-2</v>
      </c>
      <c r="AH248" s="565">
        <f>AH246*AH247/10^6</f>
        <v>4.7424462442363917E-2</v>
      </c>
      <c r="AI248" s="565">
        <f>AI246*AI247/10^6</f>
        <v>4.8088257406564965E-2</v>
      </c>
      <c r="AJ248" s="566">
        <f t="shared" si="354"/>
        <v>4.8752052370766019E-2</v>
      </c>
      <c r="AK248" s="548"/>
      <c r="AO248" s="984" t="str">
        <f t="shared" si="263"/>
        <v>Rev</v>
      </c>
      <c r="AP248" s="985" t="str">
        <f t="shared" si="263"/>
        <v>Sewerage</v>
      </c>
      <c r="AQ248" s="986" t="str">
        <f t="shared" si="264"/>
        <v xml:space="preserve">Price cap - Variable </v>
      </c>
      <c r="AR248" s="990">
        <f t="shared" si="265"/>
        <v>2.8586470693879429E-2</v>
      </c>
      <c r="AS248" s="987">
        <f t="shared" si="266"/>
        <v>0.23443020807969606</v>
      </c>
      <c r="AT248" s="987">
        <f t="shared" si="267"/>
        <v>-6.7688904640705094E-2</v>
      </c>
      <c r="AU248" s="987">
        <f t="shared" si="268"/>
        <v>-0.33932874541575253</v>
      </c>
      <c r="AV248" s="1353">
        <f t="shared" si="269"/>
        <v>5.842415263494976</v>
      </c>
      <c r="AW248" s="1346">
        <f t="shared" si="270"/>
        <v>5.8555396447146357E-3</v>
      </c>
      <c r="AX248" s="987">
        <f t="shared" si="271"/>
        <v>1.4274693479975342E-2</v>
      </c>
      <c r="AY248" s="987">
        <f t="shared" si="272"/>
        <v>8.1944835473557465E-3</v>
      </c>
      <c r="AZ248" s="987">
        <f t="shared" si="273"/>
        <v>8.1278797703030481E-3</v>
      </c>
      <c r="BA248" s="988">
        <f t="shared" si="274"/>
        <v>8.0623499591687686E-3</v>
      </c>
      <c r="BB248" s="1346">
        <f t="shared" si="275"/>
        <v>0.20853919635671914</v>
      </c>
      <c r="BC248" s="987">
        <f t="shared" si="276"/>
        <v>1.4399999999999968E-2</v>
      </c>
      <c r="BD248" s="987">
        <f t="shared" si="277"/>
        <v>1.4195583596214423E-2</v>
      </c>
      <c r="BE248" s="987">
        <f t="shared" si="278"/>
        <v>1.3996889580093264E-2</v>
      </c>
      <c r="BF248" s="989">
        <f t="shared" si="279"/>
        <v>1.3803680981595123E-2</v>
      </c>
      <c r="BG248" s="951"/>
      <c r="BH248" s="984" t="str">
        <f t="shared" si="280"/>
        <v>Rev</v>
      </c>
      <c r="BI248" s="985" t="str">
        <f t="shared" si="281"/>
        <v>Sewerage</v>
      </c>
      <c r="BJ248" s="986" t="str">
        <f t="shared" si="282"/>
        <v xml:space="preserve">Price cap - Variable </v>
      </c>
      <c r="BK248" s="987">
        <f t="shared" ref="BK248:BU248" si="355">IF(V248="","-",IFERROR((V248/U248-1)*(U248/U$13),"-"))</f>
        <v>1.0108231558755032E-7</v>
      </c>
      <c r="BL248" s="987">
        <f t="shared" si="355"/>
        <v>8.8234034142667487E-7</v>
      </c>
      <c r="BM248" s="987">
        <f t="shared" si="355"/>
        <v>-3.1672879587153388E-7</v>
      </c>
      <c r="BN248" s="987">
        <f t="shared" si="355"/>
        <v>-1.4718143537074147E-6</v>
      </c>
      <c r="BO248" s="1353">
        <f t="shared" si="355"/>
        <v>1.6531979948552919E-5</v>
      </c>
      <c r="BP248" s="1346">
        <f t="shared" si="355"/>
        <v>1.134213838488379E-7</v>
      </c>
      <c r="BQ248" s="987">
        <f t="shared" si="355"/>
        <v>2.7673180219010219E-7</v>
      </c>
      <c r="BR248" s="987">
        <f t="shared" si="355"/>
        <v>1.5511574698988678E-7</v>
      </c>
      <c r="BS248" s="987">
        <f t="shared" si="355"/>
        <v>1.5218134201436369E-7</v>
      </c>
      <c r="BT248" s="988">
        <f t="shared" si="355"/>
        <v>1.49339227471933E-7</v>
      </c>
      <c r="BU248" s="987">
        <f t="shared" si="355"/>
        <v>3.8205112295083672E-6</v>
      </c>
      <c r="BV248" s="987">
        <f>IF(AG248="","-",IFERROR((AG248/AF248-1)*(AF248/AF$13),"-"))</f>
        <v>3.0452448973916257E-7</v>
      </c>
      <c r="BW248" s="987">
        <f>IF(AH248="","-",IFERROR((AH248/AG248-1)*(AG248/AG$13),"-"))</f>
        <v>3.0031803001111226E-7</v>
      </c>
      <c r="BX248" s="987">
        <f>IF(AI248="","-",IFERROR((AI248/AH248-1)*(AH248/AH$13),"-"))</f>
        <v>2.9598284489905679E-7</v>
      </c>
      <c r="BY248" s="989">
        <f>IF(AJ248="","-",IFERROR((AJ248/AI248-1)*(AI248/AI$13),"-"))</f>
        <v>2.9097343630411631E-7</v>
      </c>
      <c r="BZ248" s="951"/>
      <c r="CA248" s="984" t="str">
        <f t="shared" si="259"/>
        <v>Rev</v>
      </c>
      <c r="CB248" s="985" t="str">
        <f t="shared" si="260"/>
        <v>Sewerage</v>
      </c>
      <c r="CC248" s="985" t="str">
        <f t="shared" si="261"/>
        <v xml:space="preserve">Price cap - Variable </v>
      </c>
      <c r="CD248" s="990">
        <f t="shared" si="287"/>
        <v>0.12681773639156302</v>
      </c>
      <c r="CE248" s="987">
        <f t="shared" si="287"/>
        <v>5.7846695547933535E-2</v>
      </c>
      <c r="CF248" s="987">
        <f t="shared" si="287"/>
        <v>-5.9598305173708233E-2</v>
      </c>
      <c r="CG248" s="988">
        <f t="shared" si="284"/>
        <v>0.39859705070646401</v>
      </c>
      <c r="CH248" s="987">
        <f t="shared" si="288"/>
        <v>1.005634454632176E-2</v>
      </c>
      <c r="CI248" s="987">
        <f t="shared" si="288"/>
        <v>9.4353424875757153E-3</v>
      </c>
      <c r="CJ248" s="987">
        <f t="shared" si="288"/>
        <v>9.1083179244275669E-3</v>
      </c>
      <c r="CK248" s="989">
        <f t="shared" si="285"/>
        <v>8.8990375434767621E-3</v>
      </c>
    </row>
    <row r="249" spans="4:89">
      <c r="D249" s="63">
        <f>D246+1</f>
        <v>61</v>
      </c>
      <c r="E249" s="550" t="s">
        <v>857</v>
      </c>
      <c r="F249" s="595" t="s">
        <v>402</v>
      </c>
      <c r="G249" s="595" t="s">
        <v>103</v>
      </c>
      <c r="H249" s="595" t="s">
        <v>902</v>
      </c>
      <c r="I249" s="589" t="s">
        <v>941</v>
      </c>
      <c r="J249" s="589" t="s">
        <v>879</v>
      </c>
      <c r="K249" s="551"/>
      <c r="L249" s="552"/>
      <c r="M249" s="552"/>
      <c r="N249" s="551"/>
      <c r="O249" s="552"/>
      <c r="P249" s="552"/>
      <c r="Q249" s="552"/>
      <c r="R249" s="1035"/>
      <c r="S249" s="1138"/>
      <c r="T249" s="591"/>
      <c r="U249" s="1035">
        <v>38.565797598627782</v>
      </c>
      <c r="V249" s="591">
        <v>38.558244274809162</v>
      </c>
      <c r="W249" s="591">
        <v>38.564745762711858</v>
      </c>
      <c r="X249" s="591">
        <v>38.55986425339367</v>
      </c>
      <c r="Y249" s="591">
        <v>38.564497816593878</v>
      </c>
      <c r="Z249" s="591">
        <v>38.5655</v>
      </c>
      <c r="AA249" s="1138">
        <v>38.56</v>
      </c>
      <c r="AB249" s="591">
        <v>38.56</v>
      </c>
      <c r="AC249" s="591">
        <v>38.56</v>
      </c>
      <c r="AD249" s="591">
        <v>38.56</v>
      </c>
      <c r="AE249" s="1035">
        <v>38.56</v>
      </c>
      <c r="AF249" s="591">
        <v>46.231517818582994</v>
      </c>
      <c r="AG249" s="591">
        <v>46.231517818582994</v>
      </c>
      <c r="AH249" s="591">
        <v>46.231517818582994</v>
      </c>
      <c r="AI249" s="591">
        <v>46.231517818582994</v>
      </c>
      <c r="AJ249" s="592">
        <v>46.231517818582994</v>
      </c>
      <c r="AK249" s="548"/>
      <c r="AM249" s="974"/>
      <c r="AO249" s="975" t="str">
        <f t="shared" si="263"/>
        <v>Price</v>
      </c>
      <c r="AP249" s="976" t="str">
        <f t="shared" si="263"/>
        <v>Sewerage</v>
      </c>
      <c r="AQ249" s="977" t="str">
        <f t="shared" si="264"/>
        <v xml:space="preserve">Price cap - Variable </v>
      </c>
      <c r="AR249" s="1341">
        <f t="shared" si="265"/>
        <v>-1.9585550640566218E-4</v>
      </c>
      <c r="AS249" s="978">
        <f t="shared" si="266"/>
        <v>1.6861472883356043E-4</v>
      </c>
      <c r="AT249" s="979">
        <f t="shared" si="267"/>
        <v>-1.2657957991546454E-4</v>
      </c>
      <c r="AU249" s="979">
        <f t="shared" si="268"/>
        <v>1.2016544378257166E-4</v>
      </c>
      <c r="AV249" s="1352">
        <f t="shared" si="269"/>
        <v>2.5987202293853429E-5</v>
      </c>
      <c r="AW249" s="1345">
        <f t="shared" si="270"/>
        <v>-1.4261451297137295E-4</v>
      </c>
      <c r="AX249" s="979">
        <f t="shared" si="271"/>
        <v>0</v>
      </c>
      <c r="AY249" s="979">
        <f t="shared" si="272"/>
        <v>0</v>
      </c>
      <c r="AZ249" s="979">
        <f t="shared" si="273"/>
        <v>0</v>
      </c>
      <c r="BA249" s="980">
        <f t="shared" si="274"/>
        <v>0</v>
      </c>
      <c r="BB249" s="1345">
        <f t="shared" si="275"/>
        <v>0.19895015089686185</v>
      </c>
      <c r="BC249" s="979">
        <f t="shared" si="276"/>
        <v>0</v>
      </c>
      <c r="BD249" s="979">
        <f t="shared" si="277"/>
        <v>0</v>
      </c>
      <c r="BE249" s="979">
        <f t="shared" si="278"/>
        <v>0</v>
      </c>
      <c r="BF249" s="981">
        <f t="shared" si="279"/>
        <v>0</v>
      </c>
      <c r="BG249" s="951"/>
      <c r="BH249" s="975" t="str">
        <f t="shared" si="280"/>
        <v>Price</v>
      </c>
      <c r="BI249" s="976" t="str">
        <f t="shared" si="281"/>
        <v>Sewerage</v>
      </c>
      <c r="BJ249" s="977" t="str">
        <f t="shared" si="282"/>
        <v xml:space="preserve">Price cap - Variable </v>
      </c>
      <c r="BK249" s="978">
        <f t="shared" ref="BK249:BU249" si="356">IF(V249="","-",IFERROR((V249/U249-1)*(U251/U$13),"-"))</f>
        <v>-2.6889881598034725E-8</v>
      </c>
      <c r="BL249" s="978">
        <f t="shared" si="356"/>
        <v>2.6086176574753703E-8</v>
      </c>
      <c r="BM249" s="979">
        <f t="shared" si="356"/>
        <v>-2.0081344294396101E-8</v>
      </c>
      <c r="BN249" s="979">
        <f t="shared" si="356"/>
        <v>2.4699349979293387E-8</v>
      </c>
      <c r="BO249" s="1352">
        <f t="shared" si="356"/>
        <v>5.3702807813496518E-9</v>
      </c>
      <c r="BP249" s="1345">
        <f t="shared" si="356"/>
        <v>-2.2138588729222528E-8</v>
      </c>
      <c r="BQ249" s="979">
        <f t="shared" si="356"/>
        <v>0</v>
      </c>
      <c r="BR249" s="979">
        <f t="shared" si="356"/>
        <v>0</v>
      </c>
      <c r="BS249" s="979">
        <f t="shared" si="356"/>
        <v>0</v>
      </c>
      <c r="BT249" s="980">
        <f t="shared" si="356"/>
        <v>0</v>
      </c>
      <c r="BU249" s="979">
        <f t="shared" si="356"/>
        <v>3.0334386688573659E-5</v>
      </c>
      <c r="BV249" s="979">
        <f>IF(AG249="","-",IFERROR((AG249/AF249-1)*(AF251/AF$13),"-"))</f>
        <v>0</v>
      </c>
      <c r="BW249" s="979">
        <f>IF(AH249="","-",IFERROR((AH249/AG249-1)*(AG251/AG$13),"-"))</f>
        <v>0</v>
      </c>
      <c r="BX249" s="979">
        <f>IF(AI249="","-",IFERROR((AI249/AH249-1)*(AH251/AH$13),"-"))</f>
        <v>0</v>
      </c>
      <c r="BY249" s="981">
        <f>IF(AJ249="","-",IFERROR((AJ249/AI249-1)*(AI251/AI$13),"-"))</f>
        <v>0</v>
      </c>
      <c r="BZ249" s="951"/>
      <c r="CA249" s="975" t="str">
        <f t="shared" si="259"/>
        <v>Price</v>
      </c>
      <c r="CB249" s="976" t="str">
        <f t="shared" si="260"/>
        <v>Sewerage</v>
      </c>
      <c r="CC249" s="982" t="str">
        <f t="shared" si="261"/>
        <v xml:space="preserve">Price cap - Variable </v>
      </c>
      <c r="CD249" s="983">
        <f t="shared" si="287"/>
        <v>-1.363699383138961E-5</v>
      </c>
      <c r="CE249" s="979">
        <f t="shared" si="287"/>
        <v>-5.1285939970724392E-5</v>
      </c>
      <c r="CF249" s="979">
        <f t="shared" si="287"/>
        <v>-8.4258497334843696E-6</v>
      </c>
      <c r="CG249" s="980">
        <f t="shared" si="284"/>
        <v>-1.5433340675441443E-6</v>
      </c>
      <c r="CH249" s="979">
        <f t="shared" si="288"/>
        <v>-7.1309799029362075E-5</v>
      </c>
      <c r="CI249" s="979">
        <f t="shared" si="288"/>
        <v>-4.7540431047266019E-5</v>
      </c>
      <c r="CJ249" s="979">
        <f t="shared" si="288"/>
        <v>-3.5655535173262365E-5</v>
      </c>
      <c r="CK249" s="981">
        <f t="shared" si="285"/>
        <v>-2.8524529845475044E-5</v>
      </c>
    </row>
    <row r="250" spans="4:89">
      <c r="E250" s="567" t="s">
        <v>880</v>
      </c>
      <c r="F250" s="554" t="str">
        <f>+F249</f>
        <v>Sewerage</v>
      </c>
      <c r="G250" s="555" t="str">
        <f>+G249</f>
        <v>YVW</v>
      </c>
      <c r="H250" s="555" t="str">
        <f>+H249</f>
        <v>Trade waste - TDS/inorganic TDS Western</v>
      </c>
      <c r="I250" s="556" t="str">
        <f>+I249</f>
        <v xml:space="preserve">Price cap - Variable </v>
      </c>
      <c r="J250" s="590" t="s">
        <v>896</v>
      </c>
      <c r="K250" s="557"/>
      <c r="L250" s="558"/>
      <c r="M250" s="558"/>
      <c r="N250" s="557"/>
      <c r="O250" s="558"/>
      <c r="P250" s="558"/>
      <c r="Q250" s="558"/>
      <c r="R250" s="1036"/>
      <c r="S250" s="1139"/>
      <c r="T250" s="593"/>
      <c r="U250" s="1036">
        <v>6865.0749999999998</v>
      </c>
      <c r="V250" s="593">
        <v>7476.96</v>
      </c>
      <c r="W250" s="593">
        <v>7611.760000000002</v>
      </c>
      <c r="X250" s="593">
        <v>9920.0850000000009</v>
      </c>
      <c r="Y250" s="593">
        <v>10099.040000000001</v>
      </c>
      <c r="Z250" s="593">
        <v>7582.831561705585</v>
      </c>
      <c r="AA250" s="1139">
        <v>7684.5214731331289</v>
      </c>
      <c r="AB250" s="593">
        <v>7897.7793543255102</v>
      </c>
      <c r="AC250" s="593">
        <v>8009.3473240903477</v>
      </c>
      <c r="AD250" s="593">
        <v>8120.9152938551852</v>
      </c>
      <c r="AE250" s="1036">
        <v>8232.4832636200208</v>
      </c>
      <c r="AF250" s="593">
        <v>8344.0512333848583</v>
      </c>
      <c r="AG250" s="593">
        <v>8482.962963177546</v>
      </c>
      <c r="AH250" s="593">
        <v>8621.874692970232</v>
      </c>
      <c r="AI250" s="593">
        <v>8760.7864227629198</v>
      </c>
      <c r="AJ250" s="594">
        <v>8899.6981525556075</v>
      </c>
      <c r="AK250" s="548"/>
      <c r="AO250" s="961" t="str">
        <f t="shared" si="263"/>
        <v>Qty</v>
      </c>
      <c r="AP250" s="962" t="str">
        <f t="shared" si="263"/>
        <v>Sewerage</v>
      </c>
      <c r="AQ250" s="963" t="str">
        <f t="shared" si="264"/>
        <v xml:space="preserve">Price cap - Variable </v>
      </c>
      <c r="AR250" s="967">
        <f t="shared" si="265"/>
        <v>8.9130126036496282E-2</v>
      </c>
      <c r="AS250" s="964">
        <f t="shared" si="266"/>
        <v>1.8028717553658424E-2</v>
      </c>
      <c r="AT250" s="964">
        <f t="shared" si="267"/>
        <v>0.30325772226134284</v>
      </c>
      <c r="AU250" s="964">
        <f t="shared" si="268"/>
        <v>1.8039663974653397E-2</v>
      </c>
      <c r="AV250" s="1350">
        <f t="shared" si="269"/>
        <v>-0.24915323023717262</v>
      </c>
      <c r="AW250" s="1343">
        <f t="shared" si="270"/>
        <v>1.3410545994598122E-2</v>
      </c>
      <c r="AX250" s="964">
        <f t="shared" si="271"/>
        <v>2.7751614975373595E-2</v>
      </c>
      <c r="AY250" s="964">
        <f t="shared" si="272"/>
        <v>1.4126498697856427E-2</v>
      </c>
      <c r="AZ250" s="964">
        <f t="shared" si="273"/>
        <v>1.3929720519082256E-2</v>
      </c>
      <c r="BA250" s="965">
        <f t="shared" si="274"/>
        <v>1.3738349154959861E-2</v>
      </c>
      <c r="BB250" s="1343">
        <f t="shared" si="275"/>
        <v>1.3552164783360743E-2</v>
      </c>
      <c r="BC250" s="964">
        <f t="shared" si="276"/>
        <v>1.6647995788532155E-2</v>
      </c>
      <c r="BD250" s="964">
        <f t="shared" si="277"/>
        <v>1.6375378555307574E-2</v>
      </c>
      <c r="BE250" s="964">
        <f t="shared" si="278"/>
        <v>1.6111545892211643E-2</v>
      </c>
      <c r="BF250" s="966">
        <f t="shared" si="279"/>
        <v>1.5856079932705214E-2</v>
      </c>
      <c r="BG250" s="951"/>
      <c r="BH250" s="961" t="str">
        <f t="shared" si="280"/>
        <v>Qty</v>
      </c>
      <c r="BI250" s="962" t="str">
        <f t="shared" si="281"/>
        <v>Sewerage</v>
      </c>
      <c r="BJ250" s="963" t="str">
        <f t="shared" si="282"/>
        <v xml:space="preserve">Price cap - Variable </v>
      </c>
      <c r="BK250" s="964">
        <f t="shared" ref="BK250:BU250" si="357">IF(V250="","-",IFERROR((V250/U250-1)*(U251/U$13),"-"))</f>
        <v>1.2237075076026603E-5</v>
      </c>
      <c r="BL250" s="964">
        <f t="shared" si="357"/>
        <v>2.7892006396744176E-6</v>
      </c>
      <c r="BM250" s="964">
        <f t="shared" si="357"/>
        <v>4.8110625226686869E-5</v>
      </c>
      <c r="BN250" s="964">
        <f t="shared" si="357"/>
        <v>3.7079543002814472E-6</v>
      </c>
      <c r="BO250" s="1350">
        <f t="shared" si="357"/>
        <v>-5.148775881389688E-5</v>
      </c>
      <c r="BP250" s="1343">
        <f t="shared" si="357"/>
        <v>2.0817696335598413E-6</v>
      </c>
      <c r="BQ250" s="964">
        <f t="shared" si="357"/>
        <v>4.3433677353251448E-6</v>
      </c>
      <c r="BR250" s="964">
        <f t="shared" si="357"/>
        <v>2.1874970311025572E-6</v>
      </c>
      <c r="BS250" s="964">
        <f t="shared" si="357"/>
        <v>2.1461150160810796E-6</v>
      </c>
      <c r="BT250" s="965">
        <f t="shared" si="357"/>
        <v>2.1060345133321902E-6</v>
      </c>
      <c r="BU250" s="964">
        <f t="shared" si="357"/>
        <v>2.0663297069769614E-6</v>
      </c>
      <c r="BV250" s="964">
        <f>IF(AG250="","-",IFERROR((AG250/AF250-1)*(AF251/AF$13),"-"))</f>
        <v>2.9462211448783375E-6</v>
      </c>
      <c r="BW250" s="964">
        <f>IF(AH250="","-",IFERROR((AH250/AG250-1)*(AG251/AG$13),"-"))</f>
        <v>2.9055243831614606E-6</v>
      </c>
      <c r="BX250" s="964">
        <f>IF(AI250="","-",IFERROR((AI250/AH250-1)*(AH251/AH$13),"-"))</f>
        <v>2.8635822258819957E-6</v>
      </c>
      <c r="BY250" s="966">
        <f>IF(AJ250="","-",IFERROR((AJ250/AI250-1)*(AI251/AI$13),"-"))</f>
        <v>2.8151170743981218E-6</v>
      </c>
      <c r="BZ250" s="951"/>
      <c r="CA250" s="961" t="str">
        <f t="shared" si="259"/>
        <v>Qty</v>
      </c>
      <c r="CB250" s="962" t="str">
        <f t="shared" si="260"/>
        <v>Sewerage</v>
      </c>
      <c r="CC250" s="962" t="str">
        <f t="shared" si="261"/>
        <v xml:space="preserve">Price cap - Variable </v>
      </c>
      <c r="CD250" s="967">
        <f t="shared" si="287"/>
        <v>5.2979461080788992E-2</v>
      </c>
      <c r="CE250" s="964">
        <f t="shared" si="287"/>
        <v>0.13055068049334473</v>
      </c>
      <c r="CF250" s="964">
        <f t="shared" si="287"/>
        <v>0.10130776554909149</v>
      </c>
      <c r="CG250" s="965">
        <f t="shared" si="284"/>
        <v>2.0087027303240079E-2</v>
      </c>
      <c r="CH250" s="964">
        <f t="shared" si="288"/>
        <v>2.0555890325965276E-2</v>
      </c>
      <c r="CI250" s="964">
        <f t="shared" si="288"/>
        <v>1.8408243468527541E-2</v>
      </c>
      <c r="CJ250" s="964">
        <f t="shared" si="288"/>
        <v>1.728676160936149E-2</v>
      </c>
      <c r="CK250" s="966">
        <f t="shared" si="285"/>
        <v>1.6576086859642958E-2</v>
      </c>
    </row>
    <row r="251" spans="4:89" ht="12.75" thickBot="1">
      <c r="E251" s="568" t="s">
        <v>882</v>
      </c>
      <c r="F251" s="560" t="str">
        <f>+F249</f>
        <v>Sewerage</v>
      </c>
      <c r="G251" s="561" t="str">
        <f>+G249</f>
        <v>YVW</v>
      </c>
      <c r="H251" s="561" t="str">
        <f>+H249</f>
        <v>Trade waste - TDS/inorganic TDS Western</v>
      </c>
      <c r="I251" s="562" t="str">
        <f>+I249</f>
        <v xml:space="preserve">Price cap - Variable </v>
      </c>
      <c r="J251" s="563" t="s">
        <v>883</v>
      </c>
      <c r="K251" s="564">
        <f t="shared" ref="K251:AJ251" si="358">K249*K250/10^6</f>
        <v>0</v>
      </c>
      <c r="L251" s="565">
        <f t="shared" si="358"/>
        <v>0</v>
      </c>
      <c r="M251" s="565">
        <f t="shared" si="358"/>
        <v>0</v>
      </c>
      <c r="N251" s="564">
        <f t="shared" si="358"/>
        <v>0</v>
      </c>
      <c r="O251" s="565">
        <f t="shared" si="358"/>
        <v>0</v>
      </c>
      <c r="P251" s="565">
        <f t="shared" si="358"/>
        <v>0</v>
      </c>
      <c r="Q251" s="565">
        <f t="shared" si="358"/>
        <v>0</v>
      </c>
      <c r="R251" s="566">
        <f t="shared" si="358"/>
        <v>0</v>
      </c>
      <c r="S251" s="564">
        <f t="shared" si="358"/>
        <v>0</v>
      </c>
      <c r="T251" s="565">
        <f t="shared" si="358"/>
        <v>0</v>
      </c>
      <c r="U251" s="566">
        <f t="shared" si="358"/>
        <v>0.26475709294939959</v>
      </c>
      <c r="V251" s="565">
        <f t="shared" si="358"/>
        <v>0.28829845011297711</v>
      </c>
      <c r="W251" s="565">
        <f t="shared" si="358"/>
        <v>0.29354558920677964</v>
      </c>
      <c r="X251" s="565">
        <f t="shared" si="358"/>
        <v>0.38251713098212681</v>
      </c>
      <c r="Y251" s="565">
        <f t="shared" si="358"/>
        <v>0.38946440602969423</v>
      </c>
      <c r="Z251" s="565">
        <f t="shared" si="358"/>
        <v>0.29243569059295671</v>
      </c>
      <c r="AA251" s="564">
        <f t="shared" si="358"/>
        <v>0.29631514800401348</v>
      </c>
      <c r="AB251" s="565">
        <f t="shared" si="358"/>
        <v>0.30453837190279165</v>
      </c>
      <c r="AC251" s="565">
        <f t="shared" si="358"/>
        <v>0.3088404328169238</v>
      </c>
      <c r="AD251" s="565">
        <f t="shared" si="358"/>
        <v>0.31314249373105596</v>
      </c>
      <c r="AE251" s="566">
        <f t="shared" si="358"/>
        <v>0.31744455464518806</v>
      </c>
      <c r="AF251" s="565">
        <f t="shared" si="358"/>
        <v>0.38575815327540153</v>
      </c>
      <c r="AG251" s="565">
        <f>AG249*AG250/10^6</f>
        <v>0.39218025338652229</v>
      </c>
      <c r="AH251" s="565">
        <f>AH249*AH250/10^6</f>
        <v>0.39860235349764306</v>
      </c>
      <c r="AI251" s="565">
        <f>AI249*AI250/10^6</f>
        <v>0.40502445360876388</v>
      </c>
      <c r="AJ251" s="566">
        <f t="shared" si="358"/>
        <v>0.4114465537198847</v>
      </c>
      <c r="AK251" s="548"/>
      <c r="AO251" s="984" t="str">
        <f t="shared" si="263"/>
        <v>Rev</v>
      </c>
      <c r="AP251" s="985" t="str">
        <f t="shared" si="263"/>
        <v>Sewerage</v>
      </c>
      <c r="AQ251" s="986" t="str">
        <f t="shared" si="264"/>
        <v xml:space="preserve">Price cap - Variable </v>
      </c>
      <c r="AR251" s="990">
        <f t="shared" si="265"/>
        <v>8.8916813904119874E-2</v>
      </c>
      <c r="AS251" s="987">
        <f t="shared" si="266"/>
        <v>1.8200372189813407E-2</v>
      </c>
      <c r="AT251" s="987">
        <f t="shared" si="267"/>
        <v>0.30309275644633771</v>
      </c>
      <c r="AU251" s="987">
        <f t="shared" si="268"/>
        <v>1.8161997162663202E-2</v>
      </c>
      <c r="AV251" s="1353">
        <f t="shared" si="269"/>
        <v>-0.24913371783027505</v>
      </c>
      <c r="AW251" s="1346">
        <f t="shared" si="270"/>
        <v>1.3266018943141278E-2</v>
      </c>
      <c r="AX251" s="987">
        <f t="shared" si="271"/>
        <v>2.7751614975373373E-2</v>
      </c>
      <c r="AY251" s="987">
        <f t="shared" si="272"/>
        <v>1.4126498697856649E-2</v>
      </c>
      <c r="AZ251" s="987">
        <f t="shared" si="273"/>
        <v>1.3929720519082256E-2</v>
      </c>
      <c r="BA251" s="988">
        <f t="shared" si="274"/>
        <v>1.3738349154959861E-2</v>
      </c>
      <c r="BB251" s="1346">
        <f t="shared" si="275"/>
        <v>0.21519852090885117</v>
      </c>
      <c r="BC251" s="987">
        <f t="shared" si="276"/>
        <v>1.6647995788531933E-2</v>
      </c>
      <c r="BD251" s="987">
        <f t="shared" si="277"/>
        <v>1.6375378555307574E-2</v>
      </c>
      <c r="BE251" s="987">
        <f t="shared" si="278"/>
        <v>1.6111545892211643E-2</v>
      </c>
      <c r="BF251" s="989">
        <f t="shared" si="279"/>
        <v>1.5856079932705214E-2</v>
      </c>
      <c r="BG251" s="951"/>
      <c r="BH251" s="984" t="str">
        <f t="shared" si="280"/>
        <v>Rev</v>
      </c>
      <c r="BI251" s="985" t="str">
        <f t="shared" si="281"/>
        <v>Sewerage</v>
      </c>
      <c r="BJ251" s="986" t="str">
        <f t="shared" si="282"/>
        <v xml:space="preserve">Price cap - Variable </v>
      </c>
      <c r="BK251" s="987">
        <f t="shared" ref="BK251:BU251" si="359">IF(V251="","-",IFERROR((V251/U251-1)*(U251/U$13),"-"))</f>
        <v>1.2207788495892646E-5</v>
      </c>
      <c r="BL251" s="987">
        <f t="shared" si="359"/>
        <v>2.8157571165586763E-6</v>
      </c>
      <c r="BM251" s="987">
        <f t="shared" si="359"/>
        <v>4.8084454059661854E-5</v>
      </c>
      <c r="BN251" s="987">
        <f t="shared" si="359"/>
        <v>3.7330992182347656E-6</v>
      </c>
      <c r="BO251" s="1353">
        <f t="shared" si="359"/>
        <v>-5.1483726555919474E-5</v>
      </c>
      <c r="BP251" s="1346">
        <f t="shared" si="359"/>
        <v>2.0593341542682455E-6</v>
      </c>
      <c r="BQ251" s="987">
        <f t="shared" si="359"/>
        <v>4.34336773532511E-6</v>
      </c>
      <c r="BR251" s="987">
        <f t="shared" si="359"/>
        <v>2.1874970311025915E-6</v>
      </c>
      <c r="BS251" s="987">
        <f t="shared" si="359"/>
        <v>2.1461150160810796E-6</v>
      </c>
      <c r="BT251" s="988">
        <f t="shared" si="359"/>
        <v>2.1060345133321902E-6</v>
      </c>
      <c r="BU251" s="987">
        <f t="shared" si="359"/>
        <v>3.2811813002556324E-5</v>
      </c>
      <c r="BV251" s="987">
        <f>IF(AG251="","-",IFERROR((AG251/AF251-1)*(AF251/AF$13),"-"))</f>
        <v>2.9462211448782981E-6</v>
      </c>
      <c r="BW251" s="987">
        <f>IF(AH251="","-",IFERROR((AH251/AG251-1)*(AG251/AG$13),"-"))</f>
        <v>2.9055243831614606E-6</v>
      </c>
      <c r="BX251" s="987">
        <f>IF(AI251="","-",IFERROR((AI251/AH251-1)*(AH251/AH$13),"-"))</f>
        <v>2.8635822258819957E-6</v>
      </c>
      <c r="BY251" s="989">
        <f>IF(AJ251="","-",IFERROR((AJ251/AI251-1)*(AI251/AI$13),"-"))</f>
        <v>2.8151170743981218E-6</v>
      </c>
      <c r="BZ251" s="951"/>
      <c r="CA251" s="984" t="str">
        <f t="shared" si="259"/>
        <v>Rev</v>
      </c>
      <c r="CB251" s="985" t="str">
        <f t="shared" si="260"/>
        <v>Sewerage</v>
      </c>
      <c r="CC251" s="985" t="str">
        <f t="shared" si="261"/>
        <v xml:space="preserve">Price cap - Variable </v>
      </c>
      <c r="CD251" s="990">
        <f t="shared" si="287"/>
        <v>5.2965101606373688E-2</v>
      </c>
      <c r="CE251" s="987">
        <f t="shared" si="287"/>
        <v>0.13049269913901096</v>
      </c>
      <c r="CF251" s="987">
        <f t="shared" si="287"/>
        <v>0.10129848609534875</v>
      </c>
      <c r="CG251" s="988">
        <f t="shared" si="284"/>
        <v>2.0085452968179096E-2</v>
      </c>
      <c r="CH251" s="987">
        <f t="shared" si="288"/>
        <v>2.0483114690527771E-2</v>
      </c>
      <c r="CI251" s="987">
        <f t="shared" si="288"/>
        <v>1.8359827901651027E-2</v>
      </c>
      <c r="CJ251" s="987">
        <f t="shared" si="288"/>
        <v>1.7250489705451511E-2</v>
      </c>
      <c r="CK251" s="989">
        <f t="shared" si="285"/>
        <v>1.6547089504713286E-2</v>
      </c>
    </row>
    <row r="252" spans="4:89">
      <c r="D252" s="63">
        <f>D249+1</f>
        <v>62</v>
      </c>
      <c r="E252" s="550" t="s">
        <v>857</v>
      </c>
      <c r="F252" s="595" t="s">
        <v>402</v>
      </c>
      <c r="G252" s="595" t="s">
        <v>877</v>
      </c>
      <c r="H252" s="595" t="s">
        <v>903</v>
      </c>
      <c r="I252" s="589" t="s">
        <v>939</v>
      </c>
      <c r="J252" s="589" t="s">
        <v>879</v>
      </c>
      <c r="K252" s="551"/>
      <c r="L252" s="552"/>
      <c r="M252" s="552"/>
      <c r="N252" s="551"/>
      <c r="O252" s="552"/>
      <c r="P252" s="552"/>
      <c r="Q252" s="552"/>
      <c r="R252" s="1035"/>
      <c r="S252" s="1138"/>
      <c r="T252" s="591"/>
      <c r="U252" s="1035">
        <v>6872966.815008576</v>
      </c>
      <c r="V252" s="591">
        <v>6872966.8130025445</v>
      </c>
      <c r="W252" s="591">
        <v>7570119.9947457621</v>
      </c>
      <c r="X252" s="591">
        <v>8259764.6915158369</v>
      </c>
      <c r="Y252" s="591">
        <v>8292770.0676200865</v>
      </c>
      <c r="Z252" s="591">
        <v>8351933.3899999997</v>
      </c>
      <c r="AA252" s="1138">
        <v>9008558.7143098377</v>
      </c>
      <c r="AB252" s="591">
        <v>9716807.6323903371</v>
      </c>
      <c r="AC252" s="591">
        <v>10480738.768444883</v>
      </c>
      <c r="AD252" s="591">
        <v>11304729.83392401</v>
      </c>
      <c r="AE252" s="1035">
        <v>12193502.714024223</v>
      </c>
      <c r="AF252" s="591">
        <v>12238202.447075462</v>
      </c>
      <c r="AG252" s="591">
        <v>12283066.043307094</v>
      </c>
      <c r="AH252" s="591">
        <v>12328094.103419393</v>
      </c>
      <c r="AI252" s="591">
        <v>12373287.230314719</v>
      </c>
      <c r="AJ252" s="592">
        <v>12418646.029105591</v>
      </c>
      <c r="AK252" s="548"/>
      <c r="AM252" s="974"/>
      <c r="AO252" s="975" t="str">
        <f t="shared" si="263"/>
        <v>Price</v>
      </c>
      <c r="AP252" s="976" t="str">
        <f t="shared" si="263"/>
        <v>Sewerage</v>
      </c>
      <c r="AQ252" s="977" t="str">
        <f t="shared" si="264"/>
        <v>Price cap - Fixed</v>
      </c>
      <c r="AR252" s="1341">
        <f t="shared" si="265"/>
        <v>-2.918727481926453E-10</v>
      </c>
      <c r="AS252" s="978">
        <f t="shared" si="266"/>
        <v>0.10143409690620309</v>
      </c>
      <c r="AT252" s="979">
        <f t="shared" si="267"/>
        <v>9.1100893677872996E-2</v>
      </c>
      <c r="AU252" s="979">
        <f t="shared" si="268"/>
        <v>3.9959220797356476E-3</v>
      </c>
      <c r="AV252" s="1352">
        <f t="shared" si="269"/>
        <v>7.1343256713365388E-3</v>
      </c>
      <c r="AW252" s="1345">
        <f t="shared" si="270"/>
        <v>7.8619559525706206E-2</v>
      </c>
      <c r="AX252" s="979">
        <f t="shared" si="271"/>
        <v>7.8619559525705984E-2</v>
      </c>
      <c r="AY252" s="979">
        <f t="shared" si="272"/>
        <v>7.8619559525705984E-2</v>
      </c>
      <c r="AZ252" s="979">
        <f t="shared" si="273"/>
        <v>7.8619559525705984E-2</v>
      </c>
      <c r="BA252" s="980">
        <f t="shared" si="274"/>
        <v>7.8619559525705984E-2</v>
      </c>
      <c r="BB252" s="1345">
        <f t="shared" si="275"/>
        <v>3.6658648543890227E-3</v>
      </c>
      <c r="BC252" s="979">
        <f t="shared" si="276"/>
        <v>3.6658648543890227E-3</v>
      </c>
      <c r="BD252" s="979">
        <f t="shared" si="277"/>
        <v>3.6658648543890227E-3</v>
      </c>
      <c r="BE252" s="979">
        <f t="shared" si="278"/>
        <v>3.6658648543890227E-3</v>
      </c>
      <c r="BF252" s="981">
        <f t="shared" si="279"/>
        <v>3.6658648543890227E-3</v>
      </c>
      <c r="BG252" s="951"/>
      <c r="BH252" s="975" t="str">
        <f t="shared" si="280"/>
        <v>Price</v>
      </c>
      <c r="BI252" s="976" t="str">
        <f t="shared" si="281"/>
        <v>Sewerage</v>
      </c>
      <c r="BJ252" s="977" t="str">
        <f t="shared" si="282"/>
        <v>Price cap - Fixed</v>
      </c>
      <c r="BK252" s="978">
        <f t="shared" ref="BK252:BU252" si="360">IF(V252="","-",IFERROR((V252/U252-1)*(U254/U$13),"-"))</f>
        <v>-1.2483160096079806E-11</v>
      </c>
      <c r="BL252" s="978">
        <f t="shared" si="360"/>
        <v>4.4893356118046067E-3</v>
      </c>
      <c r="BM252" s="979">
        <f t="shared" si="360"/>
        <v>4.4726016536472237E-3</v>
      </c>
      <c r="BN252" s="979">
        <f t="shared" si="360"/>
        <v>2.1282418137532963E-4</v>
      </c>
      <c r="BO252" s="1352">
        <f t="shared" si="360"/>
        <v>3.7670682925197929E-4</v>
      </c>
      <c r="BP252" s="1345">
        <f t="shared" si="360"/>
        <v>4.1826806595833838E-3</v>
      </c>
      <c r="BQ252" s="979">
        <f t="shared" si="360"/>
        <v>4.4890211487397273E-3</v>
      </c>
      <c r="BR252" s="979">
        <f t="shared" si="360"/>
        <v>4.6612926932669925E-3</v>
      </c>
      <c r="BS252" s="979">
        <f t="shared" si="360"/>
        <v>4.9326487022040774E-3</v>
      </c>
      <c r="BT252" s="980">
        <f t="shared" si="360"/>
        <v>5.2210874667700793E-3</v>
      </c>
      <c r="BU252" s="979">
        <f t="shared" si="360"/>
        <v>2.5763759688562211E-4</v>
      </c>
      <c r="BV252" s="979">
        <f>IF(AG252="","-",IFERROR((AG252/AF252-1)*(AF254/AF$13),"-"))</f>
        <v>2.4698103156136952E-4</v>
      </c>
      <c r="BW252" s="979">
        <f>IF(AH252="","-",IFERROR((AH252/AG252-1)*(AG254/AG$13),"-"))</f>
        <v>2.4446232413511006E-4</v>
      </c>
      <c r="BX252" s="979">
        <f>IF(AI252="","-",IFERROR((AI252/AH252-1)*(AH254/AH$13),"-"))</f>
        <v>2.4181666309196982E-4</v>
      </c>
      <c r="BY252" s="981">
        <f>IF(AJ252="","-",IFERROR((AJ252/AI252-1)*(AI254/AI$13),"-"))</f>
        <v>2.3859546268222595E-4</v>
      </c>
      <c r="BZ252" s="951"/>
      <c r="CA252" s="975" t="str">
        <f t="shared" si="259"/>
        <v>Price</v>
      </c>
      <c r="CB252" s="976" t="str">
        <f t="shared" si="260"/>
        <v>Sewerage</v>
      </c>
      <c r="CC252" s="982" t="str">
        <f t="shared" si="261"/>
        <v>Price cap - Fixed</v>
      </c>
      <c r="CD252" s="983">
        <f t="shared" si="287"/>
        <v>4.9492304204620918E-2</v>
      </c>
      <c r="CE252" s="979">
        <f t="shared" si="287"/>
        <v>6.3182475188860332E-2</v>
      </c>
      <c r="CF252" s="979">
        <f t="shared" si="287"/>
        <v>4.8066511228131104E-2</v>
      </c>
      <c r="CG252" s="980">
        <f t="shared" si="284"/>
        <v>3.9749104516414002E-2</v>
      </c>
      <c r="CH252" s="979">
        <f t="shared" si="288"/>
        <v>7.8619559525705984E-2</v>
      </c>
      <c r="CI252" s="979">
        <f t="shared" si="288"/>
        <v>7.8619559525705984E-2</v>
      </c>
      <c r="CJ252" s="979">
        <f t="shared" si="288"/>
        <v>7.8619559525705984E-2</v>
      </c>
      <c r="CK252" s="981">
        <f t="shared" si="285"/>
        <v>7.8619559525705984E-2</v>
      </c>
    </row>
    <row r="253" spans="4:89">
      <c r="E253" s="567" t="s">
        <v>880</v>
      </c>
      <c r="F253" s="554" t="str">
        <f>+F252</f>
        <v>Sewerage</v>
      </c>
      <c r="G253" s="555" t="str">
        <f>+G252</f>
        <v>GWW</v>
      </c>
      <c r="H253" s="555" t="str">
        <f>+H252</f>
        <v>Sewerage Treatment/Transfer Fixed</v>
      </c>
      <c r="I253" s="556" t="str">
        <f>+I252</f>
        <v>Price cap - Fixed</v>
      </c>
      <c r="J253" s="590" t="s">
        <v>890</v>
      </c>
      <c r="K253" s="557"/>
      <c r="L253" s="558"/>
      <c r="M253" s="558"/>
      <c r="N253" s="557"/>
      <c r="O253" s="558"/>
      <c r="P253" s="558"/>
      <c r="Q253" s="558"/>
      <c r="R253" s="1036"/>
      <c r="S253" s="1139"/>
      <c r="T253" s="593"/>
      <c r="U253" s="1036">
        <v>12</v>
      </c>
      <c r="V253" s="593">
        <v>12</v>
      </c>
      <c r="W253" s="593">
        <v>12</v>
      </c>
      <c r="X253" s="593">
        <v>12</v>
      </c>
      <c r="Y253" s="593">
        <v>12</v>
      </c>
      <c r="Z253" s="593">
        <v>12</v>
      </c>
      <c r="AA253" s="1139">
        <v>12</v>
      </c>
      <c r="AB253" s="593">
        <v>12</v>
      </c>
      <c r="AC253" s="593">
        <v>12</v>
      </c>
      <c r="AD253" s="593">
        <v>12</v>
      </c>
      <c r="AE253" s="1036">
        <v>12</v>
      </c>
      <c r="AF253" s="593">
        <v>12</v>
      </c>
      <c r="AG253" s="593">
        <v>12</v>
      </c>
      <c r="AH253" s="593">
        <v>12</v>
      </c>
      <c r="AI253" s="593">
        <v>12</v>
      </c>
      <c r="AJ253" s="594">
        <v>12</v>
      </c>
      <c r="AK253" s="548"/>
      <c r="AO253" s="961" t="str">
        <f t="shared" si="263"/>
        <v>Qty</v>
      </c>
      <c r="AP253" s="962" t="str">
        <f t="shared" si="263"/>
        <v>Sewerage</v>
      </c>
      <c r="AQ253" s="963" t="str">
        <f t="shared" si="264"/>
        <v>Price cap - Fixed</v>
      </c>
      <c r="AR253" s="967">
        <f t="shared" si="265"/>
        <v>0</v>
      </c>
      <c r="AS253" s="964">
        <f t="shared" si="266"/>
        <v>0</v>
      </c>
      <c r="AT253" s="964">
        <f t="shared" si="267"/>
        <v>0</v>
      </c>
      <c r="AU253" s="964">
        <f t="shared" si="268"/>
        <v>0</v>
      </c>
      <c r="AV253" s="1350">
        <f t="shared" si="269"/>
        <v>0</v>
      </c>
      <c r="AW253" s="1343">
        <f t="shared" si="270"/>
        <v>0</v>
      </c>
      <c r="AX253" s="964">
        <f t="shared" si="271"/>
        <v>0</v>
      </c>
      <c r="AY253" s="964">
        <f t="shared" si="272"/>
        <v>0</v>
      </c>
      <c r="AZ253" s="964">
        <f t="shared" si="273"/>
        <v>0</v>
      </c>
      <c r="BA253" s="965">
        <f t="shared" si="274"/>
        <v>0</v>
      </c>
      <c r="BB253" s="1343">
        <f t="shared" si="275"/>
        <v>0</v>
      </c>
      <c r="BC253" s="964">
        <f t="shared" si="276"/>
        <v>0</v>
      </c>
      <c r="BD253" s="964">
        <f t="shared" si="277"/>
        <v>0</v>
      </c>
      <c r="BE253" s="964">
        <f t="shared" si="278"/>
        <v>0</v>
      </c>
      <c r="BF253" s="966">
        <f t="shared" si="279"/>
        <v>0</v>
      </c>
      <c r="BG253" s="951"/>
      <c r="BH253" s="961" t="str">
        <f t="shared" si="280"/>
        <v>Qty</v>
      </c>
      <c r="BI253" s="962" t="str">
        <f t="shared" si="281"/>
        <v>Sewerage</v>
      </c>
      <c r="BJ253" s="963" t="str">
        <f t="shared" si="282"/>
        <v>Price cap - Fixed</v>
      </c>
      <c r="BK253" s="964">
        <f t="shared" ref="BK253:BU253" si="361">IF(V253="","-",IFERROR((V253/U253-1)*(U254/U$13),"-"))</f>
        <v>0</v>
      </c>
      <c r="BL253" s="964">
        <f t="shared" si="361"/>
        <v>0</v>
      </c>
      <c r="BM253" s="964">
        <f t="shared" si="361"/>
        <v>0</v>
      </c>
      <c r="BN253" s="964">
        <f t="shared" si="361"/>
        <v>0</v>
      </c>
      <c r="BO253" s="1350">
        <f t="shared" si="361"/>
        <v>0</v>
      </c>
      <c r="BP253" s="1343">
        <f t="shared" si="361"/>
        <v>0</v>
      </c>
      <c r="BQ253" s="964">
        <f t="shared" si="361"/>
        <v>0</v>
      </c>
      <c r="BR253" s="964">
        <f t="shared" si="361"/>
        <v>0</v>
      </c>
      <c r="BS253" s="964">
        <f t="shared" si="361"/>
        <v>0</v>
      </c>
      <c r="BT253" s="965">
        <f t="shared" si="361"/>
        <v>0</v>
      </c>
      <c r="BU253" s="964">
        <f t="shared" si="361"/>
        <v>0</v>
      </c>
      <c r="BV253" s="964">
        <f>IF(AG253="","-",IFERROR((AG253/AF253-1)*(AF254/AF$13),"-"))</f>
        <v>0</v>
      </c>
      <c r="BW253" s="964">
        <f>IF(AH253="","-",IFERROR((AH253/AG253-1)*(AG254/AG$13),"-"))</f>
        <v>0</v>
      </c>
      <c r="BX253" s="964">
        <f>IF(AI253="","-",IFERROR((AI253/AH253-1)*(AH254/AH$13),"-"))</f>
        <v>0</v>
      </c>
      <c r="BY253" s="966">
        <f>IF(AJ253="","-",IFERROR((AJ253/AI253-1)*(AI254/AI$13),"-"))</f>
        <v>0</v>
      </c>
      <c r="BZ253" s="951"/>
      <c r="CA253" s="961" t="str">
        <f t="shared" si="259"/>
        <v>Qty</v>
      </c>
      <c r="CB253" s="962" t="str">
        <f t="shared" si="260"/>
        <v>Sewerage</v>
      </c>
      <c r="CC253" s="962" t="str">
        <f t="shared" si="261"/>
        <v>Price cap - Fixed</v>
      </c>
      <c r="CD253" s="967">
        <f t="shared" si="287"/>
        <v>0</v>
      </c>
      <c r="CE253" s="964">
        <f t="shared" si="287"/>
        <v>0</v>
      </c>
      <c r="CF253" s="964">
        <f t="shared" si="287"/>
        <v>0</v>
      </c>
      <c r="CG253" s="965">
        <f t="shared" si="284"/>
        <v>0</v>
      </c>
      <c r="CH253" s="964">
        <f t="shared" si="288"/>
        <v>0</v>
      </c>
      <c r="CI253" s="964">
        <f t="shared" si="288"/>
        <v>0</v>
      </c>
      <c r="CJ253" s="964">
        <f t="shared" si="288"/>
        <v>0</v>
      </c>
      <c r="CK253" s="966">
        <f t="shared" si="285"/>
        <v>0</v>
      </c>
    </row>
    <row r="254" spans="4:89" ht="12.75" thickBot="1">
      <c r="E254" s="568" t="s">
        <v>882</v>
      </c>
      <c r="F254" s="560" t="str">
        <f>+F252</f>
        <v>Sewerage</v>
      </c>
      <c r="G254" s="561" t="str">
        <f>+G252</f>
        <v>GWW</v>
      </c>
      <c r="H254" s="561" t="str">
        <f>+H252</f>
        <v>Sewerage Treatment/Transfer Fixed</v>
      </c>
      <c r="I254" s="562" t="str">
        <f>+I252</f>
        <v>Price cap - Fixed</v>
      </c>
      <c r="J254" s="563" t="s">
        <v>883</v>
      </c>
      <c r="K254" s="564">
        <f t="shared" ref="K254:AJ254" si="362">K252*K253/10^6</f>
        <v>0</v>
      </c>
      <c r="L254" s="565">
        <f t="shared" si="362"/>
        <v>0</v>
      </c>
      <c r="M254" s="565">
        <f t="shared" si="362"/>
        <v>0</v>
      </c>
      <c r="N254" s="564">
        <f t="shared" si="362"/>
        <v>0</v>
      </c>
      <c r="O254" s="565">
        <f t="shared" si="362"/>
        <v>0</v>
      </c>
      <c r="P254" s="565">
        <f t="shared" si="362"/>
        <v>0</v>
      </c>
      <c r="Q254" s="565">
        <f t="shared" si="362"/>
        <v>0</v>
      </c>
      <c r="R254" s="566">
        <f t="shared" si="362"/>
        <v>0</v>
      </c>
      <c r="S254" s="564">
        <f t="shared" si="362"/>
        <v>0</v>
      </c>
      <c r="T254" s="565">
        <f t="shared" si="362"/>
        <v>0</v>
      </c>
      <c r="U254" s="566">
        <f t="shared" si="362"/>
        <v>82.475601780102906</v>
      </c>
      <c r="V254" s="565">
        <f t="shared" si="362"/>
        <v>82.475601756030528</v>
      </c>
      <c r="W254" s="565">
        <f t="shared" si="362"/>
        <v>90.841439936949143</v>
      </c>
      <c r="X254" s="565">
        <f t="shared" si="362"/>
        <v>99.117176298190046</v>
      </c>
      <c r="Y254" s="565">
        <f t="shared" si="362"/>
        <v>99.513240811441037</v>
      </c>
      <c r="Z254" s="565">
        <f t="shared" si="362"/>
        <v>100.22320067999999</v>
      </c>
      <c r="AA254" s="564">
        <f t="shared" si="362"/>
        <v>108.10270457171805</v>
      </c>
      <c r="AB254" s="565">
        <f t="shared" si="362"/>
        <v>116.60169158868405</v>
      </c>
      <c r="AC254" s="565">
        <f t="shared" si="362"/>
        <v>125.7688652213386</v>
      </c>
      <c r="AD254" s="565">
        <f t="shared" si="362"/>
        <v>135.65675800708811</v>
      </c>
      <c r="AE254" s="566">
        <f t="shared" si="362"/>
        <v>146.32203256829069</v>
      </c>
      <c r="AF254" s="565">
        <f t="shared" si="362"/>
        <v>146.85842936490553</v>
      </c>
      <c r="AG254" s="565">
        <f>AG252*AG253/10^6</f>
        <v>147.39679251968511</v>
      </c>
      <c r="AH254" s="565">
        <f>AH252*AH253/10^6</f>
        <v>147.93712924103272</v>
      </c>
      <c r="AI254" s="565">
        <f>AI252*AI253/10^6</f>
        <v>148.47944676377662</v>
      </c>
      <c r="AJ254" s="566">
        <f t="shared" si="362"/>
        <v>149.02375234926708</v>
      </c>
      <c r="AK254" s="548"/>
      <c r="AO254" s="984" t="str">
        <f t="shared" si="263"/>
        <v>Rev</v>
      </c>
      <c r="AP254" s="985" t="str">
        <f t="shared" si="263"/>
        <v>Sewerage</v>
      </c>
      <c r="AQ254" s="986" t="str">
        <f t="shared" si="264"/>
        <v>Price cap - Fixed</v>
      </c>
      <c r="AR254" s="990">
        <f t="shared" si="265"/>
        <v>-2.918727481926453E-10</v>
      </c>
      <c r="AS254" s="987">
        <f t="shared" si="266"/>
        <v>0.10143409690620309</v>
      </c>
      <c r="AT254" s="987">
        <f t="shared" si="267"/>
        <v>9.1100893677873218E-2</v>
      </c>
      <c r="AU254" s="987">
        <f t="shared" si="268"/>
        <v>3.9959220797356476E-3</v>
      </c>
      <c r="AV254" s="1353">
        <f t="shared" si="269"/>
        <v>7.1343256713365388E-3</v>
      </c>
      <c r="AW254" s="1346">
        <f t="shared" si="270"/>
        <v>7.8619559525706206E-2</v>
      </c>
      <c r="AX254" s="987">
        <f t="shared" si="271"/>
        <v>7.8619559525705984E-2</v>
      </c>
      <c r="AY254" s="987">
        <f t="shared" si="272"/>
        <v>7.8619559525705984E-2</v>
      </c>
      <c r="AZ254" s="987">
        <f t="shared" si="273"/>
        <v>7.8619559525705984E-2</v>
      </c>
      <c r="BA254" s="988">
        <f t="shared" si="274"/>
        <v>7.8619559525706206E-2</v>
      </c>
      <c r="BB254" s="1346">
        <f t="shared" si="275"/>
        <v>3.6658648543888006E-3</v>
      </c>
      <c r="BC254" s="987">
        <f t="shared" si="276"/>
        <v>3.6658648543890227E-3</v>
      </c>
      <c r="BD254" s="987">
        <f t="shared" si="277"/>
        <v>3.6658648543892447E-3</v>
      </c>
      <c r="BE254" s="987">
        <f t="shared" si="278"/>
        <v>3.6658648543890227E-3</v>
      </c>
      <c r="BF254" s="989">
        <f t="shared" si="279"/>
        <v>3.6658648543890227E-3</v>
      </c>
      <c r="BG254" s="951"/>
      <c r="BH254" s="984" t="str">
        <f t="shared" si="280"/>
        <v>Rev</v>
      </c>
      <c r="BI254" s="985" t="str">
        <f t="shared" si="281"/>
        <v>Sewerage</v>
      </c>
      <c r="BJ254" s="986" t="str">
        <f t="shared" si="282"/>
        <v>Price cap - Fixed</v>
      </c>
      <c r="BK254" s="987">
        <f t="shared" ref="BK254:BU254" si="363">IF(V254="","-",IFERROR((V254/U254-1)*(U254/U$13),"-"))</f>
        <v>-1.2483160096079806E-11</v>
      </c>
      <c r="BL254" s="987">
        <f t="shared" si="363"/>
        <v>4.4893356118046067E-3</v>
      </c>
      <c r="BM254" s="987">
        <f t="shared" si="363"/>
        <v>4.472601653647235E-3</v>
      </c>
      <c r="BN254" s="987">
        <f t="shared" si="363"/>
        <v>2.1282418137532963E-4</v>
      </c>
      <c r="BO254" s="1353">
        <f t="shared" si="363"/>
        <v>3.7670682925197929E-4</v>
      </c>
      <c r="BP254" s="1346">
        <f t="shared" si="363"/>
        <v>4.1826806595833838E-3</v>
      </c>
      <c r="BQ254" s="987">
        <f t="shared" si="363"/>
        <v>4.4890211487397273E-3</v>
      </c>
      <c r="BR254" s="987">
        <f t="shared" si="363"/>
        <v>4.6612926932669925E-3</v>
      </c>
      <c r="BS254" s="987">
        <f t="shared" si="363"/>
        <v>4.9326487022040774E-3</v>
      </c>
      <c r="BT254" s="988">
        <f t="shared" si="363"/>
        <v>5.2210874667700941E-3</v>
      </c>
      <c r="BU254" s="987">
        <f t="shared" si="363"/>
        <v>2.5763759688560649E-4</v>
      </c>
      <c r="BV254" s="987">
        <f>IF(AG254="","-",IFERROR((AG254/AF254-1)*(AF254/AF$13),"-"))</f>
        <v>2.4698103156136952E-4</v>
      </c>
      <c r="BW254" s="987">
        <f>IF(AH254="","-",IFERROR((AH254/AG254-1)*(AG254/AG$13),"-"))</f>
        <v>2.4446232413512486E-4</v>
      </c>
      <c r="BX254" s="987">
        <f>IF(AI254="","-",IFERROR((AI254/AH254-1)*(AH254/AH$13),"-"))</f>
        <v>2.4181666309196982E-4</v>
      </c>
      <c r="BY254" s="989">
        <f>IF(AJ254="","-",IFERROR((AJ254/AI254-1)*(AI254/AI$13),"-"))</f>
        <v>2.3859546268222595E-4</v>
      </c>
      <c r="BZ254" s="951"/>
      <c r="CA254" s="984" t="str">
        <f t="shared" si="259"/>
        <v>Rev</v>
      </c>
      <c r="CB254" s="985" t="str">
        <f t="shared" si="260"/>
        <v>Sewerage</v>
      </c>
      <c r="CC254" s="985" t="str">
        <f t="shared" si="261"/>
        <v>Price cap - Fixed</v>
      </c>
      <c r="CD254" s="990">
        <f t="shared" si="287"/>
        <v>4.9492304204620918E-2</v>
      </c>
      <c r="CE254" s="987">
        <f t="shared" si="287"/>
        <v>6.3182475188860554E-2</v>
      </c>
      <c r="CF254" s="987">
        <f t="shared" si="287"/>
        <v>4.8066511228131104E-2</v>
      </c>
      <c r="CG254" s="988">
        <f t="shared" si="284"/>
        <v>3.9749104516414002E-2</v>
      </c>
      <c r="CH254" s="987">
        <f t="shared" si="288"/>
        <v>7.8619559525705984E-2</v>
      </c>
      <c r="CI254" s="987">
        <f t="shared" si="288"/>
        <v>7.8619559525705984E-2</v>
      </c>
      <c r="CJ254" s="987">
        <f t="shared" si="288"/>
        <v>7.8619559525705984E-2</v>
      </c>
      <c r="CK254" s="989">
        <f t="shared" si="285"/>
        <v>7.8619559525705984E-2</v>
      </c>
    </row>
    <row r="255" spans="4:89">
      <c r="D255" s="63">
        <f>D252+1</f>
        <v>63</v>
      </c>
      <c r="E255" s="550" t="s">
        <v>857</v>
      </c>
      <c r="F255" s="2042" t="s">
        <v>402</v>
      </c>
      <c r="G255" s="2042" t="s">
        <v>92</v>
      </c>
      <c r="H255" s="2042" t="s">
        <v>903</v>
      </c>
      <c r="I255" s="589" t="s">
        <v>939</v>
      </c>
      <c r="J255" s="589" t="s">
        <v>879</v>
      </c>
      <c r="K255" s="2043"/>
      <c r="L255" s="2044"/>
      <c r="M255" s="2044"/>
      <c r="N255" s="2043"/>
      <c r="O255" s="2044"/>
      <c r="P255" s="2044"/>
      <c r="Q255" s="2044"/>
      <c r="R255" s="2045"/>
      <c r="S255" s="2046"/>
      <c r="T255" s="2047"/>
      <c r="U255" s="2045">
        <v>16015745.175025726</v>
      </c>
      <c r="V255" s="2046">
        <v>16015745.169007633</v>
      </c>
      <c r="W255" s="2047">
        <v>15756918.277966099</v>
      </c>
      <c r="X255" s="2047">
        <v>16019055.153800905</v>
      </c>
      <c r="Y255" s="2047">
        <v>16671070.559301309</v>
      </c>
      <c r="Z255" s="2045">
        <v>17415949.879999999</v>
      </c>
      <c r="AA255" s="2046">
        <v>17907124.289541438</v>
      </c>
      <c r="AB255" s="2047">
        <v>18412151.075912774</v>
      </c>
      <c r="AC255" s="2047">
        <v>18931420.911632992</v>
      </c>
      <c r="AD255" s="2047">
        <v>19465335.487187095</v>
      </c>
      <c r="AE255" s="2045">
        <v>20014307.821760964</v>
      </c>
      <c r="AF255" s="2046">
        <v>20928105.993682604</v>
      </c>
      <c r="AG255" s="2047">
        <v>21883625.673359782</v>
      </c>
      <c r="AH255" s="2047">
        <v>22882771.749927629</v>
      </c>
      <c r="AI255" s="2047">
        <v>23927536.084512755</v>
      </c>
      <c r="AJ255" s="2045">
        <v>25020001.481134851</v>
      </c>
      <c r="AK255" s="548"/>
      <c r="AM255" s="974"/>
      <c r="AO255" s="975" t="str">
        <f t="shared" si="263"/>
        <v>Price</v>
      </c>
      <c r="AP255" s="976" t="str">
        <f t="shared" si="263"/>
        <v>Sewerage</v>
      </c>
      <c r="AQ255" s="977" t="str">
        <f t="shared" si="264"/>
        <v>Price cap - Fixed</v>
      </c>
      <c r="AR255" s="1341">
        <f t="shared" si="265"/>
        <v>-3.7576097788871721E-10</v>
      </c>
      <c r="AS255" s="978">
        <f t="shared" si="266"/>
        <v>-1.6160777304473739E-2</v>
      </c>
      <c r="AT255" s="979">
        <f t="shared" si="267"/>
        <v>1.6636303572213684E-2</v>
      </c>
      <c r="AU255" s="979">
        <f t="shared" si="268"/>
        <v>4.0702488332821529E-2</v>
      </c>
      <c r="AV255" s="1352">
        <f t="shared" si="269"/>
        <v>4.4680953034722748E-2</v>
      </c>
      <c r="AW255" s="1345">
        <f t="shared" si="270"/>
        <v>2.8202562187290781E-2</v>
      </c>
      <c r="AX255" s="979">
        <f t="shared" si="271"/>
        <v>2.8202562187290559E-2</v>
      </c>
      <c r="AY255" s="979">
        <f t="shared" si="272"/>
        <v>2.8202562187290559E-2</v>
      </c>
      <c r="AZ255" s="979">
        <f t="shared" si="273"/>
        <v>2.8202562187290559E-2</v>
      </c>
      <c r="BA255" s="980">
        <f t="shared" si="274"/>
        <v>2.8202562187290559E-2</v>
      </c>
      <c r="BB255" s="1345">
        <f t="shared" si="275"/>
        <v>4.5657245809325175E-2</v>
      </c>
      <c r="BC255" s="979">
        <f t="shared" si="276"/>
        <v>4.5657245809325175E-2</v>
      </c>
      <c r="BD255" s="979">
        <f t="shared" si="277"/>
        <v>4.5657245809325175E-2</v>
      </c>
      <c r="BE255" s="979">
        <f t="shared" si="278"/>
        <v>4.5657245809325175E-2</v>
      </c>
      <c r="BF255" s="981">
        <f t="shared" si="279"/>
        <v>4.5657245809325175E-2</v>
      </c>
      <c r="BG255" s="951"/>
      <c r="BH255" s="975" t="str">
        <f t="shared" si="280"/>
        <v>Price</v>
      </c>
      <c r="BI255" s="976" t="str">
        <f t="shared" si="281"/>
        <v>Sewerage</v>
      </c>
      <c r="BJ255" s="977" t="str">
        <f t="shared" si="282"/>
        <v>Price cap - Fixed</v>
      </c>
      <c r="BK255" s="978">
        <f t="shared" ref="BK255:BU255" si="364">IF(V255="","-",IFERROR((V255/U255-1)*(U257/U$13),"-"))</f>
        <v>-3.7449461190326662E-11</v>
      </c>
      <c r="BL255" s="978">
        <f t="shared" si="364"/>
        <v>-1.6667223354556986E-3</v>
      </c>
      <c r="BM255" s="979">
        <f t="shared" si="364"/>
        <v>1.700054868589179E-3</v>
      </c>
      <c r="BN255" s="979">
        <f t="shared" si="364"/>
        <v>4.2043043073174743E-3</v>
      </c>
      <c r="BO255" s="1352">
        <f t="shared" si="364"/>
        <v>4.7428223397244515E-3</v>
      </c>
      <c r="BP255" s="1345">
        <f t="shared" si="364"/>
        <v>3.1287640412447091E-3</v>
      </c>
      <c r="BQ255" s="979">
        <f t="shared" si="364"/>
        <v>3.2009592486850805E-3</v>
      </c>
      <c r="BR255" s="979">
        <f t="shared" si="364"/>
        <v>3.1684383275402727E-3</v>
      </c>
      <c r="BS255" s="979">
        <f t="shared" si="364"/>
        <v>3.1961669835138501E-3</v>
      </c>
      <c r="BT255" s="980">
        <f t="shared" si="364"/>
        <v>3.2249325331843515E-3</v>
      </c>
      <c r="BU255" s="979">
        <f t="shared" si="364"/>
        <v>5.266894206784137E-3</v>
      </c>
      <c r="BV255" s="979">
        <f>IF(AG255="","-",IFERROR((AG255/AF255-1)*(AF257/AF$13),"-"))</f>
        <v>5.2602835257657592E-3</v>
      </c>
      <c r="BW255" s="979">
        <f>IF(AH255="","-",IFERROR((AH255/AG255-1)*(AG257/AG$13),"-"))</f>
        <v>5.4244746813229558E-3</v>
      </c>
      <c r="BX255" s="979">
        <f>IF(AI255="","-",IFERROR((AI255/AH255-1)*(AH257/AH$13),"-"))</f>
        <v>5.5902621142377394E-3</v>
      </c>
      <c r="BY255" s="981">
        <f>IF(AJ255="","-",IFERROR((AJ255/AI255-1)*(AI257/AI$13),"-"))</f>
        <v>5.7465650264051926E-3</v>
      </c>
      <c r="BZ255" s="951"/>
      <c r="CA255" s="975" t="str">
        <f t="shared" si="259"/>
        <v>Price</v>
      </c>
      <c r="CB255" s="976" t="str">
        <f t="shared" si="260"/>
        <v>Sewerage</v>
      </c>
      <c r="CC255" s="982" t="str">
        <f t="shared" si="261"/>
        <v>Price cap - Fixed</v>
      </c>
      <c r="CD255" s="983">
        <f t="shared" si="287"/>
        <v>-8.1133016690677628E-3</v>
      </c>
      <c r="CE255" s="979">
        <f t="shared" si="287"/>
        <v>6.8885352932923638E-5</v>
      </c>
      <c r="CF255" s="979">
        <f t="shared" si="287"/>
        <v>1.0076076116971588E-2</v>
      </c>
      <c r="CG255" s="980">
        <f t="shared" si="284"/>
        <v>1.6904111384591136E-2</v>
      </c>
      <c r="CH255" s="979">
        <f t="shared" si="288"/>
        <v>2.8202562187290781E-2</v>
      </c>
      <c r="CI255" s="979">
        <f t="shared" si="288"/>
        <v>2.8202562187290559E-2</v>
      </c>
      <c r="CJ255" s="979">
        <f t="shared" si="288"/>
        <v>2.8202562187290559E-2</v>
      </c>
      <c r="CK255" s="981">
        <f t="shared" si="285"/>
        <v>2.8202562187290559E-2</v>
      </c>
    </row>
    <row r="256" spans="4:89">
      <c r="E256" s="567" t="s">
        <v>880</v>
      </c>
      <c r="F256" s="554" t="str">
        <f>+F255</f>
        <v>Sewerage</v>
      </c>
      <c r="G256" s="555" t="str">
        <f>+G255</f>
        <v>SEW</v>
      </c>
      <c r="H256" s="555" t="str">
        <f>+H255</f>
        <v>Sewerage Treatment/Transfer Fixed</v>
      </c>
      <c r="I256" s="556" t="str">
        <f>+I255</f>
        <v>Price cap - Fixed</v>
      </c>
      <c r="J256" s="590" t="s">
        <v>890</v>
      </c>
      <c r="K256" s="557"/>
      <c r="L256" s="558"/>
      <c r="M256" s="558"/>
      <c r="N256" s="557"/>
      <c r="O256" s="558"/>
      <c r="P256" s="558"/>
      <c r="Q256" s="558"/>
      <c r="R256" s="1036"/>
      <c r="S256" s="1139"/>
      <c r="T256" s="593"/>
      <c r="U256" s="1036">
        <v>12</v>
      </c>
      <c r="V256" s="593">
        <v>12</v>
      </c>
      <c r="W256" s="593">
        <v>12</v>
      </c>
      <c r="X256" s="593">
        <v>12</v>
      </c>
      <c r="Y256" s="593">
        <v>12</v>
      </c>
      <c r="Z256" s="593">
        <v>12</v>
      </c>
      <c r="AA256" s="1139">
        <v>12</v>
      </c>
      <c r="AB256" s="593">
        <v>12</v>
      </c>
      <c r="AC256" s="593">
        <v>12</v>
      </c>
      <c r="AD256" s="593">
        <v>12</v>
      </c>
      <c r="AE256" s="1036">
        <v>12</v>
      </c>
      <c r="AF256" s="593">
        <v>12</v>
      </c>
      <c r="AG256" s="593">
        <v>12</v>
      </c>
      <c r="AH256" s="593">
        <v>12</v>
      </c>
      <c r="AI256" s="593">
        <v>12</v>
      </c>
      <c r="AJ256" s="594">
        <v>12</v>
      </c>
      <c r="AK256" s="548"/>
      <c r="AO256" s="961" t="str">
        <f t="shared" si="263"/>
        <v>Qty</v>
      </c>
      <c r="AP256" s="962" t="str">
        <f t="shared" si="263"/>
        <v>Sewerage</v>
      </c>
      <c r="AQ256" s="963" t="str">
        <f t="shared" si="264"/>
        <v>Price cap - Fixed</v>
      </c>
      <c r="AR256" s="967">
        <f t="shared" si="265"/>
        <v>0</v>
      </c>
      <c r="AS256" s="964">
        <f t="shared" si="266"/>
        <v>0</v>
      </c>
      <c r="AT256" s="964">
        <f t="shared" si="267"/>
        <v>0</v>
      </c>
      <c r="AU256" s="964">
        <f t="shared" si="268"/>
        <v>0</v>
      </c>
      <c r="AV256" s="1350">
        <f t="shared" si="269"/>
        <v>0</v>
      </c>
      <c r="AW256" s="1343">
        <f t="shared" si="270"/>
        <v>0</v>
      </c>
      <c r="AX256" s="964">
        <f t="shared" si="271"/>
        <v>0</v>
      </c>
      <c r="AY256" s="964">
        <f t="shared" si="272"/>
        <v>0</v>
      </c>
      <c r="AZ256" s="964">
        <f t="shared" si="273"/>
        <v>0</v>
      </c>
      <c r="BA256" s="965">
        <f t="shared" si="274"/>
        <v>0</v>
      </c>
      <c r="BB256" s="1343">
        <f t="shared" si="275"/>
        <v>0</v>
      </c>
      <c r="BC256" s="964">
        <f t="shared" si="276"/>
        <v>0</v>
      </c>
      <c r="BD256" s="964">
        <f t="shared" si="277"/>
        <v>0</v>
      </c>
      <c r="BE256" s="964">
        <f t="shared" si="278"/>
        <v>0</v>
      </c>
      <c r="BF256" s="966">
        <f t="shared" si="279"/>
        <v>0</v>
      </c>
      <c r="BG256" s="951"/>
      <c r="BH256" s="961" t="str">
        <f t="shared" si="280"/>
        <v>Qty</v>
      </c>
      <c r="BI256" s="962" t="str">
        <f t="shared" si="281"/>
        <v>Sewerage</v>
      </c>
      <c r="BJ256" s="963" t="str">
        <f t="shared" si="282"/>
        <v>Price cap - Fixed</v>
      </c>
      <c r="BK256" s="964">
        <f t="shared" ref="BK256:BU256" si="365">IF(V256="","-",IFERROR((V256/U256-1)*(U257/U$13),"-"))</f>
        <v>0</v>
      </c>
      <c r="BL256" s="964">
        <f t="shared" si="365"/>
        <v>0</v>
      </c>
      <c r="BM256" s="964">
        <f t="shared" si="365"/>
        <v>0</v>
      </c>
      <c r="BN256" s="964">
        <f t="shared" si="365"/>
        <v>0</v>
      </c>
      <c r="BO256" s="1350">
        <f t="shared" si="365"/>
        <v>0</v>
      </c>
      <c r="BP256" s="1343">
        <f t="shared" si="365"/>
        <v>0</v>
      </c>
      <c r="BQ256" s="964">
        <f t="shared" si="365"/>
        <v>0</v>
      </c>
      <c r="BR256" s="964">
        <f t="shared" si="365"/>
        <v>0</v>
      </c>
      <c r="BS256" s="964">
        <f t="shared" si="365"/>
        <v>0</v>
      </c>
      <c r="BT256" s="965">
        <f t="shared" si="365"/>
        <v>0</v>
      </c>
      <c r="BU256" s="964">
        <f t="shared" si="365"/>
        <v>0</v>
      </c>
      <c r="BV256" s="964">
        <f>IF(AG256="","-",IFERROR((AG256/AF256-1)*(AF257/AF$13),"-"))</f>
        <v>0</v>
      </c>
      <c r="BW256" s="964">
        <f>IF(AH256="","-",IFERROR((AH256/AG256-1)*(AG257/AG$13),"-"))</f>
        <v>0</v>
      </c>
      <c r="BX256" s="964">
        <f>IF(AI256="","-",IFERROR((AI256/AH256-1)*(AH257/AH$13),"-"))</f>
        <v>0</v>
      </c>
      <c r="BY256" s="966">
        <f>IF(AJ256="","-",IFERROR((AJ256/AI256-1)*(AI257/AI$13),"-"))</f>
        <v>0</v>
      </c>
      <c r="BZ256" s="951"/>
      <c r="CA256" s="961" t="str">
        <f t="shared" si="259"/>
        <v>Qty</v>
      </c>
      <c r="CB256" s="962" t="str">
        <f t="shared" si="260"/>
        <v>Sewerage</v>
      </c>
      <c r="CC256" s="962" t="str">
        <f t="shared" si="261"/>
        <v>Price cap - Fixed</v>
      </c>
      <c r="CD256" s="967">
        <f t="shared" si="287"/>
        <v>0</v>
      </c>
      <c r="CE256" s="964">
        <f t="shared" si="287"/>
        <v>0</v>
      </c>
      <c r="CF256" s="964">
        <f t="shared" si="287"/>
        <v>0</v>
      </c>
      <c r="CG256" s="965">
        <f t="shared" si="284"/>
        <v>0</v>
      </c>
      <c r="CH256" s="964">
        <f t="shared" si="288"/>
        <v>0</v>
      </c>
      <c r="CI256" s="964">
        <f t="shared" si="288"/>
        <v>0</v>
      </c>
      <c r="CJ256" s="964">
        <f t="shared" si="288"/>
        <v>0</v>
      </c>
      <c r="CK256" s="966">
        <f t="shared" si="285"/>
        <v>0</v>
      </c>
    </row>
    <row r="257" spans="4:89" ht="12.75" thickBot="1">
      <c r="E257" s="568" t="s">
        <v>882</v>
      </c>
      <c r="F257" s="560" t="str">
        <f>+F255</f>
        <v>Sewerage</v>
      </c>
      <c r="G257" s="561" t="str">
        <f>+G255</f>
        <v>SEW</v>
      </c>
      <c r="H257" s="561" t="str">
        <f>+H255</f>
        <v>Sewerage Treatment/Transfer Fixed</v>
      </c>
      <c r="I257" s="562" t="str">
        <f>+I255</f>
        <v>Price cap - Fixed</v>
      </c>
      <c r="J257" s="563" t="s">
        <v>883</v>
      </c>
      <c r="K257" s="564">
        <f t="shared" ref="K257:AJ257" si="366">K255*K256/10^6</f>
        <v>0</v>
      </c>
      <c r="L257" s="565">
        <f t="shared" si="366"/>
        <v>0</v>
      </c>
      <c r="M257" s="565">
        <f t="shared" si="366"/>
        <v>0</v>
      </c>
      <c r="N257" s="564">
        <f t="shared" si="366"/>
        <v>0</v>
      </c>
      <c r="O257" s="565">
        <f t="shared" si="366"/>
        <v>0</v>
      </c>
      <c r="P257" s="565">
        <f t="shared" si="366"/>
        <v>0</v>
      </c>
      <c r="Q257" s="565">
        <f t="shared" si="366"/>
        <v>0</v>
      </c>
      <c r="R257" s="566">
        <f t="shared" si="366"/>
        <v>0</v>
      </c>
      <c r="S257" s="564">
        <f t="shared" si="366"/>
        <v>0</v>
      </c>
      <c r="T257" s="565">
        <f t="shared" si="366"/>
        <v>0</v>
      </c>
      <c r="U257" s="566">
        <f t="shared" si="366"/>
        <v>192.18894210030871</v>
      </c>
      <c r="V257" s="565">
        <f t="shared" si="366"/>
        <v>192.18894202809162</v>
      </c>
      <c r="W257" s="565">
        <f t="shared" si="366"/>
        <v>189.08301933559321</v>
      </c>
      <c r="X257" s="565">
        <f t="shared" si="366"/>
        <v>192.22866184561084</v>
      </c>
      <c r="Y257" s="565">
        <f t="shared" si="366"/>
        <v>200.0528467116157</v>
      </c>
      <c r="Z257" s="565">
        <f t="shared" si="366"/>
        <v>208.99139855999999</v>
      </c>
      <c r="AA257" s="564">
        <f t="shared" si="366"/>
        <v>214.88549147449726</v>
      </c>
      <c r="AB257" s="565">
        <f t="shared" si="366"/>
        <v>220.94581291095329</v>
      </c>
      <c r="AC257" s="565">
        <f t="shared" si="366"/>
        <v>227.17705093959592</v>
      </c>
      <c r="AD257" s="565">
        <f t="shared" si="366"/>
        <v>233.58402584624514</v>
      </c>
      <c r="AE257" s="566">
        <f t="shared" si="366"/>
        <v>240.17169386113156</v>
      </c>
      <c r="AF257" s="565">
        <f t="shared" si="366"/>
        <v>251.13727192419123</v>
      </c>
      <c r="AG257" s="565">
        <f>AG255*AG256/10^6</f>
        <v>262.6035080803174</v>
      </c>
      <c r="AH257" s="565">
        <f>AH255*AH256/10^6</f>
        <v>274.59326099913159</v>
      </c>
      <c r="AI257" s="565">
        <f>AI255*AI256/10^6</f>
        <v>287.13043301415308</v>
      </c>
      <c r="AJ257" s="566">
        <f t="shared" si="366"/>
        <v>300.24001777361821</v>
      </c>
      <c r="AK257" s="548"/>
      <c r="AO257" s="984" t="str">
        <f t="shared" si="263"/>
        <v>Rev</v>
      </c>
      <c r="AP257" s="985" t="str">
        <f t="shared" si="263"/>
        <v>Sewerage</v>
      </c>
      <c r="AQ257" s="986" t="str">
        <f t="shared" si="264"/>
        <v>Price cap - Fixed</v>
      </c>
      <c r="AR257" s="990">
        <f t="shared" si="265"/>
        <v>-3.7576086686641474E-10</v>
      </c>
      <c r="AS257" s="987">
        <f t="shared" si="266"/>
        <v>-1.6160777304473739E-2</v>
      </c>
      <c r="AT257" s="987">
        <f t="shared" si="267"/>
        <v>1.6636303572213462E-2</v>
      </c>
      <c r="AU257" s="987">
        <f t="shared" si="268"/>
        <v>4.0702488332821529E-2</v>
      </c>
      <c r="AV257" s="1353">
        <f t="shared" si="269"/>
        <v>4.4680953034722748E-2</v>
      </c>
      <c r="AW257" s="1346">
        <f t="shared" si="270"/>
        <v>2.8202562187290781E-2</v>
      </c>
      <c r="AX257" s="987">
        <f t="shared" si="271"/>
        <v>2.8202562187290781E-2</v>
      </c>
      <c r="AY257" s="987">
        <f t="shared" si="272"/>
        <v>2.8202562187290559E-2</v>
      </c>
      <c r="AZ257" s="987">
        <f t="shared" si="273"/>
        <v>2.8202562187290559E-2</v>
      </c>
      <c r="BA257" s="988">
        <f t="shared" si="274"/>
        <v>2.8202562187290559E-2</v>
      </c>
      <c r="BB257" s="1346">
        <f t="shared" si="275"/>
        <v>4.5657245809325175E-2</v>
      </c>
      <c r="BC257" s="987">
        <f t="shared" si="276"/>
        <v>4.5657245809325397E-2</v>
      </c>
      <c r="BD257" s="987">
        <f t="shared" si="277"/>
        <v>4.5657245809325175E-2</v>
      </c>
      <c r="BE257" s="987">
        <f t="shared" si="278"/>
        <v>4.5657245809324953E-2</v>
      </c>
      <c r="BF257" s="989">
        <f t="shared" si="279"/>
        <v>4.5657245809324953E-2</v>
      </c>
      <c r="BG257" s="951"/>
      <c r="BH257" s="984" t="str">
        <f t="shared" si="280"/>
        <v>Rev</v>
      </c>
      <c r="BI257" s="985" t="str">
        <f t="shared" si="281"/>
        <v>Sewerage</v>
      </c>
      <c r="BJ257" s="986" t="str">
        <f t="shared" si="282"/>
        <v>Price cap - Fixed</v>
      </c>
      <c r="BK257" s="987">
        <f t="shared" ref="BK257:BU257" si="367">IF(V257="","-",IFERROR((V257/U257-1)*(U257/U$13),"-"))</f>
        <v>-3.7449450125512454E-11</v>
      </c>
      <c r="BL257" s="987">
        <f t="shared" si="367"/>
        <v>-1.6667223354556986E-3</v>
      </c>
      <c r="BM257" s="987">
        <f t="shared" si="367"/>
        <v>1.7000548685891564E-3</v>
      </c>
      <c r="BN257" s="987">
        <f t="shared" si="367"/>
        <v>4.2043043073174743E-3</v>
      </c>
      <c r="BO257" s="1353">
        <f t="shared" si="367"/>
        <v>4.7428223397244515E-3</v>
      </c>
      <c r="BP257" s="1346">
        <f t="shared" si="367"/>
        <v>3.1287640412447091E-3</v>
      </c>
      <c r="BQ257" s="987">
        <f t="shared" si="367"/>
        <v>3.2009592486851057E-3</v>
      </c>
      <c r="BR257" s="987">
        <f t="shared" si="367"/>
        <v>3.1684383275402727E-3</v>
      </c>
      <c r="BS257" s="987">
        <f t="shared" si="367"/>
        <v>3.1961669835138501E-3</v>
      </c>
      <c r="BT257" s="988">
        <f t="shared" si="367"/>
        <v>3.2249325331843515E-3</v>
      </c>
      <c r="BU257" s="987">
        <f t="shared" si="367"/>
        <v>5.266894206784137E-3</v>
      </c>
      <c r="BV257" s="987">
        <f>IF(AG257="","-",IFERROR((AG257/AF257-1)*(AF257/AF$13),"-"))</f>
        <v>5.2602835257657844E-3</v>
      </c>
      <c r="BW257" s="987">
        <f>IF(AH257="","-",IFERROR((AH257/AG257-1)*(AG257/AG$13),"-"))</f>
        <v>5.4244746813229558E-3</v>
      </c>
      <c r="BX257" s="987">
        <f>IF(AI257="","-",IFERROR((AI257/AH257-1)*(AH257/AH$13),"-"))</f>
        <v>5.5902621142377117E-3</v>
      </c>
      <c r="BY257" s="989">
        <f>IF(AJ257="","-",IFERROR((AJ257/AI257-1)*(AI257/AI$13),"-"))</f>
        <v>5.7465650264051649E-3</v>
      </c>
      <c r="BZ257" s="951"/>
      <c r="CA257" s="984" t="str">
        <f t="shared" si="259"/>
        <v>Rev</v>
      </c>
      <c r="CB257" s="985" t="str">
        <f t="shared" si="260"/>
        <v>Sewerage</v>
      </c>
      <c r="CC257" s="985" t="str">
        <f t="shared" si="261"/>
        <v>Price cap - Fixed</v>
      </c>
      <c r="CD257" s="990">
        <f t="shared" si="287"/>
        <v>-8.1133016690677628E-3</v>
      </c>
      <c r="CE257" s="987">
        <f t="shared" si="287"/>
        <v>6.8885352932923638E-5</v>
      </c>
      <c r="CF257" s="987">
        <f t="shared" si="287"/>
        <v>1.0076076116971366E-2</v>
      </c>
      <c r="CG257" s="988">
        <f t="shared" si="284"/>
        <v>1.6904111384591136E-2</v>
      </c>
      <c r="CH257" s="987">
        <f t="shared" si="288"/>
        <v>2.8202562187290781E-2</v>
      </c>
      <c r="CI257" s="987">
        <f t="shared" si="288"/>
        <v>2.8202562187290559E-2</v>
      </c>
      <c r="CJ257" s="987">
        <f t="shared" si="288"/>
        <v>2.8202562187290559E-2</v>
      </c>
      <c r="CK257" s="989">
        <f t="shared" si="285"/>
        <v>2.8202562187290559E-2</v>
      </c>
    </row>
    <row r="258" spans="4:89">
      <c r="D258" s="63">
        <f>D255+1</f>
        <v>64</v>
      </c>
      <c r="E258" s="550" t="s">
        <v>857</v>
      </c>
      <c r="F258" s="595" t="s">
        <v>402</v>
      </c>
      <c r="G258" s="595" t="s">
        <v>103</v>
      </c>
      <c r="H258" s="595" t="s">
        <v>903</v>
      </c>
      <c r="I258" s="589" t="s">
        <v>939</v>
      </c>
      <c r="J258" s="589" t="s">
        <v>879</v>
      </c>
      <c r="K258" s="551"/>
      <c r="L258" s="552"/>
      <c r="M258" s="552"/>
      <c r="N258" s="551"/>
      <c r="O258" s="552"/>
      <c r="P258" s="552"/>
      <c r="Q258" s="552"/>
      <c r="R258" s="1035"/>
      <c r="S258" s="1138"/>
      <c r="T258" s="591"/>
      <c r="U258" s="1035">
        <v>13717162.41072041</v>
      </c>
      <c r="V258" s="591">
        <v>13717162.409287531</v>
      </c>
      <c r="W258" s="591">
        <v>13948599.225084744</v>
      </c>
      <c r="X258" s="591">
        <v>14517632.444886878</v>
      </c>
      <c r="Y258" s="591">
        <v>14929935.636091702</v>
      </c>
      <c r="Z258" s="591">
        <v>15413686.52</v>
      </c>
      <c r="AA258" s="1138">
        <v>18009276.814956281</v>
      </c>
      <c r="AB258" s="591">
        <v>18049712.483658407</v>
      </c>
      <c r="AC258" s="591">
        <v>18090238.941308927</v>
      </c>
      <c r="AD258" s="591">
        <v>18130856.391753443</v>
      </c>
      <c r="AE258" s="1035">
        <v>18171565.039295241</v>
      </c>
      <c r="AF258" s="591">
        <v>19291388.030057915</v>
      </c>
      <c r="AG258" s="591">
        <v>20480220.130819034</v>
      </c>
      <c r="AH258" s="591">
        <v>21742314.02910338</v>
      </c>
      <c r="AI258" s="591">
        <v>23082184.484373536</v>
      </c>
      <c r="AJ258" s="592">
        <v>24504624.478217315</v>
      </c>
      <c r="AK258" s="548"/>
      <c r="AM258" s="974"/>
      <c r="AO258" s="975" t="str">
        <f t="shared" si="263"/>
        <v>Price</v>
      </c>
      <c r="AP258" s="976" t="str">
        <f t="shared" si="263"/>
        <v>Sewerage</v>
      </c>
      <c r="AQ258" s="977" t="str">
        <f t="shared" si="264"/>
        <v>Price cap - Fixed</v>
      </c>
      <c r="AR258" s="1341">
        <f t="shared" si="265"/>
        <v>-1.0445888598553665E-10</v>
      </c>
      <c r="AS258" s="978">
        <f t="shared" si="266"/>
        <v>1.6872062084831274E-2</v>
      </c>
      <c r="AT258" s="979">
        <f t="shared" si="267"/>
        <v>4.0795008202601624E-2</v>
      </c>
      <c r="AU258" s="979">
        <f t="shared" si="268"/>
        <v>2.8400167366824158E-2</v>
      </c>
      <c r="AV258" s="1352">
        <f t="shared" si="269"/>
        <v>3.2401404513685561E-2</v>
      </c>
      <c r="AW258" s="1345">
        <f t="shared" si="270"/>
        <v>0.16839516565932344</v>
      </c>
      <c r="AX258" s="979">
        <f t="shared" si="271"/>
        <v>2.2452688754577288E-3</v>
      </c>
      <c r="AY258" s="979">
        <f t="shared" si="272"/>
        <v>2.2452688754577288E-3</v>
      </c>
      <c r="AZ258" s="979">
        <f t="shared" si="273"/>
        <v>2.2452688754577288E-3</v>
      </c>
      <c r="BA258" s="980">
        <f t="shared" si="274"/>
        <v>2.2452688754577288E-3</v>
      </c>
      <c r="BB258" s="1345">
        <f t="shared" si="275"/>
        <v>6.1625016246047215E-2</v>
      </c>
      <c r="BC258" s="979">
        <f t="shared" si="276"/>
        <v>6.1625016246047215E-2</v>
      </c>
      <c r="BD258" s="979">
        <f t="shared" si="277"/>
        <v>6.1625016246047215E-2</v>
      </c>
      <c r="BE258" s="979">
        <f t="shared" si="278"/>
        <v>6.1625016246047215E-2</v>
      </c>
      <c r="BF258" s="981">
        <f t="shared" si="279"/>
        <v>6.1625016246047215E-2</v>
      </c>
      <c r="BG258" s="951"/>
      <c r="BH258" s="975" t="str">
        <f t="shared" si="280"/>
        <v>Price</v>
      </c>
      <c r="BI258" s="976" t="str">
        <f t="shared" si="281"/>
        <v>Sewerage</v>
      </c>
      <c r="BJ258" s="977" t="str">
        <f t="shared" si="282"/>
        <v>Price cap - Fixed</v>
      </c>
      <c r="BK258" s="978">
        <f t="shared" ref="BK258:BU258" si="368">IF(V258="","-",IFERROR((V258/U258-1)*(U260/U$13),"-"))</f>
        <v>-8.9165411189141698E-12</v>
      </c>
      <c r="BL258" s="978">
        <f t="shared" si="368"/>
        <v>1.4903432505939344E-3</v>
      </c>
      <c r="BM258" s="979">
        <f t="shared" si="368"/>
        <v>3.6903914896858092E-3</v>
      </c>
      <c r="BN258" s="979">
        <f t="shared" si="368"/>
        <v>2.6585998859533118E-3</v>
      </c>
      <c r="BO258" s="1352">
        <f t="shared" si="368"/>
        <v>3.0801559867572131E-3</v>
      </c>
      <c r="BP258" s="1345">
        <f t="shared" si="368"/>
        <v>1.653382062034689E-2</v>
      </c>
      <c r="BQ258" s="979">
        <f t="shared" si="368"/>
        <v>2.5628923297082372E-4</v>
      </c>
      <c r="BR258" s="979">
        <f t="shared" si="368"/>
        <v>2.4728103360990687E-4</v>
      </c>
      <c r="BS258" s="979">
        <f t="shared" si="368"/>
        <v>2.4314779930953895E-4</v>
      </c>
      <c r="BT258" s="980">
        <f t="shared" si="368"/>
        <v>2.3914254612007965E-4</v>
      </c>
      <c r="BU258" s="979">
        <f t="shared" si="368"/>
        <v>6.4543675002857988E-3</v>
      </c>
      <c r="BV258" s="979">
        <f>IF(AG258="","-",IFERROR((AG258/AF258-1)*(AF260/AF$13),"-"))</f>
        <v>6.544704465582531E-3</v>
      </c>
      <c r="BW258" s="979">
        <f>IF(AH258="","-",IFERROR((AH258/AG258-1)*(AG260/AG$13),"-"))</f>
        <v>6.8520475206317209E-3</v>
      </c>
      <c r="BX258" s="979">
        <f>IF(AI258="","-",IFERROR((AI258/AH258-1)*(AH260/AH$13),"-"))</f>
        <v>7.1692981815440378E-3</v>
      </c>
      <c r="BY258" s="981">
        <f>IF(AJ258="","-",IFERROR((AJ258/AI258-1)*(AI260/AI$13),"-"))</f>
        <v>7.4822909229501685E-3</v>
      </c>
      <c r="BZ258" s="951"/>
      <c r="CA258" s="975" t="str">
        <f t="shared" si="259"/>
        <v>Price</v>
      </c>
      <c r="CB258" s="976" t="str">
        <f t="shared" si="260"/>
        <v>Sewerage</v>
      </c>
      <c r="CC258" s="982" t="str">
        <f t="shared" si="261"/>
        <v>Price cap - Fixed</v>
      </c>
      <c r="CD258" s="983">
        <f t="shared" si="287"/>
        <v>8.4007447332683505E-3</v>
      </c>
      <c r="CE258" s="979">
        <f t="shared" si="287"/>
        <v>1.908522562100945E-2</v>
      </c>
      <c r="CF258" s="979">
        <f t="shared" si="287"/>
        <v>2.1406021180849777E-2</v>
      </c>
      <c r="CG258" s="980">
        <f t="shared" si="284"/>
        <v>2.3595689372486461E-2</v>
      </c>
      <c r="CH258" s="979">
        <f t="shared" si="288"/>
        <v>8.2136094471954024E-2</v>
      </c>
      <c r="CI258" s="979">
        <f t="shared" si="288"/>
        <v>5.4822197272625495E-2</v>
      </c>
      <c r="CJ258" s="979">
        <f t="shared" si="288"/>
        <v>4.1424880134847353E-2</v>
      </c>
      <c r="CK258" s="981">
        <f t="shared" si="285"/>
        <v>3.3468305388049568E-2</v>
      </c>
    </row>
    <row r="259" spans="4:89">
      <c r="E259" s="567" t="s">
        <v>880</v>
      </c>
      <c r="F259" s="554" t="str">
        <f>+F258</f>
        <v>Sewerage</v>
      </c>
      <c r="G259" s="555" t="str">
        <f>+G258</f>
        <v>YVW</v>
      </c>
      <c r="H259" s="555" t="str">
        <f>+H258</f>
        <v>Sewerage Treatment/Transfer Fixed</v>
      </c>
      <c r="I259" s="556" t="str">
        <f>+I258</f>
        <v>Price cap - Fixed</v>
      </c>
      <c r="J259" s="590" t="s">
        <v>890</v>
      </c>
      <c r="K259" s="557"/>
      <c r="L259" s="558"/>
      <c r="M259" s="558"/>
      <c r="N259" s="557"/>
      <c r="O259" s="558"/>
      <c r="P259" s="558"/>
      <c r="Q259" s="558"/>
      <c r="R259" s="1036"/>
      <c r="S259" s="1139"/>
      <c r="T259" s="593"/>
      <c r="U259" s="1036">
        <v>12</v>
      </c>
      <c r="V259" s="593">
        <v>12</v>
      </c>
      <c r="W259" s="593">
        <v>12</v>
      </c>
      <c r="X259" s="593">
        <v>12</v>
      </c>
      <c r="Y259" s="593">
        <v>12</v>
      </c>
      <c r="Z259" s="593">
        <v>12</v>
      </c>
      <c r="AA259" s="1139">
        <v>12</v>
      </c>
      <c r="AB259" s="593">
        <v>12</v>
      </c>
      <c r="AC259" s="593">
        <v>12</v>
      </c>
      <c r="AD259" s="593">
        <v>12</v>
      </c>
      <c r="AE259" s="1036">
        <v>12</v>
      </c>
      <c r="AF259" s="593">
        <v>12</v>
      </c>
      <c r="AG259" s="593">
        <v>12</v>
      </c>
      <c r="AH259" s="593">
        <v>12</v>
      </c>
      <c r="AI259" s="593">
        <v>12</v>
      </c>
      <c r="AJ259" s="594">
        <v>12</v>
      </c>
      <c r="AK259" s="548"/>
      <c r="AO259" s="961" t="str">
        <f t="shared" si="263"/>
        <v>Qty</v>
      </c>
      <c r="AP259" s="962" t="str">
        <f t="shared" si="263"/>
        <v>Sewerage</v>
      </c>
      <c r="AQ259" s="963" t="str">
        <f t="shared" si="264"/>
        <v>Price cap - Fixed</v>
      </c>
      <c r="AR259" s="967">
        <f t="shared" si="265"/>
        <v>0</v>
      </c>
      <c r="AS259" s="964">
        <f t="shared" si="266"/>
        <v>0</v>
      </c>
      <c r="AT259" s="964">
        <f t="shared" si="267"/>
        <v>0</v>
      </c>
      <c r="AU259" s="964">
        <f t="shared" si="268"/>
        <v>0</v>
      </c>
      <c r="AV259" s="1350">
        <f t="shared" si="269"/>
        <v>0</v>
      </c>
      <c r="AW259" s="1343">
        <f t="shared" si="270"/>
        <v>0</v>
      </c>
      <c r="AX259" s="964">
        <f t="shared" si="271"/>
        <v>0</v>
      </c>
      <c r="AY259" s="964">
        <f t="shared" si="272"/>
        <v>0</v>
      </c>
      <c r="AZ259" s="964">
        <f t="shared" si="273"/>
        <v>0</v>
      </c>
      <c r="BA259" s="965">
        <f t="shared" si="274"/>
        <v>0</v>
      </c>
      <c r="BB259" s="1343">
        <f t="shared" si="275"/>
        <v>0</v>
      </c>
      <c r="BC259" s="964">
        <f t="shared" si="276"/>
        <v>0</v>
      </c>
      <c r="BD259" s="964">
        <f t="shared" si="277"/>
        <v>0</v>
      </c>
      <c r="BE259" s="964">
        <f t="shared" si="278"/>
        <v>0</v>
      </c>
      <c r="BF259" s="966">
        <f t="shared" si="279"/>
        <v>0</v>
      </c>
      <c r="BG259" s="951"/>
      <c r="BH259" s="961" t="str">
        <f t="shared" si="280"/>
        <v>Qty</v>
      </c>
      <c r="BI259" s="962" t="str">
        <f t="shared" si="281"/>
        <v>Sewerage</v>
      </c>
      <c r="BJ259" s="963" t="str">
        <f t="shared" si="282"/>
        <v>Price cap - Fixed</v>
      </c>
      <c r="BK259" s="964">
        <f t="shared" ref="BK259:BU259" si="369">IF(V259="","-",IFERROR((V259/U259-1)*(U260/U$13),"-"))</f>
        <v>0</v>
      </c>
      <c r="BL259" s="964">
        <f t="shared" si="369"/>
        <v>0</v>
      </c>
      <c r="BM259" s="964">
        <f t="shared" si="369"/>
        <v>0</v>
      </c>
      <c r="BN259" s="964">
        <f t="shared" si="369"/>
        <v>0</v>
      </c>
      <c r="BO259" s="1350">
        <f t="shared" si="369"/>
        <v>0</v>
      </c>
      <c r="BP259" s="1343">
        <f t="shared" si="369"/>
        <v>0</v>
      </c>
      <c r="BQ259" s="964">
        <f t="shared" si="369"/>
        <v>0</v>
      </c>
      <c r="BR259" s="964">
        <f t="shared" si="369"/>
        <v>0</v>
      </c>
      <c r="BS259" s="964">
        <f t="shared" si="369"/>
        <v>0</v>
      </c>
      <c r="BT259" s="965">
        <f t="shared" si="369"/>
        <v>0</v>
      </c>
      <c r="BU259" s="964">
        <f t="shared" si="369"/>
        <v>0</v>
      </c>
      <c r="BV259" s="964">
        <f>IF(AG259="","-",IFERROR((AG259/AF259-1)*(AF260/AF$13),"-"))</f>
        <v>0</v>
      </c>
      <c r="BW259" s="964">
        <f>IF(AH259="","-",IFERROR((AH259/AG259-1)*(AG260/AG$13),"-"))</f>
        <v>0</v>
      </c>
      <c r="BX259" s="964">
        <f>IF(AI259="","-",IFERROR((AI259/AH259-1)*(AH260/AH$13),"-"))</f>
        <v>0</v>
      </c>
      <c r="BY259" s="966">
        <f>IF(AJ259="","-",IFERROR((AJ259/AI259-1)*(AI260/AI$13),"-"))</f>
        <v>0</v>
      </c>
      <c r="BZ259" s="951"/>
      <c r="CA259" s="961" t="str">
        <f t="shared" si="259"/>
        <v>Qty</v>
      </c>
      <c r="CB259" s="962" t="str">
        <f t="shared" si="260"/>
        <v>Sewerage</v>
      </c>
      <c r="CC259" s="962" t="str">
        <f t="shared" si="261"/>
        <v>Price cap - Fixed</v>
      </c>
      <c r="CD259" s="967">
        <f t="shared" si="287"/>
        <v>0</v>
      </c>
      <c r="CE259" s="964">
        <f t="shared" si="287"/>
        <v>0</v>
      </c>
      <c r="CF259" s="964">
        <f t="shared" si="287"/>
        <v>0</v>
      </c>
      <c r="CG259" s="965">
        <f t="shared" si="284"/>
        <v>0</v>
      </c>
      <c r="CH259" s="964">
        <f t="shared" si="288"/>
        <v>0</v>
      </c>
      <c r="CI259" s="964">
        <f t="shared" si="288"/>
        <v>0</v>
      </c>
      <c r="CJ259" s="964">
        <f t="shared" si="288"/>
        <v>0</v>
      </c>
      <c r="CK259" s="966">
        <f t="shared" si="285"/>
        <v>0</v>
      </c>
    </row>
    <row r="260" spans="4:89" ht="12.75" thickBot="1">
      <c r="E260" s="568" t="s">
        <v>882</v>
      </c>
      <c r="F260" s="560" t="str">
        <f>+F258</f>
        <v>Sewerage</v>
      </c>
      <c r="G260" s="561" t="str">
        <f>+G258</f>
        <v>YVW</v>
      </c>
      <c r="H260" s="561" t="str">
        <f>+H258</f>
        <v>Sewerage Treatment/Transfer Fixed</v>
      </c>
      <c r="I260" s="562" t="str">
        <f>+I258</f>
        <v>Price cap - Fixed</v>
      </c>
      <c r="J260" s="563" t="s">
        <v>883</v>
      </c>
      <c r="K260" s="564">
        <f t="shared" ref="K260:AJ260" si="370">K258*K259/10^6</f>
        <v>0</v>
      </c>
      <c r="L260" s="565">
        <f t="shared" si="370"/>
        <v>0</v>
      </c>
      <c r="M260" s="565">
        <f t="shared" si="370"/>
        <v>0</v>
      </c>
      <c r="N260" s="564">
        <f t="shared" si="370"/>
        <v>0</v>
      </c>
      <c r="O260" s="565">
        <f t="shared" si="370"/>
        <v>0</v>
      </c>
      <c r="P260" s="565">
        <f t="shared" si="370"/>
        <v>0</v>
      </c>
      <c r="Q260" s="565">
        <f t="shared" si="370"/>
        <v>0</v>
      </c>
      <c r="R260" s="566">
        <f t="shared" si="370"/>
        <v>0</v>
      </c>
      <c r="S260" s="564">
        <f t="shared" si="370"/>
        <v>0</v>
      </c>
      <c r="T260" s="565">
        <f t="shared" si="370"/>
        <v>0</v>
      </c>
      <c r="U260" s="566">
        <f t="shared" si="370"/>
        <v>164.60594892864492</v>
      </c>
      <c r="V260" s="565">
        <f t="shared" si="370"/>
        <v>164.60594891145038</v>
      </c>
      <c r="W260" s="565">
        <f t="shared" si="370"/>
        <v>167.38319070101693</v>
      </c>
      <c r="X260" s="565">
        <f t="shared" si="370"/>
        <v>174.21158933864254</v>
      </c>
      <c r="Y260" s="565">
        <f t="shared" si="370"/>
        <v>179.15922763310041</v>
      </c>
      <c r="Z260" s="565">
        <f t="shared" si="370"/>
        <v>184.96423824000001</v>
      </c>
      <c r="AA260" s="564">
        <f t="shared" si="370"/>
        <v>216.11132177947539</v>
      </c>
      <c r="AB260" s="565">
        <f t="shared" si="370"/>
        <v>216.5965498039009</v>
      </c>
      <c r="AC260" s="565">
        <f t="shared" si="370"/>
        <v>217.0828672957071</v>
      </c>
      <c r="AD260" s="565">
        <f t="shared" si="370"/>
        <v>217.57027670104131</v>
      </c>
      <c r="AE260" s="566">
        <f t="shared" si="370"/>
        <v>218.05878047154289</v>
      </c>
      <c r="AF260" s="565">
        <f t="shared" si="370"/>
        <v>231.49665636069497</v>
      </c>
      <c r="AG260" s="565">
        <f>AG258*AG259/10^6</f>
        <v>245.76264156982839</v>
      </c>
      <c r="AH260" s="565">
        <f>AH258*AH259/10^6</f>
        <v>260.90776834924054</v>
      </c>
      <c r="AI260" s="565">
        <f>AI258*AI259/10^6</f>
        <v>276.98621381248239</v>
      </c>
      <c r="AJ260" s="566">
        <f t="shared" si="370"/>
        <v>294.05549373860777</v>
      </c>
      <c r="AK260" s="548"/>
      <c r="AO260" s="984" t="str">
        <f t="shared" si="263"/>
        <v>Rev</v>
      </c>
      <c r="AP260" s="985" t="str">
        <f t="shared" si="263"/>
        <v>Sewerage</v>
      </c>
      <c r="AQ260" s="986" t="str">
        <f t="shared" si="264"/>
        <v>Price cap - Fixed</v>
      </c>
      <c r="AR260" s="990">
        <f t="shared" si="265"/>
        <v>-1.0445877496323419E-10</v>
      </c>
      <c r="AS260" s="987">
        <f t="shared" si="266"/>
        <v>1.6872062084831274E-2</v>
      </c>
      <c r="AT260" s="987">
        <f t="shared" si="267"/>
        <v>4.0795008202601624E-2</v>
      </c>
      <c r="AU260" s="987">
        <f t="shared" si="268"/>
        <v>2.8400167366824158E-2</v>
      </c>
      <c r="AV260" s="1353">
        <f t="shared" si="269"/>
        <v>3.2401404513685783E-2</v>
      </c>
      <c r="AW260" s="1346">
        <f t="shared" si="270"/>
        <v>0.16839516565932344</v>
      </c>
      <c r="AX260" s="987">
        <f t="shared" si="271"/>
        <v>2.2452688754577288E-3</v>
      </c>
      <c r="AY260" s="987">
        <f t="shared" si="272"/>
        <v>2.2452688754575068E-3</v>
      </c>
      <c r="AZ260" s="987">
        <f t="shared" si="273"/>
        <v>2.2452688754579508E-3</v>
      </c>
      <c r="BA260" s="988">
        <f t="shared" si="274"/>
        <v>2.2452688754577288E-3</v>
      </c>
      <c r="BB260" s="1346">
        <f t="shared" si="275"/>
        <v>6.1625016246047215E-2</v>
      </c>
      <c r="BC260" s="987">
        <f t="shared" si="276"/>
        <v>6.1625016246047215E-2</v>
      </c>
      <c r="BD260" s="987">
        <f t="shared" si="277"/>
        <v>6.1625016246047215E-2</v>
      </c>
      <c r="BE260" s="987">
        <f t="shared" si="278"/>
        <v>6.1625016246047215E-2</v>
      </c>
      <c r="BF260" s="989">
        <f t="shared" si="279"/>
        <v>6.1625016246047437E-2</v>
      </c>
      <c r="BG260" s="951"/>
      <c r="BH260" s="984" t="str">
        <f t="shared" si="280"/>
        <v>Rev</v>
      </c>
      <c r="BI260" s="985" t="str">
        <f t="shared" si="281"/>
        <v>Sewerage</v>
      </c>
      <c r="BJ260" s="986" t="str">
        <f t="shared" si="282"/>
        <v>Price cap - Fixed</v>
      </c>
      <c r="BK260" s="987">
        <f t="shared" ref="BK260:BU260" si="371">IF(V260="","-",IFERROR((V260/U260-1)*(U260/U$13),"-"))</f>
        <v>-8.9165316421241803E-12</v>
      </c>
      <c r="BL260" s="987">
        <f t="shared" si="371"/>
        <v>1.4903432505939344E-3</v>
      </c>
      <c r="BM260" s="987">
        <f t="shared" si="371"/>
        <v>3.6903914896858092E-3</v>
      </c>
      <c r="BN260" s="987">
        <f t="shared" si="371"/>
        <v>2.6585998859533118E-3</v>
      </c>
      <c r="BO260" s="1353">
        <f t="shared" si="371"/>
        <v>3.0801559867572339E-3</v>
      </c>
      <c r="BP260" s="1346">
        <f t="shared" si="371"/>
        <v>1.653382062034689E-2</v>
      </c>
      <c r="BQ260" s="987">
        <f t="shared" si="371"/>
        <v>2.5628923297082372E-4</v>
      </c>
      <c r="BR260" s="987">
        <f t="shared" si="371"/>
        <v>2.4728103360988242E-4</v>
      </c>
      <c r="BS260" s="987">
        <f t="shared" si="371"/>
        <v>2.4314779930956299E-4</v>
      </c>
      <c r="BT260" s="988">
        <f t="shared" si="371"/>
        <v>2.3914254612007965E-4</v>
      </c>
      <c r="BU260" s="987">
        <f t="shared" si="371"/>
        <v>6.4543675002857988E-3</v>
      </c>
      <c r="BV260" s="987">
        <f>IF(AG260="","-",IFERROR((AG260/AF260-1)*(AF260/AF$13),"-"))</f>
        <v>6.544704465582531E-3</v>
      </c>
      <c r="BW260" s="987">
        <f>IF(AH260="","-",IFERROR((AH260/AG260-1)*(AG260/AG$13),"-"))</f>
        <v>6.8520475206317209E-3</v>
      </c>
      <c r="BX260" s="987">
        <f>IF(AI260="","-",IFERROR((AI260/AH260-1)*(AH260/AH$13),"-"))</f>
        <v>7.1692981815440378E-3</v>
      </c>
      <c r="BY260" s="989">
        <f>IF(AJ260="","-",IFERROR((AJ260/AI260-1)*(AI260/AI$13),"-"))</f>
        <v>7.4822909229501954E-3</v>
      </c>
      <c r="BZ260" s="951"/>
      <c r="CA260" s="984" t="str">
        <f t="shared" ref="CA260:CA323" si="372">AO260</f>
        <v>Rev</v>
      </c>
      <c r="CB260" s="985" t="str">
        <f t="shared" ref="CB260:CB323" si="373">AP260</f>
        <v>Sewerage</v>
      </c>
      <c r="CC260" s="985" t="str">
        <f t="shared" ref="CC260:CC323" si="374">AQ260</f>
        <v>Price cap - Fixed</v>
      </c>
      <c r="CD260" s="990">
        <f t="shared" si="287"/>
        <v>8.4007447332683505E-3</v>
      </c>
      <c r="CE260" s="987">
        <f t="shared" si="287"/>
        <v>1.908522562100945E-2</v>
      </c>
      <c r="CF260" s="987">
        <f t="shared" si="287"/>
        <v>2.1406021180849777E-2</v>
      </c>
      <c r="CG260" s="988">
        <f t="shared" si="284"/>
        <v>2.3595689372486461E-2</v>
      </c>
      <c r="CH260" s="987">
        <f t="shared" si="288"/>
        <v>8.2136094471954024E-2</v>
      </c>
      <c r="CI260" s="987">
        <f t="shared" si="288"/>
        <v>5.4822197272625495E-2</v>
      </c>
      <c r="CJ260" s="987">
        <f t="shared" si="288"/>
        <v>4.1424880134847353E-2</v>
      </c>
      <c r="CK260" s="989">
        <f t="shared" si="285"/>
        <v>3.3468305388049568E-2</v>
      </c>
    </row>
    <row r="261" spans="4:89">
      <c r="D261" s="63">
        <f>D258+1</f>
        <v>65</v>
      </c>
      <c r="E261" s="550" t="s">
        <v>857</v>
      </c>
      <c r="F261" s="595" t="s">
        <v>420</v>
      </c>
      <c r="G261" s="595" t="s">
        <v>904</v>
      </c>
      <c r="H261" s="595" t="s">
        <v>905</v>
      </c>
      <c r="I261" s="589" t="s">
        <v>939</v>
      </c>
      <c r="J261" s="589" t="s">
        <v>879</v>
      </c>
      <c r="K261" s="551"/>
      <c r="L261" s="552"/>
      <c r="M261" s="552"/>
      <c r="N261" s="551"/>
      <c r="O261" s="552"/>
      <c r="P261" s="552"/>
      <c r="Q261" s="552"/>
      <c r="R261" s="1035"/>
      <c r="S261" s="1138"/>
      <c r="T261" s="591"/>
      <c r="U261" s="1035">
        <v>125.88185248713549</v>
      </c>
      <c r="V261" s="591">
        <v>125.99750636132315</v>
      </c>
      <c r="W261" s="591">
        <v>124.55186440677966</v>
      </c>
      <c r="X261" s="591">
        <v>125.37791855203619</v>
      </c>
      <c r="Y261" s="591">
        <v>125.01205240174671</v>
      </c>
      <c r="Z261" s="591">
        <v>125.01</v>
      </c>
      <c r="AA261" s="1138">
        <v>123.95816884654046</v>
      </c>
      <c r="AB261" s="591">
        <v>123.95816884654046</v>
      </c>
      <c r="AC261" s="591">
        <v>123.95816884654046</v>
      </c>
      <c r="AD261" s="591">
        <v>123.95816884654046</v>
      </c>
      <c r="AE261" s="1035">
        <v>123.95816884654046</v>
      </c>
      <c r="AF261" s="591">
        <v>123.4103800508702</v>
      </c>
      <c r="AG261" s="591">
        <v>123.4103800508702</v>
      </c>
      <c r="AH261" s="591">
        <v>123.4103800508702</v>
      </c>
      <c r="AI261" s="591">
        <v>123.4103800508702</v>
      </c>
      <c r="AJ261" s="592">
        <v>123.4103800508702</v>
      </c>
      <c r="AK261" s="548"/>
      <c r="AM261" s="974"/>
      <c r="AO261" s="975" t="str">
        <f t="shared" ref="AO261:AP324" si="375">E261</f>
        <v>Price</v>
      </c>
      <c r="AP261" s="976" t="str">
        <f t="shared" si="375"/>
        <v>Waterways and Drainage</v>
      </c>
      <c r="AQ261" s="977" t="str">
        <f t="shared" ref="AQ261:AQ324" si="376">I261</f>
        <v>Price cap - Fixed</v>
      </c>
      <c r="AR261" s="1341">
        <f t="shared" ref="AR261:AR324" si="377">IF(V261="","-",IFERROR(V261/U261-1,"-"))</f>
        <v>9.1874938208014179E-4</v>
      </c>
      <c r="AS261" s="978">
        <f t="shared" ref="AS261:AS324" si="378">IF(W261="","-",IFERROR(W261/V261-1,"-"))</f>
        <v>-1.1473575916636114E-2</v>
      </c>
      <c r="AT261" s="979">
        <f t="shared" ref="AT261:AT324" si="379">IF(X261="","-",IFERROR(X261/W261-1,"-"))</f>
        <v>6.6322101976625802E-3</v>
      </c>
      <c r="AU261" s="979">
        <f t="shared" ref="AU261:AU324" si="380">IF(Y261="","-",IFERROR(Y261/X261-1,"-"))</f>
        <v>-2.9181067488979195E-3</v>
      </c>
      <c r="AV261" s="1352">
        <f t="shared" ref="AV261:AV324" si="381">IF(Z261="","-",IFERROR(Z261/Y261-1,"-"))</f>
        <v>-1.6417630998577515E-5</v>
      </c>
      <c r="AW261" s="1345">
        <f t="shared" ref="AW261:AW324" si="382">IF(AA261="","-",IFERROR(AA261/Z261-1,"-"))</f>
        <v>-8.4139761095876064E-3</v>
      </c>
      <c r="AX261" s="979">
        <f t="shared" ref="AX261:AX324" si="383">IF(AB261="","-",IFERROR(AB261/AA261-1,"-"))</f>
        <v>0</v>
      </c>
      <c r="AY261" s="979">
        <f t="shared" ref="AY261:AY324" si="384">IF(AC261="","-",IFERROR(AC261/AB261-1,"-"))</f>
        <v>0</v>
      </c>
      <c r="AZ261" s="979">
        <f t="shared" ref="AZ261:AZ324" si="385">IF(AD261="","-",IFERROR(AD261/AC261-1,"-"))</f>
        <v>0</v>
      </c>
      <c r="BA261" s="980">
        <f t="shared" ref="BA261:BA324" si="386">IF(AE261="","-",IFERROR(AE261/AD261-1,"-"))</f>
        <v>0</v>
      </c>
      <c r="BB261" s="1345">
        <f t="shared" ref="BB261:BB324" si="387">IF(AF261="","-",IFERROR(AF261/AE261-1,"-"))</f>
        <v>-4.4191423668771268E-3</v>
      </c>
      <c r="BC261" s="979">
        <f t="shared" ref="BC261:BC324" si="388">IF(AG261="","-",IFERROR(AG261/AF261-1,"-"))</f>
        <v>0</v>
      </c>
      <c r="BD261" s="979">
        <f t="shared" ref="BD261:BD324" si="389">IF(AH261="","-",IFERROR(AH261/AG261-1,"-"))</f>
        <v>0</v>
      </c>
      <c r="BE261" s="979">
        <f t="shared" ref="BE261:BE324" si="390">IF(AI261="","-",IFERROR(AI261/AH261-1,"-"))</f>
        <v>0</v>
      </c>
      <c r="BF261" s="981">
        <f t="shared" ref="BF261:BF324" si="391">IF(AJ261="","-",IFERROR(AJ261/AI261-1,"-"))</f>
        <v>0</v>
      </c>
      <c r="BG261" s="951"/>
      <c r="BH261" s="975" t="str">
        <f t="shared" ref="BH261:BH324" si="392">AO261</f>
        <v>Price</v>
      </c>
      <c r="BI261" s="976" t="str">
        <f t="shared" ref="BI261:BI324" si="393">AP261</f>
        <v>Waterways and Drainage</v>
      </c>
      <c r="BJ261" s="977" t="str">
        <f t="shared" ref="BJ261:BJ324" si="394">AQ261</f>
        <v>Price cap - Fixed</v>
      </c>
      <c r="BK261" s="978">
        <f t="shared" ref="BK261:BU261" si="395">IF(V261="","-",IFERROR((V261/U261-1)*(U263/U$13),"-"))</f>
        <v>1.1339856863432097E-4</v>
      </c>
      <c r="BL261" s="978">
        <f t="shared" si="395"/>
        <v>-1.5621856936303491E-3</v>
      </c>
      <c r="BM261" s="979">
        <f t="shared" si="395"/>
        <v>9.1459070246732125E-4</v>
      </c>
      <c r="BN261" s="979">
        <f t="shared" si="395"/>
        <v>-4.0894563645886849E-4</v>
      </c>
      <c r="BO261" s="1352">
        <f t="shared" si="395"/>
        <v>-2.3017387526972689E-6</v>
      </c>
      <c r="BP261" s="1345">
        <f t="shared" si="395"/>
        <v>-1.2023888367224027E-3</v>
      </c>
      <c r="BQ261" s="979">
        <f t="shared" si="395"/>
        <v>0</v>
      </c>
      <c r="BR261" s="979">
        <f t="shared" si="395"/>
        <v>0</v>
      </c>
      <c r="BS261" s="979">
        <f t="shared" si="395"/>
        <v>0</v>
      </c>
      <c r="BT261" s="980">
        <f t="shared" si="395"/>
        <v>0</v>
      </c>
      <c r="BU261" s="979">
        <f t="shared" si="395"/>
        <v>-6.2581079256448569E-4</v>
      </c>
      <c r="BV261" s="979">
        <f>IF(AG261="","-",IFERROR((AG261/AF261-1)*(AF263/AF$13),"-"))</f>
        <v>0</v>
      </c>
      <c r="BW261" s="979">
        <f>IF(AH261="","-",IFERROR((AH261/AG261-1)*(AG263/AG$13),"-"))</f>
        <v>0</v>
      </c>
      <c r="BX261" s="979">
        <f>IF(AI261="","-",IFERROR((AI261/AH261-1)*(AH263/AH$13),"-"))</f>
        <v>0</v>
      </c>
      <c r="BY261" s="981">
        <f>IF(AJ261="","-",IFERROR((AJ261/AI261-1)*(AI263/AI$13),"-"))</f>
        <v>0</v>
      </c>
      <c r="BZ261" s="951"/>
      <c r="CA261" s="975" t="str">
        <f t="shared" si="372"/>
        <v>Price</v>
      </c>
      <c r="CB261" s="976" t="str">
        <f t="shared" si="373"/>
        <v>Waterways and Drainage</v>
      </c>
      <c r="CC261" s="982" t="str">
        <f t="shared" si="374"/>
        <v>Price cap - Fixed</v>
      </c>
      <c r="CD261" s="983">
        <f t="shared" si="287"/>
        <v>-5.2967115141016041E-3</v>
      </c>
      <c r="CE261" s="979">
        <f t="shared" si="287"/>
        <v>-1.3361944264049797E-3</v>
      </c>
      <c r="CF261" s="979">
        <f t="shared" si="287"/>
        <v>-1.7319076425982294E-3</v>
      </c>
      <c r="CG261" s="980">
        <f t="shared" si="287"/>
        <v>-1.3890452383327201E-3</v>
      </c>
      <c r="CH261" s="979">
        <f t="shared" si="288"/>
        <v>-4.2158748551911485E-3</v>
      </c>
      <c r="CI261" s="979">
        <f t="shared" si="288"/>
        <v>-2.8125617907625022E-3</v>
      </c>
      <c r="CJ261" s="979">
        <f t="shared" si="288"/>
        <v>-2.1101638232761122E-3</v>
      </c>
      <c r="CK261" s="981">
        <f t="shared" si="288"/>
        <v>-1.6884875829550339E-3</v>
      </c>
    </row>
    <row r="262" spans="4:89">
      <c r="E262" s="567" t="s">
        <v>880</v>
      </c>
      <c r="F262" s="554" t="str">
        <f>+F261</f>
        <v>Waterways and Drainage</v>
      </c>
      <c r="G262" s="555" t="str">
        <f>+G261</f>
        <v>ALL</v>
      </c>
      <c r="H262" s="555" t="str">
        <f>+H261</f>
        <v>Residential on minimum</v>
      </c>
      <c r="I262" s="556" t="str">
        <f>+I261</f>
        <v>Price cap - Fixed</v>
      </c>
      <c r="J262" s="590" t="s">
        <v>906</v>
      </c>
      <c r="K262" s="557"/>
      <c r="L262" s="558"/>
      <c r="M262" s="558"/>
      <c r="N262" s="557"/>
      <c r="O262" s="558"/>
      <c r="P262" s="558"/>
      <c r="Q262" s="558"/>
      <c r="R262" s="1036"/>
      <c r="S262" s="1139"/>
      <c r="T262" s="593"/>
      <c r="U262" s="1036">
        <v>1890783.8639274528</v>
      </c>
      <c r="V262" s="593">
        <v>2013721</v>
      </c>
      <c r="W262" s="593">
        <v>2048635.5</v>
      </c>
      <c r="X262" s="593">
        <v>2080119.610347732</v>
      </c>
      <c r="Y262" s="593">
        <v>2113605.6484512389</v>
      </c>
      <c r="Z262" s="593">
        <v>2153491.0537209609</v>
      </c>
      <c r="AA262" s="1139">
        <v>2196804.1543970956</v>
      </c>
      <c r="AB262" s="593">
        <v>2240888.3343840758</v>
      </c>
      <c r="AC262" s="593">
        <v>2285857.1698926855</v>
      </c>
      <c r="AD262" s="593">
        <v>2331728.4136721455</v>
      </c>
      <c r="AE262" s="1036">
        <v>2378520.1747234589</v>
      </c>
      <c r="AF262" s="593">
        <v>2425030.6935969163</v>
      </c>
      <c r="AG262" s="593">
        <v>2471231.0792855425</v>
      </c>
      <c r="AH262" s="593">
        <v>2518311.6499728225</v>
      </c>
      <c r="AI262" s="593">
        <v>2566289.1744718361</v>
      </c>
      <c r="AJ262" s="594">
        <v>2615180.741066108</v>
      </c>
      <c r="AK262" s="548"/>
      <c r="AO262" s="961" t="str">
        <f t="shared" si="375"/>
        <v>Qty</v>
      </c>
      <c r="AP262" s="962" t="str">
        <f t="shared" si="375"/>
        <v>Waterways and Drainage</v>
      </c>
      <c r="AQ262" s="963" t="str">
        <f t="shared" si="376"/>
        <v>Price cap - Fixed</v>
      </c>
      <c r="AR262" s="967">
        <f t="shared" si="377"/>
        <v>6.5019137521719506E-2</v>
      </c>
      <c r="AS262" s="964">
        <f t="shared" si="378"/>
        <v>1.7338300588810363E-2</v>
      </c>
      <c r="AT262" s="964">
        <f t="shared" si="379"/>
        <v>1.536833192031084E-2</v>
      </c>
      <c r="AU262" s="964">
        <f t="shared" si="380"/>
        <v>1.6098131057910248E-2</v>
      </c>
      <c r="AV262" s="1350">
        <f t="shared" si="381"/>
        <v>1.8870788549864237E-2</v>
      </c>
      <c r="AW262" s="1343">
        <f t="shared" si="382"/>
        <v>2.0112969868760322E-2</v>
      </c>
      <c r="AX262" s="964">
        <f t="shared" si="383"/>
        <v>2.0067414702736208E-2</v>
      </c>
      <c r="AY262" s="964">
        <f t="shared" si="384"/>
        <v>2.006741470273643E-2</v>
      </c>
      <c r="AZ262" s="964">
        <f t="shared" si="385"/>
        <v>2.006741470273643E-2</v>
      </c>
      <c r="BA262" s="965">
        <f t="shared" si="386"/>
        <v>2.0067414702736874E-2</v>
      </c>
      <c r="BB262" s="1343">
        <f t="shared" si="387"/>
        <v>1.9554393260029723E-2</v>
      </c>
      <c r="BC262" s="964">
        <f t="shared" si="388"/>
        <v>1.9051464301303112E-2</v>
      </c>
      <c r="BD262" s="964">
        <f t="shared" si="389"/>
        <v>1.9051464301303334E-2</v>
      </c>
      <c r="BE262" s="964">
        <f t="shared" si="390"/>
        <v>1.9051464301303334E-2</v>
      </c>
      <c r="BF262" s="966">
        <f t="shared" si="391"/>
        <v>1.9051464301303556E-2</v>
      </c>
      <c r="BG262" s="951"/>
      <c r="BH262" s="961" t="str">
        <f t="shared" si="392"/>
        <v>Qty</v>
      </c>
      <c r="BI262" s="962" t="str">
        <f t="shared" si="393"/>
        <v>Waterways and Drainage</v>
      </c>
      <c r="BJ262" s="963" t="str">
        <f t="shared" si="394"/>
        <v>Price cap - Fixed</v>
      </c>
      <c r="BK262" s="964">
        <f t="shared" ref="BK262:BU262" si="396">IF(V262="","-",IFERROR((V262/U262-1)*(U263/U$13),"-"))</f>
        <v>8.0251233607446567E-3</v>
      </c>
      <c r="BL262" s="964">
        <f t="shared" si="396"/>
        <v>2.3606977744775599E-3</v>
      </c>
      <c r="BM262" s="964">
        <f t="shared" si="396"/>
        <v>2.1193136326863966E-3</v>
      </c>
      <c r="BN262" s="964">
        <f t="shared" si="396"/>
        <v>2.2560039840083582E-3</v>
      </c>
      <c r="BO262" s="1350">
        <f t="shared" si="396"/>
        <v>2.645669481969831E-3</v>
      </c>
      <c r="BP262" s="1343">
        <f t="shared" si="396"/>
        <v>2.874219052746606E-3</v>
      </c>
      <c r="BQ262" s="964">
        <f t="shared" si="396"/>
        <v>2.8863062153308377E-3</v>
      </c>
      <c r="BR262" s="964">
        <f t="shared" si="396"/>
        <v>2.8343776211589644E-3</v>
      </c>
      <c r="BS262" s="964">
        <f t="shared" si="396"/>
        <v>2.8365608593702387E-3</v>
      </c>
      <c r="BT262" s="965">
        <f t="shared" si="396"/>
        <v>2.8394450684516483E-3</v>
      </c>
      <c r="BU262" s="964">
        <f t="shared" si="396"/>
        <v>2.7691686142314988E-3</v>
      </c>
      <c r="BV262" s="964">
        <f>IF(AG262="","-",IFERROR((AG262/AF262-1)*(AF263/AF$13),"-"))</f>
        <v>2.6156857216661652E-3</v>
      </c>
      <c r="BW262" s="964">
        <f>IF(AH262="","-",IFERROR((AH262/AG262-1)*(AG263/AG$13),"-"))</f>
        <v>2.6286990086269676E-3</v>
      </c>
      <c r="BX262" s="964">
        <f>IF(AI262="","-",IFERROR((AI262/AH262-1)*(AH263/AH$13),"-"))</f>
        <v>2.6401105492250281E-3</v>
      </c>
      <c r="BY262" s="966">
        <f>IF(AJ262="","-",IFERROR((AJ262/AI262-1)*(AI263/AI$13),"-"))</f>
        <v>2.6448742754493371E-3</v>
      </c>
      <c r="BZ262" s="951"/>
      <c r="CA262" s="961" t="str">
        <f t="shared" si="372"/>
        <v>Qty</v>
      </c>
      <c r="CB262" s="962" t="str">
        <f t="shared" si="373"/>
        <v>Waterways and Drainage</v>
      </c>
      <c r="CC262" s="962" t="str">
        <f t="shared" si="374"/>
        <v>Price cap - Fixed</v>
      </c>
      <c r="CD262" s="967">
        <f t="shared" ref="CD262:CG325" si="397">IF(W262="","-",IFERROR((W262/$U262)^(1/CD$65)-1,"-"))</f>
        <v>4.0905739950023889E-2</v>
      </c>
      <c r="CE262" s="964">
        <f t="shared" si="397"/>
        <v>3.2322691462195463E-2</v>
      </c>
      <c r="CF262" s="964">
        <f t="shared" si="397"/>
        <v>2.8242424085501927E-2</v>
      </c>
      <c r="CG262" s="965">
        <f t="shared" si="397"/>
        <v>2.6361226153025719E-2</v>
      </c>
      <c r="CH262" s="964">
        <f t="shared" ref="CH262:CK325" si="398">IF(AB262="","-",IFERROR((AB262/$Z262)^(1/CH$65)-1,"-"))</f>
        <v>2.0090192031448018E-2</v>
      </c>
      <c r="CI262" s="964">
        <f t="shared" si="398"/>
        <v>2.0082599532033507E-2</v>
      </c>
      <c r="CJ262" s="964">
        <f t="shared" si="398"/>
        <v>2.0078803303517967E-2</v>
      </c>
      <c r="CK262" s="966">
        <f t="shared" si="398"/>
        <v>2.0076525573189841E-2</v>
      </c>
    </row>
    <row r="263" spans="4:89" ht="12.75" thickBot="1">
      <c r="E263" s="568" t="s">
        <v>882</v>
      </c>
      <c r="F263" s="560" t="str">
        <f>+F261</f>
        <v>Waterways and Drainage</v>
      </c>
      <c r="G263" s="561" t="str">
        <f>+G261</f>
        <v>ALL</v>
      </c>
      <c r="H263" s="561" t="str">
        <f>+H261</f>
        <v>Residential on minimum</v>
      </c>
      <c r="I263" s="562" t="str">
        <f>+I261</f>
        <v>Price cap - Fixed</v>
      </c>
      <c r="J263" s="563" t="s">
        <v>883</v>
      </c>
      <c r="K263" s="564">
        <f t="shared" ref="K263:AJ263" si="399">K261*K262/10^6</f>
        <v>0</v>
      </c>
      <c r="L263" s="565">
        <f t="shared" si="399"/>
        <v>0</v>
      </c>
      <c r="M263" s="565">
        <f t="shared" si="399"/>
        <v>0</v>
      </c>
      <c r="N263" s="564">
        <f t="shared" si="399"/>
        <v>0</v>
      </c>
      <c r="O263" s="565">
        <f t="shared" si="399"/>
        <v>0</v>
      </c>
      <c r="P263" s="565">
        <f t="shared" si="399"/>
        <v>0</v>
      </c>
      <c r="Q263" s="565">
        <f t="shared" si="399"/>
        <v>0</v>
      </c>
      <c r="R263" s="566">
        <f t="shared" si="399"/>
        <v>0</v>
      </c>
      <c r="S263" s="564">
        <f t="shared" si="399"/>
        <v>0</v>
      </c>
      <c r="T263" s="565">
        <f t="shared" si="399"/>
        <v>0</v>
      </c>
      <c r="U263" s="566">
        <f t="shared" si="399"/>
        <v>238.01537544397166</v>
      </c>
      <c r="V263" s="565">
        <f t="shared" si="399"/>
        <v>253.72382450743001</v>
      </c>
      <c r="W263" s="565">
        <f t="shared" si="399"/>
        <v>255.16137101491526</v>
      </c>
      <c r="X263" s="565">
        <f t="shared" si="399"/>
        <v>260.80106708467122</v>
      </c>
      <c r="Y263" s="565">
        <f t="shared" si="399"/>
        <v>264.22618008081412</v>
      </c>
      <c r="Z263" s="565">
        <f t="shared" si="399"/>
        <v>269.20791662565733</v>
      </c>
      <c r="AA263" s="564">
        <f t="shared" si="399"/>
        <v>272.3118202935367</v>
      </c>
      <c r="AB263" s="565">
        <f t="shared" si="399"/>
        <v>277.77641451982407</v>
      </c>
      <c r="AC263" s="565">
        <f t="shared" si="399"/>
        <v>283.35066902463262</v>
      </c>
      <c r="AD263" s="565">
        <f t="shared" si="399"/>
        <v>289.03678440624776</v>
      </c>
      <c r="AE263" s="566">
        <f t="shared" si="399"/>
        <v>294.83700542327347</v>
      </c>
      <c r="AF263" s="565">
        <f t="shared" si="399"/>
        <v>299.27395953182082</v>
      </c>
      <c r="AG263" s="565">
        <f>AG261*AG262/10^6</f>
        <v>304.97556668815093</v>
      </c>
      <c r="AH263" s="565">
        <f>AH261*AH262/10^6</f>
        <v>310.78579780968005</v>
      </c>
      <c r="AI263" s="565">
        <f>AI261*AI262/10^6</f>
        <v>316.70672234200322</v>
      </c>
      <c r="AJ263" s="566">
        <f t="shared" si="399"/>
        <v>322.74044915668475</v>
      </c>
      <c r="AK263" s="548"/>
      <c r="AO263" s="984" t="str">
        <f t="shared" si="375"/>
        <v>Rev</v>
      </c>
      <c r="AP263" s="985" t="str">
        <f t="shared" si="375"/>
        <v>Waterways and Drainage</v>
      </c>
      <c r="AQ263" s="986" t="str">
        <f t="shared" si="376"/>
        <v>Price cap - Fixed</v>
      </c>
      <c r="AR263" s="990">
        <f t="shared" si="377"/>
        <v>6.5997623196221156E-2</v>
      </c>
      <c r="AS263" s="987">
        <f t="shared" si="378"/>
        <v>5.6657923641032504E-3</v>
      </c>
      <c r="AT263" s="987">
        <f t="shared" si="379"/>
        <v>2.2102468125656527E-2</v>
      </c>
      <c r="AU263" s="987">
        <f t="shared" si="380"/>
        <v>1.3133048244127421E-2</v>
      </c>
      <c r="AV263" s="1353">
        <f t="shared" si="381"/>
        <v>1.8854061105222586E-2</v>
      </c>
      <c r="AW263" s="1346">
        <f t="shared" si="382"/>
        <v>1.1529763711204177E-2</v>
      </c>
      <c r="AX263" s="987">
        <f t="shared" si="383"/>
        <v>2.0067414702736208E-2</v>
      </c>
      <c r="AY263" s="987">
        <f t="shared" si="384"/>
        <v>2.006741470273643E-2</v>
      </c>
      <c r="AZ263" s="987">
        <f t="shared" si="385"/>
        <v>2.006741470273643E-2</v>
      </c>
      <c r="BA263" s="988">
        <f t="shared" si="386"/>
        <v>2.0067414702736874E-2</v>
      </c>
      <c r="BB263" s="1346">
        <f t="shared" si="387"/>
        <v>1.5048837245438706E-2</v>
      </c>
      <c r="BC263" s="987">
        <f t="shared" si="388"/>
        <v>1.9051464301303112E-2</v>
      </c>
      <c r="BD263" s="987">
        <f t="shared" si="389"/>
        <v>1.9051464301303556E-2</v>
      </c>
      <c r="BE263" s="987">
        <f t="shared" si="390"/>
        <v>1.9051464301303334E-2</v>
      </c>
      <c r="BF263" s="989">
        <f t="shared" si="391"/>
        <v>1.9051464301303556E-2</v>
      </c>
      <c r="BG263" s="951"/>
      <c r="BH263" s="984" t="str">
        <f t="shared" si="392"/>
        <v>Rev</v>
      </c>
      <c r="BI263" s="985" t="str">
        <f t="shared" si="393"/>
        <v>Waterways and Drainage</v>
      </c>
      <c r="BJ263" s="986" t="str">
        <f t="shared" si="394"/>
        <v>Price cap - Fixed</v>
      </c>
      <c r="BK263" s="987">
        <f t="shared" ref="BK263:BU263" si="400">IF(V263="","-",IFERROR((V263/U263-1)*(U263/U$13),"-"))</f>
        <v>8.1458950065077841E-3</v>
      </c>
      <c r="BL263" s="987">
        <f t="shared" si="400"/>
        <v>7.7142643571553253E-4</v>
      </c>
      <c r="BM263" s="987">
        <f t="shared" si="400"/>
        <v>3.0479600686404876E-3</v>
      </c>
      <c r="BN263" s="987">
        <f t="shared" si="400"/>
        <v>1.8404750870981896E-3</v>
      </c>
      <c r="BO263" s="1353">
        <f t="shared" si="400"/>
        <v>2.6433243075918334E-3</v>
      </c>
      <c r="BP263" s="1346">
        <f t="shared" si="400"/>
        <v>1.6476466055806811E-3</v>
      </c>
      <c r="BQ263" s="987">
        <f t="shared" si="400"/>
        <v>2.8863062153308377E-3</v>
      </c>
      <c r="BR263" s="987">
        <f t="shared" si="400"/>
        <v>2.8343776211589644E-3</v>
      </c>
      <c r="BS263" s="987">
        <f t="shared" si="400"/>
        <v>2.8365608593702387E-3</v>
      </c>
      <c r="BT263" s="988">
        <f t="shared" si="400"/>
        <v>2.8394450684516483E-3</v>
      </c>
      <c r="BU263" s="987">
        <f t="shared" si="400"/>
        <v>2.1311204713228482E-3</v>
      </c>
      <c r="BV263" s="987">
        <f>IF(AG263="","-",IFERROR((AG263/AF263-1)*(AF263/AF$13),"-"))</f>
        <v>2.6156857216661652E-3</v>
      </c>
      <c r="BW263" s="987">
        <f>IF(AH263="","-",IFERROR((AH263/AG263-1)*(AG263/AG$13),"-"))</f>
        <v>2.628699008626998E-3</v>
      </c>
      <c r="BX263" s="987">
        <f>IF(AI263="","-",IFERROR((AI263/AH263-1)*(AH263/AH$13),"-"))</f>
        <v>2.6401105492250281E-3</v>
      </c>
      <c r="BY263" s="989">
        <f>IF(AJ263="","-",IFERROR((AJ263/AI263-1)*(AI263/AI$13),"-"))</f>
        <v>2.6448742754493371E-3</v>
      </c>
      <c r="BZ263" s="951"/>
      <c r="CA263" s="984" t="str">
        <f t="shared" si="372"/>
        <v>Rev</v>
      </c>
      <c r="CB263" s="985" t="str">
        <f t="shared" si="373"/>
        <v>Waterways and Drainage</v>
      </c>
      <c r="CC263" s="985" t="str">
        <f t="shared" si="374"/>
        <v>Price cap - Fixed</v>
      </c>
      <c r="CD263" s="990">
        <f t="shared" si="397"/>
        <v>3.5392362532136179E-2</v>
      </c>
      <c r="CE263" s="987">
        <f t="shared" si="397"/>
        <v>3.0943307635612483E-2</v>
      </c>
      <c r="CF263" s="987">
        <f t="shared" si="397"/>
        <v>2.6461603172784454E-2</v>
      </c>
      <c r="CG263" s="988">
        <f t="shared" si="397"/>
        <v>2.4935563979028519E-2</v>
      </c>
      <c r="CH263" s="987">
        <f t="shared" si="398"/>
        <v>1.5789619440835567E-2</v>
      </c>
      <c r="CI263" s="987">
        <f t="shared" si="398"/>
        <v>1.7213554189168256E-2</v>
      </c>
      <c r="CJ263" s="987">
        <f t="shared" si="398"/>
        <v>1.7926269915896187E-2</v>
      </c>
      <c r="CK263" s="989">
        <f t="shared" si="398"/>
        <v>1.8354139026095728E-2</v>
      </c>
    </row>
    <row r="264" spans="4:89">
      <c r="D264" s="63">
        <f>D261+1</f>
        <v>66</v>
      </c>
      <c r="E264" s="550" t="s">
        <v>857</v>
      </c>
      <c r="F264" s="595" t="s">
        <v>420</v>
      </c>
      <c r="G264" s="595" t="s">
        <v>904</v>
      </c>
      <c r="H264" s="595" t="s">
        <v>907</v>
      </c>
      <c r="I264" s="589" t="s">
        <v>939</v>
      </c>
      <c r="J264" s="589" t="s">
        <v>879</v>
      </c>
      <c r="K264" s="551"/>
      <c r="L264" s="552"/>
      <c r="M264" s="552"/>
      <c r="N264" s="551"/>
      <c r="O264" s="552"/>
      <c r="P264" s="552"/>
      <c r="Q264" s="552"/>
      <c r="R264" s="1035"/>
      <c r="S264" s="1138"/>
      <c r="T264" s="591"/>
      <c r="U264" s="1035">
        <v>189.112384219554</v>
      </c>
      <c r="V264" s="591">
        <v>189.2826717557252</v>
      </c>
      <c r="W264" s="591">
        <v>187.10033898305082</v>
      </c>
      <c r="X264" s="591">
        <v>188.35337104072397</v>
      </c>
      <c r="Y264" s="591">
        <v>187.80480349344975</v>
      </c>
      <c r="Z264" s="591">
        <v>187.81</v>
      </c>
      <c r="AA264" s="1138">
        <v>186.2347528750424</v>
      </c>
      <c r="AB264" s="591">
        <v>186.2347528750424</v>
      </c>
      <c r="AC264" s="591">
        <v>186.2347528750424</v>
      </c>
      <c r="AD264" s="591">
        <v>186.2347528750424</v>
      </c>
      <c r="AE264" s="1035">
        <v>186.2347528750424</v>
      </c>
      <c r="AF264" s="591">
        <v>185.41175498842742</v>
      </c>
      <c r="AG264" s="591">
        <v>185.41175498842742</v>
      </c>
      <c r="AH264" s="591">
        <v>185.41175498842742</v>
      </c>
      <c r="AI264" s="591">
        <v>185.41175498842742</v>
      </c>
      <c r="AJ264" s="592">
        <v>185.41175498842742</v>
      </c>
      <c r="AK264" s="548"/>
      <c r="AM264" s="974"/>
      <c r="AO264" s="975" t="str">
        <f t="shared" si="375"/>
        <v>Price</v>
      </c>
      <c r="AP264" s="976" t="str">
        <f t="shared" si="375"/>
        <v>Waterways and Drainage</v>
      </c>
      <c r="AQ264" s="977" t="str">
        <f t="shared" si="376"/>
        <v>Price cap - Fixed</v>
      </c>
      <c r="AR264" s="1341">
        <f t="shared" si="377"/>
        <v>9.0045682028683238E-4</v>
      </c>
      <c r="AS264" s="978">
        <f t="shared" si="378"/>
        <v>-1.152949053620056E-2</v>
      </c>
      <c r="AT264" s="979">
        <f t="shared" si="379"/>
        <v>6.6971127069239689E-3</v>
      </c>
      <c r="AU264" s="979">
        <f t="shared" si="380"/>
        <v>-2.9124381700373903E-3</v>
      </c>
      <c r="AV264" s="1352">
        <f t="shared" si="381"/>
        <v>2.7669721186951435E-5</v>
      </c>
      <c r="AW264" s="1345">
        <f t="shared" si="382"/>
        <v>-8.3874507478707283E-3</v>
      </c>
      <c r="AX264" s="979">
        <f t="shared" si="383"/>
        <v>0</v>
      </c>
      <c r="AY264" s="979">
        <f t="shared" si="384"/>
        <v>0</v>
      </c>
      <c r="AZ264" s="979">
        <f t="shared" si="385"/>
        <v>0</v>
      </c>
      <c r="BA264" s="980">
        <f t="shared" si="386"/>
        <v>0</v>
      </c>
      <c r="BB264" s="1345">
        <f t="shared" si="387"/>
        <v>-4.4191423668771268E-3</v>
      </c>
      <c r="BC264" s="979">
        <f t="shared" si="388"/>
        <v>0</v>
      </c>
      <c r="BD264" s="979">
        <f t="shared" si="389"/>
        <v>0</v>
      </c>
      <c r="BE264" s="979">
        <f t="shared" si="390"/>
        <v>0</v>
      </c>
      <c r="BF264" s="981">
        <f t="shared" si="391"/>
        <v>0</v>
      </c>
      <c r="BG264" s="951"/>
      <c r="BH264" s="975" t="str">
        <f t="shared" si="392"/>
        <v>Price</v>
      </c>
      <c r="BI264" s="976" t="str">
        <f t="shared" si="393"/>
        <v>Waterways and Drainage</v>
      </c>
      <c r="BJ264" s="977" t="str">
        <f t="shared" si="394"/>
        <v>Price cap - Fixed</v>
      </c>
      <c r="BK264" s="978">
        <f t="shared" ref="BK264:BU264" si="401">IF(V264="","-",IFERROR((V264/U264-1)*(U266/U$13),"-"))</f>
        <v>9.4498346736971213E-6</v>
      </c>
      <c r="BL264" s="978">
        <f t="shared" si="401"/>
        <v>-1.4897432516931174E-4</v>
      </c>
      <c r="BM264" s="979">
        <f t="shared" si="401"/>
        <v>8.741916901680096E-5</v>
      </c>
      <c r="BN264" s="979">
        <f t="shared" si="401"/>
        <v>-3.8261625258556517E-5</v>
      </c>
      <c r="BO264" s="1352">
        <f t="shared" si="401"/>
        <v>3.6395137013976379E-7</v>
      </c>
      <c r="BP264" s="1345">
        <f t="shared" si="401"/>
        <v>-1.1262540898222204E-4</v>
      </c>
      <c r="BQ264" s="979">
        <f t="shared" si="401"/>
        <v>0</v>
      </c>
      <c r="BR264" s="979">
        <f t="shared" si="401"/>
        <v>0</v>
      </c>
      <c r="BS264" s="979">
        <f t="shared" si="401"/>
        <v>0</v>
      </c>
      <c r="BT264" s="980">
        <f t="shared" si="401"/>
        <v>0</v>
      </c>
      <c r="BU264" s="979">
        <f t="shared" si="401"/>
        <v>-7.2843140730628059E-5</v>
      </c>
      <c r="BV264" s="979">
        <f>IF(AG264="","-",IFERROR((AG264/AF264-1)*(AF266/AF$13),"-"))</f>
        <v>0</v>
      </c>
      <c r="BW264" s="979">
        <f>IF(AH264="","-",IFERROR((AH264/AG264-1)*(AG266/AG$13),"-"))</f>
        <v>0</v>
      </c>
      <c r="BX264" s="979">
        <f>IF(AI264="","-",IFERROR((AI264/AH264-1)*(AH266/AH$13),"-"))</f>
        <v>0</v>
      </c>
      <c r="BY264" s="981">
        <f>IF(AJ264="","-",IFERROR((AJ264/AI264-1)*(AI266/AI$13),"-"))</f>
        <v>0</v>
      </c>
      <c r="BZ264" s="951"/>
      <c r="CA264" s="975" t="str">
        <f t="shared" si="372"/>
        <v>Price</v>
      </c>
      <c r="CB264" s="976" t="str">
        <f t="shared" si="373"/>
        <v>Waterways and Drainage</v>
      </c>
      <c r="CC264" s="982" t="str">
        <f t="shared" si="374"/>
        <v>Price cap - Fixed</v>
      </c>
      <c r="CD264" s="983">
        <f t="shared" si="397"/>
        <v>-5.3339331837550796E-3</v>
      </c>
      <c r="CE264" s="979">
        <f t="shared" si="397"/>
        <v>-1.3396459105263769E-3</v>
      </c>
      <c r="CF264" s="979">
        <f t="shared" si="397"/>
        <v>-1.733076407140044E-3</v>
      </c>
      <c r="CG264" s="980">
        <f t="shared" si="397"/>
        <v>-1.3811753676049587E-3</v>
      </c>
      <c r="CH264" s="979">
        <f t="shared" si="398"/>
        <v>-4.2025561128763433E-3</v>
      </c>
      <c r="CI264" s="979">
        <f t="shared" si="398"/>
        <v>-2.8036701360437677E-3</v>
      </c>
      <c r="CJ264" s="979">
        <f t="shared" si="398"/>
        <v>-2.1034903923534687E-3</v>
      </c>
      <c r="CK264" s="981">
        <f t="shared" si="398"/>
        <v>-1.6831465858064831E-3</v>
      </c>
    </row>
    <row r="265" spans="4:89">
      <c r="E265" s="567" t="s">
        <v>880</v>
      </c>
      <c r="F265" s="554" t="str">
        <f>+F264</f>
        <v>Waterways and Drainage</v>
      </c>
      <c r="G265" s="555" t="str">
        <f>+G264</f>
        <v>ALL</v>
      </c>
      <c r="H265" s="555" t="str">
        <f>+H264</f>
        <v>Non residential on minimum</v>
      </c>
      <c r="I265" s="556" t="str">
        <f>+I264</f>
        <v>Price cap - Fixed</v>
      </c>
      <c r="J265" s="590" t="s">
        <v>906</v>
      </c>
      <c r="K265" s="557"/>
      <c r="L265" s="558"/>
      <c r="M265" s="558"/>
      <c r="N265" s="557"/>
      <c r="O265" s="558"/>
      <c r="P265" s="558"/>
      <c r="Q265" s="558"/>
      <c r="R265" s="1036"/>
      <c r="S265" s="1139"/>
      <c r="T265" s="593"/>
      <c r="U265" s="1036">
        <v>107012.82983896416</v>
      </c>
      <c r="V265" s="593">
        <v>127209</v>
      </c>
      <c r="W265" s="593">
        <v>129089.5</v>
      </c>
      <c r="X265" s="593">
        <v>129801.06707169929</v>
      </c>
      <c r="Y265" s="593">
        <v>131996.43032587145</v>
      </c>
      <c r="Z265" s="593">
        <v>134688.91411277495</v>
      </c>
      <c r="AA265" s="1139">
        <v>172901.92785644083</v>
      </c>
      <c r="AB265" s="593">
        <v>175677.68360779906</v>
      </c>
      <c r="AC265" s="593">
        <v>178498.0011525781</v>
      </c>
      <c r="AD265" s="593">
        <v>181363.59588276874</v>
      </c>
      <c r="AE265" s="1036">
        <v>184275.19467521601</v>
      </c>
      <c r="AF265" s="593">
        <v>187158.0539737998</v>
      </c>
      <c r="AG265" s="593">
        <v>190010.56196098644</v>
      </c>
      <c r="AH265" s="593">
        <v>192906.5455114427</v>
      </c>
      <c r="AI265" s="593">
        <v>195846.66724368191</v>
      </c>
      <c r="AJ265" s="594">
        <v>198831.59987529975</v>
      </c>
      <c r="AK265" s="548"/>
      <c r="AO265" s="961" t="str">
        <f t="shared" si="375"/>
        <v>Qty</v>
      </c>
      <c r="AP265" s="962" t="str">
        <f t="shared" si="375"/>
        <v>Waterways and Drainage</v>
      </c>
      <c r="AQ265" s="963" t="str">
        <f t="shared" si="376"/>
        <v>Price cap - Fixed</v>
      </c>
      <c r="AR265" s="967">
        <f t="shared" si="377"/>
        <v>0.1887266245685455</v>
      </c>
      <c r="AS265" s="964">
        <f t="shared" si="378"/>
        <v>1.4782759081511498E-2</v>
      </c>
      <c r="AT265" s="964">
        <f t="shared" si="379"/>
        <v>5.5121994561857512E-3</v>
      </c>
      <c r="AU265" s="964">
        <f t="shared" si="380"/>
        <v>1.6913291267162567E-2</v>
      </c>
      <c r="AV265" s="1350">
        <f t="shared" si="381"/>
        <v>2.0398156073283991E-2</v>
      </c>
      <c r="AW265" s="1343">
        <f t="shared" si="382"/>
        <v>0.28371313255722108</v>
      </c>
      <c r="AX265" s="964">
        <f t="shared" si="383"/>
        <v>1.6053931762189055E-2</v>
      </c>
      <c r="AY265" s="964">
        <f t="shared" si="384"/>
        <v>1.6053931762189055E-2</v>
      </c>
      <c r="AZ265" s="964">
        <f t="shared" si="385"/>
        <v>1.6053931762189055E-2</v>
      </c>
      <c r="BA265" s="965">
        <f t="shared" si="386"/>
        <v>1.6053931762189499E-2</v>
      </c>
      <c r="BB265" s="1343">
        <f t="shared" si="387"/>
        <v>1.5644315577388657E-2</v>
      </c>
      <c r="BC265" s="964">
        <f t="shared" si="388"/>
        <v>1.5241171441042756E-2</v>
      </c>
      <c r="BD265" s="964">
        <f t="shared" si="389"/>
        <v>1.5241171441042756E-2</v>
      </c>
      <c r="BE265" s="964">
        <f t="shared" si="390"/>
        <v>1.5241171441042756E-2</v>
      </c>
      <c r="BF265" s="966">
        <f t="shared" si="391"/>
        <v>1.5241171441042978E-2</v>
      </c>
      <c r="BG265" s="951"/>
      <c r="BH265" s="961" t="str">
        <f t="shared" si="392"/>
        <v>Qty</v>
      </c>
      <c r="BI265" s="962" t="str">
        <f t="shared" si="393"/>
        <v>Waterways and Drainage</v>
      </c>
      <c r="BJ265" s="963" t="str">
        <f t="shared" si="394"/>
        <v>Price cap - Fixed</v>
      </c>
      <c r="BK265" s="964">
        <f t="shared" ref="BK265:BU265" si="402">IF(V265="","-",IFERROR((V265/U265-1)*(U266/U$13),"-"))</f>
        <v>1.9805895857722116E-3</v>
      </c>
      <c r="BL265" s="964">
        <f t="shared" si="402"/>
        <v>1.9101030972652348E-4</v>
      </c>
      <c r="BM265" s="964">
        <f t="shared" si="402"/>
        <v>7.195218551666688E-5</v>
      </c>
      <c r="BN265" s="964">
        <f t="shared" si="402"/>
        <v>2.2219527920302003E-4</v>
      </c>
      <c r="BO265" s="1350">
        <f t="shared" si="402"/>
        <v>2.6830544482311062E-4</v>
      </c>
      <c r="BP265" s="1343">
        <f t="shared" si="402"/>
        <v>3.8096566583113701E-3</v>
      </c>
      <c r="BQ265" s="964">
        <f t="shared" si="402"/>
        <v>2.7304011675433304E-4</v>
      </c>
      <c r="BR265" s="964">
        <f t="shared" si="402"/>
        <v>2.6707279590921503E-4</v>
      </c>
      <c r="BS265" s="964">
        <f t="shared" si="402"/>
        <v>2.662268997036441E-4</v>
      </c>
      <c r="BT265" s="965">
        <f t="shared" si="402"/>
        <v>2.6544905661411602E-4</v>
      </c>
      <c r="BU265" s="964">
        <f t="shared" si="402"/>
        <v>2.5787381048856904E-4</v>
      </c>
      <c r="BV265" s="964">
        <f>IF(AG265="","-",IFERROR((AG265/AF265-1)*(AF266/AF$13),"-"))</f>
        <v>2.4263441715996481E-4</v>
      </c>
      <c r="BW265" s="964">
        <f>IF(AH265="","-",IFERROR((AH265/AG265-1)*(AG266/AG$13),"-"))</f>
        <v>2.4292980885697136E-4</v>
      </c>
      <c r="BX265" s="964">
        <f>IF(AI265="","-",IFERROR((AI265/AH265-1)*(AH266/AH$13),"-"))</f>
        <v>2.4307212835749078E-4</v>
      </c>
      <c r="BY265" s="966">
        <f>IF(AJ265="","-",IFERROR((AJ265/AI265-1)*(AI266/AI$13),"-"))</f>
        <v>2.4260021870597628E-4</v>
      </c>
      <c r="BZ265" s="951"/>
      <c r="CA265" s="961" t="str">
        <f t="shared" si="372"/>
        <v>Qty</v>
      </c>
      <c r="CB265" s="962" t="str">
        <f t="shared" si="373"/>
        <v>Waterways and Drainage</v>
      </c>
      <c r="CC265" s="962" t="str">
        <f t="shared" si="374"/>
        <v>Price cap - Fixed</v>
      </c>
      <c r="CD265" s="967">
        <f t="shared" si="397"/>
        <v>9.8316568150240036E-2</v>
      </c>
      <c r="CE265" s="964">
        <f t="shared" si="397"/>
        <v>6.6467122455029282E-2</v>
      </c>
      <c r="CF265" s="964">
        <f t="shared" si="397"/>
        <v>5.3856757023397428E-2</v>
      </c>
      <c r="CG265" s="965">
        <f t="shared" si="397"/>
        <v>4.7078399720204667E-2</v>
      </c>
      <c r="CH265" s="964">
        <f t="shared" si="398"/>
        <v>0.14206907654025924</v>
      </c>
      <c r="CI265" s="964">
        <f t="shared" si="398"/>
        <v>9.8416804645789391E-2</v>
      </c>
      <c r="CJ265" s="964">
        <f t="shared" si="398"/>
        <v>7.7220393217071859E-2</v>
      </c>
      <c r="CK265" s="966">
        <f t="shared" si="398"/>
        <v>6.4699390430701165E-2</v>
      </c>
    </row>
    <row r="266" spans="4:89" ht="12.75" thickBot="1">
      <c r="E266" s="568" t="s">
        <v>882</v>
      </c>
      <c r="F266" s="560" t="str">
        <f>+F264</f>
        <v>Waterways and Drainage</v>
      </c>
      <c r="G266" s="561" t="str">
        <f>+G264</f>
        <v>ALL</v>
      </c>
      <c r="H266" s="561" t="str">
        <f>+H264</f>
        <v>Non residential on minimum</v>
      </c>
      <c r="I266" s="562" t="str">
        <f>+I264</f>
        <v>Price cap - Fixed</v>
      </c>
      <c r="J266" s="563" t="s">
        <v>883</v>
      </c>
      <c r="K266" s="564">
        <f t="shared" ref="K266:AJ266" si="403">K264*K265/10^6</f>
        <v>0</v>
      </c>
      <c r="L266" s="565">
        <f t="shared" si="403"/>
        <v>0</v>
      </c>
      <c r="M266" s="565">
        <f t="shared" si="403"/>
        <v>0</v>
      </c>
      <c r="N266" s="564">
        <f t="shared" si="403"/>
        <v>0</v>
      </c>
      <c r="O266" s="565">
        <f t="shared" si="403"/>
        <v>0</v>
      </c>
      <c r="P266" s="565">
        <f t="shared" si="403"/>
        <v>0</v>
      </c>
      <c r="Q266" s="565">
        <f t="shared" si="403"/>
        <v>0</v>
      </c>
      <c r="R266" s="566">
        <f t="shared" si="403"/>
        <v>0</v>
      </c>
      <c r="S266" s="564">
        <f t="shared" si="403"/>
        <v>0</v>
      </c>
      <c r="T266" s="565">
        <f t="shared" si="403"/>
        <v>0</v>
      </c>
      <c r="U266" s="566">
        <f t="shared" si="403"/>
        <v>20.237451392927944</v>
      </c>
      <c r="V266" s="565">
        <f t="shared" si="403"/>
        <v>24.078459391374047</v>
      </c>
      <c r="W266" s="565">
        <f t="shared" si="403"/>
        <v>24.152689209152538</v>
      </c>
      <c r="X266" s="565">
        <f t="shared" si="403"/>
        <v>24.448468547637674</v>
      </c>
      <c r="Y266" s="565">
        <f t="shared" si="403"/>
        <v>24.78956365918712</v>
      </c>
      <c r="Z266" s="565">
        <f t="shared" si="403"/>
        <v>25.29592495952026</v>
      </c>
      <c r="AA266" s="564">
        <f t="shared" si="403"/>
        <v>32.200347805962664</v>
      </c>
      <c r="AB266" s="565">
        <f t="shared" si="403"/>
        <v>32.717289992358346</v>
      </c>
      <c r="AC266" s="565">
        <f t="shared" si="403"/>
        <v>33.242531133339419</v>
      </c>
      <c r="AD266" s="565">
        <f t="shared" si="403"/>
        <v>33.776204459756492</v>
      </c>
      <c r="AE266" s="566">
        <f t="shared" si="403"/>
        <v>34.318445341339185</v>
      </c>
      <c r="AF266" s="565">
        <f t="shared" si="403"/>
        <v>34.701303247501045</v>
      </c>
      <c r="AG266" s="565">
        <f>AG264*AG265/10^6</f>
        <v>35.230191759523827</v>
      </c>
      <c r="AH266" s="565">
        <f>AH264*AH265/10^6</f>
        <v>35.767141152031542</v>
      </c>
      <c r="AI266" s="565">
        <f>AI264*AI265/10^6</f>
        <v>36.312274282285621</v>
      </c>
      <c r="AJ266" s="566">
        <f t="shared" si="403"/>
        <v>36.865715880036113</v>
      </c>
      <c r="AK266" s="548"/>
      <c r="AO266" s="984" t="str">
        <f t="shared" si="375"/>
        <v>Rev</v>
      </c>
      <c r="AP266" s="985" t="str">
        <f t="shared" si="375"/>
        <v>Waterways and Drainage</v>
      </c>
      <c r="AQ266" s="986" t="str">
        <f t="shared" si="376"/>
        <v>Price cap - Fixed</v>
      </c>
      <c r="AR266" s="990">
        <f t="shared" si="377"/>
        <v>0.18979702156509481</v>
      </c>
      <c r="AS266" s="987">
        <f t="shared" si="378"/>
        <v>3.0828308643817692E-3</v>
      </c>
      <c r="AT266" s="987">
        <f t="shared" si="379"/>
        <v>1.2246227984130664E-2</v>
      </c>
      <c r="AU266" s="987">
        <f t="shared" si="380"/>
        <v>1.3951594182057825E-2</v>
      </c>
      <c r="AV266" s="1353">
        <f t="shared" si="381"/>
        <v>2.0426390205762202E-2</v>
      </c>
      <c r="AW266" s="1346">
        <f t="shared" si="382"/>
        <v>0.27294605188350252</v>
      </c>
      <c r="AX266" s="987">
        <f t="shared" si="383"/>
        <v>1.6053931762189055E-2</v>
      </c>
      <c r="AY266" s="987">
        <f t="shared" si="384"/>
        <v>1.6053931762189055E-2</v>
      </c>
      <c r="AZ266" s="987">
        <f t="shared" si="385"/>
        <v>1.6053931762189055E-2</v>
      </c>
      <c r="BA266" s="988">
        <f t="shared" si="386"/>
        <v>1.6053931762189499E-2</v>
      </c>
      <c r="BB266" s="1346">
        <f t="shared" si="387"/>
        <v>1.1156038752742736E-2</v>
      </c>
      <c r="BC266" s="987">
        <f t="shared" si="388"/>
        <v>1.5241171441042978E-2</v>
      </c>
      <c r="BD266" s="987">
        <f t="shared" si="389"/>
        <v>1.5241171441042756E-2</v>
      </c>
      <c r="BE266" s="987">
        <f t="shared" si="390"/>
        <v>1.5241171441042534E-2</v>
      </c>
      <c r="BF266" s="989">
        <f t="shared" si="391"/>
        <v>1.5241171441042978E-2</v>
      </c>
      <c r="BG266" s="951"/>
      <c r="BH266" s="984" t="str">
        <f t="shared" si="392"/>
        <v>Rev</v>
      </c>
      <c r="BI266" s="985" t="str">
        <f t="shared" si="393"/>
        <v>Waterways and Drainage</v>
      </c>
      <c r="BJ266" s="986" t="str">
        <f t="shared" si="394"/>
        <v>Price cap - Fixed</v>
      </c>
      <c r="BK266" s="987">
        <f t="shared" ref="BK266:BU266" si="404">IF(V266="","-",IFERROR((V266/U266-1)*(U266/U$13),"-"))</f>
        <v>1.9918228558466066E-3</v>
      </c>
      <c r="BL266" s="987">
        <f t="shared" si="404"/>
        <v>3.9833732998903697E-5</v>
      </c>
      <c r="BM266" s="987">
        <f t="shared" si="404"/>
        <v>1.5985322642938016E-4</v>
      </c>
      <c r="BN266" s="987">
        <f t="shared" si="404"/>
        <v>1.8328652393211173E-4</v>
      </c>
      <c r="BO266" s="1353">
        <f t="shared" si="404"/>
        <v>2.6867682013010134E-4</v>
      </c>
      <c r="BP266" s="1346">
        <f t="shared" si="404"/>
        <v>3.6650779417412632E-3</v>
      </c>
      <c r="BQ266" s="987">
        <f t="shared" si="404"/>
        <v>2.7304011675433304E-4</v>
      </c>
      <c r="BR266" s="987">
        <f t="shared" si="404"/>
        <v>2.6707279590921503E-4</v>
      </c>
      <c r="BS266" s="987">
        <f t="shared" si="404"/>
        <v>2.662268997036441E-4</v>
      </c>
      <c r="BT266" s="988">
        <f t="shared" si="404"/>
        <v>2.6544905661411602E-4</v>
      </c>
      <c r="BU266" s="987">
        <f t="shared" si="404"/>
        <v>1.8389108867670359E-4</v>
      </c>
      <c r="BV266" s="987">
        <f>IF(AG266="","-",IFERROR((AG266/AF266-1)*(AF266/AF$13),"-"))</f>
        <v>2.4263441715996833E-4</v>
      </c>
      <c r="BW266" s="987">
        <f>IF(AH266="","-",IFERROR((AH266/AG266-1)*(AG266/AG$13),"-"))</f>
        <v>2.4292980885697136E-4</v>
      </c>
      <c r="BX266" s="987">
        <f>IF(AI266="","-",IFERROR((AI266/AH266-1)*(AH266/AH$13),"-"))</f>
        <v>2.4307212835748723E-4</v>
      </c>
      <c r="BY266" s="989">
        <f>IF(AJ266="","-",IFERROR((AJ266/AI266-1)*(AI266/AI$13),"-"))</f>
        <v>2.4260021870597628E-4</v>
      </c>
      <c r="BZ266" s="951"/>
      <c r="CA266" s="984" t="str">
        <f t="shared" si="372"/>
        <v>Rev</v>
      </c>
      <c r="CB266" s="985" t="str">
        <f t="shared" si="373"/>
        <v>Waterways and Drainage</v>
      </c>
      <c r="CC266" s="985" t="str">
        <f t="shared" si="374"/>
        <v>Price cap - Fixed</v>
      </c>
      <c r="CD266" s="990">
        <f t="shared" si="397"/>
        <v>9.2458220961115334E-2</v>
      </c>
      <c r="CE266" s="987">
        <f t="shared" si="397"/>
        <v>6.5038434135721523E-2</v>
      </c>
      <c r="CF266" s="987">
        <f t="shared" si="397"/>
        <v>5.2030342741294922E-2</v>
      </c>
      <c r="CG266" s="988">
        <f t="shared" si="397"/>
        <v>4.5632200826559721E-2</v>
      </c>
      <c r="CH266" s="987">
        <f t="shared" si="398"/>
        <v>0.13726946716131816</v>
      </c>
      <c r="CI266" s="987">
        <f t="shared" si="398"/>
        <v>9.5337206253675477E-2</v>
      </c>
      <c r="CJ266" s="987">
        <f t="shared" si="398"/>
        <v>7.495447046949244E-2</v>
      </c>
      <c r="CK266" s="989">
        <f t="shared" si="398"/>
        <v>6.2907345286787431E-2</v>
      </c>
    </row>
    <row r="267" spans="4:89">
      <c r="D267" s="63">
        <f>D264+1</f>
        <v>67</v>
      </c>
      <c r="E267" s="550" t="s">
        <v>857</v>
      </c>
      <c r="F267" s="595" t="s">
        <v>420</v>
      </c>
      <c r="G267" s="595" t="s">
        <v>904</v>
      </c>
      <c r="H267" s="595" t="s">
        <v>908</v>
      </c>
      <c r="I267" s="589" t="s">
        <v>939</v>
      </c>
      <c r="J267" s="589" t="s">
        <v>879</v>
      </c>
      <c r="K267" s="551"/>
      <c r="L267" s="552"/>
      <c r="M267" s="552"/>
      <c r="N267" s="551"/>
      <c r="O267" s="552"/>
      <c r="P267" s="552"/>
      <c r="Q267" s="552"/>
      <c r="R267" s="1035"/>
      <c r="S267" s="1138"/>
      <c r="T267" s="591"/>
      <c r="U267" s="1035">
        <v>5.3661483704974273E-3</v>
      </c>
      <c r="V267" s="591">
        <v>5.0336946564885502E-3</v>
      </c>
      <c r="W267" s="591">
        <v>5.0329491525423721E-3</v>
      </c>
      <c r="X267" s="591">
        <v>5.0327307692307694E-3</v>
      </c>
      <c r="Y267" s="591">
        <v>5.0320218340611346E-3</v>
      </c>
      <c r="Z267" s="591">
        <v>5.032E-3</v>
      </c>
      <c r="AA267" s="1138">
        <v>0</v>
      </c>
      <c r="AB267" s="591">
        <v>0</v>
      </c>
      <c r="AC267" s="591">
        <v>0</v>
      </c>
      <c r="AD267" s="591">
        <v>0</v>
      </c>
      <c r="AE267" s="1035">
        <v>0</v>
      </c>
      <c r="AF267" s="591">
        <v>0</v>
      </c>
      <c r="AG267" s="591">
        <v>0</v>
      </c>
      <c r="AH267" s="591">
        <v>0</v>
      </c>
      <c r="AI267" s="591">
        <v>0</v>
      </c>
      <c r="AJ267" s="592">
        <v>0</v>
      </c>
      <c r="AK267" s="548"/>
      <c r="AM267" s="974"/>
      <c r="AO267" s="975" t="str">
        <f t="shared" si="375"/>
        <v>Price</v>
      </c>
      <c r="AP267" s="976" t="str">
        <f t="shared" si="375"/>
        <v>Waterways and Drainage</v>
      </c>
      <c r="AQ267" s="977" t="str">
        <f t="shared" si="376"/>
        <v>Price cap - Fixed</v>
      </c>
      <c r="AR267" s="1341">
        <f t="shared" si="377"/>
        <v>-6.1953880335600897E-2</v>
      </c>
      <c r="AS267" s="978">
        <f t="shared" si="378"/>
        <v>-1.4810273507892546E-4</v>
      </c>
      <c r="AT267" s="979">
        <f t="shared" si="379"/>
        <v>-4.3390724798531011E-5</v>
      </c>
      <c r="AU267" s="979">
        <f t="shared" si="380"/>
        <v>-1.4086491055098627E-4</v>
      </c>
      <c r="AV267" s="1352">
        <f t="shared" si="381"/>
        <v>-4.3390235285878376E-6</v>
      </c>
      <c r="AW267" s="1345">
        <f t="shared" si="382"/>
        <v>-1</v>
      </c>
      <c r="AX267" s="979" t="str">
        <f t="shared" si="383"/>
        <v>-</v>
      </c>
      <c r="AY267" s="979" t="str">
        <f t="shared" si="384"/>
        <v>-</v>
      </c>
      <c r="AZ267" s="979" t="str">
        <f t="shared" si="385"/>
        <v>-</v>
      </c>
      <c r="BA267" s="980" t="str">
        <f t="shared" si="386"/>
        <v>-</v>
      </c>
      <c r="BB267" s="1345" t="str">
        <f t="shared" si="387"/>
        <v>-</v>
      </c>
      <c r="BC267" s="979" t="str">
        <f t="shared" si="388"/>
        <v>-</v>
      </c>
      <c r="BD267" s="979" t="str">
        <f t="shared" si="389"/>
        <v>-</v>
      </c>
      <c r="BE267" s="979" t="str">
        <f t="shared" si="390"/>
        <v>-</v>
      </c>
      <c r="BF267" s="981" t="str">
        <f t="shared" si="391"/>
        <v>-</v>
      </c>
      <c r="BG267" s="951"/>
      <c r="BH267" s="975" t="str">
        <f t="shared" si="392"/>
        <v>Price</v>
      </c>
      <c r="BI267" s="976" t="str">
        <f t="shared" si="393"/>
        <v>Waterways and Drainage</v>
      </c>
      <c r="BJ267" s="977" t="str">
        <f t="shared" si="394"/>
        <v>Price cap - Fixed</v>
      </c>
      <c r="BK267" s="978">
        <f t="shared" ref="BK267:BU267" si="405">IF(V267="","-",IFERROR((V267/U267-1)*(U269/U$13),"-"))</f>
        <v>-1.0293409047357717E-3</v>
      </c>
      <c r="BL267" s="978">
        <f t="shared" si="405"/>
        <v>-2.1547431353317876E-6</v>
      </c>
      <c r="BM267" s="979">
        <f t="shared" si="405"/>
        <v>-6.4412282578689054E-7</v>
      </c>
      <c r="BN267" s="979">
        <f t="shared" si="405"/>
        <v>-2.1607936267449884E-6</v>
      </c>
      <c r="BO267" s="1352">
        <f t="shared" si="405"/>
        <v>-6.54780289381433E-8</v>
      </c>
      <c r="BP267" s="1345">
        <f t="shared" si="405"/>
        <v>-1.5088231428983847E-2</v>
      </c>
      <c r="BQ267" s="979" t="str">
        <f t="shared" si="405"/>
        <v>-</v>
      </c>
      <c r="BR267" s="979" t="str">
        <f t="shared" si="405"/>
        <v>-</v>
      </c>
      <c r="BS267" s="979" t="str">
        <f t="shared" si="405"/>
        <v>-</v>
      </c>
      <c r="BT267" s="980" t="str">
        <f t="shared" si="405"/>
        <v>-</v>
      </c>
      <c r="BU267" s="979" t="str">
        <f t="shared" si="405"/>
        <v>-</v>
      </c>
      <c r="BV267" s="979" t="str">
        <f>IF(AG267="","-",IFERROR((AG267/AF267-1)*(AF269/AF$13),"-"))</f>
        <v>-</v>
      </c>
      <c r="BW267" s="979" t="str">
        <f>IF(AH267="","-",IFERROR((AH267/AG267-1)*(AG269/AG$13),"-"))</f>
        <v>-</v>
      </c>
      <c r="BX267" s="979" t="str">
        <f>IF(AI267="","-",IFERROR((AI267/AH267-1)*(AH269/AH$13),"-"))</f>
        <v>-</v>
      </c>
      <c r="BY267" s="981" t="str">
        <f>IF(AJ267="","-",IFERROR((AJ267/AI267-1)*(AI269/AI$13),"-"))</f>
        <v>-</v>
      </c>
      <c r="BZ267" s="951"/>
      <c r="CA267" s="975" t="str">
        <f t="shared" si="372"/>
        <v>Price</v>
      </c>
      <c r="CB267" s="976" t="str">
        <f t="shared" si="373"/>
        <v>Waterways and Drainage</v>
      </c>
      <c r="CC267" s="982" t="str">
        <f t="shared" si="374"/>
        <v>Price cap - Fixed</v>
      </c>
      <c r="CD267" s="983">
        <f t="shared" si="397"/>
        <v>-3.1543912989108858E-2</v>
      </c>
      <c r="CE267" s="979">
        <f t="shared" si="397"/>
        <v>-2.1155570028840831E-2</v>
      </c>
      <c r="CF267" s="979">
        <f t="shared" si="397"/>
        <v>-1.5943668220773977E-2</v>
      </c>
      <c r="CG267" s="980">
        <f t="shared" si="397"/>
        <v>-1.2776258182234934E-2</v>
      </c>
      <c r="CH267" s="979">
        <f t="shared" si="398"/>
        <v>-1</v>
      </c>
      <c r="CI267" s="979">
        <f t="shared" si="398"/>
        <v>-1</v>
      </c>
      <c r="CJ267" s="979">
        <f t="shared" si="398"/>
        <v>-1</v>
      </c>
      <c r="CK267" s="981">
        <f t="shared" si="398"/>
        <v>-1</v>
      </c>
    </row>
    <row r="268" spans="4:89">
      <c r="E268" s="567" t="s">
        <v>880</v>
      </c>
      <c r="F268" s="554" t="str">
        <f>+F267</f>
        <v>Waterways and Drainage</v>
      </c>
      <c r="G268" s="555" t="str">
        <f>+G267</f>
        <v>ALL</v>
      </c>
      <c r="H268" s="555" t="str">
        <f>+H267</f>
        <v>Non residential above minimum</v>
      </c>
      <c r="I268" s="556" t="str">
        <f>+I267</f>
        <v>Price cap - Fixed</v>
      </c>
      <c r="J268" s="590" t="s">
        <v>909</v>
      </c>
      <c r="K268" s="557"/>
      <c r="L268" s="558"/>
      <c r="M268" s="558"/>
      <c r="N268" s="557"/>
      <c r="O268" s="558"/>
      <c r="P268" s="558"/>
      <c r="Q268" s="558"/>
      <c r="R268" s="1036"/>
      <c r="S268" s="1139"/>
      <c r="T268" s="593"/>
      <c r="U268" s="1036">
        <v>5970662770.0225754</v>
      </c>
      <c r="V268" s="593">
        <v>5386081808.5</v>
      </c>
      <c r="W268" s="593">
        <v>5457524186</v>
      </c>
      <c r="X268" s="593">
        <v>5672202525.25</v>
      </c>
      <c r="Y268" s="593">
        <v>5651859828</v>
      </c>
      <c r="Z268" s="593">
        <v>5648613641.5</v>
      </c>
      <c r="AA268" s="1139">
        <v>0</v>
      </c>
      <c r="AB268" s="593">
        <v>0</v>
      </c>
      <c r="AC268" s="593">
        <v>0</v>
      </c>
      <c r="AD268" s="593">
        <v>0</v>
      </c>
      <c r="AE268" s="1036">
        <v>0</v>
      </c>
      <c r="AF268" s="593">
        <v>0</v>
      </c>
      <c r="AG268" s="593">
        <v>0</v>
      </c>
      <c r="AH268" s="593">
        <v>0</v>
      </c>
      <c r="AI268" s="593">
        <v>0</v>
      </c>
      <c r="AJ268" s="594">
        <v>0</v>
      </c>
      <c r="AK268" s="548"/>
      <c r="AO268" s="961" t="str">
        <f t="shared" si="375"/>
        <v>Qty</v>
      </c>
      <c r="AP268" s="962" t="str">
        <f t="shared" si="375"/>
        <v>Waterways and Drainage</v>
      </c>
      <c r="AQ268" s="963" t="str">
        <f t="shared" si="376"/>
        <v>Price cap - Fixed</v>
      </c>
      <c r="AR268" s="967">
        <f t="shared" si="377"/>
        <v>-9.7908889521885478E-2</v>
      </c>
      <c r="AS268" s="964">
        <f t="shared" si="378"/>
        <v>1.3264257774037835E-2</v>
      </c>
      <c r="AT268" s="964">
        <f t="shared" si="379"/>
        <v>3.9336213992547497E-2</v>
      </c>
      <c r="AU268" s="964">
        <f t="shared" si="380"/>
        <v>-3.5863841531474927E-3</v>
      </c>
      <c r="AV268" s="1350">
        <f t="shared" si="381"/>
        <v>-5.7435722024068436E-4</v>
      </c>
      <c r="AW268" s="1343">
        <f t="shared" si="382"/>
        <v>-1</v>
      </c>
      <c r="AX268" s="964" t="str">
        <f t="shared" si="383"/>
        <v>-</v>
      </c>
      <c r="AY268" s="964" t="str">
        <f t="shared" si="384"/>
        <v>-</v>
      </c>
      <c r="AZ268" s="964" t="str">
        <f t="shared" si="385"/>
        <v>-</v>
      </c>
      <c r="BA268" s="965" t="str">
        <f t="shared" si="386"/>
        <v>-</v>
      </c>
      <c r="BB268" s="1343" t="str">
        <f t="shared" si="387"/>
        <v>-</v>
      </c>
      <c r="BC268" s="964" t="str">
        <f t="shared" si="388"/>
        <v>-</v>
      </c>
      <c r="BD268" s="964" t="str">
        <f t="shared" si="389"/>
        <v>-</v>
      </c>
      <c r="BE268" s="964" t="str">
        <f t="shared" si="390"/>
        <v>-</v>
      </c>
      <c r="BF268" s="966" t="str">
        <f t="shared" si="391"/>
        <v>-</v>
      </c>
      <c r="BG268" s="951"/>
      <c r="BH268" s="961" t="str">
        <f t="shared" si="392"/>
        <v>Qty</v>
      </c>
      <c r="BI268" s="962" t="str">
        <f t="shared" si="393"/>
        <v>Waterways and Drainage</v>
      </c>
      <c r="BJ268" s="963" t="str">
        <f t="shared" si="394"/>
        <v>Price cap - Fixed</v>
      </c>
      <c r="BK268" s="964">
        <f t="shared" ref="BK268:BU268" si="406">IF(V268="","-",IFERROR((V268/U268-1)*(U269/U$13),"-"))</f>
        <v>-1.6267201404690647E-3</v>
      </c>
      <c r="BL268" s="964">
        <f t="shared" si="406"/>
        <v>1.9298136775562034E-4</v>
      </c>
      <c r="BM268" s="964">
        <f t="shared" si="406"/>
        <v>5.8393477938619993E-4</v>
      </c>
      <c r="BN268" s="964">
        <f t="shared" si="406"/>
        <v>-5.5013246314279279E-5</v>
      </c>
      <c r="BO268" s="1350">
        <f t="shared" si="406"/>
        <v>-8.6673368881202549E-6</v>
      </c>
      <c r="BP268" s="1343">
        <f t="shared" si="406"/>
        <v>-1.5088231428983847E-2</v>
      </c>
      <c r="BQ268" s="964" t="str">
        <f t="shared" si="406"/>
        <v>-</v>
      </c>
      <c r="BR268" s="964" t="str">
        <f t="shared" si="406"/>
        <v>-</v>
      </c>
      <c r="BS268" s="964" t="str">
        <f t="shared" si="406"/>
        <v>-</v>
      </c>
      <c r="BT268" s="965" t="str">
        <f t="shared" si="406"/>
        <v>-</v>
      </c>
      <c r="BU268" s="964" t="str">
        <f t="shared" si="406"/>
        <v>-</v>
      </c>
      <c r="BV268" s="964" t="str">
        <f>IF(AG268="","-",IFERROR((AG268/AF268-1)*(AF269/AF$13),"-"))</f>
        <v>-</v>
      </c>
      <c r="BW268" s="964" t="str">
        <f>IF(AH268="","-",IFERROR((AH268/AG268-1)*(AG269/AG$13),"-"))</f>
        <v>-</v>
      </c>
      <c r="BX268" s="964" t="str">
        <f>IF(AI268="","-",IFERROR((AI268/AH268-1)*(AH269/AH$13),"-"))</f>
        <v>-</v>
      </c>
      <c r="BY268" s="966" t="str">
        <f>IF(AJ268="","-",IFERROR((AJ268/AI268-1)*(AI269/AI$13),"-"))</f>
        <v>-</v>
      </c>
      <c r="BZ268" s="951"/>
      <c r="CA268" s="961" t="str">
        <f t="shared" si="372"/>
        <v>Qty</v>
      </c>
      <c r="CB268" s="962" t="str">
        <f t="shared" si="373"/>
        <v>Waterways and Drainage</v>
      </c>
      <c r="CC268" s="962" t="str">
        <f t="shared" si="374"/>
        <v>Price cap - Fixed</v>
      </c>
      <c r="CD268" s="967">
        <f t="shared" si="397"/>
        <v>-4.3936885188449404E-2</v>
      </c>
      <c r="CE268" s="964">
        <f t="shared" si="397"/>
        <v>-1.6948216409577554E-2</v>
      </c>
      <c r="CF268" s="964">
        <f t="shared" si="397"/>
        <v>-1.3624651154348522E-2</v>
      </c>
      <c r="CG268" s="965">
        <f t="shared" si="397"/>
        <v>-1.1028296731867337E-2</v>
      </c>
      <c r="CH268" s="964">
        <f t="shared" si="398"/>
        <v>-1</v>
      </c>
      <c r="CI268" s="964">
        <f t="shared" si="398"/>
        <v>-1</v>
      </c>
      <c r="CJ268" s="964">
        <f t="shared" si="398"/>
        <v>-1</v>
      </c>
      <c r="CK268" s="966">
        <f t="shared" si="398"/>
        <v>-1</v>
      </c>
    </row>
    <row r="269" spans="4:89" ht="12.75" thickBot="1">
      <c r="E269" s="568" t="s">
        <v>882</v>
      </c>
      <c r="F269" s="560" t="str">
        <f>+F267</f>
        <v>Waterways and Drainage</v>
      </c>
      <c r="G269" s="561" t="str">
        <f>+G267</f>
        <v>ALL</v>
      </c>
      <c r="H269" s="561" t="str">
        <f>+H267</f>
        <v>Non residential above minimum</v>
      </c>
      <c r="I269" s="562" t="str">
        <f>+I267</f>
        <v>Price cap - Fixed</v>
      </c>
      <c r="J269" s="563" t="s">
        <v>883</v>
      </c>
      <c r="K269" s="564">
        <f t="shared" ref="K269:AJ269" si="407">K267*K268/10^6</f>
        <v>0</v>
      </c>
      <c r="L269" s="565">
        <f t="shared" si="407"/>
        <v>0</v>
      </c>
      <c r="M269" s="565">
        <f t="shared" si="407"/>
        <v>0</v>
      </c>
      <c r="N269" s="564">
        <f t="shared" si="407"/>
        <v>0</v>
      </c>
      <c r="O269" s="565">
        <f t="shared" si="407"/>
        <v>0</v>
      </c>
      <c r="P269" s="565">
        <f t="shared" si="407"/>
        <v>0</v>
      </c>
      <c r="Q269" s="565">
        <f t="shared" si="407"/>
        <v>0</v>
      </c>
      <c r="R269" s="566">
        <f t="shared" si="407"/>
        <v>0</v>
      </c>
      <c r="S269" s="564">
        <f t="shared" si="407"/>
        <v>0</v>
      </c>
      <c r="T269" s="565">
        <f t="shared" si="407"/>
        <v>0</v>
      </c>
      <c r="U269" s="566">
        <f t="shared" si="407"/>
        <v>32.039462294146297</v>
      </c>
      <c r="V269" s="565">
        <f t="shared" si="407"/>
        <v>27.111891218856638</v>
      </c>
      <c r="W269" s="565">
        <f t="shared" si="407"/>
        <v>27.467441726908199</v>
      </c>
      <c r="X269" s="565">
        <f t="shared" si="407"/>
        <v>28.546668178134144</v>
      </c>
      <c r="Y269" s="565">
        <f t="shared" si="407"/>
        <v>28.440282057549009</v>
      </c>
      <c r="Z269" s="565">
        <f t="shared" si="407"/>
        <v>28.423823844028</v>
      </c>
      <c r="AA269" s="564">
        <f t="shared" si="407"/>
        <v>0</v>
      </c>
      <c r="AB269" s="565">
        <f t="shared" si="407"/>
        <v>0</v>
      </c>
      <c r="AC269" s="565">
        <f t="shared" si="407"/>
        <v>0</v>
      </c>
      <c r="AD269" s="565">
        <f t="shared" si="407"/>
        <v>0</v>
      </c>
      <c r="AE269" s="566">
        <f t="shared" si="407"/>
        <v>0</v>
      </c>
      <c r="AF269" s="565">
        <f t="shared" si="407"/>
        <v>0</v>
      </c>
      <c r="AG269" s="565">
        <f>AG267*AG268/10^6</f>
        <v>0</v>
      </c>
      <c r="AH269" s="565">
        <f>AH267*AH268/10^6</f>
        <v>0</v>
      </c>
      <c r="AI269" s="565">
        <f>AI267*AI268/10^6</f>
        <v>0</v>
      </c>
      <c r="AJ269" s="566">
        <f t="shared" si="407"/>
        <v>0</v>
      </c>
      <c r="AK269" s="548"/>
      <c r="AO269" s="984" t="str">
        <f t="shared" si="375"/>
        <v>Rev</v>
      </c>
      <c r="AP269" s="985" t="str">
        <f t="shared" si="375"/>
        <v>Waterways and Drainage</v>
      </c>
      <c r="AQ269" s="986" t="str">
        <f t="shared" si="376"/>
        <v>Price cap - Fixed</v>
      </c>
      <c r="AR269" s="990">
        <f t="shared" si="377"/>
        <v>-0.15379693423225582</v>
      </c>
      <c r="AS269" s="987">
        <f t="shared" si="378"/>
        <v>1.3114190566103856E-2</v>
      </c>
      <c r="AT269" s="987">
        <f t="shared" si="379"/>
        <v>3.9291116440913099E-2</v>
      </c>
      <c r="AU269" s="987">
        <f t="shared" si="380"/>
        <v>-3.7267438680155252E-3</v>
      </c>
      <c r="AV269" s="1353">
        <f t="shared" si="381"/>
        <v>-5.7869375161978542E-4</v>
      </c>
      <c r="AW269" s="1346">
        <f t="shared" si="382"/>
        <v>-1</v>
      </c>
      <c r="AX269" s="987" t="str">
        <f t="shared" si="383"/>
        <v>-</v>
      </c>
      <c r="AY269" s="987" t="str">
        <f t="shared" si="384"/>
        <v>-</v>
      </c>
      <c r="AZ269" s="987" t="str">
        <f t="shared" si="385"/>
        <v>-</v>
      </c>
      <c r="BA269" s="988" t="str">
        <f t="shared" si="386"/>
        <v>-</v>
      </c>
      <c r="BB269" s="1346" t="str">
        <f t="shared" si="387"/>
        <v>-</v>
      </c>
      <c r="BC269" s="987" t="str">
        <f t="shared" si="388"/>
        <v>-</v>
      </c>
      <c r="BD269" s="987" t="str">
        <f t="shared" si="389"/>
        <v>-</v>
      </c>
      <c r="BE269" s="987" t="str">
        <f t="shared" si="390"/>
        <v>-</v>
      </c>
      <c r="BF269" s="989" t="str">
        <f t="shared" si="391"/>
        <v>-</v>
      </c>
      <c r="BG269" s="951"/>
      <c r="BH269" s="984" t="str">
        <f t="shared" si="392"/>
        <v>Rev</v>
      </c>
      <c r="BI269" s="985" t="str">
        <f t="shared" si="393"/>
        <v>Waterways and Drainage</v>
      </c>
      <c r="BJ269" s="986" t="str">
        <f t="shared" si="394"/>
        <v>Price cap - Fixed</v>
      </c>
      <c r="BK269" s="987">
        <f t="shared" ref="BK269:BU269" si="408">IF(V269="","-",IFERROR((V269/U269-1)*(U269/U$13),"-"))</f>
        <v>-2.5552794202827024E-3</v>
      </c>
      <c r="BL269" s="987">
        <f t="shared" si="408"/>
        <v>1.9079804355190573E-4</v>
      </c>
      <c r="BM269" s="987">
        <f t="shared" si="408"/>
        <v>5.8326531920710185E-4</v>
      </c>
      <c r="BN269" s="987">
        <f t="shared" si="408"/>
        <v>-5.7166290505002793E-5</v>
      </c>
      <c r="BO269" s="1353">
        <f t="shared" si="408"/>
        <v>-8.7327773092797972E-6</v>
      </c>
      <c r="BP269" s="1346">
        <f t="shared" si="408"/>
        <v>-1.5088231428983847E-2</v>
      </c>
      <c r="BQ269" s="987" t="str">
        <f t="shared" si="408"/>
        <v>-</v>
      </c>
      <c r="BR269" s="987" t="str">
        <f t="shared" si="408"/>
        <v>-</v>
      </c>
      <c r="BS269" s="987" t="str">
        <f t="shared" si="408"/>
        <v>-</v>
      </c>
      <c r="BT269" s="988" t="str">
        <f t="shared" si="408"/>
        <v>-</v>
      </c>
      <c r="BU269" s="987" t="str">
        <f t="shared" si="408"/>
        <v>-</v>
      </c>
      <c r="BV269" s="987" t="str">
        <f>IF(AG269="","-",IFERROR((AG269/AF269-1)*(AF269/AF$13),"-"))</f>
        <v>-</v>
      </c>
      <c r="BW269" s="987" t="str">
        <f>IF(AH269="","-",IFERROR((AH269/AG269-1)*(AG269/AG$13),"-"))</f>
        <v>-</v>
      </c>
      <c r="BX269" s="987" t="str">
        <f>IF(AI269="","-",IFERROR((AI269/AH269-1)*(AH269/AH$13),"-"))</f>
        <v>-</v>
      </c>
      <c r="BY269" s="989" t="str">
        <f>IF(AJ269="","-",IFERROR((AJ269/AI269-1)*(AI269/AI$13),"-"))</f>
        <v>-</v>
      </c>
      <c r="BZ269" s="951"/>
      <c r="CA269" s="984" t="str">
        <f t="shared" si="372"/>
        <v>Rev</v>
      </c>
      <c r="CB269" s="985" t="str">
        <f t="shared" si="373"/>
        <v>Waterways and Drainage</v>
      </c>
      <c r="CC269" s="985" t="str">
        <f t="shared" si="374"/>
        <v>Price cap - Fixed</v>
      </c>
      <c r="CD269" s="990">
        <f t="shared" si="397"/>
        <v>-7.4094856894161398E-2</v>
      </c>
      <c r="CE269" s="987">
        <f t="shared" si="397"/>
        <v>-3.7745237259301567E-2</v>
      </c>
      <c r="CF269" s="987">
        <f t="shared" si="397"/>
        <v>-2.9351092457493788E-2</v>
      </c>
      <c r="CG269" s="988">
        <f t="shared" si="397"/>
        <v>-2.366365454774555E-2</v>
      </c>
      <c r="CH269" s="987">
        <f t="shared" si="398"/>
        <v>-1</v>
      </c>
      <c r="CI269" s="987">
        <f t="shared" si="398"/>
        <v>-1</v>
      </c>
      <c r="CJ269" s="987">
        <f t="shared" si="398"/>
        <v>-1</v>
      </c>
      <c r="CK269" s="989">
        <f t="shared" si="398"/>
        <v>-1</v>
      </c>
    </row>
    <row r="270" spans="4:89">
      <c r="D270" s="63">
        <f>D267+1</f>
        <v>68</v>
      </c>
      <c r="E270" s="550" t="s">
        <v>857</v>
      </c>
      <c r="F270" s="595" t="s">
        <v>420</v>
      </c>
      <c r="G270" s="595" t="s">
        <v>904</v>
      </c>
      <c r="H270" s="595" t="s">
        <v>910</v>
      </c>
      <c r="I270" s="589" t="s">
        <v>939</v>
      </c>
      <c r="J270" s="589" t="s">
        <v>879</v>
      </c>
      <c r="K270" s="551"/>
      <c r="L270" s="552"/>
      <c r="M270" s="552"/>
      <c r="N270" s="551"/>
      <c r="O270" s="552"/>
      <c r="P270" s="552"/>
      <c r="Q270" s="552"/>
      <c r="R270" s="1035"/>
      <c r="S270" s="1138"/>
      <c r="T270" s="591"/>
      <c r="U270" s="1035">
        <v>69.119176672384214</v>
      </c>
      <c r="V270" s="591">
        <v>69.180483460559799</v>
      </c>
      <c r="W270" s="591">
        <v>68.362711864406776</v>
      </c>
      <c r="X270" s="591">
        <v>68.843257918552027</v>
      </c>
      <c r="Y270" s="591">
        <v>68.609170305676855</v>
      </c>
      <c r="Z270" s="591">
        <v>68.63</v>
      </c>
      <c r="AA270" s="1138">
        <v>68.028243062981403</v>
      </c>
      <c r="AB270" s="591">
        <v>68.028243062981403</v>
      </c>
      <c r="AC270" s="591">
        <v>68.028243062981403</v>
      </c>
      <c r="AD270" s="591">
        <v>68.028243062981403</v>
      </c>
      <c r="AE270" s="1035">
        <v>68.028243062981403</v>
      </c>
      <c r="AF270" s="591">
        <v>67.727616571917565</v>
      </c>
      <c r="AG270" s="591">
        <v>67.727616571917565</v>
      </c>
      <c r="AH270" s="591">
        <v>67.727616571917565</v>
      </c>
      <c r="AI270" s="591">
        <v>67.727616571917565</v>
      </c>
      <c r="AJ270" s="592">
        <v>67.727616571917565</v>
      </c>
      <c r="AK270" s="548"/>
      <c r="AM270" s="974"/>
      <c r="AO270" s="975" t="str">
        <f t="shared" si="375"/>
        <v>Price</v>
      </c>
      <c r="AP270" s="976" t="str">
        <f t="shared" si="375"/>
        <v>Waterways and Drainage</v>
      </c>
      <c r="AQ270" s="977" t="str">
        <f t="shared" si="376"/>
        <v>Price cap - Fixed</v>
      </c>
      <c r="AR270" s="1341">
        <f t="shared" si="377"/>
        <v>8.8697219971489716E-4</v>
      </c>
      <c r="AS270" s="978">
        <f t="shared" si="378"/>
        <v>-1.1820842457963443E-2</v>
      </c>
      <c r="AT270" s="979">
        <f t="shared" si="379"/>
        <v>7.0293591497421204E-3</v>
      </c>
      <c r="AU270" s="979">
        <f t="shared" si="380"/>
        <v>-3.4002983001198972E-3</v>
      </c>
      <c r="AV270" s="1352">
        <f t="shared" si="381"/>
        <v>3.0359927441669932E-4</v>
      </c>
      <c r="AW270" s="1345">
        <f t="shared" si="382"/>
        <v>-8.7681325516333342E-3</v>
      </c>
      <c r="AX270" s="979">
        <f t="shared" si="383"/>
        <v>0</v>
      </c>
      <c r="AY270" s="979">
        <f t="shared" si="384"/>
        <v>0</v>
      </c>
      <c r="AZ270" s="979">
        <f t="shared" si="385"/>
        <v>0</v>
      </c>
      <c r="BA270" s="980">
        <f t="shared" si="386"/>
        <v>0</v>
      </c>
      <c r="BB270" s="1345">
        <f t="shared" si="387"/>
        <v>-4.4191423668771268E-3</v>
      </c>
      <c r="BC270" s="979">
        <f t="shared" si="388"/>
        <v>0</v>
      </c>
      <c r="BD270" s="979">
        <f t="shared" si="389"/>
        <v>0</v>
      </c>
      <c r="BE270" s="979">
        <f t="shared" si="390"/>
        <v>0</v>
      </c>
      <c r="BF270" s="981">
        <f t="shared" si="391"/>
        <v>0</v>
      </c>
      <c r="BG270" s="951"/>
      <c r="BH270" s="975" t="str">
        <f t="shared" si="392"/>
        <v>Price</v>
      </c>
      <c r="BI270" s="976" t="str">
        <f t="shared" si="393"/>
        <v>Waterways and Drainage</v>
      </c>
      <c r="BJ270" s="977" t="str">
        <f t="shared" si="394"/>
        <v>Price cap - Fixed</v>
      </c>
      <c r="BK270" s="978">
        <f t="shared" ref="BK270:BU270" si="409">IF(V270="","-",IFERROR((V270/U270-1)*(U272/U$13),"-"))</f>
        <v>3.597093887721585E-6</v>
      </c>
      <c r="BL270" s="978">
        <f t="shared" si="409"/>
        <v>-5.0786769511629979E-5</v>
      </c>
      <c r="BM270" s="979">
        <f t="shared" si="409"/>
        <v>3.0549551561146306E-5</v>
      </c>
      <c r="BN270" s="979">
        <f t="shared" si="409"/>
        <v>-1.4998992152692434E-5</v>
      </c>
      <c r="BO270" s="1352">
        <f t="shared" si="409"/>
        <v>1.332016569584706E-6</v>
      </c>
      <c r="BP270" s="1345">
        <f t="shared" si="409"/>
        <v>-3.9181252025858458E-5</v>
      </c>
      <c r="BQ270" s="979">
        <f t="shared" si="409"/>
        <v>0</v>
      </c>
      <c r="BR270" s="979">
        <f t="shared" si="409"/>
        <v>0</v>
      </c>
      <c r="BS270" s="979">
        <f t="shared" si="409"/>
        <v>0</v>
      </c>
      <c r="BT270" s="980">
        <f t="shared" si="409"/>
        <v>0</v>
      </c>
      <c r="BU270" s="979">
        <f t="shared" si="409"/>
        <v>-1.956195521208755E-5</v>
      </c>
      <c r="BV270" s="979">
        <f>IF(AG270="","-",IFERROR((AG270/AF270-1)*(AF272/AF$13),"-"))</f>
        <v>0</v>
      </c>
      <c r="BW270" s="979">
        <f>IF(AH270="","-",IFERROR((AH270/AG270-1)*(AG272/AG$13),"-"))</f>
        <v>0</v>
      </c>
      <c r="BX270" s="979">
        <f>IF(AI270="","-",IFERROR((AI270/AH270-1)*(AH272/AH$13),"-"))</f>
        <v>0</v>
      </c>
      <c r="BY270" s="981">
        <f>IF(AJ270="","-",IFERROR((AJ270/AI270-1)*(AI272/AI$13),"-"))</f>
        <v>0</v>
      </c>
      <c r="BZ270" s="951"/>
      <c r="CA270" s="975" t="str">
        <f t="shared" si="372"/>
        <v>Price</v>
      </c>
      <c r="CB270" s="976" t="str">
        <f t="shared" si="373"/>
        <v>Waterways and Drainage</v>
      </c>
      <c r="CC270" s="982" t="str">
        <f t="shared" si="374"/>
        <v>Price cap - Fixed</v>
      </c>
      <c r="CD270" s="983">
        <f t="shared" si="397"/>
        <v>-5.487232367972994E-3</v>
      </c>
      <c r="CE270" s="979">
        <f t="shared" si="397"/>
        <v>-1.3324171032479404E-3</v>
      </c>
      <c r="CF270" s="979">
        <f t="shared" si="397"/>
        <v>-1.8497893103218699E-3</v>
      </c>
      <c r="CG270" s="980">
        <f t="shared" si="397"/>
        <v>-1.4194827670936938E-3</v>
      </c>
      <c r="CH270" s="979">
        <f t="shared" si="398"/>
        <v>-4.393718657637935E-3</v>
      </c>
      <c r="CI270" s="979">
        <f t="shared" si="398"/>
        <v>-2.931294944890861E-3</v>
      </c>
      <c r="CJ270" s="979">
        <f t="shared" si="398"/>
        <v>-2.1992777401079744E-3</v>
      </c>
      <c r="CK270" s="981">
        <f t="shared" si="398"/>
        <v>-1.7598094787054652E-3</v>
      </c>
    </row>
    <row r="271" spans="4:89">
      <c r="E271" s="567" t="s">
        <v>880</v>
      </c>
      <c r="F271" s="554" t="str">
        <f>+F270</f>
        <v>Waterways and Drainage</v>
      </c>
      <c r="G271" s="555" t="str">
        <f>+G270</f>
        <v>ALL</v>
      </c>
      <c r="H271" s="555" t="str">
        <f>+H270</f>
        <v>Rural</v>
      </c>
      <c r="I271" s="556" t="str">
        <f>+I270</f>
        <v>Price cap - Fixed</v>
      </c>
      <c r="J271" s="590" t="s">
        <v>906</v>
      </c>
      <c r="K271" s="557"/>
      <c r="L271" s="558"/>
      <c r="M271" s="558"/>
      <c r="N271" s="557"/>
      <c r="O271" s="558"/>
      <c r="P271" s="558"/>
      <c r="Q271" s="558"/>
      <c r="R271" s="1036"/>
      <c r="S271" s="1139"/>
      <c r="T271" s="593"/>
      <c r="U271" s="1036">
        <v>113145.61026196383</v>
      </c>
      <c r="V271" s="593">
        <v>115730</v>
      </c>
      <c r="W271" s="593">
        <v>117629.5</v>
      </c>
      <c r="X271" s="593">
        <v>119241.82258056884</v>
      </c>
      <c r="Y271" s="593">
        <v>120519.42122288939</v>
      </c>
      <c r="Z271" s="593">
        <v>122659.55090996512</v>
      </c>
      <c r="AA271" s="1139">
        <v>125125.67984036857</v>
      </c>
      <c r="AB271" s="593">
        <v>127636.62874768706</v>
      </c>
      <c r="AC271" s="593">
        <v>130197.9659080261</v>
      </c>
      <c r="AD271" s="593">
        <v>132810.70248335521</v>
      </c>
      <c r="AE271" s="1036">
        <v>135475.86992705049</v>
      </c>
      <c r="AF271" s="593">
        <v>138113.81388663745</v>
      </c>
      <c r="AG271" s="593">
        <v>140745.08428141559</v>
      </c>
      <c r="AH271" s="593">
        <v>143426.48423018691</v>
      </c>
      <c r="AI271" s="593">
        <v>146158.96877435973</v>
      </c>
      <c r="AJ271" s="594">
        <v>148943.51115027981</v>
      </c>
      <c r="AK271" s="548"/>
      <c r="AO271" s="961" t="str">
        <f t="shared" si="375"/>
        <v>Qty</v>
      </c>
      <c r="AP271" s="962" t="str">
        <f t="shared" si="375"/>
        <v>Waterways and Drainage</v>
      </c>
      <c r="AQ271" s="963" t="str">
        <f t="shared" si="376"/>
        <v>Price cap - Fixed</v>
      </c>
      <c r="AR271" s="967">
        <f t="shared" si="377"/>
        <v>2.2841272693236547E-2</v>
      </c>
      <c r="AS271" s="964">
        <f t="shared" si="378"/>
        <v>1.6413203145251964E-2</v>
      </c>
      <c r="AT271" s="964">
        <f t="shared" si="379"/>
        <v>1.3706787672895349E-2</v>
      </c>
      <c r="AU271" s="964">
        <f t="shared" si="380"/>
        <v>1.0714350172376097E-2</v>
      </c>
      <c r="AV271" s="1350">
        <f t="shared" si="381"/>
        <v>1.7757550321435556E-2</v>
      </c>
      <c r="AW271" s="1343">
        <f t="shared" si="382"/>
        <v>2.0105478229034413E-2</v>
      </c>
      <c r="AX271" s="964">
        <f t="shared" si="383"/>
        <v>2.006741470273643E-2</v>
      </c>
      <c r="AY271" s="964">
        <f t="shared" si="384"/>
        <v>2.006741470273643E-2</v>
      </c>
      <c r="AZ271" s="964">
        <f t="shared" si="385"/>
        <v>2.006741470273643E-2</v>
      </c>
      <c r="BA271" s="965">
        <f t="shared" si="386"/>
        <v>2.0067414702736652E-2</v>
      </c>
      <c r="BB271" s="1343">
        <f t="shared" si="387"/>
        <v>1.9471688655753994E-2</v>
      </c>
      <c r="BC271" s="964">
        <f t="shared" si="388"/>
        <v>1.9051464301303334E-2</v>
      </c>
      <c r="BD271" s="964">
        <f t="shared" si="389"/>
        <v>1.9051464301303334E-2</v>
      </c>
      <c r="BE271" s="964">
        <f t="shared" si="390"/>
        <v>1.9051464301303112E-2</v>
      </c>
      <c r="BF271" s="966">
        <f t="shared" si="391"/>
        <v>1.9051464301303778E-2</v>
      </c>
      <c r="BG271" s="951"/>
      <c r="BH271" s="961" t="str">
        <f t="shared" si="392"/>
        <v>Qty</v>
      </c>
      <c r="BI271" s="962" t="str">
        <f t="shared" si="393"/>
        <v>Waterways and Drainage</v>
      </c>
      <c r="BJ271" s="963" t="str">
        <f t="shared" si="394"/>
        <v>Price cap - Fixed</v>
      </c>
      <c r="BK271" s="964">
        <f t="shared" ref="BK271:BU271" si="410">IF(V271="","-",IFERROR((V271/U271-1)*(U272/U$13),"-"))</f>
        <v>9.2632218257835853E-5</v>
      </c>
      <c r="BL271" s="964">
        <f t="shared" si="410"/>
        <v>7.0517272186798453E-5</v>
      </c>
      <c r="BM271" s="964">
        <f t="shared" si="410"/>
        <v>5.9569614787169156E-5</v>
      </c>
      <c r="BN271" s="964">
        <f t="shared" si="410"/>
        <v>4.7261869392753373E-5</v>
      </c>
      <c r="BO271" s="1350">
        <f t="shared" si="410"/>
        <v>7.7909775340640082E-5</v>
      </c>
      <c r="BP271" s="1343">
        <f t="shared" si="410"/>
        <v>8.9843282472442044E-5</v>
      </c>
      <c r="BQ271" s="964">
        <f t="shared" si="410"/>
        <v>9.0221826762206862E-5</v>
      </c>
      <c r="BR271" s="964">
        <f t="shared" si="410"/>
        <v>8.8598612772472393E-5</v>
      </c>
      <c r="BS271" s="964">
        <f t="shared" si="410"/>
        <v>8.8666857693483179E-5</v>
      </c>
      <c r="BT271" s="965">
        <f t="shared" si="410"/>
        <v>8.8757013966821031E-5</v>
      </c>
      <c r="BU271" s="964">
        <f t="shared" si="410"/>
        <v>8.619416840755603E-5</v>
      </c>
      <c r="BV271" s="964">
        <f>IF(AG271="","-",IFERROR((AG271/AF271-1)*(AF272/AF$13),"-"))</f>
        <v>8.1755982614087962E-5</v>
      </c>
      <c r="BW271" s="964">
        <f>IF(AH271="","-",IFERROR((AH271/AG271-1)*(AG272/AG$13),"-"))</f>
        <v>8.216272645709041E-5</v>
      </c>
      <c r="BX271" s="964">
        <f>IF(AI271="","-",IFERROR((AI271/AH271-1)*(AH272/AH$13),"-"))</f>
        <v>8.2519406048604232E-5</v>
      </c>
      <c r="BY271" s="966">
        <f>IF(AJ271="","-",IFERROR((AJ271/AI271-1)*(AI272/AI$13),"-"))</f>
        <v>8.2668301275256209E-5</v>
      </c>
      <c r="BZ271" s="951"/>
      <c r="CA271" s="961" t="str">
        <f t="shared" si="372"/>
        <v>Qty</v>
      </c>
      <c r="CB271" s="962" t="str">
        <f t="shared" si="373"/>
        <v>Waterways and Drainage</v>
      </c>
      <c r="CC271" s="962" t="str">
        <f t="shared" si="374"/>
        <v>Price cap - Fixed</v>
      </c>
      <c r="CD271" s="967">
        <f t="shared" si="397"/>
        <v>1.9622172320364228E-2</v>
      </c>
      <c r="CE271" s="964">
        <f t="shared" si="397"/>
        <v>1.7646551947318345E-2</v>
      </c>
      <c r="CF271" s="964">
        <f t="shared" si="397"/>
        <v>1.5909056755892825E-2</v>
      </c>
      <c r="CG271" s="965">
        <f t="shared" si="397"/>
        <v>1.6278486688812599E-2</v>
      </c>
      <c r="CH271" s="964">
        <f t="shared" si="398"/>
        <v>2.0086446288347437E-2</v>
      </c>
      <c r="CI271" s="964">
        <f t="shared" si="398"/>
        <v>2.0080102387024512E-2</v>
      </c>
      <c r="CJ271" s="964">
        <f t="shared" si="398"/>
        <v>2.0076930451157882E-2</v>
      </c>
      <c r="CK271" s="966">
        <f t="shared" si="398"/>
        <v>2.0075027294372161E-2</v>
      </c>
    </row>
    <row r="272" spans="4:89" ht="12.75" thickBot="1">
      <c r="E272" s="568" t="s">
        <v>882</v>
      </c>
      <c r="F272" s="560" t="str">
        <f>+F270</f>
        <v>Waterways and Drainage</v>
      </c>
      <c r="G272" s="561" t="str">
        <f>+G270</f>
        <v>ALL</v>
      </c>
      <c r="H272" s="561" t="str">
        <f>+H270</f>
        <v>Rural</v>
      </c>
      <c r="I272" s="562" t="str">
        <f>+I270</f>
        <v>Price cap - Fixed</v>
      </c>
      <c r="J272" s="563" t="s">
        <v>883</v>
      </c>
      <c r="K272" s="564">
        <f t="shared" ref="K272:AJ272" si="411">K270*K271/10^6</f>
        <v>0</v>
      </c>
      <c r="L272" s="565">
        <f t="shared" si="411"/>
        <v>0</v>
      </c>
      <c r="M272" s="565">
        <f t="shared" si="411"/>
        <v>0</v>
      </c>
      <c r="N272" s="564">
        <f t="shared" si="411"/>
        <v>0</v>
      </c>
      <c r="O272" s="565">
        <f t="shared" si="411"/>
        <v>0</v>
      </c>
      <c r="P272" s="565">
        <f t="shared" si="411"/>
        <v>0</v>
      </c>
      <c r="Q272" s="565">
        <f t="shared" si="411"/>
        <v>0</v>
      </c>
      <c r="R272" s="566">
        <f t="shared" si="411"/>
        <v>0</v>
      </c>
      <c r="S272" s="564">
        <f t="shared" si="411"/>
        <v>0</v>
      </c>
      <c r="T272" s="565">
        <f t="shared" si="411"/>
        <v>0</v>
      </c>
      <c r="U272" s="566">
        <f t="shared" si="411"/>
        <v>7.8205314254014064</v>
      </c>
      <c r="V272" s="565">
        <f t="shared" si="411"/>
        <v>8.0062573508905857</v>
      </c>
      <c r="W272" s="565">
        <f t="shared" si="411"/>
        <v>8.0414716152542365</v>
      </c>
      <c r="X272" s="565">
        <f t="shared" si="411"/>
        <v>8.2089955465923214</v>
      </c>
      <c r="Y272" s="565">
        <f t="shared" si="411"/>
        <v>8.2687374958228244</v>
      </c>
      <c r="Z272" s="565">
        <f t="shared" si="411"/>
        <v>8.4181249789509067</v>
      </c>
      <c r="AA272" s="564">
        <f t="shared" si="411"/>
        <v>8.5120801616013857</v>
      </c>
      <c r="AB272" s="565">
        <f t="shared" si="411"/>
        <v>8.6828956041871752</v>
      </c>
      <c r="AC272" s="565">
        <f t="shared" si="411"/>
        <v>8.8571388710969661</v>
      </c>
      <c r="AD272" s="565">
        <f t="shared" si="411"/>
        <v>9.0348787499029974</v>
      </c>
      <c r="AE272" s="566">
        <f t="shared" si="411"/>
        <v>9.2161854085662434</v>
      </c>
      <c r="AF272" s="565">
        <f t="shared" si="411"/>
        <v>9.3541194301993649</v>
      </c>
      <c r="AG272" s="565">
        <f>AG270*AG271/10^6</f>
        <v>9.5323291025939376</v>
      </c>
      <c r="AH272" s="565">
        <f>AH270*AH271/10^6</f>
        <v>9.7139339302002803</v>
      </c>
      <c r="AI272" s="565">
        <f>AI270*AI271/10^6</f>
        <v>9.8989985956967086</v>
      </c>
      <c r="AJ272" s="566">
        <f t="shared" si="411"/>
        <v>10.08758901406128</v>
      </c>
      <c r="AK272" s="548"/>
      <c r="AO272" s="984" t="str">
        <f t="shared" si="375"/>
        <v>Rev</v>
      </c>
      <c r="AP272" s="985" t="str">
        <f t="shared" si="375"/>
        <v>Waterways and Drainage</v>
      </c>
      <c r="AQ272" s="986" t="str">
        <f t="shared" si="376"/>
        <v>Price cap - Fixed</v>
      </c>
      <c r="AR272" s="990">
        <f t="shared" si="377"/>
        <v>2.3748504466836406E-2</v>
      </c>
      <c r="AS272" s="987">
        <f t="shared" si="378"/>
        <v>4.3983427986777901E-3</v>
      </c>
      <c r="AT272" s="987">
        <f t="shared" si="379"/>
        <v>2.0832496755979424E-2</v>
      </c>
      <c r="AU272" s="987">
        <f t="shared" si="380"/>
        <v>7.2776198855781793E-3</v>
      </c>
      <c r="AV272" s="1353">
        <f t="shared" si="381"/>
        <v>1.8066540775245166E-2</v>
      </c>
      <c r="AW272" s="1346">
        <f t="shared" si="382"/>
        <v>1.116105817927493E-2</v>
      </c>
      <c r="AX272" s="987">
        <f t="shared" si="383"/>
        <v>2.0067414702736208E-2</v>
      </c>
      <c r="AY272" s="987">
        <f t="shared" si="384"/>
        <v>2.006741470273643E-2</v>
      </c>
      <c r="AZ272" s="987">
        <f t="shared" si="385"/>
        <v>2.0067414702736652E-2</v>
      </c>
      <c r="BA272" s="988">
        <f t="shared" si="386"/>
        <v>2.0067414702736652E-2</v>
      </c>
      <c r="BB272" s="1346">
        <f t="shared" si="387"/>
        <v>1.4966498124583616E-2</v>
      </c>
      <c r="BC272" s="987">
        <f t="shared" si="388"/>
        <v>1.9051464301303556E-2</v>
      </c>
      <c r="BD272" s="987">
        <f t="shared" si="389"/>
        <v>1.9051464301303334E-2</v>
      </c>
      <c r="BE272" s="987">
        <f t="shared" si="390"/>
        <v>1.9051464301303112E-2</v>
      </c>
      <c r="BF272" s="989">
        <f t="shared" si="391"/>
        <v>1.9051464301303778E-2</v>
      </c>
      <c r="BG272" s="951"/>
      <c r="BH272" s="984" t="str">
        <f t="shared" si="392"/>
        <v>Rev</v>
      </c>
      <c r="BI272" s="985" t="str">
        <f t="shared" si="393"/>
        <v>Waterways and Drainage</v>
      </c>
      <c r="BJ272" s="986" t="str">
        <f t="shared" si="394"/>
        <v>Price cap - Fixed</v>
      </c>
      <c r="BK272" s="987">
        <f t="shared" ref="BK272:BU272" si="412">IF(V272="","-",IFERROR((V272/U272-1)*(U272/U$13),"-"))</f>
        <v>9.6311474347949883E-5</v>
      </c>
      <c r="BL272" s="987">
        <f t="shared" si="412"/>
        <v>1.8896929110082324E-5</v>
      </c>
      <c r="BM272" s="987">
        <f t="shared" si="412"/>
        <v>9.0537902565065889E-5</v>
      </c>
      <c r="BN272" s="987">
        <f t="shared" si="412"/>
        <v>3.2102172785904269E-5</v>
      </c>
      <c r="BO272" s="1353">
        <f t="shared" si="412"/>
        <v>7.9265445261487763E-5</v>
      </c>
      <c r="BP272" s="1346">
        <f t="shared" si="412"/>
        <v>4.9874272636991397E-5</v>
      </c>
      <c r="BQ272" s="987">
        <f t="shared" si="412"/>
        <v>9.0221826762205872E-5</v>
      </c>
      <c r="BR272" s="987">
        <f t="shared" si="412"/>
        <v>8.8598612772472393E-5</v>
      </c>
      <c r="BS272" s="987">
        <f t="shared" si="412"/>
        <v>8.8666857693484169E-5</v>
      </c>
      <c r="BT272" s="988">
        <f t="shared" si="412"/>
        <v>8.8757013966821031E-5</v>
      </c>
      <c r="BU272" s="987">
        <f t="shared" si="412"/>
        <v>6.6251308894081063E-5</v>
      </c>
      <c r="BV272" s="987">
        <f>IF(AG272="","-",IFERROR((AG272/AF272-1)*(AF272/AF$13),"-"))</f>
        <v>8.1755982614088911E-5</v>
      </c>
      <c r="BW272" s="987">
        <f>IF(AH272="","-",IFERROR((AH272/AG272-1)*(AG272/AG$13),"-"))</f>
        <v>8.216272645709041E-5</v>
      </c>
      <c r="BX272" s="987">
        <f>IF(AI272="","-",IFERROR((AI272/AH272-1)*(AH272/AH$13),"-"))</f>
        <v>8.2519406048604232E-5</v>
      </c>
      <c r="BY272" s="989">
        <f>IF(AJ272="","-",IFERROR((AJ272/AI272-1)*(AI272/AI$13),"-"))</f>
        <v>8.2668301275256209E-5</v>
      </c>
      <c r="BZ272" s="951"/>
      <c r="CA272" s="984" t="str">
        <f t="shared" si="372"/>
        <v>Rev</v>
      </c>
      <c r="CB272" s="985" t="str">
        <f t="shared" si="373"/>
        <v>Waterways and Drainage</v>
      </c>
      <c r="CC272" s="985" t="str">
        <f t="shared" si="374"/>
        <v>Price cap - Fixed</v>
      </c>
      <c r="CD272" s="990">
        <f t="shared" si="397"/>
        <v>1.4027268533304937E-2</v>
      </c>
      <c r="CE272" s="987">
        <f t="shared" si="397"/>
        <v>1.629062227644229E-2</v>
      </c>
      <c r="CF272" s="987">
        <f t="shared" si="397"/>
        <v>1.4029839042446701E-2</v>
      </c>
      <c r="CG272" s="988">
        <f t="shared" si="397"/>
        <v>1.4835896890389666E-2</v>
      </c>
      <c r="CH272" s="987">
        <f t="shared" si="398"/>
        <v>1.5604473436886757E-2</v>
      </c>
      <c r="CI272" s="987">
        <f t="shared" si="398"/>
        <v>1.7089946739513806E-2</v>
      </c>
      <c r="CJ272" s="987">
        <f t="shared" si="398"/>
        <v>1.7833497964818923E-2</v>
      </c>
      <c r="CK272" s="989">
        <f t="shared" si="398"/>
        <v>1.827988959234883E-2</v>
      </c>
    </row>
    <row r="273" spans="4:89">
      <c r="D273" s="63">
        <f>D270+1</f>
        <v>69</v>
      </c>
      <c r="E273" s="550" t="s">
        <v>857</v>
      </c>
      <c r="F273" s="595" t="s">
        <v>420</v>
      </c>
      <c r="G273" s="595" t="s">
        <v>904</v>
      </c>
      <c r="H273" s="595" t="s">
        <v>911</v>
      </c>
      <c r="I273" s="589" t="s">
        <v>939</v>
      </c>
      <c r="J273" s="589" t="s">
        <v>879</v>
      </c>
      <c r="K273" s="551"/>
      <c r="L273" s="552"/>
      <c r="M273" s="552"/>
      <c r="N273" s="551"/>
      <c r="O273" s="552"/>
      <c r="P273" s="552"/>
      <c r="Q273" s="552"/>
      <c r="R273" s="1035"/>
      <c r="S273" s="1138"/>
      <c r="T273" s="591"/>
      <c r="U273" s="1035">
        <v>1790.7272727272725</v>
      </c>
      <c r="V273" s="591">
        <v>1710.1195928753179</v>
      </c>
      <c r="W273" s="591">
        <v>1627.3050847457625</v>
      </c>
      <c r="X273" s="591">
        <v>1520.5361990950225</v>
      </c>
      <c r="Y273" s="591">
        <v>1467.4170305676855</v>
      </c>
      <c r="Z273" s="591">
        <v>1433</v>
      </c>
      <c r="AA273" s="1138">
        <v>886.78532309528987</v>
      </c>
      <c r="AB273" s="591">
        <v>861.79331690504364</v>
      </c>
      <c r="AC273" s="591">
        <v>837.50565296894433</v>
      </c>
      <c r="AD273" s="591">
        <v>813.90248101938221</v>
      </c>
      <c r="AE273" s="1035">
        <v>790.96451022291762</v>
      </c>
      <c r="AF273" s="591">
        <v>66.868179198094282</v>
      </c>
      <c r="AG273" s="591">
        <v>64.983653253735952</v>
      </c>
      <c r="AH273" s="591">
        <v>63.152238341823086</v>
      </c>
      <c r="AI273" s="591">
        <v>0</v>
      </c>
      <c r="AJ273" s="592">
        <v>0</v>
      </c>
      <c r="AK273" s="548"/>
      <c r="AM273" s="974"/>
      <c r="AO273" s="975" t="str">
        <f t="shared" si="375"/>
        <v>Price</v>
      </c>
      <c r="AP273" s="976" t="str">
        <f t="shared" si="375"/>
        <v>Waterways and Drainage</v>
      </c>
      <c r="AQ273" s="977" t="str">
        <f t="shared" si="376"/>
        <v>Price cap - Fixed</v>
      </c>
      <c r="AR273" s="1341">
        <f t="shared" si="377"/>
        <v>-4.5013934326911365E-2</v>
      </c>
      <c r="AS273" s="978">
        <f t="shared" si="378"/>
        <v>-4.8426150121065437E-2</v>
      </c>
      <c r="AT273" s="979">
        <f t="shared" si="379"/>
        <v>-6.5610859728506776E-2</v>
      </c>
      <c r="AU273" s="979">
        <f t="shared" si="380"/>
        <v>-3.4934497816593857E-2</v>
      </c>
      <c r="AV273" s="1352">
        <f t="shared" si="381"/>
        <v>-2.3454157782515916E-2</v>
      </c>
      <c r="AW273" s="1345">
        <f t="shared" si="382"/>
        <v>-0.38116865101515007</v>
      </c>
      <c r="AX273" s="979">
        <f t="shared" si="383"/>
        <v>-2.8182701652089359E-2</v>
      </c>
      <c r="AY273" s="979">
        <f t="shared" si="384"/>
        <v>-2.8182701652089359E-2</v>
      </c>
      <c r="AZ273" s="979">
        <f t="shared" si="385"/>
        <v>-2.818270165208947E-2</v>
      </c>
      <c r="BA273" s="980">
        <f t="shared" si="386"/>
        <v>-2.8182701652089359E-2</v>
      </c>
      <c r="BB273" s="1345">
        <f t="shared" si="387"/>
        <v>-0.91545995005610448</v>
      </c>
      <c r="BC273" s="979">
        <f t="shared" si="388"/>
        <v>-2.8182701652089248E-2</v>
      </c>
      <c r="BD273" s="979">
        <f t="shared" si="389"/>
        <v>-2.8182701652089359E-2</v>
      </c>
      <c r="BE273" s="979">
        <f t="shared" si="390"/>
        <v>-1</v>
      </c>
      <c r="BF273" s="981" t="str">
        <f t="shared" si="391"/>
        <v>-</v>
      </c>
      <c r="BG273" s="951"/>
      <c r="BH273" s="975" t="str">
        <f t="shared" si="392"/>
        <v>Price</v>
      </c>
      <c r="BI273" s="976" t="str">
        <f t="shared" si="393"/>
        <v>Waterways and Drainage</v>
      </c>
      <c r="BJ273" s="977" t="str">
        <f t="shared" si="394"/>
        <v>Price cap - Fixed</v>
      </c>
      <c r="BK273" s="978">
        <f t="shared" ref="BK273:BU273" si="413">IF(V273="","-",IFERROR((V273/U273-1)*(U275/U$13),"-"))</f>
        <v>-6.0610787004016153E-6</v>
      </c>
      <c r="BL273" s="978">
        <f t="shared" si="413"/>
        <v>-6.4438740398268623E-6</v>
      </c>
      <c r="BM273" s="979">
        <f t="shared" si="413"/>
        <v>-8.3669328846231399E-6</v>
      </c>
      <c r="BN273" s="979">
        <f t="shared" si="413"/>
        <v>-4.1387987586523967E-6</v>
      </c>
      <c r="BO273" s="1352">
        <f t="shared" si="413"/>
        <v>-2.6479580037980136E-6</v>
      </c>
      <c r="BP273" s="1345">
        <f t="shared" si="413"/>
        <v>-4.2042371129904581E-5</v>
      </c>
      <c r="BQ273" s="979">
        <f t="shared" si="413"/>
        <v>-1.9008510958238779E-6</v>
      </c>
      <c r="BR273" s="979">
        <f t="shared" si="413"/>
        <v>-1.7783578403660802E-6</v>
      </c>
      <c r="BS273" s="979">
        <f t="shared" si="413"/>
        <v>-1.6955449207528814E-6</v>
      </c>
      <c r="BT273" s="980">
        <f t="shared" si="413"/>
        <v>-1.6169865825571412E-6</v>
      </c>
      <c r="BU273" s="979">
        <f t="shared" si="413"/>
        <v>-5.008202758394654E-5</v>
      </c>
      <c r="BV273" s="979">
        <f>IF(AG273="","-",IFERROR((AG273/AF273-1)*(AF275/AF$13),"-"))</f>
        <v>-1.2449527924744083E-7</v>
      </c>
      <c r="BW273" s="979">
        <f>IF(AH273="","-",IFERROR((AH273/AG273-1)*(AG275/AG$13),"-"))</f>
        <v>-1.1931545210839717E-7</v>
      </c>
      <c r="BX273" s="979">
        <f>IF(AI273="","-",IFERROR((AI273/AH273-1)*(AH275/AH$13),"-"))</f>
        <v>-4.0549343473344595E-6</v>
      </c>
      <c r="BY273" s="981" t="str">
        <f>IF(AJ273="","-",IFERROR((AJ273/AI273-1)*(AI275/AI$13),"-"))</f>
        <v>-</v>
      </c>
      <c r="BZ273" s="951"/>
      <c r="CA273" s="975" t="str">
        <f t="shared" si="372"/>
        <v>Price</v>
      </c>
      <c r="CB273" s="976" t="str">
        <f t="shared" si="373"/>
        <v>Waterways and Drainage</v>
      </c>
      <c r="CC273" s="982" t="str">
        <f t="shared" si="374"/>
        <v>Price cap - Fixed</v>
      </c>
      <c r="CD273" s="983">
        <f t="shared" si="397"/>
        <v>-4.67215689562267E-2</v>
      </c>
      <c r="CE273" s="979">
        <f t="shared" si="397"/>
        <v>-5.306005126326141E-2</v>
      </c>
      <c r="CF273" s="979">
        <f t="shared" si="397"/>
        <v>-4.8560830492209384E-2</v>
      </c>
      <c r="CG273" s="980">
        <f t="shared" si="397"/>
        <v>-4.3591673375739437E-2</v>
      </c>
      <c r="CH273" s="979">
        <f t="shared" si="398"/>
        <v>-0.22450595766089221</v>
      </c>
      <c r="CI273" s="979">
        <f t="shared" si="398"/>
        <v>-0.16392124972975719</v>
      </c>
      <c r="CJ273" s="979">
        <f t="shared" si="398"/>
        <v>-0.13187643442255759</v>
      </c>
      <c r="CK273" s="981">
        <f t="shared" si="398"/>
        <v>-0.11206298326743314</v>
      </c>
    </row>
    <row r="274" spans="4:89">
      <c r="E274" s="567" t="s">
        <v>880</v>
      </c>
      <c r="F274" s="554" t="str">
        <f>+F273</f>
        <v>Waterways and Drainage</v>
      </c>
      <c r="G274" s="555" t="str">
        <f>+G273</f>
        <v>ALL</v>
      </c>
      <c r="H274" s="555" t="str">
        <f>+H273</f>
        <v>Patterson Lakes Timber Jetty charge</v>
      </c>
      <c r="I274" s="556" t="str">
        <f>+I273</f>
        <v>Price cap - Fixed</v>
      </c>
      <c r="J274" s="590" t="s">
        <v>906</v>
      </c>
      <c r="K274" s="557"/>
      <c r="L274" s="558"/>
      <c r="M274" s="558"/>
      <c r="N274" s="557"/>
      <c r="O274" s="558"/>
      <c r="P274" s="558"/>
      <c r="Q274" s="558"/>
      <c r="R274" s="1036"/>
      <c r="S274" s="1139"/>
      <c r="T274" s="593"/>
      <c r="U274" s="1036">
        <v>145</v>
      </c>
      <c r="V274" s="593">
        <v>145</v>
      </c>
      <c r="W274" s="593">
        <v>145</v>
      </c>
      <c r="X274" s="593">
        <v>145</v>
      </c>
      <c r="Y274" s="593">
        <v>145</v>
      </c>
      <c r="Z274" s="593">
        <v>145</v>
      </c>
      <c r="AA274" s="1139">
        <v>144</v>
      </c>
      <c r="AB274" s="593">
        <v>144</v>
      </c>
      <c r="AC274" s="593">
        <v>144</v>
      </c>
      <c r="AD274" s="593">
        <v>144</v>
      </c>
      <c r="AE274" s="1036">
        <v>144</v>
      </c>
      <c r="AF274" s="593">
        <v>144</v>
      </c>
      <c r="AG274" s="593">
        <v>144</v>
      </c>
      <c r="AH274" s="593">
        <v>144</v>
      </c>
      <c r="AI274" s="593">
        <v>144</v>
      </c>
      <c r="AJ274" s="594">
        <v>144</v>
      </c>
      <c r="AK274" s="548"/>
      <c r="AO274" s="961" t="str">
        <f t="shared" si="375"/>
        <v>Qty</v>
      </c>
      <c r="AP274" s="962" t="str">
        <f t="shared" si="375"/>
        <v>Waterways and Drainage</v>
      </c>
      <c r="AQ274" s="963" t="str">
        <f t="shared" si="376"/>
        <v>Price cap - Fixed</v>
      </c>
      <c r="AR274" s="967">
        <f t="shared" si="377"/>
        <v>0</v>
      </c>
      <c r="AS274" s="964">
        <f t="shared" si="378"/>
        <v>0</v>
      </c>
      <c r="AT274" s="964">
        <f t="shared" si="379"/>
        <v>0</v>
      </c>
      <c r="AU274" s="964">
        <f t="shared" si="380"/>
        <v>0</v>
      </c>
      <c r="AV274" s="1350">
        <f t="shared" si="381"/>
        <v>0</v>
      </c>
      <c r="AW274" s="1343">
        <f t="shared" si="382"/>
        <v>-6.8965517241379448E-3</v>
      </c>
      <c r="AX274" s="964">
        <f t="shared" si="383"/>
        <v>0</v>
      </c>
      <c r="AY274" s="964">
        <f t="shared" si="384"/>
        <v>0</v>
      </c>
      <c r="AZ274" s="964">
        <f t="shared" si="385"/>
        <v>0</v>
      </c>
      <c r="BA274" s="965">
        <f t="shared" si="386"/>
        <v>0</v>
      </c>
      <c r="BB274" s="1343">
        <f t="shared" si="387"/>
        <v>0</v>
      </c>
      <c r="BC274" s="964">
        <f t="shared" si="388"/>
        <v>0</v>
      </c>
      <c r="BD274" s="964">
        <f t="shared" si="389"/>
        <v>0</v>
      </c>
      <c r="BE274" s="964">
        <f t="shared" si="390"/>
        <v>0</v>
      </c>
      <c r="BF274" s="966">
        <f t="shared" si="391"/>
        <v>0</v>
      </c>
      <c r="BG274" s="951"/>
      <c r="BH274" s="961" t="str">
        <f t="shared" si="392"/>
        <v>Qty</v>
      </c>
      <c r="BI274" s="962" t="str">
        <f t="shared" si="393"/>
        <v>Waterways and Drainage</v>
      </c>
      <c r="BJ274" s="963" t="str">
        <f t="shared" si="394"/>
        <v>Price cap - Fixed</v>
      </c>
      <c r="BK274" s="964">
        <f t="shared" ref="BK274:BU274" si="414">IF(V274="","-",IFERROR((V274/U274-1)*(U275/U$13),"-"))</f>
        <v>0</v>
      </c>
      <c r="BL274" s="964">
        <f t="shared" si="414"/>
        <v>0</v>
      </c>
      <c r="BM274" s="964">
        <f t="shared" si="414"/>
        <v>0</v>
      </c>
      <c r="BN274" s="964">
        <f t="shared" si="414"/>
        <v>0</v>
      </c>
      <c r="BO274" s="1350">
        <f t="shared" si="414"/>
        <v>0</v>
      </c>
      <c r="BP274" s="1343">
        <f t="shared" si="414"/>
        <v>-7.6068004630125374E-7</v>
      </c>
      <c r="BQ274" s="964">
        <f t="shared" si="414"/>
        <v>0</v>
      </c>
      <c r="BR274" s="964">
        <f t="shared" si="414"/>
        <v>0</v>
      </c>
      <c r="BS274" s="964">
        <f t="shared" si="414"/>
        <v>0</v>
      </c>
      <c r="BT274" s="965">
        <f t="shared" si="414"/>
        <v>0</v>
      </c>
      <c r="BU274" s="964">
        <f t="shared" si="414"/>
        <v>0</v>
      </c>
      <c r="BV274" s="964">
        <f>IF(AG274="","-",IFERROR((AG274/AF274-1)*(AF275/AF$13),"-"))</f>
        <v>0</v>
      </c>
      <c r="BW274" s="964">
        <f>IF(AH274="","-",IFERROR((AH274/AG274-1)*(AG275/AG$13),"-"))</f>
        <v>0</v>
      </c>
      <c r="BX274" s="964">
        <f>IF(AI274="","-",IFERROR((AI274/AH274-1)*(AH275/AH$13),"-"))</f>
        <v>0</v>
      </c>
      <c r="BY274" s="966">
        <f>IF(AJ274="","-",IFERROR((AJ274/AI274-1)*(AI275/AI$13),"-"))</f>
        <v>0</v>
      </c>
      <c r="BZ274" s="951"/>
      <c r="CA274" s="961" t="str">
        <f t="shared" si="372"/>
        <v>Qty</v>
      </c>
      <c r="CB274" s="962" t="str">
        <f t="shared" si="373"/>
        <v>Waterways and Drainage</v>
      </c>
      <c r="CC274" s="962" t="str">
        <f t="shared" si="374"/>
        <v>Price cap - Fixed</v>
      </c>
      <c r="CD274" s="967">
        <f t="shared" si="397"/>
        <v>0</v>
      </c>
      <c r="CE274" s="964">
        <f t="shared" si="397"/>
        <v>0</v>
      </c>
      <c r="CF274" s="964">
        <f t="shared" si="397"/>
        <v>0</v>
      </c>
      <c r="CG274" s="965">
        <f t="shared" si="397"/>
        <v>0</v>
      </c>
      <c r="CH274" s="964">
        <f t="shared" si="398"/>
        <v>-3.4542417551204352E-3</v>
      </c>
      <c r="CI274" s="964">
        <f t="shared" si="398"/>
        <v>-2.3041556301910404E-3</v>
      </c>
      <c r="CJ274" s="964">
        <f t="shared" si="398"/>
        <v>-1.7286149323523237E-3</v>
      </c>
      <c r="CK274" s="966">
        <f t="shared" si="398"/>
        <v>-1.3831311600952523E-3</v>
      </c>
    </row>
    <row r="275" spans="4:89" ht="12.75" thickBot="1">
      <c r="E275" s="568" t="s">
        <v>882</v>
      </c>
      <c r="F275" s="560" t="str">
        <f>+F273</f>
        <v>Waterways and Drainage</v>
      </c>
      <c r="G275" s="561" t="str">
        <f>+G273</f>
        <v>ALL</v>
      </c>
      <c r="H275" s="561" t="str">
        <f>+H273</f>
        <v>Patterson Lakes Timber Jetty charge</v>
      </c>
      <c r="I275" s="562" t="str">
        <f>+I273</f>
        <v>Price cap - Fixed</v>
      </c>
      <c r="J275" s="563" t="s">
        <v>883</v>
      </c>
      <c r="K275" s="564">
        <f t="shared" ref="K275:AJ275" si="415">K273*K274/10^6</f>
        <v>0</v>
      </c>
      <c r="L275" s="565">
        <f t="shared" si="415"/>
        <v>0</v>
      </c>
      <c r="M275" s="565">
        <f t="shared" si="415"/>
        <v>0</v>
      </c>
      <c r="N275" s="564">
        <f t="shared" si="415"/>
        <v>0</v>
      </c>
      <c r="O275" s="565">
        <f t="shared" si="415"/>
        <v>0</v>
      </c>
      <c r="P275" s="565">
        <f t="shared" si="415"/>
        <v>0</v>
      </c>
      <c r="Q275" s="565">
        <f t="shared" si="415"/>
        <v>0</v>
      </c>
      <c r="R275" s="566">
        <f t="shared" si="415"/>
        <v>0</v>
      </c>
      <c r="S275" s="564">
        <f t="shared" si="415"/>
        <v>0</v>
      </c>
      <c r="T275" s="565">
        <f t="shared" si="415"/>
        <v>0</v>
      </c>
      <c r="U275" s="566">
        <f t="shared" si="415"/>
        <v>0.25965545454545452</v>
      </c>
      <c r="V275" s="565">
        <f t="shared" si="415"/>
        <v>0.24796734096692111</v>
      </c>
      <c r="W275" s="565">
        <f t="shared" si="415"/>
        <v>0.23595923728813556</v>
      </c>
      <c r="X275" s="565">
        <f t="shared" si="415"/>
        <v>0.22047774886877827</v>
      </c>
      <c r="Y275" s="565">
        <f t="shared" si="415"/>
        <v>0.2127754694323144</v>
      </c>
      <c r="Z275" s="565">
        <f t="shared" si="415"/>
        <v>0.207785</v>
      </c>
      <c r="AA275" s="564">
        <f t="shared" si="415"/>
        <v>0.12769708652572173</v>
      </c>
      <c r="AB275" s="565">
        <f t="shared" si="415"/>
        <v>0.12409823763432629</v>
      </c>
      <c r="AC275" s="565">
        <f t="shared" si="415"/>
        <v>0.12060081402752799</v>
      </c>
      <c r="AD275" s="565">
        <f t="shared" si="415"/>
        <v>0.11720195726679104</v>
      </c>
      <c r="AE275" s="566">
        <f t="shared" si="415"/>
        <v>0.11389888947210014</v>
      </c>
      <c r="AF275" s="565">
        <f t="shared" si="415"/>
        <v>9.6290178045255765E-3</v>
      </c>
      <c r="AG275" s="565">
        <f>AG273*AG274/10^6</f>
        <v>9.3576460685379764E-3</v>
      </c>
      <c r="AH275" s="565">
        <f>AH273*AH274/10^6</f>
        <v>9.0939223212225251E-3</v>
      </c>
      <c r="AI275" s="565">
        <f>AI273*AI274/10^6</f>
        <v>0</v>
      </c>
      <c r="AJ275" s="566">
        <f t="shared" si="415"/>
        <v>0</v>
      </c>
      <c r="AK275" s="548"/>
      <c r="AO275" s="984" t="str">
        <f t="shared" si="375"/>
        <v>Rev</v>
      </c>
      <c r="AP275" s="985" t="str">
        <f t="shared" si="375"/>
        <v>Waterways and Drainage</v>
      </c>
      <c r="AQ275" s="986" t="str">
        <f t="shared" si="376"/>
        <v>Price cap - Fixed</v>
      </c>
      <c r="AR275" s="990">
        <f t="shared" si="377"/>
        <v>-4.5013934326911365E-2</v>
      </c>
      <c r="AS275" s="987">
        <f t="shared" si="378"/>
        <v>-4.8426150121065437E-2</v>
      </c>
      <c r="AT275" s="987">
        <f t="shared" si="379"/>
        <v>-6.5610859728506665E-2</v>
      </c>
      <c r="AU275" s="987">
        <f t="shared" si="380"/>
        <v>-3.4934497816593857E-2</v>
      </c>
      <c r="AV275" s="1353">
        <f t="shared" si="381"/>
        <v>-2.3454157782515916E-2</v>
      </c>
      <c r="AW275" s="1346">
        <f t="shared" si="382"/>
        <v>-0.38543645342194222</v>
      </c>
      <c r="AX275" s="987">
        <f t="shared" si="383"/>
        <v>-2.8182701652089248E-2</v>
      </c>
      <c r="AY275" s="987">
        <f t="shared" si="384"/>
        <v>-2.8182701652089248E-2</v>
      </c>
      <c r="AZ275" s="987">
        <f t="shared" si="385"/>
        <v>-2.818270165208947E-2</v>
      </c>
      <c r="BA275" s="988">
        <f t="shared" si="386"/>
        <v>-2.8182701652089359E-2</v>
      </c>
      <c r="BB275" s="1346">
        <f t="shared" si="387"/>
        <v>-0.91545995005610448</v>
      </c>
      <c r="BC275" s="987">
        <f t="shared" si="388"/>
        <v>-2.8182701652089248E-2</v>
      </c>
      <c r="BD275" s="987">
        <f t="shared" si="389"/>
        <v>-2.8182701652089248E-2</v>
      </c>
      <c r="BE275" s="987">
        <f t="shared" si="390"/>
        <v>-1</v>
      </c>
      <c r="BF275" s="989" t="str">
        <f t="shared" si="391"/>
        <v>-</v>
      </c>
      <c r="BG275" s="951"/>
      <c r="BH275" s="984" t="str">
        <f t="shared" si="392"/>
        <v>Rev</v>
      </c>
      <c r="BI275" s="985" t="str">
        <f t="shared" si="393"/>
        <v>Waterways and Drainage</v>
      </c>
      <c r="BJ275" s="986" t="str">
        <f t="shared" si="394"/>
        <v>Price cap - Fixed</v>
      </c>
      <c r="BK275" s="987">
        <f t="shared" ref="BK275:BU275" si="416">IF(V275="","-",IFERROR((V275/U275-1)*(U275/U$13),"-"))</f>
        <v>-6.0610787004016153E-6</v>
      </c>
      <c r="BL275" s="987">
        <f t="shared" si="416"/>
        <v>-6.4438740398268623E-6</v>
      </c>
      <c r="BM275" s="987">
        <f t="shared" si="416"/>
        <v>-8.3669328846231246E-6</v>
      </c>
      <c r="BN275" s="987">
        <f t="shared" si="416"/>
        <v>-4.1387987586523967E-6</v>
      </c>
      <c r="BO275" s="1353">
        <f t="shared" si="416"/>
        <v>-2.6479580037980136E-6</v>
      </c>
      <c r="BP275" s="1346">
        <f t="shared" si="416"/>
        <v>-4.2513103789103049E-5</v>
      </c>
      <c r="BQ275" s="987">
        <f t="shared" si="416"/>
        <v>-1.9008510958238704E-6</v>
      </c>
      <c r="BR275" s="987">
        <f t="shared" si="416"/>
        <v>-1.7783578403660732E-6</v>
      </c>
      <c r="BS275" s="987">
        <f t="shared" si="416"/>
        <v>-1.6955449207528814E-6</v>
      </c>
      <c r="BT275" s="988">
        <f t="shared" si="416"/>
        <v>-1.6169865825571412E-6</v>
      </c>
      <c r="BU275" s="987">
        <f t="shared" si="416"/>
        <v>-5.008202758394654E-5</v>
      </c>
      <c r="BV275" s="987">
        <f>IF(AG275="","-",IFERROR((AG275/AF275-1)*(AF275/AF$13),"-"))</f>
        <v>-1.2449527924744083E-7</v>
      </c>
      <c r="BW275" s="987">
        <f>IF(AH275="","-",IFERROR((AH275/AG275-1)*(AG275/AG$13),"-"))</f>
        <v>-1.1931545210839669E-7</v>
      </c>
      <c r="BX275" s="987">
        <f>IF(AI275="","-",IFERROR((AI275/AH275-1)*(AH275/AH$13),"-"))</f>
        <v>-4.0549343473344595E-6</v>
      </c>
      <c r="BY275" s="989" t="str">
        <f>IF(AJ275="","-",IFERROR((AJ275/AI275-1)*(AI275/AI$13),"-"))</f>
        <v>-</v>
      </c>
      <c r="BZ275" s="951"/>
      <c r="CA275" s="984" t="str">
        <f t="shared" si="372"/>
        <v>Rev</v>
      </c>
      <c r="CB275" s="985" t="str">
        <f t="shared" si="373"/>
        <v>Waterways and Drainage</v>
      </c>
      <c r="CC275" s="985" t="str">
        <f t="shared" si="374"/>
        <v>Price cap - Fixed</v>
      </c>
      <c r="CD275" s="990">
        <f t="shared" si="397"/>
        <v>-4.67215689562267E-2</v>
      </c>
      <c r="CE275" s="987">
        <f t="shared" si="397"/>
        <v>-5.306005126326141E-2</v>
      </c>
      <c r="CF275" s="987">
        <f t="shared" si="397"/>
        <v>-4.8560830492209495E-2</v>
      </c>
      <c r="CG275" s="988">
        <f t="shared" si="397"/>
        <v>-4.3591673375739437E-2</v>
      </c>
      <c r="CH275" s="987">
        <f t="shared" si="398"/>
        <v>-0.22718470156278703</v>
      </c>
      <c r="CI275" s="987">
        <f t="shared" si="398"/>
        <v>-0.16584770528947546</v>
      </c>
      <c r="CJ275" s="987">
        <f t="shared" si="398"/>
        <v>-0.13337708578114171</v>
      </c>
      <c r="CK275" s="989">
        <f t="shared" si="398"/>
        <v>-0.11329111662347791</v>
      </c>
    </row>
    <row r="276" spans="4:89">
      <c r="D276" s="63">
        <f>D273+1</f>
        <v>70</v>
      </c>
      <c r="E276" s="550" t="s">
        <v>857</v>
      </c>
      <c r="F276" s="595" t="s">
        <v>420</v>
      </c>
      <c r="G276" s="595" t="s">
        <v>904</v>
      </c>
      <c r="H276" s="595" t="s">
        <v>912</v>
      </c>
      <c r="I276" s="589" t="s">
        <v>939</v>
      </c>
      <c r="J276" s="589" t="s">
        <v>879</v>
      </c>
      <c r="K276" s="551"/>
      <c r="L276" s="552"/>
      <c r="M276" s="552"/>
      <c r="N276" s="551"/>
      <c r="O276" s="552"/>
      <c r="P276" s="552"/>
      <c r="Q276" s="552"/>
      <c r="R276" s="1035"/>
      <c r="S276" s="1138"/>
      <c r="T276" s="591"/>
      <c r="U276" s="1035">
        <v>1244.0969125214408</v>
      </c>
      <c r="V276" s="591">
        <v>1131.3282442748091</v>
      </c>
      <c r="W276" s="591">
        <v>1076.5423728813557</v>
      </c>
      <c r="X276" s="591">
        <v>1005.9095022624434</v>
      </c>
      <c r="Y276" s="591">
        <v>970.76855895196491</v>
      </c>
      <c r="Z276" s="591">
        <v>948</v>
      </c>
      <c r="AA276" s="1138">
        <v>821.1364822437497</v>
      </c>
      <c r="AB276" s="591">
        <v>797.9946377490279</v>
      </c>
      <c r="AC276" s="591">
        <v>775.50499295338</v>
      </c>
      <c r="AD276" s="591">
        <v>753.64916710726925</v>
      </c>
      <c r="AE276" s="1035">
        <v>732.40929748033943</v>
      </c>
      <c r="AF276" s="591">
        <v>676.93059830853383</v>
      </c>
      <c r="AG276" s="591">
        <v>657.85286521723413</v>
      </c>
      <c r="AH276" s="591">
        <v>639.31279418584472</v>
      </c>
      <c r="AI276" s="591">
        <v>559.92279479496756</v>
      </c>
      <c r="AJ276" s="592">
        <v>544.14265772105693</v>
      </c>
      <c r="AK276" s="548"/>
      <c r="AM276" s="974"/>
      <c r="AO276" s="975" t="str">
        <f t="shared" si="375"/>
        <v>Price</v>
      </c>
      <c r="AP276" s="976" t="str">
        <f t="shared" si="375"/>
        <v>Waterways and Drainage</v>
      </c>
      <c r="AQ276" s="977" t="str">
        <f t="shared" si="376"/>
        <v>Price cap - Fixed</v>
      </c>
      <c r="AR276" s="1341">
        <f t="shared" si="377"/>
        <v>-9.0642993412852979E-2</v>
      </c>
      <c r="AS276" s="978">
        <f t="shared" si="378"/>
        <v>-4.8426150121065548E-2</v>
      </c>
      <c r="AT276" s="979">
        <f t="shared" si="379"/>
        <v>-6.5610859728506665E-2</v>
      </c>
      <c r="AU276" s="979">
        <f t="shared" si="380"/>
        <v>-3.4934497816594079E-2</v>
      </c>
      <c r="AV276" s="1352">
        <f t="shared" si="381"/>
        <v>-2.3454157782515805E-2</v>
      </c>
      <c r="AW276" s="1345">
        <f t="shared" si="382"/>
        <v>-0.13382227611418807</v>
      </c>
      <c r="AX276" s="979">
        <f t="shared" si="383"/>
        <v>-2.8182701652089359E-2</v>
      </c>
      <c r="AY276" s="979">
        <f t="shared" si="384"/>
        <v>-2.8182701652089248E-2</v>
      </c>
      <c r="AZ276" s="979">
        <f t="shared" si="385"/>
        <v>-2.8182701652089359E-2</v>
      </c>
      <c r="BA276" s="980">
        <f t="shared" si="386"/>
        <v>-2.8182701652089359E-2</v>
      </c>
      <c r="BB276" s="1345">
        <f t="shared" si="387"/>
        <v>-7.5748218056031491E-2</v>
      </c>
      <c r="BC276" s="979">
        <f t="shared" si="388"/>
        <v>-2.8182701652089248E-2</v>
      </c>
      <c r="BD276" s="979">
        <f t="shared" si="389"/>
        <v>-2.8182701652089248E-2</v>
      </c>
      <c r="BE276" s="979">
        <f t="shared" si="390"/>
        <v>-0.12418021368081511</v>
      </c>
      <c r="BF276" s="981">
        <f t="shared" si="391"/>
        <v>-2.8182701652089359E-2</v>
      </c>
      <c r="BG276" s="951"/>
      <c r="BH276" s="975" t="str">
        <f t="shared" si="392"/>
        <v>Price</v>
      </c>
      <c r="BI276" s="976" t="str">
        <f t="shared" si="393"/>
        <v>Waterways and Drainage</v>
      </c>
      <c r="BJ276" s="977" t="str">
        <f t="shared" si="394"/>
        <v>Price cap - Fixed</v>
      </c>
      <c r="BK276" s="978">
        <f t="shared" ref="BK276:BU276" si="417">IF(V276="","-",IFERROR((V276/U276-1)*(U278/U$13),"-"))</f>
        <v>-3.4385178064091877E-5</v>
      </c>
      <c r="BL276" s="978">
        <f t="shared" si="417"/>
        <v>-1.7286955472129638E-5</v>
      </c>
      <c r="BM276" s="979">
        <f t="shared" si="417"/>
        <v>-2.2445937850557837E-5</v>
      </c>
      <c r="BN276" s="979">
        <f t="shared" si="417"/>
        <v>-1.1103139106495024E-5</v>
      </c>
      <c r="BO276" s="1352">
        <f t="shared" si="417"/>
        <v>-7.1036664932940142E-6</v>
      </c>
      <c r="BP276" s="1345">
        <f t="shared" si="417"/>
        <v>-3.9597695308952789E-5</v>
      </c>
      <c r="BQ276" s="979">
        <f t="shared" si="417"/>
        <v>-7.0160770374466456E-6</v>
      </c>
      <c r="BR276" s="979">
        <f t="shared" si="417"/>
        <v>-6.5639521346871821E-6</v>
      </c>
      <c r="BS276" s="979">
        <f t="shared" si="417"/>
        <v>-6.2582880955740872E-6</v>
      </c>
      <c r="BT276" s="980">
        <f t="shared" si="417"/>
        <v>-5.9683277962502946E-6</v>
      </c>
      <c r="BU276" s="979">
        <f t="shared" si="417"/>
        <v>-1.5295413627558191E-5</v>
      </c>
      <c r="BV276" s="979">
        <f>IF(AG276="","-",IFERROR((AG276/AF276-1)*(AF278/AF$13),"-"))</f>
        <v>-5.0237374197442084E-6</v>
      </c>
      <c r="BW276" s="979">
        <f>IF(AH276="","-",IFERROR((AH276/AG276-1)*(AG278/AG$13),"-"))</f>
        <v>-4.8147167116215943E-6</v>
      </c>
      <c r="BX276" s="979">
        <f>IF(AI276="","-",IFERROR((AI276/AH276-1)*(AH278/AH$13),"-"))</f>
        <v>-2.0319371836753126E-5</v>
      </c>
      <c r="BY276" s="981">
        <f>IF(AJ276="","-",IFERROR((AJ276/AI276-1)*(AI278/AI$13),"-"))</f>
        <v>-3.9704712291185669E-6</v>
      </c>
      <c r="BZ276" s="951"/>
      <c r="CA276" s="975" t="str">
        <f t="shared" si="372"/>
        <v>Price</v>
      </c>
      <c r="CB276" s="976" t="str">
        <f t="shared" si="373"/>
        <v>Waterways and Drainage</v>
      </c>
      <c r="CC276" s="982" t="str">
        <f t="shared" si="374"/>
        <v>Price cap - Fixed</v>
      </c>
      <c r="CD276" s="983">
        <f t="shared" si="397"/>
        <v>-6.9774034079614022E-2</v>
      </c>
      <c r="CE276" s="979">
        <f t="shared" si="397"/>
        <v>-6.8388374392142626E-2</v>
      </c>
      <c r="CF276" s="979">
        <f t="shared" si="397"/>
        <v>-6.0135226371319739E-2</v>
      </c>
      <c r="CG276" s="980">
        <f t="shared" si="397"/>
        <v>-5.2910929132917395E-2</v>
      </c>
      <c r="CH276" s="979">
        <f t="shared" si="398"/>
        <v>-8.2521664824802388E-2</v>
      </c>
      <c r="CI276" s="979">
        <f t="shared" si="398"/>
        <v>-6.4754945598527125E-2</v>
      </c>
      <c r="CJ276" s="979">
        <f t="shared" si="398"/>
        <v>-5.5742981502017397E-2</v>
      </c>
      <c r="CK276" s="981">
        <f t="shared" si="398"/>
        <v>-5.029417382527257E-2</v>
      </c>
    </row>
    <row r="277" spans="4:89">
      <c r="E277" s="567" t="s">
        <v>880</v>
      </c>
      <c r="F277" s="554" t="str">
        <f>+F276</f>
        <v>Waterways and Drainage</v>
      </c>
      <c r="G277" s="555" t="str">
        <f>+G276</f>
        <v>ALL</v>
      </c>
      <c r="H277" s="555" t="str">
        <f>+H276</f>
        <v>Patterson Lakes Concrete Jetty charge</v>
      </c>
      <c r="I277" s="556" t="str">
        <f>+I276</f>
        <v>Price cap - Fixed</v>
      </c>
      <c r="J277" s="590" t="s">
        <v>906</v>
      </c>
      <c r="K277" s="557"/>
      <c r="L277" s="558"/>
      <c r="M277" s="558"/>
      <c r="N277" s="557"/>
      <c r="O277" s="558"/>
      <c r="P277" s="558"/>
      <c r="Q277" s="558"/>
      <c r="R277" s="1036"/>
      <c r="S277" s="1139"/>
      <c r="T277" s="593"/>
      <c r="U277" s="1036">
        <v>588</v>
      </c>
      <c r="V277" s="593">
        <v>588</v>
      </c>
      <c r="W277" s="593">
        <v>588</v>
      </c>
      <c r="X277" s="593">
        <v>588</v>
      </c>
      <c r="Y277" s="593">
        <v>588</v>
      </c>
      <c r="Z277" s="593">
        <v>588</v>
      </c>
      <c r="AA277" s="1139">
        <v>574</v>
      </c>
      <c r="AB277" s="593">
        <v>574</v>
      </c>
      <c r="AC277" s="593">
        <v>574</v>
      </c>
      <c r="AD277" s="593">
        <v>574</v>
      </c>
      <c r="AE277" s="1036">
        <v>574</v>
      </c>
      <c r="AF277" s="593">
        <v>574</v>
      </c>
      <c r="AG277" s="593">
        <v>574</v>
      </c>
      <c r="AH277" s="593">
        <v>574</v>
      </c>
      <c r="AI277" s="593">
        <v>574</v>
      </c>
      <c r="AJ277" s="594">
        <v>574</v>
      </c>
      <c r="AK277" s="548"/>
      <c r="AO277" s="961" t="str">
        <f t="shared" si="375"/>
        <v>Qty</v>
      </c>
      <c r="AP277" s="962" t="str">
        <f t="shared" si="375"/>
        <v>Waterways and Drainage</v>
      </c>
      <c r="AQ277" s="963" t="str">
        <f t="shared" si="376"/>
        <v>Price cap - Fixed</v>
      </c>
      <c r="AR277" s="967">
        <f t="shared" si="377"/>
        <v>0</v>
      </c>
      <c r="AS277" s="964">
        <f t="shared" si="378"/>
        <v>0</v>
      </c>
      <c r="AT277" s="964">
        <f t="shared" si="379"/>
        <v>0</v>
      </c>
      <c r="AU277" s="964">
        <f t="shared" si="380"/>
        <v>0</v>
      </c>
      <c r="AV277" s="1350">
        <f t="shared" si="381"/>
        <v>0</v>
      </c>
      <c r="AW277" s="1343">
        <f t="shared" si="382"/>
        <v>-2.3809523809523836E-2</v>
      </c>
      <c r="AX277" s="964">
        <f t="shared" si="383"/>
        <v>0</v>
      </c>
      <c r="AY277" s="964">
        <f t="shared" si="384"/>
        <v>0</v>
      </c>
      <c r="AZ277" s="964">
        <f t="shared" si="385"/>
        <v>0</v>
      </c>
      <c r="BA277" s="965">
        <f t="shared" si="386"/>
        <v>0</v>
      </c>
      <c r="BB277" s="1343">
        <f t="shared" si="387"/>
        <v>0</v>
      </c>
      <c r="BC277" s="964">
        <f t="shared" si="388"/>
        <v>0</v>
      </c>
      <c r="BD277" s="964">
        <f t="shared" si="389"/>
        <v>0</v>
      </c>
      <c r="BE277" s="964">
        <f t="shared" si="390"/>
        <v>0</v>
      </c>
      <c r="BF277" s="966">
        <f t="shared" si="391"/>
        <v>0</v>
      </c>
      <c r="BG277" s="951"/>
      <c r="BH277" s="961" t="str">
        <f t="shared" si="392"/>
        <v>Qty</v>
      </c>
      <c r="BI277" s="962" t="str">
        <f t="shared" si="393"/>
        <v>Waterways and Drainage</v>
      </c>
      <c r="BJ277" s="963" t="str">
        <f t="shared" si="394"/>
        <v>Price cap - Fixed</v>
      </c>
      <c r="BK277" s="964">
        <f t="shared" ref="BK277:BU277" si="418">IF(V277="","-",IFERROR((V277/U277-1)*(U278/U$13),"-"))</f>
        <v>0</v>
      </c>
      <c r="BL277" s="964">
        <f t="shared" si="418"/>
        <v>0</v>
      </c>
      <c r="BM277" s="964">
        <f t="shared" si="418"/>
        <v>0</v>
      </c>
      <c r="BN277" s="964">
        <f t="shared" si="418"/>
        <v>0</v>
      </c>
      <c r="BO277" s="1350">
        <f t="shared" si="418"/>
        <v>0</v>
      </c>
      <c r="BP277" s="1343">
        <f t="shared" si="418"/>
        <v>-7.045181838457941E-6</v>
      </c>
      <c r="BQ277" s="964">
        <f t="shared" si="418"/>
        <v>0</v>
      </c>
      <c r="BR277" s="964">
        <f t="shared" si="418"/>
        <v>0</v>
      </c>
      <c r="BS277" s="964">
        <f t="shared" si="418"/>
        <v>0</v>
      </c>
      <c r="BT277" s="965">
        <f t="shared" si="418"/>
        <v>0</v>
      </c>
      <c r="BU277" s="964">
        <f t="shared" si="418"/>
        <v>0</v>
      </c>
      <c r="BV277" s="964">
        <f>IF(AG277="","-",IFERROR((AG277/AF277-1)*(AF278/AF$13),"-"))</f>
        <v>0</v>
      </c>
      <c r="BW277" s="964">
        <f>IF(AH277="","-",IFERROR((AH277/AG277-1)*(AG278/AG$13),"-"))</f>
        <v>0</v>
      </c>
      <c r="BX277" s="964">
        <f>IF(AI277="","-",IFERROR((AI277/AH277-1)*(AH278/AH$13),"-"))</f>
        <v>0</v>
      </c>
      <c r="BY277" s="966">
        <f>IF(AJ277="","-",IFERROR((AJ277/AI277-1)*(AI278/AI$13),"-"))</f>
        <v>0</v>
      </c>
      <c r="BZ277" s="951"/>
      <c r="CA277" s="961" t="str">
        <f t="shared" si="372"/>
        <v>Qty</v>
      </c>
      <c r="CB277" s="962" t="str">
        <f t="shared" si="373"/>
        <v>Waterways and Drainage</v>
      </c>
      <c r="CC277" s="962" t="str">
        <f t="shared" si="374"/>
        <v>Price cap - Fixed</v>
      </c>
      <c r="CD277" s="967">
        <f t="shared" si="397"/>
        <v>0</v>
      </c>
      <c r="CE277" s="964">
        <f t="shared" si="397"/>
        <v>0</v>
      </c>
      <c r="CF277" s="964">
        <f t="shared" si="397"/>
        <v>0</v>
      </c>
      <c r="CG277" s="965">
        <f t="shared" si="397"/>
        <v>0</v>
      </c>
      <c r="CH277" s="964">
        <f t="shared" si="398"/>
        <v>-1.1976479940646323E-2</v>
      </c>
      <c r="CI277" s="964">
        <f t="shared" si="398"/>
        <v>-8.0003427317306697E-3</v>
      </c>
      <c r="CJ277" s="964">
        <f t="shared" si="398"/>
        <v>-6.006277655963399E-3</v>
      </c>
      <c r="CK277" s="966">
        <f t="shared" si="398"/>
        <v>-4.8079151111850571E-3</v>
      </c>
    </row>
    <row r="278" spans="4:89" ht="12.75" thickBot="1">
      <c r="E278" s="568" t="s">
        <v>882</v>
      </c>
      <c r="F278" s="560" t="str">
        <f>+F276</f>
        <v>Waterways and Drainage</v>
      </c>
      <c r="G278" s="561" t="str">
        <f>+G276</f>
        <v>ALL</v>
      </c>
      <c r="H278" s="561" t="str">
        <f>+H276</f>
        <v>Patterson Lakes Concrete Jetty charge</v>
      </c>
      <c r="I278" s="562" t="str">
        <f>+I276</f>
        <v>Price cap - Fixed</v>
      </c>
      <c r="J278" s="563" t="s">
        <v>883</v>
      </c>
      <c r="K278" s="564">
        <f t="shared" ref="K278:AJ278" si="419">K276*K277/10^6</f>
        <v>0</v>
      </c>
      <c r="L278" s="565">
        <f t="shared" si="419"/>
        <v>0</v>
      </c>
      <c r="M278" s="565">
        <f t="shared" si="419"/>
        <v>0</v>
      </c>
      <c r="N278" s="564">
        <f t="shared" si="419"/>
        <v>0</v>
      </c>
      <c r="O278" s="565">
        <f t="shared" si="419"/>
        <v>0</v>
      </c>
      <c r="P278" s="565">
        <f t="shared" si="419"/>
        <v>0</v>
      </c>
      <c r="Q278" s="565">
        <f t="shared" si="419"/>
        <v>0</v>
      </c>
      <c r="R278" s="566">
        <f t="shared" si="419"/>
        <v>0</v>
      </c>
      <c r="S278" s="564">
        <f t="shared" si="419"/>
        <v>0</v>
      </c>
      <c r="T278" s="565">
        <f t="shared" si="419"/>
        <v>0</v>
      </c>
      <c r="U278" s="566">
        <f t="shared" si="419"/>
        <v>0.73152898456260718</v>
      </c>
      <c r="V278" s="565">
        <f t="shared" si="419"/>
        <v>0.66522100763358771</v>
      </c>
      <c r="W278" s="565">
        <f t="shared" si="419"/>
        <v>0.63300691525423713</v>
      </c>
      <c r="X278" s="565">
        <f t="shared" si="419"/>
        <v>0.59147478733031678</v>
      </c>
      <c r="Y278" s="565">
        <f t="shared" si="419"/>
        <v>0.57081191266375531</v>
      </c>
      <c r="Z278" s="565">
        <f t="shared" si="419"/>
        <v>0.55742400000000003</v>
      </c>
      <c r="AA278" s="564">
        <f t="shared" si="419"/>
        <v>0.47133234080791236</v>
      </c>
      <c r="AB278" s="565">
        <f t="shared" si="419"/>
        <v>0.45804892206794207</v>
      </c>
      <c r="AC278" s="565">
        <f t="shared" si="419"/>
        <v>0.44513986595524008</v>
      </c>
      <c r="AD278" s="565">
        <f t="shared" si="419"/>
        <v>0.43259462191957254</v>
      </c>
      <c r="AE278" s="566">
        <f t="shared" si="419"/>
        <v>0.42040293675371482</v>
      </c>
      <c r="AF278" s="565">
        <f t="shared" si="419"/>
        <v>0.38855816342909844</v>
      </c>
      <c r="AG278" s="565">
        <f>AG276*AG277/10^6</f>
        <v>0.37760754463469237</v>
      </c>
      <c r="AH278" s="565">
        <f>AH276*AH277/10^6</f>
        <v>0.36696554386267483</v>
      </c>
      <c r="AI278" s="565">
        <f>AI276*AI277/10^6</f>
        <v>0.32139568421231141</v>
      </c>
      <c r="AJ278" s="566">
        <f t="shared" si="419"/>
        <v>0.31233788553188668</v>
      </c>
      <c r="AK278" s="548"/>
      <c r="AO278" s="984" t="str">
        <f t="shared" si="375"/>
        <v>Rev</v>
      </c>
      <c r="AP278" s="985" t="str">
        <f t="shared" si="375"/>
        <v>Waterways and Drainage</v>
      </c>
      <c r="AQ278" s="986" t="str">
        <f t="shared" si="376"/>
        <v>Price cap - Fixed</v>
      </c>
      <c r="AR278" s="990">
        <f t="shared" si="377"/>
        <v>-9.0642993412852979E-2</v>
      </c>
      <c r="AS278" s="987">
        <f t="shared" si="378"/>
        <v>-4.8426150121065548E-2</v>
      </c>
      <c r="AT278" s="987">
        <f t="shared" si="379"/>
        <v>-6.5610859728506554E-2</v>
      </c>
      <c r="AU278" s="987">
        <f t="shared" si="380"/>
        <v>-3.493449781659419E-2</v>
      </c>
      <c r="AV278" s="1353">
        <f t="shared" si="381"/>
        <v>-2.3454157782515694E-2</v>
      </c>
      <c r="AW278" s="1346">
        <f t="shared" si="382"/>
        <v>-0.15444555525432646</v>
      </c>
      <c r="AX278" s="987">
        <f t="shared" si="383"/>
        <v>-2.8182701652089359E-2</v>
      </c>
      <c r="AY278" s="987">
        <f t="shared" si="384"/>
        <v>-2.818270165208947E-2</v>
      </c>
      <c r="AZ278" s="987">
        <f t="shared" si="385"/>
        <v>-2.8182701652089248E-2</v>
      </c>
      <c r="BA278" s="988">
        <f t="shared" si="386"/>
        <v>-2.8182701652089359E-2</v>
      </c>
      <c r="BB278" s="1346">
        <f t="shared" si="387"/>
        <v>-7.574821805603138E-2</v>
      </c>
      <c r="BC278" s="987">
        <f t="shared" si="388"/>
        <v>-2.8182701652089359E-2</v>
      </c>
      <c r="BD278" s="987">
        <f t="shared" si="389"/>
        <v>-2.8182701652089359E-2</v>
      </c>
      <c r="BE278" s="987">
        <f t="shared" si="390"/>
        <v>-0.12418021368081489</v>
      </c>
      <c r="BF278" s="989">
        <f t="shared" si="391"/>
        <v>-2.818270165208947E-2</v>
      </c>
      <c r="BG278" s="951"/>
      <c r="BH278" s="984" t="str">
        <f t="shared" si="392"/>
        <v>Rev</v>
      </c>
      <c r="BI278" s="985" t="str">
        <f t="shared" si="393"/>
        <v>Waterways and Drainage</v>
      </c>
      <c r="BJ278" s="986" t="str">
        <f t="shared" si="394"/>
        <v>Price cap - Fixed</v>
      </c>
      <c r="BK278" s="987">
        <f t="shared" ref="BK278:BU278" si="420">IF(V278="","-",IFERROR((V278/U278-1)*(U278/U$13),"-"))</f>
        <v>-3.4385178064091877E-5</v>
      </c>
      <c r="BL278" s="987">
        <f t="shared" si="420"/>
        <v>-1.7286955472129638E-5</v>
      </c>
      <c r="BM278" s="987">
        <f t="shared" si="420"/>
        <v>-2.2445937850557796E-5</v>
      </c>
      <c r="BN278" s="987">
        <f t="shared" si="420"/>
        <v>-1.1103139106495059E-5</v>
      </c>
      <c r="BO278" s="1353">
        <f t="shared" si="420"/>
        <v>-7.1036664932939803E-6</v>
      </c>
      <c r="BP278" s="1346">
        <f t="shared" si="420"/>
        <v>-4.5700074878149945E-5</v>
      </c>
      <c r="BQ278" s="987">
        <f t="shared" si="420"/>
        <v>-7.0160770374466456E-6</v>
      </c>
      <c r="BR278" s="987">
        <f t="shared" si="420"/>
        <v>-6.5639521346872338E-6</v>
      </c>
      <c r="BS278" s="987">
        <f t="shared" si="420"/>
        <v>-6.2582880955740626E-6</v>
      </c>
      <c r="BT278" s="988">
        <f t="shared" si="420"/>
        <v>-5.9683277962502946E-6</v>
      </c>
      <c r="BU278" s="987">
        <f t="shared" si="420"/>
        <v>-1.5295413627558167E-5</v>
      </c>
      <c r="BV278" s="987">
        <f>IF(AG278="","-",IFERROR((AG278/AF278-1)*(AF278/AF$13),"-"))</f>
        <v>-5.0237374197442279E-6</v>
      </c>
      <c r="BW278" s="987">
        <f>IF(AH278="","-",IFERROR((AH278/AG278-1)*(AG278/AG$13),"-"))</f>
        <v>-4.8147167116216138E-6</v>
      </c>
      <c r="BX278" s="987">
        <f>IF(AI278="","-",IFERROR((AI278/AH278-1)*(AH278/AH$13),"-"))</f>
        <v>-2.0319371836753092E-5</v>
      </c>
      <c r="BY278" s="989">
        <f>IF(AJ278="","-",IFERROR((AJ278/AI278-1)*(AI278/AI$13),"-"))</f>
        <v>-3.9704712291185821E-6</v>
      </c>
      <c r="BZ278" s="951"/>
      <c r="CA278" s="984" t="str">
        <f t="shared" si="372"/>
        <v>Rev</v>
      </c>
      <c r="CB278" s="985" t="str">
        <f t="shared" si="373"/>
        <v>Waterways and Drainage</v>
      </c>
      <c r="CC278" s="985" t="str">
        <f t="shared" si="374"/>
        <v>Price cap - Fixed</v>
      </c>
      <c r="CD278" s="990">
        <f t="shared" si="397"/>
        <v>-6.9774034079614022E-2</v>
      </c>
      <c r="CE278" s="987">
        <f t="shared" si="397"/>
        <v>-6.8388374392142626E-2</v>
      </c>
      <c r="CF278" s="987">
        <f t="shared" si="397"/>
        <v>-6.0135226371319739E-2</v>
      </c>
      <c r="CG278" s="988">
        <f t="shared" si="397"/>
        <v>-5.2910929132917395E-2</v>
      </c>
      <c r="CH278" s="987">
        <f t="shared" si="398"/>
        <v>-9.3509825702005611E-2</v>
      </c>
      <c r="CI278" s="987">
        <f t="shared" si="398"/>
        <v>-7.2237226571895019E-2</v>
      </c>
      <c r="CJ278" s="987">
        <f t="shared" si="398"/>
        <v>-6.1414451333708486E-2</v>
      </c>
      <c r="CK278" s="989">
        <f t="shared" si="398"/>
        <v>-5.4860278818118613E-2</v>
      </c>
    </row>
    <row r="279" spans="4:89">
      <c r="D279" s="63">
        <f>D276+1</f>
        <v>71</v>
      </c>
      <c r="E279" s="550" t="s">
        <v>857</v>
      </c>
      <c r="F279" s="595" t="s">
        <v>420</v>
      </c>
      <c r="G279" s="595" t="s">
        <v>904</v>
      </c>
      <c r="H279" s="595" t="s">
        <v>913</v>
      </c>
      <c r="I279" s="589" t="s">
        <v>939</v>
      </c>
      <c r="J279" s="589" t="s">
        <v>879</v>
      </c>
      <c r="K279" s="551"/>
      <c r="L279" s="552"/>
      <c r="M279" s="552"/>
      <c r="N279" s="551"/>
      <c r="O279" s="552"/>
      <c r="P279" s="552"/>
      <c r="Q279" s="552"/>
      <c r="R279" s="1035"/>
      <c r="S279" s="1138"/>
      <c r="T279" s="591"/>
      <c r="U279" s="1035">
        <v>163.57883361921097</v>
      </c>
      <c r="V279" s="591">
        <v>163.57717557251908</v>
      </c>
      <c r="W279" s="591">
        <v>163.57084745762708</v>
      </c>
      <c r="X279" s="591">
        <v>163.56640271493214</v>
      </c>
      <c r="Y279" s="591">
        <v>163.5663100436681</v>
      </c>
      <c r="Z279" s="591">
        <v>163.56</v>
      </c>
      <c r="AA279" s="1138">
        <v>163.5663100436681</v>
      </c>
      <c r="AB279" s="591">
        <v>212.66209908966709</v>
      </c>
      <c r="AC279" s="591">
        <v>276.49439775922929</v>
      </c>
      <c r="AD279" s="591">
        <v>359.48649204296993</v>
      </c>
      <c r="AE279" s="1035">
        <v>467.38935402913285</v>
      </c>
      <c r="AF279" s="591">
        <v>360.91457493704263</v>
      </c>
      <c r="AG279" s="591">
        <v>360.91457493704263</v>
      </c>
      <c r="AH279" s="591">
        <v>360.91457493704263</v>
      </c>
      <c r="AI279" s="591">
        <v>360.91457493704263</v>
      </c>
      <c r="AJ279" s="592">
        <v>360.91457493704263</v>
      </c>
      <c r="AK279" s="548"/>
      <c r="AM279" s="974"/>
      <c r="AO279" s="975" t="str">
        <f t="shared" si="375"/>
        <v>Price</v>
      </c>
      <c r="AP279" s="976" t="str">
        <f t="shared" si="375"/>
        <v>Waterways and Drainage</v>
      </c>
      <c r="AQ279" s="977" t="str">
        <f t="shared" si="376"/>
        <v>Price cap - Fixed</v>
      </c>
      <c r="AR279" s="1341">
        <f t="shared" si="377"/>
        <v>-1.0136071123656443E-5</v>
      </c>
      <c r="AS279" s="978">
        <f t="shared" si="378"/>
        <v>-3.8685806072025208E-5</v>
      </c>
      <c r="AT279" s="979">
        <f t="shared" si="379"/>
        <v>-2.7173195982221898E-5</v>
      </c>
      <c r="AU279" s="979">
        <f t="shared" si="380"/>
        <v>-5.66566620729958E-7</v>
      </c>
      <c r="AV279" s="1352">
        <f t="shared" si="381"/>
        <v>-3.8577893371916083E-5</v>
      </c>
      <c r="AW279" s="1345">
        <f t="shared" si="382"/>
        <v>3.8579381683057079E-5</v>
      </c>
      <c r="AX279" s="979">
        <f t="shared" si="383"/>
        <v>0.30015832131257136</v>
      </c>
      <c r="AY279" s="979">
        <f t="shared" si="384"/>
        <v>0.30015832131257136</v>
      </c>
      <c r="AZ279" s="979">
        <f t="shared" si="385"/>
        <v>0.30015832131257136</v>
      </c>
      <c r="BA279" s="980">
        <f t="shared" si="386"/>
        <v>0.30015832131257136</v>
      </c>
      <c r="BB279" s="1345">
        <f t="shared" si="387"/>
        <v>-0.22780745469323105</v>
      </c>
      <c r="BC279" s="979">
        <f t="shared" si="388"/>
        <v>0</v>
      </c>
      <c r="BD279" s="979">
        <f t="shared" si="389"/>
        <v>0</v>
      </c>
      <c r="BE279" s="979">
        <f t="shared" si="390"/>
        <v>0</v>
      </c>
      <c r="BF279" s="981">
        <f t="shared" si="391"/>
        <v>0</v>
      </c>
      <c r="BG279" s="951"/>
      <c r="BH279" s="975" t="str">
        <f t="shared" si="392"/>
        <v>Price</v>
      </c>
      <c r="BI279" s="976" t="str">
        <f t="shared" si="393"/>
        <v>Waterways and Drainage</v>
      </c>
      <c r="BJ279" s="977" t="str">
        <f t="shared" si="394"/>
        <v>Price cap - Fixed</v>
      </c>
      <c r="BK279" s="978">
        <f t="shared" ref="BK279:BU279" si="421">IF(V279="","-",IFERROR((V279/U279-1)*(U281/U$13),"-"))</f>
        <v>-6.3024038837072672E-10</v>
      </c>
      <c r="BL279" s="978">
        <f t="shared" si="421"/>
        <v>-2.4891492841116451E-9</v>
      </c>
      <c r="BM279" s="979">
        <f t="shared" si="421"/>
        <v>-1.7607762535624668E-9</v>
      </c>
      <c r="BN279" s="979">
        <f t="shared" si="421"/>
        <v>-3.6500944385084808E-11</v>
      </c>
      <c r="BO279" s="1352">
        <f t="shared" si="421"/>
        <v>-2.4541778527577441E-9</v>
      </c>
      <c r="BP279" s="1345">
        <f t="shared" si="421"/>
        <v>2.4552299504087935E-9</v>
      </c>
      <c r="BQ279" s="979">
        <f t="shared" si="421"/>
        <v>1.8826316281994646E-5</v>
      </c>
      <c r="BR279" s="979">
        <f t="shared" si="421"/>
        <v>2.3563946155714884E-5</v>
      </c>
      <c r="BS279" s="979">
        <f t="shared" si="421"/>
        <v>3.005728730613505E-5</v>
      </c>
      <c r="BT279" s="980">
        <f t="shared" si="421"/>
        <v>3.8349394681129096E-5</v>
      </c>
      <c r="BU279" s="979">
        <f t="shared" si="421"/>
        <v>-3.7128416942837577E-5</v>
      </c>
      <c r="BV279" s="979">
        <f>IF(AG279="","-",IFERROR((AG279/AF279-1)*(AF281/AF$13),"-"))</f>
        <v>0</v>
      </c>
      <c r="BW279" s="979">
        <f>IF(AH279="","-",IFERROR((AH279/AG279-1)*(AG281/AG$13),"-"))</f>
        <v>0</v>
      </c>
      <c r="BX279" s="979">
        <f>IF(AI279="","-",IFERROR((AI279/AH279-1)*(AH281/AH$13),"-"))</f>
        <v>0</v>
      </c>
      <c r="BY279" s="981">
        <f>IF(AJ279="","-",IFERROR((AJ279/AI279-1)*(AI281/AI$13),"-"))</f>
        <v>0</v>
      </c>
      <c r="BZ279" s="951"/>
      <c r="CA279" s="975" t="str">
        <f t="shared" si="372"/>
        <v>Price</v>
      </c>
      <c r="CB279" s="976" t="str">
        <f t="shared" si="373"/>
        <v>Waterways and Drainage</v>
      </c>
      <c r="CC279" s="982" t="str">
        <f t="shared" si="374"/>
        <v>Price cap - Fixed</v>
      </c>
      <c r="CD279" s="983">
        <f t="shared" si="397"/>
        <v>-2.4411040486227442E-5</v>
      </c>
      <c r="CE279" s="979">
        <f t="shared" si="397"/>
        <v>-2.5331759832658562E-5</v>
      </c>
      <c r="CF279" s="979">
        <f t="shared" si="397"/>
        <v>-1.9140519028515435E-5</v>
      </c>
      <c r="CG279" s="980">
        <f t="shared" si="397"/>
        <v>-2.302802412301741E-5</v>
      </c>
      <c r="CH279" s="979">
        <f t="shared" si="398"/>
        <v>0.14026684623236241</v>
      </c>
      <c r="CI279" s="979">
        <f t="shared" si="398"/>
        <v>0.19125045109995553</v>
      </c>
      <c r="CJ279" s="979">
        <f t="shared" si="398"/>
        <v>0.21759082973133803</v>
      </c>
      <c r="CK279" s="981">
        <f t="shared" si="398"/>
        <v>0.23367380361356993</v>
      </c>
    </row>
    <row r="280" spans="4:89">
      <c r="E280" s="567" t="s">
        <v>880</v>
      </c>
      <c r="F280" s="554" t="str">
        <f>+F279</f>
        <v>Waterways and Drainage</v>
      </c>
      <c r="G280" s="555" t="str">
        <f>+G279</f>
        <v>ALL</v>
      </c>
      <c r="H280" s="555" t="str">
        <f>+H279</f>
        <v>Patterson Lakes Jetty Annual Maintenance</v>
      </c>
      <c r="I280" s="556" t="str">
        <f>+I279</f>
        <v>Price cap - Fixed</v>
      </c>
      <c r="J280" s="590" t="s">
        <v>906</v>
      </c>
      <c r="K280" s="557"/>
      <c r="L280" s="558"/>
      <c r="M280" s="558"/>
      <c r="N280" s="557"/>
      <c r="O280" s="558"/>
      <c r="P280" s="558"/>
      <c r="Q280" s="558"/>
      <c r="R280" s="1036"/>
      <c r="S280" s="1139"/>
      <c r="T280" s="593"/>
      <c r="U280" s="1036">
        <v>733</v>
      </c>
      <c r="V280" s="593">
        <v>733</v>
      </c>
      <c r="W280" s="593">
        <v>733</v>
      </c>
      <c r="X280" s="593">
        <v>733</v>
      </c>
      <c r="Y280" s="593">
        <v>733</v>
      </c>
      <c r="Z280" s="593">
        <v>733</v>
      </c>
      <c r="AA280" s="1139">
        <v>726</v>
      </c>
      <c r="AB280" s="593">
        <v>726</v>
      </c>
      <c r="AC280" s="593">
        <v>726</v>
      </c>
      <c r="AD280" s="593">
        <v>726</v>
      </c>
      <c r="AE280" s="1036">
        <v>726</v>
      </c>
      <c r="AF280" s="593">
        <v>726</v>
      </c>
      <c r="AG280" s="593">
        <v>726</v>
      </c>
      <c r="AH280" s="593">
        <v>726</v>
      </c>
      <c r="AI280" s="593">
        <v>726</v>
      </c>
      <c r="AJ280" s="594">
        <v>726</v>
      </c>
      <c r="AK280" s="548"/>
      <c r="AO280" s="961" t="str">
        <f t="shared" si="375"/>
        <v>Qty</v>
      </c>
      <c r="AP280" s="962" t="str">
        <f t="shared" si="375"/>
        <v>Waterways and Drainage</v>
      </c>
      <c r="AQ280" s="963" t="str">
        <f t="shared" si="376"/>
        <v>Price cap - Fixed</v>
      </c>
      <c r="AR280" s="967">
        <f t="shared" si="377"/>
        <v>0</v>
      </c>
      <c r="AS280" s="964">
        <f t="shared" si="378"/>
        <v>0</v>
      </c>
      <c r="AT280" s="964">
        <f t="shared" si="379"/>
        <v>0</v>
      </c>
      <c r="AU280" s="964">
        <f t="shared" si="380"/>
        <v>0</v>
      </c>
      <c r="AV280" s="1350">
        <f t="shared" si="381"/>
        <v>0</v>
      </c>
      <c r="AW280" s="1343">
        <f t="shared" si="382"/>
        <v>-9.5497953615280018E-3</v>
      </c>
      <c r="AX280" s="964">
        <f t="shared" si="383"/>
        <v>0</v>
      </c>
      <c r="AY280" s="964">
        <f t="shared" si="384"/>
        <v>0</v>
      </c>
      <c r="AZ280" s="964">
        <f t="shared" si="385"/>
        <v>0</v>
      </c>
      <c r="BA280" s="965">
        <f t="shared" si="386"/>
        <v>0</v>
      </c>
      <c r="BB280" s="1343">
        <f t="shared" si="387"/>
        <v>0</v>
      </c>
      <c r="BC280" s="964">
        <f t="shared" si="388"/>
        <v>0</v>
      </c>
      <c r="BD280" s="964">
        <f t="shared" si="389"/>
        <v>0</v>
      </c>
      <c r="BE280" s="964">
        <f t="shared" si="390"/>
        <v>0</v>
      </c>
      <c r="BF280" s="966">
        <f t="shared" si="391"/>
        <v>0</v>
      </c>
      <c r="BG280" s="951"/>
      <c r="BH280" s="961" t="str">
        <f t="shared" si="392"/>
        <v>Qty</v>
      </c>
      <c r="BI280" s="962" t="str">
        <f t="shared" si="393"/>
        <v>Waterways and Drainage</v>
      </c>
      <c r="BJ280" s="963" t="str">
        <f t="shared" si="394"/>
        <v>Price cap - Fixed</v>
      </c>
      <c r="BK280" s="964">
        <f t="shared" ref="BK280:BU280" si="422">IF(V280="","-",IFERROR((V280/U280-1)*(U281/U$13),"-"))</f>
        <v>0</v>
      </c>
      <c r="BL280" s="964">
        <f t="shared" si="422"/>
        <v>0</v>
      </c>
      <c r="BM280" s="964">
        <f t="shared" si="422"/>
        <v>0</v>
      </c>
      <c r="BN280" s="964">
        <f t="shared" si="422"/>
        <v>0</v>
      </c>
      <c r="BO280" s="1350">
        <f t="shared" si="422"/>
        <v>0</v>
      </c>
      <c r="BP280" s="1343">
        <f t="shared" si="422"/>
        <v>-6.0775840796317697E-7</v>
      </c>
      <c r="BQ280" s="964">
        <f t="shared" si="422"/>
        <v>0</v>
      </c>
      <c r="BR280" s="964">
        <f t="shared" si="422"/>
        <v>0</v>
      </c>
      <c r="BS280" s="964">
        <f t="shared" si="422"/>
        <v>0</v>
      </c>
      <c r="BT280" s="965">
        <f t="shared" si="422"/>
        <v>0</v>
      </c>
      <c r="BU280" s="964">
        <f t="shared" si="422"/>
        <v>0</v>
      </c>
      <c r="BV280" s="964">
        <f>IF(AG280="","-",IFERROR((AG280/AF280-1)*(AF281/AF$13),"-"))</f>
        <v>0</v>
      </c>
      <c r="BW280" s="964">
        <f>IF(AH280="","-",IFERROR((AH280/AG280-1)*(AG281/AG$13),"-"))</f>
        <v>0</v>
      </c>
      <c r="BX280" s="964">
        <f>IF(AI280="","-",IFERROR((AI280/AH280-1)*(AH281/AH$13),"-"))</f>
        <v>0</v>
      </c>
      <c r="BY280" s="966">
        <f>IF(AJ280="","-",IFERROR((AJ280/AI280-1)*(AI281/AI$13),"-"))</f>
        <v>0</v>
      </c>
      <c r="BZ280" s="951"/>
      <c r="CA280" s="961" t="str">
        <f t="shared" si="372"/>
        <v>Qty</v>
      </c>
      <c r="CB280" s="962" t="str">
        <f t="shared" si="373"/>
        <v>Waterways and Drainage</v>
      </c>
      <c r="CC280" s="962" t="str">
        <f t="shared" si="374"/>
        <v>Price cap - Fixed</v>
      </c>
      <c r="CD280" s="967">
        <f t="shared" si="397"/>
        <v>0</v>
      </c>
      <c r="CE280" s="964">
        <f t="shared" si="397"/>
        <v>0</v>
      </c>
      <c r="CF280" s="964">
        <f t="shared" si="397"/>
        <v>0</v>
      </c>
      <c r="CG280" s="965">
        <f t="shared" si="397"/>
        <v>0</v>
      </c>
      <c r="CH280" s="964">
        <f t="shared" si="398"/>
        <v>-4.7863522647652035E-3</v>
      </c>
      <c r="CI280" s="964">
        <f t="shared" si="398"/>
        <v>-3.1934524030031719E-3</v>
      </c>
      <c r="CJ280" s="964">
        <f t="shared" si="398"/>
        <v>-2.3960466521623092E-3</v>
      </c>
      <c r="CK280" s="966">
        <f t="shared" si="398"/>
        <v>-1.917297045661126E-3</v>
      </c>
    </row>
    <row r="281" spans="4:89" ht="12.75" thickBot="1">
      <c r="E281" s="568" t="s">
        <v>882</v>
      </c>
      <c r="F281" s="560" t="str">
        <f>+F279</f>
        <v>Waterways and Drainage</v>
      </c>
      <c r="G281" s="561" t="str">
        <f>+G279</f>
        <v>ALL</v>
      </c>
      <c r="H281" s="561" t="str">
        <f>+H279</f>
        <v>Patterson Lakes Jetty Annual Maintenance</v>
      </c>
      <c r="I281" s="562" t="str">
        <f>+I279</f>
        <v>Price cap - Fixed</v>
      </c>
      <c r="J281" s="563" t="s">
        <v>883</v>
      </c>
      <c r="K281" s="564">
        <f t="shared" ref="K281:AJ281" si="423">K279*K280/10^6</f>
        <v>0</v>
      </c>
      <c r="L281" s="565">
        <f t="shared" si="423"/>
        <v>0</v>
      </c>
      <c r="M281" s="565">
        <f t="shared" si="423"/>
        <v>0</v>
      </c>
      <c r="N281" s="564">
        <f t="shared" si="423"/>
        <v>0</v>
      </c>
      <c r="O281" s="565">
        <f t="shared" si="423"/>
        <v>0</v>
      </c>
      <c r="P281" s="565">
        <f t="shared" si="423"/>
        <v>0</v>
      </c>
      <c r="Q281" s="565">
        <f t="shared" si="423"/>
        <v>0</v>
      </c>
      <c r="R281" s="566">
        <f t="shared" si="423"/>
        <v>0</v>
      </c>
      <c r="S281" s="564">
        <f t="shared" si="423"/>
        <v>0</v>
      </c>
      <c r="T281" s="565">
        <f t="shared" si="423"/>
        <v>0</v>
      </c>
      <c r="U281" s="566">
        <f t="shared" si="423"/>
        <v>0.11990328504288164</v>
      </c>
      <c r="V281" s="565">
        <f t="shared" si="423"/>
        <v>0.11990206969465649</v>
      </c>
      <c r="W281" s="565">
        <f t="shared" si="423"/>
        <v>0.11989743118644065</v>
      </c>
      <c r="X281" s="565">
        <f t="shared" si="423"/>
        <v>0.11989417319004526</v>
      </c>
      <c r="Y281" s="565">
        <f t="shared" si="423"/>
        <v>0.11989410526200871</v>
      </c>
      <c r="Z281" s="565">
        <f t="shared" si="423"/>
        <v>0.11988947999999999</v>
      </c>
      <c r="AA281" s="564">
        <f t="shared" si="423"/>
        <v>0.11874914109170305</v>
      </c>
      <c r="AB281" s="565">
        <f t="shared" si="423"/>
        <v>0.15439268393909833</v>
      </c>
      <c r="AC281" s="565">
        <f t="shared" si="423"/>
        <v>0.20073493277320048</v>
      </c>
      <c r="AD281" s="565">
        <f t="shared" si="423"/>
        <v>0.26098719322319619</v>
      </c>
      <c r="AE281" s="566">
        <f t="shared" si="423"/>
        <v>0.33932467102515046</v>
      </c>
      <c r="AF281" s="565">
        <f t="shared" si="423"/>
        <v>0.26202398140429295</v>
      </c>
      <c r="AG281" s="565">
        <f>AG279*AG280/10^6</f>
        <v>0.26202398140429295</v>
      </c>
      <c r="AH281" s="565">
        <f>AH279*AH280/10^6</f>
        <v>0.26202398140429295</v>
      </c>
      <c r="AI281" s="565">
        <f>AI279*AI280/10^6</f>
        <v>0.26202398140429295</v>
      </c>
      <c r="AJ281" s="566">
        <f t="shared" si="423"/>
        <v>0.26202398140429295</v>
      </c>
      <c r="AK281" s="548"/>
      <c r="AO281" s="984" t="str">
        <f t="shared" si="375"/>
        <v>Rev</v>
      </c>
      <c r="AP281" s="985" t="str">
        <f t="shared" si="375"/>
        <v>Waterways and Drainage</v>
      </c>
      <c r="AQ281" s="986" t="str">
        <f t="shared" si="376"/>
        <v>Price cap - Fixed</v>
      </c>
      <c r="AR281" s="990">
        <f t="shared" si="377"/>
        <v>-1.0136071123656443E-5</v>
      </c>
      <c r="AS281" s="987">
        <f t="shared" si="378"/>
        <v>-3.8685806071914186E-5</v>
      </c>
      <c r="AT281" s="987">
        <f t="shared" si="379"/>
        <v>-2.7173195982221898E-5</v>
      </c>
      <c r="AU281" s="987">
        <f t="shared" si="380"/>
        <v>-5.6656662084098031E-7</v>
      </c>
      <c r="AV281" s="1353">
        <f t="shared" si="381"/>
        <v>-3.8577893371916083E-5</v>
      </c>
      <c r="AW281" s="1346">
        <f t="shared" si="382"/>
        <v>-9.5115844050448484E-3</v>
      </c>
      <c r="AX281" s="987">
        <f t="shared" si="383"/>
        <v>0.30015832131257136</v>
      </c>
      <c r="AY281" s="987">
        <f t="shared" si="384"/>
        <v>0.30015832131257136</v>
      </c>
      <c r="AZ281" s="987">
        <f t="shared" si="385"/>
        <v>0.30015832131257136</v>
      </c>
      <c r="BA281" s="988">
        <f t="shared" si="386"/>
        <v>0.30015832131257136</v>
      </c>
      <c r="BB281" s="1346">
        <f t="shared" si="387"/>
        <v>-0.22780745469323105</v>
      </c>
      <c r="BC281" s="987">
        <f t="shared" si="388"/>
        <v>0</v>
      </c>
      <c r="BD281" s="987">
        <f t="shared" si="389"/>
        <v>0</v>
      </c>
      <c r="BE281" s="987">
        <f t="shared" si="390"/>
        <v>0</v>
      </c>
      <c r="BF281" s="989">
        <f t="shared" si="391"/>
        <v>0</v>
      </c>
      <c r="BG281" s="951"/>
      <c r="BH281" s="984" t="str">
        <f t="shared" si="392"/>
        <v>Rev</v>
      </c>
      <c r="BI281" s="985" t="str">
        <f t="shared" si="393"/>
        <v>Waterways and Drainage</v>
      </c>
      <c r="BJ281" s="986" t="str">
        <f t="shared" si="394"/>
        <v>Price cap - Fixed</v>
      </c>
      <c r="BK281" s="987">
        <f t="shared" ref="BK281:BU281" si="424">IF(V281="","-",IFERROR((V281/U281-1)*(U281/U$13),"-"))</f>
        <v>-6.3024038837072672E-10</v>
      </c>
      <c r="BL281" s="987">
        <f t="shared" si="424"/>
        <v>-2.4891492841045016E-9</v>
      </c>
      <c r="BM281" s="987">
        <f t="shared" si="424"/>
        <v>-1.7607762535624668E-9</v>
      </c>
      <c r="BN281" s="987">
        <f t="shared" si="424"/>
        <v>-3.65009443922374E-11</v>
      </c>
      <c r="BO281" s="1353">
        <f t="shared" si="424"/>
        <v>-2.4541778527577441E-9</v>
      </c>
      <c r="BP281" s="1346">
        <f t="shared" si="424"/>
        <v>-6.0532662495633828E-7</v>
      </c>
      <c r="BQ281" s="987">
        <f t="shared" si="424"/>
        <v>1.8826316281994646E-5</v>
      </c>
      <c r="BR281" s="987">
        <f t="shared" si="424"/>
        <v>2.3563946155714884E-5</v>
      </c>
      <c r="BS281" s="987">
        <f t="shared" si="424"/>
        <v>3.005728730613505E-5</v>
      </c>
      <c r="BT281" s="988">
        <f t="shared" si="424"/>
        <v>3.8349394681129096E-5</v>
      </c>
      <c r="BU281" s="987">
        <f t="shared" si="424"/>
        <v>-3.7128416942837577E-5</v>
      </c>
      <c r="BV281" s="987">
        <f>IF(AG281="","-",IFERROR((AG281/AF281-1)*(AF281/AF$13),"-"))</f>
        <v>0</v>
      </c>
      <c r="BW281" s="987">
        <f>IF(AH281="","-",IFERROR((AH281/AG281-1)*(AG281/AG$13),"-"))</f>
        <v>0</v>
      </c>
      <c r="BX281" s="987">
        <f>IF(AI281="","-",IFERROR((AI281/AH281-1)*(AH281/AH$13),"-"))</f>
        <v>0</v>
      </c>
      <c r="BY281" s="989">
        <f>IF(AJ281="","-",IFERROR((AJ281/AI281-1)*(AI281/AI$13),"-"))</f>
        <v>0</v>
      </c>
      <c r="BZ281" s="951"/>
      <c r="CA281" s="984" t="str">
        <f t="shared" si="372"/>
        <v>Rev</v>
      </c>
      <c r="CB281" s="985" t="str">
        <f t="shared" si="373"/>
        <v>Waterways and Drainage</v>
      </c>
      <c r="CC281" s="985" t="str">
        <f t="shared" si="374"/>
        <v>Price cap - Fixed</v>
      </c>
      <c r="CD281" s="990">
        <f t="shared" si="397"/>
        <v>-2.4411040486227442E-5</v>
      </c>
      <c r="CE281" s="987">
        <f t="shared" si="397"/>
        <v>-2.533175983254754E-5</v>
      </c>
      <c r="CF281" s="987">
        <f t="shared" si="397"/>
        <v>-1.9140519028515435E-5</v>
      </c>
      <c r="CG281" s="988">
        <f t="shared" si="397"/>
        <v>-2.3028024123128432E-5</v>
      </c>
      <c r="CH281" s="987">
        <f t="shared" si="398"/>
        <v>0.13480912743046147</v>
      </c>
      <c r="CI281" s="987">
        <f t="shared" si="398"/>
        <v>0.18744624948431166</v>
      </c>
      <c r="CJ281" s="987">
        <f t="shared" si="398"/>
        <v>0.21467342530005684</v>
      </c>
      <c r="CK281" s="989">
        <f t="shared" si="398"/>
        <v>0.23130848447459229</v>
      </c>
    </row>
    <row r="282" spans="4:89">
      <c r="D282" s="63">
        <f>D279+1</f>
        <v>72</v>
      </c>
      <c r="E282" s="550" t="s">
        <v>857</v>
      </c>
      <c r="F282" s="595" t="s">
        <v>420</v>
      </c>
      <c r="G282" s="595" t="s">
        <v>904</v>
      </c>
      <c r="H282" s="595" t="s">
        <v>914</v>
      </c>
      <c r="I282" s="589" t="s">
        <v>939</v>
      </c>
      <c r="J282" s="589" t="s">
        <v>879</v>
      </c>
      <c r="K282" s="551"/>
      <c r="L282" s="552"/>
      <c r="M282" s="552"/>
      <c r="N282" s="551"/>
      <c r="O282" s="552"/>
      <c r="P282" s="552"/>
      <c r="Q282" s="552"/>
      <c r="R282" s="1035"/>
      <c r="S282" s="1138"/>
      <c r="T282" s="591"/>
      <c r="U282" s="1035">
        <v>142.38936535162949</v>
      </c>
      <c r="V282" s="591">
        <v>128.41</v>
      </c>
      <c r="W282" s="591">
        <v>134.94</v>
      </c>
      <c r="X282" s="591">
        <v>144.41</v>
      </c>
      <c r="Y282" s="591">
        <v>149.63999999999999</v>
      </c>
      <c r="Z282" s="591">
        <v>153.22</v>
      </c>
      <c r="AA282" s="1138">
        <v>153.22</v>
      </c>
      <c r="AB282" s="591">
        <v>182.61712280814061</v>
      </c>
      <c r="AC282" s="591">
        <v>217.65444160503529</v>
      </c>
      <c r="AD282" s="591">
        <v>259.41409667356743</v>
      </c>
      <c r="AE282" s="1035">
        <v>309.18585008745413</v>
      </c>
      <c r="AF282" s="591">
        <v>368.50692048009392</v>
      </c>
      <c r="AG282" s="591">
        <v>368.50692048009392</v>
      </c>
      <c r="AH282" s="591">
        <v>368.50692048009392</v>
      </c>
      <c r="AI282" s="591">
        <v>368.50692048009392</v>
      </c>
      <c r="AJ282" s="592">
        <v>368.50692048009392</v>
      </c>
      <c r="AK282" s="548"/>
      <c r="AM282" s="974"/>
      <c r="AO282" s="975" t="str">
        <f t="shared" si="375"/>
        <v>Price</v>
      </c>
      <c r="AP282" s="976" t="str">
        <f t="shared" si="375"/>
        <v>Waterways and Drainage</v>
      </c>
      <c r="AQ282" s="977" t="str">
        <f t="shared" si="376"/>
        <v>Price cap - Fixed</v>
      </c>
      <c r="AR282" s="1341">
        <f t="shared" si="377"/>
        <v>-9.8177032512979823E-2</v>
      </c>
      <c r="AS282" s="978">
        <f t="shared" si="378"/>
        <v>5.0852737325753461E-2</v>
      </c>
      <c r="AT282" s="979">
        <f t="shared" si="379"/>
        <v>7.0179338965466131E-2</v>
      </c>
      <c r="AU282" s="979">
        <f t="shared" si="380"/>
        <v>3.6216328509105944E-2</v>
      </c>
      <c r="AV282" s="1352">
        <f t="shared" si="381"/>
        <v>2.3924084469393314E-2</v>
      </c>
      <c r="AW282" s="1345">
        <f t="shared" si="382"/>
        <v>0</v>
      </c>
      <c r="AX282" s="979">
        <f t="shared" si="383"/>
        <v>0.19186217731458433</v>
      </c>
      <c r="AY282" s="979">
        <f t="shared" si="384"/>
        <v>0.19186217731458433</v>
      </c>
      <c r="AZ282" s="979">
        <f t="shared" si="385"/>
        <v>0.19186217731458433</v>
      </c>
      <c r="BA282" s="980">
        <f t="shared" si="386"/>
        <v>0.19186217731458433</v>
      </c>
      <c r="BB282" s="1345">
        <f t="shared" si="387"/>
        <v>0.19186217731458499</v>
      </c>
      <c r="BC282" s="979">
        <f t="shared" si="388"/>
        <v>0</v>
      </c>
      <c r="BD282" s="979">
        <f t="shared" si="389"/>
        <v>0</v>
      </c>
      <c r="BE282" s="979">
        <f t="shared" si="390"/>
        <v>0</v>
      </c>
      <c r="BF282" s="981">
        <f t="shared" si="391"/>
        <v>0</v>
      </c>
      <c r="BG282" s="951"/>
      <c r="BH282" s="975" t="str">
        <f t="shared" si="392"/>
        <v>Price</v>
      </c>
      <c r="BI282" s="976" t="str">
        <f t="shared" si="393"/>
        <v>Waterways and Drainage</v>
      </c>
      <c r="BJ282" s="977" t="str">
        <f t="shared" si="394"/>
        <v>Price cap - Fixed</v>
      </c>
      <c r="BK282" s="978">
        <f t="shared" ref="BK282:BU282" si="425">IF(V282="","-",IFERROR((V282/U282-1)*(U284/U$13),"-"))</f>
        <v>-1.8195612393013648E-6</v>
      </c>
      <c r="BL282" s="978">
        <f t="shared" si="425"/>
        <v>8.7954794112550504E-7</v>
      </c>
      <c r="BM282" s="979">
        <f t="shared" si="425"/>
        <v>1.2846276740352516E-6</v>
      </c>
      <c r="BN282" s="979">
        <f t="shared" si="425"/>
        <v>7.053918699345594E-7</v>
      </c>
      <c r="BO282" s="1352">
        <f t="shared" si="425"/>
        <v>4.7678923502580221E-7</v>
      </c>
      <c r="BP282" s="1345">
        <f t="shared" si="425"/>
        <v>0</v>
      </c>
      <c r="BQ282" s="979">
        <f t="shared" si="425"/>
        <v>4.4252129264707531E-6</v>
      </c>
      <c r="BR282" s="979">
        <f t="shared" si="425"/>
        <v>5.0774615299739411E-6</v>
      </c>
      <c r="BS282" s="979">
        <f t="shared" si="425"/>
        <v>5.9371524509669497E-6</v>
      </c>
      <c r="BT282" s="980">
        <f t="shared" si="425"/>
        <v>6.9441122017347797E-6</v>
      </c>
      <c r="BU282" s="979">
        <f t="shared" si="425"/>
        <v>8.1203902845277254E-6</v>
      </c>
      <c r="BV282" s="979">
        <f>IF(AG282="","-",IFERROR((AG282/AF282-1)*(AF284/AF$13),"-"))</f>
        <v>0</v>
      </c>
      <c r="BW282" s="979">
        <f>IF(AH282="","-",IFERROR((AH282/AG282-1)*(AG284/AG$13),"-"))</f>
        <v>0</v>
      </c>
      <c r="BX282" s="979">
        <f>IF(AI282="","-",IFERROR((AI282/AH282-1)*(AH284/AH$13),"-"))</f>
        <v>0</v>
      </c>
      <c r="BY282" s="981">
        <f>IF(AJ282="","-",IFERROR((AJ282/AI282-1)*(AI284/AI$13),"-"))</f>
        <v>0</v>
      </c>
      <c r="BZ282" s="951"/>
      <c r="CA282" s="975" t="str">
        <f t="shared" si="372"/>
        <v>Price</v>
      </c>
      <c r="CB282" s="976" t="str">
        <f t="shared" si="373"/>
        <v>Waterways and Drainage</v>
      </c>
      <c r="CC282" s="982" t="str">
        <f t="shared" si="374"/>
        <v>Price cap - Fixed</v>
      </c>
      <c r="CD282" s="983">
        <f t="shared" si="397"/>
        <v>-2.6509818248294237E-2</v>
      </c>
      <c r="CE282" s="979">
        <f t="shared" si="397"/>
        <v>4.708102271873793E-3</v>
      </c>
      <c r="CF282" s="979">
        <f t="shared" si="397"/>
        <v>1.2494181892041878E-2</v>
      </c>
      <c r="CG282" s="980">
        <f t="shared" si="397"/>
        <v>1.4769909333516518E-2</v>
      </c>
      <c r="CH282" s="979">
        <f t="shared" si="398"/>
        <v>9.1724405385619434E-2</v>
      </c>
      <c r="CI282" s="979">
        <f t="shared" si="398"/>
        <v>0.12413212399333085</v>
      </c>
      <c r="CJ282" s="979">
        <f t="shared" si="398"/>
        <v>0.14069497536825071</v>
      </c>
      <c r="CK282" s="981">
        <f t="shared" si="398"/>
        <v>0.15074959425118672</v>
      </c>
    </row>
    <row r="283" spans="4:89">
      <c r="E283" s="567" t="s">
        <v>880</v>
      </c>
      <c r="F283" s="554" t="str">
        <f>+F282</f>
        <v>Waterways and Drainage</v>
      </c>
      <c r="G283" s="555" t="str">
        <f>+G282</f>
        <v>ALL</v>
      </c>
      <c r="H283" s="555" t="str">
        <f>+H282</f>
        <v>Quiet Lakes Bore Flushing</v>
      </c>
      <c r="I283" s="556" t="str">
        <f>+I282</f>
        <v>Price cap - Fixed</v>
      </c>
      <c r="J283" s="590" t="s">
        <v>906</v>
      </c>
      <c r="K283" s="557"/>
      <c r="L283" s="558"/>
      <c r="M283" s="558"/>
      <c r="N283" s="557"/>
      <c r="O283" s="558"/>
      <c r="P283" s="558"/>
      <c r="Q283" s="558"/>
      <c r="R283" s="1036"/>
      <c r="S283" s="1139"/>
      <c r="T283" s="593"/>
      <c r="U283" s="1036">
        <v>251</v>
      </c>
      <c r="V283" s="593">
        <v>251</v>
      </c>
      <c r="W283" s="593">
        <v>251</v>
      </c>
      <c r="X283" s="593">
        <v>251</v>
      </c>
      <c r="Y283" s="593">
        <v>251</v>
      </c>
      <c r="Z283" s="593">
        <v>251</v>
      </c>
      <c r="AA283" s="1139">
        <v>285</v>
      </c>
      <c r="AB283" s="593">
        <v>285</v>
      </c>
      <c r="AC283" s="593">
        <v>285</v>
      </c>
      <c r="AD283" s="593">
        <v>285</v>
      </c>
      <c r="AE283" s="1036">
        <v>285</v>
      </c>
      <c r="AF283" s="593">
        <v>285</v>
      </c>
      <c r="AG283" s="593">
        <v>285</v>
      </c>
      <c r="AH283" s="593">
        <v>285</v>
      </c>
      <c r="AI283" s="593">
        <v>285</v>
      </c>
      <c r="AJ283" s="594">
        <v>285</v>
      </c>
      <c r="AK283" s="548"/>
      <c r="AO283" s="961" t="str">
        <f t="shared" si="375"/>
        <v>Qty</v>
      </c>
      <c r="AP283" s="962" t="str">
        <f t="shared" si="375"/>
        <v>Waterways and Drainage</v>
      </c>
      <c r="AQ283" s="963" t="str">
        <f t="shared" si="376"/>
        <v>Price cap - Fixed</v>
      </c>
      <c r="AR283" s="967">
        <f t="shared" si="377"/>
        <v>0</v>
      </c>
      <c r="AS283" s="964">
        <f t="shared" si="378"/>
        <v>0</v>
      </c>
      <c r="AT283" s="964">
        <f t="shared" si="379"/>
        <v>0</v>
      </c>
      <c r="AU283" s="964">
        <f t="shared" si="380"/>
        <v>0</v>
      </c>
      <c r="AV283" s="1350">
        <f t="shared" si="381"/>
        <v>0</v>
      </c>
      <c r="AW283" s="1343">
        <f t="shared" si="382"/>
        <v>0.13545816733067739</v>
      </c>
      <c r="AX283" s="964">
        <f t="shared" si="383"/>
        <v>0</v>
      </c>
      <c r="AY283" s="964">
        <f t="shared" si="384"/>
        <v>0</v>
      </c>
      <c r="AZ283" s="964">
        <f t="shared" si="385"/>
        <v>0</v>
      </c>
      <c r="BA283" s="965">
        <f t="shared" si="386"/>
        <v>0</v>
      </c>
      <c r="BB283" s="1343">
        <f t="shared" si="387"/>
        <v>0</v>
      </c>
      <c r="BC283" s="964">
        <f t="shared" si="388"/>
        <v>0</v>
      </c>
      <c r="BD283" s="964">
        <f t="shared" si="389"/>
        <v>0</v>
      </c>
      <c r="BE283" s="964">
        <f t="shared" si="390"/>
        <v>0</v>
      </c>
      <c r="BF283" s="966">
        <f t="shared" si="391"/>
        <v>0</v>
      </c>
      <c r="BG283" s="951"/>
      <c r="BH283" s="961" t="str">
        <f t="shared" si="392"/>
        <v>Qty</v>
      </c>
      <c r="BI283" s="962" t="str">
        <f t="shared" si="393"/>
        <v>Waterways and Drainage</v>
      </c>
      <c r="BJ283" s="963" t="str">
        <f t="shared" si="394"/>
        <v>Price cap - Fixed</v>
      </c>
      <c r="BK283" s="964">
        <f t="shared" ref="BK283:BU283" si="426">IF(V283="","-",IFERROR((V283/U283-1)*(U284/U$13),"-"))</f>
        <v>0</v>
      </c>
      <c r="BL283" s="964">
        <f t="shared" si="426"/>
        <v>0</v>
      </c>
      <c r="BM283" s="964">
        <f t="shared" si="426"/>
        <v>0</v>
      </c>
      <c r="BN283" s="964">
        <f t="shared" si="426"/>
        <v>0</v>
      </c>
      <c r="BO283" s="1350">
        <f t="shared" si="426"/>
        <v>0</v>
      </c>
      <c r="BP283" s="1343">
        <f t="shared" si="426"/>
        <v>2.7653506542954991E-6</v>
      </c>
      <c r="BQ283" s="964">
        <f t="shared" si="426"/>
        <v>0</v>
      </c>
      <c r="BR283" s="964">
        <f t="shared" si="426"/>
        <v>0</v>
      </c>
      <c r="BS283" s="964">
        <f t="shared" si="426"/>
        <v>0</v>
      </c>
      <c r="BT283" s="965">
        <f t="shared" si="426"/>
        <v>0</v>
      </c>
      <c r="BU283" s="964">
        <f t="shared" si="426"/>
        <v>0</v>
      </c>
      <c r="BV283" s="964">
        <f>IF(AG283="","-",IFERROR((AG283/AF283-1)*(AF284/AF$13),"-"))</f>
        <v>0</v>
      </c>
      <c r="BW283" s="964">
        <f>IF(AH283="","-",IFERROR((AH283/AG283-1)*(AG284/AG$13),"-"))</f>
        <v>0</v>
      </c>
      <c r="BX283" s="964">
        <f>IF(AI283="","-",IFERROR((AI283/AH283-1)*(AH284/AH$13),"-"))</f>
        <v>0</v>
      </c>
      <c r="BY283" s="966">
        <f>IF(AJ283="","-",IFERROR((AJ283/AI283-1)*(AI284/AI$13),"-"))</f>
        <v>0</v>
      </c>
      <c r="BZ283" s="951"/>
      <c r="CA283" s="961" t="str">
        <f t="shared" si="372"/>
        <v>Qty</v>
      </c>
      <c r="CB283" s="962" t="str">
        <f t="shared" si="373"/>
        <v>Waterways and Drainage</v>
      </c>
      <c r="CC283" s="962" t="str">
        <f t="shared" si="374"/>
        <v>Price cap - Fixed</v>
      </c>
      <c r="CD283" s="967">
        <f t="shared" si="397"/>
        <v>0</v>
      </c>
      <c r="CE283" s="964">
        <f t="shared" si="397"/>
        <v>0</v>
      </c>
      <c r="CF283" s="964">
        <f t="shared" si="397"/>
        <v>0</v>
      </c>
      <c r="CG283" s="965">
        <f t="shared" si="397"/>
        <v>0</v>
      </c>
      <c r="CH283" s="964">
        <f t="shared" si="398"/>
        <v>6.5578794519991046E-2</v>
      </c>
      <c r="CI283" s="964">
        <f t="shared" si="398"/>
        <v>4.325477102555797E-2</v>
      </c>
      <c r="CJ283" s="964">
        <f t="shared" si="398"/>
        <v>3.2268760798267682E-2</v>
      </c>
      <c r="CK283" s="966">
        <f t="shared" si="398"/>
        <v>2.5732763326134611E-2</v>
      </c>
    </row>
    <row r="284" spans="4:89" ht="12.75" thickBot="1">
      <c r="E284" s="568" t="s">
        <v>882</v>
      </c>
      <c r="F284" s="560" t="str">
        <f>+F282</f>
        <v>Waterways and Drainage</v>
      </c>
      <c r="G284" s="561" t="str">
        <f>+G282</f>
        <v>ALL</v>
      </c>
      <c r="H284" s="561" t="str">
        <f>+H282</f>
        <v>Quiet Lakes Bore Flushing</v>
      </c>
      <c r="I284" s="562" t="str">
        <f>+I282</f>
        <v>Price cap - Fixed</v>
      </c>
      <c r="J284" s="563" t="s">
        <v>883</v>
      </c>
      <c r="K284" s="564">
        <f t="shared" ref="K284:AJ284" si="427">K282*K283/10^6</f>
        <v>0</v>
      </c>
      <c r="L284" s="565">
        <f t="shared" si="427"/>
        <v>0</v>
      </c>
      <c r="M284" s="565">
        <f t="shared" si="427"/>
        <v>0</v>
      </c>
      <c r="N284" s="564">
        <f t="shared" si="427"/>
        <v>0</v>
      </c>
      <c r="O284" s="565">
        <f t="shared" si="427"/>
        <v>0</v>
      </c>
      <c r="P284" s="565">
        <f t="shared" si="427"/>
        <v>0</v>
      </c>
      <c r="Q284" s="565">
        <f t="shared" si="427"/>
        <v>0</v>
      </c>
      <c r="R284" s="566">
        <f t="shared" si="427"/>
        <v>0</v>
      </c>
      <c r="S284" s="564">
        <f t="shared" si="427"/>
        <v>0</v>
      </c>
      <c r="T284" s="565">
        <f t="shared" si="427"/>
        <v>0</v>
      </c>
      <c r="U284" s="566">
        <f t="shared" si="427"/>
        <v>3.5739730703259004E-2</v>
      </c>
      <c r="V284" s="565">
        <f t="shared" si="427"/>
        <v>3.2230910000000002E-2</v>
      </c>
      <c r="W284" s="565">
        <f t="shared" si="427"/>
        <v>3.3869940000000001E-2</v>
      </c>
      <c r="X284" s="565">
        <f t="shared" si="427"/>
        <v>3.6246909999999993E-2</v>
      </c>
      <c r="Y284" s="565">
        <f t="shared" si="427"/>
        <v>3.7559639999999998E-2</v>
      </c>
      <c r="Z284" s="565">
        <f t="shared" si="427"/>
        <v>3.8458220000000001E-2</v>
      </c>
      <c r="AA284" s="564">
        <f t="shared" si="427"/>
        <v>4.3667699999999997E-2</v>
      </c>
      <c r="AB284" s="565">
        <f t="shared" si="427"/>
        <v>5.2045880000320073E-2</v>
      </c>
      <c r="AC284" s="565">
        <f t="shared" si="427"/>
        <v>6.2031515857435056E-2</v>
      </c>
      <c r="AD284" s="565">
        <f t="shared" si="427"/>
        <v>7.3933017551966712E-2</v>
      </c>
      <c r="AE284" s="566">
        <f t="shared" si="427"/>
        <v>8.8117967274924422E-2</v>
      </c>
      <c r="AF284" s="565">
        <f t="shared" si="427"/>
        <v>0.10502447233682677</v>
      </c>
      <c r="AG284" s="565">
        <f>AG282*AG283/10^6</f>
        <v>0.10502447233682677</v>
      </c>
      <c r="AH284" s="565">
        <f>AH282*AH283/10^6</f>
        <v>0.10502447233682677</v>
      </c>
      <c r="AI284" s="565">
        <f>AI282*AI283/10^6</f>
        <v>0.10502447233682677</v>
      </c>
      <c r="AJ284" s="566">
        <f t="shared" si="427"/>
        <v>0.10502447233682677</v>
      </c>
      <c r="AK284" s="548"/>
      <c r="AO284" s="984" t="str">
        <f t="shared" si="375"/>
        <v>Rev</v>
      </c>
      <c r="AP284" s="985" t="str">
        <f t="shared" si="375"/>
        <v>Waterways and Drainage</v>
      </c>
      <c r="AQ284" s="986" t="str">
        <f t="shared" si="376"/>
        <v>Price cap - Fixed</v>
      </c>
      <c r="AR284" s="990">
        <f t="shared" si="377"/>
        <v>-9.8177032512979823E-2</v>
      </c>
      <c r="AS284" s="987">
        <f t="shared" si="378"/>
        <v>5.0852737325753461E-2</v>
      </c>
      <c r="AT284" s="987">
        <f t="shared" si="379"/>
        <v>7.0179338965465909E-2</v>
      </c>
      <c r="AU284" s="987">
        <f t="shared" si="380"/>
        <v>3.6216328509106166E-2</v>
      </c>
      <c r="AV284" s="1353">
        <f t="shared" si="381"/>
        <v>2.3924084469393314E-2</v>
      </c>
      <c r="AW284" s="1346">
        <f t="shared" si="382"/>
        <v>0.13545816733067717</v>
      </c>
      <c r="AX284" s="987">
        <f t="shared" si="383"/>
        <v>0.19186217731458433</v>
      </c>
      <c r="AY284" s="987">
        <f t="shared" si="384"/>
        <v>0.19186217731458433</v>
      </c>
      <c r="AZ284" s="987">
        <f t="shared" si="385"/>
        <v>0.19186217731458433</v>
      </c>
      <c r="BA284" s="988">
        <f t="shared" si="386"/>
        <v>0.19186217731458433</v>
      </c>
      <c r="BB284" s="1346">
        <f t="shared" si="387"/>
        <v>0.19186217731458499</v>
      </c>
      <c r="BC284" s="987">
        <f t="shared" si="388"/>
        <v>0</v>
      </c>
      <c r="BD284" s="987">
        <f t="shared" si="389"/>
        <v>0</v>
      </c>
      <c r="BE284" s="987">
        <f t="shared" si="390"/>
        <v>0</v>
      </c>
      <c r="BF284" s="989">
        <f t="shared" si="391"/>
        <v>0</v>
      </c>
      <c r="BG284" s="951"/>
      <c r="BH284" s="984" t="str">
        <f t="shared" si="392"/>
        <v>Rev</v>
      </c>
      <c r="BI284" s="985" t="str">
        <f t="shared" si="393"/>
        <v>Waterways and Drainage</v>
      </c>
      <c r="BJ284" s="986" t="str">
        <f t="shared" si="394"/>
        <v>Price cap - Fixed</v>
      </c>
      <c r="BK284" s="987">
        <f t="shared" ref="BK284:BU284" si="428">IF(V284="","-",IFERROR((V284/U284-1)*(U284/U$13),"-"))</f>
        <v>-1.8195612393013648E-6</v>
      </c>
      <c r="BL284" s="987">
        <f t="shared" si="428"/>
        <v>8.7954794112550504E-7</v>
      </c>
      <c r="BM284" s="987">
        <f t="shared" si="428"/>
        <v>1.2846276740352473E-6</v>
      </c>
      <c r="BN284" s="987">
        <f t="shared" si="428"/>
        <v>7.0539186993456374E-7</v>
      </c>
      <c r="BO284" s="1353">
        <f t="shared" si="428"/>
        <v>4.7678923502580221E-7</v>
      </c>
      <c r="BP284" s="1346">
        <f t="shared" si="428"/>
        <v>2.7653506542954944E-6</v>
      </c>
      <c r="BQ284" s="987">
        <f t="shared" si="428"/>
        <v>4.4252129264707531E-6</v>
      </c>
      <c r="BR284" s="987">
        <f t="shared" si="428"/>
        <v>5.0774615299739411E-6</v>
      </c>
      <c r="BS284" s="987">
        <f t="shared" si="428"/>
        <v>5.9371524509669497E-6</v>
      </c>
      <c r="BT284" s="988">
        <f t="shared" si="428"/>
        <v>6.9441122017347797E-6</v>
      </c>
      <c r="BU284" s="987">
        <f t="shared" si="428"/>
        <v>8.1203902845277254E-6</v>
      </c>
      <c r="BV284" s="987">
        <f>IF(AG284="","-",IFERROR((AG284/AF284-1)*(AF284/AF$13),"-"))</f>
        <v>0</v>
      </c>
      <c r="BW284" s="987">
        <f>IF(AH284="","-",IFERROR((AH284/AG284-1)*(AG284/AG$13),"-"))</f>
        <v>0</v>
      </c>
      <c r="BX284" s="987">
        <f>IF(AI284="","-",IFERROR((AI284/AH284-1)*(AH284/AH$13),"-"))</f>
        <v>0</v>
      </c>
      <c r="BY284" s="989">
        <f>IF(AJ284="","-",IFERROR((AJ284/AI284-1)*(AI284/AI$13),"-"))</f>
        <v>0</v>
      </c>
      <c r="BZ284" s="951"/>
      <c r="CA284" s="984" t="str">
        <f t="shared" si="372"/>
        <v>Rev</v>
      </c>
      <c r="CB284" s="985" t="str">
        <f t="shared" si="373"/>
        <v>Waterways and Drainage</v>
      </c>
      <c r="CC284" s="985" t="str">
        <f t="shared" si="374"/>
        <v>Price cap - Fixed</v>
      </c>
      <c r="CD284" s="990">
        <f t="shared" si="397"/>
        <v>-2.6509818248294237E-2</v>
      </c>
      <c r="CE284" s="987">
        <f t="shared" si="397"/>
        <v>4.708102271873571E-3</v>
      </c>
      <c r="CF284" s="987">
        <f t="shared" si="397"/>
        <v>1.2494181892041878E-2</v>
      </c>
      <c r="CG284" s="988">
        <f t="shared" si="397"/>
        <v>1.4769909333516518E-2</v>
      </c>
      <c r="CH284" s="987">
        <f t="shared" si="398"/>
        <v>0.16331837583886233</v>
      </c>
      <c r="CI284" s="987">
        <f t="shared" si="398"/>
        <v>0.17275620161913663</v>
      </c>
      <c r="CJ284" s="987">
        <f t="shared" si="398"/>
        <v>0.17750378867219463</v>
      </c>
      <c r="CK284" s="989">
        <f t="shared" si="398"/>
        <v>0.18036156120769786</v>
      </c>
    </row>
    <row r="285" spans="4:89">
      <c r="D285" s="63">
        <f>D282+1</f>
        <v>73</v>
      </c>
      <c r="E285" s="550" t="s">
        <v>857</v>
      </c>
      <c r="F285" s="595" t="s">
        <v>420</v>
      </c>
      <c r="G285" s="595" t="s">
        <v>904</v>
      </c>
      <c r="H285" s="595" t="s">
        <v>915</v>
      </c>
      <c r="I285" s="589" t="s">
        <v>939</v>
      </c>
      <c r="J285" s="589" t="s">
        <v>879</v>
      </c>
      <c r="K285" s="551"/>
      <c r="L285" s="552"/>
      <c r="M285" s="552"/>
      <c r="N285" s="551"/>
      <c r="O285" s="552"/>
      <c r="P285" s="552"/>
      <c r="Q285" s="552"/>
      <c r="R285" s="1035"/>
      <c r="S285" s="1138"/>
      <c r="T285" s="591"/>
      <c r="U285" s="1035">
        <v>280.89649967389056</v>
      </c>
      <c r="V285" s="591">
        <v>278.050978736003</v>
      </c>
      <c r="W285" s="591">
        <v>273.62593796940456</v>
      </c>
      <c r="X285" s="591">
        <v>275.98486146607439</v>
      </c>
      <c r="Y285" s="591">
        <v>286.05114180037083</v>
      </c>
      <c r="Z285" s="591">
        <v>248.48</v>
      </c>
      <c r="AA285" s="1138">
        <v>248.48</v>
      </c>
      <c r="AB285" s="591">
        <v>261.29158772658525</v>
      </c>
      <c r="AC285" s="591">
        <v>274.76373879861478</v>
      </c>
      <c r="AD285" s="591">
        <v>288.93051175298945</v>
      </c>
      <c r="AE285" s="1035">
        <v>303.82772117914283</v>
      </c>
      <c r="AF285" s="591">
        <v>303.82772117914283</v>
      </c>
      <c r="AG285" s="591">
        <v>303.82772117914283</v>
      </c>
      <c r="AH285" s="591">
        <v>303.82772117914283</v>
      </c>
      <c r="AI285" s="591">
        <v>303.82772117914283</v>
      </c>
      <c r="AJ285" s="592">
        <v>303.82772117914283</v>
      </c>
      <c r="AK285" s="548"/>
      <c r="AM285" s="974"/>
      <c r="AO285" s="975" t="str">
        <f t="shared" si="375"/>
        <v>Price</v>
      </c>
      <c r="AP285" s="976" t="str">
        <f t="shared" si="375"/>
        <v>Waterways and Drainage</v>
      </c>
      <c r="AQ285" s="977" t="str">
        <f t="shared" si="376"/>
        <v>Price cap - Fixed</v>
      </c>
      <c r="AR285" s="1341">
        <f t="shared" si="377"/>
        <v>-1.013014025162684E-2</v>
      </c>
      <c r="AS285" s="978">
        <f t="shared" si="378"/>
        <v>-1.591449448124338E-2</v>
      </c>
      <c r="AT285" s="979">
        <f t="shared" si="379"/>
        <v>8.6209791154141513E-3</v>
      </c>
      <c r="AU285" s="979">
        <f t="shared" si="380"/>
        <v>3.6474030788583134E-2</v>
      </c>
      <c r="AV285" s="1352">
        <f t="shared" si="381"/>
        <v>-0.13134414204363132</v>
      </c>
      <c r="AW285" s="1345">
        <f t="shared" si="382"/>
        <v>0</v>
      </c>
      <c r="AX285" s="979">
        <f t="shared" si="383"/>
        <v>5.155983470132508E-2</v>
      </c>
      <c r="AY285" s="979">
        <f t="shared" si="384"/>
        <v>5.155983470132508E-2</v>
      </c>
      <c r="AZ285" s="979">
        <f t="shared" si="385"/>
        <v>5.155983470132508E-2</v>
      </c>
      <c r="BA285" s="980">
        <f t="shared" si="386"/>
        <v>5.155983470132508E-2</v>
      </c>
      <c r="BB285" s="1345">
        <f t="shared" si="387"/>
        <v>0</v>
      </c>
      <c r="BC285" s="979">
        <f t="shared" si="388"/>
        <v>0</v>
      </c>
      <c r="BD285" s="979">
        <f t="shared" si="389"/>
        <v>0</v>
      </c>
      <c r="BE285" s="979">
        <f t="shared" si="390"/>
        <v>0</v>
      </c>
      <c r="BF285" s="981">
        <f t="shared" si="391"/>
        <v>0</v>
      </c>
      <c r="BG285" s="951"/>
      <c r="BH285" s="975" t="str">
        <f t="shared" si="392"/>
        <v>Price</v>
      </c>
      <c r="BI285" s="976" t="str">
        <f t="shared" si="393"/>
        <v>Waterways and Drainage</v>
      </c>
      <c r="BJ285" s="977" t="str">
        <f t="shared" si="394"/>
        <v>Price cap - Fixed</v>
      </c>
      <c r="BK285" s="978">
        <f t="shared" ref="BK285:BU285" si="429">IF(V285="","-",IFERROR((V285/U285-1)*(U287/U$13),"-"))</f>
        <v>-6.5427898962471456E-6</v>
      </c>
      <c r="BL285" s="978">
        <f t="shared" si="429"/>
        <v>-1.0816288709006283E-5</v>
      </c>
      <c r="BM285" s="979">
        <f t="shared" si="429"/>
        <v>5.8835457485538749E-6</v>
      </c>
      <c r="BN285" s="979">
        <f t="shared" si="429"/>
        <v>2.5157669060568006E-5</v>
      </c>
      <c r="BO285" s="1352">
        <f t="shared" si="429"/>
        <v>-9.3456968562969812E-5</v>
      </c>
      <c r="BP285" s="1345">
        <f t="shared" si="429"/>
        <v>0</v>
      </c>
      <c r="BQ285" s="979">
        <f t="shared" si="429"/>
        <v>3.2344503398995253E-5</v>
      </c>
      <c r="BR285" s="979">
        <f t="shared" si="429"/>
        <v>3.3058817540823268E-5</v>
      </c>
      <c r="BS285" s="979">
        <f t="shared" si="429"/>
        <v>3.4434456546192916E-5</v>
      </c>
      <c r="BT285" s="980">
        <f t="shared" si="429"/>
        <v>3.5876173920206436E-5</v>
      </c>
      <c r="BU285" s="979">
        <f t="shared" si="429"/>
        <v>0</v>
      </c>
      <c r="BV285" s="979">
        <f>IF(AG285="","-",IFERROR((AG285/AF285-1)*(AF287/AF$13),"-"))</f>
        <v>0</v>
      </c>
      <c r="BW285" s="979">
        <f>IF(AH285="","-",IFERROR((AH285/AG285-1)*(AG287/AG$13),"-"))</f>
        <v>0</v>
      </c>
      <c r="BX285" s="979">
        <f>IF(AI285="","-",IFERROR((AI285/AH285-1)*(AH287/AH$13),"-"))</f>
        <v>0</v>
      </c>
      <c r="BY285" s="981">
        <f>IF(AJ285="","-",IFERROR((AJ285/AI285-1)*(AI287/AI$13),"-"))</f>
        <v>0</v>
      </c>
      <c r="BZ285" s="951"/>
      <c r="CA285" s="975" t="str">
        <f t="shared" si="372"/>
        <v>Price</v>
      </c>
      <c r="CB285" s="976" t="str">
        <f t="shared" si="373"/>
        <v>Waterways and Drainage</v>
      </c>
      <c r="CC285" s="982" t="str">
        <f t="shared" si="374"/>
        <v>Price cap - Fixed</v>
      </c>
      <c r="CD285" s="983">
        <f t="shared" si="397"/>
        <v>-1.302655490218052E-2</v>
      </c>
      <c r="CE285" s="979">
        <f t="shared" si="397"/>
        <v>-5.8628322844477276E-3</v>
      </c>
      <c r="CF285" s="979">
        <f t="shared" si="397"/>
        <v>4.5564339695127742E-3</v>
      </c>
      <c r="CG285" s="980">
        <f t="shared" si="397"/>
        <v>-2.4226493687434569E-2</v>
      </c>
      <c r="CH285" s="979">
        <f t="shared" si="398"/>
        <v>2.5455915532854645E-2</v>
      </c>
      <c r="CI285" s="979">
        <f t="shared" si="398"/>
        <v>3.408441544910934E-2</v>
      </c>
      <c r="CJ285" s="979">
        <f t="shared" si="398"/>
        <v>3.8425853410451571E-2</v>
      </c>
      <c r="CK285" s="981">
        <f t="shared" si="398"/>
        <v>4.103946017666793E-2</v>
      </c>
    </row>
    <row r="286" spans="4:89">
      <c r="E286" s="567" t="s">
        <v>880</v>
      </c>
      <c r="F286" s="554" t="str">
        <f>+F285</f>
        <v>Waterways and Drainage</v>
      </c>
      <c r="G286" s="555" t="str">
        <f>+G285</f>
        <v>ALL</v>
      </c>
      <c r="H286" s="555" t="str">
        <f>+H285</f>
        <v>Koo Wee Rup Longwarry Flood Protection Disctrict average customer charge</v>
      </c>
      <c r="I286" s="556" t="str">
        <f>+I285</f>
        <v>Price cap - Fixed</v>
      </c>
      <c r="J286" s="590" t="s">
        <v>906</v>
      </c>
      <c r="K286" s="557"/>
      <c r="L286" s="558"/>
      <c r="M286" s="558"/>
      <c r="N286" s="557"/>
      <c r="O286" s="558"/>
      <c r="P286" s="558"/>
      <c r="Q286" s="558"/>
      <c r="R286" s="1036"/>
      <c r="S286" s="1139"/>
      <c r="T286" s="593"/>
      <c r="U286" s="1036">
        <v>4434</v>
      </c>
      <c r="V286" s="593">
        <v>4555</v>
      </c>
      <c r="W286" s="593">
        <v>4615</v>
      </c>
      <c r="X286" s="593">
        <v>4651</v>
      </c>
      <c r="Y286" s="593">
        <v>4688</v>
      </c>
      <c r="Z286" s="593">
        <v>4734.2004238287655</v>
      </c>
      <c r="AA286" s="1139">
        <v>4779.8365649350526</v>
      </c>
      <c r="AB286" s="593">
        <v>4825.9126234906707</v>
      </c>
      <c r="AC286" s="593">
        <v>4872.4328401557095</v>
      </c>
      <c r="AD286" s="593">
        <v>4919.4014964688322</v>
      </c>
      <c r="AE286" s="1036">
        <v>4966.8229152413323</v>
      </c>
      <c r="AF286" s="593">
        <v>4966.8229152413323</v>
      </c>
      <c r="AG286" s="593">
        <v>4966.8229152413323</v>
      </c>
      <c r="AH286" s="593">
        <v>4966.8229152413323</v>
      </c>
      <c r="AI286" s="593">
        <v>4966.8229152413323</v>
      </c>
      <c r="AJ286" s="594">
        <v>4966.8229152413323</v>
      </c>
      <c r="AK286" s="548"/>
      <c r="AO286" s="961" t="str">
        <f t="shared" si="375"/>
        <v>Qty</v>
      </c>
      <c r="AP286" s="962" t="str">
        <f t="shared" si="375"/>
        <v>Waterways and Drainage</v>
      </c>
      <c r="AQ286" s="963" t="str">
        <f t="shared" si="376"/>
        <v>Price cap - Fixed</v>
      </c>
      <c r="AR286" s="967">
        <f t="shared" si="377"/>
        <v>2.7289129454217464E-2</v>
      </c>
      <c r="AS286" s="964">
        <f t="shared" si="378"/>
        <v>1.317233809001106E-2</v>
      </c>
      <c r="AT286" s="964">
        <f t="shared" si="379"/>
        <v>7.8006500541711876E-3</v>
      </c>
      <c r="AU286" s="964">
        <f t="shared" si="380"/>
        <v>7.9552784347451944E-3</v>
      </c>
      <c r="AV286" s="1350">
        <f t="shared" si="381"/>
        <v>9.8550392126206532E-3</v>
      </c>
      <c r="AW286" s="1343">
        <f t="shared" si="382"/>
        <v>9.6396723883056534E-3</v>
      </c>
      <c r="AX286" s="964">
        <f t="shared" si="383"/>
        <v>9.6396723883056534E-3</v>
      </c>
      <c r="AY286" s="964">
        <f t="shared" si="384"/>
        <v>9.6396723883056534E-3</v>
      </c>
      <c r="AZ286" s="964">
        <f t="shared" si="385"/>
        <v>9.6396723883056534E-3</v>
      </c>
      <c r="BA286" s="965">
        <f t="shared" si="386"/>
        <v>9.6396723883056534E-3</v>
      </c>
      <c r="BB286" s="1343">
        <f t="shared" si="387"/>
        <v>0</v>
      </c>
      <c r="BC286" s="964">
        <f t="shared" si="388"/>
        <v>0</v>
      </c>
      <c r="BD286" s="964">
        <f t="shared" si="389"/>
        <v>0</v>
      </c>
      <c r="BE286" s="964">
        <f t="shared" si="390"/>
        <v>0</v>
      </c>
      <c r="BF286" s="966">
        <f t="shared" si="391"/>
        <v>0</v>
      </c>
      <c r="BG286" s="951"/>
      <c r="BH286" s="961" t="str">
        <f t="shared" si="392"/>
        <v>Qty</v>
      </c>
      <c r="BI286" s="962" t="str">
        <f t="shared" si="393"/>
        <v>Waterways and Drainage</v>
      </c>
      <c r="BJ286" s="963" t="str">
        <f t="shared" si="394"/>
        <v>Price cap - Fixed</v>
      </c>
      <c r="BK286" s="964">
        <f t="shared" ref="BK286:BU286" si="430">IF(V286="","-",IFERROR((V286/U286-1)*(U287/U$13),"-"))</f>
        <v>1.7625327590282949E-5</v>
      </c>
      <c r="BL286" s="964">
        <f t="shared" si="430"/>
        <v>8.9525816809399873E-6</v>
      </c>
      <c r="BM286" s="964">
        <f t="shared" si="430"/>
        <v>5.3236970937692185E-6</v>
      </c>
      <c r="BN286" s="964">
        <f t="shared" si="430"/>
        <v>5.4870892473073857E-6</v>
      </c>
      <c r="BO286" s="1350">
        <f t="shared" si="430"/>
        <v>7.0122814428584721E-6</v>
      </c>
      <c r="BP286" s="1343">
        <f t="shared" si="430"/>
        <v>6.0194413394989723E-6</v>
      </c>
      <c r="BQ286" s="964">
        <f t="shared" si="430"/>
        <v>6.047157019313328E-6</v>
      </c>
      <c r="BR286" s="964">
        <f t="shared" si="430"/>
        <v>6.1807058242977396E-6</v>
      </c>
      <c r="BS286" s="964">
        <f t="shared" si="430"/>
        <v>6.4378965118388163E-6</v>
      </c>
      <c r="BT286" s="965">
        <f t="shared" si="430"/>
        <v>6.7074412697404839E-6</v>
      </c>
      <c r="BU286" s="964">
        <f t="shared" si="430"/>
        <v>0</v>
      </c>
      <c r="BV286" s="964">
        <f>IF(AG286="","-",IFERROR((AG286/AF286-1)*(AF287/AF$13),"-"))</f>
        <v>0</v>
      </c>
      <c r="BW286" s="964">
        <f>IF(AH286="","-",IFERROR((AH286/AG286-1)*(AG287/AG$13),"-"))</f>
        <v>0</v>
      </c>
      <c r="BX286" s="964">
        <f>IF(AI286="","-",IFERROR((AI286/AH286-1)*(AH287/AH$13),"-"))</f>
        <v>0</v>
      </c>
      <c r="BY286" s="966">
        <f>IF(AJ286="","-",IFERROR((AJ286/AI286-1)*(AI287/AI$13),"-"))</f>
        <v>0</v>
      </c>
      <c r="BZ286" s="951"/>
      <c r="CA286" s="961" t="str">
        <f t="shared" si="372"/>
        <v>Qty</v>
      </c>
      <c r="CB286" s="962" t="str">
        <f t="shared" si="373"/>
        <v>Waterways and Drainage</v>
      </c>
      <c r="CC286" s="962" t="str">
        <f t="shared" si="374"/>
        <v>Price cap - Fixed</v>
      </c>
      <c r="CD286" s="967">
        <f t="shared" si="397"/>
        <v>2.0206316969063609E-2</v>
      </c>
      <c r="CE286" s="964">
        <f t="shared" si="397"/>
        <v>1.6054219128069258E-2</v>
      </c>
      <c r="CF286" s="964">
        <f t="shared" si="397"/>
        <v>1.4023403492649189E-2</v>
      </c>
      <c r="CG286" s="965">
        <f t="shared" si="397"/>
        <v>1.3188356448293082E-2</v>
      </c>
      <c r="CH286" s="964">
        <f t="shared" si="398"/>
        <v>9.6396723883056534E-3</v>
      </c>
      <c r="CI286" s="964">
        <f t="shared" si="398"/>
        <v>9.6396723883056534E-3</v>
      </c>
      <c r="CJ286" s="964">
        <f t="shared" si="398"/>
        <v>9.6396723883056534E-3</v>
      </c>
      <c r="CK286" s="966">
        <f t="shared" si="398"/>
        <v>9.6396723883056534E-3</v>
      </c>
    </row>
    <row r="287" spans="4:89" ht="12.75" thickBot="1">
      <c r="E287" s="568" t="s">
        <v>882</v>
      </c>
      <c r="F287" s="560" t="str">
        <f>+F285</f>
        <v>Waterways and Drainage</v>
      </c>
      <c r="G287" s="561" t="str">
        <f>+G285</f>
        <v>ALL</v>
      </c>
      <c r="H287" s="561" t="str">
        <f>+H285</f>
        <v>Koo Wee Rup Longwarry Flood Protection Disctrict average customer charge</v>
      </c>
      <c r="I287" s="562" t="str">
        <f>+I285</f>
        <v>Price cap - Fixed</v>
      </c>
      <c r="J287" s="563" t="s">
        <v>883</v>
      </c>
      <c r="K287" s="564">
        <f t="shared" ref="K287:AJ287" si="431">K285*K286/10^6</f>
        <v>0</v>
      </c>
      <c r="L287" s="565">
        <f t="shared" si="431"/>
        <v>0</v>
      </c>
      <c r="M287" s="565">
        <f t="shared" si="431"/>
        <v>0</v>
      </c>
      <c r="N287" s="564">
        <f t="shared" si="431"/>
        <v>0</v>
      </c>
      <c r="O287" s="565">
        <f t="shared" si="431"/>
        <v>0</v>
      </c>
      <c r="P287" s="565">
        <f t="shared" si="431"/>
        <v>0</v>
      </c>
      <c r="Q287" s="565">
        <f t="shared" si="431"/>
        <v>0</v>
      </c>
      <c r="R287" s="566">
        <f t="shared" si="431"/>
        <v>0</v>
      </c>
      <c r="S287" s="564">
        <f t="shared" si="431"/>
        <v>0</v>
      </c>
      <c r="T287" s="565">
        <f t="shared" si="431"/>
        <v>0</v>
      </c>
      <c r="U287" s="566">
        <f t="shared" si="431"/>
        <v>1.2454950795540307</v>
      </c>
      <c r="V287" s="565">
        <f t="shared" si="431"/>
        <v>1.2665222081424936</v>
      </c>
      <c r="W287" s="565">
        <f t="shared" si="431"/>
        <v>1.2627837037288021</v>
      </c>
      <c r="X287" s="565">
        <f t="shared" si="431"/>
        <v>1.2836055906787118</v>
      </c>
      <c r="Y287" s="565">
        <f t="shared" si="431"/>
        <v>1.3410077527601383</v>
      </c>
      <c r="Z287" s="565">
        <f t="shared" si="431"/>
        <v>1.1763541213129718</v>
      </c>
      <c r="AA287" s="564">
        <f t="shared" si="431"/>
        <v>1.1876937896550619</v>
      </c>
      <c r="AB287" s="565">
        <f t="shared" si="431"/>
        <v>1.2609703716216478</v>
      </c>
      <c r="AC287" s="565">
        <f t="shared" si="431"/>
        <v>1.3387678642063363</v>
      </c>
      <c r="AD287" s="565">
        <f t="shared" si="431"/>
        <v>1.4213651918931618</v>
      </c>
      <c r="AE287" s="566">
        <f t="shared" si="431"/>
        <v>1.5090584878381208</v>
      </c>
      <c r="AF287" s="565">
        <f t="shared" si="431"/>
        <v>1.5090584878381208</v>
      </c>
      <c r="AG287" s="565">
        <f>AG285*AG286/10^6</f>
        <v>1.5090584878381208</v>
      </c>
      <c r="AH287" s="565">
        <f>AH285*AH286/10^6</f>
        <v>1.5090584878381208</v>
      </c>
      <c r="AI287" s="565">
        <f>AI285*AI286/10^6</f>
        <v>1.5090584878381208</v>
      </c>
      <c r="AJ287" s="566">
        <f t="shared" si="431"/>
        <v>1.5090584878381208</v>
      </c>
      <c r="AK287" s="548"/>
      <c r="AO287" s="984" t="str">
        <f t="shared" si="375"/>
        <v>Rev</v>
      </c>
      <c r="AP287" s="985" t="str">
        <f t="shared" si="375"/>
        <v>Waterways and Drainage</v>
      </c>
      <c r="AQ287" s="986" t="str">
        <f t="shared" si="376"/>
        <v>Price cap - Fixed</v>
      </c>
      <c r="AR287" s="990">
        <f t="shared" si="377"/>
        <v>1.688254649387444E-2</v>
      </c>
      <c r="AS287" s="987">
        <f t="shared" si="378"/>
        <v>-2.9517874930709009E-3</v>
      </c>
      <c r="AT287" s="987">
        <f t="shared" si="379"/>
        <v>1.6488878410788832E-2</v>
      </c>
      <c r="AU287" s="987">
        <f t="shared" si="380"/>
        <v>4.4719470293888897E-2</v>
      </c>
      <c r="AV287" s="1353">
        <f t="shared" si="381"/>
        <v>-0.12278350450119846</v>
      </c>
      <c r="AW287" s="1346">
        <f t="shared" si="382"/>
        <v>9.6396723883056534E-3</v>
      </c>
      <c r="AX287" s="987">
        <f t="shared" si="383"/>
        <v>6.1696527004546642E-2</v>
      </c>
      <c r="AY287" s="987">
        <f t="shared" si="384"/>
        <v>6.1696527004546864E-2</v>
      </c>
      <c r="AZ287" s="987">
        <f t="shared" si="385"/>
        <v>6.1696527004546642E-2</v>
      </c>
      <c r="BA287" s="988">
        <f t="shared" si="386"/>
        <v>6.1696527004546642E-2</v>
      </c>
      <c r="BB287" s="1346">
        <f t="shared" si="387"/>
        <v>0</v>
      </c>
      <c r="BC287" s="987">
        <f t="shared" si="388"/>
        <v>0</v>
      </c>
      <c r="BD287" s="987">
        <f t="shared" si="389"/>
        <v>0</v>
      </c>
      <c r="BE287" s="987">
        <f t="shared" si="390"/>
        <v>0</v>
      </c>
      <c r="BF287" s="989">
        <f t="shared" si="391"/>
        <v>0</v>
      </c>
      <c r="BG287" s="951"/>
      <c r="BH287" s="984" t="str">
        <f t="shared" si="392"/>
        <v>Rev</v>
      </c>
      <c r="BI287" s="985" t="str">
        <f t="shared" si="393"/>
        <v>Waterways and Drainage</v>
      </c>
      <c r="BJ287" s="986" t="str">
        <f t="shared" si="394"/>
        <v>Price cap - Fixed</v>
      </c>
      <c r="BK287" s="987">
        <f t="shared" ref="BK287:BU287" si="432">IF(V287="","-",IFERROR((V287/U287-1)*(U287/U$13),"-"))</f>
        <v>1.0903990653565266E-5</v>
      </c>
      <c r="BL287" s="987">
        <f t="shared" si="432"/>
        <v>-2.0061828398205145E-6</v>
      </c>
      <c r="BM287" s="987">
        <f t="shared" si="432"/>
        <v>1.1253138323785152E-5</v>
      </c>
      <c r="BN287" s="987">
        <f t="shared" si="432"/>
        <v>3.0844894570021329E-5</v>
      </c>
      <c r="BO287" s="1353">
        <f t="shared" si="432"/>
        <v>-8.736570920999191E-5</v>
      </c>
      <c r="BP287" s="1346">
        <f t="shared" si="432"/>
        <v>6.0194413394989723E-6</v>
      </c>
      <c r="BQ287" s="987">
        <f t="shared" si="432"/>
        <v>3.8703450834637294E-5</v>
      </c>
      <c r="BR287" s="987">
        <f t="shared" si="432"/>
        <v>3.9558199535759419E-5</v>
      </c>
      <c r="BS287" s="987">
        <f t="shared" si="432"/>
        <v>4.1204289938006337E-5</v>
      </c>
      <c r="BT287" s="988">
        <f t="shared" si="432"/>
        <v>4.2929449753083539E-5</v>
      </c>
      <c r="BU287" s="987">
        <f t="shared" si="432"/>
        <v>0</v>
      </c>
      <c r="BV287" s="987">
        <f>IF(AG287="","-",IFERROR((AG287/AF287-1)*(AF287/AF$13),"-"))</f>
        <v>0</v>
      </c>
      <c r="BW287" s="987">
        <f>IF(AH287="","-",IFERROR((AH287/AG287-1)*(AG287/AG$13),"-"))</f>
        <v>0</v>
      </c>
      <c r="BX287" s="987">
        <f>IF(AI287="","-",IFERROR((AI287/AH287-1)*(AH287/AH$13),"-"))</f>
        <v>0</v>
      </c>
      <c r="BY287" s="989">
        <f>IF(AJ287="","-",IFERROR((AJ287/AI287-1)*(AI287/AI$13),"-"))</f>
        <v>0</v>
      </c>
      <c r="BZ287" s="951"/>
      <c r="CA287" s="984" t="str">
        <f t="shared" si="372"/>
        <v>Rev</v>
      </c>
      <c r="CB287" s="985" t="str">
        <f t="shared" si="373"/>
        <v>Waterways and Drainage</v>
      </c>
      <c r="CC287" s="985" t="str">
        <f t="shared" si="374"/>
        <v>Price cap - Fixed</v>
      </c>
      <c r="CD287" s="990">
        <f t="shared" si="397"/>
        <v>6.9165433695146383E-3</v>
      </c>
      <c r="CE287" s="987">
        <f t="shared" si="397"/>
        <v>1.0097263649415877E-2</v>
      </c>
      <c r="CF287" s="987">
        <f t="shared" si="397"/>
        <v>1.8643734174203841E-2</v>
      </c>
      <c r="CG287" s="988">
        <f t="shared" si="397"/>
        <v>-1.1357644873383643E-2</v>
      </c>
      <c r="CH287" s="987">
        <f t="shared" si="398"/>
        <v>3.5340974607241282E-2</v>
      </c>
      <c r="CI287" s="987">
        <f t="shared" si="398"/>
        <v>4.405265043589135E-2</v>
      </c>
      <c r="CJ287" s="987">
        <f t="shared" si="398"/>
        <v>4.8435938436875103E-2</v>
      </c>
      <c r="CK287" s="989">
        <f t="shared" si="398"/>
        <v>5.1074739516069556E-2</v>
      </c>
    </row>
    <row r="288" spans="4:89">
      <c r="D288" s="63">
        <f>D285+1</f>
        <v>74</v>
      </c>
      <c r="E288" s="550" t="s">
        <v>857</v>
      </c>
      <c r="F288" s="595" t="s">
        <v>428</v>
      </c>
      <c r="G288" s="595"/>
      <c r="H288" s="595"/>
      <c r="I288" s="589" t="s">
        <v>920</v>
      </c>
      <c r="J288" s="589" t="s">
        <v>879</v>
      </c>
      <c r="K288" s="551"/>
      <c r="L288" s="552"/>
      <c r="M288" s="552"/>
      <c r="N288" s="551"/>
      <c r="O288" s="552"/>
      <c r="P288" s="552"/>
      <c r="Q288" s="552"/>
      <c r="R288" s="1035"/>
      <c r="S288" s="1138"/>
      <c r="T288" s="591"/>
      <c r="U288" s="1035"/>
      <c r="V288" s="591"/>
      <c r="W288" s="591"/>
      <c r="X288" s="591"/>
      <c r="Y288" s="591"/>
      <c r="Z288" s="591"/>
      <c r="AA288" s="1138"/>
      <c r="AB288" s="591"/>
      <c r="AC288" s="591"/>
      <c r="AD288" s="591"/>
      <c r="AE288" s="1035"/>
      <c r="AF288" s="591"/>
      <c r="AG288" s="591"/>
      <c r="AH288" s="591"/>
      <c r="AI288" s="591"/>
      <c r="AJ288" s="592"/>
      <c r="AK288" s="548"/>
      <c r="AM288" s="974"/>
      <c r="AO288" s="975" t="str">
        <f t="shared" si="375"/>
        <v>Price</v>
      </c>
      <c r="AP288" s="976" t="str">
        <f t="shared" si="375"/>
        <v>[Service]</v>
      </c>
      <c r="AQ288" s="977" t="str">
        <f t="shared" si="376"/>
        <v>[Price]</v>
      </c>
      <c r="AR288" s="1341" t="str">
        <f t="shared" si="377"/>
        <v>-</v>
      </c>
      <c r="AS288" s="978" t="str">
        <f t="shared" si="378"/>
        <v>-</v>
      </c>
      <c r="AT288" s="979" t="str">
        <f t="shared" si="379"/>
        <v>-</v>
      </c>
      <c r="AU288" s="979" t="str">
        <f t="shared" si="380"/>
        <v>-</v>
      </c>
      <c r="AV288" s="1352" t="str">
        <f t="shared" si="381"/>
        <v>-</v>
      </c>
      <c r="AW288" s="1345" t="str">
        <f t="shared" si="382"/>
        <v>-</v>
      </c>
      <c r="AX288" s="979" t="str">
        <f t="shared" si="383"/>
        <v>-</v>
      </c>
      <c r="AY288" s="979" t="str">
        <f t="shared" si="384"/>
        <v>-</v>
      </c>
      <c r="AZ288" s="979" t="str">
        <f t="shared" si="385"/>
        <v>-</v>
      </c>
      <c r="BA288" s="980" t="str">
        <f t="shared" si="386"/>
        <v>-</v>
      </c>
      <c r="BB288" s="1345" t="str">
        <f t="shared" si="387"/>
        <v>-</v>
      </c>
      <c r="BC288" s="979" t="str">
        <f t="shared" si="388"/>
        <v>-</v>
      </c>
      <c r="BD288" s="979" t="str">
        <f t="shared" si="389"/>
        <v>-</v>
      </c>
      <c r="BE288" s="979" t="str">
        <f t="shared" si="390"/>
        <v>-</v>
      </c>
      <c r="BF288" s="981" t="str">
        <f t="shared" si="391"/>
        <v>-</v>
      </c>
      <c r="BG288" s="951"/>
      <c r="BH288" s="975" t="str">
        <f t="shared" si="392"/>
        <v>Price</v>
      </c>
      <c r="BI288" s="976" t="str">
        <f t="shared" si="393"/>
        <v>[Service]</v>
      </c>
      <c r="BJ288" s="977" t="str">
        <f t="shared" si="394"/>
        <v>[Price]</v>
      </c>
      <c r="BK288" s="978" t="str">
        <f t="shared" ref="BK288:BU288" si="433">IF(V288="","-",IFERROR((V288/U288-1)*(U290/U$13),"-"))</f>
        <v>-</v>
      </c>
      <c r="BL288" s="978" t="str">
        <f t="shared" si="433"/>
        <v>-</v>
      </c>
      <c r="BM288" s="979" t="str">
        <f t="shared" si="433"/>
        <v>-</v>
      </c>
      <c r="BN288" s="979" t="str">
        <f t="shared" si="433"/>
        <v>-</v>
      </c>
      <c r="BO288" s="1352" t="str">
        <f t="shared" si="433"/>
        <v>-</v>
      </c>
      <c r="BP288" s="1345" t="str">
        <f t="shared" si="433"/>
        <v>-</v>
      </c>
      <c r="BQ288" s="979" t="str">
        <f t="shared" si="433"/>
        <v>-</v>
      </c>
      <c r="BR288" s="979" t="str">
        <f t="shared" si="433"/>
        <v>-</v>
      </c>
      <c r="BS288" s="979" t="str">
        <f t="shared" si="433"/>
        <v>-</v>
      </c>
      <c r="BT288" s="980" t="str">
        <f t="shared" si="433"/>
        <v>-</v>
      </c>
      <c r="BU288" s="979" t="str">
        <f t="shared" si="433"/>
        <v>-</v>
      </c>
      <c r="BV288" s="979" t="str">
        <f>IF(AG288="","-",IFERROR((AG288/AF288-1)*(AF290/AF$13),"-"))</f>
        <v>-</v>
      </c>
      <c r="BW288" s="979" t="str">
        <f>IF(AH288="","-",IFERROR((AH288/AG288-1)*(AG290/AG$13),"-"))</f>
        <v>-</v>
      </c>
      <c r="BX288" s="979" t="str">
        <f>IF(AI288="","-",IFERROR((AI288/AH288-1)*(AH290/AH$13),"-"))</f>
        <v>-</v>
      </c>
      <c r="BY288" s="981" t="str">
        <f>IF(AJ288="","-",IFERROR((AJ288/AI288-1)*(AI290/AI$13),"-"))</f>
        <v>-</v>
      </c>
      <c r="BZ288" s="951"/>
      <c r="CA288" s="975" t="str">
        <f t="shared" si="372"/>
        <v>Price</v>
      </c>
      <c r="CB288" s="976" t="str">
        <f t="shared" si="373"/>
        <v>[Service]</v>
      </c>
      <c r="CC288" s="982" t="str">
        <f t="shared" si="374"/>
        <v>[Price]</v>
      </c>
      <c r="CD288" s="983" t="str">
        <f t="shared" si="397"/>
        <v>-</v>
      </c>
      <c r="CE288" s="979" t="str">
        <f t="shared" si="397"/>
        <v>-</v>
      </c>
      <c r="CF288" s="979" t="str">
        <f t="shared" si="397"/>
        <v>-</v>
      </c>
      <c r="CG288" s="980" t="str">
        <f t="shared" si="397"/>
        <v>-</v>
      </c>
      <c r="CH288" s="979" t="str">
        <f t="shared" si="398"/>
        <v>-</v>
      </c>
      <c r="CI288" s="979" t="str">
        <f t="shared" si="398"/>
        <v>-</v>
      </c>
      <c r="CJ288" s="979" t="str">
        <f t="shared" si="398"/>
        <v>-</v>
      </c>
      <c r="CK288" s="981" t="str">
        <f t="shared" si="398"/>
        <v>-</v>
      </c>
    </row>
    <row r="289" spans="4:89">
      <c r="E289" s="567" t="s">
        <v>880</v>
      </c>
      <c r="F289" s="554" t="str">
        <f>+F288</f>
        <v>[Service]</v>
      </c>
      <c r="G289" s="555">
        <f>+G288</f>
        <v>0</v>
      </c>
      <c r="H289" s="555">
        <f>+H288</f>
        <v>0</v>
      </c>
      <c r="I289" s="556" t="str">
        <f>+I288</f>
        <v>[Price]</v>
      </c>
      <c r="J289" s="590" t="s">
        <v>916</v>
      </c>
      <c r="K289" s="557"/>
      <c r="L289" s="558"/>
      <c r="M289" s="558"/>
      <c r="N289" s="557"/>
      <c r="O289" s="558"/>
      <c r="P289" s="558"/>
      <c r="Q289" s="558"/>
      <c r="R289" s="1036"/>
      <c r="S289" s="1139"/>
      <c r="T289" s="593"/>
      <c r="U289" s="1036"/>
      <c r="V289" s="593"/>
      <c r="W289" s="593"/>
      <c r="X289" s="593"/>
      <c r="Y289" s="593"/>
      <c r="Z289" s="593"/>
      <c r="AA289" s="1139"/>
      <c r="AB289" s="593"/>
      <c r="AC289" s="593"/>
      <c r="AD289" s="593"/>
      <c r="AE289" s="1036"/>
      <c r="AF289" s="593"/>
      <c r="AG289" s="593"/>
      <c r="AH289" s="593"/>
      <c r="AI289" s="593"/>
      <c r="AJ289" s="594"/>
      <c r="AK289" s="548"/>
      <c r="AO289" s="961" t="str">
        <f t="shared" si="375"/>
        <v>Qty</v>
      </c>
      <c r="AP289" s="962" t="str">
        <f t="shared" si="375"/>
        <v>[Service]</v>
      </c>
      <c r="AQ289" s="963" t="str">
        <f t="shared" si="376"/>
        <v>[Price]</v>
      </c>
      <c r="AR289" s="967" t="str">
        <f t="shared" si="377"/>
        <v>-</v>
      </c>
      <c r="AS289" s="964" t="str">
        <f t="shared" si="378"/>
        <v>-</v>
      </c>
      <c r="AT289" s="964" t="str">
        <f t="shared" si="379"/>
        <v>-</v>
      </c>
      <c r="AU289" s="964" t="str">
        <f t="shared" si="380"/>
        <v>-</v>
      </c>
      <c r="AV289" s="1350" t="str">
        <f t="shared" si="381"/>
        <v>-</v>
      </c>
      <c r="AW289" s="1343" t="str">
        <f t="shared" si="382"/>
        <v>-</v>
      </c>
      <c r="AX289" s="964" t="str">
        <f t="shared" si="383"/>
        <v>-</v>
      </c>
      <c r="AY289" s="964" t="str">
        <f t="shared" si="384"/>
        <v>-</v>
      </c>
      <c r="AZ289" s="964" t="str">
        <f t="shared" si="385"/>
        <v>-</v>
      </c>
      <c r="BA289" s="965" t="str">
        <f t="shared" si="386"/>
        <v>-</v>
      </c>
      <c r="BB289" s="1343" t="str">
        <f t="shared" si="387"/>
        <v>-</v>
      </c>
      <c r="BC289" s="964" t="str">
        <f t="shared" si="388"/>
        <v>-</v>
      </c>
      <c r="BD289" s="964" t="str">
        <f t="shared" si="389"/>
        <v>-</v>
      </c>
      <c r="BE289" s="964" t="str">
        <f t="shared" si="390"/>
        <v>-</v>
      </c>
      <c r="BF289" s="966" t="str">
        <f t="shared" si="391"/>
        <v>-</v>
      </c>
      <c r="BG289" s="951"/>
      <c r="BH289" s="961" t="str">
        <f t="shared" si="392"/>
        <v>Qty</v>
      </c>
      <c r="BI289" s="962" t="str">
        <f t="shared" si="393"/>
        <v>[Service]</v>
      </c>
      <c r="BJ289" s="963" t="str">
        <f t="shared" si="394"/>
        <v>[Price]</v>
      </c>
      <c r="BK289" s="964" t="str">
        <f t="shared" ref="BK289:BU289" si="434">IF(V289="","-",IFERROR((V289/U289-1)*(U290/U$13),"-"))</f>
        <v>-</v>
      </c>
      <c r="BL289" s="964" t="str">
        <f t="shared" si="434"/>
        <v>-</v>
      </c>
      <c r="BM289" s="964" t="str">
        <f t="shared" si="434"/>
        <v>-</v>
      </c>
      <c r="BN289" s="964" t="str">
        <f t="shared" si="434"/>
        <v>-</v>
      </c>
      <c r="BO289" s="1350" t="str">
        <f t="shared" si="434"/>
        <v>-</v>
      </c>
      <c r="BP289" s="1343" t="str">
        <f t="shared" si="434"/>
        <v>-</v>
      </c>
      <c r="BQ289" s="964" t="str">
        <f t="shared" si="434"/>
        <v>-</v>
      </c>
      <c r="BR289" s="964" t="str">
        <f t="shared" si="434"/>
        <v>-</v>
      </c>
      <c r="BS289" s="964" t="str">
        <f t="shared" si="434"/>
        <v>-</v>
      </c>
      <c r="BT289" s="965" t="str">
        <f t="shared" si="434"/>
        <v>-</v>
      </c>
      <c r="BU289" s="964" t="str">
        <f t="shared" si="434"/>
        <v>-</v>
      </c>
      <c r="BV289" s="964" t="str">
        <f>IF(AG289="","-",IFERROR((AG289/AF289-1)*(AF290/AF$13),"-"))</f>
        <v>-</v>
      </c>
      <c r="BW289" s="964" t="str">
        <f>IF(AH289="","-",IFERROR((AH289/AG289-1)*(AG290/AG$13),"-"))</f>
        <v>-</v>
      </c>
      <c r="BX289" s="964" t="str">
        <f>IF(AI289="","-",IFERROR((AI289/AH289-1)*(AH290/AH$13),"-"))</f>
        <v>-</v>
      </c>
      <c r="BY289" s="966" t="str">
        <f>IF(AJ289="","-",IFERROR((AJ289/AI289-1)*(AI290/AI$13),"-"))</f>
        <v>-</v>
      </c>
      <c r="BZ289" s="951"/>
      <c r="CA289" s="961" t="str">
        <f t="shared" si="372"/>
        <v>Qty</v>
      </c>
      <c r="CB289" s="962" t="str">
        <f t="shared" si="373"/>
        <v>[Service]</v>
      </c>
      <c r="CC289" s="962" t="str">
        <f t="shared" si="374"/>
        <v>[Price]</v>
      </c>
      <c r="CD289" s="967" t="str">
        <f t="shared" si="397"/>
        <v>-</v>
      </c>
      <c r="CE289" s="964" t="str">
        <f t="shared" si="397"/>
        <v>-</v>
      </c>
      <c r="CF289" s="964" t="str">
        <f t="shared" si="397"/>
        <v>-</v>
      </c>
      <c r="CG289" s="965" t="str">
        <f t="shared" si="397"/>
        <v>-</v>
      </c>
      <c r="CH289" s="964" t="str">
        <f t="shared" si="398"/>
        <v>-</v>
      </c>
      <c r="CI289" s="964" t="str">
        <f t="shared" si="398"/>
        <v>-</v>
      </c>
      <c r="CJ289" s="964" t="str">
        <f t="shared" si="398"/>
        <v>-</v>
      </c>
      <c r="CK289" s="966" t="str">
        <f t="shared" si="398"/>
        <v>-</v>
      </c>
    </row>
    <row r="290" spans="4:89" ht="12.75" thickBot="1">
      <c r="E290" s="568" t="s">
        <v>882</v>
      </c>
      <c r="F290" s="560" t="str">
        <f>+F288</f>
        <v>[Service]</v>
      </c>
      <c r="G290" s="561">
        <f>+G288</f>
        <v>0</v>
      </c>
      <c r="H290" s="561">
        <f>+H288</f>
        <v>0</v>
      </c>
      <c r="I290" s="562" t="str">
        <f>+I288</f>
        <v>[Price]</v>
      </c>
      <c r="J290" s="563" t="s">
        <v>883</v>
      </c>
      <c r="K290" s="564">
        <f t="shared" ref="K290:AJ290" si="435">K288*K289/10^6</f>
        <v>0</v>
      </c>
      <c r="L290" s="565">
        <f t="shared" si="435"/>
        <v>0</v>
      </c>
      <c r="M290" s="565">
        <f t="shared" si="435"/>
        <v>0</v>
      </c>
      <c r="N290" s="564">
        <f t="shared" si="435"/>
        <v>0</v>
      </c>
      <c r="O290" s="565">
        <f t="shared" si="435"/>
        <v>0</v>
      </c>
      <c r="P290" s="565">
        <f t="shared" si="435"/>
        <v>0</v>
      </c>
      <c r="Q290" s="565">
        <f t="shared" si="435"/>
        <v>0</v>
      </c>
      <c r="R290" s="566">
        <f t="shared" si="435"/>
        <v>0</v>
      </c>
      <c r="S290" s="564">
        <f t="shared" si="435"/>
        <v>0</v>
      </c>
      <c r="T290" s="565">
        <f t="shared" si="435"/>
        <v>0</v>
      </c>
      <c r="U290" s="566">
        <f t="shared" si="435"/>
        <v>0</v>
      </c>
      <c r="V290" s="565">
        <f t="shared" si="435"/>
        <v>0</v>
      </c>
      <c r="W290" s="565">
        <f t="shared" si="435"/>
        <v>0</v>
      </c>
      <c r="X290" s="565">
        <f t="shared" si="435"/>
        <v>0</v>
      </c>
      <c r="Y290" s="565">
        <f t="shared" si="435"/>
        <v>0</v>
      </c>
      <c r="Z290" s="565">
        <f t="shared" si="435"/>
        <v>0</v>
      </c>
      <c r="AA290" s="564">
        <f t="shared" si="435"/>
        <v>0</v>
      </c>
      <c r="AB290" s="565">
        <f t="shared" si="435"/>
        <v>0</v>
      </c>
      <c r="AC290" s="565">
        <f t="shared" si="435"/>
        <v>0</v>
      </c>
      <c r="AD290" s="565">
        <f t="shared" si="435"/>
        <v>0</v>
      </c>
      <c r="AE290" s="566">
        <f t="shared" si="435"/>
        <v>0</v>
      </c>
      <c r="AF290" s="565">
        <f t="shared" si="435"/>
        <v>0</v>
      </c>
      <c r="AG290" s="565">
        <f>AG288*AG289/10^6</f>
        <v>0</v>
      </c>
      <c r="AH290" s="565">
        <f>AH288*AH289/10^6</f>
        <v>0</v>
      </c>
      <c r="AI290" s="565">
        <f>AI288*AI289/10^6</f>
        <v>0</v>
      </c>
      <c r="AJ290" s="566">
        <f t="shared" si="435"/>
        <v>0</v>
      </c>
      <c r="AK290" s="548"/>
      <c r="AO290" s="984" t="str">
        <f t="shared" si="375"/>
        <v>Rev</v>
      </c>
      <c r="AP290" s="985" t="str">
        <f t="shared" si="375"/>
        <v>[Service]</v>
      </c>
      <c r="AQ290" s="986" t="str">
        <f t="shared" si="376"/>
        <v>[Price]</v>
      </c>
      <c r="AR290" s="990" t="str">
        <f t="shared" si="377"/>
        <v>-</v>
      </c>
      <c r="AS290" s="987" t="str">
        <f t="shared" si="378"/>
        <v>-</v>
      </c>
      <c r="AT290" s="987" t="str">
        <f t="shared" si="379"/>
        <v>-</v>
      </c>
      <c r="AU290" s="987" t="str">
        <f t="shared" si="380"/>
        <v>-</v>
      </c>
      <c r="AV290" s="1353" t="str">
        <f t="shared" si="381"/>
        <v>-</v>
      </c>
      <c r="AW290" s="1346" t="str">
        <f t="shared" si="382"/>
        <v>-</v>
      </c>
      <c r="AX290" s="987" t="str">
        <f t="shared" si="383"/>
        <v>-</v>
      </c>
      <c r="AY290" s="987" t="str">
        <f t="shared" si="384"/>
        <v>-</v>
      </c>
      <c r="AZ290" s="987" t="str">
        <f t="shared" si="385"/>
        <v>-</v>
      </c>
      <c r="BA290" s="988" t="str">
        <f t="shared" si="386"/>
        <v>-</v>
      </c>
      <c r="BB290" s="1346" t="str">
        <f t="shared" si="387"/>
        <v>-</v>
      </c>
      <c r="BC290" s="987" t="str">
        <f t="shared" si="388"/>
        <v>-</v>
      </c>
      <c r="BD290" s="987" t="str">
        <f t="shared" si="389"/>
        <v>-</v>
      </c>
      <c r="BE290" s="987" t="str">
        <f t="shared" si="390"/>
        <v>-</v>
      </c>
      <c r="BF290" s="989" t="str">
        <f t="shared" si="391"/>
        <v>-</v>
      </c>
      <c r="BG290" s="951"/>
      <c r="BH290" s="984" t="str">
        <f t="shared" si="392"/>
        <v>Rev</v>
      </c>
      <c r="BI290" s="985" t="str">
        <f t="shared" si="393"/>
        <v>[Service]</v>
      </c>
      <c r="BJ290" s="986" t="str">
        <f t="shared" si="394"/>
        <v>[Price]</v>
      </c>
      <c r="BK290" s="987" t="str">
        <f t="shared" ref="BK290:BU290" si="436">IF(V290="","-",IFERROR((V290/U290-1)*(U290/U$13),"-"))</f>
        <v>-</v>
      </c>
      <c r="BL290" s="987" t="str">
        <f t="shared" si="436"/>
        <v>-</v>
      </c>
      <c r="BM290" s="987" t="str">
        <f t="shared" si="436"/>
        <v>-</v>
      </c>
      <c r="BN290" s="987" t="str">
        <f t="shared" si="436"/>
        <v>-</v>
      </c>
      <c r="BO290" s="1353" t="str">
        <f t="shared" si="436"/>
        <v>-</v>
      </c>
      <c r="BP290" s="1346" t="str">
        <f t="shared" si="436"/>
        <v>-</v>
      </c>
      <c r="BQ290" s="987" t="str">
        <f t="shared" si="436"/>
        <v>-</v>
      </c>
      <c r="BR290" s="987" t="str">
        <f t="shared" si="436"/>
        <v>-</v>
      </c>
      <c r="BS290" s="987" t="str">
        <f t="shared" si="436"/>
        <v>-</v>
      </c>
      <c r="BT290" s="988" t="str">
        <f t="shared" si="436"/>
        <v>-</v>
      </c>
      <c r="BU290" s="987" t="str">
        <f t="shared" si="436"/>
        <v>-</v>
      </c>
      <c r="BV290" s="987" t="str">
        <f>IF(AG290="","-",IFERROR((AG290/AF290-1)*(AF290/AF$13),"-"))</f>
        <v>-</v>
      </c>
      <c r="BW290" s="987" t="str">
        <f>IF(AH290="","-",IFERROR((AH290/AG290-1)*(AG290/AG$13),"-"))</f>
        <v>-</v>
      </c>
      <c r="BX290" s="987" t="str">
        <f>IF(AI290="","-",IFERROR((AI290/AH290-1)*(AH290/AH$13),"-"))</f>
        <v>-</v>
      </c>
      <c r="BY290" s="989" t="str">
        <f>IF(AJ290="","-",IFERROR((AJ290/AI290-1)*(AI290/AI$13),"-"))</f>
        <v>-</v>
      </c>
      <c r="BZ290" s="951"/>
      <c r="CA290" s="984" t="str">
        <f t="shared" si="372"/>
        <v>Rev</v>
      </c>
      <c r="CB290" s="985" t="str">
        <f t="shared" si="373"/>
        <v>[Service]</v>
      </c>
      <c r="CC290" s="985" t="str">
        <f t="shared" si="374"/>
        <v>[Price]</v>
      </c>
      <c r="CD290" s="990" t="str">
        <f t="shared" si="397"/>
        <v>-</v>
      </c>
      <c r="CE290" s="987" t="str">
        <f t="shared" si="397"/>
        <v>-</v>
      </c>
      <c r="CF290" s="987" t="str">
        <f t="shared" si="397"/>
        <v>-</v>
      </c>
      <c r="CG290" s="988" t="str">
        <f t="shared" si="397"/>
        <v>-</v>
      </c>
      <c r="CH290" s="987" t="str">
        <f t="shared" si="398"/>
        <v>-</v>
      </c>
      <c r="CI290" s="987" t="str">
        <f t="shared" si="398"/>
        <v>-</v>
      </c>
      <c r="CJ290" s="987" t="str">
        <f t="shared" si="398"/>
        <v>-</v>
      </c>
      <c r="CK290" s="989" t="str">
        <f t="shared" si="398"/>
        <v>-</v>
      </c>
    </row>
    <row r="291" spans="4:89">
      <c r="D291" s="63">
        <f>D288+1</f>
        <v>75</v>
      </c>
      <c r="E291" s="550" t="s">
        <v>857</v>
      </c>
      <c r="F291" s="595" t="s">
        <v>428</v>
      </c>
      <c r="G291" s="595"/>
      <c r="H291" s="595"/>
      <c r="I291" s="589" t="s">
        <v>920</v>
      </c>
      <c r="J291" s="589" t="s">
        <v>879</v>
      </c>
      <c r="K291" s="551"/>
      <c r="L291" s="552"/>
      <c r="M291" s="552"/>
      <c r="N291" s="551"/>
      <c r="O291" s="552"/>
      <c r="P291" s="552"/>
      <c r="Q291" s="552"/>
      <c r="R291" s="1035"/>
      <c r="S291" s="1138"/>
      <c r="T291" s="591"/>
      <c r="U291" s="1035"/>
      <c r="V291" s="591"/>
      <c r="W291" s="591"/>
      <c r="X291" s="591"/>
      <c r="Y291" s="591"/>
      <c r="Z291" s="591"/>
      <c r="AA291" s="1138"/>
      <c r="AB291" s="591"/>
      <c r="AC291" s="591"/>
      <c r="AD291" s="591"/>
      <c r="AE291" s="1035"/>
      <c r="AF291" s="591"/>
      <c r="AG291" s="591"/>
      <c r="AH291" s="591"/>
      <c r="AI291" s="591"/>
      <c r="AJ291" s="592"/>
      <c r="AK291" s="548"/>
      <c r="AM291" s="974"/>
      <c r="AO291" s="975" t="str">
        <f t="shared" si="375"/>
        <v>Price</v>
      </c>
      <c r="AP291" s="976" t="str">
        <f t="shared" si="375"/>
        <v>[Service]</v>
      </c>
      <c r="AQ291" s="977" t="str">
        <f t="shared" si="376"/>
        <v>[Price]</v>
      </c>
      <c r="AR291" s="1341" t="str">
        <f t="shared" si="377"/>
        <v>-</v>
      </c>
      <c r="AS291" s="978" t="str">
        <f t="shared" si="378"/>
        <v>-</v>
      </c>
      <c r="AT291" s="979" t="str">
        <f t="shared" si="379"/>
        <v>-</v>
      </c>
      <c r="AU291" s="979" t="str">
        <f t="shared" si="380"/>
        <v>-</v>
      </c>
      <c r="AV291" s="1352" t="str">
        <f t="shared" si="381"/>
        <v>-</v>
      </c>
      <c r="AW291" s="1345" t="str">
        <f t="shared" si="382"/>
        <v>-</v>
      </c>
      <c r="AX291" s="979" t="str">
        <f t="shared" si="383"/>
        <v>-</v>
      </c>
      <c r="AY291" s="979" t="str">
        <f t="shared" si="384"/>
        <v>-</v>
      </c>
      <c r="AZ291" s="979" t="str">
        <f t="shared" si="385"/>
        <v>-</v>
      </c>
      <c r="BA291" s="980" t="str">
        <f t="shared" si="386"/>
        <v>-</v>
      </c>
      <c r="BB291" s="1345" t="str">
        <f t="shared" si="387"/>
        <v>-</v>
      </c>
      <c r="BC291" s="979" t="str">
        <f t="shared" si="388"/>
        <v>-</v>
      </c>
      <c r="BD291" s="979" t="str">
        <f t="shared" si="389"/>
        <v>-</v>
      </c>
      <c r="BE291" s="979" t="str">
        <f t="shared" si="390"/>
        <v>-</v>
      </c>
      <c r="BF291" s="981" t="str">
        <f t="shared" si="391"/>
        <v>-</v>
      </c>
      <c r="BG291" s="951"/>
      <c r="BH291" s="975" t="str">
        <f t="shared" si="392"/>
        <v>Price</v>
      </c>
      <c r="BI291" s="976" t="str">
        <f t="shared" si="393"/>
        <v>[Service]</v>
      </c>
      <c r="BJ291" s="977" t="str">
        <f t="shared" si="394"/>
        <v>[Price]</v>
      </c>
      <c r="BK291" s="978" t="str">
        <f t="shared" ref="BK291:BU291" si="437">IF(V291="","-",IFERROR((V291/U291-1)*(U293/U$13),"-"))</f>
        <v>-</v>
      </c>
      <c r="BL291" s="978" t="str">
        <f t="shared" si="437"/>
        <v>-</v>
      </c>
      <c r="BM291" s="979" t="str">
        <f t="shared" si="437"/>
        <v>-</v>
      </c>
      <c r="BN291" s="979" t="str">
        <f t="shared" si="437"/>
        <v>-</v>
      </c>
      <c r="BO291" s="1352" t="str">
        <f t="shared" si="437"/>
        <v>-</v>
      </c>
      <c r="BP291" s="1345" t="str">
        <f t="shared" si="437"/>
        <v>-</v>
      </c>
      <c r="BQ291" s="979" t="str">
        <f t="shared" si="437"/>
        <v>-</v>
      </c>
      <c r="BR291" s="979" t="str">
        <f t="shared" si="437"/>
        <v>-</v>
      </c>
      <c r="BS291" s="979" t="str">
        <f t="shared" si="437"/>
        <v>-</v>
      </c>
      <c r="BT291" s="980" t="str">
        <f t="shared" si="437"/>
        <v>-</v>
      </c>
      <c r="BU291" s="979" t="str">
        <f t="shared" si="437"/>
        <v>-</v>
      </c>
      <c r="BV291" s="979" t="str">
        <f>IF(AG291="","-",IFERROR((AG291/AF291-1)*(AF293/AF$13),"-"))</f>
        <v>-</v>
      </c>
      <c r="BW291" s="979" t="str">
        <f>IF(AH291="","-",IFERROR((AH291/AG291-1)*(AG293/AG$13),"-"))</f>
        <v>-</v>
      </c>
      <c r="BX291" s="979" t="str">
        <f>IF(AI291="","-",IFERROR((AI291/AH291-1)*(AH293/AH$13),"-"))</f>
        <v>-</v>
      </c>
      <c r="BY291" s="981" t="str">
        <f>IF(AJ291="","-",IFERROR((AJ291/AI291-1)*(AI293/AI$13),"-"))</f>
        <v>-</v>
      </c>
      <c r="BZ291" s="951"/>
      <c r="CA291" s="975" t="str">
        <f t="shared" si="372"/>
        <v>Price</v>
      </c>
      <c r="CB291" s="976" t="str">
        <f t="shared" si="373"/>
        <v>[Service]</v>
      </c>
      <c r="CC291" s="982" t="str">
        <f t="shared" si="374"/>
        <v>[Price]</v>
      </c>
      <c r="CD291" s="983" t="str">
        <f t="shared" si="397"/>
        <v>-</v>
      </c>
      <c r="CE291" s="979" t="str">
        <f t="shared" si="397"/>
        <v>-</v>
      </c>
      <c r="CF291" s="979" t="str">
        <f t="shared" si="397"/>
        <v>-</v>
      </c>
      <c r="CG291" s="980" t="str">
        <f t="shared" si="397"/>
        <v>-</v>
      </c>
      <c r="CH291" s="979" t="str">
        <f t="shared" si="398"/>
        <v>-</v>
      </c>
      <c r="CI291" s="979" t="str">
        <f t="shared" si="398"/>
        <v>-</v>
      </c>
      <c r="CJ291" s="979" t="str">
        <f t="shared" si="398"/>
        <v>-</v>
      </c>
      <c r="CK291" s="981" t="str">
        <f t="shared" si="398"/>
        <v>-</v>
      </c>
    </row>
    <row r="292" spans="4:89">
      <c r="E292" s="567" t="s">
        <v>880</v>
      </c>
      <c r="F292" s="554" t="str">
        <f>+F291</f>
        <v>[Service]</v>
      </c>
      <c r="G292" s="555">
        <f>+G291</f>
        <v>0</v>
      </c>
      <c r="H292" s="555">
        <f>+H291</f>
        <v>0</v>
      </c>
      <c r="I292" s="556" t="str">
        <f>+I291</f>
        <v>[Price]</v>
      </c>
      <c r="J292" s="590" t="s">
        <v>916</v>
      </c>
      <c r="K292" s="557"/>
      <c r="L292" s="558"/>
      <c r="M292" s="558"/>
      <c r="N292" s="557"/>
      <c r="O292" s="558"/>
      <c r="P292" s="558"/>
      <c r="Q292" s="558"/>
      <c r="R292" s="1036"/>
      <c r="S292" s="1139"/>
      <c r="T292" s="593"/>
      <c r="U292" s="1036"/>
      <c r="V292" s="593"/>
      <c r="W292" s="593"/>
      <c r="X292" s="593"/>
      <c r="Y292" s="593"/>
      <c r="Z292" s="593"/>
      <c r="AA292" s="1139"/>
      <c r="AB292" s="593"/>
      <c r="AC292" s="593"/>
      <c r="AD292" s="593"/>
      <c r="AE292" s="1036"/>
      <c r="AF292" s="593"/>
      <c r="AG292" s="593"/>
      <c r="AH292" s="593"/>
      <c r="AI292" s="593"/>
      <c r="AJ292" s="594"/>
      <c r="AK292" s="548"/>
      <c r="AO292" s="961" t="str">
        <f t="shared" si="375"/>
        <v>Qty</v>
      </c>
      <c r="AP292" s="962" t="str">
        <f t="shared" si="375"/>
        <v>[Service]</v>
      </c>
      <c r="AQ292" s="963" t="str">
        <f t="shared" si="376"/>
        <v>[Price]</v>
      </c>
      <c r="AR292" s="967" t="str">
        <f t="shared" si="377"/>
        <v>-</v>
      </c>
      <c r="AS292" s="964" t="str">
        <f t="shared" si="378"/>
        <v>-</v>
      </c>
      <c r="AT292" s="964" t="str">
        <f t="shared" si="379"/>
        <v>-</v>
      </c>
      <c r="AU292" s="964" t="str">
        <f t="shared" si="380"/>
        <v>-</v>
      </c>
      <c r="AV292" s="1350" t="str">
        <f t="shared" si="381"/>
        <v>-</v>
      </c>
      <c r="AW292" s="1343" t="str">
        <f t="shared" si="382"/>
        <v>-</v>
      </c>
      <c r="AX292" s="964" t="str">
        <f t="shared" si="383"/>
        <v>-</v>
      </c>
      <c r="AY292" s="964" t="str">
        <f t="shared" si="384"/>
        <v>-</v>
      </c>
      <c r="AZ292" s="964" t="str">
        <f t="shared" si="385"/>
        <v>-</v>
      </c>
      <c r="BA292" s="965" t="str">
        <f t="shared" si="386"/>
        <v>-</v>
      </c>
      <c r="BB292" s="1343" t="str">
        <f t="shared" si="387"/>
        <v>-</v>
      </c>
      <c r="BC292" s="964" t="str">
        <f t="shared" si="388"/>
        <v>-</v>
      </c>
      <c r="BD292" s="964" t="str">
        <f t="shared" si="389"/>
        <v>-</v>
      </c>
      <c r="BE292" s="964" t="str">
        <f t="shared" si="390"/>
        <v>-</v>
      </c>
      <c r="BF292" s="966" t="str">
        <f t="shared" si="391"/>
        <v>-</v>
      </c>
      <c r="BG292" s="951"/>
      <c r="BH292" s="961" t="str">
        <f t="shared" si="392"/>
        <v>Qty</v>
      </c>
      <c r="BI292" s="962" t="str">
        <f t="shared" si="393"/>
        <v>[Service]</v>
      </c>
      <c r="BJ292" s="963" t="str">
        <f t="shared" si="394"/>
        <v>[Price]</v>
      </c>
      <c r="BK292" s="964" t="str">
        <f t="shared" ref="BK292:BU292" si="438">IF(V292="","-",IFERROR((V292/U292-1)*(U293/U$13),"-"))</f>
        <v>-</v>
      </c>
      <c r="BL292" s="964" t="str">
        <f t="shared" si="438"/>
        <v>-</v>
      </c>
      <c r="BM292" s="964" t="str">
        <f t="shared" si="438"/>
        <v>-</v>
      </c>
      <c r="BN292" s="964" t="str">
        <f t="shared" si="438"/>
        <v>-</v>
      </c>
      <c r="BO292" s="1350" t="str">
        <f t="shared" si="438"/>
        <v>-</v>
      </c>
      <c r="BP292" s="1343" t="str">
        <f t="shared" si="438"/>
        <v>-</v>
      </c>
      <c r="BQ292" s="964" t="str">
        <f t="shared" si="438"/>
        <v>-</v>
      </c>
      <c r="BR292" s="964" t="str">
        <f t="shared" si="438"/>
        <v>-</v>
      </c>
      <c r="BS292" s="964" t="str">
        <f t="shared" si="438"/>
        <v>-</v>
      </c>
      <c r="BT292" s="965" t="str">
        <f t="shared" si="438"/>
        <v>-</v>
      </c>
      <c r="BU292" s="964" t="str">
        <f t="shared" si="438"/>
        <v>-</v>
      </c>
      <c r="BV292" s="964" t="str">
        <f>IF(AG292="","-",IFERROR((AG292/AF292-1)*(AF293/AF$13),"-"))</f>
        <v>-</v>
      </c>
      <c r="BW292" s="964" t="str">
        <f>IF(AH292="","-",IFERROR((AH292/AG292-1)*(AG293/AG$13),"-"))</f>
        <v>-</v>
      </c>
      <c r="BX292" s="964" t="str">
        <f>IF(AI292="","-",IFERROR((AI292/AH292-1)*(AH293/AH$13),"-"))</f>
        <v>-</v>
      </c>
      <c r="BY292" s="966" t="str">
        <f>IF(AJ292="","-",IFERROR((AJ292/AI292-1)*(AI293/AI$13),"-"))</f>
        <v>-</v>
      </c>
      <c r="BZ292" s="951"/>
      <c r="CA292" s="961" t="str">
        <f t="shared" si="372"/>
        <v>Qty</v>
      </c>
      <c r="CB292" s="962" t="str">
        <f t="shared" si="373"/>
        <v>[Service]</v>
      </c>
      <c r="CC292" s="962" t="str">
        <f t="shared" si="374"/>
        <v>[Price]</v>
      </c>
      <c r="CD292" s="967" t="str">
        <f t="shared" si="397"/>
        <v>-</v>
      </c>
      <c r="CE292" s="964" t="str">
        <f t="shared" si="397"/>
        <v>-</v>
      </c>
      <c r="CF292" s="964" t="str">
        <f t="shared" si="397"/>
        <v>-</v>
      </c>
      <c r="CG292" s="965" t="str">
        <f t="shared" si="397"/>
        <v>-</v>
      </c>
      <c r="CH292" s="964" t="str">
        <f t="shared" si="398"/>
        <v>-</v>
      </c>
      <c r="CI292" s="964" t="str">
        <f t="shared" si="398"/>
        <v>-</v>
      </c>
      <c r="CJ292" s="964" t="str">
        <f t="shared" si="398"/>
        <v>-</v>
      </c>
      <c r="CK292" s="966" t="str">
        <f t="shared" si="398"/>
        <v>-</v>
      </c>
    </row>
    <row r="293" spans="4:89" ht="12.75" thickBot="1">
      <c r="E293" s="568" t="s">
        <v>882</v>
      </c>
      <c r="F293" s="560" t="str">
        <f>+F291</f>
        <v>[Service]</v>
      </c>
      <c r="G293" s="561">
        <f>+G291</f>
        <v>0</v>
      </c>
      <c r="H293" s="561">
        <f>+H291</f>
        <v>0</v>
      </c>
      <c r="I293" s="562" t="str">
        <f>+I291</f>
        <v>[Price]</v>
      </c>
      <c r="J293" s="563" t="s">
        <v>883</v>
      </c>
      <c r="K293" s="564">
        <f t="shared" ref="K293:AJ293" si="439">K291*K292/10^6</f>
        <v>0</v>
      </c>
      <c r="L293" s="565">
        <f t="shared" si="439"/>
        <v>0</v>
      </c>
      <c r="M293" s="565">
        <f t="shared" si="439"/>
        <v>0</v>
      </c>
      <c r="N293" s="564">
        <f t="shared" si="439"/>
        <v>0</v>
      </c>
      <c r="O293" s="565">
        <f t="shared" si="439"/>
        <v>0</v>
      </c>
      <c r="P293" s="565">
        <f t="shared" si="439"/>
        <v>0</v>
      </c>
      <c r="Q293" s="565">
        <f t="shared" si="439"/>
        <v>0</v>
      </c>
      <c r="R293" s="566">
        <f t="shared" si="439"/>
        <v>0</v>
      </c>
      <c r="S293" s="564">
        <f t="shared" si="439"/>
        <v>0</v>
      </c>
      <c r="T293" s="565">
        <f t="shared" si="439"/>
        <v>0</v>
      </c>
      <c r="U293" s="566">
        <f t="shared" si="439"/>
        <v>0</v>
      </c>
      <c r="V293" s="565">
        <f t="shared" si="439"/>
        <v>0</v>
      </c>
      <c r="W293" s="565">
        <f t="shared" si="439"/>
        <v>0</v>
      </c>
      <c r="X293" s="565">
        <f t="shared" si="439"/>
        <v>0</v>
      </c>
      <c r="Y293" s="565">
        <f t="shared" si="439"/>
        <v>0</v>
      </c>
      <c r="Z293" s="565">
        <f t="shared" si="439"/>
        <v>0</v>
      </c>
      <c r="AA293" s="564">
        <f t="shared" si="439"/>
        <v>0</v>
      </c>
      <c r="AB293" s="565">
        <f t="shared" si="439"/>
        <v>0</v>
      </c>
      <c r="AC293" s="565">
        <f t="shared" si="439"/>
        <v>0</v>
      </c>
      <c r="AD293" s="565">
        <f t="shared" si="439"/>
        <v>0</v>
      </c>
      <c r="AE293" s="566">
        <f t="shared" si="439"/>
        <v>0</v>
      </c>
      <c r="AF293" s="565">
        <f t="shared" si="439"/>
        <v>0</v>
      </c>
      <c r="AG293" s="565">
        <f>AG291*AG292/10^6</f>
        <v>0</v>
      </c>
      <c r="AH293" s="565">
        <f>AH291*AH292/10^6</f>
        <v>0</v>
      </c>
      <c r="AI293" s="565">
        <f>AI291*AI292/10^6</f>
        <v>0</v>
      </c>
      <c r="AJ293" s="566">
        <f t="shared" si="439"/>
        <v>0</v>
      </c>
      <c r="AK293" s="548"/>
      <c r="AO293" s="984" t="str">
        <f t="shared" si="375"/>
        <v>Rev</v>
      </c>
      <c r="AP293" s="985" t="str">
        <f t="shared" si="375"/>
        <v>[Service]</v>
      </c>
      <c r="AQ293" s="986" t="str">
        <f t="shared" si="376"/>
        <v>[Price]</v>
      </c>
      <c r="AR293" s="990" t="str">
        <f t="shared" si="377"/>
        <v>-</v>
      </c>
      <c r="AS293" s="987" t="str">
        <f t="shared" si="378"/>
        <v>-</v>
      </c>
      <c r="AT293" s="987" t="str">
        <f t="shared" si="379"/>
        <v>-</v>
      </c>
      <c r="AU293" s="987" t="str">
        <f t="shared" si="380"/>
        <v>-</v>
      </c>
      <c r="AV293" s="1353" t="str">
        <f t="shared" si="381"/>
        <v>-</v>
      </c>
      <c r="AW293" s="1346" t="str">
        <f t="shared" si="382"/>
        <v>-</v>
      </c>
      <c r="AX293" s="987" t="str">
        <f t="shared" si="383"/>
        <v>-</v>
      </c>
      <c r="AY293" s="987" t="str">
        <f t="shared" si="384"/>
        <v>-</v>
      </c>
      <c r="AZ293" s="987" t="str">
        <f t="shared" si="385"/>
        <v>-</v>
      </c>
      <c r="BA293" s="988" t="str">
        <f t="shared" si="386"/>
        <v>-</v>
      </c>
      <c r="BB293" s="1346" t="str">
        <f t="shared" si="387"/>
        <v>-</v>
      </c>
      <c r="BC293" s="987" t="str">
        <f t="shared" si="388"/>
        <v>-</v>
      </c>
      <c r="BD293" s="987" t="str">
        <f t="shared" si="389"/>
        <v>-</v>
      </c>
      <c r="BE293" s="987" t="str">
        <f t="shared" si="390"/>
        <v>-</v>
      </c>
      <c r="BF293" s="989" t="str">
        <f t="shared" si="391"/>
        <v>-</v>
      </c>
      <c r="BG293" s="951"/>
      <c r="BH293" s="984" t="str">
        <f t="shared" si="392"/>
        <v>Rev</v>
      </c>
      <c r="BI293" s="985" t="str">
        <f t="shared" si="393"/>
        <v>[Service]</v>
      </c>
      <c r="BJ293" s="986" t="str">
        <f t="shared" si="394"/>
        <v>[Price]</v>
      </c>
      <c r="BK293" s="987" t="str">
        <f t="shared" ref="BK293:BU293" si="440">IF(V293="","-",IFERROR((V293/U293-1)*(U293/U$13),"-"))</f>
        <v>-</v>
      </c>
      <c r="BL293" s="987" t="str">
        <f t="shared" si="440"/>
        <v>-</v>
      </c>
      <c r="BM293" s="987" t="str">
        <f t="shared" si="440"/>
        <v>-</v>
      </c>
      <c r="BN293" s="987" t="str">
        <f t="shared" si="440"/>
        <v>-</v>
      </c>
      <c r="BO293" s="1353" t="str">
        <f t="shared" si="440"/>
        <v>-</v>
      </c>
      <c r="BP293" s="1346" t="str">
        <f t="shared" si="440"/>
        <v>-</v>
      </c>
      <c r="BQ293" s="987" t="str">
        <f t="shared" si="440"/>
        <v>-</v>
      </c>
      <c r="BR293" s="987" t="str">
        <f t="shared" si="440"/>
        <v>-</v>
      </c>
      <c r="BS293" s="987" t="str">
        <f t="shared" si="440"/>
        <v>-</v>
      </c>
      <c r="BT293" s="988" t="str">
        <f t="shared" si="440"/>
        <v>-</v>
      </c>
      <c r="BU293" s="987" t="str">
        <f t="shared" si="440"/>
        <v>-</v>
      </c>
      <c r="BV293" s="987" t="str">
        <f>IF(AG293="","-",IFERROR((AG293/AF293-1)*(AF293/AF$13),"-"))</f>
        <v>-</v>
      </c>
      <c r="BW293" s="987" t="str">
        <f>IF(AH293="","-",IFERROR((AH293/AG293-1)*(AG293/AG$13),"-"))</f>
        <v>-</v>
      </c>
      <c r="BX293" s="987" t="str">
        <f>IF(AI293="","-",IFERROR((AI293/AH293-1)*(AH293/AH$13),"-"))</f>
        <v>-</v>
      </c>
      <c r="BY293" s="989" t="str">
        <f>IF(AJ293="","-",IFERROR((AJ293/AI293-1)*(AI293/AI$13),"-"))</f>
        <v>-</v>
      </c>
      <c r="BZ293" s="951"/>
      <c r="CA293" s="984" t="str">
        <f t="shared" si="372"/>
        <v>Rev</v>
      </c>
      <c r="CB293" s="985" t="str">
        <f t="shared" si="373"/>
        <v>[Service]</v>
      </c>
      <c r="CC293" s="985" t="str">
        <f t="shared" si="374"/>
        <v>[Price]</v>
      </c>
      <c r="CD293" s="990" t="str">
        <f t="shared" si="397"/>
        <v>-</v>
      </c>
      <c r="CE293" s="987" t="str">
        <f t="shared" si="397"/>
        <v>-</v>
      </c>
      <c r="CF293" s="987" t="str">
        <f t="shared" si="397"/>
        <v>-</v>
      </c>
      <c r="CG293" s="988" t="str">
        <f t="shared" si="397"/>
        <v>-</v>
      </c>
      <c r="CH293" s="987" t="str">
        <f t="shared" si="398"/>
        <v>-</v>
      </c>
      <c r="CI293" s="987" t="str">
        <f t="shared" si="398"/>
        <v>-</v>
      </c>
      <c r="CJ293" s="987" t="str">
        <f t="shared" si="398"/>
        <v>-</v>
      </c>
      <c r="CK293" s="989" t="str">
        <f t="shared" si="398"/>
        <v>-</v>
      </c>
    </row>
    <row r="294" spans="4:89">
      <c r="D294" s="63">
        <f>D291+1</f>
        <v>76</v>
      </c>
      <c r="E294" s="550" t="s">
        <v>857</v>
      </c>
      <c r="F294" s="595" t="s">
        <v>428</v>
      </c>
      <c r="G294" s="595"/>
      <c r="H294" s="595"/>
      <c r="I294" s="589" t="s">
        <v>920</v>
      </c>
      <c r="J294" s="589" t="s">
        <v>879</v>
      </c>
      <c r="K294" s="551"/>
      <c r="L294" s="552"/>
      <c r="M294" s="552"/>
      <c r="N294" s="551"/>
      <c r="O294" s="552"/>
      <c r="P294" s="552"/>
      <c r="Q294" s="552"/>
      <c r="R294" s="1035"/>
      <c r="S294" s="1138"/>
      <c r="T294" s="591"/>
      <c r="U294" s="1035"/>
      <c r="V294" s="591"/>
      <c r="W294" s="591"/>
      <c r="X294" s="591"/>
      <c r="Y294" s="591"/>
      <c r="Z294" s="591"/>
      <c r="AA294" s="1138"/>
      <c r="AB294" s="591"/>
      <c r="AC294" s="591"/>
      <c r="AD294" s="591"/>
      <c r="AE294" s="1035"/>
      <c r="AF294" s="591"/>
      <c r="AG294" s="591"/>
      <c r="AH294" s="591"/>
      <c r="AI294" s="591"/>
      <c r="AJ294" s="592"/>
      <c r="AK294" s="548"/>
      <c r="AM294" s="974"/>
      <c r="AO294" s="975" t="str">
        <f t="shared" si="375"/>
        <v>Price</v>
      </c>
      <c r="AP294" s="976" t="str">
        <f t="shared" si="375"/>
        <v>[Service]</v>
      </c>
      <c r="AQ294" s="977" t="str">
        <f t="shared" si="376"/>
        <v>[Price]</v>
      </c>
      <c r="AR294" s="1341" t="str">
        <f t="shared" si="377"/>
        <v>-</v>
      </c>
      <c r="AS294" s="978" t="str">
        <f t="shared" si="378"/>
        <v>-</v>
      </c>
      <c r="AT294" s="979" t="str">
        <f t="shared" si="379"/>
        <v>-</v>
      </c>
      <c r="AU294" s="979" t="str">
        <f t="shared" si="380"/>
        <v>-</v>
      </c>
      <c r="AV294" s="1352" t="str">
        <f t="shared" si="381"/>
        <v>-</v>
      </c>
      <c r="AW294" s="1345" t="str">
        <f t="shared" si="382"/>
        <v>-</v>
      </c>
      <c r="AX294" s="979" t="str">
        <f t="shared" si="383"/>
        <v>-</v>
      </c>
      <c r="AY294" s="979" t="str">
        <f t="shared" si="384"/>
        <v>-</v>
      </c>
      <c r="AZ294" s="979" t="str">
        <f t="shared" si="385"/>
        <v>-</v>
      </c>
      <c r="BA294" s="980" t="str">
        <f t="shared" si="386"/>
        <v>-</v>
      </c>
      <c r="BB294" s="1345" t="str">
        <f t="shared" si="387"/>
        <v>-</v>
      </c>
      <c r="BC294" s="979" t="str">
        <f t="shared" si="388"/>
        <v>-</v>
      </c>
      <c r="BD294" s="979" t="str">
        <f t="shared" si="389"/>
        <v>-</v>
      </c>
      <c r="BE294" s="979" t="str">
        <f t="shared" si="390"/>
        <v>-</v>
      </c>
      <c r="BF294" s="981" t="str">
        <f t="shared" si="391"/>
        <v>-</v>
      </c>
      <c r="BG294" s="951"/>
      <c r="BH294" s="975" t="str">
        <f t="shared" si="392"/>
        <v>Price</v>
      </c>
      <c r="BI294" s="976" t="str">
        <f t="shared" si="393"/>
        <v>[Service]</v>
      </c>
      <c r="BJ294" s="977" t="str">
        <f t="shared" si="394"/>
        <v>[Price]</v>
      </c>
      <c r="BK294" s="978" t="str">
        <f t="shared" ref="BK294:BU294" si="441">IF(V294="","-",IFERROR((V294/U294-1)*(U296/U$13),"-"))</f>
        <v>-</v>
      </c>
      <c r="BL294" s="978" t="str">
        <f t="shared" si="441"/>
        <v>-</v>
      </c>
      <c r="BM294" s="979" t="str">
        <f t="shared" si="441"/>
        <v>-</v>
      </c>
      <c r="BN294" s="979" t="str">
        <f t="shared" si="441"/>
        <v>-</v>
      </c>
      <c r="BO294" s="1352" t="str">
        <f t="shared" si="441"/>
        <v>-</v>
      </c>
      <c r="BP294" s="1345" t="str">
        <f t="shared" si="441"/>
        <v>-</v>
      </c>
      <c r="BQ294" s="979" t="str">
        <f t="shared" si="441"/>
        <v>-</v>
      </c>
      <c r="BR294" s="979" t="str">
        <f t="shared" si="441"/>
        <v>-</v>
      </c>
      <c r="BS294" s="979" t="str">
        <f t="shared" si="441"/>
        <v>-</v>
      </c>
      <c r="BT294" s="980" t="str">
        <f t="shared" si="441"/>
        <v>-</v>
      </c>
      <c r="BU294" s="979" t="str">
        <f t="shared" si="441"/>
        <v>-</v>
      </c>
      <c r="BV294" s="979" t="str">
        <f>IF(AG294="","-",IFERROR((AG294/AF294-1)*(AF296/AF$13),"-"))</f>
        <v>-</v>
      </c>
      <c r="BW294" s="979" t="str">
        <f>IF(AH294="","-",IFERROR((AH294/AG294-1)*(AG296/AG$13),"-"))</f>
        <v>-</v>
      </c>
      <c r="BX294" s="979" t="str">
        <f>IF(AI294="","-",IFERROR((AI294/AH294-1)*(AH296/AH$13),"-"))</f>
        <v>-</v>
      </c>
      <c r="BY294" s="981" t="str">
        <f>IF(AJ294="","-",IFERROR((AJ294/AI294-1)*(AI296/AI$13),"-"))</f>
        <v>-</v>
      </c>
      <c r="BZ294" s="951"/>
      <c r="CA294" s="975" t="str">
        <f t="shared" si="372"/>
        <v>Price</v>
      </c>
      <c r="CB294" s="976" t="str">
        <f t="shared" si="373"/>
        <v>[Service]</v>
      </c>
      <c r="CC294" s="982" t="str">
        <f t="shared" si="374"/>
        <v>[Price]</v>
      </c>
      <c r="CD294" s="983" t="str">
        <f t="shared" si="397"/>
        <v>-</v>
      </c>
      <c r="CE294" s="979" t="str">
        <f t="shared" si="397"/>
        <v>-</v>
      </c>
      <c r="CF294" s="979" t="str">
        <f t="shared" si="397"/>
        <v>-</v>
      </c>
      <c r="CG294" s="980" t="str">
        <f t="shared" si="397"/>
        <v>-</v>
      </c>
      <c r="CH294" s="979" t="str">
        <f t="shared" si="398"/>
        <v>-</v>
      </c>
      <c r="CI294" s="979" t="str">
        <f t="shared" si="398"/>
        <v>-</v>
      </c>
      <c r="CJ294" s="979" t="str">
        <f t="shared" si="398"/>
        <v>-</v>
      </c>
      <c r="CK294" s="981" t="str">
        <f t="shared" si="398"/>
        <v>-</v>
      </c>
    </row>
    <row r="295" spans="4:89">
      <c r="E295" s="567" t="s">
        <v>880</v>
      </c>
      <c r="F295" s="554" t="str">
        <f>+F294</f>
        <v>[Service]</v>
      </c>
      <c r="G295" s="555">
        <f>+G294</f>
        <v>0</v>
      </c>
      <c r="H295" s="555">
        <f>+H294</f>
        <v>0</v>
      </c>
      <c r="I295" s="556" t="str">
        <f>+I294</f>
        <v>[Price]</v>
      </c>
      <c r="J295" s="590" t="s">
        <v>916</v>
      </c>
      <c r="K295" s="557"/>
      <c r="L295" s="558"/>
      <c r="M295" s="558"/>
      <c r="N295" s="557"/>
      <c r="O295" s="558"/>
      <c r="P295" s="558"/>
      <c r="Q295" s="558"/>
      <c r="R295" s="1036"/>
      <c r="S295" s="1139"/>
      <c r="T295" s="593"/>
      <c r="U295" s="1036"/>
      <c r="V295" s="593"/>
      <c r="W295" s="593"/>
      <c r="X295" s="593"/>
      <c r="Y295" s="593"/>
      <c r="Z295" s="593"/>
      <c r="AA295" s="1139"/>
      <c r="AB295" s="593"/>
      <c r="AC295" s="593"/>
      <c r="AD295" s="593"/>
      <c r="AE295" s="1036"/>
      <c r="AF295" s="593"/>
      <c r="AG295" s="593"/>
      <c r="AH295" s="593"/>
      <c r="AI295" s="593"/>
      <c r="AJ295" s="594"/>
      <c r="AK295" s="548"/>
      <c r="AO295" s="961" t="str">
        <f t="shared" si="375"/>
        <v>Qty</v>
      </c>
      <c r="AP295" s="962" t="str">
        <f t="shared" si="375"/>
        <v>[Service]</v>
      </c>
      <c r="AQ295" s="963" t="str">
        <f t="shared" si="376"/>
        <v>[Price]</v>
      </c>
      <c r="AR295" s="967" t="str">
        <f t="shared" si="377"/>
        <v>-</v>
      </c>
      <c r="AS295" s="964" t="str">
        <f t="shared" si="378"/>
        <v>-</v>
      </c>
      <c r="AT295" s="964" t="str">
        <f t="shared" si="379"/>
        <v>-</v>
      </c>
      <c r="AU295" s="964" t="str">
        <f t="shared" si="380"/>
        <v>-</v>
      </c>
      <c r="AV295" s="1350" t="str">
        <f t="shared" si="381"/>
        <v>-</v>
      </c>
      <c r="AW295" s="1343" t="str">
        <f t="shared" si="382"/>
        <v>-</v>
      </c>
      <c r="AX295" s="964" t="str">
        <f t="shared" si="383"/>
        <v>-</v>
      </c>
      <c r="AY295" s="964" t="str">
        <f t="shared" si="384"/>
        <v>-</v>
      </c>
      <c r="AZ295" s="964" t="str">
        <f t="shared" si="385"/>
        <v>-</v>
      </c>
      <c r="BA295" s="965" t="str">
        <f t="shared" si="386"/>
        <v>-</v>
      </c>
      <c r="BB295" s="1343" t="str">
        <f t="shared" si="387"/>
        <v>-</v>
      </c>
      <c r="BC295" s="964" t="str">
        <f t="shared" si="388"/>
        <v>-</v>
      </c>
      <c r="BD295" s="964" t="str">
        <f t="shared" si="389"/>
        <v>-</v>
      </c>
      <c r="BE295" s="964" t="str">
        <f t="shared" si="390"/>
        <v>-</v>
      </c>
      <c r="BF295" s="966" t="str">
        <f t="shared" si="391"/>
        <v>-</v>
      </c>
      <c r="BG295" s="951"/>
      <c r="BH295" s="961" t="str">
        <f t="shared" si="392"/>
        <v>Qty</v>
      </c>
      <c r="BI295" s="962" t="str">
        <f t="shared" si="393"/>
        <v>[Service]</v>
      </c>
      <c r="BJ295" s="963" t="str">
        <f t="shared" si="394"/>
        <v>[Price]</v>
      </c>
      <c r="BK295" s="964" t="str">
        <f t="shared" ref="BK295:BU295" si="442">IF(V295="","-",IFERROR((V295/U295-1)*(U296/U$13),"-"))</f>
        <v>-</v>
      </c>
      <c r="BL295" s="964" t="str">
        <f t="shared" si="442"/>
        <v>-</v>
      </c>
      <c r="BM295" s="964" t="str">
        <f t="shared" si="442"/>
        <v>-</v>
      </c>
      <c r="BN295" s="964" t="str">
        <f t="shared" si="442"/>
        <v>-</v>
      </c>
      <c r="BO295" s="1350" t="str">
        <f t="shared" si="442"/>
        <v>-</v>
      </c>
      <c r="BP295" s="1343" t="str">
        <f t="shared" si="442"/>
        <v>-</v>
      </c>
      <c r="BQ295" s="964" t="str">
        <f t="shared" si="442"/>
        <v>-</v>
      </c>
      <c r="BR295" s="964" t="str">
        <f t="shared" si="442"/>
        <v>-</v>
      </c>
      <c r="BS295" s="964" t="str">
        <f t="shared" si="442"/>
        <v>-</v>
      </c>
      <c r="BT295" s="965" t="str">
        <f t="shared" si="442"/>
        <v>-</v>
      </c>
      <c r="BU295" s="964" t="str">
        <f t="shared" si="442"/>
        <v>-</v>
      </c>
      <c r="BV295" s="964" t="str">
        <f>IF(AG295="","-",IFERROR((AG295/AF295-1)*(AF296/AF$13),"-"))</f>
        <v>-</v>
      </c>
      <c r="BW295" s="964" t="str">
        <f>IF(AH295="","-",IFERROR((AH295/AG295-1)*(AG296/AG$13),"-"))</f>
        <v>-</v>
      </c>
      <c r="BX295" s="964" t="str">
        <f>IF(AI295="","-",IFERROR((AI295/AH295-1)*(AH296/AH$13),"-"))</f>
        <v>-</v>
      </c>
      <c r="BY295" s="966" t="str">
        <f>IF(AJ295="","-",IFERROR((AJ295/AI295-1)*(AI296/AI$13),"-"))</f>
        <v>-</v>
      </c>
      <c r="BZ295" s="951"/>
      <c r="CA295" s="961" t="str">
        <f t="shared" si="372"/>
        <v>Qty</v>
      </c>
      <c r="CB295" s="962" t="str">
        <f t="shared" si="373"/>
        <v>[Service]</v>
      </c>
      <c r="CC295" s="962" t="str">
        <f t="shared" si="374"/>
        <v>[Price]</v>
      </c>
      <c r="CD295" s="967" t="str">
        <f t="shared" si="397"/>
        <v>-</v>
      </c>
      <c r="CE295" s="964" t="str">
        <f t="shared" si="397"/>
        <v>-</v>
      </c>
      <c r="CF295" s="964" t="str">
        <f t="shared" si="397"/>
        <v>-</v>
      </c>
      <c r="CG295" s="965" t="str">
        <f t="shared" si="397"/>
        <v>-</v>
      </c>
      <c r="CH295" s="964" t="str">
        <f t="shared" si="398"/>
        <v>-</v>
      </c>
      <c r="CI295" s="964" t="str">
        <f t="shared" si="398"/>
        <v>-</v>
      </c>
      <c r="CJ295" s="964" t="str">
        <f t="shared" si="398"/>
        <v>-</v>
      </c>
      <c r="CK295" s="966" t="str">
        <f t="shared" si="398"/>
        <v>-</v>
      </c>
    </row>
    <row r="296" spans="4:89" ht="12.75" thickBot="1">
      <c r="E296" s="568" t="s">
        <v>882</v>
      </c>
      <c r="F296" s="560" t="str">
        <f>+F294</f>
        <v>[Service]</v>
      </c>
      <c r="G296" s="561">
        <f>+G294</f>
        <v>0</v>
      </c>
      <c r="H296" s="561">
        <f>+H294</f>
        <v>0</v>
      </c>
      <c r="I296" s="562" t="str">
        <f>+I294</f>
        <v>[Price]</v>
      </c>
      <c r="J296" s="563" t="s">
        <v>883</v>
      </c>
      <c r="K296" s="564">
        <f t="shared" ref="K296:AJ296" si="443">K294*K295/10^6</f>
        <v>0</v>
      </c>
      <c r="L296" s="565">
        <f t="shared" si="443"/>
        <v>0</v>
      </c>
      <c r="M296" s="565">
        <f t="shared" si="443"/>
        <v>0</v>
      </c>
      <c r="N296" s="564">
        <f t="shared" si="443"/>
        <v>0</v>
      </c>
      <c r="O296" s="565">
        <f t="shared" si="443"/>
        <v>0</v>
      </c>
      <c r="P296" s="565">
        <f t="shared" si="443"/>
        <v>0</v>
      </c>
      <c r="Q296" s="565">
        <f t="shared" si="443"/>
        <v>0</v>
      </c>
      <c r="R296" s="566">
        <f t="shared" si="443"/>
        <v>0</v>
      </c>
      <c r="S296" s="564">
        <f t="shared" si="443"/>
        <v>0</v>
      </c>
      <c r="T296" s="565">
        <f t="shared" si="443"/>
        <v>0</v>
      </c>
      <c r="U296" s="566">
        <f t="shared" si="443"/>
        <v>0</v>
      </c>
      <c r="V296" s="565">
        <f t="shared" si="443"/>
        <v>0</v>
      </c>
      <c r="W296" s="565">
        <f t="shared" si="443"/>
        <v>0</v>
      </c>
      <c r="X296" s="565">
        <f t="shared" si="443"/>
        <v>0</v>
      </c>
      <c r="Y296" s="565">
        <f t="shared" si="443"/>
        <v>0</v>
      </c>
      <c r="Z296" s="565">
        <f t="shared" si="443"/>
        <v>0</v>
      </c>
      <c r="AA296" s="564">
        <f t="shared" si="443"/>
        <v>0</v>
      </c>
      <c r="AB296" s="565">
        <f t="shared" si="443"/>
        <v>0</v>
      </c>
      <c r="AC296" s="565">
        <f t="shared" si="443"/>
        <v>0</v>
      </c>
      <c r="AD296" s="565">
        <f t="shared" si="443"/>
        <v>0</v>
      </c>
      <c r="AE296" s="566">
        <f t="shared" si="443"/>
        <v>0</v>
      </c>
      <c r="AF296" s="565">
        <f t="shared" si="443"/>
        <v>0</v>
      </c>
      <c r="AG296" s="565">
        <f>AG294*AG295/10^6</f>
        <v>0</v>
      </c>
      <c r="AH296" s="565">
        <f>AH294*AH295/10^6</f>
        <v>0</v>
      </c>
      <c r="AI296" s="565">
        <f>AI294*AI295/10^6</f>
        <v>0</v>
      </c>
      <c r="AJ296" s="566">
        <f t="shared" si="443"/>
        <v>0</v>
      </c>
      <c r="AK296" s="548"/>
      <c r="AO296" s="984" t="str">
        <f t="shared" si="375"/>
        <v>Rev</v>
      </c>
      <c r="AP296" s="985" t="str">
        <f t="shared" si="375"/>
        <v>[Service]</v>
      </c>
      <c r="AQ296" s="986" t="str">
        <f t="shared" si="376"/>
        <v>[Price]</v>
      </c>
      <c r="AR296" s="990" t="str">
        <f t="shared" si="377"/>
        <v>-</v>
      </c>
      <c r="AS296" s="987" t="str">
        <f t="shared" si="378"/>
        <v>-</v>
      </c>
      <c r="AT296" s="987" t="str">
        <f t="shared" si="379"/>
        <v>-</v>
      </c>
      <c r="AU296" s="987" t="str">
        <f t="shared" si="380"/>
        <v>-</v>
      </c>
      <c r="AV296" s="1353" t="str">
        <f t="shared" si="381"/>
        <v>-</v>
      </c>
      <c r="AW296" s="1346" t="str">
        <f t="shared" si="382"/>
        <v>-</v>
      </c>
      <c r="AX296" s="987" t="str">
        <f t="shared" si="383"/>
        <v>-</v>
      </c>
      <c r="AY296" s="987" t="str">
        <f t="shared" si="384"/>
        <v>-</v>
      </c>
      <c r="AZ296" s="987" t="str">
        <f t="shared" si="385"/>
        <v>-</v>
      </c>
      <c r="BA296" s="988" t="str">
        <f t="shared" si="386"/>
        <v>-</v>
      </c>
      <c r="BB296" s="1346" t="str">
        <f t="shared" si="387"/>
        <v>-</v>
      </c>
      <c r="BC296" s="987" t="str">
        <f t="shared" si="388"/>
        <v>-</v>
      </c>
      <c r="BD296" s="987" t="str">
        <f t="shared" si="389"/>
        <v>-</v>
      </c>
      <c r="BE296" s="987" t="str">
        <f t="shared" si="390"/>
        <v>-</v>
      </c>
      <c r="BF296" s="989" t="str">
        <f t="shared" si="391"/>
        <v>-</v>
      </c>
      <c r="BG296" s="951"/>
      <c r="BH296" s="984" t="str">
        <f t="shared" si="392"/>
        <v>Rev</v>
      </c>
      <c r="BI296" s="985" t="str">
        <f t="shared" si="393"/>
        <v>[Service]</v>
      </c>
      <c r="BJ296" s="986" t="str">
        <f t="shared" si="394"/>
        <v>[Price]</v>
      </c>
      <c r="BK296" s="987" t="str">
        <f t="shared" ref="BK296:BU296" si="444">IF(V296="","-",IFERROR((V296/U296-1)*(U296/U$13),"-"))</f>
        <v>-</v>
      </c>
      <c r="BL296" s="987" t="str">
        <f t="shared" si="444"/>
        <v>-</v>
      </c>
      <c r="BM296" s="987" t="str">
        <f t="shared" si="444"/>
        <v>-</v>
      </c>
      <c r="BN296" s="987" t="str">
        <f t="shared" si="444"/>
        <v>-</v>
      </c>
      <c r="BO296" s="1353" t="str">
        <f t="shared" si="444"/>
        <v>-</v>
      </c>
      <c r="BP296" s="1346" t="str">
        <f t="shared" si="444"/>
        <v>-</v>
      </c>
      <c r="BQ296" s="987" t="str">
        <f t="shared" si="444"/>
        <v>-</v>
      </c>
      <c r="BR296" s="987" t="str">
        <f t="shared" si="444"/>
        <v>-</v>
      </c>
      <c r="BS296" s="987" t="str">
        <f t="shared" si="444"/>
        <v>-</v>
      </c>
      <c r="BT296" s="988" t="str">
        <f t="shared" si="444"/>
        <v>-</v>
      </c>
      <c r="BU296" s="987" t="str">
        <f t="shared" si="444"/>
        <v>-</v>
      </c>
      <c r="BV296" s="987" t="str">
        <f>IF(AG296="","-",IFERROR((AG296/AF296-1)*(AF296/AF$13),"-"))</f>
        <v>-</v>
      </c>
      <c r="BW296" s="987" t="str">
        <f>IF(AH296="","-",IFERROR((AH296/AG296-1)*(AG296/AG$13),"-"))</f>
        <v>-</v>
      </c>
      <c r="BX296" s="987" t="str">
        <f>IF(AI296="","-",IFERROR((AI296/AH296-1)*(AH296/AH$13),"-"))</f>
        <v>-</v>
      </c>
      <c r="BY296" s="989" t="str">
        <f>IF(AJ296="","-",IFERROR((AJ296/AI296-1)*(AI296/AI$13),"-"))</f>
        <v>-</v>
      </c>
      <c r="BZ296" s="951"/>
      <c r="CA296" s="984" t="str">
        <f t="shared" si="372"/>
        <v>Rev</v>
      </c>
      <c r="CB296" s="985" t="str">
        <f t="shared" si="373"/>
        <v>[Service]</v>
      </c>
      <c r="CC296" s="985" t="str">
        <f t="shared" si="374"/>
        <v>[Price]</v>
      </c>
      <c r="CD296" s="990" t="str">
        <f t="shared" si="397"/>
        <v>-</v>
      </c>
      <c r="CE296" s="987" t="str">
        <f t="shared" si="397"/>
        <v>-</v>
      </c>
      <c r="CF296" s="987" t="str">
        <f t="shared" si="397"/>
        <v>-</v>
      </c>
      <c r="CG296" s="988" t="str">
        <f t="shared" si="397"/>
        <v>-</v>
      </c>
      <c r="CH296" s="987" t="str">
        <f t="shared" si="398"/>
        <v>-</v>
      </c>
      <c r="CI296" s="987" t="str">
        <f t="shared" si="398"/>
        <v>-</v>
      </c>
      <c r="CJ296" s="987" t="str">
        <f t="shared" si="398"/>
        <v>-</v>
      </c>
      <c r="CK296" s="989" t="str">
        <f t="shared" si="398"/>
        <v>-</v>
      </c>
    </row>
    <row r="297" spans="4:89">
      <c r="D297" s="63">
        <f>D294+1</f>
        <v>77</v>
      </c>
      <c r="E297" s="550" t="s">
        <v>857</v>
      </c>
      <c r="F297" s="595" t="s">
        <v>428</v>
      </c>
      <c r="G297" s="595"/>
      <c r="H297" s="595"/>
      <c r="I297" s="589" t="s">
        <v>920</v>
      </c>
      <c r="J297" s="589" t="s">
        <v>879</v>
      </c>
      <c r="K297" s="551"/>
      <c r="L297" s="552"/>
      <c r="M297" s="552"/>
      <c r="N297" s="551"/>
      <c r="O297" s="552"/>
      <c r="P297" s="552"/>
      <c r="Q297" s="552"/>
      <c r="R297" s="1035"/>
      <c r="S297" s="1138"/>
      <c r="T297" s="591"/>
      <c r="U297" s="1035"/>
      <c r="V297" s="591"/>
      <c r="W297" s="591"/>
      <c r="X297" s="591"/>
      <c r="Y297" s="591"/>
      <c r="Z297" s="591"/>
      <c r="AA297" s="1138"/>
      <c r="AB297" s="591"/>
      <c r="AC297" s="591"/>
      <c r="AD297" s="591"/>
      <c r="AE297" s="1035"/>
      <c r="AF297" s="591"/>
      <c r="AG297" s="591"/>
      <c r="AH297" s="591"/>
      <c r="AI297" s="591"/>
      <c r="AJ297" s="592"/>
      <c r="AK297" s="548"/>
      <c r="AM297" s="974"/>
      <c r="AO297" s="975" t="str">
        <f t="shared" si="375"/>
        <v>Price</v>
      </c>
      <c r="AP297" s="976" t="str">
        <f t="shared" si="375"/>
        <v>[Service]</v>
      </c>
      <c r="AQ297" s="977" t="str">
        <f t="shared" si="376"/>
        <v>[Price]</v>
      </c>
      <c r="AR297" s="1341" t="str">
        <f t="shared" si="377"/>
        <v>-</v>
      </c>
      <c r="AS297" s="978" t="str">
        <f t="shared" si="378"/>
        <v>-</v>
      </c>
      <c r="AT297" s="979" t="str">
        <f t="shared" si="379"/>
        <v>-</v>
      </c>
      <c r="AU297" s="979" t="str">
        <f t="shared" si="380"/>
        <v>-</v>
      </c>
      <c r="AV297" s="1352" t="str">
        <f t="shared" si="381"/>
        <v>-</v>
      </c>
      <c r="AW297" s="1345" t="str">
        <f t="shared" si="382"/>
        <v>-</v>
      </c>
      <c r="AX297" s="979" t="str">
        <f t="shared" si="383"/>
        <v>-</v>
      </c>
      <c r="AY297" s="979" t="str">
        <f t="shared" si="384"/>
        <v>-</v>
      </c>
      <c r="AZ297" s="979" t="str">
        <f t="shared" si="385"/>
        <v>-</v>
      </c>
      <c r="BA297" s="980" t="str">
        <f t="shared" si="386"/>
        <v>-</v>
      </c>
      <c r="BB297" s="1345" t="str">
        <f t="shared" si="387"/>
        <v>-</v>
      </c>
      <c r="BC297" s="979" t="str">
        <f t="shared" si="388"/>
        <v>-</v>
      </c>
      <c r="BD297" s="979" t="str">
        <f t="shared" si="389"/>
        <v>-</v>
      </c>
      <c r="BE297" s="979" t="str">
        <f t="shared" si="390"/>
        <v>-</v>
      </c>
      <c r="BF297" s="981" t="str">
        <f t="shared" si="391"/>
        <v>-</v>
      </c>
      <c r="BG297" s="951"/>
      <c r="BH297" s="975" t="str">
        <f t="shared" si="392"/>
        <v>Price</v>
      </c>
      <c r="BI297" s="976" t="str">
        <f t="shared" si="393"/>
        <v>[Service]</v>
      </c>
      <c r="BJ297" s="977" t="str">
        <f t="shared" si="394"/>
        <v>[Price]</v>
      </c>
      <c r="BK297" s="978" t="str">
        <f t="shared" ref="BK297:BU297" si="445">IF(V297="","-",IFERROR((V297/U297-1)*(U299/U$13),"-"))</f>
        <v>-</v>
      </c>
      <c r="BL297" s="978" t="str">
        <f t="shared" si="445"/>
        <v>-</v>
      </c>
      <c r="BM297" s="979" t="str">
        <f t="shared" si="445"/>
        <v>-</v>
      </c>
      <c r="BN297" s="979" t="str">
        <f t="shared" si="445"/>
        <v>-</v>
      </c>
      <c r="BO297" s="1352" t="str">
        <f t="shared" si="445"/>
        <v>-</v>
      </c>
      <c r="BP297" s="1345" t="str">
        <f t="shared" si="445"/>
        <v>-</v>
      </c>
      <c r="BQ297" s="979" t="str">
        <f t="shared" si="445"/>
        <v>-</v>
      </c>
      <c r="BR297" s="979" t="str">
        <f t="shared" si="445"/>
        <v>-</v>
      </c>
      <c r="BS297" s="979" t="str">
        <f t="shared" si="445"/>
        <v>-</v>
      </c>
      <c r="BT297" s="980" t="str">
        <f t="shared" si="445"/>
        <v>-</v>
      </c>
      <c r="BU297" s="979" t="str">
        <f t="shared" si="445"/>
        <v>-</v>
      </c>
      <c r="BV297" s="979" t="str">
        <f>IF(AG297="","-",IFERROR((AG297/AF297-1)*(AF299/AF$13),"-"))</f>
        <v>-</v>
      </c>
      <c r="BW297" s="979" t="str">
        <f>IF(AH297="","-",IFERROR((AH297/AG297-1)*(AG299/AG$13),"-"))</f>
        <v>-</v>
      </c>
      <c r="BX297" s="979" t="str">
        <f>IF(AI297="","-",IFERROR((AI297/AH297-1)*(AH299/AH$13),"-"))</f>
        <v>-</v>
      </c>
      <c r="BY297" s="981" t="str">
        <f>IF(AJ297="","-",IFERROR((AJ297/AI297-1)*(AI299/AI$13),"-"))</f>
        <v>-</v>
      </c>
      <c r="BZ297" s="951"/>
      <c r="CA297" s="975" t="str">
        <f t="shared" si="372"/>
        <v>Price</v>
      </c>
      <c r="CB297" s="976" t="str">
        <f t="shared" si="373"/>
        <v>[Service]</v>
      </c>
      <c r="CC297" s="982" t="str">
        <f t="shared" si="374"/>
        <v>[Price]</v>
      </c>
      <c r="CD297" s="983" t="str">
        <f t="shared" si="397"/>
        <v>-</v>
      </c>
      <c r="CE297" s="979" t="str">
        <f t="shared" si="397"/>
        <v>-</v>
      </c>
      <c r="CF297" s="979" t="str">
        <f t="shared" si="397"/>
        <v>-</v>
      </c>
      <c r="CG297" s="980" t="str">
        <f t="shared" si="397"/>
        <v>-</v>
      </c>
      <c r="CH297" s="979" t="str">
        <f t="shared" si="398"/>
        <v>-</v>
      </c>
      <c r="CI297" s="979" t="str">
        <f t="shared" si="398"/>
        <v>-</v>
      </c>
      <c r="CJ297" s="979" t="str">
        <f t="shared" si="398"/>
        <v>-</v>
      </c>
      <c r="CK297" s="981" t="str">
        <f t="shared" si="398"/>
        <v>-</v>
      </c>
    </row>
    <row r="298" spans="4:89">
      <c r="E298" s="567" t="s">
        <v>880</v>
      </c>
      <c r="F298" s="554" t="str">
        <f>+F297</f>
        <v>[Service]</v>
      </c>
      <c r="G298" s="555">
        <f>+G297</f>
        <v>0</v>
      </c>
      <c r="H298" s="555">
        <f>+H297</f>
        <v>0</v>
      </c>
      <c r="I298" s="556" t="str">
        <f>+I297</f>
        <v>[Price]</v>
      </c>
      <c r="J298" s="590" t="s">
        <v>916</v>
      </c>
      <c r="K298" s="557"/>
      <c r="L298" s="558"/>
      <c r="M298" s="558"/>
      <c r="N298" s="557"/>
      <c r="O298" s="558"/>
      <c r="P298" s="558"/>
      <c r="Q298" s="558"/>
      <c r="R298" s="1036"/>
      <c r="S298" s="1139"/>
      <c r="T298" s="593"/>
      <c r="U298" s="1036"/>
      <c r="V298" s="593"/>
      <c r="W298" s="593"/>
      <c r="X298" s="593"/>
      <c r="Y298" s="593"/>
      <c r="Z298" s="593"/>
      <c r="AA298" s="1139"/>
      <c r="AB298" s="593"/>
      <c r="AC298" s="593"/>
      <c r="AD298" s="593"/>
      <c r="AE298" s="1036"/>
      <c r="AF298" s="593"/>
      <c r="AG298" s="593"/>
      <c r="AH298" s="593"/>
      <c r="AI298" s="593"/>
      <c r="AJ298" s="594"/>
      <c r="AK298" s="548"/>
      <c r="AO298" s="961" t="str">
        <f t="shared" si="375"/>
        <v>Qty</v>
      </c>
      <c r="AP298" s="962" t="str">
        <f t="shared" si="375"/>
        <v>[Service]</v>
      </c>
      <c r="AQ298" s="963" t="str">
        <f t="shared" si="376"/>
        <v>[Price]</v>
      </c>
      <c r="AR298" s="967" t="str">
        <f t="shared" si="377"/>
        <v>-</v>
      </c>
      <c r="AS298" s="964" t="str">
        <f t="shared" si="378"/>
        <v>-</v>
      </c>
      <c r="AT298" s="964" t="str">
        <f t="shared" si="379"/>
        <v>-</v>
      </c>
      <c r="AU298" s="964" t="str">
        <f t="shared" si="380"/>
        <v>-</v>
      </c>
      <c r="AV298" s="1350" t="str">
        <f t="shared" si="381"/>
        <v>-</v>
      </c>
      <c r="AW298" s="1343" t="str">
        <f t="shared" si="382"/>
        <v>-</v>
      </c>
      <c r="AX298" s="964" t="str">
        <f t="shared" si="383"/>
        <v>-</v>
      </c>
      <c r="AY298" s="964" t="str">
        <f t="shared" si="384"/>
        <v>-</v>
      </c>
      <c r="AZ298" s="964" t="str">
        <f t="shared" si="385"/>
        <v>-</v>
      </c>
      <c r="BA298" s="965" t="str">
        <f t="shared" si="386"/>
        <v>-</v>
      </c>
      <c r="BB298" s="1343" t="str">
        <f t="shared" si="387"/>
        <v>-</v>
      </c>
      <c r="BC298" s="964" t="str">
        <f t="shared" si="388"/>
        <v>-</v>
      </c>
      <c r="BD298" s="964" t="str">
        <f t="shared" si="389"/>
        <v>-</v>
      </c>
      <c r="BE298" s="964" t="str">
        <f t="shared" si="390"/>
        <v>-</v>
      </c>
      <c r="BF298" s="966" t="str">
        <f t="shared" si="391"/>
        <v>-</v>
      </c>
      <c r="BG298" s="951"/>
      <c r="BH298" s="961" t="str">
        <f t="shared" si="392"/>
        <v>Qty</v>
      </c>
      <c r="BI298" s="962" t="str">
        <f t="shared" si="393"/>
        <v>[Service]</v>
      </c>
      <c r="BJ298" s="963" t="str">
        <f t="shared" si="394"/>
        <v>[Price]</v>
      </c>
      <c r="BK298" s="964" t="str">
        <f t="shared" ref="BK298:BU298" si="446">IF(V298="","-",IFERROR((V298/U298-1)*(U299/U$13),"-"))</f>
        <v>-</v>
      </c>
      <c r="BL298" s="964" t="str">
        <f t="shared" si="446"/>
        <v>-</v>
      </c>
      <c r="BM298" s="964" t="str">
        <f t="shared" si="446"/>
        <v>-</v>
      </c>
      <c r="BN298" s="964" t="str">
        <f t="shared" si="446"/>
        <v>-</v>
      </c>
      <c r="BO298" s="1350" t="str">
        <f t="shared" si="446"/>
        <v>-</v>
      </c>
      <c r="BP298" s="1343" t="str">
        <f t="shared" si="446"/>
        <v>-</v>
      </c>
      <c r="BQ298" s="964" t="str">
        <f t="shared" si="446"/>
        <v>-</v>
      </c>
      <c r="BR298" s="964" t="str">
        <f t="shared" si="446"/>
        <v>-</v>
      </c>
      <c r="BS298" s="964" t="str">
        <f t="shared" si="446"/>
        <v>-</v>
      </c>
      <c r="BT298" s="965" t="str">
        <f t="shared" si="446"/>
        <v>-</v>
      </c>
      <c r="BU298" s="964" t="str">
        <f t="shared" si="446"/>
        <v>-</v>
      </c>
      <c r="BV298" s="964" t="str">
        <f>IF(AG298="","-",IFERROR((AG298/AF298-1)*(AF299/AF$13),"-"))</f>
        <v>-</v>
      </c>
      <c r="BW298" s="964" t="str">
        <f>IF(AH298="","-",IFERROR((AH298/AG298-1)*(AG299/AG$13),"-"))</f>
        <v>-</v>
      </c>
      <c r="BX298" s="964" t="str">
        <f>IF(AI298="","-",IFERROR((AI298/AH298-1)*(AH299/AH$13),"-"))</f>
        <v>-</v>
      </c>
      <c r="BY298" s="966" t="str">
        <f>IF(AJ298="","-",IFERROR((AJ298/AI298-1)*(AI299/AI$13),"-"))</f>
        <v>-</v>
      </c>
      <c r="BZ298" s="951"/>
      <c r="CA298" s="961" t="str">
        <f t="shared" si="372"/>
        <v>Qty</v>
      </c>
      <c r="CB298" s="962" t="str">
        <f t="shared" si="373"/>
        <v>[Service]</v>
      </c>
      <c r="CC298" s="962" t="str">
        <f t="shared" si="374"/>
        <v>[Price]</v>
      </c>
      <c r="CD298" s="967" t="str">
        <f t="shared" si="397"/>
        <v>-</v>
      </c>
      <c r="CE298" s="964" t="str">
        <f t="shared" si="397"/>
        <v>-</v>
      </c>
      <c r="CF298" s="964" t="str">
        <f t="shared" si="397"/>
        <v>-</v>
      </c>
      <c r="CG298" s="965" t="str">
        <f t="shared" si="397"/>
        <v>-</v>
      </c>
      <c r="CH298" s="964" t="str">
        <f t="shared" si="398"/>
        <v>-</v>
      </c>
      <c r="CI298" s="964" t="str">
        <f t="shared" si="398"/>
        <v>-</v>
      </c>
      <c r="CJ298" s="964" t="str">
        <f t="shared" si="398"/>
        <v>-</v>
      </c>
      <c r="CK298" s="966" t="str">
        <f t="shared" si="398"/>
        <v>-</v>
      </c>
    </row>
    <row r="299" spans="4:89" ht="12.75" thickBot="1">
      <c r="E299" s="568" t="s">
        <v>882</v>
      </c>
      <c r="F299" s="560" t="str">
        <f>+F297</f>
        <v>[Service]</v>
      </c>
      <c r="G299" s="561">
        <f>+G297</f>
        <v>0</v>
      </c>
      <c r="H299" s="561">
        <f>+H297</f>
        <v>0</v>
      </c>
      <c r="I299" s="562" t="str">
        <f>+I297</f>
        <v>[Price]</v>
      </c>
      <c r="J299" s="563" t="s">
        <v>883</v>
      </c>
      <c r="K299" s="564">
        <f t="shared" ref="K299:AJ299" si="447">K297*K298/10^6</f>
        <v>0</v>
      </c>
      <c r="L299" s="565">
        <f t="shared" si="447"/>
        <v>0</v>
      </c>
      <c r="M299" s="565">
        <f t="shared" si="447"/>
        <v>0</v>
      </c>
      <c r="N299" s="564">
        <f t="shared" si="447"/>
        <v>0</v>
      </c>
      <c r="O299" s="565">
        <f t="shared" si="447"/>
        <v>0</v>
      </c>
      <c r="P299" s="565">
        <f t="shared" si="447"/>
        <v>0</v>
      </c>
      <c r="Q299" s="565">
        <f t="shared" si="447"/>
        <v>0</v>
      </c>
      <c r="R299" s="566">
        <f t="shared" si="447"/>
        <v>0</v>
      </c>
      <c r="S299" s="564">
        <f t="shared" si="447"/>
        <v>0</v>
      </c>
      <c r="T299" s="565">
        <f t="shared" si="447"/>
        <v>0</v>
      </c>
      <c r="U299" s="566">
        <f t="shared" si="447"/>
        <v>0</v>
      </c>
      <c r="V299" s="565">
        <f t="shared" si="447"/>
        <v>0</v>
      </c>
      <c r="W299" s="565">
        <f t="shared" si="447"/>
        <v>0</v>
      </c>
      <c r="X299" s="565">
        <f t="shared" si="447"/>
        <v>0</v>
      </c>
      <c r="Y299" s="565">
        <f t="shared" si="447"/>
        <v>0</v>
      </c>
      <c r="Z299" s="565">
        <f t="shared" si="447"/>
        <v>0</v>
      </c>
      <c r="AA299" s="564">
        <f t="shared" si="447"/>
        <v>0</v>
      </c>
      <c r="AB299" s="565">
        <f t="shared" si="447"/>
        <v>0</v>
      </c>
      <c r="AC299" s="565">
        <f t="shared" si="447"/>
        <v>0</v>
      </c>
      <c r="AD299" s="565">
        <f t="shared" si="447"/>
        <v>0</v>
      </c>
      <c r="AE299" s="566">
        <f t="shared" si="447"/>
        <v>0</v>
      </c>
      <c r="AF299" s="565">
        <f t="shared" si="447"/>
        <v>0</v>
      </c>
      <c r="AG299" s="565">
        <f>AG297*AG298/10^6</f>
        <v>0</v>
      </c>
      <c r="AH299" s="565">
        <f>AH297*AH298/10^6</f>
        <v>0</v>
      </c>
      <c r="AI299" s="565">
        <f>AI297*AI298/10^6</f>
        <v>0</v>
      </c>
      <c r="AJ299" s="566">
        <f t="shared" si="447"/>
        <v>0</v>
      </c>
      <c r="AK299" s="548"/>
      <c r="AO299" s="984" t="str">
        <f t="shared" si="375"/>
        <v>Rev</v>
      </c>
      <c r="AP299" s="985" t="str">
        <f t="shared" si="375"/>
        <v>[Service]</v>
      </c>
      <c r="AQ299" s="986" t="str">
        <f t="shared" si="376"/>
        <v>[Price]</v>
      </c>
      <c r="AR299" s="990" t="str">
        <f t="shared" si="377"/>
        <v>-</v>
      </c>
      <c r="AS299" s="987" t="str">
        <f t="shared" si="378"/>
        <v>-</v>
      </c>
      <c r="AT299" s="987" t="str">
        <f t="shared" si="379"/>
        <v>-</v>
      </c>
      <c r="AU299" s="987" t="str">
        <f t="shared" si="380"/>
        <v>-</v>
      </c>
      <c r="AV299" s="1353" t="str">
        <f t="shared" si="381"/>
        <v>-</v>
      </c>
      <c r="AW299" s="1346" t="str">
        <f t="shared" si="382"/>
        <v>-</v>
      </c>
      <c r="AX299" s="987" t="str">
        <f t="shared" si="383"/>
        <v>-</v>
      </c>
      <c r="AY299" s="987" t="str">
        <f t="shared" si="384"/>
        <v>-</v>
      </c>
      <c r="AZ299" s="987" t="str">
        <f t="shared" si="385"/>
        <v>-</v>
      </c>
      <c r="BA299" s="988" t="str">
        <f t="shared" si="386"/>
        <v>-</v>
      </c>
      <c r="BB299" s="1346" t="str">
        <f t="shared" si="387"/>
        <v>-</v>
      </c>
      <c r="BC299" s="987" t="str">
        <f t="shared" si="388"/>
        <v>-</v>
      </c>
      <c r="BD299" s="987" t="str">
        <f t="shared" si="389"/>
        <v>-</v>
      </c>
      <c r="BE299" s="987" t="str">
        <f t="shared" si="390"/>
        <v>-</v>
      </c>
      <c r="BF299" s="989" t="str">
        <f t="shared" si="391"/>
        <v>-</v>
      </c>
      <c r="BG299" s="951"/>
      <c r="BH299" s="984" t="str">
        <f t="shared" si="392"/>
        <v>Rev</v>
      </c>
      <c r="BI299" s="985" t="str">
        <f t="shared" si="393"/>
        <v>[Service]</v>
      </c>
      <c r="BJ299" s="986" t="str">
        <f t="shared" si="394"/>
        <v>[Price]</v>
      </c>
      <c r="BK299" s="987" t="str">
        <f t="shared" ref="BK299:BU299" si="448">IF(V299="","-",IFERROR((V299/U299-1)*(U299/U$13),"-"))</f>
        <v>-</v>
      </c>
      <c r="BL299" s="987" t="str">
        <f t="shared" si="448"/>
        <v>-</v>
      </c>
      <c r="BM299" s="987" t="str">
        <f t="shared" si="448"/>
        <v>-</v>
      </c>
      <c r="BN299" s="987" t="str">
        <f t="shared" si="448"/>
        <v>-</v>
      </c>
      <c r="BO299" s="1353" t="str">
        <f t="shared" si="448"/>
        <v>-</v>
      </c>
      <c r="BP299" s="1346" t="str">
        <f t="shared" si="448"/>
        <v>-</v>
      </c>
      <c r="BQ299" s="987" t="str">
        <f t="shared" si="448"/>
        <v>-</v>
      </c>
      <c r="BR299" s="987" t="str">
        <f t="shared" si="448"/>
        <v>-</v>
      </c>
      <c r="BS299" s="987" t="str">
        <f t="shared" si="448"/>
        <v>-</v>
      </c>
      <c r="BT299" s="988" t="str">
        <f t="shared" si="448"/>
        <v>-</v>
      </c>
      <c r="BU299" s="987" t="str">
        <f t="shared" si="448"/>
        <v>-</v>
      </c>
      <c r="BV299" s="987" t="str">
        <f>IF(AG299="","-",IFERROR((AG299/AF299-1)*(AF299/AF$13),"-"))</f>
        <v>-</v>
      </c>
      <c r="BW299" s="987" t="str">
        <f>IF(AH299="","-",IFERROR((AH299/AG299-1)*(AG299/AG$13),"-"))</f>
        <v>-</v>
      </c>
      <c r="BX299" s="987" t="str">
        <f>IF(AI299="","-",IFERROR((AI299/AH299-1)*(AH299/AH$13),"-"))</f>
        <v>-</v>
      </c>
      <c r="BY299" s="989" t="str">
        <f>IF(AJ299="","-",IFERROR((AJ299/AI299-1)*(AI299/AI$13),"-"))</f>
        <v>-</v>
      </c>
      <c r="BZ299" s="951"/>
      <c r="CA299" s="984" t="str">
        <f t="shared" si="372"/>
        <v>Rev</v>
      </c>
      <c r="CB299" s="985" t="str">
        <f t="shared" si="373"/>
        <v>[Service]</v>
      </c>
      <c r="CC299" s="985" t="str">
        <f t="shared" si="374"/>
        <v>[Price]</v>
      </c>
      <c r="CD299" s="990" t="str">
        <f t="shared" si="397"/>
        <v>-</v>
      </c>
      <c r="CE299" s="987" t="str">
        <f t="shared" si="397"/>
        <v>-</v>
      </c>
      <c r="CF299" s="987" t="str">
        <f t="shared" si="397"/>
        <v>-</v>
      </c>
      <c r="CG299" s="988" t="str">
        <f t="shared" si="397"/>
        <v>-</v>
      </c>
      <c r="CH299" s="987" t="str">
        <f t="shared" si="398"/>
        <v>-</v>
      </c>
      <c r="CI299" s="987" t="str">
        <f t="shared" si="398"/>
        <v>-</v>
      </c>
      <c r="CJ299" s="987" t="str">
        <f t="shared" si="398"/>
        <v>-</v>
      </c>
      <c r="CK299" s="989" t="str">
        <f t="shared" si="398"/>
        <v>-</v>
      </c>
    </row>
    <row r="300" spans="4:89">
      <c r="D300" s="63">
        <f>D297+1</f>
        <v>78</v>
      </c>
      <c r="E300" s="550" t="s">
        <v>857</v>
      </c>
      <c r="F300" s="595" t="s">
        <v>428</v>
      </c>
      <c r="G300" s="595"/>
      <c r="H300" s="595"/>
      <c r="I300" s="589" t="s">
        <v>920</v>
      </c>
      <c r="J300" s="589" t="s">
        <v>879</v>
      </c>
      <c r="K300" s="551"/>
      <c r="L300" s="552"/>
      <c r="M300" s="552"/>
      <c r="N300" s="551"/>
      <c r="O300" s="552"/>
      <c r="P300" s="552"/>
      <c r="Q300" s="552"/>
      <c r="R300" s="1035"/>
      <c r="S300" s="1138"/>
      <c r="T300" s="591"/>
      <c r="U300" s="1035"/>
      <c r="V300" s="591"/>
      <c r="W300" s="591"/>
      <c r="X300" s="591"/>
      <c r="Y300" s="591"/>
      <c r="Z300" s="591"/>
      <c r="AA300" s="1138"/>
      <c r="AB300" s="591"/>
      <c r="AC300" s="591"/>
      <c r="AD300" s="591"/>
      <c r="AE300" s="1035"/>
      <c r="AF300" s="591"/>
      <c r="AG300" s="591"/>
      <c r="AH300" s="591"/>
      <c r="AI300" s="591"/>
      <c r="AJ300" s="592"/>
      <c r="AK300" s="548"/>
      <c r="AM300" s="974"/>
      <c r="AO300" s="975" t="str">
        <f t="shared" si="375"/>
        <v>Price</v>
      </c>
      <c r="AP300" s="976" t="str">
        <f t="shared" si="375"/>
        <v>[Service]</v>
      </c>
      <c r="AQ300" s="977" t="str">
        <f t="shared" si="376"/>
        <v>[Price]</v>
      </c>
      <c r="AR300" s="1341" t="str">
        <f t="shared" si="377"/>
        <v>-</v>
      </c>
      <c r="AS300" s="978" t="str">
        <f t="shared" si="378"/>
        <v>-</v>
      </c>
      <c r="AT300" s="979" t="str">
        <f t="shared" si="379"/>
        <v>-</v>
      </c>
      <c r="AU300" s="979" t="str">
        <f t="shared" si="380"/>
        <v>-</v>
      </c>
      <c r="AV300" s="1352" t="str">
        <f t="shared" si="381"/>
        <v>-</v>
      </c>
      <c r="AW300" s="1345" t="str">
        <f t="shared" si="382"/>
        <v>-</v>
      </c>
      <c r="AX300" s="979" t="str">
        <f t="shared" si="383"/>
        <v>-</v>
      </c>
      <c r="AY300" s="979" t="str">
        <f t="shared" si="384"/>
        <v>-</v>
      </c>
      <c r="AZ300" s="979" t="str">
        <f t="shared" si="385"/>
        <v>-</v>
      </c>
      <c r="BA300" s="980" t="str">
        <f t="shared" si="386"/>
        <v>-</v>
      </c>
      <c r="BB300" s="1345" t="str">
        <f t="shared" si="387"/>
        <v>-</v>
      </c>
      <c r="BC300" s="979" t="str">
        <f t="shared" si="388"/>
        <v>-</v>
      </c>
      <c r="BD300" s="979" t="str">
        <f t="shared" si="389"/>
        <v>-</v>
      </c>
      <c r="BE300" s="979" t="str">
        <f t="shared" si="390"/>
        <v>-</v>
      </c>
      <c r="BF300" s="981" t="str">
        <f t="shared" si="391"/>
        <v>-</v>
      </c>
      <c r="BG300" s="951"/>
      <c r="BH300" s="975" t="str">
        <f t="shared" si="392"/>
        <v>Price</v>
      </c>
      <c r="BI300" s="976" t="str">
        <f t="shared" si="393"/>
        <v>[Service]</v>
      </c>
      <c r="BJ300" s="977" t="str">
        <f t="shared" si="394"/>
        <v>[Price]</v>
      </c>
      <c r="BK300" s="978" t="str">
        <f t="shared" ref="BK300:BU300" si="449">IF(V300="","-",IFERROR((V300/U300-1)*(U302/U$13),"-"))</f>
        <v>-</v>
      </c>
      <c r="BL300" s="978" t="str">
        <f t="shared" si="449"/>
        <v>-</v>
      </c>
      <c r="BM300" s="979" t="str">
        <f t="shared" si="449"/>
        <v>-</v>
      </c>
      <c r="BN300" s="979" t="str">
        <f t="shared" si="449"/>
        <v>-</v>
      </c>
      <c r="BO300" s="1352" t="str">
        <f t="shared" si="449"/>
        <v>-</v>
      </c>
      <c r="BP300" s="1345" t="str">
        <f t="shared" si="449"/>
        <v>-</v>
      </c>
      <c r="BQ300" s="979" t="str">
        <f t="shared" si="449"/>
        <v>-</v>
      </c>
      <c r="BR300" s="979" t="str">
        <f t="shared" si="449"/>
        <v>-</v>
      </c>
      <c r="BS300" s="979" t="str">
        <f t="shared" si="449"/>
        <v>-</v>
      </c>
      <c r="BT300" s="980" t="str">
        <f t="shared" si="449"/>
        <v>-</v>
      </c>
      <c r="BU300" s="979" t="str">
        <f t="shared" si="449"/>
        <v>-</v>
      </c>
      <c r="BV300" s="979" t="str">
        <f>IF(AG300="","-",IFERROR((AG300/AF300-1)*(AF302/AF$13),"-"))</f>
        <v>-</v>
      </c>
      <c r="BW300" s="979" t="str">
        <f>IF(AH300="","-",IFERROR((AH300/AG300-1)*(AG302/AG$13),"-"))</f>
        <v>-</v>
      </c>
      <c r="BX300" s="979" t="str">
        <f>IF(AI300="","-",IFERROR((AI300/AH300-1)*(AH302/AH$13),"-"))</f>
        <v>-</v>
      </c>
      <c r="BY300" s="981" t="str">
        <f>IF(AJ300="","-",IFERROR((AJ300/AI300-1)*(AI302/AI$13),"-"))</f>
        <v>-</v>
      </c>
      <c r="BZ300" s="951"/>
      <c r="CA300" s="975" t="str">
        <f t="shared" si="372"/>
        <v>Price</v>
      </c>
      <c r="CB300" s="976" t="str">
        <f t="shared" si="373"/>
        <v>[Service]</v>
      </c>
      <c r="CC300" s="982" t="str">
        <f t="shared" si="374"/>
        <v>[Price]</v>
      </c>
      <c r="CD300" s="983" t="str">
        <f t="shared" si="397"/>
        <v>-</v>
      </c>
      <c r="CE300" s="979" t="str">
        <f t="shared" si="397"/>
        <v>-</v>
      </c>
      <c r="CF300" s="979" t="str">
        <f t="shared" si="397"/>
        <v>-</v>
      </c>
      <c r="CG300" s="980" t="str">
        <f t="shared" si="397"/>
        <v>-</v>
      </c>
      <c r="CH300" s="979" t="str">
        <f t="shared" si="398"/>
        <v>-</v>
      </c>
      <c r="CI300" s="979" t="str">
        <f t="shared" si="398"/>
        <v>-</v>
      </c>
      <c r="CJ300" s="979" t="str">
        <f t="shared" si="398"/>
        <v>-</v>
      </c>
      <c r="CK300" s="981" t="str">
        <f t="shared" si="398"/>
        <v>-</v>
      </c>
    </row>
    <row r="301" spans="4:89">
      <c r="E301" s="567" t="s">
        <v>880</v>
      </c>
      <c r="F301" s="554" t="str">
        <f>+F300</f>
        <v>[Service]</v>
      </c>
      <c r="G301" s="555">
        <f>+G300</f>
        <v>0</v>
      </c>
      <c r="H301" s="555">
        <f>+H300</f>
        <v>0</v>
      </c>
      <c r="I301" s="556" t="str">
        <f>+I300</f>
        <v>[Price]</v>
      </c>
      <c r="J301" s="590" t="s">
        <v>916</v>
      </c>
      <c r="K301" s="557"/>
      <c r="L301" s="558"/>
      <c r="M301" s="558"/>
      <c r="N301" s="557"/>
      <c r="O301" s="558"/>
      <c r="P301" s="558"/>
      <c r="Q301" s="558"/>
      <c r="R301" s="1036"/>
      <c r="S301" s="1139"/>
      <c r="T301" s="593"/>
      <c r="U301" s="1036"/>
      <c r="V301" s="593"/>
      <c r="W301" s="593"/>
      <c r="X301" s="593"/>
      <c r="Y301" s="593"/>
      <c r="Z301" s="593"/>
      <c r="AA301" s="1139"/>
      <c r="AB301" s="593"/>
      <c r="AC301" s="593"/>
      <c r="AD301" s="593"/>
      <c r="AE301" s="1036"/>
      <c r="AF301" s="593"/>
      <c r="AG301" s="593"/>
      <c r="AH301" s="593"/>
      <c r="AI301" s="593"/>
      <c r="AJ301" s="594"/>
      <c r="AK301" s="548"/>
      <c r="AO301" s="961" t="str">
        <f t="shared" si="375"/>
        <v>Qty</v>
      </c>
      <c r="AP301" s="962" t="str">
        <f t="shared" si="375"/>
        <v>[Service]</v>
      </c>
      <c r="AQ301" s="963" t="str">
        <f t="shared" si="376"/>
        <v>[Price]</v>
      </c>
      <c r="AR301" s="967" t="str">
        <f t="shared" si="377"/>
        <v>-</v>
      </c>
      <c r="AS301" s="964" t="str">
        <f t="shared" si="378"/>
        <v>-</v>
      </c>
      <c r="AT301" s="964" t="str">
        <f t="shared" si="379"/>
        <v>-</v>
      </c>
      <c r="AU301" s="964" t="str">
        <f t="shared" si="380"/>
        <v>-</v>
      </c>
      <c r="AV301" s="1350" t="str">
        <f t="shared" si="381"/>
        <v>-</v>
      </c>
      <c r="AW301" s="1343" t="str">
        <f t="shared" si="382"/>
        <v>-</v>
      </c>
      <c r="AX301" s="964" t="str">
        <f t="shared" si="383"/>
        <v>-</v>
      </c>
      <c r="AY301" s="964" t="str">
        <f t="shared" si="384"/>
        <v>-</v>
      </c>
      <c r="AZ301" s="964" t="str">
        <f t="shared" si="385"/>
        <v>-</v>
      </c>
      <c r="BA301" s="965" t="str">
        <f t="shared" si="386"/>
        <v>-</v>
      </c>
      <c r="BB301" s="1343" t="str">
        <f t="shared" si="387"/>
        <v>-</v>
      </c>
      <c r="BC301" s="964" t="str">
        <f t="shared" si="388"/>
        <v>-</v>
      </c>
      <c r="BD301" s="964" t="str">
        <f t="shared" si="389"/>
        <v>-</v>
      </c>
      <c r="BE301" s="964" t="str">
        <f t="shared" si="390"/>
        <v>-</v>
      </c>
      <c r="BF301" s="966" t="str">
        <f t="shared" si="391"/>
        <v>-</v>
      </c>
      <c r="BG301" s="951"/>
      <c r="BH301" s="961" t="str">
        <f t="shared" si="392"/>
        <v>Qty</v>
      </c>
      <c r="BI301" s="962" t="str">
        <f t="shared" si="393"/>
        <v>[Service]</v>
      </c>
      <c r="BJ301" s="963" t="str">
        <f t="shared" si="394"/>
        <v>[Price]</v>
      </c>
      <c r="BK301" s="964" t="str">
        <f t="shared" ref="BK301:BU301" si="450">IF(V301="","-",IFERROR((V301/U301-1)*(U302/U$13),"-"))</f>
        <v>-</v>
      </c>
      <c r="BL301" s="964" t="str">
        <f t="shared" si="450"/>
        <v>-</v>
      </c>
      <c r="BM301" s="964" t="str">
        <f t="shared" si="450"/>
        <v>-</v>
      </c>
      <c r="BN301" s="964" t="str">
        <f t="shared" si="450"/>
        <v>-</v>
      </c>
      <c r="BO301" s="1350" t="str">
        <f t="shared" si="450"/>
        <v>-</v>
      </c>
      <c r="BP301" s="1343" t="str">
        <f t="shared" si="450"/>
        <v>-</v>
      </c>
      <c r="BQ301" s="964" t="str">
        <f t="shared" si="450"/>
        <v>-</v>
      </c>
      <c r="BR301" s="964" t="str">
        <f t="shared" si="450"/>
        <v>-</v>
      </c>
      <c r="BS301" s="964" t="str">
        <f t="shared" si="450"/>
        <v>-</v>
      </c>
      <c r="BT301" s="965" t="str">
        <f t="shared" si="450"/>
        <v>-</v>
      </c>
      <c r="BU301" s="964" t="str">
        <f t="shared" si="450"/>
        <v>-</v>
      </c>
      <c r="BV301" s="964" t="str">
        <f>IF(AG301="","-",IFERROR((AG301/AF301-1)*(AF302/AF$13),"-"))</f>
        <v>-</v>
      </c>
      <c r="BW301" s="964" t="str">
        <f>IF(AH301="","-",IFERROR((AH301/AG301-1)*(AG302/AG$13),"-"))</f>
        <v>-</v>
      </c>
      <c r="BX301" s="964" t="str">
        <f>IF(AI301="","-",IFERROR((AI301/AH301-1)*(AH302/AH$13),"-"))</f>
        <v>-</v>
      </c>
      <c r="BY301" s="966" t="str">
        <f>IF(AJ301="","-",IFERROR((AJ301/AI301-1)*(AI302/AI$13),"-"))</f>
        <v>-</v>
      </c>
      <c r="BZ301" s="951"/>
      <c r="CA301" s="961" t="str">
        <f t="shared" si="372"/>
        <v>Qty</v>
      </c>
      <c r="CB301" s="962" t="str">
        <f t="shared" si="373"/>
        <v>[Service]</v>
      </c>
      <c r="CC301" s="962" t="str">
        <f t="shared" si="374"/>
        <v>[Price]</v>
      </c>
      <c r="CD301" s="967" t="str">
        <f t="shared" si="397"/>
        <v>-</v>
      </c>
      <c r="CE301" s="964" t="str">
        <f t="shared" si="397"/>
        <v>-</v>
      </c>
      <c r="CF301" s="964" t="str">
        <f t="shared" si="397"/>
        <v>-</v>
      </c>
      <c r="CG301" s="965" t="str">
        <f t="shared" si="397"/>
        <v>-</v>
      </c>
      <c r="CH301" s="964" t="str">
        <f t="shared" si="398"/>
        <v>-</v>
      </c>
      <c r="CI301" s="964" t="str">
        <f t="shared" si="398"/>
        <v>-</v>
      </c>
      <c r="CJ301" s="964" t="str">
        <f t="shared" si="398"/>
        <v>-</v>
      </c>
      <c r="CK301" s="966" t="str">
        <f t="shared" si="398"/>
        <v>-</v>
      </c>
    </row>
    <row r="302" spans="4:89" ht="12.75" thickBot="1">
      <c r="E302" s="568" t="s">
        <v>882</v>
      </c>
      <c r="F302" s="560" t="str">
        <f>+F300</f>
        <v>[Service]</v>
      </c>
      <c r="G302" s="561">
        <f>+G300</f>
        <v>0</v>
      </c>
      <c r="H302" s="561">
        <f>+H300</f>
        <v>0</v>
      </c>
      <c r="I302" s="562" t="str">
        <f>+I300</f>
        <v>[Price]</v>
      </c>
      <c r="J302" s="563" t="s">
        <v>883</v>
      </c>
      <c r="K302" s="564">
        <f t="shared" ref="K302:AJ302" si="451">K300*K301/10^6</f>
        <v>0</v>
      </c>
      <c r="L302" s="565">
        <f t="shared" si="451"/>
        <v>0</v>
      </c>
      <c r="M302" s="565">
        <f t="shared" si="451"/>
        <v>0</v>
      </c>
      <c r="N302" s="564">
        <f t="shared" si="451"/>
        <v>0</v>
      </c>
      <c r="O302" s="565">
        <f t="shared" si="451"/>
        <v>0</v>
      </c>
      <c r="P302" s="565">
        <f t="shared" si="451"/>
        <v>0</v>
      </c>
      <c r="Q302" s="565">
        <f t="shared" si="451"/>
        <v>0</v>
      </c>
      <c r="R302" s="566">
        <f t="shared" si="451"/>
        <v>0</v>
      </c>
      <c r="S302" s="564">
        <f t="shared" si="451"/>
        <v>0</v>
      </c>
      <c r="T302" s="565">
        <f t="shared" si="451"/>
        <v>0</v>
      </c>
      <c r="U302" s="566">
        <f t="shared" si="451"/>
        <v>0</v>
      </c>
      <c r="V302" s="565">
        <f t="shared" si="451"/>
        <v>0</v>
      </c>
      <c r="W302" s="565">
        <f t="shared" si="451"/>
        <v>0</v>
      </c>
      <c r="X302" s="565">
        <f t="shared" si="451"/>
        <v>0</v>
      </c>
      <c r="Y302" s="565">
        <f t="shared" si="451"/>
        <v>0</v>
      </c>
      <c r="Z302" s="565">
        <f t="shared" si="451"/>
        <v>0</v>
      </c>
      <c r="AA302" s="564">
        <f t="shared" si="451"/>
        <v>0</v>
      </c>
      <c r="AB302" s="565">
        <f t="shared" si="451"/>
        <v>0</v>
      </c>
      <c r="AC302" s="565">
        <f t="shared" si="451"/>
        <v>0</v>
      </c>
      <c r="AD302" s="565">
        <f t="shared" si="451"/>
        <v>0</v>
      </c>
      <c r="AE302" s="566">
        <f t="shared" si="451"/>
        <v>0</v>
      </c>
      <c r="AF302" s="565">
        <f t="shared" si="451"/>
        <v>0</v>
      </c>
      <c r="AG302" s="565">
        <f>AG300*AG301/10^6</f>
        <v>0</v>
      </c>
      <c r="AH302" s="565">
        <f>AH300*AH301/10^6</f>
        <v>0</v>
      </c>
      <c r="AI302" s="565">
        <f>AI300*AI301/10^6</f>
        <v>0</v>
      </c>
      <c r="AJ302" s="566">
        <f t="shared" si="451"/>
        <v>0</v>
      </c>
      <c r="AK302" s="548"/>
      <c r="AO302" s="984" t="str">
        <f t="shared" si="375"/>
        <v>Rev</v>
      </c>
      <c r="AP302" s="985" t="str">
        <f t="shared" si="375"/>
        <v>[Service]</v>
      </c>
      <c r="AQ302" s="986" t="str">
        <f t="shared" si="376"/>
        <v>[Price]</v>
      </c>
      <c r="AR302" s="990" t="str">
        <f t="shared" si="377"/>
        <v>-</v>
      </c>
      <c r="AS302" s="987" t="str">
        <f t="shared" si="378"/>
        <v>-</v>
      </c>
      <c r="AT302" s="987" t="str">
        <f t="shared" si="379"/>
        <v>-</v>
      </c>
      <c r="AU302" s="987" t="str">
        <f t="shared" si="380"/>
        <v>-</v>
      </c>
      <c r="AV302" s="1353" t="str">
        <f t="shared" si="381"/>
        <v>-</v>
      </c>
      <c r="AW302" s="1346" t="str">
        <f t="shared" si="382"/>
        <v>-</v>
      </c>
      <c r="AX302" s="987" t="str">
        <f t="shared" si="383"/>
        <v>-</v>
      </c>
      <c r="AY302" s="987" t="str">
        <f t="shared" si="384"/>
        <v>-</v>
      </c>
      <c r="AZ302" s="987" t="str">
        <f t="shared" si="385"/>
        <v>-</v>
      </c>
      <c r="BA302" s="988" t="str">
        <f t="shared" si="386"/>
        <v>-</v>
      </c>
      <c r="BB302" s="1346" t="str">
        <f t="shared" si="387"/>
        <v>-</v>
      </c>
      <c r="BC302" s="987" t="str">
        <f t="shared" si="388"/>
        <v>-</v>
      </c>
      <c r="BD302" s="987" t="str">
        <f t="shared" si="389"/>
        <v>-</v>
      </c>
      <c r="BE302" s="987" t="str">
        <f t="shared" si="390"/>
        <v>-</v>
      </c>
      <c r="BF302" s="989" t="str">
        <f t="shared" si="391"/>
        <v>-</v>
      </c>
      <c r="BG302" s="951"/>
      <c r="BH302" s="984" t="str">
        <f t="shared" si="392"/>
        <v>Rev</v>
      </c>
      <c r="BI302" s="985" t="str">
        <f t="shared" si="393"/>
        <v>[Service]</v>
      </c>
      <c r="BJ302" s="986" t="str">
        <f t="shared" si="394"/>
        <v>[Price]</v>
      </c>
      <c r="BK302" s="987" t="str">
        <f t="shared" ref="BK302:BU302" si="452">IF(V302="","-",IFERROR((V302/U302-1)*(U302/U$13),"-"))</f>
        <v>-</v>
      </c>
      <c r="BL302" s="987" t="str">
        <f t="shared" si="452"/>
        <v>-</v>
      </c>
      <c r="BM302" s="987" t="str">
        <f t="shared" si="452"/>
        <v>-</v>
      </c>
      <c r="BN302" s="987" t="str">
        <f t="shared" si="452"/>
        <v>-</v>
      </c>
      <c r="BO302" s="1353" t="str">
        <f t="shared" si="452"/>
        <v>-</v>
      </c>
      <c r="BP302" s="1346" t="str">
        <f t="shared" si="452"/>
        <v>-</v>
      </c>
      <c r="BQ302" s="987" t="str">
        <f t="shared" si="452"/>
        <v>-</v>
      </c>
      <c r="BR302" s="987" t="str">
        <f t="shared" si="452"/>
        <v>-</v>
      </c>
      <c r="BS302" s="987" t="str">
        <f t="shared" si="452"/>
        <v>-</v>
      </c>
      <c r="BT302" s="988" t="str">
        <f t="shared" si="452"/>
        <v>-</v>
      </c>
      <c r="BU302" s="987" t="str">
        <f t="shared" si="452"/>
        <v>-</v>
      </c>
      <c r="BV302" s="987" t="str">
        <f>IF(AG302="","-",IFERROR((AG302/AF302-1)*(AF302/AF$13),"-"))</f>
        <v>-</v>
      </c>
      <c r="BW302" s="987" t="str">
        <f>IF(AH302="","-",IFERROR((AH302/AG302-1)*(AG302/AG$13),"-"))</f>
        <v>-</v>
      </c>
      <c r="BX302" s="987" t="str">
        <f>IF(AI302="","-",IFERROR((AI302/AH302-1)*(AH302/AH$13),"-"))</f>
        <v>-</v>
      </c>
      <c r="BY302" s="989" t="str">
        <f>IF(AJ302="","-",IFERROR((AJ302/AI302-1)*(AI302/AI$13),"-"))</f>
        <v>-</v>
      </c>
      <c r="BZ302" s="951"/>
      <c r="CA302" s="984" t="str">
        <f t="shared" si="372"/>
        <v>Rev</v>
      </c>
      <c r="CB302" s="985" t="str">
        <f t="shared" si="373"/>
        <v>[Service]</v>
      </c>
      <c r="CC302" s="985" t="str">
        <f t="shared" si="374"/>
        <v>[Price]</v>
      </c>
      <c r="CD302" s="990" t="str">
        <f t="shared" si="397"/>
        <v>-</v>
      </c>
      <c r="CE302" s="987" t="str">
        <f t="shared" si="397"/>
        <v>-</v>
      </c>
      <c r="CF302" s="987" t="str">
        <f t="shared" si="397"/>
        <v>-</v>
      </c>
      <c r="CG302" s="988" t="str">
        <f t="shared" si="397"/>
        <v>-</v>
      </c>
      <c r="CH302" s="987" t="str">
        <f t="shared" si="398"/>
        <v>-</v>
      </c>
      <c r="CI302" s="987" t="str">
        <f t="shared" si="398"/>
        <v>-</v>
      </c>
      <c r="CJ302" s="987" t="str">
        <f t="shared" si="398"/>
        <v>-</v>
      </c>
      <c r="CK302" s="989" t="str">
        <f t="shared" si="398"/>
        <v>-</v>
      </c>
    </row>
    <row r="303" spans="4:89">
      <c r="D303" s="63">
        <f>D300+1</f>
        <v>79</v>
      </c>
      <c r="E303" s="550" t="s">
        <v>857</v>
      </c>
      <c r="F303" s="595" t="s">
        <v>428</v>
      </c>
      <c r="G303" s="595"/>
      <c r="H303" s="595"/>
      <c r="I303" s="589" t="s">
        <v>920</v>
      </c>
      <c r="J303" s="589" t="s">
        <v>879</v>
      </c>
      <c r="K303" s="551"/>
      <c r="L303" s="552"/>
      <c r="M303" s="552"/>
      <c r="N303" s="551"/>
      <c r="O303" s="552"/>
      <c r="P303" s="552"/>
      <c r="Q303" s="552"/>
      <c r="R303" s="1035"/>
      <c r="S303" s="1138"/>
      <c r="T303" s="591"/>
      <c r="U303" s="1035"/>
      <c r="V303" s="591"/>
      <c r="W303" s="591"/>
      <c r="X303" s="591"/>
      <c r="Y303" s="591"/>
      <c r="Z303" s="591"/>
      <c r="AA303" s="1138"/>
      <c r="AB303" s="591"/>
      <c r="AC303" s="591"/>
      <c r="AD303" s="591"/>
      <c r="AE303" s="1035"/>
      <c r="AF303" s="591"/>
      <c r="AG303" s="591"/>
      <c r="AH303" s="591"/>
      <c r="AI303" s="591"/>
      <c r="AJ303" s="592"/>
      <c r="AK303" s="548"/>
      <c r="AM303" s="974"/>
      <c r="AO303" s="975" t="str">
        <f t="shared" si="375"/>
        <v>Price</v>
      </c>
      <c r="AP303" s="976" t="str">
        <f t="shared" si="375"/>
        <v>[Service]</v>
      </c>
      <c r="AQ303" s="977" t="str">
        <f t="shared" si="376"/>
        <v>[Price]</v>
      </c>
      <c r="AR303" s="1341" t="str">
        <f t="shared" si="377"/>
        <v>-</v>
      </c>
      <c r="AS303" s="978" t="str">
        <f t="shared" si="378"/>
        <v>-</v>
      </c>
      <c r="AT303" s="979" t="str">
        <f t="shared" si="379"/>
        <v>-</v>
      </c>
      <c r="AU303" s="979" t="str">
        <f t="shared" si="380"/>
        <v>-</v>
      </c>
      <c r="AV303" s="1352" t="str">
        <f t="shared" si="381"/>
        <v>-</v>
      </c>
      <c r="AW303" s="1345" t="str">
        <f t="shared" si="382"/>
        <v>-</v>
      </c>
      <c r="AX303" s="979" t="str">
        <f t="shared" si="383"/>
        <v>-</v>
      </c>
      <c r="AY303" s="979" t="str">
        <f t="shared" si="384"/>
        <v>-</v>
      </c>
      <c r="AZ303" s="979" t="str">
        <f t="shared" si="385"/>
        <v>-</v>
      </c>
      <c r="BA303" s="980" t="str">
        <f t="shared" si="386"/>
        <v>-</v>
      </c>
      <c r="BB303" s="1345" t="str">
        <f t="shared" si="387"/>
        <v>-</v>
      </c>
      <c r="BC303" s="979" t="str">
        <f t="shared" si="388"/>
        <v>-</v>
      </c>
      <c r="BD303" s="979" t="str">
        <f t="shared" si="389"/>
        <v>-</v>
      </c>
      <c r="BE303" s="979" t="str">
        <f t="shared" si="390"/>
        <v>-</v>
      </c>
      <c r="BF303" s="981" t="str">
        <f t="shared" si="391"/>
        <v>-</v>
      </c>
      <c r="BG303" s="951"/>
      <c r="BH303" s="975" t="str">
        <f t="shared" si="392"/>
        <v>Price</v>
      </c>
      <c r="BI303" s="976" t="str">
        <f t="shared" si="393"/>
        <v>[Service]</v>
      </c>
      <c r="BJ303" s="977" t="str">
        <f t="shared" si="394"/>
        <v>[Price]</v>
      </c>
      <c r="BK303" s="978" t="str">
        <f t="shared" ref="BK303:BU303" si="453">IF(V303="","-",IFERROR((V303/U303-1)*(U305/U$13),"-"))</f>
        <v>-</v>
      </c>
      <c r="BL303" s="978" t="str">
        <f t="shared" si="453"/>
        <v>-</v>
      </c>
      <c r="BM303" s="979" t="str">
        <f t="shared" si="453"/>
        <v>-</v>
      </c>
      <c r="BN303" s="979" t="str">
        <f t="shared" si="453"/>
        <v>-</v>
      </c>
      <c r="BO303" s="1352" t="str">
        <f t="shared" si="453"/>
        <v>-</v>
      </c>
      <c r="BP303" s="1345" t="str">
        <f t="shared" si="453"/>
        <v>-</v>
      </c>
      <c r="BQ303" s="979" t="str">
        <f t="shared" si="453"/>
        <v>-</v>
      </c>
      <c r="BR303" s="979" t="str">
        <f t="shared" si="453"/>
        <v>-</v>
      </c>
      <c r="BS303" s="979" t="str">
        <f t="shared" si="453"/>
        <v>-</v>
      </c>
      <c r="BT303" s="980" t="str">
        <f t="shared" si="453"/>
        <v>-</v>
      </c>
      <c r="BU303" s="979" t="str">
        <f t="shared" si="453"/>
        <v>-</v>
      </c>
      <c r="BV303" s="979" t="str">
        <f>IF(AG303="","-",IFERROR((AG303/AF303-1)*(AF305/AF$13),"-"))</f>
        <v>-</v>
      </c>
      <c r="BW303" s="979" t="str">
        <f>IF(AH303="","-",IFERROR((AH303/AG303-1)*(AG305/AG$13),"-"))</f>
        <v>-</v>
      </c>
      <c r="BX303" s="979" t="str">
        <f>IF(AI303="","-",IFERROR((AI303/AH303-1)*(AH305/AH$13),"-"))</f>
        <v>-</v>
      </c>
      <c r="BY303" s="981" t="str">
        <f>IF(AJ303="","-",IFERROR((AJ303/AI303-1)*(AI305/AI$13),"-"))</f>
        <v>-</v>
      </c>
      <c r="BZ303" s="951"/>
      <c r="CA303" s="975" t="str">
        <f t="shared" si="372"/>
        <v>Price</v>
      </c>
      <c r="CB303" s="976" t="str">
        <f t="shared" si="373"/>
        <v>[Service]</v>
      </c>
      <c r="CC303" s="982" t="str">
        <f t="shared" si="374"/>
        <v>[Price]</v>
      </c>
      <c r="CD303" s="983" t="str">
        <f t="shared" si="397"/>
        <v>-</v>
      </c>
      <c r="CE303" s="979" t="str">
        <f t="shared" si="397"/>
        <v>-</v>
      </c>
      <c r="CF303" s="979" t="str">
        <f t="shared" si="397"/>
        <v>-</v>
      </c>
      <c r="CG303" s="980" t="str">
        <f t="shared" si="397"/>
        <v>-</v>
      </c>
      <c r="CH303" s="979" t="str">
        <f t="shared" si="398"/>
        <v>-</v>
      </c>
      <c r="CI303" s="979" t="str">
        <f t="shared" si="398"/>
        <v>-</v>
      </c>
      <c r="CJ303" s="979" t="str">
        <f t="shared" si="398"/>
        <v>-</v>
      </c>
      <c r="CK303" s="981" t="str">
        <f t="shared" si="398"/>
        <v>-</v>
      </c>
    </row>
    <row r="304" spans="4:89">
      <c r="E304" s="567" t="s">
        <v>880</v>
      </c>
      <c r="F304" s="554" t="str">
        <f>+F303</f>
        <v>[Service]</v>
      </c>
      <c r="G304" s="555">
        <f>+G303</f>
        <v>0</v>
      </c>
      <c r="H304" s="555">
        <f>+H303</f>
        <v>0</v>
      </c>
      <c r="I304" s="556" t="str">
        <f>+I303</f>
        <v>[Price]</v>
      </c>
      <c r="J304" s="590" t="s">
        <v>916</v>
      </c>
      <c r="K304" s="557"/>
      <c r="L304" s="558"/>
      <c r="M304" s="558"/>
      <c r="N304" s="557"/>
      <c r="O304" s="558"/>
      <c r="P304" s="558"/>
      <c r="Q304" s="558"/>
      <c r="R304" s="1036"/>
      <c r="S304" s="1139"/>
      <c r="T304" s="593"/>
      <c r="U304" s="1036"/>
      <c r="V304" s="593"/>
      <c r="W304" s="593"/>
      <c r="X304" s="593"/>
      <c r="Y304" s="593"/>
      <c r="Z304" s="593"/>
      <c r="AA304" s="1139"/>
      <c r="AB304" s="593"/>
      <c r="AC304" s="593"/>
      <c r="AD304" s="593"/>
      <c r="AE304" s="1036"/>
      <c r="AF304" s="593"/>
      <c r="AG304" s="593"/>
      <c r="AH304" s="593"/>
      <c r="AI304" s="593"/>
      <c r="AJ304" s="594"/>
      <c r="AK304" s="548"/>
      <c r="AO304" s="961" t="str">
        <f t="shared" si="375"/>
        <v>Qty</v>
      </c>
      <c r="AP304" s="962" t="str">
        <f t="shared" si="375"/>
        <v>[Service]</v>
      </c>
      <c r="AQ304" s="963" t="str">
        <f t="shared" si="376"/>
        <v>[Price]</v>
      </c>
      <c r="AR304" s="967" t="str">
        <f t="shared" si="377"/>
        <v>-</v>
      </c>
      <c r="AS304" s="964" t="str">
        <f t="shared" si="378"/>
        <v>-</v>
      </c>
      <c r="AT304" s="964" t="str">
        <f t="shared" si="379"/>
        <v>-</v>
      </c>
      <c r="AU304" s="964" t="str">
        <f t="shared" si="380"/>
        <v>-</v>
      </c>
      <c r="AV304" s="1350" t="str">
        <f t="shared" si="381"/>
        <v>-</v>
      </c>
      <c r="AW304" s="1343" t="str">
        <f t="shared" si="382"/>
        <v>-</v>
      </c>
      <c r="AX304" s="964" t="str">
        <f t="shared" si="383"/>
        <v>-</v>
      </c>
      <c r="AY304" s="964" t="str">
        <f t="shared" si="384"/>
        <v>-</v>
      </c>
      <c r="AZ304" s="964" t="str">
        <f t="shared" si="385"/>
        <v>-</v>
      </c>
      <c r="BA304" s="965" t="str">
        <f t="shared" si="386"/>
        <v>-</v>
      </c>
      <c r="BB304" s="1343" t="str">
        <f t="shared" si="387"/>
        <v>-</v>
      </c>
      <c r="BC304" s="964" t="str">
        <f t="shared" si="388"/>
        <v>-</v>
      </c>
      <c r="BD304" s="964" t="str">
        <f t="shared" si="389"/>
        <v>-</v>
      </c>
      <c r="BE304" s="964" t="str">
        <f t="shared" si="390"/>
        <v>-</v>
      </c>
      <c r="BF304" s="966" t="str">
        <f t="shared" si="391"/>
        <v>-</v>
      </c>
      <c r="BG304" s="951"/>
      <c r="BH304" s="961" t="str">
        <f t="shared" si="392"/>
        <v>Qty</v>
      </c>
      <c r="BI304" s="962" t="str">
        <f t="shared" si="393"/>
        <v>[Service]</v>
      </c>
      <c r="BJ304" s="963" t="str">
        <f t="shared" si="394"/>
        <v>[Price]</v>
      </c>
      <c r="BK304" s="964" t="str">
        <f t="shared" ref="BK304:BU304" si="454">IF(V304="","-",IFERROR((V304/U304-1)*(U305/U$13),"-"))</f>
        <v>-</v>
      </c>
      <c r="BL304" s="964" t="str">
        <f t="shared" si="454"/>
        <v>-</v>
      </c>
      <c r="BM304" s="964" t="str">
        <f t="shared" si="454"/>
        <v>-</v>
      </c>
      <c r="BN304" s="964" t="str">
        <f t="shared" si="454"/>
        <v>-</v>
      </c>
      <c r="BO304" s="1350" t="str">
        <f t="shared" si="454"/>
        <v>-</v>
      </c>
      <c r="BP304" s="1343" t="str">
        <f t="shared" si="454"/>
        <v>-</v>
      </c>
      <c r="BQ304" s="964" t="str">
        <f t="shared" si="454"/>
        <v>-</v>
      </c>
      <c r="BR304" s="964" t="str">
        <f t="shared" si="454"/>
        <v>-</v>
      </c>
      <c r="BS304" s="964" t="str">
        <f t="shared" si="454"/>
        <v>-</v>
      </c>
      <c r="BT304" s="965" t="str">
        <f t="shared" si="454"/>
        <v>-</v>
      </c>
      <c r="BU304" s="964" t="str">
        <f t="shared" si="454"/>
        <v>-</v>
      </c>
      <c r="BV304" s="964" t="str">
        <f>IF(AG304="","-",IFERROR((AG304/AF304-1)*(AF305/AF$13),"-"))</f>
        <v>-</v>
      </c>
      <c r="BW304" s="964" t="str">
        <f>IF(AH304="","-",IFERROR((AH304/AG304-1)*(AG305/AG$13),"-"))</f>
        <v>-</v>
      </c>
      <c r="BX304" s="964" t="str">
        <f>IF(AI304="","-",IFERROR((AI304/AH304-1)*(AH305/AH$13),"-"))</f>
        <v>-</v>
      </c>
      <c r="BY304" s="966" t="str">
        <f>IF(AJ304="","-",IFERROR((AJ304/AI304-1)*(AI305/AI$13),"-"))</f>
        <v>-</v>
      </c>
      <c r="BZ304" s="951"/>
      <c r="CA304" s="961" t="str">
        <f t="shared" si="372"/>
        <v>Qty</v>
      </c>
      <c r="CB304" s="962" t="str">
        <f t="shared" si="373"/>
        <v>[Service]</v>
      </c>
      <c r="CC304" s="962" t="str">
        <f t="shared" si="374"/>
        <v>[Price]</v>
      </c>
      <c r="CD304" s="967" t="str">
        <f t="shared" si="397"/>
        <v>-</v>
      </c>
      <c r="CE304" s="964" t="str">
        <f t="shared" si="397"/>
        <v>-</v>
      </c>
      <c r="CF304" s="964" t="str">
        <f t="shared" si="397"/>
        <v>-</v>
      </c>
      <c r="CG304" s="965" t="str">
        <f t="shared" si="397"/>
        <v>-</v>
      </c>
      <c r="CH304" s="964" t="str">
        <f t="shared" si="398"/>
        <v>-</v>
      </c>
      <c r="CI304" s="964" t="str">
        <f t="shared" si="398"/>
        <v>-</v>
      </c>
      <c r="CJ304" s="964" t="str">
        <f t="shared" si="398"/>
        <v>-</v>
      </c>
      <c r="CK304" s="966" t="str">
        <f t="shared" si="398"/>
        <v>-</v>
      </c>
    </row>
    <row r="305" spans="4:89" ht="12.75" thickBot="1">
      <c r="E305" s="568" t="s">
        <v>882</v>
      </c>
      <c r="F305" s="560" t="str">
        <f>+F303</f>
        <v>[Service]</v>
      </c>
      <c r="G305" s="561">
        <f>+G303</f>
        <v>0</v>
      </c>
      <c r="H305" s="561">
        <f>+H303</f>
        <v>0</v>
      </c>
      <c r="I305" s="562" t="str">
        <f>+I303</f>
        <v>[Price]</v>
      </c>
      <c r="J305" s="563" t="s">
        <v>883</v>
      </c>
      <c r="K305" s="564">
        <f t="shared" ref="K305:AJ305" si="455">K303*K304/10^6</f>
        <v>0</v>
      </c>
      <c r="L305" s="565">
        <f t="shared" si="455"/>
        <v>0</v>
      </c>
      <c r="M305" s="565">
        <f t="shared" si="455"/>
        <v>0</v>
      </c>
      <c r="N305" s="564">
        <f t="shared" si="455"/>
        <v>0</v>
      </c>
      <c r="O305" s="565">
        <f t="shared" si="455"/>
        <v>0</v>
      </c>
      <c r="P305" s="565">
        <f t="shared" si="455"/>
        <v>0</v>
      </c>
      <c r="Q305" s="565">
        <f t="shared" si="455"/>
        <v>0</v>
      </c>
      <c r="R305" s="566">
        <f t="shared" si="455"/>
        <v>0</v>
      </c>
      <c r="S305" s="564">
        <f t="shared" si="455"/>
        <v>0</v>
      </c>
      <c r="T305" s="565">
        <f t="shared" si="455"/>
        <v>0</v>
      </c>
      <c r="U305" s="566">
        <f t="shared" si="455"/>
        <v>0</v>
      </c>
      <c r="V305" s="565">
        <f t="shared" si="455"/>
        <v>0</v>
      </c>
      <c r="W305" s="565">
        <f t="shared" si="455"/>
        <v>0</v>
      </c>
      <c r="X305" s="565">
        <f t="shared" si="455"/>
        <v>0</v>
      </c>
      <c r="Y305" s="565">
        <f t="shared" si="455"/>
        <v>0</v>
      </c>
      <c r="Z305" s="565">
        <f t="shared" si="455"/>
        <v>0</v>
      </c>
      <c r="AA305" s="564">
        <f t="shared" si="455"/>
        <v>0</v>
      </c>
      <c r="AB305" s="565">
        <f t="shared" si="455"/>
        <v>0</v>
      </c>
      <c r="AC305" s="565">
        <f t="shared" si="455"/>
        <v>0</v>
      </c>
      <c r="AD305" s="565">
        <f t="shared" si="455"/>
        <v>0</v>
      </c>
      <c r="AE305" s="566">
        <f t="shared" si="455"/>
        <v>0</v>
      </c>
      <c r="AF305" s="565">
        <f t="shared" si="455"/>
        <v>0</v>
      </c>
      <c r="AG305" s="565">
        <f>AG303*AG304/10^6</f>
        <v>0</v>
      </c>
      <c r="AH305" s="565">
        <f>AH303*AH304/10^6</f>
        <v>0</v>
      </c>
      <c r="AI305" s="565">
        <f>AI303*AI304/10^6</f>
        <v>0</v>
      </c>
      <c r="AJ305" s="566">
        <f t="shared" si="455"/>
        <v>0</v>
      </c>
      <c r="AK305" s="548"/>
      <c r="AO305" s="984" t="str">
        <f t="shared" si="375"/>
        <v>Rev</v>
      </c>
      <c r="AP305" s="985" t="str">
        <f t="shared" si="375"/>
        <v>[Service]</v>
      </c>
      <c r="AQ305" s="986" t="str">
        <f t="shared" si="376"/>
        <v>[Price]</v>
      </c>
      <c r="AR305" s="990" t="str">
        <f t="shared" si="377"/>
        <v>-</v>
      </c>
      <c r="AS305" s="987" t="str">
        <f t="shared" si="378"/>
        <v>-</v>
      </c>
      <c r="AT305" s="987" t="str">
        <f t="shared" si="379"/>
        <v>-</v>
      </c>
      <c r="AU305" s="987" t="str">
        <f t="shared" si="380"/>
        <v>-</v>
      </c>
      <c r="AV305" s="1353" t="str">
        <f t="shared" si="381"/>
        <v>-</v>
      </c>
      <c r="AW305" s="1346" t="str">
        <f t="shared" si="382"/>
        <v>-</v>
      </c>
      <c r="AX305" s="987" t="str">
        <f t="shared" si="383"/>
        <v>-</v>
      </c>
      <c r="AY305" s="987" t="str">
        <f t="shared" si="384"/>
        <v>-</v>
      </c>
      <c r="AZ305" s="987" t="str">
        <f t="shared" si="385"/>
        <v>-</v>
      </c>
      <c r="BA305" s="988" t="str">
        <f t="shared" si="386"/>
        <v>-</v>
      </c>
      <c r="BB305" s="1346" t="str">
        <f t="shared" si="387"/>
        <v>-</v>
      </c>
      <c r="BC305" s="987" t="str">
        <f t="shared" si="388"/>
        <v>-</v>
      </c>
      <c r="BD305" s="987" t="str">
        <f t="shared" si="389"/>
        <v>-</v>
      </c>
      <c r="BE305" s="987" t="str">
        <f t="shared" si="390"/>
        <v>-</v>
      </c>
      <c r="BF305" s="989" t="str">
        <f t="shared" si="391"/>
        <v>-</v>
      </c>
      <c r="BG305" s="951"/>
      <c r="BH305" s="984" t="str">
        <f t="shared" si="392"/>
        <v>Rev</v>
      </c>
      <c r="BI305" s="985" t="str">
        <f t="shared" si="393"/>
        <v>[Service]</v>
      </c>
      <c r="BJ305" s="986" t="str">
        <f t="shared" si="394"/>
        <v>[Price]</v>
      </c>
      <c r="BK305" s="987" t="str">
        <f t="shared" ref="BK305:BU305" si="456">IF(V305="","-",IFERROR((V305/U305-1)*(U305/U$13),"-"))</f>
        <v>-</v>
      </c>
      <c r="BL305" s="987" t="str">
        <f t="shared" si="456"/>
        <v>-</v>
      </c>
      <c r="BM305" s="987" t="str">
        <f t="shared" si="456"/>
        <v>-</v>
      </c>
      <c r="BN305" s="987" t="str">
        <f t="shared" si="456"/>
        <v>-</v>
      </c>
      <c r="BO305" s="1353" t="str">
        <f t="shared" si="456"/>
        <v>-</v>
      </c>
      <c r="BP305" s="1346" t="str">
        <f t="shared" si="456"/>
        <v>-</v>
      </c>
      <c r="BQ305" s="987" t="str">
        <f t="shared" si="456"/>
        <v>-</v>
      </c>
      <c r="BR305" s="987" t="str">
        <f t="shared" si="456"/>
        <v>-</v>
      </c>
      <c r="BS305" s="987" t="str">
        <f t="shared" si="456"/>
        <v>-</v>
      </c>
      <c r="BT305" s="988" t="str">
        <f t="shared" si="456"/>
        <v>-</v>
      </c>
      <c r="BU305" s="987" t="str">
        <f t="shared" si="456"/>
        <v>-</v>
      </c>
      <c r="BV305" s="987" t="str">
        <f>IF(AG305="","-",IFERROR((AG305/AF305-1)*(AF305/AF$13),"-"))</f>
        <v>-</v>
      </c>
      <c r="BW305" s="987" t="str">
        <f>IF(AH305="","-",IFERROR((AH305/AG305-1)*(AG305/AG$13),"-"))</f>
        <v>-</v>
      </c>
      <c r="BX305" s="987" t="str">
        <f>IF(AI305="","-",IFERROR((AI305/AH305-1)*(AH305/AH$13),"-"))</f>
        <v>-</v>
      </c>
      <c r="BY305" s="989" t="str">
        <f>IF(AJ305="","-",IFERROR((AJ305/AI305-1)*(AI305/AI$13),"-"))</f>
        <v>-</v>
      </c>
      <c r="BZ305" s="951"/>
      <c r="CA305" s="984" t="str">
        <f t="shared" si="372"/>
        <v>Rev</v>
      </c>
      <c r="CB305" s="985" t="str">
        <f t="shared" si="373"/>
        <v>[Service]</v>
      </c>
      <c r="CC305" s="985" t="str">
        <f t="shared" si="374"/>
        <v>[Price]</v>
      </c>
      <c r="CD305" s="990" t="str">
        <f t="shared" si="397"/>
        <v>-</v>
      </c>
      <c r="CE305" s="987" t="str">
        <f t="shared" si="397"/>
        <v>-</v>
      </c>
      <c r="CF305" s="987" t="str">
        <f t="shared" si="397"/>
        <v>-</v>
      </c>
      <c r="CG305" s="988" t="str">
        <f t="shared" si="397"/>
        <v>-</v>
      </c>
      <c r="CH305" s="987" t="str">
        <f t="shared" si="398"/>
        <v>-</v>
      </c>
      <c r="CI305" s="987" t="str">
        <f t="shared" si="398"/>
        <v>-</v>
      </c>
      <c r="CJ305" s="987" t="str">
        <f t="shared" si="398"/>
        <v>-</v>
      </c>
      <c r="CK305" s="989" t="str">
        <f t="shared" si="398"/>
        <v>-</v>
      </c>
    </row>
    <row r="306" spans="4:89">
      <c r="D306" s="63">
        <f>D303+1</f>
        <v>80</v>
      </c>
      <c r="E306" s="550" t="s">
        <v>857</v>
      </c>
      <c r="F306" s="595" t="s">
        <v>428</v>
      </c>
      <c r="G306" s="595"/>
      <c r="H306" s="595"/>
      <c r="I306" s="589" t="s">
        <v>920</v>
      </c>
      <c r="J306" s="589" t="s">
        <v>879</v>
      </c>
      <c r="K306" s="551"/>
      <c r="L306" s="552"/>
      <c r="M306" s="552"/>
      <c r="N306" s="551"/>
      <c r="O306" s="552"/>
      <c r="P306" s="552"/>
      <c r="Q306" s="552"/>
      <c r="R306" s="1035"/>
      <c r="S306" s="1138"/>
      <c r="T306" s="591"/>
      <c r="U306" s="1035"/>
      <c r="V306" s="591"/>
      <c r="W306" s="591"/>
      <c r="X306" s="591"/>
      <c r="Y306" s="591"/>
      <c r="Z306" s="591"/>
      <c r="AA306" s="1138"/>
      <c r="AB306" s="591"/>
      <c r="AC306" s="591"/>
      <c r="AD306" s="591"/>
      <c r="AE306" s="1035"/>
      <c r="AF306" s="591"/>
      <c r="AG306" s="591"/>
      <c r="AH306" s="591"/>
      <c r="AI306" s="591"/>
      <c r="AJ306" s="592"/>
      <c r="AK306" s="548"/>
      <c r="AM306" s="974"/>
      <c r="AO306" s="975" t="str">
        <f t="shared" si="375"/>
        <v>Price</v>
      </c>
      <c r="AP306" s="976" t="str">
        <f t="shared" si="375"/>
        <v>[Service]</v>
      </c>
      <c r="AQ306" s="977" t="str">
        <f t="shared" si="376"/>
        <v>[Price]</v>
      </c>
      <c r="AR306" s="1341" t="str">
        <f t="shared" si="377"/>
        <v>-</v>
      </c>
      <c r="AS306" s="978" t="str">
        <f t="shared" si="378"/>
        <v>-</v>
      </c>
      <c r="AT306" s="979" t="str">
        <f t="shared" si="379"/>
        <v>-</v>
      </c>
      <c r="AU306" s="979" t="str">
        <f t="shared" si="380"/>
        <v>-</v>
      </c>
      <c r="AV306" s="1352" t="str">
        <f t="shared" si="381"/>
        <v>-</v>
      </c>
      <c r="AW306" s="1345" t="str">
        <f t="shared" si="382"/>
        <v>-</v>
      </c>
      <c r="AX306" s="979" t="str">
        <f t="shared" si="383"/>
        <v>-</v>
      </c>
      <c r="AY306" s="979" t="str">
        <f t="shared" si="384"/>
        <v>-</v>
      </c>
      <c r="AZ306" s="979" t="str">
        <f t="shared" si="385"/>
        <v>-</v>
      </c>
      <c r="BA306" s="980" t="str">
        <f t="shared" si="386"/>
        <v>-</v>
      </c>
      <c r="BB306" s="1345" t="str">
        <f t="shared" si="387"/>
        <v>-</v>
      </c>
      <c r="BC306" s="979" t="str">
        <f t="shared" si="388"/>
        <v>-</v>
      </c>
      <c r="BD306" s="979" t="str">
        <f t="shared" si="389"/>
        <v>-</v>
      </c>
      <c r="BE306" s="979" t="str">
        <f t="shared" si="390"/>
        <v>-</v>
      </c>
      <c r="BF306" s="981" t="str">
        <f t="shared" si="391"/>
        <v>-</v>
      </c>
      <c r="BG306" s="951"/>
      <c r="BH306" s="975" t="str">
        <f t="shared" si="392"/>
        <v>Price</v>
      </c>
      <c r="BI306" s="976" t="str">
        <f t="shared" si="393"/>
        <v>[Service]</v>
      </c>
      <c r="BJ306" s="977" t="str">
        <f t="shared" si="394"/>
        <v>[Price]</v>
      </c>
      <c r="BK306" s="978" t="str">
        <f t="shared" ref="BK306:BU306" si="457">IF(V306="","-",IFERROR((V306/U306-1)*(U308/U$13),"-"))</f>
        <v>-</v>
      </c>
      <c r="BL306" s="978" t="str">
        <f t="shared" si="457"/>
        <v>-</v>
      </c>
      <c r="BM306" s="979" t="str">
        <f t="shared" si="457"/>
        <v>-</v>
      </c>
      <c r="BN306" s="979" t="str">
        <f t="shared" si="457"/>
        <v>-</v>
      </c>
      <c r="BO306" s="1352" t="str">
        <f t="shared" si="457"/>
        <v>-</v>
      </c>
      <c r="BP306" s="1345" t="str">
        <f t="shared" si="457"/>
        <v>-</v>
      </c>
      <c r="BQ306" s="979" t="str">
        <f t="shared" si="457"/>
        <v>-</v>
      </c>
      <c r="BR306" s="979" t="str">
        <f t="shared" si="457"/>
        <v>-</v>
      </c>
      <c r="BS306" s="979" t="str">
        <f t="shared" si="457"/>
        <v>-</v>
      </c>
      <c r="BT306" s="980" t="str">
        <f t="shared" si="457"/>
        <v>-</v>
      </c>
      <c r="BU306" s="979" t="str">
        <f t="shared" si="457"/>
        <v>-</v>
      </c>
      <c r="BV306" s="979" t="str">
        <f>IF(AG306="","-",IFERROR((AG306/AF306-1)*(AF308/AF$13),"-"))</f>
        <v>-</v>
      </c>
      <c r="BW306" s="979" t="str">
        <f>IF(AH306="","-",IFERROR((AH306/AG306-1)*(AG308/AG$13),"-"))</f>
        <v>-</v>
      </c>
      <c r="BX306" s="979" t="str">
        <f>IF(AI306="","-",IFERROR((AI306/AH306-1)*(AH308/AH$13),"-"))</f>
        <v>-</v>
      </c>
      <c r="BY306" s="981" t="str">
        <f>IF(AJ306="","-",IFERROR((AJ306/AI306-1)*(AI308/AI$13),"-"))</f>
        <v>-</v>
      </c>
      <c r="BZ306" s="951"/>
      <c r="CA306" s="975" t="str">
        <f t="shared" si="372"/>
        <v>Price</v>
      </c>
      <c r="CB306" s="976" t="str">
        <f t="shared" si="373"/>
        <v>[Service]</v>
      </c>
      <c r="CC306" s="982" t="str">
        <f t="shared" si="374"/>
        <v>[Price]</v>
      </c>
      <c r="CD306" s="983" t="str">
        <f t="shared" si="397"/>
        <v>-</v>
      </c>
      <c r="CE306" s="979" t="str">
        <f t="shared" si="397"/>
        <v>-</v>
      </c>
      <c r="CF306" s="979" t="str">
        <f t="shared" si="397"/>
        <v>-</v>
      </c>
      <c r="CG306" s="980" t="str">
        <f t="shared" si="397"/>
        <v>-</v>
      </c>
      <c r="CH306" s="979" t="str">
        <f t="shared" si="398"/>
        <v>-</v>
      </c>
      <c r="CI306" s="979" t="str">
        <f t="shared" si="398"/>
        <v>-</v>
      </c>
      <c r="CJ306" s="979" t="str">
        <f t="shared" si="398"/>
        <v>-</v>
      </c>
      <c r="CK306" s="981" t="str">
        <f t="shared" si="398"/>
        <v>-</v>
      </c>
    </row>
    <row r="307" spans="4:89">
      <c r="E307" s="567" t="s">
        <v>880</v>
      </c>
      <c r="F307" s="554" t="str">
        <f>+F306</f>
        <v>[Service]</v>
      </c>
      <c r="G307" s="555">
        <f>+G306</f>
        <v>0</v>
      </c>
      <c r="H307" s="555">
        <f>+H306</f>
        <v>0</v>
      </c>
      <c r="I307" s="556" t="str">
        <f>+I306</f>
        <v>[Price]</v>
      </c>
      <c r="J307" s="590" t="s">
        <v>916</v>
      </c>
      <c r="K307" s="557"/>
      <c r="L307" s="558"/>
      <c r="M307" s="558"/>
      <c r="N307" s="557"/>
      <c r="O307" s="558"/>
      <c r="P307" s="558"/>
      <c r="Q307" s="558"/>
      <c r="R307" s="1036"/>
      <c r="S307" s="1139"/>
      <c r="T307" s="593"/>
      <c r="U307" s="1036"/>
      <c r="V307" s="593"/>
      <c r="W307" s="593"/>
      <c r="X307" s="593"/>
      <c r="Y307" s="593"/>
      <c r="Z307" s="593"/>
      <c r="AA307" s="1139"/>
      <c r="AB307" s="593"/>
      <c r="AC307" s="593"/>
      <c r="AD307" s="593"/>
      <c r="AE307" s="1036"/>
      <c r="AF307" s="593"/>
      <c r="AG307" s="593"/>
      <c r="AH307" s="593"/>
      <c r="AI307" s="593"/>
      <c r="AJ307" s="594"/>
      <c r="AK307" s="548"/>
      <c r="AO307" s="961" t="str">
        <f t="shared" si="375"/>
        <v>Qty</v>
      </c>
      <c r="AP307" s="962" t="str">
        <f t="shared" si="375"/>
        <v>[Service]</v>
      </c>
      <c r="AQ307" s="963" t="str">
        <f t="shared" si="376"/>
        <v>[Price]</v>
      </c>
      <c r="AR307" s="967" t="str">
        <f t="shared" si="377"/>
        <v>-</v>
      </c>
      <c r="AS307" s="964" t="str">
        <f t="shared" si="378"/>
        <v>-</v>
      </c>
      <c r="AT307" s="964" t="str">
        <f t="shared" si="379"/>
        <v>-</v>
      </c>
      <c r="AU307" s="964" t="str">
        <f t="shared" si="380"/>
        <v>-</v>
      </c>
      <c r="AV307" s="1350" t="str">
        <f t="shared" si="381"/>
        <v>-</v>
      </c>
      <c r="AW307" s="1343" t="str">
        <f t="shared" si="382"/>
        <v>-</v>
      </c>
      <c r="AX307" s="964" t="str">
        <f t="shared" si="383"/>
        <v>-</v>
      </c>
      <c r="AY307" s="964" t="str">
        <f t="shared" si="384"/>
        <v>-</v>
      </c>
      <c r="AZ307" s="964" t="str">
        <f t="shared" si="385"/>
        <v>-</v>
      </c>
      <c r="BA307" s="965" t="str">
        <f t="shared" si="386"/>
        <v>-</v>
      </c>
      <c r="BB307" s="1343" t="str">
        <f t="shared" si="387"/>
        <v>-</v>
      </c>
      <c r="BC307" s="964" t="str">
        <f t="shared" si="388"/>
        <v>-</v>
      </c>
      <c r="BD307" s="964" t="str">
        <f t="shared" si="389"/>
        <v>-</v>
      </c>
      <c r="BE307" s="964" t="str">
        <f t="shared" si="390"/>
        <v>-</v>
      </c>
      <c r="BF307" s="966" t="str">
        <f t="shared" si="391"/>
        <v>-</v>
      </c>
      <c r="BG307" s="951"/>
      <c r="BH307" s="961" t="str">
        <f t="shared" si="392"/>
        <v>Qty</v>
      </c>
      <c r="BI307" s="962" t="str">
        <f t="shared" si="393"/>
        <v>[Service]</v>
      </c>
      <c r="BJ307" s="963" t="str">
        <f t="shared" si="394"/>
        <v>[Price]</v>
      </c>
      <c r="BK307" s="964" t="str">
        <f t="shared" ref="BK307:BU307" si="458">IF(V307="","-",IFERROR((V307/U307-1)*(U308/U$13),"-"))</f>
        <v>-</v>
      </c>
      <c r="BL307" s="964" t="str">
        <f t="shared" si="458"/>
        <v>-</v>
      </c>
      <c r="BM307" s="964" t="str">
        <f t="shared" si="458"/>
        <v>-</v>
      </c>
      <c r="BN307" s="964" t="str">
        <f t="shared" si="458"/>
        <v>-</v>
      </c>
      <c r="BO307" s="1350" t="str">
        <f t="shared" si="458"/>
        <v>-</v>
      </c>
      <c r="BP307" s="1343" t="str">
        <f t="shared" si="458"/>
        <v>-</v>
      </c>
      <c r="BQ307" s="964" t="str">
        <f t="shared" si="458"/>
        <v>-</v>
      </c>
      <c r="BR307" s="964" t="str">
        <f t="shared" si="458"/>
        <v>-</v>
      </c>
      <c r="BS307" s="964" t="str">
        <f t="shared" si="458"/>
        <v>-</v>
      </c>
      <c r="BT307" s="965" t="str">
        <f t="shared" si="458"/>
        <v>-</v>
      </c>
      <c r="BU307" s="964" t="str">
        <f t="shared" si="458"/>
        <v>-</v>
      </c>
      <c r="BV307" s="964" t="str">
        <f>IF(AG307="","-",IFERROR((AG307/AF307-1)*(AF308/AF$13),"-"))</f>
        <v>-</v>
      </c>
      <c r="BW307" s="964" t="str">
        <f>IF(AH307="","-",IFERROR((AH307/AG307-1)*(AG308/AG$13),"-"))</f>
        <v>-</v>
      </c>
      <c r="BX307" s="964" t="str">
        <f>IF(AI307="","-",IFERROR((AI307/AH307-1)*(AH308/AH$13),"-"))</f>
        <v>-</v>
      </c>
      <c r="BY307" s="966" t="str">
        <f>IF(AJ307="","-",IFERROR((AJ307/AI307-1)*(AI308/AI$13),"-"))</f>
        <v>-</v>
      </c>
      <c r="BZ307" s="951"/>
      <c r="CA307" s="961" t="str">
        <f t="shared" si="372"/>
        <v>Qty</v>
      </c>
      <c r="CB307" s="962" t="str">
        <f t="shared" si="373"/>
        <v>[Service]</v>
      </c>
      <c r="CC307" s="962" t="str">
        <f t="shared" si="374"/>
        <v>[Price]</v>
      </c>
      <c r="CD307" s="967" t="str">
        <f t="shared" si="397"/>
        <v>-</v>
      </c>
      <c r="CE307" s="964" t="str">
        <f t="shared" si="397"/>
        <v>-</v>
      </c>
      <c r="CF307" s="964" t="str">
        <f t="shared" si="397"/>
        <v>-</v>
      </c>
      <c r="CG307" s="965" t="str">
        <f t="shared" si="397"/>
        <v>-</v>
      </c>
      <c r="CH307" s="964" t="str">
        <f t="shared" si="398"/>
        <v>-</v>
      </c>
      <c r="CI307" s="964" t="str">
        <f t="shared" si="398"/>
        <v>-</v>
      </c>
      <c r="CJ307" s="964" t="str">
        <f t="shared" si="398"/>
        <v>-</v>
      </c>
      <c r="CK307" s="966" t="str">
        <f t="shared" si="398"/>
        <v>-</v>
      </c>
    </row>
    <row r="308" spans="4:89" ht="12.75" thickBot="1">
      <c r="E308" s="568" t="s">
        <v>882</v>
      </c>
      <c r="F308" s="560" t="str">
        <f>+F306</f>
        <v>[Service]</v>
      </c>
      <c r="G308" s="561">
        <f>+G306</f>
        <v>0</v>
      </c>
      <c r="H308" s="561">
        <f>+H306</f>
        <v>0</v>
      </c>
      <c r="I308" s="562" t="str">
        <f>+I306</f>
        <v>[Price]</v>
      </c>
      <c r="J308" s="563" t="s">
        <v>883</v>
      </c>
      <c r="K308" s="564">
        <f t="shared" ref="K308:AJ308" si="459">K306*K307/10^6</f>
        <v>0</v>
      </c>
      <c r="L308" s="565">
        <f t="shared" si="459"/>
        <v>0</v>
      </c>
      <c r="M308" s="565">
        <f t="shared" si="459"/>
        <v>0</v>
      </c>
      <c r="N308" s="564">
        <f t="shared" si="459"/>
        <v>0</v>
      </c>
      <c r="O308" s="565">
        <f t="shared" si="459"/>
        <v>0</v>
      </c>
      <c r="P308" s="565">
        <f t="shared" si="459"/>
        <v>0</v>
      </c>
      <c r="Q308" s="565">
        <f t="shared" si="459"/>
        <v>0</v>
      </c>
      <c r="R308" s="566">
        <f t="shared" si="459"/>
        <v>0</v>
      </c>
      <c r="S308" s="564">
        <f t="shared" si="459"/>
        <v>0</v>
      </c>
      <c r="T308" s="565">
        <f t="shared" si="459"/>
        <v>0</v>
      </c>
      <c r="U308" s="566">
        <f t="shared" si="459"/>
        <v>0</v>
      </c>
      <c r="V308" s="565">
        <f t="shared" si="459"/>
        <v>0</v>
      </c>
      <c r="W308" s="565">
        <f t="shared" si="459"/>
        <v>0</v>
      </c>
      <c r="X308" s="565">
        <f t="shared" si="459"/>
        <v>0</v>
      </c>
      <c r="Y308" s="565">
        <f t="shared" si="459"/>
        <v>0</v>
      </c>
      <c r="Z308" s="565">
        <f t="shared" si="459"/>
        <v>0</v>
      </c>
      <c r="AA308" s="564">
        <f t="shared" si="459"/>
        <v>0</v>
      </c>
      <c r="AB308" s="565">
        <f t="shared" si="459"/>
        <v>0</v>
      </c>
      <c r="AC308" s="565">
        <f t="shared" si="459"/>
        <v>0</v>
      </c>
      <c r="AD308" s="565">
        <f t="shared" si="459"/>
        <v>0</v>
      </c>
      <c r="AE308" s="566">
        <f t="shared" si="459"/>
        <v>0</v>
      </c>
      <c r="AF308" s="565">
        <f t="shared" si="459"/>
        <v>0</v>
      </c>
      <c r="AG308" s="565">
        <f>AG306*AG307/10^6</f>
        <v>0</v>
      </c>
      <c r="AH308" s="565">
        <f>AH306*AH307/10^6</f>
        <v>0</v>
      </c>
      <c r="AI308" s="565">
        <f>AI306*AI307/10^6</f>
        <v>0</v>
      </c>
      <c r="AJ308" s="566">
        <f t="shared" si="459"/>
        <v>0</v>
      </c>
      <c r="AK308" s="548"/>
      <c r="AO308" s="984" t="str">
        <f t="shared" si="375"/>
        <v>Rev</v>
      </c>
      <c r="AP308" s="985" t="str">
        <f t="shared" si="375"/>
        <v>[Service]</v>
      </c>
      <c r="AQ308" s="986" t="str">
        <f t="shared" si="376"/>
        <v>[Price]</v>
      </c>
      <c r="AR308" s="990" t="str">
        <f t="shared" si="377"/>
        <v>-</v>
      </c>
      <c r="AS308" s="987" t="str">
        <f t="shared" si="378"/>
        <v>-</v>
      </c>
      <c r="AT308" s="987" t="str">
        <f t="shared" si="379"/>
        <v>-</v>
      </c>
      <c r="AU308" s="987" t="str">
        <f t="shared" si="380"/>
        <v>-</v>
      </c>
      <c r="AV308" s="1353" t="str">
        <f t="shared" si="381"/>
        <v>-</v>
      </c>
      <c r="AW308" s="1346" t="str">
        <f t="shared" si="382"/>
        <v>-</v>
      </c>
      <c r="AX308" s="987" t="str">
        <f t="shared" si="383"/>
        <v>-</v>
      </c>
      <c r="AY308" s="987" t="str">
        <f t="shared" si="384"/>
        <v>-</v>
      </c>
      <c r="AZ308" s="987" t="str">
        <f t="shared" si="385"/>
        <v>-</v>
      </c>
      <c r="BA308" s="988" t="str">
        <f t="shared" si="386"/>
        <v>-</v>
      </c>
      <c r="BB308" s="1346" t="str">
        <f t="shared" si="387"/>
        <v>-</v>
      </c>
      <c r="BC308" s="987" t="str">
        <f t="shared" si="388"/>
        <v>-</v>
      </c>
      <c r="BD308" s="987" t="str">
        <f t="shared" si="389"/>
        <v>-</v>
      </c>
      <c r="BE308" s="987" t="str">
        <f t="shared" si="390"/>
        <v>-</v>
      </c>
      <c r="BF308" s="989" t="str">
        <f t="shared" si="391"/>
        <v>-</v>
      </c>
      <c r="BG308" s="951"/>
      <c r="BH308" s="984" t="str">
        <f t="shared" si="392"/>
        <v>Rev</v>
      </c>
      <c r="BI308" s="985" t="str">
        <f t="shared" si="393"/>
        <v>[Service]</v>
      </c>
      <c r="BJ308" s="986" t="str">
        <f t="shared" si="394"/>
        <v>[Price]</v>
      </c>
      <c r="BK308" s="987" t="str">
        <f t="shared" ref="BK308:BU308" si="460">IF(V308="","-",IFERROR((V308/U308-1)*(U308/U$13),"-"))</f>
        <v>-</v>
      </c>
      <c r="BL308" s="987" t="str">
        <f t="shared" si="460"/>
        <v>-</v>
      </c>
      <c r="BM308" s="987" t="str">
        <f t="shared" si="460"/>
        <v>-</v>
      </c>
      <c r="BN308" s="987" t="str">
        <f t="shared" si="460"/>
        <v>-</v>
      </c>
      <c r="BO308" s="1353" t="str">
        <f t="shared" si="460"/>
        <v>-</v>
      </c>
      <c r="BP308" s="1346" t="str">
        <f t="shared" si="460"/>
        <v>-</v>
      </c>
      <c r="BQ308" s="987" t="str">
        <f t="shared" si="460"/>
        <v>-</v>
      </c>
      <c r="BR308" s="987" t="str">
        <f t="shared" si="460"/>
        <v>-</v>
      </c>
      <c r="BS308" s="987" t="str">
        <f t="shared" si="460"/>
        <v>-</v>
      </c>
      <c r="BT308" s="988" t="str">
        <f t="shared" si="460"/>
        <v>-</v>
      </c>
      <c r="BU308" s="987" t="str">
        <f t="shared" si="460"/>
        <v>-</v>
      </c>
      <c r="BV308" s="987" t="str">
        <f>IF(AG308="","-",IFERROR((AG308/AF308-1)*(AF308/AF$13),"-"))</f>
        <v>-</v>
      </c>
      <c r="BW308" s="987" t="str">
        <f>IF(AH308="","-",IFERROR((AH308/AG308-1)*(AG308/AG$13),"-"))</f>
        <v>-</v>
      </c>
      <c r="BX308" s="987" t="str">
        <f>IF(AI308="","-",IFERROR((AI308/AH308-1)*(AH308/AH$13),"-"))</f>
        <v>-</v>
      </c>
      <c r="BY308" s="989" t="str">
        <f>IF(AJ308="","-",IFERROR((AJ308/AI308-1)*(AI308/AI$13),"-"))</f>
        <v>-</v>
      </c>
      <c r="BZ308" s="951"/>
      <c r="CA308" s="984" t="str">
        <f t="shared" si="372"/>
        <v>Rev</v>
      </c>
      <c r="CB308" s="985" t="str">
        <f t="shared" si="373"/>
        <v>[Service]</v>
      </c>
      <c r="CC308" s="985" t="str">
        <f t="shared" si="374"/>
        <v>[Price]</v>
      </c>
      <c r="CD308" s="990" t="str">
        <f t="shared" si="397"/>
        <v>-</v>
      </c>
      <c r="CE308" s="987" t="str">
        <f t="shared" si="397"/>
        <v>-</v>
      </c>
      <c r="CF308" s="987" t="str">
        <f t="shared" si="397"/>
        <v>-</v>
      </c>
      <c r="CG308" s="988" t="str">
        <f t="shared" si="397"/>
        <v>-</v>
      </c>
      <c r="CH308" s="987" t="str">
        <f t="shared" si="398"/>
        <v>-</v>
      </c>
      <c r="CI308" s="987" t="str">
        <f t="shared" si="398"/>
        <v>-</v>
      </c>
      <c r="CJ308" s="987" t="str">
        <f t="shared" si="398"/>
        <v>-</v>
      </c>
      <c r="CK308" s="989" t="str">
        <f t="shared" si="398"/>
        <v>-</v>
      </c>
    </row>
    <row r="309" spans="4:89">
      <c r="D309" s="63">
        <f>D306+1</f>
        <v>81</v>
      </c>
      <c r="E309" s="550" t="s">
        <v>857</v>
      </c>
      <c r="F309" s="595" t="s">
        <v>428</v>
      </c>
      <c r="G309" s="595"/>
      <c r="H309" s="595"/>
      <c r="I309" s="589" t="s">
        <v>920</v>
      </c>
      <c r="J309" s="589" t="s">
        <v>879</v>
      </c>
      <c r="K309" s="551"/>
      <c r="L309" s="552"/>
      <c r="M309" s="552"/>
      <c r="N309" s="551"/>
      <c r="O309" s="552"/>
      <c r="P309" s="552"/>
      <c r="Q309" s="552"/>
      <c r="R309" s="1035"/>
      <c r="S309" s="1138"/>
      <c r="T309" s="591"/>
      <c r="U309" s="1035"/>
      <c r="V309" s="591"/>
      <c r="W309" s="591"/>
      <c r="X309" s="591"/>
      <c r="Y309" s="591"/>
      <c r="Z309" s="591"/>
      <c r="AA309" s="1138"/>
      <c r="AB309" s="591"/>
      <c r="AC309" s="591"/>
      <c r="AD309" s="591"/>
      <c r="AE309" s="1035"/>
      <c r="AF309" s="591"/>
      <c r="AG309" s="591"/>
      <c r="AH309" s="591"/>
      <c r="AI309" s="591"/>
      <c r="AJ309" s="592"/>
      <c r="AK309" s="548"/>
      <c r="AM309" s="974"/>
      <c r="AO309" s="975" t="str">
        <f t="shared" si="375"/>
        <v>Price</v>
      </c>
      <c r="AP309" s="976" t="str">
        <f t="shared" si="375"/>
        <v>[Service]</v>
      </c>
      <c r="AQ309" s="977" t="str">
        <f t="shared" si="376"/>
        <v>[Price]</v>
      </c>
      <c r="AR309" s="1341" t="str">
        <f t="shared" si="377"/>
        <v>-</v>
      </c>
      <c r="AS309" s="978" t="str">
        <f t="shared" si="378"/>
        <v>-</v>
      </c>
      <c r="AT309" s="979" t="str">
        <f t="shared" si="379"/>
        <v>-</v>
      </c>
      <c r="AU309" s="979" t="str">
        <f t="shared" si="380"/>
        <v>-</v>
      </c>
      <c r="AV309" s="1352" t="str">
        <f t="shared" si="381"/>
        <v>-</v>
      </c>
      <c r="AW309" s="1345" t="str">
        <f t="shared" si="382"/>
        <v>-</v>
      </c>
      <c r="AX309" s="979" t="str">
        <f t="shared" si="383"/>
        <v>-</v>
      </c>
      <c r="AY309" s="979" t="str">
        <f t="shared" si="384"/>
        <v>-</v>
      </c>
      <c r="AZ309" s="979" t="str">
        <f t="shared" si="385"/>
        <v>-</v>
      </c>
      <c r="BA309" s="980" t="str">
        <f t="shared" si="386"/>
        <v>-</v>
      </c>
      <c r="BB309" s="1345" t="str">
        <f t="shared" si="387"/>
        <v>-</v>
      </c>
      <c r="BC309" s="979" t="str">
        <f t="shared" si="388"/>
        <v>-</v>
      </c>
      <c r="BD309" s="979" t="str">
        <f t="shared" si="389"/>
        <v>-</v>
      </c>
      <c r="BE309" s="979" t="str">
        <f t="shared" si="390"/>
        <v>-</v>
      </c>
      <c r="BF309" s="981" t="str">
        <f t="shared" si="391"/>
        <v>-</v>
      </c>
      <c r="BG309" s="951"/>
      <c r="BH309" s="975" t="str">
        <f t="shared" si="392"/>
        <v>Price</v>
      </c>
      <c r="BI309" s="976" t="str">
        <f t="shared" si="393"/>
        <v>[Service]</v>
      </c>
      <c r="BJ309" s="977" t="str">
        <f t="shared" si="394"/>
        <v>[Price]</v>
      </c>
      <c r="BK309" s="978" t="str">
        <f t="shared" ref="BK309:BU309" si="461">IF(V309="","-",IFERROR((V309/U309-1)*(U311/U$13),"-"))</f>
        <v>-</v>
      </c>
      <c r="BL309" s="978" t="str">
        <f t="shared" si="461"/>
        <v>-</v>
      </c>
      <c r="BM309" s="979" t="str">
        <f t="shared" si="461"/>
        <v>-</v>
      </c>
      <c r="BN309" s="979" t="str">
        <f t="shared" si="461"/>
        <v>-</v>
      </c>
      <c r="BO309" s="1352" t="str">
        <f t="shared" si="461"/>
        <v>-</v>
      </c>
      <c r="BP309" s="1345" t="str">
        <f t="shared" si="461"/>
        <v>-</v>
      </c>
      <c r="BQ309" s="979" t="str">
        <f t="shared" si="461"/>
        <v>-</v>
      </c>
      <c r="BR309" s="979" t="str">
        <f t="shared" si="461"/>
        <v>-</v>
      </c>
      <c r="BS309" s="979" t="str">
        <f t="shared" si="461"/>
        <v>-</v>
      </c>
      <c r="BT309" s="980" t="str">
        <f t="shared" si="461"/>
        <v>-</v>
      </c>
      <c r="BU309" s="979" t="str">
        <f t="shared" si="461"/>
        <v>-</v>
      </c>
      <c r="BV309" s="979" t="str">
        <f>IF(AG309="","-",IFERROR((AG309/AF309-1)*(AF311/AF$13),"-"))</f>
        <v>-</v>
      </c>
      <c r="BW309" s="979" t="str">
        <f>IF(AH309="","-",IFERROR((AH309/AG309-1)*(AG311/AG$13),"-"))</f>
        <v>-</v>
      </c>
      <c r="BX309" s="979" t="str">
        <f>IF(AI309="","-",IFERROR((AI309/AH309-1)*(AH311/AH$13),"-"))</f>
        <v>-</v>
      </c>
      <c r="BY309" s="981" t="str">
        <f>IF(AJ309="","-",IFERROR((AJ309/AI309-1)*(AI311/AI$13),"-"))</f>
        <v>-</v>
      </c>
      <c r="BZ309" s="951"/>
      <c r="CA309" s="975" t="str">
        <f t="shared" si="372"/>
        <v>Price</v>
      </c>
      <c r="CB309" s="976" t="str">
        <f t="shared" si="373"/>
        <v>[Service]</v>
      </c>
      <c r="CC309" s="982" t="str">
        <f t="shared" si="374"/>
        <v>[Price]</v>
      </c>
      <c r="CD309" s="983" t="str">
        <f t="shared" si="397"/>
        <v>-</v>
      </c>
      <c r="CE309" s="979" t="str">
        <f t="shared" si="397"/>
        <v>-</v>
      </c>
      <c r="CF309" s="979" t="str">
        <f t="shared" si="397"/>
        <v>-</v>
      </c>
      <c r="CG309" s="980" t="str">
        <f t="shared" si="397"/>
        <v>-</v>
      </c>
      <c r="CH309" s="979" t="str">
        <f t="shared" si="398"/>
        <v>-</v>
      </c>
      <c r="CI309" s="979" t="str">
        <f t="shared" si="398"/>
        <v>-</v>
      </c>
      <c r="CJ309" s="979" t="str">
        <f t="shared" si="398"/>
        <v>-</v>
      </c>
      <c r="CK309" s="981" t="str">
        <f t="shared" si="398"/>
        <v>-</v>
      </c>
    </row>
    <row r="310" spans="4:89">
      <c r="E310" s="567" t="s">
        <v>880</v>
      </c>
      <c r="F310" s="554" t="str">
        <f>+F309</f>
        <v>[Service]</v>
      </c>
      <c r="G310" s="555">
        <f>+G309</f>
        <v>0</v>
      </c>
      <c r="H310" s="555">
        <f>+H309</f>
        <v>0</v>
      </c>
      <c r="I310" s="556" t="str">
        <f>+I309</f>
        <v>[Price]</v>
      </c>
      <c r="J310" s="590" t="s">
        <v>916</v>
      </c>
      <c r="K310" s="557"/>
      <c r="L310" s="558"/>
      <c r="M310" s="558"/>
      <c r="N310" s="557"/>
      <c r="O310" s="558"/>
      <c r="P310" s="558"/>
      <c r="Q310" s="558"/>
      <c r="R310" s="1036"/>
      <c r="S310" s="1139"/>
      <c r="T310" s="593"/>
      <c r="U310" s="1036"/>
      <c r="V310" s="593"/>
      <c r="W310" s="593"/>
      <c r="X310" s="593"/>
      <c r="Y310" s="593"/>
      <c r="Z310" s="593"/>
      <c r="AA310" s="1139"/>
      <c r="AB310" s="593"/>
      <c r="AC310" s="593"/>
      <c r="AD310" s="593"/>
      <c r="AE310" s="1036"/>
      <c r="AF310" s="593"/>
      <c r="AG310" s="593"/>
      <c r="AH310" s="593"/>
      <c r="AI310" s="593"/>
      <c r="AJ310" s="594"/>
      <c r="AK310" s="548"/>
      <c r="AO310" s="961" t="str">
        <f t="shared" si="375"/>
        <v>Qty</v>
      </c>
      <c r="AP310" s="962" t="str">
        <f t="shared" si="375"/>
        <v>[Service]</v>
      </c>
      <c r="AQ310" s="963" t="str">
        <f t="shared" si="376"/>
        <v>[Price]</v>
      </c>
      <c r="AR310" s="967" t="str">
        <f t="shared" si="377"/>
        <v>-</v>
      </c>
      <c r="AS310" s="964" t="str">
        <f t="shared" si="378"/>
        <v>-</v>
      </c>
      <c r="AT310" s="964" t="str">
        <f t="shared" si="379"/>
        <v>-</v>
      </c>
      <c r="AU310" s="964" t="str">
        <f t="shared" si="380"/>
        <v>-</v>
      </c>
      <c r="AV310" s="1350" t="str">
        <f t="shared" si="381"/>
        <v>-</v>
      </c>
      <c r="AW310" s="1343" t="str">
        <f t="shared" si="382"/>
        <v>-</v>
      </c>
      <c r="AX310" s="964" t="str">
        <f t="shared" si="383"/>
        <v>-</v>
      </c>
      <c r="AY310" s="964" t="str">
        <f t="shared" si="384"/>
        <v>-</v>
      </c>
      <c r="AZ310" s="964" t="str">
        <f t="shared" si="385"/>
        <v>-</v>
      </c>
      <c r="BA310" s="965" t="str">
        <f t="shared" si="386"/>
        <v>-</v>
      </c>
      <c r="BB310" s="1343" t="str">
        <f t="shared" si="387"/>
        <v>-</v>
      </c>
      <c r="BC310" s="964" t="str">
        <f t="shared" si="388"/>
        <v>-</v>
      </c>
      <c r="BD310" s="964" t="str">
        <f t="shared" si="389"/>
        <v>-</v>
      </c>
      <c r="BE310" s="964" t="str">
        <f t="shared" si="390"/>
        <v>-</v>
      </c>
      <c r="BF310" s="966" t="str">
        <f t="shared" si="391"/>
        <v>-</v>
      </c>
      <c r="BG310" s="951"/>
      <c r="BH310" s="961" t="str">
        <f t="shared" si="392"/>
        <v>Qty</v>
      </c>
      <c r="BI310" s="962" t="str">
        <f t="shared" si="393"/>
        <v>[Service]</v>
      </c>
      <c r="BJ310" s="963" t="str">
        <f t="shared" si="394"/>
        <v>[Price]</v>
      </c>
      <c r="BK310" s="964" t="str">
        <f t="shared" ref="BK310:BU310" si="462">IF(V310="","-",IFERROR((V310/U310-1)*(U311/U$13),"-"))</f>
        <v>-</v>
      </c>
      <c r="BL310" s="964" t="str">
        <f t="shared" si="462"/>
        <v>-</v>
      </c>
      <c r="BM310" s="964" t="str">
        <f t="shared" si="462"/>
        <v>-</v>
      </c>
      <c r="BN310" s="964" t="str">
        <f t="shared" si="462"/>
        <v>-</v>
      </c>
      <c r="BO310" s="1350" t="str">
        <f t="shared" si="462"/>
        <v>-</v>
      </c>
      <c r="BP310" s="1343" t="str">
        <f t="shared" si="462"/>
        <v>-</v>
      </c>
      <c r="BQ310" s="964" t="str">
        <f t="shared" si="462"/>
        <v>-</v>
      </c>
      <c r="BR310" s="964" t="str">
        <f t="shared" si="462"/>
        <v>-</v>
      </c>
      <c r="BS310" s="964" t="str">
        <f t="shared" si="462"/>
        <v>-</v>
      </c>
      <c r="BT310" s="965" t="str">
        <f t="shared" si="462"/>
        <v>-</v>
      </c>
      <c r="BU310" s="964" t="str">
        <f t="shared" si="462"/>
        <v>-</v>
      </c>
      <c r="BV310" s="964" t="str">
        <f>IF(AG310="","-",IFERROR((AG310/AF310-1)*(AF311/AF$13),"-"))</f>
        <v>-</v>
      </c>
      <c r="BW310" s="964" t="str">
        <f>IF(AH310="","-",IFERROR((AH310/AG310-1)*(AG311/AG$13),"-"))</f>
        <v>-</v>
      </c>
      <c r="BX310" s="964" t="str">
        <f>IF(AI310="","-",IFERROR((AI310/AH310-1)*(AH311/AH$13),"-"))</f>
        <v>-</v>
      </c>
      <c r="BY310" s="966" t="str">
        <f>IF(AJ310="","-",IFERROR((AJ310/AI310-1)*(AI311/AI$13),"-"))</f>
        <v>-</v>
      </c>
      <c r="BZ310" s="951"/>
      <c r="CA310" s="961" t="str">
        <f t="shared" si="372"/>
        <v>Qty</v>
      </c>
      <c r="CB310" s="962" t="str">
        <f t="shared" si="373"/>
        <v>[Service]</v>
      </c>
      <c r="CC310" s="962" t="str">
        <f t="shared" si="374"/>
        <v>[Price]</v>
      </c>
      <c r="CD310" s="967" t="str">
        <f t="shared" si="397"/>
        <v>-</v>
      </c>
      <c r="CE310" s="964" t="str">
        <f t="shared" si="397"/>
        <v>-</v>
      </c>
      <c r="CF310" s="964" t="str">
        <f t="shared" si="397"/>
        <v>-</v>
      </c>
      <c r="CG310" s="965" t="str">
        <f t="shared" si="397"/>
        <v>-</v>
      </c>
      <c r="CH310" s="964" t="str">
        <f t="shared" si="398"/>
        <v>-</v>
      </c>
      <c r="CI310" s="964" t="str">
        <f t="shared" si="398"/>
        <v>-</v>
      </c>
      <c r="CJ310" s="964" t="str">
        <f t="shared" si="398"/>
        <v>-</v>
      </c>
      <c r="CK310" s="966" t="str">
        <f t="shared" si="398"/>
        <v>-</v>
      </c>
    </row>
    <row r="311" spans="4:89" ht="12.75" thickBot="1">
      <c r="E311" s="568" t="s">
        <v>882</v>
      </c>
      <c r="F311" s="560" t="str">
        <f>+F309</f>
        <v>[Service]</v>
      </c>
      <c r="G311" s="561">
        <f>+G309</f>
        <v>0</v>
      </c>
      <c r="H311" s="561">
        <f>+H309</f>
        <v>0</v>
      </c>
      <c r="I311" s="562" t="str">
        <f>+I309</f>
        <v>[Price]</v>
      </c>
      <c r="J311" s="563" t="s">
        <v>883</v>
      </c>
      <c r="K311" s="564">
        <f t="shared" ref="K311:AJ311" si="463">K309*K310/10^6</f>
        <v>0</v>
      </c>
      <c r="L311" s="565">
        <f t="shared" si="463"/>
        <v>0</v>
      </c>
      <c r="M311" s="565">
        <f t="shared" si="463"/>
        <v>0</v>
      </c>
      <c r="N311" s="564">
        <f t="shared" si="463"/>
        <v>0</v>
      </c>
      <c r="O311" s="565">
        <f t="shared" si="463"/>
        <v>0</v>
      </c>
      <c r="P311" s="565">
        <f t="shared" si="463"/>
        <v>0</v>
      </c>
      <c r="Q311" s="565">
        <f t="shared" si="463"/>
        <v>0</v>
      </c>
      <c r="R311" s="566">
        <f t="shared" si="463"/>
        <v>0</v>
      </c>
      <c r="S311" s="564">
        <f t="shared" si="463"/>
        <v>0</v>
      </c>
      <c r="T311" s="565">
        <f t="shared" si="463"/>
        <v>0</v>
      </c>
      <c r="U311" s="566">
        <f t="shared" si="463"/>
        <v>0</v>
      </c>
      <c r="V311" s="565">
        <f t="shared" si="463"/>
        <v>0</v>
      </c>
      <c r="W311" s="565">
        <f t="shared" si="463"/>
        <v>0</v>
      </c>
      <c r="X311" s="565">
        <f t="shared" si="463"/>
        <v>0</v>
      </c>
      <c r="Y311" s="565">
        <f t="shared" si="463"/>
        <v>0</v>
      </c>
      <c r="Z311" s="565">
        <f t="shared" si="463"/>
        <v>0</v>
      </c>
      <c r="AA311" s="564">
        <f t="shared" si="463"/>
        <v>0</v>
      </c>
      <c r="AB311" s="565">
        <f t="shared" si="463"/>
        <v>0</v>
      </c>
      <c r="AC311" s="565">
        <f t="shared" si="463"/>
        <v>0</v>
      </c>
      <c r="AD311" s="565">
        <f t="shared" si="463"/>
        <v>0</v>
      </c>
      <c r="AE311" s="566">
        <f t="shared" si="463"/>
        <v>0</v>
      </c>
      <c r="AF311" s="565">
        <f t="shared" si="463"/>
        <v>0</v>
      </c>
      <c r="AG311" s="565">
        <f>AG309*AG310/10^6</f>
        <v>0</v>
      </c>
      <c r="AH311" s="565">
        <f>AH309*AH310/10^6</f>
        <v>0</v>
      </c>
      <c r="AI311" s="565">
        <f>AI309*AI310/10^6</f>
        <v>0</v>
      </c>
      <c r="AJ311" s="566">
        <f t="shared" si="463"/>
        <v>0</v>
      </c>
      <c r="AK311" s="548"/>
      <c r="AO311" s="984" t="str">
        <f t="shared" si="375"/>
        <v>Rev</v>
      </c>
      <c r="AP311" s="985" t="str">
        <f t="shared" si="375"/>
        <v>[Service]</v>
      </c>
      <c r="AQ311" s="986" t="str">
        <f t="shared" si="376"/>
        <v>[Price]</v>
      </c>
      <c r="AR311" s="990" t="str">
        <f t="shared" si="377"/>
        <v>-</v>
      </c>
      <c r="AS311" s="987" t="str">
        <f t="shared" si="378"/>
        <v>-</v>
      </c>
      <c r="AT311" s="987" t="str">
        <f t="shared" si="379"/>
        <v>-</v>
      </c>
      <c r="AU311" s="987" t="str">
        <f t="shared" si="380"/>
        <v>-</v>
      </c>
      <c r="AV311" s="1353" t="str">
        <f t="shared" si="381"/>
        <v>-</v>
      </c>
      <c r="AW311" s="1346" t="str">
        <f t="shared" si="382"/>
        <v>-</v>
      </c>
      <c r="AX311" s="987" t="str">
        <f t="shared" si="383"/>
        <v>-</v>
      </c>
      <c r="AY311" s="987" t="str">
        <f t="shared" si="384"/>
        <v>-</v>
      </c>
      <c r="AZ311" s="987" t="str">
        <f t="shared" si="385"/>
        <v>-</v>
      </c>
      <c r="BA311" s="988" t="str">
        <f t="shared" si="386"/>
        <v>-</v>
      </c>
      <c r="BB311" s="1346" t="str">
        <f t="shared" si="387"/>
        <v>-</v>
      </c>
      <c r="BC311" s="987" t="str">
        <f t="shared" si="388"/>
        <v>-</v>
      </c>
      <c r="BD311" s="987" t="str">
        <f t="shared" si="389"/>
        <v>-</v>
      </c>
      <c r="BE311" s="987" t="str">
        <f t="shared" si="390"/>
        <v>-</v>
      </c>
      <c r="BF311" s="989" t="str">
        <f t="shared" si="391"/>
        <v>-</v>
      </c>
      <c r="BG311" s="951"/>
      <c r="BH311" s="984" t="str">
        <f t="shared" si="392"/>
        <v>Rev</v>
      </c>
      <c r="BI311" s="985" t="str">
        <f t="shared" si="393"/>
        <v>[Service]</v>
      </c>
      <c r="BJ311" s="986" t="str">
        <f t="shared" si="394"/>
        <v>[Price]</v>
      </c>
      <c r="BK311" s="987" t="str">
        <f t="shared" ref="BK311:BU311" si="464">IF(V311="","-",IFERROR((V311/U311-1)*(U311/U$13),"-"))</f>
        <v>-</v>
      </c>
      <c r="BL311" s="987" t="str">
        <f t="shared" si="464"/>
        <v>-</v>
      </c>
      <c r="BM311" s="987" t="str">
        <f t="shared" si="464"/>
        <v>-</v>
      </c>
      <c r="BN311" s="987" t="str">
        <f t="shared" si="464"/>
        <v>-</v>
      </c>
      <c r="BO311" s="1353" t="str">
        <f t="shared" si="464"/>
        <v>-</v>
      </c>
      <c r="BP311" s="1346" t="str">
        <f t="shared" si="464"/>
        <v>-</v>
      </c>
      <c r="BQ311" s="987" t="str">
        <f t="shared" si="464"/>
        <v>-</v>
      </c>
      <c r="BR311" s="987" t="str">
        <f t="shared" si="464"/>
        <v>-</v>
      </c>
      <c r="BS311" s="987" t="str">
        <f t="shared" si="464"/>
        <v>-</v>
      </c>
      <c r="BT311" s="988" t="str">
        <f t="shared" si="464"/>
        <v>-</v>
      </c>
      <c r="BU311" s="987" t="str">
        <f t="shared" si="464"/>
        <v>-</v>
      </c>
      <c r="BV311" s="987" t="str">
        <f>IF(AG311="","-",IFERROR((AG311/AF311-1)*(AF311/AF$13),"-"))</f>
        <v>-</v>
      </c>
      <c r="BW311" s="987" t="str">
        <f>IF(AH311="","-",IFERROR((AH311/AG311-1)*(AG311/AG$13),"-"))</f>
        <v>-</v>
      </c>
      <c r="BX311" s="987" t="str">
        <f>IF(AI311="","-",IFERROR((AI311/AH311-1)*(AH311/AH$13),"-"))</f>
        <v>-</v>
      </c>
      <c r="BY311" s="989" t="str">
        <f>IF(AJ311="","-",IFERROR((AJ311/AI311-1)*(AI311/AI$13),"-"))</f>
        <v>-</v>
      </c>
      <c r="BZ311" s="951"/>
      <c r="CA311" s="984" t="str">
        <f t="shared" si="372"/>
        <v>Rev</v>
      </c>
      <c r="CB311" s="985" t="str">
        <f t="shared" si="373"/>
        <v>[Service]</v>
      </c>
      <c r="CC311" s="985" t="str">
        <f t="shared" si="374"/>
        <v>[Price]</v>
      </c>
      <c r="CD311" s="990" t="str">
        <f t="shared" si="397"/>
        <v>-</v>
      </c>
      <c r="CE311" s="987" t="str">
        <f t="shared" si="397"/>
        <v>-</v>
      </c>
      <c r="CF311" s="987" t="str">
        <f t="shared" si="397"/>
        <v>-</v>
      </c>
      <c r="CG311" s="988" t="str">
        <f t="shared" si="397"/>
        <v>-</v>
      </c>
      <c r="CH311" s="987" t="str">
        <f t="shared" si="398"/>
        <v>-</v>
      </c>
      <c r="CI311" s="987" t="str">
        <f t="shared" si="398"/>
        <v>-</v>
      </c>
      <c r="CJ311" s="987" t="str">
        <f t="shared" si="398"/>
        <v>-</v>
      </c>
      <c r="CK311" s="989" t="str">
        <f t="shared" si="398"/>
        <v>-</v>
      </c>
    </row>
    <row r="312" spans="4:89">
      <c r="D312" s="63">
        <f>D309+1</f>
        <v>82</v>
      </c>
      <c r="E312" s="550" t="s">
        <v>857</v>
      </c>
      <c r="F312" s="595" t="s">
        <v>428</v>
      </c>
      <c r="G312" s="595"/>
      <c r="H312" s="595"/>
      <c r="I312" s="589" t="s">
        <v>920</v>
      </c>
      <c r="J312" s="589" t="s">
        <v>879</v>
      </c>
      <c r="K312" s="551"/>
      <c r="L312" s="552"/>
      <c r="M312" s="552"/>
      <c r="N312" s="551"/>
      <c r="O312" s="552"/>
      <c r="P312" s="552"/>
      <c r="Q312" s="552"/>
      <c r="R312" s="1035"/>
      <c r="S312" s="1138"/>
      <c r="T312" s="591"/>
      <c r="U312" s="1035"/>
      <c r="V312" s="591"/>
      <c r="W312" s="591"/>
      <c r="X312" s="591"/>
      <c r="Y312" s="591"/>
      <c r="Z312" s="591"/>
      <c r="AA312" s="1138"/>
      <c r="AB312" s="591"/>
      <c r="AC312" s="591"/>
      <c r="AD312" s="591"/>
      <c r="AE312" s="1035"/>
      <c r="AF312" s="591"/>
      <c r="AG312" s="591"/>
      <c r="AH312" s="591"/>
      <c r="AI312" s="591"/>
      <c r="AJ312" s="592"/>
      <c r="AK312" s="548"/>
      <c r="AM312" s="974"/>
      <c r="AO312" s="975" t="str">
        <f t="shared" si="375"/>
        <v>Price</v>
      </c>
      <c r="AP312" s="976" t="str">
        <f t="shared" si="375"/>
        <v>[Service]</v>
      </c>
      <c r="AQ312" s="977" t="str">
        <f t="shared" si="376"/>
        <v>[Price]</v>
      </c>
      <c r="AR312" s="1341" t="str">
        <f t="shared" si="377"/>
        <v>-</v>
      </c>
      <c r="AS312" s="978" t="str">
        <f t="shared" si="378"/>
        <v>-</v>
      </c>
      <c r="AT312" s="979" t="str">
        <f t="shared" si="379"/>
        <v>-</v>
      </c>
      <c r="AU312" s="979" t="str">
        <f t="shared" si="380"/>
        <v>-</v>
      </c>
      <c r="AV312" s="1352" t="str">
        <f t="shared" si="381"/>
        <v>-</v>
      </c>
      <c r="AW312" s="1345" t="str">
        <f t="shared" si="382"/>
        <v>-</v>
      </c>
      <c r="AX312" s="979" t="str">
        <f t="shared" si="383"/>
        <v>-</v>
      </c>
      <c r="AY312" s="979" t="str">
        <f t="shared" si="384"/>
        <v>-</v>
      </c>
      <c r="AZ312" s="979" t="str">
        <f t="shared" si="385"/>
        <v>-</v>
      </c>
      <c r="BA312" s="980" t="str">
        <f t="shared" si="386"/>
        <v>-</v>
      </c>
      <c r="BB312" s="1345" t="str">
        <f t="shared" si="387"/>
        <v>-</v>
      </c>
      <c r="BC312" s="979" t="str">
        <f t="shared" si="388"/>
        <v>-</v>
      </c>
      <c r="BD312" s="979" t="str">
        <f t="shared" si="389"/>
        <v>-</v>
      </c>
      <c r="BE312" s="979" t="str">
        <f t="shared" si="390"/>
        <v>-</v>
      </c>
      <c r="BF312" s="981" t="str">
        <f t="shared" si="391"/>
        <v>-</v>
      </c>
      <c r="BG312" s="951"/>
      <c r="BH312" s="975" t="str">
        <f t="shared" si="392"/>
        <v>Price</v>
      </c>
      <c r="BI312" s="976" t="str">
        <f t="shared" si="393"/>
        <v>[Service]</v>
      </c>
      <c r="BJ312" s="977" t="str">
        <f t="shared" si="394"/>
        <v>[Price]</v>
      </c>
      <c r="BK312" s="978" t="str">
        <f t="shared" ref="BK312:BU312" si="465">IF(V312="","-",IFERROR((V312/U312-1)*(U314/U$13),"-"))</f>
        <v>-</v>
      </c>
      <c r="BL312" s="978" t="str">
        <f t="shared" si="465"/>
        <v>-</v>
      </c>
      <c r="BM312" s="979" t="str">
        <f t="shared" si="465"/>
        <v>-</v>
      </c>
      <c r="BN312" s="979" t="str">
        <f t="shared" si="465"/>
        <v>-</v>
      </c>
      <c r="BO312" s="1352" t="str">
        <f t="shared" si="465"/>
        <v>-</v>
      </c>
      <c r="BP312" s="1345" t="str">
        <f t="shared" si="465"/>
        <v>-</v>
      </c>
      <c r="BQ312" s="979" t="str">
        <f t="shared" si="465"/>
        <v>-</v>
      </c>
      <c r="BR312" s="979" t="str">
        <f t="shared" si="465"/>
        <v>-</v>
      </c>
      <c r="BS312" s="979" t="str">
        <f t="shared" si="465"/>
        <v>-</v>
      </c>
      <c r="BT312" s="980" t="str">
        <f t="shared" si="465"/>
        <v>-</v>
      </c>
      <c r="BU312" s="979" t="str">
        <f t="shared" si="465"/>
        <v>-</v>
      </c>
      <c r="BV312" s="979" t="str">
        <f>IF(AG312="","-",IFERROR((AG312/AF312-1)*(AF314/AF$13),"-"))</f>
        <v>-</v>
      </c>
      <c r="BW312" s="979" t="str">
        <f>IF(AH312="","-",IFERROR((AH312/AG312-1)*(AG314/AG$13),"-"))</f>
        <v>-</v>
      </c>
      <c r="BX312" s="979" t="str">
        <f>IF(AI312="","-",IFERROR((AI312/AH312-1)*(AH314/AH$13),"-"))</f>
        <v>-</v>
      </c>
      <c r="BY312" s="981" t="str">
        <f>IF(AJ312="","-",IFERROR((AJ312/AI312-1)*(AI314/AI$13),"-"))</f>
        <v>-</v>
      </c>
      <c r="BZ312" s="951"/>
      <c r="CA312" s="975" t="str">
        <f t="shared" si="372"/>
        <v>Price</v>
      </c>
      <c r="CB312" s="976" t="str">
        <f t="shared" si="373"/>
        <v>[Service]</v>
      </c>
      <c r="CC312" s="982" t="str">
        <f t="shared" si="374"/>
        <v>[Price]</v>
      </c>
      <c r="CD312" s="983" t="str">
        <f t="shared" si="397"/>
        <v>-</v>
      </c>
      <c r="CE312" s="979" t="str">
        <f t="shared" si="397"/>
        <v>-</v>
      </c>
      <c r="CF312" s="979" t="str">
        <f t="shared" si="397"/>
        <v>-</v>
      </c>
      <c r="CG312" s="980" t="str">
        <f t="shared" si="397"/>
        <v>-</v>
      </c>
      <c r="CH312" s="979" t="str">
        <f t="shared" si="398"/>
        <v>-</v>
      </c>
      <c r="CI312" s="979" t="str">
        <f t="shared" si="398"/>
        <v>-</v>
      </c>
      <c r="CJ312" s="979" t="str">
        <f t="shared" si="398"/>
        <v>-</v>
      </c>
      <c r="CK312" s="981" t="str">
        <f t="shared" si="398"/>
        <v>-</v>
      </c>
    </row>
    <row r="313" spans="4:89">
      <c r="E313" s="567" t="s">
        <v>880</v>
      </c>
      <c r="F313" s="554" t="str">
        <f>+F312</f>
        <v>[Service]</v>
      </c>
      <c r="G313" s="555">
        <f>+G312</f>
        <v>0</v>
      </c>
      <c r="H313" s="555">
        <f>+H312</f>
        <v>0</v>
      </c>
      <c r="I313" s="556" t="str">
        <f>+I312</f>
        <v>[Price]</v>
      </c>
      <c r="J313" s="590" t="s">
        <v>916</v>
      </c>
      <c r="K313" s="557"/>
      <c r="L313" s="558"/>
      <c r="M313" s="558"/>
      <c r="N313" s="557"/>
      <c r="O313" s="558"/>
      <c r="P313" s="558"/>
      <c r="Q313" s="558"/>
      <c r="R313" s="1036"/>
      <c r="S313" s="1139"/>
      <c r="T313" s="593"/>
      <c r="U313" s="1036"/>
      <c r="V313" s="593"/>
      <c r="W313" s="593"/>
      <c r="X313" s="593"/>
      <c r="Y313" s="593"/>
      <c r="Z313" s="593"/>
      <c r="AA313" s="1139"/>
      <c r="AB313" s="593"/>
      <c r="AC313" s="593"/>
      <c r="AD313" s="593"/>
      <c r="AE313" s="1036"/>
      <c r="AF313" s="593"/>
      <c r="AG313" s="593"/>
      <c r="AH313" s="593"/>
      <c r="AI313" s="593"/>
      <c r="AJ313" s="594"/>
      <c r="AK313" s="548"/>
      <c r="AO313" s="961" t="str">
        <f t="shared" si="375"/>
        <v>Qty</v>
      </c>
      <c r="AP313" s="962" t="str">
        <f t="shared" si="375"/>
        <v>[Service]</v>
      </c>
      <c r="AQ313" s="963" t="str">
        <f t="shared" si="376"/>
        <v>[Price]</v>
      </c>
      <c r="AR313" s="967" t="str">
        <f t="shared" si="377"/>
        <v>-</v>
      </c>
      <c r="AS313" s="964" t="str">
        <f t="shared" si="378"/>
        <v>-</v>
      </c>
      <c r="AT313" s="964" t="str">
        <f t="shared" si="379"/>
        <v>-</v>
      </c>
      <c r="AU313" s="964" t="str">
        <f t="shared" si="380"/>
        <v>-</v>
      </c>
      <c r="AV313" s="1350" t="str">
        <f t="shared" si="381"/>
        <v>-</v>
      </c>
      <c r="AW313" s="1343" t="str">
        <f t="shared" si="382"/>
        <v>-</v>
      </c>
      <c r="AX313" s="964" t="str">
        <f t="shared" si="383"/>
        <v>-</v>
      </c>
      <c r="AY313" s="964" t="str">
        <f t="shared" si="384"/>
        <v>-</v>
      </c>
      <c r="AZ313" s="964" t="str">
        <f t="shared" si="385"/>
        <v>-</v>
      </c>
      <c r="BA313" s="965" t="str">
        <f t="shared" si="386"/>
        <v>-</v>
      </c>
      <c r="BB313" s="1343" t="str">
        <f t="shared" si="387"/>
        <v>-</v>
      </c>
      <c r="BC313" s="964" t="str">
        <f t="shared" si="388"/>
        <v>-</v>
      </c>
      <c r="BD313" s="964" t="str">
        <f t="shared" si="389"/>
        <v>-</v>
      </c>
      <c r="BE313" s="964" t="str">
        <f t="shared" si="390"/>
        <v>-</v>
      </c>
      <c r="BF313" s="966" t="str">
        <f t="shared" si="391"/>
        <v>-</v>
      </c>
      <c r="BG313" s="951"/>
      <c r="BH313" s="961" t="str">
        <f t="shared" si="392"/>
        <v>Qty</v>
      </c>
      <c r="BI313" s="962" t="str">
        <f t="shared" si="393"/>
        <v>[Service]</v>
      </c>
      <c r="BJ313" s="963" t="str">
        <f t="shared" si="394"/>
        <v>[Price]</v>
      </c>
      <c r="BK313" s="964" t="str">
        <f t="shared" ref="BK313:BU313" si="466">IF(V313="","-",IFERROR((V313/U313-1)*(U314/U$13),"-"))</f>
        <v>-</v>
      </c>
      <c r="BL313" s="964" t="str">
        <f t="shared" si="466"/>
        <v>-</v>
      </c>
      <c r="BM313" s="964" t="str">
        <f t="shared" si="466"/>
        <v>-</v>
      </c>
      <c r="BN313" s="964" t="str">
        <f t="shared" si="466"/>
        <v>-</v>
      </c>
      <c r="BO313" s="1350" t="str">
        <f t="shared" si="466"/>
        <v>-</v>
      </c>
      <c r="BP313" s="1343" t="str">
        <f t="shared" si="466"/>
        <v>-</v>
      </c>
      <c r="BQ313" s="964" t="str">
        <f t="shared" si="466"/>
        <v>-</v>
      </c>
      <c r="BR313" s="964" t="str">
        <f t="shared" si="466"/>
        <v>-</v>
      </c>
      <c r="BS313" s="964" t="str">
        <f t="shared" si="466"/>
        <v>-</v>
      </c>
      <c r="BT313" s="965" t="str">
        <f t="shared" si="466"/>
        <v>-</v>
      </c>
      <c r="BU313" s="964" t="str">
        <f t="shared" si="466"/>
        <v>-</v>
      </c>
      <c r="BV313" s="964" t="str">
        <f>IF(AG313="","-",IFERROR((AG313/AF313-1)*(AF314/AF$13),"-"))</f>
        <v>-</v>
      </c>
      <c r="BW313" s="964" t="str">
        <f>IF(AH313="","-",IFERROR((AH313/AG313-1)*(AG314/AG$13),"-"))</f>
        <v>-</v>
      </c>
      <c r="BX313" s="964" t="str">
        <f>IF(AI313="","-",IFERROR((AI313/AH313-1)*(AH314/AH$13),"-"))</f>
        <v>-</v>
      </c>
      <c r="BY313" s="966" t="str">
        <f>IF(AJ313="","-",IFERROR((AJ313/AI313-1)*(AI314/AI$13),"-"))</f>
        <v>-</v>
      </c>
      <c r="BZ313" s="951"/>
      <c r="CA313" s="961" t="str">
        <f t="shared" si="372"/>
        <v>Qty</v>
      </c>
      <c r="CB313" s="962" t="str">
        <f t="shared" si="373"/>
        <v>[Service]</v>
      </c>
      <c r="CC313" s="962" t="str">
        <f t="shared" si="374"/>
        <v>[Price]</v>
      </c>
      <c r="CD313" s="967" t="str">
        <f t="shared" si="397"/>
        <v>-</v>
      </c>
      <c r="CE313" s="964" t="str">
        <f t="shared" si="397"/>
        <v>-</v>
      </c>
      <c r="CF313" s="964" t="str">
        <f t="shared" si="397"/>
        <v>-</v>
      </c>
      <c r="CG313" s="965" t="str">
        <f t="shared" si="397"/>
        <v>-</v>
      </c>
      <c r="CH313" s="964" t="str">
        <f t="shared" si="398"/>
        <v>-</v>
      </c>
      <c r="CI313" s="964" t="str">
        <f t="shared" si="398"/>
        <v>-</v>
      </c>
      <c r="CJ313" s="964" t="str">
        <f t="shared" si="398"/>
        <v>-</v>
      </c>
      <c r="CK313" s="966" t="str">
        <f t="shared" si="398"/>
        <v>-</v>
      </c>
    </row>
    <row r="314" spans="4:89" ht="12.75" thickBot="1">
      <c r="E314" s="568" t="s">
        <v>882</v>
      </c>
      <c r="F314" s="560" t="str">
        <f>+F312</f>
        <v>[Service]</v>
      </c>
      <c r="G314" s="561">
        <f>+G312</f>
        <v>0</v>
      </c>
      <c r="H314" s="561">
        <f>+H312</f>
        <v>0</v>
      </c>
      <c r="I314" s="562" t="str">
        <f>+I312</f>
        <v>[Price]</v>
      </c>
      <c r="J314" s="563" t="s">
        <v>883</v>
      </c>
      <c r="K314" s="564">
        <f t="shared" ref="K314:AJ314" si="467">K312*K313/10^6</f>
        <v>0</v>
      </c>
      <c r="L314" s="565">
        <f t="shared" si="467"/>
        <v>0</v>
      </c>
      <c r="M314" s="565">
        <f t="shared" si="467"/>
        <v>0</v>
      </c>
      <c r="N314" s="564">
        <f t="shared" si="467"/>
        <v>0</v>
      </c>
      <c r="O314" s="565">
        <f t="shared" si="467"/>
        <v>0</v>
      </c>
      <c r="P314" s="565">
        <f t="shared" si="467"/>
        <v>0</v>
      </c>
      <c r="Q314" s="565">
        <f t="shared" si="467"/>
        <v>0</v>
      </c>
      <c r="R314" s="566">
        <f t="shared" si="467"/>
        <v>0</v>
      </c>
      <c r="S314" s="564">
        <f t="shared" si="467"/>
        <v>0</v>
      </c>
      <c r="T314" s="565">
        <f t="shared" si="467"/>
        <v>0</v>
      </c>
      <c r="U314" s="566">
        <f t="shared" si="467"/>
        <v>0</v>
      </c>
      <c r="V314" s="565">
        <f t="shared" si="467"/>
        <v>0</v>
      </c>
      <c r="W314" s="565">
        <f t="shared" si="467"/>
        <v>0</v>
      </c>
      <c r="X314" s="565">
        <f t="shared" si="467"/>
        <v>0</v>
      </c>
      <c r="Y314" s="565">
        <f t="shared" si="467"/>
        <v>0</v>
      </c>
      <c r="Z314" s="565">
        <f t="shared" si="467"/>
        <v>0</v>
      </c>
      <c r="AA314" s="564">
        <f t="shared" si="467"/>
        <v>0</v>
      </c>
      <c r="AB314" s="565">
        <f t="shared" si="467"/>
        <v>0</v>
      </c>
      <c r="AC314" s="565">
        <f t="shared" si="467"/>
        <v>0</v>
      </c>
      <c r="AD314" s="565">
        <f t="shared" si="467"/>
        <v>0</v>
      </c>
      <c r="AE314" s="566">
        <f t="shared" si="467"/>
        <v>0</v>
      </c>
      <c r="AF314" s="565">
        <f t="shared" si="467"/>
        <v>0</v>
      </c>
      <c r="AG314" s="565">
        <f>AG312*AG313/10^6</f>
        <v>0</v>
      </c>
      <c r="AH314" s="565">
        <f>AH312*AH313/10^6</f>
        <v>0</v>
      </c>
      <c r="AI314" s="565">
        <f>AI312*AI313/10^6</f>
        <v>0</v>
      </c>
      <c r="AJ314" s="566">
        <f t="shared" si="467"/>
        <v>0</v>
      </c>
      <c r="AK314" s="548"/>
      <c r="AO314" s="984" t="str">
        <f t="shared" si="375"/>
        <v>Rev</v>
      </c>
      <c r="AP314" s="985" t="str">
        <f t="shared" si="375"/>
        <v>[Service]</v>
      </c>
      <c r="AQ314" s="986" t="str">
        <f t="shared" si="376"/>
        <v>[Price]</v>
      </c>
      <c r="AR314" s="990" t="str">
        <f t="shared" si="377"/>
        <v>-</v>
      </c>
      <c r="AS314" s="987" t="str">
        <f t="shared" si="378"/>
        <v>-</v>
      </c>
      <c r="AT314" s="987" t="str">
        <f t="shared" si="379"/>
        <v>-</v>
      </c>
      <c r="AU314" s="987" t="str">
        <f t="shared" si="380"/>
        <v>-</v>
      </c>
      <c r="AV314" s="1353" t="str">
        <f t="shared" si="381"/>
        <v>-</v>
      </c>
      <c r="AW314" s="1346" t="str">
        <f t="shared" si="382"/>
        <v>-</v>
      </c>
      <c r="AX314" s="987" t="str">
        <f t="shared" si="383"/>
        <v>-</v>
      </c>
      <c r="AY314" s="987" t="str">
        <f t="shared" si="384"/>
        <v>-</v>
      </c>
      <c r="AZ314" s="987" t="str">
        <f t="shared" si="385"/>
        <v>-</v>
      </c>
      <c r="BA314" s="988" t="str">
        <f t="shared" si="386"/>
        <v>-</v>
      </c>
      <c r="BB314" s="1346" t="str">
        <f t="shared" si="387"/>
        <v>-</v>
      </c>
      <c r="BC314" s="987" t="str">
        <f t="shared" si="388"/>
        <v>-</v>
      </c>
      <c r="BD314" s="987" t="str">
        <f t="shared" si="389"/>
        <v>-</v>
      </c>
      <c r="BE314" s="987" t="str">
        <f t="shared" si="390"/>
        <v>-</v>
      </c>
      <c r="BF314" s="989" t="str">
        <f t="shared" si="391"/>
        <v>-</v>
      </c>
      <c r="BG314" s="951"/>
      <c r="BH314" s="984" t="str">
        <f t="shared" si="392"/>
        <v>Rev</v>
      </c>
      <c r="BI314" s="985" t="str">
        <f t="shared" si="393"/>
        <v>[Service]</v>
      </c>
      <c r="BJ314" s="986" t="str">
        <f t="shared" si="394"/>
        <v>[Price]</v>
      </c>
      <c r="BK314" s="987" t="str">
        <f t="shared" ref="BK314:BU314" si="468">IF(V314="","-",IFERROR((V314/U314-1)*(U314/U$13),"-"))</f>
        <v>-</v>
      </c>
      <c r="BL314" s="987" t="str">
        <f t="shared" si="468"/>
        <v>-</v>
      </c>
      <c r="BM314" s="987" t="str">
        <f t="shared" si="468"/>
        <v>-</v>
      </c>
      <c r="BN314" s="987" t="str">
        <f t="shared" si="468"/>
        <v>-</v>
      </c>
      <c r="BO314" s="1353" t="str">
        <f t="shared" si="468"/>
        <v>-</v>
      </c>
      <c r="BP314" s="1346" t="str">
        <f t="shared" si="468"/>
        <v>-</v>
      </c>
      <c r="BQ314" s="987" t="str">
        <f t="shared" si="468"/>
        <v>-</v>
      </c>
      <c r="BR314" s="987" t="str">
        <f t="shared" si="468"/>
        <v>-</v>
      </c>
      <c r="BS314" s="987" t="str">
        <f t="shared" si="468"/>
        <v>-</v>
      </c>
      <c r="BT314" s="988" t="str">
        <f t="shared" si="468"/>
        <v>-</v>
      </c>
      <c r="BU314" s="987" t="str">
        <f t="shared" si="468"/>
        <v>-</v>
      </c>
      <c r="BV314" s="987" t="str">
        <f>IF(AG314="","-",IFERROR((AG314/AF314-1)*(AF314/AF$13),"-"))</f>
        <v>-</v>
      </c>
      <c r="BW314" s="987" t="str">
        <f>IF(AH314="","-",IFERROR((AH314/AG314-1)*(AG314/AG$13),"-"))</f>
        <v>-</v>
      </c>
      <c r="BX314" s="987" t="str">
        <f>IF(AI314="","-",IFERROR((AI314/AH314-1)*(AH314/AH$13),"-"))</f>
        <v>-</v>
      </c>
      <c r="BY314" s="989" t="str">
        <f>IF(AJ314="","-",IFERROR((AJ314/AI314-1)*(AI314/AI$13),"-"))</f>
        <v>-</v>
      </c>
      <c r="BZ314" s="951"/>
      <c r="CA314" s="984" t="str">
        <f t="shared" si="372"/>
        <v>Rev</v>
      </c>
      <c r="CB314" s="985" t="str">
        <f t="shared" si="373"/>
        <v>[Service]</v>
      </c>
      <c r="CC314" s="985" t="str">
        <f t="shared" si="374"/>
        <v>[Price]</v>
      </c>
      <c r="CD314" s="990" t="str">
        <f t="shared" si="397"/>
        <v>-</v>
      </c>
      <c r="CE314" s="987" t="str">
        <f t="shared" si="397"/>
        <v>-</v>
      </c>
      <c r="CF314" s="987" t="str">
        <f t="shared" si="397"/>
        <v>-</v>
      </c>
      <c r="CG314" s="988" t="str">
        <f t="shared" si="397"/>
        <v>-</v>
      </c>
      <c r="CH314" s="987" t="str">
        <f t="shared" si="398"/>
        <v>-</v>
      </c>
      <c r="CI314" s="987" t="str">
        <f t="shared" si="398"/>
        <v>-</v>
      </c>
      <c r="CJ314" s="987" t="str">
        <f t="shared" si="398"/>
        <v>-</v>
      </c>
      <c r="CK314" s="989" t="str">
        <f t="shared" si="398"/>
        <v>-</v>
      </c>
    </row>
    <row r="315" spans="4:89">
      <c r="D315" s="63">
        <f>D312+1</f>
        <v>83</v>
      </c>
      <c r="E315" s="550" t="s">
        <v>857</v>
      </c>
      <c r="F315" s="595" t="s">
        <v>428</v>
      </c>
      <c r="G315" s="595"/>
      <c r="H315" s="595"/>
      <c r="I315" s="589" t="s">
        <v>920</v>
      </c>
      <c r="J315" s="589" t="s">
        <v>879</v>
      </c>
      <c r="K315" s="551"/>
      <c r="L315" s="552"/>
      <c r="M315" s="552"/>
      <c r="N315" s="551"/>
      <c r="O315" s="552"/>
      <c r="P315" s="552"/>
      <c r="Q315" s="552"/>
      <c r="R315" s="1035"/>
      <c r="S315" s="1138"/>
      <c r="T315" s="591"/>
      <c r="U315" s="1035"/>
      <c r="V315" s="591"/>
      <c r="W315" s="591"/>
      <c r="X315" s="591"/>
      <c r="Y315" s="591"/>
      <c r="Z315" s="591"/>
      <c r="AA315" s="1138"/>
      <c r="AB315" s="591"/>
      <c r="AC315" s="591"/>
      <c r="AD315" s="591"/>
      <c r="AE315" s="1035"/>
      <c r="AF315" s="591"/>
      <c r="AG315" s="591"/>
      <c r="AH315" s="591"/>
      <c r="AI315" s="591"/>
      <c r="AJ315" s="592"/>
      <c r="AK315" s="548"/>
      <c r="AM315" s="974"/>
      <c r="AO315" s="975" t="str">
        <f t="shared" si="375"/>
        <v>Price</v>
      </c>
      <c r="AP315" s="976" t="str">
        <f t="shared" si="375"/>
        <v>[Service]</v>
      </c>
      <c r="AQ315" s="977" t="str">
        <f t="shared" si="376"/>
        <v>[Price]</v>
      </c>
      <c r="AR315" s="1341" t="str">
        <f t="shared" si="377"/>
        <v>-</v>
      </c>
      <c r="AS315" s="978" t="str">
        <f t="shared" si="378"/>
        <v>-</v>
      </c>
      <c r="AT315" s="979" t="str">
        <f t="shared" si="379"/>
        <v>-</v>
      </c>
      <c r="AU315" s="979" t="str">
        <f t="shared" si="380"/>
        <v>-</v>
      </c>
      <c r="AV315" s="1352" t="str">
        <f t="shared" si="381"/>
        <v>-</v>
      </c>
      <c r="AW315" s="1345" t="str">
        <f t="shared" si="382"/>
        <v>-</v>
      </c>
      <c r="AX315" s="979" t="str">
        <f t="shared" si="383"/>
        <v>-</v>
      </c>
      <c r="AY315" s="979" t="str">
        <f t="shared" si="384"/>
        <v>-</v>
      </c>
      <c r="AZ315" s="979" t="str">
        <f t="shared" si="385"/>
        <v>-</v>
      </c>
      <c r="BA315" s="980" t="str">
        <f t="shared" si="386"/>
        <v>-</v>
      </c>
      <c r="BB315" s="1345" t="str">
        <f t="shared" si="387"/>
        <v>-</v>
      </c>
      <c r="BC315" s="979" t="str">
        <f t="shared" si="388"/>
        <v>-</v>
      </c>
      <c r="BD315" s="979" t="str">
        <f t="shared" si="389"/>
        <v>-</v>
      </c>
      <c r="BE315" s="979" t="str">
        <f t="shared" si="390"/>
        <v>-</v>
      </c>
      <c r="BF315" s="981" t="str">
        <f t="shared" si="391"/>
        <v>-</v>
      </c>
      <c r="BG315" s="951"/>
      <c r="BH315" s="975" t="str">
        <f t="shared" si="392"/>
        <v>Price</v>
      </c>
      <c r="BI315" s="976" t="str">
        <f t="shared" si="393"/>
        <v>[Service]</v>
      </c>
      <c r="BJ315" s="977" t="str">
        <f t="shared" si="394"/>
        <v>[Price]</v>
      </c>
      <c r="BK315" s="978" t="str">
        <f t="shared" ref="BK315:BU315" si="469">IF(V315="","-",IFERROR((V315/U315-1)*(U317/U$13),"-"))</f>
        <v>-</v>
      </c>
      <c r="BL315" s="978" t="str">
        <f t="shared" si="469"/>
        <v>-</v>
      </c>
      <c r="BM315" s="979" t="str">
        <f t="shared" si="469"/>
        <v>-</v>
      </c>
      <c r="BN315" s="979" t="str">
        <f t="shared" si="469"/>
        <v>-</v>
      </c>
      <c r="BO315" s="1352" t="str">
        <f t="shared" si="469"/>
        <v>-</v>
      </c>
      <c r="BP315" s="1345" t="str">
        <f t="shared" si="469"/>
        <v>-</v>
      </c>
      <c r="BQ315" s="979" t="str">
        <f t="shared" si="469"/>
        <v>-</v>
      </c>
      <c r="BR315" s="979" t="str">
        <f t="shared" si="469"/>
        <v>-</v>
      </c>
      <c r="BS315" s="979" t="str">
        <f t="shared" si="469"/>
        <v>-</v>
      </c>
      <c r="BT315" s="980" t="str">
        <f t="shared" si="469"/>
        <v>-</v>
      </c>
      <c r="BU315" s="979" t="str">
        <f t="shared" si="469"/>
        <v>-</v>
      </c>
      <c r="BV315" s="979" t="str">
        <f>IF(AG315="","-",IFERROR((AG315/AF315-1)*(AF317/AF$13),"-"))</f>
        <v>-</v>
      </c>
      <c r="BW315" s="979" t="str">
        <f>IF(AH315="","-",IFERROR((AH315/AG315-1)*(AG317/AG$13),"-"))</f>
        <v>-</v>
      </c>
      <c r="BX315" s="979" t="str">
        <f>IF(AI315="","-",IFERROR((AI315/AH315-1)*(AH317/AH$13),"-"))</f>
        <v>-</v>
      </c>
      <c r="BY315" s="981" t="str">
        <f>IF(AJ315="","-",IFERROR((AJ315/AI315-1)*(AI317/AI$13),"-"))</f>
        <v>-</v>
      </c>
      <c r="BZ315" s="951"/>
      <c r="CA315" s="975" t="str">
        <f t="shared" si="372"/>
        <v>Price</v>
      </c>
      <c r="CB315" s="976" t="str">
        <f t="shared" si="373"/>
        <v>[Service]</v>
      </c>
      <c r="CC315" s="982" t="str">
        <f t="shared" si="374"/>
        <v>[Price]</v>
      </c>
      <c r="CD315" s="983" t="str">
        <f t="shared" si="397"/>
        <v>-</v>
      </c>
      <c r="CE315" s="979" t="str">
        <f t="shared" si="397"/>
        <v>-</v>
      </c>
      <c r="CF315" s="979" t="str">
        <f t="shared" si="397"/>
        <v>-</v>
      </c>
      <c r="CG315" s="980" t="str">
        <f t="shared" si="397"/>
        <v>-</v>
      </c>
      <c r="CH315" s="979" t="str">
        <f t="shared" si="398"/>
        <v>-</v>
      </c>
      <c r="CI315" s="979" t="str">
        <f t="shared" si="398"/>
        <v>-</v>
      </c>
      <c r="CJ315" s="979" t="str">
        <f t="shared" si="398"/>
        <v>-</v>
      </c>
      <c r="CK315" s="981" t="str">
        <f t="shared" si="398"/>
        <v>-</v>
      </c>
    </row>
    <row r="316" spans="4:89">
      <c r="E316" s="567" t="s">
        <v>880</v>
      </c>
      <c r="F316" s="554" t="str">
        <f>+F315</f>
        <v>[Service]</v>
      </c>
      <c r="G316" s="555">
        <f>+G315</f>
        <v>0</v>
      </c>
      <c r="H316" s="555">
        <f>+H315</f>
        <v>0</v>
      </c>
      <c r="I316" s="556" t="str">
        <f>+I315</f>
        <v>[Price]</v>
      </c>
      <c r="J316" s="590" t="s">
        <v>916</v>
      </c>
      <c r="K316" s="557"/>
      <c r="L316" s="558"/>
      <c r="M316" s="558"/>
      <c r="N316" s="557"/>
      <c r="O316" s="558"/>
      <c r="P316" s="558"/>
      <c r="Q316" s="558"/>
      <c r="R316" s="1036"/>
      <c r="S316" s="1139"/>
      <c r="T316" s="593"/>
      <c r="U316" s="1036"/>
      <c r="V316" s="593"/>
      <c r="W316" s="593"/>
      <c r="X316" s="593"/>
      <c r="Y316" s="593"/>
      <c r="Z316" s="593"/>
      <c r="AA316" s="1139"/>
      <c r="AB316" s="593"/>
      <c r="AC316" s="593"/>
      <c r="AD316" s="593"/>
      <c r="AE316" s="1036"/>
      <c r="AF316" s="593"/>
      <c r="AG316" s="593"/>
      <c r="AH316" s="593"/>
      <c r="AI316" s="593"/>
      <c r="AJ316" s="594"/>
      <c r="AK316" s="548"/>
      <c r="AO316" s="961" t="str">
        <f t="shared" si="375"/>
        <v>Qty</v>
      </c>
      <c r="AP316" s="962" t="str">
        <f t="shared" si="375"/>
        <v>[Service]</v>
      </c>
      <c r="AQ316" s="963" t="str">
        <f t="shared" si="376"/>
        <v>[Price]</v>
      </c>
      <c r="AR316" s="967" t="str">
        <f t="shared" si="377"/>
        <v>-</v>
      </c>
      <c r="AS316" s="964" t="str">
        <f t="shared" si="378"/>
        <v>-</v>
      </c>
      <c r="AT316" s="964" t="str">
        <f t="shared" si="379"/>
        <v>-</v>
      </c>
      <c r="AU316" s="964" t="str">
        <f t="shared" si="380"/>
        <v>-</v>
      </c>
      <c r="AV316" s="1350" t="str">
        <f t="shared" si="381"/>
        <v>-</v>
      </c>
      <c r="AW316" s="1343" t="str">
        <f t="shared" si="382"/>
        <v>-</v>
      </c>
      <c r="AX316" s="964" t="str">
        <f t="shared" si="383"/>
        <v>-</v>
      </c>
      <c r="AY316" s="964" t="str">
        <f t="shared" si="384"/>
        <v>-</v>
      </c>
      <c r="AZ316" s="964" t="str">
        <f t="shared" si="385"/>
        <v>-</v>
      </c>
      <c r="BA316" s="965" t="str">
        <f t="shared" si="386"/>
        <v>-</v>
      </c>
      <c r="BB316" s="1343" t="str">
        <f t="shared" si="387"/>
        <v>-</v>
      </c>
      <c r="BC316" s="964" t="str">
        <f t="shared" si="388"/>
        <v>-</v>
      </c>
      <c r="BD316" s="964" t="str">
        <f t="shared" si="389"/>
        <v>-</v>
      </c>
      <c r="BE316" s="964" t="str">
        <f t="shared" si="390"/>
        <v>-</v>
      </c>
      <c r="BF316" s="966" t="str">
        <f t="shared" si="391"/>
        <v>-</v>
      </c>
      <c r="BG316" s="951"/>
      <c r="BH316" s="961" t="str">
        <f t="shared" si="392"/>
        <v>Qty</v>
      </c>
      <c r="BI316" s="962" t="str">
        <f t="shared" si="393"/>
        <v>[Service]</v>
      </c>
      <c r="BJ316" s="963" t="str">
        <f t="shared" si="394"/>
        <v>[Price]</v>
      </c>
      <c r="BK316" s="964" t="str">
        <f t="shared" ref="BK316:BU316" si="470">IF(V316="","-",IFERROR((V316/U316-1)*(U317/U$13),"-"))</f>
        <v>-</v>
      </c>
      <c r="BL316" s="964" t="str">
        <f t="shared" si="470"/>
        <v>-</v>
      </c>
      <c r="BM316" s="964" t="str">
        <f t="shared" si="470"/>
        <v>-</v>
      </c>
      <c r="BN316" s="964" t="str">
        <f t="shared" si="470"/>
        <v>-</v>
      </c>
      <c r="BO316" s="1350" t="str">
        <f t="shared" si="470"/>
        <v>-</v>
      </c>
      <c r="BP316" s="1343" t="str">
        <f t="shared" si="470"/>
        <v>-</v>
      </c>
      <c r="BQ316" s="964" t="str">
        <f t="shared" si="470"/>
        <v>-</v>
      </c>
      <c r="BR316" s="964" t="str">
        <f t="shared" si="470"/>
        <v>-</v>
      </c>
      <c r="BS316" s="964" t="str">
        <f t="shared" si="470"/>
        <v>-</v>
      </c>
      <c r="BT316" s="965" t="str">
        <f t="shared" si="470"/>
        <v>-</v>
      </c>
      <c r="BU316" s="964" t="str">
        <f t="shared" si="470"/>
        <v>-</v>
      </c>
      <c r="BV316" s="964" t="str">
        <f>IF(AG316="","-",IFERROR((AG316/AF316-1)*(AF317/AF$13),"-"))</f>
        <v>-</v>
      </c>
      <c r="BW316" s="964" t="str">
        <f>IF(AH316="","-",IFERROR((AH316/AG316-1)*(AG317/AG$13),"-"))</f>
        <v>-</v>
      </c>
      <c r="BX316" s="964" t="str">
        <f>IF(AI316="","-",IFERROR((AI316/AH316-1)*(AH317/AH$13),"-"))</f>
        <v>-</v>
      </c>
      <c r="BY316" s="966" t="str">
        <f>IF(AJ316="","-",IFERROR((AJ316/AI316-1)*(AI317/AI$13),"-"))</f>
        <v>-</v>
      </c>
      <c r="BZ316" s="951"/>
      <c r="CA316" s="961" t="str">
        <f t="shared" si="372"/>
        <v>Qty</v>
      </c>
      <c r="CB316" s="962" t="str">
        <f t="shared" si="373"/>
        <v>[Service]</v>
      </c>
      <c r="CC316" s="962" t="str">
        <f t="shared" si="374"/>
        <v>[Price]</v>
      </c>
      <c r="CD316" s="967" t="str">
        <f t="shared" si="397"/>
        <v>-</v>
      </c>
      <c r="CE316" s="964" t="str">
        <f t="shared" si="397"/>
        <v>-</v>
      </c>
      <c r="CF316" s="964" t="str">
        <f t="shared" si="397"/>
        <v>-</v>
      </c>
      <c r="CG316" s="965" t="str">
        <f t="shared" si="397"/>
        <v>-</v>
      </c>
      <c r="CH316" s="964" t="str">
        <f t="shared" si="398"/>
        <v>-</v>
      </c>
      <c r="CI316" s="964" t="str">
        <f t="shared" si="398"/>
        <v>-</v>
      </c>
      <c r="CJ316" s="964" t="str">
        <f t="shared" si="398"/>
        <v>-</v>
      </c>
      <c r="CK316" s="966" t="str">
        <f t="shared" si="398"/>
        <v>-</v>
      </c>
    </row>
    <row r="317" spans="4:89" ht="12.75" thickBot="1">
      <c r="E317" s="568" t="s">
        <v>882</v>
      </c>
      <c r="F317" s="560" t="str">
        <f>+F315</f>
        <v>[Service]</v>
      </c>
      <c r="G317" s="561">
        <f>+G315</f>
        <v>0</v>
      </c>
      <c r="H317" s="561">
        <f>+H315</f>
        <v>0</v>
      </c>
      <c r="I317" s="562" t="str">
        <f>+I315</f>
        <v>[Price]</v>
      </c>
      <c r="J317" s="563" t="s">
        <v>883</v>
      </c>
      <c r="K317" s="564">
        <f t="shared" ref="K317:AJ317" si="471">K315*K316/10^6</f>
        <v>0</v>
      </c>
      <c r="L317" s="565">
        <f t="shared" si="471"/>
        <v>0</v>
      </c>
      <c r="M317" s="565">
        <f t="shared" si="471"/>
        <v>0</v>
      </c>
      <c r="N317" s="564">
        <f t="shared" si="471"/>
        <v>0</v>
      </c>
      <c r="O317" s="565">
        <f t="shared" si="471"/>
        <v>0</v>
      </c>
      <c r="P317" s="565">
        <f t="shared" si="471"/>
        <v>0</v>
      </c>
      <c r="Q317" s="565">
        <f t="shared" si="471"/>
        <v>0</v>
      </c>
      <c r="R317" s="566">
        <f t="shared" si="471"/>
        <v>0</v>
      </c>
      <c r="S317" s="564">
        <f t="shared" si="471"/>
        <v>0</v>
      </c>
      <c r="T317" s="565">
        <f t="shared" si="471"/>
        <v>0</v>
      </c>
      <c r="U317" s="566">
        <f t="shared" si="471"/>
        <v>0</v>
      </c>
      <c r="V317" s="565">
        <f t="shared" si="471"/>
        <v>0</v>
      </c>
      <c r="W317" s="565">
        <f t="shared" si="471"/>
        <v>0</v>
      </c>
      <c r="X317" s="565">
        <f t="shared" si="471"/>
        <v>0</v>
      </c>
      <c r="Y317" s="565">
        <f t="shared" si="471"/>
        <v>0</v>
      </c>
      <c r="Z317" s="565">
        <f t="shared" si="471"/>
        <v>0</v>
      </c>
      <c r="AA317" s="564">
        <f t="shared" si="471"/>
        <v>0</v>
      </c>
      <c r="AB317" s="565">
        <f t="shared" si="471"/>
        <v>0</v>
      </c>
      <c r="AC317" s="565">
        <f t="shared" si="471"/>
        <v>0</v>
      </c>
      <c r="AD317" s="565">
        <f t="shared" si="471"/>
        <v>0</v>
      </c>
      <c r="AE317" s="566">
        <f t="shared" si="471"/>
        <v>0</v>
      </c>
      <c r="AF317" s="565">
        <f t="shared" si="471"/>
        <v>0</v>
      </c>
      <c r="AG317" s="565">
        <f>AG315*AG316/10^6</f>
        <v>0</v>
      </c>
      <c r="AH317" s="565">
        <f>AH315*AH316/10^6</f>
        <v>0</v>
      </c>
      <c r="AI317" s="565">
        <f>AI315*AI316/10^6</f>
        <v>0</v>
      </c>
      <c r="AJ317" s="566">
        <f t="shared" si="471"/>
        <v>0</v>
      </c>
      <c r="AK317" s="548"/>
      <c r="AO317" s="984" t="str">
        <f t="shared" si="375"/>
        <v>Rev</v>
      </c>
      <c r="AP317" s="985" t="str">
        <f t="shared" si="375"/>
        <v>[Service]</v>
      </c>
      <c r="AQ317" s="986" t="str">
        <f t="shared" si="376"/>
        <v>[Price]</v>
      </c>
      <c r="AR317" s="990" t="str">
        <f t="shared" si="377"/>
        <v>-</v>
      </c>
      <c r="AS317" s="987" t="str">
        <f t="shared" si="378"/>
        <v>-</v>
      </c>
      <c r="AT317" s="987" t="str">
        <f t="shared" si="379"/>
        <v>-</v>
      </c>
      <c r="AU317" s="987" t="str">
        <f t="shared" si="380"/>
        <v>-</v>
      </c>
      <c r="AV317" s="1353" t="str">
        <f t="shared" si="381"/>
        <v>-</v>
      </c>
      <c r="AW317" s="1346" t="str">
        <f t="shared" si="382"/>
        <v>-</v>
      </c>
      <c r="AX317" s="987" t="str">
        <f t="shared" si="383"/>
        <v>-</v>
      </c>
      <c r="AY317" s="987" t="str">
        <f t="shared" si="384"/>
        <v>-</v>
      </c>
      <c r="AZ317" s="987" t="str">
        <f t="shared" si="385"/>
        <v>-</v>
      </c>
      <c r="BA317" s="988" t="str">
        <f t="shared" si="386"/>
        <v>-</v>
      </c>
      <c r="BB317" s="1346" t="str">
        <f t="shared" si="387"/>
        <v>-</v>
      </c>
      <c r="BC317" s="987" t="str">
        <f t="shared" si="388"/>
        <v>-</v>
      </c>
      <c r="BD317" s="987" t="str">
        <f t="shared" si="389"/>
        <v>-</v>
      </c>
      <c r="BE317" s="987" t="str">
        <f t="shared" si="390"/>
        <v>-</v>
      </c>
      <c r="BF317" s="989" t="str">
        <f t="shared" si="391"/>
        <v>-</v>
      </c>
      <c r="BG317" s="951"/>
      <c r="BH317" s="984" t="str">
        <f t="shared" si="392"/>
        <v>Rev</v>
      </c>
      <c r="BI317" s="985" t="str">
        <f t="shared" si="393"/>
        <v>[Service]</v>
      </c>
      <c r="BJ317" s="986" t="str">
        <f t="shared" si="394"/>
        <v>[Price]</v>
      </c>
      <c r="BK317" s="987" t="str">
        <f t="shared" ref="BK317:BU317" si="472">IF(V317="","-",IFERROR((V317/U317-1)*(U317/U$13),"-"))</f>
        <v>-</v>
      </c>
      <c r="BL317" s="987" t="str">
        <f t="shared" si="472"/>
        <v>-</v>
      </c>
      <c r="BM317" s="987" t="str">
        <f t="shared" si="472"/>
        <v>-</v>
      </c>
      <c r="BN317" s="987" t="str">
        <f t="shared" si="472"/>
        <v>-</v>
      </c>
      <c r="BO317" s="1353" t="str">
        <f t="shared" si="472"/>
        <v>-</v>
      </c>
      <c r="BP317" s="1346" t="str">
        <f t="shared" si="472"/>
        <v>-</v>
      </c>
      <c r="BQ317" s="987" t="str">
        <f t="shared" si="472"/>
        <v>-</v>
      </c>
      <c r="BR317" s="987" t="str">
        <f t="shared" si="472"/>
        <v>-</v>
      </c>
      <c r="BS317" s="987" t="str">
        <f t="shared" si="472"/>
        <v>-</v>
      </c>
      <c r="BT317" s="988" t="str">
        <f t="shared" si="472"/>
        <v>-</v>
      </c>
      <c r="BU317" s="987" t="str">
        <f t="shared" si="472"/>
        <v>-</v>
      </c>
      <c r="BV317" s="987" t="str">
        <f>IF(AG317="","-",IFERROR((AG317/AF317-1)*(AF317/AF$13),"-"))</f>
        <v>-</v>
      </c>
      <c r="BW317" s="987" t="str">
        <f>IF(AH317="","-",IFERROR((AH317/AG317-1)*(AG317/AG$13),"-"))</f>
        <v>-</v>
      </c>
      <c r="BX317" s="987" t="str">
        <f>IF(AI317="","-",IFERROR((AI317/AH317-1)*(AH317/AH$13),"-"))</f>
        <v>-</v>
      </c>
      <c r="BY317" s="989" t="str">
        <f>IF(AJ317="","-",IFERROR((AJ317/AI317-1)*(AI317/AI$13),"-"))</f>
        <v>-</v>
      </c>
      <c r="BZ317" s="951"/>
      <c r="CA317" s="984" t="str">
        <f t="shared" si="372"/>
        <v>Rev</v>
      </c>
      <c r="CB317" s="985" t="str">
        <f t="shared" si="373"/>
        <v>[Service]</v>
      </c>
      <c r="CC317" s="985" t="str">
        <f t="shared" si="374"/>
        <v>[Price]</v>
      </c>
      <c r="CD317" s="990" t="str">
        <f t="shared" si="397"/>
        <v>-</v>
      </c>
      <c r="CE317" s="987" t="str">
        <f t="shared" si="397"/>
        <v>-</v>
      </c>
      <c r="CF317" s="987" t="str">
        <f t="shared" si="397"/>
        <v>-</v>
      </c>
      <c r="CG317" s="988" t="str">
        <f t="shared" si="397"/>
        <v>-</v>
      </c>
      <c r="CH317" s="987" t="str">
        <f t="shared" si="398"/>
        <v>-</v>
      </c>
      <c r="CI317" s="987" t="str">
        <f t="shared" si="398"/>
        <v>-</v>
      </c>
      <c r="CJ317" s="987" t="str">
        <f t="shared" si="398"/>
        <v>-</v>
      </c>
      <c r="CK317" s="989" t="str">
        <f t="shared" si="398"/>
        <v>-</v>
      </c>
    </row>
    <row r="318" spans="4:89">
      <c r="D318" s="63">
        <f>D315+1</f>
        <v>84</v>
      </c>
      <c r="E318" s="550" t="s">
        <v>857</v>
      </c>
      <c r="F318" s="595" t="s">
        <v>428</v>
      </c>
      <c r="G318" s="595"/>
      <c r="H318" s="595"/>
      <c r="I318" s="589" t="s">
        <v>920</v>
      </c>
      <c r="J318" s="589" t="s">
        <v>879</v>
      </c>
      <c r="K318" s="551"/>
      <c r="L318" s="552"/>
      <c r="M318" s="552"/>
      <c r="N318" s="551"/>
      <c r="O318" s="552"/>
      <c r="P318" s="552"/>
      <c r="Q318" s="552"/>
      <c r="R318" s="1035"/>
      <c r="S318" s="1138"/>
      <c r="T318" s="591"/>
      <c r="U318" s="1035"/>
      <c r="V318" s="591"/>
      <c r="W318" s="591"/>
      <c r="X318" s="591"/>
      <c r="Y318" s="591"/>
      <c r="Z318" s="591"/>
      <c r="AA318" s="1138"/>
      <c r="AB318" s="591"/>
      <c r="AC318" s="591"/>
      <c r="AD318" s="591"/>
      <c r="AE318" s="1035"/>
      <c r="AF318" s="591"/>
      <c r="AG318" s="591"/>
      <c r="AH318" s="591"/>
      <c r="AI318" s="591"/>
      <c r="AJ318" s="592"/>
      <c r="AK318" s="548"/>
      <c r="AM318" s="974"/>
      <c r="AO318" s="975" t="str">
        <f t="shared" si="375"/>
        <v>Price</v>
      </c>
      <c r="AP318" s="976" t="str">
        <f t="shared" si="375"/>
        <v>[Service]</v>
      </c>
      <c r="AQ318" s="977" t="str">
        <f t="shared" si="376"/>
        <v>[Price]</v>
      </c>
      <c r="AR318" s="1341" t="str">
        <f t="shared" si="377"/>
        <v>-</v>
      </c>
      <c r="AS318" s="978" t="str">
        <f t="shared" si="378"/>
        <v>-</v>
      </c>
      <c r="AT318" s="979" t="str">
        <f t="shared" si="379"/>
        <v>-</v>
      </c>
      <c r="AU318" s="979" t="str">
        <f t="shared" si="380"/>
        <v>-</v>
      </c>
      <c r="AV318" s="1352" t="str">
        <f t="shared" si="381"/>
        <v>-</v>
      </c>
      <c r="AW318" s="1345" t="str">
        <f t="shared" si="382"/>
        <v>-</v>
      </c>
      <c r="AX318" s="979" t="str">
        <f t="shared" si="383"/>
        <v>-</v>
      </c>
      <c r="AY318" s="979" t="str">
        <f t="shared" si="384"/>
        <v>-</v>
      </c>
      <c r="AZ318" s="979" t="str">
        <f t="shared" si="385"/>
        <v>-</v>
      </c>
      <c r="BA318" s="980" t="str">
        <f t="shared" si="386"/>
        <v>-</v>
      </c>
      <c r="BB318" s="1345" t="str">
        <f t="shared" si="387"/>
        <v>-</v>
      </c>
      <c r="BC318" s="979" t="str">
        <f t="shared" si="388"/>
        <v>-</v>
      </c>
      <c r="BD318" s="979" t="str">
        <f t="shared" si="389"/>
        <v>-</v>
      </c>
      <c r="BE318" s="979" t="str">
        <f t="shared" si="390"/>
        <v>-</v>
      </c>
      <c r="BF318" s="981" t="str">
        <f t="shared" si="391"/>
        <v>-</v>
      </c>
      <c r="BG318" s="951"/>
      <c r="BH318" s="975" t="str">
        <f t="shared" si="392"/>
        <v>Price</v>
      </c>
      <c r="BI318" s="976" t="str">
        <f t="shared" si="393"/>
        <v>[Service]</v>
      </c>
      <c r="BJ318" s="977" t="str">
        <f t="shared" si="394"/>
        <v>[Price]</v>
      </c>
      <c r="BK318" s="978" t="str">
        <f t="shared" ref="BK318:BU318" si="473">IF(V318="","-",IFERROR((V318/U318-1)*(U320/U$13),"-"))</f>
        <v>-</v>
      </c>
      <c r="BL318" s="978" t="str">
        <f t="shared" si="473"/>
        <v>-</v>
      </c>
      <c r="BM318" s="979" t="str">
        <f t="shared" si="473"/>
        <v>-</v>
      </c>
      <c r="BN318" s="979" t="str">
        <f t="shared" si="473"/>
        <v>-</v>
      </c>
      <c r="BO318" s="1352" t="str">
        <f t="shared" si="473"/>
        <v>-</v>
      </c>
      <c r="BP318" s="1345" t="str">
        <f t="shared" si="473"/>
        <v>-</v>
      </c>
      <c r="BQ318" s="979" t="str">
        <f t="shared" si="473"/>
        <v>-</v>
      </c>
      <c r="BR318" s="979" t="str">
        <f t="shared" si="473"/>
        <v>-</v>
      </c>
      <c r="BS318" s="979" t="str">
        <f t="shared" si="473"/>
        <v>-</v>
      </c>
      <c r="BT318" s="980" t="str">
        <f t="shared" si="473"/>
        <v>-</v>
      </c>
      <c r="BU318" s="979" t="str">
        <f t="shared" si="473"/>
        <v>-</v>
      </c>
      <c r="BV318" s="979" t="str">
        <f>IF(AG318="","-",IFERROR((AG318/AF318-1)*(AF320/AF$13),"-"))</f>
        <v>-</v>
      </c>
      <c r="BW318" s="979" t="str">
        <f>IF(AH318="","-",IFERROR((AH318/AG318-1)*(AG320/AG$13),"-"))</f>
        <v>-</v>
      </c>
      <c r="BX318" s="979" t="str">
        <f>IF(AI318="","-",IFERROR((AI318/AH318-1)*(AH320/AH$13),"-"))</f>
        <v>-</v>
      </c>
      <c r="BY318" s="981" t="str">
        <f>IF(AJ318="","-",IFERROR((AJ318/AI318-1)*(AI320/AI$13),"-"))</f>
        <v>-</v>
      </c>
      <c r="BZ318" s="951"/>
      <c r="CA318" s="975" t="str">
        <f t="shared" si="372"/>
        <v>Price</v>
      </c>
      <c r="CB318" s="976" t="str">
        <f t="shared" si="373"/>
        <v>[Service]</v>
      </c>
      <c r="CC318" s="982" t="str">
        <f t="shared" si="374"/>
        <v>[Price]</v>
      </c>
      <c r="CD318" s="983" t="str">
        <f t="shared" si="397"/>
        <v>-</v>
      </c>
      <c r="CE318" s="979" t="str">
        <f t="shared" si="397"/>
        <v>-</v>
      </c>
      <c r="CF318" s="979" t="str">
        <f t="shared" si="397"/>
        <v>-</v>
      </c>
      <c r="CG318" s="980" t="str">
        <f t="shared" si="397"/>
        <v>-</v>
      </c>
      <c r="CH318" s="979" t="str">
        <f t="shared" si="398"/>
        <v>-</v>
      </c>
      <c r="CI318" s="979" t="str">
        <f t="shared" si="398"/>
        <v>-</v>
      </c>
      <c r="CJ318" s="979" t="str">
        <f t="shared" si="398"/>
        <v>-</v>
      </c>
      <c r="CK318" s="981" t="str">
        <f t="shared" si="398"/>
        <v>-</v>
      </c>
    </row>
    <row r="319" spans="4:89">
      <c r="E319" s="567" t="s">
        <v>880</v>
      </c>
      <c r="F319" s="554" t="str">
        <f>+F318</f>
        <v>[Service]</v>
      </c>
      <c r="G319" s="555">
        <f>+G318</f>
        <v>0</v>
      </c>
      <c r="H319" s="555">
        <f>+H318</f>
        <v>0</v>
      </c>
      <c r="I319" s="556" t="str">
        <f>+I318</f>
        <v>[Price]</v>
      </c>
      <c r="J319" s="590" t="s">
        <v>916</v>
      </c>
      <c r="K319" s="557"/>
      <c r="L319" s="558"/>
      <c r="M319" s="558"/>
      <c r="N319" s="557"/>
      <c r="O319" s="558"/>
      <c r="P319" s="558"/>
      <c r="Q319" s="558"/>
      <c r="R319" s="1036"/>
      <c r="S319" s="1139"/>
      <c r="T319" s="593"/>
      <c r="U319" s="1036"/>
      <c r="V319" s="593"/>
      <c r="W319" s="593"/>
      <c r="X319" s="593"/>
      <c r="Y319" s="593"/>
      <c r="Z319" s="593"/>
      <c r="AA319" s="1139"/>
      <c r="AB319" s="593"/>
      <c r="AC319" s="593"/>
      <c r="AD319" s="593"/>
      <c r="AE319" s="1036"/>
      <c r="AF319" s="593"/>
      <c r="AG319" s="593"/>
      <c r="AH319" s="593"/>
      <c r="AI319" s="593"/>
      <c r="AJ319" s="594"/>
      <c r="AK319" s="548"/>
      <c r="AO319" s="961" t="str">
        <f t="shared" si="375"/>
        <v>Qty</v>
      </c>
      <c r="AP319" s="962" t="str">
        <f t="shared" si="375"/>
        <v>[Service]</v>
      </c>
      <c r="AQ319" s="963" t="str">
        <f t="shared" si="376"/>
        <v>[Price]</v>
      </c>
      <c r="AR319" s="967" t="str">
        <f t="shared" si="377"/>
        <v>-</v>
      </c>
      <c r="AS319" s="964" t="str">
        <f t="shared" si="378"/>
        <v>-</v>
      </c>
      <c r="AT319" s="964" t="str">
        <f t="shared" si="379"/>
        <v>-</v>
      </c>
      <c r="AU319" s="964" t="str">
        <f t="shared" si="380"/>
        <v>-</v>
      </c>
      <c r="AV319" s="1350" t="str">
        <f t="shared" si="381"/>
        <v>-</v>
      </c>
      <c r="AW319" s="1343" t="str">
        <f t="shared" si="382"/>
        <v>-</v>
      </c>
      <c r="AX319" s="964" t="str">
        <f t="shared" si="383"/>
        <v>-</v>
      </c>
      <c r="AY319" s="964" t="str">
        <f t="shared" si="384"/>
        <v>-</v>
      </c>
      <c r="AZ319" s="964" t="str">
        <f t="shared" si="385"/>
        <v>-</v>
      </c>
      <c r="BA319" s="965" t="str">
        <f t="shared" si="386"/>
        <v>-</v>
      </c>
      <c r="BB319" s="1343" t="str">
        <f t="shared" si="387"/>
        <v>-</v>
      </c>
      <c r="BC319" s="964" t="str">
        <f t="shared" si="388"/>
        <v>-</v>
      </c>
      <c r="BD319" s="964" t="str">
        <f t="shared" si="389"/>
        <v>-</v>
      </c>
      <c r="BE319" s="964" t="str">
        <f t="shared" si="390"/>
        <v>-</v>
      </c>
      <c r="BF319" s="966" t="str">
        <f t="shared" si="391"/>
        <v>-</v>
      </c>
      <c r="BG319" s="951"/>
      <c r="BH319" s="961" t="str">
        <f t="shared" si="392"/>
        <v>Qty</v>
      </c>
      <c r="BI319" s="962" t="str">
        <f t="shared" si="393"/>
        <v>[Service]</v>
      </c>
      <c r="BJ319" s="963" t="str">
        <f t="shared" si="394"/>
        <v>[Price]</v>
      </c>
      <c r="BK319" s="964" t="str">
        <f t="shared" ref="BK319:BU319" si="474">IF(V319="","-",IFERROR((V319/U319-1)*(U320/U$13),"-"))</f>
        <v>-</v>
      </c>
      <c r="BL319" s="964" t="str">
        <f t="shared" si="474"/>
        <v>-</v>
      </c>
      <c r="BM319" s="964" t="str">
        <f t="shared" si="474"/>
        <v>-</v>
      </c>
      <c r="BN319" s="964" t="str">
        <f t="shared" si="474"/>
        <v>-</v>
      </c>
      <c r="BO319" s="1350" t="str">
        <f t="shared" si="474"/>
        <v>-</v>
      </c>
      <c r="BP319" s="1343" t="str">
        <f t="shared" si="474"/>
        <v>-</v>
      </c>
      <c r="BQ319" s="964" t="str">
        <f t="shared" si="474"/>
        <v>-</v>
      </c>
      <c r="BR319" s="964" t="str">
        <f t="shared" si="474"/>
        <v>-</v>
      </c>
      <c r="BS319" s="964" t="str">
        <f t="shared" si="474"/>
        <v>-</v>
      </c>
      <c r="BT319" s="965" t="str">
        <f t="shared" si="474"/>
        <v>-</v>
      </c>
      <c r="BU319" s="964" t="str">
        <f t="shared" si="474"/>
        <v>-</v>
      </c>
      <c r="BV319" s="964" t="str">
        <f>IF(AG319="","-",IFERROR((AG319/AF319-1)*(AF320/AF$13),"-"))</f>
        <v>-</v>
      </c>
      <c r="BW319" s="964" t="str">
        <f>IF(AH319="","-",IFERROR((AH319/AG319-1)*(AG320/AG$13),"-"))</f>
        <v>-</v>
      </c>
      <c r="BX319" s="964" t="str">
        <f>IF(AI319="","-",IFERROR((AI319/AH319-1)*(AH320/AH$13),"-"))</f>
        <v>-</v>
      </c>
      <c r="BY319" s="966" t="str">
        <f>IF(AJ319="","-",IFERROR((AJ319/AI319-1)*(AI320/AI$13),"-"))</f>
        <v>-</v>
      </c>
      <c r="BZ319" s="951"/>
      <c r="CA319" s="961" t="str">
        <f t="shared" si="372"/>
        <v>Qty</v>
      </c>
      <c r="CB319" s="962" t="str">
        <f t="shared" si="373"/>
        <v>[Service]</v>
      </c>
      <c r="CC319" s="962" t="str">
        <f t="shared" si="374"/>
        <v>[Price]</v>
      </c>
      <c r="CD319" s="967" t="str">
        <f t="shared" si="397"/>
        <v>-</v>
      </c>
      <c r="CE319" s="964" t="str">
        <f t="shared" si="397"/>
        <v>-</v>
      </c>
      <c r="CF319" s="964" t="str">
        <f t="shared" si="397"/>
        <v>-</v>
      </c>
      <c r="CG319" s="965" t="str">
        <f t="shared" si="397"/>
        <v>-</v>
      </c>
      <c r="CH319" s="964" t="str">
        <f t="shared" si="398"/>
        <v>-</v>
      </c>
      <c r="CI319" s="964" t="str">
        <f t="shared" si="398"/>
        <v>-</v>
      </c>
      <c r="CJ319" s="964" t="str">
        <f t="shared" si="398"/>
        <v>-</v>
      </c>
      <c r="CK319" s="966" t="str">
        <f t="shared" si="398"/>
        <v>-</v>
      </c>
    </row>
    <row r="320" spans="4:89" ht="12.75" thickBot="1">
      <c r="E320" s="568" t="s">
        <v>882</v>
      </c>
      <c r="F320" s="560" t="str">
        <f>+F318</f>
        <v>[Service]</v>
      </c>
      <c r="G320" s="561">
        <f>+G318</f>
        <v>0</v>
      </c>
      <c r="H320" s="561">
        <f>+H318</f>
        <v>0</v>
      </c>
      <c r="I320" s="562" t="str">
        <f>+I318</f>
        <v>[Price]</v>
      </c>
      <c r="J320" s="563" t="s">
        <v>883</v>
      </c>
      <c r="K320" s="564">
        <f t="shared" ref="K320:AJ320" si="475">K318*K319/10^6</f>
        <v>0</v>
      </c>
      <c r="L320" s="565">
        <f t="shared" si="475"/>
        <v>0</v>
      </c>
      <c r="M320" s="565">
        <f t="shared" si="475"/>
        <v>0</v>
      </c>
      <c r="N320" s="564">
        <f t="shared" si="475"/>
        <v>0</v>
      </c>
      <c r="O320" s="565">
        <f t="shared" si="475"/>
        <v>0</v>
      </c>
      <c r="P320" s="565">
        <f t="shared" si="475"/>
        <v>0</v>
      </c>
      <c r="Q320" s="565">
        <f t="shared" si="475"/>
        <v>0</v>
      </c>
      <c r="R320" s="566">
        <f t="shared" si="475"/>
        <v>0</v>
      </c>
      <c r="S320" s="564">
        <f t="shared" si="475"/>
        <v>0</v>
      </c>
      <c r="T320" s="565">
        <f t="shared" si="475"/>
        <v>0</v>
      </c>
      <c r="U320" s="566">
        <f t="shared" si="475"/>
        <v>0</v>
      </c>
      <c r="V320" s="565">
        <f t="shared" si="475"/>
        <v>0</v>
      </c>
      <c r="W320" s="565">
        <f t="shared" si="475"/>
        <v>0</v>
      </c>
      <c r="X320" s="565">
        <f t="shared" si="475"/>
        <v>0</v>
      </c>
      <c r="Y320" s="565">
        <f t="shared" si="475"/>
        <v>0</v>
      </c>
      <c r="Z320" s="565">
        <f t="shared" si="475"/>
        <v>0</v>
      </c>
      <c r="AA320" s="564">
        <f t="shared" si="475"/>
        <v>0</v>
      </c>
      <c r="AB320" s="565">
        <f t="shared" si="475"/>
        <v>0</v>
      </c>
      <c r="AC320" s="565">
        <f t="shared" si="475"/>
        <v>0</v>
      </c>
      <c r="AD320" s="565">
        <f t="shared" si="475"/>
        <v>0</v>
      </c>
      <c r="AE320" s="566">
        <f t="shared" si="475"/>
        <v>0</v>
      </c>
      <c r="AF320" s="565">
        <f t="shared" si="475"/>
        <v>0</v>
      </c>
      <c r="AG320" s="565">
        <f>AG318*AG319/10^6</f>
        <v>0</v>
      </c>
      <c r="AH320" s="565">
        <f>AH318*AH319/10^6</f>
        <v>0</v>
      </c>
      <c r="AI320" s="565">
        <f>AI318*AI319/10^6</f>
        <v>0</v>
      </c>
      <c r="AJ320" s="566">
        <f t="shared" si="475"/>
        <v>0</v>
      </c>
      <c r="AK320" s="548"/>
      <c r="AO320" s="984" t="str">
        <f t="shared" si="375"/>
        <v>Rev</v>
      </c>
      <c r="AP320" s="985" t="str">
        <f t="shared" si="375"/>
        <v>[Service]</v>
      </c>
      <c r="AQ320" s="986" t="str">
        <f t="shared" si="376"/>
        <v>[Price]</v>
      </c>
      <c r="AR320" s="990" t="str">
        <f t="shared" si="377"/>
        <v>-</v>
      </c>
      <c r="AS320" s="987" t="str">
        <f t="shared" si="378"/>
        <v>-</v>
      </c>
      <c r="AT320" s="987" t="str">
        <f t="shared" si="379"/>
        <v>-</v>
      </c>
      <c r="AU320" s="987" t="str">
        <f t="shared" si="380"/>
        <v>-</v>
      </c>
      <c r="AV320" s="1353" t="str">
        <f t="shared" si="381"/>
        <v>-</v>
      </c>
      <c r="AW320" s="1346" t="str">
        <f t="shared" si="382"/>
        <v>-</v>
      </c>
      <c r="AX320" s="987" t="str">
        <f t="shared" si="383"/>
        <v>-</v>
      </c>
      <c r="AY320" s="987" t="str">
        <f t="shared" si="384"/>
        <v>-</v>
      </c>
      <c r="AZ320" s="987" t="str">
        <f t="shared" si="385"/>
        <v>-</v>
      </c>
      <c r="BA320" s="988" t="str">
        <f t="shared" si="386"/>
        <v>-</v>
      </c>
      <c r="BB320" s="1346" t="str">
        <f t="shared" si="387"/>
        <v>-</v>
      </c>
      <c r="BC320" s="987" t="str">
        <f t="shared" si="388"/>
        <v>-</v>
      </c>
      <c r="BD320" s="987" t="str">
        <f t="shared" si="389"/>
        <v>-</v>
      </c>
      <c r="BE320" s="987" t="str">
        <f t="shared" si="390"/>
        <v>-</v>
      </c>
      <c r="BF320" s="989" t="str">
        <f t="shared" si="391"/>
        <v>-</v>
      </c>
      <c r="BG320" s="951"/>
      <c r="BH320" s="984" t="str">
        <f t="shared" si="392"/>
        <v>Rev</v>
      </c>
      <c r="BI320" s="985" t="str">
        <f t="shared" si="393"/>
        <v>[Service]</v>
      </c>
      <c r="BJ320" s="986" t="str">
        <f t="shared" si="394"/>
        <v>[Price]</v>
      </c>
      <c r="BK320" s="987" t="str">
        <f t="shared" ref="BK320:BU320" si="476">IF(V320="","-",IFERROR((V320/U320-1)*(U320/U$13),"-"))</f>
        <v>-</v>
      </c>
      <c r="BL320" s="987" t="str">
        <f t="shared" si="476"/>
        <v>-</v>
      </c>
      <c r="BM320" s="987" t="str">
        <f t="shared" si="476"/>
        <v>-</v>
      </c>
      <c r="BN320" s="987" t="str">
        <f t="shared" si="476"/>
        <v>-</v>
      </c>
      <c r="BO320" s="1353" t="str">
        <f t="shared" si="476"/>
        <v>-</v>
      </c>
      <c r="BP320" s="1346" t="str">
        <f t="shared" si="476"/>
        <v>-</v>
      </c>
      <c r="BQ320" s="987" t="str">
        <f t="shared" si="476"/>
        <v>-</v>
      </c>
      <c r="BR320" s="987" t="str">
        <f t="shared" si="476"/>
        <v>-</v>
      </c>
      <c r="BS320" s="987" t="str">
        <f t="shared" si="476"/>
        <v>-</v>
      </c>
      <c r="BT320" s="988" t="str">
        <f t="shared" si="476"/>
        <v>-</v>
      </c>
      <c r="BU320" s="987" t="str">
        <f t="shared" si="476"/>
        <v>-</v>
      </c>
      <c r="BV320" s="987" t="str">
        <f>IF(AG320="","-",IFERROR((AG320/AF320-1)*(AF320/AF$13),"-"))</f>
        <v>-</v>
      </c>
      <c r="BW320" s="987" t="str">
        <f>IF(AH320="","-",IFERROR((AH320/AG320-1)*(AG320/AG$13),"-"))</f>
        <v>-</v>
      </c>
      <c r="BX320" s="987" t="str">
        <f>IF(AI320="","-",IFERROR((AI320/AH320-1)*(AH320/AH$13),"-"))</f>
        <v>-</v>
      </c>
      <c r="BY320" s="989" t="str">
        <f>IF(AJ320="","-",IFERROR((AJ320/AI320-1)*(AI320/AI$13),"-"))</f>
        <v>-</v>
      </c>
      <c r="BZ320" s="951"/>
      <c r="CA320" s="984" t="str">
        <f t="shared" si="372"/>
        <v>Rev</v>
      </c>
      <c r="CB320" s="985" t="str">
        <f t="shared" si="373"/>
        <v>[Service]</v>
      </c>
      <c r="CC320" s="985" t="str">
        <f t="shared" si="374"/>
        <v>[Price]</v>
      </c>
      <c r="CD320" s="990" t="str">
        <f t="shared" si="397"/>
        <v>-</v>
      </c>
      <c r="CE320" s="987" t="str">
        <f t="shared" si="397"/>
        <v>-</v>
      </c>
      <c r="CF320" s="987" t="str">
        <f t="shared" si="397"/>
        <v>-</v>
      </c>
      <c r="CG320" s="988" t="str">
        <f t="shared" si="397"/>
        <v>-</v>
      </c>
      <c r="CH320" s="987" t="str">
        <f t="shared" si="398"/>
        <v>-</v>
      </c>
      <c r="CI320" s="987" t="str">
        <f t="shared" si="398"/>
        <v>-</v>
      </c>
      <c r="CJ320" s="987" t="str">
        <f t="shared" si="398"/>
        <v>-</v>
      </c>
      <c r="CK320" s="989" t="str">
        <f t="shared" si="398"/>
        <v>-</v>
      </c>
    </row>
    <row r="321" spans="4:89">
      <c r="D321" s="63">
        <f>D318+1</f>
        <v>85</v>
      </c>
      <c r="E321" s="550" t="s">
        <v>857</v>
      </c>
      <c r="F321" s="595" t="s">
        <v>428</v>
      </c>
      <c r="G321" s="595"/>
      <c r="H321" s="595"/>
      <c r="I321" s="589" t="s">
        <v>920</v>
      </c>
      <c r="J321" s="589" t="s">
        <v>879</v>
      </c>
      <c r="K321" s="551"/>
      <c r="L321" s="552"/>
      <c r="M321" s="552"/>
      <c r="N321" s="551"/>
      <c r="O321" s="552"/>
      <c r="P321" s="552"/>
      <c r="Q321" s="552"/>
      <c r="R321" s="1035"/>
      <c r="S321" s="1138"/>
      <c r="T321" s="591"/>
      <c r="U321" s="1035"/>
      <c r="V321" s="591"/>
      <c r="W321" s="591"/>
      <c r="X321" s="591"/>
      <c r="Y321" s="591"/>
      <c r="Z321" s="591"/>
      <c r="AA321" s="1138"/>
      <c r="AB321" s="591"/>
      <c r="AC321" s="591"/>
      <c r="AD321" s="591"/>
      <c r="AE321" s="1035"/>
      <c r="AF321" s="591"/>
      <c r="AG321" s="591"/>
      <c r="AH321" s="591"/>
      <c r="AI321" s="591"/>
      <c r="AJ321" s="592"/>
      <c r="AK321" s="548"/>
      <c r="AM321" s="974"/>
      <c r="AO321" s="975" t="str">
        <f t="shared" si="375"/>
        <v>Price</v>
      </c>
      <c r="AP321" s="976" t="str">
        <f t="shared" si="375"/>
        <v>[Service]</v>
      </c>
      <c r="AQ321" s="977" t="str">
        <f t="shared" si="376"/>
        <v>[Price]</v>
      </c>
      <c r="AR321" s="1341" t="str">
        <f t="shared" si="377"/>
        <v>-</v>
      </c>
      <c r="AS321" s="978" t="str">
        <f t="shared" si="378"/>
        <v>-</v>
      </c>
      <c r="AT321" s="979" t="str">
        <f t="shared" si="379"/>
        <v>-</v>
      </c>
      <c r="AU321" s="979" t="str">
        <f t="shared" si="380"/>
        <v>-</v>
      </c>
      <c r="AV321" s="1352" t="str">
        <f t="shared" si="381"/>
        <v>-</v>
      </c>
      <c r="AW321" s="1345" t="str">
        <f t="shared" si="382"/>
        <v>-</v>
      </c>
      <c r="AX321" s="979" t="str">
        <f t="shared" si="383"/>
        <v>-</v>
      </c>
      <c r="AY321" s="979" t="str">
        <f t="shared" si="384"/>
        <v>-</v>
      </c>
      <c r="AZ321" s="979" t="str">
        <f t="shared" si="385"/>
        <v>-</v>
      </c>
      <c r="BA321" s="980" t="str">
        <f t="shared" si="386"/>
        <v>-</v>
      </c>
      <c r="BB321" s="1345" t="str">
        <f t="shared" si="387"/>
        <v>-</v>
      </c>
      <c r="BC321" s="979" t="str">
        <f t="shared" si="388"/>
        <v>-</v>
      </c>
      <c r="BD321" s="979" t="str">
        <f t="shared" si="389"/>
        <v>-</v>
      </c>
      <c r="BE321" s="979" t="str">
        <f t="shared" si="390"/>
        <v>-</v>
      </c>
      <c r="BF321" s="981" t="str">
        <f t="shared" si="391"/>
        <v>-</v>
      </c>
      <c r="BG321" s="951"/>
      <c r="BH321" s="975" t="str">
        <f t="shared" si="392"/>
        <v>Price</v>
      </c>
      <c r="BI321" s="976" t="str">
        <f t="shared" si="393"/>
        <v>[Service]</v>
      </c>
      <c r="BJ321" s="977" t="str">
        <f t="shared" si="394"/>
        <v>[Price]</v>
      </c>
      <c r="BK321" s="978" t="str">
        <f t="shared" ref="BK321:BU321" si="477">IF(V321="","-",IFERROR((V321/U321-1)*(U323/U$13),"-"))</f>
        <v>-</v>
      </c>
      <c r="BL321" s="978" t="str">
        <f t="shared" si="477"/>
        <v>-</v>
      </c>
      <c r="BM321" s="979" t="str">
        <f t="shared" si="477"/>
        <v>-</v>
      </c>
      <c r="BN321" s="979" t="str">
        <f t="shared" si="477"/>
        <v>-</v>
      </c>
      <c r="BO321" s="1352" t="str">
        <f t="shared" si="477"/>
        <v>-</v>
      </c>
      <c r="BP321" s="1345" t="str">
        <f t="shared" si="477"/>
        <v>-</v>
      </c>
      <c r="BQ321" s="979" t="str">
        <f t="shared" si="477"/>
        <v>-</v>
      </c>
      <c r="BR321" s="979" t="str">
        <f t="shared" si="477"/>
        <v>-</v>
      </c>
      <c r="BS321" s="979" t="str">
        <f t="shared" si="477"/>
        <v>-</v>
      </c>
      <c r="BT321" s="980" t="str">
        <f t="shared" si="477"/>
        <v>-</v>
      </c>
      <c r="BU321" s="979" t="str">
        <f t="shared" si="477"/>
        <v>-</v>
      </c>
      <c r="BV321" s="979" t="str">
        <f>IF(AG321="","-",IFERROR((AG321/AF321-1)*(AF323/AF$13),"-"))</f>
        <v>-</v>
      </c>
      <c r="BW321" s="979" t="str">
        <f>IF(AH321="","-",IFERROR((AH321/AG321-1)*(AG323/AG$13),"-"))</f>
        <v>-</v>
      </c>
      <c r="BX321" s="979" t="str">
        <f>IF(AI321="","-",IFERROR((AI321/AH321-1)*(AH323/AH$13),"-"))</f>
        <v>-</v>
      </c>
      <c r="BY321" s="981" t="str">
        <f>IF(AJ321="","-",IFERROR((AJ321/AI321-1)*(AI323/AI$13),"-"))</f>
        <v>-</v>
      </c>
      <c r="BZ321" s="951"/>
      <c r="CA321" s="975" t="str">
        <f t="shared" si="372"/>
        <v>Price</v>
      </c>
      <c r="CB321" s="976" t="str">
        <f t="shared" si="373"/>
        <v>[Service]</v>
      </c>
      <c r="CC321" s="982" t="str">
        <f t="shared" si="374"/>
        <v>[Price]</v>
      </c>
      <c r="CD321" s="983" t="str">
        <f t="shared" si="397"/>
        <v>-</v>
      </c>
      <c r="CE321" s="979" t="str">
        <f t="shared" si="397"/>
        <v>-</v>
      </c>
      <c r="CF321" s="979" t="str">
        <f t="shared" si="397"/>
        <v>-</v>
      </c>
      <c r="CG321" s="980" t="str">
        <f t="shared" si="397"/>
        <v>-</v>
      </c>
      <c r="CH321" s="979" t="str">
        <f t="shared" si="398"/>
        <v>-</v>
      </c>
      <c r="CI321" s="979" t="str">
        <f t="shared" si="398"/>
        <v>-</v>
      </c>
      <c r="CJ321" s="979" t="str">
        <f t="shared" si="398"/>
        <v>-</v>
      </c>
      <c r="CK321" s="981" t="str">
        <f t="shared" si="398"/>
        <v>-</v>
      </c>
    </row>
    <row r="322" spans="4:89">
      <c r="E322" s="567" t="s">
        <v>880</v>
      </c>
      <c r="F322" s="554" t="str">
        <f>+F321</f>
        <v>[Service]</v>
      </c>
      <c r="G322" s="555">
        <f>+G321</f>
        <v>0</v>
      </c>
      <c r="H322" s="555">
        <f>+H321</f>
        <v>0</v>
      </c>
      <c r="I322" s="556" t="str">
        <f>+I321</f>
        <v>[Price]</v>
      </c>
      <c r="J322" s="590" t="s">
        <v>916</v>
      </c>
      <c r="K322" s="557"/>
      <c r="L322" s="558"/>
      <c r="M322" s="558"/>
      <c r="N322" s="557"/>
      <c r="O322" s="558"/>
      <c r="P322" s="558"/>
      <c r="Q322" s="558"/>
      <c r="R322" s="1036"/>
      <c r="S322" s="1139"/>
      <c r="T322" s="593"/>
      <c r="U322" s="1036"/>
      <c r="V322" s="593"/>
      <c r="W322" s="593"/>
      <c r="X322" s="593"/>
      <c r="Y322" s="593"/>
      <c r="Z322" s="593"/>
      <c r="AA322" s="1139"/>
      <c r="AB322" s="593"/>
      <c r="AC322" s="593"/>
      <c r="AD322" s="593"/>
      <c r="AE322" s="1036"/>
      <c r="AF322" s="593"/>
      <c r="AG322" s="593"/>
      <c r="AH322" s="593"/>
      <c r="AI322" s="593"/>
      <c r="AJ322" s="594"/>
      <c r="AK322" s="548"/>
      <c r="AO322" s="961" t="str">
        <f t="shared" si="375"/>
        <v>Qty</v>
      </c>
      <c r="AP322" s="962" t="str">
        <f t="shared" si="375"/>
        <v>[Service]</v>
      </c>
      <c r="AQ322" s="963" t="str">
        <f t="shared" si="376"/>
        <v>[Price]</v>
      </c>
      <c r="AR322" s="967" t="str">
        <f t="shared" si="377"/>
        <v>-</v>
      </c>
      <c r="AS322" s="964" t="str">
        <f t="shared" si="378"/>
        <v>-</v>
      </c>
      <c r="AT322" s="964" t="str">
        <f t="shared" si="379"/>
        <v>-</v>
      </c>
      <c r="AU322" s="964" t="str">
        <f t="shared" si="380"/>
        <v>-</v>
      </c>
      <c r="AV322" s="1350" t="str">
        <f t="shared" si="381"/>
        <v>-</v>
      </c>
      <c r="AW322" s="1343" t="str">
        <f t="shared" si="382"/>
        <v>-</v>
      </c>
      <c r="AX322" s="964" t="str">
        <f t="shared" si="383"/>
        <v>-</v>
      </c>
      <c r="AY322" s="964" t="str">
        <f t="shared" si="384"/>
        <v>-</v>
      </c>
      <c r="AZ322" s="964" t="str">
        <f t="shared" si="385"/>
        <v>-</v>
      </c>
      <c r="BA322" s="965" t="str">
        <f t="shared" si="386"/>
        <v>-</v>
      </c>
      <c r="BB322" s="1343" t="str">
        <f t="shared" si="387"/>
        <v>-</v>
      </c>
      <c r="BC322" s="964" t="str">
        <f t="shared" si="388"/>
        <v>-</v>
      </c>
      <c r="BD322" s="964" t="str">
        <f t="shared" si="389"/>
        <v>-</v>
      </c>
      <c r="BE322" s="964" t="str">
        <f t="shared" si="390"/>
        <v>-</v>
      </c>
      <c r="BF322" s="966" t="str">
        <f t="shared" si="391"/>
        <v>-</v>
      </c>
      <c r="BG322" s="951"/>
      <c r="BH322" s="961" t="str">
        <f t="shared" si="392"/>
        <v>Qty</v>
      </c>
      <c r="BI322" s="962" t="str">
        <f t="shared" si="393"/>
        <v>[Service]</v>
      </c>
      <c r="BJ322" s="963" t="str">
        <f t="shared" si="394"/>
        <v>[Price]</v>
      </c>
      <c r="BK322" s="964" t="str">
        <f t="shared" ref="BK322:BU322" si="478">IF(V322="","-",IFERROR((V322/U322-1)*(U323/U$13),"-"))</f>
        <v>-</v>
      </c>
      <c r="BL322" s="964" t="str">
        <f t="shared" si="478"/>
        <v>-</v>
      </c>
      <c r="BM322" s="964" t="str">
        <f t="shared" si="478"/>
        <v>-</v>
      </c>
      <c r="BN322" s="964" t="str">
        <f t="shared" si="478"/>
        <v>-</v>
      </c>
      <c r="BO322" s="1350" t="str">
        <f t="shared" si="478"/>
        <v>-</v>
      </c>
      <c r="BP322" s="1343" t="str">
        <f t="shared" si="478"/>
        <v>-</v>
      </c>
      <c r="BQ322" s="964" t="str">
        <f t="shared" si="478"/>
        <v>-</v>
      </c>
      <c r="BR322" s="964" t="str">
        <f t="shared" si="478"/>
        <v>-</v>
      </c>
      <c r="BS322" s="964" t="str">
        <f t="shared" si="478"/>
        <v>-</v>
      </c>
      <c r="BT322" s="965" t="str">
        <f t="shared" si="478"/>
        <v>-</v>
      </c>
      <c r="BU322" s="964" t="str">
        <f t="shared" si="478"/>
        <v>-</v>
      </c>
      <c r="BV322" s="964" t="str">
        <f>IF(AG322="","-",IFERROR((AG322/AF322-1)*(AF323/AF$13),"-"))</f>
        <v>-</v>
      </c>
      <c r="BW322" s="964" t="str">
        <f>IF(AH322="","-",IFERROR((AH322/AG322-1)*(AG323/AG$13),"-"))</f>
        <v>-</v>
      </c>
      <c r="BX322" s="964" t="str">
        <f>IF(AI322="","-",IFERROR((AI322/AH322-1)*(AH323/AH$13),"-"))</f>
        <v>-</v>
      </c>
      <c r="BY322" s="966" t="str">
        <f>IF(AJ322="","-",IFERROR((AJ322/AI322-1)*(AI323/AI$13),"-"))</f>
        <v>-</v>
      </c>
      <c r="BZ322" s="951"/>
      <c r="CA322" s="961" t="str">
        <f t="shared" si="372"/>
        <v>Qty</v>
      </c>
      <c r="CB322" s="962" t="str">
        <f t="shared" si="373"/>
        <v>[Service]</v>
      </c>
      <c r="CC322" s="962" t="str">
        <f t="shared" si="374"/>
        <v>[Price]</v>
      </c>
      <c r="CD322" s="967" t="str">
        <f t="shared" si="397"/>
        <v>-</v>
      </c>
      <c r="CE322" s="964" t="str">
        <f t="shared" si="397"/>
        <v>-</v>
      </c>
      <c r="CF322" s="964" t="str">
        <f t="shared" si="397"/>
        <v>-</v>
      </c>
      <c r="CG322" s="965" t="str">
        <f t="shared" si="397"/>
        <v>-</v>
      </c>
      <c r="CH322" s="964" t="str">
        <f t="shared" si="398"/>
        <v>-</v>
      </c>
      <c r="CI322" s="964" t="str">
        <f t="shared" si="398"/>
        <v>-</v>
      </c>
      <c r="CJ322" s="964" t="str">
        <f t="shared" si="398"/>
        <v>-</v>
      </c>
      <c r="CK322" s="966" t="str">
        <f t="shared" si="398"/>
        <v>-</v>
      </c>
    </row>
    <row r="323" spans="4:89" ht="12.75" thickBot="1">
      <c r="E323" s="568" t="s">
        <v>882</v>
      </c>
      <c r="F323" s="560" t="str">
        <f>+F321</f>
        <v>[Service]</v>
      </c>
      <c r="G323" s="561">
        <f>+G321</f>
        <v>0</v>
      </c>
      <c r="H323" s="561">
        <f>+H321</f>
        <v>0</v>
      </c>
      <c r="I323" s="562" t="str">
        <f>+I321</f>
        <v>[Price]</v>
      </c>
      <c r="J323" s="563" t="s">
        <v>883</v>
      </c>
      <c r="K323" s="564">
        <f t="shared" ref="K323:AJ323" si="479">K321*K322/10^6</f>
        <v>0</v>
      </c>
      <c r="L323" s="565">
        <f t="shared" si="479"/>
        <v>0</v>
      </c>
      <c r="M323" s="565">
        <f t="shared" si="479"/>
        <v>0</v>
      </c>
      <c r="N323" s="564">
        <f t="shared" si="479"/>
        <v>0</v>
      </c>
      <c r="O323" s="565">
        <f t="shared" si="479"/>
        <v>0</v>
      </c>
      <c r="P323" s="565">
        <f t="shared" si="479"/>
        <v>0</v>
      </c>
      <c r="Q323" s="565">
        <f t="shared" si="479"/>
        <v>0</v>
      </c>
      <c r="R323" s="566">
        <f t="shared" si="479"/>
        <v>0</v>
      </c>
      <c r="S323" s="564">
        <f t="shared" si="479"/>
        <v>0</v>
      </c>
      <c r="T323" s="565">
        <f t="shared" si="479"/>
        <v>0</v>
      </c>
      <c r="U323" s="566">
        <f t="shared" si="479"/>
        <v>0</v>
      </c>
      <c r="V323" s="565">
        <f t="shared" si="479"/>
        <v>0</v>
      </c>
      <c r="W323" s="565">
        <f t="shared" si="479"/>
        <v>0</v>
      </c>
      <c r="X323" s="565">
        <f t="shared" si="479"/>
        <v>0</v>
      </c>
      <c r="Y323" s="565">
        <f t="shared" si="479"/>
        <v>0</v>
      </c>
      <c r="Z323" s="565">
        <f t="shared" si="479"/>
        <v>0</v>
      </c>
      <c r="AA323" s="564">
        <f t="shared" si="479"/>
        <v>0</v>
      </c>
      <c r="AB323" s="565">
        <f t="shared" si="479"/>
        <v>0</v>
      </c>
      <c r="AC323" s="565">
        <f t="shared" si="479"/>
        <v>0</v>
      </c>
      <c r="AD323" s="565">
        <f t="shared" si="479"/>
        <v>0</v>
      </c>
      <c r="AE323" s="566">
        <f t="shared" si="479"/>
        <v>0</v>
      </c>
      <c r="AF323" s="565">
        <f t="shared" si="479"/>
        <v>0</v>
      </c>
      <c r="AG323" s="565">
        <f>AG321*AG322/10^6</f>
        <v>0</v>
      </c>
      <c r="AH323" s="565">
        <f>AH321*AH322/10^6</f>
        <v>0</v>
      </c>
      <c r="AI323" s="565">
        <f>AI321*AI322/10^6</f>
        <v>0</v>
      </c>
      <c r="AJ323" s="566">
        <f t="shared" si="479"/>
        <v>0</v>
      </c>
      <c r="AK323" s="548"/>
      <c r="AO323" s="984" t="str">
        <f t="shared" si="375"/>
        <v>Rev</v>
      </c>
      <c r="AP323" s="985" t="str">
        <f t="shared" si="375"/>
        <v>[Service]</v>
      </c>
      <c r="AQ323" s="986" t="str">
        <f t="shared" si="376"/>
        <v>[Price]</v>
      </c>
      <c r="AR323" s="990" t="str">
        <f t="shared" si="377"/>
        <v>-</v>
      </c>
      <c r="AS323" s="987" t="str">
        <f t="shared" si="378"/>
        <v>-</v>
      </c>
      <c r="AT323" s="987" t="str">
        <f t="shared" si="379"/>
        <v>-</v>
      </c>
      <c r="AU323" s="987" t="str">
        <f t="shared" si="380"/>
        <v>-</v>
      </c>
      <c r="AV323" s="1353" t="str">
        <f t="shared" si="381"/>
        <v>-</v>
      </c>
      <c r="AW323" s="1346" t="str">
        <f t="shared" si="382"/>
        <v>-</v>
      </c>
      <c r="AX323" s="987" t="str">
        <f t="shared" si="383"/>
        <v>-</v>
      </c>
      <c r="AY323" s="987" t="str">
        <f t="shared" si="384"/>
        <v>-</v>
      </c>
      <c r="AZ323" s="987" t="str">
        <f t="shared" si="385"/>
        <v>-</v>
      </c>
      <c r="BA323" s="988" t="str">
        <f t="shared" si="386"/>
        <v>-</v>
      </c>
      <c r="BB323" s="1346" t="str">
        <f t="shared" si="387"/>
        <v>-</v>
      </c>
      <c r="BC323" s="987" t="str">
        <f t="shared" si="388"/>
        <v>-</v>
      </c>
      <c r="BD323" s="987" t="str">
        <f t="shared" si="389"/>
        <v>-</v>
      </c>
      <c r="BE323" s="987" t="str">
        <f t="shared" si="390"/>
        <v>-</v>
      </c>
      <c r="BF323" s="989" t="str">
        <f t="shared" si="391"/>
        <v>-</v>
      </c>
      <c r="BG323" s="951"/>
      <c r="BH323" s="984" t="str">
        <f t="shared" si="392"/>
        <v>Rev</v>
      </c>
      <c r="BI323" s="985" t="str">
        <f t="shared" si="393"/>
        <v>[Service]</v>
      </c>
      <c r="BJ323" s="986" t="str">
        <f t="shared" si="394"/>
        <v>[Price]</v>
      </c>
      <c r="BK323" s="987" t="str">
        <f t="shared" ref="BK323:BU323" si="480">IF(V323="","-",IFERROR((V323/U323-1)*(U323/U$13),"-"))</f>
        <v>-</v>
      </c>
      <c r="BL323" s="987" t="str">
        <f t="shared" si="480"/>
        <v>-</v>
      </c>
      <c r="BM323" s="987" t="str">
        <f t="shared" si="480"/>
        <v>-</v>
      </c>
      <c r="BN323" s="987" t="str">
        <f t="shared" si="480"/>
        <v>-</v>
      </c>
      <c r="BO323" s="1353" t="str">
        <f t="shared" si="480"/>
        <v>-</v>
      </c>
      <c r="BP323" s="1346" t="str">
        <f t="shared" si="480"/>
        <v>-</v>
      </c>
      <c r="BQ323" s="987" t="str">
        <f t="shared" si="480"/>
        <v>-</v>
      </c>
      <c r="BR323" s="987" t="str">
        <f t="shared" si="480"/>
        <v>-</v>
      </c>
      <c r="BS323" s="987" t="str">
        <f t="shared" si="480"/>
        <v>-</v>
      </c>
      <c r="BT323" s="988" t="str">
        <f t="shared" si="480"/>
        <v>-</v>
      </c>
      <c r="BU323" s="987" t="str">
        <f t="shared" si="480"/>
        <v>-</v>
      </c>
      <c r="BV323" s="987" t="str">
        <f>IF(AG323="","-",IFERROR((AG323/AF323-1)*(AF323/AF$13),"-"))</f>
        <v>-</v>
      </c>
      <c r="BW323" s="987" t="str">
        <f>IF(AH323="","-",IFERROR((AH323/AG323-1)*(AG323/AG$13),"-"))</f>
        <v>-</v>
      </c>
      <c r="BX323" s="987" t="str">
        <f>IF(AI323="","-",IFERROR((AI323/AH323-1)*(AH323/AH$13),"-"))</f>
        <v>-</v>
      </c>
      <c r="BY323" s="989" t="str">
        <f>IF(AJ323="","-",IFERROR((AJ323/AI323-1)*(AI323/AI$13),"-"))</f>
        <v>-</v>
      </c>
      <c r="BZ323" s="951"/>
      <c r="CA323" s="984" t="str">
        <f t="shared" si="372"/>
        <v>Rev</v>
      </c>
      <c r="CB323" s="985" t="str">
        <f t="shared" si="373"/>
        <v>[Service]</v>
      </c>
      <c r="CC323" s="985" t="str">
        <f t="shared" si="374"/>
        <v>[Price]</v>
      </c>
      <c r="CD323" s="990" t="str">
        <f t="shared" si="397"/>
        <v>-</v>
      </c>
      <c r="CE323" s="987" t="str">
        <f t="shared" si="397"/>
        <v>-</v>
      </c>
      <c r="CF323" s="987" t="str">
        <f t="shared" si="397"/>
        <v>-</v>
      </c>
      <c r="CG323" s="988" t="str">
        <f t="shared" si="397"/>
        <v>-</v>
      </c>
      <c r="CH323" s="987" t="str">
        <f t="shared" si="398"/>
        <v>-</v>
      </c>
      <c r="CI323" s="987" t="str">
        <f t="shared" si="398"/>
        <v>-</v>
      </c>
      <c r="CJ323" s="987" t="str">
        <f t="shared" si="398"/>
        <v>-</v>
      </c>
      <c r="CK323" s="989" t="str">
        <f t="shared" si="398"/>
        <v>-</v>
      </c>
    </row>
    <row r="324" spans="4:89">
      <c r="D324" s="63">
        <f>D321+1</f>
        <v>86</v>
      </c>
      <c r="E324" s="550" t="s">
        <v>857</v>
      </c>
      <c r="F324" s="595" t="s">
        <v>428</v>
      </c>
      <c r="G324" s="595"/>
      <c r="H324" s="595"/>
      <c r="I324" s="589" t="s">
        <v>920</v>
      </c>
      <c r="J324" s="589" t="s">
        <v>879</v>
      </c>
      <c r="K324" s="551"/>
      <c r="L324" s="552"/>
      <c r="M324" s="552"/>
      <c r="N324" s="551"/>
      <c r="O324" s="552"/>
      <c r="P324" s="552"/>
      <c r="Q324" s="552"/>
      <c r="R324" s="1035"/>
      <c r="S324" s="1138"/>
      <c r="T324" s="591"/>
      <c r="U324" s="1035"/>
      <c r="V324" s="591"/>
      <c r="W324" s="591"/>
      <c r="X324" s="591"/>
      <c r="Y324" s="591"/>
      <c r="Z324" s="591"/>
      <c r="AA324" s="1138"/>
      <c r="AB324" s="591"/>
      <c r="AC324" s="591"/>
      <c r="AD324" s="591"/>
      <c r="AE324" s="1035"/>
      <c r="AF324" s="591"/>
      <c r="AG324" s="591"/>
      <c r="AH324" s="591"/>
      <c r="AI324" s="591"/>
      <c r="AJ324" s="592"/>
      <c r="AK324" s="548"/>
      <c r="AM324" s="974"/>
      <c r="AO324" s="975" t="str">
        <f t="shared" si="375"/>
        <v>Price</v>
      </c>
      <c r="AP324" s="976" t="str">
        <f t="shared" si="375"/>
        <v>[Service]</v>
      </c>
      <c r="AQ324" s="977" t="str">
        <f t="shared" si="376"/>
        <v>[Price]</v>
      </c>
      <c r="AR324" s="1341" t="str">
        <f t="shared" si="377"/>
        <v>-</v>
      </c>
      <c r="AS324" s="978" t="str">
        <f t="shared" si="378"/>
        <v>-</v>
      </c>
      <c r="AT324" s="979" t="str">
        <f t="shared" si="379"/>
        <v>-</v>
      </c>
      <c r="AU324" s="979" t="str">
        <f t="shared" si="380"/>
        <v>-</v>
      </c>
      <c r="AV324" s="1352" t="str">
        <f t="shared" si="381"/>
        <v>-</v>
      </c>
      <c r="AW324" s="1345" t="str">
        <f t="shared" si="382"/>
        <v>-</v>
      </c>
      <c r="AX324" s="979" t="str">
        <f t="shared" si="383"/>
        <v>-</v>
      </c>
      <c r="AY324" s="979" t="str">
        <f t="shared" si="384"/>
        <v>-</v>
      </c>
      <c r="AZ324" s="979" t="str">
        <f t="shared" si="385"/>
        <v>-</v>
      </c>
      <c r="BA324" s="980" t="str">
        <f t="shared" si="386"/>
        <v>-</v>
      </c>
      <c r="BB324" s="1345" t="str">
        <f t="shared" si="387"/>
        <v>-</v>
      </c>
      <c r="BC324" s="979" t="str">
        <f t="shared" si="388"/>
        <v>-</v>
      </c>
      <c r="BD324" s="979" t="str">
        <f t="shared" si="389"/>
        <v>-</v>
      </c>
      <c r="BE324" s="979" t="str">
        <f t="shared" si="390"/>
        <v>-</v>
      </c>
      <c r="BF324" s="981" t="str">
        <f t="shared" si="391"/>
        <v>-</v>
      </c>
      <c r="BG324" s="951"/>
      <c r="BH324" s="975" t="str">
        <f t="shared" si="392"/>
        <v>Price</v>
      </c>
      <c r="BI324" s="976" t="str">
        <f t="shared" si="393"/>
        <v>[Service]</v>
      </c>
      <c r="BJ324" s="977" t="str">
        <f t="shared" si="394"/>
        <v>[Price]</v>
      </c>
      <c r="BK324" s="978" t="str">
        <f t="shared" ref="BK324:BU324" si="481">IF(V324="","-",IFERROR((V324/U324-1)*(U326/U$13),"-"))</f>
        <v>-</v>
      </c>
      <c r="BL324" s="978" t="str">
        <f t="shared" si="481"/>
        <v>-</v>
      </c>
      <c r="BM324" s="979" t="str">
        <f t="shared" si="481"/>
        <v>-</v>
      </c>
      <c r="BN324" s="979" t="str">
        <f t="shared" si="481"/>
        <v>-</v>
      </c>
      <c r="BO324" s="1352" t="str">
        <f t="shared" si="481"/>
        <v>-</v>
      </c>
      <c r="BP324" s="1345" t="str">
        <f t="shared" si="481"/>
        <v>-</v>
      </c>
      <c r="BQ324" s="979" t="str">
        <f t="shared" si="481"/>
        <v>-</v>
      </c>
      <c r="BR324" s="979" t="str">
        <f t="shared" si="481"/>
        <v>-</v>
      </c>
      <c r="BS324" s="979" t="str">
        <f t="shared" si="481"/>
        <v>-</v>
      </c>
      <c r="BT324" s="980" t="str">
        <f t="shared" si="481"/>
        <v>-</v>
      </c>
      <c r="BU324" s="979" t="str">
        <f t="shared" si="481"/>
        <v>-</v>
      </c>
      <c r="BV324" s="979" t="str">
        <f>IF(AG324="","-",IFERROR((AG324/AF324-1)*(AF326/AF$13),"-"))</f>
        <v>-</v>
      </c>
      <c r="BW324" s="979" t="str">
        <f>IF(AH324="","-",IFERROR((AH324/AG324-1)*(AG326/AG$13),"-"))</f>
        <v>-</v>
      </c>
      <c r="BX324" s="979" t="str">
        <f>IF(AI324="","-",IFERROR((AI324/AH324-1)*(AH326/AH$13),"-"))</f>
        <v>-</v>
      </c>
      <c r="BY324" s="981" t="str">
        <f>IF(AJ324="","-",IFERROR((AJ324/AI324-1)*(AI326/AI$13),"-"))</f>
        <v>-</v>
      </c>
      <c r="BZ324" s="951"/>
      <c r="CA324" s="975" t="str">
        <f t="shared" ref="CA324:CA387" si="482">AO324</f>
        <v>Price</v>
      </c>
      <c r="CB324" s="976" t="str">
        <f t="shared" ref="CB324:CB387" si="483">AP324</f>
        <v>[Service]</v>
      </c>
      <c r="CC324" s="982" t="str">
        <f t="shared" ref="CC324:CC387" si="484">AQ324</f>
        <v>[Price]</v>
      </c>
      <c r="CD324" s="983" t="str">
        <f t="shared" si="397"/>
        <v>-</v>
      </c>
      <c r="CE324" s="979" t="str">
        <f t="shared" si="397"/>
        <v>-</v>
      </c>
      <c r="CF324" s="979" t="str">
        <f t="shared" si="397"/>
        <v>-</v>
      </c>
      <c r="CG324" s="980" t="str">
        <f t="shared" si="397"/>
        <v>-</v>
      </c>
      <c r="CH324" s="979" t="str">
        <f t="shared" si="398"/>
        <v>-</v>
      </c>
      <c r="CI324" s="979" t="str">
        <f t="shared" si="398"/>
        <v>-</v>
      </c>
      <c r="CJ324" s="979" t="str">
        <f t="shared" si="398"/>
        <v>-</v>
      </c>
      <c r="CK324" s="981" t="str">
        <f t="shared" si="398"/>
        <v>-</v>
      </c>
    </row>
    <row r="325" spans="4:89">
      <c r="E325" s="567" t="s">
        <v>880</v>
      </c>
      <c r="F325" s="554" t="str">
        <f>+F324</f>
        <v>[Service]</v>
      </c>
      <c r="G325" s="555">
        <f>+G324</f>
        <v>0</v>
      </c>
      <c r="H325" s="555">
        <f>+H324</f>
        <v>0</v>
      </c>
      <c r="I325" s="556" t="str">
        <f>+I324</f>
        <v>[Price]</v>
      </c>
      <c r="J325" s="590" t="s">
        <v>916</v>
      </c>
      <c r="K325" s="557"/>
      <c r="L325" s="558"/>
      <c r="M325" s="558"/>
      <c r="N325" s="557"/>
      <c r="O325" s="558"/>
      <c r="P325" s="558"/>
      <c r="Q325" s="558"/>
      <c r="R325" s="1036"/>
      <c r="S325" s="1139"/>
      <c r="T325" s="593"/>
      <c r="U325" s="1036"/>
      <c r="V325" s="593"/>
      <c r="W325" s="593"/>
      <c r="X325" s="593"/>
      <c r="Y325" s="593"/>
      <c r="Z325" s="593"/>
      <c r="AA325" s="1139"/>
      <c r="AB325" s="593"/>
      <c r="AC325" s="593"/>
      <c r="AD325" s="593"/>
      <c r="AE325" s="1036"/>
      <c r="AF325" s="593"/>
      <c r="AG325" s="593"/>
      <c r="AH325" s="593"/>
      <c r="AI325" s="593"/>
      <c r="AJ325" s="594"/>
      <c r="AK325" s="548"/>
      <c r="AO325" s="961" t="str">
        <f t="shared" ref="AO325:AP388" si="485">E325</f>
        <v>Qty</v>
      </c>
      <c r="AP325" s="962" t="str">
        <f t="shared" si="485"/>
        <v>[Service]</v>
      </c>
      <c r="AQ325" s="963" t="str">
        <f t="shared" ref="AQ325:AQ388" si="486">I325</f>
        <v>[Price]</v>
      </c>
      <c r="AR325" s="967" t="str">
        <f t="shared" ref="AR325:AR388" si="487">IF(V325="","-",IFERROR(V325/U325-1,"-"))</f>
        <v>-</v>
      </c>
      <c r="AS325" s="964" t="str">
        <f t="shared" ref="AS325:AS388" si="488">IF(W325="","-",IFERROR(W325/V325-1,"-"))</f>
        <v>-</v>
      </c>
      <c r="AT325" s="964" t="str">
        <f t="shared" ref="AT325:AT388" si="489">IF(X325="","-",IFERROR(X325/W325-1,"-"))</f>
        <v>-</v>
      </c>
      <c r="AU325" s="964" t="str">
        <f t="shared" ref="AU325:AU388" si="490">IF(Y325="","-",IFERROR(Y325/X325-1,"-"))</f>
        <v>-</v>
      </c>
      <c r="AV325" s="1350" t="str">
        <f t="shared" ref="AV325:AV388" si="491">IF(Z325="","-",IFERROR(Z325/Y325-1,"-"))</f>
        <v>-</v>
      </c>
      <c r="AW325" s="1343" t="str">
        <f t="shared" ref="AW325:AW388" si="492">IF(AA325="","-",IFERROR(AA325/Z325-1,"-"))</f>
        <v>-</v>
      </c>
      <c r="AX325" s="964" t="str">
        <f t="shared" ref="AX325:AX388" si="493">IF(AB325="","-",IFERROR(AB325/AA325-1,"-"))</f>
        <v>-</v>
      </c>
      <c r="AY325" s="964" t="str">
        <f t="shared" ref="AY325:AY388" si="494">IF(AC325="","-",IFERROR(AC325/AB325-1,"-"))</f>
        <v>-</v>
      </c>
      <c r="AZ325" s="964" t="str">
        <f t="shared" ref="AZ325:AZ388" si="495">IF(AD325="","-",IFERROR(AD325/AC325-1,"-"))</f>
        <v>-</v>
      </c>
      <c r="BA325" s="965" t="str">
        <f t="shared" ref="BA325:BA388" si="496">IF(AE325="","-",IFERROR(AE325/AD325-1,"-"))</f>
        <v>-</v>
      </c>
      <c r="BB325" s="1343" t="str">
        <f t="shared" ref="BB325:BB388" si="497">IF(AF325="","-",IFERROR(AF325/AE325-1,"-"))</f>
        <v>-</v>
      </c>
      <c r="BC325" s="964" t="str">
        <f t="shared" ref="BC325:BC388" si="498">IF(AG325="","-",IFERROR(AG325/AF325-1,"-"))</f>
        <v>-</v>
      </c>
      <c r="BD325" s="964" t="str">
        <f t="shared" ref="BD325:BD388" si="499">IF(AH325="","-",IFERROR(AH325/AG325-1,"-"))</f>
        <v>-</v>
      </c>
      <c r="BE325" s="964" t="str">
        <f t="shared" ref="BE325:BE388" si="500">IF(AI325="","-",IFERROR(AI325/AH325-1,"-"))</f>
        <v>-</v>
      </c>
      <c r="BF325" s="966" t="str">
        <f t="shared" ref="BF325:BF388" si="501">IF(AJ325="","-",IFERROR(AJ325/AI325-1,"-"))</f>
        <v>-</v>
      </c>
      <c r="BG325" s="951"/>
      <c r="BH325" s="961" t="str">
        <f t="shared" ref="BH325:BH388" si="502">AO325</f>
        <v>Qty</v>
      </c>
      <c r="BI325" s="962" t="str">
        <f t="shared" ref="BI325:BI388" si="503">AP325</f>
        <v>[Service]</v>
      </c>
      <c r="BJ325" s="963" t="str">
        <f t="shared" ref="BJ325:BJ388" si="504">AQ325</f>
        <v>[Price]</v>
      </c>
      <c r="BK325" s="964" t="str">
        <f t="shared" ref="BK325:BU325" si="505">IF(V325="","-",IFERROR((V325/U325-1)*(U326/U$13),"-"))</f>
        <v>-</v>
      </c>
      <c r="BL325" s="964" t="str">
        <f t="shared" si="505"/>
        <v>-</v>
      </c>
      <c r="BM325" s="964" t="str">
        <f t="shared" si="505"/>
        <v>-</v>
      </c>
      <c r="BN325" s="964" t="str">
        <f t="shared" si="505"/>
        <v>-</v>
      </c>
      <c r="BO325" s="1350" t="str">
        <f t="shared" si="505"/>
        <v>-</v>
      </c>
      <c r="BP325" s="1343" t="str">
        <f t="shared" si="505"/>
        <v>-</v>
      </c>
      <c r="BQ325" s="964" t="str">
        <f t="shared" si="505"/>
        <v>-</v>
      </c>
      <c r="BR325" s="964" t="str">
        <f t="shared" si="505"/>
        <v>-</v>
      </c>
      <c r="BS325" s="964" t="str">
        <f t="shared" si="505"/>
        <v>-</v>
      </c>
      <c r="BT325" s="965" t="str">
        <f t="shared" si="505"/>
        <v>-</v>
      </c>
      <c r="BU325" s="964" t="str">
        <f t="shared" si="505"/>
        <v>-</v>
      </c>
      <c r="BV325" s="964" t="str">
        <f>IF(AG325="","-",IFERROR((AG325/AF325-1)*(AF326/AF$13),"-"))</f>
        <v>-</v>
      </c>
      <c r="BW325" s="964" t="str">
        <f>IF(AH325="","-",IFERROR((AH325/AG325-1)*(AG326/AG$13),"-"))</f>
        <v>-</v>
      </c>
      <c r="BX325" s="964" t="str">
        <f>IF(AI325="","-",IFERROR((AI325/AH325-1)*(AH326/AH$13),"-"))</f>
        <v>-</v>
      </c>
      <c r="BY325" s="966" t="str">
        <f>IF(AJ325="","-",IFERROR((AJ325/AI325-1)*(AI326/AI$13),"-"))</f>
        <v>-</v>
      </c>
      <c r="BZ325" s="951"/>
      <c r="CA325" s="961" t="str">
        <f t="shared" si="482"/>
        <v>Qty</v>
      </c>
      <c r="CB325" s="962" t="str">
        <f t="shared" si="483"/>
        <v>[Service]</v>
      </c>
      <c r="CC325" s="962" t="str">
        <f t="shared" si="484"/>
        <v>[Price]</v>
      </c>
      <c r="CD325" s="967" t="str">
        <f t="shared" si="397"/>
        <v>-</v>
      </c>
      <c r="CE325" s="964" t="str">
        <f t="shared" si="397"/>
        <v>-</v>
      </c>
      <c r="CF325" s="964" t="str">
        <f t="shared" si="397"/>
        <v>-</v>
      </c>
      <c r="CG325" s="965" t="str">
        <f t="shared" ref="CG325:CG388" si="506">IF(Z325="","-",IFERROR((Z325/$U325)^(1/CG$65)-1,"-"))</f>
        <v>-</v>
      </c>
      <c r="CH325" s="964" t="str">
        <f t="shared" si="398"/>
        <v>-</v>
      </c>
      <c r="CI325" s="964" t="str">
        <f t="shared" si="398"/>
        <v>-</v>
      </c>
      <c r="CJ325" s="964" t="str">
        <f t="shared" si="398"/>
        <v>-</v>
      </c>
      <c r="CK325" s="966" t="str">
        <f t="shared" ref="CK325:CK388" si="507">IF(AE325="","-",IFERROR((AE325/$Z325)^(1/CK$65)-1,"-"))</f>
        <v>-</v>
      </c>
    </row>
    <row r="326" spans="4:89" ht="12.75" thickBot="1">
      <c r="E326" s="568" t="s">
        <v>882</v>
      </c>
      <c r="F326" s="560" t="str">
        <f>+F324</f>
        <v>[Service]</v>
      </c>
      <c r="G326" s="561">
        <f>+G324</f>
        <v>0</v>
      </c>
      <c r="H326" s="561">
        <f>+H324</f>
        <v>0</v>
      </c>
      <c r="I326" s="562" t="str">
        <f>+I324</f>
        <v>[Price]</v>
      </c>
      <c r="J326" s="563" t="s">
        <v>883</v>
      </c>
      <c r="K326" s="564">
        <f t="shared" ref="K326:AJ326" si="508">K324*K325/10^6</f>
        <v>0</v>
      </c>
      <c r="L326" s="565">
        <f t="shared" si="508"/>
        <v>0</v>
      </c>
      <c r="M326" s="565">
        <f t="shared" si="508"/>
        <v>0</v>
      </c>
      <c r="N326" s="564">
        <f t="shared" si="508"/>
        <v>0</v>
      </c>
      <c r="O326" s="565">
        <f t="shared" si="508"/>
        <v>0</v>
      </c>
      <c r="P326" s="565">
        <f t="shared" si="508"/>
        <v>0</v>
      </c>
      <c r="Q326" s="565">
        <f t="shared" si="508"/>
        <v>0</v>
      </c>
      <c r="R326" s="566">
        <f t="shared" si="508"/>
        <v>0</v>
      </c>
      <c r="S326" s="564">
        <f t="shared" si="508"/>
        <v>0</v>
      </c>
      <c r="T326" s="565">
        <f t="shared" si="508"/>
        <v>0</v>
      </c>
      <c r="U326" s="566">
        <f t="shared" si="508"/>
        <v>0</v>
      </c>
      <c r="V326" s="565">
        <f t="shared" si="508"/>
        <v>0</v>
      </c>
      <c r="W326" s="565">
        <f t="shared" si="508"/>
        <v>0</v>
      </c>
      <c r="X326" s="565">
        <f t="shared" si="508"/>
        <v>0</v>
      </c>
      <c r="Y326" s="565">
        <f t="shared" si="508"/>
        <v>0</v>
      </c>
      <c r="Z326" s="565">
        <f t="shared" si="508"/>
        <v>0</v>
      </c>
      <c r="AA326" s="564">
        <f t="shared" si="508"/>
        <v>0</v>
      </c>
      <c r="AB326" s="565">
        <f t="shared" si="508"/>
        <v>0</v>
      </c>
      <c r="AC326" s="565">
        <f t="shared" si="508"/>
        <v>0</v>
      </c>
      <c r="AD326" s="565">
        <f t="shared" si="508"/>
        <v>0</v>
      </c>
      <c r="AE326" s="566">
        <f t="shared" si="508"/>
        <v>0</v>
      </c>
      <c r="AF326" s="565">
        <f t="shared" si="508"/>
        <v>0</v>
      </c>
      <c r="AG326" s="565">
        <f>AG324*AG325/10^6</f>
        <v>0</v>
      </c>
      <c r="AH326" s="565">
        <f>AH324*AH325/10^6</f>
        <v>0</v>
      </c>
      <c r="AI326" s="565">
        <f>AI324*AI325/10^6</f>
        <v>0</v>
      </c>
      <c r="AJ326" s="566">
        <f t="shared" si="508"/>
        <v>0</v>
      </c>
      <c r="AK326" s="548"/>
      <c r="AO326" s="984" t="str">
        <f t="shared" si="485"/>
        <v>Rev</v>
      </c>
      <c r="AP326" s="985" t="str">
        <f t="shared" si="485"/>
        <v>[Service]</v>
      </c>
      <c r="AQ326" s="986" t="str">
        <f t="shared" si="486"/>
        <v>[Price]</v>
      </c>
      <c r="AR326" s="990" t="str">
        <f t="shared" si="487"/>
        <v>-</v>
      </c>
      <c r="AS326" s="987" t="str">
        <f t="shared" si="488"/>
        <v>-</v>
      </c>
      <c r="AT326" s="987" t="str">
        <f t="shared" si="489"/>
        <v>-</v>
      </c>
      <c r="AU326" s="987" t="str">
        <f t="shared" si="490"/>
        <v>-</v>
      </c>
      <c r="AV326" s="1353" t="str">
        <f t="shared" si="491"/>
        <v>-</v>
      </c>
      <c r="AW326" s="1346" t="str">
        <f t="shared" si="492"/>
        <v>-</v>
      </c>
      <c r="AX326" s="987" t="str">
        <f t="shared" si="493"/>
        <v>-</v>
      </c>
      <c r="AY326" s="987" t="str">
        <f t="shared" si="494"/>
        <v>-</v>
      </c>
      <c r="AZ326" s="987" t="str">
        <f t="shared" si="495"/>
        <v>-</v>
      </c>
      <c r="BA326" s="988" t="str">
        <f t="shared" si="496"/>
        <v>-</v>
      </c>
      <c r="BB326" s="1346" t="str">
        <f t="shared" si="497"/>
        <v>-</v>
      </c>
      <c r="BC326" s="987" t="str">
        <f t="shared" si="498"/>
        <v>-</v>
      </c>
      <c r="BD326" s="987" t="str">
        <f t="shared" si="499"/>
        <v>-</v>
      </c>
      <c r="BE326" s="987" t="str">
        <f t="shared" si="500"/>
        <v>-</v>
      </c>
      <c r="BF326" s="989" t="str">
        <f t="shared" si="501"/>
        <v>-</v>
      </c>
      <c r="BG326" s="951"/>
      <c r="BH326" s="984" t="str">
        <f t="shared" si="502"/>
        <v>Rev</v>
      </c>
      <c r="BI326" s="985" t="str">
        <f t="shared" si="503"/>
        <v>[Service]</v>
      </c>
      <c r="BJ326" s="986" t="str">
        <f t="shared" si="504"/>
        <v>[Price]</v>
      </c>
      <c r="BK326" s="987" t="str">
        <f t="shared" ref="BK326:BU326" si="509">IF(V326="","-",IFERROR((V326/U326-1)*(U326/U$13),"-"))</f>
        <v>-</v>
      </c>
      <c r="BL326" s="987" t="str">
        <f t="shared" si="509"/>
        <v>-</v>
      </c>
      <c r="BM326" s="987" t="str">
        <f t="shared" si="509"/>
        <v>-</v>
      </c>
      <c r="BN326" s="987" t="str">
        <f t="shared" si="509"/>
        <v>-</v>
      </c>
      <c r="BO326" s="1353" t="str">
        <f t="shared" si="509"/>
        <v>-</v>
      </c>
      <c r="BP326" s="1346" t="str">
        <f t="shared" si="509"/>
        <v>-</v>
      </c>
      <c r="BQ326" s="987" t="str">
        <f t="shared" si="509"/>
        <v>-</v>
      </c>
      <c r="BR326" s="987" t="str">
        <f t="shared" si="509"/>
        <v>-</v>
      </c>
      <c r="BS326" s="987" t="str">
        <f t="shared" si="509"/>
        <v>-</v>
      </c>
      <c r="BT326" s="988" t="str">
        <f t="shared" si="509"/>
        <v>-</v>
      </c>
      <c r="BU326" s="987" t="str">
        <f t="shared" si="509"/>
        <v>-</v>
      </c>
      <c r="BV326" s="987" t="str">
        <f>IF(AG326="","-",IFERROR((AG326/AF326-1)*(AF326/AF$13),"-"))</f>
        <v>-</v>
      </c>
      <c r="BW326" s="987" t="str">
        <f>IF(AH326="","-",IFERROR((AH326/AG326-1)*(AG326/AG$13),"-"))</f>
        <v>-</v>
      </c>
      <c r="BX326" s="987" t="str">
        <f>IF(AI326="","-",IFERROR((AI326/AH326-1)*(AH326/AH$13),"-"))</f>
        <v>-</v>
      </c>
      <c r="BY326" s="989" t="str">
        <f>IF(AJ326="","-",IFERROR((AJ326/AI326-1)*(AI326/AI$13),"-"))</f>
        <v>-</v>
      </c>
      <c r="BZ326" s="951"/>
      <c r="CA326" s="984" t="str">
        <f t="shared" si="482"/>
        <v>Rev</v>
      </c>
      <c r="CB326" s="985" t="str">
        <f t="shared" si="483"/>
        <v>[Service]</v>
      </c>
      <c r="CC326" s="985" t="str">
        <f t="shared" si="484"/>
        <v>[Price]</v>
      </c>
      <c r="CD326" s="990" t="str">
        <f t="shared" ref="CD326:CG389" si="510">IF(W326="","-",IFERROR((W326/$U326)^(1/CD$65)-1,"-"))</f>
        <v>-</v>
      </c>
      <c r="CE326" s="987" t="str">
        <f t="shared" si="510"/>
        <v>-</v>
      </c>
      <c r="CF326" s="987" t="str">
        <f t="shared" si="510"/>
        <v>-</v>
      </c>
      <c r="CG326" s="988" t="str">
        <f t="shared" si="506"/>
        <v>-</v>
      </c>
      <c r="CH326" s="987" t="str">
        <f t="shared" ref="CH326:CK389" si="511">IF(AB326="","-",IFERROR((AB326/$Z326)^(1/CH$65)-1,"-"))</f>
        <v>-</v>
      </c>
      <c r="CI326" s="987" t="str">
        <f t="shared" si="511"/>
        <v>-</v>
      </c>
      <c r="CJ326" s="987" t="str">
        <f t="shared" si="511"/>
        <v>-</v>
      </c>
      <c r="CK326" s="989" t="str">
        <f t="shared" si="507"/>
        <v>-</v>
      </c>
    </row>
    <row r="327" spans="4:89">
      <c r="D327" s="63">
        <f>D324+1</f>
        <v>87</v>
      </c>
      <c r="E327" s="550" t="s">
        <v>857</v>
      </c>
      <c r="F327" s="595" t="s">
        <v>428</v>
      </c>
      <c r="G327" s="595"/>
      <c r="H327" s="595"/>
      <c r="I327" s="589" t="s">
        <v>920</v>
      </c>
      <c r="J327" s="589" t="s">
        <v>879</v>
      </c>
      <c r="K327" s="551"/>
      <c r="L327" s="552"/>
      <c r="M327" s="552"/>
      <c r="N327" s="551"/>
      <c r="O327" s="552"/>
      <c r="P327" s="552"/>
      <c r="Q327" s="552"/>
      <c r="R327" s="1035"/>
      <c r="S327" s="1138"/>
      <c r="T327" s="591"/>
      <c r="U327" s="1035"/>
      <c r="V327" s="591"/>
      <c r="W327" s="591"/>
      <c r="X327" s="591"/>
      <c r="Y327" s="591"/>
      <c r="Z327" s="591"/>
      <c r="AA327" s="1138"/>
      <c r="AB327" s="591"/>
      <c r="AC327" s="591"/>
      <c r="AD327" s="591"/>
      <c r="AE327" s="1035"/>
      <c r="AF327" s="591"/>
      <c r="AG327" s="591"/>
      <c r="AH327" s="591"/>
      <c r="AI327" s="591"/>
      <c r="AJ327" s="592"/>
      <c r="AK327" s="548"/>
      <c r="AM327" s="974"/>
      <c r="AO327" s="975" t="str">
        <f t="shared" si="485"/>
        <v>Price</v>
      </c>
      <c r="AP327" s="976" t="str">
        <f t="shared" si="485"/>
        <v>[Service]</v>
      </c>
      <c r="AQ327" s="977" t="str">
        <f t="shared" si="486"/>
        <v>[Price]</v>
      </c>
      <c r="AR327" s="1341" t="str">
        <f t="shared" si="487"/>
        <v>-</v>
      </c>
      <c r="AS327" s="978" t="str">
        <f t="shared" si="488"/>
        <v>-</v>
      </c>
      <c r="AT327" s="979" t="str">
        <f t="shared" si="489"/>
        <v>-</v>
      </c>
      <c r="AU327" s="979" t="str">
        <f t="shared" si="490"/>
        <v>-</v>
      </c>
      <c r="AV327" s="1352" t="str">
        <f t="shared" si="491"/>
        <v>-</v>
      </c>
      <c r="AW327" s="1345" t="str">
        <f t="shared" si="492"/>
        <v>-</v>
      </c>
      <c r="AX327" s="979" t="str">
        <f t="shared" si="493"/>
        <v>-</v>
      </c>
      <c r="AY327" s="979" t="str">
        <f t="shared" si="494"/>
        <v>-</v>
      </c>
      <c r="AZ327" s="979" t="str">
        <f t="shared" si="495"/>
        <v>-</v>
      </c>
      <c r="BA327" s="980" t="str">
        <f t="shared" si="496"/>
        <v>-</v>
      </c>
      <c r="BB327" s="1345" t="str">
        <f t="shared" si="497"/>
        <v>-</v>
      </c>
      <c r="BC327" s="979" t="str">
        <f t="shared" si="498"/>
        <v>-</v>
      </c>
      <c r="BD327" s="979" t="str">
        <f t="shared" si="499"/>
        <v>-</v>
      </c>
      <c r="BE327" s="979" t="str">
        <f t="shared" si="500"/>
        <v>-</v>
      </c>
      <c r="BF327" s="981" t="str">
        <f t="shared" si="501"/>
        <v>-</v>
      </c>
      <c r="BG327" s="951"/>
      <c r="BH327" s="975" t="str">
        <f t="shared" si="502"/>
        <v>Price</v>
      </c>
      <c r="BI327" s="976" t="str">
        <f t="shared" si="503"/>
        <v>[Service]</v>
      </c>
      <c r="BJ327" s="977" t="str">
        <f t="shared" si="504"/>
        <v>[Price]</v>
      </c>
      <c r="BK327" s="978" t="str">
        <f t="shared" ref="BK327:BU327" si="512">IF(V327="","-",IFERROR((V327/U327-1)*(U329/U$13),"-"))</f>
        <v>-</v>
      </c>
      <c r="BL327" s="978" t="str">
        <f t="shared" si="512"/>
        <v>-</v>
      </c>
      <c r="BM327" s="979" t="str">
        <f t="shared" si="512"/>
        <v>-</v>
      </c>
      <c r="BN327" s="979" t="str">
        <f t="shared" si="512"/>
        <v>-</v>
      </c>
      <c r="BO327" s="1352" t="str">
        <f t="shared" si="512"/>
        <v>-</v>
      </c>
      <c r="BP327" s="1345" t="str">
        <f t="shared" si="512"/>
        <v>-</v>
      </c>
      <c r="BQ327" s="979" t="str">
        <f t="shared" si="512"/>
        <v>-</v>
      </c>
      <c r="BR327" s="979" t="str">
        <f t="shared" si="512"/>
        <v>-</v>
      </c>
      <c r="BS327" s="979" t="str">
        <f t="shared" si="512"/>
        <v>-</v>
      </c>
      <c r="BT327" s="980" t="str">
        <f t="shared" si="512"/>
        <v>-</v>
      </c>
      <c r="BU327" s="979" t="str">
        <f t="shared" si="512"/>
        <v>-</v>
      </c>
      <c r="BV327" s="979" t="str">
        <f>IF(AG327="","-",IFERROR((AG327/AF327-1)*(AF329/AF$13),"-"))</f>
        <v>-</v>
      </c>
      <c r="BW327" s="979" t="str">
        <f>IF(AH327="","-",IFERROR((AH327/AG327-1)*(AG329/AG$13),"-"))</f>
        <v>-</v>
      </c>
      <c r="BX327" s="979" t="str">
        <f>IF(AI327="","-",IFERROR((AI327/AH327-1)*(AH329/AH$13),"-"))</f>
        <v>-</v>
      </c>
      <c r="BY327" s="981" t="str">
        <f>IF(AJ327="","-",IFERROR((AJ327/AI327-1)*(AI329/AI$13),"-"))</f>
        <v>-</v>
      </c>
      <c r="BZ327" s="951"/>
      <c r="CA327" s="975" t="str">
        <f t="shared" si="482"/>
        <v>Price</v>
      </c>
      <c r="CB327" s="976" t="str">
        <f t="shared" si="483"/>
        <v>[Service]</v>
      </c>
      <c r="CC327" s="982" t="str">
        <f t="shared" si="484"/>
        <v>[Price]</v>
      </c>
      <c r="CD327" s="983" t="str">
        <f t="shared" si="510"/>
        <v>-</v>
      </c>
      <c r="CE327" s="979" t="str">
        <f t="shared" si="510"/>
        <v>-</v>
      </c>
      <c r="CF327" s="979" t="str">
        <f t="shared" si="510"/>
        <v>-</v>
      </c>
      <c r="CG327" s="980" t="str">
        <f t="shared" si="506"/>
        <v>-</v>
      </c>
      <c r="CH327" s="979" t="str">
        <f t="shared" si="511"/>
        <v>-</v>
      </c>
      <c r="CI327" s="979" t="str">
        <f t="shared" si="511"/>
        <v>-</v>
      </c>
      <c r="CJ327" s="979" t="str">
        <f t="shared" si="511"/>
        <v>-</v>
      </c>
      <c r="CK327" s="981" t="str">
        <f t="shared" si="507"/>
        <v>-</v>
      </c>
    </row>
    <row r="328" spans="4:89">
      <c r="E328" s="567" t="s">
        <v>880</v>
      </c>
      <c r="F328" s="554" t="str">
        <f>+F327</f>
        <v>[Service]</v>
      </c>
      <c r="G328" s="555">
        <f>+G327</f>
        <v>0</v>
      </c>
      <c r="H328" s="555">
        <f>+H327</f>
        <v>0</v>
      </c>
      <c r="I328" s="556" t="str">
        <f>+I327</f>
        <v>[Price]</v>
      </c>
      <c r="J328" s="590" t="s">
        <v>916</v>
      </c>
      <c r="K328" s="557"/>
      <c r="L328" s="558"/>
      <c r="M328" s="558"/>
      <c r="N328" s="557"/>
      <c r="O328" s="558"/>
      <c r="P328" s="558"/>
      <c r="Q328" s="558"/>
      <c r="R328" s="1036"/>
      <c r="S328" s="1139"/>
      <c r="T328" s="593"/>
      <c r="U328" s="1036"/>
      <c r="V328" s="593"/>
      <c r="W328" s="593"/>
      <c r="X328" s="593"/>
      <c r="Y328" s="593"/>
      <c r="Z328" s="593"/>
      <c r="AA328" s="1139"/>
      <c r="AB328" s="593"/>
      <c r="AC328" s="593"/>
      <c r="AD328" s="593"/>
      <c r="AE328" s="1036"/>
      <c r="AF328" s="593"/>
      <c r="AG328" s="593"/>
      <c r="AH328" s="593"/>
      <c r="AI328" s="593"/>
      <c r="AJ328" s="594"/>
      <c r="AK328" s="548"/>
      <c r="AO328" s="961" t="str">
        <f t="shared" si="485"/>
        <v>Qty</v>
      </c>
      <c r="AP328" s="962" t="str">
        <f t="shared" si="485"/>
        <v>[Service]</v>
      </c>
      <c r="AQ328" s="963" t="str">
        <f t="shared" si="486"/>
        <v>[Price]</v>
      </c>
      <c r="AR328" s="967" t="str">
        <f t="shared" si="487"/>
        <v>-</v>
      </c>
      <c r="AS328" s="964" t="str">
        <f t="shared" si="488"/>
        <v>-</v>
      </c>
      <c r="AT328" s="964" t="str">
        <f t="shared" si="489"/>
        <v>-</v>
      </c>
      <c r="AU328" s="964" t="str">
        <f t="shared" si="490"/>
        <v>-</v>
      </c>
      <c r="AV328" s="1350" t="str">
        <f t="shared" si="491"/>
        <v>-</v>
      </c>
      <c r="AW328" s="1343" t="str">
        <f t="shared" si="492"/>
        <v>-</v>
      </c>
      <c r="AX328" s="964" t="str">
        <f t="shared" si="493"/>
        <v>-</v>
      </c>
      <c r="AY328" s="964" t="str">
        <f t="shared" si="494"/>
        <v>-</v>
      </c>
      <c r="AZ328" s="964" t="str">
        <f t="shared" si="495"/>
        <v>-</v>
      </c>
      <c r="BA328" s="965" t="str">
        <f t="shared" si="496"/>
        <v>-</v>
      </c>
      <c r="BB328" s="1343" t="str">
        <f t="shared" si="497"/>
        <v>-</v>
      </c>
      <c r="BC328" s="964" t="str">
        <f t="shared" si="498"/>
        <v>-</v>
      </c>
      <c r="BD328" s="964" t="str">
        <f t="shared" si="499"/>
        <v>-</v>
      </c>
      <c r="BE328" s="964" t="str">
        <f t="shared" si="500"/>
        <v>-</v>
      </c>
      <c r="BF328" s="966" t="str">
        <f t="shared" si="501"/>
        <v>-</v>
      </c>
      <c r="BG328" s="951"/>
      <c r="BH328" s="961" t="str">
        <f t="shared" si="502"/>
        <v>Qty</v>
      </c>
      <c r="BI328" s="962" t="str">
        <f t="shared" si="503"/>
        <v>[Service]</v>
      </c>
      <c r="BJ328" s="963" t="str">
        <f t="shared" si="504"/>
        <v>[Price]</v>
      </c>
      <c r="BK328" s="964" t="str">
        <f t="shared" ref="BK328:BU328" si="513">IF(V328="","-",IFERROR((V328/U328-1)*(U329/U$13),"-"))</f>
        <v>-</v>
      </c>
      <c r="BL328" s="964" t="str">
        <f t="shared" si="513"/>
        <v>-</v>
      </c>
      <c r="BM328" s="964" t="str">
        <f t="shared" si="513"/>
        <v>-</v>
      </c>
      <c r="BN328" s="964" t="str">
        <f t="shared" si="513"/>
        <v>-</v>
      </c>
      <c r="BO328" s="1350" t="str">
        <f t="shared" si="513"/>
        <v>-</v>
      </c>
      <c r="BP328" s="1343" t="str">
        <f t="shared" si="513"/>
        <v>-</v>
      </c>
      <c r="BQ328" s="964" t="str">
        <f t="shared" si="513"/>
        <v>-</v>
      </c>
      <c r="BR328" s="964" t="str">
        <f t="shared" si="513"/>
        <v>-</v>
      </c>
      <c r="BS328" s="964" t="str">
        <f t="shared" si="513"/>
        <v>-</v>
      </c>
      <c r="BT328" s="965" t="str">
        <f t="shared" si="513"/>
        <v>-</v>
      </c>
      <c r="BU328" s="964" t="str">
        <f t="shared" si="513"/>
        <v>-</v>
      </c>
      <c r="BV328" s="964" t="str">
        <f>IF(AG328="","-",IFERROR((AG328/AF328-1)*(AF329/AF$13),"-"))</f>
        <v>-</v>
      </c>
      <c r="BW328" s="964" t="str">
        <f>IF(AH328="","-",IFERROR((AH328/AG328-1)*(AG329/AG$13),"-"))</f>
        <v>-</v>
      </c>
      <c r="BX328" s="964" t="str">
        <f>IF(AI328="","-",IFERROR((AI328/AH328-1)*(AH329/AH$13),"-"))</f>
        <v>-</v>
      </c>
      <c r="BY328" s="966" t="str">
        <f>IF(AJ328="","-",IFERROR((AJ328/AI328-1)*(AI329/AI$13),"-"))</f>
        <v>-</v>
      </c>
      <c r="BZ328" s="951"/>
      <c r="CA328" s="961" t="str">
        <f t="shared" si="482"/>
        <v>Qty</v>
      </c>
      <c r="CB328" s="962" t="str">
        <f t="shared" si="483"/>
        <v>[Service]</v>
      </c>
      <c r="CC328" s="962" t="str">
        <f t="shared" si="484"/>
        <v>[Price]</v>
      </c>
      <c r="CD328" s="967" t="str">
        <f t="shared" si="510"/>
        <v>-</v>
      </c>
      <c r="CE328" s="964" t="str">
        <f t="shared" si="510"/>
        <v>-</v>
      </c>
      <c r="CF328" s="964" t="str">
        <f t="shared" si="510"/>
        <v>-</v>
      </c>
      <c r="CG328" s="965" t="str">
        <f t="shared" si="506"/>
        <v>-</v>
      </c>
      <c r="CH328" s="964" t="str">
        <f t="shared" si="511"/>
        <v>-</v>
      </c>
      <c r="CI328" s="964" t="str">
        <f t="shared" si="511"/>
        <v>-</v>
      </c>
      <c r="CJ328" s="964" t="str">
        <f t="shared" si="511"/>
        <v>-</v>
      </c>
      <c r="CK328" s="966" t="str">
        <f t="shared" si="507"/>
        <v>-</v>
      </c>
    </row>
    <row r="329" spans="4:89" ht="12.75" thickBot="1">
      <c r="E329" s="568" t="s">
        <v>882</v>
      </c>
      <c r="F329" s="560" t="str">
        <f>+F327</f>
        <v>[Service]</v>
      </c>
      <c r="G329" s="561">
        <f>+G327</f>
        <v>0</v>
      </c>
      <c r="H329" s="561">
        <f>+H327</f>
        <v>0</v>
      </c>
      <c r="I329" s="562" t="str">
        <f>+I327</f>
        <v>[Price]</v>
      </c>
      <c r="J329" s="563" t="s">
        <v>883</v>
      </c>
      <c r="K329" s="564">
        <f t="shared" ref="K329:AJ329" si="514">K327*K328/10^6</f>
        <v>0</v>
      </c>
      <c r="L329" s="565">
        <f t="shared" si="514"/>
        <v>0</v>
      </c>
      <c r="M329" s="565">
        <f t="shared" si="514"/>
        <v>0</v>
      </c>
      <c r="N329" s="564">
        <f t="shared" si="514"/>
        <v>0</v>
      </c>
      <c r="O329" s="565">
        <f t="shared" si="514"/>
        <v>0</v>
      </c>
      <c r="P329" s="565">
        <f t="shared" si="514"/>
        <v>0</v>
      </c>
      <c r="Q329" s="565">
        <f t="shared" si="514"/>
        <v>0</v>
      </c>
      <c r="R329" s="566">
        <f t="shared" si="514"/>
        <v>0</v>
      </c>
      <c r="S329" s="564">
        <f t="shared" si="514"/>
        <v>0</v>
      </c>
      <c r="T329" s="565">
        <f t="shared" si="514"/>
        <v>0</v>
      </c>
      <c r="U329" s="566">
        <f t="shared" si="514"/>
        <v>0</v>
      </c>
      <c r="V329" s="565">
        <f t="shared" si="514"/>
        <v>0</v>
      </c>
      <c r="W329" s="565">
        <f t="shared" si="514"/>
        <v>0</v>
      </c>
      <c r="X329" s="565">
        <f t="shared" si="514"/>
        <v>0</v>
      </c>
      <c r="Y329" s="565">
        <f t="shared" si="514"/>
        <v>0</v>
      </c>
      <c r="Z329" s="565">
        <f t="shared" si="514"/>
        <v>0</v>
      </c>
      <c r="AA329" s="564">
        <f t="shared" si="514"/>
        <v>0</v>
      </c>
      <c r="AB329" s="565">
        <f t="shared" si="514"/>
        <v>0</v>
      </c>
      <c r="AC329" s="565">
        <f t="shared" si="514"/>
        <v>0</v>
      </c>
      <c r="AD329" s="565">
        <f t="shared" si="514"/>
        <v>0</v>
      </c>
      <c r="AE329" s="566">
        <f t="shared" si="514"/>
        <v>0</v>
      </c>
      <c r="AF329" s="565">
        <f t="shared" si="514"/>
        <v>0</v>
      </c>
      <c r="AG329" s="565">
        <f>AG327*AG328/10^6</f>
        <v>0</v>
      </c>
      <c r="AH329" s="565">
        <f>AH327*AH328/10^6</f>
        <v>0</v>
      </c>
      <c r="AI329" s="565">
        <f>AI327*AI328/10^6</f>
        <v>0</v>
      </c>
      <c r="AJ329" s="566">
        <f t="shared" si="514"/>
        <v>0</v>
      </c>
      <c r="AK329" s="548"/>
      <c r="AO329" s="984" t="str">
        <f t="shared" si="485"/>
        <v>Rev</v>
      </c>
      <c r="AP329" s="985" t="str">
        <f t="shared" si="485"/>
        <v>[Service]</v>
      </c>
      <c r="AQ329" s="986" t="str">
        <f t="shared" si="486"/>
        <v>[Price]</v>
      </c>
      <c r="AR329" s="990" t="str">
        <f t="shared" si="487"/>
        <v>-</v>
      </c>
      <c r="AS329" s="987" t="str">
        <f t="shared" si="488"/>
        <v>-</v>
      </c>
      <c r="AT329" s="987" t="str">
        <f t="shared" si="489"/>
        <v>-</v>
      </c>
      <c r="AU329" s="987" t="str">
        <f t="shared" si="490"/>
        <v>-</v>
      </c>
      <c r="AV329" s="1353" t="str">
        <f t="shared" si="491"/>
        <v>-</v>
      </c>
      <c r="AW329" s="1346" t="str">
        <f t="shared" si="492"/>
        <v>-</v>
      </c>
      <c r="AX329" s="987" t="str">
        <f t="shared" si="493"/>
        <v>-</v>
      </c>
      <c r="AY329" s="987" t="str">
        <f t="shared" si="494"/>
        <v>-</v>
      </c>
      <c r="AZ329" s="987" t="str">
        <f t="shared" si="495"/>
        <v>-</v>
      </c>
      <c r="BA329" s="988" t="str">
        <f t="shared" si="496"/>
        <v>-</v>
      </c>
      <c r="BB329" s="1346" t="str">
        <f t="shared" si="497"/>
        <v>-</v>
      </c>
      <c r="BC329" s="987" t="str">
        <f t="shared" si="498"/>
        <v>-</v>
      </c>
      <c r="BD329" s="987" t="str">
        <f t="shared" si="499"/>
        <v>-</v>
      </c>
      <c r="BE329" s="987" t="str">
        <f t="shared" si="500"/>
        <v>-</v>
      </c>
      <c r="BF329" s="989" t="str">
        <f t="shared" si="501"/>
        <v>-</v>
      </c>
      <c r="BG329" s="951"/>
      <c r="BH329" s="984" t="str">
        <f t="shared" si="502"/>
        <v>Rev</v>
      </c>
      <c r="BI329" s="985" t="str">
        <f t="shared" si="503"/>
        <v>[Service]</v>
      </c>
      <c r="BJ329" s="986" t="str">
        <f t="shared" si="504"/>
        <v>[Price]</v>
      </c>
      <c r="BK329" s="987" t="str">
        <f t="shared" ref="BK329:BU329" si="515">IF(V329="","-",IFERROR((V329/U329-1)*(U329/U$13),"-"))</f>
        <v>-</v>
      </c>
      <c r="BL329" s="987" t="str">
        <f t="shared" si="515"/>
        <v>-</v>
      </c>
      <c r="BM329" s="987" t="str">
        <f t="shared" si="515"/>
        <v>-</v>
      </c>
      <c r="BN329" s="987" t="str">
        <f t="shared" si="515"/>
        <v>-</v>
      </c>
      <c r="BO329" s="1353" t="str">
        <f t="shared" si="515"/>
        <v>-</v>
      </c>
      <c r="BP329" s="1346" t="str">
        <f t="shared" si="515"/>
        <v>-</v>
      </c>
      <c r="BQ329" s="987" t="str">
        <f t="shared" si="515"/>
        <v>-</v>
      </c>
      <c r="BR329" s="987" t="str">
        <f t="shared" si="515"/>
        <v>-</v>
      </c>
      <c r="BS329" s="987" t="str">
        <f t="shared" si="515"/>
        <v>-</v>
      </c>
      <c r="BT329" s="988" t="str">
        <f t="shared" si="515"/>
        <v>-</v>
      </c>
      <c r="BU329" s="987" t="str">
        <f t="shared" si="515"/>
        <v>-</v>
      </c>
      <c r="BV329" s="987" t="str">
        <f>IF(AG329="","-",IFERROR((AG329/AF329-1)*(AF329/AF$13),"-"))</f>
        <v>-</v>
      </c>
      <c r="BW329" s="987" t="str">
        <f>IF(AH329="","-",IFERROR((AH329/AG329-1)*(AG329/AG$13),"-"))</f>
        <v>-</v>
      </c>
      <c r="BX329" s="987" t="str">
        <f>IF(AI329="","-",IFERROR((AI329/AH329-1)*(AH329/AH$13),"-"))</f>
        <v>-</v>
      </c>
      <c r="BY329" s="989" t="str">
        <f>IF(AJ329="","-",IFERROR((AJ329/AI329-1)*(AI329/AI$13),"-"))</f>
        <v>-</v>
      </c>
      <c r="BZ329" s="951"/>
      <c r="CA329" s="984" t="str">
        <f t="shared" si="482"/>
        <v>Rev</v>
      </c>
      <c r="CB329" s="985" t="str">
        <f t="shared" si="483"/>
        <v>[Service]</v>
      </c>
      <c r="CC329" s="985" t="str">
        <f t="shared" si="484"/>
        <v>[Price]</v>
      </c>
      <c r="CD329" s="990" t="str">
        <f t="shared" si="510"/>
        <v>-</v>
      </c>
      <c r="CE329" s="987" t="str">
        <f t="shared" si="510"/>
        <v>-</v>
      </c>
      <c r="CF329" s="987" t="str">
        <f t="shared" si="510"/>
        <v>-</v>
      </c>
      <c r="CG329" s="988" t="str">
        <f t="shared" si="506"/>
        <v>-</v>
      </c>
      <c r="CH329" s="987" t="str">
        <f t="shared" si="511"/>
        <v>-</v>
      </c>
      <c r="CI329" s="987" t="str">
        <f t="shared" si="511"/>
        <v>-</v>
      </c>
      <c r="CJ329" s="987" t="str">
        <f t="shared" si="511"/>
        <v>-</v>
      </c>
      <c r="CK329" s="989" t="str">
        <f t="shared" si="507"/>
        <v>-</v>
      </c>
    </row>
    <row r="330" spans="4:89">
      <c r="D330" s="63">
        <f>D327+1</f>
        <v>88</v>
      </c>
      <c r="E330" s="550" t="s">
        <v>857</v>
      </c>
      <c r="F330" s="595" t="s">
        <v>428</v>
      </c>
      <c r="G330" s="595"/>
      <c r="H330" s="595"/>
      <c r="I330" s="589" t="s">
        <v>920</v>
      </c>
      <c r="J330" s="589" t="s">
        <v>879</v>
      </c>
      <c r="K330" s="551"/>
      <c r="L330" s="552"/>
      <c r="M330" s="552"/>
      <c r="N330" s="551"/>
      <c r="O330" s="552"/>
      <c r="P330" s="552"/>
      <c r="Q330" s="552"/>
      <c r="R330" s="1035"/>
      <c r="S330" s="1138"/>
      <c r="T330" s="591"/>
      <c r="U330" s="1035"/>
      <c r="V330" s="591"/>
      <c r="W330" s="591"/>
      <c r="X330" s="591"/>
      <c r="Y330" s="591"/>
      <c r="Z330" s="591"/>
      <c r="AA330" s="1138"/>
      <c r="AB330" s="591"/>
      <c r="AC330" s="591"/>
      <c r="AD330" s="591"/>
      <c r="AE330" s="1035"/>
      <c r="AF330" s="591"/>
      <c r="AG330" s="591"/>
      <c r="AH330" s="591"/>
      <c r="AI330" s="591"/>
      <c r="AJ330" s="592"/>
      <c r="AK330" s="548"/>
      <c r="AM330" s="974"/>
      <c r="AO330" s="975" t="str">
        <f t="shared" si="485"/>
        <v>Price</v>
      </c>
      <c r="AP330" s="976" t="str">
        <f t="shared" si="485"/>
        <v>[Service]</v>
      </c>
      <c r="AQ330" s="977" t="str">
        <f t="shared" si="486"/>
        <v>[Price]</v>
      </c>
      <c r="AR330" s="1341" t="str">
        <f t="shared" si="487"/>
        <v>-</v>
      </c>
      <c r="AS330" s="978" t="str">
        <f t="shared" si="488"/>
        <v>-</v>
      </c>
      <c r="AT330" s="979" t="str">
        <f t="shared" si="489"/>
        <v>-</v>
      </c>
      <c r="AU330" s="979" t="str">
        <f t="shared" si="490"/>
        <v>-</v>
      </c>
      <c r="AV330" s="1352" t="str">
        <f t="shared" si="491"/>
        <v>-</v>
      </c>
      <c r="AW330" s="1345" t="str">
        <f t="shared" si="492"/>
        <v>-</v>
      </c>
      <c r="AX330" s="979" t="str">
        <f t="shared" si="493"/>
        <v>-</v>
      </c>
      <c r="AY330" s="979" t="str">
        <f t="shared" si="494"/>
        <v>-</v>
      </c>
      <c r="AZ330" s="979" t="str">
        <f t="shared" si="495"/>
        <v>-</v>
      </c>
      <c r="BA330" s="980" t="str">
        <f t="shared" si="496"/>
        <v>-</v>
      </c>
      <c r="BB330" s="1345" t="str">
        <f t="shared" si="497"/>
        <v>-</v>
      </c>
      <c r="BC330" s="979" t="str">
        <f t="shared" si="498"/>
        <v>-</v>
      </c>
      <c r="BD330" s="979" t="str">
        <f t="shared" si="499"/>
        <v>-</v>
      </c>
      <c r="BE330" s="979" t="str">
        <f t="shared" si="500"/>
        <v>-</v>
      </c>
      <c r="BF330" s="981" t="str">
        <f t="shared" si="501"/>
        <v>-</v>
      </c>
      <c r="BG330" s="951"/>
      <c r="BH330" s="975" t="str">
        <f t="shared" si="502"/>
        <v>Price</v>
      </c>
      <c r="BI330" s="976" t="str">
        <f t="shared" si="503"/>
        <v>[Service]</v>
      </c>
      <c r="BJ330" s="977" t="str">
        <f t="shared" si="504"/>
        <v>[Price]</v>
      </c>
      <c r="BK330" s="978" t="str">
        <f t="shared" ref="BK330:BU330" si="516">IF(V330="","-",IFERROR((V330/U330-1)*(U332/U$13),"-"))</f>
        <v>-</v>
      </c>
      <c r="BL330" s="978" t="str">
        <f t="shared" si="516"/>
        <v>-</v>
      </c>
      <c r="BM330" s="979" t="str">
        <f t="shared" si="516"/>
        <v>-</v>
      </c>
      <c r="BN330" s="979" t="str">
        <f t="shared" si="516"/>
        <v>-</v>
      </c>
      <c r="BO330" s="1352" t="str">
        <f t="shared" si="516"/>
        <v>-</v>
      </c>
      <c r="BP330" s="1345" t="str">
        <f t="shared" si="516"/>
        <v>-</v>
      </c>
      <c r="BQ330" s="979" t="str">
        <f t="shared" si="516"/>
        <v>-</v>
      </c>
      <c r="BR330" s="979" t="str">
        <f t="shared" si="516"/>
        <v>-</v>
      </c>
      <c r="BS330" s="979" t="str">
        <f t="shared" si="516"/>
        <v>-</v>
      </c>
      <c r="BT330" s="980" t="str">
        <f t="shared" si="516"/>
        <v>-</v>
      </c>
      <c r="BU330" s="979" t="str">
        <f t="shared" si="516"/>
        <v>-</v>
      </c>
      <c r="BV330" s="979" t="str">
        <f>IF(AG330="","-",IFERROR((AG330/AF330-1)*(AF332/AF$13),"-"))</f>
        <v>-</v>
      </c>
      <c r="BW330" s="979" t="str">
        <f>IF(AH330="","-",IFERROR((AH330/AG330-1)*(AG332/AG$13),"-"))</f>
        <v>-</v>
      </c>
      <c r="BX330" s="979" t="str">
        <f>IF(AI330="","-",IFERROR((AI330/AH330-1)*(AH332/AH$13),"-"))</f>
        <v>-</v>
      </c>
      <c r="BY330" s="981" t="str">
        <f>IF(AJ330="","-",IFERROR((AJ330/AI330-1)*(AI332/AI$13),"-"))</f>
        <v>-</v>
      </c>
      <c r="BZ330" s="951"/>
      <c r="CA330" s="975" t="str">
        <f t="shared" si="482"/>
        <v>Price</v>
      </c>
      <c r="CB330" s="976" t="str">
        <f t="shared" si="483"/>
        <v>[Service]</v>
      </c>
      <c r="CC330" s="982" t="str">
        <f t="shared" si="484"/>
        <v>[Price]</v>
      </c>
      <c r="CD330" s="983" t="str">
        <f t="shared" si="510"/>
        <v>-</v>
      </c>
      <c r="CE330" s="979" t="str">
        <f t="shared" si="510"/>
        <v>-</v>
      </c>
      <c r="CF330" s="979" t="str">
        <f t="shared" si="510"/>
        <v>-</v>
      </c>
      <c r="CG330" s="980" t="str">
        <f t="shared" si="506"/>
        <v>-</v>
      </c>
      <c r="CH330" s="979" t="str">
        <f t="shared" si="511"/>
        <v>-</v>
      </c>
      <c r="CI330" s="979" t="str">
        <f t="shared" si="511"/>
        <v>-</v>
      </c>
      <c r="CJ330" s="979" t="str">
        <f t="shared" si="511"/>
        <v>-</v>
      </c>
      <c r="CK330" s="981" t="str">
        <f t="shared" si="507"/>
        <v>-</v>
      </c>
    </row>
    <row r="331" spans="4:89">
      <c r="E331" s="567" t="s">
        <v>880</v>
      </c>
      <c r="F331" s="554" t="str">
        <f>+F330</f>
        <v>[Service]</v>
      </c>
      <c r="G331" s="555">
        <f>+G330</f>
        <v>0</v>
      </c>
      <c r="H331" s="555">
        <f>+H330</f>
        <v>0</v>
      </c>
      <c r="I331" s="556" t="str">
        <f>+I330</f>
        <v>[Price]</v>
      </c>
      <c r="J331" s="590" t="s">
        <v>916</v>
      </c>
      <c r="K331" s="557"/>
      <c r="L331" s="558"/>
      <c r="M331" s="558"/>
      <c r="N331" s="557"/>
      <c r="O331" s="558"/>
      <c r="P331" s="558"/>
      <c r="Q331" s="558"/>
      <c r="R331" s="1036"/>
      <c r="S331" s="1139"/>
      <c r="T331" s="593"/>
      <c r="U331" s="1036"/>
      <c r="V331" s="593"/>
      <c r="W331" s="593"/>
      <c r="X331" s="593"/>
      <c r="Y331" s="593"/>
      <c r="Z331" s="593"/>
      <c r="AA331" s="1139"/>
      <c r="AB331" s="593"/>
      <c r="AC331" s="593"/>
      <c r="AD331" s="593"/>
      <c r="AE331" s="1036"/>
      <c r="AF331" s="593"/>
      <c r="AG331" s="593"/>
      <c r="AH331" s="593"/>
      <c r="AI331" s="593"/>
      <c r="AJ331" s="594"/>
      <c r="AK331" s="548"/>
      <c r="AO331" s="961" t="str">
        <f t="shared" si="485"/>
        <v>Qty</v>
      </c>
      <c r="AP331" s="962" t="str">
        <f t="shared" si="485"/>
        <v>[Service]</v>
      </c>
      <c r="AQ331" s="963" t="str">
        <f t="shared" si="486"/>
        <v>[Price]</v>
      </c>
      <c r="AR331" s="967" t="str">
        <f t="shared" si="487"/>
        <v>-</v>
      </c>
      <c r="AS331" s="964" t="str">
        <f t="shared" si="488"/>
        <v>-</v>
      </c>
      <c r="AT331" s="964" t="str">
        <f t="shared" si="489"/>
        <v>-</v>
      </c>
      <c r="AU331" s="964" t="str">
        <f t="shared" si="490"/>
        <v>-</v>
      </c>
      <c r="AV331" s="1350" t="str">
        <f t="shared" si="491"/>
        <v>-</v>
      </c>
      <c r="AW331" s="1343" t="str">
        <f t="shared" si="492"/>
        <v>-</v>
      </c>
      <c r="AX331" s="964" t="str">
        <f t="shared" si="493"/>
        <v>-</v>
      </c>
      <c r="AY331" s="964" t="str">
        <f t="shared" si="494"/>
        <v>-</v>
      </c>
      <c r="AZ331" s="964" t="str">
        <f t="shared" si="495"/>
        <v>-</v>
      </c>
      <c r="BA331" s="965" t="str">
        <f t="shared" si="496"/>
        <v>-</v>
      </c>
      <c r="BB331" s="1343" t="str">
        <f t="shared" si="497"/>
        <v>-</v>
      </c>
      <c r="BC331" s="964" t="str">
        <f t="shared" si="498"/>
        <v>-</v>
      </c>
      <c r="BD331" s="964" t="str">
        <f t="shared" si="499"/>
        <v>-</v>
      </c>
      <c r="BE331" s="964" t="str">
        <f t="shared" si="500"/>
        <v>-</v>
      </c>
      <c r="BF331" s="966" t="str">
        <f t="shared" si="501"/>
        <v>-</v>
      </c>
      <c r="BG331" s="951"/>
      <c r="BH331" s="961" t="str">
        <f t="shared" si="502"/>
        <v>Qty</v>
      </c>
      <c r="BI331" s="962" t="str">
        <f t="shared" si="503"/>
        <v>[Service]</v>
      </c>
      <c r="BJ331" s="963" t="str">
        <f t="shared" si="504"/>
        <v>[Price]</v>
      </c>
      <c r="BK331" s="964" t="str">
        <f t="shared" ref="BK331:BU331" si="517">IF(V331="","-",IFERROR((V331/U331-1)*(U332/U$13),"-"))</f>
        <v>-</v>
      </c>
      <c r="BL331" s="964" t="str">
        <f t="shared" si="517"/>
        <v>-</v>
      </c>
      <c r="BM331" s="964" t="str">
        <f t="shared" si="517"/>
        <v>-</v>
      </c>
      <c r="BN331" s="964" t="str">
        <f t="shared" si="517"/>
        <v>-</v>
      </c>
      <c r="BO331" s="1350" t="str">
        <f t="shared" si="517"/>
        <v>-</v>
      </c>
      <c r="BP331" s="1343" t="str">
        <f t="shared" si="517"/>
        <v>-</v>
      </c>
      <c r="BQ331" s="964" t="str">
        <f t="shared" si="517"/>
        <v>-</v>
      </c>
      <c r="BR331" s="964" t="str">
        <f t="shared" si="517"/>
        <v>-</v>
      </c>
      <c r="BS331" s="964" t="str">
        <f t="shared" si="517"/>
        <v>-</v>
      </c>
      <c r="BT331" s="965" t="str">
        <f t="shared" si="517"/>
        <v>-</v>
      </c>
      <c r="BU331" s="964" t="str">
        <f t="shared" si="517"/>
        <v>-</v>
      </c>
      <c r="BV331" s="964" t="str">
        <f>IF(AG331="","-",IFERROR((AG331/AF331-1)*(AF332/AF$13),"-"))</f>
        <v>-</v>
      </c>
      <c r="BW331" s="964" t="str">
        <f>IF(AH331="","-",IFERROR((AH331/AG331-1)*(AG332/AG$13),"-"))</f>
        <v>-</v>
      </c>
      <c r="BX331" s="964" t="str">
        <f>IF(AI331="","-",IFERROR((AI331/AH331-1)*(AH332/AH$13),"-"))</f>
        <v>-</v>
      </c>
      <c r="BY331" s="966" t="str">
        <f>IF(AJ331="","-",IFERROR((AJ331/AI331-1)*(AI332/AI$13),"-"))</f>
        <v>-</v>
      </c>
      <c r="BZ331" s="951"/>
      <c r="CA331" s="961" t="str">
        <f t="shared" si="482"/>
        <v>Qty</v>
      </c>
      <c r="CB331" s="962" t="str">
        <f t="shared" si="483"/>
        <v>[Service]</v>
      </c>
      <c r="CC331" s="962" t="str">
        <f t="shared" si="484"/>
        <v>[Price]</v>
      </c>
      <c r="CD331" s="967" t="str">
        <f t="shared" si="510"/>
        <v>-</v>
      </c>
      <c r="CE331" s="964" t="str">
        <f t="shared" si="510"/>
        <v>-</v>
      </c>
      <c r="CF331" s="964" t="str">
        <f t="shared" si="510"/>
        <v>-</v>
      </c>
      <c r="CG331" s="965" t="str">
        <f t="shared" si="506"/>
        <v>-</v>
      </c>
      <c r="CH331" s="964" t="str">
        <f t="shared" si="511"/>
        <v>-</v>
      </c>
      <c r="CI331" s="964" t="str">
        <f t="shared" si="511"/>
        <v>-</v>
      </c>
      <c r="CJ331" s="964" t="str">
        <f t="shared" si="511"/>
        <v>-</v>
      </c>
      <c r="CK331" s="966" t="str">
        <f t="shared" si="507"/>
        <v>-</v>
      </c>
    </row>
    <row r="332" spans="4:89" ht="12.75" thickBot="1">
      <c r="E332" s="568" t="s">
        <v>882</v>
      </c>
      <c r="F332" s="560" t="str">
        <f>+F330</f>
        <v>[Service]</v>
      </c>
      <c r="G332" s="561">
        <f>+G330</f>
        <v>0</v>
      </c>
      <c r="H332" s="561">
        <f>+H330</f>
        <v>0</v>
      </c>
      <c r="I332" s="562" t="str">
        <f>+I330</f>
        <v>[Price]</v>
      </c>
      <c r="J332" s="563" t="s">
        <v>883</v>
      </c>
      <c r="K332" s="564">
        <f t="shared" ref="K332:AJ332" si="518">K330*K331/10^6</f>
        <v>0</v>
      </c>
      <c r="L332" s="565">
        <f t="shared" si="518"/>
        <v>0</v>
      </c>
      <c r="M332" s="565">
        <f t="shared" si="518"/>
        <v>0</v>
      </c>
      <c r="N332" s="564">
        <f t="shared" si="518"/>
        <v>0</v>
      </c>
      <c r="O332" s="565">
        <f t="shared" si="518"/>
        <v>0</v>
      </c>
      <c r="P332" s="565">
        <f t="shared" si="518"/>
        <v>0</v>
      </c>
      <c r="Q332" s="565">
        <f t="shared" si="518"/>
        <v>0</v>
      </c>
      <c r="R332" s="566">
        <f t="shared" si="518"/>
        <v>0</v>
      </c>
      <c r="S332" s="564">
        <f t="shared" si="518"/>
        <v>0</v>
      </c>
      <c r="T332" s="565">
        <f t="shared" si="518"/>
        <v>0</v>
      </c>
      <c r="U332" s="566">
        <f t="shared" si="518"/>
        <v>0</v>
      </c>
      <c r="V332" s="565">
        <f t="shared" si="518"/>
        <v>0</v>
      </c>
      <c r="W332" s="565">
        <f t="shared" si="518"/>
        <v>0</v>
      </c>
      <c r="X332" s="565">
        <f t="shared" si="518"/>
        <v>0</v>
      </c>
      <c r="Y332" s="565">
        <f t="shared" si="518"/>
        <v>0</v>
      </c>
      <c r="Z332" s="565">
        <f t="shared" si="518"/>
        <v>0</v>
      </c>
      <c r="AA332" s="564">
        <f t="shared" si="518"/>
        <v>0</v>
      </c>
      <c r="AB332" s="565">
        <f t="shared" si="518"/>
        <v>0</v>
      </c>
      <c r="AC332" s="565">
        <f t="shared" si="518"/>
        <v>0</v>
      </c>
      <c r="AD332" s="565">
        <f t="shared" si="518"/>
        <v>0</v>
      </c>
      <c r="AE332" s="566">
        <f t="shared" si="518"/>
        <v>0</v>
      </c>
      <c r="AF332" s="565">
        <f t="shared" si="518"/>
        <v>0</v>
      </c>
      <c r="AG332" s="565">
        <f>AG330*AG331/10^6</f>
        <v>0</v>
      </c>
      <c r="AH332" s="565">
        <f>AH330*AH331/10^6</f>
        <v>0</v>
      </c>
      <c r="AI332" s="565">
        <f>AI330*AI331/10^6</f>
        <v>0</v>
      </c>
      <c r="AJ332" s="566">
        <f t="shared" si="518"/>
        <v>0</v>
      </c>
      <c r="AK332" s="548"/>
      <c r="AO332" s="984" t="str">
        <f t="shared" si="485"/>
        <v>Rev</v>
      </c>
      <c r="AP332" s="985" t="str">
        <f t="shared" si="485"/>
        <v>[Service]</v>
      </c>
      <c r="AQ332" s="986" t="str">
        <f t="shared" si="486"/>
        <v>[Price]</v>
      </c>
      <c r="AR332" s="990" t="str">
        <f t="shared" si="487"/>
        <v>-</v>
      </c>
      <c r="AS332" s="987" t="str">
        <f t="shared" si="488"/>
        <v>-</v>
      </c>
      <c r="AT332" s="987" t="str">
        <f t="shared" si="489"/>
        <v>-</v>
      </c>
      <c r="AU332" s="987" t="str">
        <f t="shared" si="490"/>
        <v>-</v>
      </c>
      <c r="AV332" s="1353" t="str">
        <f t="shared" si="491"/>
        <v>-</v>
      </c>
      <c r="AW332" s="1346" t="str">
        <f t="shared" si="492"/>
        <v>-</v>
      </c>
      <c r="AX332" s="987" t="str">
        <f t="shared" si="493"/>
        <v>-</v>
      </c>
      <c r="AY332" s="987" t="str">
        <f t="shared" si="494"/>
        <v>-</v>
      </c>
      <c r="AZ332" s="987" t="str">
        <f t="shared" si="495"/>
        <v>-</v>
      </c>
      <c r="BA332" s="988" t="str">
        <f t="shared" si="496"/>
        <v>-</v>
      </c>
      <c r="BB332" s="1346" t="str">
        <f t="shared" si="497"/>
        <v>-</v>
      </c>
      <c r="BC332" s="987" t="str">
        <f t="shared" si="498"/>
        <v>-</v>
      </c>
      <c r="BD332" s="987" t="str">
        <f t="shared" si="499"/>
        <v>-</v>
      </c>
      <c r="BE332" s="987" t="str">
        <f t="shared" si="500"/>
        <v>-</v>
      </c>
      <c r="BF332" s="989" t="str">
        <f t="shared" si="501"/>
        <v>-</v>
      </c>
      <c r="BG332" s="951"/>
      <c r="BH332" s="984" t="str">
        <f t="shared" si="502"/>
        <v>Rev</v>
      </c>
      <c r="BI332" s="985" t="str">
        <f t="shared" si="503"/>
        <v>[Service]</v>
      </c>
      <c r="BJ332" s="986" t="str">
        <f t="shared" si="504"/>
        <v>[Price]</v>
      </c>
      <c r="BK332" s="987" t="str">
        <f t="shared" ref="BK332:BU332" si="519">IF(V332="","-",IFERROR((V332/U332-1)*(U332/U$13),"-"))</f>
        <v>-</v>
      </c>
      <c r="BL332" s="987" t="str">
        <f t="shared" si="519"/>
        <v>-</v>
      </c>
      <c r="BM332" s="987" t="str">
        <f t="shared" si="519"/>
        <v>-</v>
      </c>
      <c r="BN332" s="987" t="str">
        <f t="shared" si="519"/>
        <v>-</v>
      </c>
      <c r="BO332" s="1353" t="str">
        <f t="shared" si="519"/>
        <v>-</v>
      </c>
      <c r="BP332" s="1346" t="str">
        <f t="shared" si="519"/>
        <v>-</v>
      </c>
      <c r="BQ332" s="987" t="str">
        <f t="shared" si="519"/>
        <v>-</v>
      </c>
      <c r="BR332" s="987" t="str">
        <f t="shared" si="519"/>
        <v>-</v>
      </c>
      <c r="BS332" s="987" t="str">
        <f t="shared" si="519"/>
        <v>-</v>
      </c>
      <c r="BT332" s="988" t="str">
        <f t="shared" si="519"/>
        <v>-</v>
      </c>
      <c r="BU332" s="987" t="str">
        <f t="shared" si="519"/>
        <v>-</v>
      </c>
      <c r="BV332" s="987" t="str">
        <f>IF(AG332="","-",IFERROR((AG332/AF332-1)*(AF332/AF$13),"-"))</f>
        <v>-</v>
      </c>
      <c r="BW332" s="987" t="str">
        <f>IF(AH332="","-",IFERROR((AH332/AG332-1)*(AG332/AG$13),"-"))</f>
        <v>-</v>
      </c>
      <c r="BX332" s="987" t="str">
        <f>IF(AI332="","-",IFERROR((AI332/AH332-1)*(AH332/AH$13),"-"))</f>
        <v>-</v>
      </c>
      <c r="BY332" s="989" t="str">
        <f>IF(AJ332="","-",IFERROR((AJ332/AI332-1)*(AI332/AI$13),"-"))</f>
        <v>-</v>
      </c>
      <c r="BZ332" s="951"/>
      <c r="CA332" s="984" t="str">
        <f t="shared" si="482"/>
        <v>Rev</v>
      </c>
      <c r="CB332" s="985" t="str">
        <f t="shared" si="483"/>
        <v>[Service]</v>
      </c>
      <c r="CC332" s="985" t="str">
        <f t="shared" si="484"/>
        <v>[Price]</v>
      </c>
      <c r="CD332" s="990" t="str">
        <f t="shared" si="510"/>
        <v>-</v>
      </c>
      <c r="CE332" s="987" t="str">
        <f t="shared" si="510"/>
        <v>-</v>
      </c>
      <c r="CF332" s="987" t="str">
        <f t="shared" si="510"/>
        <v>-</v>
      </c>
      <c r="CG332" s="988" t="str">
        <f t="shared" si="506"/>
        <v>-</v>
      </c>
      <c r="CH332" s="987" t="str">
        <f t="shared" si="511"/>
        <v>-</v>
      </c>
      <c r="CI332" s="987" t="str">
        <f t="shared" si="511"/>
        <v>-</v>
      </c>
      <c r="CJ332" s="987" t="str">
        <f t="shared" si="511"/>
        <v>-</v>
      </c>
      <c r="CK332" s="989" t="str">
        <f t="shared" si="507"/>
        <v>-</v>
      </c>
    </row>
    <row r="333" spans="4:89">
      <c r="D333" s="63">
        <f>D330+1</f>
        <v>89</v>
      </c>
      <c r="E333" s="550" t="s">
        <v>857</v>
      </c>
      <c r="F333" s="595" t="s">
        <v>428</v>
      </c>
      <c r="G333" s="595"/>
      <c r="H333" s="595"/>
      <c r="I333" s="589" t="s">
        <v>920</v>
      </c>
      <c r="J333" s="589" t="s">
        <v>879</v>
      </c>
      <c r="K333" s="551"/>
      <c r="L333" s="552"/>
      <c r="M333" s="552"/>
      <c r="N333" s="551"/>
      <c r="O333" s="552"/>
      <c r="P333" s="552"/>
      <c r="Q333" s="552"/>
      <c r="R333" s="1035"/>
      <c r="S333" s="1138"/>
      <c r="T333" s="591"/>
      <c r="U333" s="1035"/>
      <c r="V333" s="591"/>
      <c r="W333" s="591"/>
      <c r="X333" s="591"/>
      <c r="Y333" s="591"/>
      <c r="Z333" s="591"/>
      <c r="AA333" s="1138"/>
      <c r="AB333" s="591"/>
      <c r="AC333" s="591"/>
      <c r="AD333" s="591"/>
      <c r="AE333" s="1035"/>
      <c r="AF333" s="591"/>
      <c r="AG333" s="591"/>
      <c r="AH333" s="591"/>
      <c r="AI333" s="591"/>
      <c r="AJ333" s="592"/>
      <c r="AK333" s="548"/>
      <c r="AM333" s="974"/>
      <c r="AO333" s="975" t="str">
        <f t="shared" si="485"/>
        <v>Price</v>
      </c>
      <c r="AP333" s="976" t="str">
        <f t="shared" si="485"/>
        <v>[Service]</v>
      </c>
      <c r="AQ333" s="977" t="str">
        <f t="shared" si="486"/>
        <v>[Price]</v>
      </c>
      <c r="AR333" s="1341" t="str">
        <f t="shared" si="487"/>
        <v>-</v>
      </c>
      <c r="AS333" s="978" t="str">
        <f t="shared" si="488"/>
        <v>-</v>
      </c>
      <c r="AT333" s="979" t="str">
        <f t="shared" si="489"/>
        <v>-</v>
      </c>
      <c r="AU333" s="979" t="str">
        <f t="shared" si="490"/>
        <v>-</v>
      </c>
      <c r="AV333" s="1352" t="str">
        <f t="shared" si="491"/>
        <v>-</v>
      </c>
      <c r="AW333" s="1345" t="str">
        <f t="shared" si="492"/>
        <v>-</v>
      </c>
      <c r="AX333" s="979" t="str">
        <f t="shared" si="493"/>
        <v>-</v>
      </c>
      <c r="AY333" s="979" t="str">
        <f t="shared" si="494"/>
        <v>-</v>
      </c>
      <c r="AZ333" s="979" t="str">
        <f t="shared" si="495"/>
        <v>-</v>
      </c>
      <c r="BA333" s="980" t="str">
        <f t="shared" si="496"/>
        <v>-</v>
      </c>
      <c r="BB333" s="1345" t="str">
        <f t="shared" si="497"/>
        <v>-</v>
      </c>
      <c r="BC333" s="979" t="str">
        <f t="shared" si="498"/>
        <v>-</v>
      </c>
      <c r="BD333" s="979" t="str">
        <f t="shared" si="499"/>
        <v>-</v>
      </c>
      <c r="BE333" s="979" t="str">
        <f t="shared" si="500"/>
        <v>-</v>
      </c>
      <c r="BF333" s="981" t="str">
        <f t="shared" si="501"/>
        <v>-</v>
      </c>
      <c r="BG333" s="951"/>
      <c r="BH333" s="975" t="str">
        <f t="shared" si="502"/>
        <v>Price</v>
      </c>
      <c r="BI333" s="976" t="str">
        <f t="shared" si="503"/>
        <v>[Service]</v>
      </c>
      <c r="BJ333" s="977" t="str">
        <f t="shared" si="504"/>
        <v>[Price]</v>
      </c>
      <c r="BK333" s="978" t="str">
        <f t="shared" ref="BK333:BU333" si="520">IF(V333="","-",IFERROR((V333/U333-1)*(U335/U$13),"-"))</f>
        <v>-</v>
      </c>
      <c r="BL333" s="978" t="str">
        <f t="shared" si="520"/>
        <v>-</v>
      </c>
      <c r="BM333" s="979" t="str">
        <f t="shared" si="520"/>
        <v>-</v>
      </c>
      <c r="BN333" s="979" t="str">
        <f t="shared" si="520"/>
        <v>-</v>
      </c>
      <c r="BO333" s="1352" t="str">
        <f t="shared" si="520"/>
        <v>-</v>
      </c>
      <c r="BP333" s="1345" t="str">
        <f t="shared" si="520"/>
        <v>-</v>
      </c>
      <c r="BQ333" s="979" t="str">
        <f t="shared" si="520"/>
        <v>-</v>
      </c>
      <c r="BR333" s="979" t="str">
        <f t="shared" si="520"/>
        <v>-</v>
      </c>
      <c r="BS333" s="979" t="str">
        <f t="shared" si="520"/>
        <v>-</v>
      </c>
      <c r="BT333" s="980" t="str">
        <f t="shared" si="520"/>
        <v>-</v>
      </c>
      <c r="BU333" s="979" t="str">
        <f t="shared" si="520"/>
        <v>-</v>
      </c>
      <c r="BV333" s="979" t="str">
        <f>IF(AG333="","-",IFERROR((AG333/AF333-1)*(AF335/AF$13),"-"))</f>
        <v>-</v>
      </c>
      <c r="BW333" s="979" t="str">
        <f>IF(AH333="","-",IFERROR((AH333/AG333-1)*(AG335/AG$13),"-"))</f>
        <v>-</v>
      </c>
      <c r="BX333" s="979" t="str">
        <f>IF(AI333="","-",IFERROR((AI333/AH333-1)*(AH335/AH$13),"-"))</f>
        <v>-</v>
      </c>
      <c r="BY333" s="981" t="str">
        <f>IF(AJ333="","-",IFERROR((AJ333/AI333-1)*(AI335/AI$13),"-"))</f>
        <v>-</v>
      </c>
      <c r="BZ333" s="951"/>
      <c r="CA333" s="975" t="str">
        <f t="shared" si="482"/>
        <v>Price</v>
      </c>
      <c r="CB333" s="976" t="str">
        <f t="shared" si="483"/>
        <v>[Service]</v>
      </c>
      <c r="CC333" s="982" t="str">
        <f t="shared" si="484"/>
        <v>[Price]</v>
      </c>
      <c r="CD333" s="983" t="str">
        <f t="shared" si="510"/>
        <v>-</v>
      </c>
      <c r="CE333" s="979" t="str">
        <f t="shared" si="510"/>
        <v>-</v>
      </c>
      <c r="CF333" s="979" t="str">
        <f t="shared" si="510"/>
        <v>-</v>
      </c>
      <c r="CG333" s="980" t="str">
        <f t="shared" si="506"/>
        <v>-</v>
      </c>
      <c r="CH333" s="979" t="str">
        <f t="shared" si="511"/>
        <v>-</v>
      </c>
      <c r="CI333" s="979" t="str">
        <f t="shared" si="511"/>
        <v>-</v>
      </c>
      <c r="CJ333" s="979" t="str">
        <f t="shared" si="511"/>
        <v>-</v>
      </c>
      <c r="CK333" s="981" t="str">
        <f t="shared" si="507"/>
        <v>-</v>
      </c>
    </row>
    <row r="334" spans="4:89">
      <c r="E334" s="567" t="s">
        <v>880</v>
      </c>
      <c r="F334" s="554" t="str">
        <f>+F333</f>
        <v>[Service]</v>
      </c>
      <c r="G334" s="555">
        <f>+G333</f>
        <v>0</v>
      </c>
      <c r="H334" s="555">
        <f>+H333</f>
        <v>0</v>
      </c>
      <c r="I334" s="556" t="str">
        <f>+I333</f>
        <v>[Price]</v>
      </c>
      <c r="J334" s="590" t="s">
        <v>916</v>
      </c>
      <c r="K334" s="557"/>
      <c r="L334" s="558"/>
      <c r="M334" s="558"/>
      <c r="N334" s="557"/>
      <c r="O334" s="558"/>
      <c r="P334" s="558"/>
      <c r="Q334" s="558"/>
      <c r="R334" s="1036"/>
      <c r="S334" s="1139"/>
      <c r="T334" s="593"/>
      <c r="U334" s="1036"/>
      <c r="V334" s="593"/>
      <c r="W334" s="593"/>
      <c r="X334" s="593"/>
      <c r="Y334" s="593"/>
      <c r="Z334" s="593"/>
      <c r="AA334" s="1139"/>
      <c r="AB334" s="593"/>
      <c r="AC334" s="593"/>
      <c r="AD334" s="593"/>
      <c r="AE334" s="1036"/>
      <c r="AF334" s="593"/>
      <c r="AG334" s="593"/>
      <c r="AH334" s="593"/>
      <c r="AI334" s="593"/>
      <c r="AJ334" s="594"/>
      <c r="AK334" s="548"/>
      <c r="AO334" s="961" t="str">
        <f t="shared" si="485"/>
        <v>Qty</v>
      </c>
      <c r="AP334" s="962" t="str">
        <f t="shared" si="485"/>
        <v>[Service]</v>
      </c>
      <c r="AQ334" s="963" t="str">
        <f t="shared" si="486"/>
        <v>[Price]</v>
      </c>
      <c r="AR334" s="967" t="str">
        <f t="shared" si="487"/>
        <v>-</v>
      </c>
      <c r="AS334" s="964" t="str">
        <f t="shared" si="488"/>
        <v>-</v>
      </c>
      <c r="AT334" s="964" t="str">
        <f t="shared" si="489"/>
        <v>-</v>
      </c>
      <c r="AU334" s="964" t="str">
        <f t="shared" si="490"/>
        <v>-</v>
      </c>
      <c r="AV334" s="1350" t="str">
        <f t="shared" si="491"/>
        <v>-</v>
      </c>
      <c r="AW334" s="1343" t="str">
        <f t="shared" si="492"/>
        <v>-</v>
      </c>
      <c r="AX334" s="964" t="str">
        <f t="shared" si="493"/>
        <v>-</v>
      </c>
      <c r="AY334" s="964" t="str">
        <f t="shared" si="494"/>
        <v>-</v>
      </c>
      <c r="AZ334" s="964" t="str">
        <f t="shared" si="495"/>
        <v>-</v>
      </c>
      <c r="BA334" s="965" t="str">
        <f t="shared" si="496"/>
        <v>-</v>
      </c>
      <c r="BB334" s="1343" t="str">
        <f t="shared" si="497"/>
        <v>-</v>
      </c>
      <c r="BC334" s="964" t="str">
        <f t="shared" si="498"/>
        <v>-</v>
      </c>
      <c r="BD334" s="964" t="str">
        <f t="shared" si="499"/>
        <v>-</v>
      </c>
      <c r="BE334" s="964" t="str">
        <f t="shared" si="500"/>
        <v>-</v>
      </c>
      <c r="BF334" s="966" t="str">
        <f t="shared" si="501"/>
        <v>-</v>
      </c>
      <c r="BG334" s="951"/>
      <c r="BH334" s="961" t="str">
        <f t="shared" si="502"/>
        <v>Qty</v>
      </c>
      <c r="BI334" s="962" t="str">
        <f t="shared" si="503"/>
        <v>[Service]</v>
      </c>
      <c r="BJ334" s="963" t="str">
        <f t="shared" si="504"/>
        <v>[Price]</v>
      </c>
      <c r="BK334" s="964" t="str">
        <f t="shared" ref="BK334:BU334" si="521">IF(V334="","-",IFERROR((V334/U334-1)*(U335/U$13),"-"))</f>
        <v>-</v>
      </c>
      <c r="BL334" s="964" t="str">
        <f t="shared" si="521"/>
        <v>-</v>
      </c>
      <c r="BM334" s="964" t="str">
        <f t="shared" si="521"/>
        <v>-</v>
      </c>
      <c r="BN334" s="964" t="str">
        <f t="shared" si="521"/>
        <v>-</v>
      </c>
      <c r="BO334" s="1350" t="str">
        <f t="shared" si="521"/>
        <v>-</v>
      </c>
      <c r="BP334" s="1343" t="str">
        <f t="shared" si="521"/>
        <v>-</v>
      </c>
      <c r="BQ334" s="964" t="str">
        <f t="shared" si="521"/>
        <v>-</v>
      </c>
      <c r="BR334" s="964" t="str">
        <f t="shared" si="521"/>
        <v>-</v>
      </c>
      <c r="BS334" s="964" t="str">
        <f t="shared" si="521"/>
        <v>-</v>
      </c>
      <c r="BT334" s="965" t="str">
        <f t="shared" si="521"/>
        <v>-</v>
      </c>
      <c r="BU334" s="964" t="str">
        <f t="shared" si="521"/>
        <v>-</v>
      </c>
      <c r="BV334" s="964" t="str">
        <f>IF(AG334="","-",IFERROR((AG334/AF334-1)*(AF335/AF$13),"-"))</f>
        <v>-</v>
      </c>
      <c r="BW334" s="964" t="str">
        <f>IF(AH334="","-",IFERROR((AH334/AG334-1)*(AG335/AG$13),"-"))</f>
        <v>-</v>
      </c>
      <c r="BX334" s="964" t="str">
        <f>IF(AI334="","-",IFERROR((AI334/AH334-1)*(AH335/AH$13),"-"))</f>
        <v>-</v>
      </c>
      <c r="BY334" s="966" t="str">
        <f>IF(AJ334="","-",IFERROR((AJ334/AI334-1)*(AI335/AI$13),"-"))</f>
        <v>-</v>
      </c>
      <c r="BZ334" s="951"/>
      <c r="CA334" s="961" t="str">
        <f t="shared" si="482"/>
        <v>Qty</v>
      </c>
      <c r="CB334" s="962" t="str">
        <f t="shared" si="483"/>
        <v>[Service]</v>
      </c>
      <c r="CC334" s="962" t="str">
        <f t="shared" si="484"/>
        <v>[Price]</v>
      </c>
      <c r="CD334" s="967" t="str">
        <f t="shared" si="510"/>
        <v>-</v>
      </c>
      <c r="CE334" s="964" t="str">
        <f t="shared" si="510"/>
        <v>-</v>
      </c>
      <c r="CF334" s="964" t="str">
        <f t="shared" si="510"/>
        <v>-</v>
      </c>
      <c r="CG334" s="965" t="str">
        <f t="shared" si="506"/>
        <v>-</v>
      </c>
      <c r="CH334" s="964" t="str">
        <f t="shared" si="511"/>
        <v>-</v>
      </c>
      <c r="CI334" s="964" t="str">
        <f t="shared" si="511"/>
        <v>-</v>
      </c>
      <c r="CJ334" s="964" t="str">
        <f t="shared" si="511"/>
        <v>-</v>
      </c>
      <c r="CK334" s="966" t="str">
        <f t="shared" si="507"/>
        <v>-</v>
      </c>
    </row>
    <row r="335" spans="4:89" ht="12.75" thickBot="1">
      <c r="E335" s="568" t="s">
        <v>882</v>
      </c>
      <c r="F335" s="560" t="str">
        <f>+F333</f>
        <v>[Service]</v>
      </c>
      <c r="G335" s="561">
        <f>+G333</f>
        <v>0</v>
      </c>
      <c r="H335" s="561">
        <f>+H333</f>
        <v>0</v>
      </c>
      <c r="I335" s="562" t="str">
        <f>+I333</f>
        <v>[Price]</v>
      </c>
      <c r="J335" s="563" t="s">
        <v>883</v>
      </c>
      <c r="K335" s="564">
        <f t="shared" ref="K335:AJ335" si="522">K333*K334/10^6</f>
        <v>0</v>
      </c>
      <c r="L335" s="565">
        <f t="shared" si="522"/>
        <v>0</v>
      </c>
      <c r="M335" s="565">
        <f t="shared" si="522"/>
        <v>0</v>
      </c>
      <c r="N335" s="564">
        <f t="shared" si="522"/>
        <v>0</v>
      </c>
      <c r="O335" s="565">
        <f t="shared" si="522"/>
        <v>0</v>
      </c>
      <c r="P335" s="565">
        <f t="shared" si="522"/>
        <v>0</v>
      </c>
      <c r="Q335" s="565">
        <f t="shared" si="522"/>
        <v>0</v>
      </c>
      <c r="R335" s="566">
        <f t="shared" si="522"/>
        <v>0</v>
      </c>
      <c r="S335" s="564">
        <f t="shared" si="522"/>
        <v>0</v>
      </c>
      <c r="T335" s="565">
        <f t="shared" si="522"/>
        <v>0</v>
      </c>
      <c r="U335" s="566">
        <f t="shared" si="522"/>
        <v>0</v>
      </c>
      <c r="V335" s="565">
        <f t="shared" si="522"/>
        <v>0</v>
      </c>
      <c r="W335" s="565">
        <f t="shared" si="522"/>
        <v>0</v>
      </c>
      <c r="X335" s="565">
        <f t="shared" si="522"/>
        <v>0</v>
      </c>
      <c r="Y335" s="565">
        <f t="shared" si="522"/>
        <v>0</v>
      </c>
      <c r="Z335" s="565">
        <f t="shared" si="522"/>
        <v>0</v>
      </c>
      <c r="AA335" s="564">
        <f t="shared" si="522"/>
        <v>0</v>
      </c>
      <c r="AB335" s="565">
        <f t="shared" si="522"/>
        <v>0</v>
      </c>
      <c r="AC335" s="565">
        <f t="shared" si="522"/>
        <v>0</v>
      </c>
      <c r="AD335" s="565">
        <f t="shared" si="522"/>
        <v>0</v>
      </c>
      <c r="AE335" s="566">
        <f t="shared" si="522"/>
        <v>0</v>
      </c>
      <c r="AF335" s="565">
        <f t="shared" si="522"/>
        <v>0</v>
      </c>
      <c r="AG335" s="565">
        <f>AG333*AG334/10^6</f>
        <v>0</v>
      </c>
      <c r="AH335" s="565">
        <f>AH333*AH334/10^6</f>
        <v>0</v>
      </c>
      <c r="AI335" s="565">
        <f>AI333*AI334/10^6</f>
        <v>0</v>
      </c>
      <c r="AJ335" s="566">
        <f t="shared" si="522"/>
        <v>0</v>
      </c>
      <c r="AK335" s="548"/>
      <c r="AO335" s="984" t="str">
        <f t="shared" si="485"/>
        <v>Rev</v>
      </c>
      <c r="AP335" s="985" t="str">
        <f t="shared" si="485"/>
        <v>[Service]</v>
      </c>
      <c r="AQ335" s="986" t="str">
        <f t="shared" si="486"/>
        <v>[Price]</v>
      </c>
      <c r="AR335" s="990" t="str">
        <f t="shared" si="487"/>
        <v>-</v>
      </c>
      <c r="AS335" s="987" t="str">
        <f t="shared" si="488"/>
        <v>-</v>
      </c>
      <c r="AT335" s="987" t="str">
        <f t="shared" si="489"/>
        <v>-</v>
      </c>
      <c r="AU335" s="987" t="str">
        <f t="shared" si="490"/>
        <v>-</v>
      </c>
      <c r="AV335" s="1353" t="str">
        <f t="shared" si="491"/>
        <v>-</v>
      </c>
      <c r="AW335" s="1346" t="str">
        <f t="shared" si="492"/>
        <v>-</v>
      </c>
      <c r="AX335" s="987" t="str">
        <f t="shared" si="493"/>
        <v>-</v>
      </c>
      <c r="AY335" s="987" t="str">
        <f t="shared" si="494"/>
        <v>-</v>
      </c>
      <c r="AZ335" s="987" t="str">
        <f t="shared" si="495"/>
        <v>-</v>
      </c>
      <c r="BA335" s="988" t="str">
        <f t="shared" si="496"/>
        <v>-</v>
      </c>
      <c r="BB335" s="1346" t="str">
        <f t="shared" si="497"/>
        <v>-</v>
      </c>
      <c r="BC335" s="987" t="str">
        <f t="shared" si="498"/>
        <v>-</v>
      </c>
      <c r="BD335" s="987" t="str">
        <f t="shared" si="499"/>
        <v>-</v>
      </c>
      <c r="BE335" s="987" t="str">
        <f t="shared" si="500"/>
        <v>-</v>
      </c>
      <c r="BF335" s="989" t="str">
        <f t="shared" si="501"/>
        <v>-</v>
      </c>
      <c r="BG335" s="951"/>
      <c r="BH335" s="984" t="str">
        <f t="shared" si="502"/>
        <v>Rev</v>
      </c>
      <c r="BI335" s="985" t="str">
        <f t="shared" si="503"/>
        <v>[Service]</v>
      </c>
      <c r="BJ335" s="986" t="str">
        <f t="shared" si="504"/>
        <v>[Price]</v>
      </c>
      <c r="BK335" s="987" t="str">
        <f t="shared" ref="BK335:BU335" si="523">IF(V335="","-",IFERROR((V335/U335-1)*(U335/U$13),"-"))</f>
        <v>-</v>
      </c>
      <c r="BL335" s="987" t="str">
        <f t="shared" si="523"/>
        <v>-</v>
      </c>
      <c r="BM335" s="987" t="str">
        <f t="shared" si="523"/>
        <v>-</v>
      </c>
      <c r="BN335" s="987" t="str">
        <f t="shared" si="523"/>
        <v>-</v>
      </c>
      <c r="BO335" s="1353" t="str">
        <f t="shared" si="523"/>
        <v>-</v>
      </c>
      <c r="BP335" s="1346" t="str">
        <f t="shared" si="523"/>
        <v>-</v>
      </c>
      <c r="BQ335" s="987" t="str">
        <f t="shared" si="523"/>
        <v>-</v>
      </c>
      <c r="BR335" s="987" t="str">
        <f t="shared" si="523"/>
        <v>-</v>
      </c>
      <c r="BS335" s="987" t="str">
        <f t="shared" si="523"/>
        <v>-</v>
      </c>
      <c r="BT335" s="988" t="str">
        <f t="shared" si="523"/>
        <v>-</v>
      </c>
      <c r="BU335" s="987" t="str">
        <f t="shared" si="523"/>
        <v>-</v>
      </c>
      <c r="BV335" s="987" t="str">
        <f>IF(AG335="","-",IFERROR((AG335/AF335-1)*(AF335/AF$13),"-"))</f>
        <v>-</v>
      </c>
      <c r="BW335" s="987" t="str">
        <f>IF(AH335="","-",IFERROR((AH335/AG335-1)*(AG335/AG$13),"-"))</f>
        <v>-</v>
      </c>
      <c r="BX335" s="987" t="str">
        <f>IF(AI335="","-",IFERROR((AI335/AH335-1)*(AH335/AH$13),"-"))</f>
        <v>-</v>
      </c>
      <c r="BY335" s="989" t="str">
        <f>IF(AJ335="","-",IFERROR((AJ335/AI335-1)*(AI335/AI$13),"-"))</f>
        <v>-</v>
      </c>
      <c r="BZ335" s="951"/>
      <c r="CA335" s="984" t="str">
        <f t="shared" si="482"/>
        <v>Rev</v>
      </c>
      <c r="CB335" s="985" t="str">
        <f t="shared" si="483"/>
        <v>[Service]</v>
      </c>
      <c r="CC335" s="985" t="str">
        <f t="shared" si="484"/>
        <v>[Price]</v>
      </c>
      <c r="CD335" s="990" t="str">
        <f t="shared" si="510"/>
        <v>-</v>
      </c>
      <c r="CE335" s="987" t="str">
        <f t="shared" si="510"/>
        <v>-</v>
      </c>
      <c r="CF335" s="987" t="str">
        <f t="shared" si="510"/>
        <v>-</v>
      </c>
      <c r="CG335" s="988" t="str">
        <f t="shared" si="506"/>
        <v>-</v>
      </c>
      <c r="CH335" s="987" t="str">
        <f t="shared" si="511"/>
        <v>-</v>
      </c>
      <c r="CI335" s="987" t="str">
        <f t="shared" si="511"/>
        <v>-</v>
      </c>
      <c r="CJ335" s="987" t="str">
        <f t="shared" si="511"/>
        <v>-</v>
      </c>
      <c r="CK335" s="989" t="str">
        <f t="shared" si="507"/>
        <v>-</v>
      </c>
    </row>
    <row r="336" spans="4:89">
      <c r="D336" s="63">
        <f>D333+1</f>
        <v>90</v>
      </c>
      <c r="E336" s="550" t="s">
        <v>857</v>
      </c>
      <c r="F336" s="595" t="s">
        <v>428</v>
      </c>
      <c r="G336" s="595"/>
      <c r="H336" s="595"/>
      <c r="I336" s="589" t="s">
        <v>920</v>
      </c>
      <c r="J336" s="589" t="s">
        <v>879</v>
      </c>
      <c r="K336" s="551"/>
      <c r="L336" s="552"/>
      <c r="M336" s="552"/>
      <c r="N336" s="551"/>
      <c r="O336" s="552"/>
      <c r="P336" s="552"/>
      <c r="Q336" s="552"/>
      <c r="R336" s="1035"/>
      <c r="S336" s="1138"/>
      <c r="T336" s="591"/>
      <c r="U336" s="1035"/>
      <c r="V336" s="591"/>
      <c r="W336" s="591"/>
      <c r="X336" s="591"/>
      <c r="Y336" s="591"/>
      <c r="Z336" s="591"/>
      <c r="AA336" s="1138"/>
      <c r="AB336" s="591"/>
      <c r="AC336" s="591"/>
      <c r="AD336" s="591"/>
      <c r="AE336" s="1035"/>
      <c r="AF336" s="591"/>
      <c r="AG336" s="591"/>
      <c r="AH336" s="591"/>
      <c r="AI336" s="591"/>
      <c r="AJ336" s="592"/>
      <c r="AK336" s="548"/>
      <c r="AM336" s="974"/>
      <c r="AO336" s="975" t="str">
        <f t="shared" si="485"/>
        <v>Price</v>
      </c>
      <c r="AP336" s="976" t="str">
        <f t="shared" si="485"/>
        <v>[Service]</v>
      </c>
      <c r="AQ336" s="977" t="str">
        <f t="shared" si="486"/>
        <v>[Price]</v>
      </c>
      <c r="AR336" s="1341" t="str">
        <f t="shared" si="487"/>
        <v>-</v>
      </c>
      <c r="AS336" s="978" t="str">
        <f t="shared" si="488"/>
        <v>-</v>
      </c>
      <c r="AT336" s="979" t="str">
        <f t="shared" si="489"/>
        <v>-</v>
      </c>
      <c r="AU336" s="979" t="str">
        <f t="shared" si="490"/>
        <v>-</v>
      </c>
      <c r="AV336" s="1352" t="str">
        <f t="shared" si="491"/>
        <v>-</v>
      </c>
      <c r="AW336" s="1345" t="str">
        <f t="shared" si="492"/>
        <v>-</v>
      </c>
      <c r="AX336" s="979" t="str">
        <f t="shared" si="493"/>
        <v>-</v>
      </c>
      <c r="AY336" s="979" t="str">
        <f t="shared" si="494"/>
        <v>-</v>
      </c>
      <c r="AZ336" s="979" t="str">
        <f t="shared" si="495"/>
        <v>-</v>
      </c>
      <c r="BA336" s="980" t="str">
        <f t="shared" si="496"/>
        <v>-</v>
      </c>
      <c r="BB336" s="1345" t="str">
        <f t="shared" si="497"/>
        <v>-</v>
      </c>
      <c r="BC336" s="979" t="str">
        <f t="shared" si="498"/>
        <v>-</v>
      </c>
      <c r="BD336" s="979" t="str">
        <f t="shared" si="499"/>
        <v>-</v>
      </c>
      <c r="BE336" s="979" t="str">
        <f t="shared" si="500"/>
        <v>-</v>
      </c>
      <c r="BF336" s="981" t="str">
        <f t="shared" si="501"/>
        <v>-</v>
      </c>
      <c r="BG336" s="951"/>
      <c r="BH336" s="975" t="str">
        <f t="shared" si="502"/>
        <v>Price</v>
      </c>
      <c r="BI336" s="976" t="str">
        <f t="shared" si="503"/>
        <v>[Service]</v>
      </c>
      <c r="BJ336" s="977" t="str">
        <f t="shared" si="504"/>
        <v>[Price]</v>
      </c>
      <c r="BK336" s="978" t="str">
        <f t="shared" ref="BK336:BU336" si="524">IF(V336="","-",IFERROR((V336/U336-1)*(U338/U$13),"-"))</f>
        <v>-</v>
      </c>
      <c r="BL336" s="978" t="str">
        <f t="shared" si="524"/>
        <v>-</v>
      </c>
      <c r="BM336" s="979" t="str">
        <f t="shared" si="524"/>
        <v>-</v>
      </c>
      <c r="BN336" s="979" t="str">
        <f t="shared" si="524"/>
        <v>-</v>
      </c>
      <c r="BO336" s="1352" t="str">
        <f t="shared" si="524"/>
        <v>-</v>
      </c>
      <c r="BP336" s="1345" t="str">
        <f t="shared" si="524"/>
        <v>-</v>
      </c>
      <c r="BQ336" s="979" t="str">
        <f t="shared" si="524"/>
        <v>-</v>
      </c>
      <c r="BR336" s="979" t="str">
        <f t="shared" si="524"/>
        <v>-</v>
      </c>
      <c r="BS336" s="979" t="str">
        <f t="shared" si="524"/>
        <v>-</v>
      </c>
      <c r="BT336" s="980" t="str">
        <f t="shared" si="524"/>
        <v>-</v>
      </c>
      <c r="BU336" s="979" t="str">
        <f t="shared" si="524"/>
        <v>-</v>
      </c>
      <c r="BV336" s="979" t="str">
        <f>IF(AG336="","-",IFERROR((AG336/AF336-1)*(AF338/AF$13),"-"))</f>
        <v>-</v>
      </c>
      <c r="BW336" s="979" t="str">
        <f>IF(AH336="","-",IFERROR((AH336/AG336-1)*(AG338/AG$13),"-"))</f>
        <v>-</v>
      </c>
      <c r="BX336" s="979" t="str">
        <f>IF(AI336="","-",IFERROR((AI336/AH336-1)*(AH338/AH$13),"-"))</f>
        <v>-</v>
      </c>
      <c r="BY336" s="981" t="str">
        <f>IF(AJ336="","-",IFERROR((AJ336/AI336-1)*(AI338/AI$13),"-"))</f>
        <v>-</v>
      </c>
      <c r="BZ336" s="951"/>
      <c r="CA336" s="975" t="str">
        <f t="shared" si="482"/>
        <v>Price</v>
      </c>
      <c r="CB336" s="976" t="str">
        <f t="shared" si="483"/>
        <v>[Service]</v>
      </c>
      <c r="CC336" s="982" t="str">
        <f t="shared" si="484"/>
        <v>[Price]</v>
      </c>
      <c r="CD336" s="983" t="str">
        <f t="shared" si="510"/>
        <v>-</v>
      </c>
      <c r="CE336" s="979" t="str">
        <f t="shared" si="510"/>
        <v>-</v>
      </c>
      <c r="CF336" s="979" t="str">
        <f t="shared" si="510"/>
        <v>-</v>
      </c>
      <c r="CG336" s="980" t="str">
        <f t="shared" si="506"/>
        <v>-</v>
      </c>
      <c r="CH336" s="979" t="str">
        <f t="shared" si="511"/>
        <v>-</v>
      </c>
      <c r="CI336" s="979" t="str">
        <f t="shared" si="511"/>
        <v>-</v>
      </c>
      <c r="CJ336" s="979" t="str">
        <f t="shared" si="511"/>
        <v>-</v>
      </c>
      <c r="CK336" s="981" t="str">
        <f t="shared" si="507"/>
        <v>-</v>
      </c>
    </row>
    <row r="337" spans="4:89">
      <c r="E337" s="567" t="s">
        <v>880</v>
      </c>
      <c r="F337" s="554" t="str">
        <f>+F336</f>
        <v>[Service]</v>
      </c>
      <c r="G337" s="555">
        <f>+G336</f>
        <v>0</v>
      </c>
      <c r="H337" s="555">
        <f>+H336</f>
        <v>0</v>
      </c>
      <c r="I337" s="556" t="str">
        <f>+I336</f>
        <v>[Price]</v>
      </c>
      <c r="J337" s="590" t="s">
        <v>916</v>
      </c>
      <c r="K337" s="557"/>
      <c r="L337" s="558"/>
      <c r="M337" s="558"/>
      <c r="N337" s="557"/>
      <c r="O337" s="558"/>
      <c r="P337" s="558"/>
      <c r="Q337" s="558"/>
      <c r="R337" s="1036"/>
      <c r="S337" s="1139"/>
      <c r="T337" s="593"/>
      <c r="U337" s="1036"/>
      <c r="V337" s="593"/>
      <c r="W337" s="593"/>
      <c r="X337" s="593"/>
      <c r="Y337" s="593"/>
      <c r="Z337" s="593"/>
      <c r="AA337" s="1139"/>
      <c r="AB337" s="593"/>
      <c r="AC337" s="593"/>
      <c r="AD337" s="593"/>
      <c r="AE337" s="1036"/>
      <c r="AF337" s="593"/>
      <c r="AG337" s="593"/>
      <c r="AH337" s="593"/>
      <c r="AI337" s="593"/>
      <c r="AJ337" s="594"/>
      <c r="AK337" s="548"/>
      <c r="AO337" s="961" t="str">
        <f t="shared" si="485"/>
        <v>Qty</v>
      </c>
      <c r="AP337" s="962" t="str">
        <f t="shared" si="485"/>
        <v>[Service]</v>
      </c>
      <c r="AQ337" s="963" t="str">
        <f t="shared" si="486"/>
        <v>[Price]</v>
      </c>
      <c r="AR337" s="967" t="str">
        <f t="shared" si="487"/>
        <v>-</v>
      </c>
      <c r="AS337" s="964" t="str">
        <f t="shared" si="488"/>
        <v>-</v>
      </c>
      <c r="AT337" s="964" t="str">
        <f t="shared" si="489"/>
        <v>-</v>
      </c>
      <c r="AU337" s="964" t="str">
        <f t="shared" si="490"/>
        <v>-</v>
      </c>
      <c r="AV337" s="1350" t="str">
        <f t="shared" si="491"/>
        <v>-</v>
      </c>
      <c r="AW337" s="1343" t="str">
        <f t="shared" si="492"/>
        <v>-</v>
      </c>
      <c r="AX337" s="964" t="str">
        <f t="shared" si="493"/>
        <v>-</v>
      </c>
      <c r="AY337" s="964" t="str">
        <f t="shared" si="494"/>
        <v>-</v>
      </c>
      <c r="AZ337" s="964" t="str">
        <f t="shared" si="495"/>
        <v>-</v>
      </c>
      <c r="BA337" s="965" t="str">
        <f t="shared" si="496"/>
        <v>-</v>
      </c>
      <c r="BB337" s="1343" t="str">
        <f t="shared" si="497"/>
        <v>-</v>
      </c>
      <c r="BC337" s="964" t="str">
        <f t="shared" si="498"/>
        <v>-</v>
      </c>
      <c r="BD337" s="964" t="str">
        <f t="shared" si="499"/>
        <v>-</v>
      </c>
      <c r="BE337" s="964" t="str">
        <f t="shared" si="500"/>
        <v>-</v>
      </c>
      <c r="BF337" s="966" t="str">
        <f t="shared" si="501"/>
        <v>-</v>
      </c>
      <c r="BG337" s="951"/>
      <c r="BH337" s="961" t="str">
        <f t="shared" si="502"/>
        <v>Qty</v>
      </c>
      <c r="BI337" s="962" t="str">
        <f t="shared" si="503"/>
        <v>[Service]</v>
      </c>
      <c r="BJ337" s="963" t="str">
        <f t="shared" si="504"/>
        <v>[Price]</v>
      </c>
      <c r="BK337" s="964" t="str">
        <f t="shared" ref="BK337:BU337" si="525">IF(V337="","-",IFERROR((V337/U337-1)*(U338/U$13),"-"))</f>
        <v>-</v>
      </c>
      <c r="BL337" s="964" t="str">
        <f t="shared" si="525"/>
        <v>-</v>
      </c>
      <c r="BM337" s="964" t="str">
        <f t="shared" si="525"/>
        <v>-</v>
      </c>
      <c r="BN337" s="964" t="str">
        <f t="shared" si="525"/>
        <v>-</v>
      </c>
      <c r="BO337" s="1350" t="str">
        <f t="shared" si="525"/>
        <v>-</v>
      </c>
      <c r="BP337" s="1343" t="str">
        <f t="shared" si="525"/>
        <v>-</v>
      </c>
      <c r="BQ337" s="964" t="str">
        <f t="shared" si="525"/>
        <v>-</v>
      </c>
      <c r="BR337" s="964" t="str">
        <f t="shared" si="525"/>
        <v>-</v>
      </c>
      <c r="BS337" s="964" t="str">
        <f t="shared" si="525"/>
        <v>-</v>
      </c>
      <c r="BT337" s="965" t="str">
        <f t="shared" si="525"/>
        <v>-</v>
      </c>
      <c r="BU337" s="964" t="str">
        <f t="shared" si="525"/>
        <v>-</v>
      </c>
      <c r="BV337" s="964" t="str">
        <f>IF(AG337="","-",IFERROR((AG337/AF337-1)*(AF338/AF$13),"-"))</f>
        <v>-</v>
      </c>
      <c r="BW337" s="964" t="str">
        <f>IF(AH337="","-",IFERROR((AH337/AG337-1)*(AG338/AG$13),"-"))</f>
        <v>-</v>
      </c>
      <c r="BX337" s="964" t="str">
        <f>IF(AI337="","-",IFERROR((AI337/AH337-1)*(AH338/AH$13),"-"))</f>
        <v>-</v>
      </c>
      <c r="BY337" s="966" t="str">
        <f>IF(AJ337="","-",IFERROR((AJ337/AI337-1)*(AI338/AI$13),"-"))</f>
        <v>-</v>
      </c>
      <c r="BZ337" s="951"/>
      <c r="CA337" s="961" t="str">
        <f t="shared" si="482"/>
        <v>Qty</v>
      </c>
      <c r="CB337" s="962" t="str">
        <f t="shared" si="483"/>
        <v>[Service]</v>
      </c>
      <c r="CC337" s="962" t="str">
        <f t="shared" si="484"/>
        <v>[Price]</v>
      </c>
      <c r="CD337" s="967" t="str">
        <f t="shared" si="510"/>
        <v>-</v>
      </c>
      <c r="CE337" s="964" t="str">
        <f t="shared" si="510"/>
        <v>-</v>
      </c>
      <c r="CF337" s="964" t="str">
        <f t="shared" si="510"/>
        <v>-</v>
      </c>
      <c r="CG337" s="965" t="str">
        <f t="shared" si="506"/>
        <v>-</v>
      </c>
      <c r="CH337" s="964" t="str">
        <f t="shared" si="511"/>
        <v>-</v>
      </c>
      <c r="CI337" s="964" t="str">
        <f t="shared" si="511"/>
        <v>-</v>
      </c>
      <c r="CJ337" s="964" t="str">
        <f t="shared" si="511"/>
        <v>-</v>
      </c>
      <c r="CK337" s="966" t="str">
        <f t="shared" si="507"/>
        <v>-</v>
      </c>
    </row>
    <row r="338" spans="4:89" ht="12.75" thickBot="1">
      <c r="E338" s="568" t="s">
        <v>882</v>
      </c>
      <c r="F338" s="560" t="str">
        <f>+F336</f>
        <v>[Service]</v>
      </c>
      <c r="G338" s="561">
        <f>+G336</f>
        <v>0</v>
      </c>
      <c r="H338" s="561">
        <f>+H336</f>
        <v>0</v>
      </c>
      <c r="I338" s="562" t="str">
        <f>+I336</f>
        <v>[Price]</v>
      </c>
      <c r="J338" s="563" t="s">
        <v>883</v>
      </c>
      <c r="K338" s="564">
        <f t="shared" ref="K338:AJ338" si="526">K336*K337/10^6</f>
        <v>0</v>
      </c>
      <c r="L338" s="565">
        <f t="shared" si="526"/>
        <v>0</v>
      </c>
      <c r="M338" s="565">
        <f t="shared" si="526"/>
        <v>0</v>
      </c>
      <c r="N338" s="564">
        <f t="shared" si="526"/>
        <v>0</v>
      </c>
      <c r="O338" s="565">
        <f t="shared" si="526"/>
        <v>0</v>
      </c>
      <c r="P338" s="565">
        <f t="shared" si="526"/>
        <v>0</v>
      </c>
      <c r="Q338" s="565">
        <f t="shared" si="526"/>
        <v>0</v>
      </c>
      <c r="R338" s="566">
        <f t="shared" si="526"/>
        <v>0</v>
      </c>
      <c r="S338" s="564">
        <f t="shared" si="526"/>
        <v>0</v>
      </c>
      <c r="T338" s="565">
        <f t="shared" si="526"/>
        <v>0</v>
      </c>
      <c r="U338" s="566">
        <f t="shared" si="526"/>
        <v>0</v>
      </c>
      <c r="V338" s="565">
        <f t="shared" si="526"/>
        <v>0</v>
      </c>
      <c r="W338" s="565">
        <f t="shared" si="526"/>
        <v>0</v>
      </c>
      <c r="X338" s="565">
        <f t="shared" si="526"/>
        <v>0</v>
      </c>
      <c r="Y338" s="565">
        <f t="shared" si="526"/>
        <v>0</v>
      </c>
      <c r="Z338" s="565">
        <f t="shared" si="526"/>
        <v>0</v>
      </c>
      <c r="AA338" s="564">
        <f t="shared" si="526"/>
        <v>0</v>
      </c>
      <c r="AB338" s="565">
        <f t="shared" si="526"/>
        <v>0</v>
      </c>
      <c r="AC338" s="565">
        <f t="shared" si="526"/>
        <v>0</v>
      </c>
      <c r="AD338" s="565">
        <f t="shared" si="526"/>
        <v>0</v>
      </c>
      <c r="AE338" s="566">
        <f t="shared" si="526"/>
        <v>0</v>
      </c>
      <c r="AF338" s="565">
        <f t="shared" si="526"/>
        <v>0</v>
      </c>
      <c r="AG338" s="565">
        <f>AG336*AG337/10^6</f>
        <v>0</v>
      </c>
      <c r="AH338" s="565">
        <f>AH336*AH337/10^6</f>
        <v>0</v>
      </c>
      <c r="AI338" s="565">
        <f>AI336*AI337/10^6</f>
        <v>0</v>
      </c>
      <c r="AJ338" s="566">
        <f t="shared" si="526"/>
        <v>0</v>
      </c>
      <c r="AK338" s="548"/>
      <c r="AO338" s="984" t="str">
        <f t="shared" si="485"/>
        <v>Rev</v>
      </c>
      <c r="AP338" s="985" t="str">
        <f t="shared" si="485"/>
        <v>[Service]</v>
      </c>
      <c r="AQ338" s="986" t="str">
        <f t="shared" si="486"/>
        <v>[Price]</v>
      </c>
      <c r="AR338" s="990" t="str">
        <f t="shared" si="487"/>
        <v>-</v>
      </c>
      <c r="AS338" s="987" t="str">
        <f t="shared" si="488"/>
        <v>-</v>
      </c>
      <c r="AT338" s="987" t="str">
        <f t="shared" si="489"/>
        <v>-</v>
      </c>
      <c r="AU338" s="987" t="str">
        <f t="shared" si="490"/>
        <v>-</v>
      </c>
      <c r="AV338" s="1353" t="str">
        <f t="shared" si="491"/>
        <v>-</v>
      </c>
      <c r="AW338" s="1346" t="str">
        <f t="shared" si="492"/>
        <v>-</v>
      </c>
      <c r="AX338" s="987" t="str">
        <f t="shared" si="493"/>
        <v>-</v>
      </c>
      <c r="AY338" s="987" t="str">
        <f t="shared" si="494"/>
        <v>-</v>
      </c>
      <c r="AZ338" s="987" t="str">
        <f t="shared" si="495"/>
        <v>-</v>
      </c>
      <c r="BA338" s="988" t="str">
        <f t="shared" si="496"/>
        <v>-</v>
      </c>
      <c r="BB338" s="1346" t="str">
        <f t="shared" si="497"/>
        <v>-</v>
      </c>
      <c r="BC338" s="987" t="str">
        <f t="shared" si="498"/>
        <v>-</v>
      </c>
      <c r="BD338" s="987" t="str">
        <f t="shared" si="499"/>
        <v>-</v>
      </c>
      <c r="BE338" s="987" t="str">
        <f t="shared" si="500"/>
        <v>-</v>
      </c>
      <c r="BF338" s="989" t="str">
        <f t="shared" si="501"/>
        <v>-</v>
      </c>
      <c r="BG338" s="951"/>
      <c r="BH338" s="984" t="str">
        <f t="shared" si="502"/>
        <v>Rev</v>
      </c>
      <c r="BI338" s="985" t="str">
        <f t="shared" si="503"/>
        <v>[Service]</v>
      </c>
      <c r="BJ338" s="986" t="str">
        <f t="shared" si="504"/>
        <v>[Price]</v>
      </c>
      <c r="BK338" s="987" t="str">
        <f t="shared" ref="BK338:BU338" si="527">IF(V338="","-",IFERROR((V338/U338-1)*(U338/U$13),"-"))</f>
        <v>-</v>
      </c>
      <c r="BL338" s="987" t="str">
        <f t="shared" si="527"/>
        <v>-</v>
      </c>
      <c r="BM338" s="987" t="str">
        <f t="shared" si="527"/>
        <v>-</v>
      </c>
      <c r="BN338" s="987" t="str">
        <f t="shared" si="527"/>
        <v>-</v>
      </c>
      <c r="BO338" s="1353" t="str">
        <f t="shared" si="527"/>
        <v>-</v>
      </c>
      <c r="BP338" s="1346" t="str">
        <f t="shared" si="527"/>
        <v>-</v>
      </c>
      <c r="BQ338" s="987" t="str">
        <f t="shared" si="527"/>
        <v>-</v>
      </c>
      <c r="BR338" s="987" t="str">
        <f t="shared" si="527"/>
        <v>-</v>
      </c>
      <c r="BS338" s="987" t="str">
        <f t="shared" si="527"/>
        <v>-</v>
      </c>
      <c r="BT338" s="988" t="str">
        <f t="shared" si="527"/>
        <v>-</v>
      </c>
      <c r="BU338" s="987" t="str">
        <f t="shared" si="527"/>
        <v>-</v>
      </c>
      <c r="BV338" s="987" t="str">
        <f>IF(AG338="","-",IFERROR((AG338/AF338-1)*(AF338/AF$13),"-"))</f>
        <v>-</v>
      </c>
      <c r="BW338" s="987" t="str">
        <f>IF(AH338="","-",IFERROR((AH338/AG338-1)*(AG338/AG$13),"-"))</f>
        <v>-</v>
      </c>
      <c r="BX338" s="987" t="str">
        <f>IF(AI338="","-",IFERROR((AI338/AH338-1)*(AH338/AH$13),"-"))</f>
        <v>-</v>
      </c>
      <c r="BY338" s="989" t="str">
        <f>IF(AJ338="","-",IFERROR((AJ338/AI338-1)*(AI338/AI$13),"-"))</f>
        <v>-</v>
      </c>
      <c r="BZ338" s="951"/>
      <c r="CA338" s="984" t="str">
        <f t="shared" si="482"/>
        <v>Rev</v>
      </c>
      <c r="CB338" s="985" t="str">
        <f t="shared" si="483"/>
        <v>[Service]</v>
      </c>
      <c r="CC338" s="985" t="str">
        <f t="shared" si="484"/>
        <v>[Price]</v>
      </c>
      <c r="CD338" s="990" t="str">
        <f t="shared" si="510"/>
        <v>-</v>
      </c>
      <c r="CE338" s="987" t="str">
        <f t="shared" si="510"/>
        <v>-</v>
      </c>
      <c r="CF338" s="987" t="str">
        <f t="shared" si="510"/>
        <v>-</v>
      </c>
      <c r="CG338" s="988" t="str">
        <f t="shared" si="506"/>
        <v>-</v>
      </c>
      <c r="CH338" s="987" t="str">
        <f t="shared" si="511"/>
        <v>-</v>
      </c>
      <c r="CI338" s="987" t="str">
        <f t="shared" si="511"/>
        <v>-</v>
      </c>
      <c r="CJ338" s="987" t="str">
        <f t="shared" si="511"/>
        <v>-</v>
      </c>
      <c r="CK338" s="989" t="str">
        <f t="shared" si="507"/>
        <v>-</v>
      </c>
    </row>
    <row r="339" spans="4:89">
      <c r="D339" s="63">
        <f>D336+1</f>
        <v>91</v>
      </c>
      <c r="E339" s="550" t="s">
        <v>857</v>
      </c>
      <c r="F339" s="595" t="s">
        <v>428</v>
      </c>
      <c r="G339" s="595"/>
      <c r="H339" s="595"/>
      <c r="I339" s="589" t="s">
        <v>920</v>
      </c>
      <c r="J339" s="589" t="s">
        <v>879</v>
      </c>
      <c r="K339" s="551"/>
      <c r="L339" s="552"/>
      <c r="M339" s="552"/>
      <c r="N339" s="551"/>
      <c r="O339" s="552"/>
      <c r="P339" s="552"/>
      <c r="Q339" s="552"/>
      <c r="R339" s="1035"/>
      <c r="S339" s="1138"/>
      <c r="T339" s="591"/>
      <c r="U339" s="1035"/>
      <c r="V339" s="591"/>
      <c r="W339" s="591"/>
      <c r="X339" s="591"/>
      <c r="Y339" s="591"/>
      <c r="Z339" s="591"/>
      <c r="AA339" s="1138"/>
      <c r="AB339" s="591"/>
      <c r="AC339" s="591"/>
      <c r="AD339" s="591"/>
      <c r="AE339" s="1035"/>
      <c r="AF339" s="591"/>
      <c r="AG339" s="591"/>
      <c r="AH339" s="591"/>
      <c r="AI339" s="591"/>
      <c r="AJ339" s="592"/>
      <c r="AK339" s="548"/>
      <c r="AM339" s="974"/>
      <c r="AO339" s="975" t="str">
        <f t="shared" si="485"/>
        <v>Price</v>
      </c>
      <c r="AP339" s="976" t="str">
        <f t="shared" si="485"/>
        <v>[Service]</v>
      </c>
      <c r="AQ339" s="977" t="str">
        <f t="shared" si="486"/>
        <v>[Price]</v>
      </c>
      <c r="AR339" s="1341" t="str">
        <f t="shared" si="487"/>
        <v>-</v>
      </c>
      <c r="AS339" s="978" t="str">
        <f t="shared" si="488"/>
        <v>-</v>
      </c>
      <c r="AT339" s="979" t="str">
        <f t="shared" si="489"/>
        <v>-</v>
      </c>
      <c r="AU339" s="979" t="str">
        <f t="shared" si="490"/>
        <v>-</v>
      </c>
      <c r="AV339" s="1352" t="str">
        <f t="shared" si="491"/>
        <v>-</v>
      </c>
      <c r="AW339" s="1345" t="str">
        <f t="shared" si="492"/>
        <v>-</v>
      </c>
      <c r="AX339" s="979" t="str">
        <f t="shared" si="493"/>
        <v>-</v>
      </c>
      <c r="AY339" s="979" t="str">
        <f t="shared" si="494"/>
        <v>-</v>
      </c>
      <c r="AZ339" s="979" t="str">
        <f t="shared" si="495"/>
        <v>-</v>
      </c>
      <c r="BA339" s="980" t="str">
        <f t="shared" si="496"/>
        <v>-</v>
      </c>
      <c r="BB339" s="1345" t="str">
        <f t="shared" si="497"/>
        <v>-</v>
      </c>
      <c r="BC339" s="979" t="str">
        <f t="shared" si="498"/>
        <v>-</v>
      </c>
      <c r="BD339" s="979" t="str">
        <f t="shared" si="499"/>
        <v>-</v>
      </c>
      <c r="BE339" s="979" t="str">
        <f t="shared" si="500"/>
        <v>-</v>
      </c>
      <c r="BF339" s="981" t="str">
        <f t="shared" si="501"/>
        <v>-</v>
      </c>
      <c r="BG339" s="951"/>
      <c r="BH339" s="975" t="str">
        <f t="shared" si="502"/>
        <v>Price</v>
      </c>
      <c r="BI339" s="976" t="str">
        <f t="shared" si="503"/>
        <v>[Service]</v>
      </c>
      <c r="BJ339" s="977" t="str">
        <f t="shared" si="504"/>
        <v>[Price]</v>
      </c>
      <c r="BK339" s="978" t="str">
        <f t="shared" ref="BK339:BU339" si="528">IF(V339="","-",IFERROR((V339/U339-1)*(U341/U$13),"-"))</f>
        <v>-</v>
      </c>
      <c r="BL339" s="978" t="str">
        <f t="shared" si="528"/>
        <v>-</v>
      </c>
      <c r="BM339" s="979" t="str">
        <f t="shared" si="528"/>
        <v>-</v>
      </c>
      <c r="BN339" s="979" t="str">
        <f t="shared" si="528"/>
        <v>-</v>
      </c>
      <c r="BO339" s="1352" t="str">
        <f t="shared" si="528"/>
        <v>-</v>
      </c>
      <c r="BP339" s="1345" t="str">
        <f t="shared" si="528"/>
        <v>-</v>
      </c>
      <c r="BQ339" s="979" t="str">
        <f t="shared" si="528"/>
        <v>-</v>
      </c>
      <c r="BR339" s="979" t="str">
        <f t="shared" si="528"/>
        <v>-</v>
      </c>
      <c r="BS339" s="979" t="str">
        <f t="shared" si="528"/>
        <v>-</v>
      </c>
      <c r="BT339" s="980" t="str">
        <f t="shared" si="528"/>
        <v>-</v>
      </c>
      <c r="BU339" s="979" t="str">
        <f t="shared" si="528"/>
        <v>-</v>
      </c>
      <c r="BV339" s="979" t="str">
        <f>IF(AG339="","-",IFERROR((AG339/AF339-1)*(AF341/AF$13),"-"))</f>
        <v>-</v>
      </c>
      <c r="BW339" s="979" t="str">
        <f>IF(AH339="","-",IFERROR((AH339/AG339-1)*(AG341/AG$13),"-"))</f>
        <v>-</v>
      </c>
      <c r="BX339" s="979" t="str">
        <f>IF(AI339="","-",IFERROR((AI339/AH339-1)*(AH341/AH$13),"-"))</f>
        <v>-</v>
      </c>
      <c r="BY339" s="981" t="str">
        <f>IF(AJ339="","-",IFERROR((AJ339/AI339-1)*(AI341/AI$13),"-"))</f>
        <v>-</v>
      </c>
      <c r="BZ339" s="951"/>
      <c r="CA339" s="975" t="str">
        <f t="shared" si="482"/>
        <v>Price</v>
      </c>
      <c r="CB339" s="976" t="str">
        <f t="shared" si="483"/>
        <v>[Service]</v>
      </c>
      <c r="CC339" s="982" t="str">
        <f t="shared" si="484"/>
        <v>[Price]</v>
      </c>
      <c r="CD339" s="983" t="str">
        <f t="shared" si="510"/>
        <v>-</v>
      </c>
      <c r="CE339" s="979" t="str">
        <f t="shared" si="510"/>
        <v>-</v>
      </c>
      <c r="CF339" s="979" t="str">
        <f t="shared" si="510"/>
        <v>-</v>
      </c>
      <c r="CG339" s="980" t="str">
        <f t="shared" si="506"/>
        <v>-</v>
      </c>
      <c r="CH339" s="979" t="str">
        <f t="shared" si="511"/>
        <v>-</v>
      </c>
      <c r="CI339" s="979" t="str">
        <f t="shared" si="511"/>
        <v>-</v>
      </c>
      <c r="CJ339" s="979" t="str">
        <f t="shared" si="511"/>
        <v>-</v>
      </c>
      <c r="CK339" s="981" t="str">
        <f t="shared" si="507"/>
        <v>-</v>
      </c>
    </row>
    <row r="340" spans="4:89">
      <c r="E340" s="567" t="s">
        <v>880</v>
      </c>
      <c r="F340" s="554" t="str">
        <f>+F339</f>
        <v>[Service]</v>
      </c>
      <c r="G340" s="555">
        <f>+G339</f>
        <v>0</v>
      </c>
      <c r="H340" s="555">
        <f>+H339</f>
        <v>0</v>
      </c>
      <c r="I340" s="556" t="str">
        <f>+I339</f>
        <v>[Price]</v>
      </c>
      <c r="J340" s="590" t="s">
        <v>916</v>
      </c>
      <c r="K340" s="557"/>
      <c r="L340" s="558"/>
      <c r="M340" s="558"/>
      <c r="N340" s="557"/>
      <c r="O340" s="558"/>
      <c r="P340" s="558"/>
      <c r="Q340" s="558"/>
      <c r="R340" s="1036"/>
      <c r="S340" s="1139"/>
      <c r="T340" s="593"/>
      <c r="U340" s="1036"/>
      <c r="V340" s="593"/>
      <c r="W340" s="593"/>
      <c r="X340" s="593"/>
      <c r="Y340" s="593"/>
      <c r="Z340" s="593"/>
      <c r="AA340" s="1139"/>
      <c r="AB340" s="593"/>
      <c r="AC340" s="593"/>
      <c r="AD340" s="593"/>
      <c r="AE340" s="1036"/>
      <c r="AF340" s="593"/>
      <c r="AG340" s="593"/>
      <c r="AH340" s="593"/>
      <c r="AI340" s="593"/>
      <c r="AJ340" s="594"/>
      <c r="AK340" s="548"/>
      <c r="AO340" s="961" t="str">
        <f t="shared" si="485"/>
        <v>Qty</v>
      </c>
      <c r="AP340" s="962" t="str">
        <f t="shared" si="485"/>
        <v>[Service]</v>
      </c>
      <c r="AQ340" s="963" t="str">
        <f t="shared" si="486"/>
        <v>[Price]</v>
      </c>
      <c r="AR340" s="967" t="str">
        <f t="shared" si="487"/>
        <v>-</v>
      </c>
      <c r="AS340" s="964" t="str">
        <f t="shared" si="488"/>
        <v>-</v>
      </c>
      <c r="AT340" s="964" t="str">
        <f t="shared" si="489"/>
        <v>-</v>
      </c>
      <c r="AU340" s="964" t="str">
        <f t="shared" si="490"/>
        <v>-</v>
      </c>
      <c r="AV340" s="1350" t="str">
        <f t="shared" si="491"/>
        <v>-</v>
      </c>
      <c r="AW340" s="1343" t="str">
        <f t="shared" si="492"/>
        <v>-</v>
      </c>
      <c r="AX340" s="964" t="str">
        <f t="shared" si="493"/>
        <v>-</v>
      </c>
      <c r="AY340" s="964" t="str">
        <f t="shared" si="494"/>
        <v>-</v>
      </c>
      <c r="AZ340" s="964" t="str">
        <f t="shared" si="495"/>
        <v>-</v>
      </c>
      <c r="BA340" s="965" t="str">
        <f t="shared" si="496"/>
        <v>-</v>
      </c>
      <c r="BB340" s="1343" t="str">
        <f t="shared" si="497"/>
        <v>-</v>
      </c>
      <c r="BC340" s="964" t="str">
        <f t="shared" si="498"/>
        <v>-</v>
      </c>
      <c r="BD340" s="964" t="str">
        <f t="shared" si="499"/>
        <v>-</v>
      </c>
      <c r="BE340" s="964" t="str">
        <f t="shared" si="500"/>
        <v>-</v>
      </c>
      <c r="BF340" s="966" t="str">
        <f t="shared" si="501"/>
        <v>-</v>
      </c>
      <c r="BG340" s="951"/>
      <c r="BH340" s="961" t="str">
        <f t="shared" si="502"/>
        <v>Qty</v>
      </c>
      <c r="BI340" s="962" t="str">
        <f t="shared" si="503"/>
        <v>[Service]</v>
      </c>
      <c r="BJ340" s="963" t="str">
        <f t="shared" si="504"/>
        <v>[Price]</v>
      </c>
      <c r="BK340" s="964" t="str">
        <f t="shared" ref="BK340:BU340" si="529">IF(V340="","-",IFERROR((V340/U340-1)*(U341/U$13),"-"))</f>
        <v>-</v>
      </c>
      <c r="BL340" s="964" t="str">
        <f t="shared" si="529"/>
        <v>-</v>
      </c>
      <c r="BM340" s="964" t="str">
        <f t="shared" si="529"/>
        <v>-</v>
      </c>
      <c r="BN340" s="964" t="str">
        <f t="shared" si="529"/>
        <v>-</v>
      </c>
      <c r="BO340" s="1350" t="str">
        <f t="shared" si="529"/>
        <v>-</v>
      </c>
      <c r="BP340" s="1343" t="str">
        <f t="shared" si="529"/>
        <v>-</v>
      </c>
      <c r="BQ340" s="964" t="str">
        <f t="shared" si="529"/>
        <v>-</v>
      </c>
      <c r="BR340" s="964" t="str">
        <f t="shared" si="529"/>
        <v>-</v>
      </c>
      <c r="BS340" s="964" t="str">
        <f t="shared" si="529"/>
        <v>-</v>
      </c>
      <c r="BT340" s="965" t="str">
        <f t="shared" si="529"/>
        <v>-</v>
      </c>
      <c r="BU340" s="964" t="str">
        <f t="shared" si="529"/>
        <v>-</v>
      </c>
      <c r="BV340" s="964" t="str">
        <f>IF(AG340="","-",IFERROR((AG340/AF340-1)*(AF341/AF$13),"-"))</f>
        <v>-</v>
      </c>
      <c r="BW340" s="964" t="str">
        <f>IF(AH340="","-",IFERROR((AH340/AG340-1)*(AG341/AG$13),"-"))</f>
        <v>-</v>
      </c>
      <c r="BX340" s="964" t="str">
        <f>IF(AI340="","-",IFERROR((AI340/AH340-1)*(AH341/AH$13),"-"))</f>
        <v>-</v>
      </c>
      <c r="BY340" s="966" t="str">
        <f>IF(AJ340="","-",IFERROR((AJ340/AI340-1)*(AI341/AI$13),"-"))</f>
        <v>-</v>
      </c>
      <c r="BZ340" s="951"/>
      <c r="CA340" s="961" t="str">
        <f t="shared" si="482"/>
        <v>Qty</v>
      </c>
      <c r="CB340" s="962" t="str">
        <f t="shared" si="483"/>
        <v>[Service]</v>
      </c>
      <c r="CC340" s="962" t="str">
        <f t="shared" si="484"/>
        <v>[Price]</v>
      </c>
      <c r="CD340" s="967" t="str">
        <f t="shared" si="510"/>
        <v>-</v>
      </c>
      <c r="CE340" s="964" t="str">
        <f t="shared" si="510"/>
        <v>-</v>
      </c>
      <c r="CF340" s="964" t="str">
        <f t="shared" si="510"/>
        <v>-</v>
      </c>
      <c r="CG340" s="965" t="str">
        <f t="shared" si="506"/>
        <v>-</v>
      </c>
      <c r="CH340" s="964" t="str">
        <f t="shared" si="511"/>
        <v>-</v>
      </c>
      <c r="CI340" s="964" t="str">
        <f t="shared" si="511"/>
        <v>-</v>
      </c>
      <c r="CJ340" s="964" t="str">
        <f t="shared" si="511"/>
        <v>-</v>
      </c>
      <c r="CK340" s="966" t="str">
        <f t="shared" si="507"/>
        <v>-</v>
      </c>
    </row>
    <row r="341" spans="4:89" ht="12.75" thickBot="1">
      <c r="E341" s="568" t="s">
        <v>882</v>
      </c>
      <c r="F341" s="560" t="str">
        <f>+F339</f>
        <v>[Service]</v>
      </c>
      <c r="G341" s="561">
        <f>+G339</f>
        <v>0</v>
      </c>
      <c r="H341" s="561">
        <f>+H339</f>
        <v>0</v>
      </c>
      <c r="I341" s="562" t="str">
        <f>+I339</f>
        <v>[Price]</v>
      </c>
      <c r="J341" s="563" t="s">
        <v>883</v>
      </c>
      <c r="K341" s="564">
        <f t="shared" ref="K341:AJ341" si="530">K339*K340/10^6</f>
        <v>0</v>
      </c>
      <c r="L341" s="565">
        <f t="shared" si="530"/>
        <v>0</v>
      </c>
      <c r="M341" s="565">
        <f t="shared" si="530"/>
        <v>0</v>
      </c>
      <c r="N341" s="564">
        <f t="shared" si="530"/>
        <v>0</v>
      </c>
      <c r="O341" s="565">
        <f t="shared" si="530"/>
        <v>0</v>
      </c>
      <c r="P341" s="565">
        <f t="shared" si="530"/>
        <v>0</v>
      </c>
      <c r="Q341" s="565">
        <f t="shared" si="530"/>
        <v>0</v>
      </c>
      <c r="R341" s="566">
        <f t="shared" si="530"/>
        <v>0</v>
      </c>
      <c r="S341" s="564">
        <f t="shared" si="530"/>
        <v>0</v>
      </c>
      <c r="T341" s="565">
        <f t="shared" si="530"/>
        <v>0</v>
      </c>
      <c r="U341" s="566">
        <f t="shared" si="530"/>
        <v>0</v>
      </c>
      <c r="V341" s="565">
        <f t="shared" si="530"/>
        <v>0</v>
      </c>
      <c r="W341" s="565">
        <f t="shared" si="530"/>
        <v>0</v>
      </c>
      <c r="X341" s="565">
        <f t="shared" si="530"/>
        <v>0</v>
      </c>
      <c r="Y341" s="565">
        <f t="shared" si="530"/>
        <v>0</v>
      </c>
      <c r="Z341" s="565">
        <f t="shared" si="530"/>
        <v>0</v>
      </c>
      <c r="AA341" s="564">
        <f t="shared" si="530"/>
        <v>0</v>
      </c>
      <c r="AB341" s="565">
        <f t="shared" si="530"/>
        <v>0</v>
      </c>
      <c r="AC341" s="565">
        <f t="shared" si="530"/>
        <v>0</v>
      </c>
      <c r="AD341" s="565">
        <f t="shared" si="530"/>
        <v>0</v>
      </c>
      <c r="AE341" s="566">
        <f t="shared" si="530"/>
        <v>0</v>
      </c>
      <c r="AF341" s="565">
        <f t="shared" si="530"/>
        <v>0</v>
      </c>
      <c r="AG341" s="565">
        <f>AG339*AG340/10^6</f>
        <v>0</v>
      </c>
      <c r="AH341" s="565">
        <f>AH339*AH340/10^6</f>
        <v>0</v>
      </c>
      <c r="AI341" s="565">
        <f>AI339*AI340/10^6</f>
        <v>0</v>
      </c>
      <c r="AJ341" s="566">
        <f t="shared" si="530"/>
        <v>0</v>
      </c>
      <c r="AK341" s="548"/>
      <c r="AO341" s="984" t="str">
        <f t="shared" si="485"/>
        <v>Rev</v>
      </c>
      <c r="AP341" s="985" t="str">
        <f t="shared" si="485"/>
        <v>[Service]</v>
      </c>
      <c r="AQ341" s="986" t="str">
        <f t="shared" si="486"/>
        <v>[Price]</v>
      </c>
      <c r="AR341" s="990" t="str">
        <f t="shared" si="487"/>
        <v>-</v>
      </c>
      <c r="AS341" s="987" t="str">
        <f t="shared" si="488"/>
        <v>-</v>
      </c>
      <c r="AT341" s="987" t="str">
        <f t="shared" si="489"/>
        <v>-</v>
      </c>
      <c r="AU341" s="987" t="str">
        <f t="shared" si="490"/>
        <v>-</v>
      </c>
      <c r="AV341" s="1353" t="str">
        <f t="shared" si="491"/>
        <v>-</v>
      </c>
      <c r="AW341" s="1346" t="str">
        <f t="shared" si="492"/>
        <v>-</v>
      </c>
      <c r="AX341" s="987" t="str">
        <f t="shared" si="493"/>
        <v>-</v>
      </c>
      <c r="AY341" s="987" t="str">
        <f t="shared" si="494"/>
        <v>-</v>
      </c>
      <c r="AZ341" s="987" t="str">
        <f t="shared" si="495"/>
        <v>-</v>
      </c>
      <c r="BA341" s="988" t="str">
        <f t="shared" si="496"/>
        <v>-</v>
      </c>
      <c r="BB341" s="1346" t="str">
        <f t="shared" si="497"/>
        <v>-</v>
      </c>
      <c r="BC341" s="987" t="str">
        <f t="shared" si="498"/>
        <v>-</v>
      </c>
      <c r="BD341" s="987" t="str">
        <f t="shared" si="499"/>
        <v>-</v>
      </c>
      <c r="BE341" s="987" t="str">
        <f t="shared" si="500"/>
        <v>-</v>
      </c>
      <c r="BF341" s="989" t="str">
        <f t="shared" si="501"/>
        <v>-</v>
      </c>
      <c r="BG341" s="951"/>
      <c r="BH341" s="984" t="str">
        <f t="shared" si="502"/>
        <v>Rev</v>
      </c>
      <c r="BI341" s="985" t="str">
        <f t="shared" si="503"/>
        <v>[Service]</v>
      </c>
      <c r="BJ341" s="986" t="str">
        <f t="shared" si="504"/>
        <v>[Price]</v>
      </c>
      <c r="BK341" s="987" t="str">
        <f t="shared" ref="BK341:BU341" si="531">IF(V341="","-",IFERROR((V341/U341-1)*(U341/U$13),"-"))</f>
        <v>-</v>
      </c>
      <c r="BL341" s="987" t="str">
        <f t="shared" si="531"/>
        <v>-</v>
      </c>
      <c r="BM341" s="987" t="str">
        <f t="shared" si="531"/>
        <v>-</v>
      </c>
      <c r="BN341" s="987" t="str">
        <f t="shared" si="531"/>
        <v>-</v>
      </c>
      <c r="BO341" s="1353" t="str">
        <f t="shared" si="531"/>
        <v>-</v>
      </c>
      <c r="BP341" s="1346" t="str">
        <f t="shared" si="531"/>
        <v>-</v>
      </c>
      <c r="BQ341" s="987" t="str">
        <f t="shared" si="531"/>
        <v>-</v>
      </c>
      <c r="BR341" s="987" t="str">
        <f t="shared" si="531"/>
        <v>-</v>
      </c>
      <c r="BS341" s="987" t="str">
        <f t="shared" si="531"/>
        <v>-</v>
      </c>
      <c r="BT341" s="988" t="str">
        <f t="shared" si="531"/>
        <v>-</v>
      </c>
      <c r="BU341" s="987" t="str">
        <f t="shared" si="531"/>
        <v>-</v>
      </c>
      <c r="BV341" s="987" t="str">
        <f>IF(AG341="","-",IFERROR((AG341/AF341-1)*(AF341/AF$13),"-"))</f>
        <v>-</v>
      </c>
      <c r="BW341" s="987" t="str">
        <f>IF(AH341="","-",IFERROR((AH341/AG341-1)*(AG341/AG$13),"-"))</f>
        <v>-</v>
      </c>
      <c r="BX341" s="987" t="str">
        <f>IF(AI341="","-",IFERROR((AI341/AH341-1)*(AH341/AH$13),"-"))</f>
        <v>-</v>
      </c>
      <c r="BY341" s="989" t="str">
        <f>IF(AJ341="","-",IFERROR((AJ341/AI341-1)*(AI341/AI$13),"-"))</f>
        <v>-</v>
      </c>
      <c r="BZ341" s="951"/>
      <c r="CA341" s="984" t="str">
        <f t="shared" si="482"/>
        <v>Rev</v>
      </c>
      <c r="CB341" s="985" t="str">
        <f t="shared" si="483"/>
        <v>[Service]</v>
      </c>
      <c r="CC341" s="985" t="str">
        <f t="shared" si="484"/>
        <v>[Price]</v>
      </c>
      <c r="CD341" s="990" t="str">
        <f t="shared" si="510"/>
        <v>-</v>
      </c>
      <c r="CE341" s="987" t="str">
        <f t="shared" si="510"/>
        <v>-</v>
      </c>
      <c r="CF341" s="987" t="str">
        <f t="shared" si="510"/>
        <v>-</v>
      </c>
      <c r="CG341" s="988" t="str">
        <f t="shared" si="506"/>
        <v>-</v>
      </c>
      <c r="CH341" s="987" t="str">
        <f t="shared" si="511"/>
        <v>-</v>
      </c>
      <c r="CI341" s="987" t="str">
        <f t="shared" si="511"/>
        <v>-</v>
      </c>
      <c r="CJ341" s="987" t="str">
        <f t="shared" si="511"/>
        <v>-</v>
      </c>
      <c r="CK341" s="989" t="str">
        <f t="shared" si="507"/>
        <v>-</v>
      </c>
    </row>
    <row r="342" spans="4:89">
      <c r="D342" s="63">
        <f>D339+1</f>
        <v>92</v>
      </c>
      <c r="E342" s="550" t="s">
        <v>857</v>
      </c>
      <c r="F342" s="595" t="s">
        <v>428</v>
      </c>
      <c r="G342" s="595"/>
      <c r="H342" s="595"/>
      <c r="I342" s="589" t="s">
        <v>920</v>
      </c>
      <c r="J342" s="589" t="s">
        <v>879</v>
      </c>
      <c r="K342" s="551"/>
      <c r="L342" s="552"/>
      <c r="M342" s="552"/>
      <c r="N342" s="551"/>
      <c r="O342" s="552"/>
      <c r="P342" s="552"/>
      <c r="Q342" s="552"/>
      <c r="R342" s="1035"/>
      <c r="S342" s="1138"/>
      <c r="T342" s="591"/>
      <c r="U342" s="1035"/>
      <c r="V342" s="591"/>
      <c r="W342" s="591"/>
      <c r="X342" s="591"/>
      <c r="Y342" s="591"/>
      <c r="Z342" s="591"/>
      <c r="AA342" s="1138"/>
      <c r="AB342" s="591"/>
      <c r="AC342" s="591"/>
      <c r="AD342" s="591"/>
      <c r="AE342" s="1035"/>
      <c r="AF342" s="591"/>
      <c r="AG342" s="591"/>
      <c r="AH342" s="591"/>
      <c r="AI342" s="591"/>
      <c r="AJ342" s="592"/>
      <c r="AK342" s="548"/>
      <c r="AM342" s="974"/>
      <c r="AO342" s="975" t="str">
        <f t="shared" si="485"/>
        <v>Price</v>
      </c>
      <c r="AP342" s="976" t="str">
        <f t="shared" si="485"/>
        <v>[Service]</v>
      </c>
      <c r="AQ342" s="977" t="str">
        <f t="shared" si="486"/>
        <v>[Price]</v>
      </c>
      <c r="AR342" s="1341" t="str">
        <f t="shared" si="487"/>
        <v>-</v>
      </c>
      <c r="AS342" s="978" t="str">
        <f t="shared" si="488"/>
        <v>-</v>
      </c>
      <c r="AT342" s="979" t="str">
        <f t="shared" si="489"/>
        <v>-</v>
      </c>
      <c r="AU342" s="979" t="str">
        <f t="shared" si="490"/>
        <v>-</v>
      </c>
      <c r="AV342" s="1352" t="str">
        <f t="shared" si="491"/>
        <v>-</v>
      </c>
      <c r="AW342" s="1345" t="str">
        <f t="shared" si="492"/>
        <v>-</v>
      </c>
      <c r="AX342" s="979" t="str">
        <f t="shared" si="493"/>
        <v>-</v>
      </c>
      <c r="AY342" s="979" t="str">
        <f t="shared" si="494"/>
        <v>-</v>
      </c>
      <c r="AZ342" s="979" t="str">
        <f t="shared" si="495"/>
        <v>-</v>
      </c>
      <c r="BA342" s="980" t="str">
        <f t="shared" si="496"/>
        <v>-</v>
      </c>
      <c r="BB342" s="1345" t="str">
        <f t="shared" si="497"/>
        <v>-</v>
      </c>
      <c r="BC342" s="979" t="str">
        <f t="shared" si="498"/>
        <v>-</v>
      </c>
      <c r="BD342" s="979" t="str">
        <f t="shared" si="499"/>
        <v>-</v>
      </c>
      <c r="BE342" s="979" t="str">
        <f t="shared" si="500"/>
        <v>-</v>
      </c>
      <c r="BF342" s="981" t="str">
        <f t="shared" si="501"/>
        <v>-</v>
      </c>
      <c r="BG342" s="951"/>
      <c r="BH342" s="975" t="str">
        <f t="shared" si="502"/>
        <v>Price</v>
      </c>
      <c r="BI342" s="976" t="str">
        <f t="shared" si="503"/>
        <v>[Service]</v>
      </c>
      <c r="BJ342" s="977" t="str">
        <f t="shared" si="504"/>
        <v>[Price]</v>
      </c>
      <c r="BK342" s="978" t="str">
        <f t="shared" ref="BK342:BU342" si="532">IF(V342="","-",IFERROR((V342/U342-1)*(U344/U$13),"-"))</f>
        <v>-</v>
      </c>
      <c r="BL342" s="978" t="str">
        <f t="shared" si="532"/>
        <v>-</v>
      </c>
      <c r="BM342" s="979" t="str">
        <f t="shared" si="532"/>
        <v>-</v>
      </c>
      <c r="BN342" s="979" t="str">
        <f t="shared" si="532"/>
        <v>-</v>
      </c>
      <c r="BO342" s="1352" t="str">
        <f t="shared" si="532"/>
        <v>-</v>
      </c>
      <c r="BP342" s="1345" t="str">
        <f t="shared" si="532"/>
        <v>-</v>
      </c>
      <c r="BQ342" s="979" t="str">
        <f t="shared" si="532"/>
        <v>-</v>
      </c>
      <c r="BR342" s="979" t="str">
        <f t="shared" si="532"/>
        <v>-</v>
      </c>
      <c r="BS342" s="979" t="str">
        <f t="shared" si="532"/>
        <v>-</v>
      </c>
      <c r="BT342" s="980" t="str">
        <f t="shared" si="532"/>
        <v>-</v>
      </c>
      <c r="BU342" s="979" t="str">
        <f t="shared" si="532"/>
        <v>-</v>
      </c>
      <c r="BV342" s="979" t="str">
        <f>IF(AG342="","-",IFERROR((AG342/AF342-1)*(AF344/AF$13),"-"))</f>
        <v>-</v>
      </c>
      <c r="BW342" s="979" t="str">
        <f>IF(AH342="","-",IFERROR((AH342/AG342-1)*(AG344/AG$13),"-"))</f>
        <v>-</v>
      </c>
      <c r="BX342" s="979" t="str">
        <f>IF(AI342="","-",IFERROR((AI342/AH342-1)*(AH344/AH$13),"-"))</f>
        <v>-</v>
      </c>
      <c r="BY342" s="981" t="str">
        <f>IF(AJ342="","-",IFERROR((AJ342/AI342-1)*(AI344/AI$13),"-"))</f>
        <v>-</v>
      </c>
      <c r="BZ342" s="951"/>
      <c r="CA342" s="975" t="str">
        <f t="shared" si="482"/>
        <v>Price</v>
      </c>
      <c r="CB342" s="976" t="str">
        <f t="shared" si="483"/>
        <v>[Service]</v>
      </c>
      <c r="CC342" s="982" t="str">
        <f t="shared" si="484"/>
        <v>[Price]</v>
      </c>
      <c r="CD342" s="983" t="str">
        <f t="shared" si="510"/>
        <v>-</v>
      </c>
      <c r="CE342" s="979" t="str">
        <f t="shared" si="510"/>
        <v>-</v>
      </c>
      <c r="CF342" s="979" t="str">
        <f t="shared" si="510"/>
        <v>-</v>
      </c>
      <c r="CG342" s="980" t="str">
        <f t="shared" si="506"/>
        <v>-</v>
      </c>
      <c r="CH342" s="979" t="str">
        <f t="shared" si="511"/>
        <v>-</v>
      </c>
      <c r="CI342" s="979" t="str">
        <f t="shared" si="511"/>
        <v>-</v>
      </c>
      <c r="CJ342" s="979" t="str">
        <f t="shared" si="511"/>
        <v>-</v>
      </c>
      <c r="CK342" s="981" t="str">
        <f t="shared" si="507"/>
        <v>-</v>
      </c>
    </row>
    <row r="343" spans="4:89">
      <c r="E343" s="567" t="s">
        <v>880</v>
      </c>
      <c r="F343" s="554" t="str">
        <f>+F342</f>
        <v>[Service]</v>
      </c>
      <c r="G343" s="555">
        <f>+G342</f>
        <v>0</v>
      </c>
      <c r="H343" s="555">
        <f>+H342</f>
        <v>0</v>
      </c>
      <c r="I343" s="556" t="str">
        <f>+I342</f>
        <v>[Price]</v>
      </c>
      <c r="J343" s="590" t="s">
        <v>916</v>
      </c>
      <c r="K343" s="557"/>
      <c r="L343" s="558"/>
      <c r="M343" s="558"/>
      <c r="N343" s="557"/>
      <c r="O343" s="558"/>
      <c r="P343" s="558"/>
      <c r="Q343" s="558"/>
      <c r="R343" s="1036"/>
      <c r="S343" s="1139"/>
      <c r="T343" s="593"/>
      <c r="U343" s="1036"/>
      <c r="V343" s="593"/>
      <c r="W343" s="593"/>
      <c r="X343" s="593"/>
      <c r="Y343" s="593"/>
      <c r="Z343" s="593"/>
      <c r="AA343" s="1139"/>
      <c r="AB343" s="593"/>
      <c r="AC343" s="593"/>
      <c r="AD343" s="593"/>
      <c r="AE343" s="1036"/>
      <c r="AF343" s="593"/>
      <c r="AG343" s="593"/>
      <c r="AH343" s="593"/>
      <c r="AI343" s="593"/>
      <c r="AJ343" s="594"/>
      <c r="AK343" s="548"/>
      <c r="AO343" s="961" t="str">
        <f t="shared" si="485"/>
        <v>Qty</v>
      </c>
      <c r="AP343" s="962" t="str">
        <f t="shared" si="485"/>
        <v>[Service]</v>
      </c>
      <c r="AQ343" s="963" t="str">
        <f t="shared" si="486"/>
        <v>[Price]</v>
      </c>
      <c r="AR343" s="967" t="str">
        <f t="shared" si="487"/>
        <v>-</v>
      </c>
      <c r="AS343" s="964" t="str">
        <f t="shared" si="488"/>
        <v>-</v>
      </c>
      <c r="AT343" s="964" t="str">
        <f t="shared" si="489"/>
        <v>-</v>
      </c>
      <c r="AU343" s="964" t="str">
        <f t="shared" si="490"/>
        <v>-</v>
      </c>
      <c r="AV343" s="1350" t="str">
        <f t="shared" si="491"/>
        <v>-</v>
      </c>
      <c r="AW343" s="1343" t="str">
        <f t="shared" si="492"/>
        <v>-</v>
      </c>
      <c r="AX343" s="964" t="str">
        <f t="shared" si="493"/>
        <v>-</v>
      </c>
      <c r="AY343" s="964" t="str">
        <f t="shared" si="494"/>
        <v>-</v>
      </c>
      <c r="AZ343" s="964" t="str">
        <f t="shared" si="495"/>
        <v>-</v>
      </c>
      <c r="BA343" s="965" t="str">
        <f t="shared" si="496"/>
        <v>-</v>
      </c>
      <c r="BB343" s="1343" t="str">
        <f t="shared" si="497"/>
        <v>-</v>
      </c>
      <c r="BC343" s="964" t="str">
        <f t="shared" si="498"/>
        <v>-</v>
      </c>
      <c r="BD343" s="964" t="str">
        <f t="shared" si="499"/>
        <v>-</v>
      </c>
      <c r="BE343" s="964" t="str">
        <f t="shared" si="500"/>
        <v>-</v>
      </c>
      <c r="BF343" s="966" t="str">
        <f t="shared" si="501"/>
        <v>-</v>
      </c>
      <c r="BG343" s="951"/>
      <c r="BH343" s="961" t="str">
        <f t="shared" si="502"/>
        <v>Qty</v>
      </c>
      <c r="BI343" s="962" t="str">
        <f t="shared" si="503"/>
        <v>[Service]</v>
      </c>
      <c r="BJ343" s="963" t="str">
        <f t="shared" si="504"/>
        <v>[Price]</v>
      </c>
      <c r="BK343" s="964" t="str">
        <f t="shared" ref="BK343:BU343" si="533">IF(V343="","-",IFERROR((V343/U343-1)*(U344/U$13),"-"))</f>
        <v>-</v>
      </c>
      <c r="BL343" s="964" t="str">
        <f t="shared" si="533"/>
        <v>-</v>
      </c>
      <c r="BM343" s="964" t="str">
        <f t="shared" si="533"/>
        <v>-</v>
      </c>
      <c r="BN343" s="964" t="str">
        <f t="shared" si="533"/>
        <v>-</v>
      </c>
      <c r="BO343" s="1350" t="str">
        <f t="shared" si="533"/>
        <v>-</v>
      </c>
      <c r="BP343" s="1343" t="str">
        <f t="shared" si="533"/>
        <v>-</v>
      </c>
      <c r="BQ343" s="964" t="str">
        <f t="shared" si="533"/>
        <v>-</v>
      </c>
      <c r="BR343" s="964" t="str">
        <f t="shared" si="533"/>
        <v>-</v>
      </c>
      <c r="BS343" s="964" t="str">
        <f t="shared" si="533"/>
        <v>-</v>
      </c>
      <c r="BT343" s="965" t="str">
        <f t="shared" si="533"/>
        <v>-</v>
      </c>
      <c r="BU343" s="964" t="str">
        <f t="shared" si="533"/>
        <v>-</v>
      </c>
      <c r="BV343" s="964" t="str">
        <f>IF(AG343="","-",IFERROR((AG343/AF343-1)*(AF344/AF$13),"-"))</f>
        <v>-</v>
      </c>
      <c r="BW343" s="964" t="str">
        <f>IF(AH343="","-",IFERROR((AH343/AG343-1)*(AG344/AG$13),"-"))</f>
        <v>-</v>
      </c>
      <c r="BX343" s="964" t="str">
        <f>IF(AI343="","-",IFERROR((AI343/AH343-1)*(AH344/AH$13),"-"))</f>
        <v>-</v>
      </c>
      <c r="BY343" s="966" t="str">
        <f>IF(AJ343="","-",IFERROR((AJ343/AI343-1)*(AI344/AI$13),"-"))</f>
        <v>-</v>
      </c>
      <c r="BZ343" s="951"/>
      <c r="CA343" s="961" t="str">
        <f t="shared" si="482"/>
        <v>Qty</v>
      </c>
      <c r="CB343" s="962" t="str">
        <f t="shared" si="483"/>
        <v>[Service]</v>
      </c>
      <c r="CC343" s="962" t="str">
        <f t="shared" si="484"/>
        <v>[Price]</v>
      </c>
      <c r="CD343" s="967" t="str">
        <f t="shared" si="510"/>
        <v>-</v>
      </c>
      <c r="CE343" s="964" t="str">
        <f t="shared" si="510"/>
        <v>-</v>
      </c>
      <c r="CF343" s="964" t="str">
        <f t="shared" si="510"/>
        <v>-</v>
      </c>
      <c r="CG343" s="965" t="str">
        <f t="shared" si="506"/>
        <v>-</v>
      </c>
      <c r="CH343" s="964" t="str">
        <f t="shared" si="511"/>
        <v>-</v>
      </c>
      <c r="CI343" s="964" t="str">
        <f t="shared" si="511"/>
        <v>-</v>
      </c>
      <c r="CJ343" s="964" t="str">
        <f t="shared" si="511"/>
        <v>-</v>
      </c>
      <c r="CK343" s="966" t="str">
        <f t="shared" si="507"/>
        <v>-</v>
      </c>
    </row>
    <row r="344" spans="4:89" ht="12.75" thickBot="1">
      <c r="E344" s="568" t="s">
        <v>882</v>
      </c>
      <c r="F344" s="560" t="str">
        <f>+F342</f>
        <v>[Service]</v>
      </c>
      <c r="G344" s="561">
        <f>+G342</f>
        <v>0</v>
      </c>
      <c r="H344" s="561">
        <f>+H342</f>
        <v>0</v>
      </c>
      <c r="I344" s="562" t="str">
        <f>+I342</f>
        <v>[Price]</v>
      </c>
      <c r="J344" s="563" t="s">
        <v>883</v>
      </c>
      <c r="K344" s="564">
        <f t="shared" ref="K344:AJ344" si="534">K342*K343/10^6</f>
        <v>0</v>
      </c>
      <c r="L344" s="565">
        <f t="shared" si="534"/>
        <v>0</v>
      </c>
      <c r="M344" s="565">
        <f t="shared" si="534"/>
        <v>0</v>
      </c>
      <c r="N344" s="564">
        <f t="shared" si="534"/>
        <v>0</v>
      </c>
      <c r="O344" s="565">
        <f t="shared" si="534"/>
        <v>0</v>
      </c>
      <c r="P344" s="565">
        <f t="shared" si="534"/>
        <v>0</v>
      </c>
      <c r="Q344" s="565">
        <f t="shared" si="534"/>
        <v>0</v>
      </c>
      <c r="R344" s="566">
        <f t="shared" si="534"/>
        <v>0</v>
      </c>
      <c r="S344" s="564">
        <f t="shared" si="534"/>
        <v>0</v>
      </c>
      <c r="T344" s="565">
        <f t="shared" si="534"/>
        <v>0</v>
      </c>
      <c r="U344" s="566">
        <f t="shared" si="534"/>
        <v>0</v>
      </c>
      <c r="V344" s="565">
        <f t="shared" si="534"/>
        <v>0</v>
      </c>
      <c r="W344" s="565">
        <f t="shared" si="534"/>
        <v>0</v>
      </c>
      <c r="X344" s="565">
        <f t="shared" si="534"/>
        <v>0</v>
      </c>
      <c r="Y344" s="565">
        <f t="shared" si="534"/>
        <v>0</v>
      </c>
      <c r="Z344" s="565">
        <f t="shared" si="534"/>
        <v>0</v>
      </c>
      <c r="AA344" s="564">
        <f t="shared" si="534"/>
        <v>0</v>
      </c>
      <c r="AB344" s="565">
        <f t="shared" si="534"/>
        <v>0</v>
      </c>
      <c r="AC344" s="565">
        <f t="shared" si="534"/>
        <v>0</v>
      </c>
      <c r="AD344" s="565">
        <f t="shared" si="534"/>
        <v>0</v>
      </c>
      <c r="AE344" s="566">
        <f t="shared" si="534"/>
        <v>0</v>
      </c>
      <c r="AF344" s="565">
        <f t="shared" si="534"/>
        <v>0</v>
      </c>
      <c r="AG344" s="565">
        <f>AG342*AG343/10^6</f>
        <v>0</v>
      </c>
      <c r="AH344" s="565">
        <f>AH342*AH343/10^6</f>
        <v>0</v>
      </c>
      <c r="AI344" s="565">
        <f>AI342*AI343/10^6</f>
        <v>0</v>
      </c>
      <c r="AJ344" s="566">
        <f t="shared" si="534"/>
        <v>0</v>
      </c>
      <c r="AK344" s="548"/>
      <c r="AO344" s="984" t="str">
        <f t="shared" si="485"/>
        <v>Rev</v>
      </c>
      <c r="AP344" s="985" t="str">
        <f t="shared" si="485"/>
        <v>[Service]</v>
      </c>
      <c r="AQ344" s="986" t="str">
        <f t="shared" si="486"/>
        <v>[Price]</v>
      </c>
      <c r="AR344" s="990" t="str">
        <f t="shared" si="487"/>
        <v>-</v>
      </c>
      <c r="AS344" s="987" t="str">
        <f t="shared" si="488"/>
        <v>-</v>
      </c>
      <c r="AT344" s="987" t="str">
        <f t="shared" si="489"/>
        <v>-</v>
      </c>
      <c r="AU344" s="987" t="str">
        <f t="shared" si="490"/>
        <v>-</v>
      </c>
      <c r="AV344" s="1353" t="str">
        <f t="shared" si="491"/>
        <v>-</v>
      </c>
      <c r="AW344" s="1346" t="str">
        <f t="shared" si="492"/>
        <v>-</v>
      </c>
      <c r="AX344" s="987" t="str">
        <f t="shared" si="493"/>
        <v>-</v>
      </c>
      <c r="AY344" s="987" t="str">
        <f t="shared" si="494"/>
        <v>-</v>
      </c>
      <c r="AZ344" s="987" t="str">
        <f t="shared" si="495"/>
        <v>-</v>
      </c>
      <c r="BA344" s="988" t="str">
        <f t="shared" si="496"/>
        <v>-</v>
      </c>
      <c r="BB344" s="1346" t="str">
        <f t="shared" si="497"/>
        <v>-</v>
      </c>
      <c r="BC344" s="987" t="str">
        <f t="shared" si="498"/>
        <v>-</v>
      </c>
      <c r="BD344" s="987" t="str">
        <f t="shared" si="499"/>
        <v>-</v>
      </c>
      <c r="BE344" s="987" t="str">
        <f t="shared" si="500"/>
        <v>-</v>
      </c>
      <c r="BF344" s="989" t="str">
        <f t="shared" si="501"/>
        <v>-</v>
      </c>
      <c r="BG344" s="951"/>
      <c r="BH344" s="984" t="str">
        <f t="shared" si="502"/>
        <v>Rev</v>
      </c>
      <c r="BI344" s="985" t="str">
        <f t="shared" si="503"/>
        <v>[Service]</v>
      </c>
      <c r="BJ344" s="986" t="str">
        <f t="shared" si="504"/>
        <v>[Price]</v>
      </c>
      <c r="BK344" s="987" t="str">
        <f t="shared" ref="BK344:BU344" si="535">IF(V344="","-",IFERROR((V344/U344-1)*(U344/U$13),"-"))</f>
        <v>-</v>
      </c>
      <c r="BL344" s="987" t="str">
        <f t="shared" si="535"/>
        <v>-</v>
      </c>
      <c r="BM344" s="987" t="str">
        <f t="shared" si="535"/>
        <v>-</v>
      </c>
      <c r="BN344" s="987" t="str">
        <f t="shared" si="535"/>
        <v>-</v>
      </c>
      <c r="BO344" s="1353" t="str">
        <f t="shared" si="535"/>
        <v>-</v>
      </c>
      <c r="BP344" s="1346" t="str">
        <f t="shared" si="535"/>
        <v>-</v>
      </c>
      <c r="BQ344" s="987" t="str">
        <f t="shared" si="535"/>
        <v>-</v>
      </c>
      <c r="BR344" s="987" t="str">
        <f t="shared" si="535"/>
        <v>-</v>
      </c>
      <c r="BS344" s="987" t="str">
        <f t="shared" si="535"/>
        <v>-</v>
      </c>
      <c r="BT344" s="988" t="str">
        <f t="shared" si="535"/>
        <v>-</v>
      </c>
      <c r="BU344" s="987" t="str">
        <f t="shared" si="535"/>
        <v>-</v>
      </c>
      <c r="BV344" s="987" t="str">
        <f>IF(AG344="","-",IFERROR((AG344/AF344-1)*(AF344/AF$13),"-"))</f>
        <v>-</v>
      </c>
      <c r="BW344" s="987" t="str">
        <f>IF(AH344="","-",IFERROR((AH344/AG344-1)*(AG344/AG$13),"-"))</f>
        <v>-</v>
      </c>
      <c r="BX344" s="987" t="str">
        <f>IF(AI344="","-",IFERROR((AI344/AH344-1)*(AH344/AH$13),"-"))</f>
        <v>-</v>
      </c>
      <c r="BY344" s="989" t="str">
        <f>IF(AJ344="","-",IFERROR((AJ344/AI344-1)*(AI344/AI$13),"-"))</f>
        <v>-</v>
      </c>
      <c r="BZ344" s="951"/>
      <c r="CA344" s="984" t="str">
        <f t="shared" si="482"/>
        <v>Rev</v>
      </c>
      <c r="CB344" s="985" t="str">
        <f t="shared" si="483"/>
        <v>[Service]</v>
      </c>
      <c r="CC344" s="985" t="str">
        <f t="shared" si="484"/>
        <v>[Price]</v>
      </c>
      <c r="CD344" s="990" t="str">
        <f t="shared" si="510"/>
        <v>-</v>
      </c>
      <c r="CE344" s="987" t="str">
        <f t="shared" si="510"/>
        <v>-</v>
      </c>
      <c r="CF344" s="987" t="str">
        <f t="shared" si="510"/>
        <v>-</v>
      </c>
      <c r="CG344" s="988" t="str">
        <f t="shared" si="506"/>
        <v>-</v>
      </c>
      <c r="CH344" s="987" t="str">
        <f t="shared" si="511"/>
        <v>-</v>
      </c>
      <c r="CI344" s="987" t="str">
        <f t="shared" si="511"/>
        <v>-</v>
      </c>
      <c r="CJ344" s="987" t="str">
        <f t="shared" si="511"/>
        <v>-</v>
      </c>
      <c r="CK344" s="989" t="str">
        <f t="shared" si="507"/>
        <v>-</v>
      </c>
    </row>
    <row r="345" spans="4:89">
      <c r="D345" s="63">
        <f>D342+1</f>
        <v>93</v>
      </c>
      <c r="E345" s="550" t="s">
        <v>857</v>
      </c>
      <c r="F345" s="595" t="s">
        <v>428</v>
      </c>
      <c r="G345" s="595"/>
      <c r="H345" s="595"/>
      <c r="I345" s="589" t="s">
        <v>920</v>
      </c>
      <c r="J345" s="589" t="s">
        <v>879</v>
      </c>
      <c r="K345" s="551"/>
      <c r="L345" s="552"/>
      <c r="M345" s="552"/>
      <c r="N345" s="551"/>
      <c r="O345" s="552"/>
      <c r="P345" s="552"/>
      <c r="Q345" s="552"/>
      <c r="R345" s="1035"/>
      <c r="S345" s="1138"/>
      <c r="T345" s="591"/>
      <c r="U345" s="1035"/>
      <c r="V345" s="591"/>
      <c r="W345" s="591"/>
      <c r="X345" s="591"/>
      <c r="Y345" s="591"/>
      <c r="Z345" s="591"/>
      <c r="AA345" s="1138"/>
      <c r="AB345" s="591"/>
      <c r="AC345" s="591"/>
      <c r="AD345" s="591"/>
      <c r="AE345" s="1035"/>
      <c r="AF345" s="591"/>
      <c r="AG345" s="591"/>
      <c r="AH345" s="591"/>
      <c r="AI345" s="591"/>
      <c r="AJ345" s="592"/>
      <c r="AK345" s="548"/>
      <c r="AM345" s="974"/>
      <c r="AO345" s="975" t="str">
        <f t="shared" si="485"/>
        <v>Price</v>
      </c>
      <c r="AP345" s="976" t="str">
        <f t="shared" si="485"/>
        <v>[Service]</v>
      </c>
      <c r="AQ345" s="977" t="str">
        <f t="shared" si="486"/>
        <v>[Price]</v>
      </c>
      <c r="AR345" s="1341" t="str">
        <f t="shared" si="487"/>
        <v>-</v>
      </c>
      <c r="AS345" s="978" t="str">
        <f t="shared" si="488"/>
        <v>-</v>
      </c>
      <c r="AT345" s="979" t="str">
        <f t="shared" si="489"/>
        <v>-</v>
      </c>
      <c r="AU345" s="979" t="str">
        <f t="shared" si="490"/>
        <v>-</v>
      </c>
      <c r="AV345" s="1352" t="str">
        <f t="shared" si="491"/>
        <v>-</v>
      </c>
      <c r="AW345" s="1345" t="str">
        <f t="shared" si="492"/>
        <v>-</v>
      </c>
      <c r="AX345" s="979" t="str">
        <f t="shared" si="493"/>
        <v>-</v>
      </c>
      <c r="AY345" s="979" t="str">
        <f t="shared" si="494"/>
        <v>-</v>
      </c>
      <c r="AZ345" s="979" t="str">
        <f t="shared" si="495"/>
        <v>-</v>
      </c>
      <c r="BA345" s="980" t="str">
        <f t="shared" si="496"/>
        <v>-</v>
      </c>
      <c r="BB345" s="1345" t="str">
        <f t="shared" si="497"/>
        <v>-</v>
      </c>
      <c r="BC345" s="979" t="str">
        <f t="shared" si="498"/>
        <v>-</v>
      </c>
      <c r="BD345" s="979" t="str">
        <f t="shared" si="499"/>
        <v>-</v>
      </c>
      <c r="BE345" s="979" t="str">
        <f t="shared" si="500"/>
        <v>-</v>
      </c>
      <c r="BF345" s="981" t="str">
        <f t="shared" si="501"/>
        <v>-</v>
      </c>
      <c r="BG345" s="951"/>
      <c r="BH345" s="975" t="str">
        <f t="shared" si="502"/>
        <v>Price</v>
      </c>
      <c r="BI345" s="976" t="str">
        <f t="shared" si="503"/>
        <v>[Service]</v>
      </c>
      <c r="BJ345" s="977" t="str">
        <f t="shared" si="504"/>
        <v>[Price]</v>
      </c>
      <c r="BK345" s="978" t="str">
        <f t="shared" ref="BK345:BU345" si="536">IF(V345="","-",IFERROR((V345/U345-1)*(U347/U$13),"-"))</f>
        <v>-</v>
      </c>
      <c r="BL345" s="978" t="str">
        <f t="shared" si="536"/>
        <v>-</v>
      </c>
      <c r="BM345" s="979" t="str">
        <f t="shared" si="536"/>
        <v>-</v>
      </c>
      <c r="BN345" s="979" t="str">
        <f t="shared" si="536"/>
        <v>-</v>
      </c>
      <c r="BO345" s="1352" t="str">
        <f t="shared" si="536"/>
        <v>-</v>
      </c>
      <c r="BP345" s="1345" t="str">
        <f t="shared" si="536"/>
        <v>-</v>
      </c>
      <c r="BQ345" s="979" t="str">
        <f t="shared" si="536"/>
        <v>-</v>
      </c>
      <c r="BR345" s="979" t="str">
        <f t="shared" si="536"/>
        <v>-</v>
      </c>
      <c r="BS345" s="979" t="str">
        <f t="shared" si="536"/>
        <v>-</v>
      </c>
      <c r="BT345" s="980" t="str">
        <f t="shared" si="536"/>
        <v>-</v>
      </c>
      <c r="BU345" s="979" t="str">
        <f t="shared" si="536"/>
        <v>-</v>
      </c>
      <c r="BV345" s="979" t="str">
        <f>IF(AG345="","-",IFERROR((AG345/AF345-1)*(AF347/AF$13),"-"))</f>
        <v>-</v>
      </c>
      <c r="BW345" s="979" t="str">
        <f>IF(AH345="","-",IFERROR((AH345/AG345-1)*(AG347/AG$13),"-"))</f>
        <v>-</v>
      </c>
      <c r="BX345" s="979" t="str">
        <f>IF(AI345="","-",IFERROR((AI345/AH345-1)*(AH347/AH$13),"-"))</f>
        <v>-</v>
      </c>
      <c r="BY345" s="981" t="str">
        <f>IF(AJ345="","-",IFERROR((AJ345/AI345-1)*(AI347/AI$13),"-"))</f>
        <v>-</v>
      </c>
      <c r="BZ345" s="951"/>
      <c r="CA345" s="975" t="str">
        <f t="shared" si="482"/>
        <v>Price</v>
      </c>
      <c r="CB345" s="976" t="str">
        <f t="shared" si="483"/>
        <v>[Service]</v>
      </c>
      <c r="CC345" s="982" t="str">
        <f t="shared" si="484"/>
        <v>[Price]</v>
      </c>
      <c r="CD345" s="983" t="str">
        <f t="shared" si="510"/>
        <v>-</v>
      </c>
      <c r="CE345" s="979" t="str">
        <f t="shared" si="510"/>
        <v>-</v>
      </c>
      <c r="CF345" s="979" t="str">
        <f t="shared" si="510"/>
        <v>-</v>
      </c>
      <c r="CG345" s="980" t="str">
        <f t="shared" si="506"/>
        <v>-</v>
      </c>
      <c r="CH345" s="979" t="str">
        <f t="shared" si="511"/>
        <v>-</v>
      </c>
      <c r="CI345" s="979" t="str">
        <f t="shared" si="511"/>
        <v>-</v>
      </c>
      <c r="CJ345" s="979" t="str">
        <f t="shared" si="511"/>
        <v>-</v>
      </c>
      <c r="CK345" s="981" t="str">
        <f t="shared" si="507"/>
        <v>-</v>
      </c>
    </row>
    <row r="346" spans="4:89">
      <c r="E346" s="567" t="s">
        <v>880</v>
      </c>
      <c r="F346" s="554" t="str">
        <f>+F345</f>
        <v>[Service]</v>
      </c>
      <c r="G346" s="555">
        <f>+G345</f>
        <v>0</v>
      </c>
      <c r="H346" s="555">
        <f>+H345</f>
        <v>0</v>
      </c>
      <c r="I346" s="556" t="str">
        <f>+I345</f>
        <v>[Price]</v>
      </c>
      <c r="J346" s="590" t="s">
        <v>916</v>
      </c>
      <c r="K346" s="557"/>
      <c r="L346" s="558"/>
      <c r="M346" s="558"/>
      <c r="N346" s="557"/>
      <c r="O346" s="558"/>
      <c r="P346" s="558"/>
      <c r="Q346" s="558"/>
      <c r="R346" s="1036"/>
      <c r="S346" s="1139"/>
      <c r="T346" s="593"/>
      <c r="U346" s="1036"/>
      <c r="V346" s="593"/>
      <c r="W346" s="593"/>
      <c r="X346" s="593"/>
      <c r="Y346" s="593"/>
      <c r="Z346" s="593"/>
      <c r="AA346" s="1139"/>
      <c r="AB346" s="593"/>
      <c r="AC346" s="593"/>
      <c r="AD346" s="593"/>
      <c r="AE346" s="1036"/>
      <c r="AF346" s="593"/>
      <c r="AG346" s="593"/>
      <c r="AH346" s="593"/>
      <c r="AI346" s="593"/>
      <c r="AJ346" s="594"/>
      <c r="AK346" s="548"/>
      <c r="AO346" s="961" t="str">
        <f t="shared" si="485"/>
        <v>Qty</v>
      </c>
      <c r="AP346" s="962" t="str">
        <f t="shared" si="485"/>
        <v>[Service]</v>
      </c>
      <c r="AQ346" s="963" t="str">
        <f t="shared" si="486"/>
        <v>[Price]</v>
      </c>
      <c r="AR346" s="967" t="str">
        <f t="shared" si="487"/>
        <v>-</v>
      </c>
      <c r="AS346" s="964" t="str">
        <f t="shared" si="488"/>
        <v>-</v>
      </c>
      <c r="AT346" s="964" t="str">
        <f t="shared" si="489"/>
        <v>-</v>
      </c>
      <c r="AU346" s="964" t="str">
        <f t="shared" si="490"/>
        <v>-</v>
      </c>
      <c r="AV346" s="1350" t="str">
        <f t="shared" si="491"/>
        <v>-</v>
      </c>
      <c r="AW346" s="1343" t="str">
        <f t="shared" si="492"/>
        <v>-</v>
      </c>
      <c r="AX346" s="964" t="str">
        <f t="shared" si="493"/>
        <v>-</v>
      </c>
      <c r="AY346" s="964" t="str">
        <f t="shared" si="494"/>
        <v>-</v>
      </c>
      <c r="AZ346" s="964" t="str">
        <f t="shared" si="495"/>
        <v>-</v>
      </c>
      <c r="BA346" s="965" t="str">
        <f t="shared" si="496"/>
        <v>-</v>
      </c>
      <c r="BB346" s="1343" t="str">
        <f t="shared" si="497"/>
        <v>-</v>
      </c>
      <c r="BC346" s="964" t="str">
        <f t="shared" si="498"/>
        <v>-</v>
      </c>
      <c r="BD346" s="964" t="str">
        <f t="shared" si="499"/>
        <v>-</v>
      </c>
      <c r="BE346" s="964" t="str">
        <f t="shared" si="500"/>
        <v>-</v>
      </c>
      <c r="BF346" s="966" t="str">
        <f t="shared" si="501"/>
        <v>-</v>
      </c>
      <c r="BG346" s="951"/>
      <c r="BH346" s="961" t="str">
        <f t="shared" si="502"/>
        <v>Qty</v>
      </c>
      <c r="BI346" s="962" t="str">
        <f t="shared" si="503"/>
        <v>[Service]</v>
      </c>
      <c r="BJ346" s="963" t="str">
        <f t="shared" si="504"/>
        <v>[Price]</v>
      </c>
      <c r="BK346" s="964" t="str">
        <f t="shared" ref="BK346:BU346" si="537">IF(V346="","-",IFERROR((V346/U346-1)*(U347/U$13),"-"))</f>
        <v>-</v>
      </c>
      <c r="BL346" s="964" t="str">
        <f t="shared" si="537"/>
        <v>-</v>
      </c>
      <c r="BM346" s="964" t="str">
        <f t="shared" si="537"/>
        <v>-</v>
      </c>
      <c r="BN346" s="964" t="str">
        <f t="shared" si="537"/>
        <v>-</v>
      </c>
      <c r="BO346" s="1350" t="str">
        <f t="shared" si="537"/>
        <v>-</v>
      </c>
      <c r="BP346" s="1343" t="str">
        <f t="shared" si="537"/>
        <v>-</v>
      </c>
      <c r="BQ346" s="964" t="str">
        <f t="shared" si="537"/>
        <v>-</v>
      </c>
      <c r="BR346" s="964" t="str">
        <f t="shared" si="537"/>
        <v>-</v>
      </c>
      <c r="BS346" s="964" t="str">
        <f t="shared" si="537"/>
        <v>-</v>
      </c>
      <c r="BT346" s="965" t="str">
        <f t="shared" si="537"/>
        <v>-</v>
      </c>
      <c r="BU346" s="964" t="str">
        <f t="shared" si="537"/>
        <v>-</v>
      </c>
      <c r="BV346" s="964" t="str">
        <f>IF(AG346="","-",IFERROR((AG346/AF346-1)*(AF347/AF$13),"-"))</f>
        <v>-</v>
      </c>
      <c r="BW346" s="964" t="str">
        <f>IF(AH346="","-",IFERROR((AH346/AG346-1)*(AG347/AG$13),"-"))</f>
        <v>-</v>
      </c>
      <c r="BX346" s="964" t="str">
        <f>IF(AI346="","-",IFERROR((AI346/AH346-1)*(AH347/AH$13),"-"))</f>
        <v>-</v>
      </c>
      <c r="BY346" s="966" t="str">
        <f>IF(AJ346="","-",IFERROR((AJ346/AI346-1)*(AI347/AI$13),"-"))</f>
        <v>-</v>
      </c>
      <c r="BZ346" s="951"/>
      <c r="CA346" s="961" t="str">
        <f t="shared" si="482"/>
        <v>Qty</v>
      </c>
      <c r="CB346" s="962" t="str">
        <f t="shared" si="483"/>
        <v>[Service]</v>
      </c>
      <c r="CC346" s="962" t="str">
        <f t="shared" si="484"/>
        <v>[Price]</v>
      </c>
      <c r="CD346" s="967" t="str">
        <f t="shared" si="510"/>
        <v>-</v>
      </c>
      <c r="CE346" s="964" t="str">
        <f t="shared" si="510"/>
        <v>-</v>
      </c>
      <c r="CF346" s="964" t="str">
        <f t="shared" si="510"/>
        <v>-</v>
      </c>
      <c r="CG346" s="965" t="str">
        <f t="shared" si="506"/>
        <v>-</v>
      </c>
      <c r="CH346" s="964" t="str">
        <f t="shared" si="511"/>
        <v>-</v>
      </c>
      <c r="CI346" s="964" t="str">
        <f t="shared" si="511"/>
        <v>-</v>
      </c>
      <c r="CJ346" s="964" t="str">
        <f t="shared" si="511"/>
        <v>-</v>
      </c>
      <c r="CK346" s="966" t="str">
        <f t="shared" si="507"/>
        <v>-</v>
      </c>
    </row>
    <row r="347" spans="4:89" ht="12.75" thickBot="1">
      <c r="E347" s="568" t="s">
        <v>882</v>
      </c>
      <c r="F347" s="560" t="str">
        <f>+F345</f>
        <v>[Service]</v>
      </c>
      <c r="G347" s="561">
        <f>+G345</f>
        <v>0</v>
      </c>
      <c r="H347" s="561">
        <f>+H345</f>
        <v>0</v>
      </c>
      <c r="I347" s="562" t="str">
        <f>+I345</f>
        <v>[Price]</v>
      </c>
      <c r="J347" s="563" t="s">
        <v>883</v>
      </c>
      <c r="K347" s="564">
        <f t="shared" ref="K347:AJ347" si="538">K345*K346/10^6</f>
        <v>0</v>
      </c>
      <c r="L347" s="565">
        <f t="shared" si="538"/>
        <v>0</v>
      </c>
      <c r="M347" s="565">
        <f t="shared" si="538"/>
        <v>0</v>
      </c>
      <c r="N347" s="564">
        <f t="shared" si="538"/>
        <v>0</v>
      </c>
      <c r="O347" s="565">
        <f t="shared" si="538"/>
        <v>0</v>
      </c>
      <c r="P347" s="565">
        <f t="shared" si="538"/>
        <v>0</v>
      </c>
      <c r="Q347" s="565">
        <f t="shared" si="538"/>
        <v>0</v>
      </c>
      <c r="R347" s="566">
        <f t="shared" si="538"/>
        <v>0</v>
      </c>
      <c r="S347" s="564">
        <f t="shared" si="538"/>
        <v>0</v>
      </c>
      <c r="T347" s="565">
        <f t="shared" si="538"/>
        <v>0</v>
      </c>
      <c r="U347" s="566">
        <f t="shared" si="538"/>
        <v>0</v>
      </c>
      <c r="V347" s="565">
        <f t="shared" si="538"/>
        <v>0</v>
      </c>
      <c r="W347" s="565">
        <f t="shared" si="538"/>
        <v>0</v>
      </c>
      <c r="X347" s="565">
        <f t="shared" si="538"/>
        <v>0</v>
      </c>
      <c r="Y347" s="565">
        <f t="shared" si="538"/>
        <v>0</v>
      </c>
      <c r="Z347" s="565">
        <f t="shared" si="538"/>
        <v>0</v>
      </c>
      <c r="AA347" s="564">
        <f t="shared" si="538"/>
        <v>0</v>
      </c>
      <c r="AB347" s="565">
        <f t="shared" si="538"/>
        <v>0</v>
      </c>
      <c r="AC347" s="565">
        <f t="shared" si="538"/>
        <v>0</v>
      </c>
      <c r="AD347" s="565">
        <f t="shared" si="538"/>
        <v>0</v>
      </c>
      <c r="AE347" s="566">
        <f t="shared" si="538"/>
        <v>0</v>
      </c>
      <c r="AF347" s="565">
        <f t="shared" si="538"/>
        <v>0</v>
      </c>
      <c r="AG347" s="565">
        <f>AG345*AG346/10^6</f>
        <v>0</v>
      </c>
      <c r="AH347" s="565">
        <f>AH345*AH346/10^6</f>
        <v>0</v>
      </c>
      <c r="AI347" s="565">
        <f>AI345*AI346/10^6</f>
        <v>0</v>
      </c>
      <c r="AJ347" s="566">
        <f t="shared" si="538"/>
        <v>0</v>
      </c>
      <c r="AK347" s="548"/>
      <c r="AO347" s="984" t="str">
        <f t="shared" si="485"/>
        <v>Rev</v>
      </c>
      <c r="AP347" s="985" t="str">
        <f t="shared" si="485"/>
        <v>[Service]</v>
      </c>
      <c r="AQ347" s="986" t="str">
        <f t="shared" si="486"/>
        <v>[Price]</v>
      </c>
      <c r="AR347" s="990" t="str">
        <f t="shared" si="487"/>
        <v>-</v>
      </c>
      <c r="AS347" s="987" t="str">
        <f t="shared" si="488"/>
        <v>-</v>
      </c>
      <c r="AT347" s="987" t="str">
        <f t="shared" si="489"/>
        <v>-</v>
      </c>
      <c r="AU347" s="987" t="str">
        <f t="shared" si="490"/>
        <v>-</v>
      </c>
      <c r="AV347" s="1353" t="str">
        <f t="shared" si="491"/>
        <v>-</v>
      </c>
      <c r="AW347" s="1346" t="str">
        <f t="shared" si="492"/>
        <v>-</v>
      </c>
      <c r="AX347" s="987" t="str">
        <f t="shared" si="493"/>
        <v>-</v>
      </c>
      <c r="AY347" s="987" t="str">
        <f t="shared" si="494"/>
        <v>-</v>
      </c>
      <c r="AZ347" s="987" t="str">
        <f t="shared" si="495"/>
        <v>-</v>
      </c>
      <c r="BA347" s="988" t="str">
        <f t="shared" si="496"/>
        <v>-</v>
      </c>
      <c r="BB347" s="1346" t="str">
        <f t="shared" si="497"/>
        <v>-</v>
      </c>
      <c r="BC347" s="987" t="str">
        <f t="shared" si="498"/>
        <v>-</v>
      </c>
      <c r="BD347" s="987" t="str">
        <f t="shared" si="499"/>
        <v>-</v>
      </c>
      <c r="BE347" s="987" t="str">
        <f t="shared" si="500"/>
        <v>-</v>
      </c>
      <c r="BF347" s="989" t="str">
        <f t="shared" si="501"/>
        <v>-</v>
      </c>
      <c r="BG347" s="951"/>
      <c r="BH347" s="984" t="str">
        <f t="shared" si="502"/>
        <v>Rev</v>
      </c>
      <c r="BI347" s="985" t="str">
        <f t="shared" si="503"/>
        <v>[Service]</v>
      </c>
      <c r="BJ347" s="986" t="str">
        <f t="shared" si="504"/>
        <v>[Price]</v>
      </c>
      <c r="BK347" s="987" t="str">
        <f t="shared" ref="BK347:BU347" si="539">IF(V347="","-",IFERROR((V347/U347-1)*(U347/U$13),"-"))</f>
        <v>-</v>
      </c>
      <c r="BL347" s="987" t="str">
        <f t="shared" si="539"/>
        <v>-</v>
      </c>
      <c r="BM347" s="987" t="str">
        <f t="shared" si="539"/>
        <v>-</v>
      </c>
      <c r="BN347" s="987" t="str">
        <f t="shared" si="539"/>
        <v>-</v>
      </c>
      <c r="BO347" s="1353" t="str">
        <f t="shared" si="539"/>
        <v>-</v>
      </c>
      <c r="BP347" s="1346" t="str">
        <f t="shared" si="539"/>
        <v>-</v>
      </c>
      <c r="BQ347" s="987" t="str">
        <f t="shared" si="539"/>
        <v>-</v>
      </c>
      <c r="BR347" s="987" t="str">
        <f t="shared" si="539"/>
        <v>-</v>
      </c>
      <c r="BS347" s="987" t="str">
        <f t="shared" si="539"/>
        <v>-</v>
      </c>
      <c r="BT347" s="988" t="str">
        <f t="shared" si="539"/>
        <v>-</v>
      </c>
      <c r="BU347" s="987" t="str">
        <f t="shared" si="539"/>
        <v>-</v>
      </c>
      <c r="BV347" s="987" t="str">
        <f>IF(AG347="","-",IFERROR((AG347/AF347-1)*(AF347/AF$13),"-"))</f>
        <v>-</v>
      </c>
      <c r="BW347" s="987" t="str">
        <f>IF(AH347="","-",IFERROR((AH347/AG347-1)*(AG347/AG$13),"-"))</f>
        <v>-</v>
      </c>
      <c r="BX347" s="987" t="str">
        <f>IF(AI347="","-",IFERROR((AI347/AH347-1)*(AH347/AH$13),"-"))</f>
        <v>-</v>
      </c>
      <c r="BY347" s="989" t="str">
        <f>IF(AJ347="","-",IFERROR((AJ347/AI347-1)*(AI347/AI$13),"-"))</f>
        <v>-</v>
      </c>
      <c r="BZ347" s="951"/>
      <c r="CA347" s="984" t="str">
        <f t="shared" si="482"/>
        <v>Rev</v>
      </c>
      <c r="CB347" s="985" t="str">
        <f t="shared" si="483"/>
        <v>[Service]</v>
      </c>
      <c r="CC347" s="985" t="str">
        <f t="shared" si="484"/>
        <v>[Price]</v>
      </c>
      <c r="CD347" s="990" t="str">
        <f t="shared" si="510"/>
        <v>-</v>
      </c>
      <c r="CE347" s="987" t="str">
        <f t="shared" si="510"/>
        <v>-</v>
      </c>
      <c r="CF347" s="987" t="str">
        <f t="shared" si="510"/>
        <v>-</v>
      </c>
      <c r="CG347" s="988" t="str">
        <f t="shared" si="506"/>
        <v>-</v>
      </c>
      <c r="CH347" s="987" t="str">
        <f t="shared" si="511"/>
        <v>-</v>
      </c>
      <c r="CI347" s="987" t="str">
        <f t="shared" si="511"/>
        <v>-</v>
      </c>
      <c r="CJ347" s="987" t="str">
        <f t="shared" si="511"/>
        <v>-</v>
      </c>
      <c r="CK347" s="989" t="str">
        <f t="shared" si="507"/>
        <v>-</v>
      </c>
    </row>
    <row r="348" spans="4:89">
      <c r="D348" s="63">
        <f>D345+1</f>
        <v>94</v>
      </c>
      <c r="E348" s="550" t="s">
        <v>857</v>
      </c>
      <c r="F348" s="595" t="s">
        <v>428</v>
      </c>
      <c r="G348" s="595"/>
      <c r="H348" s="595"/>
      <c r="I348" s="589" t="s">
        <v>920</v>
      </c>
      <c r="J348" s="589" t="s">
        <v>879</v>
      </c>
      <c r="K348" s="551"/>
      <c r="L348" s="552"/>
      <c r="M348" s="552"/>
      <c r="N348" s="551"/>
      <c r="O348" s="552"/>
      <c r="P348" s="552"/>
      <c r="Q348" s="552"/>
      <c r="R348" s="1035"/>
      <c r="S348" s="1138"/>
      <c r="T348" s="591"/>
      <c r="U348" s="1035"/>
      <c r="V348" s="591"/>
      <c r="W348" s="591"/>
      <c r="X348" s="591"/>
      <c r="Y348" s="591"/>
      <c r="Z348" s="591"/>
      <c r="AA348" s="1138"/>
      <c r="AB348" s="591"/>
      <c r="AC348" s="591"/>
      <c r="AD348" s="591"/>
      <c r="AE348" s="1035"/>
      <c r="AF348" s="591"/>
      <c r="AG348" s="591"/>
      <c r="AH348" s="591"/>
      <c r="AI348" s="591"/>
      <c r="AJ348" s="592"/>
      <c r="AK348" s="548"/>
      <c r="AM348" s="974"/>
      <c r="AO348" s="975" t="str">
        <f t="shared" si="485"/>
        <v>Price</v>
      </c>
      <c r="AP348" s="976" t="str">
        <f t="shared" si="485"/>
        <v>[Service]</v>
      </c>
      <c r="AQ348" s="977" t="str">
        <f t="shared" si="486"/>
        <v>[Price]</v>
      </c>
      <c r="AR348" s="1341" t="str">
        <f t="shared" si="487"/>
        <v>-</v>
      </c>
      <c r="AS348" s="978" t="str">
        <f t="shared" si="488"/>
        <v>-</v>
      </c>
      <c r="AT348" s="979" t="str">
        <f t="shared" si="489"/>
        <v>-</v>
      </c>
      <c r="AU348" s="979" t="str">
        <f t="shared" si="490"/>
        <v>-</v>
      </c>
      <c r="AV348" s="1352" t="str">
        <f t="shared" si="491"/>
        <v>-</v>
      </c>
      <c r="AW348" s="1345" t="str">
        <f t="shared" si="492"/>
        <v>-</v>
      </c>
      <c r="AX348" s="979" t="str">
        <f t="shared" si="493"/>
        <v>-</v>
      </c>
      <c r="AY348" s="979" t="str">
        <f t="shared" si="494"/>
        <v>-</v>
      </c>
      <c r="AZ348" s="979" t="str">
        <f t="shared" si="495"/>
        <v>-</v>
      </c>
      <c r="BA348" s="980" t="str">
        <f t="shared" si="496"/>
        <v>-</v>
      </c>
      <c r="BB348" s="1345" t="str">
        <f t="shared" si="497"/>
        <v>-</v>
      </c>
      <c r="BC348" s="979" t="str">
        <f t="shared" si="498"/>
        <v>-</v>
      </c>
      <c r="BD348" s="979" t="str">
        <f t="shared" si="499"/>
        <v>-</v>
      </c>
      <c r="BE348" s="979" t="str">
        <f t="shared" si="500"/>
        <v>-</v>
      </c>
      <c r="BF348" s="981" t="str">
        <f t="shared" si="501"/>
        <v>-</v>
      </c>
      <c r="BG348" s="951"/>
      <c r="BH348" s="975" t="str">
        <f t="shared" si="502"/>
        <v>Price</v>
      </c>
      <c r="BI348" s="976" t="str">
        <f t="shared" si="503"/>
        <v>[Service]</v>
      </c>
      <c r="BJ348" s="977" t="str">
        <f t="shared" si="504"/>
        <v>[Price]</v>
      </c>
      <c r="BK348" s="978" t="str">
        <f t="shared" ref="BK348:BU348" si="540">IF(V348="","-",IFERROR((V348/U348-1)*(U350/U$13),"-"))</f>
        <v>-</v>
      </c>
      <c r="BL348" s="978" t="str">
        <f t="shared" si="540"/>
        <v>-</v>
      </c>
      <c r="BM348" s="979" t="str">
        <f t="shared" si="540"/>
        <v>-</v>
      </c>
      <c r="BN348" s="979" t="str">
        <f t="shared" si="540"/>
        <v>-</v>
      </c>
      <c r="BO348" s="1352" t="str">
        <f t="shared" si="540"/>
        <v>-</v>
      </c>
      <c r="BP348" s="1345" t="str">
        <f t="shared" si="540"/>
        <v>-</v>
      </c>
      <c r="BQ348" s="979" t="str">
        <f t="shared" si="540"/>
        <v>-</v>
      </c>
      <c r="BR348" s="979" t="str">
        <f t="shared" si="540"/>
        <v>-</v>
      </c>
      <c r="BS348" s="979" t="str">
        <f t="shared" si="540"/>
        <v>-</v>
      </c>
      <c r="BT348" s="980" t="str">
        <f t="shared" si="540"/>
        <v>-</v>
      </c>
      <c r="BU348" s="979" t="str">
        <f t="shared" si="540"/>
        <v>-</v>
      </c>
      <c r="BV348" s="979" t="str">
        <f>IF(AG348="","-",IFERROR((AG348/AF348-1)*(AF350/AF$13),"-"))</f>
        <v>-</v>
      </c>
      <c r="BW348" s="979" t="str">
        <f>IF(AH348="","-",IFERROR((AH348/AG348-1)*(AG350/AG$13),"-"))</f>
        <v>-</v>
      </c>
      <c r="BX348" s="979" t="str">
        <f>IF(AI348="","-",IFERROR((AI348/AH348-1)*(AH350/AH$13),"-"))</f>
        <v>-</v>
      </c>
      <c r="BY348" s="981" t="str">
        <f>IF(AJ348="","-",IFERROR((AJ348/AI348-1)*(AI350/AI$13),"-"))</f>
        <v>-</v>
      </c>
      <c r="BZ348" s="951"/>
      <c r="CA348" s="975" t="str">
        <f t="shared" si="482"/>
        <v>Price</v>
      </c>
      <c r="CB348" s="976" t="str">
        <f t="shared" si="483"/>
        <v>[Service]</v>
      </c>
      <c r="CC348" s="982" t="str">
        <f t="shared" si="484"/>
        <v>[Price]</v>
      </c>
      <c r="CD348" s="983" t="str">
        <f t="shared" si="510"/>
        <v>-</v>
      </c>
      <c r="CE348" s="979" t="str">
        <f t="shared" si="510"/>
        <v>-</v>
      </c>
      <c r="CF348" s="979" t="str">
        <f t="shared" si="510"/>
        <v>-</v>
      </c>
      <c r="CG348" s="980" t="str">
        <f t="shared" si="506"/>
        <v>-</v>
      </c>
      <c r="CH348" s="979" t="str">
        <f t="shared" si="511"/>
        <v>-</v>
      </c>
      <c r="CI348" s="979" t="str">
        <f t="shared" si="511"/>
        <v>-</v>
      </c>
      <c r="CJ348" s="979" t="str">
        <f t="shared" si="511"/>
        <v>-</v>
      </c>
      <c r="CK348" s="981" t="str">
        <f t="shared" si="507"/>
        <v>-</v>
      </c>
    </row>
    <row r="349" spans="4:89">
      <c r="E349" s="567" t="s">
        <v>880</v>
      </c>
      <c r="F349" s="554" t="str">
        <f>+F348</f>
        <v>[Service]</v>
      </c>
      <c r="G349" s="555">
        <f>+G348</f>
        <v>0</v>
      </c>
      <c r="H349" s="555">
        <f>+H348</f>
        <v>0</v>
      </c>
      <c r="I349" s="556" t="str">
        <f>+I348</f>
        <v>[Price]</v>
      </c>
      <c r="J349" s="590" t="s">
        <v>916</v>
      </c>
      <c r="K349" s="557"/>
      <c r="L349" s="558"/>
      <c r="M349" s="558"/>
      <c r="N349" s="557"/>
      <c r="O349" s="558"/>
      <c r="P349" s="558"/>
      <c r="Q349" s="558"/>
      <c r="R349" s="1036"/>
      <c r="S349" s="1139"/>
      <c r="T349" s="593"/>
      <c r="U349" s="1036"/>
      <c r="V349" s="593"/>
      <c r="W349" s="593"/>
      <c r="X349" s="593"/>
      <c r="Y349" s="593"/>
      <c r="Z349" s="593"/>
      <c r="AA349" s="1139"/>
      <c r="AB349" s="593"/>
      <c r="AC349" s="593"/>
      <c r="AD349" s="593"/>
      <c r="AE349" s="1036"/>
      <c r="AF349" s="593"/>
      <c r="AG349" s="593"/>
      <c r="AH349" s="593"/>
      <c r="AI349" s="593"/>
      <c r="AJ349" s="594"/>
      <c r="AK349" s="548"/>
      <c r="AO349" s="961" t="str">
        <f t="shared" si="485"/>
        <v>Qty</v>
      </c>
      <c r="AP349" s="962" t="str">
        <f t="shared" si="485"/>
        <v>[Service]</v>
      </c>
      <c r="AQ349" s="963" t="str">
        <f t="shared" si="486"/>
        <v>[Price]</v>
      </c>
      <c r="AR349" s="967" t="str">
        <f t="shared" si="487"/>
        <v>-</v>
      </c>
      <c r="AS349" s="964" t="str">
        <f t="shared" si="488"/>
        <v>-</v>
      </c>
      <c r="AT349" s="964" t="str">
        <f t="shared" si="489"/>
        <v>-</v>
      </c>
      <c r="AU349" s="964" t="str">
        <f t="shared" si="490"/>
        <v>-</v>
      </c>
      <c r="AV349" s="1350" t="str">
        <f t="shared" si="491"/>
        <v>-</v>
      </c>
      <c r="AW349" s="1343" t="str">
        <f t="shared" si="492"/>
        <v>-</v>
      </c>
      <c r="AX349" s="964" t="str">
        <f t="shared" si="493"/>
        <v>-</v>
      </c>
      <c r="AY349" s="964" t="str">
        <f t="shared" si="494"/>
        <v>-</v>
      </c>
      <c r="AZ349" s="964" t="str">
        <f t="shared" si="495"/>
        <v>-</v>
      </c>
      <c r="BA349" s="965" t="str">
        <f t="shared" si="496"/>
        <v>-</v>
      </c>
      <c r="BB349" s="1343" t="str">
        <f t="shared" si="497"/>
        <v>-</v>
      </c>
      <c r="BC349" s="964" t="str">
        <f t="shared" si="498"/>
        <v>-</v>
      </c>
      <c r="BD349" s="964" t="str">
        <f t="shared" si="499"/>
        <v>-</v>
      </c>
      <c r="BE349" s="964" t="str">
        <f t="shared" si="500"/>
        <v>-</v>
      </c>
      <c r="BF349" s="966" t="str">
        <f t="shared" si="501"/>
        <v>-</v>
      </c>
      <c r="BG349" s="951"/>
      <c r="BH349" s="961" t="str">
        <f t="shared" si="502"/>
        <v>Qty</v>
      </c>
      <c r="BI349" s="962" t="str">
        <f t="shared" si="503"/>
        <v>[Service]</v>
      </c>
      <c r="BJ349" s="963" t="str">
        <f t="shared" si="504"/>
        <v>[Price]</v>
      </c>
      <c r="BK349" s="964" t="str">
        <f t="shared" ref="BK349:BU349" si="541">IF(V349="","-",IFERROR((V349/U349-1)*(U350/U$13),"-"))</f>
        <v>-</v>
      </c>
      <c r="BL349" s="964" t="str">
        <f t="shared" si="541"/>
        <v>-</v>
      </c>
      <c r="BM349" s="964" t="str">
        <f t="shared" si="541"/>
        <v>-</v>
      </c>
      <c r="BN349" s="964" t="str">
        <f t="shared" si="541"/>
        <v>-</v>
      </c>
      <c r="BO349" s="1350" t="str">
        <f t="shared" si="541"/>
        <v>-</v>
      </c>
      <c r="BP349" s="1343" t="str">
        <f t="shared" si="541"/>
        <v>-</v>
      </c>
      <c r="BQ349" s="964" t="str">
        <f t="shared" si="541"/>
        <v>-</v>
      </c>
      <c r="BR349" s="964" t="str">
        <f t="shared" si="541"/>
        <v>-</v>
      </c>
      <c r="BS349" s="964" t="str">
        <f t="shared" si="541"/>
        <v>-</v>
      </c>
      <c r="BT349" s="965" t="str">
        <f t="shared" si="541"/>
        <v>-</v>
      </c>
      <c r="BU349" s="964" t="str">
        <f t="shared" si="541"/>
        <v>-</v>
      </c>
      <c r="BV349" s="964" t="str">
        <f>IF(AG349="","-",IFERROR((AG349/AF349-1)*(AF350/AF$13),"-"))</f>
        <v>-</v>
      </c>
      <c r="BW349" s="964" t="str">
        <f>IF(AH349="","-",IFERROR((AH349/AG349-1)*(AG350/AG$13),"-"))</f>
        <v>-</v>
      </c>
      <c r="BX349" s="964" t="str">
        <f>IF(AI349="","-",IFERROR((AI349/AH349-1)*(AH350/AH$13),"-"))</f>
        <v>-</v>
      </c>
      <c r="BY349" s="966" t="str">
        <f>IF(AJ349="","-",IFERROR((AJ349/AI349-1)*(AI350/AI$13),"-"))</f>
        <v>-</v>
      </c>
      <c r="BZ349" s="951"/>
      <c r="CA349" s="961" t="str">
        <f t="shared" si="482"/>
        <v>Qty</v>
      </c>
      <c r="CB349" s="962" t="str">
        <f t="shared" si="483"/>
        <v>[Service]</v>
      </c>
      <c r="CC349" s="962" t="str">
        <f t="shared" si="484"/>
        <v>[Price]</v>
      </c>
      <c r="CD349" s="967" t="str">
        <f t="shared" si="510"/>
        <v>-</v>
      </c>
      <c r="CE349" s="964" t="str">
        <f t="shared" si="510"/>
        <v>-</v>
      </c>
      <c r="CF349" s="964" t="str">
        <f t="shared" si="510"/>
        <v>-</v>
      </c>
      <c r="CG349" s="965" t="str">
        <f t="shared" si="506"/>
        <v>-</v>
      </c>
      <c r="CH349" s="964" t="str">
        <f t="shared" si="511"/>
        <v>-</v>
      </c>
      <c r="CI349" s="964" t="str">
        <f t="shared" si="511"/>
        <v>-</v>
      </c>
      <c r="CJ349" s="964" t="str">
        <f t="shared" si="511"/>
        <v>-</v>
      </c>
      <c r="CK349" s="966" t="str">
        <f t="shared" si="507"/>
        <v>-</v>
      </c>
    </row>
    <row r="350" spans="4:89" ht="12.75" thickBot="1">
      <c r="E350" s="568" t="s">
        <v>882</v>
      </c>
      <c r="F350" s="560" t="str">
        <f>+F348</f>
        <v>[Service]</v>
      </c>
      <c r="G350" s="561">
        <f>+G348</f>
        <v>0</v>
      </c>
      <c r="H350" s="561">
        <f>+H348</f>
        <v>0</v>
      </c>
      <c r="I350" s="562" t="str">
        <f>+I348</f>
        <v>[Price]</v>
      </c>
      <c r="J350" s="563" t="s">
        <v>883</v>
      </c>
      <c r="K350" s="564">
        <f t="shared" ref="K350:AJ350" si="542">K348*K349/10^6</f>
        <v>0</v>
      </c>
      <c r="L350" s="565">
        <f t="shared" si="542"/>
        <v>0</v>
      </c>
      <c r="M350" s="565">
        <f t="shared" si="542"/>
        <v>0</v>
      </c>
      <c r="N350" s="564">
        <f t="shared" si="542"/>
        <v>0</v>
      </c>
      <c r="O350" s="565">
        <f t="shared" si="542"/>
        <v>0</v>
      </c>
      <c r="P350" s="565">
        <f t="shared" si="542"/>
        <v>0</v>
      </c>
      <c r="Q350" s="565">
        <f t="shared" si="542"/>
        <v>0</v>
      </c>
      <c r="R350" s="566">
        <f t="shared" si="542"/>
        <v>0</v>
      </c>
      <c r="S350" s="564">
        <f t="shared" si="542"/>
        <v>0</v>
      </c>
      <c r="T350" s="565">
        <f t="shared" si="542"/>
        <v>0</v>
      </c>
      <c r="U350" s="566">
        <f t="shared" si="542"/>
        <v>0</v>
      </c>
      <c r="V350" s="565">
        <f t="shared" si="542"/>
        <v>0</v>
      </c>
      <c r="W350" s="565">
        <f t="shared" si="542"/>
        <v>0</v>
      </c>
      <c r="X350" s="565">
        <f t="shared" si="542"/>
        <v>0</v>
      </c>
      <c r="Y350" s="565">
        <f t="shared" si="542"/>
        <v>0</v>
      </c>
      <c r="Z350" s="565">
        <f t="shared" si="542"/>
        <v>0</v>
      </c>
      <c r="AA350" s="564">
        <f t="shared" si="542"/>
        <v>0</v>
      </c>
      <c r="AB350" s="565">
        <f t="shared" si="542"/>
        <v>0</v>
      </c>
      <c r="AC350" s="565">
        <f t="shared" si="542"/>
        <v>0</v>
      </c>
      <c r="AD350" s="565">
        <f t="shared" si="542"/>
        <v>0</v>
      </c>
      <c r="AE350" s="566">
        <f t="shared" si="542"/>
        <v>0</v>
      </c>
      <c r="AF350" s="565">
        <f t="shared" si="542"/>
        <v>0</v>
      </c>
      <c r="AG350" s="565">
        <f>AG348*AG349/10^6</f>
        <v>0</v>
      </c>
      <c r="AH350" s="565">
        <f>AH348*AH349/10^6</f>
        <v>0</v>
      </c>
      <c r="AI350" s="565">
        <f>AI348*AI349/10^6</f>
        <v>0</v>
      </c>
      <c r="AJ350" s="566">
        <f t="shared" si="542"/>
        <v>0</v>
      </c>
      <c r="AK350" s="548"/>
      <c r="AO350" s="984" t="str">
        <f t="shared" si="485"/>
        <v>Rev</v>
      </c>
      <c r="AP350" s="985" t="str">
        <f t="shared" si="485"/>
        <v>[Service]</v>
      </c>
      <c r="AQ350" s="986" t="str">
        <f t="shared" si="486"/>
        <v>[Price]</v>
      </c>
      <c r="AR350" s="990" t="str">
        <f t="shared" si="487"/>
        <v>-</v>
      </c>
      <c r="AS350" s="987" t="str">
        <f t="shared" si="488"/>
        <v>-</v>
      </c>
      <c r="AT350" s="987" t="str">
        <f t="shared" si="489"/>
        <v>-</v>
      </c>
      <c r="AU350" s="987" t="str">
        <f t="shared" si="490"/>
        <v>-</v>
      </c>
      <c r="AV350" s="1353" t="str">
        <f t="shared" si="491"/>
        <v>-</v>
      </c>
      <c r="AW350" s="1346" t="str">
        <f t="shared" si="492"/>
        <v>-</v>
      </c>
      <c r="AX350" s="987" t="str">
        <f t="shared" si="493"/>
        <v>-</v>
      </c>
      <c r="AY350" s="987" t="str">
        <f t="shared" si="494"/>
        <v>-</v>
      </c>
      <c r="AZ350" s="987" t="str">
        <f t="shared" si="495"/>
        <v>-</v>
      </c>
      <c r="BA350" s="988" t="str">
        <f t="shared" si="496"/>
        <v>-</v>
      </c>
      <c r="BB350" s="1346" t="str">
        <f t="shared" si="497"/>
        <v>-</v>
      </c>
      <c r="BC350" s="987" t="str">
        <f t="shared" si="498"/>
        <v>-</v>
      </c>
      <c r="BD350" s="987" t="str">
        <f t="shared" si="499"/>
        <v>-</v>
      </c>
      <c r="BE350" s="987" t="str">
        <f t="shared" si="500"/>
        <v>-</v>
      </c>
      <c r="BF350" s="989" t="str">
        <f t="shared" si="501"/>
        <v>-</v>
      </c>
      <c r="BG350" s="951"/>
      <c r="BH350" s="984" t="str">
        <f t="shared" si="502"/>
        <v>Rev</v>
      </c>
      <c r="BI350" s="985" t="str">
        <f t="shared" si="503"/>
        <v>[Service]</v>
      </c>
      <c r="BJ350" s="986" t="str">
        <f t="shared" si="504"/>
        <v>[Price]</v>
      </c>
      <c r="BK350" s="987" t="str">
        <f t="shared" ref="BK350:BU350" si="543">IF(V350="","-",IFERROR((V350/U350-1)*(U350/U$13),"-"))</f>
        <v>-</v>
      </c>
      <c r="BL350" s="987" t="str">
        <f t="shared" si="543"/>
        <v>-</v>
      </c>
      <c r="BM350" s="987" t="str">
        <f t="shared" si="543"/>
        <v>-</v>
      </c>
      <c r="BN350" s="987" t="str">
        <f t="shared" si="543"/>
        <v>-</v>
      </c>
      <c r="BO350" s="1353" t="str">
        <f t="shared" si="543"/>
        <v>-</v>
      </c>
      <c r="BP350" s="1346" t="str">
        <f t="shared" si="543"/>
        <v>-</v>
      </c>
      <c r="BQ350" s="987" t="str">
        <f t="shared" si="543"/>
        <v>-</v>
      </c>
      <c r="BR350" s="987" t="str">
        <f t="shared" si="543"/>
        <v>-</v>
      </c>
      <c r="BS350" s="987" t="str">
        <f t="shared" si="543"/>
        <v>-</v>
      </c>
      <c r="BT350" s="988" t="str">
        <f t="shared" si="543"/>
        <v>-</v>
      </c>
      <c r="BU350" s="987" t="str">
        <f t="shared" si="543"/>
        <v>-</v>
      </c>
      <c r="BV350" s="987" t="str">
        <f>IF(AG350="","-",IFERROR((AG350/AF350-1)*(AF350/AF$13),"-"))</f>
        <v>-</v>
      </c>
      <c r="BW350" s="987" t="str">
        <f>IF(AH350="","-",IFERROR((AH350/AG350-1)*(AG350/AG$13),"-"))</f>
        <v>-</v>
      </c>
      <c r="BX350" s="987" t="str">
        <f>IF(AI350="","-",IFERROR((AI350/AH350-1)*(AH350/AH$13),"-"))</f>
        <v>-</v>
      </c>
      <c r="BY350" s="989" t="str">
        <f>IF(AJ350="","-",IFERROR((AJ350/AI350-1)*(AI350/AI$13),"-"))</f>
        <v>-</v>
      </c>
      <c r="BZ350" s="951"/>
      <c r="CA350" s="984" t="str">
        <f t="shared" si="482"/>
        <v>Rev</v>
      </c>
      <c r="CB350" s="985" t="str">
        <f t="shared" si="483"/>
        <v>[Service]</v>
      </c>
      <c r="CC350" s="985" t="str">
        <f t="shared" si="484"/>
        <v>[Price]</v>
      </c>
      <c r="CD350" s="990" t="str">
        <f t="shared" si="510"/>
        <v>-</v>
      </c>
      <c r="CE350" s="987" t="str">
        <f t="shared" si="510"/>
        <v>-</v>
      </c>
      <c r="CF350" s="987" t="str">
        <f t="shared" si="510"/>
        <v>-</v>
      </c>
      <c r="CG350" s="988" t="str">
        <f t="shared" si="506"/>
        <v>-</v>
      </c>
      <c r="CH350" s="987" t="str">
        <f t="shared" si="511"/>
        <v>-</v>
      </c>
      <c r="CI350" s="987" t="str">
        <f t="shared" si="511"/>
        <v>-</v>
      </c>
      <c r="CJ350" s="987" t="str">
        <f t="shared" si="511"/>
        <v>-</v>
      </c>
      <c r="CK350" s="989" t="str">
        <f t="shared" si="507"/>
        <v>-</v>
      </c>
    </row>
    <row r="351" spans="4:89">
      <c r="D351" s="63">
        <f>D348+1</f>
        <v>95</v>
      </c>
      <c r="E351" s="550" t="s">
        <v>857</v>
      </c>
      <c r="F351" s="595" t="s">
        <v>428</v>
      </c>
      <c r="G351" s="595"/>
      <c r="H351" s="595"/>
      <c r="I351" s="589" t="s">
        <v>920</v>
      </c>
      <c r="J351" s="589" t="s">
        <v>879</v>
      </c>
      <c r="K351" s="551"/>
      <c r="L351" s="552"/>
      <c r="M351" s="552"/>
      <c r="N351" s="551"/>
      <c r="O351" s="552"/>
      <c r="P351" s="552"/>
      <c r="Q351" s="552"/>
      <c r="R351" s="1035"/>
      <c r="S351" s="1138"/>
      <c r="T351" s="591"/>
      <c r="U351" s="1035"/>
      <c r="V351" s="591"/>
      <c r="W351" s="591"/>
      <c r="X351" s="591"/>
      <c r="Y351" s="591"/>
      <c r="Z351" s="591"/>
      <c r="AA351" s="1138"/>
      <c r="AB351" s="591"/>
      <c r="AC351" s="591"/>
      <c r="AD351" s="591"/>
      <c r="AE351" s="1035"/>
      <c r="AF351" s="591"/>
      <c r="AG351" s="591"/>
      <c r="AH351" s="591"/>
      <c r="AI351" s="591"/>
      <c r="AJ351" s="592"/>
      <c r="AK351" s="548"/>
      <c r="AM351" s="974"/>
      <c r="AO351" s="975" t="str">
        <f t="shared" si="485"/>
        <v>Price</v>
      </c>
      <c r="AP351" s="976" t="str">
        <f t="shared" si="485"/>
        <v>[Service]</v>
      </c>
      <c r="AQ351" s="977" t="str">
        <f t="shared" si="486"/>
        <v>[Price]</v>
      </c>
      <c r="AR351" s="1341" t="str">
        <f t="shared" si="487"/>
        <v>-</v>
      </c>
      <c r="AS351" s="978" t="str">
        <f t="shared" si="488"/>
        <v>-</v>
      </c>
      <c r="AT351" s="979" t="str">
        <f t="shared" si="489"/>
        <v>-</v>
      </c>
      <c r="AU351" s="979" t="str">
        <f t="shared" si="490"/>
        <v>-</v>
      </c>
      <c r="AV351" s="1352" t="str">
        <f t="shared" si="491"/>
        <v>-</v>
      </c>
      <c r="AW351" s="1345" t="str">
        <f t="shared" si="492"/>
        <v>-</v>
      </c>
      <c r="AX351" s="979" t="str">
        <f t="shared" si="493"/>
        <v>-</v>
      </c>
      <c r="AY351" s="979" t="str">
        <f t="shared" si="494"/>
        <v>-</v>
      </c>
      <c r="AZ351" s="979" t="str">
        <f t="shared" si="495"/>
        <v>-</v>
      </c>
      <c r="BA351" s="980" t="str">
        <f t="shared" si="496"/>
        <v>-</v>
      </c>
      <c r="BB351" s="1345" t="str">
        <f t="shared" si="497"/>
        <v>-</v>
      </c>
      <c r="BC351" s="979" t="str">
        <f t="shared" si="498"/>
        <v>-</v>
      </c>
      <c r="BD351" s="979" t="str">
        <f t="shared" si="499"/>
        <v>-</v>
      </c>
      <c r="BE351" s="979" t="str">
        <f t="shared" si="500"/>
        <v>-</v>
      </c>
      <c r="BF351" s="981" t="str">
        <f t="shared" si="501"/>
        <v>-</v>
      </c>
      <c r="BG351" s="951"/>
      <c r="BH351" s="975" t="str">
        <f t="shared" si="502"/>
        <v>Price</v>
      </c>
      <c r="BI351" s="976" t="str">
        <f t="shared" si="503"/>
        <v>[Service]</v>
      </c>
      <c r="BJ351" s="977" t="str">
        <f t="shared" si="504"/>
        <v>[Price]</v>
      </c>
      <c r="BK351" s="978" t="str">
        <f t="shared" ref="BK351:BU351" si="544">IF(V351="","-",IFERROR((V351/U351-1)*(U353/U$13),"-"))</f>
        <v>-</v>
      </c>
      <c r="BL351" s="978" t="str">
        <f t="shared" si="544"/>
        <v>-</v>
      </c>
      <c r="BM351" s="979" t="str">
        <f t="shared" si="544"/>
        <v>-</v>
      </c>
      <c r="BN351" s="979" t="str">
        <f t="shared" si="544"/>
        <v>-</v>
      </c>
      <c r="BO351" s="1352" t="str">
        <f t="shared" si="544"/>
        <v>-</v>
      </c>
      <c r="BP351" s="1345" t="str">
        <f t="shared" si="544"/>
        <v>-</v>
      </c>
      <c r="BQ351" s="979" t="str">
        <f t="shared" si="544"/>
        <v>-</v>
      </c>
      <c r="BR351" s="979" t="str">
        <f t="shared" si="544"/>
        <v>-</v>
      </c>
      <c r="BS351" s="979" t="str">
        <f t="shared" si="544"/>
        <v>-</v>
      </c>
      <c r="BT351" s="980" t="str">
        <f t="shared" si="544"/>
        <v>-</v>
      </c>
      <c r="BU351" s="979" t="str">
        <f t="shared" si="544"/>
        <v>-</v>
      </c>
      <c r="BV351" s="979" t="str">
        <f>IF(AG351="","-",IFERROR((AG351/AF351-1)*(AF353/AF$13),"-"))</f>
        <v>-</v>
      </c>
      <c r="BW351" s="979" t="str">
        <f>IF(AH351="","-",IFERROR((AH351/AG351-1)*(AG353/AG$13),"-"))</f>
        <v>-</v>
      </c>
      <c r="BX351" s="979" t="str">
        <f>IF(AI351="","-",IFERROR((AI351/AH351-1)*(AH353/AH$13),"-"))</f>
        <v>-</v>
      </c>
      <c r="BY351" s="981" t="str">
        <f>IF(AJ351="","-",IFERROR((AJ351/AI351-1)*(AI353/AI$13),"-"))</f>
        <v>-</v>
      </c>
      <c r="BZ351" s="951"/>
      <c r="CA351" s="975" t="str">
        <f t="shared" si="482"/>
        <v>Price</v>
      </c>
      <c r="CB351" s="976" t="str">
        <f t="shared" si="483"/>
        <v>[Service]</v>
      </c>
      <c r="CC351" s="982" t="str">
        <f t="shared" si="484"/>
        <v>[Price]</v>
      </c>
      <c r="CD351" s="983" t="str">
        <f t="shared" si="510"/>
        <v>-</v>
      </c>
      <c r="CE351" s="979" t="str">
        <f t="shared" si="510"/>
        <v>-</v>
      </c>
      <c r="CF351" s="979" t="str">
        <f t="shared" si="510"/>
        <v>-</v>
      </c>
      <c r="CG351" s="980" t="str">
        <f t="shared" si="506"/>
        <v>-</v>
      </c>
      <c r="CH351" s="979" t="str">
        <f t="shared" si="511"/>
        <v>-</v>
      </c>
      <c r="CI351" s="979" t="str">
        <f t="shared" si="511"/>
        <v>-</v>
      </c>
      <c r="CJ351" s="979" t="str">
        <f t="shared" si="511"/>
        <v>-</v>
      </c>
      <c r="CK351" s="981" t="str">
        <f t="shared" si="507"/>
        <v>-</v>
      </c>
    </row>
    <row r="352" spans="4:89">
      <c r="E352" s="567" t="s">
        <v>880</v>
      </c>
      <c r="F352" s="554" t="str">
        <f>+F351</f>
        <v>[Service]</v>
      </c>
      <c r="G352" s="555">
        <f>+G351</f>
        <v>0</v>
      </c>
      <c r="H352" s="555">
        <f>+H351</f>
        <v>0</v>
      </c>
      <c r="I352" s="556" t="str">
        <f>+I351</f>
        <v>[Price]</v>
      </c>
      <c r="J352" s="590" t="s">
        <v>916</v>
      </c>
      <c r="K352" s="557"/>
      <c r="L352" s="558"/>
      <c r="M352" s="558"/>
      <c r="N352" s="557"/>
      <c r="O352" s="558"/>
      <c r="P352" s="558"/>
      <c r="Q352" s="558"/>
      <c r="R352" s="1036"/>
      <c r="S352" s="1139"/>
      <c r="T352" s="593"/>
      <c r="U352" s="1036"/>
      <c r="V352" s="593"/>
      <c r="W352" s="593"/>
      <c r="X352" s="593"/>
      <c r="Y352" s="593"/>
      <c r="Z352" s="593"/>
      <c r="AA352" s="1139"/>
      <c r="AB352" s="593"/>
      <c r="AC352" s="593"/>
      <c r="AD352" s="593"/>
      <c r="AE352" s="1036"/>
      <c r="AF352" s="593"/>
      <c r="AG352" s="593"/>
      <c r="AH352" s="593"/>
      <c r="AI352" s="593"/>
      <c r="AJ352" s="594"/>
      <c r="AK352" s="548"/>
      <c r="AO352" s="961" t="str">
        <f t="shared" si="485"/>
        <v>Qty</v>
      </c>
      <c r="AP352" s="962" t="str">
        <f t="shared" si="485"/>
        <v>[Service]</v>
      </c>
      <c r="AQ352" s="963" t="str">
        <f t="shared" si="486"/>
        <v>[Price]</v>
      </c>
      <c r="AR352" s="967" t="str">
        <f t="shared" si="487"/>
        <v>-</v>
      </c>
      <c r="AS352" s="964" t="str">
        <f t="shared" si="488"/>
        <v>-</v>
      </c>
      <c r="AT352" s="964" t="str">
        <f t="shared" si="489"/>
        <v>-</v>
      </c>
      <c r="AU352" s="964" t="str">
        <f t="shared" si="490"/>
        <v>-</v>
      </c>
      <c r="AV352" s="1350" t="str">
        <f t="shared" si="491"/>
        <v>-</v>
      </c>
      <c r="AW352" s="1343" t="str">
        <f t="shared" si="492"/>
        <v>-</v>
      </c>
      <c r="AX352" s="964" t="str">
        <f t="shared" si="493"/>
        <v>-</v>
      </c>
      <c r="AY352" s="964" t="str">
        <f t="shared" si="494"/>
        <v>-</v>
      </c>
      <c r="AZ352" s="964" t="str">
        <f t="shared" si="495"/>
        <v>-</v>
      </c>
      <c r="BA352" s="965" t="str">
        <f t="shared" si="496"/>
        <v>-</v>
      </c>
      <c r="BB352" s="1343" t="str">
        <f t="shared" si="497"/>
        <v>-</v>
      </c>
      <c r="BC352" s="964" t="str">
        <f t="shared" si="498"/>
        <v>-</v>
      </c>
      <c r="BD352" s="964" t="str">
        <f t="shared" si="499"/>
        <v>-</v>
      </c>
      <c r="BE352" s="964" t="str">
        <f t="shared" si="500"/>
        <v>-</v>
      </c>
      <c r="BF352" s="966" t="str">
        <f t="shared" si="501"/>
        <v>-</v>
      </c>
      <c r="BG352" s="951"/>
      <c r="BH352" s="961" t="str">
        <f t="shared" si="502"/>
        <v>Qty</v>
      </c>
      <c r="BI352" s="962" t="str">
        <f t="shared" si="503"/>
        <v>[Service]</v>
      </c>
      <c r="BJ352" s="963" t="str">
        <f t="shared" si="504"/>
        <v>[Price]</v>
      </c>
      <c r="BK352" s="964" t="str">
        <f t="shared" ref="BK352:BU352" si="545">IF(V352="","-",IFERROR((V352/U352-1)*(U353/U$13),"-"))</f>
        <v>-</v>
      </c>
      <c r="BL352" s="964" t="str">
        <f t="shared" si="545"/>
        <v>-</v>
      </c>
      <c r="BM352" s="964" t="str">
        <f t="shared" si="545"/>
        <v>-</v>
      </c>
      <c r="BN352" s="964" t="str">
        <f t="shared" si="545"/>
        <v>-</v>
      </c>
      <c r="BO352" s="1350" t="str">
        <f t="shared" si="545"/>
        <v>-</v>
      </c>
      <c r="BP352" s="1343" t="str">
        <f t="shared" si="545"/>
        <v>-</v>
      </c>
      <c r="BQ352" s="964" t="str">
        <f t="shared" si="545"/>
        <v>-</v>
      </c>
      <c r="BR352" s="964" t="str">
        <f t="shared" si="545"/>
        <v>-</v>
      </c>
      <c r="BS352" s="964" t="str">
        <f t="shared" si="545"/>
        <v>-</v>
      </c>
      <c r="BT352" s="965" t="str">
        <f t="shared" si="545"/>
        <v>-</v>
      </c>
      <c r="BU352" s="964" t="str">
        <f t="shared" si="545"/>
        <v>-</v>
      </c>
      <c r="BV352" s="964" t="str">
        <f>IF(AG352="","-",IFERROR((AG352/AF352-1)*(AF353/AF$13),"-"))</f>
        <v>-</v>
      </c>
      <c r="BW352" s="964" t="str">
        <f>IF(AH352="","-",IFERROR((AH352/AG352-1)*(AG353/AG$13),"-"))</f>
        <v>-</v>
      </c>
      <c r="BX352" s="964" t="str">
        <f>IF(AI352="","-",IFERROR((AI352/AH352-1)*(AH353/AH$13),"-"))</f>
        <v>-</v>
      </c>
      <c r="BY352" s="966" t="str">
        <f>IF(AJ352="","-",IFERROR((AJ352/AI352-1)*(AI353/AI$13),"-"))</f>
        <v>-</v>
      </c>
      <c r="BZ352" s="951"/>
      <c r="CA352" s="961" t="str">
        <f t="shared" si="482"/>
        <v>Qty</v>
      </c>
      <c r="CB352" s="962" t="str">
        <f t="shared" si="483"/>
        <v>[Service]</v>
      </c>
      <c r="CC352" s="962" t="str">
        <f t="shared" si="484"/>
        <v>[Price]</v>
      </c>
      <c r="CD352" s="967" t="str">
        <f t="shared" si="510"/>
        <v>-</v>
      </c>
      <c r="CE352" s="964" t="str">
        <f t="shared" si="510"/>
        <v>-</v>
      </c>
      <c r="CF352" s="964" t="str">
        <f t="shared" si="510"/>
        <v>-</v>
      </c>
      <c r="CG352" s="965" t="str">
        <f t="shared" si="506"/>
        <v>-</v>
      </c>
      <c r="CH352" s="964" t="str">
        <f t="shared" si="511"/>
        <v>-</v>
      </c>
      <c r="CI352" s="964" t="str">
        <f t="shared" si="511"/>
        <v>-</v>
      </c>
      <c r="CJ352" s="964" t="str">
        <f t="shared" si="511"/>
        <v>-</v>
      </c>
      <c r="CK352" s="966" t="str">
        <f t="shared" si="507"/>
        <v>-</v>
      </c>
    </row>
    <row r="353" spans="4:89" ht="12.75" thickBot="1">
      <c r="E353" s="568" t="s">
        <v>882</v>
      </c>
      <c r="F353" s="560" t="str">
        <f>+F351</f>
        <v>[Service]</v>
      </c>
      <c r="G353" s="561">
        <f>+G351</f>
        <v>0</v>
      </c>
      <c r="H353" s="561">
        <f>+H351</f>
        <v>0</v>
      </c>
      <c r="I353" s="562" t="str">
        <f>+I351</f>
        <v>[Price]</v>
      </c>
      <c r="J353" s="563" t="s">
        <v>883</v>
      </c>
      <c r="K353" s="564">
        <f t="shared" ref="K353:AJ353" si="546">K351*K352/10^6</f>
        <v>0</v>
      </c>
      <c r="L353" s="565">
        <f t="shared" si="546"/>
        <v>0</v>
      </c>
      <c r="M353" s="565">
        <f t="shared" si="546"/>
        <v>0</v>
      </c>
      <c r="N353" s="564">
        <f t="shared" si="546"/>
        <v>0</v>
      </c>
      <c r="O353" s="565">
        <f t="shared" si="546"/>
        <v>0</v>
      </c>
      <c r="P353" s="565">
        <f t="shared" si="546"/>
        <v>0</v>
      </c>
      <c r="Q353" s="565">
        <f t="shared" si="546"/>
        <v>0</v>
      </c>
      <c r="R353" s="566">
        <f t="shared" si="546"/>
        <v>0</v>
      </c>
      <c r="S353" s="564">
        <f t="shared" si="546"/>
        <v>0</v>
      </c>
      <c r="T353" s="565">
        <f t="shared" si="546"/>
        <v>0</v>
      </c>
      <c r="U353" s="566">
        <f t="shared" si="546"/>
        <v>0</v>
      </c>
      <c r="V353" s="565">
        <f t="shared" si="546"/>
        <v>0</v>
      </c>
      <c r="W353" s="565">
        <f t="shared" si="546"/>
        <v>0</v>
      </c>
      <c r="X353" s="565">
        <f t="shared" si="546"/>
        <v>0</v>
      </c>
      <c r="Y353" s="565">
        <f t="shared" si="546"/>
        <v>0</v>
      </c>
      <c r="Z353" s="565">
        <f t="shared" si="546"/>
        <v>0</v>
      </c>
      <c r="AA353" s="564">
        <f t="shared" si="546"/>
        <v>0</v>
      </c>
      <c r="AB353" s="565">
        <f t="shared" si="546"/>
        <v>0</v>
      </c>
      <c r="AC353" s="565">
        <f t="shared" si="546"/>
        <v>0</v>
      </c>
      <c r="AD353" s="565">
        <f t="shared" si="546"/>
        <v>0</v>
      </c>
      <c r="AE353" s="566">
        <f t="shared" si="546"/>
        <v>0</v>
      </c>
      <c r="AF353" s="565">
        <f t="shared" si="546"/>
        <v>0</v>
      </c>
      <c r="AG353" s="565">
        <f>AG351*AG352/10^6</f>
        <v>0</v>
      </c>
      <c r="AH353" s="565">
        <f>AH351*AH352/10^6</f>
        <v>0</v>
      </c>
      <c r="AI353" s="565">
        <f>AI351*AI352/10^6</f>
        <v>0</v>
      </c>
      <c r="AJ353" s="566">
        <f t="shared" si="546"/>
        <v>0</v>
      </c>
      <c r="AK353" s="548"/>
      <c r="AO353" s="984" t="str">
        <f t="shared" si="485"/>
        <v>Rev</v>
      </c>
      <c r="AP353" s="985" t="str">
        <f t="shared" si="485"/>
        <v>[Service]</v>
      </c>
      <c r="AQ353" s="986" t="str">
        <f t="shared" si="486"/>
        <v>[Price]</v>
      </c>
      <c r="AR353" s="990" t="str">
        <f t="shared" si="487"/>
        <v>-</v>
      </c>
      <c r="AS353" s="987" t="str">
        <f t="shared" si="488"/>
        <v>-</v>
      </c>
      <c r="AT353" s="987" t="str">
        <f t="shared" si="489"/>
        <v>-</v>
      </c>
      <c r="AU353" s="987" t="str">
        <f t="shared" si="490"/>
        <v>-</v>
      </c>
      <c r="AV353" s="1353" t="str">
        <f t="shared" si="491"/>
        <v>-</v>
      </c>
      <c r="AW353" s="1346" t="str">
        <f t="shared" si="492"/>
        <v>-</v>
      </c>
      <c r="AX353" s="987" t="str">
        <f t="shared" si="493"/>
        <v>-</v>
      </c>
      <c r="AY353" s="987" t="str">
        <f t="shared" si="494"/>
        <v>-</v>
      </c>
      <c r="AZ353" s="987" t="str">
        <f t="shared" si="495"/>
        <v>-</v>
      </c>
      <c r="BA353" s="988" t="str">
        <f t="shared" si="496"/>
        <v>-</v>
      </c>
      <c r="BB353" s="1346" t="str">
        <f t="shared" si="497"/>
        <v>-</v>
      </c>
      <c r="BC353" s="987" t="str">
        <f t="shared" si="498"/>
        <v>-</v>
      </c>
      <c r="BD353" s="987" t="str">
        <f t="shared" si="499"/>
        <v>-</v>
      </c>
      <c r="BE353" s="987" t="str">
        <f t="shared" si="500"/>
        <v>-</v>
      </c>
      <c r="BF353" s="989" t="str">
        <f t="shared" si="501"/>
        <v>-</v>
      </c>
      <c r="BG353" s="951"/>
      <c r="BH353" s="984" t="str">
        <f t="shared" si="502"/>
        <v>Rev</v>
      </c>
      <c r="BI353" s="985" t="str">
        <f t="shared" si="503"/>
        <v>[Service]</v>
      </c>
      <c r="BJ353" s="986" t="str">
        <f t="shared" si="504"/>
        <v>[Price]</v>
      </c>
      <c r="BK353" s="987" t="str">
        <f t="shared" ref="BK353:BU353" si="547">IF(V353="","-",IFERROR((V353/U353-1)*(U353/U$13),"-"))</f>
        <v>-</v>
      </c>
      <c r="BL353" s="987" t="str">
        <f t="shared" si="547"/>
        <v>-</v>
      </c>
      <c r="BM353" s="987" t="str">
        <f t="shared" si="547"/>
        <v>-</v>
      </c>
      <c r="BN353" s="987" t="str">
        <f t="shared" si="547"/>
        <v>-</v>
      </c>
      <c r="BO353" s="1353" t="str">
        <f t="shared" si="547"/>
        <v>-</v>
      </c>
      <c r="BP353" s="1346" t="str">
        <f t="shared" si="547"/>
        <v>-</v>
      </c>
      <c r="BQ353" s="987" t="str">
        <f t="shared" si="547"/>
        <v>-</v>
      </c>
      <c r="BR353" s="987" t="str">
        <f t="shared" si="547"/>
        <v>-</v>
      </c>
      <c r="BS353" s="987" t="str">
        <f t="shared" si="547"/>
        <v>-</v>
      </c>
      <c r="BT353" s="988" t="str">
        <f t="shared" si="547"/>
        <v>-</v>
      </c>
      <c r="BU353" s="987" t="str">
        <f t="shared" si="547"/>
        <v>-</v>
      </c>
      <c r="BV353" s="987" t="str">
        <f>IF(AG353="","-",IFERROR((AG353/AF353-1)*(AF353/AF$13),"-"))</f>
        <v>-</v>
      </c>
      <c r="BW353" s="987" t="str">
        <f>IF(AH353="","-",IFERROR((AH353/AG353-1)*(AG353/AG$13),"-"))</f>
        <v>-</v>
      </c>
      <c r="BX353" s="987" t="str">
        <f>IF(AI353="","-",IFERROR((AI353/AH353-1)*(AH353/AH$13),"-"))</f>
        <v>-</v>
      </c>
      <c r="BY353" s="989" t="str">
        <f>IF(AJ353="","-",IFERROR((AJ353/AI353-1)*(AI353/AI$13),"-"))</f>
        <v>-</v>
      </c>
      <c r="BZ353" s="951"/>
      <c r="CA353" s="984" t="str">
        <f t="shared" si="482"/>
        <v>Rev</v>
      </c>
      <c r="CB353" s="985" t="str">
        <f t="shared" si="483"/>
        <v>[Service]</v>
      </c>
      <c r="CC353" s="985" t="str">
        <f t="shared" si="484"/>
        <v>[Price]</v>
      </c>
      <c r="CD353" s="990" t="str">
        <f t="shared" si="510"/>
        <v>-</v>
      </c>
      <c r="CE353" s="987" t="str">
        <f t="shared" si="510"/>
        <v>-</v>
      </c>
      <c r="CF353" s="987" t="str">
        <f t="shared" si="510"/>
        <v>-</v>
      </c>
      <c r="CG353" s="988" t="str">
        <f t="shared" si="506"/>
        <v>-</v>
      </c>
      <c r="CH353" s="987" t="str">
        <f t="shared" si="511"/>
        <v>-</v>
      </c>
      <c r="CI353" s="987" t="str">
        <f t="shared" si="511"/>
        <v>-</v>
      </c>
      <c r="CJ353" s="987" t="str">
        <f t="shared" si="511"/>
        <v>-</v>
      </c>
      <c r="CK353" s="989" t="str">
        <f t="shared" si="507"/>
        <v>-</v>
      </c>
    </row>
    <row r="354" spans="4:89">
      <c r="D354" s="63">
        <f>D351+1</f>
        <v>96</v>
      </c>
      <c r="E354" s="550" t="s">
        <v>857</v>
      </c>
      <c r="F354" s="595" t="s">
        <v>428</v>
      </c>
      <c r="G354" s="595"/>
      <c r="H354" s="595"/>
      <c r="I354" s="589" t="s">
        <v>920</v>
      </c>
      <c r="J354" s="589" t="s">
        <v>879</v>
      </c>
      <c r="K354" s="551"/>
      <c r="L354" s="552"/>
      <c r="M354" s="552"/>
      <c r="N354" s="551"/>
      <c r="O354" s="552"/>
      <c r="P354" s="552"/>
      <c r="Q354" s="552"/>
      <c r="R354" s="1035"/>
      <c r="S354" s="1138"/>
      <c r="T354" s="591"/>
      <c r="U354" s="1035"/>
      <c r="V354" s="591"/>
      <c r="W354" s="591"/>
      <c r="X354" s="591"/>
      <c r="Y354" s="591"/>
      <c r="Z354" s="591"/>
      <c r="AA354" s="1138"/>
      <c r="AB354" s="591"/>
      <c r="AC354" s="591"/>
      <c r="AD354" s="591"/>
      <c r="AE354" s="1035"/>
      <c r="AF354" s="591"/>
      <c r="AG354" s="591"/>
      <c r="AH354" s="591"/>
      <c r="AI354" s="591"/>
      <c r="AJ354" s="592"/>
      <c r="AK354" s="548"/>
      <c r="AM354" s="974"/>
      <c r="AO354" s="975" t="str">
        <f t="shared" si="485"/>
        <v>Price</v>
      </c>
      <c r="AP354" s="976" t="str">
        <f t="shared" si="485"/>
        <v>[Service]</v>
      </c>
      <c r="AQ354" s="977" t="str">
        <f t="shared" si="486"/>
        <v>[Price]</v>
      </c>
      <c r="AR354" s="1341" t="str">
        <f t="shared" si="487"/>
        <v>-</v>
      </c>
      <c r="AS354" s="978" t="str">
        <f t="shared" si="488"/>
        <v>-</v>
      </c>
      <c r="AT354" s="979" t="str">
        <f t="shared" si="489"/>
        <v>-</v>
      </c>
      <c r="AU354" s="979" t="str">
        <f t="shared" si="490"/>
        <v>-</v>
      </c>
      <c r="AV354" s="1352" t="str">
        <f t="shared" si="491"/>
        <v>-</v>
      </c>
      <c r="AW354" s="1345" t="str">
        <f t="shared" si="492"/>
        <v>-</v>
      </c>
      <c r="AX354" s="979" t="str">
        <f t="shared" si="493"/>
        <v>-</v>
      </c>
      <c r="AY354" s="979" t="str">
        <f t="shared" si="494"/>
        <v>-</v>
      </c>
      <c r="AZ354" s="979" t="str">
        <f t="shared" si="495"/>
        <v>-</v>
      </c>
      <c r="BA354" s="980" t="str">
        <f t="shared" si="496"/>
        <v>-</v>
      </c>
      <c r="BB354" s="1345" t="str">
        <f t="shared" si="497"/>
        <v>-</v>
      </c>
      <c r="BC354" s="979" t="str">
        <f t="shared" si="498"/>
        <v>-</v>
      </c>
      <c r="BD354" s="979" t="str">
        <f t="shared" si="499"/>
        <v>-</v>
      </c>
      <c r="BE354" s="979" t="str">
        <f t="shared" si="500"/>
        <v>-</v>
      </c>
      <c r="BF354" s="981" t="str">
        <f t="shared" si="501"/>
        <v>-</v>
      </c>
      <c r="BG354" s="951"/>
      <c r="BH354" s="975" t="str">
        <f t="shared" si="502"/>
        <v>Price</v>
      </c>
      <c r="BI354" s="976" t="str">
        <f t="shared" si="503"/>
        <v>[Service]</v>
      </c>
      <c r="BJ354" s="977" t="str">
        <f t="shared" si="504"/>
        <v>[Price]</v>
      </c>
      <c r="BK354" s="978" t="str">
        <f t="shared" ref="BK354:BU354" si="548">IF(V354="","-",IFERROR((V354/U354-1)*(U356/U$13),"-"))</f>
        <v>-</v>
      </c>
      <c r="BL354" s="978" t="str">
        <f t="shared" si="548"/>
        <v>-</v>
      </c>
      <c r="BM354" s="979" t="str">
        <f t="shared" si="548"/>
        <v>-</v>
      </c>
      <c r="BN354" s="979" t="str">
        <f t="shared" si="548"/>
        <v>-</v>
      </c>
      <c r="BO354" s="1352" t="str">
        <f t="shared" si="548"/>
        <v>-</v>
      </c>
      <c r="BP354" s="1345" t="str">
        <f t="shared" si="548"/>
        <v>-</v>
      </c>
      <c r="BQ354" s="979" t="str">
        <f t="shared" si="548"/>
        <v>-</v>
      </c>
      <c r="BR354" s="979" t="str">
        <f t="shared" si="548"/>
        <v>-</v>
      </c>
      <c r="BS354" s="979" t="str">
        <f t="shared" si="548"/>
        <v>-</v>
      </c>
      <c r="BT354" s="980" t="str">
        <f t="shared" si="548"/>
        <v>-</v>
      </c>
      <c r="BU354" s="979" t="str">
        <f t="shared" si="548"/>
        <v>-</v>
      </c>
      <c r="BV354" s="979" t="str">
        <f>IF(AG354="","-",IFERROR((AG354/AF354-1)*(AF356/AF$13),"-"))</f>
        <v>-</v>
      </c>
      <c r="BW354" s="979" t="str">
        <f>IF(AH354="","-",IFERROR((AH354/AG354-1)*(AG356/AG$13),"-"))</f>
        <v>-</v>
      </c>
      <c r="BX354" s="979" t="str">
        <f>IF(AI354="","-",IFERROR((AI354/AH354-1)*(AH356/AH$13),"-"))</f>
        <v>-</v>
      </c>
      <c r="BY354" s="981" t="str">
        <f>IF(AJ354="","-",IFERROR((AJ354/AI354-1)*(AI356/AI$13),"-"))</f>
        <v>-</v>
      </c>
      <c r="BZ354" s="951"/>
      <c r="CA354" s="975" t="str">
        <f t="shared" si="482"/>
        <v>Price</v>
      </c>
      <c r="CB354" s="976" t="str">
        <f t="shared" si="483"/>
        <v>[Service]</v>
      </c>
      <c r="CC354" s="982" t="str">
        <f t="shared" si="484"/>
        <v>[Price]</v>
      </c>
      <c r="CD354" s="983" t="str">
        <f t="shared" si="510"/>
        <v>-</v>
      </c>
      <c r="CE354" s="979" t="str">
        <f t="shared" si="510"/>
        <v>-</v>
      </c>
      <c r="CF354" s="979" t="str">
        <f t="shared" si="510"/>
        <v>-</v>
      </c>
      <c r="CG354" s="980" t="str">
        <f t="shared" si="506"/>
        <v>-</v>
      </c>
      <c r="CH354" s="979" t="str">
        <f t="shared" si="511"/>
        <v>-</v>
      </c>
      <c r="CI354" s="979" t="str">
        <f t="shared" si="511"/>
        <v>-</v>
      </c>
      <c r="CJ354" s="979" t="str">
        <f t="shared" si="511"/>
        <v>-</v>
      </c>
      <c r="CK354" s="981" t="str">
        <f t="shared" si="507"/>
        <v>-</v>
      </c>
    </row>
    <row r="355" spans="4:89">
      <c r="E355" s="567" t="s">
        <v>880</v>
      </c>
      <c r="F355" s="554" t="str">
        <f>+F354</f>
        <v>[Service]</v>
      </c>
      <c r="G355" s="555">
        <f>+G354</f>
        <v>0</v>
      </c>
      <c r="H355" s="555">
        <f>+H354</f>
        <v>0</v>
      </c>
      <c r="I355" s="556" t="str">
        <f>+I354</f>
        <v>[Price]</v>
      </c>
      <c r="J355" s="590" t="s">
        <v>916</v>
      </c>
      <c r="K355" s="557"/>
      <c r="L355" s="558"/>
      <c r="M355" s="558"/>
      <c r="N355" s="557"/>
      <c r="O355" s="558"/>
      <c r="P355" s="558"/>
      <c r="Q355" s="558"/>
      <c r="R355" s="1036"/>
      <c r="S355" s="1139"/>
      <c r="T355" s="593"/>
      <c r="U355" s="1036"/>
      <c r="V355" s="593"/>
      <c r="W355" s="593"/>
      <c r="X355" s="593"/>
      <c r="Y355" s="593"/>
      <c r="Z355" s="593"/>
      <c r="AA355" s="1139"/>
      <c r="AB355" s="593"/>
      <c r="AC355" s="593"/>
      <c r="AD355" s="593"/>
      <c r="AE355" s="1036"/>
      <c r="AF355" s="593"/>
      <c r="AG355" s="593"/>
      <c r="AH355" s="593"/>
      <c r="AI355" s="593"/>
      <c r="AJ355" s="594"/>
      <c r="AK355" s="548"/>
      <c r="AO355" s="961" t="str">
        <f t="shared" si="485"/>
        <v>Qty</v>
      </c>
      <c r="AP355" s="962" t="str">
        <f t="shared" si="485"/>
        <v>[Service]</v>
      </c>
      <c r="AQ355" s="963" t="str">
        <f t="shared" si="486"/>
        <v>[Price]</v>
      </c>
      <c r="AR355" s="967" t="str">
        <f t="shared" si="487"/>
        <v>-</v>
      </c>
      <c r="AS355" s="964" t="str">
        <f t="shared" si="488"/>
        <v>-</v>
      </c>
      <c r="AT355" s="964" t="str">
        <f t="shared" si="489"/>
        <v>-</v>
      </c>
      <c r="AU355" s="964" t="str">
        <f t="shared" si="490"/>
        <v>-</v>
      </c>
      <c r="AV355" s="1350" t="str">
        <f t="shared" si="491"/>
        <v>-</v>
      </c>
      <c r="AW355" s="1343" t="str">
        <f t="shared" si="492"/>
        <v>-</v>
      </c>
      <c r="AX355" s="964" t="str">
        <f t="shared" si="493"/>
        <v>-</v>
      </c>
      <c r="AY355" s="964" t="str">
        <f t="shared" si="494"/>
        <v>-</v>
      </c>
      <c r="AZ355" s="964" t="str">
        <f t="shared" si="495"/>
        <v>-</v>
      </c>
      <c r="BA355" s="965" t="str">
        <f t="shared" si="496"/>
        <v>-</v>
      </c>
      <c r="BB355" s="1343" t="str">
        <f t="shared" si="497"/>
        <v>-</v>
      </c>
      <c r="BC355" s="964" t="str">
        <f t="shared" si="498"/>
        <v>-</v>
      </c>
      <c r="BD355" s="964" t="str">
        <f t="shared" si="499"/>
        <v>-</v>
      </c>
      <c r="BE355" s="964" t="str">
        <f t="shared" si="500"/>
        <v>-</v>
      </c>
      <c r="BF355" s="966" t="str">
        <f t="shared" si="501"/>
        <v>-</v>
      </c>
      <c r="BG355" s="951"/>
      <c r="BH355" s="961" t="str">
        <f t="shared" si="502"/>
        <v>Qty</v>
      </c>
      <c r="BI355" s="962" t="str">
        <f t="shared" si="503"/>
        <v>[Service]</v>
      </c>
      <c r="BJ355" s="963" t="str">
        <f t="shared" si="504"/>
        <v>[Price]</v>
      </c>
      <c r="BK355" s="964" t="str">
        <f t="shared" ref="BK355:BU355" si="549">IF(V355="","-",IFERROR((V355/U355-1)*(U356/U$13),"-"))</f>
        <v>-</v>
      </c>
      <c r="BL355" s="964" t="str">
        <f t="shared" si="549"/>
        <v>-</v>
      </c>
      <c r="BM355" s="964" t="str">
        <f t="shared" si="549"/>
        <v>-</v>
      </c>
      <c r="BN355" s="964" t="str">
        <f t="shared" si="549"/>
        <v>-</v>
      </c>
      <c r="BO355" s="1350" t="str">
        <f t="shared" si="549"/>
        <v>-</v>
      </c>
      <c r="BP355" s="1343" t="str">
        <f t="shared" si="549"/>
        <v>-</v>
      </c>
      <c r="BQ355" s="964" t="str">
        <f t="shared" si="549"/>
        <v>-</v>
      </c>
      <c r="BR355" s="964" t="str">
        <f t="shared" si="549"/>
        <v>-</v>
      </c>
      <c r="BS355" s="964" t="str">
        <f t="shared" si="549"/>
        <v>-</v>
      </c>
      <c r="BT355" s="965" t="str">
        <f t="shared" si="549"/>
        <v>-</v>
      </c>
      <c r="BU355" s="964" t="str">
        <f t="shared" si="549"/>
        <v>-</v>
      </c>
      <c r="BV355" s="964" t="str">
        <f>IF(AG355="","-",IFERROR((AG355/AF355-1)*(AF356/AF$13),"-"))</f>
        <v>-</v>
      </c>
      <c r="BW355" s="964" t="str">
        <f>IF(AH355="","-",IFERROR((AH355/AG355-1)*(AG356/AG$13),"-"))</f>
        <v>-</v>
      </c>
      <c r="BX355" s="964" t="str">
        <f>IF(AI355="","-",IFERROR((AI355/AH355-1)*(AH356/AH$13),"-"))</f>
        <v>-</v>
      </c>
      <c r="BY355" s="966" t="str">
        <f>IF(AJ355="","-",IFERROR((AJ355/AI355-1)*(AI356/AI$13),"-"))</f>
        <v>-</v>
      </c>
      <c r="BZ355" s="951"/>
      <c r="CA355" s="961" t="str">
        <f t="shared" si="482"/>
        <v>Qty</v>
      </c>
      <c r="CB355" s="962" t="str">
        <f t="shared" si="483"/>
        <v>[Service]</v>
      </c>
      <c r="CC355" s="962" t="str">
        <f t="shared" si="484"/>
        <v>[Price]</v>
      </c>
      <c r="CD355" s="967" t="str">
        <f t="shared" si="510"/>
        <v>-</v>
      </c>
      <c r="CE355" s="964" t="str">
        <f t="shared" si="510"/>
        <v>-</v>
      </c>
      <c r="CF355" s="964" t="str">
        <f t="shared" si="510"/>
        <v>-</v>
      </c>
      <c r="CG355" s="965" t="str">
        <f t="shared" si="506"/>
        <v>-</v>
      </c>
      <c r="CH355" s="964" t="str">
        <f t="shared" si="511"/>
        <v>-</v>
      </c>
      <c r="CI355" s="964" t="str">
        <f t="shared" si="511"/>
        <v>-</v>
      </c>
      <c r="CJ355" s="964" t="str">
        <f t="shared" si="511"/>
        <v>-</v>
      </c>
      <c r="CK355" s="966" t="str">
        <f t="shared" si="507"/>
        <v>-</v>
      </c>
    </row>
    <row r="356" spans="4:89" ht="12.75" thickBot="1">
      <c r="E356" s="568" t="s">
        <v>882</v>
      </c>
      <c r="F356" s="560" t="str">
        <f>+F354</f>
        <v>[Service]</v>
      </c>
      <c r="G356" s="561">
        <f>+G354</f>
        <v>0</v>
      </c>
      <c r="H356" s="561">
        <f>+H354</f>
        <v>0</v>
      </c>
      <c r="I356" s="562" t="str">
        <f>+I354</f>
        <v>[Price]</v>
      </c>
      <c r="J356" s="563" t="s">
        <v>883</v>
      </c>
      <c r="K356" s="564">
        <f t="shared" ref="K356:AJ356" si="550">K354*K355/10^6</f>
        <v>0</v>
      </c>
      <c r="L356" s="565">
        <f t="shared" si="550"/>
        <v>0</v>
      </c>
      <c r="M356" s="565">
        <f t="shared" si="550"/>
        <v>0</v>
      </c>
      <c r="N356" s="564">
        <f t="shared" si="550"/>
        <v>0</v>
      </c>
      <c r="O356" s="565">
        <f t="shared" si="550"/>
        <v>0</v>
      </c>
      <c r="P356" s="565">
        <f t="shared" si="550"/>
        <v>0</v>
      </c>
      <c r="Q356" s="565">
        <f t="shared" si="550"/>
        <v>0</v>
      </c>
      <c r="R356" s="566">
        <f t="shared" si="550"/>
        <v>0</v>
      </c>
      <c r="S356" s="564">
        <f t="shared" si="550"/>
        <v>0</v>
      </c>
      <c r="T356" s="565">
        <f t="shared" si="550"/>
        <v>0</v>
      </c>
      <c r="U356" s="566">
        <f t="shared" si="550"/>
        <v>0</v>
      </c>
      <c r="V356" s="565">
        <f t="shared" si="550"/>
        <v>0</v>
      </c>
      <c r="W356" s="565">
        <f t="shared" si="550"/>
        <v>0</v>
      </c>
      <c r="X356" s="565">
        <f t="shared" si="550"/>
        <v>0</v>
      </c>
      <c r="Y356" s="565">
        <f t="shared" si="550"/>
        <v>0</v>
      </c>
      <c r="Z356" s="565">
        <f t="shared" si="550"/>
        <v>0</v>
      </c>
      <c r="AA356" s="564">
        <f t="shared" si="550"/>
        <v>0</v>
      </c>
      <c r="AB356" s="565">
        <f t="shared" si="550"/>
        <v>0</v>
      </c>
      <c r="AC356" s="565">
        <f t="shared" si="550"/>
        <v>0</v>
      </c>
      <c r="AD356" s="565">
        <f t="shared" si="550"/>
        <v>0</v>
      </c>
      <c r="AE356" s="566">
        <f t="shared" si="550"/>
        <v>0</v>
      </c>
      <c r="AF356" s="565">
        <f t="shared" si="550"/>
        <v>0</v>
      </c>
      <c r="AG356" s="565">
        <f>AG354*AG355/10^6</f>
        <v>0</v>
      </c>
      <c r="AH356" s="565">
        <f>AH354*AH355/10^6</f>
        <v>0</v>
      </c>
      <c r="AI356" s="565">
        <f>AI354*AI355/10^6</f>
        <v>0</v>
      </c>
      <c r="AJ356" s="566">
        <f t="shared" si="550"/>
        <v>0</v>
      </c>
      <c r="AK356" s="548"/>
      <c r="AO356" s="984" t="str">
        <f t="shared" si="485"/>
        <v>Rev</v>
      </c>
      <c r="AP356" s="985" t="str">
        <f t="shared" si="485"/>
        <v>[Service]</v>
      </c>
      <c r="AQ356" s="986" t="str">
        <f t="shared" si="486"/>
        <v>[Price]</v>
      </c>
      <c r="AR356" s="990" t="str">
        <f t="shared" si="487"/>
        <v>-</v>
      </c>
      <c r="AS356" s="987" t="str">
        <f t="shared" si="488"/>
        <v>-</v>
      </c>
      <c r="AT356" s="987" t="str">
        <f t="shared" si="489"/>
        <v>-</v>
      </c>
      <c r="AU356" s="987" t="str">
        <f t="shared" si="490"/>
        <v>-</v>
      </c>
      <c r="AV356" s="1353" t="str">
        <f t="shared" si="491"/>
        <v>-</v>
      </c>
      <c r="AW356" s="1346" t="str">
        <f t="shared" si="492"/>
        <v>-</v>
      </c>
      <c r="AX356" s="987" t="str">
        <f t="shared" si="493"/>
        <v>-</v>
      </c>
      <c r="AY356" s="987" t="str">
        <f t="shared" si="494"/>
        <v>-</v>
      </c>
      <c r="AZ356" s="987" t="str">
        <f t="shared" si="495"/>
        <v>-</v>
      </c>
      <c r="BA356" s="988" t="str">
        <f t="shared" si="496"/>
        <v>-</v>
      </c>
      <c r="BB356" s="1346" t="str">
        <f t="shared" si="497"/>
        <v>-</v>
      </c>
      <c r="BC356" s="987" t="str">
        <f t="shared" si="498"/>
        <v>-</v>
      </c>
      <c r="BD356" s="987" t="str">
        <f t="shared" si="499"/>
        <v>-</v>
      </c>
      <c r="BE356" s="987" t="str">
        <f t="shared" si="500"/>
        <v>-</v>
      </c>
      <c r="BF356" s="989" t="str">
        <f t="shared" si="501"/>
        <v>-</v>
      </c>
      <c r="BG356" s="951"/>
      <c r="BH356" s="984" t="str">
        <f t="shared" si="502"/>
        <v>Rev</v>
      </c>
      <c r="BI356" s="985" t="str">
        <f t="shared" si="503"/>
        <v>[Service]</v>
      </c>
      <c r="BJ356" s="986" t="str">
        <f t="shared" si="504"/>
        <v>[Price]</v>
      </c>
      <c r="BK356" s="987" t="str">
        <f t="shared" ref="BK356:BU356" si="551">IF(V356="","-",IFERROR((V356/U356-1)*(U356/U$13),"-"))</f>
        <v>-</v>
      </c>
      <c r="BL356" s="987" t="str">
        <f t="shared" si="551"/>
        <v>-</v>
      </c>
      <c r="BM356" s="987" t="str">
        <f t="shared" si="551"/>
        <v>-</v>
      </c>
      <c r="BN356" s="987" t="str">
        <f t="shared" si="551"/>
        <v>-</v>
      </c>
      <c r="BO356" s="1353" t="str">
        <f t="shared" si="551"/>
        <v>-</v>
      </c>
      <c r="BP356" s="1346" t="str">
        <f t="shared" si="551"/>
        <v>-</v>
      </c>
      <c r="BQ356" s="987" t="str">
        <f t="shared" si="551"/>
        <v>-</v>
      </c>
      <c r="BR356" s="987" t="str">
        <f t="shared" si="551"/>
        <v>-</v>
      </c>
      <c r="BS356" s="987" t="str">
        <f t="shared" si="551"/>
        <v>-</v>
      </c>
      <c r="BT356" s="988" t="str">
        <f t="shared" si="551"/>
        <v>-</v>
      </c>
      <c r="BU356" s="987" t="str">
        <f t="shared" si="551"/>
        <v>-</v>
      </c>
      <c r="BV356" s="987" t="str">
        <f>IF(AG356="","-",IFERROR((AG356/AF356-1)*(AF356/AF$13),"-"))</f>
        <v>-</v>
      </c>
      <c r="BW356" s="987" t="str">
        <f>IF(AH356="","-",IFERROR((AH356/AG356-1)*(AG356/AG$13),"-"))</f>
        <v>-</v>
      </c>
      <c r="BX356" s="987" t="str">
        <f>IF(AI356="","-",IFERROR((AI356/AH356-1)*(AH356/AH$13),"-"))</f>
        <v>-</v>
      </c>
      <c r="BY356" s="989" t="str">
        <f>IF(AJ356="","-",IFERROR((AJ356/AI356-1)*(AI356/AI$13),"-"))</f>
        <v>-</v>
      </c>
      <c r="BZ356" s="951"/>
      <c r="CA356" s="984" t="str">
        <f t="shared" si="482"/>
        <v>Rev</v>
      </c>
      <c r="CB356" s="985" t="str">
        <f t="shared" si="483"/>
        <v>[Service]</v>
      </c>
      <c r="CC356" s="985" t="str">
        <f t="shared" si="484"/>
        <v>[Price]</v>
      </c>
      <c r="CD356" s="990" t="str">
        <f t="shared" si="510"/>
        <v>-</v>
      </c>
      <c r="CE356" s="987" t="str">
        <f t="shared" si="510"/>
        <v>-</v>
      </c>
      <c r="CF356" s="987" t="str">
        <f t="shared" si="510"/>
        <v>-</v>
      </c>
      <c r="CG356" s="988" t="str">
        <f t="shared" si="506"/>
        <v>-</v>
      </c>
      <c r="CH356" s="987" t="str">
        <f t="shared" si="511"/>
        <v>-</v>
      </c>
      <c r="CI356" s="987" t="str">
        <f t="shared" si="511"/>
        <v>-</v>
      </c>
      <c r="CJ356" s="987" t="str">
        <f t="shared" si="511"/>
        <v>-</v>
      </c>
      <c r="CK356" s="989" t="str">
        <f t="shared" si="507"/>
        <v>-</v>
      </c>
    </row>
    <row r="357" spans="4:89">
      <c r="D357" s="63">
        <f>D354+1</f>
        <v>97</v>
      </c>
      <c r="E357" s="550" t="s">
        <v>857</v>
      </c>
      <c r="F357" s="595" t="s">
        <v>428</v>
      </c>
      <c r="G357" s="595"/>
      <c r="H357" s="595"/>
      <c r="I357" s="589" t="s">
        <v>920</v>
      </c>
      <c r="J357" s="589" t="s">
        <v>879</v>
      </c>
      <c r="K357" s="551"/>
      <c r="L357" s="552"/>
      <c r="M357" s="552"/>
      <c r="N357" s="551"/>
      <c r="O357" s="552"/>
      <c r="P357" s="552"/>
      <c r="Q357" s="552"/>
      <c r="R357" s="1035"/>
      <c r="S357" s="1138"/>
      <c r="T357" s="591"/>
      <c r="U357" s="1035"/>
      <c r="V357" s="591"/>
      <c r="W357" s="591"/>
      <c r="X357" s="591"/>
      <c r="Y357" s="591"/>
      <c r="Z357" s="591"/>
      <c r="AA357" s="1138"/>
      <c r="AB357" s="591"/>
      <c r="AC357" s="591"/>
      <c r="AD357" s="591"/>
      <c r="AE357" s="1035"/>
      <c r="AF357" s="591"/>
      <c r="AG357" s="591"/>
      <c r="AH357" s="591"/>
      <c r="AI357" s="591"/>
      <c r="AJ357" s="592"/>
      <c r="AK357" s="548"/>
      <c r="AM357" s="974"/>
      <c r="AO357" s="975" t="str">
        <f t="shared" si="485"/>
        <v>Price</v>
      </c>
      <c r="AP357" s="976" t="str">
        <f t="shared" si="485"/>
        <v>[Service]</v>
      </c>
      <c r="AQ357" s="977" t="str">
        <f t="shared" si="486"/>
        <v>[Price]</v>
      </c>
      <c r="AR357" s="1341" t="str">
        <f t="shared" si="487"/>
        <v>-</v>
      </c>
      <c r="AS357" s="978" t="str">
        <f t="shared" si="488"/>
        <v>-</v>
      </c>
      <c r="AT357" s="979" t="str">
        <f t="shared" si="489"/>
        <v>-</v>
      </c>
      <c r="AU357" s="979" t="str">
        <f t="shared" si="490"/>
        <v>-</v>
      </c>
      <c r="AV357" s="1352" t="str">
        <f t="shared" si="491"/>
        <v>-</v>
      </c>
      <c r="AW357" s="1345" t="str">
        <f t="shared" si="492"/>
        <v>-</v>
      </c>
      <c r="AX357" s="979" t="str">
        <f t="shared" si="493"/>
        <v>-</v>
      </c>
      <c r="AY357" s="979" t="str">
        <f t="shared" si="494"/>
        <v>-</v>
      </c>
      <c r="AZ357" s="979" t="str">
        <f t="shared" si="495"/>
        <v>-</v>
      </c>
      <c r="BA357" s="980" t="str">
        <f t="shared" si="496"/>
        <v>-</v>
      </c>
      <c r="BB357" s="1345" t="str">
        <f t="shared" si="497"/>
        <v>-</v>
      </c>
      <c r="BC357" s="979" t="str">
        <f t="shared" si="498"/>
        <v>-</v>
      </c>
      <c r="BD357" s="979" t="str">
        <f t="shared" si="499"/>
        <v>-</v>
      </c>
      <c r="BE357" s="979" t="str">
        <f t="shared" si="500"/>
        <v>-</v>
      </c>
      <c r="BF357" s="981" t="str">
        <f t="shared" si="501"/>
        <v>-</v>
      </c>
      <c r="BG357" s="951"/>
      <c r="BH357" s="975" t="str">
        <f t="shared" si="502"/>
        <v>Price</v>
      </c>
      <c r="BI357" s="976" t="str">
        <f t="shared" si="503"/>
        <v>[Service]</v>
      </c>
      <c r="BJ357" s="977" t="str">
        <f t="shared" si="504"/>
        <v>[Price]</v>
      </c>
      <c r="BK357" s="978" t="str">
        <f t="shared" ref="BK357:BU357" si="552">IF(V357="","-",IFERROR((V357/U357-1)*(U359/U$13),"-"))</f>
        <v>-</v>
      </c>
      <c r="BL357" s="978" t="str">
        <f t="shared" si="552"/>
        <v>-</v>
      </c>
      <c r="BM357" s="979" t="str">
        <f t="shared" si="552"/>
        <v>-</v>
      </c>
      <c r="BN357" s="979" t="str">
        <f t="shared" si="552"/>
        <v>-</v>
      </c>
      <c r="BO357" s="1352" t="str">
        <f t="shared" si="552"/>
        <v>-</v>
      </c>
      <c r="BP357" s="1345" t="str">
        <f t="shared" si="552"/>
        <v>-</v>
      </c>
      <c r="BQ357" s="979" t="str">
        <f t="shared" si="552"/>
        <v>-</v>
      </c>
      <c r="BR357" s="979" t="str">
        <f t="shared" si="552"/>
        <v>-</v>
      </c>
      <c r="BS357" s="979" t="str">
        <f t="shared" si="552"/>
        <v>-</v>
      </c>
      <c r="BT357" s="980" t="str">
        <f t="shared" si="552"/>
        <v>-</v>
      </c>
      <c r="BU357" s="979" t="str">
        <f t="shared" si="552"/>
        <v>-</v>
      </c>
      <c r="BV357" s="979" t="str">
        <f>IF(AG357="","-",IFERROR((AG357/AF357-1)*(AF359/AF$13),"-"))</f>
        <v>-</v>
      </c>
      <c r="BW357" s="979" t="str">
        <f>IF(AH357="","-",IFERROR((AH357/AG357-1)*(AG359/AG$13),"-"))</f>
        <v>-</v>
      </c>
      <c r="BX357" s="979" t="str">
        <f>IF(AI357="","-",IFERROR((AI357/AH357-1)*(AH359/AH$13),"-"))</f>
        <v>-</v>
      </c>
      <c r="BY357" s="981" t="str">
        <f>IF(AJ357="","-",IFERROR((AJ357/AI357-1)*(AI359/AI$13),"-"))</f>
        <v>-</v>
      </c>
      <c r="BZ357" s="951"/>
      <c r="CA357" s="975" t="str">
        <f t="shared" si="482"/>
        <v>Price</v>
      </c>
      <c r="CB357" s="976" t="str">
        <f t="shared" si="483"/>
        <v>[Service]</v>
      </c>
      <c r="CC357" s="982" t="str">
        <f t="shared" si="484"/>
        <v>[Price]</v>
      </c>
      <c r="CD357" s="983" t="str">
        <f t="shared" si="510"/>
        <v>-</v>
      </c>
      <c r="CE357" s="979" t="str">
        <f t="shared" si="510"/>
        <v>-</v>
      </c>
      <c r="CF357" s="979" t="str">
        <f t="shared" si="510"/>
        <v>-</v>
      </c>
      <c r="CG357" s="980" t="str">
        <f t="shared" si="506"/>
        <v>-</v>
      </c>
      <c r="CH357" s="979" t="str">
        <f t="shared" si="511"/>
        <v>-</v>
      </c>
      <c r="CI357" s="979" t="str">
        <f t="shared" si="511"/>
        <v>-</v>
      </c>
      <c r="CJ357" s="979" t="str">
        <f t="shared" si="511"/>
        <v>-</v>
      </c>
      <c r="CK357" s="981" t="str">
        <f t="shared" si="507"/>
        <v>-</v>
      </c>
    </row>
    <row r="358" spans="4:89">
      <c r="E358" s="567" t="s">
        <v>880</v>
      </c>
      <c r="F358" s="554" t="str">
        <f>+F357</f>
        <v>[Service]</v>
      </c>
      <c r="G358" s="555">
        <f>+G357</f>
        <v>0</v>
      </c>
      <c r="H358" s="555">
        <f>+H357</f>
        <v>0</v>
      </c>
      <c r="I358" s="556" t="str">
        <f>+I357</f>
        <v>[Price]</v>
      </c>
      <c r="J358" s="590" t="s">
        <v>916</v>
      </c>
      <c r="K358" s="557"/>
      <c r="L358" s="558"/>
      <c r="M358" s="558"/>
      <c r="N358" s="557"/>
      <c r="O358" s="558"/>
      <c r="P358" s="558"/>
      <c r="Q358" s="558"/>
      <c r="R358" s="1036"/>
      <c r="S358" s="1139"/>
      <c r="T358" s="593"/>
      <c r="U358" s="1036"/>
      <c r="V358" s="593"/>
      <c r="W358" s="593"/>
      <c r="X358" s="593"/>
      <c r="Y358" s="593"/>
      <c r="Z358" s="593"/>
      <c r="AA358" s="1139"/>
      <c r="AB358" s="593"/>
      <c r="AC358" s="593"/>
      <c r="AD358" s="593"/>
      <c r="AE358" s="1036"/>
      <c r="AF358" s="593"/>
      <c r="AG358" s="593"/>
      <c r="AH358" s="593"/>
      <c r="AI358" s="593"/>
      <c r="AJ358" s="594"/>
      <c r="AK358" s="548"/>
      <c r="AO358" s="961" t="str">
        <f t="shared" si="485"/>
        <v>Qty</v>
      </c>
      <c r="AP358" s="962" t="str">
        <f t="shared" si="485"/>
        <v>[Service]</v>
      </c>
      <c r="AQ358" s="963" t="str">
        <f t="shared" si="486"/>
        <v>[Price]</v>
      </c>
      <c r="AR358" s="967" t="str">
        <f t="shared" si="487"/>
        <v>-</v>
      </c>
      <c r="AS358" s="964" t="str">
        <f t="shared" si="488"/>
        <v>-</v>
      </c>
      <c r="AT358" s="964" t="str">
        <f t="shared" si="489"/>
        <v>-</v>
      </c>
      <c r="AU358" s="964" t="str">
        <f t="shared" si="490"/>
        <v>-</v>
      </c>
      <c r="AV358" s="1350" t="str">
        <f t="shared" si="491"/>
        <v>-</v>
      </c>
      <c r="AW358" s="1343" t="str">
        <f t="shared" si="492"/>
        <v>-</v>
      </c>
      <c r="AX358" s="964" t="str">
        <f t="shared" si="493"/>
        <v>-</v>
      </c>
      <c r="AY358" s="964" t="str">
        <f t="shared" si="494"/>
        <v>-</v>
      </c>
      <c r="AZ358" s="964" t="str">
        <f t="shared" si="495"/>
        <v>-</v>
      </c>
      <c r="BA358" s="965" t="str">
        <f t="shared" si="496"/>
        <v>-</v>
      </c>
      <c r="BB358" s="1343" t="str">
        <f t="shared" si="497"/>
        <v>-</v>
      </c>
      <c r="BC358" s="964" t="str">
        <f t="shared" si="498"/>
        <v>-</v>
      </c>
      <c r="BD358" s="964" t="str">
        <f t="shared" si="499"/>
        <v>-</v>
      </c>
      <c r="BE358" s="964" t="str">
        <f t="shared" si="500"/>
        <v>-</v>
      </c>
      <c r="BF358" s="966" t="str">
        <f t="shared" si="501"/>
        <v>-</v>
      </c>
      <c r="BG358" s="951"/>
      <c r="BH358" s="961" t="str">
        <f t="shared" si="502"/>
        <v>Qty</v>
      </c>
      <c r="BI358" s="962" t="str">
        <f t="shared" si="503"/>
        <v>[Service]</v>
      </c>
      <c r="BJ358" s="963" t="str">
        <f t="shared" si="504"/>
        <v>[Price]</v>
      </c>
      <c r="BK358" s="964" t="str">
        <f t="shared" ref="BK358:BU358" si="553">IF(V358="","-",IFERROR((V358/U358-1)*(U359/U$13),"-"))</f>
        <v>-</v>
      </c>
      <c r="BL358" s="964" t="str">
        <f t="shared" si="553"/>
        <v>-</v>
      </c>
      <c r="BM358" s="964" t="str">
        <f t="shared" si="553"/>
        <v>-</v>
      </c>
      <c r="BN358" s="964" t="str">
        <f t="shared" si="553"/>
        <v>-</v>
      </c>
      <c r="BO358" s="1350" t="str">
        <f t="shared" si="553"/>
        <v>-</v>
      </c>
      <c r="BP358" s="1343" t="str">
        <f t="shared" si="553"/>
        <v>-</v>
      </c>
      <c r="BQ358" s="964" t="str">
        <f t="shared" si="553"/>
        <v>-</v>
      </c>
      <c r="BR358" s="964" t="str">
        <f t="shared" si="553"/>
        <v>-</v>
      </c>
      <c r="BS358" s="964" t="str">
        <f t="shared" si="553"/>
        <v>-</v>
      </c>
      <c r="BT358" s="965" t="str">
        <f t="shared" si="553"/>
        <v>-</v>
      </c>
      <c r="BU358" s="964" t="str">
        <f t="shared" si="553"/>
        <v>-</v>
      </c>
      <c r="BV358" s="964" t="str">
        <f>IF(AG358="","-",IFERROR((AG358/AF358-1)*(AF359/AF$13),"-"))</f>
        <v>-</v>
      </c>
      <c r="BW358" s="964" t="str">
        <f>IF(AH358="","-",IFERROR((AH358/AG358-1)*(AG359/AG$13),"-"))</f>
        <v>-</v>
      </c>
      <c r="BX358" s="964" t="str">
        <f>IF(AI358="","-",IFERROR((AI358/AH358-1)*(AH359/AH$13),"-"))</f>
        <v>-</v>
      </c>
      <c r="BY358" s="966" t="str">
        <f>IF(AJ358="","-",IFERROR((AJ358/AI358-1)*(AI359/AI$13),"-"))</f>
        <v>-</v>
      </c>
      <c r="BZ358" s="951"/>
      <c r="CA358" s="961" t="str">
        <f t="shared" si="482"/>
        <v>Qty</v>
      </c>
      <c r="CB358" s="962" t="str">
        <f t="shared" si="483"/>
        <v>[Service]</v>
      </c>
      <c r="CC358" s="962" t="str">
        <f t="shared" si="484"/>
        <v>[Price]</v>
      </c>
      <c r="CD358" s="967" t="str">
        <f t="shared" si="510"/>
        <v>-</v>
      </c>
      <c r="CE358" s="964" t="str">
        <f t="shared" si="510"/>
        <v>-</v>
      </c>
      <c r="CF358" s="964" t="str">
        <f t="shared" si="510"/>
        <v>-</v>
      </c>
      <c r="CG358" s="965" t="str">
        <f t="shared" si="506"/>
        <v>-</v>
      </c>
      <c r="CH358" s="964" t="str">
        <f t="shared" si="511"/>
        <v>-</v>
      </c>
      <c r="CI358" s="964" t="str">
        <f t="shared" si="511"/>
        <v>-</v>
      </c>
      <c r="CJ358" s="964" t="str">
        <f t="shared" si="511"/>
        <v>-</v>
      </c>
      <c r="CK358" s="966" t="str">
        <f t="shared" si="507"/>
        <v>-</v>
      </c>
    </row>
    <row r="359" spans="4:89" ht="12.75" thickBot="1">
      <c r="E359" s="568" t="s">
        <v>882</v>
      </c>
      <c r="F359" s="560" t="str">
        <f>+F357</f>
        <v>[Service]</v>
      </c>
      <c r="G359" s="561">
        <f>+G357</f>
        <v>0</v>
      </c>
      <c r="H359" s="561">
        <f>+H357</f>
        <v>0</v>
      </c>
      <c r="I359" s="562" t="str">
        <f>+I357</f>
        <v>[Price]</v>
      </c>
      <c r="J359" s="563" t="s">
        <v>883</v>
      </c>
      <c r="K359" s="564">
        <f t="shared" ref="K359:AJ359" si="554">K357*K358/10^6</f>
        <v>0</v>
      </c>
      <c r="L359" s="565">
        <f t="shared" si="554"/>
        <v>0</v>
      </c>
      <c r="M359" s="565">
        <f t="shared" si="554"/>
        <v>0</v>
      </c>
      <c r="N359" s="564">
        <f t="shared" si="554"/>
        <v>0</v>
      </c>
      <c r="O359" s="565">
        <f t="shared" si="554"/>
        <v>0</v>
      </c>
      <c r="P359" s="565">
        <f t="shared" si="554"/>
        <v>0</v>
      </c>
      <c r="Q359" s="565">
        <f t="shared" si="554"/>
        <v>0</v>
      </c>
      <c r="R359" s="566">
        <f t="shared" si="554"/>
        <v>0</v>
      </c>
      <c r="S359" s="564">
        <f t="shared" si="554"/>
        <v>0</v>
      </c>
      <c r="T359" s="565">
        <f t="shared" si="554"/>
        <v>0</v>
      </c>
      <c r="U359" s="566">
        <f t="shared" si="554"/>
        <v>0</v>
      </c>
      <c r="V359" s="565">
        <f t="shared" si="554"/>
        <v>0</v>
      </c>
      <c r="W359" s="565">
        <f t="shared" si="554"/>
        <v>0</v>
      </c>
      <c r="X359" s="565">
        <f t="shared" si="554"/>
        <v>0</v>
      </c>
      <c r="Y359" s="565">
        <f t="shared" si="554"/>
        <v>0</v>
      </c>
      <c r="Z359" s="565">
        <f t="shared" si="554"/>
        <v>0</v>
      </c>
      <c r="AA359" s="564">
        <f t="shared" si="554"/>
        <v>0</v>
      </c>
      <c r="AB359" s="565">
        <f t="shared" si="554"/>
        <v>0</v>
      </c>
      <c r="AC359" s="565">
        <f t="shared" si="554"/>
        <v>0</v>
      </c>
      <c r="AD359" s="565">
        <f t="shared" si="554"/>
        <v>0</v>
      </c>
      <c r="AE359" s="566">
        <f t="shared" si="554"/>
        <v>0</v>
      </c>
      <c r="AF359" s="565">
        <f t="shared" si="554"/>
        <v>0</v>
      </c>
      <c r="AG359" s="565">
        <f>AG357*AG358/10^6</f>
        <v>0</v>
      </c>
      <c r="AH359" s="565">
        <f>AH357*AH358/10^6</f>
        <v>0</v>
      </c>
      <c r="AI359" s="565">
        <f>AI357*AI358/10^6</f>
        <v>0</v>
      </c>
      <c r="AJ359" s="566">
        <f t="shared" si="554"/>
        <v>0</v>
      </c>
      <c r="AK359" s="548"/>
      <c r="AO359" s="984" t="str">
        <f t="shared" si="485"/>
        <v>Rev</v>
      </c>
      <c r="AP359" s="985" t="str">
        <f t="shared" si="485"/>
        <v>[Service]</v>
      </c>
      <c r="AQ359" s="986" t="str">
        <f t="shared" si="486"/>
        <v>[Price]</v>
      </c>
      <c r="AR359" s="990" t="str">
        <f t="shared" si="487"/>
        <v>-</v>
      </c>
      <c r="AS359" s="987" t="str">
        <f t="shared" si="488"/>
        <v>-</v>
      </c>
      <c r="AT359" s="987" t="str">
        <f t="shared" si="489"/>
        <v>-</v>
      </c>
      <c r="AU359" s="987" t="str">
        <f t="shared" si="490"/>
        <v>-</v>
      </c>
      <c r="AV359" s="1353" t="str">
        <f t="shared" si="491"/>
        <v>-</v>
      </c>
      <c r="AW359" s="1346" t="str">
        <f t="shared" si="492"/>
        <v>-</v>
      </c>
      <c r="AX359" s="987" t="str">
        <f t="shared" si="493"/>
        <v>-</v>
      </c>
      <c r="AY359" s="987" t="str">
        <f t="shared" si="494"/>
        <v>-</v>
      </c>
      <c r="AZ359" s="987" t="str">
        <f t="shared" si="495"/>
        <v>-</v>
      </c>
      <c r="BA359" s="988" t="str">
        <f t="shared" si="496"/>
        <v>-</v>
      </c>
      <c r="BB359" s="1346" t="str">
        <f t="shared" si="497"/>
        <v>-</v>
      </c>
      <c r="BC359" s="987" t="str">
        <f t="shared" si="498"/>
        <v>-</v>
      </c>
      <c r="BD359" s="987" t="str">
        <f t="shared" si="499"/>
        <v>-</v>
      </c>
      <c r="BE359" s="987" t="str">
        <f t="shared" si="500"/>
        <v>-</v>
      </c>
      <c r="BF359" s="989" t="str">
        <f t="shared" si="501"/>
        <v>-</v>
      </c>
      <c r="BG359" s="951"/>
      <c r="BH359" s="984" t="str">
        <f t="shared" si="502"/>
        <v>Rev</v>
      </c>
      <c r="BI359" s="985" t="str">
        <f t="shared" si="503"/>
        <v>[Service]</v>
      </c>
      <c r="BJ359" s="986" t="str">
        <f t="shared" si="504"/>
        <v>[Price]</v>
      </c>
      <c r="BK359" s="987" t="str">
        <f t="shared" ref="BK359:BU359" si="555">IF(V359="","-",IFERROR((V359/U359-1)*(U359/U$13),"-"))</f>
        <v>-</v>
      </c>
      <c r="BL359" s="987" t="str">
        <f t="shared" si="555"/>
        <v>-</v>
      </c>
      <c r="BM359" s="987" t="str">
        <f t="shared" si="555"/>
        <v>-</v>
      </c>
      <c r="BN359" s="987" t="str">
        <f t="shared" si="555"/>
        <v>-</v>
      </c>
      <c r="BO359" s="1353" t="str">
        <f t="shared" si="555"/>
        <v>-</v>
      </c>
      <c r="BP359" s="1346" t="str">
        <f t="shared" si="555"/>
        <v>-</v>
      </c>
      <c r="BQ359" s="987" t="str">
        <f t="shared" si="555"/>
        <v>-</v>
      </c>
      <c r="BR359" s="987" t="str">
        <f t="shared" si="555"/>
        <v>-</v>
      </c>
      <c r="BS359" s="987" t="str">
        <f t="shared" si="555"/>
        <v>-</v>
      </c>
      <c r="BT359" s="988" t="str">
        <f t="shared" si="555"/>
        <v>-</v>
      </c>
      <c r="BU359" s="987" t="str">
        <f t="shared" si="555"/>
        <v>-</v>
      </c>
      <c r="BV359" s="987" t="str">
        <f>IF(AG359="","-",IFERROR((AG359/AF359-1)*(AF359/AF$13),"-"))</f>
        <v>-</v>
      </c>
      <c r="BW359" s="987" t="str">
        <f>IF(AH359="","-",IFERROR((AH359/AG359-1)*(AG359/AG$13),"-"))</f>
        <v>-</v>
      </c>
      <c r="BX359" s="987" t="str">
        <f>IF(AI359="","-",IFERROR((AI359/AH359-1)*(AH359/AH$13),"-"))</f>
        <v>-</v>
      </c>
      <c r="BY359" s="989" t="str">
        <f>IF(AJ359="","-",IFERROR((AJ359/AI359-1)*(AI359/AI$13),"-"))</f>
        <v>-</v>
      </c>
      <c r="BZ359" s="951"/>
      <c r="CA359" s="984" t="str">
        <f t="shared" si="482"/>
        <v>Rev</v>
      </c>
      <c r="CB359" s="985" t="str">
        <f t="shared" si="483"/>
        <v>[Service]</v>
      </c>
      <c r="CC359" s="985" t="str">
        <f t="shared" si="484"/>
        <v>[Price]</v>
      </c>
      <c r="CD359" s="990" t="str">
        <f t="shared" si="510"/>
        <v>-</v>
      </c>
      <c r="CE359" s="987" t="str">
        <f t="shared" si="510"/>
        <v>-</v>
      </c>
      <c r="CF359" s="987" t="str">
        <f t="shared" si="510"/>
        <v>-</v>
      </c>
      <c r="CG359" s="988" t="str">
        <f t="shared" si="506"/>
        <v>-</v>
      </c>
      <c r="CH359" s="987" t="str">
        <f t="shared" si="511"/>
        <v>-</v>
      </c>
      <c r="CI359" s="987" t="str">
        <f t="shared" si="511"/>
        <v>-</v>
      </c>
      <c r="CJ359" s="987" t="str">
        <f t="shared" si="511"/>
        <v>-</v>
      </c>
      <c r="CK359" s="989" t="str">
        <f t="shared" si="507"/>
        <v>-</v>
      </c>
    </row>
    <row r="360" spans="4:89">
      <c r="D360" s="63">
        <f>D357+1</f>
        <v>98</v>
      </c>
      <c r="E360" s="550" t="s">
        <v>857</v>
      </c>
      <c r="F360" s="595" t="s">
        <v>428</v>
      </c>
      <c r="G360" s="595"/>
      <c r="H360" s="595"/>
      <c r="I360" s="589" t="s">
        <v>920</v>
      </c>
      <c r="J360" s="589" t="s">
        <v>879</v>
      </c>
      <c r="K360" s="551"/>
      <c r="L360" s="552"/>
      <c r="M360" s="552"/>
      <c r="N360" s="551"/>
      <c r="O360" s="552"/>
      <c r="P360" s="552"/>
      <c r="Q360" s="552"/>
      <c r="R360" s="1035"/>
      <c r="S360" s="1138"/>
      <c r="T360" s="591"/>
      <c r="U360" s="1035"/>
      <c r="V360" s="591"/>
      <c r="W360" s="591"/>
      <c r="X360" s="591"/>
      <c r="Y360" s="591"/>
      <c r="Z360" s="591"/>
      <c r="AA360" s="1138"/>
      <c r="AB360" s="591"/>
      <c r="AC360" s="591"/>
      <c r="AD360" s="591"/>
      <c r="AE360" s="1035"/>
      <c r="AF360" s="591"/>
      <c r="AG360" s="591"/>
      <c r="AH360" s="591"/>
      <c r="AI360" s="591"/>
      <c r="AJ360" s="592"/>
      <c r="AK360" s="548"/>
      <c r="AM360" s="974"/>
      <c r="AO360" s="975" t="str">
        <f t="shared" si="485"/>
        <v>Price</v>
      </c>
      <c r="AP360" s="976" t="str">
        <f t="shared" si="485"/>
        <v>[Service]</v>
      </c>
      <c r="AQ360" s="977" t="str">
        <f t="shared" si="486"/>
        <v>[Price]</v>
      </c>
      <c r="AR360" s="1341" t="str">
        <f t="shared" si="487"/>
        <v>-</v>
      </c>
      <c r="AS360" s="978" t="str">
        <f t="shared" si="488"/>
        <v>-</v>
      </c>
      <c r="AT360" s="979" t="str">
        <f t="shared" si="489"/>
        <v>-</v>
      </c>
      <c r="AU360" s="979" t="str">
        <f t="shared" si="490"/>
        <v>-</v>
      </c>
      <c r="AV360" s="1352" t="str">
        <f t="shared" si="491"/>
        <v>-</v>
      </c>
      <c r="AW360" s="1345" t="str">
        <f t="shared" si="492"/>
        <v>-</v>
      </c>
      <c r="AX360" s="979" t="str">
        <f t="shared" si="493"/>
        <v>-</v>
      </c>
      <c r="AY360" s="979" t="str">
        <f t="shared" si="494"/>
        <v>-</v>
      </c>
      <c r="AZ360" s="979" t="str">
        <f t="shared" si="495"/>
        <v>-</v>
      </c>
      <c r="BA360" s="980" t="str">
        <f t="shared" si="496"/>
        <v>-</v>
      </c>
      <c r="BB360" s="1345" t="str">
        <f t="shared" si="497"/>
        <v>-</v>
      </c>
      <c r="BC360" s="979" t="str">
        <f t="shared" si="498"/>
        <v>-</v>
      </c>
      <c r="BD360" s="979" t="str">
        <f t="shared" si="499"/>
        <v>-</v>
      </c>
      <c r="BE360" s="979" t="str">
        <f t="shared" si="500"/>
        <v>-</v>
      </c>
      <c r="BF360" s="981" t="str">
        <f t="shared" si="501"/>
        <v>-</v>
      </c>
      <c r="BG360" s="951"/>
      <c r="BH360" s="975" t="str">
        <f t="shared" si="502"/>
        <v>Price</v>
      </c>
      <c r="BI360" s="976" t="str">
        <f t="shared" si="503"/>
        <v>[Service]</v>
      </c>
      <c r="BJ360" s="977" t="str">
        <f t="shared" si="504"/>
        <v>[Price]</v>
      </c>
      <c r="BK360" s="978" t="str">
        <f t="shared" ref="BK360:BU360" si="556">IF(V360="","-",IFERROR((V360/U360-1)*(U362/U$13),"-"))</f>
        <v>-</v>
      </c>
      <c r="BL360" s="978" t="str">
        <f t="shared" si="556"/>
        <v>-</v>
      </c>
      <c r="BM360" s="979" t="str">
        <f t="shared" si="556"/>
        <v>-</v>
      </c>
      <c r="BN360" s="979" t="str">
        <f t="shared" si="556"/>
        <v>-</v>
      </c>
      <c r="BO360" s="1352" t="str">
        <f t="shared" si="556"/>
        <v>-</v>
      </c>
      <c r="BP360" s="1345" t="str">
        <f t="shared" si="556"/>
        <v>-</v>
      </c>
      <c r="BQ360" s="979" t="str">
        <f t="shared" si="556"/>
        <v>-</v>
      </c>
      <c r="BR360" s="979" t="str">
        <f t="shared" si="556"/>
        <v>-</v>
      </c>
      <c r="BS360" s="979" t="str">
        <f t="shared" si="556"/>
        <v>-</v>
      </c>
      <c r="BT360" s="980" t="str">
        <f t="shared" si="556"/>
        <v>-</v>
      </c>
      <c r="BU360" s="979" t="str">
        <f t="shared" si="556"/>
        <v>-</v>
      </c>
      <c r="BV360" s="979" t="str">
        <f>IF(AG360="","-",IFERROR((AG360/AF360-1)*(AF362/AF$13),"-"))</f>
        <v>-</v>
      </c>
      <c r="BW360" s="979" t="str">
        <f>IF(AH360="","-",IFERROR((AH360/AG360-1)*(AG362/AG$13),"-"))</f>
        <v>-</v>
      </c>
      <c r="BX360" s="979" t="str">
        <f>IF(AI360="","-",IFERROR((AI360/AH360-1)*(AH362/AH$13),"-"))</f>
        <v>-</v>
      </c>
      <c r="BY360" s="981" t="str">
        <f>IF(AJ360="","-",IFERROR((AJ360/AI360-1)*(AI362/AI$13),"-"))</f>
        <v>-</v>
      </c>
      <c r="BZ360" s="951"/>
      <c r="CA360" s="975" t="str">
        <f t="shared" si="482"/>
        <v>Price</v>
      </c>
      <c r="CB360" s="976" t="str">
        <f t="shared" si="483"/>
        <v>[Service]</v>
      </c>
      <c r="CC360" s="982" t="str">
        <f t="shared" si="484"/>
        <v>[Price]</v>
      </c>
      <c r="CD360" s="983" t="str">
        <f t="shared" si="510"/>
        <v>-</v>
      </c>
      <c r="CE360" s="979" t="str">
        <f t="shared" si="510"/>
        <v>-</v>
      </c>
      <c r="CF360" s="979" t="str">
        <f t="shared" si="510"/>
        <v>-</v>
      </c>
      <c r="CG360" s="980" t="str">
        <f t="shared" si="506"/>
        <v>-</v>
      </c>
      <c r="CH360" s="979" t="str">
        <f t="shared" si="511"/>
        <v>-</v>
      </c>
      <c r="CI360" s="979" t="str">
        <f t="shared" si="511"/>
        <v>-</v>
      </c>
      <c r="CJ360" s="979" t="str">
        <f t="shared" si="511"/>
        <v>-</v>
      </c>
      <c r="CK360" s="981" t="str">
        <f t="shared" si="507"/>
        <v>-</v>
      </c>
    </row>
    <row r="361" spans="4:89">
      <c r="E361" s="567" t="s">
        <v>880</v>
      </c>
      <c r="F361" s="554" t="str">
        <f>+F360</f>
        <v>[Service]</v>
      </c>
      <c r="G361" s="555">
        <f>+G360</f>
        <v>0</v>
      </c>
      <c r="H361" s="555">
        <f>+H360</f>
        <v>0</v>
      </c>
      <c r="I361" s="556" t="str">
        <f>+I360</f>
        <v>[Price]</v>
      </c>
      <c r="J361" s="590" t="s">
        <v>916</v>
      </c>
      <c r="K361" s="557"/>
      <c r="L361" s="558"/>
      <c r="M361" s="558"/>
      <c r="N361" s="557"/>
      <c r="O361" s="558"/>
      <c r="P361" s="558"/>
      <c r="Q361" s="558"/>
      <c r="R361" s="1036"/>
      <c r="S361" s="1139"/>
      <c r="T361" s="593"/>
      <c r="U361" s="1036"/>
      <c r="V361" s="593"/>
      <c r="W361" s="593"/>
      <c r="X361" s="593"/>
      <c r="Y361" s="593"/>
      <c r="Z361" s="593"/>
      <c r="AA361" s="1139"/>
      <c r="AB361" s="593"/>
      <c r="AC361" s="593"/>
      <c r="AD361" s="593"/>
      <c r="AE361" s="1036"/>
      <c r="AF361" s="593"/>
      <c r="AG361" s="593"/>
      <c r="AH361" s="593"/>
      <c r="AI361" s="593"/>
      <c r="AJ361" s="594"/>
      <c r="AK361" s="548"/>
      <c r="AO361" s="961" t="str">
        <f t="shared" si="485"/>
        <v>Qty</v>
      </c>
      <c r="AP361" s="962" t="str">
        <f t="shared" si="485"/>
        <v>[Service]</v>
      </c>
      <c r="AQ361" s="963" t="str">
        <f t="shared" si="486"/>
        <v>[Price]</v>
      </c>
      <c r="AR361" s="967" t="str">
        <f t="shared" si="487"/>
        <v>-</v>
      </c>
      <c r="AS361" s="964" t="str">
        <f t="shared" si="488"/>
        <v>-</v>
      </c>
      <c r="AT361" s="964" t="str">
        <f t="shared" si="489"/>
        <v>-</v>
      </c>
      <c r="AU361" s="964" t="str">
        <f t="shared" si="490"/>
        <v>-</v>
      </c>
      <c r="AV361" s="1350" t="str">
        <f t="shared" si="491"/>
        <v>-</v>
      </c>
      <c r="AW361" s="1343" t="str">
        <f t="shared" si="492"/>
        <v>-</v>
      </c>
      <c r="AX361" s="964" t="str">
        <f t="shared" si="493"/>
        <v>-</v>
      </c>
      <c r="AY361" s="964" t="str">
        <f t="shared" si="494"/>
        <v>-</v>
      </c>
      <c r="AZ361" s="964" t="str">
        <f t="shared" si="495"/>
        <v>-</v>
      </c>
      <c r="BA361" s="965" t="str">
        <f t="shared" si="496"/>
        <v>-</v>
      </c>
      <c r="BB361" s="1343" t="str">
        <f t="shared" si="497"/>
        <v>-</v>
      </c>
      <c r="BC361" s="964" t="str">
        <f t="shared" si="498"/>
        <v>-</v>
      </c>
      <c r="BD361" s="964" t="str">
        <f t="shared" si="499"/>
        <v>-</v>
      </c>
      <c r="BE361" s="964" t="str">
        <f t="shared" si="500"/>
        <v>-</v>
      </c>
      <c r="BF361" s="966" t="str">
        <f t="shared" si="501"/>
        <v>-</v>
      </c>
      <c r="BG361" s="951"/>
      <c r="BH361" s="961" t="str">
        <f t="shared" si="502"/>
        <v>Qty</v>
      </c>
      <c r="BI361" s="962" t="str">
        <f t="shared" si="503"/>
        <v>[Service]</v>
      </c>
      <c r="BJ361" s="963" t="str">
        <f t="shared" si="504"/>
        <v>[Price]</v>
      </c>
      <c r="BK361" s="964" t="str">
        <f t="shared" ref="BK361:BU361" si="557">IF(V361="","-",IFERROR((V361/U361-1)*(U362/U$13),"-"))</f>
        <v>-</v>
      </c>
      <c r="BL361" s="964" t="str">
        <f t="shared" si="557"/>
        <v>-</v>
      </c>
      <c r="BM361" s="964" t="str">
        <f t="shared" si="557"/>
        <v>-</v>
      </c>
      <c r="BN361" s="964" t="str">
        <f t="shared" si="557"/>
        <v>-</v>
      </c>
      <c r="BO361" s="1350" t="str">
        <f t="shared" si="557"/>
        <v>-</v>
      </c>
      <c r="BP361" s="1343" t="str">
        <f t="shared" si="557"/>
        <v>-</v>
      </c>
      <c r="BQ361" s="964" t="str">
        <f t="shared" si="557"/>
        <v>-</v>
      </c>
      <c r="BR361" s="964" t="str">
        <f t="shared" si="557"/>
        <v>-</v>
      </c>
      <c r="BS361" s="964" t="str">
        <f t="shared" si="557"/>
        <v>-</v>
      </c>
      <c r="BT361" s="965" t="str">
        <f t="shared" si="557"/>
        <v>-</v>
      </c>
      <c r="BU361" s="964" t="str">
        <f t="shared" si="557"/>
        <v>-</v>
      </c>
      <c r="BV361" s="964" t="str">
        <f>IF(AG361="","-",IFERROR((AG361/AF361-1)*(AF362/AF$13),"-"))</f>
        <v>-</v>
      </c>
      <c r="BW361" s="964" t="str">
        <f>IF(AH361="","-",IFERROR((AH361/AG361-1)*(AG362/AG$13),"-"))</f>
        <v>-</v>
      </c>
      <c r="BX361" s="964" t="str">
        <f>IF(AI361="","-",IFERROR((AI361/AH361-1)*(AH362/AH$13),"-"))</f>
        <v>-</v>
      </c>
      <c r="BY361" s="966" t="str">
        <f>IF(AJ361="","-",IFERROR((AJ361/AI361-1)*(AI362/AI$13),"-"))</f>
        <v>-</v>
      </c>
      <c r="BZ361" s="951"/>
      <c r="CA361" s="961" t="str">
        <f t="shared" si="482"/>
        <v>Qty</v>
      </c>
      <c r="CB361" s="962" t="str">
        <f t="shared" si="483"/>
        <v>[Service]</v>
      </c>
      <c r="CC361" s="962" t="str">
        <f t="shared" si="484"/>
        <v>[Price]</v>
      </c>
      <c r="CD361" s="967" t="str">
        <f t="shared" si="510"/>
        <v>-</v>
      </c>
      <c r="CE361" s="964" t="str">
        <f t="shared" si="510"/>
        <v>-</v>
      </c>
      <c r="CF361" s="964" t="str">
        <f t="shared" si="510"/>
        <v>-</v>
      </c>
      <c r="CG361" s="965" t="str">
        <f t="shared" si="506"/>
        <v>-</v>
      </c>
      <c r="CH361" s="964" t="str">
        <f t="shared" si="511"/>
        <v>-</v>
      </c>
      <c r="CI361" s="964" t="str">
        <f t="shared" si="511"/>
        <v>-</v>
      </c>
      <c r="CJ361" s="964" t="str">
        <f t="shared" si="511"/>
        <v>-</v>
      </c>
      <c r="CK361" s="966" t="str">
        <f t="shared" si="507"/>
        <v>-</v>
      </c>
    </row>
    <row r="362" spans="4:89" ht="12.75" thickBot="1">
      <c r="E362" s="568" t="s">
        <v>882</v>
      </c>
      <c r="F362" s="560" t="str">
        <f>+F360</f>
        <v>[Service]</v>
      </c>
      <c r="G362" s="561">
        <f>+G360</f>
        <v>0</v>
      </c>
      <c r="H362" s="561">
        <f>+H360</f>
        <v>0</v>
      </c>
      <c r="I362" s="562" t="str">
        <f>+I360</f>
        <v>[Price]</v>
      </c>
      <c r="J362" s="563" t="s">
        <v>883</v>
      </c>
      <c r="K362" s="564">
        <f t="shared" ref="K362:AJ362" si="558">K360*K361/10^6</f>
        <v>0</v>
      </c>
      <c r="L362" s="565">
        <f t="shared" si="558"/>
        <v>0</v>
      </c>
      <c r="M362" s="565">
        <f t="shared" si="558"/>
        <v>0</v>
      </c>
      <c r="N362" s="564">
        <f t="shared" si="558"/>
        <v>0</v>
      </c>
      <c r="O362" s="565">
        <f t="shared" si="558"/>
        <v>0</v>
      </c>
      <c r="P362" s="565">
        <f t="shared" si="558"/>
        <v>0</v>
      </c>
      <c r="Q362" s="565">
        <f t="shared" si="558"/>
        <v>0</v>
      </c>
      <c r="R362" s="566">
        <f t="shared" si="558"/>
        <v>0</v>
      </c>
      <c r="S362" s="564">
        <f t="shared" si="558"/>
        <v>0</v>
      </c>
      <c r="T362" s="565">
        <f t="shared" si="558"/>
        <v>0</v>
      </c>
      <c r="U362" s="566">
        <f t="shared" si="558"/>
        <v>0</v>
      </c>
      <c r="V362" s="565">
        <f t="shared" si="558"/>
        <v>0</v>
      </c>
      <c r="W362" s="565">
        <f t="shared" si="558"/>
        <v>0</v>
      </c>
      <c r="X362" s="565">
        <f t="shared" si="558"/>
        <v>0</v>
      </c>
      <c r="Y362" s="565">
        <f t="shared" si="558"/>
        <v>0</v>
      </c>
      <c r="Z362" s="565">
        <f t="shared" si="558"/>
        <v>0</v>
      </c>
      <c r="AA362" s="564">
        <f t="shared" si="558"/>
        <v>0</v>
      </c>
      <c r="AB362" s="565">
        <f t="shared" si="558"/>
        <v>0</v>
      </c>
      <c r="AC362" s="565">
        <f t="shared" si="558"/>
        <v>0</v>
      </c>
      <c r="AD362" s="565">
        <f t="shared" si="558"/>
        <v>0</v>
      </c>
      <c r="AE362" s="566">
        <f t="shared" si="558"/>
        <v>0</v>
      </c>
      <c r="AF362" s="565">
        <f t="shared" si="558"/>
        <v>0</v>
      </c>
      <c r="AG362" s="565">
        <f>AG360*AG361/10^6</f>
        <v>0</v>
      </c>
      <c r="AH362" s="565">
        <f>AH360*AH361/10^6</f>
        <v>0</v>
      </c>
      <c r="AI362" s="565">
        <f>AI360*AI361/10^6</f>
        <v>0</v>
      </c>
      <c r="AJ362" s="566">
        <f t="shared" si="558"/>
        <v>0</v>
      </c>
      <c r="AK362" s="548"/>
      <c r="AO362" s="984" t="str">
        <f t="shared" si="485"/>
        <v>Rev</v>
      </c>
      <c r="AP362" s="985" t="str">
        <f t="shared" si="485"/>
        <v>[Service]</v>
      </c>
      <c r="AQ362" s="986" t="str">
        <f t="shared" si="486"/>
        <v>[Price]</v>
      </c>
      <c r="AR362" s="990" t="str">
        <f t="shared" si="487"/>
        <v>-</v>
      </c>
      <c r="AS362" s="987" t="str">
        <f t="shared" si="488"/>
        <v>-</v>
      </c>
      <c r="AT362" s="987" t="str">
        <f t="shared" si="489"/>
        <v>-</v>
      </c>
      <c r="AU362" s="987" t="str">
        <f t="shared" si="490"/>
        <v>-</v>
      </c>
      <c r="AV362" s="1353" t="str">
        <f t="shared" si="491"/>
        <v>-</v>
      </c>
      <c r="AW362" s="1346" t="str">
        <f t="shared" si="492"/>
        <v>-</v>
      </c>
      <c r="AX362" s="987" t="str">
        <f t="shared" si="493"/>
        <v>-</v>
      </c>
      <c r="AY362" s="987" t="str">
        <f t="shared" si="494"/>
        <v>-</v>
      </c>
      <c r="AZ362" s="987" t="str">
        <f t="shared" si="495"/>
        <v>-</v>
      </c>
      <c r="BA362" s="988" t="str">
        <f t="shared" si="496"/>
        <v>-</v>
      </c>
      <c r="BB362" s="1346" t="str">
        <f t="shared" si="497"/>
        <v>-</v>
      </c>
      <c r="BC362" s="987" t="str">
        <f t="shared" si="498"/>
        <v>-</v>
      </c>
      <c r="BD362" s="987" t="str">
        <f t="shared" si="499"/>
        <v>-</v>
      </c>
      <c r="BE362" s="987" t="str">
        <f t="shared" si="500"/>
        <v>-</v>
      </c>
      <c r="BF362" s="989" t="str">
        <f t="shared" si="501"/>
        <v>-</v>
      </c>
      <c r="BG362" s="951"/>
      <c r="BH362" s="984" t="str">
        <f t="shared" si="502"/>
        <v>Rev</v>
      </c>
      <c r="BI362" s="985" t="str">
        <f t="shared" si="503"/>
        <v>[Service]</v>
      </c>
      <c r="BJ362" s="986" t="str">
        <f t="shared" si="504"/>
        <v>[Price]</v>
      </c>
      <c r="BK362" s="987" t="str">
        <f t="shared" ref="BK362:BU362" si="559">IF(V362="","-",IFERROR((V362/U362-1)*(U362/U$13),"-"))</f>
        <v>-</v>
      </c>
      <c r="BL362" s="987" t="str">
        <f t="shared" si="559"/>
        <v>-</v>
      </c>
      <c r="BM362" s="987" t="str">
        <f t="shared" si="559"/>
        <v>-</v>
      </c>
      <c r="BN362" s="987" t="str">
        <f t="shared" si="559"/>
        <v>-</v>
      </c>
      <c r="BO362" s="1353" t="str">
        <f t="shared" si="559"/>
        <v>-</v>
      </c>
      <c r="BP362" s="1346" t="str">
        <f t="shared" si="559"/>
        <v>-</v>
      </c>
      <c r="BQ362" s="987" t="str">
        <f t="shared" si="559"/>
        <v>-</v>
      </c>
      <c r="BR362" s="987" t="str">
        <f t="shared" si="559"/>
        <v>-</v>
      </c>
      <c r="BS362" s="987" t="str">
        <f t="shared" si="559"/>
        <v>-</v>
      </c>
      <c r="BT362" s="988" t="str">
        <f t="shared" si="559"/>
        <v>-</v>
      </c>
      <c r="BU362" s="987" t="str">
        <f t="shared" si="559"/>
        <v>-</v>
      </c>
      <c r="BV362" s="987" t="str">
        <f>IF(AG362="","-",IFERROR((AG362/AF362-1)*(AF362/AF$13),"-"))</f>
        <v>-</v>
      </c>
      <c r="BW362" s="987" t="str">
        <f>IF(AH362="","-",IFERROR((AH362/AG362-1)*(AG362/AG$13),"-"))</f>
        <v>-</v>
      </c>
      <c r="BX362" s="987" t="str">
        <f>IF(AI362="","-",IFERROR((AI362/AH362-1)*(AH362/AH$13),"-"))</f>
        <v>-</v>
      </c>
      <c r="BY362" s="989" t="str">
        <f>IF(AJ362="","-",IFERROR((AJ362/AI362-1)*(AI362/AI$13),"-"))</f>
        <v>-</v>
      </c>
      <c r="BZ362" s="951"/>
      <c r="CA362" s="984" t="str">
        <f t="shared" si="482"/>
        <v>Rev</v>
      </c>
      <c r="CB362" s="985" t="str">
        <f t="shared" si="483"/>
        <v>[Service]</v>
      </c>
      <c r="CC362" s="985" t="str">
        <f t="shared" si="484"/>
        <v>[Price]</v>
      </c>
      <c r="CD362" s="990" t="str">
        <f t="shared" si="510"/>
        <v>-</v>
      </c>
      <c r="CE362" s="987" t="str">
        <f t="shared" si="510"/>
        <v>-</v>
      </c>
      <c r="CF362" s="987" t="str">
        <f t="shared" si="510"/>
        <v>-</v>
      </c>
      <c r="CG362" s="988" t="str">
        <f t="shared" si="506"/>
        <v>-</v>
      </c>
      <c r="CH362" s="987" t="str">
        <f t="shared" si="511"/>
        <v>-</v>
      </c>
      <c r="CI362" s="987" t="str">
        <f t="shared" si="511"/>
        <v>-</v>
      </c>
      <c r="CJ362" s="987" t="str">
        <f t="shared" si="511"/>
        <v>-</v>
      </c>
      <c r="CK362" s="989" t="str">
        <f t="shared" si="507"/>
        <v>-</v>
      </c>
    </row>
    <row r="363" spans="4:89">
      <c r="D363" s="63">
        <f>D360+1</f>
        <v>99</v>
      </c>
      <c r="E363" s="550" t="s">
        <v>857</v>
      </c>
      <c r="F363" s="595" t="s">
        <v>428</v>
      </c>
      <c r="G363" s="595"/>
      <c r="H363" s="595"/>
      <c r="I363" s="589" t="s">
        <v>920</v>
      </c>
      <c r="J363" s="589" t="s">
        <v>879</v>
      </c>
      <c r="K363" s="551"/>
      <c r="L363" s="552"/>
      <c r="M363" s="552"/>
      <c r="N363" s="551"/>
      <c r="O363" s="552"/>
      <c r="P363" s="552"/>
      <c r="Q363" s="552"/>
      <c r="R363" s="1035"/>
      <c r="S363" s="1138"/>
      <c r="T363" s="591"/>
      <c r="U363" s="1035"/>
      <c r="V363" s="591"/>
      <c r="W363" s="591"/>
      <c r="X363" s="591"/>
      <c r="Y363" s="591"/>
      <c r="Z363" s="591"/>
      <c r="AA363" s="1138"/>
      <c r="AB363" s="591"/>
      <c r="AC363" s="591"/>
      <c r="AD363" s="591"/>
      <c r="AE363" s="1035"/>
      <c r="AF363" s="591"/>
      <c r="AG363" s="591"/>
      <c r="AH363" s="591"/>
      <c r="AI363" s="591"/>
      <c r="AJ363" s="592"/>
      <c r="AK363" s="548"/>
      <c r="AM363" s="974"/>
      <c r="AO363" s="975" t="str">
        <f t="shared" si="485"/>
        <v>Price</v>
      </c>
      <c r="AP363" s="976" t="str">
        <f t="shared" si="485"/>
        <v>[Service]</v>
      </c>
      <c r="AQ363" s="977" t="str">
        <f t="shared" si="486"/>
        <v>[Price]</v>
      </c>
      <c r="AR363" s="1341" t="str">
        <f t="shared" si="487"/>
        <v>-</v>
      </c>
      <c r="AS363" s="978" t="str">
        <f t="shared" si="488"/>
        <v>-</v>
      </c>
      <c r="AT363" s="979" t="str">
        <f t="shared" si="489"/>
        <v>-</v>
      </c>
      <c r="AU363" s="979" t="str">
        <f t="shared" si="490"/>
        <v>-</v>
      </c>
      <c r="AV363" s="1352" t="str">
        <f t="shared" si="491"/>
        <v>-</v>
      </c>
      <c r="AW363" s="1345" t="str">
        <f t="shared" si="492"/>
        <v>-</v>
      </c>
      <c r="AX363" s="979" t="str">
        <f t="shared" si="493"/>
        <v>-</v>
      </c>
      <c r="AY363" s="979" t="str">
        <f t="shared" si="494"/>
        <v>-</v>
      </c>
      <c r="AZ363" s="979" t="str">
        <f t="shared" si="495"/>
        <v>-</v>
      </c>
      <c r="BA363" s="980" t="str">
        <f t="shared" si="496"/>
        <v>-</v>
      </c>
      <c r="BB363" s="1345" t="str">
        <f t="shared" si="497"/>
        <v>-</v>
      </c>
      <c r="BC363" s="979" t="str">
        <f t="shared" si="498"/>
        <v>-</v>
      </c>
      <c r="BD363" s="979" t="str">
        <f t="shared" si="499"/>
        <v>-</v>
      </c>
      <c r="BE363" s="979" t="str">
        <f t="shared" si="500"/>
        <v>-</v>
      </c>
      <c r="BF363" s="981" t="str">
        <f t="shared" si="501"/>
        <v>-</v>
      </c>
      <c r="BG363" s="951"/>
      <c r="BH363" s="975" t="str">
        <f t="shared" si="502"/>
        <v>Price</v>
      </c>
      <c r="BI363" s="976" t="str">
        <f t="shared" si="503"/>
        <v>[Service]</v>
      </c>
      <c r="BJ363" s="977" t="str">
        <f t="shared" si="504"/>
        <v>[Price]</v>
      </c>
      <c r="BK363" s="978" t="str">
        <f t="shared" ref="BK363:BU363" si="560">IF(V363="","-",IFERROR((V363/U363-1)*(U365/U$13),"-"))</f>
        <v>-</v>
      </c>
      <c r="BL363" s="978" t="str">
        <f t="shared" si="560"/>
        <v>-</v>
      </c>
      <c r="BM363" s="979" t="str">
        <f t="shared" si="560"/>
        <v>-</v>
      </c>
      <c r="BN363" s="979" t="str">
        <f t="shared" si="560"/>
        <v>-</v>
      </c>
      <c r="BO363" s="1352" t="str">
        <f t="shared" si="560"/>
        <v>-</v>
      </c>
      <c r="BP363" s="1345" t="str">
        <f t="shared" si="560"/>
        <v>-</v>
      </c>
      <c r="BQ363" s="979" t="str">
        <f t="shared" si="560"/>
        <v>-</v>
      </c>
      <c r="BR363" s="979" t="str">
        <f t="shared" si="560"/>
        <v>-</v>
      </c>
      <c r="BS363" s="979" t="str">
        <f t="shared" si="560"/>
        <v>-</v>
      </c>
      <c r="BT363" s="980" t="str">
        <f t="shared" si="560"/>
        <v>-</v>
      </c>
      <c r="BU363" s="979" t="str">
        <f t="shared" si="560"/>
        <v>-</v>
      </c>
      <c r="BV363" s="979" t="str">
        <f>IF(AG363="","-",IFERROR((AG363/AF363-1)*(AF365/AF$13),"-"))</f>
        <v>-</v>
      </c>
      <c r="BW363" s="979" t="str">
        <f>IF(AH363="","-",IFERROR((AH363/AG363-1)*(AG365/AG$13),"-"))</f>
        <v>-</v>
      </c>
      <c r="BX363" s="979" t="str">
        <f>IF(AI363="","-",IFERROR((AI363/AH363-1)*(AH365/AH$13),"-"))</f>
        <v>-</v>
      </c>
      <c r="BY363" s="981" t="str">
        <f>IF(AJ363="","-",IFERROR((AJ363/AI363-1)*(AI365/AI$13),"-"))</f>
        <v>-</v>
      </c>
      <c r="BZ363" s="951"/>
      <c r="CA363" s="975" t="str">
        <f t="shared" si="482"/>
        <v>Price</v>
      </c>
      <c r="CB363" s="976" t="str">
        <f t="shared" si="483"/>
        <v>[Service]</v>
      </c>
      <c r="CC363" s="982" t="str">
        <f t="shared" si="484"/>
        <v>[Price]</v>
      </c>
      <c r="CD363" s="983" t="str">
        <f t="shared" si="510"/>
        <v>-</v>
      </c>
      <c r="CE363" s="979" t="str">
        <f t="shared" si="510"/>
        <v>-</v>
      </c>
      <c r="CF363" s="979" t="str">
        <f t="shared" si="510"/>
        <v>-</v>
      </c>
      <c r="CG363" s="980" t="str">
        <f t="shared" si="506"/>
        <v>-</v>
      </c>
      <c r="CH363" s="979" t="str">
        <f t="shared" si="511"/>
        <v>-</v>
      </c>
      <c r="CI363" s="979" t="str">
        <f t="shared" si="511"/>
        <v>-</v>
      </c>
      <c r="CJ363" s="979" t="str">
        <f t="shared" si="511"/>
        <v>-</v>
      </c>
      <c r="CK363" s="981" t="str">
        <f t="shared" si="507"/>
        <v>-</v>
      </c>
    </row>
    <row r="364" spans="4:89">
      <c r="E364" s="567" t="s">
        <v>880</v>
      </c>
      <c r="F364" s="554" t="str">
        <f>+F363</f>
        <v>[Service]</v>
      </c>
      <c r="G364" s="555">
        <f>+G363</f>
        <v>0</v>
      </c>
      <c r="H364" s="555">
        <f>+H363</f>
        <v>0</v>
      </c>
      <c r="I364" s="556" t="str">
        <f>+I363</f>
        <v>[Price]</v>
      </c>
      <c r="J364" s="590" t="s">
        <v>916</v>
      </c>
      <c r="K364" s="557"/>
      <c r="L364" s="558"/>
      <c r="M364" s="558"/>
      <c r="N364" s="557"/>
      <c r="O364" s="558"/>
      <c r="P364" s="558"/>
      <c r="Q364" s="558"/>
      <c r="R364" s="1036"/>
      <c r="S364" s="1139"/>
      <c r="T364" s="593"/>
      <c r="U364" s="1036"/>
      <c r="V364" s="593"/>
      <c r="W364" s="593"/>
      <c r="X364" s="593"/>
      <c r="Y364" s="593"/>
      <c r="Z364" s="593"/>
      <c r="AA364" s="1139"/>
      <c r="AB364" s="593"/>
      <c r="AC364" s="593"/>
      <c r="AD364" s="593"/>
      <c r="AE364" s="1036"/>
      <c r="AF364" s="593"/>
      <c r="AG364" s="593"/>
      <c r="AH364" s="593"/>
      <c r="AI364" s="593"/>
      <c r="AJ364" s="594"/>
      <c r="AK364" s="548"/>
      <c r="AO364" s="961" t="str">
        <f t="shared" si="485"/>
        <v>Qty</v>
      </c>
      <c r="AP364" s="962" t="str">
        <f t="shared" si="485"/>
        <v>[Service]</v>
      </c>
      <c r="AQ364" s="963" t="str">
        <f t="shared" si="486"/>
        <v>[Price]</v>
      </c>
      <c r="AR364" s="967" t="str">
        <f t="shared" si="487"/>
        <v>-</v>
      </c>
      <c r="AS364" s="964" t="str">
        <f t="shared" si="488"/>
        <v>-</v>
      </c>
      <c r="AT364" s="964" t="str">
        <f t="shared" si="489"/>
        <v>-</v>
      </c>
      <c r="AU364" s="964" t="str">
        <f t="shared" si="490"/>
        <v>-</v>
      </c>
      <c r="AV364" s="1350" t="str">
        <f t="shared" si="491"/>
        <v>-</v>
      </c>
      <c r="AW364" s="1343" t="str">
        <f t="shared" si="492"/>
        <v>-</v>
      </c>
      <c r="AX364" s="964" t="str">
        <f t="shared" si="493"/>
        <v>-</v>
      </c>
      <c r="AY364" s="964" t="str">
        <f t="shared" si="494"/>
        <v>-</v>
      </c>
      <c r="AZ364" s="964" t="str">
        <f t="shared" si="495"/>
        <v>-</v>
      </c>
      <c r="BA364" s="965" t="str">
        <f t="shared" si="496"/>
        <v>-</v>
      </c>
      <c r="BB364" s="1343" t="str">
        <f t="shared" si="497"/>
        <v>-</v>
      </c>
      <c r="BC364" s="964" t="str">
        <f t="shared" si="498"/>
        <v>-</v>
      </c>
      <c r="BD364" s="964" t="str">
        <f t="shared" si="499"/>
        <v>-</v>
      </c>
      <c r="BE364" s="964" t="str">
        <f t="shared" si="500"/>
        <v>-</v>
      </c>
      <c r="BF364" s="966" t="str">
        <f t="shared" si="501"/>
        <v>-</v>
      </c>
      <c r="BG364" s="951"/>
      <c r="BH364" s="961" t="str">
        <f t="shared" si="502"/>
        <v>Qty</v>
      </c>
      <c r="BI364" s="962" t="str">
        <f t="shared" si="503"/>
        <v>[Service]</v>
      </c>
      <c r="BJ364" s="963" t="str">
        <f t="shared" si="504"/>
        <v>[Price]</v>
      </c>
      <c r="BK364" s="964" t="str">
        <f t="shared" ref="BK364:BU364" si="561">IF(V364="","-",IFERROR((V364/U364-1)*(U365/U$13),"-"))</f>
        <v>-</v>
      </c>
      <c r="BL364" s="964" t="str">
        <f t="shared" si="561"/>
        <v>-</v>
      </c>
      <c r="BM364" s="964" t="str">
        <f t="shared" si="561"/>
        <v>-</v>
      </c>
      <c r="BN364" s="964" t="str">
        <f t="shared" si="561"/>
        <v>-</v>
      </c>
      <c r="BO364" s="1350" t="str">
        <f t="shared" si="561"/>
        <v>-</v>
      </c>
      <c r="BP364" s="1343" t="str">
        <f t="shared" si="561"/>
        <v>-</v>
      </c>
      <c r="BQ364" s="964" t="str">
        <f t="shared" si="561"/>
        <v>-</v>
      </c>
      <c r="BR364" s="964" t="str">
        <f t="shared" si="561"/>
        <v>-</v>
      </c>
      <c r="BS364" s="964" t="str">
        <f t="shared" si="561"/>
        <v>-</v>
      </c>
      <c r="BT364" s="965" t="str">
        <f t="shared" si="561"/>
        <v>-</v>
      </c>
      <c r="BU364" s="964" t="str">
        <f t="shared" si="561"/>
        <v>-</v>
      </c>
      <c r="BV364" s="964" t="str">
        <f>IF(AG364="","-",IFERROR((AG364/AF364-1)*(AF365/AF$13),"-"))</f>
        <v>-</v>
      </c>
      <c r="BW364" s="964" t="str">
        <f>IF(AH364="","-",IFERROR((AH364/AG364-1)*(AG365/AG$13),"-"))</f>
        <v>-</v>
      </c>
      <c r="BX364" s="964" t="str">
        <f>IF(AI364="","-",IFERROR((AI364/AH364-1)*(AH365/AH$13),"-"))</f>
        <v>-</v>
      </c>
      <c r="BY364" s="966" t="str">
        <f>IF(AJ364="","-",IFERROR((AJ364/AI364-1)*(AI365/AI$13),"-"))</f>
        <v>-</v>
      </c>
      <c r="BZ364" s="951"/>
      <c r="CA364" s="961" t="str">
        <f t="shared" si="482"/>
        <v>Qty</v>
      </c>
      <c r="CB364" s="962" t="str">
        <f t="shared" si="483"/>
        <v>[Service]</v>
      </c>
      <c r="CC364" s="962" t="str">
        <f t="shared" si="484"/>
        <v>[Price]</v>
      </c>
      <c r="CD364" s="967" t="str">
        <f t="shared" si="510"/>
        <v>-</v>
      </c>
      <c r="CE364" s="964" t="str">
        <f t="shared" si="510"/>
        <v>-</v>
      </c>
      <c r="CF364" s="964" t="str">
        <f t="shared" si="510"/>
        <v>-</v>
      </c>
      <c r="CG364" s="965" t="str">
        <f t="shared" si="506"/>
        <v>-</v>
      </c>
      <c r="CH364" s="964" t="str">
        <f t="shared" si="511"/>
        <v>-</v>
      </c>
      <c r="CI364" s="964" t="str">
        <f t="shared" si="511"/>
        <v>-</v>
      </c>
      <c r="CJ364" s="964" t="str">
        <f t="shared" si="511"/>
        <v>-</v>
      </c>
      <c r="CK364" s="966" t="str">
        <f t="shared" si="507"/>
        <v>-</v>
      </c>
    </row>
    <row r="365" spans="4:89" ht="12.75" thickBot="1">
      <c r="E365" s="568" t="s">
        <v>882</v>
      </c>
      <c r="F365" s="560" t="str">
        <f>+F363</f>
        <v>[Service]</v>
      </c>
      <c r="G365" s="561">
        <f>+G363</f>
        <v>0</v>
      </c>
      <c r="H365" s="561">
        <f>+H363</f>
        <v>0</v>
      </c>
      <c r="I365" s="562" t="str">
        <f>+I363</f>
        <v>[Price]</v>
      </c>
      <c r="J365" s="563" t="s">
        <v>883</v>
      </c>
      <c r="K365" s="564">
        <f t="shared" ref="K365:AJ365" si="562">K363*K364/10^6</f>
        <v>0</v>
      </c>
      <c r="L365" s="565">
        <f t="shared" si="562"/>
        <v>0</v>
      </c>
      <c r="M365" s="565">
        <f t="shared" si="562"/>
        <v>0</v>
      </c>
      <c r="N365" s="564">
        <f t="shared" si="562"/>
        <v>0</v>
      </c>
      <c r="O365" s="565">
        <f t="shared" si="562"/>
        <v>0</v>
      </c>
      <c r="P365" s="565">
        <f t="shared" si="562"/>
        <v>0</v>
      </c>
      <c r="Q365" s="565">
        <f t="shared" si="562"/>
        <v>0</v>
      </c>
      <c r="R365" s="566">
        <f t="shared" si="562"/>
        <v>0</v>
      </c>
      <c r="S365" s="564">
        <f t="shared" si="562"/>
        <v>0</v>
      </c>
      <c r="T365" s="565">
        <f t="shared" si="562"/>
        <v>0</v>
      </c>
      <c r="U365" s="566">
        <f t="shared" si="562"/>
        <v>0</v>
      </c>
      <c r="V365" s="565">
        <f t="shared" si="562"/>
        <v>0</v>
      </c>
      <c r="W365" s="565">
        <f t="shared" si="562"/>
        <v>0</v>
      </c>
      <c r="X365" s="565">
        <f t="shared" si="562"/>
        <v>0</v>
      </c>
      <c r="Y365" s="565">
        <f t="shared" si="562"/>
        <v>0</v>
      </c>
      <c r="Z365" s="565">
        <f t="shared" si="562"/>
        <v>0</v>
      </c>
      <c r="AA365" s="564">
        <f t="shared" si="562"/>
        <v>0</v>
      </c>
      <c r="AB365" s="565">
        <f t="shared" si="562"/>
        <v>0</v>
      </c>
      <c r="AC365" s="565">
        <f t="shared" si="562"/>
        <v>0</v>
      </c>
      <c r="AD365" s="565">
        <f t="shared" si="562"/>
        <v>0</v>
      </c>
      <c r="AE365" s="566">
        <f t="shared" si="562"/>
        <v>0</v>
      </c>
      <c r="AF365" s="565">
        <f t="shared" si="562"/>
        <v>0</v>
      </c>
      <c r="AG365" s="565">
        <f>AG363*AG364/10^6</f>
        <v>0</v>
      </c>
      <c r="AH365" s="565">
        <f>AH363*AH364/10^6</f>
        <v>0</v>
      </c>
      <c r="AI365" s="565">
        <f>AI363*AI364/10^6</f>
        <v>0</v>
      </c>
      <c r="AJ365" s="566">
        <f t="shared" si="562"/>
        <v>0</v>
      </c>
      <c r="AK365" s="548"/>
      <c r="AO365" s="984" t="str">
        <f t="shared" si="485"/>
        <v>Rev</v>
      </c>
      <c r="AP365" s="985" t="str">
        <f t="shared" si="485"/>
        <v>[Service]</v>
      </c>
      <c r="AQ365" s="986" t="str">
        <f t="shared" si="486"/>
        <v>[Price]</v>
      </c>
      <c r="AR365" s="990" t="str">
        <f t="shared" si="487"/>
        <v>-</v>
      </c>
      <c r="AS365" s="987" t="str">
        <f t="shared" si="488"/>
        <v>-</v>
      </c>
      <c r="AT365" s="987" t="str">
        <f t="shared" si="489"/>
        <v>-</v>
      </c>
      <c r="AU365" s="987" t="str">
        <f t="shared" si="490"/>
        <v>-</v>
      </c>
      <c r="AV365" s="1353" t="str">
        <f t="shared" si="491"/>
        <v>-</v>
      </c>
      <c r="AW365" s="1346" t="str">
        <f t="shared" si="492"/>
        <v>-</v>
      </c>
      <c r="AX365" s="987" t="str">
        <f t="shared" si="493"/>
        <v>-</v>
      </c>
      <c r="AY365" s="987" t="str">
        <f t="shared" si="494"/>
        <v>-</v>
      </c>
      <c r="AZ365" s="987" t="str">
        <f t="shared" si="495"/>
        <v>-</v>
      </c>
      <c r="BA365" s="988" t="str">
        <f t="shared" si="496"/>
        <v>-</v>
      </c>
      <c r="BB365" s="1346" t="str">
        <f t="shared" si="497"/>
        <v>-</v>
      </c>
      <c r="BC365" s="987" t="str">
        <f t="shared" si="498"/>
        <v>-</v>
      </c>
      <c r="BD365" s="987" t="str">
        <f t="shared" si="499"/>
        <v>-</v>
      </c>
      <c r="BE365" s="987" t="str">
        <f t="shared" si="500"/>
        <v>-</v>
      </c>
      <c r="BF365" s="989" t="str">
        <f t="shared" si="501"/>
        <v>-</v>
      </c>
      <c r="BG365" s="951"/>
      <c r="BH365" s="984" t="str">
        <f t="shared" si="502"/>
        <v>Rev</v>
      </c>
      <c r="BI365" s="985" t="str">
        <f t="shared" si="503"/>
        <v>[Service]</v>
      </c>
      <c r="BJ365" s="986" t="str">
        <f t="shared" si="504"/>
        <v>[Price]</v>
      </c>
      <c r="BK365" s="987" t="str">
        <f t="shared" ref="BK365:BU365" si="563">IF(V365="","-",IFERROR((V365/U365-1)*(U365/U$13),"-"))</f>
        <v>-</v>
      </c>
      <c r="BL365" s="987" t="str">
        <f t="shared" si="563"/>
        <v>-</v>
      </c>
      <c r="BM365" s="987" t="str">
        <f t="shared" si="563"/>
        <v>-</v>
      </c>
      <c r="BN365" s="987" t="str">
        <f t="shared" si="563"/>
        <v>-</v>
      </c>
      <c r="BO365" s="1353" t="str">
        <f t="shared" si="563"/>
        <v>-</v>
      </c>
      <c r="BP365" s="1346" t="str">
        <f t="shared" si="563"/>
        <v>-</v>
      </c>
      <c r="BQ365" s="987" t="str">
        <f t="shared" si="563"/>
        <v>-</v>
      </c>
      <c r="BR365" s="987" t="str">
        <f t="shared" si="563"/>
        <v>-</v>
      </c>
      <c r="BS365" s="987" t="str">
        <f t="shared" si="563"/>
        <v>-</v>
      </c>
      <c r="BT365" s="988" t="str">
        <f t="shared" si="563"/>
        <v>-</v>
      </c>
      <c r="BU365" s="987" t="str">
        <f t="shared" si="563"/>
        <v>-</v>
      </c>
      <c r="BV365" s="987" t="str">
        <f>IF(AG365="","-",IFERROR((AG365/AF365-1)*(AF365/AF$13),"-"))</f>
        <v>-</v>
      </c>
      <c r="BW365" s="987" t="str">
        <f>IF(AH365="","-",IFERROR((AH365/AG365-1)*(AG365/AG$13),"-"))</f>
        <v>-</v>
      </c>
      <c r="BX365" s="987" t="str">
        <f>IF(AI365="","-",IFERROR((AI365/AH365-1)*(AH365/AH$13),"-"))</f>
        <v>-</v>
      </c>
      <c r="BY365" s="989" t="str">
        <f>IF(AJ365="","-",IFERROR((AJ365/AI365-1)*(AI365/AI$13),"-"))</f>
        <v>-</v>
      </c>
      <c r="BZ365" s="951"/>
      <c r="CA365" s="984" t="str">
        <f t="shared" si="482"/>
        <v>Rev</v>
      </c>
      <c r="CB365" s="985" t="str">
        <f t="shared" si="483"/>
        <v>[Service]</v>
      </c>
      <c r="CC365" s="985" t="str">
        <f t="shared" si="484"/>
        <v>[Price]</v>
      </c>
      <c r="CD365" s="990" t="str">
        <f t="shared" si="510"/>
        <v>-</v>
      </c>
      <c r="CE365" s="987" t="str">
        <f t="shared" si="510"/>
        <v>-</v>
      </c>
      <c r="CF365" s="987" t="str">
        <f t="shared" si="510"/>
        <v>-</v>
      </c>
      <c r="CG365" s="988" t="str">
        <f t="shared" si="506"/>
        <v>-</v>
      </c>
      <c r="CH365" s="987" t="str">
        <f t="shared" si="511"/>
        <v>-</v>
      </c>
      <c r="CI365" s="987" t="str">
        <f t="shared" si="511"/>
        <v>-</v>
      </c>
      <c r="CJ365" s="987" t="str">
        <f t="shared" si="511"/>
        <v>-</v>
      </c>
      <c r="CK365" s="989" t="str">
        <f t="shared" si="507"/>
        <v>-</v>
      </c>
    </row>
    <row r="366" spans="4:89">
      <c r="D366" s="63">
        <f>D363+1</f>
        <v>100</v>
      </c>
      <c r="E366" s="550" t="s">
        <v>857</v>
      </c>
      <c r="F366" s="595" t="s">
        <v>428</v>
      </c>
      <c r="G366" s="595"/>
      <c r="H366" s="595"/>
      <c r="I366" s="589" t="s">
        <v>920</v>
      </c>
      <c r="J366" s="589" t="s">
        <v>879</v>
      </c>
      <c r="K366" s="551"/>
      <c r="L366" s="552"/>
      <c r="M366" s="552"/>
      <c r="N366" s="551"/>
      <c r="O366" s="552"/>
      <c r="P366" s="552"/>
      <c r="Q366" s="552"/>
      <c r="R366" s="1035"/>
      <c r="S366" s="1138"/>
      <c r="T366" s="591"/>
      <c r="U366" s="1035"/>
      <c r="V366" s="591"/>
      <c r="W366" s="591"/>
      <c r="X366" s="591"/>
      <c r="Y366" s="591"/>
      <c r="Z366" s="591"/>
      <c r="AA366" s="1138"/>
      <c r="AB366" s="591"/>
      <c r="AC366" s="591"/>
      <c r="AD366" s="591"/>
      <c r="AE366" s="1035"/>
      <c r="AF366" s="591"/>
      <c r="AG366" s="591"/>
      <c r="AH366" s="591"/>
      <c r="AI366" s="591"/>
      <c r="AJ366" s="592"/>
      <c r="AK366" s="548"/>
      <c r="AM366" s="974"/>
      <c r="AO366" s="975" t="str">
        <f t="shared" si="485"/>
        <v>Price</v>
      </c>
      <c r="AP366" s="976" t="str">
        <f t="shared" si="485"/>
        <v>[Service]</v>
      </c>
      <c r="AQ366" s="977" t="str">
        <f t="shared" si="486"/>
        <v>[Price]</v>
      </c>
      <c r="AR366" s="1341" t="str">
        <f t="shared" si="487"/>
        <v>-</v>
      </c>
      <c r="AS366" s="978" t="str">
        <f t="shared" si="488"/>
        <v>-</v>
      </c>
      <c r="AT366" s="979" t="str">
        <f t="shared" si="489"/>
        <v>-</v>
      </c>
      <c r="AU366" s="979" t="str">
        <f t="shared" si="490"/>
        <v>-</v>
      </c>
      <c r="AV366" s="1352" t="str">
        <f t="shared" si="491"/>
        <v>-</v>
      </c>
      <c r="AW366" s="1345" t="str">
        <f t="shared" si="492"/>
        <v>-</v>
      </c>
      <c r="AX366" s="979" t="str">
        <f t="shared" si="493"/>
        <v>-</v>
      </c>
      <c r="AY366" s="979" t="str">
        <f t="shared" si="494"/>
        <v>-</v>
      </c>
      <c r="AZ366" s="979" t="str">
        <f t="shared" si="495"/>
        <v>-</v>
      </c>
      <c r="BA366" s="980" t="str">
        <f t="shared" si="496"/>
        <v>-</v>
      </c>
      <c r="BB366" s="1345" t="str">
        <f t="shared" si="497"/>
        <v>-</v>
      </c>
      <c r="BC366" s="979" t="str">
        <f t="shared" si="498"/>
        <v>-</v>
      </c>
      <c r="BD366" s="979" t="str">
        <f t="shared" si="499"/>
        <v>-</v>
      </c>
      <c r="BE366" s="979" t="str">
        <f t="shared" si="500"/>
        <v>-</v>
      </c>
      <c r="BF366" s="981" t="str">
        <f t="shared" si="501"/>
        <v>-</v>
      </c>
      <c r="BG366" s="951"/>
      <c r="BH366" s="975" t="str">
        <f t="shared" si="502"/>
        <v>Price</v>
      </c>
      <c r="BI366" s="976" t="str">
        <f t="shared" si="503"/>
        <v>[Service]</v>
      </c>
      <c r="BJ366" s="977" t="str">
        <f t="shared" si="504"/>
        <v>[Price]</v>
      </c>
      <c r="BK366" s="978" t="str">
        <f t="shared" ref="BK366:BU366" si="564">IF(V366="","-",IFERROR((V366/U366-1)*(U368/U$13),"-"))</f>
        <v>-</v>
      </c>
      <c r="BL366" s="978" t="str">
        <f t="shared" si="564"/>
        <v>-</v>
      </c>
      <c r="BM366" s="979" t="str">
        <f t="shared" si="564"/>
        <v>-</v>
      </c>
      <c r="BN366" s="979" t="str">
        <f t="shared" si="564"/>
        <v>-</v>
      </c>
      <c r="BO366" s="1352" t="str">
        <f t="shared" si="564"/>
        <v>-</v>
      </c>
      <c r="BP366" s="1345" t="str">
        <f t="shared" si="564"/>
        <v>-</v>
      </c>
      <c r="BQ366" s="979" t="str">
        <f t="shared" si="564"/>
        <v>-</v>
      </c>
      <c r="BR366" s="979" t="str">
        <f t="shared" si="564"/>
        <v>-</v>
      </c>
      <c r="BS366" s="979" t="str">
        <f t="shared" si="564"/>
        <v>-</v>
      </c>
      <c r="BT366" s="980" t="str">
        <f t="shared" si="564"/>
        <v>-</v>
      </c>
      <c r="BU366" s="979" t="str">
        <f t="shared" si="564"/>
        <v>-</v>
      </c>
      <c r="BV366" s="979" t="str">
        <f>IF(AG366="","-",IFERROR((AG366/AF366-1)*(AF368/AF$13),"-"))</f>
        <v>-</v>
      </c>
      <c r="BW366" s="979" t="str">
        <f>IF(AH366="","-",IFERROR((AH366/AG366-1)*(AG368/AG$13),"-"))</f>
        <v>-</v>
      </c>
      <c r="BX366" s="979" t="str">
        <f>IF(AI366="","-",IFERROR((AI366/AH366-1)*(AH368/AH$13),"-"))</f>
        <v>-</v>
      </c>
      <c r="BY366" s="981" t="str">
        <f>IF(AJ366="","-",IFERROR((AJ366/AI366-1)*(AI368/AI$13),"-"))</f>
        <v>-</v>
      </c>
      <c r="BZ366" s="951"/>
      <c r="CA366" s="975" t="str">
        <f t="shared" si="482"/>
        <v>Price</v>
      </c>
      <c r="CB366" s="976" t="str">
        <f t="shared" si="483"/>
        <v>[Service]</v>
      </c>
      <c r="CC366" s="982" t="str">
        <f t="shared" si="484"/>
        <v>[Price]</v>
      </c>
      <c r="CD366" s="983" t="str">
        <f t="shared" si="510"/>
        <v>-</v>
      </c>
      <c r="CE366" s="979" t="str">
        <f t="shared" si="510"/>
        <v>-</v>
      </c>
      <c r="CF366" s="979" t="str">
        <f t="shared" si="510"/>
        <v>-</v>
      </c>
      <c r="CG366" s="980" t="str">
        <f t="shared" si="506"/>
        <v>-</v>
      </c>
      <c r="CH366" s="979" t="str">
        <f t="shared" si="511"/>
        <v>-</v>
      </c>
      <c r="CI366" s="979" t="str">
        <f t="shared" si="511"/>
        <v>-</v>
      </c>
      <c r="CJ366" s="979" t="str">
        <f t="shared" si="511"/>
        <v>-</v>
      </c>
      <c r="CK366" s="981" t="str">
        <f t="shared" si="507"/>
        <v>-</v>
      </c>
    </row>
    <row r="367" spans="4:89">
      <c r="E367" s="567" t="s">
        <v>880</v>
      </c>
      <c r="F367" s="554" t="str">
        <f>+F366</f>
        <v>[Service]</v>
      </c>
      <c r="G367" s="555">
        <f>+G366</f>
        <v>0</v>
      </c>
      <c r="H367" s="555">
        <f>+H366</f>
        <v>0</v>
      </c>
      <c r="I367" s="556" t="str">
        <f>+I366</f>
        <v>[Price]</v>
      </c>
      <c r="J367" s="590" t="s">
        <v>916</v>
      </c>
      <c r="K367" s="557"/>
      <c r="L367" s="558"/>
      <c r="M367" s="558"/>
      <c r="N367" s="557"/>
      <c r="O367" s="558"/>
      <c r="P367" s="558"/>
      <c r="Q367" s="558"/>
      <c r="R367" s="1036"/>
      <c r="S367" s="1139"/>
      <c r="T367" s="593"/>
      <c r="U367" s="1036"/>
      <c r="V367" s="593"/>
      <c r="W367" s="593"/>
      <c r="X367" s="593"/>
      <c r="Y367" s="593"/>
      <c r="Z367" s="593"/>
      <c r="AA367" s="1139"/>
      <c r="AB367" s="593"/>
      <c r="AC367" s="593"/>
      <c r="AD367" s="593"/>
      <c r="AE367" s="1036"/>
      <c r="AF367" s="593"/>
      <c r="AG367" s="593"/>
      <c r="AH367" s="593"/>
      <c r="AI367" s="593"/>
      <c r="AJ367" s="594"/>
      <c r="AK367" s="548"/>
      <c r="AO367" s="961" t="str">
        <f t="shared" si="485"/>
        <v>Qty</v>
      </c>
      <c r="AP367" s="962" t="str">
        <f t="shared" si="485"/>
        <v>[Service]</v>
      </c>
      <c r="AQ367" s="963" t="str">
        <f t="shared" si="486"/>
        <v>[Price]</v>
      </c>
      <c r="AR367" s="967" t="str">
        <f t="shared" si="487"/>
        <v>-</v>
      </c>
      <c r="AS367" s="964" t="str">
        <f t="shared" si="488"/>
        <v>-</v>
      </c>
      <c r="AT367" s="964" t="str">
        <f t="shared" si="489"/>
        <v>-</v>
      </c>
      <c r="AU367" s="964" t="str">
        <f t="shared" si="490"/>
        <v>-</v>
      </c>
      <c r="AV367" s="1350" t="str">
        <f t="shared" si="491"/>
        <v>-</v>
      </c>
      <c r="AW367" s="1343" t="str">
        <f t="shared" si="492"/>
        <v>-</v>
      </c>
      <c r="AX367" s="964" t="str">
        <f t="shared" si="493"/>
        <v>-</v>
      </c>
      <c r="AY367" s="964" t="str">
        <f t="shared" si="494"/>
        <v>-</v>
      </c>
      <c r="AZ367" s="964" t="str">
        <f t="shared" si="495"/>
        <v>-</v>
      </c>
      <c r="BA367" s="965" t="str">
        <f t="shared" si="496"/>
        <v>-</v>
      </c>
      <c r="BB367" s="1343" t="str">
        <f t="shared" si="497"/>
        <v>-</v>
      </c>
      <c r="BC367" s="964" t="str">
        <f t="shared" si="498"/>
        <v>-</v>
      </c>
      <c r="BD367" s="964" t="str">
        <f t="shared" si="499"/>
        <v>-</v>
      </c>
      <c r="BE367" s="964" t="str">
        <f t="shared" si="500"/>
        <v>-</v>
      </c>
      <c r="BF367" s="966" t="str">
        <f t="shared" si="501"/>
        <v>-</v>
      </c>
      <c r="BG367" s="951"/>
      <c r="BH367" s="961" t="str">
        <f t="shared" si="502"/>
        <v>Qty</v>
      </c>
      <c r="BI367" s="962" t="str">
        <f t="shared" si="503"/>
        <v>[Service]</v>
      </c>
      <c r="BJ367" s="963" t="str">
        <f t="shared" si="504"/>
        <v>[Price]</v>
      </c>
      <c r="BK367" s="964" t="str">
        <f t="shared" ref="BK367:BU367" si="565">IF(V367="","-",IFERROR((V367/U367-1)*(U368/U$13),"-"))</f>
        <v>-</v>
      </c>
      <c r="BL367" s="964" t="str">
        <f t="shared" si="565"/>
        <v>-</v>
      </c>
      <c r="BM367" s="964" t="str">
        <f t="shared" si="565"/>
        <v>-</v>
      </c>
      <c r="BN367" s="964" t="str">
        <f t="shared" si="565"/>
        <v>-</v>
      </c>
      <c r="BO367" s="1350" t="str">
        <f t="shared" si="565"/>
        <v>-</v>
      </c>
      <c r="BP367" s="1343" t="str">
        <f t="shared" si="565"/>
        <v>-</v>
      </c>
      <c r="BQ367" s="964" t="str">
        <f t="shared" si="565"/>
        <v>-</v>
      </c>
      <c r="BR367" s="964" t="str">
        <f t="shared" si="565"/>
        <v>-</v>
      </c>
      <c r="BS367" s="964" t="str">
        <f t="shared" si="565"/>
        <v>-</v>
      </c>
      <c r="BT367" s="965" t="str">
        <f t="shared" si="565"/>
        <v>-</v>
      </c>
      <c r="BU367" s="964" t="str">
        <f t="shared" si="565"/>
        <v>-</v>
      </c>
      <c r="BV367" s="964" t="str">
        <f>IF(AG367="","-",IFERROR((AG367/AF367-1)*(AF368/AF$13),"-"))</f>
        <v>-</v>
      </c>
      <c r="BW367" s="964" t="str">
        <f>IF(AH367="","-",IFERROR((AH367/AG367-1)*(AG368/AG$13),"-"))</f>
        <v>-</v>
      </c>
      <c r="BX367" s="964" t="str">
        <f>IF(AI367="","-",IFERROR((AI367/AH367-1)*(AH368/AH$13),"-"))</f>
        <v>-</v>
      </c>
      <c r="BY367" s="966" t="str">
        <f>IF(AJ367="","-",IFERROR((AJ367/AI367-1)*(AI368/AI$13),"-"))</f>
        <v>-</v>
      </c>
      <c r="BZ367" s="951"/>
      <c r="CA367" s="961" t="str">
        <f t="shared" si="482"/>
        <v>Qty</v>
      </c>
      <c r="CB367" s="962" t="str">
        <f t="shared" si="483"/>
        <v>[Service]</v>
      </c>
      <c r="CC367" s="962" t="str">
        <f t="shared" si="484"/>
        <v>[Price]</v>
      </c>
      <c r="CD367" s="967" t="str">
        <f t="shared" si="510"/>
        <v>-</v>
      </c>
      <c r="CE367" s="964" t="str">
        <f t="shared" si="510"/>
        <v>-</v>
      </c>
      <c r="CF367" s="964" t="str">
        <f t="shared" si="510"/>
        <v>-</v>
      </c>
      <c r="CG367" s="965" t="str">
        <f t="shared" si="506"/>
        <v>-</v>
      </c>
      <c r="CH367" s="964" t="str">
        <f t="shared" si="511"/>
        <v>-</v>
      </c>
      <c r="CI367" s="964" t="str">
        <f t="shared" si="511"/>
        <v>-</v>
      </c>
      <c r="CJ367" s="964" t="str">
        <f t="shared" si="511"/>
        <v>-</v>
      </c>
      <c r="CK367" s="966" t="str">
        <f t="shared" si="507"/>
        <v>-</v>
      </c>
    </row>
    <row r="368" spans="4:89" ht="12.75" thickBot="1">
      <c r="E368" s="568" t="s">
        <v>882</v>
      </c>
      <c r="F368" s="560" t="str">
        <f>+F366</f>
        <v>[Service]</v>
      </c>
      <c r="G368" s="561">
        <f>+G366</f>
        <v>0</v>
      </c>
      <c r="H368" s="561">
        <f>+H366</f>
        <v>0</v>
      </c>
      <c r="I368" s="562" t="str">
        <f>+I366</f>
        <v>[Price]</v>
      </c>
      <c r="J368" s="563" t="s">
        <v>883</v>
      </c>
      <c r="K368" s="564">
        <f t="shared" ref="K368:AJ368" si="566">K366*K367/10^6</f>
        <v>0</v>
      </c>
      <c r="L368" s="565">
        <f t="shared" si="566"/>
        <v>0</v>
      </c>
      <c r="M368" s="565">
        <f t="shared" si="566"/>
        <v>0</v>
      </c>
      <c r="N368" s="564">
        <f t="shared" si="566"/>
        <v>0</v>
      </c>
      <c r="O368" s="565">
        <f t="shared" si="566"/>
        <v>0</v>
      </c>
      <c r="P368" s="565">
        <f t="shared" si="566"/>
        <v>0</v>
      </c>
      <c r="Q368" s="565">
        <f t="shared" si="566"/>
        <v>0</v>
      </c>
      <c r="R368" s="566">
        <f t="shared" si="566"/>
        <v>0</v>
      </c>
      <c r="S368" s="564">
        <f t="shared" si="566"/>
        <v>0</v>
      </c>
      <c r="T368" s="565">
        <f t="shared" si="566"/>
        <v>0</v>
      </c>
      <c r="U368" s="566">
        <f t="shared" si="566"/>
        <v>0</v>
      </c>
      <c r="V368" s="565">
        <f t="shared" si="566"/>
        <v>0</v>
      </c>
      <c r="W368" s="565">
        <f t="shared" si="566"/>
        <v>0</v>
      </c>
      <c r="X368" s="565">
        <f t="shared" si="566"/>
        <v>0</v>
      </c>
      <c r="Y368" s="565">
        <f t="shared" si="566"/>
        <v>0</v>
      </c>
      <c r="Z368" s="565">
        <f t="shared" si="566"/>
        <v>0</v>
      </c>
      <c r="AA368" s="564">
        <f t="shared" si="566"/>
        <v>0</v>
      </c>
      <c r="AB368" s="565">
        <f t="shared" si="566"/>
        <v>0</v>
      </c>
      <c r="AC368" s="565">
        <f t="shared" si="566"/>
        <v>0</v>
      </c>
      <c r="AD368" s="565">
        <f t="shared" si="566"/>
        <v>0</v>
      </c>
      <c r="AE368" s="566">
        <f t="shared" si="566"/>
        <v>0</v>
      </c>
      <c r="AF368" s="565">
        <f t="shared" si="566"/>
        <v>0</v>
      </c>
      <c r="AG368" s="565">
        <f>AG366*AG367/10^6</f>
        <v>0</v>
      </c>
      <c r="AH368" s="565">
        <f>AH366*AH367/10^6</f>
        <v>0</v>
      </c>
      <c r="AI368" s="565">
        <f>AI366*AI367/10^6</f>
        <v>0</v>
      </c>
      <c r="AJ368" s="566">
        <f t="shared" si="566"/>
        <v>0</v>
      </c>
      <c r="AK368" s="548"/>
      <c r="AO368" s="984" t="str">
        <f t="shared" si="485"/>
        <v>Rev</v>
      </c>
      <c r="AP368" s="985" t="str">
        <f t="shared" si="485"/>
        <v>[Service]</v>
      </c>
      <c r="AQ368" s="986" t="str">
        <f t="shared" si="486"/>
        <v>[Price]</v>
      </c>
      <c r="AR368" s="990" t="str">
        <f t="shared" si="487"/>
        <v>-</v>
      </c>
      <c r="AS368" s="987" t="str">
        <f t="shared" si="488"/>
        <v>-</v>
      </c>
      <c r="AT368" s="987" t="str">
        <f t="shared" si="489"/>
        <v>-</v>
      </c>
      <c r="AU368" s="987" t="str">
        <f t="shared" si="490"/>
        <v>-</v>
      </c>
      <c r="AV368" s="1353" t="str">
        <f t="shared" si="491"/>
        <v>-</v>
      </c>
      <c r="AW368" s="1346" t="str">
        <f t="shared" si="492"/>
        <v>-</v>
      </c>
      <c r="AX368" s="987" t="str">
        <f t="shared" si="493"/>
        <v>-</v>
      </c>
      <c r="AY368" s="987" t="str">
        <f t="shared" si="494"/>
        <v>-</v>
      </c>
      <c r="AZ368" s="987" t="str">
        <f t="shared" si="495"/>
        <v>-</v>
      </c>
      <c r="BA368" s="988" t="str">
        <f t="shared" si="496"/>
        <v>-</v>
      </c>
      <c r="BB368" s="1346" t="str">
        <f t="shared" si="497"/>
        <v>-</v>
      </c>
      <c r="BC368" s="987" t="str">
        <f t="shared" si="498"/>
        <v>-</v>
      </c>
      <c r="BD368" s="987" t="str">
        <f t="shared" si="499"/>
        <v>-</v>
      </c>
      <c r="BE368" s="987" t="str">
        <f t="shared" si="500"/>
        <v>-</v>
      </c>
      <c r="BF368" s="989" t="str">
        <f t="shared" si="501"/>
        <v>-</v>
      </c>
      <c r="BG368" s="951"/>
      <c r="BH368" s="984" t="str">
        <f t="shared" si="502"/>
        <v>Rev</v>
      </c>
      <c r="BI368" s="985" t="str">
        <f t="shared" si="503"/>
        <v>[Service]</v>
      </c>
      <c r="BJ368" s="986" t="str">
        <f t="shared" si="504"/>
        <v>[Price]</v>
      </c>
      <c r="BK368" s="987" t="str">
        <f t="shared" ref="BK368:BU368" si="567">IF(V368="","-",IFERROR((V368/U368-1)*(U368/U$13),"-"))</f>
        <v>-</v>
      </c>
      <c r="BL368" s="987" t="str">
        <f t="shared" si="567"/>
        <v>-</v>
      </c>
      <c r="BM368" s="987" t="str">
        <f t="shared" si="567"/>
        <v>-</v>
      </c>
      <c r="BN368" s="987" t="str">
        <f t="shared" si="567"/>
        <v>-</v>
      </c>
      <c r="BO368" s="1353" t="str">
        <f t="shared" si="567"/>
        <v>-</v>
      </c>
      <c r="BP368" s="1346" t="str">
        <f t="shared" si="567"/>
        <v>-</v>
      </c>
      <c r="BQ368" s="987" t="str">
        <f t="shared" si="567"/>
        <v>-</v>
      </c>
      <c r="BR368" s="987" t="str">
        <f t="shared" si="567"/>
        <v>-</v>
      </c>
      <c r="BS368" s="987" t="str">
        <f t="shared" si="567"/>
        <v>-</v>
      </c>
      <c r="BT368" s="988" t="str">
        <f t="shared" si="567"/>
        <v>-</v>
      </c>
      <c r="BU368" s="987" t="str">
        <f t="shared" si="567"/>
        <v>-</v>
      </c>
      <c r="BV368" s="987" t="str">
        <f>IF(AG368="","-",IFERROR((AG368/AF368-1)*(AF368/AF$13),"-"))</f>
        <v>-</v>
      </c>
      <c r="BW368" s="987" t="str">
        <f>IF(AH368="","-",IFERROR((AH368/AG368-1)*(AG368/AG$13),"-"))</f>
        <v>-</v>
      </c>
      <c r="BX368" s="987" t="str">
        <f>IF(AI368="","-",IFERROR((AI368/AH368-1)*(AH368/AH$13),"-"))</f>
        <v>-</v>
      </c>
      <c r="BY368" s="989" t="str">
        <f>IF(AJ368="","-",IFERROR((AJ368/AI368-1)*(AI368/AI$13),"-"))</f>
        <v>-</v>
      </c>
      <c r="BZ368" s="951"/>
      <c r="CA368" s="984" t="str">
        <f t="shared" si="482"/>
        <v>Rev</v>
      </c>
      <c r="CB368" s="985" t="str">
        <f t="shared" si="483"/>
        <v>[Service]</v>
      </c>
      <c r="CC368" s="985" t="str">
        <f t="shared" si="484"/>
        <v>[Price]</v>
      </c>
      <c r="CD368" s="990" t="str">
        <f t="shared" si="510"/>
        <v>-</v>
      </c>
      <c r="CE368" s="987" t="str">
        <f t="shared" si="510"/>
        <v>-</v>
      </c>
      <c r="CF368" s="987" t="str">
        <f t="shared" si="510"/>
        <v>-</v>
      </c>
      <c r="CG368" s="988" t="str">
        <f t="shared" si="506"/>
        <v>-</v>
      </c>
      <c r="CH368" s="987" t="str">
        <f t="shared" si="511"/>
        <v>-</v>
      </c>
      <c r="CI368" s="987" t="str">
        <f t="shared" si="511"/>
        <v>-</v>
      </c>
      <c r="CJ368" s="987" t="str">
        <f t="shared" si="511"/>
        <v>-</v>
      </c>
      <c r="CK368" s="989" t="str">
        <f t="shared" si="507"/>
        <v>-</v>
      </c>
    </row>
    <row r="369" spans="4:89">
      <c r="D369" s="63">
        <f>D366+1</f>
        <v>101</v>
      </c>
      <c r="E369" s="550" t="s">
        <v>857</v>
      </c>
      <c r="F369" s="595" t="s">
        <v>428</v>
      </c>
      <c r="G369" s="595"/>
      <c r="H369" s="595"/>
      <c r="I369" s="589" t="s">
        <v>920</v>
      </c>
      <c r="J369" s="589" t="s">
        <v>879</v>
      </c>
      <c r="K369" s="551"/>
      <c r="L369" s="552"/>
      <c r="M369" s="552"/>
      <c r="N369" s="551"/>
      <c r="O369" s="552"/>
      <c r="P369" s="552"/>
      <c r="Q369" s="552"/>
      <c r="R369" s="1035"/>
      <c r="S369" s="1138"/>
      <c r="T369" s="591"/>
      <c r="U369" s="1035"/>
      <c r="V369" s="591"/>
      <c r="W369" s="591"/>
      <c r="X369" s="591"/>
      <c r="Y369" s="591"/>
      <c r="Z369" s="591"/>
      <c r="AA369" s="1138"/>
      <c r="AB369" s="591"/>
      <c r="AC369" s="591"/>
      <c r="AD369" s="591"/>
      <c r="AE369" s="1035"/>
      <c r="AF369" s="591"/>
      <c r="AG369" s="591"/>
      <c r="AH369" s="591"/>
      <c r="AI369" s="591"/>
      <c r="AJ369" s="592"/>
      <c r="AK369" s="548"/>
      <c r="AM369" s="974"/>
      <c r="AO369" s="975" t="str">
        <f t="shared" si="485"/>
        <v>Price</v>
      </c>
      <c r="AP369" s="976" t="str">
        <f t="shared" si="485"/>
        <v>[Service]</v>
      </c>
      <c r="AQ369" s="977" t="str">
        <f t="shared" si="486"/>
        <v>[Price]</v>
      </c>
      <c r="AR369" s="1341" t="str">
        <f t="shared" si="487"/>
        <v>-</v>
      </c>
      <c r="AS369" s="978" t="str">
        <f t="shared" si="488"/>
        <v>-</v>
      </c>
      <c r="AT369" s="979" t="str">
        <f t="shared" si="489"/>
        <v>-</v>
      </c>
      <c r="AU369" s="979" t="str">
        <f t="shared" si="490"/>
        <v>-</v>
      </c>
      <c r="AV369" s="1352" t="str">
        <f t="shared" si="491"/>
        <v>-</v>
      </c>
      <c r="AW369" s="1345" t="str">
        <f t="shared" si="492"/>
        <v>-</v>
      </c>
      <c r="AX369" s="979" t="str">
        <f t="shared" si="493"/>
        <v>-</v>
      </c>
      <c r="AY369" s="979" t="str">
        <f t="shared" si="494"/>
        <v>-</v>
      </c>
      <c r="AZ369" s="979" t="str">
        <f t="shared" si="495"/>
        <v>-</v>
      </c>
      <c r="BA369" s="980" t="str">
        <f t="shared" si="496"/>
        <v>-</v>
      </c>
      <c r="BB369" s="1345" t="str">
        <f t="shared" si="497"/>
        <v>-</v>
      </c>
      <c r="BC369" s="979" t="str">
        <f t="shared" si="498"/>
        <v>-</v>
      </c>
      <c r="BD369" s="979" t="str">
        <f t="shared" si="499"/>
        <v>-</v>
      </c>
      <c r="BE369" s="979" t="str">
        <f t="shared" si="500"/>
        <v>-</v>
      </c>
      <c r="BF369" s="981" t="str">
        <f t="shared" si="501"/>
        <v>-</v>
      </c>
      <c r="BG369" s="951"/>
      <c r="BH369" s="975" t="str">
        <f t="shared" si="502"/>
        <v>Price</v>
      </c>
      <c r="BI369" s="976" t="str">
        <f t="shared" si="503"/>
        <v>[Service]</v>
      </c>
      <c r="BJ369" s="977" t="str">
        <f t="shared" si="504"/>
        <v>[Price]</v>
      </c>
      <c r="BK369" s="978" t="str">
        <f t="shared" ref="BK369:BU369" si="568">IF(V369="","-",IFERROR((V369/U369-1)*(U371/U$13),"-"))</f>
        <v>-</v>
      </c>
      <c r="BL369" s="978" t="str">
        <f t="shared" si="568"/>
        <v>-</v>
      </c>
      <c r="BM369" s="979" t="str">
        <f t="shared" si="568"/>
        <v>-</v>
      </c>
      <c r="BN369" s="979" t="str">
        <f t="shared" si="568"/>
        <v>-</v>
      </c>
      <c r="BO369" s="1352" t="str">
        <f t="shared" si="568"/>
        <v>-</v>
      </c>
      <c r="BP369" s="1345" t="str">
        <f t="shared" si="568"/>
        <v>-</v>
      </c>
      <c r="BQ369" s="979" t="str">
        <f t="shared" si="568"/>
        <v>-</v>
      </c>
      <c r="BR369" s="979" t="str">
        <f t="shared" si="568"/>
        <v>-</v>
      </c>
      <c r="BS369" s="979" t="str">
        <f t="shared" si="568"/>
        <v>-</v>
      </c>
      <c r="BT369" s="980" t="str">
        <f t="shared" si="568"/>
        <v>-</v>
      </c>
      <c r="BU369" s="979" t="str">
        <f t="shared" si="568"/>
        <v>-</v>
      </c>
      <c r="BV369" s="979" t="str">
        <f>IF(AG369="","-",IFERROR((AG369/AF369-1)*(AF371/AF$13),"-"))</f>
        <v>-</v>
      </c>
      <c r="BW369" s="979" t="str">
        <f>IF(AH369="","-",IFERROR((AH369/AG369-1)*(AG371/AG$13),"-"))</f>
        <v>-</v>
      </c>
      <c r="BX369" s="979" t="str">
        <f>IF(AI369="","-",IFERROR((AI369/AH369-1)*(AH371/AH$13),"-"))</f>
        <v>-</v>
      </c>
      <c r="BY369" s="981" t="str">
        <f>IF(AJ369="","-",IFERROR((AJ369/AI369-1)*(AI371/AI$13),"-"))</f>
        <v>-</v>
      </c>
      <c r="BZ369" s="951"/>
      <c r="CA369" s="975" t="str">
        <f t="shared" si="482"/>
        <v>Price</v>
      </c>
      <c r="CB369" s="976" t="str">
        <f t="shared" si="483"/>
        <v>[Service]</v>
      </c>
      <c r="CC369" s="982" t="str">
        <f t="shared" si="484"/>
        <v>[Price]</v>
      </c>
      <c r="CD369" s="983" t="str">
        <f t="shared" si="510"/>
        <v>-</v>
      </c>
      <c r="CE369" s="979" t="str">
        <f t="shared" si="510"/>
        <v>-</v>
      </c>
      <c r="CF369" s="979" t="str">
        <f t="shared" si="510"/>
        <v>-</v>
      </c>
      <c r="CG369" s="980" t="str">
        <f t="shared" si="506"/>
        <v>-</v>
      </c>
      <c r="CH369" s="979" t="str">
        <f t="shared" si="511"/>
        <v>-</v>
      </c>
      <c r="CI369" s="979" t="str">
        <f t="shared" si="511"/>
        <v>-</v>
      </c>
      <c r="CJ369" s="979" t="str">
        <f t="shared" si="511"/>
        <v>-</v>
      </c>
      <c r="CK369" s="981" t="str">
        <f t="shared" si="507"/>
        <v>-</v>
      </c>
    </row>
    <row r="370" spans="4:89">
      <c r="E370" s="567" t="s">
        <v>880</v>
      </c>
      <c r="F370" s="554" t="str">
        <f>+F369</f>
        <v>[Service]</v>
      </c>
      <c r="G370" s="555">
        <f>+G369</f>
        <v>0</v>
      </c>
      <c r="H370" s="555">
        <f>+H369</f>
        <v>0</v>
      </c>
      <c r="I370" s="556" t="str">
        <f>+I369</f>
        <v>[Price]</v>
      </c>
      <c r="J370" s="590" t="s">
        <v>916</v>
      </c>
      <c r="K370" s="557"/>
      <c r="L370" s="558"/>
      <c r="M370" s="558"/>
      <c r="N370" s="557"/>
      <c r="O370" s="558"/>
      <c r="P370" s="558"/>
      <c r="Q370" s="558"/>
      <c r="R370" s="1036"/>
      <c r="S370" s="1139"/>
      <c r="T370" s="593"/>
      <c r="U370" s="1036"/>
      <c r="V370" s="593"/>
      <c r="W370" s="593"/>
      <c r="X370" s="593"/>
      <c r="Y370" s="593"/>
      <c r="Z370" s="593"/>
      <c r="AA370" s="1139"/>
      <c r="AB370" s="593"/>
      <c r="AC370" s="593"/>
      <c r="AD370" s="593"/>
      <c r="AE370" s="1036"/>
      <c r="AF370" s="593"/>
      <c r="AG370" s="593"/>
      <c r="AH370" s="593"/>
      <c r="AI370" s="593"/>
      <c r="AJ370" s="594"/>
      <c r="AK370" s="548"/>
      <c r="AO370" s="961" t="str">
        <f t="shared" si="485"/>
        <v>Qty</v>
      </c>
      <c r="AP370" s="962" t="str">
        <f t="shared" si="485"/>
        <v>[Service]</v>
      </c>
      <c r="AQ370" s="963" t="str">
        <f t="shared" si="486"/>
        <v>[Price]</v>
      </c>
      <c r="AR370" s="967" t="str">
        <f t="shared" si="487"/>
        <v>-</v>
      </c>
      <c r="AS370" s="964" t="str">
        <f t="shared" si="488"/>
        <v>-</v>
      </c>
      <c r="AT370" s="964" t="str">
        <f t="shared" si="489"/>
        <v>-</v>
      </c>
      <c r="AU370" s="964" t="str">
        <f t="shared" si="490"/>
        <v>-</v>
      </c>
      <c r="AV370" s="1350" t="str">
        <f t="shared" si="491"/>
        <v>-</v>
      </c>
      <c r="AW370" s="1343" t="str">
        <f t="shared" si="492"/>
        <v>-</v>
      </c>
      <c r="AX370" s="964" t="str">
        <f t="shared" si="493"/>
        <v>-</v>
      </c>
      <c r="AY370" s="964" t="str">
        <f t="shared" si="494"/>
        <v>-</v>
      </c>
      <c r="AZ370" s="964" t="str">
        <f t="shared" si="495"/>
        <v>-</v>
      </c>
      <c r="BA370" s="965" t="str">
        <f t="shared" si="496"/>
        <v>-</v>
      </c>
      <c r="BB370" s="1343" t="str">
        <f t="shared" si="497"/>
        <v>-</v>
      </c>
      <c r="BC370" s="964" t="str">
        <f t="shared" si="498"/>
        <v>-</v>
      </c>
      <c r="BD370" s="964" t="str">
        <f t="shared" si="499"/>
        <v>-</v>
      </c>
      <c r="BE370" s="964" t="str">
        <f t="shared" si="500"/>
        <v>-</v>
      </c>
      <c r="BF370" s="966" t="str">
        <f t="shared" si="501"/>
        <v>-</v>
      </c>
      <c r="BG370" s="951"/>
      <c r="BH370" s="961" t="str">
        <f t="shared" si="502"/>
        <v>Qty</v>
      </c>
      <c r="BI370" s="962" t="str">
        <f t="shared" si="503"/>
        <v>[Service]</v>
      </c>
      <c r="BJ370" s="963" t="str">
        <f t="shared" si="504"/>
        <v>[Price]</v>
      </c>
      <c r="BK370" s="964" t="str">
        <f t="shared" ref="BK370:BU370" si="569">IF(V370="","-",IFERROR((V370/U370-1)*(U371/U$13),"-"))</f>
        <v>-</v>
      </c>
      <c r="BL370" s="964" t="str">
        <f t="shared" si="569"/>
        <v>-</v>
      </c>
      <c r="BM370" s="964" t="str">
        <f t="shared" si="569"/>
        <v>-</v>
      </c>
      <c r="BN370" s="964" t="str">
        <f t="shared" si="569"/>
        <v>-</v>
      </c>
      <c r="BO370" s="1350" t="str">
        <f t="shared" si="569"/>
        <v>-</v>
      </c>
      <c r="BP370" s="1343" t="str">
        <f t="shared" si="569"/>
        <v>-</v>
      </c>
      <c r="BQ370" s="964" t="str">
        <f t="shared" si="569"/>
        <v>-</v>
      </c>
      <c r="BR370" s="964" t="str">
        <f t="shared" si="569"/>
        <v>-</v>
      </c>
      <c r="BS370" s="964" t="str">
        <f t="shared" si="569"/>
        <v>-</v>
      </c>
      <c r="BT370" s="965" t="str">
        <f t="shared" si="569"/>
        <v>-</v>
      </c>
      <c r="BU370" s="964" t="str">
        <f t="shared" si="569"/>
        <v>-</v>
      </c>
      <c r="BV370" s="964" t="str">
        <f>IF(AG370="","-",IFERROR((AG370/AF370-1)*(AF371/AF$13),"-"))</f>
        <v>-</v>
      </c>
      <c r="BW370" s="964" t="str">
        <f>IF(AH370="","-",IFERROR((AH370/AG370-1)*(AG371/AG$13),"-"))</f>
        <v>-</v>
      </c>
      <c r="BX370" s="964" t="str">
        <f>IF(AI370="","-",IFERROR((AI370/AH370-1)*(AH371/AH$13),"-"))</f>
        <v>-</v>
      </c>
      <c r="BY370" s="966" t="str">
        <f>IF(AJ370="","-",IFERROR((AJ370/AI370-1)*(AI371/AI$13),"-"))</f>
        <v>-</v>
      </c>
      <c r="BZ370" s="951"/>
      <c r="CA370" s="961" t="str">
        <f t="shared" si="482"/>
        <v>Qty</v>
      </c>
      <c r="CB370" s="962" t="str">
        <f t="shared" si="483"/>
        <v>[Service]</v>
      </c>
      <c r="CC370" s="962" t="str">
        <f t="shared" si="484"/>
        <v>[Price]</v>
      </c>
      <c r="CD370" s="967" t="str">
        <f t="shared" si="510"/>
        <v>-</v>
      </c>
      <c r="CE370" s="964" t="str">
        <f t="shared" si="510"/>
        <v>-</v>
      </c>
      <c r="CF370" s="964" t="str">
        <f t="shared" si="510"/>
        <v>-</v>
      </c>
      <c r="CG370" s="965" t="str">
        <f t="shared" si="506"/>
        <v>-</v>
      </c>
      <c r="CH370" s="964" t="str">
        <f t="shared" si="511"/>
        <v>-</v>
      </c>
      <c r="CI370" s="964" t="str">
        <f t="shared" si="511"/>
        <v>-</v>
      </c>
      <c r="CJ370" s="964" t="str">
        <f t="shared" si="511"/>
        <v>-</v>
      </c>
      <c r="CK370" s="966" t="str">
        <f t="shared" si="507"/>
        <v>-</v>
      </c>
    </row>
    <row r="371" spans="4:89" ht="12.75" thickBot="1">
      <c r="E371" s="568" t="s">
        <v>882</v>
      </c>
      <c r="F371" s="560" t="str">
        <f>+F369</f>
        <v>[Service]</v>
      </c>
      <c r="G371" s="561">
        <f>+G369</f>
        <v>0</v>
      </c>
      <c r="H371" s="561">
        <f>+H369</f>
        <v>0</v>
      </c>
      <c r="I371" s="562" t="str">
        <f>+I369</f>
        <v>[Price]</v>
      </c>
      <c r="J371" s="563" t="s">
        <v>883</v>
      </c>
      <c r="K371" s="564">
        <f t="shared" ref="K371:AJ371" si="570">K369*K370/10^6</f>
        <v>0</v>
      </c>
      <c r="L371" s="565">
        <f t="shared" si="570"/>
        <v>0</v>
      </c>
      <c r="M371" s="565">
        <f t="shared" si="570"/>
        <v>0</v>
      </c>
      <c r="N371" s="564">
        <f t="shared" si="570"/>
        <v>0</v>
      </c>
      <c r="O371" s="565">
        <f t="shared" si="570"/>
        <v>0</v>
      </c>
      <c r="P371" s="565">
        <f t="shared" si="570"/>
        <v>0</v>
      </c>
      <c r="Q371" s="565">
        <f t="shared" si="570"/>
        <v>0</v>
      </c>
      <c r="R371" s="566">
        <f t="shared" si="570"/>
        <v>0</v>
      </c>
      <c r="S371" s="564">
        <f t="shared" si="570"/>
        <v>0</v>
      </c>
      <c r="T371" s="565">
        <f t="shared" si="570"/>
        <v>0</v>
      </c>
      <c r="U371" s="566">
        <f t="shared" si="570"/>
        <v>0</v>
      </c>
      <c r="V371" s="565">
        <f t="shared" si="570"/>
        <v>0</v>
      </c>
      <c r="W371" s="565">
        <f t="shared" si="570"/>
        <v>0</v>
      </c>
      <c r="X371" s="565">
        <f t="shared" si="570"/>
        <v>0</v>
      </c>
      <c r="Y371" s="565">
        <f t="shared" si="570"/>
        <v>0</v>
      </c>
      <c r="Z371" s="565">
        <f t="shared" si="570"/>
        <v>0</v>
      </c>
      <c r="AA371" s="564">
        <f t="shared" si="570"/>
        <v>0</v>
      </c>
      <c r="AB371" s="565">
        <f t="shared" si="570"/>
        <v>0</v>
      </c>
      <c r="AC371" s="565">
        <f t="shared" si="570"/>
        <v>0</v>
      </c>
      <c r="AD371" s="565">
        <f t="shared" si="570"/>
        <v>0</v>
      </c>
      <c r="AE371" s="566">
        <f t="shared" si="570"/>
        <v>0</v>
      </c>
      <c r="AF371" s="565">
        <f t="shared" si="570"/>
        <v>0</v>
      </c>
      <c r="AG371" s="565">
        <f>AG369*AG370/10^6</f>
        <v>0</v>
      </c>
      <c r="AH371" s="565">
        <f>AH369*AH370/10^6</f>
        <v>0</v>
      </c>
      <c r="AI371" s="565">
        <f>AI369*AI370/10^6</f>
        <v>0</v>
      </c>
      <c r="AJ371" s="566">
        <f t="shared" si="570"/>
        <v>0</v>
      </c>
      <c r="AK371" s="548"/>
      <c r="AO371" s="984" t="str">
        <f t="shared" si="485"/>
        <v>Rev</v>
      </c>
      <c r="AP371" s="985" t="str">
        <f t="shared" si="485"/>
        <v>[Service]</v>
      </c>
      <c r="AQ371" s="986" t="str">
        <f t="shared" si="486"/>
        <v>[Price]</v>
      </c>
      <c r="AR371" s="990" t="str">
        <f t="shared" si="487"/>
        <v>-</v>
      </c>
      <c r="AS371" s="987" t="str">
        <f t="shared" si="488"/>
        <v>-</v>
      </c>
      <c r="AT371" s="987" t="str">
        <f t="shared" si="489"/>
        <v>-</v>
      </c>
      <c r="AU371" s="987" t="str">
        <f t="shared" si="490"/>
        <v>-</v>
      </c>
      <c r="AV371" s="1353" t="str">
        <f t="shared" si="491"/>
        <v>-</v>
      </c>
      <c r="AW371" s="1346" t="str">
        <f t="shared" si="492"/>
        <v>-</v>
      </c>
      <c r="AX371" s="987" t="str">
        <f t="shared" si="493"/>
        <v>-</v>
      </c>
      <c r="AY371" s="987" t="str">
        <f t="shared" si="494"/>
        <v>-</v>
      </c>
      <c r="AZ371" s="987" t="str">
        <f t="shared" si="495"/>
        <v>-</v>
      </c>
      <c r="BA371" s="988" t="str">
        <f t="shared" si="496"/>
        <v>-</v>
      </c>
      <c r="BB371" s="1346" t="str">
        <f t="shared" si="497"/>
        <v>-</v>
      </c>
      <c r="BC371" s="987" t="str">
        <f t="shared" si="498"/>
        <v>-</v>
      </c>
      <c r="BD371" s="987" t="str">
        <f t="shared" si="499"/>
        <v>-</v>
      </c>
      <c r="BE371" s="987" t="str">
        <f t="shared" si="500"/>
        <v>-</v>
      </c>
      <c r="BF371" s="989" t="str">
        <f t="shared" si="501"/>
        <v>-</v>
      </c>
      <c r="BG371" s="951"/>
      <c r="BH371" s="984" t="str">
        <f t="shared" si="502"/>
        <v>Rev</v>
      </c>
      <c r="BI371" s="985" t="str">
        <f t="shared" si="503"/>
        <v>[Service]</v>
      </c>
      <c r="BJ371" s="986" t="str">
        <f t="shared" si="504"/>
        <v>[Price]</v>
      </c>
      <c r="BK371" s="987" t="str">
        <f t="shared" ref="BK371:BU371" si="571">IF(V371="","-",IFERROR((V371/U371-1)*(U371/U$13),"-"))</f>
        <v>-</v>
      </c>
      <c r="BL371" s="987" t="str">
        <f t="shared" si="571"/>
        <v>-</v>
      </c>
      <c r="BM371" s="987" t="str">
        <f t="shared" si="571"/>
        <v>-</v>
      </c>
      <c r="BN371" s="987" t="str">
        <f t="shared" si="571"/>
        <v>-</v>
      </c>
      <c r="BO371" s="1353" t="str">
        <f t="shared" si="571"/>
        <v>-</v>
      </c>
      <c r="BP371" s="1346" t="str">
        <f t="shared" si="571"/>
        <v>-</v>
      </c>
      <c r="BQ371" s="987" t="str">
        <f t="shared" si="571"/>
        <v>-</v>
      </c>
      <c r="BR371" s="987" t="str">
        <f t="shared" si="571"/>
        <v>-</v>
      </c>
      <c r="BS371" s="987" t="str">
        <f t="shared" si="571"/>
        <v>-</v>
      </c>
      <c r="BT371" s="988" t="str">
        <f t="shared" si="571"/>
        <v>-</v>
      </c>
      <c r="BU371" s="987" t="str">
        <f t="shared" si="571"/>
        <v>-</v>
      </c>
      <c r="BV371" s="987" t="str">
        <f>IF(AG371="","-",IFERROR((AG371/AF371-1)*(AF371/AF$13),"-"))</f>
        <v>-</v>
      </c>
      <c r="BW371" s="987" t="str">
        <f>IF(AH371="","-",IFERROR((AH371/AG371-1)*(AG371/AG$13),"-"))</f>
        <v>-</v>
      </c>
      <c r="BX371" s="987" t="str">
        <f>IF(AI371="","-",IFERROR((AI371/AH371-1)*(AH371/AH$13),"-"))</f>
        <v>-</v>
      </c>
      <c r="BY371" s="989" t="str">
        <f>IF(AJ371="","-",IFERROR((AJ371/AI371-1)*(AI371/AI$13),"-"))</f>
        <v>-</v>
      </c>
      <c r="BZ371" s="951"/>
      <c r="CA371" s="984" t="str">
        <f t="shared" si="482"/>
        <v>Rev</v>
      </c>
      <c r="CB371" s="985" t="str">
        <f t="shared" si="483"/>
        <v>[Service]</v>
      </c>
      <c r="CC371" s="985" t="str">
        <f t="shared" si="484"/>
        <v>[Price]</v>
      </c>
      <c r="CD371" s="990" t="str">
        <f t="shared" si="510"/>
        <v>-</v>
      </c>
      <c r="CE371" s="987" t="str">
        <f t="shared" si="510"/>
        <v>-</v>
      </c>
      <c r="CF371" s="987" t="str">
        <f t="shared" si="510"/>
        <v>-</v>
      </c>
      <c r="CG371" s="988" t="str">
        <f t="shared" si="506"/>
        <v>-</v>
      </c>
      <c r="CH371" s="987" t="str">
        <f t="shared" si="511"/>
        <v>-</v>
      </c>
      <c r="CI371" s="987" t="str">
        <f t="shared" si="511"/>
        <v>-</v>
      </c>
      <c r="CJ371" s="987" t="str">
        <f t="shared" si="511"/>
        <v>-</v>
      </c>
      <c r="CK371" s="989" t="str">
        <f t="shared" si="507"/>
        <v>-</v>
      </c>
    </row>
    <row r="372" spans="4:89">
      <c r="D372" s="63">
        <f>D369+1</f>
        <v>102</v>
      </c>
      <c r="E372" s="550" t="s">
        <v>857</v>
      </c>
      <c r="F372" s="595" t="s">
        <v>428</v>
      </c>
      <c r="G372" s="595"/>
      <c r="H372" s="595"/>
      <c r="I372" s="589" t="s">
        <v>920</v>
      </c>
      <c r="J372" s="589" t="s">
        <v>879</v>
      </c>
      <c r="K372" s="551"/>
      <c r="L372" s="552"/>
      <c r="M372" s="552"/>
      <c r="N372" s="551"/>
      <c r="O372" s="552"/>
      <c r="P372" s="552"/>
      <c r="Q372" s="552"/>
      <c r="R372" s="1035"/>
      <c r="S372" s="1138"/>
      <c r="T372" s="591"/>
      <c r="U372" s="1035"/>
      <c r="V372" s="591"/>
      <c r="W372" s="591"/>
      <c r="X372" s="591"/>
      <c r="Y372" s="591"/>
      <c r="Z372" s="591"/>
      <c r="AA372" s="1138"/>
      <c r="AB372" s="591"/>
      <c r="AC372" s="591"/>
      <c r="AD372" s="591"/>
      <c r="AE372" s="1035"/>
      <c r="AF372" s="591"/>
      <c r="AG372" s="591"/>
      <c r="AH372" s="591"/>
      <c r="AI372" s="591"/>
      <c r="AJ372" s="592"/>
      <c r="AK372" s="548"/>
      <c r="AM372" s="974"/>
      <c r="AO372" s="975" t="str">
        <f t="shared" si="485"/>
        <v>Price</v>
      </c>
      <c r="AP372" s="976" t="str">
        <f t="shared" si="485"/>
        <v>[Service]</v>
      </c>
      <c r="AQ372" s="977" t="str">
        <f t="shared" si="486"/>
        <v>[Price]</v>
      </c>
      <c r="AR372" s="1341" t="str">
        <f t="shared" si="487"/>
        <v>-</v>
      </c>
      <c r="AS372" s="978" t="str">
        <f t="shared" si="488"/>
        <v>-</v>
      </c>
      <c r="AT372" s="979" t="str">
        <f t="shared" si="489"/>
        <v>-</v>
      </c>
      <c r="AU372" s="979" t="str">
        <f t="shared" si="490"/>
        <v>-</v>
      </c>
      <c r="AV372" s="1352" t="str">
        <f t="shared" si="491"/>
        <v>-</v>
      </c>
      <c r="AW372" s="1345" t="str">
        <f t="shared" si="492"/>
        <v>-</v>
      </c>
      <c r="AX372" s="979" t="str">
        <f t="shared" si="493"/>
        <v>-</v>
      </c>
      <c r="AY372" s="979" t="str">
        <f t="shared" si="494"/>
        <v>-</v>
      </c>
      <c r="AZ372" s="979" t="str">
        <f t="shared" si="495"/>
        <v>-</v>
      </c>
      <c r="BA372" s="980" t="str">
        <f t="shared" si="496"/>
        <v>-</v>
      </c>
      <c r="BB372" s="1345" t="str">
        <f t="shared" si="497"/>
        <v>-</v>
      </c>
      <c r="BC372" s="979" t="str">
        <f t="shared" si="498"/>
        <v>-</v>
      </c>
      <c r="BD372" s="979" t="str">
        <f t="shared" si="499"/>
        <v>-</v>
      </c>
      <c r="BE372" s="979" t="str">
        <f t="shared" si="500"/>
        <v>-</v>
      </c>
      <c r="BF372" s="981" t="str">
        <f t="shared" si="501"/>
        <v>-</v>
      </c>
      <c r="BG372" s="951"/>
      <c r="BH372" s="975" t="str">
        <f t="shared" si="502"/>
        <v>Price</v>
      </c>
      <c r="BI372" s="976" t="str">
        <f t="shared" si="503"/>
        <v>[Service]</v>
      </c>
      <c r="BJ372" s="977" t="str">
        <f t="shared" si="504"/>
        <v>[Price]</v>
      </c>
      <c r="BK372" s="978" t="str">
        <f t="shared" ref="BK372:BU372" si="572">IF(V372="","-",IFERROR((V372/U372-1)*(U374/U$13),"-"))</f>
        <v>-</v>
      </c>
      <c r="BL372" s="978" t="str">
        <f t="shared" si="572"/>
        <v>-</v>
      </c>
      <c r="BM372" s="979" t="str">
        <f t="shared" si="572"/>
        <v>-</v>
      </c>
      <c r="BN372" s="979" t="str">
        <f t="shared" si="572"/>
        <v>-</v>
      </c>
      <c r="BO372" s="1352" t="str">
        <f t="shared" si="572"/>
        <v>-</v>
      </c>
      <c r="BP372" s="1345" t="str">
        <f t="shared" si="572"/>
        <v>-</v>
      </c>
      <c r="BQ372" s="979" t="str">
        <f t="shared" si="572"/>
        <v>-</v>
      </c>
      <c r="BR372" s="979" t="str">
        <f t="shared" si="572"/>
        <v>-</v>
      </c>
      <c r="BS372" s="979" t="str">
        <f t="shared" si="572"/>
        <v>-</v>
      </c>
      <c r="BT372" s="980" t="str">
        <f t="shared" si="572"/>
        <v>-</v>
      </c>
      <c r="BU372" s="979" t="str">
        <f t="shared" si="572"/>
        <v>-</v>
      </c>
      <c r="BV372" s="979" t="str">
        <f>IF(AG372="","-",IFERROR((AG372/AF372-1)*(AF374/AF$13),"-"))</f>
        <v>-</v>
      </c>
      <c r="BW372" s="979" t="str">
        <f>IF(AH372="","-",IFERROR((AH372/AG372-1)*(AG374/AG$13),"-"))</f>
        <v>-</v>
      </c>
      <c r="BX372" s="979" t="str">
        <f>IF(AI372="","-",IFERROR((AI372/AH372-1)*(AH374/AH$13),"-"))</f>
        <v>-</v>
      </c>
      <c r="BY372" s="981" t="str">
        <f>IF(AJ372="","-",IFERROR((AJ372/AI372-1)*(AI374/AI$13),"-"))</f>
        <v>-</v>
      </c>
      <c r="BZ372" s="951"/>
      <c r="CA372" s="975" t="str">
        <f t="shared" si="482"/>
        <v>Price</v>
      </c>
      <c r="CB372" s="976" t="str">
        <f t="shared" si="483"/>
        <v>[Service]</v>
      </c>
      <c r="CC372" s="982" t="str">
        <f t="shared" si="484"/>
        <v>[Price]</v>
      </c>
      <c r="CD372" s="983" t="str">
        <f t="shared" si="510"/>
        <v>-</v>
      </c>
      <c r="CE372" s="979" t="str">
        <f t="shared" si="510"/>
        <v>-</v>
      </c>
      <c r="CF372" s="979" t="str">
        <f t="shared" si="510"/>
        <v>-</v>
      </c>
      <c r="CG372" s="980" t="str">
        <f t="shared" si="506"/>
        <v>-</v>
      </c>
      <c r="CH372" s="979" t="str">
        <f t="shared" si="511"/>
        <v>-</v>
      </c>
      <c r="CI372" s="979" t="str">
        <f t="shared" si="511"/>
        <v>-</v>
      </c>
      <c r="CJ372" s="979" t="str">
        <f t="shared" si="511"/>
        <v>-</v>
      </c>
      <c r="CK372" s="981" t="str">
        <f t="shared" si="507"/>
        <v>-</v>
      </c>
    </row>
    <row r="373" spans="4:89">
      <c r="E373" s="567" t="s">
        <v>880</v>
      </c>
      <c r="F373" s="554" t="str">
        <f>+F372</f>
        <v>[Service]</v>
      </c>
      <c r="G373" s="555">
        <f>+G372</f>
        <v>0</v>
      </c>
      <c r="H373" s="555">
        <f>+H372</f>
        <v>0</v>
      </c>
      <c r="I373" s="556" t="str">
        <f>+I372</f>
        <v>[Price]</v>
      </c>
      <c r="J373" s="590" t="s">
        <v>916</v>
      </c>
      <c r="K373" s="557"/>
      <c r="L373" s="558"/>
      <c r="M373" s="558"/>
      <c r="N373" s="557"/>
      <c r="O373" s="558"/>
      <c r="P373" s="558"/>
      <c r="Q373" s="558"/>
      <c r="R373" s="1036"/>
      <c r="S373" s="1139"/>
      <c r="T373" s="593"/>
      <c r="U373" s="1036"/>
      <c r="V373" s="593"/>
      <c r="W373" s="593"/>
      <c r="X373" s="593"/>
      <c r="Y373" s="593"/>
      <c r="Z373" s="593"/>
      <c r="AA373" s="1139"/>
      <c r="AB373" s="593"/>
      <c r="AC373" s="593"/>
      <c r="AD373" s="593"/>
      <c r="AE373" s="1036"/>
      <c r="AF373" s="593"/>
      <c r="AG373" s="593"/>
      <c r="AH373" s="593"/>
      <c r="AI373" s="593"/>
      <c r="AJ373" s="594"/>
      <c r="AK373" s="548"/>
      <c r="AO373" s="961" t="str">
        <f t="shared" si="485"/>
        <v>Qty</v>
      </c>
      <c r="AP373" s="962" t="str">
        <f t="shared" si="485"/>
        <v>[Service]</v>
      </c>
      <c r="AQ373" s="963" t="str">
        <f t="shared" si="486"/>
        <v>[Price]</v>
      </c>
      <c r="AR373" s="967" t="str">
        <f t="shared" si="487"/>
        <v>-</v>
      </c>
      <c r="AS373" s="964" t="str">
        <f t="shared" si="488"/>
        <v>-</v>
      </c>
      <c r="AT373" s="964" t="str">
        <f t="shared" si="489"/>
        <v>-</v>
      </c>
      <c r="AU373" s="964" t="str">
        <f t="shared" si="490"/>
        <v>-</v>
      </c>
      <c r="AV373" s="1350" t="str">
        <f t="shared" si="491"/>
        <v>-</v>
      </c>
      <c r="AW373" s="1343" t="str">
        <f t="shared" si="492"/>
        <v>-</v>
      </c>
      <c r="AX373" s="964" t="str">
        <f t="shared" si="493"/>
        <v>-</v>
      </c>
      <c r="AY373" s="964" t="str">
        <f t="shared" si="494"/>
        <v>-</v>
      </c>
      <c r="AZ373" s="964" t="str">
        <f t="shared" si="495"/>
        <v>-</v>
      </c>
      <c r="BA373" s="965" t="str">
        <f t="shared" si="496"/>
        <v>-</v>
      </c>
      <c r="BB373" s="1343" t="str">
        <f t="shared" si="497"/>
        <v>-</v>
      </c>
      <c r="BC373" s="964" t="str">
        <f t="shared" si="498"/>
        <v>-</v>
      </c>
      <c r="BD373" s="964" t="str">
        <f t="shared" si="499"/>
        <v>-</v>
      </c>
      <c r="BE373" s="964" t="str">
        <f t="shared" si="500"/>
        <v>-</v>
      </c>
      <c r="BF373" s="966" t="str">
        <f t="shared" si="501"/>
        <v>-</v>
      </c>
      <c r="BG373" s="951"/>
      <c r="BH373" s="961" t="str">
        <f t="shared" si="502"/>
        <v>Qty</v>
      </c>
      <c r="BI373" s="962" t="str">
        <f t="shared" si="503"/>
        <v>[Service]</v>
      </c>
      <c r="BJ373" s="963" t="str">
        <f t="shared" si="504"/>
        <v>[Price]</v>
      </c>
      <c r="BK373" s="964" t="str">
        <f t="shared" ref="BK373:BU373" si="573">IF(V373="","-",IFERROR((V373/U373-1)*(U374/U$13),"-"))</f>
        <v>-</v>
      </c>
      <c r="BL373" s="964" t="str">
        <f t="shared" si="573"/>
        <v>-</v>
      </c>
      <c r="BM373" s="964" t="str">
        <f t="shared" si="573"/>
        <v>-</v>
      </c>
      <c r="BN373" s="964" t="str">
        <f t="shared" si="573"/>
        <v>-</v>
      </c>
      <c r="BO373" s="1350" t="str">
        <f t="shared" si="573"/>
        <v>-</v>
      </c>
      <c r="BP373" s="1343" t="str">
        <f t="shared" si="573"/>
        <v>-</v>
      </c>
      <c r="BQ373" s="964" t="str">
        <f t="shared" si="573"/>
        <v>-</v>
      </c>
      <c r="BR373" s="964" t="str">
        <f t="shared" si="573"/>
        <v>-</v>
      </c>
      <c r="BS373" s="964" t="str">
        <f t="shared" si="573"/>
        <v>-</v>
      </c>
      <c r="BT373" s="965" t="str">
        <f t="shared" si="573"/>
        <v>-</v>
      </c>
      <c r="BU373" s="964" t="str">
        <f t="shared" si="573"/>
        <v>-</v>
      </c>
      <c r="BV373" s="964" t="str">
        <f>IF(AG373="","-",IFERROR((AG373/AF373-1)*(AF374/AF$13),"-"))</f>
        <v>-</v>
      </c>
      <c r="BW373" s="964" t="str">
        <f>IF(AH373="","-",IFERROR((AH373/AG373-1)*(AG374/AG$13),"-"))</f>
        <v>-</v>
      </c>
      <c r="BX373" s="964" t="str">
        <f>IF(AI373="","-",IFERROR((AI373/AH373-1)*(AH374/AH$13),"-"))</f>
        <v>-</v>
      </c>
      <c r="BY373" s="966" t="str">
        <f>IF(AJ373="","-",IFERROR((AJ373/AI373-1)*(AI374/AI$13),"-"))</f>
        <v>-</v>
      </c>
      <c r="BZ373" s="951"/>
      <c r="CA373" s="961" t="str">
        <f t="shared" si="482"/>
        <v>Qty</v>
      </c>
      <c r="CB373" s="962" t="str">
        <f t="shared" si="483"/>
        <v>[Service]</v>
      </c>
      <c r="CC373" s="962" t="str">
        <f t="shared" si="484"/>
        <v>[Price]</v>
      </c>
      <c r="CD373" s="967" t="str">
        <f t="shared" si="510"/>
        <v>-</v>
      </c>
      <c r="CE373" s="964" t="str">
        <f t="shared" si="510"/>
        <v>-</v>
      </c>
      <c r="CF373" s="964" t="str">
        <f t="shared" si="510"/>
        <v>-</v>
      </c>
      <c r="CG373" s="965" t="str">
        <f t="shared" si="506"/>
        <v>-</v>
      </c>
      <c r="CH373" s="964" t="str">
        <f t="shared" si="511"/>
        <v>-</v>
      </c>
      <c r="CI373" s="964" t="str">
        <f t="shared" si="511"/>
        <v>-</v>
      </c>
      <c r="CJ373" s="964" t="str">
        <f t="shared" si="511"/>
        <v>-</v>
      </c>
      <c r="CK373" s="966" t="str">
        <f t="shared" si="507"/>
        <v>-</v>
      </c>
    </row>
    <row r="374" spans="4:89" ht="12.75" thickBot="1">
      <c r="E374" s="568" t="s">
        <v>882</v>
      </c>
      <c r="F374" s="560" t="str">
        <f>+F372</f>
        <v>[Service]</v>
      </c>
      <c r="G374" s="561">
        <f>+G372</f>
        <v>0</v>
      </c>
      <c r="H374" s="561">
        <f>+H372</f>
        <v>0</v>
      </c>
      <c r="I374" s="562" t="str">
        <f>+I372</f>
        <v>[Price]</v>
      </c>
      <c r="J374" s="563" t="s">
        <v>883</v>
      </c>
      <c r="K374" s="564">
        <f t="shared" ref="K374:AJ374" si="574">K372*K373/10^6</f>
        <v>0</v>
      </c>
      <c r="L374" s="565">
        <f t="shared" si="574"/>
        <v>0</v>
      </c>
      <c r="M374" s="565">
        <f t="shared" si="574"/>
        <v>0</v>
      </c>
      <c r="N374" s="564">
        <f t="shared" si="574"/>
        <v>0</v>
      </c>
      <c r="O374" s="565">
        <f t="shared" si="574"/>
        <v>0</v>
      </c>
      <c r="P374" s="565">
        <f t="shared" si="574"/>
        <v>0</v>
      </c>
      <c r="Q374" s="565">
        <f t="shared" si="574"/>
        <v>0</v>
      </c>
      <c r="R374" s="566">
        <f t="shared" si="574"/>
        <v>0</v>
      </c>
      <c r="S374" s="564">
        <f t="shared" si="574"/>
        <v>0</v>
      </c>
      <c r="T374" s="565">
        <f t="shared" si="574"/>
        <v>0</v>
      </c>
      <c r="U374" s="566">
        <f t="shared" si="574"/>
        <v>0</v>
      </c>
      <c r="V374" s="565">
        <f t="shared" si="574"/>
        <v>0</v>
      </c>
      <c r="W374" s="565">
        <f t="shared" si="574"/>
        <v>0</v>
      </c>
      <c r="X374" s="565">
        <f t="shared" si="574"/>
        <v>0</v>
      </c>
      <c r="Y374" s="565">
        <f t="shared" si="574"/>
        <v>0</v>
      </c>
      <c r="Z374" s="565">
        <f t="shared" si="574"/>
        <v>0</v>
      </c>
      <c r="AA374" s="564">
        <f t="shared" si="574"/>
        <v>0</v>
      </c>
      <c r="AB374" s="565">
        <f t="shared" si="574"/>
        <v>0</v>
      </c>
      <c r="AC374" s="565">
        <f t="shared" si="574"/>
        <v>0</v>
      </c>
      <c r="AD374" s="565">
        <f t="shared" si="574"/>
        <v>0</v>
      </c>
      <c r="AE374" s="566">
        <f t="shared" si="574"/>
        <v>0</v>
      </c>
      <c r="AF374" s="565">
        <f t="shared" si="574"/>
        <v>0</v>
      </c>
      <c r="AG374" s="565">
        <f>AG372*AG373/10^6</f>
        <v>0</v>
      </c>
      <c r="AH374" s="565">
        <f>AH372*AH373/10^6</f>
        <v>0</v>
      </c>
      <c r="AI374" s="565">
        <f>AI372*AI373/10^6</f>
        <v>0</v>
      </c>
      <c r="AJ374" s="566">
        <f t="shared" si="574"/>
        <v>0</v>
      </c>
      <c r="AK374" s="548"/>
      <c r="AO374" s="984" t="str">
        <f t="shared" si="485"/>
        <v>Rev</v>
      </c>
      <c r="AP374" s="985" t="str">
        <f t="shared" si="485"/>
        <v>[Service]</v>
      </c>
      <c r="AQ374" s="986" t="str">
        <f t="shared" si="486"/>
        <v>[Price]</v>
      </c>
      <c r="AR374" s="990" t="str">
        <f t="shared" si="487"/>
        <v>-</v>
      </c>
      <c r="AS374" s="987" t="str">
        <f t="shared" si="488"/>
        <v>-</v>
      </c>
      <c r="AT374" s="987" t="str">
        <f t="shared" si="489"/>
        <v>-</v>
      </c>
      <c r="AU374" s="987" t="str">
        <f t="shared" si="490"/>
        <v>-</v>
      </c>
      <c r="AV374" s="1353" t="str">
        <f t="shared" si="491"/>
        <v>-</v>
      </c>
      <c r="AW374" s="1346" t="str">
        <f t="shared" si="492"/>
        <v>-</v>
      </c>
      <c r="AX374" s="987" t="str">
        <f t="shared" si="493"/>
        <v>-</v>
      </c>
      <c r="AY374" s="987" t="str">
        <f t="shared" si="494"/>
        <v>-</v>
      </c>
      <c r="AZ374" s="987" t="str">
        <f t="shared" si="495"/>
        <v>-</v>
      </c>
      <c r="BA374" s="988" t="str">
        <f t="shared" si="496"/>
        <v>-</v>
      </c>
      <c r="BB374" s="1346" t="str">
        <f t="shared" si="497"/>
        <v>-</v>
      </c>
      <c r="BC374" s="987" t="str">
        <f t="shared" si="498"/>
        <v>-</v>
      </c>
      <c r="BD374" s="987" t="str">
        <f t="shared" si="499"/>
        <v>-</v>
      </c>
      <c r="BE374" s="987" t="str">
        <f t="shared" si="500"/>
        <v>-</v>
      </c>
      <c r="BF374" s="989" t="str">
        <f t="shared" si="501"/>
        <v>-</v>
      </c>
      <c r="BG374" s="951"/>
      <c r="BH374" s="984" t="str">
        <f t="shared" si="502"/>
        <v>Rev</v>
      </c>
      <c r="BI374" s="985" t="str">
        <f t="shared" si="503"/>
        <v>[Service]</v>
      </c>
      <c r="BJ374" s="986" t="str">
        <f t="shared" si="504"/>
        <v>[Price]</v>
      </c>
      <c r="BK374" s="987" t="str">
        <f t="shared" ref="BK374:BU374" si="575">IF(V374="","-",IFERROR((V374/U374-1)*(U374/U$13),"-"))</f>
        <v>-</v>
      </c>
      <c r="BL374" s="987" t="str">
        <f t="shared" si="575"/>
        <v>-</v>
      </c>
      <c r="BM374" s="987" t="str">
        <f t="shared" si="575"/>
        <v>-</v>
      </c>
      <c r="BN374" s="987" t="str">
        <f t="shared" si="575"/>
        <v>-</v>
      </c>
      <c r="BO374" s="1353" t="str">
        <f t="shared" si="575"/>
        <v>-</v>
      </c>
      <c r="BP374" s="1346" t="str">
        <f t="shared" si="575"/>
        <v>-</v>
      </c>
      <c r="BQ374" s="987" t="str">
        <f t="shared" si="575"/>
        <v>-</v>
      </c>
      <c r="BR374" s="987" t="str">
        <f t="shared" si="575"/>
        <v>-</v>
      </c>
      <c r="BS374" s="987" t="str">
        <f t="shared" si="575"/>
        <v>-</v>
      </c>
      <c r="BT374" s="988" t="str">
        <f t="shared" si="575"/>
        <v>-</v>
      </c>
      <c r="BU374" s="987" t="str">
        <f t="shared" si="575"/>
        <v>-</v>
      </c>
      <c r="BV374" s="987" t="str">
        <f>IF(AG374="","-",IFERROR((AG374/AF374-1)*(AF374/AF$13),"-"))</f>
        <v>-</v>
      </c>
      <c r="BW374" s="987" t="str">
        <f>IF(AH374="","-",IFERROR((AH374/AG374-1)*(AG374/AG$13),"-"))</f>
        <v>-</v>
      </c>
      <c r="BX374" s="987" t="str">
        <f>IF(AI374="","-",IFERROR((AI374/AH374-1)*(AH374/AH$13),"-"))</f>
        <v>-</v>
      </c>
      <c r="BY374" s="989" t="str">
        <f>IF(AJ374="","-",IFERROR((AJ374/AI374-1)*(AI374/AI$13),"-"))</f>
        <v>-</v>
      </c>
      <c r="BZ374" s="951"/>
      <c r="CA374" s="984" t="str">
        <f t="shared" si="482"/>
        <v>Rev</v>
      </c>
      <c r="CB374" s="985" t="str">
        <f t="shared" si="483"/>
        <v>[Service]</v>
      </c>
      <c r="CC374" s="985" t="str">
        <f t="shared" si="484"/>
        <v>[Price]</v>
      </c>
      <c r="CD374" s="990" t="str">
        <f t="shared" si="510"/>
        <v>-</v>
      </c>
      <c r="CE374" s="987" t="str">
        <f t="shared" si="510"/>
        <v>-</v>
      </c>
      <c r="CF374" s="987" t="str">
        <f t="shared" si="510"/>
        <v>-</v>
      </c>
      <c r="CG374" s="988" t="str">
        <f t="shared" si="506"/>
        <v>-</v>
      </c>
      <c r="CH374" s="987" t="str">
        <f t="shared" si="511"/>
        <v>-</v>
      </c>
      <c r="CI374" s="987" t="str">
        <f t="shared" si="511"/>
        <v>-</v>
      </c>
      <c r="CJ374" s="987" t="str">
        <f t="shared" si="511"/>
        <v>-</v>
      </c>
      <c r="CK374" s="989" t="str">
        <f t="shared" si="507"/>
        <v>-</v>
      </c>
    </row>
    <row r="375" spans="4:89">
      <c r="D375" s="63">
        <f>D372+1</f>
        <v>103</v>
      </c>
      <c r="E375" s="550" t="s">
        <v>857</v>
      </c>
      <c r="F375" s="595" t="s">
        <v>428</v>
      </c>
      <c r="G375" s="595"/>
      <c r="H375" s="595"/>
      <c r="I375" s="589" t="s">
        <v>920</v>
      </c>
      <c r="J375" s="589" t="s">
        <v>879</v>
      </c>
      <c r="K375" s="551"/>
      <c r="L375" s="552"/>
      <c r="M375" s="552"/>
      <c r="N375" s="551"/>
      <c r="O375" s="552"/>
      <c r="P375" s="552"/>
      <c r="Q375" s="552"/>
      <c r="R375" s="1035"/>
      <c r="S375" s="1138"/>
      <c r="T375" s="591"/>
      <c r="U375" s="1035"/>
      <c r="V375" s="591"/>
      <c r="W375" s="591"/>
      <c r="X375" s="591"/>
      <c r="Y375" s="591"/>
      <c r="Z375" s="591"/>
      <c r="AA375" s="1138"/>
      <c r="AB375" s="591"/>
      <c r="AC375" s="591"/>
      <c r="AD375" s="591"/>
      <c r="AE375" s="1035"/>
      <c r="AF375" s="591"/>
      <c r="AG375" s="591"/>
      <c r="AH375" s="591"/>
      <c r="AI375" s="591"/>
      <c r="AJ375" s="592"/>
      <c r="AK375" s="548"/>
      <c r="AM375" s="974"/>
      <c r="AO375" s="975" t="str">
        <f t="shared" si="485"/>
        <v>Price</v>
      </c>
      <c r="AP375" s="976" t="str">
        <f t="shared" si="485"/>
        <v>[Service]</v>
      </c>
      <c r="AQ375" s="977" t="str">
        <f t="shared" si="486"/>
        <v>[Price]</v>
      </c>
      <c r="AR375" s="1341" t="str">
        <f t="shared" si="487"/>
        <v>-</v>
      </c>
      <c r="AS375" s="978" t="str">
        <f t="shared" si="488"/>
        <v>-</v>
      </c>
      <c r="AT375" s="979" t="str">
        <f t="shared" si="489"/>
        <v>-</v>
      </c>
      <c r="AU375" s="979" t="str">
        <f t="shared" si="490"/>
        <v>-</v>
      </c>
      <c r="AV375" s="1352" t="str">
        <f t="shared" si="491"/>
        <v>-</v>
      </c>
      <c r="AW375" s="1345" t="str">
        <f t="shared" si="492"/>
        <v>-</v>
      </c>
      <c r="AX375" s="979" t="str">
        <f t="shared" si="493"/>
        <v>-</v>
      </c>
      <c r="AY375" s="979" t="str">
        <f t="shared" si="494"/>
        <v>-</v>
      </c>
      <c r="AZ375" s="979" t="str">
        <f t="shared" si="495"/>
        <v>-</v>
      </c>
      <c r="BA375" s="980" t="str">
        <f t="shared" si="496"/>
        <v>-</v>
      </c>
      <c r="BB375" s="1345" t="str">
        <f t="shared" si="497"/>
        <v>-</v>
      </c>
      <c r="BC375" s="979" t="str">
        <f t="shared" si="498"/>
        <v>-</v>
      </c>
      <c r="BD375" s="979" t="str">
        <f t="shared" si="499"/>
        <v>-</v>
      </c>
      <c r="BE375" s="979" t="str">
        <f t="shared" si="500"/>
        <v>-</v>
      </c>
      <c r="BF375" s="981" t="str">
        <f t="shared" si="501"/>
        <v>-</v>
      </c>
      <c r="BG375" s="951"/>
      <c r="BH375" s="975" t="str">
        <f t="shared" si="502"/>
        <v>Price</v>
      </c>
      <c r="BI375" s="976" t="str">
        <f t="shared" si="503"/>
        <v>[Service]</v>
      </c>
      <c r="BJ375" s="977" t="str">
        <f t="shared" si="504"/>
        <v>[Price]</v>
      </c>
      <c r="BK375" s="978" t="str">
        <f t="shared" ref="BK375:BU375" si="576">IF(V375="","-",IFERROR((V375/U375-1)*(U377/U$13),"-"))</f>
        <v>-</v>
      </c>
      <c r="BL375" s="978" t="str">
        <f t="shared" si="576"/>
        <v>-</v>
      </c>
      <c r="BM375" s="979" t="str">
        <f t="shared" si="576"/>
        <v>-</v>
      </c>
      <c r="BN375" s="979" t="str">
        <f t="shared" si="576"/>
        <v>-</v>
      </c>
      <c r="BO375" s="1352" t="str">
        <f t="shared" si="576"/>
        <v>-</v>
      </c>
      <c r="BP375" s="1345" t="str">
        <f t="shared" si="576"/>
        <v>-</v>
      </c>
      <c r="BQ375" s="979" t="str">
        <f t="shared" si="576"/>
        <v>-</v>
      </c>
      <c r="BR375" s="979" t="str">
        <f t="shared" si="576"/>
        <v>-</v>
      </c>
      <c r="BS375" s="979" t="str">
        <f t="shared" si="576"/>
        <v>-</v>
      </c>
      <c r="BT375" s="980" t="str">
        <f t="shared" si="576"/>
        <v>-</v>
      </c>
      <c r="BU375" s="979" t="str">
        <f t="shared" si="576"/>
        <v>-</v>
      </c>
      <c r="BV375" s="979" t="str">
        <f>IF(AG375="","-",IFERROR((AG375/AF375-1)*(AF377/AF$13),"-"))</f>
        <v>-</v>
      </c>
      <c r="BW375" s="979" t="str">
        <f>IF(AH375="","-",IFERROR((AH375/AG375-1)*(AG377/AG$13),"-"))</f>
        <v>-</v>
      </c>
      <c r="BX375" s="979" t="str">
        <f>IF(AI375="","-",IFERROR((AI375/AH375-1)*(AH377/AH$13),"-"))</f>
        <v>-</v>
      </c>
      <c r="BY375" s="981" t="str">
        <f>IF(AJ375="","-",IFERROR((AJ375/AI375-1)*(AI377/AI$13),"-"))</f>
        <v>-</v>
      </c>
      <c r="BZ375" s="951"/>
      <c r="CA375" s="975" t="str">
        <f t="shared" si="482"/>
        <v>Price</v>
      </c>
      <c r="CB375" s="976" t="str">
        <f t="shared" si="483"/>
        <v>[Service]</v>
      </c>
      <c r="CC375" s="982" t="str">
        <f t="shared" si="484"/>
        <v>[Price]</v>
      </c>
      <c r="CD375" s="983" t="str">
        <f t="shared" si="510"/>
        <v>-</v>
      </c>
      <c r="CE375" s="979" t="str">
        <f t="shared" si="510"/>
        <v>-</v>
      </c>
      <c r="CF375" s="979" t="str">
        <f t="shared" si="510"/>
        <v>-</v>
      </c>
      <c r="CG375" s="980" t="str">
        <f t="shared" si="506"/>
        <v>-</v>
      </c>
      <c r="CH375" s="979" t="str">
        <f t="shared" si="511"/>
        <v>-</v>
      </c>
      <c r="CI375" s="979" t="str">
        <f t="shared" si="511"/>
        <v>-</v>
      </c>
      <c r="CJ375" s="979" t="str">
        <f t="shared" si="511"/>
        <v>-</v>
      </c>
      <c r="CK375" s="981" t="str">
        <f t="shared" si="507"/>
        <v>-</v>
      </c>
    </row>
    <row r="376" spans="4:89">
      <c r="E376" s="567" t="s">
        <v>880</v>
      </c>
      <c r="F376" s="554" t="str">
        <f>+F375</f>
        <v>[Service]</v>
      </c>
      <c r="G376" s="555">
        <f>+G375</f>
        <v>0</v>
      </c>
      <c r="H376" s="555">
        <f>+H375</f>
        <v>0</v>
      </c>
      <c r="I376" s="556" t="str">
        <f>+I375</f>
        <v>[Price]</v>
      </c>
      <c r="J376" s="590" t="s">
        <v>916</v>
      </c>
      <c r="K376" s="557"/>
      <c r="L376" s="558"/>
      <c r="M376" s="558"/>
      <c r="N376" s="557"/>
      <c r="O376" s="558"/>
      <c r="P376" s="558"/>
      <c r="Q376" s="558"/>
      <c r="R376" s="1036"/>
      <c r="S376" s="1139"/>
      <c r="T376" s="593"/>
      <c r="U376" s="1036"/>
      <c r="V376" s="593"/>
      <c r="W376" s="593"/>
      <c r="X376" s="593"/>
      <c r="Y376" s="593"/>
      <c r="Z376" s="593"/>
      <c r="AA376" s="1139"/>
      <c r="AB376" s="593"/>
      <c r="AC376" s="593"/>
      <c r="AD376" s="593"/>
      <c r="AE376" s="1036"/>
      <c r="AF376" s="593"/>
      <c r="AG376" s="593"/>
      <c r="AH376" s="593"/>
      <c r="AI376" s="593"/>
      <c r="AJ376" s="594"/>
      <c r="AK376" s="548"/>
      <c r="AO376" s="961" t="str">
        <f t="shared" si="485"/>
        <v>Qty</v>
      </c>
      <c r="AP376" s="962" t="str">
        <f t="shared" si="485"/>
        <v>[Service]</v>
      </c>
      <c r="AQ376" s="963" t="str">
        <f t="shared" si="486"/>
        <v>[Price]</v>
      </c>
      <c r="AR376" s="967" t="str">
        <f t="shared" si="487"/>
        <v>-</v>
      </c>
      <c r="AS376" s="964" t="str">
        <f t="shared" si="488"/>
        <v>-</v>
      </c>
      <c r="AT376" s="964" t="str">
        <f t="shared" si="489"/>
        <v>-</v>
      </c>
      <c r="AU376" s="964" t="str">
        <f t="shared" si="490"/>
        <v>-</v>
      </c>
      <c r="AV376" s="1350" t="str">
        <f t="shared" si="491"/>
        <v>-</v>
      </c>
      <c r="AW376" s="1343" t="str">
        <f t="shared" si="492"/>
        <v>-</v>
      </c>
      <c r="AX376" s="964" t="str">
        <f t="shared" si="493"/>
        <v>-</v>
      </c>
      <c r="AY376" s="964" t="str">
        <f t="shared" si="494"/>
        <v>-</v>
      </c>
      <c r="AZ376" s="964" t="str">
        <f t="shared" si="495"/>
        <v>-</v>
      </c>
      <c r="BA376" s="965" t="str">
        <f t="shared" si="496"/>
        <v>-</v>
      </c>
      <c r="BB376" s="1343" t="str">
        <f t="shared" si="497"/>
        <v>-</v>
      </c>
      <c r="BC376" s="964" t="str">
        <f t="shared" si="498"/>
        <v>-</v>
      </c>
      <c r="BD376" s="964" t="str">
        <f t="shared" si="499"/>
        <v>-</v>
      </c>
      <c r="BE376" s="964" t="str">
        <f t="shared" si="500"/>
        <v>-</v>
      </c>
      <c r="BF376" s="966" t="str">
        <f t="shared" si="501"/>
        <v>-</v>
      </c>
      <c r="BG376" s="951"/>
      <c r="BH376" s="961" t="str">
        <f t="shared" si="502"/>
        <v>Qty</v>
      </c>
      <c r="BI376" s="962" t="str">
        <f t="shared" si="503"/>
        <v>[Service]</v>
      </c>
      <c r="BJ376" s="963" t="str">
        <f t="shared" si="504"/>
        <v>[Price]</v>
      </c>
      <c r="BK376" s="964" t="str">
        <f t="shared" ref="BK376:BU376" si="577">IF(V376="","-",IFERROR((V376/U376-1)*(U377/U$13),"-"))</f>
        <v>-</v>
      </c>
      <c r="BL376" s="964" t="str">
        <f t="shared" si="577"/>
        <v>-</v>
      </c>
      <c r="BM376" s="964" t="str">
        <f t="shared" si="577"/>
        <v>-</v>
      </c>
      <c r="BN376" s="964" t="str">
        <f t="shared" si="577"/>
        <v>-</v>
      </c>
      <c r="BO376" s="1350" t="str">
        <f t="shared" si="577"/>
        <v>-</v>
      </c>
      <c r="BP376" s="1343" t="str">
        <f t="shared" si="577"/>
        <v>-</v>
      </c>
      <c r="BQ376" s="964" t="str">
        <f t="shared" si="577"/>
        <v>-</v>
      </c>
      <c r="BR376" s="964" t="str">
        <f t="shared" si="577"/>
        <v>-</v>
      </c>
      <c r="BS376" s="964" t="str">
        <f t="shared" si="577"/>
        <v>-</v>
      </c>
      <c r="BT376" s="965" t="str">
        <f t="shared" si="577"/>
        <v>-</v>
      </c>
      <c r="BU376" s="964" t="str">
        <f t="shared" si="577"/>
        <v>-</v>
      </c>
      <c r="BV376" s="964" t="str">
        <f>IF(AG376="","-",IFERROR((AG376/AF376-1)*(AF377/AF$13),"-"))</f>
        <v>-</v>
      </c>
      <c r="BW376" s="964" t="str">
        <f>IF(AH376="","-",IFERROR((AH376/AG376-1)*(AG377/AG$13),"-"))</f>
        <v>-</v>
      </c>
      <c r="BX376" s="964" t="str">
        <f>IF(AI376="","-",IFERROR((AI376/AH376-1)*(AH377/AH$13),"-"))</f>
        <v>-</v>
      </c>
      <c r="BY376" s="966" t="str">
        <f>IF(AJ376="","-",IFERROR((AJ376/AI376-1)*(AI377/AI$13),"-"))</f>
        <v>-</v>
      </c>
      <c r="BZ376" s="951"/>
      <c r="CA376" s="961" t="str">
        <f t="shared" si="482"/>
        <v>Qty</v>
      </c>
      <c r="CB376" s="962" t="str">
        <f t="shared" si="483"/>
        <v>[Service]</v>
      </c>
      <c r="CC376" s="962" t="str">
        <f t="shared" si="484"/>
        <v>[Price]</v>
      </c>
      <c r="CD376" s="967" t="str">
        <f t="shared" si="510"/>
        <v>-</v>
      </c>
      <c r="CE376" s="964" t="str">
        <f t="shared" si="510"/>
        <v>-</v>
      </c>
      <c r="CF376" s="964" t="str">
        <f t="shared" si="510"/>
        <v>-</v>
      </c>
      <c r="CG376" s="965" t="str">
        <f t="shared" si="506"/>
        <v>-</v>
      </c>
      <c r="CH376" s="964" t="str">
        <f t="shared" si="511"/>
        <v>-</v>
      </c>
      <c r="CI376" s="964" t="str">
        <f t="shared" si="511"/>
        <v>-</v>
      </c>
      <c r="CJ376" s="964" t="str">
        <f t="shared" si="511"/>
        <v>-</v>
      </c>
      <c r="CK376" s="966" t="str">
        <f t="shared" si="507"/>
        <v>-</v>
      </c>
    </row>
    <row r="377" spans="4:89" ht="12.75" thickBot="1">
      <c r="E377" s="568" t="s">
        <v>882</v>
      </c>
      <c r="F377" s="560" t="str">
        <f>+F375</f>
        <v>[Service]</v>
      </c>
      <c r="G377" s="561">
        <f>+G375</f>
        <v>0</v>
      </c>
      <c r="H377" s="561">
        <f>+H375</f>
        <v>0</v>
      </c>
      <c r="I377" s="562" t="str">
        <f>+I375</f>
        <v>[Price]</v>
      </c>
      <c r="J377" s="563" t="s">
        <v>883</v>
      </c>
      <c r="K377" s="564">
        <f t="shared" ref="K377:AJ377" si="578">K375*K376/10^6</f>
        <v>0</v>
      </c>
      <c r="L377" s="565">
        <f t="shared" si="578"/>
        <v>0</v>
      </c>
      <c r="M377" s="565">
        <f t="shared" si="578"/>
        <v>0</v>
      </c>
      <c r="N377" s="564">
        <f t="shared" si="578"/>
        <v>0</v>
      </c>
      <c r="O377" s="565">
        <f t="shared" si="578"/>
        <v>0</v>
      </c>
      <c r="P377" s="565">
        <f t="shared" si="578"/>
        <v>0</v>
      </c>
      <c r="Q377" s="565">
        <f t="shared" si="578"/>
        <v>0</v>
      </c>
      <c r="R377" s="566">
        <f t="shared" si="578"/>
        <v>0</v>
      </c>
      <c r="S377" s="564">
        <f t="shared" si="578"/>
        <v>0</v>
      </c>
      <c r="T377" s="565">
        <f t="shared" si="578"/>
        <v>0</v>
      </c>
      <c r="U377" s="566">
        <f t="shared" si="578"/>
        <v>0</v>
      </c>
      <c r="V377" s="565">
        <f t="shared" si="578"/>
        <v>0</v>
      </c>
      <c r="W377" s="565">
        <f t="shared" si="578"/>
        <v>0</v>
      </c>
      <c r="X377" s="565">
        <f t="shared" si="578"/>
        <v>0</v>
      </c>
      <c r="Y377" s="565">
        <f t="shared" si="578"/>
        <v>0</v>
      </c>
      <c r="Z377" s="565">
        <f t="shared" si="578"/>
        <v>0</v>
      </c>
      <c r="AA377" s="564">
        <f t="shared" si="578"/>
        <v>0</v>
      </c>
      <c r="AB377" s="565">
        <f t="shared" si="578"/>
        <v>0</v>
      </c>
      <c r="AC377" s="565">
        <f t="shared" si="578"/>
        <v>0</v>
      </c>
      <c r="AD377" s="565">
        <f t="shared" si="578"/>
        <v>0</v>
      </c>
      <c r="AE377" s="566">
        <f t="shared" si="578"/>
        <v>0</v>
      </c>
      <c r="AF377" s="565">
        <f t="shared" si="578"/>
        <v>0</v>
      </c>
      <c r="AG377" s="565">
        <f>AG375*AG376/10^6</f>
        <v>0</v>
      </c>
      <c r="AH377" s="565">
        <f>AH375*AH376/10^6</f>
        <v>0</v>
      </c>
      <c r="AI377" s="565">
        <f>AI375*AI376/10^6</f>
        <v>0</v>
      </c>
      <c r="AJ377" s="566">
        <f t="shared" si="578"/>
        <v>0</v>
      </c>
      <c r="AK377" s="548"/>
      <c r="AO377" s="984" t="str">
        <f t="shared" si="485"/>
        <v>Rev</v>
      </c>
      <c r="AP377" s="985" t="str">
        <f t="shared" si="485"/>
        <v>[Service]</v>
      </c>
      <c r="AQ377" s="986" t="str">
        <f t="shared" si="486"/>
        <v>[Price]</v>
      </c>
      <c r="AR377" s="990" t="str">
        <f t="shared" si="487"/>
        <v>-</v>
      </c>
      <c r="AS377" s="987" t="str">
        <f t="shared" si="488"/>
        <v>-</v>
      </c>
      <c r="AT377" s="987" t="str">
        <f t="shared" si="489"/>
        <v>-</v>
      </c>
      <c r="AU377" s="987" t="str">
        <f t="shared" si="490"/>
        <v>-</v>
      </c>
      <c r="AV377" s="1353" t="str">
        <f t="shared" si="491"/>
        <v>-</v>
      </c>
      <c r="AW377" s="1346" t="str">
        <f t="shared" si="492"/>
        <v>-</v>
      </c>
      <c r="AX377" s="987" t="str">
        <f t="shared" si="493"/>
        <v>-</v>
      </c>
      <c r="AY377" s="987" t="str">
        <f t="shared" si="494"/>
        <v>-</v>
      </c>
      <c r="AZ377" s="987" t="str">
        <f t="shared" si="495"/>
        <v>-</v>
      </c>
      <c r="BA377" s="988" t="str">
        <f t="shared" si="496"/>
        <v>-</v>
      </c>
      <c r="BB377" s="1346" t="str">
        <f t="shared" si="497"/>
        <v>-</v>
      </c>
      <c r="BC377" s="987" t="str">
        <f t="shared" si="498"/>
        <v>-</v>
      </c>
      <c r="BD377" s="987" t="str">
        <f t="shared" si="499"/>
        <v>-</v>
      </c>
      <c r="BE377" s="987" t="str">
        <f t="shared" si="500"/>
        <v>-</v>
      </c>
      <c r="BF377" s="989" t="str">
        <f t="shared" si="501"/>
        <v>-</v>
      </c>
      <c r="BG377" s="951"/>
      <c r="BH377" s="984" t="str">
        <f t="shared" si="502"/>
        <v>Rev</v>
      </c>
      <c r="BI377" s="985" t="str">
        <f t="shared" si="503"/>
        <v>[Service]</v>
      </c>
      <c r="BJ377" s="986" t="str">
        <f t="shared" si="504"/>
        <v>[Price]</v>
      </c>
      <c r="BK377" s="987" t="str">
        <f t="shared" ref="BK377:BU377" si="579">IF(V377="","-",IFERROR((V377/U377-1)*(U377/U$13),"-"))</f>
        <v>-</v>
      </c>
      <c r="BL377" s="987" t="str">
        <f t="shared" si="579"/>
        <v>-</v>
      </c>
      <c r="BM377" s="987" t="str">
        <f t="shared" si="579"/>
        <v>-</v>
      </c>
      <c r="BN377" s="987" t="str">
        <f t="shared" si="579"/>
        <v>-</v>
      </c>
      <c r="BO377" s="1353" t="str">
        <f t="shared" si="579"/>
        <v>-</v>
      </c>
      <c r="BP377" s="1346" t="str">
        <f t="shared" si="579"/>
        <v>-</v>
      </c>
      <c r="BQ377" s="987" t="str">
        <f t="shared" si="579"/>
        <v>-</v>
      </c>
      <c r="BR377" s="987" t="str">
        <f t="shared" si="579"/>
        <v>-</v>
      </c>
      <c r="BS377" s="987" t="str">
        <f t="shared" si="579"/>
        <v>-</v>
      </c>
      <c r="BT377" s="988" t="str">
        <f t="shared" si="579"/>
        <v>-</v>
      </c>
      <c r="BU377" s="987" t="str">
        <f t="shared" si="579"/>
        <v>-</v>
      </c>
      <c r="BV377" s="987" t="str">
        <f>IF(AG377="","-",IFERROR((AG377/AF377-1)*(AF377/AF$13),"-"))</f>
        <v>-</v>
      </c>
      <c r="BW377" s="987" t="str">
        <f>IF(AH377="","-",IFERROR((AH377/AG377-1)*(AG377/AG$13),"-"))</f>
        <v>-</v>
      </c>
      <c r="BX377" s="987" t="str">
        <f>IF(AI377="","-",IFERROR((AI377/AH377-1)*(AH377/AH$13),"-"))</f>
        <v>-</v>
      </c>
      <c r="BY377" s="989" t="str">
        <f>IF(AJ377="","-",IFERROR((AJ377/AI377-1)*(AI377/AI$13),"-"))</f>
        <v>-</v>
      </c>
      <c r="BZ377" s="951"/>
      <c r="CA377" s="984" t="str">
        <f t="shared" si="482"/>
        <v>Rev</v>
      </c>
      <c r="CB377" s="985" t="str">
        <f t="shared" si="483"/>
        <v>[Service]</v>
      </c>
      <c r="CC377" s="985" t="str">
        <f t="shared" si="484"/>
        <v>[Price]</v>
      </c>
      <c r="CD377" s="990" t="str">
        <f t="shared" si="510"/>
        <v>-</v>
      </c>
      <c r="CE377" s="987" t="str">
        <f t="shared" si="510"/>
        <v>-</v>
      </c>
      <c r="CF377" s="987" t="str">
        <f t="shared" si="510"/>
        <v>-</v>
      </c>
      <c r="CG377" s="988" t="str">
        <f t="shared" si="506"/>
        <v>-</v>
      </c>
      <c r="CH377" s="987" t="str">
        <f t="shared" si="511"/>
        <v>-</v>
      </c>
      <c r="CI377" s="987" t="str">
        <f t="shared" si="511"/>
        <v>-</v>
      </c>
      <c r="CJ377" s="987" t="str">
        <f t="shared" si="511"/>
        <v>-</v>
      </c>
      <c r="CK377" s="989" t="str">
        <f t="shared" si="507"/>
        <v>-</v>
      </c>
    </row>
    <row r="378" spans="4:89">
      <c r="D378" s="63">
        <f>D375+1</f>
        <v>104</v>
      </c>
      <c r="E378" s="550" t="s">
        <v>857</v>
      </c>
      <c r="F378" s="595" t="s">
        <v>428</v>
      </c>
      <c r="G378" s="595"/>
      <c r="H378" s="595"/>
      <c r="I378" s="589" t="s">
        <v>920</v>
      </c>
      <c r="J378" s="589" t="s">
        <v>879</v>
      </c>
      <c r="K378" s="551"/>
      <c r="L378" s="552"/>
      <c r="M378" s="552"/>
      <c r="N378" s="551"/>
      <c r="O378" s="552"/>
      <c r="P378" s="552"/>
      <c r="Q378" s="552"/>
      <c r="R378" s="1035"/>
      <c r="S378" s="1138"/>
      <c r="T378" s="591"/>
      <c r="U378" s="1035"/>
      <c r="V378" s="591"/>
      <c r="W378" s="591"/>
      <c r="X378" s="591"/>
      <c r="Y378" s="591"/>
      <c r="Z378" s="591"/>
      <c r="AA378" s="1138"/>
      <c r="AB378" s="591"/>
      <c r="AC378" s="591"/>
      <c r="AD378" s="591"/>
      <c r="AE378" s="1035"/>
      <c r="AF378" s="591"/>
      <c r="AG378" s="591"/>
      <c r="AH378" s="591"/>
      <c r="AI378" s="591"/>
      <c r="AJ378" s="592"/>
      <c r="AK378" s="548"/>
      <c r="AM378" s="974"/>
      <c r="AO378" s="975" t="str">
        <f t="shared" si="485"/>
        <v>Price</v>
      </c>
      <c r="AP378" s="976" t="str">
        <f t="shared" si="485"/>
        <v>[Service]</v>
      </c>
      <c r="AQ378" s="977" t="str">
        <f t="shared" si="486"/>
        <v>[Price]</v>
      </c>
      <c r="AR378" s="1341" t="str">
        <f t="shared" si="487"/>
        <v>-</v>
      </c>
      <c r="AS378" s="978" t="str">
        <f t="shared" si="488"/>
        <v>-</v>
      </c>
      <c r="AT378" s="979" t="str">
        <f t="shared" si="489"/>
        <v>-</v>
      </c>
      <c r="AU378" s="979" t="str">
        <f t="shared" si="490"/>
        <v>-</v>
      </c>
      <c r="AV378" s="1352" t="str">
        <f t="shared" si="491"/>
        <v>-</v>
      </c>
      <c r="AW378" s="1345" t="str">
        <f t="shared" si="492"/>
        <v>-</v>
      </c>
      <c r="AX378" s="979" t="str">
        <f t="shared" si="493"/>
        <v>-</v>
      </c>
      <c r="AY378" s="979" t="str">
        <f t="shared" si="494"/>
        <v>-</v>
      </c>
      <c r="AZ378" s="979" t="str">
        <f t="shared" si="495"/>
        <v>-</v>
      </c>
      <c r="BA378" s="980" t="str">
        <f t="shared" si="496"/>
        <v>-</v>
      </c>
      <c r="BB378" s="1345" t="str">
        <f t="shared" si="497"/>
        <v>-</v>
      </c>
      <c r="BC378" s="979" t="str">
        <f t="shared" si="498"/>
        <v>-</v>
      </c>
      <c r="BD378" s="979" t="str">
        <f t="shared" si="499"/>
        <v>-</v>
      </c>
      <c r="BE378" s="979" t="str">
        <f t="shared" si="500"/>
        <v>-</v>
      </c>
      <c r="BF378" s="981" t="str">
        <f t="shared" si="501"/>
        <v>-</v>
      </c>
      <c r="BG378" s="951"/>
      <c r="BH378" s="975" t="str">
        <f t="shared" si="502"/>
        <v>Price</v>
      </c>
      <c r="BI378" s="976" t="str">
        <f t="shared" si="503"/>
        <v>[Service]</v>
      </c>
      <c r="BJ378" s="977" t="str">
        <f t="shared" si="504"/>
        <v>[Price]</v>
      </c>
      <c r="BK378" s="978" t="str">
        <f t="shared" ref="BK378:BU378" si="580">IF(V378="","-",IFERROR((V378/U378-1)*(U380/U$13),"-"))</f>
        <v>-</v>
      </c>
      <c r="BL378" s="978" t="str">
        <f t="shared" si="580"/>
        <v>-</v>
      </c>
      <c r="BM378" s="979" t="str">
        <f t="shared" si="580"/>
        <v>-</v>
      </c>
      <c r="BN378" s="979" t="str">
        <f t="shared" si="580"/>
        <v>-</v>
      </c>
      <c r="BO378" s="1352" t="str">
        <f t="shared" si="580"/>
        <v>-</v>
      </c>
      <c r="BP378" s="1345" t="str">
        <f t="shared" si="580"/>
        <v>-</v>
      </c>
      <c r="BQ378" s="979" t="str">
        <f t="shared" si="580"/>
        <v>-</v>
      </c>
      <c r="BR378" s="979" t="str">
        <f t="shared" si="580"/>
        <v>-</v>
      </c>
      <c r="BS378" s="979" t="str">
        <f t="shared" si="580"/>
        <v>-</v>
      </c>
      <c r="BT378" s="980" t="str">
        <f t="shared" si="580"/>
        <v>-</v>
      </c>
      <c r="BU378" s="979" t="str">
        <f t="shared" si="580"/>
        <v>-</v>
      </c>
      <c r="BV378" s="979" t="str">
        <f>IF(AG378="","-",IFERROR((AG378/AF378-1)*(AF380/AF$13),"-"))</f>
        <v>-</v>
      </c>
      <c r="BW378" s="979" t="str">
        <f>IF(AH378="","-",IFERROR((AH378/AG378-1)*(AG380/AG$13),"-"))</f>
        <v>-</v>
      </c>
      <c r="BX378" s="979" t="str">
        <f>IF(AI378="","-",IFERROR((AI378/AH378-1)*(AH380/AH$13),"-"))</f>
        <v>-</v>
      </c>
      <c r="BY378" s="981" t="str">
        <f>IF(AJ378="","-",IFERROR((AJ378/AI378-1)*(AI380/AI$13),"-"))</f>
        <v>-</v>
      </c>
      <c r="BZ378" s="951"/>
      <c r="CA378" s="975" t="str">
        <f t="shared" si="482"/>
        <v>Price</v>
      </c>
      <c r="CB378" s="976" t="str">
        <f t="shared" si="483"/>
        <v>[Service]</v>
      </c>
      <c r="CC378" s="982" t="str">
        <f t="shared" si="484"/>
        <v>[Price]</v>
      </c>
      <c r="CD378" s="983" t="str">
        <f t="shared" si="510"/>
        <v>-</v>
      </c>
      <c r="CE378" s="979" t="str">
        <f t="shared" si="510"/>
        <v>-</v>
      </c>
      <c r="CF378" s="979" t="str">
        <f t="shared" si="510"/>
        <v>-</v>
      </c>
      <c r="CG378" s="980" t="str">
        <f t="shared" si="506"/>
        <v>-</v>
      </c>
      <c r="CH378" s="979" t="str">
        <f t="shared" si="511"/>
        <v>-</v>
      </c>
      <c r="CI378" s="979" t="str">
        <f t="shared" si="511"/>
        <v>-</v>
      </c>
      <c r="CJ378" s="979" t="str">
        <f t="shared" si="511"/>
        <v>-</v>
      </c>
      <c r="CK378" s="981" t="str">
        <f t="shared" si="507"/>
        <v>-</v>
      </c>
    </row>
    <row r="379" spans="4:89">
      <c r="E379" s="567" t="s">
        <v>880</v>
      </c>
      <c r="F379" s="554" t="str">
        <f>+F378</f>
        <v>[Service]</v>
      </c>
      <c r="G379" s="555">
        <f>+G378</f>
        <v>0</v>
      </c>
      <c r="H379" s="555">
        <f>+H378</f>
        <v>0</v>
      </c>
      <c r="I379" s="556" t="str">
        <f>+I378</f>
        <v>[Price]</v>
      </c>
      <c r="J379" s="590" t="s">
        <v>916</v>
      </c>
      <c r="K379" s="557"/>
      <c r="L379" s="558"/>
      <c r="M379" s="558"/>
      <c r="N379" s="557"/>
      <c r="O379" s="558"/>
      <c r="P379" s="558"/>
      <c r="Q379" s="558"/>
      <c r="R379" s="1036"/>
      <c r="S379" s="1139"/>
      <c r="T379" s="593"/>
      <c r="U379" s="1036"/>
      <c r="V379" s="593"/>
      <c r="W379" s="593"/>
      <c r="X379" s="593"/>
      <c r="Y379" s="593"/>
      <c r="Z379" s="593"/>
      <c r="AA379" s="1139"/>
      <c r="AB379" s="593"/>
      <c r="AC379" s="593"/>
      <c r="AD379" s="593"/>
      <c r="AE379" s="1036"/>
      <c r="AF379" s="593"/>
      <c r="AG379" s="593"/>
      <c r="AH379" s="593"/>
      <c r="AI379" s="593"/>
      <c r="AJ379" s="594"/>
      <c r="AK379" s="548"/>
      <c r="AO379" s="961" t="str">
        <f t="shared" si="485"/>
        <v>Qty</v>
      </c>
      <c r="AP379" s="962" t="str">
        <f t="shared" si="485"/>
        <v>[Service]</v>
      </c>
      <c r="AQ379" s="963" t="str">
        <f t="shared" si="486"/>
        <v>[Price]</v>
      </c>
      <c r="AR379" s="967" t="str">
        <f t="shared" si="487"/>
        <v>-</v>
      </c>
      <c r="AS379" s="964" t="str">
        <f t="shared" si="488"/>
        <v>-</v>
      </c>
      <c r="AT379" s="964" t="str">
        <f t="shared" si="489"/>
        <v>-</v>
      </c>
      <c r="AU379" s="964" t="str">
        <f t="shared" si="490"/>
        <v>-</v>
      </c>
      <c r="AV379" s="1350" t="str">
        <f t="shared" si="491"/>
        <v>-</v>
      </c>
      <c r="AW379" s="1343" t="str">
        <f t="shared" si="492"/>
        <v>-</v>
      </c>
      <c r="AX379" s="964" t="str">
        <f t="shared" si="493"/>
        <v>-</v>
      </c>
      <c r="AY379" s="964" t="str">
        <f t="shared" si="494"/>
        <v>-</v>
      </c>
      <c r="AZ379" s="964" t="str">
        <f t="shared" si="495"/>
        <v>-</v>
      </c>
      <c r="BA379" s="965" t="str">
        <f t="shared" si="496"/>
        <v>-</v>
      </c>
      <c r="BB379" s="1343" t="str">
        <f t="shared" si="497"/>
        <v>-</v>
      </c>
      <c r="BC379" s="964" t="str">
        <f t="shared" si="498"/>
        <v>-</v>
      </c>
      <c r="BD379" s="964" t="str">
        <f t="shared" si="499"/>
        <v>-</v>
      </c>
      <c r="BE379" s="964" t="str">
        <f t="shared" si="500"/>
        <v>-</v>
      </c>
      <c r="BF379" s="966" t="str">
        <f t="shared" si="501"/>
        <v>-</v>
      </c>
      <c r="BG379" s="951"/>
      <c r="BH379" s="961" t="str">
        <f t="shared" si="502"/>
        <v>Qty</v>
      </c>
      <c r="BI379" s="962" t="str">
        <f t="shared" si="503"/>
        <v>[Service]</v>
      </c>
      <c r="BJ379" s="963" t="str">
        <f t="shared" si="504"/>
        <v>[Price]</v>
      </c>
      <c r="BK379" s="964" t="str">
        <f t="shared" ref="BK379:BU379" si="581">IF(V379="","-",IFERROR((V379/U379-1)*(U380/U$13),"-"))</f>
        <v>-</v>
      </c>
      <c r="BL379" s="964" t="str">
        <f t="shared" si="581"/>
        <v>-</v>
      </c>
      <c r="BM379" s="964" t="str">
        <f t="shared" si="581"/>
        <v>-</v>
      </c>
      <c r="BN379" s="964" t="str">
        <f t="shared" si="581"/>
        <v>-</v>
      </c>
      <c r="BO379" s="1350" t="str">
        <f t="shared" si="581"/>
        <v>-</v>
      </c>
      <c r="BP379" s="1343" t="str">
        <f t="shared" si="581"/>
        <v>-</v>
      </c>
      <c r="BQ379" s="964" t="str">
        <f t="shared" si="581"/>
        <v>-</v>
      </c>
      <c r="BR379" s="964" t="str">
        <f t="shared" si="581"/>
        <v>-</v>
      </c>
      <c r="BS379" s="964" t="str">
        <f t="shared" si="581"/>
        <v>-</v>
      </c>
      <c r="BT379" s="965" t="str">
        <f t="shared" si="581"/>
        <v>-</v>
      </c>
      <c r="BU379" s="964" t="str">
        <f t="shared" si="581"/>
        <v>-</v>
      </c>
      <c r="BV379" s="964" t="str">
        <f>IF(AG379="","-",IFERROR((AG379/AF379-1)*(AF380/AF$13),"-"))</f>
        <v>-</v>
      </c>
      <c r="BW379" s="964" t="str">
        <f>IF(AH379="","-",IFERROR((AH379/AG379-1)*(AG380/AG$13),"-"))</f>
        <v>-</v>
      </c>
      <c r="BX379" s="964" t="str">
        <f>IF(AI379="","-",IFERROR((AI379/AH379-1)*(AH380/AH$13),"-"))</f>
        <v>-</v>
      </c>
      <c r="BY379" s="966" t="str">
        <f>IF(AJ379="","-",IFERROR((AJ379/AI379-1)*(AI380/AI$13),"-"))</f>
        <v>-</v>
      </c>
      <c r="BZ379" s="951"/>
      <c r="CA379" s="961" t="str">
        <f t="shared" si="482"/>
        <v>Qty</v>
      </c>
      <c r="CB379" s="962" t="str">
        <f t="shared" si="483"/>
        <v>[Service]</v>
      </c>
      <c r="CC379" s="962" t="str">
        <f t="shared" si="484"/>
        <v>[Price]</v>
      </c>
      <c r="CD379" s="967" t="str">
        <f t="shared" si="510"/>
        <v>-</v>
      </c>
      <c r="CE379" s="964" t="str">
        <f t="shared" si="510"/>
        <v>-</v>
      </c>
      <c r="CF379" s="964" t="str">
        <f t="shared" si="510"/>
        <v>-</v>
      </c>
      <c r="CG379" s="965" t="str">
        <f t="shared" si="506"/>
        <v>-</v>
      </c>
      <c r="CH379" s="964" t="str">
        <f t="shared" si="511"/>
        <v>-</v>
      </c>
      <c r="CI379" s="964" t="str">
        <f t="shared" si="511"/>
        <v>-</v>
      </c>
      <c r="CJ379" s="964" t="str">
        <f t="shared" si="511"/>
        <v>-</v>
      </c>
      <c r="CK379" s="966" t="str">
        <f t="shared" si="507"/>
        <v>-</v>
      </c>
    </row>
    <row r="380" spans="4:89" ht="12.75" thickBot="1">
      <c r="E380" s="568" t="s">
        <v>882</v>
      </c>
      <c r="F380" s="560" t="str">
        <f>+F378</f>
        <v>[Service]</v>
      </c>
      <c r="G380" s="561">
        <f>+G378</f>
        <v>0</v>
      </c>
      <c r="H380" s="561">
        <f>+H378</f>
        <v>0</v>
      </c>
      <c r="I380" s="562" t="str">
        <f>+I378</f>
        <v>[Price]</v>
      </c>
      <c r="J380" s="563" t="s">
        <v>883</v>
      </c>
      <c r="K380" s="564">
        <f t="shared" ref="K380:AJ380" si="582">K378*K379/10^6</f>
        <v>0</v>
      </c>
      <c r="L380" s="565">
        <f t="shared" si="582"/>
        <v>0</v>
      </c>
      <c r="M380" s="565">
        <f t="shared" si="582"/>
        <v>0</v>
      </c>
      <c r="N380" s="564">
        <f t="shared" si="582"/>
        <v>0</v>
      </c>
      <c r="O380" s="565">
        <f t="shared" si="582"/>
        <v>0</v>
      </c>
      <c r="P380" s="565">
        <f t="shared" si="582"/>
        <v>0</v>
      </c>
      <c r="Q380" s="565">
        <f t="shared" si="582"/>
        <v>0</v>
      </c>
      <c r="R380" s="566">
        <f t="shared" si="582"/>
        <v>0</v>
      </c>
      <c r="S380" s="564">
        <f t="shared" si="582"/>
        <v>0</v>
      </c>
      <c r="T380" s="565">
        <f t="shared" si="582"/>
        <v>0</v>
      </c>
      <c r="U380" s="566">
        <f t="shared" si="582"/>
        <v>0</v>
      </c>
      <c r="V380" s="565">
        <f t="shared" si="582"/>
        <v>0</v>
      </c>
      <c r="W380" s="565">
        <f t="shared" si="582"/>
        <v>0</v>
      </c>
      <c r="X380" s="565">
        <f t="shared" si="582"/>
        <v>0</v>
      </c>
      <c r="Y380" s="565">
        <f t="shared" si="582"/>
        <v>0</v>
      </c>
      <c r="Z380" s="565">
        <f t="shared" si="582"/>
        <v>0</v>
      </c>
      <c r="AA380" s="564">
        <f t="shared" si="582"/>
        <v>0</v>
      </c>
      <c r="AB380" s="565">
        <f t="shared" si="582"/>
        <v>0</v>
      </c>
      <c r="AC380" s="565">
        <f t="shared" si="582"/>
        <v>0</v>
      </c>
      <c r="AD380" s="565">
        <f t="shared" si="582"/>
        <v>0</v>
      </c>
      <c r="AE380" s="566">
        <f t="shared" si="582"/>
        <v>0</v>
      </c>
      <c r="AF380" s="565">
        <f t="shared" si="582"/>
        <v>0</v>
      </c>
      <c r="AG380" s="565">
        <f>AG378*AG379/10^6</f>
        <v>0</v>
      </c>
      <c r="AH380" s="565">
        <f>AH378*AH379/10^6</f>
        <v>0</v>
      </c>
      <c r="AI380" s="565">
        <f>AI378*AI379/10^6</f>
        <v>0</v>
      </c>
      <c r="AJ380" s="566">
        <f t="shared" si="582"/>
        <v>0</v>
      </c>
      <c r="AK380" s="548"/>
      <c r="AO380" s="984" t="str">
        <f t="shared" si="485"/>
        <v>Rev</v>
      </c>
      <c r="AP380" s="985" t="str">
        <f t="shared" si="485"/>
        <v>[Service]</v>
      </c>
      <c r="AQ380" s="986" t="str">
        <f t="shared" si="486"/>
        <v>[Price]</v>
      </c>
      <c r="AR380" s="990" t="str">
        <f t="shared" si="487"/>
        <v>-</v>
      </c>
      <c r="AS380" s="987" t="str">
        <f t="shared" si="488"/>
        <v>-</v>
      </c>
      <c r="AT380" s="987" t="str">
        <f t="shared" si="489"/>
        <v>-</v>
      </c>
      <c r="AU380" s="987" t="str">
        <f t="shared" si="490"/>
        <v>-</v>
      </c>
      <c r="AV380" s="1353" t="str">
        <f t="shared" si="491"/>
        <v>-</v>
      </c>
      <c r="AW380" s="1346" t="str">
        <f t="shared" si="492"/>
        <v>-</v>
      </c>
      <c r="AX380" s="987" t="str">
        <f t="shared" si="493"/>
        <v>-</v>
      </c>
      <c r="AY380" s="987" t="str">
        <f t="shared" si="494"/>
        <v>-</v>
      </c>
      <c r="AZ380" s="987" t="str">
        <f t="shared" si="495"/>
        <v>-</v>
      </c>
      <c r="BA380" s="988" t="str">
        <f t="shared" si="496"/>
        <v>-</v>
      </c>
      <c r="BB380" s="1346" t="str">
        <f t="shared" si="497"/>
        <v>-</v>
      </c>
      <c r="BC380" s="987" t="str">
        <f t="shared" si="498"/>
        <v>-</v>
      </c>
      <c r="BD380" s="987" t="str">
        <f t="shared" si="499"/>
        <v>-</v>
      </c>
      <c r="BE380" s="987" t="str">
        <f t="shared" si="500"/>
        <v>-</v>
      </c>
      <c r="BF380" s="989" t="str">
        <f t="shared" si="501"/>
        <v>-</v>
      </c>
      <c r="BG380" s="951"/>
      <c r="BH380" s="984" t="str">
        <f t="shared" si="502"/>
        <v>Rev</v>
      </c>
      <c r="BI380" s="985" t="str">
        <f t="shared" si="503"/>
        <v>[Service]</v>
      </c>
      <c r="BJ380" s="986" t="str">
        <f t="shared" si="504"/>
        <v>[Price]</v>
      </c>
      <c r="BK380" s="987" t="str">
        <f t="shared" ref="BK380:BU380" si="583">IF(V380="","-",IFERROR((V380/U380-1)*(U380/U$13),"-"))</f>
        <v>-</v>
      </c>
      <c r="BL380" s="987" t="str">
        <f t="shared" si="583"/>
        <v>-</v>
      </c>
      <c r="BM380" s="987" t="str">
        <f t="shared" si="583"/>
        <v>-</v>
      </c>
      <c r="BN380" s="987" t="str">
        <f t="shared" si="583"/>
        <v>-</v>
      </c>
      <c r="BO380" s="1353" t="str">
        <f t="shared" si="583"/>
        <v>-</v>
      </c>
      <c r="BP380" s="1346" t="str">
        <f t="shared" si="583"/>
        <v>-</v>
      </c>
      <c r="BQ380" s="987" t="str">
        <f t="shared" si="583"/>
        <v>-</v>
      </c>
      <c r="BR380" s="987" t="str">
        <f t="shared" si="583"/>
        <v>-</v>
      </c>
      <c r="BS380" s="987" t="str">
        <f t="shared" si="583"/>
        <v>-</v>
      </c>
      <c r="BT380" s="988" t="str">
        <f t="shared" si="583"/>
        <v>-</v>
      </c>
      <c r="BU380" s="987" t="str">
        <f t="shared" si="583"/>
        <v>-</v>
      </c>
      <c r="BV380" s="987" t="str">
        <f>IF(AG380="","-",IFERROR((AG380/AF380-1)*(AF380/AF$13),"-"))</f>
        <v>-</v>
      </c>
      <c r="BW380" s="987" t="str">
        <f>IF(AH380="","-",IFERROR((AH380/AG380-1)*(AG380/AG$13),"-"))</f>
        <v>-</v>
      </c>
      <c r="BX380" s="987" t="str">
        <f>IF(AI380="","-",IFERROR((AI380/AH380-1)*(AH380/AH$13),"-"))</f>
        <v>-</v>
      </c>
      <c r="BY380" s="989" t="str">
        <f>IF(AJ380="","-",IFERROR((AJ380/AI380-1)*(AI380/AI$13),"-"))</f>
        <v>-</v>
      </c>
      <c r="BZ380" s="951"/>
      <c r="CA380" s="984" t="str">
        <f t="shared" si="482"/>
        <v>Rev</v>
      </c>
      <c r="CB380" s="985" t="str">
        <f t="shared" si="483"/>
        <v>[Service]</v>
      </c>
      <c r="CC380" s="985" t="str">
        <f t="shared" si="484"/>
        <v>[Price]</v>
      </c>
      <c r="CD380" s="990" t="str">
        <f t="shared" si="510"/>
        <v>-</v>
      </c>
      <c r="CE380" s="987" t="str">
        <f t="shared" si="510"/>
        <v>-</v>
      </c>
      <c r="CF380" s="987" t="str">
        <f t="shared" si="510"/>
        <v>-</v>
      </c>
      <c r="CG380" s="988" t="str">
        <f t="shared" si="506"/>
        <v>-</v>
      </c>
      <c r="CH380" s="987" t="str">
        <f t="shared" si="511"/>
        <v>-</v>
      </c>
      <c r="CI380" s="987" t="str">
        <f t="shared" si="511"/>
        <v>-</v>
      </c>
      <c r="CJ380" s="987" t="str">
        <f t="shared" si="511"/>
        <v>-</v>
      </c>
      <c r="CK380" s="989" t="str">
        <f t="shared" si="507"/>
        <v>-</v>
      </c>
    </row>
    <row r="381" spans="4:89">
      <c r="D381" s="63">
        <f>D378+1</f>
        <v>105</v>
      </c>
      <c r="E381" s="550" t="s">
        <v>857</v>
      </c>
      <c r="F381" s="595" t="s">
        <v>428</v>
      </c>
      <c r="G381" s="595"/>
      <c r="H381" s="595"/>
      <c r="I381" s="589" t="s">
        <v>920</v>
      </c>
      <c r="J381" s="589" t="s">
        <v>879</v>
      </c>
      <c r="K381" s="551"/>
      <c r="L381" s="552"/>
      <c r="M381" s="552"/>
      <c r="N381" s="551"/>
      <c r="O381" s="552"/>
      <c r="P381" s="552"/>
      <c r="Q381" s="552"/>
      <c r="R381" s="1035"/>
      <c r="S381" s="1138"/>
      <c r="T381" s="591"/>
      <c r="U381" s="1035"/>
      <c r="V381" s="591"/>
      <c r="W381" s="591"/>
      <c r="X381" s="591"/>
      <c r="Y381" s="591"/>
      <c r="Z381" s="591"/>
      <c r="AA381" s="1138"/>
      <c r="AB381" s="591"/>
      <c r="AC381" s="591"/>
      <c r="AD381" s="591"/>
      <c r="AE381" s="1035"/>
      <c r="AF381" s="591"/>
      <c r="AG381" s="591"/>
      <c r="AH381" s="591"/>
      <c r="AI381" s="591"/>
      <c r="AJ381" s="592"/>
      <c r="AK381" s="548"/>
      <c r="AM381" s="974"/>
      <c r="AO381" s="975" t="str">
        <f t="shared" si="485"/>
        <v>Price</v>
      </c>
      <c r="AP381" s="976" t="str">
        <f t="shared" si="485"/>
        <v>[Service]</v>
      </c>
      <c r="AQ381" s="977" t="str">
        <f t="shared" si="486"/>
        <v>[Price]</v>
      </c>
      <c r="AR381" s="1341" t="str">
        <f t="shared" si="487"/>
        <v>-</v>
      </c>
      <c r="AS381" s="978" t="str">
        <f t="shared" si="488"/>
        <v>-</v>
      </c>
      <c r="AT381" s="979" t="str">
        <f t="shared" si="489"/>
        <v>-</v>
      </c>
      <c r="AU381" s="979" t="str">
        <f t="shared" si="490"/>
        <v>-</v>
      </c>
      <c r="AV381" s="1352" t="str">
        <f t="shared" si="491"/>
        <v>-</v>
      </c>
      <c r="AW381" s="1345" t="str">
        <f t="shared" si="492"/>
        <v>-</v>
      </c>
      <c r="AX381" s="979" t="str">
        <f t="shared" si="493"/>
        <v>-</v>
      </c>
      <c r="AY381" s="979" t="str">
        <f t="shared" si="494"/>
        <v>-</v>
      </c>
      <c r="AZ381" s="979" t="str">
        <f t="shared" si="495"/>
        <v>-</v>
      </c>
      <c r="BA381" s="980" t="str">
        <f t="shared" si="496"/>
        <v>-</v>
      </c>
      <c r="BB381" s="1345" t="str">
        <f t="shared" si="497"/>
        <v>-</v>
      </c>
      <c r="BC381" s="979" t="str">
        <f t="shared" si="498"/>
        <v>-</v>
      </c>
      <c r="BD381" s="979" t="str">
        <f t="shared" si="499"/>
        <v>-</v>
      </c>
      <c r="BE381" s="979" t="str">
        <f t="shared" si="500"/>
        <v>-</v>
      </c>
      <c r="BF381" s="981" t="str">
        <f t="shared" si="501"/>
        <v>-</v>
      </c>
      <c r="BG381" s="951"/>
      <c r="BH381" s="975" t="str">
        <f t="shared" si="502"/>
        <v>Price</v>
      </c>
      <c r="BI381" s="976" t="str">
        <f t="shared" si="503"/>
        <v>[Service]</v>
      </c>
      <c r="BJ381" s="977" t="str">
        <f t="shared" si="504"/>
        <v>[Price]</v>
      </c>
      <c r="BK381" s="978" t="str">
        <f t="shared" ref="BK381:BU381" si="584">IF(V381="","-",IFERROR((V381/U381-1)*(U383/U$13),"-"))</f>
        <v>-</v>
      </c>
      <c r="BL381" s="978" t="str">
        <f t="shared" si="584"/>
        <v>-</v>
      </c>
      <c r="BM381" s="979" t="str">
        <f t="shared" si="584"/>
        <v>-</v>
      </c>
      <c r="BN381" s="979" t="str">
        <f t="shared" si="584"/>
        <v>-</v>
      </c>
      <c r="BO381" s="1352" t="str">
        <f t="shared" si="584"/>
        <v>-</v>
      </c>
      <c r="BP381" s="1345" t="str">
        <f t="shared" si="584"/>
        <v>-</v>
      </c>
      <c r="BQ381" s="979" t="str">
        <f t="shared" si="584"/>
        <v>-</v>
      </c>
      <c r="BR381" s="979" t="str">
        <f t="shared" si="584"/>
        <v>-</v>
      </c>
      <c r="BS381" s="979" t="str">
        <f t="shared" si="584"/>
        <v>-</v>
      </c>
      <c r="BT381" s="980" t="str">
        <f t="shared" si="584"/>
        <v>-</v>
      </c>
      <c r="BU381" s="979" t="str">
        <f t="shared" si="584"/>
        <v>-</v>
      </c>
      <c r="BV381" s="979" t="str">
        <f>IF(AG381="","-",IFERROR((AG381/AF381-1)*(AF383/AF$13),"-"))</f>
        <v>-</v>
      </c>
      <c r="BW381" s="979" t="str">
        <f>IF(AH381="","-",IFERROR((AH381/AG381-1)*(AG383/AG$13),"-"))</f>
        <v>-</v>
      </c>
      <c r="BX381" s="979" t="str">
        <f>IF(AI381="","-",IFERROR((AI381/AH381-1)*(AH383/AH$13),"-"))</f>
        <v>-</v>
      </c>
      <c r="BY381" s="981" t="str">
        <f>IF(AJ381="","-",IFERROR((AJ381/AI381-1)*(AI383/AI$13),"-"))</f>
        <v>-</v>
      </c>
      <c r="BZ381" s="951"/>
      <c r="CA381" s="975" t="str">
        <f t="shared" si="482"/>
        <v>Price</v>
      </c>
      <c r="CB381" s="976" t="str">
        <f t="shared" si="483"/>
        <v>[Service]</v>
      </c>
      <c r="CC381" s="982" t="str">
        <f t="shared" si="484"/>
        <v>[Price]</v>
      </c>
      <c r="CD381" s="983" t="str">
        <f t="shared" si="510"/>
        <v>-</v>
      </c>
      <c r="CE381" s="979" t="str">
        <f t="shared" si="510"/>
        <v>-</v>
      </c>
      <c r="CF381" s="979" t="str">
        <f t="shared" si="510"/>
        <v>-</v>
      </c>
      <c r="CG381" s="980" t="str">
        <f t="shared" si="506"/>
        <v>-</v>
      </c>
      <c r="CH381" s="979" t="str">
        <f t="shared" si="511"/>
        <v>-</v>
      </c>
      <c r="CI381" s="979" t="str">
        <f t="shared" si="511"/>
        <v>-</v>
      </c>
      <c r="CJ381" s="979" t="str">
        <f t="shared" si="511"/>
        <v>-</v>
      </c>
      <c r="CK381" s="981" t="str">
        <f t="shared" si="507"/>
        <v>-</v>
      </c>
    </row>
    <row r="382" spans="4:89">
      <c r="E382" s="567" t="s">
        <v>880</v>
      </c>
      <c r="F382" s="554" t="str">
        <f>+F381</f>
        <v>[Service]</v>
      </c>
      <c r="G382" s="555">
        <f>+G381</f>
        <v>0</v>
      </c>
      <c r="H382" s="555">
        <f>+H381</f>
        <v>0</v>
      </c>
      <c r="I382" s="556" t="str">
        <f>+I381</f>
        <v>[Price]</v>
      </c>
      <c r="J382" s="590" t="s">
        <v>916</v>
      </c>
      <c r="K382" s="557"/>
      <c r="L382" s="558"/>
      <c r="M382" s="558"/>
      <c r="N382" s="557"/>
      <c r="O382" s="558"/>
      <c r="P382" s="558"/>
      <c r="Q382" s="558"/>
      <c r="R382" s="1036"/>
      <c r="S382" s="1139"/>
      <c r="T382" s="593"/>
      <c r="U382" s="1036"/>
      <c r="V382" s="593"/>
      <c r="W382" s="593"/>
      <c r="X382" s="593"/>
      <c r="Y382" s="593"/>
      <c r="Z382" s="593"/>
      <c r="AA382" s="1139"/>
      <c r="AB382" s="593"/>
      <c r="AC382" s="593"/>
      <c r="AD382" s="593"/>
      <c r="AE382" s="1036"/>
      <c r="AF382" s="593"/>
      <c r="AG382" s="593"/>
      <c r="AH382" s="593"/>
      <c r="AI382" s="593"/>
      <c r="AJ382" s="594"/>
      <c r="AK382" s="548"/>
      <c r="AO382" s="961" t="str">
        <f t="shared" si="485"/>
        <v>Qty</v>
      </c>
      <c r="AP382" s="962" t="str">
        <f t="shared" si="485"/>
        <v>[Service]</v>
      </c>
      <c r="AQ382" s="963" t="str">
        <f t="shared" si="486"/>
        <v>[Price]</v>
      </c>
      <c r="AR382" s="967" t="str">
        <f t="shared" si="487"/>
        <v>-</v>
      </c>
      <c r="AS382" s="964" t="str">
        <f t="shared" si="488"/>
        <v>-</v>
      </c>
      <c r="AT382" s="964" t="str">
        <f t="shared" si="489"/>
        <v>-</v>
      </c>
      <c r="AU382" s="964" t="str">
        <f t="shared" si="490"/>
        <v>-</v>
      </c>
      <c r="AV382" s="1350" t="str">
        <f t="shared" si="491"/>
        <v>-</v>
      </c>
      <c r="AW382" s="1343" t="str">
        <f t="shared" si="492"/>
        <v>-</v>
      </c>
      <c r="AX382" s="964" t="str">
        <f t="shared" si="493"/>
        <v>-</v>
      </c>
      <c r="AY382" s="964" t="str">
        <f t="shared" si="494"/>
        <v>-</v>
      </c>
      <c r="AZ382" s="964" t="str">
        <f t="shared" si="495"/>
        <v>-</v>
      </c>
      <c r="BA382" s="965" t="str">
        <f t="shared" si="496"/>
        <v>-</v>
      </c>
      <c r="BB382" s="1343" t="str">
        <f t="shared" si="497"/>
        <v>-</v>
      </c>
      <c r="BC382" s="964" t="str">
        <f t="shared" si="498"/>
        <v>-</v>
      </c>
      <c r="BD382" s="964" t="str">
        <f t="shared" si="499"/>
        <v>-</v>
      </c>
      <c r="BE382" s="964" t="str">
        <f t="shared" si="500"/>
        <v>-</v>
      </c>
      <c r="BF382" s="966" t="str">
        <f t="shared" si="501"/>
        <v>-</v>
      </c>
      <c r="BG382" s="951"/>
      <c r="BH382" s="961" t="str">
        <f t="shared" si="502"/>
        <v>Qty</v>
      </c>
      <c r="BI382" s="962" t="str">
        <f t="shared" si="503"/>
        <v>[Service]</v>
      </c>
      <c r="BJ382" s="963" t="str">
        <f t="shared" si="504"/>
        <v>[Price]</v>
      </c>
      <c r="BK382" s="964" t="str">
        <f t="shared" ref="BK382:BU382" si="585">IF(V382="","-",IFERROR((V382/U382-1)*(U383/U$13),"-"))</f>
        <v>-</v>
      </c>
      <c r="BL382" s="964" t="str">
        <f t="shared" si="585"/>
        <v>-</v>
      </c>
      <c r="BM382" s="964" t="str">
        <f t="shared" si="585"/>
        <v>-</v>
      </c>
      <c r="BN382" s="964" t="str">
        <f t="shared" si="585"/>
        <v>-</v>
      </c>
      <c r="BO382" s="1350" t="str">
        <f t="shared" si="585"/>
        <v>-</v>
      </c>
      <c r="BP382" s="1343" t="str">
        <f t="shared" si="585"/>
        <v>-</v>
      </c>
      <c r="BQ382" s="964" t="str">
        <f t="shared" si="585"/>
        <v>-</v>
      </c>
      <c r="BR382" s="964" t="str">
        <f t="shared" si="585"/>
        <v>-</v>
      </c>
      <c r="BS382" s="964" t="str">
        <f t="shared" si="585"/>
        <v>-</v>
      </c>
      <c r="BT382" s="965" t="str">
        <f t="shared" si="585"/>
        <v>-</v>
      </c>
      <c r="BU382" s="964" t="str">
        <f t="shared" si="585"/>
        <v>-</v>
      </c>
      <c r="BV382" s="964" t="str">
        <f>IF(AG382="","-",IFERROR((AG382/AF382-1)*(AF383/AF$13),"-"))</f>
        <v>-</v>
      </c>
      <c r="BW382" s="964" t="str">
        <f>IF(AH382="","-",IFERROR((AH382/AG382-1)*(AG383/AG$13),"-"))</f>
        <v>-</v>
      </c>
      <c r="BX382" s="964" t="str">
        <f>IF(AI382="","-",IFERROR((AI382/AH382-1)*(AH383/AH$13),"-"))</f>
        <v>-</v>
      </c>
      <c r="BY382" s="966" t="str">
        <f>IF(AJ382="","-",IFERROR((AJ382/AI382-1)*(AI383/AI$13),"-"))</f>
        <v>-</v>
      </c>
      <c r="BZ382" s="951"/>
      <c r="CA382" s="961" t="str">
        <f t="shared" si="482"/>
        <v>Qty</v>
      </c>
      <c r="CB382" s="962" t="str">
        <f t="shared" si="483"/>
        <v>[Service]</v>
      </c>
      <c r="CC382" s="962" t="str">
        <f t="shared" si="484"/>
        <v>[Price]</v>
      </c>
      <c r="CD382" s="967" t="str">
        <f t="shared" si="510"/>
        <v>-</v>
      </c>
      <c r="CE382" s="964" t="str">
        <f t="shared" si="510"/>
        <v>-</v>
      </c>
      <c r="CF382" s="964" t="str">
        <f t="shared" si="510"/>
        <v>-</v>
      </c>
      <c r="CG382" s="965" t="str">
        <f t="shared" si="506"/>
        <v>-</v>
      </c>
      <c r="CH382" s="964" t="str">
        <f t="shared" si="511"/>
        <v>-</v>
      </c>
      <c r="CI382" s="964" t="str">
        <f t="shared" si="511"/>
        <v>-</v>
      </c>
      <c r="CJ382" s="964" t="str">
        <f t="shared" si="511"/>
        <v>-</v>
      </c>
      <c r="CK382" s="966" t="str">
        <f t="shared" si="507"/>
        <v>-</v>
      </c>
    </row>
    <row r="383" spans="4:89" ht="12.75" thickBot="1">
      <c r="E383" s="568" t="s">
        <v>882</v>
      </c>
      <c r="F383" s="560" t="str">
        <f>+F381</f>
        <v>[Service]</v>
      </c>
      <c r="G383" s="561">
        <f>+G381</f>
        <v>0</v>
      </c>
      <c r="H383" s="561">
        <f>+H381</f>
        <v>0</v>
      </c>
      <c r="I383" s="562" t="str">
        <f>+I381</f>
        <v>[Price]</v>
      </c>
      <c r="J383" s="563" t="s">
        <v>883</v>
      </c>
      <c r="K383" s="564">
        <f t="shared" ref="K383:AJ383" si="586">K381*K382/10^6</f>
        <v>0</v>
      </c>
      <c r="L383" s="565">
        <f t="shared" si="586"/>
        <v>0</v>
      </c>
      <c r="M383" s="565">
        <f t="shared" si="586"/>
        <v>0</v>
      </c>
      <c r="N383" s="564">
        <f t="shared" si="586"/>
        <v>0</v>
      </c>
      <c r="O383" s="565">
        <f t="shared" si="586"/>
        <v>0</v>
      </c>
      <c r="P383" s="565">
        <f t="shared" si="586"/>
        <v>0</v>
      </c>
      <c r="Q383" s="565">
        <f t="shared" si="586"/>
        <v>0</v>
      </c>
      <c r="R383" s="566">
        <f t="shared" si="586"/>
        <v>0</v>
      </c>
      <c r="S383" s="564">
        <f t="shared" si="586"/>
        <v>0</v>
      </c>
      <c r="T383" s="565">
        <f t="shared" si="586"/>
        <v>0</v>
      </c>
      <c r="U383" s="566">
        <f t="shared" si="586"/>
        <v>0</v>
      </c>
      <c r="V383" s="565">
        <f t="shared" si="586"/>
        <v>0</v>
      </c>
      <c r="W383" s="565">
        <f t="shared" si="586"/>
        <v>0</v>
      </c>
      <c r="X383" s="565">
        <f t="shared" si="586"/>
        <v>0</v>
      </c>
      <c r="Y383" s="565">
        <f t="shared" si="586"/>
        <v>0</v>
      </c>
      <c r="Z383" s="565">
        <f t="shared" si="586"/>
        <v>0</v>
      </c>
      <c r="AA383" s="564">
        <f t="shared" si="586"/>
        <v>0</v>
      </c>
      <c r="AB383" s="565">
        <f t="shared" si="586"/>
        <v>0</v>
      </c>
      <c r="AC383" s="565">
        <f t="shared" si="586"/>
        <v>0</v>
      </c>
      <c r="AD383" s="565">
        <f t="shared" si="586"/>
        <v>0</v>
      </c>
      <c r="AE383" s="566">
        <f t="shared" si="586"/>
        <v>0</v>
      </c>
      <c r="AF383" s="565">
        <f t="shared" si="586"/>
        <v>0</v>
      </c>
      <c r="AG383" s="565">
        <f>AG381*AG382/10^6</f>
        <v>0</v>
      </c>
      <c r="AH383" s="565">
        <f>AH381*AH382/10^6</f>
        <v>0</v>
      </c>
      <c r="AI383" s="565">
        <f>AI381*AI382/10^6</f>
        <v>0</v>
      </c>
      <c r="AJ383" s="566">
        <f t="shared" si="586"/>
        <v>0</v>
      </c>
      <c r="AK383" s="548"/>
      <c r="AO383" s="984" t="str">
        <f t="shared" si="485"/>
        <v>Rev</v>
      </c>
      <c r="AP383" s="985" t="str">
        <f t="shared" si="485"/>
        <v>[Service]</v>
      </c>
      <c r="AQ383" s="986" t="str">
        <f t="shared" si="486"/>
        <v>[Price]</v>
      </c>
      <c r="AR383" s="990" t="str">
        <f t="shared" si="487"/>
        <v>-</v>
      </c>
      <c r="AS383" s="987" t="str">
        <f t="shared" si="488"/>
        <v>-</v>
      </c>
      <c r="AT383" s="987" t="str">
        <f t="shared" si="489"/>
        <v>-</v>
      </c>
      <c r="AU383" s="987" t="str">
        <f t="shared" si="490"/>
        <v>-</v>
      </c>
      <c r="AV383" s="1353" t="str">
        <f t="shared" si="491"/>
        <v>-</v>
      </c>
      <c r="AW383" s="1346" t="str">
        <f t="shared" si="492"/>
        <v>-</v>
      </c>
      <c r="AX383" s="987" t="str">
        <f t="shared" si="493"/>
        <v>-</v>
      </c>
      <c r="AY383" s="987" t="str">
        <f t="shared" si="494"/>
        <v>-</v>
      </c>
      <c r="AZ383" s="987" t="str">
        <f t="shared" si="495"/>
        <v>-</v>
      </c>
      <c r="BA383" s="988" t="str">
        <f t="shared" si="496"/>
        <v>-</v>
      </c>
      <c r="BB383" s="1346" t="str">
        <f t="shared" si="497"/>
        <v>-</v>
      </c>
      <c r="BC383" s="987" t="str">
        <f t="shared" si="498"/>
        <v>-</v>
      </c>
      <c r="BD383" s="987" t="str">
        <f t="shared" si="499"/>
        <v>-</v>
      </c>
      <c r="BE383" s="987" t="str">
        <f t="shared" si="500"/>
        <v>-</v>
      </c>
      <c r="BF383" s="989" t="str">
        <f t="shared" si="501"/>
        <v>-</v>
      </c>
      <c r="BG383" s="951"/>
      <c r="BH383" s="984" t="str">
        <f t="shared" si="502"/>
        <v>Rev</v>
      </c>
      <c r="BI383" s="985" t="str">
        <f t="shared" si="503"/>
        <v>[Service]</v>
      </c>
      <c r="BJ383" s="986" t="str">
        <f t="shared" si="504"/>
        <v>[Price]</v>
      </c>
      <c r="BK383" s="987" t="str">
        <f t="shared" ref="BK383:BU383" si="587">IF(V383="","-",IFERROR((V383/U383-1)*(U383/U$13),"-"))</f>
        <v>-</v>
      </c>
      <c r="BL383" s="987" t="str">
        <f t="shared" si="587"/>
        <v>-</v>
      </c>
      <c r="BM383" s="987" t="str">
        <f t="shared" si="587"/>
        <v>-</v>
      </c>
      <c r="BN383" s="987" t="str">
        <f t="shared" si="587"/>
        <v>-</v>
      </c>
      <c r="BO383" s="1353" t="str">
        <f t="shared" si="587"/>
        <v>-</v>
      </c>
      <c r="BP383" s="1346" t="str">
        <f t="shared" si="587"/>
        <v>-</v>
      </c>
      <c r="BQ383" s="987" t="str">
        <f t="shared" si="587"/>
        <v>-</v>
      </c>
      <c r="BR383" s="987" t="str">
        <f t="shared" si="587"/>
        <v>-</v>
      </c>
      <c r="BS383" s="987" t="str">
        <f t="shared" si="587"/>
        <v>-</v>
      </c>
      <c r="BT383" s="988" t="str">
        <f t="shared" si="587"/>
        <v>-</v>
      </c>
      <c r="BU383" s="987" t="str">
        <f t="shared" si="587"/>
        <v>-</v>
      </c>
      <c r="BV383" s="987" t="str">
        <f>IF(AG383="","-",IFERROR((AG383/AF383-1)*(AF383/AF$13),"-"))</f>
        <v>-</v>
      </c>
      <c r="BW383" s="987" t="str">
        <f>IF(AH383="","-",IFERROR((AH383/AG383-1)*(AG383/AG$13),"-"))</f>
        <v>-</v>
      </c>
      <c r="BX383" s="987" t="str">
        <f>IF(AI383="","-",IFERROR((AI383/AH383-1)*(AH383/AH$13),"-"))</f>
        <v>-</v>
      </c>
      <c r="BY383" s="989" t="str">
        <f>IF(AJ383="","-",IFERROR((AJ383/AI383-1)*(AI383/AI$13),"-"))</f>
        <v>-</v>
      </c>
      <c r="BZ383" s="951"/>
      <c r="CA383" s="984" t="str">
        <f t="shared" si="482"/>
        <v>Rev</v>
      </c>
      <c r="CB383" s="985" t="str">
        <f t="shared" si="483"/>
        <v>[Service]</v>
      </c>
      <c r="CC383" s="985" t="str">
        <f t="shared" si="484"/>
        <v>[Price]</v>
      </c>
      <c r="CD383" s="990" t="str">
        <f t="shared" si="510"/>
        <v>-</v>
      </c>
      <c r="CE383" s="987" t="str">
        <f t="shared" si="510"/>
        <v>-</v>
      </c>
      <c r="CF383" s="987" t="str">
        <f t="shared" si="510"/>
        <v>-</v>
      </c>
      <c r="CG383" s="988" t="str">
        <f t="shared" si="506"/>
        <v>-</v>
      </c>
      <c r="CH383" s="987" t="str">
        <f t="shared" si="511"/>
        <v>-</v>
      </c>
      <c r="CI383" s="987" t="str">
        <f t="shared" si="511"/>
        <v>-</v>
      </c>
      <c r="CJ383" s="987" t="str">
        <f t="shared" si="511"/>
        <v>-</v>
      </c>
      <c r="CK383" s="989" t="str">
        <f t="shared" si="507"/>
        <v>-</v>
      </c>
    </row>
    <row r="384" spans="4:89">
      <c r="D384" s="63">
        <f>D381+1</f>
        <v>106</v>
      </c>
      <c r="E384" s="550" t="s">
        <v>857</v>
      </c>
      <c r="F384" s="595" t="s">
        <v>428</v>
      </c>
      <c r="G384" s="595"/>
      <c r="H384" s="595"/>
      <c r="I384" s="589" t="s">
        <v>920</v>
      </c>
      <c r="J384" s="589" t="s">
        <v>879</v>
      </c>
      <c r="K384" s="551"/>
      <c r="L384" s="552"/>
      <c r="M384" s="552"/>
      <c r="N384" s="551"/>
      <c r="O384" s="552"/>
      <c r="P384" s="552"/>
      <c r="Q384" s="552"/>
      <c r="R384" s="1035"/>
      <c r="S384" s="1138"/>
      <c r="T384" s="591"/>
      <c r="U384" s="1035"/>
      <c r="V384" s="591"/>
      <c r="W384" s="591"/>
      <c r="X384" s="591"/>
      <c r="Y384" s="591"/>
      <c r="Z384" s="591"/>
      <c r="AA384" s="1138"/>
      <c r="AB384" s="591"/>
      <c r="AC384" s="591"/>
      <c r="AD384" s="591"/>
      <c r="AE384" s="1035"/>
      <c r="AF384" s="591"/>
      <c r="AG384" s="591"/>
      <c r="AH384" s="591"/>
      <c r="AI384" s="591"/>
      <c r="AJ384" s="592"/>
      <c r="AK384" s="548"/>
      <c r="AM384" s="974"/>
      <c r="AO384" s="975" t="str">
        <f t="shared" si="485"/>
        <v>Price</v>
      </c>
      <c r="AP384" s="976" t="str">
        <f t="shared" si="485"/>
        <v>[Service]</v>
      </c>
      <c r="AQ384" s="977" t="str">
        <f t="shared" si="486"/>
        <v>[Price]</v>
      </c>
      <c r="AR384" s="1341" t="str">
        <f t="shared" si="487"/>
        <v>-</v>
      </c>
      <c r="AS384" s="978" t="str">
        <f t="shared" si="488"/>
        <v>-</v>
      </c>
      <c r="AT384" s="979" t="str">
        <f t="shared" si="489"/>
        <v>-</v>
      </c>
      <c r="AU384" s="979" t="str">
        <f t="shared" si="490"/>
        <v>-</v>
      </c>
      <c r="AV384" s="1352" t="str">
        <f t="shared" si="491"/>
        <v>-</v>
      </c>
      <c r="AW384" s="1345" t="str">
        <f t="shared" si="492"/>
        <v>-</v>
      </c>
      <c r="AX384" s="979" t="str">
        <f t="shared" si="493"/>
        <v>-</v>
      </c>
      <c r="AY384" s="979" t="str">
        <f t="shared" si="494"/>
        <v>-</v>
      </c>
      <c r="AZ384" s="979" t="str">
        <f t="shared" si="495"/>
        <v>-</v>
      </c>
      <c r="BA384" s="980" t="str">
        <f t="shared" si="496"/>
        <v>-</v>
      </c>
      <c r="BB384" s="1345" t="str">
        <f t="shared" si="497"/>
        <v>-</v>
      </c>
      <c r="BC384" s="979" t="str">
        <f t="shared" si="498"/>
        <v>-</v>
      </c>
      <c r="BD384" s="979" t="str">
        <f t="shared" si="499"/>
        <v>-</v>
      </c>
      <c r="BE384" s="979" t="str">
        <f t="shared" si="500"/>
        <v>-</v>
      </c>
      <c r="BF384" s="981" t="str">
        <f t="shared" si="501"/>
        <v>-</v>
      </c>
      <c r="BG384" s="951"/>
      <c r="BH384" s="975" t="str">
        <f t="shared" si="502"/>
        <v>Price</v>
      </c>
      <c r="BI384" s="976" t="str">
        <f t="shared" si="503"/>
        <v>[Service]</v>
      </c>
      <c r="BJ384" s="977" t="str">
        <f t="shared" si="504"/>
        <v>[Price]</v>
      </c>
      <c r="BK384" s="978" t="str">
        <f t="shared" ref="BK384:BU384" si="588">IF(V384="","-",IFERROR((V384/U384-1)*(U386/U$13),"-"))</f>
        <v>-</v>
      </c>
      <c r="BL384" s="978" t="str">
        <f t="shared" si="588"/>
        <v>-</v>
      </c>
      <c r="BM384" s="979" t="str">
        <f t="shared" si="588"/>
        <v>-</v>
      </c>
      <c r="BN384" s="979" t="str">
        <f t="shared" si="588"/>
        <v>-</v>
      </c>
      <c r="BO384" s="1352" t="str">
        <f t="shared" si="588"/>
        <v>-</v>
      </c>
      <c r="BP384" s="1345" t="str">
        <f t="shared" si="588"/>
        <v>-</v>
      </c>
      <c r="BQ384" s="979" t="str">
        <f t="shared" si="588"/>
        <v>-</v>
      </c>
      <c r="BR384" s="979" t="str">
        <f t="shared" si="588"/>
        <v>-</v>
      </c>
      <c r="BS384" s="979" t="str">
        <f t="shared" si="588"/>
        <v>-</v>
      </c>
      <c r="BT384" s="980" t="str">
        <f t="shared" si="588"/>
        <v>-</v>
      </c>
      <c r="BU384" s="979" t="str">
        <f t="shared" si="588"/>
        <v>-</v>
      </c>
      <c r="BV384" s="979" t="str">
        <f>IF(AG384="","-",IFERROR((AG384/AF384-1)*(AF386/AF$13),"-"))</f>
        <v>-</v>
      </c>
      <c r="BW384" s="979" t="str">
        <f>IF(AH384="","-",IFERROR((AH384/AG384-1)*(AG386/AG$13),"-"))</f>
        <v>-</v>
      </c>
      <c r="BX384" s="979" t="str">
        <f>IF(AI384="","-",IFERROR((AI384/AH384-1)*(AH386/AH$13),"-"))</f>
        <v>-</v>
      </c>
      <c r="BY384" s="981" t="str">
        <f>IF(AJ384="","-",IFERROR((AJ384/AI384-1)*(AI386/AI$13),"-"))</f>
        <v>-</v>
      </c>
      <c r="BZ384" s="951"/>
      <c r="CA384" s="975" t="str">
        <f t="shared" si="482"/>
        <v>Price</v>
      </c>
      <c r="CB384" s="976" t="str">
        <f t="shared" si="483"/>
        <v>[Service]</v>
      </c>
      <c r="CC384" s="982" t="str">
        <f t="shared" si="484"/>
        <v>[Price]</v>
      </c>
      <c r="CD384" s="983" t="str">
        <f t="shared" si="510"/>
        <v>-</v>
      </c>
      <c r="CE384" s="979" t="str">
        <f t="shared" si="510"/>
        <v>-</v>
      </c>
      <c r="CF384" s="979" t="str">
        <f t="shared" si="510"/>
        <v>-</v>
      </c>
      <c r="CG384" s="980" t="str">
        <f t="shared" si="506"/>
        <v>-</v>
      </c>
      <c r="CH384" s="979" t="str">
        <f t="shared" si="511"/>
        <v>-</v>
      </c>
      <c r="CI384" s="979" t="str">
        <f t="shared" si="511"/>
        <v>-</v>
      </c>
      <c r="CJ384" s="979" t="str">
        <f t="shared" si="511"/>
        <v>-</v>
      </c>
      <c r="CK384" s="981" t="str">
        <f t="shared" si="507"/>
        <v>-</v>
      </c>
    </row>
    <row r="385" spans="4:89">
      <c r="E385" s="567" t="s">
        <v>880</v>
      </c>
      <c r="F385" s="554" t="str">
        <f>+F384</f>
        <v>[Service]</v>
      </c>
      <c r="G385" s="555">
        <f>+G384</f>
        <v>0</v>
      </c>
      <c r="H385" s="555">
        <f>+H384</f>
        <v>0</v>
      </c>
      <c r="I385" s="556" t="str">
        <f>+I384</f>
        <v>[Price]</v>
      </c>
      <c r="J385" s="590" t="s">
        <v>916</v>
      </c>
      <c r="K385" s="557"/>
      <c r="L385" s="558"/>
      <c r="M385" s="558"/>
      <c r="N385" s="557"/>
      <c r="O385" s="558"/>
      <c r="P385" s="558"/>
      <c r="Q385" s="558"/>
      <c r="R385" s="1036"/>
      <c r="S385" s="1139"/>
      <c r="T385" s="593"/>
      <c r="U385" s="1036"/>
      <c r="V385" s="593"/>
      <c r="W385" s="593"/>
      <c r="X385" s="593"/>
      <c r="Y385" s="593"/>
      <c r="Z385" s="593"/>
      <c r="AA385" s="1139"/>
      <c r="AB385" s="593"/>
      <c r="AC385" s="593"/>
      <c r="AD385" s="593"/>
      <c r="AE385" s="1036"/>
      <c r="AF385" s="593"/>
      <c r="AG385" s="593"/>
      <c r="AH385" s="593"/>
      <c r="AI385" s="593"/>
      <c r="AJ385" s="594"/>
      <c r="AK385" s="548"/>
      <c r="AO385" s="961" t="str">
        <f t="shared" si="485"/>
        <v>Qty</v>
      </c>
      <c r="AP385" s="962" t="str">
        <f t="shared" si="485"/>
        <v>[Service]</v>
      </c>
      <c r="AQ385" s="963" t="str">
        <f t="shared" si="486"/>
        <v>[Price]</v>
      </c>
      <c r="AR385" s="967" t="str">
        <f t="shared" si="487"/>
        <v>-</v>
      </c>
      <c r="AS385" s="964" t="str">
        <f t="shared" si="488"/>
        <v>-</v>
      </c>
      <c r="AT385" s="964" t="str">
        <f t="shared" si="489"/>
        <v>-</v>
      </c>
      <c r="AU385" s="964" t="str">
        <f t="shared" si="490"/>
        <v>-</v>
      </c>
      <c r="AV385" s="1350" t="str">
        <f t="shared" si="491"/>
        <v>-</v>
      </c>
      <c r="AW385" s="1343" t="str">
        <f t="shared" si="492"/>
        <v>-</v>
      </c>
      <c r="AX385" s="964" t="str">
        <f t="shared" si="493"/>
        <v>-</v>
      </c>
      <c r="AY385" s="964" t="str">
        <f t="shared" si="494"/>
        <v>-</v>
      </c>
      <c r="AZ385" s="964" t="str">
        <f t="shared" si="495"/>
        <v>-</v>
      </c>
      <c r="BA385" s="965" t="str">
        <f t="shared" si="496"/>
        <v>-</v>
      </c>
      <c r="BB385" s="1343" t="str">
        <f t="shared" si="497"/>
        <v>-</v>
      </c>
      <c r="BC385" s="964" t="str">
        <f t="shared" si="498"/>
        <v>-</v>
      </c>
      <c r="BD385" s="964" t="str">
        <f t="shared" si="499"/>
        <v>-</v>
      </c>
      <c r="BE385" s="964" t="str">
        <f t="shared" si="500"/>
        <v>-</v>
      </c>
      <c r="BF385" s="966" t="str">
        <f t="shared" si="501"/>
        <v>-</v>
      </c>
      <c r="BG385" s="951"/>
      <c r="BH385" s="961" t="str">
        <f t="shared" si="502"/>
        <v>Qty</v>
      </c>
      <c r="BI385" s="962" t="str">
        <f t="shared" si="503"/>
        <v>[Service]</v>
      </c>
      <c r="BJ385" s="963" t="str">
        <f t="shared" si="504"/>
        <v>[Price]</v>
      </c>
      <c r="BK385" s="964" t="str">
        <f t="shared" ref="BK385:BU385" si="589">IF(V385="","-",IFERROR((V385/U385-1)*(U386/U$13),"-"))</f>
        <v>-</v>
      </c>
      <c r="BL385" s="964" t="str">
        <f t="shared" si="589"/>
        <v>-</v>
      </c>
      <c r="BM385" s="964" t="str">
        <f t="shared" si="589"/>
        <v>-</v>
      </c>
      <c r="BN385" s="964" t="str">
        <f t="shared" si="589"/>
        <v>-</v>
      </c>
      <c r="BO385" s="1350" t="str">
        <f t="shared" si="589"/>
        <v>-</v>
      </c>
      <c r="BP385" s="1343" t="str">
        <f t="shared" si="589"/>
        <v>-</v>
      </c>
      <c r="BQ385" s="964" t="str">
        <f t="shared" si="589"/>
        <v>-</v>
      </c>
      <c r="BR385" s="964" t="str">
        <f t="shared" si="589"/>
        <v>-</v>
      </c>
      <c r="BS385" s="964" t="str">
        <f t="shared" si="589"/>
        <v>-</v>
      </c>
      <c r="BT385" s="965" t="str">
        <f t="shared" si="589"/>
        <v>-</v>
      </c>
      <c r="BU385" s="964" t="str">
        <f t="shared" si="589"/>
        <v>-</v>
      </c>
      <c r="BV385" s="964" t="str">
        <f>IF(AG385="","-",IFERROR((AG385/AF385-1)*(AF386/AF$13),"-"))</f>
        <v>-</v>
      </c>
      <c r="BW385" s="964" t="str">
        <f>IF(AH385="","-",IFERROR((AH385/AG385-1)*(AG386/AG$13),"-"))</f>
        <v>-</v>
      </c>
      <c r="BX385" s="964" t="str">
        <f>IF(AI385="","-",IFERROR((AI385/AH385-1)*(AH386/AH$13),"-"))</f>
        <v>-</v>
      </c>
      <c r="BY385" s="966" t="str">
        <f>IF(AJ385="","-",IFERROR((AJ385/AI385-1)*(AI386/AI$13),"-"))</f>
        <v>-</v>
      </c>
      <c r="BZ385" s="951"/>
      <c r="CA385" s="961" t="str">
        <f t="shared" si="482"/>
        <v>Qty</v>
      </c>
      <c r="CB385" s="962" t="str">
        <f t="shared" si="483"/>
        <v>[Service]</v>
      </c>
      <c r="CC385" s="962" t="str">
        <f t="shared" si="484"/>
        <v>[Price]</v>
      </c>
      <c r="CD385" s="967" t="str">
        <f t="shared" si="510"/>
        <v>-</v>
      </c>
      <c r="CE385" s="964" t="str">
        <f t="shared" si="510"/>
        <v>-</v>
      </c>
      <c r="CF385" s="964" t="str">
        <f t="shared" si="510"/>
        <v>-</v>
      </c>
      <c r="CG385" s="965" t="str">
        <f t="shared" si="506"/>
        <v>-</v>
      </c>
      <c r="CH385" s="964" t="str">
        <f t="shared" si="511"/>
        <v>-</v>
      </c>
      <c r="CI385" s="964" t="str">
        <f t="shared" si="511"/>
        <v>-</v>
      </c>
      <c r="CJ385" s="964" t="str">
        <f t="shared" si="511"/>
        <v>-</v>
      </c>
      <c r="CK385" s="966" t="str">
        <f t="shared" si="507"/>
        <v>-</v>
      </c>
    </row>
    <row r="386" spans="4:89" ht="12.75" thickBot="1">
      <c r="E386" s="568" t="s">
        <v>882</v>
      </c>
      <c r="F386" s="560" t="str">
        <f>+F384</f>
        <v>[Service]</v>
      </c>
      <c r="G386" s="561">
        <f>+G384</f>
        <v>0</v>
      </c>
      <c r="H386" s="561">
        <f>+H384</f>
        <v>0</v>
      </c>
      <c r="I386" s="562" t="str">
        <f>+I384</f>
        <v>[Price]</v>
      </c>
      <c r="J386" s="563" t="s">
        <v>883</v>
      </c>
      <c r="K386" s="564">
        <f t="shared" ref="K386:AJ386" si="590">K384*K385/10^6</f>
        <v>0</v>
      </c>
      <c r="L386" s="565">
        <f t="shared" si="590"/>
        <v>0</v>
      </c>
      <c r="M386" s="565">
        <f t="shared" si="590"/>
        <v>0</v>
      </c>
      <c r="N386" s="564">
        <f t="shared" si="590"/>
        <v>0</v>
      </c>
      <c r="O386" s="565">
        <f t="shared" si="590"/>
        <v>0</v>
      </c>
      <c r="P386" s="565">
        <f t="shared" si="590"/>
        <v>0</v>
      </c>
      <c r="Q386" s="565">
        <f t="shared" si="590"/>
        <v>0</v>
      </c>
      <c r="R386" s="566">
        <f t="shared" si="590"/>
        <v>0</v>
      </c>
      <c r="S386" s="564">
        <f t="shared" si="590"/>
        <v>0</v>
      </c>
      <c r="T386" s="565">
        <f t="shared" si="590"/>
        <v>0</v>
      </c>
      <c r="U386" s="566">
        <f t="shared" si="590"/>
        <v>0</v>
      </c>
      <c r="V386" s="565">
        <f t="shared" si="590"/>
        <v>0</v>
      </c>
      <c r="W386" s="565">
        <f t="shared" si="590"/>
        <v>0</v>
      </c>
      <c r="X386" s="565">
        <f t="shared" si="590"/>
        <v>0</v>
      </c>
      <c r="Y386" s="565">
        <f t="shared" si="590"/>
        <v>0</v>
      </c>
      <c r="Z386" s="565">
        <f t="shared" si="590"/>
        <v>0</v>
      </c>
      <c r="AA386" s="564">
        <f t="shared" si="590"/>
        <v>0</v>
      </c>
      <c r="AB386" s="565">
        <f t="shared" si="590"/>
        <v>0</v>
      </c>
      <c r="AC386" s="565">
        <f t="shared" si="590"/>
        <v>0</v>
      </c>
      <c r="AD386" s="565">
        <f t="shared" si="590"/>
        <v>0</v>
      </c>
      <c r="AE386" s="566">
        <f t="shared" si="590"/>
        <v>0</v>
      </c>
      <c r="AF386" s="565">
        <f t="shared" si="590"/>
        <v>0</v>
      </c>
      <c r="AG386" s="565">
        <f>AG384*AG385/10^6</f>
        <v>0</v>
      </c>
      <c r="AH386" s="565">
        <f>AH384*AH385/10^6</f>
        <v>0</v>
      </c>
      <c r="AI386" s="565">
        <f>AI384*AI385/10^6</f>
        <v>0</v>
      </c>
      <c r="AJ386" s="566">
        <f t="shared" si="590"/>
        <v>0</v>
      </c>
      <c r="AK386" s="548"/>
      <c r="AO386" s="984" t="str">
        <f t="shared" si="485"/>
        <v>Rev</v>
      </c>
      <c r="AP386" s="985" t="str">
        <f t="shared" si="485"/>
        <v>[Service]</v>
      </c>
      <c r="AQ386" s="986" t="str">
        <f t="shared" si="486"/>
        <v>[Price]</v>
      </c>
      <c r="AR386" s="990" t="str">
        <f t="shared" si="487"/>
        <v>-</v>
      </c>
      <c r="AS386" s="987" t="str">
        <f t="shared" si="488"/>
        <v>-</v>
      </c>
      <c r="AT386" s="987" t="str">
        <f t="shared" si="489"/>
        <v>-</v>
      </c>
      <c r="AU386" s="987" t="str">
        <f t="shared" si="490"/>
        <v>-</v>
      </c>
      <c r="AV386" s="1353" t="str">
        <f t="shared" si="491"/>
        <v>-</v>
      </c>
      <c r="AW386" s="1346" t="str">
        <f t="shared" si="492"/>
        <v>-</v>
      </c>
      <c r="AX386" s="987" t="str">
        <f t="shared" si="493"/>
        <v>-</v>
      </c>
      <c r="AY386" s="987" t="str">
        <f t="shared" si="494"/>
        <v>-</v>
      </c>
      <c r="AZ386" s="987" t="str">
        <f t="shared" si="495"/>
        <v>-</v>
      </c>
      <c r="BA386" s="988" t="str">
        <f t="shared" si="496"/>
        <v>-</v>
      </c>
      <c r="BB386" s="1346" t="str">
        <f t="shared" si="497"/>
        <v>-</v>
      </c>
      <c r="BC386" s="987" t="str">
        <f t="shared" si="498"/>
        <v>-</v>
      </c>
      <c r="BD386" s="987" t="str">
        <f t="shared" si="499"/>
        <v>-</v>
      </c>
      <c r="BE386" s="987" t="str">
        <f t="shared" si="500"/>
        <v>-</v>
      </c>
      <c r="BF386" s="989" t="str">
        <f t="shared" si="501"/>
        <v>-</v>
      </c>
      <c r="BG386" s="951"/>
      <c r="BH386" s="984" t="str">
        <f t="shared" si="502"/>
        <v>Rev</v>
      </c>
      <c r="BI386" s="985" t="str">
        <f t="shared" si="503"/>
        <v>[Service]</v>
      </c>
      <c r="BJ386" s="986" t="str">
        <f t="shared" si="504"/>
        <v>[Price]</v>
      </c>
      <c r="BK386" s="987" t="str">
        <f t="shared" ref="BK386:BU386" si="591">IF(V386="","-",IFERROR((V386/U386-1)*(U386/U$13),"-"))</f>
        <v>-</v>
      </c>
      <c r="BL386" s="987" t="str">
        <f t="shared" si="591"/>
        <v>-</v>
      </c>
      <c r="BM386" s="987" t="str">
        <f t="shared" si="591"/>
        <v>-</v>
      </c>
      <c r="BN386" s="987" t="str">
        <f t="shared" si="591"/>
        <v>-</v>
      </c>
      <c r="BO386" s="1353" t="str">
        <f t="shared" si="591"/>
        <v>-</v>
      </c>
      <c r="BP386" s="1346" t="str">
        <f t="shared" si="591"/>
        <v>-</v>
      </c>
      <c r="BQ386" s="987" t="str">
        <f t="shared" si="591"/>
        <v>-</v>
      </c>
      <c r="BR386" s="987" t="str">
        <f t="shared" si="591"/>
        <v>-</v>
      </c>
      <c r="BS386" s="987" t="str">
        <f t="shared" si="591"/>
        <v>-</v>
      </c>
      <c r="BT386" s="988" t="str">
        <f t="shared" si="591"/>
        <v>-</v>
      </c>
      <c r="BU386" s="987" t="str">
        <f t="shared" si="591"/>
        <v>-</v>
      </c>
      <c r="BV386" s="987" t="str">
        <f>IF(AG386="","-",IFERROR((AG386/AF386-1)*(AF386/AF$13),"-"))</f>
        <v>-</v>
      </c>
      <c r="BW386" s="987" t="str">
        <f>IF(AH386="","-",IFERROR((AH386/AG386-1)*(AG386/AG$13),"-"))</f>
        <v>-</v>
      </c>
      <c r="BX386" s="987" t="str">
        <f>IF(AI386="","-",IFERROR((AI386/AH386-1)*(AH386/AH$13),"-"))</f>
        <v>-</v>
      </c>
      <c r="BY386" s="989" t="str">
        <f>IF(AJ386="","-",IFERROR((AJ386/AI386-1)*(AI386/AI$13),"-"))</f>
        <v>-</v>
      </c>
      <c r="BZ386" s="951"/>
      <c r="CA386" s="984" t="str">
        <f t="shared" si="482"/>
        <v>Rev</v>
      </c>
      <c r="CB386" s="985" t="str">
        <f t="shared" si="483"/>
        <v>[Service]</v>
      </c>
      <c r="CC386" s="985" t="str">
        <f t="shared" si="484"/>
        <v>[Price]</v>
      </c>
      <c r="CD386" s="990" t="str">
        <f t="shared" si="510"/>
        <v>-</v>
      </c>
      <c r="CE386" s="987" t="str">
        <f t="shared" si="510"/>
        <v>-</v>
      </c>
      <c r="CF386" s="987" t="str">
        <f t="shared" si="510"/>
        <v>-</v>
      </c>
      <c r="CG386" s="988" t="str">
        <f t="shared" si="506"/>
        <v>-</v>
      </c>
      <c r="CH386" s="987" t="str">
        <f t="shared" si="511"/>
        <v>-</v>
      </c>
      <c r="CI386" s="987" t="str">
        <f t="shared" si="511"/>
        <v>-</v>
      </c>
      <c r="CJ386" s="987" t="str">
        <f t="shared" si="511"/>
        <v>-</v>
      </c>
      <c r="CK386" s="989" t="str">
        <f t="shared" si="507"/>
        <v>-</v>
      </c>
    </row>
    <row r="387" spans="4:89">
      <c r="D387" s="63">
        <f>D384+1</f>
        <v>107</v>
      </c>
      <c r="E387" s="550" t="s">
        <v>857</v>
      </c>
      <c r="F387" s="595" t="s">
        <v>428</v>
      </c>
      <c r="G387" s="595"/>
      <c r="H387" s="595"/>
      <c r="I387" s="589" t="s">
        <v>920</v>
      </c>
      <c r="J387" s="589" t="s">
        <v>879</v>
      </c>
      <c r="K387" s="551"/>
      <c r="L387" s="552"/>
      <c r="M387" s="552"/>
      <c r="N387" s="551"/>
      <c r="O387" s="552"/>
      <c r="P387" s="552"/>
      <c r="Q387" s="552"/>
      <c r="R387" s="1035"/>
      <c r="S387" s="1138"/>
      <c r="T387" s="591"/>
      <c r="U387" s="1035"/>
      <c r="V387" s="591"/>
      <c r="W387" s="591"/>
      <c r="X387" s="591"/>
      <c r="Y387" s="591"/>
      <c r="Z387" s="591"/>
      <c r="AA387" s="1138"/>
      <c r="AB387" s="591"/>
      <c r="AC387" s="591"/>
      <c r="AD387" s="591"/>
      <c r="AE387" s="1035"/>
      <c r="AF387" s="591"/>
      <c r="AG387" s="591"/>
      <c r="AH387" s="591"/>
      <c r="AI387" s="591"/>
      <c r="AJ387" s="592"/>
      <c r="AK387" s="548"/>
      <c r="AM387" s="974"/>
      <c r="AO387" s="975" t="str">
        <f t="shared" si="485"/>
        <v>Price</v>
      </c>
      <c r="AP387" s="976" t="str">
        <f t="shared" si="485"/>
        <v>[Service]</v>
      </c>
      <c r="AQ387" s="977" t="str">
        <f t="shared" si="486"/>
        <v>[Price]</v>
      </c>
      <c r="AR387" s="1341" t="str">
        <f t="shared" si="487"/>
        <v>-</v>
      </c>
      <c r="AS387" s="978" t="str">
        <f t="shared" si="488"/>
        <v>-</v>
      </c>
      <c r="AT387" s="979" t="str">
        <f t="shared" si="489"/>
        <v>-</v>
      </c>
      <c r="AU387" s="979" t="str">
        <f t="shared" si="490"/>
        <v>-</v>
      </c>
      <c r="AV387" s="1352" t="str">
        <f t="shared" si="491"/>
        <v>-</v>
      </c>
      <c r="AW387" s="1345" t="str">
        <f t="shared" si="492"/>
        <v>-</v>
      </c>
      <c r="AX387" s="979" t="str">
        <f t="shared" si="493"/>
        <v>-</v>
      </c>
      <c r="AY387" s="979" t="str">
        <f t="shared" si="494"/>
        <v>-</v>
      </c>
      <c r="AZ387" s="979" t="str">
        <f t="shared" si="495"/>
        <v>-</v>
      </c>
      <c r="BA387" s="980" t="str">
        <f t="shared" si="496"/>
        <v>-</v>
      </c>
      <c r="BB387" s="1345" t="str">
        <f t="shared" si="497"/>
        <v>-</v>
      </c>
      <c r="BC387" s="979" t="str">
        <f t="shared" si="498"/>
        <v>-</v>
      </c>
      <c r="BD387" s="979" t="str">
        <f t="shared" si="499"/>
        <v>-</v>
      </c>
      <c r="BE387" s="979" t="str">
        <f t="shared" si="500"/>
        <v>-</v>
      </c>
      <c r="BF387" s="981" t="str">
        <f t="shared" si="501"/>
        <v>-</v>
      </c>
      <c r="BG387" s="951"/>
      <c r="BH387" s="975" t="str">
        <f t="shared" si="502"/>
        <v>Price</v>
      </c>
      <c r="BI387" s="976" t="str">
        <f t="shared" si="503"/>
        <v>[Service]</v>
      </c>
      <c r="BJ387" s="977" t="str">
        <f t="shared" si="504"/>
        <v>[Price]</v>
      </c>
      <c r="BK387" s="978" t="str">
        <f t="shared" ref="BK387:BU387" si="592">IF(V387="","-",IFERROR((V387/U387-1)*(U389/U$13),"-"))</f>
        <v>-</v>
      </c>
      <c r="BL387" s="978" t="str">
        <f t="shared" si="592"/>
        <v>-</v>
      </c>
      <c r="BM387" s="979" t="str">
        <f t="shared" si="592"/>
        <v>-</v>
      </c>
      <c r="BN387" s="979" t="str">
        <f t="shared" si="592"/>
        <v>-</v>
      </c>
      <c r="BO387" s="1352" t="str">
        <f t="shared" si="592"/>
        <v>-</v>
      </c>
      <c r="BP387" s="1345" t="str">
        <f t="shared" si="592"/>
        <v>-</v>
      </c>
      <c r="BQ387" s="979" t="str">
        <f t="shared" si="592"/>
        <v>-</v>
      </c>
      <c r="BR387" s="979" t="str">
        <f t="shared" si="592"/>
        <v>-</v>
      </c>
      <c r="BS387" s="979" t="str">
        <f t="shared" si="592"/>
        <v>-</v>
      </c>
      <c r="BT387" s="980" t="str">
        <f t="shared" si="592"/>
        <v>-</v>
      </c>
      <c r="BU387" s="979" t="str">
        <f t="shared" si="592"/>
        <v>-</v>
      </c>
      <c r="BV387" s="979" t="str">
        <f>IF(AG387="","-",IFERROR((AG387/AF387-1)*(AF389/AF$13),"-"))</f>
        <v>-</v>
      </c>
      <c r="BW387" s="979" t="str">
        <f>IF(AH387="","-",IFERROR((AH387/AG387-1)*(AG389/AG$13),"-"))</f>
        <v>-</v>
      </c>
      <c r="BX387" s="979" t="str">
        <f>IF(AI387="","-",IFERROR((AI387/AH387-1)*(AH389/AH$13),"-"))</f>
        <v>-</v>
      </c>
      <c r="BY387" s="981" t="str">
        <f>IF(AJ387="","-",IFERROR((AJ387/AI387-1)*(AI389/AI$13),"-"))</f>
        <v>-</v>
      </c>
      <c r="BZ387" s="951"/>
      <c r="CA387" s="975" t="str">
        <f t="shared" si="482"/>
        <v>Price</v>
      </c>
      <c r="CB387" s="976" t="str">
        <f t="shared" si="483"/>
        <v>[Service]</v>
      </c>
      <c r="CC387" s="982" t="str">
        <f t="shared" si="484"/>
        <v>[Price]</v>
      </c>
      <c r="CD387" s="983" t="str">
        <f t="shared" si="510"/>
        <v>-</v>
      </c>
      <c r="CE387" s="979" t="str">
        <f t="shared" si="510"/>
        <v>-</v>
      </c>
      <c r="CF387" s="979" t="str">
        <f t="shared" si="510"/>
        <v>-</v>
      </c>
      <c r="CG387" s="980" t="str">
        <f t="shared" si="506"/>
        <v>-</v>
      </c>
      <c r="CH387" s="979" t="str">
        <f t="shared" si="511"/>
        <v>-</v>
      </c>
      <c r="CI387" s="979" t="str">
        <f t="shared" si="511"/>
        <v>-</v>
      </c>
      <c r="CJ387" s="979" t="str">
        <f t="shared" si="511"/>
        <v>-</v>
      </c>
      <c r="CK387" s="981" t="str">
        <f t="shared" si="507"/>
        <v>-</v>
      </c>
    </row>
    <row r="388" spans="4:89">
      <c r="E388" s="567" t="s">
        <v>880</v>
      </c>
      <c r="F388" s="554" t="str">
        <f>+F387</f>
        <v>[Service]</v>
      </c>
      <c r="G388" s="555">
        <f>+G387</f>
        <v>0</v>
      </c>
      <c r="H388" s="555">
        <f>+H387</f>
        <v>0</v>
      </c>
      <c r="I388" s="556" t="str">
        <f>+I387</f>
        <v>[Price]</v>
      </c>
      <c r="J388" s="590" t="s">
        <v>916</v>
      </c>
      <c r="K388" s="557"/>
      <c r="L388" s="558"/>
      <c r="M388" s="558"/>
      <c r="N388" s="557"/>
      <c r="O388" s="558"/>
      <c r="P388" s="558"/>
      <c r="Q388" s="558"/>
      <c r="R388" s="1036"/>
      <c r="S388" s="1139"/>
      <c r="T388" s="593"/>
      <c r="U388" s="1036"/>
      <c r="V388" s="593"/>
      <c r="W388" s="593"/>
      <c r="X388" s="593"/>
      <c r="Y388" s="593"/>
      <c r="Z388" s="593"/>
      <c r="AA388" s="1139"/>
      <c r="AB388" s="593"/>
      <c r="AC388" s="593"/>
      <c r="AD388" s="593"/>
      <c r="AE388" s="1036"/>
      <c r="AF388" s="593"/>
      <c r="AG388" s="593"/>
      <c r="AH388" s="593"/>
      <c r="AI388" s="593"/>
      <c r="AJ388" s="594"/>
      <c r="AK388" s="548"/>
      <c r="AO388" s="961" t="str">
        <f t="shared" si="485"/>
        <v>Qty</v>
      </c>
      <c r="AP388" s="962" t="str">
        <f t="shared" si="485"/>
        <v>[Service]</v>
      </c>
      <c r="AQ388" s="963" t="str">
        <f t="shared" si="486"/>
        <v>[Price]</v>
      </c>
      <c r="AR388" s="967" t="str">
        <f t="shared" si="487"/>
        <v>-</v>
      </c>
      <c r="AS388" s="964" t="str">
        <f t="shared" si="488"/>
        <v>-</v>
      </c>
      <c r="AT388" s="964" t="str">
        <f t="shared" si="489"/>
        <v>-</v>
      </c>
      <c r="AU388" s="964" t="str">
        <f t="shared" si="490"/>
        <v>-</v>
      </c>
      <c r="AV388" s="1350" t="str">
        <f t="shared" si="491"/>
        <v>-</v>
      </c>
      <c r="AW388" s="1343" t="str">
        <f t="shared" si="492"/>
        <v>-</v>
      </c>
      <c r="AX388" s="964" t="str">
        <f t="shared" si="493"/>
        <v>-</v>
      </c>
      <c r="AY388" s="964" t="str">
        <f t="shared" si="494"/>
        <v>-</v>
      </c>
      <c r="AZ388" s="964" t="str">
        <f t="shared" si="495"/>
        <v>-</v>
      </c>
      <c r="BA388" s="965" t="str">
        <f t="shared" si="496"/>
        <v>-</v>
      </c>
      <c r="BB388" s="1343" t="str">
        <f t="shared" si="497"/>
        <v>-</v>
      </c>
      <c r="BC388" s="964" t="str">
        <f t="shared" si="498"/>
        <v>-</v>
      </c>
      <c r="BD388" s="964" t="str">
        <f t="shared" si="499"/>
        <v>-</v>
      </c>
      <c r="BE388" s="964" t="str">
        <f t="shared" si="500"/>
        <v>-</v>
      </c>
      <c r="BF388" s="966" t="str">
        <f t="shared" si="501"/>
        <v>-</v>
      </c>
      <c r="BG388" s="951"/>
      <c r="BH388" s="961" t="str">
        <f t="shared" si="502"/>
        <v>Qty</v>
      </c>
      <c r="BI388" s="962" t="str">
        <f t="shared" si="503"/>
        <v>[Service]</v>
      </c>
      <c r="BJ388" s="963" t="str">
        <f t="shared" si="504"/>
        <v>[Price]</v>
      </c>
      <c r="BK388" s="964" t="str">
        <f t="shared" ref="BK388:BU388" si="593">IF(V388="","-",IFERROR((V388/U388-1)*(U389/U$13),"-"))</f>
        <v>-</v>
      </c>
      <c r="BL388" s="964" t="str">
        <f t="shared" si="593"/>
        <v>-</v>
      </c>
      <c r="BM388" s="964" t="str">
        <f t="shared" si="593"/>
        <v>-</v>
      </c>
      <c r="BN388" s="964" t="str">
        <f t="shared" si="593"/>
        <v>-</v>
      </c>
      <c r="BO388" s="1350" t="str">
        <f t="shared" si="593"/>
        <v>-</v>
      </c>
      <c r="BP388" s="1343" t="str">
        <f t="shared" si="593"/>
        <v>-</v>
      </c>
      <c r="BQ388" s="964" t="str">
        <f t="shared" si="593"/>
        <v>-</v>
      </c>
      <c r="BR388" s="964" t="str">
        <f t="shared" si="593"/>
        <v>-</v>
      </c>
      <c r="BS388" s="964" t="str">
        <f t="shared" si="593"/>
        <v>-</v>
      </c>
      <c r="BT388" s="965" t="str">
        <f t="shared" si="593"/>
        <v>-</v>
      </c>
      <c r="BU388" s="964" t="str">
        <f t="shared" si="593"/>
        <v>-</v>
      </c>
      <c r="BV388" s="964" t="str">
        <f>IF(AG388="","-",IFERROR((AG388/AF388-1)*(AF389/AF$13),"-"))</f>
        <v>-</v>
      </c>
      <c r="BW388" s="964" t="str">
        <f>IF(AH388="","-",IFERROR((AH388/AG388-1)*(AG389/AG$13),"-"))</f>
        <v>-</v>
      </c>
      <c r="BX388" s="964" t="str">
        <f>IF(AI388="","-",IFERROR((AI388/AH388-1)*(AH389/AH$13),"-"))</f>
        <v>-</v>
      </c>
      <c r="BY388" s="966" t="str">
        <f>IF(AJ388="","-",IFERROR((AJ388/AI388-1)*(AI389/AI$13),"-"))</f>
        <v>-</v>
      </c>
      <c r="BZ388" s="951"/>
      <c r="CA388" s="961" t="str">
        <f t="shared" ref="CA388:CA443" si="594">AO388</f>
        <v>Qty</v>
      </c>
      <c r="CB388" s="962" t="str">
        <f t="shared" ref="CB388:CB443" si="595">AP388</f>
        <v>[Service]</v>
      </c>
      <c r="CC388" s="962" t="str">
        <f t="shared" ref="CC388:CC443" si="596">AQ388</f>
        <v>[Price]</v>
      </c>
      <c r="CD388" s="967" t="str">
        <f t="shared" si="510"/>
        <v>-</v>
      </c>
      <c r="CE388" s="964" t="str">
        <f t="shared" si="510"/>
        <v>-</v>
      </c>
      <c r="CF388" s="964" t="str">
        <f t="shared" si="510"/>
        <v>-</v>
      </c>
      <c r="CG388" s="965" t="str">
        <f t="shared" si="506"/>
        <v>-</v>
      </c>
      <c r="CH388" s="964" t="str">
        <f t="shared" si="511"/>
        <v>-</v>
      </c>
      <c r="CI388" s="964" t="str">
        <f t="shared" si="511"/>
        <v>-</v>
      </c>
      <c r="CJ388" s="964" t="str">
        <f t="shared" si="511"/>
        <v>-</v>
      </c>
      <c r="CK388" s="966" t="str">
        <f t="shared" si="507"/>
        <v>-</v>
      </c>
    </row>
    <row r="389" spans="4:89" ht="12.75" thickBot="1">
      <c r="E389" s="568" t="s">
        <v>882</v>
      </c>
      <c r="F389" s="560" t="str">
        <f>+F387</f>
        <v>[Service]</v>
      </c>
      <c r="G389" s="561">
        <f>+G387</f>
        <v>0</v>
      </c>
      <c r="H389" s="561">
        <f>+H387</f>
        <v>0</v>
      </c>
      <c r="I389" s="562" t="str">
        <f>+I387</f>
        <v>[Price]</v>
      </c>
      <c r="J389" s="563" t="s">
        <v>883</v>
      </c>
      <c r="K389" s="564">
        <f t="shared" ref="K389:AJ389" si="597">K387*K388/10^6</f>
        <v>0</v>
      </c>
      <c r="L389" s="565">
        <f t="shared" si="597"/>
        <v>0</v>
      </c>
      <c r="M389" s="565">
        <f t="shared" si="597"/>
        <v>0</v>
      </c>
      <c r="N389" s="564">
        <f t="shared" si="597"/>
        <v>0</v>
      </c>
      <c r="O389" s="565">
        <f t="shared" si="597"/>
        <v>0</v>
      </c>
      <c r="P389" s="565">
        <f t="shared" si="597"/>
        <v>0</v>
      </c>
      <c r="Q389" s="565">
        <f t="shared" si="597"/>
        <v>0</v>
      </c>
      <c r="R389" s="566">
        <f t="shared" si="597"/>
        <v>0</v>
      </c>
      <c r="S389" s="564">
        <f t="shared" si="597"/>
        <v>0</v>
      </c>
      <c r="T389" s="565">
        <f t="shared" si="597"/>
        <v>0</v>
      </c>
      <c r="U389" s="566">
        <f t="shared" si="597"/>
        <v>0</v>
      </c>
      <c r="V389" s="565">
        <f t="shared" si="597"/>
        <v>0</v>
      </c>
      <c r="W389" s="565">
        <f t="shared" si="597"/>
        <v>0</v>
      </c>
      <c r="X389" s="565">
        <f t="shared" si="597"/>
        <v>0</v>
      </c>
      <c r="Y389" s="565">
        <f t="shared" si="597"/>
        <v>0</v>
      </c>
      <c r="Z389" s="565">
        <f t="shared" si="597"/>
        <v>0</v>
      </c>
      <c r="AA389" s="564">
        <f t="shared" si="597"/>
        <v>0</v>
      </c>
      <c r="AB389" s="565">
        <f t="shared" si="597"/>
        <v>0</v>
      </c>
      <c r="AC389" s="565">
        <f t="shared" si="597"/>
        <v>0</v>
      </c>
      <c r="AD389" s="565">
        <f t="shared" si="597"/>
        <v>0</v>
      </c>
      <c r="AE389" s="566">
        <f t="shared" si="597"/>
        <v>0</v>
      </c>
      <c r="AF389" s="565">
        <f t="shared" si="597"/>
        <v>0</v>
      </c>
      <c r="AG389" s="565">
        <f>AG387*AG388/10^6</f>
        <v>0</v>
      </c>
      <c r="AH389" s="565">
        <f>AH387*AH388/10^6</f>
        <v>0</v>
      </c>
      <c r="AI389" s="565">
        <f>AI387*AI388/10^6</f>
        <v>0</v>
      </c>
      <c r="AJ389" s="566">
        <f t="shared" si="597"/>
        <v>0</v>
      </c>
      <c r="AK389" s="548"/>
      <c r="AO389" s="984" t="str">
        <f t="shared" ref="AO389:AP443" si="598">E389</f>
        <v>Rev</v>
      </c>
      <c r="AP389" s="985" t="str">
        <f t="shared" si="598"/>
        <v>[Service]</v>
      </c>
      <c r="AQ389" s="986" t="str">
        <f t="shared" ref="AQ389:AQ443" si="599">I389</f>
        <v>[Price]</v>
      </c>
      <c r="AR389" s="990" t="str">
        <f t="shared" ref="AR389:AR443" si="600">IF(V389="","-",IFERROR(V389/U389-1,"-"))</f>
        <v>-</v>
      </c>
      <c r="AS389" s="987" t="str">
        <f t="shared" ref="AS389:AS443" si="601">IF(W389="","-",IFERROR(W389/V389-1,"-"))</f>
        <v>-</v>
      </c>
      <c r="AT389" s="987" t="str">
        <f t="shared" ref="AT389:AT443" si="602">IF(X389="","-",IFERROR(X389/W389-1,"-"))</f>
        <v>-</v>
      </c>
      <c r="AU389" s="987" t="str">
        <f t="shared" ref="AU389:AU443" si="603">IF(Y389="","-",IFERROR(Y389/X389-1,"-"))</f>
        <v>-</v>
      </c>
      <c r="AV389" s="1353" t="str">
        <f t="shared" ref="AV389:AV443" si="604">IF(Z389="","-",IFERROR(Z389/Y389-1,"-"))</f>
        <v>-</v>
      </c>
      <c r="AW389" s="1346" t="str">
        <f t="shared" ref="AW389:AW443" si="605">IF(AA389="","-",IFERROR(AA389/Z389-1,"-"))</f>
        <v>-</v>
      </c>
      <c r="AX389" s="987" t="str">
        <f t="shared" ref="AX389:AX443" si="606">IF(AB389="","-",IFERROR(AB389/AA389-1,"-"))</f>
        <v>-</v>
      </c>
      <c r="AY389" s="987" t="str">
        <f t="shared" ref="AY389:AY443" si="607">IF(AC389="","-",IFERROR(AC389/AB389-1,"-"))</f>
        <v>-</v>
      </c>
      <c r="AZ389" s="987" t="str">
        <f t="shared" ref="AZ389:AZ443" si="608">IF(AD389="","-",IFERROR(AD389/AC389-1,"-"))</f>
        <v>-</v>
      </c>
      <c r="BA389" s="988" t="str">
        <f t="shared" ref="BA389:BA443" si="609">IF(AE389="","-",IFERROR(AE389/AD389-1,"-"))</f>
        <v>-</v>
      </c>
      <c r="BB389" s="1346" t="str">
        <f t="shared" ref="BB389:BB443" si="610">IF(AF389="","-",IFERROR(AF389/AE389-1,"-"))</f>
        <v>-</v>
      </c>
      <c r="BC389" s="987" t="str">
        <f t="shared" ref="BC389:BC443" si="611">IF(AG389="","-",IFERROR(AG389/AF389-1,"-"))</f>
        <v>-</v>
      </c>
      <c r="BD389" s="987" t="str">
        <f t="shared" ref="BD389:BD443" si="612">IF(AH389="","-",IFERROR(AH389/AG389-1,"-"))</f>
        <v>-</v>
      </c>
      <c r="BE389" s="987" t="str">
        <f t="shared" ref="BE389:BE443" si="613">IF(AI389="","-",IFERROR(AI389/AH389-1,"-"))</f>
        <v>-</v>
      </c>
      <c r="BF389" s="989" t="str">
        <f t="shared" ref="BF389:BF443" si="614">IF(AJ389="","-",IFERROR(AJ389/AI389-1,"-"))</f>
        <v>-</v>
      </c>
      <c r="BG389" s="951"/>
      <c r="BH389" s="984" t="str">
        <f t="shared" ref="BH389:BH403" si="615">AO389</f>
        <v>Rev</v>
      </c>
      <c r="BI389" s="985" t="str">
        <f t="shared" ref="BI389:BI403" si="616">AP389</f>
        <v>[Service]</v>
      </c>
      <c r="BJ389" s="986" t="str">
        <f t="shared" ref="BJ389:BJ403" si="617">AQ389</f>
        <v>[Price]</v>
      </c>
      <c r="BK389" s="987" t="str">
        <f t="shared" ref="BK389:BU389" si="618">IF(V389="","-",IFERROR((V389/U389-1)*(U389/U$13),"-"))</f>
        <v>-</v>
      </c>
      <c r="BL389" s="987" t="str">
        <f t="shared" si="618"/>
        <v>-</v>
      </c>
      <c r="BM389" s="987" t="str">
        <f t="shared" si="618"/>
        <v>-</v>
      </c>
      <c r="BN389" s="987" t="str">
        <f t="shared" si="618"/>
        <v>-</v>
      </c>
      <c r="BO389" s="1353" t="str">
        <f t="shared" si="618"/>
        <v>-</v>
      </c>
      <c r="BP389" s="1346" t="str">
        <f t="shared" si="618"/>
        <v>-</v>
      </c>
      <c r="BQ389" s="987" t="str">
        <f t="shared" si="618"/>
        <v>-</v>
      </c>
      <c r="BR389" s="987" t="str">
        <f t="shared" si="618"/>
        <v>-</v>
      </c>
      <c r="BS389" s="987" t="str">
        <f t="shared" si="618"/>
        <v>-</v>
      </c>
      <c r="BT389" s="988" t="str">
        <f t="shared" si="618"/>
        <v>-</v>
      </c>
      <c r="BU389" s="987" t="str">
        <f t="shared" si="618"/>
        <v>-</v>
      </c>
      <c r="BV389" s="987" t="str">
        <f>IF(AG389="","-",IFERROR((AG389/AF389-1)*(AF389/AF$13),"-"))</f>
        <v>-</v>
      </c>
      <c r="BW389" s="987" t="str">
        <f>IF(AH389="","-",IFERROR((AH389/AG389-1)*(AG389/AG$13),"-"))</f>
        <v>-</v>
      </c>
      <c r="BX389" s="987" t="str">
        <f>IF(AI389="","-",IFERROR((AI389/AH389-1)*(AH389/AH$13),"-"))</f>
        <v>-</v>
      </c>
      <c r="BY389" s="989" t="str">
        <f>IF(AJ389="","-",IFERROR((AJ389/AI389-1)*(AI389/AI$13),"-"))</f>
        <v>-</v>
      </c>
      <c r="BZ389" s="951"/>
      <c r="CA389" s="984" t="str">
        <f t="shared" si="594"/>
        <v>Rev</v>
      </c>
      <c r="CB389" s="985" t="str">
        <f t="shared" si="595"/>
        <v>[Service]</v>
      </c>
      <c r="CC389" s="985" t="str">
        <f t="shared" si="596"/>
        <v>[Price]</v>
      </c>
      <c r="CD389" s="990" t="str">
        <f t="shared" si="510"/>
        <v>-</v>
      </c>
      <c r="CE389" s="987" t="str">
        <f t="shared" si="510"/>
        <v>-</v>
      </c>
      <c r="CF389" s="987" t="str">
        <f t="shared" si="510"/>
        <v>-</v>
      </c>
      <c r="CG389" s="988" t="str">
        <f t="shared" si="510"/>
        <v>-</v>
      </c>
      <c r="CH389" s="987" t="str">
        <f t="shared" si="511"/>
        <v>-</v>
      </c>
      <c r="CI389" s="987" t="str">
        <f t="shared" si="511"/>
        <v>-</v>
      </c>
      <c r="CJ389" s="987" t="str">
        <f t="shared" si="511"/>
        <v>-</v>
      </c>
      <c r="CK389" s="989" t="str">
        <f t="shared" si="511"/>
        <v>-</v>
      </c>
    </row>
    <row r="390" spans="4:89">
      <c r="D390" s="63">
        <f>D387+1</f>
        <v>108</v>
      </c>
      <c r="E390" s="550" t="s">
        <v>857</v>
      </c>
      <c r="F390" s="595" t="s">
        <v>428</v>
      </c>
      <c r="G390" s="595"/>
      <c r="H390" s="595"/>
      <c r="I390" s="589" t="s">
        <v>920</v>
      </c>
      <c r="J390" s="589" t="s">
        <v>879</v>
      </c>
      <c r="K390" s="551"/>
      <c r="L390" s="552"/>
      <c r="M390" s="552"/>
      <c r="N390" s="551"/>
      <c r="O390" s="552"/>
      <c r="P390" s="552"/>
      <c r="Q390" s="552"/>
      <c r="R390" s="1035"/>
      <c r="S390" s="1138"/>
      <c r="T390" s="591"/>
      <c r="U390" s="1035"/>
      <c r="V390" s="591"/>
      <c r="W390" s="591"/>
      <c r="X390" s="591"/>
      <c r="Y390" s="591"/>
      <c r="Z390" s="591"/>
      <c r="AA390" s="1138"/>
      <c r="AB390" s="591"/>
      <c r="AC390" s="591"/>
      <c r="AD390" s="591"/>
      <c r="AE390" s="1035"/>
      <c r="AF390" s="591"/>
      <c r="AG390" s="591"/>
      <c r="AH390" s="591"/>
      <c r="AI390" s="591"/>
      <c r="AJ390" s="592"/>
      <c r="AK390" s="548"/>
      <c r="AM390" s="974"/>
      <c r="AO390" s="975" t="str">
        <f t="shared" si="598"/>
        <v>Price</v>
      </c>
      <c r="AP390" s="976" t="str">
        <f t="shared" si="598"/>
        <v>[Service]</v>
      </c>
      <c r="AQ390" s="977" t="str">
        <f t="shared" si="599"/>
        <v>[Price]</v>
      </c>
      <c r="AR390" s="1341" t="str">
        <f t="shared" si="600"/>
        <v>-</v>
      </c>
      <c r="AS390" s="978" t="str">
        <f t="shared" si="601"/>
        <v>-</v>
      </c>
      <c r="AT390" s="979" t="str">
        <f t="shared" si="602"/>
        <v>-</v>
      </c>
      <c r="AU390" s="979" t="str">
        <f t="shared" si="603"/>
        <v>-</v>
      </c>
      <c r="AV390" s="1352" t="str">
        <f t="shared" si="604"/>
        <v>-</v>
      </c>
      <c r="AW390" s="1345" t="str">
        <f t="shared" si="605"/>
        <v>-</v>
      </c>
      <c r="AX390" s="979" t="str">
        <f t="shared" si="606"/>
        <v>-</v>
      </c>
      <c r="AY390" s="979" t="str">
        <f t="shared" si="607"/>
        <v>-</v>
      </c>
      <c r="AZ390" s="979" t="str">
        <f t="shared" si="608"/>
        <v>-</v>
      </c>
      <c r="BA390" s="980" t="str">
        <f t="shared" si="609"/>
        <v>-</v>
      </c>
      <c r="BB390" s="1345" t="str">
        <f t="shared" si="610"/>
        <v>-</v>
      </c>
      <c r="BC390" s="979" t="str">
        <f t="shared" si="611"/>
        <v>-</v>
      </c>
      <c r="BD390" s="979" t="str">
        <f t="shared" si="612"/>
        <v>-</v>
      </c>
      <c r="BE390" s="979" t="str">
        <f t="shared" si="613"/>
        <v>-</v>
      </c>
      <c r="BF390" s="981" t="str">
        <f t="shared" si="614"/>
        <v>-</v>
      </c>
      <c r="BG390" s="951"/>
      <c r="BH390" s="975" t="str">
        <f t="shared" si="615"/>
        <v>Price</v>
      </c>
      <c r="BI390" s="976" t="str">
        <f t="shared" si="616"/>
        <v>[Service]</v>
      </c>
      <c r="BJ390" s="977" t="str">
        <f t="shared" si="617"/>
        <v>[Price]</v>
      </c>
      <c r="BK390" s="978" t="str">
        <f t="shared" ref="BK390:BU390" si="619">IF(V390="","-",IFERROR((V390/U390-1)*(U392/U$13),"-"))</f>
        <v>-</v>
      </c>
      <c r="BL390" s="978" t="str">
        <f t="shared" si="619"/>
        <v>-</v>
      </c>
      <c r="BM390" s="979" t="str">
        <f t="shared" si="619"/>
        <v>-</v>
      </c>
      <c r="BN390" s="979" t="str">
        <f t="shared" si="619"/>
        <v>-</v>
      </c>
      <c r="BO390" s="1352" t="str">
        <f t="shared" si="619"/>
        <v>-</v>
      </c>
      <c r="BP390" s="1345" t="str">
        <f t="shared" si="619"/>
        <v>-</v>
      </c>
      <c r="BQ390" s="979" t="str">
        <f t="shared" si="619"/>
        <v>-</v>
      </c>
      <c r="BR390" s="979" t="str">
        <f t="shared" si="619"/>
        <v>-</v>
      </c>
      <c r="BS390" s="979" t="str">
        <f t="shared" si="619"/>
        <v>-</v>
      </c>
      <c r="BT390" s="980" t="str">
        <f t="shared" si="619"/>
        <v>-</v>
      </c>
      <c r="BU390" s="979" t="str">
        <f t="shared" si="619"/>
        <v>-</v>
      </c>
      <c r="BV390" s="979" t="str">
        <f>IF(AG390="","-",IFERROR((AG390/AF390-1)*(AF392/AF$13),"-"))</f>
        <v>-</v>
      </c>
      <c r="BW390" s="979" t="str">
        <f>IF(AH390="","-",IFERROR((AH390/AG390-1)*(AG392/AG$13),"-"))</f>
        <v>-</v>
      </c>
      <c r="BX390" s="979" t="str">
        <f>IF(AI390="","-",IFERROR((AI390/AH390-1)*(AH392/AH$13),"-"))</f>
        <v>-</v>
      </c>
      <c r="BY390" s="981" t="str">
        <f>IF(AJ390="","-",IFERROR((AJ390/AI390-1)*(AI392/AI$13),"-"))</f>
        <v>-</v>
      </c>
      <c r="BZ390" s="951"/>
      <c r="CA390" s="975" t="str">
        <f t="shared" si="594"/>
        <v>Price</v>
      </c>
      <c r="CB390" s="976" t="str">
        <f t="shared" si="595"/>
        <v>[Service]</v>
      </c>
      <c r="CC390" s="982" t="str">
        <f t="shared" si="596"/>
        <v>[Price]</v>
      </c>
      <c r="CD390" s="983" t="str">
        <f t="shared" ref="CD390:CG443" si="620">IF(W390="","-",IFERROR((W390/$U390)^(1/CD$65)-1,"-"))</f>
        <v>-</v>
      </c>
      <c r="CE390" s="979" t="str">
        <f t="shared" si="620"/>
        <v>-</v>
      </c>
      <c r="CF390" s="979" t="str">
        <f t="shared" si="620"/>
        <v>-</v>
      </c>
      <c r="CG390" s="980" t="str">
        <f t="shared" si="620"/>
        <v>-</v>
      </c>
      <c r="CH390" s="979" t="str">
        <f t="shared" ref="CH390:CK443" si="621">IF(AB390="","-",IFERROR((AB390/$Z390)^(1/CH$65)-1,"-"))</f>
        <v>-</v>
      </c>
      <c r="CI390" s="979" t="str">
        <f t="shared" si="621"/>
        <v>-</v>
      </c>
      <c r="CJ390" s="979" t="str">
        <f t="shared" si="621"/>
        <v>-</v>
      </c>
      <c r="CK390" s="981" t="str">
        <f t="shared" si="621"/>
        <v>-</v>
      </c>
    </row>
    <row r="391" spans="4:89">
      <c r="E391" s="567" t="s">
        <v>880</v>
      </c>
      <c r="F391" s="554" t="str">
        <f>+F390</f>
        <v>[Service]</v>
      </c>
      <c r="G391" s="555">
        <f>+G390</f>
        <v>0</v>
      </c>
      <c r="H391" s="555">
        <f>+H390</f>
        <v>0</v>
      </c>
      <c r="I391" s="556" t="str">
        <f>+I390</f>
        <v>[Price]</v>
      </c>
      <c r="J391" s="590" t="s">
        <v>916</v>
      </c>
      <c r="K391" s="557"/>
      <c r="L391" s="558"/>
      <c r="M391" s="558"/>
      <c r="N391" s="557"/>
      <c r="O391" s="558"/>
      <c r="P391" s="558"/>
      <c r="Q391" s="558"/>
      <c r="R391" s="1036"/>
      <c r="S391" s="1139"/>
      <c r="T391" s="593"/>
      <c r="U391" s="1036"/>
      <c r="V391" s="593"/>
      <c r="W391" s="593"/>
      <c r="X391" s="593"/>
      <c r="Y391" s="593"/>
      <c r="Z391" s="593"/>
      <c r="AA391" s="1139"/>
      <c r="AB391" s="593"/>
      <c r="AC391" s="593"/>
      <c r="AD391" s="593"/>
      <c r="AE391" s="1036"/>
      <c r="AF391" s="593"/>
      <c r="AG391" s="593"/>
      <c r="AH391" s="593"/>
      <c r="AI391" s="593"/>
      <c r="AJ391" s="594"/>
      <c r="AK391" s="548"/>
      <c r="AO391" s="961" t="str">
        <f t="shared" si="598"/>
        <v>Qty</v>
      </c>
      <c r="AP391" s="962" t="str">
        <f t="shared" si="598"/>
        <v>[Service]</v>
      </c>
      <c r="AQ391" s="963" t="str">
        <f t="shared" si="599"/>
        <v>[Price]</v>
      </c>
      <c r="AR391" s="967" t="str">
        <f t="shared" si="600"/>
        <v>-</v>
      </c>
      <c r="AS391" s="964" t="str">
        <f t="shared" si="601"/>
        <v>-</v>
      </c>
      <c r="AT391" s="964" t="str">
        <f t="shared" si="602"/>
        <v>-</v>
      </c>
      <c r="AU391" s="964" t="str">
        <f t="shared" si="603"/>
        <v>-</v>
      </c>
      <c r="AV391" s="1350" t="str">
        <f t="shared" si="604"/>
        <v>-</v>
      </c>
      <c r="AW391" s="1343" t="str">
        <f t="shared" si="605"/>
        <v>-</v>
      </c>
      <c r="AX391" s="964" t="str">
        <f t="shared" si="606"/>
        <v>-</v>
      </c>
      <c r="AY391" s="964" t="str">
        <f t="shared" si="607"/>
        <v>-</v>
      </c>
      <c r="AZ391" s="964" t="str">
        <f t="shared" si="608"/>
        <v>-</v>
      </c>
      <c r="BA391" s="965" t="str">
        <f t="shared" si="609"/>
        <v>-</v>
      </c>
      <c r="BB391" s="1343" t="str">
        <f t="shared" si="610"/>
        <v>-</v>
      </c>
      <c r="BC391" s="964" t="str">
        <f t="shared" si="611"/>
        <v>-</v>
      </c>
      <c r="BD391" s="964" t="str">
        <f t="shared" si="612"/>
        <v>-</v>
      </c>
      <c r="BE391" s="964" t="str">
        <f t="shared" si="613"/>
        <v>-</v>
      </c>
      <c r="BF391" s="966" t="str">
        <f t="shared" si="614"/>
        <v>-</v>
      </c>
      <c r="BG391" s="951"/>
      <c r="BH391" s="961" t="str">
        <f t="shared" si="615"/>
        <v>Qty</v>
      </c>
      <c r="BI391" s="962" t="str">
        <f t="shared" si="616"/>
        <v>[Service]</v>
      </c>
      <c r="BJ391" s="963" t="str">
        <f t="shared" si="617"/>
        <v>[Price]</v>
      </c>
      <c r="BK391" s="964" t="str">
        <f t="shared" ref="BK391:BU391" si="622">IF(V391="","-",IFERROR((V391/U391-1)*(U392/U$13),"-"))</f>
        <v>-</v>
      </c>
      <c r="BL391" s="964" t="str">
        <f t="shared" si="622"/>
        <v>-</v>
      </c>
      <c r="BM391" s="964" t="str">
        <f t="shared" si="622"/>
        <v>-</v>
      </c>
      <c r="BN391" s="964" t="str">
        <f t="shared" si="622"/>
        <v>-</v>
      </c>
      <c r="BO391" s="1350" t="str">
        <f t="shared" si="622"/>
        <v>-</v>
      </c>
      <c r="BP391" s="1343" t="str">
        <f t="shared" si="622"/>
        <v>-</v>
      </c>
      <c r="BQ391" s="964" t="str">
        <f t="shared" si="622"/>
        <v>-</v>
      </c>
      <c r="BR391" s="964" t="str">
        <f t="shared" si="622"/>
        <v>-</v>
      </c>
      <c r="BS391" s="964" t="str">
        <f t="shared" si="622"/>
        <v>-</v>
      </c>
      <c r="BT391" s="965" t="str">
        <f t="shared" si="622"/>
        <v>-</v>
      </c>
      <c r="BU391" s="964" t="str">
        <f t="shared" si="622"/>
        <v>-</v>
      </c>
      <c r="BV391" s="964" t="str">
        <f>IF(AG391="","-",IFERROR((AG391/AF391-1)*(AF392/AF$13),"-"))</f>
        <v>-</v>
      </c>
      <c r="BW391" s="964" t="str">
        <f>IF(AH391="","-",IFERROR((AH391/AG391-1)*(AG392/AG$13),"-"))</f>
        <v>-</v>
      </c>
      <c r="BX391" s="964" t="str">
        <f>IF(AI391="","-",IFERROR((AI391/AH391-1)*(AH392/AH$13),"-"))</f>
        <v>-</v>
      </c>
      <c r="BY391" s="966" t="str">
        <f>IF(AJ391="","-",IFERROR((AJ391/AI391-1)*(AI392/AI$13),"-"))</f>
        <v>-</v>
      </c>
      <c r="BZ391" s="951"/>
      <c r="CA391" s="961" t="str">
        <f t="shared" si="594"/>
        <v>Qty</v>
      </c>
      <c r="CB391" s="962" t="str">
        <f t="shared" si="595"/>
        <v>[Service]</v>
      </c>
      <c r="CC391" s="962" t="str">
        <f t="shared" si="596"/>
        <v>[Price]</v>
      </c>
      <c r="CD391" s="967" t="str">
        <f t="shared" si="620"/>
        <v>-</v>
      </c>
      <c r="CE391" s="964" t="str">
        <f t="shared" si="620"/>
        <v>-</v>
      </c>
      <c r="CF391" s="964" t="str">
        <f t="shared" si="620"/>
        <v>-</v>
      </c>
      <c r="CG391" s="965" t="str">
        <f t="shared" si="620"/>
        <v>-</v>
      </c>
      <c r="CH391" s="964" t="str">
        <f t="shared" si="621"/>
        <v>-</v>
      </c>
      <c r="CI391" s="964" t="str">
        <f t="shared" si="621"/>
        <v>-</v>
      </c>
      <c r="CJ391" s="964" t="str">
        <f t="shared" si="621"/>
        <v>-</v>
      </c>
      <c r="CK391" s="966" t="str">
        <f t="shared" si="621"/>
        <v>-</v>
      </c>
    </row>
    <row r="392" spans="4:89" ht="12.75" thickBot="1">
      <c r="E392" s="568" t="s">
        <v>882</v>
      </c>
      <c r="F392" s="560" t="str">
        <f>+F390</f>
        <v>[Service]</v>
      </c>
      <c r="G392" s="561">
        <f>+G390</f>
        <v>0</v>
      </c>
      <c r="H392" s="561">
        <f>+H390</f>
        <v>0</v>
      </c>
      <c r="I392" s="562" t="str">
        <f>+I390</f>
        <v>[Price]</v>
      </c>
      <c r="J392" s="563" t="s">
        <v>883</v>
      </c>
      <c r="K392" s="564">
        <f t="shared" ref="K392:AJ392" si="623">K390*K391/10^6</f>
        <v>0</v>
      </c>
      <c r="L392" s="565">
        <f t="shared" si="623"/>
        <v>0</v>
      </c>
      <c r="M392" s="565">
        <f t="shared" si="623"/>
        <v>0</v>
      </c>
      <c r="N392" s="564">
        <f t="shared" si="623"/>
        <v>0</v>
      </c>
      <c r="O392" s="565">
        <f t="shared" si="623"/>
        <v>0</v>
      </c>
      <c r="P392" s="565">
        <f t="shared" si="623"/>
        <v>0</v>
      </c>
      <c r="Q392" s="565">
        <f t="shared" si="623"/>
        <v>0</v>
      </c>
      <c r="R392" s="566">
        <f t="shared" si="623"/>
        <v>0</v>
      </c>
      <c r="S392" s="564">
        <f t="shared" si="623"/>
        <v>0</v>
      </c>
      <c r="T392" s="565">
        <f t="shared" si="623"/>
        <v>0</v>
      </c>
      <c r="U392" s="566">
        <f t="shared" si="623"/>
        <v>0</v>
      </c>
      <c r="V392" s="565">
        <f t="shared" si="623"/>
        <v>0</v>
      </c>
      <c r="W392" s="565">
        <f t="shared" si="623"/>
        <v>0</v>
      </c>
      <c r="X392" s="565">
        <f t="shared" si="623"/>
        <v>0</v>
      </c>
      <c r="Y392" s="565">
        <f t="shared" si="623"/>
        <v>0</v>
      </c>
      <c r="Z392" s="565">
        <f t="shared" si="623"/>
        <v>0</v>
      </c>
      <c r="AA392" s="564">
        <f t="shared" si="623"/>
        <v>0</v>
      </c>
      <c r="AB392" s="565">
        <f t="shared" si="623"/>
        <v>0</v>
      </c>
      <c r="AC392" s="565">
        <f t="shared" si="623"/>
        <v>0</v>
      </c>
      <c r="AD392" s="565">
        <f t="shared" si="623"/>
        <v>0</v>
      </c>
      <c r="AE392" s="566">
        <f t="shared" si="623"/>
        <v>0</v>
      </c>
      <c r="AF392" s="565">
        <f t="shared" si="623"/>
        <v>0</v>
      </c>
      <c r="AG392" s="565">
        <f>AG390*AG391/10^6</f>
        <v>0</v>
      </c>
      <c r="AH392" s="565">
        <f>AH390*AH391/10^6</f>
        <v>0</v>
      </c>
      <c r="AI392" s="565">
        <f>AI390*AI391/10^6</f>
        <v>0</v>
      </c>
      <c r="AJ392" s="566">
        <f t="shared" si="623"/>
        <v>0</v>
      </c>
      <c r="AK392" s="548"/>
      <c r="AO392" s="984" t="str">
        <f t="shared" si="598"/>
        <v>Rev</v>
      </c>
      <c r="AP392" s="985" t="str">
        <f t="shared" si="598"/>
        <v>[Service]</v>
      </c>
      <c r="AQ392" s="986" t="str">
        <f t="shared" si="599"/>
        <v>[Price]</v>
      </c>
      <c r="AR392" s="990" t="str">
        <f t="shared" si="600"/>
        <v>-</v>
      </c>
      <c r="AS392" s="987" t="str">
        <f t="shared" si="601"/>
        <v>-</v>
      </c>
      <c r="AT392" s="987" t="str">
        <f t="shared" si="602"/>
        <v>-</v>
      </c>
      <c r="AU392" s="987" t="str">
        <f t="shared" si="603"/>
        <v>-</v>
      </c>
      <c r="AV392" s="1353" t="str">
        <f t="shared" si="604"/>
        <v>-</v>
      </c>
      <c r="AW392" s="1346" t="str">
        <f t="shared" si="605"/>
        <v>-</v>
      </c>
      <c r="AX392" s="987" t="str">
        <f t="shared" si="606"/>
        <v>-</v>
      </c>
      <c r="AY392" s="987" t="str">
        <f t="shared" si="607"/>
        <v>-</v>
      </c>
      <c r="AZ392" s="987" t="str">
        <f t="shared" si="608"/>
        <v>-</v>
      </c>
      <c r="BA392" s="988" t="str">
        <f t="shared" si="609"/>
        <v>-</v>
      </c>
      <c r="BB392" s="1346" t="str">
        <f t="shared" si="610"/>
        <v>-</v>
      </c>
      <c r="BC392" s="987" t="str">
        <f t="shared" si="611"/>
        <v>-</v>
      </c>
      <c r="BD392" s="987" t="str">
        <f t="shared" si="612"/>
        <v>-</v>
      </c>
      <c r="BE392" s="987" t="str">
        <f t="shared" si="613"/>
        <v>-</v>
      </c>
      <c r="BF392" s="989" t="str">
        <f t="shared" si="614"/>
        <v>-</v>
      </c>
      <c r="BG392" s="951"/>
      <c r="BH392" s="984" t="str">
        <f t="shared" si="615"/>
        <v>Rev</v>
      </c>
      <c r="BI392" s="985" t="str">
        <f t="shared" si="616"/>
        <v>[Service]</v>
      </c>
      <c r="BJ392" s="986" t="str">
        <f t="shared" si="617"/>
        <v>[Price]</v>
      </c>
      <c r="BK392" s="987" t="str">
        <f t="shared" ref="BK392:BU392" si="624">IF(V392="","-",IFERROR((V392/U392-1)*(U392/U$13),"-"))</f>
        <v>-</v>
      </c>
      <c r="BL392" s="987" t="str">
        <f t="shared" si="624"/>
        <v>-</v>
      </c>
      <c r="BM392" s="987" t="str">
        <f t="shared" si="624"/>
        <v>-</v>
      </c>
      <c r="BN392" s="987" t="str">
        <f t="shared" si="624"/>
        <v>-</v>
      </c>
      <c r="BO392" s="1353" t="str">
        <f t="shared" si="624"/>
        <v>-</v>
      </c>
      <c r="BP392" s="1346" t="str">
        <f t="shared" si="624"/>
        <v>-</v>
      </c>
      <c r="BQ392" s="987" t="str">
        <f t="shared" si="624"/>
        <v>-</v>
      </c>
      <c r="BR392" s="987" t="str">
        <f t="shared" si="624"/>
        <v>-</v>
      </c>
      <c r="BS392" s="987" t="str">
        <f t="shared" si="624"/>
        <v>-</v>
      </c>
      <c r="BT392" s="988" t="str">
        <f t="shared" si="624"/>
        <v>-</v>
      </c>
      <c r="BU392" s="987" t="str">
        <f t="shared" si="624"/>
        <v>-</v>
      </c>
      <c r="BV392" s="987" t="str">
        <f>IF(AG392="","-",IFERROR((AG392/AF392-1)*(AF392/AF$13),"-"))</f>
        <v>-</v>
      </c>
      <c r="BW392" s="987" t="str">
        <f>IF(AH392="","-",IFERROR((AH392/AG392-1)*(AG392/AG$13),"-"))</f>
        <v>-</v>
      </c>
      <c r="BX392" s="987" t="str">
        <f>IF(AI392="","-",IFERROR((AI392/AH392-1)*(AH392/AH$13),"-"))</f>
        <v>-</v>
      </c>
      <c r="BY392" s="989" t="str">
        <f>IF(AJ392="","-",IFERROR((AJ392/AI392-1)*(AI392/AI$13),"-"))</f>
        <v>-</v>
      </c>
      <c r="BZ392" s="951"/>
      <c r="CA392" s="984" t="str">
        <f t="shared" si="594"/>
        <v>Rev</v>
      </c>
      <c r="CB392" s="985" t="str">
        <f t="shared" si="595"/>
        <v>[Service]</v>
      </c>
      <c r="CC392" s="985" t="str">
        <f t="shared" si="596"/>
        <v>[Price]</v>
      </c>
      <c r="CD392" s="990" t="str">
        <f t="shared" si="620"/>
        <v>-</v>
      </c>
      <c r="CE392" s="987" t="str">
        <f t="shared" si="620"/>
        <v>-</v>
      </c>
      <c r="CF392" s="987" t="str">
        <f t="shared" si="620"/>
        <v>-</v>
      </c>
      <c r="CG392" s="988" t="str">
        <f t="shared" si="620"/>
        <v>-</v>
      </c>
      <c r="CH392" s="987" t="str">
        <f t="shared" si="621"/>
        <v>-</v>
      </c>
      <c r="CI392" s="987" t="str">
        <f t="shared" si="621"/>
        <v>-</v>
      </c>
      <c r="CJ392" s="987" t="str">
        <f t="shared" si="621"/>
        <v>-</v>
      </c>
      <c r="CK392" s="989" t="str">
        <f t="shared" si="621"/>
        <v>-</v>
      </c>
    </row>
    <row r="393" spans="4:89">
      <c r="D393" s="63">
        <f>D390+1</f>
        <v>109</v>
      </c>
      <c r="E393" s="550" t="s">
        <v>857</v>
      </c>
      <c r="F393" s="595" t="s">
        <v>428</v>
      </c>
      <c r="G393" s="595"/>
      <c r="H393" s="595"/>
      <c r="I393" s="589" t="s">
        <v>920</v>
      </c>
      <c r="J393" s="589" t="s">
        <v>879</v>
      </c>
      <c r="K393" s="551"/>
      <c r="L393" s="552"/>
      <c r="M393" s="552"/>
      <c r="N393" s="551"/>
      <c r="O393" s="552"/>
      <c r="P393" s="552"/>
      <c r="Q393" s="552"/>
      <c r="R393" s="1035"/>
      <c r="S393" s="1138"/>
      <c r="T393" s="591"/>
      <c r="U393" s="1035"/>
      <c r="V393" s="591"/>
      <c r="W393" s="591"/>
      <c r="X393" s="591"/>
      <c r="Y393" s="591"/>
      <c r="Z393" s="591"/>
      <c r="AA393" s="1138"/>
      <c r="AB393" s="591"/>
      <c r="AC393" s="591"/>
      <c r="AD393" s="591"/>
      <c r="AE393" s="1035"/>
      <c r="AF393" s="591"/>
      <c r="AG393" s="591"/>
      <c r="AH393" s="591"/>
      <c r="AI393" s="591"/>
      <c r="AJ393" s="592"/>
      <c r="AK393" s="548"/>
      <c r="AM393" s="974"/>
      <c r="AO393" s="975" t="str">
        <f t="shared" si="598"/>
        <v>Price</v>
      </c>
      <c r="AP393" s="976" t="str">
        <f t="shared" si="598"/>
        <v>[Service]</v>
      </c>
      <c r="AQ393" s="977" t="str">
        <f t="shared" si="599"/>
        <v>[Price]</v>
      </c>
      <c r="AR393" s="1341" t="str">
        <f t="shared" si="600"/>
        <v>-</v>
      </c>
      <c r="AS393" s="978" t="str">
        <f t="shared" si="601"/>
        <v>-</v>
      </c>
      <c r="AT393" s="979" t="str">
        <f t="shared" si="602"/>
        <v>-</v>
      </c>
      <c r="AU393" s="979" t="str">
        <f t="shared" si="603"/>
        <v>-</v>
      </c>
      <c r="AV393" s="1352" t="str">
        <f t="shared" si="604"/>
        <v>-</v>
      </c>
      <c r="AW393" s="1345" t="str">
        <f t="shared" si="605"/>
        <v>-</v>
      </c>
      <c r="AX393" s="979" t="str">
        <f t="shared" si="606"/>
        <v>-</v>
      </c>
      <c r="AY393" s="979" t="str">
        <f t="shared" si="607"/>
        <v>-</v>
      </c>
      <c r="AZ393" s="979" t="str">
        <f t="shared" si="608"/>
        <v>-</v>
      </c>
      <c r="BA393" s="980" t="str">
        <f t="shared" si="609"/>
        <v>-</v>
      </c>
      <c r="BB393" s="1345" t="str">
        <f t="shared" si="610"/>
        <v>-</v>
      </c>
      <c r="BC393" s="979" t="str">
        <f t="shared" si="611"/>
        <v>-</v>
      </c>
      <c r="BD393" s="979" t="str">
        <f t="shared" si="612"/>
        <v>-</v>
      </c>
      <c r="BE393" s="979" t="str">
        <f t="shared" si="613"/>
        <v>-</v>
      </c>
      <c r="BF393" s="981" t="str">
        <f t="shared" si="614"/>
        <v>-</v>
      </c>
      <c r="BG393" s="951"/>
      <c r="BH393" s="975" t="str">
        <f t="shared" si="615"/>
        <v>Price</v>
      </c>
      <c r="BI393" s="976" t="str">
        <f t="shared" si="616"/>
        <v>[Service]</v>
      </c>
      <c r="BJ393" s="977" t="str">
        <f t="shared" si="617"/>
        <v>[Price]</v>
      </c>
      <c r="BK393" s="978" t="str">
        <f t="shared" ref="BK393:BU393" si="625">IF(V393="","-",IFERROR((V393/U393-1)*(U395/U$13),"-"))</f>
        <v>-</v>
      </c>
      <c r="BL393" s="978" t="str">
        <f t="shared" si="625"/>
        <v>-</v>
      </c>
      <c r="BM393" s="979" t="str">
        <f t="shared" si="625"/>
        <v>-</v>
      </c>
      <c r="BN393" s="979" t="str">
        <f t="shared" si="625"/>
        <v>-</v>
      </c>
      <c r="BO393" s="1352" t="str">
        <f t="shared" si="625"/>
        <v>-</v>
      </c>
      <c r="BP393" s="1345" t="str">
        <f t="shared" si="625"/>
        <v>-</v>
      </c>
      <c r="BQ393" s="979" t="str">
        <f t="shared" si="625"/>
        <v>-</v>
      </c>
      <c r="BR393" s="979" t="str">
        <f t="shared" si="625"/>
        <v>-</v>
      </c>
      <c r="BS393" s="979" t="str">
        <f t="shared" si="625"/>
        <v>-</v>
      </c>
      <c r="BT393" s="980" t="str">
        <f t="shared" si="625"/>
        <v>-</v>
      </c>
      <c r="BU393" s="979" t="str">
        <f t="shared" si="625"/>
        <v>-</v>
      </c>
      <c r="BV393" s="979" t="str">
        <f>IF(AG393="","-",IFERROR((AG393/AF393-1)*(AF395/AF$13),"-"))</f>
        <v>-</v>
      </c>
      <c r="BW393" s="979" t="str">
        <f>IF(AH393="","-",IFERROR((AH393/AG393-1)*(AG395/AG$13),"-"))</f>
        <v>-</v>
      </c>
      <c r="BX393" s="979" t="str">
        <f>IF(AI393="","-",IFERROR((AI393/AH393-1)*(AH395/AH$13),"-"))</f>
        <v>-</v>
      </c>
      <c r="BY393" s="981" t="str">
        <f>IF(AJ393="","-",IFERROR((AJ393/AI393-1)*(AI395/AI$13),"-"))</f>
        <v>-</v>
      </c>
      <c r="BZ393" s="951"/>
      <c r="CA393" s="975" t="str">
        <f t="shared" si="594"/>
        <v>Price</v>
      </c>
      <c r="CB393" s="976" t="str">
        <f t="shared" si="595"/>
        <v>[Service]</v>
      </c>
      <c r="CC393" s="982" t="str">
        <f t="shared" si="596"/>
        <v>[Price]</v>
      </c>
      <c r="CD393" s="983" t="str">
        <f t="shared" si="620"/>
        <v>-</v>
      </c>
      <c r="CE393" s="979" t="str">
        <f t="shared" si="620"/>
        <v>-</v>
      </c>
      <c r="CF393" s="979" t="str">
        <f t="shared" si="620"/>
        <v>-</v>
      </c>
      <c r="CG393" s="980" t="str">
        <f t="shared" si="620"/>
        <v>-</v>
      </c>
      <c r="CH393" s="979" t="str">
        <f t="shared" si="621"/>
        <v>-</v>
      </c>
      <c r="CI393" s="979" t="str">
        <f t="shared" si="621"/>
        <v>-</v>
      </c>
      <c r="CJ393" s="979" t="str">
        <f t="shared" si="621"/>
        <v>-</v>
      </c>
      <c r="CK393" s="981" t="str">
        <f t="shared" si="621"/>
        <v>-</v>
      </c>
    </row>
    <row r="394" spans="4:89">
      <c r="E394" s="567" t="s">
        <v>880</v>
      </c>
      <c r="F394" s="554" t="str">
        <f>+F393</f>
        <v>[Service]</v>
      </c>
      <c r="G394" s="555">
        <f>+G393</f>
        <v>0</v>
      </c>
      <c r="H394" s="555">
        <f>+H393</f>
        <v>0</v>
      </c>
      <c r="I394" s="556" t="str">
        <f>+I393</f>
        <v>[Price]</v>
      </c>
      <c r="J394" s="590" t="s">
        <v>916</v>
      </c>
      <c r="K394" s="557"/>
      <c r="L394" s="558"/>
      <c r="M394" s="558"/>
      <c r="N394" s="557"/>
      <c r="O394" s="558"/>
      <c r="P394" s="558"/>
      <c r="Q394" s="558"/>
      <c r="R394" s="1036"/>
      <c r="S394" s="1139"/>
      <c r="T394" s="593"/>
      <c r="U394" s="1036"/>
      <c r="V394" s="593"/>
      <c r="W394" s="593"/>
      <c r="X394" s="593"/>
      <c r="Y394" s="593"/>
      <c r="Z394" s="593"/>
      <c r="AA394" s="1139"/>
      <c r="AB394" s="593"/>
      <c r="AC394" s="593"/>
      <c r="AD394" s="593"/>
      <c r="AE394" s="1036"/>
      <c r="AF394" s="593"/>
      <c r="AG394" s="593"/>
      <c r="AH394" s="593"/>
      <c r="AI394" s="593"/>
      <c r="AJ394" s="594"/>
      <c r="AK394" s="548"/>
      <c r="AO394" s="961" t="str">
        <f t="shared" si="598"/>
        <v>Qty</v>
      </c>
      <c r="AP394" s="962" t="str">
        <f t="shared" si="598"/>
        <v>[Service]</v>
      </c>
      <c r="AQ394" s="963" t="str">
        <f t="shared" si="599"/>
        <v>[Price]</v>
      </c>
      <c r="AR394" s="967" t="str">
        <f t="shared" si="600"/>
        <v>-</v>
      </c>
      <c r="AS394" s="964" t="str">
        <f t="shared" si="601"/>
        <v>-</v>
      </c>
      <c r="AT394" s="964" t="str">
        <f t="shared" si="602"/>
        <v>-</v>
      </c>
      <c r="AU394" s="964" t="str">
        <f t="shared" si="603"/>
        <v>-</v>
      </c>
      <c r="AV394" s="1350" t="str">
        <f t="shared" si="604"/>
        <v>-</v>
      </c>
      <c r="AW394" s="1343" t="str">
        <f t="shared" si="605"/>
        <v>-</v>
      </c>
      <c r="AX394" s="964" t="str">
        <f t="shared" si="606"/>
        <v>-</v>
      </c>
      <c r="AY394" s="964" t="str">
        <f t="shared" si="607"/>
        <v>-</v>
      </c>
      <c r="AZ394" s="964" t="str">
        <f t="shared" si="608"/>
        <v>-</v>
      </c>
      <c r="BA394" s="965" t="str">
        <f t="shared" si="609"/>
        <v>-</v>
      </c>
      <c r="BB394" s="1343" t="str">
        <f t="shared" si="610"/>
        <v>-</v>
      </c>
      <c r="BC394" s="964" t="str">
        <f t="shared" si="611"/>
        <v>-</v>
      </c>
      <c r="BD394" s="964" t="str">
        <f t="shared" si="612"/>
        <v>-</v>
      </c>
      <c r="BE394" s="964" t="str">
        <f t="shared" si="613"/>
        <v>-</v>
      </c>
      <c r="BF394" s="966" t="str">
        <f t="shared" si="614"/>
        <v>-</v>
      </c>
      <c r="BG394" s="951"/>
      <c r="BH394" s="961" t="str">
        <f t="shared" si="615"/>
        <v>Qty</v>
      </c>
      <c r="BI394" s="962" t="str">
        <f t="shared" si="616"/>
        <v>[Service]</v>
      </c>
      <c r="BJ394" s="963" t="str">
        <f t="shared" si="617"/>
        <v>[Price]</v>
      </c>
      <c r="BK394" s="964" t="str">
        <f t="shared" ref="BK394:BU394" si="626">IF(V394="","-",IFERROR((V394/U394-1)*(U395/U$13),"-"))</f>
        <v>-</v>
      </c>
      <c r="BL394" s="964" t="str">
        <f t="shared" si="626"/>
        <v>-</v>
      </c>
      <c r="BM394" s="964" t="str">
        <f t="shared" si="626"/>
        <v>-</v>
      </c>
      <c r="BN394" s="964" t="str">
        <f t="shared" si="626"/>
        <v>-</v>
      </c>
      <c r="BO394" s="1350" t="str">
        <f t="shared" si="626"/>
        <v>-</v>
      </c>
      <c r="BP394" s="1343" t="str">
        <f t="shared" si="626"/>
        <v>-</v>
      </c>
      <c r="BQ394" s="964" t="str">
        <f t="shared" si="626"/>
        <v>-</v>
      </c>
      <c r="BR394" s="964" t="str">
        <f t="shared" si="626"/>
        <v>-</v>
      </c>
      <c r="BS394" s="964" t="str">
        <f t="shared" si="626"/>
        <v>-</v>
      </c>
      <c r="BT394" s="965" t="str">
        <f t="shared" si="626"/>
        <v>-</v>
      </c>
      <c r="BU394" s="964" t="str">
        <f t="shared" si="626"/>
        <v>-</v>
      </c>
      <c r="BV394" s="964" t="str">
        <f>IF(AG394="","-",IFERROR((AG394/AF394-1)*(AF395/AF$13),"-"))</f>
        <v>-</v>
      </c>
      <c r="BW394" s="964" t="str">
        <f>IF(AH394="","-",IFERROR((AH394/AG394-1)*(AG395/AG$13),"-"))</f>
        <v>-</v>
      </c>
      <c r="BX394" s="964" t="str">
        <f>IF(AI394="","-",IFERROR((AI394/AH394-1)*(AH395/AH$13),"-"))</f>
        <v>-</v>
      </c>
      <c r="BY394" s="966" t="str">
        <f>IF(AJ394="","-",IFERROR((AJ394/AI394-1)*(AI395/AI$13),"-"))</f>
        <v>-</v>
      </c>
      <c r="BZ394" s="951"/>
      <c r="CA394" s="961" t="str">
        <f t="shared" si="594"/>
        <v>Qty</v>
      </c>
      <c r="CB394" s="962" t="str">
        <f t="shared" si="595"/>
        <v>[Service]</v>
      </c>
      <c r="CC394" s="962" t="str">
        <f t="shared" si="596"/>
        <v>[Price]</v>
      </c>
      <c r="CD394" s="967" t="str">
        <f t="shared" si="620"/>
        <v>-</v>
      </c>
      <c r="CE394" s="964" t="str">
        <f t="shared" si="620"/>
        <v>-</v>
      </c>
      <c r="CF394" s="964" t="str">
        <f t="shared" si="620"/>
        <v>-</v>
      </c>
      <c r="CG394" s="965" t="str">
        <f t="shared" si="620"/>
        <v>-</v>
      </c>
      <c r="CH394" s="964" t="str">
        <f t="shared" si="621"/>
        <v>-</v>
      </c>
      <c r="CI394" s="964" t="str">
        <f t="shared" si="621"/>
        <v>-</v>
      </c>
      <c r="CJ394" s="964" t="str">
        <f t="shared" si="621"/>
        <v>-</v>
      </c>
      <c r="CK394" s="966" t="str">
        <f t="shared" si="621"/>
        <v>-</v>
      </c>
    </row>
    <row r="395" spans="4:89" ht="12.75" thickBot="1">
      <c r="E395" s="568" t="s">
        <v>882</v>
      </c>
      <c r="F395" s="560" t="str">
        <f>+F393</f>
        <v>[Service]</v>
      </c>
      <c r="G395" s="561">
        <f>+G393</f>
        <v>0</v>
      </c>
      <c r="H395" s="561">
        <f>+H393</f>
        <v>0</v>
      </c>
      <c r="I395" s="562" t="str">
        <f>+I393</f>
        <v>[Price]</v>
      </c>
      <c r="J395" s="563" t="s">
        <v>883</v>
      </c>
      <c r="K395" s="564">
        <f t="shared" ref="K395:AJ395" si="627">K393*K394/10^6</f>
        <v>0</v>
      </c>
      <c r="L395" s="565">
        <f t="shared" si="627"/>
        <v>0</v>
      </c>
      <c r="M395" s="565">
        <f t="shared" si="627"/>
        <v>0</v>
      </c>
      <c r="N395" s="564">
        <f t="shared" si="627"/>
        <v>0</v>
      </c>
      <c r="O395" s="565">
        <f t="shared" si="627"/>
        <v>0</v>
      </c>
      <c r="P395" s="565">
        <f t="shared" si="627"/>
        <v>0</v>
      </c>
      <c r="Q395" s="565">
        <f t="shared" si="627"/>
        <v>0</v>
      </c>
      <c r="R395" s="566">
        <f t="shared" si="627"/>
        <v>0</v>
      </c>
      <c r="S395" s="564">
        <f t="shared" si="627"/>
        <v>0</v>
      </c>
      <c r="T395" s="565">
        <f t="shared" si="627"/>
        <v>0</v>
      </c>
      <c r="U395" s="566">
        <f t="shared" si="627"/>
        <v>0</v>
      </c>
      <c r="V395" s="565">
        <f t="shared" si="627"/>
        <v>0</v>
      </c>
      <c r="W395" s="565">
        <f t="shared" si="627"/>
        <v>0</v>
      </c>
      <c r="X395" s="565">
        <f t="shared" si="627"/>
        <v>0</v>
      </c>
      <c r="Y395" s="565">
        <f t="shared" si="627"/>
        <v>0</v>
      </c>
      <c r="Z395" s="565">
        <f t="shared" si="627"/>
        <v>0</v>
      </c>
      <c r="AA395" s="564">
        <f t="shared" si="627"/>
        <v>0</v>
      </c>
      <c r="AB395" s="565">
        <f t="shared" si="627"/>
        <v>0</v>
      </c>
      <c r="AC395" s="565">
        <f t="shared" si="627"/>
        <v>0</v>
      </c>
      <c r="AD395" s="565">
        <f t="shared" si="627"/>
        <v>0</v>
      </c>
      <c r="AE395" s="566">
        <f t="shared" si="627"/>
        <v>0</v>
      </c>
      <c r="AF395" s="565">
        <f t="shared" si="627"/>
        <v>0</v>
      </c>
      <c r="AG395" s="565">
        <f>AG393*AG394/10^6</f>
        <v>0</v>
      </c>
      <c r="AH395" s="565">
        <f>AH393*AH394/10^6</f>
        <v>0</v>
      </c>
      <c r="AI395" s="565">
        <f>AI393*AI394/10^6</f>
        <v>0</v>
      </c>
      <c r="AJ395" s="566">
        <f t="shared" si="627"/>
        <v>0</v>
      </c>
      <c r="AK395" s="548"/>
      <c r="AO395" s="984" t="str">
        <f t="shared" si="598"/>
        <v>Rev</v>
      </c>
      <c r="AP395" s="985" t="str">
        <f t="shared" si="598"/>
        <v>[Service]</v>
      </c>
      <c r="AQ395" s="986" t="str">
        <f t="shared" si="599"/>
        <v>[Price]</v>
      </c>
      <c r="AR395" s="990" t="str">
        <f t="shared" si="600"/>
        <v>-</v>
      </c>
      <c r="AS395" s="987" t="str">
        <f t="shared" si="601"/>
        <v>-</v>
      </c>
      <c r="AT395" s="987" t="str">
        <f t="shared" si="602"/>
        <v>-</v>
      </c>
      <c r="AU395" s="987" t="str">
        <f t="shared" si="603"/>
        <v>-</v>
      </c>
      <c r="AV395" s="1353" t="str">
        <f t="shared" si="604"/>
        <v>-</v>
      </c>
      <c r="AW395" s="1346" t="str">
        <f t="shared" si="605"/>
        <v>-</v>
      </c>
      <c r="AX395" s="987" t="str">
        <f t="shared" si="606"/>
        <v>-</v>
      </c>
      <c r="AY395" s="987" t="str">
        <f t="shared" si="607"/>
        <v>-</v>
      </c>
      <c r="AZ395" s="987" t="str">
        <f t="shared" si="608"/>
        <v>-</v>
      </c>
      <c r="BA395" s="988" t="str">
        <f t="shared" si="609"/>
        <v>-</v>
      </c>
      <c r="BB395" s="1346" t="str">
        <f t="shared" si="610"/>
        <v>-</v>
      </c>
      <c r="BC395" s="987" t="str">
        <f t="shared" si="611"/>
        <v>-</v>
      </c>
      <c r="BD395" s="987" t="str">
        <f t="shared" si="612"/>
        <v>-</v>
      </c>
      <c r="BE395" s="987" t="str">
        <f t="shared" si="613"/>
        <v>-</v>
      </c>
      <c r="BF395" s="989" t="str">
        <f t="shared" si="614"/>
        <v>-</v>
      </c>
      <c r="BG395" s="951"/>
      <c r="BH395" s="984" t="str">
        <f t="shared" si="615"/>
        <v>Rev</v>
      </c>
      <c r="BI395" s="985" t="str">
        <f t="shared" si="616"/>
        <v>[Service]</v>
      </c>
      <c r="BJ395" s="986" t="str">
        <f t="shared" si="617"/>
        <v>[Price]</v>
      </c>
      <c r="BK395" s="987" t="str">
        <f t="shared" ref="BK395:BU395" si="628">IF(V395="","-",IFERROR((V395/U395-1)*(U395/U$13),"-"))</f>
        <v>-</v>
      </c>
      <c r="BL395" s="987" t="str">
        <f t="shared" si="628"/>
        <v>-</v>
      </c>
      <c r="BM395" s="987" t="str">
        <f t="shared" si="628"/>
        <v>-</v>
      </c>
      <c r="BN395" s="987" t="str">
        <f t="shared" si="628"/>
        <v>-</v>
      </c>
      <c r="BO395" s="1353" t="str">
        <f t="shared" si="628"/>
        <v>-</v>
      </c>
      <c r="BP395" s="1346" t="str">
        <f t="shared" si="628"/>
        <v>-</v>
      </c>
      <c r="BQ395" s="987" t="str">
        <f t="shared" si="628"/>
        <v>-</v>
      </c>
      <c r="BR395" s="987" t="str">
        <f t="shared" si="628"/>
        <v>-</v>
      </c>
      <c r="BS395" s="987" t="str">
        <f t="shared" si="628"/>
        <v>-</v>
      </c>
      <c r="BT395" s="988" t="str">
        <f t="shared" si="628"/>
        <v>-</v>
      </c>
      <c r="BU395" s="987" t="str">
        <f t="shared" si="628"/>
        <v>-</v>
      </c>
      <c r="BV395" s="987" t="str">
        <f>IF(AG395="","-",IFERROR((AG395/AF395-1)*(AF395/AF$13),"-"))</f>
        <v>-</v>
      </c>
      <c r="BW395" s="987" t="str">
        <f>IF(AH395="","-",IFERROR((AH395/AG395-1)*(AG395/AG$13),"-"))</f>
        <v>-</v>
      </c>
      <c r="BX395" s="987" t="str">
        <f>IF(AI395="","-",IFERROR((AI395/AH395-1)*(AH395/AH$13),"-"))</f>
        <v>-</v>
      </c>
      <c r="BY395" s="989" t="str">
        <f>IF(AJ395="","-",IFERROR((AJ395/AI395-1)*(AI395/AI$13),"-"))</f>
        <v>-</v>
      </c>
      <c r="BZ395" s="951"/>
      <c r="CA395" s="984" t="str">
        <f t="shared" si="594"/>
        <v>Rev</v>
      </c>
      <c r="CB395" s="985" t="str">
        <f t="shared" si="595"/>
        <v>[Service]</v>
      </c>
      <c r="CC395" s="985" t="str">
        <f t="shared" si="596"/>
        <v>[Price]</v>
      </c>
      <c r="CD395" s="990" t="str">
        <f t="shared" si="620"/>
        <v>-</v>
      </c>
      <c r="CE395" s="987" t="str">
        <f t="shared" si="620"/>
        <v>-</v>
      </c>
      <c r="CF395" s="987" t="str">
        <f t="shared" si="620"/>
        <v>-</v>
      </c>
      <c r="CG395" s="988" t="str">
        <f t="shared" si="620"/>
        <v>-</v>
      </c>
      <c r="CH395" s="987" t="str">
        <f t="shared" si="621"/>
        <v>-</v>
      </c>
      <c r="CI395" s="987" t="str">
        <f t="shared" si="621"/>
        <v>-</v>
      </c>
      <c r="CJ395" s="987" t="str">
        <f t="shared" si="621"/>
        <v>-</v>
      </c>
      <c r="CK395" s="989" t="str">
        <f t="shared" si="621"/>
        <v>-</v>
      </c>
    </row>
    <row r="396" spans="4:89">
      <c r="D396" s="63">
        <f>D393+1</f>
        <v>110</v>
      </c>
      <c r="E396" s="550" t="s">
        <v>857</v>
      </c>
      <c r="F396" s="595" t="s">
        <v>428</v>
      </c>
      <c r="G396" s="595"/>
      <c r="H396" s="595"/>
      <c r="I396" s="589" t="s">
        <v>920</v>
      </c>
      <c r="J396" s="589" t="s">
        <v>879</v>
      </c>
      <c r="K396" s="551"/>
      <c r="L396" s="552"/>
      <c r="M396" s="552"/>
      <c r="N396" s="551"/>
      <c r="O396" s="552"/>
      <c r="P396" s="552"/>
      <c r="Q396" s="552"/>
      <c r="R396" s="1035"/>
      <c r="S396" s="1138"/>
      <c r="T396" s="591"/>
      <c r="U396" s="1035"/>
      <c r="V396" s="591"/>
      <c r="W396" s="591"/>
      <c r="X396" s="591"/>
      <c r="Y396" s="591"/>
      <c r="Z396" s="591"/>
      <c r="AA396" s="1138"/>
      <c r="AB396" s="591"/>
      <c r="AC396" s="591"/>
      <c r="AD396" s="591"/>
      <c r="AE396" s="1035"/>
      <c r="AF396" s="591"/>
      <c r="AG396" s="591"/>
      <c r="AH396" s="591"/>
      <c r="AI396" s="591"/>
      <c r="AJ396" s="592"/>
      <c r="AK396" s="548"/>
      <c r="AM396" s="974"/>
      <c r="AO396" s="975" t="str">
        <f t="shared" si="598"/>
        <v>Price</v>
      </c>
      <c r="AP396" s="976" t="str">
        <f t="shared" si="598"/>
        <v>[Service]</v>
      </c>
      <c r="AQ396" s="977" t="str">
        <f t="shared" si="599"/>
        <v>[Price]</v>
      </c>
      <c r="AR396" s="1341" t="str">
        <f t="shared" si="600"/>
        <v>-</v>
      </c>
      <c r="AS396" s="978" t="str">
        <f t="shared" si="601"/>
        <v>-</v>
      </c>
      <c r="AT396" s="979" t="str">
        <f t="shared" si="602"/>
        <v>-</v>
      </c>
      <c r="AU396" s="979" t="str">
        <f t="shared" si="603"/>
        <v>-</v>
      </c>
      <c r="AV396" s="1352" t="str">
        <f t="shared" si="604"/>
        <v>-</v>
      </c>
      <c r="AW396" s="1345" t="str">
        <f t="shared" si="605"/>
        <v>-</v>
      </c>
      <c r="AX396" s="979" t="str">
        <f t="shared" si="606"/>
        <v>-</v>
      </c>
      <c r="AY396" s="979" t="str">
        <f t="shared" si="607"/>
        <v>-</v>
      </c>
      <c r="AZ396" s="979" t="str">
        <f t="shared" si="608"/>
        <v>-</v>
      </c>
      <c r="BA396" s="980" t="str">
        <f t="shared" si="609"/>
        <v>-</v>
      </c>
      <c r="BB396" s="1345" t="str">
        <f t="shared" si="610"/>
        <v>-</v>
      </c>
      <c r="BC396" s="979" t="str">
        <f t="shared" si="611"/>
        <v>-</v>
      </c>
      <c r="BD396" s="979" t="str">
        <f t="shared" si="612"/>
        <v>-</v>
      </c>
      <c r="BE396" s="979" t="str">
        <f t="shared" si="613"/>
        <v>-</v>
      </c>
      <c r="BF396" s="981" t="str">
        <f t="shared" si="614"/>
        <v>-</v>
      </c>
      <c r="BG396" s="951"/>
      <c r="BH396" s="975" t="str">
        <f t="shared" si="615"/>
        <v>Price</v>
      </c>
      <c r="BI396" s="976" t="str">
        <f t="shared" si="616"/>
        <v>[Service]</v>
      </c>
      <c r="BJ396" s="977" t="str">
        <f t="shared" si="617"/>
        <v>[Price]</v>
      </c>
      <c r="BK396" s="978" t="str">
        <f t="shared" ref="BK396:BU396" si="629">IF(V396="","-",IFERROR((V396/U396-1)*(U398/U$13),"-"))</f>
        <v>-</v>
      </c>
      <c r="BL396" s="978" t="str">
        <f t="shared" si="629"/>
        <v>-</v>
      </c>
      <c r="BM396" s="979" t="str">
        <f t="shared" si="629"/>
        <v>-</v>
      </c>
      <c r="BN396" s="979" t="str">
        <f t="shared" si="629"/>
        <v>-</v>
      </c>
      <c r="BO396" s="1352" t="str">
        <f t="shared" si="629"/>
        <v>-</v>
      </c>
      <c r="BP396" s="1345" t="str">
        <f t="shared" si="629"/>
        <v>-</v>
      </c>
      <c r="BQ396" s="979" t="str">
        <f t="shared" si="629"/>
        <v>-</v>
      </c>
      <c r="BR396" s="979" t="str">
        <f t="shared" si="629"/>
        <v>-</v>
      </c>
      <c r="BS396" s="979" t="str">
        <f t="shared" si="629"/>
        <v>-</v>
      </c>
      <c r="BT396" s="980" t="str">
        <f t="shared" si="629"/>
        <v>-</v>
      </c>
      <c r="BU396" s="979" t="str">
        <f t="shared" si="629"/>
        <v>-</v>
      </c>
      <c r="BV396" s="979" t="str">
        <f>IF(AG396="","-",IFERROR((AG396/AF396-1)*(AF398/AF$13),"-"))</f>
        <v>-</v>
      </c>
      <c r="BW396" s="979" t="str">
        <f>IF(AH396="","-",IFERROR((AH396/AG396-1)*(AG398/AG$13),"-"))</f>
        <v>-</v>
      </c>
      <c r="BX396" s="979" t="str">
        <f>IF(AI396="","-",IFERROR((AI396/AH396-1)*(AH398/AH$13),"-"))</f>
        <v>-</v>
      </c>
      <c r="BY396" s="981" t="str">
        <f>IF(AJ396="","-",IFERROR((AJ396/AI396-1)*(AI398/AI$13),"-"))</f>
        <v>-</v>
      </c>
      <c r="BZ396" s="951"/>
      <c r="CA396" s="975" t="str">
        <f t="shared" si="594"/>
        <v>Price</v>
      </c>
      <c r="CB396" s="976" t="str">
        <f t="shared" si="595"/>
        <v>[Service]</v>
      </c>
      <c r="CC396" s="982" t="str">
        <f t="shared" si="596"/>
        <v>[Price]</v>
      </c>
      <c r="CD396" s="983" t="str">
        <f t="shared" si="620"/>
        <v>-</v>
      </c>
      <c r="CE396" s="979" t="str">
        <f t="shared" si="620"/>
        <v>-</v>
      </c>
      <c r="CF396" s="979" t="str">
        <f t="shared" si="620"/>
        <v>-</v>
      </c>
      <c r="CG396" s="980" t="str">
        <f t="shared" si="620"/>
        <v>-</v>
      </c>
      <c r="CH396" s="979" t="str">
        <f t="shared" si="621"/>
        <v>-</v>
      </c>
      <c r="CI396" s="979" t="str">
        <f t="shared" si="621"/>
        <v>-</v>
      </c>
      <c r="CJ396" s="979" t="str">
        <f t="shared" si="621"/>
        <v>-</v>
      </c>
      <c r="CK396" s="981" t="str">
        <f t="shared" si="621"/>
        <v>-</v>
      </c>
    </row>
    <row r="397" spans="4:89">
      <c r="E397" s="567" t="s">
        <v>880</v>
      </c>
      <c r="F397" s="554" t="str">
        <f>+F396</f>
        <v>[Service]</v>
      </c>
      <c r="G397" s="555">
        <f>+G396</f>
        <v>0</v>
      </c>
      <c r="H397" s="555">
        <f>+H396</f>
        <v>0</v>
      </c>
      <c r="I397" s="556" t="str">
        <f>+I396</f>
        <v>[Price]</v>
      </c>
      <c r="J397" s="590" t="s">
        <v>916</v>
      </c>
      <c r="K397" s="557"/>
      <c r="L397" s="558"/>
      <c r="M397" s="558"/>
      <c r="N397" s="557"/>
      <c r="O397" s="558"/>
      <c r="P397" s="558"/>
      <c r="Q397" s="558"/>
      <c r="R397" s="1036"/>
      <c r="S397" s="1139"/>
      <c r="T397" s="593"/>
      <c r="U397" s="1036"/>
      <c r="V397" s="593"/>
      <c r="W397" s="593"/>
      <c r="X397" s="593"/>
      <c r="Y397" s="593"/>
      <c r="Z397" s="593"/>
      <c r="AA397" s="1139"/>
      <c r="AB397" s="593"/>
      <c r="AC397" s="593"/>
      <c r="AD397" s="593"/>
      <c r="AE397" s="1036"/>
      <c r="AF397" s="593"/>
      <c r="AG397" s="593"/>
      <c r="AH397" s="593"/>
      <c r="AI397" s="593"/>
      <c r="AJ397" s="594"/>
      <c r="AK397" s="548"/>
      <c r="AO397" s="961" t="str">
        <f t="shared" si="598"/>
        <v>Qty</v>
      </c>
      <c r="AP397" s="962" t="str">
        <f t="shared" si="598"/>
        <v>[Service]</v>
      </c>
      <c r="AQ397" s="963" t="str">
        <f t="shared" si="599"/>
        <v>[Price]</v>
      </c>
      <c r="AR397" s="967" t="str">
        <f t="shared" si="600"/>
        <v>-</v>
      </c>
      <c r="AS397" s="964" t="str">
        <f t="shared" si="601"/>
        <v>-</v>
      </c>
      <c r="AT397" s="964" t="str">
        <f t="shared" si="602"/>
        <v>-</v>
      </c>
      <c r="AU397" s="964" t="str">
        <f t="shared" si="603"/>
        <v>-</v>
      </c>
      <c r="AV397" s="1350" t="str">
        <f t="shared" si="604"/>
        <v>-</v>
      </c>
      <c r="AW397" s="1343" t="str">
        <f t="shared" si="605"/>
        <v>-</v>
      </c>
      <c r="AX397" s="964" t="str">
        <f t="shared" si="606"/>
        <v>-</v>
      </c>
      <c r="AY397" s="964" t="str">
        <f t="shared" si="607"/>
        <v>-</v>
      </c>
      <c r="AZ397" s="964" t="str">
        <f t="shared" si="608"/>
        <v>-</v>
      </c>
      <c r="BA397" s="965" t="str">
        <f t="shared" si="609"/>
        <v>-</v>
      </c>
      <c r="BB397" s="1343" t="str">
        <f t="shared" si="610"/>
        <v>-</v>
      </c>
      <c r="BC397" s="964" t="str">
        <f t="shared" si="611"/>
        <v>-</v>
      </c>
      <c r="BD397" s="964" t="str">
        <f t="shared" si="612"/>
        <v>-</v>
      </c>
      <c r="BE397" s="964" t="str">
        <f t="shared" si="613"/>
        <v>-</v>
      </c>
      <c r="BF397" s="966" t="str">
        <f t="shared" si="614"/>
        <v>-</v>
      </c>
      <c r="BG397" s="951"/>
      <c r="BH397" s="961" t="str">
        <f t="shared" si="615"/>
        <v>Qty</v>
      </c>
      <c r="BI397" s="962" t="str">
        <f t="shared" si="616"/>
        <v>[Service]</v>
      </c>
      <c r="BJ397" s="963" t="str">
        <f t="shared" si="617"/>
        <v>[Price]</v>
      </c>
      <c r="BK397" s="964" t="str">
        <f t="shared" ref="BK397:BU397" si="630">IF(V397="","-",IFERROR((V397/U397-1)*(U398/U$13),"-"))</f>
        <v>-</v>
      </c>
      <c r="BL397" s="964" t="str">
        <f t="shared" si="630"/>
        <v>-</v>
      </c>
      <c r="BM397" s="964" t="str">
        <f t="shared" si="630"/>
        <v>-</v>
      </c>
      <c r="BN397" s="964" t="str">
        <f t="shared" si="630"/>
        <v>-</v>
      </c>
      <c r="BO397" s="1350" t="str">
        <f t="shared" si="630"/>
        <v>-</v>
      </c>
      <c r="BP397" s="1343" t="str">
        <f t="shared" si="630"/>
        <v>-</v>
      </c>
      <c r="BQ397" s="964" t="str">
        <f t="shared" si="630"/>
        <v>-</v>
      </c>
      <c r="BR397" s="964" t="str">
        <f t="shared" si="630"/>
        <v>-</v>
      </c>
      <c r="BS397" s="964" t="str">
        <f t="shared" si="630"/>
        <v>-</v>
      </c>
      <c r="BT397" s="965" t="str">
        <f t="shared" si="630"/>
        <v>-</v>
      </c>
      <c r="BU397" s="964" t="str">
        <f t="shared" si="630"/>
        <v>-</v>
      </c>
      <c r="BV397" s="964" t="str">
        <f>IF(AG397="","-",IFERROR((AG397/AF397-1)*(AF398/AF$13),"-"))</f>
        <v>-</v>
      </c>
      <c r="BW397" s="964" t="str">
        <f>IF(AH397="","-",IFERROR((AH397/AG397-1)*(AG398/AG$13),"-"))</f>
        <v>-</v>
      </c>
      <c r="BX397" s="964" t="str">
        <f>IF(AI397="","-",IFERROR((AI397/AH397-1)*(AH398/AH$13),"-"))</f>
        <v>-</v>
      </c>
      <c r="BY397" s="966" t="str">
        <f>IF(AJ397="","-",IFERROR((AJ397/AI397-1)*(AI398/AI$13),"-"))</f>
        <v>-</v>
      </c>
      <c r="BZ397" s="951"/>
      <c r="CA397" s="961" t="str">
        <f t="shared" si="594"/>
        <v>Qty</v>
      </c>
      <c r="CB397" s="962" t="str">
        <f t="shared" si="595"/>
        <v>[Service]</v>
      </c>
      <c r="CC397" s="962" t="str">
        <f t="shared" si="596"/>
        <v>[Price]</v>
      </c>
      <c r="CD397" s="967" t="str">
        <f t="shared" si="620"/>
        <v>-</v>
      </c>
      <c r="CE397" s="964" t="str">
        <f t="shared" si="620"/>
        <v>-</v>
      </c>
      <c r="CF397" s="964" t="str">
        <f t="shared" si="620"/>
        <v>-</v>
      </c>
      <c r="CG397" s="965" t="str">
        <f t="shared" si="620"/>
        <v>-</v>
      </c>
      <c r="CH397" s="964" t="str">
        <f t="shared" si="621"/>
        <v>-</v>
      </c>
      <c r="CI397" s="964" t="str">
        <f t="shared" si="621"/>
        <v>-</v>
      </c>
      <c r="CJ397" s="964" t="str">
        <f t="shared" si="621"/>
        <v>-</v>
      </c>
      <c r="CK397" s="966" t="str">
        <f t="shared" si="621"/>
        <v>-</v>
      </c>
    </row>
    <row r="398" spans="4:89" ht="12.75" thickBot="1">
      <c r="E398" s="568" t="s">
        <v>882</v>
      </c>
      <c r="F398" s="560" t="str">
        <f>+F396</f>
        <v>[Service]</v>
      </c>
      <c r="G398" s="561">
        <f>+G396</f>
        <v>0</v>
      </c>
      <c r="H398" s="561">
        <f>+H396</f>
        <v>0</v>
      </c>
      <c r="I398" s="562" t="str">
        <f>+I396</f>
        <v>[Price]</v>
      </c>
      <c r="J398" s="563" t="s">
        <v>883</v>
      </c>
      <c r="K398" s="564">
        <f t="shared" ref="K398:AJ398" si="631">K396*K397/10^6</f>
        <v>0</v>
      </c>
      <c r="L398" s="565">
        <f t="shared" si="631"/>
        <v>0</v>
      </c>
      <c r="M398" s="565">
        <f t="shared" si="631"/>
        <v>0</v>
      </c>
      <c r="N398" s="564">
        <f t="shared" si="631"/>
        <v>0</v>
      </c>
      <c r="O398" s="565">
        <f t="shared" si="631"/>
        <v>0</v>
      </c>
      <c r="P398" s="565">
        <f t="shared" si="631"/>
        <v>0</v>
      </c>
      <c r="Q398" s="565">
        <f t="shared" si="631"/>
        <v>0</v>
      </c>
      <c r="R398" s="566">
        <f t="shared" si="631"/>
        <v>0</v>
      </c>
      <c r="S398" s="564">
        <f t="shared" si="631"/>
        <v>0</v>
      </c>
      <c r="T398" s="565">
        <f t="shared" si="631"/>
        <v>0</v>
      </c>
      <c r="U398" s="566">
        <f t="shared" si="631"/>
        <v>0</v>
      </c>
      <c r="V398" s="565">
        <f t="shared" si="631"/>
        <v>0</v>
      </c>
      <c r="W398" s="565">
        <f t="shared" si="631"/>
        <v>0</v>
      </c>
      <c r="X398" s="565">
        <f t="shared" si="631"/>
        <v>0</v>
      </c>
      <c r="Y398" s="565">
        <f t="shared" si="631"/>
        <v>0</v>
      </c>
      <c r="Z398" s="565">
        <f t="shared" si="631"/>
        <v>0</v>
      </c>
      <c r="AA398" s="564">
        <f t="shared" si="631"/>
        <v>0</v>
      </c>
      <c r="AB398" s="565">
        <f t="shared" si="631"/>
        <v>0</v>
      </c>
      <c r="AC398" s="565">
        <f t="shared" si="631"/>
        <v>0</v>
      </c>
      <c r="AD398" s="565">
        <f t="shared" si="631"/>
        <v>0</v>
      </c>
      <c r="AE398" s="566">
        <f t="shared" si="631"/>
        <v>0</v>
      </c>
      <c r="AF398" s="565">
        <f t="shared" si="631"/>
        <v>0</v>
      </c>
      <c r="AG398" s="565">
        <f>AG396*AG397/10^6</f>
        <v>0</v>
      </c>
      <c r="AH398" s="565">
        <f>AH396*AH397/10^6</f>
        <v>0</v>
      </c>
      <c r="AI398" s="565">
        <f>AI396*AI397/10^6</f>
        <v>0</v>
      </c>
      <c r="AJ398" s="566">
        <f t="shared" si="631"/>
        <v>0</v>
      </c>
      <c r="AK398" s="548"/>
      <c r="AO398" s="984" t="str">
        <f t="shared" si="598"/>
        <v>Rev</v>
      </c>
      <c r="AP398" s="985" t="str">
        <f t="shared" si="598"/>
        <v>[Service]</v>
      </c>
      <c r="AQ398" s="986" t="str">
        <f t="shared" si="599"/>
        <v>[Price]</v>
      </c>
      <c r="AR398" s="990" t="str">
        <f t="shared" si="600"/>
        <v>-</v>
      </c>
      <c r="AS398" s="987" t="str">
        <f t="shared" si="601"/>
        <v>-</v>
      </c>
      <c r="AT398" s="987" t="str">
        <f t="shared" si="602"/>
        <v>-</v>
      </c>
      <c r="AU398" s="987" t="str">
        <f t="shared" si="603"/>
        <v>-</v>
      </c>
      <c r="AV398" s="1353" t="str">
        <f t="shared" si="604"/>
        <v>-</v>
      </c>
      <c r="AW398" s="1346" t="str">
        <f t="shared" si="605"/>
        <v>-</v>
      </c>
      <c r="AX398" s="987" t="str">
        <f t="shared" si="606"/>
        <v>-</v>
      </c>
      <c r="AY398" s="987" t="str">
        <f t="shared" si="607"/>
        <v>-</v>
      </c>
      <c r="AZ398" s="987" t="str">
        <f t="shared" si="608"/>
        <v>-</v>
      </c>
      <c r="BA398" s="988" t="str">
        <f t="shared" si="609"/>
        <v>-</v>
      </c>
      <c r="BB398" s="1346" t="str">
        <f t="shared" si="610"/>
        <v>-</v>
      </c>
      <c r="BC398" s="987" t="str">
        <f t="shared" si="611"/>
        <v>-</v>
      </c>
      <c r="BD398" s="987" t="str">
        <f t="shared" si="612"/>
        <v>-</v>
      </c>
      <c r="BE398" s="987" t="str">
        <f t="shared" si="613"/>
        <v>-</v>
      </c>
      <c r="BF398" s="989" t="str">
        <f t="shared" si="614"/>
        <v>-</v>
      </c>
      <c r="BG398" s="951"/>
      <c r="BH398" s="984" t="str">
        <f t="shared" si="615"/>
        <v>Rev</v>
      </c>
      <c r="BI398" s="985" t="str">
        <f t="shared" si="616"/>
        <v>[Service]</v>
      </c>
      <c r="BJ398" s="986" t="str">
        <f t="shared" si="617"/>
        <v>[Price]</v>
      </c>
      <c r="BK398" s="987" t="str">
        <f t="shared" ref="BK398:BU398" si="632">IF(V398="","-",IFERROR((V398/U398-1)*(U398/U$13),"-"))</f>
        <v>-</v>
      </c>
      <c r="BL398" s="987" t="str">
        <f t="shared" si="632"/>
        <v>-</v>
      </c>
      <c r="BM398" s="987" t="str">
        <f t="shared" si="632"/>
        <v>-</v>
      </c>
      <c r="BN398" s="987" t="str">
        <f t="shared" si="632"/>
        <v>-</v>
      </c>
      <c r="BO398" s="1353" t="str">
        <f t="shared" si="632"/>
        <v>-</v>
      </c>
      <c r="BP398" s="1346" t="str">
        <f t="shared" si="632"/>
        <v>-</v>
      </c>
      <c r="BQ398" s="987" t="str">
        <f t="shared" si="632"/>
        <v>-</v>
      </c>
      <c r="BR398" s="987" t="str">
        <f t="shared" si="632"/>
        <v>-</v>
      </c>
      <c r="BS398" s="987" t="str">
        <f t="shared" si="632"/>
        <v>-</v>
      </c>
      <c r="BT398" s="988" t="str">
        <f t="shared" si="632"/>
        <v>-</v>
      </c>
      <c r="BU398" s="987" t="str">
        <f t="shared" si="632"/>
        <v>-</v>
      </c>
      <c r="BV398" s="987" t="str">
        <f>IF(AG398="","-",IFERROR((AG398/AF398-1)*(AF398/AF$13),"-"))</f>
        <v>-</v>
      </c>
      <c r="BW398" s="987" t="str">
        <f>IF(AH398="","-",IFERROR((AH398/AG398-1)*(AG398/AG$13),"-"))</f>
        <v>-</v>
      </c>
      <c r="BX398" s="987" t="str">
        <f>IF(AI398="","-",IFERROR((AI398/AH398-1)*(AH398/AH$13),"-"))</f>
        <v>-</v>
      </c>
      <c r="BY398" s="989" t="str">
        <f>IF(AJ398="","-",IFERROR((AJ398/AI398-1)*(AI398/AI$13),"-"))</f>
        <v>-</v>
      </c>
      <c r="BZ398" s="951"/>
      <c r="CA398" s="984" t="str">
        <f t="shared" si="594"/>
        <v>Rev</v>
      </c>
      <c r="CB398" s="985" t="str">
        <f t="shared" si="595"/>
        <v>[Service]</v>
      </c>
      <c r="CC398" s="985" t="str">
        <f t="shared" si="596"/>
        <v>[Price]</v>
      </c>
      <c r="CD398" s="990" t="str">
        <f t="shared" si="620"/>
        <v>-</v>
      </c>
      <c r="CE398" s="987" t="str">
        <f t="shared" si="620"/>
        <v>-</v>
      </c>
      <c r="CF398" s="987" t="str">
        <f t="shared" si="620"/>
        <v>-</v>
      </c>
      <c r="CG398" s="988" t="str">
        <f t="shared" si="620"/>
        <v>-</v>
      </c>
      <c r="CH398" s="987" t="str">
        <f t="shared" si="621"/>
        <v>-</v>
      </c>
      <c r="CI398" s="987" t="str">
        <f t="shared" si="621"/>
        <v>-</v>
      </c>
      <c r="CJ398" s="987" t="str">
        <f t="shared" si="621"/>
        <v>-</v>
      </c>
      <c r="CK398" s="989" t="str">
        <f t="shared" si="621"/>
        <v>-</v>
      </c>
    </row>
    <row r="399" spans="4:89">
      <c r="D399" s="63">
        <f>D396+1</f>
        <v>111</v>
      </c>
      <c r="E399" s="550" t="s">
        <v>857</v>
      </c>
      <c r="F399" s="595" t="s">
        <v>428</v>
      </c>
      <c r="G399" s="595"/>
      <c r="H399" s="595"/>
      <c r="I399" s="589" t="s">
        <v>920</v>
      </c>
      <c r="J399" s="589" t="s">
        <v>879</v>
      </c>
      <c r="K399" s="551"/>
      <c r="L399" s="552"/>
      <c r="M399" s="552"/>
      <c r="N399" s="551"/>
      <c r="O399" s="552"/>
      <c r="P399" s="552"/>
      <c r="Q399" s="552"/>
      <c r="R399" s="1035"/>
      <c r="S399" s="1138"/>
      <c r="T399" s="591"/>
      <c r="U399" s="1035"/>
      <c r="V399" s="591"/>
      <c r="W399" s="591"/>
      <c r="X399" s="591"/>
      <c r="Y399" s="591"/>
      <c r="Z399" s="591"/>
      <c r="AA399" s="1138"/>
      <c r="AB399" s="591"/>
      <c r="AC399" s="591"/>
      <c r="AD399" s="591"/>
      <c r="AE399" s="1035"/>
      <c r="AF399" s="591"/>
      <c r="AG399" s="591"/>
      <c r="AH399" s="591"/>
      <c r="AI399" s="591"/>
      <c r="AJ399" s="592"/>
      <c r="AK399" s="548"/>
      <c r="AM399" s="974"/>
      <c r="AO399" s="975" t="str">
        <f t="shared" si="598"/>
        <v>Price</v>
      </c>
      <c r="AP399" s="976" t="str">
        <f t="shared" si="598"/>
        <v>[Service]</v>
      </c>
      <c r="AQ399" s="977" t="str">
        <f t="shared" si="599"/>
        <v>[Price]</v>
      </c>
      <c r="AR399" s="1341" t="str">
        <f t="shared" si="600"/>
        <v>-</v>
      </c>
      <c r="AS399" s="978" t="str">
        <f t="shared" si="601"/>
        <v>-</v>
      </c>
      <c r="AT399" s="979" t="str">
        <f t="shared" si="602"/>
        <v>-</v>
      </c>
      <c r="AU399" s="979" t="str">
        <f t="shared" si="603"/>
        <v>-</v>
      </c>
      <c r="AV399" s="1352" t="str">
        <f t="shared" si="604"/>
        <v>-</v>
      </c>
      <c r="AW399" s="1345" t="str">
        <f t="shared" si="605"/>
        <v>-</v>
      </c>
      <c r="AX399" s="979" t="str">
        <f t="shared" si="606"/>
        <v>-</v>
      </c>
      <c r="AY399" s="979" t="str">
        <f t="shared" si="607"/>
        <v>-</v>
      </c>
      <c r="AZ399" s="979" t="str">
        <f t="shared" si="608"/>
        <v>-</v>
      </c>
      <c r="BA399" s="980" t="str">
        <f t="shared" si="609"/>
        <v>-</v>
      </c>
      <c r="BB399" s="1345" t="str">
        <f t="shared" si="610"/>
        <v>-</v>
      </c>
      <c r="BC399" s="979" t="str">
        <f t="shared" si="611"/>
        <v>-</v>
      </c>
      <c r="BD399" s="979" t="str">
        <f t="shared" si="612"/>
        <v>-</v>
      </c>
      <c r="BE399" s="979" t="str">
        <f t="shared" si="613"/>
        <v>-</v>
      </c>
      <c r="BF399" s="981" t="str">
        <f t="shared" si="614"/>
        <v>-</v>
      </c>
      <c r="BG399" s="951"/>
      <c r="BH399" s="975" t="str">
        <f t="shared" si="615"/>
        <v>Price</v>
      </c>
      <c r="BI399" s="976" t="str">
        <f t="shared" si="616"/>
        <v>[Service]</v>
      </c>
      <c r="BJ399" s="977" t="str">
        <f t="shared" si="617"/>
        <v>[Price]</v>
      </c>
      <c r="BK399" s="978" t="str">
        <f t="shared" ref="BK399:BU399" si="633">IF(V399="","-",IFERROR((V399/U399-1)*(U401/U$13),"-"))</f>
        <v>-</v>
      </c>
      <c r="BL399" s="978" t="str">
        <f t="shared" si="633"/>
        <v>-</v>
      </c>
      <c r="BM399" s="979" t="str">
        <f t="shared" si="633"/>
        <v>-</v>
      </c>
      <c r="BN399" s="979" t="str">
        <f t="shared" si="633"/>
        <v>-</v>
      </c>
      <c r="BO399" s="1352" t="str">
        <f t="shared" si="633"/>
        <v>-</v>
      </c>
      <c r="BP399" s="1345" t="str">
        <f t="shared" si="633"/>
        <v>-</v>
      </c>
      <c r="BQ399" s="979" t="str">
        <f t="shared" si="633"/>
        <v>-</v>
      </c>
      <c r="BR399" s="979" t="str">
        <f t="shared" si="633"/>
        <v>-</v>
      </c>
      <c r="BS399" s="979" t="str">
        <f t="shared" si="633"/>
        <v>-</v>
      </c>
      <c r="BT399" s="980" t="str">
        <f t="shared" si="633"/>
        <v>-</v>
      </c>
      <c r="BU399" s="979" t="str">
        <f t="shared" si="633"/>
        <v>-</v>
      </c>
      <c r="BV399" s="979" t="str">
        <f>IF(AG399="","-",IFERROR((AG399/AF399-1)*(AF401/AF$13),"-"))</f>
        <v>-</v>
      </c>
      <c r="BW399" s="979" t="str">
        <f>IF(AH399="","-",IFERROR((AH399/AG399-1)*(AG401/AG$13),"-"))</f>
        <v>-</v>
      </c>
      <c r="BX399" s="979" t="str">
        <f>IF(AI399="","-",IFERROR((AI399/AH399-1)*(AH401/AH$13),"-"))</f>
        <v>-</v>
      </c>
      <c r="BY399" s="981" t="str">
        <f>IF(AJ399="","-",IFERROR((AJ399/AI399-1)*(AI401/AI$13),"-"))</f>
        <v>-</v>
      </c>
      <c r="BZ399" s="951"/>
      <c r="CA399" s="975" t="str">
        <f t="shared" si="594"/>
        <v>Price</v>
      </c>
      <c r="CB399" s="976" t="str">
        <f t="shared" si="595"/>
        <v>[Service]</v>
      </c>
      <c r="CC399" s="982" t="str">
        <f t="shared" si="596"/>
        <v>[Price]</v>
      </c>
      <c r="CD399" s="983" t="str">
        <f t="shared" si="620"/>
        <v>-</v>
      </c>
      <c r="CE399" s="979" t="str">
        <f t="shared" si="620"/>
        <v>-</v>
      </c>
      <c r="CF399" s="979" t="str">
        <f t="shared" si="620"/>
        <v>-</v>
      </c>
      <c r="CG399" s="980" t="str">
        <f t="shared" si="620"/>
        <v>-</v>
      </c>
      <c r="CH399" s="979" t="str">
        <f t="shared" si="621"/>
        <v>-</v>
      </c>
      <c r="CI399" s="979" t="str">
        <f t="shared" si="621"/>
        <v>-</v>
      </c>
      <c r="CJ399" s="979" t="str">
        <f t="shared" si="621"/>
        <v>-</v>
      </c>
      <c r="CK399" s="981" t="str">
        <f t="shared" si="621"/>
        <v>-</v>
      </c>
    </row>
    <row r="400" spans="4:89">
      <c r="E400" s="567" t="s">
        <v>880</v>
      </c>
      <c r="F400" s="554" t="str">
        <f>+F399</f>
        <v>[Service]</v>
      </c>
      <c r="G400" s="555">
        <f>+G399</f>
        <v>0</v>
      </c>
      <c r="H400" s="555">
        <f>+H399</f>
        <v>0</v>
      </c>
      <c r="I400" s="556" t="str">
        <f>+I399</f>
        <v>[Price]</v>
      </c>
      <c r="J400" s="590" t="s">
        <v>916</v>
      </c>
      <c r="K400" s="557"/>
      <c r="L400" s="558"/>
      <c r="M400" s="558"/>
      <c r="N400" s="557"/>
      <c r="O400" s="558"/>
      <c r="P400" s="558"/>
      <c r="Q400" s="558"/>
      <c r="R400" s="1036"/>
      <c r="S400" s="1139"/>
      <c r="T400" s="593"/>
      <c r="U400" s="1036"/>
      <c r="V400" s="593"/>
      <c r="W400" s="593"/>
      <c r="X400" s="593"/>
      <c r="Y400" s="593"/>
      <c r="Z400" s="593"/>
      <c r="AA400" s="1139"/>
      <c r="AB400" s="593"/>
      <c r="AC400" s="593"/>
      <c r="AD400" s="593"/>
      <c r="AE400" s="1036"/>
      <c r="AF400" s="593"/>
      <c r="AG400" s="593"/>
      <c r="AH400" s="593"/>
      <c r="AI400" s="593"/>
      <c r="AJ400" s="594"/>
      <c r="AK400" s="548"/>
      <c r="AO400" s="961" t="str">
        <f t="shared" si="598"/>
        <v>Qty</v>
      </c>
      <c r="AP400" s="962" t="str">
        <f t="shared" si="598"/>
        <v>[Service]</v>
      </c>
      <c r="AQ400" s="963" t="str">
        <f t="shared" si="599"/>
        <v>[Price]</v>
      </c>
      <c r="AR400" s="967" t="str">
        <f t="shared" si="600"/>
        <v>-</v>
      </c>
      <c r="AS400" s="964" t="str">
        <f t="shared" si="601"/>
        <v>-</v>
      </c>
      <c r="AT400" s="964" t="str">
        <f t="shared" si="602"/>
        <v>-</v>
      </c>
      <c r="AU400" s="964" t="str">
        <f t="shared" si="603"/>
        <v>-</v>
      </c>
      <c r="AV400" s="1350" t="str">
        <f t="shared" si="604"/>
        <v>-</v>
      </c>
      <c r="AW400" s="1343" t="str">
        <f t="shared" si="605"/>
        <v>-</v>
      </c>
      <c r="AX400" s="964" t="str">
        <f t="shared" si="606"/>
        <v>-</v>
      </c>
      <c r="AY400" s="964" t="str">
        <f t="shared" si="607"/>
        <v>-</v>
      </c>
      <c r="AZ400" s="964" t="str">
        <f t="shared" si="608"/>
        <v>-</v>
      </c>
      <c r="BA400" s="965" t="str">
        <f t="shared" si="609"/>
        <v>-</v>
      </c>
      <c r="BB400" s="1343" t="str">
        <f t="shared" si="610"/>
        <v>-</v>
      </c>
      <c r="BC400" s="964" t="str">
        <f t="shared" si="611"/>
        <v>-</v>
      </c>
      <c r="BD400" s="964" t="str">
        <f t="shared" si="612"/>
        <v>-</v>
      </c>
      <c r="BE400" s="964" t="str">
        <f t="shared" si="613"/>
        <v>-</v>
      </c>
      <c r="BF400" s="966" t="str">
        <f t="shared" si="614"/>
        <v>-</v>
      </c>
      <c r="BG400" s="951"/>
      <c r="BH400" s="961" t="str">
        <f t="shared" si="615"/>
        <v>Qty</v>
      </c>
      <c r="BI400" s="962" t="str">
        <f t="shared" si="616"/>
        <v>[Service]</v>
      </c>
      <c r="BJ400" s="963" t="str">
        <f t="shared" si="617"/>
        <v>[Price]</v>
      </c>
      <c r="BK400" s="964" t="str">
        <f t="shared" ref="BK400:BU400" si="634">IF(V400="","-",IFERROR((V400/U400-1)*(U401/U$13),"-"))</f>
        <v>-</v>
      </c>
      <c r="BL400" s="964" t="str">
        <f t="shared" si="634"/>
        <v>-</v>
      </c>
      <c r="BM400" s="964" t="str">
        <f t="shared" si="634"/>
        <v>-</v>
      </c>
      <c r="BN400" s="964" t="str">
        <f t="shared" si="634"/>
        <v>-</v>
      </c>
      <c r="BO400" s="1350" t="str">
        <f t="shared" si="634"/>
        <v>-</v>
      </c>
      <c r="BP400" s="1343" t="str">
        <f t="shared" si="634"/>
        <v>-</v>
      </c>
      <c r="BQ400" s="964" t="str">
        <f t="shared" si="634"/>
        <v>-</v>
      </c>
      <c r="BR400" s="964" t="str">
        <f t="shared" si="634"/>
        <v>-</v>
      </c>
      <c r="BS400" s="964" t="str">
        <f t="shared" si="634"/>
        <v>-</v>
      </c>
      <c r="BT400" s="965" t="str">
        <f t="shared" si="634"/>
        <v>-</v>
      </c>
      <c r="BU400" s="964" t="str">
        <f t="shared" si="634"/>
        <v>-</v>
      </c>
      <c r="BV400" s="964" t="str">
        <f>IF(AG400="","-",IFERROR((AG400/AF400-1)*(AF401/AF$13),"-"))</f>
        <v>-</v>
      </c>
      <c r="BW400" s="964" t="str">
        <f>IF(AH400="","-",IFERROR((AH400/AG400-1)*(AG401/AG$13),"-"))</f>
        <v>-</v>
      </c>
      <c r="BX400" s="964" t="str">
        <f>IF(AI400="","-",IFERROR((AI400/AH400-1)*(AH401/AH$13),"-"))</f>
        <v>-</v>
      </c>
      <c r="BY400" s="966" t="str">
        <f>IF(AJ400="","-",IFERROR((AJ400/AI400-1)*(AI401/AI$13),"-"))</f>
        <v>-</v>
      </c>
      <c r="BZ400" s="951"/>
      <c r="CA400" s="961" t="str">
        <f t="shared" si="594"/>
        <v>Qty</v>
      </c>
      <c r="CB400" s="962" t="str">
        <f t="shared" si="595"/>
        <v>[Service]</v>
      </c>
      <c r="CC400" s="962" t="str">
        <f t="shared" si="596"/>
        <v>[Price]</v>
      </c>
      <c r="CD400" s="967" t="str">
        <f t="shared" si="620"/>
        <v>-</v>
      </c>
      <c r="CE400" s="964" t="str">
        <f t="shared" si="620"/>
        <v>-</v>
      </c>
      <c r="CF400" s="964" t="str">
        <f t="shared" si="620"/>
        <v>-</v>
      </c>
      <c r="CG400" s="965" t="str">
        <f t="shared" si="620"/>
        <v>-</v>
      </c>
      <c r="CH400" s="964" t="str">
        <f t="shared" si="621"/>
        <v>-</v>
      </c>
      <c r="CI400" s="964" t="str">
        <f t="shared" si="621"/>
        <v>-</v>
      </c>
      <c r="CJ400" s="964" t="str">
        <f t="shared" si="621"/>
        <v>-</v>
      </c>
      <c r="CK400" s="966" t="str">
        <f t="shared" si="621"/>
        <v>-</v>
      </c>
    </row>
    <row r="401" spans="4:89" ht="12.75" thickBot="1">
      <c r="E401" s="568" t="s">
        <v>882</v>
      </c>
      <c r="F401" s="560" t="str">
        <f>+F399</f>
        <v>[Service]</v>
      </c>
      <c r="G401" s="561">
        <f>+G399</f>
        <v>0</v>
      </c>
      <c r="H401" s="561">
        <f>+H399</f>
        <v>0</v>
      </c>
      <c r="I401" s="562" t="str">
        <f>+I399</f>
        <v>[Price]</v>
      </c>
      <c r="J401" s="563" t="s">
        <v>883</v>
      </c>
      <c r="K401" s="564">
        <f t="shared" ref="K401:AJ401" si="635">K399*K400/10^6</f>
        <v>0</v>
      </c>
      <c r="L401" s="565">
        <f t="shared" si="635"/>
        <v>0</v>
      </c>
      <c r="M401" s="565">
        <f t="shared" si="635"/>
        <v>0</v>
      </c>
      <c r="N401" s="564">
        <f t="shared" si="635"/>
        <v>0</v>
      </c>
      <c r="O401" s="565">
        <f t="shared" si="635"/>
        <v>0</v>
      </c>
      <c r="P401" s="565">
        <f t="shared" si="635"/>
        <v>0</v>
      </c>
      <c r="Q401" s="565">
        <f t="shared" si="635"/>
        <v>0</v>
      </c>
      <c r="R401" s="566">
        <f t="shared" si="635"/>
        <v>0</v>
      </c>
      <c r="S401" s="564">
        <f t="shared" si="635"/>
        <v>0</v>
      </c>
      <c r="T401" s="565">
        <f t="shared" si="635"/>
        <v>0</v>
      </c>
      <c r="U401" s="566">
        <f t="shared" si="635"/>
        <v>0</v>
      </c>
      <c r="V401" s="565">
        <f t="shared" si="635"/>
        <v>0</v>
      </c>
      <c r="W401" s="565">
        <f t="shared" si="635"/>
        <v>0</v>
      </c>
      <c r="X401" s="565">
        <f t="shared" si="635"/>
        <v>0</v>
      </c>
      <c r="Y401" s="565">
        <f t="shared" si="635"/>
        <v>0</v>
      </c>
      <c r="Z401" s="565">
        <f t="shared" si="635"/>
        <v>0</v>
      </c>
      <c r="AA401" s="564">
        <f t="shared" si="635"/>
        <v>0</v>
      </c>
      <c r="AB401" s="565">
        <f t="shared" si="635"/>
        <v>0</v>
      </c>
      <c r="AC401" s="565">
        <f t="shared" si="635"/>
        <v>0</v>
      </c>
      <c r="AD401" s="565">
        <f t="shared" si="635"/>
        <v>0</v>
      </c>
      <c r="AE401" s="566">
        <f t="shared" si="635"/>
        <v>0</v>
      </c>
      <c r="AF401" s="565">
        <f t="shared" si="635"/>
        <v>0</v>
      </c>
      <c r="AG401" s="565">
        <f>AG399*AG400/10^6</f>
        <v>0</v>
      </c>
      <c r="AH401" s="565">
        <f>AH399*AH400/10^6</f>
        <v>0</v>
      </c>
      <c r="AI401" s="565">
        <f>AI399*AI400/10^6</f>
        <v>0</v>
      </c>
      <c r="AJ401" s="566">
        <f t="shared" si="635"/>
        <v>0</v>
      </c>
      <c r="AK401" s="548"/>
      <c r="AO401" s="984" t="str">
        <f t="shared" si="598"/>
        <v>Rev</v>
      </c>
      <c r="AP401" s="985" t="str">
        <f t="shared" si="598"/>
        <v>[Service]</v>
      </c>
      <c r="AQ401" s="986" t="str">
        <f t="shared" si="599"/>
        <v>[Price]</v>
      </c>
      <c r="AR401" s="990" t="str">
        <f t="shared" si="600"/>
        <v>-</v>
      </c>
      <c r="AS401" s="987" t="str">
        <f t="shared" si="601"/>
        <v>-</v>
      </c>
      <c r="AT401" s="987" t="str">
        <f t="shared" si="602"/>
        <v>-</v>
      </c>
      <c r="AU401" s="987" t="str">
        <f t="shared" si="603"/>
        <v>-</v>
      </c>
      <c r="AV401" s="1353" t="str">
        <f t="shared" si="604"/>
        <v>-</v>
      </c>
      <c r="AW401" s="1346" t="str">
        <f t="shared" si="605"/>
        <v>-</v>
      </c>
      <c r="AX401" s="987" t="str">
        <f t="shared" si="606"/>
        <v>-</v>
      </c>
      <c r="AY401" s="987" t="str">
        <f t="shared" si="607"/>
        <v>-</v>
      </c>
      <c r="AZ401" s="987" t="str">
        <f t="shared" si="608"/>
        <v>-</v>
      </c>
      <c r="BA401" s="988" t="str">
        <f t="shared" si="609"/>
        <v>-</v>
      </c>
      <c r="BB401" s="1346" t="str">
        <f t="shared" si="610"/>
        <v>-</v>
      </c>
      <c r="BC401" s="987" t="str">
        <f t="shared" si="611"/>
        <v>-</v>
      </c>
      <c r="BD401" s="987" t="str">
        <f t="shared" si="612"/>
        <v>-</v>
      </c>
      <c r="BE401" s="987" t="str">
        <f t="shared" si="613"/>
        <v>-</v>
      </c>
      <c r="BF401" s="989" t="str">
        <f t="shared" si="614"/>
        <v>-</v>
      </c>
      <c r="BG401" s="951"/>
      <c r="BH401" s="984" t="str">
        <f t="shared" si="615"/>
        <v>Rev</v>
      </c>
      <c r="BI401" s="985" t="str">
        <f t="shared" si="616"/>
        <v>[Service]</v>
      </c>
      <c r="BJ401" s="986" t="str">
        <f t="shared" si="617"/>
        <v>[Price]</v>
      </c>
      <c r="BK401" s="987" t="str">
        <f t="shared" ref="BK401:BU401" si="636">IF(V401="","-",IFERROR((V401/U401-1)*(U401/U$13),"-"))</f>
        <v>-</v>
      </c>
      <c r="BL401" s="987" t="str">
        <f t="shared" si="636"/>
        <v>-</v>
      </c>
      <c r="BM401" s="987" t="str">
        <f t="shared" si="636"/>
        <v>-</v>
      </c>
      <c r="BN401" s="987" t="str">
        <f t="shared" si="636"/>
        <v>-</v>
      </c>
      <c r="BO401" s="1353" t="str">
        <f t="shared" si="636"/>
        <v>-</v>
      </c>
      <c r="BP401" s="1346" t="str">
        <f t="shared" si="636"/>
        <v>-</v>
      </c>
      <c r="BQ401" s="987" t="str">
        <f t="shared" si="636"/>
        <v>-</v>
      </c>
      <c r="BR401" s="987" t="str">
        <f t="shared" si="636"/>
        <v>-</v>
      </c>
      <c r="BS401" s="987" t="str">
        <f t="shared" si="636"/>
        <v>-</v>
      </c>
      <c r="BT401" s="988" t="str">
        <f t="shared" si="636"/>
        <v>-</v>
      </c>
      <c r="BU401" s="987" t="str">
        <f t="shared" si="636"/>
        <v>-</v>
      </c>
      <c r="BV401" s="987" t="str">
        <f>IF(AG401="","-",IFERROR((AG401/AF401-1)*(AF401/AF$13),"-"))</f>
        <v>-</v>
      </c>
      <c r="BW401" s="987" t="str">
        <f>IF(AH401="","-",IFERROR((AH401/AG401-1)*(AG401/AG$13),"-"))</f>
        <v>-</v>
      </c>
      <c r="BX401" s="987" t="str">
        <f>IF(AI401="","-",IFERROR((AI401/AH401-1)*(AH401/AH$13),"-"))</f>
        <v>-</v>
      </c>
      <c r="BY401" s="989" t="str">
        <f>IF(AJ401="","-",IFERROR((AJ401/AI401-1)*(AI401/AI$13),"-"))</f>
        <v>-</v>
      </c>
      <c r="BZ401" s="951"/>
      <c r="CA401" s="984" t="str">
        <f t="shared" si="594"/>
        <v>Rev</v>
      </c>
      <c r="CB401" s="985" t="str">
        <f t="shared" si="595"/>
        <v>[Service]</v>
      </c>
      <c r="CC401" s="985" t="str">
        <f t="shared" si="596"/>
        <v>[Price]</v>
      </c>
      <c r="CD401" s="990" t="str">
        <f t="shared" si="620"/>
        <v>-</v>
      </c>
      <c r="CE401" s="987" t="str">
        <f t="shared" si="620"/>
        <v>-</v>
      </c>
      <c r="CF401" s="987" t="str">
        <f t="shared" si="620"/>
        <v>-</v>
      </c>
      <c r="CG401" s="988" t="str">
        <f t="shared" si="620"/>
        <v>-</v>
      </c>
      <c r="CH401" s="987" t="str">
        <f t="shared" si="621"/>
        <v>-</v>
      </c>
      <c r="CI401" s="987" t="str">
        <f t="shared" si="621"/>
        <v>-</v>
      </c>
      <c r="CJ401" s="987" t="str">
        <f t="shared" si="621"/>
        <v>-</v>
      </c>
      <c r="CK401" s="989" t="str">
        <f t="shared" si="621"/>
        <v>-</v>
      </c>
    </row>
    <row r="402" spans="4:89">
      <c r="D402" s="63">
        <f>D399+1</f>
        <v>112</v>
      </c>
      <c r="E402" s="550" t="s">
        <v>857</v>
      </c>
      <c r="F402" s="595" t="s">
        <v>428</v>
      </c>
      <c r="G402" s="595"/>
      <c r="H402" s="595"/>
      <c r="I402" s="589" t="s">
        <v>920</v>
      </c>
      <c r="J402" s="589" t="s">
        <v>879</v>
      </c>
      <c r="K402" s="551"/>
      <c r="L402" s="552"/>
      <c r="M402" s="552"/>
      <c r="N402" s="551"/>
      <c r="O402" s="552"/>
      <c r="P402" s="552"/>
      <c r="Q402" s="552"/>
      <c r="R402" s="1035"/>
      <c r="S402" s="1138"/>
      <c r="T402" s="591"/>
      <c r="U402" s="1035"/>
      <c r="V402" s="591"/>
      <c r="W402" s="591"/>
      <c r="X402" s="591"/>
      <c r="Y402" s="591"/>
      <c r="Z402" s="591"/>
      <c r="AA402" s="1138"/>
      <c r="AB402" s="591"/>
      <c r="AC402" s="591"/>
      <c r="AD402" s="591"/>
      <c r="AE402" s="1035"/>
      <c r="AF402" s="591"/>
      <c r="AG402" s="591"/>
      <c r="AH402" s="591"/>
      <c r="AI402" s="591"/>
      <c r="AJ402" s="592"/>
      <c r="AK402" s="548"/>
      <c r="AM402" s="974"/>
      <c r="AO402" s="975" t="str">
        <f t="shared" si="598"/>
        <v>Price</v>
      </c>
      <c r="AP402" s="976" t="str">
        <f t="shared" si="598"/>
        <v>[Service]</v>
      </c>
      <c r="AQ402" s="977" t="str">
        <f t="shared" si="599"/>
        <v>[Price]</v>
      </c>
      <c r="AR402" s="1341" t="str">
        <f t="shared" si="600"/>
        <v>-</v>
      </c>
      <c r="AS402" s="978" t="str">
        <f t="shared" si="601"/>
        <v>-</v>
      </c>
      <c r="AT402" s="979" t="str">
        <f t="shared" si="602"/>
        <v>-</v>
      </c>
      <c r="AU402" s="979" t="str">
        <f t="shared" si="603"/>
        <v>-</v>
      </c>
      <c r="AV402" s="1352" t="str">
        <f t="shared" si="604"/>
        <v>-</v>
      </c>
      <c r="AW402" s="1345" t="str">
        <f t="shared" si="605"/>
        <v>-</v>
      </c>
      <c r="AX402" s="979" t="str">
        <f t="shared" si="606"/>
        <v>-</v>
      </c>
      <c r="AY402" s="979" t="str">
        <f t="shared" si="607"/>
        <v>-</v>
      </c>
      <c r="AZ402" s="979" t="str">
        <f t="shared" si="608"/>
        <v>-</v>
      </c>
      <c r="BA402" s="980" t="str">
        <f t="shared" si="609"/>
        <v>-</v>
      </c>
      <c r="BB402" s="1345" t="str">
        <f t="shared" si="610"/>
        <v>-</v>
      </c>
      <c r="BC402" s="979" t="str">
        <f t="shared" si="611"/>
        <v>-</v>
      </c>
      <c r="BD402" s="979" t="str">
        <f t="shared" si="612"/>
        <v>-</v>
      </c>
      <c r="BE402" s="979" t="str">
        <f t="shared" si="613"/>
        <v>-</v>
      </c>
      <c r="BF402" s="981" t="str">
        <f t="shared" si="614"/>
        <v>-</v>
      </c>
      <c r="BG402" s="951"/>
      <c r="BH402" s="975" t="str">
        <f t="shared" si="615"/>
        <v>Price</v>
      </c>
      <c r="BI402" s="976" t="str">
        <f t="shared" si="616"/>
        <v>[Service]</v>
      </c>
      <c r="BJ402" s="977" t="str">
        <f t="shared" si="617"/>
        <v>[Price]</v>
      </c>
      <c r="BK402" s="978" t="str">
        <f t="shared" ref="BK402:BU402" si="637">IF(V402="","-",IFERROR((V402/U402-1)*(U404/U$13),"-"))</f>
        <v>-</v>
      </c>
      <c r="BL402" s="978" t="str">
        <f t="shared" si="637"/>
        <v>-</v>
      </c>
      <c r="BM402" s="979" t="str">
        <f t="shared" si="637"/>
        <v>-</v>
      </c>
      <c r="BN402" s="979" t="str">
        <f t="shared" si="637"/>
        <v>-</v>
      </c>
      <c r="BO402" s="1352" t="str">
        <f t="shared" si="637"/>
        <v>-</v>
      </c>
      <c r="BP402" s="1345" t="str">
        <f t="shared" si="637"/>
        <v>-</v>
      </c>
      <c r="BQ402" s="979" t="str">
        <f t="shared" si="637"/>
        <v>-</v>
      </c>
      <c r="BR402" s="979" t="str">
        <f t="shared" si="637"/>
        <v>-</v>
      </c>
      <c r="BS402" s="979" t="str">
        <f t="shared" si="637"/>
        <v>-</v>
      </c>
      <c r="BT402" s="980" t="str">
        <f t="shared" si="637"/>
        <v>-</v>
      </c>
      <c r="BU402" s="979" t="str">
        <f t="shared" si="637"/>
        <v>-</v>
      </c>
      <c r="BV402" s="979" t="str">
        <f>IF(AG402="","-",IFERROR((AG402/AF402-1)*(AF404/AF$13),"-"))</f>
        <v>-</v>
      </c>
      <c r="BW402" s="979" t="str">
        <f>IF(AH402="","-",IFERROR((AH402/AG402-1)*(AG404/AG$13),"-"))</f>
        <v>-</v>
      </c>
      <c r="BX402" s="979" t="str">
        <f>IF(AI402="","-",IFERROR((AI402/AH402-1)*(AH404/AH$13),"-"))</f>
        <v>-</v>
      </c>
      <c r="BY402" s="981" t="str">
        <f>IF(AJ402="","-",IFERROR((AJ402/AI402-1)*(AI404/AI$13),"-"))</f>
        <v>-</v>
      </c>
      <c r="BZ402" s="951"/>
      <c r="CA402" s="975" t="str">
        <f t="shared" si="594"/>
        <v>Price</v>
      </c>
      <c r="CB402" s="976" t="str">
        <f t="shared" si="595"/>
        <v>[Service]</v>
      </c>
      <c r="CC402" s="982" t="str">
        <f t="shared" si="596"/>
        <v>[Price]</v>
      </c>
      <c r="CD402" s="983" t="str">
        <f t="shared" si="620"/>
        <v>-</v>
      </c>
      <c r="CE402" s="979" t="str">
        <f t="shared" si="620"/>
        <v>-</v>
      </c>
      <c r="CF402" s="979" t="str">
        <f t="shared" si="620"/>
        <v>-</v>
      </c>
      <c r="CG402" s="980" t="str">
        <f t="shared" si="620"/>
        <v>-</v>
      </c>
      <c r="CH402" s="979" t="str">
        <f t="shared" si="621"/>
        <v>-</v>
      </c>
      <c r="CI402" s="979" t="str">
        <f t="shared" si="621"/>
        <v>-</v>
      </c>
      <c r="CJ402" s="979" t="str">
        <f t="shared" si="621"/>
        <v>-</v>
      </c>
      <c r="CK402" s="981" t="str">
        <f t="shared" si="621"/>
        <v>-</v>
      </c>
    </row>
    <row r="403" spans="4:89">
      <c r="E403" s="567" t="s">
        <v>880</v>
      </c>
      <c r="F403" s="554" t="str">
        <f>+F402</f>
        <v>[Service]</v>
      </c>
      <c r="G403" s="555">
        <f>+G402</f>
        <v>0</v>
      </c>
      <c r="H403" s="555">
        <f>+H402</f>
        <v>0</v>
      </c>
      <c r="I403" s="556" t="str">
        <f>+I402</f>
        <v>[Price]</v>
      </c>
      <c r="J403" s="590" t="s">
        <v>916</v>
      </c>
      <c r="K403" s="557"/>
      <c r="L403" s="558"/>
      <c r="M403" s="558"/>
      <c r="N403" s="557"/>
      <c r="O403" s="558"/>
      <c r="P403" s="558"/>
      <c r="Q403" s="558"/>
      <c r="R403" s="1036"/>
      <c r="S403" s="1139"/>
      <c r="T403" s="593"/>
      <c r="U403" s="1036"/>
      <c r="V403" s="593"/>
      <c r="W403" s="593"/>
      <c r="X403" s="593"/>
      <c r="Y403" s="593"/>
      <c r="Z403" s="593"/>
      <c r="AA403" s="1139"/>
      <c r="AB403" s="593"/>
      <c r="AC403" s="593"/>
      <c r="AD403" s="593"/>
      <c r="AE403" s="1036"/>
      <c r="AF403" s="593"/>
      <c r="AG403" s="593"/>
      <c r="AH403" s="593"/>
      <c r="AI403" s="593"/>
      <c r="AJ403" s="594"/>
      <c r="AK403" s="548"/>
      <c r="AO403" s="961" t="str">
        <f t="shared" si="598"/>
        <v>Qty</v>
      </c>
      <c r="AP403" s="962" t="str">
        <f t="shared" si="598"/>
        <v>[Service]</v>
      </c>
      <c r="AQ403" s="963" t="str">
        <f t="shared" si="599"/>
        <v>[Price]</v>
      </c>
      <c r="AR403" s="967" t="str">
        <f t="shared" si="600"/>
        <v>-</v>
      </c>
      <c r="AS403" s="964" t="str">
        <f t="shared" si="601"/>
        <v>-</v>
      </c>
      <c r="AT403" s="964" t="str">
        <f t="shared" si="602"/>
        <v>-</v>
      </c>
      <c r="AU403" s="964" t="str">
        <f t="shared" si="603"/>
        <v>-</v>
      </c>
      <c r="AV403" s="1350" t="str">
        <f t="shared" si="604"/>
        <v>-</v>
      </c>
      <c r="AW403" s="1343" t="str">
        <f t="shared" si="605"/>
        <v>-</v>
      </c>
      <c r="AX403" s="964" t="str">
        <f t="shared" si="606"/>
        <v>-</v>
      </c>
      <c r="AY403" s="964" t="str">
        <f t="shared" si="607"/>
        <v>-</v>
      </c>
      <c r="AZ403" s="964" t="str">
        <f t="shared" si="608"/>
        <v>-</v>
      </c>
      <c r="BA403" s="965" t="str">
        <f t="shared" si="609"/>
        <v>-</v>
      </c>
      <c r="BB403" s="1343" t="str">
        <f t="shared" si="610"/>
        <v>-</v>
      </c>
      <c r="BC403" s="964" t="str">
        <f t="shared" si="611"/>
        <v>-</v>
      </c>
      <c r="BD403" s="964" t="str">
        <f t="shared" si="612"/>
        <v>-</v>
      </c>
      <c r="BE403" s="964" t="str">
        <f t="shared" si="613"/>
        <v>-</v>
      </c>
      <c r="BF403" s="966" t="str">
        <f t="shared" si="614"/>
        <v>-</v>
      </c>
      <c r="BG403" s="951"/>
      <c r="BH403" s="961" t="str">
        <f t="shared" si="615"/>
        <v>Qty</v>
      </c>
      <c r="BI403" s="962" t="str">
        <f t="shared" si="616"/>
        <v>[Service]</v>
      </c>
      <c r="BJ403" s="963" t="str">
        <f t="shared" si="617"/>
        <v>[Price]</v>
      </c>
      <c r="BK403" s="964" t="str">
        <f t="shared" ref="BK403:BU403" si="638">IF(V403="","-",IFERROR((V403/U403-1)*(U404/U$13),"-"))</f>
        <v>-</v>
      </c>
      <c r="BL403" s="964" t="str">
        <f t="shared" si="638"/>
        <v>-</v>
      </c>
      <c r="BM403" s="964" t="str">
        <f t="shared" si="638"/>
        <v>-</v>
      </c>
      <c r="BN403" s="964" t="str">
        <f t="shared" si="638"/>
        <v>-</v>
      </c>
      <c r="BO403" s="1350" t="str">
        <f t="shared" si="638"/>
        <v>-</v>
      </c>
      <c r="BP403" s="1343" t="str">
        <f t="shared" si="638"/>
        <v>-</v>
      </c>
      <c r="BQ403" s="964" t="str">
        <f t="shared" si="638"/>
        <v>-</v>
      </c>
      <c r="BR403" s="964" t="str">
        <f t="shared" si="638"/>
        <v>-</v>
      </c>
      <c r="BS403" s="964" t="str">
        <f t="shared" si="638"/>
        <v>-</v>
      </c>
      <c r="BT403" s="965" t="str">
        <f t="shared" si="638"/>
        <v>-</v>
      </c>
      <c r="BU403" s="964" t="str">
        <f t="shared" si="638"/>
        <v>-</v>
      </c>
      <c r="BV403" s="964" t="str">
        <f>IF(AG403="","-",IFERROR((AG403/AF403-1)*(AF404/AF$13),"-"))</f>
        <v>-</v>
      </c>
      <c r="BW403" s="964" t="str">
        <f>IF(AH403="","-",IFERROR((AH403/AG403-1)*(AG404/AG$13),"-"))</f>
        <v>-</v>
      </c>
      <c r="BX403" s="964" t="str">
        <f>IF(AI403="","-",IFERROR((AI403/AH403-1)*(AH404/AH$13),"-"))</f>
        <v>-</v>
      </c>
      <c r="BY403" s="966" t="str">
        <f>IF(AJ403="","-",IFERROR((AJ403/AI403-1)*(AI404/AI$13),"-"))</f>
        <v>-</v>
      </c>
      <c r="BZ403" s="951"/>
      <c r="CA403" s="961" t="str">
        <f t="shared" si="594"/>
        <v>Qty</v>
      </c>
      <c r="CB403" s="962" t="str">
        <f t="shared" si="595"/>
        <v>[Service]</v>
      </c>
      <c r="CC403" s="962" t="str">
        <f t="shared" si="596"/>
        <v>[Price]</v>
      </c>
      <c r="CD403" s="967" t="str">
        <f t="shared" si="620"/>
        <v>-</v>
      </c>
      <c r="CE403" s="964" t="str">
        <f t="shared" si="620"/>
        <v>-</v>
      </c>
      <c r="CF403" s="964" t="str">
        <f t="shared" si="620"/>
        <v>-</v>
      </c>
      <c r="CG403" s="965" t="str">
        <f t="shared" si="620"/>
        <v>-</v>
      </c>
      <c r="CH403" s="964" t="str">
        <f t="shared" si="621"/>
        <v>-</v>
      </c>
      <c r="CI403" s="964" t="str">
        <f t="shared" si="621"/>
        <v>-</v>
      </c>
      <c r="CJ403" s="964" t="str">
        <f t="shared" si="621"/>
        <v>-</v>
      </c>
      <c r="CK403" s="966" t="str">
        <f t="shared" si="621"/>
        <v>-</v>
      </c>
    </row>
    <row r="404" spans="4:89" ht="12.75" thickBot="1">
      <c r="E404" s="568" t="s">
        <v>882</v>
      </c>
      <c r="F404" s="560" t="str">
        <f>+F402</f>
        <v>[Service]</v>
      </c>
      <c r="G404" s="561">
        <f>+G402</f>
        <v>0</v>
      </c>
      <c r="H404" s="561">
        <f>+H402</f>
        <v>0</v>
      </c>
      <c r="I404" s="562" t="str">
        <f>+I402</f>
        <v>[Price]</v>
      </c>
      <c r="J404" s="563" t="s">
        <v>883</v>
      </c>
      <c r="K404" s="564">
        <f t="shared" ref="K404:AJ404" si="639">K402*K403/10^6</f>
        <v>0</v>
      </c>
      <c r="L404" s="565">
        <f t="shared" si="639"/>
        <v>0</v>
      </c>
      <c r="M404" s="565">
        <f t="shared" si="639"/>
        <v>0</v>
      </c>
      <c r="N404" s="564">
        <f t="shared" si="639"/>
        <v>0</v>
      </c>
      <c r="O404" s="565">
        <f t="shared" si="639"/>
        <v>0</v>
      </c>
      <c r="P404" s="565">
        <f t="shared" si="639"/>
        <v>0</v>
      </c>
      <c r="Q404" s="565">
        <f t="shared" si="639"/>
        <v>0</v>
      </c>
      <c r="R404" s="566">
        <f t="shared" si="639"/>
        <v>0</v>
      </c>
      <c r="S404" s="564">
        <f t="shared" si="639"/>
        <v>0</v>
      </c>
      <c r="T404" s="565">
        <f t="shared" si="639"/>
        <v>0</v>
      </c>
      <c r="U404" s="566">
        <f t="shared" si="639"/>
        <v>0</v>
      </c>
      <c r="V404" s="565">
        <f t="shared" si="639"/>
        <v>0</v>
      </c>
      <c r="W404" s="565">
        <f t="shared" si="639"/>
        <v>0</v>
      </c>
      <c r="X404" s="565">
        <f t="shared" si="639"/>
        <v>0</v>
      </c>
      <c r="Y404" s="565">
        <f t="shared" si="639"/>
        <v>0</v>
      </c>
      <c r="Z404" s="565">
        <f t="shared" si="639"/>
        <v>0</v>
      </c>
      <c r="AA404" s="564">
        <f t="shared" si="639"/>
        <v>0</v>
      </c>
      <c r="AB404" s="565">
        <f t="shared" si="639"/>
        <v>0</v>
      </c>
      <c r="AC404" s="565">
        <f t="shared" si="639"/>
        <v>0</v>
      </c>
      <c r="AD404" s="565">
        <f t="shared" si="639"/>
        <v>0</v>
      </c>
      <c r="AE404" s="566">
        <f t="shared" si="639"/>
        <v>0</v>
      </c>
      <c r="AF404" s="565">
        <f t="shared" si="639"/>
        <v>0</v>
      </c>
      <c r="AG404" s="565">
        <f>AG402*AG403/10^6</f>
        <v>0</v>
      </c>
      <c r="AH404" s="565">
        <f>AH402*AH403/10^6</f>
        <v>0</v>
      </c>
      <c r="AI404" s="565">
        <f>AI402*AI403/10^6</f>
        <v>0</v>
      </c>
      <c r="AJ404" s="566">
        <f t="shared" si="639"/>
        <v>0</v>
      </c>
      <c r="AK404" s="548"/>
      <c r="AO404" s="984" t="str">
        <f t="shared" si="598"/>
        <v>Rev</v>
      </c>
      <c r="AP404" s="985" t="str">
        <f t="shared" si="598"/>
        <v>[Service]</v>
      </c>
      <c r="AQ404" s="986" t="str">
        <f t="shared" si="599"/>
        <v>[Price]</v>
      </c>
      <c r="AR404" s="990" t="str">
        <f t="shared" si="600"/>
        <v>-</v>
      </c>
      <c r="AS404" s="987" t="str">
        <f t="shared" si="601"/>
        <v>-</v>
      </c>
      <c r="AT404" s="987" t="str">
        <f t="shared" si="602"/>
        <v>-</v>
      </c>
      <c r="AU404" s="987" t="str">
        <f t="shared" si="603"/>
        <v>-</v>
      </c>
      <c r="AV404" s="1353" t="str">
        <f t="shared" si="604"/>
        <v>-</v>
      </c>
      <c r="AW404" s="1346" t="str">
        <f t="shared" si="605"/>
        <v>-</v>
      </c>
      <c r="AX404" s="987" t="str">
        <f t="shared" si="606"/>
        <v>-</v>
      </c>
      <c r="AY404" s="987" t="str">
        <f t="shared" si="607"/>
        <v>-</v>
      </c>
      <c r="AZ404" s="987" t="str">
        <f t="shared" si="608"/>
        <v>-</v>
      </c>
      <c r="BA404" s="988" t="str">
        <f t="shared" si="609"/>
        <v>-</v>
      </c>
      <c r="BB404" s="1346" t="str">
        <f t="shared" si="610"/>
        <v>-</v>
      </c>
      <c r="BC404" s="987" t="str">
        <f t="shared" si="611"/>
        <v>-</v>
      </c>
      <c r="BD404" s="987" t="str">
        <f t="shared" si="612"/>
        <v>-</v>
      </c>
      <c r="BE404" s="987" t="str">
        <f t="shared" si="613"/>
        <v>-</v>
      </c>
      <c r="BF404" s="989" t="str">
        <f t="shared" si="614"/>
        <v>-</v>
      </c>
      <c r="BG404" s="951"/>
      <c r="BH404" s="984" t="str">
        <f t="shared" ref="BH404:BJ443" si="640">AO404</f>
        <v>Rev</v>
      </c>
      <c r="BI404" s="985" t="str">
        <f t="shared" si="640"/>
        <v>[Service]</v>
      </c>
      <c r="BJ404" s="986" t="str">
        <f t="shared" si="640"/>
        <v>[Price]</v>
      </c>
      <c r="BK404" s="987" t="str">
        <f t="shared" ref="BK404:BU404" si="641">IF(V404="","-",IFERROR((V404/U404-1)*(U404/U$13),"-"))</f>
        <v>-</v>
      </c>
      <c r="BL404" s="987" t="str">
        <f t="shared" si="641"/>
        <v>-</v>
      </c>
      <c r="BM404" s="987" t="str">
        <f t="shared" si="641"/>
        <v>-</v>
      </c>
      <c r="BN404" s="987" t="str">
        <f t="shared" si="641"/>
        <v>-</v>
      </c>
      <c r="BO404" s="1353" t="str">
        <f t="shared" si="641"/>
        <v>-</v>
      </c>
      <c r="BP404" s="1346" t="str">
        <f t="shared" si="641"/>
        <v>-</v>
      </c>
      <c r="BQ404" s="987" t="str">
        <f t="shared" si="641"/>
        <v>-</v>
      </c>
      <c r="BR404" s="987" t="str">
        <f t="shared" si="641"/>
        <v>-</v>
      </c>
      <c r="BS404" s="987" t="str">
        <f t="shared" si="641"/>
        <v>-</v>
      </c>
      <c r="BT404" s="988" t="str">
        <f t="shared" si="641"/>
        <v>-</v>
      </c>
      <c r="BU404" s="987" t="str">
        <f t="shared" si="641"/>
        <v>-</v>
      </c>
      <c r="BV404" s="987" t="str">
        <f>IF(AG404="","-",IFERROR((AG404/AF404-1)*(AF404/AF$13),"-"))</f>
        <v>-</v>
      </c>
      <c r="BW404" s="987" t="str">
        <f>IF(AH404="","-",IFERROR((AH404/AG404-1)*(AG404/AG$13),"-"))</f>
        <v>-</v>
      </c>
      <c r="BX404" s="987" t="str">
        <f>IF(AI404="","-",IFERROR((AI404/AH404-1)*(AH404/AH$13),"-"))</f>
        <v>-</v>
      </c>
      <c r="BY404" s="989" t="str">
        <f>IF(AJ404="","-",IFERROR((AJ404/AI404-1)*(AI404/AI$13),"-"))</f>
        <v>-</v>
      </c>
      <c r="BZ404" s="951"/>
      <c r="CA404" s="984" t="str">
        <f t="shared" si="594"/>
        <v>Rev</v>
      </c>
      <c r="CB404" s="985" t="str">
        <f t="shared" si="595"/>
        <v>[Service]</v>
      </c>
      <c r="CC404" s="985" t="str">
        <f t="shared" si="596"/>
        <v>[Price]</v>
      </c>
      <c r="CD404" s="990" t="str">
        <f t="shared" si="620"/>
        <v>-</v>
      </c>
      <c r="CE404" s="987" t="str">
        <f t="shared" si="620"/>
        <v>-</v>
      </c>
      <c r="CF404" s="987" t="str">
        <f t="shared" si="620"/>
        <v>-</v>
      </c>
      <c r="CG404" s="988" t="str">
        <f t="shared" si="620"/>
        <v>-</v>
      </c>
      <c r="CH404" s="987" t="str">
        <f t="shared" si="621"/>
        <v>-</v>
      </c>
      <c r="CI404" s="987" t="str">
        <f t="shared" si="621"/>
        <v>-</v>
      </c>
      <c r="CJ404" s="987" t="str">
        <f t="shared" si="621"/>
        <v>-</v>
      </c>
      <c r="CK404" s="989" t="str">
        <f t="shared" si="621"/>
        <v>-</v>
      </c>
    </row>
    <row r="405" spans="4:89">
      <c r="D405" s="63">
        <f>D402+1</f>
        <v>113</v>
      </c>
      <c r="E405" s="550" t="s">
        <v>857</v>
      </c>
      <c r="F405" s="595" t="s">
        <v>428</v>
      </c>
      <c r="G405" s="595"/>
      <c r="H405" s="595"/>
      <c r="I405" s="589" t="s">
        <v>920</v>
      </c>
      <c r="J405" s="589" t="s">
        <v>879</v>
      </c>
      <c r="K405" s="551"/>
      <c r="L405" s="552"/>
      <c r="M405" s="552"/>
      <c r="N405" s="551"/>
      <c r="O405" s="552"/>
      <c r="P405" s="552"/>
      <c r="Q405" s="552"/>
      <c r="R405" s="1035"/>
      <c r="S405" s="1138"/>
      <c r="T405" s="591"/>
      <c r="U405" s="1035"/>
      <c r="V405" s="591"/>
      <c r="W405" s="591"/>
      <c r="X405" s="591"/>
      <c r="Y405" s="591"/>
      <c r="Z405" s="591"/>
      <c r="AA405" s="1138"/>
      <c r="AB405" s="591"/>
      <c r="AC405" s="591"/>
      <c r="AD405" s="591"/>
      <c r="AE405" s="1035"/>
      <c r="AF405" s="591"/>
      <c r="AG405" s="591"/>
      <c r="AH405" s="591"/>
      <c r="AI405" s="591"/>
      <c r="AJ405" s="592"/>
      <c r="AK405" s="548"/>
      <c r="AM405" s="974"/>
      <c r="AO405" s="975" t="str">
        <f t="shared" si="598"/>
        <v>Price</v>
      </c>
      <c r="AP405" s="976" t="str">
        <f t="shared" si="598"/>
        <v>[Service]</v>
      </c>
      <c r="AQ405" s="977" t="str">
        <f t="shared" si="599"/>
        <v>[Price]</v>
      </c>
      <c r="AR405" s="1341" t="str">
        <f t="shared" si="600"/>
        <v>-</v>
      </c>
      <c r="AS405" s="978" t="str">
        <f t="shared" si="601"/>
        <v>-</v>
      </c>
      <c r="AT405" s="979" t="str">
        <f t="shared" si="602"/>
        <v>-</v>
      </c>
      <c r="AU405" s="979" t="str">
        <f t="shared" si="603"/>
        <v>-</v>
      </c>
      <c r="AV405" s="1352" t="str">
        <f t="shared" si="604"/>
        <v>-</v>
      </c>
      <c r="AW405" s="1345" t="str">
        <f t="shared" si="605"/>
        <v>-</v>
      </c>
      <c r="AX405" s="979" t="str">
        <f t="shared" si="606"/>
        <v>-</v>
      </c>
      <c r="AY405" s="979" t="str">
        <f t="shared" si="607"/>
        <v>-</v>
      </c>
      <c r="AZ405" s="979" t="str">
        <f t="shared" si="608"/>
        <v>-</v>
      </c>
      <c r="BA405" s="980" t="str">
        <f t="shared" si="609"/>
        <v>-</v>
      </c>
      <c r="BB405" s="1345" t="str">
        <f t="shared" si="610"/>
        <v>-</v>
      </c>
      <c r="BC405" s="979" t="str">
        <f t="shared" si="611"/>
        <v>-</v>
      </c>
      <c r="BD405" s="979" t="str">
        <f t="shared" si="612"/>
        <v>-</v>
      </c>
      <c r="BE405" s="979" t="str">
        <f t="shared" si="613"/>
        <v>-</v>
      </c>
      <c r="BF405" s="981" t="str">
        <f t="shared" si="614"/>
        <v>-</v>
      </c>
      <c r="BG405" s="951"/>
      <c r="BH405" s="975" t="str">
        <f t="shared" si="640"/>
        <v>Price</v>
      </c>
      <c r="BI405" s="976" t="str">
        <f t="shared" si="640"/>
        <v>[Service]</v>
      </c>
      <c r="BJ405" s="977" t="str">
        <f t="shared" si="640"/>
        <v>[Price]</v>
      </c>
      <c r="BK405" s="978" t="str">
        <f t="shared" ref="BK405:BU405" si="642">IF(V405="","-",IFERROR((V405/U405-1)*(U407/U$13),"-"))</f>
        <v>-</v>
      </c>
      <c r="BL405" s="978" t="str">
        <f t="shared" si="642"/>
        <v>-</v>
      </c>
      <c r="BM405" s="979" t="str">
        <f t="shared" si="642"/>
        <v>-</v>
      </c>
      <c r="BN405" s="979" t="str">
        <f t="shared" si="642"/>
        <v>-</v>
      </c>
      <c r="BO405" s="1352" t="str">
        <f t="shared" si="642"/>
        <v>-</v>
      </c>
      <c r="BP405" s="1345" t="str">
        <f t="shared" si="642"/>
        <v>-</v>
      </c>
      <c r="BQ405" s="979" t="str">
        <f t="shared" si="642"/>
        <v>-</v>
      </c>
      <c r="BR405" s="979" t="str">
        <f t="shared" si="642"/>
        <v>-</v>
      </c>
      <c r="BS405" s="979" t="str">
        <f t="shared" si="642"/>
        <v>-</v>
      </c>
      <c r="BT405" s="980" t="str">
        <f t="shared" si="642"/>
        <v>-</v>
      </c>
      <c r="BU405" s="979" t="str">
        <f t="shared" si="642"/>
        <v>-</v>
      </c>
      <c r="BV405" s="979" t="str">
        <f>IF(AG405="","-",IFERROR((AG405/AF405-1)*(AF407/AF$13),"-"))</f>
        <v>-</v>
      </c>
      <c r="BW405" s="979" t="str">
        <f>IF(AH405="","-",IFERROR((AH405/AG405-1)*(AG407/AG$13),"-"))</f>
        <v>-</v>
      </c>
      <c r="BX405" s="979" t="str">
        <f>IF(AI405="","-",IFERROR((AI405/AH405-1)*(AH407/AH$13),"-"))</f>
        <v>-</v>
      </c>
      <c r="BY405" s="981" t="str">
        <f>IF(AJ405="","-",IFERROR((AJ405/AI405-1)*(AI407/AI$13),"-"))</f>
        <v>-</v>
      </c>
      <c r="BZ405" s="951"/>
      <c r="CA405" s="975" t="str">
        <f t="shared" si="594"/>
        <v>Price</v>
      </c>
      <c r="CB405" s="976" t="str">
        <f t="shared" si="595"/>
        <v>[Service]</v>
      </c>
      <c r="CC405" s="982" t="str">
        <f t="shared" si="596"/>
        <v>[Price]</v>
      </c>
      <c r="CD405" s="983" t="str">
        <f t="shared" si="620"/>
        <v>-</v>
      </c>
      <c r="CE405" s="979" t="str">
        <f t="shared" si="620"/>
        <v>-</v>
      </c>
      <c r="CF405" s="979" t="str">
        <f t="shared" si="620"/>
        <v>-</v>
      </c>
      <c r="CG405" s="980" t="str">
        <f t="shared" si="620"/>
        <v>-</v>
      </c>
      <c r="CH405" s="979" t="str">
        <f t="shared" si="621"/>
        <v>-</v>
      </c>
      <c r="CI405" s="979" t="str">
        <f t="shared" si="621"/>
        <v>-</v>
      </c>
      <c r="CJ405" s="979" t="str">
        <f t="shared" si="621"/>
        <v>-</v>
      </c>
      <c r="CK405" s="981" t="str">
        <f t="shared" si="621"/>
        <v>-</v>
      </c>
    </row>
    <row r="406" spans="4:89">
      <c r="E406" s="567" t="s">
        <v>880</v>
      </c>
      <c r="F406" s="554" t="str">
        <f>+F405</f>
        <v>[Service]</v>
      </c>
      <c r="G406" s="555">
        <f>+G405</f>
        <v>0</v>
      </c>
      <c r="H406" s="555">
        <f>+H405</f>
        <v>0</v>
      </c>
      <c r="I406" s="556" t="str">
        <f>+I405</f>
        <v>[Price]</v>
      </c>
      <c r="J406" s="590" t="s">
        <v>916</v>
      </c>
      <c r="K406" s="557"/>
      <c r="L406" s="558"/>
      <c r="M406" s="558"/>
      <c r="N406" s="557"/>
      <c r="O406" s="558"/>
      <c r="P406" s="558"/>
      <c r="Q406" s="558"/>
      <c r="R406" s="1036"/>
      <c r="S406" s="1139"/>
      <c r="T406" s="593"/>
      <c r="U406" s="1036"/>
      <c r="V406" s="593"/>
      <c r="W406" s="593"/>
      <c r="X406" s="593"/>
      <c r="Y406" s="593"/>
      <c r="Z406" s="593"/>
      <c r="AA406" s="1139"/>
      <c r="AB406" s="593"/>
      <c r="AC406" s="593"/>
      <c r="AD406" s="593"/>
      <c r="AE406" s="1036"/>
      <c r="AF406" s="593"/>
      <c r="AG406" s="593"/>
      <c r="AH406" s="593"/>
      <c r="AI406" s="593"/>
      <c r="AJ406" s="594"/>
      <c r="AK406" s="548"/>
      <c r="AO406" s="961" t="str">
        <f t="shared" si="598"/>
        <v>Qty</v>
      </c>
      <c r="AP406" s="962" t="str">
        <f t="shared" si="598"/>
        <v>[Service]</v>
      </c>
      <c r="AQ406" s="963" t="str">
        <f t="shared" si="599"/>
        <v>[Price]</v>
      </c>
      <c r="AR406" s="967" t="str">
        <f t="shared" si="600"/>
        <v>-</v>
      </c>
      <c r="AS406" s="964" t="str">
        <f t="shared" si="601"/>
        <v>-</v>
      </c>
      <c r="AT406" s="964" t="str">
        <f t="shared" si="602"/>
        <v>-</v>
      </c>
      <c r="AU406" s="964" t="str">
        <f t="shared" si="603"/>
        <v>-</v>
      </c>
      <c r="AV406" s="1350" t="str">
        <f t="shared" si="604"/>
        <v>-</v>
      </c>
      <c r="AW406" s="1343" t="str">
        <f t="shared" si="605"/>
        <v>-</v>
      </c>
      <c r="AX406" s="964" t="str">
        <f t="shared" si="606"/>
        <v>-</v>
      </c>
      <c r="AY406" s="964" t="str">
        <f t="shared" si="607"/>
        <v>-</v>
      </c>
      <c r="AZ406" s="964" t="str">
        <f t="shared" si="608"/>
        <v>-</v>
      </c>
      <c r="BA406" s="965" t="str">
        <f t="shared" si="609"/>
        <v>-</v>
      </c>
      <c r="BB406" s="1343" t="str">
        <f t="shared" si="610"/>
        <v>-</v>
      </c>
      <c r="BC406" s="964" t="str">
        <f t="shared" si="611"/>
        <v>-</v>
      </c>
      <c r="BD406" s="964" t="str">
        <f t="shared" si="612"/>
        <v>-</v>
      </c>
      <c r="BE406" s="964" t="str">
        <f t="shared" si="613"/>
        <v>-</v>
      </c>
      <c r="BF406" s="966" t="str">
        <f t="shared" si="614"/>
        <v>-</v>
      </c>
      <c r="BG406" s="951"/>
      <c r="BH406" s="961" t="str">
        <f t="shared" si="640"/>
        <v>Qty</v>
      </c>
      <c r="BI406" s="962" t="str">
        <f t="shared" si="640"/>
        <v>[Service]</v>
      </c>
      <c r="BJ406" s="963" t="str">
        <f t="shared" si="640"/>
        <v>[Price]</v>
      </c>
      <c r="BK406" s="964" t="str">
        <f t="shared" ref="BK406:BU406" si="643">IF(V406="","-",IFERROR((V406/U406-1)*(U407/U$13),"-"))</f>
        <v>-</v>
      </c>
      <c r="BL406" s="964" t="str">
        <f t="shared" si="643"/>
        <v>-</v>
      </c>
      <c r="BM406" s="964" t="str">
        <f t="shared" si="643"/>
        <v>-</v>
      </c>
      <c r="BN406" s="964" t="str">
        <f t="shared" si="643"/>
        <v>-</v>
      </c>
      <c r="BO406" s="1350" t="str">
        <f t="shared" si="643"/>
        <v>-</v>
      </c>
      <c r="BP406" s="1343" t="str">
        <f t="shared" si="643"/>
        <v>-</v>
      </c>
      <c r="BQ406" s="964" t="str">
        <f t="shared" si="643"/>
        <v>-</v>
      </c>
      <c r="BR406" s="964" t="str">
        <f t="shared" si="643"/>
        <v>-</v>
      </c>
      <c r="BS406" s="964" t="str">
        <f t="shared" si="643"/>
        <v>-</v>
      </c>
      <c r="BT406" s="965" t="str">
        <f t="shared" si="643"/>
        <v>-</v>
      </c>
      <c r="BU406" s="964" t="str">
        <f t="shared" si="643"/>
        <v>-</v>
      </c>
      <c r="BV406" s="964" t="str">
        <f>IF(AG406="","-",IFERROR((AG406/AF406-1)*(AF407/AF$13),"-"))</f>
        <v>-</v>
      </c>
      <c r="BW406" s="964" t="str">
        <f>IF(AH406="","-",IFERROR((AH406/AG406-1)*(AG407/AG$13),"-"))</f>
        <v>-</v>
      </c>
      <c r="BX406" s="964" t="str">
        <f>IF(AI406="","-",IFERROR((AI406/AH406-1)*(AH407/AH$13),"-"))</f>
        <v>-</v>
      </c>
      <c r="BY406" s="966" t="str">
        <f>IF(AJ406="","-",IFERROR((AJ406/AI406-1)*(AI407/AI$13),"-"))</f>
        <v>-</v>
      </c>
      <c r="BZ406" s="951"/>
      <c r="CA406" s="961" t="str">
        <f t="shared" si="594"/>
        <v>Qty</v>
      </c>
      <c r="CB406" s="962" t="str">
        <f t="shared" si="595"/>
        <v>[Service]</v>
      </c>
      <c r="CC406" s="962" t="str">
        <f t="shared" si="596"/>
        <v>[Price]</v>
      </c>
      <c r="CD406" s="967" t="str">
        <f t="shared" si="620"/>
        <v>-</v>
      </c>
      <c r="CE406" s="964" t="str">
        <f t="shared" si="620"/>
        <v>-</v>
      </c>
      <c r="CF406" s="964" t="str">
        <f t="shared" si="620"/>
        <v>-</v>
      </c>
      <c r="CG406" s="965" t="str">
        <f t="shared" si="620"/>
        <v>-</v>
      </c>
      <c r="CH406" s="964" t="str">
        <f t="shared" si="621"/>
        <v>-</v>
      </c>
      <c r="CI406" s="964" t="str">
        <f t="shared" si="621"/>
        <v>-</v>
      </c>
      <c r="CJ406" s="964" t="str">
        <f t="shared" si="621"/>
        <v>-</v>
      </c>
      <c r="CK406" s="966" t="str">
        <f t="shared" si="621"/>
        <v>-</v>
      </c>
    </row>
    <row r="407" spans="4:89" ht="12.75" thickBot="1">
      <c r="E407" s="568" t="s">
        <v>882</v>
      </c>
      <c r="F407" s="560" t="str">
        <f>+F405</f>
        <v>[Service]</v>
      </c>
      <c r="G407" s="561">
        <f>+G405</f>
        <v>0</v>
      </c>
      <c r="H407" s="561">
        <f>+H405</f>
        <v>0</v>
      </c>
      <c r="I407" s="562" t="str">
        <f>+I405</f>
        <v>[Price]</v>
      </c>
      <c r="J407" s="563" t="s">
        <v>883</v>
      </c>
      <c r="K407" s="564">
        <f t="shared" ref="K407:AJ407" si="644">K405*K406/10^6</f>
        <v>0</v>
      </c>
      <c r="L407" s="565">
        <f t="shared" si="644"/>
        <v>0</v>
      </c>
      <c r="M407" s="565">
        <f t="shared" si="644"/>
        <v>0</v>
      </c>
      <c r="N407" s="564">
        <f t="shared" si="644"/>
        <v>0</v>
      </c>
      <c r="O407" s="565">
        <f t="shared" si="644"/>
        <v>0</v>
      </c>
      <c r="P407" s="565">
        <f t="shared" si="644"/>
        <v>0</v>
      </c>
      <c r="Q407" s="565">
        <f t="shared" si="644"/>
        <v>0</v>
      </c>
      <c r="R407" s="566">
        <f t="shared" si="644"/>
        <v>0</v>
      </c>
      <c r="S407" s="564">
        <f t="shared" si="644"/>
        <v>0</v>
      </c>
      <c r="T407" s="565">
        <f t="shared" si="644"/>
        <v>0</v>
      </c>
      <c r="U407" s="566">
        <f t="shared" si="644"/>
        <v>0</v>
      </c>
      <c r="V407" s="565">
        <f t="shared" si="644"/>
        <v>0</v>
      </c>
      <c r="W407" s="565">
        <f t="shared" si="644"/>
        <v>0</v>
      </c>
      <c r="X407" s="565">
        <f t="shared" si="644"/>
        <v>0</v>
      </c>
      <c r="Y407" s="565">
        <f t="shared" si="644"/>
        <v>0</v>
      </c>
      <c r="Z407" s="565">
        <f t="shared" si="644"/>
        <v>0</v>
      </c>
      <c r="AA407" s="564">
        <f t="shared" si="644"/>
        <v>0</v>
      </c>
      <c r="AB407" s="565">
        <f t="shared" si="644"/>
        <v>0</v>
      </c>
      <c r="AC407" s="565">
        <f t="shared" si="644"/>
        <v>0</v>
      </c>
      <c r="AD407" s="565">
        <f t="shared" si="644"/>
        <v>0</v>
      </c>
      <c r="AE407" s="566">
        <f t="shared" si="644"/>
        <v>0</v>
      </c>
      <c r="AF407" s="565">
        <f t="shared" si="644"/>
        <v>0</v>
      </c>
      <c r="AG407" s="565">
        <f>AG405*AG406/10^6</f>
        <v>0</v>
      </c>
      <c r="AH407" s="565">
        <f>AH405*AH406/10^6</f>
        <v>0</v>
      </c>
      <c r="AI407" s="565">
        <f>AI405*AI406/10^6</f>
        <v>0</v>
      </c>
      <c r="AJ407" s="566">
        <f t="shared" si="644"/>
        <v>0</v>
      </c>
      <c r="AK407" s="548"/>
      <c r="AO407" s="984" t="str">
        <f t="shared" si="598"/>
        <v>Rev</v>
      </c>
      <c r="AP407" s="985" t="str">
        <f t="shared" si="598"/>
        <v>[Service]</v>
      </c>
      <c r="AQ407" s="986" t="str">
        <f t="shared" si="599"/>
        <v>[Price]</v>
      </c>
      <c r="AR407" s="990" t="str">
        <f t="shared" si="600"/>
        <v>-</v>
      </c>
      <c r="AS407" s="987" t="str">
        <f t="shared" si="601"/>
        <v>-</v>
      </c>
      <c r="AT407" s="987" t="str">
        <f t="shared" si="602"/>
        <v>-</v>
      </c>
      <c r="AU407" s="987" t="str">
        <f t="shared" si="603"/>
        <v>-</v>
      </c>
      <c r="AV407" s="1353" t="str">
        <f t="shared" si="604"/>
        <v>-</v>
      </c>
      <c r="AW407" s="1346" t="str">
        <f t="shared" si="605"/>
        <v>-</v>
      </c>
      <c r="AX407" s="987" t="str">
        <f t="shared" si="606"/>
        <v>-</v>
      </c>
      <c r="AY407" s="987" t="str">
        <f t="shared" si="607"/>
        <v>-</v>
      </c>
      <c r="AZ407" s="987" t="str">
        <f t="shared" si="608"/>
        <v>-</v>
      </c>
      <c r="BA407" s="988" t="str">
        <f t="shared" si="609"/>
        <v>-</v>
      </c>
      <c r="BB407" s="1346" t="str">
        <f t="shared" si="610"/>
        <v>-</v>
      </c>
      <c r="BC407" s="987" t="str">
        <f t="shared" si="611"/>
        <v>-</v>
      </c>
      <c r="BD407" s="987" t="str">
        <f t="shared" si="612"/>
        <v>-</v>
      </c>
      <c r="BE407" s="987" t="str">
        <f t="shared" si="613"/>
        <v>-</v>
      </c>
      <c r="BF407" s="989" t="str">
        <f t="shared" si="614"/>
        <v>-</v>
      </c>
      <c r="BG407" s="951"/>
      <c r="BH407" s="984" t="str">
        <f t="shared" si="640"/>
        <v>Rev</v>
      </c>
      <c r="BI407" s="985" t="str">
        <f t="shared" si="640"/>
        <v>[Service]</v>
      </c>
      <c r="BJ407" s="986" t="str">
        <f t="shared" si="640"/>
        <v>[Price]</v>
      </c>
      <c r="BK407" s="987" t="str">
        <f t="shared" ref="BK407:BU407" si="645">IF(V407="","-",IFERROR((V407/U407-1)*(U407/U$13),"-"))</f>
        <v>-</v>
      </c>
      <c r="BL407" s="987" t="str">
        <f t="shared" si="645"/>
        <v>-</v>
      </c>
      <c r="BM407" s="987" t="str">
        <f t="shared" si="645"/>
        <v>-</v>
      </c>
      <c r="BN407" s="987" t="str">
        <f t="shared" si="645"/>
        <v>-</v>
      </c>
      <c r="BO407" s="1353" t="str">
        <f t="shared" si="645"/>
        <v>-</v>
      </c>
      <c r="BP407" s="1346" t="str">
        <f t="shared" si="645"/>
        <v>-</v>
      </c>
      <c r="BQ407" s="987" t="str">
        <f t="shared" si="645"/>
        <v>-</v>
      </c>
      <c r="BR407" s="987" t="str">
        <f t="shared" si="645"/>
        <v>-</v>
      </c>
      <c r="BS407" s="987" t="str">
        <f t="shared" si="645"/>
        <v>-</v>
      </c>
      <c r="BT407" s="988" t="str">
        <f t="shared" si="645"/>
        <v>-</v>
      </c>
      <c r="BU407" s="987" t="str">
        <f t="shared" si="645"/>
        <v>-</v>
      </c>
      <c r="BV407" s="987" t="str">
        <f>IF(AG407="","-",IFERROR((AG407/AF407-1)*(AF407/AF$13),"-"))</f>
        <v>-</v>
      </c>
      <c r="BW407" s="987" t="str">
        <f>IF(AH407="","-",IFERROR((AH407/AG407-1)*(AG407/AG$13),"-"))</f>
        <v>-</v>
      </c>
      <c r="BX407" s="987" t="str">
        <f>IF(AI407="","-",IFERROR((AI407/AH407-1)*(AH407/AH$13),"-"))</f>
        <v>-</v>
      </c>
      <c r="BY407" s="989" t="str">
        <f>IF(AJ407="","-",IFERROR((AJ407/AI407-1)*(AI407/AI$13),"-"))</f>
        <v>-</v>
      </c>
      <c r="BZ407" s="951"/>
      <c r="CA407" s="984" t="str">
        <f t="shared" si="594"/>
        <v>Rev</v>
      </c>
      <c r="CB407" s="985" t="str">
        <f t="shared" si="595"/>
        <v>[Service]</v>
      </c>
      <c r="CC407" s="985" t="str">
        <f t="shared" si="596"/>
        <v>[Price]</v>
      </c>
      <c r="CD407" s="990" t="str">
        <f t="shared" si="620"/>
        <v>-</v>
      </c>
      <c r="CE407" s="987" t="str">
        <f t="shared" si="620"/>
        <v>-</v>
      </c>
      <c r="CF407" s="987" t="str">
        <f t="shared" si="620"/>
        <v>-</v>
      </c>
      <c r="CG407" s="988" t="str">
        <f t="shared" si="620"/>
        <v>-</v>
      </c>
      <c r="CH407" s="987" t="str">
        <f t="shared" si="621"/>
        <v>-</v>
      </c>
      <c r="CI407" s="987" t="str">
        <f t="shared" si="621"/>
        <v>-</v>
      </c>
      <c r="CJ407" s="987" t="str">
        <f t="shared" si="621"/>
        <v>-</v>
      </c>
      <c r="CK407" s="989" t="str">
        <f t="shared" si="621"/>
        <v>-</v>
      </c>
    </row>
    <row r="408" spans="4:89">
      <c r="D408" s="63">
        <f>D405+1</f>
        <v>114</v>
      </c>
      <c r="E408" s="550" t="s">
        <v>857</v>
      </c>
      <c r="F408" s="595" t="s">
        <v>428</v>
      </c>
      <c r="G408" s="595"/>
      <c r="H408" s="595"/>
      <c r="I408" s="589" t="s">
        <v>920</v>
      </c>
      <c r="J408" s="589" t="s">
        <v>879</v>
      </c>
      <c r="K408" s="551"/>
      <c r="L408" s="552"/>
      <c r="M408" s="552"/>
      <c r="N408" s="551"/>
      <c r="O408" s="552"/>
      <c r="P408" s="552"/>
      <c r="Q408" s="552"/>
      <c r="R408" s="1035"/>
      <c r="S408" s="1138"/>
      <c r="T408" s="591"/>
      <c r="U408" s="1035"/>
      <c r="V408" s="591"/>
      <c r="W408" s="591"/>
      <c r="X408" s="591"/>
      <c r="Y408" s="591"/>
      <c r="Z408" s="591"/>
      <c r="AA408" s="1138"/>
      <c r="AB408" s="591"/>
      <c r="AC408" s="591"/>
      <c r="AD408" s="591"/>
      <c r="AE408" s="1035"/>
      <c r="AF408" s="591"/>
      <c r="AG408" s="591"/>
      <c r="AH408" s="591"/>
      <c r="AI408" s="591"/>
      <c r="AJ408" s="592"/>
      <c r="AK408" s="548"/>
      <c r="AM408" s="974"/>
      <c r="AO408" s="975" t="str">
        <f t="shared" si="598"/>
        <v>Price</v>
      </c>
      <c r="AP408" s="976" t="str">
        <f t="shared" si="598"/>
        <v>[Service]</v>
      </c>
      <c r="AQ408" s="977" t="str">
        <f t="shared" si="599"/>
        <v>[Price]</v>
      </c>
      <c r="AR408" s="1341" t="str">
        <f t="shared" si="600"/>
        <v>-</v>
      </c>
      <c r="AS408" s="978" t="str">
        <f t="shared" si="601"/>
        <v>-</v>
      </c>
      <c r="AT408" s="979" t="str">
        <f t="shared" si="602"/>
        <v>-</v>
      </c>
      <c r="AU408" s="979" t="str">
        <f t="shared" si="603"/>
        <v>-</v>
      </c>
      <c r="AV408" s="1352" t="str">
        <f t="shared" si="604"/>
        <v>-</v>
      </c>
      <c r="AW408" s="1345" t="str">
        <f t="shared" si="605"/>
        <v>-</v>
      </c>
      <c r="AX408" s="979" t="str">
        <f t="shared" si="606"/>
        <v>-</v>
      </c>
      <c r="AY408" s="979" t="str">
        <f t="shared" si="607"/>
        <v>-</v>
      </c>
      <c r="AZ408" s="979" t="str">
        <f t="shared" si="608"/>
        <v>-</v>
      </c>
      <c r="BA408" s="980" t="str">
        <f t="shared" si="609"/>
        <v>-</v>
      </c>
      <c r="BB408" s="1345" t="str">
        <f t="shared" si="610"/>
        <v>-</v>
      </c>
      <c r="BC408" s="979" t="str">
        <f t="shared" si="611"/>
        <v>-</v>
      </c>
      <c r="BD408" s="979" t="str">
        <f t="shared" si="612"/>
        <v>-</v>
      </c>
      <c r="BE408" s="979" t="str">
        <f t="shared" si="613"/>
        <v>-</v>
      </c>
      <c r="BF408" s="981" t="str">
        <f t="shared" si="614"/>
        <v>-</v>
      </c>
      <c r="BG408" s="951"/>
      <c r="BH408" s="975" t="str">
        <f t="shared" si="640"/>
        <v>Price</v>
      </c>
      <c r="BI408" s="976" t="str">
        <f t="shared" si="640"/>
        <v>[Service]</v>
      </c>
      <c r="BJ408" s="977" t="str">
        <f t="shared" si="640"/>
        <v>[Price]</v>
      </c>
      <c r="BK408" s="978" t="str">
        <f t="shared" ref="BK408:BU408" si="646">IF(V408="","-",IFERROR((V408/U408-1)*(U410/U$13),"-"))</f>
        <v>-</v>
      </c>
      <c r="BL408" s="978" t="str">
        <f t="shared" si="646"/>
        <v>-</v>
      </c>
      <c r="BM408" s="979" t="str">
        <f t="shared" si="646"/>
        <v>-</v>
      </c>
      <c r="BN408" s="979" t="str">
        <f t="shared" si="646"/>
        <v>-</v>
      </c>
      <c r="BO408" s="1352" t="str">
        <f t="shared" si="646"/>
        <v>-</v>
      </c>
      <c r="BP408" s="1345" t="str">
        <f t="shared" si="646"/>
        <v>-</v>
      </c>
      <c r="BQ408" s="979" t="str">
        <f t="shared" si="646"/>
        <v>-</v>
      </c>
      <c r="BR408" s="979" t="str">
        <f t="shared" si="646"/>
        <v>-</v>
      </c>
      <c r="BS408" s="979" t="str">
        <f t="shared" si="646"/>
        <v>-</v>
      </c>
      <c r="BT408" s="980" t="str">
        <f t="shared" si="646"/>
        <v>-</v>
      </c>
      <c r="BU408" s="979" t="str">
        <f t="shared" si="646"/>
        <v>-</v>
      </c>
      <c r="BV408" s="979" t="str">
        <f>IF(AG408="","-",IFERROR((AG408/AF408-1)*(AF410/AF$13),"-"))</f>
        <v>-</v>
      </c>
      <c r="BW408" s="979" t="str">
        <f>IF(AH408="","-",IFERROR((AH408/AG408-1)*(AG410/AG$13),"-"))</f>
        <v>-</v>
      </c>
      <c r="BX408" s="979" t="str">
        <f>IF(AI408="","-",IFERROR((AI408/AH408-1)*(AH410/AH$13),"-"))</f>
        <v>-</v>
      </c>
      <c r="BY408" s="981" t="str">
        <f>IF(AJ408="","-",IFERROR((AJ408/AI408-1)*(AI410/AI$13),"-"))</f>
        <v>-</v>
      </c>
      <c r="BZ408" s="951"/>
      <c r="CA408" s="975" t="str">
        <f t="shared" si="594"/>
        <v>Price</v>
      </c>
      <c r="CB408" s="976" t="str">
        <f t="shared" si="595"/>
        <v>[Service]</v>
      </c>
      <c r="CC408" s="982" t="str">
        <f t="shared" si="596"/>
        <v>[Price]</v>
      </c>
      <c r="CD408" s="983" t="str">
        <f t="shared" si="620"/>
        <v>-</v>
      </c>
      <c r="CE408" s="979" t="str">
        <f t="shared" si="620"/>
        <v>-</v>
      </c>
      <c r="CF408" s="979" t="str">
        <f t="shared" si="620"/>
        <v>-</v>
      </c>
      <c r="CG408" s="980" t="str">
        <f t="shared" si="620"/>
        <v>-</v>
      </c>
      <c r="CH408" s="979" t="str">
        <f t="shared" si="621"/>
        <v>-</v>
      </c>
      <c r="CI408" s="979" t="str">
        <f t="shared" si="621"/>
        <v>-</v>
      </c>
      <c r="CJ408" s="979" t="str">
        <f t="shared" si="621"/>
        <v>-</v>
      </c>
      <c r="CK408" s="981" t="str">
        <f t="shared" si="621"/>
        <v>-</v>
      </c>
    </row>
    <row r="409" spans="4:89">
      <c r="E409" s="567" t="s">
        <v>880</v>
      </c>
      <c r="F409" s="554" t="str">
        <f>+F408</f>
        <v>[Service]</v>
      </c>
      <c r="G409" s="555">
        <f>+G408</f>
        <v>0</v>
      </c>
      <c r="H409" s="555">
        <f>+H408</f>
        <v>0</v>
      </c>
      <c r="I409" s="556" t="str">
        <f>+I408</f>
        <v>[Price]</v>
      </c>
      <c r="J409" s="590" t="s">
        <v>916</v>
      </c>
      <c r="K409" s="557"/>
      <c r="L409" s="558"/>
      <c r="M409" s="558"/>
      <c r="N409" s="557"/>
      <c r="O409" s="558"/>
      <c r="P409" s="558"/>
      <c r="Q409" s="558"/>
      <c r="R409" s="1036"/>
      <c r="S409" s="1139"/>
      <c r="T409" s="593"/>
      <c r="U409" s="1036"/>
      <c r="V409" s="593"/>
      <c r="W409" s="593"/>
      <c r="X409" s="593"/>
      <c r="Y409" s="593"/>
      <c r="Z409" s="593"/>
      <c r="AA409" s="1139"/>
      <c r="AB409" s="593"/>
      <c r="AC409" s="593"/>
      <c r="AD409" s="593"/>
      <c r="AE409" s="1036"/>
      <c r="AF409" s="593"/>
      <c r="AG409" s="593"/>
      <c r="AH409" s="593"/>
      <c r="AI409" s="593"/>
      <c r="AJ409" s="594"/>
      <c r="AK409" s="548"/>
      <c r="AO409" s="961" t="str">
        <f t="shared" si="598"/>
        <v>Qty</v>
      </c>
      <c r="AP409" s="962" t="str">
        <f t="shared" si="598"/>
        <v>[Service]</v>
      </c>
      <c r="AQ409" s="963" t="str">
        <f t="shared" si="599"/>
        <v>[Price]</v>
      </c>
      <c r="AR409" s="967" t="str">
        <f t="shared" si="600"/>
        <v>-</v>
      </c>
      <c r="AS409" s="964" t="str">
        <f t="shared" si="601"/>
        <v>-</v>
      </c>
      <c r="AT409" s="964" t="str">
        <f t="shared" si="602"/>
        <v>-</v>
      </c>
      <c r="AU409" s="964" t="str">
        <f t="shared" si="603"/>
        <v>-</v>
      </c>
      <c r="AV409" s="1350" t="str">
        <f t="shared" si="604"/>
        <v>-</v>
      </c>
      <c r="AW409" s="1343" t="str">
        <f t="shared" si="605"/>
        <v>-</v>
      </c>
      <c r="AX409" s="964" t="str">
        <f t="shared" si="606"/>
        <v>-</v>
      </c>
      <c r="AY409" s="964" t="str">
        <f t="shared" si="607"/>
        <v>-</v>
      </c>
      <c r="AZ409" s="964" t="str">
        <f t="shared" si="608"/>
        <v>-</v>
      </c>
      <c r="BA409" s="965" t="str">
        <f t="shared" si="609"/>
        <v>-</v>
      </c>
      <c r="BB409" s="1343" t="str">
        <f t="shared" si="610"/>
        <v>-</v>
      </c>
      <c r="BC409" s="964" t="str">
        <f t="shared" si="611"/>
        <v>-</v>
      </c>
      <c r="BD409" s="964" t="str">
        <f t="shared" si="612"/>
        <v>-</v>
      </c>
      <c r="BE409" s="964" t="str">
        <f t="shared" si="613"/>
        <v>-</v>
      </c>
      <c r="BF409" s="966" t="str">
        <f t="shared" si="614"/>
        <v>-</v>
      </c>
      <c r="BG409" s="951"/>
      <c r="BH409" s="961" t="str">
        <f t="shared" si="640"/>
        <v>Qty</v>
      </c>
      <c r="BI409" s="962" t="str">
        <f t="shared" si="640"/>
        <v>[Service]</v>
      </c>
      <c r="BJ409" s="963" t="str">
        <f t="shared" si="640"/>
        <v>[Price]</v>
      </c>
      <c r="BK409" s="964" t="str">
        <f t="shared" ref="BK409:BU409" si="647">IF(V409="","-",IFERROR((V409/U409-1)*(U410/U$13),"-"))</f>
        <v>-</v>
      </c>
      <c r="BL409" s="964" t="str">
        <f t="shared" si="647"/>
        <v>-</v>
      </c>
      <c r="BM409" s="964" t="str">
        <f t="shared" si="647"/>
        <v>-</v>
      </c>
      <c r="BN409" s="964" t="str">
        <f t="shared" si="647"/>
        <v>-</v>
      </c>
      <c r="BO409" s="1350" t="str">
        <f t="shared" si="647"/>
        <v>-</v>
      </c>
      <c r="BP409" s="1343" t="str">
        <f t="shared" si="647"/>
        <v>-</v>
      </c>
      <c r="BQ409" s="964" t="str">
        <f t="shared" si="647"/>
        <v>-</v>
      </c>
      <c r="BR409" s="964" t="str">
        <f t="shared" si="647"/>
        <v>-</v>
      </c>
      <c r="BS409" s="964" t="str">
        <f t="shared" si="647"/>
        <v>-</v>
      </c>
      <c r="BT409" s="965" t="str">
        <f t="shared" si="647"/>
        <v>-</v>
      </c>
      <c r="BU409" s="964" t="str">
        <f t="shared" si="647"/>
        <v>-</v>
      </c>
      <c r="BV409" s="964" t="str">
        <f>IF(AG409="","-",IFERROR((AG409/AF409-1)*(AF410/AF$13),"-"))</f>
        <v>-</v>
      </c>
      <c r="BW409" s="964" t="str">
        <f>IF(AH409="","-",IFERROR((AH409/AG409-1)*(AG410/AG$13),"-"))</f>
        <v>-</v>
      </c>
      <c r="BX409" s="964" t="str">
        <f>IF(AI409="","-",IFERROR((AI409/AH409-1)*(AH410/AH$13),"-"))</f>
        <v>-</v>
      </c>
      <c r="BY409" s="966" t="str">
        <f>IF(AJ409="","-",IFERROR((AJ409/AI409-1)*(AI410/AI$13),"-"))</f>
        <v>-</v>
      </c>
      <c r="BZ409" s="951"/>
      <c r="CA409" s="961" t="str">
        <f t="shared" si="594"/>
        <v>Qty</v>
      </c>
      <c r="CB409" s="962" t="str">
        <f t="shared" si="595"/>
        <v>[Service]</v>
      </c>
      <c r="CC409" s="962" t="str">
        <f t="shared" si="596"/>
        <v>[Price]</v>
      </c>
      <c r="CD409" s="967" t="str">
        <f t="shared" si="620"/>
        <v>-</v>
      </c>
      <c r="CE409" s="964" t="str">
        <f t="shared" si="620"/>
        <v>-</v>
      </c>
      <c r="CF409" s="964" t="str">
        <f t="shared" si="620"/>
        <v>-</v>
      </c>
      <c r="CG409" s="965" t="str">
        <f t="shared" si="620"/>
        <v>-</v>
      </c>
      <c r="CH409" s="964" t="str">
        <f t="shared" si="621"/>
        <v>-</v>
      </c>
      <c r="CI409" s="964" t="str">
        <f t="shared" si="621"/>
        <v>-</v>
      </c>
      <c r="CJ409" s="964" t="str">
        <f t="shared" si="621"/>
        <v>-</v>
      </c>
      <c r="CK409" s="966" t="str">
        <f t="shared" si="621"/>
        <v>-</v>
      </c>
    </row>
    <row r="410" spans="4:89" ht="12.75" thickBot="1">
      <c r="E410" s="568" t="s">
        <v>882</v>
      </c>
      <c r="F410" s="560" t="str">
        <f>+F408</f>
        <v>[Service]</v>
      </c>
      <c r="G410" s="561">
        <f>+G408</f>
        <v>0</v>
      </c>
      <c r="H410" s="561">
        <f>+H408</f>
        <v>0</v>
      </c>
      <c r="I410" s="562" t="str">
        <f>+I408</f>
        <v>[Price]</v>
      </c>
      <c r="J410" s="563" t="s">
        <v>883</v>
      </c>
      <c r="K410" s="564">
        <f t="shared" ref="K410:AJ410" si="648">K408*K409/10^6</f>
        <v>0</v>
      </c>
      <c r="L410" s="565">
        <f t="shared" si="648"/>
        <v>0</v>
      </c>
      <c r="M410" s="565">
        <f t="shared" si="648"/>
        <v>0</v>
      </c>
      <c r="N410" s="564">
        <f t="shared" si="648"/>
        <v>0</v>
      </c>
      <c r="O410" s="565">
        <f t="shared" si="648"/>
        <v>0</v>
      </c>
      <c r="P410" s="565">
        <f t="shared" si="648"/>
        <v>0</v>
      </c>
      <c r="Q410" s="565">
        <f t="shared" si="648"/>
        <v>0</v>
      </c>
      <c r="R410" s="566">
        <f t="shared" si="648"/>
        <v>0</v>
      </c>
      <c r="S410" s="564">
        <f t="shared" si="648"/>
        <v>0</v>
      </c>
      <c r="T410" s="565">
        <f t="shared" si="648"/>
        <v>0</v>
      </c>
      <c r="U410" s="566">
        <f t="shared" si="648"/>
        <v>0</v>
      </c>
      <c r="V410" s="565">
        <f t="shared" si="648"/>
        <v>0</v>
      </c>
      <c r="W410" s="565">
        <f t="shared" si="648"/>
        <v>0</v>
      </c>
      <c r="X410" s="565">
        <f t="shared" si="648"/>
        <v>0</v>
      </c>
      <c r="Y410" s="565">
        <f t="shared" si="648"/>
        <v>0</v>
      </c>
      <c r="Z410" s="565">
        <f t="shared" si="648"/>
        <v>0</v>
      </c>
      <c r="AA410" s="564">
        <f t="shared" si="648"/>
        <v>0</v>
      </c>
      <c r="AB410" s="565">
        <f t="shared" si="648"/>
        <v>0</v>
      </c>
      <c r="AC410" s="565">
        <f t="shared" si="648"/>
        <v>0</v>
      </c>
      <c r="AD410" s="565">
        <f t="shared" si="648"/>
        <v>0</v>
      </c>
      <c r="AE410" s="566">
        <f t="shared" si="648"/>
        <v>0</v>
      </c>
      <c r="AF410" s="565">
        <f t="shared" si="648"/>
        <v>0</v>
      </c>
      <c r="AG410" s="565">
        <f>AG408*AG409/10^6</f>
        <v>0</v>
      </c>
      <c r="AH410" s="565">
        <f>AH408*AH409/10^6</f>
        <v>0</v>
      </c>
      <c r="AI410" s="565">
        <f>AI408*AI409/10^6</f>
        <v>0</v>
      </c>
      <c r="AJ410" s="566">
        <f t="shared" si="648"/>
        <v>0</v>
      </c>
      <c r="AK410" s="548"/>
      <c r="AO410" s="984" t="str">
        <f t="shared" si="598"/>
        <v>Rev</v>
      </c>
      <c r="AP410" s="985" t="str">
        <f t="shared" si="598"/>
        <v>[Service]</v>
      </c>
      <c r="AQ410" s="986" t="str">
        <f t="shared" si="599"/>
        <v>[Price]</v>
      </c>
      <c r="AR410" s="990" t="str">
        <f t="shared" si="600"/>
        <v>-</v>
      </c>
      <c r="AS410" s="987" t="str">
        <f t="shared" si="601"/>
        <v>-</v>
      </c>
      <c r="AT410" s="987" t="str">
        <f t="shared" si="602"/>
        <v>-</v>
      </c>
      <c r="AU410" s="987" t="str">
        <f t="shared" si="603"/>
        <v>-</v>
      </c>
      <c r="AV410" s="1353" t="str">
        <f t="shared" si="604"/>
        <v>-</v>
      </c>
      <c r="AW410" s="1346" t="str">
        <f t="shared" si="605"/>
        <v>-</v>
      </c>
      <c r="AX410" s="987" t="str">
        <f t="shared" si="606"/>
        <v>-</v>
      </c>
      <c r="AY410" s="987" t="str">
        <f t="shared" si="607"/>
        <v>-</v>
      </c>
      <c r="AZ410" s="987" t="str">
        <f t="shared" si="608"/>
        <v>-</v>
      </c>
      <c r="BA410" s="988" t="str">
        <f t="shared" si="609"/>
        <v>-</v>
      </c>
      <c r="BB410" s="1346" t="str">
        <f t="shared" si="610"/>
        <v>-</v>
      </c>
      <c r="BC410" s="987" t="str">
        <f t="shared" si="611"/>
        <v>-</v>
      </c>
      <c r="BD410" s="987" t="str">
        <f t="shared" si="612"/>
        <v>-</v>
      </c>
      <c r="BE410" s="987" t="str">
        <f t="shared" si="613"/>
        <v>-</v>
      </c>
      <c r="BF410" s="989" t="str">
        <f t="shared" si="614"/>
        <v>-</v>
      </c>
      <c r="BG410" s="951"/>
      <c r="BH410" s="984" t="str">
        <f t="shared" si="640"/>
        <v>Rev</v>
      </c>
      <c r="BI410" s="985" t="str">
        <f t="shared" si="640"/>
        <v>[Service]</v>
      </c>
      <c r="BJ410" s="986" t="str">
        <f t="shared" si="640"/>
        <v>[Price]</v>
      </c>
      <c r="BK410" s="987" t="str">
        <f t="shared" ref="BK410:BU410" si="649">IF(V410="","-",IFERROR((V410/U410-1)*(U410/U$13),"-"))</f>
        <v>-</v>
      </c>
      <c r="BL410" s="987" t="str">
        <f t="shared" si="649"/>
        <v>-</v>
      </c>
      <c r="BM410" s="987" t="str">
        <f t="shared" si="649"/>
        <v>-</v>
      </c>
      <c r="BN410" s="987" t="str">
        <f t="shared" si="649"/>
        <v>-</v>
      </c>
      <c r="BO410" s="1353" t="str">
        <f t="shared" si="649"/>
        <v>-</v>
      </c>
      <c r="BP410" s="1346" t="str">
        <f t="shared" si="649"/>
        <v>-</v>
      </c>
      <c r="BQ410" s="987" t="str">
        <f t="shared" si="649"/>
        <v>-</v>
      </c>
      <c r="BR410" s="987" t="str">
        <f t="shared" si="649"/>
        <v>-</v>
      </c>
      <c r="BS410" s="987" t="str">
        <f t="shared" si="649"/>
        <v>-</v>
      </c>
      <c r="BT410" s="988" t="str">
        <f t="shared" si="649"/>
        <v>-</v>
      </c>
      <c r="BU410" s="987" t="str">
        <f t="shared" si="649"/>
        <v>-</v>
      </c>
      <c r="BV410" s="987" t="str">
        <f>IF(AG410="","-",IFERROR((AG410/AF410-1)*(AF410/AF$13),"-"))</f>
        <v>-</v>
      </c>
      <c r="BW410" s="987" t="str">
        <f>IF(AH410="","-",IFERROR((AH410/AG410-1)*(AG410/AG$13),"-"))</f>
        <v>-</v>
      </c>
      <c r="BX410" s="987" t="str">
        <f>IF(AI410="","-",IFERROR((AI410/AH410-1)*(AH410/AH$13),"-"))</f>
        <v>-</v>
      </c>
      <c r="BY410" s="989" t="str">
        <f>IF(AJ410="","-",IFERROR((AJ410/AI410-1)*(AI410/AI$13),"-"))</f>
        <v>-</v>
      </c>
      <c r="BZ410" s="951"/>
      <c r="CA410" s="984" t="str">
        <f t="shared" si="594"/>
        <v>Rev</v>
      </c>
      <c r="CB410" s="985" t="str">
        <f t="shared" si="595"/>
        <v>[Service]</v>
      </c>
      <c r="CC410" s="985" t="str">
        <f t="shared" si="596"/>
        <v>[Price]</v>
      </c>
      <c r="CD410" s="990" t="str">
        <f t="shared" si="620"/>
        <v>-</v>
      </c>
      <c r="CE410" s="987" t="str">
        <f t="shared" si="620"/>
        <v>-</v>
      </c>
      <c r="CF410" s="987" t="str">
        <f t="shared" si="620"/>
        <v>-</v>
      </c>
      <c r="CG410" s="988" t="str">
        <f t="shared" si="620"/>
        <v>-</v>
      </c>
      <c r="CH410" s="987" t="str">
        <f t="shared" si="621"/>
        <v>-</v>
      </c>
      <c r="CI410" s="987" t="str">
        <f t="shared" si="621"/>
        <v>-</v>
      </c>
      <c r="CJ410" s="987" t="str">
        <f t="shared" si="621"/>
        <v>-</v>
      </c>
      <c r="CK410" s="989" t="str">
        <f t="shared" si="621"/>
        <v>-</v>
      </c>
    </row>
    <row r="411" spans="4:89">
      <c r="D411" s="63">
        <f>D408+1</f>
        <v>115</v>
      </c>
      <c r="E411" s="550" t="s">
        <v>857</v>
      </c>
      <c r="F411" s="595" t="s">
        <v>428</v>
      </c>
      <c r="G411" s="595"/>
      <c r="H411" s="595"/>
      <c r="I411" s="589" t="s">
        <v>920</v>
      </c>
      <c r="J411" s="589" t="s">
        <v>879</v>
      </c>
      <c r="K411" s="551"/>
      <c r="L411" s="552"/>
      <c r="M411" s="552"/>
      <c r="N411" s="551"/>
      <c r="O411" s="552"/>
      <c r="P411" s="552"/>
      <c r="Q411" s="552"/>
      <c r="R411" s="1035"/>
      <c r="S411" s="1138"/>
      <c r="T411" s="591"/>
      <c r="U411" s="1035"/>
      <c r="V411" s="591"/>
      <c r="W411" s="591"/>
      <c r="X411" s="591"/>
      <c r="Y411" s="591"/>
      <c r="Z411" s="591"/>
      <c r="AA411" s="1138"/>
      <c r="AB411" s="591"/>
      <c r="AC411" s="591"/>
      <c r="AD411" s="591"/>
      <c r="AE411" s="1035"/>
      <c r="AF411" s="591"/>
      <c r="AG411" s="591"/>
      <c r="AH411" s="591"/>
      <c r="AI411" s="591"/>
      <c r="AJ411" s="592"/>
      <c r="AK411" s="548"/>
      <c r="AM411" s="974"/>
      <c r="AO411" s="975" t="str">
        <f t="shared" si="598"/>
        <v>Price</v>
      </c>
      <c r="AP411" s="976" t="str">
        <f t="shared" si="598"/>
        <v>[Service]</v>
      </c>
      <c r="AQ411" s="977" t="str">
        <f t="shared" si="599"/>
        <v>[Price]</v>
      </c>
      <c r="AR411" s="1341" t="str">
        <f t="shared" si="600"/>
        <v>-</v>
      </c>
      <c r="AS411" s="978" t="str">
        <f t="shared" si="601"/>
        <v>-</v>
      </c>
      <c r="AT411" s="979" t="str">
        <f t="shared" si="602"/>
        <v>-</v>
      </c>
      <c r="AU411" s="979" t="str">
        <f t="shared" si="603"/>
        <v>-</v>
      </c>
      <c r="AV411" s="1352" t="str">
        <f t="shared" si="604"/>
        <v>-</v>
      </c>
      <c r="AW411" s="1345" t="str">
        <f t="shared" si="605"/>
        <v>-</v>
      </c>
      <c r="AX411" s="979" t="str">
        <f t="shared" si="606"/>
        <v>-</v>
      </c>
      <c r="AY411" s="979" t="str">
        <f t="shared" si="607"/>
        <v>-</v>
      </c>
      <c r="AZ411" s="979" t="str">
        <f t="shared" si="608"/>
        <v>-</v>
      </c>
      <c r="BA411" s="980" t="str">
        <f t="shared" si="609"/>
        <v>-</v>
      </c>
      <c r="BB411" s="1345" t="str">
        <f t="shared" si="610"/>
        <v>-</v>
      </c>
      <c r="BC411" s="979" t="str">
        <f t="shared" si="611"/>
        <v>-</v>
      </c>
      <c r="BD411" s="979" t="str">
        <f t="shared" si="612"/>
        <v>-</v>
      </c>
      <c r="BE411" s="979" t="str">
        <f t="shared" si="613"/>
        <v>-</v>
      </c>
      <c r="BF411" s="981" t="str">
        <f t="shared" si="614"/>
        <v>-</v>
      </c>
      <c r="BG411" s="951"/>
      <c r="BH411" s="975" t="str">
        <f t="shared" si="640"/>
        <v>Price</v>
      </c>
      <c r="BI411" s="976" t="str">
        <f t="shared" si="640"/>
        <v>[Service]</v>
      </c>
      <c r="BJ411" s="977" t="str">
        <f t="shared" si="640"/>
        <v>[Price]</v>
      </c>
      <c r="BK411" s="978" t="str">
        <f t="shared" ref="BK411:BU411" si="650">IF(V411="","-",IFERROR((V411/U411-1)*(U413/U$13),"-"))</f>
        <v>-</v>
      </c>
      <c r="BL411" s="978" t="str">
        <f t="shared" si="650"/>
        <v>-</v>
      </c>
      <c r="BM411" s="979" t="str">
        <f t="shared" si="650"/>
        <v>-</v>
      </c>
      <c r="BN411" s="979" t="str">
        <f t="shared" si="650"/>
        <v>-</v>
      </c>
      <c r="BO411" s="1352" t="str">
        <f t="shared" si="650"/>
        <v>-</v>
      </c>
      <c r="BP411" s="1345" t="str">
        <f t="shared" si="650"/>
        <v>-</v>
      </c>
      <c r="BQ411" s="979" t="str">
        <f t="shared" si="650"/>
        <v>-</v>
      </c>
      <c r="BR411" s="979" t="str">
        <f t="shared" si="650"/>
        <v>-</v>
      </c>
      <c r="BS411" s="979" t="str">
        <f t="shared" si="650"/>
        <v>-</v>
      </c>
      <c r="BT411" s="980" t="str">
        <f t="shared" si="650"/>
        <v>-</v>
      </c>
      <c r="BU411" s="979" t="str">
        <f t="shared" si="650"/>
        <v>-</v>
      </c>
      <c r="BV411" s="979" t="str">
        <f>IF(AG411="","-",IFERROR((AG411/AF411-1)*(AF413/AF$13),"-"))</f>
        <v>-</v>
      </c>
      <c r="BW411" s="979" t="str">
        <f>IF(AH411="","-",IFERROR((AH411/AG411-1)*(AG413/AG$13),"-"))</f>
        <v>-</v>
      </c>
      <c r="BX411" s="979" t="str">
        <f>IF(AI411="","-",IFERROR((AI411/AH411-1)*(AH413/AH$13),"-"))</f>
        <v>-</v>
      </c>
      <c r="BY411" s="981" t="str">
        <f>IF(AJ411="","-",IFERROR((AJ411/AI411-1)*(AI413/AI$13),"-"))</f>
        <v>-</v>
      </c>
      <c r="BZ411" s="951"/>
      <c r="CA411" s="975" t="str">
        <f t="shared" si="594"/>
        <v>Price</v>
      </c>
      <c r="CB411" s="976" t="str">
        <f t="shared" si="595"/>
        <v>[Service]</v>
      </c>
      <c r="CC411" s="982" t="str">
        <f t="shared" si="596"/>
        <v>[Price]</v>
      </c>
      <c r="CD411" s="983" t="str">
        <f t="shared" si="620"/>
        <v>-</v>
      </c>
      <c r="CE411" s="979" t="str">
        <f t="shared" si="620"/>
        <v>-</v>
      </c>
      <c r="CF411" s="979" t="str">
        <f t="shared" si="620"/>
        <v>-</v>
      </c>
      <c r="CG411" s="980" t="str">
        <f t="shared" si="620"/>
        <v>-</v>
      </c>
      <c r="CH411" s="979" t="str">
        <f t="shared" si="621"/>
        <v>-</v>
      </c>
      <c r="CI411" s="979" t="str">
        <f t="shared" si="621"/>
        <v>-</v>
      </c>
      <c r="CJ411" s="979" t="str">
        <f t="shared" si="621"/>
        <v>-</v>
      </c>
      <c r="CK411" s="981" t="str">
        <f t="shared" si="621"/>
        <v>-</v>
      </c>
    </row>
    <row r="412" spans="4:89">
      <c r="E412" s="567" t="s">
        <v>880</v>
      </c>
      <c r="F412" s="554" t="str">
        <f>+F411</f>
        <v>[Service]</v>
      </c>
      <c r="G412" s="555">
        <f>+G411</f>
        <v>0</v>
      </c>
      <c r="H412" s="555">
        <f>+H411</f>
        <v>0</v>
      </c>
      <c r="I412" s="556" t="str">
        <f>+I411</f>
        <v>[Price]</v>
      </c>
      <c r="J412" s="590" t="s">
        <v>916</v>
      </c>
      <c r="K412" s="557"/>
      <c r="L412" s="558"/>
      <c r="M412" s="558"/>
      <c r="N412" s="557"/>
      <c r="O412" s="558"/>
      <c r="P412" s="558"/>
      <c r="Q412" s="558"/>
      <c r="R412" s="1036"/>
      <c r="S412" s="1139"/>
      <c r="T412" s="593"/>
      <c r="U412" s="1036"/>
      <c r="V412" s="593"/>
      <c r="W412" s="593"/>
      <c r="X412" s="593"/>
      <c r="Y412" s="593"/>
      <c r="Z412" s="593"/>
      <c r="AA412" s="1139"/>
      <c r="AB412" s="593"/>
      <c r="AC412" s="593"/>
      <c r="AD412" s="593"/>
      <c r="AE412" s="1036"/>
      <c r="AF412" s="593"/>
      <c r="AG412" s="593"/>
      <c r="AH412" s="593"/>
      <c r="AI412" s="593"/>
      <c r="AJ412" s="594"/>
      <c r="AK412" s="548"/>
      <c r="AO412" s="961" t="str">
        <f t="shared" si="598"/>
        <v>Qty</v>
      </c>
      <c r="AP412" s="962" t="str">
        <f t="shared" si="598"/>
        <v>[Service]</v>
      </c>
      <c r="AQ412" s="963" t="str">
        <f t="shared" si="599"/>
        <v>[Price]</v>
      </c>
      <c r="AR412" s="967" t="str">
        <f t="shared" si="600"/>
        <v>-</v>
      </c>
      <c r="AS412" s="964" t="str">
        <f t="shared" si="601"/>
        <v>-</v>
      </c>
      <c r="AT412" s="964" t="str">
        <f t="shared" si="602"/>
        <v>-</v>
      </c>
      <c r="AU412" s="964" t="str">
        <f t="shared" si="603"/>
        <v>-</v>
      </c>
      <c r="AV412" s="1350" t="str">
        <f t="shared" si="604"/>
        <v>-</v>
      </c>
      <c r="AW412" s="1343" t="str">
        <f t="shared" si="605"/>
        <v>-</v>
      </c>
      <c r="AX412" s="964" t="str">
        <f t="shared" si="606"/>
        <v>-</v>
      </c>
      <c r="AY412" s="964" t="str">
        <f t="shared" si="607"/>
        <v>-</v>
      </c>
      <c r="AZ412" s="964" t="str">
        <f t="shared" si="608"/>
        <v>-</v>
      </c>
      <c r="BA412" s="965" t="str">
        <f t="shared" si="609"/>
        <v>-</v>
      </c>
      <c r="BB412" s="1343" t="str">
        <f t="shared" si="610"/>
        <v>-</v>
      </c>
      <c r="BC412" s="964" t="str">
        <f t="shared" si="611"/>
        <v>-</v>
      </c>
      <c r="BD412" s="964" t="str">
        <f t="shared" si="612"/>
        <v>-</v>
      </c>
      <c r="BE412" s="964" t="str">
        <f t="shared" si="613"/>
        <v>-</v>
      </c>
      <c r="BF412" s="966" t="str">
        <f t="shared" si="614"/>
        <v>-</v>
      </c>
      <c r="BG412" s="951"/>
      <c r="BH412" s="961" t="str">
        <f t="shared" si="640"/>
        <v>Qty</v>
      </c>
      <c r="BI412" s="962" t="str">
        <f t="shared" si="640"/>
        <v>[Service]</v>
      </c>
      <c r="BJ412" s="963" t="str">
        <f t="shared" si="640"/>
        <v>[Price]</v>
      </c>
      <c r="BK412" s="964" t="str">
        <f t="shared" ref="BK412:BU412" si="651">IF(V412="","-",IFERROR((V412/U412-1)*(U413/U$13),"-"))</f>
        <v>-</v>
      </c>
      <c r="BL412" s="964" t="str">
        <f t="shared" si="651"/>
        <v>-</v>
      </c>
      <c r="BM412" s="964" t="str">
        <f t="shared" si="651"/>
        <v>-</v>
      </c>
      <c r="BN412" s="964" t="str">
        <f t="shared" si="651"/>
        <v>-</v>
      </c>
      <c r="BO412" s="1350" t="str">
        <f t="shared" si="651"/>
        <v>-</v>
      </c>
      <c r="BP412" s="1343" t="str">
        <f t="shared" si="651"/>
        <v>-</v>
      </c>
      <c r="BQ412" s="964" t="str">
        <f t="shared" si="651"/>
        <v>-</v>
      </c>
      <c r="BR412" s="964" t="str">
        <f t="shared" si="651"/>
        <v>-</v>
      </c>
      <c r="BS412" s="964" t="str">
        <f t="shared" si="651"/>
        <v>-</v>
      </c>
      <c r="BT412" s="965" t="str">
        <f t="shared" si="651"/>
        <v>-</v>
      </c>
      <c r="BU412" s="964" t="str">
        <f t="shared" si="651"/>
        <v>-</v>
      </c>
      <c r="BV412" s="964" t="str">
        <f>IF(AG412="","-",IFERROR((AG412/AF412-1)*(AF413/AF$13),"-"))</f>
        <v>-</v>
      </c>
      <c r="BW412" s="964" t="str">
        <f>IF(AH412="","-",IFERROR((AH412/AG412-1)*(AG413/AG$13),"-"))</f>
        <v>-</v>
      </c>
      <c r="BX412" s="964" t="str">
        <f>IF(AI412="","-",IFERROR((AI412/AH412-1)*(AH413/AH$13),"-"))</f>
        <v>-</v>
      </c>
      <c r="BY412" s="966" t="str">
        <f>IF(AJ412="","-",IFERROR((AJ412/AI412-1)*(AI413/AI$13),"-"))</f>
        <v>-</v>
      </c>
      <c r="BZ412" s="951"/>
      <c r="CA412" s="961" t="str">
        <f t="shared" si="594"/>
        <v>Qty</v>
      </c>
      <c r="CB412" s="962" t="str">
        <f t="shared" si="595"/>
        <v>[Service]</v>
      </c>
      <c r="CC412" s="962" t="str">
        <f t="shared" si="596"/>
        <v>[Price]</v>
      </c>
      <c r="CD412" s="967" t="str">
        <f t="shared" si="620"/>
        <v>-</v>
      </c>
      <c r="CE412" s="964" t="str">
        <f t="shared" si="620"/>
        <v>-</v>
      </c>
      <c r="CF412" s="964" t="str">
        <f t="shared" si="620"/>
        <v>-</v>
      </c>
      <c r="CG412" s="965" t="str">
        <f t="shared" si="620"/>
        <v>-</v>
      </c>
      <c r="CH412" s="964" t="str">
        <f t="shared" si="621"/>
        <v>-</v>
      </c>
      <c r="CI412" s="964" t="str">
        <f t="shared" si="621"/>
        <v>-</v>
      </c>
      <c r="CJ412" s="964" t="str">
        <f t="shared" si="621"/>
        <v>-</v>
      </c>
      <c r="CK412" s="966" t="str">
        <f t="shared" si="621"/>
        <v>-</v>
      </c>
    </row>
    <row r="413" spans="4:89" ht="12.75" thickBot="1">
      <c r="E413" s="568" t="s">
        <v>882</v>
      </c>
      <c r="F413" s="560" t="str">
        <f>+F411</f>
        <v>[Service]</v>
      </c>
      <c r="G413" s="561">
        <f>+G411</f>
        <v>0</v>
      </c>
      <c r="H413" s="561">
        <f>+H411</f>
        <v>0</v>
      </c>
      <c r="I413" s="562" t="str">
        <f>+I411</f>
        <v>[Price]</v>
      </c>
      <c r="J413" s="563" t="s">
        <v>883</v>
      </c>
      <c r="K413" s="564">
        <f t="shared" ref="K413:AJ413" si="652">K411*K412/10^6</f>
        <v>0</v>
      </c>
      <c r="L413" s="565">
        <f t="shared" si="652"/>
        <v>0</v>
      </c>
      <c r="M413" s="565">
        <f t="shared" si="652"/>
        <v>0</v>
      </c>
      <c r="N413" s="564">
        <f t="shared" si="652"/>
        <v>0</v>
      </c>
      <c r="O413" s="565">
        <f t="shared" si="652"/>
        <v>0</v>
      </c>
      <c r="P413" s="565">
        <f t="shared" si="652"/>
        <v>0</v>
      </c>
      <c r="Q413" s="565">
        <f t="shared" si="652"/>
        <v>0</v>
      </c>
      <c r="R413" s="566">
        <f t="shared" si="652"/>
        <v>0</v>
      </c>
      <c r="S413" s="564">
        <f t="shared" si="652"/>
        <v>0</v>
      </c>
      <c r="T413" s="565">
        <f t="shared" si="652"/>
        <v>0</v>
      </c>
      <c r="U413" s="566">
        <f t="shared" si="652"/>
        <v>0</v>
      </c>
      <c r="V413" s="565">
        <f t="shared" si="652"/>
        <v>0</v>
      </c>
      <c r="W413" s="565">
        <f t="shared" si="652"/>
        <v>0</v>
      </c>
      <c r="X413" s="565">
        <f t="shared" si="652"/>
        <v>0</v>
      </c>
      <c r="Y413" s="565">
        <f t="shared" si="652"/>
        <v>0</v>
      </c>
      <c r="Z413" s="565">
        <f t="shared" si="652"/>
        <v>0</v>
      </c>
      <c r="AA413" s="564">
        <f t="shared" si="652"/>
        <v>0</v>
      </c>
      <c r="AB413" s="565">
        <f t="shared" si="652"/>
        <v>0</v>
      </c>
      <c r="AC413" s="565">
        <f t="shared" si="652"/>
        <v>0</v>
      </c>
      <c r="AD413" s="565">
        <f t="shared" si="652"/>
        <v>0</v>
      </c>
      <c r="AE413" s="566">
        <f t="shared" si="652"/>
        <v>0</v>
      </c>
      <c r="AF413" s="565">
        <f t="shared" si="652"/>
        <v>0</v>
      </c>
      <c r="AG413" s="565">
        <f>AG411*AG412/10^6</f>
        <v>0</v>
      </c>
      <c r="AH413" s="565">
        <f>AH411*AH412/10^6</f>
        <v>0</v>
      </c>
      <c r="AI413" s="565">
        <f>AI411*AI412/10^6</f>
        <v>0</v>
      </c>
      <c r="AJ413" s="566">
        <f t="shared" si="652"/>
        <v>0</v>
      </c>
      <c r="AK413" s="548"/>
      <c r="AO413" s="984" t="str">
        <f t="shared" si="598"/>
        <v>Rev</v>
      </c>
      <c r="AP413" s="985" t="str">
        <f t="shared" si="598"/>
        <v>[Service]</v>
      </c>
      <c r="AQ413" s="986" t="str">
        <f t="shared" si="599"/>
        <v>[Price]</v>
      </c>
      <c r="AR413" s="990" t="str">
        <f t="shared" si="600"/>
        <v>-</v>
      </c>
      <c r="AS413" s="987" t="str">
        <f t="shared" si="601"/>
        <v>-</v>
      </c>
      <c r="AT413" s="987" t="str">
        <f t="shared" si="602"/>
        <v>-</v>
      </c>
      <c r="AU413" s="987" t="str">
        <f t="shared" si="603"/>
        <v>-</v>
      </c>
      <c r="AV413" s="1353" t="str">
        <f t="shared" si="604"/>
        <v>-</v>
      </c>
      <c r="AW413" s="1346" t="str">
        <f t="shared" si="605"/>
        <v>-</v>
      </c>
      <c r="AX413" s="987" t="str">
        <f t="shared" si="606"/>
        <v>-</v>
      </c>
      <c r="AY413" s="987" t="str">
        <f t="shared" si="607"/>
        <v>-</v>
      </c>
      <c r="AZ413" s="987" t="str">
        <f t="shared" si="608"/>
        <v>-</v>
      </c>
      <c r="BA413" s="988" t="str">
        <f t="shared" si="609"/>
        <v>-</v>
      </c>
      <c r="BB413" s="1346" t="str">
        <f t="shared" si="610"/>
        <v>-</v>
      </c>
      <c r="BC413" s="987" t="str">
        <f t="shared" si="611"/>
        <v>-</v>
      </c>
      <c r="BD413" s="987" t="str">
        <f t="shared" si="612"/>
        <v>-</v>
      </c>
      <c r="BE413" s="987" t="str">
        <f t="shared" si="613"/>
        <v>-</v>
      </c>
      <c r="BF413" s="989" t="str">
        <f t="shared" si="614"/>
        <v>-</v>
      </c>
      <c r="BG413" s="951"/>
      <c r="BH413" s="984" t="str">
        <f t="shared" si="640"/>
        <v>Rev</v>
      </c>
      <c r="BI413" s="985" t="str">
        <f t="shared" si="640"/>
        <v>[Service]</v>
      </c>
      <c r="BJ413" s="986" t="str">
        <f t="shared" si="640"/>
        <v>[Price]</v>
      </c>
      <c r="BK413" s="987" t="str">
        <f t="shared" ref="BK413:BU413" si="653">IF(V413="","-",IFERROR((V413/U413-1)*(U413/U$13),"-"))</f>
        <v>-</v>
      </c>
      <c r="BL413" s="987" t="str">
        <f t="shared" si="653"/>
        <v>-</v>
      </c>
      <c r="BM413" s="987" t="str">
        <f t="shared" si="653"/>
        <v>-</v>
      </c>
      <c r="BN413" s="987" t="str">
        <f t="shared" si="653"/>
        <v>-</v>
      </c>
      <c r="BO413" s="1353" t="str">
        <f t="shared" si="653"/>
        <v>-</v>
      </c>
      <c r="BP413" s="1346" t="str">
        <f t="shared" si="653"/>
        <v>-</v>
      </c>
      <c r="BQ413" s="987" t="str">
        <f t="shared" si="653"/>
        <v>-</v>
      </c>
      <c r="BR413" s="987" t="str">
        <f t="shared" si="653"/>
        <v>-</v>
      </c>
      <c r="BS413" s="987" t="str">
        <f t="shared" si="653"/>
        <v>-</v>
      </c>
      <c r="BT413" s="988" t="str">
        <f t="shared" si="653"/>
        <v>-</v>
      </c>
      <c r="BU413" s="987" t="str">
        <f t="shared" si="653"/>
        <v>-</v>
      </c>
      <c r="BV413" s="987" t="str">
        <f>IF(AG413="","-",IFERROR((AG413/AF413-1)*(AF413/AF$13),"-"))</f>
        <v>-</v>
      </c>
      <c r="BW413" s="987" t="str">
        <f>IF(AH413="","-",IFERROR((AH413/AG413-1)*(AG413/AG$13),"-"))</f>
        <v>-</v>
      </c>
      <c r="BX413" s="987" t="str">
        <f>IF(AI413="","-",IFERROR((AI413/AH413-1)*(AH413/AH$13),"-"))</f>
        <v>-</v>
      </c>
      <c r="BY413" s="989" t="str">
        <f>IF(AJ413="","-",IFERROR((AJ413/AI413-1)*(AI413/AI$13),"-"))</f>
        <v>-</v>
      </c>
      <c r="BZ413" s="951"/>
      <c r="CA413" s="984" t="str">
        <f t="shared" si="594"/>
        <v>Rev</v>
      </c>
      <c r="CB413" s="985" t="str">
        <f t="shared" si="595"/>
        <v>[Service]</v>
      </c>
      <c r="CC413" s="985" t="str">
        <f t="shared" si="596"/>
        <v>[Price]</v>
      </c>
      <c r="CD413" s="990" t="str">
        <f t="shared" si="620"/>
        <v>-</v>
      </c>
      <c r="CE413" s="987" t="str">
        <f t="shared" si="620"/>
        <v>-</v>
      </c>
      <c r="CF413" s="987" t="str">
        <f t="shared" si="620"/>
        <v>-</v>
      </c>
      <c r="CG413" s="988" t="str">
        <f t="shared" si="620"/>
        <v>-</v>
      </c>
      <c r="CH413" s="987" t="str">
        <f t="shared" si="621"/>
        <v>-</v>
      </c>
      <c r="CI413" s="987" t="str">
        <f t="shared" si="621"/>
        <v>-</v>
      </c>
      <c r="CJ413" s="987" t="str">
        <f t="shared" si="621"/>
        <v>-</v>
      </c>
      <c r="CK413" s="989" t="str">
        <f t="shared" si="621"/>
        <v>-</v>
      </c>
    </row>
    <row r="414" spans="4:89">
      <c r="D414" s="63">
        <f>D411+1</f>
        <v>116</v>
      </c>
      <c r="E414" s="550" t="s">
        <v>857</v>
      </c>
      <c r="F414" s="595" t="s">
        <v>428</v>
      </c>
      <c r="G414" s="595"/>
      <c r="H414" s="595"/>
      <c r="I414" s="589" t="s">
        <v>920</v>
      </c>
      <c r="J414" s="589" t="s">
        <v>879</v>
      </c>
      <c r="K414" s="551"/>
      <c r="L414" s="552"/>
      <c r="M414" s="552"/>
      <c r="N414" s="551"/>
      <c r="O414" s="552"/>
      <c r="P414" s="552"/>
      <c r="Q414" s="552"/>
      <c r="R414" s="1035"/>
      <c r="S414" s="1138"/>
      <c r="T414" s="591"/>
      <c r="U414" s="1035"/>
      <c r="V414" s="591"/>
      <c r="W414" s="591"/>
      <c r="X414" s="591"/>
      <c r="Y414" s="591"/>
      <c r="Z414" s="591"/>
      <c r="AA414" s="1138"/>
      <c r="AB414" s="591"/>
      <c r="AC414" s="591"/>
      <c r="AD414" s="591"/>
      <c r="AE414" s="1035"/>
      <c r="AF414" s="591"/>
      <c r="AG414" s="591"/>
      <c r="AH414" s="591"/>
      <c r="AI414" s="591"/>
      <c r="AJ414" s="592"/>
      <c r="AK414" s="548"/>
      <c r="AM414" s="974"/>
      <c r="AO414" s="975" t="str">
        <f t="shared" si="598"/>
        <v>Price</v>
      </c>
      <c r="AP414" s="976" t="str">
        <f t="shared" si="598"/>
        <v>[Service]</v>
      </c>
      <c r="AQ414" s="977" t="str">
        <f t="shared" si="599"/>
        <v>[Price]</v>
      </c>
      <c r="AR414" s="1341" t="str">
        <f t="shared" si="600"/>
        <v>-</v>
      </c>
      <c r="AS414" s="978" t="str">
        <f t="shared" si="601"/>
        <v>-</v>
      </c>
      <c r="AT414" s="979" t="str">
        <f t="shared" si="602"/>
        <v>-</v>
      </c>
      <c r="AU414" s="979" t="str">
        <f t="shared" si="603"/>
        <v>-</v>
      </c>
      <c r="AV414" s="1352" t="str">
        <f t="shared" si="604"/>
        <v>-</v>
      </c>
      <c r="AW414" s="1345" t="str">
        <f t="shared" si="605"/>
        <v>-</v>
      </c>
      <c r="AX414" s="979" t="str">
        <f t="shared" si="606"/>
        <v>-</v>
      </c>
      <c r="AY414" s="979" t="str">
        <f t="shared" si="607"/>
        <v>-</v>
      </c>
      <c r="AZ414" s="979" t="str">
        <f t="shared" si="608"/>
        <v>-</v>
      </c>
      <c r="BA414" s="980" t="str">
        <f t="shared" si="609"/>
        <v>-</v>
      </c>
      <c r="BB414" s="1345" t="str">
        <f t="shared" si="610"/>
        <v>-</v>
      </c>
      <c r="BC414" s="979" t="str">
        <f t="shared" si="611"/>
        <v>-</v>
      </c>
      <c r="BD414" s="979" t="str">
        <f t="shared" si="612"/>
        <v>-</v>
      </c>
      <c r="BE414" s="979" t="str">
        <f t="shared" si="613"/>
        <v>-</v>
      </c>
      <c r="BF414" s="981" t="str">
        <f t="shared" si="614"/>
        <v>-</v>
      </c>
      <c r="BG414" s="951"/>
      <c r="BH414" s="975" t="str">
        <f t="shared" si="640"/>
        <v>Price</v>
      </c>
      <c r="BI414" s="976" t="str">
        <f t="shared" si="640"/>
        <v>[Service]</v>
      </c>
      <c r="BJ414" s="977" t="str">
        <f t="shared" si="640"/>
        <v>[Price]</v>
      </c>
      <c r="BK414" s="978" t="str">
        <f t="shared" ref="BK414:BU414" si="654">IF(V414="","-",IFERROR((V414/U414-1)*(U416/U$13),"-"))</f>
        <v>-</v>
      </c>
      <c r="BL414" s="978" t="str">
        <f t="shared" si="654"/>
        <v>-</v>
      </c>
      <c r="BM414" s="979" t="str">
        <f t="shared" si="654"/>
        <v>-</v>
      </c>
      <c r="BN414" s="979" t="str">
        <f t="shared" si="654"/>
        <v>-</v>
      </c>
      <c r="BO414" s="1352" t="str">
        <f t="shared" si="654"/>
        <v>-</v>
      </c>
      <c r="BP414" s="1345" t="str">
        <f t="shared" si="654"/>
        <v>-</v>
      </c>
      <c r="BQ414" s="979" t="str">
        <f t="shared" si="654"/>
        <v>-</v>
      </c>
      <c r="BR414" s="979" t="str">
        <f t="shared" si="654"/>
        <v>-</v>
      </c>
      <c r="BS414" s="979" t="str">
        <f t="shared" si="654"/>
        <v>-</v>
      </c>
      <c r="BT414" s="980" t="str">
        <f t="shared" si="654"/>
        <v>-</v>
      </c>
      <c r="BU414" s="979" t="str">
        <f t="shared" si="654"/>
        <v>-</v>
      </c>
      <c r="BV414" s="979" t="str">
        <f>IF(AG414="","-",IFERROR((AG414/AF414-1)*(AF416/AF$13),"-"))</f>
        <v>-</v>
      </c>
      <c r="BW414" s="979" t="str">
        <f>IF(AH414="","-",IFERROR((AH414/AG414-1)*(AG416/AG$13),"-"))</f>
        <v>-</v>
      </c>
      <c r="BX414" s="979" t="str">
        <f>IF(AI414="","-",IFERROR((AI414/AH414-1)*(AH416/AH$13),"-"))</f>
        <v>-</v>
      </c>
      <c r="BY414" s="981" t="str">
        <f>IF(AJ414="","-",IFERROR((AJ414/AI414-1)*(AI416/AI$13),"-"))</f>
        <v>-</v>
      </c>
      <c r="BZ414" s="951"/>
      <c r="CA414" s="975" t="str">
        <f t="shared" si="594"/>
        <v>Price</v>
      </c>
      <c r="CB414" s="976" t="str">
        <f t="shared" si="595"/>
        <v>[Service]</v>
      </c>
      <c r="CC414" s="982" t="str">
        <f t="shared" si="596"/>
        <v>[Price]</v>
      </c>
      <c r="CD414" s="983" t="str">
        <f t="shared" si="620"/>
        <v>-</v>
      </c>
      <c r="CE414" s="979" t="str">
        <f t="shared" si="620"/>
        <v>-</v>
      </c>
      <c r="CF414" s="979" t="str">
        <f t="shared" si="620"/>
        <v>-</v>
      </c>
      <c r="CG414" s="980" t="str">
        <f t="shared" si="620"/>
        <v>-</v>
      </c>
      <c r="CH414" s="979" t="str">
        <f t="shared" si="621"/>
        <v>-</v>
      </c>
      <c r="CI414" s="979" t="str">
        <f t="shared" si="621"/>
        <v>-</v>
      </c>
      <c r="CJ414" s="979" t="str">
        <f t="shared" si="621"/>
        <v>-</v>
      </c>
      <c r="CK414" s="981" t="str">
        <f t="shared" si="621"/>
        <v>-</v>
      </c>
    </row>
    <row r="415" spans="4:89">
      <c r="E415" s="567" t="s">
        <v>880</v>
      </c>
      <c r="F415" s="554" t="str">
        <f>+F414</f>
        <v>[Service]</v>
      </c>
      <c r="G415" s="555">
        <f>+G414</f>
        <v>0</v>
      </c>
      <c r="H415" s="555">
        <f>+H414</f>
        <v>0</v>
      </c>
      <c r="I415" s="556" t="str">
        <f>+I414</f>
        <v>[Price]</v>
      </c>
      <c r="J415" s="590" t="s">
        <v>916</v>
      </c>
      <c r="K415" s="557"/>
      <c r="L415" s="558"/>
      <c r="M415" s="558"/>
      <c r="N415" s="557"/>
      <c r="O415" s="558"/>
      <c r="P415" s="558"/>
      <c r="Q415" s="558"/>
      <c r="R415" s="1036"/>
      <c r="S415" s="1139"/>
      <c r="T415" s="593"/>
      <c r="U415" s="1036"/>
      <c r="V415" s="593"/>
      <c r="W415" s="593"/>
      <c r="X415" s="593"/>
      <c r="Y415" s="593"/>
      <c r="Z415" s="593"/>
      <c r="AA415" s="1139"/>
      <c r="AB415" s="593"/>
      <c r="AC415" s="593"/>
      <c r="AD415" s="593"/>
      <c r="AE415" s="1036"/>
      <c r="AF415" s="593"/>
      <c r="AG415" s="593"/>
      <c r="AH415" s="593"/>
      <c r="AI415" s="593"/>
      <c r="AJ415" s="594"/>
      <c r="AK415" s="548"/>
      <c r="AO415" s="961" t="str">
        <f t="shared" si="598"/>
        <v>Qty</v>
      </c>
      <c r="AP415" s="962" t="str">
        <f t="shared" si="598"/>
        <v>[Service]</v>
      </c>
      <c r="AQ415" s="963" t="str">
        <f t="shared" si="599"/>
        <v>[Price]</v>
      </c>
      <c r="AR415" s="967" t="str">
        <f t="shared" si="600"/>
        <v>-</v>
      </c>
      <c r="AS415" s="964" t="str">
        <f t="shared" si="601"/>
        <v>-</v>
      </c>
      <c r="AT415" s="964" t="str">
        <f t="shared" si="602"/>
        <v>-</v>
      </c>
      <c r="AU415" s="964" t="str">
        <f t="shared" si="603"/>
        <v>-</v>
      </c>
      <c r="AV415" s="1350" t="str">
        <f t="shared" si="604"/>
        <v>-</v>
      </c>
      <c r="AW415" s="1343" t="str">
        <f t="shared" si="605"/>
        <v>-</v>
      </c>
      <c r="AX415" s="964" t="str">
        <f t="shared" si="606"/>
        <v>-</v>
      </c>
      <c r="AY415" s="964" t="str">
        <f t="shared" si="607"/>
        <v>-</v>
      </c>
      <c r="AZ415" s="964" t="str">
        <f t="shared" si="608"/>
        <v>-</v>
      </c>
      <c r="BA415" s="965" t="str">
        <f t="shared" si="609"/>
        <v>-</v>
      </c>
      <c r="BB415" s="1343" t="str">
        <f t="shared" si="610"/>
        <v>-</v>
      </c>
      <c r="BC415" s="964" t="str">
        <f t="shared" si="611"/>
        <v>-</v>
      </c>
      <c r="BD415" s="964" t="str">
        <f t="shared" si="612"/>
        <v>-</v>
      </c>
      <c r="BE415" s="964" t="str">
        <f t="shared" si="613"/>
        <v>-</v>
      </c>
      <c r="BF415" s="966" t="str">
        <f t="shared" si="614"/>
        <v>-</v>
      </c>
      <c r="BG415" s="951"/>
      <c r="BH415" s="961" t="str">
        <f t="shared" si="640"/>
        <v>Qty</v>
      </c>
      <c r="BI415" s="962" t="str">
        <f t="shared" si="640"/>
        <v>[Service]</v>
      </c>
      <c r="BJ415" s="963" t="str">
        <f t="shared" si="640"/>
        <v>[Price]</v>
      </c>
      <c r="BK415" s="964" t="str">
        <f t="shared" ref="BK415:BU415" si="655">IF(V415="","-",IFERROR((V415/U415-1)*(U416/U$13),"-"))</f>
        <v>-</v>
      </c>
      <c r="BL415" s="964" t="str">
        <f t="shared" si="655"/>
        <v>-</v>
      </c>
      <c r="BM415" s="964" t="str">
        <f t="shared" si="655"/>
        <v>-</v>
      </c>
      <c r="BN415" s="964" t="str">
        <f t="shared" si="655"/>
        <v>-</v>
      </c>
      <c r="BO415" s="1350" t="str">
        <f t="shared" si="655"/>
        <v>-</v>
      </c>
      <c r="BP415" s="1343" t="str">
        <f t="shared" si="655"/>
        <v>-</v>
      </c>
      <c r="BQ415" s="964" t="str">
        <f t="shared" si="655"/>
        <v>-</v>
      </c>
      <c r="BR415" s="964" t="str">
        <f t="shared" si="655"/>
        <v>-</v>
      </c>
      <c r="BS415" s="964" t="str">
        <f t="shared" si="655"/>
        <v>-</v>
      </c>
      <c r="BT415" s="965" t="str">
        <f t="shared" si="655"/>
        <v>-</v>
      </c>
      <c r="BU415" s="964" t="str">
        <f t="shared" si="655"/>
        <v>-</v>
      </c>
      <c r="BV415" s="964" t="str">
        <f>IF(AG415="","-",IFERROR((AG415/AF415-1)*(AF416/AF$13),"-"))</f>
        <v>-</v>
      </c>
      <c r="BW415" s="964" t="str">
        <f>IF(AH415="","-",IFERROR((AH415/AG415-1)*(AG416/AG$13),"-"))</f>
        <v>-</v>
      </c>
      <c r="BX415" s="964" t="str">
        <f>IF(AI415="","-",IFERROR((AI415/AH415-1)*(AH416/AH$13),"-"))</f>
        <v>-</v>
      </c>
      <c r="BY415" s="966" t="str">
        <f>IF(AJ415="","-",IFERROR((AJ415/AI415-1)*(AI416/AI$13),"-"))</f>
        <v>-</v>
      </c>
      <c r="BZ415" s="951"/>
      <c r="CA415" s="961" t="str">
        <f t="shared" si="594"/>
        <v>Qty</v>
      </c>
      <c r="CB415" s="962" t="str">
        <f t="shared" si="595"/>
        <v>[Service]</v>
      </c>
      <c r="CC415" s="962" t="str">
        <f t="shared" si="596"/>
        <v>[Price]</v>
      </c>
      <c r="CD415" s="967" t="str">
        <f t="shared" si="620"/>
        <v>-</v>
      </c>
      <c r="CE415" s="964" t="str">
        <f t="shared" si="620"/>
        <v>-</v>
      </c>
      <c r="CF415" s="964" t="str">
        <f t="shared" si="620"/>
        <v>-</v>
      </c>
      <c r="CG415" s="965" t="str">
        <f t="shared" si="620"/>
        <v>-</v>
      </c>
      <c r="CH415" s="964" t="str">
        <f t="shared" si="621"/>
        <v>-</v>
      </c>
      <c r="CI415" s="964" t="str">
        <f t="shared" si="621"/>
        <v>-</v>
      </c>
      <c r="CJ415" s="964" t="str">
        <f t="shared" si="621"/>
        <v>-</v>
      </c>
      <c r="CK415" s="966" t="str">
        <f t="shared" si="621"/>
        <v>-</v>
      </c>
    </row>
    <row r="416" spans="4:89" ht="12.75" thickBot="1">
      <c r="E416" s="568" t="s">
        <v>882</v>
      </c>
      <c r="F416" s="560" t="str">
        <f>+F414</f>
        <v>[Service]</v>
      </c>
      <c r="G416" s="561">
        <f>+G414</f>
        <v>0</v>
      </c>
      <c r="H416" s="561">
        <f>+H414</f>
        <v>0</v>
      </c>
      <c r="I416" s="562" t="str">
        <f>+I414</f>
        <v>[Price]</v>
      </c>
      <c r="J416" s="563" t="s">
        <v>883</v>
      </c>
      <c r="K416" s="564">
        <f t="shared" ref="K416:AJ416" si="656">K414*K415/10^6</f>
        <v>0</v>
      </c>
      <c r="L416" s="565">
        <f t="shared" si="656"/>
        <v>0</v>
      </c>
      <c r="M416" s="565">
        <f t="shared" si="656"/>
        <v>0</v>
      </c>
      <c r="N416" s="564">
        <f t="shared" si="656"/>
        <v>0</v>
      </c>
      <c r="O416" s="565">
        <f t="shared" si="656"/>
        <v>0</v>
      </c>
      <c r="P416" s="565">
        <f t="shared" si="656"/>
        <v>0</v>
      </c>
      <c r="Q416" s="565">
        <f t="shared" si="656"/>
        <v>0</v>
      </c>
      <c r="R416" s="566">
        <f t="shared" si="656"/>
        <v>0</v>
      </c>
      <c r="S416" s="564">
        <f t="shared" si="656"/>
        <v>0</v>
      </c>
      <c r="T416" s="565">
        <f t="shared" si="656"/>
        <v>0</v>
      </c>
      <c r="U416" s="566">
        <f t="shared" si="656"/>
        <v>0</v>
      </c>
      <c r="V416" s="565">
        <f t="shared" si="656"/>
        <v>0</v>
      </c>
      <c r="W416" s="565">
        <f t="shared" si="656"/>
        <v>0</v>
      </c>
      <c r="X416" s="565">
        <f t="shared" si="656"/>
        <v>0</v>
      </c>
      <c r="Y416" s="565">
        <f t="shared" si="656"/>
        <v>0</v>
      </c>
      <c r="Z416" s="565">
        <f t="shared" si="656"/>
        <v>0</v>
      </c>
      <c r="AA416" s="564">
        <f t="shared" si="656"/>
        <v>0</v>
      </c>
      <c r="AB416" s="565">
        <f t="shared" si="656"/>
        <v>0</v>
      </c>
      <c r="AC416" s="565">
        <f t="shared" si="656"/>
        <v>0</v>
      </c>
      <c r="AD416" s="565">
        <f t="shared" si="656"/>
        <v>0</v>
      </c>
      <c r="AE416" s="566">
        <f t="shared" si="656"/>
        <v>0</v>
      </c>
      <c r="AF416" s="565">
        <f t="shared" si="656"/>
        <v>0</v>
      </c>
      <c r="AG416" s="565">
        <f>AG414*AG415/10^6</f>
        <v>0</v>
      </c>
      <c r="AH416" s="565">
        <f>AH414*AH415/10^6</f>
        <v>0</v>
      </c>
      <c r="AI416" s="565">
        <f>AI414*AI415/10^6</f>
        <v>0</v>
      </c>
      <c r="AJ416" s="566">
        <f t="shared" si="656"/>
        <v>0</v>
      </c>
      <c r="AK416" s="548"/>
      <c r="AO416" s="984" t="str">
        <f t="shared" si="598"/>
        <v>Rev</v>
      </c>
      <c r="AP416" s="985" t="str">
        <f t="shared" si="598"/>
        <v>[Service]</v>
      </c>
      <c r="AQ416" s="986" t="str">
        <f t="shared" si="599"/>
        <v>[Price]</v>
      </c>
      <c r="AR416" s="990" t="str">
        <f t="shared" si="600"/>
        <v>-</v>
      </c>
      <c r="AS416" s="987" t="str">
        <f t="shared" si="601"/>
        <v>-</v>
      </c>
      <c r="AT416" s="987" t="str">
        <f t="shared" si="602"/>
        <v>-</v>
      </c>
      <c r="AU416" s="987" t="str">
        <f t="shared" si="603"/>
        <v>-</v>
      </c>
      <c r="AV416" s="1353" t="str">
        <f t="shared" si="604"/>
        <v>-</v>
      </c>
      <c r="AW416" s="1346" t="str">
        <f t="shared" si="605"/>
        <v>-</v>
      </c>
      <c r="AX416" s="987" t="str">
        <f t="shared" si="606"/>
        <v>-</v>
      </c>
      <c r="AY416" s="987" t="str">
        <f t="shared" si="607"/>
        <v>-</v>
      </c>
      <c r="AZ416" s="987" t="str">
        <f t="shared" si="608"/>
        <v>-</v>
      </c>
      <c r="BA416" s="988" t="str">
        <f t="shared" si="609"/>
        <v>-</v>
      </c>
      <c r="BB416" s="1346" t="str">
        <f t="shared" si="610"/>
        <v>-</v>
      </c>
      <c r="BC416" s="987" t="str">
        <f t="shared" si="611"/>
        <v>-</v>
      </c>
      <c r="BD416" s="987" t="str">
        <f t="shared" si="612"/>
        <v>-</v>
      </c>
      <c r="BE416" s="987" t="str">
        <f t="shared" si="613"/>
        <v>-</v>
      </c>
      <c r="BF416" s="989" t="str">
        <f t="shared" si="614"/>
        <v>-</v>
      </c>
      <c r="BG416" s="951"/>
      <c r="BH416" s="984" t="str">
        <f t="shared" si="640"/>
        <v>Rev</v>
      </c>
      <c r="BI416" s="985" t="str">
        <f t="shared" si="640"/>
        <v>[Service]</v>
      </c>
      <c r="BJ416" s="986" t="str">
        <f t="shared" si="640"/>
        <v>[Price]</v>
      </c>
      <c r="BK416" s="987" t="str">
        <f t="shared" ref="BK416:BU416" si="657">IF(V416="","-",IFERROR((V416/U416-1)*(U416/U$13),"-"))</f>
        <v>-</v>
      </c>
      <c r="BL416" s="987" t="str">
        <f t="shared" si="657"/>
        <v>-</v>
      </c>
      <c r="BM416" s="987" t="str">
        <f t="shared" si="657"/>
        <v>-</v>
      </c>
      <c r="BN416" s="987" t="str">
        <f t="shared" si="657"/>
        <v>-</v>
      </c>
      <c r="BO416" s="1353" t="str">
        <f t="shared" si="657"/>
        <v>-</v>
      </c>
      <c r="BP416" s="1346" t="str">
        <f t="shared" si="657"/>
        <v>-</v>
      </c>
      <c r="BQ416" s="987" t="str">
        <f t="shared" si="657"/>
        <v>-</v>
      </c>
      <c r="BR416" s="987" t="str">
        <f t="shared" si="657"/>
        <v>-</v>
      </c>
      <c r="BS416" s="987" t="str">
        <f t="shared" si="657"/>
        <v>-</v>
      </c>
      <c r="BT416" s="988" t="str">
        <f t="shared" si="657"/>
        <v>-</v>
      </c>
      <c r="BU416" s="987" t="str">
        <f t="shared" si="657"/>
        <v>-</v>
      </c>
      <c r="BV416" s="987" t="str">
        <f>IF(AG416="","-",IFERROR((AG416/AF416-1)*(AF416/AF$13),"-"))</f>
        <v>-</v>
      </c>
      <c r="BW416" s="987" t="str">
        <f>IF(AH416="","-",IFERROR((AH416/AG416-1)*(AG416/AG$13),"-"))</f>
        <v>-</v>
      </c>
      <c r="BX416" s="987" t="str">
        <f>IF(AI416="","-",IFERROR((AI416/AH416-1)*(AH416/AH$13),"-"))</f>
        <v>-</v>
      </c>
      <c r="BY416" s="989" t="str">
        <f>IF(AJ416="","-",IFERROR((AJ416/AI416-1)*(AI416/AI$13),"-"))</f>
        <v>-</v>
      </c>
      <c r="BZ416" s="951"/>
      <c r="CA416" s="984" t="str">
        <f t="shared" si="594"/>
        <v>Rev</v>
      </c>
      <c r="CB416" s="985" t="str">
        <f t="shared" si="595"/>
        <v>[Service]</v>
      </c>
      <c r="CC416" s="985" t="str">
        <f t="shared" si="596"/>
        <v>[Price]</v>
      </c>
      <c r="CD416" s="990" t="str">
        <f t="shared" si="620"/>
        <v>-</v>
      </c>
      <c r="CE416" s="987" t="str">
        <f t="shared" si="620"/>
        <v>-</v>
      </c>
      <c r="CF416" s="987" t="str">
        <f t="shared" si="620"/>
        <v>-</v>
      </c>
      <c r="CG416" s="988" t="str">
        <f t="shared" si="620"/>
        <v>-</v>
      </c>
      <c r="CH416" s="987" t="str">
        <f t="shared" si="621"/>
        <v>-</v>
      </c>
      <c r="CI416" s="987" t="str">
        <f t="shared" si="621"/>
        <v>-</v>
      </c>
      <c r="CJ416" s="987" t="str">
        <f t="shared" si="621"/>
        <v>-</v>
      </c>
      <c r="CK416" s="989" t="str">
        <f t="shared" si="621"/>
        <v>-</v>
      </c>
    </row>
    <row r="417" spans="4:89">
      <c r="D417" s="63">
        <f>D414+1</f>
        <v>117</v>
      </c>
      <c r="E417" s="550" t="s">
        <v>857</v>
      </c>
      <c r="F417" s="595" t="s">
        <v>428</v>
      </c>
      <c r="G417" s="595"/>
      <c r="H417" s="595"/>
      <c r="I417" s="589" t="s">
        <v>920</v>
      </c>
      <c r="J417" s="589" t="s">
        <v>879</v>
      </c>
      <c r="K417" s="551"/>
      <c r="L417" s="552"/>
      <c r="M417" s="552"/>
      <c r="N417" s="551"/>
      <c r="O417" s="552"/>
      <c r="P417" s="552"/>
      <c r="Q417" s="552"/>
      <c r="R417" s="1035"/>
      <c r="S417" s="1138"/>
      <c r="T417" s="591"/>
      <c r="U417" s="1035"/>
      <c r="V417" s="591"/>
      <c r="W417" s="591"/>
      <c r="X417" s="591"/>
      <c r="Y417" s="591"/>
      <c r="Z417" s="591"/>
      <c r="AA417" s="1138"/>
      <c r="AB417" s="591"/>
      <c r="AC417" s="591"/>
      <c r="AD417" s="591"/>
      <c r="AE417" s="1035"/>
      <c r="AF417" s="591"/>
      <c r="AG417" s="591"/>
      <c r="AH417" s="591"/>
      <c r="AI417" s="591"/>
      <c r="AJ417" s="592"/>
      <c r="AK417" s="548"/>
      <c r="AM417" s="974"/>
      <c r="AO417" s="975" t="str">
        <f t="shared" si="598"/>
        <v>Price</v>
      </c>
      <c r="AP417" s="976" t="str">
        <f t="shared" si="598"/>
        <v>[Service]</v>
      </c>
      <c r="AQ417" s="977" t="str">
        <f t="shared" si="599"/>
        <v>[Price]</v>
      </c>
      <c r="AR417" s="1341" t="str">
        <f t="shared" si="600"/>
        <v>-</v>
      </c>
      <c r="AS417" s="978" t="str">
        <f t="shared" si="601"/>
        <v>-</v>
      </c>
      <c r="AT417" s="979" t="str">
        <f t="shared" si="602"/>
        <v>-</v>
      </c>
      <c r="AU417" s="979" t="str">
        <f t="shared" si="603"/>
        <v>-</v>
      </c>
      <c r="AV417" s="1352" t="str">
        <f t="shared" si="604"/>
        <v>-</v>
      </c>
      <c r="AW417" s="1345" t="str">
        <f t="shared" si="605"/>
        <v>-</v>
      </c>
      <c r="AX417" s="979" t="str">
        <f t="shared" si="606"/>
        <v>-</v>
      </c>
      <c r="AY417" s="979" t="str">
        <f t="shared" si="607"/>
        <v>-</v>
      </c>
      <c r="AZ417" s="979" t="str">
        <f t="shared" si="608"/>
        <v>-</v>
      </c>
      <c r="BA417" s="980" t="str">
        <f t="shared" si="609"/>
        <v>-</v>
      </c>
      <c r="BB417" s="1345" t="str">
        <f t="shared" si="610"/>
        <v>-</v>
      </c>
      <c r="BC417" s="979" t="str">
        <f t="shared" si="611"/>
        <v>-</v>
      </c>
      <c r="BD417" s="979" t="str">
        <f t="shared" si="612"/>
        <v>-</v>
      </c>
      <c r="BE417" s="979" t="str">
        <f t="shared" si="613"/>
        <v>-</v>
      </c>
      <c r="BF417" s="981" t="str">
        <f t="shared" si="614"/>
        <v>-</v>
      </c>
      <c r="BG417" s="951"/>
      <c r="BH417" s="975" t="str">
        <f t="shared" si="640"/>
        <v>Price</v>
      </c>
      <c r="BI417" s="976" t="str">
        <f t="shared" si="640"/>
        <v>[Service]</v>
      </c>
      <c r="BJ417" s="977" t="str">
        <f t="shared" si="640"/>
        <v>[Price]</v>
      </c>
      <c r="BK417" s="978" t="str">
        <f t="shared" ref="BK417:BU417" si="658">IF(V417="","-",IFERROR((V417/U417-1)*(U419/U$13),"-"))</f>
        <v>-</v>
      </c>
      <c r="BL417" s="978" t="str">
        <f t="shared" si="658"/>
        <v>-</v>
      </c>
      <c r="BM417" s="979" t="str">
        <f t="shared" si="658"/>
        <v>-</v>
      </c>
      <c r="BN417" s="979" t="str">
        <f t="shared" si="658"/>
        <v>-</v>
      </c>
      <c r="BO417" s="1352" t="str">
        <f t="shared" si="658"/>
        <v>-</v>
      </c>
      <c r="BP417" s="1345" t="str">
        <f t="shared" si="658"/>
        <v>-</v>
      </c>
      <c r="BQ417" s="979" t="str">
        <f t="shared" si="658"/>
        <v>-</v>
      </c>
      <c r="BR417" s="979" t="str">
        <f t="shared" si="658"/>
        <v>-</v>
      </c>
      <c r="BS417" s="979" t="str">
        <f t="shared" si="658"/>
        <v>-</v>
      </c>
      <c r="BT417" s="980" t="str">
        <f t="shared" si="658"/>
        <v>-</v>
      </c>
      <c r="BU417" s="979" t="str">
        <f t="shared" si="658"/>
        <v>-</v>
      </c>
      <c r="BV417" s="979" t="str">
        <f>IF(AG417="","-",IFERROR((AG417/AF417-1)*(AF419/AF$13),"-"))</f>
        <v>-</v>
      </c>
      <c r="BW417" s="979" t="str">
        <f>IF(AH417="","-",IFERROR((AH417/AG417-1)*(AG419/AG$13),"-"))</f>
        <v>-</v>
      </c>
      <c r="BX417" s="979" t="str">
        <f>IF(AI417="","-",IFERROR((AI417/AH417-1)*(AH419/AH$13),"-"))</f>
        <v>-</v>
      </c>
      <c r="BY417" s="981" t="str">
        <f>IF(AJ417="","-",IFERROR((AJ417/AI417-1)*(AI419/AI$13),"-"))</f>
        <v>-</v>
      </c>
      <c r="BZ417" s="951"/>
      <c r="CA417" s="975" t="str">
        <f t="shared" si="594"/>
        <v>Price</v>
      </c>
      <c r="CB417" s="976" t="str">
        <f t="shared" si="595"/>
        <v>[Service]</v>
      </c>
      <c r="CC417" s="982" t="str">
        <f t="shared" si="596"/>
        <v>[Price]</v>
      </c>
      <c r="CD417" s="983" t="str">
        <f t="shared" si="620"/>
        <v>-</v>
      </c>
      <c r="CE417" s="979" t="str">
        <f t="shared" si="620"/>
        <v>-</v>
      </c>
      <c r="CF417" s="979" t="str">
        <f t="shared" si="620"/>
        <v>-</v>
      </c>
      <c r="CG417" s="980" t="str">
        <f t="shared" si="620"/>
        <v>-</v>
      </c>
      <c r="CH417" s="979" t="str">
        <f t="shared" si="621"/>
        <v>-</v>
      </c>
      <c r="CI417" s="979" t="str">
        <f t="shared" si="621"/>
        <v>-</v>
      </c>
      <c r="CJ417" s="979" t="str">
        <f t="shared" si="621"/>
        <v>-</v>
      </c>
      <c r="CK417" s="981" t="str">
        <f t="shared" si="621"/>
        <v>-</v>
      </c>
    </row>
    <row r="418" spans="4:89">
      <c r="E418" s="567" t="s">
        <v>880</v>
      </c>
      <c r="F418" s="554" t="str">
        <f>+F417</f>
        <v>[Service]</v>
      </c>
      <c r="G418" s="555">
        <f>+G417</f>
        <v>0</v>
      </c>
      <c r="H418" s="555">
        <f>+H417</f>
        <v>0</v>
      </c>
      <c r="I418" s="556" t="str">
        <f>+I417</f>
        <v>[Price]</v>
      </c>
      <c r="J418" s="590" t="s">
        <v>916</v>
      </c>
      <c r="K418" s="557"/>
      <c r="L418" s="558"/>
      <c r="M418" s="558"/>
      <c r="N418" s="557"/>
      <c r="O418" s="558"/>
      <c r="P418" s="558"/>
      <c r="Q418" s="558"/>
      <c r="R418" s="1036"/>
      <c r="S418" s="1139"/>
      <c r="T418" s="593"/>
      <c r="U418" s="1036"/>
      <c r="V418" s="593"/>
      <c r="W418" s="593"/>
      <c r="X418" s="593"/>
      <c r="Y418" s="593"/>
      <c r="Z418" s="593"/>
      <c r="AA418" s="1139"/>
      <c r="AB418" s="593"/>
      <c r="AC418" s="593"/>
      <c r="AD418" s="593"/>
      <c r="AE418" s="1036"/>
      <c r="AF418" s="593"/>
      <c r="AG418" s="593"/>
      <c r="AH418" s="593"/>
      <c r="AI418" s="593"/>
      <c r="AJ418" s="594"/>
      <c r="AK418" s="548"/>
      <c r="AO418" s="961" t="str">
        <f t="shared" si="598"/>
        <v>Qty</v>
      </c>
      <c r="AP418" s="962" t="str">
        <f t="shared" si="598"/>
        <v>[Service]</v>
      </c>
      <c r="AQ418" s="963" t="str">
        <f t="shared" si="599"/>
        <v>[Price]</v>
      </c>
      <c r="AR418" s="967" t="str">
        <f t="shared" si="600"/>
        <v>-</v>
      </c>
      <c r="AS418" s="964" t="str">
        <f t="shared" si="601"/>
        <v>-</v>
      </c>
      <c r="AT418" s="964" t="str">
        <f t="shared" si="602"/>
        <v>-</v>
      </c>
      <c r="AU418" s="964" t="str">
        <f t="shared" si="603"/>
        <v>-</v>
      </c>
      <c r="AV418" s="1350" t="str">
        <f t="shared" si="604"/>
        <v>-</v>
      </c>
      <c r="AW418" s="1343" t="str">
        <f t="shared" si="605"/>
        <v>-</v>
      </c>
      <c r="AX418" s="964" t="str">
        <f t="shared" si="606"/>
        <v>-</v>
      </c>
      <c r="AY418" s="964" t="str">
        <f t="shared" si="607"/>
        <v>-</v>
      </c>
      <c r="AZ418" s="964" t="str">
        <f t="shared" si="608"/>
        <v>-</v>
      </c>
      <c r="BA418" s="965" t="str">
        <f t="shared" si="609"/>
        <v>-</v>
      </c>
      <c r="BB418" s="1343" t="str">
        <f t="shared" si="610"/>
        <v>-</v>
      </c>
      <c r="BC418" s="964" t="str">
        <f t="shared" si="611"/>
        <v>-</v>
      </c>
      <c r="BD418" s="964" t="str">
        <f t="shared" si="612"/>
        <v>-</v>
      </c>
      <c r="BE418" s="964" t="str">
        <f t="shared" si="613"/>
        <v>-</v>
      </c>
      <c r="BF418" s="966" t="str">
        <f t="shared" si="614"/>
        <v>-</v>
      </c>
      <c r="BG418" s="951"/>
      <c r="BH418" s="961" t="str">
        <f t="shared" si="640"/>
        <v>Qty</v>
      </c>
      <c r="BI418" s="962" t="str">
        <f t="shared" si="640"/>
        <v>[Service]</v>
      </c>
      <c r="BJ418" s="963" t="str">
        <f t="shared" si="640"/>
        <v>[Price]</v>
      </c>
      <c r="BK418" s="964" t="str">
        <f t="shared" ref="BK418:BU418" si="659">IF(V418="","-",IFERROR((V418/U418-1)*(U419/U$13),"-"))</f>
        <v>-</v>
      </c>
      <c r="BL418" s="964" t="str">
        <f t="shared" si="659"/>
        <v>-</v>
      </c>
      <c r="BM418" s="964" t="str">
        <f t="shared" si="659"/>
        <v>-</v>
      </c>
      <c r="BN418" s="964" t="str">
        <f t="shared" si="659"/>
        <v>-</v>
      </c>
      <c r="BO418" s="1350" t="str">
        <f t="shared" si="659"/>
        <v>-</v>
      </c>
      <c r="BP418" s="1343" t="str">
        <f t="shared" si="659"/>
        <v>-</v>
      </c>
      <c r="BQ418" s="964" t="str">
        <f t="shared" si="659"/>
        <v>-</v>
      </c>
      <c r="BR418" s="964" t="str">
        <f t="shared" si="659"/>
        <v>-</v>
      </c>
      <c r="BS418" s="964" t="str">
        <f t="shared" si="659"/>
        <v>-</v>
      </c>
      <c r="BT418" s="965" t="str">
        <f t="shared" si="659"/>
        <v>-</v>
      </c>
      <c r="BU418" s="964" t="str">
        <f t="shared" si="659"/>
        <v>-</v>
      </c>
      <c r="BV418" s="964" t="str">
        <f>IF(AG418="","-",IFERROR((AG418/AF418-1)*(AF419/AF$13),"-"))</f>
        <v>-</v>
      </c>
      <c r="BW418" s="964" t="str">
        <f>IF(AH418="","-",IFERROR((AH418/AG418-1)*(AG419/AG$13),"-"))</f>
        <v>-</v>
      </c>
      <c r="BX418" s="964" t="str">
        <f>IF(AI418="","-",IFERROR((AI418/AH418-1)*(AH419/AH$13),"-"))</f>
        <v>-</v>
      </c>
      <c r="BY418" s="966" t="str">
        <f>IF(AJ418="","-",IFERROR((AJ418/AI418-1)*(AI419/AI$13),"-"))</f>
        <v>-</v>
      </c>
      <c r="BZ418" s="951"/>
      <c r="CA418" s="961" t="str">
        <f t="shared" si="594"/>
        <v>Qty</v>
      </c>
      <c r="CB418" s="962" t="str">
        <f t="shared" si="595"/>
        <v>[Service]</v>
      </c>
      <c r="CC418" s="962" t="str">
        <f t="shared" si="596"/>
        <v>[Price]</v>
      </c>
      <c r="CD418" s="967" t="str">
        <f t="shared" si="620"/>
        <v>-</v>
      </c>
      <c r="CE418" s="964" t="str">
        <f t="shared" si="620"/>
        <v>-</v>
      </c>
      <c r="CF418" s="964" t="str">
        <f t="shared" si="620"/>
        <v>-</v>
      </c>
      <c r="CG418" s="965" t="str">
        <f t="shared" si="620"/>
        <v>-</v>
      </c>
      <c r="CH418" s="964" t="str">
        <f t="shared" si="621"/>
        <v>-</v>
      </c>
      <c r="CI418" s="964" t="str">
        <f t="shared" si="621"/>
        <v>-</v>
      </c>
      <c r="CJ418" s="964" t="str">
        <f t="shared" si="621"/>
        <v>-</v>
      </c>
      <c r="CK418" s="966" t="str">
        <f t="shared" si="621"/>
        <v>-</v>
      </c>
    </row>
    <row r="419" spans="4:89" ht="12.75" thickBot="1">
      <c r="E419" s="568" t="s">
        <v>882</v>
      </c>
      <c r="F419" s="560" t="str">
        <f>+F417</f>
        <v>[Service]</v>
      </c>
      <c r="G419" s="561">
        <f>+G417</f>
        <v>0</v>
      </c>
      <c r="H419" s="561">
        <f>+H417</f>
        <v>0</v>
      </c>
      <c r="I419" s="562" t="str">
        <f>+I417</f>
        <v>[Price]</v>
      </c>
      <c r="J419" s="563" t="s">
        <v>883</v>
      </c>
      <c r="K419" s="564">
        <f t="shared" ref="K419:AJ419" si="660">K417*K418/10^6</f>
        <v>0</v>
      </c>
      <c r="L419" s="565">
        <f t="shared" si="660"/>
        <v>0</v>
      </c>
      <c r="M419" s="565">
        <f t="shared" si="660"/>
        <v>0</v>
      </c>
      <c r="N419" s="564">
        <f t="shared" si="660"/>
        <v>0</v>
      </c>
      <c r="O419" s="565">
        <f t="shared" si="660"/>
        <v>0</v>
      </c>
      <c r="P419" s="565">
        <f t="shared" si="660"/>
        <v>0</v>
      </c>
      <c r="Q419" s="565">
        <f t="shared" si="660"/>
        <v>0</v>
      </c>
      <c r="R419" s="566">
        <f t="shared" si="660"/>
        <v>0</v>
      </c>
      <c r="S419" s="564">
        <f t="shared" si="660"/>
        <v>0</v>
      </c>
      <c r="T419" s="565">
        <f t="shared" si="660"/>
        <v>0</v>
      </c>
      <c r="U419" s="566">
        <f t="shared" si="660"/>
        <v>0</v>
      </c>
      <c r="V419" s="565">
        <f t="shared" si="660"/>
        <v>0</v>
      </c>
      <c r="W419" s="565">
        <f t="shared" si="660"/>
        <v>0</v>
      </c>
      <c r="X419" s="565">
        <f t="shared" si="660"/>
        <v>0</v>
      </c>
      <c r="Y419" s="565">
        <f t="shared" si="660"/>
        <v>0</v>
      </c>
      <c r="Z419" s="565">
        <f t="shared" si="660"/>
        <v>0</v>
      </c>
      <c r="AA419" s="564">
        <f t="shared" si="660"/>
        <v>0</v>
      </c>
      <c r="AB419" s="565">
        <f t="shared" si="660"/>
        <v>0</v>
      </c>
      <c r="AC419" s="565">
        <f t="shared" si="660"/>
        <v>0</v>
      </c>
      <c r="AD419" s="565">
        <f t="shared" si="660"/>
        <v>0</v>
      </c>
      <c r="AE419" s="566">
        <f t="shared" si="660"/>
        <v>0</v>
      </c>
      <c r="AF419" s="565">
        <f t="shared" si="660"/>
        <v>0</v>
      </c>
      <c r="AG419" s="565">
        <f>AG417*AG418/10^6</f>
        <v>0</v>
      </c>
      <c r="AH419" s="565">
        <f>AH417*AH418/10^6</f>
        <v>0</v>
      </c>
      <c r="AI419" s="565">
        <f>AI417*AI418/10^6</f>
        <v>0</v>
      </c>
      <c r="AJ419" s="566">
        <f t="shared" si="660"/>
        <v>0</v>
      </c>
      <c r="AK419" s="548"/>
      <c r="AO419" s="984" t="str">
        <f t="shared" si="598"/>
        <v>Rev</v>
      </c>
      <c r="AP419" s="985" t="str">
        <f t="shared" si="598"/>
        <v>[Service]</v>
      </c>
      <c r="AQ419" s="986" t="str">
        <f t="shared" si="599"/>
        <v>[Price]</v>
      </c>
      <c r="AR419" s="990" t="str">
        <f t="shared" si="600"/>
        <v>-</v>
      </c>
      <c r="AS419" s="987" t="str">
        <f t="shared" si="601"/>
        <v>-</v>
      </c>
      <c r="AT419" s="987" t="str">
        <f t="shared" si="602"/>
        <v>-</v>
      </c>
      <c r="AU419" s="987" t="str">
        <f t="shared" si="603"/>
        <v>-</v>
      </c>
      <c r="AV419" s="1353" t="str">
        <f t="shared" si="604"/>
        <v>-</v>
      </c>
      <c r="AW419" s="1346" t="str">
        <f t="shared" si="605"/>
        <v>-</v>
      </c>
      <c r="AX419" s="987" t="str">
        <f t="shared" si="606"/>
        <v>-</v>
      </c>
      <c r="AY419" s="987" t="str">
        <f t="shared" si="607"/>
        <v>-</v>
      </c>
      <c r="AZ419" s="987" t="str">
        <f t="shared" si="608"/>
        <v>-</v>
      </c>
      <c r="BA419" s="988" t="str">
        <f t="shared" si="609"/>
        <v>-</v>
      </c>
      <c r="BB419" s="1346" t="str">
        <f t="shared" si="610"/>
        <v>-</v>
      </c>
      <c r="BC419" s="987" t="str">
        <f t="shared" si="611"/>
        <v>-</v>
      </c>
      <c r="BD419" s="987" t="str">
        <f t="shared" si="612"/>
        <v>-</v>
      </c>
      <c r="BE419" s="987" t="str">
        <f t="shared" si="613"/>
        <v>-</v>
      </c>
      <c r="BF419" s="989" t="str">
        <f t="shared" si="614"/>
        <v>-</v>
      </c>
      <c r="BG419" s="951"/>
      <c r="BH419" s="984" t="str">
        <f t="shared" si="640"/>
        <v>Rev</v>
      </c>
      <c r="BI419" s="985" t="str">
        <f t="shared" si="640"/>
        <v>[Service]</v>
      </c>
      <c r="BJ419" s="986" t="str">
        <f t="shared" si="640"/>
        <v>[Price]</v>
      </c>
      <c r="BK419" s="987" t="str">
        <f t="shared" ref="BK419:BU419" si="661">IF(V419="","-",IFERROR((V419/U419-1)*(U419/U$13),"-"))</f>
        <v>-</v>
      </c>
      <c r="BL419" s="987" t="str">
        <f t="shared" si="661"/>
        <v>-</v>
      </c>
      <c r="BM419" s="987" t="str">
        <f t="shared" si="661"/>
        <v>-</v>
      </c>
      <c r="BN419" s="987" t="str">
        <f t="shared" si="661"/>
        <v>-</v>
      </c>
      <c r="BO419" s="1353" t="str">
        <f t="shared" si="661"/>
        <v>-</v>
      </c>
      <c r="BP419" s="1346" t="str">
        <f t="shared" si="661"/>
        <v>-</v>
      </c>
      <c r="BQ419" s="987" t="str">
        <f t="shared" si="661"/>
        <v>-</v>
      </c>
      <c r="BR419" s="987" t="str">
        <f t="shared" si="661"/>
        <v>-</v>
      </c>
      <c r="BS419" s="987" t="str">
        <f t="shared" si="661"/>
        <v>-</v>
      </c>
      <c r="BT419" s="988" t="str">
        <f t="shared" si="661"/>
        <v>-</v>
      </c>
      <c r="BU419" s="987" t="str">
        <f t="shared" si="661"/>
        <v>-</v>
      </c>
      <c r="BV419" s="987" t="str">
        <f>IF(AG419="","-",IFERROR((AG419/AF419-1)*(AF419/AF$13),"-"))</f>
        <v>-</v>
      </c>
      <c r="BW419" s="987" t="str">
        <f>IF(AH419="","-",IFERROR((AH419/AG419-1)*(AG419/AG$13),"-"))</f>
        <v>-</v>
      </c>
      <c r="BX419" s="987" t="str">
        <f>IF(AI419="","-",IFERROR((AI419/AH419-1)*(AH419/AH$13),"-"))</f>
        <v>-</v>
      </c>
      <c r="BY419" s="989" t="str">
        <f>IF(AJ419="","-",IFERROR((AJ419/AI419-1)*(AI419/AI$13),"-"))</f>
        <v>-</v>
      </c>
      <c r="BZ419" s="951"/>
      <c r="CA419" s="984" t="str">
        <f t="shared" si="594"/>
        <v>Rev</v>
      </c>
      <c r="CB419" s="985" t="str">
        <f t="shared" si="595"/>
        <v>[Service]</v>
      </c>
      <c r="CC419" s="985" t="str">
        <f t="shared" si="596"/>
        <v>[Price]</v>
      </c>
      <c r="CD419" s="990" t="str">
        <f t="shared" si="620"/>
        <v>-</v>
      </c>
      <c r="CE419" s="987" t="str">
        <f t="shared" si="620"/>
        <v>-</v>
      </c>
      <c r="CF419" s="987" t="str">
        <f t="shared" si="620"/>
        <v>-</v>
      </c>
      <c r="CG419" s="988" t="str">
        <f t="shared" si="620"/>
        <v>-</v>
      </c>
      <c r="CH419" s="987" t="str">
        <f t="shared" si="621"/>
        <v>-</v>
      </c>
      <c r="CI419" s="987" t="str">
        <f t="shared" si="621"/>
        <v>-</v>
      </c>
      <c r="CJ419" s="987" t="str">
        <f t="shared" si="621"/>
        <v>-</v>
      </c>
      <c r="CK419" s="989" t="str">
        <f t="shared" si="621"/>
        <v>-</v>
      </c>
    </row>
    <row r="420" spans="4:89">
      <c r="D420" s="63">
        <f>D417+1</f>
        <v>118</v>
      </c>
      <c r="E420" s="550" t="s">
        <v>857</v>
      </c>
      <c r="F420" s="595" t="s">
        <v>428</v>
      </c>
      <c r="G420" s="595"/>
      <c r="H420" s="595"/>
      <c r="I420" s="589" t="s">
        <v>920</v>
      </c>
      <c r="J420" s="589" t="s">
        <v>879</v>
      </c>
      <c r="K420" s="551"/>
      <c r="L420" s="552"/>
      <c r="M420" s="552"/>
      <c r="N420" s="551"/>
      <c r="O420" s="552"/>
      <c r="P420" s="552"/>
      <c r="Q420" s="552"/>
      <c r="R420" s="1035"/>
      <c r="S420" s="1138"/>
      <c r="T420" s="591"/>
      <c r="U420" s="1035"/>
      <c r="V420" s="591"/>
      <c r="W420" s="591"/>
      <c r="X420" s="591"/>
      <c r="Y420" s="591"/>
      <c r="Z420" s="591"/>
      <c r="AA420" s="1138"/>
      <c r="AB420" s="591"/>
      <c r="AC420" s="591"/>
      <c r="AD420" s="591"/>
      <c r="AE420" s="1035"/>
      <c r="AF420" s="591"/>
      <c r="AG420" s="591"/>
      <c r="AH420" s="591"/>
      <c r="AI420" s="591"/>
      <c r="AJ420" s="592"/>
      <c r="AK420" s="548"/>
      <c r="AM420" s="974"/>
      <c r="AO420" s="975" t="str">
        <f t="shared" si="598"/>
        <v>Price</v>
      </c>
      <c r="AP420" s="976" t="str">
        <f t="shared" si="598"/>
        <v>[Service]</v>
      </c>
      <c r="AQ420" s="977" t="str">
        <f t="shared" si="599"/>
        <v>[Price]</v>
      </c>
      <c r="AR420" s="1341" t="str">
        <f t="shared" si="600"/>
        <v>-</v>
      </c>
      <c r="AS420" s="978" t="str">
        <f t="shared" si="601"/>
        <v>-</v>
      </c>
      <c r="AT420" s="979" t="str">
        <f t="shared" si="602"/>
        <v>-</v>
      </c>
      <c r="AU420" s="979" t="str">
        <f t="shared" si="603"/>
        <v>-</v>
      </c>
      <c r="AV420" s="1352" t="str">
        <f t="shared" si="604"/>
        <v>-</v>
      </c>
      <c r="AW420" s="1345" t="str">
        <f t="shared" si="605"/>
        <v>-</v>
      </c>
      <c r="AX420" s="979" t="str">
        <f t="shared" si="606"/>
        <v>-</v>
      </c>
      <c r="AY420" s="979" t="str">
        <f t="shared" si="607"/>
        <v>-</v>
      </c>
      <c r="AZ420" s="979" t="str">
        <f t="shared" si="608"/>
        <v>-</v>
      </c>
      <c r="BA420" s="980" t="str">
        <f t="shared" si="609"/>
        <v>-</v>
      </c>
      <c r="BB420" s="1345" t="str">
        <f t="shared" si="610"/>
        <v>-</v>
      </c>
      <c r="BC420" s="979" t="str">
        <f t="shared" si="611"/>
        <v>-</v>
      </c>
      <c r="BD420" s="979" t="str">
        <f t="shared" si="612"/>
        <v>-</v>
      </c>
      <c r="BE420" s="979" t="str">
        <f t="shared" si="613"/>
        <v>-</v>
      </c>
      <c r="BF420" s="981" t="str">
        <f t="shared" si="614"/>
        <v>-</v>
      </c>
      <c r="BG420" s="951"/>
      <c r="BH420" s="975" t="str">
        <f t="shared" si="640"/>
        <v>Price</v>
      </c>
      <c r="BI420" s="976" t="str">
        <f t="shared" si="640"/>
        <v>[Service]</v>
      </c>
      <c r="BJ420" s="977" t="str">
        <f t="shared" si="640"/>
        <v>[Price]</v>
      </c>
      <c r="BK420" s="978" t="str">
        <f t="shared" ref="BK420:BU420" si="662">IF(V420="","-",IFERROR((V420/U420-1)*(U422/U$13),"-"))</f>
        <v>-</v>
      </c>
      <c r="BL420" s="978" t="str">
        <f t="shared" si="662"/>
        <v>-</v>
      </c>
      <c r="BM420" s="979" t="str">
        <f t="shared" si="662"/>
        <v>-</v>
      </c>
      <c r="BN420" s="979" t="str">
        <f t="shared" si="662"/>
        <v>-</v>
      </c>
      <c r="BO420" s="1352" t="str">
        <f t="shared" si="662"/>
        <v>-</v>
      </c>
      <c r="BP420" s="1345" t="str">
        <f t="shared" si="662"/>
        <v>-</v>
      </c>
      <c r="BQ420" s="979" t="str">
        <f t="shared" si="662"/>
        <v>-</v>
      </c>
      <c r="BR420" s="979" t="str">
        <f t="shared" si="662"/>
        <v>-</v>
      </c>
      <c r="BS420" s="979" t="str">
        <f t="shared" si="662"/>
        <v>-</v>
      </c>
      <c r="BT420" s="980" t="str">
        <f t="shared" si="662"/>
        <v>-</v>
      </c>
      <c r="BU420" s="979" t="str">
        <f t="shared" si="662"/>
        <v>-</v>
      </c>
      <c r="BV420" s="979" t="str">
        <f>IF(AG420="","-",IFERROR((AG420/AF420-1)*(AF422/AF$13),"-"))</f>
        <v>-</v>
      </c>
      <c r="BW420" s="979" t="str">
        <f>IF(AH420="","-",IFERROR((AH420/AG420-1)*(AG422/AG$13),"-"))</f>
        <v>-</v>
      </c>
      <c r="BX420" s="979" t="str">
        <f>IF(AI420="","-",IFERROR((AI420/AH420-1)*(AH422/AH$13),"-"))</f>
        <v>-</v>
      </c>
      <c r="BY420" s="981" t="str">
        <f>IF(AJ420="","-",IFERROR((AJ420/AI420-1)*(AI422/AI$13),"-"))</f>
        <v>-</v>
      </c>
      <c r="BZ420" s="951"/>
      <c r="CA420" s="975" t="str">
        <f t="shared" si="594"/>
        <v>Price</v>
      </c>
      <c r="CB420" s="976" t="str">
        <f t="shared" si="595"/>
        <v>[Service]</v>
      </c>
      <c r="CC420" s="982" t="str">
        <f t="shared" si="596"/>
        <v>[Price]</v>
      </c>
      <c r="CD420" s="983" t="str">
        <f t="shared" si="620"/>
        <v>-</v>
      </c>
      <c r="CE420" s="979" t="str">
        <f t="shared" si="620"/>
        <v>-</v>
      </c>
      <c r="CF420" s="979" t="str">
        <f t="shared" si="620"/>
        <v>-</v>
      </c>
      <c r="CG420" s="980" t="str">
        <f t="shared" si="620"/>
        <v>-</v>
      </c>
      <c r="CH420" s="979" t="str">
        <f t="shared" si="621"/>
        <v>-</v>
      </c>
      <c r="CI420" s="979" t="str">
        <f t="shared" si="621"/>
        <v>-</v>
      </c>
      <c r="CJ420" s="979" t="str">
        <f t="shared" si="621"/>
        <v>-</v>
      </c>
      <c r="CK420" s="981" t="str">
        <f t="shared" si="621"/>
        <v>-</v>
      </c>
    </row>
    <row r="421" spans="4:89">
      <c r="E421" s="567" t="s">
        <v>880</v>
      </c>
      <c r="F421" s="554" t="str">
        <f>+F420</f>
        <v>[Service]</v>
      </c>
      <c r="G421" s="555">
        <f>+G420</f>
        <v>0</v>
      </c>
      <c r="H421" s="555">
        <f>+H420</f>
        <v>0</v>
      </c>
      <c r="I421" s="556" t="str">
        <f>+I420</f>
        <v>[Price]</v>
      </c>
      <c r="J421" s="590" t="s">
        <v>916</v>
      </c>
      <c r="K421" s="557"/>
      <c r="L421" s="558"/>
      <c r="M421" s="558"/>
      <c r="N421" s="557"/>
      <c r="O421" s="558"/>
      <c r="P421" s="558"/>
      <c r="Q421" s="558"/>
      <c r="R421" s="1036"/>
      <c r="S421" s="1139"/>
      <c r="T421" s="593"/>
      <c r="U421" s="1036"/>
      <c r="V421" s="593"/>
      <c r="W421" s="593"/>
      <c r="X421" s="593"/>
      <c r="Y421" s="593"/>
      <c r="Z421" s="593"/>
      <c r="AA421" s="1139"/>
      <c r="AB421" s="593"/>
      <c r="AC421" s="593"/>
      <c r="AD421" s="593"/>
      <c r="AE421" s="1036"/>
      <c r="AF421" s="593"/>
      <c r="AG421" s="593"/>
      <c r="AH421" s="593"/>
      <c r="AI421" s="593"/>
      <c r="AJ421" s="594"/>
      <c r="AK421" s="548"/>
      <c r="AO421" s="961" t="str">
        <f t="shared" si="598"/>
        <v>Qty</v>
      </c>
      <c r="AP421" s="962" t="str">
        <f t="shared" si="598"/>
        <v>[Service]</v>
      </c>
      <c r="AQ421" s="963" t="str">
        <f t="shared" si="599"/>
        <v>[Price]</v>
      </c>
      <c r="AR421" s="967" t="str">
        <f t="shared" si="600"/>
        <v>-</v>
      </c>
      <c r="AS421" s="964" t="str">
        <f t="shared" si="601"/>
        <v>-</v>
      </c>
      <c r="AT421" s="964" t="str">
        <f t="shared" si="602"/>
        <v>-</v>
      </c>
      <c r="AU421" s="964" t="str">
        <f t="shared" si="603"/>
        <v>-</v>
      </c>
      <c r="AV421" s="1350" t="str">
        <f t="shared" si="604"/>
        <v>-</v>
      </c>
      <c r="AW421" s="1343" t="str">
        <f t="shared" si="605"/>
        <v>-</v>
      </c>
      <c r="AX421" s="964" t="str">
        <f t="shared" si="606"/>
        <v>-</v>
      </c>
      <c r="AY421" s="964" t="str">
        <f t="shared" si="607"/>
        <v>-</v>
      </c>
      <c r="AZ421" s="964" t="str">
        <f t="shared" si="608"/>
        <v>-</v>
      </c>
      <c r="BA421" s="965" t="str">
        <f t="shared" si="609"/>
        <v>-</v>
      </c>
      <c r="BB421" s="1343" t="str">
        <f t="shared" si="610"/>
        <v>-</v>
      </c>
      <c r="BC421" s="964" t="str">
        <f t="shared" si="611"/>
        <v>-</v>
      </c>
      <c r="BD421" s="964" t="str">
        <f t="shared" si="612"/>
        <v>-</v>
      </c>
      <c r="BE421" s="964" t="str">
        <f t="shared" si="613"/>
        <v>-</v>
      </c>
      <c r="BF421" s="966" t="str">
        <f t="shared" si="614"/>
        <v>-</v>
      </c>
      <c r="BG421" s="951"/>
      <c r="BH421" s="961" t="str">
        <f t="shared" si="640"/>
        <v>Qty</v>
      </c>
      <c r="BI421" s="962" t="str">
        <f t="shared" si="640"/>
        <v>[Service]</v>
      </c>
      <c r="BJ421" s="963" t="str">
        <f t="shared" si="640"/>
        <v>[Price]</v>
      </c>
      <c r="BK421" s="964" t="str">
        <f t="shared" ref="BK421:BU421" si="663">IF(V421="","-",IFERROR((V421/U421-1)*(U422/U$13),"-"))</f>
        <v>-</v>
      </c>
      <c r="BL421" s="964" t="str">
        <f t="shared" si="663"/>
        <v>-</v>
      </c>
      <c r="BM421" s="964" t="str">
        <f t="shared" si="663"/>
        <v>-</v>
      </c>
      <c r="BN421" s="964" t="str">
        <f t="shared" si="663"/>
        <v>-</v>
      </c>
      <c r="BO421" s="1350" t="str">
        <f t="shared" si="663"/>
        <v>-</v>
      </c>
      <c r="BP421" s="1343" t="str">
        <f t="shared" si="663"/>
        <v>-</v>
      </c>
      <c r="BQ421" s="964" t="str">
        <f t="shared" si="663"/>
        <v>-</v>
      </c>
      <c r="BR421" s="964" t="str">
        <f t="shared" si="663"/>
        <v>-</v>
      </c>
      <c r="BS421" s="964" t="str">
        <f t="shared" si="663"/>
        <v>-</v>
      </c>
      <c r="BT421" s="965" t="str">
        <f t="shared" si="663"/>
        <v>-</v>
      </c>
      <c r="BU421" s="964" t="str">
        <f t="shared" si="663"/>
        <v>-</v>
      </c>
      <c r="BV421" s="964" t="str">
        <f>IF(AG421="","-",IFERROR((AG421/AF421-1)*(AF422/AF$13),"-"))</f>
        <v>-</v>
      </c>
      <c r="BW421" s="964" t="str">
        <f>IF(AH421="","-",IFERROR((AH421/AG421-1)*(AG422/AG$13),"-"))</f>
        <v>-</v>
      </c>
      <c r="BX421" s="964" t="str">
        <f>IF(AI421="","-",IFERROR((AI421/AH421-1)*(AH422/AH$13),"-"))</f>
        <v>-</v>
      </c>
      <c r="BY421" s="966" t="str">
        <f>IF(AJ421="","-",IFERROR((AJ421/AI421-1)*(AI422/AI$13),"-"))</f>
        <v>-</v>
      </c>
      <c r="BZ421" s="951"/>
      <c r="CA421" s="961" t="str">
        <f t="shared" si="594"/>
        <v>Qty</v>
      </c>
      <c r="CB421" s="962" t="str">
        <f t="shared" si="595"/>
        <v>[Service]</v>
      </c>
      <c r="CC421" s="962" t="str">
        <f t="shared" si="596"/>
        <v>[Price]</v>
      </c>
      <c r="CD421" s="967" t="str">
        <f t="shared" si="620"/>
        <v>-</v>
      </c>
      <c r="CE421" s="964" t="str">
        <f t="shared" si="620"/>
        <v>-</v>
      </c>
      <c r="CF421" s="964" t="str">
        <f t="shared" si="620"/>
        <v>-</v>
      </c>
      <c r="CG421" s="965" t="str">
        <f t="shared" si="620"/>
        <v>-</v>
      </c>
      <c r="CH421" s="964" t="str">
        <f t="shared" si="621"/>
        <v>-</v>
      </c>
      <c r="CI421" s="964" t="str">
        <f t="shared" si="621"/>
        <v>-</v>
      </c>
      <c r="CJ421" s="964" t="str">
        <f t="shared" si="621"/>
        <v>-</v>
      </c>
      <c r="CK421" s="966" t="str">
        <f t="shared" si="621"/>
        <v>-</v>
      </c>
    </row>
    <row r="422" spans="4:89" ht="12.75" thickBot="1">
      <c r="E422" s="568" t="s">
        <v>882</v>
      </c>
      <c r="F422" s="560" t="str">
        <f>+F420</f>
        <v>[Service]</v>
      </c>
      <c r="G422" s="561">
        <f>+G420</f>
        <v>0</v>
      </c>
      <c r="H422" s="561">
        <f>+H420</f>
        <v>0</v>
      </c>
      <c r="I422" s="562" t="str">
        <f>+I420</f>
        <v>[Price]</v>
      </c>
      <c r="J422" s="563" t="s">
        <v>883</v>
      </c>
      <c r="K422" s="564">
        <f t="shared" ref="K422:AJ422" si="664">K420*K421/10^6</f>
        <v>0</v>
      </c>
      <c r="L422" s="565">
        <f t="shared" si="664"/>
        <v>0</v>
      </c>
      <c r="M422" s="565">
        <f t="shared" si="664"/>
        <v>0</v>
      </c>
      <c r="N422" s="564">
        <f t="shared" si="664"/>
        <v>0</v>
      </c>
      <c r="O422" s="565">
        <f t="shared" si="664"/>
        <v>0</v>
      </c>
      <c r="P422" s="565">
        <f t="shared" si="664"/>
        <v>0</v>
      </c>
      <c r="Q422" s="565">
        <f t="shared" si="664"/>
        <v>0</v>
      </c>
      <c r="R422" s="566">
        <f t="shared" si="664"/>
        <v>0</v>
      </c>
      <c r="S422" s="564">
        <f t="shared" si="664"/>
        <v>0</v>
      </c>
      <c r="T422" s="565">
        <f t="shared" si="664"/>
        <v>0</v>
      </c>
      <c r="U422" s="566">
        <f t="shared" si="664"/>
        <v>0</v>
      </c>
      <c r="V422" s="565">
        <f t="shared" si="664"/>
        <v>0</v>
      </c>
      <c r="W422" s="565">
        <f t="shared" si="664"/>
        <v>0</v>
      </c>
      <c r="X422" s="565">
        <f t="shared" si="664"/>
        <v>0</v>
      </c>
      <c r="Y422" s="565">
        <f t="shared" si="664"/>
        <v>0</v>
      </c>
      <c r="Z422" s="565">
        <f t="shared" si="664"/>
        <v>0</v>
      </c>
      <c r="AA422" s="564">
        <f t="shared" si="664"/>
        <v>0</v>
      </c>
      <c r="AB422" s="565">
        <f t="shared" si="664"/>
        <v>0</v>
      </c>
      <c r="AC422" s="565">
        <f t="shared" si="664"/>
        <v>0</v>
      </c>
      <c r="AD422" s="565">
        <f t="shared" si="664"/>
        <v>0</v>
      </c>
      <c r="AE422" s="566">
        <f t="shared" si="664"/>
        <v>0</v>
      </c>
      <c r="AF422" s="565">
        <f t="shared" si="664"/>
        <v>0</v>
      </c>
      <c r="AG422" s="565">
        <f>AG420*AG421/10^6</f>
        <v>0</v>
      </c>
      <c r="AH422" s="565">
        <f>AH420*AH421/10^6</f>
        <v>0</v>
      </c>
      <c r="AI422" s="565">
        <f>AI420*AI421/10^6</f>
        <v>0</v>
      </c>
      <c r="AJ422" s="566">
        <f t="shared" si="664"/>
        <v>0</v>
      </c>
      <c r="AK422" s="548"/>
      <c r="AO422" s="984" t="str">
        <f t="shared" si="598"/>
        <v>Rev</v>
      </c>
      <c r="AP422" s="985" t="str">
        <f t="shared" si="598"/>
        <v>[Service]</v>
      </c>
      <c r="AQ422" s="986" t="str">
        <f t="shared" si="599"/>
        <v>[Price]</v>
      </c>
      <c r="AR422" s="990" t="str">
        <f t="shared" si="600"/>
        <v>-</v>
      </c>
      <c r="AS422" s="987" t="str">
        <f t="shared" si="601"/>
        <v>-</v>
      </c>
      <c r="AT422" s="987" t="str">
        <f t="shared" si="602"/>
        <v>-</v>
      </c>
      <c r="AU422" s="987" t="str">
        <f t="shared" si="603"/>
        <v>-</v>
      </c>
      <c r="AV422" s="1353" t="str">
        <f t="shared" si="604"/>
        <v>-</v>
      </c>
      <c r="AW422" s="1346" t="str">
        <f t="shared" si="605"/>
        <v>-</v>
      </c>
      <c r="AX422" s="987" t="str">
        <f t="shared" si="606"/>
        <v>-</v>
      </c>
      <c r="AY422" s="987" t="str">
        <f t="shared" si="607"/>
        <v>-</v>
      </c>
      <c r="AZ422" s="987" t="str">
        <f t="shared" si="608"/>
        <v>-</v>
      </c>
      <c r="BA422" s="988" t="str">
        <f t="shared" si="609"/>
        <v>-</v>
      </c>
      <c r="BB422" s="1346" t="str">
        <f t="shared" si="610"/>
        <v>-</v>
      </c>
      <c r="BC422" s="987" t="str">
        <f t="shared" si="611"/>
        <v>-</v>
      </c>
      <c r="BD422" s="987" t="str">
        <f t="shared" si="612"/>
        <v>-</v>
      </c>
      <c r="BE422" s="987" t="str">
        <f t="shared" si="613"/>
        <v>-</v>
      </c>
      <c r="BF422" s="989" t="str">
        <f t="shared" si="614"/>
        <v>-</v>
      </c>
      <c r="BG422" s="951"/>
      <c r="BH422" s="984" t="str">
        <f t="shared" si="640"/>
        <v>Rev</v>
      </c>
      <c r="BI422" s="985" t="str">
        <f t="shared" si="640"/>
        <v>[Service]</v>
      </c>
      <c r="BJ422" s="986" t="str">
        <f t="shared" si="640"/>
        <v>[Price]</v>
      </c>
      <c r="BK422" s="987" t="str">
        <f t="shared" ref="BK422:BU422" si="665">IF(V422="","-",IFERROR((V422/U422-1)*(U422/U$13),"-"))</f>
        <v>-</v>
      </c>
      <c r="BL422" s="987" t="str">
        <f t="shared" si="665"/>
        <v>-</v>
      </c>
      <c r="BM422" s="987" t="str">
        <f t="shared" si="665"/>
        <v>-</v>
      </c>
      <c r="BN422" s="987" t="str">
        <f t="shared" si="665"/>
        <v>-</v>
      </c>
      <c r="BO422" s="1353" t="str">
        <f t="shared" si="665"/>
        <v>-</v>
      </c>
      <c r="BP422" s="1346" t="str">
        <f t="shared" si="665"/>
        <v>-</v>
      </c>
      <c r="BQ422" s="987" t="str">
        <f t="shared" si="665"/>
        <v>-</v>
      </c>
      <c r="BR422" s="987" t="str">
        <f t="shared" si="665"/>
        <v>-</v>
      </c>
      <c r="BS422" s="987" t="str">
        <f t="shared" si="665"/>
        <v>-</v>
      </c>
      <c r="BT422" s="988" t="str">
        <f t="shared" si="665"/>
        <v>-</v>
      </c>
      <c r="BU422" s="987" t="str">
        <f t="shared" si="665"/>
        <v>-</v>
      </c>
      <c r="BV422" s="987" t="str">
        <f>IF(AG422="","-",IFERROR((AG422/AF422-1)*(AF422/AF$13),"-"))</f>
        <v>-</v>
      </c>
      <c r="BW422" s="987" t="str">
        <f>IF(AH422="","-",IFERROR((AH422/AG422-1)*(AG422/AG$13),"-"))</f>
        <v>-</v>
      </c>
      <c r="BX422" s="987" t="str">
        <f>IF(AI422="","-",IFERROR((AI422/AH422-1)*(AH422/AH$13),"-"))</f>
        <v>-</v>
      </c>
      <c r="BY422" s="989" t="str">
        <f>IF(AJ422="","-",IFERROR((AJ422/AI422-1)*(AI422/AI$13),"-"))</f>
        <v>-</v>
      </c>
      <c r="BZ422" s="951"/>
      <c r="CA422" s="984" t="str">
        <f t="shared" si="594"/>
        <v>Rev</v>
      </c>
      <c r="CB422" s="985" t="str">
        <f t="shared" si="595"/>
        <v>[Service]</v>
      </c>
      <c r="CC422" s="985" t="str">
        <f t="shared" si="596"/>
        <v>[Price]</v>
      </c>
      <c r="CD422" s="990" t="str">
        <f t="shared" si="620"/>
        <v>-</v>
      </c>
      <c r="CE422" s="987" t="str">
        <f t="shared" si="620"/>
        <v>-</v>
      </c>
      <c r="CF422" s="987" t="str">
        <f t="shared" si="620"/>
        <v>-</v>
      </c>
      <c r="CG422" s="988" t="str">
        <f t="shared" si="620"/>
        <v>-</v>
      </c>
      <c r="CH422" s="987" t="str">
        <f t="shared" si="621"/>
        <v>-</v>
      </c>
      <c r="CI422" s="987" t="str">
        <f t="shared" si="621"/>
        <v>-</v>
      </c>
      <c r="CJ422" s="987" t="str">
        <f t="shared" si="621"/>
        <v>-</v>
      </c>
      <c r="CK422" s="989" t="str">
        <f t="shared" si="621"/>
        <v>-</v>
      </c>
    </row>
    <row r="423" spans="4:89">
      <c r="D423" s="63">
        <f>D420+1</f>
        <v>119</v>
      </c>
      <c r="E423" s="550" t="s">
        <v>857</v>
      </c>
      <c r="F423" s="595" t="s">
        <v>428</v>
      </c>
      <c r="G423" s="595"/>
      <c r="H423" s="595"/>
      <c r="I423" s="589" t="s">
        <v>920</v>
      </c>
      <c r="J423" s="589" t="s">
        <v>879</v>
      </c>
      <c r="K423" s="551"/>
      <c r="L423" s="552"/>
      <c r="M423" s="552"/>
      <c r="N423" s="551"/>
      <c r="O423" s="552"/>
      <c r="P423" s="552"/>
      <c r="Q423" s="552"/>
      <c r="R423" s="1035"/>
      <c r="S423" s="1138"/>
      <c r="T423" s="591"/>
      <c r="U423" s="1035"/>
      <c r="V423" s="591"/>
      <c r="W423" s="591"/>
      <c r="X423" s="591"/>
      <c r="Y423" s="591"/>
      <c r="Z423" s="591"/>
      <c r="AA423" s="1138"/>
      <c r="AB423" s="591"/>
      <c r="AC423" s="591"/>
      <c r="AD423" s="591"/>
      <c r="AE423" s="1035"/>
      <c r="AF423" s="591"/>
      <c r="AG423" s="591"/>
      <c r="AH423" s="591"/>
      <c r="AI423" s="591"/>
      <c r="AJ423" s="592"/>
      <c r="AK423" s="548"/>
      <c r="AM423" s="974"/>
      <c r="AO423" s="975" t="str">
        <f t="shared" si="598"/>
        <v>Price</v>
      </c>
      <c r="AP423" s="976" t="str">
        <f t="shared" si="598"/>
        <v>[Service]</v>
      </c>
      <c r="AQ423" s="977" t="str">
        <f t="shared" si="599"/>
        <v>[Price]</v>
      </c>
      <c r="AR423" s="1341" t="str">
        <f t="shared" si="600"/>
        <v>-</v>
      </c>
      <c r="AS423" s="978" t="str">
        <f t="shared" si="601"/>
        <v>-</v>
      </c>
      <c r="AT423" s="979" t="str">
        <f t="shared" si="602"/>
        <v>-</v>
      </c>
      <c r="AU423" s="979" t="str">
        <f t="shared" si="603"/>
        <v>-</v>
      </c>
      <c r="AV423" s="1352" t="str">
        <f t="shared" si="604"/>
        <v>-</v>
      </c>
      <c r="AW423" s="1345" t="str">
        <f t="shared" si="605"/>
        <v>-</v>
      </c>
      <c r="AX423" s="979" t="str">
        <f t="shared" si="606"/>
        <v>-</v>
      </c>
      <c r="AY423" s="979" t="str">
        <f t="shared" si="607"/>
        <v>-</v>
      </c>
      <c r="AZ423" s="979" t="str">
        <f t="shared" si="608"/>
        <v>-</v>
      </c>
      <c r="BA423" s="980" t="str">
        <f t="shared" si="609"/>
        <v>-</v>
      </c>
      <c r="BB423" s="1345" t="str">
        <f t="shared" si="610"/>
        <v>-</v>
      </c>
      <c r="BC423" s="979" t="str">
        <f t="shared" si="611"/>
        <v>-</v>
      </c>
      <c r="BD423" s="979" t="str">
        <f t="shared" si="612"/>
        <v>-</v>
      </c>
      <c r="BE423" s="979" t="str">
        <f t="shared" si="613"/>
        <v>-</v>
      </c>
      <c r="BF423" s="981" t="str">
        <f t="shared" si="614"/>
        <v>-</v>
      </c>
      <c r="BG423" s="951"/>
      <c r="BH423" s="975" t="str">
        <f t="shared" si="640"/>
        <v>Price</v>
      </c>
      <c r="BI423" s="976" t="str">
        <f t="shared" si="640"/>
        <v>[Service]</v>
      </c>
      <c r="BJ423" s="977" t="str">
        <f t="shared" si="640"/>
        <v>[Price]</v>
      </c>
      <c r="BK423" s="978" t="str">
        <f t="shared" ref="BK423:BU423" si="666">IF(V423="","-",IFERROR((V423/U423-1)*(U425/U$13),"-"))</f>
        <v>-</v>
      </c>
      <c r="BL423" s="978" t="str">
        <f t="shared" si="666"/>
        <v>-</v>
      </c>
      <c r="BM423" s="979" t="str">
        <f t="shared" si="666"/>
        <v>-</v>
      </c>
      <c r="BN423" s="979" t="str">
        <f t="shared" si="666"/>
        <v>-</v>
      </c>
      <c r="BO423" s="1352" t="str">
        <f t="shared" si="666"/>
        <v>-</v>
      </c>
      <c r="BP423" s="1345" t="str">
        <f t="shared" si="666"/>
        <v>-</v>
      </c>
      <c r="BQ423" s="979" t="str">
        <f t="shared" si="666"/>
        <v>-</v>
      </c>
      <c r="BR423" s="979" t="str">
        <f t="shared" si="666"/>
        <v>-</v>
      </c>
      <c r="BS423" s="979" t="str">
        <f t="shared" si="666"/>
        <v>-</v>
      </c>
      <c r="BT423" s="980" t="str">
        <f t="shared" si="666"/>
        <v>-</v>
      </c>
      <c r="BU423" s="979" t="str">
        <f t="shared" si="666"/>
        <v>-</v>
      </c>
      <c r="BV423" s="979" t="str">
        <f>IF(AG423="","-",IFERROR((AG423/AF423-1)*(AF425/AF$13),"-"))</f>
        <v>-</v>
      </c>
      <c r="BW423" s="979" t="str">
        <f>IF(AH423="","-",IFERROR((AH423/AG423-1)*(AG425/AG$13),"-"))</f>
        <v>-</v>
      </c>
      <c r="BX423" s="979" t="str">
        <f>IF(AI423="","-",IFERROR((AI423/AH423-1)*(AH425/AH$13),"-"))</f>
        <v>-</v>
      </c>
      <c r="BY423" s="981" t="str">
        <f>IF(AJ423="","-",IFERROR((AJ423/AI423-1)*(AI425/AI$13),"-"))</f>
        <v>-</v>
      </c>
      <c r="BZ423" s="951"/>
      <c r="CA423" s="975" t="str">
        <f t="shared" si="594"/>
        <v>Price</v>
      </c>
      <c r="CB423" s="976" t="str">
        <f t="shared" si="595"/>
        <v>[Service]</v>
      </c>
      <c r="CC423" s="982" t="str">
        <f t="shared" si="596"/>
        <v>[Price]</v>
      </c>
      <c r="CD423" s="983" t="str">
        <f t="shared" si="620"/>
        <v>-</v>
      </c>
      <c r="CE423" s="979" t="str">
        <f t="shared" si="620"/>
        <v>-</v>
      </c>
      <c r="CF423" s="979" t="str">
        <f t="shared" si="620"/>
        <v>-</v>
      </c>
      <c r="CG423" s="980" t="str">
        <f t="shared" si="620"/>
        <v>-</v>
      </c>
      <c r="CH423" s="979" t="str">
        <f t="shared" si="621"/>
        <v>-</v>
      </c>
      <c r="CI423" s="979" t="str">
        <f t="shared" si="621"/>
        <v>-</v>
      </c>
      <c r="CJ423" s="979" t="str">
        <f t="shared" si="621"/>
        <v>-</v>
      </c>
      <c r="CK423" s="981" t="str">
        <f t="shared" si="621"/>
        <v>-</v>
      </c>
    </row>
    <row r="424" spans="4:89">
      <c r="E424" s="567" t="s">
        <v>880</v>
      </c>
      <c r="F424" s="554" t="str">
        <f>+F423</f>
        <v>[Service]</v>
      </c>
      <c r="G424" s="555">
        <f>+G423</f>
        <v>0</v>
      </c>
      <c r="H424" s="555">
        <f>+H423</f>
        <v>0</v>
      </c>
      <c r="I424" s="556" t="str">
        <f>+I423</f>
        <v>[Price]</v>
      </c>
      <c r="J424" s="590" t="s">
        <v>916</v>
      </c>
      <c r="K424" s="557"/>
      <c r="L424" s="558"/>
      <c r="M424" s="558"/>
      <c r="N424" s="557"/>
      <c r="O424" s="558"/>
      <c r="P424" s="558"/>
      <c r="Q424" s="558"/>
      <c r="R424" s="1036"/>
      <c r="S424" s="1139"/>
      <c r="T424" s="593"/>
      <c r="U424" s="1036"/>
      <c r="V424" s="593"/>
      <c r="W424" s="593"/>
      <c r="X424" s="593"/>
      <c r="Y424" s="593"/>
      <c r="Z424" s="593"/>
      <c r="AA424" s="1139"/>
      <c r="AB424" s="593"/>
      <c r="AC424" s="593"/>
      <c r="AD424" s="593"/>
      <c r="AE424" s="1036"/>
      <c r="AF424" s="593"/>
      <c r="AG424" s="593"/>
      <c r="AH424" s="593"/>
      <c r="AI424" s="593"/>
      <c r="AJ424" s="594"/>
      <c r="AK424" s="548"/>
      <c r="AO424" s="961" t="str">
        <f t="shared" si="598"/>
        <v>Qty</v>
      </c>
      <c r="AP424" s="962" t="str">
        <f t="shared" si="598"/>
        <v>[Service]</v>
      </c>
      <c r="AQ424" s="963" t="str">
        <f t="shared" si="599"/>
        <v>[Price]</v>
      </c>
      <c r="AR424" s="967" t="str">
        <f t="shared" si="600"/>
        <v>-</v>
      </c>
      <c r="AS424" s="964" t="str">
        <f t="shared" si="601"/>
        <v>-</v>
      </c>
      <c r="AT424" s="964" t="str">
        <f t="shared" si="602"/>
        <v>-</v>
      </c>
      <c r="AU424" s="964" t="str">
        <f t="shared" si="603"/>
        <v>-</v>
      </c>
      <c r="AV424" s="1350" t="str">
        <f t="shared" si="604"/>
        <v>-</v>
      </c>
      <c r="AW424" s="1343" t="str">
        <f t="shared" si="605"/>
        <v>-</v>
      </c>
      <c r="AX424" s="964" t="str">
        <f t="shared" si="606"/>
        <v>-</v>
      </c>
      <c r="AY424" s="964" t="str">
        <f t="shared" si="607"/>
        <v>-</v>
      </c>
      <c r="AZ424" s="964" t="str">
        <f t="shared" si="608"/>
        <v>-</v>
      </c>
      <c r="BA424" s="965" t="str">
        <f t="shared" si="609"/>
        <v>-</v>
      </c>
      <c r="BB424" s="1343" t="str">
        <f t="shared" si="610"/>
        <v>-</v>
      </c>
      <c r="BC424" s="964" t="str">
        <f t="shared" si="611"/>
        <v>-</v>
      </c>
      <c r="BD424" s="964" t="str">
        <f t="shared" si="612"/>
        <v>-</v>
      </c>
      <c r="BE424" s="964" t="str">
        <f t="shared" si="613"/>
        <v>-</v>
      </c>
      <c r="BF424" s="966" t="str">
        <f t="shared" si="614"/>
        <v>-</v>
      </c>
      <c r="BG424" s="951"/>
      <c r="BH424" s="961" t="str">
        <f t="shared" si="640"/>
        <v>Qty</v>
      </c>
      <c r="BI424" s="962" t="str">
        <f t="shared" si="640"/>
        <v>[Service]</v>
      </c>
      <c r="BJ424" s="963" t="str">
        <f t="shared" si="640"/>
        <v>[Price]</v>
      </c>
      <c r="BK424" s="964" t="str">
        <f t="shared" ref="BK424:BU424" si="667">IF(V424="","-",IFERROR((V424/U424-1)*(U425/U$13),"-"))</f>
        <v>-</v>
      </c>
      <c r="BL424" s="964" t="str">
        <f t="shared" si="667"/>
        <v>-</v>
      </c>
      <c r="BM424" s="964" t="str">
        <f t="shared" si="667"/>
        <v>-</v>
      </c>
      <c r="BN424" s="964" t="str">
        <f t="shared" si="667"/>
        <v>-</v>
      </c>
      <c r="BO424" s="1350" t="str">
        <f t="shared" si="667"/>
        <v>-</v>
      </c>
      <c r="BP424" s="1343" t="str">
        <f t="shared" si="667"/>
        <v>-</v>
      </c>
      <c r="BQ424" s="964" t="str">
        <f t="shared" si="667"/>
        <v>-</v>
      </c>
      <c r="BR424" s="964" t="str">
        <f t="shared" si="667"/>
        <v>-</v>
      </c>
      <c r="BS424" s="964" t="str">
        <f t="shared" si="667"/>
        <v>-</v>
      </c>
      <c r="BT424" s="965" t="str">
        <f t="shared" si="667"/>
        <v>-</v>
      </c>
      <c r="BU424" s="964" t="str">
        <f t="shared" si="667"/>
        <v>-</v>
      </c>
      <c r="BV424" s="964" t="str">
        <f>IF(AG424="","-",IFERROR((AG424/AF424-1)*(AF425/AF$13),"-"))</f>
        <v>-</v>
      </c>
      <c r="BW424" s="964" t="str">
        <f>IF(AH424="","-",IFERROR((AH424/AG424-1)*(AG425/AG$13),"-"))</f>
        <v>-</v>
      </c>
      <c r="BX424" s="964" t="str">
        <f>IF(AI424="","-",IFERROR((AI424/AH424-1)*(AH425/AH$13),"-"))</f>
        <v>-</v>
      </c>
      <c r="BY424" s="966" t="str">
        <f>IF(AJ424="","-",IFERROR((AJ424/AI424-1)*(AI425/AI$13),"-"))</f>
        <v>-</v>
      </c>
      <c r="BZ424" s="951"/>
      <c r="CA424" s="961" t="str">
        <f t="shared" si="594"/>
        <v>Qty</v>
      </c>
      <c r="CB424" s="962" t="str">
        <f t="shared" si="595"/>
        <v>[Service]</v>
      </c>
      <c r="CC424" s="962" t="str">
        <f t="shared" si="596"/>
        <v>[Price]</v>
      </c>
      <c r="CD424" s="967" t="str">
        <f t="shared" si="620"/>
        <v>-</v>
      </c>
      <c r="CE424" s="964" t="str">
        <f t="shared" si="620"/>
        <v>-</v>
      </c>
      <c r="CF424" s="964" t="str">
        <f t="shared" si="620"/>
        <v>-</v>
      </c>
      <c r="CG424" s="965" t="str">
        <f t="shared" si="620"/>
        <v>-</v>
      </c>
      <c r="CH424" s="964" t="str">
        <f t="shared" si="621"/>
        <v>-</v>
      </c>
      <c r="CI424" s="964" t="str">
        <f t="shared" si="621"/>
        <v>-</v>
      </c>
      <c r="CJ424" s="964" t="str">
        <f t="shared" si="621"/>
        <v>-</v>
      </c>
      <c r="CK424" s="966" t="str">
        <f t="shared" si="621"/>
        <v>-</v>
      </c>
    </row>
    <row r="425" spans="4:89" ht="12.75" thickBot="1">
      <c r="E425" s="568" t="s">
        <v>882</v>
      </c>
      <c r="F425" s="560" t="str">
        <f>+F423</f>
        <v>[Service]</v>
      </c>
      <c r="G425" s="561">
        <f>+G423</f>
        <v>0</v>
      </c>
      <c r="H425" s="561">
        <f>+H423</f>
        <v>0</v>
      </c>
      <c r="I425" s="562" t="str">
        <f>+I423</f>
        <v>[Price]</v>
      </c>
      <c r="J425" s="563" t="s">
        <v>883</v>
      </c>
      <c r="K425" s="564">
        <f t="shared" ref="K425:AJ425" si="668">K423*K424/10^6</f>
        <v>0</v>
      </c>
      <c r="L425" s="565">
        <f t="shared" si="668"/>
        <v>0</v>
      </c>
      <c r="M425" s="565">
        <f t="shared" si="668"/>
        <v>0</v>
      </c>
      <c r="N425" s="564">
        <f t="shared" si="668"/>
        <v>0</v>
      </c>
      <c r="O425" s="565">
        <f t="shared" si="668"/>
        <v>0</v>
      </c>
      <c r="P425" s="565">
        <f t="shared" si="668"/>
        <v>0</v>
      </c>
      <c r="Q425" s="565">
        <f t="shared" si="668"/>
        <v>0</v>
      </c>
      <c r="R425" s="566">
        <f t="shared" si="668"/>
        <v>0</v>
      </c>
      <c r="S425" s="564">
        <f t="shared" si="668"/>
        <v>0</v>
      </c>
      <c r="T425" s="565">
        <f t="shared" si="668"/>
        <v>0</v>
      </c>
      <c r="U425" s="566">
        <f t="shared" si="668"/>
        <v>0</v>
      </c>
      <c r="V425" s="565">
        <f t="shared" si="668"/>
        <v>0</v>
      </c>
      <c r="W425" s="565">
        <f t="shared" si="668"/>
        <v>0</v>
      </c>
      <c r="X425" s="565">
        <f t="shared" si="668"/>
        <v>0</v>
      </c>
      <c r="Y425" s="565">
        <f t="shared" si="668"/>
        <v>0</v>
      </c>
      <c r="Z425" s="565">
        <f t="shared" si="668"/>
        <v>0</v>
      </c>
      <c r="AA425" s="564">
        <f t="shared" si="668"/>
        <v>0</v>
      </c>
      <c r="AB425" s="565">
        <f t="shared" si="668"/>
        <v>0</v>
      </c>
      <c r="AC425" s="565">
        <f t="shared" si="668"/>
        <v>0</v>
      </c>
      <c r="AD425" s="565">
        <f t="shared" si="668"/>
        <v>0</v>
      </c>
      <c r="AE425" s="566">
        <f t="shared" si="668"/>
        <v>0</v>
      </c>
      <c r="AF425" s="565">
        <f t="shared" si="668"/>
        <v>0</v>
      </c>
      <c r="AG425" s="565">
        <f>AG423*AG424/10^6</f>
        <v>0</v>
      </c>
      <c r="AH425" s="565">
        <f>AH423*AH424/10^6</f>
        <v>0</v>
      </c>
      <c r="AI425" s="565">
        <f>AI423*AI424/10^6</f>
        <v>0</v>
      </c>
      <c r="AJ425" s="566">
        <f t="shared" si="668"/>
        <v>0</v>
      </c>
      <c r="AK425" s="548"/>
      <c r="AO425" s="984" t="str">
        <f t="shared" si="598"/>
        <v>Rev</v>
      </c>
      <c r="AP425" s="985" t="str">
        <f t="shared" si="598"/>
        <v>[Service]</v>
      </c>
      <c r="AQ425" s="986" t="str">
        <f t="shared" si="599"/>
        <v>[Price]</v>
      </c>
      <c r="AR425" s="990" t="str">
        <f t="shared" si="600"/>
        <v>-</v>
      </c>
      <c r="AS425" s="987" t="str">
        <f t="shared" si="601"/>
        <v>-</v>
      </c>
      <c r="AT425" s="987" t="str">
        <f t="shared" si="602"/>
        <v>-</v>
      </c>
      <c r="AU425" s="987" t="str">
        <f t="shared" si="603"/>
        <v>-</v>
      </c>
      <c r="AV425" s="1353" t="str">
        <f t="shared" si="604"/>
        <v>-</v>
      </c>
      <c r="AW425" s="1346" t="str">
        <f t="shared" si="605"/>
        <v>-</v>
      </c>
      <c r="AX425" s="987" t="str">
        <f t="shared" si="606"/>
        <v>-</v>
      </c>
      <c r="AY425" s="987" t="str">
        <f t="shared" si="607"/>
        <v>-</v>
      </c>
      <c r="AZ425" s="987" t="str">
        <f t="shared" si="608"/>
        <v>-</v>
      </c>
      <c r="BA425" s="988" t="str">
        <f t="shared" si="609"/>
        <v>-</v>
      </c>
      <c r="BB425" s="1346" t="str">
        <f t="shared" si="610"/>
        <v>-</v>
      </c>
      <c r="BC425" s="987" t="str">
        <f t="shared" si="611"/>
        <v>-</v>
      </c>
      <c r="BD425" s="987" t="str">
        <f t="shared" si="612"/>
        <v>-</v>
      </c>
      <c r="BE425" s="987" t="str">
        <f t="shared" si="613"/>
        <v>-</v>
      </c>
      <c r="BF425" s="989" t="str">
        <f t="shared" si="614"/>
        <v>-</v>
      </c>
      <c r="BG425" s="951"/>
      <c r="BH425" s="984" t="str">
        <f t="shared" si="640"/>
        <v>Rev</v>
      </c>
      <c r="BI425" s="985" t="str">
        <f t="shared" si="640"/>
        <v>[Service]</v>
      </c>
      <c r="BJ425" s="986" t="str">
        <f t="shared" si="640"/>
        <v>[Price]</v>
      </c>
      <c r="BK425" s="987" t="str">
        <f t="shared" ref="BK425:BU425" si="669">IF(V425="","-",IFERROR((V425/U425-1)*(U425/U$13),"-"))</f>
        <v>-</v>
      </c>
      <c r="BL425" s="987" t="str">
        <f t="shared" si="669"/>
        <v>-</v>
      </c>
      <c r="BM425" s="987" t="str">
        <f t="shared" si="669"/>
        <v>-</v>
      </c>
      <c r="BN425" s="987" t="str">
        <f t="shared" si="669"/>
        <v>-</v>
      </c>
      <c r="BO425" s="1353" t="str">
        <f t="shared" si="669"/>
        <v>-</v>
      </c>
      <c r="BP425" s="1346" t="str">
        <f t="shared" si="669"/>
        <v>-</v>
      </c>
      <c r="BQ425" s="987" t="str">
        <f t="shared" si="669"/>
        <v>-</v>
      </c>
      <c r="BR425" s="987" t="str">
        <f t="shared" si="669"/>
        <v>-</v>
      </c>
      <c r="BS425" s="987" t="str">
        <f t="shared" si="669"/>
        <v>-</v>
      </c>
      <c r="BT425" s="988" t="str">
        <f t="shared" si="669"/>
        <v>-</v>
      </c>
      <c r="BU425" s="987" t="str">
        <f t="shared" si="669"/>
        <v>-</v>
      </c>
      <c r="BV425" s="987" t="str">
        <f>IF(AG425="","-",IFERROR((AG425/AF425-1)*(AF425/AF$13),"-"))</f>
        <v>-</v>
      </c>
      <c r="BW425" s="987" t="str">
        <f>IF(AH425="","-",IFERROR((AH425/AG425-1)*(AG425/AG$13),"-"))</f>
        <v>-</v>
      </c>
      <c r="BX425" s="987" t="str">
        <f>IF(AI425="","-",IFERROR((AI425/AH425-1)*(AH425/AH$13),"-"))</f>
        <v>-</v>
      </c>
      <c r="BY425" s="989" t="str">
        <f>IF(AJ425="","-",IFERROR((AJ425/AI425-1)*(AI425/AI$13),"-"))</f>
        <v>-</v>
      </c>
      <c r="BZ425" s="951"/>
      <c r="CA425" s="984" t="str">
        <f t="shared" si="594"/>
        <v>Rev</v>
      </c>
      <c r="CB425" s="985" t="str">
        <f t="shared" si="595"/>
        <v>[Service]</v>
      </c>
      <c r="CC425" s="985" t="str">
        <f t="shared" si="596"/>
        <v>[Price]</v>
      </c>
      <c r="CD425" s="990" t="str">
        <f t="shared" si="620"/>
        <v>-</v>
      </c>
      <c r="CE425" s="987" t="str">
        <f t="shared" si="620"/>
        <v>-</v>
      </c>
      <c r="CF425" s="987" t="str">
        <f t="shared" si="620"/>
        <v>-</v>
      </c>
      <c r="CG425" s="988" t="str">
        <f t="shared" si="620"/>
        <v>-</v>
      </c>
      <c r="CH425" s="987" t="str">
        <f t="shared" si="621"/>
        <v>-</v>
      </c>
      <c r="CI425" s="987" t="str">
        <f t="shared" si="621"/>
        <v>-</v>
      </c>
      <c r="CJ425" s="987" t="str">
        <f t="shared" si="621"/>
        <v>-</v>
      </c>
      <c r="CK425" s="989" t="str">
        <f t="shared" si="621"/>
        <v>-</v>
      </c>
    </row>
    <row r="426" spans="4:89">
      <c r="D426" s="63">
        <f>D423+1</f>
        <v>120</v>
      </c>
      <c r="E426" s="550" t="s">
        <v>857</v>
      </c>
      <c r="F426" s="595" t="s">
        <v>428</v>
      </c>
      <c r="G426" s="595"/>
      <c r="H426" s="595"/>
      <c r="I426" s="589" t="s">
        <v>920</v>
      </c>
      <c r="J426" s="589" t="s">
        <v>879</v>
      </c>
      <c r="K426" s="551"/>
      <c r="L426" s="552"/>
      <c r="M426" s="552"/>
      <c r="N426" s="551"/>
      <c r="O426" s="552"/>
      <c r="P426" s="552"/>
      <c r="Q426" s="552"/>
      <c r="R426" s="1035"/>
      <c r="S426" s="1138"/>
      <c r="T426" s="591"/>
      <c r="U426" s="1035"/>
      <c r="V426" s="591"/>
      <c r="W426" s="591"/>
      <c r="X426" s="591"/>
      <c r="Y426" s="591"/>
      <c r="Z426" s="591"/>
      <c r="AA426" s="1138"/>
      <c r="AB426" s="591"/>
      <c r="AC426" s="591"/>
      <c r="AD426" s="591"/>
      <c r="AE426" s="1035"/>
      <c r="AF426" s="591"/>
      <c r="AG426" s="591"/>
      <c r="AH426" s="591"/>
      <c r="AI426" s="591"/>
      <c r="AJ426" s="592"/>
      <c r="AK426" s="548"/>
      <c r="AM426" s="974"/>
      <c r="AO426" s="975" t="str">
        <f t="shared" si="598"/>
        <v>Price</v>
      </c>
      <c r="AP426" s="976" t="str">
        <f t="shared" si="598"/>
        <v>[Service]</v>
      </c>
      <c r="AQ426" s="977" t="str">
        <f t="shared" si="599"/>
        <v>[Price]</v>
      </c>
      <c r="AR426" s="1341" t="str">
        <f t="shared" si="600"/>
        <v>-</v>
      </c>
      <c r="AS426" s="978" t="str">
        <f t="shared" si="601"/>
        <v>-</v>
      </c>
      <c r="AT426" s="979" t="str">
        <f t="shared" si="602"/>
        <v>-</v>
      </c>
      <c r="AU426" s="979" t="str">
        <f t="shared" si="603"/>
        <v>-</v>
      </c>
      <c r="AV426" s="1352" t="str">
        <f t="shared" si="604"/>
        <v>-</v>
      </c>
      <c r="AW426" s="1345" t="str">
        <f t="shared" si="605"/>
        <v>-</v>
      </c>
      <c r="AX426" s="979" t="str">
        <f t="shared" si="606"/>
        <v>-</v>
      </c>
      <c r="AY426" s="979" t="str">
        <f t="shared" si="607"/>
        <v>-</v>
      </c>
      <c r="AZ426" s="979" t="str">
        <f t="shared" si="608"/>
        <v>-</v>
      </c>
      <c r="BA426" s="980" t="str">
        <f t="shared" si="609"/>
        <v>-</v>
      </c>
      <c r="BB426" s="1345" t="str">
        <f t="shared" si="610"/>
        <v>-</v>
      </c>
      <c r="BC426" s="979" t="str">
        <f t="shared" si="611"/>
        <v>-</v>
      </c>
      <c r="BD426" s="979" t="str">
        <f t="shared" si="612"/>
        <v>-</v>
      </c>
      <c r="BE426" s="979" t="str">
        <f t="shared" si="613"/>
        <v>-</v>
      </c>
      <c r="BF426" s="981" t="str">
        <f t="shared" si="614"/>
        <v>-</v>
      </c>
      <c r="BG426" s="951"/>
      <c r="BH426" s="975" t="str">
        <f t="shared" si="640"/>
        <v>Price</v>
      </c>
      <c r="BI426" s="976" t="str">
        <f t="shared" si="640"/>
        <v>[Service]</v>
      </c>
      <c r="BJ426" s="977" t="str">
        <f t="shared" si="640"/>
        <v>[Price]</v>
      </c>
      <c r="BK426" s="978" t="str">
        <f t="shared" ref="BK426:BU426" si="670">IF(V426="","-",IFERROR((V426/U426-1)*(U428/U$13),"-"))</f>
        <v>-</v>
      </c>
      <c r="BL426" s="978" t="str">
        <f t="shared" si="670"/>
        <v>-</v>
      </c>
      <c r="BM426" s="979" t="str">
        <f t="shared" si="670"/>
        <v>-</v>
      </c>
      <c r="BN426" s="979" t="str">
        <f t="shared" si="670"/>
        <v>-</v>
      </c>
      <c r="BO426" s="1352" t="str">
        <f t="shared" si="670"/>
        <v>-</v>
      </c>
      <c r="BP426" s="1345" t="str">
        <f t="shared" si="670"/>
        <v>-</v>
      </c>
      <c r="BQ426" s="979" t="str">
        <f t="shared" si="670"/>
        <v>-</v>
      </c>
      <c r="BR426" s="979" t="str">
        <f t="shared" si="670"/>
        <v>-</v>
      </c>
      <c r="BS426" s="979" t="str">
        <f t="shared" si="670"/>
        <v>-</v>
      </c>
      <c r="BT426" s="980" t="str">
        <f t="shared" si="670"/>
        <v>-</v>
      </c>
      <c r="BU426" s="979" t="str">
        <f t="shared" si="670"/>
        <v>-</v>
      </c>
      <c r="BV426" s="979" t="str">
        <f>IF(AG426="","-",IFERROR((AG426/AF426-1)*(AF428/AF$13),"-"))</f>
        <v>-</v>
      </c>
      <c r="BW426" s="979" t="str">
        <f>IF(AH426="","-",IFERROR((AH426/AG426-1)*(AG428/AG$13),"-"))</f>
        <v>-</v>
      </c>
      <c r="BX426" s="979" t="str">
        <f>IF(AI426="","-",IFERROR((AI426/AH426-1)*(AH428/AH$13),"-"))</f>
        <v>-</v>
      </c>
      <c r="BY426" s="981" t="str">
        <f>IF(AJ426="","-",IFERROR((AJ426/AI426-1)*(AI428/AI$13),"-"))</f>
        <v>-</v>
      </c>
      <c r="BZ426" s="951"/>
      <c r="CA426" s="975" t="str">
        <f t="shared" si="594"/>
        <v>Price</v>
      </c>
      <c r="CB426" s="976" t="str">
        <f t="shared" si="595"/>
        <v>[Service]</v>
      </c>
      <c r="CC426" s="982" t="str">
        <f t="shared" si="596"/>
        <v>[Price]</v>
      </c>
      <c r="CD426" s="983" t="str">
        <f t="shared" si="620"/>
        <v>-</v>
      </c>
      <c r="CE426" s="979" t="str">
        <f t="shared" si="620"/>
        <v>-</v>
      </c>
      <c r="CF426" s="979" t="str">
        <f t="shared" si="620"/>
        <v>-</v>
      </c>
      <c r="CG426" s="980" t="str">
        <f t="shared" si="620"/>
        <v>-</v>
      </c>
      <c r="CH426" s="979" t="str">
        <f t="shared" si="621"/>
        <v>-</v>
      </c>
      <c r="CI426" s="979" t="str">
        <f t="shared" si="621"/>
        <v>-</v>
      </c>
      <c r="CJ426" s="979" t="str">
        <f t="shared" si="621"/>
        <v>-</v>
      </c>
      <c r="CK426" s="981" t="str">
        <f t="shared" si="621"/>
        <v>-</v>
      </c>
    </row>
    <row r="427" spans="4:89">
      <c r="E427" s="567" t="s">
        <v>880</v>
      </c>
      <c r="F427" s="554" t="str">
        <f>+F426</f>
        <v>[Service]</v>
      </c>
      <c r="G427" s="555">
        <f>+G426</f>
        <v>0</v>
      </c>
      <c r="H427" s="555">
        <f>+H426</f>
        <v>0</v>
      </c>
      <c r="I427" s="556" t="str">
        <f>+I426</f>
        <v>[Price]</v>
      </c>
      <c r="J427" s="590" t="s">
        <v>916</v>
      </c>
      <c r="K427" s="557"/>
      <c r="L427" s="558"/>
      <c r="M427" s="558"/>
      <c r="N427" s="557"/>
      <c r="O427" s="558"/>
      <c r="P427" s="558"/>
      <c r="Q427" s="558"/>
      <c r="R427" s="1036"/>
      <c r="S427" s="1139"/>
      <c r="T427" s="593"/>
      <c r="U427" s="1036"/>
      <c r="V427" s="593"/>
      <c r="W427" s="593"/>
      <c r="X427" s="593"/>
      <c r="Y427" s="593"/>
      <c r="Z427" s="593"/>
      <c r="AA427" s="1139"/>
      <c r="AB427" s="593"/>
      <c r="AC427" s="593"/>
      <c r="AD427" s="593"/>
      <c r="AE427" s="1036"/>
      <c r="AF427" s="593"/>
      <c r="AG427" s="593"/>
      <c r="AH427" s="593"/>
      <c r="AI427" s="593"/>
      <c r="AJ427" s="594"/>
      <c r="AK427" s="548"/>
      <c r="AO427" s="961" t="str">
        <f t="shared" si="598"/>
        <v>Qty</v>
      </c>
      <c r="AP427" s="962" t="str">
        <f t="shared" si="598"/>
        <v>[Service]</v>
      </c>
      <c r="AQ427" s="963" t="str">
        <f t="shared" si="599"/>
        <v>[Price]</v>
      </c>
      <c r="AR427" s="967" t="str">
        <f t="shared" si="600"/>
        <v>-</v>
      </c>
      <c r="AS427" s="964" t="str">
        <f t="shared" si="601"/>
        <v>-</v>
      </c>
      <c r="AT427" s="964" t="str">
        <f t="shared" si="602"/>
        <v>-</v>
      </c>
      <c r="AU427" s="964" t="str">
        <f t="shared" si="603"/>
        <v>-</v>
      </c>
      <c r="AV427" s="1350" t="str">
        <f t="shared" si="604"/>
        <v>-</v>
      </c>
      <c r="AW427" s="1343" t="str">
        <f t="shared" si="605"/>
        <v>-</v>
      </c>
      <c r="AX427" s="964" t="str">
        <f t="shared" si="606"/>
        <v>-</v>
      </c>
      <c r="AY427" s="964" t="str">
        <f t="shared" si="607"/>
        <v>-</v>
      </c>
      <c r="AZ427" s="964" t="str">
        <f t="shared" si="608"/>
        <v>-</v>
      </c>
      <c r="BA427" s="965" t="str">
        <f t="shared" si="609"/>
        <v>-</v>
      </c>
      <c r="BB427" s="1343" t="str">
        <f t="shared" si="610"/>
        <v>-</v>
      </c>
      <c r="BC427" s="964" t="str">
        <f t="shared" si="611"/>
        <v>-</v>
      </c>
      <c r="BD427" s="964" t="str">
        <f t="shared" si="612"/>
        <v>-</v>
      </c>
      <c r="BE427" s="964" t="str">
        <f t="shared" si="613"/>
        <v>-</v>
      </c>
      <c r="BF427" s="966" t="str">
        <f t="shared" si="614"/>
        <v>-</v>
      </c>
      <c r="BG427" s="951"/>
      <c r="BH427" s="961" t="str">
        <f t="shared" si="640"/>
        <v>Qty</v>
      </c>
      <c r="BI427" s="962" t="str">
        <f t="shared" si="640"/>
        <v>[Service]</v>
      </c>
      <c r="BJ427" s="963" t="str">
        <f t="shared" si="640"/>
        <v>[Price]</v>
      </c>
      <c r="BK427" s="964" t="str">
        <f t="shared" ref="BK427:BU427" si="671">IF(V427="","-",IFERROR((V427/U427-1)*(U428/U$13),"-"))</f>
        <v>-</v>
      </c>
      <c r="BL427" s="964" t="str">
        <f t="shared" si="671"/>
        <v>-</v>
      </c>
      <c r="BM427" s="964" t="str">
        <f t="shared" si="671"/>
        <v>-</v>
      </c>
      <c r="BN427" s="964" t="str">
        <f t="shared" si="671"/>
        <v>-</v>
      </c>
      <c r="BO427" s="1350" t="str">
        <f t="shared" si="671"/>
        <v>-</v>
      </c>
      <c r="BP427" s="1343" t="str">
        <f t="shared" si="671"/>
        <v>-</v>
      </c>
      <c r="BQ427" s="964" t="str">
        <f t="shared" si="671"/>
        <v>-</v>
      </c>
      <c r="BR427" s="964" t="str">
        <f t="shared" si="671"/>
        <v>-</v>
      </c>
      <c r="BS427" s="964" t="str">
        <f t="shared" si="671"/>
        <v>-</v>
      </c>
      <c r="BT427" s="965" t="str">
        <f t="shared" si="671"/>
        <v>-</v>
      </c>
      <c r="BU427" s="964" t="str">
        <f t="shared" si="671"/>
        <v>-</v>
      </c>
      <c r="BV427" s="964" t="str">
        <f>IF(AG427="","-",IFERROR((AG427/AF427-1)*(AF428/AF$13),"-"))</f>
        <v>-</v>
      </c>
      <c r="BW427" s="964" t="str">
        <f>IF(AH427="","-",IFERROR((AH427/AG427-1)*(AG428/AG$13),"-"))</f>
        <v>-</v>
      </c>
      <c r="BX427" s="964" t="str">
        <f>IF(AI427="","-",IFERROR((AI427/AH427-1)*(AH428/AH$13),"-"))</f>
        <v>-</v>
      </c>
      <c r="BY427" s="966" t="str">
        <f>IF(AJ427="","-",IFERROR((AJ427/AI427-1)*(AI428/AI$13),"-"))</f>
        <v>-</v>
      </c>
      <c r="BZ427" s="951"/>
      <c r="CA427" s="961" t="str">
        <f t="shared" si="594"/>
        <v>Qty</v>
      </c>
      <c r="CB427" s="962" t="str">
        <f t="shared" si="595"/>
        <v>[Service]</v>
      </c>
      <c r="CC427" s="962" t="str">
        <f t="shared" si="596"/>
        <v>[Price]</v>
      </c>
      <c r="CD427" s="967" t="str">
        <f t="shared" si="620"/>
        <v>-</v>
      </c>
      <c r="CE427" s="964" t="str">
        <f t="shared" si="620"/>
        <v>-</v>
      </c>
      <c r="CF427" s="964" t="str">
        <f t="shared" si="620"/>
        <v>-</v>
      </c>
      <c r="CG427" s="965" t="str">
        <f t="shared" si="620"/>
        <v>-</v>
      </c>
      <c r="CH427" s="964" t="str">
        <f t="shared" si="621"/>
        <v>-</v>
      </c>
      <c r="CI427" s="964" t="str">
        <f t="shared" si="621"/>
        <v>-</v>
      </c>
      <c r="CJ427" s="964" t="str">
        <f t="shared" si="621"/>
        <v>-</v>
      </c>
      <c r="CK427" s="966" t="str">
        <f t="shared" si="621"/>
        <v>-</v>
      </c>
    </row>
    <row r="428" spans="4:89" ht="12.75" thickBot="1">
      <c r="E428" s="568" t="s">
        <v>882</v>
      </c>
      <c r="F428" s="560" t="str">
        <f>+F426</f>
        <v>[Service]</v>
      </c>
      <c r="G428" s="561">
        <f>+G426</f>
        <v>0</v>
      </c>
      <c r="H428" s="561">
        <f>+H426</f>
        <v>0</v>
      </c>
      <c r="I428" s="562" t="str">
        <f>+I426</f>
        <v>[Price]</v>
      </c>
      <c r="J428" s="563" t="s">
        <v>883</v>
      </c>
      <c r="K428" s="564">
        <f t="shared" ref="K428:AJ428" si="672">K426*K427/10^6</f>
        <v>0</v>
      </c>
      <c r="L428" s="565">
        <f t="shared" si="672"/>
        <v>0</v>
      </c>
      <c r="M428" s="565">
        <f t="shared" si="672"/>
        <v>0</v>
      </c>
      <c r="N428" s="564">
        <f t="shared" si="672"/>
        <v>0</v>
      </c>
      <c r="O428" s="565">
        <f t="shared" si="672"/>
        <v>0</v>
      </c>
      <c r="P428" s="565">
        <f t="shared" si="672"/>
        <v>0</v>
      </c>
      <c r="Q428" s="565">
        <f t="shared" si="672"/>
        <v>0</v>
      </c>
      <c r="R428" s="566">
        <f t="shared" si="672"/>
        <v>0</v>
      </c>
      <c r="S428" s="564">
        <f t="shared" si="672"/>
        <v>0</v>
      </c>
      <c r="T428" s="565">
        <f t="shared" si="672"/>
        <v>0</v>
      </c>
      <c r="U428" s="566">
        <f t="shared" si="672"/>
        <v>0</v>
      </c>
      <c r="V428" s="565">
        <f t="shared" si="672"/>
        <v>0</v>
      </c>
      <c r="W428" s="565">
        <f t="shared" si="672"/>
        <v>0</v>
      </c>
      <c r="X428" s="565">
        <f t="shared" si="672"/>
        <v>0</v>
      </c>
      <c r="Y428" s="565">
        <f t="shared" si="672"/>
        <v>0</v>
      </c>
      <c r="Z428" s="565">
        <f t="shared" si="672"/>
        <v>0</v>
      </c>
      <c r="AA428" s="564">
        <f t="shared" si="672"/>
        <v>0</v>
      </c>
      <c r="AB428" s="565">
        <f t="shared" si="672"/>
        <v>0</v>
      </c>
      <c r="AC428" s="565">
        <f t="shared" si="672"/>
        <v>0</v>
      </c>
      <c r="AD428" s="565">
        <f t="shared" si="672"/>
        <v>0</v>
      </c>
      <c r="AE428" s="566">
        <f t="shared" si="672"/>
        <v>0</v>
      </c>
      <c r="AF428" s="565">
        <f t="shared" si="672"/>
        <v>0</v>
      </c>
      <c r="AG428" s="565">
        <f>AG426*AG427/10^6</f>
        <v>0</v>
      </c>
      <c r="AH428" s="565">
        <f>AH426*AH427/10^6</f>
        <v>0</v>
      </c>
      <c r="AI428" s="565">
        <f>AI426*AI427/10^6</f>
        <v>0</v>
      </c>
      <c r="AJ428" s="566">
        <f t="shared" si="672"/>
        <v>0</v>
      </c>
      <c r="AK428" s="548"/>
      <c r="AO428" s="984" t="str">
        <f t="shared" si="598"/>
        <v>Rev</v>
      </c>
      <c r="AP428" s="985" t="str">
        <f t="shared" si="598"/>
        <v>[Service]</v>
      </c>
      <c r="AQ428" s="986" t="str">
        <f t="shared" si="599"/>
        <v>[Price]</v>
      </c>
      <c r="AR428" s="990" t="str">
        <f t="shared" si="600"/>
        <v>-</v>
      </c>
      <c r="AS428" s="987" t="str">
        <f t="shared" si="601"/>
        <v>-</v>
      </c>
      <c r="AT428" s="987" t="str">
        <f t="shared" si="602"/>
        <v>-</v>
      </c>
      <c r="AU428" s="987" t="str">
        <f t="shared" si="603"/>
        <v>-</v>
      </c>
      <c r="AV428" s="1353" t="str">
        <f t="shared" si="604"/>
        <v>-</v>
      </c>
      <c r="AW428" s="1346" t="str">
        <f t="shared" si="605"/>
        <v>-</v>
      </c>
      <c r="AX428" s="987" t="str">
        <f t="shared" si="606"/>
        <v>-</v>
      </c>
      <c r="AY428" s="987" t="str">
        <f t="shared" si="607"/>
        <v>-</v>
      </c>
      <c r="AZ428" s="987" t="str">
        <f t="shared" si="608"/>
        <v>-</v>
      </c>
      <c r="BA428" s="988" t="str">
        <f t="shared" si="609"/>
        <v>-</v>
      </c>
      <c r="BB428" s="1346" t="str">
        <f t="shared" si="610"/>
        <v>-</v>
      </c>
      <c r="BC428" s="987" t="str">
        <f t="shared" si="611"/>
        <v>-</v>
      </c>
      <c r="BD428" s="987" t="str">
        <f t="shared" si="612"/>
        <v>-</v>
      </c>
      <c r="BE428" s="987" t="str">
        <f t="shared" si="613"/>
        <v>-</v>
      </c>
      <c r="BF428" s="989" t="str">
        <f t="shared" si="614"/>
        <v>-</v>
      </c>
      <c r="BG428" s="951"/>
      <c r="BH428" s="984" t="str">
        <f t="shared" si="640"/>
        <v>Rev</v>
      </c>
      <c r="BI428" s="985" t="str">
        <f t="shared" si="640"/>
        <v>[Service]</v>
      </c>
      <c r="BJ428" s="986" t="str">
        <f t="shared" si="640"/>
        <v>[Price]</v>
      </c>
      <c r="BK428" s="987" t="str">
        <f t="shared" ref="BK428:BU428" si="673">IF(V428="","-",IFERROR((V428/U428-1)*(U428/U$13),"-"))</f>
        <v>-</v>
      </c>
      <c r="BL428" s="987" t="str">
        <f t="shared" si="673"/>
        <v>-</v>
      </c>
      <c r="BM428" s="987" t="str">
        <f t="shared" si="673"/>
        <v>-</v>
      </c>
      <c r="BN428" s="987" t="str">
        <f t="shared" si="673"/>
        <v>-</v>
      </c>
      <c r="BO428" s="1353" t="str">
        <f t="shared" si="673"/>
        <v>-</v>
      </c>
      <c r="BP428" s="1346" t="str">
        <f t="shared" si="673"/>
        <v>-</v>
      </c>
      <c r="BQ428" s="987" t="str">
        <f t="shared" si="673"/>
        <v>-</v>
      </c>
      <c r="BR428" s="987" t="str">
        <f t="shared" si="673"/>
        <v>-</v>
      </c>
      <c r="BS428" s="987" t="str">
        <f t="shared" si="673"/>
        <v>-</v>
      </c>
      <c r="BT428" s="988" t="str">
        <f t="shared" si="673"/>
        <v>-</v>
      </c>
      <c r="BU428" s="987" t="str">
        <f t="shared" si="673"/>
        <v>-</v>
      </c>
      <c r="BV428" s="987" t="str">
        <f>IF(AG428="","-",IFERROR((AG428/AF428-1)*(AF428/AF$13),"-"))</f>
        <v>-</v>
      </c>
      <c r="BW428" s="987" t="str">
        <f>IF(AH428="","-",IFERROR((AH428/AG428-1)*(AG428/AG$13),"-"))</f>
        <v>-</v>
      </c>
      <c r="BX428" s="987" t="str">
        <f>IF(AI428="","-",IFERROR((AI428/AH428-1)*(AH428/AH$13),"-"))</f>
        <v>-</v>
      </c>
      <c r="BY428" s="989" t="str">
        <f>IF(AJ428="","-",IFERROR((AJ428/AI428-1)*(AI428/AI$13),"-"))</f>
        <v>-</v>
      </c>
      <c r="BZ428" s="951"/>
      <c r="CA428" s="984" t="str">
        <f t="shared" si="594"/>
        <v>Rev</v>
      </c>
      <c r="CB428" s="985" t="str">
        <f t="shared" si="595"/>
        <v>[Service]</v>
      </c>
      <c r="CC428" s="985" t="str">
        <f t="shared" si="596"/>
        <v>[Price]</v>
      </c>
      <c r="CD428" s="990" t="str">
        <f t="shared" si="620"/>
        <v>-</v>
      </c>
      <c r="CE428" s="987" t="str">
        <f t="shared" si="620"/>
        <v>-</v>
      </c>
      <c r="CF428" s="987" t="str">
        <f t="shared" si="620"/>
        <v>-</v>
      </c>
      <c r="CG428" s="988" t="str">
        <f t="shared" si="620"/>
        <v>-</v>
      </c>
      <c r="CH428" s="987" t="str">
        <f t="shared" si="621"/>
        <v>-</v>
      </c>
      <c r="CI428" s="987" t="str">
        <f t="shared" si="621"/>
        <v>-</v>
      </c>
      <c r="CJ428" s="987" t="str">
        <f t="shared" si="621"/>
        <v>-</v>
      </c>
      <c r="CK428" s="989" t="str">
        <f t="shared" si="621"/>
        <v>-</v>
      </c>
    </row>
    <row r="429" spans="4:89">
      <c r="D429" s="63">
        <f>D426+1</f>
        <v>121</v>
      </c>
      <c r="E429" s="550" t="s">
        <v>857</v>
      </c>
      <c r="F429" s="595" t="s">
        <v>428</v>
      </c>
      <c r="G429" s="595"/>
      <c r="H429" s="595"/>
      <c r="I429" s="589" t="s">
        <v>920</v>
      </c>
      <c r="J429" s="589" t="s">
        <v>879</v>
      </c>
      <c r="K429" s="551"/>
      <c r="L429" s="552"/>
      <c r="M429" s="552"/>
      <c r="N429" s="551"/>
      <c r="O429" s="552"/>
      <c r="P429" s="552"/>
      <c r="Q429" s="552"/>
      <c r="R429" s="1035"/>
      <c r="S429" s="1138"/>
      <c r="T429" s="591"/>
      <c r="U429" s="1035"/>
      <c r="V429" s="591"/>
      <c r="W429" s="591"/>
      <c r="X429" s="591"/>
      <c r="Y429" s="591"/>
      <c r="Z429" s="591"/>
      <c r="AA429" s="1138"/>
      <c r="AB429" s="591"/>
      <c r="AC429" s="591"/>
      <c r="AD429" s="591"/>
      <c r="AE429" s="1035"/>
      <c r="AF429" s="591"/>
      <c r="AG429" s="591"/>
      <c r="AH429" s="591"/>
      <c r="AI429" s="591"/>
      <c r="AJ429" s="592"/>
      <c r="AK429" s="548"/>
      <c r="AM429" s="974"/>
      <c r="AO429" s="975" t="str">
        <f t="shared" si="598"/>
        <v>Price</v>
      </c>
      <c r="AP429" s="976" t="str">
        <f t="shared" si="598"/>
        <v>[Service]</v>
      </c>
      <c r="AQ429" s="977" t="str">
        <f t="shared" si="599"/>
        <v>[Price]</v>
      </c>
      <c r="AR429" s="1341" t="str">
        <f t="shared" si="600"/>
        <v>-</v>
      </c>
      <c r="AS429" s="978" t="str">
        <f t="shared" si="601"/>
        <v>-</v>
      </c>
      <c r="AT429" s="979" t="str">
        <f t="shared" si="602"/>
        <v>-</v>
      </c>
      <c r="AU429" s="979" t="str">
        <f t="shared" si="603"/>
        <v>-</v>
      </c>
      <c r="AV429" s="1352" t="str">
        <f t="shared" si="604"/>
        <v>-</v>
      </c>
      <c r="AW429" s="1345" t="str">
        <f t="shared" si="605"/>
        <v>-</v>
      </c>
      <c r="AX429" s="979" t="str">
        <f t="shared" si="606"/>
        <v>-</v>
      </c>
      <c r="AY429" s="979" t="str">
        <f t="shared" si="607"/>
        <v>-</v>
      </c>
      <c r="AZ429" s="979" t="str">
        <f t="shared" si="608"/>
        <v>-</v>
      </c>
      <c r="BA429" s="980" t="str">
        <f t="shared" si="609"/>
        <v>-</v>
      </c>
      <c r="BB429" s="1345" t="str">
        <f t="shared" si="610"/>
        <v>-</v>
      </c>
      <c r="BC429" s="979" t="str">
        <f t="shared" si="611"/>
        <v>-</v>
      </c>
      <c r="BD429" s="979" t="str">
        <f t="shared" si="612"/>
        <v>-</v>
      </c>
      <c r="BE429" s="979" t="str">
        <f t="shared" si="613"/>
        <v>-</v>
      </c>
      <c r="BF429" s="981" t="str">
        <f t="shared" si="614"/>
        <v>-</v>
      </c>
      <c r="BG429" s="951"/>
      <c r="BH429" s="975" t="str">
        <f t="shared" si="640"/>
        <v>Price</v>
      </c>
      <c r="BI429" s="976" t="str">
        <f t="shared" si="640"/>
        <v>[Service]</v>
      </c>
      <c r="BJ429" s="977" t="str">
        <f t="shared" si="640"/>
        <v>[Price]</v>
      </c>
      <c r="BK429" s="978" t="str">
        <f t="shared" ref="BK429:BU429" si="674">IF(V429="","-",IFERROR((V429/U429-1)*(U431/U$13),"-"))</f>
        <v>-</v>
      </c>
      <c r="BL429" s="978" t="str">
        <f t="shared" si="674"/>
        <v>-</v>
      </c>
      <c r="BM429" s="979" t="str">
        <f t="shared" si="674"/>
        <v>-</v>
      </c>
      <c r="BN429" s="979" t="str">
        <f t="shared" si="674"/>
        <v>-</v>
      </c>
      <c r="BO429" s="1352" t="str">
        <f t="shared" si="674"/>
        <v>-</v>
      </c>
      <c r="BP429" s="1345" t="str">
        <f t="shared" si="674"/>
        <v>-</v>
      </c>
      <c r="BQ429" s="979" t="str">
        <f t="shared" si="674"/>
        <v>-</v>
      </c>
      <c r="BR429" s="979" t="str">
        <f t="shared" si="674"/>
        <v>-</v>
      </c>
      <c r="BS429" s="979" t="str">
        <f t="shared" si="674"/>
        <v>-</v>
      </c>
      <c r="BT429" s="980" t="str">
        <f t="shared" si="674"/>
        <v>-</v>
      </c>
      <c r="BU429" s="979" t="str">
        <f t="shared" si="674"/>
        <v>-</v>
      </c>
      <c r="BV429" s="979" t="str">
        <f>IF(AG429="","-",IFERROR((AG429/AF429-1)*(AF431/AF$13),"-"))</f>
        <v>-</v>
      </c>
      <c r="BW429" s="979" t="str">
        <f>IF(AH429="","-",IFERROR((AH429/AG429-1)*(AG431/AG$13),"-"))</f>
        <v>-</v>
      </c>
      <c r="BX429" s="979" t="str">
        <f>IF(AI429="","-",IFERROR((AI429/AH429-1)*(AH431/AH$13),"-"))</f>
        <v>-</v>
      </c>
      <c r="BY429" s="981" t="str">
        <f>IF(AJ429="","-",IFERROR((AJ429/AI429-1)*(AI431/AI$13),"-"))</f>
        <v>-</v>
      </c>
      <c r="BZ429" s="951"/>
      <c r="CA429" s="975" t="str">
        <f t="shared" si="594"/>
        <v>Price</v>
      </c>
      <c r="CB429" s="976" t="str">
        <f t="shared" si="595"/>
        <v>[Service]</v>
      </c>
      <c r="CC429" s="982" t="str">
        <f t="shared" si="596"/>
        <v>[Price]</v>
      </c>
      <c r="CD429" s="983" t="str">
        <f t="shared" si="620"/>
        <v>-</v>
      </c>
      <c r="CE429" s="979" t="str">
        <f t="shared" si="620"/>
        <v>-</v>
      </c>
      <c r="CF429" s="979" t="str">
        <f t="shared" si="620"/>
        <v>-</v>
      </c>
      <c r="CG429" s="980" t="str">
        <f t="shared" si="620"/>
        <v>-</v>
      </c>
      <c r="CH429" s="979" t="str">
        <f t="shared" si="621"/>
        <v>-</v>
      </c>
      <c r="CI429" s="979" t="str">
        <f t="shared" si="621"/>
        <v>-</v>
      </c>
      <c r="CJ429" s="979" t="str">
        <f t="shared" si="621"/>
        <v>-</v>
      </c>
      <c r="CK429" s="981" t="str">
        <f t="shared" si="621"/>
        <v>-</v>
      </c>
    </row>
    <row r="430" spans="4:89">
      <c r="E430" s="567" t="s">
        <v>880</v>
      </c>
      <c r="F430" s="554" t="str">
        <f>+F429</f>
        <v>[Service]</v>
      </c>
      <c r="G430" s="555">
        <f>+G429</f>
        <v>0</v>
      </c>
      <c r="H430" s="555">
        <f>+H429</f>
        <v>0</v>
      </c>
      <c r="I430" s="556" t="str">
        <f>+I429</f>
        <v>[Price]</v>
      </c>
      <c r="J430" s="590" t="s">
        <v>916</v>
      </c>
      <c r="K430" s="557"/>
      <c r="L430" s="558"/>
      <c r="M430" s="558"/>
      <c r="N430" s="557"/>
      <c r="O430" s="558"/>
      <c r="P430" s="558"/>
      <c r="Q430" s="558"/>
      <c r="R430" s="1036"/>
      <c r="S430" s="1139"/>
      <c r="T430" s="593"/>
      <c r="U430" s="1036"/>
      <c r="V430" s="593"/>
      <c r="W430" s="593"/>
      <c r="X430" s="593"/>
      <c r="Y430" s="593"/>
      <c r="Z430" s="593"/>
      <c r="AA430" s="1139"/>
      <c r="AB430" s="593"/>
      <c r="AC430" s="593"/>
      <c r="AD430" s="593"/>
      <c r="AE430" s="1036"/>
      <c r="AF430" s="593"/>
      <c r="AG430" s="593"/>
      <c r="AH430" s="593"/>
      <c r="AI430" s="593"/>
      <c r="AJ430" s="594"/>
      <c r="AK430" s="548"/>
      <c r="AO430" s="961" t="str">
        <f t="shared" si="598"/>
        <v>Qty</v>
      </c>
      <c r="AP430" s="962" t="str">
        <f t="shared" si="598"/>
        <v>[Service]</v>
      </c>
      <c r="AQ430" s="963" t="str">
        <f t="shared" si="599"/>
        <v>[Price]</v>
      </c>
      <c r="AR430" s="967" t="str">
        <f t="shared" si="600"/>
        <v>-</v>
      </c>
      <c r="AS430" s="964" t="str">
        <f t="shared" si="601"/>
        <v>-</v>
      </c>
      <c r="AT430" s="964" t="str">
        <f t="shared" si="602"/>
        <v>-</v>
      </c>
      <c r="AU430" s="964" t="str">
        <f t="shared" si="603"/>
        <v>-</v>
      </c>
      <c r="AV430" s="1350" t="str">
        <f t="shared" si="604"/>
        <v>-</v>
      </c>
      <c r="AW430" s="1343" t="str">
        <f t="shared" si="605"/>
        <v>-</v>
      </c>
      <c r="AX430" s="964" t="str">
        <f t="shared" si="606"/>
        <v>-</v>
      </c>
      <c r="AY430" s="964" t="str">
        <f t="shared" si="607"/>
        <v>-</v>
      </c>
      <c r="AZ430" s="964" t="str">
        <f t="shared" si="608"/>
        <v>-</v>
      </c>
      <c r="BA430" s="965" t="str">
        <f t="shared" si="609"/>
        <v>-</v>
      </c>
      <c r="BB430" s="1343" t="str">
        <f t="shared" si="610"/>
        <v>-</v>
      </c>
      <c r="BC430" s="964" t="str">
        <f t="shared" si="611"/>
        <v>-</v>
      </c>
      <c r="BD430" s="964" t="str">
        <f t="shared" si="612"/>
        <v>-</v>
      </c>
      <c r="BE430" s="964" t="str">
        <f t="shared" si="613"/>
        <v>-</v>
      </c>
      <c r="BF430" s="966" t="str">
        <f t="shared" si="614"/>
        <v>-</v>
      </c>
      <c r="BG430" s="951"/>
      <c r="BH430" s="961" t="str">
        <f t="shared" si="640"/>
        <v>Qty</v>
      </c>
      <c r="BI430" s="962" t="str">
        <f t="shared" si="640"/>
        <v>[Service]</v>
      </c>
      <c r="BJ430" s="963" t="str">
        <f t="shared" si="640"/>
        <v>[Price]</v>
      </c>
      <c r="BK430" s="964" t="str">
        <f t="shared" ref="BK430:BU430" si="675">IF(V430="","-",IFERROR((V430/U430-1)*(U431/U$13),"-"))</f>
        <v>-</v>
      </c>
      <c r="BL430" s="964" t="str">
        <f t="shared" si="675"/>
        <v>-</v>
      </c>
      <c r="BM430" s="964" t="str">
        <f t="shared" si="675"/>
        <v>-</v>
      </c>
      <c r="BN430" s="964" t="str">
        <f t="shared" si="675"/>
        <v>-</v>
      </c>
      <c r="BO430" s="1350" t="str">
        <f t="shared" si="675"/>
        <v>-</v>
      </c>
      <c r="BP430" s="1343" t="str">
        <f t="shared" si="675"/>
        <v>-</v>
      </c>
      <c r="BQ430" s="964" t="str">
        <f t="shared" si="675"/>
        <v>-</v>
      </c>
      <c r="BR430" s="964" t="str">
        <f t="shared" si="675"/>
        <v>-</v>
      </c>
      <c r="BS430" s="964" t="str">
        <f t="shared" si="675"/>
        <v>-</v>
      </c>
      <c r="BT430" s="965" t="str">
        <f t="shared" si="675"/>
        <v>-</v>
      </c>
      <c r="BU430" s="964" t="str">
        <f t="shared" si="675"/>
        <v>-</v>
      </c>
      <c r="BV430" s="964" t="str">
        <f>IF(AG430="","-",IFERROR((AG430/AF430-1)*(AF431/AF$13),"-"))</f>
        <v>-</v>
      </c>
      <c r="BW430" s="964" t="str">
        <f>IF(AH430="","-",IFERROR((AH430/AG430-1)*(AG431/AG$13),"-"))</f>
        <v>-</v>
      </c>
      <c r="BX430" s="964" t="str">
        <f>IF(AI430="","-",IFERROR((AI430/AH430-1)*(AH431/AH$13),"-"))</f>
        <v>-</v>
      </c>
      <c r="BY430" s="966" t="str">
        <f>IF(AJ430="","-",IFERROR((AJ430/AI430-1)*(AI431/AI$13),"-"))</f>
        <v>-</v>
      </c>
      <c r="BZ430" s="951"/>
      <c r="CA430" s="961" t="str">
        <f t="shared" si="594"/>
        <v>Qty</v>
      </c>
      <c r="CB430" s="962" t="str">
        <f t="shared" si="595"/>
        <v>[Service]</v>
      </c>
      <c r="CC430" s="962" t="str">
        <f t="shared" si="596"/>
        <v>[Price]</v>
      </c>
      <c r="CD430" s="967" t="str">
        <f t="shared" si="620"/>
        <v>-</v>
      </c>
      <c r="CE430" s="964" t="str">
        <f t="shared" si="620"/>
        <v>-</v>
      </c>
      <c r="CF430" s="964" t="str">
        <f t="shared" si="620"/>
        <v>-</v>
      </c>
      <c r="CG430" s="965" t="str">
        <f t="shared" si="620"/>
        <v>-</v>
      </c>
      <c r="CH430" s="964" t="str">
        <f t="shared" si="621"/>
        <v>-</v>
      </c>
      <c r="CI430" s="964" t="str">
        <f t="shared" si="621"/>
        <v>-</v>
      </c>
      <c r="CJ430" s="964" t="str">
        <f t="shared" si="621"/>
        <v>-</v>
      </c>
      <c r="CK430" s="966" t="str">
        <f t="shared" si="621"/>
        <v>-</v>
      </c>
    </row>
    <row r="431" spans="4:89" ht="12.75" thickBot="1">
      <c r="E431" s="568" t="s">
        <v>882</v>
      </c>
      <c r="F431" s="560" t="str">
        <f>+F429</f>
        <v>[Service]</v>
      </c>
      <c r="G431" s="561">
        <f>+G429</f>
        <v>0</v>
      </c>
      <c r="H431" s="561">
        <f>+H429</f>
        <v>0</v>
      </c>
      <c r="I431" s="562" t="str">
        <f>+I429</f>
        <v>[Price]</v>
      </c>
      <c r="J431" s="563" t="s">
        <v>883</v>
      </c>
      <c r="K431" s="564">
        <f t="shared" ref="K431:AJ431" si="676">K429*K430/10^6</f>
        <v>0</v>
      </c>
      <c r="L431" s="565">
        <f t="shared" si="676"/>
        <v>0</v>
      </c>
      <c r="M431" s="565">
        <f t="shared" si="676"/>
        <v>0</v>
      </c>
      <c r="N431" s="564">
        <f t="shared" si="676"/>
        <v>0</v>
      </c>
      <c r="O431" s="565">
        <f t="shared" si="676"/>
        <v>0</v>
      </c>
      <c r="P431" s="565">
        <f t="shared" si="676"/>
        <v>0</v>
      </c>
      <c r="Q431" s="565">
        <f t="shared" si="676"/>
        <v>0</v>
      </c>
      <c r="R431" s="566">
        <f t="shared" si="676"/>
        <v>0</v>
      </c>
      <c r="S431" s="564">
        <f t="shared" si="676"/>
        <v>0</v>
      </c>
      <c r="T431" s="565">
        <f t="shared" si="676"/>
        <v>0</v>
      </c>
      <c r="U431" s="566">
        <f t="shared" si="676"/>
        <v>0</v>
      </c>
      <c r="V431" s="565">
        <f t="shared" si="676"/>
        <v>0</v>
      </c>
      <c r="W431" s="565">
        <f t="shared" si="676"/>
        <v>0</v>
      </c>
      <c r="X431" s="565">
        <f t="shared" si="676"/>
        <v>0</v>
      </c>
      <c r="Y431" s="565">
        <f t="shared" si="676"/>
        <v>0</v>
      </c>
      <c r="Z431" s="565">
        <f t="shared" si="676"/>
        <v>0</v>
      </c>
      <c r="AA431" s="564">
        <f t="shared" si="676"/>
        <v>0</v>
      </c>
      <c r="AB431" s="565">
        <f t="shared" si="676"/>
        <v>0</v>
      </c>
      <c r="AC431" s="565">
        <f t="shared" si="676"/>
        <v>0</v>
      </c>
      <c r="AD431" s="565">
        <f t="shared" si="676"/>
        <v>0</v>
      </c>
      <c r="AE431" s="566">
        <f t="shared" si="676"/>
        <v>0</v>
      </c>
      <c r="AF431" s="565">
        <f t="shared" si="676"/>
        <v>0</v>
      </c>
      <c r="AG431" s="565">
        <f>AG429*AG430/10^6</f>
        <v>0</v>
      </c>
      <c r="AH431" s="565">
        <f>AH429*AH430/10^6</f>
        <v>0</v>
      </c>
      <c r="AI431" s="565">
        <f>AI429*AI430/10^6</f>
        <v>0</v>
      </c>
      <c r="AJ431" s="566">
        <f t="shared" si="676"/>
        <v>0</v>
      </c>
      <c r="AK431" s="548"/>
      <c r="AO431" s="984" t="str">
        <f t="shared" si="598"/>
        <v>Rev</v>
      </c>
      <c r="AP431" s="985" t="str">
        <f t="shared" si="598"/>
        <v>[Service]</v>
      </c>
      <c r="AQ431" s="986" t="str">
        <f t="shared" si="599"/>
        <v>[Price]</v>
      </c>
      <c r="AR431" s="990" t="str">
        <f t="shared" si="600"/>
        <v>-</v>
      </c>
      <c r="AS431" s="987" t="str">
        <f t="shared" si="601"/>
        <v>-</v>
      </c>
      <c r="AT431" s="987" t="str">
        <f t="shared" si="602"/>
        <v>-</v>
      </c>
      <c r="AU431" s="987" t="str">
        <f t="shared" si="603"/>
        <v>-</v>
      </c>
      <c r="AV431" s="1353" t="str">
        <f t="shared" si="604"/>
        <v>-</v>
      </c>
      <c r="AW431" s="1346" t="str">
        <f t="shared" si="605"/>
        <v>-</v>
      </c>
      <c r="AX431" s="987" t="str">
        <f t="shared" si="606"/>
        <v>-</v>
      </c>
      <c r="AY431" s="987" t="str">
        <f t="shared" si="607"/>
        <v>-</v>
      </c>
      <c r="AZ431" s="987" t="str">
        <f t="shared" si="608"/>
        <v>-</v>
      </c>
      <c r="BA431" s="988" t="str">
        <f t="shared" si="609"/>
        <v>-</v>
      </c>
      <c r="BB431" s="1346" t="str">
        <f t="shared" si="610"/>
        <v>-</v>
      </c>
      <c r="BC431" s="987" t="str">
        <f t="shared" si="611"/>
        <v>-</v>
      </c>
      <c r="BD431" s="987" t="str">
        <f t="shared" si="612"/>
        <v>-</v>
      </c>
      <c r="BE431" s="987" t="str">
        <f t="shared" si="613"/>
        <v>-</v>
      </c>
      <c r="BF431" s="989" t="str">
        <f t="shared" si="614"/>
        <v>-</v>
      </c>
      <c r="BG431" s="951"/>
      <c r="BH431" s="984" t="str">
        <f t="shared" si="640"/>
        <v>Rev</v>
      </c>
      <c r="BI431" s="985" t="str">
        <f t="shared" si="640"/>
        <v>[Service]</v>
      </c>
      <c r="BJ431" s="986" t="str">
        <f t="shared" si="640"/>
        <v>[Price]</v>
      </c>
      <c r="BK431" s="987" t="str">
        <f t="shared" ref="BK431:BU431" si="677">IF(V431="","-",IFERROR((V431/U431-1)*(U431/U$13),"-"))</f>
        <v>-</v>
      </c>
      <c r="BL431" s="987" t="str">
        <f t="shared" si="677"/>
        <v>-</v>
      </c>
      <c r="BM431" s="987" t="str">
        <f t="shared" si="677"/>
        <v>-</v>
      </c>
      <c r="BN431" s="987" t="str">
        <f t="shared" si="677"/>
        <v>-</v>
      </c>
      <c r="BO431" s="1353" t="str">
        <f t="shared" si="677"/>
        <v>-</v>
      </c>
      <c r="BP431" s="1346" t="str">
        <f t="shared" si="677"/>
        <v>-</v>
      </c>
      <c r="BQ431" s="987" t="str">
        <f t="shared" si="677"/>
        <v>-</v>
      </c>
      <c r="BR431" s="987" t="str">
        <f t="shared" si="677"/>
        <v>-</v>
      </c>
      <c r="BS431" s="987" t="str">
        <f t="shared" si="677"/>
        <v>-</v>
      </c>
      <c r="BT431" s="988" t="str">
        <f t="shared" si="677"/>
        <v>-</v>
      </c>
      <c r="BU431" s="987" t="str">
        <f t="shared" si="677"/>
        <v>-</v>
      </c>
      <c r="BV431" s="987" t="str">
        <f>IF(AG431="","-",IFERROR((AG431/AF431-1)*(AF431/AF$13),"-"))</f>
        <v>-</v>
      </c>
      <c r="BW431" s="987" t="str">
        <f>IF(AH431="","-",IFERROR((AH431/AG431-1)*(AG431/AG$13),"-"))</f>
        <v>-</v>
      </c>
      <c r="BX431" s="987" t="str">
        <f>IF(AI431="","-",IFERROR((AI431/AH431-1)*(AH431/AH$13),"-"))</f>
        <v>-</v>
      </c>
      <c r="BY431" s="989" t="str">
        <f>IF(AJ431="","-",IFERROR((AJ431/AI431-1)*(AI431/AI$13),"-"))</f>
        <v>-</v>
      </c>
      <c r="BZ431" s="951"/>
      <c r="CA431" s="984" t="str">
        <f t="shared" si="594"/>
        <v>Rev</v>
      </c>
      <c r="CB431" s="985" t="str">
        <f t="shared" si="595"/>
        <v>[Service]</v>
      </c>
      <c r="CC431" s="985" t="str">
        <f t="shared" si="596"/>
        <v>[Price]</v>
      </c>
      <c r="CD431" s="990" t="str">
        <f t="shared" si="620"/>
        <v>-</v>
      </c>
      <c r="CE431" s="987" t="str">
        <f t="shared" si="620"/>
        <v>-</v>
      </c>
      <c r="CF431" s="987" t="str">
        <f t="shared" si="620"/>
        <v>-</v>
      </c>
      <c r="CG431" s="988" t="str">
        <f t="shared" si="620"/>
        <v>-</v>
      </c>
      <c r="CH431" s="987" t="str">
        <f t="shared" si="621"/>
        <v>-</v>
      </c>
      <c r="CI431" s="987" t="str">
        <f t="shared" si="621"/>
        <v>-</v>
      </c>
      <c r="CJ431" s="987" t="str">
        <f t="shared" si="621"/>
        <v>-</v>
      </c>
      <c r="CK431" s="989" t="str">
        <f t="shared" si="621"/>
        <v>-</v>
      </c>
    </row>
    <row r="432" spans="4:89">
      <c r="D432" s="63">
        <f>D429+1</f>
        <v>122</v>
      </c>
      <c r="E432" s="550" t="s">
        <v>857</v>
      </c>
      <c r="F432" s="595" t="s">
        <v>428</v>
      </c>
      <c r="G432" s="595"/>
      <c r="H432" s="595"/>
      <c r="I432" s="589" t="s">
        <v>920</v>
      </c>
      <c r="J432" s="589" t="s">
        <v>879</v>
      </c>
      <c r="K432" s="551"/>
      <c r="L432" s="552"/>
      <c r="M432" s="552"/>
      <c r="N432" s="551"/>
      <c r="O432" s="552"/>
      <c r="P432" s="552"/>
      <c r="Q432" s="552"/>
      <c r="R432" s="1035"/>
      <c r="S432" s="1138"/>
      <c r="T432" s="591"/>
      <c r="U432" s="1035"/>
      <c r="V432" s="591"/>
      <c r="W432" s="591"/>
      <c r="X432" s="591"/>
      <c r="Y432" s="591"/>
      <c r="Z432" s="591"/>
      <c r="AA432" s="1138"/>
      <c r="AB432" s="591"/>
      <c r="AC432" s="591"/>
      <c r="AD432" s="591"/>
      <c r="AE432" s="1035"/>
      <c r="AF432" s="591"/>
      <c r="AG432" s="591"/>
      <c r="AH432" s="591"/>
      <c r="AI432" s="591"/>
      <c r="AJ432" s="592"/>
      <c r="AK432" s="548"/>
      <c r="AM432" s="974"/>
      <c r="AO432" s="975" t="str">
        <f t="shared" si="598"/>
        <v>Price</v>
      </c>
      <c r="AP432" s="976" t="str">
        <f t="shared" si="598"/>
        <v>[Service]</v>
      </c>
      <c r="AQ432" s="977" t="str">
        <f t="shared" si="599"/>
        <v>[Price]</v>
      </c>
      <c r="AR432" s="1341" t="str">
        <f t="shared" si="600"/>
        <v>-</v>
      </c>
      <c r="AS432" s="978" t="str">
        <f t="shared" si="601"/>
        <v>-</v>
      </c>
      <c r="AT432" s="979" t="str">
        <f t="shared" si="602"/>
        <v>-</v>
      </c>
      <c r="AU432" s="979" t="str">
        <f t="shared" si="603"/>
        <v>-</v>
      </c>
      <c r="AV432" s="1352" t="str">
        <f t="shared" si="604"/>
        <v>-</v>
      </c>
      <c r="AW432" s="1345" t="str">
        <f t="shared" si="605"/>
        <v>-</v>
      </c>
      <c r="AX432" s="979" t="str">
        <f t="shared" si="606"/>
        <v>-</v>
      </c>
      <c r="AY432" s="979" t="str">
        <f t="shared" si="607"/>
        <v>-</v>
      </c>
      <c r="AZ432" s="979" t="str">
        <f t="shared" si="608"/>
        <v>-</v>
      </c>
      <c r="BA432" s="980" t="str">
        <f t="shared" si="609"/>
        <v>-</v>
      </c>
      <c r="BB432" s="1345" t="str">
        <f t="shared" si="610"/>
        <v>-</v>
      </c>
      <c r="BC432" s="979" t="str">
        <f t="shared" si="611"/>
        <v>-</v>
      </c>
      <c r="BD432" s="979" t="str">
        <f t="shared" si="612"/>
        <v>-</v>
      </c>
      <c r="BE432" s="979" t="str">
        <f t="shared" si="613"/>
        <v>-</v>
      </c>
      <c r="BF432" s="981" t="str">
        <f t="shared" si="614"/>
        <v>-</v>
      </c>
      <c r="BG432" s="951"/>
      <c r="BH432" s="975" t="str">
        <f t="shared" si="640"/>
        <v>Price</v>
      </c>
      <c r="BI432" s="976" t="str">
        <f t="shared" si="640"/>
        <v>[Service]</v>
      </c>
      <c r="BJ432" s="977" t="str">
        <f t="shared" si="640"/>
        <v>[Price]</v>
      </c>
      <c r="BK432" s="978" t="str">
        <f t="shared" ref="BK432:BU432" si="678">IF(V432="","-",IFERROR((V432/U432-1)*(U434/U$13),"-"))</f>
        <v>-</v>
      </c>
      <c r="BL432" s="978" t="str">
        <f t="shared" si="678"/>
        <v>-</v>
      </c>
      <c r="BM432" s="979" t="str">
        <f t="shared" si="678"/>
        <v>-</v>
      </c>
      <c r="BN432" s="979" t="str">
        <f t="shared" si="678"/>
        <v>-</v>
      </c>
      <c r="BO432" s="1352" t="str">
        <f t="shared" si="678"/>
        <v>-</v>
      </c>
      <c r="BP432" s="1345" t="str">
        <f t="shared" si="678"/>
        <v>-</v>
      </c>
      <c r="BQ432" s="979" t="str">
        <f t="shared" si="678"/>
        <v>-</v>
      </c>
      <c r="BR432" s="979" t="str">
        <f t="shared" si="678"/>
        <v>-</v>
      </c>
      <c r="BS432" s="979" t="str">
        <f t="shared" si="678"/>
        <v>-</v>
      </c>
      <c r="BT432" s="980" t="str">
        <f t="shared" si="678"/>
        <v>-</v>
      </c>
      <c r="BU432" s="979" t="str">
        <f t="shared" si="678"/>
        <v>-</v>
      </c>
      <c r="BV432" s="979" t="str">
        <f>IF(AG432="","-",IFERROR((AG432/AF432-1)*(AF434/AF$13),"-"))</f>
        <v>-</v>
      </c>
      <c r="BW432" s="979" t="str">
        <f>IF(AH432="","-",IFERROR((AH432/AG432-1)*(AG434/AG$13),"-"))</f>
        <v>-</v>
      </c>
      <c r="BX432" s="979" t="str">
        <f>IF(AI432="","-",IFERROR((AI432/AH432-1)*(AH434/AH$13),"-"))</f>
        <v>-</v>
      </c>
      <c r="BY432" s="981" t="str">
        <f>IF(AJ432="","-",IFERROR((AJ432/AI432-1)*(AI434/AI$13),"-"))</f>
        <v>-</v>
      </c>
      <c r="BZ432" s="951"/>
      <c r="CA432" s="975" t="str">
        <f t="shared" si="594"/>
        <v>Price</v>
      </c>
      <c r="CB432" s="976" t="str">
        <f t="shared" si="595"/>
        <v>[Service]</v>
      </c>
      <c r="CC432" s="982" t="str">
        <f t="shared" si="596"/>
        <v>[Price]</v>
      </c>
      <c r="CD432" s="983" t="str">
        <f t="shared" si="620"/>
        <v>-</v>
      </c>
      <c r="CE432" s="979" t="str">
        <f t="shared" si="620"/>
        <v>-</v>
      </c>
      <c r="CF432" s="979" t="str">
        <f t="shared" si="620"/>
        <v>-</v>
      </c>
      <c r="CG432" s="980" t="str">
        <f t="shared" si="620"/>
        <v>-</v>
      </c>
      <c r="CH432" s="979" t="str">
        <f t="shared" si="621"/>
        <v>-</v>
      </c>
      <c r="CI432" s="979" t="str">
        <f t="shared" si="621"/>
        <v>-</v>
      </c>
      <c r="CJ432" s="979" t="str">
        <f t="shared" si="621"/>
        <v>-</v>
      </c>
      <c r="CK432" s="981" t="str">
        <f t="shared" si="621"/>
        <v>-</v>
      </c>
    </row>
    <row r="433" spans="4:89">
      <c r="E433" s="567" t="s">
        <v>880</v>
      </c>
      <c r="F433" s="554" t="str">
        <f>+F432</f>
        <v>[Service]</v>
      </c>
      <c r="G433" s="555">
        <f>+G432</f>
        <v>0</v>
      </c>
      <c r="H433" s="555">
        <f>+H432</f>
        <v>0</v>
      </c>
      <c r="I433" s="556" t="str">
        <f>+I432</f>
        <v>[Price]</v>
      </c>
      <c r="J433" s="590" t="s">
        <v>916</v>
      </c>
      <c r="K433" s="557"/>
      <c r="L433" s="558"/>
      <c r="M433" s="558"/>
      <c r="N433" s="557"/>
      <c r="O433" s="558"/>
      <c r="P433" s="558"/>
      <c r="Q433" s="558"/>
      <c r="R433" s="1036"/>
      <c r="S433" s="1139"/>
      <c r="T433" s="593"/>
      <c r="U433" s="1036"/>
      <c r="V433" s="593"/>
      <c r="W433" s="593"/>
      <c r="X433" s="593"/>
      <c r="Y433" s="593"/>
      <c r="Z433" s="593"/>
      <c r="AA433" s="1139"/>
      <c r="AB433" s="593"/>
      <c r="AC433" s="593"/>
      <c r="AD433" s="593"/>
      <c r="AE433" s="1036"/>
      <c r="AF433" s="593"/>
      <c r="AG433" s="593"/>
      <c r="AH433" s="593"/>
      <c r="AI433" s="593"/>
      <c r="AJ433" s="594"/>
      <c r="AK433" s="548"/>
      <c r="AO433" s="961" t="str">
        <f t="shared" si="598"/>
        <v>Qty</v>
      </c>
      <c r="AP433" s="962" t="str">
        <f t="shared" si="598"/>
        <v>[Service]</v>
      </c>
      <c r="AQ433" s="963" t="str">
        <f t="shared" si="599"/>
        <v>[Price]</v>
      </c>
      <c r="AR433" s="967" t="str">
        <f t="shared" si="600"/>
        <v>-</v>
      </c>
      <c r="AS433" s="964" t="str">
        <f t="shared" si="601"/>
        <v>-</v>
      </c>
      <c r="AT433" s="964" t="str">
        <f t="shared" si="602"/>
        <v>-</v>
      </c>
      <c r="AU433" s="964" t="str">
        <f t="shared" si="603"/>
        <v>-</v>
      </c>
      <c r="AV433" s="1350" t="str">
        <f t="shared" si="604"/>
        <v>-</v>
      </c>
      <c r="AW433" s="1343" t="str">
        <f t="shared" si="605"/>
        <v>-</v>
      </c>
      <c r="AX433" s="964" t="str">
        <f t="shared" si="606"/>
        <v>-</v>
      </c>
      <c r="AY433" s="964" t="str">
        <f t="shared" si="607"/>
        <v>-</v>
      </c>
      <c r="AZ433" s="964" t="str">
        <f t="shared" si="608"/>
        <v>-</v>
      </c>
      <c r="BA433" s="965" t="str">
        <f t="shared" si="609"/>
        <v>-</v>
      </c>
      <c r="BB433" s="1343" t="str">
        <f t="shared" si="610"/>
        <v>-</v>
      </c>
      <c r="BC433" s="964" t="str">
        <f t="shared" si="611"/>
        <v>-</v>
      </c>
      <c r="BD433" s="964" t="str">
        <f t="shared" si="612"/>
        <v>-</v>
      </c>
      <c r="BE433" s="964" t="str">
        <f t="shared" si="613"/>
        <v>-</v>
      </c>
      <c r="BF433" s="966" t="str">
        <f t="shared" si="614"/>
        <v>-</v>
      </c>
      <c r="BG433" s="951"/>
      <c r="BH433" s="961" t="str">
        <f t="shared" si="640"/>
        <v>Qty</v>
      </c>
      <c r="BI433" s="962" t="str">
        <f t="shared" si="640"/>
        <v>[Service]</v>
      </c>
      <c r="BJ433" s="963" t="str">
        <f t="shared" si="640"/>
        <v>[Price]</v>
      </c>
      <c r="BK433" s="964" t="str">
        <f t="shared" ref="BK433:BU433" si="679">IF(V433="","-",IFERROR((V433/U433-1)*(U434/U$13),"-"))</f>
        <v>-</v>
      </c>
      <c r="BL433" s="964" t="str">
        <f t="shared" si="679"/>
        <v>-</v>
      </c>
      <c r="BM433" s="964" t="str">
        <f t="shared" si="679"/>
        <v>-</v>
      </c>
      <c r="BN433" s="964" t="str">
        <f t="shared" si="679"/>
        <v>-</v>
      </c>
      <c r="BO433" s="1350" t="str">
        <f t="shared" si="679"/>
        <v>-</v>
      </c>
      <c r="BP433" s="1343" t="str">
        <f t="shared" si="679"/>
        <v>-</v>
      </c>
      <c r="BQ433" s="964" t="str">
        <f t="shared" si="679"/>
        <v>-</v>
      </c>
      <c r="BR433" s="964" t="str">
        <f t="shared" si="679"/>
        <v>-</v>
      </c>
      <c r="BS433" s="964" t="str">
        <f t="shared" si="679"/>
        <v>-</v>
      </c>
      <c r="BT433" s="965" t="str">
        <f t="shared" si="679"/>
        <v>-</v>
      </c>
      <c r="BU433" s="964" t="str">
        <f t="shared" si="679"/>
        <v>-</v>
      </c>
      <c r="BV433" s="964" t="str">
        <f>IF(AG433="","-",IFERROR((AG433/AF433-1)*(AF434/AF$13),"-"))</f>
        <v>-</v>
      </c>
      <c r="BW433" s="964" t="str">
        <f>IF(AH433="","-",IFERROR((AH433/AG433-1)*(AG434/AG$13),"-"))</f>
        <v>-</v>
      </c>
      <c r="BX433" s="964" t="str">
        <f>IF(AI433="","-",IFERROR((AI433/AH433-1)*(AH434/AH$13),"-"))</f>
        <v>-</v>
      </c>
      <c r="BY433" s="966" t="str">
        <f>IF(AJ433="","-",IFERROR((AJ433/AI433-1)*(AI434/AI$13),"-"))</f>
        <v>-</v>
      </c>
      <c r="BZ433" s="951"/>
      <c r="CA433" s="961" t="str">
        <f t="shared" si="594"/>
        <v>Qty</v>
      </c>
      <c r="CB433" s="962" t="str">
        <f t="shared" si="595"/>
        <v>[Service]</v>
      </c>
      <c r="CC433" s="962" t="str">
        <f t="shared" si="596"/>
        <v>[Price]</v>
      </c>
      <c r="CD433" s="967" t="str">
        <f t="shared" si="620"/>
        <v>-</v>
      </c>
      <c r="CE433" s="964" t="str">
        <f t="shared" si="620"/>
        <v>-</v>
      </c>
      <c r="CF433" s="964" t="str">
        <f t="shared" si="620"/>
        <v>-</v>
      </c>
      <c r="CG433" s="965" t="str">
        <f t="shared" si="620"/>
        <v>-</v>
      </c>
      <c r="CH433" s="964" t="str">
        <f t="shared" si="621"/>
        <v>-</v>
      </c>
      <c r="CI433" s="964" t="str">
        <f t="shared" si="621"/>
        <v>-</v>
      </c>
      <c r="CJ433" s="964" t="str">
        <f t="shared" si="621"/>
        <v>-</v>
      </c>
      <c r="CK433" s="966" t="str">
        <f t="shared" si="621"/>
        <v>-</v>
      </c>
    </row>
    <row r="434" spans="4:89" ht="12.75" thickBot="1">
      <c r="E434" s="568" t="s">
        <v>882</v>
      </c>
      <c r="F434" s="560" t="str">
        <f>+F432</f>
        <v>[Service]</v>
      </c>
      <c r="G434" s="561">
        <f>+G432</f>
        <v>0</v>
      </c>
      <c r="H434" s="561">
        <f>+H432</f>
        <v>0</v>
      </c>
      <c r="I434" s="562" t="str">
        <f>+I432</f>
        <v>[Price]</v>
      </c>
      <c r="J434" s="563" t="s">
        <v>883</v>
      </c>
      <c r="K434" s="564">
        <f t="shared" ref="K434:AJ434" si="680">K432*K433/10^6</f>
        <v>0</v>
      </c>
      <c r="L434" s="565">
        <f t="shared" si="680"/>
        <v>0</v>
      </c>
      <c r="M434" s="565">
        <f t="shared" si="680"/>
        <v>0</v>
      </c>
      <c r="N434" s="564">
        <f t="shared" si="680"/>
        <v>0</v>
      </c>
      <c r="O434" s="565">
        <f t="shared" si="680"/>
        <v>0</v>
      </c>
      <c r="P434" s="565">
        <f t="shared" si="680"/>
        <v>0</v>
      </c>
      <c r="Q434" s="565">
        <f t="shared" si="680"/>
        <v>0</v>
      </c>
      <c r="R434" s="566">
        <f t="shared" si="680"/>
        <v>0</v>
      </c>
      <c r="S434" s="564">
        <f t="shared" si="680"/>
        <v>0</v>
      </c>
      <c r="T434" s="565">
        <f t="shared" si="680"/>
        <v>0</v>
      </c>
      <c r="U434" s="566">
        <f t="shared" si="680"/>
        <v>0</v>
      </c>
      <c r="V434" s="565">
        <f t="shared" si="680"/>
        <v>0</v>
      </c>
      <c r="W434" s="565">
        <f t="shared" si="680"/>
        <v>0</v>
      </c>
      <c r="X434" s="565">
        <f t="shared" si="680"/>
        <v>0</v>
      </c>
      <c r="Y434" s="565">
        <f t="shared" si="680"/>
        <v>0</v>
      </c>
      <c r="Z434" s="565">
        <f t="shared" si="680"/>
        <v>0</v>
      </c>
      <c r="AA434" s="564">
        <f t="shared" si="680"/>
        <v>0</v>
      </c>
      <c r="AB434" s="565">
        <f t="shared" si="680"/>
        <v>0</v>
      </c>
      <c r="AC434" s="565">
        <f t="shared" si="680"/>
        <v>0</v>
      </c>
      <c r="AD434" s="565">
        <f t="shared" si="680"/>
        <v>0</v>
      </c>
      <c r="AE434" s="566">
        <f t="shared" si="680"/>
        <v>0</v>
      </c>
      <c r="AF434" s="565">
        <f t="shared" si="680"/>
        <v>0</v>
      </c>
      <c r="AG434" s="565">
        <f>AG432*AG433/10^6</f>
        <v>0</v>
      </c>
      <c r="AH434" s="565">
        <f>AH432*AH433/10^6</f>
        <v>0</v>
      </c>
      <c r="AI434" s="565">
        <f>AI432*AI433/10^6</f>
        <v>0</v>
      </c>
      <c r="AJ434" s="566">
        <f t="shared" si="680"/>
        <v>0</v>
      </c>
      <c r="AK434" s="548"/>
      <c r="AO434" s="984" t="str">
        <f t="shared" si="598"/>
        <v>Rev</v>
      </c>
      <c r="AP434" s="985" t="str">
        <f t="shared" si="598"/>
        <v>[Service]</v>
      </c>
      <c r="AQ434" s="986" t="str">
        <f t="shared" si="599"/>
        <v>[Price]</v>
      </c>
      <c r="AR434" s="990" t="str">
        <f t="shared" si="600"/>
        <v>-</v>
      </c>
      <c r="AS434" s="987" t="str">
        <f t="shared" si="601"/>
        <v>-</v>
      </c>
      <c r="AT434" s="987" t="str">
        <f t="shared" si="602"/>
        <v>-</v>
      </c>
      <c r="AU434" s="987" t="str">
        <f t="shared" si="603"/>
        <v>-</v>
      </c>
      <c r="AV434" s="1353" t="str">
        <f t="shared" si="604"/>
        <v>-</v>
      </c>
      <c r="AW434" s="1346" t="str">
        <f t="shared" si="605"/>
        <v>-</v>
      </c>
      <c r="AX434" s="987" t="str">
        <f t="shared" si="606"/>
        <v>-</v>
      </c>
      <c r="AY434" s="987" t="str">
        <f t="shared" si="607"/>
        <v>-</v>
      </c>
      <c r="AZ434" s="987" t="str">
        <f t="shared" si="608"/>
        <v>-</v>
      </c>
      <c r="BA434" s="988" t="str">
        <f t="shared" si="609"/>
        <v>-</v>
      </c>
      <c r="BB434" s="1346" t="str">
        <f t="shared" si="610"/>
        <v>-</v>
      </c>
      <c r="BC434" s="987" t="str">
        <f t="shared" si="611"/>
        <v>-</v>
      </c>
      <c r="BD434" s="987" t="str">
        <f t="shared" si="612"/>
        <v>-</v>
      </c>
      <c r="BE434" s="987" t="str">
        <f t="shared" si="613"/>
        <v>-</v>
      </c>
      <c r="BF434" s="989" t="str">
        <f t="shared" si="614"/>
        <v>-</v>
      </c>
      <c r="BG434" s="951"/>
      <c r="BH434" s="984" t="str">
        <f t="shared" si="640"/>
        <v>Rev</v>
      </c>
      <c r="BI434" s="985" t="str">
        <f t="shared" si="640"/>
        <v>[Service]</v>
      </c>
      <c r="BJ434" s="986" t="str">
        <f t="shared" si="640"/>
        <v>[Price]</v>
      </c>
      <c r="BK434" s="987" t="str">
        <f t="shared" ref="BK434:BU434" si="681">IF(V434="","-",IFERROR((V434/U434-1)*(U434/U$13),"-"))</f>
        <v>-</v>
      </c>
      <c r="BL434" s="987" t="str">
        <f t="shared" si="681"/>
        <v>-</v>
      </c>
      <c r="BM434" s="987" t="str">
        <f t="shared" si="681"/>
        <v>-</v>
      </c>
      <c r="BN434" s="987" t="str">
        <f t="shared" si="681"/>
        <v>-</v>
      </c>
      <c r="BO434" s="1353" t="str">
        <f t="shared" si="681"/>
        <v>-</v>
      </c>
      <c r="BP434" s="1346" t="str">
        <f t="shared" si="681"/>
        <v>-</v>
      </c>
      <c r="BQ434" s="987" t="str">
        <f t="shared" si="681"/>
        <v>-</v>
      </c>
      <c r="BR434" s="987" t="str">
        <f t="shared" si="681"/>
        <v>-</v>
      </c>
      <c r="BS434" s="987" t="str">
        <f t="shared" si="681"/>
        <v>-</v>
      </c>
      <c r="BT434" s="988" t="str">
        <f t="shared" si="681"/>
        <v>-</v>
      </c>
      <c r="BU434" s="987" t="str">
        <f t="shared" si="681"/>
        <v>-</v>
      </c>
      <c r="BV434" s="987" t="str">
        <f>IF(AG434="","-",IFERROR((AG434/AF434-1)*(AF434/AF$13),"-"))</f>
        <v>-</v>
      </c>
      <c r="BW434" s="987" t="str">
        <f>IF(AH434="","-",IFERROR((AH434/AG434-1)*(AG434/AG$13),"-"))</f>
        <v>-</v>
      </c>
      <c r="BX434" s="987" t="str">
        <f>IF(AI434="","-",IFERROR((AI434/AH434-1)*(AH434/AH$13),"-"))</f>
        <v>-</v>
      </c>
      <c r="BY434" s="989" t="str">
        <f>IF(AJ434="","-",IFERROR((AJ434/AI434-1)*(AI434/AI$13),"-"))</f>
        <v>-</v>
      </c>
      <c r="BZ434" s="951"/>
      <c r="CA434" s="984" t="str">
        <f t="shared" si="594"/>
        <v>Rev</v>
      </c>
      <c r="CB434" s="985" t="str">
        <f t="shared" si="595"/>
        <v>[Service]</v>
      </c>
      <c r="CC434" s="985" t="str">
        <f t="shared" si="596"/>
        <v>[Price]</v>
      </c>
      <c r="CD434" s="990" t="str">
        <f t="shared" si="620"/>
        <v>-</v>
      </c>
      <c r="CE434" s="987" t="str">
        <f t="shared" si="620"/>
        <v>-</v>
      </c>
      <c r="CF434" s="987" t="str">
        <f t="shared" si="620"/>
        <v>-</v>
      </c>
      <c r="CG434" s="988" t="str">
        <f t="shared" si="620"/>
        <v>-</v>
      </c>
      <c r="CH434" s="987" t="str">
        <f t="shared" si="621"/>
        <v>-</v>
      </c>
      <c r="CI434" s="987" t="str">
        <f t="shared" si="621"/>
        <v>-</v>
      </c>
      <c r="CJ434" s="987" t="str">
        <f t="shared" si="621"/>
        <v>-</v>
      </c>
      <c r="CK434" s="989" t="str">
        <f t="shared" si="621"/>
        <v>-</v>
      </c>
    </row>
    <row r="435" spans="4:89">
      <c r="D435" s="63">
        <f>D432+1</f>
        <v>123</v>
      </c>
      <c r="E435" s="550" t="s">
        <v>857</v>
      </c>
      <c r="F435" s="595" t="s">
        <v>428</v>
      </c>
      <c r="G435" s="595"/>
      <c r="H435" s="595"/>
      <c r="I435" s="589" t="s">
        <v>920</v>
      </c>
      <c r="J435" s="589" t="s">
        <v>879</v>
      </c>
      <c r="K435" s="551"/>
      <c r="L435" s="552"/>
      <c r="M435" s="552"/>
      <c r="N435" s="551"/>
      <c r="O435" s="552"/>
      <c r="P435" s="552"/>
      <c r="Q435" s="552"/>
      <c r="R435" s="1035"/>
      <c r="S435" s="1138"/>
      <c r="T435" s="591"/>
      <c r="U435" s="1035"/>
      <c r="V435" s="591"/>
      <c r="W435" s="591"/>
      <c r="X435" s="591"/>
      <c r="Y435" s="591"/>
      <c r="Z435" s="591"/>
      <c r="AA435" s="1138"/>
      <c r="AB435" s="591"/>
      <c r="AC435" s="591"/>
      <c r="AD435" s="591"/>
      <c r="AE435" s="1035"/>
      <c r="AF435" s="591"/>
      <c r="AG435" s="591"/>
      <c r="AH435" s="591"/>
      <c r="AI435" s="591"/>
      <c r="AJ435" s="592"/>
      <c r="AK435" s="548"/>
      <c r="AM435" s="974"/>
      <c r="AO435" s="975" t="str">
        <f t="shared" si="598"/>
        <v>Price</v>
      </c>
      <c r="AP435" s="976" t="str">
        <f t="shared" si="598"/>
        <v>[Service]</v>
      </c>
      <c r="AQ435" s="977" t="str">
        <f t="shared" si="599"/>
        <v>[Price]</v>
      </c>
      <c r="AR435" s="1341" t="str">
        <f t="shared" si="600"/>
        <v>-</v>
      </c>
      <c r="AS435" s="978" t="str">
        <f t="shared" si="601"/>
        <v>-</v>
      </c>
      <c r="AT435" s="979" t="str">
        <f t="shared" si="602"/>
        <v>-</v>
      </c>
      <c r="AU435" s="979" t="str">
        <f t="shared" si="603"/>
        <v>-</v>
      </c>
      <c r="AV435" s="1352" t="str">
        <f t="shared" si="604"/>
        <v>-</v>
      </c>
      <c r="AW435" s="1345" t="str">
        <f t="shared" si="605"/>
        <v>-</v>
      </c>
      <c r="AX435" s="979" t="str">
        <f t="shared" si="606"/>
        <v>-</v>
      </c>
      <c r="AY435" s="979" t="str">
        <f t="shared" si="607"/>
        <v>-</v>
      </c>
      <c r="AZ435" s="979" t="str">
        <f t="shared" si="608"/>
        <v>-</v>
      </c>
      <c r="BA435" s="980" t="str">
        <f t="shared" si="609"/>
        <v>-</v>
      </c>
      <c r="BB435" s="1345" t="str">
        <f t="shared" si="610"/>
        <v>-</v>
      </c>
      <c r="BC435" s="979" t="str">
        <f t="shared" si="611"/>
        <v>-</v>
      </c>
      <c r="BD435" s="979" t="str">
        <f t="shared" si="612"/>
        <v>-</v>
      </c>
      <c r="BE435" s="979" t="str">
        <f t="shared" si="613"/>
        <v>-</v>
      </c>
      <c r="BF435" s="981" t="str">
        <f t="shared" si="614"/>
        <v>-</v>
      </c>
      <c r="BG435" s="951"/>
      <c r="BH435" s="975" t="str">
        <f t="shared" si="640"/>
        <v>Price</v>
      </c>
      <c r="BI435" s="976" t="str">
        <f t="shared" si="640"/>
        <v>[Service]</v>
      </c>
      <c r="BJ435" s="977" t="str">
        <f t="shared" si="640"/>
        <v>[Price]</v>
      </c>
      <c r="BK435" s="978" t="str">
        <f t="shared" ref="BK435:BU435" si="682">IF(V435="","-",IFERROR((V435/U435-1)*(U437/U$13),"-"))</f>
        <v>-</v>
      </c>
      <c r="BL435" s="978" t="str">
        <f t="shared" si="682"/>
        <v>-</v>
      </c>
      <c r="BM435" s="979" t="str">
        <f t="shared" si="682"/>
        <v>-</v>
      </c>
      <c r="BN435" s="979" t="str">
        <f t="shared" si="682"/>
        <v>-</v>
      </c>
      <c r="BO435" s="1352" t="str">
        <f t="shared" si="682"/>
        <v>-</v>
      </c>
      <c r="BP435" s="1345" t="str">
        <f t="shared" si="682"/>
        <v>-</v>
      </c>
      <c r="BQ435" s="979" t="str">
        <f t="shared" si="682"/>
        <v>-</v>
      </c>
      <c r="BR435" s="979" t="str">
        <f t="shared" si="682"/>
        <v>-</v>
      </c>
      <c r="BS435" s="979" t="str">
        <f t="shared" si="682"/>
        <v>-</v>
      </c>
      <c r="BT435" s="980" t="str">
        <f t="shared" si="682"/>
        <v>-</v>
      </c>
      <c r="BU435" s="979" t="str">
        <f t="shared" si="682"/>
        <v>-</v>
      </c>
      <c r="BV435" s="979" t="str">
        <f>IF(AG435="","-",IFERROR((AG435/AF435-1)*(AF437/AF$13),"-"))</f>
        <v>-</v>
      </c>
      <c r="BW435" s="979" t="str">
        <f>IF(AH435="","-",IFERROR((AH435/AG435-1)*(AG437/AG$13),"-"))</f>
        <v>-</v>
      </c>
      <c r="BX435" s="979" t="str">
        <f>IF(AI435="","-",IFERROR((AI435/AH435-1)*(AH437/AH$13),"-"))</f>
        <v>-</v>
      </c>
      <c r="BY435" s="981" t="str">
        <f>IF(AJ435="","-",IFERROR((AJ435/AI435-1)*(AI437/AI$13),"-"))</f>
        <v>-</v>
      </c>
      <c r="BZ435" s="951"/>
      <c r="CA435" s="975" t="str">
        <f t="shared" si="594"/>
        <v>Price</v>
      </c>
      <c r="CB435" s="976" t="str">
        <f t="shared" si="595"/>
        <v>[Service]</v>
      </c>
      <c r="CC435" s="982" t="str">
        <f t="shared" si="596"/>
        <v>[Price]</v>
      </c>
      <c r="CD435" s="983" t="str">
        <f t="shared" si="620"/>
        <v>-</v>
      </c>
      <c r="CE435" s="979" t="str">
        <f t="shared" si="620"/>
        <v>-</v>
      </c>
      <c r="CF435" s="979" t="str">
        <f t="shared" si="620"/>
        <v>-</v>
      </c>
      <c r="CG435" s="980" t="str">
        <f t="shared" si="620"/>
        <v>-</v>
      </c>
      <c r="CH435" s="979" t="str">
        <f t="shared" si="621"/>
        <v>-</v>
      </c>
      <c r="CI435" s="979" t="str">
        <f t="shared" si="621"/>
        <v>-</v>
      </c>
      <c r="CJ435" s="979" t="str">
        <f t="shared" si="621"/>
        <v>-</v>
      </c>
      <c r="CK435" s="981" t="str">
        <f t="shared" si="621"/>
        <v>-</v>
      </c>
    </row>
    <row r="436" spans="4:89">
      <c r="E436" s="567" t="s">
        <v>880</v>
      </c>
      <c r="F436" s="554" t="str">
        <f>+F435</f>
        <v>[Service]</v>
      </c>
      <c r="G436" s="555">
        <f>+G435</f>
        <v>0</v>
      </c>
      <c r="H436" s="555">
        <f>+H435</f>
        <v>0</v>
      </c>
      <c r="I436" s="556" t="str">
        <f>+I435</f>
        <v>[Price]</v>
      </c>
      <c r="J436" s="590" t="s">
        <v>916</v>
      </c>
      <c r="K436" s="557"/>
      <c r="L436" s="558"/>
      <c r="M436" s="558"/>
      <c r="N436" s="557"/>
      <c r="O436" s="558"/>
      <c r="P436" s="558"/>
      <c r="Q436" s="558"/>
      <c r="R436" s="1036"/>
      <c r="S436" s="1139"/>
      <c r="T436" s="593"/>
      <c r="U436" s="1036"/>
      <c r="V436" s="593"/>
      <c r="W436" s="593"/>
      <c r="X436" s="593"/>
      <c r="Y436" s="593"/>
      <c r="Z436" s="593"/>
      <c r="AA436" s="1139"/>
      <c r="AB436" s="593"/>
      <c r="AC436" s="593"/>
      <c r="AD436" s="593"/>
      <c r="AE436" s="1036"/>
      <c r="AF436" s="593"/>
      <c r="AG436" s="593"/>
      <c r="AH436" s="593"/>
      <c r="AI436" s="593"/>
      <c r="AJ436" s="594"/>
      <c r="AK436" s="548"/>
      <c r="AO436" s="961" t="str">
        <f t="shared" si="598"/>
        <v>Qty</v>
      </c>
      <c r="AP436" s="962" t="str">
        <f t="shared" si="598"/>
        <v>[Service]</v>
      </c>
      <c r="AQ436" s="963" t="str">
        <f t="shared" si="599"/>
        <v>[Price]</v>
      </c>
      <c r="AR436" s="967" t="str">
        <f t="shared" si="600"/>
        <v>-</v>
      </c>
      <c r="AS436" s="964" t="str">
        <f t="shared" si="601"/>
        <v>-</v>
      </c>
      <c r="AT436" s="964" t="str">
        <f t="shared" si="602"/>
        <v>-</v>
      </c>
      <c r="AU436" s="964" t="str">
        <f t="shared" si="603"/>
        <v>-</v>
      </c>
      <c r="AV436" s="1350" t="str">
        <f t="shared" si="604"/>
        <v>-</v>
      </c>
      <c r="AW436" s="1343" t="str">
        <f t="shared" si="605"/>
        <v>-</v>
      </c>
      <c r="AX436" s="964" t="str">
        <f t="shared" si="606"/>
        <v>-</v>
      </c>
      <c r="AY436" s="964" t="str">
        <f t="shared" si="607"/>
        <v>-</v>
      </c>
      <c r="AZ436" s="964" t="str">
        <f t="shared" si="608"/>
        <v>-</v>
      </c>
      <c r="BA436" s="965" t="str">
        <f t="shared" si="609"/>
        <v>-</v>
      </c>
      <c r="BB436" s="1343" t="str">
        <f t="shared" si="610"/>
        <v>-</v>
      </c>
      <c r="BC436" s="964" t="str">
        <f t="shared" si="611"/>
        <v>-</v>
      </c>
      <c r="BD436" s="964" t="str">
        <f t="shared" si="612"/>
        <v>-</v>
      </c>
      <c r="BE436" s="964" t="str">
        <f t="shared" si="613"/>
        <v>-</v>
      </c>
      <c r="BF436" s="966" t="str">
        <f t="shared" si="614"/>
        <v>-</v>
      </c>
      <c r="BG436" s="951"/>
      <c r="BH436" s="961" t="str">
        <f t="shared" si="640"/>
        <v>Qty</v>
      </c>
      <c r="BI436" s="962" t="str">
        <f t="shared" si="640"/>
        <v>[Service]</v>
      </c>
      <c r="BJ436" s="963" t="str">
        <f t="shared" si="640"/>
        <v>[Price]</v>
      </c>
      <c r="BK436" s="964" t="str">
        <f t="shared" ref="BK436:BU436" si="683">IF(V436="","-",IFERROR((V436/U436-1)*(U437/U$13),"-"))</f>
        <v>-</v>
      </c>
      <c r="BL436" s="964" t="str">
        <f t="shared" si="683"/>
        <v>-</v>
      </c>
      <c r="BM436" s="964" t="str">
        <f t="shared" si="683"/>
        <v>-</v>
      </c>
      <c r="BN436" s="964" t="str">
        <f t="shared" si="683"/>
        <v>-</v>
      </c>
      <c r="BO436" s="1350" t="str">
        <f t="shared" si="683"/>
        <v>-</v>
      </c>
      <c r="BP436" s="1343" t="str">
        <f t="shared" si="683"/>
        <v>-</v>
      </c>
      <c r="BQ436" s="964" t="str">
        <f t="shared" si="683"/>
        <v>-</v>
      </c>
      <c r="BR436" s="964" t="str">
        <f t="shared" si="683"/>
        <v>-</v>
      </c>
      <c r="BS436" s="964" t="str">
        <f t="shared" si="683"/>
        <v>-</v>
      </c>
      <c r="BT436" s="965" t="str">
        <f t="shared" si="683"/>
        <v>-</v>
      </c>
      <c r="BU436" s="964" t="str">
        <f t="shared" si="683"/>
        <v>-</v>
      </c>
      <c r="BV436" s="964" t="str">
        <f>IF(AG436="","-",IFERROR((AG436/AF436-1)*(AF437/AF$13),"-"))</f>
        <v>-</v>
      </c>
      <c r="BW436" s="964" t="str">
        <f>IF(AH436="","-",IFERROR((AH436/AG436-1)*(AG437/AG$13),"-"))</f>
        <v>-</v>
      </c>
      <c r="BX436" s="964" t="str">
        <f>IF(AI436="","-",IFERROR((AI436/AH436-1)*(AH437/AH$13),"-"))</f>
        <v>-</v>
      </c>
      <c r="BY436" s="966" t="str">
        <f>IF(AJ436="","-",IFERROR((AJ436/AI436-1)*(AI437/AI$13),"-"))</f>
        <v>-</v>
      </c>
      <c r="BZ436" s="951"/>
      <c r="CA436" s="961" t="str">
        <f t="shared" si="594"/>
        <v>Qty</v>
      </c>
      <c r="CB436" s="962" t="str">
        <f t="shared" si="595"/>
        <v>[Service]</v>
      </c>
      <c r="CC436" s="962" t="str">
        <f t="shared" si="596"/>
        <v>[Price]</v>
      </c>
      <c r="CD436" s="967" t="str">
        <f t="shared" si="620"/>
        <v>-</v>
      </c>
      <c r="CE436" s="964" t="str">
        <f t="shared" si="620"/>
        <v>-</v>
      </c>
      <c r="CF436" s="964" t="str">
        <f t="shared" si="620"/>
        <v>-</v>
      </c>
      <c r="CG436" s="965" t="str">
        <f t="shared" si="620"/>
        <v>-</v>
      </c>
      <c r="CH436" s="964" t="str">
        <f t="shared" si="621"/>
        <v>-</v>
      </c>
      <c r="CI436" s="964" t="str">
        <f t="shared" si="621"/>
        <v>-</v>
      </c>
      <c r="CJ436" s="964" t="str">
        <f t="shared" si="621"/>
        <v>-</v>
      </c>
      <c r="CK436" s="966" t="str">
        <f t="shared" si="621"/>
        <v>-</v>
      </c>
    </row>
    <row r="437" spans="4:89" ht="12.75" thickBot="1">
      <c r="E437" s="568" t="s">
        <v>882</v>
      </c>
      <c r="F437" s="560" t="str">
        <f>+F435</f>
        <v>[Service]</v>
      </c>
      <c r="G437" s="561">
        <f>+G435</f>
        <v>0</v>
      </c>
      <c r="H437" s="561">
        <f>+H435</f>
        <v>0</v>
      </c>
      <c r="I437" s="562" t="str">
        <f>+I435</f>
        <v>[Price]</v>
      </c>
      <c r="J437" s="563" t="s">
        <v>883</v>
      </c>
      <c r="K437" s="564">
        <f t="shared" ref="K437:AJ437" si="684">K435*K436/10^6</f>
        <v>0</v>
      </c>
      <c r="L437" s="565">
        <f t="shared" si="684"/>
        <v>0</v>
      </c>
      <c r="M437" s="565">
        <f t="shared" si="684"/>
        <v>0</v>
      </c>
      <c r="N437" s="564">
        <f t="shared" si="684"/>
        <v>0</v>
      </c>
      <c r="O437" s="565">
        <f t="shared" si="684"/>
        <v>0</v>
      </c>
      <c r="P437" s="565">
        <f t="shared" si="684"/>
        <v>0</v>
      </c>
      <c r="Q437" s="565">
        <f t="shared" si="684"/>
        <v>0</v>
      </c>
      <c r="R437" s="566">
        <f t="shared" si="684"/>
        <v>0</v>
      </c>
      <c r="S437" s="564">
        <f t="shared" si="684"/>
        <v>0</v>
      </c>
      <c r="T437" s="565">
        <f t="shared" si="684"/>
        <v>0</v>
      </c>
      <c r="U437" s="566">
        <f t="shared" si="684"/>
        <v>0</v>
      </c>
      <c r="V437" s="565">
        <f t="shared" si="684"/>
        <v>0</v>
      </c>
      <c r="W437" s="565">
        <f t="shared" si="684"/>
        <v>0</v>
      </c>
      <c r="X437" s="565">
        <f t="shared" si="684"/>
        <v>0</v>
      </c>
      <c r="Y437" s="565">
        <f t="shared" si="684"/>
        <v>0</v>
      </c>
      <c r="Z437" s="565">
        <f t="shared" si="684"/>
        <v>0</v>
      </c>
      <c r="AA437" s="564">
        <f t="shared" si="684"/>
        <v>0</v>
      </c>
      <c r="AB437" s="565">
        <f t="shared" si="684"/>
        <v>0</v>
      </c>
      <c r="AC437" s="565">
        <f t="shared" si="684"/>
        <v>0</v>
      </c>
      <c r="AD437" s="565">
        <f t="shared" si="684"/>
        <v>0</v>
      </c>
      <c r="AE437" s="566">
        <f t="shared" si="684"/>
        <v>0</v>
      </c>
      <c r="AF437" s="565">
        <f t="shared" si="684"/>
        <v>0</v>
      </c>
      <c r="AG437" s="565">
        <f>AG435*AG436/10^6</f>
        <v>0</v>
      </c>
      <c r="AH437" s="565">
        <f>AH435*AH436/10^6</f>
        <v>0</v>
      </c>
      <c r="AI437" s="565">
        <f>AI435*AI436/10^6</f>
        <v>0</v>
      </c>
      <c r="AJ437" s="566">
        <f t="shared" si="684"/>
        <v>0</v>
      </c>
      <c r="AK437" s="548"/>
      <c r="AO437" s="984" t="str">
        <f t="shared" si="598"/>
        <v>Rev</v>
      </c>
      <c r="AP437" s="985" t="str">
        <f t="shared" si="598"/>
        <v>[Service]</v>
      </c>
      <c r="AQ437" s="986" t="str">
        <f t="shared" si="599"/>
        <v>[Price]</v>
      </c>
      <c r="AR437" s="990" t="str">
        <f t="shared" si="600"/>
        <v>-</v>
      </c>
      <c r="AS437" s="987" t="str">
        <f t="shared" si="601"/>
        <v>-</v>
      </c>
      <c r="AT437" s="987" t="str">
        <f t="shared" si="602"/>
        <v>-</v>
      </c>
      <c r="AU437" s="987" t="str">
        <f t="shared" si="603"/>
        <v>-</v>
      </c>
      <c r="AV437" s="1353" t="str">
        <f t="shared" si="604"/>
        <v>-</v>
      </c>
      <c r="AW437" s="1346" t="str">
        <f t="shared" si="605"/>
        <v>-</v>
      </c>
      <c r="AX437" s="987" t="str">
        <f t="shared" si="606"/>
        <v>-</v>
      </c>
      <c r="AY437" s="987" t="str">
        <f t="shared" si="607"/>
        <v>-</v>
      </c>
      <c r="AZ437" s="987" t="str">
        <f t="shared" si="608"/>
        <v>-</v>
      </c>
      <c r="BA437" s="988" t="str">
        <f t="shared" si="609"/>
        <v>-</v>
      </c>
      <c r="BB437" s="1346" t="str">
        <f t="shared" si="610"/>
        <v>-</v>
      </c>
      <c r="BC437" s="987" t="str">
        <f t="shared" si="611"/>
        <v>-</v>
      </c>
      <c r="BD437" s="987" t="str">
        <f t="shared" si="612"/>
        <v>-</v>
      </c>
      <c r="BE437" s="987" t="str">
        <f t="shared" si="613"/>
        <v>-</v>
      </c>
      <c r="BF437" s="989" t="str">
        <f t="shared" si="614"/>
        <v>-</v>
      </c>
      <c r="BG437" s="951"/>
      <c r="BH437" s="984" t="str">
        <f t="shared" si="640"/>
        <v>Rev</v>
      </c>
      <c r="BI437" s="985" t="str">
        <f t="shared" si="640"/>
        <v>[Service]</v>
      </c>
      <c r="BJ437" s="986" t="str">
        <f t="shared" si="640"/>
        <v>[Price]</v>
      </c>
      <c r="BK437" s="987" t="str">
        <f t="shared" ref="BK437:BU437" si="685">IF(V437="","-",IFERROR((V437/U437-1)*(U437/U$13),"-"))</f>
        <v>-</v>
      </c>
      <c r="BL437" s="987" t="str">
        <f t="shared" si="685"/>
        <v>-</v>
      </c>
      <c r="BM437" s="987" t="str">
        <f t="shared" si="685"/>
        <v>-</v>
      </c>
      <c r="BN437" s="987" t="str">
        <f t="shared" si="685"/>
        <v>-</v>
      </c>
      <c r="BO437" s="1353" t="str">
        <f t="shared" si="685"/>
        <v>-</v>
      </c>
      <c r="BP437" s="1346" t="str">
        <f t="shared" si="685"/>
        <v>-</v>
      </c>
      <c r="BQ437" s="987" t="str">
        <f t="shared" si="685"/>
        <v>-</v>
      </c>
      <c r="BR437" s="987" t="str">
        <f t="shared" si="685"/>
        <v>-</v>
      </c>
      <c r="BS437" s="987" t="str">
        <f t="shared" si="685"/>
        <v>-</v>
      </c>
      <c r="BT437" s="988" t="str">
        <f t="shared" si="685"/>
        <v>-</v>
      </c>
      <c r="BU437" s="987" t="str">
        <f t="shared" si="685"/>
        <v>-</v>
      </c>
      <c r="BV437" s="987" t="str">
        <f>IF(AG437="","-",IFERROR((AG437/AF437-1)*(AF437/AF$13),"-"))</f>
        <v>-</v>
      </c>
      <c r="BW437" s="987" t="str">
        <f>IF(AH437="","-",IFERROR((AH437/AG437-1)*(AG437/AG$13),"-"))</f>
        <v>-</v>
      </c>
      <c r="BX437" s="987" t="str">
        <f>IF(AI437="","-",IFERROR((AI437/AH437-1)*(AH437/AH$13),"-"))</f>
        <v>-</v>
      </c>
      <c r="BY437" s="989" t="str">
        <f>IF(AJ437="","-",IFERROR((AJ437/AI437-1)*(AI437/AI$13),"-"))</f>
        <v>-</v>
      </c>
      <c r="BZ437" s="951"/>
      <c r="CA437" s="984" t="str">
        <f t="shared" si="594"/>
        <v>Rev</v>
      </c>
      <c r="CB437" s="985" t="str">
        <f t="shared" si="595"/>
        <v>[Service]</v>
      </c>
      <c r="CC437" s="985" t="str">
        <f t="shared" si="596"/>
        <v>[Price]</v>
      </c>
      <c r="CD437" s="990" t="str">
        <f t="shared" si="620"/>
        <v>-</v>
      </c>
      <c r="CE437" s="987" t="str">
        <f t="shared" si="620"/>
        <v>-</v>
      </c>
      <c r="CF437" s="987" t="str">
        <f t="shared" si="620"/>
        <v>-</v>
      </c>
      <c r="CG437" s="988" t="str">
        <f t="shared" si="620"/>
        <v>-</v>
      </c>
      <c r="CH437" s="987" t="str">
        <f t="shared" si="621"/>
        <v>-</v>
      </c>
      <c r="CI437" s="987" t="str">
        <f t="shared" si="621"/>
        <v>-</v>
      </c>
      <c r="CJ437" s="987" t="str">
        <f t="shared" si="621"/>
        <v>-</v>
      </c>
      <c r="CK437" s="989" t="str">
        <f t="shared" si="621"/>
        <v>-</v>
      </c>
    </row>
    <row r="438" spans="4:89">
      <c r="D438" s="63">
        <f>D435+1</f>
        <v>124</v>
      </c>
      <c r="E438" s="550" t="s">
        <v>857</v>
      </c>
      <c r="F438" s="595" t="s">
        <v>428</v>
      </c>
      <c r="G438" s="595"/>
      <c r="H438" s="595"/>
      <c r="I438" s="589" t="s">
        <v>920</v>
      </c>
      <c r="J438" s="589" t="s">
        <v>879</v>
      </c>
      <c r="K438" s="551"/>
      <c r="L438" s="552"/>
      <c r="M438" s="552"/>
      <c r="N438" s="551"/>
      <c r="O438" s="552"/>
      <c r="P438" s="552"/>
      <c r="Q438" s="552"/>
      <c r="R438" s="1035"/>
      <c r="S438" s="1138"/>
      <c r="T438" s="591"/>
      <c r="U438" s="1035"/>
      <c r="V438" s="591"/>
      <c r="W438" s="591"/>
      <c r="X438" s="591"/>
      <c r="Y438" s="591"/>
      <c r="Z438" s="591"/>
      <c r="AA438" s="1138"/>
      <c r="AB438" s="591"/>
      <c r="AC438" s="591"/>
      <c r="AD438" s="591"/>
      <c r="AE438" s="1035"/>
      <c r="AF438" s="591"/>
      <c r="AG438" s="591"/>
      <c r="AH438" s="591"/>
      <c r="AI438" s="591"/>
      <c r="AJ438" s="592"/>
      <c r="AK438" s="548"/>
      <c r="AM438" s="974"/>
      <c r="AO438" s="975" t="str">
        <f t="shared" si="598"/>
        <v>Price</v>
      </c>
      <c r="AP438" s="976" t="str">
        <f t="shared" si="598"/>
        <v>[Service]</v>
      </c>
      <c r="AQ438" s="977" t="str">
        <f t="shared" si="599"/>
        <v>[Price]</v>
      </c>
      <c r="AR438" s="1341" t="str">
        <f t="shared" si="600"/>
        <v>-</v>
      </c>
      <c r="AS438" s="978" t="str">
        <f t="shared" si="601"/>
        <v>-</v>
      </c>
      <c r="AT438" s="979" t="str">
        <f t="shared" si="602"/>
        <v>-</v>
      </c>
      <c r="AU438" s="979" t="str">
        <f t="shared" si="603"/>
        <v>-</v>
      </c>
      <c r="AV438" s="1352" t="str">
        <f t="shared" si="604"/>
        <v>-</v>
      </c>
      <c r="AW438" s="1345" t="str">
        <f t="shared" si="605"/>
        <v>-</v>
      </c>
      <c r="AX438" s="979" t="str">
        <f t="shared" si="606"/>
        <v>-</v>
      </c>
      <c r="AY438" s="979" t="str">
        <f t="shared" si="607"/>
        <v>-</v>
      </c>
      <c r="AZ438" s="979" t="str">
        <f t="shared" si="608"/>
        <v>-</v>
      </c>
      <c r="BA438" s="980" t="str">
        <f t="shared" si="609"/>
        <v>-</v>
      </c>
      <c r="BB438" s="1345" t="str">
        <f t="shared" si="610"/>
        <v>-</v>
      </c>
      <c r="BC438" s="979" t="str">
        <f t="shared" si="611"/>
        <v>-</v>
      </c>
      <c r="BD438" s="979" t="str">
        <f t="shared" si="612"/>
        <v>-</v>
      </c>
      <c r="BE438" s="979" t="str">
        <f t="shared" si="613"/>
        <v>-</v>
      </c>
      <c r="BF438" s="981" t="str">
        <f t="shared" si="614"/>
        <v>-</v>
      </c>
      <c r="BG438" s="951"/>
      <c r="BH438" s="975" t="str">
        <f t="shared" si="640"/>
        <v>Price</v>
      </c>
      <c r="BI438" s="976" t="str">
        <f t="shared" si="640"/>
        <v>[Service]</v>
      </c>
      <c r="BJ438" s="977" t="str">
        <f t="shared" si="640"/>
        <v>[Price]</v>
      </c>
      <c r="BK438" s="978" t="str">
        <f t="shared" ref="BK438:BU438" si="686">IF(V438="","-",IFERROR((V438/U438-1)*(U440/U$13),"-"))</f>
        <v>-</v>
      </c>
      <c r="BL438" s="978" t="str">
        <f t="shared" si="686"/>
        <v>-</v>
      </c>
      <c r="BM438" s="979" t="str">
        <f t="shared" si="686"/>
        <v>-</v>
      </c>
      <c r="BN438" s="979" t="str">
        <f t="shared" si="686"/>
        <v>-</v>
      </c>
      <c r="BO438" s="1352" t="str">
        <f t="shared" si="686"/>
        <v>-</v>
      </c>
      <c r="BP438" s="1345" t="str">
        <f t="shared" si="686"/>
        <v>-</v>
      </c>
      <c r="BQ438" s="979" t="str">
        <f t="shared" si="686"/>
        <v>-</v>
      </c>
      <c r="BR438" s="979" t="str">
        <f t="shared" si="686"/>
        <v>-</v>
      </c>
      <c r="BS438" s="979" t="str">
        <f t="shared" si="686"/>
        <v>-</v>
      </c>
      <c r="BT438" s="980" t="str">
        <f t="shared" si="686"/>
        <v>-</v>
      </c>
      <c r="BU438" s="979" t="str">
        <f t="shared" si="686"/>
        <v>-</v>
      </c>
      <c r="BV438" s="979" t="str">
        <f>IF(AG438="","-",IFERROR((AG438/AF438-1)*(AF440/AF$13),"-"))</f>
        <v>-</v>
      </c>
      <c r="BW438" s="979" t="str">
        <f>IF(AH438="","-",IFERROR((AH438/AG438-1)*(AG440/AG$13),"-"))</f>
        <v>-</v>
      </c>
      <c r="BX438" s="979" t="str">
        <f>IF(AI438="","-",IFERROR((AI438/AH438-1)*(AH440/AH$13),"-"))</f>
        <v>-</v>
      </c>
      <c r="BY438" s="981" t="str">
        <f>IF(AJ438="","-",IFERROR((AJ438/AI438-1)*(AI440/AI$13),"-"))</f>
        <v>-</v>
      </c>
      <c r="BZ438" s="951"/>
      <c r="CA438" s="975" t="str">
        <f t="shared" si="594"/>
        <v>Price</v>
      </c>
      <c r="CB438" s="976" t="str">
        <f t="shared" si="595"/>
        <v>[Service]</v>
      </c>
      <c r="CC438" s="982" t="str">
        <f t="shared" si="596"/>
        <v>[Price]</v>
      </c>
      <c r="CD438" s="983" t="str">
        <f t="shared" si="620"/>
        <v>-</v>
      </c>
      <c r="CE438" s="979" t="str">
        <f t="shared" si="620"/>
        <v>-</v>
      </c>
      <c r="CF438" s="979" t="str">
        <f t="shared" si="620"/>
        <v>-</v>
      </c>
      <c r="CG438" s="980" t="str">
        <f t="shared" si="620"/>
        <v>-</v>
      </c>
      <c r="CH438" s="979" t="str">
        <f t="shared" si="621"/>
        <v>-</v>
      </c>
      <c r="CI438" s="979" t="str">
        <f t="shared" si="621"/>
        <v>-</v>
      </c>
      <c r="CJ438" s="979" t="str">
        <f t="shared" si="621"/>
        <v>-</v>
      </c>
      <c r="CK438" s="981" t="str">
        <f t="shared" si="621"/>
        <v>-</v>
      </c>
    </row>
    <row r="439" spans="4:89">
      <c r="E439" s="567" t="s">
        <v>880</v>
      </c>
      <c r="F439" s="554" t="str">
        <f>+F438</f>
        <v>[Service]</v>
      </c>
      <c r="G439" s="555">
        <f>+G438</f>
        <v>0</v>
      </c>
      <c r="H439" s="555">
        <f>+H438</f>
        <v>0</v>
      </c>
      <c r="I439" s="556" t="str">
        <f>+I438</f>
        <v>[Price]</v>
      </c>
      <c r="J439" s="590" t="s">
        <v>916</v>
      </c>
      <c r="K439" s="557"/>
      <c r="L439" s="558"/>
      <c r="M439" s="558"/>
      <c r="N439" s="557"/>
      <c r="O439" s="558"/>
      <c r="P439" s="558"/>
      <c r="Q439" s="558"/>
      <c r="R439" s="1036"/>
      <c r="S439" s="1139"/>
      <c r="T439" s="593"/>
      <c r="U439" s="1036"/>
      <c r="V439" s="593"/>
      <c r="W439" s="593"/>
      <c r="X439" s="593"/>
      <c r="Y439" s="593"/>
      <c r="Z439" s="593"/>
      <c r="AA439" s="1139"/>
      <c r="AB439" s="593"/>
      <c r="AC439" s="593"/>
      <c r="AD439" s="593"/>
      <c r="AE439" s="1036"/>
      <c r="AF439" s="593"/>
      <c r="AG439" s="593"/>
      <c r="AH439" s="593"/>
      <c r="AI439" s="593"/>
      <c r="AJ439" s="594"/>
      <c r="AK439" s="548"/>
      <c r="AO439" s="961" t="str">
        <f t="shared" si="598"/>
        <v>Qty</v>
      </c>
      <c r="AP439" s="962" t="str">
        <f t="shared" si="598"/>
        <v>[Service]</v>
      </c>
      <c r="AQ439" s="963" t="str">
        <f t="shared" si="599"/>
        <v>[Price]</v>
      </c>
      <c r="AR439" s="967" t="str">
        <f t="shared" si="600"/>
        <v>-</v>
      </c>
      <c r="AS439" s="964" t="str">
        <f t="shared" si="601"/>
        <v>-</v>
      </c>
      <c r="AT439" s="964" t="str">
        <f t="shared" si="602"/>
        <v>-</v>
      </c>
      <c r="AU439" s="964" t="str">
        <f t="shared" si="603"/>
        <v>-</v>
      </c>
      <c r="AV439" s="1350" t="str">
        <f t="shared" si="604"/>
        <v>-</v>
      </c>
      <c r="AW439" s="1343" t="str">
        <f t="shared" si="605"/>
        <v>-</v>
      </c>
      <c r="AX439" s="964" t="str">
        <f t="shared" si="606"/>
        <v>-</v>
      </c>
      <c r="AY439" s="964" t="str">
        <f t="shared" si="607"/>
        <v>-</v>
      </c>
      <c r="AZ439" s="964" t="str">
        <f t="shared" si="608"/>
        <v>-</v>
      </c>
      <c r="BA439" s="965" t="str">
        <f t="shared" si="609"/>
        <v>-</v>
      </c>
      <c r="BB439" s="1343" t="str">
        <f t="shared" si="610"/>
        <v>-</v>
      </c>
      <c r="BC439" s="964" t="str">
        <f t="shared" si="611"/>
        <v>-</v>
      </c>
      <c r="BD439" s="964" t="str">
        <f t="shared" si="612"/>
        <v>-</v>
      </c>
      <c r="BE439" s="964" t="str">
        <f t="shared" si="613"/>
        <v>-</v>
      </c>
      <c r="BF439" s="966" t="str">
        <f t="shared" si="614"/>
        <v>-</v>
      </c>
      <c r="BG439" s="951"/>
      <c r="BH439" s="961" t="str">
        <f t="shared" si="640"/>
        <v>Qty</v>
      </c>
      <c r="BI439" s="962" t="str">
        <f t="shared" si="640"/>
        <v>[Service]</v>
      </c>
      <c r="BJ439" s="963" t="str">
        <f t="shared" si="640"/>
        <v>[Price]</v>
      </c>
      <c r="BK439" s="964" t="str">
        <f t="shared" ref="BK439:BU439" si="687">IF(V439="","-",IFERROR((V439/U439-1)*(U440/U$13),"-"))</f>
        <v>-</v>
      </c>
      <c r="BL439" s="964" t="str">
        <f t="shared" si="687"/>
        <v>-</v>
      </c>
      <c r="BM439" s="964" t="str">
        <f t="shared" si="687"/>
        <v>-</v>
      </c>
      <c r="BN439" s="964" t="str">
        <f t="shared" si="687"/>
        <v>-</v>
      </c>
      <c r="BO439" s="1350" t="str">
        <f t="shared" si="687"/>
        <v>-</v>
      </c>
      <c r="BP439" s="1343" t="str">
        <f t="shared" si="687"/>
        <v>-</v>
      </c>
      <c r="BQ439" s="964" t="str">
        <f t="shared" si="687"/>
        <v>-</v>
      </c>
      <c r="BR439" s="964" t="str">
        <f t="shared" si="687"/>
        <v>-</v>
      </c>
      <c r="BS439" s="964" t="str">
        <f t="shared" si="687"/>
        <v>-</v>
      </c>
      <c r="BT439" s="965" t="str">
        <f t="shared" si="687"/>
        <v>-</v>
      </c>
      <c r="BU439" s="964" t="str">
        <f t="shared" si="687"/>
        <v>-</v>
      </c>
      <c r="BV439" s="964" t="str">
        <f>IF(AG439="","-",IFERROR((AG439/AF439-1)*(AF440/AF$13),"-"))</f>
        <v>-</v>
      </c>
      <c r="BW439" s="964" t="str">
        <f>IF(AH439="","-",IFERROR((AH439/AG439-1)*(AG440/AG$13),"-"))</f>
        <v>-</v>
      </c>
      <c r="BX439" s="964" t="str">
        <f>IF(AI439="","-",IFERROR((AI439/AH439-1)*(AH440/AH$13),"-"))</f>
        <v>-</v>
      </c>
      <c r="BY439" s="966" t="str">
        <f>IF(AJ439="","-",IFERROR((AJ439/AI439-1)*(AI440/AI$13),"-"))</f>
        <v>-</v>
      </c>
      <c r="BZ439" s="951"/>
      <c r="CA439" s="961" t="str">
        <f t="shared" si="594"/>
        <v>Qty</v>
      </c>
      <c r="CB439" s="962" t="str">
        <f t="shared" si="595"/>
        <v>[Service]</v>
      </c>
      <c r="CC439" s="962" t="str">
        <f t="shared" si="596"/>
        <v>[Price]</v>
      </c>
      <c r="CD439" s="967" t="str">
        <f t="shared" si="620"/>
        <v>-</v>
      </c>
      <c r="CE439" s="964" t="str">
        <f t="shared" si="620"/>
        <v>-</v>
      </c>
      <c r="CF439" s="964" t="str">
        <f t="shared" si="620"/>
        <v>-</v>
      </c>
      <c r="CG439" s="965" t="str">
        <f t="shared" si="620"/>
        <v>-</v>
      </c>
      <c r="CH439" s="964" t="str">
        <f t="shared" si="621"/>
        <v>-</v>
      </c>
      <c r="CI439" s="964" t="str">
        <f t="shared" si="621"/>
        <v>-</v>
      </c>
      <c r="CJ439" s="964" t="str">
        <f t="shared" si="621"/>
        <v>-</v>
      </c>
      <c r="CK439" s="966" t="str">
        <f t="shared" si="621"/>
        <v>-</v>
      </c>
    </row>
    <row r="440" spans="4:89" ht="12.75" thickBot="1">
      <c r="E440" s="568" t="s">
        <v>882</v>
      </c>
      <c r="F440" s="560" t="str">
        <f>+F438</f>
        <v>[Service]</v>
      </c>
      <c r="G440" s="561">
        <f>+G438</f>
        <v>0</v>
      </c>
      <c r="H440" s="561">
        <f>+H438</f>
        <v>0</v>
      </c>
      <c r="I440" s="562" t="str">
        <f>+I438</f>
        <v>[Price]</v>
      </c>
      <c r="J440" s="563" t="s">
        <v>883</v>
      </c>
      <c r="K440" s="564">
        <f t="shared" ref="K440:AJ440" si="688">K438*K439/10^6</f>
        <v>0</v>
      </c>
      <c r="L440" s="565">
        <f t="shared" si="688"/>
        <v>0</v>
      </c>
      <c r="M440" s="565">
        <f t="shared" si="688"/>
        <v>0</v>
      </c>
      <c r="N440" s="564">
        <f t="shared" si="688"/>
        <v>0</v>
      </c>
      <c r="O440" s="565">
        <f t="shared" si="688"/>
        <v>0</v>
      </c>
      <c r="P440" s="565">
        <f t="shared" si="688"/>
        <v>0</v>
      </c>
      <c r="Q440" s="565">
        <f t="shared" si="688"/>
        <v>0</v>
      </c>
      <c r="R440" s="566">
        <f t="shared" si="688"/>
        <v>0</v>
      </c>
      <c r="S440" s="564">
        <f t="shared" si="688"/>
        <v>0</v>
      </c>
      <c r="T440" s="565">
        <f t="shared" si="688"/>
        <v>0</v>
      </c>
      <c r="U440" s="566">
        <f t="shared" si="688"/>
        <v>0</v>
      </c>
      <c r="V440" s="565">
        <f t="shared" si="688"/>
        <v>0</v>
      </c>
      <c r="W440" s="565">
        <f t="shared" si="688"/>
        <v>0</v>
      </c>
      <c r="X440" s="565">
        <f t="shared" si="688"/>
        <v>0</v>
      </c>
      <c r="Y440" s="565">
        <f t="shared" si="688"/>
        <v>0</v>
      </c>
      <c r="Z440" s="565">
        <f t="shared" si="688"/>
        <v>0</v>
      </c>
      <c r="AA440" s="564">
        <f t="shared" si="688"/>
        <v>0</v>
      </c>
      <c r="AB440" s="565">
        <f t="shared" si="688"/>
        <v>0</v>
      </c>
      <c r="AC440" s="565">
        <f t="shared" si="688"/>
        <v>0</v>
      </c>
      <c r="AD440" s="565">
        <f t="shared" si="688"/>
        <v>0</v>
      </c>
      <c r="AE440" s="566">
        <f t="shared" si="688"/>
        <v>0</v>
      </c>
      <c r="AF440" s="565">
        <f t="shared" si="688"/>
        <v>0</v>
      </c>
      <c r="AG440" s="565">
        <f>AG438*AG439/10^6</f>
        <v>0</v>
      </c>
      <c r="AH440" s="565">
        <f>AH438*AH439/10^6</f>
        <v>0</v>
      </c>
      <c r="AI440" s="565">
        <f>AI438*AI439/10^6</f>
        <v>0</v>
      </c>
      <c r="AJ440" s="566">
        <f t="shared" si="688"/>
        <v>0</v>
      </c>
      <c r="AK440" s="548"/>
      <c r="AO440" s="984" t="str">
        <f t="shared" si="598"/>
        <v>Rev</v>
      </c>
      <c r="AP440" s="985" t="str">
        <f t="shared" si="598"/>
        <v>[Service]</v>
      </c>
      <c r="AQ440" s="986" t="str">
        <f t="shared" si="599"/>
        <v>[Price]</v>
      </c>
      <c r="AR440" s="990" t="str">
        <f t="shared" si="600"/>
        <v>-</v>
      </c>
      <c r="AS440" s="987" t="str">
        <f t="shared" si="601"/>
        <v>-</v>
      </c>
      <c r="AT440" s="987" t="str">
        <f t="shared" si="602"/>
        <v>-</v>
      </c>
      <c r="AU440" s="987" t="str">
        <f t="shared" si="603"/>
        <v>-</v>
      </c>
      <c r="AV440" s="1353" t="str">
        <f t="shared" si="604"/>
        <v>-</v>
      </c>
      <c r="AW440" s="1346" t="str">
        <f t="shared" si="605"/>
        <v>-</v>
      </c>
      <c r="AX440" s="987" t="str">
        <f t="shared" si="606"/>
        <v>-</v>
      </c>
      <c r="AY440" s="987" t="str">
        <f t="shared" si="607"/>
        <v>-</v>
      </c>
      <c r="AZ440" s="987" t="str">
        <f t="shared" si="608"/>
        <v>-</v>
      </c>
      <c r="BA440" s="988" t="str">
        <f t="shared" si="609"/>
        <v>-</v>
      </c>
      <c r="BB440" s="1346" t="str">
        <f t="shared" si="610"/>
        <v>-</v>
      </c>
      <c r="BC440" s="987" t="str">
        <f t="shared" si="611"/>
        <v>-</v>
      </c>
      <c r="BD440" s="987" t="str">
        <f t="shared" si="612"/>
        <v>-</v>
      </c>
      <c r="BE440" s="987" t="str">
        <f t="shared" si="613"/>
        <v>-</v>
      </c>
      <c r="BF440" s="989" t="str">
        <f t="shared" si="614"/>
        <v>-</v>
      </c>
      <c r="BG440" s="951"/>
      <c r="BH440" s="984" t="str">
        <f t="shared" si="640"/>
        <v>Rev</v>
      </c>
      <c r="BI440" s="985" t="str">
        <f t="shared" si="640"/>
        <v>[Service]</v>
      </c>
      <c r="BJ440" s="986" t="str">
        <f t="shared" si="640"/>
        <v>[Price]</v>
      </c>
      <c r="BK440" s="987" t="str">
        <f t="shared" ref="BK440:BU440" si="689">IF(V440="","-",IFERROR((V440/U440-1)*(U440/U$13),"-"))</f>
        <v>-</v>
      </c>
      <c r="BL440" s="987" t="str">
        <f t="shared" si="689"/>
        <v>-</v>
      </c>
      <c r="BM440" s="987" t="str">
        <f t="shared" si="689"/>
        <v>-</v>
      </c>
      <c r="BN440" s="987" t="str">
        <f t="shared" si="689"/>
        <v>-</v>
      </c>
      <c r="BO440" s="1353" t="str">
        <f t="shared" si="689"/>
        <v>-</v>
      </c>
      <c r="BP440" s="1346" t="str">
        <f t="shared" si="689"/>
        <v>-</v>
      </c>
      <c r="BQ440" s="987" t="str">
        <f t="shared" si="689"/>
        <v>-</v>
      </c>
      <c r="BR440" s="987" t="str">
        <f t="shared" si="689"/>
        <v>-</v>
      </c>
      <c r="BS440" s="987" t="str">
        <f t="shared" si="689"/>
        <v>-</v>
      </c>
      <c r="BT440" s="988" t="str">
        <f t="shared" si="689"/>
        <v>-</v>
      </c>
      <c r="BU440" s="987" t="str">
        <f t="shared" si="689"/>
        <v>-</v>
      </c>
      <c r="BV440" s="987" t="str">
        <f>IF(AG440="","-",IFERROR((AG440/AF440-1)*(AF440/AF$13),"-"))</f>
        <v>-</v>
      </c>
      <c r="BW440" s="987" t="str">
        <f>IF(AH440="","-",IFERROR((AH440/AG440-1)*(AG440/AG$13),"-"))</f>
        <v>-</v>
      </c>
      <c r="BX440" s="987" t="str">
        <f>IF(AI440="","-",IFERROR((AI440/AH440-1)*(AH440/AH$13),"-"))</f>
        <v>-</v>
      </c>
      <c r="BY440" s="989" t="str">
        <f>IF(AJ440="","-",IFERROR((AJ440/AI440-1)*(AI440/AI$13),"-"))</f>
        <v>-</v>
      </c>
      <c r="BZ440" s="951"/>
      <c r="CA440" s="984" t="str">
        <f t="shared" si="594"/>
        <v>Rev</v>
      </c>
      <c r="CB440" s="985" t="str">
        <f t="shared" si="595"/>
        <v>[Service]</v>
      </c>
      <c r="CC440" s="985" t="str">
        <f t="shared" si="596"/>
        <v>[Price]</v>
      </c>
      <c r="CD440" s="990" t="str">
        <f t="shared" si="620"/>
        <v>-</v>
      </c>
      <c r="CE440" s="987" t="str">
        <f t="shared" si="620"/>
        <v>-</v>
      </c>
      <c r="CF440" s="987" t="str">
        <f t="shared" si="620"/>
        <v>-</v>
      </c>
      <c r="CG440" s="988" t="str">
        <f t="shared" si="620"/>
        <v>-</v>
      </c>
      <c r="CH440" s="987" t="str">
        <f t="shared" si="621"/>
        <v>-</v>
      </c>
      <c r="CI440" s="987" t="str">
        <f t="shared" si="621"/>
        <v>-</v>
      </c>
      <c r="CJ440" s="987" t="str">
        <f t="shared" si="621"/>
        <v>-</v>
      </c>
      <c r="CK440" s="989" t="str">
        <f t="shared" si="621"/>
        <v>-</v>
      </c>
    </row>
    <row r="441" spans="4:89">
      <c r="D441" s="63">
        <f>D438+1</f>
        <v>125</v>
      </c>
      <c r="E441" s="550" t="s">
        <v>857</v>
      </c>
      <c r="F441" s="595" t="s">
        <v>428</v>
      </c>
      <c r="G441" s="595"/>
      <c r="H441" s="595"/>
      <c r="I441" s="589" t="s">
        <v>920</v>
      </c>
      <c r="J441" s="589" t="s">
        <v>879</v>
      </c>
      <c r="K441" s="551"/>
      <c r="L441" s="552"/>
      <c r="M441" s="552"/>
      <c r="N441" s="551"/>
      <c r="O441" s="552"/>
      <c r="P441" s="552"/>
      <c r="Q441" s="552"/>
      <c r="R441" s="1035"/>
      <c r="S441" s="1138"/>
      <c r="T441" s="591"/>
      <c r="U441" s="1035"/>
      <c r="V441" s="591"/>
      <c r="W441" s="591"/>
      <c r="X441" s="591"/>
      <c r="Y441" s="591"/>
      <c r="Z441" s="591"/>
      <c r="AA441" s="1138"/>
      <c r="AB441" s="591"/>
      <c r="AC441" s="591"/>
      <c r="AD441" s="591"/>
      <c r="AE441" s="1035"/>
      <c r="AF441" s="591"/>
      <c r="AG441" s="591"/>
      <c r="AH441" s="591"/>
      <c r="AI441" s="591"/>
      <c r="AJ441" s="592"/>
      <c r="AK441" s="548"/>
      <c r="AM441" s="974"/>
      <c r="AO441" s="975" t="str">
        <f t="shared" si="598"/>
        <v>Price</v>
      </c>
      <c r="AP441" s="976" t="str">
        <f t="shared" si="598"/>
        <v>[Service]</v>
      </c>
      <c r="AQ441" s="977" t="str">
        <f t="shared" si="599"/>
        <v>[Price]</v>
      </c>
      <c r="AR441" s="1341" t="str">
        <f t="shared" si="600"/>
        <v>-</v>
      </c>
      <c r="AS441" s="978" t="str">
        <f t="shared" si="601"/>
        <v>-</v>
      </c>
      <c r="AT441" s="979" t="str">
        <f t="shared" si="602"/>
        <v>-</v>
      </c>
      <c r="AU441" s="979" t="str">
        <f t="shared" si="603"/>
        <v>-</v>
      </c>
      <c r="AV441" s="1352" t="str">
        <f t="shared" si="604"/>
        <v>-</v>
      </c>
      <c r="AW441" s="1345" t="str">
        <f t="shared" si="605"/>
        <v>-</v>
      </c>
      <c r="AX441" s="979" t="str">
        <f t="shared" si="606"/>
        <v>-</v>
      </c>
      <c r="AY441" s="979" t="str">
        <f t="shared" si="607"/>
        <v>-</v>
      </c>
      <c r="AZ441" s="979" t="str">
        <f t="shared" si="608"/>
        <v>-</v>
      </c>
      <c r="BA441" s="980" t="str">
        <f t="shared" si="609"/>
        <v>-</v>
      </c>
      <c r="BB441" s="1345" t="str">
        <f t="shared" si="610"/>
        <v>-</v>
      </c>
      <c r="BC441" s="979" t="str">
        <f t="shared" si="611"/>
        <v>-</v>
      </c>
      <c r="BD441" s="979" t="str">
        <f t="shared" si="612"/>
        <v>-</v>
      </c>
      <c r="BE441" s="979" t="str">
        <f t="shared" si="613"/>
        <v>-</v>
      </c>
      <c r="BF441" s="981" t="str">
        <f t="shared" si="614"/>
        <v>-</v>
      </c>
      <c r="BG441" s="951"/>
      <c r="BH441" s="975" t="str">
        <f t="shared" si="640"/>
        <v>Price</v>
      </c>
      <c r="BI441" s="976" t="str">
        <f t="shared" si="640"/>
        <v>[Service]</v>
      </c>
      <c r="BJ441" s="977" t="str">
        <f t="shared" si="640"/>
        <v>[Price]</v>
      </c>
      <c r="BK441" s="978" t="str">
        <f t="shared" ref="BK441:BU441" si="690">IF(V441="","-",IFERROR((V441/U441-1)*(U443/U$13),"-"))</f>
        <v>-</v>
      </c>
      <c r="BL441" s="978" t="str">
        <f t="shared" si="690"/>
        <v>-</v>
      </c>
      <c r="BM441" s="979" t="str">
        <f t="shared" si="690"/>
        <v>-</v>
      </c>
      <c r="BN441" s="979" t="str">
        <f t="shared" si="690"/>
        <v>-</v>
      </c>
      <c r="BO441" s="1352" t="str">
        <f t="shared" si="690"/>
        <v>-</v>
      </c>
      <c r="BP441" s="1345" t="str">
        <f t="shared" si="690"/>
        <v>-</v>
      </c>
      <c r="BQ441" s="979" t="str">
        <f t="shared" si="690"/>
        <v>-</v>
      </c>
      <c r="BR441" s="979" t="str">
        <f t="shared" si="690"/>
        <v>-</v>
      </c>
      <c r="BS441" s="979" t="str">
        <f t="shared" si="690"/>
        <v>-</v>
      </c>
      <c r="BT441" s="980" t="str">
        <f t="shared" si="690"/>
        <v>-</v>
      </c>
      <c r="BU441" s="979" t="str">
        <f t="shared" si="690"/>
        <v>-</v>
      </c>
      <c r="BV441" s="979" t="str">
        <f>IF(AG441="","-",IFERROR((AG441/AF441-1)*(AF443/AF$13),"-"))</f>
        <v>-</v>
      </c>
      <c r="BW441" s="979" t="str">
        <f>IF(AH441="","-",IFERROR((AH441/AG441-1)*(AG443/AG$13),"-"))</f>
        <v>-</v>
      </c>
      <c r="BX441" s="979" t="str">
        <f>IF(AI441="","-",IFERROR((AI441/AH441-1)*(AH443/AH$13),"-"))</f>
        <v>-</v>
      </c>
      <c r="BY441" s="981" t="str">
        <f>IF(AJ441="","-",IFERROR((AJ441/AI441-1)*(AI443/AI$13),"-"))</f>
        <v>-</v>
      </c>
      <c r="BZ441" s="951"/>
      <c r="CA441" s="975" t="str">
        <f t="shared" si="594"/>
        <v>Price</v>
      </c>
      <c r="CB441" s="976" t="str">
        <f t="shared" si="595"/>
        <v>[Service]</v>
      </c>
      <c r="CC441" s="982" t="str">
        <f t="shared" si="596"/>
        <v>[Price]</v>
      </c>
      <c r="CD441" s="983" t="str">
        <f t="shared" si="620"/>
        <v>-</v>
      </c>
      <c r="CE441" s="979" t="str">
        <f t="shared" si="620"/>
        <v>-</v>
      </c>
      <c r="CF441" s="979" t="str">
        <f t="shared" si="620"/>
        <v>-</v>
      </c>
      <c r="CG441" s="980" t="str">
        <f t="shared" si="620"/>
        <v>-</v>
      </c>
      <c r="CH441" s="979" t="str">
        <f t="shared" si="621"/>
        <v>-</v>
      </c>
      <c r="CI441" s="979" t="str">
        <f t="shared" si="621"/>
        <v>-</v>
      </c>
      <c r="CJ441" s="979" t="str">
        <f t="shared" si="621"/>
        <v>-</v>
      </c>
      <c r="CK441" s="981" t="str">
        <f t="shared" si="621"/>
        <v>-</v>
      </c>
    </row>
    <row r="442" spans="4:89">
      <c r="E442" s="567" t="s">
        <v>880</v>
      </c>
      <c r="F442" s="554" t="str">
        <f>+F441</f>
        <v>[Service]</v>
      </c>
      <c r="G442" s="555">
        <f>+G441</f>
        <v>0</v>
      </c>
      <c r="H442" s="555">
        <f>+H441</f>
        <v>0</v>
      </c>
      <c r="I442" s="556" t="str">
        <f>+I441</f>
        <v>[Price]</v>
      </c>
      <c r="J442" s="590" t="s">
        <v>916</v>
      </c>
      <c r="K442" s="557"/>
      <c r="L442" s="558"/>
      <c r="M442" s="558"/>
      <c r="N442" s="557"/>
      <c r="O442" s="558"/>
      <c r="P442" s="558"/>
      <c r="Q442" s="558"/>
      <c r="R442" s="1036"/>
      <c r="S442" s="1139"/>
      <c r="T442" s="593"/>
      <c r="U442" s="1036"/>
      <c r="V442" s="593"/>
      <c r="W442" s="593"/>
      <c r="X442" s="593"/>
      <c r="Y442" s="593"/>
      <c r="Z442" s="593"/>
      <c r="AA442" s="1139"/>
      <c r="AB442" s="593"/>
      <c r="AC442" s="593"/>
      <c r="AD442" s="593"/>
      <c r="AE442" s="1036"/>
      <c r="AF442" s="593"/>
      <c r="AG442" s="593"/>
      <c r="AH442" s="593"/>
      <c r="AI442" s="593"/>
      <c r="AJ442" s="594"/>
      <c r="AK442" s="548"/>
      <c r="AO442" s="961" t="str">
        <f t="shared" si="598"/>
        <v>Qty</v>
      </c>
      <c r="AP442" s="962" t="str">
        <f t="shared" si="598"/>
        <v>[Service]</v>
      </c>
      <c r="AQ442" s="963" t="str">
        <f t="shared" si="599"/>
        <v>[Price]</v>
      </c>
      <c r="AR442" s="967" t="str">
        <f t="shared" si="600"/>
        <v>-</v>
      </c>
      <c r="AS442" s="964" t="str">
        <f t="shared" si="601"/>
        <v>-</v>
      </c>
      <c r="AT442" s="964" t="str">
        <f t="shared" si="602"/>
        <v>-</v>
      </c>
      <c r="AU442" s="964" t="str">
        <f t="shared" si="603"/>
        <v>-</v>
      </c>
      <c r="AV442" s="1350" t="str">
        <f t="shared" si="604"/>
        <v>-</v>
      </c>
      <c r="AW442" s="1343" t="str">
        <f t="shared" si="605"/>
        <v>-</v>
      </c>
      <c r="AX442" s="964" t="str">
        <f t="shared" si="606"/>
        <v>-</v>
      </c>
      <c r="AY442" s="964" t="str">
        <f t="shared" si="607"/>
        <v>-</v>
      </c>
      <c r="AZ442" s="964" t="str">
        <f t="shared" si="608"/>
        <v>-</v>
      </c>
      <c r="BA442" s="965" t="str">
        <f t="shared" si="609"/>
        <v>-</v>
      </c>
      <c r="BB442" s="1343" t="str">
        <f t="shared" si="610"/>
        <v>-</v>
      </c>
      <c r="BC442" s="964" t="str">
        <f t="shared" si="611"/>
        <v>-</v>
      </c>
      <c r="BD442" s="964" t="str">
        <f t="shared" si="612"/>
        <v>-</v>
      </c>
      <c r="BE442" s="964" t="str">
        <f t="shared" si="613"/>
        <v>-</v>
      </c>
      <c r="BF442" s="966" t="str">
        <f t="shared" si="614"/>
        <v>-</v>
      </c>
      <c r="BG442" s="951"/>
      <c r="BH442" s="961" t="str">
        <f t="shared" si="640"/>
        <v>Qty</v>
      </c>
      <c r="BI442" s="962" t="str">
        <f t="shared" si="640"/>
        <v>[Service]</v>
      </c>
      <c r="BJ442" s="963" t="str">
        <f t="shared" si="640"/>
        <v>[Price]</v>
      </c>
      <c r="BK442" s="964" t="str">
        <f t="shared" ref="BK442:BU442" si="691">IF(V442="","-",IFERROR((V442/U442-1)*(U443/U$13),"-"))</f>
        <v>-</v>
      </c>
      <c r="BL442" s="964" t="str">
        <f t="shared" si="691"/>
        <v>-</v>
      </c>
      <c r="BM442" s="964" t="str">
        <f t="shared" si="691"/>
        <v>-</v>
      </c>
      <c r="BN442" s="964" t="str">
        <f t="shared" si="691"/>
        <v>-</v>
      </c>
      <c r="BO442" s="1350" t="str">
        <f t="shared" si="691"/>
        <v>-</v>
      </c>
      <c r="BP442" s="1343" t="str">
        <f t="shared" si="691"/>
        <v>-</v>
      </c>
      <c r="BQ442" s="964" t="str">
        <f t="shared" si="691"/>
        <v>-</v>
      </c>
      <c r="BR442" s="964" t="str">
        <f t="shared" si="691"/>
        <v>-</v>
      </c>
      <c r="BS442" s="964" t="str">
        <f t="shared" si="691"/>
        <v>-</v>
      </c>
      <c r="BT442" s="965" t="str">
        <f t="shared" si="691"/>
        <v>-</v>
      </c>
      <c r="BU442" s="964" t="str">
        <f t="shared" si="691"/>
        <v>-</v>
      </c>
      <c r="BV442" s="964" t="str">
        <f>IF(AG442="","-",IFERROR((AG442/AF442-1)*(AF443/AF$13),"-"))</f>
        <v>-</v>
      </c>
      <c r="BW442" s="964" t="str">
        <f>IF(AH442="","-",IFERROR((AH442/AG442-1)*(AG443/AG$13),"-"))</f>
        <v>-</v>
      </c>
      <c r="BX442" s="964" t="str">
        <f>IF(AI442="","-",IFERROR((AI442/AH442-1)*(AH443/AH$13),"-"))</f>
        <v>-</v>
      </c>
      <c r="BY442" s="966" t="str">
        <f>IF(AJ442="","-",IFERROR((AJ442/AI442-1)*(AI443/AI$13),"-"))</f>
        <v>-</v>
      </c>
      <c r="BZ442" s="951"/>
      <c r="CA442" s="961" t="str">
        <f t="shared" si="594"/>
        <v>Qty</v>
      </c>
      <c r="CB442" s="962" t="str">
        <f t="shared" si="595"/>
        <v>[Service]</v>
      </c>
      <c r="CC442" s="962" t="str">
        <f t="shared" si="596"/>
        <v>[Price]</v>
      </c>
      <c r="CD442" s="967" t="str">
        <f t="shared" si="620"/>
        <v>-</v>
      </c>
      <c r="CE442" s="964" t="str">
        <f t="shared" si="620"/>
        <v>-</v>
      </c>
      <c r="CF442" s="964" t="str">
        <f t="shared" si="620"/>
        <v>-</v>
      </c>
      <c r="CG442" s="965" t="str">
        <f t="shared" si="620"/>
        <v>-</v>
      </c>
      <c r="CH442" s="964" t="str">
        <f t="shared" si="621"/>
        <v>-</v>
      </c>
      <c r="CI442" s="964" t="str">
        <f t="shared" si="621"/>
        <v>-</v>
      </c>
      <c r="CJ442" s="964" t="str">
        <f t="shared" si="621"/>
        <v>-</v>
      </c>
      <c r="CK442" s="966" t="str">
        <f t="shared" si="621"/>
        <v>-</v>
      </c>
    </row>
    <row r="443" spans="4:89" ht="12.75" thickBot="1">
      <c r="E443" s="568" t="s">
        <v>882</v>
      </c>
      <c r="F443" s="560" t="str">
        <f>+F441</f>
        <v>[Service]</v>
      </c>
      <c r="G443" s="561">
        <f>+G441</f>
        <v>0</v>
      </c>
      <c r="H443" s="561">
        <f>+H441</f>
        <v>0</v>
      </c>
      <c r="I443" s="562" t="str">
        <f>+I441</f>
        <v>[Price]</v>
      </c>
      <c r="J443" s="563" t="s">
        <v>883</v>
      </c>
      <c r="K443" s="564">
        <f t="shared" ref="K443:AJ443" si="692">K441*K442/10^6</f>
        <v>0</v>
      </c>
      <c r="L443" s="565">
        <f t="shared" si="692"/>
        <v>0</v>
      </c>
      <c r="M443" s="565">
        <f t="shared" si="692"/>
        <v>0</v>
      </c>
      <c r="N443" s="564">
        <f t="shared" si="692"/>
        <v>0</v>
      </c>
      <c r="O443" s="565">
        <f t="shared" si="692"/>
        <v>0</v>
      </c>
      <c r="P443" s="565">
        <f t="shared" si="692"/>
        <v>0</v>
      </c>
      <c r="Q443" s="565">
        <f t="shared" si="692"/>
        <v>0</v>
      </c>
      <c r="R443" s="566">
        <f t="shared" si="692"/>
        <v>0</v>
      </c>
      <c r="S443" s="564">
        <f t="shared" si="692"/>
        <v>0</v>
      </c>
      <c r="T443" s="565">
        <f t="shared" si="692"/>
        <v>0</v>
      </c>
      <c r="U443" s="566">
        <f t="shared" si="692"/>
        <v>0</v>
      </c>
      <c r="V443" s="565">
        <f t="shared" si="692"/>
        <v>0</v>
      </c>
      <c r="W443" s="565">
        <f t="shared" si="692"/>
        <v>0</v>
      </c>
      <c r="X443" s="565">
        <f t="shared" si="692"/>
        <v>0</v>
      </c>
      <c r="Y443" s="565">
        <f t="shared" si="692"/>
        <v>0</v>
      </c>
      <c r="Z443" s="565">
        <f t="shared" si="692"/>
        <v>0</v>
      </c>
      <c r="AA443" s="564">
        <f t="shared" si="692"/>
        <v>0</v>
      </c>
      <c r="AB443" s="565">
        <f t="shared" si="692"/>
        <v>0</v>
      </c>
      <c r="AC443" s="565">
        <f t="shared" si="692"/>
        <v>0</v>
      </c>
      <c r="AD443" s="565">
        <f t="shared" si="692"/>
        <v>0</v>
      </c>
      <c r="AE443" s="566">
        <f t="shared" si="692"/>
        <v>0</v>
      </c>
      <c r="AF443" s="565">
        <f t="shared" si="692"/>
        <v>0</v>
      </c>
      <c r="AG443" s="565">
        <f>AG441*AG442/10^6</f>
        <v>0</v>
      </c>
      <c r="AH443" s="565">
        <f>AH441*AH442/10^6</f>
        <v>0</v>
      </c>
      <c r="AI443" s="565">
        <f>AI441*AI442/10^6</f>
        <v>0</v>
      </c>
      <c r="AJ443" s="566">
        <f t="shared" si="692"/>
        <v>0</v>
      </c>
      <c r="AK443" s="548"/>
      <c r="AO443" s="568" t="str">
        <f t="shared" si="598"/>
        <v>Rev</v>
      </c>
      <c r="AP443" s="991" t="str">
        <f t="shared" si="598"/>
        <v>[Service]</v>
      </c>
      <c r="AQ443" s="992" t="str">
        <f t="shared" si="599"/>
        <v>[Price]</v>
      </c>
      <c r="AR443" s="996" t="str">
        <f t="shared" si="600"/>
        <v>-</v>
      </c>
      <c r="AS443" s="993" t="str">
        <f t="shared" si="601"/>
        <v>-</v>
      </c>
      <c r="AT443" s="993" t="str">
        <f t="shared" si="602"/>
        <v>-</v>
      </c>
      <c r="AU443" s="993" t="str">
        <f t="shared" si="603"/>
        <v>-</v>
      </c>
      <c r="AV443" s="1354" t="str">
        <f t="shared" si="604"/>
        <v>-</v>
      </c>
      <c r="AW443" s="1347" t="str">
        <f t="shared" si="605"/>
        <v>-</v>
      </c>
      <c r="AX443" s="993" t="str">
        <f t="shared" si="606"/>
        <v>-</v>
      </c>
      <c r="AY443" s="993" t="str">
        <f t="shared" si="607"/>
        <v>-</v>
      </c>
      <c r="AZ443" s="993" t="str">
        <f t="shared" si="608"/>
        <v>-</v>
      </c>
      <c r="BA443" s="994" t="str">
        <f t="shared" si="609"/>
        <v>-</v>
      </c>
      <c r="BB443" s="1347" t="str">
        <f t="shared" si="610"/>
        <v>-</v>
      </c>
      <c r="BC443" s="993" t="str">
        <f t="shared" si="611"/>
        <v>-</v>
      </c>
      <c r="BD443" s="993" t="str">
        <f t="shared" si="612"/>
        <v>-</v>
      </c>
      <c r="BE443" s="993" t="str">
        <f t="shared" si="613"/>
        <v>-</v>
      </c>
      <c r="BF443" s="995" t="str">
        <f t="shared" si="614"/>
        <v>-</v>
      </c>
      <c r="BG443" s="951"/>
      <c r="BH443" s="568" t="str">
        <f t="shared" si="640"/>
        <v>Rev</v>
      </c>
      <c r="BI443" s="991" t="str">
        <f t="shared" si="640"/>
        <v>[Service]</v>
      </c>
      <c r="BJ443" s="992" t="str">
        <f t="shared" si="640"/>
        <v>[Price]</v>
      </c>
      <c r="BK443" s="993" t="str">
        <f t="shared" ref="BK443:BU443" si="693">IF(V443="","-",IFERROR((V443/U443-1)*(U443/U$13),"-"))</f>
        <v>-</v>
      </c>
      <c r="BL443" s="993" t="str">
        <f t="shared" si="693"/>
        <v>-</v>
      </c>
      <c r="BM443" s="993" t="str">
        <f t="shared" si="693"/>
        <v>-</v>
      </c>
      <c r="BN443" s="993" t="str">
        <f t="shared" si="693"/>
        <v>-</v>
      </c>
      <c r="BO443" s="1354" t="str">
        <f t="shared" si="693"/>
        <v>-</v>
      </c>
      <c r="BP443" s="1347" t="str">
        <f t="shared" si="693"/>
        <v>-</v>
      </c>
      <c r="BQ443" s="993" t="str">
        <f t="shared" si="693"/>
        <v>-</v>
      </c>
      <c r="BR443" s="993" t="str">
        <f t="shared" si="693"/>
        <v>-</v>
      </c>
      <c r="BS443" s="993" t="str">
        <f t="shared" si="693"/>
        <v>-</v>
      </c>
      <c r="BT443" s="994" t="str">
        <f t="shared" si="693"/>
        <v>-</v>
      </c>
      <c r="BU443" s="993" t="str">
        <f t="shared" si="693"/>
        <v>-</v>
      </c>
      <c r="BV443" s="993" t="str">
        <f>IF(AG443="","-",IFERROR((AG443/AF443-1)*(AF443/AF$13),"-"))</f>
        <v>-</v>
      </c>
      <c r="BW443" s="993" t="str">
        <f>IF(AH443="","-",IFERROR((AH443/AG443-1)*(AG443/AG$13),"-"))</f>
        <v>-</v>
      </c>
      <c r="BX443" s="993" t="str">
        <f>IF(AI443="","-",IFERROR((AI443/AH443-1)*(AH443/AH$13),"-"))</f>
        <v>-</v>
      </c>
      <c r="BY443" s="995" t="str">
        <f>IF(AJ443="","-",IFERROR((AJ443/AI443-1)*(AI443/AI$13),"-"))</f>
        <v>-</v>
      </c>
      <c r="BZ443" s="951"/>
      <c r="CA443" s="568" t="str">
        <f t="shared" si="594"/>
        <v>Rev</v>
      </c>
      <c r="CB443" s="991" t="str">
        <f t="shared" si="595"/>
        <v>[Service]</v>
      </c>
      <c r="CC443" s="991" t="str">
        <f t="shared" si="596"/>
        <v>[Price]</v>
      </c>
      <c r="CD443" s="996" t="str">
        <f t="shared" si="620"/>
        <v>-</v>
      </c>
      <c r="CE443" s="993" t="str">
        <f t="shared" si="620"/>
        <v>-</v>
      </c>
      <c r="CF443" s="993" t="str">
        <f t="shared" si="620"/>
        <v>-</v>
      </c>
      <c r="CG443" s="994" t="str">
        <f t="shared" si="620"/>
        <v>-</v>
      </c>
      <c r="CH443" s="993" t="str">
        <f t="shared" si="621"/>
        <v>-</v>
      </c>
      <c r="CI443" s="993" t="str">
        <f t="shared" si="621"/>
        <v>-</v>
      </c>
      <c r="CJ443" s="993" t="str">
        <f t="shared" si="621"/>
        <v>-</v>
      </c>
      <c r="CK443" s="995" t="str">
        <f t="shared" si="621"/>
        <v>-</v>
      </c>
    </row>
    <row r="444" spans="4:89">
      <c r="AK444" s="548"/>
    </row>
    <row r="445" spans="4:89">
      <c r="AK445" s="548"/>
    </row>
    <row r="446" spans="4:89">
      <c r="AK446" s="548"/>
    </row>
    <row r="447" spans="4:89">
      <c r="I447" s="68" t="s">
        <v>922</v>
      </c>
      <c r="J447" s="570"/>
      <c r="K447" s="68"/>
      <c r="L447" s="68"/>
      <c r="M447" s="68"/>
      <c r="N447" s="68"/>
      <c r="O447" s="68"/>
      <c r="P447" s="68"/>
      <c r="Q447" s="68"/>
      <c r="R447" s="68"/>
      <c r="S447" s="68"/>
      <c r="T447" s="68"/>
      <c r="U447" s="68"/>
      <c r="V447" s="68"/>
      <c r="W447" s="68"/>
      <c r="X447" s="68"/>
      <c r="Y447" s="68"/>
      <c r="Z447" s="68"/>
      <c r="AA447" s="68"/>
      <c r="AB447" s="68"/>
      <c r="AC447" s="68"/>
      <c r="AD447" s="68"/>
      <c r="AE447" s="68"/>
      <c r="AF447" s="571"/>
      <c r="AG447" s="571"/>
      <c r="AH447" s="571"/>
      <c r="AI447" s="571"/>
      <c r="AJ447" s="572"/>
      <c r="AK447" s="548"/>
    </row>
    <row r="448" spans="4:89">
      <c r="I448" s="573" t="str">
        <f>General_BL!C58</f>
        <v>Water</v>
      </c>
      <c r="J448" s="322"/>
      <c r="K448" s="1047">
        <f t="shared" ref="K448:K453" si="694">+SUMIFS(K$69:K$444,$E$69:$E$444,$E$71,$F$69:$F$444,$I448)</f>
        <v>0</v>
      </c>
      <c r="L448" s="1047">
        <f t="shared" ref="L448:AJ453" si="695">+SUMIFS(L$69:L$444,$E$69:$E$444,$E$71,$F$69:$F$444,$I448)</f>
        <v>0</v>
      </c>
      <c r="M448" s="1047">
        <f t="shared" si="695"/>
        <v>0</v>
      </c>
      <c r="N448" s="1048">
        <f t="shared" si="695"/>
        <v>0</v>
      </c>
      <c r="O448" s="1047">
        <f t="shared" si="695"/>
        <v>0</v>
      </c>
      <c r="P448" s="1047">
        <f t="shared" si="695"/>
        <v>0</v>
      </c>
      <c r="Q448" s="1047">
        <f t="shared" si="695"/>
        <v>0</v>
      </c>
      <c r="R448" s="1046">
        <f t="shared" si="695"/>
        <v>0</v>
      </c>
      <c r="S448" s="1047">
        <f t="shared" si="695"/>
        <v>0</v>
      </c>
      <c r="T448" s="1047">
        <f t="shared" si="695"/>
        <v>0</v>
      </c>
      <c r="U448" s="1047">
        <f t="shared" si="695"/>
        <v>1077.4106802218337</v>
      </c>
      <c r="V448" s="1047">
        <f t="shared" si="695"/>
        <v>1052.1835668589245</v>
      </c>
      <c r="W448" s="1047">
        <f t="shared" si="695"/>
        <v>1025.5097137821936</v>
      </c>
      <c r="X448" s="1048">
        <f t="shared" si="695"/>
        <v>1012.6547519309349</v>
      </c>
      <c r="Y448" s="1047">
        <f t="shared" si="695"/>
        <v>1019.2869674960649</v>
      </c>
      <c r="Z448" s="1047">
        <f t="shared" si="695"/>
        <v>994.30255070499993</v>
      </c>
      <c r="AA448" s="1047">
        <f t="shared" si="695"/>
        <v>954.62163214767634</v>
      </c>
      <c r="AB448" s="1046">
        <f t="shared" si="695"/>
        <v>1005.4567981294433</v>
      </c>
      <c r="AC448" s="1047">
        <f t="shared" si="695"/>
        <v>1020.1151557686105</v>
      </c>
      <c r="AD448" s="1047">
        <f t="shared" si="695"/>
        <v>1034.1482576417077</v>
      </c>
      <c r="AE448" s="1047">
        <f t="shared" si="695"/>
        <v>1049.4526844726752</v>
      </c>
      <c r="AF448" s="1047">
        <f t="shared" si="695"/>
        <v>1099.257091077696</v>
      </c>
      <c r="AG448" s="1047">
        <f t="shared" si="695"/>
        <v>1095.6217132133856</v>
      </c>
      <c r="AH448" s="1047">
        <f t="shared" si="695"/>
        <v>1092.7511602811837</v>
      </c>
      <c r="AI448" s="1047">
        <f t="shared" si="695"/>
        <v>1094.1736821237687</v>
      </c>
      <c r="AJ448" s="1047">
        <f t="shared" si="695"/>
        <v>1091.1302417554289</v>
      </c>
      <c r="AK448" s="548"/>
    </row>
    <row r="449" spans="9:37">
      <c r="I449" s="573" t="str">
        <f>General_BL!C59</f>
        <v>Sewerage</v>
      </c>
      <c r="J449" s="322"/>
      <c r="K449" s="1047">
        <f t="shared" si="694"/>
        <v>0</v>
      </c>
      <c r="L449" s="1047">
        <f t="shared" ref="L449:Z449" si="696">+SUMIFS(L$69:L$444,$E$69:$E$444,$E$71,$F$69:$F$444,$I449)</f>
        <v>0</v>
      </c>
      <c r="M449" s="1047">
        <f t="shared" si="696"/>
        <v>0</v>
      </c>
      <c r="N449" s="1048">
        <f t="shared" si="696"/>
        <v>0</v>
      </c>
      <c r="O449" s="1047">
        <f t="shared" si="696"/>
        <v>0</v>
      </c>
      <c r="P449" s="1047">
        <f t="shared" si="696"/>
        <v>0</v>
      </c>
      <c r="Q449" s="1047">
        <f t="shared" si="696"/>
        <v>0</v>
      </c>
      <c r="R449" s="1046">
        <f t="shared" si="696"/>
        <v>0</v>
      </c>
      <c r="S449" s="1047">
        <f t="shared" si="696"/>
        <v>0</v>
      </c>
      <c r="T449" s="1047">
        <f t="shared" si="696"/>
        <v>0</v>
      </c>
      <c r="U449" s="1047">
        <f t="shared" si="696"/>
        <v>550.47253068755504</v>
      </c>
      <c r="V449" s="1047">
        <f t="shared" si="696"/>
        <v>496.05552965028039</v>
      </c>
      <c r="W449" s="1047">
        <f t="shared" si="696"/>
        <v>507.70002228708211</v>
      </c>
      <c r="X449" s="1048">
        <f t="shared" si="696"/>
        <v>524.08229620251268</v>
      </c>
      <c r="Y449" s="1047">
        <f t="shared" si="696"/>
        <v>537.354475762167</v>
      </c>
      <c r="Z449" s="1047">
        <f t="shared" si="696"/>
        <v>556.0924074437429</v>
      </c>
      <c r="AA449" s="1047">
        <f t="shared" si="695"/>
        <v>623.68788806923749</v>
      </c>
      <c r="AB449" s="1046">
        <f t="shared" si="695"/>
        <v>639.97613271777539</v>
      </c>
      <c r="AC449" s="1047">
        <f t="shared" si="695"/>
        <v>656.84801078105693</v>
      </c>
      <c r="AD449" s="1047">
        <f t="shared" si="695"/>
        <v>674.4282831195452</v>
      </c>
      <c r="AE449" s="1047">
        <f t="shared" si="695"/>
        <v>691.68671095908644</v>
      </c>
      <c r="AF449" s="1047">
        <f t="shared" si="695"/>
        <v>734.914543172104</v>
      </c>
      <c r="AG449" s="1047">
        <f t="shared" si="695"/>
        <v>762.68386152318772</v>
      </c>
      <c r="AH449" s="1047">
        <f t="shared" si="695"/>
        <v>791.41033289199947</v>
      </c>
      <c r="AI449" s="1047">
        <f t="shared" si="695"/>
        <v>822.00141697440995</v>
      </c>
      <c r="AJ449" s="1047">
        <f t="shared" si="695"/>
        <v>853.93512491833508</v>
      </c>
      <c r="AK449" s="548"/>
    </row>
    <row r="450" spans="9:37">
      <c r="I450" s="573" t="str">
        <f>General_BL!C60</f>
        <v>Recycled Water</v>
      </c>
      <c r="J450" s="322"/>
      <c r="K450" s="1047">
        <f t="shared" si="694"/>
        <v>0</v>
      </c>
      <c r="L450" s="1047">
        <f t="shared" si="695"/>
        <v>0</v>
      </c>
      <c r="M450" s="1047">
        <f t="shared" si="695"/>
        <v>0</v>
      </c>
      <c r="N450" s="1048">
        <f t="shared" si="695"/>
        <v>0</v>
      </c>
      <c r="O450" s="1047">
        <f t="shared" si="695"/>
        <v>0</v>
      </c>
      <c r="P450" s="1047">
        <f t="shared" si="695"/>
        <v>0</v>
      </c>
      <c r="Q450" s="1047">
        <f t="shared" si="695"/>
        <v>0</v>
      </c>
      <c r="R450" s="1046">
        <f t="shared" si="695"/>
        <v>0</v>
      </c>
      <c r="S450" s="1047">
        <f t="shared" si="695"/>
        <v>0</v>
      </c>
      <c r="T450" s="1047">
        <f t="shared" si="695"/>
        <v>0</v>
      </c>
      <c r="U450" s="1047">
        <f t="shared" si="695"/>
        <v>0</v>
      </c>
      <c r="V450" s="1047">
        <f t="shared" si="695"/>
        <v>0</v>
      </c>
      <c r="W450" s="1047">
        <f t="shared" si="695"/>
        <v>0</v>
      </c>
      <c r="X450" s="1048">
        <f t="shared" si="695"/>
        <v>0</v>
      </c>
      <c r="Y450" s="1047">
        <f t="shared" si="695"/>
        <v>0</v>
      </c>
      <c r="Z450" s="1047">
        <f t="shared" si="695"/>
        <v>0</v>
      </c>
      <c r="AA450" s="1047">
        <f t="shared" si="695"/>
        <v>0</v>
      </c>
      <c r="AB450" s="1046">
        <f t="shared" si="695"/>
        <v>0</v>
      </c>
      <c r="AC450" s="1047">
        <f t="shared" si="695"/>
        <v>0</v>
      </c>
      <c r="AD450" s="1047">
        <f t="shared" si="695"/>
        <v>0</v>
      </c>
      <c r="AE450" s="1047">
        <f t="shared" si="695"/>
        <v>0</v>
      </c>
      <c r="AF450" s="1047">
        <f t="shared" si="695"/>
        <v>0</v>
      </c>
      <c r="AG450" s="1047">
        <f t="shared" si="695"/>
        <v>0</v>
      </c>
      <c r="AH450" s="1047">
        <f t="shared" si="695"/>
        <v>0</v>
      </c>
      <c r="AI450" s="1047">
        <f t="shared" si="695"/>
        <v>0</v>
      </c>
      <c r="AJ450" s="1047">
        <f t="shared" si="695"/>
        <v>0</v>
      </c>
      <c r="AK450" s="548"/>
    </row>
    <row r="451" spans="9:37">
      <c r="I451" s="573" t="str">
        <f>General_BL!C61</f>
        <v>Waterways and Drainage</v>
      </c>
      <c r="J451" s="322"/>
      <c r="K451" s="1047">
        <f t="shared" si="694"/>
        <v>0</v>
      </c>
      <c r="L451" s="1047">
        <f t="shared" si="695"/>
        <v>0</v>
      </c>
      <c r="M451" s="1047">
        <f t="shared" si="695"/>
        <v>0</v>
      </c>
      <c r="N451" s="1048">
        <f t="shared" si="695"/>
        <v>0</v>
      </c>
      <c r="O451" s="1047">
        <f t="shared" si="695"/>
        <v>0</v>
      </c>
      <c r="P451" s="1047">
        <f t="shared" si="695"/>
        <v>0</v>
      </c>
      <c r="Q451" s="1047">
        <f t="shared" si="695"/>
        <v>0</v>
      </c>
      <c r="R451" s="1046">
        <f t="shared" si="695"/>
        <v>0</v>
      </c>
      <c r="S451" s="1047">
        <f t="shared" si="695"/>
        <v>0</v>
      </c>
      <c r="T451" s="1047">
        <f t="shared" si="695"/>
        <v>0</v>
      </c>
      <c r="U451" s="1047">
        <f t="shared" si="695"/>
        <v>300.50514309085548</v>
      </c>
      <c r="V451" s="1047">
        <f t="shared" si="695"/>
        <v>315.25227600498886</v>
      </c>
      <c r="W451" s="1047">
        <f t="shared" si="695"/>
        <v>317.10849079368779</v>
      </c>
      <c r="X451" s="1048">
        <f t="shared" si="695"/>
        <v>324.25689856710324</v>
      </c>
      <c r="Y451" s="1047">
        <f t="shared" si="695"/>
        <v>328.00681217349131</v>
      </c>
      <c r="Z451" s="1047">
        <f t="shared" si="695"/>
        <v>333.44570122946948</v>
      </c>
      <c r="AA451" s="1047">
        <f t="shared" si="695"/>
        <v>314.97338831918114</v>
      </c>
      <c r="AB451" s="1046">
        <f t="shared" si="695"/>
        <v>321.22615621163288</v>
      </c>
      <c r="AC451" s="1047">
        <f t="shared" si="695"/>
        <v>327.6176140218887</v>
      </c>
      <c r="AD451" s="1047">
        <f t="shared" si="695"/>
        <v>334.15394959776194</v>
      </c>
      <c r="AE451" s="1047">
        <f t="shared" si="695"/>
        <v>340.84243912554285</v>
      </c>
      <c r="AF451" s="1047">
        <f t="shared" si="695"/>
        <v>345.60367633233403</v>
      </c>
      <c r="AG451" s="1047">
        <f t="shared" si="695"/>
        <v>352.00115968255125</v>
      </c>
      <c r="AH451" s="1047">
        <f t="shared" si="695"/>
        <v>358.51903929967489</v>
      </c>
      <c r="AI451" s="1047">
        <f t="shared" si="695"/>
        <v>365.11549784577704</v>
      </c>
      <c r="AJ451" s="1047">
        <f t="shared" si="695"/>
        <v>371.88219887789325</v>
      </c>
      <c r="AK451" s="548"/>
    </row>
    <row r="452" spans="9:37">
      <c r="I452" s="573" t="str">
        <f>General_BL!C62</f>
        <v>Diversions</v>
      </c>
      <c r="J452" s="322"/>
      <c r="K452" s="1047">
        <f t="shared" si="694"/>
        <v>0</v>
      </c>
      <c r="L452" s="1047">
        <f t="shared" si="695"/>
        <v>0</v>
      </c>
      <c r="M452" s="1047">
        <f t="shared" si="695"/>
        <v>0</v>
      </c>
      <c r="N452" s="1048">
        <f t="shared" si="695"/>
        <v>0</v>
      </c>
      <c r="O452" s="1047">
        <f t="shared" si="695"/>
        <v>0</v>
      </c>
      <c r="P452" s="1047">
        <f t="shared" si="695"/>
        <v>0</v>
      </c>
      <c r="Q452" s="1047">
        <f t="shared" si="695"/>
        <v>0</v>
      </c>
      <c r="R452" s="1046">
        <f t="shared" si="695"/>
        <v>0</v>
      </c>
      <c r="S452" s="1047">
        <f t="shared" si="695"/>
        <v>0</v>
      </c>
      <c r="T452" s="1047">
        <f t="shared" si="695"/>
        <v>0</v>
      </c>
      <c r="U452" s="1047">
        <f t="shared" si="695"/>
        <v>0</v>
      </c>
      <c r="V452" s="1047">
        <f t="shared" si="695"/>
        <v>0</v>
      </c>
      <c r="W452" s="1047">
        <f t="shared" si="695"/>
        <v>0</v>
      </c>
      <c r="X452" s="1048">
        <f t="shared" si="695"/>
        <v>0</v>
      </c>
      <c r="Y452" s="1047">
        <f t="shared" si="695"/>
        <v>0</v>
      </c>
      <c r="Z452" s="1047">
        <f t="shared" si="695"/>
        <v>0</v>
      </c>
      <c r="AA452" s="1047">
        <f t="shared" si="695"/>
        <v>0</v>
      </c>
      <c r="AB452" s="1046">
        <f t="shared" si="695"/>
        <v>0</v>
      </c>
      <c r="AC452" s="1047">
        <f t="shared" si="695"/>
        <v>0</v>
      </c>
      <c r="AD452" s="1047">
        <f t="shared" si="695"/>
        <v>0</v>
      </c>
      <c r="AE452" s="1047">
        <f t="shared" si="695"/>
        <v>0</v>
      </c>
      <c r="AF452" s="1047">
        <f t="shared" si="695"/>
        <v>0</v>
      </c>
      <c r="AG452" s="1047">
        <f t="shared" si="695"/>
        <v>0</v>
      </c>
      <c r="AH452" s="1047">
        <f t="shared" si="695"/>
        <v>0</v>
      </c>
      <c r="AI452" s="1047">
        <f t="shared" si="695"/>
        <v>0</v>
      </c>
      <c r="AJ452" s="1047">
        <f t="shared" si="695"/>
        <v>0</v>
      </c>
      <c r="AK452" s="548"/>
    </row>
    <row r="453" spans="9:37">
      <c r="I453" s="574" t="str">
        <f>General_BL!C63</f>
        <v>Trade Waste</v>
      </c>
      <c r="J453" s="323"/>
      <c r="K453" s="1050">
        <f t="shared" si="694"/>
        <v>0</v>
      </c>
      <c r="L453" s="1050">
        <f t="shared" si="695"/>
        <v>0</v>
      </c>
      <c r="M453" s="1050">
        <f t="shared" si="695"/>
        <v>0</v>
      </c>
      <c r="N453" s="1051">
        <f t="shared" si="695"/>
        <v>0</v>
      </c>
      <c r="O453" s="1050">
        <f t="shared" si="695"/>
        <v>0</v>
      </c>
      <c r="P453" s="1050">
        <f t="shared" si="695"/>
        <v>0</v>
      </c>
      <c r="Q453" s="1050">
        <f t="shared" si="695"/>
        <v>0</v>
      </c>
      <c r="R453" s="1049">
        <f t="shared" si="695"/>
        <v>0</v>
      </c>
      <c r="S453" s="1050">
        <f t="shared" si="695"/>
        <v>0</v>
      </c>
      <c r="T453" s="1050">
        <f t="shared" si="695"/>
        <v>0</v>
      </c>
      <c r="U453" s="1050">
        <f t="shared" si="695"/>
        <v>0</v>
      </c>
      <c r="V453" s="1050">
        <f t="shared" si="695"/>
        <v>0</v>
      </c>
      <c r="W453" s="1050">
        <f t="shared" si="695"/>
        <v>0</v>
      </c>
      <c r="X453" s="1051">
        <f t="shared" si="695"/>
        <v>0</v>
      </c>
      <c r="Y453" s="1050">
        <f t="shared" si="695"/>
        <v>0</v>
      </c>
      <c r="Z453" s="1050">
        <f t="shared" si="695"/>
        <v>0</v>
      </c>
      <c r="AA453" s="1050">
        <f t="shared" si="695"/>
        <v>0</v>
      </c>
      <c r="AB453" s="1049">
        <f t="shared" si="695"/>
        <v>0</v>
      </c>
      <c r="AC453" s="1050">
        <f t="shared" si="695"/>
        <v>0</v>
      </c>
      <c r="AD453" s="1050">
        <f t="shared" si="695"/>
        <v>0</v>
      </c>
      <c r="AE453" s="1050">
        <f t="shared" si="695"/>
        <v>0</v>
      </c>
      <c r="AF453" s="1050">
        <f t="shared" si="695"/>
        <v>0</v>
      </c>
      <c r="AG453" s="1050">
        <f t="shared" si="695"/>
        <v>0</v>
      </c>
      <c r="AH453" s="1050">
        <f t="shared" si="695"/>
        <v>0</v>
      </c>
      <c r="AI453" s="1050">
        <f t="shared" si="695"/>
        <v>0</v>
      </c>
      <c r="AJ453" s="1050">
        <f t="shared" si="695"/>
        <v>0</v>
      </c>
      <c r="AK453" s="548"/>
    </row>
    <row r="454" spans="9:37">
      <c r="I454" s="89" t="s">
        <v>113</v>
      </c>
      <c r="K454" s="464">
        <f>SUM(K448:K453)</f>
        <v>0</v>
      </c>
      <c r="L454" s="464">
        <f t="shared" ref="L454:AF454" si="697">SUM(L448:L453)</f>
        <v>0</v>
      </c>
      <c r="M454" s="1054">
        <f t="shared" si="697"/>
        <v>0</v>
      </c>
      <c r="N454" s="464">
        <f t="shared" si="697"/>
        <v>0</v>
      </c>
      <c r="O454" s="464">
        <f t="shared" si="697"/>
        <v>0</v>
      </c>
      <c r="P454" s="464">
        <f t="shared" si="697"/>
        <v>0</v>
      </c>
      <c r="Q454" s="464">
        <f t="shared" si="697"/>
        <v>0</v>
      </c>
      <c r="R454" s="1052">
        <f t="shared" si="697"/>
        <v>0</v>
      </c>
      <c r="S454" s="1053">
        <f t="shared" si="697"/>
        <v>0</v>
      </c>
      <c r="T454" s="1052">
        <f t="shared" si="697"/>
        <v>0</v>
      </c>
      <c r="U454" s="1052">
        <f t="shared" si="697"/>
        <v>1928.3883540002441</v>
      </c>
      <c r="V454" s="1052">
        <f t="shared" si="697"/>
        <v>1863.4913725141937</v>
      </c>
      <c r="W454" s="1054">
        <f t="shared" si="697"/>
        <v>1850.3182268629635</v>
      </c>
      <c r="X454" s="464">
        <f t="shared" si="697"/>
        <v>1860.9939467005509</v>
      </c>
      <c r="Y454" s="464">
        <f t="shared" si="697"/>
        <v>1884.6482554317231</v>
      </c>
      <c r="Z454" s="464">
        <f t="shared" si="697"/>
        <v>1883.8406593782122</v>
      </c>
      <c r="AA454" s="464">
        <f t="shared" si="697"/>
        <v>1893.282908536095</v>
      </c>
      <c r="AB454" s="1054">
        <f t="shared" si="697"/>
        <v>1966.6590870588516</v>
      </c>
      <c r="AC454" s="464">
        <f t="shared" si="697"/>
        <v>2004.5807805715563</v>
      </c>
      <c r="AD454" s="464">
        <f t="shared" si="697"/>
        <v>2042.730490359015</v>
      </c>
      <c r="AE454" s="464">
        <f t="shared" si="697"/>
        <v>2081.9818345573044</v>
      </c>
      <c r="AF454" s="464">
        <f t="shared" si="697"/>
        <v>2179.7753105821339</v>
      </c>
      <c r="AG454" s="464">
        <f>SUM(AG448:AG453)</f>
        <v>2210.3067344191245</v>
      </c>
      <c r="AH454" s="464">
        <f>SUM(AH448:AH453)</f>
        <v>2242.6805324728584</v>
      </c>
      <c r="AI454" s="464">
        <f>SUM(AI448:AI453)</f>
        <v>2281.2905969439557</v>
      </c>
      <c r="AJ454" s="464">
        <f>SUM(AJ448:AJ453)</f>
        <v>2316.9475655516571</v>
      </c>
      <c r="AK454" s="548"/>
    </row>
    <row r="455" spans="9:37">
      <c r="I455" s="63" t="s">
        <v>130</v>
      </c>
      <c r="K455" s="116">
        <f>+K13</f>
        <v>0</v>
      </c>
      <c r="L455" s="116">
        <f t="shared" ref="L455:AF455" si="698">+L13</f>
        <v>0</v>
      </c>
      <c r="M455" s="508">
        <f t="shared" si="698"/>
        <v>0</v>
      </c>
      <c r="N455" s="116">
        <f t="shared" si="698"/>
        <v>0</v>
      </c>
      <c r="O455" s="116">
        <f t="shared" si="698"/>
        <v>0</v>
      </c>
      <c r="P455" s="116">
        <f t="shared" si="698"/>
        <v>0</v>
      </c>
      <c r="Q455" s="116">
        <f t="shared" si="698"/>
        <v>0</v>
      </c>
      <c r="R455" s="116">
        <f t="shared" si="698"/>
        <v>0</v>
      </c>
      <c r="S455" s="1043">
        <f t="shared" si="698"/>
        <v>0</v>
      </c>
      <c r="T455" s="116">
        <f t="shared" si="698"/>
        <v>0</v>
      </c>
      <c r="U455" s="116">
        <f t="shared" si="698"/>
        <v>1928.3883540002439</v>
      </c>
      <c r="V455" s="116">
        <f t="shared" si="698"/>
        <v>1863.4913725141937</v>
      </c>
      <c r="W455" s="508">
        <f t="shared" si="698"/>
        <v>1850.3182268629637</v>
      </c>
      <c r="X455" s="116">
        <f t="shared" si="698"/>
        <v>1860.9939467005504</v>
      </c>
      <c r="Y455" s="116">
        <f t="shared" si="698"/>
        <v>1884.6482554317231</v>
      </c>
      <c r="Z455" s="116">
        <f t="shared" si="698"/>
        <v>1883.8406593782124</v>
      </c>
      <c r="AA455" s="116">
        <f t="shared" si="698"/>
        <v>1893.2829085360954</v>
      </c>
      <c r="AB455" s="508">
        <f t="shared" si="698"/>
        <v>1966.6590870588511</v>
      </c>
      <c r="AC455" s="116">
        <f t="shared" si="698"/>
        <v>2004.580780571556</v>
      </c>
      <c r="AD455" s="116">
        <f t="shared" si="698"/>
        <v>2042.7304903590159</v>
      </c>
      <c r="AE455" s="116">
        <f t="shared" si="698"/>
        <v>2081.9818345573049</v>
      </c>
      <c r="AF455" s="116">
        <f t="shared" si="698"/>
        <v>2179.7753105821334</v>
      </c>
      <c r="AG455" s="116">
        <f>+AG13</f>
        <v>2210.306734419124</v>
      </c>
      <c r="AH455" s="116">
        <f>+AH13</f>
        <v>2242.6805324728575</v>
      </c>
      <c r="AI455" s="116">
        <f>+AI13</f>
        <v>2281.2905969439562</v>
      </c>
      <c r="AJ455" s="116">
        <f>+AJ13</f>
        <v>2316.9475655516576</v>
      </c>
      <c r="AK455" s="548"/>
    </row>
    <row r="456" spans="9:37">
      <c r="I456" s="68" t="s">
        <v>231</v>
      </c>
      <c r="J456" s="68"/>
      <c r="K456" s="1055">
        <f>+K455-K454</f>
        <v>0</v>
      </c>
      <c r="L456" s="1055">
        <f t="shared" ref="L456:AF456" si="699">+L455-L454</f>
        <v>0</v>
      </c>
      <c r="M456" s="1057">
        <f t="shared" si="699"/>
        <v>0</v>
      </c>
      <c r="N456" s="1055">
        <f t="shared" si="699"/>
        <v>0</v>
      </c>
      <c r="O456" s="1055">
        <f t="shared" si="699"/>
        <v>0</v>
      </c>
      <c r="P456" s="1055">
        <f t="shared" si="699"/>
        <v>0</v>
      </c>
      <c r="Q456" s="1055">
        <f t="shared" si="699"/>
        <v>0</v>
      </c>
      <c r="R456" s="1055">
        <f t="shared" si="699"/>
        <v>0</v>
      </c>
      <c r="S456" s="1056">
        <f t="shared" si="699"/>
        <v>0</v>
      </c>
      <c r="T456" s="1055">
        <f t="shared" si="699"/>
        <v>0</v>
      </c>
      <c r="U456" s="1055">
        <f t="shared" si="699"/>
        <v>0</v>
      </c>
      <c r="V456" s="1055">
        <f t="shared" si="699"/>
        <v>0</v>
      </c>
      <c r="W456" s="1057">
        <f t="shared" si="699"/>
        <v>0</v>
      </c>
      <c r="X456" s="1055">
        <f t="shared" si="699"/>
        <v>0</v>
      </c>
      <c r="Y456" s="1055">
        <f t="shared" si="699"/>
        <v>0</v>
      </c>
      <c r="Z456" s="1055">
        <f t="shared" si="699"/>
        <v>0</v>
      </c>
      <c r="AA456" s="1055">
        <f t="shared" si="699"/>
        <v>0</v>
      </c>
      <c r="AB456" s="1057">
        <f t="shared" si="699"/>
        <v>0</v>
      </c>
      <c r="AC456" s="1055">
        <f t="shared" si="699"/>
        <v>0</v>
      </c>
      <c r="AD456" s="1055">
        <f t="shared" si="699"/>
        <v>0</v>
      </c>
      <c r="AE456" s="1055">
        <f t="shared" si="699"/>
        <v>0</v>
      </c>
      <c r="AF456" s="1055">
        <f t="shared" si="699"/>
        <v>0</v>
      </c>
      <c r="AG456" s="1055">
        <f>+AG455-AG454</f>
        <v>0</v>
      </c>
      <c r="AH456" s="1055">
        <f>+AH455-AH454</f>
        <v>0</v>
      </c>
      <c r="AI456" s="1055">
        <f>+AI455-AI454</f>
        <v>0</v>
      </c>
      <c r="AJ456" s="1055">
        <f>+AJ455-AJ454</f>
        <v>0</v>
      </c>
      <c r="AK456" s="548"/>
    </row>
    <row r="457" spans="9:37">
      <c r="AK457" s="548"/>
    </row>
    <row r="458" spans="9:37">
      <c r="K458" s="621" t="b">
        <f>+K454=K465</f>
        <v>1</v>
      </c>
      <c r="L458" s="621" t="b">
        <f t="shared" ref="L458:R458" si="700">+L454=L465</f>
        <v>1</v>
      </c>
      <c r="M458" s="621" t="b">
        <f t="shared" si="700"/>
        <v>1</v>
      </c>
      <c r="N458" s="621" t="b">
        <f t="shared" si="700"/>
        <v>1</v>
      </c>
      <c r="O458" s="621" t="b">
        <f t="shared" si="700"/>
        <v>1</v>
      </c>
      <c r="P458" s="621" t="b">
        <f t="shared" si="700"/>
        <v>1</v>
      </c>
      <c r="Q458" s="621" t="b">
        <f t="shared" si="700"/>
        <v>1</v>
      </c>
      <c r="R458" s="621" t="b">
        <f t="shared" si="700"/>
        <v>1</v>
      </c>
      <c r="S458" s="621" t="b">
        <f>ROUND(S454,2)=ROUND(S465,2)</f>
        <v>1</v>
      </c>
      <c r="T458" s="621" t="b">
        <f>ROUND(T454,2)=ROUND(T465,2)</f>
        <v>1</v>
      </c>
      <c r="U458" s="1660">
        <f>IF(ROUND(U454,2)=ROUND(U465,2),0,1)</f>
        <v>0</v>
      </c>
      <c r="V458" s="1660">
        <f t="shared" ref="V458:AJ458" si="701">IF(ROUND(V454,2)=ROUND(V465,2),0,1)</f>
        <v>0</v>
      </c>
      <c r="W458" s="1660">
        <f t="shared" si="701"/>
        <v>0</v>
      </c>
      <c r="X458" s="1660">
        <f t="shared" si="701"/>
        <v>0</v>
      </c>
      <c r="Y458" s="1660">
        <f t="shared" si="701"/>
        <v>0</v>
      </c>
      <c r="Z458" s="1660">
        <f t="shared" si="701"/>
        <v>0</v>
      </c>
      <c r="AA458" s="1660">
        <f t="shared" si="701"/>
        <v>0</v>
      </c>
      <c r="AB458" s="1660">
        <f t="shared" si="701"/>
        <v>0</v>
      </c>
      <c r="AC458" s="1660">
        <f t="shared" si="701"/>
        <v>0</v>
      </c>
      <c r="AD458" s="1660">
        <f t="shared" si="701"/>
        <v>0</v>
      </c>
      <c r="AE458" s="1660">
        <f t="shared" si="701"/>
        <v>0</v>
      </c>
      <c r="AF458" s="1660">
        <f t="shared" si="701"/>
        <v>0</v>
      </c>
      <c r="AG458" s="1660">
        <f t="shared" si="701"/>
        <v>0</v>
      </c>
      <c r="AH458" s="1660">
        <f t="shared" si="701"/>
        <v>0</v>
      </c>
      <c r="AI458" s="1660">
        <f t="shared" si="701"/>
        <v>0</v>
      </c>
      <c r="AJ458" s="1660">
        <f t="shared" si="701"/>
        <v>0</v>
      </c>
      <c r="AK458" s="548"/>
    </row>
    <row r="459" spans="9:37">
      <c r="AK459" s="548"/>
    </row>
    <row r="460" spans="9:37">
      <c r="I460" s="63" t="s">
        <v>923</v>
      </c>
      <c r="J460" s="569"/>
      <c r="K460" s="572"/>
      <c r="L460" s="572"/>
      <c r="M460" s="572"/>
      <c r="N460" s="572"/>
      <c r="O460" s="572"/>
      <c r="P460" s="572"/>
      <c r="Q460" s="572"/>
      <c r="R460" s="572"/>
      <c r="S460" s="572"/>
      <c r="T460" s="572"/>
      <c r="U460" s="572"/>
      <c r="V460" s="572"/>
      <c r="W460" s="572"/>
      <c r="X460" s="572"/>
      <c r="Y460" s="572"/>
      <c r="Z460" s="572"/>
      <c r="AA460" s="572"/>
      <c r="AB460" s="572"/>
      <c r="AC460" s="572"/>
      <c r="AD460" s="572"/>
      <c r="AE460" s="572"/>
      <c r="AF460" s="572"/>
      <c r="AG460" s="572"/>
      <c r="AH460" s="572"/>
      <c r="AI460" s="572"/>
      <c r="AJ460" s="572"/>
      <c r="AK460" s="548"/>
    </row>
    <row r="461" spans="9:37">
      <c r="I461" s="578" t="s">
        <v>939</v>
      </c>
      <c r="J461" s="579"/>
      <c r="K461" s="1156">
        <f t="shared" ref="K461:T464" si="702">+SUMIFS(K$69:K$444,$E$69:$E$444,$E$71,$I$69:$I$444,$I461)</f>
        <v>0</v>
      </c>
      <c r="L461" s="1156">
        <f t="shared" si="702"/>
        <v>0</v>
      </c>
      <c r="M461" s="1157">
        <f t="shared" si="702"/>
        <v>0</v>
      </c>
      <c r="N461" s="1156">
        <f t="shared" si="702"/>
        <v>0</v>
      </c>
      <c r="O461" s="1156">
        <f t="shared" si="702"/>
        <v>0</v>
      </c>
      <c r="P461" s="1156">
        <f t="shared" si="702"/>
        <v>0</v>
      </c>
      <c r="Q461" s="1156">
        <f t="shared" si="702"/>
        <v>0</v>
      </c>
      <c r="R461" s="1157">
        <f t="shared" si="702"/>
        <v>0</v>
      </c>
      <c r="S461" s="1156">
        <f t="shared" si="702"/>
        <v>0</v>
      </c>
      <c r="T461" s="1156">
        <f t="shared" si="702"/>
        <v>0</v>
      </c>
      <c r="U461" s="1156">
        <f t="shared" ref="U461:AJ464" si="703">+SUMIFS(U$69:U$444,$E$69:$E$444,$E$71,$I$69:$I$444,$I461)</f>
        <v>1682.3156741902369</v>
      </c>
      <c r="V461" s="1156">
        <f t="shared" si="703"/>
        <v>1674.6840549448489</v>
      </c>
      <c r="W461" s="1157">
        <f t="shared" si="703"/>
        <v>1652.5634087981452</v>
      </c>
      <c r="X461" s="1156">
        <f t="shared" si="703"/>
        <v>1654.5832960652176</v>
      </c>
      <c r="Y461" s="1156">
        <f t="shared" si="703"/>
        <v>1665.0721446488483</v>
      </c>
      <c r="Z461" s="1156">
        <f t="shared" si="703"/>
        <v>1662.8114824694694</v>
      </c>
      <c r="AA461" s="1156">
        <f t="shared" si="703"/>
        <v>1413.3925049115305</v>
      </c>
      <c r="AB461" s="1157">
        <f t="shared" si="703"/>
        <v>1484.2021654567366</v>
      </c>
      <c r="AC461" s="1156">
        <f t="shared" si="703"/>
        <v>1514.8302093166812</v>
      </c>
      <c r="AD461" s="1156">
        <f t="shared" si="703"/>
        <v>1546.7782559091204</v>
      </c>
      <c r="AE461" s="1156">
        <f t="shared" si="703"/>
        <v>1580.1421854462596</v>
      </c>
      <c r="AF461" s="1156">
        <f t="shared" si="703"/>
        <v>1600.0512239554785</v>
      </c>
      <c r="AG461" s="1156">
        <f t="shared" si="703"/>
        <v>1623.55693742057</v>
      </c>
      <c r="AH461" s="1156">
        <f t="shared" si="703"/>
        <v>1648.9402493595962</v>
      </c>
      <c r="AI461" s="1156">
        <f t="shared" si="703"/>
        <v>1676.2550308645009</v>
      </c>
      <c r="AJ461" s="1156">
        <f t="shared" si="703"/>
        <v>1705.6968430912898</v>
      </c>
      <c r="AK461" s="548"/>
    </row>
    <row r="462" spans="9:37">
      <c r="I462" s="622" t="s">
        <v>941</v>
      </c>
      <c r="J462" s="623"/>
      <c r="K462" s="1067">
        <f t="shared" si="702"/>
        <v>0</v>
      </c>
      <c r="L462" s="1067">
        <f t="shared" si="702"/>
        <v>0</v>
      </c>
      <c r="M462" s="1066">
        <f t="shared" si="702"/>
        <v>0</v>
      </c>
      <c r="N462" s="1067">
        <f t="shared" si="702"/>
        <v>0</v>
      </c>
      <c r="O462" s="1067">
        <f t="shared" si="702"/>
        <v>0</v>
      </c>
      <c r="P462" s="1067">
        <f t="shared" si="702"/>
        <v>0</v>
      </c>
      <c r="Q462" s="1067">
        <f t="shared" si="702"/>
        <v>0</v>
      </c>
      <c r="R462" s="1066">
        <f t="shared" si="702"/>
        <v>0</v>
      </c>
      <c r="S462" s="1067">
        <f t="shared" si="702"/>
        <v>0</v>
      </c>
      <c r="T462" s="1067">
        <f t="shared" si="702"/>
        <v>0</v>
      </c>
      <c r="U462" s="1067">
        <f t="shared" si="703"/>
        <v>246.07267981000703</v>
      </c>
      <c r="V462" s="1067">
        <f t="shared" si="703"/>
        <v>188.80731756934512</v>
      </c>
      <c r="W462" s="1066">
        <f t="shared" si="703"/>
        <v>197.75481806481847</v>
      </c>
      <c r="X462" s="1067">
        <f t="shared" si="703"/>
        <v>206.41065063533338</v>
      </c>
      <c r="Y462" s="1067">
        <f t="shared" si="703"/>
        <v>219.57611078287448</v>
      </c>
      <c r="Z462" s="1067">
        <f t="shared" si="703"/>
        <v>221.02917690874295</v>
      </c>
      <c r="AA462" s="1067">
        <f t="shared" si="703"/>
        <v>479.89040362456439</v>
      </c>
      <c r="AB462" s="1066">
        <f t="shared" si="703"/>
        <v>482.45692160211524</v>
      </c>
      <c r="AC462" s="1067">
        <f t="shared" si="703"/>
        <v>489.75057125487507</v>
      </c>
      <c r="AD462" s="1067">
        <f t="shared" si="703"/>
        <v>495.95223444989415</v>
      </c>
      <c r="AE462" s="1067">
        <f t="shared" si="703"/>
        <v>501.83964911104476</v>
      </c>
      <c r="AF462" s="1067">
        <f t="shared" si="703"/>
        <v>579.72408662665589</v>
      </c>
      <c r="AG462" s="1067">
        <f t="shared" si="703"/>
        <v>586.74979699855487</v>
      </c>
      <c r="AH462" s="1067">
        <f t="shared" si="703"/>
        <v>593.74028311326254</v>
      </c>
      <c r="AI462" s="1067">
        <f t="shared" si="703"/>
        <v>605.03556607945484</v>
      </c>
      <c r="AJ462" s="1067">
        <f t="shared" si="703"/>
        <v>611.25072246036711</v>
      </c>
      <c r="AK462" s="548"/>
    </row>
    <row r="463" spans="9:37">
      <c r="I463" s="322" t="s">
        <v>943</v>
      </c>
      <c r="J463" s="322"/>
      <c r="K463" s="1067">
        <f t="shared" si="702"/>
        <v>0</v>
      </c>
      <c r="L463" s="1067">
        <f t="shared" si="702"/>
        <v>0</v>
      </c>
      <c r="M463" s="1066">
        <f t="shared" si="702"/>
        <v>0</v>
      </c>
      <c r="N463" s="1067">
        <f t="shared" si="702"/>
        <v>0</v>
      </c>
      <c r="O463" s="1067">
        <f t="shared" si="702"/>
        <v>0</v>
      </c>
      <c r="P463" s="1067">
        <f t="shared" si="702"/>
        <v>0</v>
      </c>
      <c r="Q463" s="1067">
        <f t="shared" si="702"/>
        <v>0</v>
      </c>
      <c r="R463" s="1066">
        <f t="shared" si="702"/>
        <v>0</v>
      </c>
      <c r="S463" s="1067">
        <f t="shared" si="702"/>
        <v>0</v>
      </c>
      <c r="T463" s="1067">
        <f t="shared" si="702"/>
        <v>0</v>
      </c>
      <c r="U463" s="1067">
        <f t="shared" si="703"/>
        <v>0</v>
      </c>
      <c r="V463" s="1067">
        <f t="shared" si="703"/>
        <v>0</v>
      </c>
      <c r="W463" s="1066">
        <f t="shared" si="703"/>
        <v>0</v>
      </c>
      <c r="X463" s="1067">
        <f t="shared" si="703"/>
        <v>0</v>
      </c>
      <c r="Y463" s="1067">
        <f t="shared" si="703"/>
        <v>0</v>
      </c>
      <c r="Z463" s="1067">
        <f t="shared" si="703"/>
        <v>0</v>
      </c>
      <c r="AA463" s="1067">
        <f t="shared" si="703"/>
        <v>0</v>
      </c>
      <c r="AB463" s="1066">
        <f t="shared" si="703"/>
        <v>0</v>
      </c>
      <c r="AC463" s="1067">
        <f t="shared" si="703"/>
        <v>0</v>
      </c>
      <c r="AD463" s="1067">
        <f t="shared" si="703"/>
        <v>0</v>
      </c>
      <c r="AE463" s="1067">
        <f t="shared" si="703"/>
        <v>0</v>
      </c>
      <c r="AF463" s="1067">
        <f t="shared" si="703"/>
        <v>0</v>
      </c>
      <c r="AG463" s="1067">
        <f t="shared" si="703"/>
        <v>0</v>
      </c>
      <c r="AH463" s="1067">
        <f t="shared" si="703"/>
        <v>0</v>
      </c>
      <c r="AI463" s="1067">
        <f t="shared" si="703"/>
        <v>0</v>
      </c>
      <c r="AJ463" s="1067">
        <f t="shared" si="703"/>
        <v>0</v>
      </c>
      <c r="AK463" s="548"/>
    </row>
    <row r="464" spans="9:37">
      <c r="I464" s="323" t="s">
        <v>944</v>
      </c>
      <c r="J464" s="323"/>
      <c r="K464" s="1158">
        <f t="shared" si="702"/>
        <v>0</v>
      </c>
      <c r="L464" s="1158">
        <f t="shared" si="702"/>
        <v>0</v>
      </c>
      <c r="M464" s="1159">
        <f t="shared" si="702"/>
        <v>0</v>
      </c>
      <c r="N464" s="1158">
        <f t="shared" si="702"/>
        <v>0</v>
      </c>
      <c r="O464" s="1158">
        <f t="shared" si="702"/>
        <v>0</v>
      </c>
      <c r="P464" s="1158">
        <f t="shared" si="702"/>
        <v>0</v>
      </c>
      <c r="Q464" s="1158">
        <f t="shared" si="702"/>
        <v>0</v>
      </c>
      <c r="R464" s="1159">
        <f t="shared" si="702"/>
        <v>0</v>
      </c>
      <c r="S464" s="1158">
        <f t="shared" si="702"/>
        <v>0</v>
      </c>
      <c r="T464" s="1158">
        <f t="shared" si="702"/>
        <v>0</v>
      </c>
      <c r="U464" s="1158">
        <f t="shared" si="703"/>
        <v>0</v>
      </c>
      <c r="V464" s="1158">
        <f t="shared" si="703"/>
        <v>0</v>
      </c>
      <c r="W464" s="1159">
        <f t="shared" si="703"/>
        <v>0</v>
      </c>
      <c r="X464" s="1158">
        <f t="shared" si="703"/>
        <v>0</v>
      </c>
      <c r="Y464" s="1158">
        <f t="shared" si="703"/>
        <v>0</v>
      </c>
      <c r="Z464" s="1158">
        <f t="shared" si="703"/>
        <v>0</v>
      </c>
      <c r="AA464" s="1158">
        <f t="shared" si="703"/>
        <v>0</v>
      </c>
      <c r="AB464" s="1159">
        <f t="shared" si="703"/>
        <v>0</v>
      </c>
      <c r="AC464" s="1158">
        <f t="shared" si="703"/>
        <v>0</v>
      </c>
      <c r="AD464" s="1158">
        <f t="shared" si="703"/>
        <v>0</v>
      </c>
      <c r="AE464" s="1158">
        <f t="shared" si="703"/>
        <v>0</v>
      </c>
      <c r="AF464" s="1158">
        <f t="shared" si="703"/>
        <v>0</v>
      </c>
      <c r="AG464" s="1158">
        <f t="shared" si="703"/>
        <v>0</v>
      </c>
      <c r="AH464" s="1158">
        <f t="shared" si="703"/>
        <v>0</v>
      </c>
      <c r="AI464" s="1158">
        <f t="shared" si="703"/>
        <v>0</v>
      </c>
      <c r="AJ464" s="1158">
        <f t="shared" si="703"/>
        <v>0</v>
      </c>
      <c r="AK464" s="548"/>
    </row>
    <row r="465" spans="1:89">
      <c r="I465" s="93" t="s">
        <v>113</v>
      </c>
      <c r="K465" s="464">
        <f>SUM(K461:K464)</f>
        <v>0</v>
      </c>
      <c r="L465" s="464">
        <f t="shared" ref="L465:AF465" si="704">SUM(L461:L464)</f>
        <v>0</v>
      </c>
      <c r="M465" s="1054">
        <f t="shared" si="704"/>
        <v>0</v>
      </c>
      <c r="N465" s="464">
        <f t="shared" si="704"/>
        <v>0</v>
      </c>
      <c r="O465" s="464">
        <f t="shared" si="704"/>
        <v>0</v>
      </c>
      <c r="P465" s="464">
        <f t="shared" si="704"/>
        <v>0</v>
      </c>
      <c r="Q465" s="464">
        <f t="shared" si="704"/>
        <v>0</v>
      </c>
      <c r="R465" s="1054">
        <f t="shared" si="704"/>
        <v>0</v>
      </c>
      <c r="S465" s="464">
        <f t="shared" si="704"/>
        <v>0</v>
      </c>
      <c r="T465" s="464">
        <f t="shared" si="704"/>
        <v>0</v>
      </c>
      <c r="U465" s="464">
        <f t="shared" si="704"/>
        <v>1928.3883540002439</v>
      </c>
      <c r="V465" s="464">
        <f t="shared" si="704"/>
        <v>1863.4913725141939</v>
      </c>
      <c r="W465" s="1054">
        <f t="shared" si="704"/>
        <v>1850.3182268629637</v>
      </c>
      <c r="X465" s="464">
        <f t="shared" si="704"/>
        <v>1860.9939467005511</v>
      </c>
      <c r="Y465" s="464">
        <f t="shared" si="704"/>
        <v>1884.6482554317226</v>
      </c>
      <c r="Z465" s="464">
        <f t="shared" si="704"/>
        <v>1883.8406593782124</v>
      </c>
      <c r="AA465" s="464">
        <f t="shared" si="704"/>
        <v>1893.282908536095</v>
      </c>
      <c r="AB465" s="1054">
        <f t="shared" si="704"/>
        <v>1966.6590870588518</v>
      </c>
      <c r="AC465" s="464">
        <f t="shared" si="704"/>
        <v>2004.5807805715563</v>
      </c>
      <c r="AD465" s="464">
        <f t="shared" si="704"/>
        <v>2042.7304903590145</v>
      </c>
      <c r="AE465" s="464">
        <f t="shared" si="704"/>
        <v>2081.9818345573044</v>
      </c>
      <c r="AF465" s="464">
        <f t="shared" si="704"/>
        <v>2179.7753105821344</v>
      </c>
      <c r="AG465" s="464">
        <f>SUM(AG461:AG464)</f>
        <v>2210.306734419125</v>
      </c>
      <c r="AH465" s="464">
        <f>SUM(AH461:AH464)</f>
        <v>2242.6805324728589</v>
      </c>
      <c r="AI465" s="464">
        <f>SUM(AI461:AI464)</f>
        <v>2281.2905969439557</v>
      </c>
      <c r="AJ465" s="464">
        <f>SUM(AJ461:AJ464)</f>
        <v>2316.9475655516571</v>
      </c>
      <c r="AK465" s="548"/>
    </row>
    <row r="466" spans="1:89">
      <c r="I466" s="583" t="s">
        <v>924</v>
      </c>
      <c r="J466" s="105"/>
      <c r="K466" s="1160" t="str">
        <f>IFERROR((K461+K463)/K465,"")</f>
        <v/>
      </c>
      <c r="L466" s="1160" t="str">
        <f t="shared" ref="L466:AF466" si="705">IFERROR((L461+L463)/L465,"")</f>
        <v/>
      </c>
      <c r="M466" s="1161" t="str">
        <f t="shared" si="705"/>
        <v/>
      </c>
      <c r="N466" s="1160" t="str">
        <f t="shared" si="705"/>
        <v/>
      </c>
      <c r="O466" s="1160" t="str">
        <f t="shared" si="705"/>
        <v/>
      </c>
      <c r="P466" s="1160" t="str">
        <f t="shared" si="705"/>
        <v/>
      </c>
      <c r="Q466" s="1160" t="str">
        <f t="shared" si="705"/>
        <v/>
      </c>
      <c r="R466" s="1161" t="str">
        <f t="shared" si="705"/>
        <v/>
      </c>
      <c r="S466" s="1160" t="str">
        <f t="shared" si="705"/>
        <v/>
      </c>
      <c r="T466" s="1160" t="str">
        <f t="shared" si="705"/>
        <v/>
      </c>
      <c r="U466" s="1160">
        <f t="shared" si="705"/>
        <v>0.87239464535265709</v>
      </c>
      <c r="V466" s="1160">
        <f t="shared" si="705"/>
        <v>0.89868087378660133</v>
      </c>
      <c r="W466" s="1161">
        <f t="shared" si="705"/>
        <v>0.893123887991909</v>
      </c>
      <c r="X466" s="1160">
        <f t="shared" si="705"/>
        <v>0.88908580223955636</v>
      </c>
      <c r="Y466" s="1160">
        <f t="shared" si="705"/>
        <v>0.88349225901966766</v>
      </c>
      <c r="Z466" s="1160">
        <f t="shared" si="705"/>
        <v>0.88267098079213513</v>
      </c>
      <c r="AA466" s="1160">
        <f t="shared" si="705"/>
        <v>0.74653000802948122</v>
      </c>
      <c r="AB466" s="1161">
        <f t="shared" si="705"/>
        <v>0.75468197575430729</v>
      </c>
      <c r="AC466" s="1160">
        <f t="shared" si="705"/>
        <v>0.75568429269523629</v>
      </c>
      <c r="AD466" s="1160">
        <f t="shared" si="705"/>
        <v>0.75721112658247469</v>
      </c>
      <c r="AE466" s="1160">
        <f t="shared" si="705"/>
        <v>0.75896060148970901</v>
      </c>
      <c r="AF466" s="1160">
        <f t="shared" si="705"/>
        <v>0.73404410821047705</v>
      </c>
      <c r="AG466" s="1160">
        <f>IFERROR((AG461+AG463)/AG465,"")</f>
        <v>0.73453919862721928</v>
      </c>
      <c r="AH466" s="1160">
        <f>IFERROR((AH461+AH463)/AH465,"")</f>
        <v>0.73525418599920533</v>
      </c>
      <c r="AI466" s="1160">
        <f>IFERROR((AI461+AI463)/AI465,"")</f>
        <v>0.73478364970689503</v>
      </c>
      <c r="AJ466" s="1160">
        <f>IFERROR((AJ461+AJ463)/AJ465,"")</f>
        <v>0.73618275547171019</v>
      </c>
      <c r="AK466" s="548"/>
    </row>
    <row r="467" spans="1:89">
      <c r="I467" s="586" t="s">
        <v>925</v>
      </c>
      <c r="J467" s="109"/>
      <c r="K467" s="1162" t="str">
        <f>IFERROR((K462+K464)/K465,"")</f>
        <v/>
      </c>
      <c r="L467" s="1162" t="str">
        <f t="shared" ref="L467:AF467" si="706">IFERROR((L462+L464)/L465,"")</f>
        <v/>
      </c>
      <c r="M467" s="1163" t="str">
        <f t="shared" si="706"/>
        <v/>
      </c>
      <c r="N467" s="1162" t="str">
        <f t="shared" si="706"/>
        <v/>
      </c>
      <c r="O467" s="1162" t="str">
        <f t="shared" si="706"/>
        <v/>
      </c>
      <c r="P467" s="1162" t="str">
        <f t="shared" si="706"/>
        <v/>
      </c>
      <c r="Q467" s="1162" t="str">
        <f t="shared" si="706"/>
        <v/>
      </c>
      <c r="R467" s="1163" t="str">
        <f t="shared" si="706"/>
        <v/>
      </c>
      <c r="S467" s="1162" t="str">
        <f t="shared" si="706"/>
        <v/>
      </c>
      <c r="T467" s="1162" t="str">
        <f t="shared" si="706"/>
        <v/>
      </c>
      <c r="U467" s="1162">
        <f t="shared" si="706"/>
        <v>0.12760535464734293</v>
      </c>
      <c r="V467" s="1162">
        <f t="shared" si="706"/>
        <v>0.10131912621339866</v>
      </c>
      <c r="W467" s="1163">
        <f t="shared" si="706"/>
        <v>0.10687611200809101</v>
      </c>
      <c r="X467" s="1162">
        <f t="shared" si="706"/>
        <v>0.11091419776044362</v>
      </c>
      <c r="Y467" s="1162">
        <f t="shared" si="706"/>
        <v>0.1165077409803324</v>
      </c>
      <c r="Z467" s="1162">
        <f t="shared" si="706"/>
        <v>0.11732901920786479</v>
      </c>
      <c r="AA467" s="1162">
        <f t="shared" si="706"/>
        <v>0.25346999197051878</v>
      </c>
      <c r="AB467" s="1163">
        <f t="shared" si="706"/>
        <v>0.24531802424569268</v>
      </c>
      <c r="AC467" s="1162">
        <f t="shared" si="706"/>
        <v>0.24431570730476368</v>
      </c>
      <c r="AD467" s="1162">
        <f t="shared" si="706"/>
        <v>0.24278887341752528</v>
      </c>
      <c r="AE467" s="1162">
        <f t="shared" si="706"/>
        <v>0.24103939851029096</v>
      </c>
      <c r="AF467" s="1162">
        <f t="shared" si="706"/>
        <v>0.26595589178952295</v>
      </c>
      <c r="AG467" s="1162">
        <f>IFERROR((AG462+AG464)/AG465,"")</f>
        <v>0.26546080137278072</v>
      </c>
      <c r="AH467" s="1162">
        <f>IFERROR((AH462+AH464)/AH465,"")</f>
        <v>0.26474581400079461</v>
      </c>
      <c r="AI467" s="1162">
        <f>IFERROR((AI462+AI464)/AI465,"")</f>
        <v>0.26521635029310503</v>
      </c>
      <c r="AJ467" s="1162">
        <f>IFERROR((AJ462+AJ464)/AJ465,"")</f>
        <v>0.26381724452828975</v>
      </c>
      <c r="AK467" s="548"/>
    </row>
    <row r="468" spans="1:89">
      <c r="AK468" s="548"/>
    </row>
    <row r="469" spans="1:89">
      <c r="A469" s="856"/>
      <c r="B469" s="856"/>
      <c r="C469" s="856"/>
      <c r="D469" s="856"/>
      <c r="E469" s="856"/>
      <c r="F469" s="856"/>
      <c r="G469" s="856"/>
      <c r="H469" s="856"/>
      <c r="I469" s="856"/>
      <c r="J469" s="856"/>
      <c r="K469" s="856"/>
      <c r="L469" s="856"/>
      <c r="M469" s="856"/>
      <c r="N469" s="856"/>
      <c r="O469" s="856"/>
      <c r="P469" s="856"/>
      <c r="Q469" s="856"/>
      <c r="R469" s="856"/>
      <c r="S469" s="856"/>
      <c r="T469" s="856"/>
      <c r="U469" s="856"/>
      <c r="V469" s="856"/>
      <c r="W469" s="856"/>
      <c r="X469" s="856"/>
      <c r="Y469" s="856"/>
      <c r="Z469" s="856"/>
      <c r="AA469" s="856"/>
      <c r="AB469" s="856"/>
      <c r="AC469" s="856"/>
      <c r="AD469" s="856"/>
      <c r="AE469" s="856"/>
      <c r="AF469" s="856"/>
      <c r="AG469" s="856"/>
      <c r="AH469" s="856"/>
      <c r="AI469" s="856"/>
      <c r="AJ469" s="856"/>
      <c r="AK469" s="856"/>
      <c r="AL469" s="856"/>
    </row>
    <row r="470" spans="1:89">
      <c r="A470" s="858" t="s">
        <v>945</v>
      </c>
      <c r="B470" s="859"/>
      <c r="C470" s="321"/>
      <c r="D470" s="321"/>
      <c r="AK470" s="548"/>
    </row>
    <row r="471" spans="1:89" ht="12.75" thickBot="1">
      <c r="AK471" s="548"/>
    </row>
    <row r="472" spans="1:89" ht="12.75" thickBot="1">
      <c r="I472" s="2099" t="s">
        <v>926</v>
      </c>
      <c r="J472" s="2100"/>
      <c r="K472" s="2100"/>
      <c r="L472" s="2100"/>
      <c r="M472" s="2100"/>
      <c r="N472" s="2100"/>
      <c r="O472" s="2100"/>
      <c r="P472" s="2100"/>
      <c r="Q472" s="2100"/>
      <c r="R472" s="2100"/>
      <c r="S472" s="2100"/>
      <c r="T472" s="2100"/>
      <c r="U472" s="2100"/>
      <c r="V472" s="2100"/>
      <c r="W472" s="2100"/>
      <c r="X472" s="2100"/>
      <c r="Y472" s="2100"/>
      <c r="Z472" s="2100"/>
      <c r="AA472" s="2100"/>
      <c r="AB472" s="2100"/>
      <c r="AC472" s="2100"/>
      <c r="AD472" s="2100"/>
      <c r="AE472" s="2100"/>
      <c r="AF472" s="2100"/>
      <c r="AG472" s="2100"/>
      <c r="AH472" s="2100"/>
      <c r="AI472" s="2100"/>
      <c r="AJ472" s="2101"/>
      <c r="AK472" s="548"/>
    </row>
    <row r="473" spans="1:89" s="89" customFormat="1">
      <c r="H473" s="860"/>
      <c r="I473" s="861" t="str">
        <f>I448</f>
        <v>Water</v>
      </c>
      <c r="J473" s="862"/>
      <c r="K473" s="1065">
        <f t="shared" ref="K473:R473" si="707">SUM(K474:K477)</f>
        <v>0</v>
      </c>
      <c r="L473" s="1065">
        <f t="shared" si="707"/>
        <v>0</v>
      </c>
      <c r="M473" s="1064">
        <f t="shared" si="707"/>
        <v>0</v>
      </c>
      <c r="N473" s="1065">
        <f t="shared" si="707"/>
        <v>0</v>
      </c>
      <c r="O473" s="1065">
        <f t="shared" si="707"/>
        <v>0</v>
      </c>
      <c r="P473" s="1065">
        <f t="shared" si="707"/>
        <v>0</v>
      </c>
      <c r="Q473" s="1065">
        <f t="shared" si="707"/>
        <v>0</v>
      </c>
      <c r="R473" s="1064">
        <f t="shared" si="707"/>
        <v>0</v>
      </c>
      <c r="S473" s="1065">
        <f t="shared" ref="S473:AF473" si="708">SUM(S474:S477)</f>
        <v>0</v>
      </c>
      <c r="T473" s="1065">
        <f t="shared" si="708"/>
        <v>0</v>
      </c>
      <c r="U473" s="1065">
        <f t="shared" si="708"/>
        <v>1077.4106802218334</v>
      </c>
      <c r="V473" s="1065">
        <f t="shared" si="708"/>
        <v>1052.1835668589245</v>
      </c>
      <c r="W473" s="1064">
        <f t="shared" si="708"/>
        <v>1025.5097137821936</v>
      </c>
      <c r="X473" s="1065">
        <f t="shared" si="708"/>
        <v>1012.6547519309352</v>
      </c>
      <c r="Y473" s="1065">
        <f t="shared" si="708"/>
        <v>1019.2869674960648</v>
      </c>
      <c r="Z473" s="1065">
        <f t="shared" si="708"/>
        <v>994.30255070499993</v>
      </c>
      <c r="AA473" s="1065">
        <f t="shared" si="708"/>
        <v>954.62163214767634</v>
      </c>
      <c r="AB473" s="1064">
        <f t="shared" si="708"/>
        <v>1005.4567981294433</v>
      </c>
      <c r="AC473" s="1065">
        <f t="shared" si="708"/>
        <v>1020.1151557686104</v>
      </c>
      <c r="AD473" s="1065">
        <f t="shared" si="708"/>
        <v>1034.1482576417075</v>
      </c>
      <c r="AE473" s="1065">
        <f t="shared" si="708"/>
        <v>1049.4526844726749</v>
      </c>
      <c r="AF473" s="1065">
        <f t="shared" si="708"/>
        <v>1099.257091077696</v>
      </c>
      <c r="AG473" s="1065">
        <f>SUM(AG474:AG477)</f>
        <v>1095.6217132133859</v>
      </c>
      <c r="AH473" s="1065">
        <f>SUM(AH474:AH477)</f>
        <v>1092.751160281184</v>
      </c>
      <c r="AI473" s="1065">
        <f>SUM(AI474:AI477)</f>
        <v>1094.1736821237687</v>
      </c>
      <c r="AJ473" s="1164">
        <f>SUM(AJ474:AJ477)</f>
        <v>1091.1302417554289</v>
      </c>
      <c r="AK473" s="548"/>
      <c r="AM473" s="877"/>
    </row>
    <row r="474" spans="1:89">
      <c r="H474" s="865"/>
      <c r="I474" s="866" t="str">
        <f>$I$461</f>
        <v>Price cap - Fixed</v>
      </c>
      <c r="J474" s="867"/>
      <c r="K474" s="1067">
        <f t="shared" ref="K474:M477" si="709">+SUMIFS(K$69:K$444,$E$69:$E$444,$E$71,$F$69:$F$444,$I$473,$I$69:$I$444,$I474)</f>
        <v>0</v>
      </c>
      <c r="L474" s="1067">
        <f t="shared" si="709"/>
        <v>0</v>
      </c>
      <c r="M474" s="1066">
        <f t="shared" si="709"/>
        <v>0</v>
      </c>
      <c r="N474" s="1067">
        <f t="shared" ref="N474:R477" si="710">+SUMIFS(N$69:N$444,$E$69:$E$444,$E$71,$F$69:$F$444,$I$473,$I$69:$I$444,$I474)</f>
        <v>0</v>
      </c>
      <c r="O474" s="1067">
        <f t="shared" si="710"/>
        <v>0</v>
      </c>
      <c r="P474" s="1067">
        <f t="shared" si="710"/>
        <v>0</v>
      </c>
      <c r="Q474" s="1067">
        <f t="shared" si="710"/>
        <v>0</v>
      </c>
      <c r="R474" s="1066">
        <f t="shared" si="710"/>
        <v>0</v>
      </c>
      <c r="S474" s="1067">
        <f t="shared" ref="S474:AJ477" si="711">+SUMIFS(S$69:S$444,$E$69:$E$444,$E$71,$F$69:$F$444,$I$473,$I$69:$I$444,$I474)</f>
        <v>0</v>
      </c>
      <c r="T474" s="1067">
        <f t="shared" si="711"/>
        <v>0</v>
      </c>
      <c r="U474" s="1067">
        <f t="shared" si="711"/>
        <v>942.5400382903249</v>
      </c>
      <c r="V474" s="1067">
        <f t="shared" si="711"/>
        <v>920.16128624428723</v>
      </c>
      <c r="W474" s="1066">
        <f t="shared" si="711"/>
        <v>888.14726803089798</v>
      </c>
      <c r="X474" s="1067">
        <f t="shared" si="711"/>
        <v>864.76897001567102</v>
      </c>
      <c r="Y474" s="1067">
        <f t="shared" si="711"/>
        <v>858.34001731920011</v>
      </c>
      <c r="Z474" s="1067">
        <f t="shared" si="711"/>
        <v>835.18694375999985</v>
      </c>
      <c r="AA474" s="1067">
        <f t="shared" si="711"/>
        <v>559.31959876665871</v>
      </c>
      <c r="AB474" s="1066">
        <f t="shared" si="711"/>
        <v>608.8319549415653</v>
      </c>
      <c r="AC474" s="1067">
        <f t="shared" si="711"/>
        <v>617.18381183815063</v>
      </c>
      <c r="AD474" s="1067">
        <f t="shared" si="711"/>
        <v>625.81324575698386</v>
      </c>
      <c r="AE474" s="1067">
        <f t="shared" si="711"/>
        <v>634.74723941975174</v>
      </c>
      <c r="AF474" s="1067">
        <f t="shared" si="711"/>
        <v>624.95518997335262</v>
      </c>
      <c r="AG474" s="1067">
        <f t="shared" si="711"/>
        <v>615.79283556818768</v>
      </c>
      <c r="AH474" s="1067">
        <f t="shared" si="711"/>
        <v>606.98305147051622</v>
      </c>
      <c r="AI474" s="1067">
        <f t="shared" si="711"/>
        <v>598.54343942831156</v>
      </c>
      <c r="AJ474" s="1165">
        <f t="shared" si="711"/>
        <v>590.49538035190369</v>
      </c>
      <c r="AK474" s="548"/>
    </row>
    <row r="475" spans="1:89">
      <c r="H475" s="865"/>
      <c r="I475" s="866" t="str">
        <f>$I$462</f>
        <v xml:space="preserve">Price cap - Variable </v>
      </c>
      <c r="J475" s="867"/>
      <c r="K475" s="1067">
        <f t="shared" si="709"/>
        <v>0</v>
      </c>
      <c r="L475" s="1067">
        <f t="shared" si="709"/>
        <v>0</v>
      </c>
      <c r="M475" s="1066">
        <f t="shared" si="709"/>
        <v>0</v>
      </c>
      <c r="N475" s="1067">
        <f t="shared" si="710"/>
        <v>0</v>
      </c>
      <c r="O475" s="1067">
        <f t="shared" si="710"/>
        <v>0</v>
      </c>
      <c r="P475" s="1067">
        <f t="shared" si="710"/>
        <v>0</v>
      </c>
      <c r="Q475" s="1067">
        <f t="shared" si="710"/>
        <v>0</v>
      </c>
      <c r="R475" s="1066">
        <f t="shared" si="710"/>
        <v>0</v>
      </c>
      <c r="S475" s="1067">
        <f t="shared" si="711"/>
        <v>0</v>
      </c>
      <c r="T475" s="1067">
        <f t="shared" si="711"/>
        <v>0</v>
      </c>
      <c r="U475" s="1067">
        <f t="shared" si="711"/>
        <v>134.8706419315086</v>
      </c>
      <c r="V475" s="1067">
        <f t="shared" si="711"/>
        <v>132.02228061463731</v>
      </c>
      <c r="W475" s="1066">
        <f t="shared" si="711"/>
        <v>137.36244575129555</v>
      </c>
      <c r="X475" s="1067">
        <f t="shared" si="711"/>
        <v>147.88578191526412</v>
      </c>
      <c r="Y475" s="1067">
        <f t="shared" si="711"/>
        <v>160.94695017686468</v>
      </c>
      <c r="Z475" s="1067">
        <f t="shared" si="711"/>
        <v>159.11560694500002</v>
      </c>
      <c r="AA475" s="1067">
        <f t="shared" si="711"/>
        <v>395.30203338101757</v>
      </c>
      <c r="AB475" s="1066">
        <f t="shared" si="711"/>
        <v>396.62484318787801</v>
      </c>
      <c r="AC475" s="1067">
        <f t="shared" si="711"/>
        <v>402.93134393045978</v>
      </c>
      <c r="AD475" s="1067">
        <f t="shared" si="711"/>
        <v>408.33501188472349</v>
      </c>
      <c r="AE475" s="1067">
        <f t="shared" si="711"/>
        <v>414.70544505292327</v>
      </c>
      <c r="AF475" s="1067">
        <f t="shared" si="711"/>
        <v>474.30190110434347</v>
      </c>
      <c r="AG475" s="1067">
        <f t="shared" si="711"/>
        <v>479.82887764519825</v>
      </c>
      <c r="AH475" s="1067">
        <f t="shared" si="711"/>
        <v>485.7681088106678</v>
      </c>
      <c r="AI475" s="1067">
        <f t="shared" si="711"/>
        <v>495.63024269545701</v>
      </c>
      <c r="AJ475" s="1165">
        <f t="shared" si="711"/>
        <v>500.63486140352512</v>
      </c>
      <c r="AK475" s="548"/>
    </row>
    <row r="476" spans="1:89">
      <c r="H476" s="865"/>
      <c r="I476" s="866" t="str">
        <f>$I$463</f>
        <v xml:space="preserve">Revenue cap - Fixed </v>
      </c>
      <c r="J476" s="867"/>
      <c r="K476" s="1067">
        <f t="shared" si="709"/>
        <v>0</v>
      </c>
      <c r="L476" s="1067">
        <f t="shared" si="709"/>
        <v>0</v>
      </c>
      <c r="M476" s="1066">
        <f t="shared" si="709"/>
        <v>0</v>
      </c>
      <c r="N476" s="1067">
        <f t="shared" si="710"/>
        <v>0</v>
      </c>
      <c r="O476" s="1067">
        <f t="shared" si="710"/>
        <v>0</v>
      </c>
      <c r="P476" s="1067">
        <f t="shared" si="710"/>
        <v>0</v>
      </c>
      <c r="Q476" s="1067">
        <f t="shared" si="710"/>
        <v>0</v>
      </c>
      <c r="R476" s="1066">
        <f t="shared" si="710"/>
        <v>0</v>
      </c>
      <c r="S476" s="1067">
        <f t="shared" si="711"/>
        <v>0</v>
      </c>
      <c r="T476" s="1067">
        <f t="shared" si="711"/>
        <v>0</v>
      </c>
      <c r="U476" s="1067">
        <f t="shared" si="711"/>
        <v>0</v>
      </c>
      <c r="V476" s="1067">
        <f t="shared" si="711"/>
        <v>0</v>
      </c>
      <c r="W476" s="1066">
        <f t="shared" si="711"/>
        <v>0</v>
      </c>
      <c r="X476" s="1067">
        <f t="shared" si="711"/>
        <v>0</v>
      </c>
      <c r="Y476" s="1067">
        <f t="shared" si="711"/>
        <v>0</v>
      </c>
      <c r="Z476" s="1067">
        <f t="shared" si="711"/>
        <v>0</v>
      </c>
      <c r="AA476" s="1067">
        <f t="shared" si="711"/>
        <v>0</v>
      </c>
      <c r="AB476" s="1066">
        <f t="shared" si="711"/>
        <v>0</v>
      </c>
      <c r="AC476" s="1067">
        <f t="shared" si="711"/>
        <v>0</v>
      </c>
      <c r="AD476" s="1067">
        <f t="shared" si="711"/>
        <v>0</v>
      </c>
      <c r="AE476" s="1067">
        <f t="shared" si="711"/>
        <v>0</v>
      </c>
      <c r="AF476" s="1067">
        <f t="shared" si="711"/>
        <v>0</v>
      </c>
      <c r="AG476" s="1067">
        <f t="shared" si="711"/>
        <v>0</v>
      </c>
      <c r="AH476" s="1067">
        <f t="shared" si="711"/>
        <v>0</v>
      </c>
      <c r="AI476" s="1067">
        <f t="shared" si="711"/>
        <v>0</v>
      </c>
      <c r="AJ476" s="1165">
        <f t="shared" si="711"/>
        <v>0</v>
      </c>
      <c r="AK476" s="548"/>
    </row>
    <row r="477" spans="1:89">
      <c r="H477" s="865"/>
      <c r="I477" s="866" t="str">
        <f>$I$464</f>
        <v>Revenue cap - Variable</v>
      </c>
      <c r="J477" s="867"/>
      <c r="K477" s="1067">
        <f t="shared" si="709"/>
        <v>0</v>
      </c>
      <c r="L477" s="1067">
        <f t="shared" si="709"/>
        <v>0</v>
      </c>
      <c r="M477" s="1066">
        <f t="shared" si="709"/>
        <v>0</v>
      </c>
      <c r="N477" s="1067">
        <f t="shared" si="710"/>
        <v>0</v>
      </c>
      <c r="O477" s="1067">
        <f t="shared" si="710"/>
        <v>0</v>
      </c>
      <c r="P477" s="1067">
        <f t="shared" si="710"/>
        <v>0</v>
      </c>
      <c r="Q477" s="1067">
        <f t="shared" si="710"/>
        <v>0</v>
      </c>
      <c r="R477" s="1066">
        <f t="shared" si="710"/>
        <v>0</v>
      </c>
      <c r="S477" s="1067">
        <f t="shared" si="711"/>
        <v>0</v>
      </c>
      <c r="T477" s="1067">
        <f t="shared" si="711"/>
        <v>0</v>
      </c>
      <c r="U477" s="1067">
        <f t="shared" si="711"/>
        <v>0</v>
      </c>
      <c r="V477" s="1067">
        <f t="shared" si="711"/>
        <v>0</v>
      </c>
      <c r="W477" s="1066">
        <f t="shared" si="711"/>
        <v>0</v>
      </c>
      <c r="X477" s="1067">
        <f t="shared" si="711"/>
        <v>0</v>
      </c>
      <c r="Y477" s="1067">
        <f t="shared" si="711"/>
        <v>0</v>
      </c>
      <c r="Z477" s="1067">
        <f t="shared" si="711"/>
        <v>0</v>
      </c>
      <c r="AA477" s="1067">
        <f t="shared" si="711"/>
        <v>0</v>
      </c>
      <c r="AB477" s="1066">
        <f t="shared" si="711"/>
        <v>0</v>
      </c>
      <c r="AC477" s="1067">
        <f t="shared" si="711"/>
        <v>0</v>
      </c>
      <c r="AD477" s="1067">
        <f t="shared" si="711"/>
        <v>0</v>
      </c>
      <c r="AE477" s="1067">
        <f t="shared" si="711"/>
        <v>0</v>
      </c>
      <c r="AF477" s="1067">
        <f t="shared" si="711"/>
        <v>0</v>
      </c>
      <c r="AG477" s="1067">
        <f t="shared" si="711"/>
        <v>0</v>
      </c>
      <c r="AH477" s="1067">
        <f t="shared" si="711"/>
        <v>0</v>
      </c>
      <c r="AI477" s="1067">
        <f t="shared" si="711"/>
        <v>0</v>
      </c>
      <c r="AJ477" s="1165">
        <f t="shared" si="711"/>
        <v>0</v>
      </c>
      <c r="AK477" s="548"/>
    </row>
    <row r="478" spans="1:89" s="868" customFormat="1">
      <c r="H478" s="869"/>
      <c r="I478" s="870" t="s">
        <v>130</v>
      </c>
      <c r="J478" s="871"/>
      <c r="K478" s="1166">
        <f t="shared" ref="K478:R478" si="712">K473-K448</f>
        <v>0</v>
      </c>
      <c r="L478" s="1166">
        <f t="shared" si="712"/>
        <v>0</v>
      </c>
      <c r="M478" s="1167">
        <f t="shared" si="712"/>
        <v>0</v>
      </c>
      <c r="N478" s="1166">
        <f t="shared" si="712"/>
        <v>0</v>
      </c>
      <c r="O478" s="1166">
        <f t="shared" si="712"/>
        <v>0</v>
      </c>
      <c r="P478" s="1166">
        <f t="shared" si="712"/>
        <v>0</v>
      </c>
      <c r="Q478" s="1166">
        <f t="shared" si="712"/>
        <v>0</v>
      </c>
      <c r="R478" s="1068">
        <f t="shared" si="712"/>
        <v>0</v>
      </c>
      <c r="S478" s="1069">
        <f t="shared" ref="S478:AF478" si="713">S473-S448</f>
        <v>0</v>
      </c>
      <c r="T478" s="1069">
        <f t="shared" si="713"/>
        <v>0</v>
      </c>
      <c r="U478" s="1069">
        <f t="shared" si="713"/>
        <v>0</v>
      </c>
      <c r="V478" s="1069">
        <f t="shared" si="713"/>
        <v>0</v>
      </c>
      <c r="W478" s="1068">
        <f t="shared" si="713"/>
        <v>0</v>
      </c>
      <c r="X478" s="1069">
        <f t="shared" si="713"/>
        <v>0</v>
      </c>
      <c r="Y478" s="1069">
        <f t="shared" si="713"/>
        <v>0</v>
      </c>
      <c r="Z478" s="1069">
        <f t="shared" si="713"/>
        <v>0</v>
      </c>
      <c r="AA478" s="1069">
        <f t="shared" si="713"/>
        <v>0</v>
      </c>
      <c r="AB478" s="1068">
        <f t="shared" si="713"/>
        <v>0</v>
      </c>
      <c r="AC478" s="1069">
        <f t="shared" si="713"/>
        <v>0</v>
      </c>
      <c r="AD478" s="1069">
        <f t="shared" si="713"/>
        <v>0</v>
      </c>
      <c r="AE478" s="1069">
        <f t="shared" si="713"/>
        <v>0</v>
      </c>
      <c r="AF478" s="1069">
        <f t="shared" si="713"/>
        <v>0</v>
      </c>
      <c r="AG478" s="1069">
        <f>AG473-AG448</f>
        <v>0</v>
      </c>
      <c r="AH478" s="1069">
        <f>AH473-AH448</f>
        <v>0</v>
      </c>
      <c r="AI478" s="1069">
        <f>AI473-AI448</f>
        <v>0</v>
      </c>
      <c r="AJ478" s="1168">
        <f>AJ473-AJ448</f>
        <v>0</v>
      </c>
      <c r="AK478" s="548"/>
      <c r="AM478" s="881"/>
    </row>
    <row r="479" spans="1:89" s="89" customFormat="1">
      <c r="H479" s="860"/>
      <c r="I479" s="861" t="str">
        <f>I449</f>
        <v>Sewerage</v>
      </c>
      <c r="J479" s="862"/>
      <c r="K479" s="1065">
        <f t="shared" ref="K479:R479" si="714">SUM(K480:K483)</f>
        <v>0</v>
      </c>
      <c r="L479" s="1065">
        <f t="shared" si="714"/>
        <v>0</v>
      </c>
      <c r="M479" s="1064">
        <f t="shared" si="714"/>
        <v>0</v>
      </c>
      <c r="N479" s="1065">
        <f t="shared" si="714"/>
        <v>0</v>
      </c>
      <c r="O479" s="1065">
        <f t="shared" si="714"/>
        <v>0</v>
      </c>
      <c r="P479" s="1065">
        <f t="shared" si="714"/>
        <v>0</v>
      </c>
      <c r="Q479" s="1065">
        <f t="shared" si="714"/>
        <v>0</v>
      </c>
      <c r="R479" s="1064">
        <f t="shared" si="714"/>
        <v>0</v>
      </c>
      <c r="S479" s="1065">
        <f t="shared" ref="S479:AF479" si="715">SUM(S480:S483)</f>
        <v>0</v>
      </c>
      <c r="T479" s="1065">
        <f t="shared" si="715"/>
        <v>0</v>
      </c>
      <c r="U479" s="1065">
        <f t="shared" si="715"/>
        <v>550.47253068755504</v>
      </c>
      <c r="V479" s="1065">
        <f t="shared" si="715"/>
        <v>496.05552965028045</v>
      </c>
      <c r="W479" s="1064">
        <f t="shared" si="715"/>
        <v>507.70002228708211</v>
      </c>
      <c r="X479" s="1065">
        <f t="shared" si="715"/>
        <v>524.08229620251268</v>
      </c>
      <c r="Y479" s="1065">
        <f t="shared" si="715"/>
        <v>537.354475762167</v>
      </c>
      <c r="Z479" s="1065">
        <f t="shared" si="715"/>
        <v>556.0924074437429</v>
      </c>
      <c r="AA479" s="1065">
        <f t="shared" si="715"/>
        <v>623.68788806923749</v>
      </c>
      <c r="AB479" s="1064">
        <f t="shared" si="715"/>
        <v>639.97613271777539</v>
      </c>
      <c r="AC479" s="1065">
        <f t="shared" si="715"/>
        <v>656.84801078105693</v>
      </c>
      <c r="AD479" s="1065">
        <f t="shared" si="715"/>
        <v>674.4282831195452</v>
      </c>
      <c r="AE479" s="1065">
        <f t="shared" si="715"/>
        <v>691.68671095908655</v>
      </c>
      <c r="AF479" s="1065">
        <f t="shared" si="715"/>
        <v>734.914543172104</v>
      </c>
      <c r="AG479" s="1065">
        <f>SUM(AG480:AG483)</f>
        <v>762.68386152318783</v>
      </c>
      <c r="AH479" s="1065">
        <f>SUM(AH480:AH483)</f>
        <v>791.41033289199936</v>
      </c>
      <c r="AI479" s="1065">
        <f>SUM(AI480:AI483)</f>
        <v>822.00141697440984</v>
      </c>
      <c r="AJ479" s="1164">
        <f>SUM(AJ480:AJ483)</f>
        <v>853.93512491833496</v>
      </c>
      <c r="AK479" s="548"/>
      <c r="AM479" s="877"/>
      <c r="AO479" s="868"/>
      <c r="AP479" s="868"/>
      <c r="AQ479" s="868"/>
      <c r="AR479" s="868"/>
      <c r="AS479" s="868"/>
      <c r="AT479" s="868"/>
      <c r="AU479" s="868"/>
      <c r="AV479" s="868"/>
      <c r="AW479" s="868"/>
      <c r="AX479" s="868"/>
      <c r="AY479" s="868"/>
      <c r="AZ479" s="868"/>
      <c r="BA479" s="868"/>
      <c r="BB479" s="868"/>
      <c r="BC479" s="868"/>
      <c r="BD479" s="868"/>
      <c r="BE479" s="868"/>
      <c r="BF479" s="868"/>
      <c r="BG479" s="868"/>
      <c r="BH479" s="868"/>
      <c r="BI479" s="868"/>
      <c r="BJ479" s="868"/>
      <c r="BK479" s="868"/>
      <c r="BL479" s="868"/>
      <c r="BM479" s="868"/>
      <c r="BN479" s="868"/>
      <c r="BO479" s="868"/>
      <c r="BP479" s="868"/>
      <c r="BQ479" s="868"/>
      <c r="BR479" s="868"/>
      <c r="BS479" s="868"/>
      <c r="BT479" s="868"/>
      <c r="BU479" s="868"/>
      <c r="BV479" s="868"/>
      <c r="BW479" s="868"/>
      <c r="BX479" s="868"/>
      <c r="BY479" s="868"/>
      <c r="BZ479" s="868"/>
      <c r="CA479" s="868"/>
      <c r="CB479" s="868"/>
      <c r="CC479" s="868"/>
      <c r="CD479" s="868"/>
      <c r="CE479" s="868"/>
      <c r="CF479" s="868"/>
      <c r="CG479" s="868"/>
      <c r="CH479" s="868"/>
      <c r="CI479" s="868"/>
      <c r="CJ479" s="868"/>
      <c r="CK479" s="868"/>
    </row>
    <row r="480" spans="1:89">
      <c r="H480" s="865"/>
      <c r="I480" s="866" t="str">
        <f>I474</f>
        <v>Price cap - Fixed</v>
      </c>
      <c r="J480" s="867"/>
      <c r="K480" s="1067">
        <f t="shared" ref="K480:M483" si="716">+SUMIFS(K$69:K$444,$E$69:$E$444,$E$71,$F$69:$F$444,$I$479,$I$69:$I$444,$I480)</f>
        <v>0</v>
      </c>
      <c r="L480" s="1067">
        <f t="shared" si="716"/>
        <v>0</v>
      </c>
      <c r="M480" s="1066">
        <f t="shared" si="716"/>
        <v>0</v>
      </c>
      <c r="N480" s="1067">
        <f t="shared" ref="N480:R483" si="717">+SUMIFS(N$69:N$444,$E$69:$E$444,$E$71,$F$69:$F$444,$I$479,$I$69:$I$444,$I480)</f>
        <v>0</v>
      </c>
      <c r="O480" s="1067">
        <f t="shared" si="717"/>
        <v>0</v>
      </c>
      <c r="P480" s="1067">
        <f t="shared" si="717"/>
        <v>0</v>
      </c>
      <c r="Q480" s="1067">
        <f t="shared" si="717"/>
        <v>0</v>
      </c>
      <c r="R480" s="1066">
        <f t="shared" si="717"/>
        <v>0</v>
      </c>
      <c r="S480" s="1067">
        <f t="shared" ref="S480:AJ483" si="718">+SUMIFS(S$69:S$444,$E$69:$E$444,$E$71,$F$69:$F$444,$I$479,$I$69:$I$444,$I480)</f>
        <v>0</v>
      </c>
      <c r="T480" s="1067">
        <f t="shared" si="718"/>
        <v>0</v>
      </c>
      <c r="U480" s="1067">
        <f t="shared" si="718"/>
        <v>439.27049280905652</v>
      </c>
      <c r="V480" s="1067">
        <f t="shared" si="718"/>
        <v>439.27049269557256</v>
      </c>
      <c r="W480" s="1066">
        <f t="shared" si="718"/>
        <v>447.30764997355925</v>
      </c>
      <c r="X480" s="1067">
        <f t="shared" si="718"/>
        <v>465.55742748244347</v>
      </c>
      <c r="Y480" s="1067">
        <f t="shared" si="718"/>
        <v>478.72531515615719</v>
      </c>
      <c r="Z480" s="1067">
        <f t="shared" si="718"/>
        <v>494.17883747999997</v>
      </c>
      <c r="AA480" s="1067">
        <f t="shared" si="718"/>
        <v>539.09951782569067</v>
      </c>
      <c r="AB480" s="1066">
        <f t="shared" si="718"/>
        <v>554.14405430353827</v>
      </c>
      <c r="AC480" s="1067">
        <f t="shared" si="718"/>
        <v>570.02878345664158</v>
      </c>
      <c r="AD480" s="1067">
        <f t="shared" si="718"/>
        <v>586.81106055437454</v>
      </c>
      <c r="AE480" s="1067">
        <f t="shared" si="718"/>
        <v>604.55250690096523</v>
      </c>
      <c r="AF480" s="1067">
        <f t="shared" si="718"/>
        <v>629.49235764979176</v>
      </c>
      <c r="AG480" s="1067">
        <f t="shared" si="718"/>
        <v>655.76294216983092</v>
      </c>
      <c r="AH480" s="1067">
        <f t="shared" si="718"/>
        <v>683.43815858940479</v>
      </c>
      <c r="AI480" s="1067">
        <f t="shared" si="718"/>
        <v>712.59609359041201</v>
      </c>
      <c r="AJ480" s="1165">
        <f t="shared" si="718"/>
        <v>743.31926386149303</v>
      </c>
      <c r="AK480" s="548"/>
      <c r="AO480" s="868"/>
      <c r="AP480" s="868"/>
      <c r="AQ480" s="868"/>
      <c r="AR480" s="868"/>
      <c r="AS480" s="868"/>
      <c r="AT480" s="868"/>
      <c r="AU480" s="868"/>
      <c r="AV480" s="868"/>
      <c r="AW480" s="868"/>
      <c r="AX480" s="868"/>
      <c r="AY480" s="868"/>
      <c r="AZ480" s="868"/>
      <c r="BA480" s="868"/>
      <c r="BB480" s="868"/>
      <c r="BC480" s="868"/>
      <c r="BD480" s="868"/>
      <c r="BE480" s="868"/>
      <c r="BF480" s="868"/>
      <c r="BG480" s="868"/>
      <c r="BH480" s="868"/>
      <c r="BI480" s="868"/>
      <c r="BJ480" s="868"/>
      <c r="BK480" s="868"/>
      <c r="BL480" s="868"/>
      <c r="BM480" s="868"/>
      <c r="BN480" s="868"/>
      <c r="BO480" s="868"/>
      <c r="BP480" s="868"/>
      <c r="BQ480" s="868"/>
      <c r="BR480" s="868"/>
      <c r="BS480" s="868"/>
      <c r="BT480" s="868"/>
      <c r="BU480" s="868"/>
      <c r="BV480" s="868"/>
      <c r="BW480" s="868"/>
      <c r="BX480" s="868"/>
      <c r="BY480" s="868"/>
      <c r="BZ480" s="868"/>
      <c r="CA480" s="868"/>
      <c r="CB480" s="868"/>
      <c r="CC480" s="868"/>
      <c r="CD480" s="868"/>
      <c r="CE480" s="868"/>
      <c r="CF480" s="868"/>
      <c r="CG480" s="868"/>
      <c r="CH480" s="868"/>
      <c r="CI480" s="868"/>
      <c r="CJ480" s="868"/>
      <c r="CK480" s="868"/>
    </row>
    <row r="481" spans="8:89">
      <c r="H481" s="865"/>
      <c r="I481" s="866" t="str">
        <f>I475</f>
        <v xml:space="preserve">Price cap - Variable </v>
      </c>
      <c r="J481" s="867"/>
      <c r="K481" s="1067">
        <f t="shared" si="716"/>
        <v>0</v>
      </c>
      <c r="L481" s="1067">
        <f t="shared" si="716"/>
        <v>0</v>
      </c>
      <c r="M481" s="1066">
        <f t="shared" si="716"/>
        <v>0</v>
      </c>
      <c r="N481" s="1067">
        <f t="shared" si="717"/>
        <v>0</v>
      </c>
      <c r="O481" s="1067">
        <f t="shared" si="717"/>
        <v>0</v>
      </c>
      <c r="P481" s="1067">
        <f t="shared" si="717"/>
        <v>0</v>
      </c>
      <c r="Q481" s="1067">
        <f t="shared" si="717"/>
        <v>0</v>
      </c>
      <c r="R481" s="1066">
        <f t="shared" si="717"/>
        <v>0</v>
      </c>
      <c r="S481" s="1067">
        <f t="shared" si="718"/>
        <v>0</v>
      </c>
      <c r="T481" s="1067">
        <f t="shared" si="718"/>
        <v>0</v>
      </c>
      <c r="U481" s="1067">
        <f t="shared" si="718"/>
        <v>111.20203787849847</v>
      </c>
      <c r="V481" s="1067">
        <f t="shared" si="718"/>
        <v>56.785036954707898</v>
      </c>
      <c r="W481" s="1066">
        <f t="shared" si="718"/>
        <v>60.39237231352287</v>
      </c>
      <c r="X481" s="1067">
        <f t="shared" si="718"/>
        <v>58.524868720069257</v>
      </c>
      <c r="Y481" s="1067">
        <f t="shared" si="718"/>
        <v>58.629160606009826</v>
      </c>
      <c r="Z481" s="1067">
        <f t="shared" si="718"/>
        <v>61.91356996374293</v>
      </c>
      <c r="AA481" s="1067">
        <f t="shared" si="718"/>
        <v>84.588370243546848</v>
      </c>
      <c r="AB481" s="1066">
        <f t="shared" si="718"/>
        <v>85.832078414237102</v>
      </c>
      <c r="AC481" s="1067">
        <f t="shared" si="718"/>
        <v>86.81922732441538</v>
      </c>
      <c r="AD481" s="1067">
        <f t="shared" si="718"/>
        <v>87.617222565170678</v>
      </c>
      <c r="AE481" s="1067">
        <f t="shared" si="718"/>
        <v>87.134204058121327</v>
      </c>
      <c r="AF481" s="1067">
        <f t="shared" si="718"/>
        <v>105.42218552231223</v>
      </c>
      <c r="AG481" s="1067">
        <f t="shared" si="718"/>
        <v>106.92091935335687</v>
      </c>
      <c r="AH481" s="1067">
        <f t="shared" si="718"/>
        <v>107.97217430259462</v>
      </c>
      <c r="AI481" s="1067">
        <f t="shared" si="718"/>
        <v>109.40532338399784</v>
      </c>
      <c r="AJ481" s="1165">
        <f t="shared" si="718"/>
        <v>110.61586105684195</v>
      </c>
      <c r="AK481" s="548"/>
      <c r="AO481" s="89"/>
      <c r="AP481" s="89"/>
      <c r="AQ481" s="89"/>
      <c r="AR481" s="89"/>
      <c r="AS481" s="89"/>
      <c r="AT481" s="89"/>
      <c r="AU481" s="89"/>
      <c r="AV481" s="89"/>
      <c r="AW481" s="89"/>
      <c r="AX481" s="89"/>
      <c r="AY481" s="89"/>
      <c r="AZ481" s="89"/>
      <c r="BA481" s="89"/>
      <c r="BB481" s="89"/>
      <c r="BC481" s="89"/>
      <c r="BD481" s="89"/>
      <c r="BE481" s="89"/>
      <c r="BF481" s="89"/>
      <c r="BG481" s="89"/>
      <c r="BH481" s="89"/>
      <c r="BI481" s="89"/>
      <c r="BJ481" s="89"/>
      <c r="BK481" s="89"/>
      <c r="BL481" s="89"/>
      <c r="BM481" s="89"/>
      <c r="BN481" s="89"/>
      <c r="BO481" s="89"/>
      <c r="BP481" s="89"/>
      <c r="BQ481" s="89"/>
      <c r="BR481" s="89"/>
      <c r="BS481" s="89"/>
      <c r="BT481" s="89"/>
      <c r="BU481" s="89"/>
      <c r="BV481" s="89"/>
      <c r="BW481" s="89"/>
      <c r="BX481" s="89"/>
      <c r="BY481" s="89"/>
      <c r="BZ481" s="89"/>
      <c r="CA481" s="89"/>
      <c r="CB481" s="89"/>
      <c r="CC481" s="89"/>
      <c r="CD481" s="89"/>
      <c r="CE481" s="89"/>
      <c r="CF481" s="89"/>
      <c r="CG481" s="89"/>
      <c r="CH481" s="89"/>
      <c r="CI481" s="89"/>
      <c r="CJ481" s="89"/>
      <c r="CK481" s="89"/>
    </row>
    <row r="482" spans="8:89">
      <c r="H482" s="865"/>
      <c r="I482" s="866" t="str">
        <f>I476</f>
        <v xml:space="preserve">Revenue cap - Fixed </v>
      </c>
      <c r="J482" s="867"/>
      <c r="K482" s="1067">
        <f t="shared" si="716"/>
        <v>0</v>
      </c>
      <c r="L482" s="1067">
        <f t="shared" si="716"/>
        <v>0</v>
      </c>
      <c r="M482" s="1066">
        <f t="shared" si="716"/>
        <v>0</v>
      </c>
      <c r="N482" s="1067">
        <f t="shared" si="717"/>
        <v>0</v>
      </c>
      <c r="O482" s="1067">
        <f t="shared" si="717"/>
        <v>0</v>
      </c>
      <c r="P482" s="1067">
        <f t="shared" si="717"/>
        <v>0</v>
      </c>
      <c r="Q482" s="1067">
        <f t="shared" si="717"/>
        <v>0</v>
      </c>
      <c r="R482" s="1066">
        <f t="shared" si="717"/>
        <v>0</v>
      </c>
      <c r="S482" s="1067">
        <f t="shared" si="718"/>
        <v>0</v>
      </c>
      <c r="T482" s="1067">
        <f t="shared" si="718"/>
        <v>0</v>
      </c>
      <c r="U482" s="1067">
        <f t="shared" si="718"/>
        <v>0</v>
      </c>
      <c r="V482" s="1067">
        <f t="shared" si="718"/>
        <v>0</v>
      </c>
      <c r="W482" s="1066">
        <f t="shared" si="718"/>
        <v>0</v>
      </c>
      <c r="X482" s="1067">
        <f t="shared" si="718"/>
        <v>0</v>
      </c>
      <c r="Y482" s="1067">
        <f t="shared" si="718"/>
        <v>0</v>
      </c>
      <c r="Z482" s="1067">
        <f t="shared" si="718"/>
        <v>0</v>
      </c>
      <c r="AA482" s="1067">
        <f t="shared" si="718"/>
        <v>0</v>
      </c>
      <c r="AB482" s="1066">
        <f t="shared" si="718"/>
        <v>0</v>
      </c>
      <c r="AC482" s="1067">
        <f t="shared" si="718"/>
        <v>0</v>
      </c>
      <c r="AD482" s="1067">
        <f t="shared" si="718"/>
        <v>0</v>
      </c>
      <c r="AE482" s="1067">
        <f t="shared" si="718"/>
        <v>0</v>
      </c>
      <c r="AF482" s="1067">
        <f t="shared" si="718"/>
        <v>0</v>
      </c>
      <c r="AG482" s="1067">
        <f t="shared" si="718"/>
        <v>0</v>
      </c>
      <c r="AH482" s="1067">
        <f t="shared" si="718"/>
        <v>0</v>
      </c>
      <c r="AI482" s="1067">
        <f t="shared" si="718"/>
        <v>0</v>
      </c>
      <c r="AJ482" s="1165">
        <f t="shared" si="718"/>
        <v>0</v>
      </c>
      <c r="AK482" s="548"/>
      <c r="AO482" s="89"/>
      <c r="AP482" s="89"/>
      <c r="AQ482" s="89"/>
      <c r="AR482" s="89"/>
      <c r="AS482" s="89"/>
      <c r="AT482" s="89"/>
      <c r="AU482" s="89"/>
      <c r="AV482" s="89"/>
      <c r="AW482" s="89"/>
      <c r="AX482" s="89"/>
      <c r="AY482" s="89"/>
      <c r="AZ482" s="89"/>
      <c r="BA482" s="89"/>
      <c r="BB482" s="89"/>
      <c r="BC482" s="89"/>
      <c r="BD482" s="89"/>
      <c r="BE482" s="89"/>
      <c r="BF482" s="89"/>
      <c r="BG482" s="89"/>
      <c r="BH482" s="89"/>
      <c r="BI482" s="89"/>
      <c r="BJ482" s="89"/>
      <c r="BK482" s="89"/>
      <c r="BL482" s="89"/>
      <c r="BM482" s="89"/>
      <c r="BN482" s="89"/>
      <c r="BO482" s="89"/>
      <c r="BP482" s="89"/>
      <c r="BQ482" s="89"/>
      <c r="BR482" s="89"/>
      <c r="BS482" s="89"/>
      <c r="BT482" s="89"/>
      <c r="BU482" s="89"/>
      <c r="BV482" s="89"/>
      <c r="BW482" s="89"/>
      <c r="BX482" s="89"/>
      <c r="BY482" s="89"/>
      <c r="BZ482" s="89"/>
      <c r="CA482" s="89"/>
      <c r="CB482" s="89"/>
      <c r="CC482" s="89"/>
      <c r="CD482" s="89"/>
      <c r="CE482" s="89"/>
      <c r="CF482" s="89"/>
      <c r="CG482" s="89"/>
      <c r="CH482" s="89"/>
      <c r="CI482" s="89"/>
      <c r="CJ482" s="89"/>
      <c r="CK482" s="89"/>
    </row>
    <row r="483" spans="8:89">
      <c r="H483" s="865"/>
      <c r="I483" s="866" t="str">
        <f>I477</f>
        <v>Revenue cap - Variable</v>
      </c>
      <c r="J483" s="867"/>
      <c r="K483" s="1067">
        <f t="shared" si="716"/>
        <v>0</v>
      </c>
      <c r="L483" s="1067">
        <f t="shared" si="716"/>
        <v>0</v>
      </c>
      <c r="M483" s="1066">
        <f t="shared" si="716"/>
        <v>0</v>
      </c>
      <c r="N483" s="1067">
        <f t="shared" si="717"/>
        <v>0</v>
      </c>
      <c r="O483" s="1067">
        <f t="shared" si="717"/>
        <v>0</v>
      </c>
      <c r="P483" s="1067">
        <f t="shared" si="717"/>
        <v>0</v>
      </c>
      <c r="Q483" s="1067">
        <f t="shared" si="717"/>
        <v>0</v>
      </c>
      <c r="R483" s="1066">
        <f t="shared" si="717"/>
        <v>0</v>
      </c>
      <c r="S483" s="1067">
        <f t="shared" si="718"/>
        <v>0</v>
      </c>
      <c r="T483" s="1067">
        <f t="shared" si="718"/>
        <v>0</v>
      </c>
      <c r="U483" s="1067">
        <f t="shared" si="718"/>
        <v>0</v>
      </c>
      <c r="V483" s="1067">
        <f t="shared" si="718"/>
        <v>0</v>
      </c>
      <c r="W483" s="1066">
        <f t="shared" si="718"/>
        <v>0</v>
      </c>
      <c r="X483" s="1067">
        <f t="shared" si="718"/>
        <v>0</v>
      </c>
      <c r="Y483" s="1067">
        <f t="shared" si="718"/>
        <v>0</v>
      </c>
      <c r="Z483" s="1067">
        <f t="shared" si="718"/>
        <v>0</v>
      </c>
      <c r="AA483" s="1067">
        <f t="shared" si="718"/>
        <v>0</v>
      </c>
      <c r="AB483" s="1066">
        <f t="shared" si="718"/>
        <v>0</v>
      </c>
      <c r="AC483" s="1067">
        <f t="shared" si="718"/>
        <v>0</v>
      </c>
      <c r="AD483" s="1067">
        <f t="shared" si="718"/>
        <v>0</v>
      </c>
      <c r="AE483" s="1067">
        <f t="shared" si="718"/>
        <v>0</v>
      </c>
      <c r="AF483" s="1067">
        <f t="shared" si="718"/>
        <v>0</v>
      </c>
      <c r="AG483" s="1067">
        <f t="shared" si="718"/>
        <v>0</v>
      </c>
      <c r="AH483" s="1067">
        <f t="shared" si="718"/>
        <v>0</v>
      </c>
      <c r="AI483" s="1067">
        <f t="shared" si="718"/>
        <v>0</v>
      </c>
      <c r="AJ483" s="1165">
        <f t="shared" si="718"/>
        <v>0</v>
      </c>
      <c r="AK483" s="548"/>
    </row>
    <row r="484" spans="8:89" s="868" customFormat="1">
      <c r="H484" s="869"/>
      <c r="I484" s="870" t="s">
        <v>130</v>
      </c>
      <c r="J484" s="871"/>
      <c r="K484" s="1166">
        <f t="shared" ref="K484:R484" si="719">K479-K449</f>
        <v>0</v>
      </c>
      <c r="L484" s="1166">
        <f t="shared" si="719"/>
        <v>0</v>
      </c>
      <c r="M484" s="1167">
        <f t="shared" si="719"/>
        <v>0</v>
      </c>
      <c r="N484" s="1166">
        <f t="shared" si="719"/>
        <v>0</v>
      </c>
      <c r="O484" s="1166">
        <f t="shared" si="719"/>
        <v>0</v>
      </c>
      <c r="P484" s="1166">
        <f t="shared" si="719"/>
        <v>0</v>
      </c>
      <c r="Q484" s="1166">
        <f t="shared" si="719"/>
        <v>0</v>
      </c>
      <c r="R484" s="1068">
        <f t="shared" si="719"/>
        <v>0</v>
      </c>
      <c r="S484" s="1069">
        <f t="shared" ref="S484:AF484" si="720">S479-S449</f>
        <v>0</v>
      </c>
      <c r="T484" s="1069">
        <f t="shared" si="720"/>
        <v>0</v>
      </c>
      <c r="U484" s="1069">
        <f t="shared" si="720"/>
        <v>0</v>
      </c>
      <c r="V484" s="1069">
        <f t="shared" si="720"/>
        <v>0</v>
      </c>
      <c r="W484" s="1068">
        <f t="shared" si="720"/>
        <v>0</v>
      </c>
      <c r="X484" s="1069">
        <f t="shared" si="720"/>
        <v>0</v>
      </c>
      <c r="Y484" s="1069">
        <f t="shared" si="720"/>
        <v>0</v>
      </c>
      <c r="Z484" s="1069">
        <f t="shared" si="720"/>
        <v>0</v>
      </c>
      <c r="AA484" s="1069">
        <f t="shared" si="720"/>
        <v>0</v>
      </c>
      <c r="AB484" s="1068">
        <f t="shared" si="720"/>
        <v>0</v>
      </c>
      <c r="AC484" s="1069">
        <f t="shared" si="720"/>
        <v>0</v>
      </c>
      <c r="AD484" s="1069">
        <f t="shared" si="720"/>
        <v>0</v>
      </c>
      <c r="AE484" s="1069">
        <f t="shared" si="720"/>
        <v>0</v>
      </c>
      <c r="AF484" s="1069">
        <f t="shared" si="720"/>
        <v>0</v>
      </c>
      <c r="AG484" s="1069">
        <f>AG479-AG449</f>
        <v>0</v>
      </c>
      <c r="AH484" s="1069">
        <f>AH479-AH449</f>
        <v>0</v>
      </c>
      <c r="AI484" s="1069">
        <f>AI479-AI449</f>
        <v>0</v>
      </c>
      <c r="AJ484" s="1168">
        <f>AJ479-AJ449</f>
        <v>0</v>
      </c>
      <c r="AK484" s="548"/>
      <c r="AM484" s="881"/>
      <c r="AO484" s="63"/>
      <c r="AP484" s="63"/>
      <c r="AQ484" s="63"/>
      <c r="AR484" s="63"/>
      <c r="AS484" s="63"/>
      <c r="AT484" s="63"/>
      <c r="AU484" s="63"/>
      <c r="AV484" s="63"/>
      <c r="AW484" s="63"/>
      <c r="AX484" s="63"/>
      <c r="AY484" s="63"/>
      <c r="AZ484" s="63"/>
      <c r="BA484" s="63"/>
      <c r="BB484" s="63"/>
      <c r="BC484" s="63"/>
      <c r="BD484" s="63"/>
      <c r="BE484" s="63"/>
      <c r="BF484" s="63"/>
      <c r="BG484" s="63"/>
      <c r="BH484" s="63"/>
      <c r="BI484" s="63"/>
      <c r="BJ484" s="63"/>
      <c r="BK484" s="63"/>
      <c r="BL484" s="63"/>
      <c r="BM484" s="63"/>
      <c r="BN484" s="63"/>
      <c r="BO484" s="63"/>
      <c r="BP484" s="63"/>
      <c r="BQ484" s="63"/>
      <c r="BR484" s="63"/>
      <c r="BS484" s="63"/>
      <c r="BT484" s="63"/>
      <c r="BU484" s="63"/>
      <c r="BV484" s="63"/>
      <c r="BW484" s="63"/>
      <c r="BX484" s="63"/>
      <c r="BY484" s="63"/>
      <c r="BZ484" s="63"/>
      <c r="CA484" s="63"/>
      <c r="CB484" s="63"/>
      <c r="CC484" s="63"/>
      <c r="CD484" s="63"/>
      <c r="CE484" s="63"/>
      <c r="CF484" s="63"/>
      <c r="CG484" s="63"/>
      <c r="CH484" s="63"/>
      <c r="CI484" s="63"/>
      <c r="CJ484" s="63"/>
      <c r="CK484" s="63"/>
    </row>
    <row r="485" spans="8:89" s="89" customFormat="1">
      <c r="H485" s="860"/>
      <c r="I485" s="878" t="str">
        <f>I450</f>
        <v>Recycled Water</v>
      </c>
      <c r="J485" s="879"/>
      <c r="K485" s="1065">
        <f t="shared" ref="K485:R485" si="721">SUM(K486:K489)</f>
        <v>0</v>
      </c>
      <c r="L485" s="1065">
        <f t="shared" si="721"/>
        <v>0</v>
      </c>
      <c r="M485" s="1064">
        <f t="shared" si="721"/>
        <v>0</v>
      </c>
      <c r="N485" s="1065">
        <f t="shared" si="721"/>
        <v>0</v>
      </c>
      <c r="O485" s="1065">
        <f t="shared" si="721"/>
        <v>0</v>
      </c>
      <c r="P485" s="1065">
        <f t="shared" si="721"/>
        <v>0</v>
      </c>
      <c r="Q485" s="1065">
        <f t="shared" si="721"/>
        <v>0</v>
      </c>
      <c r="R485" s="1064">
        <f t="shared" si="721"/>
        <v>0</v>
      </c>
      <c r="S485" s="1065">
        <f t="shared" ref="S485:AF485" si="722">SUM(S486:S489)</f>
        <v>0</v>
      </c>
      <c r="T485" s="1065">
        <f t="shared" si="722"/>
        <v>0</v>
      </c>
      <c r="U485" s="1065">
        <f t="shared" si="722"/>
        <v>0</v>
      </c>
      <c r="V485" s="1065">
        <f t="shared" si="722"/>
        <v>0</v>
      </c>
      <c r="W485" s="1064">
        <f t="shared" si="722"/>
        <v>0</v>
      </c>
      <c r="X485" s="1065">
        <f t="shared" si="722"/>
        <v>0</v>
      </c>
      <c r="Y485" s="1065">
        <f t="shared" si="722"/>
        <v>0</v>
      </c>
      <c r="Z485" s="1065">
        <f t="shared" si="722"/>
        <v>0</v>
      </c>
      <c r="AA485" s="1065">
        <f t="shared" si="722"/>
        <v>0</v>
      </c>
      <c r="AB485" s="1064">
        <f t="shared" si="722"/>
        <v>0</v>
      </c>
      <c r="AC485" s="1065">
        <f t="shared" si="722"/>
        <v>0</v>
      </c>
      <c r="AD485" s="1065">
        <f t="shared" si="722"/>
        <v>0</v>
      </c>
      <c r="AE485" s="1065">
        <f t="shared" si="722"/>
        <v>0</v>
      </c>
      <c r="AF485" s="1065">
        <f t="shared" si="722"/>
        <v>0</v>
      </c>
      <c r="AG485" s="1065">
        <f>SUM(AG486:AG489)</f>
        <v>0</v>
      </c>
      <c r="AH485" s="1065">
        <f>SUM(AH486:AH489)</f>
        <v>0</v>
      </c>
      <c r="AI485" s="1065">
        <f>SUM(AI486:AI489)</f>
        <v>0</v>
      </c>
      <c r="AJ485" s="1164">
        <f>SUM(AJ486:AJ489)</f>
        <v>0</v>
      </c>
      <c r="AK485" s="548"/>
      <c r="AM485" s="877"/>
      <c r="AO485" s="63"/>
      <c r="AP485" s="63"/>
      <c r="AQ485" s="63"/>
      <c r="AR485" s="63"/>
      <c r="AS485" s="63"/>
      <c r="AT485" s="63"/>
      <c r="AU485" s="63"/>
      <c r="AV485" s="63"/>
      <c r="AW485" s="63"/>
      <c r="AX485" s="63"/>
      <c r="AY485" s="63"/>
      <c r="AZ485" s="63"/>
      <c r="BA485" s="63"/>
      <c r="BB485" s="63"/>
      <c r="BC485" s="63"/>
      <c r="BD485" s="63"/>
      <c r="BE485" s="63"/>
      <c r="BF485" s="63"/>
      <c r="BG485" s="63"/>
      <c r="BH485" s="63"/>
      <c r="BI485" s="63"/>
      <c r="BJ485" s="63"/>
      <c r="BK485" s="63"/>
      <c r="BL485" s="63"/>
      <c r="BM485" s="63"/>
      <c r="BN485" s="63"/>
      <c r="BO485" s="63"/>
      <c r="BP485" s="63"/>
      <c r="BQ485" s="63"/>
      <c r="BR485" s="63"/>
      <c r="BS485" s="63"/>
      <c r="BT485" s="63"/>
      <c r="BU485" s="63"/>
      <c r="BV485" s="63"/>
      <c r="BW485" s="63"/>
      <c r="BX485" s="63"/>
      <c r="BY485" s="63"/>
      <c r="BZ485" s="63"/>
      <c r="CA485" s="63"/>
      <c r="CB485" s="63"/>
      <c r="CC485" s="63"/>
      <c r="CD485" s="63"/>
      <c r="CE485" s="63"/>
      <c r="CF485" s="63"/>
      <c r="CG485" s="63"/>
      <c r="CH485" s="63"/>
      <c r="CI485" s="63"/>
      <c r="CJ485" s="63"/>
      <c r="CK485" s="63"/>
    </row>
    <row r="486" spans="8:89">
      <c r="H486" s="880"/>
      <c r="I486" s="866" t="str">
        <f>I480</f>
        <v>Price cap - Fixed</v>
      </c>
      <c r="J486" s="867"/>
      <c r="K486" s="1067">
        <f t="shared" ref="K486:M489" si="723">+SUMIFS(K$69:K$444,$E$69:$E$444,$E$71,$F$69:$F$444,$I$485,$I$69:$I$444,$I486)</f>
        <v>0</v>
      </c>
      <c r="L486" s="1067">
        <f t="shared" si="723"/>
        <v>0</v>
      </c>
      <c r="M486" s="1066">
        <f t="shared" si="723"/>
        <v>0</v>
      </c>
      <c r="N486" s="1067">
        <f t="shared" ref="N486:R489" si="724">+SUMIFS(N$69:N$444,$E$69:$E$444,$E$71,$F$69:$F$444,$I$485,$I$69:$I$444,$I486)</f>
        <v>0</v>
      </c>
      <c r="O486" s="1067">
        <f t="shared" si="724"/>
        <v>0</v>
      </c>
      <c r="P486" s="1067">
        <f t="shared" si="724"/>
        <v>0</v>
      </c>
      <c r="Q486" s="1067">
        <f t="shared" si="724"/>
        <v>0</v>
      </c>
      <c r="R486" s="1066">
        <f t="shared" si="724"/>
        <v>0</v>
      </c>
      <c r="S486" s="1067">
        <f t="shared" ref="S486:AJ489" si="725">+SUMIFS(S$69:S$444,$E$69:$E$444,$E$71,$F$69:$F$444,$I$485,$I$69:$I$444,$I486)</f>
        <v>0</v>
      </c>
      <c r="T486" s="1067">
        <f t="shared" si="725"/>
        <v>0</v>
      </c>
      <c r="U486" s="1067">
        <f t="shared" si="725"/>
        <v>0</v>
      </c>
      <c r="V486" s="1067">
        <f t="shared" si="725"/>
        <v>0</v>
      </c>
      <c r="W486" s="1066">
        <f t="shared" si="725"/>
        <v>0</v>
      </c>
      <c r="X486" s="1067">
        <f t="shared" si="725"/>
        <v>0</v>
      </c>
      <c r="Y486" s="1067">
        <f t="shared" si="725"/>
        <v>0</v>
      </c>
      <c r="Z486" s="1067">
        <f t="shared" si="725"/>
        <v>0</v>
      </c>
      <c r="AA486" s="1067">
        <f t="shared" si="725"/>
        <v>0</v>
      </c>
      <c r="AB486" s="1066">
        <f t="shared" si="725"/>
        <v>0</v>
      </c>
      <c r="AC486" s="1067">
        <f t="shared" si="725"/>
        <v>0</v>
      </c>
      <c r="AD486" s="1067">
        <f t="shared" si="725"/>
        <v>0</v>
      </c>
      <c r="AE486" s="1067">
        <f t="shared" si="725"/>
        <v>0</v>
      </c>
      <c r="AF486" s="1067">
        <f t="shared" si="725"/>
        <v>0</v>
      </c>
      <c r="AG486" s="1067">
        <f t="shared" si="725"/>
        <v>0</v>
      </c>
      <c r="AH486" s="1067">
        <f t="shared" si="725"/>
        <v>0</v>
      </c>
      <c r="AI486" s="1067">
        <f t="shared" si="725"/>
        <v>0</v>
      </c>
      <c r="AJ486" s="1165">
        <f t="shared" si="725"/>
        <v>0</v>
      </c>
      <c r="AK486" s="548"/>
    </row>
    <row r="487" spans="8:89">
      <c r="H487" s="880"/>
      <c r="I487" s="866" t="str">
        <f>I481</f>
        <v xml:space="preserve">Price cap - Variable </v>
      </c>
      <c r="J487" s="867"/>
      <c r="K487" s="1067">
        <f t="shared" si="723"/>
        <v>0</v>
      </c>
      <c r="L487" s="1067">
        <f t="shared" si="723"/>
        <v>0</v>
      </c>
      <c r="M487" s="1066">
        <f t="shared" si="723"/>
        <v>0</v>
      </c>
      <c r="N487" s="1067">
        <f t="shared" si="724"/>
        <v>0</v>
      </c>
      <c r="O487" s="1067">
        <f t="shared" si="724"/>
        <v>0</v>
      </c>
      <c r="P487" s="1067">
        <f t="shared" si="724"/>
        <v>0</v>
      </c>
      <c r="Q487" s="1067">
        <f t="shared" si="724"/>
        <v>0</v>
      </c>
      <c r="R487" s="1066">
        <f t="shared" si="724"/>
        <v>0</v>
      </c>
      <c r="S487" s="1067">
        <f t="shared" si="725"/>
        <v>0</v>
      </c>
      <c r="T487" s="1067">
        <f t="shared" si="725"/>
        <v>0</v>
      </c>
      <c r="U487" s="1067">
        <f t="shared" si="725"/>
        <v>0</v>
      </c>
      <c r="V487" s="1067">
        <f t="shared" si="725"/>
        <v>0</v>
      </c>
      <c r="W487" s="1066">
        <f t="shared" si="725"/>
        <v>0</v>
      </c>
      <c r="X487" s="1067">
        <f t="shared" si="725"/>
        <v>0</v>
      </c>
      <c r="Y487" s="1067">
        <f t="shared" si="725"/>
        <v>0</v>
      </c>
      <c r="Z487" s="1067">
        <f t="shared" si="725"/>
        <v>0</v>
      </c>
      <c r="AA487" s="1067">
        <f t="shared" si="725"/>
        <v>0</v>
      </c>
      <c r="AB487" s="1066">
        <f t="shared" si="725"/>
        <v>0</v>
      </c>
      <c r="AC487" s="1067">
        <f t="shared" si="725"/>
        <v>0</v>
      </c>
      <c r="AD487" s="1067">
        <f t="shared" si="725"/>
        <v>0</v>
      </c>
      <c r="AE487" s="1067">
        <f t="shared" si="725"/>
        <v>0</v>
      </c>
      <c r="AF487" s="1067">
        <f t="shared" si="725"/>
        <v>0</v>
      </c>
      <c r="AG487" s="1067">
        <f t="shared" si="725"/>
        <v>0</v>
      </c>
      <c r="AH487" s="1067">
        <f t="shared" si="725"/>
        <v>0</v>
      </c>
      <c r="AI487" s="1067">
        <f t="shared" si="725"/>
        <v>0</v>
      </c>
      <c r="AJ487" s="1165">
        <f t="shared" si="725"/>
        <v>0</v>
      </c>
      <c r="AK487" s="548"/>
    </row>
    <row r="488" spans="8:89">
      <c r="H488" s="880"/>
      <c r="I488" s="866" t="str">
        <f>I482</f>
        <v xml:space="preserve">Revenue cap - Fixed </v>
      </c>
      <c r="J488" s="867"/>
      <c r="K488" s="1067">
        <f t="shared" si="723"/>
        <v>0</v>
      </c>
      <c r="L488" s="1067">
        <f t="shared" si="723"/>
        <v>0</v>
      </c>
      <c r="M488" s="1066">
        <f t="shared" si="723"/>
        <v>0</v>
      </c>
      <c r="N488" s="1067">
        <f t="shared" si="724"/>
        <v>0</v>
      </c>
      <c r="O488" s="1067">
        <f t="shared" si="724"/>
        <v>0</v>
      </c>
      <c r="P488" s="1067">
        <f t="shared" si="724"/>
        <v>0</v>
      </c>
      <c r="Q488" s="1067">
        <f t="shared" si="724"/>
        <v>0</v>
      </c>
      <c r="R488" s="1066">
        <f t="shared" si="724"/>
        <v>0</v>
      </c>
      <c r="S488" s="1067">
        <f t="shared" si="725"/>
        <v>0</v>
      </c>
      <c r="T488" s="1067">
        <f t="shared" si="725"/>
        <v>0</v>
      </c>
      <c r="U488" s="1067">
        <f t="shared" si="725"/>
        <v>0</v>
      </c>
      <c r="V488" s="1067">
        <f t="shared" si="725"/>
        <v>0</v>
      </c>
      <c r="W488" s="1066">
        <f t="shared" si="725"/>
        <v>0</v>
      </c>
      <c r="X488" s="1067">
        <f t="shared" si="725"/>
        <v>0</v>
      </c>
      <c r="Y488" s="1067">
        <f t="shared" si="725"/>
        <v>0</v>
      </c>
      <c r="Z488" s="1067">
        <f t="shared" si="725"/>
        <v>0</v>
      </c>
      <c r="AA488" s="1067">
        <f t="shared" si="725"/>
        <v>0</v>
      </c>
      <c r="AB488" s="1066">
        <f t="shared" si="725"/>
        <v>0</v>
      </c>
      <c r="AC488" s="1067">
        <f t="shared" si="725"/>
        <v>0</v>
      </c>
      <c r="AD488" s="1067">
        <f t="shared" si="725"/>
        <v>0</v>
      </c>
      <c r="AE488" s="1067">
        <f t="shared" si="725"/>
        <v>0</v>
      </c>
      <c r="AF488" s="1067">
        <f t="shared" si="725"/>
        <v>0</v>
      </c>
      <c r="AG488" s="1067">
        <f t="shared" si="725"/>
        <v>0</v>
      </c>
      <c r="AH488" s="1067">
        <f t="shared" si="725"/>
        <v>0</v>
      </c>
      <c r="AI488" s="1067">
        <f t="shared" si="725"/>
        <v>0</v>
      </c>
      <c r="AJ488" s="1165">
        <f t="shared" si="725"/>
        <v>0</v>
      </c>
      <c r="AK488" s="548"/>
    </row>
    <row r="489" spans="8:89">
      <c r="H489" s="880"/>
      <c r="I489" s="866" t="str">
        <f>I483</f>
        <v>Revenue cap - Variable</v>
      </c>
      <c r="J489" s="867"/>
      <c r="K489" s="1067">
        <f t="shared" si="723"/>
        <v>0</v>
      </c>
      <c r="L489" s="1067">
        <f t="shared" si="723"/>
        <v>0</v>
      </c>
      <c r="M489" s="1066">
        <f t="shared" si="723"/>
        <v>0</v>
      </c>
      <c r="N489" s="1067">
        <f t="shared" si="724"/>
        <v>0</v>
      </c>
      <c r="O489" s="1067">
        <f t="shared" si="724"/>
        <v>0</v>
      </c>
      <c r="P489" s="1067">
        <f t="shared" si="724"/>
        <v>0</v>
      </c>
      <c r="Q489" s="1067">
        <f t="shared" si="724"/>
        <v>0</v>
      </c>
      <c r="R489" s="1066">
        <f t="shared" si="724"/>
        <v>0</v>
      </c>
      <c r="S489" s="1067">
        <f t="shared" si="725"/>
        <v>0</v>
      </c>
      <c r="T489" s="1067">
        <f t="shared" si="725"/>
        <v>0</v>
      </c>
      <c r="U489" s="1067">
        <f t="shared" si="725"/>
        <v>0</v>
      </c>
      <c r="V489" s="1067">
        <f t="shared" si="725"/>
        <v>0</v>
      </c>
      <c r="W489" s="1066">
        <f t="shared" si="725"/>
        <v>0</v>
      </c>
      <c r="X489" s="1067">
        <f t="shared" si="725"/>
        <v>0</v>
      </c>
      <c r="Y489" s="1067">
        <f t="shared" si="725"/>
        <v>0</v>
      </c>
      <c r="Z489" s="1067">
        <f t="shared" si="725"/>
        <v>0</v>
      </c>
      <c r="AA489" s="1067">
        <f t="shared" si="725"/>
        <v>0</v>
      </c>
      <c r="AB489" s="1066">
        <f t="shared" si="725"/>
        <v>0</v>
      </c>
      <c r="AC489" s="1067">
        <f t="shared" si="725"/>
        <v>0</v>
      </c>
      <c r="AD489" s="1067">
        <f t="shared" si="725"/>
        <v>0</v>
      </c>
      <c r="AE489" s="1067">
        <f t="shared" si="725"/>
        <v>0</v>
      </c>
      <c r="AF489" s="1067">
        <f t="shared" si="725"/>
        <v>0</v>
      </c>
      <c r="AG489" s="1067">
        <f t="shared" si="725"/>
        <v>0</v>
      </c>
      <c r="AH489" s="1067">
        <f t="shared" si="725"/>
        <v>0</v>
      </c>
      <c r="AI489" s="1067">
        <f t="shared" si="725"/>
        <v>0</v>
      </c>
      <c r="AJ489" s="1165">
        <f t="shared" si="725"/>
        <v>0</v>
      </c>
      <c r="AK489" s="548"/>
      <c r="AO489" s="868"/>
      <c r="AP489" s="868"/>
      <c r="AQ489" s="868"/>
      <c r="AR489" s="868"/>
      <c r="AS489" s="868"/>
      <c r="AT489" s="868"/>
      <c r="AU489" s="868"/>
      <c r="AV489" s="868"/>
      <c r="AW489" s="868"/>
      <c r="AX489" s="868"/>
      <c r="AY489" s="868"/>
      <c r="AZ489" s="868"/>
      <c r="BA489" s="868"/>
      <c r="BB489" s="868"/>
      <c r="BC489" s="868"/>
      <c r="BD489" s="868"/>
      <c r="BE489" s="868"/>
      <c r="BF489" s="868"/>
      <c r="BG489" s="868"/>
      <c r="BH489" s="868"/>
      <c r="BI489" s="868"/>
      <c r="BJ489" s="868"/>
      <c r="BK489" s="868"/>
      <c r="BL489" s="868"/>
      <c r="BM489" s="868"/>
      <c r="BN489" s="868"/>
      <c r="BO489" s="868"/>
      <c r="BP489" s="868"/>
      <c r="BQ489" s="868"/>
      <c r="BR489" s="868"/>
      <c r="BS489" s="868"/>
      <c r="BT489" s="868"/>
      <c r="BU489" s="868"/>
      <c r="BV489" s="868"/>
      <c r="BW489" s="868"/>
      <c r="BX489" s="868"/>
      <c r="BY489" s="868"/>
      <c r="BZ489" s="868"/>
      <c r="CA489" s="868"/>
      <c r="CB489" s="868"/>
      <c r="CC489" s="868"/>
      <c r="CD489" s="868"/>
      <c r="CE489" s="868"/>
      <c r="CF489" s="868"/>
      <c r="CG489" s="868"/>
      <c r="CH489" s="868"/>
      <c r="CI489" s="868"/>
      <c r="CJ489" s="868"/>
      <c r="CK489" s="868"/>
    </row>
    <row r="490" spans="8:89" s="868" customFormat="1">
      <c r="H490" s="869"/>
      <c r="I490" s="870" t="s">
        <v>130</v>
      </c>
      <c r="J490" s="871"/>
      <c r="K490" s="1166">
        <f t="shared" ref="K490:R490" si="726">K485-K450</f>
        <v>0</v>
      </c>
      <c r="L490" s="1166">
        <f t="shared" si="726"/>
        <v>0</v>
      </c>
      <c r="M490" s="1167">
        <f t="shared" si="726"/>
        <v>0</v>
      </c>
      <c r="N490" s="1166">
        <f t="shared" si="726"/>
        <v>0</v>
      </c>
      <c r="O490" s="1166">
        <f t="shared" si="726"/>
        <v>0</v>
      </c>
      <c r="P490" s="1166">
        <f t="shared" si="726"/>
        <v>0</v>
      </c>
      <c r="Q490" s="1166">
        <f t="shared" si="726"/>
        <v>0</v>
      </c>
      <c r="R490" s="1068">
        <f t="shared" si="726"/>
        <v>0</v>
      </c>
      <c r="S490" s="1069">
        <f t="shared" ref="S490:AF490" si="727">S485-S450</f>
        <v>0</v>
      </c>
      <c r="T490" s="1069">
        <f t="shared" si="727"/>
        <v>0</v>
      </c>
      <c r="U490" s="1069">
        <f t="shared" si="727"/>
        <v>0</v>
      </c>
      <c r="V490" s="1069">
        <f t="shared" si="727"/>
        <v>0</v>
      </c>
      <c r="W490" s="1068">
        <f t="shared" si="727"/>
        <v>0</v>
      </c>
      <c r="X490" s="1069">
        <f t="shared" si="727"/>
        <v>0</v>
      </c>
      <c r="Y490" s="1069">
        <f t="shared" si="727"/>
        <v>0</v>
      </c>
      <c r="Z490" s="1069">
        <f t="shared" si="727"/>
        <v>0</v>
      </c>
      <c r="AA490" s="1069">
        <f t="shared" si="727"/>
        <v>0</v>
      </c>
      <c r="AB490" s="1068">
        <f t="shared" si="727"/>
        <v>0</v>
      </c>
      <c r="AC490" s="1069">
        <f t="shared" si="727"/>
        <v>0</v>
      </c>
      <c r="AD490" s="1069">
        <f t="shared" si="727"/>
        <v>0</v>
      </c>
      <c r="AE490" s="1069">
        <f t="shared" si="727"/>
        <v>0</v>
      </c>
      <c r="AF490" s="1069">
        <f t="shared" si="727"/>
        <v>0</v>
      </c>
      <c r="AG490" s="1069">
        <f>AG485-AG450</f>
        <v>0</v>
      </c>
      <c r="AH490" s="1069">
        <f>AH485-AH450</f>
        <v>0</v>
      </c>
      <c r="AI490" s="1069">
        <f>AI485-AI450</f>
        <v>0</v>
      </c>
      <c r="AJ490" s="1168">
        <f>AJ485-AJ450</f>
        <v>0</v>
      </c>
      <c r="AK490" s="548"/>
      <c r="AM490" s="881"/>
      <c r="AO490" s="89"/>
      <c r="AP490" s="89"/>
      <c r="AQ490" s="89"/>
      <c r="AR490" s="89"/>
      <c r="AS490" s="89"/>
      <c r="AT490" s="89"/>
      <c r="AU490" s="89"/>
      <c r="AV490" s="89"/>
      <c r="AW490" s="89"/>
      <c r="AX490" s="89"/>
      <c r="AY490" s="89"/>
      <c r="AZ490" s="89"/>
      <c r="BA490" s="89"/>
      <c r="BB490" s="89"/>
      <c r="BC490" s="89"/>
      <c r="BD490" s="89"/>
      <c r="BE490" s="89"/>
      <c r="BF490" s="89"/>
      <c r="BG490" s="89"/>
      <c r="BH490" s="89"/>
      <c r="BI490" s="89"/>
      <c r="BJ490" s="89"/>
      <c r="BK490" s="89"/>
      <c r="BL490" s="89"/>
      <c r="BM490" s="89"/>
      <c r="BN490" s="89"/>
      <c r="BO490" s="89"/>
      <c r="BP490" s="89"/>
      <c r="BQ490" s="89"/>
      <c r="BR490" s="89"/>
      <c r="BS490" s="89"/>
      <c r="BT490" s="89"/>
      <c r="BU490" s="89"/>
      <c r="BV490" s="89"/>
      <c r="BW490" s="89"/>
      <c r="BX490" s="89"/>
      <c r="BY490" s="89"/>
      <c r="BZ490" s="89"/>
      <c r="CA490" s="89"/>
      <c r="CB490" s="89"/>
      <c r="CC490" s="89"/>
      <c r="CD490" s="89"/>
      <c r="CE490" s="89"/>
      <c r="CF490" s="89"/>
      <c r="CG490" s="89"/>
      <c r="CH490" s="89"/>
      <c r="CI490" s="89"/>
      <c r="CJ490" s="89"/>
      <c r="CK490" s="89"/>
    </row>
    <row r="491" spans="8:89" s="89" customFormat="1">
      <c r="H491" s="860"/>
      <c r="I491" s="878" t="str">
        <f>I451</f>
        <v>Waterways and Drainage</v>
      </c>
      <c r="J491" s="879"/>
      <c r="K491" s="1065">
        <f t="shared" ref="K491:R491" si="728">SUM(K492:K495)</f>
        <v>0</v>
      </c>
      <c r="L491" s="1065">
        <f t="shared" si="728"/>
        <v>0</v>
      </c>
      <c r="M491" s="1064">
        <f t="shared" si="728"/>
        <v>0</v>
      </c>
      <c r="N491" s="1065">
        <f t="shared" si="728"/>
        <v>0</v>
      </c>
      <c r="O491" s="1065">
        <f t="shared" si="728"/>
        <v>0</v>
      </c>
      <c r="P491" s="1065">
        <f t="shared" si="728"/>
        <v>0</v>
      </c>
      <c r="Q491" s="1065">
        <f t="shared" si="728"/>
        <v>0</v>
      </c>
      <c r="R491" s="1064">
        <f t="shared" si="728"/>
        <v>0</v>
      </c>
      <c r="S491" s="1065">
        <f t="shared" ref="S491:AF491" si="729">SUM(S492:S495)</f>
        <v>0</v>
      </c>
      <c r="T491" s="1065">
        <f t="shared" si="729"/>
        <v>0</v>
      </c>
      <c r="U491" s="1065">
        <f t="shared" si="729"/>
        <v>300.50514309085548</v>
      </c>
      <c r="V491" s="1065">
        <f t="shared" si="729"/>
        <v>315.25227600498886</v>
      </c>
      <c r="W491" s="1064">
        <f t="shared" si="729"/>
        <v>317.10849079368779</v>
      </c>
      <c r="X491" s="1065">
        <f t="shared" si="729"/>
        <v>324.25689856710324</v>
      </c>
      <c r="Y491" s="1065">
        <f t="shared" si="729"/>
        <v>328.00681217349131</v>
      </c>
      <c r="Z491" s="1065">
        <f t="shared" si="729"/>
        <v>333.44570122946948</v>
      </c>
      <c r="AA491" s="1065">
        <f t="shared" si="729"/>
        <v>314.97338831918114</v>
      </c>
      <c r="AB491" s="1064">
        <f t="shared" si="729"/>
        <v>321.22615621163288</v>
      </c>
      <c r="AC491" s="1065">
        <f t="shared" si="729"/>
        <v>327.6176140218887</v>
      </c>
      <c r="AD491" s="1065">
        <f t="shared" si="729"/>
        <v>334.15394959776194</v>
      </c>
      <c r="AE491" s="1065">
        <f t="shared" si="729"/>
        <v>340.84243912554285</v>
      </c>
      <c r="AF491" s="1065">
        <f t="shared" si="729"/>
        <v>345.60367633233403</v>
      </c>
      <c r="AG491" s="1065">
        <f>SUM(AG492:AG495)</f>
        <v>352.00115968255125</v>
      </c>
      <c r="AH491" s="1065">
        <f>SUM(AH492:AH495)</f>
        <v>358.51903929967489</v>
      </c>
      <c r="AI491" s="1065">
        <f>SUM(AI492:AI495)</f>
        <v>365.11549784577704</v>
      </c>
      <c r="AJ491" s="1164">
        <f>SUM(AJ492:AJ495)</f>
        <v>371.88219887789325</v>
      </c>
      <c r="AK491" s="548"/>
      <c r="AM491" s="877"/>
    </row>
    <row r="492" spans="8:89">
      <c r="H492" s="880"/>
      <c r="I492" s="866" t="str">
        <f>I486</f>
        <v>Price cap - Fixed</v>
      </c>
      <c r="J492" s="867"/>
      <c r="K492" s="1067">
        <f t="shared" ref="K492:M495" si="730">+SUMIFS(K$69:K$444,$E$69:$E$444,$E$71,$F$69:$F$444,$I$491,$I$69:$I$444,$I492)</f>
        <v>0</v>
      </c>
      <c r="L492" s="1067">
        <f t="shared" si="730"/>
        <v>0</v>
      </c>
      <c r="M492" s="1066">
        <f t="shared" si="730"/>
        <v>0</v>
      </c>
      <c r="N492" s="1067">
        <f t="shared" ref="N492:R495" si="731">+SUMIFS(N$69:N$444,$E$69:$E$444,$E$71,$F$69:$F$444,$I$491,$I$69:$I$444,$I492)</f>
        <v>0</v>
      </c>
      <c r="O492" s="1067">
        <f t="shared" si="731"/>
        <v>0</v>
      </c>
      <c r="P492" s="1067">
        <f t="shared" si="731"/>
        <v>0</v>
      </c>
      <c r="Q492" s="1067">
        <f t="shared" si="731"/>
        <v>0</v>
      </c>
      <c r="R492" s="1066">
        <f t="shared" si="731"/>
        <v>0</v>
      </c>
      <c r="S492" s="1067">
        <f t="shared" ref="S492:AJ495" si="732">+SUMIFS(S$69:S$444,$E$69:$E$444,$E$71,$F$69:$F$444,$I$491,$I$69:$I$444,$I492)</f>
        <v>0</v>
      </c>
      <c r="T492" s="1067">
        <f t="shared" si="732"/>
        <v>0</v>
      </c>
      <c r="U492" s="1067">
        <f t="shared" si="732"/>
        <v>300.50514309085548</v>
      </c>
      <c r="V492" s="1067">
        <f t="shared" si="732"/>
        <v>315.25227600498886</v>
      </c>
      <c r="W492" s="1066">
        <f t="shared" si="732"/>
        <v>317.10849079368779</v>
      </c>
      <c r="X492" s="1067">
        <f t="shared" si="732"/>
        <v>324.25689856710324</v>
      </c>
      <c r="Y492" s="1067">
        <f t="shared" si="732"/>
        <v>328.00681217349131</v>
      </c>
      <c r="Z492" s="1067">
        <f t="shared" si="732"/>
        <v>333.44570122946948</v>
      </c>
      <c r="AA492" s="1067">
        <f t="shared" si="732"/>
        <v>314.97338831918114</v>
      </c>
      <c r="AB492" s="1066">
        <f t="shared" si="732"/>
        <v>321.22615621163288</v>
      </c>
      <c r="AC492" s="1067">
        <f t="shared" si="732"/>
        <v>327.6176140218887</v>
      </c>
      <c r="AD492" s="1067">
        <f t="shared" si="732"/>
        <v>334.15394959776194</v>
      </c>
      <c r="AE492" s="1067">
        <f t="shared" si="732"/>
        <v>340.84243912554285</v>
      </c>
      <c r="AF492" s="1067">
        <f t="shared" si="732"/>
        <v>345.60367633233403</v>
      </c>
      <c r="AG492" s="1067">
        <f t="shared" si="732"/>
        <v>352.00115968255125</v>
      </c>
      <c r="AH492" s="1067">
        <f t="shared" si="732"/>
        <v>358.51903929967489</v>
      </c>
      <c r="AI492" s="1067">
        <f t="shared" si="732"/>
        <v>365.11549784577704</v>
      </c>
      <c r="AJ492" s="1165">
        <f t="shared" si="732"/>
        <v>371.88219887789325</v>
      </c>
      <c r="AK492" s="548"/>
    </row>
    <row r="493" spans="8:89">
      <c r="H493" s="880"/>
      <c r="I493" s="866" t="str">
        <f>I487</f>
        <v xml:space="preserve">Price cap - Variable </v>
      </c>
      <c r="J493" s="867"/>
      <c r="K493" s="1067">
        <f t="shared" si="730"/>
        <v>0</v>
      </c>
      <c r="L493" s="1067">
        <f t="shared" si="730"/>
        <v>0</v>
      </c>
      <c r="M493" s="1066">
        <f t="shared" si="730"/>
        <v>0</v>
      </c>
      <c r="N493" s="1067">
        <f t="shared" si="731"/>
        <v>0</v>
      </c>
      <c r="O493" s="1067">
        <f t="shared" si="731"/>
        <v>0</v>
      </c>
      <c r="P493" s="1067">
        <f t="shared" si="731"/>
        <v>0</v>
      </c>
      <c r="Q493" s="1067">
        <f t="shared" si="731"/>
        <v>0</v>
      </c>
      <c r="R493" s="1066">
        <f t="shared" si="731"/>
        <v>0</v>
      </c>
      <c r="S493" s="1067">
        <f t="shared" si="732"/>
        <v>0</v>
      </c>
      <c r="T493" s="1067">
        <f t="shared" si="732"/>
        <v>0</v>
      </c>
      <c r="U493" s="1067">
        <f t="shared" si="732"/>
        <v>0</v>
      </c>
      <c r="V493" s="1067">
        <f t="shared" si="732"/>
        <v>0</v>
      </c>
      <c r="W493" s="1066">
        <f t="shared" si="732"/>
        <v>0</v>
      </c>
      <c r="X493" s="1067">
        <f t="shared" si="732"/>
        <v>0</v>
      </c>
      <c r="Y493" s="1067">
        <f t="shared" si="732"/>
        <v>0</v>
      </c>
      <c r="Z493" s="1067">
        <f t="shared" si="732"/>
        <v>0</v>
      </c>
      <c r="AA493" s="1067">
        <f t="shared" si="732"/>
        <v>0</v>
      </c>
      <c r="AB493" s="1066">
        <f t="shared" si="732"/>
        <v>0</v>
      </c>
      <c r="AC493" s="1067">
        <f t="shared" si="732"/>
        <v>0</v>
      </c>
      <c r="AD493" s="1067">
        <f t="shared" si="732"/>
        <v>0</v>
      </c>
      <c r="AE493" s="1067">
        <f t="shared" si="732"/>
        <v>0</v>
      </c>
      <c r="AF493" s="1067">
        <f t="shared" si="732"/>
        <v>0</v>
      </c>
      <c r="AG493" s="1067">
        <f t="shared" si="732"/>
        <v>0</v>
      </c>
      <c r="AH493" s="1067">
        <f t="shared" si="732"/>
        <v>0</v>
      </c>
      <c r="AI493" s="1067">
        <f t="shared" si="732"/>
        <v>0</v>
      </c>
      <c r="AJ493" s="1165">
        <f t="shared" si="732"/>
        <v>0</v>
      </c>
      <c r="AK493" s="548"/>
    </row>
    <row r="494" spans="8:89">
      <c r="H494" s="880"/>
      <c r="I494" s="866" t="str">
        <f>I488</f>
        <v xml:space="preserve">Revenue cap - Fixed </v>
      </c>
      <c r="J494" s="867"/>
      <c r="K494" s="1067">
        <f t="shared" si="730"/>
        <v>0</v>
      </c>
      <c r="L494" s="1067">
        <f t="shared" si="730"/>
        <v>0</v>
      </c>
      <c r="M494" s="1066">
        <f t="shared" si="730"/>
        <v>0</v>
      </c>
      <c r="N494" s="1067">
        <f t="shared" si="731"/>
        <v>0</v>
      </c>
      <c r="O494" s="1067">
        <f t="shared" si="731"/>
        <v>0</v>
      </c>
      <c r="P494" s="1067">
        <f t="shared" si="731"/>
        <v>0</v>
      </c>
      <c r="Q494" s="1067">
        <f t="shared" si="731"/>
        <v>0</v>
      </c>
      <c r="R494" s="1066">
        <f t="shared" si="731"/>
        <v>0</v>
      </c>
      <c r="S494" s="1067">
        <f t="shared" si="732"/>
        <v>0</v>
      </c>
      <c r="T494" s="1067">
        <f t="shared" si="732"/>
        <v>0</v>
      </c>
      <c r="U494" s="1067">
        <f t="shared" si="732"/>
        <v>0</v>
      </c>
      <c r="V494" s="1067">
        <f t="shared" si="732"/>
        <v>0</v>
      </c>
      <c r="W494" s="1066">
        <f t="shared" si="732"/>
        <v>0</v>
      </c>
      <c r="X494" s="1067">
        <f t="shared" si="732"/>
        <v>0</v>
      </c>
      <c r="Y494" s="1067">
        <f t="shared" si="732"/>
        <v>0</v>
      </c>
      <c r="Z494" s="1067">
        <f t="shared" si="732"/>
        <v>0</v>
      </c>
      <c r="AA494" s="1067">
        <f t="shared" si="732"/>
        <v>0</v>
      </c>
      <c r="AB494" s="1066">
        <f t="shared" si="732"/>
        <v>0</v>
      </c>
      <c r="AC494" s="1067">
        <f t="shared" si="732"/>
        <v>0</v>
      </c>
      <c r="AD494" s="1067">
        <f t="shared" si="732"/>
        <v>0</v>
      </c>
      <c r="AE494" s="1067">
        <f t="shared" si="732"/>
        <v>0</v>
      </c>
      <c r="AF494" s="1067">
        <f t="shared" si="732"/>
        <v>0</v>
      </c>
      <c r="AG494" s="1067">
        <f t="shared" si="732"/>
        <v>0</v>
      </c>
      <c r="AH494" s="1067">
        <f t="shared" si="732"/>
        <v>0</v>
      </c>
      <c r="AI494" s="1067">
        <f t="shared" si="732"/>
        <v>0</v>
      </c>
      <c r="AJ494" s="1165">
        <f t="shared" si="732"/>
        <v>0</v>
      </c>
      <c r="AK494" s="548"/>
    </row>
    <row r="495" spans="8:89">
      <c r="H495" s="880"/>
      <c r="I495" s="866" t="str">
        <f>I489</f>
        <v>Revenue cap - Variable</v>
      </c>
      <c r="J495" s="867"/>
      <c r="K495" s="1067">
        <f t="shared" si="730"/>
        <v>0</v>
      </c>
      <c r="L495" s="1067">
        <f t="shared" si="730"/>
        <v>0</v>
      </c>
      <c r="M495" s="1066">
        <f t="shared" si="730"/>
        <v>0</v>
      </c>
      <c r="N495" s="1067">
        <f t="shared" si="731"/>
        <v>0</v>
      </c>
      <c r="O495" s="1067">
        <f t="shared" si="731"/>
        <v>0</v>
      </c>
      <c r="P495" s="1067">
        <f t="shared" si="731"/>
        <v>0</v>
      </c>
      <c r="Q495" s="1067">
        <f t="shared" si="731"/>
        <v>0</v>
      </c>
      <c r="R495" s="1066">
        <f t="shared" si="731"/>
        <v>0</v>
      </c>
      <c r="S495" s="1067">
        <f t="shared" si="732"/>
        <v>0</v>
      </c>
      <c r="T495" s="1067">
        <f t="shared" si="732"/>
        <v>0</v>
      </c>
      <c r="U495" s="1067">
        <f t="shared" si="732"/>
        <v>0</v>
      </c>
      <c r="V495" s="1067">
        <f t="shared" si="732"/>
        <v>0</v>
      </c>
      <c r="W495" s="1066">
        <f t="shared" si="732"/>
        <v>0</v>
      </c>
      <c r="X495" s="1067">
        <f t="shared" si="732"/>
        <v>0</v>
      </c>
      <c r="Y495" s="1067">
        <f t="shared" si="732"/>
        <v>0</v>
      </c>
      <c r="Z495" s="1067">
        <f t="shared" si="732"/>
        <v>0</v>
      </c>
      <c r="AA495" s="1067">
        <f t="shared" si="732"/>
        <v>0</v>
      </c>
      <c r="AB495" s="1066">
        <f t="shared" si="732"/>
        <v>0</v>
      </c>
      <c r="AC495" s="1067">
        <f t="shared" si="732"/>
        <v>0</v>
      </c>
      <c r="AD495" s="1067">
        <f t="shared" si="732"/>
        <v>0</v>
      </c>
      <c r="AE495" s="1067">
        <f t="shared" si="732"/>
        <v>0</v>
      </c>
      <c r="AF495" s="1067">
        <f t="shared" si="732"/>
        <v>0</v>
      </c>
      <c r="AG495" s="1067">
        <f t="shared" si="732"/>
        <v>0</v>
      </c>
      <c r="AH495" s="1067">
        <f t="shared" si="732"/>
        <v>0</v>
      </c>
      <c r="AI495" s="1067">
        <f t="shared" si="732"/>
        <v>0</v>
      </c>
      <c r="AJ495" s="1165">
        <f t="shared" si="732"/>
        <v>0</v>
      </c>
      <c r="AK495" s="548"/>
    </row>
    <row r="496" spans="8:89" s="868" customFormat="1">
      <c r="H496" s="869"/>
      <c r="I496" s="870" t="s">
        <v>130</v>
      </c>
      <c r="J496" s="871"/>
      <c r="K496" s="1166">
        <f t="shared" ref="K496:R496" si="733">K491-K451</f>
        <v>0</v>
      </c>
      <c r="L496" s="1166">
        <f t="shared" si="733"/>
        <v>0</v>
      </c>
      <c r="M496" s="1167">
        <f t="shared" si="733"/>
        <v>0</v>
      </c>
      <c r="N496" s="1166">
        <f t="shared" si="733"/>
        <v>0</v>
      </c>
      <c r="O496" s="1166">
        <f t="shared" si="733"/>
        <v>0</v>
      </c>
      <c r="P496" s="1166">
        <f t="shared" si="733"/>
        <v>0</v>
      </c>
      <c r="Q496" s="1166">
        <f t="shared" si="733"/>
        <v>0</v>
      </c>
      <c r="R496" s="1068">
        <f t="shared" si="733"/>
        <v>0</v>
      </c>
      <c r="S496" s="1069">
        <f t="shared" ref="S496:AF496" si="734">S491-S451</f>
        <v>0</v>
      </c>
      <c r="T496" s="1069">
        <f t="shared" si="734"/>
        <v>0</v>
      </c>
      <c r="U496" s="1069">
        <f t="shared" si="734"/>
        <v>0</v>
      </c>
      <c r="V496" s="1069">
        <f t="shared" si="734"/>
        <v>0</v>
      </c>
      <c r="W496" s="1068">
        <f t="shared" si="734"/>
        <v>0</v>
      </c>
      <c r="X496" s="1069">
        <f t="shared" si="734"/>
        <v>0</v>
      </c>
      <c r="Y496" s="1069">
        <f t="shared" si="734"/>
        <v>0</v>
      </c>
      <c r="Z496" s="1069">
        <f t="shared" si="734"/>
        <v>0</v>
      </c>
      <c r="AA496" s="1069">
        <f t="shared" si="734"/>
        <v>0</v>
      </c>
      <c r="AB496" s="1068">
        <f t="shared" si="734"/>
        <v>0</v>
      </c>
      <c r="AC496" s="1069">
        <f t="shared" si="734"/>
        <v>0</v>
      </c>
      <c r="AD496" s="1069">
        <f t="shared" si="734"/>
        <v>0</v>
      </c>
      <c r="AE496" s="1069">
        <f t="shared" si="734"/>
        <v>0</v>
      </c>
      <c r="AF496" s="1069">
        <f t="shared" si="734"/>
        <v>0</v>
      </c>
      <c r="AG496" s="1069">
        <f>AG491-AG451</f>
        <v>0</v>
      </c>
      <c r="AH496" s="1069">
        <f>AH491-AH451</f>
        <v>0</v>
      </c>
      <c r="AI496" s="1069">
        <f>AI491-AI451</f>
        <v>0</v>
      </c>
      <c r="AJ496" s="1168">
        <f>AJ491-AJ451</f>
        <v>0</v>
      </c>
      <c r="AK496" s="548"/>
      <c r="AM496" s="881"/>
      <c r="AO496" s="63"/>
      <c r="AP496" s="63"/>
      <c r="AQ496" s="63"/>
      <c r="AR496" s="63"/>
      <c r="AS496" s="63"/>
      <c r="AT496" s="63"/>
      <c r="AU496" s="63"/>
      <c r="AV496" s="63"/>
      <c r="AW496" s="63"/>
      <c r="AX496" s="63"/>
      <c r="AY496" s="63"/>
      <c r="AZ496" s="63"/>
      <c r="BA496" s="63"/>
      <c r="BB496" s="63"/>
      <c r="BC496" s="63"/>
      <c r="BD496" s="63"/>
      <c r="BE496" s="63"/>
      <c r="BF496" s="63"/>
      <c r="BG496" s="63"/>
      <c r="BH496" s="63"/>
      <c r="BI496" s="63"/>
      <c r="BJ496" s="63"/>
      <c r="BK496" s="63"/>
      <c r="BL496" s="63"/>
      <c r="BM496" s="63"/>
      <c r="BN496" s="63"/>
      <c r="BO496" s="63"/>
      <c r="BP496" s="63"/>
      <c r="BQ496" s="63"/>
      <c r="BR496" s="63"/>
      <c r="BS496" s="63"/>
      <c r="BT496" s="63"/>
      <c r="BU496" s="63"/>
      <c r="BV496" s="63"/>
      <c r="BW496" s="63"/>
      <c r="BX496" s="63"/>
      <c r="BY496" s="63"/>
      <c r="BZ496" s="63"/>
      <c r="CA496" s="63"/>
      <c r="CB496" s="63"/>
      <c r="CC496" s="63"/>
      <c r="CD496" s="63"/>
      <c r="CE496" s="63"/>
      <c r="CF496" s="63"/>
      <c r="CG496" s="63"/>
      <c r="CH496" s="63"/>
      <c r="CI496" s="63"/>
      <c r="CJ496" s="63"/>
      <c r="CK496" s="63"/>
    </row>
    <row r="497" spans="8:89" s="89" customFormat="1">
      <c r="H497" s="860"/>
      <c r="I497" s="878" t="str">
        <f>I452</f>
        <v>Diversions</v>
      </c>
      <c r="J497" s="879"/>
      <c r="K497" s="1065">
        <f t="shared" ref="K497:R497" si="735">SUM(K498:K501)</f>
        <v>0</v>
      </c>
      <c r="L497" s="1065">
        <f t="shared" si="735"/>
        <v>0</v>
      </c>
      <c r="M497" s="1064">
        <f t="shared" si="735"/>
        <v>0</v>
      </c>
      <c r="N497" s="1065">
        <f t="shared" si="735"/>
        <v>0</v>
      </c>
      <c r="O497" s="1065">
        <f t="shared" si="735"/>
        <v>0</v>
      </c>
      <c r="P497" s="1065">
        <f t="shared" si="735"/>
        <v>0</v>
      </c>
      <c r="Q497" s="1065">
        <f t="shared" si="735"/>
        <v>0</v>
      </c>
      <c r="R497" s="1064">
        <f t="shared" si="735"/>
        <v>0</v>
      </c>
      <c r="S497" s="1065">
        <f t="shared" ref="S497:AF497" si="736">SUM(S498:S501)</f>
        <v>0</v>
      </c>
      <c r="T497" s="1065">
        <f t="shared" si="736"/>
        <v>0</v>
      </c>
      <c r="U497" s="1065">
        <f t="shared" si="736"/>
        <v>0</v>
      </c>
      <c r="V497" s="1065">
        <f t="shared" si="736"/>
        <v>0</v>
      </c>
      <c r="W497" s="1064">
        <f t="shared" si="736"/>
        <v>0</v>
      </c>
      <c r="X497" s="1065">
        <f t="shared" si="736"/>
        <v>0</v>
      </c>
      <c r="Y497" s="1065">
        <f t="shared" si="736"/>
        <v>0</v>
      </c>
      <c r="Z497" s="1065">
        <f t="shared" si="736"/>
        <v>0</v>
      </c>
      <c r="AA497" s="1065">
        <f t="shared" si="736"/>
        <v>0</v>
      </c>
      <c r="AB497" s="1064">
        <f t="shared" si="736"/>
        <v>0</v>
      </c>
      <c r="AC497" s="1065">
        <f t="shared" si="736"/>
        <v>0</v>
      </c>
      <c r="AD497" s="1065">
        <f t="shared" si="736"/>
        <v>0</v>
      </c>
      <c r="AE497" s="1065">
        <f t="shared" si="736"/>
        <v>0</v>
      </c>
      <c r="AF497" s="1065">
        <f t="shared" si="736"/>
        <v>0</v>
      </c>
      <c r="AG497" s="1065">
        <f>SUM(AG498:AG501)</f>
        <v>0</v>
      </c>
      <c r="AH497" s="1065">
        <f>SUM(AH498:AH501)</f>
        <v>0</v>
      </c>
      <c r="AI497" s="1065">
        <f>SUM(AI498:AI501)</f>
        <v>0</v>
      </c>
      <c r="AJ497" s="1164">
        <f>SUM(AJ498:AJ501)</f>
        <v>0</v>
      </c>
      <c r="AK497" s="548"/>
      <c r="AM497" s="877"/>
      <c r="AO497" s="63"/>
      <c r="AP497" s="63"/>
      <c r="AQ497" s="63"/>
      <c r="AR497" s="63"/>
      <c r="AS497" s="63"/>
      <c r="AT497" s="63"/>
      <c r="AU497" s="63"/>
      <c r="AV497" s="63"/>
      <c r="AW497" s="63"/>
      <c r="AX497" s="63"/>
      <c r="AY497" s="63"/>
      <c r="AZ497" s="63"/>
      <c r="BA497" s="63"/>
      <c r="BB497" s="63"/>
      <c r="BC497" s="63"/>
      <c r="BD497" s="63"/>
      <c r="BE497" s="63"/>
      <c r="BF497" s="63"/>
      <c r="BG497" s="63"/>
      <c r="BH497" s="63"/>
      <c r="BI497" s="63"/>
      <c r="BJ497" s="63"/>
      <c r="BK497" s="63"/>
      <c r="BL497" s="63"/>
      <c r="BM497" s="63"/>
      <c r="BN497" s="63"/>
      <c r="BO497" s="63"/>
      <c r="BP497" s="63"/>
      <c r="BQ497" s="63"/>
      <c r="BR497" s="63"/>
      <c r="BS497" s="63"/>
      <c r="BT497" s="63"/>
      <c r="BU497" s="63"/>
      <c r="BV497" s="63"/>
      <c r="BW497" s="63"/>
      <c r="BX497" s="63"/>
      <c r="BY497" s="63"/>
      <c r="BZ497" s="63"/>
      <c r="CA497" s="63"/>
      <c r="CB497" s="63"/>
      <c r="CC497" s="63"/>
      <c r="CD497" s="63"/>
      <c r="CE497" s="63"/>
      <c r="CF497" s="63"/>
      <c r="CG497" s="63"/>
      <c r="CH497" s="63"/>
      <c r="CI497" s="63"/>
      <c r="CJ497" s="63"/>
      <c r="CK497" s="63"/>
    </row>
    <row r="498" spans="8:89">
      <c r="H498" s="880"/>
      <c r="I498" s="866" t="str">
        <f>I492</f>
        <v>Price cap - Fixed</v>
      </c>
      <c r="J498" s="867"/>
      <c r="K498" s="1067">
        <f t="shared" ref="K498:M501" si="737">+SUMIFS(K$69:K$444,$E$69:$E$444,$E$71,$F$69:$F$444,$I$497,$I$69:$I$444,$I498)</f>
        <v>0</v>
      </c>
      <c r="L498" s="1067">
        <f t="shared" si="737"/>
        <v>0</v>
      </c>
      <c r="M498" s="1066">
        <f t="shared" si="737"/>
        <v>0</v>
      </c>
      <c r="N498" s="1067">
        <f t="shared" ref="N498:R501" si="738">+SUMIFS(N$69:N$444,$E$69:$E$444,$E$71,$F$69:$F$444,$I$497,$I$69:$I$444,$I498)</f>
        <v>0</v>
      </c>
      <c r="O498" s="1067">
        <f t="shared" si="738"/>
        <v>0</v>
      </c>
      <c r="P498" s="1067">
        <f t="shared" si="738"/>
        <v>0</v>
      </c>
      <c r="Q498" s="1067">
        <f t="shared" si="738"/>
        <v>0</v>
      </c>
      <c r="R498" s="1066">
        <f t="shared" si="738"/>
        <v>0</v>
      </c>
      <c r="S498" s="1067">
        <f t="shared" ref="S498:AJ501" si="739">+SUMIFS(S$69:S$444,$E$69:$E$444,$E$71,$F$69:$F$444,$I$497,$I$69:$I$444,$I498)</f>
        <v>0</v>
      </c>
      <c r="T498" s="1067">
        <f t="shared" si="739"/>
        <v>0</v>
      </c>
      <c r="U498" s="1067">
        <f t="shared" si="739"/>
        <v>0</v>
      </c>
      <c r="V498" s="1067">
        <f t="shared" si="739"/>
        <v>0</v>
      </c>
      <c r="W498" s="1066">
        <f t="shared" si="739"/>
        <v>0</v>
      </c>
      <c r="X498" s="1067">
        <f t="shared" si="739"/>
        <v>0</v>
      </c>
      <c r="Y498" s="1067">
        <f t="shared" si="739"/>
        <v>0</v>
      </c>
      <c r="Z498" s="1067">
        <f t="shared" si="739"/>
        <v>0</v>
      </c>
      <c r="AA498" s="1067">
        <f t="shared" si="739"/>
        <v>0</v>
      </c>
      <c r="AB498" s="1066">
        <f t="shared" si="739"/>
        <v>0</v>
      </c>
      <c r="AC498" s="1067">
        <f t="shared" si="739"/>
        <v>0</v>
      </c>
      <c r="AD498" s="1067">
        <f t="shared" si="739"/>
        <v>0</v>
      </c>
      <c r="AE498" s="1067">
        <f t="shared" si="739"/>
        <v>0</v>
      </c>
      <c r="AF498" s="1067">
        <f t="shared" si="739"/>
        <v>0</v>
      </c>
      <c r="AG498" s="1067">
        <f t="shared" si="739"/>
        <v>0</v>
      </c>
      <c r="AH498" s="1067">
        <f t="shared" si="739"/>
        <v>0</v>
      </c>
      <c r="AI498" s="1067">
        <f t="shared" si="739"/>
        <v>0</v>
      </c>
      <c r="AJ498" s="1165">
        <f t="shared" si="739"/>
        <v>0</v>
      </c>
      <c r="AK498" s="548"/>
      <c r="AO498" s="868"/>
      <c r="AP498" s="868"/>
      <c r="AQ498" s="868"/>
      <c r="AR498" s="868"/>
      <c r="AS498" s="868"/>
      <c r="AT498" s="868"/>
      <c r="AU498" s="868"/>
      <c r="AV498" s="868"/>
      <c r="AW498" s="868"/>
      <c r="AX498" s="868"/>
      <c r="AY498" s="868"/>
      <c r="AZ498" s="868"/>
      <c r="BA498" s="868"/>
      <c r="BB498" s="868"/>
      <c r="BC498" s="868"/>
      <c r="BD498" s="868"/>
      <c r="BE498" s="868"/>
      <c r="BF498" s="868"/>
      <c r="BG498" s="868"/>
      <c r="BH498" s="868"/>
      <c r="BI498" s="868"/>
      <c r="BJ498" s="868"/>
      <c r="BK498" s="868"/>
      <c r="BL498" s="868"/>
      <c r="BM498" s="868"/>
      <c r="BN498" s="868"/>
      <c r="BO498" s="868"/>
      <c r="BP498" s="868"/>
      <c r="BQ498" s="868"/>
      <c r="BR498" s="868"/>
      <c r="BS498" s="868"/>
      <c r="BT498" s="868"/>
      <c r="BU498" s="868"/>
      <c r="BV498" s="868"/>
      <c r="BW498" s="868"/>
      <c r="BX498" s="868"/>
      <c r="BY498" s="868"/>
      <c r="BZ498" s="868"/>
      <c r="CA498" s="868"/>
      <c r="CB498" s="868"/>
      <c r="CC498" s="868"/>
      <c r="CD498" s="868"/>
      <c r="CE498" s="868"/>
      <c r="CF498" s="868"/>
      <c r="CG498" s="868"/>
      <c r="CH498" s="868"/>
      <c r="CI498" s="868"/>
      <c r="CJ498" s="868"/>
      <c r="CK498" s="868"/>
    </row>
    <row r="499" spans="8:89">
      <c r="H499" s="880"/>
      <c r="I499" s="866" t="str">
        <f>I493</f>
        <v xml:space="preserve">Price cap - Variable </v>
      </c>
      <c r="J499" s="867"/>
      <c r="K499" s="1067">
        <f t="shared" si="737"/>
        <v>0</v>
      </c>
      <c r="L499" s="1067">
        <f t="shared" si="737"/>
        <v>0</v>
      </c>
      <c r="M499" s="1066">
        <f t="shared" si="737"/>
        <v>0</v>
      </c>
      <c r="N499" s="1067">
        <f t="shared" si="738"/>
        <v>0</v>
      </c>
      <c r="O499" s="1067">
        <f t="shared" si="738"/>
        <v>0</v>
      </c>
      <c r="P499" s="1067">
        <f t="shared" si="738"/>
        <v>0</v>
      </c>
      <c r="Q499" s="1067">
        <f t="shared" si="738"/>
        <v>0</v>
      </c>
      <c r="R499" s="1066">
        <f t="shared" si="738"/>
        <v>0</v>
      </c>
      <c r="S499" s="1067">
        <f t="shared" si="739"/>
        <v>0</v>
      </c>
      <c r="T499" s="1067">
        <f t="shared" si="739"/>
        <v>0</v>
      </c>
      <c r="U499" s="1067">
        <f t="shared" si="739"/>
        <v>0</v>
      </c>
      <c r="V499" s="1067">
        <f t="shared" si="739"/>
        <v>0</v>
      </c>
      <c r="W499" s="1066">
        <f t="shared" si="739"/>
        <v>0</v>
      </c>
      <c r="X499" s="1067">
        <f t="shared" si="739"/>
        <v>0</v>
      </c>
      <c r="Y499" s="1067">
        <f t="shared" si="739"/>
        <v>0</v>
      </c>
      <c r="Z499" s="1067">
        <f t="shared" si="739"/>
        <v>0</v>
      </c>
      <c r="AA499" s="1067">
        <f t="shared" si="739"/>
        <v>0</v>
      </c>
      <c r="AB499" s="1066">
        <f t="shared" si="739"/>
        <v>0</v>
      </c>
      <c r="AC499" s="1067">
        <f t="shared" si="739"/>
        <v>0</v>
      </c>
      <c r="AD499" s="1067">
        <f t="shared" si="739"/>
        <v>0</v>
      </c>
      <c r="AE499" s="1067">
        <f t="shared" si="739"/>
        <v>0</v>
      </c>
      <c r="AF499" s="1067">
        <f t="shared" si="739"/>
        <v>0</v>
      </c>
      <c r="AG499" s="1067">
        <f t="shared" si="739"/>
        <v>0</v>
      </c>
      <c r="AH499" s="1067">
        <f t="shared" si="739"/>
        <v>0</v>
      </c>
      <c r="AI499" s="1067">
        <f t="shared" si="739"/>
        <v>0</v>
      </c>
      <c r="AJ499" s="1165">
        <f t="shared" si="739"/>
        <v>0</v>
      </c>
      <c r="AK499" s="548"/>
      <c r="AO499" s="89"/>
      <c r="AP499" s="89"/>
      <c r="AQ499" s="89"/>
      <c r="AR499" s="89"/>
      <c r="AS499" s="89"/>
      <c r="AT499" s="89"/>
      <c r="AU499" s="89"/>
      <c r="AV499" s="89"/>
      <c r="AW499" s="89"/>
      <c r="AX499" s="89"/>
      <c r="AY499" s="89"/>
      <c r="AZ499" s="89"/>
      <c r="BA499" s="89"/>
      <c r="BB499" s="89"/>
      <c r="BC499" s="89"/>
      <c r="BD499" s="89"/>
      <c r="BE499" s="89"/>
      <c r="BF499" s="89"/>
      <c r="BG499" s="89"/>
      <c r="BH499" s="89"/>
      <c r="BI499" s="89"/>
      <c r="BJ499" s="89"/>
      <c r="BK499" s="89"/>
      <c r="BL499" s="89"/>
      <c r="BM499" s="89"/>
      <c r="BN499" s="89"/>
      <c r="BO499" s="89"/>
      <c r="BP499" s="89"/>
      <c r="BQ499" s="89"/>
      <c r="BR499" s="89"/>
      <c r="BS499" s="89"/>
      <c r="BT499" s="89"/>
      <c r="BU499" s="89"/>
      <c r="BV499" s="89"/>
      <c r="BW499" s="89"/>
      <c r="BX499" s="89"/>
      <c r="BY499" s="89"/>
      <c r="BZ499" s="89"/>
      <c r="CA499" s="89"/>
      <c r="CB499" s="89"/>
      <c r="CC499" s="89"/>
      <c r="CD499" s="89"/>
      <c r="CE499" s="89"/>
      <c r="CF499" s="89"/>
      <c r="CG499" s="89"/>
      <c r="CH499" s="89"/>
      <c r="CI499" s="89"/>
      <c r="CJ499" s="89"/>
      <c r="CK499" s="89"/>
    </row>
    <row r="500" spans="8:89">
      <c r="H500" s="880"/>
      <c r="I500" s="866" t="str">
        <f>I494</f>
        <v xml:space="preserve">Revenue cap - Fixed </v>
      </c>
      <c r="J500" s="867"/>
      <c r="K500" s="1067">
        <f t="shared" si="737"/>
        <v>0</v>
      </c>
      <c r="L500" s="1067">
        <f t="shared" si="737"/>
        <v>0</v>
      </c>
      <c r="M500" s="1066">
        <f t="shared" si="737"/>
        <v>0</v>
      </c>
      <c r="N500" s="1067">
        <f t="shared" si="738"/>
        <v>0</v>
      </c>
      <c r="O500" s="1067">
        <f t="shared" si="738"/>
        <v>0</v>
      </c>
      <c r="P500" s="1067">
        <f t="shared" si="738"/>
        <v>0</v>
      </c>
      <c r="Q500" s="1067">
        <f t="shared" si="738"/>
        <v>0</v>
      </c>
      <c r="R500" s="1066">
        <f t="shared" si="738"/>
        <v>0</v>
      </c>
      <c r="S500" s="1067">
        <f t="shared" si="739"/>
        <v>0</v>
      </c>
      <c r="T500" s="1067">
        <f t="shared" si="739"/>
        <v>0</v>
      </c>
      <c r="U500" s="1067">
        <f t="shared" si="739"/>
        <v>0</v>
      </c>
      <c r="V500" s="1067">
        <f t="shared" si="739"/>
        <v>0</v>
      </c>
      <c r="W500" s="1066">
        <f t="shared" si="739"/>
        <v>0</v>
      </c>
      <c r="X500" s="1067">
        <f t="shared" si="739"/>
        <v>0</v>
      </c>
      <c r="Y500" s="1067">
        <f t="shared" si="739"/>
        <v>0</v>
      </c>
      <c r="Z500" s="1067">
        <f t="shared" si="739"/>
        <v>0</v>
      </c>
      <c r="AA500" s="1067">
        <f t="shared" si="739"/>
        <v>0</v>
      </c>
      <c r="AB500" s="1066">
        <f t="shared" si="739"/>
        <v>0</v>
      </c>
      <c r="AC500" s="1067">
        <f t="shared" si="739"/>
        <v>0</v>
      </c>
      <c r="AD500" s="1067">
        <f t="shared" si="739"/>
        <v>0</v>
      </c>
      <c r="AE500" s="1067">
        <f t="shared" si="739"/>
        <v>0</v>
      </c>
      <c r="AF500" s="1067">
        <f t="shared" si="739"/>
        <v>0</v>
      </c>
      <c r="AG500" s="1067">
        <f t="shared" si="739"/>
        <v>0</v>
      </c>
      <c r="AH500" s="1067">
        <f t="shared" si="739"/>
        <v>0</v>
      </c>
      <c r="AI500" s="1067">
        <f t="shared" si="739"/>
        <v>0</v>
      </c>
      <c r="AJ500" s="1165">
        <f t="shared" si="739"/>
        <v>0</v>
      </c>
      <c r="AK500" s="548"/>
      <c r="AO500" s="89"/>
      <c r="AP500" s="89"/>
      <c r="AQ500" s="89"/>
      <c r="AR500" s="89"/>
      <c r="AS500" s="89"/>
      <c r="AT500" s="89"/>
      <c r="AU500" s="89"/>
      <c r="AV500" s="89"/>
      <c r="AW500" s="89"/>
      <c r="AX500" s="89"/>
      <c r="AY500" s="89"/>
      <c r="AZ500" s="89"/>
      <c r="BA500" s="89"/>
      <c r="BB500" s="89"/>
      <c r="BC500" s="89"/>
      <c r="BD500" s="89"/>
      <c r="BE500" s="89"/>
      <c r="BF500" s="89"/>
      <c r="BG500" s="89"/>
      <c r="BH500" s="89"/>
      <c r="BI500" s="89"/>
      <c r="BJ500" s="89"/>
      <c r="BK500" s="89"/>
      <c r="BL500" s="89"/>
      <c r="BM500" s="89"/>
      <c r="BN500" s="89"/>
      <c r="BO500" s="89"/>
      <c r="BP500" s="89"/>
      <c r="BQ500" s="89"/>
      <c r="BR500" s="89"/>
      <c r="BS500" s="89"/>
      <c r="BT500" s="89"/>
      <c r="BU500" s="89"/>
      <c r="BV500" s="89"/>
      <c r="BW500" s="89"/>
      <c r="BX500" s="89"/>
      <c r="BY500" s="89"/>
      <c r="BZ500" s="89"/>
      <c r="CA500" s="89"/>
      <c r="CB500" s="89"/>
      <c r="CC500" s="89"/>
      <c r="CD500" s="89"/>
      <c r="CE500" s="89"/>
      <c r="CF500" s="89"/>
      <c r="CG500" s="89"/>
      <c r="CH500" s="89"/>
      <c r="CI500" s="89"/>
      <c r="CJ500" s="89"/>
      <c r="CK500" s="89"/>
    </row>
    <row r="501" spans="8:89">
      <c r="H501" s="880"/>
      <c r="I501" s="866" t="str">
        <f>I495</f>
        <v>Revenue cap - Variable</v>
      </c>
      <c r="J501" s="867"/>
      <c r="K501" s="1067">
        <f t="shared" si="737"/>
        <v>0</v>
      </c>
      <c r="L501" s="1067">
        <f t="shared" si="737"/>
        <v>0</v>
      </c>
      <c r="M501" s="1066">
        <f t="shared" si="737"/>
        <v>0</v>
      </c>
      <c r="N501" s="1067">
        <f t="shared" si="738"/>
        <v>0</v>
      </c>
      <c r="O501" s="1067">
        <f t="shared" si="738"/>
        <v>0</v>
      </c>
      <c r="P501" s="1067">
        <f t="shared" si="738"/>
        <v>0</v>
      </c>
      <c r="Q501" s="1067">
        <f t="shared" si="738"/>
        <v>0</v>
      </c>
      <c r="R501" s="1066">
        <f t="shared" si="738"/>
        <v>0</v>
      </c>
      <c r="S501" s="1067">
        <f t="shared" si="739"/>
        <v>0</v>
      </c>
      <c r="T501" s="1067">
        <f t="shared" si="739"/>
        <v>0</v>
      </c>
      <c r="U501" s="1067">
        <f t="shared" si="739"/>
        <v>0</v>
      </c>
      <c r="V501" s="1067">
        <f t="shared" si="739"/>
        <v>0</v>
      </c>
      <c r="W501" s="1066">
        <f t="shared" si="739"/>
        <v>0</v>
      </c>
      <c r="X501" s="1067">
        <f t="shared" si="739"/>
        <v>0</v>
      </c>
      <c r="Y501" s="1067">
        <f t="shared" si="739"/>
        <v>0</v>
      </c>
      <c r="Z501" s="1067">
        <f t="shared" si="739"/>
        <v>0</v>
      </c>
      <c r="AA501" s="1067">
        <f t="shared" si="739"/>
        <v>0</v>
      </c>
      <c r="AB501" s="1066">
        <f t="shared" si="739"/>
        <v>0</v>
      </c>
      <c r="AC501" s="1067">
        <f t="shared" si="739"/>
        <v>0</v>
      </c>
      <c r="AD501" s="1067">
        <f t="shared" si="739"/>
        <v>0</v>
      </c>
      <c r="AE501" s="1067">
        <f t="shared" si="739"/>
        <v>0</v>
      </c>
      <c r="AF501" s="1067">
        <f t="shared" si="739"/>
        <v>0</v>
      </c>
      <c r="AG501" s="1067">
        <f t="shared" si="739"/>
        <v>0</v>
      </c>
      <c r="AH501" s="1067">
        <f t="shared" si="739"/>
        <v>0</v>
      </c>
      <c r="AI501" s="1067">
        <f t="shared" si="739"/>
        <v>0</v>
      </c>
      <c r="AJ501" s="1165">
        <f t="shared" si="739"/>
        <v>0</v>
      </c>
      <c r="AK501" s="548"/>
    </row>
    <row r="502" spans="8:89" s="868" customFormat="1">
      <c r="H502" s="869"/>
      <c r="I502" s="870" t="s">
        <v>130</v>
      </c>
      <c r="J502" s="871"/>
      <c r="K502" s="1166">
        <f t="shared" ref="K502:R502" si="740">K497-K452</f>
        <v>0</v>
      </c>
      <c r="L502" s="1166">
        <f t="shared" si="740"/>
        <v>0</v>
      </c>
      <c r="M502" s="1167">
        <f t="shared" si="740"/>
        <v>0</v>
      </c>
      <c r="N502" s="1166">
        <f t="shared" si="740"/>
        <v>0</v>
      </c>
      <c r="O502" s="1166">
        <f t="shared" si="740"/>
        <v>0</v>
      </c>
      <c r="P502" s="1166">
        <f t="shared" si="740"/>
        <v>0</v>
      </c>
      <c r="Q502" s="1166">
        <f t="shared" si="740"/>
        <v>0</v>
      </c>
      <c r="R502" s="1068">
        <f t="shared" si="740"/>
        <v>0</v>
      </c>
      <c r="S502" s="1069">
        <f t="shared" ref="S502:AF502" si="741">S497-S452</f>
        <v>0</v>
      </c>
      <c r="T502" s="1069">
        <f t="shared" si="741"/>
        <v>0</v>
      </c>
      <c r="U502" s="1069">
        <f t="shared" si="741"/>
        <v>0</v>
      </c>
      <c r="V502" s="1069">
        <f t="shared" si="741"/>
        <v>0</v>
      </c>
      <c r="W502" s="1068">
        <f t="shared" si="741"/>
        <v>0</v>
      </c>
      <c r="X502" s="1069">
        <f t="shared" si="741"/>
        <v>0</v>
      </c>
      <c r="Y502" s="1069">
        <f t="shared" si="741"/>
        <v>0</v>
      </c>
      <c r="Z502" s="1069">
        <f t="shared" si="741"/>
        <v>0</v>
      </c>
      <c r="AA502" s="1069">
        <f t="shared" si="741"/>
        <v>0</v>
      </c>
      <c r="AB502" s="1068">
        <f t="shared" si="741"/>
        <v>0</v>
      </c>
      <c r="AC502" s="1069">
        <f t="shared" si="741"/>
        <v>0</v>
      </c>
      <c r="AD502" s="1069">
        <f t="shared" si="741"/>
        <v>0</v>
      </c>
      <c r="AE502" s="1069">
        <f t="shared" si="741"/>
        <v>0</v>
      </c>
      <c r="AF502" s="1069">
        <f t="shared" si="741"/>
        <v>0</v>
      </c>
      <c r="AG502" s="1069">
        <f>AG497-AG452</f>
        <v>0</v>
      </c>
      <c r="AH502" s="1069">
        <f>AH497-AH452</f>
        <v>0</v>
      </c>
      <c r="AI502" s="1069">
        <f>AI497-AI452</f>
        <v>0</v>
      </c>
      <c r="AJ502" s="1168">
        <f>AJ497-AJ452</f>
        <v>0</v>
      </c>
      <c r="AK502" s="548"/>
      <c r="AM502" s="881"/>
      <c r="AO502" s="63"/>
      <c r="AP502" s="63"/>
      <c r="AQ502" s="63"/>
      <c r="AR502" s="63"/>
      <c r="AS502" s="63"/>
      <c r="AT502" s="63"/>
      <c r="AU502" s="63"/>
      <c r="AV502" s="63"/>
      <c r="AW502" s="63"/>
      <c r="AX502" s="63"/>
      <c r="AY502" s="63"/>
      <c r="AZ502" s="63"/>
      <c r="BA502" s="63"/>
      <c r="BB502" s="63"/>
      <c r="BC502" s="63"/>
      <c r="BD502" s="63"/>
      <c r="BE502" s="63"/>
      <c r="BF502" s="63"/>
      <c r="BG502" s="63"/>
      <c r="BH502" s="63"/>
      <c r="BI502" s="63"/>
      <c r="BJ502" s="63"/>
      <c r="BK502" s="63"/>
      <c r="BL502" s="63"/>
      <c r="BM502" s="63"/>
      <c r="BN502" s="63"/>
      <c r="BO502" s="63"/>
      <c r="BP502" s="63"/>
      <c r="BQ502" s="63"/>
      <c r="BR502" s="63"/>
      <c r="BS502" s="63"/>
      <c r="BT502" s="63"/>
      <c r="BU502" s="63"/>
      <c r="BV502" s="63"/>
      <c r="BW502" s="63"/>
      <c r="BX502" s="63"/>
      <c r="BY502" s="63"/>
      <c r="BZ502" s="63"/>
      <c r="CA502" s="63"/>
      <c r="CB502" s="63"/>
      <c r="CC502" s="63"/>
      <c r="CD502" s="63"/>
      <c r="CE502" s="63"/>
      <c r="CF502" s="63"/>
      <c r="CG502" s="63"/>
      <c r="CH502" s="63"/>
      <c r="CI502" s="63"/>
      <c r="CJ502" s="63"/>
      <c r="CK502" s="63"/>
    </row>
    <row r="503" spans="8:89" s="89" customFormat="1">
      <c r="H503" s="860"/>
      <c r="I503" s="878" t="str">
        <f>I453</f>
        <v>Trade Waste</v>
      </c>
      <c r="J503" s="879"/>
      <c r="K503" s="1065">
        <f t="shared" ref="K503:R503" si="742">SUM(K504:K507)</f>
        <v>0</v>
      </c>
      <c r="L503" s="1065">
        <f t="shared" si="742"/>
        <v>0</v>
      </c>
      <c r="M503" s="1064">
        <f t="shared" si="742"/>
        <v>0</v>
      </c>
      <c r="N503" s="1065">
        <f t="shared" si="742"/>
        <v>0</v>
      </c>
      <c r="O503" s="1065">
        <f t="shared" si="742"/>
        <v>0</v>
      </c>
      <c r="P503" s="1065">
        <f t="shared" si="742"/>
        <v>0</v>
      </c>
      <c r="Q503" s="1065">
        <f t="shared" si="742"/>
        <v>0</v>
      </c>
      <c r="R503" s="1064">
        <f t="shared" si="742"/>
        <v>0</v>
      </c>
      <c r="S503" s="1065">
        <f t="shared" ref="S503:AF503" si="743">SUM(S504:S507)</f>
        <v>0</v>
      </c>
      <c r="T503" s="1065">
        <f t="shared" si="743"/>
        <v>0</v>
      </c>
      <c r="U503" s="1065">
        <f t="shared" si="743"/>
        <v>0</v>
      </c>
      <c r="V503" s="1065">
        <f t="shared" si="743"/>
        <v>0</v>
      </c>
      <c r="W503" s="1064">
        <f t="shared" si="743"/>
        <v>0</v>
      </c>
      <c r="X503" s="1065">
        <f t="shared" si="743"/>
        <v>0</v>
      </c>
      <c r="Y503" s="1065">
        <f t="shared" si="743"/>
        <v>0</v>
      </c>
      <c r="Z503" s="1065">
        <f t="shared" si="743"/>
        <v>0</v>
      </c>
      <c r="AA503" s="1065">
        <f t="shared" si="743"/>
        <v>0</v>
      </c>
      <c r="AB503" s="1064">
        <f t="shared" si="743"/>
        <v>0</v>
      </c>
      <c r="AC503" s="1065">
        <f t="shared" si="743"/>
        <v>0</v>
      </c>
      <c r="AD503" s="1065">
        <f t="shared" si="743"/>
        <v>0</v>
      </c>
      <c r="AE503" s="1065">
        <f t="shared" si="743"/>
        <v>0</v>
      </c>
      <c r="AF503" s="1065">
        <f t="shared" si="743"/>
        <v>0</v>
      </c>
      <c r="AG503" s="1065">
        <f>SUM(AG504:AG507)</f>
        <v>0</v>
      </c>
      <c r="AH503" s="1065">
        <f>SUM(AH504:AH507)</f>
        <v>0</v>
      </c>
      <c r="AI503" s="1065">
        <f>SUM(AI504:AI507)</f>
        <v>0</v>
      </c>
      <c r="AJ503" s="1164">
        <f>SUM(AJ504:AJ507)</f>
        <v>0</v>
      </c>
      <c r="AK503" s="548"/>
      <c r="AM503" s="877"/>
      <c r="AO503" s="63"/>
      <c r="AP503" s="63"/>
      <c r="AQ503" s="63"/>
      <c r="AR503" s="63"/>
      <c r="AS503" s="63"/>
      <c r="AT503" s="63"/>
      <c r="AU503" s="63"/>
      <c r="AV503" s="63"/>
      <c r="AW503" s="63"/>
      <c r="AX503" s="63"/>
      <c r="AY503" s="63"/>
      <c r="AZ503" s="63"/>
      <c r="BA503" s="63"/>
      <c r="BB503" s="63"/>
      <c r="BC503" s="63"/>
      <c r="BD503" s="63"/>
      <c r="BE503" s="63"/>
      <c r="BF503" s="63"/>
      <c r="BG503" s="63"/>
      <c r="BH503" s="63"/>
      <c r="BI503" s="63"/>
      <c r="BJ503" s="63"/>
      <c r="BK503" s="63"/>
      <c r="BL503" s="63"/>
      <c r="BM503" s="63"/>
      <c r="BN503" s="63"/>
      <c r="BO503" s="63"/>
      <c r="BP503" s="63"/>
      <c r="BQ503" s="63"/>
      <c r="BR503" s="63"/>
      <c r="BS503" s="63"/>
      <c r="BT503" s="63"/>
      <c r="BU503" s="63"/>
      <c r="BV503" s="63"/>
      <c r="BW503" s="63"/>
      <c r="BX503" s="63"/>
      <c r="BY503" s="63"/>
      <c r="BZ503" s="63"/>
      <c r="CA503" s="63"/>
      <c r="CB503" s="63"/>
      <c r="CC503" s="63"/>
      <c r="CD503" s="63"/>
      <c r="CE503" s="63"/>
      <c r="CF503" s="63"/>
      <c r="CG503" s="63"/>
      <c r="CH503" s="63"/>
      <c r="CI503" s="63"/>
      <c r="CJ503" s="63"/>
      <c r="CK503" s="63"/>
    </row>
    <row r="504" spans="8:89">
      <c r="H504" s="880"/>
      <c r="I504" s="866" t="str">
        <f>I498</f>
        <v>Price cap - Fixed</v>
      </c>
      <c r="J504" s="867"/>
      <c r="K504" s="1067">
        <f t="shared" ref="K504:M507" si="744">+SUMIFS(K$69:K$444,$E$69:$E$444,$E$71,$F$69:$F$444,$I$503,$I$69:$I$444,$I504)</f>
        <v>0</v>
      </c>
      <c r="L504" s="1067">
        <f t="shared" si="744"/>
        <v>0</v>
      </c>
      <c r="M504" s="1066">
        <f t="shared" si="744"/>
        <v>0</v>
      </c>
      <c r="N504" s="1067">
        <f t="shared" ref="N504:R507" si="745">+SUMIFS(N$69:N$444,$E$69:$E$444,$E$71,$F$69:$F$444,$I$503,$I$69:$I$444,$I504)</f>
        <v>0</v>
      </c>
      <c r="O504" s="1067">
        <f t="shared" si="745"/>
        <v>0</v>
      </c>
      <c r="P504" s="1067">
        <f t="shared" si="745"/>
        <v>0</v>
      </c>
      <c r="Q504" s="1067">
        <f t="shared" si="745"/>
        <v>0</v>
      </c>
      <c r="R504" s="1066">
        <f t="shared" si="745"/>
        <v>0</v>
      </c>
      <c r="S504" s="1067">
        <f t="shared" ref="S504:AJ507" si="746">+SUMIFS(S$69:S$444,$E$69:$E$444,$E$71,$F$69:$F$444,$I$503,$I$69:$I$444,$I504)</f>
        <v>0</v>
      </c>
      <c r="T504" s="1067">
        <f t="shared" si="746"/>
        <v>0</v>
      </c>
      <c r="U504" s="1067">
        <f t="shared" si="746"/>
        <v>0</v>
      </c>
      <c r="V504" s="1067">
        <f t="shared" si="746"/>
        <v>0</v>
      </c>
      <c r="W504" s="1066">
        <f t="shared" si="746"/>
        <v>0</v>
      </c>
      <c r="X504" s="1067">
        <f t="shared" si="746"/>
        <v>0</v>
      </c>
      <c r="Y504" s="1067">
        <f t="shared" si="746"/>
        <v>0</v>
      </c>
      <c r="Z504" s="1067">
        <f t="shared" si="746"/>
        <v>0</v>
      </c>
      <c r="AA504" s="1067">
        <f t="shared" si="746"/>
        <v>0</v>
      </c>
      <c r="AB504" s="1066">
        <f t="shared" si="746"/>
        <v>0</v>
      </c>
      <c r="AC504" s="1067">
        <f t="shared" si="746"/>
        <v>0</v>
      </c>
      <c r="AD504" s="1067">
        <f t="shared" si="746"/>
        <v>0</v>
      </c>
      <c r="AE504" s="1067">
        <f t="shared" si="746"/>
        <v>0</v>
      </c>
      <c r="AF504" s="1067">
        <f t="shared" si="746"/>
        <v>0</v>
      </c>
      <c r="AG504" s="1067">
        <f t="shared" si="746"/>
        <v>0</v>
      </c>
      <c r="AH504" s="1067">
        <f t="shared" si="746"/>
        <v>0</v>
      </c>
      <c r="AI504" s="1067">
        <f t="shared" si="746"/>
        <v>0</v>
      </c>
      <c r="AJ504" s="1165">
        <f t="shared" si="746"/>
        <v>0</v>
      </c>
      <c r="AK504" s="548"/>
    </row>
    <row r="505" spans="8:89">
      <c r="H505" s="880"/>
      <c r="I505" s="866" t="str">
        <f>I499</f>
        <v xml:space="preserve">Price cap - Variable </v>
      </c>
      <c r="J505" s="867"/>
      <c r="K505" s="1067">
        <f t="shared" si="744"/>
        <v>0</v>
      </c>
      <c r="L505" s="1067">
        <f t="shared" si="744"/>
        <v>0</v>
      </c>
      <c r="M505" s="1066">
        <f t="shared" si="744"/>
        <v>0</v>
      </c>
      <c r="N505" s="1067">
        <f t="shared" si="745"/>
        <v>0</v>
      </c>
      <c r="O505" s="1067">
        <f t="shared" si="745"/>
        <v>0</v>
      </c>
      <c r="P505" s="1067">
        <f t="shared" si="745"/>
        <v>0</v>
      </c>
      <c r="Q505" s="1067">
        <f t="shared" si="745"/>
        <v>0</v>
      </c>
      <c r="R505" s="1066">
        <f t="shared" si="745"/>
        <v>0</v>
      </c>
      <c r="S505" s="1067">
        <f t="shared" si="746"/>
        <v>0</v>
      </c>
      <c r="T505" s="1067">
        <f t="shared" si="746"/>
        <v>0</v>
      </c>
      <c r="U505" s="1067">
        <f t="shared" si="746"/>
        <v>0</v>
      </c>
      <c r="V505" s="1067">
        <f t="shared" si="746"/>
        <v>0</v>
      </c>
      <c r="W505" s="1066">
        <f t="shared" si="746"/>
        <v>0</v>
      </c>
      <c r="X505" s="1067">
        <f t="shared" si="746"/>
        <v>0</v>
      </c>
      <c r="Y505" s="1067">
        <f t="shared" si="746"/>
        <v>0</v>
      </c>
      <c r="Z505" s="1067">
        <f t="shared" si="746"/>
        <v>0</v>
      </c>
      <c r="AA505" s="1067">
        <f t="shared" si="746"/>
        <v>0</v>
      </c>
      <c r="AB505" s="1066">
        <f t="shared" si="746"/>
        <v>0</v>
      </c>
      <c r="AC505" s="1067">
        <f t="shared" si="746"/>
        <v>0</v>
      </c>
      <c r="AD505" s="1067">
        <f t="shared" si="746"/>
        <v>0</v>
      </c>
      <c r="AE505" s="1067">
        <f t="shared" si="746"/>
        <v>0</v>
      </c>
      <c r="AF505" s="1067">
        <f t="shared" si="746"/>
        <v>0</v>
      </c>
      <c r="AG505" s="1067">
        <f t="shared" si="746"/>
        <v>0</v>
      </c>
      <c r="AH505" s="1067">
        <f t="shared" si="746"/>
        <v>0</v>
      </c>
      <c r="AI505" s="1067">
        <f t="shared" si="746"/>
        <v>0</v>
      </c>
      <c r="AJ505" s="1165">
        <f t="shared" si="746"/>
        <v>0</v>
      </c>
      <c r="AK505" s="548"/>
    </row>
    <row r="506" spans="8:89">
      <c r="H506" s="880"/>
      <c r="I506" s="866" t="str">
        <f>I500</f>
        <v xml:space="preserve">Revenue cap - Fixed </v>
      </c>
      <c r="J506" s="867"/>
      <c r="K506" s="1067">
        <f t="shared" si="744"/>
        <v>0</v>
      </c>
      <c r="L506" s="1067">
        <f t="shared" si="744"/>
        <v>0</v>
      </c>
      <c r="M506" s="1066">
        <f t="shared" si="744"/>
        <v>0</v>
      </c>
      <c r="N506" s="1067">
        <f t="shared" si="745"/>
        <v>0</v>
      </c>
      <c r="O506" s="1067">
        <f t="shared" si="745"/>
        <v>0</v>
      </c>
      <c r="P506" s="1067">
        <f t="shared" si="745"/>
        <v>0</v>
      </c>
      <c r="Q506" s="1067">
        <f t="shared" si="745"/>
        <v>0</v>
      </c>
      <c r="R506" s="1066">
        <f t="shared" si="745"/>
        <v>0</v>
      </c>
      <c r="S506" s="1067">
        <f t="shared" si="746"/>
        <v>0</v>
      </c>
      <c r="T506" s="1067">
        <f t="shared" si="746"/>
        <v>0</v>
      </c>
      <c r="U506" s="1067">
        <f t="shared" si="746"/>
        <v>0</v>
      </c>
      <c r="V506" s="1067">
        <f t="shared" si="746"/>
        <v>0</v>
      </c>
      <c r="W506" s="1066">
        <f t="shared" si="746"/>
        <v>0</v>
      </c>
      <c r="X506" s="1067">
        <f t="shared" si="746"/>
        <v>0</v>
      </c>
      <c r="Y506" s="1067">
        <f t="shared" si="746"/>
        <v>0</v>
      </c>
      <c r="Z506" s="1067">
        <f t="shared" si="746"/>
        <v>0</v>
      </c>
      <c r="AA506" s="1067">
        <f t="shared" si="746"/>
        <v>0</v>
      </c>
      <c r="AB506" s="1066">
        <f t="shared" si="746"/>
        <v>0</v>
      </c>
      <c r="AC506" s="1067">
        <f t="shared" si="746"/>
        <v>0</v>
      </c>
      <c r="AD506" s="1067">
        <f t="shared" si="746"/>
        <v>0</v>
      </c>
      <c r="AE506" s="1067">
        <f t="shared" si="746"/>
        <v>0</v>
      </c>
      <c r="AF506" s="1067">
        <f t="shared" si="746"/>
        <v>0</v>
      </c>
      <c r="AG506" s="1067">
        <f t="shared" si="746"/>
        <v>0</v>
      </c>
      <c r="AH506" s="1067">
        <f t="shared" si="746"/>
        <v>0</v>
      </c>
      <c r="AI506" s="1067">
        <f t="shared" si="746"/>
        <v>0</v>
      </c>
      <c r="AJ506" s="1165">
        <f t="shared" si="746"/>
        <v>0</v>
      </c>
      <c r="AK506" s="548"/>
    </row>
    <row r="507" spans="8:89">
      <c r="H507" s="880"/>
      <c r="I507" s="866" t="str">
        <f>I501</f>
        <v>Revenue cap - Variable</v>
      </c>
      <c r="J507" s="867"/>
      <c r="K507" s="1067">
        <f t="shared" si="744"/>
        <v>0</v>
      </c>
      <c r="L507" s="1067">
        <f t="shared" si="744"/>
        <v>0</v>
      </c>
      <c r="M507" s="1066">
        <f t="shared" si="744"/>
        <v>0</v>
      </c>
      <c r="N507" s="1067">
        <f t="shared" si="745"/>
        <v>0</v>
      </c>
      <c r="O507" s="1067">
        <f t="shared" si="745"/>
        <v>0</v>
      </c>
      <c r="P507" s="1067">
        <f t="shared" si="745"/>
        <v>0</v>
      </c>
      <c r="Q507" s="1067">
        <f t="shared" si="745"/>
        <v>0</v>
      </c>
      <c r="R507" s="1066">
        <f t="shared" si="745"/>
        <v>0</v>
      </c>
      <c r="S507" s="1067">
        <f t="shared" si="746"/>
        <v>0</v>
      </c>
      <c r="T507" s="1067">
        <f t="shared" si="746"/>
        <v>0</v>
      </c>
      <c r="U507" s="1067">
        <f t="shared" si="746"/>
        <v>0</v>
      </c>
      <c r="V507" s="1067">
        <f t="shared" si="746"/>
        <v>0</v>
      </c>
      <c r="W507" s="1066">
        <f t="shared" si="746"/>
        <v>0</v>
      </c>
      <c r="X507" s="1067">
        <f t="shared" si="746"/>
        <v>0</v>
      </c>
      <c r="Y507" s="1067">
        <f t="shared" si="746"/>
        <v>0</v>
      </c>
      <c r="Z507" s="1067">
        <f t="shared" si="746"/>
        <v>0</v>
      </c>
      <c r="AA507" s="1067">
        <f t="shared" si="746"/>
        <v>0</v>
      </c>
      <c r="AB507" s="1066">
        <f t="shared" si="746"/>
        <v>0</v>
      </c>
      <c r="AC507" s="1067">
        <f t="shared" si="746"/>
        <v>0</v>
      </c>
      <c r="AD507" s="1067">
        <f t="shared" si="746"/>
        <v>0</v>
      </c>
      <c r="AE507" s="1067">
        <f t="shared" si="746"/>
        <v>0</v>
      </c>
      <c r="AF507" s="1067">
        <f t="shared" si="746"/>
        <v>0</v>
      </c>
      <c r="AG507" s="1067">
        <f t="shared" si="746"/>
        <v>0</v>
      </c>
      <c r="AH507" s="1067">
        <f t="shared" si="746"/>
        <v>0</v>
      </c>
      <c r="AI507" s="1067">
        <f t="shared" si="746"/>
        <v>0</v>
      </c>
      <c r="AJ507" s="1165">
        <f t="shared" si="746"/>
        <v>0</v>
      </c>
      <c r="AK507" s="548"/>
      <c r="AO507" s="868"/>
      <c r="AP507" s="868"/>
      <c r="AQ507" s="868"/>
      <c r="AR507" s="868"/>
      <c r="AS507" s="868"/>
      <c r="AT507" s="868"/>
      <c r="AU507" s="868"/>
      <c r="AV507" s="868"/>
      <c r="AW507" s="868"/>
      <c r="AX507" s="868"/>
      <c r="AY507" s="868"/>
      <c r="AZ507" s="868"/>
      <c r="BA507" s="868"/>
      <c r="BB507" s="868"/>
      <c r="BC507" s="868"/>
      <c r="BD507" s="868"/>
      <c r="BE507" s="868"/>
      <c r="BF507" s="868"/>
      <c r="BG507" s="868"/>
      <c r="BH507" s="868"/>
      <c r="BI507" s="868"/>
      <c r="BJ507" s="868"/>
      <c r="BK507" s="868"/>
      <c r="BL507" s="868"/>
      <c r="BM507" s="868"/>
      <c r="BN507" s="868"/>
      <c r="BO507" s="868"/>
      <c r="BP507" s="868"/>
      <c r="BQ507" s="868"/>
      <c r="BR507" s="868"/>
      <c r="BS507" s="868"/>
      <c r="BT507" s="868"/>
      <c r="BU507" s="868"/>
      <c r="BV507" s="868"/>
      <c r="BW507" s="868"/>
      <c r="BX507" s="868"/>
      <c r="BY507" s="868"/>
      <c r="BZ507" s="868"/>
      <c r="CA507" s="868"/>
      <c r="CB507" s="868"/>
      <c r="CC507" s="868"/>
      <c r="CD507" s="868"/>
      <c r="CE507" s="868"/>
      <c r="CF507" s="868"/>
      <c r="CG507" s="868"/>
      <c r="CH507" s="868"/>
      <c r="CI507" s="868"/>
      <c r="CJ507" s="868"/>
      <c r="CK507" s="868"/>
    </row>
    <row r="508" spans="8:89" s="868" customFormat="1">
      <c r="H508" s="869"/>
      <c r="I508" s="882" t="s">
        <v>130</v>
      </c>
      <c r="J508" s="883"/>
      <c r="K508" s="1169">
        <f t="shared" ref="K508:R508" si="747">K503-K453</f>
        <v>0</v>
      </c>
      <c r="L508" s="1169">
        <f t="shared" si="747"/>
        <v>0</v>
      </c>
      <c r="M508" s="1170">
        <f t="shared" si="747"/>
        <v>0</v>
      </c>
      <c r="N508" s="1169">
        <f t="shared" si="747"/>
        <v>0</v>
      </c>
      <c r="O508" s="1169">
        <f t="shared" si="747"/>
        <v>0</v>
      </c>
      <c r="P508" s="1169">
        <f t="shared" si="747"/>
        <v>0</v>
      </c>
      <c r="Q508" s="1169">
        <f t="shared" si="747"/>
        <v>0</v>
      </c>
      <c r="R508" s="1070">
        <f t="shared" si="747"/>
        <v>0</v>
      </c>
      <c r="S508" s="1071">
        <f t="shared" ref="S508:AF508" si="748">S503-S453</f>
        <v>0</v>
      </c>
      <c r="T508" s="1071">
        <f t="shared" si="748"/>
        <v>0</v>
      </c>
      <c r="U508" s="1071">
        <f t="shared" si="748"/>
        <v>0</v>
      </c>
      <c r="V508" s="1071">
        <f t="shared" si="748"/>
        <v>0</v>
      </c>
      <c r="W508" s="1070">
        <f t="shared" si="748"/>
        <v>0</v>
      </c>
      <c r="X508" s="1071">
        <f t="shared" si="748"/>
        <v>0</v>
      </c>
      <c r="Y508" s="1071">
        <f t="shared" si="748"/>
        <v>0</v>
      </c>
      <c r="Z508" s="1071">
        <f t="shared" si="748"/>
        <v>0</v>
      </c>
      <c r="AA508" s="1071">
        <f t="shared" si="748"/>
        <v>0</v>
      </c>
      <c r="AB508" s="1070">
        <f t="shared" si="748"/>
        <v>0</v>
      </c>
      <c r="AC508" s="1071">
        <f t="shared" si="748"/>
        <v>0</v>
      </c>
      <c r="AD508" s="1071">
        <f t="shared" si="748"/>
        <v>0</v>
      </c>
      <c r="AE508" s="1071">
        <f t="shared" si="748"/>
        <v>0</v>
      </c>
      <c r="AF508" s="1071">
        <f t="shared" si="748"/>
        <v>0</v>
      </c>
      <c r="AG508" s="1071">
        <f>AG503-AG453</f>
        <v>0</v>
      </c>
      <c r="AH508" s="1071">
        <f>AH503-AH453</f>
        <v>0</v>
      </c>
      <c r="AI508" s="1071">
        <f>AI503-AI453</f>
        <v>0</v>
      </c>
      <c r="AJ508" s="1171">
        <f>AJ503-AJ453</f>
        <v>0</v>
      </c>
      <c r="AK508" s="548"/>
      <c r="AM508" s="881"/>
      <c r="AO508" s="89"/>
      <c r="AP508" s="89"/>
      <c r="AQ508" s="89"/>
      <c r="AR508" s="89"/>
      <c r="AS508" s="89"/>
      <c r="AT508" s="89"/>
      <c r="AU508" s="89"/>
      <c r="AV508" s="89"/>
      <c r="AW508" s="89"/>
      <c r="AX508" s="89"/>
      <c r="AY508" s="89"/>
      <c r="AZ508" s="89"/>
      <c r="BA508" s="89"/>
      <c r="BB508" s="89"/>
      <c r="BC508" s="89"/>
      <c r="BD508" s="89"/>
      <c r="BE508" s="89"/>
      <c r="BF508" s="89"/>
      <c r="BG508" s="89"/>
      <c r="BH508" s="89"/>
      <c r="BI508" s="89"/>
      <c r="BJ508" s="89"/>
      <c r="BK508" s="89"/>
      <c r="BL508" s="89"/>
      <c r="BM508" s="89"/>
      <c r="BN508" s="89"/>
      <c r="BO508" s="89"/>
      <c r="BP508" s="89"/>
      <c r="BQ508" s="89"/>
      <c r="BR508" s="89"/>
      <c r="BS508" s="89"/>
      <c r="BT508" s="89"/>
      <c r="BU508" s="89"/>
      <c r="BV508" s="89"/>
      <c r="BW508" s="89"/>
      <c r="BX508" s="89"/>
      <c r="BY508" s="89"/>
      <c r="BZ508" s="89"/>
      <c r="CA508" s="89"/>
      <c r="CB508" s="89"/>
      <c r="CC508" s="89"/>
      <c r="CD508" s="89"/>
      <c r="CE508" s="89"/>
      <c r="CF508" s="89"/>
      <c r="CG508" s="89"/>
      <c r="CH508" s="89"/>
      <c r="CI508" s="89"/>
      <c r="CJ508" s="89"/>
      <c r="CK508" s="89"/>
    </row>
    <row r="509" spans="8:89" ht="12.75" thickBot="1">
      <c r="I509" s="884" t="s">
        <v>113</v>
      </c>
      <c r="J509" s="885"/>
      <c r="K509" s="481">
        <f t="shared" ref="K509:R509" si="749">SUM(K474:K477,K480:K483,K486:K489,K492:K495,K498:K501,K504:K507)</f>
        <v>0</v>
      </c>
      <c r="L509" s="481">
        <f t="shared" si="749"/>
        <v>0</v>
      </c>
      <c r="M509" s="1072">
        <f t="shared" si="749"/>
        <v>0</v>
      </c>
      <c r="N509" s="481">
        <f t="shared" si="749"/>
        <v>0</v>
      </c>
      <c r="O509" s="481">
        <f t="shared" si="749"/>
        <v>0</v>
      </c>
      <c r="P509" s="481">
        <f t="shared" si="749"/>
        <v>0</v>
      </c>
      <c r="Q509" s="481">
        <f t="shared" si="749"/>
        <v>0</v>
      </c>
      <c r="R509" s="1072">
        <f t="shared" si="749"/>
        <v>0</v>
      </c>
      <c r="S509" s="481">
        <f t="shared" ref="S509:AF509" si="750">SUM(S474:S477,S480:S483,S486:S489,S492:S495,S498:S501,S504:S507)</f>
        <v>0</v>
      </c>
      <c r="T509" s="481">
        <f t="shared" si="750"/>
        <v>0</v>
      </c>
      <c r="U509" s="481">
        <f t="shared" si="750"/>
        <v>1928.3883540002439</v>
      </c>
      <c r="V509" s="481">
        <f t="shared" si="750"/>
        <v>1863.4913725141937</v>
      </c>
      <c r="W509" s="1072">
        <f t="shared" si="750"/>
        <v>1850.3182268629635</v>
      </c>
      <c r="X509" s="481">
        <f t="shared" si="750"/>
        <v>1860.9939467005511</v>
      </c>
      <c r="Y509" s="481">
        <f t="shared" si="750"/>
        <v>1884.6482554317231</v>
      </c>
      <c r="Z509" s="481">
        <f t="shared" si="750"/>
        <v>1883.8406593782124</v>
      </c>
      <c r="AA509" s="481">
        <f t="shared" si="750"/>
        <v>1893.2829085360952</v>
      </c>
      <c r="AB509" s="1072">
        <f t="shared" si="750"/>
        <v>1966.6590870588516</v>
      </c>
      <c r="AC509" s="481">
        <f t="shared" si="750"/>
        <v>2004.5807805715558</v>
      </c>
      <c r="AD509" s="481">
        <f t="shared" si="750"/>
        <v>2042.7304903590148</v>
      </c>
      <c r="AE509" s="481">
        <f t="shared" si="750"/>
        <v>2081.9818345573044</v>
      </c>
      <c r="AF509" s="481">
        <f t="shared" si="750"/>
        <v>2179.7753105821339</v>
      </c>
      <c r="AG509" s="481">
        <f>SUM(AG474:AG477,AG480:AG483,AG486:AG489,AG492:AG495,AG498:AG501,AG504:AG507)</f>
        <v>2210.306734419125</v>
      </c>
      <c r="AH509" s="481">
        <f>SUM(AH474:AH477,AH480:AH483,AH486:AH489,AH492:AH495,AH498:AH501,AH504:AH507)</f>
        <v>2242.6805324728584</v>
      </c>
      <c r="AI509" s="481">
        <f>SUM(AI474:AI477,AI480:AI483,AI486:AI489,AI492:AI495,AI498:AI501,AI504:AI507)</f>
        <v>2281.2905969439557</v>
      </c>
      <c r="AJ509" s="1172">
        <f>SUM(AJ474:AJ477,AJ480:AJ483,AJ486:AJ489,AJ492:AJ495,AJ498:AJ501,AJ504:AJ507)</f>
        <v>2316.9475655516571</v>
      </c>
      <c r="AK509" s="548"/>
      <c r="AO509" s="89"/>
      <c r="AP509" s="89"/>
      <c r="AQ509" s="89"/>
      <c r="AR509" s="89"/>
      <c r="AS509" s="89"/>
      <c r="AT509" s="89"/>
      <c r="AU509" s="89"/>
      <c r="AV509" s="89"/>
      <c r="AW509" s="89"/>
      <c r="AX509" s="89"/>
      <c r="AY509" s="89"/>
      <c r="AZ509" s="89"/>
      <c r="BA509" s="89"/>
      <c r="BB509" s="89"/>
      <c r="BC509" s="89"/>
      <c r="BD509" s="89"/>
      <c r="BE509" s="89"/>
      <c r="BF509" s="89"/>
      <c r="BG509" s="89"/>
      <c r="BH509" s="89"/>
      <c r="BI509" s="89"/>
      <c r="BJ509" s="89"/>
      <c r="BK509" s="89"/>
      <c r="BL509" s="89"/>
      <c r="BM509" s="89"/>
      <c r="BN509" s="89"/>
      <c r="BO509" s="89"/>
      <c r="BP509" s="89"/>
      <c r="BQ509" s="89"/>
      <c r="BR509" s="89"/>
      <c r="BS509" s="89"/>
      <c r="BT509" s="89"/>
      <c r="BU509" s="89"/>
      <c r="BV509" s="89"/>
      <c r="BW509" s="89"/>
      <c r="BX509" s="89"/>
      <c r="BY509" s="89"/>
      <c r="BZ509" s="89"/>
      <c r="CA509" s="89"/>
      <c r="CB509" s="89"/>
      <c r="CC509" s="89"/>
      <c r="CD509" s="89"/>
      <c r="CE509" s="89"/>
      <c r="CF509" s="89"/>
      <c r="CG509" s="89"/>
      <c r="CH509" s="89"/>
      <c r="CI509" s="89"/>
      <c r="CJ509" s="89"/>
      <c r="CK509" s="89"/>
    </row>
    <row r="510" spans="8:89" s="868" customFormat="1">
      <c r="H510" s="886"/>
      <c r="I510" s="887" t="s">
        <v>130</v>
      </c>
      <c r="J510" s="888"/>
      <c r="K510" s="892">
        <f t="shared" ref="K510:Q510" si="751">K509-K455</f>
        <v>0</v>
      </c>
      <c r="L510" s="892">
        <f t="shared" si="751"/>
        <v>0</v>
      </c>
      <c r="M510" s="891">
        <f t="shared" si="751"/>
        <v>0</v>
      </c>
      <c r="N510" s="892">
        <f t="shared" si="751"/>
        <v>0</v>
      </c>
      <c r="O510" s="892">
        <f t="shared" si="751"/>
        <v>0</v>
      </c>
      <c r="P510" s="892">
        <f t="shared" si="751"/>
        <v>0</v>
      </c>
      <c r="Q510" s="892">
        <f t="shared" si="751"/>
        <v>0</v>
      </c>
      <c r="R510" s="891">
        <f>R509-R455</f>
        <v>0</v>
      </c>
      <c r="S510" s="892">
        <f t="shared" ref="S510:AF510" si="752">S509-S455</f>
        <v>0</v>
      </c>
      <c r="T510" s="892">
        <f t="shared" si="752"/>
        <v>0</v>
      </c>
      <c r="U510" s="892">
        <f t="shared" si="752"/>
        <v>0</v>
      </c>
      <c r="V510" s="892">
        <f t="shared" si="752"/>
        <v>0</v>
      </c>
      <c r="W510" s="891">
        <f t="shared" si="752"/>
        <v>0</v>
      </c>
      <c r="X510" s="892">
        <f t="shared" si="752"/>
        <v>0</v>
      </c>
      <c r="Y510" s="892">
        <f t="shared" si="752"/>
        <v>0</v>
      </c>
      <c r="Z510" s="892">
        <f t="shared" si="752"/>
        <v>0</v>
      </c>
      <c r="AA510" s="892">
        <f t="shared" si="752"/>
        <v>0</v>
      </c>
      <c r="AB510" s="891">
        <f t="shared" si="752"/>
        <v>0</v>
      </c>
      <c r="AC510" s="892">
        <f t="shared" si="752"/>
        <v>0</v>
      </c>
      <c r="AD510" s="892">
        <f t="shared" si="752"/>
        <v>0</v>
      </c>
      <c r="AE510" s="892">
        <f t="shared" si="752"/>
        <v>0</v>
      </c>
      <c r="AF510" s="892">
        <f t="shared" si="752"/>
        <v>0</v>
      </c>
      <c r="AG510" s="892">
        <f>AG509-AG455</f>
        <v>0</v>
      </c>
      <c r="AH510" s="892">
        <f>AH509-AH455</f>
        <v>0</v>
      </c>
      <c r="AI510" s="892">
        <f>AI509-AI455</f>
        <v>0</v>
      </c>
      <c r="AJ510" s="893">
        <f>AJ509-AJ455</f>
        <v>0</v>
      </c>
      <c r="AK510" s="548"/>
      <c r="AM510" s="881"/>
      <c r="AO510" s="63"/>
      <c r="AP510" s="63"/>
      <c r="AQ510" s="63"/>
      <c r="AR510" s="63"/>
      <c r="AS510" s="63"/>
      <c r="AT510" s="63"/>
      <c r="AU510" s="63"/>
      <c r="AV510" s="63"/>
      <c r="AW510" s="63"/>
      <c r="AX510" s="63"/>
      <c r="AY510" s="63"/>
      <c r="AZ510" s="63"/>
      <c r="BA510" s="63"/>
      <c r="BB510" s="63"/>
      <c r="BC510" s="63"/>
      <c r="BD510" s="63"/>
      <c r="BE510" s="63"/>
      <c r="BF510" s="63"/>
      <c r="BG510" s="63"/>
      <c r="BH510" s="63"/>
      <c r="BI510" s="63"/>
      <c r="BJ510" s="63"/>
      <c r="BK510" s="63"/>
      <c r="BL510" s="63"/>
      <c r="BM510" s="63"/>
      <c r="BN510" s="63"/>
      <c r="BO510" s="63"/>
      <c r="BP510" s="63"/>
      <c r="BQ510" s="63"/>
      <c r="BR510" s="63"/>
      <c r="BS510" s="63"/>
      <c r="BT510" s="63"/>
      <c r="BU510" s="63"/>
      <c r="BV510" s="63"/>
      <c r="BW510" s="63"/>
      <c r="BX510" s="63"/>
      <c r="BY510" s="63"/>
      <c r="BZ510" s="63"/>
      <c r="CA510" s="63"/>
      <c r="CB510" s="63"/>
      <c r="CC510" s="63"/>
      <c r="CD510" s="63"/>
      <c r="CE510" s="63"/>
      <c r="CF510" s="63"/>
      <c r="CG510" s="63"/>
      <c r="CH510" s="63"/>
      <c r="CI510" s="63"/>
      <c r="CJ510" s="63"/>
      <c r="CK510" s="63"/>
    </row>
    <row r="511" spans="8:89" s="868" customFormat="1">
      <c r="H511" s="886"/>
      <c r="I511" s="870"/>
      <c r="J511" s="871"/>
      <c r="K511" s="872"/>
      <c r="L511" s="872"/>
      <c r="M511" s="873"/>
      <c r="N511" s="872"/>
      <c r="O511" s="872"/>
      <c r="P511" s="872"/>
      <c r="Q511" s="872"/>
      <c r="R511" s="874"/>
      <c r="S511" s="875"/>
      <c r="T511" s="875"/>
      <c r="U511" s="875"/>
      <c r="V511" s="875"/>
      <c r="W511" s="874"/>
      <c r="X511" s="875"/>
      <c r="Y511" s="875"/>
      <c r="Z511" s="875"/>
      <c r="AA511" s="875"/>
      <c r="AB511" s="874"/>
      <c r="AC511" s="875"/>
      <c r="AD511" s="875"/>
      <c r="AE511" s="875"/>
      <c r="AF511" s="875"/>
      <c r="AG511" s="875"/>
      <c r="AH511" s="875"/>
      <c r="AI511" s="875"/>
      <c r="AJ511" s="876"/>
      <c r="AK511" s="548"/>
      <c r="AM511" s="881"/>
      <c r="AO511" s="63"/>
      <c r="AP511" s="63"/>
      <c r="AQ511" s="63"/>
      <c r="AR511" s="63"/>
      <c r="AS511" s="63"/>
      <c r="AT511" s="63"/>
      <c r="AU511" s="63"/>
      <c r="AV511" s="63"/>
      <c r="AW511" s="63"/>
      <c r="AX511" s="63"/>
      <c r="AY511" s="63"/>
      <c r="AZ511" s="63"/>
      <c r="BA511" s="63"/>
      <c r="BB511" s="63"/>
      <c r="BC511" s="63"/>
      <c r="BD511" s="63"/>
      <c r="BE511" s="63"/>
      <c r="BF511" s="63"/>
      <c r="BG511" s="63"/>
      <c r="BH511" s="63"/>
      <c r="BI511" s="63"/>
      <c r="BJ511" s="63"/>
      <c r="BK511" s="63"/>
      <c r="BL511" s="63"/>
      <c r="BM511" s="63"/>
      <c r="BN511" s="63"/>
      <c r="BO511" s="63"/>
      <c r="BP511" s="63"/>
      <c r="BQ511" s="63"/>
      <c r="BR511" s="63"/>
      <c r="BS511" s="63"/>
      <c r="BT511" s="63"/>
      <c r="BU511" s="63"/>
      <c r="BV511" s="63"/>
      <c r="BW511" s="63"/>
      <c r="BX511" s="63"/>
      <c r="BY511" s="63"/>
      <c r="BZ511" s="63"/>
      <c r="CA511" s="63"/>
      <c r="CB511" s="63"/>
      <c r="CC511" s="63"/>
      <c r="CD511" s="63"/>
      <c r="CE511" s="63"/>
      <c r="CF511" s="63"/>
      <c r="CG511" s="63"/>
      <c r="CH511" s="63"/>
      <c r="CI511" s="63"/>
      <c r="CJ511" s="63"/>
      <c r="CK511" s="63"/>
    </row>
    <row r="512" spans="8:89" s="89" customFormat="1">
      <c r="H512" s="894"/>
      <c r="I512" s="861" t="str">
        <f>I473</f>
        <v>Water</v>
      </c>
      <c r="J512" s="862"/>
      <c r="K512" s="863" t="str">
        <f t="shared" ref="K512:Q512" si="753">IFERROR(K473/K$509,"-")</f>
        <v>-</v>
      </c>
      <c r="L512" s="863" t="str">
        <f t="shared" si="753"/>
        <v>-</v>
      </c>
      <c r="M512" s="864" t="str">
        <f t="shared" si="753"/>
        <v>-</v>
      </c>
      <c r="N512" s="863" t="str">
        <f t="shared" si="753"/>
        <v>-</v>
      </c>
      <c r="O512" s="863" t="str">
        <f t="shared" si="753"/>
        <v>-</v>
      </c>
      <c r="P512" s="863" t="str">
        <f t="shared" si="753"/>
        <v>-</v>
      </c>
      <c r="Q512" s="863" t="str">
        <f t="shared" si="753"/>
        <v>-</v>
      </c>
      <c r="R512" s="895" t="str">
        <f>IFERROR(R473/R$509,"-")</f>
        <v>-</v>
      </c>
      <c r="S512" s="896" t="str">
        <f t="shared" ref="S512:AF512" si="754">IFERROR(S473/S$509,"-")</f>
        <v>-</v>
      </c>
      <c r="T512" s="896" t="str">
        <f t="shared" si="754"/>
        <v>-</v>
      </c>
      <c r="U512" s="896">
        <f t="shared" si="754"/>
        <v>0.55871042675965943</v>
      </c>
      <c r="V512" s="896">
        <f t="shared" si="754"/>
        <v>0.56463023246484623</v>
      </c>
      <c r="W512" s="895">
        <f t="shared" si="754"/>
        <v>0.55423423868057908</v>
      </c>
      <c r="X512" s="896">
        <f t="shared" si="754"/>
        <v>0.54414725729028901</v>
      </c>
      <c r="Y512" s="896">
        <f t="shared" si="754"/>
        <v>0.54083671292952917</v>
      </c>
      <c r="Z512" s="896">
        <f t="shared" si="754"/>
        <v>0.52780607837245808</v>
      </c>
      <c r="AA512" s="896">
        <f t="shared" si="754"/>
        <v>0.50421499494008482</v>
      </c>
      <c r="AB512" s="895">
        <f t="shared" si="754"/>
        <v>0.51125118976930006</v>
      </c>
      <c r="AC512" s="896">
        <f t="shared" si="754"/>
        <v>0.50889201655308214</v>
      </c>
      <c r="AD512" s="896">
        <f t="shared" si="754"/>
        <v>0.50625780665757503</v>
      </c>
      <c r="AE512" s="896">
        <f t="shared" si="754"/>
        <v>0.50406428483360033</v>
      </c>
      <c r="AF512" s="896">
        <f t="shared" si="754"/>
        <v>0.50429834934873485</v>
      </c>
      <c r="AG512" s="896">
        <f>IFERROR(AG473/AG$509,"-")</f>
        <v>0.49568763292092055</v>
      </c>
      <c r="AH512" s="896">
        <f>IFERROR(AH473/AH$509,"-")</f>
        <v>0.48725226105934849</v>
      </c>
      <c r="AI512" s="896">
        <f>IFERROR(AI473/AI$509,"-")</f>
        <v>0.47962924302126914</v>
      </c>
      <c r="AJ512" s="897">
        <f>IFERROR(AJ473/AJ$509,"-")</f>
        <v>0.47093436984864806</v>
      </c>
      <c r="AK512" s="548"/>
      <c r="AM512" s="877"/>
      <c r="AO512" s="63"/>
      <c r="AP512" s="63"/>
      <c r="AQ512" s="63"/>
      <c r="AR512" s="63"/>
      <c r="AS512" s="63"/>
      <c r="AT512" s="63"/>
      <c r="AU512" s="63"/>
      <c r="AV512" s="63"/>
      <c r="AW512" s="63"/>
      <c r="AX512" s="63"/>
      <c r="AY512" s="63"/>
      <c r="AZ512" s="63"/>
      <c r="BA512" s="63"/>
      <c r="BB512" s="63"/>
      <c r="BC512" s="63"/>
      <c r="BD512" s="63"/>
      <c r="BE512" s="63"/>
      <c r="BF512" s="63"/>
      <c r="BG512" s="63"/>
      <c r="BH512" s="63"/>
      <c r="BI512" s="63"/>
      <c r="BJ512" s="63"/>
      <c r="BK512" s="63"/>
      <c r="BL512" s="63"/>
      <c r="BM512" s="63"/>
      <c r="BN512" s="63"/>
      <c r="BO512" s="63"/>
      <c r="BP512" s="63"/>
      <c r="BQ512" s="63"/>
      <c r="BR512" s="63"/>
      <c r="BS512" s="63"/>
      <c r="BT512" s="63"/>
      <c r="BU512" s="63"/>
      <c r="BV512" s="63"/>
      <c r="BW512" s="63"/>
      <c r="BX512" s="63"/>
      <c r="BY512" s="63"/>
      <c r="BZ512" s="63"/>
      <c r="CA512" s="63"/>
      <c r="CB512" s="63"/>
      <c r="CC512" s="63"/>
      <c r="CD512" s="63"/>
      <c r="CE512" s="63"/>
      <c r="CF512" s="63"/>
      <c r="CG512" s="63"/>
      <c r="CH512" s="63"/>
      <c r="CI512" s="63"/>
      <c r="CJ512" s="63"/>
      <c r="CK512" s="63"/>
    </row>
    <row r="513" spans="8:89">
      <c r="H513" s="898"/>
      <c r="I513" s="866" t="str">
        <f>I474</f>
        <v>Price cap - Fixed</v>
      </c>
      <c r="J513" s="867"/>
      <c r="K513" s="624" t="str">
        <f t="shared" ref="K513:Q513" si="755">IFERROR(K474/K$473,"-")</f>
        <v>-</v>
      </c>
      <c r="L513" s="624" t="str">
        <f t="shared" si="755"/>
        <v>-</v>
      </c>
      <c r="M513" s="625" t="str">
        <f t="shared" si="755"/>
        <v>-</v>
      </c>
      <c r="N513" s="624" t="str">
        <f t="shared" si="755"/>
        <v>-</v>
      </c>
      <c r="O513" s="624" t="str">
        <f t="shared" si="755"/>
        <v>-</v>
      </c>
      <c r="P513" s="624" t="str">
        <f t="shared" si="755"/>
        <v>-</v>
      </c>
      <c r="Q513" s="624" t="str">
        <f t="shared" si="755"/>
        <v>-</v>
      </c>
      <c r="R513" s="899" t="str">
        <f>IFERROR(R474/R$473,"-")</f>
        <v>-</v>
      </c>
      <c r="S513" s="900" t="str">
        <f t="shared" ref="S513:AF513" si="756">IFERROR(S474/S$473,"-")</f>
        <v>-</v>
      </c>
      <c r="T513" s="900" t="str">
        <f t="shared" si="756"/>
        <v>-</v>
      </c>
      <c r="U513" s="900">
        <f t="shared" si="756"/>
        <v>0.87481965381692772</v>
      </c>
      <c r="V513" s="900">
        <f t="shared" si="756"/>
        <v>0.8745254299981492</v>
      </c>
      <c r="W513" s="899">
        <f t="shared" si="756"/>
        <v>0.8660544664714217</v>
      </c>
      <c r="X513" s="900">
        <f t="shared" si="756"/>
        <v>0.85396228908887772</v>
      </c>
      <c r="Y513" s="900">
        <f t="shared" si="756"/>
        <v>0.84209849109300416</v>
      </c>
      <c r="Z513" s="900">
        <f t="shared" si="756"/>
        <v>0.83997264531587412</v>
      </c>
      <c r="AA513" s="900">
        <f t="shared" si="756"/>
        <v>0.58590710699517656</v>
      </c>
      <c r="AB513" s="899">
        <f t="shared" si="756"/>
        <v>0.60552771245292614</v>
      </c>
      <c r="AC513" s="900">
        <f t="shared" si="756"/>
        <v>0.60501386372711097</v>
      </c>
      <c r="AD513" s="900">
        <f t="shared" si="756"/>
        <v>0.60514847956530049</v>
      </c>
      <c r="AE513" s="900">
        <f t="shared" si="756"/>
        <v>0.6048364531448096</v>
      </c>
      <c r="AF513" s="900">
        <f t="shared" si="756"/>
        <v>0.56852504754884536</v>
      </c>
      <c r="AG513" s="900">
        <f t="shared" ref="AG513:AJ516" si="757">IFERROR(AG474/AG$473,"-")</f>
        <v>0.56204876933490855</v>
      </c>
      <c r="AH513" s="900">
        <f t="shared" si="757"/>
        <v>0.55546319558638479</v>
      </c>
      <c r="AI513" s="900">
        <f t="shared" si="757"/>
        <v>0.54702781579113746</v>
      </c>
      <c r="AJ513" s="901">
        <f t="shared" si="757"/>
        <v>0.54117772357029048</v>
      </c>
      <c r="AK513" s="548"/>
    </row>
    <row r="514" spans="8:89">
      <c r="H514" s="898"/>
      <c r="I514" s="866" t="str">
        <f>I475</f>
        <v xml:space="preserve">Price cap - Variable </v>
      </c>
      <c r="J514" s="867"/>
      <c r="K514" s="624" t="str">
        <f t="shared" ref="K514:Q514" si="758">IFERROR(K475/K$473,"-")</f>
        <v>-</v>
      </c>
      <c r="L514" s="624" t="str">
        <f t="shared" si="758"/>
        <v>-</v>
      </c>
      <c r="M514" s="625" t="str">
        <f t="shared" si="758"/>
        <v>-</v>
      </c>
      <c r="N514" s="624" t="str">
        <f t="shared" si="758"/>
        <v>-</v>
      </c>
      <c r="O514" s="624" t="str">
        <f t="shared" si="758"/>
        <v>-</v>
      </c>
      <c r="P514" s="624" t="str">
        <f t="shared" si="758"/>
        <v>-</v>
      </c>
      <c r="Q514" s="624" t="str">
        <f t="shared" si="758"/>
        <v>-</v>
      </c>
      <c r="R514" s="899" t="str">
        <f>IFERROR(R475/R$473,"-")</f>
        <v>-</v>
      </c>
      <c r="S514" s="900" t="str">
        <f t="shared" ref="S514:AF514" si="759">IFERROR(S475/S$473,"-")</f>
        <v>-</v>
      </c>
      <c r="T514" s="900" t="str">
        <f t="shared" si="759"/>
        <v>-</v>
      </c>
      <c r="U514" s="900">
        <f t="shared" si="759"/>
        <v>0.12518034618307239</v>
      </c>
      <c r="V514" s="900">
        <f t="shared" si="759"/>
        <v>0.12547457000185092</v>
      </c>
      <c r="W514" s="899">
        <f t="shared" si="759"/>
        <v>0.1339455335285783</v>
      </c>
      <c r="X514" s="900">
        <f t="shared" si="759"/>
        <v>0.14603771091112225</v>
      </c>
      <c r="Y514" s="900">
        <f t="shared" si="759"/>
        <v>0.15790150890699586</v>
      </c>
      <c r="Z514" s="900">
        <f t="shared" si="759"/>
        <v>0.16002735468412582</v>
      </c>
      <c r="AA514" s="900">
        <f t="shared" si="759"/>
        <v>0.41409289300482333</v>
      </c>
      <c r="AB514" s="899">
        <f t="shared" si="759"/>
        <v>0.39447228754707392</v>
      </c>
      <c r="AC514" s="900">
        <f t="shared" si="759"/>
        <v>0.39498613627288903</v>
      </c>
      <c r="AD514" s="900">
        <f t="shared" si="759"/>
        <v>0.39485152043469945</v>
      </c>
      <c r="AE514" s="900">
        <f t="shared" si="759"/>
        <v>0.39516354685519045</v>
      </c>
      <c r="AF514" s="900">
        <f t="shared" si="759"/>
        <v>0.43147495245115464</v>
      </c>
      <c r="AG514" s="900">
        <f t="shared" si="757"/>
        <v>0.43795123066509145</v>
      </c>
      <c r="AH514" s="900">
        <f t="shared" si="757"/>
        <v>0.44453680441361526</v>
      </c>
      <c r="AI514" s="900">
        <f t="shared" si="757"/>
        <v>0.45297218420886243</v>
      </c>
      <c r="AJ514" s="901">
        <f t="shared" si="757"/>
        <v>0.45882227642970946</v>
      </c>
      <c r="AK514" s="548"/>
    </row>
    <row r="515" spans="8:89">
      <c r="H515" s="898"/>
      <c r="I515" s="866" t="str">
        <f>I476</f>
        <v xml:space="preserve">Revenue cap - Fixed </v>
      </c>
      <c r="J515" s="867"/>
      <c r="K515" s="624" t="str">
        <f t="shared" ref="K515:Q515" si="760">IFERROR(K476/K$473,"-")</f>
        <v>-</v>
      </c>
      <c r="L515" s="624" t="str">
        <f t="shared" si="760"/>
        <v>-</v>
      </c>
      <c r="M515" s="625" t="str">
        <f t="shared" si="760"/>
        <v>-</v>
      </c>
      <c r="N515" s="624" t="str">
        <f t="shared" si="760"/>
        <v>-</v>
      </c>
      <c r="O515" s="624" t="str">
        <f t="shared" si="760"/>
        <v>-</v>
      </c>
      <c r="P515" s="624" t="str">
        <f t="shared" si="760"/>
        <v>-</v>
      </c>
      <c r="Q515" s="624" t="str">
        <f t="shared" si="760"/>
        <v>-</v>
      </c>
      <c r="R515" s="899" t="str">
        <f>IFERROR(R476/R$473,"-")</f>
        <v>-</v>
      </c>
      <c r="S515" s="900" t="str">
        <f t="shared" ref="S515:AF515" si="761">IFERROR(S476/S$473,"-")</f>
        <v>-</v>
      </c>
      <c r="T515" s="900" t="str">
        <f t="shared" si="761"/>
        <v>-</v>
      </c>
      <c r="U515" s="900">
        <f t="shared" si="761"/>
        <v>0</v>
      </c>
      <c r="V515" s="900">
        <f t="shared" si="761"/>
        <v>0</v>
      </c>
      <c r="W515" s="899">
        <f t="shared" si="761"/>
        <v>0</v>
      </c>
      <c r="X515" s="900">
        <f t="shared" si="761"/>
        <v>0</v>
      </c>
      <c r="Y515" s="900">
        <f t="shared" si="761"/>
        <v>0</v>
      </c>
      <c r="Z515" s="900">
        <f t="shared" si="761"/>
        <v>0</v>
      </c>
      <c r="AA515" s="900">
        <f t="shared" si="761"/>
        <v>0</v>
      </c>
      <c r="AB515" s="899">
        <f t="shared" si="761"/>
        <v>0</v>
      </c>
      <c r="AC515" s="900">
        <f t="shared" si="761"/>
        <v>0</v>
      </c>
      <c r="AD515" s="900">
        <f t="shared" si="761"/>
        <v>0</v>
      </c>
      <c r="AE515" s="900">
        <f t="shared" si="761"/>
        <v>0</v>
      </c>
      <c r="AF515" s="900">
        <f t="shared" si="761"/>
        <v>0</v>
      </c>
      <c r="AG515" s="900">
        <f t="shared" si="757"/>
        <v>0</v>
      </c>
      <c r="AH515" s="900">
        <f t="shared" si="757"/>
        <v>0</v>
      </c>
      <c r="AI515" s="900">
        <f t="shared" si="757"/>
        <v>0</v>
      </c>
      <c r="AJ515" s="901">
        <f t="shared" si="757"/>
        <v>0</v>
      </c>
      <c r="AK515" s="548"/>
    </row>
    <row r="516" spans="8:89">
      <c r="H516" s="898"/>
      <c r="I516" s="866" t="str">
        <f>I477</f>
        <v>Revenue cap - Variable</v>
      </c>
      <c r="J516" s="867"/>
      <c r="K516" s="624" t="str">
        <f t="shared" ref="K516:Q516" si="762">IFERROR(K477/K$473,"-")</f>
        <v>-</v>
      </c>
      <c r="L516" s="624" t="str">
        <f t="shared" si="762"/>
        <v>-</v>
      </c>
      <c r="M516" s="625" t="str">
        <f t="shared" si="762"/>
        <v>-</v>
      </c>
      <c r="N516" s="624" t="str">
        <f t="shared" si="762"/>
        <v>-</v>
      </c>
      <c r="O516" s="624" t="str">
        <f t="shared" si="762"/>
        <v>-</v>
      </c>
      <c r="P516" s="624" t="str">
        <f t="shared" si="762"/>
        <v>-</v>
      </c>
      <c r="Q516" s="624" t="str">
        <f t="shared" si="762"/>
        <v>-</v>
      </c>
      <c r="R516" s="899" t="str">
        <f>IFERROR(R477/R$473,"-")</f>
        <v>-</v>
      </c>
      <c r="S516" s="900" t="str">
        <f t="shared" ref="S516:AF516" si="763">IFERROR(S477/S$473,"-")</f>
        <v>-</v>
      </c>
      <c r="T516" s="900" t="str">
        <f t="shared" si="763"/>
        <v>-</v>
      </c>
      <c r="U516" s="900">
        <f t="shared" si="763"/>
        <v>0</v>
      </c>
      <c r="V516" s="900">
        <f t="shared" si="763"/>
        <v>0</v>
      </c>
      <c r="W516" s="899">
        <f t="shared" si="763"/>
        <v>0</v>
      </c>
      <c r="X516" s="900">
        <f t="shared" si="763"/>
        <v>0</v>
      </c>
      <c r="Y516" s="900">
        <f t="shared" si="763"/>
        <v>0</v>
      </c>
      <c r="Z516" s="900">
        <f t="shared" si="763"/>
        <v>0</v>
      </c>
      <c r="AA516" s="900">
        <f t="shared" si="763"/>
        <v>0</v>
      </c>
      <c r="AB516" s="899">
        <f t="shared" si="763"/>
        <v>0</v>
      </c>
      <c r="AC516" s="900">
        <f t="shared" si="763"/>
        <v>0</v>
      </c>
      <c r="AD516" s="900">
        <f t="shared" si="763"/>
        <v>0</v>
      </c>
      <c r="AE516" s="900">
        <f t="shared" si="763"/>
        <v>0</v>
      </c>
      <c r="AF516" s="900">
        <f t="shared" si="763"/>
        <v>0</v>
      </c>
      <c r="AG516" s="900">
        <f t="shared" si="757"/>
        <v>0</v>
      </c>
      <c r="AH516" s="900">
        <f t="shared" si="757"/>
        <v>0</v>
      </c>
      <c r="AI516" s="900">
        <f t="shared" si="757"/>
        <v>0</v>
      </c>
      <c r="AJ516" s="901">
        <f t="shared" si="757"/>
        <v>0</v>
      </c>
      <c r="AK516" s="548"/>
      <c r="AO516" s="868"/>
      <c r="AP516" s="868"/>
      <c r="AQ516" s="868"/>
      <c r="AR516" s="868"/>
      <c r="AS516" s="868"/>
      <c r="AT516" s="868"/>
      <c r="AU516" s="868"/>
      <c r="AV516" s="868"/>
      <c r="AW516" s="868"/>
      <c r="AX516" s="868"/>
      <c r="AY516" s="868"/>
      <c r="AZ516" s="868"/>
      <c r="BA516" s="868"/>
      <c r="BB516" s="868"/>
      <c r="BC516" s="868"/>
      <c r="BD516" s="868"/>
      <c r="BE516" s="868"/>
      <c r="BF516" s="868"/>
      <c r="BG516" s="868"/>
      <c r="BH516" s="868"/>
      <c r="BI516" s="868"/>
      <c r="BJ516" s="868"/>
      <c r="BK516" s="868"/>
      <c r="BL516" s="868"/>
      <c r="BM516" s="868"/>
      <c r="BN516" s="868"/>
      <c r="BO516" s="868"/>
      <c r="BP516" s="868"/>
      <c r="BQ516" s="868"/>
      <c r="BR516" s="868"/>
      <c r="BS516" s="868"/>
      <c r="BT516" s="868"/>
      <c r="BU516" s="868"/>
      <c r="BV516" s="868"/>
      <c r="BW516" s="868"/>
      <c r="BX516" s="868"/>
      <c r="BY516" s="868"/>
      <c r="BZ516" s="868"/>
      <c r="CA516" s="868"/>
      <c r="CB516" s="868"/>
      <c r="CC516" s="868"/>
      <c r="CD516" s="868"/>
      <c r="CE516" s="868"/>
      <c r="CF516" s="868"/>
      <c r="CG516" s="868"/>
      <c r="CH516" s="868"/>
      <c r="CI516" s="868"/>
      <c r="CJ516" s="868"/>
      <c r="CK516" s="868"/>
    </row>
    <row r="517" spans="8:89" ht="4.5" customHeight="1">
      <c r="H517" s="898"/>
      <c r="I517" s="866"/>
      <c r="J517" s="867"/>
      <c r="K517" s="624"/>
      <c r="L517" s="624"/>
      <c r="M517" s="625"/>
      <c r="N517" s="624"/>
      <c r="O517" s="624"/>
      <c r="P517" s="624"/>
      <c r="Q517" s="624"/>
      <c r="R517" s="899"/>
      <c r="S517" s="900"/>
      <c r="T517" s="900"/>
      <c r="U517" s="900"/>
      <c r="V517" s="900"/>
      <c r="W517" s="899"/>
      <c r="X517" s="900"/>
      <c r="Y517" s="900"/>
      <c r="Z517" s="900"/>
      <c r="AA517" s="900"/>
      <c r="AB517" s="899"/>
      <c r="AC517" s="900"/>
      <c r="AD517" s="900"/>
      <c r="AE517" s="900"/>
      <c r="AF517" s="900"/>
      <c r="AG517" s="900"/>
      <c r="AH517" s="900"/>
      <c r="AI517" s="900"/>
      <c r="AJ517" s="901"/>
      <c r="AK517" s="548"/>
      <c r="AO517" s="89"/>
      <c r="AP517" s="89"/>
      <c r="AQ517" s="89"/>
      <c r="AR517" s="89"/>
      <c r="AS517" s="89"/>
      <c r="AT517" s="89"/>
      <c r="AU517" s="89"/>
      <c r="AV517" s="89"/>
      <c r="AW517" s="89"/>
      <c r="AX517" s="89"/>
      <c r="AY517" s="89"/>
      <c r="AZ517" s="89"/>
      <c r="BA517" s="89"/>
      <c r="BB517" s="89"/>
      <c r="BC517" s="89"/>
      <c r="BD517" s="89"/>
      <c r="BE517" s="89"/>
      <c r="BF517" s="89"/>
      <c r="BG517" s="89"/>
      <c r="BH517" s="89"/>
      <c r="BI517" s="89"/>
      <c r="BJ517" s="89"/>
      <c r="BK517" s="89"/>
      <c r="BL517" s="89"/>
      <c r="BM517" s="89"/>
      <c r="BN517" s="89"/>
      <c r="BO517" s="89"/>
      <c r="BP517" s="89"/>
      <c r="BQ517" s="89"/>
      <c r="BR517" s="89"/>
      <c r="BS517" s="89"/>
      <c r="BT517" s="89"/>
      <c r="BU517" s="89"/>
      <c r="BV517" s="89"/>
      <c r="BW517" s="89"/>
      <c r="BX517" s="89"/>
      <c r="BY517" s="89"/>
      <c r="BZ517" s="89"/>
      <c r="CA517" s="89"/>
      <c r="CB517" s="89"/>
      <c r="CC517" s="89"/>
      <c r="CD517" s="89"/>
      <c r="CE517" s="89"/>
      <c r="CF517" s="89"/>
      <c r="CG517" s="89"/>
      <c r="CH517" s="89"/>
      <c r="CI517" s="89"/>
      <c r="CJ517" s="89"/>
      <c r="CK517" s="89"/>
    </row>
    <row r="518" spans="8:89" s="76" customFormat="1">
      <c r="H518" s="886"/>
      <c r="I518" s="997" t="s">
        <v>924</v>
      </c>
      <c r="J518" s="998"/>
      <c r="K518" s="999" t="str">
        <f t="shared" ref="K518:Q518" si="764">IFERROR(K513+K515,"-")</f>
        <v>-</v>
      </c>
      <c r="L518" s="999" t="str">
        <f t="shared" si="764"/>
        <v>-</v>
      </c>
      <c r="M518" s="1000" t="str">
        <f t="shared" si="764"/>
        <v>-</v>
      </c>
      <c r="N518" s="999" t="str">
        <f t="shared" si="764"/>
        <v>-</v>
      </c>
      <c r="O518" s="999" t="str">
        <f t="shared" si="764"/>
        <v>-</v>
      </c>
      <c r="P518" s="999" t="str">
        <f t="shared" si="764"/>
        <v>-</v>
      </c>
      <c r="Q518" s="999" t="str">
        <f t="shared" si="764"/>
        <v>-</v>
      </c>
      <c r="R518" s="1001" t="str">
        <f>IFERROR(R513+R515,"-")</f>
        <v>-</v>
      </c>
      <c r="S518" s="1002" t="str">
        <f t="shared" ref="S518:AF518" si="765">IFERROR(S513+S515,"-")</f>
        <v>-</v>
      </c>
      <c r="T518" s="1002" t="str">
        <f t="shared" si="765"/>
        <v>-</v>
      </c>
      <c r="U518" s="1002">
        <f t="shared" si="765"/>
        <v>0.87481965381692772</v>
      </c>
      <c r="V518" s="1002">
        <f t="shared" si="765"/>
        <v>0.8745254299981492</v>
      </c>
      <c r="W518" s="1001">
        <f t="shared" si="765"/>
        <v>0.8660544664714217</v>
      </c>
      <c r="X518" s="1002">
        <f t="shared" si="765"/>
        <v>0.85396228908887772</v>
      </c>
      <c r="Y518" s="1002">
        <f t="shared" si="765"/>
        <v>0.84209849109300416</v>
      </c>
      <c r="Z518" s="1002">
        <f t="shared" si="765"/>
        <v>0.83997264531587412</v>
      </c>
      <c r="AA518" s="1002">
        <f t="shared" si="765"/>
        <v>0.58590710699517656</v>
      </c>
      <c r="AB518" s="1001">
        <f t="shared" si="765"/>
        <v>0.60552771245292614</v>
      </c>
      <c r="AC518" s="1002">
        <f t="shared" si="765"/>
        <v>0.60501386372711097</v>
      </c>
      <c r="AD518" s="1002">
        <f t="shared" si="765"/>
        <v>0.60514847956530049</v>
      </c>
      <c r="AE518" s="1002">
        <f t="shared" si="765"/>
        <v>0.6048364531448096</v>
      </c>
      <c r="AF518" s="1002">
        <f t="shared" si="765"/>
        <v>0.56852504754884536</v>
      </c>
      <c r="AG518" s="1002">
        <f t="shared" ref="AG518:AJ519" si="766">IFERROR(AG513+AG515,"-")</f>
        <v>0.56204876933490855</v>
      </c>
      <c r="AH518" s="1002">
        <f t="shared" si="766"/>
        <v>0.55546319558638479</v>
      </c>
      <c r="AI518" s="1002">
        <f t="shared" si="766"/>
        <v>0.54702781579113746</v>
      </c>
      <c r="AJ518" s="1003">
        <f t="shared" si="766"/>
        <v>0.54117772357029048</v>
      </c>
      <c r="AK518" s="548"/>
      <c r="AM518" s="910"/>
      <c r="AO518" s="89"/>
      <c r="AP518" s="89"/>
      <c r="AQ518" s="89"/>
      <c r="AR518" s="89"/>
      <c r="AS518" s="89"/>
      <c r="AT518" s="89"/>
      <c r="AU518" s="89"/>
      <c r="AV518" s="89"/>
      <c r="AW518" s="89"/>
      <c r="AX518" s="89"/>
      <c r="AY518" s="89"/>
      <c r="AZ518" s="89"/>
      <c r="BA518" s="89"/>
      <c r="BB518" s="89"/>
      <c r="BC518" s="89"/>
      <c r="BD518" s="89"/>
      <c r="BE518" s="89"/>
      <c r="BF518" s="89"/>
      <c r="BG518" s="89"/>
      <c r="BH518" s="89"/>
      <c r="BI518" s="89"/>
      <c r="BJ518" s="89"/>
      <c r="BK518" s="89"/>
      <c r="BL518" s="89"/>
      <c r="BM518" s="89"/>
      <c r="BN518" s="89"/>
      <c r="BO518" s="89"/>
      <c r="BP518" s="89"/>
      <c r="BQ518" s="89"/>
      <c r="BR518" s="89"/>
      <c r="BS518" s="89"/>
      <c r="BT518" s="89"/>
      <c r="BU518" s="89"/>
      <c r="BV518" s="89"/>
      <c r="BW518" s="89"/>
      <c r="BX518" s="89"/>
      <c r="BY518" s="89"/>
      <c r="BZ518" s="89"/>
      <c r="CA518" s="89"/>
      <c r="CB518" s="89"/>
      <c r="CC518" s="89"/>
      <c r="CD518" s="89"/>
      <c r="CE518" s="89"/>
      <c r="CF518" s="89"/>
      <c r="CG518" s="89"/>
      <c r="CH518" s="89"/>
      <c r="CI518" s="89"/>
      <c r="CJ518" s="89"/>
      <c r="CK518" s="89"/>
    </row>
    <row r="519" spans="8:89" s="76" customFormat="1">
      <c r="H519" s="886"/>
      <c r="I519" s="997" t="s">
        <v>925</v>
      </c>
      <c r="J519" s="998"/>
      <c r="K519" s="999" t="str">
        <f t="shared" ref="K519:Q519" si="767">IFERROR(K514+K516,"-")</f>
        <v>-</v>
      </c>
      <c r="L519" s="999" t="str">
        <f t="shared" si="767"/>
        <v>-</v>
      </c>
      <c r="M519" s="1000" t="str">
        <f t="shared" si="767"/>
        <v>-</v>
      </c>
      <c r="N519" s="999" t="str">
        <f t="shared" si="767"/>
        <v>-</v>
      </c>
      <c r="O519" s="999" t="str">
        <f t="shared" si="767"/>
        <v>-</v>
      </c>
      <c r="P519" s="999" t="str">
        <f t="shared" si="767"/>
        <v>-</v>
      </c>
      <c r="Q519" s="999" t="str">
        <f t="shared" si="767"/>
        <v>-</v>
      </c>
      <c r="R519" s="1001" t="str">
        <f>IFERROR(R514+R516,"-")</f>
        <v>-</v>
      </c>
      <c r="S519" s="1002" t="str">
        <f t="shared" ref="S519:AF519" si="768">IFERROR(S514+S516,"-")</f>
        <v>-</v>
      </c>
      <c r="T519" s="1002" t="str">
        <f t="shared" si="768"/>
        <v>-</v>
      </c>
      <c r="U519" s="1002">
        <f t="shared" si="768"/>
        <v>0.12518034618307239</v>
      </c>
      <c r="V519" s="1002">
        <f t="shared" si="768"/>
        <v>0.12547457000185092</v>
      </c>
      <c r="W519" s="1001">
        <f t="shared" si="768"/>
        <v>0.1339455335285783</v>
      </c>
      <c r="X519" s="1002">
        <f t="shared" si="768"/>
        <v>0.14603771091112225</v>
      </c>
      <c r="Y519" s="1002">
        <f t="shared" si="768"/>
        <v>0.15790150890699586</v>
      </c>
      <c r="Z519" s="1002">
        <f t="shared" si="768"/>
        <v>0.16002735468412582</v>
      </c>
      <c r="AA519" s="1002">
        <f t="shared" si="768"/>
        <v>0.41409289300482333</v>
      </c>
      <c r="AB519" s="1001">
        <f t="shared" si="768"/>
        <v>0.39447228754707392</v>
      </c>
      <c r="AC519" s="1002">
        <f t="shared" si="768"/>
        <v>0.39498613627288903</v>
      </c>
      <c r="AD519" s="1002">
        <f t="shared" si="768"/>
        <v>0.39485152043469945</v>
      </c>
      <c r="AE519" s="1002">
        <f t="shared" si="768"/>
        <v>0.39516354685519045</v>
      </c>
      <c r="AF519" s="1002">
        <f t="shared" si="768"/>
        <v>0.43147495245115464</v>
      </c>
      <c r="AG519" s="1002">
        <f t="shared" si="766"/>
        <v>0.43795123066509145</v>
      </c>
      <c r="AH519" s="1002">
        <f t="shared" si="766"/>
        <v>0.44453680441361526</v>
      </c>
      <c r="AI519" s="1002">
        <f t="shared" si="766"/>
        <v>0.45297218420886243</v>
      </c>
      <c r="AJ519" s="1003">
        <f t="shared" si="766"/>
        <v>0.45882227642970946</v>
      </c>
      <c r="AK519" s="548"/>
      <c r="AM519" s="910"/>
      <c r="AO519" s="63"/>
      <c r="AP519" s="63"/>
      <c r="AQ519" s="63"/>
      <c r="AR519" s="63"/>
      <c r="AS519" s="63"/>
      <c r="AT519" s="63"/>
      <c r="AU519" s="63"/>
      <c r="AV519" s="63"/>
      <c r="AW519" s="63"/>
      <c r="AX519" s="63"/>
      <c r="AY519" s="63"/>
      <c r="AZ519" s="63"/>
      <c r="BA519" s="63"/>
      <c r="BB519" s="63"/>
      <c r="BC519" s="63"/>
      <c r="BD519" s="63"/>
      <c r="BE519" s="63"/>
      <c r="BF519" s="63"/>
      <c r="BG519" s="63"/>
      <c r="BH519" s="63"/>
      <c r="BI519" s="63"/>
      <c r="BJ519" s="63"/>
      <c r="BK519" s="63"/>
      <c r="BL519" s="63"/>
      <c r="BM519" s="63"/>
      <c r="BN519" s="63"/>
      <c r="BO519" s="63"/>
      <c r="BP519" s="63"/>
      <c r="BQ519" s="63"/>
      <c r="BR519" s="63"/>
      <c r="BS519" s="63"/>
      <c r="BT519" s="63"/>
      <c r="BU519" s="63"/>
      <c r="BV519" s="63"/>
      <c r="BW519" s="63"/>
      <c r="BX519" s="63"/>
      <c r="BY519" s="63"/>
      <c r="BZ519" s="63"/>
      <c r="CA519" s="63"/>
      <c r="CB519" s="63"/>
      <c r="CC519" s="63"/>
      <c r="CD519" s="63"/>
      <c r="CE519" s="63"/>
      <c r="CF519" s="63"/>
      <c r="CG519" s="63"/>
      <c r="CH519" s="63"/>
      <c r="CI519" s="63"/>
      <c r="CJ519" s="63"/>
      <c r="CK519" s="63"/>
    </row>
    <row r="520" spans="8:89" s="868" customFormat="1">
      <c r="H520" s="886"/>
      <c r="I520" s="870"/>
      <c r="J520" s="871"/>
      <c r="K520" s="872"/>
      <c r="L520" s="872"/>
      <c r="M520" s="873"/>
      <c r="N520" s="872"/>
      <c r="O520" s="872"/>
      <c r="P520" s="872"/>
      <c r="Q520" s="872"/>
      <c r="R520" s="874"/>
      <c r="S520" s="875"/>
      <c r="T520" s="875"/>
      <c r="U520" s="875"/>
      <c r="V520" s="875"/>
      <c r="W520" s="874"/>
      <c r="X520" s="875"/>
      <c r="Y520" s="875"/>
      <c r="Z520" s="875"/>
      <c r="AA520" s="875"/>
      <c r="AB520" s="874"/>
      <c r="AC520" s="875"/>
      <c r="AD520" s="875"/>
      <c r="AE520" s="875"/>
      <c r="AF520" s="875"/>
      <c r="AG520" s="875"/>
      <c r="AH520" s="875"/>
      <c r="AI520" s="875"/>
      <c r="AJ520" s="876"/>
      <c r="AK520" s="548"/>
      <c r="AM520" s="881"/>
      <c r="AO520" s="63"/>
      <c r="AP520" s="63"/>
      <c r="AQ520" s="63"/>
      <c r="AR520" s="63"/>
      <c r="AS520" s="63"/>
      <c r="AT520" s="63"/>
      <c r="AU520" s="63"/>
      <c r="AV520" s="63"/>
      <c r="AW520" s="63"/>
      <c r="AX520" s="63"/>
      <c r="AY520" s="63"/>
      <c r="AZ520" s="63"/>
      <c r="BA520" s="63"/>
      <c r="BB520" s="63"/>
      <c r="BC520" s="63"/>
      <c r="BD520" s="63"/>
      <c r="BE520" s="63"/>
      <c r="BF520" s="63"/>
      <c r="BG520" s="63"/>
      <c r="BH520" s="63"/>
      <c r="BI520" s="63"/>
      <c r="BJ520" s="63"/>
      <c r="BK520" s="63"/>
      <c r="BL520" s="63"/>
      <c r="BM520" s="63"/>
      <c r="BN520" s="63"/>
      <c r="BO520" s="63"/>
      <c r="BP520" s="63"/>
      <c r="BQ520" s="63"/>
      <c r="BR520" s="63"/>
      <c r="BS520" s="63"/>
      <c r="BT520" s="63"/>
      <c r="BU520" s="63"/>
      <c r="BV520" s="63"/>
      <c r="BW520" s="63"/>
      <c r="BX520" s="63"/>
      <c r="BY520" s="63"/>
      <c r="BZ520" s="63"/>
      <c r="CA520" s="63"/>
      <c r="CB520" s="63"/>
      <c r="CC520" s="63"/>
      <c r="CD520" s="63"/>
      <c r="CE520" s="63"/>
      <c r="CF520" s="63"/>
      <c r="CG520" s="63"/>
      <c r="CH520" s="63"/>
      <c r="CI520" s="63"/>
      <c r="CJ520" s="63"/>
      <c r="CK520" s="63"/>
    </row>
    <row r="521" spans="8:89" s="89" customFormat="1">
      <c r="H521" s="894"/>
      <c r="I521" s="861" t="str">
        <f>I479</f>
        <v>Sewerage</v>
      </c>
      <c r="J521" s="862"/>
      <c r="K521" s="863" t="str">
        <f t="shared" ref="K521:Q521" si="769">IFERROR(K479/K$509,"-")</f>
        <v>-</v>
      </c>
      <c r="L521" s="863" t="str">
        <f t="shared" si="769"/>
        <v>-</v>
      </c>
      <c r="M521" s="864" t="str">
        <f t="shared" si="769"/>
        <v>-</v>
      </c>
      <c r="N521" s="863" t="str">
        <f t="shared" si="769"/>
        <v>-</v>
      </c>
      <c r="O521" s="863" t="str">
        <f t="shared" si="769"/>
        <v>-</v>
      </c>
      <c r="P521" s="863" t="str">
        <f t="shared" si="769"/>
        <v>-</v>
      </c>
      <c r="Q521" s="863" t="str">
        <f t="shared" si="769"/>
        <v>-</v>
      </c>
      <c r="R521" s="895" t="str">
        <f>IFERROR(R479/R$509,"-")</f>
        <v>-</v>
      </c>
      <c r="S521" s="896" t="str">
        <f t="shared" ref="S521:AF521" si="770">IFERROR(S479/S$509,"-")</f>
        <v>-</v>
      </c>
      <c r="T521" s="896" t="str">
        <f t="shared" si="770"/>
        <v>-</v>
      </c>
      <c r="U521" s="896">
        <f t="shared" si="770"/>
        <v>0.285457298860811</v>
      </c>
      <c r="V521" s="896">
        <f t="shared" si="770"/>
        <v>0.26619684800633664</v>
      </c>
      <c r="W521" s="895">
        <f t="shared" si="770"/>
        <v>0.27438524623293509</v>
      </c>
      <c r="X521" s="896">
        <f t="shared" si="770"/>
        <v>0.28161418640382163</v>
      </c>
      <c r="Y521" s="896">
        <f t="shared" si="770"/>
        <v>0.28512189169170632</v>
      </c>
      <c r="Z521" s="896">
        <f t="shared" si="770"/>
        <v>0.29519078732873771</v>
      </c>
      <c r="AA521" s="896">
        <f t="shared" si="770"/>
        <v>0.3294213903570698</v>
      </c>
      <c r="AB521" s="895">
        <f t="shared" si="770"/>
        <v>0.32541284706078005</v>
      </c>
      <c r="AC521" s="896">
        <f t="shared" si="770"/>
        <v>0.32767350517736343</v>
      </c>
      <c r="AD521" s="896">
        <f t="shared" si="770"/>
        <v>0.3301601881905688</v>
      </c>
      <c r="AE521" s="896">
        <f t="shared" si="770"/>
        <v>0.33222514215939891</v>
      </c>
      <c r="AF521" s="896">
        <f t="shared" si="770"/>
        <v>0.33715151263725279</v>
      </c>
      <c r="AG521" s="896">
        <f>IFERROR(AG479/AG$509,"-")</f>
        <v>0.34505792777382249</v>
      </c>
      <c r="AH521" s="896">
        <f>IFERROR(AH479/AH$509,"-")</f>
        <v>0.35288589767146306</v>
      </c>
      <c r="AI521" s="896">
        <f>IFERROR(AI479/AI$509,"-")</f>
        <v>0.3603229759836703</v>
      </c>
      <c r="AJ521" s="897">
        <f>IFERROR(AJ479/AJ$509,"-")</f>
        <v>0.36856040145863894</v>
      </c>
      <c r="AK521" s="548"/>
      <c r="AM521" s="877"/>
      <c r="AO521" s="63"/>
      <c r="AP521" s="63"/>
      <c r="AQ521" s="63"/>
      <c r="AR521" s="63"/>
      <c r="AS521" s="63"/>
      <c r="AT521" s="63"/>
      <c r="AU521" s="63"/>
      <c r="AV521" s="63"/>
      <c r="AW521" s="63"/>
      <c r="AX521" s="63"/>
      <c r="AY521" s="63"/>
      <c r="AZ521" s="63"/>
      <c r="BA521" s="63"/>
      <c r="BB521" s="63"/>
      <c r="BC521" s="63"/>
      <c r="BD521" s="63"/>
      <c r="BE521" s="63"/>
      <c r="BF521" s="63"/>
      <c r="BG521" s="63"/>
      <c r="BH521" s="63"/>
      <c r="BI521" s="63"/>
      <c r="BJ521" s="63"/>
      <c r="BK521" s="63"/>
      <c r="BL521" s="63"/>
      <c r="BM521" s="63"/>
      <c r="BN521" s="63"/>
      <c r="BO521" s="63"/>
      <c r="BP521" s="63"/>
      <c r="BQ521" s="63"/>
      <c r="BR521" s="63"/>
      <c r="BS521" s="63"/>
      <c r="BT521" s="63"/>
      <c r="BU521" s="63"/>
      <c r="BV521" s="63"/>
      <c r="BW521" s="63"/>
      <c r="BX521" s="63"/>
      <c r="BY521" s="63"/>
      <c r="BZ521" s="63"/>
      <c r="CA521" s="63"/>
      <c r="CB521" s="63"/>
      <c r="CC521" s="63"/>
      <c r="CD521" s="63"/>
      <c r="CE521" s="63"/>
      <c r="CF521" s="63"/>
      <c r="CG521" s="63"/>
      <c r="CH521" s="63"/>
      <c r="CI521" s="63"/>
      <c r="CJ521" s="63"/>
      <c r="CK521" s="63"/>
    </row>
    <row r="522" spans="8:89">
      <c r="H522" s="898"/>
      <c r="I522" s="866" t="str">
        <f>I480</f>
        <v>Price cap - Fixed</v>
      </c>
      <c r="J522" s="867"/>
      <c r="K522" s="624" t="str">
        <f t="shared" ref="K522:Q522" si="771">IFERROR(K480/K$479,"-")</f>
        <v>-</v>
      </c>
      <c r="L522" s="624" t="str">
        <f t="shared" si="771"/>
        <v>-</v>
      </c>
      <c r="M522" s="625" t="str">
        <f t="shared" si="771"/>
        <v>-</v>
      </c>
      <c r="N522" s="624" t="str">
        <f t="shared" si="771"/>
        <v>-</v>
      </c>
      <c r="O522" s="624" t="str">
        <f t="shared" si="771"/>
        <v>-</v>
      </c>
      <c r="P522" s="624" t="str">
        <f t="shared" si="771"/>
        <v>-</v>
      </c>
      <c r="Q522" s="624" t="str">
        <f t="shared" si="771"/>
        <v>-</v>
      </c>
      <c r="R522" s="899" t="str">
        <f>IFERROR(R480/R$479,"-")</f>
        <v>-</v>
      </c>
      <c r="S522" s="900" t="str">
        <f t="shared" ref="S522:AF522" si="772">IFERROR(S480/S$479,"-")</f>
        <v>-</v>
      </c>
      <c r="T522" s="900" t="str">
        <f t="shared" si="772"/>
        <v>-</v>
      </c>
      <c r="U522" s="900">
        <f t="shared" si="772"/>
        <v>0.79798803449900735</v>
      </c>
      <c r="V522" s="900">
        <f t="shared" si="772"/>
        <v>0.88552685423194177</v>
      </c>
      <c r="W522" s="899">
        <f t="shared" si="772"/>
        <v>0.8810471347992701</v>
      </c>
      <c r="X522" s="900">
        <f t="shared" si="772"/>
        <v>0.88832885761618174</v>
      </c>
      <c r="Y522" s="900">
        <f t="shared" si="772"/>
        <v>0.89089295195159213</v>
      </c>
      <c r="Z522" s="900">
        <f t="shared" si="772"/>
        <v>0.88866316256978128</v>
      </c>
      <c r="AA522" s="900">
        <f t="shared" si="772"/>
        <v>0.86437387696367063</v>
      </c>
      <c r="AB522" s="899">
        <f t="shared" si="772"/>
        <v>0.86588237587902606</v>
      </c>
      <c r="AC522" s="900">
        <f t="shared" si="772"/>
        <v>0.86782448009368451</v>
      </c>
      <c r="AD522" s="900">
        <f t="shared" si="772"/>
        <v>0.87008667228500536</v>
      </c>
      <c r="AE522" s="900">
        <f t="shared" si="772"/>
        <v>0.87402648818089645</v>
      </c>
      <c r="AF522" s="900">
        <f t="shared" si="772"/>
        <v>0.85655177666333893</v>
      </c>
      <c r="AG522" s="900">
        <f t="shared" ref="AG522:AJ525" si="773">IFERROR(AG480/AG$479,"-")</f>
        <v>0.85980964755197431</v>
      </c>
      <c r="AH522" s="900">
        <f t="shared" si="773"/>
        <v>0.86356992091821838</v>
      </c>
      <c r="AI522" s="900">
        <f t="shared" si="773"/>
        <v>0.86690372896595169</v>
      </c>
      <c r="AJ522" s="901">
        <f t="shared" si="773"/>
        <v>0.87046339021665076</v>
      </c>
      <c r="AK522" s="548"/>
    </row>
    <row r="523" spans="8:89">
      <c r="H523" s="898"/>
      <c r="I523" s="866" t="str">
        <f>I481</f>
        <v xml:space="preserve">Price cap - Variable </v>
      </c>
      <c r="J523" s="867"/>
      <c r="K523" s="624" t="str">
        <f t="shared" ref="K523:Q523" si="774">IFERROR(K481/K$479,"-")</f>
        <v>-</v>
      </c>
      <c r="L523" s="624" t="str">
        <f t="shared" si="774"/>
        <v>-</v>
      </c>
      <c r="M523" s="625" t="str">
        <f t="shared" si="774"/>
        <v>-</v>
      </c>
      <c r="N523" s="624" t="str">
        <f t="shared" si="774"/>
        <v>-</v>
      </c>
      <c r="O523" s="624" t="str">
        <f t="shared" si="774"/>
        <v>-</v>
      </c>
      <c r="P523" s="624" t="str">
        <f t="shared" si="774"/>
        <v>-</v>
      </c>
      <c r="Q523" s="624" t="str">
        <f t="shared" si="774"/>
        <v>-</v>
      </c>
      <c r="R523" s="899" t="str">
        <f>IFERROR(R481/R$479,"-")</f>
        <v>-</v>
      </c>
      <c r="S523" s="900" t="str">
        <f t="shared" ref="S523:AF523" si="775">IFERROR(S481/S$479,"-")</f>
        <v>-</v>
      </c>
      <c r="T523" s="900" t="str">
        <f t="shared" si="775"/>
        <v>-</v>
      </c>
      <c r="U523" s="900">
        <f t="shared" si="775"/>
        <v>0.20201196550099262</v>
      </c>
      <c r="V523" s="900">
        <f t="shared" si="775"/>
        <v>0.11447314576805825</v>
      </c>
      <c r="W523" s="899">
        <f t="shared" si="775"/>
        <v>0.11895286520072995</v>
      </c>
      <c r="X523" s="900">
        <f t="shared" si="775"/>
        <v>0.11167114238381835</v>
      </c>
      <c r="Y523" s="900">
        <f t="shared" si="775"/>
        <v>0.10910704804840796</v>
      </c>
      <c r="Z523" s="900">
        <f t="shared" si="775"/>
        <v>0.11133683743021867</v>
      </c>
      <c r="AA523" s="900">
        <f t="shared" si="775"/>
        <v>0.1356261230363294</v>
      </c>
      <c r="AB523" s="899">
        <f t="shared" si="775"/>
        <v>0.13411762412097389</v>
      </c>
      <c r="AC523" s="900">
        <f t="shared" si="775"/>
        <v>0.13217551990631557</v>
      </c>
      <c r="AD523" s="900">
        <f t="shared" si="775"/>
        <v>0.12991332771499467</v>
      </c>
      <c r="AE523" s="900">
        <f t="shared" si="775"/>
        <v>0.12597351181910352</v>
      </c>
      <c r="AF523" s="900">
        <f t="shared" si="775"/>
        <v>0.1434482233366611</v>
      </c>
      <c r="AG523" s="900">
        <f t="shared" si="773"/>
        <v>0.14019035244802561</v>
      </c>
      <c r="AH523" s="900">
        <f t="shared" si="773"/>
        <v>0.13643007908178167</v>
      </c>
      <c r="AI523" s="900">
        <f t="shared" si="773"/>
        <v>0.13309627103404834</v>
      </c>
      <c r="AJ523" s="901">
        <f t="shared" si="773"/>
        <v>0.12953660978334924</v>
      </c>
      <c r="AK523" s="548"/>
    </row>
    <row r="524" spans="8:89">
      <c r="H524" s="898"/>
      <c r="I524" s="866" t="str">
        <f>I482</f>
        <v xml:space="preserve">Revenue cap - Fixed </v>
      </c>
      <c r="J524" s="867"/>
      <c r="K524" s="624" t="str">
        <f t="shared" ref="K524:Q524" si="776">IFERROR(K482/K$479,"-")</f>
        <v>-</v>
      </c>
      <c r="L524" s="624" t="str">
        <f t="shared" si="776"/>
        <v>-</v>
      </c>
      <c r="M524" s="625" t="str">
        <f t="shared" si="776"/>
        <v>-</v>
      </c>
      <c r="N524" s="624" t="str">
        <f t="shared" si="776"/>
        <v>-</v>
      </c>
      <c r="O524" s="624" t="str">
        <f t="shared" si="776"/>
        <v>-</v>
      </c>
      <c r="P524" s="624" t="str">
        <f t="shared" si="776"/>
        <v>-</v>
      </c>
      <c r="Q524" s="624" t="str">
        <f t="shared" si="776"/>
        <v>-</v>
      </c>
      <c r="R524" s="899" t="str">
        <f>IFERROR(R482/R$479,"-")</f>
        <v>-</v>
      </c>
      <c r="S524" s="900" t="str">
        <f t="shared" ref="S524:AF524" si="777">IFERROR(S482/S$479,"-")</f>
        <v>-</v>
      </c>
      <c r="T524" s="900" t="str">
        <f t="shared" si="777"/>
        <v>-</v>
      </c>
      <c r="U524" s="900">
        <f t="shared" si="777"/>
        <v>0</v>
      </c>
      <c r="V524" s="900">
        <f t="shared" si="777"/>
        <v>0</v>
      </c>
      <c r="W524" s="899">
        <f t="shared" si="777"/>
        <v>0</v>
      </c>
      <c r="X524" s="900">
        <f t="shared" si="777"/>
        <v>0</v>
      </c>
      <c r="Y524" s="900">
        <f t="shared" si="777"/>
        <v>0</v>
      </c>
      <c r="Z524" s="900">
        <f t="shared" si="777"/>
        <v>0</v>
      </c>
      <c r="AA524" s="900">
        <f t="shared" si="777"/>
        <v>0</v>
      </c>
      <c r="AB524" s="899">
        <f t="shared" si="777"/>
        <v>0</v>
      </c>
      <c r="AC524" s="900">
        <f t="shared" si="777"/>
        <v>0</v>
      </c>
      <c r="AD524" s="900">
        <f t="shared" si="777"/>
        <v>0</v>
      </c>
      <c r="AE524" s="900">
        <f t="shared" si="777"/>
        <v>0</v>
      </c>
      <c r="AF524" s="900">
        <f t="shared" si="777"/>
        <v>0</v>
      </c>
      <c r="AG524" s="900">
        <f t="shared" si="773"/>
        <v>0</v>
      </c>
      <c r="AH524" s="900">
        <f t="shared" si="773"/>
        <v>0</v>
      </c>
      <c r="AI524" s="900">
        <f t="shared" si="773"/>
        <v>0</v>
      </c>
      <c r="AJ524" s="901">
        <f t="shared" si="773"/>
        <v>0</v>
      </c>
      <c r="AK524" s="548"/>
    </row>
    <row r="525" spans="8:89">
      <c r="H525" s="898"/>
      <c r="I525" s="866" t="str">
        <f>I483</f>
        <v>Revenue cap - Variable</v>
      </c>
      <c r="J525" s="867"/>
      <c r="K525" s="624" t="str">
        <f t="shared" ref="K525:Q525" si="778">IFERROR(K483/K$479,"-")</f>
        <v>-</v>
      </c>
      <c r="L525" s="624" t="str">
        <f t="shared" si="778"/>
        <v>-</v>
      </c>
      <c r="M525" s="625" t="str">
        <f t="shared" si="778"/>
        <v>-</v>
      </c>
      <c r="N525" s="624" t="str">
        <f t="shared" si="778"/>
        <v>-</v>
      </c>
      <c r="O525" s="624" t="str">
        <f t="shared" si="778"/>
        <v>-</v>
      </c>
      <c r="P525" s="624" t="str">
        <f t="shared" si="778"/>
        <v>-</v>
      </c>
      <c r="Q525" s="624" t="str">
        <f t="shared" si="778"/>
        <v>-</v>
      </c>
      <c r="R525" s="899" t="str">
        <f>IFERROR(R483/R$479,"-")</f>
        <v>-</v>
      </c>
      <c r="S525" s="900" t="str">
        <f t="shared" ref="S525:AF525" si="779">IFERROR(S483/S$479,"-")</f>
        <v>-</v>
      </c>
      <c r="T525" s="900" t="str">
        <f t="shared" si="779"/>
        <v>-</v>
      </c>
      <c r="U525" s="900">
        <f t="shared" si="779"/>
        <v>0</v>
      </c>
      <c r="V525" s="900">
        <f t="shared" si="779"/>
        <v>0</v>
      </c>
      <c r="W525" s="899">
        <f t="shared" si="779"/>
        <v>0</v>
      </c>
      <c r="X525" s="900">
        <f t="shared" si="779"/>
        <v>0</v>
      </c>
      <c r="Y525" s="900">
        <f t="shared" si="779"/>
        <v>0</v>
      </c>
      <c r="Z525" s="900">
        <f t="shared" si="779"/>
        <v>0</v>
      </c>
      <c r="AA525" s="900">
        <f t="shared" si="779"/>
        <v>0</v>
      </c>
      <c r="AB525" s="899">
        <f t="shared" si="779"/>
        <v>0</v>
      </c>
      <c r="AC525" s="900">
        <f t="shared" si="779"/>
        <v>0</v>
      </c>
      <c r="AD525" s="900">
        <f t="shared" si="779"/>
        <v>0</v>
      </c>
      <c r="AE525" s="900">
        <f t="shared" si="779"/>
        <v>0</v>
      </c>
      <c r="AF525" s="900">
        <f t="shared" si="779"/>
        <v>0</v>
      </c>
      <c r="AG525" s="900">
        <f t="shared" si="773"/>
        <v>0</v>
      </c>
      <c r="AH525" s="900">
        <f t="shared" si="773"/>
        <v>0</v>
      </c>
      <c r="AI525" s="900">
        <f t="shared" si="773"/>
        <v>0</v>
      </c>
      <c r="AJ525" s="901">
        <f t="shared" si="773"/>
        <v>0</v>
      </c>
      <c r="AK525" s="548"/>
      <c r="AO525" s="868"/>
      <c r="AP525" s="868"/>
      <c r="AQ525" s="868"/>
      <c r="AR525" s="868"/>
      <c r="AS525" s="868"/>
      <c r="AT525" s="868"/>
      <c r="AU525" s="868"/>
      <c r="AV525" s="868"/>
      <c r="AW525" s="868"/>
      <c r="AX525" s="868"/>
      <c r="AY525" s="868"/>
      <c r="AZ525" s="868"/>
      <c r="BA525" s="868"/>
      <c r="BB525" s="868"/>
      <c r="BC525" s="868"/>
      <c r="BD525" s="868"/>
      <c r="BE525" s="868"/>
      <c r="BF525" s="868"/>
      <c r="BG525" s="868"/>
      <c r="BH525" s="868"/>
      <c r="BI525" s="868"/>
      <c r="BJ525" s="868"/>
      <c r="BK525" s="868"/>
      <c r="BL525" s="868"/>
      <c r="BM525" s="868"/>
      <c r="BN525" s="868"/>
      <c r="BO525" s="868"/>
      <c r="BP525" s="868"/>
      <c r="BQ525" s="868"/>
      <c r="BR525" s="868"/>
      <c r="BS525" s="868"/>
      <c r="BT525" s="868"/>
      <c r="BU525" s="868"/>
      <c r="BV525" s="868"/>
      <c r="BW525" s="868"/>
      <c r="BX525" s="868"/>
      <c r="BY525" s="868"/>
      <c r="BZ525" s="868"/>
      <c r="CA525" s="868"/>
      <c r="CB525" s="868"/>
      <c r="CC525" s="868"/>
      <c r="CD525" s="868"/>
      <c r="CE525" s="868"/>
      <c r="CF525" s="868"/>
      <c r="CG525" s="868"/>
      <c r="CH525" s="868"/>
      <c r="CI525" s="868"/>
      <c r="CJ525" s="868"/>
      <c r="CK525" s="868"/>
    </row>
    <row r="526" spans="8:89" ht="4.5" customHeight="1">
      <c r="H526" s="898"/>
      <c r="I526" s="866"/>
      <c r="J526" s="867"/>
      <c r="K526" s="624"/>
      <c r="L526" s="624"/>
      <c r="M526" s="625"/>
      <c r="N526" s="624"/>
      <c r="O526" s="624"/>
      <c r="P526" s="624"/>
      <c r="Q526" s="624"/>
      <c r="R526" s="899"/>
      <c r="S526" s="900"/>
      <c r="T526" s="900"/>
      <c r="U526" s="900"/>
      <c r="V526" s="900"/>
      <c r="W526" s="899"/>
      <c r="X526" s="900"/>
      <c r="Y526" s="900"/>
      <c r="Z526" s="900"/>
      <c r="AA526" s="900"/>
      <c r="AB526" s="899"/>
      <c r="AC526" s="900"/>
      <c r="AD526" s="900"/>
      <c r="AE526" s="900"/>
      <c r="AF526" s="900"/>
      <c r="AG526" s="900"/>
      <c r="AH526" s="900"/>
      <c r="AI526" s="900"/>
      <c r="AJ526" s="901"/>
      <c r="AK526" s="548"/>
    </row>
    <row r="527" spans="8:89" s="76" customFormat="1">
      <c r="H527" s="886"/>
      <c r="I527" s="997" t="s">
        <v>924</v>
      </c>
      <c r="J527" s="998"/>
      <c r="K527" s="999" t="str">
        <f t="shared" ref="K527:Q527" si="780">IFERROR(K522+K524,"-")</f>
        <v>-</v>
      </c>
      <c r="L527" s="999" t="str">
        <f t="shared" si="780"/>
        <v>-</v>
      </c>
      <c r="M527" s="1000" t="str">
        <f t="shared" si="780"/>
        <v>-</v>
      </c>
      <c r="N527" s="999" t="str">
        <f t="shared" si="780"/>
        <v>-</v>
      </c>
      <c r="O527" s="999" t="str">
        <f t="shared" si="780"/>
        <v>-</v>
      </c>
      <c r="P527" s="999" t="str">
        <f t="shared" si="780"/>
        <v>-</v>
      </c>
      <c r="Q527" s="999" t="str">
        <f t="shared" si="780"/>
        <v>-</v>
      </c>
      <c r="R527" s="1001" t="str">
        <f>IFERROR(R522+R524,"-")</f>
        <v>-</v>
      </c>
      <c r="S527" s="1002" t="str">
        <f t="shared" ref="S527:AF527" si="781">IFERROR(S522+S524,"-")</f>
        <v>-</v>
      </c>
      <c r="T527" s="1002" t="str">
        <f t="shared" si="781"/>
        <v>-</v>
      </c>
      <c r="U527" s="1002">
        <f t="shared" si="781"/>
        <v>0.79798803449900735</v>
      </c>
      <c r="V527" s="1002">
        <f t="shared" si="781"/>
        <v>0.88552685423194177</v>
      </c>
      <c r="W527" s="1001">
        <f t="shared" si="781"/>
        <v>0.8810471347992701</v>
      </c>
      <c r="X527" s="1002">
        <f t="shared" si="781"/>
        <v>0.88832885761618174</v>
      </c>
      <c r="Y527" s="1002">
        <f t="shared" si="781"/>
        <v>0.89089295195159213</v>
      </c>
      <c r="Z527" s="1002">
        <f t="shared" si="781"/>
        <v>0.88866316256978128</v>
      </c>
      <c r="AA527" s="1002">
        <f t="shared" si="781"/>
        <v>0.86437387696367063</v>
      </c>
      <c r="AB527" s="1001">
        <f t="shared" si="781"/>
        <v>0.86588237587902606</v>
      </c>
      <c r="AC527" s="1002">
        <f t="shared" si="781"/>
        <v>0.86782448009368451</v>
      </c>
      <c r="AD527" s="1002">
        <f t="shared" si="781"/>
        <v>0.87008667228500536</v>
      </c>
      <c r="AE527" s="1002">
        <f t="shared" si="781"/>
        <v>0.87402648818089645</v>
      </c>
      <c r="AF527" s="1002">
        <f t="shared" si="781"/>
        <v>0.85655177666333893</v>
      </c>
      <c r="AG527" s="1002">
        <f t="shared" ref="AG527:AJ528" si="782">IFERROR(AG522+AG524,"-")</f>
        <v>0.85980964755197431</v>
      </c>
      <c r="AH527" s="1002">
        <f t="shared" si="782"/>
        <v>0.86356992091821838</v>
      </c>
      <c r="AI527" s="1002">
        <f t="shared" si="782"/>
        <v>0.86690372896595169</v>
      </c>
      <c r="AJ527" s="1003">
        <f t="shared" si="782"/>
        <v>0.87046339021665076</v>
      </c>
      <c r="AK527" s="548"/>
      <c r="AM527" s="910"/>
      <c r="AO527" s="63"/>
      <c r="AP527" s="63"/>
      <c r="AQ527" s="63"/>
      <c r="AR527" s="63"/>
      <c r="AS527" s="63"/>
      <c r="AT527" s="63"/>
      <c r="AU527" s="63"/>
      <c r="AV527" s="63"/>
      <c r="AW527" s="63"/>
      <c r="AX527" s="63"/>
      <c r="AY527" s="63"/>
      <c r="AZ527" s="63"/>
      <c r="BA527" s="63"/>
      <c r="BB527" s="63"/>
      <c r="BC527" s="63"/>
      <c r="BD527" s="63"/>
      <c r="BE527" s="63"/>
      <c r="BF527" s="63"/>
      <c r="BG527" s="63"/>
      <c r="BH527" s="63"/>
      <c r="BI527" s="63"/>
      <c r="BJ527" s="63"/>
      <c r="BK527" s="63"/>
      <c r="BL527" s="63"/>
      <c r="BM527" s="63"/>
      <c r="BN527" s="63"/>
      <c r="BO527" s="63"/>
      <c r="BP527" s="63"/>
      <c r="BQ527" s="63"/>
      <c r="BR527" s="63"/>
      <c r="BS527" s="63"/>
      <c r="BT527" s="63"/>
      <c r="BU527" s="63"/>
      <c r="BV527" s="63"/>
      <c r="BW527" s="63"/>
      <c r="BX527" s="63"/>
      <c r="BY527" s="63"/>
      <c r="BZ527" s="63"/>
      <c r="CA527" s="63"/>
      <c r="CB527" s="63"/>
      <c r="CC527" s="63"/>
      <c r="CD527" s="63"/>
      <c r="CE527" s="63"/>
      <c r="CF527" s="63"/>
      <c r="CG527" s="63"/>
      <c r="CH527" s="63"/>
      <c r="CI527" s="63"/>
      <c r="CJ527" s="63"/>
      <c r="CK527" s="63"/>
    </row>
    <row r="528" spans="8:89" s="76" customFormat="1">
      <c r="H528" s="886"/>
      <c r="I528" s="997" t="s">
        <v>925</v>
      </c>
      <c r="J528" s="998"/>
      <c r="K528" s="999" t="str">
        <f t="shared" ref="K528:Q528" si="783">IFERROR(K523+K525,"-")</f>
        <v>-</v>
      </c>
      <c r="L528" s="999" t="str">
        <f t="shared" si="783"/>
        <v>-</v>
      </c>
      <c r="M528" s="1000" t="str">
        <f t="shared" si="783"/>
        <v>-</v>
      </c>
      <c r="N528" s="999" t="str">
        <f t="shared" si="783"/>
        <v>-</v>
      </c>
      <c r="O528" s="999" t="str">
        <f t="shared" si="783"/>
        <v>-</v>
      </c>
      <c r="P528" s="999" t="str">
        <f t="shared" si="783"/>
        <v>-</v>
      </c>
      <c r="Q528" s="999" t="str">
        <f t="shared" si="783"/>
        <v>-</v>
      </c>
      <c r="R528" s="1001" t="str">
        <f>IFERROR(R523+R525,"-")</f>
        <v>-</v>
      </c>
      <c r="S528" s="1002" t="str">
        <f t="shared" ref="S528:AF528" si="784">IFERROR(S523+S525,"-")</f>
        <v>-</v>
      </c>
      <c r="T528" s="1002" t="str">
        <f t="shared" si="784"/>
        <v>-</v>
      </c>
      <c r="U528" s="1002">
        <f t="shared" si="784"/>
        <v>0.20201196550099262</v>
      </c>
      <c r="V528" s="1002">
        <f t="shared" si="784"/>
        <v>0.11447314576805825</v>
      </c>
      <c r="W528" s="1001">
        <f t="shared" si="784"/>
        <v>0.11895286520072995</v>
      </c>
      <c r="X528" s="1002">
        <f t="shared" si="784"/>
        <v>0.11167114238381835</v>
      </c>
      <c r="Y528" s="1002">
        <f t="shared" si="784"/>
        <v>0.10910704804840796</v>
      </c>
      <c r="Z528" s="1002">
        <f t="shared" si="784"/>
        <v>0.11133683743021867</v>
      </c>
      <c r="AA528" s="1002">
        <f t="shared" si="784"/>
        <v>0.1356261230363294</v>
      </c>
      <c r="AB528" s="1001">
        <f t="shared" si="784"/>
        <v>0.13411762412097389</v>
      </c>
      <c r="AC528" s="1002">
        <f t="shared" si="784"/>
        <v>0.13217551990631557</v>
      </c>
      <c r="AD528" s="1002">
        <f t="shared" si="784"/>
        <v>0.12991332771499467</v>
      </c>
      <c r="AE528" s="1002">
        <f t="shared" si="784"/>
        <v>0.12597351181910352</v>
      </c>
      <c r="AF528" s="1002">
        <f t="shared" si="784"/>
        <v>0.1434482233366611</v>
      </c>
      <c r="AG528" s="1002">
        <f t="shared" si="782"/>
        <v>0.14019035244802561</v>
      </c>
      <c r="AH528" s="1002">
        <f t="shared" si="782"/>
        <v>0.13643007908178167</v>
      </c>
      <c r="AI528" s="1002">
        <f t="shared" si="782"/>
        <v>0.13309627103404834</v>
      </c>
      <c r="AJ528" s="1003">
        <f t="shared" si="782"/>
        <v>0.12953660978334924</v>
      </c>
      <c r="AK528" s="548"/>
      <c r="AM528" s="910"/>
      <c r="AO528" s="868"/>
      <c r="AP528" s="868"/>
      <c r="AQ528" s="868"/>
      <c r="AR528" s="868"/>
      <c r="AS528" s="868"/>
      <c r="AT528" s="868"/>
      <c r="AU528" s="868"/>
      <c r="AV528" s="868"/>
      <c r="AW528" s="868"/>
      <c r="AX528" s="868"/>
      <c r="AY528" s="868"/>
      <c r="AZ528" s="868"/>
      <c r="BA528" s="868"/>
      <c r="BB528" s="868"/>
      <c r="BC528" s="868"/>
      <c r="BD528" s="868"/>
      <c r="BE528" s="868"/>
      <c r="BF528" s="868"/>
      <c r="BG528" s="868"/>
      <c r="BH528" s="868"/>
      <c r="BI528" s="868"/>
      <c r="BJ528" s="868"/>
      <c r="BK528" s="868"/>
      <c r="BL528" s="868"/>
      <c r="BM528" s="868"/>
      <c r="BN528" s="868"/>
      <c r="BO528" s="868"/>
      <c r="BP528" s="868"/>
      <c r="BQ528" s="868"/>
      <c r="BR528" s="868"/>
      <c r="BS528" s="868"/>
      <c r="BT528" s="868"/>
      <c r="BU528" s="868"/>
      <c r="BV528" s="868"/>
      <c r="BW528" s="868"/>
      <c r="BX528" s="868"/>
      <c r="BY528" s="868"/>
      <c r="BZ528" s="868"/>
      <c r="CA528" s="868"/>
      <c r="CB528" s="868"/>
      <c r="CC528" s="868"/>
      <c r="CD528" s="868"/>
      <c r="CE528" s="868"/>
      <c r="CF528" s="868"/>
      <c r="CG528" s="868"/>
      <c r="CH528" s="868"/>
      <c r="CI528" s="868"/>
      <c r="CJ528" s="868"/>
      <c r="CK528" s="868"/>
    </row>
    <row r="529" spans="8:89" s="868" customFormat="1">
      <c r="H529" s="886"/>
      <c r="I529" s="870"/>
      <c r="J529" s="871"/>
      <c r="K529" s="872"/>
      <c r="L529" s="872"/>
      <c r="M529" s="873"/>
      <c r="N529" s="872"/>
      <c r="O529" s="872"/>
      <c r="P529" s="872"/>
      <c r="Q529" s="872"/>
      <c r="R529" s="874"/>
      <c r="S529" s="875"/>
      <c r="T529" s="875"/>
      <c r="U529" s="875"/>
      <c r="V529" s="875"/>
      <c r="W529" s="874"/>
      <c r="X529" s="875"/>
      <c r="Y529" s="875"/>
      <c r="Z529" s="875"/>
      <c r="AA529" s="875"/>
      <c r="AB529" s="874"/>
      <c r="AC529" s="875"/>
      <c r="AD529" s="875"/>
      <c r="AE529" s="875"/>
      <c r="AF529" s="875"/>
      <c r="AG529" s="875"/>
      <c r="AH529" s="875"/>
      <c r="AI529" s="875"/>
      <c r="AJ529" s="876"/>
      <c r="AK529" s="548"/>
      <c r="AM529" s="881"/>
    </row>
    <row r="530" spans="8:89" s="89" customFormat="1">
      <c r="H530" s="894"/>
      <c r="I530" s="878" t="str">
        <f>I485</f>
        <v>Recycled Water</v>
      </c>
      <c r="J530" s="879"/>
      <c r="K530" s="863" t="str">
        <f t="shared" ref="K530:Q530" si="785">IFERROR(K485/K$509,"-")</f>
        <v>-</v>
      </c>
      <c r="L530" s="863" t="str">
        <f t="shared" si="785"/>
        <v>-</v>
      </c>
      <c r="M530" s="864" t="str">
        <f t="shared" si="785"/>
        <v>-</v>
      </c>
      <c r="N530" s="863" t="str">
        <f t="shared" si="785"/>
        <v>-</v>
      </c>
      <c r="O530" s="863" t="str">
        <f t="shared" si="785"/>
        <v>-</v>
      </c>
      <c r="P530" s="863" t="str">
        <f t="shared" si="785"/>
        <v>-</v>
      </c>
      <c r="Q530" s="863" t="str">
        <f t="shared" si="785"/>
        <v>-</v>
      </c>
      <c r="R530" s="895" t="str">
        <f>IFERROR(R485/R$509,"-")</f>
        <v>-</v>
      </c>
      <c r="S530" s="896" t="str">
        <f t="shared" ref="S530:AF530" si="786">IFERROR(S485/S$509,"-")</f>
        <v>-</v>
      </c>
      <c r="T530" s="896" t="str">
        <f t="shared" si="786"/>
        <v>-</v>
      </c>
      <c r="U530" s="896">
        <f t="shared" si="786"/>
        <v>0</v>
      </c>
      <c r="V530" s="896">
        <f t="shared" si="786"/>
        <v>0</v>
      </c>
      <c r="W530" s="895">
        <f t="shared" si="786"/>
        <v>0</v>
      </c>
      <c r="X530" s="896">
        <f t="shared" si="786"/>
        <v>0</v>
      </c>
      <c r="Y530" s="896">
        <f t="shared" si="786"/>
        <v>0</v>
      </c>
      <c r="Z530" s="896">
        <f t="shared" si="786"/>
        <v>0</v>
      </c>
      <c r="AA530" s="896">
        <f t="shared" si="786"/>
        <v>0</v>
      </c>
      <c r="AB530" s="895">
        <f t="shared" si="786"/>
        <v>0</v>
      </c>
      <c r="AC530" s="896">
        <f t="shared" si="786"/>
        <v>0</v>
      </c>
      <c r="AD530" s="896">
        <f t="shared" si="786"/>
        <v>0</v>
      </c>
      <c r="AE530" s="896">
        <f t="shared" si="786"/>
        <v>0</v>
      </c>
      <c r="AF530" s="896">
        <f t="shared" si="786"/>
        <v>0</v>
      </c>
      <c r="AG530" s="896">
        <f>IFERROR(AG485/AG$509,"-")</f>
        <v>0</v>
      </c>
      <c r="AH530" s="896">
        <f>IFERROR(AH485/AH$509,"-")</f>
        <v>0</v>
      </c>
      <c r="AI530" s="896">
        <f>IFERROR(AI485/AI$509,"-")</f>
        <v>0</v>
      </c>
      <c r="AJ530" s="897">
        <f>IFERROR(AJ485/AJ$509,"-")</f>
        <v>0</v>
      </c>
      <c r="AK530" s="548"/>
      <c r="AM530" s="877"/>
    </row>
    <row r="531" spans="8:89">
      <c r="H531" s="902"/>
      <c r="I531" s="866" t="str">
        <f>I486</f>
        <v>Price cap - Fixed</v>
      </c>
      <c r="J531" s="867"/>
      <c r="K531" s="624" t="str">
        <f t="shared" ref="K531:Q531" si="787">IFERROR(K486/K$485,"-")</f>
        <v>-</v>
      </c>
      <c r="L531" s="624" t="str">
        <f t="shared" si="787"/>
        <v>-</v>
      </c>
      <c r="M531" s="625" t="str">
        <f t="shared" si="787"/>
        <v>-</v>
      </c>
      <c r="N531" s="624" t="str">
        <f t="shared" si="787"/>
        <v>-</v>
      </c>
      <c r="O531" s="624" t="str">
        <f t="shared" si="787"/>
        <v>-</v>
      </c>
      <c r="P531" s="624" t="str">
        <f t="shared" si="787"/>
        <v>-</v>
      </c>
      <c r="Q531" s="624" t="str">
        <f t="shared" si="787"/>
        <v>-</v>
      </c>
      <c r="R531" s="899" t="str">
        <f>IFERROR(R486/R$485,"-")</f>
        <v>-</v>
      </c>
      <c r="S531" s="900" t="str">
        <f t="shared" ref="S531:AF531" si="788">IFERROR(S486/S$485,"-")</f>
        <v>-</v>
      </c>
      <c r="T531" s="900" t="str">
        <f t="shared" si="788"/>
        <v>-</v>
      </c>
      <c r="U531" s="900" t="str">
        <f t="shared" si="788"/>
        <v>-</v>
      </c>
      <c r="V531" s="900" t="str">
        <f t="shared" si="788"/>
        <v>-</v>
      </c>
      <c r="W531" s="899" t="str">
        <f t="shared" si="788"/>
        <v>-</v>
      </c>
      <c r="X531" s="900" t="str">
        <f t="shared" si="788"/>
        <v>-</v>
      </c>
      <c r="Y531" s="900" t="str">
        <f t="shared" si="788"/>
        <v>-</v>
      </c>
      <c r="Z531" s="900" t="str">
        <f t="shared" si="788"/>
        <v>-</v>
      </c>
      <c r="AA531" s="900" t="str">
        <f t="shared" si="788"/>
        <v>-</v>
      </c>
      <c r="AB531" s="899" t="str">
        <f t="shared" si="788"/>
        <v>-</v>
      </c>
      <c r="AC531" s="900" t="str">
        <f t="shared" si="788"/>
        <v>-</v>
      </c>
      <c r="AD531" s="900" t="str">
        <f t="shared" si="788"/>
        <v>-</v>
      </c>
      <c r="AE531" s="900" t="str">
        <f t="shared" si="788"/>
        <v>-</v>
      </c>
      <c r="AF531" s="900" t="str">
        <f t="shared" si="788"/>
        <v>-</v>
      </c>
      <c r="AG531" s="900" t="str">
        <f t="shared" ref="AG531:AJ534" si="789">IFERROR(AG486/AG$485,"-")</f>
        <v>-</v>
      </c>
      <c r="AH531" s="900" t="str">
        <f t="shared" si="789"/>
        <v>-</v>
      </c>
      <c r="AI531" s="900" t="str">
        <f t="shared" si="789"/>
        <v>-</v>
      </c>
      <c r="AJ531" s="901" t="str">
        <f t="shared" si="789"/>
        <v>-</v>
      </c>
      <c r="AK531" s="548"/>
    </row>
    <row r="532" spans="8:89">
      <c r="H532" s="902"/>
      <c r="I532" s="866" t="str">
        <f>I487</f>
        <v xml:space="preserve">Price cap - Variable </v>
      </c>
      <c r="J532" s="867"/>
      <c r="K532" s="624" t="str">
        <f t="shared" ref="K532:Q532" si="790">IFERROR(K487/K$485,"-")</f>
        <v>-</v>
      </c>
      <c r="L532" s="624" t="str">
        <f t="shared" si="790"/>
        <v>-</v>
      </c>
      <c r="M532" s="625" t="str">
        <f t="shared" si="790"/>
        <v>-</v>
      </c>
      <c r="N532" s="624" t="str">
        <f t="shared" si="790"/>
        <v>-</v>
      </c>
      <c r="O532" s="624" t="str">
        <f t="shared" si="790"/>
        <v>-</v>
      </c>
      <c r="P532" s="624" t="str">
        <f t="shared" si="790"/>
        <v>-</v>
      </c>
      <c r="Q532" s="624" t="str">
        <f t="shared" si="790"/>
        <v>-</v>
      </c>
      <c r="R532" s="899" t="str">
        <f>IFERROR(R487/R$485,"-")</f>
        <v>-</v>
      </c>
      <c r="S532" s="900" t="str">
        <f t="shared" ref="S532:AF532" si="791">IFERROR(S487/S$485,"-")</f>
        <v>-</v>
      </c>
      <c r="T532" s="900" t="str">
        <f t="shared" si="791"/>
        <v>-</v>
      </c>
      <c r="U532" s="900" t="str">
        <f t="shared" si="791"/>
        <v>-</v>
      </c>
      <c r="V532" s="900" t="str">
        <f t="shared" si="791"/>
        <v>-</v>
      </c>
      <c r="W532" s="899" t="str">
        <f t="shared" si="791"/>
        <v>-</v>
      </c>
      <c r="X532" s="900" t="str">
        <f t="shared" si="791"/>
        <v>-</v>
      </c>
      <c r="Y532" s="900" t="str">
        <f t="shared" si="791"/>
        <v>-</v>
      </c>
      <c r="Z532" s="900" t="str">
        <f t="shared" si="791"/>
        <v>-</v>
      </c>
      <c r="AA532" s="900" t="str">
        <f t="shared" si="791"/>
        <v>-</v>
      </c>
      <c r="AB532" s="899" t="str">
        <f t="shared" si="791"/>
        <v>-</v>
      </c>
      <c r="AC532" s="900" t="str">
        <f t="shared" si="791"/>
        <v>-</v>
      </c>
      <c r="AD532" s="900" t="str">
        <f t="shared" si="791"/>
        <v>-</v>
      </c>
      <c r="AE532" s="900" t="str">
        <f t="shared" si="791"/>
        <v>-</v>
      </c>
      <c r="AF532" s="900" t="str">
        <f t="shared" si="791"/>
        <v>-</v>
      </c>
      <c r="AG532" s="900" t="str">
        <f t="shared" si="789"/>
        <v>-</v>
      </c>
      <c r="AH532" s="900" t="str">
        <f t="shared" si="789"/>
        <v>-</v>
      </c>
      <c r="AI532" s="900" t="str">
        <f t="shared" si="789"/>
        <v>-</v>
      </c>
      <c r="AJ532" s="901" t="str">
        <f t="shared" si="789"/>
        <v>-</v>
      </c>
      <c r="AK532" s="548"/>
    </row>
    <row r="533" spans="8:89">
      <c r="H533" s="902"/>
      <c r="I533" s="866" t="str">
        <f>I488</f>
        <v xml:space="preserve">Revenue cap - Fixed </v>
      </c>
      <c r="J533" s="867"/>
      <c r="K533" s="624" t="str">
        <f t="shared" ref="K533:Q533" si="792">IFERROR(K488/K$485,"-")</f>
        <v>-</v>
      </c>
      <c r="L533" s="624" t="str">
        <f t="shared" si="792"/>
        <v>-</v>
      </c>
      <c r="M533" s="625" t="str">
        <f t="shared" si="792"/>
        <v>-</v>
      </c>
      <c r="N533" s="624" t="str">
        <f t="shared" si="792"/>
        <v>-</v>
      </c>
      <c r="O533" s="624" t="str">
        <f t="shared" si="792"/>
        <v>-</v>
      </c>
      <c r="P533" s="624" t="str">
        <f t="shared" si="792"/>
        <v>-</v>
      </c>
      <c r="Q533" s="624" t="str">
        <f t="shared" si="792"/>
        <v>-</v>
      </c>
      <c r="R533" s="899" t="str">
        <f>IFERROR(R488/R$485,"-")</f>
        <v>-</v>
      </c>
      <c r="S533" s="900" t="str">
        <f t="shared" ref="S533:AF533" si="793">IFERROR(S488/S$485,"-")</f>
        <v>-</v>
      </c>
      <c r="T533" s="900" t="str">
        <f t="shared" si="793"/>
        <v>-</v>
      </c>
      <c r="U533" s="900" t="str">
        <f t="shared" si="793"/>
        <v>-</v>
      </c>
      <c r="V533" s="900" t="str">
        <f t="shared" si="793"/>
        <v>-</v>
      </c>
      <c r="W533" s="899" t="str">
        <f t="shared" si="793"/>
        <v>-</v>
      </c>
      <c r="X533" s="900" t="str">
        <f t="shared" si="793"/>
        <v>-</v>
      </c>
      <c r="Y533" s="900" t="str">
        <f t="shared" si="793"/>
        <v>-</v>
      </c>
      <c r="Z533" s="900" t="str">
        <f t="shared" si="793"/>
        <v>-</v>
      </c>
      <c r="AA533" s="900" t="str">
        <f t="shared" si="793"/>
        <v>-</v>
      </c>
      <c r="AB533" s="899" t="str">
        <f t="shared" si="793"/>
        <v>-</v>
      </c>
      <c r="AC533" s="900" t="str">
        <f t="shared" si="793"/>
        <v>-</v>
      </c>
      <c r="AD533" s="900" t="str">
        <f t="shared" si="793"/>
        <v>-</v>
      </c>
      <c r="AE533" s="900" t="str">
        <f t="shared" si="793"/>
        <v>-</v>
      </c>
      <c r="AF533" s="900" t="str">
        <f t="shared" si="793"/>
        <v>-</v>
      </c>
      <c r="AG533" s="900" t="str">
        <f t="shared" si="789"/>
        <v>-</v>
      </c>
      <c r="AH533" s="900" t="str">
        <f t="shared" si="789"/>
        <v>-</v>
      </c>
      <c r="AI533" s="900" t="str">
        <f t="shared" si="789"/>
        <v>-</v>
      </c>
      <c r="AJ533" s="901" t="str">
        <f t="shared" si="789"/>
        <v>-</v>
      </c>
      <c r="AK533" s="548"/>
    </row>
    <row r="534" spans="8:89">
      <c r="H534" s="902"/>
      <c r="I534" s="866" t="str">
        <f>I489</f>
        <v>Revenue cap - Variable</v>
      </c>
      <c r="J534" s="867"/>
      <c r="K534" s="624" t="str">
        <f t="shared" ref="K534:Q534" si="794">IFERROR(K489/K$485,"-")</f>
        <v>-</v>
      </c>
      <c r="L534" s="624" t="str">
        <f t="shared" si="794"/>
        <v>-</v>
      </c>
      <c r="M534" s="625" t="str">
        <f t="shared" si="794"/>
        <v>-</v>
      </c>
      <c r="N534" s="624" t="str">
        <f t="shared" si="794"/>
        <v>-</v>
      </c>
      <c r="O534" s="624" t="str">
        <f t="shared" si="794"/>
        <v>-</v>
      </c>
      <c r="P534" s="624" t="str">
        <f t="shared" si="794"/>
        <v>-</v>
      </c>
      <c r="Q534" s="624" t="str">
        <f t="shared" si="794"/>
        <v>-</v>
      </c>
      <c r="R534" s="899" t="str">
        <f>IFERROR(R489/R$485,"-")</f>
        <v>-</v>
      </c>
      <c r="S534" s="900" t="str">
        <f t="shared" ref="S534:AF534" si="795">IFERROR(S489/S$485,"-")</f>
        <v>-</v>
      </c>
      <c r="T534" s="900" t="str">
        <f t="shared" si="795"/>
        <v>-</v>
      </c>
      <c r="U534" s="900" t="str">
        <f t="shared" si="795"/>
        <v>-</v>
      </c>
      <c r="V534" s="900" t="str">
        <f t="shared" si="795"/>
        <v>-</v>
      </c>
      <c r="W534" s="899" t="str">
        <f t="shared" si="795"/>
        <v>-</v>
      </c>
      <c r="X534" s="900" t="str">
        <f t="shared" si="795"/>
        <v>-</v>
      </c>
      <c r="Y534" s="900" t="str">
        <f t="shared" si="795"/>
        <v>-</v>
      </c>
      <c r="Z534" s="900" t="str">
        <f t="shared" si="795"/>
        <v>-</v>
      </c>
      <c r="AA534" s="900" t="str">
        <f t="shared" si="795"/>
        <v>-</v>
      </c>
      <c r="AB534" s="899" t="str">
        <f t="shared" si="795"/>
        <v>-</v>
      </c>
      <c r="AC534" s="900" t="str">
        <f t="shared" si="795"/>
        <v>-</v>
      </c>
      <c r="AD534" s="900" t="str">
        <f t="shared" si="795"/>
        <v>-</v>
      </c>
      <c r="AE534" s="900" t="str">
        <f t="shared" si="795"/>
        <v>-</v>
      </c>
      <c r="AF534" s="900" t="str">
        <f t="shared" si="795"/>
        <v>-</v>
      </c>
      <c r="AG534" s="900" t="str">
        <f t="shared" si="789"/>
        <v>-</v>
      </c>
      <c r="AH534" s="900" t="str">
        <f t="shared" si="789"/>
        <v>-</v>
      </c>
      <c r="AI534" s="900" t="str">
        <f t="shared" si="789"/>
        <v>-</v>
      </c>
      <c r="AJ534" s="901" t="str">
        <f t="shared" si="789"/>
        <v>-</v>
      </c>
      <c r="AK534" s="548"/>
    </row>
    <row r="535" spans="8:89" ht="4.5" customHeight="1">
      <c r="H535" s="898"/>
      <c r="I535" s="866"/>
      <c r="J535" s="867"/>
      <c r="K535" s="624"/>
      <c r="L535" s="624"/>
      <c r="M535" s="625"/>
      <c r="N535" s="624"/>
      <c r="O535" s="624"/>
      <c r="P535" s="624"/>
      <c r="Q535" s="624"/>
      <c r="R535" s="899"/>
      <c r="S535" s="900"/>
      <c r="T535" s="900"/>
      <c r="U535" s="900"/>
      <c r="V535" s="900"/>
      <c r="W535" s="899"/>
      <c r="X535" s="900"/>
      <c r="Y535" s="900"/>
      <c r="Z535" s="900"/>
      <c r="AA535" s="900"/>
      <c r="AB535" s="899"/>
      <c r="AC535" s="900"/>
      <c r="AD535" s="900"/>
      <c r="AE535" s="900"/>
      <c r="AF535" s="900"/>
      <c r="AG535" s="900"/>
      <c r="AH535" s="900"/>
      <c r="AI535" s="900"/>
      <c r="AJ535" s="901"/>
      <c r="AK535" s="548"/>
    </row>
    <row r="536" spans="8:89" s="76" customFormat="1">
      <c r="H536" s="886"/>
      <c r="I536" s="997" t="s">
        <v>924</v>
      </c>
      <c r="J536" s="998"/>
      <c r="K536" s="999" t="str">
        <f t="shared" ref="K536:Q536" si="796">IFERROR(K531+K533,"-")</f>
        <v>-</v>
      </c>
      <c r="L536" s="999" t="str">
        <f t="shared" si="796"/>
        <v>-</v>
      </c>
      <c r="M536" s="1000" t="str">
        <f t="shared" si="796"/>
        <v>-</v>
      </c>
      <c r="N536" s="999" t="str">
        <f t="shared" si="796"/>
        <v>-</v>
      </c>
      <c r="O536" s="999" t="str">
        <f t="shared" si="796"/>
        <v>-</v>
      </c>
      <c r="P536" s="999" t="str">
        <f t="shared" si="796"/>
        <v>-</v>
      </c>
      <c r="Q536" s="999" t="str">
        <f t="shared" si="796"/>
        <v>-</v>
      </c>
      <c r="R536" s="1001" t="str">
        <f>IFERROR(R531+R533,"-")</f>
        <v>-</v>
      </c>
      <c r="S536" s="1002" t="str">
        <f t="shared" ref="S536:AF536" si="797">IFERROR(S531+S533,"-")</f>
        <v>-</v>
      </c>
      <c r="T536" s="1002" t="str">
        <f t="shared" si="797"/>
        <v>-</v>
      </c>
      <c r="U536" s="1002" t="str">
        <f t="shared" si="797"/>
        <v>-</v>
      </c>
      <c r="V536" s="1002" t="str">
        <f t="shared" si="797"/>
        <v>-</v>
      </c>
      <c r="W536" s="1001" t="str">
        <f t="shared" si="797"/>
        <v>-</v>
      </c>
      <c r="X536" s="1002" t="str">
        <f t="shared" si="797"/>
        <v>-</v>
      </c>
      <c r="Y536" s="1002" t="str">
        <f t="shared" si="797"/>
        <v>-</v>
      </c>
      <c r="Z536" s="1002" t="str">
        <f t="shared" si="797"/>
        <v>-</v>
      </c>
      <c r="AA536" s="1002" t="str">
        <f t="shared" si="797"/>
        <v>-</v>
      </c>
      <c r="AB536" s="1001" t="str">
        <f t="shared" si="797"/>
        <v>-</v>
      </c>
      <c r="AC536" s="1002" t="str">
        <f t="shared" si="797"/>
        <v>-</v>
      </c>
      <c r="AD536" s="1002" t="str">
        <f t="shared" si="797"/>
        <v>-</v>
      </c>
      <c r="AE536" s="1002" t="str">
        <f t="shared" si="797"/>
        <v>-</v>
      </c>
      <c r="AF536" s="1002" t="str">
        <f t="shared" si="797"/>
        <v>-</v>
      </c>
      <c r="AG536" s="1002" t="str">
        <f t="shared" ref="AG536:AJ537" si="798">IFERROR(AG531+AG533,"-")</f>
        <v>-</v>
      </c>
      <c r="AH536" s="1002" t="str">
        <f t="shared" si="798"/>
        <v>-</v>
      </c>
      <c r="AI536" s="1002" t="str">
        <f t="shared" si="798"/>
        <v>-</v>
      </c>
      <c r="AJ536" s="1003" t="str">
        <f t="shared" si="798"/>
        <v>-</v>
      </c>
      <c r="AK536" s="548"/>
      <c r="AM536" s="910"/>
      <c r="AO536" s="63"/>
      <c r="AP536" s="63"/>
      <c r="AQ536" s="63"/>
      <c r="AR536" s="63"/>
      <c r="AS536" s="63"/>
      <c r="AT536" s="63"/>
      <c r="AU536" s="63"/>
      <c r="AV536" s="63"/>
      <c r="AW536" s="63"/>
      <c r="AX536" s="63"/>
      <c r="AY536" s="63"/>
      <c r="AZ536" s="63"/>
      <c r="BA536" s="63"/>
      <c r="BB536" s="63"/>
      <c r="BC536" s="63"/>
      <c r="BD536" s="63"/>
      <c r="BE536" s="63"/>
      <c r="BF536" s="63"/>
      <c r="BG536" s="63"/>
      <c r="BH536" s="63"/>
      <c r="BI536" s="63"/>
      <c r="BJ536" s="63"/>
      <c r="BK536" s="63"/>
      <c r="BL536" s="63"/>
      <c r="BM536" s="63"/>
      <c r="BN536" s="63"/>
      <c r="BO536" s="63"/>
      <c r="BP536" s="63"/>
      <c r="BQ536" s="63"/>
      <c r="BR536" s="63"/>
      <c r="BS536" s="63"/>
      <c r="BT536" s="63"/>
      <c r="BU536" s="63"/>
      <c r="BV536" s="63"/>
      <c r="BW536" s="63"/>
      <c r="BX536" s="63"/>
      <c r="BY536" s="63"/>
      <c r="BZ536" s="63"/>
      <c r="CA536" s="63"/>
      <c r="CB536" s="63"/>
      <c r="CC536" s="63"/>
      <c r="CD536" s="63"/>
      <c r="CE536" s="63"/>
      <c r="CF536" s="63"/>
      <c r="CG536" s="63"/>
      <c r="CH536" s="63"/>
      <c r="CI536" s="63"/>
      <c r="CJ536" s="63"/>
      <c r="CK536" s="63"/>
    </row>
    <row r="537" spans="8:89" s="76" customFormat="1">
      <c r="H537" s="886"/>
      <c r="I537" s="997" t="s">
        <v>925</v>
      </c>
      <c r="J537" s="998"/>
      <c r="K537" s="999" t="str">
        <f t="shared" ref="K537:Q537" si="799">IFERROR(K532+K534,"-")</f>
        <v>-</v>
      </c>
      <c r="L537" s="999" t="str">
        <f t="shared" si="799"/>
        <v>-</v>
      </c>
      <c r="M537" s="1000" t="str">
        <f t="shared" si="799"/>
        <v>-</v>
      </c>
      <c r="N537" s="999" t="str">
        <f t="shared" si="799"/>
        <v>-</v>
      </c>
      <c r="O537" s="999" t="str">
        <f t="shared" si="799"/>
        <v>-</v>
      </c>
      <c r="P537" s="999" t="str">
        <f t="shared" si="799"/>
        <v>-</v>
      </c>
      <c r="Q537" s="999" t="str">
        <f t="shared" si="799"/>
        <v>-</v>
      </c>
      <c r="R537" s="1001" t="str">
        <f>IFERROR(R532+R534,"-")</f>
        <v>-</v>
      </c>
      <c r="S537" s="1002" t="str">
        <f t="shared" ref="S537:AF537" si="800">IFERROR(S532+S534,"-")</f>
        <v>-</v>
      </c>
      <c r="T537" s="1002" t="str">
        <f t="shared" si="800"/>
        <v>-</v>
      </c>
      <c r="U537" s="1002" t="str">
        <f t="shared" si="800"/>
        <v>-</v>
      </c>
      <c r="V537" s="1002" t="str">
        <f t="shared" si="800"/>
        <v>-</v>
      </c>
      <c r="W537" s="1001" t="str">
        <f t="shared" si="800"/>
        <v>-</v>
      </c>
      <c r="X537" s="1002" t="str">
        <f t="shared" si="800"/>
        <v>-</v>
      </c>
      <c r="Y537" s="1002" t="str">
        <f t="shared" si="800"/>
        <v>-</v>
      </c>
      <c r="Z537" s="1002" t="str">
        <f t="shared" si="800"/>
        <v>-</v>
      </c>
      <c r="AA537" s="1002" t="str">
        <f t="shared" si="800"/>
        <v>-</v>
      </c>
      <c r="AB537" s="1001" t="str">
        <f t="shared" si="800"/>
        <v>-</v>
      </c>
      <c r="AC537" s="1002" t="str">
        <f t="shared" si="800"/>
        <v>-</v>
      </c>
      <c r="AD537" s="1002" t="str">
        <f t="shared" si="800"/>
        <v>-</v>
      </c>
      <c r="AE537" s="1002" t="str">
        <f t="shared" si="800"/>
        <v>-</v>
      </c>
      <c r="AF537" s="1002" t="str">
        <f t="shared" si="800"/>
        <v>-</v>
      </c>
      <c r="AG537" s="1002" t="str">
        <f t="shared" si="798"/>
        <v>-</v>
      </c>
      <c r="AH537" s="1002" t="str">
        <f t="shared" si="798"/>
        <v>-</v>
      </c>
      <c r="AI537" s="1002" t="str">
        <f t="shared" si="798"/>
        <v>-</v>
      </c>
      <c r="AJ537" s="1003" t="str">
        <f t="shared" si="798"/>
        <v>-</v>
      </c>
      <c r="AK537" s="548"/>
      <c r="AM537" s="910"/>
      <c r="AO537" s="63"/>
      <c r="AP537" s="63"/>
      <c r="AQ537" s="63"/>
      <c r="AR537" s="63"/>
      <c r="AS537" s="63"/>
      <c r="AT537" s="63"/>
      <c r="AU537" s="63"/>
      <c r="AV537" s="63"/>
      <c r="AW537" s="63"/>
      <c r="AX537" s="63"/>
      <c r="AY537" s="63"/>
      <c r="AZ537" s="63"/>
      <c r="BA537" s="63"/>
      <c r="BB537" s="63"/>
      <c r="BC537" s="63"/>
      <c r="BD537" s="63"/>
      <c r="BE537" s="63"/>
      <c r="BF537" s="63"/>
      <c r="BG537" s="63"/>
      <c r="BH537" s="63"/>
      <c r="BI537" s="63"/>
      <c r="BJ537" s="63"/>
      <c r="BK537" s="63"/>
      <c r="BL537" s="63"/>
      <c r="BM537" s="63"/>
      <c r="BN537" s="63"/>
      <c r="BO537" s="63"/>
      <c r="BP537" s="63"/>
      <c r="BQ537" s="63"/>
      <c r="BR537" s="63"/>
      <c r="BS537" s="63"/>
      <c r="BT537" s="63"/>
      <c r="BU537" s="63"/>
      <c r="BV537" s="63"/>
      <c r="BW537" s="63"/>
      <c r="BX537" s="63"/>
      <c r="BY537" s="63"/>
      <c r="BZ537" s="63"/>
      <c r="CA537" s="63"/>
      <c r="CB537" s="63"/>
      <c r="CC537" s="63"/>
      <c r="CD537" s="63"/>
      <c r="CE537" s="63"/>
      <c r="CF537" s="63"/>
      <c r="CG537" s="63"/>
      <c r="CH537" s="63"/>
      <c r="CI537" s="63"/>
      <c r="CJ537" s="63"/>
      <c r="CK537" s="63"/>
    </row>
    <row r="538" spans="8:89" s="868" customFormat="1">
      <c r="H538" s="886"/>
      <c r="I538" s="870"/>
      <c r="J538" s="871"/>
      <c r="K538" s="872"/>
      <c r="L538" s="872"/>
      <c r="M538" s="873"/>
      <c r="N538" s="872"/>
      <c r="O538" s="872"/>
      <c r="P538" s="872"/>
      <c r="Q538" s="872"/>
      <c r="R538" s="874"/>
      <c r="S538" s="875"/>
      <c r="T538" s="875"/>
      <c r="U538" s="875"/>
      <c r="V538" s="875"/>
      <c r="W538" s="874"/>
      <c r="X538" s="875"/>
      <c r="Y538" s="875"/>
      <c r="Z538" s="875"/>
      <c r="AA538" s="875"/>
      <c r="AB538" s="874"/>
      <c r="AC538" s="875"/>
      <c r="AD538" s="875"/>
      <c r="AE538" s="875"/>
      <c r="AF538" s="875"/>
      <c r="AG538" s="875"/>
      <c r="AH538" s="875"/>
      <c r="AI538" s="875"/>
      <c r="AJ538" s="876"/>
      <c r="AK538" s="548"/>
      <c r="AM538" s="881"/>
      <c r="AO538" s="63"/>
      <c r="AP538" s="63"/>
      <c r="AQ538" s="63"/>
      <c r="AR538" s="63"/>
      <c r="AS538" s="63"/>
      <c r="AT538" s="63"/>
      <c r="AU538" s="63"/>
      <c r="AV538" s="63"/>
      <c r="AW538" s="63"/>
      <c r="AX538" s="63"/>
      <c r="AY538" s="63"/>
      <c r="AZ538" s="63"/>
      <c r="BA538" s="63"/>
      <c r="BB538" s="63"/>
      <c r="BC538" s="63"/>
      <c r="BD538" s="63"/>
      <c r="BE538" s="63"/>
      <c r="BF538" s="63"/>
      <c r="BG538" s="63"/>
      <c r="BH538" s="63"/>
      <c r="BI538" s="63"/>
      <c r="BJ538" s="63"/>
      <c r="BK538" s="63"/>
      <c r="BL538" s="63"/>
      <c r="BM538" s="63"/>
      <c r="BN538" s="63"/>
      <c r="BO538" s="63"/>
      <c r="BP538" s="63"/>
      <c r="BQ538" s="63"/>
      <c r="BR538" s="63"/>
      <c r="BS538" s="63"/>
      <c r="BT538" s="63"/>
      <c r="BU538" s="63"/>
      <c r="BV538" s="63"/>
      <c r="BW538" s="63"/>
      <c r="BX538" s="63"/>
      <c r="BY538" s="63"/>
      <c r="BZ538" s="63"/>
      <c r="CA538" s="63"/>
      <c r="CB538" s="63"/>
      <c r="CC538" s="63"/>
      <c r="CD538" s="63"/>
      <c r="CE538" s="63"/>
      <c r="CF538" s="63"/>
      <c r="CG538" s="63"/>
      <c r="CH538" s="63"/>
      <c r="CI538" s="63"/>
      <c r="CJ538" s="63"/>
      <c r="CK538" s="63"/>
    </row>
    <row r="539" spans="8:89" s="89" customFormat="1">
      <c r="H539" s="894"/>
      <c r="I539" s="878" t="str">
        <f>I491</f>
        <v>Waterways and Drainage</v>
      </c>
      <c r="J539" s="879"/>
      <c r="K539" s="863" t="str">
        <f t="shared" ref="K539:Q539" si="801">IFERROR(K491/K$509,"-")</f>
        <v>-</v>
      </c>
      <c r="L539" s="863" t="str">
        <f t="shared" si="801"/>
        <v>-</v>
      </c>
      <c r="M539" s="864" t="str">
        <f t="shared" si="801"/>
        <v>-</v>
      </c>
      <c r="N539" s="863" t="str">
        <f t="shared" si="801"/>
        <v>-</v>
      </c>
      <c r="O539" s="863" t="str">
        <f t="shared" si="801"/>
        <v>-</v>
      </c>
      <c r="P539" s="863" t="str">
        <f t="shared" si="801"/>
        <v>-</v>
      </c>
      <c r="Q539" s="863" t="str">
        <f t="shared" si="801"/>
        <v>-</v>
      </c>
      <c r="R539" s="895" t="str">
        <f>IFERROR(R491/R$509,"-")</f>
        <v>-</v>
      </c>
      <c r="S539" s="896" t="str">
        <f t="shared" ref="S539:AF539" si="802">IFERROR(S491/S$509,"-")</f>
        <v>-</v>
      </c>
      <c r="T539" s="896" t="str">
        <f t="shared" si="802"/>
        <v>-</v>
      </c>
      <c r="U539" s="896">
        <f t="shared" si="802"/>
        <v>0.15583227437952962</v>
      </c>
      <c r="V539" s="896">
        <f t="shared" si="802"/>
        <v>0.16917291952881722</v>
      </c>
      <c r="W539" s="895">
        <f t="shared" si="802"/>
        <v>0.1713805150864858</v>
      </c>
      <c r="X539" s="896">
        <f t="shared" si="802"/>
        <v>0.17423855630588936</v>
      </c>
      <c r="Y539" s="896">
        <f t="shared" si="802"/>
        <v>0.17404139537876454</v>
      </c>
      <c r="Z539" s="896">
        <f t="shared" si="802"/>
        <v>0.17700313429880413</v>
      </c>
      <c r="AA539" s="896">
        <f t="shared" si="802"/>
        <v>0.16636361470284525</v>
      </c>
      <c r="AB539" s="895">
        <f t="shared" si="802"/>
        <v>0.16333596316991991</v>
      </c>
      <c r="AC539" s="896">
        <f t="shared" si="802"/>
        <v>0.1634344782695546</v>
      </c>
      <c r="AD539" s="896">
        <f t="shared" si="802"/>
        <v>0.16358200515185611</v>
      </c>
      <c r="AE539" s="896">
        <f t="shared" si="802"/>
        <v>0.1637105730070007</v>
      </c>
      <c r="AF539" s="896">
        <f t="shared" si="802"/>
        <v>0.15855013801401238</v>
      </c>
      <c r="AG539" s="896">
        <f>IFERROR(AG491/AG$509,"-")</f>
        <v>0.15925443930525696</v>
      </c>
      <c r="AH539" s="896">
        <f>IFERROR(AH491/AH$509,"-")</f>
        <v>0.15986184126918834</v>
      </c>
      <c r="AI539" s="896">
        <f>IFERROR(AI491/AI$509,"-")</f>
        <v>0.16004778099506048</v>
      </c>
      <c r="AJ539" s="897">
        <f>IFERROR(AJ491/AJ$509,"-")</f>
        <v>0.16050522869271294</v>
      </c>
      <c r="AK539" s="548"/>
      <c r="AM539" s="877"/>
      <c r="AO539" s="63"/>
      <c r="AP539" s="63"/>
      <c r="AQ539" s="63"/>
      <c r="AR539" s="63"/>
      <c r="AS539" s="63"/>
      <c r="AT539" s="63"/>
      <c r="AU539" s="63"/>
      <c r="AV539" s="63"/>
      <c r="AW539" s="63"/>
      <c r="AX539" s="63"/>
      <c r="AY539" s="63"/>
      <c r="AZ539" s="63"/>
      <c r="BA539" s="63"/>
      <c r="BB539" s="63"/>
      <c r="BC539" s="63"/>
      <c r="BD539" s="63"/>
      <c r="BE539" s="63"/>
      <c r="BF539" s="63"/>
      <c r="BG539" s="63"/>
      <c r="BH539" s="63"/>
      <c r="BI539" s="63"/>
      <c r="BJ539" s="63"/>
      <c r="BK539" s="63"/>
      <c r="BL539" s="63"/>
      <c r="BM539" s="63"/>
      <c r="BN539" s="63"/>
      <c r="BO539" s="63"/>
      <c r="BP539" s="63"/>
      <c r="BQ539" s="63"/>
      <c r="BR539" s="63"/>
      <c r="BS539" s="63"/>
      <c r="BT539" s="63"/>
      <c r="BU539" s="63"/>
      <c r="BV539" s="63"/>
      <c r="BW539" s="63"/>
      <c r="BX539" s="63"/>
      <c r="BY539" s="63"/>
      <c r="BZ539" s="63"/>
      <c r="CA539" s="63"/>
      <c r="CB539" s="63"/>
      <c r="CC539" s="63"/>
      <c r="CD539" s="63"/>
      <c r="CE539" s="63"/>
      <c r="CF539" s="63"/>
      <c r="CG539" s="63"/>
      <c r="CH539" s="63"/>
      <c r="CI539" s="63"/>
      <c r="CJ539" s="63"/>
      <c r="CK539" s="63"/>
    </row>
    <row r="540" spans="8:89">
      <c r="H540" s="902"/>
      <c r="I540" s="866" t="str">
        <f>I492</f>
        <v>Price cap - Fixed</v>
      </c>
      <c r="J540" s="867"/>
      <c r="K540" s="624" t="str">
        <f t="shared" ref="K540:Q540" si="803">IFERROR(K492/K$491,"-")</f>
        <v>-</v>
      </c>
      <c r="L540" s="624" t="str">
        <f t="shared" si="803"/>
        <v>-</v>
      </c>
      <c r="M540" s="625" t="str">
        <f t="shared" si="803"/>
        <v>-</v>
      </c>
      <c r="N540" s="624" t="str">
        <f t="shared" si="803"/>
        <v>-</v>
      </c>
      <c r="O540" s="624" t="str">
        <f t="shared" si="803"/>
        <v>-</v>
      </c>
      <c r="P540" s="624" t="str">
        <f t="shared" si="803"/>
        <v>-</v>
      </c>
      <c r="Q540" s="624" t="str">
        <f t="shared" si="803"/>
        <v>-</v>
      </c>
      <c r="R540" s="899" t="str">
        <f>IFERROR(R492/R$491,"-")</f>
        <v>-</v>
      </c>
      <c r="S540" s="900" t="str">
        <f t="shared" ref="S540:AF540" si="804">IFERROR(S492/S$491,"-")</f>
        <v>-</v>
      </c>
      <c r="T540" s="900" t="str">
        <f t="shared" si="804"/>
        <v>-</v>
      </c>
      <c r="U540" s="900">
        <f t="shared" si="804"/>
        <v>1</v>
      </c>
      <c r="V540" s="900">
        <f t="shared" si="804"/>
        <v>1</v>
      </c>
      <c r="W540" s="899">
        <f t="shared" si="804"/>
        <v>1</v>
      </c>
      <c r="X540" s="900">
        <f t="shared" si="804"/>
        <v>1</v>
      </c>
      <c r="Y540" s="900">
        <f t="shared" si="804"/>
        <v>1</v>
      </c>
      <c r="Z540" s="900">
        <f t="shared" si="804"/>
        <v>1</v>
      </c>
      <c r="AA540" s="900">
        <f t="shared" si="804"/>
        <v>1</v>
      </c>
      <c r="AB540" s="899">
        <f t="shared" si="804"/>
        <v>1</v>
      </c>
      <c r="AC540" s="900">
        <f t="shared" si="804"/>
        <v>1</v>
      </c>
      <c r="AD540" s="900">
        <f t="shared" si="804"/>
        <v>1</v>
      </c>
      <c r="AE540" s="900">
        <f t="shared" si="804"/>
        <v>1</v>
      </c>
      <c r="AF540" s="900">
        <f t="shared" si="804"/>
        <v>1</v>
      </c>
      <c r="AG540" s="900">
        <f t="shared" ref="AG540:AJ543" si="805">IFERROR(AG492/AG$491,"-")</f>
        <v>1</v>
      </c>
      <c r="AH540" s="900">
        <f t="shared" si="805"/>
        <v>1</v>
      </c>
      <c r="AI540" s="900">
        <f t="shared" si="805"/>
        <v>1</v>
      </c>
      <c r="AJ540" s="901">
        <f t="shared" si="805"/>
        <v>1</v>
      </c>
      <c r="AK540" s="548"/>
    </row>
    <row r="541" spans="8:89">
      <c r="H541" s="902"/>
      <c r="I541" s="866" t="str">
        <f>I493</f>
        <v xml:space="preserve">Price cap - Variable </v>
      </c>
      <c r="J541" s="867"/>
      <c r="K541" s="624" t="str">
        <f t="shared" ref="K541:Q541" si="806">IFERROR(K493/K$491,"-")</f>
        <v>-</v>
      </c>
      <c r="L541" s="624" t="str">
        <f t="shared" si="806"/>
        <v>-</v>
      </c>
      <c r="M541" s="625" t="str">
        <f t="shared" si="806"/>
        <v>-</v>
      </c>
      <c r="N541" s="624" t="str">
        <f t="shared" si="806"/>
        <v>-</v>
      </c>
      <c r="O541" s="624" t="str">
        <f t="shared" si="806"/>
        <v>-</v>
      </c>
      <c r="P541" s="624" t="str">
        <f t="shared" si="806"/>
        <v>-</v>
      </c>
      <c r="Q541" s="624" t="str">
        <f t="shared" si="806"/>
        <v>-</v>
      </c>
      <c r="R541" s="899" t="str">
        <f>IFERROR(R493/R$491,"-")</f>
        <v>-</v>
      </c>
      <c r="S541" s="900" t="str">
        <f t="shared" ref="S541:AF541" si="807">IFERROR(S493/S$491,"-")</f>
        <v>-</v>
      </c>
      <c r="T541" s="900" t="str">
        <f t="shared" si="807"/>
        <v>-</v>
      </c>
      <c r="U541" s="900">
        <f t="shared" si="807"/>
        <v>0</v>
      </c>
      <c r="V541" s="900">
        <f t="shared" si="807"/>
        <v>0</v>
      </c>
      <c r="W541" s="899">
        <f t="shared" si="807"/>
        <v>0</v>
      </c>
      <c r="X541" s="900">
        <f t="shared" si="807"/>
        <v>0</v>
      </c>
      <c r="Y541" s="900">
        <f t="shared" si="807"/>
        <v>0</v>
      </c>
      <c r="Z541" s="900">
        <f t="shared" si="807"/>
        <v>0</v>
      </c>
      <c r="AA541" s="900">
        <f t="shared" si="807"/>
        <v>0</v>
      </c>
      <c r="AB541" s="899">
        <f t="shared" si="807"/>
        <v>0</v>
      </c>
      <c r="AC541" s="900">
        <f t="shared" si="807"/>
        <v>0</v>
      </c>
      <c r="AD541" s="900">
        <f t="shared" si="807"/>
        <v>0</v>
      </c>
      <c r="AE541" s="900">
        <f t="shared" si="807"/>
        <v>0</v>
      </c>
      <c r="AF541" s="900">
        <f t="shared" si="807"/>
        <v>0</v>
      </c>
      <c r="AG541" s="900">
        <f t="shared" si="805"/>
        <v>0</v>
      </c>
      <c r="AH541" s="900">
        <f t="shared" si="805"/>
        <v>0</v>
      </c>
      <c r="AI541" s="900">
        <f t="shared" si="805"/>
        <v>0</v>
      </c>
      <c r="AJ541" s="901">
        <f t="shared" si="805"/>
        <v>0</v>
      </c>
      <c r="AK541" s="548"/>
    </row>
    <row r="542" spans="8:89">
      <c r="H542" s="902"/>
      <c r="I542" s="866" t="str">
        <f>I494</f>
        <v xml:space="preserve">Revenue cap - Fixed </v>
      </c>
      <c r="J542" s="867"/>
      <c r="K542" s="624" t="str">
        <f t="shared" ref="K542:Q542" si="808">IFERROR(K494/K$491,"-")</f>
        <v>-</v>
      </c>
      <c r="L542" s="624" t="str">
        <f t="shared" si="808"/>
        <v>-</v>
      </c>
      <c r="M542" s="625" t="str">
        <f t="shared" si="808"/>
        <v>-</v>
      </c>
      <c r="N542" s="624" t="str">
        <f t="shared" si="808"/>
        <v>-</v>
      </c>
      <c r="O542" s="624" t="str">
        <f t="shared" si="808"/>
        <v>-</v>
      </c>
      <c r="P542" s="624" t="str">
        <f t="shared" si="808"/>
        <v>-</v>
      </c>
      <c r="Q542" s="624" t="str">
        <f t="shared" si="808"/>
        <v>-</v>
      </c>
      <c r="R542" s="899" t="str">
        <f>IFERROR(R494/R$491,"-")</f>
        <v>-</v>
      </c>
      <c r="S542" s="900" t="str">
        <f t="shared" ref="S542:AF542" si="809">IFERROR(S494/S$491,"-")</f>
        <v>-</v>
      </c>
      <c r="T542" s="900" t="str">
        <f t="shared" si="809"/>
        <v>-</v>
      </c>
      <c r="U542" s="900">
        <f t="shared" si="809"/>
        <v>0</v>
      </c>
      <c r="V542" s="900">
        <f t="shared" si="809"/>
        <v>0</v>
      </c>
      <c r="W542" s="899">
        <f t="shared" si="809"/>
        <v>0</v>
      </c>
      <c r="X542" s="900">
        <f t="shared" si="809"/>
        <v>0</v>
      </c>
      <c r="Y542" s="900">
        <f t="shared" si="809"/>
        <v>0</v>
      </c>
      <c r="Z542" s="900">
        <f t="shared" si="809"/>
        <v>0</v>
      </c>
      <c r="AA542" s="900">
        <f t="shared" si="809"/>
        <v>0</v>
      </c>
      <c r="AB542" s="899">
        <f t="shared" si="809"/>
        <v>0</v>
      </c>
      <c r="AC542" s="900">
        <f t="shared" si="809"/>
        <v>0</v>
      </c>
      <c r="AD542" s="900">
        <f t="shared" si="809"/>
        <v>0</v>
      </c>
      <c r="AE542" s="900">
        <f t="shared" si="809"/>
        <v>0</v>
      </c>
      <c r="AF542" s="900">
        <f t="shared" si="809"/>
        <v>0</v>
      </c>
      <c r="AG542" s="900">
        <f t="shared" si="805"/>
        <v>0</v>
      </c>
      <c r="AH542" s="900">
        <f t="shared" si="805"/>
        <v>0</v>
      </c>
      <c r="AI542" s="900">
        <f t="shared" si="805"/>
        <v>0</v>
      </c>
      <c r="AJ542" s="901">
        <f t="shared" si="805"/>
        <v>0</v>
      </c>
      <c r="AK542" s="548"/>
    </row>
    <row r="543" spans="8:89">
      <c r="H543" s="902"/>
      <c r="I543" s="866" t="str">
        <f>I495</f>
        <v>Revenue cap - Variable</v>
      </c>
      <c r="J543" s="867"/>
      <c r="K543" s="624" t="str">
        <f t="shared" ref="K543:Q543" si="810">IFERROR(K495/K$491,"-")</f>
        <v>-</v>
      </c>
      <c r="L543" s="624" t="str">
        <f t="shared" si="810"/>
        <v>-</v>
      </c>
      <c r="M543" s="625" t="str">
        <f t="shared" si="810"/>
        <v>-</v>
      </c>
      <c r="N543" s="624" t="str">
        <f t="shared" si="810"/>
        <v>-</v>
      </c>
      <c r="O543" s="624" t="str">
        <f t="shared" si="810"/>
        <v>-</v>
      </c>
      <c r="P543" s="624" t="str">
        <f t="shared" si="810"/>
        <v>-</v>
      </c>
      <c r="Q543" s="624" t="str">
        <f t="shared" si="810"/>
        <v>-</v>
      </c>
      <c r="R543" s="899" t="str">
        <f>IFERROR(R495/R$491,"-")</f>
        <v>-</v>
      </c>
      <c r="S543" s="900" t="str">
        <f t="shared" ref="S543:AF543" si="811">IFERROR(S495/S$491,"-")</f>
        <v>-</v>
      </c>
      <c r="T543" s="900" t="str">
        <f t="shared" si="811"/>
        <v>-</v>
      </c>
      <c r="U543" s="900">
        <f t="shared" si="811"/>
        <v>0</v>
      </c>
      <c r="V543" s="900">
        <f t="shared" si="811"/>
        <v>0</v>
      </c>
      <c r="W543" s="899">
        <f t="shared" si="811"/>
        <v>0</v>
      </c>
      <c r="X543" s="900">
        <f t="shared" si="811"/>
        <v>0</v>
      </c>
      <c r="Y543" s="900">
        <f t="shared" si="811"/>
        <v>0</v>
      </c>
      <c r="Z543" s="900">
        <f t="shared" si="811"/>
        <v>0</v>
      </c>
      <c r="AA543" s="900">
        <f t="shared" si="811"/>
        <v>0</v>
      </c>
      <c r="AB543" s="899">
        <f t="shared" si="811"/>
        <v>0</v>
      </c>
      <c r="AC543" s="900">
        <f t="shared" si="811"/>
        <v>0</v>
      </c>
      <c r="AD543" s="900">
        <f t="shared" si="811"/>
        <v>0</v>
      </c>
      <c r="AE543" s="900">
        <f t="shared" si="811"/>
        <v>0</v>
      </c>
      <c r="AF543" s="900">
        <f t="shared" si="811"/>
        <v>0</v>
      </c>
      <c r="AG543" s="900">
        <f t="shared" si="805"/>
        <v>0</v>
      </c>
      <c r="AH543" s="900">
        <f t="shared" si="805"/>
        <v>0</v>
      </c>
      <c r="AI543" s="900">
        <f t="shared" si="805"/>
        <v>0</v>
      </c>
      <c r="AJ543" s="901">
        <f t="shared" si="805"/>
        <v>0</v>
      </c>
      <c r="AK543" s="548"/>
    </row>
    <row r="544" spans="8:89" ht="4.5" customHeight="1">
      <c r="H544" s="898"/>
      <c r="I544" s="866"/>
      <c r="J544" s="867"/>
      <c r="K544" s="624"/>
      <c r="L544" s="624"/>
      <c r="M544" s="625"/>
      <c r="N544" s="624"/>
      <c r="O544" s="624"/>
      <c r="P544" s="624"/>
      <c r="Q544" s="624"/>
      <c r="R544" s="899"/>
      <c r="S544" s="900"/>
      <c r="T544" s="900"/>
      <c r="U544" s="900"/>
      <c r="V544" s="900"/>
      <c r="W544" s="899"/>
      <c r="X544" s="900"/>
      <c r="Y544" s="900"/>
      <c r="Z544" s="900"/>
      <c r="AA544" s="900"/>
      <c r="AB544" s="899"/>
      <c r="AC544" s="900"/>
      <c r="AD544" s="900"/>
      <c r="AE544" s="900"/>
      <c r="AF544" s="900"/>
      <c r="AG544" s="900"/>
      <c r="AH544" s="900"/>
      <c r="AI544" s="900"/>
      <c r="AJ544" s="901"/>
      <c r="AK544" s="548"/>
    </row>
    <row r="545" spans="8:89" s="76" customFormat="1">
      <c r="H545" s="886"/>
      <c r="I545" s="997" t="s">
        <v>924</v>
      </c>
      <c r="J545" s="998"/>
      <c r="K545" s="999" t="str">
        <f t="shared" ref="K545:Q545" si="812">IFERROR(K540+K542,"-")</f>
        <v>-</v>
      </c>
      <c r="L545" s="999" t="str">
        <f t="shared" si="812"/>
        <v>-</v>
      </c>
      <c r="M545" s="1000" t="str">
        <f t="shared" si="812"/>
        <v>-</v>
      </c>
      <c r="N545" s="999" t="str">
        <f t="shared" si="812"/>
        <v>-</v>
      </c>
      <c r="O545" s="999" t="str">
        <f t="shared" si="812"/>
        <v>-</v>
      </c>
      <c r="P545" s="999" t="str">
        <f t="shared" si="812"/>
        <v>-</v>
      </c>
      <c r="Q545" s="999" t="str">
        <f t="shared" si="812"/>
        <v>-</v>
      </c>
      <c r="R545" s="1001" t="str">
        <f>IFERROR(R540+R542,"-")</f>
        <v>-</v>
      </c>
      <c r="S545" s="1002" t="str">
        <f t="shared" ref="S545:AF545" si="813">IFERROR(S540+S542,"-")</f>
        <v>-</v>
      </c>
      <c r="T545" s="1002" t="str">
        <f t="shared" si="813"/>
        <v>-</v>
      </c>
      <c r="U545" s="1002">
        <f t="shared" si="813"/>
        <v>1</v>
      </c>
      <c r="V545" s="1002">
        <f t="shared" si="813"/>
        <v>1</v>
      </c>
      <c r="W545" s="1001">
        <f t="shared" si="813"/>
        <v>1</v>
      </c>
      <c r="X545" s="1002">
        <f t="shared" si="813"/>
        <v>1</v>
      </c>
      <c r="Y545" s="1002">
        <f t="shared" si="813"/>
        <v>1</v>
      </c>
      <c r="Z545" s="1002">
        <f t="shared" si="813"/>
        <v>1</v>
      </c>
      <c r="AA545" s="1002">
        <f t="shared" si="813"/>
        <v>1</v>
      </c>
      <c r="AB545" s="1001">
        <f t="shared" si="813"/>
        <v>1</v>
      </c>
      <c r="AC545" s="1002">
        <f t="shared" si="813"/>
        <v>1</v>
      </c>
      <c r="AD545" s="1002">
        <f t="shared" si="813"/>
        <v>1</v>
      </c>
      <c r="AE545" s="1002">
        <f t="shared" si="813"/>
        <v>1</v>
      </c>
      <c r="AF545" s="1002">
        <f t="shared" si="813"/>
        <v>1</v>
      </c>
      <c r="AG545" s="1002">
        <f t="shared" ref="AG545:AJ546" si="814">IFERROR(AG540+AG542,"-")</f>
        <v>1</v>
      </c>
      <c r="AH545" s="1002">
        <f t="shared" si="814"/>
        <v>1</v>
      </c>
      <c r="AI545" s="1002">
        <f t="shared" si="814"/>
        <v>1</v>
      </c>
      <c r="AJ545" s="1003">
        <f t="shared" si="814"/>
        <v>1</v>
      </c>
      <c r="AK545" s="548"/>
      <c r="AM545" s="910"/>
      <c r="AO545" s="63"/>
      <c r="AP545" s="63"/>
      <c r="AQ545" s="63"/>
      <c r="AR545" s="63"/>
      <c r="AS545" s="63"/>
      <c r="AT545" s="63"/>
      <c r="AU545" s="63"/>
      <c r="AV545" s="63"/>
      <c r="AW545" s="63"/>
      <c r="AX545" s="63"/>
      <c r="AY545" s="63"/>
      <c r="AZ545" s="63"/>
      <c r="BA545" s="63"/>
      <c r="BB545" s="63"/>
      <c r="BC545" s="63"/>
      <c r="BD545" s="63"/>
      <c r="BE545" s="63"/>
      <c r="BF545" s="63"/>
      <c r="BG545" s="63"/>
      <c r="BH545" s="63"/>
      <c r="BI545" s="63"/>
      <c r="BJ545" s="63"/>
      <c r="BK545" s="63"/>
      <c r="BL545" s="63"/>
      <c r="BM545" s="63"/>
      <c r="BN545" s="63"/>
      <c r="BO545" s="63"/>
      <c r="BP545" s="63"/>
      <c r="BQ545" s="63"/>
      <c r="BR545" s="63"/>
      <c r="BS545" s="63"/>
      <c r="BT545" s="63"/>
      <c r="BU545" s="63"/>
      <c r="BV545" s="63"/>
      <c r="BW545" s="63"/>
      <c r="BX545" s="63"/>
      <c r="BY545" s="63"/>
      <c r="BZ545" s="63"/>
      <c r="CA545" s="63"/>
      <c r="CB545" s="63"/>
      <c r="CC545" s="63"/>
      <c r="CD545" s="63"/>
      <c r="CE545" s="63"/>
      <c r="CF545" s="63"/>
      <c r="CG545" s="63"/>
      <c r="CH545" s="63"/>
      <c r="CI545" s="63"/>
      <c r="CJ545" s="63"/>
      <c r="CK545" s="63"/>
    </row>
    <row r="546" spans="8:89" s="76" customFormat="1">
      <c r="H546" s="886"/>
      <c r="I546" s="997" t="s">
        <v>925</v>
      </c>
      <c r="J546" s="998"/>
      <c r="K546" s="999" t="str">
        <f t="shared" ref="K546:Q546" si="815">IFERROR(K541+K543,"-")</f>
        <v>-</v>
      </c>
      <c r="L546" s="999" t="str">
        <f t="shared" si="815"/>
        <v>-</v>
      </c>
      <c r="M546" s="1000" t="str">
        <f t="shared" si="815"/>
        <v>-</v>
      </c>
      <c r="N546" s="999" t="str">
        <f t="shared" si="815"/>
        <v>-</v>
      </c>
      <c r="O546" s="999" t="str">
        <f t="shared" si="815"/>
        <v>-</v>
      </c>
      <c r="P546" s="999" t="str">
        <f t="shared" si="815"/>
        <v>-</v>
      </c>
      <c r="Q546" s="999" t="str">
        <f t="shared" si="815"/>
        <v>-</v>
      </c>
      <c r="R546" s="1001" t="str">
        <f>IFERROR(R541+R543,"-")</f>
        <v>-</v>
      </c>
      <c r="S546" s="1002" t="str">
        <f t="shared" ref="S546:AF546" si="816">IFERROR(S541+S543,"-")</f>
        <v>-</v>
      </c>
      <c r="T546" s="1002" t="str">
        <f t="shared" si="816"/>
        <v>-</v>
      </c>
      <c r="U546" s="1002">
        <f t="shared" si="816"/>
        <v>0</v>
      </c>
      <c r="V546" s="1002">
        <f t="shared" si="816"/>
        <v>0</v>
      </c>
      <c r="W546" s="1001">
        <f t="shared" si="816"/>
        <v>0</v>
      </c>
      <c r="X546" s="1002">
        <f t="shared" si="816"/>
        <v>0</v>
      </c>
      <c r="Y546" s="1002">
        <f t="shared" si="816"/>
        <v>0</v>
      </c>
      <c r="Z546" s="1002">
        <f t="shared" si="816"/>
        <v>0</v>
      </c>
      <c r="AA546" s="1002">
        <f t="shared" si="816"/>
        <v>0</v>
      </c>
      <c r="AB546" s="1001">
        <f t="shared" si="816"/>
        <v>0</v>
      </c>
      <c r="AC546" s="1002">
        <f t="shared" si="816"/>
        <v>0</v>
      </c>
      <c r="AD546" s="1002">
        <f t="shared" si="816"/>
        <v>0</v>
      </c>
      <c r="AE546" s="1002">
        <f t="shared" si="816"/>
        <v>0</v>
      </c>
      <c r="AF546" s="1002">
        <f t="shared" si="816"/>
        <v>0</v>
      </c>
      <c r="AG546" s="1002">
        <f t="shared" si="814"/>
        <v>0</v>
      </c>
      <c r="AH546" s="1002">
        <f t="shared" si="814"/>
        <v>0</v>
      </c>
      <c r="AI546" s="1002">
        <f t="shared" si="814"/>
        <v>0</v>
      </c>
      <c r="AJ546" s="1003">
        <f t="shared" si="814"/>
        <v>0</v>
      </c>
      <c r="AK546" s="548"/>
      <c r="AM546" s="910"/>
      <c r="AO546" s="63"/>
      <c r="AP546" s="63"/>
      <c r="AQ546" s="63"/>
      <c r="AR546" s="63"/>
      <c r="AS546" s="63"/>
      <c r="AT546" s="63"/>
      <c r="AU546" s="63"/>
      <c r="AV546" s="63"/>
      <c r="AW546" s="63"/>
      <c r="AX546" s="63"/>
      <c r="AY546" s="63"/>
      <c r="AZ546" s="63"/>
      <c r="BA546" s="63"/>
      <c r="BB546" s="63"/>
      <c r="BC546" s="63"/>
      <c r="BD546" s="63"/>
      <c r="BE546" s="63"/>
      <c r="BF546" s="63"/>
      <c r="BG546" s="63"/>
      <c r="BH546" s="63"/>
      <c r="BI546" s="63"/>
      <c r="BJ546" s="63"/>
      <c r="BK546" s="63"/>
      <c r="BL546" s="63"/>
      <c r="BM546" s="63"/>
      <c r="BN546" s="63"/>
      <c r="BO546" s="63"/>
      <c r="BP546" s="63"/>
      <c r="BQ546" s="63"/>
      <c r="BR546" s="63"/>
      <c r="BS546" s="63"/>
      <c r="BT546" s="63"/>
      <c r="BU546" s="63"/>
      <c r="BV546" s="63"/>
      <c r="BW546" s="63"/>
      <c r="BX546" s="63"/>
      <c r="BY546" s="63"/>
      <c r="BZ546" s="63"/>
      <c r="CA546" s="63"/>
      <c r="CB546" s="63"/>
      <c r="CC546" s="63"/>
      <c r="CD546" s="63"/>
      <c r="CE546" s="63"/>
      <c r="CF546" s="63"/>
      <c r="CG546" s="63"/>
      <c r="CH546" s="63"/>
      <c r="CI546" s="63"/>
      <c r="CJ546" s="63"/>
      <c r="CK546" s="63"/>
    </row>
    <row r="547" spans="8:89" s="868" customFormat="1">
      <c r="H547" s="886"/>
      <c r="I547" s="870"/>
      <c r="J547" s="871"/>
      <c r="K547" s="872"/>
      <c r="L547" s="872"/>
      <c r="M547" s="873"/>
      <c r="N547" s="872"/>
      <c r="O547" s="872"/>
      <c r="P547" s="872"/>
      <c r="Q547" s="872"/>
      <c r="R547" s="874"/>
      <c r="S547" s="875"/>
      <c r="T547" s="875"/>
      <c r="U547" s="875"/>
      <c r="V547" s="875"/>
      <c r="W547" s="874"/>
      <c r="X547" s="875"/>
      <c r="Y547" s="875"/>
      <c r="Z547" s="875"/>
      <c r="AA547" s="875"/>
      <c r="AB547" s="874"/>
      <c r="AC547" s="875"/>
      <c r="AD547" s="875"/>
      <c r="AE547" s="875"/>
      <c r="AF547" s="875"/>
      <c r="AG547" s="875"/>
      <c r="AH547" s="875"/>
      <c r="AI547" s="875"/>
      <c r="AJ547" s="876"/>
      <c r="AK547" s="548"/>
      <c r="AM547" s="881"/>
      <c r="AO547" s="63"/>
      <c r="AP547" s="63"/>
      <c r="AQ547" s="63"/>
      <c r="AR547" s="63"/>
      <c r="AS547" s="63"/>
      <c r="AT547" s="63"/>
      <c r="AU547" s="63"/>
      <c r="AV547" s="63"/>
      <c r="AW547" s="63"/>
      <c r="AX547" s="63"/>
      <c r="AY547" s="63"/>
      <c r="AZ547" s="63"/>
      <c r="BA547" s="63"/>
      <c r="BB547" s="63"/>
      <c r="BC547" s="63"/>
      <c r="BD547" s="63"/>
      <c r="BE547" s="63"/>
      <c r="BF547" s="63"/>
      <c r="BG547" s="63"/>
      <c r="BH547" s="63"/>
      <c r="BI547" s="63"/>
      <c r="BJ547" s="63"/>
      <c r="BK547" s="63"/>
      <c r="BL547" s="63"/>
      <c r="BM547" s="63"/>
      <c r="BN547" s="63"/>
      <c r="BO547" s="63"/>
      <c r="BP547" s="63"/>
      <c r="BQ547" s="63"/>
      <c r="BR547" s="63"/>
      <c r="BS547" s="63"/>
      <c r="BT547" s="63"/>
      <c r="BU547" s="63"/>
      <c r="BV547" s="63"/>
      <c r="BW547" s="63"/>
      <c r="BX547" s="63"/>
      <c r="BY547" s="63"/>
      <c r="BZ547" s="63"/>
      <c r="CA547" s="63"/>
      <c r="CB547" s="63"/>
      <c r="CC547" s="63"/>
      <c r="CD547" s="63"/>
      <c r="CE547" s="63"/>
      <c r="CF547" s="63"/>
      <c r="CG547" s="63"/>
      <c r="CH547" s="63"/>
      <c r="CI547" s="63"/>
      <c r="CJ547" s="63"/>
      <c r="CK547" s="63"/>
    </row>
    <row r="548" spans="8:89" s="89" customFormat="1">
      <c r="H548" s="894"/>
      <c r="I548" s="878" t="str">
        <f>I497</f>
        <v>Diversions</v>
      </c>
      <c r="J548" s="879"/>
      <c r="K548" s="863" t="str">
        <f t="shared" ref="K548:Q548" si="817">IFERROR(K497/K$509,"-")</f>
        <v>-</v>
      </c>
      <c r="L548" s="863" t="str">
        <f t="shared" si="817"/>
        <v>-</v>
      </c>
      <c r="M548" s="864" t="str">
        <f t="shared" si="817"/>
        <v>-</v>
      </c>
      <c r="N548" s="863" t="str">
        <f t="shared" si="817"/>
        <v>-</v>
      </c>
      <c r="O548" s="863" t="str">
        <f t="shared" si="817"/>
        <v>-</v>
      </c>
      <c r="P548" s="863" t="str">
        <f t="shared" si="817"/>
        <v>-</v>
      </c>
      <c r="Q548" s="863" t="str">
        <f t="shared" si="817"/>
        <v>-</v>
      </c>
      <c r="R548" s="895" t="str">
        <f>IFERROR(R497/R$509,"-")</f>
        <v>-</v>
      </c>
      <c r="S548" s="896" t="str">
        <f t="shared" ref="S548:AF548" si="818">IFERROR(S497/S$509,"-")</f>
        <v>-</v>
      </c>
      <c r="T548" s="896" t="str">
        <f t="shared" si="818"/>
        <v>-</v>
      </c>
      <c r="U548" s="896">
        <f t="shared" si="818"/>
        <v>0</v>
      </c>
      <c r="V548" s="896">
        <f t="shared" si="818"/>
        <v>0</v>
      </c>
      <c r="W548" s="895">
        <f t="shared" si="818"/>
        <v>0</v>
      </c>
      <c r="X548" s="896">
        <f t="shared" si="818"/>
        <v>0</v>
      </c>
      <c r="Y548" s="896">
        <f t="shared" si="818"/>
        <v>0</v>
      </c>
      <c r="Z548" s="896">
        <f t="shared" si="818"/>
        <v>0</v>
      </c>
      <c r="AA548" s="896">
        <f t="shared" si="818"/>
        <v>0</v>
      </c>
      <c r="AB548" s="895">
        <f t="shared" si="818"/>
        <v>0</v>
      </c>
      <c r="AC548" s="896">
        <f t="shared" si="818"/>
        <v>0</v>
      </c>
      <c r="AD548" s="896">
        <f t="shared" si="818"/>
        <v>0</v>
      </c>
      <c r="AE548" s="896">
        <f t="shared" si="818"/>
        <v>0</v>
      </c>
      <c r="AF548" s="896">
        <f t="shared" si="818"/>
        <v>0</v>
      </c>
      <c r="AG548" s="896">
        <f>IFERROR(AG497/AG$509,"-")</f>
        <v>0</v>
      </c>
      <c r="AH548" s="896">
        <f>IFERROR(AH497/AH$509,"-")</f>
        <v>0</v>
      </c>
      <c r="AI548" s="896">
        <f>IFERROR(AI497/AI$509,"-")</f>
        <v>0</v>
      </c>
      <c r="AJ548" s="897">
        <f>IFERROR(AJ497/AJ$509,"-")</f>
        <v>0</v>
      </c>
      <c r="AK548" s="548"/>
      <c r="AM548" s="877"/>
      <c r="AO548" s="63"/>
      <c r="AP548" s="63"/>
      <c r="AQ548" s="63"/>
      <c r="AR548" s="63"/>
      <c r="AS548" s="63"/>
      <c r="AT548" s="63"/>
      <c r="AU548" s="63"/>
      <c r="AV548" s="63"/>
      <c r="AW548" s="63"/>
      <c r="AX548" s="63"/>
      <c r="AY548" s="63"/>
      <c r="AZ548" s="63"/>
      <c r="BA548" s="63"/>
      <c r="BB548" s="63"/>
      <c r="BC548" s="63"/>
      <c r="BD548" s="63"/>
      <c r="BE548" s="63"/>
      <c r="BF548" s="63"/>
      <c r="BG548" s="63"/>
      <c r="BH548" s="63"/>
      <c r="BI548" s="63"/>
      <c r="BJ548" s="63"/>
      <c r="BK548" s="63"/>
      <c r="BL548" s="63"/>
      <c r="BM548" s="63"/>
      <c r="BN548" s="63"/>
      <c r="BO548" s="63"/>
      <c r="BP548" s="63"/>
      <c r="BQ548" s="63"/>
      <c r="BR548" s="63"/>
      <c r="BS548" s="63"/>
      <c r="BT548" s="63"/>
      <c r="BU548" s="63"/>
      <c r="BV548" s="63"/>
      <c r="BW548" s="63"/>
      <c r="BX548" s="63"/>
      <c r="BY548" s="63"/>
      <c r="BZ548" s="63"/>
      <c r="CA548" s="63"/>
      <c r="CB548" s="63"/>
      <c r="CC548" s="63"/>
      <c r="CD548" s="63"/>
      <c r="CE548" s="63"/>
      <c r="CF548" s="63"/>
      <c r="CG548" s="63"/>
      <c r="CH548" s="63"/>
      <c r="CI548" s="63"/>
      <c r="CJ548" s="63"/>
      <c r="CK548" s="63"/>
    </row>
    <row r="549" spans="8:89">
      <c r="H549" s="902"/>
      <c r="I549" s="866" t="str">
        <f>I498</f>
        <v>Price cap - Fixed</v>
      </c>
      <c r="J549" s="867"/>
      <c r="K549" s="624" t="str">
        <f t="shared" ref="K549:Q549" si="819">IFERROR(K498/K$497,"-")</f>
        <v>-</v>
      </c>
      <c r="L549" s="624" t="str">
        <f t="shared" si="819"/>
        <v>-</v>
      </c>
      <c r="M549" s="625" t="str">
        <f t="shared" si="819"/>
        <v>-</v>
      </c>
      <c r="N549" s="624" t="str">
        <f t="shared" si="819"/>
        <v>-</v>
      </c>
      <c r="O549" s="624" t="str">
        <f t="shared" si="819"/>
        <v>-</v>
      </c>
      <c r="P549" s="624" t="str">
        <f t="shared" si="819"/>
        <v>-</v>
      </c>
      <c r="Q549" s="624" t="str">
        <f t="shared" si="819"/>
        <v>-</v>
      </c>
      <c r="R549" s="899" t="str">
        <f>IFERROR(R498/R$497,"-")</f>
        <v>-</v>
      </c>
      <c r="S549" s="900" t="str">
        <f t="shared" ref="S549:AF549" si="820">IFERROR(S498/S$497,"-")</f>
        <v>-</v>
      </c>
      <c r="T549" s="900" t="str">
        <f t="shared" si="820"/>
        <v>-</v>
      </c>
      <c r="U549" s="900" t="str">
        <f t="shared" si="820"/>
        <v>-</v>
      </c>
      <c r="V549" s="900" t="str">
        <f t="shared" si="820"/>
        <v>-</v>
      </c>
      <c r="W549" s="899" t="str">
        <f t="shared" si="820"/>
        <v>-</v>
      </c>
      <c r="X549" s="900" t="str">
        <f t="shared" si="820"/>
        <v>-</v>
      </c>
      <c r="Y549" s="900" t="str">
        <f t="shared" si="820"/>
        <v>-</v>
      </c>
      <c r="Z549" s="900" t="str">
        <f t="shared" si="820"/>
        <v>-</v>
      </c>
      <c r="AA549" s="900" t="str">
        <f t="shared" si="820"/>
        <v>-</v>
      </c>
      <c r="AB549" s="899" t="str">
        <f t="shared" si="820"/>
        <v>-</v>
      </c>
      <c r="AC549" s="900" t="str">
        <f t="shared" si="820"/>
        <v>-</v>
      </c>
      <c r="AD549" s="900" t="str">
        <f t="shared" si="820"/>
        <v>-</v>
      </c>
      <c r="AE549" s="900" t="str">
        <f t="shared" si="820"/>
        <v>-</v>
      </c>
      <c r="AF549" s="900" t="str">
        <f t="shared" si="820"/>
        <v>-</v>
      </c>
      <c r="AG549" s="900" t="str">
        <f t="shared" ref="AG549:AJ552" si="821">IFERROR(AG498/AG$497,"-")</f>
        <v>-</v>
      </c>
      <c r="AH549" s="900" t="str">
        <f t="shared" si="821"/>
        <v>-</v>
      </c>
      <c r="AI549" s="900" t="str">
        <f t="shared" si="821"/>
        <v>-</v>
      </c>
      <c r="AJ549" s="901" t="str">
        <f t="shared" si="821"/>
        <v>-</v>
      </c>
      <c r="AK549" s="548"/>
    </row>
    <row r="550" spans="8:89">
      <c r="H550" s="902"/>
      <c r="I550" s="866" t="str">
        <f>I499</f>
        <v xml:space="preserve">Price cap - Variable </v>
      </c>
      <c r="J550" s="867"/>
      <c r="K550" s="624" t="str">
        <f t="shared" ref="K550:Q550" si="822">IFERROR(K499/K$497,"-")</f>
        <v>-</v>
      </c>
      <c r="L550" s="624" t="str">
        <f t="shared" si="822"/>
        <v>-</v>
      </c>
      <c r="M550" s="625" t="str">
        <f t="shared" si="822"/>
        <v>-</v>
      </c>
      <c r="N550" s="624" t="str">
        <f t="shared" si="822"/>
        <v>-</v>
      </c>
      <c r="O550" s="624" t="str">
        <f t="shared" si="822"/>
        <v>-</v>
      </c>
      <c r="P550" s="624" t="str">
        <f t="shared" si="822"/>
        <v>-</v>
      </c>
      <c r="Q550" s="624" t="str">
        <f t="shared" si="822"/>
        <v>-</v>
      </c>
      <c r="R550" s="899" t="str">
        <f>IFERROR(R499/R$497,"-")</f>
        <v>-</v>
      </c>
      <c r="S550" s="900" t="str">
        <f t="shared" ref="S550:AF550" si="823">IFERROR(S499/S$497,"-")</f>
        <v>-</v>
      </c>
      <c r="T550" s="900" t="str">
        <f t="shared" si="823"/>
        <v>-</v>
      </c>
      <c r="U550" s="900" t="str">
        <f t="shared" si="823"/>
        <v>-</v>
      </c>
      <c r="V550" s="900" t="str">
        <f t="shared" si="823"/>
        <v>-</v>
      </c>
      <c r="W550" s="899" t="str">
        <f t="shared" si="823"/>
        <v>-</v>
      </c>
      <c r="X550" s="900" t="str">
        <f t="shared" si="823"/>
        <v>-</v>
      </c>
      <c r="Y550" s="900" t="str">
        <f t="shared" si="823"/>
        <v>-</v>
      </c>
      <c r="Z550" s="900" t="str">
        <f t="shared" si="823"/>
        <v>-</v>
      </c>
      <c r="AA550" s="900" t="str">
        <f t="shared" si="823"/>
        <v>-</v>
      </c>
      <c r="AB550" s="899" t="str">
        <f t="shared" si="823"/>
        <v>-</v>
      </c>
      <c r="AC550" s="900" t="str">
        <f t="shared" si="823"/>
        <v>-</v>
      </c>
      <c r="AD550" s="900" t="str">
        <f t="shared" si="823"/>
        <v>-</v>
      </c>
      <c r="AE550" s="900" t="str">
        <f t="shared" si="823"/>
        <v>-</v>
      </c>
      <c r="AF550" s="900" t="str">
        <f t="shared" si="823"/>
        <v>-</v>
      </c>
      <c r="AG550" s="900" t="str">
        <f t="shared" si="821"/>
        <v>-</v>
      </c>
      <c r="AH550" s="900" t="str">
        <f t="shared" si="821"/>
        <v>-</v>
      </c>
      <c r="AI550" s="900" t="str">
        <f t="shared" si="821"/>
        <v>-</v>
      </c>
      <c r="AJ550" s="901" t="str">
        <f t="shared" si="821"/>
        <v>-</v>
      </c>
      <c r="AK550" s="548"/>
    </row>
    <row r="551" spans="8:89">
      <c r="H551" s="902"/>
      <c r="I551" s="866" t="str">
        <f>I500</f>
        <v xml:space="preserve">Revenue cap - Fixed </v>
      </c>
      <c r="J551" s="867"/>
      <c r="K551" s="624" t="str">
        <f t="shared" ref="K551:Q551" si="824">IFERROR(K500/K$497,"-")</f>
        <v>-</v>
      </c>
      <c r="L551" s="624" t="str">
        <f t="shared" si="824"/>
        <v>-</v>
      </c>
      <c r="M551" s="625" t="str">
        <f t="shared" si="824"/>
        <v>-</v>
      </c>
      <c r="N551" s="624" t="str">
        <f t="shared" si="824"/>
        <v>-</v>
      </c>
      <c r="O551" s="624" t="str">
        <f t="shared" si="824"/>
        <v>-</v>
      </c>
      <c r="P551" s="624" t="str">
        <f t="shared" si="824"/>
        <v>-</v>
      </c>
      <c r="Q551" s="624" t="str">
        <f t="shared" si="824"/>
        <v>-</v>
      </c>
      <c r="R551" s="899" t="str">
        <f>IFERROR(R500/R$497,"-")</f>
        <v>-</v>
      </c>
      <c r="S551" s="900" t="str">
        <f t="shared" ref="S551:AF551" si="825">IFERROR(S500/S$497,"-")</f>
        <v>-</v>
      </c>
      <c r="T551" s="900" t="str">
        <f t="shared" si="825"/>
        <v>-</v>
      </c>
      <c r="U551" s="900" t="str">
        <f t="shared" si="825"/>
        <v>-</v>
      </c>
      <c r="V551" s="900" t="str">
        <f t="shared" si="825"/>
        <v>-</v>
      </c>
      <c r="W551" s="899" t="str">
        <f t="shared" si="825"/>
        <v>-</v>
      </c>
      <c r="X551" s="900" t="str">
        <f t="shared" si="825"/>
        <v>-</v>
      </c>
      <c r="Y551" s="900" t="str">
        <f t="shared" si="825"/>
        <v>-</v>
      </c>
      <c r="Z551" s="900" t="str">
        <f t="shared" si="825"/>
        <v>-</v>
      </c>
      <c r="AA551" s="900" t="str">
        <f t="shared" si="825"/>
        <v>-</v>
      </c>
      <c r="AB551" s="899" t="str">
        <f t="shared" si="825"/>
        <v>-</v>
      </c>
      <c r="AC551" s="900" t="str">
        <f t="shared" si="825"/>
        <v>-</v>
      </c>
      <c r="AD551" s="900" t="str">
        <f t="shared" si="825"/>
        <v>-</v>
      </c>
      <c r="AE551" s="900" t="str">
        <f t="shared" si="825"/>
        <v>-</v>
      </c>
      <c r="AF551" s="900" t="str">
        <f t="shared" si="825"/>
        <v>-</v>
      </c>
      <c r="AG551" s="900" t="str">
        <f t="shared" si="821"/>
        <v>-</v>
      </c>
      <c r="AH551" s="900" t="str">
        <f t="shared" si="821"/>
        <v>-</v>
      </c>
      <c r="AI551" s="900" t="str">
        <f t="shared" si="821"/>
        <v>-</v>
      </c>
      <c r="AJ551" s="901" t="str">
        <f t="shared" si="821"/>
        <v>-</v>
      </c>
      <c r="AK551" s="548"/>
    </row>
    <row r="552" spans="8:89">
      <c r="H552" s="902"/>
      <c r="I552" s="866" t="str">
        <f>I501</f>
        <v>Revenue cap - Variable</v>
      </c>
      <c r="J552" s="867"/>
      <c r="K552" s="624" t="str">
        <f t="shared" ref="K552:Q552" si="826">IFERROR(K501/K$497,"-")</f>
        <v>-</v>
      </c>
      <c r="L552" s="624" t="str">
        <f t="shared" si="826"/>
        <v>-</v>
      </c>
      <c r="M552" s="625" t="str">
        <f t="shared" si="826"/>
        <v>-</v>
      </c>
      <c r="N552" s="624" t="str">
        <f t="shared" si="826"/>
        <v>-</v>
      </c>
      <c r="O552" s="624" t="str">
        <f t="shared" si="826"/>
        <v>-</v>
      </c>
      <c r="P552" s="624" t="str">
        <f t="shared" si="826"/>
        <v>-</v>
      </c>
      <c r="Q552" s="624" t="str">
        <f t="shared" si="826"/>
        <v>-</v>
      </c>
      <c r="R552" s="899" t="str">
        <f>IFERROR(R501/R$497,"-")</f>
        <v>-</v>
      </c>
      <c r="S552" s="900" t="str">
        <f t="shared" ref="S552:AF552" si="827">IFERROR(S501/S$497,"-")</f>
        <v>-</v>
      </c>
      <c r="T552" s="900" t="str">
        <f t="shared" si="827"/>
        <v>-</v>
      </c>
      <c r="U552" s="900" t="str">
        <f t="shared" si="827"/>
        <v>-</v>
      </c>
      <c r="V552" s="900" t="str">
        <f t="shared" si="827"/>
        <v>-</v>
      </c>
      <c r="W552" s="899" t="str">
        <f t="shared" si="827"/>
        <v>-</v>
      </c>
      <c r="X552" s="900" t="str">
        <f t="shared" si="827"/>
        <v>-</v>
      </c>
      <c r="Y552" s="900" t="str">
        <f t="shared" si="827"/>
        <v>-</v>
      </c>
      <c r="Z552" s="900" t="str">
        <f t="shared" si="827"/>
        <v>-</v>
      </c>
      <c r="AA552" s="900" t="str">
        <f t="shared" si="827"/>
        <v>-</v>
      </c>
      <c r="AB552" s="899" t="str">
        <f t="shared" si="827"/>
        <v>-</v>
      </c>
      <c r="AC552" s="900" t="str">
        <f t="shared" si="827"/>
        <v>-</v>
      </c>
      <c r="AD552" s="900" t="str">
        <f t="shared" si="827"/>
        <v>-</v>
      </c>
      <c r="AE552" s="900" t="str">
        <f t="shared" si="827"/>
        <v>-</v>
      </c>
      <c r="AF552" s="900" t="str">
        <f t="shared" si="827"/>
        <v>-</v>
      </c>
      <c r="AG552" s="900" t="str">
        <f t="shared" si="821"/>
        <v>-</v>
      </c>
      <c r="AH552" s="900" t="str">
        <f t="shared" si="821"/>
        <v>-</v>
      </c>
      <c r="AI552" s="900" t="str">
        <f t="shared" si="821"/>
        <v>-</v>
      </c>
      <c r="AJ552" s="901" t="str">
        <f t="shared" si="821"/>
        <v>-</v>
      </c>
      <c r="AK552" s="548"/>
    </row>
    <row r="553" spans="8:89" ht="4.5" customHeight="1">
      <c r="H553" s="898"/>
      <c r="I553" s="866"/>
      <c r="J553" s="867"/>
      <c r="K553" s="624"/>
      <c r="L553" s="624"/>
      <c r="M553" s="625"/>
      <c r="N553" s="624"/>
      <c r="O553" s="624"/>
      <c r="P553" s="624"/>
      <c r="Q553" s="624"/>
      <c r="R553" s="899"/>
      <c r="S553" s="900"/>
      <c r="T553" s="900"/>
      <c r="U553" s="900"/>
      <c r="V553" s="900"/>
      <c r="W553" s="899"/>
      <c r="X553" s="900"/>
      <c r="Y553" s="900"/>
      <c r="Z553" s="900"/>
      <c r="AA553" s="900"/>
      <c r="AB553" s="899"/>
      <c r="AC553" s="900"/>
      <c r="AD553" s="900"/>
      <c r="AE553" s="900"/>
      <c r="AF553" s="900"/>
      <c r="AG553" s="900"/>
      <c r="AH553" s="900"/>
      <c r="AI553" s="900"/>
      <c r="AJ553" s="901"/>
      <c r="AK553" s="548"/>
    </row>
    <row r="554" spans="8:89" s="76" customFormat="1">
      <c r="H554" s="886"/>
      <c r="I554" s="997" t="s">
        <v>924</v>
      </c>
      <c r="J554" s="998"/>
      <c r="K554" s="999" t="str">
        <f t="shared" ref="K554:Q554" si="828">IFERROR(K549+K551,"-")</f>
        <v>-</v>
      </c>
      <c r="L554" s="999" t="str">
        <f t="shared" si="828"/>
        <v>-</v>
      </c>
      <c r="M554" s="1000" t="str">
        <f t="shared" si="828"/>
        <v>-</v>
      </c>
      <c r="N554" s="999" t="str">
        <f t="shared" si="828"/>
        <v>-</v>
      </c>
      <c r="O554" s="999" t="str">
        <f t="shared" si="828"/>
        <v>-</v>
      </c>
      <c r="P554" s="999" t="str">
        <f t="shared" si="828"/>
        <v>-</v>
      </c>
      <c r="Q554" s="999" t="str">
        <f t="shared" si="828"/>
        <v>-</v>
      </c>
      <c r="R554" s="1001" t="str">
        <f>IFERROR(R549+R551,"-")</f>
        <v>-</v>
      </c>
      <c r="S554" s="1002" t="str">
        <f t="shared" ref="S554:AF554" si="829">IFERROR(S549+S551,"-")</f>
        <v>-</v>
      </c>
      <c r="T554" s="1002" t="str">
        <f t="shared" si="829"/>
        <v>-</v>
      </c>
      <c r="U554" s="1002" t="str">
        <f t="shared" si="829"/>
        <v>-</v>
      </c>
      <c r="V554" s="1002" t="str">
        <f t="shared" si="829"/>
        <v>-</v>
      </c>
      <c r="W554" s="1001" t="str">
        <f t="shared" si="829"/>
        <v>-</v>
      </c>
      <c r="X554" s="1002" t="str">
        <f t="shared" si="829"/>
        <v>-</v>
      </c>
      <c r="Y554" s="1002" t="str">
        <f t="shared" si="829"/>
        <v>-</v>
      </c>
      <c r="Z554" s="1002" t="str">
        <f t="shared" si="829"/>
        <v>-</v>
      </c>
      <c r="AA554" s="1002" t="str">
        <f t="shared" si="829"/>
        <v>-</v>
      </c>
      <c r="AB554" s="1001" t="str">
        <f t="shared" si="829"/>
        <v>-</v>
      </c>
      <c r="AC554" s="1002" t="str">
        <f t="shared" si="829"/>
        <v>-</v>
      </c>
      <c r="AD554" s="1002" t="str">
        <f t="shared" si="829"/>
        <v>-</v>
      </c>
      <c r="AE554" s="1002" t="str">
        <f t="shared" si="829"/>
        <v>-</v>
      </c>
      <c r="AF554" s="1002" t="str">
        <f t="shared" si="829"/>
        <v>-</v>
      </c>
      <c r="AG554" s="1002" t="str">
        <f t="shared" ref="AG554:AJ555" si="830">IFERROR(AG549+AG551,"-")</f>
        <v>-</v>
      </c>
      <c r="AH554" s="1002" t="str">
        <f t="shared" si="830"/>
        <v>-</v>
      </c>
      <c r="AI554" s="1002" t="str">
        <f t="shared" si="830"/>
        <v>-</v>
      </c>
      <c r="AJ554" s="1003" t="str">
        <f t="shared" si="830"/>
        <v>-</v>
      </c>
      <c r="AK554" s="548"/>
      <c r="AM554" s="910"/>
      <c r="AO554" s="63"/>
      <c r="AP554" s="63"/>
      <c r="AQ554" s="63"/>
      <c r="AR554" s="63"/>
      <c r="AS554" s="63"/>
      <c r="AT554" s="63"/>
      <c r="AU554" s="63"/>
      <c r="AV554" s="63"/>
      <c r="AW554" s="63"/>
      <c r="AX554" s="63"/>
      <c r="AY554" s="63"/>
      <c r="AZ554" s="63"/>
      <c r="BA554" s="63"/>
      <c r="BB554" s="63"/>
      <c r="BC554" s="63"/>
      <c r="BD554" s="63"/>
      <c r="BE554" s="63"/>
      <c r="BF554" s="63"/>
      <c r="BG554" s="63"/>
      <c r="BH554" s="63"/>
      <c r="BI554" s="63"/>
      <c r="BJ554" s="63"/>
      <c r="BK554" s="63"/>
      <c r="BL554" s="63"/>
      <c r="BM554" s="63"/>
      <c r="BN554" s="63"/>
      <c r="BO554" s="63"/>
      <c r="BP554" s="63"/>
      <c r="BQ554" s="63"/>
      <c r="BR554" s="63"/>
      <c r="BS554" s="63"/>
      <c r="BT554" s="63"/>
      <c r="BU554" s="63"/>
      <c r="BV554" s="63"/>
      <c r="BW554" s="63"/>
      <c r="BX554" s="63"/>
      <c r="BY554" s="63"/>
      <c r="BZ554" s="63"/>
      <c r="CA554" s="63"/>
      <c r="CB554" s="63"/>
      <c r="CC554" s="63"/>
      <c r="CD554" s="63"/>
      <c r="CE554" s="63"/>
      <c r="CF554" s="63"/>
      <c r="CG554" s="63"/>
      <c r="CH554" s="63"/>
      <c r="CI554" s="63"/>
      <c r="CJ554" s="63"/>
      <c r="CK554" s="63"/>
    </row>
    <row r="555" spans="8:89" s="76" customFormat="1">
      <c r="H555" s="886"/>
      <c r="I555" s="997" t="s">
        <v>925</v>
      </c>
      <c r="J555" s="998"/>
      <c r="K555" s="999" t="str">
        <f t="shared" ref="K555:Q555" si="831">IFERROR(K550+K552,"-")</f>
        <v>-</v>
      </c>
      <c r="L555" s="999" t="str">
        <f t="shared" si="831"/>
        <v>-</v>
      </c>
      <c r="M555" s="1000" t="str">
        <f t="shared" si="831"/>
        <v>-</v>
      </c>
      <c r="N555" s="999" t="str">
        <f t="shared" si="831"/>
        <v>-</v>
      </c>
      <c r="O555" s="999" t="str">
        <f t="shared" si="831"/>
        <v>-</v>
      </c>
      <c r="P555" s="999" t="str">
        <f t="shared" si="831"/>
        <v>-</v>
      </c>
      <c r="Q555" s="999" t="str">
        <f t="shared" si="831"/>
        <v>-</v>
      </c>
      <c r="R555" s="1001" t="str">
        <f>IFERROR(R550+R552,"-")</f>
        <v>-</v>
      </c>
      <c r="S555" s="1002" t="str">
        <f t="shared" ref="S555:AF555" si="832">IFERROR(S550+S552,"-")</f>
        <v>-</v>
      </c>
      <c r="T555" s="1002" t="str">
        <f t="shared" si="832"/>
        <v>-</v>
      </c>
      <c r="U555" s="1002" t="str">
        <f t="shared" si="832"/>
        <v>-</v>
      </c>
      <c r="V555" s="1002" t="str">
        <f t="shared" si="832"/>
        <v>-</v>
      </c>
      <c r="W555" s="1001" t="str">
        <f t="shared" si="832"/>
        <v>-</v>
      </c>
      <c r="X555" s="1002" t="str">
        <f t="shared" si="832"/>
        <v>-</v>
      </c>
      <c r="Y555" s="1002" t="str">
        <f t="shared" si="832"/>
        <v>-</v>
      </c>
      <c r="Z555" s="1002" t="str">
        <f t="shared" si="832"/>
        <v>-</v>
      </c>
      <c r="AA555" s="1002" t="str">
        <f t="shared" si="832"/>
        <v>-</v>
      </c>
      <c r="AB555" s="1001" t="str">
        <f t="shared" si="832"/>
        <v>-</v>
      </c>
      <c r="AC555" s="1002" t="str">
        <f t="shared" si="832"/>
        <v>-</v>
      </c>
      <c r="AD555" s="1002" t="str">
        <f t="shared" si="832"/>
        <v>-</v>
      </c>
      <c r="AE555" s="1002" t="str">
        <f t="shared" si="832"/>
        <v>-</v>
      </c>
      <c r="AF555" s="1002" t="str">
        <f t="shared" si="832"/>
        <v>-</v>
      </c>
      <c r="AG555" s="1002" t="str">
        <f t="shared" si="830"/>
        <v>-</v>
      </c>
      <c r="AH555" s="1002" t="str">
        <f t="shared" si="830"/>
        <v>-</v>
      </c>
      <c r="AI555" s="1002" t="str">
        <f t="shared" si="830"/>
        <v>-</v>
      </c>
      <c r="AJ555" s="1003" t="str">
        <f t="shared" si="830"/>
        <v>-</v>
      </c>
      <c r="AK555" s="548"/>
      <c r="AM555" s="910"/>
      <c r="AO555" s="63"/>
      <c r="AP555" s="63"/>
      <c r="AQ555" s="63"/>
      <c r="AR555" s="63"/>
      <c r="AS555" s="63"/>
      <c r="AT555" s="63"/>
      <c r="AU555" s="63"/>
      <c r="AV555" s="63"/>
      <c r="AW555" s="63"/>
      <c r="AX555" s="63"/>
      <c r="AY555" s="63"/>
      <c r="AZ555" s="63"/>
      <c r="BA555" s="63"/>
      <c r="BB555" s="63"/>
      <c r="BC555" s="63"/>
      <c r="BD555" s="63"/>
      <c r="BE555" s="63"/>
      <c r="BF555" s="63"/>
      <c r="BG555" s="63"/>
      <c r="BH555" s="63"/>
      <c r="BI555" s="63"/>
      <c r="BJ555" s="63"/>
      <c r="BK555" s="63"/>
      <c r="BL555" s="63"/>
      <c r="BM555" s="63"/>
      <c r="BN555" s="63"/>
      <c r="BO555" s="63"/>
      <c r="BP555" s="63"/>
      <c r="BQ555" s="63"/>
      <c r="BR555" s="63"/>
      <c r="BS555" s="63"/>
      <c r="BT555" s="63"/>
      <c r="BU555" s="63"/>
      <c r="BV555" s="63"/>
      <c r="BW555" s="63"/>
      <c r="BX555" s="63"/>
      <c r="BY555" s="63"/>
      <c r="BZ555" s="63"/>
      <c r="CA555" s="63"/>
      <c r="CB555" s="63"/>
      <c r="CC555" s="63"/>
      <c r="CD555" s="63"/>
      <c r="CE555" s="63"/>
      <c r="CF555" s="63"/>
      <c r="CG555" s="63"/>
      <c r="CH555" s="63"/>
      <c r="CI555" s="63"/>
      <c r="CJ555" s="63"/>
      <c r="CK555" s="63"/>
    </row>
    <row r="556" spans="8:89" s="868" customFormat="1">
      <c r="H556" s="886"/>
      <c r="I556" s="870"/>
      <c r="J556" s="871"/>
      <c r="K556" s="872"/>
      <c r="L556" s="872"/>
      <c r="M556" s="873"/>
      <c r="N556" s="872"/>
      <c r="O556" s="872"/>
      <c r="P556" s="872"/>
      <c r="Q556" s="872"/>
      <c r="R556" s="874"/>
      <c r="S556" s="875"/>
      <c r="T556" s="875"/>
      <c r="U556" s="875"/>
      <c r="V556" s="875"/>
      <c r="W556" s="874"/>
      <c r="X556" s="875"/>
      <c r="Y556" s="875"/>
      <c r="Z556" s="875"/>
      <c r="AA556" s="875"/>
      <c r="AB556" s="874"/>
      <c r="AC556" s="875"/>
      <c r="AD556" s="875"/>
      <c r="AE556" s="875"/>
      <c r="AF556" s="875"/>
      <c r="AG556" s="875"/>
      <c r="AH556" s="875"/>
      <c r="AI556" s="875"/>
      <c r="AJ556" s="876"/>
      <c r="AK556" s="548"/>
      <c r="AM556" s="881"/>
      <c r="AO556" s="63"/>
      <c r="AP556" s="63"/>
      <c r="AQ556" s="63"/>
      <c r="AR556" s="63"/>
      <c r="AS556" s="63"/>
      <c r="AT556" s="63"/>
      <c r="AU556" s="63"/>
      <c r="AV556" s="63"/>
      <c r="AW556" s="63"/>
      <c r="AX556" s="63"/>
      <c r="AY556" s="63"/>
      <c r="AZ556" s="63"/>
      <c r="BA556" s="63"/>
      <c r="BB556" s="63"/>
      <c r="BC556" s="63"/>
      <c r="BD556" s="63"/>
      <c r="BE556" s="63"/>
      <c r="BF556" s="63"/>
      <c r="BG556" s="63"/>
      <c r="BH556" s="63"/>
      <c r="BI556" s="63"/>
      <c r="BJ556" s="63"/>
      <c r="BK556" s="63"/>
      <c r="BL556" s="63"/>
      <c r="BM556" s="63"/>
      <c r="BN556" s="63"/>
      <c r="BO556" s="63"/>
      <c r="BP556" s="63"/>
      <c r="BQ556" s="63"/>
      <c r="BR556" s="63"/>
      <c r="BS556" s="63"/>
      <c r="BT556" s="63"/>
      <c r="BU556" s="63"/>
      <c r="BV556" s="63"/>
      <c r="BW556" s="63"/>
      <c r="BX556" s="63"/>
      <c r="BY556" s="63"/>
      <c r="BZ556" s="63"/>
      <c r="CA556" s="63"/>
      <c r="CB556" s="63"/>
      <c r="CC556" s="63"/>
      <c r="CD556" s="63"/>
      <c r="CE556" s="63"/>
      <c r="CF556" s="63"/>
      <c r="CG556" s="63"/>
      <c r="CH556" s="63"/>
      <c r="CI556" s="63"/>
      <c r="CJ556" s="63"/>
      <c r="CK556" s="63"/>
    </row>
    <row r="557" spans="8:89" s="89" customFormat="1">
      <c r="H557" s="894"/>
      <c r="I557" s="878" t="str">
        <f>I503</f>
        <v>Trade Waste</v>
      </c>
      <c r="J557" s="879"/>
      <c r="K557" s="863" t="str">
        <f t="shared" ref="K557:Q557" si="833">IFERROR(K503/K$509,"-")</f>
        <v>-</v>
      </c>
      <c r="L557" s="863" t="str">
        <f t="shared" si="833"/>
        <v>-</v>
      </c>
      <c r="M557" s="864" t="str">
        <f t="shared" si="833"/>
        <v>-</v>
      </c>
      <c r="N557" s="863" t="str">
        <f t="shared" si="833"/>
        <v>-</v>
      </c>
      <c r="O557" s="863" t="str">
        <f t="shared" si="833"/>
        <v>-</v>
      </c>
      <c r="P557" s="863" t="str">
        <f t="shared" si="833"/>
        <v>-</v>
      </c>
      <c r="Q557" s="863" t="str">
        <f t="shared" si="833"/>
        <v>-</v>
      </c>
      <c r="R557" s="895" t="str">
        <f>IFERROR(R503/R$509,"-")</f>
        <v>-</v>
      </c>
      <c r="S557" s="896" t="str">
        <f t="shared" ref="S557:AF557" si="834">IFERROR(S503/S$509,"-")</f>
        <v>-</v>
      </c>
      <c r="T557" s="896" t="str">
        <f t="shared" si="834"/>
        <v>-</v>
      </c>
      <c r="U557" s="896">
        <f t="shared" si="834"/>
        <v>0</v>
      </c>
      <c r="V557" s="896">
        <f t="shared" si="834"/>
        <v>0</v>
      </c>
      <c r="W557" s="895">
        <f t="shared" si="834"/>
        <v>0</v>
      </c>
      <c r="X557" s="896">
        <f t="shared" si="834"/>
        <v>0</v>
      </c>
      <c r="Y557" s="896">
        <f t="shared" si="834"/>
        <v>0</v>
      </c>
      <c r="Z557" s="896">
        <f t="shared" si="834"/>
        <v>0</v>
      </c>
      <c r="AA557" s="896">
        <f t="shared" si="834"/>
        <v>0</v>
      </c>
      <c r="AB557" s="895">
        <f t="shared" si="834"/>
        <v>0</v>
      </c>
      <c r="AC557" s="896">
        <f t="shared" si="834"/>
        <v>0</v>
      </c>
      <c r="AD557" s="896">
        <f t="shared" si="834"/>
        <v>0</v>
      </c>
      <c r="AE557" s="896">
        <f t="shared" si="834"/>
        <v>0</v>
      </c>
      <c r="AF557" s="896">
        <f t="shared" si="834"/>
        <v>0</v>
      </c>
      <c r="AG557" s="896">
        <f>IFERROR(AG503/AG$509,"-")</f>
        <v>0</v>
      </c>
      <c r="AH557" s="896">
        <f>IFERROR(AH503/AH$509,"-")</f>
        <v>0</v>
      </c>
      <c r="AI557" s="896">
        <f>IFERROR(AI503/AI$509,"-")</f>
        <v>0</v>
      </c>
      <c r="AJ557" s="897">
        <f>IFERROR(AJ503/AJ$509,"-")</f>
        <v>0</v>
      </c>
      <c r="AK557" s="548"/>
      <c r="AM557" s="877"/>
      <c r="AO557" s="63"/>
      <c r="AP557" s="63"/>
      <c r="AQ557" s="63"/>
      <c r="AR557" s="63"/>
      <c r="AS557" s="63"/>
      <c r="AT557" s="63"/>
      <c r="AU557" s="63"/>
      <c r="AV557" s="63"/>
      <c r="AW557" s="63"/>
      <c r="AX557" s="63"/>
      <c r="AY557" s="63"/>
      <c r="AZ557" s="63"/>
      <c r="BA557" s="63"/>
      <c r="BB557" s="63"/>
      <c r="BC557" s="63"/>
      <c r="BD557" s="63"/>
      <c r="BE557" s="63"/>
      <c r="BF557" s="63"/>
      <c r="BG557" s="63"/>
      <c r="BH557" s="63"/>
      <c r="BI557" s="63"/>
      <c r="BJ557" s="63"/>
      <c r="BK557" s="63"/>
      <c r="BL557" s="63"/>
      <c r="BM557" s="63"/>
      <c r="BN557" s="63"/>
      <c r="BO557" s="63"/>
      <c r="BP557" s="63"/>
      <c r="BQ557" s="63"/>
      <c r="BR557" s="63"/>
      <c r="BS557" s="63"/>
      <c r="BT557" s="63"/>
      <c r="BU557" s="63"/>
      <c r="BV557" s="63"/>
      <c r="BW557" s="63"/>
      <c r="BX557" s="63"/>
      <c r="BY557" s="63"/>
      <c r="BZ557" s="63"/>
      <c r="CA557" s="63"/>
      <c r="CB557" s="63"/>
      <c r="CC557" s="63"/>
      <c r="CD557" s="63"/>
      <c r="CE557" s="63"/>
      <c r="CF557" s="63"/>
      <c r="CG557" s="63"/>
      <c r="CH557" s="63"/>
      <c r="CI557" s="63"/>
      <c r="CJ557" s="63"/>
      <c r="CK557" s="63"/>
    </row>
    <row r="558" spans="8:89">
      <c r="H558" s="902"/>
      <c r="I558" s="866" t="str">
        <f>I504</f>
        <v>Price cap - Fixed</v>
      </c>
      <c r="J558" s="867"/>
      <c r="K558" s="624" t="str">
        <f t="shared" ref="K558:Q558" si="835">IFERROR(K504/K$503,"-")</f>
        <v>-</v>
      </c>
      <c r="L558" s="624" t="str">
        <f t="shared" si="835"/>
        <v>-</v>
      </c>
      <c r="M558" s="625" t="str">
        <f t="shared" si="835"/>
        <v>-</v>
      </c>
      <c r="N558" s="624" t="str">
        <f t="shared" si="835"/>
        <v>-</v>
      </c>
      <c r="O558" s="624" t="str">
        <f t="shared" si="835"/>
        <v>-</v>
      </c>
      <c r="P558" s="624" t="str">
        <f t="shared" si="835"/>
        <v>-</v>
      </c>
      <c r="Q558" s="624" t="str">
        <f t="shared" si="835"/>
        <v>-</v>
      </c>
      <c r="R558" s="899" t="str">
        <f>IFERROR(R504/R$503,"-")</f>
        <v>-</v>
      </c>
      <c r="S558" s="900" t="str">
        <f t="shared" ref="S558:AF558" si="836">IFERROR(S504/S$503,"-")</f>
        <v>-</v>
      </c>
      <c r="T558" s="900" t="str">
        <f t="shared" si="836"/>
        <v>-</v>
      </c>
      <c r="U558" s="900" t="str">
        <f t="shared" si="836"/>
        <v>-</v>
      </c>
      <c r="V558" s="900" t="str">
        <f t="shared" si="836"/>
        <v>-</v>
      </c>
      <c r="W558" s="899" t="str">
        <f t="shared" si="836"/>
        <v>-</v>
      </c>
      <c r="X558" s="900" t="str">
        <f t="shared" si="836"/>
        <v>-</v>
      </c>
      <c r="Y558" s="900" t="str">
        <f t="shared" si="836"/>
        <v>-</v>
      </c>
      <c r="Z558" s="900" t="str">
        <f t="shared" si="836"/>
        <v>-</v>
      </c>
      <c r="AA558" s="900" t="str">
        <f t="shared" si="836"/>
        <v>-</v>
      </c>
      <c r="AB558" s="899" t="str">
        <f t="shared" si="836"/>
        <v>-</v>
      </c>
      <c r="AC558" s="900" t="str">
        <f t="shared" si="836"/>
        <v>-</v>
      </c>
      <c r="AD558" s="900" t="str">
        <f t="shared" si="836"/>
        <v>-</v>
      </c>
      <c r="AE558" s="900" t="str">
        <f t="shared" si="836"/>
        <v>-</v>
      </c>
      <c r="AF558" s="900" t="str">
        <f t="shared" si="836"/>
        <v>-</v>
      </c>
      <c r="AG558" s="900" t="str">
        <f t="shared" ref="AG558:AJ561" si="837">IFERROR(AG504/AG$503,"-")</f>
        <v>-</v>
      </c>
      <c r="AH558" s="900" t="str">
        <f t="shared" si="837"/>
        <v>-</v>
      </c>
      <c r="AI558" s="900" t="str">
        <f t="shared" si="837"/>
        <v>-</v>
      </c>
      <c r="AJ558" s="901" t="str">
        <f t="shared" si="837"/>
        <v>-</v>
      </c>
      <c r="AK558" s="548"/>
    </row>
    <row r="559" spans="8:89">
      <c r="H559" s="902"/>
      <c r="I559" s="866" t="str">
        <f>I505</f>
        <v xml:space="preserve">Price cap - Variable </v>
      </c>
      <c r="J559" s="867"/>
      <c r="K559" s="624" t="str">
        <f t="shared" ref="K559:Q559" si="838">IFERROR(K505/K$503,"-")</f>
        <v>-</v>
      </c>
      <c r="L559" s="624" t="str">
        <f t="shared" si="838"/>
        <v>-</v>
      </c>
      <c r="M559" s="625" t="str">
        <f t="shared" si="838"/>
        <v>-</v>
      </c>
      <c r="N559" s="624" t="str">
        <f t="shared" si="838"/>
        <v>-</v>
      </c>
      <c r="O559" s="624" t="str">
        <f t="shared" si="838"/>
        <v>-</v>
      </c>
      <c r="P559" s="624" t="str">
        <f t="shared" si="838"/>
        <v>-</v>
      </c>
      <c r="Q559" s="624" t="str">
        <f t="shared" si="838"/>
        <v>-</v>
      </c>
      <c r="R559" s="899" t="str">
        <f>IFERROR(R505/R$503,"-")</f>
        <v>-</v>
      </c>
      <c r="S559" s="900" t="str">
        <f t="shared" ref="S559:AF559" si="839">IFERROR(S505/S$503,"-")</f>
        <v>-</v>
      </c>
      <c r="T559" s="900" t="str">
        <f t="shared" si="839"/>
        <v>-</v>
      </c>
      <c r="U559" s="900" t="str">
        <f t="shared" si="839"/>
        <v>-</v>
      </c>
      <c r="V559" s="900" t="str">
        <f t="shared" si="839"/>
        <v>-</v>
      </c>
      <c r="W559" s="899" t="str">
        <f t="shared" si="839"/>
        <v>-</v>
      </c>
      <c r="X559" s="900" t="str">
        <f t="shared" si="839"/>
        <v>-</v>
      </c>
      <c r="Y559" s="900" t="str">
        <f t="shared" si="839"/>
        <v>-</v>
      </c>
      <c r="Z559" s="900" t="str">
        <f t="shared" si="839"/>
        <v>-</v>
      </c>
      <c r="AA559" s="900" t="str">
        <f t="shared" si="839"/>
        <v>-</v>
      </c>
      <c r="AB559" s="899" t="str">
        <f t="shared" si="839"/>
        <v>-</v>
      </c>
      <c r="AC559" s="900" t="str">
        <f t="shared" si="839"/>
        <v>-</v>
      </c>
      <c r="AD559" s="900" t="str">
        <f t="shared" si="839"/>
        <v>-</v>
      </c>
      <c r="AE559" s="900" t="str">
        <f t="shared" si="839"/>
        <v>-</v>
      </c>
      <c r="AF559" s="900" t="str">
        <f t="shared" si="839"/>
        <v>-</v>
      </c>
      <c r="AG559" s="900" t="str">
        <f t="shared" si="837"/>
        <v>-</v>
      </c>
      <c r="AH559" s="900" t="str">
        <f t="shared" si="837"/>
        <v>-</v>
      </c>
      <c r="AI559" s="900" t="str">
        <f t="shared" si="837"/>
        <v>-</v>
      </c>
      <c r="AJ559" s="901" t="str">
        <f t="shared" si="837"/>
        <v>-</v>
      </c>
      <c r="AK559" s="548"/>
    </row>
    <row r="560" spans="8:89">
      <c r="H560" s="902"/>
      <c r="I560" s="866" t="str">
        <f>I506</f>
        <v xml:space="preserve">Revenue cap - Fixed </v>
      </c>
      <c r="J560" s="867"/>
      <c r="K560" s="624" t="str">
        <f t="shared" ref="K560:Q560" si="840">IFERROR(K506/K$503,"-")</f>
        <v>-</v>
      </c>
      <c r="L560" s="624" t="str">
        <f t="shared" si="840"/>
        <v>-</v>
      </c>
      <c r="M560" s="625" t="str">
        <f t="shared" si="840"/>
        <v>-</v>
      </c>
      <c r="N560" s="624" t="str">
        <f t="shared" si="840"/>
        <v>-</v>
      </c>
      <c r="O560" s="624" t="str">
        <f t="shared" si="840"/>
        <v>-</v>
      </c>
      <c r="P560" s="624" t="str">
        <f t="shared" si="840"/>
        <v>-</v>
      </c>
      <c r="Q560" s="624" t="str">
        <f t="shared" si="840"/>
        <v>-</v>
      </c>
      <c r="R560" s="899" t="str">
        <f>IFERROR(R506/R$503,"-")</f>
        <v>-</v>
      </c>
      <c r="S560" s="900" t="str">
        <f t="shared" ref="S560:AF560" si="841">IFERROR(S506/S$503,"-")</f>
        <v>-</v>
      </c>
      <c r="T560" s="900" t="str">
        <f t="shared" si="841"/>
        <v>-</v>
      </c>
      <c r="U560" s="900" t="str">
        <f t="shared" si="841"/>
        <v>-</v>
      </c>
      <c r="V560" s="900" t="str">
        <f t="shared" si="841"/>
        <v>-</v>
      </c>
      <c r="W560" s="899" t="str">
        <f t="shared" si="841"/>
        <v>-</v>
      </c>
      <c r="X560" s="900" t="str">
        <f t="shared" si="841"/>
        <v>-</v>
      </c>
      <c r="Y560" s="900" t="str">
        <f t="shared" si="841"/>
        <v>-</v>
      </c>
      <c r="Z560" s="900" t="str">
        <f t="shared" si="841"/>
        <v>-</v>
      </c>
      <c r="AA560" s="900" t="str">
        <f t="shared" si="841"/>
        <v>-</v>
      </c>
      <c r="AB560" s="899" t="str">
        <f t="shared" si="841"/>
        <v>-</v>
      </c>
      <c r="AC560" s="900" t="str">
        <f t="shared" si="841"/>
        <v>-</v>
      </c>
      <c r="AD560" s="900" t="str">
        <f t="shared" si="841"/>
        <v>-</v>
      </c>
      <c r="AE560" s="900" t="str">
        <f t="shared" si="841"/>
        <v>-</v>
      </c>
      <c r="AF560" s="900" t="str">
        <f t="shared" si="841"/>
        <v>-</v>
      </c>
      <c r="AG560" s="900" t="str">
        <f t="shared" si="837"/>
        <v>-</v>
      </c>
      <c r="AH560" s="900" t="str">
        <f t="shared" si="837"/>
        <v>-</v>
      </c>
      <c r="AI560" s="900" t="str">
        <f t="shared" si="837"/>
        <v>-</v>
      </c>
      <c r="AJ560" s="901" t="str">
        <f t="shared" si="837"/>
        <v>-</v>
      </c>
      <c r="AK560" s="548"/>
    </row>
    <row r="561" spans="8:89">
      <c r="H561" s="902"/>
      <c r="I561" s="866" t="str">
        <f>I507</f>
        <v>Revenue cap - Variable</v>
      </c>
      <c r="J561" s="867"/>
      <c r="K561" s="624" t="str">
        <f t="shared" ref="K561:Q561" si="842">IFERROR(K507/K$503,"-")</f>
        <v>-</v>
      </c>
      <c r="L561" s="624" t="str">
        <f t="shared" si="842"/>
        <v>-</v>
      </c>
      <c r="M561" s="625" t="str">
        <f t="shared" si="842"/>
        <v>-</v>
      </c>
      <c r="N561" s="624" t="str">
        <f t="shared" si="842"/>
        <v>-</v>
      </c>
      <c r="O561" s="624" t="str">
        <f t="shared" si="842"/>
        <v>-</v>
      </c>
      <c r="P561" s="624" t="str">
        <f t="shared" si="842"/>
        <v>-</v>
      </c>
      <c r="Q561" s="624" t="str">
        <f t="shared" si="842"/>
        <v>-</v>
      </c>
      <c r="R561" s="899" t="str">
        <f>IFERROR(R507/R$503,"-")</f>
        <v>-</v>
      </c>
      <c r="S561" s="900" t="str">
        <f t="shared" ref="S561:AF561" si="843">IFERROR(S507/S$503,"-")</f>
        <v>-</v>
      </c>
      <c r="T561" s="900" t="str">
        <f t="shared" si="843"/>
        <v>-</v>
      </c>
      <c r="U561" s="900" t="str">
        <f t="shared" si="843"/>
        <v>-</v>
      </c>
      <c r="V561" s="900" t="str">
        <f t="shared" si="843"/>
        <v>-</v>
      </c>
      <c r="W561" s="899" t="str">
        <f t="shared" si="843"/>
        <v>-</v>
      </c>
      <c r="X561" s="900" t="str">
        <f t="shared" si="843"/>
        <v>-</v>
      </c>
      <c r="Y561" s="900" t="str">
        <f t="shared" si="843"/>
        <v>-</v>
      </c>
      <c r="Z561" s="900" t="str">
        <f t="shared" si="843"/>
        <v>-</v>
      </c>
      <c r="AA561" s="900" t="str">
        <f t="shared" si="843"/>
        <v>-</v>
      </c>
      <c r="AB561" s="899" t="str">
        <f t="shared" si="843"/>
        <v>-</v>
      </c>
      <c r="AC561" s="900" t="str">
        <f t="shared" si="843"/>
        <v>-</v>
      </c>
      <c r="AD561" s="900" t="str">
        <f t="shared" si="843"/>
        <v>-</v>
      </c>
      <c r="AE561" s="900" t="str">
        <f t="shared" si="843"/>
        <v>-</v>
      </c>
      <c r="AF561" s="900" t="str">
        <f t="shared" si="843"/>
        <v>-</v>
      </c>
      <c r="AG561" s="900" t="str">
        <f t="shared" si="837"/>
        <v>-</v>
      </c>
      <c r="AH561" s="900" t="str">
        <f t="shared" si="837"/>
        <v>-</v>
      </c>
      <c r="AI561" s="900" t="str">
        <f t="shared" si="837"/>
        <v>-</v>
      </c>
      <c r="AJ561" s="901" t="str">
        <f t="shared" si="837"/>
        <v>-</v>
      </c>
      <c r="AK561" s="548"/>
    </row>
    <row r="562" spans="8:89" ht="4.5" customHeight="1">
      <c r="H562" s="898"/>
      <c r="I562" s="866"/>
      <c r="J562" s="867"/>
      <c r="K562" s="624"/>
      <c r="L562" s="624"/>
      <c r="M562" s="625"/>
      <c r="N562" s="624"/>
      <c r="O562" s="624"/>
      <c r="P562" s="624"/>
      <c r="Q562" s="624"/>
      <c r="R562" s="899"/>
      <c r="S562" s="900"/>
      <c r="T562" s="900"/>
      <c r="U562" s="900"/>
      <c r="V562" s="900"/>
      <c r="W562" s="899"/>
      <c r="X562" s="900"/>
      <c r="Y562" s="900"/>
      <c r="Z562" s="900"/>
      <c r="AA562" s="900"/>
      <c r="AB562" s="899"/>
      <c r="AC562" s="900"/>
      <c r="AD562" s="900"/>
      <c r="AE562" s="900"/>
      <c r="AF562" s="900"/>
      <c r="AG562" s="900"/>
      <c r="AH562" s="900"/>
      <c r="AI562" s="900"/>
      <c r="AJ562" s="901"/>
      <c r="AK562" s="548"/>
    </row>
    <row r="563" spans="8:89" s="76" customFormat="1">
      <c r="H563" s="886"/>
      <c r="I563" s="997" t="s">
        <v>924</v>
      </c>
      <c r="J563" s="998"/>
      <c r="K563" s="999" t="str">
        <f t="shared" ref="K563:Q563" si="844">IFERROR(K558+K560,"-")</f>
        <v>-</v>
      </c>
      <c r="L563" s="999" t="str">
        <f t="shared" si="844"/>
        <v>-</v>
      </c>
      <c r="M563" s="1000" t="str">
        <f t="shared" si="844"/>
        <v>-</v>
      </c>
      <c r="N563" s="999" t="str">
        <f t="shared" si="844"/>
        <v>-</v>
      </c>
      <c r="O563" s="999" t="str">
        <f t="shared" si="844"/>
        <v>-</v>
      </c>
      <c r="P563" s="999" t="str">
        <f t="shared" si="844"/>
        <v>-</v>
      </c>
      <c r="Q563" s="999" t="str">
        <f t="shared" si="844"/>
        <v>-</v>
      </c>
      <c r="R563" s="1001" t="str">
        <f>IFERROR(R558+R560,"-")</f>
        <v>-</v>
      </c>
      <c r="S563" s="1002" t="str">
        <f t="shared" ref="S563:AF563" si="845">IFERROR(S558+S560,"-")</f>
        <v>-</v>
      </c>
      <c r="T563" s="1002" t="str">
        <f t="shared" si="845"/>
        <v>-</v>
      </c>
      <c r="U563" s="1002" t="str">
        <f t="shared" si="845"/>
        <v>-</v>
      </c>
      <c r="V563" s="1002" t="str">
        <f t="shared" si="845"/>
        <v>-</v>
      </c>
      <c r="W563" s="1001" t="str">
        <f t="shared" si="845"/>
        <v>-</v>
      </c>
      <c r="X563" s="1002" t="str">
        <f t="shared" si="845"/>
        <v>-</v>
      </c>
      <c r="Y563" s="1002" t="str">
        <f t="shared" si="845"/>
        <v>-</v>
      </c>
      <c r="Z563" s="1002" t="str">
        <f t="shared" si="845"/>
        <v>-</v>
      </c>
      <c r="AA563" s="1002" t="str">
        <f t="shared" si="845"/>
        <v>-</v>
      </c>
      <c r="AB563" s="1001" t="str">
        <f t="shared" si="845"/>
        <v>-</v>
      </c>
      <c r="AC563" s="1002" t="str">
        <f t="shared" si="845"/>
        <v>-</v>
      </c>
      <c r="AD563" s="1002" t="str">
        <f t="shared" si="845"/>
        <v>-</v>
      </c>
      <c r="AE563" s="1002" t="str">
        <f t="shared" si="845"/>
        <v>-</v>
      </c>
      <c r="AF563" s="1002" t="str">
        <f t="shared" si="845"/>
        <v>-</v>
      </c>
      <c r="AG563" s="1002" t="str">
        <f t="shared" ref="AG563:AJ564" si="846">IFERROR(AG558+AG560,"-")</f>
        <v>-</v>
      </c>
      <c r="AH563" s="1002" t="str">
        <f t="shared" si="846"/>
        <v>-</v>
      </c>
      <c r="AI563" s="1002" t="str">
        <f t="shared" si="846"/>
        <v>-</v>
      </c>
      <c r="AJ563" s="1003" t="str">
        <f t="shared" si="846"/>
        <v>-</v>
      </c>
      <c r="AK563" s="548"/>
      <c r="AM563" s="910"/>
      <c r="AO563" s="63"/>
      <c r="AP563" s="63"/>
      <c r="AQ563" s="63"/>
      <c r="AR563" s="63"/>
      <c r="AS563" s="63"/>
      <c r="AT563" s="63"/>
      <c r="AU563" s="63"/>
      <c r="AV563" s="63"/>
      <c r="AW563" s="63"/>
      <c r="AX563" s="63"/>
      <c r="AY563" s="63"/>
      <c r="AZ563" s="63"/>
      <c r="BA563" s="63"/>
      <c r="BB563" s="63"/>
      <c r="BC563" s="63"/>
      <c r="BD563" s="63"/>
      <c r="BE563" s="63"/>
      <c r="BF563" s="63"/>
      <c r="BG563" s="63"/>
      <c r="BH563" s="63"/>
      <c r="BI563" s="63"/>
      <c r="BJ563" s="63"/>
      <c r="BK563" s="63"/>
      <c r="BL563" s="63"/>
      <c r="BM563" s="63"/>
      <c r="BN563" s="63"/>
      <c r="BO563" s="63"/>
      <c r="BP563" s="63"/>
      <c r="BQ563" s="63"/>
      <c r="BR563" s="63"/>
      <c r="BS563" s="63"/>
      <c r="BT563" s="63"/>
      <c r="BU563" s="63"/>
      <c r="BV563" s="63"/>
      <c r="BW563" s="63"/>
      <c r="BX563" s="63"/>
      <c r="BY563" s="63"/>
      <c r="BZ563" s="63"/>
      <c r="CA563" s="63"/>
      <c r="CB563" s="63"/>
      <c r="CC563" s="63"/>
      <c r="CD563" s="63"/>
      <c r="CE563" s="63"/>
      <c r="CF563" s="63"/>
      <c r="CG563" s="63"/>
      <c r="CH563" s="63"/>
      <c r="CI563" s="63"/>
      <c r="CJ563" s="63"/>
      <c r="CK563" s="63"/>
    </row>
    <row r="564" spans="8:89" s="76" customFormat="1">
      <c r="H564" s="886"/>
      <c r="I564" s="997" t="s">
        <v>925</v>
      </c>
      <c r="J564" s="998"/>
      <c r="K564" s="999" t="str">
        <f t="shared" ref="K564:Q564" si="847">IFERROR(K559+K561,"-")</f>
        <v>-</v>
      </c>
      <c r="L564" s="999" t="str">
        <f t="shared" si="847"/>
        <v>-</v>
      </c>
      <c r="M564" s="1000" t="str">
        <f t="shared" si="847"/>
        <v>-</v>
      </c>
      <c r="N564" s="999" t="str">
        <f t="shared" si="847"/>
        <v>-</v>
      </c>
      <c r="O564" s="999" t="str">
        <f t="shared" si="847"/>
        <v>-</v>
      </c>
      <c r="P564" s="999" t="str">
        <f t="shared" si="847"/>
        <v>-</v>
      </c>
      <c r="Q564" s="999" t="str">
        <f t="shared" si="847"/>
        <v>-</v>
      </c>
      <c r="R564" s="1001" t="str">
        <f>IFERROR(R559+R561,"-")</f>
        <v>-</v>
      </c>
      <c r="S564" s="1002" t="str">
        <f t="shared" ref="S564:AF564" si="848">IFERROR(S559+S561,"-")</f>
        <v>-</v>
      </c>
      <c r="T564" s="1002" t="str">
        <f t="shared" si="848"/>
        <v>-</v>
      </c>
      <c r="U564" s="1002" t="str">
        <f t="shared" si="848"/>
        <v>-</v>
      </c>
      <c r="V564" s="1002" t="str">
        <f t="shared" si="848"/>
        <v>-</v>
      </c>
      <c r="W564" s="1001" t="str">
        <f t="shared" si="848"/>
        <v>-</v>
      </c>
      <c r="X564" s="1002" t="str">
        <f t="shared" si="848"/>
        <v>-</v>
      </c>
      <c r="Y564" s="1002" t="str">
        <f t="shared" si="848"/>
        <v>-</v>
      </c>
      <c r="Z564" s="1002" t="str">
        <f t="shared" si="848"/>
        <v>-</v>
      </c>
      <c r="AA564" s="1002" t="str">
        <f t="shared" si="848"/>
        <v>-</v>
      </c>
      <c r="AB564" s="1001" t="str">
        <f t="shared" si="848"/>
        <v>-</v>
      </c>
      <c r="AC564" s="1002" t="str">
        <f t="shared" si="848"/>
        <v>-</v>
      </c>
      <c r="AD564" s="1002" t="str">
        <f t="shared" si="848"/>
        <v>-</v>
      </c>
      <c r="AE564" s="1002" t="str">
        <f t="shared" si="848"/>
        <v>-</v>
      </c>
      <c r="AF564" s="1002" t="str">
        <f t="shared" si="848"/>
        <v>-</v>
      </c>
      <c r="AG564" s="1002" t="str">
        <f t="shared" si="846"/>
        <v>-</v>
      </c>
      <c r="AH564" s="1002" t="str">
        <f t="shared" si="846"/>
        <v>-</v>
      </c>
      <c r="AI564" s="1002" t="str">
        <f t="shared" si="846"/>
        <v>-</v>
      </c>
      <c r="AJ564" s="1003" t="str">
        <f t="shared" si="846"/>
        <v>-</v>
      </c>
      <c r="AK564" s="548"/>
      <c r="AM564" s="910"/>
      <c r="AO564" s="63"/>
      <c r="AP564" s="63"/>
      <c r="AQ564" s="63"/>
      <c r="AR564" s="63"/>
      <c r="AS564" s="63"/>
      <c r="AT564" s="63"/>
      <c r="AU564" s="63"/>
      <c r="AV564" s="63"/>
      <c r="AW564" s="63"/>
      <c r="AX564" s="63"/>
      <c r="AY564" s="63"/>
      <c r="AZ564" s="63"/>
      <c r="BA564" s="63"/>
      <c r="BB564" s="63"/>
      <c r="BC564" s="63"/>
      <c r="BD564" s="63"/>
      <c r="BE564" s="63"/>
      <c r="BF564" s="63"/>
      <c r="BG564" s="63"/>
      <c r="BH564" s="63"/>
      <c r="BI564" s="63"/>
      <c r="BJ564" s="63"/>
      <c r="BK564" s="63"/>
      <c r="BL564" s="63"/>
      <c r="BM564" s="63"/>
      <c r="BN564" s="63"/>
      <c r="BO564" s="63"/>
      <c r="BP564" s="63"/>
      <c r="BQ564" s="63"/>
      <c r="BR564" s="63"/>
      <c r="BS564" s="63"/>
      <c r="BT564" s="63"/>
      <c r="BU564" s="63"/>
      <c r="BV564" s="63"/>
      <c r="BW564" s="63"/>
      <c r="BX564" s="63"/>
      <c r="BY564" s="63"/>
      <c r="BZ564" s="63"/>
      <c r="CA564" s="63"/>
      <c r="CB564" s="63"/>
      <c r="CC564" s="63"/>
      <c r="CD564" s="63"/>
      <c r="CE564" s="63"/>
      <c r="CF564" s="63"/>
      <c r="CG564" s="63"/>
      <c r="CH564" s="63"/>
      <c r="CI564" s="63"/>
      <c r="CJ564" s="63"/>
      <c r="CK564" s="63"/>
    </row>
    <row r="565" spans="8:89" s="868" customFormat="1" ht="12.75" thickBot="1">
      <c r="H565" s="886"/>
      <c r="I565" s="903"/>
      <c r="J565" s="904"/>
      <c r="K565" s="905"/>
      <c r="L565" s="905"/>
      <c r="M565" s="906"/>
      <c r="N565" s="905"/>
      <c r="O565" s="905"/>
      <c r="P565" s="905"/>
      <c r="Q565" s="905"/>
      <c r="R565" s="907"/>
      <c r="S565" s="908"/>
      <c r="T565" s="908"/>
      <c r="U565" s="908"/>
      <c r="V565" s="908"/>
      <c r="W565" s="907"/>
      <c r="X565" s="908"/>
      <c r="Y565" s="908"/>
      <c r="Z565" s="908"/>
      <c r="AA565" s="908"/>
      <c r="AB565" s="907"/>
      <c r="AC565" s="908"/>
      <c r="AD565" s="908"/>
      <c r="AE565" s="908"/>
      <c r="AF565" s="908"/>
      <c r="AG565" s="908"/>
      <c r="AH565" s="908"/>
      <c r="AI565" s="908"/>
      <c r="AJ565" s="909"/>
      <c r="AK565" s="548"/>
      <c r="AM565" s="881"/>
      <c r="AO565" s="63"/>
      <c r="AP565" s="63"/>
      <c r="AQ565" s="63"/>
      <c r="AR565" s="63"/>
      <c r="AS565" s="63"/>
      <c r="AT565" s="63"/>
      <c r="AU565" s="63"/>
      <c r="AV565" s="63"/>
      <c r="AW565" s="63"/>
      <c r="AX565" s="63"/>
      <c r="AY565" s="63"/>
      <c r="AZ565" s="63"/>
      <c r="BA565" s="63"/>
      <c r="BB565" s="63"/>
      <c r="BC565" s="63"/>
      <c r="BD565" s="63"/>
      <c r="BE565" s="63"/>
      <c r="BF565" s="63"/>
      <c r="BG565" s="63"/>
      <c r="BH565" s="63"/>
      <c r="BI565" s="63"/>
      <c r="BJ565" s="63"/>
      <c r="BK565" s="63"/>
      <c r="BL565" s="63"/>
      <c r="BM565" s="63"/>
      <c r="BN565" s="63"/>
      <c r="BO565" s="63"/>
      <c r="BP565" s="63"/>
      <c r="BQ565" s="63"/>
      <c r="BR565" s="63"/>
      <c r="BS565" s="63"/>
      <c r="BT565" s="63"/>
      <c r="BU565" s="63"/>
      <c r="BV565" s="63"/>
      <c r="BW565" s="63"/>
      <c r="BX565" s="63"/>
      <c r="BY565" s="63"/>
      <c r="BZ565" s="63"/>
      <c r="CA565" s="63"/>
      <c r="CB565" s="63"/>
      <c r="CC565" s="63"/>
      <c r="CD565" s="63"/>
      <c r="CE565" s="63"/>
      <c r="CF565" s="63"/>
      <c r="CG565" s="63"/>
      <c r="CH565" s="63"/>
      <c r="CI565" s="63"/>
      <c r="CJ565" s="63"/>
      <c r="CK565" s="63"/>
    </row>
    <row r="566" spans="8:89">
      <c r="AK566" s="548"/>
    </row>
  </sheetData>
  <mergeCells count="27">
    <mergeCell ref="BK67:BN67"/>
    <mergeCell ref="BO67:BY67"/>
    <mergeCell ref="CH67:CK67"/>
    <mergeCell ref="AW55:BA55"/>
    <mergeCell ref="CD67:CG67"/>
    <mergeCell ref="BB55:BF55"/>
    <mergeCell ref="BP66:BT66"/>
    <mergeCell ref="CD66:CK66"/>
    <mergeCell ref="BK54:BY54"/>
    <mergeCell ref="BU55:BY55"/>
    <mergeCell ref="BU66:BY66"/>
    <mergeCell ref="BK66:BO66"/>
    <mergeCell ref="BP55:BT55"/>
    <mergeCell ref="BK55:BO55"/>
    <mergeCell ref="AR67:AU67"/>
    <mergeCell ref="AV67:BF67"/>
    <mergeCell ref="I472:AJ472"/>
    <mergeCell ref="C3:G3"/>
    <mergeCell ref="S29:W29"/>
    <mergeCell ref="H34:I34"/>
    <mergeCell ref="AR66:AV66"/>
    <mergeCell ref="AG34:AI34"/>
    <mergeCell ref="AB34:AD34"/>
    <mergeCell ref="AR55:AV55"/>
    <mergeCell ref="AR54:BF54"/>
    <mergeCell ref="BB66:BF66"/>
    <mergeCell ref="AW66:BA66"/>
  </mergeCells>
  <phoneticPr fontId="0" type="noConversion"/>
  <conditionalFormatting sqref="H34:I34 AB34">
    <cfRule type="expression" dxfId="47" priority="39" stopIfTrue="1">
      <formula>H34="PRICE CONTROL OK"</formula>
    </cfRule>
    <cfRule type="expression" dxfId="46" priority="40" stopIfTrue="1">
      <formula>H34="BREACH"</formula>
    </cfRule>
    <cfRule type="expression" dxfId="45" priority="41" stopIfTrue="1">
      <formula>H34="INSUFFICIENT"</formula>
    </cfRule>
  </conditionalFormatting>
  <conditionalFormatting sqref="L34 N34">
    <cfRule type="cellIs" dxfId="44" priority="42" stopIfTrue="1" operator="equal">
      <formula>"pass"</formula>
    </cfRule>
    <cfRule type="cellIs" dxfId="43" priority="43" stopIfTrue="1" operator="equal">
      <formula>"fail"</formula>
    </cfRule>
  </conditionalFormatting>
  <conditionalFormatting sqref="AG34">
    <cfRule type="expression" dxfId="42" priority="36" stopIfTrue="1">
      <formula>AG34="PRICE CONTROL OK"</formula>
    </cfRule>
    <cfRule type="expression" dxfId="41" priority="37" stopIfTrue="1">
      <formula>AG34="BREACH"</formula>
    </cfRule>
    <cfRule type="expression" dxfId="40" priority="38" stopIfTrue="1">
      <formula>AG34="INSUFFICIENT"</formula>
    </cfRule>
  </conditionalFormatting>
  <conditionalFormatting sqref="S66:W66">
    <cfRule type="containsText" dxfId="39" priority="34" stopIfTrue="1" operator="containsText" text="CHECK">
      <formula>NOT(ISERROR(SEARCH("CHECK",S66)))</formula>
    </cfRule>
  </conditionalFormatting>
  <conditionalFormatting sqref="AA62:AJ62">
    <cfRule type="containsText" dxfId="38" priority="12" stopIfTrue="1" operator="containsText" text="CHECK">
      <formula>NOT(ISERROR(SEARCH("CHECK",AA62)))</formula>
    </cfRule>
  </conditionalFormatting>
  <conditionalFormatting sqref="BJ34">
    <cfRule type="expression" dxfId="37" priority="6" stopIfTrue="1">
      <formula>BJ34="PRICE CONTROL OK"</formula>
    </cfRule>
    <cfRule type="expression" dxfId="36" priority="7" stopIfTrue="1">
      <formula>BJ34="BREACH"</formula>
    </cfRule>
    <cfRule type="expression" dxfId="35" priority="8" stopIfTrue="1">
      <formula>BJ34="INSUFFICIENT"</formula>
    </cfRule>
  </conditionalFormatting>
  <conditionalFormatting sqref="AQ34">
    <cfRule type="expression" dxfId="34" priority="9" stopIfTrue="1">
      <formula>AQ34="PRICE CONTROL OK"</formula>
    </cfRule>
    <cfRule type="expression" dxfId="33" priority="10" stopIfTrue="1">
      <formula>AQ34="BREACH"</formula>
    </cfRule>
    <cfRule type="expression" dxfId="32" priority="11" stopIfTrue="1">
      <formula>AQ34="INSUFFICIENT"</formula>
    </cfRule>
  </conditionalFormatting>
  <conditionalFormatting sqref="CC34">
    <cfRule type="expression" dxfId="31" priority="3" stopIfTrue="1">
      <formula>CC34="PRICE CONTROL OK"</formula>
    </cfRule>
    <cfRule type="expression" dxfId="30" priority="4" stopIfTrue="1">
      <formula>CC34="BREACH"</formula>
    </cfRule>
    <cfRule type="expression" dxfId="29" priority="5" stopIfTrue="1">
      <formula>CC34="INSUFFICIENT"</formula>
    </cfRule>
  </conditionalFormatting>
  <conditionalFormatting sqref="U458:AJ458">
    <cfRule type="containsText" dxfId="28" priority="2" operator="containsText" text="FALSE">
      <formula>NOT(ISERROR(SEARCH("FALSE",U458)))</formula>
    </cfRule>
  </conditionalFormatting>
  <conditionalFormatting sqref="U458:AJ458">
    <cfRule type="cellIs" dxfId="27" priority="1" operator="equal">
      <formula>0</formula>
    </cfRule>
  </conditionalFormatting>
  <dataValidations count="3">
    <dataValidation type="list" allowBlank="1" showInputMessage="1" showErrorMessage="1" sqref="J70 J79 J82 J73 J76 J85 J100 J115 J130 J145 J160 J175 J190 J205 J220 J235 J250 J265 J280 J295 J310 J325 J340 J355 J370 J385 J400 J415 J430 J94 J109 J124 J139 J154 J169 J184 J199 J214 J229 J244 J259 J274 J289 J304 J319 J334 J349 J364 J379 J394 J409 J424 J439 J97 J112 J127 J142 J157 J172 J187 J202 J217 J232 J247 J262 J277 J292 J307 J322 J337 J352 J367 J382 J397 J412 J427 J442 J88 J103 J118 J133 J148 J163 J178 J193 J208 J223 J238 J253 J268 J283 J298 J313 J328 J343 J358 J373 J388 J403 J418 J433 J91 J106 J121 J136 J151 J166 J181 J196 J211 J226 J241 J256 J271 J286 J301 J316 J331 J346 J361 J376 J391 J406 J421 J436" xr:uid="{00000000-0002-0000-0C00-000000000000}">
      <formula1>Pricing_Unit</formula1>
    </dataValidation>
    <dataValidation type="list" allowBlank="1" showInputMessage="1" showErrorMessage="1" sqref="I72 I441 I75 I78 I81 I84 I438 I87 I90 I93 I96 I99 I102 I105 I108 I111 I114 I117 I120 I123 I126 I129 I132 I135 I138 I141 I144 I147 I150 I153 I156 I159 I162 I165 I168 I171 I174 I177 I180 I183 I186 I189 I192 I195 I198 I201 I204 I207 I210 I213 I216 I219 I222 I225 I228 I231 I234 I237 I240 I243 I246 I249 I252 I69 I258 I261 I264 I267 I270 I273 I276 I279 I282 I285 I288 I291 I294 I297 I300 I303 I306 I309 I312 I315 I318 I321 I324 I327 I330 I333 I336 I339 I342 I345 I348 I351 I354 I357 I360 I363 I366 I369 I372 I375 I378 I381 I384 I387 I390 I393 I396 I399 I402 I405 I408 I411 I414 I417 I420 I423 I426 I429 I432 I435 I255" xr:uid="{00000000-0002-0000-0C00-000001000000}">
      <formula1>Hybrid_Price</formula1>
    </dataValidation>
    <dataValidation type="list" allowBlank="1" showInputMessage="1" showErrorMessage="1" sqref="F69 F72 F75 F78 F81 F84 F87 F90 F93 F96 F99 F102 F105 F108 F111 F114 F117 F120 F123 F126 F129 F132 F135 F138 F141 F144 F147 F150 F153 F156 F159 F162 F165 F168 F171 F174 F177 F180 F183 F186 F189 F192 F195 F198 F201 F204 F207 F210 F213 F216 F219 F222 F225 F228 F231 F234 F237 F240 F243 F246 F249 F252 F441 F258 F261 F264 F267 F270 F273 F276 F279 F282 F285 F288 F291 F294 F297 F300 F303 F306 F309 F312 F315 F318 F321 F324 F327 F330 F333 F336 F339 F342 F345 F348 F351 F354 F357 F360 F363 F366 F369 F372 F375 F378 F381 F384 F387 F390 F393 F396 F399 F402 F405 F408 F411 F414 F417 F420 F423 F426 F429 F432 F435 F438 F255" xr:uid="{00000000-0002-0000-0C00-000002000000}">
      <formula1>Price_Asset_Class</formula1>
    </dataValidation>
  </dataValidations>
  <hyperlinks>
    <hyperlink ref="C3" location="HL_Home" tooltip="Go to Table of Contents" display="HL_Home" xr:uid="{00000000-0004-0000-0C00-000000000000}"/>
  </hyperlinks>
  <pageMargins left="0.39370078740157499" right="0.39370078740157499" top="0.59055118110236249" bottom="0.98425196850393748" header="0" footer="0.31496062992125973"/>
  <pageSetup paperSize="9" scale="68" orientation="landscape" r:id="rId1"/>
  <headerFooter alignWithMargins="0">
    <oddHeader>&amp;C&amp;"Calibri"&amp;14&amp;KFF0000 OFFICIAL&amp;1#_x000D_&amp;"Arial"&amp;8&amp;K000000&amp;"Arial"&amp;8&amp;K000000&amp;B&amp;"Arial"&amp;12&amp;Kff0000​‌OFFICIAL‌​</oddHeader>
    <oddFooter>&amp;C&amp;"Arial,Bold"&amp;8Sheet l.
Page &amp;P of &amp;N&amp;L&amp;"Arial,Bold"&amp;7&amp;F
&amp;A
Printed: &amp;T on &amp;D</oddFooter>
  </headerFooter>
  <ignoredErrors>
    <ignoredError sqref="R57:AE57 AF57:AJ57"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5">
    <pageSetUpPr autoPageBreaks="0"/>
  </sheetPr>
  <dimension ref="A1:AK325"/>
  <sheetViews>
    <sheetView showGridLines="0" zoomScaleNormal="70" workbookViewId="0">
      <pane ySplit="7" topLeftCell="A30" activePane="bottomLeft" state="frozen"/>
      <selection activeCell="AN32" sqref="AN32"/>
      <selection pane="bottomLeft" activeCell="H26" sqref="H26"/>
    </sheetView>
  </sheetViews>
  <sheetFormatPr defaultColWidth="10.83203125" defaultRowHeight="12" outlineLevelCol="1"/>
  <cols>
    <col min="1" max="5" width="3.83203125" style="63" customWidth="1"/>
    <col min="6" max="8" width="10.83203125" style="63" customWidth="1"/>
    <col min="9" max="9" width="14.83203125" style="63" customWidth="1"/>
    <col min="10" max="10" width="6.5" style="63" hidden="1" customWidth="1" outlineLevel="1"/>
    <col min="11" max="20" width="10.83203125" style="63" hidden="1" customWidth="1" outlineLevel="1"/>
    <col min="21" max="21" width="10.83203125" style="63" customWidth="1" collapsed="1"/>
    <col min="22" max="36" width="10.83203125" style="63" customWidth="1"/>
    <col min="37" max="37" width="5.6640625" style="63" customWidth="1"/>
    <col min="38" max="16384" width="10.83203125" style="63"/>
  </cols>
  <sheetData>
    <row r="1" spans="1:37" ht="15">
      <c r="A1" s="139">
        <v>80</v>
      </c>
      <c r="B1" s="140" t="s">
        <v>946</v>
      </c>
      <c r="K1" s="67"/>
      <c r="L1" s="67"/>
      <c r="M1" s="67"/>
      <c r="N1" s="67"/>
      <c r="O1" s="87"/>
      <c r="P1" s="270"/>
      <c r="Q1" s="270"/>
      <c r="Y1" s="196"/>
      <c r="Z1" s="196"/>
    </row>
    <row r="2" spans="1:37" ht="12.75">
      <c r="B2" s="142" t="str">
        <f>+Contents!H7</f>
        <v>Melbourne Water</v>
      </c>
      <c r="K2" s="67"/>
      <c r="L2" s="67"/>
      <c r="M2" s="67"/>
      <c r="N2" s="67"/>
      <c r="O2" s="270"/>
      <c r="P2" s="270"/>
      <c r="Q2" s="270"/>
    </row>
    <row r="3" spans="1:37">
      <c r="B3" s="2075" t="s">
        <v>138</v>
      </c>
      <c r="C3" s="2075"/>
      <c r="D3" s="2075"/>
      <c r="E3" s="2075"/>
      <c r="F3" s="2075"/>
      <c r="G3" s="64"/>
      <c r="K3" s="67"/>
      <c r="L3" s="67"/>
      <c r="M3" s="67"/>
      <c r="N3" s="67"/>
      <c r="O3" s="67"/>
      <c r="P3" s="67"/>
      <c r="Q3" s="67"/>
    </row>
    <row r="4" spans="1:37">
      <c r="A4" s="147"/>
      <c r="B4" s="65"/>
      <c r="C4" s="66"/>
      <c r="F4" s="57"/>
      <c r="K4" s="1208"/>
      <c r="L4" s="1209"/>
      <c r="M4" s="1210"/>
      <c r="N4" s="1208"/>
      <c r="O4" s="1211"/>
      <c r="P4" s="1209"/>
      <c r="Q4" s="1211"/>
      <c r="R4" s="1210"/>
      <c r="S4" s="1208"/>
      <c r="T4" s="1209"/>
      <c r="U4" s="1211"/>
      <c r="V4" s="1208"/>
      <c r="W4" s="1211"/>
      <c r="X4" s="1209" t="s">
        <v>139</v>
      </c>
      <c r="Y4" s="1211"/>
      <c r="Z4" s="1210"/>
      <c r="AA4" s="1287"/>
      <c r="AB4" s="721"/>
      <c r="AC4" s="1209" t="s">
        <v>140</v>
      </c>
      <c r="AD4" s="721"/>
      <c r="AE4" s="1207"/>
      <c r="AF4" s="1287"/>
      <c r="AG4" s="721"/>
      <c r="AH4" s="1209" t="s">
        <v>141</v>
      </c>
      <c r="AI4" s="721"/>
      <c r="AJ4" s="1207"/>
    </row>
    <row r="6" spans="1:37">
      <c r="B6" s="148"/>
      <c r="F6" s="149" t="s">
        <v>142</v>
      </c>
      <c r="K6" s="59"/>
      <c r="L6" s="59"/>
      <c r="M6" s="59"/>
      <c r="N6" s="59"/>
      <c r="O6" s="59"/>
      <c r="P6" s="59"/>
      <c r="Q6" s="59"/>
      <c r="R6" s="59"/>
      <c r="S6" s="59"/>
      <c r="T6" s="59"/>
      <c r="U6" s="59">
        <v>2021</v>
      </c>
      <c r="V6" s="59">
        <v>2022</v>
      </c>
      <c r="W6" s="59">
        <v>2023</v>
      </c>
      <c r="X6" s="60">
        <v>2024</v>
      </c>
      <c r="Y6" s="60">
        <v>2025</v>
      </c>
      <c r="Z6" s="60">
        <v>2026</v>
      </c>
      <c r="AA6" s="60">
        <v>2027</v>
      </c>
      <c r="AB6" s="60">
        <v>2028</v>
      </c>
      <c r="AC6" s="60">
        <v>2029</v>
      </c>
      <c r="AD6" s="60">
        <v>2030</v>
      </c>
      <c r="AE6" s="60">
        <v>2031</v>
      </c>
      <c r="AF6" s="60">
        <v>2032</v>
      </c>
      <c r="AG6" s="60">
        <v>2033</v>
      </c>
      <c r="AH6" s="60">
        <v>2034</v>
      </c>
      <c r="AI6" s="60">
        <v>2035</v>
      </c>
      <c r="AJ6" s="60">
        <v>2036</v>
      </c>
    </row>
    <row r="7" spans="1:37">
      <c r="B7" s="63" t="str">
        <f>Expenditure_Detail!$B$6</f>
        <v>$m, 01/01/26</v>
      </c>
      <c r="C7" s="68"/>
      <c r="D7" s="68"/>
      <c r="E7" s="68"/>
      <c r="F7" s="151" t="s">
        <v>143</v>
      </c>
      <c r="G7" s="68"/>
      <c r="H7" s="68"/>
      <c r="I7" s="68"/>
      <c r="J7" s="68"/>
      <c r="K7" s="61"/>
      <c r="L7" s="61"/>
      <c r="M7" s="61"/>
      <c r="N7" s="61"/>
      <c r="O7" s="61"/>
      <c r="P7" s="61"/>
      <c r="Q7" s="61"/>
      <c r="R7" s="61"/>
      <c r="S7" s="61"/>
      <c r="T7" s="61"/>
      <c r="U7" s="61" t="str">
        <f t="shared" ref="U7:AJ7" si="0">+CONCATENATE(U6-1,"-",RIGHT(U6,2))</f>
        <v>2020-21</v>
      </c>
      <c r="V7" s="61" t="str">
        <f t="shared" si="0"/>
        <v>2021-22</v>
      </c>
      <c r="W7" s="61" t="str">
        <f t="shared" si="0"/>
        <v>2022-23</v>
      </c>
      <c r="X7" s="61" t="str">
        <f t="shared" si="0"/>
        <v>2023-24</v>
      </c>
      <c r="Y7" s="61" t="str">
        <f t="shared" si="0"/>
        <v>2024-25</v>
      </c>
      <c r="Z7" s="61" t="str">
        <f t="shared" si="0"/>
        <v>2025-26</v>
      </c>
      <c r="AA7" s="61" t="str">
        <f t="shared" si="0"/>
        <v>2026-27</v>
      </c>
      <c r="AB7" s="61" t="str">
        <f t="shared" si="0"/>
        <v>2027-28</v>
      </c>
      <c r="AC7" s="61" t="str">
        <f t="shared" si="0"/>
        <v>2028-29</v>
      </c>
      <c r="AD7" s="61" t="str">
        <f t="shared" si="0"/>
        <v>2029-30</v>
      </c>
      <c r="AE7" s="61" t="str">
        <f t="shared" si="0"/>
        <v>2030-31</v>
      </c>
      <c r="AF7" s="61" t="str">
        <f t="shared" si="0"/>
        <v>2031-32</v>
      </c>
      <c r="AG7" s="61" t="str">
        <f t="shared" si="0"/>
        <v>2032-33</v>
      </c>
      <c r="AH7" s="61" t="str">
        <f t="shared" si="0"/>
        <v>2033-34</v>
      </c>
      <c r="AI7" s="61" t="str">
        <f t="shared" si="0"/>
        <v>2034-35</v>
      </c>
      <c r="AJ7" s="61" t="str">
        <f t="shared" si="0"/>
        <v>2035-36</v>
      </c>
    </row>
    <row r="8" spans="1:37" ht="12.75" thickBot="1"/>
    <row r="9" spans="1:37">
      <c r="C9" s="152"/>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4"/>
    </row>
    <row r="10" spans="1:37">
      <c r="C10" s="155"/>
      <c r="D10" s="156" t="s">
        <v>947</v>
      </c>
      <c r="AK10" s="157"/>
    </row>
    <row r="11" spans="1:37">
      <c r="C11" s="155"/>
      <c r="AK11" s="157"/>
    </row>
    <row r="12" spans="1:37">
      <c r="C12" s="155"/>
      <c r="E12" s="63" t="s">
        <v>859</v>
      </c>
      <c r="K12" s="468">
        <f t="shared" ref="K12:AJ12" ca="1" si="1">+SUMIF($D$31:$G$1989,$E12,K$31:K$1989)</f>
        <v>0</v>
      </c>
      <c r="L12" s="468">
        <f t="shared" ca="1" si="1"/>
        <v>0</v>
      </c>
      <c r="M12" s="468">
        <f t="shared" ca="1" si="1"/>
        <v>0</v>
      </c>
      <c r="N12" s="468">
        <f t="shared" ca="1" si="1"/>
        <v>0</v>
      </c>
      <c r="O12" s="468">
        <f t="shared" ca="1" si="1"/>
        <v>0</v>
      </c>
      <c r="P12" s="468">
        <f t="shared" ca="1" si="1"/>
        <v>0</v>
      </c>
      <c r="Q12" s="468">
        <f t="shared" ca="1" si="1"/>
        <v>0</v>
      </c>
      <c r="R12" s="468">
        <f t="shared" ca="1" si="1"/>
        <v>0</v>
      </c>
      <c r="S12" s="468">
        <f t="shared" ca="1" si="1"/>
        <v>0</v>
      </c>
      <c r="T12" s="468">
        <f t="shared" ca="1" si="1"/>
        <v>0</v>
      </c>
      <c r="U12" s="468">
        <f t="shared" ca="1" si="1"/>
        <v>0</v>
      </c>
      <c r="V12" s="468">
        <f t="shared" ca="1" si="1"/>
        <v>0</v>
      </c>
      <c r="W12" s="468">
        <f t="shared" ca="1" si="1"/>
        <v>0</v>
      </c>
      <c r="X12" s="468">
        <f t="shared" ca="1" si="1"/>
        <v>0</v>
      </c>
      <c r="Y12" s="468">
        <f t="shared" ca="1" si="1"/>
        <v>0</v>
      </c>
      <c r="Z12" s="468">
        <f t="shared" ca="1" si="1"/>
        <v>0</v>
      </c>
      <c r="AA12" s="468">
        <f t="shared" ca="1" si="1"/>
        <v>2.3657089827483646</v>
      </c>
      <c r="AB12" s="468">
        <f t="shared" ca="1" si="1"/>
        <v>2.2477324472947293</v>
      </c>
      <c r="AC12" s="468">
        <f t="shared" ca="1" si="1"/>
        <v>2.3655766499714597</v>
      </c>
      <c r="AD12" s="468">
        <f t="shared" ca="1" si="1"/>
        <v>2.7192139538564719</v>
      </c>
      <c r="AE12" s="468">
        <f t="shared" ca="1" si="1"/>
        <v>2.7191246845734236</v>
      </c>
      <c r="AF12" s="468">
        <f t="shared" ca="1" si="1"/>
        <v>2.3325306889931023</v>
      </c>
      <c r="AG12" s="468">
        <f t="shared" ca="1" si="1"/>
        <v>2.0638698456308719</v>
      </c>
      <c r="AH12" s="468">
        <f t="shared" ca="1" si="1"/>
        <v>2.0638698456308719</v>
      </c>
      <c r="AI12" s="468">
        <f t="shared" ca="1" si="1"/>
        <v>2.0638698456308719</v>
      </c>
      <c r="AJ12" s="468">
        <f t="shared" ca="1" si="1"/>
        <v>2.0638698456308719</v>
      </c>
      <c r="AK12" s="157"/>
    </row>
    <row r="13" spans="1:37">
      <c r="C13" s="155"/>
      <c r="K13" s="468"/>
      <c r="L13" s="468"/>
      <c r="M13" s="468"/>
      <c r="N13" s="468"/>
      <c r="O13" s="468"/>
      <c r="P13" s="468"/>
      <c r="Q13" s="468"/>
      <c r="R13" s="468"/>
      <c r="S13" s="468"/>
      <c r="T13" s="468"/>
      <c r="U13" s="468"/>
      <c r="V13" s="468"/>
      <c r="W13" s="468"/>
      <c r="X13" s="468"/>
      <c r="Y13" s="468"/>
      <c r="Z13" s="468"/>
      <c r="AA13" s="468"/>
      <c r="AB13" s="468"/>
      <c r="AC13" s="468"/>
      <c r="AD13" s="468"/>
      <c r="AE13" s="468"/>
      <c r="AF13" s="468"/>
      <c r="AG13" s="468"/>
      <c r="AH13" s="468"/>
      <c r="AI13" s="468"/>
      <c r="AJ13" s="468"/>
      <c r="AK13" s="157"/>
    </row>
    <row r="14" spans="1:37">
      <c r="C14" s="155"/>
      <c r="E14" s="506" t="s">
        <v>104</v>
      </c>
      <c r="K14" s="468">
        <f t="shared" ref="K14:AJ14" ca="1" si="2">+SUMIF($D$31:$G$1989,$E14,K$31:K$1989)</f>
        <v>0</v>
      </c>
      <c r="L14" s="468">
        <f t="shared" ca="1" si="2"/>
        <v>0</v>
      </c>
      <c r="M14" s="468">
        <f t="shared" ca="1" si="2"/>
        <v>0</v>
      </c>
      <c r="N14" s="468">
        <f t="shared" ca="1" si="2"/>
        <v>0</v>
      </c>
      <c r="O14" s="468">
        <f t="shared" ca="1" si="2"/>
        <v>0</v>
      </c>
      <c r="P14" s="468">
        <f t="shared" ca="1" si="2"/>
        <v>0</v>
      </c>
      <c r="Q14" s="468">
        <f t="shared" ca="1" si="2"/>
        <v>0</v>
      </c>
      <c r="R14" s="468">
        <f t="shared" ca="1" si="2"/>
        <v>0</v>
      </c>
      <c r="S14" s="468">
        <f t="shared" ca="1" si="2"/>
        <v>0</v>
      </c>
      <c r="T14" s="468">
        <f t="shared" ca="1" si="2"/>
        <v>0</v>
      </c>
      <c r="U14" s="468">
        <f t="shared" ca="1" si="2"/>
        <v>0.18705859862778729</v>
      </c>
      <c r="V14" s="468">
        <f t="shared" ca="1" si="2"/>
        <v>0.40916729516539435</v>
      </c>
      <c r="W14" s="468">
        <f t="shared" ca="1" si="2"/>
        <v>0.43888066101694911</v>
      </c>
      <c r="X14" s="468">
        <f t="shared" ca="1" si="2"/>
        <v>0.35975164932126696</v>
      </c>
      <c r="Y14" s="468">
        <f t="shared" ca="1" si="2"/>
        <v>0.5915800109170305</v>
      </c>
      <c r="Z14" s="468">
        <f t="shared" ca="1" si="2"/>
        <v>0.97345984449137435</v>
      </c>
      <c r="AA14" s="468">
        <f t="shared" ca="1" si="2"/>
        <v>0.97475687400356947</v>
      </c>
      <c r="AB14" s="468">
        <f t="shared" ca="1" si="2"/>
        <v>0.56750429041946582</v>
      </c>
      <c r="AC14" s="468">
        <f t="shared" ca="1" si="2"/>
        <v>0.87050990087272073</v>
      </c>
      <c r="AD14" s="468">
        <f t="shared" ca="1" si="2"/>
        <v>1.1965849589699569</v>
      </c>
      <c r="AE14" s="468">
        <f t="shared" ca="1" si="2"/>
        <v>1.1836338205361927</v>
      </c>
      <c r="AF14" s="468">
        <f t="shared" ca="1" si="2"/>
        <v>1.3744324393470186</v>
      </c>
      <c r="AG14" s="468">
        <f t="shared" ca="1" si="2"/>
        <v>1.1385914662278123</v>
      </c>
      <c r="AH14" s="468">
        <f t="shared" ca="1" si="2"/>
        <v>1.1335869139667567</v>
      </c>
      <c r="AI14" s="468">
        <f t="shared" ca="1" si="2"/>
        <v>1.1287044239559709</v>
      </c>
      <c r="AJ14" s="468">
        <f t="shared" ca="1" si="2"/>
        <v>1.1287044239559709</v>
      </c>
      <c r="AK14" s="157"/>
    </row>
    <row r="15" spans="1:37">
      <c r="C15" s="155"/>
      <c r="E15" s="506"/>
      <c r="K15" s="468"/>
      <c r="L15" s="468"/>
      <c r="M15" s="468"/>
      <c r="N15" s="468"/>
      <c r="O15" s="468"/>
      <c r="P15" s="468"/>
      <c r="Q15" s="468"/>
      <c r="R15" s="468"/>
      <c r="S15" s="468"/>
      <c r="T15" s="468"/>
      <c r="U15" s="468"/>
      <c r="V15" s="468"/>
      <c r="W15" s="468"/>
      <c r="X15" s="468"/>
      <c r="Y15" s="468"/>
      <c r="Z15" s="468"/>
      <c r="AA15" s="468"/>
      <c r="AB15" s="468"/>
      <c r="AC15" s="468"/>
      <c r="AD15" s="468"/>
      <c r="AE15" s="468"/>
      <c r="AF15" s="468"/>
      <c r="AG15" s="468"/>
      <c r="AH15" s="468"/>
      <c r="AI15" s="468"/>
      <c r="AJ15" s="468"/>
      <c r="AK15" s="157"/>
    </row>
    <row r="16" spans="1:37">
      <c r="C16" s="155"/>
      <c r="E16" s="448" t="s">
        <v>487</v>
      </c>
      <c r="K16" s="468">
        <f t="shared" ref="K16:T18" ca="1" si="3">+SUMIF($D$31:$G$1989,$E16,K$31:K$1989)</f>
        <v>0</v>
      </c>
      <c r="L16" s="468">
        <f t="shared" ca="1" si="3"/>
        <v>0</v>
      </c>
      <c r="M16" s="468">
        <f t="shared" ca="1" si="3"/>
        <v>0</v>
      </c>
      <c r="N16" s="468">
        <f t="shared" ca="1" si="3"/>
        <v>0</v>
      </c>
      <c r="O16" s="468">
        <f t="shared" ca="1" si="3"/>
        <v>0</v>
      </c>
      <c r="P16" s="468">
        <f t="shared" ca="1" si="3"/>
        <v>0</v>
      </c>
      <c r="Q16" s="468">
        <f t="shared" ca="1" si="3"/>
        <v>0</v>
      </c>
      <c r="R16" s="468">
        <f t="shared" ca="1" si="3"/>
        <v>0</v>
      </c>
      <c r="S16" s="468">
        <f t="shared" ca="1" si="3"/>
        <v>0</v>
      </c>
      <c r="T16" s="468">
        <f t="shared" ca="1" si="3"/>
        <v>0</v>
      </c>
      <c r="U16" s="468">
        <f t="shared" ref="U16:AJ18" ca="1" si="4">+SUMIF($D$31:$G$1989,$E16,U$31:U$1989)</f>
        <v>0</v>
      </c>
      <c r="V16" s="468">
        <f t="shared" ca="1" si="4"/>
        <v>0</v>
      </c>
      <c r="W16" s="468">
        <f t="shared" ca="1" si="4"/>
        <v>0</v>
      </c>
      <c r="X16" s="468">
        <f t="shared" ca="1" si="4"/>
        <v>2.5057695710859731</v>
      </c>
      <c r="Y16" s="468">
        <f t="shared" ca="1" si="4"/>
        <v>6.1199081206768584</v>
      </c>
      <c r="Z16" s="468">
        <f t="shared" ca="1" si="4"/>
        <v>13.030279469999998</v>
      </c>
      <c r="AA16" s="468">
        <f t="shared" ca="1" si="4"/>
        <v>35.666920546341466</v>
      </c>
      <c r="AB16" s="468">
        <f t="shared" ca="1" si="4"/>
        <v>9.0439053706127304</v>
      </c>
      <c r="AC16" s="468">
        <f t="shared" ca="1" si="4"/>
        <v>0</v>
      </c>
      <c r="AD16" s="468">
        <f t="shared" ca="1" si="4"/>
        <v>0</v>
      </c>
      <c r="AE16" s="468">
        <f t="shared" ca="1" si="4"/>
        <v>0</v>
      </c>
      <c r="AF16" s="468">
        <f t="shared" ca="1" si="4"/>
        <v>0</v>
      </c>
      <c r="AG16" s="468">
        <f t="shared" ca="1" si="4"/>
        <v>0</v>
      </c>
      <c r="AH16" s="468">
        <f t="shared" ca="1" si="4"/>
        <v>0</v>
      </c>
      <c r="AI16" s="468">
        <f t="shared" ca="1" si="4"/>
        <v>0</v>
      </c>
      <c r="AJ16" s="468">
        <f t="shared" ca="1" si="4"/>
        <v>0</v>
      </c>
      <c r="AK16" s="157"/>
    </row>
    <row r="17" spans="2:37">
      <c r="C17" s="155"/>
      <c r="E17" s="448" t="s">
        <v>488</v>
      </c>
      <c r="K17" s="468">
        <f t="shared" ca="1" si="3"/>
        <v>0</v>
      </c>
      <c r="L17" s="468">
        <f t="shared" ca="1" si="3"/>
        <v>0</v>
      </c>
      <c r="M17" s="468">
        <f t="shared" ca="1" si="3"/>
        <v>0</v>
      </c>
      <c r="N17" s="468">
        <f t="shared" ca="1" si="3"/>
        <v>0</v>
      </c>
      <c r="O17" s="468">
        <f t="shared" ca="1" si="3"/>
        <v>0</v>
      </c>
      <c r="P17" s="468">
        <f t="shared" ca="1" si="3"/>
        <v>0</v>
      </c>
      <c r="Q17" s="468">
        <f t="shared" ca="1" si="3"/>
        <v>0</v>
      </c>
      <c r="R17" s="468">
        <f t="shared" ca="1" si="3"/>
        <v>0</v>
      </c>
      <c r="S17" s="468">
        <f t="shared" ca="1" si="3"/>
        <v>0</v>
      </c>
      <c r="T17" s="468">
        <f t="shared" ca="1" si="3"/>
        <v>0</v>
      </c>
      <c r="U17" s="468">
        <f t="shared" ca="1" si="4"/>
        <v>0</v>
      </c>
      <c r="V17" s="468">
        <f t="shared" ca="1" si="4"/>
        <v>0</v>
      </c>
      <c r="W17" s="468">
        <f t="shared" ca="1" si="4"/>
        <v>0</v>
      </c>
      <c r="X17" s="468">
        <f t="shared" ca="1" si="4"/>
        <v>0</v>
      </c>
      <c r="Y17" s="468">
        <f t="shared" ca="1" si="4"/>
        <v>0</v>
      </c>
      <c r="Z17" s="468">
        <f t="shared" ca="1" si="4"/>
        <v>0</v>
      </c>
      <c r="AA17" s="468">
        <f t="shared" ca="1" si="4"/>
        <v>0</v>
      </c>
      <c r="AB17" s="468">
        <f t="shared" ca="1" si="4"/>
        <v>0</v>
      </c>
      <c r="AC17" s="468">
        <f t="shared" ca="1" si="4"/>
        <v>0</v>
      </c>
      <c r="AD17" s="468">
        <f t="shared" ca="1" si="4"/>
        <v>0</v>
      </c>
      <c r="AE17" s="468">
        <f t="shared" ca="1" si="4"/>
        <v>0</v>
      </c>
      <c r="AF17" s="468">
        <f t="shared" ca="1" si="4"/>
        <v>0</v>
      </c>
      <c r="AG17" s="468">
        <f t="shared" ca="1" si="4"/>
        <v>0</v>
      </c>
      <c r="AH17" s="468">
        <f t="shared" ca="1" si="4"/>
        <v>0</v>
      </c>
      <c r="AI17" s="468">
        <f t="shared" ca="1" si="4"/>
        <v>0</v>
      </c>
      <c r="AJ17" s="468">
        <f t="shared" ca="1" si="4"/>
        <v>0</v>
      </c>
      <c r="AK17" s="157"/>
    </row>
    <row r="18" spans="2:37">
      <c r="C18" s="155"/>
      <c r="E18" s="448" t="s">
        <v>489</v>
      </c>
      <c r="K18" s="468">
        <f t="shared" ca="1" si="3"/>
        <v>0</v>
      </c>
      <c r="L18" s="468">
        <f t="shared" ca="1" si="3"/>
        <v>0</v>
      </c>
      <c r="M18" s="468">
        <f t="shared" ca="1" si="3"/>
        <v>0</v>
      </c>
      <c r="N18" s="468">
        <f t="shared" ca="1" si="3"/>
        <v>0</v>
      </c>
      <c r="O18" s="468">
        <f t="shared" ca="1" si="3"/>
        <v>0</v>
      </c>
      <c r="P18" s="468">
        <f t="shared" ca="1" si="3"/>
        <v>0</v>
      </c>
      <c r="Q18" s="468">
        <f t="shared" ca="1" si="3"/>
        <v>0</v>
      </c>
      <c r="R18" s="468">
        <f t="shared" ca="1" si="3"/>
        <v>0</v>
      </c>
      <c r="S18" s="468">
        <f t="shared" ca="1" si="3"/>
        <v>0</v>
      </c>
      <c r="T18" s="468">
        <f t="shared" ca="1" si="3"/>
        <v>0</v>
      </c>
      <c r="U18" s="468">
        <f t="shared" ca="1" si="4"/>
        <v>0</v>
      </c>
      <c r="V18" s="468">
        <f t="shared" ca="1" si="4"/>
        <v>0</v>
      </c>
      <c r="W18" s="468">
        <f t="shared" ca="1" si="4"/>
        <v>0</v>
      </c>
      <c r="X18" s="468">
        <f t="shared" ca="1" si="4"/>
        <v>0</v>
      </c>
      <c r="Y18" s="468">
        <f t="shared" ca="1" si="4"/>
        <v>0</v>
      </c>
      <c r="Z18" s="468">
        <f t="shared" ca="1" si="4"/>
        <v>0</v>
      </c>
      <c r="AA18" s="468">
        <f t="shared" ca="1" si="4"/>
        <v>0</v>
      </c>
      <c r="AB18" s="468">
        <f t="shared" ca="1" si="4"/>
        <v>0</v>
      </c>
      <c r="AC18" s="468">
        <f t="shared" ca="1" si="4"/>
        <v>0</v>
      </c>
      <c r="AD18" s="468">
        <f t="shared" ca="1" si="4"/>
        <v>0</v>
      </c>
      <c r="AE18" s="468">
        <f t="shared" ca="1" si="4"/>
        <v>0</v>
      </c>
      <c r="AF18" s="468">
        <f t="shared" ca="1" si="4"/>
        <v>0</v>
      </c>
      <c r="AG18" s="468">
        <f t="shared" ca="1" si="4"/>
        <v>0</v>
      </c>
      <c r="AH18" s="468">
        <f t="shared" ca="1" si="4"/>
        <v>0</v>
      </c>
      <c r="AI18" s="468">
        <f t="shared" ca="1" si="4"/>
        <v>0</v>
      </c>
      <c r="AJ18" s="468">
        <f t="shared" ca="1" si="4"/>
        <v>0</v>
      </c>
      <c r="AK18" s="157"/>
    </row>
    <row r="19" spans="2:37" ht="12.75" thickBot="1">
      <c r="C19" s="155"/>
      <c r="E19" s="472" t="s">
        <v>948</v>
      </c>
      <c r="K19" s="518">
        <f ca="1">+K16-K17-K18</f>
        <v>0</v>
      </c>
      <c r="L19" s="518">
        <f t="shared" ref="L19:V19" ca="1" si="5">+L16-L17-L18</f>
        <v>0</v>
      </c>
      <c r="M19" s="518">
        <f t="shared" ca="1" si="5"/>
        <v>0</v>
      </c>
      <c r="N19" s="518">
        <f t="shared" ca="1" si="5"/>
        <v>0</v>
      </c>
      <c r="O19" s="518">
        <f t="shared" ca="1" si="5"/>
        <v>0</v>
      </c>
      <c r="P19" s="518">
        <f t="shared" ca="1" si="5"/>
        <v>0</v>
      </c>
      <c r="Q19" s="518">
        <f t="shared" ca="1" si="5"/>
        <v>0</v>
      </c>
      <c r="R19" s="518">
        <f t="shared" ca="1" si="5"/>
        <v>0</v>
      </c>
      <c r="S19" s="518">
        <f t="shared" ca="1" si="5"/>
        <v>0</v>
      </c>
      <c r="T19" s="518">
        <f t="shared" ca="1" si="5"/>
        <v>0</v>
      </c>
      <c r="U19" s="518">
        <f t="shared" ca="1" si="5"/>
        <v>0</v>
      </c>
      <c r="V19" s="518">
        <f t="shared" ca="1" si="5"/>
        <v>0</v>
      </c>
      <c r="W19" s="518">
        <f t="shared" ref="W19:AJ19" ca="1" si="6">+W16-W17-W18</f>
        <v>0</v>
      </c>
      <c r="X19" s="518">
        <f t="shared" ca="1" si="6"/>
        <v>2.5057695710859731</v>
      </c>
      <c r="Y19" s="518">
        <f t="shared" ca="1" si="6"/>
        <v>6.1199081206768584</v>
      </c>
      <c r="Z19" s="518">
        <f t="shared" ca="1" si="6"/>
        <v>13.030279469999998</v>
      </c>
      <c r="AA19" s="518">
        <f t="shared" ca="1" si="6"/>
        <v>35.666920546341466</v>
      </c>
      <c r="AB19" s="518">
        <f t="shared" ca="1" si="6"/>
        <v>9.0439053706127304</v>
      </c>
      <c r="AC19" s="518">
        <f t="shared" ca="1" si="6"/>
        <v>0</v>
      </c>
      <c r="AD19" s="518">
        <f t="shared" ca="1" si="6"/>
        <v>0</v>
      </c>
      <c r="AE19" s="518">
        <f t="shared" ca="1" si="6"/>
        <v>0</v>
      </c>
      <c r="AF19" s="518">
        <f t="shared" ca="1" si="6"/>
        <v>0</v>
      </c>
      <c r="AG19" s="518">
        <f t="shared" ca="1" si="6"/>
        <v>0</v>
      </c>
      <c r="AH19" s="518">
        <f t="shared" ca="1" si="6"/>
        <v>0</v>
      </c>
      <c r="AI19" s="518">
        <f t="shared" ca="1" si="6"/>
        <v>0</v>
      </c>
      <c r="AJ19" s="518">
        <f t="shared" ca="1" si="6"/>
        <v>0</v>
      </c>
      <c r="AK19" s="157"/>
    </row>
    <row r="20" spans="2:37">
      <c r="C20" s="155"/>
      <c r="E20" s="472"/>
      <c r="K20" s="468"/>
      <c r="L20" s="468"/>
      <c r="M20" s="468"/>
      <c r="N20" s="468"/>
      <c r="O20" s="468"/>
      <c r="P20" s="468"/>
      <c r="Q20" s="468"/>
      <c r="R20" s="468"/>
      <c r="S20" s="468"/>
      <c r="T20" s="468"/>
      <c r="U20" s="468"/>
      <c r="V20" s="468"/>
      <c r="W20" s="468"/>
      <c r="X20" s="468"/>
      <c r="Y20" s="468"/>
      <c r="Z20" s="468"/>
      <c r="AA20" s="468"/>
      <c r="AB20" s="468"/>
      <c r="AC20" s="468"/>
      <c r="AD20" s="468"/>
      <c r="AE20" s="468"/>
      <c r="AF20" s="468"/>
      <c r="AG20" s="468"/>
      <c r="AH20" s="468"/>
      <c r="AI20" s="468"/>
      <c r="AJ20" s="468"/>
      <c r="AK20" s="157"/>
    </row>
    <row r="21" spans="2:37">
      <c r="C21" s="155"/>
      <c r="E21" s="448" t="s">
        <v>272</v>
      </c>
      <c r="K21" s="468">
        <f t="shared" ref="K21:T22" ca="1" si="7">+SUMIF($D$31:$G$1989,$E21,K$31:K$1989)</f>
        <v>0</v>
      </c>
      <c r="L21" s="468">
        <f t="shared" ca="1" si="7"/>
        <v>0</v>
      </c>
      <c r="M21" s="468">
        <f t="shared" ca="1" si="7"/>
        <v>0</v>
      </c>
      <c r="N21" s="468">
        <f t="shared" ca="1" si="7"/>
        <v>0</v>
      </c>
      <c r="O21" s="468">
        <f t="shared" ca="1" si="7"/>
        <v>0</v>
      </c>
      <c r="P21" s="468">
        <f t="shared" ca="1" si="7"/>
        <v>0</v>
      </c>
      <c r="Q21" s="468">
        <f t="shared" ca="1" si="7"/>
        <v>0</v>
      </c>
      <c r="R21" s="468">
        <f t="shared" ca="1" si="7"/>
        <v>0</v>
      </c>
      <c r="S21" s="468">
        <f t="shared" ca="1" si="7"/>
        <v>0</v>
      </c>
      <c r="T21" s="468">
        <f t="shared" ca="1" si="7"/>
        <v>0</v>
      </c>
      <c r="U21" s="468">
        <f t="shared" ref="U21:AJ22" ca="1" si="8">+SUMIF($D$31:$G$1989,$E21,U$31:U$1989)</f>
        <v>0</v>
      </c>
      <c r="V21" s="468">
        <f t="shared" ca="1" si="8"/>
        <v>0</v>
      </c>
      <c r="W21" s="468">
        <f t="shared" ca="1" si="8"/>
        <v>0</v>
      </c>
      <c r="X21" s="468">
        <f t="shared" ca="1" si="8"/>
        <v>0</v>
      </c>
      <c r="Y21" s="468">
        <f t="shared" ca="1" si="8"/>
        <v>0</v>
      </c>
      <c r="Z21" s="468">
        <f t="shared" ca="1" si="8"/>
        <v>0</v>
      </c>
      <c r="AA21" s="468">
        <f t="shared" ca="1" si="8"/>
        <v>0</v>
      </c>
      <c r="AB21" s="468">
        <f t="shared" ca="1" si="8"/>
        <v>0</v>
      </c>
      <c r="AC21" s="468">
        <f t="shared" ca="1" si="8"/>
        <v>0</v>
      </c>
      <c r="AD21" s="468">
        <f t="shared" ca="1" si="8"/>
        <v>0</v>
      </c>
      <c r="AE21" s="468">
        <f t="shared" ca="1" si="8"/>
        <v>0</v>
      </c>
      <c r="AF21" s="468">
        <f t="shared" ca="1" si="8"/>
        <v>0</v>
      </c>
      <c r="AG21" s="468">
        <f t="shared" ca="1" si="8"/>
        <v>0</v>
      </c>
      <c r="AH21" s="468">
        <f t="shared" ca="1" si="8"/>
        <v>0</v>
      </c>
      <c r="AI21" s="468">
        <f t="shared" ca="1" si="8"/>
        <v>0</v>
      </c>
      <c r="AJ21" s="468">
        <f t="shared" ca="1" si="8"/>
        <v>0</v>
      </c>
      <c r="AK21" s="157"/>
    </row>
    <row r="22" spans="2:37">
      <c r="C22" s="155"/>
      <c r="E22" s="448" t="s">
        <v>775</v>
      </c>
      <c r="K22" s="468">
        <f t="shared" ca="1" si="7"/>
        <v>0</v>
      </c>
      <c r="L22" s="468">
        <f t="shared" ca="1" si="7"/>
        <v>0</v>
      </c>
      <c r="M22" s="468">
        <f t="shared" ca="1" si="7"/>
        <v>0</v>
      </c>
      <c r="N22" s="468">
        <f t="shared" ca="1" si="7"/>
        <v>0</v>
      </c>
      <c r="O22" s="468">
        <f t="shared" ca="1" si="7"/>
        <v>0</v>
      </c>
      <c r="P22" s="468">
        <f t="shared" ca="1" si="7"/>
        <v>0</v>
      </c>
      <c r="Q22" s="468">
        <f t="shared" ca="1" si="7"/>
        <v>0</v>
      </c>
      <c r="R22" s="468">
        <f t="shared" ca="1" si="7"/>
        <v>0</v>
      </c>
      <c r="S22" s="468">
        <f t="shared" ca="1" si="7"/>
        <v>0</v>
      </c>
      <c r="T22" s="468">
        <f t="shared" ca="1" si="7"/>
        <v>0</v>
      </c>
      <c r="U22" s="468">
        <f t="shared" ca="1" si="8"/>
        <v>23.410060587478554</v>
      </c>
      <c r="V22" s="468">
        <f t="shared" ca="1" si="8"/>
        <v>13.534646643765901</v>
      </c>
      <c r="W22" s="468">
        <f t="shared" ca="1" si="8"/>
        <v>28.509507271186436</v>
      </c>
      <c r="X22" s="468">
        <f t="shared" ca="1" si="8"/>
        <v>26.990682606334843</v>
      </c>
      <c r="Y22" s="468">
        <f t="shared" ca="1" si="8"/>
        <v>28.616558272925761</v>
      </c>
      <c r="Z22" s="468">
        <f t="shared" ca="1" si="8"/>
        <v>12.892799999999999</v>
      </c>
      <c r="AA22" s="468">
        <f t="shared" ca="1" si="8"/>
        <v>5.4485853658536589</v>
      </c>
      <c r="AB22" s="468">
        <f t="shared" ca="1" si="8"/>
        <v>0</v>
      </c>
      <c r="AC22" s="468">
        <f t="shared" ca="1" si="8"/>
        <v>0</v>
      </c>
      <c r="AD22" s="468">
        <f t="shared" ca="1" si="8"/>
        <v>0</v>
      </c>
      <c r="AE22" s="468">
        <f t="shared" ca="1" si="8"/>
        <v>0</v>
      </c>
      <c r="AF22" s="468">
        <f t="shared" ca="1" si="8"/>
        <v>0</v>
      </c>
      <c r="AG22" s="468">
        <f t="shared" ca="1" si="8"/>
        <v>0</v>
      </c>
      <c r="AH22" s="468">
        <f t="shared" ca="1" si="8"/>
        <v>0</v>
      </c>
      <c r="AI22" s="468">
        <f t="shared" ca="1" si="8"/>
        <v>0</v>
      </c>
      <c r="AJ22" s="468">
        <f t="shared" ca="1" si="8"/>
        <v>0</v>
      </c>
      <c r="AK22" s="157"/>
    </row>
    <row r="23" spans="2:37" ht="12.75" thickBot="1">
      <c r="C23" s="167"/>
      <c r="D23" s="168"/>
      <c r="E23" s="168"/>
      <c r="F23" s="168"/>
      <c r="G23" s="168"/>
      <c r="H23" s="168"/>
      <c r="I23" s="168"/>
      <c r="J23" s="168"/>
      <c r="K23" s="423"/>
      <c r="L23" s="423"/>
      <c r="M23" s="423"/>
      <c r="N23" s="423"/>
      <c r="O23" s="423"/>
      <c r="P23" s="423"/>
      <c r="Q23" s="423"/>
      <c r="R23" s="423"/>
      <c r="S23" s="423"/>
      <c r="T23" s="423"/>
      <c r="U23" s="423"/>
      <c r="V23" s="423"/>
      <c r="W23" s="423"/>
      <c r="X23" s="423"/>
      <c r="Y23" s="423"/>
      <c r="Z23" s="423"/>
      <c r="AA23" s="423"/>
      <c r="AB23" s="423"/>
      <c r="AC23" s="423"/>
      <c r="AD23" s="423"/>
      <c r="AE23" s="423"/>
      <c r="AF23" s="423"/>
      <c r="AG23" s="423"/>
      <c r="AH23" s="423"/>
      <c r="AI23" s="423"/>
      <c r="AJ23" s="423"/>
      <c r="AK23" s="170"/>
    </row>
    <row r="24" spans="2:37">
      <c r="C24" s="231"/>
      <c r="D24" s="231"/>
      <c r="E24" s="231"/>
      <c r="F24" s="231"/>
      <c r="G24" s="231"/>
      <c r="H24" s="231"/>
      <c r="I24" s="231"/>
      <c r="J24" s="231"/>
      <c r="K24" s="1004"/>
      <c r="L24" s="1004"/>
      <c r="M24" s="1004"/>
      <c r="N24" s="1004"/>
      <c r="O24" s="1004"/>
      <c r="P24" s="1004"/>
      <c r="Q24" s="1004"/>
      <c r="R24" s="1004"/>
      <c r="S24" s="1004"/>
      <c r="T24" s="1004"/>
      <c r="U24" s="1004"/>
      <c r="V24" s="1004"/>
      <c r="W24" s="1004"/>
      <c r="X24" s="1004"/>
      <c r="Y24" s="1004"/>
      <c r="Z24" s="1004"/>
      <c r="AA24" s="1004"/>
      <c r="AB24" s="1004"/>
      <c r="AC24" s="1004"/>
      <c r="AD24" s="1004"/>
      <c r="AE24" s="1004"/>
      <c r="AF24" s="1004"/>
      <c r="AG24" s="1004"/>
      <c r="AH24" s="1004"/>
      <c r="AI24" s="1004"/>
      <c r="AJ24" s="1004"/>
    </row>
    <row r="25" spans="2:37">
      <c r="C25" s="231"/>
      <c r="D25" s="231"/>
      <c r="E25" s="231"/>
      <c r="F25" s="231"/>
      <c r="G25" s="231"/>
      <c r="H25" s="231"/>
      <c r="I25" s="231"/>
      <c r="J25" s="231"/>
      <c r="K25" s="1005"/>
      <c r="L25" s="1005"/>
      <c r="M25" s="1005"/>
      <c r="N25" s="1005"/>
      <c r="O25" s="1005"/>
      <c r="P25" s="1005"/>
      <c r="Q25" s="1005"/>
      <c r="R25" s="1005"/>
      <c r="S25" s="1005"/>
      <c r="T25" s="1005"/>
      <c r="U25" s="1005"/>
      <c r="V25" s="1005"/>
      <c r="W25" s="1005"/>
      <c r="X25" s="1005"/>
      <c r="Y25" s="1005"/>
      <c r="Z25" s="1005"/>
      <c r="AA25" s="1005"/>
      <c r="AB25" s="1005"/>
      <c r="AC25" s="1005"/>
      <c r="AD25" s="1005"/>
      <c r="AE25" s="1005"/>
      <c r="AF25" s="1005"/>
      <c r="AG25" s="1005"/>
      <c r="AH25" s="1005"/>
      <c r="AI25" s="1005"/>
      <c r="AJ25" s="1005"/>
    </row>
    <row r="26" spans="2:37">
      <c r="B26" s="295" t="s">
        <v>949</v>
      </c>
      <c r="K26" s="626"/>
      <c r="L26" s="431"/>
      <c r="M26" s="431"/>
      <c r="N26" s="431"/>
      <c r="O26" s="431"/>
      <c r="P26" s="431"/>
      <c r="Q26" s="431"/>
      <c r="R26" s="431"/>
      <c r="S26" s="293"/>
      <c r="T26" s="293"/>
      <c r="U26" s="293"/>
      <c r="V26" s="293"/>
      <c r="W26" s="293"/>
      <c r="X26" s="431"/>
      <c r="Y26" s="431"/>
      <c r="Z26" s="431"/>
      <c r="AA26" s="431"/>
      <c r="AB26" s="431"/>
      <c r="AC26" s="67"/>
      <c r="AD26" s="67"/>
      <c r="AE26" s="67"/>
      <c r="AF26" s="67"/>
      <c r="AG26" s="67"/>
      <c r="AH26" s="67"/>
      <c r="AI26" s="67"/>
      <c r="AJ26" s="67"/>
    </row>
    <row r="27" spans="2:37">
      <c r="K27" s="431"/>
      <c r="L27" s="431"/>
      <c r="M27" s="431"/>
      <c r="N27" s="431"/>
      <c r="O27" s="431"/>
      <c r="P27" s="431"/>
      <c r="Q27" s="431"/>
      <c r="R27" s="431"/>
      <c r="S27" s="293"/>
      <c r="T27" s="293"/>
      <c r="U27" s="293"/>
      <c r="V27" s="293"/>
      <c r="W27" s="293"/>
      <c r="X27" s="293"/>
      <c r="Y27" s="293"/>
      <c r="Z27" s="293"/>
      <c r="AA27" s="293"/>
      <c r="AB27" s="293"/>
    </row>
    <row r="28" spans="2:37">
      <c r="C28" s="502"/>
      <c r="K28" s="431"/>
      <c r="L28" s="431"/>
      <c r="M28" s="431"/>
      <c r="N28" s="431"/>
      <c r="O28" s="431"/>
      <c r="P28" s="431"/>
      <c r="Q28" s="431"/>
      <c r="R28" s="431"/>
      <c r="S28" s="300"/>
      <c r="T28" s="300"/>
      <c r="U28" s="300"/>
      <c r="V28" s="300"/>
      <c r="W28" s="300"/>
      <c r="X28" s="300"/>
      <c r="Y28" s="300"/>
      <c r="Z28" s="300"/>
      <c r="AA28" s="300"/>
      <c r="AB28" s="300"/>
    </row>
    <row r="29" spans="2:37">
      <c r="C29" s="69"/>
      <c r="D29" s="2121" t="s">
        <v>959</v>
      </c>
      <c r="E29" s="2122"/>
      <c r="F29" s="2122"/>
      <c r="G29" s="2122"/>
      <c r="H29" s="2123"/>
      <c r="I29" s="70"/>
      <c r="J29" s="70"/>
      <c r="K29" s="303"/>
      <c r="L29" s="303"/>
      <c r="M29" s="303"/>
      <c r="N29" s="627"/>
      <c r="O29" s="627"/>
      <c r="P29" s="627"/>
      <c r="Q29" s="627"/>
      <c r="R29" s="627"/>
      <c r="S29" s="627"/>
      <c r="T29" s="627"/>
      <c r="U29" s="627"/>
      <c r="V29" s="627"/>
      <c r="W29" s="627"/>
      <c r="X29" s="627"/>
      <c r="Y29" s="627"/>
      <c r="Z29" s="627"/>
      <c r="AA29" s="627"/>
      <c r="AB29" s="627"/>
      <c r="AC29" s="627"/>
      <c r="AD29" s="627"/>
      <c r="AE29" s="627"/>
      <c r="AF29" s="627"/>
      <c r="AG29" s="627"/>
      <c r="AH29" s="627"/>
      <c r="AI29" s="627"/>
      <c r="AJ29" s="627"/>
      <c r="AK29" s="73"/>
    </row>
    <row r="30" spans="2:37">
      <c r="C30" s="75"/>
      <c r="D30" s="506"/>
      <c r="E30" s="506"/>
      <c r="F30" s="506"/>
      <c r="G30" s="506"/>
      <c r="K30" s="270"/>
      <c r="L30" s="270"/>
      <c r="M30" s="270"/>
      <c r="N30" s="296"/>
      <c r="O30" s="296"/>
      <c r="P30" s="296"/>
      <c r="Q30" s="296"/>
      <c r="R30" s="296"/>
      <c r="S30" s="296"/>
      <c r="T30" s="296"/>
      <c r="U30" s="296"/>
      <c r="V30" s="296"/>
      <c r="W30" s="296"/>
      <c r="X30" s="296"/>
      <c r="Y30" s="296"/>
      <c r="Z30" s="296"/>
      <c r="AA30" s="296"/>
      <c r="AB30" s="296"/>
      <c r="AC30" s="296"/>
      <c r="AD30" s="296"/>
      <c r="AE30" s="296"/>
      <c r="AF30" s="296"/>
      <c r="AG30" s="296"/>
      <c r="AH30" s="296"/>
      <c r="AI30" s="296"/>
      <c r="AJ30" s="296"/>
      <c r="AK30" s="74"/>
    </row>
    <row r="31" spans="2:37">
      <c r="C31" s="75"/>
      <c r="D31" s="506" t="s">
        <v>859</v>
      </c>
      <c r="E31" s="506"/>
      <c r="F31" s="506"/>
      <c r="G31" s="506"/>
      <c r="K31" s="1176"/>
      <c r="L31" s="1177"/>
      <c r="M31" s="1177"/>
      <c r="N31" s="1176"/>
      <c r="O31" s="1177"/>
      <c r="P31" s="1177"/>
      <c r="Q31" s="1177"/>
      <c r="R31" s="335"/>
      <c r="S31" s="333"/>
      <c r="T31" s="334"/>
      <c r="U31" s="336">
        <v>0</v>
      </c>
      <c r="V31" s="333">
        <v>0</v>
      </c>
      <c r="W31" s="334">
        <v>0</v>
      </c>
      <c r="X31" s="334">
        <v>0</v>
      </c>
      <c r="Y31" s="334">
        <v>0</v>
      </c>
      <c r="Z31" s="335">
        <v>0</v>
      </c>
      <c r="AA31" s="333">
        <v>2.3657089827483646</v>
      </c>
      <c r="AB31" s="334">
        <v>2.2477324472947293</v>
      </c>
      <c r="AC31" s="334">
        <v>2.3655766499714597</v>
      </c>
      <c r="AD31" s="334">
        <v>2.7192139538564719</v>
      </c>
      <c r="AE31" s="335">
        <v>2.7191246845734236</v>
      </c>
      <c r="AF31" s="333">
        <v>2.3325306889931023</v>
      </c>
      <c r="AG31" s="334">
        <v>2.0638698456308719</v>
      </c>
      <c r="AH31" s="334">
        <v>2.0638698456308719</v>
      </c>
      <c r="AI31" s="334">
        <v>2.0638698456308719</v>
      </c>
      <c r="AJ31" s="335">
        <v>2.0638698456308719</v>
      </c>
      <c r="AK31" s="74"/>
    </row>
    <row r="32" spans="2:37">
      <c r="C32" s="75"/>
      <c r="D32" s="506"/>
      <c r="E32" s="506"/>
      <c r="F32" s="506"/>
      <c r="G32" s="506"/>
      <c r="K32" s="270"/>
      <c r="L32" s="270"/>
      <c r="M32" s="270"/>
      <c r="N32" s="270"/>
      <c r="O32" s="270"/>
      <c r="P32" s="270"/>
      <c r="Q32" s="270"/>
      <c r="R32" s="630"/>
      <c r="S32" s="630"/>
      <c r="T32" s="630"/>
      <c r="U32" s="630"/>
      <c r="V32" s="630"/>
      <c r="W32" s="630"/>
      <c r="X32" s="630"/>
      <c r="Y32" s="630"/>
      <c r="Z32" s="630"/>
      <c r="AA32" s="630"/>
      <c r="AB32" s="630"/>
      <c r="AC32" s="630"/>
      <c r="AD32" s="630"/>
      <c r="AE32" s="630"/>
      <c r="AF32" s="630"/>
      <c r="AG32" s="630"/>
      <c r="AH32" s="630"/>
      <c r="AI32" s="630"/>
      <c r="AJ32" s="630"/>
      <c r="AK32" s="74"/>
    </row>
    <row r="33" spans="3:37">
      <c r="C33" s="75"/>
      <c r="D33" s="506" t="s">
        <v>104</v>
      </c>
      <c r="E33" s="506"/>
      <c r="F33" s="506"/>
      <c r="G33" s="506"/>
      <c r="K33" s="1176"/>
      <c r="L33" s="1177"/>
      <c r="M33" s="1177"/>
      <c r="N33" s="1176"/>
      <c r="O33" s="1177"/>
      <c r="P33" s="1177"/>
      <c r="Q33" s="1177"/>
      <c r="R33" s="335"/>
      <c r="S33" s="333"/>
      <c r="T33" s="334"/>
      <c r="U33" s="336">
        <v>0.18705859862778729</v>
      </c>
      <c r="V33" s="333">
        <v>0.40916729516539435</v>
      </c>
      <c r="W33" s="334">
        <v>0.43888066101694911</v>
      </c>
      <c r="X33" s="334">
        <v>0.35975164932126696</v>
      </c>
      <c r="Y33" s="334">
        <v>0.5915800109170305</v>
      </c>
      <c r="Z33" s="335">
        <v>0.97345984449137435</v>
      </c>
      <c r="AA33" s="333">
        <v>0.97475687400356947</v>
      </c>
      <c r="AB33" s="334">
        <v>0.56750429041946582</v>
      </c>
      <c r="AC33" s="334">
        <v>0.87050990087272073</v>
      </c>
      <c r="AD33" s="334">
        <v>1.1965849589699569</v>
      </c>
      <c r="AE33" s="335">
        <v>1.1836338205361927</v>
      </c>
      <c r="AF33" s="333">
        <v>1.3744324393470186</v>
      </c>
      <c r="AG33" s="334">
        <v>1.1385914662278123</v>
      </c>
      <c r="AH33" s="334">
        <v>1.1335869139667567</v>
      </c>
      <c r="AI33" s="334">
        <v>1.1287044239559709</v>
      </c>
      <c r="AJ33" s="335">
        <v>1.1287044239559709</v>
      </c>
      <c r="AK33" s="74"/>
    </row>
    <row r="34" spans="3:37">
      <c r="C34" s="75"/>
      <c r="D34" s="506"/>
      <c r="E34" s="506"/>
      <c r="F34" s="506"/>
      <c r="G34" s="506"/>
      <c r="K34" s="270"/>
      <c r="L34" s="270"/>
      <c r="M34" s="270"/>
      <c r="N34" s="270"/>
      <c r="O34" s="270"/>
      <c r="P34" s="270"/>
      <c r="Q34" s="270"/>
      <c r="R34" s="630"/>
      <c r="S34" s="630"/>
      <c r="T34" s="630"/>
      <c r="U34" s="630"/>
      <c r="V34" s="630"/>
      <c r="W34" s="630"/>
      <c r="X34" s="630"/>
      <c r="Y34" s="630"/>
      <c r="Z34" s="630"/>
      <c r="AA34" s="630"/>
      <c r="AB34" s="630"/>
      <c r="AC34" s="630"/>
      <c r="AD34" s="630"/>
      <c r="AE34" s="630"/>
      <c r="AF34" s="630"/>
      <c r="AG34" s="630"/>
      <c r="AH34" s="630"/>
      <c r="AI34" s="630"/>
      <c r="AJ34" s="630"/>
      <c r="AK34" s="74"/>
    </row>
    <row r="35" spans="3:37">
      <c r="C35" s="75"/>
      <c r="D35" s="448" t="s">
        <v>487</v>
      </c>
      <c r="K35" s="1288"/>
      <c r="L35" s="1289"/>
      <c r="M35" s="1290"/>
      <c r="N35" s="1288"/>
      <c r="O35" s="1289"/>
      <c r="P35" s="1289"/>
      <c r="Q35" s="1289"/>
      <c r="R35" s="326"/>
      <c r="S35" s="324"/>
      <c r="T35" s="325"/>
      <c r="U35" s="449">
        <v>0</v>
      </c>
      <c r="V35" s="324">
        <v>0</v>
      </c>
      <c r="W35" s="325">
        <v>0</v>
      </c>
      <c r="X35" s="325">
        <v>2.5057695710859731</v>
      </c>
      <c r="Y35" s="325">
        <v>6.1199081206768584</v>
      </c>
      <c r="Z35" s="326">
        <v>13.030279469999998</v>
      </c>
      <c r="AA35" s="324">
        <v>35.666920546341466</v>
      </c>
      <c r="AB35" s="325">
        <v>9.0439053706127304</v>
      </c>
      <c r="AC35" s="325">
        <v>0</v>
      </c>
      <c r="AD35" s="325">
        <v>0</v>
      </c>
      <c r="AE35" s="326">
        <v>0</v>
      </c>
      <c r="AF35" s="324">
        <v>0</v>
      </c>
      <c r="AG35" s="325">
        <v>0</v>
      </c>
      <c r="AH35" s="325">
        <v>0</v>
      </c>
      <c r="AI35" s="325">
        <v>0</v>
      </c>
      <c r="AJ35" s="326">
        <v>0</v>
      </c>
      <c r="AK35" s="74"/>
    </row>
    <row r="36" spans="3:37">
      <c r="C36" s="628"/>
      <c r="D36" s="448" t="s">
        <v>488</v>
      </c>
      <c r="K36" s="1296"/>
      <c r="L36" s="1297"/>
      <c r="M36" s="1298"/>
      <c r="N36" s="1296"/>
      <c r="O36" s="1297"/>
      <c r="P36" s="1297"/>
      <c r="Q36" s="1297"/>
      <c r="R36" s="329"/>
      <c r="S36" s="327"/>
      <c r="T36" s="328"/>
      <c r="U36" s="450">
        <v>0</v>
      </c>
      <c r="V36" s="327">
        <v>0</v>
      </c>
      <c r="W36" s="328">
        <v>0</v>
      </c>
      <c r="X36" s="328">
        <v>0</v>
      </c>
      <c r="Y36" s="328">
        <v>0</v>
      </c>
      <c r="Z36" s="329">
        <v>0</v>
      </c>
      <c r="AA36" s="327">
        <v>0</v>
      </c>
      <c r="AB36" s="328">
        <v>0</v>
      </c>
      <c r="AC36" s="328">
        <v>0</v>
      </c>
      <c r="AD36" s="328">
        <v>0</v>
      </c>
      <c r="AE36" s="329">
        <v>0</v>
      </c>
      <c r="AF36" s="327">
        <v>0</v>
      </c>
      <c r="AG36" s="328">
        <v>0</v>
      </c>
      <c r="AH36" s="328">
        <v>0</v>
      </c>
      <c r="AI36" s="328">
        <v>0</v>
      </c>
      <c r="AJ36" s="329">
        <v>0</v>
      </c>
      <c r="AK36" s="74"/>
    </row>
    <row r="37" spans="3:37">
      <c r="C37" s="75"/>
      <c r="D37" s="448" t="s">
        <v>489</v>
      </c>
      <c r="K37" s="1291"/>
      <c r="L37" s="1292"/>
      <c r="M37" s="1293"/>
      <c r="N37" s="1291"/>
      <c r="O37" s="1292"/>
      <c r="P37" s="1292"/>
      <c r="Q37" s="1292"/>
      <c r="R37" s="332"/>
      <c r="S37" s="330"/>
      <c r="T37" s="331"/>
      <c r="U37" s="451">
        <v>0</v>
      </c>
      <c r="V37" s="330">
        <v>0</v>
      </c>
      <c r="W37" s="331">
        <v>0</v>
      </c>
      <c r="X37" s="331">
        <v>0</v>
      </c>
      <c r="Y37" s="331">
        <v>0</v>
      </c>
      <c r="Z37" s="332">
        <v>0</v>
      </c>
      <c r="AA37" s="330">
        <v>0</v>
      </c>
      <c r="AB37" s="331">
        <v>0</v>
      </c>
      <c r="AC37" s="331">
        <v>0</v>
      </c>
      <c r="AD37" s="331">
        <v>0</v>
      </c>
      <c r="AE37" s="332">
        <v>0</v>
      </c>
      <c r="AF37" s="330">
        <v>0</v>
      </c>
      <c r="AG37" s="331">
        <v>0</v>
      </c>
      <c r="AH37" s="331">
        <v>0</v>
      </c>
      <c r="AI37" s="331">
        <v>0</v>
      </c>
      <c r="AJ37" s="332">
        <v>0</v>
      </c>
      <c r="AK37" s="74"/>
    </row>
    <row r="38" spans="3:37">
      <c r="C38" s="75"/>
      <c r="D38" s="472" t="s">
        <v>490</v>
      </c>
      <c r="E38" s="89"/>
      <c r="F38" s="89"/>
      <c r="G38" s="89"/>
      <c r="H38" s="89"/>
      <c r="I38" s="89"/>
      <c r="J38" s="89"/>
      <c r="K38" s="270">
        <f t="shared" ref="K38:W38" si="9">+K35-K36-K37</f>
        <v>0</v>
      </c>
      <c r="L38" s="270">
        <f t="shared" si="9"/>
        <v>0</v>
      </c>
      <c r="M38" s="270">
        <f t="shared" si="9"/>
        <v>0</v>
      </c>
      <c r="N38" s="270">
        <f t="shared" si="9"/>
        <v>0</v>
      </c>
      <c r="O38" s="270">
        <f t="shared" si="9"/>
        <v>0</v>
      </c>
      <c r="P38" s="270">
        <f t="shared" si="9"/>
        <v>0</v>
      </c>
      <c r="Q38" s="270">
        <f t="shared" si="9"/>
        <v>0</v>
      </c>
      <c r="R38" s="296">
        <f t="shared" si="9"/>
        <v>0</v>
      </c>
      <c r="S38" s="296">
        <f t="shared" si="9"/>
        <v>0</v>
      </c>
      <c r="T38" s="296">
        <f t="shared" si="9"/>
        <v>0</v>
      </c>
      <c r="U38" s="296">
        <f t="shared" si="9"/>
        <v>0</v>
      </c>
      <c r="V38" s="296">
        <f t="shared" si="9"/>
        <v>0</v>
      </c>
      <c r="W38" s="296">
        <f t="shared" si="9"/>
        <v>0</v>
      </c>
      <c r="X38" s="296">
        <f t="shared" ref="X38:AJ38" si="10">+X35-X36-X37</f>
        <v>2.5057695710859731</v>
      </c>
      <c r="Y38" s="296">
        <f t="shared" si="10"/>
        <v>6.1199081206768584</v>
      </c>
      <c r="Z38" s="296">
        <f t="shared" si="10"/>
        <v>13.030279469999998</v>
      </c>
      <c r="AA38" s="296">
        <f t="shared" si="10"/>
        <v>35.666920546341466</v>
      </c>
      <c r="AB38" s="296">
        <f t="shared" si="10"/>
        <v>9.0439053706127304</v>
      </c>
      <c r="AC38" s="296">
        <f t="shared" si="10"/>
        <v>0</v>
      </c>
      <c r="AD38" s="296">
        <f t="shared" si="10"/>
        <v>0</v>
      </c>
      <c r="AE38" s="296">
        <f t="shared" si="10"/>
        <v>0</v>
      </c>
      <c r="AF38" s="296">
        <f t="shared" si="10"/>
        <v>0</v>
      </c>
      <c r="AG38" s="296">
        <f t="shared" si="10"/>
        <v>0</v>
      </c>
      <c r="AH38" s="296">
        <f t="shared" si="10"/>
        <v>0</v>
      </c>
      <c r="AI38" s="296">
        <f t="shared" si="10"/>
        <v>0</v>
      </c>
      <c r="AJ38" s="296">
        <f t="shared" si="10"/>
        <v>0</v>
      </c>
      <c r="AK38" s="74"/>
    </row>
    <row r="39" spans="3:37">
      <c r="C39" s="75"/>
      <c r="D39" s="472"/>
      <c r="E39" s="89"/>
      <c r="F39" s="89"/>
      <c r="G39" s="89"/>
      <c r="H39" s="89"/>
      <c r="I39" s="89"/>
      <c r="J39" s="89"/>
      <c r="K39" s="270"/>
      <c r="L39" s="270"/>
      <c r="M39" s="270"/>
      <c r="N39" s="270"/>
      <c r="O39" s="270"/>
      <c r="P39" s="270"/>
      <c r="Q39" s="270"/>
      <c r="R39" s="296"/>
      <c r="S39" s="296"/>
      <c r="T39" s="296"/>
      <c r="U39" s="296"/>
      <c r="V39" s="296"/>
      <c r="W39" s="296"/>
      <c r="X39" s="296"/>
      <c r="Y39" s="296"/>
      <c r="Z39" s="296"/>
      <c r="AA39" s="296"/>
      <c r="AB39" s="296"/>
      <c r="AC39" s="296"/>
      <c r="AD39" s="296"/>
      <c r="AE39" s="296"/>
      <c r="AF39" s="296"/>
      <c r="AG39" s="296"/>
      <c r="AH39" s="296"/>
      <c r="AI39" s="296"/>
      <c r="AJ39" s="296"/>
      <c r="AK39" s="74"/>
    </row>
    <row r="40" spans="3:37">
      <c r="C40" s="75"/>
      <c r="D40" s="448" t="s">
        <v>272</v>
      </c>
      <c r="E40" s="89"/>
      <c r="F40" s="89"/>
      <c r="G40" s="89"/>
      <c r="H40" s="89"/>
      <c r="I40" s="89"/>
      <c r="J40" s="89"/>
      <c r="K40" s="1288"/>
      <c r="L40" s="1289"/>
      <c r="M40" s="1290"/>
      <c r="N40" s="1288"/>
      <c r="O40" s="1289"/>
      <c r="P40" s="1289"/>
      <c r="Q40" s="1289"/>
      <c r="R40" s="326"/>
      <c r="S40" s="324"/>
      <c r="T40" s="325"/>
      <c r="U40" s="449"/>
      <c r="V40" s="324"/>
      <c r="W40" s="325"/>
      <c r="X40" s="325"/>
      <c r="Y40" s="325"/>
      <c r="Z40" s="326"/>
      <c r="AA40" s="324"/>
      <c r="AB40" s="325"/>
      <c r="AC40" s="325"/>
      <c r="AD40" s="325"/>
      <c r="AE40" s="326"/>
      <c r="AF40" s="324"/>
      <c r="AG40" s="325"/>
      <c r="AH40" s="325"/>
      <c r="AI40" s="325"/>
      <c r="AJ40" s="326"/>
      <c r="AK40" s="74"/>
    </row>
    <row r="41" spans="3:37">
      <c r="C41" s="75"/>
      <c r="D41" s="448" t="s">
        <v>775</v>
      </c>
      <c r="E41" s="89"/>
      <c r="F41" s="89"/>
      <c r="G41" s="89"/>
      <c r="H41" s="89"/>
      <c r="I41" s="89"/>
      <c r="J41" s="89"/>
      <c r="K41" s="1291"/>
      <c r="L41" s="1292"/>
      <c r="M41" s="1293"/>
      <c r="N41" s="1291"/>
      <c r="O41" s="1292"/>
      <c r="P41" s="1292"/>
      <c r="Q41" s="1292"/>
      <c r="R41" s="332"/>
      <c r="S41" s="330"/>
      <c r="T41" s="331"/>
      <c r="U41" s="451">
        <v>23.410060587478554</v>
      </c>
      <c r="V41" s="330">
        <v>13.534646643765901</v>
      </c>
      <c r="W41" s="331">
        <v>28.509507271186436</v>
      </c>
      <c r="X41" s="331">
        <v>26.990682606334843</v>
      </c>
      <c r="Y41" s="331">
        <v>28.616558272925761</v>
      </c>
      <c r="Z41" s="332">
        <v>12.892799999999999</v>
      </c>
      <c r="AA41" s="330">
        <v>5.4485853658536589</v>
      </c>
      <c r="AB41" s="331">
        <v>0</v>
      </c>
      <c r="AC41" s="331">
        <v>0</v>
      </c>
      <c r="AD41" s="331">
        <v>0</v>
      </c>
      <c r="AE41" s="332">
        <v>0</v>
      </c>
      <c r="AF41" s="330">
        <v>0</v>
      </c>
      <c r="AG41" s="331">
        <v>0</v>
      </c>
      <c r="AH41" s="331">
        <v>0</v>
      </c>
      <c r="AI41" s="331">
        <v>0</v>
      </c>
      <c r="AJ41" s="332">
        <v>0</v>
      </c>
      <c r="AK41" s="74"/>
    </row>
    <row r="42" spans="3:37">
      <c r="C42" s="81"/>
      <c r="D42" s="68"/>
      <c r="E42" s="68"/>
      <c r="F42" s="68"/>
      <c r="G42" s="68"/>
      <c r="H42" s="68"/>
      <c r="I42" s="68"/>
      <c r="J42" s="68"/>
      <c r="K42" s="306"/>
      <c r="L42" s="306"/>
      <c r="M42" s="306"/>
      <c r="N42" s="306"/>
      <c r="O42" s="306"/>
      <c r="P42" s="306"/>
      <c r="Q42" s="306"/>
      <c r="R42" s="629"/>
      <c r="S42" s="629"/>
      <c r="T42" s="629"/>
      <c r="U42" s="629"/>
      <c r="V42" s="629"/>
      <c r="W42" s="629"/>
      <c r="X42" s="629"/>
      <c r="Y42" s="629"/>
      <c r="Z42" s="629"/>
      <c r="AA42" s="629"/>
      <c r="AB42" s="629"/>
      <c r="AC42" s="629"/>
      <c r="AD42" s="629"/>
      <c r="AE42" s="629"/>
      <c r="AF42" s="629"/>
      <c r="AG42" s="629"/>
      <c r="AH42" s="629"/>
      <c r="AI42" s="629"/>
      <c r="AJ42" s="629"/>
      <c r="AK42" s="83"/>
    </row>
    <row r="43" spans="3:37">
      <c r="K43" s="270"/>
      <c r="L43" s="270"/>
      <c r="M43" s="270"/>
      <c r="N43" s="270"/>
      <c r="O43" s="270"/>
      <c r="P43" s="270"/>
      <c r="Q43" s="270"/>
      <c r="R43" s="296"/>
      <c r="S43" s="296"/>
      <c r="T43" s="296"/>
      <c r="U43" s="296"/>
      <c r="V43" s="296"/>
      <c r="W43" s="296"/>
      <c r="X43" s="296"/>
      <c r="Y43" s="296"/>
      <c r="Z43" s="296"/>
      <c r="AA43" s="296"/>
      <c r="AB43" s="296"/>
      <c r="AC43" s="296"/>
      <c r="AD43" s="296"/>
      <c r="AE43" s="296"/>
      <c r="AF43" s="296"/>
      <c r="AG43" s="296"/>
      <c r="AH43" s="296"/>
      <c r="AI43" s="296"/>
      <c r="AJ43" s="296"/>
    </row>
    <row r="44" spans="3:37">
      <c r="C44" s="69"/>
      <c r="D44" s="2121" t="s">
        <v>960</v>
      </c>
      <c r="E44" s="2122"/>
      <c r="F44" s="2122"/>
      <c r="G44" s="2122"/>
      <c r="H44" s="2123"/>
      <c r="I44" s="70"/>
      <c r="J44" s="70"/>
      <c r="K44" s="303"/>
      <c r="L44" s="303"/>
      <c r="M44" s="303"/>
      <c r="N44" s="303"/>
      <c r="O44" s="303"/>
      <c r="P44" s="303"/>
      <c r="Q44" s="303"/>
      <c r="R44" s="627"/>
      <c r="S44" s="627"/>
      <c r="T44" s="627"/>
      <c r="U44" s="627"/>
      <c r="V44" s="627"/>
      <c r="W44" s="627"/>
      <c r="X44" s="627"/>
      <c r="Y44" s="627"/>
      <c r="Z44" s="627"/>
      <c r="AA44" s="627"/>
      <c r="AB44" s="627"/>
      <c r="AC44" s="627"/>
      <c r="AD44" s="627"/>
      <c r="AE44" s="627"/>
      <c r="AF44" s="627"/>
      <c r="AG44" s="627"/>
      <c r="AH44" s="627"/>
      <c r="AI44" s="627"/>
      <c r="AJ44" s="627"/>
      <c r="AK44" s="73"/>
    </row>
    <row r="45" spans="3:37">
      <c r="C45" s="75"/>
      <c r="D45" s="506"/>
      <c r="E45" s="506"/>
      <c r="F45" s="506"/>
      <c r="G45" s="506"/>
      <c r="K45" s="270"/>
      <c r="L45" s="270"/>
      <c r="M45" s="270"/>
      <c r="N45" s="270"/>
      <c r="O45" s="270"/>
      <c r="P45" s="270"/>
      <c r="Q45" s="270"/>
      <c r="R45" s="296"/>
      <c r="S45" s="296"/>
      <c r="T45" s="296"/>
      <c r="U45" s="296"/>
      <c r="V45" s="296"/>
      <c r="W45" s="296"/>
      <c r="X45" s="296"/>
      <c r="Y45" s="296"/>
      <c r="Z45" s="296"/>
      <c r="AA45" s="296"/>
      <c r="AB45" s="296"/>
      <c r="AC45" s="296"/>
      <c r="AD45" s="296"/>
      <c r="AE45" s="296"/>
      <c r="AF45" s="296"/>
      <c r="AG45" s="296"/>
      <c r="AH45" s="296"/>
      <c r="AI45" s="296"/>
      <c r="AJ45" s="296"/>
      <c r="AK45" s="74"/>
    </row>
    <row r="46" spans="3:37">
      <c r="C46" s="75"/>
      <c r="D46" s="506" t="s">
        <v>859</v>
      </c>
      <c r="E46" s="506"/>
      <c r="F46" s="506"/>
      <c r="G46" s="506"/>
      <c r="K46" s="1176"/>
      <c r="L46" s="1177"/>
      <c r="M46" s="1177"/>
      <c r="N46" s="1176"/>
      <c r="O46" s="1177"/>
      <c r="P46" s="1177"/>
      <c r="Q46" s="1177"/>
      <c r="R46" s="335"/>
      <c r="S46" s="333"/>
      <c r="T46" s="334"/>
      <c r="U46" s="336"/>
      <c r="V46" s="333"/>
      <c r="W46" s="334"/>
      <c r="X46" s="334"/>
      <c r="Y46" s="334"/>
      <c r="Z46" s="335"/>
      <c r="AA46" s="333"/>
      <c r="AB46" s="334"/>
      <c r="AC46" s="334"/>
      <c r="AD46" s="334"/>
      <c r="AE46" s="335"/>
      <c r="AF46" s="333"/>
      <c r="AG46" s="334"/>
      <c r="AH46" s="334"/>
      <c r="AI46" s="334"/>
      <c r="AJ46" s="335"/>
      <c r="AK46" s="74"/>
    </row>
    <row r="47" spans="3:37">
      <c r="C47" s="75"/>
      <c r="D47" s="506"/>
      <c r="E47" s="506"/>
      <c r="F47" s="506"/>
      <c r="G47" s="506"/>
      <c r="K47" s="270"/>
      <c r="L47" s="270"/>
      <c r="M47" s="270"/>
      <c r="N47" s="270"/>
      <c r="O47" s="270"/>
      <c r="P47" s="270"/>
      <c r="Q47" s="270"/>
      <c r="R47" s="630"/>
      <c r="S47" s="630"/>
      <c r="T47" s="630"/>
      <c r="U47" s="630"/>
      <c r="V47" s="630"/>
      <c r="W47" s="630"/>
      <c r="X47" s="630"/>
      <c r="Y47" s="630"/>
      <c r="Z47" s="630"/>
      <c r="AA47" s="630"/>
      <c r="AB47" s="630"/>
      <c r="AC47" s="630"/>
      <c r="AD47" s="630"/>
      <c r="AE47" s="630"/>
      <c r="AF47" s="630"/>
      <c r="AG47" s="630"/>
      <c r="AH47" s="630"/>
      <c r="AI47" s="630"/>
      <c r="AJ47" s="630"/>
      <c r="AK47" s="74"/>
    </row>
    <row r="48" spans="3:37">
      <c r="C48" s="75"/>
      <c r="D48" s="506" t="s">
        <v>104</v>
      </c>
      <c r="E48" s="506"/>
      <c r="F48" s="506"/>
      <c r="G48" s="506"/>
      <c r="K48" s="1176"/>
      <c r="L48" s="1177"/>
      <c r="M48" s="1177"/>
      <c r="N48" s="1176"/>
      <c r="O48" s="1177"/>
      <c r="P48" s="1177"/>
      <c r="Q48" s="1177"/>
      <c r="R48" s="335"/>
      <c r="S48" s="333"/>
      <c r="T48" s="334"/>
      <c r="U48" s="336"/>
      <c r="V48" s="333"/>
      <c r="W48" s="334"/>
      <c r="X48" s="334"/>
      <c r="Y48" s="334"/>
      <c r="Z48" s="335"/>
      <c r="AA48" s="333"/>
      <c r="AB48" s="334"/>
      <c r="AC48" s="334"/>
      <c r="AD48" s="334"/>
      <c r="AE48" s="335"/>
      <c r="AF48" s="333"/>
      <c r="AG48" s="334"/>
      <c r="AH48" s="334"/>
      <c r="AI48" s="334"/>
      <c r="AJ48" s="335"/>
      <c r="AK48" s="74"/>
    </row>
    <row r="49" spans="3:37">
      <c r="C49" s="75"/>
      <c r="D49" s="506"/>
      <c r="E49" s="506"/>
      <c r="F49" s="506"/>
      <c r="G49" s="506"/>
      <c r="K49" s="270"/>
      <c r="L49" s="270"/>
      <c r="M49" s="270"/>
      <c r="N49" s="270"/>
      <c r="O49" s="270"/>
      <c r="P49" s="270"/>
      <c r="Q49" s="270"/>
      <c r="R49" s="630"/>
      <c r="S49" s="630"/>
      <c r="T49" s="630"/>
      <c r="U49" s="630"/>
      <c r="V49" s="630"/>
      <c r="W49" s="630"/>
      <c r="X49" s="630"/>
      <c r="Y49" s="630"/>
      <c r="Z49" s="630"/>
      <c r="AA49" s="630"/>
      <c r="AB49" s="630"/>
      <c r="AC49" s="630"/>
      <c r="AD49" s="630"/>
      <c r="AE49" s="630"/>
      <c r="AF49" s="630"/>
      <c r="AG49" s="630"/>
      <c r="AH49" s="630"/>
      <c r="AI49" s="630"/>
      <c r="AJ49" s="630"/>
      <c r="AK49" s="74"/>
    </row>
    <row r="50" spans="3:37">
      <c r="C50" s="75"/>
      <c r="D50" s="448" t="s">
        <v>487</v>
      </c>
      <c r="K50" s="1288"/>
      <c r="L50" s="1289"/>
      <c r="M50" s="1290"/>
      <c r="N50" s="1288"/>
      <c r="O50" s="1289"/>
      <c r="P50" s="1289"/>
      <c r="Q50" s="1289"/>
      <c r="R50" s="326"/>
      <c r="S50" s="324"/>
      <c r="T50" s="325"/>
      <c r="U50" s="449"/>
      <c r="V50" s="324"/>
      <c r="W50" s="325"/>
      <c r="X50" s="325"/>
      <c r="Y50" s="325"/>
      <c r="Z50" s="326"/>
      <c r="AA50" s="324"/>
      <c r="AB50" s="325"/>
      <c r="AC50" s="325"/>
      <c r="AD50" s="325"/>
      <c r="AE50" s="326"/>
      <c r="AF50" s="324"/>
      <c r="AG50" s="325"/>
      <c r="AH50" s="325"/>
      <c r="AI50" s="325"/>
      <c r="AJ50" s="326"/>
      <c r="AK50" s="74"/>
    </row>
    <row r="51" spans="3:37">
      <c r="C51" s="628"/>
      <c r="D51" s="448" t="s">
        <v>488</v>
      </c>
      <c r="K51" s="1296"/>
      <c r="L51" s="1297"/>
      <c r="M51" s="1298"/>
      <c r="N51" s="1296"/>
      <c r="O51" s="1297"/>
      <c r="P51" s="1297"/>
      <c r="Q51" s="1297"/>
      <c r="R51" s="329"/>
      <c r="S51" s="327"/>
      <c r="T51" s="328"/>
      <c r="U51" s="450"/>
      <c r="V51" s="327"/>
      <c r="W51" s="328"/>
      <c r="X51" s="328"/>
      <c r="Y51" s="328"/>
      <c r="Z51" s="329"/>
      <c r="AA51" s="327"/>
      <c r="AB51" s="328"/>
      <c r="AC51" s="328"/>
      <c r="AD51" s="328"/>
      <c r="AE51" s="329"/>
      <c r="AF51" s="327"/>
      <c r="AG51" s="328"/>
      <c r="AH51" s="328"/>
      <c r="AI51" s="328"/>
      <c r="AJ51" s="329"/>
      <c r="AK51" s="74"/>
    </row>
    <row r="52" spans="3:37">
      <c r="C52" s="75"/>
      <c r="D52" s="448" t="s">
        <v>489</v>
      </c>
      <c r="K52" s="1291"/>
      <c r="L52" s="1292"/>
      <c r="M52" s="1293"/>
      <c r="N52" s="1291"/>
      <c r="O52" s="1292"/>
      <c r="P52" s="1292"/>
      <c r="Q52" s="1292"/>
      <c r="R52" s="332"/>
      <c r="S52" s="330"/>
      <c r="T52" s="331"/>
      <c r="U52" s="451"/>
      <c r="V52" s="330"/>
      <c r="W52" s="331"/>
      <c r="X52" s="331"/>
      <c r="Y52" s="331"/>
      <c r="Z52" s="332"/>
      <c r="AA52" s="330"/>
      <c r="AB52" s="331"/>
      <c r="AC52" s="331"/>
      <c r="AD52" s="331"/>
      <c r="AE52" s="332"/>
      <c r="AF52" s="330"/>
      <c r="AG52" s="331"/>
      <c r="AH52" s="331"/>
      <c r="AI52" s="331"/>
      <c r="AJ52" s="332"/>
      <c r="AK52" s="74"/>
    </row>
    <row r="53" spans="3:37">
      <c r="C53" s="75"/>
      <c r="D53" s="472" t="s">
        <v>490</v>
      </c>
      <c r="E53" s="89"/>
      <c r="F53" s="89"/>
      <c r="G53" s="89"/>
      <c r="H53" s="89"/>
      <c r="I53" s="89"/>
      <c r="J53" s="89"/>
      <c r="K53" s="270">
        <f t="shared" ref="K53:W53" si="11">+K50-K51-K52</f>
        <v>0</v>
      </c>
      <c r="L53" s="270">
        <f t="shared" si="11"/>
        <v>0</v>
      </c>
      <c r="M53" s="270">
        <f t="shared" si="11"/>
        <v>0</v>
      </c>
      <c r="N53" s="270">
        <f t="shared" si="11"/>
        <v>0</v>
      </c>
      <c r="O53" s="270">
        <f t="shared" si="11"/>
        <v>0</v>
      </c>
      <c r="P53" s="270">
        <f t="shared" si="11"/>
        <v>0</v>
      </c>
      <c r="Q53" s="270">
        <f t="shared" si="11"/>
        <v>0</v>
      </c>
      <c r="R53" s="296">
        <f t="shared" si="11"/>
        <v>0</v>
      </c>
      <c r="S53" s="296">
        <f t="shared" si="11"/>
        <v>0</v>
      </c>
      <c r="T53" s="296">
        <f t="shared" si="11"/>
        <v>0</v>
      </c>
      <c r="U53" s="296">
        <f t="shared" si="11"/>
        <v>0</v>
      </c>
      <c r="V53" s="296">
        <f t="shared" si="11"/>
        <v>0</v>
      </c>
      <c r="W53" s="296">
        <f t="shared" si="11"/>
        <v>0</v>
      </c>
      <c r="X53" s="296">
        <f t="shared" ref="X53:AJ53" si="12">+X50-X51-X52</f>
        <v>0</v>
      </c>
      <c r="Y53" s="296">
        <f t="shared" si="12"/>
        <v>0</v>
      </c>
      <c r="Z53" s="296">
        <f t="shared" si="12"/>
        <v>0</v>
      </c>
      <c r="AA53" s="296">
        <f t="shared" si="12"/>
        <v>0</v>
      </c>
      <c r="AB53" s="296">
        <f t="shared" si="12"/>
        <v>0</v>
      </c>
      <c r="AC53" s="296">
        <f t="shared" si="12"/>
        <v>0</v>
      </c>
      <c r="AD53" s="296">
        <f t="shared" si="12"/>
        <v>0</v>
      </c>
      <c r="AE53" s="296">
        <f t="shared" si="12"/>
        <v>0</v>
      </c>
      <c r="AF53" s="296">
        <f t="shared" si="12"/>
        <v>0</v>
      </c>
      <c r="AG53" s="296">
        <f t="shared" si="12"/>
        <v>0</v>
      </c>
      <c r="AH53" s="296">
        <f t="shared" si="12"/>
        <v>0</v>
      </c>
      <c r="AI53" s="296">
        <f t="shared" si="12"/>
        <v>0</v>
      </c>
      <c r="AJ53" s="296">
        <f t="shared" si="12"/>
        <v>0</v>
      </c>
      <c r="AK53" s="74"/>
    </row>
    <row r="54" spans="3:37">
      <c r="C54" s="75"/>
      <c r="D54" s="472"/>
      <c r="E54" s="89"/>
      <c r="F54" s="89"/>
      <c r="G54" s="89"/>
      <c r="H54" s="89"/>
      <c r="I54" s="89"/>
      <c r="J54" s="89"/>
      <c r="K54" s="270"/>
      <c r="L54" s="270"/>
      <c r="M54" s="270"/>
      <c r="N54" s="270"/>
      <c r="O54" s="270"/>
      <c r="P54" s="270"/>
      <c r="Q54" s="270"/>
      <c r="R54" s="296"/>
      <c r="S54" s="296"/>
      <c r="T54" s="296"/>
      <c r="U54" s="296"/>
      <c r="V54" s="296"/>
      <c r="W54" s="296"/>
      <c r="X54" s="296"/>
      <c r="Y54" s="296"/>
      <c r="Z54" s="296"/>
      <c r="AA54" s="296"/>
      <c r="AB54" s="296"/>
      <c r="AC54" s="296"/>
      <c r="AD54" s="296"/>
      <c r="AE54" s="296"/>
      <c r="AF54" s="296"/>
      <c r="AG54" s="296"/>
      <c r="AH54" s="296"/>
      <c r="AI54" s="296"/>
      <c r="AJ54" s="296"/>
      <c r="AK54" s="74"/>
    </row>
    <row r="55" spans="3:37">
      <c r="C55" s="75"/>
      <c r="D55" s="448" t="s">
        <v>272</v>
      </c>
      <c r="E55" s="89"/>
      <c r="F55" s="89"/>
      <c r="G55" s="89"/>
      <c r="H55" s="89"/>
      <c r="I55" s="89"/>
      <c r="J55" s="89"/>
      <c r="K55" s="1288"/>
      <c r="L55" s="1289"/>
      <c r="M55" s="1290"/>
      <c r="N55" s="1288"/>
      <c r="O55" s="1289"/>
      <c r="P55" s="1289"/>
      <c r="Q55" s="1289"/>
      <c r="R55" s="326"/>
      <c r="S55" s="324"/>
      <c r="T55" s="325"/>
      <c r="U55" s="449"/>
      <c r="V55" s="324"/>
      <c r="W55" s="325"/>
      <c r="X55" s="325"/>
      <c r="Y55" s="325"/>
      <c r="Z55" s="326"/>
      <c r="AA55" s="324"/>
      <c r="AB55" s="325"/>
      <c r="AC55" s="325"/>
      <c r="AD55" s="325"/>
      <c r="AE55" s="326"/>
      <c r="AF55" s="324"/>
      <c r="AG55" s="325"/>
      <c r="AH55" s="325"/>
      <c r="AI55" s="325"/>
      <c r="AJ55" s="326"/>
      <c r="AK55" s="74"/>
    </row>
    <row r="56" spans="3:37">
      <c r="C56" s="75"/>
      <c r="D56" s="448" t="s">
        <v>775</v>
      </c>
      <c r="E56" s="89"/>
      <c r="F56" s="89"/>
      <c r="G56" s="89"/>
      <c r="H56" s="89"/>
      <c r="I56" s="89"/>
      <c r="J56" s="89"/>
      <c r="K56" s="1291"/>
      <c r="L56" s="1292"/>
      <c r="M56" s="1293"/>
      <c r="N56" s="1291"/>
      <c r="O56" s="1292"/>
      <c r="P56" s="1292"/>
      <c r="Q56" s="1292"/>
      <c r="R56" s="332"/>
      <c r="S56" s="330"/>
      <c r="T56" s="331"/>
      <c r="U56" s="451"/>
      <c r="V56" s="330"/>
      <c r="W56" s="331"/>
      <c r="X56" s="331"/>
      <c r="Y56" s="331"/>
      <c r="Z56" s="332"/>
      <c r="AA56" s="330"/>
      <c r="AB56" s="331"/>
      <c r="AC56" s="331"/>
      <c r="AD56" s="331"/>
      <c r="AE56" s="332"/>
      <c r="AF56" s="330"/>
      <c r="AG56" s="331"/>
      <c r="AH56" s="331"/>
      <c r="AI56" s="331"/>
      <c r="AJ56" s="332"/>
      <c r="AK56" s="74"/>
    </row>
    <row r="57" spans="3:37">
      <c r="C57" s="81"/>
      <c r="D57" s="68"/>
      <c r="E57" s="68"/>
      <c r="F57" s="68"/>
      <c r="G57" s="68"/>
      <c r="H57" s="68"/>
      <c r="I57" s="68"/>
      <c r="J57" s="68"/>
      <c r="K57" s="306"/>
      <c r="L57" s="306"/>
      <c r="M57" s="306"/>
      <c r="N57" s="306"/>
      <c r="O57" s="306"/>
      <c r="P57" s="306"/>
      <c r="Q57" s="306"/>
      <c r="R57" s="629"/>
      <c r="S57" s="629"/>
      <c r="T57" s="629"/>
      <c r="U57" s="629"/>
      <c r="V57" s="629"/>
      <c r="W57" s="629"/>
      <c r="X57" s="629"/>
      <c r="Y57" s="629"/>
      <c r="Z57" s="629"/>
      <c r="AA57" s="629"/>
      <c r="AB57" s="629"/>
      <c r="AC57" s="629"/>
      <c r="AD57" s="629"/>
      <c r="AE57" s="629"/>
      <c r="AF57" s="629"/>
      <c r="AG57" s="629"/>
      <c r="AH57" s="629"/>
      <c r="AI57" s="629"/>
      <c r="AJ57" s="629"/>
      <c r="AK57" s="83"/>
    </row>
    <row r="58" spans="3:37">
      <c r="K58" s="431"/>
      <c r="L58" s="431"/>
      <c r="M58" s="431"/>
      <c r="N58" s="431"/>
      <c r="O58" s="431"/>
      <c r="P58" s="431"/>
      <c r="Q58" s="431"/>
      <c r="R58" s="293"/>
      <c r="S58" s="293"/>
      <c r="T58" s="293"/>
      <c r="U58" s="293"/>
      <c r="V58" s="293"/>
      <c r="W58" s="293"/>
      <c r="X58" s="293"/>
      <c r="Y58" s="293"/>
      <c r="Z58" s="293"/>
      <c r="AA58" s="293"/>
      <c r="AB58" s="293"/>
      <c r="AC58" s="293"/>
      <c r="AD58" s="293"/>
      <c r="AE58" s="293"/>
      <c r="AF58" s="293"/>
      <c r="AG58" s="293"/>
      <c r="AH58" s="293"/>
      <c r="AI58" s="293"/>
      <c r="AJ58" s="293"/>
    </row>
    <row r="59" spans="3:37">
      <c r="C59" s="69"/>
      <c r="D59" s="2121" t="s">
        <v>961</v>
      </c>
      <c r="E59" s="2122"/>
      <c r="F59" s="2122"/>
      <c r="G59" s="2122"/>
      <c r="H59" s="2123"/>
      <c r="I59" s="70"/>
      <c r="J59" s="70"/>
      <c r="K59" s="303"/>
      <c r="L59" s="303"/>
      <c r="M59" s="303"/>
      <c r="N59" s="303"/>
      <c r="O59" s="303"/>
      <c r="P59" s="303"/>
      <c r="Q59" s="303"/>
      <c r="R59" s="627"/>
      <c r="S59" s="627"/>
      <c r="T59" s="627"/>
      <c r="U59" s="627"/>
      <c r="V59" s="627"/>
      <c r="W59" s="627"/>
      <c r="X59" s="627"/>
      <c r="Y59" s="627"/>
      <c r="Z59" s="627"/>
      <c r="AA59" s="627"/>
      <c r="AB59" s="627"/>
      <c r="AC59" s="627"/>
      <c r="AD59" s="627"/>
      <c r="AE59" s="627"/>
      <c r="AF59" s="627"/>
      <c r="AG59" s="627"/>
      <c r="AH59" s="627"/>
      <c r="AI59" s="627"/>
      <c r="AJ59" s="627"/>
      <c r="AK59" s="73"/>
    </row>
    <row r="60" spans="3:37">
      <c r="C60" s="75"/>
      <c r="D60" s="506"/>
      <c r="E60" s="506"/>
      <c r="F60" s="506"/>
      <c r="G60" s="506"/>
      <c r="K60" s="270"/>
      <c r="L60" s="270"/>
      <c r="M60" s="270"/>
      <c r="N60" s="270"/>
      <c r="O60" s="270"/>
      <c r="P60" s="270"/>
      <c r="Q60" s="270"/>
      <c r="R60" s="296"/>
      <c r="S60" s="296"/>
      <c r="T60" s="296"/>
      <c r="U60" s="296"/>
      <c r="V60" s="296"/>
      <c r="W60" s="296"/>
      <c r="X60" s="296"/>
      <c r="Y60" s="296"/>
      <c r="Z60" s="296"/>
      <c r="AA60" s="296"/>
      <c r="AB60" s="296"/>
      <c r="AC60" s="296"/>
      <c r="AD60" s="296"/>
      <c r="AE60" s="296"/>
      <c r="AF60" s="296"/>
      <c r="AG60" s="296"/>
      <c r="AH60" s="296"/>
      <c r="AI60" s="296"/>
      <c r="AJ60" s="296"/>
      <c r="AK60" s="74"/>
    </row>
    <row r="61" spans="3:37">
      <c r="C61" s="75"/>
      <c r="D61" s="506" t="s">
        <v>859</v>
      </c>
      <c r="E61" s="506"/>
      <c r="F61" s="506"/>
      <c r="G61" s="506"/>
      <c r="K61" s="1176"/>
      <c r="L61" s="1177"/>
      <c r="M61" s="1177"/>
      <c r="N61" s="1176"/>
      <c r="O61" s="1177"/>
      <c r="P61" s="1177"/>
      <c r="Q61" s="1177"/>
      <c r="R61" s="335"/>
      <c r="S61" s="333"/>
      <c r="T61" s="334"/>
      <c r="U61" s="336"/>
      <c r="V61" s="333"/>
      <c r="W61" s="334"/>
      <c r="X61" s="334"/>
      <c r="Y61" s="334"/>
      <c r="Z61" s="335"/>
      <c r="AA61" s="333"/>
      <c r="AB61" s="334"/>
      <c r="AC61" s="334"/>
      <c r="AD61" s="334"/>
      <c r="AE61" s="335"/>
      <c r="AF61" s="333"/>
      <c r="AG61" s="334"/>
      <c r="AH61" s="334"/>
      <c r="AI61" s="334"/>
      <c r="AJ61" s="335"/>
      <c r="AK61" s="74"/>
    </row>
    <row r="62" spans="3:37">
      <c r="C62" s="75"/>
      <c r="D62" s="506"/>
      <c r="E62" s="506"/>
      <c r="F62" s="506"/>
      <c r="G62" s="506"/>
      <c r="K62" s="270"/>
      <c r="L62" s="270"/>
      <c r="M62" s="270"/>
      <c r="N62" s="270"/>
      <c r="O62" s="270"/>
      <c r="P62" s="270"/>
      <c r="Q62" s="270"/>
      <c r="R62" s="630"/>
      <c r="S62" s="630"/>
      <c r="T62" s="630"/>
      <c r="U62" s="630"/>
      <c r="V62" s="630"/>
      <c r="W62" s="630"/>
      <c r="X62" s="630"/>
      <c r="Y62" s="630"/>
      <c r="Z62" s="630"/>
      <c r="AA62" s="630"/>
      <c r="AB62" s="630"/>
      <c r="AC62" s="630"/>
      <c r="AD62" s="630"/>
      <c r="AE62" s="630"/>
      <c r="AF62" s="630"/>
      <c r="AG62" s="630"/>
      <c r="AH62" s="630"/>
      <c r="AI62" s="630"/>
      <c r="AJ62" s="630"/>
      <c r="AK62" s="74"/>
    </row>
    <row r="63" spans="3:37">
      <c r="C63" s="75"/>
      <c r="D63" s="506" t="s">
        <v>104</v>
      </c>
      <c r="E63" s="506"/>
      <c r="F63" s="506"/>
      <c r="G63" s="506"/>
      <c r="K63" s="1176"/>
      <c r="L63" s="1177"/>
      <c r="M63" s="1177"/>
      <c r="N63" s="1176"/>
      <c r="O63" s="1177"/>
      <c r="P63" s="1177"/>
      <c r="Q63" s="1177"/>
      <c r="R63" s="335"/>
      <c r="S63" s="333"/>
      <c r="T63" s="334"/>
      <c r="U63" s="336"/>
      <c r="V63" s="333"/>
      <c r="W63" s="334"/>
      <c r="X63" s="334"/>
      <c r="Y63" s="334"/>
      <c r="Z63" s="335"/>
      <c r="AA63" s="333"/>
      <c r="AB63" s="334"/>
      <c r="AC63" s="334"/>
      <c r="AD63" s="334"/>
      <c r="AE63" s="335"/>
      <c r="AF63" s="333"/>
      <c r="AG63" s="334"/>
      <c r="AH63" s="334"/>
      <c r="AI63" s="334"/>
      <c r="AJ63" s="335"/>
      <c r="AK63" s="74"/>
    </row>
    <row r="64" spans="3:37">
      <c r="C64" s="75"/>
      <c r="D64" s="506"/>
      <c r="E64" s="506"/>
      <c r="F64" s="506"/>
      <c r="G64" s="506"/>
      <c r="K64" s="270"/>
      <c r="L64" s="270"/>
      <c r="M64" s="270"/>
      <c r="N64" s="270"/>
      <c r="O64" s="270"/>
      <c r="P64" s="270"/>
      <c r="Q64" s="270"/>
      <c r="R64" s="630"/>
      <c r="S64" s="630"/>
      <c r="T64" s="630"/>
      <c r="U64" s="630"/>
      <c r="V64" s="630"/>
      <c r="W64" s="630"/>
      <c r="X64" s="630"/>
      <c r="Y64" s="630"/>
      <c r="Z64" s="630"/>
      <c r="AA64" s="630"/>
      <c r="AB64" s="630"/>
      <c r="AC64" s="630"/>
      <c r="AD64" s="630"/>
      <c r="AE64" s="630"/>
      <c r="AF64" s="630"/>
      <c r="AG64" s="630"/>
      <c r="AH64" s="630"/>
      <c r="AI64" s="630"/>
      <c r="AJ64" s="630"/>
      <c r="AK64" s="74"/>
    </row>
    <row r="65" spans="3:37">
      <c r="C65" s="75"/>
      <c r="D65" s="448" t="s">
        <v>487</v>
      </c>
      <c r="K65" s="1288"/>
      <c r="L65" s="1289"/>
      <c r="M65" s="1290"/>
      <c r="N65" s="1288"/>
      <c r="O65" s="1289"/>
      <c r="P65" s="1289"/>
      <c r="Q65" s="1289"/>
      <c r="R65" s="326"/>
      <c r="S65" s="324"/>
      <c r="T65" s="325"/>
      <c r="U65" s="449"/>
      <c r="V65" s="324"/>
      <c r="W65" s="325"/>
      <c r="X65" s="325"/>
      <c r="Y65" s="325"/>
      <c r="Z65" s="326"/>
      <c r="AA65" s="324"/>
      <c r="AB65" s="325"/>
      <c r="AC65" s="325"/>
      <c r="AD65" s="325"/>
      <c r="AE65" s="326"/>
      <c r="AF65" s="324"/>
      <c r="AG65" s="325"/>
      <c r="AH65" s="325"/>
      <c r="AI65" s="325"/>
      <c r="AJ65" s="326"/>
      <c r="AK65" s="74"/>
    </row>
    <row r="66" spans="3:37">
      <c r="C66" s="628"/>
      <c r="D66" s="448" t="s">
        <v>488</v>
      </c>
      <c r="K66" s="1296"/>
      <c r="L66" s="1297"/>
      <c r="M66" s="1298"/>
      <c r="N66" s="1296"/>
      <c r="O66" s="1297"/>
      <c r="P66" s="1297"/>
      <c r="Q66" s="1297"/>
      <c r="R66" s="329"/>
      <c r="S66" s="327"/>
      <c r="T66" s="328"/>
      <c r="U66" s="450"/>
      <c r="V66" s="327"/>
      <c r="W66" s="328"/>
      <c r="X66" s="328"/>
      <c r="Y66" s="328"/>
      <c r="Z66" s="329"/>
      <c r="AA66" s="327"/>
      <c r="AB66" s="328"/>
      <c r="AC66" s="328"/>
      <c r="AD66" s="328"/>
      <c r="AE66" s="329"/>
      <c r="AF66" s="327"/>
      <c r="AG66" s="328"/>
      <c r="AH66" s="328"/>
      <c r="AI66" s="328"/>
      <c r="AJ66" s="329"/>
      <c r="AK66" s="74"/>
    </row>
    <row r="67" spans="3:37">
      <c r="C67" s="75"/>
      <c r="D67" s="448" t="s">
        <v>489</v>
      </c>
      <c r="K67" s="1291"/>
      <c r="L67" s="1292"/>
      <c r="M67" s="1293"/>
      <c r="N67" s="1291"/>
      <c r="O67" s="1292"/>
      <c r="P67" s="1292"/>
      <c r="Q67" s="1292"/>
      <c r="R67" s="332"/>
      <c r="S67" s="330"/>
      <c r="T67" s="331"/>
      <c r="U67" s="451"/>
      <c r="V67" s="330"/>
      <c r="W67" s="331"/>
      <c r="X67" s="331"/>
      <c r="Y67" s="331"/>
      <c r="Z67" s="332"/>
      <c r="AA67" s="330"/>
      <c r="AB67" s="331"/>
      <c r="AC67" s="331"/>
      <c r="AD67" s="331"/>
      <c r="AE67" s="332"/>
      <c r="AF67" s="330"/>
      <c r="AG67" s="331"/>
      <c r="AH67" s="331"/>
      <c r="AI67" s="331"/>
      <c r="AJ67" s="332"/>
      <c r="AK67" s="74"/>
    </row>
    <row r="68" spans="3:37">
      <c r="C68" s="75"/>
      <c r="D68" s="472" t="s">
        <v>490</v>
      </c>
      <c r="E68" s="89"/>
      <c r="F68" s="89"/>
      <c r="G68" s="89"/>
      <c r="H68" s="89"/>
      <c r="I68" s="89"/>
      <c r="J68" s="89"/>
      <c r="K68" s="270">
        <f t="shared" ref="K68:W68" si="13">+K65-K66-K67</f>
        <v>0</v>
      </c>
      <c r="L68" s="270">
        <f t="shared" si="13"/>
        <v>0</v>
      </c>
      <c r="M68" s="270">
        <f t="shared" si="13"/>
        <v>0</v>
      </c>
      <c r="N68" s="270">
        <f t="shared" si="13"/>
        <v>0</v>
      </c>
      <c r="O68" s="270">
        <f t="shared" si="13"/>
        <v>0</v>
      </c>
      <c r="P68" s="270">
        <f t="shared" si="13"/>
        <v>0</v>
      </c>
      <c r="Q68" s="270">
        <f t="shared" si="13"/>
        <v>0</v>
      </c>
      <c r="R68" s="296">
        <f t="shared" si="13"/>
        <v>0</v>
      </c>
      <c r="S68" s="296">
        <f t="shared" si="13"/>
        <v>0</v>
      </c>
      <c r="T68" s="296">
        <f t="shared" si="13"/>
        <v>0</v>
      </c>
      <c r="U68" s="296">
        <f t="shared" si="13"/>
        <v>0</v>
      </c>
      <c r="V68" s="296">
        <f t="shared" si="13"/>
        <v>0</v>
      </c>
      <c r="W68" s="296">
        <f t="shared" si="13"/>
        <v>0</v>
      </c>
      <c r="X68" s="296">
        <f t="shared" ref="X68:AJ68" si="14">+X65-X66-X67</f>
        <v>0</v>
      </c>
      <c r="Y68" s="296">
        <f t="shared" si="14"/>
        <v>0</v>
      </c>
      <c r="Z68" s="296">
        <f t="shared" si="14"/>
        <v>0</v>
      </c>
      <c r="AA68" s="296">
        <f t="shared" si="14"/>
        <v>0</v>
      </c>
      <c r="AB68" s="296">
        <f t="shared" si="14"/>
        <v>0</v>
      </c>
      <c r="AC68" s="296">
        <f t="shared" si="14"/>
        <v>0</v>
      </c>
      <c r="AD68" s="296">
        <f t="shared" si="14"/>
        <v>0</v>
      </c>
      <c r="AE68" s="296">
        <f t="shared" si="14"/>
        <v>0</v>
      </c>
      <c r="AF68" s="296">
        <f t="shared" si="14"/>
        <v>0</v>
      </c>
      <c r="AG68" s="296">
        <f t="shared" si="14"/>
        <v>0</v>
      </c>
      <c r="AH68" s="296">
        <f t="shared" si="14"/>
        <v>0</v>
      </c>
      <c r="AI68" s="296">
        <f t="shared" si="14"/>
        <v>0</v>
      </c>
      <c r="AJ68" s="296">
        <f t="shared" si="14"/>
        <v>0</v>
      </c>
      <c r="AK68" s="74"/>
    </row>
    <row r="69" spans="3:37">
      <c r="C69" s="75"/>
      <c r="D69" s="472"/>
      <c r="E69" s="89"/>
      <c r="F69" s="89"/>
      <c r="G69" s="89"/>
      <c r="H69" s="89"/>
      <c r="I69" s="89"/>
      <c r="J69" s="89"/>
      <c r="K69" s="270"/>
      <c r="L69" s="270"/>
      <c r="M69" s="270"/>
      <c r="N69" s="270"/>
      <c r="O69" s="270"/>
      <c r="P69" s="270"/>
      <c r="Q69" s="270"/>
      <c r="R69" s="296"/>
      <c r="S69" s="296"/>
      <c r="T69" s="296"/>
      <c r="U69" s="296"/>
      <c r="V69" s="296"/>
      <c r="W69" s="296"/>
      <c r="X69" s="296"/>
      <c r="Y69" s="296"/>
      <c r="Z69" s="296"/>
      <c r="AA69" s="296"/>
      <c r="AB69" s="296"/>
      <c r="AC69" s="296"/>
      <c r="AD69" s="296"/>
      <c r="AE69" s="296"/>
      <c r="AF69" s="296"/>
      <c r="AG69" s="296"/>
      <c r="AH69" s="296"/>
      <c r="AI69" s="296"/>
      <c r="AJ69" s="296"/>
      <c r="AK69" s="74"/>
    </row>
    <row r="70" spans="3:37">
      <c r="C70" s="75"/>
      <c r="D70" s="448" t="s">
        <v>272</v>
      </c>
      <c r="E70" s="89"/>
      <c r="F70" s="89"/>
      <c r="G70" s="89"/>
      <c r="H70" s="89"/>
      <c r="I70" s="89"/>
      <c r="J70" s="89"/>
      <c r="K70" s="1288"/>
      <c r="L70" s="1289"/>
      <c r="M70" s="1290"/>
      <c r="N70" s="1288"/>
      <c r="O70" s="1289"/>
      <c r="P70" s="1289"/>
      <c r="Q70" s="1289"/>
      <c r="R70" s="326"/>
      <c r="S70" s="324"/>
      <c r="T70" s="325"/>
      <c r="U70" s="449"/>
      <c r="V70" s="324"/>
      <c r="W70" s="325"/>
      <c r="X70" s="325"/>
      <c r="Y70" s="325"/>
      <c r="Z70" s="326"/>
      <c r="AA70" s="324"/>
      <c r="AB70" s="325"/>
      <c r="AC70" s="325"/>
      <c r="AD70" s="325"/>
      <c r="AE70" s="326"/>
      <c r="AF70" s="324"/>
      <c r="AG70" s="325"/>
      <c r="AH70" s="325"/>
      <c r="AI70" s="325"/>
      <c r="AJ70" s="326"/>
      <c r="AK70" s="74"/>
    </row>
    <row r="71" spans="3:37">
      <c r="C71" s="75"/>
      <c r="D71" s="448" t="s">
        <v>775</v>
      </c>
      <c r="E71" s="89"/>
      <c r="F71" s="89"/>
      <c r="G71" s="89"/>
      <c r="H71" s="89"/>
      <c r="I71" s="89"/>
      <c r="J71" s="89"/>
      <c r="K71" s="1291"/>
      <c r="L71" s="1292"/>
      <c r="M71" s="1293"/>
      <c r="N71" s="1291"/>
      <c r="O71" s="1292"/>
      <c r="P71" s="1292"/>
      <c r="Q71" s="1292"/>
      <c r="R71" s="332"/>
      <c r="S71" s="330"/>
      <c r="T71" s="331"/>
      <c r="U71" s="451"/>
      <c r="V71" s="330"/>
      <c r="W71" s="331"/>
      <c r="X71" s="331"/>
      <c r="Y71" s="331"/>
      <c r="Z71" s="332"/>
      <c r="AA71" s="330"/>
      <c r="AB71" s="331"/>
      <c r="AC71" s="331"/>
      <c r="AD71" s="331"/>
      <c r="AE71" s="332"/>
      <c r="AF71" s="330"/>
      <c r="AG71" s="331"/>
      <c r="AH71" s="331"/>
      <c r="AI71" s="331"/>
      <c r="AJ71" s="332"/>
      <c r="AK71" s="74"/>
    </row>
    <row r="72" spans="3:37">
      <c r="C72" s="81"/>
      <c r="D72" s="68"/>
      <c r="E72" s="68"/>
      <c r="F72" s="68"/>
      <c r="G72" s="68"/>
      <c r="H72" s="68"/>
      <c r="I72" s="68"/>
      <c r="J72" s="68"/>
      <c r="K72" s="306"/>
      <c r="L72" s="306"/>
      <c r="M72" s="306"/>
      <c r="N72" s="306"/>
      <c r="O72" s="306"/>
      <c r="P72" s="306"/>
      <c r="Q72" s="306"/>
      <c r="R72" s="629"/>
      <c r="S72" s="629"/>
      <c r="T72" s="629"/>
      <c r="U72" s="629"/>
      <c r="V72" s="629"/>
      <c r="W72" s="629"/>
      <c r="X72" s="629"/>
      <c r="Y72" s="629"/>
      <c r="Z72" s="629"/>
      <c r="AA72" s="629"/>
      <c r="AB72" s="629"/>
      <c r="AC72" s="629"/>
      <c r="AD72" s="629"/>
      <c r="AE72" s="629"/>
      <c r="AF72" s="629"/>
      <c r="AG72" s="629"/>
      <c r="AH72" s="629"/>
      <c r="AI72" s="629"/>
      <c r="AJ72" s="629"/>
      <c r="AK72" s="83"/>
    </row>
    <row r="73" spans="3:37">
      <c r="K73" s="431"/>
      <c r="L73" s="431"/>
      <c r="M73" s="431"/>
      <c r="N73" s="431"/>
      <c r="O73" s="431"/>
      <c r="P73" s="431"/>
      <c r="Q73" s="431"/>
      <c r="R73" s="293"/>
      <c r="S73" s="293"/>
      <c r="T73" s="293"/>
      <c r="U73" s="293"/>
      <c r="V73" s="293"/>
      <c r="W73" s="293"/>
      <c r="X73" s="293"/>
      <c r="Y73" s="293"/>
      <c r="Z73" s="293"/>
      <c r="AA73" s="293"/>
      <c r="AB73" s="293"/>
      <c r="AC73" s="293"/>
      <c r="AD73" s="293"/>
      <c r="AE73" s="293"/>
      <c r="AF73" s="293"/>
      <c r="AG73" s="293"/>
      <c r="AH73" s="293"/>
      <c r="AI73" s="293"/>
      <c r="AJ73" s="293"/>
    </row>
    <row r="74" spans="3:37">
      <c r="C74" s="69"/>
      <c r="D74" s="2121" t="s">
        <v>962</v>
      </c>
      <c r="E74" s="2122"/>
      <c r="F74" s="2122"/>
      <c r="G74" s="2122"/>
      <c r="H74" s="2123"/>
      <c r="I74" s="70"/>
      <c r="J74" s="70"/>
      <c r="K74" s="303"/>
      <c r="L74" s="303"/>
      <c r="M74" s="303"/>
      <c r="N74" s="303"/>
      <c r="O74" s="303"/>
      <c r="P74" s="303"/>
      <c r="Q74" s="303"/>
      <c r="R74" s="627"/>
      <c r="S74" s="627"/>
      <c r="T74" s="627"/>
      <c r="U74" s="627"/>
      <c r="V74" s="627"/>
      <c r="W74" s="627"/>
      <c r="X74" s="627"/>
      <c r="Y74" s="627"/>
      <c r="Z74" s="627"/>
      <c r="AA74" s="627"/>
      <c r="AB74" s="627"/>
      <c r="AC74" s="627"/>
      <c r="AD74" s="627"/>
      <c r="AE74" s="627"/>
      <c r="AF74" s="627"/>
      <c r="AG74" s="627"/>
      <c r="AH74" s="627"/>
      <c r="AI74" s="627"/>
      <c r="AJ74" s="627"/>
      <c r="AK74" s="73"/>
    </row>
    <row r="75" spans="3:37">
      <c r="C75" s="75"/>
      <c r="D75" s="506"/>
      <c r="E75" s="506"/>
      <c r="F75" s="506"/>
      <c r="G75" s="506"/>
      <c r="K75" s="270"/>
      <c r="L75" s="270"/>
      <c r="M75" s="270"/>
      <c r="N75" s="270"/>
      <c r="O75" s="270"/>
      <c r="P75" s="270"/>
      <c r="Q75" s="270"/>
      <c r="R75" s="296"/>
      <c r="S75" s="296"/>
      <c r="T75" s="296"/>
      <c r="U75" s="296"/>
      <c r="V75" s="296"/>
      <c r="W75" s="296"/>
      <c r="X75" s="296"/>
      <c r="Y75" s="296"/>
      <c r="Z75" s="296"/>
      <c r="AA75" s="296"/>
      <c r="AB75" s="296"/>
      <c r="AC75" s="296"/>
      <c r="AD75" s="296"/>
      <c r="AE75" s="296"/>
      <c r="AF75" s="296"/>
      <c r="AG75" s="296"/>
      <c r="AH75" s="296"/>
      <c r="AI75" s="296"/>
      <c r="AJ75" s="296"/>
      <c r="AK75" s="74"/>
    </row>
    <row r="76" spans="3:37">
      <c r="C76" s="75"/>
      <c r="D76" s="506" t="s">
        <v>859</v>
      </c>
      <c r="E76" s="506"/>
      <c r="F76" s="506"/>
      <c r="G76" s="506"/>
      <c r="K76" s="1176"/>
      <c r="L76" s="1177"/>
      <c r="M76" s="1177"/>
      <c r="N76" s="1176"/>
      <c r="O76" s="1177"/>
      <c r="P76" s="1177"/>
      <c r="Q76" s="1177"/>
      <c r="R76" s="335"/>
      <c r="S76" s="333"/>
      <c r="T76" s="334"/>
      <c r="U76" s="336"/>
      <c r="V76" s="333"/>
      <c r="W76" s="334"/>
      <c r="X76" s="334"/>
      <c r="Y76" s="334"/>
      <c r="Z76" s="335"/>
      <c r="AA76" s="333"/>
      <c r="AB76" s="334"/>
      <c r="AC76" s="334"/>
      <c r="AD76" s="334"/>
      <c r="AE76" s="335"/>
      <c r="AF76" s="333"/>
      <c r="AG76" s="334"/>
      <c r="AH76" s="334"/>
      <c r="AI76" s="334"/>
      <c r="AJ76" s="335"/>
      <c r="AK76" s="74"/>
    </row>
    <row r="77" spans="3:37">
      <c r="C77" s="75"/>
      <c r="D77" s="506"/>
      <c r="E77" s="506"/>
      <c r="F77" s="506"/>
      <c r="G77" s="506"/>
      <c r="K77" s="270"/>
      <c r="L77" s="270"/>
      <c r="M77" s="270"/>
      <c r="N77" s="270"/>
      <c r="O77" s="270"/>
      <c r="P77" s="270"/>
      <c r="Q77" s="270"/>
      <c r="R77" s="630"/>
      <c r="S77" s="630"/>
      <c r="T77" s="630"/>
      <c r="U77" s="630"/>
      <c r="V77" s="630"/>
      <c r="W77" s="630"/>
      <c r="X77" s="630"/>
      <c r="Y77" s="630"/>
      <c r="Z77" s="630"/>
      <c r="AA77" s="630"/>
      <c r="AB77" s="630"/>
      <c r="AC77" s="630"/>
      <c r="AD77" s="630"/>
      <c r="AE77" s="630"/>
      <c r="AF77" s="630"/>
      <c r="AG77" s="630"/>
      <c r="AH77" s="630"/>
      <c r="AI77" s="630"/>
      <c r="AJ77" s="630"/>
      <c r="AK77" s="74"/>
    </row>
    <row r="78" spans="3:37">
      <c r="C78" s="75"/>
      <c r="D78" s="506" t="s">
        <v>104</v>
      </c>
      <c r="E78" s="506"/>
      <c r="F78" s="506"/>
      <c r="G78" s="506"/>
      <c r="K78" s="1176"/>
      <c r="L78" s="1177"/>
      <c r="M78" s="1177"/>
      <c r="N78" s="1176"/>
      <c r="O78" s="1177"/>
      <c r="P78" s="1177"/>
      <c r="Q78" s="1177"/>
      <c r="R78" s="335"/>
      <c r="S78" s="333"/>
      <c r="T78" s="334"/>
      <c r="U78" s="336"/>
      <c r="V78" s="333"/>
      <c r="W78" s="334"/>
      <c r="X78" s="334"/>
      <c r="Y78" s="334"/>
      <c r="Z78" s="335"/>
      <c r="AA78" s="333"/>
      <c r="AB78" s="334"/>
      <c r="AC78" s="334"/>
      <c r="AD78" s="334"/>
      <c r="AE78" s="335"/>
      <c r="AF78" s="333"/>
      <c r="AG78" s="334"/>
      <c r="AH78" s="334"/>
      <c r="AI78" s="334"/>
      <c r="AJ78" s="335"/>
      <c r="AK78" s="74"/>
    </row>
    <row r="79" spans="3:37">
      <c r="C79" s="75"/>
      <c r="D79" s="506"/>
      <c r="E79" s="506"/>
      <c r="F79" s="506"/>
      <c r="G79" s="506"/>
      <c r="K79" s="270"/>
      <c r="L79" s="270"/>
      <c r="M79" s="270"/>
      <c r="N79" s="270"/>
      <c r="O79" s="270"/>
      <c r="P79" s="270"/>
      <c r="Q79" s="270"/>
      <c r="R79" s="630"/>
      <c r="S79" s="630"/>
      <c r="T79" s="630"/>
      <c r="U79" s="630"/>
      <c r="V79" s="630"/>
      <c r="W79" s="630"/>
      <c r="X79" s="630"/>
      <c r="Y79" s="630"/>
      <c r="Z79" s="630"/>
      <c r="AA79" s="630"/>
      <c r="AB79" s="630"/>
      <c r="AC79" s="630"/>
      <c r="AD79" s="630"/>
      <c r="AE79" s="630"/>
      <c r="AF79" s="630"/>
      <c r="AG79" s="630"/>
      <c r="AH79" s="630"/>
      <c r="AI79" s="630"/>
      <c r="AJ79" s="630"/>
      <c r="AK79" s="74"/>
    </row>
    <row r="80" spans="3:37">
      <c r="C80" s="75"/>
      <c r="D80" s="448" t="s">
        <v>487</v>
      </c>
      <c r="K80" s="1288"/>
      <c r="L80" s="1289"/>
      <c r="M80" s="1290"/>
      <c r="N80" s="1288"/>
      <c r="O80" s="1289"/>
      <c r="P80" s="1289"/>
      <c r="Q80" s="1289"/>
      <c r="R80" s="326"/>
      <c r="S80" s="324"/>
      <c r="T80" s="325"/>
      <c r="U80" s="449"/>
      <c r="V80" s="324"/>
      <c r="W80" s="325"/>
      <c r="X80" s="325"/>
      <c r="Y80" s="325"/>
      <c r="Z80" s="326"/>
      <c r="AA80" s="324"/>
      <c r="AB80" s="325"/>
      <c r="AC80" s="325"/>
      <c r="AD80" s="325"/>
      <c r="AE80" s="326"/>
      <c r="AF80" s="324"/>
      <c r="AG80" s="325"/>
      <c r="AH80" s="325"/>
      <c r="AI80" s="325"/>
      <c r="AJ80" s="326"/>
      <c r="AK80" s="74"/>
    </row>
    <row r="81" spans="3:37">
      <c r="C81" s="628"/>
      <c r="D81" s="448" t="s">
        <v>488</v>
      </c>
      <c r="K81" s="1296"/>
      <c r="L81" s="1297"/>
      <c r="M81" s="1298"/>
      <c r="N81" s="1296"/>
      <c r="O81" s="1297"/>
      <c r="P81" s="1297"/>
      <c r="Q81" s="1297"/>
      <c r="R81" s="329"/>
      <c r="S81" s="327"/>
      <c r="T81" s="328"/>
      <c r="U81" s="450"/>
      <c r="V81" s="327"/>
      <c r="W81" s="328"/>
      <c r="X81" s="328"/>
      <c r="Y81" s="328"/>
      <c r="Z81" s="329"/>
      <c r="AA81" s="327"/>
      <c r="AB81" s="328"/>
      <c r="AC81" s="328"/>
      <c r="AD81" s="328"/>
      <c r="AE81" s="329"/>
      <c r="AF81" s="327"/>
      <c r="AG81" s="328"/>
      <c r="AH81" s="328"/>
      <c r="AI81" s="328"/>
      <c r="AJ81" s="329"/>
      <c r="AK81" s="74"/>
    </row>
    <row r="82" spans="3:37">
      <c r="C82" s="75"/>
      <c r="D82" s="448" t="s">
        <v>489</v>
      </c>
      <c r="K82" s="1291"/>
      <c r="L82" s="1292"/>
      <c r="M82" s="1293"/>
      <c r="N82" s="1291"/>
      <c r="O82" s="1292"/>
      <c r="P82" s="1292"/>
      <c r="Q82" s="1292"/>
      <c r="R82" s="332"/>
      <c r="S82" s="330"/>
      <c r="T82" s="331"/>
      <c r="U82" s="451"/>
      <c r="V82" s="330"/>
      <c r="W82" s="331"/>
      <c r="X82" s="331"/>
      <c r="Y82" s="331"/>
      <c r="Z82" s="332"/>
      <c r="AA82" s="330"/>
      <c r="AB82" s="331"/>
      <c r="AC82" s="331"/>
      <c r="AD82" s="331"/>
      <c r="AE82" s="332"/>
      <c r="AF82" s="330"/>
      <c r="AG82" s="331"/>
      <c r="AH82" s="331"/>
      <c r="AI82" s="331"/>
      <c r="AJ82" s="332"/>
      <c r="AK82" s="74"/>
    </row>
    <row r="83" spans="3:37">
      <c r="C83" s="75"/>
      <c r="D83" s="472" t="s">
        <v>490</v>
      </c>
      <c r="E83" s="89"/>
      <c r="F83" s="89"/>
      <c r="G83" s="89"/>
      <c r="H83" s="89"/>
      <c r="I83" s="89"/>
      <c r="J83" s="89"/>
      <c r="K83" s="270">
        <f t="shared" ref="K83:W83" si="15">+K80-K81-K82</f>
        <v>0</v>
      </c>
      <c r="L83" s="270">
        <f t="shared" si="15"/>
        <v>0</v>
      </c>
      <c r="M83" s="270">
        <f t="shared" si="15"/>
        <v>0</v>
      </c>
      <c r="N83" s="270">
        <f t="shared" si="15"/>
        <v>0</v>
      </c>
      <c r="O83" s="270">
        <f t="shared" si="15"/>
        <v>0</v>
      </c>
      <c r="P83" s="270">
        <f t="shared" si="15"/>
        <v>0</v>
      </c>
      <c r="Q83" s="270">
        <f t="shared" si="15"/>
        <v>0</v>
      </c>
      <c r="R83" s="296">
        <f t="shared" si="15"/>
        <v>0</v>
      </c>
      <c r="S83" s="296">
        <f t="shared" si="15"/>
        <v>0</v>
      </c>
      <c r="T83" s="296">
        <f t="shared" si="15"/>
        <v>0</v>
      </c>
      <c r="U83" s="296">
        <f t="shared" si="15"/>
        <v>0</v>
      </c>
      <c r="V83" s="296">
        <f t="shared" si="15"/>
        <v>0</v>
      </c>
      <c r="W83" s="296">
        <f t="shared" si="15"/>
        <v>0</v>
      </c>
      <c r="X83" s="296">
        <f t="shared" ref="X83:AJ83" si="16">+X80-X81-X82</f>
        <v>0</v>
      </c>
      <c r="Y83" s="296">
        <f t="shared" si="16"/>
        <v>0</v>
      </c>
      <c r="Z83" s="296">
        <f t="shared" si="16"/>
        <v>0</v>
      </c>
      <c r="AA83" s="296">
        <f t="shared" si="16"/>
        <v>0</v>
      </c>
      <c r="AB83" s="296">
        <f t="shared" si="16"/>
        <v>0</v>
      </c>
      <c r="AC83" s="296">
        <f t="shared" si="16"/>
        <v>0</v>
      </c>
      <c r="AD83" s="296">
        <f t="shared" si="16"/>
        <v>0</v>
      </c>
      <c r="AE83" s="296">
        <f t="shared" si="16"/>
        <v>0</v>
      </c>
      <c r="AF83" s="296">
        <f t="shared" si="16"/>
        <v>0</v>
      </c>
      <c r="AG83" s="296">
        <f t="shared" si="16"/>
        <v>0</v>
      </c>
      <c r="AH83" s="296">
        <f t="shared" si="16"/>
        <v>0</v>
      </c>
      <c r="AI83" s="296">
        <f t="shared" si="16"/>
        <v>0</v>
      </c>
      <c r="AJ83" s="296">
        <f t="shared" si="16"/>
        <v>0</v>
      </c>
      <c r="AK83" s="74"/>
    </row>
    <row r="84" spans="3:37">
      <c r="C84" s="75"/>
      <c r="D84" s="472"/>
      <c r="E84" s="89"/>
      <c r="F84" s="89"/>
      <c r="G84" s="89"/>
      <c r="H84" s="89"/>
      <c r="I84" s="89"/>
      <c r="J84" s="89"/>
      <c r="K84" s="270"/>
      <c r="L84" s="270"/>
      <c r="M84" s="270"/>
      <c r="N84" s="270"/>
      <c r="O84" s="270"/>
      <c r="P84" s="270"/>
      <c r="Q84" s="270"/>
      <c r="R84" s="296"/>
      <c r="S84" s="296"/>
      <c r="T84" s="296"/>
      <c r="U84" s="296"/>
      <c r="V84" s="296"/>
      <c r="W84" s="296"/>
      <c r="X84" s="296"/>
      <c r="Y84" s="296"/>
      <c r="Z84" s="296"/>
      <c r="AA84" s="296"/>
      <c r="AB84" s="296"/>
      <c r="AC84" s="296"/>
      <c r="AD84" s="296"/>
      <c r="AE84" s="296"/>
      <c r="AF84" s="296"/>
      <c r="AG84" s="296"/>
      <c r="AH84" s="296"/>
      <c r="AI84" s="296"/>
      <c r="AJ84" s="296"/>
      <c r="AK84" s="74"/>
    </row>
    <row r="85" spans="3:37">
      <c r="C85" s="75"/>
      <c r="D85" s="448" t="s">
        <v>272</v>
      </c>
      <c r="E85" s="89"/>
      <c r="F85" s="89"/>
      <c r="G85" s="89"/>
      <c r="H85" s="89"/>
      <c r="I85" s="89"/>
      <c r="J85" s="89"/>
      <c r="K85" s="1288"/>
      <c r="L85" s="1289"/>
      <c r="M85" s="1290"/>
      <c r="N85" s="1288"/>
      <c r="O85" s="1289"/>
      <c r="P85" s="1289"/>
      <c r="Q85" s="1289"/>
      <c r="R85" s="326"/>
      <c r="S85" s="324"/>
      <c r="T85" s="325"/>
      <c r="U85" s="449"/>
      <c r="V85" s="324"/>
      <c r="W85" s="325"/>
      <c r="X85" s="325"/>
      <c r="Y85" s="325"/>
      <c r="Z85" s="326"/>
      <c r="AA85" s="324"/>
      <c r="AB85" s="325"/>
      <c r="AC85" s="325"/>
      <c r="AD85" s="325"/>
      <c r="AE85" s="326"/>
      <c r="AF85" s="324"/>
      <c r="AG85" s="325"/>
      <c r="AH85" s="325"/>
      <c r="AI85" s="325"/>
      <c r="AJ85" s="326"/>
      <c r="AK85" s="74"/>
    </row>
    <row r="86" spans="3:37">
      <c r="C86" s="75"/>
      <c r="D86" s="448" t="s">
        <v>775</v>
      </c>
      <c r="E86" s="89"/>
      <c r="F86" s="89"/>
      <c r="G86" s="89"/>
      <c r="H86" s="89"/>
      <c r="I86" s="89"/>
      <c r="J86" s="89"/>
      <c r="K86" s="1291"/>
      <c r="L86" s="1292"/>
      <c r="M86" s="1293"/>
      <c r="N86" s="1291"/>
      <c r="O86" s="1292"/>
      <c r="P86" s="1292"/>
      <c r="Q86" s="1292"/>
      <c r="R86" s="332"/>
      <c r="S86" s="330"/>
      <c r="T86" s="331"/>
      <c r="U86" s="451"/>
      <c r="V86" s="330"/>
      <c r="W86" s="331"/>
      <c r="X86" s="331"/>
      <c r="Y86" s="331"/>
      <c r="Z86" s="332"/>
      <c r="AA86" s="330"/>
      <c r="AB86" s="331"/>
      <c r="AC86" s="331"/>
      <c r="AD86" s="331"/>
      <c r="AE86" s="332"/>
      <c r="AF86" s="330"/>
      <c r="AG86" s="331"/>
      <c r="AH86" s="331"/>
      <c r="AI86" s="331"/>
      <c r="AJ86" s="332"/>
      <c r="AK86" s="74"/>
    </row>
    <row r="87" spans="3:37">
      <c r="C87" s="81"/>
      <c r="D87" s="68"/>
      <c r="E87" s="68"/>
      <c r="F87" s="68"/>
      <c r="G87" s="68"/>
      <c r="H87" s="68"/>
      <c r="I87" s="68"/>
      <c r="J87" s="68"/>
      <c r="K87" s="306"/>
      <c r="L87" s="306"/>
      <c r="M87" s="306"/>
      <c r="N87" s="306"/>
      <c r="O87" s="306"/>
      <c r="P87" s="306"/>
      <c r="Q87" s="306"/>
      <c r="R87" s="629"/>
      <c r="S87" s="629"/>
      <c r="T87" s="629"/>
      <c r="U87" s="629"/>
      <c r="V87" s="629"/>
      <c r="W87" s="629"/>
      <c r="X87" s="629"/>
      <c r="Y87" s="629"/>
      <c r="Z87" s="629"/>
      <c r="AA87" s="629"/>
      <c r="AB87" s="629"/>
      <c r="AC87" s="629"/>
      <c r="AD87" s="629"/>
      <c r="AE87" s="629"/>
      <c r="AF87" s="629"/>
      <c r="AG87" s="629"/>
      <c r="AH87" s="629"/>
      <c r="AI87" s="629"/>
      <c r="AJ87" s="629"/>
      <c r="AK87" s="83"/>
    </row>
    <row r="88" spans="3:37">
      <c r="K88" s="270"/>
      <c r="L88" s="270"/>
      <c r="M88" s="270"/>
      <c r="N88" s="270"/>
      <c r="O88" s="270"/>
      <c r="P88" s="270"/>
      <c r="Q88" s="270"/>
      <c r="R88" s="296"/>
      <c r="S88" s="296"/>
      <c r="T88" s="296"/>
      <c r="U88" s="296"/>
      <c r="V88" s="296"/>
      <c r="W88" s="296"/>
      <c r="X88" s="296"/>
      <c r="Y88" s="296"/>
      <c r="Z88" s="296"/>
      <c r="AA88" s="296"/>
      <c r="AB88" s="296"/>
      <c r="AC88" s="296"/>
      <c r="AD88" s="296"/>
      <c r="AE88" s="296"/>
      <c r="AF88" s="296"/>
      <c r="AG88" s="296"/>
      <c r="AH88" s="296"/>
      <c r="AI88" s="296"/>
      <c r="AJ88" s="296"/>
    </row>
    <row r="89" spans="3:37">
      <c r="C89" s="69"/>
      <c r="D89" s="2121" t="s">
        <v>963</v>
      </c>
      <c r="E89" s="2122"/>
      <c r="F89" s="2122"/>
      <c r="G89" s="2122"/>
      <c r="H89" s="2123"/>
      <c r="I89" s="70"/>
      <c r="J89" s="70"/>
      <c r="K89" s="303"/>
      <c r="L89" s="303"/>
      <c r="M89" s="303"/>
      <c r="N89" s="303"/>
      <c r="O89" s="303"/>
      <c r="P89" s="303"/>
      <c r="Q89" s="303"/>
      <c r="R89" s="627"/>
      <c r="S89" s="627"/>
      <c r="T89" s="627"/>
      <c r="U89" s="627"/>
      <c r="V89" s="627"/>
      <c r="W89" s="627"/>
      <c r="X89" s="627"/>
      <c r="Y89" s="627"/>
      <c r="Z89" s="627"/>
      <c r="AA89" s="627"/>
      <c r="AB89" s="627"/>
      <c r="AC89" s="627"/>
      <c r="AD89" s="627"/>
      <c r="AE89" s="627"/>
      <c r="AF89" s="627"/>
      <c r="AG89" s="627"/>
      <c r="AH89" s="627"/>
      <c r="AI89" s="627"/>
      <c r="AJ89" s="627"/>
      <c r="AK89" s="73"/>
    </row>
    <row r="90" spans="3:37">
      <c r="C90" s="75"/>
      <c r="D90" s="506"/>
      <c r="E90" s="506"/>
      <c r="F90" s="506"/>
      <c r="G90" s="506"/>
      <c r="K90" s="270"/>
      <c r="L90" s="270"/>
      <c r="M90" s="270"/>
      <c r="N90" s="270"/>
      <c r="O90" s="270"/>
      <c r="P90" s="270"/>
      <c r="Q90" s="270"/>
      <c r="R90" s="296"/>
      <c r="S90" s="296"/>
      <c r="T90" s="296"/>
      <c r="U90" s="296"/>
      <c r="V90" s="296"/>
      <c r="W90" s="296"/>
      <c r="X90" s="296"/>
      <c r="Y90" s="296"/>
      <c r="Z90" s="296"/>
      <c r="AA90" s="296"/>
      <c r="AB90" s="296"/>
      <c r="AC90" s="296"/>
      <c r="AD90" s="296"/>
      <c r="AE90" s="296"/>
      <c r="AF90" s="296"/>
      <c r="AG90" s="296"/>
      <c r="AH90" s="296"/>
      <c r="AI90" s="296"/>
      <c r="AJ90" s="296"/>
      <c r="AK90" s="74"/>
    </row>
    <row r="91" spans="3:37">
      <c r="C91" s="75"/>
      <c r="D91" s="506" t="s">
        <v>859</v>
      </c>
      <c r="E91" s="506"/>
      <c r="F91" s="506"/>
      <c r="G91" s="506"/>
      <c r="K91" s="1176"/>
      <c r="L91" s="1177"/>
      <c r="M91" s="1177"/>
      <c r="N91" s="1176"/>
      <c r="O91" s="1177"/>
      <c r="P91" s="1177"/>
      <c r="Q91" s="1177"/>
      <c r="R91" s="335"/>
      <c r="S91" s="333"/>
      <c r="T91" s="334"/>
      <c r="U91" s="336"/>
      <c r="V91" s="333"/>
      <c r="W91" s="334"/>
      <c r="X91" s="334"/>
      <c r="Y91" s="334"/>
      <c r="Z91" s="335"/>
      <c r="AA91" s="333"/>
      <c r="AB91" s="334"/>
      <c r="AC91" s="334"/>
      <c r="AD91" s="334"/>
      <c r="AE91" s="335"/>
      <c r="AF91" s="333"/>
      <c r="AG91" s="334"/>
      <c r="AH91" s="334"/>
      <c r="AI91" s="334"/>
      <c r="AJ91" s="335"/>
      <c r="AK91" s="74"/>
    </row>
    <row r="92" spans="3:37">
      <c r="C92" s="75"/>
      <c r="D92" s="506"/>
      <c r="E92" s="506"/>
      <c r="F92" s="506"/>
      <c r="G92" s="506"/>
      <c r="K92" s="270"/>
      <c r="L92" s="270"/>
      <c r="M92" s="270"/>
      <c r="N92" s="270"/>
      <c r="O92" s="270"/>
      <c r="P92" s="270"/>
      <c r="Q92" s="270"/>
      <c r="R92" s="630"/>
      <c r="S92" s="630"/>
      <c r="T92" s="630"/>
      <c r="U92" s="630"/>
      <c r="V92" s="630"/>
      <c r="W92" s="630"/>
      <c r="X92" s="630"/>
      <c r="Y92" s="630"/>
      <c r="Z92" s="630"/>
      <c r="AA92" s="630"/>
      <c r="AB92" s="630"/>
      <c r="AC92" s="630"/>
      <c r="AD92" s="630"/>
      <c r="AE92" s="630"/>
      <c r="AF92" s="630"/>
      <c r="AG92" s="630"/>
      <c r="AH92" s="630"/>
      <c r="AI92" s="630"/>
      <c r="AJ92" s="630"/>
      <c r="AK92" s="74"/>
    </row>
    <row r="93" spans="3:37">
      <c r="C93" s="75"/>
      <c r="D93" s="506" t="s">
        <v>104</v>
      </c>
      <c r="E93" s="506"/>
      <c r="F93" s="506"/>
      <c r="G93" s="506"/>
      <c r="K93" s="1176"/>
      <c r="L93" s="1177"/>
      <c r="M93" s="1177"/>
      <c r="N93" s="1176"/>
      <c r="O93" s="1177"/>
      <c r="P93" s="1177"/>
      <c r="Q93" s="1177"/>
      <c r="R93" s="335"/>
      <c r="S93" s="333"/>
      <c r="T93" s="334"/>
      <c r="U93" s="336"/>
      <c r="V93" s="333"/>
      <c r="W93" s="334"/>
      <c r="X93" s="334"/>
      <c r="Y93" s="334"/>
      <c r="Z93" s="335"/>
      <c r="AA93" s="333"/>
      <c r="AB93" s="334"/>
      <c r="AC93" s="334"/>
      <c r="AD93" s="334"/>
      <c r="AE93" s="335"/>
      <c r="AF93" s="333"/>
      <c r="AG93" s="334"/>
      <c r="AH93" s="334"/>
      <c r="AI93" s="334"/>
      <c r="AJ93" s="335"/>
      <c r="AK93" s="74"/>
    </row>
    <row r="94" spans="3:37">
      <c r="C94" s="75"/>
      <c r="D94" s="506"/>
      <c r="E94" s="506"/>
      <c r="F94" s="506"/>
      <c r="G94" s="506"/>
      <c r="K94" s="270"/>
      <c r="L94" s="270"/>
      <c r="M94" s="270"/>
      <c r="N94" s="270"/>
      <c r="O94" s="270"/>
      <c r="P94" s="270"/>
      <c r="Q94" s="270"/>
      <c r="R94" s="630"/>
      <c r="S94" s="630"/>
      <c r="T94" s="630"/>
      <c r="U94" s="630"/>
      <c r="V94" s="630"/>
      <c r="W94" s="630"/>
      <c r="X94" s="630"/>
      <c r="Y94" s="630"/>
      <c r="Z94" s="630"/>
      <c r="AA94" s="630"/>
      <c r="AB94" s="630"/>
      <c r="AC94" s="630"/>
      <c r="AD94" s="630"/>
      <c r="AE94" s="630"/>
      <c r="AF94" s="630"/>
      <c r="AG94" s="630"/>
      <c r="AH94" s="630"/>
      <c r="AI94" s="630"/>
      <c r="AJ94" s="630"/>
      <c r="AK94" s="74"/>
    </row>
    <row r="95" spans="3:37">
      <c r="C95" s="75"/>
      <c r="D95" s="448" t="s">
        <v>487</v>
      </c>
      <c r="K95" s="1288"/>
      <c r="L95" s="1289"/>
      <c r="M95" s="1290"/>
      <c r="N95" s="1288"/>
      <c r="O95" s="1289"/>
      <c r="P95" s="1289"/>
      <c r="Q95" s="1289"/>
      <c r="R95" s="326"/>
      <c r="S95" s="324"/>
      <c r="T95" s="325"/>
      <c r="U95" s="449"/>
      <c r="V95" s="324"/>
      <c r="W95" s="325"/>
      <c r="X95" s="325"/>
      <c r="Y95" s="325"/>
      <c r="Z95" s="326"/>
      <c r="AA95" s="324"/>
      <c r="AB95" s="325"/>
      <c r="AC95" s="325"/>
      <c r="AD95" s="325"/>
      <c r="AE95" s="326"/>
      <c r="AF95" s="324"/>
      <c r="AG95" s="325"/>
      <c r="AH95" s="325"/>
      <c r="AI95" s="325"/>
      <c r="AJ95" s="326"/>
      <c r="AK95" s="74"/>
    </row>
    <row r="96" spans="3:37">
      <c r="C96" s="628"/>
      <c r="D96" s="448" t="s">
        <v>488</v>
      </c>
      <c r="K96" s="1296"/>
      <c r="L96" s="1297"/>
      <c r="M96" s="1298"/>
      <c r="N96" s="1296"/>
      <c r="O96" s="1297"/>
      <c r="P96" s="1297"/>
      <c r="Q96" s="1297"/>
      <c r="R96" s="329"/>
      <c r="S96" s="327"/>
      <c r="T96" s="328"/>
      <c r="U96" s="450"/>
      <c r="V96" s="327"/>
      <c r="W96" s="328"/>
      <c r="X96" s="328"/>
      <c r="Y96" s="328"/>
      <c r="Z96" s="329"/>
      <c r="AA96" s="327"/>
      <c r="AB96" s="328"/>
      <c r="AC96" s="328"/>
      <c r="AD96" s="328"/>
      <c r="AE96" s="329"/>
      <c r="AF96" s="327"/>
      <c r="AG96" s="328"/>
      <c r="AH96" s="328"/>
      <c r="AI96" s="328"/>
      <c r="AJ96" s="329"/>
      <c r="AK96" s="74"/>
    </row>
    <row r="97" spans="3:37">
      <c r="C97" s="75"/>
      <c r="D97" s="448" t="s">
        <v>489</v>
      </c>
      <c r="K97" s="1291"/>
      <c r="L97" s="1292"/>
      <c r="M97" s="1293"/>
      <c r="N97" s="1291"/>
      <c r="O97" s="1292"/>
      <c r="P97" s="1292"/>
      <c r="Q97" s="1292"/>
      <c r="R97" s="332"/>
      <c r="S97" s="330"/>
      <c r="T97" s="331"/>
      <c r="U97" s="451"/>
      <c r="V97" s="330"/>
      <c r="W97" s="331"/>
      <c r="X97" s="331"/>
      <c r="Y97" s="331"/>
      <c r="Z97" s="332"/>
      <c r="AA97" s="330"/>
      <c r="AB97" s="331"/>
      <c r="AC97" s="331"/>
      <c r="AD97" s="331"/>
      <c r="AE97" s="332"/>
      <c r="AF97" s="330"/>
      <c r="AG97" s="331"/>
      <c r="AH97" s="331"/>
      <c r="AI97" s="331"/>
      <c r="AJ97" s="332"/>
      <c r="AK97" s="74"/>
    </row>
    <row r="98" spans="3:37">
      <c r="C98" s="75"/>
      <c r="D98" s="472" t="s">
        <v>490</v>
      </c>
      <c r="E98" s="89"/>
      <c r="F98" s="89"/>
      <c r="G98" s="89"/>
      <c r="H98" s="89"/>
      <c r="I98" s="89"/>
      <c r="J98" s="89"/>
      <c r="K98" s="270">
        <f t="shared" ref="K98:W98" si="17">+K95-K96-K97</f>
        <v>0</v>
      </c>
      <c r="L98" s="270">
        <f t="shared" si="17"/>
        <v>0</v>
      </c>
      <c r="M98" s="270">
        <f t="shared" si="17"/>
        <v>0</v>
      </c>
      <c r="N98" s="270">
        <f t="shared" si="17"/>
        <v>0</v>
      </c>
      <c r="O98" s="270">
        <f t="shared" si="17"/>
        <v>0</v>
      </c>
      <c r="P98" s="270">
        <f t="shared" si="17"/>
        <v>0</v>
      </c>
      <c r="Q98" s="270">
        <f t="shared" si="17"/>
        <v>0</v>
      </c>
      <c r="R98" s="296">
        <f t="shared" si="17"/>
        <v>0</v>
      </c>
      <c r="S98" s="296">
        <f t="shared" si="17"/>
        <v>0</v>
      </c>
      <c r="T98" s="296">
        <f t="shared" si="17"/>
        <v>0</v>
      </c>
      <c r="U98" s="296">
        <f t="shared" si="17"/>
        <v>0</v>
      </c>
      <c r="V98" s="296">
        <f t="shared" si="17"/>
        <v>0</v>
      </c>
      <c r="W98" s="296">
        <f t="shared" si="17"/>
        <v>0</v>
      </c>
      <c r="X98" s="296">
        <f t="shared" ref="X98:AJ98" si="18">+X95-X96-X97</f>
        <v>0</v>
      </c>
      <c r="Y98" s="296">
        <f t="shared" si="18"/>
        <v>0</v>
      </c>
      <c r="Z98" s="296">
        <f t="shared" si="18"/>
        <v>0</v>
      </c>
      <c r="AA98" s="296">
        <f t="shared" si="18"/>
        <v>0</v>
      </c>
      <c r="AB98" s="296">
        <f t="shared" si="18"/>
        <v>0</v>
      </c>
      <c r="AC98" s="296">
        <f t="shared" si="18"/>
        <v>0</v>
      </c>
      <c r="AD98" s="296">
        <f t="shared" si="18"/>
        <v>0</v>
      </c>
      <c r="AE98" s="296">
        <f t="shared" si="18"/>
        <v>0</v>
      </c>
      <c r="AF98" s="296">
        <f t="shared" si="18"/>
        <v>0</v>
      </c>
      <c r="AG98" s="296">
        <f t="shared" si="18"/>
        <v>0</v>
      </c>
      <c r="AH98" s="296">
        <f t="shared" si="18"/>
        <v>0</v>
      </c>
      <c r="AI98" s="296">
        <f t="shared" si="18"/>
        <v>0</v>
      </c>
      <c r="AJ98" s="296">
        <f t="shared" si="18"/>
        <v>0</v>
      </c>
      <c r="AK98" s="74"/>
    </row>
    <row r="99" spans="3:37">
      <c r="C99" s="75"/>
      <c r="D99" s="472"/>
      <c r="E99" s="89"/>
      <c r="F99" s="89"/>
      <c r="G99" s="89"/>
      <c r="H99" s="89"/>
      <c r="I99" s="89"/>
      <c r="J99" s="89"/>
      <c r="K99" s="270"/>
      <c r="L99" s="270"/>
      <c r="M99" s="270"/>
      <c r="N99" s="270"/>
      <c r="O99" s="270"/>
      <c r="P99" s="270"/>
      <c r="Q99" s="270"/>
      <c r="R99" s="296"/>
      <c r="S99" s="296"/>
      <c r="T99" s="296"/>
      <c r="U99" s="296"/>
      <c r="V99" s="296"/>
      <c r="W99" s="296"/>
      <c r="X99" s="296"/>
      <c r="Y99" s="296"/>
      <c r="Z99" s="296"/>
      <c r="AA99" s="296"/>
      <c r="AB99" s="296"/>
      <c r="AC99" s="296"/>
      <c r="AD99" s="296"/>
      <c r="AE99" s="296"/>
      <c r="AF99" s="296"/>
      <c r="AG99" s="296"/>
      <c r="AH99" s="296"/>
      <c r="AI99" s="296"/>
      <c r="AJ99" s="296"/>
      <c r="AK99" s="74"/>
    </row>
    <row r="100" spans="3:37">
      <c r="C100" s="75"/>
      <c r="D100" s="448" t="s">
        <v>272</v>
      </c>
      <c r="E100" s="89"/>
      <c r="F100" s="89"/>
      <c r="G100" s="89"/>
      <c r="H100" s="89"/>
      <c r="I100" s="89"/>
      <c r="J100" s="89"/>
      <c r="K100" s="1288"/>
      <c r="L100" s="1289"/>
      <c r="M100" s="1290"/>
      <c r="N100" s="1288"/>
      <c r="O100" s="1289"/>
      <c r="P100" s="1289"/>
      <c r="Q100" s="1289"/>
      <c r="R100" s="326"/>
      <c r="S100" s="324"/>
      <c r="T100" s="325"/>
      <c r="U100" s="449"/>
      <c r="V100" s="324"/>
      <c r="W100" s="325"/>
      <c r="X100" s="325"/>
      <c r="Y100" s="325"/>
      <c r="Z100" s="326"/>
      <c r="AA100" s="324"/>
      <c r="AB100" s="325"/>
      <c r="AC100" s="325"/>
      <c r="AD100" s="325"/>
      <c r="AE100" s="326"/>
      <c r="AF100" s="324"/>
      <c r="AG100" s="325"/>
      <c r="AH100" s="325"/>
      <c r="AI100" s="325"/>
      <c r="AJ100" s="326"/>
      <c r="AK100" s="74"/>
    </row>
    <row r="101" spans="3:37">
      <c r="C101" s="75"/>
      <c r="D101" s="448" t="s">
        <v>775</v>
      </c>
      <c r="E101" s="89"/>
      <c r="F101" s="89"/>
      <c r="G101" s="89"/>
      <c r="H101" s="89"/>
      <c r="I101" s="89"/>
      <c r="J101" s="89"/>
      <c r="K101" s="1291"/>
      <c r="L101" s="1292"/>
      <c r="M101" s="1293"/>
      <c r="N101" s="1291"/>
      <c r="O101" s="1292"/>
      <c r="P101" s="1292"/>
      <c r="Q101" s="1292"/>
      <c r="R101" s="332"/>
      <c r="S101" s="330"/>
      <c r="T101" s="331"/>
      <c r="U101" s="451"/>
      <c r="V101" s="330"/>
      <c r="W101" s="331"/>
      <c r="X101" s="331"/>
      <c r="Y101" s="331"/>
      <c r="Z101" s="332"/>
      <c r="AA101" s="330"/>
      <c r="AB101" s="331"/>
      <c r="AC101" s="331"/>
      <c r="AD101" s="331"/>
      <c r="AE101" s="332"/>
      <c r="AF101" s="330"/>
      <c r="AG101" s="331"/>
      <c r="AH101" s="331"/>
      <c r="AI101" s="331"/>
      <c r="AJ101" s="332"/>
      <c r="AK101" s="74"/>
    </row>
    <row r="102" spans="3:37">
      <c r="C102" s="81"/>
      <c r="D102" s="68"/>
      <c r="E102" s="68"/>
      <c r="F102" s="68"/>
      <c r="G102" s="68"/>
      <c r="H102" s="68"/>
      <c r="I102" s="68"/>
      <c r="J102" s="68"/>
      <c r="K102" s="306"/>
      <c r="L102" s="306"/>
      <c r="M102" s="306"/>
      <c r="N102" s="306"/>
      <c r="O102" s="306"/>
      <c r="P102" s="306"/>
      <c r="Q102" s="306"/>
      <c r="R102" s="629"/>
      <c r="S102" s="629"/>
      <c r="T102" s="629"/>
      <c r="U102" s="629"/>
      <c r="V102" s="629"/>
      <c r="W102" s="629"/>
      <c r="X102" s="629"/>
      <c r="Y102" s="629"/>
      <c r="Z102" s="629"/>
      <c r="AA102" s="629"/>
      <c r="AB102" s="629"/>
      <c r="AC102" s="629"/>
      <c r="AD102" s="629"/>
      <c r="AE102" s="629"/>
      <c r="AF102" s="629"/>
      <c r="AG102" s="629"/>
      <c r="AH102" s="629"/>
      <c r="AI102" s="629"/>
      <c r="AJ102" s="629"/>
      <c r="AK102" s="83"/>
    </row>
    <row r="103" spans="3:37">
      <c r="K103" s="431"/>
      <c r="L103" s="431"/>
      <c r="M103" s="431"/>
      <c r="N103" s="431"/>
      <c r="O103" s="431"/>
      <c r="P103" s="431"/>
      <c r="Q103" s="431"/>
      <c r="R103" s="293"/>
      <c r="S103" s="293"/>
      <c r="T103" s="293"/>
      <c r="U103" s="293"/>
      <c r="V103" s="293"/>
      <c r="W103" s="293"/>
      <c r="X103" s="293"/>
      <c r="Y103" s="293"/>
      <c r="Z103" s="293"/>
      <c r="AA103" s="293"/>
      <c r="AB103" s="293"/>
      <c r="AC103" s="293"/>
      <c r="AD103" s="293"/>
      <c r="AE103" s="293"/>
      <c r="AF103" s="293"/>
      <c r="AG103" s="293"/>
      <c r="AH103" s="293"/>
      <c r="AI103" s="293"/>
      <c r="AJ103" s="293"/>
    </row>
    <row r="104" spans="3:37">
      <c r="C104" s="69"/>
      <c r="D104" s="2121" t="s">
        <v>964</v>
      </c>
      <c r="E104" s="2122"/>
      <c r="F104" s="2122"/>
      <c r="G104" s="2122"/>
      <c r="H104" s="2123"/>
      <c r="I104" s="70"/>
      <c r="J104" s="70"/>
      <c r="K104" s="303"/>
      <c r="L104" s="303"/>
      <c r="M104" s="303"/>
      <c r="N104" s="303"/>
      <c r="O104" s="303"/>
      <c r="P104" s="303"/>
      <c r="Q104" s="303"/>
      <c r="R104" s="627"/>
      <c r="S104" s="627"/>
      <c r="T104" s="627"/>
      <c r="U104" s="627"/>
      <c r="V104" s="627"/>
      <c r="W104" s="627"/>
      <c r="X104" s="627"/>
      <c r="Y104" s="627"/>
      <c r="Z104" s="627"/>
      <c r="AA104" s="627"/>
      <c r="AB104" s="627"/>
      <c r="AC104" s="627"/>
      <c r="AD104" s="627"/>
      <c r="AE104" s="627"/>
      <c r="AF104" s="627"/>
      <c r="AG104" s="627"/>
      <c r="AH104" s="627"/>
      <c r="AI104" s="627"/>
      <c r="AJ104" s="627"/>
      <c r="AK104" s="73"/>
    </row>
    <row r="105" spans="3:37">
      <c r="C105" s="75"/>
      <c r="D105" s="506"/>
      <c r="E105" s="506"/>
      <c r="F105" s="506"/>
      <c r="G105" s="506"/>
      <c r="K105" s="270"/>
      <c r="L105" s="270"/>
      <c r="M105" s="270"/>
      <c r="N105" s="270"/>
      <c r="O105" s="270"/>
      <c r="P105" s="270"/>
      <c r="Q105" s="270"/>
      <c r="R105" s="296"/>
      <c r="S105" s="296"/>
      <c r="T105" s="296"/>
      <c r="U105" s="296"/>
      <c r="V105" s="296"/>
      <c r="W105" s="296"/>
      <c r="X105" s="296"/>
      <c r="Y105" s="296"/>
      <c r="Z105" s="296"/>
      <c r="AA105" s="296"/>
      <c r="AB105" s="296"/>
      <c r="AC105" s="296"/>
      <c r="AD105" s="296"/>
      <c r="AE105" s="296"/>
      <c r="AF105" s="296"/>
      <c r="AG105" s="296"/>
      <c r="AH105" s="296"/>
      <c r="AI105" s="296"/>
      <c r="AJ105" s="296"/>
      <c r="AK105" s="74"/>
    </row>
    <row r="106" spans="3:37">
      <c r="C106" s="75"/>
      <c r="D106" s="506" t="s">
        <v>859</v>
      </c>
      <c r="E106" s="506"/>
      <c r="F106" s="506"/>
      <c r="G106" s="506"/>
      <c r="K106" s="1176"/>
      <c r="L106" s="1177"/>
      <c r="M106" s="1177"/>
      <c r="N106" s="1176"/>
      <c r="O106" s="1177"/>
      <c r="P106" s="1177"/>
      <c r="Q106" s="1177"/>
      <c r="R106" s="335"/>
      <c r="S106" s="333"/>
      <c r="T106" s="334"/>
      <c r="U106" s="336"/>
      <c r="V106" s="333"/>
      <c r="W106" s="334"/>
      <c r="X106" s="334"/>
      <c r="Y106" s="334"/>
      <c r="Z106" s="335"/>
      <c r="AA106" s="333"/>
      <c r="AB106" s="334"/>
      <c r="AC106" s="334"/>
      <c r="AD106" s="334"/>
      <c r="AE106" s="335"/>
      <c r="AF106" s="333"/>
      <c r="AG106" s="334"/>
      <c r="AH106" s="334"/>
      <c r="AI106" s="334"/>
      <c r="AJ106" s="335"/>
      <c r="AK106" s="74"/>
    </row>
    <row r="107" spans="3:37">
      <c r="C107" s="75"/>
      <c r="D107" s="506"/>
      <c r="E107" s="506"/>
      <c r="F107" s="506"/>
      <c r="G107" s="506"/>
      <c r="K107" s="270"/>
      <c r="L107" s="270"/>
      <c r="M107" s="270"/>
      <c r="N107" s="270"/>
      <c r="O107" s="270"/>
      <c r="P107" s="270"/>
      <c r="Q107" s="270"/>
      <c r="R107" s="630"/>
      <c r="S107" s="630"/>
      <c r="T107" s="630"/>
      <c r="U107" s="630"/>
      <c r="V107" s="630"/>
      <c r="W107" s="630"/>
      <c r="X107" s="630"/>
      <c r="Y107" s="630"/>
      <c r="Z107" s="630"/>
      <c r="AA107" s="630"/>
      <c r="AB107" s="630"/>
      <c r="AC107" s="630"/>
      <c r="AD107" s="630"/>
      <c r="AE107" s="630"/>
      <c r="AF107" s="630"/>
      <c r="AG107" s="630"/>
      <c r="AH107" s="630"/>
      <c r="AI107" s="630"/>
      <c r="AJ107" s="630"/>
      <c r="AK107" s="74"/>
    </row>
    <row r="108" spans="3:37">
      <c r="C108" s="75"/>
      <c r="D108" s="506" t="s">
        <v>104</v>
      </c>
      <c r="E108" s="506"/>
      <c r="F108" s="506"/>
      <c r="G108" s="506"/>
      <c r="K108" s="1176"/>
      <c r="L108" s="1177"/>
      <c r="M108" s="1177"/>
      <c r="N108" s="1176"/>
      <c r="O108" s="1177"/>
      <c r="P108" s="1177"/>
      <c r="Q108" s="1177"/>
      <c r="R108" s="335"/>
      <c r="S108" s="333"/>
      <c r="T108" s="334"/>
      <c r="U108" s="336"/>
      <c r="V108" s="333"/>
      <c r="W108" s="334"/>
      <c r="X108" s="334"/>
      <c r="Y108" s="334"/>
      <c r="Z108" s="335"/>
      <c r="AA108" s="333"/>
      <c r="AB108" s="334"/>
      <c r="AC108" s="334"/>
      <c r="AD108" s="334"/>
      <c r="AE108" s="335"/>
      <c r="AF108" s="333"/>
      <c r="AG108" s="334"/>
      <c r="AH108" s="334"/>
      <c r="AI108" s="334"/>
      <c r="AJ108" s="335"/>
      <c r="AK108" s="74"/>
    </row>
    <row r="109" spans="3:37">
      <c r="C109" s="75"/>
      <c r="D109" s="506"/>
      <c r="E109" s="506"/>
      <c r="F109" s="506"/>
      <c r="G109" s="506"/>
      <c r="K109" s="270"/>
      <c r="L109" s="270"/>
      <c r="M109" s="270"/>
      <c r="N109" s="270"/>
      <c r="O109" s="270"/>
      <c r="P109" s="270"/>
      <c r="Q109" s="270"/>
      <c r="R109" s="630"/>
      <c r="S109" s="630"/>
      <c r="T109" s="630"/>
      <c r="U109" s="630"/>
      <c r="V109" s="630"/>
      <c r="W109" s="630"/>
      <c r="X109" s="630"/>
      <c r="Y109" s="630"/>
      <c r="Z109" s="630"/>
      <c r="AA109" s="630"/>
      <c r="AB109" s="630"/>
      <c r="AC109" s="630"/>
      <c r="AD109" s="630"/>
      <c r="AE109" s="630"/>
      <c r="AF109" s="630"/>
      <c r="AG109" s="630"/>
      <c r="AH109" s="630"/>
      <c r="AI109" s="630"/>
      <c r="AJ109" s="630"/>
      <c r="AK109" s="74"/>
    </row>
    <row r="110" spans="3:37">
      <c r="C110" s="75"/>
      <c r="D110" s="448" t="s">
        <v>487</v>
      </c>
      <c r="K110" s="1288"/>
      <c r="L110" s="1289"/>
      <c r="M110" s="1290"/>
      <c r="N110" s="1288"/>
      <c r="O110" s="1289"/>
      <c r="P110" s="1289"/>
      <c r="Q110" s="1289"/>
      <c r="R110" s="326"/>
      <c r="S110" s="324"/>
      <c r="T110" s="325"/>
      <c r="U110" s="449"/>
      <c r="V110" s="324"/>
      <c r="W110" s="325"/>
      <c r="X110" s="325"/>
      <c r="Y110" s="325"/>
      <c r="Z110" s="326"/>
      <c r="AA110" s="324"/>
      <c r="AB110" s="325"/>
      <c r="AC110" s="325"/>
      <c r="AD110" s="325"/>
      <c r="AE110" s="326"/>
      <c r="AF110" s="324"/>
      <c r="AG110" s="325"/>
      <c r="AH110" s="325"/>
      <c r="AI110" s="325"/>
      <c r="AJ110" s="326"/>
      <c r="AK110" s="74"/>
    </row>
    <row r="111" spans="3:37">
      <c r="C111" s="628"/>
      <c r="D111" s="448" t="s">
        <v>488</v>
      </c>
      <c r="K111" s="1296"/>
      <c r="L111" s="1297"/>
      <c r="M111" s="1298"/>
      <c r="N111" s="1296"/>
      <c r="O111" s="1297"/>
      <c r="P111" s="1297"/>
      <c r="Q111" s="1297"/>
      <c r="R111" s="329"/>
      <c r="S111" s="327"/>
      <c r="T111" s="328"/>
      <c r="U111" s="450"/>
      <c r="V111" s="327"/>
      <c r="W111" s="328"/>
      <c r="X111" s="328"/>
      <c r="Y111" s="328"/>
      <c r="Z111" s="329"/>
      <c r="AA111" s="327"/>
      <c r="AB111" s="328"/>
      <c r="AC111" s="328"/>
      <c r="AD111" s="328"/>
      <c r="AE111" s="329"/>
      <c r="AF111" s="327"/>
      <c r="AG111" s="328"/>
      <c r="AH111" s="328"/>
      <c r="AI111" s="328"/>
      <c r="AJ111" s="329"/>
      <c r="AK111" s="74"/>
    </row>
    <row r="112" spans="3:37">
      <c r="C112" s="75"/>
      <c r="D112" s="448" t="s">
        <v>489</v>
      </c>
      <c r="K112" s="1291"/>
      <c r="L112" s="1292"/>
      <c r="M112" s="1293"/>
      <c r="N112" s="1291"/>
      <c r="O112" s="1292"/>
      <c r="P112" s="1292"/>
      <c r="Q112" s="1292"/>
      <c r="R112" s="332"/>
      <c r="S112" s="330"/>
      <c r="T112" s="331"/>
      <c r="U112" s="451"/>
      <c r="V112" s="330"/>
      <c r="W112" s="331"/>
      <c r="X112" s="331"/>
      <c r="Y112" s="331"/>
      <c r="Z112" s="332"/>
      <c r="AA112" s="330"/>
      <c r="AB112" s="331"/>
      <c r="AC112" s="331"/>
      <c r="AD112" s="331"/>
      <c r="AE112" s="332"/>
      <c r="AF112" s="330"/>
      <c r="AG112" s="331"/>
      <c r="AH112" s="331"/>
      <c r="AI112" s="331"/>
      <c r="AJ112" s="332"/>
      <c r="AK112" s="74"/>
    </row>
    <row r="113" spans="3:37">
      <c r="C113" s="75"/>
      <c r="D113" s="472" t="s">
        <v>490</v>
      </c>
      <c r="E113" s="89"/>
      <c r="F113" s="89"/>
      <c r="G113" s="89"/>
      <c r="H113" s="89"/>
      <c r="I113" s="89"/>
      <c r="J113" s="89"/>
      <c r="K113" s="270">
        <f t="shared" ref="K113:W113" si="19">+K110-K111-K112</f>
        <v>0</v>
      </c>
      <c r="L113" s="270">
        <f t="shared" si="19"/>
        <v>0</v>
      </c>
      <c r="M113" s="270">
        <f t="shared" si="19"/>
        <v>0</v>
      </c>
      <c r="N113" s="270">
        <f t="shared" si="19"/>
        <v>0</v>
      </c>
      <c r="O113" s="270">
        <f t="shared" si="19"/>
        <v>0</v>
      </c>
      <c r="P113" s="270">
        <f t="shared" si="19"/>
        <v>0</v>
      </c>
      <c r="Q113" s="270">
        <f t="shared" si="19"/>
        <v>0</v>
      </c>
      <c r="R113" s="296">
        <f t="shared" si="19"/>
        <v>0</v>
      </c>
      <c r="S113" s="296">
        <f t="shared" si="19"/>
        <v>0</v>
      </c>
      <c r="T113" s="296">
        <f t="shared" si="19"/>
        <v>0</v>
      </c>
      <c r="U113" s="296">
        <f t="shared" si="19"/>
        <v>0</v>
      </c>
      <c r="V113" s="296">
        <f t="shared" si="19"/>
        <v>0</v>
      </c>
      <c r="W113" s="296">
        <f t="shared" si="19"/>
        <v>0</v>
      </c>
      <c r="X113" s="296">
        <f t="shared" ref="X113:AJ113" si="20">+X110-X111-X112</f>
        <v>0</v>
      </c>
      <c r="Y113" s="296">
        <f t="shared" si="20"/>
        <v>0</v>
      </c>
      <c r="Z113" s="296">
        <f t="shared" si="20"/>
        <v>0</v>
      </c>
      <c r="AA113" s="296">
        <f t="shared" si="20"/>
        <v>0</v>
      </c>
      <c r="AB113" s="296">
        <f t="shared" si="20"/>
        <v>0</v>
      </c>
      <c r="AC113" s="296">
        <f t="shared" si="20"/>
        <v>0</v>
      </c>
      <c r="AD113" s="296">
        <f t="shared" si="20"/>
        <v>0</v>
      </c>
      <c r="AE113" s="296">
        <f t="shared" si="20"/>
        <v>0</v>
      </c>
      <c r="AF113" s="296">
        <f t="shared" si="20"/>
        <v>0</v>
      </c>
      <c r="AG113" s="296">
        <f t="shared" si="20"/>
        <v>0</v>
      </c>
      <c r="AH113" s="296">
        <f t="shared" si="20"/>
        <v>0</v>
      </c>
      <c r="AI113" s="296">
        <f t="shared" si="20"/>
        <v>0</v>
      </c>
      <c r="AJ113" s="296">
        <f t="shared" si="20"/>
        <v>0</v>
      </c>
      <c r="AK113" s="74"/>
    </row>
    <row r="114" spans="3:37">
      <c r="C114" s="75"/>
      <c r="D114" s="472"/>
      <c r="E114" s="89"/>
      <c r="F114" s="89"/>
      <c r="G114" s="89"/>
      <c r="H114" s="89"/>
      <c r="I114" s="89"/>
      <c r="J114" s="89"/>
      <c r="K114" s="270"/>
      <c r="L114" s="270"/>
      <c r="M114" s="270"/>
      <c r="N114" s="270"/>
      <c r="O114" s="270"/>
      <c r="P114" s="270"/>
      <c r="Q114" s="270"/>
      <c r="R114" s="296"/>
      <c r="S114" s="296"/>
      <c r="T114" s="296"/>
      <c r="U114" s="296"/>
      <c r="V114" s="296"/>
      <c r="W114" s="296"/>
      <c r="X114" s="296"/>
      <c r="Y114" s="296"/>
      <c r="Z114" s="296"/>
      <c r="AA114" s="296"/>
      <c r="AB114" s="296"/>
      <c r="AC114" s="296"/>
      <c r="AD114" s="296"/>
      <c r="AE114" s="296"/>
      <c r="AF114" s="296"/>
      <c r="AG114" s="296"/>
      <c r="AH114" s="296"/>
      <c r="AI114" s="296"/>
      <c r="AJ114" s="296"/>
      <c r="AK114" s="74"/>
    </row>
    <row r="115" spans="3:37">
      <c r="C115" s="75"/>
      <c r="D115" s="448" t="s">
        <v>272</v>
      </c>
      <c r="E115" s="89"/>
      <c r="F115" s="89"/>
      <c r="G115" s="89"/>
      <c r="H115" s="89"/>
      <c r="I115" s="89"/>
      <c r="J115" s="89"/>
      <c r="K115" s="1288"/>
      <c r="L115" s="1289"/>
      <c r="M115" s="1290"/>
      <c r="N115" s="1288"/>
      <c r="O115" s="1289"/>
      <c r="P115" s="1289"/>
      <c r="Q115" s="1289"/>
      <c r="R115" s="326"/>
      <c r="S115" s="324"/>
      <c r="T115" s="325"/>
      <c r="U115" s="449"/>
      <c r="V115" s="324"/>
      <c r="W115" s="325"/>
      <c r="X115" s="325"/>
      <c r="Y115" s="325"/>
      <c r="Z115" s="326"/>
      <c r="AA115" s="324"/>
      <c r="AB115" s="325"/>
      <c r="AC115" s="325"/>
      <c r="AD115" s="325"/>
      <c r="AE115" s="326"/>
      <c r="AF115" s="324"/>
      <c r="AG115" s="325"/>
      <c r="AH115" s="325"/>
      <c r="AI115" s="325"/>
      <c r="AJ115" s="326"/>
      <c r="AK115" s="74"/>
    </row>
    <row r="116" spans="3:37">
      <c r="C116" s="75"/>
      <c r="D116" s="448" t="s">
        <v>775</v>
      </c>
      <c r="E116" s="89"/>
      <c r="F116" s="89"/>
      <c r="G116" s="89"/>
      <c r="H116" s="89"/>
      <c r="I116" s="89"/>
      <c r="J116" s="89"/>
      <c r="K116" s="1291"/>
      <c r="L116" s="1292"/>
      <c r="M116" s="1293"/>
      <c r="N116" s="1291"/>
      <c r="O116" s="1292"/>
      <c r="P116" s="1292"/>
      <c r="Q116" s="1292"/>
      <c r="R116" s="332"/>
      <c r="S116" s="330"/>
      <c r="T116" s="331"/>
      <c r="U116" s="451"/>
      <c r="V116" s="330"/>
      <c r="W116" s="331"/>
      <c r="X116" s="331"/>
      <c r="Y116" s="331"/>
      <c r="Z116" s="332"/>
      <c r="AA116" s="330"/>
      <c r="AB116" s="331"/>
      <c r="AC116" s="331"/>
      <c r="AD116" s="331"/>
      <c r="AE116" s="332"/>
      <c r="AF116" s="330"/>
      <c r="AG116" s="331"/>
      <c r="AH116" s="331"/>
      <c r="AI116" s="331"/>
      <c r="AJ116" s="332"/>
      <c r="AK116" s="74"/>
    </row>
    <row r="117" spans="3:37">
      <c r="C117" s="81"/>
      <c r="D117" s="68"/>
      <c r="E117" s="68"/>
      <c r="F117" s="68"/>
      <c r="G117" s="68"/>
      <c r="H117" s="68"/>
      <c r="I117" s="68"/>
      <c r="J117" s="68"/>
      <c r="K117" s="306"/>
      <c r="L117" s="306"/>
      <c r="M117" s="306"/>
      <c r="N117" s="306"/>
      <c r="O117" s="306"/>
      <c r="P117" s="306"/>
      <c r="Q117" s="306"/>
      <c r="R117" s="629"/>
      <c r="S117" s="629"/>
      <c r="T117" s="629"/>
      <c r="U117" s="629"/>
      <c r="V117" s="629"/>
      <c r="W117" s="629"/>
      <c r="X117" s="629"/>
      <c r="Y117" s="629"/>
      <c r="Z117" s="629"/>
      <c r="AA117" s="629"/>
      <c r="AB117" s="629"/>
      <c r="AC117" s="629"/>
      <c r="AD117" s="629"/>
      <c r="AE117" s="629"/>
      <c r="AF117" s="629"/>
      <c r="AG117" s="629"/>
      <c r="AH117" s="629"/>
      <c r="AI117" s="629"/>
      <c r="AJ117" s="629"/>
      <c r="AK117" s="83"/>
    </row>
    <row r="118" spans="3:37">
      <c r="K118" s="431"/>
      <c r="L118" s="431"/>
      <c r="M118" s="431"/>
      <c r="N118" s="431"/>
      <c r="O118" s="431"/>
      <c r="P118" s="431"/>
      <c r="Q118" s="431"/>
      <c r="R118" s="293"/>
      <c r="S118" s="293"/>
      <c r="T118" s="293"/>
      <c r="U118" s="293"/>
      <c r="V118" s="293"/>
      <c r="W118" s="293"/>
      <c r="X118" s="293"/>
      <c r="Y118" s="293"/>
      <c r="Z118" s="293"/>
      <c r="AA118" s="293"/>
      <c r="AB118" s="293"/>
      <c r="AC118" s="293"/>
      <c r="AD118" s="293"/>
      <c r="AE118" s="293"/>
      <c r="AF118" s="293"/>
      <c r="AG118" s="293"/>
      <c r="AH118" s="293"/>
      <c r="AI118" s="293"/>
      <c r="AJ118" s="293"/>
    </row>
    <row r="119" spans="3:37">
      <c r="C119" s="69"/>
      <c r="D119" s="2121" t="s">
        <v>950</v>
      </c>
      <c r="E119" s="2122"/>
      <c r="F119" s="2122"/>
      <c r="G119" s="2122"/>
      <c r="H119" s="2123"/>
      <c r="I119" s="70"/>
      <c r="J119" s="70"/>
      <c r="K119" s="303"/>
      <c r="L119" s="303"/>
      <c r="M119" s="303"/>
      <c r="N119" s="303"/>
      <c r="O119" s="303"/>
      <c r="P119" s="303"/>
      <c r="Q119" s="303"/>
      <c r="R119" s="627"/>
      <c r="S119" s="627"/>
      <c r="T119" s="627"/>
      <c r="U119" s="627"/>
      <c r="V119" s="627"/>
      <c r="W119" s="627"/>
      <c r="X119" s="627"/>
      <c r="Y119" s="627"/>
      <c r="Z119" s="627"/>
      <c r="AA119" s="627"/>
      <c r="AB119" s="627"/>
      <c r="AC119" s="627"/>
      <c r="AD119" s="627"/>
      <c r="AE119" s="627"/>
      <c r="AF119" s="627"/>
      <c r="AG119" s="627"/>
      <c r="AH119" s="627"/>
      <c r="AI119" s="627"/>
      <c r="AJ119" s="627"/>
      <c r="AK119" s="73"/>
    </row>
    <row r="120" spans="3:37">
      <c r="C120" s="75"/>
      <c r="D120" s="506"/>
      <c r="E120" s="506"/>
      <c r="F120" s="506"/>
      <c r="G120" s="506"/>
      <c r="K120" s="270"/>
      <c r="L120" s="270"/>
      <c r="M120" s="270"/>
      <c r="N120" s="270"/>
      <c r="O120" s="270"/>
      <c r="P120" s="270"/>
      <c r="Q120" s="270"/>
      <c r="R120" s="296"/>
      <c r="S120" s="296"/>
      <c r="T120" s="296"/>
      <c r="U120" s="296"/>
      <c r="V120" s="296"/>
      <c r="W120" s="296"/>
      <c r="X120" s="296"/>
      <c r="Y120" s="296"/>
      <c r="Z120" s="296"/>
      <c r="AA120" s="296"/>
      <c r="AB120" s="296"/>
      <c r="AC120" s="296"/>
      <c r="AD120" s="296"/>
      <c r="AE120" s="296"/>
      <c r="AF120" s="296"/>
      <c r="AG120" s="296"/>
      <c r="AH120" s="296"/>
      <c r="AI120" s="296"/>
      <c r="AJ120" s="296"/>
      <c r="AK120" s="74"/>
    </row>
    <row r="121" spans="3:37">
      <c r="C121" s="75"/>
      <c r="D121" s="506" t="s">
        <v>859</v>
      </c>
      <c r="E121" s="506"/>
      <c r="F121" s="506"/>
      <c r="G121" s="506"/>
      <c r="K121" s="1176"/>
      <c r="L121" s="1177"/>
      <c r="M121" s="1177"/>
      <c r="N121" s="1176"/>
      <c r="O121" s="1177"/>
      <c r="P121" s="1177"/>
      <c r="Q121" s="1177"/>
      <c r="R121" s="335"/>
      <c r="S121" s="333"/>
      <c r="T121" s="334"/>
      <c r="U121" s="336"/>
      <c r="V121" s="333"/>
      <c r="W121" s="334"/>
      <c r="X121" s="334"/>
      <c r="Y121" s="334"/>
      <c r="Z121" s="335"/>
      <c r="AA121" s="333"/>
      <c r="AB121" s="334"/>
      <c r="AC121" s="334"/>
      <c r="AD121" s="334"/>
      <c r="AE121" s="335"/>
      <c r="AF121" s="333"/>
      <c r="AG121" s="334"/>
      <c r="AH121" s="334"/>
      <c r="AI121" s="334"/>
      <c r="AJ121" s="335"/>
      <c r="AK121" s="74"/>
    </row>
    <row r="122" spans="3:37">
      <c r="C122" s="75"/>
      <c r="D122" s="506"/>
      <c r="E122" s="506"/>
      <c r="F122" s="506"/>
      <c r="G122" s="506"/>
      <c r="K122" s="270"/>
      <c r="L122" s="270"/>
      <c r="M122" s="270"/>
      <c r="N122" s="270"/>
      <c r="O122" s="270"/>
      <c r="P122" s="270"/>
      <c r="Q122" s="270"/>
      <c r="R122" s="630"/>
      <c r="S122" s="630"/>
      <c r="T122" s="630"/>
      <c r="U122" s="630"/>
      <c r="V122" s="630"/>
      <c r="W122" s="630"/>
      <c r="X122" s="630"/>
      <c r="Y122" s="630"/>
      <c r="Z122" s="630"/>
      <c r="AA122" s="630"/>
      <c r="AB122" s="630"/>
      <c r="AC122" s="630"/>
      <c r="AD122" s="630"/>
      <c r="AE122" s="630"/>
      <c r="AF122" s="630"/>
      <c r="AG122" s="630"/>
      <c r="AH122" s="630"/>
      <c r="AI122" s="630"/>
      <c r="AJ122" s="630"/>
      <c r="AK122" s="74"/>
    </row>
    <row r="123" spans="3:37">
      <c r="C123" s="75"/>
      <c r="D123" s="506" t="s">
        <v>104</v>
      </c>
      <c r="E123" s="506"/>
      <c r="F123" s="506"/>
      <c r="G123" s="506"/>
      <c r="K123" s="1176"/>
      <c r="L123" s="1177"/>
      <c r="M123" s="1177"/>
      <c r="N123" s="1176"/>
      <c r="O123" s="1177"/>
      <c r="P123" s="1177"/>
      <c r="Q123" s="1177"/>
      <c r="R123" s="335"/>
      <c r="S123" s="333"/>
      <c r="T123" s="334"/>
      <c r="U123" s="336"/>
      <c r="V123" s="333"/>
      <c r="W123" s="334"/>
      <c r="X123" s="334"/>
      <c r="Y123" s="334"/>
      <c r="Z123" s="335"/>
      <c r="AA123" s="333"/>
      <c r="AB123" s="334"/>
      <c r="AC123" s="334"/>
      <c r="AD123" s="334"/>
      <c r="AE123" s="335"/>
      <c r="AF123" s="333"/>
      <c r="AG123" s="334"/>
      <c r="AH123" s="334"/>
      <c r="AI123" s="334"/>
      <c r="AJ123" s="335"/>
      <c r="AK123" s="74"/>
    </row>
    <row r="124" spans="3:37">
      <c r="C124" s="75"/>
      <c r="D124" s="506"/>
      <c r="E124" s="506"/>
      <c r="F124" s="506"/>
      <c r="G124" s="506"/>
      <c r="K124" s="270"/>
      <c r="L124" s="270"/>
      <c r="M124" s="270"/>
      <c r="N124" s="270"/>
      <c r="O124" s="270"/>
      <c r="P124" s="270"/>
      <c r="Q124" s="270"/>
      <c r="R124" s="630"/>
      <c r="S124" s="630"/>
      <c r="T124" s="630"/>
      <c r="U124" s="630"/>
      <c r="V124" s="630"/>
      <c r="W124" s="630"/>
      <c r="X124" s="630"/>
      <c r="Y124" s="630"/>
      <c r="Z124" s="630"/>
      <c r="AA124" s="630"/>
      <c r="AB124" s="630"/>
      <c r="AC124" s="630"/>
      <c r="AD124" s="630"/>
      <c r="AE124" s="630"/>
      <c r="AF124" s="630"/>
      <c r="AG124" s="630"/>
      <c r="AH124" s="630"/>
      <c r="AI124" s="630"/>
      <c r="AJ124" s="630"/>
      <c r="AK124" s="74"/>
    </row>
    <row r="125" spans="3:37">
      <c r="C125" s="75"/>
      <c r="D125" s="448" t="s">
        <v>487</v>
      </c>
      <c r="K125" s="1288"/>
      <c r="L125" s="1289"/>
      <c r="M125" s="1290"/>
      <c r="N125" s="1288"/>
      <c r="O125" s="1289"/>
      <c r="P125" s="1289"/>
      <c r="Q125" s="1289"/>
      <c r="R125" s="326"/>
      <c r="S125" s="324"/>
      <c r="T125" s="325"/>
      <c r="U125" s="449"/>
      <c r="V125" s="324"/>
      <c r="W125" s="325"/>
      <c r="X125" s="325"/>
      <c r="Y125" s="325"/>
      <c r="Z125" s="326"/>
      <c r="AA125" s="324"/>
      <c r="AB125" s="325"/>
      <c r="AC125" s="325"/>
      <c r="AD125" s="325"/>
      <c r="AE125" s="326"/>
      <c r="AF125" s="324"/>
      <c r="AG125" s="325"/>
      <c r="AH125" s="325"/>
      <c r="AI125" s="325"/>
      <c r="AJ125" s="326"/>
      <c r="AK125" s="74"/>
    </row>
    <row r="126" spans="3:37">
      <c r="C126" s="628"/>
      <c r="D126" s="448" t="s">
        <v>488</v>
      </c>
      <c r="K126" s="1296"/>
      <c r="L126" s="1297"/>
      <c r="M126" s="1298"/>
      <c r="N126" s="1296"/>
      <c r="O126" s="1297"/>
      <c r="P126" s="1297"/>
      <c r="Q126" s="1297"/>
      <c r="R126" s="329"/>
      <c r="S126" s="327"/>
      <c r="T126" s="328"/>
      <c r="U126" s="450"/>
      <c r="V126" s="327"/>
      <c r="W126" s="328"/>
      <c r="X126" s="328"/>
      <c r="Y126" s="328"/>
      <c r="Z126" s="329"/>
      <c r="AA126" s="327"/>
      <c r="AB126" s="328"/>
      <c r="AC126" s="328"/>
      <c r="AD126" s="328"/>
      <c r="AE126" s="329"/>
      <c r="AF126" s="327"/>
      <c r="AG126" s="328"/>
      <c r="AH126" s="328"/>
      <c r="AI126" s="328"/>
      <c r="AJ126" s="329"/>
      <c r="AK126" s="74"/>
    </row>
    <row r="127" spans="3:37">
      <c r="C127" s="75"/>
      <c r="D127" s="448" t="s">
        <v>489</v>
      </c>
      <c r="K127" s="1291"/>
      <c r="L127" s="1292"/>
      <c r="M127" s="1293"/>
      <c r="N127" s="1291"/>
      <c r="O127" s="1292"/>
      <c r="P127" s="1292"/>
      <c r="Q127" s="1292"/>
      <c r="R127" s="332"/>
      <c r="S127" s="330"/>
      <c r="T127" s="331"/>
      <c r="U127" s="451"/>
      <c r="V127" s="330"/>
      <c r="W127" s="331"/>
      <c r="X127" s="331"/>
      <c r="Y127" s="331"/>
      <c r="Z127" s="332"/>
      <c r="AA127" s="330"/>
      <c r="AB127" s="331"/>
      <c r="AC127" s="331"/>
      <c r="AD127" s="331"/>
      <c r="AE127" s="332"/>
      <c r="AF127" s="330"/>
      <c r="AG127" s="331"/>
      <c r="AH127" s="331"/>
      <c r="AI127" s="331"/>
      <c r="AJ127" s="332"/>
      <c r="AK127" s="74"/>
    </row>
    <row r="128" spans="3:37">
      <c r="C128" s="75"/>
      <c r="D128" s="472" t="s">
        <v>490</v>
      </c>
      <c r="E128" s="89"/>
      <c r="F128" s="89"/>
      <c r="G128" s="89"/>
      <c r="H128" s="89"/>
      <c r="I128" s="89"/>
      <c r="J128" s="89"/>
      <c r="K128" s="270">
        <f t="shared" ref="K128:W128" si="21">+K125-K126-K127</f>
        <v>0</v>
      </c>
      <c r="L128" s="270">
        <f t="shared" si="21"/>
        <v>0</v>
      </c>
      <c r="M128" s="270">
        <f t="shared" si="21"/>
        <v>0</v>
      </c>
      <c r="N128" s="270">
        <f t="shared" si="21"/>
        <v>0</v>
      </c>
      <c r="O128" s="270">
        <f t="shared" si="21"/>
        <v>0</v>
      </c>
      <c r="P128" s="270">
        <f t="shared" si="21"/>
        <v>0</v>
      </c>
      <c r="Q128" s="270">
        <f t="shared" si="21"/>
        <v>0</v>
      </c>
      <c r="R128" s="296">
        <f t="shared" si="21"/>
        <v>0</v>
      </c>
      <c r="S128" s="296">
        <f t="shared" si="21"/>
        <v>0</v>
      </c>
      <c r="T128" s="296">
        <f t="shared" si="21"/>
        <v>0</v>
      </c>
      <c r="U128" s="296">
        <f t="shared" si="21"/>
        <v>0</v>
      </c>
      <c r="V128" s="296">
        <f t="shared" si="21"/>
        <v>0</v>
      </c>
      <c r="W128" s="296">
        <f t="shared" si="21"/>
        <v>0</v>
      </c>
      <c r="X128" s="296">
        <f t="shared" ref="X128:AJ128" si="22">+X125-X126-X127</f>
        <v>0</v>
      </c>
      <c r="Y128" s="296">
        <f t="shared" si="22"/>
        <v>0</v>
      </c>
      <c r="Z128" s="296">
        <f t="shared" si="22"/>
        <v>0</v>
      </c>
      <c r="AA128" s="296">
        <f t="shared" si="22"/>
        <v>0</v>
      </c>
      <c r="AB128" s="296">
        <f t="shared" si="22"/>
        <v>0</v>
      </c>
      <c r="AC128" s="296">
        <f t="shared" si="22"/>
        <v>0</v>
      </c>
      <c r="AD128" s="296">
        <f t="shared" si="22"/>
        <v>0</v>
      </c>
      <c r="AE128" s="296">
        <f t="shared" si="22"/>
        <v>0</v>
      </c>
      <c r="AF128" s="296">
        <f t="shared" si="22"/>
        <v>0</v>
      </c>
      <c r="AG128" s="296">
        <f t="shared" si="22"/>
        <v>0</v>
      </c>
      <c r="AH128" s="296">
        <f t="shared" si="22"/>
        <v>0</v>
      </c>
      <c r="AI128" s="296">
        <f t="shared" si="22"/>
        <v>0</v>
      </c>
      <c r="AJ128" s="296">
        <f t="shared" si="22"/>
        <v>0</v>
      </c>
      <c r="AK128" s="74"/>
    </row>
    <row r="129" spans="3:37">
      <c r="C129" s="75"/>
      <c r="D129" s="472"/>
      <c r="E129" s="89"/>
      <c r="F129" s="89"/>
      <c r="G129" s="89"/>
      <c r="H129" s="89"/>
      <c r="I129" s="89"/>
      <c r="J129" s="89"/>
      <c r="K129" s="270"/>
      <c r="L129" s="270"/>
      <c r="M129" s="270"/>
      <c r="N129" s="270"/>
      <c r="O129" s="270"/>
      <c r="P129" s="270"/>
      <c r="Q129" s="270"/>
      <c r="R129" s="296"/>
      <c r="S129" s="296"/>
      <c r="T129" s="296"/>
      <c r="U129" s="296"/>
      <c r="V129" s="296"/>
      <c r="W129" s="296"/>
      <c r="X129" s="296"/>
      <c r="Y129" s="296"/>
      <c r="Z129" s="296"/>
      <c r="AA129" s="296"/>
      <c r="AB129" s="296"/>
      <c r="AC129" s="296"/>
      <c r="AD129" s="296"/>
      <c r="AE129" s="296"/>
      <c r="AF129" s="296"/>
      <c r="AG129" s="296"/>
      <c r="AH129" s="296"/>
      <c r="AI129" s="296"/>
      <c r="AJ129" s="296"/>
      <c r="AK129" s="74"/>
    </row>
    <row r="130" spans="3:37">
      <c r="C130" s="75"/>
      <c r="D130" s="448" t="s">
        <v>272</v>
      </c>
      <c r="E130" s="89"/>
      <c r="F130" s="89"/>
      <c r="G130" s="89"/>
      <c r="H130" s="89"/>
      <c r="I130" s="89"/>
      <c r="J130" s="89"/>
      <c r="K130" s="1288"/>
      <c r="L130" s="1289"/>
      <c r="M130" s="1290"/>
      <c r="N130" s="1288"/>
      <c r="O130" s="1289"/>
      <c r="P130" s="1289"/>
      <c r="Q130" s="1289"/>
      <c r="R130" s="326"/>
      <c r="S130" s="324"/>
      <c r="T130" s="325"/>
      <c r="U130" s="449"/>
      <c r="V130" s="324"/>
      <c r="W130" s="325"/>
      <c r="X130" s="325"/>
      <c r="Y130" s="325"/>
      <c r="Z130" s="326"/>
      <c r="AA130" s="324"/>
      <c r="AB130" s="325"/>
      <c r="AC130" s="325"/>
      <c r="AD130" s="325"/>
      <c r="AE130" s="326"/>
      <c r="AF130" s="324"/>
      <c r="AG130" s="325"/>
      <c r="AH130" s="325"/>
      <c r="AI130" s="325"/>
      <c r="AJ130" s="326"/>
      <c r="AK130" s="74"/>
    </row>
    <row r="131" spans="3:37">
      <c r="C131" s="75"/>
      <c r="D131" s="448" t="s">
        <v>775</v>
      </c>
      <c r="E131" s="89"/>
      <c r="F131" s="89"/>
      <c r="G131" s="89"/>
      <c r="H131" s="89"/>
      <c r="I131" s="89"/>
      <c r="J131" s="89"/>
      <c r="K131" s="1291"/>
      <c r="L131" s="1292"/>
      <c r="M131" s="1293"/>
      <c r="N131" s="1291"/>
      <c r="O131" s="1292"/>
      <c r="P131" s="1292"/>
      <c r="Q131" s="1292"/>
      <c r="R131" s="332"/>
      <c r="S131" s="330"/>
      <c r="T131" s="331"/>
      <c r="U131" s="451"/>
      <c r="V131" s="330"/>
      <c r="W131" s="331"/>
      <c r="X131" s="331"/>
      <c r="Y131" s="331"/>
      <c r="Z131" s="332"/>
      <c r="AA131" s="330"/>
      <c r="AB131" s="331"/>
      <c r="AC131" s="331"/>
      <c r="AD131" s="331"/>
      <c r="AE131" s="332"/>
      <c r="AF131" s="330"/>
      <c r="AG131" s="331"/>
      <c r="AH131" s="331"/>
      <c r="AI131" s="331"/>
      <c r="AJ131" s="332"/>
      <c r="AK131" s="74"/>
    </row>
    <row r="132" spans="3:37">
      <c r="C132" s="81"/>
      <c r="D132" s="68"/>
      <c r="E132" s="68"/>
      <c r="F132" s="68"/>
      <c r="G132" s="68"/>
      <c r="H132" s="68"/>
      <c r="I132" s="68"/>
      <c r="J132" s="68"/>
      <c r="K132" s="306"/>
      <c r="L132" s="306"/>
      <c r="M132" s="306"/>
      <c r="N132" s="306"/>
      <c r="O132" s="306"/>
      <c r="P132" s="306"/>
      <c r="Q132" s="306"/>
      <c r="R132" s="629"/>
      <c r="S132" s="629"/>
      <c r="T132" s="629"/>
      <c r="U132" s="629"/>
      <c r="V132" s="629"/>
      <c r="W132" s="629"/>
      <c r="X132" s="629"/>
      <c r="Y132" s="629"/>
      <c r="Z132" s="629"/>
      <c r="AA132" s="629"/>
      <c r="AB132" s="629"/>
      <c r="AC132" s="629"/>
      <c r="AD132" s="629"/>
      <c r="AE132" s="629"/>
      <c r="AF132" s="629"/>
      <c r="AG132" s="629"/>
      <c r="AH132" s="629"/>
      <c r="AI132" s="629"/>
      <c r="AJ132" s="629"/>
      <c r="AK132" s="83"/>
    </row>
    <row r="133" spans="3:37">
      <c r="K133" s="270"/>
      <c r="L133" s="270"/>
      <c r="M133" s="270"/>
      <c r="N133" s="270"/>
      <c r="O133" s="270"/>
      <c r="P133" s="270"/>
      <c r="Q133" s="270"/>
      <c r="R133" s="296"/>
      <c r="S133" s="296"/>
      <c r="T133" s="296"/>
      <c r="U133" s="296"/>
      <c r="V133" s="296"/>
      <c r="W133" s="296"/>
      <c r="X133" s="296"/>
      <c r="Y133" s="296"/>
      <c r="Z133" s="296"/>
      <c r="AA133" s="296"/>
      <c r="AB133" s="296"/>
      <c r="AC133" s="296"/>
      <c r="AD133" s="296"/>
      <c r="AE133" s="296"/>
      <c r="AF133" s="296"/>
      <c r="AG133" s="296"/>
      <c r="AH133" s="296"/>
      <c r="AI133" s="296"/>
      <c r="AJ133" s="296"/>
    </row>
    <row r="134" spans="3:37">
      <c r="C134" s="69"/>
      <c r="D134" s="2121" t="s">
        <v>951</v>
      </c>
      <c r="E134" s="2122"/>
      <c r="F134" s="2122"/>
      <c r="G134" s="2122"/>
      <c r="H134" s="2123"/>
      <c r="I134" s="70"/>
      <c r="J134" s="70"/>
      <c r="K134" s="303"/>
      <c r="L134" s="303"/>
      <c r="M134" s="303"/>
      <c r="N134" s="303"/>
      <c r="O134" s="303"/>
      <c r="P134" s="303"/>
      <c r="Q134" s="303"/>
      <c r="R134" s="627"/>
      <c r="S134" s="627"/>
      <c r="T134" s="627"/>
      <c r="U134" s="627"/>
      <c r="V134" s="627"/>
      <c r="W134" s="627"/>
      <c r="X134" s="627"/>
      <c r="Y134" s="627"/>
      <c r="Z134" s="627"/>
      <c r="AA134" s="627"/>
      <c r="AB134" s="627"/>
      <c r="AC134" s="627"/>
      <c r="AD134" s="627"/>
      <c r="AE134" s="627"/>
      <c r="AF134" s="627"/>
      <c r="AG134" s="627"/>
      <c r="AH134" s="627"/>
      <c r="AI134" s="627"/>
      <c r="AJ134" s="627"/>
      <c r="AK134" s="73"/>
    </row>
    <row r="135" spans="3:37">
      <c r="C135" s="75"/>
      <c r="D135" s="506"/>
      <c r="E135" s="506"/>
      <c r="F135" s="506"/>
      <c r="G135" s="506"/>
      <c r="K135" s="270"/>
      <c r="L135" s="270"/>
      <c r="M135" s="270"/>
      <c r="N135" s="270"/>
      <c r="O135" s="270"/>
      <c r="P135" s="270"/>
      <c r="Q135" s="270"/>
      <c r="R135" s="296"/>
      <c r="S135" s="296"/>
      <c r="T135" s="296"/>
      <c r="U135" s="296"/>
      <c r="V135" s="296"/>
      <c r="W135" s="296"/>
      <c r="X135" s="296"/>
      <c r="Y135" s="296"/>
      <c r="Z135" s="296"/>
      <c r="AA135" s="296"/>
      <c r="AB135" s="296"/>
      <c r="AC135" s="296"/>
      <c r="AD135" s="296"/>
      <c r="AE135" s="296"/>
      <c r="AF135" s="296"/>
      <c r="AG135" s="296"/>
      <c r="AH135" s="296"/>
      <c r="AI135" s="296"/>
      <c r="AJ135" s="296"/>
      <c r="AK135" s="74"/>
    </row>
    <row r="136" spans="3:37">
      <c r="C136" s="75"/>
      <c r="D136" s="506" t="s">
        <v>859</v>
      </c>
      <c r="E136" s="506"/>
      <c r="F136" s="506"/>
      <c r="G136" s="506"/>
      <c r="K136" s="1176"/>
      <c r="L136" s="1177"/>
      <c r="M136" s="1177"/>
      <c r="N136" s="1176"/>
      <c r="O136" s="1177"/>
      <c r="P136" s="1177"/>
      <c r="Q136" s="1177"/>
      <c r="R136" s="335"/>
      <c r="S136" s="333"/>
      <c r="T136" s="334"/>
      <c r="U136" s="336"/>
      <c r="V136" s="333"/>
      <c r="W136" s="334"/>
      <c r="X136" s="334"/>
      <c r="Y136" s="334"/>
      <c r="Z136" s="335"/>
      <c r="AA136" s="333"/>
      <c r="AB136" s="334"/>
      <c r="AC136" s="334"/>
      <c r="AD136" s="334"/>
      <c r="AE136" s="335"/>
      <c r="AF136" s="333"/>
      <c r="AG136" s="334"/>
      <c r="AH136" s="334"/>
      <c r="AI136" s="334"/>
      <c r="AJ136" s="335"/>
      <c r="AK136" s="74"/>
    </row>
    <row r="137" spans="3:37">
      <c r="C137" s="75"/>
      <c r="D137" s="506"/>
      <c r="E137" s="506"/>
      <c r="F137" s="506"/>
      <c r="G137" s="506"/>
      <c r="K137" s="270"/>
      <c r="L137" s="270"/>
      <c r="M137" s="270"/>
      <c r="N137" s="270"/>
      <c r="O137" s="270"/>
      <c r="P137" s="270"/>
      <c r="Q137" s="270"/>
      <c r="R137" s="630"/>
      <c r="S137" s="630"/>
      <c r="T137" s="630"/>
      <c r="U137" s="630"/>
      <c r="V137" s="630"/>
      <c r="W137" s="630"/>
      <c r="X137" s="630"/>
      <c r="Y137" s="630"/>
      <c r="Z137" s="630"/>
      <c r="AA137" s="630"/>
      <c r="AB137" s="630"/>
      <c r="AC137" s="630"/>
      <c r="AD137" s="630"/>
      <c r="AE137" s="630"/>
      <c r="AF137" s="630"/>
      <c r="AG137" s="630"/>
      <c r="AH137" s="630"/>
      <c r="AI137" s="630"/>
      <c r="AJ137" s="630"/>
      <c r="AK137" s="74"/>
    </row>
    <row r="138" spans="3:37">
      <c r="C138" s="75"/>
      <c r="D138" s="506" t="s">
        <v>104</v>
      </c>
      <c r="E138" s="506"/>
      <c r="F138" s="506"/>
      <c r="G138" s="506"/>
      <c r="K138" s="1176"/>
      <c r="L138" s="1177"/>
      <c r="M138" s="1177"/>
      <c r="N138" s="1176"/>
      <c r="O138" s="1177"/>
      <c r="P138" s="1177"/>
      <c r="Q138" s="1177"/>
      <c r="R138" s="335"/>
      <c r="S138" s="333"/>
      <c r="T138" s="334"/>
      <c r="U138" s="336"/>
      <c r="V138" s="333"/>
      <c r="W138" s="334"/>
      <c r="X138" s="334"/>
      <c r="Y138" s="334"/>
      <c r="Z138" s="335"/>
      <c r="AA138" s="333"/>
      <c r="AB138" s="334"/>
      <c r="AC138" s="334"/>
      <c r="AD138" s="334"/>
      <c r="AE138" s="335"/>
      <c r="AF138" s="333"/>
      <c r="AG138" s="334"/>
      <c r="AH138" s="334"/>
      <c r="AI138" s="334"/>
      <c r="AJ138" s="335"/>
      <c r="AK138" s="74"/>
    </row>
    <row r="139" spans="3:37">
      <c r="C139" s="75"/>
      <c r="D139" s="506"/>
      <c r="E139" s="506"/>
      <c r="F139" s="506"/>
      <c r="G139" s="506"/>
      <c r="K139" s="270"/>
      <c r="L139" s="270"/>
      <c r="M139" s="270"/>
      <c r="N139" s="270"/>
      <c r="O139" s="270"/>
      <c r="P139" s="270"/>
      <c r="Q139" s="270"/>
      <c r="R139" s="630"/>
      <c r="S139" s="630"/>
      <c r="T139" s="630"/>
      <c r="U139" s="630"/>
      <c r="V139" s="630"/>
      <c r="W139" s="630"/>
      <c r="X139" s="630"/>
      <c r="Y139" s="630"/>
      <c r="Z139" s="630"/>
      <c r="AA139" s="630"/>
      <c r="AB139" s="630"/>
      <c r="AC139" s="630"/>
      <c r="AD139" s="630"/>
      <c r="AE139" s="630"/>
      <c r="AF139" s="630"/>
      <c r="AG139" s="630"/>
      <c r="AH139" s="630"/>
      <c r="AI139" s="630"/>
      <c r="AJ139" s="630"/>
      <c r="AK139" s="74"/>
    </row>
    <row r="140" spans="3:37">
      <c r="C140" s="75"/>
      <c r="D140" s="448" t="s">
        <v>487</v>
      </c>
      <c r="K140" s="1288"/>
      <c r="L140" s="1289"/>
      <c r="M140" s="1290"/>
      <c r="N140" s="1288"/>
      <c r="O140" s="1289"/>
      <c r="P140" s="1289"/>
      <c r="Q140" s="1289"/>
      <c r="R140" s="326"/>
      <c r="S140" s="324"/>
      <c r="T140" s="325"/>
      <c r="U140" s="449"/>
      <c r="V140" s="324"/>
      <c r="W140" s="325"/>
      <c r="X140" s="325"/>
      <c r="Y140" s="325"/>
      <c r="Z140" s="326"/>
      <c r="AA140" s="324"/>
      <c r="AB140" s="325"/>
      <c r="AC140" s="325"/>
      <c r="AD140" s="325"/>
      <c r="AE140" s="326"/>
      <c r="AF140" s="324"/>
      <c r="AG140" s="325"/>
      <c r="AH140" s="325"/>
      <c r="AI140" s="325"/>
      <c r="AJ140" s="326"/>
      <c r="AK140" s="74"/>
    </row>
    <row r="141" spans="3:37">
      <c r="C141" s="628"/>
      <c r="D141" s="448" t="s">
        <v>488</v>
      </c>
      <c r="K141" s="1296"/>
      <c r="L141" s="1297"/>
      <c r="M141" s="1298"/>
      <c r="N141" s="1296"/>
      <c r="O141" s="1297"/>
      <c r="P141" s="1297"/>
      <c r="Q141" s="1297"/>
      <c r="R141" s="329"/>
      <c r="S141" s="327"/>
      <c r="T141" s="328"/>
      <c r="U141" s="450"/>
      <c r="V141" s="327"/>
      <c r="W141" s="328"/>
      <c r="X141" s="328"/>
      <c r="Y141" s="328"/>
      <c r="Z141" s="329"/>
      <c r="AA141" s="327"/>
      <c r="AB141" s="328"/>
      <c r="AC141" s="328"/>
      <c r="AD141" s="328"/>
      <c r="AE141" s="329"/>
      <c r="AF141" s="327"/>
      <c r="AG141" s="328"/>
      <c r="AH141" s="328"/>
      <c r="AI141" s="328"/>
      <c r="AJ141" s="329"/>
      <c r="AK141" s="74"/>
    </row>
    <row r="142" spans="3:37">
      <c r="C142" s="75"/>
      <c r="D142" s="448" t="s">
        <v>489</v>
      </c>
      <c r="K142" s="1291"/>
      <c r="L142" s="1292"/>
      <c r="M142" s="1293"/>
      <c r="N142" s="1291"/>
      <c r="O142" s="1292"/>
      <c r="P142" s="1292"/>
      <c r="Q142" s="1292"/>
      <c r="R142" s="332"/>
      <c r="S142" s="330"/>
      <c r="T142" s="331"/>
      <c r="U142" s="451"/>
      <c r="V142" s="330"/>
      <c r="W142" s="331"/>
      <c r="X142" s="331"/>
      <c r="Y142" s="331"/>
      <c r="Z142" s="332"/>
      <c r="AA142" s="330"/>
      <c r="AB142" s="331"/>
      <c r="AC142" s="331"/>
      <c r="AD142" s="331"/>
      <c r="AE142" s="332"/>
      <c r="AF142" s="330"/>
      <c r="AG142" s="331"/>
      <c r="AH142" s="331"/>
      <c r="AI142" s="331"/>
      <c r="AJ142" s="332"/>
      <c r="AK142" s="74"/>
    </row>
    <row r="143" spans="3:37">
      <c r="C143" s="75"/>
      <c r="D143" s="472" t="s">
        <v>490</v>
      </c>
      <c r="E143" s="89"/>
      <c r="F143" s="89"/>
      <c r="G143" s="89"/>
      <c r="H143" s="89"/>
      <c r="I143" s="89"/>
      <c r="J143" s="89"/>
      <c r="K143" s="270">
        <f t="shared" ref="K143:W143" si="23">+K140-K141-K142</f>
        <v>0</v>
      </c>
      <c r="L143" s="270">
        <f t="shared" si="23"/>
        <v>0</v>
      </c>
      <c r="M143" s="270">
        <f t="shared" si="23"/>
        <v>0</v>
      </c>
      <c r="N143" s="270">
        <f t="shared" si="23"/>
        <v>0</v>
      </c>
      <c r="O143" s="270">
        <f t="shared" si="23"/>
        <v>0</v>
      </c>
      <c r="P143" s="270">
        <f t="shared" si="23"/>
        <v>0</v>
      </c>
      <c r="Q143" s="270">
        <f t="shared" si="23"/>
        <v>0</v>
      </c>
      <c r="R143" s="296">
        <f t="shared" si="23"/>
        <v>0</v>
      </c>
      <c r="S143" s="296">
        <f t="shared" si="23"/>
        <v>0</v>
      </c>
      <c r="T143" s="296">
        <f t="shared" si="23"/>
        <v>0</v>
      </c>
      <c r="U143" s="296">
        <f t="shared" si="23"/>
        <v>0</v>
      </c>
      <c r="V143" s="296">
        <f t="shared" si="23"/>
        <v>0</v>
      </c>
      <c r="W143" s="296">
        <f t="shared" si="23"/>
        <v>0</v>
      </c>
      <c r="X143" s="296">
        <f t="shared" ref="X143:AJ143" si="24">+X140-X141-X142</f>
        <v>0</v>
      </c>
      <c r="Y143" s="296">
        <f t="shared" si="24"/>
        <v>0</v>
      </c>
      <c r="Z143" s="296">
        <f t="shared" si="24"/>
        <v>0</v>
      </c>
      <c r="AA143" s="296">
        <f t="shared" si="24"/>
        <v>0</v>
      </c>
      <c r="AB143" s="296">
        <f t="shared" si="24"/>
        <v>0</v>
      </c>
      <c r="AC143" s="296">
        <f t="shared" si="24"/>
        <v>0</v>
      </c>
      <c r="AD143" s="296">
        <f t="shared" si="24"/>
        <v>0</v>
      </c>
      <c r="AE143" s="296">
        <f t="shared" si="24"/>
        <v>0</v>
      </c>
      <c r="AF143" s="296">
        <f t="shared" si="24"/>
        <v>0</v>
      </c>
      <c r="AG143" s="296">
        <f t="shared" si="24"/>
        <v>0</v>
      </c>
      <c r="AH143" s="296">
        <f t="shared" si="24"/>
        <v>0</v>
      </c>
      <c r="AI143" s="296">
        <f t="shared" si="24"/>
        <v>0</v>
      </c>
      <c r="AJ143" s="296">
        <f t="shared" si="24"/>
        <v>0</v>
      </c>
      <c r="AK143" s="74"/>
    </row>
    <row r="144" spans="3:37">
      <c r="C144" s="75"/>
      <c r="D144" s="472"/>
      <c r="E144" s="89"/>
      <c r="F144" s="89"/>
      <c r="G144" s="89"/>
      <c r="H144" s="89"/>
      <c r="I144" s="89"/>
      <c r="J144" s="89"/>
      <c r="K144" s="270"/>
      <c r="L144" s="270"/>
      <c r="M144" s="270"/>
      <c r="N144" s="270"/>
      <c r="O144" s="270"/>
      <c r="P144" s="270"/>
      <c r="Q144" s="270"/>
      <c r="R144" s="296"/>
      <c r="S144" s="296"/>
      <c r="T144" s="296"/>
      <c r="U144" s="296"/>
      <c r="V144" s="296"/>
      <c r="W144" s="296"/>
      <c r="X144" s="296"/>
      <c r="Y144" s="296"/>
      <c r="Z144" s="296"/>
      <c r="AA144" s="296"/>
      <c r="AB144" s="296"/>
      <c r="AC144" s="296"/>
      <c r="AD144" s="296"/>
      <c r="AE144" s="296"/>
      <c r="AF144" s="296"/>
      <c r="AG144" s="296"/>
      <c r="AH144" s="296"/>
      <c r="AI144" s="296"/>
      <c r="AJ144" s="296"/>
      <c r="AK144" s="74"/>
    </row>
    <row r="145" spans="3:37">
      <c r="C145" s="75"/>
      <c r="D145" s="448" t="s">
        <v>272</v>
      </c>
      <c r="E145" s="89"/>
      <c r="F145" s="89"/>
      <c r="G145" s="89"/>
      <c r="H145" s="89"/>
      <c r="I145" s="89"/>
      <c r="J145" s="89"/>
      <c r="K145" s="1288"/>
      <c r="L145" s="1289"/>
      <c r="M145" s="1290"/>
      <c r="N145" s="1288"/>
      <c r="O145" s="1289"/>
      <c r="P145" s="1289"/>
      <c r="Q145" s="1289"/>
      <c r="R145" s="326"/>
      <c r="S145" s="324"/>
      <c r="T145" s="325"/>
      <c r="U145" s="449"/>
      <c r="V145" s="324"/>
      <c r="W145" s="325"/>
      <c r="X145" s="325"/>
      <c r="Y145" s="325"/>
      <c r="Z145" s="326"/>
      <c r="AA145" s="324"/>
      <c r="AB145" s="325"/>
      <c r="AC145" s="325"/>
      <c r="AD145" s="325"/>
      <c r="AE145" s="326"/>
      <c r="AF145" s="324"/>
      <c r="AG145" s="325"/>
      <c r="AH145" s="325"/>
      <c r="AI145" s="325"/>
      <c r="AJ145" s="326"/>
      <c r="AK145" s="74"/>
    </row>
    <row r="146" spans="3:37">
      <c r="C146" s="75"/>
      <c r="D146" s="448" t="s">
        <v>775</v>
      </c>
      <c r="E146" s="89"/>
      <c r="F146" s="89"/>
      <c r="G146" s="89"/>
      <c r="H146" s="89"/>
      <c r="I146" s="89"/>
      <c r="J146" s="89"/>
      <c r="K146" s="1291"/>
      <c r="L146" s="1292"/>
      <c r="M146" s="1293"/>
      <c r="N146" s="1291"/>
      <c r="O146" s="1292"/>
      <c r="P146" s="1292"/>
      <c r="Q146" s="1292"/>
      <c r="R146" s="332"/>
      <c r="S146" s="330"/>
      <c r="T146" s="331"/>
      <c r="U146" s="451"/>
      <c r="V146" s="330"/>
      <c r="W146" s="331"/>
      <c r="X146" s="331"/>
      <c r="Y146" s="331"/>
      <c r="Z146" s="332"/>
      <c r="AA146" s="330"/>
      <c r="AB146" s="331"/>
      <c r="AC146" s="331"/>
      <c r="AD146" s="331"/>
      <c r="AE146" s="332"/>
      <c r="AF146" s="330"/>
      <c r="AG146" s="331"/>
      <c r="AH146" s="331"/>
      <c r="AI146" s="331"/>
      <c r="AJ146" s="332"/>
      <c r="AK146" s="74"/>
    </row>
    <row r="147" spans="3:37">
      <c r="C147" s="81"/>
      <c r="D147" s="68"/>
      <c r="E147" s="68"/>
      <c r="F147" s="68"/>
      <c r="G147" s="68"/>
      <c r="H147" s="68"/>
      <c r="I147" s="68"/>
      <c r="J147" s="68"/>
      <c r="K147" s="306"/>
      <c r="L147" s="306"/>
      <c r="M147" s="306"/>
      <c r="N147" s="306"/>
      <c r="O147" s="306"/>
      <c r="P147" s="306"/>
      <c r="Q147" s="306"/>
      <c r="R147" s="629"/>
      <c r="S147" s="629"/>
      <c r="T147" s="629"/>
      <c r="U147" s="629"/>
      <c r="V147" s="629"/>
      <c r="W147" s="629"/>
      <c r="X147" s="629"/>
      <c r="Y147" s="629"/>
      <c r="Z147" s="629"/>
      <c r="AA147" s="629"/>
      <c r="AB147" s="629"/>
      <c r="AC147" s="629"/>
      <c r="AD147" s="629"/>
      <c r="AE147" s="629"/>
      <c r="AF147" s="629"/>
      <c r="AG147" s="629"/>
      <c r="AH147" s="629"/>
      <c r="AI147" s="629"/>
      <c r="AJ147" s="629"/>
      <c r="AK147" s="83"/>
    </row>
    <row r="148" spans="3:37">
      <c r="K148" s="431"/>
      <c r="L148" s="431"/>
      <c r="M148" s="431"/>
      <c r="N148" s="431"/>
      <c r="O148" s="431"/>
      <c r="P148" s="431"/>
      <c r="Q148" s="431"/>
      <c r="R148" s="293"/>
      <c r="S148" s="293"/>
      <c r="T148" s="293"/>
      <c r="U148" s="293"/>
      <c r="V148" s="293"/>
      <c r="W148" s="293"/>
      <c r="X148" s="293"/>
      <c r="Y148" s="293"/>
      <c r="Z148" s="293"/>
      <c r="AA148" s="293"/>
      <c r="AB148" s="293"/>
      <c r="AC148" s="293"/>
      <c r="AD148" s="293"/>
      <c r="AE148" s="293"/>
      <c r="AF148" s="293"/>
      <c r="AG148" s="293"/>
      <c r="AH148" s="293"/>
      <c r="AI148" s="293"/>
      <c r="AJ148" s="293"/>
    </row>
    <row r="149" spans="3:37">
      <c r="C149" s="69"/>
      <c r="D149" s="2121" t="s">
        <v>952</v>
      </c>
      <c r="E149" s="2122"/>
      <c r="F149" s="2122"/>
      <c r="G149" s="2122"/>
      <c r="H149" s="2123"/>
      <c r="I149" s="70"/>
      <c r="J149" s="70"/>
      <c r="K149" s="303"/>
      <c r="L149" s="303"/>
      <c r="M149" s="303"/>
      <c r="N149" s="303"/>
      <c r="O149" s="303"/>
      <c r="P149" s="303"/>
      <c r="Q149" s="303"/>
      <c r="R149" s="627"/>
      <c r="S149" s="627"/>
      <c r="T149" s="627"/>
      <c r="U149" s="627"/>
      <c r="V149" s="627"/>
      <c r="W149" s="627"/>
      <c r="X149" s="627"/>
      <c r="Y149" s="627"/>
      <c r="Z149" s="627"/>
      <c r="AA149" s="627"/>
      <c r="AB149" s="627"/>
      <c r="AC149" s="627"/>
      <c r="AD149" s="627"/>
      <c r="AE149" s="627"/>
      <c r="AF149" s="627"/>
      <c r="AG149" s="627"/>
      <c r="AH149" s="627"/>
      <c r="AI149" s="627"/>
      <c r="AJ149" s="627"/>
      <c r="AK149" s="73"/>
    </row>
    <row r="150" spans="3:37">
      <c r="C150" s="75"/>
      <c r="D150" s="506"/>
      <c r="E150" s="506"/>
      <c r="F150" s="506"/>
      <c r="G150" s="506"/>
      <c r="K150" s="270"/>
      <c r="L150" s="270"/>
      <c r="M150" s="270"/>
      <c r="N150" s="270"/>
      <c r="O150" s="270"/>
      <c r="P150" s="270"/>
      <c r="Q150" s="270"/>
      <c r="R150" s="296"/>
      <c r="S150" s="296"/>
      <c r="T150" s="296"/>
      <c r="U150" s="296"/>
      <c r="V150" s="296"/>
      <c r="W150" s="296"/>
      <c r="X150" s="296"/>
      <c r="Y150" s="296"/>
      <c r="Z150" s="296"/>
      <c r="AA150" s="296"/>
      <c r="AB150" s="296"/>
      <c r="AC150" s="296"/>
      <c r="AD150" s="296"/>
      <c r="AE150" s="296"/>
      <c r="AF150" s="296"/>
      <c r="AG150" s="296"/>
      <c r="AH150" s="296"/>
      <c r="AI150" s="296"/>
      <c r="AJ150" s="296"/>
      <c r="AK150" s="74"/>
    </row>
    <row r="151" spans="3:37">
      <c r="C151" s="75"/>
      <c r="D151" s="506" t="s">
        <v>859</v>
      </c>
      <c r="E151" s="506"/>
      <c r="F151" s="506"/>
      <c r="G151" s="506"/>
      <c r="K151" s="1176"/>
      <c r="L151" s="1177"/>
      <c r="M151" s="1177"/>
      <c r="N151" s="1176"/>
      <c r="O151" s="1177"/>
      <c r="P151" s="1177"/>
      <c r="Q151" s="1177"/>
      <c r="R151" s="335"/>
      <c r="S151" s="333"/>
      <c r="T151" s="334"/>
      <c r="U151" s="336"/>
      <c r="V151" s="333"/>
      <c r="W151" s="334"/>
      <c r="X151" s="334"/>
      <c r="Y151" s="334"/>
      <c r="Z151" s="335"/>
      <c r="AA151" s="333"/>
      <c r="AB151" s="334"/>
      <c r="AC151" s="334"/>
      <c r="AD151" s="334"/>
      <c r="AE151" s="335"/>
      <c r="AF151" s="333"/>
      <c r="AG151" s="334"/>
      <c r="AH151" s="334"/>
      <c r="AI151" s="334"/>
      <c r="AJ151" s="335"/>
      <c r="AK151" s="74"/>
    </row>
    <row r="152" spans="3:37">
      <c r="C152" s="75"/>
      <c r="D152" s="506"/>
      <c r="E152" s="506"/>
      <c r="F152" s="506"/>
      <c r="G152" s="506"/>
      <c r="K152" s="270"/>
      <c r="L152" s="270"/>
      <c r="M152" s="270"/>
      <c r="N152" s="270"/>
      <c r="O152" s="270"/>
      <c r="P152" s="270"/>
      <c r="Q152" s="270"/>
      <c r="R152" s="630"/>
      <c r="S152" s="630"/>
      <c r="T152" s="630"/>
      <c r="U152" s="630"/>
      <c r="V152" s="630"/>
      <c r="W152" s="630"/>
      <c r="X152" s="630"/>
      <c r="Y152" s="630"/>
      <c r="Z152" s="630"/>
      <c r="AA152" s="630"/>
      <c r="AB152" s="630"/>
      <c r="AC152" s="630"/>
      <c r="AD152" s="630"/>
      <c r="AE152" s="630"/>
      <c r="AF152" s="630"/>
      <c r="AG152" s="630"/>
      <c r="AH152" s="630"/>
      <c r="AI152" s="630"/>
      <c r="AJ152" s="630"/>
      <c r="AK152" s="74"/>
    </row>
    <row r="153" spans="3:37">
      <c r="C153" s="75"/>
      <c r="D153" s="506" t="s">
        <v>104</v>
      </c>
      <c r="E153" s="506"/>
      <c r="F153" s="506"/>
      <c r="G153" s="506"/>
      <c r="K153" s="1176"/>
      <c r="L153" s="1177"/>
      <c r="M153" s="1177"/>
      <c r="N153" s="1176"/>
      <c r="O153" s="1177"/>
      <c r="P153" s="1177"/>
      <c r="Q153" s="1177"/>
      <c r="R153" s="335"/>
      <c r="S153" s="333"/>
      <c r="T153" s="334"/>
      <c r="U153" s="336"/>
      <c r="V153" s="333"/>
      <c r="W153" s="334"/>
      <c r="X153" s="334"/>
      <c r="Y153" s="334"/>
      <c r="Z153" s="335"/>
      <c r="AA153" s="333"/>
      <c r="AB153" s="334"/>
      <c r="AC153" s="334"/>
      <c r="AD153" s="334"/>
      <c r="AE153" s="335"/>
      <c r="AF153" s="333"/>
      <c r="AG153" s="334"/>
      <c r="AH153" s="334"/>
      <c r="AI153" s="334"/>
      <c r="AJ153" s="335"/>
      <c r="AK153" s="74"/>
    </row>
    <row r="154" spans="3:37">
      <c r="C154" s="75"/>
      <c r="D154" s="506"/>
      <c r="E154" s="506"/>
      <c r="F154" s="506"/>
      <c r="G154" s="506"/>
      <c r="K154" s="270"/>
      <c r="L154" s="270"/>
      <c r="M154" s="270"/>
      <c r="N154" s="270"/>
      <c r="O154" s="270"/>
      <c r="P154" s="270"/>
      <c r="Q154" s="270"/>
      <c r="R154" s="630"/>
      <c r="S154" s="630"/>
      <c r="T154" s="630"/>
      <c r="U154" s="630"/>
      <c r="V154" s="630"/>
      <c r="W154" s="630"/>
      <c r="X154" s="630"/>
      <c r="Y154" s="630"/>
      <c r="Z154" s="630"/>
      <c r="AA154" s="630"/>
      <c r="AB154" s="630"/>
      <c r="AC154" s="630"/>
      <c r="AD154" s="630"/>
      <c r="AE154" s="630"/>
      <c r="AF154" s="630"/>
      <c r="AG154" s="630"/>
      <c r="AH154" s="630"/>
      <c r="AI154" s="630"/>
      <c r="AJ154" s="630"/>
      <c r="AK154" s="74"/>
    </row>
    <row r="155" spans="3:37">
      <c r="C155" s="75"/>
      <c r="D155" s="448" t="s">
        <v>487</v>
      </c>
      <c r="K155" s="1288"/>
      <c r="L155" s="1289"/>
      <c r="M155" s="1290"/>
      <c r="N155" s="1288"/>
      <c r="O155" s="1289"/>
      <c r="P155" s="1289"/>
      <c r="Q155" s="1289"/>
      <c r="R155" s="326"/>
      <c r="S155" s="324"/>
      <c r="T155" s="325"/>
      <c r="U155" s="449"/>
      <c r="V155" s="324"/>
      <c r="W155" s="325"/>
      <c r="X155" s="325"/>
      <c r="Y155" s="325"/>
      <c r="Z155" s="326"/>
      <c r="AA155" s="324"/>
      <c r="AB155" s="325"/>
      <c r="AC155" s="325"/>
      <c r="AD155" s="325"/>
      <c r="AE155" s="326"/>
      <c r="AF155" s="324"/>
      <c r="AG155" s="325"/>
      <c r="AH155" s="325"/>
      <c r="AI155" s="325"/>
      <c r="AJ155" s="326"/>
      <c r="AK155" s="74"/>
    </row>
    <row r="156" spans="3:37">
      <c r="C156" s="628"/>
      <c r="D156" s="448" t="s">
        <v>488</v>
      </c>
      <c r="K156" s="1296"/>
      <c r="L156" s="1297"/>
      <c r="M156" s="1298"/>
      <c r="N156" s="1296"/>
      <c r="O156" s="1297"/>
      <c r="P156" s="1297"/>
      <c r="Q156" s="1297"/>
      <c r="R156" s="329"/>
      <c r="S156" s="327"/>
      <c r="T156" s="328"/>
      <c r="U156" s="450"/>
      <c r="V156" s="327"/>
      <c r="W156" s="328"/>
      <c r="X156" s="328"/>
      <c r="Y156" s="328"/>
      <c r="Z156" s="329"/>
      <c r="AA156" s="327"/>
      <c r="AB156" s="328"/>
      <c r="AC156" s="328"/>
      <c r="AD156" s="328"/>
      <c r="AE156" s="329"/>
      <c r="AF156" s="327"/>
      <c r="AG156" s="328"/>
      <c r="AH156" s="328"/>
      <c r="AI156" s="328"/>
      <c r="AJ156" s="329"/>
      <c r="AK156" s="74"/>
    </row>
    <row r="157" spans="3:37">
      <c r="C157" s="75"/>
      <c r="D157" s="448" t="s">
        <v>489</v>
      </c>
      <c r="K157" s="1291"/>
      <c r="L157" s="1292"/>
      <c r="M157" s="1293"/>
      <c r="N157" s="1291"/>
      <c r="O157" s="1292"/>
      <c r="P157" s="1292"/>
      <c r="Q157" s="1292"/>
      <c r="R157" s="332"/>
      <c r="S157" s="330"/>
      <c r="T157" s="331"/>
      <c r="U157" s="451"/>
      <c r="V157" s="330"/>
      <c r="W157" s="331"/>
      <c r="X157" s="331"/>
      <c r="Y157" s="331"/>
      <c r="Z157" s="332"/>
      <c r="AA157" s="330"/>
      <c r="AB157" s="331"/>
      <c r="AC157" s="331"/>
      <c r="AD157" s="331"/>
      <c r="AE157" s="332"/>
      <c r="AF157" s="330"/>
      <c r="AG157" s="331"/>
      <c r="AH157" s="331"/>
      <c r="AI157" s="331"/>
      <c r="AJ157" s="332"/>
      <c r="AK157" s="74"/>
    </row>
    <row r="158" spans="3:37">
      <c r="C158" s="75"/>
      <c r="D158" s="472" t="s">
        <v>490</v>
      </c>
      <c r="E158" s="89"/>
      <c r="F158" s="89"/>
      <c r="G158" s="89"/>
      <c r="H158" s="89"/>
      <c r="I158" s="89"/>
      <c r="J158" s="89"/>
      <c r="K158" s="270">
        <f t="shared" ref="K158:W158" si="25">+K155-K156-K157</f>
        <v>0</v>
      </c>
      <c r="L158" s="270">
        <f t="shared" si="25"/>
        <v>0</v>
      </c>
      <c r="M158" s="270">
        <f t="shared" si="25"/>
        <v>0</v>
      </c>
      <c r="N158" s="270">
        <f t="shared" si="25"/>
        <v>0</v>
      </c>
      <c r="O158" s="270">
        <f t="shared" si="25"/>
        <v>0</v>
      </c>
      <c r="P158" s="270">
        <f t="shared" si="25"/>
        <v>0</v>
      </c>
      <c r="Q158" s="270">
        <f t="shared" si="25"/>
        <v>0</v>
      </c>
      <c r="R158" s="296">
        <f t="shared" si="25"/>
        <v>0</v>
      </c>
      <c r="S158" s="296">
        <f t="shared" si="25"/>
        <v>0</v>
      </c>
      <c r="T158" s="296">
        <f t="shared" si="25"/>
        <v>0</v>
      </c>
      <c r="U158" s="296">
        <f t="shared" si="25"/>
        <v>0</v>
      </c>
      <c r="V158" s="296">
        <f t="shared" si="25"/>
        <v>0</v>
      </c>
      <c r="W158" s="296">
        <f t="shared" si="25"/>
        <v>0</v>
      </c>
      <c r="X158" s="296">
        <f t="shared" ref="X158:AJ158" si="26">+X155-X156-X157</f>
        <v>0</v>
      </c>
      <c r="Y158" s="296">
        <f t="shared" si="26"/>
        <v>0</v>
      </c>
      <c r="Z158" s="296">
        <f t="shared" si="26"/>
        <v>0</v>
      </c>
      <c r="AA158" s="296">
        <f t="shared" si="26"/>
        <v>0</v>
      </c>
      <c r="AB158" s="296">
        <f t="shared" si="26"/>
        <v>0</v>
      </c>
      <c r="AC158" s="296">
        <f t="shared" si="26"/>
        <v>0</v>
      </c>
      <c r="AD158" s="296">
        <f t="shared" si="26"/>
        <v>0</v>
      </c>
      <c r="AE158" s="296">
        <f t="shared" si="26"/>
        <v>0</v>
      </c>
      <c r="AF158" s="296">
        <f t="shared" si="26"/>
        <v>0</v>
      </c>
      <c r="AG158" s="296">
        <f t="shared" si="26"/>
        <v>0</v>
      </c>
      <c r="AH158" s="296">
        <f t="shared" si="26"/>
        <v>0</v>
      </c>
      <c r="AI158" s="296">
        <f t="shared" si="26"/>
        <v>0</v>
      </c>
      <c r="AJ158" s="296">
        <f t="shared" si="26"/>
        <v>0</v>
      </c>
      <c r="AK158" s="74"/>
    </row>
    <row r="159" spans="3:37">
      <c r="C159" s="75"/>
      <c r="D159" s="472"/>
      <c r="E159" s="89"/>
      <c r="F159" s="89"/>
      <c r="G159" s="89"/>
      <c r="H159" s="89"/>
      <c r="I159" s="89"/>
      <c r="J159" s="89"/>
      <c r="K159" s="270"/>
      <c r="L159" s="270"/>
      <c r="M159" s="270"/>
      <c r="N159" s="270"/>
      <c r="O159" s="270"/>
      <c r="P159" s="270"/>
      <c r="Q159" s="270"/>
      <c r="R159" s="296"/>
      <c r="S159" s="296"/>
      <c r="T159" s="296"/>
      <c r="U159" s="296"/>
      <c r="V159" s="296"/>
      <c r="W159" s="296"/>
      <c r="X159" s="296"/>
      <c r="Y159" s="296"/>
      <c r="Z159" s="296"/>
      <c r="AA159" s="296"/>
      <c r="AB159" s="296"/>
      <c r="AC159" s="296"/>
      <c r="AD159" s="296"/>
      <c r="AE159" s="296"/>
      <c r="AF159" s="296"/>
      <c r="AG159" s="296"/>
      <c r="AH159" s="296"/>
      <c r="AI159" s="296"/>
      <c r="AJ159" s="296"/>
      <c r="AK159" s="74"/>
    </row>
    <row r="160" spans="3:37">
      <c r="C160" s="75"/>
      <c r="D160" s="448" t="s">
        <v>272</v>
      </c>
      <c r="E160" s="89"/>
      <c r="F160" s="89"/>
      <c r="G160" s="89"/>
      <c r="H160" s="89"/>
      <c r="I160" s="89"/>
      <c r="J160" s="89"/>
      <c r="K160" s="1288"/>
      <c r="L160" s="1289"/>
      <c r="M160" s="1290"/>
      <c r="N160" s="1288"/>
      <c r="O160" s="1289"/>
      <c r="P160" s="1289"/>
      <c r="Q160" s="1289"/>
      <c r="R160" s="326"/>
      <c r="S160" s="324"/>
      <c r="T160" s="325"/>
      <c r="U160" s="449"/>
      <c r="V160" s="324"/>
      <c r="W160" s="325"/>
      <c r="X160" s="325"/>
      <c r="Y160" s="325"/>
      <c r="Z160" s="326"/>
      <c r="AA160" s="324"/>
      <c r="AB160" s="325"/>
      <c r="AC160" s="325"/>
      <c r="AD160" s="325"/>
      <c r="AE160" s="326"/>
      <c r="AF160" s="324"/>
      <c r="AG160" s="325"/>
      <c r="AH160" s="325"/>
      <c r="AI160" s="325"/>
      <c r="AJ160" s="326"/>
      <c r="AK160" s="74"/>
    </row>
    <row r="161" spans="3:37">
      <c r="C161" s="75"/>
      <c r="D161" s="448" t="s">
        <v>775</v>
      </c>
      <c r="E161" s="89"/>
      <c r="F161" s="89"/>
      <c r="G161" s="89"/>
      <c r="H161" s="89"/>
      <c r="I161" s="89"/>
      <c r="J161" s="89"/>
      <c r="K161" s="1291"/>
      <c r="L161" s="1292"/>
      <c r="M161" s="1293"/>
      <c r="N161" s="1291"/>
      <c r="O161" s="1292"/>
      <c r="P161" s="1292"/>
      <c r="Q161" s="1292"/>
      <c r="R161" s="332"/>
      <c r="S161" s="330"/>
      <c r="T161" s="331"/>
      <c r="U161" s="451"/>
      <c r="V161" s="330"/>
      <c r="W161" s="331"/>
      <c r="X161" s="331"/>
      <c r="Y161" s="331"/>
      <c r="Z161" s="332"/>
      <c r="AA161" s="330"/>
      <c r="AB161" s="331"/>
      <c r="AC161" s="331"/>
      <c r="AD161" s="331"/>
      <c r="AE161" s="332"/>
      <c r="AF161" s="330"/>
      <c r="AG161" s="331"/>
      <c r="AH161" s="331"/>
      <c r="AI161" s="331"/>
      <c r="AJ161" s="332"/>
      <c r="AK161" s="74"/>
    </row>
    <row r="162" spans="3:37">
      <c r="C162" s="81"/>
      <c r="D162" s="68"/>
      <c r="E162" s="68"/>
      <c r="F162" s="68"/>
      <c r="G162" s="68"/>
      <c r="H162" s="68"/>
      <c r="I162" s="68"/>
      <c r="J162" s="68"/>
      <c r="K162" s="306"/>
      <c r="L162" s="306"/>
      <c r="M162" s="306"/>
      <c r="N162" s="306"/>
      <c r="O162" s="306"/>
      <c r="P162" s="306"/>
      <c r="Q162" s="306"/>
      <c r="R162" s="629"/>
      <c r="S162" s="629"/>
      <c r="T162" s="629"/>
      <c r="U162" s="629"/>
      <c r="V162" s="629"/>
      <c r="W162" s="629"/>
      <c r="X162" s="629"/>
      <c r="Y162" s="629"/>
      <c r="Z162" s="629"/>
      <c r="AA162" s="629"/>
      <c r="AB162" s="629"/>
      <c r="AC162" s="629"/>
      <c r="AD162" s="629"/>
      <c r="AE162" s="629"/>
      <c r="AF162" s="629"/>
      <c r="AG162" s="629"/>
      <c r="AH162" s="629"/>
      <c r="AI162" s="629"/>
      <c r="AJ162" s="629"/>
      <c r="AK162" s="83"/>
    </row>
    <row r="163" spans="3:37">
      <c r="K163" s="431"/>
      <c r="L163" s="431"/>
      <c r="M163" s="431"/>
      <c r="N163" s="431"/>
      <c r="O163" s="431"/>
      <c r="P163" s="431"/>
      <c r="Q163" s="431"/>
      <c r="R163" s="293"/>
      <c r="S163" s="293"/>
      <c r="T163" s="293"/>
      <c r="U163" s="293"/>
      <c r="V163" s="293"/>
      <c r="W163" s="293"/>
      <c r="X163" s="293"/>
      <c r="Y163" s="293"/>
      <c r="Z163" s="293"/>
      <c r="AA163" s="293"/>
      <c r="AB163" s="293"/>
      <c r="AC163" s="293"/>
      <c r="AD163" s="293"/>
      <c r="AE163" s="293"/>
      <c r="AF163" s="293"/>
      <c r="AG163" s="293"/>
      <c r="AH163" s="293"/>
      <c r="AI163" s="293"/>
      <c r="AJ163" s="293"/>
    </row>
    <row r="164" spans="3:37">
      <c r="C164" s="69"/>
      <c r="D164" s="2121" t="s">
        <v>953</v>
      </c>
      <c r="E164" s="2122"/>
      <c r="F164" s="2122"/>
      <c r="G164" s="2122"/>
      <c r="H164" s="2123"/>
      <c r="I164" s="70"/>
      <c r="J164" s="70"/>
      <c r="K164" s="303"/>
      <c r="L164" s="303"/>
      <c r="M164" s="303"/>
      <c r="N164" s="303"/>
      <c r="O164" s="303"/>
      <c r="P164" s="303"/>
      <c r="Q164" s="303"/>
      <c r="R164" s="627"/>
      <c r="S164" s="627"/>
      <c r="T164" s="627"/>
      <c r="U164" s="627"/>
      <c r="V164" s="627"/>
      <c r="W164" s="627"/>
      <c r="X164" s="627"/>
      <c r="Y164" s="627"/>
      <c r="Z164" s="627"/>
      <c r="AA164" s="627"/>
      <c r="AB164" s="627"/>
      <c r="AC164" s="627"/>
      <c r="AD164" s="627"/>
      <c r="AE164" s="627"/>
      <c r="AF164" s="627"/>
      <c r="AG164" s="627"/>
      <c r="AH164" s="627"/>
      <c r="AI164" s="627"/>
      <c r="AJ164" s="627"/>
      <c r="AK164" s="73"/>
    </row>
    <row r="165" spans="3:37">
      <c r="C165" s="75"/>
      <c r="D165" s="506"/>
      <c r="E165" s="506"/>
      <c r="F165" s="506"/>
      <c r="G165" s="506"/>
      <c r="K165" s="270"/>
      <c r="L165" s="270"/>
      <c r="M165" s="270"/>
      <c r="N165" s="270"/>
      <c r="O165" s="270"/>
      <c r="P165" s="270"/>
      <c r="Q165" s="270"/>
      <c r="R165" s="296"/>
      <c r="S165" s="296"/>
      <c r="T165" s="296"/>
      <c r="U165" s="296"/>
      <c r="V165" s="296"/>
      <c r="W165" s="296"/>
      <c r="X165" s="296"/>
      <c r="Y165" s="296"/>
      <c r="Z165" s="296"/>
      <c r="AA165" s="296"/>
      <c r="AB165" s="296"/>
      <c r="AC165" s="296"/>
      <c r="AD165" s="296"/>
      <c r="AE165" s="296"/>
      <c r="AF165" s="296"/>
      <c r="AG165" s="296"/>
      <c r="AH165" s="296"/>
      <c r="AI165" s="296"/>
      <c r="AJ165" s="296"/>
      <c r="AK165" s="74"/>
    </row>
    <row r="166" spans="3:37">
      <c r="C166" s="75"/>
      <c r="D166" s="506" t="s">
        <v>859</v>
      </c>
      <c r="E166" s="506"/>
      <c r="F166" s="506"/>
      <c r="G166" s="506"/>
      <c r="K166" s="1176"/>
      <c r="L166" s="1177"/>
      <c r="M166" s="1177"/>
      <c r="N166" s="1176"/>
      <c r="O166" s="1177"/>
      <c r="P166" s="1177"/>
      <c r="Q166" s="1177"/>
      <c r="R166" s="335"/>
      <c r="S166" s="333"/>
      <c r="T166" s="334"/>
      <c r="U166" s="336"/>
      <c r="V166" s="333"/>
      <c r="W166" s="334"/>
      <c r="X166" s="334"/>
      <c r="Y166" s="334"/>
      <c r="Z166" s="335"/>
      <c r="AA166" s="333"/>
      <c r="AB166" s="334"/>
      <c r="AC166" s="334"/>
      <c r="AD166" s="334"/>
      <c r="AE166" s="335"/>
      <c r="AF166" s="333"/>
      <c r="AG166" s="334"/>
      <c r="AH166" s="334"/>
      <c r="AI166" s="334"/>
      <c r="AJ166" s="335"/>
      <c r="AK166" s="74"/>
    </row>
    <row r="167" spans="3:37">
      <c r="C167" s="75"/>
      <c r="D167" s="506"/>
      <c r="E167" s="506"/>
      <c r="F167" s="506"/>
      <c r="G167" s="506"/>
      <c r="K167" s="270"/>
      <c r="L167" s="270"/>
      <c r="M167" s="270"/>
      <c r="N167" s="270"/>
      <c r="O167" s="270"/>
      <c r="P167" s="270"/>
      <c r="Q167" s="270"/>
      <c r="R167" s="630"/>
      <c r="S167" s="630"/>
      <c r="T167" s="630"/>
      <c r="U167" s="630"/>
      <c r="V167" s="630"/>
      <c r="W167" s="630"/>
      <c r="X167" s="630"/>
      <c r="Y167" s="630"/>
      <c r="Z167" s="630"/>
      <c r="AA167" s="630"/>
      <c r="AB167" s="630"/>
      <c r="AC167" s="630"/>
      <c r="AD167" s="630"/>
      <c r="AE167" s="630"/>
      <c r="AF167" s="630"/>
      <c r="AG167" s="630"/>
      <c r="AH167" s="630"/>
      <c r="AI167" s="630"/>
      <c r="AJ167" s="630"/>
      <c r="AK167" s="74"/>
    </row>
    <row r="168" spans="3:37">
      <c r="C168" s="75"/>
      <c r="D168" s="506" t="s">
        <v>104</v>
      </c>
      <c r="E168" s="506"/>
      <c r="F168" s="506"/>
      <c r="G168" s="506"/>
      <c r="K168" s="1176"/>
      <c r="L168" s="1177"/>
      <c r="M168" s="1177"/>
      <c r="N168" s="1176"/>
      <c r="O168" s="1177"/>
      <c r="P168" s="1177"/>
      <c r="Q168" s="1177"/>
      <c r="R168" s="335"/>
      <c r="S168" s="333"/>
      <c r="T168" s="334"/>
      <c r="U168" s="336"/>
      <c r="V168" s="333"/>
      <c r="W168" s="334"/>
      <c r="X168" s="334"/>
      <c r="Y168" s="334"/>
      <c r="Z168" s="335"/>
      <c r="AA168" s="333"/>
      <c r="AB168" s="334"/>
      <c r="AC168" s="334"/>
      <c r="AD168" s="334"/>
      <c r="AE168" s="335"/>
      <c r="AF168" s="333"/>
      <c r="AG168" s="334"/>
      <c r="AH168" s="334"/>
      <c r="AI168" s="334"/>
      <c r="AJ168" s="335"/>
      <c r="AK168" s="74"/>
    </row>
    <row r="169" spans="3:37">
      <c r="C169" s="75"/>
      <c r="D169" s="506"/>
      <c r="E169" s="506"/>
      <c r="F169" s="506"/>
      <c r="G169" s="506"/>
      <c r="K169" s="270"/>
      <c r="L169" s="270"/>
      <c r="M169" s="270"/>
      <c r="N169" s="270"/>
      <c r="O169" s="270"/>
      <c r="P169" s="270"/>
      <c r="Q169" s="270"/>
      <c r="R169" s="630"/>
      <c r="S169" s="630"/>
      <c r="T169" s="630"/>
      <c r="U169" s="630"/>
      <c r="V169" s="630"/>
      <c r="W169" s="630"/>
      <c r="X169" s="630"/>
      <c r="Y169" s="630"/>
      <c r="Z169" s="630"/>
      <c r="AA169" s="630"/>
      <c r="AB169" s="630"/>
      <c r="AC169" s="630"/>
      <c r="AD169" s="630"/>
      <c r="AE169" s="630"/>
      <c r="AF169" s="630"/>
      <c r="AG169" s="630"/>
      <c r="AH169" s="630"/>
      <c r="AI169" s="630"/>
      <c r="AJ169" s="630"/>
      <c r="AK169" s="74"/>
    </row>
    <row r="170" spans="3:37">
      <c r="C170" s="75"/>
      <c r="D170" s="448" t="s">
        <v>487</v>
      </c>
      <c r="K170" s="1288"/>
      <c r="L170" s="1289"/>
      <c r="M170" s="1290"/>
      <c r="N170" s="1288"/>
      <c r="O170" s="1289"/>
      <c r="P170" s="1289"/>
      <c r="Q170" s="1289"/>
      <c r="R170" s="326"/>
      <c r="S170" s="324"/>
      <c r="T170" s="325"/>
      <c r="U170" s="449"/>
      <c r="V170" s="324"/>
      <c r="W170" s="325"/>
      <c r="X170" s="325"/>
      <c r="Y170" s="325"/>
      <c r="Z170" s="326"/>
      <c r="AA170" s="324"/>
      <c r="AB170" s="325"/>
      <c r="AC170" s="325"/>
      <c r="AD170" s="325"/>
      <c r="AE170" s="326"/>
      <c r="AF170" s="324"/>
      <c r="AG170" s="325"/>
      <c r="AH170" s="325"/>
      <c r="AI170" s="325"/>
      <c r="AJ170" s="326"/>
      <c r="AK170" s="74"/>
    </row>
    <row r="171" spans="3:37">
      <c r="C171" s="628"/>
      <c r="D171" s="448" t="s">
        <v>488</v>
      </c>
      <c r="K171" s="1296"/>
      <c r="L171" s="1297"/>
      <c r="M171" s="1298"/>
      <c r="N171" s="1296"/>
      <c r="O171" s="1297"/>
      <c r="P171" s="1297"/>
      <c r="Q171" s="1297"/>
      <c r="R171" s="329"/>
      <c r="S171" s="327"/>
      <c r="T171" s="328"/>
      <c r="U171" s="450"/>
      <c r="V171" s="327"/>
      <c r="W171" s="328"/>
      <c r="X171" s="328"/>
      <c r="Y171" s="328"/>
      <c r="Z171" s="329"/>
      <c r="AA171" s="327"/>
      <c r="AB171" s="328"/>
      <c r="AC171" s="328"/>
      <c r="AD171" s="328"/>
      <c r="AE171" s="329"/>
      <c r="AF171" s="327"/>
      <c r="AG171" s="328"/>
      <c r="AH171" s="328"/>
      <c r="AI171" s="328"/>
      <c r="AJ171" s="329"/>
      <c r="AK171" s="74"/>
    </row>
    <row r="172" spans="3:37">
      <c r="C172" s="75"/>
      <c r="D172" s="448" t="s">
        <v>489</v>
      </c>
      <c r="K172" s="1291"/>
      <c r="L172" s="1292"/>
      <c r="M172" s="1293"/>
      <c r="N172" s="1291"/>
      <c r="O172" s="1292"/>
      <c r="P172" s="1292"/>
      <c r="Q172" s="1292"/>
      <c r="R172" s="332"/>
      <c r="S172" s="330"/>
      <c r="T172" s="331"/>
      <c r="U172" s="451"/>
      <c r="V172" s="330"/>
      <c r="W172" s="331"/>
      <c r="X172" s="331"/>
      <c r="Y172" s="331"/>
      <c r="Z172" s="332"/>
      <c r="AA172" s="330"/>
      <c r="AB172" s="331"/>
      <c r="AC172" s="331"/>
      <c r="AD172" s="331"/>
      <c r="AE172" s="332"/>
      <c r="AF172" s="330"/>
      <c r="AG172" s="331"/>
      <c r="AH172" s="331"/>
      <c r="AI172" s="331"/>
      <c r="AJ172" s="332"/>
      <c r="AK172" s="74"/>
    </row>
    <row r="173" spans="3:37">
      <c r="C173" s="75"/>
      <c r="D173" s="472" t="s">
        <v>490</v>
      </c>
      <c r="E173" s="89"/>
      <c r="F173" s="89"/>
      <c r="G173" s="89"/>
      <c r="H173" s="89"/>
      <c r="I173" s="89"/>
      <c r="J173" s="89"/>
      <c r="K173" s="270">
        <f t="shared" ref="K173:W173" si="27">+K170-K171-K172</f>
        <v>0</v>
      </c>
      <c r="L173" s="270">
        <f t="shared" si="27"/>
        <v>0</v>
      </c>
      <c r="M173" s="270">
        <f t="shared" si="27"/>
        <v>0</v>
      </c>
      <c r="N173" s="270">
        <f t="shared" si="27"/>
        <v>0</v>
      </c>
      <c r="O173" s="270">
        <f t="shared" si="27"/>
        <v>0</v>
      </c>
      <c r="P173" s="270">
        <f t="shared" si="27"/>
        <v>0</v>
      </c>
      <c r="Q173" s="270">
        <f t="shared" si="27"/>
        <v>0</v>
      </c>
      <c r="R173" s="296">
        <f t="shared" si="27"/>
        <v>0</v>
      </c>
      <c r="S173" s="296">
        <f t="shared" si="27"/>
        <v>0</v>
      </c>
      <c r="T173" s="296">
        <f t="shared" si="27"/>
        <v>0</v>
      </c>
      <c r="U173" s="296">
        <f t="shared" si="27"/>
        <v>0</v>
      </c>
      <c r="V173" s="296">
        <f t="shared" si="27"/>
        <v>0</v>
      </c>
      <c r="W173" s="296">
        <f t="shared" si="27"/>
        <v>0</v>
      </c>
      <c r="X173" s="296">
        <f t="shared" ref="X173:AJ173" si="28">+X170-X171-X172</f>
        <v>0</v>
      </c>
      <c r="Y173" s="296">
        <f t="shared" si="28"/>
        <v>0</v>
      </c>
      <c r="Z173" s="296">
        <f t="shared" si="28"/>
        <v>0</v>
      </c>
      <c r="AA173" s="296">
        <f t="shared" si="28"/>
        <v>0</v>
      </c>
      <c r="AB173" s="296">
        <f t="shared" si="28"/>
        <v>0</v>
      </c>
      <c r="AC173" s="296">
        <f t="shared" si="28"/>
        <v>0</v>
      </c>
      <c r="AD173" s="296">
        <f t="shared" si="28"/>
        <v>0</v>
      </c>
      <c r="AE173" s="296">
        <f t="shared" si="28"/>
        <v>0</v>
      </c>
      <c r="AF173" s="296">
        <f t="shared" si="28"/>
        <v>0</v>
      </c>
      <c r="AG173" s="296">
        <f t="shared" si="28"/>
        <v>0</v>
      </c>
      <c r="AH173" s="296">
        <f t="shared" si="28"/>
        <v>0</v>
      </c>
      <c r="AI173" s="296">
        <f t="shared" si="28"/>
        <v>0</v>
      </c>
      <c r="AJ173" s="296">
        <f t="shared" si="28"/>
        <v>0</v>
      </c>
      <c r="AK173" s="74"/>
    </row>
    <row r="174" spans="3:37">
      <c r="C174" s="75"/>
      <c r="D174" s="472"/>
      <c r="E174" s="89"/>
      <c r="F174" s="89"/>
      <c r="G174" s="89"/>
      <c r="H174" s="89"/>
      <c r="I174" s="89"/>
      <c r="J174" s="89"/>
      <c r="K174" s="270"/>
      <c r="L174" s="270"/>
      <c r="M174" s="270"/>
      <c r="N174" s="270"/>
      <c r="O174" s="270"/>
      <c r="P174" s="270"/>
      <c r="Q174" s="270"/>
      <c r="R174" s="296"/>
      <c r="S174" s="296"/>
      <c r="T174" s="296"/>
      <c r="U174" s="296"/>
      <c r="V174" s="296"/>
      <c r="W174" s="296"/>
      <c r="X174" s="296"/>
      <c r="Y174" s="296"/>
      <c r="Z174" s="296"/>
      <c r="AA174" s="296"/>
      <c r="AB174" s="296"/>
      <c r="AC174" s="296"/>
      <c r="AD174" s="296"/>
      <c r="AE174" s="296"/>
      <c r="AF174" s="296"/>
      <c r="AG174" s="296"/>
      <c r="AH174" s="296"/>
      <c r="AI174" s="296"/>
      <c r="AJ174" s="296"/>
      <c r="AK174" s="74"/>
    </row>
    <row r="175" spans="3:37">
      <c r="C175" s="75"/>
      <c r="D175" s="448" t="s">
        <v>272</v>
      </c>
      <c r="E175" s="89"/>
      <c r="F175" s="89"/>
      <c r="G175" s="89"/>
      <c r="H175" s="89"/>
      <c r="I175" s="89"/>
      <c r="J175" s="89"/>
      <c r="K175" s="1288"/>
      <c r="L175" s="1289"/>
      <c r="M175" s="1290"/>
      <c r="N175" s="1288"/>
      <c r="O175" s="1289"/>
      <c r="P175" s="1289"/>
      <c r="Q175" s="1289"/>
      <c r="R175" s="326"/>
      <c r="S175" s="324"/>
      <c r="T175" s="325"/>
      <c r="U175" s="449"/>
      <c r="V175" s="324"/>
      <c r="W175" s="325"/>
      <c r="X175" s="325"/>
      <c r="Y175" s="325"/>
      <c r="Z175" s="326"/>
      <c r="AA175" s="324"/>
      <c r="AB175" s="325"/>
      <c r="AC175" s="325"/>
      <c r="AD175" s="325"/>
      <c r="AE175" s="326"/>
      <c r="AF175" s="324"/>
      <c r="AG175" s="325"/>
      <c r="AH175" s="325"/>
      <c r="AI175" s="325"/>
      <c r="AJ175" s="326"/>
      <c r="AK175" s="74"/>
    </row>
    <row r="176" spans="3:37">
      <c r="C176" s="75"/>
      <c r="D176" s="448" t="s">
        <v>775</v>
      </c>
      <c r="E176" s="89"/>
      <c r="F176" s="89"/>
      <c r="G176" s="89"/>
      <c r="H176" s="89"/>
      <c r="I176" s="89"/>
      <c r="J176" s="89"/>
      <c r="K176" s="1291"/>
      <c r="L176" s="1292"/>
      <c r="M176" s="1293"/>
      <c r="N176" s="1291"/>
      <c r="O176" s="1292"/>
      <c r="P176" s="1292"/>
      <c r="Q176" s="1292"/>
      <c r="R176" s="332"/>
      <c r="S176" s="330"/>
      <c r="T176" s="331"/>
      <c r="U176" s="451"/>
      <c r="V176" s="330"/>
      <c r="W176" s="331"/>
      <c r="X176" s="331"/>
      <c r="Y176" s="331"/>
      <c r="Z176" s="332"/>
      <c r="AA176" s="330"/>
      <c r="AB176" s="331"/>
      <c r="AC176" s="331"/>
      <c r="AD176" s="331"/>
      <c r="AE176" s="332"/>
      <c r="AF176" s="330"/>
      <c r="AG176" s="331"/>
      <c r="AH176" s="331"/>
      <c r="AI176" s="331"/>
      <c r="AJ176" s="332"/>
      <c r="AK176" s="74"/>
    </row>
    <row r="177" spans="3:37">
      <c r="C177" s="81"/>
      <c r="D177" s="68"/>
      <c r="E177" s="68"/>
      <c r="F177" s="68"/>
      <c r="G177" s="68"/>
      <c r="H177" s="68"/>
      <c r="I177" s="68"/>
      <c r="J177" s="68"/>
      <c r="K177" s="306"/>
      <c r="L177" s="306"/>
      <c r="M177" s="306"/>
      <c r="N177" s="306"/>
      <c r="O177" s="306"/>
      <c r="P177" s="306"/>
      <c r="Q177" s="306"/>
      <c r="R177" s="629"/>
      <c r="S177" s="629"/>
      <c r="T177" s="629"/>
      <c r="U177" s="629"/>
      <c r="V177" s="629"/>
      <c r="W177" s="629"/>
      <c r="X177" s="629"/>
      <c r="Y177" s="629"/>
      <c r="Z177" s="629"/>
      <c r="AA177" s="629"/>
      <c r="AB177" s="629"/>
      <c r="AC177" s="629"/>
      <c r="AD177" s="629"/>
      <c r="AE177" s="629"/>
      <c r="AF177" s="629"/>
      <c r="AG177" s="629"/>
      <c r="AH177" s="629"/>
      <c r="AI177" s="629"/>
      <c r="AJ177" s="629"/>
      <c r="AK177" s="83"/>
    </row>
    <row r="178" spans="3:37">
      <c r="K178" s="431"/>
      <c r="L178" s="431"/>
      <c r="M178" s="431"/>
      <c r="N178" s="270"/>
      <c r="O178" s="270"/>
      <c r="P178" s="270"/>
      <c r="Q178" s="270"/>
      <c r="R178" s="296"/>
      <c r="S178" s="296"/>
      <c r="T178" s="296"/>
      <c r="U178" s="296"/>
      <c r="V178" s="296"/>
      <c r="W178" s="296"/>
      <c r="X178" s="296"/>
      <c r="Y178" s="296"/>
      <c r="Z178" s="296"/>
      <c r="AA178" s="296"/>
      <c r="AB178" s="296"/>
      <c r="AC178" s="296"/>
      <c r="AD178" s="296"/>
      <c r="AE178" s="296"/>
      <c r="AF178" s="296"/>
      <c r="AG178" s="296"/>
      <c r="AH178" s="296"/>
      <c r="AI178" s="296"/>
      <c r="AJ178" s="296"/>
    </row>
    <row r="179" spans="3:37">
      <c r="C179" s="69"/>
      <c r="D179" s="2121" t="s">
        <v>954</v>
      </c>
      <c r="E179" s="2122"/>
      <c r="F179" s="2122"/>
      <c r="G179" s="2122"/>
      <c r="H179" s="2123"/>
      <c r="I179" s="70"/>
      <c r="J179" s="70"/>
      <c r="K179" s="303"/>
      <c r="L179" s="303"/>
      <c r="M179" s="303"/>
      <c r="N179" s="303"/>
      <c r="O179" s="303"/>
      <c r="P179" s="303"/>
      <c r="Q179" s="303"/>
      <c r="R179" s="627"/>
      <c r="S179" s="627"/>
      <c r="T179" s="627"/>
      <c r="U179" s="627"/>
      <c r="V179" s="627"/>
      <c r="W179" s="627"/>
      <c r="X179" s="627"/>
      <c r="Y179" s="627"/>
      <c r="Z179" s="627"/>
      <c r="AA179" s="627"/>
      <c r="AB179" s="627"/>
      <c r="AC179" s="627"/>
      <c r="AD179" s="627"/>
      <c r="AE179" s="627"/>
      <c r="AF179" s="627"/>
      <c r="AG179" s="627"/>
      <c r="AH179" s="627"/>
      <c r="AI179" s="627"/>
      <c r="AJ179" s="627"/>
      <c r="AK179" s="73"/>
    </row>
    <row r="180" spans="3:37">
      <c r="C180" s="75"/>
      <c r="D180" s="506"/>
      <c r="E180" s="506"/>
      <c r="F180" s="506"/>
      <c r="G180" s="506"/>
      <c r="K180" s="270"/>
      <c r="L180" s="270"/>
      <c r="M180" s="270"/>
      <c r="N180" s="270"/>
      <c r="O180" s="270"/>
      <c r="P180" s="270"/>
      <c r="Q180" s="270"/>
      <c r="R180" s="296"/>
      <c r="S180" s="296"/>
      <c r="T180" s="296"/>
      <c r="U180" s="296"/>
      <c r="V180" s="296"/>
      <c r="W180" s="296"/>
      <c r="X180" s="296"/>
      <c r="Y180" s="296"/>
      <c r="Z180" s="296"/>
      <c r="AA180" s="296"/>
      <c r="AB180" s="296"/>
      <c r="AC180" s="296"/>
      <c r="AD180" s="296"/>
      <c r="AE180" s="296"/>
      <c r="AF180" s="296"/>
      <c r="AG180" s="296"/>
      <c r="AH180" s="296"/>
      <c r="AI180" s="296"/>
      <c r="AJ180" s="296"/>
      <c r="AK180" s="74"/>
    </row>
    <row r="181" spans="3:37">
      <c r="C181" s="75"/>
      <c r="D181" s="506" t="s">
        <v>859</v>
      </c>
      <c r="E181" s="506"/>
      <c r="F181" s="506"/>
      <c r="G181" s="506"/>
      <c r="K181" s="1176"/>
      <c r="L181" s="1177"/>
      <c r="M181" s="1177"/>
      <c r="N181" s="1176"/>
      <c r="O181" s="1177"/>
      <c r="P181" s="1177"/>
      <c r="Q181" s="1177"/>
      <c r="R181" s="335"/>
      <c r="S181" s="333"/>
      <c r="T181" s="334"/>
      <c r="U181" s="336"/>
      <c r="V181" s="333"/>
      <c r="W181" s="334"/>
      <c r="X181" s="334"/>
      <c r="Y181" s="334"/>
      <c r="Z181" s="335"/>
      <c r="AA181" s="333"/>
      <c r="AB181" s="334"/>
      <c r="AC181" s="334"/>
      <c r="AD181" s="334"/>
      <c r="AE181" s="335"/>
      <c r="AF181" s="333"/>
      <c r="AG181" s="334"/>
      <c r="AH181" s="334"/>
      <c r="AI181" s="334"/>
      <c r="AJ181" s="335"/>
      <c r="AK181" s="74"/>
    </row>
    <row r="182" spans="3:37">
      <c r="C182" s="75"/>
      <c r="D182" s="506"/>
      <c r="E182" s="506"/>
      <c r="F182" s="506"/>
      <c r="G182" s="506"/>
      <c r="K182" s="270"/>
      <c r="L182" s="270"/>
      <c r="M182" s="270"/>
      <c r="N182" s="270"/>
      <c r="O182" s="270"/>
      <c r="P182" s="270"/>
      <c r="Q182" s="270"/>
      <c r="R182" s="630"/>
      <c r="S182" s="630"/>
      <c r="T182" s="630"/>
      <c r="U182" s="630"/>
      <c r="V182" s="630"/>
      <c r="W182" s="630"/>
      <c r="X182" s="630"/>
      <c r="Y182" s="630"/>
      <c r="Z182" s="630"/>
      <c r="AA182" s="630"/>
      <c r="AB182" s="630"/>
      <c r="AC182" s="630"/>
      <c r="AD182" s="630"/>
      <c r="AE182" s="630"/>
      <c r="AF182" s="630"/>
      <c r="AG182" s="630"/>
      <c r="AH182" s="630"/>
      <c r="AI182" s="630"/>
      <c r="AJ182" s="630"/>
      <c r="AK182" s="74"/>
    </row>
    <row r="183" spans="3:37">
      <c r="C183" s="75"/>
      <c r="D183" s="506" t="s">
        <v>104</v>
      </c>
      <c r="E183" s="506"/>
      <c r="F183" s="506"/>
      <c r="G183" s="506"/>
      <c r="K183" s="1176"/>
      <c r="L183" s="1177"/>
      <c r="M183" s="1177"/>
      <c r="N183" s="1176"/>
      <c r="O183" s="1177"/>
      <c r="P183" s="1177"/>
      <c r="Q183" s="1177"/>
      <c r="R183" s="335"/>
      <c r="S183" s="333"/>
      <c r="T183" s="334"/>
      <c r="U183" s="336"/>
      <c r="V183" s="333"/>
      <c r="W183" s="334"/>
      <c r="X183" s="334"/>
      <c r="Y183" s="334"/>
      <c r="Z183" s="335"/>
      <c r="AA183" s="333"/>
      <c r="AB183" s="334"/>
      <c r="AC183" s="334"/>
      <c r="AD183" s="334"/>
      <c r="AE183" s="335"/>
      <c r="AF183" s="333"/>
      <c r="AG183" s="334"/>
      <c r="AH183" s="334"/>
      <c r="AI183" s="334"/>
      <c r="AJ183" s="335"/>
      <c r="AK183" s="74"/>
    </row>
    <row r="184" spans="3:37">
      <c r="C184" s="75"/>
      <c r="D184" s="506"/>
      <c r="E184" s="506"/>
      <c r="F184" s="506"/>
      <c r="G184" s="506"/>
      <c r="K184" s="270"/>
      <c r="L184" s="270"/>
      <c r="M184" s="270"/>
      <c r="N184" s="270"/>
      <c r="O184" s="270"/>
      <c r="P184" s="270"/>
      <c r="Q184" s="270"/>
      <c r="R184" s="630"/>
      <c r="S184" s="630"/>
      <c r="T184" s="630"/>
      <c r="U184" s="630"/>
      <c r="V184" s="630"/>
      <c r="W184" s="630"/>
      <c r="X184" s="630"/>
      <c r="Y184" s="630"/>
      <c r="Z184" s="630"/>
      <c r="AA184" s="630"/>
      <c r="AB184" s="630"/>
      <c r="AC184" s="630"/>
      <c r="AD184" s="630"/>
      <c r="AE184" s="630"/>
      <c r="AF184" s="630"/>
      <c r="AG184" s="630"/>
      <c r="AH184" s="630"/>
      <c r="AI184" s="630"/>
      <c r="AJ184" s="630"/>
      <c r="AK184" s="74"/>
    </row>
    <row r="185" spans="3:37">
      <c r="C185" s="75"/>
      <c r="D185" s="448" t="s">
        <v>487</v>
      </c>
      <c r="K185" s="1288"/>
      <c r="L185" s="1289"/>
      <c r="M185" s="1290"/>
      <c r="N185" s="1288"/>
      <c r="O185" s="1289"/>
      <c r="P185" s="1289"/>
      <c r="Q185" s="1289"/>
      <c r="R185" s="326"/>
      <c r="S185" s="324"/>
      <c r="T185" s="325"/>
      <c r="U185" s="449"/>
      <c r="V185" s="324"/>
      <c r="W185" s="325"/>
      <c r="X185" s="325"/>
      <c r="Y185" s="325"/>
      <c r="Z185" s="326"/>
      <c r="AA185" s="324"/>
      <c r="AB185" s="325"/>
      <c r="AC185" s="325"/>
      <c r="AD185" s="325"/>
      <c r="AE185" s="326"/>
      <c r="AF185" s="324"/>
      <c r="AG185" s="325"/>
      <c r="AH185" s="325"/>
      <c r="AI185" s="325"/>
      <c r="AJ185" s="326"/>
      <c r="AK185" s="74"/>
    </row>
    <row r="186" spans="3:37">
      <c r="C186" s="628"/>
      <c r="D186" s="448" t="s">
        <v>488</v>
      </c>
      <c r="K186" s="1296"/>
      <c r="L186" s="1297"/>
      <c r="M186" s="1298"/>
      <c r="N186" s="1296"/>
      <c r="O186" s="1297"/>
      <c r="P186" s="1297"/>
      <c r="Q186" s="1297"/>
      <c r="R186" s="329"/>
      <c r="S186" s="327"/>
      <c r="T186" s="328"/>
      <c r="U186" s="450"/>
      <c r="V186" s="327"/>
      <c r="W186" s="328"/>
      <c r="X186" s="328"/>
      <c r="Y186" s="328"/>
      <c r="Z186" s="329"/>
      <c r="AA186" s="327"/>
      <c r="AB186" s="328"/>
      <c r="AC186" s="328"/>
      <c r="AD186" s="328"/>
      <c r="AE186" s="329"/>
      <c r="AF186" s="327"/>
      <c r="AG186" s="328"/>
      <c r="AH186" s="328"/>
      <c r="AI186" s="328"/>
      <c r="AJ186" s="329"/>
      <c r="AK186" s="74"/>
    </row>
    <row r="187" spans="3:37">
      <c r="C187" s="75"/>
      <c r="D187" s="448" t="s">
        <v>489</v>
      </c>
      <c r="K187" s="1291"/>
      <c r="L187" s="1292"/>
      <c r="M187" s="1293"/>
      <c r="N187" s="1291"/>
      <c r="O187" s="1292"/>
      <c r="P187" s="1292"/>
      <c r="Q187" s="1292"/>
      <c r="R187" s="332"/>
      <c r="S187" s="330"/>
      <c r="T187" s="331"/>
      <c r="U187" s="451"/>
      <c r="V187" s="330"/>
      <c r="W187" s="331"/>
      <c r="X187" s="331"/>
      <c r="Y187" s="331"/>
      <c r="Z187" s="332"/>
      <c r="AA187" s="330"/>
      <c r="AB187" s="331"/>
      <c r="AC187" s="331"/>
      <c r="AD187" s="331"/>
      <c r="AE187" s="332"/>
      <c r="AF187" s="330"/>
      <c r="AG187" s="331"/>
      <c r="AH187" s="331"/>
      <c r="AI187" s="331"/>
      <c r="AJ187" s="332"/>
      <c r="AK187" s="74"/>
    </row>
    <row r="188" spans="3:37">
      <c r="C188" s="75"/>
      <c r="D188" s="472" t="s">
        <v>490</v>
      </c>
      <c r="E188" s="89"/>
      <c r="F188" s="89"/>
      <c r="G188" s="89"/>
      <c r="H188" s="89"/>
      <c r="I188" s="89"/>
      <c r="J188" s="89"/>
      <c r="K188" s="270">
        <f t="shared" ref="K188:W188" si="29">+K185-K186-K187</f>
        <v>0</v>
      </c>
      <c r="L188" s="270">
        <f t="shared" si="29"/>
        <v>0</v>
      </c>
      <c r="M188" s="270">
        <f t="shared" si="29"/>
        <v>0</v>
      </c>
      <c r="N188" s="270">
        <f t="shared" si="29"/>
        <v>0</v>
      </c>
      <c r="O188" s="270">
        <f t="shared" si="29"/>
        <v>0</v>
      </c>
      <c r="P188" s="270">
        <f t="shared" si="29"/>
        <v>0</v>
      </c>
      <c r="Q188" s="270">
        <f t="shared" si="29"/>
        <v>0</v>
      </c>
      <c r="R188" s="296">
        <f t="shared" si="29"/>
        <v>0</v>
      </c>
      <c r="S188" s="296">
        <f t="shared" si="29"/>
        <v>0</v>
      </c>
      <c r="T188" s="296">
        <f t="shared" si="29"/>
        <v>0</v>
      </c>
      <c r="U188" s="296">
        <f t="shared" si="29"/>
        <v>0</v>
      </c>
      <c r="V188" s="296">
        <f t="shared" si="29"/>
        <v>0</v>
      </c>
      <c r="W188" s="296">
        <f t="shared" si="29"/>
        <v>0</v>
      </c>
      <c r="X188" s="296">
        <f t="shared" ref="X188:AJ188" si="30">+X185-X186-X187</f>
        <v>0</v>
      </c>
      <c r="Y188" s="296">
        <f t="shared" si="30"/>
        <v>0</v>
      </c>
      <c r="Z188" s="296">
        <f t="shared" si="30"/>
        <v>0</v>
      </c>
      <c r="AA188" s="296">
        <f t="shared" si="30"/>
        <v>0</v>
      </c>
      <c r="AB188" s="296">
        <f t="shared" si="30"/>
        <v>0</v>
      </c>
      <c r="AC188" s="296">
        <f t="shared" si="30"/>
        <v>0</v>
      </c>
      <c r="AD188" s="296">
        <f t="shared" si="30"/>
        <v>0</v>
      </c>
      <c r="AE188" s="296">
        <f t="shared" si="30"/>
        <v>0</v>
      </c>
      <c r="AF188" s="296">
        <f t="shared" si="30"/>
        <v>0</v>
      </c>
      <c r="AG188" s="296">
        <f t="shared" si="30"/>
        <v>0</v>
      </c>
      <c r="AH188" s="296">
        <f t="shared" si="30"/>
        <v>0</v>
      </c>
      <c r="AI188" s="296">
        <f t="shared" si="30"/>
        <v>0</v>
      </c>
      <c r="AJ188" s="296">
        <f t="shared" si="30"/>
        <v>0</v>
      </c>
      <c r="AK188" s="74"/>
    </row>
    <row r="189" spans="3:37">
      <c r="C189" s="75"/>
      <c r="D189" s="472"/>
      <c r="E189" s="89"/>
      <c r="F189" s="89"/>
      <c r="G189" s="89"/>
      <c r="H189" s="89"/>
      <c r="I189" s="89"/>
      <c r="J189" s="89"/>
      <c r="K189" s="270"/>
      <c r="L189" s="270"/>
      <c r="M189" s="270"/>
      <c r="N189" s="270"/>
      <c r="O189" s="270"/>
      <c r="P189" s="270"/>
      <c r="Q189" s="270"/>
      <c r="R189" s="296"/>
      <c r="S189" s="296"/>
      <c r="T189" s="296"/>
      <c r="U189" s="296"/>
      <c r="V189" s="296"/>
      <c r="W189" s="296"/>
      <c r="X189" s="296"/>
      <c r="Y189" s="296"/>
      <c r="Z189" s="296"/>
      <c r="AA189" s="296"/>
      <c r="AB189" s="296"/>
      <c r="AC189" s="296"/>
      <c r="AD189" s="296"/>
      <c r="AE189" s="296"/>
      <c r="AF189" s="296"/>
      <c r="AG189" s="296"/>
      <c r="AH189" s="296"/>
      <c r="AI189" s="296"/>
      <c r="AJ189" s="296"/>
      <c r="AK189" s="74"/>
    </row>
    <row r="190" spans="3:37">
      <c r="C190" s="75"/>
      <c r="D190" s="448" t="s">
        <v>272</v>
      </c>
      <c r="E190" s="89"/>
      <c r="F190" s="89"/>
      <c r="G190" s="89"/>
      <c r="H190" s="89"/>
      <c r="I190" s="89"/>
      <c r="J190" s="89"/>
      <c r="K190" s="1288"/>
      <c r="L190" s="1289"/>
      <c r="M190" s="1290"/>
      <c r="N190" s="1288"/>
      <c r="O190" s="1289"/>
      <c r="P190" s="1289"/>
      <c r="Q190" s="1289"/>
      <c r="R190" s="326"/>
      <c r="S190" s="324"/>
      <c r="T190" s="325"/>
      <c r="U190" s="449"/>
      <c r="V190" s="324"/>
      <c r="W190" s="325"/>
      <c r="X190" s="325"/>
      <c r="Y190" s="325"/>
      <c r="Z190" s="326"/>
      <c r="AA190" s="324"/>
      <c r="AB190" s="325"/>
      <c r="AC190" s="325"/>
      <c r="AD190" s="325"/>
      <c r="AE190" s="326"/>
      <c r="AF190" s="324"/>
      <c r="AG190" s="325"/>
      <c r="AH190" s="325"/>
      <c r="AI190" s="325"/>
      <c r="AJ190" s="326"/>
      <c r="AK190" s="74"/>
    </row>
    <row r="191" spans="3:37">
      <c r="C191" s="75"/>
      <c r="D191" s="448" t="s">
        <v>775</v>
      </c>
      <c r="E191" s="89"/>
      <c r="F191" s="89"/>
      <c r="G191" s="89"/>
      <c r="H191" s="89"/>
      <c r="I191" s="89"/>
      <c r="J191" s="89"/>
      <c r="K191" s="1291"/>
      <c r="L191" s="1292"/>
      <c r="M191" s="1293"/>
      <c r="N191" s="1291"/>
      <c r="O191" s="1292"/>
      <c r="P191" s="1292"/>
      <c r="Q191" s="1292"/>
      <c r="R191" s="332"/>
      <c r="S191" s="330"/>
      <c r="T191" s="331"/>
      <c r="U191" s="451"/>
      <c r="V191" s="330"/>
      <c r="W191" s="331"/>
      <c r="X191" s="331"/>
      <c r="Y191" s="331"/>
      <c r="Z191" s="332"/>
      <c r="AA191" s="330"/>
      <c r="AB191" s="331"/>
      <c r="AC191" s="331"/>
      <c r="AD191" s="331"/>
      <c r="AE191" s="332"/>
      <c r="AF191" s="330"/>
      <c r="AG191" s="331"/>
      <c r="AH191" s="331"/>
      <c r="AI191" s="331"/>
      <c r="AJ191" s="332"/>
      <c r="AK191" s="74"/>
    </row>
    <row r="192" spans="3:37">
      <c r="C192" s="81"/>
      <c r="D192" s="68"/>
      <c r="E192" s="68"/>
      <c r="F192" s="68"/>
      <c r="G192" s="68"/>
      <c r="H192" s="68"/>
      <c r="I192" s="68"/>
      <c r="J192" s="68"/>
      <c r="K192" s="306"/>
      <c r="L192" s="306"/>
      <c r="M192" s="306"/>
      <c r="N192" s="306"/>
      <c r="O192" s="306"/>
      <c r="P192" s="306"/>
      <c r="Q192" s="306"/>
      <c r="R192" s="629"/>
      <c r="S192" s="629"/>
      <c r="T192" s="629"/>
      <c r="U192" s="629"/>
      <c r="V192" s="629"/>
      <c r="W192" s="629"/>
      <c r="X192" s="629"/>
      <c r="Y192" s="629"/>
      <c r="Z192" s="629"/>
      <c r="AA192" s="629"/>
      <c r="AB192" s="629"/>
      <c r="AC192" s="629"/>
      <c r="AD192" s="629"/>
      <c r="AE192" s="629"/>
      <c r="AF192" s="629"/>
      <c r="AG192" s="629"/>
      <c r="AH192" s="629"/>
      <c r="AI192" s="629"/>
      <c r="AJ192" s="629"/>
      <c r="AK192" s="83"/>
    </row>
    <row r="193" spans="3:37">
      <c r="K193" s="431"/>
      <c r="L193" s="431"/>
      <c r="M193" s="431"/>
      <c r="N193" s="431"/>
      <c r="O193" s="431"/>
      <c r="P193" s="431"/>
      <c r="Q193" s="431"/>
      <c r="R193" s="293"/>
      <c r="S193" s="293"/>
      <c r="T193" s="293"/>
      <c r="U193" s="293"/>
      <c r="V193" s="293"/>
      <c r="W193" s="293"/>
      <c r="X193" s="293"/>
      <c r="Y193" s="293"/>
      <c r="Z193" s="293"/>
      <c r="AA193" s="293"/>
      <c r="AB193" s="293"/>
      <c r="AC193" s="293"/>
      <c r="AD193" s="293"/>
      <c r="AE193" s="293"/>
      <c r="AF193" s="293"/>
      <c r="AG193" s="293"/>
      <c r="AH193" s="293"/>
      <c r="AI193" s="293"/>
      <c r="AJ193" s="293"/>
    </row>
    <row r="194" spans="3:37">
      <c r="C194" s="69"/>
      <c r="D194" s="2121" t="s">
        <v>955</v>
      </c>
      <c r="E194" s="2122"/>
      <c r="F194" s="2122"/>
      <c r="G194" s="2122"/>
      <c r="H194" s="2123"/>
      <c r="I194" s="70"/>
      <c r="J194" s="70"/>
      <c r="K194" s="303"/>
      <c r="L194" s="303"/>
      <c r="M194" s="303"/>
      <c r="N194" s="303"/>
      <c r="O194" s="303"/>
      <c r="P194" s="303"/>
      <c r="Q194" s="303"/>
      <c r="R194" s="627"/>
      <c r="S194" s="627"/>
      <c r="T194" s="627"/>
      <c r="U194" s="627"/>
      <c r="V194" s="627"/>
      <c r="W194" s="627"/>
      <c r="X194" s="627"/>
      <c r="Y194" s="627"/>
      <c r="Z194" s="627"/>
      <c r="AA194" s="627"/>
      <c r="AB194" s="627"/>
      <c r="AC194" s="627"/>
      <c r="AD194" s="627"/>
      <c r="AE194" s="627"/>
      <c r="AF194" s="627"/>
      <c r="AG194" s="627"/>
      <c r="AH194" s="627"/>
      <c r="AI194" s="627"/>
      <c r="AJ194" s="627"/>
      <c r="AK194" s="73"/>
    </row>
    <row r="195" spans="3:37">
      <c r="C195" s="75"/>
      <c r="D195" s="506"/>
      <c r="E195" s="506"/>
      <c r="F195" s="506"/>
      <c r="G195" s="506"/>
      <c r="K195" s="270"/>
      <c r="L195" s="270"/>
      <c r="M195" s="270"/>
      <c r="N195" s="270"/>
      <c r="O195" s="270"/>
      <c r="P195" s="270"/>
      <c r="Q195" s="270"/>
      <c r="R195" s="296"/>
      <c r="S195" s="296"/>
      <c r="T195" s="296"/>
      <c r="U195" s="296"/>
      <c r="V195" s="296"/>
      <c r="W195" s="296"/>
      <c r="X195" s="296"/>
      <c r="Y195" s="296"/>
      <c r="Z195" s="296"/>
      <c r="AA195" s="296"/>
      <c r="AB195" s="296"/>
      <c r="AC195" s="296"/>
      <c r="AD195" s="296"/>
      <c r="AE195" s="296"/>
      <c r="AF195" s="296"/>
      <c r="AG195" s="296"/>
      <c r="AH195" s="296"/>
      <c r="AI195" s="296"/>
      <c r="AJ195" s="296"/>
      <c r="AK195" s="74"/>
    </row>
    <row r="196" spans="3:37">
      <c r="C196" s="75"/>
      <c r="D196" s="506" t="s">
        <v>859</v>
      </c>
      <c r="E196" s="506"/>
      <c r="F196" s="506"/>
      <c r="G196" s="506"/>
      <c r="K196" s="1176"/>
      <c r="L196" s="1177"/>
      <c r="M196" s="1177"/>
      <c r="N196" s="1176"/>
      <c r="O196" s="1177"/>
      <c r="P196" s="1177"/>
      <c r="Q196" s="1177"/>
      <c r="R196" s="335"/>
      <c r="S196" s="333"/>
      <c r="T196" s="334"/>
      <c r="U196" s="336"/>
      <c r="V196" s="333"/>
      <c r="W196" s="334"/>
      <c r="X196" s="334"/>
      <c r="Y196" s="334"/>
      <c r="Z196" s="335"/>
      <c r="AA196" s="333"/>
      <c r="AB196" s="334"/>
      <c r="AC196" s="334"/>
      <c r="AD196" s="334"/>
      <c r="AE196" s="335"/>
      <c r="AF196" s="333"/>
      <c r="AG196" s="334"/>
      <c r="AH196" s="334"/>
      <c r="AI196" s="334"/>
      <c r="AJ196" s="335"/>
      <c r="AK196" s="74"/>
    </row>
    <row r="197" spans="3:37">
      <c r="C197" s="75"/>
      <c r="D197" s="506"/>
      <c r="E197" s="506"/>
      <c r="F197" s="506"/>
      <c r="G197" s="506"/>
      <c r="K197" s="270"/>
      <c r="L197" s="270"/>
      <c r="M197" s="270"/>
      <c r="N197" s="270"/>
      <c r="O197" s="270"/>
      <c r="P197" s="270"/>
      <c r="Q197" s="270"/>
      <c r="R197" s="630"/>
      <c r="S197" s="630"/>
      <c r="T197" s="630"/>
      <c r="U197" s="630"/>
      <c r="V197" s="630"/>
      <c r="W197" s="630"/>
      <c r="X197" s="630"/>
      <c r="Y197" s="630"/>
      <c r="Z197" s="630"/>
      <c r="AA197" s="630"/>
      <c r="AB197" s="630"/>
      <c r="AC197" s="630"/>
      <c r="AD197" s="630"/>
      <c r="AE197" s="630"/>
      <c r="AF197" s="630"/>
      <c r="AG197" s="630"/>
      <c r="AH197" s="630"/>
      <c r="AI197" s="630"/>
      <c r="AJ197" s="630"/>
      <c r="AK197" s="74"/>
    </row>
    <row r="198" spans="3:37">
      <c r="C198" s="75"/>
      <c r="D198" s="506" t="s">
        <v>104</v>
      </c>
      <c r="E198" s="506"/>
      <c r="F198" s="506"/>
      <c r="G198" s="506"/>
      <c r="K198" s="1176"/>
      <c r="L198" s="1177"/>
      <c r="M198" s="1177"/>
      <c r="N198" s="1176"/>
      <c r="O198" s="1177"/>
      <c r="P198" s="1177"/>
      <c r="Q198" s="1177"/>
      <c r="R198" s="335"/>
      <c r="S198" s="333"/>
      <c r="T198" s="334"/>
      <c r="U198" s="336"/>
      <c r="V198" s="333"/>
      <c r="W198" s="334"/>
      <c r="X198" s="334"/>
      <c r="Y198" s="334"/>
      <c r="Z198" s="335"/>
      <c r="AA198" s="333"/>
      <c r="AB198" s="334"/>
      <c r="AC198" s="334"/>
      <c r="AD198" s="334"/>
      <c r="AE198" s="335"/>
      <c r="AF198" s="333"/>
      <c r="AG198" s="334"/>
      <c r="AH198" s="334"/>
      <c r="AI198" s="334"/>
      <c r="AJ198" s="335"/>
      <c r="AK198" s="74"/>
    </row>
    <row r="199" spans="3:37">
      <c r="C199" s="75"/>
      <c r="D199" s="506"/>
      <c r="E199" s="506"/>
      <c r="F199" s="506"/>
      <c r="G199" s="506"/>
      <c r="K199" s="270"/>
      <c r="L199" s="270"/>
      <c r="M199" s="270"/>
      <c r="N199" s="270"/>
      <c r="O199" s="270"/>
      <c r="P199" s="270"/>
      <c r="Q199" s="270"/>
      <c r="R199" s="630"/>
      <c r="S199" s="630"/>
      <c r="T199" s="630"/>
      <c r="U199" s="630"/>
      <c r="V199" s="630"/>
      <c r="W199" s="630"/>
      <c r="X199" s="630"/>
      <c r="Y199" s="630"/>
      <c r="Z199" s="630"/>
      <c r="AA199" s="630"/>
      <c r="AB199" s="630"/>
      <c r="AC199" s="630"/>
      <c r="AD199" s="630"/>
      <c r="AE199" s="630"/>
      <c r="AF199" s="630"/>
      <c r="AG199" s="630"/>
      <c r="AH199" s="630"/>
      <c r="AI199" s="630"/>
      <c r="AJ199" s="630"/>
      <c r="AK199" s="74"/>
    </row>
    <row r="200" spans="3:37">
      <c r="C200" s="75"/>
      <c r="D200" s="448" t="s">
        <v>487</v>
      </c>
      <c r="K200" s="1288"/>
      <c r="L200" s="1289"/>
      <c r="M200" s="1290"/>
      <c r="N200" s="1288"/>
      <c r="O200" s="1289"/>
      <c r="P200" s="1289"/>
      <c r="Q200" s="1289"/>
      <c r="R200" s="326"/>
      <c r="S200" s="324"/>
      <c r="T200" s="325"/>
      <c r="U200" s="449"/>
      <c r="V200" s="324"/>
      <c r="W200" s="325"/>
      <c r="X200" s="325"/>
      <c r="Y200" s="325"/>
      <c r="Z200" s="326"/>
      <c r="AA200" s="324"/>
      <c r="AB200" s="325"/>
      <c r="AC200" s="325"/>
      <c r="AD200" s="325"/>
      <c r="AE200" s="326"/>
      <c r="AF200" s="324"/>
      <c r="AG200" s="325"/>
      <c r="AH200" s="325"/>
      <c r="AI200" s="325"/>
      <c r="AJ200" s="326"/>
      <c r="AK200" s="74"/>
    </row>
    <row r="201" spans="3:37">
      <c r="C201" s="628"/>
      <c r="D201" s="448" t="s">
        <v>488</v>
      </c>
      <c r="K201" s="1296"/>
      <c r="L201" s="1297"/>
      <c r="M201" s="1298"/>
      <c r="N201" s="1296"/>
      <c r="O201" s="1297"/>
      <c r="P201" s="1297"/>
      <c r="Q201" s="1297"/>
      <c r="R201" s="329"/>
      <c r="S201" s="327"/>
      <c r="T201" s="328"/>
      <c r="U201" s="450"/>
      <c r="V201" s="327"/>
      <c r="W201" s="328"/>
      <c r="X201" s="328"/>
      <c r="Y201" s="328"/>
      <c r="Z201" s="329"/>
      <c r="AA201" s="327"/>
      <c r="AB201" s="328"/>
      <c r="AC201" s="328"/>
      <c r="AD201" s="328"/>
      <c r="AE201" s="329"/>
      <c r="AF201" s="327"/>
      <c r="AG201" s="328"/>
      <c r="AH201" s="328"/>
      <c r="AI201" s="328"/>
      <c r="AJ201" s="329"/>
      <c r="AK201" s="74"/>
    </row>
    <row r="202" spans="3:37">
      <c r="C202" s="75"/>
      <c r="D202" s="448" t="s">
        <v>489</v>
      </c>
      <c r="K202" s="1291"/>
      <c r="L202" s="1292"/>
      <c r="M202" s="1293"/>
      <c r="N202" s="1291"/>
      <c r="O202" s="1292"/>
      <c r="P202" s="1292"/>
      <c r="Q202" s="1292"/>
      <c r="R202" s="332"/>
      <c r="S202" s="330"/>
      <c r="T202" s="331"/>
      <c r="U202" s="451"/>
      <c r="V202" s="330"/>
      <c r="W202" s="331"/>
      <c r="X202" s="331"/>
      <c r="Y202" s="331"/>
      <c r="Z202" s="332"/>
      <c r="AA202" s="330"/>
      <c r="AB202" s="331"/>
      <c r="AC202" s="331"/>
      <c r="AD202" s="331"/>
      <c r="AE202" s="332"/>
      <c r="AF202" s="330"/>
      <c r="AG202" s="331"/>
      <c r="AH202" s="331"/>
      <c r="AI202" s="331"/>
      <c r="AJ202" s="332"/>
      <c r="AK202" s="74"/>
    </row>
    <row r="203" spans="3:37">
      <c r="C203" s="75"/>
      <c r="D203" s="472" t="s">
        <v>490</v>
      </c>
      <c r="E203" s="89"/>
      <c r="F203" s="89"/>
      <c r="G203" s="89"/>
      <c r="H203" s="89"/>
      <c r="I203" s="89"/>
      <c r="J203" s="89"/>
      <c r="K203" s="270">
        <f t="shared" ref="K203:W203" si="31">+K200-K201-K202</f>
        <v>0</v>
      </c>
      <c r="L203" s="270">
        <f t="shared" si="31"/>
        <v>0</v>
      </c>
      <c r="M203" s="270">
        <f t="shared" si="31"/>
        <v>0</v>
      </c>
      <c r="N203" s="270">
        <f t="shared" si="31"/>
        <v>0</v>
      </c>
      <c r="O203" s="270">
        <f t="shared" si="31"/>
        <v>0</v>
      </c>
      <c r="P203" s="270">
        <f t="shared" si="31"/>
        <v>0</v>
      </c>
      <c r="Q203" s="270">
        <f t="shared" si="31"/>
        <v>0</v>
      </c>
      <c r="R203" s="296">
        <f t="shared" si="31"/>
        <v>0</v>
      </c>
      <c r="S203" s="296">
        <f t="shared" si="31"/>
        <v>0</v>
      </c>
      <c r="T203" s="296">
        <f t="shared" si="31"/>
        <v>0</v>
      </c>
      <c r="U203" s="296">
        <f t="shared" si="31"/>
        <v>0</v>
      </c>
      <c r="V203" s="296">
        <f t="shared" si="31"/>
        <v>0</v>
      </c>
      <c r="W203" s="296">
        <f t="shared" si="31"/>
        <v>0</v>
      </c>
      <c r="X203" s="296">
        <f t="shared" ref="X203:AJ203" si="32">+X200-X201-X202</f>
        <v>0</v>
      </c>
      <c r="Y203" s="296">
        <f t="shared" si="32"/>
        <v>0</v>
      </c>
      <c r="Z203" s="296">
        <f t="shared" si="32"/>
        <v>0</v>
      </c>
      <c r="AA203" s="296">
        <f t="shared" si="32"/>
        <v>0</v>
      </c>
      <c r="AB203" s="296">
        <f t="shared" si="32"/>
        <v>0</v>
      </c>
      <c r="AC203" s="296">
        <f t="shared" si="32"/>
        <v>0</v>
      </c>
      <c r="AD203" s="296">
        <f t="shared" si="32"/>
        <v>0</v>
      </c>
      <c r="AE203" s="296">
        <f t="shared" si="32"/>
        <v>0</v>
      </c>
      <c r="AF203" s="296">
        <f t="shared" si="32"/>
        <v>0</v>
      </c>
      <c r="AG203" s="296">
        <f t="shared" si="32"/>
        <v>0</v>
      </c>
      <c r="AH203" s="296">
        <f t="shared" si="32"/>
        <v>0</v>
      </c>
      <c r="AI203" s="296">
        <f t="shared" si="32"/>
        <v>0</v>
      </c>
      <c r="AJ203" s="296">
        <f t="shared" si="32"/>
        <v>0</v>
      </c>
      <c r="AK203" s="74"/>
    </row>
    <row r="204" spans="3:37">
      <c r="C204" s="75"/>
      <c r="D204" s="472"/>
      <c r="E204" s="89"/>
      <c r="F204" s="89"/>
      <c r="G204" s="89"/>
      <c r="H204" s="89"/>
      <c r="I204" s="89"/>
      <c r="J204" s="89"/>
      <c r="K204" s="270"/>
      <c r="L204" s="270"/>
      <c r="M204" s="270"/>
      <c r="N204" s="270"/>
      <c r="O204" s="270"/>
      <c r="P204" s="270"/>
      <c r="Q204" s="270"/>
      <c r="R204" s="296"/>
      <c r="S204" s="296"/>
      <c r="T204" s="296"/>
      <c r="U204" s="296"/>
      <c r="V204" s="296"/>
      <c r="W204" s="296"/>
      <c r="X204" s="296"/>
      <c r="Y204" s="296"/>
      <c r="Z204" s="296"/>
      <c r="AA204" s="296"/>
      <c r="AB204" s="296"/>
      <c r="AC204" s="296"/>
      <c r="AD204" s="296"/>
      <c r="AE204" s="296"/>
      <c r="AF204" s="296"/>
      <c r="AG204" s="296"/>
      <c r="AH204" s="296"/>
      <c r="AI204" s="296"/>
      <c r="AJ204" s="296"/>
      <c r="AK204" s="74"/>
    </row>
    <row r="205" spans="3:37">
      <c r="C205" s="75"/>
      <c r="D205" s="448" t="s">
        <v>272</v>
      </c>
      <c r="E205" s="89"/>
      <c r="F205" s="89"/>
      <c r="G205" s="89"/>
      <c r="H205" s="89"/>
      <c r="I205" s="89"/>
      <c r="J205" s="89"/>
      <c r="K205" s="1288"/>
      <c r="L205" s="1289"/>
      <c r="M205" s="1290"/>
      <c r="N205" s="1288"/>
      <c r="O205" s="1289"/>
      <c r="P205" s="1289"/>
      <c r="Q205" s="1289"/>
      <c r="R205" s="326"/>
      <c r="S205" s="324"/>
      <c r="T205" s="325"/>
      <c r="U205" s="449"/>
      <c r="V205" s="324"/>
      <c r="W205" s="325"/>
      <c r="X205" s="325"/>
      <c r="Y205" s="325"/>
      <c r="Z205" s="326"/>
      <c r="AA205" s="324"/>
      <c r="AB205" s="325"/>
      <c r="AC205" s="325"/>
      <c r="AD205" s="325"/>
      <c r="AE205" s="326"/>
      <c r="AF205" s="324"/>
      <c r="AG205" s="325"/>
      <c r="AH205" s="325"/>
      <c r="AI205" s="325"/>
      <c r="AJ205" s="326"/>
      <c r="AK205" s="74"/>
    </row>
    <row r="206" spans="3:37">
      <c r="C206" s="75"/>
      <c r="D206" s="448" t="s">
        <v>775</v>
      </c>
      <c r="E206" s="89"/>
      <c r="F206" s="89"/>
      <c r="G206" s="89"/>
      <c r="H206" s="89"/>
      <c r="I206" s="89"/>
      <c r="J206" s="89"/>
      <c r="K206" s="1291"/>
      <c r="L206" s="1292"/>
      <c r="M206" s="1293"/>
      <c r="N206" s="1291"/>
      <c r="O206" s="1292"/>
      <c r="P206" s="1292"/>
      <c r="Q206" s="1292"/>
      <c r="R206" s="332"/>
      <c r="S206" s="330"/>
      <c r="T206" s="331"/>
      <c r="U206" s="451"/>
      <c r="V206" s="330"/>
      <c r="W206" s="331"/>
      <c r="X206" s="331"/>
      <c r="Y206" s="331"/>
      <c r="Z206" s="332"/>
      <c r="AA206" s="330"/>
      <c r="AB206" s="331"/>
      <c r="AC206" s="331"/>
      <c r="AD206" s="331"/>
      <c r="AE206" s="332"/>
      <c r="AF206" s="330"/>
      <c r="AG206" s="331"/>
      <c r="AH206" s="331"/>
      <c r="AI206" s="331"/>
      <c r="AJ206" s="332"/>
      <c r="AK206" s="74"/>
    </row>
    <row r="207" spans="3:37">
      <c r="C207" s="81"/>
      <c r="D207" s="68"/>
      <c r="E207" s="68"/>
      <c r="F207" s="68"/>
      <c r="G207" s="68"/>
      <c r="H207" s="68"/>
      <c r="I207" s="68"/>
      <c r="J207" s="68"/>
      <c r="K207" s="306"/>
      <c r="L207" s="306"/>
      <c r="M207" s="306"/>
      <c r="N207" s="306"/>
      <c r="O207" s="306"/>
      <c r="P207" s="306"/>
      <c r="Q207" s="306"/>
      <c r="R207" s="629"/>
      <c r="S207" s="629"/>
      <c r="T207" s="629"/>
      <c r="U207" s="629"/>
      <c r="V207" s="629"/>
      <c r="W207" s="629"/>
      <c r="X207" s="629"/>
      <c r="Y207" s="629"/>
      <c r="Z207" s="629"/>
      <c r="AA207" s="629"/>
      <c r="AB207" s="629"/>
      <c r="AC207" s="629"/>
      <c r="AD207" s="629"/>
      <c r="AE207" s="629"/>
      <c r="AF207" s="629"/>
      <c r="AG207" s="629"/>
      <c r="AH207" s="629"/>
      <c r="AI207" s="629"/>
      <c r="AJ207" s="629"/>
      <c r="AK207" s="83"/>
    </row>
    <row r="208" spans="3:37">
      <c r="K208" s="431"/>
      <c r="L208" s="431"/>
      <c r="M208" s="431"/>
      <c r="N208" s="431"/>
      <c r="O208" s="431"/>
      <c r="P208" s="431"/>
      <c r="Q208" s="431"/>
      <c r="R208" s="293"/>
      <c r="S208" s="293"/>
      <c r="T208" s="293"/>
      <c r="U208" s="293"/>
      <c r="V208" s="293"/>
      <c r="W208" s="293"/>
      <c r="X208" s="293"/>
      <c r="Y208" s="293"/>
      <c r="Z208" s="293"/>
      <c r="AA208" s="293"/>
      <c r="AB208" s="293"/>
      <c r="AC208" s="293"/>
      <c r="AD208" s="293"/>
      <c r="AE208" s="293"/>
      <c r="AF208" s="293"/>
      <c r="AG208" s="293"/>
      <c r="AH208" s="293"/>
      <c r="AI208" s="293"/>
      <c r="AJ208" s="293"/>
    </row>
    <row r="209" spans="3:37">
      <c r="C209" s="69"/>
      <c r="D209" s="2121" t="s">
        <v>956</v>
      </c>
      <c r="E209" s="2122"/>
      <c r="F209" s="2122"/>
      <c r="G209" s="2122"/>
      <c r="H209" s="2123"/>
      <c r="I209" s="70"/>
      <c r="J209" s="70"/>
      <c r="K209" s="303"/>
      <c r="L209" s="303"/>
      <c r="M209" s="303"/>
      <c r="N209" s="303"/>
      <c r="O209" s="303"/>
      <c r="P209" s="303"/>
      <c r="Q209" s="303"/>
      <c r="R209" s="627"/>
      <c r="S209" s="627"/>
      <c r="T209" s="627"/>
      <c r="U209" s="627"/>
      <c r="V209" s="627"/>
      <c r="W209" s="627"/>
      <c r="X209" s="627"/>
      <c r="Y209" s="627"/>
      <c r="Z209" s="627"/>
      <c r="AA209" s="627"/>
      <c r="AB209" s="627"/>
      <c r="AC209" s="627"/>
      <c r="AD209" s="627"/>
      <c r="AE209" s="627"/>
      <c r="AF209" s="627"/>
      <c r="AG209" s="627"/>
      <c r="AH209" s="627"/>
      <c r="AI209" s="627"/>
      <c r="AJ209" s="627"/>
      <c r="AK209" s="73"/>
    </row>
    <row r="210" spans="3:37">
      <c r="C210" s="75"/>
      <c r="D210" s="506"/>
      <c r="E210" s="506"/>
      <c r="F210" s="506"/>
      <c r="G210" s="506"/>
      <c r="K210" s="270"/>
      <c r="L210" s="270"/>
      <c r="M210" s="270"/>
      <c r="N210" s="270"/>
      <c r="O210" s="270"/>
      <c r="P210" s="270"/>
      <c r="Q210" s="270"/>
      <c r="R210" s="296"/>
      <c r="S210" s="296"/>
      <c r="T210" s="296"/>
      <c r="U210" s="296"/>
      <c r="V210" s="296"/>
      <c r="W210" s="296"/>
      <c r="X210" s="296"/>
      <c r="Y210" s="296"/>
      <c r="Z210" s="296"/>
      <c r="AA210" s="296"/>
      <c r="AB210" s="296"/>
      <c r="AC210" s="296"/>
      <c r="AD210" s="296"/>
      <c r="AE210" s="296"/>
      <c r="AF210" s="296"/>
      <c r="AG210" s="296"/>
      <c r="AH210" s="296"/>
      <c r="AI210" s="296"/>
      <c r="AJ210" s="296"/>
      <c r="AK210" s="74"/>
    </row>
    <row r="211" spans="3:37">
      <c r="C211" s="75"/>
      <c r="D211" s="506" t="s">
        <v>859</v>
      </c>
      <c r="E211" s="506"/>
      <c r="F211" s="506"/>
      <c r="G211" s="506"/>
      <c r="K211" s="1176"/>
      <c r="L211" s="1177"/>
      <c r="M211" s="1177"/>
      <c r="N211" s="1176"/>
      <c r="O211" s="1177"/>
      <c r="P211" s="1177"/>
      <c r="Q211" s="1177"/>
      <c r="R211" s="335"/>
      <c r="S211" s="333"/>
      <c r="T211" s="334"/>
      <c r="U211" s="336"/>
      <c r="V211" s="333"/>
      <c r="W211" s="334"/>
      <c r="X211" s="334"/>
      <c r="Y211" s="334"/>
      <c r="Z211" s="335"/>
      <c r="AA211" s="333"/>
      <c r="AB211" s="334"/>
      <c r="AC211" s="334"/>
      <c r="AD211" s="334"/>
      <c r="AE211" s="335"/>
      <c r="AF211" s="333"/>
      <c r="AG211" s="334"/>
      <c r="AH211" s="334"/>
      <c r="AI211" s="334"/>
      <c r="AJ211" s="335"/>
      <c r="AK211" s="74"/>
    </row>
    <row r="212" spans="3:37">
      <c r="C212" s="75"/>
      <c r="D212" s="506"/>
      <c r="E212" s="506"/>
      <c r="F212" s="506"/>
      <c r="G212" s="506"/>
      <c r="K212" s="270"/>
      <c r="L212" s="270"/>
      <c r="M212" s="270"/>
      <c r="N212" s="270"/>
      <c r="O212" s="270"/>
      <c r="P212" s="270"/>
      <c r="Q212" s="270"/>
      <c r="R212" s="630"/>
      <c r="S212" s="630"/>
      <c r="T212" s="630"/>
      <c r="U212" s="630"/>
      <c r="V212" s="630"/>
      <c r="W212" s="630"/>
      <c r="X212" s="630"/>
      <c r="Y212" s="630"/>
      <c r="Z212" s="630"/>
      <c r="AA212" s="630"/>
      <c r="AB212" s="630"/>
      <c r="AC212" s="630"/>
      <c r="AD212" s="630"/>
      <c r="AE212" s="630"/>
      <c r="AF212" s="630"/>
      <c r="AG212" s="630"/>
      <c r="AH212" s="630"/>
      <c r="AI212" s="630"/>
      <c r="AJ212" s="630"/>
      <c r="AK212" s="74"/>
    </row>
    <row r="213" spans="3:37">
      <c r="C213" s="75"/>
      <c r="D213" s="506" t="s">
        <v>104</v>
      </c>
      <c r="E213" s="506"/>
      <c r="F213" s="506"/>
      <c r="G213" s="506"/>
      <c r="K213" s="1176"/>
      <c r="L213" s="1177"/>
      <c r="M213" s="1177"/>
      <c r="N213" s="1176"/>
      <c r="O213" s="1177"/>
      <c r="P213" s="1177"/>
      <c r="Q213" s="1177"/>
      <c r="R213" s="335"/>
      <c r="S213" s="333"/>
      <c r="T213" s="334"/>
      <c r="U213" s="336"/>
      <c r="V213" s="333"/>
      <c r="W213" s="334"/>
      <c r="X213" s="334"/>
      <c r="Y213" s="334"/>
      <c r="Z213" s="335"/>
      <c r="AA213" s="333"/>
      <c r="AB213" s="334"/>
      <c r="AC213" s="334"/>
      <c r="AD213" s="334"/>
      <c r="AE213" s="335"/>
      <c r="AF213" s="333"/>
      <c r="AG213" s="334"/>
      <c r="AH213" s="334"/>
      <c r="AI213" s="334"/>
      <c r="AJ213" s="335"/>
      <c r="AK213" s="74"/>
    </row>
    <row r="214" spans="3:37">
      <c r="C214" s="75"/>
      <c r="D214" s="506"/>
      <c r="E214" s="506"/>
      <c r="F214" s="506"/>
      <c r="G214" s="506"/>
      <c r="K214" s="270"/>
      <c r="L214" s="270"/>
      <c r="M214" s="270"/>
      <c r="N214" s="270"/>
      <c r="O214" s="270"/>
      <c r="P214" s="270"/>
      <c r="Q214" s="270"/>
      <c r="R214" s="630"/>
      <c r="S214" s="630"/>
      <c r="T214" s="630"/>
      <c r="U214" s="630"/>
      <c r="V214" s="630"/>
      <c r="W214" s="630"/>
      <c r="X214" s="630"/>
      <c r="Y214" s="630"/>
      <c r="Z214" s="630"/>
      <c r="AA214" s="630"/>
      <c r="AB214" s="630"/>
      <c r="AC214" s="630"/>
      <c r="AD214" s="630"/>
      <c r="AE214" s="630"/>
      <c r="AF214" s="630"/>
      <c r="AG214" s="630"/>
      <c r="AH214" s="630"/>
      <c r="AI214" s="630"/>
      <c r="AJ214" s="630"/>
      <c r="AK214" s="74"/>
    </row>
    <row r="215" spans="3:37">
      <c r="C215" s="75"/>
      <c r="D215" s="448" t="s">
        <v>487</v>
      </c>
      <c r="K215" s="1288"/>
      <c r="L215" s="1289"/>
      <c r="M215" s="1290"/>
      <c r="N215" s="1288"/>
      <c r="O215" s="1289"/>
      <c r="P215" s="1289"/>
      <c r="Q215" s="1289"/>
      <c r="R215" s="326"/>
      <c r="S215" s="324"/>
      <c r="T215" s="325"/>
      <c r="U215" s="449"/>
      <c r="V215" s="324"/>
      <c r="W215" s="325"/>
      <c r="X215" s="325"/>
      <c r="Y215" s="325"/>
      <c r="Z215" s="326"/>
      <c r="AA215" s="324"/>
      <c r="AB215" s="325"/>
      <c r="AC215" s="325"/>
      <c r="AD215" s="325"/>
      <c r="AE215" s="326"/>
      <c r="AF215" s="324"/>
      <c r="AG215" s="325"/>
      <c r="AH215" s="325"/>
      <c r="AI215" s="325"/>
      <c r="AJ215" s="326"/>
      <c r="AK215" s="74"/>
    </row>
    <row r="216" spans="3:37">
      <c r="C216" s="628"/>
      <c r="D216" s="448" t="s">
        <v>488</v>
      </c>
      <c r="K216" s="1296"/>
      <c r="L216" s="1297"/>
      <c r="M216" s="1298"/>
      <c r="N216" s="1296"/>
      <c r="O216" s="1297"/>
      <c r="P216" s="1297"/>
      <c r="Q216" s="1297"/>
      <c r="R216" s="329"/>
      <c r="S216" s="327"/>
      <c r="T216" s="328"/>
      <c r="U216" s="450"/>
      <c r="V216" s="327"/>
      <c r="W216" s="328"/>
      <c r="X216" s="328"/>
      <c r="Y216" s="328"/>
      <c r="Z216" s="329"/>
      <c r="AA216" s="327"/>
      <c r="AB216" s="328"/>
      <c r="AC216" s="328"/>
      <c r="AD216" s="328"/>
      <c r="AE216" s="329"/>
      <c r="AF216" s="327"/>
      <c r="AG216" s="328"/>
      <c r="AH216" s="328"/>
      <c r="AI216" s="328"/>
      <c r="AJ216" s="329"/>
      <c r="AK216" s="74"/>
    </row>
    <row r="217" spans="3:37">
      <c r="C217" s="75"/>
      <c r="D217" s="448" t="s">
        <v>489</v>
      </c>
      <c r="K217" s="1291"/>
      <c r="L217" s="1292"/>
      <c r="M217" s="1293"/>
      <c r="N217" s="1291"/>
      <c r="O217" s="1292"/>
      <c r="P217" s="1292"/>
      <c r="Q217" s="1292"/>
      <c r="R217" s="332"/>
      <c r="S217" s="330"/>
      <c r="T217" s="331"/>
      <c r="U217" s="451"/>
      <c r="V217" s="330"/>
      <c r="W217" s="331"/>
      <c r="X217" s="331"/>
      <c r="Y217" s="331"/>
      <c r="Z217" s="332"/>
      <c r="AA217" s="330"/>
      <c r="AB217" s="331"/>
      <c r="AC217" s="331"/>
      <c r="AD217" s="331"/>
      <c r="AE217" s="332"/>
      <c r="AF217" s="330"/>
      <c r="AG217" s="331"/>
      <c r="AH217" s="331"/>
      <c r="AI217" s="331"/>
      <c r="AJ217" s="332"/>
      <c r="AK217" s="74"/>
    </row>
    <row r="218" spans="3:37">
      <c r="C218" s="75"/>
      <c r="D218" s="472" t="s">
        <v>490</v>
      </c>
      <c r="E218" s="89"/>
      <c r="F218" s="89"/>
      <c r="G218" s="89"/>
      <c r="H218" s="89"/>
      <c r="I218" s="89"/>
      <c r="J218" s="89"/>
      <c r="K218" s="270">
        <f t="shared" ref="K218:W218" si="33">+K215-K216-K217</f>
        <v>0</v>
      </c>
      <c r="L218" s="270">
        <f t="shared" si="33"/>
        <v>0</v>
      </c>
      <c r="M218" s="270">
        <f t="shared" si="33"/>
        <v>0</v>
      </c>
      <c r="N218" s="270">
        <f t="shared" si="33"/>
        <v>0</v>
      </c>
      <c r="O218" s="270">
        <f t="shared" si="33"/>
        <v>0</v>
      </c>
      <c r="P218" s="270">
        <f t="shared" si="33"/>
        <v>0</v>
      </c>
      <c r="Q218" s="270">
        <f t="shared" si="33"/>
        <v>0</v>
      </c>
      <c r="R218" s="296">
        <f t="shared" si="33"/>
        <v>0</v>
      </c>
      <c r="S218" s="296">
        <f t="shared" si="33"/>
        <v>0</v>
      </c>
      <c r="T218" s="296">
        <f t="shared" si="33"/>
        <v>0</v>
      </c>
      <c r="U218" s="296">
        <f t="shared" si="33"/>
        <v>0</v>
      </c>
      <c r="V218" s="296">
        <f t="shared" si="33"/>
        <v>0</v>
      </c>
      <c r="W218" s="296">
        <f t="shared" si="33"/>
        <v>0</v>
      </c>
      <c r="X218" s="296">
        <f t="shared" ref="X218:AJ218" si="34">+X215-X216-X217</f>
        <v>0</v>
      </c>
      <c r="Y218" s="296">
        <f t="shared" si="34"/>
        <v>0</v>
      </c>
      <c r="Z218" s="296">
        <f t="shared" si="34"/>
        <v>0</v>
      </c>
      <c r="AA218" s="296">
        <f t="shared" si="34"/>
        <v>0</v>
      </c>
      <c r="AB218" s="296">
        <f t="shared" si="34"/>
        <v>0</v>
      </c>
      <c r="AC218" s="296">
        <f t="shared" si="34"/>
        <v>0</v>
      </c>
      <c r="AD218" s="296">
        <f t="shared" si="34"/>
        <v>0</v>
      </c>
      <c r="AE218" s="296">
        <f t="shared" si="34"/>
        <v>0</v>
      </c>
      <c r="AF218" s="296">
        <f t="shared" si="34"/>
        <v>0</v>
      </c>
      <c r="AG218" s="296">
        <f t="shared" si="34"/>
        <v>0</v>
      </c>
      <c r="AH218" s="296">
        <f t="shared" si="34"/>
        <v>0</v>
      </c>
      <c r="AI218" s="296">
        <f t="shared" si="34"/>
        <v>0</v>
      </c>
      <c r="AJ218" s="296">
        <f t="shared" si="34"/>
        <v>0</v>
      </c>
      <c r="AK218" s="74"/>
    </row>
    <row r="219" spans="3:37">
      <c r="C219" s="75"/>
      <c r="D219" s="472"/>
      <c r="E219" s="89"/>
      <c r="F219" s="89"/>
      <c r="G219" s="89"/>
      <c r="H219" s="89"/>
      <c r="I219" s="89"/>
      <c r="J219" s="89"/>
      <c r="K219" s="270"/>
      <c r="L219" s="270"/>
      <c r="M219" s="270"/>
      <c r="N219" s="270"/>
      <c r="O219" s="270"/>
      <c r="P219" s="270"/>
      <c r="Q219" s="270"/>
      <c r="R219" s="296"/>
      <c r="S219" s="296"/>
      <c r="T219" s="296"/>
      <c r="U219" s="296"/>
      <c r="V219" s="296"/>
      <c r="W219" s="296"/>
      <c r="X219" s="296"/>
      <c r="Y219" s="296"/>
      <c r="Z219" s="296"/>
      <c r="AA219" s="296"/>
      <c r="AB219" s="296"/>
      <c r="AC219" s="296"/>
      <c r="AD219" s="296"/>
      <c r="AE219" s="296"/>
      <c r="AF219" s="296"/>
      <c r="AG219" s="296"/>
      <c r="AH219" s="296"/>
      <c r="AI219" s="296"/>
      <c r="AJ219" s="296"/>
      <c r="AK219" s="74"/>
    </row>
    <row r="220" spans="3:37">
      <c r="C220" s="75"/>
      <c r="D220" s="448" t="s">
        <v>272</v>
      </c>
      <c r="E220" s="89"/>
      <c r="F220" s="89"/>
      <c r="G220" s="89"/>
      <c r="H220" s="89"/>
      <c r="I220" s="89"/>
      <c r="J220" s="89"/>
      <c r="K220" s="1288"/>
      <c r="L220" s="1289"/>
      <c r="M220" s="1290"/>
      <c r="N220" s="1288"/>
      <c r="O220" s="1289"/>
      <c r="P220" s="1289"/>
      <c r="Q220" s="1289"/>
      <c r="R220" s="326"/>
      <c r="S220" s="324"/>
      <c r="T220" s="325"/>
      <c r="U220" s="449"/>
      <c r="V220" s="324"/>
      <c r="W220" s="325"/>
      <c r="X220" s="325"/>
      <c r="Y220" s="325"/>
      <c r="Z220" s="326"/>
      <c r="AA220" s="324"/>
      <c r="AB220" s="325"/>
      <c r="AC220" s="325"/>
      <c r="AD220" s="325"/>
      <c r="AE220" s="326"/>
      <c r="AF220" s="324"/>
      <c r="AG220" s="325"/>
      <c r="AH220" s="325"/>
      <c r="AI220" s="325"/>
      <c r="AJ220" s="326"/>
      <c r="AK220" s="74"/>
    </row>
    <row r="221" spans="3:37">
      <c r="C221" s="75"/>
      <c r="D221" s="448" t="s">
        <v>775</v>
      </c>
      <c r="E221" s="89"/>
      <c r="F221" s="89"/>
      <c r="G221" s="89"/>
      <c r="H221" s="89"/>
      <c r="I221" s="89"/>
      <c r="J221" s="89"/>
      <c r="K221" s="1291"/>
      <c r="L221" s="1292"/>
      <c r="M221" s="1293"/>
      <c r="N221" s="1291"/>
      <c r="O221" s="1292"/>
      <c r="P221" s="1292"/>
      <c r="Q221" s="1292"/>
      <c r="R221" s="332"/>
      <c r="S221" s="330"/>
      <c r="T221" s="331"/>
      <c r="U221" s="451"/>
      <c r="V221" s="330"/>
      <c r="W221" s="331"/>
      <c r="X221" s="331"/>
      <c r="Y221" s="331"/>
      <c r="Z221" s="332"/>
      <c r="AA221" s="330"/>
      <c r="AB221" s="331"/>
      <c r="AC221" s="331"/>
      <c r="AD221" s="331"/>
      <c r="AE221" s="332"/>
      <c r="AF221" s="330"/>
      <c r="AG221" s="331"/>
      <c r="AH221" s="331"/>
      <c r="AI221" s="331"/>
      <c r="AJ221" s="332"/>
      <c r="AK221" s="74"/>
    </row>
    <row r="222" spans="3:37">
      <c r="C222" s="81"/>
      <c r="D222" s="68"/>
      <c r="E222" s="68"/>
      <c r="F222" s="68"/>
      <c r="G222" s="68"/>
      <c r="H222" s="68"/>
      <c r="I222" s="68"/>
      <c r="J222" s="68"/>
      <c r="K222" s="306"/>
      <c r="L222" s="306"/>
      <c r="M222" s="306"/>
      <c r="N222" s="306"/>
      <c r="O222" s="306"/>
      <c r="P222" s="306"/>
      <c r="Q222" s="306"/>
      <c r="R222" s="629"/>
      <c r="S222" s="629"/>
      <c r="T222" s="629"/>
      <c r="U222" s="629"/>
      <c r="V222" s="629"/>
      <c r="W222" s="629"/>
      <c r="X222" s="629"/>
      <c r="Y222" s="629"/>
      <c r="Z222" s="629"/>
      <c r="AA222" s="629"/>
      <c r="AB222" s="629"/>
      <c r="AC222" s="629"/>
      <c r="AD222" s="629"/>
      <c r="AE222" s="629"/>
      <c r="AF222" s="629"/>
      <c r="AG222" s="629"/>
      <c r="AH222" s="629"/>
      <c r="AI222" s="629"/>
      <c r="AJ222" s="629"/>
      <c r="AK222" s="83"/>
    </row>
    <row r="223" spans="3:37">
      <c r="K223" s="270"/>
      <c r="L223" s="270"/>
      <c r="M223" s="270"/>
      <c r="N223" s="270"/>
      <c r="O223" s="270"/>
      <c r="P223" s="270"/>
      <c r="Q223" s="270"/>
      <c r="R223" s="296"/>
      <c r="S223" s="296"/>
      <c r="T223" s="296"/>
      <c r="U223" s="296"/>
      <c r="V223" s="296"/>
      <c r="W223" s="296"/>
      <c r="X223" s="296"/>
      <c r="Y223" s="296"/>
      <c r="Z223" s="296"/>
      <c r="AA223" s="296"/>
      <c r="AB223" s="296"/>
      <c r="AC223" s="296"/>
      <c r="AD223" s="296"/>
      <c r="AE223" s="296"/>
      <c r="AF223" s="296"/>
      <c r="AG223" s="296"/>
      <c r="AH223" s="296"/>
      <c r="AI223" s="296"/>
      <c r="AJ223" s="296"/>
    </row>
    <row r="224" spans="3:37">
      <c r="C224" s="69"/>
      <c r="D224" s="2121" t="s">
        <v>957</v>
      </c>
      <c r="E224" s="2122"/>
      <c r="F224" s="2122"/>
      <c r="G224" s="2122"/>
      <c r="H224" s="2123"/>
      <c r="I224" s="70"/>
      <c r="J224" s="70"/>
      <c r="K224" s="303"/>
      <c r="L224" s="303"/>
      <c r="M224" s="303"/>
      <c r="N224" s="303"/>
      <c r="O224" s="303"/>
      <c r="P224" s="303"/>
      <c r="Q224" s="303"/>
      <c r="R224" s="627"/>
      <c r="S224" s="627"/>
      <c r="T224" s="627"/>
      <c r="U224" s="627"/>
      <c r="V224" s="627"/>
      <c r="W224" s="627"/>
      <c r="X224" s="627"/>
      <c r="Y224" s="627"/>
      <c r="Z224" s="627"/>
      <c r="AA224" s="627"/>
      <c r="AB224" s="627"/>
      <c r="AC224" s="627"/>
      <c r="AD224" s="627"/>
      <c r="AE224" s="627"/>
      <c r="AF224" s="627"/>
      <c r="AG224" s="627"/>
      <c r="AH224" s="627"/>
      <c r="AI224" s="627"/>
      <c r="AJ224" s="627"/>
      <c r="AK224" s="73"/>
    </row>
    <row r="225" spans="3:37">
      <c r="C225" s="75"/>
      <c r="D225" s="506"/>
      <c r="E225" s="506"/>
      <c r="F225" s="506"/>
      <c r="G225" s="506"/>
      <c r="K225" s="270"/>
      <c r="L225" s="270"/>
      <c r="M225" s="270"/>
      <c r="N225" s="270"/>
      <c r="O225" s="270"/>
      <c r="P225" s="270"/>
      <c r="Q225" s="270"/>
      <c r="R225" s="296"/>
      <c r="S225" s="296"/>
      <c r="T225" s="296"/>
      <c r="U225" s="296"/>
      <c r="V225" s="296"/>
      <c r="W225" s="296"/>
      <c r="X225" s="296"/>
      <c r="Y225" s="296"/>
      <c r="Z225" s="296"/>
      <c r="AA225" s="296"/>
      <c r="AB225" s="296"/>
      <c r="AC225" s="296"/>
      <c r="AD225" s="296"/>
      <c r="AE225" s="296"/>
      <c r="AF225" s="296"/>
      <c r="AG225" s="296"/>
      <c r="AH225" s="296"/>
      <c r="AI225" s="296"/>
      <c r="AJ225" s="296"/>
      <c r="AK225" s="74"/>
    </row>
    <row r="226" spans="3:37">
      <c r="C226" s="75"/>
      <c r="D226" s="506" t="s">
        <v>859</v>
      </c>
      <c r="E226" s="506"/>
      <c r="F226" s="506"/>
      <c r="G226" s="506"/>
      <c r="K226" s="1176"/>
      <c r="L226" s="1177"/>
      <c r="M226" s="1177"/>
      <c r="N226" s="1176"/>
      <c r="O226" s="1177"/>
      <c r="P226" s="1177"/>
      <c r="Q226" s="1177"/>
      <c r="R226" s="335"/>
      <c r="S226" s="333"/>
      <c r="T226" s="334"/>
      <c r="U226" s="336"/>
      <c r="V226" s="333"/>
      <c r="W226" s="334"/>
      <c r="X226" s="334"/>
      <c r="Y226" s="334"/>
      <c r="Z226" s="335"/>
      <c r="AA226" s="333"/>
      <c r="AB226" s="334"/>
      <c r="AC226" s="334"/>
      <c r="AD226" s="334"/>
      <c r="AE226" s="335"/>
      <c r="AF226" s="333"/>
      <c r="AG226" s="334"/>
      <c r="AH226" s="334"/>
      <c r="AI226" s="334"/>
      <c r="AJ226" s="335"/>
      <c r="AK226" s="74"/>
    </row>
    <row r="227" spans="3:37">
      <c r="C227" s="75"/>
      <c r="D227" s="506"/>
      <c r="E227" s="506"/>
      <c r="F227" s="506"/>
      <c r="G227" s="506"/>
      <c r="K227" s="270"/>
      <c r="L227" s="270"/>
      <c r="M227" s="270"/>
      <c r="N227" s="270"/>
      <c r="O227" s="270"/>
      <c r="P227" s="270"/>
      <c r="Q227" s="270"/>
      <c r="R227" s="630"/>
      <c r="S227" s="630"/>
      <c r="T227" s="630"/>
      <c r="U227" s="630"/>
      <c r="V227" s="630"/>
      <c r="W227" s="630"/>
      <c r="X227" s="630"/>
      <c r="Y227" s="630"/>
      <c r="Z227" s="630"/>
      <c r="AA227" s="630"/>
      <c r="AB227" s="630"/>
      <c r="AC227" s="630"/>
      <c r="AD227" s="630"/>
      <c r="AE227" s="630"/>
      <c r="AF227" s="630"/>
      <c r="AG227" s="630"/>
      <c r="AH227" s="630"/>
      <c r="AI227" s="630"/>
      <c r="AJ227" s="630"/>
      <c r="AK227" s="74"/>
    </row>
    <row r="228" spans="3:37">
      <c r="C228" s="75"/>
      <c r="D228" s="506" t="s">
        <v>104</v>
      </c>
      <c r="E228" s="506"/>
      <c r="F228" s="506"/>
      <c r="G228" s="506"/>
      <c r="K228" s="1176"/>
      <c r="L228" s="1177"/>
      <c r="M228" s="1177"/>
      <c r="N228" s="1176"/>
      <c r="O228" s="1177"/>
      <c r="P228" s="1177"/>
      <c r="Q228" s="1177"/>
      <c r="R228" s="335"/>
      <c r="S228" s="333"/>
      <c r="T228" s="334"/>
      <c r="U228" s="336"/>
      <c r="V228" s="333"/>
      <c r="W228" s="334"/>
      <c r="X228" s="334"/>
      <c r="Y228" s="334"/>
      <c r="Z228" s="335"/>
      <c r="AA228" s="333"/>
      <c r="AB228" s="334"/>
      <c r="AC228" s="334"/>
      <c r="AD228" s="334"/>
      <c r="AE228" s="335"/>
      <c r="AF228" s="333"/>
      <c r="AG228" s="334"/>
      <c r="AH228" s="334"/>
      <c r="AI228" s="334"/>
      <c r="AJ228" s="335"/>
      <c r="AK228" s="74"/>
    </row>
    <row r="229" spans="3:37">
      <c r="C229" s="75"/>
      <c r="D229" s="506"/>
      <c r="E229" s="506"/>
      <c r="F229" s="506"/>
      <c r="G229" s="506"/>
      <c r="K229" s="270"/>
      <c r="L229" s="270"/>
      <c r="M229" s="270"/>
      <c r="N229" s="270"/>
      <c r="O229" s="270"/>
      <c r="P229" s="270"/>
      <c r="Q229" s="270"/>
      <c r="R229" s="630"/>
      <c r="S229" s="630"/>
      <c r="T229" s="630"/>
      <c r="U229" s="630"/>
      <c r="V229" s="630"/>
      <c r="W229" s="630"/>
      <c r="X229" s="630"/>
      <c r="Y229" s="630"/>
      <c r="Z229" s="630"/>
      <c r="AA229" s="630"/>
      <c r="AB229" s="630"/>
      <c r="AC229" s="630"/>
      <c r="AD229" s="630"/>
      <c r="AE229" s="630"/>
      <c r="AF229" s="630"/>
      <c r="AG229" s="630"/>
      <c r="AH229" s="630"/>
      <c r="AI229" s="630"/>
      <c r="AJ229" s="630"/>
      <c r="AK229" s="74"/>
    </row>
    <row r="230" spans="3:37">
      <c r="C230" s="75"/>
      <c r="D230" s="448" t="s">
        <v>487</v>
      </c>
      <c r="K230" s="1288"/>
      <c r="L230" s="1289"/>
      <c r="M230" s="1290"/>
      <c r="N230" s="1288"/>
      <c r="O230" s="1289"/>
      <c r="P230" s="1289"/>
      <c r="Q230" s="1289"/>
      <c r="R230" s="326"/>
      <c r="S230" s="324"/>
      <c r="T230" s="325"/>
      <c r="U230" s="449"/>
      <c r="V230" s="324"/>
      <c r="W230" s="325"/>
      <c r="X230" s="325"/>
      <c r="Y230" s="325"/>
      <c r="Z230" s="326"/>
      <c r="AA230" s="324"/>
      <c r="AB230" s="325"/>
      <c r="AC230" s="325"/>
      <c r="AD230" s="325"/>
      <c r="AE230" s="326"/>
      <c r="AF230" s="324"/>
      <c r="AG230" s="325"/>
      <c r="AH230" s="325"/>
      <c r="AI230" s="325"/>
      <c r="AJ230" s="326"/>
      <c r="AK230" s="74"/>
    </row>
    <row r="231" spans="3:37">
      <c r="C231" s="628"/>
      <c r="D231" s="448" t="s">
        <v>488</v>
      </c>
      <c r="K231" s="1296"/>
      <c r="L231" s="1297"/>
      <c r="M231" s="1298"/>
      <c r="N231" s="1296"/>
      <c r="O231" s="1297"/>
      <c r="P231" s="1297"/>
      <c r="Q231" s="1297"/>
      <c r="R231" s="329"/>
      <c r="S231" s="327"/>
      <c r="T231" s="328"/>
      <c r="U231" s="450"/>
      <c r="V231" s="327"/>
      <c r="W231" s="328"/>
      <c r="X231" s="328"/>
      <c r="Y231" s="328"/>
      <c r="Z231" s="329"/>
      <c r="AA231" s="327"/>
      <c r="AB231" s="328"/>
      <c r="AC231" s="328"/>
      <c r="AD231" s="328"/>
      <c r="AE231" s="329"/>
      <c r="AF231" s="327"/>
      <c r="AG231" s="328"/>
      <c r="AH231" s="328"/>
      <c r="AI231" s="328"/>
      <c r="AJ231" s="329"/>
      <c r="AK231" s="74"/>
    </row>
    <row r="232" spans="3:37">
      <c r="C232" s="75"/>
      <c r="D232" s="448" t="s">
        <v>489</v>
      </c>
      <c r="K232" s="1291"/>
      <c r="L232" s="1292"/>
      <c r="M232" s="1293"/>
      <c r="N232" s="1291"/>
      <c r="O232" s="1292"/>
      <c r="P232" s="1292"/>
      <c r="Q232" s="1292"/>
      <c r="R232" s="332"/>
      <c r="S232" s="330"/>
      <c r="T232" s="331"/>
      <c r="U232" s="451"/>
      <c r="V232" s="330"/>
      <c r="W232" s="331"/>
      <c r="X232" s="331"/>
      <c r="Y232" s="331"/>
      <c r="Z232" s="332"/>
      <c r="AA232" s="330"/>
      <c r="AB232" s="331"/>
      <c r="AC232" s="331"/>
      <c r="AD232" s="331"/>
      <c r="AE232" s="332"/>
      <c r="AF232" s="330"/>
      <c r="AG232" s="331"/>
      <c r="AH232" s="331"/>
      <c r="AI232" s="331"/>
      <c r="AJ232" s="332"/>
      <c r="AK232" s="74"/>
    </row>
    <row r="233" spans="3:37">
      <c r="C233" s="75"/>
      <c r="D233" s="472" t="s">
        <v>490</v>
      </c>
      <c r="E233" s="89"/>
      <c r="F233" s="89"/>
      <c r="G233" s="89"/>
      <c r="H233" s="89"/>
      <c r="I233" s="89"/>
      <c r="J233" s="89"/>
      <c r="K233" s="270">
        <f t="shared" ref="K233:W233" si="35">+K230-K231-K232</f>
        <v>0</v>
      </c>
      <c r="L233" s="270">
        <f t="shared" si="35"/>
        <v>0</v>
      </c>
      <c r="M233" s="270">
        <f t="shared" si="35"/>
        <v>0</v>
      </c>
      <c r="N233" s="270">
        <f t="shared" si="35"/>
        <v>0</v>
      </c>
      <c r="O233" s="270">
        <f t="shared" si="35"/>
        <v>0</v>
      </c>
      <c r="P233" s="270">
        <f t="shared" si="35"/>
        <v>0</v>
      </c>
      <c r="Q233" s="270">
        <f t="shared" si="35"/>
        <v>0</v>
      </c>
      <c r="R233" s="296">
        <f t="shared" si="35"/>
        <v>0</v>
      </c>
      <c r="S233" s="296">
        <f t="shared" si="35"/>
        <v>0</v>
      </c>
      <c r="T233" s="296">
        <f t="shared" si="35"/>
        <v>0</v>
      </c>
      <c r="U233" s="296">
        <f t="shared" si="35"/>
        <v>0</v>
      </c>
      <c r="V233" s="296">
        <f t="shared" si="35"/>
        <v>0</v>
      </c>
      <c r="W233" s="296">
        <f t="shared" si="35"/>
        <v>0</v>
      </c>
      <c r="X233" s="296">
        <f t="shared" ref="X233:AJ233" si="36">+X230-X231-X232</f>
        <v>0</v>
      </c>
      <c r="Y233" s="296">
        <f t="shared" si="36"/>
        <v>0</v>
      </c>
      <c r="Z233" s="296">
        <f t="shared" si="36"/>
        <v>0</v>
      </c>
      <c r="AA233" s="296">
        <f t="shared" si="36"/>
        <v>0</v>
      </c>
      <c r="AB233" s="296">
        <f t="shared" si="36"/>
        <v>0</v>
      </c>
      <c r="AC233" s="296">
        <f t="shared" si="36"/>
        <v>0</v>
      </c>
      <c r="AD233" s="296">
        <f t="shared" si="36"/>
        <v>0</v>
      </c>
      <c r="AE233" s="296">
        <f t="shared" si="36"/>
        <v>0</v>
      </c>
      <c r="AF233" s="296">
        <f t="shared" si="36"/>
        <v>0</v>
      </c>
      <c r="AG233" s="296">
        <f t="shared" si="36"/>
        <v>0</v>
      </c>
      <c r="AH233" s="296">
        <f t="shared" si="36"/>
        <v>0</v>
      </c>
      <c r="AI233" s="296">
        <f t="shared" si="36"/>
        <v>0</v>
      </c>
      <c r="AJ233" s="296">
        <f t="shared" si="36"/>
        <v>0</v>
      </c>
      <c r="AK233" s="74"/>
    </row>
    <row r="234" spans="3:37">
      <c r="C234" s="75"/>
      <c r="D234" s="472"/>
      <c r="E234" s="89"/>
      <c r="F234" s="89"/>
      <c r="G234" s="89"/>
      <c r="H234" s="89"/>
      <c r="I234" s="89"/>
      <c r="J234" s="89"/>
      <c r="K234" s="270"/>
      <c r="L234" s="270"/>
      <c r="M234" s="270"/>
      <c r="N234" s="270"/>
      <c r="O234" s="270"/>
      <c r="P234" s="270"/>
      <c r="Q234" s="270"/>
      <c r="R234" s="296"/>
      <c r="S234" s="296"/>
      <c r="T234" s="296"/>
      <c r="U234" s="296"/>
      <c r="V234" s="296"/>
      <c r="W234" s="296"/>
      <c r="X234" s="296"/>
      <c r="Y234" s="296"/>
      <c r="Z234" s="296"/>
      <c r="AA234" s="296"/>
      <c r="AB234" s="296"/>
      <c r="AC234" s="296"/>
      <c r="AD234" s="296"/>
      <c r="AE234" s="296"/>
      <c r="AF234" s="296"/>
      <c r="AG234" s="296"/>
      <c r="AH234" s="296"/>
      <c r="AI234" s="296"/>
      <c r="AJ234" s="296"/>
      <c r="AK234" s="74"/>
    </row>
    <row r="235" spans="3:37">
      <c r="C235" s="75"/>
      <c r="D235" s="448" t="s">
        <v>272</v>
      </c>
      <c r="E235" s="89"/>
      <c r="F235" s="89"/>
      <c r="G235" s="89"/>
      <c r="H235" s="89"/>
      <c r="I235" s="89"/>
      <c r="J235" s="89"/>
      <c r="K235" s="1288"/>
      <c r="L235" s="1289"/>
      <c r="M235" s="1290"/>
      <c r="N235" s="1288"/>
      <c r="O235" s="1289"/>
      <c r="P235" s="1289"/>
      <c r="Q235" s="1289"/>
      <c r="R235" s="326"/>
      <c r="S235" s="324"/>
      <c r="T235" s="325"/>
      <c r="U235" s="449"/>
      <c r="V235" s="324"/>
      <c r="W235" s="325"/>
      <c r="X235" s="325"/>
      <c r="Y235" s="325"/>
      <c r="Z235" s="326"/>
      <c r="AA235" s="324"/>
      <c r="AB235" s="325"/>
      <c r="AC235" s="325"/>
      <c r="AD235" s="325"/>
      <c r="AE235" s="326"/>
      <c r="AF235" s="324"/>
      <c r="AG235" s="325"/>
      <c r="AH235" s="325"/>
      <c r="AI235" s="325"/>
      <c r="AJ235" s="326"/>
      <c r="AK235" s="74"/>
    </row>
    <row r="236" spans="3:37">
      <c r="C236" s="75"/>
      <c r="D236" s="448" t="s">
        <v>775</v>
      </c>
      <c r="E236" s="89"/>
      <c r="F236" s="89"/>
      <c r="G236" s="89"/>
      <c r="H236" s="89"/>
      <c r="I236" s="89"/>
      <c r="J236" s="89"/>
      <c r="K236" s="1291"/>
      <c r="L236" s="1292"/>
      <c r="M236" s="1293"/>
      <c r="N236" s="1291"/>
      <c r="O236" s="1292"/>
      <c r="P236" s="1292"/>
      <c r="Q236" s="1292"/>
      <c r="R236" s="332"/>
      <c r="S236" s="330"/>
      <c r="T236" s="331"/>
      <c r="U236" s="451"/>
      <c r="V236" s="330"/>
      <c r="W236" s="331"/>
      <c r="X236" s="331"/>
      <c r="Y236" s="331"/>
      <c r="Z236" s="332"/>
      <c r="AA236" s="330"/>
      <c r="AB236" s="331"/>
      <c r="AC236" s="331"/>
      <c r="AD236" s="331"/>
      <c r="AE236" s="332"/>
      <c r="AF236" s="330"/>
      <c r="AG236" s="331"/>
      <c r="AH236" s="331"/>
      <c r="AI236" s="331"/>
      <c r="AJ236" s="332"/>
      <c r="AK236" s="74"/>
    </row>
    <row r="237" spans="3:37">
      <c r="C237" s="81"/>
      <c r="D237" s="68"/>
      <c r="E237" s="68"/>
      <c r="F237" s="68"/>
      <c r="G237" s="68"/>
      <c r="H237" s="68"/>
      <c r="I237" s="68"/>
      <c r="J237" s="68"/>
      <c r="K237" s="306"/>
      <c r="L237" s="306"/>
      <c r="M237" s="306"/>
      <c r="N237" s="306"/>
      <c r="O237" s="306"/>
      <c r="P237" s="306"/>
      <c r="Q237" s="306"/>
      <c r="R237" s="629"/>
      <c r="S237" s="629"/>
      <c r="T237" s="629"/>
      <c r="U237" s="629"/>
      <c r="V237" s="629"/>
      <c r="W237" s="629"/>
      <c r="X237" s="629"/>
      <c r="Y237" s="629"/>
      <c r="Z237" s="629"/>
      <c r="AA237" s="629"/>
      <c r="AB237" s="629"/>
      <c r="AC237" s="629"/>
      <c r="AD237" s="629"/>
      <c r="AE237" s="629"/>
      <c r="AF237" s="629"/>
      <c r="AG237" s="629"/>
      <c r="AH237" s="629"/>
      <c r="AI237" s="629"/>
      <c r="AJ237" s="629"/>
      <c r="AK237" s="83"/>
    </row>
    <row r="238" spans="3:37">
      <c r="K238" s="431"/>
      <c r="L238" s="431"/>
      <c r="M238" s="431"/>
      <c r="N238" s="431"/>
      <c r="O238" s="431"/>
      <c r="P238" s="431"/>
      <c r="Q238" s="431"/>
      <c r="R238" s="293"/>
      <c r="S238" s="293"/>
      <c r="T238" s="293"/>
      <c r="U238" s="293"/>
      <c r="V238" s="293"/>
      <c r="W238" s="293"/>
      <c r="X238" s="293"/>
      <c r="Y238" s="293"/>
      <c r="Z238" s="293"/>
      <c r="AA238" s="293"/>
      <c r="AB238" s="293"/>
      <c r="AC238" s="293"/>
      <c r="AD238" s="293"/>
      <c r="AE238" s="293"/>
      <c r="AF238" s="293"/>
      <c r="AG238" s="293"/>
      <c r="AH238" s="293"/>
      <c r="AI238" s="293"/>
      <c r="AJ238" s="293"/>
    </row>
    <row r="239" spans="3:37">
      <c r="C239" s="69"/>
      <c r="D239" s="2121" t="s">
        <v>958</v>
      </c>
      <c r="E239" s="2122"/>
      <c r="F239" s="2122"/>
      <c r="G239" s="2122"/>
      <c r="H239" s="2123"/>
      <c r="I239" s="70"/>
      <c r="J239" s="70"/>
      <c r="K239" s="303"/>
      <c r="L239" s="303"/>
      <c r="M239" s="303"/>
      <c r="N239" s="303"/>
      <c r="O239" s="303"/>
      <c r="P239" s="303"/>
      <c r="Q239" s="303"/>
      <c r="R239" s="627"/>
      <c r="S239" s="627"/>
      <c r="T239" s="627"/>
      <c r="U239" s="627"/>
      <c r="V239" s="627"/>
      <c r="W239" s="627"/>
      <c r="X239" s="627"/>
      <c r="Y239" s="627"/>
      <c r="Z239" s="627"/>
      <c r="AA239" s="627"/>
      <c r="AB239" s="627"/>
      <c r="AC239" s="627"/>
      <c r="AD239" s="627"/>
      <c r="AE239" s="627"/>
      <c r="AF239" s="627"/>
      <c r="AG239" s="627"/>
      <c r="AH239" s="627"/>
      <c r="AI239" s="627"/>
      <c r="AJ239" s="627"/>
      <c r="AK239" s="73"/>
    </row>
    <row r="240" spans="3:37">
      <c r="C240" s="75"/>
      <c r="D240" s="506"/>
      <c r="E240" s="506"/>
      <c r="F240" s="506"/>
      <c r="G240" s="506"/>
      <c r="K240" s="270"/>
      <c r="L240" s="270"/>
      <c r="M240" s="270"/>
      <c r="N240" s="270"/>
      <c r="O240" s="270"/>
      <c r="P240" s="270"/>
      <c r="Q240" s="270"/>
      <c r="R240" s="296"/>
      <c r="S240" s="296"/>
      <c r="T240" s="296"/>
      <c r="U240" s="296"/>
      <c r="V240" s="296"/>
      <c r="W240" s="296"/>
      <c r="X240" s="296"/>
      <c r="Y240" s="296"/>
      <c r="Z240" s="296"/>
      <c r="AA240" s="296"/>
      <c r="AB240" s="296"/>
      <c r="AC240" s="296"/>
      <c r="AD240" s="296"/>
      <c r="AE240" s="296"/>
      <c r="AF240" s="296"/>
      <c r="AG240" s="296"/>
      <c r="AH240" s="296"/>
      <c r="AI240" s="296"/>
      <c r="AJ240" s="296"/>
      <c r="AK240" s="74"/>
    </row>
    <row r="241" spans="3:37">
      <c r="C241" s="75"/>
      <c r="D241" s="506" t="s">
        <v>859</v>
      </c>
      <c r="E241" s="506"/>
      <c r="F241" s="506"/>
      <c r="G241" s="506"/>
      <c r="K241" s="1176"/>
      <c r="L241" s="1177"/>
      <c r="M241" s="1177"/>
      <c r="N241" s="1176"/>
      <c r="O241" s="1177"/>
      <c r="P241" s="1177"/>
      <c r="Q241" s="1177"/>
      <c r="R241" s="335"/>
      <c r="S241" s="333"/>
      <c r="T241" s="334"/>
      <c r="U241" s="336"/>
      <c r="V241" s="333"/>
      <c r="W241" s="334"/>
      <c r="X241" s="334"/>
      <c r="Y241" s="334"/>
      <c r="Z241" s="335"/>
      <c r="AA241" s="333"/>
      <c r="AB241" s="334"/>
      <c r="AC241" s="334"/>
      <c r="AD241" s="334"/>
      <c r="AE241" s="335"/>
      <c r="AF241" s="333"/>
      <c r="AG241" s="334"/>
      <c r="AH241" s="334"/>
      <c r="AI241" s="334"/>
      <c r="AJ241" s="335"/>
      <c r="AK241" s="74"/>
    </row>
    <row r="242" spans="3:37">
      <c r="C242" s="75"/>
      <c r="D242" s="506"/>
      <c r="E242" s="506"/>
      <c r="F242" s="506"/>
      <c r="G242" s="506"/>
      <c r="K242" s="270"/>
      <c r="L242" s="270"/>
      <c r="M242" s="270"/>
      <c r="N242" s="270"/>
      <c r="O242" s="270"/>
      <c r="P242" s="270"/>
      <c r="Q242" s="270"/>
      <c r="R242" s="630"/>
      <c r="S242" s="630"/>
      <c r="T242" s="630"/>
      <c r="U242" s="630"/>
      <c r="V242" s="630"/>
      <c r="W242" s="630"/>
      <c r="X242" s="630"/>
      <c r="Y242" s="630"/>
      <c r="Z242" s="630"/>
      <c r="AA242" s="630"/>
      <c r="AB242" s="630"/>
      <c r="AC242" s="630"/>
      <c r="AD242" s="630"/>
      <c r="AE242" s="630"/>
      <c r="AF242" s="630"/>
      <c r="AG242" s="630"/>
      <c r="AH242" s="630"/>
      <c r="AI242" s="630"/>
      <c r="AJ242" s="630"/>
      <c r="AK242" s="74"/>
    </row>
    <row r="243" spans="3:37">
      <c r="C243" s="75"/>
      <c r="D243" s="506" t="s">
        <v>104</v>
      </c>
      <c r="E243" s="506"/>
      <c r="F243" s="506"/>
      <c r="G243" s="506"/>
      <c r="K243" s="1176"/>
      <c r="L243" s="1177"/>
      <c r="M243" s="1177"/>
      <c r="N243" s="1176"/>
      <c r="O243" s="1177"/>
      <c r="P243" s="1177"/>
      <c r="Q243" s="1177"/>
      <c r="R243" s="335"/>
      <c r="S243" s="333"/>
      <c r="T243" s="334"/>
      <c r="U243" s="336"/>
      <c r="V243" s="333"/>
      <c r="W243" s="334"/>
      <c r="X243" s="334"/>
      <c r="Y243" s="334"/>
      <c r="Z243" s="335"/>
      <c r="AA243" s="333"/>
      <c r="AB243" s="334"/>
      <c r="AC243" s="334"/>
      <c r="AD243" s="334"/>
      <c r="AE243" s="335"/>
      <c r="AF243" s="333"/>
      <c r="AG243" s="334"/>
      <c r="AH243" s="334"/>
      <c r="AI243" s="334"/>
      <c r="AJ243" s="335"/>
      <c r="AK243" s="74"/>
    </row>
    <row r="244" spans="3:37">
      <c r="C244" s="75"/>
      <c r="D244" s="506"/>
      <c r="E244" s="506"/>
      <c r="F244" s="506"/>
      <c r="G244" s="506"/>
      <c r="K244" s="270"/>
      <c r="L244" s="270"/>
      <c r="M244" s="270"/>
      <c r="N244" s="270"/>
      <c r="O244" s="270"/>
      <c r="P244" s="270"/>
      <c r="Q244" s="270"/>
      <c r="R244" s="630"/>
      <c r="S244" s="630"/>
      <c r="T244" s="630"/>
      <c r="U244" s="630"/>
      <c r="V244" s="630"/>
      <c r="W244" s="630"/>
      <c r="X244" s="630"/>
      <c r="Y244" s="630"/>
      <c r="Z244" s="630"/>
      <c r="AA244" s="630"/>
      <c r="AB244" s="630"/>
      <c r="AC244" s="630"/>
      <c r="AD244" s="630"/>
      <c r="AE244" s="630"/>
      <c r="AF244" s="630"/>
      <c r="AG244" s="630"/>
      <c r="AH244" s="630"/>
      <c r="AI244" s="630"/>
      <c r="AJ244" s="630"/>
      <c r="AK244" s="74"/>
    </row>
    <row r="245" spans="3:37">
      <c r="C245" s="75"/>
      <c r="D245" s="448" t="s">
        <v>487</v>
      </c>
      <c r="K245" s="1288"/>
      <c r="L245" s="1289"/>
      <c r="M245" s="1290"/>
      <c r="N245" s="1288"/>
      <c r="O245" s="1289"/>
      <c r="P245" s="1289"/>
      <c r="Q245" s="1289"/>
      <c r="R245" s="326"/>
      <c r="S245" s="324"/>
      <c r="T245" s="325"/>
      <c r="U245" s="449"/>
      <c r="V245" s="324"/>
      <c r="W245" s="325"/>
      <c r="X245" s="325"/>
      <c r="Y245" s="325"/>
      <c r="Z245" s="326"/>
      <c r="AA245" s="324"/>
      <c r="AB245" s="325"/>
      <c r="AC245" s="325"/>
      <c r="AD245" s="325"/>
      <c r="AE245" s="326"/>
      <c r="AF245" s="324"/>
      <c r="AG245" s="325"/>
      <c r="AH245" s="325"/>
      <c r="AI245" s="325"/>
      <c r="AJ245" s="326"/>
      <c r="AK245" s="74"/>
    </row>
    <row r="246" spans="3:37">
      <c r="C246" s="628"/>
      <c r="D246" s="448" t="s">
        <v>488</v>
      </c>
      <c r="K246" s="1296"/>
      <c r="L246" s="1297"/>
      <c r="M246" s="1298"/>
      <c r="N246" s="1296"/>
      <c r="O246" s="1297"/>
      <c r="P246" s="1297"/>
      <c r="Q246" s="1297"/>
      <c r="R246" s="329"/>
      <c r="S246" s="327"/>
      <c r="T246" s="328"/>
      <c r="U246" s="450"/>
      <c r="V246" s="327"/>
      <c r="W246" s="328"/>
      <c r="X246" s="328"/>
      <c r="Y246" s="328"/>
      <c r="Z246" s="329"/>
      <c r="AA246" s="327"/>
      <c r="AB246" s="328"/>
      <c r="AC246" s="328"/>
      <c r="AD246" s="328"/>
      <c r="AE246" s="329"/>
      <c r="AF246" s="327"/>
      <c r="AG246" s="328"/>
      <c r="AH246" s="328"/>
      <c r="AI246" s="328"/>
      <c r="AJ246" s="329"/>
      <c r="AK246" s="74"/>
    </row>
    <row r="247" spans="3:37">
      <c r="C247" s="75"/>
      <c r="D247" s="448" t="s">
        <v>489</v>
      </c>
      <c r="K247" s="1291"/>
      <c r="L247" s="1292"/>
      <c r="M247" s="1293"/>
      <c r="N247" s="1291"/>
      <c r="O247" s="1292"/>
      <c r="P247" s="1292"/>
      <c r="Q247" s="1292"/>
      <c r="R247" s="332"/>
      <c r="S247" s="330"/>
      <c r="T247" s="331"/>
      <c r="U247" s="451"/>
      <c r="V247" s="330"/>
      <c r="W247" s="331"/>
      <c r="X247" s="331"/>
      <c r="Y247" s="331"/>
      <c r="Z247" s="332"/>
      <c r="AA247" s="330"/>
      <c r="AB247" s="331"/>
      <c r="AC247" s="331"/>
      <c r="AD247" s="331"/>
      <c r="AE247" s="332"/>
      <c r="AF247" s="330"/>
      <c r="AG247" s="331"/>
      <c r="AH247" s="331"/>
      <c r="AI247" s="331"/>
      <c r="AJ247" s="332"/>
      <c r="AK247" s="74"/>
    </row>
    <row r="248" spans="3:37">
      <c r="C248" s="75"/>
      <c r="D248" s="472" t="s">
        <v>490</v>
      </c>
      <c r="E248" s="89"/>
      <c r="F248" s="89"/>
      <c r="G248" s="89"/>
      <c r="H248" s="89"/>
      <c r="I248" s="89"/>
      <c r="J248" s="89"/>
      <c r="K248" s="270">
        <f t="shared" ref="K248:W248" si="37">+K245-K246-K247</f>
        <v>0</v>
      </c>
      <c r="L248" s="270">
        <f t="shared" si="37"/>
        <v>0</v>
      </c>
      <c r="M248" s="270">
        <f t="shared" si="37"/>
        <v>0</v>
      </c>
      <c r="N248" s="270">
        <f t="shared" si="37"/>
        <v>0</v>
      </c>
      <c r="O248" s="270">
        <f t="shared" si="37"/>
        <v>0</v>
      </c>
      <c r="P248" s="270">
        <f t="shared" si="37"/>
        <v>0</v>
      </c>
      <c r="Q248" s="270">
        <f t="shared" si="37"/>
        <v>0</v>
      </c>
      <c r="R248" s="296">
        <f t="shared" si="37"/>
        <v>0</v>
      </c>
      <c r="S248" s="296">
        <f t="shared" si="37"/>
        <v>0</v>
      </c>
      <c r="T248" s="296">
        <f t="shared" si="37"/>
        <v>0</v>
      </c>
      <c r="U248" s="296">
        <f t="shared" si="37"/>
        <v>0</v>
      </c>
      <c r="V248" s="296">
        <f t="shared" si="37"/>
        <v>0</v>
      </c>
      <c r="W248" s="296">
        <f t="shared" si="37"/>
        <v>0</v>
      </c>
      <c r="X248" s="296">
        <f t="shared" ref="X248:AJ248" si="38">+X245-X246-X247</f>
        <v>0</v>
      </c>
      <c r="Y248" s="296">
        <f t="shared" si="38"/>
        <v>0</v>
      </c>
      <c r="Z248" s="296">
        <f t="shared" si="38"/>
        <v>0</v>
      </c>
      <c r="AA248" s="296">
        <f t="shared" si="38"/>
        <v>0</v>
      </c>
      <c r="AB248" s="296">
        <f t="shared" si="38"/>
        <v>0</v>
      </c>
      <c r="AC248" s="296">
        <f t="shared" si="38"/>
        <v>0</v>
      </c>
      <c r="AD248" s="296">
        <f t="shared" si="38"/>
        <v>0</v>
      </c>
      <c r="AE248" s="296">
        <f t="shared" si="38"/>
        <v>0</v>
      </c>
      <c r="AF248" s="296">
        <f t="shared" si="38"/>
        <v>0</v>
      </c>
      <c r="AG248" s="296">
        <f t="shared" si="38"/>
        <v>0</v>
      </c>
      <c r="AH248" s="296">
        <f t="shared" si="38"/>
        <v>0</v>
      </c>
      <c r="AI248" s="296">
        <f t="shared" si="38"/>
        <v>0</v>
      </c>
      <c r="AJ248" s="296">
        <f t="shared" si="38"/>
        <v>0</v>
      </c>
      <c r="AK248" s="74"/>
    </row>
    <row r="249" spans="3:37">
      <c r="C249" s="75"/>
      <c r="D249" s="472"/>
      <c r="E249" s="89"/>
      <c r="F249" s="89"/>
      <c r="G249" s="89"/>
      <c r="H249" s="89"/>
      <c r="I249" s="89"/>
      <c r="J249" s="89"/>
      <c r="K249" s="270"/>
      <c r="L249" s="270"/>
      <c r="M249" s="270"/>
      <c r="N249" s="270"/>
      <c r="O249" s="270"/>
      <c r="P249" s="270"/>
      <c r="Q249" s="270"/>
      <c r="R249" s="296"/>
      <c r="S249" s="296"/>
      <c r="T249" s="296"/>
      <c r="U249" s="296"/>
      <c r="V249" s="296"/>
      <c r="W249" s="296"/>
      <c r="X249" s="296"/>
      <c r="Y249" s="296"/>
      <c r="Z249" s="296"/>
      <c r="AA249" s="296"/>
      <c r="AB249" s="296"/>
      <c r="AC249" s="296"/>
      <c r="AD249" s="296"/>
      <c r="AE249" s="296"/>
      <c r="AF249" s="296"/>
      <c r="AG249" s="296"/>
      <c r="AH249" s="296"/>
      <c r="AI249" s="296"/>
      <c r="AJ249" s="296"/>
      <c r="AK249" s="74"/>
    </row>
    <row r="250" spans="3:37">
      <c r="C250" s="75"/>
      <c r="D250" s="448" t="s">
        <v>272</v>
      </c>
      <c r="E250" s="89"/>
      <c r="F250" s="89"/>
      <c r="G250" s="89"/>
      <c r="H250" s="89"/>
      <c r="I250" s="89"/>
      <c r="J250" s="89"/>
      <c r="K250" s="1288"/>
      <c r="L250" s="1289"/>
      <c r="M250" s="1290"/>
      <c r="N250" s="1288"/>
      <c r="O250" s="1289"/>
      <c r="P250" s="1289"/>
      <c r="Q250" s="1289"/>
      <c r="R250" s="326"/>
      <c r="S250" s="324"/>
      <c r="T250" s="325"/>
      <c r="U250" s="449"/>
      <c r="V250" s="324"/>
      <c r="W250" s="325"/>
      <c r="X250" s="325"/>
      <c r="Y250" s="325"/>
      <c r="Z250" s="326"/>
      <c r="AA250" s="324"/>
      <c r="AB250" s="325"/>
      <c r="AC250" s="325"/>
      <c r="AD250" s="325"/>
      <c r="AE250" s="326"/>
      <c r="AF250" s="324"/>
      <c r="AG250" s="325"/>
      <c r="AH250" s="325"/>
      <c r="AI250" s="325"/>
      <c r="AJ250" s="326"/>
      <c r="AK250" s="74"/>
    </row>
    <row r="251" spans="3:37">
      <c r="C251" s="75"/>
      <c r="D251" s="448" t="s">
        <v>775</v>
      </c>
      <c r="E251" s="89"/>
      <c r="F251" s="89"/>
      <c r="G251" s="89"/>
      <c r="H251" s="89"/>
      <c r="I251" s="89"/>
      <c r="J251" s="89"/>
      <c r="K251" s="1291"/>
      <c r="L251" s="1292"/>
      <c r="M251" s="1293"/>
      <c r="N251" s="1291"/>
      <c r="O251" s="1292"/>
      <c r="P251" s="1292"/>
      <c r="Q251" s="1292"/>
      <c r="R251" s="332"/>
      <c r="S251" s="330"/>
      <c r="T251" s="331"/>
      <c r="U251" s="451"/>
      <c r="V251" s="330"/>
      <c r="W251" s="331"/>
      <c r="X251" s="331"/>
      <c r="Y251" s="331"/>
      <c r="Z251" s="332"/>
      <c r="AA251" s="330"/>
      <c r="AB251" s="331"/>
      <c r="AC251" s="331"/>
      <c r="AD251" s="331"/>
      <c r="AE251" s="332"/>
      <c r="AF251" s="330"/>
      <c r="AG251" s="331"/>
      <c r="AH251" s="331"/>
      <c r="AI251" s="331"/>
      <c r="AJ251" s="332"/>
      <c r="AK251" s="74"/>
    </row>
    <row r="252" spans="3:37">
      <c r="C252" s="81"/>
      <c r="D252" s="68"/>
      <c r="E252" s="68"/>
      <c r="F252" s="68"/>
      <c r="G252" s="68"/>
      <c r="H252" s="68"/>
      <c r="I252" s="68"/>
      <c r="J252" s="68"/>
      <c r="K252" s="306"/>
      <c r="L252" s="306"/>
      <c r="M252" s="306"/>
      <c r="N252" s="306"/>
      <c r="O252" s="306"/>
      <c r="P252" s="306"/>
      <c r="Q252" s="306"/>
      <c r="R252" s="629"/>
      <c r="S252" s="629"/>
      <c r="T252" s="629"/>
      <c r="U252" s="629"/>
      <c r="V252" s="629"/>
      <c r="W252" s="629"/>
      <c r="X252" s="629"/>
      <c r="Y252" s="629"/>
      <c r="Z252" s="629"/>
      <c r="AA252" s="629"/>
      <c r="AB252" s="629"/>
      <c r="AC252" s="629"/>
      <c r="AD252" s="629"/>
      <c r="AE252" s="629"/>
      <c r="AF252" s="629"/>
      <c r="AG252" s="629"/>
      <c r="AH252" s="629"/>
      <c r="AI252" s="629"/>
      <c r="AJ252" s="629"/>
      <c r="AK252" s="83"/>
    </row>
    <row r="253" spans="3:37">
      <c r="K253" s="431"/>
      <c r="L253" s="431"/>
      <c r="M253" s="431"/>
      <c r="N253" s="431"/>
      <c r="O253" s="431"/>
      <c r="P253" s="431"/>
      <c r="Q253" s="431"/>
      <c r="R253" s="431"/>
      <c r="S253" s="293"/>
      <c r="T253" s="293"/>
      <c r="U253" s="293"/>
      <c r="V253" s="293"/>
      <c r="W253" s="293"/>
      <c r="X253" s="293"/>
      <c r="Y253" s="293"/>
      <c r="Z253" s="293"/>
      <c r="AA253" s="293"/>
      <c r="AB253" s="293"/>
      <c r="AC253" s="293"/>
      <c r="AD253" s="293"/>
      <c r="AE253" s="293"/>
      <c r="AF253" s="293"/>
      <c r="AG253" s="293"/>
      <c r="AH253" s="293"/>
      <c r="AI253" s="293"/>
      <c r="AJ253" s="293"/>
    </row>
    <row r="254" spans="3:37">
      <c r="K254" s="315"/>
      <c r="L254" s="315"/>
      <c r="M254" s="315"/>
      <c r="N254" s="315"/>
      <c r="O254" s="315"/>
      <c r="P254" s="315"/>
      <c r="Q254" s="315"/>
      <c r="R254" s="315"/>
      <c r="S254" s="316"/>
      <c r="T254" s="316"/>
      <c r="U254" s="316"/>
      <c r="V254" s="316"/>
      <c r="W254" s="316"/>
      <c r="X254" s="316"/>
      <c r="Y254" s="316"/>
      <c r="Z254" s="316"/>
      <c r="AA254" s="316"/>
      <c r="AB254" s="316"/>
    </row>
    <row r="255" spans="3:37">
      <c r="K255" s="315"/>
      <c r="L255" s="315"/>
      <c r="M255" s="315"/>
      <c r="N255" s="315"/>
      <c r="O255" s="315"/>
      <c r="P255" s="315"/>
      <c r="Q255" s="315"/>
      <c r="R255" s="315"/>
      <c r="S255" s="316"/>
      <c r="T255" s="316"/>
      <c r="U255" s="316"/>
      <c r="V255" s="316"/>
      <c r="W255" s="316"/>
      <c r="X255" s="316"/>
      <c r="Y255" s="316"/>
      <c r="Z255" s="316"/>
      <c r="AA255" s="316"/>
      <c r="AB255" s="316"/>
    </row>
    <row r="256" spans="3:37">
      <c r="K256" s="315"/>
      <c r="L256" s="315"/>
      <c r="M256" s="315"/>
      <c r="N256" s="315"/>
      <c r="O256" s="315"/>
      <c r="P256" s="315"/>
      <c r="Q256" s="315"/>
      <c r="R256" s="315"/>
      <c r="S256" s="316"/>
      <c r="T256" s="316"/>
      <c r="U256" s="316"/>
      <c r="V256" s="316"/>
      <c r="W256" s="316"/>
      <c r="X256" s="316"/>
      <c r="Y256" s="316"/>
      <c r="Z256" s="316"/>
      <c r="AA256" s="316"/>
      <c r="AB256" s="316"/>
    </row>
    <row r="257" spans="11:28">
      <c r="K257" s="315"/>
      <c r="L257" s="315"/>
      <c r="M257" s="315"/>
      <c r="N257" s="315"/>
      <c r="O257" s="315"/>
      <c r="P257" s="315"/>
      <c r="Q257" s="315"/>
      <c r="R257" s="315"/>
      <c r="S257" s="316"/>
      <c r="T257" s="316"/>
      <c r="U257" s="316"/>
      <c r="V257" s="316"/>
      <c r="W257" s="316"/>
      <c r="X257" s="316"/>
      <c r="Y257" s="316"/>
      <c r="Z257" s="316"/>
      <c r="AA257" s="316"/>
      <c r="AB257" s="316"/>
    </row>
    <row r="258" spans="11:28">
      <c r="K258" s="315"/>
      <c r="L258" s="315"/>
      <c r="M258" s="315"/>
      <c r="N258" s="315"/>
      <c r="O258" s="315"/>
      <c r="P258" s="315"/>
      <c r="Q258" s="315"/>
      <c r="R258" s="315"/>
      <c r="S258" s="316"/>
      <c r="T258" s="316"/>
      <c r="U258" s="316"/>
      <c r="V258" s="316"/>
      <c r="W258" s="316"/>
      <c r="X258" s="316"/>
      <c r="Y258" s="316"/>
      <c r="Z258" s="316"/>
      <c r="AA258" s="316"/>
      <c r="AB258" s="316"/>
    </row>
    <row r="259" spans="11:28">
      <c r="K259" s="315"/>
      <c r="L259" s="315"/>
      <c r="M259" s="315"/>
      <c r="N259" s="315"/>
      <c r="O259" s="315"/>
      <c r="P259" s="315"/>
      <c r="Q259" s="315"/>
      <c r="R259" s="315"/>
      <c r="S259" s="316"/>
      <c r="T259" s="316"/>
      <c r="U259" s="316"/>
      <c r="V259" s="316"/>
      <c r="W259" s="316"/>
      <c r="X259" s="316"/>
      <c r="Y259" s="316"/>
      <c r="Z259" s="316"/>
      <c r="AA259" s="316"/>
      <c r="AB259" s="316"/>
    </row>
    <row r="260" spans="11:28">
      <c r="K260" s="315"/>
      <c r="L260" s="315"/>
      <c r="M260" s="315"/>
      <c r="N260" s="315"/>
      <c r="O260" s="315"/>
      <c r="P260" s="315"/>
      <c r="Q260" s="315"/>
      <c r="R260" s="315"/>
      <c r="S260" s="316"/>
      <c r="T260" s="316"/>
      <c r="U260" s="316"/>
      <c r="V260" s="316"/>
      <c r="W260" s="316"/>
      <c r="X260" s="316"/>
      <c r="Y260" s="316"/>
      <c r="Z260" s="316"/>
      <c r="AA260" s="316"/>
      <c r="AB260" s="316"/>
    </row>
    <row r="261" spans="11:28">
      <c r="K261" s="315"/>
      <c r="L261" s="315"/>
      <c r="M261" s="315"/>
      <c r="N261" s="315"/>
      <c r="O261" s="315"/>
      <c r="P261" s="315"/>
      <c r="Q261" s="315"/>
      <c r="R261" s="315"/>
      <c r="S261" s="316"/>
      <c r="T261" s="316"/>
      <c r="U261" s="316"/>
      <c r="V261" s="316"/>
      <c r="W261" s="316"/>
      <c r="X261" s="316"/>
      <c r="Y261" s="316"/>
      <c r="Z261" s="316"/>
      <c r="AA261" s="316"/>
      <c r="AB261" s="316"/>
    </row>
    <row r="262" spans="11:28">
      <c r="K262" s="315"/>
      <c r="L262" s="315"/>
      <c r="M262" s="315"/>
      <c r="N262" s="315"/>
      <c r="O262" s="315"/>
      <c r="P262" s="315"/>
      <c r="Q262" s="315"/>
      <c r="R262" s="315"/>
      <c r="S262" s="316"/>
      <c r="T262" s="316"/>
      <c r="U262" s="316"/>
      <c r="V262" s="316"/>
      <c r="W262" s="316"/>
      <c r="X262" s="316"/>
      <c r="Y262" s="316"/>
      <c r="Z262" s="316"/>
      <c r="AA262" s="316"/>
      <c r="AB262" s="316"/>
    </row>
    <row r="263" spans="11:28">
      <c r="K263" s="315"/>
      <c r="L263" s="315"/>
      <c r="M263" s="315"/>
      <c r="N263" s="315"/>
      <c r="O263" s="315"/>
      <c r="P263" s="315"/>
      <c r="Q263" s="315"/>
      <c r="R263" s="315"/>
      <c r="S263" s="316"/>
      <c r="T263" s="316"/>
      <c r="U263" s="316"/>
      <c r="V263" s="316"/>
      <c r="W263" s="316"/>
      <c r="X263" s="316"/>
      <c r="Y263" s="316"/>
      <c r="Z263" s="316"/>
      <c r="AA263" s="316"/>
      <c r="AB263" s="316"/>
    </row>
    <row r="264" spans="11:28">
      <c r="K264" s="315"/>
      <c r="L264" s="315"/>
      <c r="M264" s="315"/>
      <c r="N264" s="315"/>
      <c r="O264" s="315"/>
      <c r="P264" s="315"/>
      <c r="Q264" s="315"/>
      <c r="R264" s="315"/>
      <c r="S264" s="316"/>
      <c r="T264" s="316"/>
      <c r="U264" s="316"/>
      <c r="V264" s="316"/>
      <c r="W264" s="316"/>
      <c r="X264" s="316"/>
      <c r="Y264" s="316"/>
      <c r="Z264" s="316"/>
      <c r="AA264" s="316"/>
      <c r="AB264" s="316"/>
    </row>
    <row r="265" spans="11:28">
      <c r="K265" s="315"/>
      <c r="L265" s="315"/>
      <c r="M265" s="315"/>
      <c r="N265" s="315"/>
      <c r="O265" s="315"/>
      <c r="P265" s="315"/>
      <c r="Q265" s="315"/>
      <c r="R265" s="315"/>
      <c r="S265" s="316"/>
      <c r="T265" s="316"/>
      <c r="U265" s="316"/>
      <c r="V265" s="316"/>
      <c r="W265" s="316"/>
      <c r="X265" s="316"/>
      <c r="Y265" s="316"/>
      <c r="Z265" s="316"/>
      <c r="AA265" s="316"/>
      <c r="AB265" s="316"/>
    </row>
    <row r="266" spans="11:28">
      <c r="K266" s="315"/>
      <c r="L266" s="315"/>
      <c r="M266" s="315"/>
      <c r="N266" s="315"/>
      <c r="O266" s="315"/>
      <c r="P266" s="315"/>
      <c r="Q266" s="315"/>
      <c r="R266" s="315"/>
      <c r="S266" s="316"/>
      <c r="T266" s="316"/>
      <c r="U266" s="316"/>
      <c r="V266" s="316"/>
      <c r="W266" s="316"/>
      <c r="X266" s="316"/>
      <c r="Y266" s="316"/>
      <c r="Z266" s="316"/>
      <c r="AA266" s="316"/>
      <c r="AB266" s="316"/>
    </row>
    <row r="267" spans="11:28">
      <c r="K267" s="67"/>
      <c r="L267" s="67"/>
      <c r="M267" s="67"/>
      <c r="N267" s="67"/>
      <c r="O267" s="67"/>
      <c r="P267" s="67"/>
      <c r="Q267" s="67"/>
      <c r="R267" s="67"/>
    </row>
    <row r="268" spans="11:28">
      <c r="K268" s="67"/>
      <c r="L268" s="67"/>
      <c r="M268" s="67"/>
      <c r="N268" s="67"/>
      <c r="O268" s="67"/>
      <c r="P268" s="67"/>
      <c r="Q268" s="67"/>
      <c r="R268" s="67"/>
    </row>
    <row r="269" spans="11:28">
      <c r="K269" s="67"/>
      <c r="L269" s="67"/>
      <c r="M269" s="67"/>
      <c r="N269" s="67"/>
      <c r="O269" s="67"/>
      <c r="P269" s="67"/>
      <c r="Q269" s="67"/>
      <c r="R269" s="67"/>
    </row>
    <row r="270" spans="11:28">
      <c r="K270" s="67"/>
      <c r="L270" s="67"/>
      <c r="M270" s="67"/>
      <c r="N270" s="67"/>
      <c r="O270" s="67"/>
      <c r="P270" s="67"/>
      <c r="Q270" s="67"/>
      <c r="R270" s="67"/>
    </row>
    <row r="271" spans="11:28">
      <c r="K271" s="67"/>
      <c r="L271" s="67"/>
      <c r="M271" s="67"/>
      <c r="N271" s="67"/>
      <c r="O271" s="67"/>
      <c r="P271" s="67"/>
      <c r="Q271" s="67"/>
      <c r="R271" s="67"/>
    </row>
    <row r="272" spans="11:28">
      <c r="K272" s="67"/>
      <c r="L272" s="67"/>
      <c r="M272" s="67"/>
      <c r="N272" s="67"/>
      <c r="O272" s="67"/>
      <c r="P272" s="67"/>
      <c r="Q272" s="67"/>
      <c r="R272" s="67"/>
    </row>
    <row r="273" spans="11:18">
      <c r="K273" s="67"/>
      <c r="L273" s="67"/>
      <c r="M273" s="67"/>
      <c r="N273" s="67"/>
      <c r="O273" s="67"/>
      <c r="P273" s="67"/>
      <c r="Q273" s="67"/>
      <c r="R273" s="67"/>
    </row>
    <row r="274" spans="11:18">
      <c r="K274" s="67"/>
      <c r="L274" s="67"/>
      <c r="M274" s="67"/>
      <c r="N274" s="67"/>
      <c r="O274" s="67"/>
      <c r="P274" s="67"/>
      <c r="Q274" s="67"/>
      <c r="R274" s="67"/>
    </row>
    <row r="275" spans="11:18">
      <c r="K275" s="67"/>
      <c r="L275" s="67"/>
      <c r="M275" s="67"/>
      <c r="N275" s="67"/>
      <c r="O275" s="67"/>
      <c r="P275" s="67"/>
      <c r="Q275" s="67"/>
      <c r="R275" s="67"/>
    </row>
    <row r="276" spans="11:18">
      <c r="K276" s="67"/>
      <c r="L276" s="67"/>
      <c r="M276" s="67"/>
      <c r="N276" s="67"/>
      <c r="O276" s="67"/>
      <c r="P276" s="67"/>
      <c r="Q276" s="67"/>
      <c r="R276" s="67"/>
    </row>
    <row r="277" spans="11:18">
      <c r="K277" s="67"/>
      <c r="L277" s="67"/>
      <c r="M277" s="67"/>
      <c r="N277" s="67"/>
      <c r="O277" s="67"/>
      <c r="P277" s="67"/>
      <c r="Q277" s="67"/>
      <c r="R277" s="67"/>
    </row>
    <row r="278" spans="11:18">
      <c r="K278" s="196"/>
      <c r="L278" s="196"/>
      <c r="M278" s="196"/>
    </row>
    <row r="279" spans="11:18">
      <c r="K279" s="196"/>
      <c r="L279" s="196"/>
      <c r="M279" s="196"/>
    </row>
    <row r="280" spans="11:18">
      <c r="K280" s="196"/>
      <c r="L280" s="196"/>
      <c r="M280" s="196"/>
    </row>
    <row r="281" spans="11:18">
      <c r="K281" s="196"/>
      <c r="L281" s="196"/>
      <c r="M281" s="196"/>
    </row>
    <row r="282" spans="11:18">
      <c r="K282" s="196"/>
      <c r="L282" s="196"/>
      <c r="M282" s="196"/>
    </row>
    <row r="283" spans="11:18">
      <c r="K283" s="196"/>
      <c r="L283" s="196"/>
      <c r="M283" s="196"/>
    </row>
    <row r="284" spans="11:18">
      <c r="K284" s="196"/>
      <c r="L284" s="196"/>
      <c r="M284" s="196"/>
    </row>
    <row r="285" spans="11:18">
      <c r="K285" s="196"/>
      <c r="L285" s="196"/>
      <c r="M285" s="196"/>
    </row>
    <row r="286" spans="11:18">
      <c r="K286" s="196"/>
      <c r="L286" s="196"/>
      <c r="M286" s="196"/>
    </row>
    <row r="287" spans="11:18">
      <c r="K287" s="196"/>
      <c r="L287" s="196"/>
      <c r="M287" s="196"/>
    </row>
    <row r="288" spans="11:18">
      <c r="K288" s="196"/>
      <c r="L288" s="196"/>
      <c r="M288" s="196"/>
    </row>
    <row r="289" spans="11:13">
      <c r="K289" s="196"/>
      <c r="L289" s="196"/>
      <c r="M289" s="196"/>
    </row>
    <row r="290" spans="11:13">
      <c r="K290" s="196"/>
      <c r="L290" s="196"/>
      <c r="M290" s="196"/>
    </row>
    <row r="291" spans="11:13">
      <c r="K291" s="196"/>
      <c r="L291" s="196"/>
      <c r="M291" s="196"/>
    </row>
    <row r="292" spans="11:13">
      <c r="K292" s="196"/>
      <c r="L292" s="196"/>
      <c r="M292" s="196"/>
    </row>
    <row r="293" spans="11:13">
      <c r="K293" s="196"/>
      <c r="L293" s="196"/>
      <c r="M293" s="196"/>
    </row>
    <row r="294" spans="11:13">
      <c r="K294" s="196"/>
      <c r="L294" s="196"/>
      <c r="M294" s="196"/>
    </row>
    <row r="295" spans="11:13">
      <c r="K295" s="196"/>
      <c r="L295" s="196"/>
      <c r="M295" s="196"/>
    </row>
    <row r="296" spans="11:13">
      <c r="K296" s="196"/>
      <c r="L296" s="196"/>
      <c r="M296" s="196"/>
    </row>
    <row r="297" spans="11:13">
      <c r="K297" s="196"/>
      <c r="L297" s="196"/>
      <c r="M297" s="196"/>
    </row>
    <row r="298" spans="11:13">
      <c r="K298" s="196"/>
      <c r="L298" s="196"/>
      <c r="M298" s="196"/>
    </row>
    <row r="299" spans="11:13">
      <c r="K299" s="196"/>
      <c r="L299" s="196"/>
      <c r="M299" s="196"/>
    </row>
    <row r="300" spans="11:13">
      <c r="K300" s="196"/>
      <c r="L300" s="196"/>
      <c r="M300" s="196"/>
    </row>
    <row r="301" spans="11:13">
      <c r="K301" s="196"/>
      <c r="L301" s="196"/>
      <c r="M301" s="196"/>
    </row>
    <row r="302" spans="11:13">
      <c r="K302" s="196"/>
      <c r="L302" s="196"/>
      <c r="M302" s="196"/>
    </row>
    <row r="303" spans="11:13">
      <c r="K303" s="196"/>
      <c r="L303" s="196"/>
      <c r="M303" s="196"/>
    </row>
    <row r="304" spans="11:13">
      <c r="K304" s="196"/>
      <c r="L304" s="196"/>
      <c r="M304" s="196"/>
    </row>
    <row r="305" spans="11:13">
      <c r="K305" s="196"/>
      <c r="L305" s="196"/>
      <c r="M305" s="196"/>
    </row>
    <row r="306" spans="11:13">
      <c r="K306" s="196"/>
      <c r="L306" s="196"/>
      <c r="M306" s="196"/>
    </row>
    <row r="307" spans="11:13">
      <c r="K307" s="196"/>
      <c r="L307" s="196"/>
      <c r="M307" s="196"/>
    </row>
    <row r="308" spans="11:13">
      <c r="K308" s="196"/>
      <c r="L308" s="196"/>
      <c r="M308" s="196"/>
    </row>
    <row r="309" spans="11:13">
      <c r="K309" s="196"/>
      <c r="L309" s="196"/>
      <c r="M309" s="196"/>
    </row>
    <row r="310" spans="11:13">
      <c r="K310" s="196"/>
      <c r="L310" s="196"/>
      <c r="M310" s="196"/>
    </row>
    <row r="311" spans="11:13">
      <c r="K311" s="196"/>
      <c r="L311" s="196"/>
      <c r="M311" s="196"/>
    </row>
    <row r="312" spans="11:13">
      <c r="K312" s="196"/>
      <c r="L312" s="196"/>
      <c r="M312" s="196"/>
    </row>
    <row r="313" spans="11:13">
      <c r="K313" s="196"/>
      <c r="L313" s="196"/>
      <c r="M313" s="196"/>
    </row>
    <row r="314" spans="11:13">
      <c r="K314" s="196"/>
      <c r="L314" s="196"/>
      <c r="M314" s="196"/>
    </row>
    <row r="315" spans="11:13">
      <c r="K315" s="196"/>
      <c r="L315" s="196"/>
      <c r="M315" s="196"/>
    </row>
    <row r="316" spans="11:13">
      <c r="K316" s="196"/>
      <c r="L316" s="196"/>
      <c r="M316" s="196"/>
    </row>
    <row r="317" spans="11:13">
      <c r="K317" s="196"/>
      <c r="L317" s="196"/>
      <c r="M317" s="196"/>
    </row>
    <row r="318" spans="11:13">
      <c r="K318" s="196"/>
      <c r="L318" s="196"/>
      <c r="M318" s="196"/>
    </row>
    <row r="319" spans="11:13">
      <c r="K319" s="196"/>
      <c r="L319" s="196"/>
      <c r="M319" s="196"/>
    </row>
    <row r="320" spans="11:13">
      <c r="K320" s="196"/>
      <c r="L320" s="196"/>
      <c r="M320" s="196"/>
    </row>
    <row r="321" spans="11:13">
      <c r="K321" s="196"/>
      <c r="L321" s="196"/>
      <c r="M321" s="196"/>
    </row>
    <row r="322" spans="11:13">
      <c r="K322" s="196"/>
      <c r="L322" s="196"/>
      <c r="M322" s="196"/>
    </row>
    <row r="323" spans="11:13">
      <c r="K323" s="196"/>
      <c r="L323" s="196"/>
      <c r="M323" s="196"/>
    </row>
    <row r="324" spans="11:13">
      <c r="K324" s="196"/>
      <c r="L324" s="196"/>
      <c r="M324" s="196"/>
    </row>
    <row r="325" spans="11:13">
      <c r="K325" s="196"/>
      <c r="L325" s="196"/>
      <c r="M325" s="196"/>
    </row>
  </sheetData>
  <mergeCells count="16">
    <mergeCell ref="B3:F3"/>
    <mergeCell ref="D149:H149"/>
    <mergeCell ref="D164:H164"/>
    <mergeCell ref="D194:H194"/>
    <mergeCell ref="D74:H74"/>
    <mergeCell ref="D89:H89"/>
    <mergeCell ref="D119:H119"/>
    <mergeCell ref="D104:H104"/>
    <mergeCell ref="D29:H29"/>
    <mergeCell ref="D44:H44"/>
    <mergeCell ref="D59:H59"/>
    <mergeCell ref="D209:H209"/>
    <mergeCell ref="D224:H224"/>
    <mergeCell ref="D239:H239"/>
    <mergeCell ref="D179:H179"/>
    <mergeCell ref="D134:H134"/>
  </mergeCells>
  <phoneticPr fontId="0" type="noConversion"/>
  <conditionalFormatting sqref="R24:AJ24">
    <cfRule type="containsText" dxfId="26" priority="1" operator="containsText" text="FLAG">
      <formula>NOT(ISERROR(SEARCH("FLAG",R24)))</formula>
    </cfRule>
  </conditionalFormatting>
  <hyperlinks>
    <hyperlink ref="B3" location="HL_Home" tooltip="Go to Table of Contents" display="HL_Home" xr:uid="{00000000-0004-0000-0D00-000000000000}"/>
  </hyperlinks>
  <pageMargins left="0.39370078740157499" right="0.39370078740157499" top="0.59055118110236249" bottom="0.98425196850393748" header="0" footer="0.31496062992125973"/>
  <pageSetup paperSize="9" scale="73" orientation="landscape" r:id="rId1"/>
  <headerFooter alignWithMargins="0">
    <oddHeader>&amp;C&amp;"Calibri"&amp;14&amp;KFF0000 OFFICIAL&amp;1#_x000D_&amp;"Arial"&amp;8&amp;K000000&amp;"Arial"&amp;8&amp;K000000&amp;B&amp;"Arial"&amp;12&amp;Kff0000​‌OFFICIAL‌​</oddHeader>
    <oddFooter>&amp;C&amp;"Arial,Bold"&amp;8Sheet n.
Page &amp;P of &amp;N&amp;L&amp;"Arial,Bold"&amp;7&amp;F
&amp;A
Printed: &amp;T on &amp;D</oddFooter>
  </headerFooter>
  <rowBreaks count="7" manualBreakCount="7">
    <brk id="57" min="1" max="23" man="1"/>
    <brk id="87" min="1" max="23" man="1"/>
    <brk id="117" min="1" max="23" man="1"/>
    <brk id="147" min="1" max="23" man="1"/>
    <brk id="177" min="1" max="23" man="1"/>
    <brk id="207" min="1" max="23" man="1"/>
    <brk id="237" min="1" max="2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9">
    <pageSetUpPr autoPageBreaks="0"/>
  </sheetPr>
  <dimension ref="A1:AL605"/>
  <sheetViews>
    <sheetView showGridLines="0" zoomScaleNormal="100" workbookViewId="0">
      <pane ySplit="7" topLeftCell="A8" activePane="bottomLeft" state="frozen"/>
      <selection activeCell="AN32" sqref="AN32"/>
      <selection pane="bottomLeft" activeCell="Z30" sqref="Z30"/>
    </sheetView>
  </sheetViews>
  <sheetFormatPr defaultColWidth="10.83203125" defaultRowHeight="12" outlineLevelCol="1"/>
  <cols>
    <col min="1" max="2" width="3.83203125" style="63" customWidth="1"/>
    <col min="3" max="3" width="3.83203125" style="57" customWidth="1"/>
    <col min="4" max="4" width="3.83203125" style="63" customWidth="1"/>
    <col min="5" max="5" width="4.6640625" style="63" customWidth="1"/>
    <col min="6" max="6" width="15.1640625" style="63" customWidth="1"/>
    <col min="7" max="7" width="12.33203125" style="63" customWidth="1"/>
    <col min="8" max="8" width="12.6640625" style="316" bestFit="1" customWidth="1"/>
    <col min="9" max="9" width="11.1640625" style="63" customWidth="1"/>
    <col min="10" max="10" width="11.1640625" style="63" hidden="1" customWidth="1" outlineLevel="1"/>
    <col min="11" max="20" width="10.83203125" style="63" hidden="1" customWidth="1" outlineLevel="1"/>
    <col min="21" max="21" width="10.83203125" style="63" customWidth="1" collapsed="1"/>
    <col min="22" max="28" width="10.83203125" style="63" customWidth="1"/>
    <col min="29" max="30" width="10.33203125" style="63" customWidth="1"/>
    <col min="31" max="36" width="10.83203125" style="63" customWidth="1"/>
    <col min="37" max="37" width="4.5" style="63" customWidth="1"/>
    <col min="38" max="16384" width="10.83203125" style="63"/>
  </cols>
  <sheetData>
    <row r="1" spans="1:37" ht="15">
      <c r="A1" s="139">
        <v>80</v>
      </c>
      <c r="B1" s="140" t="s">
        <v>965</v>
      </c>
      <c r="C1" s="63"/>
      <c r="M1" s="196"/>
      <c r="N1" s="196"/>
      <c r="O1" s="196"/>
      <c r="P1" s="310"/>
      <c r="Q1" s="270"/>
      <c r="S1" s="299"/>
      <c r="W1" s="196"/>
      <c r="X1" s="196"/>
    </row>
    <row r="2" spans="1:37" ht="12.75">
      <c r="B2" s="142" t="str">
        <f>+Contents!H7</f>
        <v>Melbourne Water</v>
      </c>
      <c r="C2" s="63"/>
      <c r="M2" s="196"/>
      <c r="N2" s="196"/>
      <c r="O2" s="196"/>
      <c r="P2" s="299"/>
      <c r="Q2" s="431"/>
      <c r="S2" s="299"/>
    </row>
    <row r="3" spans="1:37">
      <c r="B3" s="2075" t="s">
        <v>138</v>
      </c>
      <c r="C3" s="2075"/>
      <c r="D3" s="2075"/>
      <c r="E3" s="2075"/>
      <c r="F3" s="2075"/>
      <c r="G3" s="146"/>
      <c r="Q3" s="67"/>
    </row>
    <row r="4" spans="1:37">
      <c r="A4" s="147"/>
      <c r="B4" s="65"/>
      <c r="C4" s="66"/>
      <c r="F4" s="57"/>
      <c r="K4" s="1208"/>
      <c r="L4" s="1209"/>
      <c r="M4" s="1210"/>
      <c r="N4" s="1208"/>
      <c r="O4" s="1211"/>
      <c r="P4" s="1209"/>
      <c r="Q4" s="1211"/>
      <c r="R4" s="1210"/>
      <c r="S4" s="1208"/>
      <c r="T4" s="1209"/>
      <c r="U4" s="1211"/>
      <c r="V4" s="1208"/>
      <c r="W4" s="1211"/>
      <c r="X4" s="1209" t="s">
        <v>139</v>
      </c>
      <c r="Y4" s="1211"/>
      <c r="Z4" s="1210"/>
      <c r="AA4" s="1287"/>
      <c r="AB4" s="721"/>
      <c r="AC4" s="1209" t="s">
        <v>140</v>
      </c>
      <c r="AD4" s="721"/>
      <c r="AE4" s="1207"/>
      <c r="AF4" s="1287"/>
      <c r="AG4" s="721"/>
      <c r="AH4" s="1209" t="s">
        <v>141</v>
      </c>
      <c r="AI4" s="721"/>
      <c r="AJ4" s="1207"/>
    </row>
    <row r="5" spans="1:37">
      <c r="C5" s="63"/>
    </row>
    <row r="6" spans="1:37">
      <c r="B6" s="148"/>
      <c r="C6" s="63"/>
      <c r="F6" s="149" t="s">
        <v>142</v>
      </c>
      <c r="K6" s="59"/>
      <c r="L6" s="59"/>
      <c r="M6" s="59"/>
      <c r="N6" s="59"/>
      <c r="O6" s="59"/>
      <c r="P6" s="59"/>
      <c r="Q6" s="59"/>
      <c r="R6" s="59"/>
      <c r="S6" s="59"/>
      <c r="T6" s="59"/>
      <c r="U6" s="59">
        <v>2021</v>
      </c>
      <c r="V6" s="59">
        <v>2022</v>
      </c>
      <c r="W6" s="59">
        <v>2023</v>
      </c>
      <c r="X6" s="60">
        <v>2024</v>
      </c>
      <c r="Y6" s="60">
        <v>2025</v>
      </c>
      <c r="Z6" s="60">
        <v>2026</v>
      </c>
      <c r="AA6" s="60">
        <v>2027</v>
      </c>
      <c r="AB6" s="60">
        <v>2028</v>
      </c>
      <c r="AC6" s="60">
        <v>2029</v>
      </c>
      <c r="AD6" s="60">
        <v>2030</v>
      </c>
      <c r="AE6" s="60">
        <v>2031</v>
      </c>
      <c r="AF6" s="60">
        <f>AE6+1</f>
        <v>2032</v>
      </c>
      <c r="AG6" s="60">
        <f>AF6+1</f>
        <v>2033</v>
      </c>
      <c r="AH6" s="60">
        <f>AG6+1</f>
        <v>2034</v>
      </c>
      <c r="AI6" s="60">
        <f>AH6+1</f>
        <v>2035</v>
      </c>
      <c r="AJ6" s="60">
        <f>AI6+1</f>
        <v>2036</v>
      </c>
    </row>
    <row r="7" spans="1:37">
      <c r="B7" s="150"/>
      <c r="C7" s="68"/>
      <c r="D7" s="68"/>
      <c r="E7" s="68"/>
      <c r="F7" s="151" t="s">
        <v>143</v>
      </c>
      <c r="G7" s="68"/>
      <c r="H7" s="453"/>
      <c r="I7" s="631"/>
      <c r="J7" s="631"/>
      <c r="K7" s="61"/>
      <c r="L7" s="61"/>
      <c r="M7" s="61"/>
      <c r="N7" s="61"/>
      <c r="O7" s="61"/>
      <c r="P7" s="61"/>
      <c r="Q7" s="61"/>
      <c r="R7" s="61"/>
      <c r="S7" s="61"/>
      <c r="T7" s="61"/>
      <c r="U7" s="61" t="str">
        <f t="shared" ref="U7:AJ7" si="0">+CONCATENATE(U6-1,"-",RIGHT(U6,2))</f>
        <v>2020-21</v>
      </c>
      <c r="V7" s="61" t="str">
        <f t="shared" si="0"/>
        <v>2021-22</v>
      </c>
      <c r="W7" s="61" t="str">
        <f t="shared" si="0"/>
        <v>2022-23</v>
      </c>
      <c r="X7" s="61" t="str">
        <f t="shared" si="0"/>
        <v>2023-24</v>
      </c>
      <c r="Y7" s="61" t="str">
        <f t="shared" si="0"/>
        <v>2024-25</v>
      </c>
      <c r="Z7" s="61" t="str">
        <f t="shared" si="0"/>
        <v>2025-26</v>
      </c>
      <c r="AA7" s="61" t="str">
        <f t="shared" si="0"/>
        <v>2026-27</v>
      </c>
      <c r="AB7" s="61" t="str">
        <f t="shared" si="0"/>
        <v>2027-28</v>
      </c>
      <c r="AC7" s="61" t="str">
        <f t="shared" si="0"/>
        <v>2028-29</v>
      </c>
      <c r="AD7" s="61" t="str">
        <f t="shared" si="0"/>
        <v>2029-30</v>
      </c>
      <c r="AE7" s="61" t="str">
        <f t="shared" si="0"/>
        <v>2030-31</v>
      </c>
      <c r="AF7" s="61" t="str">
        <f t="shared" si="0"/>
        <v>2031-32</v>
      </c>
      <c r="AG7" s="61" t="str">
        <f t="shared" si="0"/>
        <v>2032-33</v>
      </c>
      <c r="AH7" s="61" t="str">
        <f t="shared" si="0"/>
        <v>2033-34</v>
      </c>
      <c r="AI7" s="61" t="str">
        <f t="shared" si="0"/>
        <v>2034-35</v>
      </c>
      <c r="AJ7" s="61" t="str">
        <f t="shared" si="0"/>
        <v>2035-36</v>
      </c>
    </row>
    <row r="8" spans="1:37" ht="12.75" thickBot="1">
      <c r="C8" s="63"/>
      <c r="I8" s="196"/>
      <c r="J8" s="196"/>
      <c r="S8" s="496"/>
      <c r="T8" s="496"/>
      <c r="U8" s="496"/>
      <c r="V8" s="496"/>
      <c r="W8" s="496"/>
      <c r="X8" s="496"/>
      <c r="Y8" s="496"/>
      <c r="Z8" s="496"/>
      <c r="AA8" s="496"/>
      <c r="AB8" s="496"/>
      <c r="AC8" s="496"/>
      <c r="AD8" s="496"/>
      <c r="AE8" s="496"/>
      <c r="AF8" s="496"/>
      <c r="AG8" s="496"/>
      <c r="AH8" s="496"/>
      <c r="AI8" s="496"/>
      <c r="AJ8" s="496"/>
    </row>
    <row r="9" spans="1:37">
      <c r="C9" s="152"/>
      <c r="D9" s="153"/>
      <c r="E9" s="153"/>
      <c r="F9" s="153"/>
      <c r="G9" s="153"/>
      <c r="H9" s="632"/>
      <c r="I9" s="633"/>
      <c r="J9" s="63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4"/>
    </row>
    <row r="10" spans="1:37">
      <c r="C10" s="155"/>
      <c r="D10" s="156" t="s">
        <v>966</v>
      </c>
      <c r="H10" s="166"/>
      <c r="I10" s="196"/>
      <c r="J10" s="196"/>
      <c r="AK10" s="157"/>
    </row>
    <row r="11" spans="1:37">
      <c r="C11" s="155"/>
      <c r="H11" s="166"/>
      <c r="I11" s="196"/>
      <c r="J11" s="196"/>
      <c r="AK11" s="157"/>
    </row>
    <row r="12" spans="1:37">
      <c r="C12" s="155"/>
      <c r="E12" s="506" t="s">
        <v>967</v>
      </c>
      <c r="H12" s="166"/>
      <c r="I12" s="310"/>
      <c r="J12" s="310"/>
      <c r="K12" s="468">
        <f t="shared" ref="K12:W12" si="1">+K26</f>
        <v>0</v>
      </c>
      <c r="L12" s="468">
        <f t="shared" si="1"/>
        <v>0</v>
      </c>
      <c r="M12" s="468">
        <f t="shared" si="1"/>
        <v>0</v>
      </c>
      <c r="N12" s="468">
        <f t="shared" si="1"/>
        <v>0</v>
      </c>
      <c r="O12" s="468">
        <f t="shared" si="1"/>
        <v>0</v>
      </c>
      <c r="P12" s="468">
        <f t="shared" si="1"/>
        <v>0</v>
      </c>
      <c r="Q12" s="468">
        <f t="shared" si="1"/>
        <v>0</v>
      </c>
      <c r="R12" s="468">
        <f t="shared" si="1"/>
        <v>0</v>
      </c>
      <c r="S12" s="468">
        <f t="shared" si="1"/>
        <v>0</v>
      </c>
      <c r="T12" s="468">
        <f t="shared" si="1"/>
        <v>0</v>
      </c>
      <c r="U12" s="468">
        <f t="shared" si="1"/>
        <v>17.249058720420685</v>
      </c>
      <c r="V12" s="468">
        <f t="shared" si="1"/>
        <v>4.3635694682675812</v>
      </c>
      <c r="W12" s="468">
        <f t="shared" si="1"/>
        <v>7.3967582697201015</v>
      </c>
      <c r="X12" s="468">
        <f t="shared" ref="X12:AB13" si="2">+X26</f>
        <v>1.5891380145278451</v>
      </c>
      <c r="Y12" s="468">
        <f t="shared" si="2"/>
        <v>0.52638914027149331</v>
      </c>
      <c r="Z12" s="468">
        <f t="shared" si="2"/>
        <v>2.1589999999999998</v>
      </c>
      <c r="AA12" s="468">
        <f t="shared" si="2"/>
        <v>9.7560975609756115E-2</v>
      </c>
      <c r="AB12" s="468">
        <f t="shared" si="2"/>
        <v>9.518143961927425E-2</v>
      </c>
      <c r="AC12" s="468">
        <f t="shared" ref="AC12:AJ12" si="3">+AC26</f>
        <v>9.2859941091974887E-2</v>
      </c>
      <c r="AD12" s="468">
        <f t="shared" si="3"/>
        <v>9.0595064479975507E-2</v>
      </c>
      <c r="AE12" s="468">
        <f t="shared" si="3"/>
        <v>9.0595064479975507E-2</v>
      </c>
      <c r="AF12" s="468">
        <f t="shared" si="3"/>
        <v>9.0595064479975507E-2</v>
      </c>
      <c r="AG12" s="468">
        <f t="shared" si="3"/>
        <v>9.0595064479975507E-2</v>
      </c>
      <c r="AH12" s="468">
        <f t="shared" si="3"/>
        <v>9.0595064479975507E-2</v>
      </c>
      <c r="AI12" s="468">
        <f t="shared" si="3"/>
        <v>9.0595064479975507E-2</v>
      </c>
      <c r="AJ12" s="468">
        <f t="shared" si="3"/>
        <v>9.0595064479975507E-2</v>
      </c>
      <c r="AK12" s="157"/>
    </row>
    <row r="13" spans="1:37">
      <c r="C13" s="155"/>
      <c r="E13" s="506" t="s">
        <v>968</v>
      </c>
      <c r="H13" s="166"/>
      <c r="I13" s="310"/>
      <c r="J13" s="310"/>
      <c r="K13" s="468">
        <f t="shared" ref="K13:W13" si="4">+K27</f>
        <v>0</v>
      </c>
      <c r="L13" s="468">
        <f t="shared" si="4"/>
        <v>0</v>
      </c>
      <c r="M13" s="468">
        <f t="shared" si="4"/>
        <v>0</v>
      </c>
      <c r="N13" s="468">
        <f t="shared" si="4"/>
        <v>0</v>
      </c>
      <c r="O13" s="468">
        <f t="shared" si="4"/>
        <v>0</v>
      </c>
      <c r="P13" s="468">
        <f t="shared" si="4"/>
        <v>0</v>
      </c>
      <c r="Q13" s="468">
        <f t="shared" si="4"/>
        <v>0</v>
      </c>
      <c r="R13" s="468">
        <f t="shared" si="4"/>
        <v>0</v>
      </c>
      <c r="S13" s="468">
        <f>+S27</f>
        <v>0</v>
      </c>
      <c r="T13" s="468">
        <f t="shared" si="4"/>
        <v>0</v>
      </c>
      <c r="U13" s="468">
        <f t="shared" si="4"/>
        <v>0.13246275197195442</v>
      </c>
      <c r="V13" s="468">
        <f t="shared" si="4"/>
        <v>1.6497427101200685E-2</v>
      </c>
      <c r="W13" s="468">
        <f t="shared" si="4"/>
        <v>0.10954707379134859</v>
      </c>
      <c r="X13" s="468">
        <f t="shared" si="2"/>
        <v>0.57554963680387405</v>
      </c>
      <c r="Y13" s="468">
        <f t="shared" si="2"/>
        <v>0.51084615384615384</v>
      </c>
      <c r="Z13" s="468">
        <f t="shared" si="2"/>
        <v>3.990635E-2</v>
      </c>
      <c r="AA13" s="468">
        <f t="shared" si="2"/>
        <v>3.8891746341463418E-2</v>
      </c>
      <c r="AB13" s="468">
        <f t="shared" si="2"/>
        <v>3.797739440809042E-2</v>
      </c>
      <c r="AC13" s="468">
        <f t="shared" ref="AC13:AJ13" si="5">+AC27</f>
        <v>3.7316055193627483E-2</v>
      </c>
      <c r="AD13" s="468">
        <f t="shared" si="5"/>
        <v>2.7688062224653826E-2</v>
      </c>
      <c r="AE13" s="468">
        <f t="shared" si="5"/>
        <v>2.7688062224653826E-2</v>
      </c>
      <c r="AF13" s="468">
        <f t="shared" si="5"/>
        <v>2.7688062224653826E-2</v>
      </c>
      <c r="AG13" s="468">
        <f t="shared" si="5"/>
        <v>2.7688062224653826E-2</v>
      </c>
      <c r="AH13" s="468">
        <f t="shared" si="5"/>
        <v>2.7688062224653826E-2</v>
      </c>
      <c r="AI13" s="468">
        <f t="shared" si="5"/>
        <v>2.7688062224653826E-2</v>
      </c>
      <c r="AJ13" s="468">
        <f t="shared" si="5"/>
        <v>2.7688062224653826E-2</v>
      </c>
      <c r="AK13" s="157"/>
    </row>
    <row r="14" spans="1:37">
      <c r="C14" s="155"/>
      <c r="E14" s="448" t="s">
        <v>969</v>
      </c>
      <c r="H14" s="166"/>
      <c r="I14" s="310"/>
      <c r="J14" s="310"/>
      <c r="K14" s="468">
        <f t="shared" ref="K14:W14" si="6">+K29</f>
        <v>0</v>
      </c>
      <c r="L14" s="468">
        <f t="shared" si="6"/>
        <v>0</v>
      </c>
      <c r="M14" s="468">
        <f t="shared" si="6"/>
        <v>0</v>
      </c>
      <c r="N14" s="468">
        <f t="shared" si="6"/>
        <v>0</v>
      </c>
      <c r="O14" s="468">
        <f t="shared" si="6"/>
        <v>0</v>
      </c>
      <c r="P14" s="468">
        <f t="shared" si="6"/>
        <v>0</v>
      </c>
      <c r="Q14" s="468">
        <f t="shared" si="6"/>
        <v>0</v>
      </c>
      <c r="R14" s="468">
        <f t="shared" si="6"/>
        <v>0</v>
      </c>
      <c r="S14" s="468">
        <f t="shared" si="6"/>
        <v>0</v>
      </c>
      <c r="T14" s="468">
        <f t="shared" si="6"/>
        <v>0</v>
      </c>
      <c r="U14" s="468">
        <f t="shared" si="6"/>
        <v>5002.636459246276</v>
      </c>
      <c r="V14" s="468">
        <f t="shared" si="6"/>
        <v>5003.958344768439</v>
      </c>
      <c r="W14" s="468">
        <f t="shared" si="6"/>
        <v>5036.0549567430025</v>
      </c>
      <c r="X14" s="468">
        <f t="shared" ref="X14:AB15" si="7">+X29</f>
        <v>4918.1559273607745</v>
      </c>
      <c r="Y14" s="468">
        <f t="shared" si="7"/>
        <v>4898.3711357466063</v>
      </c>
      <c r="Z14" s="468">
        <f t="shared" si="7"/>
        <v>5175.2740000000003</v>
      </c>
      <c r="AA14" s="468">
        <f t="shared" si="7"/>
        <v>6914.8292682926831</v>
      </c>
      <c r="AB14" s="468">
        <f t="shared" si="7"/>
        <v>7817.8227245687103</v>
      </c>
      <c r="AC14" s="468">
        <f t="shared" ref="AC14:AJ14" si="8">+AC29</f>
        <v>8740.8133950465035</v>
      </c>
      <c r="AD14" s="468">
        <f t="shared" si="8"/>
        <v>9467.7278085443195</v>
      </c>
      <c r="AE14" s="468">
        <f t="shared" si="8"/>
        <v>10236.715717294204</v>
      </c>
      <c r="AF14" s="468">
        <f t="shared" si="8"/>
        <v>10933.720355783031</v>
      </c>
      <c r="AG14" s="468">
        <f t="shared" si="8"/>
        <v>11844.495518654438</v>
      </c>
      <c r="AH14" s="468">
        <f t="shared" si="8"/>
        <v>12791.188969078323</v>
      </c>
      <c r="AI14" s="468">
        <f t="shared" si="8"/>
        <v>13523.118193451897</v>
      </c>
      <c r="AJ14" s="468">
        <f t="shared" si="8"/>
        <v>14436.483006082028</v>
      </c>
      <c r="AK14" s="157"/>
    </row>
    <row r="15" spans="1:37">
      <c r="C15" s="155"/>
      <c r="E15" s="448" t="s">
        <v>970</v>
      </c>
      <c r="H15" s="166"/>
      <c r="I15" s="310"/>
      <c r="J15" s="310"/>
      <c r="K15" s="468">
        <f t="shared" ref="K15:W15" si="9">+K30</f>
        <v>0</v>
      </c>
      <c r="L15" s="468">
        <f t="shared" si="9"/>
        <v>0</v>
      </c>
      <c r="M15" s="468">
        <f t="shared" si="9"/>
        <v>0</v>
      </c>
      <c r="N15" s="468">
        <f t="shared" si="9"/>
        <v>0</v>
      </c>
      <c r="O15" s="468">
        <f t="shared" si="9"/>
        <v>0</v>
      </c>
      <c r="P15" s="468">
        <f t="shared" si="9"/>
        <v>0</v>
      </c>
      <c r="Q15" s="468">
        <f t="shared" si="9"/>
        <v>0</v>
      </c>
      <c r="R15" s="468">
        <f t="shared" si="9"/>
        <v>0</v>
      </c>
      <c r="S15" s="468">
        <f t="shared" si="9"/>
        <v>0</v>
      </c>
      <c r="T15" s="468">
        <f t="shared" si="9"/>
        <v>0</v>
      </c>
      <c r="U15" s="468">
        <f t="shared" si="9"/>
        <v>203.4880753724803</v>
      </c>
      <c r="V15" s="468">
        <f t="shared" si="9"/>
        <v>170.84853344768442</v>
      </c>
      <c r="W15" s="468">
        <f t="shared" si="9"/>
        <v>175.99087022900764</v>
      </c>
      <c r="X15" s="468">
        <f t="shared" si="7"/>
        <v>187.20112348668283</v>
      </c>
      <c r="Y15" s="468">
        <f t="shared" si="7"/>
        <v>196.49400000000003</v>
      </c>
      <c r="Z15" s="468">
        <f t="shared" si="7"/>
        <v>225.6</v>
      </c>
      <c r="AA15" s="468">
        <f t="shared" si="7"/>
        <v>280.97560975609758</v>
      </c>
      <c r="AB15" s="468">
        <f t="shared" si="7"/>
        <v>338.27483640690065</v>
      </c>
      <c r="AC15" s="468">
        <f t="shared" ref="AC15:AJ15" si="10">+AC30</f>
        <v>408.11944109922962</v>
      </c>
      <c r="AD15" s="468">
        <f t="shared" si="10"/>
        <v>461.94423378339508</v>
      </c>
      <c r="AE15" s="468">
        <f t="shared" si="10"/>
        <v>499.46427422811274</v>
      </c>
      <c r="AF15" s="468">
        <f t="shared" si="10"/>
        <v>533.47214604077931</v>
      </c>
      <c r="AG15" s="468">
        <f t="shared" si="10"/>
        <v>577.91019319100326</v>
      </c>
      <c r="AH15" s="468">
        <f t="shared" si="10"/>
        <v>624.10074592205592</v>
      </c>
      <c r="AI15" s="468">
        <f t="shared" si="10"/>
        <v>659.81263916340902</v>
      </c>
      <c r="AJ15" s="468">
        <f t="shared" si="10"/>
        <v>704.37703909835079</v>
      </c>
      <c r="AK15" s="157"/>
    </row>
    <row r="16" spans="1:37">
      <c r="C16" s="155"/>
      <c r="E16" s="448"/>
      <c r="H16" s="166"/>
      <c r="I16" s="310"/>
      <c r="J16" s="310"/>
      <c r="K16" s="468"/>
      <c r="L16" s="468"/>
      <c r="M16" s="468"/>
      <c r="N16" s="468"/>
      <c r="O16" s="468"/>
      <c r="P16" s="468"/>
      <c r="Q16" s="468"/>
      <c r="R16" s="468"/>
      <c r="S16" s="468"/>
      <c r="T16" s="468"/>
      <c r="U16" s="468"/>
      <c r="V16" s="468"/>
      <c r="W16" s="468"/>
      <c r="X16" s="468"/>
      <c r="Y16" s="468"/>
      <c r="Z16" s="468"/>
      <c r="AA16" s="468"/>
      <c r="AB16" s="468"/>
      <c r="AC16" s="468"/>
      <c r="AD16" s="468"/>
      <c r="AE16" s="468"/>
      <c r="AF16" s="468"/>
      <c r="AG16" s="468"/>
      <c r="AH16" s="468"/>
      <c r="AI16" s="468"/>
      <c r="AJ16" s="468"/>
      <c r="AK16" s="157"/>
    </row>
    <row r="17" spans="3:37">
      <c r="C17" s="155"/>
      <c r="E17" s="448" t="s">
        <v>971</v>
      </c>
      <c r="H17" s="166"/>
      <c r="I17" s="310"/>
      <c r="J17" s="310"/>
      <c r="K17" s="468">
        <f t="shared" ref="K17:W17" si="11">+K37</f>
        <v>0</v>
      </c>
      <c r="L17" s="468">
        <f t="shared" si="11"/>
        <v>0</v>
      </c>
      <c r="M17" s="468">
        <f t="shared" si="11"/>
        <v>0</v>
      </c>
      <c r="N17" s="468">
        <f t="shared" si="11"/>
        <v>0</v>
      </c>
      <c r="O17" s="468">
        <f t="shared" si="11"/>
        <v>0</v>
      </c>
      <c r="P17" s="468">
        <f t="shared" si="11"/>
        <v>0</v>
      </c>
      <c r="Q17" s="468">
        <f t="shared" si="11"/>
        <v>0</v>
      </c>
      <c r="R17" s="468">
        <f t="shared" si="11"/>
        <v>0</v>
      </c>
      <c r="S17" s="468">
        <f t="shared" si="11"/>
        <v>0</v>
      </c>
      <c r="T17" s="468">
        <f t="shared" si="11"/>
        <v>0</v>
      </c>
      <c r="U17" s="468">
        <f t="shared" si="11"/>
        <v>450.14600000000002</v>
      </c>
      <c r="V17" s="468">
        <f t="shared" si="11"/>
        <v>456.34199999999998</v>
      </c>
      <c r="W17" s="468">
        <f t="shared" si="11"/>
        <v>469.52</v>
      </c>
      <c r="X17" s="468">
        <f>+X37</f>
        <v>487.89400000000001</v>
      </c>
      <c r="Y17" s="468">
        <f>+Y37</f>
        <v>533.64</v>
      </c>
      <c r="Z17" s="468">
        <f>+Z37</f>
        <v>522.65602828904593</v>
      </c>
      <c r="AA17" s="468">
        <f>+AA37</f>
        <v>533.06403609472238</v>
      </c>
      <c r="AB17" s="468">
        <f>+AB37</f>
        <v>587.59887543366187</v>
      </c>
      <c r="AC17" s="468">
        <f t="shared" ref="AC17:AJ17" si="12">+AC37</f>
        <v>634.01679594525024</v>
      </c>
      <c r="AD17" s="468">
        <f t="shared" si="12"/>
        <v>675.24944474380186</v>
      </c>
      <c r="AE17" s="468">
        <f t="shared" si="12"/>
        <v>708.67985163282447</v>
      </c>
      <c r="AF17" s="468">
        <f t="shared" si="12"/>
        <v>751.25450489957188</v>
      </c>
      <c r="AG17" s="468">
        <f t="shared" si="12"/>
        <v>788.53828867787308</v>
      </c>
      <c r="AH17" s="468">
        <f t="shared" si="12"/>
        <v>846.30649553842045</v>
      </c>
      <c r="AI17" s="468">
        <f t="shared" si="12"/>
        <v>922.01604170350618</v>
      </c>
      <c r="AJ17" s="468">
        <f t="shared" si="12"/>
        <v>982.89753526587594</v>
      </c>
      <c r="AK17" s="157"/>
    </row>
    <row r="18" spans="3:37">
      <c r="C18" s="155"/>
      <c r="E18" s="448" t="s">
        <v>972</v>
      </c>
      <c r="H18" s="166"/>
      <c r="I18" s="310"/>
      <c r="J18" s="310"/>
      <c r="K18" s="468">
        <f t="shared" ref="K18:V18" si="13">+K39</f>
        <v>0</v>
      </c>
      <c r="L18" s="468">
        <f t="shared" si="13"/>
        <v>0</v>
      </c>
      <c r="M18" s="468">
        <f t="shared" si="13"/>
        <v>0</v>
      </c>
      <c r="N18" s="468">
        <f t="shared" si="13"/>
        <v>0</v>
      </c>
      <c r="O18" s="468">
        <f t="shared" si="13"/>
        <v>0</v>
      </c>
      <c r="P18" s="468">
        <f t="shared" si="13"/>
        <v>0</v>
      </c>
      <c r="Q18" s="468">
        <f t="shared" si="13"/>
        <v>0</v>
      </c>
      <c r="R18" s="468">
        <f t="shared" si="13"/>
        <v>0</v>
      </c>
      <c r="S18" s="468">
        <f t="shared" si="13"/>
        <v>0</v>
      </c>
      <c r="T18" s="468">
        <f t="shared" si="13"/>
        <v>0</v>
      </c>
      <c r="U18" s="468">
        <f t="shared" si="13"/>
        <v>298.12174700000003</v>
      </c>
      <c r="V18" s="468">
        <f t="shared" si="13"/>
        <v>282.75761864032972</v>
      </c>
      <c r="W18" s="468">
        <f t="shared" ref="W18:AB18" si="14">+W39</f>
        <v>306.13016452532611</v>
      </c>
      <c r="X18" s="468">
        <f t="shared" si="14"/>
        <v>340.80825957092583</v>
      </c>
      <c r="Y18" s="468">
        <f t="shared" si="14"/>
        <v>373.60475678089438</v>
      </c>
      <c r="Z18" s="468">
        <f t="shared" si="14"/>
        <v>401.44292145015493</v>
      </c>
      <c r="AA18" s="468">
        <f t="shared" si="14"/>
        <v>415.60383156040785</v>
      </c>
      <c r="AB18" s="468">
        <f t="shared" si="14"/>
        <v>454.60198702277006</v>
      </c>
      <c r="AC18" s="468">
        <f t="shared" ref="AC18:AJ18" si="15">+AC39</f>
        <v>519.36160865013153</v>
      </c>
      <c r="AD18" s="468">
        <f t="shared" si="15"/>
        <v>559.92246429020236</v>
      </c>
      <c r="AE18" s="468">
        <f t="shared" si="15"/>
        <v>605.86860843986699</v>
      </c>
      <c r="AF18" s="468">
        <f t="shared" si="15"/>
        <v>663.62109960920748</v>
      </c>
      <c r="AG18" s="468">
        <f t="shared" si="15"/>
        <v>689.85666016218033</v>
      </c>
      <c r="AH18" s="468">
        <f t="shared" si="15"/>
        <v>782.40821836222528</v>
      </c>
      <c r="AI18" s="468">
        <f t="shared" si="15"/>
        <v>830.42401456980235</v>
      </c>
      <c r="AJ18" s="468">
        <f t="shared" si="15"/>
        <v>875.1491727454536</v>
      </c>
      <c r="AK18" s="157"/>
    </row>
    <row r="19" spans="3:37">
      <c r="C19" s="155"/>
      <c r="E19" s="448" t="s">
        <v>973</v>
      </c>
      <c r="H19" s="166"/>
      <c r="I19" s="310"/>
      <c r="J19" s="310"/>
      <c r="K19" s="270"/>
      <c r="L19" s="270"/>
      <c r="M19" s="270"/>
      <c r="N19" s="270"/>
      <c r="O19" s="270"/>
      <c r="P19" s="270"/>
      <c r="Q19" s="270"/>
      <c r="R19" s="270"/>
      <c r="S19" s="270"/>
      <c r="T19" s="270"/>
      <c r="U19" s="270"/>
      <c r="V19" s="270"/>
      <c r="W19" s="270"/>
      <c r="X19" s="468"/>
      <c r="Y19" s="468"/>
      <c r="Z19" s="468">
        <f>Z42+Z45</f>
        <v>0</v>
      </c>
      <c r="AA19" s="468">
        <f ca="1">AA42+AA45</f>
        <v>0</v>
      </c>
      <c r="AB19" s="468">
        <f ca="1">AB42+AB45</f>
        <v>0</v>
      </c>
      <c r="AC19" s="468">
        <f t="shared" ref="AC19:AJ19" ca="1" si="16">AC42+AC45</f>
        <v>0</v>
      </c>
      <c r="AD19" s="468">
        <f t="shared" ca="1" si="16"/>
        <v>0</v>
      </c>
      <c r="AE19" s="468">
        <f t="shared" ca="1" si="16"/>
        <v>0</v>
      </c>
      <c r="AF19" s="468">
        <f t="shared" ca="1" si="16"/>
        <v>0</v>
      </c>
      <c r="AG19" s="468">
        <f t="shared" ca="1" si="16"/>
        <v>0</v>
      </c>
      <c r="AH19" s="468">
        <f t="shared" ca="1" si="16"/>
        <v>0</v>
      </c>
      <c r="AI19" s="468">
        <f t="shared" ca="1" si="16"/>
        <v>0</v>
      </c>
      <c r="AJ19" s="468">
        <f t="shared" ca="1" si="16"/>
        <v>0</v>
      </c>
      <c r="AK19" s="157"/>
    </row>
    <row r="20" spans="3:37">
      <c r="C20" s="155"/>
      <c r="E20" s="196" t="s">
        <v>974</v>
      </c>
      <c r="H20" s="166"/>
      <c r="I20" s="310"/>
      <c r="J20" s="310"/>
      <c r="K20" s="468">
        <f>K35</f>
        <v>0</v>
      </c>
      <c r="L20" s="468"/>
      <c r="M20" s="468"/>
      <c r="N20" s="468">
        <f>+N35</f>
        <v>0</v>
      </c>
      <c r="O20" s="166"/>
      <c r="P20" s="166"/>
      <c r="Q20" s="166"/>
      <c r="R20" s="166"/>
      <c r="S20" s="310">
        <f>+S35</f>
        <v>0</v>
      </c>
      <c r="T20" s="166"/>
      <c r="U20" s="166"/>
      <c r="V20" s="270">
        <f>+V35</f>
        <v>0</v>
      </c>
      <c r="W20" s="166"/>
      <c r="X20" s="166"/>
      <c r="Y20" s="166"/>
      <c r="Z20" s="166"/>
      <c r="AA20" s="270">
        <f>+AA35</f>
        <v>0</v>
      </c>
      <c r="AB20" s="166"/>
      <c r="AC20" s="270"/>
      <c r="AD20" s="166"/>
      <c r="AE20" s="166"/>
      <c r="AF20" s="166"/>
      <c r="AG20" s="166"/>
      <c r="AH20" s="166"/>
      <c r="AI20" s="166"/>
      <c r="AJ20" s="166"/>
      <c r="AK20" s="157"/>
    </row>
    <row r="21" spans="3:37" ht="12.75" thickBot="1">
      <c r="C21" s="167"/>
      <c r="D21" s="168"/>
      <c r="E21" s="168"/>
      <c r="F21" s="168"/>
      <c r="G21" s="168"/>
      <c r="H21" s="169"/>
      <c r="I21" s="634"/>
      <c r="J21" s="634"/>
      <c r="K21" s="462"/>
      <c r="L21" s="462"/>
      <c r="M21" s="462"/>
      <c r="N21" s="462"/>
      <c r="O21" s="462"/>
      <c r="P21" s="462"/>
      <c r="Q21" s="462"/>
      <c r="R21" s="462"/>
      <c r="S21" s="462"/>
      <c r="T21" s="462"/>
      <c r="U21" s="462"/>
      <c r="V21" s="462"/>
      <c r="W21" s="462"/>
      <c r="X21" s="462"/>
      <c r="Y21" s="462"/>
      <c r="Z21" s="462"/>
      <c r="AA21" s="462"/>
      <c r="AB21" s="462"/>
      <c r="AC21" s="462"/>
      <c r="AD21" s="462"/>
      <c r="AE21" s="462"/>
      <c r="AF21" s="462"/>
      <c r="AG21" s="462"/>
      <c r="AH21" s="462"/>
      <c r="AI21" s="462"/>
      <c r="AJ21" s="462"/>
      <c r="AK21" s="170"/>
    </row>
    <row r="22" spans="3:37">
      <c r="C22" s="63"/>
      <c r="I22" s="196"/>
      <c r="J22" s="196"/>
      <c r="K22" s="521"/>
      <c r="L22" s="521"/>
      <c r="M22" s="521"/>
      <c r="N22" s="521"/>
      <c r="O22" s="521"/>
      <c r="P22" s="521"/>
      <c r="Q22" s="521"/>
      <c r="R22" s="521"/>
      <c r="S22" s="521"/>
      <c r="T22" s="521"/>
      <c r="U22" s="521"/>
      <c r="V22" s="521"/>
      <c r="W22" s="521"/>
      <c r="X22" s="521"/>
      <c r="Y22" s="521"/>
      <c r="Z22" s="521"/>
      <c r="AA22" s="521"/>
      <c r="AB22" s="521"/>
    </row>
    <row r="23" spans="3:37">
      <c r="C23" s="63"/>
      <c r="I23" s="196"/>
      <c r="J23" s="196"/>
      <c r="K23" s="196"/>
      <c r="L23" s="196"/>
      <c r="M23" s="196"/>
    </row>
    <row r="24" spans="3:37">
      <c r="C24" s="295" t="s">
        <v>975</v>
      </c>
      <c r="G24" s="63" t="str">
        <f>Expenditure_Detail!$B$6</f>
        <v>$m, 01/01/26</v>
      </c>
      <c r="I24" s="196"/>
      <c r="J24" s="196"/>
      <c r="K24" s="67"/>
      <c r="L24" s="67"/>
      <c r="M24" s="67"/>
    </row>
    <row r="25" spans="3:37">
      <c r="C25" s="63"/>
      <c r="I25" s="196"/>
      <c r="J25" s="196"/>
      <c r="K25" s="67"/>
      <c r="L25" s="67"/>
      <c r="M25" s="67"/>
      <c r="N25" s="67"/>
      <c r="O25" s="67"/>
      <c r="P25" s="67"/>
      <c r="Q25" s="67"/>
    </row>
    <row r="26" spans="3:37">
      <c r="C26" s="63"/>
      <c r="D26" s="63" t="s">
        <v>967</v>
      </c>
      <c r="I26" s="527"/>
      <c r="J26" s="527"/>
      <c r="K26" s="1300"/>
      <c r="L26" s="1301"/>
      <c r="M26" s="1302"/>
      <c r="N26" s="1300"/>
      <c r="O26" s="1301"/>
      <c r="P26" s="1301"/>
      <c r="Q26" s="1301"/>
      <c r="R26" s="655"/>
      <c r="S26" s="653"/>
      <c r="T26" s="654"/>
      <c r="U26" s="1310">
        <v>17.249058720420685</v>
      </c>
      <c r="V26" s="653">
        <v>4.3635694682675812</v>
      </c>
      <c r="W26" s="654">
        <v>7.3967582697201015</v>
      </c>
      <c r="X26" s="654">
        <v>1.5891380145278451</v>
      </c>
      <c r="Y26" s="654">
        <v>0.52638914027149331</v>
      </c>
      <c r="Z26" s="655">
        <v>2.1589999999999998</v>
      </c>
      <c r="AA26" s="653">
        <v>9.7560975609756115E-2</v>
      </c>
      <c r="AB26" s="654">
        <v>9.518143961927425E-2</v>
      </c>
      <c r="AC26" s="654">
        <v>9.2859941091974887E-2</v>
      </c>
      <c r="AD26" s="654">
        <v>9.0595064479975507E-2</v>
      </c>
      <c r="AE26" s="655">
        <v>9.0595064479975507E-2</v>
      </c>
      <c r="AF26" s="653">
        <v>9.0595064479975507E-2</v>
      </c>
      <c r="AG26" s="654">
        <v>9.0595064479975507E-2</v>
      </c>
      <c r="AH26" s="654">
        <v>9.0595064479975507E-2</v>
      </c>
      <c r="AI26" s="654">
        <v>9.0595064479975507E-2</v>
      </c>
      <c r="AJ26" s="655">
        <v>9.0595064479975507E-2</v>
      </c>
    </row>
    <row r="27" spans="3:37">
      <c r="C27" s="63"/>
      <c r="D27" s="63" t="s">
        <v>968</v>
      </c>
      <c r="I27" s="527"/>
      <c r="J27" s="527"/>
      <c r="K27" s="1303"/>
      <c r="L27" s="1304"/>
      <c r="M27" s="1305"/>
      <c r="N27" s="1303"/>
      <c r="O27" s="1304"/>
      <c r="P27" s="1304"/>
      <c r="Q27" s="1304"/>
      <c r="R27" s="658"/>
      <c r="S27" s="656"/>
      <c r="T27" s="657"/>
      <c r="U27" s="1311">
        <v>0.13246275197195442</v>
      </c>
      <c r="V27" s="656">
        <v>1.6497427101200685E-2</v>
      </c>
      <c r="W27" s="657">
        <v>0.10954707379134859</v>
      </c>
      <c r="X27" s="657">
        <v>0.57554963680387405</v>
      </c>
      <c r="Y27" s="657">
        <v>0.51084615384615384</v>
      </c>
      <c r="Z27" s="658">
        <v>3.990635E-2</v>
      </c>
      <c r="AA27" s="656">
        <v>3.8891746341463418E-2</v>
      </c>
      <c r="AB27" s="657">
        <v>3.797739440809042E-2</v>
      </c>
      <c r="AC27" s="657">
        <v>3.7316055193627483E-2</v>
      </c>
      <c r="AD27" s="657">
        <v>2.7688062224653826E-2</v>
      </c>
      <c r="AE27" s="658">
        <v>2.7688062224653826E-2</v>
      </c>
      <c r="AF27" s="656">
        <v>2.7688062224653826E-2</v>
      </c>
      <c r="AG27" s="657">
        <v>2.7688062224653826E-2</v>
      </c>
      <c r="AH27" s="657">
        <v>2.7688062224653826E-2</v>
      </c>
      <c r="AI27" s="657">
        <v>2.7688062224653826E-2</v>
      </c>
      <c r="AJ27" s="658">
        <v>2.7688062224653826E-2</v>
      </c>
    </row>
    <row r="28" spans="3:37">
      <c r="C28" s="63"/>
      <c r="I28" s="527"/>
      <c r="J28" s="527"/>
      <c r="K28" s="111"/>
      <c r="L28" s="111"/>
      <c r="M28" s="111"/>
      <c r="N28" s="111"/>
      <c r="O28" s="111"/>
      <c r="P28" s="111"/>
      <c r="Q28" s="111"/>
      <c r="R28" s="659"/>
      <c r="S28" s="659"/>
      <c r="T28" s="659"/>
      <c r="U28" s="659"/>
      <c r="V28" s="659"/>
      <c r="W28" s="659"/>
      <c r="X28" s="659"/>
      <c r="Y28" s="659"/>
      <c r="Z28" s="659"/>
      <c r="AA28" s="659"/>
      <c r="AB28" s="659"/>
      <c r="AC28" s="659"/>
      <c r="AD28" s="659"/>
      <c r="AE28" s="659"/>
      <c r="AF28" s="659"/>
      <c r="AG28" s="659"/>
      <c r="AH28" s="659"/>
      <c r="AI28" s="659"/>
      <c r="AJ28" s="659"/>
    </row>
    <row r="29" spans="3:37">
      <c r="C29" s="63"/>
      <c r="D29" s="63" t="s">
        <v>969</v>
      </c>
      <c r="I29" s="527"/>
      <c r="J29" s="527"/>
      <c r="K29" s="1300"/>
      <c r="L29" s="1301"/>
      <c r="M29" s="1302"/>
      <c r="N29" s="1300"/>
      <c r="O29" s="1301"/>
      <c r="P29" s="1301"/>
      <c r="Q29" s="1301"/>
      <c r="R29" s="654"/>
      <c r="S29" s="653"/>
      <c r="T29" s="654"/>
      <c r="U29" s="1310">
        <v>5002.636459246276</v>
      </c>
      <c r="V29" s="653">
        <v>5003.958344768439</v>
      </c>
      <c r="W29" s="654">
        <v>5036.0549567430025</v>
      </c>
      <c r="X29" s="654">
        <v>4918.1559273607745</v>
      </c>
      <c r="Y29" s="654">
        <v>4898.3711357466063</v>
      </c>
      <c r="Z29" s="655">
        <v>5175.2740000000003</v>
      </c>
      <c r="AA29" s="653">
        <v>6914.8292682926831</v>
      </c>
      <c r="AB29" s="654">
        <v>7817.8227245687103</v>
      </c>
      <c r="AC29" s="654">
        <v>8740.8133950465035</v>
      </c>
      <c r="AD29" s="654">
        <v>9467.7278085443195</v>
      </c>
      <c r="AE29" s="655">
        <v>10236.715717294204</v>
      </c>
      <c r="AF29" s="653">
        <v>10933.720355783031</v>
      </c>
      <c r="AG29" s="654">
        <v>11844.495518654438</v>
      </c>
      <c r="AH29" s="654">
        <v>12791.188969078323</v>
      </c>
      <c r="AI29" s="654">
        <v>13523.118193451897</v>
      </c>
      <c r="AJ29" s="655">
        <v>14436.483006082028</v>
      </c>
    </row>
    <row r="30" spans="3:37">
      <c r="C30" s="63"/>
      <c r="D30" s="63" t="s">
        <v>970</v>
      </c>
      <c r="I30" s="527"/>
      <c r="J30" s="527"/>
      <c r="K30" s="1303"/>
      <c r="L30" s="1304"/>
      <c r="M30" s="1305"/>
      <c r="N30" s="1303"/>
      <c r="O30" s="1304"/>
      <c r="P30" s="1304"/>
      <c r="Q30" s="1304"/>
      <c r="R30" s="657"/>
      <c r="S30" s="656"/>
      <c r="T30" s="657"/>
      <c r="U30" s="1311">
        <v>203.4880753724803</v>
      </c>
      <c r="V30" s="656">
        <v>170.84853344768442</v>
      </c>
      <c r="W30" s="657">
        <v>175.99087022900764</v>
      </c>
      <c r="X30" s="657">
        <v>187.20112348668283</v>
      </c>
      <c r="Y30" s="657">
        <v>196.49400000000003</v>
      </c>
      <c r="Z30" s="658">
        <v>225.6</v>
      </c>
      <c r="AA30" s="656">
        <v>280.97560975609758</v>
      </c>
      <c r="AB30" s="657">
        <v>338.27483640690065</v>
      </c>
      <c r="AC30" s="657">
        <v>408.11944109922962</v>
      </c>
      <c r="AD30" s="657">
        <v>461.94423378339508</v>
      </c>
      <c r="AE30" s="658">
        <v>499.46427422811274</v>
      </c>
      <c r="AF30" s="656">
        <v>533.47214604077931</v>
      </c>
      <c r="AG30" s="657">
        <v>577.91019319100326</v>
      </c>
      <c r="AH30" s="657">
        <v>624.10074592205592</v>
      </c>
      <c r="AI30" s="657">
        <v>659.81263916340902</v>
      </c>
      <c r="AJ30" s="658">
        <v>704.37703909835079</v>
      </c>
    </row>
    <row r="31" spans="3:37">
      <c r="C31" s="63"/>
      <c r="I31" s="527"/>
      <c r="J31" s="527"/>
      <c r="K31" s="111"/>
      <c r="L31" s="111"/>
      <c r="M31" s="111"/>
      <c r="N31" s="111"/>
      <c r="O31" s="111"/>
      <c r="P31" s="111"/>
      <c r="Q31" s="111"/>
      <c r="R31" s="116"/>
      <c r="S31" s="116"/>
      <c r="T31" s="116"/>
      <c r="U31" s="116"/>
      <c r="V31" s="116"/>
      <c r="W31" s="116"/>
      <c r="X31" s="116"/>
      <c r="Y31" s="116"/>
      <c r="Z31" s="116"/>
      <c r="AA31" s="116"/>
      <c r="AB31" s="116"/>
      <c r="AC31" s="116"/>
      <c r="AD31" s="116"/>
      <c r="AE31" s="116"/>
      <c r="AF31" s="116"/>
      <c r="AG31" s="116"/>
      <c r="AH31" s="116"/>
      <c r="AI31" s="116"/>
      <c r="AJ31" s="116"/>
    </row>
    <row r="32" spans="3:37">
      <c r="C32" s="63"/>
      <c r="I32" s="527"/>
      <c r="J32" s="527"/>
      <c r="K32" s="111"/>
      <c r="L32" s="111"/>
      <c r="M32" s="111"/>
      <c r="N32" s="111"/>
      <c r="O32" s="111"/>
      <c r="P32" s="111"/>
      <c r="Q32" s="111"/>
      <c r="R32" s="116"/>
      <c r="S32" s="116"/>
      <c r="T32" s="116"/>
      <c r="U32" s="116"/>
      <c r="V32" s="116"/>
      <c r="W32" s="116"/>
      <c r="X32" s="116"/>
      <c r="Y32" s="116"/>
      <c r="Z32" s="116"/>
      <c r="AA32" s="116"/>
      <c r="AB32" s="116"/>
      <c r="AC32" s="116"/>
      <c r="AD32" s="116"/>
      <c r="AE32" s="116"/>
      <c r="AF32" s="116"/>
      <c r="AG32" s="116"/>
      <c r="AH32" s="116"/>
      <c r="AI32" s="116"/>
      <c r="AJ32" s="116"/>
    </row>
    <row r="33" spans="3:38">
      <c r="C33" s="295" t="s">
        <v>274</v>
      </c>
      <c r="G33" s="63" t="s">
        <v>976</v>
      </c>
      <c r="H33" s="635"/>
      <c r="I33" s="527"/>
      <c r="J33" s="527"/>
      <c r="K33" s="111"/>
      <c r="L33" s="111"/>
      <c r="M33" s="111"/>
      <c r="N33" s="111"/>
      <c r="O33" s="111"/>
      <c r="P33" s="111"/>
      <c r="Q33" s="111"/>
      <c r="R33" s="116"/>
      <c r="S33" s="116"/>
      <c r="T33" s="116"/>
      <c r="U33" s="116"/>
      <c r="V33" s="116"/>
      <c r="W33" s="116"/>
      <c r="X33" s="116"/>
      <c r="Y33" s="116"/>
      <c r="Z33" s="116"/>
      <c r="AA33" s="116"/>
      <c r="AB33" s="116"/>
      <c r="AC33" s="116"/>
      <c r="AD33" s="116"/>
      <c r="AE33" s="116"/>
      <c r="AF33" s="116"/>
      <c r="AG33" s="116"/>
      <c r="AH33" s="116"/>
      <c r="AI33" s="116"/>
      <c r="AJ33" s="116"/>
    </row>
    <row r="34" spans="3:38">
      <c r="C34" s="63"/>
      <c r="I34" s="527"/>
      <c r="J34" s="527"/>
      <c r="K34" s="111"/>
      <c r="L34" s="111"/>
      <c r="M34" s="111"/>
      <c r="N34" s="111"/>
      <c r="O34" s="111"/>
      <c r="P34" s="111"/>
      <c r="Q34" s="111"/>
      <c r="R34" s="116"/>
      <c r="S34" s="116"/>
      <c r="T34" s="116"/>
      <c r="U34" s="116"/>
      <c r="V34" s="116"/>
      <c r="W34" s="116"/>
      <c r="X34" s="116"/>
      <c r="Y34" s="116"/>
      <c r="Z34" s="116"/>
      <c r="AA34" s="116"/>
      <c r="AB34" s="116"/>
      <c r="AC34" s="116"/>
      <c r="AD34" s="116"/>
      <c r="AE34" s="116"/>
      <c r="AF34" s="116"/>
      <c r="AG34" s="116"/>
      <c r="AH34" s="116"/>
      <c r="AI34" s="116"/>
      <c r="AJ34" s="116"/>
    </row>
    <row r="35" spans="3:38">
      <c r="C35" s="63"/>
      <c r="D35" s="63" t="s">
        <v>974</v>
      </c>
      <c r="I35" s="527"/>
      <c r="J35" s="527"/>
      <c r="K35" s="1309"/>
      <c r="L35" s="111"/>
      <c r="M35" s="111"/>
      <c r="N35" s="1309"/>
      <c r="O35" s="111"/>
      <c r="P35" s="111"/>
      <c r="Q35" s="111"/>
      <c r="R35" s="116"/>
      <c r="S35" s="1039"/>
      <c r="T35" s="116"/>
      <c r="U35" s="116"/>
      <c r="V35" s="1039">
        <v>0</v>
      </c>
      <c r="W35" s="1861" t="s">
        <v>977</v>
      </c>
      <c r="X35" s="1860"/>
      <c r="Y35" s="116"/>
      <c r="Z35" s="659"/>
      <c r="AA35" s="1039">
        <v>0</v>
      </c>
      <c r="AB35" s="1861" t="s">
        <v>977</v>
      </c>
      <c r="AC35" s="1862"/>
      <c r="AD35" s="116"/>
      <c r="AE35" s="116"/>
      <c r="AF35" s="116"/>
      <c r="AG35" s="116"/>
      <c r="AH35" s="116"/>
      <c r="AI35" s="116"/>
      <c r="AJ35" s="116"/>
    </row>
    <row r="36" spans="3:38">
      <c r="C36" s="63"/>
      <c r="I36" s="527"/>
      <c r="J36" s="527"/>
      <c r="K36" s="111"/>
      <c r="L36" s="111"/>
      <c r="M36" s="111"/>
      <c r="N36" s="111"/>
      <c r="O36" s="111"/>
      <c r="P36" s="111"/>
      <c r="Q36" s="111"/>
      <c r="R36" s="116"/>
      <c r="S36" s="116"/>
      <c r="T36" s="116"/>
      <c r="U36" s="116"/>
      <c r="V36" s="116"/>
      <c r="W36" s="116"/>
      <c r="X36" s="116"/>
      <c r="Y36" s="116"/>
      <c r="Z36" s="116"/>
      <c r="AA36" s="116"/>
      <c r="AB36" s="116"/>
      <c r="AC36" s="116"/>
      <c r="AD36" s="116"/>
      <c r="AE36" s="116"/>
      <c r="AF36" s="116"/>
      <c r="AG36" s="116"/>
      <c r="AH36" s="116"/>
      <c r="AI36" s="116"/>
      <c r="AJ36" s="116"/>
    </row>
    <row r="37" spans="3:38">
      <c r="C37" s="63"/>
      <c r="D37" s="63" t="s">
        <v>971</v>
      </c>
      <c r="I37" s="527"/>
      <c r="J37" s="527"/>
      <c r="K37" s="1306"/>
      <c r="L37" s="1307"/>
      <c r="M37" s="1308"/>
      <c r="N37" s="1306"/>
      <c r="O37" s="1307"/>
      <c r="P37" s="1307"/>
      <c r="Q37" s="1307"/>
      <c r="R37" s="490"/>
      <c r="S37" s="489"/>
      <c r="T37" s="490"/>
      <c r="U37" s="1039">
        <v>450.14600000000002</v>
      </c>
      <c r="V37" s="489">
        <v>456.34199999999998</v>
      </c>
      <c r="W37" s="490">
        <v>469.52</v>
      </c>
      <c r="X37" s="490">
        <v>487.89400000000001</v>
      </c>
      <c r="Y37" s="490">
        <v>533.64</v>
      </c>
      <c r="Z37" s="491">
        <v>522.65602828904593</v>
      </c>
      <c r="AA37" s="489">
        <v>533.06403609472238</v>
      </c>
      <c r="AB37" s="490">
        <v>587.59887543366187</v>
      </c>
      <c r="AC37" s="490">
        <v>634.01679594525024</v>
      </c>
      <c r="AD37" s="490">
        <v>675.24944474380186</v>
      </c>
      <c r="AE37" s="491">
        <v>708.67985163282447</v>
      </c>
      <c r="AF37" s="489">
        <v>751.25450489957188</v>
      </c>
      <c r="AG37" s="490">
        <v>788.53828867787308</v>
      </c>
      <c r="AH37" s="490">
        <v>846.30649553842045</v>
      </c>
      <c r="AI37" s="490">
        <v>922.01604170350618</v>
      </c>
      <c r="AJ37" s="491">
        <v>982.89753526587594</v>
      </c>
    </row>
    <row r="38" spans="3:38" ht="12.75" customHeight="1">
      <c r="C38" s="63"/>
      <c r="I38" s="527"/>
      <c r="J38" s="527"/>
      <c r="K38" s="111"/>
      <c r="L38" s="111"/>
      <c r="M38" s="111"/>
      <c r="N38" s="111"/>
      <c r="O38" s="111"/>
      <c r="P38" s="111"/>
      <c r="Q38" s="111"/>
      <c r="R38" s="659"/>
      <c r="S38" s="659"/>
      <c r="T38" s="659"/>
      <c r="U38" s="659"/>
      <c r="V38" s="659"/>
      <c r="W38" s="659"/>
      <c r="X38" s="659"/>
      <c r="Y38" s="659"/>
      <c r="Z38" s="659"/>
      <c r="AA38" s="659"/>
      <c r="AB38" s="659"/>
      <c r="AC38" s="659"/>
      <c r="AD38" s="659"/>
      <c r="AE38" s="659"/>
      <c r="AF38" s="659"/>
      <c r="AG38" s="659"/>
      <c r="AH38" s="659"/>
      <c r="AI38" s="659"/>
      <c r="AJ38" s="659"/>
    </row>
    <row r="39" spans="3:38">
      <c r="C39" s="63"/>
      <c r="D39" s="63" t="s">
        <v>978</v>
      </c>
      <c r="I39" s="527"/>
      <c r="J39" s="527"/>
      <c r="K39" s="1306"/>
      <c r="L39" s="1307"/>
      <c r="M39" s="1308"/>
      <c r="N39" s="1306"/>
      <c r="O39" s="1307"/>
      <c r="P39" s="1307"/>
      <c r="Q39" s="1307"/>
      <c r="R39" s="490"/>
      <c r="S39" s="489"/>
      <c r="T39" s="490"/>
      <c r="U39" s="1039">
        <v>298.12174700000003</v>
      </c>
      <c r="V39" s="489">
        <v>282.75761864032972</v>
      </c>
      <c r="W39" s="490">
        <v>306.13016452532611</v>
      </c>
      <c r="X39" s="490">
        <v>340.80825957092583</v>
      </c>
      <c r="Y39" s="490">
        <v>373.60475678089438</v>
      </c>
      <c r="Z39" s="491">
        <v>401.44292145015493</v>
      </c>
      <c r="AA39" s="489">
        <v>415.60383156040785</v>
      </c>
      <c r="AB39" s="490">
        <v>454.60198702277006</v>
      </c>
      <c r="AC39" s="490">
        <v>519.36160865013153</v>
      </c>
      <c r="AD39" s="490">
        <v>559.92246429020236</v>
      </c>
      <c r="AE39" s="491">
        <v>605.86860843986699</v>
      </c>
      <c r="AF39" s="489">
        <v>663.62109960920748</v>
      </c>
      <c r="AG39" s="490">
        <v>689.85666016218033</v>
      </c>
      <c r="AH39" s="490">
        <v>782.40821836222528</v>
      </c>
      <c r="AI39" s="490">
        <v>830.42401456980235</v>
      </c>
      <c r="AJ39" s="491">
        <v>875.1491727454536</v>
      </c>
    </row>
    <row r="40" spans="3:38">
      <c r="C40" s="63"/>
      <c r="I40" s="116"/>
      <c r="J40" s="116"/>
      <c r="K40" s="111"/>
      <c r="L40" s="111"/>
      <c r="M40" s="111"/>
      <c r="N40" s="111"/>
      <c r="O40" s="111"/>
      <c r="P40" s="111"/>
      <c r="Q40" s="111"/>
      <c r="R40" s="111"/>
      <c r="S40" s="116"/>
      <c r="T40" s="116"/>
      <c r="U40" s="116"/>
      <c r="V40" s="116"/>
      <c r="W40" s="116"/>
      <c r="X40" s="116"/>
      <c r="Y40" s="116"/>
      <c r="Z40" s="116"/>
      <c r="AA40" s="116"/>
      <c r="AB40" s="116"/>
    </row>
    <row r="41" spans="3:38">
      <c r="C41" s="63"/>
      <c r="I41" s="116"/>
      <c r="J41" s="116"/>
      <c r="K41" s="111"/>
      <c r="L41" s="111"/>
      <c r="M41" s="636"/>
      <c r="N41" s="636"/>
      <c r="O41" s="636"/>
      <c r="P41" s="636"/>
      <c r="Q41" s="636"/>
      <c r="R41" s="636"/>
      <c r="S41" s="637"/>
      <c r="T41" s="637"/>
      <c r="U41" s="116"/>
      <c r="V41" s="116"/>
      <c r="W41" s="116"/>
      <c r="X41" s="116"/>
      <c r="Y41" s="116"/>
      <c r="Z41" s="116"/>
      <c r="AA41" s="116"/>
      <c r="AB41" s="116"/>
    </row>
    <row r="42" spans="3:38">
      <c r="C42" s="63"/>
      <c r="D42" s="457" t="s">
        <v>979</v>
      </c>
      <c r="H42" s="63"/>
      <c r="I42" s="116"/>
      <c r="J42" s="116"/>
      <c r="K42" s="431"/>
      <c r="L42" s="431"/>
      <c r="M42" s="431"/>
      <c r="N42" s="431"/>
      <c r="O42" s="431"/>
      <c r="P42" s="431"/>
      <c r="Q42" s="431"/>
      <c r="R42" s="431"/>
      <c r="S42" s="300"/>
      <c r="T42" s="300"/>
      <c r="U42" s="431"/>
      <c r="V42" s="431"/>
      <c r="X42" s="116"/>
      <c r="Y42" s="431" t="s">
        <v>980</v>
      </c>
      <c r="Z42" s="333"/>
      <c r="AA42" s="333"/>
      <c r="AB42" s="334"/>
      <c r="AC42" s="334"/>
      <c r="AD42" s="334"/>
      <c r="AE42" s="335"/>
      <c r="AF42" s="333"/>
      <c r="AG42" s="334"/>
      <c r="AH42" s="334"/>
      <c r="AI42" s="334"/>
      <c r="AJ42" s="335"/>
      <c r="AK42" s="300"/>
    </row>
    <row r="43" spans="3:38">
      <c r="C43" s="63"/>
      <c r="H43" s="63"/>
      <c r="K43" s="67"/>
      <c r="L43" s="67"/>
      <c r="M43" s="67"/>
      <c r="N43" s="67"/>
      <c r="O43" s="67"/>
      <c r="P43" s="67"/>
      <c r="Q43" s="67"/>
      <c r="R43" s="67"/>
      <c r="U43" s="67"/>
      <c r="V43" s="67"/>
      <c r="W43" s="533"/>
      <c r="X43" s="116"/>
      <c r="Y43" s="116"/>
      <c r="Z43" s="533"/>
      <c r="AA43" s="533"/>
      <c r="AB43" s="533"/>
      <c r="AC43" s="533"/>
      <c r="AD43" s="533"/>
      <c r="AE43" s="533"/>
      <c r="AF43" s="533"/>
      <c r="AG43" s="533"/>
      <c r="AH43" s="533"/>
      <c r="AI43" s="533"/>
      <c r="AJ43" s="533"/>
      <c r="AK43" s="533"/>
      <c r="AL43" s="533"/>
    </row>
    <row r="44" spans="3:38" ht="12.75" thickBot="1">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row>
    <row r="45" spans="3:38" ht="24.75" thickBot="1">
      <c r="C45" s="67"/>
      <c r="D45" s="375" t="str">
        <f>+'Capex_FO input'!C45</f>
        <v>Project/program Name</v>
      </c>
      <c r="E45" s="376"/>
      <c r="F45" s="638"/>
      <c r="G45" s="638"/>
      <c r="H45" s="638"/>
      <c r="I45" s="639" t="str">
        <f>+'Capex_FO input'!N45</f>
        <v>Asset life (Tax)</v>
      </c>
      <c r="J45" s="640"/>
      <c r="K45" s="638"/>
      <c r="L45" s="638"/>
      <c r="M45" s="638"/>
      <c r="N45" s="640"/>
      <c r="O45" s="638"/>
      <c r="P45" s="638"/>
      <c r="Q45" s="638"/>
      <c r="R45" s="641"/>
      <c r="S45" s="638"/>
      <c r="T45" s="638"/>
      <c r="U45" s="641"/>
      <c r="V45" s="638"/>
      <c r="W45" s="638"/>
      <c r="X45" s="638"/>
      <c r="Y45" s="638"/>
      <c r="Z45" s="638"/>
      <c r="AA45" s="380">
        <f t="shared" ref="AA45:AJ45" ca="1" si="17">SUM(AA46:AA1302)</f>
        <v>0</v>
      </c>
      <c r="AB45" s="381">
        <f t="shared" ca="1" si="17"/>
        <v>0</v>
      </c>
      <c r="AC45" s="381">
        <f t="shared" ca="1" si="17"/>
        <v>0</v>
      </c>
      <c r="AD45" s="381">
        <f t="shared" ca="1" si="17"/>
        <v>0</v>
      </c>
      <c r="AE45" s="381">
        <f t="shared" ca="1" si="17"/>
        <v>0</v>
      </c>
      <c r="AF45" s="380">
        <f t="shared" ca="1" si="17"/>
        <v>0</v>
      </c>
      <c r="AG45" s="381">
        <f t="shared" ca="1" si="17"/>
        <v>0</v>
      </c>
      <c r="AH45" s="381">
        <f t="shared" ca="1" si="17"/>
        <v>0</v>
      </c>
      <c r="AI45" s="381">
        <f t="shared" ca="1" si="17"/>
        <v>0</v>
      </c>
      <c r="AJ45" s="382">
        <f t="shared" ca="1" si="17"/>
        <v>0</v>
      </c>
    </row>
    <row r="46" spans="3:38">
      <c r="C46" s="78">
        <v>1</v>
      </c>
      <c r="D46" s="1975" t="str">
        <f>+'Capex_FO input'!C46</f>
        <v>Cardinia Dam Safety Upgrade Works</v>
      </c>
      <c r="E46" s="1976"/>
      <c r="F46" s="1976"/>
      <c r="G46" s="1976"/>
      <c r="H46" s="1977"/>
      <c r="I46" s="642">
        <f>+'Capex_FO input'!N46</f>
        <v>0</v>
      </c>
      <c r="J46" s="67"/>
      <c r="K46" s="67"/>
      <c r="L46" s="67"/>
      <c r="M46" s="67"/>
      <c r="N46" s="138"/>
      <c r="O46" s="67"/>
      <c r="P46" s="67"/>
      <c r="Q46" s="67"/>
      <c r="R46" s="91"/>
      <c r="S46" s="67"/>
      <c r="T46" s="67"/>
      <c r="U46" s="91"/>
      <c r="V46" s="67"/>
      <c r="W46" s="67"/>
      <c r="X46" s="67"/>
      <c r="Y46" s="67"/>
      <c r="Z46" s="67"/>
      <c r="AA46" s="393">
        <f ca="1">+'Capex_FO input'!CP46</f>
        <v>0</v>
      </c>
      <c r="AB46" s="394">
        <f ca="1">+'Capex_FO input'!CQ46</f>
        <v>0</v>
      </c>
      <c r="AC46" s="394">
        <f ca="1">+'Capex_FO input'!CR46</f>
        <v>0</v>
      </c>
      <c r="AD46" s="394">
        <f ca="1">+'Capex_FO input'!CS46</f>
        <v>0</v>
      </c>
      <c r="AE46" s="1279">
        <f ca="1">+'Capex_FO input'!CT46</f>
        <v>0</v>
      </c>
      <c r="AF46" s="393">
        <f ca="1">+'Capex_FO input'!CU46</f>
        <v>0</v>
      </c>
      <c r="AG46" s="394">
        <f ca="1">+'Capex_FO input'!CV46</f>
        <v>0</v>
      </c>
      <c r="AH46" s="394">
        <f ca="1">+'Capex_FO input'!CW46</f>
        <v>0</v>
      </c>
      <c r="AI46" s="394">
        <f ca="1">+'Capex_FO input'!CX46</f>
        <v>0</v>
      </c>
      <c r="AJ46" s="395">
        <f ca="1">+'Capex_FO input'!CY46</f>
        <v>0</v>
      </c>
    </row>
    <row r="47" spans="3:38">
      <c r="C47" s="78">
        <f>C46+1</f>
        <v>2</v>
      </c>
      <c r="D47" s="1978" t="str">
        <f>+'Capex_FO input'!C47</f>
        <v>Cardinia Pump Station Upgrade</v>
      </c>
      <c r="E47" s="1979"/>
      <c r="F47" s="1979"/>
      <c r="G47" s="1979"/>
      <c r="H47" s="1980"/>
      <c r="I47" s="643">
        <f>+'Capex_FO input'!N47</f>
        <v>0</v>
      </c>
      <c r="J47" s="67"/>
      <c r="K47" s="67"/>
      <c r="L47" s="67"/>
      <c r="M47" s="67"/>
      <c r="N47" s="138"/>
      <c r="O47" s="67"/>
      <c r="P47" s="67"/>
      <c r="Q47" s="67"/>
      <c r="R47" s="91"/>
      <c r="S47" s="67"/>
      <c r="T47" s="67"/>
      <c r="U47" s="91"/>
      <c r="V47" s="67"/>
      <c r="W47" s="67"/>
      <c r="X47" s="67"/>
      <c r="Y47" s="67"/>
      <c r="Z47" s="67"/>
      <c r="AA47" s="386">
        <f ca="1">+'Capex_FO input'!CP47</f>
        <v>0</v>
      </c>
      <c r="AB47" s="387">
        <f ca="1">+'Capex_FO input'!CQ47</f>
        <v>0</v>
      </c>
      <c r="AC47" s="387">
        <f ca="1">+'Capex_FO input'!CR47</f>
        <v>0</v>
      </c>
      <c r="AD47" s="387">
        <f ca="1">+'Capex_FO input'!CS47</f>
        <v>0</v>
      </c>
      <c r="AE47" s="1277">
        <f ca="1">+'Capex_FO input'!CT47</f>
        <v>0</v>
      </c>
      <c r="AF47" s="386">
        <f ca="1">+'Capex_FO input'!CU47</f>
        <v>0</v>
      </c>
      <c r="AG47" s="387">
        <f ca="1">+'Capex_FO input'!CV47</f>
        <v>0</v>
      </c>
      <c r="AH47" s="387">
        <f ca="1">+'Capex_FO input'!CW47</f>
        <v>0</v>
      </c>
      <c r="AI47" s="387">
        <f ca="1">+'Capex_FO input'!CX47</f>
        <v>0</v>
      </c>
      <c r="AJ47" s="388">
        <f ca="1">+'Capex_FO input'!CY47</f>
        <v>0</v>
      </c>
    </row>
    <row r="48" spans="3:38">
      <c r="C48" s="78">
        <f t="shared" ref="C48:C60" si="18">C47+1</f>
        <v>3</v>
      </c>
      <c r="D48" s="1978" t="str">
        <f>+'Capex_FO input'!C48</f>
        <v>ETP PST and Grit Tank Augmentation</v>
      </c>
      <c r="E48" s="1979"/>
      <c r="F48" s="1979"/>
      <c r="G48" s="1979"/>
      <c r="H48" s="1980"/>
      <c r="I48" s="643">
        <f>+'Capex_FO input'!N48</f>
        <v>0</v>
      </c>
      <c r="J48" s="67"/>
      <c r="K48" s="67"/>
      <c r="L48" s="67"/>
      <c r="M48" s="67"/>
      <c r="N48" s="138"/>
      <c r="O48" s="67"/>
      <c r="P48" s="67"/>
      <c r="Q48" s="67"/>
      <c r="R48" s="91"/>
      <c r="S48" s="67"/>
      <c r="T48" s="67"/>
      <c r="U48" s="91"/>
      <c r="V48" s="67"/>
      <c r="W48" s="67"/>
      <c r="X48" s="67"/>
      <c r="Y48" s="67"/>
      <c r="Z48" s="67"/>
      <c r="AA48" s="386">
        <f ca="1">+'Capex_FO input'!CP48</f>
        <v>0</v>
      </c>
      <c r="AB48" s="387">
        <f ca="1">+'Capex_FO input'!CQ48</f>
        <v>0</v>
      </c>
      <c r="AC48" s="387">
        <f ca="1">+'Capex_FO input'!CR48</f>
        <v>0</v>
      </c>
      <c r="AD48" s="387">
        <f ca="1">+'Capex_FO input'!CS48</f>
        <v>0</v>
      </c>
      <c r="AE48" s="1277">
        <f ca="1">+'Capex_FO input'!CT48</f>
        <v>0</v>
      </c>
      <c r="AF48" s="386">
        <f ca="1">+'Capex_FO input'!CU48</f>
        <v>0</v>
      </c>
      <c r="AG48" s="387">
        <f ca="1">+'Capex_FO input'!CV48</f>
        <v>0</v>
      </c>
      <c r="AH48" s="387">
        <f ca="1">+'Capex_FO input'!CW48</f>
        <v>0</v>
      </c>
      <c r="AI48" s="387">
        <f ca="1">+'Capex_FO input'!CX48</f>
        <v>0</v>
      </c>
      <c r="AJ48" s="388">
        <f ca="1">+'Capex_FO input'!CY48</f>
        <v>0</v>
      </c>
    </row>
    <row r="49" spans="3:36">
      <c r="C49" s="78">
        <f t="shared" si="18"/>
        <v>4</v>
      </c>
      <c r="D49" s="1978" t="str">
        <f>+'Capex_FO input'!C49</f>
        <v>ETP Sludge Dewatering Upgrade</v>
      </c>
      <c r="E49" s="1979"/>
      <c r="F49" s="1979"/>
      <c r="G49" s="1979"/>
      <c r="H49" s="1980"/>
      <c r="I49" s="643">
        <f>+'Capex_FO input'!N49</f>
        <v>0</v>
      </c>
      <c r="J49" s="67"/>
      <c r="K49" s="67"/>
      <c r="L49" s="67"/>
      <c r="M49" s="67"/>
      <c r="N49" s="138"/>
      <c r="O49" s="67"/>
      <c r="P49" s="67"/>
      <c r="Q49" s="67"/>
      <c r="R49" s="91"/>
      <c r="S49" s="67"/>
      <c r="T49" s="67"/>
      <c r="U49" s="91"/>
      <c r="V49" s="67"/>
      <c r="W49" s="67"/>
      <c r="X49" s="67"/>
      <c r="Y49" s="67"/>
      <c r="Z49" s="67"/>
      <c r="AA49" s="386">
        <f ca="1">+'Capex_FO input'!CP49</f>
        <v>0</v>
      </c>
      <c r="AB49" s="387">
        <f ca="1">+'Capex_FO input'!CQ49</f>
        <v>0</v>
      </c>
      <c r="AC49" s="387">
        <f ca="1">+'Capex_FO input'!CR49</f>
        <v>0</v>
      </c>
      <c r="AD49" s="387">
        <f ca="1">+'Capex_FO input'!CS49</f>
        <v>0</v>
      </c>
      <c r="AE49" s="1277">
        <f ca="1">+'Capex_FO input'!CT49</f>
        <v>0</v>
      </c>
      <c r="AF49" s="386">
        <f ca="1">+'Capex_FO input'!CU49</f>
        <v>0</v>
      </c>
      <c r="AG49" s="387">
        <f ca="1">+'Capex_FO input'!CV49</f>
        <v>0</v>
      </c>
      <c r="AH49" s="387">
        <f ca="1">+'Capex_FO input'!CW49</f>
        <v>0</v>
      </c>
      <c r="AI49" s="387">
        <f ca="1">+'Capex_FO input'!CX49</f>
        <v>0</v>
      </c>
      <c r="AJ49" s="388">
        <f ca="1">+'Capex_FO input'!CY49</f>
        <v>0</v>
      </c>
    </row>
    <row r="50" spans="3:36" ht="11.25" customHeight="1">
      <c r="C50" s="78">
        <f t="shared" si="18"/>
        <v>5</v>
      </c>
      <c r="D50" s="1978" t="str">
        <f>+'Capex_FO input'!C50</f>
        <v>Link Main Stage 1</v>
      </c>
      <c r="E50" s="1979"/>
      <c r="F50" s="1979"/>
      <c r="G50" s="1979"/>
      <c r="H50" s="1980"/>
      <c r="I50" s="643">
        <f>+'Capex_FO input'!N50</f>
        <v>0</v>
      </c>
      <c r="J50" s="67"/>
      <c r="K50" s="67"/>
      <c r="L50" s="67"/>
      <c r="M50" s="67"/>
      <c r="N50" s="138"/>
      <c r="O50" s="67"/>
      <c r="P50" s="67"/>
      <c r="Q50" s="67"/>
      <c r="R50" s="91"/>
      <c r="S50" s="67"/>
      <c r="T50" s="67"/>
      <c r="U50" s="91"/>
      <c r="V50" s="67"/>
      <c r="W50" s="67"/>
      <c r="X50" s="67"/>
      <c r="Y50" s="67"/>
      <c r="Z50" s="67"/>
      <c r="AA50" s="386">
        <f ca="1">+'Capex_FO input'!CP50</f>
        <v>0</v>
      </c>
      <c r="AB50" s="387">
        <f ca="1">+'Capex_FO input'!CQ50</f>
        <v>0</v>
      </c>
      <c r="AC50" s="387">
        <f ca="1">+'Capex_FO input'!CR50</f>
        <v>0</v>
      </c>
      <c r="AD50" s="387">
        <f ca="1">+'Capex_FO input'!CS50</f>
        <v>0</v>
      </c>
      <c r="AE50" s="1277">
        <f ca="1">+'Capex_FO input'!CT50</f>
        <v>0</v>
      </c>
      <c r="AF50" s="386">
        <f ca="1">+'Capex_FO input'!CU50</f>
        <v>0</v>
      </c>
      <c r="AG50" s="387">
        <f ca="1">+'Capex_FO input'!CV50</f>
        <v>0</v>
      </c>
      <c r="AH50" s="387">
        <f ca="1">+'Capex_FO input'!CW50</f>
        <v>0</v>
      </c>
      <c r="AI50" s="387">
        <f ca="1">+'Capex_FO input'!CX50</f>
        <v>0</v>
      </c>
      <c r="AJ50" s="388">
        <f ca="1">+'Capex_FO input'!CY50</f>
        <v>0</v>
      </c>
    </row>
    <row r="51" spans="3:36" ht="11.25" customHeight="1">
      <c r="C51" s="78">
        <f t="shared" si="18"/>
        <v>6</v>
      </c>
      <c r="D51" s="1978" t="str">
        <f>+'Capex_FO input'!C51</f>
        <v>Maroondah Res Outlet and Aqueduct Stage 3A</v>
      </c>
      <c r="E51" s="1979"/>
      <c r="F51" s="1979"/>
      <c r="G51" s="1979"/>
      <c r="H51" s="1980"/>
      <c r="I51" s="643">
        <f>+'Capex_FO input'!N51</f>
        <v>0</v>
      </c>
      <c r="J51" s="67"/>
      <c r="K51" s="67"/>
      <c r="L51" s="67"/>
      <c r="M51" s="67"/>
      <c r="N51" s="138"/>
      <c r="O51" s="67"/>
      <c r="P51" s="67"/>
      <c r="Q51" s="67"/>
      <c r="R51" s="91"/>
      <c r="S51" s="67"/>
      <c r="T51" s="67"/>
      <c r="U51" s="91"/>
      <c r="V51" s="67"/>
      <c r="W51" s="67"/>
      <c r="X51" s="67"/>
      <c r="Y51" s="67"/>
      <c r="Z51" s="67"/>
      <c r="AA51" s="386">
        <f ca="1">+'Capex_FO input'!CP51</f>
        <v>0</v>
      </c>
      <c r="AB51" s="387">
        <f ca="1">+'Capex_FO input'!CQ51</f>
        <v>0</v>
      </c>
      <c r="AC51" s="387">
        <f ca="1">+'Capex_FO input'!CR51</f>
        <v>0</v>
      </c>
      <c r="AD51" s="387">
        <f ca="1">+'Capex_FO input'!CS51</f>
        <v>0</v>
      </c>
      <c r="AE51" s="1277">
        <f ca="1">+'Capex_FO input'!CT51</f>
        <v>0</v>
      </c>
      <c r="AF51" s="386">
        <f ca="1">+'Capex_FO input'!CU51</f>
        <v>0</v>
      </c>
      <c r="AG51" s="387">
        <f ca="1">+'Capex_FO input'!CV51</f>
        <v>0</v>
      </c>
      <c r="AH51" s="387">
        <f ca="1">+'Capex_FO input'!CW51</f>
        <v>0</v>
      </c>
      <c r="AI51" s="387">
        <f ca="1">+'Capex_FO input'!CX51</f>
        <v>0</v>
      </c>
      <c r="AJ51" s="388">
        <f ca="1">+'Capex_FO input'!CY51</f>
        <v>0</v>
      </c>
    </row>
    <row r="52" spans="3:36" ht="11.25" customHeight="1">
      <c r="C52" s="78">
        <f t="shared" si="18"/>
        <v>7</v>
      </c>
      <c r="D52" s="1978" t="str">
        <f>+'Capex_FO input'!C52</f>
        <v>WTP Full Preliminary Treatment Augmentation</v>
      </c>
      <c r="E52" s="1979"/>
      <c r="F52" s="1979"/>
      <c r="G52" s="1979"/>
      <c r="H52" s="1980"/>
      <c r="I52" s="643">
        <f>+'Capex_FO input'!N52</f>
        <v>0</v>
      </c>
      <c r="J52" s="67"/>
      <c r="K52" s="67"/>
      <c r="L52" s="67"/>
      <c r="M52" s="67"/>
      <c r="N52" s="138"/>
      <c r="O52" s="67"/>
      <c r="P52" s="67"/>
      <c r="Q52" s="67"/>
      <c r="R52" s="91"/>
      <c r="S52" s="67"/>
      <c r="T52" s="67"/>
      <c r="U52" s="91"/>
      <c r="V52" s="67"/>
      <c r="W52" s="67"/>
      <c r="X52" s="67"/>
      <c r="Y52" s="67"/>
      <c r="Z52" s="67"/>
      <c r="AA52" s="386">
        <f ca="1">+'Capex_FO input'!CP52</f>
        <v>0</v>
      </c>
      <c r="AB52" s="387">
        <f ca="1">+'Capex_FO input'!CQ52</f>
        <v>0</v>
      </c>
      <c r="AC52" s="387">
        <f ca="1">+'Capex_FO input'!CR52</f>
        <v>0</v>
      </c>
      <c r="AD52" s="387">
        <f ca="1">+'Capex_FO input'!CS52</f>
        <v>0</v>
      </c>
      <c r="AE52" s="1277">
        <f ca="1">+'Capex_FO input'!CT52</f>
        <v>0</v>
      </c>
      <c r="AF52" s="386">
        <f ca="1">+'Capex_FO input'!CU52</f>
        <v>0</v>
      </c>
      <c r="AG52" s="387">
        <f ca="1">+'Capex_FO input'!CV52</f>
        <v>0</v>
      </c>
      <c r="AH52" s="387">
        <f ca="1">+'Capex_FO input'!CW52</f>
        <v>0</v>
      </c>
      <c r="AI52" s="387">
        <f ca="1">+'Capex_FO input'!CX52</f>
        <v>0</v>
      </c>
      <c r="AJ52" s="388">
        <f ca="1">+'Capex_FO input'!CY52</f>
        <v>0</v>
      </c>
    </row>
    <row r="53" spans="3:36" ht="11.25" customHeight="1">
      <c r="C53" s="78">
        <f t="shared" si="18"/>
        <v>8</v>
      </c>
      <c r="D53" s="1978" t="str">
        <f>+'Capex_FO input'!C53</f>
        <v>WTP Primary Treatment Capacity Augmentation</v>
      </c>
      <c r="E53" s="1979"/>
      <c r="F53" s="1979"/>
      <c r="G53" s="1979"/>
      <c r="H53" s="1980"/>
      <c r="I53" s="643">
        <f>+'Capex_FO input'!N53</f>
        <v>0</v>
      </c>
      <c r="J53" s="67"/>
      <c r="K53" s="67"/>
      <c r="L53" s="67"/>
      <c r="M53" s="67"/>
      <c r="N53" s="138"/>
      <c r="O53" s="67"/>
      <c r="P53" s="67"/>
      <c r="Q53" s="67"/>
      <c r="R53" s="91"/>
      <c r="S53" s="67"/>
      <c r="T53" s="67"/>
      <c r="U53" s="91"/>
      <c r="V53" s="67"/>
      <c r="W53" s="67"/>
      <c r="X53" s="67"/>
      <c r="Y53" s="67"/>
      <c r="Z53" s="67"/>
      <c r="AA53" s="386">
        <f ca="1">+'Capex_FO input'!CP53</f>
        <v>0</v>
      </c>
      <c r="AB53" s="387">
        <f ca="1">+'Capex_FO input'!CQ53</f>
        <v>0</v>
      </c>
      <c r="AC53" s="387">
        <f ca="1">+'Capex_FO input'!CR53</f>
        <v>0</v>
      </c>
      <c r="AD53" s="387">
        <f ca="1">+'Capex_FO input'!CS53</f>
        <v>0</v>
      </c>
      <c r="AE53" s="1277">
        <f ca="1">+'Capex_FO input'!CT53</f>
        <v>0</v>
      </c>
      <c r="AF53" s="386">
        <f ca="1">+'Capex_FO input'!CU53</f>
        <v>0</v>
      </c>
      <c r="AG53" s="387">
        <f ca="1">+'Capex_FO input'!CV53</f>
        <v>0</v>
      </c>
      <c r="AH53" s="387">
        <f ca="1">+'Capex_FO input'!CW53</f>
        <v>0</v>
      </c>
      <c r="AI53" s="387">
        <f ca="1">+'Capex_FO input'!CX53</f>
        <v>0</v>
      </c>
      <c r="AJ53" s="388">
        <f ca="1">+'Capex_FO input'!CY53</f>
        <v>0</v>
      </c>
    </row>
    <row r="54" spans="3:36" ht="11.25" customHeight="1">
      <c r="C54" s="78">
        <f t="shared" si="18"/>
        <v>9</v>
      </c>
      <c r="D54" s="1978" t="str">
        <f>+'Capex_FO input'!C54</f>
        <v>WTS - Shallow Conduit Rehabilitation</v>
      </c>
      <c r="E54" s="1979"/>
      <c r="F54" s="1979"/>
      <c r="G54" s="1979"/>
      <c r="H54" s="1980"/>
      <c r="I54" s="643">
        <f>+'Capex_FO input'!N54</f>
        <v>0</v>
      </c>
      <c r="J54" s="67"/>
      <c r="K54" s="67"/>
      <c r="L54" s="67"/>
      <c r="M54" s="67"/>
      <c r="N54" s="138"/>
      <c r="O54" s="67"/>
      <c r="P54" s="67"/>
      <c r="Q54" s="67"/>
      <c r="R54" s="91"/>
      <c r="S54" s="67"/>
      <c r="T54" s="67"/>
      <c r="U54" s="91"/>
      <c r="V54" s="67"/>
      <c r="W54" s="67"/>
      <c r="X54" s="67"/>
      <c r="Y54" s="67"/>
      <c r="Z54" s="67"/>
      <c r="AA54" s="386">
        <f ca="1">+'Capex_FO input'!CP54</f>
        <v>0</v>
      </c>
      <c r="AB54" s="387">
        <f ca="1">+'Capex_FO input'!CQ54</f>
        <v>0</v>
      </c>
      <c r="AC54" s="387">
        <f ca="1">+'Capex_FO input'!CR54</f>
        <v>0</v>
      </c>
      <c r="AD54" s="387">
        <f ca="1">+'Capex_FO input'!CS54</f>
        <v>0</v>
      </c>
      <c r="AE54" s="1277">
        <f ca="1">+'Capex_FO input'!CT54</f>
        <v>0</v>
      </c>
      <c r="AF54" s="386">
        <f ca="1">+'Capex_FO input'!CU54</f>
        <v>0</v>
      </c>
      <c r="AG54" s="387">
        <f ca="1">+'Capex_FO input'!CV54</f>
        <v>0</v>
      </c>
      <c r="AH54" s="387">
        <f ca="1">+'Capex_FO input'!CW54</f>
        <v>0</v>
      </c>
      <c r="AI54" s="387">
        <f ca="1">+'Capex_FO input'!CX54</f>
        <v>0</v>
      </c>
      <c r="AJ54" s="388">
        <f ca="1">+'Capex_FO input'!CY54</f>
        <v>0</v>
      </c>
    </row>
    <row r="55" spans="3:36" ht="11.25" customHeight="1">
      <c r="C55" s="78">
        <f t="shared" si="18"/>
        <v>10</v>
      </c>
      <c r="D55" s="1978" t="str">
        <f>+'Capex_FO input'!C55</f>
        <v>Olinda Mitcham Main Renewals - Stage 2 M054 and M055</v>
      </c>
      <c r="E55" s="1979"/>
      <c r="F55" s="1979"/>
      <c r="G55" s="1979"/>
      <c r="H55" s="1980"/>
      <c r="I55" s="643">
        <f>+'Capex_FO input'!N55</f>
        <v>0</v>
      </c>
      <c r="J55" s="67"/>
      <c r="K55" s="67"/>
      <c r="L55" s="67"/>
      <c r="M55" s="67"/>
      <c r="N55" s="138"/>
      <c r="O55" s="67"/>
      <c r="P55" s="67"/>
      <c r="Q55" s="67"/>
      <c r="R55" s="91"/>
      <c r="S55" s="67"/>
      <c r="T55" s="67"/>
      <c r="U55" s="91"/>
      <c r="V55" s="67"/>
      <c r="W55" s="67"/>
      <c r="X55" s="67"/>
      <c r="Y55" s="67"/>
      <c r="Z55" s="67"/>
      <c r="AA55" s="386">
        <f ca="1">+'Capex_FO input'!CP55</f>
        <v>0</v>
      </c>
      <c r="AB55" s="387">
        <f ca="1">+'Capex_FO input'!CQ55</f>
        <v>0</v>
      </c>
      <c r="AC55" s="387">
        <f ca="1">+'Capex_FO input'!CR55</f>
        <v>0</v>
      </c>
      <c r="AD55" s="387">
        <f ca="1">+'Capex_FO input'!CS55</f>
        <v>0</v>
      </c>
      <c r="AE55" s="1277">
        <f ca="1">+'Capex_FO input'!CT55</f>
        <v>0</v>
      </c>
      <c r="AF55" s="386">
        <f ca="1">+'Capex_FO input'!CU55</f>
        <v>0</v>
      </c>
      <c r="AG55" s="387">
        <f ca="1">+'Capex_FO input'!CV55</f>
        <v>0</v>
      </c>
      <c r="AH55" s="387">
        <f ca="1">+'Capex_FO input'!CW55</f>
        <v>0</v>
      </c>
      <c r="AI55" s="387">
        <f ca="1">+'Capex_FO input'!CX55</f>
        <v>0</v>
      </c>
      <c r="AJ55" s="388">
        <f ca="1">+'Capex_FO input'!CY55</f>
        <v>0</v>
      </c>
    </row>
    <row r="56" spans="3:36" ht="11.25" customHeight="1">
      <c r="C56" s="78">
        <f t="shared" si="18"/>
        <v>11</v>
      </c>
      <c r="D56" s="1978" t="str">
        <f>+'Capex_FO input'!C56</f>
        <v>DRB013 Cardinia Ck Drop Structure RB Upgrade</v>
      </c>
      <c r="E56" s="1979"/>
      <c r="F56" s="1979"/>
      <c r="G56" s="1979"/>
      <c r="H56" s="1980"/>
      <c r="I56" s="643">
        <f>+'Capex_FO input'!N56</f>
        <v>0</v>
      </c>
      <c r="J56" s="67"/>
      <c r="K56" s="67"/>
      <c r="L56" s="67"/>
      <c r="M56" s="67"/>
      <c r="N56" s="138"/>
      <c r="O56" s="67"/>
      <c r="P56" s="67"/>
      <c r="Q56" s="67"/>
      <c r="R56" s="91"/>
      <c r="S56" s="67"/>
      <c r="T56" s="67"/>
      <c r="U56" s="91"/>
      <c r="V56" s="67"/>
      <c r="W56" s="67"/>
      <c r="X56" s="67"/>
      <c r="Y56" s="67"/>
      <c r="Z56" s="67"/>
      <c r="AA56" s="386">
        <f ca="1">+'Capex_FO input'!CP56</f>
        <v>0</v>
      </c>
      <c r="AB56" s="387">
        <f ca="1">+'Capex_FO input'!CQ56</f>
        <v>0</v>
      </c>
      <c r="AC56" s="387">
        <f ca="1">+'Capex_FO input'!CR56</f>
        <v>0</v>
      </c>
      <c r="AD56" s="387">
        <f ca="1">+'Capex_FO input'!CS56</f>
        <v>0</v>
      </c>
      <c r="AE56" s="1277">
        <f ca="1">+'Capex_FO input'!CT56</f>
        <v>0</v>
      </c>
      <c r="AF56" s="386">
        <f ca="1">+'Capex_FO input'!CU56</f>
        <v>0</v>
      </c>
      <c r="AG56" s="387">
        <f ca="1">+'Capex_FO input'!CV56</f>
        <v>0</v>
      </c>
      <c r="AH56" s="387">
        <f ca="1">+'Capex_FO input'!CW56</f>
        <v>0</v>
      </c>
      <c r="AI56" s="387">
        <f ca="1">+'Capex_FO input'!CX56</f>
        <v>0</v>
      </c>
      <c r="AJ56" s="388">
        <f ca="1">+'Capex_FO input'!CY56</f>
        <v>0</v>
      </c>
    </row>
    <row r="57" spans="3:36" ht="11.25" customHeight="1">
      <c r="C57" s="78">
        <f t="shared" si="18"/>
        <v>12</v>
      </c>
      <c r="D57" s="1978" t="str">
        <f>+'Capex_FO input'!C57</f>
        <v>Elsternwick Creek and Elwood MD Flood Mitigation Works</v>
      </c>
      <c r="E57" s="1979"/>
      <c r="F57" s="1979"/>
      <c r="G57" s="1979"/>
      <c r="H57" s="1980"/>
      <c r="I57" s="643">
        <f>+'Capex_FO input'!N57</f>
        <v>0</v>
      </c>
      <c r="J57" s="67"/>
      <c r="K57" s="67"/>
      <c r="L57" s="67"/>
      <c r="M57" s="67"/>
      <c r="N57" s="138"/>
      <c r="O57" s="67"/>
      <c r="P57" s="67"/>
      <c r="Q57" s="67"/>
      <c r="R57" s="91"/>
      <c r="S57" s="67"/>
      <c r="T57" s="67"/>
      <c r="U57" s="91"/>
      <c r="V57" s="67"/>
      <c r="W57" s="67"/>
      <c r="X57" s="67"/>
      <c r="Y57" s="67"/>
      <c r="Z57" s="67"/>
      <c r="AA57" s="386">
        <f ca="1">+'Capex_FO input'!CP57</f>
        <v>0</v>
      </c>
      <c r="AB57" s="387">
        <f ca="1">+'Capex_FO input'!CQ57</f>
        <v>0</v>
      </c>
      <c r="AC57" s="387">
        <f ca="1">+'Capex_FO input'!CR57</f>
        <v>0</v>
      </c>
      <c r="AD57" s="387">
        <f ca="1">+'Capex_FO input'!CS57</f>
        <v>0</v>
      </c>
      <c r="AE57" s="1277">
        <f ca="1">+'Capex_FO input'!CT57</f>
        <v>0</v>
      </c>
      <c r="AF57" s="386">
        <f ca="1">+'Capex_FO input'!CU57</f>
        <v>0</v>
      </c>
      <c r="AG57" s="387">
        <f ca="1">+'Capex_FO input'!CV57</f>
        <v>0</v>
      </c>
      <c r="AH57" s="387">
        <f ca="1">+'Capex_FO input'!CW57</f>
        <v>0</v>
      </c>
      <c r="AI57" s="387">
        <f ca="1">+'Capex_FO input'!CX57</f>
        <v>0</v>
      </c>
      <c r="AJ57" s="388">
        <f ca="1">+'Capex_FO input'!CY57</f>
        <v>0</v>
      </c>
    </row>
    <row r="58" spans="3:36" ht="11.25" customHeight="1">
      <c r="C58" s="78">
        <f t="shared" si="18"/>
        <v>13</v>
      </c>
      <c r="D58" s="1978" t="str">
        <f>+'Capex_FO input'!C58</f>
        <v>Elwood Diversion Drain 4925 - Outfall Renewal</v>
      </c>
      <c r="E58" s="1979"/>
      <c r="F58" s="1979"/>
      <c r="G58" s="1979"/>
      <c r="H58" s="1980"/>
      <c r="I58" s="643">
        <f>+'Capex_FO input'!N58</f>
        <v>0</v>
      </c>
      <c r="J58" s="67"/>
      <c r="K58" s="67"/>
      <c r="L58" s="67"/>
      <c r="M58" s="67"/>
      <c r="N58" s="138"/>
      <c r="O58" s="67"/>
      <c r="P58" s="67"/>
      <c r="Q58" s="67"/>
      <c r="R58" s="91"/>
      <c r="S58" s="67"/>
      <c r="T58" s="67"/>
      <c r="U58" s="91"/>
      <c r="V58" s="67"/>
      <c r="W58" s="67"/>
      <c r="X58" s="67"/>
      <c r="Y58" s="67"/>
      <c r="Z58" s="67"/>
      <c r="AA58" s="386">
        <f ca="1">+'Capex_FO input'!CP58</f>
        <v>0</v>
      </c>
      <c r="AB58" s="387">
        <f ca="1">+'Capex_FO input'!CQ58</f>
        <v>0</v>
      </c>
      <c r="AC58" s="387">
        <f ca="1">+'Capex_FO input'!CR58</f>
        <v>0</v>
      </c>
      <c r="AD58" s="387">
        <f ca="1">+'Capex_FO input'!CS58</f>
        <v>0</v>
      </c>
      <c r="AE58" s="1277">
        <f ca="1">+'Capex_FO input'!CT58</f>
        <v>0</v>
      </c>
      <c r="AF58" s="386">
        <f ca="1">+'Capex_FO input'!CU58</f>
        <v>0</v>
      </c>
      <c r="AG58" s="387">
        <f ca="1">+'Capex_FO input'!CV58</f>
        <v>0</v>
      </c>
      <c r="AH58" s="387">
        <f ca="1">+'Capex_FO input'!CW58</f>
        <v>0</v>
      </c>
      <c r="AI58" s="387">
        <f ca="1">+'Capex_FO input'!CX58</f>
        <v>0</v>
      </c>
      <c r="AJ58" s="388">
        <f ca="1">+'Capex_FO input'!CY58</f>
        <v>0</v>
      </c>
    </row>
    <row r="59" spans="3:36" ht="11.25" customHeight="1">
      <c r="C59" s="78">
        <f t="shared" si="18"/>
        <v>14</v>
      </c>
      <c r="D59" s="1978" t="str">
        <f>+'Capex_FO input'!C59</f>
        <v>Reimagining Eumemmerring Creek</v>
      </c>
      <c r="E59" s="1979"/>
      <c r="F59" s="1979"/>
      <c r="G59" s="1979"/>
      <c r="H59" s="1980"/>
      <c r="I59" s="643">
        <f>+'Capex_FO input'!N59</f>
        <v>0</v>
      </c>
      <c r="J59" s="67"/>
      <c r="K59" s="67"/>
      <c r="L59" s="67"/>
      <c r="M59" s="67"/>
      <c r="N59" s="138"/>
      <c r="O59" s="67"/>
      <c r="P59" s="67"/>
      <c r="Q59" s="67"/>
      <c r="R59" s="91"/>
      <c r="S59" s="67"/>
      <c r="T59" s="67"/>
      <c r="U59" s="91"/>
      <c r="V59" s="67"/>
      <c r="W59" s="67"/>
      <c r="X59" s="67"/>
      <c r="Y59" s="67"/>
      <c r="Z59" s="67"/>
      <c r="AA59" s="386">
        <f ca="1">+'Capex_FO input'!CP59</f>
        <v>0</v>
      </c>
      <c r="AB59" s="387">
        <f ca="1">+'Capex_FO input'!CQ59</f>
        <v>0</v>
      </c>
      <c r="AC59" s="387">
        <f ca="1">+'Capex_FO input'!CR59</f>
        <v>0</v>
      </c>
      <c r="AD59" s="387">
        <f ca="1">+'Capex_FO input'!CS59</f>
        <v>0</v>
      </c>
      <c r="AE59" s="1277">
        <f ca="1">+'Capex_FO input'!CT59</f>
        <v>0</v>
      </c>
      <c r="AF59" s="386">
        <f ca="1">+'Capex_FO input'!CU59</f>
        <v>0</v>
      </c>
      <c r="AG59" s="387">
        <f ca="1">+'Capex_FO input'!CV59</f>
        <v>0</v>
      </c>
      <c r="AH59" s="387">
        <f ca="1">+'Capex_FO input'!CW59</f>
        <v>0</v>
      </c>
      <c r="AI59" s="387">
        <f ca="1">+'Capex_FO input'!CX59</f>
        <v>0</v>
      </c>
      <c r="AJ59" s="388">
        <f ca="1">+'Capex_FO input'!CY59</f>
        <v>0</v>
      </c>
    </row>
    <row r="60" spans="3:36" ht="11.25" customHeight="1" thickBot="1">
      <c r="C60" s="78">
        <f t="shared" si="18"/>
        <v>15</v>
      </c>
      <c r="D60" s="1981" t="str">
        <f>+'Capex_FO input'!C60</f>
        <v>Reimagining Tarralla Creek Stage 2</v>
      </c>
      <c r="E60" s="1982"/>
      <c r="F60" s="1982"/>
      <c r="G60" s="1982"/>
      <c r="H60" s="1983"/>
      <c r="I60" s="644">
        <f>+'Capex_FO input'!N60</f>
        <v>0</v>
      </c>
      <c r="J60" s="181"/>
      <c r="K60" s="181"/>
      <c r="L60" s="181"/>
      <c r="M60" s="181"/>
      <c r="N60" s="645"/>
      <c r="O60" s="181"/>
      <c r="P60" s="181"/>
      <c r="Q60" s="181"/>
      <c r="R60" s="646"/>
      <c r="S60" s="181"/>
      <c r="T60" s="181"/>
      <c r="U60" s="646"/>
      <c r="V60" s="181"/>
      <c r="W60" s="181"/>
      <c r="X60" s="181"/>
      <c r="Y60" s="181"/>
      <c r="Z60" s="181"/>
      <c r="AA60" s="389">
        <f ca="1">+'Capex_FO input'!CP60</f>
        <v>0</v>
      </c>
      <c r="AB60" s="390">
        <f ca="1">+'Capex_FO input'!CQ60</f>
        <v>0</v>
      </c>
      <c r="AC60" s="390">
        <f ca="1">+'Capex_FO input'!CR60</f>
        <v>0</v>
      </c>
      <c r="AD60" s="390">
        <f ca="1">+'Capex_FO input'!CS60</f>
        <v>0</v>
      </c>
      <c r="AE60" s="1278">
        <f ca="1">+'Capex_FO input'!CT60</f>
        <v>0</v>
      </c>
      <c r="AF60" s="389">
        <f ca="1">+'Capex_FO input'!CU60</f>
        <v>0</v>
      </c>
      <c r="AG60" s="390">
        <f ca="1">+'Capex_FO input'!CV60</f>
        <v>0</v>
      </c>
      <c r="AH60" s="390">
        <f ca="1">+'Capex_FO input'!CW60</f>
        <v>0</v>
      </c>
      <c r="AI60" s="390">
        <f ca="1">+'Capex_FO input'!CX60</f>
        <v>0</v>
      </c>
      <c r="AJ60" s="391">
        <f ca="1">+'Capex_FO input'!CY60</f>
        <v>0</v>
      </c>
    </row>
    <row r="61" spans="3:36" ht="11.25" customHeight="1" thickBot="1">
      <c r="H61" s="63"/>
      <c r="I61" s="647"/>
      <c r="L61" s="67"/>
      <c r="M61" s="67"/>
      <c r="N61" s="67"/>
      <c r="O61" s="67"/>
      <c r="P61" s="67"/>
      <c r="Q61" s="67"/>
      <c r="R61" s="67"/>
      <c r="S61" s="67"/>
      <c r="T61" s="67"/>
      <c r="U61" s="67"/>
      <c r="V61" s="67"/>
      <c r="W61" s="67"/>
      <c r="X61" s="67"/>
      <c r="Y61" s="67"/>
      <c r="Z61" s="67"/>
      <c r="AA61" s="1388"/>
      <c r="AB61" s="1388"/>
      <c r="AC61" s="1388"/>
      <c r="AD61" s="1388"/>
      <c r="AE61" s="1388"/>
      <c r="AF61" s="1388"/>
      <c r="AG61" s="1388"/>
      <c r="AH61" s="1388"/>
      <c r="AI61" s="1388"/>
      <c r="AJ61" s="1388"/>
    </row>
    <row r="62" spans="3:36" ht="11.25" customHeight="1">
      <c r="C62" s="78">
        <f>C60+1</f>
        <v>16</v>
      </c>
      <c r="D62" s="2127" t="str">
        <f>+'Capex_FO input'!C62</f>
        <v>Eastern Treatment Plant - Other Program</v>
      </c>
      <c r="E62" s="2128"/>
      <c r="F62" s="2128"/>
      <c r="G62" s="2128"/>
      <c r="H62" s="2129"/>
      <c r="I62" s="642">
        <f>+'Capex_FO input'!N62</f>
        <v>0</v>
      </c>
      <c r="J62" s="220"/>
      <c r="K62" s="220"/>
      <c r="L62" s="220"/>
      <c r="M62" s="220"/>
      <c r="N62" s="648"/>
      <c r="O62" s="220"/>
      <c r="P62" s="220"/>
      <c r="Q62" s="220"/>
      <c r="R62" s="649"/>
      <c r="S62" s="648"/>
      <c r="T62" s="220"/>
      <c r="U62" s="649"/>
      <c r="V62" s="220"/>
      <c r="W62" s="220"/>
      <c r="X62" s="220"/>
      <c r="Y62" s="220"/>
      <c r="Z62" s="220"/>
      <c r="AA62" s="383">
        <f ca="1">+'Capex_FO input'!CP62</f>
        <v>0</v>
      </c>
      <c r="AB62" s="384">
        <f ca="1">+'Capex_FO input'!CQ62</f>
        <v>0</v>
      </c>
      <c r="AC62" s="384">
        <f ca="1">+'Capex_FO input'!CR62</f>
        <v>0</v>
      </c>
      <c r="AD62" s="384">
        <f ca="1">+'Capex_FO input'!CS62</f>
        <v>0</v>
      </c>
      <c r="AE62" s="1276">
        <f ca="1">+'Capex_FO input'!CT62</f>
        <v>0</v>
      </c>
      <c r="AF62" s="383">
        <f ca="1">+'Capex_FO input'!CU62</f>
        <v>0</v>
      </c>
      <c r="AG62" s="384">
        <f ca="1">+'Capex_FO input'!CV62</f>
        <v>0</v>
      </c>
      <c r="AH62" s="384">
        <f ca="1">+'Capex_FO input'!CW62</f>
        <v>0</v>
      </c>
      <c r="AI62" s="384">
        <f ca="1">+'Capex_FO input'!CX62</f>
        <v>0</v>
      </c>
      <c r="AJ62" s="385">
        <f ca="1">+'Capex_FO input'!CY62</f>
        <v>0</v>
      </c>
    </row>
    <row r="63" spans="3:36" ht="11.25" customHeight="1">
      <c r="C63" s="78">
        <f>C62+1</f>
        <v>17</v>
      </c>
      <c r="D63" s="2124" t="str">
        <f>+'Capex_FO input'!C63</f>
        <v>Eastern Treatment Plant - Other Program</v>
      </c>
      <c r="E63" s="2125"/>
      <c r="F63" s="2125"/>
      <c r="G63" s="2125"/>
      <c r="H63" s="2126"/>
      <c r="I63" s="643">
        <f>+'Capex_FO input'!N63</f>
        <v>0</v>
      </c>
      <c r="J63" s="67"/>
      <c r="K63" s="67"/>
      <c r="L63" s="67"/>
      <c r="M63" s="67"/>
      <c r="N63" s="138"/>
      <c r="O63" s="67"/>
      <c r="P63" s="67"/>
      <c r="Q63" s="67"/>
      <c r="R63" s="91"/>
      <c r="S63" s="138"/>
      <c r="T63" s="67"/>
      <c r="U63" s="91"/>
      <c r="V63" s="67"/>
      <c r="W63" s="67"/>
      <c r="X63" s="67"/>
      <c r="Y63" s="67"/>
      <c r="Z63" s="67"/>
      <c r="AA63" s="393">
        <f ca="1">+'Capex_FO input'!CP63</f>
        <v>0</v>
      </c>
      <c r="AB63" s="394">
        <f ca="1">+'Capex_FO input'!CQ63</f>
        <v>0</v>
      </c>
      <c r="AC63" s="394">
        <f ca="1">+'Capex_FO input'!CR63</f>
        <v>0</v>
      </c>
      <c r="AD63" s="394">
        <f ca="1">+'Capex_FO input'!CS63</f>
        <v>0</v>
      </c>
      <c r="AE63" s="1279">
        <f ca="1">+'Capex_FO input'!CT63</f>
        <v>0</v>
      </c>
      <c r="AF63" s="393">
        <f ca="1">+'Capex_FO input'!CU63</f>
        <v>0</v>
      </c>
      <c r="AG63" s="394">
        <f ca="1">+'Capex_FO input'!CV63</f>
        <v>0</v>
      </c>
      <c r="AH63" s="394">
        <f ca="1">+'Capex_FO input'!CW63</f>
        <v>0</v>
      </c>
      <c r="AI63" s="394">
        <f ca="1">+'Capex_FO input'!CX63</f>
        <v>0</v>
      </c>
      <c r="AJ63" s="395">
        <f ca="1">+'Capex_FO input'!CY63</f>
        <v>0</v>
      </c>
    </row>
    <row r="64" spans="3:36" ht="11.25" customHeight="1">
      <c r="C64" s="78">
        <f t="shared" ref="C64:C127" si="19">C63+1</f>
        <v>18</v>
      </c>
      <c r="D64" s="1984" t="str">
        <f>+'Capex_FO input'!C64</f>
        <v>Eastern Treatment Plant - Solids Program</v>
      </c>
      <c r="E64" s="1985"/>
      <c r="F64" s="1985"/>
      <c r="G64" s="1985"/>
      <c r="H64" s="1986"/>
      <c r="I64" s="643">
        <f>+'Capex_FO input'!N64</f>
        <v>0</v>
      </c>
      <c r="J64" s="67"/>
      <c r="K64" s="67"/>
      <c r="L64" s="67"/>
      <c r="M64" s="67"/>
      <c r="N64" s="138"/>
      <c r="O64" s="67"/>
      <c r="P64" s="67"/>
      <c r="Q64" s="67"/>
      <c r="R64" s="91"/>
      <c r="S64" s="138"/>
      <c r="T64" s="67"/>
      <c r="U64" s="91"/>
      <c r="V64" s="67"/>
      <c r="W64" s="67"/>
      <c r="X64" s="67"/>
      <c r="Y64" s="67"/>
      <c r="Z64" s="67"/>
      <c r="AA64" s="393">
        <f ca="1">+'Capex_FO input'!CP64</f>
        <v>0</v>
      </c>
      <c r="AB64" s="394">
        <f ca="1">+'Capex_FO input'!CQ64</f>
        <v>0</v>
      </c>
      <c r="AC64" s="394">
        <f ca="1">+'Capex_FO input'!CR64</f>
        <v>0</v>
      </c>
      <c r="AD64" s="394">
        <f ca="1">+'Capex_FO input'!CS64</f>
        <v>0</v>
      </c>
      <c r="AE64" s="1279">
        <f ca="1">+'Capex_FO input'!CT64</f>
        <v>0</v>
      </c>
      <c r="AF64" s="393">
        <f ca="1">+'Capex_FO input'!CU64</f>
        <v>0</v>
      </c>
      <c r="AG64" s="394">
        <f ca="1">+'Capex_FO input'!CV64</f>
        <v>0</v>
      </c>
      <c r="AH64" s="394">
        <f ca="1">+'Capex_FO input'!CW64</f>
        <v>0</v>
      </c>
      <c r="AI64" s="394">
        <f ca="1">+'Capex_FO input'!CX64</f>
        <v>0</v>
      </c>
      <c r="AJ64" s="395">
        <f ca="1">+'Capex_FO input'!CY64</f>
        <v>0</v>
      </c>
    </row>
    <row r="65" spans="3:36" ht="11.25" customHeight="1">
      <c r="C65" s="78">
        <f t="shared" si="19"/>
        <v>19</v>
      </c>
      <c r="D65" s="1984" t="str">
        <f>+'Capex_FO input'!C65</f>
        <v>Eastern Treatment Plant - Solids Program</v>
      </c>
      <c r="E65" s="1985"/>
      <c r="F65" s="1985"/>
      <c r="G65" s="1985"/>
      <c r="H65" s="1986"/>
      <c r="I65" s="643">
        <f>+'Capex_FO input'!N65</f>
        <v>0</v>
      </c>
      <c r="J65" s="67"/>
      <c r="K65" s="67"/>
      <c r="L65" s="67"/>
      <c r="M65" s="67"/>
      <c r="N65" s="138"/>
      <c r="O65" s="67"/>
      <c r="P65" s="67"/>
      <c r="Q65" s="67"/>
      <c r="R65" s="91"/>
      <c r="S65" s="138"/>
      <c r="T65" s="67"/>
      <c r="U65" s="91"/>
      <c r="V65" s="67"/>
      <c r="W65" s="67"/>
      <c r="X65" s="67"/>
      <c r="Y65" s="67"/>
      <c r="Z65" s="67"/>
      <c r="AA65" s="393">
        <f ca="1">+'Capex_FO input'!CP65</f>
        <v>0</v>
      </c>
      <c r="AB65" s="394">
        <f ca="1">+'Capex_FO input'!CQ65</f>
        <v>0</v>
      </c>
      <c r="AC65" s="394">
        <f ca="1">+'Capex_FO input'!CR65</f>
        <v>0</v>
      </c>
      <c r="AD65" s="394">
        <f ca="1">+'Capex_FO input'!CS65</f>
        <v>0</v>
      </c>
      <c r="AE65" s="1279">
        <f ca="1">+'Capex_FO input'!CT65</f>
        <v>0</v>
      </c>
      <c r="AF65" s="393">
        <f ca="1">+'Capex_FO input'!CU65</f>
        <v>0</v>
      </c>
      <c r="AG65" s="394">
        <f ca="1">+'Capex_FO input'!CV65</f>
        <v>0</v>
      </c>
      <c r="AH65" s="394">
        <f ca="1">+'Capex_FO input'!CW65</f>
        <v>0</v>
      </c>
      <c r="AI65" s="394">
        <f ca="1">+'Capex_FO input'!CX65</f>
        <v>0</v>
      </c>
      <c r="AJ65" s="395">
        <f ca="1">+'Capex_FO input'!CY65</f>
        <v>0</v>
      </c>
    </row>
    <row r="66" spans="3:36" ht="11.25" customHeight="1">
      <c r="C66" s="78">
        <f t="shared" si="19"/>
        <v>20</v>
      </c>
      <c r="D66" s="1984" t="str">
        <f>+'Capex_FO input'!C66</f>
        <v>Eastern Treatment Plant - Supporting Services Program</v>
      </c>
      <c r="E66" s="1985"/>
      <c r="F66" s="1985"/>
      <c r="G66" s="1985"/>
      <c r="H66" s="1986"/>
      <c r="I66" s="643">
        <f>+'Capex_FO input'!N66</f>
        <v>0</v>
      </c>
      <c r="J66" s="67"/>
      <c r="K66" s="67"/>
      <c r="L66" s="67"/>
      <c r="M66" s="67"/>
      <c r="N66" s="138"/>
      <c r="O66" s="67"/>
      <c r="P66" s="67"/>
      <c r="Q66" s="67"/>
      <c r="R66" s="91"/>
      <c r="S66" s="138"/>
      <c r="T66" s="67"/>
      <c r="U66" s="91"/>
      <c r="V66" s="67"/>
      <c r="W66" s="67"/>
      <c r="X66" s="67"/>
      <c r="Y66" s="67"/>
      <c r="Z66" s="67"/>
      <c r="AA66" s="393">
        <f ca="1">+'Capex_FO input'!CP66</f>
        <v>0</v>
      </c>
      <c r="AB66" s="394">
        <f ca="1">+'Capex_FO input'!CQ66</f>
        <v>0</v>
      </c>
      <c r="AC66" s="394">
        <f ca="1">+'Capex_FO input'!CR66</f>
        <v>0</v>
      </c>
      <c r="AD66" s="394">
        <f ca="1">+'Capex_FO input'!CS66</f>
        <v>0</v>
      </c>
      <c r="AE66" s="1279">
        <f ca="1">+'Capex_FO input'!CT66</f>
        <v>0</v>
      </c>
      <c r="AF66" s="393">
        <f ca="1">+'Capex_FO input'!CU66</f>
        <v>0</v>
      </c>
      <c r="AG66" s="394">
        <f ca="1">+'Capex_FO input'!CV66</f>
        <v>0</v>
      </c>
      <c r="AH66" s="394">
        <f ca="1">+'Capex_FO input'!CW66</f>
        <v>0</v>
      </c>
      <c r="AI66" s="394">
        <f ca="1">+'Capex_FO input'!CX66</f>
        <v>0</v>
      </c>
      <c r="AJ66" s="395">
        <f ca="1">+'Capex_FO input'!CY66</f>
        <v>0</v>
      </c>
    </row>
    <row r="67" spans="3:36" ht="11.25" customHeight="1">
      <c r="C67" s="78">
        <f t="shared" si="19"/>
        <v>21</v>
      </c>
      <c r="D67" s="1984" t="str">
        <f>+'Capex_FO input'!C67</f>
        <v>Eastern Treatment Plant - Supporting Services Program</v>
      </c>
      <c r="E67" s="1985"/>
      <c r="F67" s="1985"/>
      <c r="G67" s="1985"/>
      <c r="H67" s="1986"/>
      <c r="I67" s="643">
        <f>+'Capex_FO input'!N67</f>
        <v>0</v>
      </c>
      <c r="J67" s="67"/>
      <c r="K67" s="67"/>
      <c r="L67" s="67"/>
      <c r="M67" s="67"/>
      <c r="N67" s="138"/>
      <c r="O67" s="67"/>
      <c r="P67" s="67"/>
      <c r="Q67" s="67"/>
      <c r="R67" s="91"/>
      <c r="S67" s="138"/>
      <c r="T67" s="67"/>
      <c r="U67" s="91"/>
      <c r="V67" s="67"/>
      <c r="W67" s="67"/>
      <c r="X67" s="67"/>
      <c r="Y67" s="67"/>
      <c r="Z67" s="67"/>
      <c r="AA67" s="393">
        <f ca="1">+'Capex_FO input'!CP67</f>
        <v>0</v>
      </c>
      <c r="AB67" s="394">
        <f ca="1">+'Capex_FO input'!CQ67</f>
        <v>0</v>
      </c>
      <c r="AC67" s="394">
        <f ca="1">+'Capex_FO input'!CR67</f>
        <v>0</v>
      </c>
      <c r="AD67" s="394">
        <f ca="1">+'Capex_FO input'!CS67</f>
        <v>0</v>
      </c>
      <c r="AE67" s="1279">
        <f ca="1">+'Capex_FO input'!CT67</f>
        <v>0</v>
      </c>
      <c r="AF67" s="393">
        <f ca="1">+'Capex_FO input'!CU67</f>
        <v>0</v>
      </c>
      <c r="AG67" s="394">
        <f ca="1">+'Capex_FO input'!CV67</f>
        <v>0</v>
      </c>
      <c r="AH67" s="394">
        <f ca="1">+'Capex_FO input'!CW67</f>
        <v>0</v>
      </c>
      <c r="AI67" s="394">
        <f ca="1">+'Capex_FO input'!CX67</f>
        <v>0</v>
      </c>
      <c r="AJ67" s="395">
        <f ca="1">+'Capex_FO input'!CY67</f>
        <v>0</v>
      </c>
    </row>
    <row r="68" spans="3:36" ht="11.25" customHeight="1">
      <c r="C68" s="78">
        <f t="shared" si="19"/>
        <v>22</v>
      </c>
      <c r="D68" s="1984" t="str">
        <f>+'Capex_FO input'!C68</f>
        <v>Eastern Treatment Plant - Supporting Services Program</v>
      </c>
      <c r="E68" s="1985"/>
      <c r="F68" s="1985"/>
      <c r="G68" s="1985"/>
      <c r="H68" s="1986"/>
      <c r="I68" s="643">
        <f>+'Capex_FO input'!N68</f>
        <v>0</v>
      </c>
      <c r="J68" s="67"/>
      <c r="K68" s="67"/>
      <c r="L68" s="67"/>
      <c r="M68" s="67"/>
      <c r="N68" s="138"/>
      <c r="O68" s="67"/>
      <c r="P68" s="67"/>
      <c r="Q68" s="67"/>
      <c r="R68" s="91"/>
      <c r="S68" s="138"/>
      <c r="T68" s="67"/>
      <c r="U68" s="91"/>
      <c r="V68" s="67"/>
      <c r="W68" s="67"/>
      <c r="X68" s="67"/>
      <c r="Y68" s="67"/>
      <c r="Z68" s="67"/>
      <c r="AA68" s="393">
        <f ca="1">+'Capex_FO input'!CP68</f>
        <v>0</v>
      </c>
      <c r="AB68" s="394">
        <f ca="1">+'Capex_FO input'!CQ68</f>
        <v>0</v>
      </c>
      <c r="AC68" s="394">
        <f ca="1">+'Capex_FO input'!CR68</f>
        <v>0</v>
      </c>
      <c r="AD68" s="394">
        <f ca="1">+'Capex_FO input'!CS68</f>
        <v>0</v>
      </c>
      <c r="AE68" s="1279">
        <f ca="1">+'Capex_FO input'!CT68</f>
        <v>0</v>
      </c>
      <c r="AF68" s="393">
        <f ca="1">+'Capex_FO input'!CU68</f>
        <v>0</v>
      </c>
      <c r="AG68" s="394">
        <f ca="1">+'Capex_FO input'!CV68</f>
        <v>0</v>
      </c>
      <c r="AH68" s="394">
        <f ca="1">+'Capex_FO input'!CW68</f>
        <v>0</v>
      </c>
      <c r="AI68" s="394">
        <f ca="1">+'Capex_FO input'!CX68</f>
        <v>0</v>
      </c>
      <c r="AJ68" s="395">
        <f ca="1">+'Capex_FO input'!CY68</f>
        <v>0</v>
      </c>
    </row>
    <row r="69" spans="3:36" ht="11.25" customHeight="1">
      <c r="C69" s="78">
        <f t="shared" si="19"/>
        <v>23</v>
      </c>
      <c r="D69" s="1984" t="str">
        <f>+'Capex_FO input'!C69</f>
        <v>Eastern Treatment Plant - Wastewater Program</v>
      </c>
      <c r="E69" s="1985"/>
      <c r="F69" s="1985"/>
      <c r="G69" s="1985"/>
      <c r="H69" s="1986"/>
      <c r="I69" s="643">
        <f>+'Capex_FO input'!N69</f>
        <v>0</v>
      </c>
      <c r="J69" s="67"/>
      <c r="K69" s="67"/>
      <c r="L69" s="67"/>
      <c r="M69" s="67"/>
      <c r="N69" s="138"/>
      <c r="O69" s="67"/>
      <c r="P69" s="67"/>
      <c r="Q69" s="67"/>
      <c r="R69" s="91"/>
      <c r="S69" s="138"/>
      <c r="T69" s="67"/>
      <c r="U69" s="91"/>
      <c r="V69" s="67"/>
      <c r="W69" s="67"/>
      <c r="X69" s="67"/>
      <c r="Y69" s="67"/>
      <c r="Z69" s="67"/>
      <c r="AA69" s="393">
        <f ca="1">+'Capex_FO input'!CP69</f>
        <v>0</v>
      </c>
      <c r="AB69" s="394">
        <f ca="1">+'Capex_FO input'!CQ69</f>
        <v>0</v>
      </c>
      <c r="AC69" s="394">
        <f ca="1">+'Capex_FO input'!CR69</f>
        <v>0</v>
      </c>
      <c r="AD69" s="394">
        <f ca="1">+'Capex_FO input'!CS69</f>
        <v>0</v>
      </c>
      <c r="AE69" s="1279">
        <f ca="1">+'Capex_FO input'!CT69</f>
        <v>0</v>
      </c>
      <c r="AF69" s="393">
        <f ca="1">+'Capex_FO input'!CU69</f>
        <v>0</v>
      </c>
      <c r="AG69" s="394">
        <f ca="1">+'Capex_FO input'!CV69</f>
        <v>0</v>
      </c>
      <c r="AH69" s="394">
        <f ca="1">+'Capex_FO input'!CW69</f>
        <v>0</v>
      </c>
      <c r="AI69" s="394">
        <f ca="1">+'Capex_FO input'!CX69</f>
        <v>0</v>
      </c>
      <c r="AJ69" s="395">
        <f ca="1">+'Capex_FO input'!CY69</f>
        <v>0</v>
      </c>
    </row>
    <row r="70" spans="3:36" ht="11.25" customHeight="1">
      <c r="C70" s="78">
        <f t="shared" si="19"/>
        <v>24</v>
      </c>
      <c r="D70" s="1984" t="str">
        <f>+'Capex_FO input'!C70</f>
        <v>Eastern Treatment Plant - Wastewater Program</v>
      </c>
      <c r="E70" s="1985"/>
      <c r="F70" s="1985"/>
      <c r="G70" s="1985"/>
      <c r="H70" s="1986"/>
      <c r="I70" s="643">
        <f>+'Capex_FO input'!N70</f>
        <v>0</v>
      </c>
      <c r="J70" s="67"/>
      <c r="K70" s="67"/>
      <c r="L70" s="67"/>
      <c r="M70" s="67"/>
      <c r="N70" s="138"/>
      <c r="O70" s="67"/>
      <c r="P70" s="67"/>
      <c r="Q70" s="67"/>
      <c r="R70" s="91"/>
      <c r="S70" s="138"/>
      <c r="T70" s="67"/>
      <c r="U70" s="91"/>
      <c r="V70" s="67"/>
      <c r="W70" s="67"/>
      <c r="X70" s="67"/>
      <c r="Y70" s="67"/>
      <c r="Z70" s="67"/>
      <c r="AA70" s="393">
        <f ca="1">+'Capex_FO input'!CP70</f>
        <v>0</v>
      </c>
      <c r="AB70" s="394">
        <f ca="1">+'Capex_FO input'!CQ70</f>
        <v>0</v>
      </c>
      <c r="AC70" s="394">
        <f ca="1">+'Capex_FO input'!CR70</f>
        <v>0</v>
      </c>
      <c r="AD70" s="394">
        <f ca="1">+'Capex_FO input'!CS70</f>
        <v>0</v>
      </c>
      <c r="AE70" s="1279">
        <f ca="1">+'Capex_FO input'!CT70</f>
        <v>0</v>
      </c>
      <c r="AF70" s="393">
        <f ca="1">+'Capex_FO input'!CU70</f>
        <v>0</v>
      </c>
      <c r="AG70" s="394">
        <f ca="1">+'Capex_FO input'!CV70</f>
        <v>0</v>
      </c>
      <c r="AH70" s="394">
        <f ca="1">+'Capex_FO input'!CW70</f>
        <v>0</v>
      </c>
      <c r="AI70" s="394">
        <f ca="1">+'Capex_FO input'!CX70</f>
        <v>0</v>
      </c>
      <c r="AJ70" s="395">
        <f ca="1">+'Capex_FO input'!CY70</f>
        <v>0</v>
      </c>
    </row>
    <row r="71" spans="3:36" ht="11.25" customHeight="1">
      <c r="C71" s="78">
        <f t="shared" si="19"/>
        <v>25</v>
      </c>
      <c r="D71" s="1984" t="str">
        <f>+'Capex_FO input'!C71</f>
        <v>Eastern Treatment Plant - Wastewater Program</v>
      </c>
      <c r="E71" s="1985"/>
      <c r="F71" s="1985"/>
      <c r="G71" s="1985"/>
      <c r="H71" s="1986"/>
      <c r="I71" s="643">
        <f>+'Capex_FO input'!N71</f>
        <v>0</v>
      </c>
      <c r="J71" s="67"/>
      <c r="K71" s="67"/>
      <c r="L71" s="67"/>
      <c r="M71" s="67"/>
      <c r="N71" s="138"/>
      <c r="O71" s="67"/>
      <c r="P71" s="67"/>
      <c r="Q71" s="67"/>
      <c r="R71" s="91"/>
      <c r="S71" s="138"/>
      <c r="T71" s="67"/>
      <c r="U71" s="91"/>
      <c r="V71" s="67"/>
      <c r="W71" s="67"/>
      <c r="X71" s="67"/>
      <c r="Y71" s="67"/>
      <c r="Z71" s="67"/>
      <c r="AA71" s="393">
        <f ca="1">+'Capex_FO input'!CP71</f>
        <v>0</v>
      </c>
      <c r="AB71" s="394">
        <f ca="1">+'Capex_FO input'!CQ71</f>
        <v>0</v>
      </c>
      <c r="AC71" s="394">
        <f ca="1">+'Capex_FO input'!CR71</f>
        <v>0</v>
      </c>
      <c r="AD71" s="394">
        <f ca="1">+'Capex_FO input'!CS71</f>
        <v>0</v>
      </c>
      <c r="AE71" s="1279">
        <f ca="1">+'Capex_FO input'!CT71</f>
        <v>0</v>
      </c>
      <c r="AF71" s="393">
        <f ca="1">+'Capex_FO input'!CU71</f>
        <v>0</v>
      </c>
      <c r="AG71" s="394">
        <f ca="1">+'Capex_FO input'!CV71</f>
        <v>0</v>
      </c>
      <c r="AH71" s="394">
        <f ca="1">+'Capex_FO input'!CW71</f>
        <v>0</v>
      </c>
      <c r="AI71" s="394">
        <f ca="1">+'Capex_FO input'!CX71</f>
        <v>0</v>
      </c>
      <c r="AJ71" s="395">
        <f ca="1">+'Capex_FO input'!CY71</f>
        <v>0</v>
      </c>
    </row>
    <row r="72" spans="3:36" ht="11.25" customHeight="1">
      <c r="C72" s="78">
        <f t="shared" si="19"/>
        <v>26</v>
      </c>
      <c r="D72" s="1984" t="str">
        <f>+'Capex_FO input'!C72</f>
        <v>Production and Storage - Maroondah-Sugarloaf Program</v>
      </c>
      <c r="E72" s="1985"/>
      <c r="F72" s="1985"/>
      <c r="G72" s="1985"/>
      <c r="H72" s="1986"/>
      <c r="I72" s="643">
        <f>+'Capex_FO input'!N72</f>
        <v>0</v>
      </c>
      <c r="J72" s="67"/>
      <c r="K72" s="67"/>
      <c r="L72" s="67"/>
      <c r="M72" s="67"/>
      <c r="N72" s="138"/>
      <c r="O72" s="67"/>
      <c r="P72" s="67"/>
      <c r="Q72" s="67"/>
      <c r="R72" s="91"/>
      <c r="S72" s="138"/>
      <c r="T72" s="67"/>
      <c r="U72" s="91"/>
      <c r="V72" s="67"/>
      <c r="W72" s="67"/>
      <c r="X72" s="67"/>
      <c r="Y72" s="67"/>
      <c r="Z72" s="67"/>
      <c r="AA72" s="393">
        <f ca="1">+'Capex_FO input'!CP72</f>
        <v>0</v>
      </c>
      <c r="AB72" s="394">
        <f ca="1">+'Capex_FO input'!CQ72</f>
        <v>0</v>
      </c>
      <c r="AC72" s="394">
        <f ca="1">+'Capex_FO input'!CR72</f>
        <v>0</v>
      </c>
      <c r="AD72" s="394">
        <f ca="1">+'Capex_FO input'!CS72</f>
        <v>0</v>
      </c>
      <c r="AE72" s="1279">
        <f ca="1">+'Capex_FO input'!CT72</f>
        <v>0</v>
      </c>
      <c r="AF72" s="393">
        <f ca="1">+'Capex_FO input'!CU72</f>
        <v>0</v>
      </c>
      <c r="AG72" s="394">
        <f ca="1">+'Capex_FO input'!CV72</f>
        <v>0</v>
      </c>
      <c r="AH72" s="394">
        <f ca="1">+'Capex_FO input'!CW72</f>
        <v>0</v>
      </c>
      <c r="AI72" s="394">
        <f ca="1">+'Capex_FO input'!CX72</f>
        <v>0</v>
      </c>
      <c r="AJ72" s="395">
        <f ca="1">+'Capex_FO input'!CY72</f>
        <v>0</v>
      </c>
    </row>
    <row r="73" spans="3:36" ht="11.25" customHeight="1">
      <c r="C73" s="78">
        <f t="shared" si="19"/>
        <v>27</v>
      </c>
      <c r="D73" s="1984" t="str">
        <f>+'Capex_FO input'!C73</f>
        <v>Production and Storage - Maroondah-Sugarloaf Program</v>
      </c>
      <c r="E73" s="1985"/>
      <c r="F73" s="1985"/>
      <c r="G73" s="1985"/>
      <c r="H73" s="1986"/>
      <c r="I73" s="643">
        <f>+'Capex_FO input'!N73</f>
        <v>0</v>
      </c>
      <c r="J73" s="67"/>
      <c r="K73" s="67"/>
      <c r="L73" s="67"/>
      <c r="M73" s="67"/>
      <c r="N73" s="138"/>
      <c r="O73" s="67"/>
      <c r="P73" s="67"/>
      <c r="Q73" s="67"/>
      <c r="R73" s="91"/>
      <c r="S73" s="138"/>
      <c r="T73" s="67"/>
      <c r="U73" s="91"/>
      <c r="V73" s="67"/>
      <c r="W73" s="67"/>
      <c r="X73" s="67"/>
      <c r="Y73" s="67"/>
      <c r="Z73" s="67"/>
      <c r="AA73" s="393">
        <f ca="1">+'Capex_FO input'!CP73</f>
        <v>0</v>
      </c>
      <c r="AB73" s="394">
        <f ca="1">+'Capex_FO input'!CQ73</f>
        <v>0</v>
      </c>
      <c r="AC73" s="394">
        <f ca="1">+'Capex_FO input'!CR73</f>
        <v>0</v>
      </c>
      <c r="AD73" s="394">
        <f ca="1">+'Capex_FO input'!CS73</f>
        <v>0</v>
      </c>
      <c r="AE73" s="1279">
        <f ca="1">+'Capex_FO input'!CT73</f>
        <v>0</v>
      </c>
      <c r="AF73" s="393">
        <f ca="1">+'Capex_FO input'!CU73</f>
        <v>0</v>
      </c>
      <c r="AG73" s="394">
        <f ca="1">+'Capex_FO input'!CV73</f>
        <v>0</v>
      </c>
      <c r="AH73" s="394">
        <f ca="1">+'Capex_FO input'!CW73</f>
        <v>0</v>
      </c>
      <c r="AI73" s="394">
        <f ca="1">+'Capex_FO input'!CX73</f>
        <v>0</v>
      </c>
      <c r="AJ73" s="395">
        <f ca="1">+'Capex_FO input'!CY73</f>
        <v>0</v>
      </c>
    </row>
    <row r="74" spans="3:36" ht="11.25" customHeight="1">
      <c r="C74" s="78">
        <f t="shared" si="19"/>
        <v>28</v>
      </c>
      <c r="D74" s="1984" t="str">
        <f>+'Capex_FO input'!C74</f>
        <v>Production and Storage - Maroondah-Sugarloaf Program</v>
      </c>
      <c r="E74" s="1985"/>
      <c r="F74" s="1985"/>
      <c r="G74" s="1985"/>
      <c r="H74" s="1986"/>
      <c r="I74" s="643">
        <f>+'Capex_FO input'!N74</f>
        <v>0</v>
      </c>
      <c r="J74" s="67"/>
      <c r="K74" s="67"/>
      <c r="L74" s="67"/>
      <c r="M74" s="67"/>
      <c r="N74" s="138"/>
      <c r="O74" s="67"/>
      <c r="P74" s="67"/>
      <c r="Q74" s="67"/>
      <c r="R74" s="91"/>
      <c r="S74" s="138"/>
      <c r="T74" s="67"/>
      <c r="U74" s="91"/>
      <c r="V74" s="67"/>
      <c r="W74" s="67"/>
      <c r="X74" s="67"/>
      <c r="Y74" s="67"/>
      <c r="Z74" s="67"/>
      <c r="AA74" s="393">
        <f ca="1">+'Capex_FO input'!CP74</f>
        <v>0</v>
      </c>
      <c r="AB74" s="394">
        <f ca="1">+'Capex_FO input'!CQ74</f>
        <v>0</v>
      </c>
      <c r="AC74" s="394">
        <f ca="1">+'Capex_FO input'!CR74</f>
        <v>0</v>
      </c>
      <c r="AD74" s="394">
        <f ca="1">+'Capex_FO input'!CS74</f>
        <v>0</v>
      </c>
      <c r="AE74" s="1279">
        <f ca="1">+'Capex_FO input'!CT74</f>
        <v>0</v>
      </c>
      <c r="AF74" s="393">
        <f ca="1">+'Capex_FO input'!CU74</f>
        <v>0</v>
      </c>
      <c r="AG74" s="394">
        <f ca="1">+'Capex_FO input'!CV74</f>
        <v>0</v>
      </c>
      <c r="AH74" s="394">
        <f ca="1">+'Capex_FO input'!CW74</f>
        <v>0</v>
      </c>
      <c r="AI74" s="394">
        <f ca="1">+'Capex_FO input'!CX74</f>
        <v>0</v>
      </c>
      <c r="AJ74" s="395">
        <f ca="1">+'Capex_FO input'!CY74</f>
        <v>0</v>
      </c>
    </row>
    <row r="75" spans="3:36" ht="11.25" customHeight="1">
      <c r="C75" s="78">
        <f t="shared" si="19"/>
        <v>29</v>
      </c>
      <c r="D75" s="1984" t="str">
        <f>+'Capex_FO input'!C75</f>
        <v>Production and Storage - Off-Stream Storages Program</v>
      </c>
      <c r="E75" s="1985"/>
      <c r="F75" s="1985"/>
      <c r="G75" s="1985"/>
      <c r="H75" s="1986"/>
      <c r="I75" s="643">
        <f>+'Capex_FO input'!N75</f>
        <v>0</v>
      </c>
      <c r="J75" s="67"/>
      <c r="K75" s="67"/>
      <c r="L75" s="67"/>
      <c r="M75" s="67"/>
      <c r="N75" s="138"/>
      <c r="O75" s="67"/>
      <c r="P75" s="67"/>
      <c r="Q75" s="67"/>
      <c r="R75" s="91"/>
      <c r="S75" s="138"/>
      <c r="T75" s="67"/>
      <c r="U75" s="91"/>
      <c r="V75" s="67"/>
      <c r="W75" s="67"/>
      <c r="X75" s="67"/>
      <c r="Y75" s="67"/>
      <c r="Z75" s="67"/>
      <c r="AA75" s="393">
        <f ca="1">+'Capex_FO input'!CP75</f>
        <v>0</v>
      </c>
      <c r="AB75" s="394">
        <f ca="1">+'Capex_FO input'!CQ75</f>
        <v>0</v>
      </c>
      <c r="AC75" s="394">
        <f ca="1">+'Capex_FO input'!CR75</f>
        <v>0</v>
      </c>
      <c r="AD75" s="394">
        <f ca="1">+'Capex_FO input'!CS75</f>
        <v>0</v>
      </c>
      <c r="AE75" s="1279">
        <f ca="1">+'Capex_FO input'!CT75</f>
        <v>0</v>
      </c>
      <c r="AF75" s="393">
        <f ca="1">+'Capex_FO input'!CU75</f>
        <v>0</v>
      </c>
      <c r="AG75" s="394">
        <f ca="1">+'Capex_FO input'!CV75</f>
        <v>0</v>
      </c>
      <c r="AH75" s="394">
        <f ca="1">+'Capex_FO input'!CW75</f>
        <v>0</v>
      </c>
      <c r="AI75" s="394">
        <f ca="1">+'Capex_FO input'!CX75</f>
        <v>0</v>
      </c>
      <c r="AJ75" s="395">
        <f ca="1">+'Capex_FO input'!CY75</f>
        <v>0</v>
      </c>
    </row>
    <row r="76" spans="3:36" ht="11.25" customHeight="1">
      <c r="C76" s="78">
        <f t="shared" si="19"/>
        <v>30</v>
      </c>
      <c r="D76" s="1984" t="str">
        <f>+'Capex_FO input'!C76</f>
        <v>Production and Storage - Off-Stream Storages Program</v>
      </c>
      <c r="E76" s="1985"/>
      <c r="F76" s="1985"/>
      <c r="G76" s="1985"/>
      <c r="H76" s="1986"/>
      <c r="I76" s="643">
        <f>+'Capex_FO input'!N76</f>
        <v>0</v>
      </c>
      <c r="J76" s="67"/>
      <c r="K76" s="67"/>
      <c r="L76" s="67"/>
      <c r="M76" s="67"/>
      <c r="N76" s="138"/>
      <c r="O76" s="67"/>
      <c r="P76" s="67"/>
      <c r="Q76" s="67"/>
      <c r="R76" s="91"/>
      <c r="S76" s="138"/>
      <c r="T76" s="67"/>
      <c r="U76" s="91"/>
      <c r="V76" s="67"/>
      <c r="W76" s="67"/>
      <c r="X76" s="67"/>
      <c r="Y76" s="67"/>
      <c r="Z76" s="67"/>
      <c r="AA76" s="393">
        <f ca="1">+'Capex_FO input'!CP76</f>
        <v>0</v>
      </c>
      <c r="AB76" s="394">
        <f ca="1">+'Capex_FO input'!CQ76</f>
        <v>0</v>
      </c>
      <c r="AC76" s="394">
        <f ca="1">+'Capex_FO input'!CR76</f>
        <v>0</v>
      </c>
      <c r="AD76" s="394">
        <f ca="1">+'Capex_FO input'!CS76</f>
        <v>0</v>
      </c>
      <c r="AE76" s="1279">
        <f ca="1">+'Capex_FO input'!CT76</f>
        <v>0</v>
      </c>
      <c r="AF76" s="393">
        <f ca="1">+'Capex_FO input'!CU76</f>
        <v>0</v>
      </c>
      <c r="AG76" s="394">
        <f ca="1">+'Capex_FO input'!CV76</f>
        <v>0</v>
      </c>
      <c r="AH76" s="394">
        <f ca="1">+'Capex_FO input'!CW76</f>
        <v>0</v>
      </c>
      <c r="AI76" s="394">
        <f ca="1">+'Capex_FO input'!CX76</f>
        <v>0</v>
      </c>
      <c r="AJ76" s="395">
        <f ca="1">+'Capex_FO input'!CY76</f>
        <v>0</v>
      </c>
    </row>
    <row r="77" spans="3:36" ht="11.25" customHeight="1">
      <c r="C77" s="78">
        <f t="shared" si="19"/>
        <v>31</v>
      </c>
      <c r="D77" s="1984" t="str">
        <f>+'Capex_FO input'!C77</f>
        <v>Production and Storage - Other Program</v>
      </c>
      <c r="E77" s="1985"/>
      <c r="F77" s="1985"/>
      <c r="G77" s="1985"/>
      <c r="H77" s="1986"/>
      <c r="I77" s="643">
        <f>+'Capex_FO input'!N77</f>
        <v>0</v>
      </c>
      <c r="J77" s="67"/>
      <c r="K77" s="67"/>
      <c r="L77" s="67"/>
      <c r="M77" s="67"/>
      <c r="N77" s="138"/>
      <c r="O77" s="67"/>
      <c r="P77" s="67"/>
      <c r="Q77" s="67"/>
      <c r="R77" s="91"/>
      <c r="S77" s="138"/>
      <c r="T77" s="67"/>
      <c r="U77" s="91"/>
      <c r="V77" s="67"/>
      <c r="W77" s="67"/>
      <c r="X77" s="67"/>
      <c r="Y77" s="67"/>
      <c r="Z77" s="67"/>
      <c r="AA77" s="393">
        <f ca="1">+'Capex_FO input'!CP77</f>
        <v>0</v>
      </c>
      <c r="AB77" s="394">
        <f ca="1">+'Capex_FO input'!CQ77</f>
        <v>0</v>
      </c>
      <c r="AC77" s="394">
        <f ca="1">+'Capex_FO input'!CR77</f>
        <v>0</v>
      </c>
      <c r="AD77" s="394">
        <f ca="1">+'Capex_FO input'!CS77</f>
        <v>0</v>
      </c>
      <c r="AE77" s="1279">
        <f ca="1">+'Capex_FO input'!CT77</f>
        <v>0</v>
      </c>
      <c r="AF77" s="393">
        <f ca="1">+'Capex_FO input'!CU77</f>
        <v>0</v>
      </c>
      <c r="AG77" s="394">
        <f ca="1">+'Capex_FO input'!CV77</f>
        <v>0</v>
      </c>
      <c r="AH77" s="394">
        <f ca="1">+'Capex_FO input'!CW77</f>
        <v>0</v>
      </c>
      <c r="AI77" s="394">
        <f ca="1">+'Capex_FO input'!CX77</f>
        <v>0</v>
      </c>
      <c r="AJ77" s="395">
        <f ca="1">+'Capex_FO input'!CY77</f>
        <v>0</v>
      </c>
    </row>
    <row r="78" spans="3:36" ht="11.25" customHeight="1">
      <c r="C78" s="78">
        <f t="shared" si="19"/>
        <v>32</v>
      </c>
      <c r="D78" s="1984" t="str">
        <f>+'Capex_FO input'!C78</f>
        <v>Production and Storage - Other Program</v>
      </c>
      <c r="E78" s="1985"/>
      <c r="F78" s="1985"/>
      <c r="G78" s="1985"/>
      <c r="H78" s="1986"/>
      <c r="I78" s="643">
        <f>+'Capex_FO input'!N78</f>
        <v>0</v>
      </c>
      <c r="J78" s="67"/>
      <c r="K78" s="67"/>
      <c r="L78" s="67"/>
      <c r="M78" s="67"/>
      <c r="N78" s="138"/>
      <c r="O78" s="67"/>
      <c r="P78" s="67"/>
      <c r="Q78" s="67"/>
      <c r="R78" s="91"/>
      <c r="S78" s="138"/>
      <c r="T78" s="67"/>
      <c r="U78" s="91"/>
      <c r="V78" s="67"/>
      <c r="W78" s="67"/>
      <c r="X78" s="67"/>
      <c r="Y78" s="67"/>
      <c r="Z78" s="67"/>
      <c r="AA78" s="393">
        <f ca="1">+'Capex_FO input'!CP78</f>
        <v>0</v>
      </c>
      <c r="AB78" s="394">
        <f ca="1">+'Capex_FO input'!CQ78</f>
        <v>0</v>
      </c>
      <c r="AC78" s="394">
        <f ca="1">+'Capex_FO input'!CR78</f>
        <v>0</v>
      </c>
      <c r="AD78" s="394">
        <f ca="1">+'Capex_FO input'!CS78</f>
        <v>0</v>
      </c>
      <c r="AE78" s="1279">
        <f ca="1">+'Capex_FO input'!CT78</f>
        <v>0</v>
      </c>
      <c r="AF78" s="393">
        <f ca="1">+'Capex_FO input'!CU78</f>
        <v>0</v>
      </c>
      <c r="AG78" s="394">
        <f ca="1">+'Capex_FO input'!CV78</f>
        <v>0</v>
      </c>
      <c r="AH78" s="394">
        <f ca="1">+'Capex_FO input'!CW78</f>
        <v>0</v>
      </c>
      <c r="AI78" s="394">
        <f ca="1">+'Capex_FO input'!CX78</f>
        <v>0</v>
      </c>
      <c r="AJ78" s="395">
        <f ca="1">+'Capex_FO input'!CY78</f>
        <v>0</v>
      </c>
    </row>
    <row r="79" spans="3:36" ht="11.25" customHeight="1">
      <c r="C79" s="78">
        <f t="shared" si="19"/>
        <v>33</v>
      </c>
      <c r="D79" s="1984" t="str">
        <f>+'Capex_FO input'!C79</f>
        <v>Production and Storage - Other Program</v>
      </c>
      <c r="E79" s="1985"/>
      <c r="F79" s="1985"/>
      <c r="G79" s="1985"/>
      <c r="H79" s="1986"/>
      <c r="I79" s="643">
        <f>+'Capex_FO input'!N79</f>
        <v>0</v>
      </c>
      <c r="J79" s="67"/>
      <c r="K79" s="67"/>
      <c r="L79" s="67"/>
      <c r="M79" s="67"/>
      <c r="N79" s="138"/>
      <c r="O79" s="67"/>
      <c r="P79" s="67"/>
      <c r="Q79" s="67"/>
      <c r="R79" s="91"/>
      <c r="S79" s="138"/>
      <c r="T79" s="67"/>
      <c r="U79" s="91"/>
      <c r="V79" s="67"/>
      <c r="W79" s="67"/>
      <c r="X79" s="67"/>
      <c r="Y79" s="67"/>
      <c r="Z79" s="67"/>
      <c r="AA79" s="393">
        <f ca="1">+'Capex_FO input'!CP79</f>
        <v>0</v>
      </c>
      <c r="AB79" s="394">
        <f ca="1">+'Capex_FO input'!CQ79</f>
        <v>0</v>
      </c>
      <c r="AC79" s="394">
        <f ca="1">+'Capex_FO input'!CR79</f>
        <v>0</v>
      </c>
      <c r="AD79" s="394">
        <f ca="1">+'Capex_FO input'!CS79</f>
        <v>0</v>
      </c>
      <c r="AE79" s="1279">
        <f ca="1">+'Capex_FO input'!CT79</f>
        <v>0</v>
      </c>
      <c r="AF79" s="393">
        <f ca="1">+'Capex_FO input'!CU79</f>
        <v>0</v>
      </c>
      <c r="AG79" s="394">
        <f ca="1">+'Capex_FO input'!CV79</f>
        <v>0</v>
      </c>
      <c r="AH79" s="394">
        <f ca="1">+'Capex_FO input'!CW79</f>
        <v>0</v>
      </c>
      <c r="AI79" s="394">
        <f ca="1">+'Capex_FO input'!CX79</f>
        <v>0</v>
      </c>
      <c r="AJ79" s="395">
        <f ca="1">+'Capex_FO input'!CY79</f>
        <v>0</v>
      </c>
    </row>
    <row r="80" spans="3:36" ht="11.25" customHeight="1">
      <c r="C80" s="78">
        <f t="shared" si="19"/>
        <v>34</v>
      </c>
      <c r="D80" s="1984" t="str">
        <f>+'Capex_FO input'!C80</f>
        <v>Production and Storage - Tarago Program</v>
      </c>
      <c r="E80" s="1985"/>
      <c r="F80" s="1985"/>
      <c r="G80" s="1985"/>
      <c r="H80" s="1986"/>
      <c r="I80" s="643">
        <f>+'Capex_FO input'!N80</f>
        <v>0</v>
      </c>
      <c r="J80" s="67"/>
      <c r="K80" s="67"/>
      <c r="L80" s="67"/>
      <c r="M80" s="67"/>
      <c r="N80" s="138"/>
      <c r="O80" s="67"/>
      <c r="P80" s="67"/>
      <c r="Q80" s="67"/>
      <c r="R80" s="91"/>
      <c r="S80" s="138"/>
      <c r="T80" s="67"/>
      <c r="U80" s="91"/>
      <c r="V80" s="67"/>
      <c r="W80" s="67"/>
      <c r="X80" s="67"/>
      <c r="Y80" s="67"/>
      <c r="Z80" s="67"/>
      <c r="AA80" s="393">
        <f ca="1">+'Capex_FO input'!CP80</f>
        <v>0</v>
      </c>
      <c r="AB80" s="394">
        <f ca="1">+'Capex_FO input'!CQ80</f>
        <v>0</v>
      </c>
      <c r="AC80" s="394">
        <f ca="1">+'Capex_FO input'!CR80</f>
        <v>0</v>
      </c>
      <c r="AD80" s="394">
        <f ca="1">+'Capex_FO input'!CS80</f>
        <v>0</v>
      </c>
      <c r="AE80" s="1279">
        <f ca="1">+'Capex_FO input'!CT80</f>
        <v>0</v>
      </c>
      <c r="AF80" s="393">
        <f ca="1">+'Capex_FO input'!CU80</f>
        <v>0</v>
      </c>
      <c r="AG80" s="394">
        <f ca="1">+'Capex_FO input'!CV80</f>
        <v>0</v>
      </c>
      <c r="AH80" s="394">
        <f ca="1">+'Capex_FO input'!CW80</f>
        <v>0</v>
      </c>
      <c r="AI80" s="394">
        <f ca="1">+'Capex_FO input'!CX80</f>
        <v>0</v>
      </c>
      <c r="AJ80" s="395">
        <f ca="1">+'Capex_FO input'!CY80</f>
        <v>0</v>
      </c>
    </row>
    <row r="81" spans="3:36" ht="11.25" customHeight="1">
      <c r="C81" s="78">
        <f t="shared" si="19"/>
        <v>35</v>
      </c>
      <c r="D81" s="1984" t="str">
        <f>+'Capex_FO input'!C81</f>
        <v>Production and Storage - Tarago Program</v>
      </c>
      <c r="E81" s="1985"/>
      <c r="F81" s="1985"/>
      <c r="G81" s="1985"/>
      <c r="H81" s="1986"/>
      <c r="I81" s="643">
        <f>+'Capex_FO input'!N81</f>
        <v>0</v>
      </c>
      <c r="J81" s="67"/>
      <c r="K81" s="67"/>
      <c r="L81" s="67"/>
      <c r="M81" s="67"/>
      <c r="N81" s="138"/>
      <c r="O81" s="67"/>
      <c r="P81" s="67"/>
      <c r="Q81" s="67"/>
      <c r="R81" s="91"/>
      <c r="S81" s="138"/>
      <c r="T81" s="67"/>
      <c r="U81" s="91"/>
      <c r="V81" s="67"/>
      <c r="W81" s="67"/>
      <c r="X81" s="67"/>
      <c r="Y81" s="67"/>
      <c r="Z81" s="67"/>
      <c r="AA81" s="393">
        <f ca="1">+'Capex_FO input'!CP81</f>
        <v>0</v>
      </c>
      <c r="AB81" s="394">
        <f ca="1">+'Capex_FO input'!CQ81</f>
        <v>0</v>
      </c>
      <c r="AC81" s="394">
        <f ca="1">+'Capex_FO input'!CR81</f>
        <v>0</v>
      </c>
      <c r="AD81" s="394">
        <f ca="1">+'Capex_FO input'!CS81</f>
        <v>0</v>
      </c>
      <c r="AE81" s="1279">
        <f ca="1">+'Capex_FO input'!CT81</f>
        <v>0</v>
      </c>
      <c r="AF81" s="393">
        <f ca="1">+'Capex_FO input'!CU81</f>
        <v>0</v>
      </c>
      <c r="AG81" s="394">
        <f ca="1">+'Capex_FO input'!CV81</f>
        <v>0</v>
      </c>
      <c r="AH81" s="394">
        <f ca="1">+'Capex_FO input'!CW81</f>
        <v>0</v>
      </c>
      <c r="AI81" s="394">
        <f ca="1">+'Capex_FO input'!CX81</f>
        <v>0</v>
      </c>
      <c r="AJ81" s="395">
        <f ca="1">+'Capex_FO input'!CY81</f>
        <v>0</v>
      </c>
    </row>
    <row r="82" spans="3:36" ht="11.25" customHeight="1">
      <c r="C82" s="78">
        <f t="shared" si="19"/>
        <v>36</v>
      </c>
      <c r="D82" s="1984" t="str">
        <f>+'Capex_FO input'!C82</f>
        <v>Production and Storage - Thomson-Silvan Program</v>
      </c>
      <c r="E82" s="1985"/>
      <c r="F82" s="1985"/>
      <c r="G82" s="1985"/>
      <c r="H82" s="1986"/>
      <c r="I82" s="643">
        <f>+'Capex_FO input'!N82</f>
        <v>0</v>
      </c>
      <c r="J82" s="67"/>
      <c r="K82" s="67"/>
      <c r="L82" s="67"/>
      <c r="M82" s="67"/>
      <c r="N82" s="138"/>
      <c r="O82" s="67"/>
      <c r="P82" s="67"/>
      <c r="Q82" s="67"/>
      <c r="R82" s="91"/>
      <c r="S82" s="138"/>
      <c r="T82" s="67"/>
      <c r="U82" s="91"/>
      <c r="V82" s="67"/>
      <c r="W82" s="67"/>
      <c r="X82" s="67"/>
      <c r="Y82" s="67"/>
      <c r="Z82" s="67"/>
      <c r="AA82" s="393">
        <f ca="1">+'Capex_FO input'!CP82</f>
        <v>0</v>
      </c>
      <c r="AB82" s="394">
        <f ca="1">+'Capex_FO input'!CQ82</f>
        <v>0</v>
      </c>
      <c r="AC82" s="394">
        <f ca="1">+'Capex_FO input'!CR82</f>
        <v>0</v>
      </c>
      <c r="AD82" s="394">
        <f ca="1">+'Capex_FO input'!CS82</f>
        <v>0</v>
      </c>
      <c r="AE82" s="1279">
        <f ca="1">+'Capex_FO input'!CT82</f>
        <v>0</v>
      </c>
      <c r="AF82" s="393">
        <f ca="1">+'Capex_FO input'!CU82</f>
        <v>0</v>
      </c>
      <c r="AG82" s="394">
        <f ca="1">+'Capex_FO input'!CV82</f>
        <v>0</v>
      </c>
      <c r="AH82" s="394">
        <f ca="1">+'Capex_FO input'!CW82</f>
        <v>0</v>
      </c>
      <c r="AI82" s="394">
        <f ca="1">+'Capex_FO input'!CX82</f>
        <v>0</v>
      </c>
      <c r="AJ82" s="395">
        <f ca="1">+'Capex_FO input'!CY82</f>
        <v>0</v>
      </c>
    </row>
    <row r="83" spans="3:36" ht="11.25" customHeight="1">
      <c r="C83" s="78">
        <f t="shared" si="19"/>
        <v>37</v>
      </c>
      <c r="D83" s="1984" t="str">
        <f>+'Capex_FO input'!C83</f>
        <v>Production and Storage - Thomson-Silvan Program</v>
      </c>
      <c r="E83" s="1985"/>
      <c r="F83" s="1985"/>
      <c r="G83" s="1985"/>
      <c r="H83" s="1986"/>
      <c r="I83" s="643">
        <f>+'Capex_FO input'!N83</f>
        <v>0</v>
      </c>
      <c r="J83" s="67"/>
      <c r="K83" s="67"/>
      <c r="L83" s="67"/>
      <c r="M83" s="67"/>
      <c r="N83" s="138"/>
      <c r="O83" s="67"/>
      <c r="P83" s="67"/>
      <c r="Q83" s="67"/>
      <c r="R83" s="91"/>
      <c r="S83" s="138"/>
      <c r="T83" s="67"/>
      <c r="U83" s="91"/>
      <c r="V83" s="67"/>
      <c r="W83" s="67"/>
      <c r="X83" s="67"/>
      <c r="Y83" s="67"/>
      <c r="Z83" s="67"/>
      <c r="AA83" s="393">
        <f ca="1">+'Capex_FO input'!CP83</f>
        <v>0</v>
      </c>
      <c r="AB83" s="394">
        <f ca="1">+'Capex_FO input'!CQ83</f>
        <v>0</v>
      </c>
      <c r="AC83" s="394">
        <f ca="1">+'Capex_FO input'!CR83</f>
        <v>0</v>
      </c>
      <c r="AD83" s="394">
        <f ca="1">+'Capex_FO input'!CS83</f>
        <v>0</v>
      </c>
      <c r="AE83" s="1279">
        <f ca="1">+'Capex_FO input'!CT83</f>
        <v>0</v>
      </c>
      <c r="AF83" s="393">
        <f ca="1">+'Capex_FO input'!CU83</f>
        <v>0</v>
      </c>
      <c r="AG83" s="394">
        <f ca="1">+'Capex_FO input'!CV83</f>
        <v>0</v>
      </c>
      <c r="AH83" s="394">
        <f ca="1">+'Capex_FO input'!CW83</f>
        <v>0</v>
      </c>
      <c r="AI83" s="394">
        <f ca="1">+'Capex_FO input'!CX83</f>
        <v>0</v>
      </c>
      <c r="AJ83" s="395">
        <f ca="1">+'Capex_FO input'!CY83</f>
        <v>0</v>
      </c>
    </row>
    <row r="84" spans="3:36" ht="11.25" customHeight="1">
      <c r="C84" s="78">
        <f t="shared" si="19"/>
        <v>38</v>
      </c>
      <c r="D84" s="1984" t="str">
        <f>+'Capex_FO input'!C84</f>
        <v>Production and Storage - Wallaby-Yan Yean Program</v>
      </c>
      <c r="E84" s="1985"/>
      <c r="F84" s="1985"/>
      <c r="G84" s="1985"/>
      <c r="H84" s="1986"/>
      <c r="I84" s="643">
        <f>+'Capex_FO input'!N84</f>
        <v>0</v>
      </c>
      <c r="J84" s="67"/>
      <c r="K84" s="67"/>
      <c r="L84" s="67"/>
      <c r="M84" s="67"/>
      <c r="N84" s="138"/>
      <c r="O84" s="67"/>
      <c r="P84" s="67"/>
      <c r="Q84" s="67"/>
      <c r="R84" s="91"/>
      <c r="S84" s="138"/>
      <c r="T84" s="67"/>
      <c r="U84" s="91"/>
      <c r="V84" s="67"/>
      <c r="W84" s="67"/>
      <c r="X84" s="67"/>
      <c r="Y84" s="67"/>
      <c r="Z84" s="67"/>
      <c r="AA84" s="393">
        <f ca="1">+'Capex_FO input'!CP84</f>
        <v>0</v>
      </c>
      <c r="AB84" s="394">
        <f ca="1">+'Capex_FO input'!CQ84</f>
        <v>0</v>
      </c>
      <c r="AC84" s="394">
        <f ca="1">+'Capex_FO input'!CR84</f>
        <v>0</v>
      </c>
      <c r="AD84" s="394">
        <f ca="1">+'Capex_FO input'!CS84</f>
        <v>0</v>
      </c>
      <c r="AE84" s="1279">
        <f ca="1">+'Capex_FO input'!CT84</f>
        <v>0</v>
      </c>
      <c r="AF84" s="393">
        <f ca="1">+'Capex_FO input'!CU84</f>
        <v>0</v>
      </c>
      <c r="AG84" s="394">
        <f ca="1">+'Capex_FO input'!CV84</f>
        <v>0</v>
      </c>
      <c r="AH84" s="394">
        <f ca="1">+'Capex_FO input'!CW84</f>
        <v>0</v>
      </c>
      <c r="AI84" s="394">
        <f ca="1">+'Capex_FO input'!CX84</f>
        <v>0</v>
      </c>
      <c r="AJ84" s="395">
        <f ca="1">+'Capex_FO input'!CY84</f>
        <v>0</v>
      </c>
    </row>
    <row r="85" spans="3:36" ht="11.25" customHeight="1">
      <c r="C85" s="78">
        <f t="shared" si="19"/>
        <v>39</v>
      </c>
      <c r="D85" s="1984" t="str">
        <f>+'Capex_FO input'!C85</f>
        <v>Sewerage Transfer - East Program</v>
      </c>
      <c r="E85" s="1985"/>
      <c r="F85" s="1985"/>
      <c r="G85" s="1985"/>
      <c r="H85" s="1986"/>
      <c r="I85" s="643">
        <f>+'Capex_FO input'!N85</f>
        <v>0</v>
      </c>
      <c r="J85" s="67"/>
      <c r="K85" s="67"/>
      <c r="L85" s="67"/>
      <c r="M85" s="67"/>
      <c r="N85" s="138"/>
      <c r="O85" s="67"/>
      <c r="P85" s="67"/>
      <c r="Q85" s="67"/>
      <c r="R85" s="91"/>
      <c r="S85" s="138"/>
      <c r="T85" s="67"/>
      <c r="U85" s="91"/>
      <c r="V85" s="67"/>
      <c r="W85" s="67"/>
      <c r="X85" s="67"/>
      <c r="Y85" s="67"/>
      <c r="Z85" s="67"/>
      <c r="AA85" s="393">
        <f ca="1">+'Capex_FO input'!CP85</f>
        <v>0</v>
      </c>
      <c r="AB85" s="394">
        <f ca="1">+'Capex_FO input'!CQ85</f>
        <v>0</v>
      </c>
      <c r="AC85" s="394">
        <f ca="1">+'Capex_FO input'!CR85</f>
        <v>0</v>
      </c>
      <c r="AD85" s="394">
        <f ca="1">+'Capex_FO input'!CS85</f>
        <v>0</v>
      </c>
      <c r="AE85" s="1279">
        <f ca="1">+'Capex_FO input'!CT85</f>
        <v>0</v>
      </c>
      <c r="AF85" s="393">
        <f ca="1">+'Capex_FO input'!CU85</f>
        <v>0</v>
      </c>
      <c r="AG85" s="394">
        <f ca="1">+'Capex_FO input'!CV85</f>
        <v>0</v>
      </c>
      <c r="AH85" s="394">
        <f ca="1">+'Capex_FO input'!CW85</f>
        <v>0</v>
      </c>
      <c r="AI85" s="394">
        <f ca="1">+'Capex_FO input'!CX85</f>
        <v>0</v>
      </c>
      <c r="AJ85" s="395">
        <f ca="1">+'Capex_FO input'!CY85</f>
        <v>0</v>
      </c>
    </row>
    <row r="86" spans="3:36" ht="11.25" customHeight="1">
      <c r="C86" s="78">
        <f t="shared" si="19"/>
        <v>40</v>
      </c>
      <c r="D86" s="1984" t="str">
        <f>+'Capex_FO input'!C86</f>
        <v>Sewerage Transfer - East Program</v>
      </c>
      <c r="E86" s="1985"/>
      <c r="F86" s="1985"/>
      <c r="G86" s="1985"/>
      <c r="H86" s="1986"/>
      <c r="I86" s="643">
        <f>+'Capex_FO input'!N86</f>
        <v>0</v>
      </c>
      <c r="J86" s="67"/>
      <c r="K86" s="67"/>
      <c r="L86" s="67"/>
      <c r="M86" s="67"/>
      <c r="N86" s="138"/>
      <c r="O86" s="67"/>
      <c r="P86" s="67"/>
      <c r="Q86" s="67"/>
      <c r="R86" s="91"/>
      <c r="S86" s="138"/>
      <c r="T86" s="67"/>
      <c r="U86" s="91"/>
      <c r="V86" s="67"/>
      <c r="W86" s="67"/>
      <c r="X86" s="67"/>
      <c r="Y86" s="67"/>
      <c r="Z86" s="67"/>
      <c r="AA86" s="393">
        <f ca="1">+'Capex_FO input'!CP86</f>
        <v>0</v>
      </c>
      <c r="AB86" s="394">
        <f ca="1">+'Capex_FO input'!CQ86</f>
        <v>0</v>
      </c>
      <c r="AC86" s="394">
        <f ca="1">+'Capex_FO input'!CR86</f>
        <v>0</v>
      </c>
      <c r="AD86" s="394">
        <f ca="1">+'Capex_FO input'!CS86</f>
        <v>0</v>
      </c>
      <c r="AE86" s="1279">
        <f ca="1">+'Capex_FO input'!CT86</f>
        <v>0</v>
      </c>
      <c r="AF86" s="393">
        <f ca="1">+'Capex_FO input'!CU86</f>
        <v>0</v>
      </c>
      <c r="AG86" s="394">
        <f ca="1">+'Capex_FO input'!CV86</f>
        <v>0</v>
      </c>
      <c r="AH86" s="394">
        <f ca="1">+'Capex_FO input'!CW86</f>
        <v>0</v>
      </c>
      <c r="AI86" s="394">
        <f ca="1">+'Capex_FO input'!CX86</f>
        <v>0</v>
      </c>
      <c r="AJ86" s="395">
        <f ca="1">+'Capex_FO input'!CY86</f>
        <v>0</v>
      </c>
    </row>
    <row r="87" spans="3:36" ht="11.25" customHeight="1">
      <c r="C87" s="78">
        <f t="shared" si="19"/>
        <v>41</v>
      </c>
      <c r="D87" s="1984" t="str">
        <f>+'Capex_FO input'!C87</f>
        <v>Sewerage Transfer - East Program</v>
      </c>
      <c r="E87" s="1985"/>
      <c r="F87" s="1985"/>
      <c r="G87" s="1985"/>
      <c r="H87" s="1986"/>
      <c r="I87" s="643">
        <f>+'Capex_FO input'!N87</f>
        <v>0</v>
      </c>
      <c r="J87" s="67"/>
      <c r="K87" s="67"/>
      <c r="L87" s="67"/>
      <c r="M87" s="67"/>
      <c r="N87" s="138"/>
      <c r="O87" s="67"/>
      <c r="P87" s="67"/>
      <c r="Q87" s="67"/>
      <c r="R87" s="91"/>
      <c r="S87" s="138"/>
      <c r="T87" s="67"/>
      <c r="U87" s="91"/>
      <c r="V87" s="67"/>
      <c r="W87" s="67"/>
      <c r="X87" s="67"/>
      <c r="Y87" s="67"/>
      <c r="Z87" s="67"/>
      <c r="AA87" s="393">
        <f ca="1">+'Capex_FO input'!CP87</f>
        <v>0</v>
      </c>
      <c r="AB87" s="394">
        <f ca="1">+'Capex_FO input'!CQ87</f>
        <v>0</v>
      </c>
      <c r="AC87" s="394">
        <f ca="1">+'Capex_FO input'!CR87</f>
        <v>0</v>
      </c>
      <c r="AD87" s="394">
        <f ca="1">+'Capex_FO input'!CS87</f>
        <v>0</v>
      </c>
      <c r="AE87" s="1279">
        <f ca="1">+'Capex_FO input'!CT87</f>
        <v>0</v>
      </c>
      <c r="AF87" s="393">
        <f ca="1">+'Capex_FO input'!CU87</f>
        <v>0</v>
      </c>
      <c r="AG87" s="394">
        <f ca="1">+'Capex_FO input'!CV87</f>
        <v>0</v>
      </c>
      <c r="AH87" s="394">
        <f ca="1">+'Capex_FO input'!CW87</f>
        <v>0</v>
      </c>
      <c r="AI87" s="394">
        <f ca="1">+'Capex_FO input'!CX87</f>
        <v>0</v>
      </c>
      <c r="AJ87" s="395">
        <f ca="1">+'Capex_FO input'!CY87</f>
        <v>0</v>
      </c>
    </row>
    <row r="88" spans="3:36" ht="11.25" customHeight="1">
      <c r="C88" s="78">
        <f t="shared" si="19"/>
        <v>42</v>
      </c>
      <c r="D88" s="1984" t="str">
        <f>+'Capex_FO input'!C88</f>
        <v>Sewerage Transfer - East Program</v>
      </c>
      <c r="E88" s="1985"/>
      <c r="F88" s="1985"/>
      <c r="G88" s="1985"/>
      <c r="H88" s="1986"/>
      <c r="I88" s="643">
        <f>+'Capex_FO input'!N88</f>
        <v>0</v>
      </c>
      <c r="J88" s="67"/>
      <c r="K88" s="67"/>
      <c r="L88" s="67"/>
      <c r="M88" s="67"/>
      <c r="N88" s="138"/>
      <c r="O88" s="67"/>
      <c r="P88" s="67"/>
      <c r="Q88" s="67"/>
      <c r="R88" s="91"/>
      <c r="S88" s="138"/>
      <c r="T88" s="67"/>
      <c r="U88" s="91"/>
      <c r="V88" s="67"/>
      <c r="W88" s="67"/>
      <c r="X88" s="67"/>
      <c r="Y88" s="67"/>
      <c r="Z88" s="67"/>
      <c r="AA88" s="393">
        <f ca="1">+'Capex_FO input'!CP88</f>
        <v>0</v>
      </c>
      <c r="AB88" s="394">
        <f ca="1">+'Capex_FO input'!CQ88</f>
        <v>0</v>
      </c>
      <c r="AC88" s="394">
        <f ca="1">+'Capex_FO input'!CR88</f>
        <v>0</v>
      </c>
      <c r="AD88" s="394">
        <f ca="1">+'Capex_FO input'!CS88</f>
        <v>0</v>
      </c>
      <c r="AE88" s="1279">
        <f ca="1">+'Capex_FO input'!CT88</f>
        <v>0</v>
      </c>
      <c r="AF88" s="393">
        <f ca="1">+'Capex_FO input'!CU88</f>
        <v>0</v>
      </c>
      <c r="AG88" s="394">
        <f ca="1">+'Capex_FO input'!CV88</f>
        <v>0</v>
      </c>
      <c r="AH88" s="394">
        <f ca="1">+'Capex_FO input'!CW88</f>
        <v>0</v>
      </c>
      <c r="AI88" s="394">
        <f ca="1">+'Capex_FO input'!CX88</f>
        <v>0</v>
      </c>
      <c r="AJ88" s="395">
        <f ca="1">+'Capex_FO input'!CY88</f>
        <v>0</v>
      </c>
    </row>
    <row r="89" spans="3:36" ht="11.25" customHeight="1">
      <c r="C89" s="78">
        <f t="shared" si="19"/>
        <v>43</v>
      </c>
      <c r="D89" s="1984" t="str">
        <f>+'Capex_FO input'!C89</f>
        <v>Sewerage Transfer - East Program</v>
      </c>
      <c r="E89" s="1985"/>
      <c r="F89" s="1985"/>
      <c r="G89" s="1985"/>
      <c r="H89" s="1986"/>
      <c r="I89" s="643">
        <f>+'Capex_FO input'!N89</f>
        <v>0</v>
      </c>
      <c r="J89" s="67"/>
      <c r="K89" s="67"/>
      <c r="L89" s="67"/>
      <c r="M89" s="67"/>
      <c r="N89" s="138"/>
      <c r="O89" s="67"/>
      <c r="P89" s="67"/>
      <c r="Q89" s="67"/>
      <c r="R89" s="91"/>
      <c r="S89" s="138"/>
      <c r="T89" s="67"/>
      <c r="U89" s="91"/>
      <c r="V89" s="67"/>
      <c r="W89" s="67"/>
      <c r="X89" s="67"/>
      <c r="Y89" s="67"/>
      <c r="Z89" s="67"/>
      <c r="AA89" s="393">
        <f ca="1">+'Capex_FO input'!CP89</f>
        <v>0</v>
      </c>
      <c r="AB89" s="394">
        <f ca="1">+'Capex_FO input'!CQ89</f>
        <v>0</v>
      </c>
      <c r="AC89" s="394">
        <f ca="1">+'Capex_FO input'!CR89</f>
        <v>0</v>
      </c>
      <c r="AD89" s="394">
        <f ca="1">+'Capex_FO input'!CS89</f>
        <v>0</v>
      </c>
      <c r="AE89" s="1279">
        <f ca="1">+'Capex_FO input'!CT89</f>
        <v>0</v>
      </c>
      <c r="AF89" s="393">
        <f ca="1">+'Capex_FO input'!CU89</f>
        <v>0</v>
      </c>
      <c r="AG89" s="394">
        <f ca="1">+'Capex_FO input'!CV89</f>
        <v>0</v>
      </c>
      <c r="AH89" s="394">
        <f ca="1">+'Capex_FO input'!CW89</f>
        <v>0</v>
      </c>
      <c r="AI89" s="394">
        <f ca="1">+'Capex_FO input'!CX89</f>
        <v>0</v>
      </c>
      <c r="AJ89" s="395">
        <f ca="1">+'Capex_FO input'!CY89</f>
        <v>0</v>
      </c>
    </row>
    <row r="90" spans="3:36" ht="11.25" customHeight="1">
      <c r="C90" s="78">
        <f t="shared" si="19"/>
        <v>44</v>
      </c>
      <c r="D90" s="1984" t="str">
        <f>+'Capex_FO input'!C90</f>
        <v>Sewerage Transfer - Other Program</v>
      </c>
      <c r="E90" s="1985"/>
      <c r="F90" s="1985"/>
      <c r="G90" s="1985"/>
      <c r="H90" s="1986"/>
      <c r="I90" s="643">
        <f>+'Capex_FO input'!N90</f>
        <v>0</v>
      </c>
      <c r="J90" s="67"/>
      <c r="K90" s="67"/>
      <c r="L90" s="67"/>
      <c r="M90" s="67"/>
      <c r="N90" s="138"/>
      <c r="O90" s="67"/>
      <c r="P90" s="67"/>
      <c r="Q90" s="67"/>
      <c r="R90" s="91"/>
      <c r="S90" s="138"/>
      <c r="T90" s="67"/>
      <c r="U90" s="91"/>
      <c r="V90" s="67"/>
      <c r="W90" s="67"/>
      <c r="X90" s="67"/>
      <c r="Y90" s="67"/>
      <c r="Z90" s="67"/>
      <c r="AA90" s="393">
        <f ca="1">+'Capex_FO input'!CP90</f>
        <v>0</v>
      </c>
      <c r="AB90" s="394">
        <f ca="1">+'Capex_FO input'!CQ90</f>
        <v>0</v>
      </c>
      <c r="AC90" s="394">
        <f ca="1">+'Capex_FO input'!CR90</f>
        <v>0</v>
      </c>
      <c r="AD90" s="394">
        <f ca="1">+'Capex_FO input'!CS90</f>
        <v>0</v>
      </c>
      <c r="AE90" s="1279">
        <f ca="1">+'Capex_FO input'!CT90</f>
        <v>0</v>
      </c>
      <c r="AF90" s="393">
        <f ca="1">+'Capex_FO input'!CU90</f>
        <v>0</v>
      </c>
      <c r="AG90" s="394">
        <f ca="1">+'Capex_FO input'!CV90</f>
        <v>0</v>
      </c>
      <c r="AH90" s="394">
        <f ca="1">+'Capex_FO input'!CW90</f>
        <v>0</v>
      </c>
      <c r="AI90" s="394">
        <f ca="1">+'Capex_FO input'!CX90</f>
        <v>0</v>
      </c>
      <c r="AJ90" s="395">
        <f ca="1">+'Capex_FO input'!CY90</f>
        <v>0</v>
      </c>
    </row>
    <row r="91" spans="3:36" ht="11.25" customHeight="1">
      <c r="C91" s="78">
        <f t="shared" si="19"/>
        <v>45</v>
      </c>
      <c r="D91" s="1984" t="str">
        <f>+'Capex_FO input'!C91</f>
        <v>Sewerage Transfer - Other Program</v>
      </c>
      <c r="E91" s="1985"/>
      <c r="F91" s="1985"/>
      <c r="G91" s="1985"/>
      <c r="H91" s="1986"/>
      <c r="I91" s="643">
        <f>+'Capex_FO input'!N91</f>
        <v>0</v>
      </c>
      <c r="J91" s="67"/>
      <c r="K91" s="67"/>
      <c r="L91" s="67"/>
      <c r="M91" s="67"/>
      <c r="N91" s="138"/>
      <c r="O91" s="67"/>
      <c r="P91" s="67"/>
      <c r="Q91" s="67"/>
      <c r="R91" s="91"/>
      <c r="S91" s="138"/>
      <c r="T91" s="67"/>
      <c r="U91" s="91"/>
      <c r="V91" s="67"/>
      <c r="W91" s="67"/>
      <c r="X91" s="67"/>
      <c r="Y91" s="67"/>
      <c r="Z91" s="67"/>
      <c r="AA91" s="393">
        <f ca="1">+'Capex_FO input'!CP91</f>
        <v>0</v>
      </c>
      <c r="AB91" s="394">
        <f ca="1">+'Capex_FO input'!CQ91</f>
        <v>0</v>
      </c>
      <c r="AC91" s="394">
        <f ca="1">+'Capex_FO input'!CR91</f>
        <v>0</v>
      </c>
      <c r="AD91" s="394">
        <f ca="1">+'Capex_FO input'!CS91</f>
        <v>0</v>
      </c>
      <c r="AE91" s="1279">
        <f ca="1">+'Capex_FO input'!CT91</f>
        <v>0</v>
      </c>
      <c r="AF91" s="393">
        <f ca="1">+'Capex_FO input'!CU91</f>
        <v>0</v>
      </c>
      <c r="AG91" s="394">
        <f ca="1">+'Capex_FO input'!CV91</f>
        <v>0</v>
      </c>
      <c r="AH91" s="394">
        <f ca="1">+'Capex_FO input'!CW91</f>
        <v>0</v>
      </c>
      <c r="AI91" s="394">
        <f ca="1">+'Capex_FO input'!CX91</f>
        <v>0</v>
      </c>
      <c r="AJ91" s="395">
        <f ca="1">+'Capex_FO input'!CY91</f>
        <v>0</v>
      </c>
    </row>
    <row r="92" spans="3:36" ht="11.25" customHeight="1">
      <c r="C92" s="78">
        <f t="shared" si="19"/>
        <v>46</v>
      </c>
      <c r="D92" s="1984" t="str">
        <f>+'Capex_FO input'!C92</f>
        <v>Sewerage Transfer - Other Program</v>
      </c>
      <c r="E92" s="1985"/>
      <c r="F92" s="1985"/>
      <c r="G92" s="1985"/>
      <c r="H92" s="1986"/>
      <c r="I92" s="643">
        <f>+'Capex_FO input'!N92</f>
        <v>0</v>
      </c>
      <c r="J92" s="67"/>
      <c r="K92" s="67"/>
      <c r="L92" s="67"/>
      <c r="M92" s="67"/>
      <c r="N92" s="138"/>
      <c r="O92" s="67"/>
      <c r="P92" s="67"/>
      <c r="Q92" s="67"/>
      <c r="R92" s="91"/>
      <c r="S92" s="138"/>
      <c r="T92" s="67"/>
      <c r="U92" s="91"/>
      <c r="V92" s="67"/>
      <c r="W92" s="67"/>
      <c r="X92" s="67"/>
      <c r="Y92" s="67"/>
      <c r="Z92" s="67"/>
      <c r="AA92" s="393">
        <f ca="1">+'Capex_FO input'!CP92</f>
        <v>0</v>
      </c>
      <c r="AB92" s="394">
        <f ca="1">+'Capex_FO input'!CQ92</f>
        <v>0</v>
      </c>
      <c r="AC92" s="394">
        <f ca="1">+'Capex_FO input'!CR92</f>
        <v>0</v>
      </c>
      <c r="AD92" s="394">
        <f ca="1">+'Capex_FO input'!CS92</f>
        <v>0</v>
      </c>
      <c r="AE92" s="1279">
        <f ca="1">+'Capex_FO input'!CT92</f>
        <v>0</v>
      </c>
      <c r="AF92" s="393">
        <f ca="1">+'Capex_FO input'!CU92</f>
        <v>0</v>
      </c>
      <c r="AG92" s="394">
        <f ca="1">+'Capex_FO input'!CV92</f>
        <v>0</v>
      </c>
      <c r="AH92" s="394">
        <f ca="1">+'Capex_FO input'!CW92</f>
        <v>0</v>
      </c>
      <c r="AI92" s="394">
        <f ca="1">+'Capex_FO input'!CX92</f>
        <v>0</v>
      </c>
      <c r="AJ92" s="395">
        <f ca="1">+'Capex_FO input'!CY92</f>
        <v>0</v>
      </c>
    </row>
    <row r="93" spans="3:36" ht="11.25" customHeight="1">
      <c r="C93" s="78">
        <f t="shared" si="19"/>
        <v>47</v>
      </c>
      <c r="D93" s="1984" t="str">
        <f>+'Capex_FO input'!C93</f>
        <v>Sewerage Transfer - Other Program</v>
      </c>
      <c r="E93" s="1985"/>
      <c r="F93" s="1985"/>
      <c r="G93" s="1985"/>
      <c r="H93" s="1986"/>
      <c r="I93" s="643">
        <f>+'Capex_FO input'!N93</f>
        <v>0</v>
      </c>
      <c r="J93" s="67"/>
      <c r="K93" s="67"/>
      <c r="L93" s="67"/>
      <c r="M93" s="67"/>
      <c r="N93" s="138"/>
      <c r="O93" s="67"/>
      <c r="P93" s="67"/>
      <c r="Q93" s="67"/>
      <c r="R93" s="91"/>
      <c r="S93" s="138"/>
      <c r="T93" s="67"/>
      <c r="U93" s="91"/>
      <c r="V93" s="67"/>
      <c r="W93" s="67"/>
      <c r="X93" s="67"/>
      <c r="Y93" s="67"/>
      <c r="Z93" s="67"/>
      <c r="AA93" s="393">
        <f ca="1">+'Capex_FO input'!CP93</f>
        <v>0</v>
      </c>
      <c r="AB93" s="394">
        <f ca="1">+'Capex_FO input'!CQ93</f>
        <v>0</v>
      </c>
      <c r="AC93" s="394">
        <f ca="1">+'Capex_FO input'!CR93</f>
        <v>0</v>
      </c>
      <c r="AD93" s="394">
        <f ca="1">+'Capex_FO input'!CS93</f>
        <v>0</v>
      </c>
      <c r="AE93" s="1279">
        <f ca="1">+'Capex_FO input'!CT93</f>
        <v>0</v>
      </c>
      <c r="AF93" s="393">
        <f ca="1">+'Capex_FO input'!CU93</f>
        <v>0</v>
      </c>
      <c r="AG93" s="394">
        <f ca="1">+'Capex_FO input'!CV93</f>
        <v>0</v>
      </c>
      <c r="AH93" s="394">
        <f ca="1">+'Capex_FO input'!CW93</f>
        <v>0</v>
      </c>
      <c r="AI93" s="394">
        <f ca="1">+'Capex_FO input'!CX93</f>
        <v>0</v>
      </c>
      <c r="AJ93" s="395">
        <f ca="1">+'Capex_FO input'!CY93</f>
        <v>0</v>
      </c>
    </row>
    <row r="94" spans="3:36" ht="11.25" customHeight="1">
      <c r="C94" s="78">
        <f t="shared" si="19"/>
        <v>48</v>
      </c>
      <c r="D94" s="1984" t="str">
        <f>+'Capex_FO input'!C94</f>
        <v>Sewerage Transfer - West Program</v>
      </c>
      <c r="E94" s="1985"/>
      <c r="F94" s="1985"/>
      <c r="G94" s="1985"/>
      <c r="H94" s="1986"/>
      <c r="I94" s="643">
        <f>+'Capex_FO input'!N94</f>
        <v>0</v>
      </c>
      <c r="J94" s="67"/>
      <c r="K94" s="67"/>
      <c r="L94" s="67"/>
      <c r="M94" s="67"/>
      <c r="N94" s="138"/>
      <c r="O94" s="67"/>
      <c r="P94" s="67"/>
      <c r="Q94" s="67"/>
      <c r="R94" s="91"/>
      <c r="S94" s="138"/>
      <c r="T94" s="67"/>
      <c r="U94" s="91"/>
      <c r="V94" s="67"/>
      <c r="W94" s="67"/>
      <c r="X94" s="67"/>
      <c r="Y94" s="67"/>
      <c r="Z94" s="67"/>
      <c r="AA94" s="393">
        <f ca="1">+'Capex_FO input'!CP94</f>
        <v>0</v>
      </c>
      <c r="AB94" s="394">
        <f ca="1">+'Capex_FO input'!CQ94</f>
        <v>0</v>
      </c>
      <c r="AC94" s="394">
        <f ca="1">+'Capex_FO input'!CR94</f>
        <v>0</v>
      </c>
      <c r="AD94" s="394">
        <f ca="1">+'Capex_FO input'!CS94</f>
        <v>0</v>
      </c>
      <c r="AE94" s="1279">
        <f ca="1">+'Capex_FO input'!CT94</f>
        <v>0</v>
      </c>
      <c r="AF94" s="393">
        <f ca="1">+'Capex_FO input'!CU94</f>
        <v>0</v>
      </c>
      <c r="AG94" s="394">
        <f ca="1">+'Capex_FO input'!CV94</f>
        <v>0</v>
      </c>
      <c r="AH94" s="394">
        <f ca="1">+'Capex_FO input'!CW94</f>
        <v>0</v>
      </c>
      <c r="AI94" s="394">
        <f ca="1">+'Capex_FO input'!CX94</f>
        <v>0</v>
      </c>
      <c r="AJ94" s="395">
        <f ca="1">+'Capex_FO input'!CY94</f>
        <v>0</v>
      </c>
    </row>
    <row r="95" spans="3:36" ht="11.25" customHeight="1">
      <c r="C95" s="78">
        <f t="shared" si="19"/>
        <v>49</v>
      </c>
      <c r="D95" s="1984" t="str">
        <f>+'Capex_FO input'!C95</f>
        <v>Sewerage Transfer - West Program</v>
      </c>
      <c r="E95" s="1985"/>
      <c r="F95" s="1985"/>
      <c r="G95" s="1985"/>
      <c r="H95" s="1986"/>
      <c r="I95" s="643">
        <f>+'Capex_FO input'!N95</f>
        <v>0</v>
      </c>
      <c r="J95" s="67"/>
      <c r="K95" s="67"/>
      <c r="L95" s="67"/>
      <c r="M95" s="67"/>
      <c r="N95" s="138"/>
      <c r="O95" s="67"/>
      <c r="P95" s="67"/>
      <c r="Q95" s="67"/>
      <c r="R95" s="91"/>
      <c r="S95" s="138"/>
      <c r="T95" s="67"/>
      <c r="U95" s="91"/>
      <c r="V95" s="67"/>
      <c r="W95" s="67"/>
      <c r="X95" s="67"/>
      <c r="Y95" s="67"/>
      <c r="Z95" s="67"/>
      <c r="AA95" s="393">
        <f ca="1">+'Capex_FO input'!CP95</f>
        <v>0</v>
      </c>
      <c r="AB95" s="394">
        <f ca="1">+'Capex_FO input'!CQ95</f>
        <v>0</v>
      </c>
      <c r="AC95" s="394">
        <f ca="1">+'Capex_FO input'!CR95</f>
        <v>0</v>
      </c>
      <c r="AD95" s="394">
        <f ca="1">+'Capex_FO input'!CS95</f>
        <v>0</v>
      </c>
      <c r="AE95" s="1279">
        <f ca="1">+'Capex_FO input'!CT95</f>
        <v>0</v>
      </c>
      <c r="AF95" s="393">
        <f ca="1">+'Capex_FO input'!CU95</f>
        <v>0</v>
      </c>
      <c r="AG95" s="394">
        <f ca="1">+'Capex_FO input'!CV95</f>
        <v>0</v>
      </c>
      <c r="AH95" s="394">
        <f ca="1">+'Capex_FO input'!CW95</f>
        <v>0</v>
      </c>
      <c r="AI95" s="394">
        <f ca="1">+'Capex_FO input'!CX95</f>
        <v>0</v>
      </c>
      <c r="AJ95" s="395">
        <f ca="1">+'Capex_FO input'!CY95</f>
        <v>0</v>
      </c>
    </row>
    <row r="96" spans="3:36" ht="11.25" customHeight="1">
      <c r="C96" s="78">
        <f t="shared" si="19"/>
        <v>50</v>
      </c>
      <c r="D96" s="1984" t="str">
        <f>+'Capex_FO input'!C96</f>
        <v>Sewerage Transfer - West Program</v>
      </c>
      <c r="E96" s="1985"/>
      <c r="F96" s="1985"/>
      <c r="G96" s="1985"/>
      <c r="H96" s="1986"/>
      <c r="I96" s="643">
        <f>+'Capex_FO input'!N96</f>
        <v>0</v>
      </c>
      <c r="J96" s="67"/>
      <c r="K96" s="67"/>
      <c r="L96" s="67"/>
      <c r="M96" s="67"/>
      <c r="N96" s="138"/>
      <c r="O96" s="67"/>
      <c r="P96" s="67"/>
      <c r="Q96" s="67"/>
      <c r="R96" s="91"/>
      <c r="S96" s="138"/>
      <c r="T96" s="67"/>
      <c r="U96" s="91"/>
      <c r="V96" s="67"/>
      <c r="W96" s="67"/>
      <c r="X96" s="67"/>
      <c r="Y96" s="67"/>
      <c r="Z96" s="67"/>
      <c r="AA96" s="393">
        <f ca="1">+'Capex_FO input'!CP96</f>
        <v>0</v>
      </c>
      <c r="AB96" s="394">
        <f ca="1">+'Capex_FO input'!CQ96</f>
        <v>0</v>
      </c>
      <c r="AC96" s="394">
        <f ca="1">+'Capex_FO input'!CR96</f>
        <v>0</v>
      </c>
      <c r="AD96" s="394">
        <f ca="1">+'Capex_FO input'!CS96</f>
        <v>0</v>
      </c>
      <c r="AE96" s="1279">
        <f ca="1">+'Capex_FO input'!CT96</f>
        <v>0</v>
      </c>
      <c r="AF96" s="393">
        <f ca="1">+'Capex_FO input'!CU96</f>
        <v>0</v>
      </c>
      <c r="AG96" s="394">
        <f ca="1">+'Capex_FO input'!CV96</f>
        <v>0</v>
      </c>
      <c r="AH96" s="394">
        <f ca="1">+'Capex_FO input'!CW96</f>
        <v>0</v>
      </c>
      <c r="AI96" s="394">
        <f ca="1">+'Capex_FO input'!CX96</f>
        <v>0</v>
      </c>
      <c r="AJ96" s="395">
        <f ca="1">+'Capex_FO input'!CY96</f>
        <v>0</v>
      </c>
    </row>
    <row r="97" spans="3:36" ht="11.25" customHeight="1">
      <c r="C97" s="78">
        <f t="shared" si="19"/>
        <v>51</v>
      </c>
      <c r="D97" s="1984" t="str">
        <f>+'Capex_FO input'!C97</f>
        <v>Sewerage Transfer - West Program</v>
      </c>
      <c r="E97" s="1985"/>
      <c r="F97" s="1985"/>
      <c r="G97" s="1985"/>
      <c r="H97" s="1986"/>
      <c r="I97" s="643">
        <f>+'Capex_FO input'!N97</f>
        <v>0</v>
      </c>
      <c r="J97" s="67"/>
      <c r="K97" s="67"/>
      <c r="L97" s="67"/>
      <c r="M97" s="67"/>
      <c r="N97" s="138"/>
      <c r="O97" s="67"/>
      <c r="P97" s="67"/>
      <c r="Q97" s="67"/>
      <c r="R97" s="91"/>
      <c r="S97" s="138"/>
      <c r="T97" s="67"/>
      <c r="U97" s="91"/>
      <c r="V97" s="67"/>
      <c r="W97" s="67"/>
      <c r="X97" s="67"/>
      <c r="Y97" s="67"/>
      <c r="Z97" s="67"/>
      <c r="AA97" s="393">
        <f ca="1">+'Capex_FO input'!CP97</f>
        <v>0</v>
      </c>
      <c r="AB97" s="394">
        <f ca="1">+'Capex_FO input'!CQ97</f>
        <v>0</v>
      </c>
      <c r="AC97" s="394">
        <f ca="1">+'Capex_FO input'!CR97</f>
        <v>0</v>
      </c>
      <c r="AD97" s="394">
        <f ca="1">+'Capex_FO input'!CS97</f>
        <v>0</v>
      </c>
      <c r="AE97" s="1279">
        <f ca="1">+'Capex_FO input'!CT97</f>
        <v>0</v>
      </c>
      <c r="AF97" s="393">
        <f ca="1">+'Capex_FO input'!CU97</f>
        <v>0</v>
      </c>
      <c r="AG97" s="394">
        <f ca="1">+'Capex_FO input'!CV97</f>
        <v>0</v>
      </c>
      <c r="AH97" s="394">
        <f ca="1">+'Capex_FO input'!CW97</f>
        <v>0</v>
      </c>
      <c r="AI97" s="394">
        <f ca="1">+'Capex_FO input'!CX97</f>
        <v>0</v>
      </c>
      <c r="AJ97" s="395">
        <f ca="1">+'Capex_FO input'!CY97</f>
        <v>0</v>
      </c>
    </row>
    <row r="98" spans="3:36" ht="11.25" customHeight="1">
      <c r="C98" s="78">
        <f t="shared" si="19"/>
        <v>52</v>
      </c>
      <c r="D98" s="1984" t="str">
        <f>+'Capex_FO input'!C98</f>
        <v>Sewerage Transfer - West Program</v>
      </c>
      <c r="E98" s="1985"/>
      <c r="F98" s="1985"/>
      <c r="G98" s="1985"/>
      <c r="H98" s="1986"/>
      <c r="I98" s="643">
        <f>+'Capex_FO input'!N98</f>
        <v>0</v>
      </c>
      <c r="J98" s="67"/>
      <c r="K98" s="67"/>
      <c r="L98" s="67"/>
      <c r="M98" s="67"/>
      <c r="N98" s="138"/>
      <c r="O98" s="67"/>
      <c r="P98" s="67"/>
      <c r="Q98" s="67"/>
      <c r="R98" s="91"/>
      <c r="S98" s="138"/>
      <c r="T98" s="67"/>
      <c r="U98" s="91"/>
      <c r="V98" s="67"/>
      <c r="W98" s="67"/>
      <c r="X98" s="67"/>
      <c r="Y98" s="67"/>
      <c r="Z98" s="67"/>
      <c r="AA98" s="393">
        <f ca="1">+'Capex_FO input'!CP98</f>
        <v>0</v>
      </c>
      <c r="AB98" s="394">
        <f ca="1">+'Capex_FO input'!CQ98</f>
        <v>0</v>
      </c>
      <c r="AC98" s="394">
        <f ca="1">+'Capex_FO input'!CR98</f>
        <v>0</v>
      </c>
      <c r="AD98" s="394">
        <f ca="1">+'Capex_FO input'!CS98</f>
        <v>0</v>
      </c>
      <c r="AE98" s="1279">
        <f ca="1">+'Capex_FO input'!CT98</f>
        <v>0</v>
      </c>
      <c r="AF98" s="393">
        <f ca="1">+'Capex_FO input'!CU98</f>
        <v>0</v>
      </c>
      <c r="AG98" s="394">
        <f ca="1">+'Capex_FO input'!CV98</f>
        <v>0</v>
      </c>
      <c r="AH98" s="394">
        <f ca="1">+'Capex_FO input'!CW98</f>
        <v>0</v>
      </c>
      <c r="AI98" s="394">
        <f ca="1">+'Capex_FO input'!CX98</f>
        <v>0</v>
      </c>
      <c r="AJ98" s="395">
        <f ca="1">+'Capex_FO input'!CY98</f>
        <v>0</v>
      </c>
    </row>
    <row r="99" spans="3:36" ht="11.25" customHeight="1">
      <c r="C99" s="78">
        <f t="shared" si="19"/>
        <v>53</v>
      </c>
      <c r="D99" s="1984" t="str">
        <f>+'Capex_FO input'!C99</f>
        <v>Sewerage Transfer - West Program</v>
      </c>
      <c r="E99" s="1985"/>
      <c r="F99" s="1985"/>
      <c r="G99" s="1985"/>
      <c r="H99" s="1986"/>
      <c r="I99" s="643">
        <f>+'Capex_FO input'!N99</f>
        <v>0</v>
      </c>
      <c r="J99" s="67"/>
      <c r="K99" s="67"/>
      <c r="L99" s="67"/>
      <c r="M99" s="67"/>
      <c r="N99" s="138"/>
      <c r="O99" s="67"/>
      <c r="P99" s="67"/>
      <c r="Q99" s="67"/>
      <c r="R99" s="91"/>
      <c r="S99" s="138"/>
      <c r="T99" s="67"/>
      <c r="U99" s="91"/>
      <c r="V99" s="67"/>
      <c r="W99" s="67"/>
      <c r="X99" s="67"/>
      <c r="Y99" s="67"/>
      <c r="Z99" s="67"/>
      <c r="AA99" s="393">
        <f ca="1">+'Capex_FO input'!CP99</f>
        <v>0</v>
      </c>
      <c r="AB99" s="394">
        <f ca="1">+'Capex_FO input'!CQ99</f>
        <v>0</v>
      </c>
      <c r="AC99" s="394">
        <f ca="1">+'Capex_FO input'!CR99</f>
        <v>0</v>
      </c>
      <c r="AD99" s="394">
        <f ca="1">+'Capex_FO input'!CS99</f>
        <v>0</v>
      </c>
      <c r="AE99" s="1279">
        <f ca="1">+'Capex_FO input'!CT99</f>
        <v>0</v>
      </c>
      <c r="AF99" s="393">
        <f ca="1">+'Capex_FO input'!CU99</f>
        <v>0</v>
      </c>
      <c r="AG99" s="394">
        <f ca="1">+'Capex_FO input'!CV99</f>
        <v>0</v>
      </c>
      <c r="AH99" s="394">
        <f ca="1">+'Capex_FO input'!CW99</f>
        <v>0</v>
      </c>
      <c r="AI99" s="394">
        <f ca="1">+'Capex_FO input'!CX99</f>
        <v>0</v>
      </c>
      <c r="AJ99" s="395">
        <f ca="1">+'Capex_FO input'!CY99</f>
        <v>0</v>
      </c>
    </row>
    <row r="100" spans="3:36" ht="11.25" customHeight="1">
      <c r="C100" s="78">
        <f t="shared" si="19"/>
        <v>54</v>
      </c>
      <c r="D100" s="1984" t="str">
        <f>+'Capex_FO input'!C100</f>
        <v>Water Quality - Catchment Management Program</v>
      </c>
      <c r="E100" s="1985"/>
      <c r="F100" s="1985"/>
      <c r="G100" s="1985"/>
      <c r="H100" s="1986"/>
      <c r="I100" s="643">
        <f>+'Capex_FO input'!N100</f>
        <v>0</v>
      </c>
      <c r="J100" s="67"/>
      <c r="K100" s="67"/>
      <c r="L100" s="67"/>
      <c r="M100" s="67"/>
      <c r="N100" s="138"/>
      <c r="O100" s="67"/>
      <c r="P100" s="67"/>
      <c r="Q100" s="67"/>
      <c r="R100" s="91"/>
      <c r="S100" s="138"/>
      <c r="T100" s="67"/>
      <c r="U100" s="91"/>
      <c r="V100" s="67"/>
      <c r="W100" s="67"/>
      <c r="X100" s="67"/>
      <c r="Y100" s="67"/>
      <c r="Z100" s="67"/>
      <c r="AA100" s="393">
        <f ca="1">+'Capex_FO input'!CP100</f>
        <v>0</v>
      </c>
      <c r="AB100" s="394">
        <f ca="1">+'Capex_FO input'!CQ100</f>
        <v>0</v>
      </c>
      <c r="AC100" s="394">
        <f ca="1">+'Capex_FO input'!CR100</f>
        <v>0</v>
      </c>
      <c r="AD100" s="394">
        <f ca="1">+'Capex_FO input'!CS100</f>
        <v>0</v>
      </c>
      <c r="AE100" s="1279">
        <f ca="1">+'Capex_FO input'!CT100</f>
        <v>0</v>
      </c>
      <c r="AF100" s="393">
        <f ca="1">+'Capex_FO input'!CU100</f>
        <v>0</v>
      </c>
      <c r="AG100" s="394">
        <f ca="1">+'Capex_FO input'!CV100</f>
        <v>0</v>
      </c>
      <c r="AH100" s="394">
        <f ca="1">+'Capex_FO input'!CW100</f>
        <v>0</v>
      </c>
      <c r="AI100" s="394">
        <f ca="1">+'Capex_FO input'!CX100</f>
        <v>0</v>
      </c>
      <c r="AJ100" s="395">
        <f ca="1">+'Capex_FO input'!CY100</f>
        <v>0</v>
      </c>
    </row>
    <row r="101" spans="3:36" ht="11.25" customHeight="1">
      <c r="C101" s="78">
        <f t="shared" si="19"/>
        <v>55</v>
      </c>
      <c r="D101" s="1984" t="str">
        <f>+'Capex_FO input'!C101</f>
        <v>Water Quality - Primary Treatment Program</v>
      </c>
      <c r="E101" s="1985"/>
      <c r="F101" s="1985"/>
      <c r="G101" s="1985"/>
      <c r="H101" s="1986"/>
      <c r="I101" s="643">
        <f>+'Capex_FO input'!N101</f>
        <v>0</v>
      </c>
      <c r="J101" s="67"/>
      <c r="K101" s="67"/>
      <c r="L101" s="67"/>
      <c r="M101" s="67"/>
      <c r="N101" s="138"/>
      <c r="O101" s="67"/>
      <c r="P101" s="67"/>
      <c r="Q101" s="67"/>
      <c r="R101" s="91"/>
      <c r="S101" s="138"/>
      <c r="T101" s="67"/>
      <c r="U101" s="91"/>
      <c r="V101" s="67"/>
      <c r="W101" s="67"/>
      <c r="X101" s="67"/>
      <c r="Y101" s="67"/>
      <c r="Z101" s="67"/>
      <c r="AA101" s="393">
        <f ca="1">+'Capex_FO input'!CP101</f>
        <v>0</v>
      </c>
      <c r="AB101" s="394">
        <f ca="1">+'Capex_FO input'!CQ101</f>
        <v>0</v>
      </c>
      <c r="AC101" s="394">
        <f ca="1">+'Capex_FO input'!CR101</f>
        <v>0</v>
      </c>
      <c r="AD101" s="394">
        <f ca="1">+'Capex_FO input'!CS101</f>
        <v>0</v>
      </c>
      <c r="AE101" s="1279">
        <f ca="1">+'Capex_FO input'!CT101</f>
        <v>0</v>
      </c>
      <c r="AF101" s="393">
        <f ca="1">+'Capex_FO input'!CU101</f>
        <v>0</v>
      </c>
      <c r="AG101" s="394">
        <f ca="1">+'Capex_FO input'!CV101</f>
        <v>0</v>
      </c>
      <c r="AH101" s="394">
        <f ca="1">+'Capex_FO input'!CW101</f>
        <v>0</v>
      </c>
      <c r="AI101" s="394">
        <f ca="1">+'Capex_FO input'!CX101</f>
        <v>0</v>
      </c>
      <c r="AJ101" s="395">
        <f ca="1">+'Capex_FO input'!CY101</f>
        <v>0</v>
      </c>
    </row>
    <row r="102" spans="3:36" ht="11.25" customHeight="1">
      <c r="C102" s="78">
        <f t="shared" si="19"/>
        <v>56</v>
      </c>
      <c r="D102" s="1984" t="str">
        <f>+'Capex_FO input'!C102</f>
        <v>Water Quality - Primary Treatment Program</v>
      </c>
      <c r="E102" s="1985"/>
      <c r="F102" s="1985"/>
      <c r="G102" s="1985"/>
      <c r="H102" s="1986"/>
      <c r="I102" s="643">
        <f>+'Capex_FO input'!N102</f>
        <v>0</v>
      </c>
      <c r="J102" s="67"/>
      <c r="K102" s="67"/>
      <c r="L102" s="67"/>
      <c r="M102" s="67"/>
      <c r="N102" s="138"/>
      <c r="O102" s="67"/>
      <c r="P102" s="67"/>
      <c r="Q102" s="67"/>
      <c r="R102" s="91"/>
      <c r="S102" s="138"/>
      <c r="T102" s="67"/>
      <c r="U102" s="91"/>
      <c r="V102" s="67"/>
      <c r="W102" s="67"/>
      <c r="X102" s="67"/>
      <c r="Y102" s="67"/>
      <c r="Z102" s="67"/>
      <c r="AA102" s="393">
        <f ca="1">+'Capex_FO input'!CP102</f>
        <v>0</v>
      </c>
      <c r="AB102" s="394">
        <f ca="1">+'Capex_FO input'!CQ102</f>
        <v>0</v>
      </c>
      <c r="AC102" s="394">
        <f ca="1">+'Capex_FO input'!CR102</f>
        <v>0</v>
      </c>
      <c r="AD102" s="394">
        <f ca="1">+'Capex_FO input'!CS102</f>
        <v>0</v>
      </c>
      <c r="AE102" s="1279">
        <f ca="1">+'Capex_FO input'!CT102</f>
        <v>0</v>
      </c>
      <c r="AF102" s="393">
        <f ca="1">+'Capex_FO input'!CU102</f>
        <v>0</v>
      </c>
      <c r="AG102" s="394">
        <f ca="1">+'Capex_FO input'!CV102</f>
        <v>0</v>
      </c>
      <c r="AH102" s="394">
        <f ca="1">+'Capex_FO input'!CW102</f>
        <v>0</v>
      </c>
      <c r="AI102" s="394">
        <f ca="1">+'Capex_FO input'!CX102</f>
        <v>0</v>
      </c>
      <c r="AJ102" s="395">
        <f ca="1">+'Capex_FO input'!CY102</f>
        <v>0</v>
      </c>
    </row>
    <row r="103" spans="3:36" ht="11.25" customHeight="1">
      <c r="C103" s="78">
        <f t="shared" si="19"/>
        <v>57</v>
      </c>
      <c r="D103" s="1984" t="str">
        <f>+'Capex_FO input'!C103</f>
        <v>Water Quality - Primary Treatment Program</v>
      </c>
      <c r="E103" s="1985"/>
      <c r="F103" s="1985"/>
      <c r="G103" s="1985"/>
      <c r="H103" s="1986"/>
      <c r="I103" s="643">
        <f>+'Capex_FO input'!N103</f>
        <v>0</v>
      </c>
      <c r="J103" s="67"/>
      <c r="K103" s="67"/>
      <c r="L103" s="67"/>
      <c r="M103" s="67"/>
      <c r="N103" s="138"/>
      <c r="O103" s="67"/>
      <c r="P103" s="67"/>
      <c r="Q103" s="67"/>
      <c r="R103" s="91"/>
      <c r="S103" s="138"/>
      <c r="T103" s="67"/>
      <c r="U103" s="91"/>
      <c r="V103" s="67"/>
      <c r="W103" s="67"/>
      <c r="X103" s="67"/>
      <c r="Y103" s="67"/>
      <c r="Z103" s="67"/>
      <c r="AA103" s="393">
        <f ca="1">+'Capex_FO input'!CP103</f>
        <v>0</v>
      </c>
      <c r="AB103" s="394">
        <f ca="1">+'Capex_FO input'!CQ103</f>
        <v>0</v>
      </c>
      <c r="AC103" s="394">
        <f ca="1">+'Capex_FO input'!CR103</f>
        <v>0</v>
      </c>
      <c r="AD103" s="394">
        <f ca="1">+'Capex_FO input'!CS103</f>
        <v>0</v>
      </c>
      <c r="AE103" s="1279">
        <f ca="1">+'Capex_FO input'!CT103</f>
        <v>0</v>
      </c>
      <c r="AF103" s="393">
        <f ca="1">+'Capex_FO input'!CU103</f>
        <v>0</v>
      </c>
      <c r="AG103" s="394">
        <f ca="1">+'Capex_FO input'!CV103</f>
        <v>0</v>
      </c>
      <c r="AH103" s="394">
        <f ca="1">+'Capex_FO input'!CW103</f>
        <v>0</v>
      </c>
      <c r="AI103" s="394">
        <f ca="1">+'Capex_FO input'!CX103</f>
        <v>0</v>
      </c>
      <c r="AJ103" s="395">
        <f ca="1">+'Capex_FO input'!CY103</f>
        <v>0</v>
      </c>
    </row>
    <row r="104" spans="3:36" ht="11.25" customHeight="1">
      <c r="C104" s="78">
        <f t="shared" si="19"/>
        <v>58</v>
      </c>
      <c r="D104" s="1984" t="str">
        <f>+'Capex_FO input'!C104</f>
        <v>Water Quality - Reservoir Treatment Program</v>
      </c>
      <c r="E104" s="1985"/>
      <c r="F104" s="1985"/>
      <c r="G104" s="1985"/>
      <c r="H104" s="1986"/>
      <c r="I104" s="643">
        <f>+'Capex_FO input'!N104</f>
        <v>0</v>
      </c>
      <c r="J104" s="67"/>
      <c r="K104" s="67"/>
      <c r="L104" s="67"/>
      <c r="M104" s="67"/>
      <c r="N104" s="138"/>
      <c r="O104" s="67"/>
      <c r="P104" s="67"/>
      <c r="Q104" s="67"/>
      <c r="R104" s="91"/>
      <c r="S104" s="138"/>
      <c r="T104" s="67"/>
      <c r="U104" s="91"/>
      <c r="V104" s="67"/>
      <c r="W104" s="67"/>
      <c r="X104" s="67"/>
      <c r="Y104" s="67"/>
      <c r="Z104" s="67"/>
      <c r="AA104" s="393">
        <f ca="1">+'Capex_FO input'!CP104</f>
        <v>0</v>
      </c>
      <c r="AB104" s="394">
        <f ca="1">+'Capex_FO input'!CQ104</f>
        <v>0</v>
      </c>
      <c r="AC104" s="394">
        <f ca="1">+'Capex_FO input'!CR104</f>
        <v>0</v>
      </c>
      <c r="AD104" s="394">
        <f ca="1">+'Capex_FO input'!CS104</f>
        <v>0</v>
      </c>
      <c r="AE104" s="1279">
        <f ca="1">+'Capex_FO input'!CT104</f>
        <v>0</v>
      </c>
      <c r="AF104" s="393">
        <f ca="1">+'Capex_FO input'!CU104</f>
        <v>0</v>
      </c>
      <c r="AG104" s="394">
        <f ca="1">+'Capex_FO input'!CV104</f>
        <v>0</v>
      </c>
      <c r="AH104" s="394">
        <f ca="1">+'Capex_FO input'!CW104</f>
        <v>0</v>
      </c>
      <c r="AI104" s="394">
        <f ca="1">+'Capex_FO input'!CX104</f>
        <v>0</v>
      </c>
      <c r="AJ104" s="395">
        <f ca="1">+'Capex_FO input'!CY104</f>
        <v>0</v>
      </c>
    </row>
    <row r="105" spans="3:36" ht="11.25" customHeight="1">
      <c r="C105" s="78">
        <f t="shared" si="19"/>
        <v>59</v>
      </c>
      <c r="D105" s="1984" t="str">
        <f>+'Capex_FO input'!C105</f>
        <v>Water Quality - Reservoir Treatment Program</v>
      </c>
      <c r="E105" s="1985"/>
      <c r="F105" s="1985"/>
      <c r="G105" s="1985"/>
      <c r="H105" s="1986"/>
      <c r="I105" s="643">
        <f>+'Capex_FO input'!N105</f>
        <v>0</v>
      </c>
      <c r="J105" s="67"/>
      <c r="K105" s="67"/>
      <c r="L105" s="67"/>
      <c r="M105" s="67"/>
      <c r="N105" s="138"/>
      <c r="O105" s="67"/>
      <c r="P105" s="67"/>
      <c r="Q105" s="67"/>
      <c r="R105" s="91"/>
      <c r="S105" s="138"/>
      <c r="T105" s="67"/>
      <c r="U105" s="91"/>
      <c r="V105" s="67"/>
      <c r="W105" s="67"/>
      <c r="X105" s="67"/>
      <c r="Y105" s="67"/>
      <c r="Z105" s="67"/>
      <c r="AA105" s="393">
        <f ca="1">+'Capex_FO input'!CP105</f>
        <v>0</v>
      </c>
      <c r="AB105" s="394">
        <f ca="1">+'Capex_FO input'!CQ105</f>
        <v>0</v>
      </c>
      <c r="AC105" s="394">
        <f ca="1">+'Capex_FO input'!CR105</f>
        <v>0</v>
      </c>
      <c r="AD105" s="394">
        <f ca="1">+'Capex_FO input'!CS105</f>
        <v>0</v>
      </c>
      <c r="AE105" s="1279">
        <f ca="1">+'Capex_FO input'!CT105</f>
        <v>0</v>
      </c>
      <c r="AF105" s="393">
        <f ca="1">+'Capex_FO input'!CU105</f>
        <v>0</v>
      </c>
      <c r="AG105" s="394">
        <f ca="1">+'Capex_FO input'!CV105</f>
        <v>0</v>
      </c>
      <c r="AH105" s="394">
        <f ca="1">+'Capex_FO input'!CW105</f>
        <v>0</v>
      </c>
      <c r="AI105" s="394">
        <f ca="1">+'Capex_FO input'!CX105</f>
        <v>0</v>
      </c>
      <c r="AJ105" s="395">
        <f ca="1">+'Capex_FO input'!CY105</f>
        <v>0</v>
      </c>
    </row>
    <row r="106" spans="3:36" ht="11.25" customHeight="1">
      <c r="C106" s="78">
        <f t="shared" si="19"/>
        <v>60</v>
      </c>
      <c r="D106" s="1984" t="str">
        <f>+'Capex_FO input'!C106</f>
        <v>Water Transfer - Greater Western Water Program</v>
      </c>
      <c r="E106" s="1985"/>
      <c r="F106" s="1985"/>
      <c r="G106" s="1985"/>
      <c r="H106" s="1986"/>
      <c r="I106" s="643">
        <f>+'Capex_FO input'!N106</f>
        <v>0</v>
      </c>
      <c r="J106" s="67"/>
      <c r="K106" s="67"/>
      <c r="L106" s="67"/>
      <c r="M106" s="67"/>
      <c r="N106" s="138"/>
      <c r="O106" s="67"/>
      <c r="P106" s="67"/>
      <c r="Q106" s="67"/>
      <c r="R106" s="91"/>
      <c r="S106" s="138"/>
      <c r="T106" s="67"/>
      <c r="U106" s="91"/>
      <c r="V106" s="67"/>
      <c r="W106" s="67"/>
      <c r="X106" s="67"/>
      <c r="Y106" s="67"/>
      <c r="Z106" s="67"/>
      <c r="AA106" s="393">
        <f ca="1">+'Capex_FO input'!CP106</f>
        <v>0</v>
      </c>
      <c r="AB106" s="394">
        <f ca="1">+'Capex_FO input'!CQ106</f>
        <v>0</v>
      </c>
      <c r="AC106" s="394">
        <f ca="1">+'Capex_FO input'!CR106</f>
        <v>0</v>
      </c>
      <c r="AD106" s="394">
        <f ca="1">+'Capex_FO input'!CS106</f>
        <v>0</v>
      </c>
      <c r="AE106" s="1279">
        <f ca="1">+'Capex_FO input'!CT106</f>
        <v>0</v>
      </c>
      <c r="AF106" s="393">
        <f ca="1">+'Capex_FO input'!CU106</f>
        <v>0</v>
      </c>
      <c r="AG106" s="394">
        <f ca="1">+'Capex_FO input'!CV106</f>
        <v>0</v>
      </c>
      <c r="AH106" s="394">
        <f ca="1">+'Capex_FO input'!CW106</f>
        <v>0</v>
      </c>
      <c r="AI106" s="394">
        <f ca="1">+'Capex_FO input'!CX106</f>
        <v>0</v>
      </c>
      <c r="AJ106" s="395">
        <f ca="1">+'Capex_FO input'!CY106</f>
        <v>0</v>
      </c>
    </row>
    <row r="107" spans="3:36" ht="11.25" customHeight="1">
      <c r="C107" s="78">
        <f t="shared" si="19"/>
        <v>61</v>
      </c>
      <c r="D107" s="1984" t="str">
        <f>+'Capex_FO input'!C107</f>
        <v>Water Transfer - Greater Western Water Program</v>
      </c>
      <c r="E107" s="1985"/>
      <c r="F107" s="1985"/>
      <c r="G107" s="1985"/>
      <c r="H107" s="1986"/>
      <c r="I107" s="643">
        <f>+'Capex_FO input'!N107</f>
        <v>0</v>
      </c>
      <c r="J107" s="67"/>
      <c r="K107" s="67"/>
      <c r="L107" s="67"/>
      <c r="M107" s="67"/>
      <c r="N107" s="138"/>
      <c r="O107" s="67"/>
      <c r="P107" s="67"/>
      <c r="Q107" s="67"/>
      <c r="R107" s="91"/>
      <c r="S107" s="138"/>
      <c r="T107" s="67"/>
      <c r="U107" s="91"/>
      <c r="V107" s="67"/>
      <c r="W107" s="67"/>
      <c r="X107" s="67"/>
      <c r="Y107" s="67"/>
      <c r="Z107" s="67"/>
      <c r="AA107" s="393">
        <f ca="1">+'Capex_FO input'!CP107</f>
        <v>0</v>
      </c>
      <c r="AB107" s="394">
        <f ca="1">+'Capex_FO input'!CQ107</f>
        <v>0</v>
      </c>
      <c r="AC107" s="394">
        <f ca="1">+'Capex_FO input'!CR107</f>
        <v>0</v>
      </c>
      <c r="AD107" s="394">
        <f ca="1">+'Capex_FO input'!CS107</f>
        <v>0</v>
      </c>
      <c r="AE107" s="1279">
        <f ca="1">+'Capex_FO input'!CT107</f>
        <v>0</v>
      </c>
      <c r="AF107" s="393">
        <f ca="1">+'Capex_FO input'!CU107</f>
        <v>0</v>
      </c>
      <c r="AG107" s="394">
        <f ca="1">+'Capex_FO input'!CV107</f>
        <v>0</v>
      </c>
      <c r="AH107" s="394">
        <f ca="1">+'Capex_FO input'!CW107</f>
        <v>0</v>
      </c>
      <c r="AI107" s="394">
        <f ca="1">+'Capex_FO input'!CX107</f>
        <v>0</v>
      </c>
      <c r="AJ107" s="395">
        <f ca="1">+'Capex_FO input'!CY107</f>
        <v>0</v>
      </c>
    </row>
    <row r="108" spans="3:36" ht="11.25" customHeight="1">
      <c r="C108" s="78">
        <f t="shared" si="19"/>
        <v>62</v>
      </c>
      <c r="D108" s="1984" t="str">
        <f>+'Capex_FO input'!C108</f>
        <v>Water Transfer - Greater Western Water Program</v>
      </c>
      <c r="E108" s="1985"/>
      <c r="F108" s="1985"/>
      <c r="G108" s="1985"/>
      <c r="H108" s="1986"/>
      <c r="I108" s="643">
        <f>+'Capex_FO input'!N108</f>
        <v>0</v>
      </c>
      <c r="J108" s="67"/>
      <c r="K108" s="67"/>
      <c r="L108" s="67"/>
      <c r="M108" s="67"/>
      <c r="N108" s="138"/>
      <c r="O108" s="67"/>
      <c r="P108" s="67"/>
      <c r="Q108" s="67"/>
      <c r="R108" s="91"/>
      <c r="S108" s="138"/>
      <c r="T108" s="67"/>
      <c r="U108" s="91"/>
      <c r="V108" s="67"/>
      <c r="W108" s="67"/>
      <c r="X108" s="67"/>
      <c r="Y108" s="67"/>
      <c r="Z108" s="67"/>
      <c r="AA108" s="393">
        <f ca="1">+'Capex_FO input'!CP108</f>
        <v>0</v>
      </c>
      <c r="AB108" s="394">
        <f ca="1">+'Capex_FO input'!CQ108</f>
        <v>0</v>
      </c>
      <c r="AC108" s="394">
        <f ca="1">+'Capex_FO input'!CR108</f>
        <v>0</v>
      </c>
      <c r="AD108" s="394">
        <f ca="1">+'Capex_FO input'!CS108</f>
        <v>0</v>
      </c>
      <c r="AE108" s="1279">
        <f ca="1">+'Capex_FO input'!CT108</f>
        <v>0</v>
      </c>
      <c r="AF108" s="393">
        <f ca="1">+'Capex_FO input'!CU108</f>
        <v>0</v>
      </c>
      <c r="AG108" s="394">
        <f ca="1">+'Capex_FO input'!CV108</f>
        <v>0</v>
      </c>
      <c r="AH108" s="394">
        <f ca="1">+'Capex_FO input'!CW108</f>
        <v>0</v>
      </c>
      <c r="AI108" s="394">
        <f ca="1">+'Capex_FO input'!CX108</f>
        <v>0</v>
      </c>
      <c r="AJ108" s="395">
        <f ca="1">+'Capex_FO input'!CY108</f>
        <v>0</v>
      </c>
    </row>
    <row r="109" spans="3:36" ht="11.25" customHeight="1">
      <c r="C109" s="78">
        <f t="shared" si="19"/>
        <v>63</v>
      </c>
      <c r="D109" s="1984" t="str">
        <f>+'Capex_FO input'!C109</f>
        <v>Water Transfer - Other Program</v>
      </c>
      <c r="E109" s="1985"/>
      <c r="F109" s="1985"/>
      <c r="G109" s="1985"/>
      <c r="H109" s="1986"/>
      <c r="I109" s="643">
        <f>+'Capex_FO input'!N109</f>
        <v>0</v>
      </c>
      <c r="J109" s="67"/>
      <c r="K109" s="67"/>
      <c r="L109" s="67"/>
      <c r="M109" s="67"/>
      <c r="N109" s="138"/>
      <c r="O109" s="67"/>
      <c r="P109" s="67"/>
      <c r="Q109" s="67"/>
      <c r="R109" s="91"/>
      <c r="S109" s="138"/>
      <c r="T109" s="67"/>
      <c r="U109" s="91"/>
      <c r="V109" s="67"/>
      <c r="W109" s="67"/>
      <c r="X109" s="67"/>
      <c r="Y109" s="67"/>
      <c r="Z109" s="67"/>
      <c r="AA109" s="393">
        <f ca="1">+'Capex_FO input'!CP109</f>
        <v>0</v>
      </c>
      <c r="AB109" s="394">
        <f ca="1">+'Capex_FO input'!CQ109</f>
        <v>0</v>
      </c>
      <c r="AC109" s="394">
        <f ca="1">+'Capex_FO input'!CR109</f>
        <v>0</v>
      </c>
      <c r="AD109" s="394">
        <f ca="1">+'Capex_FO input'!CS109</f>
        <v>0</v>
      </c>
      <c r="AE109" s="1279">
        <f ca="1">+'Capex_FO input'!CT109</f>
        <v>0</v>
      </c>
      <c r="AF109" s="393">
        <f ca="1">+'Capex_FO input'!CU109</f>
        <v>0</v>
      </c>
      <c r="AG109" s="394">
        <f ca="1">+'Capex_FO input'!CV109</f>
        <v>0</v>
      </c>
      <c r="AH109" s="394">
        <f ca="1">+'Capex_FO input'!CW109</f>
        <v>0</v>
      </c>
      <c r="AI109" s="394">
        <f ca="1">+'Capex_FO input'!CX109</f>
        <v>0</v>
      </c>
      <c r="AJ109" s="395">
        <f ca="1">+'Capex_FO input'!CY109</f>
        <v>0</v>
      </c>
    </row>
    <row r="110" spans="3:36" ht="11.25" customHeight="1">
      <c r="C110" s="78">
        <f t="shared" si="19"/>
        <v>64</v>
      </c>
      <c r="D110" s="1984" t="str">
        <f>+'Capex_FO input'!C110</f>
        <v>Water Transfer - Other Program</v>
      </c>
      <c r="E110" s="1985"/>
      <c r="F110" s="1985"/>
      <c r="G110" s="1985"/>
      <c r="H110" s="1986"/>
      <c r="I110" s="643">
        <f>+'Capex_FO input'!N110</f>
        <v>0</v>
      </c>
      <c r="J110" s="67"/>
      <c r="K110" s="67"/>
      <c r="L110" s="67"/>
      <c r="M110" s="67"/>
      <c r="N110" s="138"/>
      <c r="O110" s="67"/>
      <c r="P110" s="67"/>
      <c r="Q110" s="67"/>
      <c r="R110" s="91"/>
      <c r="S110" s="138"/>
      <c r="T110" s="67"/>
      <c r="U110" s="91"/>
      <c r="V110" s="67"/>
      <c r="W110" s="67"/>
      <c r="X110" s="67"/>
      <c r="Y110" s="67"/>
      <c r="Z110" s="67"/>
      <c r="AA110" s="393">
        <f ca="1">+'Capex_FO input'!CP110</f>
        <v>0</v>
      </c>
      <c r="AB110" s="394">
        <f ca="1">+'Capex_FO input'!CQ110</f>
        <v>0</v>
      </c>
      <c r="AC110" s="394">
        <f ca="1">+'Capex_FO input'!CR110</f>
        <v>0</v>
      </c>
      <c r="AD110" s="394">
        <f ca="1">+'Capex_FO input'!CS110</f>
        <v>0</v>
      </c>
      <c r="AE110" s="1279">
        <f ca="1">+'Capex_FO input'!CT110</f>
        <v>0</v>
      </c>
      <c r="AF110" s="393">
        <f ca="1">+'Capex_FO input'!CU110</f>
        <v>0</v>
      </c>
      <c r="AG110" s="394">
        <f ca="1">+'Capex_FO input'!CV110</f>
        <v>0</v>
      </c>
      <c r="AH110" s="394">
        <f ca="1">+'Capex_FO input'!CW110</f>
        <v>0</v>
      </c>
      <c r="AI110" s="394">
        <f ca="1">+'Capex_FO input'!CX110</f>
        <v>0</v>
      </c>
      <c r="AJ110" s="395">
        <f ca="1">+'Capex_FO input'!CY110</f>
        <v>0</v>
      </c>
    </row>
    <row r="111" spans="3:36" ht="11.25" customHeight="1">
      <c r="C111" s="78">
        <f t="shared" si="19"/>
        <v>65</v>
      </c>
      <c r="D111" s="1984" t="str">
        <f>+'Capex_FO input'!C111</f>
        <v>Water Transfer - Other Program</v>
      </c>
      <c r="E111" s="1985"/>
      <c r="F111" s="1985"/>
      <c r="G111" s="1985"/>
      <c r="H111" s="1986"/>
      <c r="I111" s="643">
        <f>+'Capex_FO input'!N111</f>
        <v>0</v>
      </c>
      <c r="J111" s="67"/>
      <c r="K111" s="67"/>
      <c r="L111" s="67"/>
      <c r="M111" s="67"/>
      <c r="N111" s="138"/>
      <c r="O111" s="67"/>
      <c r="P111" s="67"/>
      <c r="Q111" s="67"/>
      <c r="R111" s="91"/>
      <c r="S111" s="138"/>
      <c r="T111" s="67"/>
      <c r="U111" s="91"/>
      <c r="V111" s="67"/>
      <c r="W111" s="67"/>
      <c r="X111" s="67"/>
      <c r="Y111" s="67"/>
      <c r="Z111" s="67"/>
      <c r="AA111" s="393">
        <f ca="1">+'Capex_FO input'!CP111</f>
        <v>0</v>
      </c>
      <c r="AB111" s="394">
        <f ca="1">+'Capex_FO input'!CQ111</f>
        <v>0</v>
      </c>
      <c r="AC111" s="394">
        <f ca="1">+'Capex_FO input'!CR111</f>
        <v>0</v>
      </c>
      <c r="AD111" s="394">
        <f ca="1">+'Capex_FO input'!CS111</f>
        <v>0</v>
      </c>
      <c r="AE111" s="1279">
        <f ca="1">+'Capex_FO input'!CT111</f>
        <v>0</v>
      </c>
      <c r="AF111" s="393">
        <f ca="1">+'Capex_FO input'!CU111</f>
        <v>0</v>
      </c>
      <c r="AG111" s="394">
        <f ca="1">+'Capex_FO input'!CV111</f>
        <v>0</v>
      </c>
      <c r="AH111" s="394">
        <f ca="1">+'Capex_FO input'!CW111</f>
        <v>0</v>
      </c>
      <c r="AI111" s="394">
        <f ca="1">+'Capex_FO input'!CX111</f>
        <v>0</v>
      </c>
      <c r="AJ111" s="395">
        <f ca="1">+'Capex_FO input'!CY111</f>
        <v>0</v>
      </c>
    </row>
    <row r="112" spans="3:36" ht="11.25" customHeight="1">
      <c r="C112" s="78">
        <f t="shared" si="19"/>
        <v>66</v>
      </c>
      <c r="D112" s="1984" t="str">
        <f>+'Capex_FO input'!C112</f>
        <v>Water Transfer - South East Water Program</v>
      </c>
      <c r="E112" s="1985"/>
      <c r="F112" s="1985"/>
      <c r="G112" s="1985"/>
      <c r="H112" s="1986"/>
      <c r="I112" s="643">
        <f>+'Capex_FO input'!N112</f>
        <v>0</v>
      </c>
      <c r="J112" s="67"/>
      <c r="K112" s="67"/>
      <c r="L112" s="67"/>
      <c r="M112" s="67"/>
      <c r="N112" s="138"/>
      <c r="O112" s="67"/>
      <c r="P112" s="67"/>
      <c r="Q112" s="67"/>
      <c r="R112" s="91"/>
      <c r="S112" s="138"/>
      <c r="T112" s="67"/>
      <c r="U112" s="91"/>
      <c r="V112" s="67"/>
      <c r="W112" s="67"/>
      <c r="X112" s="67"/>
      <c r="Y112" s="67"/>
      <c r="Z112" s="67"/>
      <c r="AA112" s="393">
        <f ca="1">+'Capex_FO input'!CP112</f>
        <v>0</v>
      </c>
      <c r="AB112" s="394">
        <f ca="1">+'Capex_FO input'!CQ112</f>
        <v>0</v>
      </c>
      <c r="AC112" s="394">
        <f ca="1">+'Capex_FO input'!CR112</f>
        <v>0</v>
      </c>
      <c r="AD112" s="394">
        <f ca="1">+'Capex_FO input'!CS112</f>
        <v>0</v>
      </c>
      <c r="AE112" s="1279">
        <f ca="1">+'Capex_FO input'!CT112</f>
        <v>0</v>
      </c>
      <c r="AF112" s="393">
        <f ca="1">+'Capex_FO input'!CU112</f>
        <v>0</v>
      </c>
      <c r="AG112" s="394">
        <f ca="1">+'Capex_FO input'!CV112</f>
        <v>0</v>
      </c>
      <c r="AH112" s="394">
        <f ca="1">+'Capex_FO input'!CW112</f>
        <v>0</v>
      </c>
      <c r="AI112" s="394">
        <f ca="1">+'Capex_FO input'!CX112</f>
        <v>0</v>
      </c>
      <c r="AJ112" s="395">
        <f ca="1">+'Capex_FO input'!CY112</f>
        <v>0</v>
      </c>
    </row>
    <row r="113" spans="3:36" ht="11.25" customHeight="1">
      <c r="C113" s="78">
        <f t="shared" si="19"/>
        <v>67</v>
      </c>
      <c r="D113" s="1984" t="str">
        <f>+'Capex_FO input'!C113</f>
        <v>Water Transfer - South East Water Program</v>
      </c>
      <c r="E113" s="1985"/>
      <c r="F113" s="1985"/>
      <c r="G113" s="1985"/>
      <c r="H113" s="1986"/>
      <c r="I113" s="643">
        <f>+'Capex_FO input'!N113</f>
        <v>0</v>
      </c>
      <c r="J113" s="67"/>
      <c r="K113" s="67"/>
      <c r="L113" s="67"/>
      <c r="M113" s="67"/>
      <c r="N113" s="138"/>
      <c r="O113" s="67"/>
      <c r="P113" s="67"/>
      <c r="Q113" s="67"/>
      <c r="R113" s="91"/>
      <c r="S113" s="138"/>
      <c r="T113" s="67"/>
      <c r="U113" s="91"/>
      <c r="V113" s="67"/>
      <c r="W113" s="67"/>
      <c r="X113" s="67"/>
      <c r="Y113" s="67"/>
      <c r="Z113" s="67"/>
      <c r="AA113" s="393">
        <f ca="1">+'Capex_FO input'!CP113</f>
        <v>0</v>
      </c>
      <c r="AB113" s="394">
        <f ca="1">+'Capex_FO input'!CQ113</f>
        <v>0</v>
      </c>
      <c r="AC113" s="394">
        <f ca="1">+'Capex_FO input'!CR113</f>
        <v>0</v>
      </c>
      <c r="AD113" s="394">
        <f ca="1">+'Capex_FO input'!CS113</f>
        <v>0</v>
      </c>
      <c r="AE113" s="1279">
        <f ca="1">+'Capex_FO input'!CT113</f>
        <v>0</v>
      </c>
      <c r="AF113" s="393">
        <f ca="1">+'Capex_FO input'!CU113</f>
        <v>0</v>
      </c>
      <c r="AG113" s="394">
        <f ca="1">+'Capex_FO input'!CV113</f>
        <v>0</v>
      </c>
      <c r="AH113" s="394">
        <f ca="1">+'Capex_FO input'!CW113</f>
        <v>0</v>
      </c>
      <c r="AI113" s="394">
        <f ca="1">+'Capex_FO input'!CX113</f>
        <v>0</v>
      </c>
      <c r="AJ113" s="395">
        <f ca="1">+'Capex_FO input'!CY113</f>
        <v>0</v>
      </c>
    </row>
    <row r="114" spans="3:36" ht="11.25" customHeight="1">
      <c r="C114" s="78">
        <f t="shared" si="19"/>
        <v>68</v>
      </c>
      <c r="D114" s="1984" t="str">
        <f>+'Capex_FO input'!C114</f>
        <v>Water Transfer - South East Water Program</v>
      </c>
      <c r="E114" s="1985"/>
      <c r="F114" s="1985"/>
      <c r="G114" s="1985"/>
      <c r="H114" s="1986"/>
      <c r="I114" s="643">
        <f>+'Capex_FO input'!N114</f>
        <v>0</v>
      </c>
      <c r="J114" s="67"/>
      <c r="K114" s="67"/>
      <c r="L114" s="67"/>
      <c r="M114" s="67"/>
      <c r="N114" s="138"/>
      <c r="O114" s="67"/>
      <c r="P114" s="67"/>
      <c r="Q114" s="67"/>
      <c r="R114" s="91"/>
      <c r="S114" s="138"/>
      <c r="T114" s="67"/>
      <c r="U114" s="91"/>
      <c r="V114" s="67"/>
      <c r="W114" s="67"/>
      <c r="X114" s="67"/>
      <c r="Y114" s="67"/>
      <c r="Z114" s="67"/>
      <c r="AA114" s="393">
        <f ca="1">+'Capex_FO input'!CP114</f>
        <v>0</v>
      </c>
      <c r="AB114" s="394">
        <f ca="1">+'Capex_FO input'!CQ114</f>
        <v>0</v>
      </c>
      <c r="AC114" s="394">
        <f ca="1">+'Capex_FO input'!CR114</f>
        <v>0</v>
      </c>
      <c r="AD114" s="394">
        <f ca="1">+'Capex_FO input'!CS114</f>
        <v>0</v>
      </c>
      <c r="AE114" s="1279">
        <f ca="1">+'Capex_FO input'!CT114</f>
        <v>0</v>
      </c>
      <c r="AF114" s="393">
        <f ca="1">+'Capex_FO input'!CU114</f>
        <v>0</v>
      </c>
      <c r="AG114" s="394">
        <f ca="1">+'Capex_FO input'!CV114</f>
        <v>0</v>
      </c>
      <c r="AH114" s="394">
        <f ca="1">+'Capex_FO input'!CW114</f>
        <v>0</v>
      </c>
      <c r="AI114" s="394">
        <f ca="1">+'Capex_FO input'!CX114</f>
        <v>0</v>
      </c>
      <c r="AJ114" s="395">
        <f ca="1">+'Capex_FO input'!CY114</f>
        <v>0</v>
      </c>
    </row>
    <row r="115" spans="3:36" ht="11.25" customHeight="1">
      <c r="C115" s="78">
        <f t="shared" si="19"/>
        <v>69</v>
      </c>
      <c r="D115" s="1984" t="str">
        <f>+'Capex_FO input'!C115</f>
        <v>Water Transfer - South East Water Program</v>
      </c>
      <c r="E115" s="1985"/>
      <c r="F115" s="1985"/>
      <c r="G115" s="1985"/>
      <c r="H115" s="1986"/>
      <c r="I115" s="643">
        <f>+'Capex_FO input'!N115</f>
        <v>0</v>
      </c>
      <c r="J115" s="67"/>
      <c r="K115" s="67"/>
      <c r="L115" s="67"/>
      <c r="M115" s="67"/>
      <c r="N115" s="138"/>
      <c r="O115" s="67"/>
      <c r="P115" s="67"/>
      <c r="Q115" s="67"/>
      <c r="R115" s="91"/>
      <c r="S115" s="138"/>
      <c r="T115" s="67"/>
      <c r="U115" s="91"/>
      <c r="V115" s="67"/>
      <c r="W115" s="67"/>
      <c r="X115" s="67"/>
      <c r="Y115" s="67"/>
      <c r="Z115" s="67"/>
      <c r="AA115" s="393">
        <f ca="1">+'Capex_FO input'!CP115</f>
        <v>0</v>
      </c>
      <c r="AB115" s="394">
        <f ca="1">+'Capex_FO input'!CQ115</f>
        <v>0</v>
      </c>
      <c r="AC115" s="394">
        <f ca="1">+'Capex_FO input'!CR115</f>
        <v>0</v>
      </c>
      <c r="AD115" s="394">
        <f ca="1">+'Capex_FO input'!CS115</f>
        <v>0</v>
      </c>
      <c r="AE115" s="1279">
        <f ca="1">+'Capex_FO input'!CT115</f>
        <v>0</v>
      </c>
      <c r="AF115" s="393">
        <f ca="1">+'Capex_FO input'!CU115</f>
        <v>0</v>
      </c>
      <c r="AG115" s="394">
        <f ca="1">+'Capex_FO input'!CV115</f>
        <v>0</v>
      </c>
      <c r="AH115" s="394">
        <f ca="1">+'Capex_FO input'!CW115</f>
        <v>0</v>
      </c>
      <c r="AI115" s="394">
        <f ca="1">+'Capex_FO input'!CX115</f>
        <v>0</v>
      </c>
      <c r="AJ115" s="395">
        <f ca="1">+'Capex_FO input'!CY115</f>
        <v>0</v>
      </c>
    </row>
    <row r="116" spans="3:36" ht="11.25" customHeight="1">
      <c r="C116" s="78">
        <f t="shared" si="19"/>
        <v>70</v>
      </c>
      <c r="D116" s="1984" t="str">
        <f>+'Capex_FO input'!C116</f>
        <v>Water Transfer - South East Water Program</v>
      </c>
      <c r="E116" s="1985"/>
      <c r="F116" s="1985"/>
      <c r="G116" s="1985"/>
      <c r="H116" s="1986"/>
      <c r="I116" s="643">
        <f>+'Capex_FO input'!N116</f>
        <v>0</v>
      </c>
      <c r="J116" s="67"/>
      <c r="K116" s="67"/>
      <c r="L116" s="67"/>
      <c r="M116" s="67"/>
      <c r="N116" s="138"/>
      <c r="O116" s="67"/>
      <c r="P116" s="67"/>
      <c r="Q116" s="67"/>
      <c r="R116" s="91"/>
      <c r="S116" s="138"/>
      <c r="T116" s="67"/>
      <c r="U116" s="91"/>
      <c r="V116" s="67"/>
      <c r="W116" s="67"/>
      <c r="X116" s="67"/>
      <c r="Y116" s="67"/>
      <c r="Z116" s="67"/>
      <c r="AA116" s="393">
        <f ca="1">+'Capex_FO input'!CP116</f>
        <v>0</v>
      </c>
      <c r="AB116" s="394">
        <f ca="1">+'Capex_FO input'!CQ116</f>
        <v>0</v>
      </c>
      <c r="AC116" s="394">
        <f ca="1">+'Capex_FO input'!CR116</f>
        <v>0</v>
      </c>
      <c r="AD116" s="394">
        <f ca="1">+'Capex_FO input'!CS116</f>
        <v>0</v>
      </c>
      <c r="AE116" s="1279">
        <f ca="1">+'Capex_FO input'!CT116</f>
        <v>0</v>
      </c>
      <c r="AF116" s="393">
        <f ca="1">+'Capex_FO input'!CU116</f>
        <v>0</v>
      </c>
      <c r="AG116" s="394">
        <f ca="1">+'Capex_FO input'!CV116</f>
        <v>0</v>
      </c>
      <c r="AH116" s="394">
        <f ca="1">+'Capex_FO input'!CW116</f>
        <v>0</v>
      </c>
      <c r="AI116" s="394">
        <f ca="1">+'Capex_FO input'!CX116</f>
        <v>0</v>
      </c>
      <c r="AJ116" s="395">
        <f ca="1">+'Capex_FO input'!CY116</f>
        <v>0</v>
      </c>
    </row>
    <row r="117" spans="3:36" ht="11.25" customHeight="1">
      <c r="C117" s="78">
        <f t="shared" si="19"/>
        <v>71</v>
      </c>
      <c r="D117" s="1984" t="str">
        <f>+'Capex_FO input'!C117</f>
        <v>Water Transfer - Yarra Valley Water Program</v>
      </c>
      <c r="E117" s="1985"/>
      <c r="F117" s="1985"/>
      <c r="G117" s="1985"/>
      <c r="H117" s="1986"/>
      <c r="I117" s="643">
        <f>+'Capex_FO input'!N117</f>
        <v>0</v>
      </c>
      <c r="J117" s="67"/>
      <c r="K117" s="67"/>
      <c r="L117" s="67"/>
      <c r="M117" s="67"/>
      <c r="N117" s="138"/>
      <c r="O117" s="67"/>
      <c r="P117" s="67"/>
      <c r="Q117" s="67"/>
      <c r="R117" s="91"/>
      <c r="S117" s="138"/>
      <c r="T117" s="67"/>
      <c r="U117" s="91"/>
      <c r="V117" s="67"/>
      <c r="W117" s="67"/>
      <c r="X117" s="67"/>
      <c r="Y117" s="67"/>
      <c r="Z117" s="67"/>
      <c r="AA117" s="393">
        <f ca="1">+'Capex_FO input'!CP117</f>
        <v>0</v>
      </c>
      <c r="AB117" s="394">
        <f ca="1">+'Capex_FO input'!CQ117</f>
        <v>0</v>
      </c>
      <c r="AC117" s="394">
        <f ca="1">+'Capex_FO input'!CR117</f>
        <v>0</v>
      </c>
      <c r="AD117" s="394">
        <f ca="1">+'Capex_FO input'!CS117</f>
        <v>0</v>
      </c>
      <c r="AE117" s="1279">
        <f ca="1">+'Capex_FO input'!CT117</f>
        <v>0</v>
      </c>
      <c r="AF117" s="393">
        <f ca="1">+'Capex_FO input'!CU117</f>
        <v>0</v>
      </c>
      <c r="AG117" s="394">
        <f ca="1">+'Capex_FO input'!CV117</f>
        <v>0</v>
      </c>
      <c r="AH117" s="394">
        <f ca="1">+'Capex_FO input'!CW117</f>
        <v>0</v>
      </c>
      <c r="AI117" s="394">
        <f ca="1">+'Capex_FO input'!CX117</f>
        <v>0</v>
      </c>
      <c r="AJ117" s="395">
        <f ca="1">+'Capex_FO input'!CY117</f>
        <v>0</v>
      </c>
    </row>
    <row r="118" spans="3:36" ht="11.25" customHeight="1">
      <c r="C118" s="78">
        <f t="shared" si="19"/>
        <v>72</v>
      </c>
      <c r="D118" s="1984" t="str">
        <f>+'Capex_FO input'!C118</f>
        <v>Water Transfer - Yarra Valley Water Program</v>
      </c>
      <c r="E118" s="1985"/>
      <c r="F118" s="1985"/>
      <c r="G118" s="1985"/>
      <c r="H118" s="1986"/>
      <c r="I118" s="643">
        <f>+'Capex_FO input'!N118</f>
        <v>0</v>
      </c>
      <c r="J118" s="67"/>
      <c r="K118" s="67"/>
      <c r="L118" s="67"/>
      <c r="M118" s="67"/>
      <c r="N118" s="138"/>
      <c r="O118" s="67"/>
      <c r="P118" s="67"/>
      <c r="Q118" s="67"/>
      <c r="R118" s="91"/>
      <c r="S118" s="138"/>
      <c r="T118" s="67"/>
      <c r="U118" s="91"/>
      <c r="V118" s="67"/>
      <c r="W118" s="67"/>
      <c r="X118" s="67"/>
      <c r="Y118" s="67"/>
      <c r="Z118" s="67"/>
      <c r="AA118" s="393">
        <f ca="1">+'Capex_FO input'!CP118</f>
        <v>0</v>
      </c>
      <c r="AB118" s="394">
        <f ca="1">+'Capex_FO input'!CQ118</f>
        <v>0</v>
      </c>
      <c r="AC118" s="394">
        <f ca="1">+'Capex_FO input'!CR118</f>
        <v>0</v>
      </c>
      <c r="AD118" s="394">
        <f ca="1">+'Capex_FO input'!CS118</f>
        <v>0</v>
      </c>
      <c r="AE118" s="1279">
        <f ca="1">+'Capex_FO input'!CT118</f>
        <v>0</v>
      </c>
      <c r="AF118" s="393">
        <f ca="1">+'Capex_FO input'!CU118</f>
        <v>0</v>
      </c>
      <c r="AG118" s="394">
        <f ca="1">+'Capex_FO input'!CV118</f>
        <v>0</v>
      </c>
      <c r="AH118" s="394">
        <f ca="1">+'Capex_FO input'!CW118</f>
        <v>0</v>
      </c>
      <c r="AI118" s="394">
        <f ca="1">+'Capex_FO input'!CX118</f>
        <v>0</v>
      </c>
      <c r="AJ118" s="395">
        <f ca="1">+'Capex_FO input'!CY118</f>
        <v>0</v>
      </c>
    </row>
    <row r="119" spans="3:36" ht="11.25" customHeight="1">
      <c r="C119" s="78">
        <f t="shared" si="19"/>
        <v>73</v>
      </c>
      <c r="D119" s="1984" t="str">
        <f>+'Capex_FO input'!C119</f>
        <v>Water Transfer - Yarra Valley Water Program</v>
      </c>
      <c r="E119" s="1985"/>
      <c r="F119" s="1985"/>
      <c r="G119" s="1985"/>
      <c r="H119" s="1986"/>
      <c r="I119" s="643">
        <f>+'Capex_FO input'!N119</f>
        <v>0</v>
      </c>
      <c r="J119" s="67"/>
      <c r="K119" s="67"/>
      <c r="L119" s="67"/>
      <c r="M119" s="67"/>
      <c r="N119" s="138"/>
      <c r="O119" s="67"/>
      <c r="P119" s="67"/>
      <c r="Q119" s="67"/>
      <c r="R119" s="91"/>
      <c r="S119" s="138"/>
      <c r="T119" s="67"/>
      <c r="U119" s="91"/>
      <c r="V119" s="67"/>
      <c r="W119" s="67"/>
      <c r="X119" s="67"/>
      <c r="Y119" s="67"/>
      <c r="Z119" s="67"/>
      <c r="AA119" s="393">
        <f ca="1">+'Capex_FO input'!CP119</f>
        <v>0</v>
      </c>
      <c r="AB119" s="394">
        <f ca="1">+'Capex_FO input'!CQ119</f>
        <v>0</v>
      </c>
      <c r="AC119" s="394">
        <f ca="1">+'Capex_FO input'!CR119</f>
        <v>0</v>
      </c>
      <c r="AD119" s="394">
        <f ca="1">+'Capex_FO input'!CS119</f>
        <v>0</v>
      </c>
      <c r="AE119" s="1279">
        <f ca="1">+'Capex_FO input'!CT119</f>
        <v>0</v>
      </c>
      <c r="AF119" s="393">
        <f ca="1">+'Capex_FO input'!CU119</f>
        <v>0</v>
      </c>
      <c r="AG119" s="394">
        <f ca="1">+'Capex_FO input'!CV119</f>
        <v>0</v>
      </c>
      <c r="AH119" s="394">
        <f ca="1">+'Capex_FO input'!CW119</f>
        <v>0</v>
      </c>
      <c r="AI119" s="394">
        <f ca="1">+'Capex_FO input'!CX119</f>
        <v>0</v>
      </c>
      <c r="AJ119" s="395">
        <f ca="1">+'Capex_FO input'!CY119</f>
        <v>0</v>
      </c>
    </row>
    <row r="120" spans="3:36" ht="11.25" customHeight="1">
      <c r="C120" s="78">
        <f t="shared" si="19"/>
        <v>74</v>
      </c>
      <c r="D120" s="1984" t="str">
        <f>+'Capex_FO input'!C120</f>
        <v>Water Transfer - Yarra Valley Water Program</v>
      </c>
      <c r="E120" s="1985"/>
      <c r="F120" s="1985"/>
      <c r="G120" s="1985"/>
      <c r="H120" s="1986"/>
      <c r="I120" s="643">
        <f>+'Capex_FO input'!N120</f>
        <v>0</v>
      </c>
      <c r="J120" s="67"/>
      <c r="K120" s="67"/>
      <c r="L120" s="67"/>
      <c r="M120" s="67"/>
      <c r="N120" s="138"/>
      <c r="O120" s="67"/>
      <c r="P120" s="67"/>
      <c r="Q120" s="67"/>
      <c r="R120" s="91"/>
      <c r="S120" s="138"/>
      <c r="T120" s="67"/>
      <c r="U120" s="91"/>
      <c r="V120" s="67"/>
      <c r="W120" s="67"/>
      <c r="X120" s="67"/>
      <c r="Y120" s="67"/>
      <c r="Z120" s="67"/>
      <c r="AA120" s="393">
        <f ca="1">+'Capex_FO input'!CP120</f>
        <v>0</v>
      </c>
      <c r="AB120" s="394">
        <f ca="1">+'Capex_FO input'!CQ120</f>
        <v>0</v>
      </c>
      <c r="AC120" s="394">
        <f ca="1">+'Capex_FO input'!CR120</f>
        <v>0</v>
      </c>
      <c r="AD120" s="394">
        <f ca="1">+'Capex_FO input'!CS120</f>
        <v>0</v>
      </c>
      <c r="AE120" s="1279">
        <f ca="1">+'Capex_FO input'!CT120</f>
        <v>0</v>
      </c>
      <c r="AF120" s="393">
        <f ca="1">+'Capex_FO input'!CU120</f>
        <v>0</v>
      </c>
      <c r="AG120" s="394">
        <f ca="1">+'Capex_FO input'!CV120</f>
        <v>0</v>
      </c>
      <c r="AH120" s="394">
        <f ca="1">+'Capex_FO input'!CW120</f>
        <v>0</v>
      </c>
      <c r="AI120" s="394">
        <f ca="1">+'Capex_FO input'!CX120</f>
        <v>0</v>
      </c>
      <c r="AJ120" s="395">
        <f ca="1">+'Capex_FO input'!CY120</f>
        <v>0</v>
      </c>
    </row>
    <row r="121" spans="3:36" ht="11.25" customHeight="1">
      <c r="C121" s="78">
        <f t="shared" si="19"/>
        <v>75</v>
      </c>
      <c r="D121" s="1984" t="str">
        <f>+'Capex_FO input'!C121</f>
        <v>Water Transfer - Yarra Valley Water Program</v>
      </c>
      <c r="E121" s="1985"/>
      <c r="F121" s="1985"/>
      <c r="G121" s="1985"/>
      <c r="H121" s="1986"/>
      <c r="I121" s="643">
        <f>+'Capex_FO input'!N121</f>
        <v>0</v>
      </c>
      <c r="J121" s="67"/>
      <c r="K121" s="67"/>
      <c r="L121" s="67"/>
      <c r="M121" s="67"/>
      <c r="N121" s="138"/>
      <c r="O121" s="67"/>
      <c r="P121" s="67"/>
      <c r="Q121" s="67"/>
      <c r="R121" s="91"/>
      <c r="S121" s="138"/>
      <c r="T121" s="67"/>
      <c r="U121" s="91"/>
      <c r="V121" s="67"/>
      <c r="W121" s="67"/>
      <c r="X121" s="67"/>
      <c r="Y121" s="67"/>
      <c r="Z121" s="67"/>
      <c r="AA121" s="393">
        <f ca="1">+'Capex_FO input'!CP121</f>
        <v>0</v>
      </c>
      <c r="AB121" s="394">
        <f ca="1">+'Capex_FO input'!CQ121</f>
        <v>0</v>
      </c>
      <c r="AC121" s="394">
        <f ca="1">+'Capex_FO input'!CR121</f>
        <v>0</v>
      </c>
      <c r="AD121" s="394">
        <f ca="1">+'Capex_FO input'!CS121</f>
        <v>0</v>
      </c>
      <c r="AE121" s="1279">
        <f ca="1">+'Capex_FO input'!CT121</f>
        <v>0</v>
      </c>
      <c r="AF121" s="393">
        <f ca="1">+'Capex_FO input'!CU121</f>
        <v>0</v>
      </c>
      <c r="AG121" s="394">
        <f ca="1">+'Capex_FO input'!CV121</f>
        <v>0</v>
      </c>
      <c r="AH121" s="394">
        <f ca="1">+'Capex_FO input'!CW121</f>
        <v>0</v>
      </c>
      <c r="AI121" s="394">
        <f ca="1">+'Capex_FO input'!CX121</f>
        <v>0</v>
      </c>
      <c r="AJ121" s="395">
        <f ca="1">+'Capex_FO input'!CY121</f>
        <v>0</v>
      </c>
    </row>
    <row r="122" spans="3:36" ht="11.25" customHeight="1">
      <c r="C122" s="78">
        <f t="shared" si="19"/>
        <v>76</v>
      </c>
      <c r="D122" s="1984" t="str">
        <f>+'Capex_FO input'!C122</f>
        <v>Water Transfer - Yarra Valley Water Program</v>
      </c>
      <c r="E122" s="1985"/>
      <c r="F122" s="1985"/>
      <c r="G122" s="1985"/>
      <c r="H122" s="1986"/>
      <c r="I122" s="643">
        <f>+'Capex_FO input'!N122</f>
        <v>0</v>
      </c>
      <c r="J122" s="67"/>
      <c r="K122" s="67"/>
      <c r="L122" s="67"/>
      <c r="M122" s="67"/>
      <c r="N122" s="138"/>
      <c r="O122" s="67"/>
      <c r="P122" s="67"/>
      <c r="Q122" s="67"/>
      <c r="R122" s="91"/>
      <c r="S122" s="138"/>
      <c r="T122" s="67"/>
      <c r="U122" s="91"/>
      <c r="V122" s="67"/>
      <c r="W122" s="67"/>
      <c r="X122" s="67"/>
      <c r="Y122" s="67"/>
      <c r="Z122" s="67"/>
      <c r="AA122" s="393">
        <f ca="1">+'Capex_FO input'!CP122</f>
        <v>0</v>
      </c>
      <c r="AB122" s="394">
        <f ca="1">+'Capex_FO input'!CQ122</f>
        <v>0</v>
      </c>
      <c r="AC122" s="394">
        <f ca="1">+'Capex_FO input'!CR122</f>
        <v>0</v>
      </c>
      <c r="AD122" s="394">
        <f ca="1">+'Capex_FO input'!CS122</f>
        <v>0</v>
      </c>
      <c r="AE122" s="1279">
        <f ca="1">+'Capex_FO input'!CT122</f>
        <v>0</v>
      </c>
      <c r="AF122" s="393">
        <f ca="1">+'Capex_FO input'!CU122</f>
        <v>0</v>
      </c>
      <c r="AG122" s="394">
        <f ca="1">+'Capex_FO input'!CV122</f>
        <v>0</v>
      </c>
      <c r="AH122" s="394">
        <f ca="1">+'Capex_FO input'!CW122</f>
        <v>0</v>
      </c>
      <c r="AI122" s="394">
        <f ca="1">+'Capex_FO input'!CX122</f>
        <v>0</v>
      </c>
      <c r="AJ122" s="395">
        <f ca="1">+'Capex_FO input'!CY122</f>
        <v>0</v>
      </c>
    </row>
    <row r="123" spans="3:36" ht="11.25" customHeight="1">
      <c r="C123" s="78">
        <f t="shared" si="19"/>
        <v>77</v>
      </c>
      <c r="D123" s="1984" t="str">
        <f>+'Capex_FO input'!C123</f>
        <v>Western Treatment Plant - Environment Program</v>
      </c>
      <c r="E123" s="1985"/>
      <c r="F123" s="1985"/>
      <c r="G123" s="1985"/>
      <c r="H123" s="1986"/>
      <c r="I123" s="643">
        <f>+'Capex_FO input'!N123</f>
        <v>0</v>
      </c>
      <c r="J123" s="67"/>
      <c r="K123" s="67"/>
      <c r="L123" s="67"/>
      <c r="M123" s="67"/>
      <c r="N123" s="138"/>
      <c r="O123" s="67"/>
      <c r="P123" s="67"/>
      <c r="Q123" s="67"/>
      <c r="R123" s="91"/>
      <c r="S123" s="138"/>
      <c r="T123" s="67"/>
      <c r="U123" s="91"/>
      <c r="V123" s="67"/>
      <c r="W123" s="67"/>
      <c r="X123" s="67"/>
      <c r="Y123" s="67"/>
      <c r="Z123" s="67"/>
      <c r="AA123" s="393">
        <f ca="1">+'Capex_FO input'!CP123</f>
        <v>0</v>
      </c>
      <c r="AB123" s="394">
        <f ca="1">+'Capex_FO input'!CQ123</f>
        <v>0</v>
      </c>
      <c r="AC123" s="394">
        <f ca="1">+'Capex_FO input'!CR123</f>
        <v>0</v>
      </c>
      <c r="AD123" s="394">
        <f ca="1">+'Capex_FO input'!CS123</f>
        <v>0</v>
      </c>
      <c r="AE123" s="1279">
        <f ca="1">+'Capex_FO input'!CT123</f>
        <v>0</v>
      </c>
      <c r="AF123" s="393">
        <f ca="1">+'Capex_FO input'!CU123</f>
        <v>0</v>
      </c>
      <c r="AG123" s="394">
        <f ca="1">+'Capex_FO input'!CV123</f>
        <v>0</v>
      </c>
      <c r="AH123" s="394">
        <f ca="1">+'Capex_FO input'!CW123</f>
        <v>0</v>
      </c>
      <c r="AI123" s="394">
        <f ca="1">+'Capex_FO input'!CX123</f>
        <v>0</v>
      </c>
      <c r="AJ123" s="395">
        <f ca="1">+'Capex_FO input'!CY123</f>
        <v>0</v>
      </c>
    </row>
    <row r="124" spans="3:36" ht="11.25" customHeight="1">
      <c r="C124" s="78">
        <f t="shared" si="19"/>
        <v>78</v>
      </c>
      <c r="D124" s="1984" t="str">
        <f>+'Capex_FO input'!C124</f>
        <v>Western Treatment Plant - Environment Program</v>
      </c>
      <c r="E124" s="1985"/>
      <c r="F124" s="1985"/>
      <c r="G124" s="1985"/>
      <c r="H124" s="1986"/>
      <c r="I124" s="643">
        <f>+'Capex_FO input'!N124</f>
        <v>0</v>
      </c>
      <c r="J124" s="67"/>
      <c r="K124" s="67"/>
      <c r="L124" s="67"/>
      <c r="M124" s="67"/>
      <c r="N124" s="138"/>
      <c r="O124" s="67"/>
      <c r="P124" s="67"/>
      <c r="Q124" s="67"/>
      <c r="R124" s="91"/>
      <c r="S124" s="138"/>
      <c r="T124" s="67"/>
      <c r="U124" s="91"/>
      <c r="V124" s="67"/>
      <c r="W124" s="67"/>
      <c r="X124" s="67"/>
      <c r="Y124" s="67"/>
      <c r="Z124" s="67"/>
      <c r="AA124" s="393">
        <f ca="1">+'Capex_FO input'!CP124</f>
        <v>0</v>
      </c>
      <c r="AB124" s="394">
        <f ca="1">+'Capex_FO input'!CQ124</f>
        <v>0</v>
      </c>
      <c r="AC124" s="394">
        <f ca="1">+'Capex_FO input'!CR124</f>
        <v>0</v>
      </c>
      <c r="AD124" s="394">
        <f ca="1">+'Capex_FO input'!CS124</f>
        <v>0</v>
      </c>
      <c r="AE124" s="1279">
        <f ca="1">+'Capex_FO input'!CT124</f>
        <v>0</v>
      </c>
      <c r="AF124" s="393">
        <f ca="1">+'Capex_FO input'!CU124</f>
        <v>0</v>
      </c>
      <c r="AG124" s="394">
        <f ca="1">+'Capex_FO input'!CV124</f>
        <v>0</v>
      </c>
      <c r="AH124" s="394">
        <f ca="1">+'Capex_FO input'!CW124</f>
        <v>0</v>
      </c>
      <c r="AI124" s="394">
        <f ca="1">+'Capex_FO input'!CX124</f>
        <v>0</v>
      </c>
      <c r="AJ124" s="395">
        <f ca="1">+'Capex_FO input'!CY124</f>
        <v>0</v>
      </c>
    </row>
    <row r="125" spans="3:36" ht="11.25" customHeight="1">
      <c r="C125" s="78">
        <f t="shared" si="19"/>
        <v>79</v>
      </c>
      <c r="D125" s="1984" t="str">
        <f>+'Capex_FO input'!C125</f>
        <v>Western Treatment Plant - Other Program</v>
      </c>
      <c r="E125" s="1985"/>
      <c r="F125" s="1985"/>
      <c r="G125" s="1985"/>
      <c r="H125" s="1986"/>
      <c r="I125" s="643">
        <f>+'Capex_FO input'!N125</f>
        <v>0</v>
      </c>
      <c r="J125" s="67"/>
      <c r="K125" s="67"/>
      <c r="L125" s="67"/>
      <c r="M125" s="67"/>
      <c r="N125" s="138"/>
      <c r="O125" s="67"/>
      <c r="P125" s="67"/>
      <c r="Q125" s="67"/>
      <c r="R125" s="91"/>
      <c r="S125" s="138"/>
      <c r="T125" s="67"/>
      <c r="U125" s="91"/>
      <c r="V125" s="67"/>
      <c r="W125" s="67"/>
      <c r="X125" s="67"/>
      <c r="Y125" s="67"/>
      <c r="Z125" s="67"/>
      <c r="AA125" s="393">
        <f ca="1">+'Capex_FO input'!CP125</f>
        <v>0</v>
      </c>
      <c r="AB125" s="394">
        <f ca="1">+'Capex_FO input'!CQ125</f>
        <v>0</v>
      </c>
      <c r="AC125" s="394">
        <f ca="1">+'Capex_FO input'!CR125</f>
        <v>0</v>
      </c>
      <c r="AD125" s="394">
        <f ca="1">+'Capex_FO input'!CS125</f>
        <v>0</v>
      </c>
      <c r="AE125" s="1279">
        <f ca="1">+'Capex_FO input'!CT125</f>
        <v>0</v>
      </c>
      <c r="AF125" s="393">
        <f ca="1">+'Capex_FO input'!CU125</f>
        <v>0</v>
      </c>
      <c r="AG125" s="394">
        <f ca="1">+'Capex_FO input'!CV125</f>
        <v>0</v>
      </c>
      <c r="AH125" s="394">
        <f ca="1">+'Capex_FO input'!CW125</f>
        <v>0</v>
      </c>
      <c r="AI125" s="394">
        <f ca="1">+'Capex_FO input'!CX125</f>
        <v>0</v>
      </c>
      <c r="AJ125" s="395">
        <f ca="1">+'Capex_FO input'!CY125</f>
        <v>0</v>
      </c>
    </row>
    <row r="126" spans="3:36" ht="11.25" customHeight="1">
      <c r="C126" s="78">
        <f t="shared" si="19"/>
        <v>80</v>
      </c>
      <c r="D126" s="1984" t="str">
        <f>+'Capex_FO input'!C126</f>
        <v>Western Treatment Plant - Other Program</v>
      </c>
      <c r="E126" s="1985"/>
      <c r="F126" s="1985"/>
      <c r="G126" s="1985"/>
      <c r="H126" s="1986"/>
      <c r="I126" s="643">
        <f>+'Capex_FO input'!N126</f>
        <v>0</v>
      </c>
      <c r="J126" s="67"/>
      <c r="K126" s="67"/>
      <c r="L126" s="67"/>
      <c r="M126" s="67"/>
      <c r="N126" s="138"/>
      <c r="O126" s="67"/>
      <c r="P126" s="67"/>
      <c r="Q126" s="67"/>
      <c r="R126" s="91"/>
      <c r="S126" s="138"/>
      <c r="T126" s="67"/>
      <c r="U126" s="91"/>
      <c r="V126" s="67"/>
      <c r="W126" s="67"/>
      <c r="X126" s="67"/>
      <c r="Y126" s="67"/>
      <c r="Z126" s="67"/>
      <c r="AA126" s="393">
        <f ca="1">+'Capex_FO input'!CP126</f>
        <v>0</v>
      </c>
      <c r="AB126" s="394">
        <f ca="1">+'Capex_FO input'!CQ126</f>
        <v>0</v>
      </c>
      <c r="AC126" s="394">
        <f ca="1">+'Capex_FO input'!CR126</f>
        <v>0</v>
      </c>
      <c r="AD126" s="394">
        <f ca="1">+'Capex_FO input'!CS126</f>
        <v>0</v>
      </c>
      <c r="AE126" s="1279">
        <f ca="1">+'Capex_FO input'!CT126</f>
        <v>0</v>
      </c>
      <c r="AF126" s="393">
        <f ca="1">+'Capex_FO input'!CU126</f>
        <v>0</v>
      </c>
      <c r="AG126" s="394">
        <f ca="1">+'Capex_FO input'!CV126</f>
        <v>0</v>
      </c>
      <c r="AH126" s="394">
        <f ca="1">+'Capex_FO input'!CW126</f>
        <v>0</v>
      </c>
      <c r="AI126" s="394">
        <f ca="1">+'Capex_FO input'!CX126</f>
        <v>0</v>
      </c>
      <c r="AJ126" s="395">
        <f ca="1">+'Capex_FO input'!CY126</f>
        <v>0</v>
      </c>
    </row>
    <row r="127" spans="3:36" ht="11.25" customHeight="1">
      <c r="C127" s="78">
        <f t="shared" si="19"/>
        <v>81</v>
      </c>
      <c r="D127" s="1984" t="str">
        <f>+'Capex_FO input'!C127</f>
        <v>Western Treatment Plant - Solids Program</v>
      </c>
      <c r="E127" s="1985"/>
      <c r="F127" s="1985"/>
      <c r="G127" s="1985"/>
      <c r="H127" s="1986"/>
      <c r="I127" s="643">
        <f>+'Capex_FO input'!N127</f>
        <v>0</v>
      </c>
      <c r="J127" s="67"/>
      <c r="K127" s="67"/>
      <c r="L127" s="67"/>
      <c r="M127" s="67"/>
      <c r="N127" s="138"/>
      <c r="O127" s="67"/>
      <c r="P127" s="67"/>
      <c r="Q127" s="67"/>
      <c r="R127" s="91"/>
      <c r="S127" s="138"/>
      <c r="T127" s="67"/>
      <c r="U127" s="91"/>
      <c r="V127" s="67"/>
      <c r="W127" s="67"/>
      <c r="X127" s="67"/>
      <c r="Y127" s="67"/>
      <c r="Z127" s="67"/>
      <c r="AA127" s="393">
        <f ca="1">+'Capex_FO input'!CP127</f>
        <v>0</v>
      </c>
      <c r="AB127" s="394">
        <f ca="1">+'Capex_FO input'!CQ127</f>
        <v>0</v>
      </c>
      <c r="AC127" s="394">
        <f ca="1">+'Capex_FO input'!CR127</f>
        <v>0</v>
      </c>
      <c r="AD127" s="394">
        <f ca="1">+'Capex_FO input'!CS127</f>
        <v>0</v>
      </c>
      <c r="AE127" s="1279">
        <f ca="1">+'Capex_FO input'!CT127</f>
        <v>0</v>
      </c>
      <c r="AF127" s="393">
        <f ca="1">+'Capex_FO input'!CU127</f>
        <v>0</v>
      </c>
      <c r="AG127" s="394">
        <f ca="1">+'Capex_FO input'!CV127</f>
        <v>0</v>
      </c>
      <c r="AH127" s="394">
        <f ca="1">+'Capex_FO input'!CW127</f>
        <v>0</v>
      </c>
      <c r="AI127" s="394">
        <f ca="1">+'Capex_FO input'!CX127</f>
        <v>0</v>
      </c>
      <c r="AJ127" s="395">
        <f ca="1">+'Capex_FO input'!CY127</f>
        <v>0</v>
      </c>
    </row>
    <row r="128" spans="3:36" ht="11.25" customHeight="1">
      <c r="C128" s="78">
        <f t="shared" ref="C128:C191" si="20">C127+1</f>
        <v>82</v>
      </c>
      <c r="D128" s="1984" t="str">
        <f>+'Capex_FO input'!C128</f>
        <v>Western Treatment Plant - Supporting Services Program</v>
      </c>
      <c r="E128" s="1985"/>
      <c r="F128" s="1985"/>
      <c r="G128" s="1985"/>
      <c r="H128" s="1986"/>
      <c r="I128" s="643">
        <f>+'Capex_FO input'!N128</f>
        <v>0</v>
      </c>
      <c r="J128" s="67"/>
      <c r="K128" s="67"/>
      <c r="L128" s="67"/>
      <c r="M128" s="67"/>
      <c r="N128" s="138"/>
      <c r="O128" s="67"/>
      <c r="P128" s="67"/>
      <c r="Q128" s="67"/>
      <c r="R128" s="91"/>
      <c r="S128" s="138"/>
      <c r="T128" s="67"/>
      <c r="U128" s="91"/>
      <c r="V128" s="67"/>
      <c r="W128" s="67"/>
      <c r="X128" s="67"/>
      <c r="Y128" s="67"/>
      <c r="Z128" s="67"/>
      <c r="AA128" s="393">
        <f ca="1">+'Capex_FO input'!CP128</f>
        <v>0</v>
      </c>
      <c r="AB128" s="394">
        <f ca="1">+'Capex_FO input'!CQ128</f>
        <v>0</v>
      </c>
      <c r="AC128" s="394">
        <f ca="1">+'Capex_FO input'!CR128</f>
        <v>0</v>
      </c>
      <c r="AD128" s="394">
        <f ca="1">+'Capex_FO input'!CS128</f>
        <v>0</v>
      </c>
      <c r="AE128" s="1279">
        <f ca="1">+'Capex_FO input'!CT128</f>
        <v>0</v>
      </c>
      <c r="AF128" s="393">
        <f ca="1">+'Capex_FO input'!CU128</f>
        <v>0</v>
      </c>
      <c r="AG128" s="394">
        <f ca="1">+'Capex_FO input'!CV128</f>
        <v>0</v>
      </c>
      <c r="AH128" s="394">
        <f ca="1">+'Capex_FO input'!CW128</f>
        <v>0</v>
      </c>
      <c r="AI128" s="394">
        <f ca="1">+'Capex_FO input'!CX128</f>
        <v>0</v>
      </c>
      <c r="AJ128" s="395">
        <f ca="1">+'Capex_FO input'!CY128</f>
        <v>0</v>
      </c>
    </row>
    <row r="129" spans="3:36" ht="11.25" customHeight="1">
      <c r="C129" s="78">
        <f t="shared" si="20"/>
        <v>83</v>
      </c>
      <c r="D129" s="1984" t="str">
        <f>+'Capex_FO input'!C129</f>
        <v>Western Treatment Plant - Supporting Services Program</v>
      </c>
      <c r="E129" s="1985"/>
      <c r="F129" s="1985"/>
      <c r="G129" s="1985"/>
      <c r="H129" s="1986"/>
      <c r="I129" s="643">
        <f>+'Capex_FO input'!N129</f>
        <v>0</v>
      </c>
      <c r="J129" s="67"/>
      <c r="K129" s="67"/>
      <c r="L129" s="67"/>
      <c r="M129" s="67"/>
      <c r="N129" s="138"/>
      <c r="O129" s="67"/>
      <c r="P129" s="67"/>
      <c r="Q129" s="67"/>
      <c r="R129" s="91"/>
      <c r="S129" s="138"/>
      <c r="T129" s="67"/>
      <c r="U129" s="91"/>
      <c r="V129" s="67"/>
      <c r="W129" s="67"/>
      <c r="X129" s="67"/>
      <c r="Y129" s="67"/>
      <c r="Z129" s="67"/>
      <c r="AA129" s="393">
        <f ca="1">+'Capex_FO input'!CP129</f>
        <v>0</v>
      </c>
      <c r="AB129" s="394">
        <f ca="1">+'Capex_FO input'!CQ129</f>
        <v>0</v>
      </c>
      <c r="AC129" s="394">
        <f ca="1">+'Capex_FO input'!CR129</f>
        <v>0</v>
      </c>
      <c r="AD129" s="394">
        <f ca="1">+'Capex_FO input'!CS129</f>
        <v>0</v>
      </c>
      <c r="AE129" s="1279">
        <f ca="1">+'Capex_FO input'!CT129</f>
        <v>0</v>
      </c>
      <c r="AF129" s="393">
        <f ca="1">+'Capex_FO input'!CU129</f>
        <v>0</v>
      </c>
      <c r="AG129" s="394">
        <f ca="1">+'Capex_FO input'!CV129</f>
        <v>0</v>
      </c>
      <c r="AH129" s="394">
        <f ca="1">+'Capex_FO input'!CW129</f>
        <v>0</v>
      </c>
      <c r="AI129" s="394">
        <f ca="1">+'Capex_FO input'!CX129</f>
        <v>0</v>
      </c>
      <c r="AJ129" s="395">
        <f ca="1">+'Capex_FO input'!CY129</f>
        <v>0</v>
      </c>
    </row>
    <row r="130" spans="3:36" ht="11.25" customHeight="1">
      <c r="C130" s="78">
        <f t="shared" si="20"/>
        <v>84</v>
      </c>
      <c r="D130" s="1984" t="str">
        <f>+'Capex_FO input'!C130</f>
        <v>Western Treatment Plant - Supporting Services Program</v>
      </c>
      <c r="E130" s="1985"/>
      <c r="F130" s="1985"/>
      <c r="G130" s="1985"/>
      <c r="H130" s="1986"/>
      <c r="I130" s="643">
        <f>+'Capex_FO input'!N130</f>
        <v>0</v>
      </c>
      <c r="J130" s="67"/>
      <c r="K130" s="67"/>
      <c r="L130" s="67"/>
      <c r="M130" s="67"/>
      <c r="N130" s="138"/>
      <c r="O130" s="67"/>
      <c r="P130" s="67"/>
      <c r="Q130" s="67"/>
      <c r="R130" s="91"/>
      <c r="S130" s="138"/>
      <c r="T130" s="67"/>
      <c r="U130" s="91"/>
      <c r="V130" s="67"/>
      <c r="W130" s="67"/>
      <c r="X130" s="67"/>
      <c r="Y130" s="67"/>
      <c r="Z130" s="67"/>
      <c r="AA130" s="393">
        <f ca="1">+'Capex_FO input'!CP130</f>
        <v>0</v>
      </c>
      <c r="AB130" s="394">
        <f ca="1">+'Capex_FO input'!CQ130</f>
        <v>0</v>
      </c>
      <c r="AC130" s="394">
        <f ca="1">+'Capex_FO input'!CR130</f>
        <v>0</v>
      </c>
      <c r="AD130" s="394">
        <f ca="1">+'Capex_FO input'!CS130</f>
        <v>0</v>
      </c>
      <c r="AE130" s="1279">
        <f ca="1">+'Capex_FO input'!CT130</f>
        <v>0</v>
      </c>
      <c r="AF130" s="393">
        <f ca="1">+'Capex_FO input'!CU130</f>
        <v>0</v>
      </c>
      <c r="AG130" s="394">
        <f ca="1">+'Capex_FO input'!CV130</f>
        <v>0</v>
      </c>
      <c r="AH130" s="394">
        <f ca="1">+'Capex_FO input'!CW130</f>
        <v>0</v>
      </c>
      <c r="AI130" s="394">
        <f ca="1">+'Capex_FO input'!CX130</f>
        <v>0</v>
      </c>
      <c r="AJ130" s="395">
        <f ca="1">+'Capex_FO input'!CY130</f>
        <v>0</v>
      </c>
    </row>
    <row r="131" spans="3:36" ht="11.25" customHeight="1">
      <c r="C131" s="78">
        <f t="shared" si="20"/>
        <v>85</v>
      </c>
      <c r="D131" s="1984" t="str">
        <f>+'Capex_FO input'!C131</f>
        <v>Western Treatment Plant - Wastewater Program</v>
      </c>
      <c r="E131" s="1985"/>
      <c r="F131" s="1985"/>
      <c r="G131" s="1985"/>
      <c r="H131" s="1986"/>
      <c r="I131" s="643">
        <f>+'Capex_FO input'!N131</f>
        <v>0</v>
      </c>
      <c r="J131" s="67"/>
      <c r="K131" s="67"/>
      <c r="L131" s="67"/>
      <c r="M131" s="67"/>
      <c r="N131" s="138"/>
      <c r="O131" s="67"/>
      <c r="P131" s="67"/>
      <c r="Q131" s="67"/>
      <c r="R131" s="91"/>
      <c r="S131" s="138"/>
      <c r="T131" s="67"/>
      <c r="U131" s="91"/>
      <c r="V131" s="67"/>
      <c r="W131" s="67"/>
      <c r="X131" s="67"/>
      <c r="Y131" s="67"/>
      <c r="Z131" s="67"/>
      <c r="AA131" s="393">
        <f ca="1">+'Capex_FO input'!CP131</f>
        <v>0</v>
      </c>
      <c r="AB131" s="394">
        <f ca="1">+'Capex_FO input'!CQ131</f>
        <v>0</v>
      </c>
      <c r="AC131" s="394">
        <f ca="1">+'Capex_FO input'!CR131</f>
        <v>0</v>
      </c>
      <c r="AD131" s="394">
        <f ca="1">+'Capex_FO input'!CS131</f>
        <v>0</v>
      </c>
      <c r="AE131" s="1279">
        <f ca="1">+'Capex_FO input'!CT131</f>
        <v>0</v>
      </c>
      <c r="AF131" s="393">
        <f ca="1">+'Capex_FO input'!CU131</f>
        <v>0</v>
      </c>
      <c r="AG131" s="394">
        <f ca="1">+'Capex_FO input'!CV131</f>
        <v>0</v>
      </c>
      <c r="AH131" s="394">
        <f ca="1">+'Capex_FO input'!CW131</f>
        <v>0</v>
      </c>
      <c r="AI131" s="394">
        <f ca="1">+'Capex_FO input'!CX131</f>
        <v>0</v>
      </c>
      <c r="AJ131" s="395">
        <f ca="1">+'Capex_FO input'!CY131</f>
        <v>0</v>
      </c>
    </row>
    <row r="132" spans="3:36" ht="11.25" customHeight="1">
      <c r="C132" s="78">
        <f t="shared" si="20"/>
        <v>86</v>
      </c>
      <c r="D132" s="1984" t="str">
        <f>+'Capex_FO input'!C132</f>
        <v>Western Treatment Plant - Wastewater Program</v>
      </c>
      <c r="E132" s="1985"/>
      <c r="F132" s="1985"/>
      <c r="G132" s="1985"/>
      <c r="H132" s="1986"/>
      <c r="I132" s="643">
        <f>+'Capex_FO input'!N132</f>
        <v>0</v>
      </c>
      <c r="J132" s="67"/>
      <c r="K132" s="67"/>
      <c r="L132" s="67"/>
      <c r="M132" s="67"/>
      <c r="N132" s="138"/>
      <c r="O132" s="67"/>
      <c r="P132" s="67"/>
      <c r="Q132" s="67"/>
      <c r="R132" s="91"/>
      <c r="S132" s="138"/>
      <c r="T132" s="67"/>
      <c r="U132" s="91"/>
      <c r="V132" s="67"/>
      <c r="W132" s="67"/>
      <c r="X132" s="67"/>
      <c r="Y132" s="67"/>
      <c r="Z132" s="67"/>
      <c r="AA132" s="393">
        <f ca="1">+'Capex_FO input'!CP132</f>
        <v>0</v>
      </c>
      <c r="AB132" s="394">
        <f ca="1">+'Capex_FO input'!CQ132</f>
        <v>0</v>
      </c>
      <c r="AC132" s="394">
        <f ca="1">+'Capex_FO input'!CR132</f>
        <v>0</v>
      </c>
      <c r="AD132" s="394">
        <f ca="1">+'Capex_FO input'!CS132</f>
        <v>0</v>
      </c>
      <c r="AE132" s="1279">
        <f ca="1">+'Capex_FO input'!CT132</f>
        <v>0</v>
      </c>
      <c r="AF132" s="393">
        <f ca="1">+'Capex_FO input'!CU132</f>
        <v>0</v>
      </c>
      <c r="AG132" s="394">
        <f ca="1">+'Capex_FO input'!CV132</f>
        <v>0</v>
      </c>
      <c r="AH132" s="394">
        <f ca="1">+'Capex_FO input'!CW132</f>
        <v>0</v>
      </c>
      <c r="AI132" s="394">
        <f ca="1">+'Capex_FO input'!CX132</f>
        <v>0</v>
      </c>
      <c r="AJ132" s="395">
        <f ca="1">+'Capex_FO input'!CY132</f>
        <v>0</v>
      </c>
    </row>
    <row r="133" spans="3:36" ht="11.25" customHeight="1">
      <c r="C133" s="78">
        <f t="shared" si="20"/>
        <v>87</v>
      </c>
      <c r="D133" s="1984" t="str">
        <f>+'Capex_FO input'!C133</f>
        <v>Western Treatment Plant - Wastewater Program</v>
      </c>
      <c r="E133" s="1985"/>
      <c r="F133" s="1985"/>
      <c r="G133" s="1985"/>
      <c r="H133" s="1986"/>
      <c r="I133" s="643">
        <f>+'Capex_FO input'!N133</f>
        <v>0</v>
      </c>
      <c r="J133" s="67"/>
      <c r="K133" s="67"/>
      <c r="L133" s="67"/>
      <c r="M133" s="67"/>
      <c r="N133" s="138"/>
      <c r="O133" s="67"/>
      <c r="P133" s="67"/>
      <c r="Q133" s="67"/>
      <c r="R133" s="91"/>
      <c r="S133" s="138"/>
      <c r="T133" s="67"/>
      <c r="U133" s="91"/>
      <c r="V133" s="67"/>
      <c r="W133" s="67"/>
      <c r="X133" s="67"/>
      <c r="Y133" s="67"/>
      <c r="Z133" s="67"/>
      <c r="AA133" s="393">
        <f ca="1">+'Capex_FO input'!CP133</f>
        <v>0</v>
      </c>
      <c r="AB133" s="394">
        <f ca="1">+'Capex_FO input'!CQ133</f>
        <v>0</v>
      </c>
      <c r="AC133" s="394">
        <f ca="1">+'Capex_FO input'!CR133</f>
        <v>0</v>
      </c>
      <c r="AD133" s="394">
        <f ca="1">+'Capex_FO input'!CS133</f>
        <v>0</v>
      </c>
      <c r="AE133" s="1279">
        <f ca="1">+'Capex_FO input'!CT133</f>
        <v>0</v>
      </c>
      <c r="AF133" s="393">
        <f ca="1">+'Capex_FO input'!CU133</f>
        <v>0</v>
      </c>
      <c r="AG133" s="394">
        <f ca="1">+'Capex_FO input'!CV133</f>
        <v>0</v>
      </c>
      <c r="AH133" s="394">
        <f ca="1">+'Capex_FO input'!CW133</f>
        <v>0</v>
      </c>
      <c r="AI133" s="394">
        <f ca="1">+'Capex_FO input'!CX133</f>
        <v>0</v>
      </c>
      <c r="AJ133" s="395">
        <f ca="1">+'Capex_FO input'!CY133</f>
        <v>0</v>
      </c>
    </row>
    <row r="134" spans="3:36" ht="11.25" customHeight="1">
      <c r="C134" s="78">
        <f t="shared" si="20"/>
        <v>88</v>
      </c>
      <c r="D134" s="1984" t="str">
        <f>+'Capex_FO input'!C134</f>
        <v>Water Quality - Other Program</v>
      </c>
      <c r="E134" s="1985"/>
      <c r="F134" s="1985"/>
      <c r="G134" s="1985"/>
      <c r="H134" s="1986"/>
      <c r="I134" s="643">
        <f>+'Capex_FO input'!N134</f>
        <v>0</v>
      </c>
      <c r="J134" s="67"/>
      <c r="K134" s="67"/>
      <c r="L134" s="67"/>
      <c r="M134" s="67"/>
      <c r="N134" s="138"/>
      <c r="O134" s="67"/>
      <c r="P134" s="67"/>
      <c r="Q134" s="67"/>
      <c r="R134" s="91"/>
      <c r="S134" s="138"/>
      <c r="T134" s="67"/>
      <c r="U134" s="91"/>
      <c r="V134" s="67"/>
      <c r="W134" s="67"/>
      <c r="X134" s="67"/>
      <c r="Y134" s="67"/>
      <c r="Z134" s="67"/>
      <c r="AA134" s="393">
        <f ca="1">+'Capex_FO input'!CP134</f>
        <v>0</v>
      </c>
      <c r="AB134" s="394">
        <f ca="1">+'Capex_FO input'!CQ134</f>
        <v>0</v>
      </c>
      <c r="AC134" s="394">
        <f ca="1">+'Capex_FO input'!CR134</f>
        <v>0</v>
      </c>
      <c r="AD134" s="394">
        <f ca="1">+'Capex_FO input'!CS134</f>
        <v>0</v>
      </c>
      <c r="AE134" s="1279">
        <f ca="1">+'Capex_FO input'!CT134</f>
        <v>0</v>
      </c>
      <c r="AF134" s="393">
        <f ca="1">+'Capex_FO input'!CU134</f>
        <v>0</v>
      </c>
      <c r="AG134" s="394">
        <f ca="1">+'Capex_FO input'!CV134</f>
        <v>0</v>
      </c>
      <c r="AH134" s="394">
        <f ca="1">+'Capex_FO input'!CW134</f>
        <v>0</v>
      </c>
      <c r="AI134" s="394">
        <f ca="1">+'Capex_FO input'!CX134</f>
        <v>0</v>
      </c>
      <c r="AJ134" s="395">
        <f ca="1">+'Capex_FO input'!CY134</f>
        <v>0</v>
      </c>
    </row>
    <row r="135" spans="3:36" ht="11.25" customHeight="1">
      <c r="C135" s="78">
        <f t="shared" si="20"/>
        <v>89</v>
      </c>
      <c r="D135" s="1984" t="str">
        <f>+'Capex_FO input'!C135</f>
        <v>Water Quality - Other Program</v>
      </c>
      <c r="E135" s="1985"/>
      <c r="F135" s="1985"/>
      <c r="G135" s="1985"/>
      <c r="H135" s="1986"/>
      <c r="I135" s="643">
        <f>+'Capex_FO input'!N135</f>
        <v>0</v>
      </c>
      <c r="J135" s="67"/>
      <c r="K135" s="67"/>
      <c r="L135" s="67"/>
      <c r="M135" s="67"/>
      <c r="N135" s="138"/>
      <c r="O135" s="67"/>
      <c r="P135" s="67"/>
      <c r="Q135" s="67"/>
      <c r="R135" s="91"/>
      <c r="S135" s="138"/>
      <c r="T135" s="67"/>
      <c r="U135" s="91"/>
      <c r="V135" s="67"/>
      <c r="W135" s="67"/>
      <c r="X135" s="67"/>
      <c r="Y135" s="67"/>
      <c r="Z135" s="67"/>
      <c r="AA135" s="393">
        <f ca="1">+'Capex_FO input'!CP135</f>
        <v>0</v>
      </c>
      <c r="AB135" s="394">
        <f ca="1">+'Capex_FO input'!CQ135</f>
        <v>0</v>
      </c>
      <c r="AC135" s="394">
        <f ca="1">+'Capex_FO input'!CR135</f>
        <v>0</v>
      </c>
      <c r="AD135" s="394">
        <f ca="1">+'Capex_FO input'!CS135</f>
        <v>0</v>
      </c>
      <c r="AE135" s="1279">
        <f ca="1">+'Capex_FO input'!CT135</f>
        <v>0</v>
      </c>
      <c r="AF135" s="393">
        <f ca="1">+'Capex_FO input'!CU135</f>
        <v>0</v>
      </c>
      <c r="AG135" s="394">
        <f ca="1">+'Capex_FO input'!CV135</f>
        <v>0</v>
      </c>
      <c r="AH135" s="394">
        <f ca="1">+'Capex_FO input'!CW135</f>
        <v>0</v>
      </c>
      <c r="AI135" s="394">
        <f ca="1">+'Capex_FO input'!CX135</f>
        <v>0</v>
      </c>
      <c r="AJ135" s="395">
        <f ca="1">+'Capex_FO input'!CY135</f>
        <v>0</v>
      </c>
    </row>
    <row r="136" spans="3:36" ht="11.25" customHeight="1">
      <c r="C136" s="78">
        <f t="shared" si="20"/>
        <v>90</v>
      </c>
      <c r="D136" s="1984" t="str">
        <f>+'Capex_FO input'!C136</f>
        <v>Manufactured and New Water Sources Program</v>
      </c>
      <c r="E136" s="1985"/>
      <c r="F136" s="1985"/>
      <c r="G136" s="1985"/>
      <c r="H136" s="1986"/>
      <c r="I136" s="643">
        <f>+'Capex_FO input'!N136</f>
        <v>0</v>
      </c>
      <c r="J136" s="67"/>
      <c r="K136" s="67"/>
      <c r="L136" s="67"/>
      <c r="M136" s="67"/>
      <c r="N136" s="138"/>
      <c r="O136" s="67"/>
      <c r="P136" s="67"/>
      <c r="Q136" s="67"/>
      <c r="R136" s="91"/>
      <c r="S136" s="138"/>
      <c r="T136" s="67"/>
      <c r="U136" s="91"/>
      <c r="V136" s="67"/>
      <c r="W136" s="67"/>
      <c r="X136" s="67"/>
      <c r="Y136" s="67"/>
      <c r="Z136" s="67"/>
      <c r="AA136" s="393">
        <f ca="1">+'Capex_FO input'!CP136</f>
        <v>0</v>
      </c>
      <c r="AB136" s="394">
        <f ca="1">+'Capex_FO input'!CQ136</f>
        <v>0</v>
      </c>
      <c r="AC136" s="394">
        <f ca="1">+'Capex_FO input'!CR136</f>
        <v>0</v>
      </c>
      <c r="AD136" s="394">
        <f ca="1">+'Capex_FO input'!CS136</f>
        <v>0</v>
      </c>
      <c r="AE136" s="1279">
        <f ca="1">+'Capex_FO input'!CT136</f>
        <v>0</v>
      </c>
      <c r="AF136" s="393">
        <f ca="1">+'Capex_FO input'!CU136</f>
        <v>0</v>
      </c>
      <c r="AG136" s="394">
        <f ca="1">+'Capex_FO input'!CV136</f>
        <v>0</v>
      </c>
      <c r="AH136" s="394">
        <f ca="1">+'Capex_FO input'!CW136</f>
        <v>0</v>
      </c>
      <c r="AI136" s="394">
        <f ca="1">+'Capex_FO input'!CX136</f>
        <v>0</v>
      </c>
      <c r="AJ136" s="395">
        <f ca="1">+'Capex_FO input'!CY136</f>
        <v>0</v>
      </c>
    </row>
    <row r="137" spans="3:36" ht="11.25" customHeight="1">
      <c r="C137" s="78">
        <f t="shared" si="20"/>
        <v>91</v>
      </c>
      <c r="D137" s="1984" t="str">
        <f>+'Capex_FO input'!C137</f>
        <v>Manufactured and New Water Sources Program</v>
      </c>
      <c r="E137" s="1985"/>
      <c r="F137" s="1985"/>
      <c r="G137" s="1985"/>
      <c r="H137" s="1986"/>
      <c r="I137" s="643">
        <f>+'Capex_FO input'!N137</f>
        <v>0</v>
      </c>
      <c r="J137" s="67"/>
      <c r="K137" s="67"/>
      <c r="L137" s="67"/>
      <c r="M137" s="67"/>
      <c r="N137" s="138"/>
      <c r="O137" s="67"/>
      <c r="P137" s="67"/>
      <c r="Q137" s="67"/>
      <c r="R137" s="91"/>
      <c r="S137" s="138"/>
      <c r="T137" s="67"/>
      <c r="U137" s="91"/>
      <c r="V137" s="67"/>
      <c r="W137" s="67"/>
      <c r="X137" s="67"/>
      <c r="Y137" s="67"/>
      <c r="Z137" s="67"/>
      <c r="AA137" s="393">
        <f ca="1">+'Capex_FO input'!CP137</f>
        <v>0</v>
      </c>
      <c r="AB137" s="394">
        <f ca="1">+'Capex_FO input'!CQ137</f>
        <v>0</v>
      </c>
      <c r="AC137" s="394">
        <f ca="1">+'Capex_FO input'!CR137</f>
        <v>0</v>
      </c>
      <c r="AD137" s="394">
        <f ca="1">+'Capex_FO input'!CS137</f>
        <v>0</v>
      </c>
      <c r="AE137" s="1279">
        <f ca="1">+'Capex_FO input'!CT137</f>
        <v>0</v>
      </c>
      <c r="AF137" s="393">
        <f ca="1">+'Capex_FO input'!CU137</f>
        <v>0</v>
      </c>
      <c r="AG137" s="394">
        <f ca="1">+'Capex_FO input'!CV137</f>
        <v>0</v>
      </c>
      <c r="AH137" s="394">
        <f ca="1">+'Capex_FO input'!CW137</f>
        <v>0</v>
      </c>
      <c r="AI137" s="394">
        <f ca="1">+'Capex_FO input'!CX137</f>
        <v>0</v>
      </c>
      <c r="AJ137" s="395">
        <f ca="1">+'Capex_FO input'!CY137</f>
        <v>0</v>
      </c>
    </row>
    <row r="138" spans="3:36" ht="11.25" customHeight="1">
      <c r="C138" s="78">
        <f t="shared" si="20"/>
        <v>92</v>
      </c>
      <c r="D138" s="1984" t="str">
        <f>+'Capex_FO input'!C138</f>
        <v>Western Treatment Plant - Tertiary Program</v>
      </c>
      <c r="E138" s="1985"/>
      <c r="F138" s="1985"/>
      <c r="G138" s="1985"/>
      <c r="H138" s="1986"/>
      <c r="I138" s="643">
        <f>+'Capex_FO input'!N138</f>
        <v>0</v>
      </c>
      <c r="J138" s="67"/>
      <c r="K138" s="67"/>
      <c r="L138" s="67"/>
      <c r="M138" s="67"/>
      <c r="N138" s="138"/>
      <c r="O138" s="67"/>
      <c r="P138" s="67"/>
      <c r="Q138" s="67"/>
      <c r="R138" s="91"/>
      <c r="S138" s="138"/>
      <c r="T138" s="67"/>
      <c r="U138" s="91"/>
      <c r="V138" s="67"/>
      <c r="W138" s="67"/>
      <c r="X138" s="67"/>
      <c r="Y138" s="67"/>
      <c r="Z138" s="67"/>
      <c r="AA138" s="393">
        <f ca="1">+'Capex_FO input'!CP138</f>
        <v>0</v>
      </c>
      <c r="AB138" s="394">
        <f ca="1">+'Capex_FO input'!CQ138</f>
        <v>0</v>
      </c>
      <c r="AC138" s="394">
        <f ca="1">+'Capex_FO input'!CR138</f>
        <v>0</v>
      </c>
      <c r="AD138" s="394">
        <f ca="1">+'Capex_FO input'!CS138</f>
        <v>0</v>
      </c>
      <c r="AE138" s="1279">
        <f ca="1">+'Capex_FO input'!CT138</f>
        <v>0</v>
      </c>
      <c r="AF138" s="393">
        <f ca="1">+'Capex_FO input'!CU138</f>
        <v>0</v>
      </c>
      <c r="AG138" s="394">
        <f ca="1">+'Capex_FO input'!CV138</f>
        <v>0</v>
      </c>
      <c r="AH138" s="394">
        <f ca="1">+'Capex_FO input'!CW138</f>
        <v>0</v>
      </c>
      <c r="AI138" s="394">
        <f ca="1">+'Capex_FO input'!CX138</f>
        <v>0</v>
      </c>
      <c r="AJ138" s="395">
        <f ca="1">+'Capex_FO input'!CY138</f>
        <v>0</v>
      </c>
    </row>
    <row r="139" spans="3:36" ht="11.25" customHeight="1">
      <c r="C139" s="78">
        <f t="shared" si="20"/>
        <v>93</v>
      </c>
      <c r="D139" s="1984" t="str">
        <f>+'Capex_FO input'!C139</f>
        <v>Eastern Treatment Plant - Tertiary Program</v>
      </c>
      <c r="E139" s="1985"/>
      <c r="F139" s="1985"/>
      <c r="G139" s="1985"/>
      <c r="H139" s="1986"/>
      <c r="I139" s="643">
        <f>+'Capex_FO input'!N139</f>
        <v>0</v>
      </c>
      <c r="J139" s="67"/>
      <c r="K139" s="67"/>
      <c r="L139" s="67"/>
      <c r="M139" s="67"/>
      <c r="N139" s="138"/>
      <c r="O139" s="67"/>
      <c r="P139" s="67"/>
      <c r="Q139" s="67"/>
      <c r="R139" s="91"/>
      <c r="S139" s="138"/>
      <c r="T139" s="67"/>
      <c r="U139" s="91"/>
      <c r="V139" s="67"/>
      <c r="W139" s="67"/>
      <c r="X139" s="67"/>
      <c r="Y139" s="67"/>
      <c r="Z139" s="67"/>
      <c r="AA139" s="393">
        <f ca="1">+'Capex_FO input'!CP139</f>
        <v>0</v>
      </c>
      <c r="AB139" s="394">
        <f ca="1">+'Capex_FO input'!CQ139</f>
        <v>0</v>
      </c>
      <c r="AC139" s="394">
        <f ca="1">+'Capex_FO input'!CR139</f>
        <v>0</v>
      </c>
      <c r="AD139" s="394">
        <f ca="1">+'Capex_FO input'!CS139</f>
        <v>0</v>
      </c>
      <c r="AE139" s="1279">
        <f ca="1">+'Capex_FO input'!CT139</f>
        <v>0</v>
      </c>
      <c r="AF139" s="393">
        <f ca="1">+'Capex_FO input'!CU139</f>
        <v>0</v>
      </c>
      <c r="AG139" s="394">
        <f ca="1">+'Capex_FO input'!CV139</f>
        <v>0</v>
      </c>
      <c r="AH139" s="394">
        <f ca="1">+'Capex_FO input'!CW139</f>
        <v>0</v>
      </c>
      <c r="AI139" s="394">
        <f ca="1">+'Capex_FO input'!CX139</f>
        <v>0</v>
      </c>
      <c r="AJ139" s="395">
        <f ca="1">+'Capex_FO input'!CY139</f>
        <v>0</v>
      </c>
    </row>
    <row r="140" spans="3:36" ht="11.25" customHeight="1">
      <c r="C140" s="78">
        <f t="shared" si="20"/>
        <v>94</v>
      </c>
      <c r="D140" s="1984" t="str">
        <f>+'Capex_FO input'!C140</f>
        <v>Eastern Treatment Plant - Tertiary Program</v>
      </c>
      <c r="E140" s="1985"/>
      <c r="F140" s="1985"/>
      <c r="G140" s="1985"/>
      <c r="H140" s="1986"/>
      <c r="I140" s="643">
        <f>+'Capex_FO input'!N140</f>
        <v>0</v>
      </c>
      <c r="J140" s="67"/>
      <c r="K140" s="67"/>
      <c r="L140" s="67"/>
      <c r="M140" s="67"/>
      <c r="N140" s="138"/>
      <c r="O140" s="67"/>
      <c r="P140" s="67"/>
      <c r="Q140" s="67"/>
      <c r="R140" s="91"/>
      <c r="S140" s="138"/>
      <c r="T140" s="67"/>
      <c r="U140" s="91"/>
      <c r="V140" s="67"/>
      <c r="W140" s="67"/>
      <c r="X140" s="67"/>
      <c r="Y140" s="67"/>
      <c r="Z140" s="67"/>
      <c r="AA140" s="393">
        <f ca="1">+'Capex_FO input'!CP140</f>
        <v>0</v>
      </c>
      <c r="AB140" s="394">
        <f ca="1">+'Capex_FO input'!CQ140</f>
        <v>0</v>
      </c>
      <c r="AC140" s="394">
        <f ca="1">+'Capex_FO input'!CR140</f>
        <v>0</v>
      </c>
      <c r="AD140" s="394">
        <f ca="1">+'Capex_FO input'!CS140</f>
        <v>0</v>
      </c>
      <c r="AE140" s="1279">
        <f ca="1">+'Capex_FO input'!CT140</f>
        <v>0</v>
      </c>
      <c r="AF140" s="393">
        <f ca="1">+'Capex_FO input'!CU140</f>
        <v>0</v>
      </c>
      <c r="AG140" s="394">
        <f ca="1">+'Capex_FO input'!CV140</f>
        <v>0</v>
      </c>
      <c r="AH140" s="394">
        <f ca="1">+'Capex_FO input'!CW140</f>
        <v>0</v>
      </c>
      <c r="AI140" s="394">
        <f ca="1">+'Capex_FO input'!CX140</f>
        <v>0</v>
      </c>
      <c r="AJ140" s="395">
        <f ca="1">+'Capex_FO input'!CY140</f>
        <v>0</v>
      </c>
    </row>
    <row r="141" spans="3:36" ht="11.25" customHeight="1">
      <c r="C141" s="78">
        <f t="shared" si="20"/>
        <v>95</v>
      </c>
      <c r="D141" s="1984" t="str">
        <f>+'Capex_FO input'!C141</f>
        <v>Drainage Management Program</v>
      </c>
      <c r="E141" s="1985"/>
      <c r="F141" s="1985"/>
      <c r="G141" s="1985"/>
      <c r="H141" s="1986"/>
      <c r="I141" s="643">
        <f>+'Capex_FO input'!N141</f>
        <v>0</v>
      </c>
      <c r="J141" s="67"/>
      <c r="K141" s="67"/>
      <c r="L141" s="67"/>
      <c r="M141" s="67"/>
      <c r="N141" s="138"/>
      <c r="O141" s="67"/>
      <c r="P141" s="67"/>
      <c r="Q141" s="67"/>
      <c r="R141" s="91"/>
      <c r="S141" s="138"/>
      <c r="T141" s="67"/>
      <c r="U141" s="91"/>
      <c r="V141" s="67"/>
      <c r="W141" s="67"/>
      <c r="X141" s="67"/>
      <c r="Y141" s="67"/>
      <c r="Z141" s="67"/>
      <c r="AA141" s="393">
        <f ca="1">+'Capex_FO input'!CP141</f>
        <v>0</v>
      </c>
      <c r="AB141" s="394">
        <f ca="1">+'Capex_FO input'!CQ141</f>
        <v>0</v>
      </c>
      <c r="AC141" s="394">
        <f ca="1">+'Capex_FO input'!CR141</f>
        <v>0</v>
      </c>
      <c r="AD141" s="394">
        <f ca="1">+'Capex_FO input'!CS141</f>
        <v>0</v>
      </c>
      <c r="AE141" s="1279">
        <f ca="1">+'Capex_FO input'!CT141</f>
        <v>0</v>
      </c>
      <c r="AF141" s="393">
        <f ca="1">+'Capex_FO input'!CU141</f>
        <v>0</v>
      </c>
      <c r="AG141" s="394">
        <f ca="1">+'Capex_FO input'!CV141</f>
        <v>0</v>
      </c>
      <c r="AH141" s="394">
        <f ca="1">+'Capex_FO input'!CW141</f>
        <v>0</v>
      </c>
      <c r="AI141" s="394">
        <f ca="1">+'Capex_FO input'!CX141</f>
        <v>0</v>
      </c>
      <c r="AJ141" s="395">
        <f ca="1">+'Capex_FO input'!CY141</f>
        <v>0</v>
      </c>
    </row>
    <row r="142" spans="3:36" ht="11.25" customHeight="1">
      <c r="C142" s="78">
        <f t="shared" si="20"/>
        <v>96</v>
      </c>
      <c r="D142" s="1984" t="str">
        <f>+'Capex_FO input'!C142</f>
        <v>Drainage Management Program</v>
      </c>
      <c r="E142" s="1985"/>
      <c r="F142" s="1985"/>
      <c r="G142" s="1985"/>
      <c r="H142" s="1986"/>
      <c r="I142" s="643">
        <f>+'Capex_FO input'!N142</f>
        <v>0</v>
      </c>
      <c r="J142" s="67"/>
      <c r="K142" s="67"/>
      <c r="L142" s="67"/>
      <c r="M142" s="67"/>
      <c r="N142" s="138"/>
      <c r="O142" s="67"/>
      <c r="P142" s="67"/>
      <c r="Q142" s="67"/>
      <c r="R142" s="91"/>
      <c r="S142" s="138"/>
      <c r="T142" s="67"/>
      <c r="U142" s="91"/>
      <c r="V142" s="67"/>
      <c r="W142" s="67"/>
      <c r="X142" s="67"/>
      <c r="Y142" s="67"/>
      <c r="Z142" s="67"/>
      <c r="AA142" s="393">
        <f ca="1">+'Capex_FO input'!CP142</f>
        <v>0</v>
      </c>
      <c r="AB142" s="394">
        <f ca="1">+'Capex_FO input'!CQ142</f>
        <v>0</v>
      </c>
      <c r="AC142" s="394">
        <f ca="1">+'Capex_FO input'!CR142</f>
        <v>0</v>
      </c>
      <c r="AD142" s="394">
        <f ca="1">+'Capex_FO input'!CS142</f>
        <v>0</v>
      </c>
      <c r="AE142" s="1279">
        <f ca="1">+'Capex_FO input'!CT142</f>
        <v>0</v>
      </c>
      <c r="AF142" s="393">
        <f ca="1">+'Capex_FO input'!CU142</f>
        <v>0</v>
      </c>
      <c r="AG142" s="394">
        <f ca="1">+'Capex_FO input'!CV142</f>
        <v>0</v>
      </c>
      <c r="AH142" s="394">
        <f ca="1">+'Capex_FO input'!CW142</f>
        <v>0</v>
      </c>
      <c r="AI142" s="394">
        <f ca="1">+'Capex_FO input'!CX142</f>
        <v>0</v>
      </c>
      <c r="AJ142" s="395">
        <f ca="1">+'Capex_FO input'!CY142</f>
        <v>0</v>
      </c>
    </row>
    <row r="143" spans="3:36" ht="11.25" customHeight="1">
      <c r="C143" s="78">
        <f t="shared" si="20"/>
        <v>97</v>
      </c>
      <c r="D143" s="1984" t="str">
        <f>+'Capex_FO input'!C143</f>
        <v>Flood Risk Management Program</v>
      </c>
      <c r="E143" s="1985"/>
      <c r="F143" s="1985"/>
      <c r="G143" s="1985"/>
      <c r="H143" s="1986"/>
      <c r="I143" s="643">
        <f>+'Capex_FO input'!N143</f>
        <v>0</v>
      </c>
      <c r="J143" s="67"/>
      <c r="K143" s="67"/>
      <c r="L143" s="67"/>
      <c r="M143" s="67"/>
      <c r="N143" s="138"/>
      <c r="O143" s="67"/>
      <c r="P143" s="67"/>
      <c r="Q143" s="67"/>
      <c r="R143" s="91"/>
      <c r="S143" s="138"/>
      <c r="T143" s="67"/>
      <c r="U143" s="91"/>
      <c r="V143" s="67"/>
      <c r="W143" s="67"/>
      <c r="X143" s="67"/>
      <c r="Y143" s="67"/>
      <c r="Z143" s="67"/>
      <c r="AA143" s="393">
        <f ca="1">+'Capex_FO input'!CP143</f>
        <v>0</v>
      </c>
      <c r="AB143" s="394">
        <f ca="1">+'Capex_FO input'!CQ143</f>
        <v>0</v>
      </c>
      <c r="AC143" s="394">
        <f ca="1">+'Capex_FO input'!CR143</f>
        <v>0</v>
      </c>
      <c r="AD143" s="394">
        <f ca="1">+'Capex_FO input'!CS143</f>
        <v>0</v>
      </c>
      <c r="AE143" s="1279">
        <f ca="1">+'Capex_FO input'!CT143</f>
        <v>0</v>
      </c>
      <c r="AF143" s="393">
        <f ca="1">+'Capex_FO input'!CU143</f>
        <v>0</v>
      </c>
      <c r="AG143" s="394">
        <f ca="1">+'Capex_FO input'!CV143</f>
        <v>0</v>
      </c>
      <c r="AH143" s="394">
        <f ca="1">+'Capex_FO input'!CW143</f>
        <v>0</v>
      </c>
      <c r="AI143" s="394">
        <f ca="1">+'Capex_FO input'!CX143</f>
        <v>0</v>
      </c>
      <c r="AJ143" s="395">
        <f ca="1">+'Capex_FO input'!CY143</f>
        <v>0</v>
      </c>
    </row>
    <row r="144" spans="3:36" ht="11.25" customHeight="1">
      <c r="C144" s="78">
        <f t="shared" si="20"/>
        <v>98</v>
      </c>
      <c r="D144" s="1984" t="str">
        <f>+'Capex_FO input'!C144</f>
        <v>Land &amp; Biodiversity Management Program</v>
      </c>
      <c r="E144" s="1985"/>
      <c r="F144" s="1985"/>
      <c r="G144" s="1985"/>
      <c r="H144" s="1986"/>
      <c r="I144" s="643">
        <f>+'Capex_FO input'!N144</f>
        <v>0</v>
      </c>
      <c r="J144" s="67"/>
      <c r="K144" s="67"/>
      <c r="L144" s="67"/>
      <c r="M144" s="67"/>
      <c r="N144" s="138"/>
      <c r="O144" s="67"/>
      <c r="P144" s="67"/>
      <c r="Q144" s="67"/>
      <c r="R144" s="91"/>
      <c r="S144" s="138"/>
      <c r="T144" s="67"/>
      <c r="U144" s="91"/>
      <c r="V144" s="67"/>
      <c r="W144" s="67"/>
      <c r="X144" s="67"/>
      <c r="Y144" s="67"/>
      <c r="Z144" s="67"/>
      <c r="AA144" s="393">
        <f ca="1">+'Capex_FO input'!CP144</f>
        <v>0</v>
      </c>
      <c r="AB144" s="394">
        <f ca="1">+'Capex_FO input'!CQ144</f>
        <v>0</v>
      </c>
      <c r="AC144" s="394">
        <f ca="1">+'Capex_FO input'!CR144</f>
        <v>0</v>
      </c>
      <c r="AD144" s="394">
        <f ca="1">+'Capex_FO input'!CS144</f>
        <v>0</v>
      </c>
      <c r="AE144" s="1279">
        <f ca="1">+'Capex_FO input'!CT144</f>
        <v>0</v>
      </c>
      <c r="AF144" s="393">
        <f ca="1">+'Capex_FO input'!CU144</f>
        <v>0</v>
      </c>
      <c r="AG144" s="394">
        <f ca="1">+'Capex_FO input'!CV144</f>
        <v>0</v>
      </c>
      <c r="AH144" s="394">
        <f ca="1">+'Capex_FO input'!CW144</f>
        <v>0</v>
      </c>
      <c r="AI144" s="394">
        <f ca="1">+'Capex_FO input'!CX144</f>
        <v>0</v>
      </c>
      <c r="AJ144" s="395">
        <f ca="1">+'Capex_FO input'!CY144</f>
        <v>0</v>
      </c>
    </row>
    <row r="145" spans="3:36" ht="11.25" customHeight="1">
      <c r="C145" s="78">
        <f t="shared" si="20"/>
        <v>99</v>
      </c>
      <c r="D145" s="1984" t="str">
        <f>+'Capex_FO input'!C145</f>
        <v>Land &amp; Biodiversity Management Program</v>
      </c>
      <c r="E145" s="1985"/>
      <c r="F145" s="1985"/>
      <c r="G145" s="1985"/>
      <c r="H145" s="1986"/>
      <c r="I145" s="643">
        <f>+'Capex_FO input'!N145</f>
        <v>0</v>
      </c>
      <c r="J145" s="67"/>
      <c r="K145" s="67"/>
      <c r="L145" s="67"/>
      <c r="M145" s="67"/>
      <c r="N145" s="138"/>
      <c r="O145" s="67"/>
      <c r="P145" s="67"/>
      <c r="Q145" s="67"/>
      <c r="R145" s="91"/>
      <c r="S145" s="138"/>
      <c r="T145" s="67"/>
      <c r="U145" s="91"/>
      <c r="V145" s="67"/>
      <c r="W145" s="67"/>
      <c r="X145" s="67"/>
      <c r="Y145" s="67"/>
      <c r="Z145" s="67"/>
      <c r="AA145" s="393">
        <f ca="1">+'Capex_FO input'!CP145</f>
        <v>0</v>
      </c>
      <c r="AB145" s="394">
        <f ca="1">+'Capex_FO input'!CQ145</f>
        <v>0</v>
      </c>
      <c r="AC145" s="394">
        <f ca="1">+'Capex_FO input'!CR145</f>
        <v>0</v>
      </c>
      <c r="AD145" s="394">
        <f ca="1">+'Capex_FO input'!CS145</f>
        <v>0</v>
      </c>
      <c r="AE145" s="1279">
        <f ca="1">+'Capex_FO input'!CT145</f>
        <v>0</v>
      </c>
      <c r="AF145" s="393">
        <f ca="1">+'Capex_FO input'!CU145</f>
        <v>0</v>
      </c>
      <c r="AG145" s="394">
        <f ca="1">+'Capex_FO input'!CV145</f>
        <v>0</v>
      </c>
      <c r="AH145" s="394">
        <f ca="1">+'Capex_FO input'!CW145</f>
        <v>0</v>
      </c>
      <c r="AI145" s="394">
        <f ca="1">+'Capex_FO input'!CX145</f>
        <v>0</v>
      </c>
      <c r="AJ145" s="395">
        <f ca="1">+'Capex_FO input'!CY145</f>
        <v>0</v>
      </c>
    </row>
    <row r="146" spans="3:36" ht="11.25" customHeight="1">
      <c r="C146" s="78">
        <f t="shared" si="20"/>
        <v>100</v>
      </c>
      <c r="D146" s="1984" t="str">
        <f>+'Capex_FO input'!C146</f>
        <v>Stormwater Program</v>
      </c>
      <c r="E146" s="1985"/>
      <c r="F146" s="1985"/>
      <c r="G146" s="1985"/>
      <c r="H146" s="1986"/>
      <c r="I146" s="643">
        <f>+'Capex_FO input'!N146</f>
        <v>0</v>
      </c>
      <c r="J146" s="67"/>
      <c r="K146" s="67"/>
      <c r="L146" s="67"/>
      <c r="M146" s="67"/>
      <c r="N146" s="138"/>
      <c r="O146" s="67"/>
      <c r="P146" s="67"/>
      <c r="Q146" s="67"/>
      <c r="R146" s="91"/>
      <c r="S146" s="138"/>
      <c r="T146" s="67"/>
      <c r="U146" s="91"/>
      <c r="V146" s="67"/>
      <c r="W146" s="67"/>
      <c r="X146" s="67"/>
      <c r="Y146" s="67"/>
      <c r="Z146" s="67"/>
      <c r="AA146" s="393">
        <f ca="1">+'Capex_FO input'!CP146</f>
        <v>0</v>
      </c>
      <c r="AB146" s="394">
        <f ca="1">+'Capex_FO input'!CQ146</f>
        <v>0</v>
      </c>
      <c r="AC146" s="394">
        <f ca="1">+'Capex_FO input'!CR146</f>
        <v>0</v>
      </c>
      <c r="AD146" s="394">
        <f ca="1">+'Capex_FO input'!CS146</f>
        <v>0</v>
      </c>
      <c r="AE146" s="1279">
        <f ca="1">+'Capex_FO input'!CT146</f>
        <v>0</v>
      </c>
      <c r="AF146" s="393">
        <f ca="1">+'Capex_FO input'!CU146</f>
        <v>0</v>
      </c>
      <c r="AG146" s="394">
        <f ca="1">+'Capex_FO input'!CV146</f>
        <v>0</v>
      </c>
      <c r="AH146" s="394">
        <f ca="1">+'Capex_FO input'!CW146</f>
        <v>0</v>
      </c>
      <c r="AI146" s="394">
        <f ca="1">+'Capex_FO input'!CX146</f>
        <v>0</v>
      </c>
      <c r="AJ146" s="395">
        <f ca="1">+'Capex_FO input'!CY146</f>
        <v>0</v>
      </c>
    </row>
    <row r="147" spans="3:36" ht="11.25" customHeight="1">
      <c r="C147" s="78">
        <f t="shared" si="20"/>
        <v>101</v>
      </c>
      <c r="D147" s="1984" t="str">
        <f>+'Capex_FO input'!C147</f>
        <v>Stormwater Program</v>
      </c>
      <c r="E147" s="1985"/>
      <c r="F147" s="1985"/>
      <c r="G147" s="1985"/>
      <c r="H147" s="1986"/>
      <c r="I147" s="643">
        <f>+'Capex_FO input'!N147</f>
        <v>0</v>
      </c>
      <c r="J147" s="67"/>
      <c r="K147" s="67"/>
      <c r="L147" s="67"/>
      <c r="M147" s="67"/>
      <c r="N147" s="138"/>
      <c r="O147" s="67"/>
      <c r="P147" s="67"/>
      <c r="Q147" s="67"/>
      <c r="R147" s="91"/>
      <c r="S147" s="138"/>
      <c r="T147" s="67"/>
      <c r="U147" s="91"/>
      <c r="V147" s="67"/>
      <c r="W147" s="67"/>
      <c r="X147" s="67"/>
      <c r="Y147" s="67"/>
      <c r="Z147" s="67"/>
      <c r="AA147" s="393">
        <f ca="1">+'Capex_FO input'!CP147</f>
        <v>0</v>
      </c>
      <c r="AB147" s="394">
        <f ca="1">+'Capex_FO input'!CQ147</f>
        <v>0</v>
      </c>
      <c r="AC147" s="394">
        <f ca="1">+'Capex_FO input'!CR147</f>
        <v>0</v>
      </c>
      <c r="AD147" s="394">
        <f ca="1">+'Capex_FO input'!CS147</f>
        <v>0</v>
      </c>
      <c r="AE147" s="1279">
        <f ca="1">+'Capex_FO input'!CT147</f>
        <v>0</v>
      </c>
      <c r="AF147" s="393">
        <f ca="1">+'Capex_FO input'!CU147</f>
        <v>0</v>
      </c>
      <c r="AG147" s="394">
        <f ca="1">+'Capex_FO input'!CV147</f>
        <v>0</v>
      </c>
      <c r="AH147" s="394">
        <f ca="1">+'Capex_FO input'!CW147</f>
        <v>0</v>
      </c>
      <c r="AI147" s="394">
        <f ca="1">+'Capex_FO input'!CX147</f>
        <v>0</v>
      </c>
      <c r="AJ147" s="395">
        <f ca="1">+'Capex_FO input'!CY147</f>
        <v>0</v>
      </c>
    </row>
    <row r="148" spans="3:36" ht="11.25" customHeight="1">
      <c r="C148" s="78">
        <f t="shared" si="20"/>
        <v>102</v>
      </c>
      <c r="D148" s="1984" t="str">
        <f>+'Capex_FO input'!C148</f>
        <v>Urban Development Program</v>
      </c>
      <c r="E148" s="1985"/>
      <c r="F148" s="1985"/>
      <c r="G148" s="1985"/>
      <c r="H148" s="1986"/>
      <c r="I148" s="643">
        <f>+'Capex_FO input'!N148</f>
        <v>0</v>
      </c>
      <c r="J148" s="67"/>
      <c r="K148" s="67"/>
      <c r="L148" s="67"/>
      <c r="M148" s="67"/>
      <c r="N148" s="138"/>
      <c r="O148" s="67"/>
      <c r="P148" s="67"/>
      <c r="Q148" s="67"/>
      <c r="R148" s="91"/>
      <c r="S148" s="138"/>
      <c r="T148" s="67"/>
      <c r="U148" s="91"/>
      <c r="V148" s="67"/>
      <c r="W148" s="67"/>
      <c r="X148" s="67"/>
      <c r="Y148" s="67"/>
      <c r="Z148" s="67"/>
      <c r="AA148" s="393">
        <f ca="1">+'Capex_FO input'!CP148</f>
        <v>0</v>
      </c>
      <c r="AB148" s="394">
        <f ca="1">+'Capex_FO input'!CQ148</f>
        <v>0</v>
      </c>
      <c r="AC148" s="394">
        <f ca="1">+'Capex_FO input'!CR148</f>
        <v>0</v>
      </c>
      <c r="AD148" s="394">
        <f ca="1">+'Capex_FO input'!CS148</f>
        <v>0</v>
      </c>
      <c r="AE148" s="1279">
        <f ca="1">+'Capex_FO input'!CT148</f>
        <v>0</v>
      </c>
      <c r="AF148" s="393">
        <f ca="1">+'Capex_FO input'!CU148</f>
        <v>0</v>
      </c>
      <c r="AG148" s="394">
        <f ca="1">+'Capex_FO input'!CV148</f>
        <v>0</v>
      </c>
      <c r="AH148" s="394">
        <f ca="1">+'Capex_FO input'!CW148</f>
        <v>0</v>
      </c>
      <c r="AI148" s="394">
        <f ca="1">+'Capex_FO input'!CX148</f>
        <v>0</v>
      </c>
      <c r="AJ148" s="395">
        <f ca="1">+'Capex_FO input'!CY148</f>
        <v>0</v>
      </c>
    </row>
    <row r="149" spans="3:36" ht="11.25" customHeight="1">
      <c r="C149" s="78">
        <f t="shared" si="20"/>
        <v>103</v>
      </c>
      <c r="D149" s="1984" t="str">
        <f>+'Capex_FO input'!C149</f>
        <v>Urban Development Program</v>
      </c>
      <c r="E149" s="1985"/>
      <c r="F149" s="1985"/>
      <c r="G149" s="1985"/>
      <c r="H149" s="1986"/>
      <c r="I149" s="643">
        <f>+'Capex_FO input'!N149</f>
        <v>0</v>
      </c>
      <c r="J149" s="67"/>
      <c r="K149" s="67"/>
      <c r="L149" s="67"/>
      <c r="M149" s="67"/>
      <c r="N149" s="138"/>
      <c r="O149" s="67"/>
      <c r="P149" s="67"/>
      <c r="Q149" s="67"/>
      <c r="R149" s="91"/>
      <c r="S149" s="138"/>
      <c r="T149" s="67"/>
      <c r="U149" s="91"/>
      <c r="V149" s="67"/>
      <c r="W149" s="67"/>
      <c r="X149" s="67"/>
      <c r="Y149" s="67"/>
      <c r="Z149" s="67"/>
      <c r="AA149" s="393">
        <f ca="1">+'Capex_FO input'!CP149</f>
        <v>0</v>
      </c>
      <c r="AB149" s="394">
        <f ca="1">+'Capex_FO input'!CQ149</f>
        <v>0</v>
      </c>
      <c r="AC149" s="394">
        <f ca="1">+'Capex_FO input'!CR149</f>
        <v>0</v>
      </c>
      <c r="AD149" s="394">
        <f ca="1">+'Capex_FO input'!CS149</f>
        <v>0</v>
      </c>
      <c r="AE149" s="1279">
        <f ca="1">+'Capex_FO input'!CT149</f>
        <v>0</v>
      </c>
      <c r="AF149" s="393">
        <f ca="1">+'Capex_FO input'!CU149</f>
        <v>0</v>
      </c>
      <c r="AG149" s="394">
        <f ca="1">+'Capex_FO input'!CV149</f>
        <v>0</v>
      </c>
      <c r="AH149" s="394">
        <f ca="1">+'Capex_FO input'!CW149</f>
        <v>0</v>
      </c>
      <c r="AI149" s="394">
        <f ca="1">+'Capex_FO input'!CX149</f>
        <v>0</v>
      </c>
      <c r="AJ149" s="395">
        <f ca="1">+'Capex_FO input'!CY149</f>
        <v>0</v>
      </c>
    </row>
    <row r="150" spans="3:36" ht="11.25" customHeight="1">
      <c r="C150" s="78">
        <f t="shared" si="20"/>
        <v>104</v>
      </c>
      <c r="D150" s="1984" t="str">
        <f>+'Capex_FO input'!C150</f>
        <v>Waterways Management  Program</v>
      </c>
      <c r="E150" s="1985"/>
      <c r="F150" s="1985"/>
      <c r="G150" s="1985"/>
      <c r="H150" s="1986"/>
      <c r="I150" s="643">
        <f>+'Capex_FO input'!N150</f>
        <v>0</v>
      </c>
      <c r="J150" s="67"/>
      <c r="K150" s="67"/>
      <c r="L150" s="67"/>
      <c r="M150" s="67"/>
      <c r="N150" s="138"/>
      <c r="O150" s="67"/>
      <c r="P150" s="67"/>
      <c r="Q150" s="67"/>
      <c r="R150" s="91"/>
      <c r="S150" s="138"/>
      <c r="T150" s="67"/>
      <c r="U150" s="91"/>
      <c r="V150" s="67"/>
      <c r="W150" s="67"/>
      <c r="X150" s="67"/>
      <c r="Y150" s="67"/>
      <c r="Z150" s="67"/>
      <c r="AA150" s="393">
        <f ca="1">+'Capex_FO input'!CP150</f>
        <v>0</v>
      </c>
      <c r="AB150" s="394">
        <f ca="1">+'Capex_FO input'!CQ150</f>
        <v>0</v>
      </c>
      <c r="AC150" s="394">
        <f ca="1">+'Capex_FO input'!CR150</f>
        <v>0</v>
      </c>
      <c r="AD150" s="394">
        <f ca="1">+'Capex_FO input'!CS150</f>
        <v>0</v>
      </c>
      <c r="AE150" s="1279">
        <f ca="1">+'Capex_FO input'!CT150</f>
        <v>0</v>
      </c>
      <c r="AF150" s="393">
        <f ca="1">+'Capex_FO input'!CU150</f>
        <v>0</v>
      </c>
      <c r="AG150" s="394">
        <f ca="1">+'Capex_FO input'!CV150</f>
        <v>0</v>
      </c>
      <c r="AH150" s="394">
        <f ca="1">+'Capex_FO input'!CW150</f>
        <v>0</v>
      </c>
      <c r="AI150" s="394">
        <f ca="1">+'Capex_FO input'!CX150</f>
        <v>0</v>
      </c>
      <c r="AJ150" s="395">
        <f ca="1">+'Capex_FO input'!CY150</f>
        <v>0</v>
      </c>
    </row>
    <row r="151" spans="3:36" ht="11.25" customHeight="1">
      <c r="C151" s="78">
        <f t="shared" si="20"/>
        <v>105</v>
      </c>
      <c r="D151" s="1984" t="str">
        <f>+'Capex_FO input'!C151</f>
        <v>Waterways Management  Program</v>
      </c>
      <c r="E151" s="1985"/>
      <c r="F151" s="1985"/>
      <c r="G151" s="1985"/>
      <c r="H151" s="1986"/>
      <c r="I151" s="643">
        <f>+'Capex_FO input'!N151</f>
        <v>0</v>
      </c>
      <c r="J151" s="67"/>
      <c r="K151" s="67"/>
      <c r="L151" s="67"/>
      <c r="M151" s="67"/>
      <c r="N151" s="138"/>
      <c r="O151" s="67"/>
      <c r="P151" s="67"/>
      <c r="Q151" s="67"/>
      <c r="R151" s="91"/>
      <c r="S151" s="138"/>
      <c r="T151" s="67"/>
      <c r="U151" s="91"/>
      <c r="V151" s="67"/>
      <c r="W151" s="67"/>
      <c r="X151" s="67"/>
      <c r="Y151" s="67"/>
      <c r="Z151" s="67"/>
      <c r="AA151" s="393">
        <f ca="1">+'Capex_FO input'!CP151</f>
        <v>0</v>
      </c>
      <c r="AB151" s="394">
        <f ca="1">+'Capex_FO input'!CQ151</f>
        <v>0</v>
      </c>
      <c r="AC151" s="394">
        <f ca="1">+'Capex_FO input'!CR151</f>
        <v>0</v>
      </c>
      <c r="AD151" s="394">
        <f ca="1">+'Capex_FO input'!CS151</f>
        <v>0</v>
      </c>
      <c r="AE151" s="1279">
        <f ca="1">+'Capex_FO input'!CT151</f>
        <v>0</v>
      </c>
      <c r="AF151" s="393">
        <f ca="1">+'Capex_FO input'!CU151</f>
        <v>0</v>
      </c>
      <c r="AG151" s="394">
        <f ca="1">+'Capex_FO input'!CV151</f>
        <v>0</v>
      </c>
      <c r="AH151" s="394">
        <f ca="1">+'Capex_FO input'!CW151</f>
        <v>0</v>
      </c>
      <c r="AI151" s="394">
        <f ca="1">+'Capex_FO input'!CX151</f>
        <v>0</v>
      </c>
      <c r="AJ151" s="395">
        <f ca="1">+'Capex_FO input'!CY151</f>
        <v>0</v>
      </c>
    </row>
    <row r="152" spans="3:36" ht="11.25" customHeight="1">
      <c r="C152" s="78">
        <f t="shared" si="20"/>
        <v>106</v>
      </c>
      <c r="D152" s="1984" t="str">
        <f>+'Capex_FO input'!C152</f>
        <v>Waterways Management  Program</v>
      </c>
      <c r="E152" s="1985"/>
      <c r="F152" s="1985"/>
      <c r="G152" s="1985"/>
      <c r="H152" s="1986"/>
      <c r="I152" s="643">
        <f>+'Capex_FO input'!N152</f>
        <v>0</v>
      </c>
      <c r="J152" s="67"/>
      <c r="K152" s="67"/>
      <c r="L152" s="67"/>
      <c r="M152" s="67"/>
      <c r="N152" s="138"/>
      <c r="O152" s="67"/>
      <c r="P152" s="67"/>
      <c r="Q152" s="67"/>
      <c r="R152" s="91"/>
      <c r="S152" s="138"/>
      <c r="T152" s="67"/>
      <c r="U152" s="91"/>
      <c r="V152" s="67"/>
      <c r="W152" s="67"/>
      <c r="X152" s="67"/>
      <c r="Y152" s="67"/>
      <c r="Z152" s="67"/>
      <c r="AA152" s="393">
        <f ca="1">+'Capex_FO input'!CP152</f>
        <v>0</v>
      </c>
      <c r="AB152" s="394">
        <f ca="1">+'Capex_FO input'!CQ152</f>
        <v>0</v>
      </c>
      <c r="AC152" s="394">
        <f ca="1">+'Capex_FO input'!CR152</f>
        <v>0</v>
      </c>
      <c r="AD152" s="394">
        <f ca="1">+'Capex_FO input'!CS152</f>
        <v>0</v>
      </c>
      <c r="AE152" s="1279">
        <f ca="1">+'Capex_FO input'!CT152</f>
        <v>0</v>
      </c>
      <c r="AF152" s="393">
        <f ca="1">+'Capex_FO input'!CU152</f>
        <v>0</v>
      </c>
      <c r="AG152" s="394">
        <f ca="1">+'Capex_FO input'!CV152</f>
        <v>0</v>
      </c>
      <c r="AH152" s="394">
        <f ca="1">+'Capex_FO input'!CW152</f>
        <v>0</v>
      </c>
      <c r="AI152" s="394">
        <f ca="1">+'Capex_FO input'!CX152</f>
        <v>0</v>
      </c>
      <c r="AJ152" s="395">
        <f ca="1">+'Capex_FO input'!CY152</f>
        <v>0</v>
      </c>
    </row>
    <row r="153" spans="3:36" ht="11.25" customHeight="1">
      <c r="C153" s="78">
        <f t="shared" si="20"/>
        <v>107</v>
      </c>
      <c r="D153" s="1984" t="str">
        <f>+'Capex_FO input'!C153</f>
        <v>Waterways Management  Program</v>
      </c>
      <c r="E153" s="1985"/>
      <c r="F153" s="1985"/>
      <c r="G153" s="1985"/>
      <c r="H153" s="1986"/>
      <c r="I153" s="643">
        <f>+'Capex_FO input'!N153</f>
        <v>0</v>
      </c>
      <c r="J153" s="67"/>
      <c r="K153" s="67"/>
      <c r="L153" s="67"/>
      <c r="M153" s="67"/>
      <c r="N153" s="138"/>
      <c r="O153" s="67"/>
      <c r="P153" s="67"/>
      <c r="Q153" s="67"/>
      <c r="R153" s="91"/>
      <c r="S153" s="138"/>
      <c r="T153" s="67"/>
      <c r="U153" s="91"/>
      <c r="V153" s="67"/>
      <c r="W153" s="67"/>
      <c r="X153" s="67"/>
      <c r="Y153" s="67"/>
      <c r="Z153" s="67"/>
      <c r="AA153" s="393">
        <f ca="1">+'Capex_FO input'!CP153</f>
        <v>0</v>
      </c>
      <c r="AB153" s="394">
        <f ca="1">+'Capex_FO input'!CQ153</f>
        <v>0</v>
      </c>
      <c r="AC153" s="394">
        <f ca="1">+'Capex_FO input'!CR153</f>
        <v>0</v>
      </c>
      <c r="AD153" s="394">
        <f ca="1">+'Capex_FO input'!CS153</f>
        <v>0</v>
      </c>
      <c r="AE153" s="1279">
        <f ca="1">+'Capex_FO input'!CT153</f>
        <v>0</v>
      </c>
      <c r="AF153" s="393">
        <f ca="1">+'Capex_FO input'!CU153</f>
        <v>0</v>
      </c>
      <c r="AG153" s="394">
        <f ca="1">+'Capex_FO input'!CV153</f>
        <v>0</v>
      </c>
      <c r="AH153" s="394">
        <f ca="1">+'Capex_FO input'!CW153</f>
        <v>0</v>
      </c>
      <c r="AI153" s="394">
        <f ca="1">+'Capex_FO input'!CX153</f>
        <v>0</v>
      </c>
      <c r="AJ153" s="395">
        <f ca="1">+'Capex_FO input'!CY153</f>
        <v>0</v>
      </c>
    </row>
    <row r="154" spans="3:36" ht="11.25" customHeight="1">
      <c r="C154" s="78">
        <f t="shared" si="20"/>
        <v>108</v>
      </c>
      <c r="D154" s="1984" t="str">
        <f>+'Capex_FO input'!C154</f>
        <v>Community Access &amp; Recreation (WC) Program</v>
      </c>
      <c r="E154" s="1985"/>
      <c r="F154" s="1985"/>
      <c r="G154" s="1985"/>
      <c r="H154" s="1986"/>
      <c r="I154" s="643">
        <f>+'Capex_FO input'!N154</f>
        <v>0</v>
      </c>
      <c r="J154" s="67"/>
      <c r="K154" s="67"/>
      <c r="L154" s="67"/>
      <c r="M154" s="67"/>
      <c r="N154" s="138"/>
      <c r="O154" s="67"/>
      <c r="P154" s="67"/>
      <c r="Q154" s="67"/>
      <c r="R154" s="91"/>
      <c r="S154" s="138"/>
      <c r="T154" s="67"/>
      <c r="U154" s="91"/>
      <c r="V154" s="67"/>
      <c r="W154" s="67"/>
      <c r="X154" s="67"/>
      <c r="Y154" s="67"/>
      <c r="Z154" s="67"/>
      <c r="AA154" s="393">
        <f ca="1">+'Capex_FO input'!CP154</f>
        <v>0</v>
      </c>
      <c r="AB154" s="394">
        <f ca="1">+'Capex_FO input'!CQ154</f>
        <v>0</v>
      </c>
      <c r="AC154" s="394">
        <f ca="1">+'Capex_FO input'!CR154</f>
        <v>0</v>
      </c>
      <c r="AD154" s="394">
        <f ca="1">+'Capex_FO input'!CS154</f>
        <v>0</v>
      </c>
      <c r="AE154" s="1279">
        <f ca="1">+'Capex_FO input'!CT154</f>
        <v>0</v>
      </c>
      <c r="AF154" s="393">
        <f ca="1">+'Capex_FO input'!CU154</f>
        <v>0</v>
      </c>
      <c r="AG154" s="394">
        <f ca="1">+'Capex_FO input'!CV154</f>
        <v>0</v>
      </c>
      <c r="AH154" s="394">
        <f ca="1">+'Capex_FO input'!CW154</f>
        <v>0</v>
      </c>
      <c r="AI154" s="394">
        <f ca="1">+'Capex_FO input'!CX154</f>
        <v>0</v>
      </c>
      <c r="AJ154" s="395">
        <f ca="1">+'Capex_FO input'!CY154</f>
        <v>0</v>
      </c>
    </row>
    <row r="155" spans="3:36" ht="11.25" customHeight="1">
      <c r="C155" s="78">
        <f t="shared" si="20"/>
        <v>109</v>
      </c>
      <c r="D155" s="1984" t="str">
        <f>+'Capex_FO input'!C155</f>
        <v>Community Access &amp; Recreation (SQ) Program</v>
      </c>
      <c r="E155" s="1985"/>
      <c r="F155" s="1985"/>
      <c r="G155" s="1985"/>
      <c r="H155" s="1986"/>
      <c r="I155" s="643">
        <f>+'Capex_FO input'!N155</f>
        <v>0</v>
      </c>
      <c r="J155" s="67"/>
      <c r="K155" s="67"/>
      <c r="L155" s="67"/>
      <c r="M155" s="67"/>
      <c r="N155" s="138"/>
      <c r="O155" s="67"/>
      <c r="P155" s="67"/>
      <c r="Q155" s="67"/>
      <c r="R155" s="91"/>
      <c r="S155" s="138"/>
      <c r="T155" s="67"/>
      <c r="U155" s="91"/>
      <c r="V155" s="67"/>
      <c r="W155" s="67"/>
      <c r="X155" s="67"/>
      <c r="Y155" s="67"/>
      <c r="Z155" s="67"/>
      <c r="AA155" s="393">
        <f ca="1">+'Capex_FO input'!CP155</f>
        <v>0</v>
      </c>
      <c r="AB155" s="394">
        <f ca="1">+'Capex_FO input'!CQ155</f>
        <v>0</v>
      </c>
      <c r="AC155" s="394">
        <f ca="1">+'Capex_FO input'!CR155</f>
        <v>0</v>
      </c>
      <c r="AD155" s="394">
        <f ca="1">+'Capex_FO input'!CS155</f>
        <v>0</v>
      </c>
      <c r="AE155" s="1279">
        <f ca="1">+'Capex_FO input'!CT155</f>
        <v>0</v>
      </c>
      <c r="AF155" s="393">
        <f ca="1">+'Capex_FO input'!CU155</f>
        <v>0</v>
      </c>
      <c r="AG155" s="394">
        <f ca="1">+'Capex_FO input'!CV155</f>
        <v>0</v>
      </c>
      <c r="AH155" s="394">
        <f ca="1">+'Capex_FO input'!CW155</f>
        <v>0</v>
      </c>
      <c r="AI155" s="394">
        <f ca="1">+'Capex_FO input'!CX155</f>
        <v>0</v>
      </c>
      <c r="AJ155" s="395">
        <f ca="1">+'Capex_FO input'!CY155</f>
        <v>0</v>
      </c>
    </row>
    <row r="156" spans="3:36" ht="11.25" customHeight="1">
      <c r="C156" s="78">
        <f t="shared" si="20"/>
        <v>110</v>
      </c>
      <c r="D156" s="1984" t="str">
        <f>+'Capex_FO input'!C156</f>
        <v>Corporate Support - Improvements/Compliance Program</v>
      </c>
      <c r="E156" s="1985"/>
      <c r="F156" s="1985"/>
      <c r="G156" s="1985"/>
      <c r="H156" s="1986"/>
      <c r="I156" s="643">
        <f>+'Capex_FO input'!N156</f>
        <v>0</v>
      </c>
      <c r="J156" s="67"/>
      <c r="K156" s="67"/>
      <c r="L156" s="67"/>
      <c r="M156" s="67"/>
      <c r="N156" s="138"/>
      <c r="O156" s="67"/>
      <c r="P156" s="67"/>
      <c r="Q156" s="67"/>
      <c r="R156" s="91"/>
      <c r="S156" s="138"/>
      <c r="T156" s="67"/>
      <c r="U156" s="91"/>
      <c r="V156" s="67"/>
      <c r="W156" s="67"/>
      <c r="X156" s="67"/>
      <c r="Y156" s="67"/>
      <c r="Z156" s="67"/>
      <c r="AA156" s="393">
        <f ca="1">+'Capex_FO input'!CP156</f>
        <v>0</v>
      </c>
      <c r="AB156" s="394">
        <f ca="1">+'Capex_FO input'!CQ156</f>
        <v>0</v>
      </c>
      <c r="AC156" s="394">
        <f ca="1">+'Capex_FO input'!CR156</f>
        <v>0</v>
      </c>
      <c r="AD156" s="394">
        <f ca="1">+'Capex_FO input'!CS156</f>
        <v>0</v>
      </c>
      <c r="AE156" s="1279">
        <f ca="1">+'Capex_FO input'!CT156</f>
        <v>0</v>
      </c>
      <c r="AF156" s="393">
        <f ca="1">+'Capex_FO input'!CU156</f>
        <v>0</v>
      </c>
      <c r="AG156" s="394">
        <f ca="1">+'Capex_FO input'!CV156</f>
        <v>0</v>
      </c>
      <c r="AH156" s="394">
        <f ca="1">+'Capex_FO input'!CW156</f>
        <v>0</v>
      </c>
      <c r="AI156" s="394">
        <f ca="1">+'Capex_FO input'!CX156</f>
        <v>0</v>
      </c>
      <c r="AJ156" s="395">
        <f ca="1">+'Capex_FO input'!CY156</f>
        <v>0</v>
      </c>
    </row>
    <row r="157" spans="3:36" ht="11.25" customHeight="1">
      <c r="C157" s="78">
        <f t="shared" si="20"/>
        <v>111</v>
      </c>
      <c r="D157" s="1984" t="str">
        <f>+'Capex_FO input'!C157</f>
        <v>Corporate Support - Improvements/Compliance Program</v>
      </c>
      <c r="E157" s="1985"/>
      <c r="F157" s="1985"/>
      <c r="G157" s="1985"/>
      <c r="H157" s="1986"/>
      <c r="I157" s="643">
        <f>+'Capex_FO input'!N157</f>
        <v>0</v>
      </c>
      <c r="J157" s="67"/>
      <c r="K157" s="67"/>
      <c r="L157" s="67"/>
      <c r="M157" s="67"/>
      <c r="N157" s="138"/>
      <c r="O157" s="67"/>
      <c r="P157" s="67"/>
      <c r="Q157" s="67"/>
      <c r="R157" s="91"/>
      <c r="S157" s="138"/>
      <c r="T157" s="67"/>
      <c r="U157" s="91"/>
      <c r="V157" s="67"/>
      <c r="W157" s="67"/>
      <c r="X157" s="67"/>
      <c r="Y157" s="67"/>
      <c r="Z157" s="67"/>
      <c r="AA157" s="393">
        <f ca="1">+'Capex_FO input'!CP157</f>
        <v>0</v>
      </c>
      <c r="AB157" s="394">
        <f ca="1">+'Capex_FO input'!CQ157</f>
        <v>0</v>
      </c>
      <c r="AC157" s="394">
        <f ca="1">+'Capex_FO input'!CR157</f>
        <v>0</v>
      </c>
      <c r="AD157" s="394">
        <f ca="1">+'Capex_FO input'!CS157</f>
        <v>0</v>
      </c>
      <c r="AE157" s="1279">
        <f ca="1">+'Capex_FO input'!CT157</f>
        <v>0</v>
      </c>
      <c r="AF157" s="393">
        <f ca="1">+'Capex_FO input'!CU157</f>
        <v>0</v>
      </c>
      <c r="AG157" s="394">
        <f ca="1">+'Capex_FO input'!CV157</f>
        <v>0</v>
      </c>
      <c r="AH157" s="394">
        <f ca="1">+'Capex_FO input'!CW157</f>
        <v>0</v>
      </c>
      <c r="AI157" s="394">
        <f ca="1">+'Capex_FO input'!CX157</f>
        <v>0</v>
      </c>
      <c r="AJ157" s="395">
        <f ca="1">+'Capex_FO input'!CY157</f>
        <v>0</v>
      </c>
    </row>
    <row r="158" spans="3:36" ht="11.25" customHeight="1">
      <c r="C158" s="78">
        <f t="shared" si="20"/>
        <v>112</v>
      </c>
      <c r="D158" s="1984" t="str">
        <f>+'Capex_FO input'!C158</f>
        <v>Corporate Support - Improvements/Compliance Program</v>
      </c>
      <c r="E158" s="1985"/>
      <c r="F158" s="1985"/>
      <c r="G158" s="1985"/>
      <c r="H158" s="1986"/>
      <c r="I158" s="643">
        <f>+'Capex_FO input'!N158</f>
        <v>0</v>
      </c>
      <c r="J158" s="67"/>
      <c r="K158" s="67"/>
      <c r="L158" s="67"/>
      <c r="M158" s="67"/>
      <c r="N158" s="138"/>
      <c r="O158" s="67"/>
      <c r="P158" s="67"/>
      <c r="Q158" s="67"/>
      <c r="R158" s="91"/>
      <c r="S158" s="138"/>
      <c r="T158" s="67"/>
      <c r="U158" s="91"/>
      <c r="V158" s="67"/>
      <c r="W158" s="67"/>
      <c r="X158" s="67"/>
      <c r="Y158" s="67"/>
      <c r="Z158" s="67"/>
      <c r="AA158" s="393">
        <f ca="1">+'Capex_FO input'!CP158</f>
        <v>0</v>
      </c>
      <c r="AB158" s="394">
        <f ca="1">+'Capex_FO input'!CQ158</f>
        <v>0</v>
      </c>
      <c r="AC158" s="394">
        <f ca="1">+'Capex_FO input'!CR158</f>
        <v>0</v>
      </c>
      <c r="AD158" s="394">
        <f ca="1">+'Capex_FO input'!CS158</f>
        <v>0</v>
      </c>
      <c r="AE158" s="1279">
        <f ca="1">+'Capex_FO input'!CT158</f>
        <v>0</v>
      </c>
      <c r="AF158" s="393">
        <f ca="1">+'Capex_FO input'!CU158</f>
        <v>0</v>
      </c>
      <c r="AG158" s="394">
        <f ca="1">+'Capex_FO input'!CV158</f>
        <v>0</v>
      </c>
      <c r="AH158" s="394">
        <f ca="1">+'Capex_FO input'!CW158</f>
        <v>0</v>
      </c>
      <c r="AI158" s="394">
        <f ca="1">+'Capex_FO input'!CX158</f>
        <v>0</v>
      </c>
      <c r="AJ158" s="395">
        <f ca="1">+'Capex_FO input'!CY158</f>
        <v>0</v>
      </c>
    </row>
    <row r="159" spans="3:36" ht="11.25" customHeight="1">
      <c r="C159" s="78">
        <f t="shared" si="20"/>
        <v>113</v>
      </c>
      <c r="D159" s="1984" t="str">
        <f>+'Capex_FO input'!C159</f>
        <v>Corporate Support - Improvements/Compliance Program</v>
      </c>
      <c r="E159" s="1985"/>
      <c r="F159" s="1985"/>
      <c r="G159" s="1985"/>
      <c r="H159" s="1986"/>
      <c r="I159" s="643">
        <f>+'Capex_FO input'!N159</f>
        <v>0</v>
      </c>
      <c r="J159" s="67"/>
      <c r="K159" s="67"/>
      <c r="L159" s="67"/>
      <c r="M159" s="67"/>
      <c r="N159" s="138"/>
      <c r="O159" s="67"/>
      <c r="P159" s="67"/>
      <c r="Q159" s="67"/>
      <c r="R159" s="91"/>
      <c r="S159" s="138"/>
      <c r="T159" s="67"/>
      <c r="U159" s="91"/>
      <c r="V159" s="67"/>
      <c r="W159" s="67"/>
      <c r="X159" s="67"/>
      <c r="Y159" s="67"/>
      <c r="Z159" s="67"/>
      <c r="AA159" s="393">
        <f ca="1">+'Capex_FO input'!CP159</f>
        <v>0</v>
      </c>
      <c r="AB159" s="394">
        <f ca="1">+'Capex_FO input'!CQ159</f>
        <v>0</v>
      </c>
      <c r="AC159" s="394">
        <f ca="1">+'Capex_FO input'!CR159</f>
        <v>0</v>
      </c>
      <c r="AD159" s="394">
        <f ca="1">+'Capex_FO input'!CS159</f>
        <v>0</v>
      </c>
      <c r="AE159" s="1279">
        <f ca="1">+'Capex_FO input'!CT159</f>
        <v>0</v>
      </c>
      <c r="AF159" s="393">
        <f ca="1">+'Capex_FO input'!CU159</f>
        <v>0</v>
      </c>
      <c r="AG159" s="394">
        <f ca="1">+'Capex_FO input'!CV159</f>
        <v>0</v>
      </c>
      <c r="AH159" s="394">
        <f ca="1">+'Capex_FO input'!CW159</f>
        <v>0</v>
      </c>
      <c r="AI159" s="394">
        <f ca="1">+'Capex_FO input'!CX159</f>
        <v>0</v>
      </c>
      <c r="AJ159" s="395">
        <f ca="1">+'Capex_FO input'!CY159</f>
        <v>0</v>
      </c>
    </row>
    <row r="160" spans="3:36" ht="11.25" customHeight="1">
      <c r="C160" s="78">
        <f t="shared" si="20"/>
        <v>114</v>
      </c>
      <c r="D160" s="1984" t="str">
        <f>+'Capex_FO input'!C160</f>
        <v>Corporate Support - Renewals Program</v>
      </c>
      <c r="E160" s="1985"/>
      <c r="F160" s="1985"/>
      <c r="G160" s="1985"/>
      <c r="H160" s="1986"/>
      <c r="I160" s="643">
        <f>+'Capex_FO input'!N160</f>
        <v>0</v>
      </c>
      <c r="J160" s="67"/>
      <c r="K160" s="67"/>
      <c r="L160" s="67"/>
      <c r="M160" s="67"/>
      <c r="N160" s="138"/>
      <c r="O160" s="67"/>
      <c r="P160" s="67"/>
      <c r="Q160" s="67"/>
      <c r="R160" s="91"/>
      <c r="S160" s="138"/>
      <c r="T160" s="67"/>
      <c r="U160" s="91"/>
      <c r="V160" s="67"/>
      <c r="W160" s="67"/>
      <c r="X160" s="67"/>
      <c r="Y160" s="67"/>
      <c r="Z160" s="67"/>
      <c r="AA160" s="393">
        <f ca="1">+'Capex_FO input'!CP160</f>
        <v>0</v>
      </c>
      <c r="AB160" s="394">
        <f ca="1">+'Capex_FO input'!CQ160</f>
        <v>0</v>
      </c>
      <c r="AC160" s="394">
        <f ca="1">+'Capex_FO input'!CR160</f>
        <v>0</v>
      </c>
      <c r="AD160" s="394">
        <f ca="1">+'Capex_FO input'!CS160</f>
        <v>0</v>
      </c>
      <c r="AE160" s="1279">
        <f ca="1">+'Capex_FO input'!CT160</f>
        <v>0</v>
      </c>
      <c r="AF160" s="393">
        <f ca="1">+'Capex_FO input'!CU160</f>
        <v>0</v>
      </c>
      <c r="AG160" s="394">
        <f ca="1">+'Capex_FO input'!CV160</f>
        <v>0</v>
      </c>
      <c r="AH160" s="394">
        <f ca="1">+'Capex_FO input'!CW160</f>
        <v>0</v>
      </c>
      <c r="AI160" s="394">
        <f ca="1">+'Capex_FO input'!CX160</f>
        <v>0</v>
      </c>
      <c r="AJ160" s="395">
        <f ca="1">+'Capex_FO input'!CY160</f>
        <v>0</v>
      </c>
    </row>
    <row r="161" spans="3:36" ht="11.25" customHeight="1">
      <c r="C161" s="78">
        <f t="shared" si="20"/>
        <v>115</v>
      </c>
      <c r="D161" s="1984" t="str">
        <f>+'Capex_FO input'!C161</f>
        <v>Corporate Support - Renewals Program</v>
      </c>
      <c r="E161" s="1985"/>
      <c r="F161" s="1985"/>
      <c r="G161" s="1985"/>
      <c r="H161" s="1986"/>
      <c r="I161" s="643">
        <f>+'Capex_FO input'!N161</f>
        <v>0</v>
      </c>
      <c r="J161" s="67"/>
      <c r="K161" s="67"/>
      <c r="L161" s="67"/>
      <c r="M161" s="67"/>
      <c r="N161" s="138"/>
      <c r="O161" s="67"/>
      <c r="P161" s="67"/>
      <c r="Q161" s="67"/>
      <c r="R161" s="91"/>
      <c r="S161" s="138"/>
      <c r="T161" s="67"/>
      <c r="U161" s="91"/>
      <c r="V161" s="67"/>
      <c r="W161" s="67"/>
      <c r="X161" s="67"/>
      <c r="Y161" s="67"/>
      <c r="Z161" s="67"/>
      <c r="AA161" s="393">
        <f ca="1">+'Capex_FO input'!CP161</f>
        <v>0</v>
      </c>
      <c r="AB161" s="394">
        <f ca="1">+'Capex_FO input'!CQ161</f>
        <v>0</v>
      </c>
      <c r="AC161" s="394">
        <f ca="1">+'Capex_FO input'!CR161</f>
        <v>0</v>
      </c>
      <c r="AD161" s="394">
        <f ca="1">+'Capex_FO input'!CS161</f>
        <v>0</v>
      </c>
      <c r="AE161" s="1279">
        <f ca="1">+'Capex_FO input'!CT161</f>
        <v>0</v>
      </c>
      <c r="AF161" s="393">
        <f ca="1">+'Capex_FO input'!CU161</f>
        <v>0</v>
      </c>
      <c r="AG161" s="394">
        <f ca="1">+'Capex_FO input'!CV161</f>
        <v>0</v>
      </c>
      <c r="AH161" s="394">
        <f ca="1">+'Capex_FO input'!CW161</f>
        <v>0</v>
      </c>
      <c r="AI161" s="394">
        <f ca="1">+'Capex_FO input'!CX161</f>
        <v>0</v>
      </c>
      <c r="AJ161" s="395">
        <f ca="1">+'Capex_FO input'!CY161</f>
        <v>0</v>
      </c>
    </row>
    <row r="162" spans="3:36" ht="11.25" customHeight="1">
      <c r="C162" s="78">
        <f t="shared" si="20"/>
        <v>116</v>
      </c>
      <c r="D162" s="1984" t="str">
        <f>+'Capex_FO input'!C162</f>
        <v>Corporate Support - Renewals Program</v>
      </c>
      <c r="E162" s="1985"/>
      <c r="F162" s="1985"/>
      <c r="G162" s="1985"/>
      <c r="H162" s="1986"/>
      <c r="I162" s="643">
        <f>+'Capex_FO input'!N162</f>
        <v>0</v>
      </c>
      <c r="J162" s="67"/>
      <c r="K162" s="67"/>
      <c r="L162" s="67"/>
      <c r="M162" s="67"/>
      <c r="N162" s="138"/>
      <c r="O162" s="67"/>
      <c r="P162" s="67"/>
      <c r="Q162" s="67"/>
      <c r="R162" s="91"/>
      <c r="S162" s="138"/>
      <c r="T162" s="67"/>
      <c r="U162" s="91"/>
      <c r="V162" s="67"/>
      <c r="W162" s="67"/>
      <c r="X162" s="67"/>
      <c r="Y162" s="67"/>
      <c r="Z162" s="67"/>
      <c r="AA162" s="393">
        <f ca="1">+'Capex_FO input'!CP162</f>
        <v>0</v>
      </c>
      <c r="AB162" s="394">
        <f ca="1">+'Capex_FO input'!CQ162</f>
        <v>0</v>
      </c>
      <c r="AC162" s="394">
        <f ca="1">+'Capex_FO input'!CR162</f>
        <v>0</v>
      </c>
      <c r="AD162" s="394">
        <f ca="1">+'Capex_FO input'!CS162</f>
        <v>0</v>
      </c>
      <c r="AE162" s="1279">
        <f ca="1">+'Capex_FO input'!CT162</f>
        <v>0</v>
      </c>
      <c r="AF162" s="393">
        <f ca="1">+'Capex_FO input'!CU162</f>
        <v>0</v>
      </c>
      <c r="AG162" s="394">
        <f ca="1">+'Capex_FO input'!CV162</f>
        <v>0</v>
      </c>
      <c r="AH162" s="394">
        <f ca="1">+'Capex_FO input'!CW162</f>
        <v>0</v>
      </c>
      <c r="AI162" s="394">
        <f ca="1">+'Capex_FO input'!CX162</f>
        <v>0</v>
      </c>
      <c r="AJ162" s="395">
        <f ca="1">+'Capex_FO input'!CY162</f>
        <v>0</v>
      </c>
    </row>
    <row r="163" spans="3:36" ht="11.25" customHeight="1">
      <c r="C163" s="78">
        <f t="shared" si="20"/>
        <v>117</v>
      </c>
      <c r="D163" s="1984" t="str">
        <f>+'Capex_FO input'!C163</f>
        <v>Corporate Support - Renewals Program</v>
      </c>
      <c r="E163" s="1985"/>
      <c r="F163" s="1985"/>
      <c r="G163" s="1985"/>
      <c r="H163" s="1986"/>
      <c r="I163" s="643">
        <f>+'Capex_FO input'!N163</f>
        <v>0</v>
      </c>
      <c r="J163" s="67"/>
      <c r="K163" s="67"/>
      <c r="L163" s="67"/>
      <c r="M163" s="67"/>
      <c r="N163" s="138"/>
      <c r="O163" s="67"/>
      <c r="P163" s="67"/>
      <c r="Q163" s="67"/>
      <c r="R163" s="91"/>
      <c r="S163" s="138"/>
      <c r="T163" s="67"/>
      <c r="U163" s="91"/>
      <c r="V163" s="67"/>
      <c r="W163" s="67"/>
      <c r="X163" s="67"/>
      <c r="Y163" s="67"/>
      <c r="Z163" s="67"/>
      <c r="AA163" s="393">
        <f ca="1">+'Capex_FO input'!CP163</f>
        <v>0</v>
      </c>
      <c r="AB163" s="394">
        <f ca="1">+'Capex_FO input'!CQ163</f>
        <v>0</v>
      </c>
      <c r="AC163" s="394">
        <f ca="1">+'Capex_FO input'!CR163</f>
        <v>0</v>
      </c>
      <c r="AD163" s="394">
        <f ca="1">+'Capex_FO input'!CS163</f>
        <v>0</v>
      </c>
      <c r="AE163" s="1279">
        <f ca="1">+'Capex_FO input'!CT163</f>
        <v>0</v>
      </c>
      <c r="AF163" s="393">
        <f ca="1">+'Capex_FO input'!CU163</f>
        <v>0</v>
      </c>
      <c r="AG163" s="394">
        <f ca="1">+'Capex_FO input'!CV163</f>
        <v>0</v>
      </c>
      <c r="AH163" s="394">
        <f ca="1">+'Capex_FO input'!CW163</f>
        <v>0</v>
      </c>
      <c r="AI163" s="394">
        <f ca="1">+'Capex_FO input'!CX163</f>
        <v>0</v>
      </c>
      <c r="AJ163" s="395">
        <f ca="1">+'Capex_FO input'!CY163</f>
        <v>0</v>
      </c>
    </row>
    <row r="164" spans="3:36" ht="11.25" customHeight="1">
      <c r="C164" s="78">
        <f t="shared" si="20"/>
        <v>118</v>
      </c>
      <c r="D164" s="1984" t="str">
        <f>+'Capex_FO input'!C164</f>
        <v>Information Technology - Improvements/Compliance Program</v>
      </c>
      <c r="E164" s="1985"/>
      <c r="F164" s="1985"/>
      <c r="G164" s="1985"/>
      <c r="H164" s="1986"/>
      <c r="I164" s="643">
        <f>+'Capex_FO input'!N164</f>
        <v>0</v>
      </c>
      <c r="J164" s="67"/>
      <c r="K164" s="67"/>
      <c r="L164" s="67"/>
      <c r="M164" s="67"/>
      <c r="N164" s="138"/>
      <c r="O164" s="67"/>
      <c r="P164" s="67"/>
      <c r="Q164" s="67"/>
      <c r="R164" s="91"/>
      <c r="S164" s="138"/>
      <c r="T164" s="67"/>
      <c r="U164" s="91"/>
      <c r="V164" s="67"/>
      <c r="W164" s="67"/>
      <c r="X164" s="67"/>
      <c r="Y164" s="67"/>
      <c r="Z164" s="67"/>
      <c r="AA164" s="393">
        <f ca="1">+'Capex_FO input'!CP164</f>
        <v>0</v>
      </c>
      <c r="AB164" s="394">
        <f ca="1">+'Capex_FO input'!CQ164</f>
        <v>0</v>
      </c>
      <c r="AC164" s="394">
        <f ca="1">+'Capex_FO input'!CR164</f>
        <v>0</v>
      </c>
      <c r="AD164" s="394">
        <f ca="1">+'Capex_FO input'!CS164</f>
        <v>0</v>
      </c>
      <c r="AE164" s="1279">
        <f ca="1">+'Capex_FO input'!CT164</f>
        <v>0</v>
      </c>
      <c r="AF164" s="393">
        <f ca="1">+'Capex_FO input'!CU164</f>
        <v>0</v>
      </c>
      <c r="AG164" s="394">
        <f ca="1">+'Capex_FO input'!CV164</f>
        <v>0</v>
      </c>
      <c r="AH164" s="394">
        <f ca="1">+'Capex_FO input'!CW164</f>
        <v>0</v>
      </c>
      <c r="AI164" s="394">
        <f ca="1">+'Capex_FO input'!CX164</f>
        <v>0</v>
      </c>
      <c r="AJ164" s="395">
        <f ca="1">+'Capex_FO input'!CY164</f>
        <v>0</v>
      </c>
    </row>
    <row r="165" spans="3:36" ht="11.25" customHeight="1">
      <c r="C165" s="78">
        <f t="shared" si="20"/>
        <v>119</v>
      </c>
      <c r="D165" s="1984" t="str">
        <f>+'Capex_FO input'!C165</f>
        <v>Information Technology - Improvements/Compliance Program</v>
      </c>
      <c r="E165" s="1985"/>
      <c r="F165" s="1985"/>
      <c r="G165" s="1985"/>
      <c r="H165" s="1986"/>
      <c r="I165" s="643">
        <f>+'Capex_FO input'!N165</f>
        <v>0</v>
      </c>
      <c r="J165" s="67"/>
      <c r="K165" s="67"/>
      <c r="L165" s="67"/>
      <c r="M165" s="67"/>
      <c r="N165" s="138"/>
      <c r="O165" s="67"/>
      <c r="P165" s="67"/>
      <c r="Q165" s="67"/>
      <c r="R165" s="91"/>
      <c r="S165" s="138"/>
      <c r="T165" s="67"/>
      <c r="U165" s="91"/>
      <c r="V165" s="67"/>
      <c r="W165" s="67"/>
      <c r="X165" s="67"/>
      <c r="Y165" s="67"/>
      <c r="Z165" s="67"/>
      <c r="AA165" s="393">
        <f ca="1">+'Capex_FO input'!CP165</f>
        <v>0</v>
      </c>
      <c r="AB165" s="394">
        <f ca="1">+'Capex_FO input'!CQ165</f>
        <v>0</v>
      </c>
      <c r="AC165" s="394">
        <f ca="1">+'Capex_FO input'!CR165</f>
        <v>0</v>
      </c>
      <c r="AD165" s="394">
        <f ca="1">+'Capex_FO input'!CS165</f>
        <v>0</v>
      </c>
      <c r="AE165" s="1279">
        <f ca="1">+'Capex_FO input'!CT165</f>
        <v>0</v>
      </c>
      <c r="AF165" s="393">
        <f ca="1">+'Capex_FO input'!CU165</f>
        <v>0</v>
      </c>
      <c r="AG165" s="394">
        <f ca="1">+'Capex_FO input'!CV165</f>
        <v>0</v>
      </c>
      <c r="AH165" s="394">
        <f ca="1">+'Capex_FO input'!CW165</f>
        <v>0</v>
      </c>
      <c r="AI165" s="394">
        <f ca="1">+'Capex_FO input'!CX165</f>
        <v>0</v>
      </c>
      <c r="AJ165" s="395">
        <f ca="1">+'Capex_FO input'!CY165</f>
        <v>0</v>
      </c>
    </row>
    <row r="166" spans="3:36" ht="11.25" customHeight="1">
      <c r="C166" s="78">
        <f t="shared" si="20"/>
        <v>120</v>
      </c>
      <c r="D166" s="1984" t="str">
        <f>+'Capex_FO input'!C166</f>
        <v>Information Technology - Improvements/Compliance Program</v>
      </c>
      <c r="E166" s="1985"/>
      <c r="F166" s="1985"/>
      <c r="G166" s="1985"/>
      <c r="H166" s="1986"/>
      <c r="I166" s="643">
        <f>+'Capex_FO input'!N166</f>
        <v>0</v>
      </c>
      <c r="J166" s="67"/>
      <c r="K166" s="67"/>
      <c r="L166" s="67"/>
      <c r="M166" s="67"/>
      <c r="N166" s="138"/>
      <c r="O166" s="67"/>
      <c r="P166" s="67"/>
      <c r="Q166" s="67"/>
      <c r="R166" s="91"/>
      <c r="S166" s="138"/>
      <c r="T166" s="67"/>
      <c r="U166" s="91"/>
      <c r="V166" s="67"/>
      <c r="W166" s="67"/>
      <c r="X166" s="67"/>
      <c r="Y166" s="67"/>
      <c r="Z166" s="67"/>
      <c r="AA166" s="393">
        <f ca="1">+'Capex_FO input'!CP166</f>
        <v>0</v>
      </c>
      <c r="AB166" s="394">
        <f ca="1">+'Capex_FO input'!CQ166</f>
        <v>0</v>
      </c>
      <c r="AC166" s="394">
        <f ca="1">+'Capex_FO input'!CR166</f>
        <v>0</v>
      </c>
      <c r="AD166" s="394">
        <f ca="1">+'Capex_FO input'!CS166</f>
        <v>0</v>
      </c>
      <c r="AE166" s="1279">
        <f ca="1">+'Capex_FO input'!CT166</f>
        <v>0</v>
      </c>
      <c r="AF166" s="393">
        <f ca="1">+'Capex_FO input'!CU166</f>
        <v>0</v>
      </c>
      <c r="AG166" s="394">
        <f ca="1">+'Capex_FO input'!CV166</f>
        <v>0</v>
      </c>
      <c r="AH166" s="394">
        <f ca="1">+'Capex_FO input'!CW166</f>
        <v>0</v>
      </c>
      <c r="AI166" s="394">
        <f ca="1">+'Capex_FO input'!CX166</f>
        <v>0</v>
      </c>
      <c r="AJ166" s="395">
        <f ca="1">+'Capex_FO input'!CY166</f>
        <v>0</v>
      </c>
    </row>
    <row r="167" spans="3:36" ht="11.25" customHeight="1">
      <c r="C167" s="78">
        <f t="shared" si="20"/>
        <v>121</v>
      </c>
      <c r="D167" s="1984" t="str">
        <f>+'Capex_FO input'!C167</f>
        <v>Information Technology - Improvements/Compliance Program</v>
      </c>
      <c r="E167" s="1985"/>
      <c r="F167" s="1985"/>
      <c r="G167" s="1985"/>
      <c r="H167" s="1986"/>
      <c r="I167" s="643">
        <f>+'Capex_FO input'!N167</f>
        <v>0</v>
      </c>
      <c r="J167" s="67"/>
      <c r="K167" s="67"/>
      <c r="L167" s="67"/>
      <c r="M167" s="67"/>
      <c r="N167" s="138"/>
      <c r="O167" s="67"/>
      <c r="P167" s="67"/>
      <c r="Q167" s="67"/>
      <c r="R167" s="91"/>
      <c r="S167" s="138"/>
      <c r="T167" s="67"/>
      <c r="U167" s="91"/>
      <c r="V167" s="67"/>
      <c r="W167" s="67"/>
      <c r="X167" s="67"/>
      <c r="Y167" s="67"/>
      <c r="Z167" s="67"/>
      <c r="AA167" s="393">
        <f ca="1">+'Capex_FO input'!CP167</f>
        <v>0</v>
      </c>
      <c r="AB167" s="394">
        <f ca="1">+'Capex_FO input'!CQ167</f>
        <v>0</v>
      </c>
      <c r="AC167" s="394">
        <f ca="1">+'Capex_FO input'!CR167</f>
        <v>0</v>
      </c>
      <c r="AD167" s="394">
        <f ca="1">+'Capex_FO input'!CS167</f>
        <v>0</v>
      </c>
      <c r="AE167" s="1279">
        <f ca="1">+'Capex_FO input'!CT167</f>
        <v>0</v>
      </c>
      <c r="AF167" s="393">
        <f ca="1">+'Capex_FO input'!CU167</f>
        <v>0</v>
      </c>
      <c r="AG167" s="394">
        <f ca="1">+'Capex_FO input'!CV167</f>
        <v>0</v>
      </c>
      <c r="AH167" s="394">
        <f ca="1">+'Capex_FO input'!CW167</f>
        <v>0</v>
      </c>
      <c r="AI167" s="394">
        <f ca="1">+'Capex_FO input'!CX167</f>
        <v>0</v>
      </c>
      <c r="AJ167" s="395">
        <f ca="1">+'Capex_FO input'!CY167</f>
        <v>0</v>
      </c>
    </row>
    <row r="168" spans="3:36" ht="11.25" customHeight="1">
      <c r="C168" s="78">
        <f t="shared" si="20"/>
        <v>122</v>
      </c>
      <c r="D168" s="1984" t="str">
        <f>+'Capex_FO input'!C168</f>
        <v>Information Technology - Renewals Program</v>
      </c>
      <c r="E168" s="1985"/>
      <c r="F168" s="1985"/>
      <c r="G168" s="1985"/>
      <c r="H168" s="1986"/>
      <c r="I168" s="643">
        <f>+'Capex_FO input'!N168</f>
        <v>0</v>
      </c>
      <c r="J168" s="67"/>
      <c r="K168" s="67"/>
      <c r="L168" s="67"/>
      <c r="M168" s="67"/>
      <c r="N168" s="138"/>
      <c r="O168" s="67"/>
      <c r="P168" s="67"/>
      <c r="Q168" s="67"/>
      <c r="R168" s="91"/>
      <c r="S168" s="138"/>
      <c r="T168" s="67"/>
      <c r="U168" s="91"/>
      <c r="V168" s="67"/>
      <c r="W168" s="67"/>
      <c r="X168" s="67"/>
      <c r="Y168" s="67"/>
      <c r="Z168" s="67"/>
      <c r="AA168" s="393">
        <f ca="1">+'Capex_FO input'!CP168</f>
        <v>0</v>
      </c>
      <c r="AB168" s="394">
        <f ca="1">+'Capex_FO input'!CQ168</f>
        <v>0</v>
      </c>
      <c r="AC168" s="394">
        <f ca="1">+'Capex_FO input'!CR168</f>
        <v>0</v>
      </c>
      <c r="AD168" s="394">
        <f ca="1">+'Capex_FO input'!CS168</f>
        <v>0</v>
      </c>
      <c r="AE168" s="1279">
        <f ca="1">+'Capex_FO input'!CT168</f>
        <v>0</v>
      </c>
      <c r="AF168" s="393">
        <f ca="1">+'Capex_FO input'!CU168</f>
        <v>0</v>
      </c>
      <c r="AG168" s="394">
        <f ca="1">+'Capex_FO input'!CV168</f>
        <v>0</v>
      </c>
      <c r="AH168" s="394">
        <f ca="1">+'Capex_FO input'!CW168</f>
        <v>0</v>
      </c>
      <c r="AI168" s="394">
        <f ca="1">+'Capex_FO input'!CX168</f>
        <v>0</v>
      </c>
      <c r="AJ168" s="395">
        <f ca="1">+'Capex_FO input'!CY168</f>
        <v>0</v>
      </c>
    </row>
    <row r="169" spans="3:36" ht="11.25" customHeight="1">
      <c r="C169" s="78">
        <f t="shared" si="20"/>
        <v>123</v>
      </c>
      <c r="D169" s="1984" t="str">
        <f>+'Capex_FO input'!C169</f>
        <v>Information Technology - Renewals Program</v>
      </c>
      <c r="E169" s="1985"/>
      <c r="F169" s="1985"/>
      <c r="G169" s="1985"/>
      <c r="H169" s="1986"/>
      <c r="I169" s="643">
        <f>+'Capex_FO input'!N169</f>
        <v>0</v>
      </c>
      <c r="J169" s="67"/>
      <c r="K169" s="67"/>
      <c r="L169" s="67"/>
      <c r="M169" s="67"/>
      <c r="N169" s="138"/>
      <c r="O169" s="67"/>
      <c r="P169" s="67"/>
      <c r="Q169" s="67"/>
      <c r="R169" s="91"/>
      <c r="S169" s="138"/>
      <c r="T169" s="67"/>
      <c r="U169" s="91"/>
      <c r="V169" s="67"/>
      <c r="W169" s="67"/>
      <c r="X169" s="67"/>
      <c r="Y169" s="67"/>
      <c r="Z169" s="67"/>
      <c r="AA169" s="393">
        <f ca="1">+'Capex_FO input'!CP169</f>
        <v>0</v>
      </c>
      <c r="AB169" s="394">
        <f ca="1">+'Capex_FO input'!CQ169</f>
        <v>0</v>
      </c>
      <c r="AC169" s="394">
        <f ca="1">+'Capex_FO input'!CR169</f>
        <v>0</v>
      </c>
      <c r="AD169" s="394">
        <f ca="1">+'Capex_FO input'!CS169</f>
        <v>0</v>
      </c>
      <c r="AE169" s="1279">
        <f ca="1">+'Capex_FO input'!CT169</f>
        <v>0</v>
      </c>
      <c r="AF169" s="393">
        <f ca="1">+'Capex_FO input'!CU169</f>
        <v>0</v>
      </c>
      <c r="AG169" s="394">
        <f ca="1">+'Capex_FO input'!CV169</f>
        <v>0</v>
      </c>
      <c r="AH169" s="394">
        <f ca="1">+'Capex_FO input'!CW169</f>
        <v>0</v>
      </c>
      <c r="AI169" s="394">
        <f ca="1">+'Capex_FO input'!CX169</f>
        <v>0</v>
      </c>
      <c r="AJ169" s="395">
        <f ca="1">+'Capex_FO input'!CY169</f>
        <v>0</v>
      </c>
    </row>
    <row r="170" spans="3:36" ht="11.25" customHeight="1">
      <c r="C170" s="78">
        <f t="shared" si="20"/>
        <v>124</v>
      </c>
      <c r="D170" s="1984" t="str">
        <f>+'Capex_FO input'!C170</f>
        <v>Information Technology - Renewals Program</v>
      </c>
      <c r="E170" s="1985"/>
      <c r="F170" s="1985"/>
      <c r="G170" s="1985"/>
      <c r="H170" s="1986"/>
      <c r="I170" s="643">
        <f>+'Capex_FO input'!N170</f>
        <v>0</v>
      </c>
      <c r="J170" s="67"/>
      <c r="K170" s="67"/>
      <c r="L170" s="67"/>
      <c r="M170" s="67"/>
      <c r="N170" s="138"/>
      <c r="O170" s="67"/>
      <c r="P170" s="67"/>
      <c r="Q170" s="67"/>
      <c r="R170" s="91"/>
      <c r="S170" s="138"/>
      <c r="T170" s="67"/>
      <c r="U170" s="91"/>
      <c r="V170" s="67"/>
      <c r="W170" s="67"/>
      <c r="X170" s="67"/>
      <c r="Y170" s="67"/>
      <c r="Z170" s="67"/>
      <c r="AA170" s="393">
        <f ca="1">+'Capex_FO input'!CP170</f>
        <v>0</v>
      </c>
      <c r="AB170" s="394">
        <f ca="1">+'Capex_FO input'!CQ170</f>
        <v>0</v>
      </c>
      <c r="AC170" s="394">
        <f ca="1">+'Capex_FO input'!CR170</f>
        <v>0</v>
      </c>
      <c r="AD170" s="394">
        <f ca="1">+'Capex_FO input'!CS170</f>
        <v>0</v>
      </c>
      <c r="AE170" s="1279">
        <f ca="1">+'Capex_FO input'!CT170</f>
        <v>0</v>
      </c>
      <c r="AF170" s="393">
        <f ca="1">+'Capex_FO input'!CU170</f>
        <v>0</v>
      </c>
      <c r="AG170" s="394">
        <f ca="1">+'Capex_FO input'!CV170</f>
        <v>0</v>
      </c>
      <c r="AH170" s="394">
        <f ca="1">+'Capex_FO input'!CW170</f>
        <v>0</v>
      </c>
      <c r="AI170" s="394">
        <f ca="1">+'Capex_FO input'!CX170</f>
        <v>0</v>
      </c>
      <c r="AJ170" s="395">
        <f ca="1">+'Capex_FO input'!CY170</f>
        <v>0</v>
      </c>
    </row>
    <row r="171" spans="3:36" ht="11.25" customHeight="1">
      <c r="C171" s="78">
        <f t="shared" si="20"/>
        <v>125</v>
      </c>
      <c r="D171" s="1984" t="str">
        <f>+'Capex_FO input'!C171</f>
        <v>Information Technology - Renewals Program</v>
      </c>
      <c r="E171" s="1985"/>
      <c r="F171" s="1985"/>
      <c r="G171" s="1985"/>
      <c r="H171" s="1986"/>
      <c r="I171" s="643">
        <f>+'Capex_FO input'!N171</f>
        <v>0</v>
      </c>
      <c r="J171" s="67"/>
      <c r="K171" s="67"/>
      <c r="L171" s="67"/>
      <c r="M171" s="67"/>
      <c r="N171" s="138"/>
      <c r="O171" s="67"/>
      <c r="P171" s="67"/>
      <c r="Q171" s="67"/>
      <c r="R171" s="91"/>
      <c r="S171" s="138"/>
      <c r="T171" s="67"/>
      <c r="U171" s="91"/>
      <c r="V171" s="67"/>
      <c r="W171" s="67"/>
      <c r="X171" s="67"/>
      <c r="Y171" s="67"/>
      <c r="Z171" s="67"/>
      <c r="AA171" s="393">
        <f ca="1">+'Capex_FO input'!CP171</f>
        <v>0</v>
      </c>
      <c r="AB171" s="394">
        <f ca="1">+'Capex_FO input'!CQ171</f>
        <v>0</v>
      </c>
      <c r="AC171" s="394">
        <f ca="1">+'Capex_FO input'!CR171</f>
        <v>0</v>
      </c>
      <c r="AD171" s="394">
        <f ca="1">+'Capex_FO input'!CS171</f>
        <v>0</v>
      </c>
      <c r="AE171" s="1279">
        <f ca="1">+'Capex_FO input'!CT171</f>
        <v>0</v>
      </c>
      <c r="AF171" s="393">
        <f ca="1">+'Capex_FO input'!CU171</f>
        <v>0</v>
      </c>
      <c r="AG171" s="394">
        <f ca="1">+'Capex_FO input'!CV171</f>
        <v>0</v>
      </c>
      <c r="AH171" s="394">
        <f ca="1">+'Capex_FO input'!CW171</f>
        <v>0</v>
      </c>
      <c r="AI171" s="394">
        <f ca="1">+'Capex_FO input'!CX171</f>
        <v>0</v>
      </c>
      <c r="AJ171" s="395">
        <f ca="1">+'Capex_FO input'!CY171</f>
        <v>0</v>
      </c>
    </row>
    <row r="172" spans="3:36" ht="11.25" customHeight="1">
      <c r="C172" s="78">
        <f t="shared" si="20"/>
        <v>126</v>
      </c>
      <c r="D172" s="1984" t="str">
        <f>+'Capex_FO input'!C172</f>
        <v>SaaS (Capitalised Opex) - IT</v>
      </c>
      <c r="E172" s="1985"/>
      <c r="F172" s="1985"/>
      <c r="G172" s="1985"/>
      <c r="H172" s="1986"/>
      <c r="I172" s="643">
        <f>+'Capex_FO input'!N172</f>
        <v>0</v>
      </c>
      <c r="J172" s="67"/>
      <c r="K172" s="67"/>
      <c r="L172" s="67"/>
      <c r="M172" s="67"/>
      <c r="N172" s="138"/>
      <c r="O172" s="67"/>
      <c r="P172" s="67"/>
      <c r="Q172" s="67"/>
      <c r="R172" s="91"/>
      <c r="S172" s="138"/>
      <c r="T172" s="67"/>
      <c r="U172" s="91"/>
      <c r="V172" s="67"/>
      <c r="W172" s="67"/>
      <c r="X172" s="67"/>
      <c r="Y172" s="67"/>
      <c r="Z172" s="67"/>
      <c r="AA172" s="393">
        <f ca="1">+'Capex_FO input'!CP172</f>
        <v>0</v>
      </c>
      <c r="AB172" s="394">
        <f ca="1">+'Capex_FO input'!CQ172</f>
        <v>0</v>
      </c>
      <c r="AC172" s="394">
        <f ca="1">+'Capex_FO input'!CR172</f>
        <v>0</v>
      </c>
      <c r="AD172" s="394">
        <f ca="1">+'Capex_FO input'!CS172</f>
        <v>0</v>
      </c>
      <c r="AE172" s="1279">
        <f ca="1">+'Capex_FO input'!CT172</f>
        <v>0</v>
      </c>
      <c r="AF172" s="393">
        <f ca="1">+'Capex_FO input'!CU172</f>
        <v>0</v>
      </c>
      <c r="AG172" s="394">
        <f ca="1">+'Capex_FO input'!CV172</f>
        <v>0</v>
      </c>
      <c r="AH172" s="394">
        <f ca="1">+'Capex_FO input'!CW172</f>
        <v>0</v>
      </c>
      <c r="AI172" s="394">
        <f ca="1">+'Capex_FO input'!CX172</f>
        <v>0</v>
      </c>
      <c r="AJ172" s="395">
        <f ca="1">+'Capex_FO input'!CY172</f>
        <v>0</v>
      </c>
    </row>
    <row r="173" spans="3:36" ht="11.25" customHeight="1">
      <c r="C173" s="78">
        <f t="shared" si="20"/>
        <v>127</v>
      </c>
      <c r="D173" s="1984" t="str">
        <f>+'Capex_FO input'!C173</f>
        <v>SaaS (Capitalised Opex) - IT</v>
      </c>
      <c r="E173" s="1985"/>
      <c r="F173" s="1985"/>
      <c r="G173" s="1985"/>
      <c r="H173" s="1986"/>
      <c r="I173" s="643">
        <f>+'Capex_FO input'!N173</f>
        <v>0</v>
      </c>
      <c r="J173" s="67"/>
      <c r="K173" s="67"/>
      <c r="L173" s="67"/>
      <c r="M173" s="67"/>
      <c r="N173" s="138"/>
      <c r="O173" s="67"/>
      <c r="P173" s="67"/>
      <c r="Q173" s="67"/>
      <c r="R173" s="91"/>
      <c r="S173" s="138"/>
      <c r="T173" s="67"/>
      <c r="U173" s="91"/>
      <c r="V173" s="67"/>
      <c r="W173" s="67"/>
      <c r="X173" s="67"/>
      <c r="Y173" s="67"/>
      <c r="Z173" s="67"/>
      <c r="AA173" s="393">
        <f ca="1">+'Capex_FO input'!CP173</f>
        <v>0</v>
      </c>
      <c r="AB173" s="394">
        <f ca="1">+'Capex_FO input'!CQ173</f>
        <v>0</v>
      </c>
      <c r="AC173" s="394">
        <f ca="1">+'Capex_FO input'!CR173</f>
        <v>0</v>
      </c>
      <c r="AD173" s="394">
        <f ca="1">+'Capex_FO input'!CS173</f>
        <v>0</v>
      </c>
      <c r="AE173" s="1279">
        <f ca="1">+'Capex_FO input'!CT173</f>
        <v>0</v>
      </c>
      <c r="AF173" s="393">
        <f ca="1">+'Capex_FO input'!CU173</f>
        <v>0</v>
      </c>
      <c r="AG173" s="394">
        <f ca="1">+'Capex_FO input'!CV173</f>
        <v>0</v>
      </c>
      <c r="AH173" s="394">
        <f ca="1">+'Capex_FO input'!CW173</f>
        <v>0</v>
      </c>
      <c r="AI173" s="394">
        <f ca="1">+'Capex_FO input'!CX173</f>
        <v>0</v>
      </c>
      <c r="AJ173" s="395">
        <f ca="1">+'Capex_FO input'!CY173</f>
        <v>0</v>
      </c>
    </row>
    <row r="174" spans="3:36" ht="11.25" customHeight="1">
      <c r="C174" s="78">
        <f t="shared" si="20"/>
        <v>128</v>
      </c>
      <c r="D174" s="1984" t="str">
        <f>+'Capex_FO input'!C174</f>
        <v>SaaS (Capitalised Opex) - IT</v>
      </c>
      <c r="E174" s="1985"/>
      <c r="F174" s="1985"/>
      <c r="G174" s="1985"/>
      <c r="H174" s="1986"/>
      <c r="I174" s="643">
        <f>+'Capex_FO input'!N174</f>
        <v>0</v>
      </c>
      <c r="J174" s="67"/>
      <c r="K174" s="67"/>
      <c r="L174" s="67"/>
      <c r="M174" s="67"/>
      <c r="N174" s="138"/>
      <c r="O174" s="67"/>
      <c r="P174" s="67"/>
      <c r="Q174" s="67"/>
      <c r="R174" s="91"/>
      <c r="S174" s="138"/>
      <c r="T174" s="67"/>
      <c r="U174" s="91"/>
      <c r="V174" s="67"/>
      <c r="W174" s="67"/>
      <c r="X174" s="67"/>
      <c r="Y174" s="67"/>
      <c r="Z174" s="67"/>
      <c r="AA174" s="393">
        <f ca="1">+'Capex_FO input'!CP174</f>
        <v>0</v>
      </c>
      <c r="AB174" s="394">
        <f ca="1">+'Capex_FO input'!CQ174</f>
        <v>0</v>
      </c>
      <c r="AC174" s="394">
        <f ca="1">+'Capex_FO input'!CR174</f>
        <v>0</v>
      </c>
      <c r="AD174" s="394">
        <f ca="1">+'Capex_FO input'!CS174</f>
        <v>0</v>
      </c>
      <c r="AE174" s="1279">
        <f ca="1">+'Capex_FO input'!CT174</f>
        <v>0</v>
      </c>
      <c r="AF174" s="393">
        <f ca="1">+'Capex_FO input'!CU174</f>
        <v>0</v>
      </c>
      <c r="AG174" s="394">
        <f ca="1">+'Capex_FO input'!CV174</f>
        <v>0</v>
      </c>
      <c r="AH174" s="394">
        <f ca="1">+'Capex_FO input'!CW174</f>
        <v>0</v>
      </c>
      <c r="AI174" s="394">
        <f ca="1">+'Capex_FO input'!CX174</f>
        <v>0</v>
      </c>
      <c r="AJ174" s="395">
        <f ca="1">+'Capex_FO input'!CY174</f>
        <v>0</v>
      </c>
    </row>
    <row r="175" spans="3:36" ht="11.25" customHeight="1">
      <c r="C175" s="78">
        <f t="shared" si="20"/>
        <v>129</v>
      </c>
      <c r="D175" s="1984" t="str">
        <f>+'Capex_FO input'!C175</f>
        <v>SaaS (Capitalised Opex) - IT</v>
      </c>
      <c r="E175" s="1985"/>
      <c r="F175" s="1985"/>
      <c r="G175" s="1985"/>
      <c r="H175" s="1986"/>
      <c r="I175" s="643">
        <f>+'Capex_FO input'!N175</f>
        <v>0</v>
      </c>
      <c r="J175" s="67"/>
      <c r="K175" s="67"/>
      <c r="L175" s="67"/>
      <c r="M175" s="67"/>
      <c r="N175" s="138"/>
      <c r="O175" s="67"/>
      <c r="P175" s="67"/>
      <c r="Q175" s="67"/>
      <c r="R175" s="91"/>
      <c r="S175" s="138"/>
      <c r="T175" s="67"/>
      <c r="U175" s="91"/>
      <c r="V175" s="67"/>
      <c r="W175" s="67"/>
      <c r="X175" s="67"/>
      <c r="Y175" s="67"/>
      <c r="Z175" s="67"/>
      <c r="AA175" s="393">
        <f ca="1">+'Capex_FO input'!CP175</f>
        <v>0</v>
      </c>
      <c r="AB175" s="394">
        <f ca="1">+'Capex_FO input'!CQ175</f>
        <v>0</v>
      </c>
      <c r="AC175" s="394">
        <f ca="1">+'Capex_FO input'!CR175</f>
        <v>0</v>
      </c>
      <c r="AD175" s="394">
        <f ca="1">+'Capex_FO input'!CS175</f>
        <v>0</v>
      </c>
      <c r="AE175" s="1279">
        <f ca="1">+'Capex_FO input'!CT175</f>
        <v>0</v>
      </c>
      <c r="AF175" s="393">
        <f ca="1">+'Capex_FO input'!CU175</f>
        <v>0</v>
      </c>
      <c r="AG175" s="394">
        <f ca="1">+'Capex_FO input'!CV175</f>
        <v>0</v>
      </c>
      <c r="AH175" s="394">
        <f ca="1">+'Capex_FO input'!CW175</f>
        <v>0</v>
      </c>
      <c r="AI175" s="394">
        <f ca="1">+'Capex_FO input'!CX175</f>
        <v>0</v>
      </c>
      <c r="AJ175" s="395">
        <f ca="1">+'Capex_FO input'!CY175</f>
        <v>0</v>
      </c>
    </row>
    <row r="176" spans="3:36" ht="11.25" customHeight="1">
      <c r="C176" s="78">
        <f t="shared" si="20"/>
        <v>130</v>
      </c>
      <c r="D176" s="1984" t="str">
        <f>+'Capex_FO input'!C176</f>
        <v>SaaS (Capitalised Opex) - AKT</v>
      </c>
      <c r="E176" s="1985"/>
      <c r="F176" s="1985"/>
      <c r="G176" s="1985"/>
      <c r="H176" s="1986"/>
      <c r="I176" s="643">
        <f>+'Capex_FO input'!N176</f>
        <v>0</v>
      </c>
      <c r="J176" s="67"/>
      <c r="K176" s="67"/>
      <c r="L176" s="67"/>
      <c r="M176" s="67"/>
      <c r="N176" s="138"/>
      <c r="O176" s="67"/>
      <c r="P176" s="67"/>
      <c r="Q176" s="67"/>
      <c r="R176" s="91"/>
      <c r="S176" s="138"/>
      <c r="T176" s="67"/>
      <c r="U176" s="91"/>
      <c r="V176" s="67"/>
      <c r="W176" s="67"/>
      <c r="X176" s="67"/>
      <c r="Y176" s="67"/>
      <c r="Z176" s="67"/>
      <c r="AA176" s="393">
        <f ca="1">+'Capex_FO input'!CP176</f>
        <v>0</v>
      </c>
      <c r="AB176" s="394">
        <f ca="1">+'Capex_FO input'!CQ176</f>
        <v>0</v>
      </c>
      <c r="AC176" s="394">
        <f ca="1">+'Capex_FO input'!CR176</f>
        <v>0</v>
      </c>
      <c r="AD176" s="394">
        <f ca="1">+'Capex_FO input'!CS176</f>
        <v>0</v>
      </c>
      <c r="AE176" s="1279">
        <f ca="1">+'Capex_FO input'!CT176</f>
        <v>0</v>
      </c>
      <c r="AF176" s="393">
        <f ca="1">+'Capex_FO input'!CU176</f>
        <v>0</v>
      </c>
      <c r="AG176" s="394">
        <f ca="1">+'Capex_FO input'!CV176</f>
        <v>0</v>
      </c>
      <c r="AH176" s="394">
        <f ca="1">+'Capex_FO input'!CW176</f>
        <v>0</v>
      </c>
      <c r="AI176" s="394">
        <f ca="1">+'Capex_FO input'!CX176</f>
        <v>0</v>
      </c>
      <c r="AJ176" s="395">
        <f ca="1">+'Capex_FO input'!CY176</f>
        <v>0</v>
      </c>
    </row>
    <row r="177" spans="3:36" ht="11.25" customHeight="1">
      <c r="C177" s="78">
        <f t="shared" si="20"/>
        <v>131</v>
      </c>
      <c r="D177" s="1984" t="str">
        <f>+'Capex_FO input'!C177</f>
        <v>SaaS (Capitalised Opex) - AKT</v>
      </c>
      <c r="E177" s="1985"/>
      <c r="F177" s="1985"/>
      <c r="G177" s="1985"/>
      <c r="H177" s="1986"/>
      <c r="I177" s="643">
        <f>+'Capex_FO input'!N177</f>
        <v>0</v>
      </c>
      <c r="J177" s="67"/>
      <c r="K177" s="67"/>
      <c r="L177" s="67"/>
      <c r="M177" s="67"/>
      <c r="N177" s="138"/>
      <c r="O177" s="67"/>
      <c r="P177" s="67"/>
      <c r="Q177" s="67"/>
      <c r="R177" s="91"/>
      <c r="S177" s="138"/>
      <c r="T177" s="67"/>
      <c r="U177" s="91"/>
      <c r="V177" s="67"/>
      <c r="W177" s="67"/>
      <c r="X177" s="67"/>
      <c r="Y177" s="67"/>
      <c r="Z177" s="67"/>
      <c r="AA177" s="393">
        <f ca="1">+'Capex_FO input'!CP177</f>
        <v>0</v>
      </c>
      <c r="AB177" s="394">
        <f ca="1">+'Capex_FO input'!CQ177</f>
        <v>0</v>
      </c>
      <c r="AC177" s="394">
        <f ca="1">+'Capex_FO input'!CR177</f>
        <v>0</v>
      </c>
      <c r="AD177" s="394">
        <f ca="1">+'Capex_FO input'!CS177</f>
        <v>0</v>
      </c>
      <c r="AE177" s="1279">
        <f ca="1">+'Capex_FO input'!CT177</f>
        <v>0</v>
      </c>
      <c r="AF177" s="393">
        <f ca="1">+'Capex_FO input'!CU177</f>
        <v>0</v>
      </c>
      <c r="AG177" s="394">
        <f ca="1">+'Capex_FO input'!CV177</f>
        <v>0</v>
      </c>
      <c r="AH177" s="394">
        <f ca="1">+'Capex_FO input'!CW177</f>
        <v>0</v>
      </c>
      <c r="AI177" s="394">
        <f ca="1">+'Capex_FO input'!CX177</f>
        <v>0</v>
      </c>
      <c r="AJ177" s="395">
        <f ca="1">+'Capex_FO input'!CY177</f>
        <v>0</v>
      </c>
    </row>
    <row r="178" spans="3:36" ht="11.25" customHeight="1">
      <c r="C178" s="78">
        <f t="shared" si="20"/>
        <v>132</v>
      </c>
      <c r="D178" s="1984" t="str">
        <f>+'Capex_FO input'!C178</f>
        <v>SaaS (Capitalised Opex) - AKT</v>
      </c>
      <c r="E178" s="1985"/>
      <c r="F178" s="1985"/>
      <c r="G178" s="1985"/>
      <c r="H178" s="1986"/>
      <c r="I178" s="643">
        <f>+'Capex_FO input'!N178</f>
        <v>0</v>
      </c>
      <c r="J178" s="67"/>
      <c r="K178" s="67"/>
      <c r="L178" s="67"/>
      <c r="M178" s="67"/>
      <c r="N178" s="138"/>
      <c r="O178" s="67"/>
      <c r="P178" s="67"/>
      <c r="Q178" s="67"/>
      <c r="R178" s="91"/>
      <c r="S178" s="138"/>
      <c r="T178" s="67"/>
      <c r="U178" s="91"/>
      <c r="V178" s="67"/>
      <c r="W178" s="67"/>
      <c r="X178" s="67"/>
      <c r="Y178" s="67"/>
      <c r="Z178" s="67"/>
      <c r="AA178" s="393">
        <f ca="1">+'Capex_FO input'!CP178</f>
        <v>0</v>
      </c>
      <c r="AB178" s="394">
        <f ca="1">+'Capex_FO input'!CQ178</f>
        <v>0</v>
      </c>
      <c r="AC178" s="394">
        <f ca="1">+'Capex_FO input'!CR178</f>
        <v>0</v>
      </c>
      <c r="AD178" s="394">
        <f ca="1">+'Capex_FO input'!CS178</f>
        <v>0</v>
      </c>
      <c r="AE178" s="1279">
        <f ca="1">+'Capex_FO input'!CT178</f>
        <v>0</v>
      </c>
      <c r="AF178" s="393">
        <f ca="1">+'Capex_FO input'!CU178</f>
        <v>0</v>
      </c>
      <c r="AG178" s="394">
        <f ca="1">+'Capex_FO input'!CV178</f>
        <v>0</v>
      </c>
      <c r="AH178" s="394">
        <f ca="1">+'Capex_FO input'!CW178</f>
        <v>0</v>
      </c>
      <c r="AI178" s="394">
        <f ca="1">+'Capex_FO input'!CX178</f>
        <v>0</v>
      </c>
      <c r="AJ178" s="395">
        <f ca="1">+'Capex_FO input'!CY178</f>
        <v>0</v>
      </c>
    </row>
    <row r="179" spans="3:36" ht="11.25" customHeight="1">
      <c r="C179" s="78">
        <f t="shared" si="20"/>
        <v>133</v>
      </c>
      <c r="D179" s="1984" t="str">
        <f>+'Capex_FO input'!C179</f>
        <v>SaaS (Capitalised Opex) - AKT</v>
      </c>
      <c r="E179" s="1985"/>
      <c r="F179" s="1985"/>
      <c r="G179" s="1985"/>
      <c r="H179" s="1986"/>
      <c r="I179" s="643">
        <f>+'Capex_FO input'!N179</f>
        <v>0</v>
      </c>
      <c r="J179" s="67"/>
      <c r="K179" s="67"/>
      <c r="L179" s="67"/>
      <c r="M179" s="67"/>
      <c r="N179" s="138"/>
      <c r="O179" s="67"/>
      <c r="P179" s="67"/>
      <c r="Q179" s="67"/>
      <c r="R179" s="91"/>
      <c r="S179" s="138"/>
      <c r="T179" s="67"/>
      <c r="U179" s="91"/>
      <c r="V179" s="67"/>
      <c r="W179" s="67"/>
      <c r="X179" s="67"/>
      <c r="Y179" s="67"/>
      <c r="Z179" s="67"/>
      <c r="AA179" s="393">
        <f ca="1">+'Capex_FO input'!CP179</f>
        <v>0</v>
      </c>
      <c r="AB179" s="394">
        <f ca="1">+'Capex_FO input'!CQ179</f>
        <v>0</v>
      </c>
      <c r="AC179" s="394">
        <f ca="1">+'Capex_FO input'!CR179</f>
        <v>0</v>
      </c>
      <c r="AD179" s="394">
        <f ca="1">+'Capex_FO input'!CS179</f>
        <v>0</v>
      </c>
      <c r="AE179" s="1279">
        <f ca="1">+'Capex_FO input'!CT179</f>
        <v>0</v>
      </c>
      <c r="AF179" s="393">
        <f ca="1">+'Capex_FO input'!CU179</f>
        <v>0</v>
      </c>
      <c r="AG179" s="394">
        <f ca="1">+'Capex_FO input'!CV179</f>
        <v>0</v>
      </c>
      <c r="AH179" s="394">
        <f ca="1">+'Capex_FO input'!CW179</f>
        <v>0</v>
      </c>
      <c r="AI179" s="394">
        <f ca="1">+'Capex_FO input'!CX179</f>
        <v>0</v>
      </c>
      <c r="AJ179" s="395">
        <f ca="1">+'Capex_FO input'!CY179</f>
        <v>0</v>
      </c>
    </row>
    <row r="180" spans="3:36" ht="11.25" customHeight="1">
      <c r="C180" s="78">
        <f t="shared" si="20"/>
        <v>134</v>
      </c>
      <c r="D180" s="1984" t="str">
        <f>+'Capex_FO input'!C180</f>
        <v>Descumming - 55E (Capitalied Opex)</v>
      </c>
      <c r="E180" s="1985"/>
      <c r="F180" s="1985"/>
      <c r="G180" s="1985"/>
      <c r="H180" s="1986"/>
      <c r="I180" s="643">
        <f>+'Capex_FO input'!N180</f>
        <v>0</v>
      </c>
      <c r="J180" s="67"/>
      <c r="K180" s="67"/>
      <c r="L180" s="67"/>
      <c r="M180" s="67"/>
      <c r="N180" s="138"/>
      <c r="O180" s="67"/>
      <c r="P180" s="67"/>
      <c r="Q180" s="67"/>
      <c r="R180" s="91"/>
      <c r="S180" s="138"/>
      <c r="T180" s="67"/>
      <c r="U180" s="91"/>
      <c r="V180" s="67"/>
      <c r="W180" s="67"/>
      <c r="X180" s="67"/>
      <c r="Y180" s="67"/>
      <c r="Z180" s="67"/>
      <c r="AA180" s="393">
        <f ca="1">+'Capex_FO input'!CP180</f>
        <v>0</v>
      </c>
      <c r="AB180" s="394">
        <f ca="1">+'Capex_FO input'!CQ180</f>
        <v>0</v>
      </c>
      <c r="AC180" s="394">
        <f ca="1">+'Capex_FO input'!CR180</f>
        <v>0</v>
      </c>
      <c r="AD180" s="394">
        <f ca="1">+'Capex_FO input'!CS180</f>
        <v>0</v>
      </c>
      <c r="AE180" s="1279">
        <f ca="1">+'Capex_FO input'!CT180</f>
        <v>0</v>
      </c>
      <c r="AF180" s="393">
        <f ca="1">+'Capex_FO input'!CU180</f>
        <v>0</v>
      </c>
      <c r="AG180" s="394">
        <f ca="1">+'Capex_FO input'!CV180</f>
        <v>0</v>
      </c>
      <c r="AH180" s="394">
        <f ca="1">+'Capex_FO input'!CW180</f>
        <v>0</v>
      </c>
      <c r="AI180" s="394">
        <f ca="1">+'Capex_FO input'!CX180</f>
        <v>0</v>
      </c>
      <c r="AJ180" s="395">
        <f ca="1">+'Capex_FO input'!CY180</f>
        <v>0</v>
      </c>
    </row>
    <row r="181" spans="3:36" ht="11.25" customHeight="1">
      <c r="C181" s="78">
        <f t="shared" si="20"/>
        <v>135</v>
      </c>
      <c r="D181" s="1984" t="str">
        <f>+'Capex_FO input'!C181</f>
        <v>Desludging - low (Capitalised Opex)</v>
      </c>
      <c r="E181" s="1985"/>
      <c r="F181" s="1985"/>
      <c r="G181" s="1985"/>
      <c r="H181" s="1986"/>
      <c r="I181" s="643">
        <f>+'Capex_FO input'!N181</f>
        <v>0</v>
      </c>
      <c r="J181" s="67"/>
      <c r="K181" s="67"/>
      <c r="L181" s="67"/>
      <c r="M181" s="67"/>
      <c r="N181" s="138"/>
      <c r="O181" s="67"/>
      <c r="P181" s="67"/>
      <c r="Q181" s="67"/>
      <c r="R181" s="91"/>
      <c r="S181" s="138"/>
      <c r="T181" s="67"/>
      <c r="U181" s="91"/>
      <c r="V181" s="67"/>
      <c r="W181" s="67"/>
      <c r="X181" s="67"/>
      <c r="Y181" s="67"/>
      <c r="Z181" s="67"/>
      <c r="AA181" s="393">
        <f ca="1">+'Capex_FO input'!CP181</f>
        <v>0</v>
      </c>
      <c r="AB181" s="394">
        <f ca="1">+'Capex_FO input'!CQ181</f>
        <v>0</v>
      </c>
      <c r="AC181" s="394">
        <f ca="1">+'Capex_FO input'!CR181</f>
        <v>0</v>
      </c>
      <c r="AD181" s="394">
        <f ca="1">+'Capex_FO input'!CS181</f>
        <v>0</v>
      </c>
      <c r="AE181" s="1279">
        <f ca="1">+'Capex_FO input'!CT181</f>
        <v>0</v>
      </c>
      <c r="AF181" s="393">
        <f ca="1">+'Capex_FO input'!CU181</f>
        <v>0</v>
      </c>
      <c r="AG181" s="394">
        <f ca="1">+'Capex_FO input'!CV181</f>
        <v>0</v>
      </c>
      <c r="AH181" s="394">
        <f ca="1">+'Capex_FO input'!CW181</f>
        <v>0</v>
      </c>
      <c r="AI181" s="394">
        <f ca="1">+'Capex_FO input'!CX181</f>
        <v>0</v>
      </c>
      <c r="AJ181" s="395">
        <f ca="1">+'Capex_FO input'!CY181</f>
        <v>0</v>
      </c>
    </row>
    <row r="182" spans="3:36" ht="11.25" customHeight="1">
      <c r="C182" s="78">
        <f t="shared" si="20"/>
        <v>136</v>
      </c>
      <c r="D182" s="1984" t="str">
        <f>+'Capex_FO input'!C182</f>
        <v>Waterways &amp; Drainage Developer Contributions Revenue</v>
      </c>
      <c r="E182" s="1985"/>
      <c r="F182" s="1985"/>
      <c r="G182" s="1985"/>
      <c r="H182" s="1986"/>
      <c r="I182" s="643">
        <f>+'Capex_FO input'!N182</f>
        <v>0</v>
      </c>
      <c r="J182" s="67"/>
      <c r="K182" s="67"/>
      <c r="L182" s="67"/>
      <c r="M182" s="67"/>
      <c r="N182" s="138"/>
      <c r="O182" s="67"/>
      <c r="P182" s="67"/>
      <c r="Q182" s="67"/>
      <c r="R182" s="91"/>
      <c r="S182" s="138"/>
      <c r="T182" s="67"/>
      <c r="U182" s="91"/>
      <c r="V182" s="67"/>
      <c r="W182" s="67"/>
      <c r="X182" s="67"/>
      <c r="Y182" s="67"/>
      <c r="Z182" s="67"/>
      <c r="AA182" s="393">
        <f ca="1">+'Capex_FO input'!CP182</f>
        <v>0</v>
      </c>
      <c r="AB182" s="394">
        <f ca="1">+'Capex_FO input'!CQ182</f>
        <v>0</v>
      </c>
      <c r="AC182" s="394">
        <f ca="1">+'Capex_FO input'!CR182</f>
        <v>0</v>
      </c>
      <c r="AD182" s="394">
        <f ca="1">+'Capex_FO input'!CS182</f>
        <v>0</v>
      </c>
      <c r="AE182" s="1279">
        <f ca="1">+'Capex_FO input'!CT182</f>
        <v>0</v>
      </c>
      <c r="AF182" s="393">
        <f ca="1">+'Capex_FO input'!CU182</f>
        <v>0</v>
      </c>
      <c r="AG182" s="394">
        <f ca="1">+'Capex_FO input'!CV182</f>
        <v>0</v>
      </c>
      <c r="AH182" s="394">
        <f ca="1">+'Capex_FO input'!CW182</f>
        <v>0</v>
      </c>
      <c r="AI182" s="394">
        <f ca="1">+'Capex_FO input'!CX182</f>
        <v>0</v>
      </c>
      <c r="AJ182" s="395">
        <f ca="1">+'Capex_FO input'!CY182</f>
        <v>0</v>
      </c>
    </row>
    <row r="183" spans="3:36" ht="11.25" customHeight="1">
      <c r="C183" s="78">
        <f t="shared" si="20"/>
        <v>137</v>
      </c>
      <c r="D183" s="1984" t="str">
        <f>+'Capex_FO input'!C183</f>
        <v>Stormwater Quality Contributions</v>
      </c>
      <c r="E183" s="1985"/>
      <c r="F183" s="1985"/>
      <c r="G183" s="1985"/>
      <c r="H183" s="1986"/>
      <c r="I183" s="643">
        <f>+'Capex_FO input'!N183</f>
        <v>0</v>
      </c>
      <c r="J183" s="67"/>
      <c r="K183" s="67"/>
      <c r="L183" s="67"/>
      <c r="M183" s="67"/>
      <c r="N183" s="138"/>
      <c r="O183" s="67"/>
      <c r="P183" s="67"/>
      <c r="Q183" s="67"/>
      <c r="R183" s="91"/>
      <c r="S183" s="138"/>
      <c r="T183" s="67"/>
      <c r="U183" s="91"/>
      <c r="V183" s="67"/>
      <c r="W183" s="67"/>
      <c r="X183" s="67"/>
      <c r="Y183" s="67"/>
      <c r="Z183" s="67"/>
      <c r="AA183" s="393">
        <f ca="1">+'Capex_FO input'!CP183</f>
        <v>0</v>
      </c>
      <c r="AB183" s="394">
        <f ca="1">+'Capex_FO input'!CQ183</f>
        <v>0</v>
      </c>
      <c r="AC183" s="394">
        <f ca="1">+'Capex_FO input'!CR183</f>
        <v>0</v>
      </c>
      <c r="AD183" s="394">
        <f ca="1">+'Capex_FO input'!CS183</f>
        <v>0</v>
      </c>
      <c r="AE183" s="1279">
        <f ca="1">+'Capex_FO input'!CT183</f>
        <v>0</v>
      </c>
      <c r="AF183" s="393">
        <f ca="1">+'Capex_FO input'!CU183</f>
        <v>0</v>
      </c>
      <c r="AG183" s="394">
        <f ca="1">+'Capex_FO input'!CV183</f>
        <v>0</v>
      </c>
      <c r="AH183" s="394">
        <f ca="1">+'Capex_FO input'!CW183</f>
        <v>0</v>
      </c>
      <c r="AI183" s="394">
        <f ca="1">+'Capex_FO input'!CX183</f>
        <v>0</v>
      </c>
      <c r="AJ183" s="395">
        <f ca="1">+'Capex_FO input'!CY183</f>
        <v>0</v>
      </c>
    </row>
    <row r="184" spans="3:36" ht="11.25" customHeight="1">
      <c r="C184" s="78">
        <f t="shared" si="20"/>
        <v>138</v>
      </c>
      <c r="D184" s="1984">
        <f>+'Capex_FO input'!C184</f>
        <v>0</v>
      </c>
      <c r="E184" s="1985"/>
      <c r="F184" s="1985"/>
      <c r="G184" s="1985"/>
      <c r="H184" s="1986"/>
      <c r="I184" s="643">
        <f>+'Capex_FO input'!N184</f>
        <v>0</v>
      </c>
      <c r="J184" s="67"/>
      <c r="K184" s="67"/>
      <c r="L184" s="67"/>
      <c r="M184" s="67"/>
      <c r="N184" s="138"/>
      <c r="O184" s="67"/>
      <c r="P184" s="67"/>
      <c r="Q184" s="67"/>
      <c r="R184" s="91"/>
      <c r="S184" s="138"/>
      <c r="T184" s="67"/>
      <c r="U184" s="91"/>
      <c r="V184" s="67"/>
      <c r="W184" s="67"/>
      <c r="X184" s="67"/>
      <c r="Y184" s="67"/>
      <c r="Z184" s="67"/>
      <c r="AA184" s="393">
        <f ca="1">+'Capex_FO input'!CP184</f>
        <v>0</v>
      </c>
      <c r="AB184" s="394">
        <f ca="1">+'Capex_FO input'!CQ184</f>
        <v>0</v>
      </c>
      <c r="AC184" s="394">
        <f ca="1">+'Capex_FO input'!CR184</f>
        <v>0</v>
      </c>
      <c r="AD184" s="394">
        <f ca="1">+'Capex_FO input'!CS184</f>
        <v>0</v>
      </c>
      <c r="AE184" s="1279">
        <f ca="1">+'Capex_FO input'!CT184</f>
        <v>0</v>
      </c>
      <c r="AF184" s="393">
        <f ca="1">+'Capex_FO input'!CU184</f>
        <v>0</v>
      </c>
      <c r="AG184" s="394">
        <f ca="1">+'Capex_FO input'!CV184</f>
        <v>0</v>
      </c>
      <c r="AH184" s="394">
        <f ca="1">+'Capex_FO input'!CW184</f>
        <v>0</v>
      </c>
      <c r="AI184" s="394">
        <f ca="1">+'Capex_FO input'!CX184</f>
        <v>0</v>
      </c>
      <c r="AJ184" s="395">
        <f ca="1">+'Capex_FO input'!CY184</f>
        <v>0</v>
      </c>
    </row>
    <row r="185" spans="3:36" ht="11.25" customHeight="1">
      <c r="C185" s="78">
        <f t="shared" si="20"/>
        <v>139</v>
      </c>
      <c r="D185" s="1984">
        <f>+'Capex_FO input'!C185</f>
        <v>0</v>
      </c>
      <c r="E185" s="1985"/>
      <c r="F185" s="1985"/>
      <c r="G185" s="1985"/>
      <c r="H185" s="1986"/>
      <c r="I185" s="643">
        <f>+'Capex_FO input'!N185</f>
        <v>0</v>
      </c>
      <c r="J185" s="67"/>
      <c r="K185" s="67"/>
      <c r="L185" s="67"/>
      <c r="M185" s="67"/>
      <c r="N185" s="138"/>
      <c r="O185" s="67"/>
      <c r="P185" s="67"/>
      <c r="Q185" s="67"/>
      <c r="R185" s="91"/>
      <c r="S185" s="138"/>
      <c r="T185" s="67"/>
      <c r="U185" s="91"/>
      <c r="V185" s="67"/>
      <c r="W185" s="67"/>
      <c r="X185" s="67"/>
      <c r="Y185" s="67"/>
      <c r="Z185" s="67"/>
      <c r="AA185" s="393">
        <f ca="1">+'Capex_FO input'!CP185</f>
        <v>0</v>
      </c>
      <c r="AB185" s="394">
        <f ca="1">+'Capex_FO input'!CQ185</f>
        <v>0</v>
      </c>
      <c r="AC185" s="394">
        <f ca="1">+'Capex_FO input'!CR185</f>
        <v>0</v>
      </c>
      <c r="AD185" s="394">
        <f ca="1">+'Capex_FO input'!CS185</f>
        <v>0</v>
      </c>
      <c r="AE185" s="1279">
        <f ca="1">+'Capex_FO input'!CT185</f>
        <v>0</v>
      </c>
      <c r="AF185" s="393">
        <f ca="1">+'Capex_FO input'!CU185</f>
        <v>0</v>
      </c>
      <c r="AG185" s="394">
        <f ca="1">+'Capex_FO input'!CV185</f>
        <v>0</v>
      </c>
      <c r="AH185" s="394">
        <f ca="1">+'Capex_FO input'!CW185</f>
        <v>0</v>
      </c>
      <c r="AI185" s="394">
        <f ca="1">+'Capex_FO input'!CX185</f>
        <v>0</v>
      </c>
      <c r="AJ185" s="395">
        <f ca="1">+'Capex_FO input'!CY185</f>
        <v>0</v>
      </c>
    </row>
    <row r="186" spans="3:36" ht="11.25" customHeight="1">
      <c r="C186" s="78">
        <f t="shared" si="20"/>
        <v>140</v>
      </c>
      <c r="D186" s="1984">
        <f>+'Capex_FO input'!C186</f>
        <v>0</v>
      </c>
      <c r="E186" s="1985"/>
      <c r="F186" s="1985"/>
      <c r="G186" s="1985"/>
      <c r="H186" s="1986"/>
      <c r="I186" s="643">
        <f>+'Capex_FO input'!N186</f>
        <v>0</v>
      </c>
      <c r="J186" s="67"/>
      <c r="K186" s="67"/>
      <c r="L186" s="67"/>
      <c r="M186" s="67"/>
      <c r="N186" s="138"/>
      <c r="O186" s="67"/>
      <c r="P186" s="67"/>
      <c r="Q186" s="67"/>
      <c r="R186" s="91"/>
      <c r="S186" s="138"/>
      <c r="T186" s="67"/>
      <c r="U186" s="91"/>
      <c r="V186" s="67"/>
      <c r="W186" s="67"/>
      <c r="X186" s="67"/>
      <c r="Y186" s="67"/>
      <c r="Z186" s="67"/>
      <c r="AA186" s="393">
        <f ca="1">+'Capex_FO input'!CP186</f>
        <v>0</v>
      </c>
      <c r="AB186" s="394">
        <f ca="1">+'Capex_FO input'!CQ186</f>
        <v>0</v>
      </c>
      <c r="AC186" s="394">
        <f ca="1">+'Capex_FO input'!CR186</f>
        <v>0</v>
      </c>
      <c r="AD186" s="394">
        <f ca="1">+'Capex_FO input'!CS186</f>
        <v>0</v>
      </c>
      <c r="AE186" s="1279">
        <f ca="1">+'Capex_FO input'!CT186</f>
        <v>0</v>
      </c>
      <c r="AF186" s="393">
        <f ca="1">+'Capex_FO input'!CU186</f>
        <v>0</v>
      </c>
      <c r="AG186" s="394">
        <f ca="1">+'Capex_FO input'!CV186</f>
        <v>0</v>
      </c>
      <c r="AH186" s="394">
        <f ca="1">+'Capex_FO input'!CW186</f>
        <v>0</v>
      </c>
      <c r="AI186" s="394">
        <f ca="1">+'Capex_FO input'!CX186</f>
        <v>0</v>
      </c>
      <c r="AJ186" s="395">
        <f ca="1">+'Capex_FO input'!CY186</f>
        <v>0</v>
      </c>
    </row>
    <row r="187" spans="3:36" ht="11.25" customHeight="1">
      <c r="C187" s="78">
        <f t="shared" si="20"/>
        <v>141</v>
      </c>
      <c r="D187" s="1984">
        <f>+'Capex_FO input'!C187</f>
        <v>0</v>
      </c>
      <c r="E187" s="1985"/>
      <c r="F187" s="1985"/>
      <c r="G187" s="1985"/>
      <c r="H187" s="1986"/>
      <c r="I187" s="643">
        <f>+'Capex_FO input'!N187</f>
        <v>0</v>
      </c>
      <c r="J187" s="67"/>
      <c r="K187" s="67"/>
      <c r="L187" s="67"/>
      <c r="M187" s="67"/>
      <c r="N187" s="138"/>
      <c r="O187" s="67"/>
      <c r="P187" s="67"/>
      <c r="Q187" s="67"/>
      <c r="R187" s="91"/>
      <c r="S187" s="138"/>
      <c r="T187" s="67"/>
      <c r="U187" s="91"/>
      <c r="V187" s="67"/>
      <c r="W187" s="67"/>
      <c r="X187" s="67"/>
      <c r="Y187" s="67"/>
      <c r="Z187" s="67"/>
      <c r="AA187" s="393">
        <f ca="1">+'Capex_FO input'!CP187</f>
        <v>0</v>
      </c>
      <c r="AB187" s="394">
        <f ca="1">+'Capex_FO input'!CQ187</f>
        <v>0</v>
      </c>
      <c r="AC187" s="394">
        <f ca="1">+'Capex_FO input'!CR187</f>
        <v>0</v>
      </c>
      <c r="AD187" s="394">
        <f ca="1">+'Capex_FO input'!CS187</f>
        <v>0</v>
      </c>
      <c r="AE187" s="1279">
        <f ca="1">+'Capex_FO input'!CT187</f>
        <v>0</v>
      </c>
      <c r="AF187" s="393">
        <f ca="1">+'Capex_FO input'!CU187</f>
        <v>0</v>
      </c>
      <c r="AG187" s="394">
        <f ca="1">+'Capex_FO input'!CV187</f>
        <v>0</v>
      </c>
      <c r="AH187" s="394">
        <f ca="1">+'Capex_FO input'!CW187</f>
        <v>0</v>
      </c>
      <c r="AI187" s="394">
        <f ca="1">+'Capex_FO input'!CX187</f>
        <v>0</v>
      </c>
      <c r="AJ187" s="395">
        <f ca="1">+'Capex_FO input'!CY187</f>
        <v>0</v>
      </c>
    </row>
    <row r="188" spans="3:36" ht="11.25" customHeight="1">
      <c r="C188" s="78">
        <f t="shared" si="20"/>
        <v>142</v>
      </c>
      <c r="D188" s="1984">
        <f>+'Capex_FO input'!C188</f>
        <v>0</v>
      </c>
      <c r="E188" s="1985"/>
      <c r="F188" s="1985"/>
      <c r="G188" s="1985"/>
      <c r="H188" s="1986"/>
      <c r="I188" s="643">
        <f>+'Capex_FO input'!N188</f>
        <v>0</v>
      </c>
      <c r="J188" s="67"/>
      <c r="K188" s="67"/>
      <c r="L188" s="67"/>
      <c r="M188" s="67"/>
      <c r="N188" s="138"/>
      <c r="O188" s="67"/>
      <c r="P188" s="67"/>
      <c r="Q188" s="67"/>
      <c r="R188" s="91"/>
      <c r="S188" s="138"/>
      <c r="T188" s="67"/>
      <c r="U188" s="91"/>
      <c r="V188" s="67"/>
      <c r="W188" s="67"/>
      <c r="X188" s="67"/>
      <c r="Y188" s="67"/>
      <c r="Z188" s="67"/>
      <c r="AA188" s="393">
        <f ca="1">+'Capex_FO input'!CP188</f>
        <v>0</v>
      </c>
      <c r="AB188" s="394">
        <f ca="1">+'Capex_FO input'!CQ188</f>
        <v>0</v>
      </c>
      <c r="AC188" s="394">
        <f ca="1">+'Capex_FO input'!CR188</f>
        <v>0</v>
      </c>
      <c r="AD188" s="394">
        <f ca="1">+'Capex_FO input'!CS188</f>
        <v>0</v>
      </c>
      <c r="AE188" s="1279">
        <f ca="1">+'Capex_FO input'!CT188</f>
        <v>0</v>
      </c>
      <c r="AF188" s="393">
        <f ca="1">+'Capex_FO input'!CU188</f>
        <v>0</v>
      </c>
      <c r="AG188" s="394">
        <f ca="1">+'Capex_FO input'!CV188</f>
        <v>0</v>
      </c>
      <c r="AH188" s="394">
        <f ca="1">+'Capex_FO input'!CW188</f>
        <v>0</v>
      </c>
      <c r="AI188" s="394">
        <f ca="1">+'Capex_FO input'!CX188</f>
        <v>0</v>
      </c>
      <c r="AJ188" s="395">
        <f ca="1">+'Capex_FO input'!CY188</f>
        <v>0</v>
      </c>
    </row>
    <row r="189" spans="3:36" ht="11.25" customHeight="1">
      <c r="C189" s="78">
        <f t="shared" si="20"/>
        <v>143</v>
      </c>
      <c r="D189" s="1984">
        <f>+'Capex_FO input'!C189</f>
        <v>0</v>
      </c>
      <c r="E189" s="1985"/>
      <c r="F189" s="1985"/>
      <c r="G189" s="1985"/>
      <c r="H189" s="1986"/>
      <c r="I189" s="643">
        <f>+'Capex_FO input'!N189</f>
        <v>0</v>
      </c>
      <c r="J189" s="67"/>
      <c r="K189" s="67"/>
      <c r="L189" s="67"/>
      <c r="M189" s="67"/>
      <c r="N189" s="138"/>
      <c r="O189" s="67"/>
      <c r="P189" s="67"/>
      <c r="Q189" s="67"/>
      <c r="R189" s="91"/>
      <c r="S189" s="138"/>
      <c r="T189" s="67"/>
      <c r="U189" s="91"/>
      <c r="V189" s="67"/>
      <c r="W189" s="67"/>
      <c r="X189" s="67"/>
      <c r="Y189" s="67"/>
      <c r="Z189" s="67"/>
      <c r="AA189" s="393">
        <f ca="1">+'Capex_FO input'!CP189</f>
        <v>0</v>
      </c>
      <c r="AB189" s="394">
        <f ca="1">+'Capex_FO input'!CQ189</f>
        <v>0</v>
      </c>
      <c r="AC189" s="394">
        <f ca="1">+'Capex_FO input'!CR189</f>
        <v>0</v>
      </c>
      <c r="AD189" s="394">
        <f ca="1">+'Capex_FO input'!CS189</f>
        <v>0</v>
      </c>
      <c r="AE189" s="1279">
        <f ca="1">+'Capex_FO input'!CT189</f>
        <v>0</v>
      </c>
      <c r="AF189" s="393">
        <f ca="1">+'Capex_FO input'!CU189</f>
        <v>0</v>
      </c>
      <c r="AG189" s="394">
        <f ca="1">+'Capex_FO input'!CV189</f>
        <v>0</v>
      </c>
      <c r="AH189" s="394">
        <f ca="1">+'Capex_FO input'!CW189</f>
        <v>0</v>
      </c>
      <c r="AI189" s="394">
        <f ca="1">+'Capex_FO input'!CX189</f>
        <v>0</v>
      </c>
      <c r="AJ189" s="395">
        <f ca="1">+'Capex_FO input'!CY189</f>
        <v>0</v>
      </c>
    </row>
    <row r="190" spans="3:36" ht="11.25" customHeight="1">
      <c r="C190" s="78">
        <f t="shared" si="20"/>
        <v>144</v>
      </c>
      <c r="D190" s="1984">
        <f>+'Capex_FO input'!C190</f>
        <v>0</v>
      </c>
      <c r="E190" s="1985"/>
      <c r="F190" s="1985"/>
      <c r="G190" s="1985"/>
      <c r="H190" s="1986"/>
      <c r="I190" s="643">
        <f>+'Capex_FO input'!N190</f>
        <v>0</v>
      </c>
      <c r="J190" s="67"/>
      <c r="K190" s="67"/>
      <c r="L190" s="67"/>
      <c r="M190" s="67"/>
      <c r="N190" s="138"/>
      <c r="O190" s="67"/>
      <c r="P190" s="67"/>
      <c r="Q190" s="67"/>
      <c r="R190" s="91"/>
      <c r="S190" s="138"/>
      <c r="T190" s="67"/>
      <c r="U190" s="91"/>
      <c r="V190" s="67"/>
      <c r="W190" s="67"/>
      <c r="X190" s="67"/>
      <c r="Y190" s="67"/>
      <c r="Z190" s="67"/>
      <c r="AA190" s="393">
        <f ca="1">+'Capex_FO input'!CP190</f>
        <v>0</v>
      </c>
      <c r="AB190" s="394">
        <f ca="1">+'Capex_FO input'!CQ190</f>
        <v>0</v>
      </c>
      <c r="AC190" s="394">
        <f ca="1">+'Capex_FO input'!CR190</f>
        <v>0</v>
      </c>
      <c r="AD190" s="394">
        <f ca="1">+'Capex_FO input'!CS190</f>
        <v>0</v>
      </c>
      <c r="AE190" s="1279">
        <f ca="1">+'Capex_FO input'!CT190</f>
        <v>0</v>
      </c>
      <c r="AF190" s="393">
        <f ca="1">+'Capex_FO input'!CU190</f>
        <v>0</v>
      </c>
      <c r="AG190" s="394">
        <f ca="1">+'Capex_FO input'!CV190</f>
        <v>0</v>
      </c>
      <c r="AH190" s="394">
        <f ca="1">+'Capex_FO input'!CW190</f>
        <v>0</v>
      </c>
      <c r="AI190" s="394">
        <f ca="1">+'Capex_FO input'!CX190</f>
        <v>0</v>
      </c>
      <c r="AJ190" s="395">
        <f ca="1">+'Capex_FO input'!CY190</f>
        <v>0</v>
      </c>
    </row>
    <row r="191" spans="3:36" ht="11.25" customHeight="1">
      <c r="C191" s="78">
        <f t="shared" si="20"/>
        <v>145</v>
      </c>
      <c r="D191" s="1984">
        <f>+'Capex_FO input'!C191</f>
        <v>0</v>
      </c>
      <c r="E191" s="1985"/>
      <c r="F191" s="1985"/>
      <c r="G191" s="1985"/>
      <c r="H191" s="1986"/>
      <c r="I191" s="643">
        <f>+'Capex_FO input'!N191</f>
        <v>0</v>
      </c>
      <c r="J191" s="67"/>
      <c r="K191" s="67"/>
      <c r="L191" s="67"/>
      <c r="M191" s="67"/>
      <c r="N191" s="138"/>
      <c r="O191" s="67"/>
      <c r="P191" s="67"/>
      <c r="Q191" s="67"/>
      <c r="R191" s="91"/>
      <c r="S191" s="138"/>
      <c r="T191" s="67"/>
      <c r="U191" s="91"/>
      <c r="V191" s="67"/>
      <c r="W191" s="67"/>
      <c r="X191" s="67"/>
      <c r="Y191" s="67"/>
      <c r="Z191" s="67"/>
      <c r="AA191" s="393">
        <f ca="1">+'Capex_FO input'!CP191</f>
        <v>0</v>
      </c>
      <c r="AB191" s="394">
        <f ca="1">+'Capex_FO input'!CQ191</f>
        <v>0</v>
      </c>
      <c r="AC191" s="394">
        <f ca="1">+'Capex_FO input'!CR191</f>
        <v>0</v>
      </c>
      <c r="AD191" s="394">
        <f ca="1">+'Capex_FO input'!CS191</f>
        <v>0</v>
      </c>
      <c r="AE191" s="1279">
        <f ca="1">+'Capex_FO input'!CT191</f>
        <v>0</v>
      </c>
      <c r="AF191" s="393">
        <f ca="1">+'Capex_FO input'!CU191</f>
        <v>0</v>
      </c>
      <c r="AG191" s="394">
        <f ca="1">+'Capex_FO input'!CV191</f>
        <v>0</v>
      </c>
      <c r="AH191" s="394">
        <f ca="1">+'Capex_FO input'!CW191</f>
        <v>0</v>
      </c>
      <c r="AI191" s="394">
        <f ca="1">+'Capex_FO input'!CX191</f>
        <v>0</v>
      </c>
      <c r="AJ191" s="395">
        <f ca="1">+'Capex_FO input'!CY191</f>
        <v>0</v>
      </c>
    </row>
    <row r="192" spans="3:36" ht="11.25" customHeight="1">
      <c r="C192" s="78">
        <f t="shared" ref="C192:C255" si="21">C191+1</f>
        <v>146</v>
      </c>
      <c r="D192" s="1984">
        <f>+'Capex_FO input'!C192</f>
        <v>0</v>
      </c>
      <c r="E192" s="1985"/>
      <c r="F192" s="1985"/>
      <c r="G192" s="1985"/>
      <c r="H192" s="1986"/>
      <c r="I192" s="643">
        <f>+'Capex_FO input'!N192</f>
        <v>0</v>
      </c>
      <c r="J192" s="67"/>
      <c r="K192" s="67"/>
      <c r="L192" s="67"/>
      <c r="M192" s="67"/>
      <c r="N192" s="138"/>
      <c r="O192" s="67"/>
      <c r="P192" s="67"/>
      <c r="Q192" s="67"/>
      <c r="R192" s="91"/>
      <c r="S192" s="138"/>
      <c r="T192" s="67"/>
      <c r="U192" s="91"/>
      <c r="V192" s="67"/>
      <c r="W192" s="67"/>
      <c r="X192" s="67"/>
      <c r="Y192" s="67"/>
      <c r="Z192" s="67"/>
      <c r="AA192" s="393">
        <f ca="1">+'Capex_FO input'!CP192</f>
        <v>0</v>
      </c>
      <c r="AB192" s="394">
        <f ca="1">+'Capex_FO input'!CQ192</f>
        <v>0</v>
      </c>
      <c r="AC192" s="394">
        <f ca="1">+'Capex_FO input'!CR192</f>
        <v>0</v>
      </c>
      <c r="AD192" s="394">
        <f ca="1">+'Capex_FO input'!CS192</f>
        <v>0</v>
      </c>
      <c r="AE192" s="1279">
        <f ca="1">+'Capex_FO input'!CT192</f>
        <v>0</v>
      </c>
      <c r="AF192" s="393">
        <f ca="1">+'Capex_FO input'!CU192</f>
        <v>0</v>
      </c>
      <c r="AG192" s="394">
        <f ca="1">+'Capex_FO input'!CV192</f>
        <v>0</v>
      </c>
      <c r="AH192" s="394">
        <f ca="1">+'Capex_FO input'!CW192</f>
        <v>0</v>
      </c>
      <c r="AI192" s="394">
        <f ca="1">+'Capex_FO input'!CX192</f>
        <v>0</v>
      </c>
      <c r="AJ192" s="395">
        <f ca="1">+'Capex_FO input'!CY192</f>
        <v>0</v>
      </c>
    </row>
    <row r="193" spans="3:36" ht="11.25" customHeight="1">
      <c r="C193" s="78">
        <f t="shared" si="21"/>
        <v>147</v>
      </c>
      <c r="D193" s="1984">
        <f>+'Capex_FO input'!C193</f>
        <v>0</v>
      </c>
      <c r="E193" s="1985"/>
      <c r="F193" s="1985"/>
      <c r="G193" s="1985"/>
      <c r="H193" s="1986"/>
      <c r="I193" s="643">
        <f>+'Capex_FO input'!N193</f>
        <v>0</v>
      </c>
      <c r="J193" s="67"/>
      <c r="K193" s="67"/>
      <c r="L193" s="67"/>
      <c r="M193" s="67"/>
      <c r="N193" s="138"/>
      <c r="O193" s="67"/>
      <c r="P193" s="67"/>
      <c r="Q193" s="67"/>
      <c r="R193" s="91"/>
      <c r="S193" s="138"/>
      <c r="T193" s="67"/>
      <c r="U193" s="91"/>
      <c r="V193" s="67"/>
      <c r="W193" s="67"/>
      <c r="X193" s="67"/>
      <c r="Y193" s="67"/>
      <c r="Z193" s="67"/>
      <c r="AA193" s="393">
        <f ca="1">+'Capex_FO input'!CP193</f>
        <v>0</v>
      </c>
      <c r="AB193" s="394">
        <f ca="1">+'Capex_FO input'!CQ193</f>
        <v>0</v>
      </c>
      <c r="AC193" s="394">
        <f ca="1">+'Capex_FO input'!CR193</f>
        <v>0</v>
      </c>
      <c r="AD193" s="394">
        <f ca="1">+'Capex_FO input'!CS193</f>
        <v>0</v>
      </c>
      <c r="AE193" s="1279">
        <f ca="1">+'Capex_FO input'!CT193</f>
        <v>0</v>
      </c>
      <c r="AF193" s="393">
        <f ca="1">+'Capex_FO input'!CU193</f>
        <v>0</v>
      </c>
      <c r="AG193" s="394">
        <f ca="1">+'Capex_FO input'!CV193</f>
        <v>0</v>
      </c>
      <c r="AH193" s="394">
        <f ca="1">+'Capex_FO input'!CW193</f>
        <v>0</v>
      </c>
      <c r="AI193" s="394">
        <f ca="1">+'Capex_FO input'!CX193</f>
        <v>0</v>
      </c>
      <c r="AJ193" s="395">
        <f ca="1">+'Capex_FO input'!CY193</f>
        <v>0</v>
      </c>
    </row>
    <row r="194" spans="3:36" ht="11.25" customHeight="1">
      <c r="C194" s="78">
        <f t="shared" si="21"/>
        <v>148</v>
      </c>
      <c r="D194" s="1984">
        <f>+'Capex_FO input'!C194</f>
        <v>0</v>
      </c>
      <c r="E194" s="1985"/>
      <c r="F194" s="1985"/>
      <c r="G194" s="1985"/>
      <c r="H194" s="1986"/>
      <c r="I194" s="643">
        <f>+'Capex_FO input'!N194</f>
        <v>0</v>
      </c>
      <c r="J194" s="67"/>
      <c r="K194" s="67"/>
      <c r="L194" s="67"/>
      <c r="M194" s="67"/>
      <c r="N194" s="138"/>
      <c r="O194" s="67"/>
      <c r="P194" s="67"/>
      <c r="Q194" s="67"/>
      <c r="R194" s="91"/>
      <c r="S194" s="138"/>
      <c r="T194" s="67"/>
      <c r="U194" s="91"/>
      <c r="V194" s="67"/>
      <c r="W194" s="67"/>
      <c r="X194" s="67"/>
      <c r="Y194" s="67"/>
      <c r="Z194" s="67"/>
      <c r="AA194" s="393">
        <f ca="1">+'Capex_FO input'!CP194</f>
        <v>0</v>
      </c>
      <c r="AB194" s="394">
        <f ca="1">+'Capex_FO input'!CQ194</f>
        <v>0</v>
      </c>
      <c r="AC194" s="394">
        <f ca="1">+'Capex_FO input'!CR194</f>
        <v>0</v>
      </c>
      <c r="AD194" s="394">
        <f ca="1">+'Capex_FO input'!CS194</f>
        <v>0</v>
      </c>
      <c r="AE194" s="1279">
        <f ca="1">+'Capex_FO input'!CT194</f>
        <v>0</v>
      </c>
      <c r="AF194" s="393">
        <f ca="1">+'Capex_FO input'!CU194</f>
        <v>0</v>
      </c>
      <c r="AG194" s="394">
        <f ca="1">+'Capex_FO input'!CV194</f>
        <v>0</v>
      </c>
      <c r="AH194" s="394">
        <f ca="1">+'Capex_FO input'!CW194</f>
        <v>0</v>
      </c>
      <c r="AI194" s="394">
        <f ca="1">+'Capex_FO input'!CX194</f>
        <v>0</v>
      </c>
      <c r="AJ194" s="395">
        <f ca="1">+'Capex_FO input'!CY194</f>
        <v>0</v>
      </c>
    </row>
    <row r="195" spans="3:36" ht="11.25" customHeight="1">
      <c r="C195" s="78">
        <f t="shared" si="21"/>
        <v>149</v>
      </c>
      <c r="D195" s="1984">
        <f>+'Capex_FO input'!C195</f>
        <v>0</v>
      </c>
      <c r="E195" s="1985"/>
      <c r="F195" s="1985"/>
      <c r="G195" s="1985"/>
      <c r="H195" s="1986"/>
      <c r="I195" s="643">
        <f>+'Capex_FO input'!N195</f>
        <v>0</v>
      </c>
      <c r="J195" s="67"/>
      <c r="K195" s="67"/>
      <c r="L195" s="67"/>
      <c r="M195" s="67"/>
      <c r="N195" s="138"/>
      <c r="O195" s="67"/>
      <c r="P195" s="67"/>
      <c r="Q195" s="67"/>
      <c r="R195" s="91"/>
      <c r="S195" s="138"/>
      <c r="T195" s="67"/>
      <c r="U195" s="91"/>
      <c r="V195" s="67"/>
      <c r="W195" s="67"/>
      <c r="X195" s="67"/>
      <c r="Y195" s="67"/>
      <c r="Z195" s="67"/>
      <c r="AA195" s="393">
        <f ca="1">+'Capex_FO input'!CP195</f>
        <v>0</v>
      </c>
      <c r="AB195" s="394">
        <f ca="1">+'Capex_FO input'!CQ195</f>
        <v>0</v>
      </c>
      <c r="AC195" s="394">
        <f ca="1">+'Capex_FO input'!CR195</f>
        <v>0</v>
      </c>
      <c r="AD195" s="394">
        <f ca="1">+'Capex_FO input'!CS195</f>
        <v>0</v>
      </c>
      <c r="AE195" s="1279">
        <f ca="1">+'Capex_FO input'!CT195</f>
        <v>0</v>
      </c>
      <c r="AF195" s="393">
        <f ca="1">+'Capex_FO input'!CU195</f>
        <v>0</v>
      </c>
      <c r="AG195" s="394">
        <f ca="1">+'Capex_FO input'!CV195</f>
        <v>0</v>
      </c>
      <c r="AH195" s="394">
        <f ca="1">+'Capex_FO input'!CW195</f>
        <v>0</v>
      </c>
      <c r="AI195" s="394">
        <f ca="1">+'Capex_FO input'!CX195</f>
        <v>0</v>
      </c>
      <c r="AJ195" s="395">
        <f ca="1">+'Capex_FO input'!CY195</f>
        <v>0</v>
      </c>
    </row>
    <row r="196" spans="3:36" ht="11.25" customHeight="1">
      <c r="C196" s="78">
        <f t="shared" si="21"/>
        <v>150</v>
      </c>
      <c r="D196" s="1984">
        <f>+'Capex_FO input'!C196</f>
        <v>0</v>
      </c>
      <c r="E196" s="1985"/>
      <c r="F196" s="1985"/>
      <c r="G196" s="1985"/>
      <c r="H196" s="1986"/>
      <c r="I196" s="643">
        <f>+'Capex_FO input'!N196</f>
        <v>0</v>
      </c>
      <c r="J196" s="67"/>
      <c r="K196" s="67"/>
      <c r="L196" s="67"/>
      <c r="M196" s="67"/>
      <c r="N196" s="138"/>
      <c r="O196" s="67"/>
      <c r="P196" s="67"/>
      <c r="Q196" s="67"/>
      <c r="R196" s="91"/>
      <c r="S196" s="138"/>
      <c r="T196" s="67"/>
      <c r="U196" s="91"/>
      <c r="V196" s="67"/>
      <c r="W196" s="67"/>
      <c r="X196" s="67"/>
      <c r="Y196" s="67"/>
      <c r="Z196" s="67"/>
      <c r="AA196" s="393">
        <f ca="1">+'Capex_FO input'!CP196</f>
        <v>0</v>
      </c>
      <c r="AB196" s="394">
        <f ca="1">+'Capex_FO input'!CQ196</f>
        <v>0</v>
      </c>
      <c r="AC196" s="394">
        <f ca="1">+'Capex_FO input'!CR196</f>
        <v>0</v>
      </c>
      <c r="AD196" s="394">
        <f ca="1">+'Capex_FO input'!CS196</f>
        <v>0</v>
      </c>
      <c r="AE196" s="1279">
        <f ca="1">+'Capex_FO input'!CT196</f>
        <v>0</v>
      </c>
      <c r="AF196" s="393">
        <f ca="1">+'Capex_FO input'!CU196</f>
        <v>0</v>
      </c>
      <c r="AG196" s="394">
        <f ca="1">+'Capex_FO input'!CV196</f>
        <v>0</v>
      </c>
      <c r="AH196" s="394">
        <f ca="1">+'Capex_FO input'!CW196</f>
        <v>0</v>
      </c>
      <c r="AI196" s="394">
        <f ca="1">+'Capex_FO input'!CX196</f>
        <v>0</v>
      </c>
      <c r="AJ196" s="395">
        <f ca="1">+'Capex_FO input'!CY196</f>
        <v>0</v>
      </c>
    </row>
    <row r="197" spans="3:36" ht="11.25" customHeight="1">
      <c r="C197" s="78">
        <f t="shared" si="21"/>
        <v>151</v>
      </c>
      <c r="D197" s="1984">
        <f>+'Capex_FO input'!C197</f>
        <v>0</v>
      </c>
      <c r="E197" s="1985"/>
      <c r="F197" s="1985"/>
      <c r="G197" s="1985"/>
      <c r="H197" s="1986"/>
      <c r="I197" s="643">
        <f>+'Capex_FO input'!N197</f>
        <v>0</v>
      </c>
      <c r="J197" s="67"/>
      <c r="K197" s="67"/>
      <c r="L197" s="67"/>
      <c r="M197" s="67"/>
      <c r="N197" s="138"/>
      <c r="O197" s="67"/>
      <c r="P197" s="67"/>
      <c r="Q197" s="67"/>
      <c r="R197" s="91"/>
      <c r="S197" s="138"/>
      <c r="T197" s="67"/>
      <c r="U197" s="91"/>
      <c r="V197" s="67"/>
      <c r="W197" s="67"/>
      <c r="X197" s="67"/>
      <c r="Y197" s="67"/>
      <c r="Z197" s="67"/>
      <c r="AA197" s="393">
        <f ca="1">+'Capex_FO input'!CP197</f>
        <v>0</v>
      </c>
      <c r="AB197" s="394">
        <f ca="1">+'Capex_FO input'!CQ197</f>
        <v>0</v>
      </c>
      <c r="AC197" s="394">
        <f ca="1">+'Capex_FO input'!CR197</f>
        <v>0</v>
      </c>
      <c r="AD197" s="394">
        <f ca="1">+'Capex_FO input'!CS197</f>
        <v>0</v>
      </c>
      <c r="AE197" s="1279">
        <f ca="1">+'Capex_FO input'!CT197</f>
        <v>0</v>
      </c>
      <c r="AF197" s="393">
        <f ca="1">+'Capex_FO input'!CU197</f>
        <v>0</v>
      </c>
      <c r="AG197" s="394">
        <f ca="1">+'Capex_FO input'!CV197</f>
        <v>0</v>
      </c>
      <c r="AH197" s="394">
        <f ca="1">+'Capex_FO input'!CW197</f>
        <v>0</v>
      </c>
      <c r="AI197" s="394">
        <f ca="1">+'Capex_FO input'!CX197</f>
        <v>0</v>
      </c>
      <c r="AJ197" s="395">
        <f ca="1">+'Capex_FO input'!CY197</f>
        <v>0</v>
      </c>
    </row>
    <row r="198" spans="3:36" ht="11.25" customHeight="1">
      <c r="C198" s="78">
        <f t="shared" si="21"/>
        <v>152</v>
      </c>
      <c r="D198" s="1984">
        <f>+'Capex_FO input'!C198</f>
        <v>0</v>
      </c>
      <c r="E198" s="1985"/>
      <c r="F198" s="1985"/>
      <c r="G198" s="1985"/>
      <c r="H198" s="1986"/>
      <c r="I198" s="643">
        <f>+'Capex_FO input'!N198</f>
        <v>0</v>
      </c>
      <c r="J198" s="67"/>
      <c r="K198" s="67"/>
      <c r="L198" s="67"/>
      <c r="M198" s="67"/>
      <c r="N198" s="138"/>
      <c r="O198" s="67"/>
      <c r="P198" s="67"/>
      <c r="Q198" s="67"/>
      <c r="R198" s="91"/>
      <c r="S198" s="138"/>
      <c r="T198" s="67"/>
      <c r="U198" s="91"/>
      <c r="V198" s="67"/>
      <c r="W198" s="67"/>
      <c r="X198" s="67"/>
      <c r="Y198" s="67"/>
      <c r="Z198" s="67"/>
      <c r="AA198" s="393">
        <f ca="1">+'Capex_FO input'!CP198</f>
        <v>0</v>
      </c>
      <c r="AB198" s="394">
        <f ca="1">+'Capex_FO input'!CQ198</f>
        <v>0</v>
      </c>
      <c r="AC198" s="394">
        <f ca="1">+'Capex_FO input'!CR198</f>
        <v>0</v>
      </c>
      <c r="AD198" s="394">
        <f ca="1">+'Capex_FO input'!CS198</f>
        <v>0</v>
      </c>
      <c r="AE198" s="1279">
        <f ca="1">+'Capex_FO input'!CT198</f>
        <v>0</v>
      </c>
      <c r="AF198" s="393">
        <f ca="1">+'Capex_FO input'!CU198</f>
        <v>0</v>
      </c>
      <c r="AG198" s="394">
        <f ca="1">+'Capex_FO input'!CV198</f>
        <v>0</v>
      </c>
      <c r="AH198" s="394">
        <f ca="1">+'Capex_FO input'!CW198</f>
        <v>0</v>
      </c>
      <c r="AI198" s="394">
        <f ca="1">+'Capex_FO input'!CX198</f>
        <v>0</v>
      </c>
      <c r="AJ198" s="395">
        <f ca="1">+'Capex_FO input'!CY198</f>
        <v>0</v>
      </c>
    </row>
    <row r="199" spans="3:36" ht="11.25" customHeight="1">
      <c r="C199" s="78">
        <f t="shared" si="21"/>
        <v>153</v>
      </c>
      <c r="D199" s="1984">
        <f>+'Capex_FO input'!C199</f>
        <v>0</v>
      </c>
      <c r="E199" s="1985"/>
      <c r="F199" s="1985"/>
      <c r="G199" s="1985"/>
      <c r="H199" s="1986"/>
      <c r="I199" s="643">
        <f>+'Capex_FO input'!N199</f>
        <v>0</v>
      </c>
      <c r="J199" s="67"/>
      <c r="K199" s="67"/>
      <c r="L199" s="67"/>
      <c r="M199" s="67"/>
      <c r="N199" s="138"/>
      <c r="O199" s="67"/>
      <c r="P199" s="67"/>
      <c r="Q199" s="67"/>
      <c r="R199" s="91"/>
      <c r="S199" s="138"/>
      <c r="T199" s="67"/>
      <c r="U199" s="91"/>
      <c r="V199" s="67"/>
      <c r="W199" s="67"/>
      <c r="X199" s="67"/>
      <c r="Y199" s="67"/>
      <c r="Z199" s="67"/>
      <c r="AA199" s="393">
        <f ca="1">+'Capex_FO input'!CP199</f>
        <v>0</v>
      </c>
      <c r="AB199" s="394">
        <f ca="1">+'Capex_FO input'!CQ199</f>
        <v>0</v>
      </c>
      <c r="AC199" s="394">
        <f ca="1">+'Capex_FO input'!CR199</f>
        <v>0</v>
      </c>
      <c r="AD199" s="394">
        <f ca="1">+'Capex_FO input'!CS199</f>
        <v>0</v>
      </c>
      <c r="AE199" s="1279">
        <f ca="1">+'Capex_FO input'!CT199</f>
        <v>0</v>
      </c>
      <c r="AF199" s="393">
        <f ca="1">+'Capex_FO input'!CU199</f>
        <v>0</v>
      </c>
      <c r="AG199" s="394">
        <f ca="1">+'Capex_FO input'!CV199</f>
        <v>0</v>
      </c>
      <c r="AH199" s="394">
        <f ca="1">+'Capex_FO input'!CW199</f>
        <v>0</v>
      </c>
      <c r="AI199" s="394">
        <f ca="1">+'Capex_FO input'!CX199</f>
        <v>0</v>
      </c>
      <c r="AJ199" s="395">
        <f ca="1">+'Capex_FO input'!CY199</f>
        <v>0</v>
      </c>
    </row>
    <row r="200" spans="3:36" ht="11.25" customHeight="1">
      <c r="C200" s="78">
        <f t="shared" si="21"/>
        <v>154</v>
      </c>
      <c r="D200" s="1984">
        <f>+'Capex_FO input'!C200</f>
        <v>0</v>
      </c>
      <c r="E200" s="1985"/>
      <c r="F200" s="1985"/>
      <c r="G200" s="1985"/>
      <c r="H200" s="1986"/>
      <c r="I200" s="643">
        <f>+'Capex_FO input'!N200</f>
        <v>0</v>
      </c>
      <c r="J200" s="67"/>
      <c r="K200" s="67"/>
      <c r="L200" s="67"/>
      <c r="M200" s="67"/>
      <c r="N200" s="138"/>
      <c r="O200" s="67"/>
      <c r="P200" s="67"/>
      <c r="Q200" s="67"/>
      <c r="R200" s="91"/>
      <c r="S200" s="138"/>
      <c r="T200" s="67"/>
      <c r="U200" s="91"/>
      <c r="V200" s="67"/>
      <c r="W200" s="67"/>
      <c r="X200" s="67"/>
      <c r="Y200" s="67"/>
      <c r="Z200" s="67"/>
      <c r="AA200" s="393">
        <f ca="1">+'Capex_FO input'!CP200</f>
        <v>0</v>
      </c>
      <c r="AB200" s="394">
        <f ca="1">+'Capex_FO input'!CQ200</f>
        <v>0</v>
      </c>
      <c r="AC200" s="394">
        <f ca="1">+'Capex_FO input'!CR200</f>
        <v>0</v>
      </c>
      <c r="AD200" s="394">
        <f ca="1">+'Capex_FO input'!CS200</f>
        <v>0</v>
      </c>
      <c r="AE200" s="1279">
        <f ca="1">+'Capex_FO input'!CT200</f>
        <v>0</v>
      </c>
      <c r="AF200" s="393">
        <f ca="1">+'Capex_FO input'!CU200</f>
        <v>0</v>
      </c>
      <c r="AG200" s="394">
        <f ca="1">+'Capex_FO input'!CV200</f>
        <v>0</v>
      </c>
      <c r="AH200" s="394">
        <f ca="1">+'Capex_FO input'!CW200</f>
        <v>0</v>
      </c>
      <c r="AI200" s="394">
        <f ca="1">+'Capex_FO input'!CX200</f>
        <v>0</v>
      </c>
      <c r="AJ200" s="395">
        <f ca="1">+'Capex_FO input'!CY200</f>
        <v>0</v>
      </c>
    </row>
    <row r="201" spans="3:36" ht="11.25" customHeight="1">
      <c r="C201" s="78">
        <f t="shared" si="21"/>
        <v>155</v>
      </c>
      <c r="D201" s="1984">
        <f>+'Capex_FO input'!C201</f>
        <v>0</v>
      </c>
      <c r="E201" s="1985"/>
      <c r="F201" s="1985"/>
      <c r="G201" s="1985"/>
      <c r="H201" s="1986"/>
      <c r="I201" s="643">
        <f>+'Capex_FO input'!N201</f>
        <v>0</v>
      </c>
      <c r="J201" s="67"/>
      <c r="K201" s="67"/>
      <c r="L201" s="67"/>
      <c r="M201" s="67"/>
      <c r="N201" s="138"/>
      <c r="O201" s="67"/>
      <c r="P201" s="67"/>
      <c r="Q201" s="67"/>
      <c r="R201" s="91"/>
      <c r="S201" s="138"/>
      <c r="T201" s="67"/>
      <c r="U201" s="91"/>
      <c r="V201" s="67"/>
      <c r="W201" s="67"/>
      <c r="X201" s="67"/>
      <c r="Y201" s="67"/>
      <c r="Z201" s="67"/>
      <c r="AA201" s="393">
        <f ca="1">+'Capex_FO input'!CP201</f>
        <v>0</v>
      </c>
      <c r="AB201" s="394">
        <f ca="1">+'Capex_FO input'!CQ201</f>
        <v>0</v>
      </c>
      <c r="AC201" s="394">
        <f ca="1">+'Capex_FO input'!CR201</f>
        <v>0</v>
      </c>
      <c r="AD201" s="394">
        <f ca="1">+'Capex_FO input'!CS201</f>
        <v>0</v>
      </c>
      <c r="AE201" s="1279">
        <f ca="1">+'Capex_FO input'!CT201</f>
        <v>0</v>
      </c>
      <c r="AF201" s="393">
        <f ca="1">+'Capex_FO input'!CU201</f>
        <v>0</v>
      </c>
      <c r="AG201" s="394">
        <f ca="1">+'Capex_FO input'!CV201</f>
        <v>0</v>
      </c>
      <c r="AH201" s="394">
        <f ca="1">+'Capex_FO input'!CW201</f>
        <v>0</v>
      </c>
      <c r="AI201" s="394">
        <f ca="1">+'Capex_FO input'!CX201</f>
        <v>0</v>
      </c>
      <c r="AJ201" s="395">
        <f ca="1">+'Capex_FO input'!CY201</f>
        <v>0</v>
      </c>
    </row>
    <row r="202" spans="3:36" ht="11.25" customHeight="1">
      <c r="C202" s="78">
        <f t="shared" si="21"/>
        <v>156</v>
      </c>
      <c r="D202" s="1984">
        <f>+'Capex_FO input'!C202</f>
        <v>0</v>
      </c>
      <c r="E202" s="1985"/>
      <c r="F202" s="1985"/>
      <c r="G202" s="1985"/>
      <c r="H202" s="1986"/>
      <c r="I202" s="643">
        <f>+'Capex_FO input'!N202</f>
        <v>0</v>
      </c>
      <c r="J202" s="67"/>
      <c r="K202" s="67"/>
      <c r="L202" s="67"/>
      <c r="M202" s="67"/>
      <c r="N202" s="138"/>
      <c r="O202" s="67"/>
      <c r="P202" s="67"/>
      <c r="Q202" s="67"/>
      <c r="R202" s="91"/>
      <c r="S202" s="138"/>
      <c r="T202" s="67"/>
      <c r="U202" s="91"/>
      <c r="V202" s="67"/>
      <c r="W202" s="67"/>
      <c r="X202" s="67"/>
      <c r="Y202" s="67"/>
      <c r="Z202" s="67"/>
      <c r="AA202" s="393">
        <f ca="1">+'Capex_FO input'!CP202</f>
        <v>0</v>
      </c>
      <c r="AB202" s="394">
        <f ca="1">+'Capex_FO input'!CQ202</f>
        <v>0</v>
      </c>
      <c r="AC202" s="394">
        <f ca="1">+'Capex_FO input'!CR202</f>
        <v>0</v>
      </c>
      <c r="AD202" s="394">
        <f ca="1">+'Capex_FO input'!CS202</f>
        <v>0</v>
      </c>
      <c r="AE202" s="1279">
        <f ca="1">+'Capex_FO input'!CT202</f>
        <v>0</v>
      </c>
      <c r="AF202" s="393">
        <f ca="1">+'Capex_FO input'!CU202</f>
        <v>0</v>
      </c>
      <c r="AG202" s="394">
        <f ca="1">+'Capex_FO input'!CV202</f>
        <v>0</v>
      </c>
      <c r="AH202" s="394">
        <f ca="1">+'Capex_FO input'!CW202</f>
        <v>0</v>
      </c>
      <c r="AI202" s="394">
        <f ca="1">+'Capex_FO input'!CX202</f>
        <v>0</v>
      </c>
      <c r="AJ202" s="395">
        <f ca="1">+'Capex_FO input'!CY202</f>
        <v>0</v>
      </c>
    </row>
    <row r="203" spans="3:36" ht="11.25" customHeight="1">
      <c r="C203" s="78">
        <f t="shared" si="21"/>
        <v>157</v>
      </c>
      <c r="D203" s="1984">
        <f>+'Capex_FO input'!C203</f>
        <v>0</v>
      </c>
      <c r="E203" s="1985"/>
      <c r="F203" s="1985"/>
      <c r="G203" s="1985"/>
      <c r="H203" s="1986"/>
      <c r="I203" s="643">
        <f>+'Capex_FO input'!N203</f>
        <v>0</v>
      </c>
      <c r="J203" s="67"/>
      <c r="K203" s="67"/>
      <c r="L203" s="67"/>
      <c r="M203" s="67"/>
      <c r="N203" s="138"/>
      <c r="O203" s="67"/>
      <c r="P203" s="67"/>
      <c r="Q203" s="67"/>
      <c r="R203" s="91"/>
      <c r="S203" s="138"/>
      <c r="T203" s="67"/>
      <c r="U203" s="91"/>
      <c r="V203" s="67"/>
      <c r="W203" s="67"/>
      <c r="X203" s="67"/>
      <c r="Y203" s="67"/>
      <c r="Z203" s="67"/>
      <c r="AA203" s="393">
        <f ca="1">+'Capex_FO input'!CP203</f>
        <v>0</v>
      </c>
      <c r="AB203" s="394">
        <f ca="1">+'Capex_FO input'!CQ203</f>
        <v>0</v>
      </c>
      <c r="AC203" s="394">
        <f ca="1">+'Capex_FO input'!CR203</f>
        <v>0</v>
      </c>
      <c r="AD203" s="394">
        <f ca="1">+'Capex_FO input'!CS203</f>
        <v>0</v>
      </c>
      <c r="AE203" s="1279">
        <f ca="1">+'Capex_FO input'!CT203</f>
        <v>0</v>
      </c>
      <c r="AF203" s="393">
        <f ca="1">+'Capex_FO input'!CU203</f>
        <v>0</v>
      </c>
      <c r="AG203" s="394">
        <f ca="1">+'Capex_FO input'!CV203</f>
        <v>0</v>
      </c>
      <c r="AH203" s="394">
        <f ca="1">+'Capex_FO input'!CW203</f>
        <v>0</v>
      </c>
      <c r="AI203" s="394">
        <f ca="1">+'Capex_FO input'!CX203</f>
        <v>0</v>
      </c>
      <c r="AJ203" s="395">
        <f ca="1">+'Capex_FO input'!CY203</f>
        <v>0</v>
      </c>
    </row>
    <row r="204" spans="3:36" ht="11.25" customHeight="1">
      <c r="C204" s="78">
        <f t="shared" si="21"/>
        <v>158</v>
      </c>
      <c r="D204" s="1984">
        <f>+'Capex_FO input'!C204</f>
        <v>0</v>
      </c>
      <c r="E204" s="1985"/>
      <c r="F204" s="1985"/>
      <c r="G204" s="1985"/>
      <c r="H204" s="1986"/>
      <c r="I204" s="643">
        <f>+'Capex_FO input'!N204</f>
        <v>0</v>
      </c>
      <c r="J204" s="67"/>
      <c r="K204" s="67"/>
      <c r="L204" s="67"/>
      <c r="M204" s="67"/>
      <c r="N204" s="138"/>
      <c r="O204" s="67"/>
      <c r="P204" s="67"/>
      <c r="Q204" s="67"/>
      <c r="R204" s="91"/>
      <c r="S204" s="138"/>
      <c r="T204" s="67"/>
      <c r="U204" s="91"/>
      <c r="V204" s="67"/>
      <c r="W204" s="67"/>
      <c r="X204" s="67"/>
      <c r="Y204" s="67"/>
      <c r="Z204" s="67"/>
      <c r="AA204" s="393">
        <f ca="1">+'Capex_FO input'!CP204</f>
        <v>0</v>
      </c>
      <c r="AB204" s="394">
        <f ca="1">+'Capex_FO input'!CQ204</f>
        <v>0</v>
      </c>
      <c r="AC204" s="394">
        <f ca="1">+'Capex_FO input'!CR204</f>
        <v>0</v>
      </c>
      <c r="AD204" s="394">
        <f ca="1">+'Capex_FO input'!CS204</f>
        <v>0</v>
      </c>
      <c r="AE204" s="1279">
        <f ca="1">+'Capex_FO input'!CT204</f>
        <v>0</v>
      </c>
      <c r="AF204" s="393">
        <f ca="1">+'Capex_FO input'!CU204</f>
        <v>0</v>
      </c>
      <c r="AG204" s="394">
        <f ca="1">+'Capex_FO input'!CV204</f>
        <v>0</v>
      </c>
      <c r="AH204" s="394">
        <f ca="1">+'Capex_FO input'!CW204</f>
        <v>0</v>
      </c>
      <c r="AI204" s="394">
        <f ca="1">+'Capex_FO input'!CX204</f>
        <v>0</v>
      </c>
      <c r="AJ204" s="395">
        <f ca="1">+'Capex_FO input'!CY204</f>
        <v>0</v>
      </c>
    </row>
    <row r="205" spans="3:36" ht="11.25" customHeight="1">
      <c r="C205" s="78">
        <f t="shared" si="21"/>
        <v>159</v>
      </c>
      <c r="D205" s="1984">
        <f>+'Capex_FO input'!C205</f>
        <v>0</v>
      </c>
      <c r="E205" s="1985"/>
      <c r="F205" s="1985"/>
      <c r="G205" s="1985"/>
      <c r="H205" s="1986"/>
      <c r="I205" s="643">
        <f>+'Capex_FO input'!N205</f>
        <v>0</v>
      </c>
      <c r="J205" s="67"/>
      <c r="K205" s="67"/>
      <c r="L205" s="67"/>
      <c r="M205" s="67"/>
      <c r="N205" s="138"/>
      <c r="O205" s="67"/>
      <c r="P205" s="67"/>
      <c r="Q205" s="67"/>
      <c r="R205" s="91"/>
      <c r="S205" s="138"/>
      <c r="T205" s="67"/>
      <c r="U205" s="91"/>
      <c r="V205" s="67"/>
      <c r="W205" s="67"/>
      <c r="X205" s="67"/>
      <c r="Y205" s="67"/>
      <c r="Z205" s="67"/>
      <c r="AA205" s="393">
        <f ca="1">+'Capex_FO input'!CP205</f>
        <v>0</v>
      </c>
      <c r="AB205" s="394">
        <f ca="1">+'Capex_FO input'!CQ205</f>
        <v>0</v>
      </c>
      <c r="AC205" s="394">
        <f ca="1">+'Capex_FO input'!CR205</f>
        <v>0</v>
      </c>
      <c r="AD205" s="394">
        <f ca="1">+'Capex_FO input'!CS205</f>
        <v>0</v>
      </c>
      <c r="AE205" s="1279">
        <f ca="1">+'Capex_FO input'!CT205</f>
        <v>0</v>
      </c>
      <c r="AF205" s="393">
        <f ca="1">+'Capex_FO input'!CU205</f>
        <v>0</v>
      </c>
      <c r="AG205" s="394">
        <f ca="1">+'Capex_FO input'!CV205</f>
        <v>0</v>
      </c>
      <c r="AH205" s="394">
        <f ca="1">+'Capex_FO input'!CW205</f>
        <v>0</v>
      </c>
      <c r="AI205" s="394">
        <f ca="1">+'Capex_FO input'!CX205</f>
        <v>0</v>
      </c>
      <c r="AJ205" s="395">
        <f ca="1">+'Capex_FO input'!CY205</f>
        <v>0</v>
      </c>
    </row>
    <row r="206" spans="3:36" ht="11.25" customHeight="1">
      <c r="C206" s="78">
        <f t="shared" si="21"/>
        <v>160</v>
      </c>
      <c r="D206" s="1984">
        <f>+'Capex_FO input'!C206</f>
        <v>0</v>
      </c>
      <c r="E206" s="1985"/>
      <c r="F206" s="1985"/>
      <c r="G206" s="1985"/>
      <c r="H206" s="1986"/>
      <c r="I206" s="643">
        <f>+'Capex_FO input'!N206</f>
        <v>0</v>
      </c>
      <c r="J206" s="67"/>
      <c r="K206" s="67"/>
      <c r="L206" s="67"/>
      <c r="M206" s="67"/>
      <c r="N206" s="138"/>
      <c r="O206" s="67"/>
      <c r="P206" s="67"/>
      <c r="Q206" s="67"/>
      <c r="R206" s="91"/>
      <c r="S206" s="138"/>
      <c r="T206" s="67"/>
      <c r="U206" s="91"/>
      <c r="V206" s="67"/>
      <c r="W206" s="67"/>
      <c r="X206" s="67"/>
      <c r="Y206" s="67"/>
      <c r="Z206" s="67"/>
      <c r="AA206" s="393">
        <f ca="1">+'Capex_FO input'!CP206</f>
        <v>0</v>
      </c>
      <c r="AB206" s="394">
        <f ca="1">+'Capex_FO input'!CQ206</f>
        <v>0</v>
      </c>
      <c r="AC206" s="394">
        <f ca="1">+'Capex_FO input'!CR206</f>
        <v>0</v>
      </c>
      <c r="AD206" s="394">
        <f ca="1">+'Capex_FO input'!CS206</f>
        <v>0</v>
      </c>
      <c r="AE206" s="1279">
        <f ca="1">+'Capex_FO input'!CT206</f>
        <v>0</v>
      </c>
      <c r="AF206" s="393">
        <f ca="1">+'Capex_FO input'!CU206</f>
        <v>0</v>
      </c>
      <c r="AG206" s="394">
        <f ca="1">+'Capex_FO input'!CV206</f>
        <v>0</v>
      </c>
      <c r="AH206" s="394">
        <f ca="1">+'Capex_FO input'!CW206</f>
        <v>0</v>
      </c>
      <c r="AI206" s="394">
        <f ca="1">+'Capex_FO input'!CX206</f>
        <v>0</v>
      </c>
      <c r="AJ206" s="395">
        <f ca="1">+'Capex_FO input'!CY206</f>
        <v>0</v>
      </c>
    </row>
    <row r="207" spans="3:36" ht="11.25" customHeight="1">
      <c r="C207" s="78">
        <f t="shared" si="21"/>
        <v>161</v>
      </c>
      <c r="D207" s="1984">
        <f>+'Capex_FO input'!C207</f>
        <v>0</v>
      </c>
      <c r="E207" s="1985"/>
      <c r="F207" s="1985"/>
      <c r="G207" s="1985"/>
      <c r="H207" s="1986"/>
      <c r="I207" s="643">
        <f>+'Capex_FO input'!N207</f>
        <v>0</v>
      </c>
      <c r="J207" s="67"/>
      <c r="K207" s="67"/>
      <c r="L207" s="67"/>
      <c r="M207" s="67"/>
      <c r="N207" s="138"/>
      <c r="O207" s="67"/>
      <c r="P207" s="67"/>
      <c r="Q207" s="67"/>
      <c r="R207" s="91"/>
      <c r="S207" s="138"/>
      <c r="T207" s="67"/>
      <c r="U207" s="91"/>
      <c r="V207" s="67"/>
      <c r="W207" s="67"/>
      <c r="X207" s="67"/>
      <c r="Y207" s="67"/>
      <c r="Z207" s="67"/>
      <c r="AA207" s="393">
        <f ca="1">+'Capex_FO input'!CP207</f>
        <v>0</v>
      </c>
      <c r="AB207" s="394">
        <f ca="1">+'Capex_FO input'!CQ207</f>
        <v>0</v>
      </c>
      <c r="AC207" s="394">
        <f ca="1">+'Capex_FO input'!CR207</f>
        <v>0</v>
      </c>
      <c r="AD207" s="394">
        <f ca="1">+'Capex_FO input'!CS207</f>
        <v>0</v>
      </c>
      <c r="AE207" s="1279">
        <f ca="1">+'Capex_FO input'!CT207</f>
        <v>0</v>
      </c>
      <c r="AF207" s="393">
        <f ca="1">+'Capex_FO input'!CU207</f>
        <v>0</v>
      </c>
      <c r="AG207" s="394">
        <f ca="1">+'Capex_FO input'!CV207</f>
        <v>0</v>
      </c>
      <c r="AH207" s="394">
        <f ca="1">+'Capex_FO input'!CW207</f>
        <v>0</v>
      </c>
      <c r="AI207" s="394">
        <f ca="1">+'Capex_FO input'!CX207</f>
        <v>0</v>
      </c>
      <c r="AJ207" s="395">
        <f ca="1">+'Capex_FO input'!CY207</f>
        <v>0</v>
      </c>
    </row>
    <row r="208" spans="3:36" ht="11.25" customHeight="1">
      <c r="C208" s="78">
        <f t="shared" si="21"/>
        <v>162</v>
      </c>
      <c r="D208" s="1984">
        <f>+'Capex_FO input'!C208</f>
        <v>0</v>
      </c>
      <c r="E208" s="1985"/>
      <c r="F208" s="1985"/>
      <c r="G208" s="1985"/>
      <c r="H208" s="1986"/>
      <c r="I208" s="643">
        <f>+'Capex_FO input'!N208</f>
        <v>0</v>
      </c>
      <c r="J208" s="67"/>
      <c r="K208" s="67"/>
      <c r="L208" s="67"/>
      <c r="M208" s="67"/>
      <c r="N208" s="138"/>
      <c r="O208" s="67"/>
      <c r="P208" s="67"/>
      <c r="Q208" s="67"/>
      <c r="R208" s="91"/>
      <c r="S208" s="138"/>
      <c r="T208" s="67"/>
      <c r="U208" s="91"/>
      <c r="V208" s="67"/>
      <c r="W208" s="67"/>
      <c r="X208" s="67"/>
      <c r="Y208" s="67"/>
      <c r="Z208" s="67"/>
      <c r="AA208" s="393">
        <f ca="1">+'Capex_FO input'!CP208</f>
        <v>0</v>
      </c>
      <c r="AB208" s="394">
        <f ca="1">+'Capex_FO input'!CQ208</f>
        <v>0</v>
      </c>
      <c r="AC208" s="394">
        <f ca="1">+'Capex_FO input'!CR208</f>
        <v>0</v>
      </c>
      <c r="AD208" s="394">
        <f ca="1">+'Capex_FO input'!CS208</f>
        <v>0</v>
      </c>
      <c r="AE208" s="1279">
        <f ca="1">+'Capex_FO input'!CT208</f>
        <v>0</v>
      </c>
      <c r="AF208" s="393">
        <f ca="1">+'Capex_FO input'!CU208</f>
        <v>0</v>
      </c>
      <c r="AG208" s="394">
        <f ca="1">+'Capex_FO input'!CV208</f>
        <v>0</v>
      </c>
      <c r="AH208" s="394">
        <f ca="1">+'Capex_FO input'!CW208</f>
        <v>0</v>
      </c>
      <c r="AI208" s="394">
        <f ca="1">+'Capex_FO input'!CX208</f>
        <v>0</v>
      </c>
      <c r="AJ208" s="395">
        <f ca="1">+'Capex_FO input'!CY208</f>
        <v>0</v>
      </c>
    </row>
    <row r="209" spans="3:36" ht="11.25" customHeight="1">
      <c r="C209" s="78">
        <f t="shared" si="21"/>
        <v>163</v>
      </c>
      <c r="D209" s="1984">
        <f>+'Capex_FO input'!C209</f>
        <v>0</v>
      </c>
      <c r="E209" s="1985"/>
      <c r="F209" s="1985"/>
      <c r="G209" s="1985"/>
      <c r="H209" s="1986"/>
      <c r="I209" s="643">
        <f>+'Capex_FO input'!N209</f>
        <v>0</v>
      </c>
      <c r="J209" s="67"/>
      <c r="K209" s="67"/>
      <c r="L209" s="67"/>
      <c r="M209" s="67"/>
      <c r="N209" s="138"/>
      <c r="O209" s="67"/>
      <c r="P209" s="67"/>
      <c r="Q209" s="67"/>
      <c r="R209" s="91"/>
      <c r="S209" s="138"/>
      <c r="T209" s="67"/>
      <c r="U209" s="91"/>
      <c r="V209" s="67"/>
      <c r="W209" s="67"/>
      <c r="X209" s="67"/>
      <c r="Y209" s="67"/>
      <c r="Z209" s="67"/>
      <c r="AA209" s="393">
        <f ca="1">+'Capex_FO input'!CP209</f>
        <v>0</v>
      </c>
      <c r="AB209" s="394">
        <f ca="1">+'Capex_FO input'!CQ209</f>
        <v>0</v>
      </c>
      <c r="AC209" s="394">
        <f ca="1">+'Capex_FO input'!CR209</f>
        <v>0</v>
      </c>
      <c r="AD209" s="394">
        <f ca="1">+'Capex_FO input'!CS209</f>
        <v>0</v>
      </c>
      <c r="AE209" s="1279">
        <f ca="1">+'Capex_FO input'!CT209</f>
        <v>0</v>
      </c>
      <c r="AF209" s="393">
        <f ca="1">+'Capex_FO input'!CU209</f>
        <v>0</v>
      </c>
      <c r="AG209" s="394">
        <f ca="1">+'Capex_FO input'!CV209</f>
        <v>0</v>
      </c>
      <c r="AH209" s="394">
        <f ca="1">+'Capex_FO input'!CW209</f>
        <v>0</v>
      </c>
      <c r="AI209" s="394">
        <f ca="1">+'Capex_FO input'!CX209</f>
        <v>0</v>
      </c>
      <c r="AJ209" s="395">
        <f ca="1">+'Capex_FO input'!CY209</f>
        <v>0</v>
      </c>
    </row>
    <row r="210" spans="3:36" ht="11.25" customHeight="1">
      <c r="C210" s="78">
        <f t="shared" si="21"/>
        <v>164</v>
      </c>
      <c r="D210" s="1984">
        <f>+'Capex_FO input'!C210</f>
        <v>0</v>
      </c>
      <c r="E210" s="1985"/>
      <c r="F210" s="1985"/>
      <c r="G210" s="1985"/>
      <c r="H210" s="1986"/>
      <c r="I210" s="643">
        <f>+'Capex_FO input'!N210</f>
        <v>0</v>
      </c>
      <c r="J210" s="67"/>
      <c r="K210" s="67"/>
      <c r="L210" s="67"/>
      <c r="M210" s="67"/>
      <c r="N210" s="138"/>
      <c r="O210" s="67"/>
      <c r="P210" s="67"/>
      <c r="Q210" s="67"/>
      <c r="R210" s="91"/>
      <c r="S210" s="138"/>
      <c r="T210" s="67"/>
      <c r="U210" s="91"/>
      <c r="V210" s="67"/>
      <c r="W210" s="67"/>
      <c r="X210" s="67"/>
      <c r="Y210" s="67"/>
      <c r="Z210" s="67"/>
      <c r="AA210" s="393">
        <f ca="1">+'Capex_FO input'!CP210</f>
        <v>0</v>
      </c>
      <c r="AB210" s="394">
        <f ca="1">+'Capex_FO input'!CQ210</f>
        <v>0</v>
      </c>
      <c r="AC210" s="394">
        <f ca="1">+'Capex_FO input'!CR210</f>
        <v>0</v>
      </c>
      <c r="AD210" s="394">
        <f ca="1">+'Capex_FO input'!CS210</f>
        <v>0</v>
      </c>
      <c r="AE210" s="1279">
        <f ca="1">+'Capex_FO input'!CT210</f>
        <v>0</v>
      </c>
      <c r="AF210" s="393">
        <f ca="1">+'Capex_FO input'!CU210</f>
        <v>0</v>
      </c>
      <c r="AG210" s="394">
        <f ca="1">+'Capex_FO input'!CV210</f>
        <v>0</v>
      </c>
      <c r="AH210" s="394">
        <f ca="1">+'Capex_FO input'!CW210</f>
        <v>0</v>
      </c>
      <c r="AI210" s="394">
        <f ca="1">+'Capex_FO input'!CX210</f>
        <v>0</v>
      </c>
      <c r="AJ210" s="395">
        <f ca="1">+'Capex_FO input'!CY210</f>
        <v>0</v>
      </c>
    </row>
    <row r="211" spans="3:36" ht="11.25" customHeight="1">
      <c r="C211" s="78">
        <f t="shared" si="21"/>
        <v>165</v>
      </c>
      <c r="D211" s="1984">
        <f>+'Capex_FO input'!C211</f>
        <v>0</v>
      </c>
      <c r="E211" s="1985"/>
      <c r="F211" s="1985"/>
      <c r="G211" s="1985"/>
      <c r="H211" s="1986"/>
      <c r="I211" s="643">
        <f>+'Capex_FO input'!N211</f>
        <v>0</v>
      </c>
      <c r="J211" s="67"/>
      <c r="K211" s="67"/>
      <c r="L211" s="67"/>
      <c r="M211" s="67"/>
      <c r="N211" s="138"/>
      <c r="O211" s="67"/>
      <c r="P211" s="67"/>
      <c r="Q211" s="67"/>
      <c r="R211" s="91"/>
      <c r="S211" s="138"/>
      <c r="T211" s="67"/>
      <c r="U211" s="91"/>
      <c r="V211" s="67"/>
      <c r="W211" s="67"/>
      <c r="X211" s="67"/>
      <c r="Y211" s="67"/>
      <c r="Z211" s="67"/>
      <c r="AA211" s="393">
        <f ca="1">+'Capex_FO input'!CP211</f>
        <v>0</v>
      </c>
      <c r="AB211" s="394">
        <f ca="1">+'Capex_FO input'!CQ211</f>
        <v>0</v>
      </c>
      <c r="AC211" s="394">
        <f ca="1">+'Capex_FO input'!CR211</f>
        <v>0</v>
      </c>
      <c r="AD211" s="394">
        <f ca="1">+'Capex_FO input'!CS211</f>
        <v>0</v>
      </c>
      <c r="AE211" s="1279">
        <f ca="1">+'Capex_FO input'!CT211</f>
        <v>0</v>
      </c>
      <c r="AF211" s="393">
        <f ca="1">+'Capex_FO input'!CU211</f>
        <v>0</v>
      </c>
      <c r="AG211" s="394">
        <f ca="1">+'Capex_FO input'!CV211</f>
        <v>0</v>
      </c>
      <c r="AH211" s="394">
        <f ca="1">+'Capex_FO input'!CW211</f>
        <v>0</v>
      </c>
      <c r="AI211" s="394">
        <f ca="1">+'Capex_FO input'!CX211</f>
        <v>0</v>
      </c>
      <c r="AJ211" s="395">
        <f ca="1">+'Capex_FO input'!CY211</f>
        <v>0</v>
      </c>
    </row>
    <row r="212" spans="3:36" ht="11.25" customHeight="1">
      <c r="C212" s="78">
        <f t="shared" si="21"/>
        <v>166</v>
      </c>
      <c r="D212" s="1984">
        <f>+'Capex_FO input'!C212</f>
        <v>0</v>
      </c>
      <c r="E212" s="1985"/>
      <c r="F212" s="1985"/>
      <c r="G212" s="1985"/>
      <c r="H212" s="1986"/>
      <c r="I212" s="643">
        <f>+'Capex_FO input'!N212</f>
        <v>0</v>
      </c>
      <c r="J212" s="67"/>
      <c r="K212" s="67"/>
      <c r="L212" s="67"/>
      <c r="M212" s="67"/>
      <c r="N212" s="138"/>
      <c r="O212" s="67"/>
      <c r="P212" s="67"/>
      <c r="Q212" s="67"/>
      <c r="R212" s="91"/>
      <c r="S212" s="138"/>
      <c r="T212" s="67"/>
      <c r="U212" s="91"/>
      <c r="V212" s="67"/>
      <c r="W212" s="67"/>
      <c r="X212" s="67"/>
      <c r="Y212" s="67"/>
      <c r="Z212" s="67"/>
      <c r="AA212" s="393">
        <f ca="1">+'Capex_FO input'!CP212</f>
        <v>0</v>
      </c>
      <c r="AB212" s="394">
        <f ca="1">+'Capex_FO input'!CQ212</f>
        <v>0</v>
      </c>
      <c r="AC212" s="394">
        <f ca="1">+'Capex_FO input'!CR212</f>
        <v>0</v>
      </c>
      <c r="AD212" s="394">
        <f ca="1">+'Capex_FO input'!CS212</f>
        <v>0</v>
      </c>
      <c r="AE212" s="1279">
        <f ca="1">+'Capex_FO input'!CT212</f>
        <v>0</v>
      </c>
      <c r="AF212" s="393">
        <f ca="1">+'Capex_FO input'!CU212</f>
        <v>0</v>
      </c>
      <c r="AG212" s="394">
        <f ca="1">+'Capex_FO input'!CV212</f>
        <v>0</v>
      </c>
      <c r="AH212" s="394">
        <f ca="1">+'Capex_FO input'!CW212</f>
        <v>0</v>
      </c>
      <c r="AI212" s="394">
        <f ca="1">+'Capex_FO input'!CX212</f>
        <v>0</v>
      </c>
      <c r="AJ212" s="395">
        <f ca="1">+'Capex_FO input'!CY212</f>
        <v>0</v>
      </c>
    </row>
    <row r="213" spans="3:36" ht="11.25" customHeight="1">
      <c r="C213" s="78">
        <f t="shared" si="21"/>
        <v>167</v>
      </c>
      <c r="D213" s="1984">
        <f>+'Capex_FO input'!C213</f>
        <v>0</v>
      </c>
      <c r="E213" s="1985"/>
      <c r="F213" s="1985"/>
      <c r="G213" s="1985"/>
      <c r="H213" s="1986"/>
      <c r="I213" s="643">
        <f>+'Capex_FO input'!N213</f>
        <v>0</v>
      </c>
      <c r="J213" s="67"/>
      <c r="K213" s="67"/>
      <c r="L213" s="67"/>
      <c r="M213" s="67"/>
      <c r="N213" s="138"/>
      <c r="O213" s="67"/>
      <c r="P213" s="67"/>
      <c r="Q213" s="67"/>
      <c r="R213" s="91"/>
      <c r="S213" s="138"/>
      <c r="T213" s="67"/>
      <c r="U213" s="91"/>
      <c r="V213" s="67"/>
      <c r="W213" s="67"/>
      <c r="X213" s="67"/>
      <c r="Y213" s="67"/>
      <c r="Z213" s="67"/>
      <c r="AA213" s="393">
        <f ca="1">+'Capex_FO input'!CP213</f>
        <v>0</v>
      </c>
      <c r="AB213" s="394">
        <f ca="1">+'Capex_FO input'!CQ213</f>
        <v>0</v>
      </c>
      <c r="AC213" s="394">
        <f ca="1">+'Capex_FO input'!CR213</f>
        <v>0</v>
      </c>
      <c r="AD213" s="394">
        <f ca="1">+'Capex_FO input'!CS213</f>
        <v>0</v>
      </c>
      <c r="AE213" s="1279">
        <f ca="1">+'Capex_FO input'!CT213</f>
        <v>0</v>
      </c>
      <c r="AF213" s="393">
        <f ca="1">+'Capex_FO input'!CU213</f>
        <v>0</v>
      </c>
      <c r="AG213" s="394">
        <f ca="1">+'Capex_FO input'!CV213</f>
        <v>0</v>
      </c>
      <c r="AH213" s="394">
        <f ca="1">+'Capex_FO input'!CW213</f>
        <v>0</v>
      </c>
      <c r="AI213" s="394">
        <f ca="1">+'Capex_FO input'!CX213</f>
        <v>0</v>
      </c>
      <c r="AJ213" s="395">
        <f ca="1">+'Capex_FO input'!CY213</f>
        <v>0</v>
      </c>
    </row>
    <row r="214" spans="3:36" ht="11.25" customHeight="1">
      <c r="C214" s="78">
        <f t="shared" si="21"/>
        <v>168</v>
      </c>
      <c r="D214" s="1984">
        <f>+'Capex_FO input'!C214</f>
        <v>0</v>
      </c>
      <c r="E214" s="1985"/>
      <c r="F214" s="1985"/>
      <c r="G214" s="1985"/>
      <c r="H214" s="1986"/>
      <c r="I214" s="643">
        <f>+'Capex_FO input'!N214</f>
        <v>0</v>
      </c>
      <c r="J214" s="67"/>
      <c r="K214" s="67"/>
      <c r="L214" s="67"/>
      <c r="M214" s="67"/>
      <c r="N214" s="138"/>
      <c r="O214" s="67"/>
      <c r="P214" s="67"/>
      <c r="Q214" s="67"/>
      <c r="R214" s="91"/>
      <c r="S214" s="138"/>
      <c r="T214" s="67"/>
      <c r="U214" s="91"/>
      <c r="V214" s="67"/>
      <c r="W214" s="67"/>
      <c r="X214" s="67"/>
      <c r="Y214" s="67"/>
      <c r="Z214" s="67"/>
      <c r="AA214" s="393">
        <f ca="1">+'Capex_FO input'!CP214</f>
        <v>0</v>
      </c>
      <c r="AB214" s="394">
        <f ca="1">+'Capex_FO input'!CQ214</f>
        <v>0</v>
      </c>
      <c r="AC214" s="394">
        <f ca="1">+'Capex_FO input'!CR214</f>
        <v>0</v>
      </c>
      <c r="AD214" s="394">
        <f ca="1">+'Capex_FO input'!CS214</f>
        <v>0</v>
      </c>
      <c r="AE214" s="1279">
        <f ca="1">+'Capex_FO input'!CT214</f>
        <v>0</v>
      </c>
      <c r="AF214" s="393">
        <f ca="1">+'Capex_FO input'!CU214</f>
        <v>0</v>
      </c>
      <c r="AG214" s="394">
        <f ca="1">+'Capex_FO input'!CV214</f>
        <v>0</v>
      </c>
      <c r="AH214" s="394">
        <f ca="1">+'Capex_FO input'!CW214</f>
        <v>0</v>
      </c>
      <c r="AI214" s="394">
        <f ca="1">+'Capex_FO input'!CX214</f>
        <v>0</v>
      </c>
      <c r="AJ214" s="395">
        <f ca="1">+'Capex_FO input'!CY214</f>
        <v>0</v>
      </c>
    </row>
    <row r="215" spans="3:36" ht="11.25" customHeight="1">
      <c r="C215" s="78">
        <f t="shared" si="21"/>
        <v>169</v>
      </c>
      <c r="D215" s="1984">
        <f>+'Capex_FO input'!C215</f>
        <v>0</v>
      </c>
      <c r="E215" s="1985"/>
      <c r="F215" s="1985"/>
      <c r="G215" s="1985"/>
      <c r="H215" s="1986"/>
      <c r="I215" s="643">
        <f>+'Capex_FO input'!N215</f>
        <v>0</v>
      </c>
      <c r="J215" s="67"/>
      <c r="K215" s="67"/>
      <c r="L215" s="67"/>
      <c r="M215" s="67"/>
      <c r="N215" s="138"/>
      <c r="O215" s="67"/>
      <c r="P215" s="67"/>
      <c r="Q215" s="67"/>
      <c r="R215" s="91"/>
      <c r="S215" s="138"/>
      <c r="T215" s="67"/>
      <c r="U215" s="91"/>
      <c r="V215" s="67"/>
      <c r="W215" s="67"/>
      <c r="X215" s="67"/>
      <c r="Y215" s="67"/>
      <c r="Z215" s="67"/>
      <c r="AA215" s="393">
        <f ca="1">+'Capex_FO input'!CP215</f>
        <v>0</v>
      </c>
      <c r="AB215" s="394">
        <f ca="1">+'Capex_FO input'!CQ215</f>
        <v>0</v>
      </c>
      <c r="AC215" s="394">
        <f ca="1">+'Capex_FO input'!CR215</f>
        <v>0</v>
      </c>
      <c r="AD215" s="394">
        <f ca="1">+'Capex_FO input'!CS215</f>
        <v>0</v>
      </c>
      <c r="AE215" s="1279">
        <f ca="1">+'Capex_FO input'!CT215</f>
        <v>0</v>
      </c>
      <c r="AF215" s="393">
        <f ca="1">+'Capex_FO input'!CU215</f>
        <v>0</v>
      </c>
      <c r="AG215" s="394">
        <f ca="1">+'Capex_FO input'!CV215</f>
        <v>0</v>
      </c>
      <c r="AH215" s="394">
        <f ca="1">+'Capex_FO input'!CW215</f>
        <v>0</v>
      </c>
      <c r="AI215" s="394">
        <f ca="1">+'Capex_FO input'!CX215</f>
        <v>0</v>
      </c>
      <c r="AJ215" s="395">
        <f ca="1">+'Capex_FO input'!CY215</f>
        <v>0</v>
      </c>
    </row>
    <row r="216" spans="3:36" ht="11.25" customHeight="1">
      <c r="C216" s="78">
        <f t="shared" si="21"/>
        <v>170</v>
      </c>
      <c r="D216" s="1984">
        <f>+'Capex_FO input'!C216</f>
        <v>0</v>
      </c>
      <c r="E216" s="1985"/>
      <c r="F216" s="1985"/>
      <c r="G216" s="1985"/>
      <c r="H216" s="1986"/>
      <c r="I216" s="643">
        <f>+'Capex_FO input'!N216</f>
        <v>0</v>
      </c>
      <c r="J216" s="67"/>
      <c r="K216" s="67"/>
      <c r="L216" s="67"/>
      <c r="M216" s="67"/>
      <c r="N216" s="138"/>
      <c r="O216" s="67"/>
      <c r="P216" s="67"/>
      <c r="Q216" s="67"/>
      <c r="R216" s="91"/>
      <c r="S216" s="138"/>
      <c r="T216" s="67"/>
      <c r="U216" s="91"/>
      <c r="V216" s="67"/>
      <c r="W216" s="67"/>
      <c r="X216" s="67"/>
      <c r="Y216" s="67"/>
      <c r="Z216" s="67"/>
      <c r="AA216" s="393">
        <f ca="1">+'Capex_FO input'!CP216</f>
        <v>0</v>
      </c>
      <c r="AB216" s="394">
        <f ca="1">+'Capex_FO input'!CQ216</f>
        <v>0</v>
      </c>
      <c r="AC216" s="394">
        <f ca="1">+'Capex_FO input'!CR216</f>
        <v>0</v>
      </c>
      <c r="AD216" s="394">
        <f ca="1">+'Capex_FO input'!CS216</f>
        <v>0</v>
      </c>
      <c r="AE216" s="1279">
        <f ca="1">+'Capex_FO input'!CT216</f>
        <v>0</v>
      </c>
      <c r="AF216" s="393">
        <f ca="1">+'Capex_FO input'!CU216</f>
        <v>0</v>
      </c>
      <c r="AG216" s="394">
        <f ca="1">+'Capex_FO input'!CV216</f>
        <v>0</v>
      </c>
      <c r="AH216" s="394">
        <f ca="1">+'Capex_FO input'!CW216</f>
        <v>0</v>
      </c>
      <c r="AI216" s="394">
        <f ca="1">+'Capex_FO input'!CX216</f>
        <v>0</v>
      </c>
      <c r="AJ216" s="395">
        <f ca="1">+'Capex_FO input'!CY216</f>
        <v>0</v>
      </c>
    </row>
    <row r="217" spans="3:36" ht="11.25" customHeight="1">
      <c r="C217" s="78">
        <f t="shared" si="21"/>
        <v>171</v>
      </c>
      <c r="D217" s="1984">
        <f>+'Capex_FO input'!C217</f>
        <v>0</v>
      </c>
      <c r="E217" s="1985"/>
      <c r="F217" s="1985"/>
      <c r="G217" s="1985"/>
      <c r="H217" s="1986"/>
      <c r="I217" s="643">
        <f>+'Capex_FO input'!N217</f>
        <v>0</v>
      </c>
      <c r="J217" s="67"/>
      <c r="K217" s="67"/>
      <c r="L217" s="67"/>
      <c r="M217" s="67"/>
      <c r="N217" s="138"/>
      <c r="O217" s="67"/>
      <c r="P217" s="67"/>
      <c r="Q217" s="67"/>
      <c r="R217" s="91"/>
      <c r="S217" s="138"/>
      <c r="T217" s="67"/>
      <c r="U217" s="91"/>
      <c r="V217" s="67"/>
      <c r="W217" s="67"/>
      <c r="X217" s="67"/>
      <c r="Y217" s="67"/>
      <c r="Z217" s="67"/>
      <c r="AA217" s="393">
        <f ca="1">+'Capex_FO input'!CP217</f>
        <v>0</v>
      </c>
      <c r="AB217" s="394">
        <f ca="1">+'Capex_FO input'!CQ217</f>
        <v>0</v>
      </c>
      <c r="AC217" s="394">
        <f ca="1">+'Capex_FO input'!CR217</f>
        <v>0</v>
      </c>
      <c r="AD217" s="394">
        <f ca="1">+'Capex_FO input'!CS217</f>
        <v>0</v>
      </c>
      <c r="AE217" s="1279">
        <f ca="1">+'Capex_FO input'!CT217</f>
        <v>0</v>
      </c>
      <c r="AF217" s="393">
        <f ca="1">+'Capex_FO input'!CU217</f>
        <v>0</v>
      </c>
      <c r="AG217" s="394">
        <f ca="1">+'Capex_FO input'!CV217</f>
        <v>0</v>
      </c>
      <c r="AH217" s="394">
        <f ca="1">+'Capex_FO input'!CW217</f>
        <v>0</v>
      </c>
      <c r="AI217" s="394">
        <f ca="1">+'Capex_FO input'!CX217</f>
        <v>0</v>
      </c>
      <c r="AJ217" s="395">
        <f ca="1">+'Capex_FO input'!CY217</f>
        <v>0</v>
      </c>
    </row>
    <row r="218" spans="3:36" ht="11.25" customHeight="1">
      <c r="C218" s="78">
        <f t="shared" si="21"/>
        <v>172</v>
      </c>
      <c r="D218" s="1984">
        <f>+'Capex_FO input'!C218</f>
        <v>0</v>
      </c>
      <c r="E218" s="1985"/>
      <c r="F218" s="1985"/>
      <c r="G218" s="1985"/>
      <c r="H218" s="1986"/>
      <c r="I218" s="643">
        <f>+'Capex_FO input'!N218</f>
        <v>0</v>
      </c>
      <c r="J218" s="67"/>
      <c r="K218" s="67"/>
      <c r="L218" s="67"/>
      <c r="M218" s="67"/>
      <c r="N218" s="138"/>
      <c r="O218" s="67"/>
      <c r="P218" s="67"/>
      <c r="Q218" s="67"/>
      <c r="R218" s="91"/>
      <c r="S218" s="138"/>
      <c r="T218" s="67"/>
      <c r="U218" s="91"/>
      <c r="V218" s="67"/>
      <c r="W218" s="67"/>
      <c r="X218" s="67"/>
      <c r="Y218" s="67"/>
      <c r="Z218" s="67"/>
      <c r="AA218" s="393">
        <f ca="1">+'Capex_FO input'!CP218</f>
        <v>0</v>
      </c>
      <c r="AB218" s="394">
        <f ca="1">+'Capex_FO input'!CQ218</f>
        <v>0</v>
      </c>
      <c r="AC218" s="394">
        <f ca="1">+'Capex_FO input'!CR218</f>
        <v>0</v>
      </c>
      <c r="AD218" s="394">
        <f ca="1">+'Capex_FO input'!CS218</f>
        <v>0</v>
      </c>
      <c r="AE218" s="1279">
        <f ca="1">+'Capex_FO input'!CT218</f>
        <v>0</v>
      </c>
      <c r="AF218" s="393">
        <f ca="1">+'Capex_FO input'!CU218</f>
        <v>0</v>
      </c>
      <c r="AG218" s="394">
        <f ca="1">+'Capex_FO input'!CV218</f>
        <v>0</v>
      </c>
      <c r="AH218" s="394">
        <f ca="1">+'Capex_FO input'!CW218</f>
        <v>0</v>
      </c>
      <c r="AI218" s="394">
        <f ca="1">+'Capex_FO input'!CX218</f>
        <v>0</v>
      </c>
      <c r="AJ218" s="395">
        <f ca="1">+'Capex_FO input'!CY218</f>
        <v>0</v>
      </c>
    </row>
    <row r="219" spans="3:36" ht="11.25" customHeight="1">
      <c r="C219" s="78">
        <f t="shared" si="21"/>
        <v>173</v>
      </c>
      <c r="D219" s="1984">
        <f>+'Capex_FO input'!C219</f>
        <v>0</v>
      </c>
      <c r="E219" s="1985"/>
      <c r="F219" s="1985"/>
      <c r="G219" s="1985"/>
      <c r="H219" s="1986"/>
      <c r="I219" s="643">
        <f>+'Capex_FO input'!N219</f>
        <v>0</v>
      </c>
      <c r="J219" s="67"/>
      <c r="K219" s="67"/>
      <c r="L219" s="67"/>
      <c r="M219" s="67"/>
      <c r="N219" s="138"/>
      <c r="O219" s="67"/>
      <c r="P219" s="67"/>
      <c r="Q219" s="67"/>
      <c r="R219" s="91"/>
      <c r="S219" s="138"/>
      <c r="T219" s="67"/>
      <c r="U219" s="91"/>
      <c r="V219" s="67"/>
      <c r="W219" s="67"/>
      <c r="X219" s="67"/>
      <c r="Y219" s="67"/>
      <c r="Z219" s="67"/>
      <c r="AA219" s="393">
        <f ca="1">+'Capex_FO input'!CP219</f>
        <v>0</v>
      </c>
      <c r="AB219" s="394">
        <f ca="1">+'Capex_FO input'!CQ219</f>
        <v>0</v>
      </c>
      <c r="AC219" s="394">
        <f ca="1">+'Capex_FO input'!CR219</f>
        <v>0</v>
      </c>
      <c r="AD219" s="394">
        <f ca="1">+'Capex_FO input'!CS219</f>
        <v>0</v>
      </c>
      <c r="AE219" s="1279">
        <f ca="1">+'Capex_FO input'!CT219</f>
        <v>0</v>
      </c>
      <c r="AF219" s="393">
        <f ca="1">+'Capex_FO input'!CU219</f>
        <v>0</v>
      </c>
      <c r="AG219" s="394">
        <f ca="1">+'Capex_FO input'!CV219</f>
        <v>0</v>
      </c>
      <c r="AH219" s="394">
        <f ca="1">+'Capex_FO input'!CW219</f>
        <v>0</v>
      </c>
      <c r="AI219" s="394">
        <f ca="1">+'Capex_FO input'!CX219</f>
        <v>0</v>
      </c>
      <c r="AJ219" s="395">
        <f ca="1">+'Capex_FO input'!CY219</f>
        <v>0</v>
      </c>
    </row>
    <row r="220" spans="3:36" ht="11.25" customHeight="1">
      <c r="C220" s="78">
        <f t="shared" si="21"/>
        <v>174</v>
      </c>
      <c r="D220" s="1984">
        <f>+'Capex_FO input'!C220</f>
        <v>0</v>
      </c>
      <c r="E220" s="1985"/>
      <c r="F220" s="1985"/>
      <c r="G220" s="1985"/>
      <c r="H220" s="1986"/>
      <c r="I220" s="643">
        <f>+'Capex_FO input'!N220</f>
        <v>0</v>
      </c>
      <c r="J220" s="67"/>
      <c r="K220" s="67"/>
      <c r="L220" s="67"/>
      <c r="M220" s="67"/>
      <c r="N220" s="138"/>
      <c r="O220" s="67"/>
      <c r="P220" s="67"/>
      <c r="Q220" s="67"/>
      <c r="R220" s="91"/>
      <c r="S220" s="138"/>
      <c r="T220" s="67"/>
      <c r="U220" s="91"/>
      <c r="V220" s="67"/>
      <c r="W220" s="67"/>
      <c r="X220" s="67"/>
      <c r="Y220" s="67"/>
      <c r="Z220" s="67"/>
      <c r="AA220" s="393">
        <f ca="1">+'Capex_FO input'!CP220</f>
        <v>0</v>
      </c>
      <c r="AB220" s="394">
        <f ca="1">+'Capex_FO input'!CQ220</f>
        <v>0</v>
      </c>
      <c r="AC220" s="394">
        <f ca="1">+'Capex_FO input'!CR220</f>
        <v>0</v>
      </c>
      <c r="AD220" s="394">
        <f ca="1">+'Capex_FO input'!CS220</f>
        <v>0</v>
      </c>
      <c r="AE220" s="1279">
        <f ca="1">+'Capex_FO input'!CT220</f>
        <v>0</v>
      </c>
      <c r="AF220" s="393">
        <f ca="1">+'Capex_FO input'!CU220</f>
        <v>0</v>
      </c>
      <c r="AG220" s="394">
        <f ca="1">+'Capex_FO input'!CV220</f>
        <v>0</v>
      </c>
      <c r="AH220" s="394">
        <f ca="1">+'Capex_FO input'!CW220</f>
        <v>0</v>
      </c>
      <c r="AI220" s="394">
        <f ca="1">+'Capex_FO input'!CX220</f>
        <v>0</v>
      </c>
      <c r="AJ220" s="395">
        <f ca="1">+'Capex_FO input'!CY220</f>
        <v>0</v>
      </c>
    </row>
    <row r="221" spans="3:36" ht="11.25" customHeight="1">
      <c r="C221" s="78">
        <f t="shared" si="21"/>
        <v>175</v>
      </c>
      <c r="D221" s="1984">
        <f>+'Capex_FO input'!C221</f>
        <v>0</v>
      </c>
      <c r="E221" s="1985"/>
      <c r="F221" s="1985"/>
      <c r="G221" s="1985"/>
      <c r="H221" s="1986"/>
      <c r="I221" s="643">
        <f>+'Capex_FO input'!N221</f>
        <v>0</v>
      </c>
      <c r="J221" s="67"/>
      <c r="K221" s="67"/>
      <c r="L221" s="67"/>
      <c r="M221" s="67"/>
      <c r="N221" s="138"/>
      <c r="O221" s="67"/>
      <c r="P221" s="67"/>
      <c r="Q221" s="67"/>
      <c r="R221" s="91"/>
      <c r="S221" s="138"/>
      <c r="T221" s="67"/>
      <c r="U221" s="91"/>
      <c r="V221" s="67"/>
      <c r="W221" s="67"/>
      <c r="X221" s="67"/>
      <c r="Y221" s="67"/>
      <c r="Z221" s="67"/>
      <c r="AA221" s="393">
        <f ca="1">+'Capex_FO input'!CP221</f>
        <v>0</v>
      </c>
      <c r="AB221" s="394">
        <f ca="1">+'Capex_FO input'!CQ221</f>
        <v>0</v>
      </c>
      <c r="AC221" s="394">
        <f ca="1">+'Capex_FO input'!CR221</f>
        <v>0</v>
      </c>
      <c r="AD221" s="394">
        <f ca="1">+'Capex_FO input'!CS221</f>
        <v>0</v>
      </c>
      <c r="AE221" s="1279">
        <f ca="1">+'Capex_FO input'!CT221</f>
        <v>0</v>
      </c>
      <c r="AF221" s="393">
        <f ca="1">+'Capex_FO input'!CU221</f>
        <v>0</v>
      </c>
      <c r="AG221" s="394">
        <f ca="1">+'Capex_FO input'!CV221</f>
        <v>0</v>
      </c>
      <c r="AH221" s="394">
        <f ca="1">+'Capex_FO input'!CW221</f>
        <v>0</v>
      </c>
      <c r="AI221" s="394">
        <f ca="1">+'Capex_FO input'!CX221</f>
        <v>0</v>
      </c>
      <c r="AJ221" s="395">
        <f ca="1">+'Capex_FO input'!CY221</f>
        <v>0</v>
      </c>
    </row>
    <row r="222" spans="3:36" ht="11.25" customHeight="1">
      <c r="C222" s="78">
        <f t="shared" si="21"/>
        <v>176</v>
      </c>
      <c r="D222" s="1984">
        <f>+'Capex_FO input'!C222</f>
        <v>0</v>
      </c>
      <c r="E222" s="1985"/>
      <c r="F222" s="1985"/>
      <c r="G222" s="1985"/>
      <c r="H222" s="1986"/>
      <c r="I222" s="643">
        <f>+'Capex_FO input'!N222</f>
        <v>0</v>
      </c>
      <c r="J222" s="67"/>
      <c r="K222" s="67"/>
      <c r="L222" s="67"/>
      <c r="M222" s="67"/>
      <c r="N222" s="138"/>
      <c r="O222" s="67"/>
      <c r="P222" s="67"/>
      <c r="Q222" s="67"/>
      <c r="R222" s="91"/>
      <c r="S222" s="138"/>
      <c r="T222" s="67"/>
      <c r="U222" s="91"/>
      <c r="V222" s="67"/>
      <c r="W222" s="67"/>
      <c r="X222" s="67"/>
      <c r="Y222" s="67"/>
      <c r="Z222" s="67"/>
      <c r="AA222" s="393">
        <f ca="1">+'Capex_FO input'!CP222</f>
        <v>0</v>
      </c>
      <c r="AB222" s="394">
        <f ca="1">+'Capex_FO input'!CQ222</f>
        <v>0</v>
      </c>
      <c r="AC222" s="394">
        <f ca="1">+'Capex_FO input'!CR222</f>
        <v>0</v>
      </c>
      <c r="AD222" s="394">
        <f ca="1">+'Capex_FO input'!CS222</f>
        <v>0</v>
      </c>
      <c r="AE222" s="1279">
        <f ca="1">+'Capex_FO input'!CT222</f>
        <v>0</v>
      </c>
      <c r="AF222" s="393">
        <f ca="1">+'Capex_FO input'!CU222</f>
        <v>0</v>
      </c>
      <c r="AG222" s="394">
        <f ca="1">+'Capex_FO input'!CV222</f>
        <v>0</v>
      </c>
      <c r="AH222" s="394">
        <f ca="1">+'Capex_FO input'!CW222</f>
        <v>0</v>
      </c>
      <c r="AI222" s="394">
        <f ca="1">+'Capex_FO input'!CX222</f>
        <v>0</v>
      </c>
      <c r="AJ222" s="395">
        <f ca="1">+'Capex_FO input'!CY222</f>
        <v>0</v>
      </c>
    </row>
    <row r="223" spans="3:36" ht="11.25" customHeight="1">
      <c r="C223" s="78">
        <f t="shared" si="21"/>
        <v>177</v>
      </c>
      <c r="D223" s="1984">
        <f>+'Capex_FO input'!C223</f>
        <v>0</v>
      </c>
      <c r="E223" s="1985"/>
      <c r="F223" s="1985"/>
      <c r="G223" s="1985"/>
      <c r="H223" s="1986"/>
      <c r="I223" s="643">
        <f>+'Capex_FO input'!N223</f>
        <v>0</v>
      </c>
      <c r="J223" s="67"/>
      <c r="K223" s="67"/>
      <c r="L223" s="67"/>
      <c r="M223" s="67"/>
      <c r="N223" s="138"/>
      <c r="O223" s="67"/>
      <c r="P223" s="67"/>
      <c r="Q223" s="67"/>
      <c r="R223" s="91"/>
      <c r="S223" s="138"/>
      <c r="T223" s="67"/>
      <c r="U223" s="91"/>
      <c r="V223" s="67"/>
      <c r="W223" s="67"/>
      <c r="X223" s="67"/>
      <c r="Y223" s="67"/>
      <c r="Z223" s="67"/>
      <c r="AA223" s="393">
        <f ca="1">+'Capex_FO input'!CP223</f>
        <v>0</v>
      </c>
      <c r="AB223" s="394">
        <f ca="1">+'Capex_FO input'!CQ223</f>
        <v>0</v>
      </c>
      <c r="AC223" s="394">
        <f ca="1">+'Capex_FO input'!CR223</f>
        <v>0</v>
      </c>
      <c r="AD223" s="394">
        <f ca="1">+'Capex_FO input'!CS223</f>
        <v>0</v>
      </c>
      <c r="AE223" s="1279">
        <f ca="1">+'Capex_FO input'!CT223</f>
        <v>0</v>
      </c>
      <c r="AF223" s="393">
        <f ca="1">+'Capex_FO input'!CU223</f>
        <v>0</v>
      </c>
      <c r="AG223" s="394">
        <f ca="1">+'Capex_FO input'!CV223</f>
        <v>0</v>
      </c>
      <c r="AH223" s="394">
        <f ca="1">+'Capex_FO input'!CW223</f>
        <v>0</v>
      </c>
      <c r="AI223" s="394">
        <f ca="1">+'Capex_FO input'!CX223</f>
        <v>0</v>
      </c>
      <c r="AJ223" s="395">
        <f ca="1">+'Capex_FO input'!CY223</f>
        <v>0</v>
      </c>
    </row>
    <row r="224" spans="3:36" ht="11.25" customHeight="1">
      <c r="C224" s="78">
        <f t="shared" si="21"/>
        <v>178</v>
      </c>
      <c r="D224" s="1984">
        <f>+'Capex_FO input'!C224</f>
        <v>0</v>
      </c>
      <c r="E224" s="1985"/>
      <c r="F224" s="1985"/>
      <c r="G224" s="1985"/>
      <c r="H224" s="1986"/>
      <c r="I224" s="643">
        <f>+'Capex_FO input'!N224</f>
        <v>0</v>
      </c>
      <c r="J224" s="67"/>
      <c r="K224" s="67"/>
      <c r="L224" s="67"/>
      <c r="M224" s="67"/>
      <c r="N224" s="138"/>
      <c r="O224" s="67"/>
      <c r="P224" s="67"/>
      <c r="Q224" s="67"/>
      <c r="R224" s="91"/>
      <c r="S224" s="138"/>
      <c r="T224" s="67"/>
      <c r="U224" s="91"/>
      <c r="V224" s="67"/>
      <c r="W224" s="67"/>
      <c r="X224" s="67"/>
      <c r="Y224" s="67"/>
      <c r="Z224" s="67"/>
      <c r="AA224" s="393">
        <f ca="1">+'Capex_FO input'!CP224</f>
        <v>0</v>
      </c>
      <c r="AB224" s="394">
        <f ca="1">+'Capex_FO input'!CQ224</f>
        <v>0</v>
      </c>
      <c r="AC224" s="394">
        <f ca="1">+'Capex_FO input'!CR224</f>
        <v>0</v>
      </c>
      <c r="AD224" s="394">
        <f ca="1">+'Capex_FO input'!CS224</f>
        <v>0</v>
      </c>
      <c r="AE224" s="1279">
        <f ca="1">+'Capex_FO input'!CT224</f>
        <v>0</v>
      </c>
      <c r="AF224" s="393">
        <f ca="1">+'Capex_FO input'!CU224</f>
        <v>0</v>
      </c>
      <c r="AG224" s="394">
        <f ca="1">+'Capex_FO input'!CV224</f>
        <v>0</v>
      </c>
      <c r="AH224" s="394">
        <f ca="1">+'Capex_FO input'!CW224</f>
        <v>0</v>
      </c>
      <c r="AI224" s="394">
        <f ca="1">+'Capex_FO input'!CX224</f>
        <v>0</v>
      </c>
      <c r="AJ224" s="395">
        <f ca="1">+'Capex_FO input'!CY224</f>
        <v>0</v>
      </c>
    </row>
    <row r="225" spans="3:36" ht="11.25" customHeight="1">
      <c r="C225" s="78">
        <f t="shared" si="21"/>
        <v>179</v>
      </c>
      <c r="D225" s="1984">
        <f>+'Capex_FO input'!C225</f>
        <v>0</v>
      </c>
      <c r="E225" s="1985"/>
      <c r="F225" s="1985"/>
      <c r="G225" s="1985"/>
      <c r="H225" s="1986"/>
      <c r="I225" s="643">
        <f>+'Capex_FO input'!N225</f>
        <v>0</v>
      </c>
      <c r="J225" s="67"/>
      <c r="K225" s="67"/>
      <c r="L225" s="67"/>
      <c r="M225" s="67"/>
      <c r="N225" s="138"/>
      <c r="O225" s="67"/>
      <c r="P225" s="67"/>
      <c r="Q225" s="67"/>
      <c r="R225" s="91"/>
      <c r="S225" s="138"/>
      <c r="T225" s="67"/>
      <c r="U225" s="91"/>
      <c r="V225" s="67"/>
      <c r="W225" s="67"/>
      <c r="X225" s="67"/>
      <c r="Y225" s="67"/>
      <c r="Z225" s="67"/>
      <c r="AA225" s="393">
        <f ca="1">+'Capex_FO input'!CP225</f>
        <v>0</v>
      </c>
      <c r="AB225" s="394">
        <f ca="1">+'Capex_FO input'!CQ225</f>
        <v>0</v>
      </c>
      <c r="AC225" s="394">
        <f ca="1">+'Capex_FO input'!CR225</f>
        <v>0</v>
      </c>
      <c r="AD225" s="394">
        <f ca="1">+'Capex_FO input'!CS225</f>
        <v>0</v>
      </c>
      <c r="AE225" s="1279">
        <f ca="1">+'Capex_FO input'!CT225</f>
        <v>0</v>
      </c>
      <c r="AF225" s="393">
        <f ca="1">+'Capex_FO input'!CU225</f>
        <v>0</v>
      </c>
      <c r="AG225" s="394">
        <f ca="1">+'Capex_FO input'!CV225</f>
        <v>0</v>
      </c>
      <c r="AH225" s="394">
        <f ca="1">+'Capex_FO input'!CW225</f>
        <v>0</v>
      </c>
      <c r="AI225" s="394">
        <f ca="1">+'Capex_FO input'!CX225</f>
        <v>0</v>
      </c>
      <c r="AJ225" s="395">
        <f ca="1">+'Capex_FO input'!CY225</f>
        <v>0</v>
      </c>
    </row>
    <row r="226" spans="3:36" ht="11.25" customHeight="1">
      <c r="C226" s="78">
        <f t="shared" si="21"/>
        <v>180</v>
      </c>
      <c r="D226" s="1984">
        <f>+'Capex_FO input'!C226</f>
        <v>0</v>
      </c>
      <c r="E226" s="1985"/>
      <c r="F226" s="1985"/>
      <c r="G226" s="1985"/>
      <c r="H226" s="1986"/>
      <c r="I226" s="643">
        <f>+'Capex_FO input'!N226</f>
        <v>0</v>
      </c>
      <c r="J226" s="67"/>
      <c r="K226" s="67"/>
      <c r="L226" s="67"/>
      <c r="M226" s="67"/>
      <c r="N226" s="138"/>
      <c r="O226" s="67"/>
      <c r="P226" s="67"/>
      <c r="Q226" s="67"/>
      <c r="R226" s="91"/>
      <c r="S226" s="138"/>
      <c r="T226" s="67"/>
      <c r="U226" s="91"/>
      <c r="V226" s="67"/>
      <c r="W226" s="67"/>
      <c r="X226" s="67"/>
      <c r="Y226" s="67"/>
      <c r="Z226" s="67"/>
      <c r="AA226" s="393">
        <f ca="1">+'Capex_FO input'!CP226</f>
        <v>0</v>
      </c>
      <c r="AB226" s="394">
        <f ca="1">+'Capex_FO input'!CQ226</f>
        <v>0</v>
      </c>
      <c r="AC226" s="394">
        <f ca="1">+'Capex_FO input'!CR226</f>
        <v>0</v>
      </c>
      <c r="AD226" s="394">
        <f ca="1">+'Capex_FO input'!CS226</f>
        <v>0</v>
      </c>
      <c r="AE226" s="1279">
        <f ca="1">+'Capex_FO input'!CT226</f>
        <v>0</v>
      </c>
      <c r="AF226" s="393">
        <f ca="1">+'Capex_FO input'!CU226</f>
        <v>0</v>
      </c>
      <c r="AG226" s="394">
        <f ca="1">+'Capex_FO input'!CV226</f>
        <v>0</v>
      </c>
      <c r="AH226" s="394">
        <f ca="1">+'Capex_FO input'!CW226</f>
        <v>0</v>
      </c>
      <c r="AI226" s="394">
        <f ca="1">+'Capex_FO input'!CX226</f>
        <v>0</v>
      </c>
      <c r="AJ226" s="395">
        <f ca="1">+'Capex_FO input'!CY226</f>
        <v>0</v>
      </c>
    </row>
    <row r="227" spans="3:36" ht="11.25" customHeight="1">
      <c r="C227" s="78">
        <f t="shared" si="21"/>
        <v>181</v>
      </c>
      <c r="D227" s="1984">
        <f>+'Capex_FO input'!C227</f>
        <v>0</v>
      </c>
      <c r="E227" s="1985"/>
      <c r="F227" s="1985"/>
      <c r="G227" s="1985"/>
      <c r="H227" s="1986"/>
      <c r="I227" s="643">
        <f>+'Capex_FO input'!N227</f>
        <v>0</v>
      </c>
      <c r="J227" s="67"/>
      <c r="K227" s="67"/>
      <c r="L227" s="67"/>
      <c r="M227" s="67"/>
      <c r="N227" s="138"/>
      <c r="O227" s="67"/>
      <c r="P227" s="67"/>
      <c r="Q227" s="67"/>
      <c r="R227" s="91"/>
      <c r="S227" s="138"/>
      <c r="T227" s="67"/>
      <c r="U227" s="91"/>
      <c r="V227" s="67"/>
      <c r="W227" s="67"/>
      <c r="X227" s="67"/>
      <c r="Y227" s="67"/>
      <c r="Z227" s="67"/>
      <c r="AA227" s="393">
        <f ca="1">+'Capex_FO input'!CP227</f>
        <v>0</v>
      </c>
      <c r="AB227" s="394">
        <f ca="1">+'Capex_FO input'!CQ227</f>
        <v>0</v>
      </c>
      <c r="AC227" s="394">
        <f ca="1">+'Capex_FO input'!CR227</f>
        <v>0</v>
      </c>
      <c r="AD227" s="394">
        <f ca="1">+'Capex_FO input'!CS227</f>
        <v>0</v>
      </c>
      <c r="AE227" s="1279">
        <f ca="1">+'Capex_FO input'!CT227</f>
        <v>0</v>
      </c>
      <c r="AF227" s="393">
        <f ca="1">+'Capex_FO input'!CU227</f>
        <v>0</v>
      </c>
      <c r="AG227" s="394">
        <f ca="1">+'Capex_FO input'!CV227</f>
        <v>0</v>
      </c>
      <c r="AH227" s="394">
        <f ca="1">+'Capex_FO input'!CW227</f>
        <v>0</v>
      </c>
      <c r="AI227" s="394">
        <f ca="1">+'Capex_FO input'!CX227</f>
        <v>0</v>
      </c>
      <c r="AJ227" s="395">
        <f ca="1">+'Capex_FO input'!CY227</f>
        <v>0</v>
      </c>
    </row>
    <row r="228" spans="3:36" ht="11.25" customHeight="1">
      <c r="C228" s="78">
        <f t="shared" si="21"/>
        <v>182</v>
      </c>
      <c r="D228" s="1984">
        <f>+'Capex_FO input'!C228</f>
        <v>0</v>
      </c>
      <c r="E228" s="1985"/>
      <c r="F228" s="1985"/>
      <c r="G228" s="1985"/>
      <c r="H228" s="1986"/>
      <c r="I228" s="643">
        <f>+'Capex_FO input'!N228</f>
        <v>0</v>
      </c>
      <c r="J228" s="67"/>
      <c r="K228" s="67"/>
      <c r="L228" s="67"/>
      <c r="M228" s="67"/>
      <c r="N228" s="138"/>
      <c r="O228" s="67"/>
      <c r="P228" s="67"/>
      <c r="Q228" s="67"/>
      <c r="R228" s="91"/>
      <c r="S228" s="138"/>
      <c r="T228" s="67"/>
      <c r="U228" s="91"/>
      <c r="V228" s="67"/>
      <c r="W228" s="67"/>
      <c r="X228" s="67"/>
      <c r="Y228" s="67"/>
      <c r="Z228" s="67"/>
      <c r="AA228" s="393">
        <f ca="1">+'Capex_FO input'!CP228</f>
        <v>0</v>
      </c>
      <c r="AB228" s="394">
        <f ca="1">+'Capex_FO input'!CQ228</f>
        <v>0</v>
      </c>
      <c r="AC228" s="394">
        <f ca="1">+'Capex_FO input'!CR228</f>
        <v>0</v>
      </c>
      <c r="AD228" s="394">
        <f ca="1">+'Capex_FO input'!CS228</f>
        <v>0</v>
      </c>
      <c r="AE228" s="1279">
        <f ca="1">+'Capex_FO input'!CT228</f>
        <v>0</v>
      </c>
      <c r="AF228" s="393">
        <f ca="1">+'Capex_FO input'!CU228</f>
        <v>0</v>
      </c>
      <c r="AG228" s="394">
        <f ca="1">+'Capex_FO input'!CV228</f>
        <v>0</v>
      </c>
      <c r="AH228" s="394">
        <f ca="1">+'Capex_FO input'!CW228</f>
        <v>0</v>
      </c>
      <c r="AI228" s="394">
        <f ca="1">+'Capex_FO input'!CX228</f>
        <v>0</v>
      </c>
      <c r="AJ228" s="395">
        <f ca="1">+'Capex_FO input'!CY228</f>
        <v>0</v>
      </c>
    </row>
    <row r="229" spans="3:36" ht="11.25" customHeight="1">
      <c r="C229" s="78">
        <f t="shared" si="21"/>
        <v>183</v>
      </c>
      <c r="D229" s="1984">
        <f>+'Capex_FO input'!C229</f>
        <v>0</v>
      </c>
      <c r="E229" s="1985"/>
      <c r="F229" s="1985"/>
      <c r="G229" s="1985"/>
      <c r="H229" s="1986"/>
      <c r="I229" s="643">
        <f>+'Capex_FO input'!N229</f>
        <v>0</v>
      </c>
      <c r="J229" s="67"/>
      <c r="K229" s="67"/>
      <c r="L229" s="67"/>
      <c r="M229" s="67"/>
      <c r="N229" s="138"/>
      <c r="O229" s="67"/>
      <c r="P229" s="67"/>
      <c r="Q229" s="67"/>
      <c r="R229" s="91"/>
      <c r="S229" s="138"/>
      <c r="T229" s="67"/>
      <c r="U229" s="91"/>
      <c r="V229" s="67"/>
      <c r="W229" s="67"/>
      <c r="X229" s="67"/>
      <c r="Y229" s="67"/>
      <c r="Z229" s="67"/>
      <c r="AA229" s="393">
        <f ca="1">+'Capex_FO input'!CP229</f>
        <v>0</v>
      </c>
      <c r="AB229" s="394">
        <f ca="1">+'Capex_FO input'!CQ229</f>
        <v>0</v>
      </c>
      <c r="AC229" s="394">
        <f ca="1">+'Capex_FO input'!CR229</f>
        <v>0</v>
      </c>
      <c r="AD229" s="394">
        <f ca="1">+'Capex_FO input'!CS229</f>
        <v>0</v>
      </c>
      <c r="AE229" s="1279">
        <f ca="1">+'Capex_FO input'!CT229</f>
        <v>0</v>
      </c>
      <c r="AF229" s="393">
        <f ca="1">+'Capex_FO input'!CU229</f>
        <v>0</v>
      </c>
      <c r="AG229" s="394">
        <f ca="1">+'Capex_FO input'!CV229</f>
        <v>0</v>
      </c>
      <c r="AH229" s="394">
        <f ca="1">+'Capex_FO input'!CW229</f>
        <v>0</v>
      </c>
      <c r="AI229" s="394">
        <f ca="1">+'Capex_FO input'!CX229</f>
        <v>0</v>
      </c>
      <c r="AJ229" s="395">
        <f ca="1">+'Capex_FO input'!CY229</f>
        <v>0</v>
      </c>
    </row>
    <row r="230" spans="3:36" ht="11.25" customHeight="1">
      <c r="C230" s="78">
        <f t="shared" si="21"/>
        <v>184</v>
      </c>
      <c r="D230" s="1984">
        <f>+'Capex_FO input'!C230</f>
        <v>0</v>
      </c>
      <c r="E230" s="1985"/>
      <c r="F230" s="1985"/>
      <c r="G230" s="1985"/>
      <c r="H230" s="1986"/>
      <c r="I230" s="643">
        <f>+'Capex_FO input'!N230</f>
        <v>0</v>
      </c>
      <c r="J230" s="67"/>
      <c r="K230" s="67"/>
      <c r="L230" s="67"/>
      <c r="M230" s="67"/>
      <c r="N230" s="138"/>
      <c r="O230" s="67"/>
      <c r="P230" s="67"/>
      <c r="Q230" s="67"/>
      <c r="R230" s="91"/>
      <c r="S230" s="138"/>
      <c r="T230" s="67"/>
      <c r="U230" s="91"/>
      <c r="V230" s="67"/>
      <c r="W230" s="67"/>
      <c r="X230" s="67"/>
      <c r="Y230" s="67"/>
      <c r="Z230" s="67"/>
      <c r="AA230" s="393">
        <f ca="1">+'Capex_FO input'!CP230</f>
        <v>0</v>
      </c>
      <c r="AB230" s="394">
        <f ca="1">+'Capex_FO input'!CQ230</f>
        <v>0</v>
      </c>
      <c r="AC230" s="394">
        <f ca="1">+'Capex_FO input'!CR230</f>
        <v>0</v>
      </c>
      <c r="AD230" s="394">
        <f ca="1">+'Capex_FO input'!CS230</f>
        <v>0</v>
      </c>
      <c r="AE230" s="1279">
        <f ca="1">+'Capex_FO input'!CT230</f>
        <v>0</v>
      </c>
      <c r="AF230" s="393">
        <f ca="1">+'Capex_FO input'!CU230</f>
        <v>0</v>
      </c>
      <c r="AG230" s="394">
        <f ca="1">+'Capex_FO input'!CV230</f>
        <v>0</v>
      </c>
      <c r="AH230" s="394">
        <f ca="1">+'Capex_FO input'!CW230</f>
        <v>0</v>
      </c>
      <c r="AI230" s="394">
        <f ca="1">+'Capex_FO input'!CX230</f>
        <v>0</v>
      </c>
      <c r="AJ230" s="395">
        <f ca="1">+'Capex_FO input'!CY230</f>
        <v>0</v>
      </c>
    </row>
    <row r="231" spans="3:36" ht="11.25" customHeight="1">
      <c r="C231" s="78">
        <f t="shared" si="21"/>
        <v>185</v>
      </c>
      <c r="D231" s="1984">
        <f>+'Capex_FO input'!C231</f>
        <v>0</v>
      </c>
      <c r="E231" s="1985"/>
      <c r="F231" s="1985"/>
      <c r="G231" s="1985"/>
      <c r="H231" s="1986"/>
      <c r="I231" s="643">
        <f>+'Capex_FO input'!N231</f>
        <v>0</v>
      </c>
      <c r="J231" s="67"/>
      <c r="K231" s="67"/>
      <c r="L231" s="67"/>
      <c r="M231" s="67"/>
      <c r="N231" s="138"/>
      <c r="O231" s="67"/>
      <c r="P231" s="67"/>
      <c r="Q231" s="67"/>
      <c r="R231" s="91"/>
      <c r="S231" s="138"/>
      <c r="T231" s="67"/>
      <c r="U231" s="91"/>
      <c r="V231" s="67"/>
      <c r="W231" s="67"/>
      <c r="X231" s="67"/>
      <c r="Y231" s="67"/>
      <c r="Z231" s="67"/>
      <c r="AA231" s="393">
        <f ca="1">+'Capex_FO input'!CP231</f>
        <v>0</v>
      </c>
      <c r="AB231" s="394">
        <f ca="1">+'Capex_FO input'!CQ231</f>
        <v>0</v>
      </c>
      <c r="AC231" s="394">
        <f ca="1">+'Capex_FO input'!CR231</f>
        <v>0</v>
      </c>
      <c r="AD231" s="394">
        <f ca="1">+'Capex_FO input'!CS231</f>
        <v>0</v>
      </c>
      <c r="AE231" s="1279">
        <f ca="1">+'Capex_FO input'!CT231</f>
        <v>0</v>
      </c>
      <c r="AF231" s="393">
        <f ca="1">+'Capex_FO input'!CU231</f>
        <v>0</v>
      </c>
      <c r="AG231" s="394">
        <f ca="1">+'Capex_FO input'!CV231</f>
        <v>0</v>
      </c>
      <c r="AH231" s="394">
        <f ca="1">+'Capex_FO input'!CW231</f>
        <v>0</v>
      </c>
      <c r="AI231" s="394">
        <f ca="1">+'Capex_FO input'!CX231</f>
        <v>0</v>
      </c>
      <c r="AJ231" s="395">
        <f ca="1">+'Capex_FO input'!CY231</f>
        <v>0</v>
      </c>
    </row>
    <row r="232" spans="3:36" ht="11.25" customHeight="1">
      <c r="C232" s="78">
        <f t="shared" si="21"/>
        <v>186</v>
      </c>
      <c r="D232" s="1984">
        <f>+'Capex_FO input'!C232</f>
        <v>0</v>
      </c>
      <c r="E232" s="1985"/>
      <c r="F232" s="1985"/>
      <c r="G232" s="1985"/>
      <c r="H232" s="1986"/>
      <c r="I232" s="643">
        <f>+'Capex_FO input'!N232</f>
        <v>0</v>
      </c>
      <c r="J232" s="67"/>
      <c r="K232" s="67"/>
      <c r="L232" s="67"/>
      <c r="M232" s="67"/>
      <c r="N232" s="138"/>
      <c r="O232" s="67"/>
      <c r="P232" s="67"/>
      <c r="Q232" s="67"/>
      <c r="R232" s="91"/>
      <c r="S232" s="138"/>
      <c r="T232" s="67"/>
      <c r="U232" s="91"/>
      <c r="V232" s="67"/>
      <c r="W232" s="67"/>
      <c r="X232" s="67"/>
      <c r="Y232" s="67"/>
      <c r="Z232" s="67"/>
      <c r="AA232" s="393">
        <f ca="1">+'Capex_FO input'!CP232</f>
        <v>0</v>
      </c>
      <c r="AB232" s="394">
        <f ca="1">+'Capex_FO input'!CQ232</f>
        <v>0</v>
      </c>
      <c r="AC232" s="394">
        <f ca="1">+'Capex_FO input'!CR232</f>
        <v>0</v>
      </c>
      <c r="AD232" s="394">
        <f ca="1">+'Capex_FO input'!CS232</f>
        <v>0</v>
      </c>
      <c r="AE232" s="1279">
        <f ca="1">+'Capex_FO input'!CT232</f>
        <v>0</v>
      </c>
      <c r="AF232" s="393">
        <f ca="1">+'Capex_FO input'!CU232</f>
        <v>0</v>
      </c>
      <c r="AG232" s="394">
        <f ca="1">+'Capex_FO input'!CV232</f>
        <v>0</v>
      </c>
      <c r="AH232" s="394">
        <f ca="1">+'Capex_FO input'!CW232</f>
        <v>0</v>
      </c>
      <c r="AI232" s="394">
        <f ca="1">+'Capex_FO input'!CX232</f>
        <v>0</v>
      </c>
      <c r="AJ232" s="395">
        <f ca="1">+'Capex_FO input'!CY232</f>
        <v>0</v>
      </c>
    </row>
    <row r="233" spans="3:36" ht="11.25" customHeight="1">
      <c r="C233" s="78">
        <f t="shared" si="21"/>
        <v>187</v>
      </c>
      <c r="D233" s="1984">
        <f>+'Capex_FO input'!C233</f>
        <v>0</v>
      </c>
      <c r="E233" s="1985"/>
      <c r="F233" s="1985"/>
      <c r="G233" s="1985"/>
      <c r="H233" s="1986"/>
      <c r="I233" s="643">
        <f>+'Capex_FO input'!N233</f>
        <v>0</v>
      </c>
      <c r="J233" s="67"/>
      <c r="K233" s="67"/>
      <c r="L233" s="67"/>
      <c r="M233" s="67"/>
      <c r="N233" s="138"/>
      <c r="O233" s="67"/>
      <c r="P233" s="67"/>
      <c r="Q233" s="67"/>
      <c r="R233" s="91"/>
      <c r="S233" s="138"/>
      <c r="T233" s="67"/>
      <c r="U233" s="91"/>
      <c r="V233" s="67"/>
      <c r="W233" s="67"/>
      <c r="X233" s="67"/>
      <c r="Y233" s="67"/>
      <c r="Z233" s="67"/>
      <c r="AA233" s="393">
        <f ca="1">+'Capex_FO input'!CP233</f>
        <v>0</v>
      </c>
      <c r="AB233" s="394">
        <f ca="1">+'Capex_FO input'!CQ233</f>
        <v>0</v>
      </c>
      <c r="AC233" s="394">
        <f ca="1">+'Capex_FO input'!CR233</f>
        <v>0</v>
      </c>
      <c r="AD233" s="394">
        <f ca="1">+'Capex_FO input'!CS233</f>
        <v>0</v>
      </c>
      <c r="AE233" s="1279">
        <f ca="1">+'Capex_FO input'!CT233</f>
        <v>0</v>
      </c>
      <c r="AF233" s="393">
        <f ca="1">+'Capex_FO input'!CU233</f>
        <v>0</v>
      </c>
      <c r="AG233" s="394">
        <f ca="1">+'Capex_FO input'!CV233</f>
        <v>0</v>
      </c>
      <c r="AH233" s="394">
        <f ca="1">+'Capex_FO input'!CW233</f>
        <v>0</v>
      </c>
      <c r="AI233" s="394">
        <f ca="1">+'Capex_FO input'!CX233</f>
        <v>0</v>
      </c>
      <c r="AJ233" s="395">
        <f ca="1">+'Capex_FO input'!CY233</f>
        <v>0</v>
      </c>
    </row>
    <row r="234" spans="3:36" ht="11.25" customHeight="1">
      <c r="C234" s="78">
        <f t="shared" si="21"/>
        <v>188</v>
      </c>
      <c r="D234" s="1984">
        <f>+'Capex_FO input'!C234</f>
        <v>0</v>
      </c>
      <c r="E234" s="1985"/>
      <c r="F234" s="1985"/>
      <c r="G234" s="1985"/>
      <c r="H234" s="1986"/>
      <c r="I234" s="643">
        <f>+'Capex_FO input'!N234</f>
        <v>0</v>
      </c>
      <c r="J234" s="67"/>
      <c r="K234" s="67"/>
      <c r="L234" s="67"/>
      <c r="M234" s="67"/>
      <c r="N234" s="138"/>
      <c r="O234" s="67"/>
      <c r="P234" s="67"/>
      <c r="Q234" s="67"/>
      <c r="R234" s="91"/>
      <c r="S234" s="138"/>
      <c r="T234" s="67"/>
      <c r="U234" s="91"/>
      <c r="V234" s="67"/>
      <c r="W234" s="67"/>
      <c r="X234" s="67"/>
      <c r="Y234" s="67"/>
      <c r="Z234" s="67"/>
      <c r="AA234" s="393">
        <f ca="1">+'Capex_FO input'!CP234</f>
        <v>0</v>
      </c>
      <c r="AB234" s="394">
        <f ca="1">+'Capex_FO input'!CQ234</f>
        <v>0</v>
      </c>
      <c r="AC234" s="394">
        <f ca="1">+'Capex_FO input'!CR234</f>
        <v>0</v>
      </c>
      <c r="AD234" s="394">
        <f ca="1">+'Capex_FO input'!CS234</f>
        <v>0</v>
      </c>
      <c r="AE234" s="1279">
        <f ca="1">+'Capex_FO input'!CT234</f>
        <v>0</v>
      </c>
      <c r="AF234" s="393">
        <f ca="1">+'Capex_FO input'!CU234</f>
        <v>0</v>
      </c>
      <c r="AG234" s="394">
        <f ca="1">+'Capex_FO input'!CV234</f>
        <v>0</v>
      </c>
      <c r="AH234" s="394">
        <f ca="1">+'Capex_FO input'!CW234</f>
        <v>0</v>
      </c>
      <c r="AI234" s="394">
        <f ca="1">+'Capex_FO input'!CX234</f>
        <v>0</v>
      </c>
      <c r="AJ234" s="395">
        <f ca="1">+'Capex_FO input'!CY234</f>
        <v>0</v>
      </c>
    </row>
    <row r="235" spans="3:36" ht="11.25" customHeight="1">
      <c r="C235" s="78">
        <f t="shared" si="21"/>
        <v>189</v>
      </c>
      <c r="D235" s="1984">
        <f>+'Capex_FO input'!C235</f>
        <v>0</v>
      </c>
      <c r="E235" s="1985"/>
      <c r="F235" s="1985"/>
      <c r="G235" s="1985"/>
      <c r="H235" s="1986"/>
      <c r="I235" s="643">
        <f>+'Capex_FO input'!N235</f>
        <v>0</v>
      </c>
      <c r="J235" s="67"/>
      <c r="K235" s="67"/>
      <c r="L235" s="67"/>
      <c r="M235" s="67"/>
      <c r="N235" s="138"/>
      <c r="O235" s="67"/>
      <c r="P235" s="67"/>
      <c r="Q235" s="67"/>
      <c r="R235" s="91"/>
      <c r="S235" s="138"/>
      <c r="T235" s="67"/>
      <c r="U235" s="91"/>
      <c r="V235" s="67"/>
      <c r="W235" s="67"/>
      <c r="X235" s="67"/>
      <c r="Y235" s="67"/>
      <c r="Z235" s="67"/>
      <c r="AA235" s="393">
        <f ca="1">+'Capex_FO input'!CP235</f>
        <v>0</v>
      </c>
      <c r="AB235" s="394">
        <f ca="1">+'Capex_FO input'!CQ235</f>
        <v>0</v>
      </c>
      <c r="AC235" s="394">
        <f ca="1">+'Capex_FO input'!CR235</f>
        <v>0</v>
      </c>
      <c r="AD235" s="394">
        <f ca="1">+'Capex_FO input'!CS235</f>
        <v>0</v>
      </c>
      <c r="AE235" s="1279">
        <f ca="1">+'Capex_FO input'!CT235</f>
        <v>0</v>
      </c>
      <c r="AF235" s="393">
        <f ca="1">+'Capex_FO input'!CU235</f>
        <v>0</v>
      </c>
      <c r="AG235" s="394">
        <f ca="1">+'Capex_FO input'!CV235</f>
        <v>0</v>
      </c>
      <c r="AH235" s="394">
        <f ca="1">+'Capex_FO input'!CW235</f>
        <v>0</v>
      </c>
      <c r="AI235" s="394">
        <f ca="1">+'Capex_FO input'!CX235</f>
        <v>0</v>
      </c>
      <c r="AJ235" s="395">
        <f ca="1">+'Capex_FO input'!CY235</f>
        <v>0</v>
      </c>
    </row>
    <row r="236" spans="3:36" ht="11.25" customHeight="1">
      <c r="C236" s="78">
        <f t="shared" si="21"/>
        <v>190</v>
      </c>
      <c r="D236" s="1984">
        <f>+'Capex_FO input'!C236</f>
        <v>0</v>
      </c>
      <c r="E236" s="1985"/>
      <c r="F236" s="1985"/>
      <c r="G236" s="1985"/>
      <c r="H236" s="1986"/>
      <c r="I236" s="643">
        <f>+'Capex_FO input'!N236</f>
        <v>0</v>
      </c>
      <c r="J236" s="67"/>
      <c r="K236" s="67"/>
      <c r="L236" s="67"/>
      <c r="M236" s="67"/>
      <c r="N236" s="138"/>
      <c r="O236" s="67"/>
      <c r="P236" s="67"/>
      <c r="Q236" s="67"/>
      <c r="R236" s="91"/>
      <c r="S236" s="138"/>
      <c r="T236" s="67"/>
      <c r="U236" s="91"/>
      <c r="V236" s="67"/>
      <c r="W236" s="67"/>
      <c r="X236" s="67"/>
      <c r="Y236" s="67"/>
      <c r="Z236" s="67"/>
      <c r="AA236" s="393">
        <f ca="1">+'Capex_FO input'!CP236</f>
        <v>0</v>
      </c>
      <c r="AB236" s="394">
        <f ca="1">+'Capex_FO input'!CQ236</f>
        <v>0</v>
      </c>
      <c r="AC236" s="394">
        <f ca="1">+'Capex_FO input'!CR236</f>
        <v>0</v>
      </c>
      <c r="AD236" s="394">
        <f ca="1">+'Capex_FO input'!CS236</f>
        <v>0</v>
      </c>
      <c r="AE236" s="1279">
        <f ca="1">+'Capex_FO input'!CT236</f>
        <v>0</v>
      </c>
      <c r="AF236" s="393">
        <f ca="1">+'Capex_FO input'!CU236</f>
        <v>0</v>
      </c>
      <c r="AG236" s="394">
        <f ca="1">+'Capex_FO input'!CV236</f>
        <v>0</v>
      </c>
      <c r="AH236" s="394">
        <f ca="1">+'Capex_FO input'!CW236</f>
        <v>0</v>
      </c>
      <c r="AI236" s="394">
        <f ca="1">+'Capex_FO input'!CX236</f>
        <v>0</v>
      </c>
      <c r="AJ236" s="395">
        <f ca="1">+'Capex_FO input'!CY236</f>
        <v>0</v>
      </c>
    </row>
    <row r="237" spans="3:36" ht="11.25" customHeight="1">
      <c r="C237" s="78">
        <f t="shared" si="21"/>
        <v>191</v>
      </c>
      <c r="D237" s="1984">
        <f>+'Capex_FO input'!C237</f>
        <v>0</v>
      </c>
      <c r="E237" s="1985"/>
      <c r="F237" s="1985"/>
      <c r="G237" s="1985"/>
      <c r="H237" s="1986"/>
      <c r="I237" s="643">
        <f>+'Capex_FO input'!N237</f>
        <v>0</v>
      </c>
      <c r="J237" s="67"/>
      <c r="K237" s="67"/>
      <c r="L237" s="67"/>
      <c r="M237" s="67"/>
      <c r="N237" s="138"/>
      <c r="O237" s="67"/>
      <c r="P237" s="67"/>
      <c r="Q237" s="67"/>
      <c r="R237" s="91"/>
      <c r="S237" s="138"/>
      <c r="T237" s="67"/>
      <c r="U237" s="91"/>
      <c r="V237" s="67"/>
      <c r="W237" s="67"/>
      <c r="X237" s="67"/>
      <c r="Y237" s="67"/>
      <c r="Z237" s="67"/>
      <c r="AA237" s="393">
        <f ca="1">+'Capex_FO input'!CP237</f>
        <v>0</v>
      </c>
      <c r="AB237" s="394">
        <f ca="1">+'Capex_FO input'!CQ237</f>
        <v>0</v>
      </c>
      <c r="AC237" s="394">
        <f ca="1">+'Capex_FO input'!CR237</f>
        <v>0</v>
      </c>
      <c r="AD237" s="394">
        <f ca="1">+'Capex_FO input'!CS237</f>
        <v>0</v>
      </c>
      <c r="AE237" s="1279">
        <f ca="1">+'Capex_FO input'!CT237</f>
        <v>0</v>
      </c>
      <c r="AF237" s="393">
        <f ca="1">+'Capex_FO input'!CU237</f>
        <v>0</v>
      </c>
      <c r="AG237" s="394">
        <f ca="1">+'Capex_FO input'!CV237</f>
        <v>0</v>
      </c>
      <c r="AH237" s="394">
        <f ca="1">+'Capex_FO input'!CW237</f>
        <v>0</v>
      </c>
      <c r="AI237" s="394">
        <f ca="1">+'Capex_FO input'!CX237</f>
        <v>0</v>
      </c>
      <c r="AJ237" s="395">
        <f ca="1">+'Capex_FO input'!CY237</f>
        <v>0</v>
      </c>
    </row>
    <row r="238" spans="3:36" ht="11.25" customHeight="1">
      <c r="C238" s="78">
        <f t="shared" si="21"/>
        <v>192</v>
      </c>
      <c r="D238" s="1984">
        <f>+'Capex_FO input'!C238</f>
        <v>0</v>
      </c>
      <c r="E238" s="1985"/>
      <c r="F238" s="1985"/>
      <c r="G238" s="1985"/>
      <c r="H238" s="1986"/>
      <c r="I238" s="643">
        <f>+'Capex_FO input'!N238</f>
        <v>0</v>
      </c>
      <c r="J238" s="67"/>
      <c r="K238" s="67"/>
      <c r="L238" s="67"/>
      <c r="M238" s="67"/>
      <c r="N238" s="138"/>
      <c r="O238" s="67"/>
      <c r="P238" s="67"/>
      <c r="Q238" s="67"/>
      <c r="R238" s="91"/>
      <c r="S238" s="138"/>
      <c r="T238" s="67"/>
      <c r="U238" s="91"/>
      <c r="V238" s="67"/>
      <c r="W238" s="67"/>
      <c r="X238" s="67"/>
      <c r="Y238" s="67"/>
      <c r="Z238" s="67"/>
      <c r="AA238" s="393">
        <f ca="1">+'Capex_FO input'!CP238</f>
        <v>0</v>
      </c>
      <c r="AB238" s="394">
        <f ca="1">+'Capex_FO input'!CQ238</f>
        <v>0</v>
      </c>
      <c r="AC238" s="394">
        <f ca="1">+'Capex_FO input'!CR238</f>
        <v>0</v>
      </c>
      <c r="AD238" s="394">
        <f ca="1">+'Capex_FO input'!CS238</f>
        <v>0</v>
      </c>
      <c r="AE238" s="1279">
        <f ca="1">+'Capex_FO input'!CT238</f>
        <v>0</v>
      </c>
      <c r="AF238" s="393">
        <f ca="1">+'Capex_FO input'!CU238</f>
        <v>0</v>
      </c>
      <c r="AG238" s="394">
        <f ca="1">+'Capex_FO input'!CV238</f>
        <v>0</v>
      </c>
      <c r="AH238" s="394">
        <f ca="1">+'Capex_FO input'!CW238</f>
        <v>0</v>
      </c>
      <c r="AI238" s="394">
        <f ca="1">+'Capex_FO input'!CX238</f>
        <v>0</v>
      </c>
      <c r="AJ238" s="395">
        <f ca="1">+'Capex_FO input'!CY238</f>
        <v>0</v>
      </c>
    </row>
    <row r="239" spans="3:36" ht="11.25" customHeight="1">
      <c r="C239" s="78">
        <f t="shared" si="21"/>
        <v>193</v>
      </c>
      <c r="D239" s="1984">
        <f>+'Capex_FO input'!C239</f>
        <v>0</v>
      </c>
      <c r="E239" s="1985"/>
      <c r="F239" s="1985"/>
      <c r="G239" s="1985"/>
      <c r="H239" s="1986"/>
      <c r="I239" s="643">
        <f>+'Capex_FO input'!N239</f>
        <v>0</v>
      </c>
      <c r="J239" s="67"/>
      <c r="K239" s="67"/>
      <c r="L239" s="67"/>
      <c r="M239" s="67"/>
      <c r="N239" s="138"/>
      <c r="O239" s="67"/>
      <c r="P239" s="67"/>
      <c r="Q239" s="67"/>
      <c r="R239" s="91"/>
      <c r="S239" s="138"/>
      <c r="T239" s="67"/>
      <c r="U239" s="91"/>
      <c r="V239" s="67"/>
      <c r="W239" s="67"/>
      <c r="X239" s="67"/>
      <c r="Y239" s="67"/>
      <c r="Z239" s="67"/>
      <c r="AA239" s="393">
        <f ca="1">+'Capex_FO input'!CP239</f>
        <v>0</v>
      </c>
      <c r="AB239" s="394">
        <f ca="1">+'Capex_FO input'!CQ239</f>
        <v>0</v>
      </c>
      <c r="AC239" s="394">
        <f ca="1">+'Capex_FO input'!CR239</f>
        <v>0</v>
      </c>
      <c r="AD239" s="394">
        <f ca="1">+'Capex_FO input'!CS239</f>
        <v>0</v>
      </c>
      <c r="AE239" s="1279">
        <f ca="1">+'Capex_FO input'!CT239</f>
        <v>0</v>
      </c>
      <c r="AF239" s="393">
        <f ca="1">+'Capex_FO input'!CU239</f>
        <v>0</v>
      </c>
      <c r="AG239" s="394">
        <f ca="1">+'Capex_FO input'!CV239</f>
        <v>0</v>
      </c>
      <c r="AH239" s="394">
        <f ca="1">+'Capex_FO input'!CW239</f>
        <v>0</v>
      </c>
      <c r="AI239" s="394">
        <f ca="1">+'Capex_FO input'!CX239</f>
        <v>0</v>
      </c>
      <c r="AJ239" s="395">
        <f ca="1">+'Capex_FO input'!CY239</f>
        <v>0</v>
      </c>
    </row>
    <row r="240" spans="3:36" ht="11.25" customHeight="1">
      <c r="C240" s="78">
        <f t="shared" si="21"/>
        <v>194</v>
      </c>
      <c r="D240" s="1984">
        <f>+'Capex_FO input'!C240</f>
        <v>0</v>
      </c>
      <c r="E240" s="1985"/>
      <c r="F240" s="1985"/>
      <c r="G240" s="1985"/>
      <c r="H240" s="1986"/>
      <c r="I240" s="643">
        <f>+'Capex_FO input'!N240</f>
        <v>0</v>
      </c>
      <c r="J240" s="67"/>
      <c r="K240" s="67"/>
      <c r="L240" s="67"/>
      <c r="M240" s="67"/>
      <c r="N240" s="138"/>
      <c r="O240" s="67"/>
      <c r="P240" s="67"/>
      <c r="Q240" s="67"/>
      <c r="R240" s="91"/>
      <c r="S240" s="138"/>
      <c r="T240" s="67"/>
      <c r="U240" s="91"/>
      <c r="V240" s="67"/>
      <c r="W240" s="67"/>
      <c r="X240" s="67"/>
      <c r="Y240" s="67"/>
      <c r="Z240" s="67"/>
      <c r="AA240" s="393">
        <f ca="1">+'Capex_FO input'!CP240</f>
        <v>0</v>
      </c>
      <c r="AB240" s="394">
        <f ca="1">+'Capex_FO input'!CQ240</f>
        <v>0</v>
      </c>
      <c r="AC240" s="394">
        <f ca="1">+'Capex_FO input'!CR240</f>
        <v>0</v>
      </c>
      <c r="AD240" s="394">
        <f ca="1">+'Capex_FO input'!CS240</f>
        <v>0</v>
      </c>
      <c r="AE240" s="1279">
        <f ca="1">+'Capex_FO input'!CT240</f>
        <v>0</v>
      </c>
      <c r="AF240" s="393">
        <f ca="1">+'Capex_FO input'!CU240</f>
        <v>0</v>
      </c>
      <c r="AG240" s="394">
        <f ca="1">+'Capex_FO input'!CV240</f>
        <v>0</v>
      </c>
      <c r="AH240" s="394">
        <f ca="1">+'Capex_FO input'!CW240</f>
        <v>0</v>
      </c>
      <c r="AI240" s="394">
        <f ca="1">+'Capex_FO input'!CX240</f>
        <v>0</v>
      </c>
      <c r="AJ240" s="395">
        <f ca="1">+'Capex_FO input'!CY240</f>
        <v>0</v>
      </c>
    </row>
    <row r="241" spans="3:36" ht="11.25" customHeight="1">
      <c r="C241" s="78">
        <f t="shared" si="21"/>
        <v>195</v>
      </c>
      <c r="D241" s="1984">
        <f>+'Capex_FO input'!C241</f>
        <v>0</v>
      </c>
      <c r="E241" s="1985"/>
      <c r="F241" s="1985"/>
      <c r="G241" s="1985"/>
      <c r="H241" s="1986"/>
      <c r="I241" s="643">
        <f>+'Capex_FO input'!N241</f>
        <v>0</v>
      </c>
      <c r="J241" s="67"/>
      <c r="K241" s="67"/>
      <c r="L241" s="67"/>
      <c r="M241" s="67"/>
      <c r="N241" s="138"/>
      <c r="O241" s="67"/>
      <c r="P241" s="67"/>
      <c r="Q241" s="67"/>
      <c r="R241" s="91"/>
      <c r="S241" s="138"/>
      <c r="T241" s="67"/>
      <c r="U241" s="91"/>
      <c r="V241" s="67"/>
      <c r="W241" s="67"/>
      <c r="X241" s="67"/>
      <c r="Y241" s="67"/>
      <c r="Z241" s="67"/>
      <c r="AA241" s="393">
        <f ca="1">+'Capex_FO input'!CP241</f>
        <v>0</v>
      </c>
      <c r="AB241" s="394">
        <f ca="1">+'Capex_FO input'!CQ241</f>
        <v>0</v>
      </c>
      <c r="AC241" s="394">
        <f ca="1">+'Capex_FO input'!CR241</f>
        <v>0</v>
      </c>
      <c r="AD241" s="394">
        <f ca="1">+'Capex_FO input'!CS241</f>
        <v>0</v>
      </c>
      <c r="AE241" s="1279">
        <f ca="1">+'Capex_FO input'!CT241</f>
        <v>0</v>
      </c>
      <c r="AF241" s="393">
        <f ca="1">+'Capex_FO input'!CU241</f>
        <v>0</v>
      </c>
      <c r="AG241" s="394">
        <f ca="1">+'Capex_FO input'!CV241</f>
        <v>0</v>
      </c>
      <c r="AH241" s="394">
        <f ca="1">+'Capex_FO input'!CW241</f>
        <v>0</v>
      </c>
      <c r="AI241" s="394">
        <f ca="1">+'Capex_FO input'!CX241</f>
        <v>0</v>
      </c>
      <c r="AJ241" s="395">
        <f ca="1">+'Capex_FO input'!CY241</f>
        <v>0</v>
      </c>
    </row>
    <row r="242" spans="3:36" ht="11.25" customHeight="1">
      <c r="C242" s="78">
        <f t="shared" si="21"/>
        <v>196</v>
      </c>
      <c r="D242" s="1984">
        <f>+'Capex_FO input'!C242</f>
        <v>0</v>
      </c>
      <c r="E242" s="1985"/>
      <c r="F242" s="1985"/>
      <c r="G242" s="1985"/>
      <c r="H242" s="1986"/>
      <c r="I242" s="643">
        <f>+'Capex_FO input'!N242</f>
        <v>0</v>
      </c>
      <c r="J242" s="67"/>
      <c r="K242" s="67"/>
      <c r="L242" s="67"/>
      <c r="M242" s="67"/>
      <c r="N242" s="138"/>
      <c r="O242" s="67"/>
      <c r="P242" s="67"/>
      <c r="Q242" s="67"/>
      <c r="R242" s="91"/>
      <c r="S242" s="138"/>
      <c r="T242" s="67"/>
      <c r="U242" s="91"/>
      <c r="V242" s="67"/>
      <c r="W242" s="67"/>
      <c r="X242" s="67"/>
      <c r="Y242" s="67"/>
      <c r="Z242" s="67"/>
      <c r="AA242" s="393">
        <f ca="1">+'Capex_FO input'!CP242</f>
        <v>0</v>
      </c>
      <c r="AB242" s="394">
        <f ca="1">+'Capex_FO input'!CQ242</f>
        <v>0</v>
      </c>
      <c r="AC242" s="394">
        <f ca="1">+'Capex_FO input'!CR242</f>
        <v>0</v>
      </c>
      <c r="AD242" s="394">
        <f ca="1">+'Capex_FO input'!CS242</f>
        <v>0</v>
      </c>
      <c r="AE242" s="1279">
        <f ca="1">+'Capex_FO input'!CT242</f>
        <v>0</v>
      </c>
      <c r="AF242" s="393">
        <f ca="1">+'Capex_FO input'!CU242</f>
        <v>0</v>
      </c>
      <c r="AG242" s="394">
        <f ca="1">+'Capex_FO input'!CV242</f>
        <v>0</v>
      </c>
      <c r="AH242" s="394">
        <f ca="1">+'Capex_FO input'!CW242</f>
        <v>0</v>
      </c>
      <c r="AI242" s="394">
        <f ca="1">+'Capex_FO input'!CX242</f>
        <v>0</v>
      </c>
      <c r="AJ242" s="395">
        <f ca="1">+'Capex_FO input'!CY242</f>
        <v>0</v>
      </c>
    </row>
    <row r="243" spans="3:36" ht="11.25" customHeight="1">
      <c r="C243" s="78">
        <f t="shared" si="21"/>
        <v>197</v>
      </c>
      <c r="D243" s="1984">
        <f>+'Capex_FO input'!C243</f>
        <v>0</v>
      </c>
      <c r="E243" s="1985"/>
      <c r="F243" s="1985"/>
      <c r="G243" s="1985"/>
      <c r="H243" s="1986"/>
      <c r="I243" s="643">
        <f>+'Capex_FO input'!N243</f>
        <v>0</v>
      </c>
      <c r="J243" s="67"/>
      <c r="K243" s="67"/>
      <c r="L243" s="67"/>
      <c r="M243" s="67"/>
      <c r="N243" s="138"/>
      <c r="O243" s="67"/>
      <c r="P243" s="67"/>
      <c r="Q243" s="67"/>
      <c r="R243" s="91"/>
      <c r="S243" s="138"/>
      <c r="T243" s="67"/>
      <c r="U243" s="91"/>
      <c r="V243" s="67"/>
      <c r="W243" s="67"/>
      <c r="X243" s="67"/>
      <c r="Y243" s="67"/>
      <c r="Z243" s="67"/>
      <c r="AA243" s="393">
        <f ca="1">+'Capex_FO input'!CP243</f>
        <v>0</v>
      </c>
      <c r="AB243" s="394">
        <f ca="1">+'Capex_FO input'!CQ243</f>
        <v>0</v>
      </c>
      <c r="AC243" s="394">
        <f ca="1">+'Capex_FO input'!CR243</f>
        <v>0</v>
      </c>
      <c r="AD243" s="394">
        <f ca="1">+'Capex_FO input'!CS243</f>
        <v>0</v>
      </c>
      <c r="AE243" s="1279">
        <f ca="1">+'Capex_FO input'!CT243</f>
        <v>0</v>
      </c>
      <c r="AF243" s="393">
        <f ca="1">+'Capex_FO input'!CU243</f>
        <v>0</v>
      </c>
      <c r="AG243" s="394">
        <f ca="1">+'Capex_FO input'!CV243</f>
        <v>0</v>
      </c>
      <c r="AH243" s="394">
        <f ca="1">+'Capex_FO input'!CW243</f>
        <v>0</v>
      </c>
      <c r="AI243" s="394">
        <f ca="1">+'Capex_FO input'!CX243</f>
        <v>0</v>
      </c>
      <c r="AJ243" s="395">
        <f ca="1">+'Capex_FO input'!CY243</f>
        <v>0</v>
      </c>
    </row>
    <row r="244" spans="3:36" ht="11.25" customHeight="1">
      <c r="C244" s="78">
        <f t="shared" si="21"/>
        <v>198</v>
      </c>
      <c r="D244" s="1984">
        <f>+'Capex_FO input'!C244</f>
        <v>0</v>
      </c>
      <c r="E244" s="1985"/>
      <c r="F244" s="1985"/>
      <c r="G244" s="1985"/>
      <c r="H244" s="1986"/>
      <c r="I244" s="643">
        <f>+'Capex_FO input'!N244</f>
        <v>0</v>
      </c>
      <c r="J244" s="67"/>
      <c r="K244" s="67"/>
      <c r="L244" s="67"/>
      <c r="M244" s="67"/>
      <c r="N244" s="138"/>
      <c r="O244" s="67"/>
      <c r="P244" s="67"/>
      <c r="Q244" s="67"/>
      <c r="R244" s="91"/>
      <c r="S244" s="138"/>
      <c r="T244" s="67"/>
      <c r="U244" s="91"/>
      <c r="V244" s="67"/>
      <c r="W244" s="67"/>
      <c r="X244" s="67"/>
      <c r="Y244" s="67"/>
      <c r="Z244" s="67"/>
      <c r="AA244" s="393">
        <f ca="1">+'Capex_FO input'!CP244</f>
        <v>0</v>
      </c>
      <c r="AB244" s="394">
        <f ca="1">+'Capex_FO input'!CQ244</f>
        <v>0</v>
      </c>
      <c r="AC244" s="394">
        <f ca="1">+'Capex_FO input'!CR244</f>
        <v>0</v>
      </c>
      <c r="AD244" s="394">
        <f ca="1">+'Capex_FO input'!CS244</f>
        <v>0</v>
      </c>
      <c r="AE244" s="1279">
        <f ca="1">+'Capex_FO input'!CT244</f>
        <v>0</v>
      </c>
      <c r="AF244" s="393">
        <f ca="1">+'Capex_FO input'!CU244</f>
        <v>0</v>
      </c>
      <c r="AG244" s="394">
        <f ca="1">+'Capex_FO input'!CV244</f>
        <v>0</v>
      </c>
      <c r="AH244" s="394">
        <f ca="1">+'Capex_FO input'!CW244</f>
        <v>0</v>
      </c>
      <c r="AI244" s="394">
        <f ca="1">+'Capex_FO input'!CX244</f>
        <v>0</v>
      </c>
      <c r="AJ244" s="395">
        <f ca="1">+'Capex_FO input'!CY244</f>
        <v>0</v>
      </c>
    </row>
    <row r="245" spans="3:36" ht="11.25" customHeight="1">
      <c r="C245" s="78">
        <f t="shared" si="21"/>
        <v>199</v>
      </c>
      <c r="D245" s="1984">
        <f>+'Capex_FO input'!C245</f>
        <v>0</v>
      </c>
      <c r="E245" s="1985"/>
      <c r="F245" s="1985"/>
      <c r="G245" s="1985"/>
      <c r="H245" s="1986"/>
      <c r="I245" s="643">
        <f>+'Capex_FO input'!N245</f>
        <v>0</v>
      </c>
      <c r="J245" s="67"/>
      <c r="K245" s="67"/>
      <c r="L245" s="67"/>
      <c r="M245" s="67"/>
      <c r="N245" s="138"/>
      <c r="O245" s="67"/>
      <c r="P245" s="67"/>
      <c r="Q245" s="67"/>
      <c r="R245" s="91"/>
      <c r="S245" s="138"/>
      <c r="T245" s="67"/>
      <c r="U245" s="91"/>
      <c r="V245" s="67"/>
      <c r="W245" s="67"/>
      <c r="X245" s="67"/>
      <c r="Y245" s="67"/>
      <c r="Z245" s="67"/>
      <c r="AA245" s="393">
        <f ca="1">+'Capex_FO input'!CP245</f>
        <v>0</v>
      </c>
      <c r="AB245" s="394">
        <f ca="1">+'Capex_FO input'!CQ245</f>
        <v>0</v>
      </c>
      <c r="AC245" s="394">
        <f ca="1">+'Capex_FO input'!CR245</f>
        <v>0</v>
      </c>
      <c r="AD245" s="394">
        <f ca="1">+'Capex_FO input'!CS245</f>
        <v>0</v>
      </c>
      <c r="AE245" s="1279">
        <f ca="1">+'Capex_FO input'!CT245</f>
        <v>0</v>
      </c>
      <c r="AF245" s="393">
        <f ca="1">+'Capex_FO input'!CU245</f>
        <v>0</v>
      </c>
      <c r="AG245" s="394">
        <f ca="1">+'Capex_FO input'!CV245</f>
        <v>0</v>
      </c>
      <c r="AH245" s="394">
        <f ca="1">+'Capex_FO input'!CW245</f>
        <v>0</v>
      </c>
      <c r="AI245" s="394">
        <f ca="1">+'Capex_FO input'!CX245</f>
        <v>0</v>
      </c>
      <c r="AJ245" s="395">
        <f ca="1">+'Capex_FO input'!CY245</f>
        <v>0</v>
      </c>
    </row>
    <row r="246" spans="3:36" ht="11.25" customHeight="1">
      <c r="C246" s="78">
        <f t="shared" si="21"/>
        <v>200</v>
      </c>
      <c r="D246" s="1984">
        <f>+'Capex_FO input'!C246</f>
        <v>0</v>
      </c>
      <c r="E246" s="1985"/>
      <c r="F246" s="1985"/>
      <c r="G246" s="1985"/>
      <c r="H246" s="1986"/>
      <c r="I246" s="643">
        <f>+'Capex_FO input'!N246</f>
        <v>0</v>
      </c>
      <c r="J246" s="67"/>
      <c r="K246" s="67"/>
      <c r="L246" s="67"/>
      <c r="M246" s="67"/>
      <c r="N246" s="138"/>
      <c r="O246" s="67"/>
      <c r="P246" s="67"/>
      <c r="Q246" s="67"/>
      <c r="R246" s="91"/>
      <c r="S246" s="138"/>
      <c r="T246" s="67"/>
      <c r="U246" s="91"/>
      <c r="V246" s="67"/>
      <c r="W246" s="67"/>
      <c r="X246" s="67"/>
      <c r="Y246" s="67"/>
      <c r="Z246" s="67"/>
      <c r="AA246" s="393">
        <f ca="1">+'Capex_FO input'!CP246</f>
        <v>0</v>
      </c>
      <c r="AB246" s="394">
        <f ca="1">+'Capex_FO input'!CQ246</f>
        <v>0</v>
      </c>
      <c r="AC246" s="394">
        <f ca="1">+'Capex_FO input'!CR246</f>
        <v>0</v>
      </c>
      <c r="AD246" s="394">
        <f ca="1">+'Capex_FO input'!CS246</f>
        <v>0</v>
      </c>
      <c r="AE246" s="1279">
        <f ca="1">+'Capex_FO input'!CT246</f>
        <v>0</v>
      </c>
      <c r="AF246" s="393">
        <f ca="1">+'Capex_FO input'!CU246</f>
        <v>0</v>
      </c>
      <c r="AG246" s="394">
        <f ca="1">+'Capex_FO input'!CV246</f>
        <v>0</v>
      </c>
      <c r="AH246" s="394">
        <f ca="1">+'Capex_FO input'!CW246</f>
        <v>0</v>
      </c>
      <c r="AI246" s="394">
        <f ca="1">+'Capex_FO input'!CX246</f>
        <v>0</v>
      </c>
      <c r="AJ246" s="395">
        <f ca="1">+'Capex_FO input'!CY246</f>
        <v>0</v>
      </c>
    </row>
    <row r="247" spans="3:36" ht="11.25" customHeight="1">
      <c r="C247" s="78">
        <f t="shared" si="21"/>
        <v>201</v>
      </c>
      <c r="D247" s="1984">
        <f>+'Capex_FO input'!C247</f>
        <v>0</v>
      </c>
      <c r="E247" s="1985"/>
      <c r="F247" s="1985"/>
      <c r="G247" s="1985"/>
      <c r="H247" s="1986"/>
      <c r="I247" s="643">
        <f>+'Capex_FO input'!N247</f>
        <v>0</v>
      </c>
      <c r="J247" s="67"/>
      <c r="K247" s="67"/>
      <c r="L247" s="67"/>
      <c r="M247" s="67"/>
      <c r="N247" s="138"/>
      <c r="O247" s="67"/>
      <c r="P247" s="67"/>
      <c r="Q247" s="67"/>
      <c r="R247" s="91"/>
      <c r="S247" s="138"/>
      <c r="T247" s="67"/>
      <c r="U247" s="91"/>
      <c r="V247" s="67"/>
      <c r="W247" s="67"/>
      <c r="X247" s="67"/>
      <c r="Y247" s="67"/>
      <c r="Z247" s="67"/>
      <c r="AA247" s="393">
        <f ca="1">+'Capex_FO input'!CP247</f>
        <v>0</v>
      </c>
      <c r="AB247" s="394">
        <f ca="1">+'Capex_FO input'!CQ247</f>
        <v>0</v>
      </c>
      <c r="AC247" s="394">
        <f ca="1">+'Capex_FO input'!CR247</f>
        <v>0</v>
      </c>
      <c r="AD247" s="394">
        <f ca="1">+'Capex_FO input'!CS247</f>
        <v>0</v>
      </c>
      <c r="AE247" s="1279">
        <f ca="1">+'Capex_FO input'!CT247</f>
        <v>0</v>
      </c>
      <c r="AF247" s="393">
        <f ca="1">+'Capex_FO input'!CU247</f>
        <v>0</v>
      </c>
      <c r="AG247" s="394">
        <f ca="1">+'Capex_FO input'!CV247</f>
        <v>0</v>
      </c>
      <c r="AH247" s="394">
        <f ca="1">+'Capex_FO input'!CW247</f>
        <v>0</v>
      </c>
      <c r="AI247" s="394">
        <f ca="1">+'Capex_FO input'!CX247</f>
        <v>0</v>
      </c>
      <c r="AJ247" s="395">
        <f ca="1">+'Capex_FO input'!CY247</f>
        <v>0</v>
      </c>
    </row>
    <row r="248" spans="3:36" ht="11.25" customHeight="1">
      <c r="C248" s="78">
        <f t="shared" si="21"/>
        <v>202</v>
      </c>
      <c r="D248" s="1984">
        <f>+'Capex_FO input'!C248</f>
        <v>0</v>
      </c>
      <c r="E248" s="1985"/>
      <c r="F248" s="1985"/>
      <c r="G248" s="1985"/>
      <c r="H248" s="1986"/>
      <c r="I248" s="643">
        <f>+'Capex_FO input'!N248</f>
        <v>0</v>
      </c>
      <c r="J248" s="67"/>
      <c r="K248" s="67"/>
      <c r="L248" s="67"/>
      <c r="M248" s="67"/>
      <c r="N248" s="138"/>
      <c r="O248" s="67"/>
      <c r="P248" s="67"/>
      <c r="Q248" s="67"/>
      <c r="R248" s="91"/>
      <c r="S248" s="138"/>
      <c r="T248" s="67"/>
      <c r="U248" s="91"/>
      <c r="V248" s="67"/>
      <c r="W248" s="67"/>
      <c r="X248" s="67"/>
      <c r="Y248" s="67"/>
      <c r="Z248" s="67"/>
      <c r="AA248" s="393">
        <f ca="1">+'Capex_FO input'!CP248</f>
        <v>0</v>
      </c>
      <c r="AB248" s="394">
        <f ca="1">+'Capex_FO input'!CQ248</f>
        <v>0</v>
      </c>
      <c r="AC248" s="394">
        <f ca="1">+'Capex_FO input'!CR248</f>
        <v>0</v>
      </c>
      <c r="AD248" s="394">
        <f ca="1">+'Capex_FO input'!CS248</f>
        <v>0</v>
      </c>
      <c r="AE248" s="1279">
        <f ca="1">+'Capex_FO input'!CT248</f>
        <v>0</v>
      </c>
      <c r="AF248" s="393">
        <f ca="1">+'Capex_FO input'!CU248</f>
        <v>0</v>
      </c>
      <c r="AG248" s="394">
        <f ca="1">+'Capex_FO input'!CV248</f>
        <v>0</v>
      </c>
      <c r="AH248" s="394">
        <f ca="1">+'Capex_FO input'!CW248</f>
        <v>0</v>
      </c>
      <c r="AI248" s="394">
        <f ca="1">+'Capex_FO input'!CX248</f>
        <v>0</v>
      </c>
      <c r="AJ248" s="395">
        <f ca="1">+'Capex_FO input'!CY248</f>
        <v>0</v>
      </c>
    </row>
    <row r="249" spans="3:36" ht="11.25" customHeight="1">
      <c r="C249" s="78">
        <f t="shared" si="21"/>
        <v>203</v>
      </c>
      <c r="D249" s="1984">
        <f>+'Capex_FO input'!C249</f>
        <v>0</v>
      </c>
      <c r="E249" s="1985"/>
      <c r="F249" s="1985"/>
      <c r="G249" s="1985"/>
      <c r="H249" s="1986"/>
      <c r="I249" s="643">
        <f>+'Capex_FO input'!N249</f>
        <v>0</v>
      </c>
      <c r="J249" s="67"/>
      <c r="K249" s="67"/>
      <c r="L249" s="67"/>
      <c r="M249" s="67"/>
      <c r="N249" s="138"/>
      <c r="O249" s="67"/>
      <c r="P249" s="67"/>
      <c r="Q249" s="67"/>
      <c r="R249" s="91"/>
      <c r="S249" s="138"/>
      <c r="T249" s="67"/>
      <c r="U249" s="91"/>
      <c r="V249" s="67"/>
      <c r="W249" s="67"/>
      <c r="X249" s="67"/>
      <c r="Y249" s="67"/>
      <c r="Z249" s="67"/>
      <c r="AA249" s="393">
        <f ca="1">+'Capex_FO input'!CP249</f>
        <v>0</v>
      </c>
      <c r="AB249" s="394">
        <f ca="1">+'Capex_FO input'!CQ249</f>
        <v>0</v>
      </c>
      <c r="AC249" s="394">
        <f ca="1">+'Capex_FO input'!CR249</f>
        <v>0</v>
      </c>
      <c r="AD249" s="394">
        <f ca="1">+'Capex_FO input'!CS249</f>
        <v>0</v>
      </c>
      <c r="AE249" s="1279">
        <f ca="1">+'Capex_FO input'!CT249</f>
        <v>0</v>
      </c>
      <c r="AF249" s="393">
        <f ca="1">+'Capex_FO input'!CU249</f>
        <v>0</v>
      </c>
      <c r="AG249" s="394">
        <f ca="1">+'Capex_FO input'!CV249</f>
        <v>0</v>
      </c>
      <c r="AH249" s="394">
        <f ca="1">+'Capex_FO input'!CW249</f>
        <v>0</v>
      </c>
      <c r="AI249" s="394">
        <f ca="1">+'Capex_FO input'!CX249</f>
        <v>0</v>
      </c>
      <c r="AJ249" s="395">
        <f ca="1">+'Capex_FO input'!CY249</f>
        <v>0</v>
      </c>
    </row>
    <row r="250" spans="3:36" ht="11.25" customHeight="1">
      <c r="C250" s="78">
        <f t="shared" si="21"/>
        <v>204</v>
      </c>
      <c r="D250" s="1984">
        <f>+'Capex_FO input'!C250</f>
        <v>0</v>
      </c>
      <c r="E250" s="1985"/>
      <c r="F250" s="1985"/>
      <c r="G250" s="1985"/>
      <c r="H250" s="1986"/>
      <c r="I250" s="643">
        <f>+'Capex_FO input'!N250</f>
        <v>0</v>
      </c>
      <c r="J250" s="67"/>
      <c r="K250" s="67"/>
      <c r="L250" s="67"/>
      <c r="M250" s="67"/>
      <c r="N250" s="138"/>
      <c r="O250" s="67"/>
      <c r="P250" s="67"/>
      <c r="Q250" s="67"/>
      <c r="R250" s="91"/>
      <c r="S250" s="138"/>
      <c r="T250" s="67"/>
      <c r="U250" s="91"/>
      <c r="V250" s="67"/>
      <c r="W250" s="67"/>
      <c r="X250" s="67"/>
      <c r="Y250" s="67"/>
      <c r="Z250" s="67"/>
      <c r="AA250" s="393">
        <f ca="1">+'Capex_FO input'!CP250</f>
        <v>0</v>
      </c>
      <c r="AB250" s="394">
        <f ca="1">+'Capex_FO input'!CQ250</f>
        <v>0</v>
      </c>
      <c r="AC250" s="394">
        <f ca="1">+'Capex_FO input'!CR250</f>
        <v>0</v>
      </c>
      <c r="AD250" s="394">
        <f ca="1">+'Capex_FO input'!CS250</f>
        <v>0</v>
      </c>
      <c r="AE250" s="1279">
        <f ca="1">+'Capex_FO input'!CT250</f>
        <v>0</v>
      </c>
      <c r="AF250" s="393">
        <f ca="1">+'Capex_FO input'!CU250</f>
        <v>0</v>
      </c>
      <c r="AG250" s="394">
        <f ca="1">+'Capex_FO input'!CV250</f>
        <v>0</v>
      </c>
      <c r="AH250" s="394">
        <f ca="1">+'Capex_FO input'!CW250</f>
        <v>0</v>
      </c>
      <c r="AI250" s="394">
        <f ca="1">+'Capex_FO input'!CX250</f>
        <v>0</v>
      </c>
      <c r="AJ250" s="395">
        <f ca="1">+'Capex_FO input'!CY250</f>
        <v>0</v>
      </c>
    </row>
    <row r="251" spans="3:36" ht="11.25" customHeight="1">
      <c r="C251" s="78">
        <f t="shared" si="21"/>
        <v>205</v>
      </c>
      <c r="D251" s="1984">
        <f>+'Capex_FO input'!C251</f>
        <v>0</v>
      </c>
      <c r="E251" s="1985"/>
      <c r="F251" s="1985"/>
      <c r="G251" s="1985"/>
      <c r="H251" s="1986"/>
      <c r="I251" s="643">
        <f>+'Capex_FO input'!N251</f>
        <v>0</v>
      </c>
      <c r="J251" s="67"/>
      <c r="K251" s="67"/>
      <c r="L251" s="67"/>
      <c r="M251" s="67"/>
      <c r="N251" s="138"/>
      <c r="O251" s="67"/>
      <c r="P251" s="67"/>
      <c r="Q251" s="67"/>
      <c r="R251" s="91"/>
      <c r="S251" s="138"/>
      <c r="T251" s="67"/>
      <c r="U251" s="91"/>
      <c r="V251" s="67"/>
      <c r="W251" s="67"/>
      <c r="X251" s="67"/>
      <c r="Y251" s="67"/>
      <c r="Z251" s="67"/>
      <c r="AA251" s="393">
        <f ca="1">+'Capex_FO input'!CP251</f>
        <v>0</v>
      </c>
      <c r="AB251" s="394">
        <f ca="1">+'Capex_FO input'!CQ251</f>
        <v>0</v>
      </c>
      <c r="AC251" s="394">
        <f ca="1">+'Capex_FO input'!CR251</f>
        <v>0</v>
      </c>
      <c r="AD251" s="394">
        <f ca="1">+'Capex_FO input'!CS251</f>
        <v>0</v>
      </c>
      <c r="AE251" s="1279">
        <f ca="1">+'Capex_FO input'!CT251</f>
        <v>0</v>
      </c>
      <c r="AF251" s="393">
        <f ca="1">+'Capex_FO input'!CU251</f>
        <v>0</v>
      </c>
      <c r="AG251" s="394">
        <f ca="1">+'Capex_FO input'!CV251</f>
        <v>0</v>
      </c>
      <c r="AH251" s="394">
        <f ca="1">+'Capex_FO input'!CW251</f>
        <v>0</v>
      </c>
      <c r="AI251" s="394">
        <f ca="1">+'Capex_FO input'!CX251</f>
        <v>0</v>
      </c>
      <c r="AJ251" s="395">
        <f ca="1">+'Capex_FO input'!CY251</f>
        <v>0</v>
      </c>
    </row>
    <row r="252" spans="3:36" ht="11.25" customHeight="1">
      <c r="C252" s="78">
        <f t="shared" si="21"/>
        <v>206</v>
      </c>
      <c r="D252" s="1984">
        <f>+'Capex_FO input'!C252</f>
        <v>0</v>
      </c>
      <c r="E252" s="1985"/>
      <c r="F252" s="1985"/>
      <c r="G252" s="1985"/>
      <c r="H252" s="1986"/>
      <c r="I252" s="643">
        <f>+'Capex_FO input'!N252</f>
        <v>0</v>
      </c>
      <c r="J252" s="67"/>
      <c r="K252" s="67"/>
      <c r="L252" s="67"/>
      <c r="M252" s="67"/>
      <c r="N252" s="138"/>
      <c r="O252" s="67"/>
      <c r="P252" s="67"/>
      <c r="Q252" s="67"/>
      <c r="R252" s="91"/>
      <c r="S252" s="138"/>
      <c r="T252" s="67"/>
      <c r="U252" s="91"/>
      <c r="V252" s="67"/>
      <c r="W252" s="67"/>
      <c r="X252" s="67"/>
      <c r="Y252" s="67"/>
      <c r="Z252" s="67"/>
      <c r="AA252" s="393">
        <f ca="1">+'Capex_FO input'!CP252</f>
        <v>0</v>
      </c>
      <c r="AB252" s="394">
        <f ca="1">+'Capex_FO input'!CQ252</f>
        <v>0</v>
      </c>
      <c r="AC252" s="394">
        <f ca="1">+'Capex_FO input'!CR252</f>
        <v>0</v>
      </c>
      <c r="AD252" s="394">
        <f ca="1">+'Capex_FO input'!CS252</f>
        <v>0</v>
      </c>
      <c r="AE252" s="1279">
        <f ca="1">+'Capex_FO input'!CT252</f>
        <v>0</v>
      </c>
      <c r="AF252" s="393">
        <f ca="1">+'Capex_FO input'!CU252</f>
        <v>0</v>
      </c>
      <c r="AG252" s="394">
        <f ca="1">+'Capex_FO input'!CV252</f>
        <v>0</v>
      </c>
      <c r="AH252" s="394">
        <f ca="1">+'Capex_FO input'!CW252</f>
        <v>0</v>
      </c>
      <c r="AI252" s="394">
        <f ca="1">+'Capex_FO input'!CX252</f>
        <v>0</v>
      </c>
      <c r="AJ252" s="395">
        <f ca="1">+'Capex_FO input'!CY252</f>
        <v>0</v>
      </c>
    </row>
    <row r="253" spans="3:36" ht="11.25" customHeight="1">
      <c r="C253" s="78">
        <f t="shared" si="21"/>
        <v>207</v>
      </c>
      <c r="D253" s="1984">
        <f>+'Capex_FO input'!C253</f>
        <v>0</v>
      </c>
      <c r="E253" s="1985"/>
      <c r="F253" s="1985"/>
      <c r="G253" s="1985"/>
      <c r="H253" s="1986"/>
      <c r="I253" s="643">
        <f>+'Capex_FO input'!N253</f>
        <v>0</v>
      </c>
      <c r="J253" s="67"/>
      <c r="K253" s="67"/>
      <c r="L253" s="67"/>
      <c r="M253" s="67"/>
      <c r="N253" s="138"/>
      <c r="O253" s="67"/>
      <c r="P253" s="67"/>
      <c r="Q253" s="67"/>
      <c r="R253" s="91"/>
      <c r="S253" s="138"/>
      <c r="T253" s="67"/>
      <c r="U253" s="91"/>
      <c r="V253" s="67"/>
      <c r="W253" s="67"/>
      <c r="X253" s="67"/>
      <c r="Y253" s="67"/>
      <c r="Z253" s="67"/>
      <c r="AA253" s="393">
        <f ca="1">+'Capex_FO input'!CP253</f>
        <v>0</v>
      </c>
      <c r="AB253" s="394">
        <f ca="1">+'Capex_FO input'!CQ253</f>
        <v>0</v>
      </c>
      <c r="AC253" s="394">
        <f ca="1">+'Capex_FO input'!CR253</f>
        <v>0</v>
      </c>
      <c r="AD253" s="394">
        <f ca="1">+'Capex_FO input'!CS253</f>
        <v>0</v>
      </c>
      <c r="AE253" s="1279">
        <f ca="1">+'Capex_FO input'!CT253</f>
        <v>0</v>
      </c>
      <c r="AF253" s="393">
        <f ca="1">+'Capex_FO input'!CU253</f>
        <v>0</v>
      </c>
      <c r="AG253" s="394">
        <f ca="1">+'Capex_FO input'!CV253</f>
        <v>0</v>
      </c>
      <c r="AH253" s="394">
        <f ca="1">+'Capex_FO input'!CW253</f>
        <v>0</v>
      </c>
      <c r="AI253" s="394">
        <f ca="1">+'Capex_FO input'!CX253</f>
        <v>0</v>
      </c>
      <c r="AJ253" s="395">
        <f ca="1">+'Capex_FO input'!CY253</f>
        <v>0</v>
      </c>
    </row>
    <row r="254" spans="3:36" ht="11.25" customHeight="1">
      <c r="C254" s="78">
        <f t="shared" si="21"/>
        <v>208</v>
      </c>
      <c r="D254" s="1984">
        <f>+'Capex_FO input'!C254</f>
        <v>0</v>
      </c>
      <c r="E254" s="1985"/>
      <c r="F254" s="1985"/>
      <c r="G254" s="1985"/>
      <c r="H254" s="1986"/>
      <c r="I254" s="643">
        <f>+'Capex_FO input'!N254</f>
        <v>0</v>
      </c>
      <c r="J254" s="67"/>
      <c r="K254" s="67"/>
      <c r="L254" s="67"/>
      <c r="M254" s="67"/>
      <c r="N254" s="138"/>
      <c r="O254" s="67"/>
      <c r="P254" s="67"/>
      <c r="Q254" s="67"/>
      <c r="R254" s="91"/>
      <c r="S254" s="138"/>
      <c r="T254" s="67"/>
      <c r="U254" s="91"/>
      <c r="V254" s="67"/>
      <c r="W254" s="67"/>
      <c r="X254" s="67"/>
      <c r="Y254" s="67"/>
      <c r="Z254" s="67"/>
      <c r="AA254" s="393">
        <f ca="1">+'Capex_FO input'!CP254</f>
        <v>0</v>
      </c>
      <c r="AB254" s="394">
        <f ca="1">+'Capex_FO input'!CQ254</f>
        <v>0</v>
      </c>
      <c r="AC254" s="394">
        <f ca="1">+'Capex_FO input'!CR254</f>
        <v>0</v>
      </c>
      <c r="AD254" s="394">
        <f ca="1">+'Capex_FO input'!CS254</f>
        <v>0</v>
      </c>
      <c r="AE254" s="1279">
        <f ca="1">+'Capex_FO input'!CT254</f>
        <v>0</v>
      </c>
      <c r="AF254" s="393">
        <f ca="1">+'Capex_FO input'!CU254</f>
        <v>0</v>
      </c>
      <c r="AG254" s="394">
        <f ca="1">+'Capex_FO input'!CV254</f>
        <v>0</v>
      </c>
      <c r="AH254" s="394">
        <f ca="1">+'Capex_FO input'!CW254</f>
        <v>0</v>
      </c>
      <c r="AI254" s="394">
        <f ca="1">+'Capex_FO input'!CX254</f>
        <v>0</v>
      </c>
      <c r="AJ254" s="395">
        <f ca="1">+'Capex_FO input'!CY254</f>
        <v>0</v>
      </c>
    </row>
    <row r="255" spans="3:36" ht="11.25" customHeight="1">
      <c r="C255" s="78">
        <f t="shared" si="21"/>
        <v>209</v>
      </c>
      <c r="D255" s="1984">
        <f>+'Capex_FO input'!C255</f>
        <v>0</v>
      </c>
      <c r="E255" s="1985"/>
      <c r="F255" s="1985"/>
      <c r="G255" s="1985"/>
      <c r="H255" s="1986"/>
      <c r="I255" s="643">
        <f>+'Capex_FO input'!N255</f>
        <v>0</v>
      </c>
      <c r="J255" s="67"/>
      <c r="K255" s="67"/>
      <c r="L255" s="67"/>
      <c r="M255" s="67"/>
      <c r="N255" s="138"/>
      <c r="O255" s="67"/>
      <c r="P255" s="67"/>
      <c r="Q255" s="67"/>
      <c r="R255" s="91"/>
      <c r="S255" s="138"/>
      <c r="T255" s="67"/>
      <c r="U255" s="91"/>
      <c r="V255" s="67"/>
      <c r="W255" s="67"/>
      <c r="X255" s="67"/>
      <c r="Y255" s="67"/>
      <c r="Z255" s="67"/>
      <c r="AA255" s="393">
        <f ca="1">+'Capex_FO input'!CP255</f>
        <v>0</v>
      </c>
      <c r="AB255" s="394">
        <f ca="1">+'Capex_FO input'!CQ255</f>
        <v>0</v>
      </c>
      <c r="AC255" s="394">
        <f ca="1">+'Capex_FO input'!CR255</f>
        <v>0</v>
      </c>
      <c r="AD255" s="394">
        <f ca="1">+'Capex_FO input'!CS255</f>
        <v>0</v>
      </c>
      <c r="AE255" s="1279">
        <f ca="1">+'Capex_FO input'!CT255</f>
        <v>0</v>
      </c>
      <c r="AF255" s="393">
        <f ca="1">+'Capex_FO input'!CU255</f>
        <v>0</v>
      </c>
      <c r="AG255" s="394">
        <f ca="1">+'Capex_FO input'!CV255</f>
        <v>0</v>
      </c>
      <c r="AH255" s="394">
        <f ca="1">+'Capex_FO input'!CW255</f>
        <v>0</v>
      </c>
      <c r="AI255" s="394">
        <f ca="1">+'Capex_FO input'!CX255</f>
        <v>0</v>
      </c>
      <c r="AJ255" s="395">
        <f ca="1">+'Capex_FO input'!CY255</f>
        <v>0</v>
      </c>
    </row>
    <row r="256" spans="3:36" ht="11.25" customHeight="1">
      <c r="C256" s="78">
        <f t="shared" ref="C256:C319" si="22">C255+1</f>
        <v>210</v>
      </c>
      <c r="D256" s="1984">
        <f>+'Capex_FO input'!C256</f>
        <v>0</v>
      </c>
      <c r="E256" s="1985"/>
      <c r="F256" s="1985"/>
      <c r="G256" s="1985"/>
      <c r="H256" s="1986"/>
      <c r="I256" s="643">
        <f>+'Capex_FO input'!N256</f>
        <v>0</v>
      </c>
      <c r="J256" s="67"/>
      <c r="K256" s="67"/>
      <c r="L256" s="67"/>
      <c r="M256" s="67"/>
      <c r="N256" s="138"/>
      <c r="O256" s="67"/>
      <c r="P256" s="67"/>
      <c r="Q256" s="67"/>
      <c r="R256" s="91"/>
      <c r="S256" s="138"/>
      <c r="T256" s="67"/>
      <c r="U256" s="91"/>
      <c r="V256" s="67"/>
      <c r="W256" s="67"/>
      <c r="X256" s="67"/>
      <c r="Y256" s="67"/>
      <c r="Z256" s="67"/>
      <c r="AA256" s="393">
        <f ca="1">+'Capex_FO input'!CP256</f>
        <v>0</v>
      </c>
      <c r="AB256" s="394">
        <f ca="1">+'Capex_FO input'!CQ256</f>
        <v>0</v>
      </c>
      <c r="AC256" s="394">
        <f ca="1">+'Capex_FO input'!CR256</f>
        <v>0</v>
      </c>
      <c r="AD256" s="394">
        <f ca="1">+'Capex_FO input'!CS256</f>
        <v>0</v>
      </c>
      <c r="AE256" s="1279">
        <f ca="1">+'Capex_FO input'!CT256</f>
        <v>0</v>
      </c>
      <c r="AF256" s="393">
        <f ca="1">+'Capex_FO input'!CU256</f>
        <v>0</v>
      </c>
      <c r="AG256" s="394">
        <f ca="1">+'Capex_FO input'!CV256</f>
        <v>0</v>
      </c>
      <c r="AH256" s="394">
        <f ca="1">+'Capex_FO input'!CW256</f>
        <v>0</v>
      </c>
      <c r="AI256" s="394">
        <f ca="1">+'Capex_FO input'!CX256</f>
        <v>0</v>
      </c>
      <c r="AJ256" s="395">
        <f ca="1">+'Capex_FO input'!CY256</f>
        <v>0</v>
      </c>
    </row>
    <row r="257" spans="3:36" ht="11.25" customHeight="1">
      <c r="C257" s="78">
        <f t="shared" si="22"/>
        <v>211</v>
      </c>
      <c r="D257" s="1984">
        <f>+'Capex_FO input'!C257</f>
        <v>0</v>
      </c>
      <c r="E257" s="1985"/>
      <c r="F257" s="1985"/>
      <c r="G257" s="1985"/>
      <c r="H257" s="1986"/>
      <c r="I257" s="643">
        <f>+'Capex_FO input'!N257</f>
        <v>0</v>
      </c>
      <c r="J257" s="67"/>
      <c r="K257" s="67"/>
      <c r="L257" s="67"/>
      <c r="M257" s="67"/>
      <c r="N257" s="138"/>
      <c r="O257" s="67"/>
      <c r="P257" s="67"/>
      <c r="Q257" s="67"/>
      <c r="R257" s="91"/>
      <c r="S257" s="138"/>
      <c r="T257" s="67"/>
      <c r="U257" s="91"/>
      <c r="V257" s="67"/>
      <c r="W257" s="67"/>
      <c r="X257" s="67"/>
      <c r="Y257" s="67"/>
      <c r="Z257" s="67"/>
      <c r="AA257" s="393">
        <f ca="1">+'Capex_FO input'!CP257</f>
        <v>0</v>
      </c>
      <c r="AB257" s="394">
        <f ca="1">+'Capex_FO input'!CQ257</f>
        <v>0</v>
      </c>
      <c r="AC257" s="394">
        <f ca="1">+'Capex_FO input'!CR257</f>
        <v>0</v>
      </c>
      <c r="AD257" s="394">
        <f ca="1">+'Capex_FO input'!CS257</f>
        <v>0</v>
      </c>
      <c r="AE257" s="1279">
        <f ca="1">+'Capex_FO input'!CT257</f>
        <v>0</v>
      </c>
      <c r="AF257" s="393">
        <f ca="1">+'Capex_FO input'!CU257</f>
        <v>0</v>
      </c>
      <c r="AG257" s="394">
        <f ca="1">+'Capex_FO input'!CV257</f>
        <v>0</v>
      </c>
      <c r="AH257" s="394">
        <f ca="1">+'Capex_FO input'!CW257</f>
        <v>0</v>
      </c>
      <c r="AI257" s="394">
        <f ca="1">+'Capex_FO input'!CX257</f>
        <v>0</v>
      </c>
      <c r="AJ257" s="395">
        <f ca="1">+'Capex_FO input'!CY257</f>
        <v>0</v>
      </c>
    </row>
    <row r="258" spans="3:36" ht="11.25" customHeight="1">
      <c r="C258" s="78">
        <f t="shared" si="22"/>
        <v>212</v>
      </c>
      <c r="D258" s="1984">
        <f>+'Capex_FO input'!C258</f>
        <v>0</v>
      </c>
      <c r="E258" s="1985"/>
      <c r="F258" s="1985"/>
      <c r="G258" s="1985"/>
      <c r="H258" s="1986"/>
      <c r="I258" s="643">
        <f>+'Capex_FO input'!N258</f>
        <v>0</v>
      </c>
      <c r="J258" s="67"/>
      <c r="K258" s="67"/>
      <c r="L258" s="67"/>
      <c r="M258" s="67"/>
      <c r="N258" s="138"/>
      <c r="O258" s="67"/>
      <c r="P258" s="67"/>
      <c r="Q258" s="67"/>
      <c r="R258" s="91"/>
      <c r="S258" s="138"/>
      <c r="T258" s="67"/>
      <c r="U258" s="91"/>
      <c r="V258" s="67"/>
      <c r="W258" s="67"/>
      <c r="X258" s="67"/>
      <c r="Y258" s="67"/>
      <c r="Z258" s="67"/>
      <c r="AA258" s="393">
        <f ca="1">+'Capex_FO input'!CP258</f>
        <v>0</v>
      </c>
      <c r="AB258" s="394">
        <f ca="1">+'Capex_FO input'!CQ258</f>
        <v>0</v>
      </c>
      <c r="AC258" s="394">
        <f ca="1">+'Capex_FO input'!CR258</f>
        <v>0</v>
      </c>
      <c r="AD258" s="394">
        <f ca="1">+'Capex_FO input'!CS258</f>
        <v>0</v>
      </c>
      <c r="AE258" s="1279">
        <f ca="1">+'Capex_FO input'!CT258</f>
        <v>0</v>
      </c>
      <c r="AF258" s="393">
        <f ca="1">+'Capex_FO input'!CU258</f>
        <v>0</v>
      </c>
      <c r="AG258" s="394">
        <f ca="1">+'Capex_FO input'!CV258</f>
        <v>0</v>
      </c>
      <c r="AH258" s="394">
        <f ca="1">+'Capex_FO input'!CW258</f>
        <v>0</v>
      </c>
      <c r="AI258" s="394">
        <f ca="1">+'Capex_FO input'!CX258</f>
        <v>0</v>
      </c>
      <c r="AJ258" s="395">
        <f ca="1">+'Capex_FO input'!CY258</f>
        <v>0</v>
      </c>
    </row>
    <row r="259" spans="3:36" ht="11.25" customHeight="1">
      <c r="C259" s="78">
        <f t="shared" si="22"/>
        <v>213</v>
      </c>
      <c r="D259" s="1984">
        <f>+'Capex_FO input'!C259</f>
        <v>0</v>
      </c>
      <c r="E259" s="1985"/>
      <c r="F259" s="1985"/>
      <c r="G259" s="1985"/>
      <c r="H259" s="1986"/>
      <c r="I259" s="643">
        <f>+'Capex_FO input'!N259</f>
        <v>0</v>
      </c>
      <c r="J259" s="67"/>
      <c r="K259" s="67"/>
      <c r="L259" s="67"/>
      <c r="M259" s="67"/>
      <c r="N259" s="138"/>
      <c r="O259" s="67"/>
      <c r="P259" s="67"/>
      <c r="Q259" s="67"/>
      <c r="R259" s="91"/>
      <c r="S259" s="138"/>
      <c r="T259" s="67"/>
      <c r="U259" s="91"/>
      <c r="V259" s="67"/>
      <c r="W259" s="67"/>
      <c r="X259" s="67"/>
      <c r="Y259" s="67"/>
      <c r="Z259" s="67"/>
      <c r="AA259" s="393">
        <f ca="1">+'Capex_FO input'!CP259</f>
        <v>0</v>
      </c>
      <c r="AB259" s="394">
        <f ca="1">+'Capex_FO input'!CQ259</f>
        <v>0</v>
      </c>
      <c r="AC259" s="394">
        <f ca="1">+'Capex_FO input'!CR259</f>
        <v>0</v>
      </c>
      <c r="AD259" s="394">
        <f ca="1">+'Capex_FO input'!CS259</f>
        <v>0</v>
      </c>
      <c r="AE259" s="1279">
        <f ca="1">+'Capex_FO input'!CT259</f>
        <v>0</v>
      </c>
      <c r="AF259" s="393">
        <f ca="1">+'Capex_FO input'!CU259</f>
        <v>0</v>
      </c>
      <c r="AG259" s="394">
        <f ca="1">+'Capex_FO input'!CV259</f>
        <v>0</v>
      </c>
      <c r="AH259" s="394">
        <f ca="1">+'Capex_FO input'!CW259</f>
        <v>0</v>
      </c>
      <c r="AI259" s="394">
        <f ca="1">+'Capex_FO input'!CX259</f>
        <v>0</v>
      </c>
      <c r="AJ259" s="395">
        <f ca="1">+'Capex_FO input'!CY259</f>
        <v>0</v>
      </c>
    </row>
    <row r="260" spans="3:36" ht="11.25" customHeight="1">
      <c r="C260" s="78">
        <f t="shared" si="22"/>
        <v>214</v>
      </c>
      <c r="D260" s="1984">
        <f>+'Capex_FO input'!C260</f>
        <v>0</v>
      </c>
      <c r="E260" s="1985"/>
      <c r="F260" s="1985"/>
      <c r="G260" s="1985"/>
      <c r="H260" s="1986"/>
      <c r="I260" s="643">
        <f>+'Capex_FO input'!N260</f>
        <v>0</v>
      </c>
      <c r="J260" s="67"/>
      <c r="K260" s="67"/>
      <c r="L260" s="67"/>
      <c r="M260" s="67"/>
      <c r="N260" s="138"/>
      <c r="O260" s="67"/>
      <c r="P260" s="67"/>
      <c r="Q260" s="67"/>
      <c r="R260" s="91"/>
      <c r="S260" s="138"/>
      <c r="T260" s="67"/>
      <c r="U260" s="91"/>
      <c r="V260" s="67"/>
      <c r="W260" s="67"/>
      <c r="X260" s="67"/>
      <c r="Y260" s="67"/>
      <c r="Z260" s="67"/>
      <c r="AA260" s="393">
        <f ca="1">+'Capex_FO input'!CP260</f>
        <v>0</v>
      </c>
      <c r="AB260" s="394">
        <f ca="1">+'Capex_FO input'!CQ260</f>
        <v>0</v>
      </c>
      <c r="AC260" s="394">
        <f ca="1">+'Capex_FO input'!CR260</f>
        <v>0</v>
      </c>
      <c r="AD260" s="394">
        <f ca="1">+'Capex_FO input'!CS260</f>
        <v>0</v>
      </c>
      <c r="AE260" s="1279">
        <f ca="1">+'Capex_FO input'!CT260</f>
        <v>0</v>
      </c>
      <c r="AF260" s="393">
        <f ca="1">+'Capex_FO input'!CU260</f>
        <v>0</v>
      </c>
      <c r="AG260" s="394">
        <f ca="1">+'Capex_FO input'!CV260</f>
        <v>0</v>
      </c>
      <c r="AH260" s="394">
        <f ca="1">+'Capex_FO input'!CW260</f>
        <v>0</v>
      </c>
      <c r="AI260" s="394">
        <f ca="1">+'Capex_FO input'!CX260</f>
        <v>0</v>
      </c>
      <c r="AJ260" s="395">
        <f ca="1">+'Capex_FO input'!CY260</f>
        <v>0</v>
      </c>
    </row>
    <row r="261" spans="3:36" ht="11.25" customHeight="1">
      <c r="C261" s="78">
        <f t="shared" si="22"/>
        <v>215</v>
      </c>
      <c r="D261" s="1984">
        <f>+'Capex_FO input'!C261</f>
        <v>0</v>
      </c>
      <c r="E261" s="1985"/>
      <c r="F261" s="1985"/>
      <c r="G261" s="1985"/>
      <c r="H261" s="1986"/>
      <c r="I261" s="643">
        <f>+'Capex_FO input'!N261</f>
        <v>0</v>
      </c>
      <c r="J261" s="67"/>
      <c r="K261" s="67"/>
      <c r="L261" s="67"/>
      <c r="M261" s="67"/>
      <c r="N261" s="138"/>
      <c r="O261" s="67"/>
      <c r="P261" s="67"/>
      <c r="Q261" s="67"/>
      <c r="R261" s="91"/>
      <c r="S261" s="138"/>
      <c r="T261" s="67"/>
      <c r="U261" s="91"/>
      <c r="V261" s="67"/>
      <c r="W261" s="67"/>
      <c r="X261" s="67"/>
      <c r="Y261" s="67"/>
      <c r="Z261" s="67"/>
      <c r="AA261" s="393">
        <f ca="1">+'Capex_FO input'!CP261</f>
        <v>0</v>
      </c>
      <c r="AB261" s="394">
        <f ca="1">+'Capex_FO input'!CQ261</f>
        <v>0</v>
      </c>
      <c r="AC261" s="394">
        <f ca="1">+'Capex_FO input'!CR261</f>
        <v>0</v>
      </c>
      <c r="AD261" s="394">
        <f ca="1">+'Capex_FO input'!CS261</f>
        <v>0</v>
      </c>
      <c r="AE261" s="1279">
        <f ca="1">+'Capex_FO input'!CT261</f>
        <v>0</v>
      </c>
      <c r="AF261" s="393">
        <f ca="1">+'Capex_FO input'!CU261</f>
        <v>0</v>
      </c>
      <c r="AG261" s="394">
        <f ca="1">+'Capex_FO input'!CV261</f>
        <v>0</v>
      </c>
      <c r="AH261" s="394">
        <f ca="1">+'Capex_FO input'!CW261</f>
        <v>0</v>
      </c>
      <c r="AI261" s="394">
        <f ca="1">+'Capex_FO input'!CX261</f>
        <v>0</v>
      </c>
      <c r="AJ261" s="395">
        <f ca="1">+'Capex_FO input'!CY261</f>
        <v>0</v>
      </c>
    </row>
    <row r="262" spans="3:36" ht="11.25" customHeight="1">
      <c r="C262" s="78">
        <f t="shared" si="22"/>
        <v>216</v>
      </c>
      <c r="D262" s="1984">
        <f>+'Capex_FO input'!C262</f>
        <v>0</v>
      </c>
      <c r="E262" s="1985"/>
      <c r="F262" s="1985"/>
      <c r="G262" s="1985"/>
      <c r="H262" s="1986"/>
      <c r="I262" s="643">
        <f>+'Capex_FO input'!N262</f>
        <v>0</v>
      </c>
      <c r="J262" s="67"/>
      <c r="K262" s="67"/>
      <c r="L262" s="67"/>
      <c r="M262" s="67"/>
      <c r="N262" s="138"/>
      <c r="O262" s="67"/>
      <c r="P262" s="67"/>
      <c r="Q262" s="67"/>
      <c r="R262" s="91"/>
      <c r="S262" s="138"/>
      <c r="T262" s="67"/>
      <c r="U262" s="91"/>
      <c r="V262" s="67"/>
      <c r="W262" s="67"/>
      <c r="X262" s="67"/>
      <c r="Y262" s="67"/>
      <c r="Z262" s="67"/>
      <c r="AA262" s="393">
        <f ca="1">+'Capex_FO input'!CP262</f>
        <v>0</v>
      </c>
      <c r="AB262" s="394">
        <f ca="1">+'Capex_FO input'!CQ262</f>
        <v>0</v>
      </c>
      <c r="AC262" s="394">
        <f ca="1">+'Capex_FO input'!CR262</f>
        <v>0</v>
      </c>
      <c r="AD262" s="394">
        <f ca="1">+'Capex_FO input'!CS262</f>
        <v>0</v>
      </c>
      <c r="AE262" s="1279">
        <f ca="1">+'Capex_FO input'!CT262</f>
        <v>0</v>
      </c>
      <c r="AF262" s="393">
        <f ca="1">+'Capex_FO input'!CU262</f>
        <v>0</v>
      </c>
      <c r="AG262" s="394">
        <f ca="1">+'Capex_FO input'!CV262</f>
        <v>0</v>
      </c>
      <c r="AH262" s="394">
        <f ca="1">+'Capex_FO input'!CW262</f>
        <v>0</v>
      </c>
      <c r="AI262" s="394">
        <f ca="1">+'Capex_FO input'!CX262</f>
        <v>0</v>
      </c>
      <c r="AJ262" s="395">
        <f ca="1">+'Capex_FO input'!CY262</f>
        <v>0</v>
      </c>
    </row>
    <row r="263" spans="3:36" ht="11.25" customHeight="1">
      <c r="C263" s="78">
        <f t="shared" si="22"/>
        <v>217</v>
      </c>
      <c r="D263" s="1984">
        <f>+'Capex_FO input'!C263</f>
        <v>0</v>
      </c>
      <c r="E263" s="1985"/>
      <c r="F263" s="1985"/>
      <c r="G263" s="1985"/>
      <c r="H263" s="1986"/>
      <c r="I263" s="643">
        <f>+'Capex_FO input'!N263</f>
        <v>0</v>
      </c>
      <c r="J263" s="67"/>
      <c r="K263" s="67"/>
      <c r="L263" s="67"/>
      <c r="M263" s="67"/>
      <c r="N263" s="138"/>
      <c r="O263" s="67"/>
      <c r="P263" s="67"/>
      <c r="Q263" s="67"/>
      <c r="R263" s="91"/>
      <c r="S263" s="138"/>
      <c r="T263" s="67"/>
      <c r="U263" s="91"/>
      <c r="V263" s="67"/>
      <c r="W263" s="67"/>
      <c r="X263" s="67"/>
      <c r="Y263" s="67"/>
      <c r="Z263" s="67"/>
      <c r="AA263" s="393">
        <f ca="1">+'Capex_FO input'!CP263</f>
        <v>0</v>
      </c>
      <c r="AB263" s="394">
        <f ca="1">+'Capex_FO input'!CQ263</f>
        <v>0</v>
      </c>
      <c r="AC263" s="394">
        <f ca="1">+'Capex_FO input'!CR263</f>
        <v>0</v>
      </c>
      <c r="AD263" s="394">
        <f ca="1">+'Capex_FO input'!CS263</f>
        <v>0</v>
      </c>
      <c r="AE263" s="1279">
        <f ca="1">+'Capex_FO input'!CT263</f>
        <v>0</v>
      </c>
      <c r="AF263" s="393">
        <f ca="1">+'Capex_FO input'!CU263</f>
        <v>0</v>
      </c>
      <c r="AG263" s="394">
        <f ca="1">+'Capex_FO input'!CV263</f>
        <v>0</v>
      </c>
      <c r="AH263" s="394">
        <f ca="1">+'Capex_FO input'!CW263</f>
        <v>0</v>
      </c>
      <c r="AI263" s="394">
        <f ca="1">+'Capex_FO input'!CX263</f>
        <v>0</v>
      </c>
      <c r="AJ263" s="395">
        <f ca="1">+'Capex_FO input'!CY263</f>
        <v>0</v>
      </c>
    </row>
    <row r="264" spans="3:36" ht="11.25" customHeight="1">
      <c r="C264" s="78">
        <f t="shared" si="22"/>
        <v>218</v>
      </c>
      <c r="D264" s="1984">
        <f>+'Capex_FO input'!C264</f>
        <v>0</v>
      </c>
      <c r="E264" s="1985"/>
      <c r="F264" s="1985"/>
      <c r="G264" s="1985"/>
      <c r="H264" s="1986"/>
      <c r="I264" s="643">
        <f>+'Capex_FO input'!N264</f>
        <v>0</v>
      </c>
      <c r="J264" s="67"/>
      <c r="K264" s="67"/>
      <c r="L264" s="67"/>
      <c r="M264" s="67"/>
      <c r="N264" s="138"/>
      <c r="O264" s="67"/>
      <c r="P264" s="67"/>
      <c r="Q264" s="67"/>
      <c r="R264" s="91"/>
      <c r="S264" s="138"/>
      <c r="T264" s="67"/>
      <c r="U264" s="91"/>
      <c r="V264" s="67"/>
      <c r="W264" s="67"/>
      <c r="X264" s="67"/>
      <c r="Y264" s="67"/>
      <c r="Z264" s="67"/>
      <c r="AA264" s="393">
        <f ca="1">+'Capex_FO input'!CP264</f>
        <v>0</v>
      </c>
      <c r="AB264" s="394">
        <f ca="1">+'Capex_FO input'!CQ264</f>
        <v>0</v>
      </c>
      <c r="AC264" s="394">
        <f ca="1">+'Capex_FO input'!CR264</f>
        <v>0</v>
      </c>
      <c r="AD264" s="394">
        <f ca="1">+'Capex_FO input'!CS264</f>
        <v>0</v>
      </c>
      <c r="AE264" s="1279">
        <f ca="1">+'Capex_FO input'!CT264</f>
        <v>0</v>
      </c>
      <c r="AF264" s="393">
        <f ca="1">+'Capex_FO input'!CU264</f>
        <v>0</v>
      </c>
      <c r="AG264" s="394">
        <f ca="1">+'Capex_FO input'!CV264</f>
        <v>0</v>
      </c>
      <c r="AH264" s="394">
        <f ca="1">+'Capex_FO input'!CW264</f>
        <v>0</v>
      </c>
      <c r="AI264" s="394">
        <f ca="1">+'Capex_FO input'!CX264</f>
        <v>0</v>
      </c>
      <c r="AJ264" s="395">
        <f ca="1">+'Capex_FO input'!CY264</f>
        <v>0</v>
      </c>
    </row>
    <row r="265" spans="3:36" ht="11.25" customHeight="1">
      <c r="C265" s="78">
        <f t="shared" si="22"/>
        <v>219</v>
      </c>
      <c r="D265" s="1984">
        <f>+'Capex_FO input'!C265</f>
        <v>0</v>
      </c>
      <c r="E265" s="1985"/>
      <c r="F265" s="1985"/>
      <c r="G265" s="1985"/>
      <c r="H265" s="1986"/>
      <c r="I265" s="643">
        <f>+'Capex_FO input'!N265</f>
        <v>0</v>
      </c>
      <c r="J265" s="67"/>
      <c r="K265" s="67"/>
      <c r="L265" s="67"/>
      <c r="M265" s="67"/>
      <c r="N265" s="138"/>
      <c r="O265" s="67"/>
      <c r="P265" s="67"/>
      <c r="Q265" s="67"/>
      <c r="R265" s="91"/>
      <c r="S265" s="138"/>
      <c r="T265" s="67"/>
      <c r="U265" s="91"/>
      <c r="V265" s="67"/>
      <c r="W265" s="67"/>
      <c r="X265" s="67"/>
      <c r="Y265" s="67"/>
      <c r="Z265" s="67"/>
      <c r="AA265" s="393">
        <f ca="1">+'Capex_FO input'!CP265</f>
        <v>0</v>
      </c>
      <c r="AB265" s="394">
        <f ca="1">+'Capex_FO input'!CQ265</f>
        <v>0</v>
      </c>
      <c r="AC265" s="394">
        <f ca="1">+'Capex_FO input'!CR265</f>
        <v>0</v>
      </c>
      <c r="AD265" s="394">
        <f ca="1">+'Capex_FO input'!CS265</f>
        <v>0</v>
      </c>
      <c r="AE265" s="1279">
        <f ca="1">+'Capex_FO input'!CT265</f>
        <v>0</v>
      </c>
      <c r="AF265" s="393">
        <f ca="1">+'Capex_FO input'!CU265</f>
        <v>0</v>
      </c>
      <c r="AG265" s="394">
        <f ca="1">+'Capex_FO input'!CV265</f>
        <v>0</v>
      </c>
      <c r="AH265" s="394">
        <f ca="1">+'Capex_FO input'!CW265</f>
        <v>0</v>
      </c>
      <c r="AI265" s="394">
        <f ca="1">+'Capex_FO input'!CX265</f>
        <v>0</v>
      </c>
      <c r="AJ265" s="395">
        <f ca="1">+'Capex_FO input'!CY265</f>
        <v>0</v>
      </c>
    </row>
    <row r="266" spans="3:36" ht="11.25" customHeight="1">
      <c r="C266" s="78">
        <f t="shared" si="22"/>
        <v>220</v>
      </c>
      <c r="D266" s="1984">
        <f>+'Capex_FO input'!C266</f>
        <v>0</v>
      </c>
      <c r="E266" s="1985"/>
      <c r="F266" s="1985"/>
      <c r="G266" s="1985"/>
      <c r="H266" s="1986"/>
      <c r="I266" s="643">
        <f>+'Capex_FO input'!N266</f>
        <v>0</v>
      </c>
      <c r="J266" s="67"/>
      <c r="K266" s="67"/>
      <c r="L266" s="67"/>
      <c r="M266" s="67"/>
      <c r="N266" s="138"/>
      <c r="O266" s="67"/>
      <c r="P266" s="67"/>
      <c r="Q266" s="67"/>
      <c r="R266" s="91"/>
      <c r="S266" s="138"/>
      <c r="T266" s="67"/>
      <c r="U266" s="91"/>
      <c r="V266" s="67"/>
      <c r="W266" s="67"/>
      <c r="X266" s="67"/>
      <c r="Y266" s="67"/>
      <c r="Z266" s="67"/>
      <c r="AA266" s="393">
        <f ca="1">+'Capex_FO input'!CP266</f>
        <v>0</v>
      </c>
      <c r="AB266" s="394">
        <f ca="1">+'Capex_FO input'!CQ266</f>
        <v>0</v>
      </c>
      <c r="AC266" s="394">
        <f ca="1">+'Capex_FO input'!CR266</f>
        <v>0</v>
      </c>
      <c r="AD266" s="394">
        <f ca="1">+'Capex_FO input'!CS266</f>
        <v>0</v>
      </c>
      <c r="AE266" s="1279">
        <f ca="1">+'Capex_FO input'!CT266</f>
        <v>0</v>
      </c>
      <c r="AF266" s="393">
        <f ca="1">+'Capex_FO input'!CU266</f>
        <v>0</v>
      </c>
      <c r="AG266" s="394">
        <f ca="1">+'Capex_FO input'!CV266</f>
        <v>0</v>
      </c>
      <c r="AH266" s="394">
        <f ca="1">+'Capex_FO input'!CW266</f>
        <v>0</v>
      </c>
      <c r="AI266" s="394">
        <f ca="1">+'Capex_FO input'!CX266</f>
        <v>0</v>
      </c>
      <c r="AJ266" s="395">
        <f ca="1">+'Capex_FO input'!CY266</f>
        <v>0</v>
      </c>
    </row>
    <row r="267" spans="3:36" ht="11.25" customHeight="1">
      <c r="C267" s="78">
        <f t="shared" si="22"/>
        <v>221</v>
      </c>
      <c r="D267" s="1984">
        <f>+'Capex_FO input'!C267</f>
        <v>0</v>
      </c>
      <c r="E267" s="1985"/>
      <c r="F267" s="1985"/>
      <c r="G267" s="1985"/>
      <c r="H267" s="1986"/>
      <c r="I267" s="643">
        <f>+'Capex_FO input'!N267</f>
        <v>0</v>
      </c>
      <c r="J267" s="67"/>
      <c r="K267" s="67"/>
      <c r="L267" s="67"/>
      <c r="M267" s="67"/>
      <c r="N267" s="138"/>
      <c r="O267" s="67"/>
      <c r="P267" s="67"/>
      <c r="Q267" s="67"/>
      <c r="R267" s="91"/>
      <c r="S267" s="138"/>
      <c r="T267" s="67"/>
      <c r="U267" s="91"/>
      <c r="V267" s="67"/>
      <c r="W267" s="67"/>
      <c r="X267" s="67"/>
      <c r="Y267" s="67"/>
      <c r="Z267" s="67"/>
      <c r="AA267" s="393">
        <f ca="1">+'Capex_FO input'!CP267</f>
        <v>0</v>
      </c>
      <c r="AB267" s="394">
        <f ca="1">+'Capex_FO input'!CQ267</f>
        <v>0</v>
      </c>
      <c r="AC267" s="394">
        <f ca="1">+'Capex_FO input'!CR267</f>
        <v>0</v>
      </c>
      <c r="AD267" s="394">
        <f ca="1">+'Capex_FO input'!CS267</f>
        <v>0</v>
      </c>
      <c r="AE267" s="1279">
        <f ca="1">+'Capex_FO input'!CT267</f>
        <v>0</v>
      </c>
      <c r="AF267" s="393">
        <f ca="1">+'Capex_FO input'!CU267</f>
        <v>0</v>
      </c>
      <c r="AG267" s="394">
        <f ca="1">+'Capex_FO input'!CV267</f>
        <v>0</v>
      </c>
      <c r="AH267" s="394">
        <f ca="1">+'Capex_FO input'!CW267</f>
        <v>0</v>
      </c>
      <c r="AI267" s="394">
        <f ca="1">+'Capex_FO input'!CX267</f>
        <v>0</v>
      </c>
      <c r="AJ267" s="395">
        <f ca="1">+'Capex_FO input'!CY267</f>
        <v>0</v>
      </c>
    </row>
    <row r="268" spans="3:36" ht="11.25" customHeight="1">
      <c r="C268" s="78">
        <f t="shared" si="22"/>
        <v>222</v>
      </c>
      <c r="D268" s="1984">
        <f>+'Capex_FO input'!C268</f>
        <v>0</v>
      </c>
      <c r="E268" s="1985"/>
      <c r="F268" s="1985"/>
      <c r="G268" s="1985"/>
      <c r="H268" s="1986"/>
      <c r="I268" s="643">
        <f>+'Capex_FO input'!N268</f>
        <v>0</v>
      </c>
      <c r="J268" s="67"/>
      <c r="K268" s="67"/>
      <c r="L268" s="67"/>
      <c r="M268" s="67"/>
      <c r="N268" s="138"/>
      <c r="O268" s="67"/>
      <c r="P268" s="67"/>
      <c r="Q268" s="67"/>
      <c r="R268" s="91"/>
      <c r="S268" s="138"/>
      <c r="T268" s="67"/>
      <c r="U268" s="91"/>
      <c r="V268" s="67"/>
      <c r="W268" s="67"/>
      <c r="X268" s="67"/>
      <c r="Y268" s="67"/>
      <c r="Z268" s="67"/>
      <c r="AA268" s="393">
        <f ca="1">+'Capex_FO input'!CP268</f>
        <v>0</v>
      </c>
      <c r="AB268" s="394">
        <f ca="1">+'Capex_FO input'!CQ268</f>
        <v>0</v>
      </c>
      <c r="AC268" s="394">
        <f ca="1">+'Capex_FO input'!CR268</f>
        <v>0</v>
      </c>
      <c r="AD268" s="394">
        <f ca="1">+'Capex_FO input'!CS268</f>
        <v>0</v>
      </c>
      <c r="AE268" s="1279">
        <f ca="1">+'Capex_FO input'!CT268</f>
        <v>0</v>
      </c>
      <c r="AF268" s="393">
        <f ca="1">+'Capex_FO input'!CU268</f>
        <v>0</v>
      </c>
      <c r="AG268" s="394">
        <f ca="1">+'Capex_FO input'!CV268</f>
        <v>0</v>
      </c>
      <c r="AH268" s="394">
        <f ca="1">+'Capex_FO input'!CW268</f>
        <v>0</v>
      </c>
      <c r="AI268" s="394">
        <f ca="1">+'Capex_FO input'!CX268</f>
        <v>0</v>
      </c>
      <c r="AJ268" s="395">
        <f ca="1">+'Capex_FO input'!CY268</f>
        <v>0</v>
      </c>
    </row>
    <row r="269" spans="3:36" ht="11.25" customHeight="1">
      <c r="C269" s="78">
        <f t="shared" si="22"/>
        <v>223</v>
      </c>
      <c r="D269" s="1984">
        <f>+'Capex_FO input'!C269</f>
        <v>0</v>
      </c>
      <c r="E269" s="1985"/>
      <c r="F269" s="1985"/>
      <c r="G269" s="1985"/>
      <c r="H269" s="1986"/>
      <c r="I269" s="643">
        <f>+'Capex_FO input'!N269</f>
        <v>0</v>
      </c>
      <c r="J269" s="67"/>
      <c r="K269" s="67"/>
      <c r="L269" s="67"/>
      <c r="M269" s="67"/>
      <c r="N269" s="138"/>
      <c r="O269" s="67"/>
      <c r="P269" s="67"/>
      <c r="Q269" s="67"/>
      <c r="R269" s="91"/>
      <c r="S269" s="138"/>
      <c r="T269" s="67"/>
      <c r="U269" s="91"/>
      <c r="V269" s="67"/>
      <c r="W269" s="67"/>
      <c r="X269" s="67"/>
      <c r="Y269" s="67"/>
      <c r="Z269" s="67"/>
      <c r="AA269" s="393">
        <f ca="1">+'Capex_FO input'!CP269</f>
        <v>0</v>
      </c>
      <c r="AB269" s="394">
        <f ca="1">+'Capex_FO input'!CQ269</f>
        <v>0</v>
      </c>
      <c r="AC269" s="394">
        <f ca="1">+'Capex_FO input'!CR269</f>
        <v>0</v>
      </c>
      <c r="AD269" s="394">
        <f ca="1">+'Capex_FO input'!CS269</f>
        <v>0</v>
      </c>
      <c r="AE269" s="1279">
        <f ca="1">+'Capex_FO input'!CT269</f>
        <v>0</v>
      </c>
      <c r="AF269" s="393">
        <f ca="1">+'Capex_FO input'!CU269</f>
        <v>0</v>
      </c>
      <c r="AG269" s="394">
        <f ca="1">+'Capex_FO input'!CV269</f>
        <v>0</v>
      </c>
      <c r="AH269" s="394">
        <f ca="1">+'Capex_FO input'!CW269</f>
        <v>0</v>
      </c>
      <c r="AI269" s="394">
        <f ca="1">+'Capex_FO input'!CX269</f>
        <v>0</v>
      </c>
      <c r="AJ269" s="395">
        <f ca="1">+'Capex_FO input'!CY269</f>
        <v>0</v>
      </c>
    </row>
    <row r="270" spans="3:36" ht="11.25" customHeight="1">
      <c r="C270" s="78">
        <f t="shared" si="22"/>
        <v>224</v>
      </c>
      <c r="D270" s="1984">
        <f>+'Capex_FO input'!C270</f>
        <v>0</v>
      </c>
      <c r="E270" s="1985"/>
      <c r="F270" s="1985"/>
      <c r="G270" s="1985"/>
      <c r="H270" s="1986"/>
      <c r="I270" s="643">
        <f>+'Capex_FO input'!N270</f>
        <v>0</v>
      </c>
      <c r="J270" s="67"/>
      <c r="K270" s="67"/>
      <c r="L270" s="67"/>
      <c r="M270" s="67"/>
      <c r="N270" s="138"/>
      <c r="O270" s="67"/>
      <c r="P270" s="67"/>
      <c r="Q270" s="67"/>
      <c r="R270" s="91"/>
      <c r="S270" s="138"/>
      <c r="T270" s="67"/>
      <c r="U270" s="91"/>
      <c r="V270" s="67"/>
      <c r="W270" s="67"/>
      <c r="X270" s="67"/>
      <c r="Y270" s="67"/>
      <c r="Z270" s="67"/>
      <c r="AA270" s="393">
        <f ca="1">+'Capex_FO input'!CP270</f>
        <v>0</v>
      </c>
      <c r="AB270" s="394">
        <f ca="1">+'Capex_FO input'!CQ270</f>
        <v>0</v>
      </c>
      <c r="AC270" s="394">
        <f ca="1">+'Capex_FO input'!CR270</f>
        <v>0</v>
      </c>
      <c r="AD270" s="394">
        <f ca="1">+'Capex_FO input'!CS270</f>
        <v>0</v>
      </c>
      <c r="AE270" s="1279">
        <f ca="1">+'Capex_FO input'!CT270</f>
        <v>0</v>
      </c>
      <c r="AF270" s="393">
        <f ca="1">+'Capex_FO input'!CU270</f>
        <v>0</v>
      </c>
      <c r="AG270" s="394">
        <f ca="1">+'Capex_FO input'!CV270</f>
        <v>0</v>
      </c>
      <c r="AH270" s="394">
        <f ca="1">+'Capex_FO input'!CW270</f>
        <v>0</v>
      </c>
      <c r="AI270" s="394">
        <f ca="1">+'Capex_FO input'!CX270</f>
        <v>0</v>
      </c>
      <c r="AJ270" s="395">
        <f ca="1">+'Capex_FO input'!CY270</f>
        <v>0</v>
      </c>
    </row>
    <row r="271" spans="3:36" ht="11.25" customHeight="1">
      <c r="C271" s="78">
        <f t="shared" si="22"/>
        <v>225</v>
      </c>
      <c r="D271" s="1984">
        <f>+'Capex_FO input'!C271</f>
        <v>0</v>
      </c>
      <c r="E271" s="1985"/>
      <c r="F271" s="1985"/>
      <c r="G271" s="1985"/>
      <c r="H271" s="1986"/>
      <c r="I271" s="643">
        <f>+'Capex_FO input'!N271</f>
        <v>0</v>
      </c>
      <c r="J271" s="67"/>
      <c r="K271" s="67"/>
      <c r="L271" s="67"/>
      <c r="M271" s="67"/>
      <c r="N271" s="138"/>
      <c r="O271" s="67"/>
      <c r="P271" s="67"/>
      <c r="Q271" s="67"/>
      <c r="R271" s="91"/>
      <c r="S271" s="138"/>
      <c r="T271" s="67"/>
      <c r="U271" s="91"/>
      <c r="V271" s="67"/>
      <c r="W271" s="67"/>
      <c r="X271" s="67"/>
      <c r="Y271" s="67"/>
      <c r="Z271" s="67"/>
      <c r="AA271" s="393">
        <f ca="1">+'Capex_FO input'!CP271</f>
        <v>0</v>
      </c>
      <c r="AB271" s="394">
        <f ca="1">+'Capex_FO input'!CQ271</f>
        <v>0</v>
      </c>
      <c r="AC271" s="394">
        <f ca="1">+'Capex_FO input'!CR271</f>
        <v>0</v>
      </c>
      <c r="AD271" s="394">
        <f ca="1">+'Capex_FO input'!CS271</f>
        <v>0</v>
      </c>
      <c r="AE271" s="1279">
        <f ca="1">+'Capex_FO input'!CT271</f>
        <v>0</v>
      </c>
      <c r="AF271" s="393">
        <f ca="1">+'Capex_FO input'!CU271</f>
        <v>0</v>
      </c>
      <c r="AG271" s="394">
        <f ca="1">+'Capex_FO input'!CV271</f>
        <v>0</v>
      </c>
      <c r="AH271" s="394">
        <f ca="1">+'Capex_FO input'!CW271</f>
        <v>0</v>
      </c>
      <c r="AI271" s="394">
        <f ca="1">+'Capex_FO input'!CX271</f>
        <v>0</v>
      </c>
      <c r="AJ271" s="395">
        <f ca="1">+'Capex_FO input'!CY271</f>
        <v>0</v>
      </c>
    </row>
    <row r="272" spans="3:36" ht="11.25" customHeight="1">
      <c r="C272" s="78">
        <f t="shared" si="22"/>
        <v>226</v>
      </c>
      <c r="D272" s="1984">
        <f>+'Capex_FO input'!C272</f>
        <v>0</v>
      </c>
      <c r="E272" s="1985"/>
      <c r="F272" s="1985"/>
      <c r="G272" s="1985"/>
      <c r="H272" s="1986"/>
      <c r="I272" s="643">
        <f>+'Capex_FO input'!N272</f>
        <v>0</v>
      </c>
      <c r="J272" s="67"/>
      <c r="K272" s="67"/>
      <c r="L272" s="67"/>
      <c r="M272" s="67"/>
      <c r="N272" s="138"/>
      <c r="O272" s="67"/>
      <c r="P272" s="67"/>
      <c r="Q272" s="67"/>
      <c r="R272" s="91"/>
      <c r="S272" s="138"/>
      <c r="T272" s="67"/>
      <c r="U272" s="91"/>
      <c r="V272" s="67"/>
      <c r="W272" s="67"/>
      <c r="X272" s="67"/>
      <c r="Y272" s="67"/>
      <c r="Z272" s="67"/>
      <c r="AA272" s="393">
        <f ca="1">+'Capex_FO input'!CP272</f>
        <v>0</v>
      </c>
      <c r="AB272" s="394">
        <f ca="1">+'Capex_FO input'!CQ272</f>
        <v>0</v>
      </c>
      <c r="AC272" s="394">
        <f ca="1">+'Capex_FO input'!CR272</f>
        <v>0</v>
      </c>
      <c r="AD272" s="394">
        <f ca="1">+'Capex_FO input'!CS272</f>
        <v>0</v>
      </c>
      <c r="AE272" s="1279">
        <f ca="1">+'Capex_FO input'!CT272</f>
        <v>0</v>
      </c>
      <c r="AF272" s="393">
        <f ca="1">+'Capex_FO input'!CU272</f>
        <v>0</v>
      </c>
      <c r="AG272" s="394">
        <f ca="1">+'Capex_FO input'!CV272</f>
        <v>0</v>
      </c>
      <c r="AH272" s="394">
        <f ca="1">+'Capex_FO input'!CW272</f>
        <v>0</v>
      </c>
      <c r="AI272" s="394">
        <f ca="1">+'Capex_FO input'!CX272</f>
        <v>0</v>
      </c>
      <c r="AJ272" s="395">
        <f ca="1">+'Capex_FO input'!CY272</f>
        <v>0</v>
      </c>
    </row>
    <row r="273" spans="3:36" ht="11.25" customHeight="1">
      <c r="C273" s="78">
        <f t="shared" si="22"/>
        <v>227</v>
      </c>
      <c r="D273" s="1984">
        <f>+'Capex_FO input'!C273</f>
        <v>0</v>
      </c>
      <c r="E273" s="1985"/>
      <c r="F273" s="1985"/>
      <c r="G273" s="1985"/>
      <c r="H273" s="1986"/>
      <c r="I273" s="643">
        <f>+'Capex_FO input'!N273</f>
        <v>0</v>
      </c>
      <c r="J273" s="67"/>
      <c r="K273" s="67"/>
      <c r="L273" s="67"/>
      <c r="M273" s="67"/>
      <c r="N273" s="138"/>
      <c r="O273" s="67"/>
      <c r="P273" s="67"/>
      <c r="Q273" s="67"/>
      <c r="R273" s="91"/>
      <c r="S273" s="138"/>
      <c r="T273" s="67"/>
      <c r="U273" s="91"/>
      <c r="V273" s="67"/>
      <c r="W273" s="67"/>
      <c r="X273" s="67"/>
      <c r="Y273" s="67"/>
      <c r="Z273" s="67"/>
      <c r="AA273" s="393">
        <f ca="1">+'Capex_FO input'!CP273</f>
        <v>0</v>
      </c>
      <c r="AB273" s="394">
        <f ca="1">+'Capex_FO input'!CQ273</f>
        <v>0</v>
      </c>
      <c r="AC273" s="394">
        <f ca="1">+'Capex_FO input'!CR273</f>
        <v>0</v>
      </c>
      <c r="AD273" s="394">
        <f ca="1">+'Capex_FO input'!CS273</f>
        <v>0</v>
      </c>
      <c r="AE273" s="1279">
        <f ca="1">+'Capex_FO input'!CT273</f>
        <v>0</v>
      </c>
      <c r="AF273" s="393">
        <f ca="1">+'Capex_FO input'!CU273</f>
        <v>0</v>
      </c>
      <c r="AG273" s="394">
        <f ca="1">+'Capex_FO input'!CV273</f>
        <v>0</v>
      </c>
      <c r="AH273" s="394">
        <f ca="1">+'Capex_FO input'!CW273</f>
        <v>0</v>
      </c>
      <c r="AI273" s="394">
        <f ca="1">+'Capex_FO input'!CX273</f>
        <v>0</v>
      </c>
      <c r="AJ273" s="395">
        <f ca="1">+'Capex_FO input'!CY273</f>
        <v>0</v>
      </c>
    </row>
    <row r="274" spans="3:36" ht="11.25" customHeight="1">
      <c r="C274" s="78">
        <f t="shared" si="22"/>
        <v>228</v>
      </c>
      <c r="D274" s="1984">
        <f>+'Capex_FO input'!C274</f>
        <v>0</v>
      </c>
      <c r="E274" s="1985"/>
      <c r="F274" s="1985"/>
      <c r="G274" s="1985"/>
      <c r="H274" s="1986"/>
      <c r="I274" s="643">
        <f>+'Capex_FO input'!N274</f>
        <v>0</v>
      </c>
      <c r="J274" s="67"/>
      <c r="K274" s="67"/>
      <c r="L274" s="67"/>
      <c r="M274" s="67"/>
      <c r="N274" s="138"/>
      <c r="O274" s="67"/>
      <c r="P274" s="67"/>
      <c r="Q274" s="67"/>
      <c r="R274" s="91"/>
      <c r="S274" s="138"/>
      <c r="T274" s="67"/>
      <c r="U274" s="91"/>
      <c r="V274" s="67"/>
      <c r="W274" s="67"/>
      <c r="X274" s="67"/>
      <c r="Y274" s="67"/>
      <c r="Z274" s="67"/>
      <c r="AA274" s="393">
        <f ca="1">+'Capex_FO input'!CP274</f>
        <v>0</v>
      </c>
      <c r="AB274" s="394">
        <f ca="1">+'Capex_FO input'!CQ274</f>
        <v>0</v>
      </c>
      <c r="AC274" s="394">
        <f ca="1">+'Capex_FO input'!CR274</f>
        <v>0</v>
      </c>
      <c r="AD274" s="394">
        <f ca="1">+'Capex_FO input'!CS274</f>
        <v>0</v>
      </c>
      <c r="AE274" s="1279">
        <f ca="1">+'Capex_FO input'!CT274</f>
        <v>0</v>
      </c>
      <c r="AF274" s="393">
        <f ca="1">+'Capex_FO input'!CU274</f>
        <v>0</v>
      </c>
      <c r="AG274" s="394">
        <f ca="1">+'Capex_FO input'!CV274</f>
        <v>0</v>
      </c>
      <c r="AH274" s="394">
        <f ca="1">+'Capex_FO input'!CW274</f>
        <v>0</v>
      </c>
      <c r="AI274" s="394">
        <f ca="1">+'Capex_FO input'!CX274</f>
        <v>0</v>
      </c>
      <c r="AJ274" s="395">
        <f ca="1">+'Capex_FO input'!CY274</f>
        <v>0</v>
      </c>
    </row>
    <row r="275" spans="3:36" ht="11.25" customHeight="1">
      <c r="C275" s="78">
        <f t="shared" si="22"/>
        <v>229</v>
      </c>
      <c r="D275" s="1984">
        <f>+'Capex_FO input'!C275</f>
        <v>0</v>
      </c>
      <c r="E275" s="1985"/>
      <c r="F275" s="1985"/>
      <c r="G275" s="1985"/>
      <c r="H275" s="1986"/>
      <c r="I275" s="643">
        <f>+'Capex_FO input'!N275</f>
        <v>0</v>
      </c>
      <c r="J275" s="67"/>
      <c r="K275" s="67"/>
      <c r="L275" s="67"/>
      <c r="M275" s="67"/>
      <c r="N275" s="138"/>
      <c r="O275" s="67"/>
      <c r="P275" s="67"/>
      <c r="Q275" s="67"/>
      <c r="R275" s="91"/>
      <c r="S275" s="138"/>
      <c r="T275" s="67"/>
      <c r="U275" s="91"/>
      <c r="V275" s="67"/>
      <c r="W275" s="67"/>
      <c r="X275" s="67"/>
      <c r="Y275" s="67"/>
      <c r="Z275" s="67"/>
      <c r="AA275" s="393">
        <f ca="1">+'Capex_FO input'!CP275</f>
        <v>0</v>
      </c>
      <c r="AB275" s="394">
        <f ca="1">+'Capex_FO input'!CQ275</f>
        <v>0</v>
      </c>
      <c r="AC275" s="394">
        <f ca="1">+'Capex_FO input'!CR275</f>
        <v>0</v>
      </c>
      <c r="AD275" s="394">
        <f ca="1">+'Capex_FO input'!CS275</f>
        <v>0</v>
      </c>
      <c r="AE275" s="1279">
        <f ca="1">+'Capex_FO input'!CT275</f>
        <v>0</v>
      </c>
      <c r="AF275" s="393">
        <f ca="1">+'Capex_FO input'!CU275</f>
        <v>0</v>
      </c>
      <c r="AG275" s="394">
        <f ca="1">+'Capex_FO input'!CV275</f>
        <v>0</v>
      </c>
      <c r="AH275" s="394">
        <f ca="1">+'Capex_FO input'!CW275</f>
        <v>0</v>
      </c>
      <c r="AI275" s="394">
        <f ca="1">+'Capex_FO input'!CX275</f>
        <v>0</v>
      </c>
      <c r="AJ275" s="395">
        <f ca="1">+'Capex_FO input'!CY275</f>
        <v>0</v>
      </c>
    </row>
    <row r="276" spans="3:36" ht="11.25" customHeight="1">
      <c r="C276" s="78">
        <f t="shared" si="22"/>
        <v>230</v>
      </c>
      <c r="D276" s="1984">
        <f>+'Capex_FO input'!C276</f>
        <v>0</v>
      </c>
      <c r="E276" s="1985"/>
      <c r="F276" s="1985"/>
      <c r="G276" s="1985"/>
      <c r="H276" s="1986"/>
      <c r="I276" s="643">
        <f>+'Capex_FO input'!N276</f>
        <v>0</v>
      </c>
      <c r="J276" s="67"/>
      <c r="K276" s="67"/>
      <c r="L276" s="67"/>
      <c r="M276" s="67"/>
      <c r="N276" s="138"/>
      <c r="O276" s="67"/>
      <c r="P276" s="67"/>
      <c r="Q276" s="67"/>
      <c r="R276" s="91"/>
      <c r="S276" s="138"/>
      <c r="T276" s="67"/>
      <c r="U276" s="91"/>
      <c r="V276" s="67"/>
      <c r="W276" s="67"/>
      <c r="X276" s="67"/>
      <c r="Y276" s="67"/>
      <c r="Z276" s="67"/>
      <c r="AA276" s="393">
        <f ca="1">+'Capex_FO input'!CP276</f>
        <v>0</v>
      </c>
      <c r="AB276" s="394">
        <f ca="1">+'Capex_FO input'!CQ276</f>
        <v>0</v>
      </c>
      <c r="AC276" s="394">
        <f ca="1">+'Capex_FO input'!CR276</f>
        <v>0</v>
      </c>
      <c r="AD276" s="394">
        <f ca="1">+'Capex_FO input'!CS276</f>
        <v>0</v>
      </c>
      <c r="AE276" s="1279">
        <f ca="1">+'Capex_FO input'!CT276</f>
        <v>0</v>
      </c>
      <c r="AF276" s="393">
        <f ca="1">+'Capex_FO input'!CU276</f>
        <v>0</v>
      </c>
      <c r="AG276" s="394">
        <f ca="1">+'Capex_FO input'!CV276</f>
        <v>0</v>
      </c>
      <c r="AH276" s="394">
        <f ca="1">+'Capex_FO input'!CW276</f>
        <v>0</v>
      </c>
      <c r="AI276" s="394">
        <f ca="1">+'Capex_FO input'!CX276</f>
        <v>0</v>
      </c>
      <c r="AJ276" s="395">
        <f ca="1">+'Capex_FO input'!CY276</f>
        <v>0</v>
      </c>
    </row>
    <row r="277" spans="3:36" ht="11.25" customHeight="1">
      <c r="C277" s="78">
        <f t="shared" si="22"/>
        <v>231</v>
      </c>
      <c r="D277" s="1984">
        <f>+'Capex_FO input'!C277</f>
        <v>0</v>
      </c>
      <c r="E277" s="1985"/>
      <c r="F277" s="1985"/>
      <c r="G277" s="1985"/>
      <c r="H277" s="1986"/>
      <c r="I277" s="643">
        <f>+'Capex_FO input'!N277</f>
        <v>0</v>
      </c>
      <c r="J277" s="67"/>
      <c r="K277" s="67"/>
      <c r="L277" s="67"/>
      <c r="M277" s="67"/>
      <c r="N277" s="138"/>
      <c r="O277" s="67"/>
      <c r="P277" s="67"/>
      <c r="Q277" s="67"/>
      <c r="R277" s="91"/>
      <c r="S277" s="138"/>
      <c r="T277" s="67"/>
      <c r="U277" s="91"/>
      <c r="V277" s="67"/>
      <c r="W277" s="67"/>
      <c r="X277" s="67"/>
      <c r="Y277" s="67"/>
      <c r="Z277" s="67"/>
      <c r="AA277" s="393">
        <f ca="1">+'Capex_FO input'!CP277</f>
        <v>0</v>
      </c>
      <c r="AB277" s="394">
        <f ca="1">+'Capex_FO input'!CQ277</f>
        <v>0</v>
      </c>
      <c r="AC277" s="394">
        <f ca="1">+'Capex_FO input'!CR277</f>
        <v>0</v>
      </c>
      <c r="AD277" s="394">
        <f ca="1">+'Capex_FO input'!CS277</f>
        <v>0</v>
      </c>
      <c r="AE277" s="1279">
        <f ca="1">+'Capex_FO input'!CT277</f>
        <v>0</v>
      </c>
      <c r="AF277" s="393">
        <f ca="1">+'Capex_FO input'!CU277</f>
        <v>0</v>
      </c>
      <c r="AG277" s="394">
        <f ca="1">+'Capex_FO input'!CV277</f>
        <v>0</v>
      </c>
      <c r="AH277" s="394">
        <f ca="1">+'Capex_FO input'!CW277</f>
        <v>0</v>
      </c>
      <c r="AI277" s="394">
        <f ca="1">+'Capex_FO input'!CX277</f>
        <v>0</v>
      </c>
      <c r="AJ277" s="395">
        <f ca="1">+'Capex_FO input'!CY277</f>
        <v>0</v>
      </c>
    </row>
    <row r="278" spans="3:36" ht="11.25" customHeight="1">
      <c r="C278" s="78">
        <f t="shared" si="22"/>
        <v>232</v>
      </c>
      <c r="D278" s="1984">
        <f>+'Capex_FO input'!C278</f>
        <v>0</v>
      </c>
      <c r="E278" s="1985"/>
      <c r="F278" s="1985"/>
      <c r="G278" s="1985"/>
      <c r="H278" s="1986"/>
      <c r="I278" s="643">
        <f>+'Capex_FO input'!N278</f>
        <v>0</v>
      </c>
      <c r="J278" s="67"/>
      <c r="K278" s="67"/>
      <c r="L278" s="67"/>
      <c r="M278" s="67"/>
      <c r="N278" s="138"/>
      <c r="O278" s="67"/>
      <c r="P278" s="67"/>
      <c r="Q278" s="67"/>
      <c r="R278" s="91"/>
      <c r="S278" s="138"/>
      <c r="T278" s="67"/>
      <c r="U278" s="91"/>
      <c r="V278" s="67"/>
      <c r="W278" s="67"/>
      <c r="X278" s="67"/>
      <c r="Y278" s="67"/>
      <c r="Z278" s="67"/>
      <c r="AA278" s="393">
        <f ca="1">+'Capex_FO input'!CP278</f>
        <v>0</v>
      </c>
      <c r="AB278" s="394">
        <f ca="1">+'Capex_FO input'!CQ278</f>
        <v>0</v>
      </c>
      <c r="AC278" s="394">
        <f ca="1">+'Capex_FO input'!CR278</f>
        <v>0</v>
      </c>
      <c r="AD278" s="394">
        <f ca="1">+'Capex_FO input'!CS278</f>
        <v>0</v>
      </c>
      <c r="AE278" s="1279">
        <f ca="1">+'Capex_FO input'!CT278</f>
        <v>0</v>
      </c>
      <c r="AF278" s="393">
        <f ca="1">+'Capex_FO input'!CU278</f>
        <v>0</v>
      </c>
      <c r="AG278" s="394">
        <f ca="1">+'Capex_FO input'!CV278</f>
        <v>0</v>
      </c>
      <c r="AH278" s="394">
        <f ca="1">+'Capex_FO input'!CW278</f>
        <v>0</v>
      </c>
      <c r="AI278" s="394">
        <f ca="1">+'Capex_FO input'!CX278</f>
        <v>0</v>
      </c>
      <c r="AJ278" s="395">
        <f ca="1">+'Capex_FO input'!CY278</f>
        <v>0</v>
      </c>
    </row>
    <row r="279" spans="3:36" ht="11.25" customHeight="1">
      <c r="C279" s="78">
        <f t="shared" si="22"/>
        <v>233</v>
      </c>
      <c r="D279" s="1984">
        <f>+'Capex_FO input'!C279</f>
        <v>0</v>
      </c>
      <c r="E279" s="1985"/>
      <c r="F279" s="1985"/>
      <c r="G279" s="1985"/>
      <c r="H279" s="1986"/>
      <c r="I279" s="643">
        <f>+'Capex_FO input'!N279</f>
        <v>0</v>
      </c>
      <c r="J279" s="67"/>
      <c r="K279" s="67"/>
      <c r="L279" s="67"/>
      <c r="M279" s="67"/>
      <c r="N279" s="138"/>
      <c r="O279" s="67"/>
      <c r="P279" s="67"/>
      <c r="Q279" s="67"/>
      <c r="R279" s="91"/>
      <c r="S279" s="138"/>
      <c r="T279" s="67"/>
      <c r="U279" s="91"/>
      <c r="V279" s="67"/>
      <c r="W279" s="67"/>
      <c r="X279" s="67"/>
      <c r="Y279" s="67"/>
      <c r="Z279" s="67"/>
      <c r="AA279" s="393">
        <f ca="1">+'Capex_FO input'!CP279</f>
        <v>0</v>
      </c>
      <c r="AB279" s="394">
        <f ca="1">+'Capex_FO input'!CQ279</f>
        <v>0</v>
      </c>
      <c r="AC279" s="394">
        <f ca="1">+'Capex_FO input'!CR279</f>
        <v>0</v>
      </c>
      <c r="AD279" s="394">
        <f ca="1">+'Capex_FO input'!CS279</f>
        <v>0</v>
      </c>
      <c r="AE279" s="1279">
        <f ca="1">+'Capex_FO input'!CT279</f>
        <v>0</v>
      </c>
      <c r="AF279" s="393">
        <f ca="1">+'Capex_FO input'!CU279</f>
        <v>0</v>
      </c>
      <c r="AG279" s="394">
        <f ca="1">+'Capex_FO input'!CV279</f>
        <v>0</v>
      </c>
      <c r="AH279" s="394">
        <f ca="1">+'Capex_FO input'!CW279</f>
        <v>0</v>
      </c>
      <c r="AI279" s="394">
        <f ca="1">+'Capex_FO input'!CX279</f>
        <v>0</v>
      </c>
      <c r="AJ279" s="395">
        <f ca="1">+'Capex_FO input'!CY279</f>
        <v>0</v>
      </c>
    </row>
    <row r="280" spans="3:36" ht="11.25" customHeight="1">
      <c r="C280" s="78">
        <f t="shared" si="22"/>
        <v>234</v>
      </c>
      <c r="D280" s="1984">
        <f>+'Capex_FO input'!C280</f>
        <v>0</v>
      </c>
      <c r="E280" s="1985"/>
      <c r="F280" s="1985"/>
      <c r="G280" s="1985"/>
      <c r="H280" s="1986"/>
      <c r="I280" s="643">
        <f>+'Capex_FO input'!N280</f>
        <v>0</v>
      </c>
      <c r="J280" s="67"/>
      <c r="K280" s="67"/>
      <c r="L280" s="67"/>
      <c r="M280" s="67"/>
      <c r="N280" s="138"/>
      <c r="O280" s="67"/>
      <c r="P280" s="67"/>
      <c r="Q280" s="67"/>
      <c r="R280" s="91"/>
      <c r="S280" s="138"/>
      <c r="T280" s="67"/>
      <c r="U280" s="91"/>
      <c r="V280" s="67"/>
      <c r="W280" s="67"/>
      <c r="X280" s="67"/>
      <c r="Y280" s="67"/>
      <c r="Z280" s="67"/>
      <c r="AA280" s="393">
        <f ca="1">+'Capex_FO input'!CP280</f>
        <v>0</v>
      </c>
      <c r="AB280" s="394">
        <f ca="1">+'Capex_FO input'!CQ280</f>
        <v>0</v>
      </c>
      <c r="AC280" s="394">
        <f ca="1">+'Capex_FO input'!CR280</f>
        <v>0</v>
      </c>
      <c r="AD280" s="394">
        <f ca="1">+'Capex_FO input'!CS280</f>
        <v>0</v>
      </c>
      <c r="AE280" s="1279">
        <f ca="1">+'Capex_FO input'!CT280</f>
        <v>0</v>
      </c>
      <c r="AF280" s="393">
        <f ca="1">+'Capex_FO input'!CU280</f>
        <v>0</v>
      </c>
      <c r="AG280" s="394">
        <f ca="1">+'Capex_FO input'!CV280</f>
        <v>0</v>
      </c>
      <c r="AH280" s="394">
        <f ca="1">+'Capex_FO input'!CW280</f>
        <v>0</v>
      </c>
      <c r="AI280" s="394">
        <f ca="1">+'Capex_FO input'!CX280</f>
        <v>0</v>
      </c>
      <c r="AJ280" s="395">
        <f ca="1">+'Capex_FO input'!CY280</f>
        <v>0</v>
      </c>
    </row>
    <row r="281" spans="3:36" ht="11.25" customHeight="1">
      <c r="C281" s="78">
        <f t="shared" si="22"/>
        <v>235</v>
      </c>
      <c r="D281" s="1984">
        <f>+'Capex_FO input'!C281</f>
        <v>0</v>
      </c>
      <c r="E281" s="1985"/>
      <c r="F281" s="1985"/>
      <c r="G281" s="1985"/>
      <c r="H281" s="1986"/>
      <c r="I281" s="643">
        <f>+'Capex_FO input'!N281</f>
        <v>0</v>
      </c>
      <c r="J281" s="67"/>
      <c r="K281" s="67"/>
      <c r="L281" s="67"/>
      <c r="M281" s="67"/>
      <c r="N281" s="138"/>
      <c r="O281" s="67"/>
      <c r="P281" s="67"/>
      <c r="Q281" s="67"/>
      <c r="R281" s="91"/>
      <c r="S281" s="138"/>
      <c r="T281" s="67"/>
      <c r="U281" s="91"/>
      <c r="V281" s="67"/>
      <c r="W281" s="67"/>
      <c r="X281" s="67"/>
      <c r="Y281" s="67"/>
      <c r="Z281" s="67"/>
      <c r="AA281" s="393">
        <f ca="1">+'Capex_FO input'!CP281</f>
        <v>0</v>
      </c>
      <c r="AB281" s="394">
        <f ca="1">+'Capex_FO input'!CQ281</f>
        <v>0</v>
      </c>
      <c r="AC281" s="394">
        <f ca="1">+'Capex_FO input'!CR281</f>
        <v>0</v>
      </c>
      <c r="AD281" s="394">
        <f ca="1">+'Capex_FO input'!CS281</f>
        <v>0</v>
      </c>
      <c r="AE281" s="1279">
        <f ca="1">+'Capex_FO input'!CT281</f>
        <v>0</v>
      </c>
      <c r="AF281" s="393">
        <f ca="1">+'Capex_FO input'!CU281</f>
        <v>0</v>
      </c>
      <c r="AG281" s="394">
        <f ca="1">+'Capex_FO input'!CV281</f>
        <v>0</v>
      </c>
      <c r="AH281" s="394">
        <f ca="1">+'Capex_FO input'!CW281</f>
        <v>0</v>
      </c>
      <c r="AI281" s="394">
        <f ca="1">+'Capex_FO input'!CX281</f>
        <v>0</v>
      </c>
      <c r="AJ281" s="395">
        <f ca="1">+'Capex_FO input'!CY281</f>
        <v>0</v>
      </c>
    </row>
    <row r="282" spans="3:36" ht="11.25" customHeight="1">
      <c r="C282" s="78">
        <f t="shared" si="22"/>
        <v>236</v>
      </c>
      <c r="D282" s="1984">
        <f>+'Capex_FO input'!C282</f>
        <v>0</v>
      </c>
      <c r="E282" s="1985"/>
      <c r="F282" s="1985"/>
      <c r="G282" s="1985"/>
      <c r="H282" s="1986"/>
      <c r="I282" s="643">
        <f>+'Capex_FO input'!N282</f>
        <v>0</v>
      </c>
      <c r="J282" s="67"/>
      <c r="K282" s="67"/>
      <c r="L282" s="67"/>
      <c r="M282" s="67"/>
      <c r="N282" s="138"/>
      <c r="O282" s="67"/>
      <c r="P282" s="67"/>
      <c r="Q282" s="67"/>
      <c r="R282" s="91"/>
      <c r="S282" s="138"/>
      <c r="T282" s="67"/>
      <c r="U282" s="91"/>
      <c r="V282" s="67"/>
      <c r="W282" s="67"/>
      <c r="X282" s="67"/>
      <c r="Y282" s="67"/>
      <c r="Z282" s="67"/>
      <c r="AA282" s="393">
        <f ca="1">+'Capex_FO input'!CP282</f>
        <v>0</v>
      </c>
      <c r="AB282" s="394">
        <f ca="1">+'Capex_FO input'!CQ282</f>
        <v>0</v>
      </c>
      <c r="AC282" s="394">
        <f ca="1">+'Capex_FO input'!CR282</f>
        <v>0</v>
      </c>
      <c r="AD282" s="394">
        <f ca="1">+'Capex_FO input'!CS282</f>
        <v>0</v>
      </c>
      <c r="AE282" s="1279">
        <f ca="1">+'Capex_FO input'!CT282</f>
        <v>0</v>
      </c>
      <c r="AF282" s="393">
        <f ca="1">+'Capex_FO input'!CU282</f>
        <v>0</v>
      </c>
      <c r="AG282" s="394">
        <f ca="1">+'Capex_FO input'!CV282</f>
        <v>0</v>
      </c>
      <c r="AH282" s="394">
        <f ca="1">+'Capex_FO input'!CW282</f>
        <v>0</v>
      </c>
      <c r="AI282" s="394">
        <f ca="1">+'Capex_FO input'!CX282</f>
        <v>0</v>
      </c>
      <c r="AJ282" s="395">
        <f ca="1">+'Capex_FO input'!CY282</f>
        <v>0</v>
      </c>
    </row>
    <row r="283" spans="3:36" ht="11.25" customHeight="1">
      <c r="C283" s="78">
        <f t="shared" si="22"/>
        <v>237</v>
      </c>
      <c r="D283" s="1984">
        <f>+'Capex_FO input'!C283</f>
        <v>0</v>
      </c>
      <c r="E283" s="1985"/>
      <c r="F283" s="1985"/>
      <c r="G283" s="1985"/>
      <c r="H283" s="1986"/>
      <c r="I283" s="643">
        <f>+'Capex_FO input'!N283</f>
        <v>0</v>
      </c>
      <c r="J283" s="67"/>
      <c r="K283" s="67"/>
      <c r="L283" s="67"/>
      <c r="M283" s="67"/>
      <c r="N283" s="138"/>
      <c r="O283" s="67"/>
      <c r="P283" s="67"/>
      <c r="Q283" s="67"/>
      <c r="R283" s="91"/>
      <c r="S283" s="138"/>
      <c r="T283" s="67"/>
      <c r="U283" s="91"/>
      <c r="V283" s="67"/>
      <c r="W283" s="67"/>
      <c r="X283" s="67"/>
      <c r="Y283" s="67"/>
      <c r="Z283" s="67"/>
      <c r="AA283" s="393">
        <f ca="1">+'Capex_FO input'!CP283</f>
        <v>0</v>
      </c>
      <c r="AB283" s="394">
        <f ca="1">+'Capex_FO input'!CQ283</f>
        <v>0</v>
      </c>
      <c r="AC283" s="394">
        <f ca="1">+'Capex_FO input'!CR283</f>
        <v>0</v>
      </c>
      <c r="AD283" s="394">
        <f ca="1">+'Capex_FO input'!CS283</f>
        <v>0</v>
      </c>
      <c r="AE283" s="1279">
        <f ca="1">+'Capex_FO input'!CT283</f>
        <v>0</v>
      </c>
      <c r="AF283" s="393">
        <f ca="1">+'Capex_FO input'!CU283</f>
        <v>0</v>
      </c>
      <c r="AG283" s="394">
        <f ca="1">+'Capex_FO input'!CV283</f>
        <v>0</v>
      </c>
      <c r="AH283" s="394">
        <f ca="1">+'Capex_FO input'!CW283</f>
        <v>0</v>
      </c>
      <c r="AI283" s="394">
        <f ca="1">+'Capex_FO input'!CX283</f>
        <v>0</v>
      </c>
      <c r="AJ283" s="395">
        <f ca="1">+'Capex_FO input'!CY283</f>
        <v>0</v>
      </c>
    </row>
    <row r="284" spans="3:36" ht="11.25" customHeight="1">
      <c r="C284" s="78">
        <f t="shared" si="22"/>
        <v>238</v>
      </c>
      <c r="D284" s="1984">
        <f>+'Capex_FO input'!C284</f>
        <v>0</v>
      </c>
      <c r="E284" s="1985"/>
      <c r="F284" s="1985"/>
      <c r="G284" s="1985"/>
      <c r="H284" s="1986"/>
      <c r="I284" s="643">
        <f>+'Capex_FO input'!N284</f>
        <v>0</v>
      </c>
      <c r="J284" s="67"/>
      <c r="K284" s="67"/>
      <c r="L284" s="67"/>
      <c r="M284" s="67"/>
      <c r="N284" s="138"/>
      <c r="O284" s="67"/>
      <c r="P284" s="67"/>
      <c r="Q284" s="67"/>
      <c r="R284" s="91"/>
      <c r="S284" s="138"/>
      <c r="T284" s="67"/>
      <c r="U284" s="91"/>
      <c r="V284" s="67"/>
      <c r="W284" s="67"/>
      <c r="X284" s="67"/>
      <c r="Y284" s="67"/>
      <c r="Z284" s="67"/>
      <c r="AA284" s="393">
        <f ca="1">+'Capex_FO input'!CP284</f>
        <v>0</v>
      </c>
      <c r="AB284" s="394">
        <f ca="1">+'Capex_FO input'!CQ284</f>
        <v>0</v>
      </c>
      <c r="AC284" s="394">
        <f ca="1">+'Capex_FO input'!CR284</f>
        <v>0</v>
      </c>
      <c r="AD284" s="394">
        <f ca="1">+'Capex_FO input'!CS284</f>
        <v>0</v>
      </c>
      <c r="AE284" s="1279">
        <f ca="1">+'Capex_FO input'!CT284</f>
        <v>0</v>
      </c>
      <c r="AF284" s="393">
        <f ca="1">+'Capex_FO input'!CU284</f>
        <v>0</v>
      </c>
      <c r="AG284" s="394">
        <f ca="1">+'Capex_FO input'!CV284</f>
        <v>0</v>
      </c>
      <c r="AH284" s="394">
        <f ca="1">+'Capex_FO input'!CW284</f>
        <v>0</v>
      </c>
      <c r="AI284" s="394">
        <f ca="1">+'Capex_FO input'!CX284</f>
        <v>0</v>
      </c>
      <c r="AJ284" s="395">
        <f ca="1">+'Capex_FO input'!CY284</f>
        <v>0</v>
      </c>
    </row>
    <row r="285" spans="3:36" ht="11.25" customHeight="1">
      <c r="C285" s="78">
        <f t="shared" si="22"/>
        <v>239</v>
      </c>
      <c r="D285" s="1984">
        <f>+'Capex_FO input'!C285</f>
        <v>0</v>
      </c>
      <c r="E285" s="1985"/>
      <c r="F285" s="1985"/>
      <c r="G285" s="1985"/>
      <c r="H285" s="1986"/>
      <c r="I285" s="643">
        <f>+'Capex_FO input'!N285</f>
        <v>0</v>
      </c>
      <c r="J285" s="67"/>
      <c r="K285" s="67"/>
      <c r="L285" s="67"/>
      <c r="M285" s="67"/>
      <c r="N285" s="138"/>
      <c r="O285" s="67"/>
      <c r="P285" s="67"/>
      <c r="Q285" s="67"/>
      <c r="R285" s="91"/>
      <c r="S285" s="138"/>
      <c r="T285" s="67"/>
      <c r="U285" s="91"/>
      <c r="V285" s="67"/>
      <c r="W285" s="67"/>
      <c r="X285" s="67"/>
      <c r="Y285" s="67"/>
      <c r="Z285" s="67"/>
      <c r="AA285" s="393">
        <f ca="1">+'Capex_FO input'!CP285</f>
        <v>0</v>
      </c>
      <c r="AB285" s="394">
        <f ca="1">+'Capex_FO input'!CQ285</f>
        <v>0</v>
      </c>
      <c r="AC285" s="394">
        <f ca="1">+'Capex_FO input'!CR285</f>
        <v>0</v>
      </c>
      <c r="AD285" s="394">
        <f ca="1">+'Capex_FO input'!CS285</f>
        <v>0</v>
      </c>
      <c r="AE285" s="1279">
        <f ca="1">+'Capex_FO input'!CT285</f>
        <v>0</v>
      </c>
      <c r="AF285" s="393">
        <f ca="1">+'Capex_FO input'!CU285</f>
        <v>0</v>
      </c>
      <c r="AG285" s="394">
        <f ca="1">+'Capex_FO input'!CV285</f>
        <v>0</v>
      </c>
      <c r="AH285" s="394">
        <f ca="1">+'Capex_FO input'!CW285</f>
        <v>0</v>
      </c>
      <c r="AI285" s="394">
        <f ca="1">+'Capex_FO input'!CX285</f>
        <v>0</v>
      </c>
      <c r="AJ285" s="395">
        <f ca="1">+'Capex_FO input'!CY285</f>
        <v>0</v>
      </c>
    </row>
    <row r="286" spans="3:36" ht="11.25" customHeight="1">
      <c r="C286" s="78">
        <f t="shared" si="22"/>
        <v>240</v>
      </c>
      <c r="D286" s="1984">
        <f>+'Capex_FO input'!C286</f>
        <v>0</v>
      </c>
      <c r="E286" s="1985"/>
      <c r="F286" s="1985"/>
      <c r="G286" s="1985"/>
      <c r="H286" s="1986"/>
      <c r="I286" s="643">
        <f>+'Capex_FO input'!N286</f>
        <v>0</v>
      </c>
      <c r="J286" s="67"/>
      <c r="K286" s="67"/>
      <c r="L286" s="67"/>
      <c r="M286" s="67"/>
      <c r="N286" s="138"/>
      <c r="O286" s="67"/>
      <c r="P286" s="67"/>
      <c r="Q286" s="67"/>
      <c r="R286" s="91"/>
      <c r="S286" s="138"/>
      <c r="T286" s="67"/>
      <c r="U286" s="91"/>
      <c r="V286" s="67"/>
      <c r="W286" s="67"/>
      <c r="X286" s="67"/>
      <c r="Y286" s="67"/>
      <c r="Z286" s="67"/>
      <c r="AA286" s="393">
        <f ca="1">+'Capex_FO input'!CP286</f>
        <v>0</v>
      </c>
      <c r="AB286" s="394">
        <f ca="1">+'Capex_FO input'!CQ286</f>
        <v>0</v>
      </c>
      <c r="AC286" s="394">
        <f ca="1">+'Capex_FO input'!CR286</f>
        <v>0</v>
      </c>
      <c r="AD286" s="394">
        <f ca="1">+'Capex_FO input'!CS286</f>
        <v>0</v>
      </c>
      <c r="AE286" s="1279">
        <f ca="1">+'Capex_FO input'!CT286</f>
        <v>0</v>
      </c>
      <c r="AF286" s="393">
        <f ca="1">+'Capex_FO input'!CU286</f>
        <v>0</v>
      </c>
      <c r="AG286" s="394">
        <f ca="1">+'Capex_FO input'!CV286</f>
        <v>0</v>
      </c>
      <c r="AH286" s="394">
        <f ca="1">+'Capex_FO input'!CW286</f>
        <v>0</v>
      </c>
      <c r="AI286" s="394">
        <f ca="1">+'Capex_FO input'!CX286</f>
        <v>0</v>
      </c>
      <c r="AJ286" s="395">
        <f ca="1">+'Capex_FO input'!CY286</f>
        <v>0</v>
      </c>
    </row>
    <row r="287" spans="3:36" ht="11.25" customHeight="1">
      <c r="C287" s="78">
        <f t="shared" si="22"/>
        <v>241</v>
      </c>
      <c r="D287" s="1984">
        <f>+'Capex_FO input'!C287</f>
        <v>0</v>
      </c>
      <c r="E287" s="1985"/>
      <c r="F287" s="1985"/>
      <c r="G287" s="1985"/>
      <c r="H287" s="1986"/>
      <c r="I287" s="643">
        <f>+'Capex_FO input'!N287</f>
        <v>0</v>
      </c>
      <c r="J287" s="67"/>
      <c r="K287" s="67"/>
      <c r="L287" s="67"/>
      <c r="M287" s="67"/>
      <c r="N287" s="138"/>
      <c r="O287" s="67"/>
      <c r="P287" s="67"/>
      <c r="Q287" s="67"/>
      <c r="R287" s="91"/>
      <c r="S287" s="138"/>
      <c r="T287" s="67"/>
      <c r="U287" s="91"/>
      <c r="V287" s="67"/>
      <c r="W287" s="67"/>
      <c r="X287" s="67"/>
      <c r="Y287" s="67"/>
      <c r="Z287" s="67"/>
      <c r="AA287" s="393">
        <f ca="1">+'Capex_FO input'!CP287</f>
        <v>0</v>
      </c>
      <c r="AB287" s="394">
        <f ca="1">+'Capex_FO input'!CQ287</f>
        <v>0</v>
      </c>
      <c r="AC287" s="394">
        <f ca="1">+'Capex_FO input'!CR287</f>
        <v>0</v>
      </c>
      <c r="AD287" s="394">
        <f ca="1">+'Capex_FO input'!CS287</f>
        <v>0</v>
      </c>
      <c r="AE287" s="1279">
        <f ca="1">+'Capex_FO input'!CT287</f>
        <v>0</v>
      </c>
      <c r="AF287" s="393">
        <f ca="1">+'Capex_FO input'!CU287</f>
        <v>0</v>
      </c>
      <c r="AG287" s="394">
        <f ca="1">+'Capex_FO input'!CV287</f>
        <v>0</v>
      </c>
      <c r="AH287" s="394">
        <f ca="1">+'Capex_FO input'!CW287</f>
        <v>0</v>
      </c>
      <c r="AI287" s="394">
        <f ca="1">+'Capex_FO input'!CX287</f>
        <v>0</v>
      </c>
      <c r="AJ287" s="395">
        <f ca="1">+'Capex_FO input'!CY287</f>
        <v>0</v>
      </c>
    </row>
    <row r="288" spans="3:36" ht="11.25" customHeight="1">
      <c r="C288" s="78">
        <f t="shared" si="22"/>
        <v>242</v>
      </c>
      <c r="D288" s="1984">
        <f>+'Capex_FO input'!C288</f>
        <v>0</v>
      </c>
      <c r="E288" s="1985"/>
      <c r="F288" s="1985"/>
      <c r="G288" s="1985"/>
      <c r="H288" s="1986"/>
      <c r="I288" s="643">
        <f>+'Capex_FO input'!N288</f>
        <v>0</v>
      </c>
      <c r="J288" s="67"/>
      <c r="K288" s="67"/>
      <c r="L288" s="67"/>
      <c r="M288" s="67"/>
      <c r="N288" s="138"/>
      <c r="O288" s="67"/>
      <c r="P288" s="67"/>
      <c r="Q288" s="67"/>
      <c r="R288" s="91"/>
      <c r="S288" s="138"/>
      <c r="T288" s="67"/>
      <c r="U288" s="91"/>
      <c r="V288" s="67"/>
      <c r="W288" s="67"/>
      <c r="X288" s="67"/>
      <c r="Y288" s="67"/>
      <c r="Z288" s="67"/>
      <c r="AA288" s="393">
        <f ca="1">+'Capex_FO input'!CP288</f>
        <v>0</v>
      </c>
      <c r="AB288" s="394">
        <f ca="1">+'Capex_FO input'!CQ288</f>
        <v>0</v>
      </c>
      <c r="AC288" s="394">
        <f ca="1">+'Capex_FO input'!CR288</f>
        <v>0</v>
      </c>
      <c r="AD288" s="394">
        <f ca="1">+'Capex_FO input'!CS288</f>
        <v>0</v>
      </c>
      <c r="AE288" s="1279">
        <f ca="1">+'Capex_FO input'!CT288</f>
        <v>0</v>
      </c>
      <c r="AF288" s="393">
        <f ca="1">+'Capex_FO input'!CU288</f>
        <v>0</v>
      </c>
      <c r="AG288" s="394">
        <f ca="1">+'Capex_FO input'!CV288</f>
        <v>0</v>
      </c>
      <c r="AH288" s="394">
        <f ca="1">+'Capex_FO input'!CW288</f>
        <v>0</v>
      </c>
      <c r="AI288" s="394">
        <f ca="1">+'Capex_FO input'!CX288</f>
        <v>0</v>
      </c>
      <c r="AJ288" s="395">
        <f ca="1">+'Capex_FO input'!CY288</f>
        <v>0</v>
      </c>
    </row>
    <row r="289" spans="3:36" ht="11.25" customHeight="1">
      <c r="C289" s="78">
        <f t="shared" si="22"/>
        <v>243</v>
      </c>
      <c r="D289" s="1984">
        <f>+'Capex_FO input'!C289</f>
        <v>0</v>
      </c>
      <c r="E289" s="1985"/>
      <c r="F289" s="1985"/>
      <c r="G289" s="1985"/>
      <c r="H289" s="1986"/>
      <c r="I289" s="643">
        <f>+'Capex_FO input'!N289</f>
        <v>0</v>
      </c>
      <c r="J289" s="67"/>
      <c r="K289" s="67"/>
      <c r="L289" s="67"/>
      <c r="M289" s="67"/>
      <c r="N289" s="138"/>
      <c r="O289" s="67"/>
      <c r="P289" s="67"/>
      <c r="Q289" s="67"/>
      <c r="R289" s="91"/>
      <c r="S289" s="138"/>
      <c r="T289" s="67"/>
      <c r="U289" s="91"/>
      <c r="V289" s="67"/>
      <c r="W289" s="67"/>
      <c r="X289" s="67"/>
      <c r="Y289" s="67"/>
      <c r="Z289" s="67"/>
      <c r="AA289" s="393">
        <f ca="1">+'Capex_FO input'!CP289</f>
        <v>0</v>
      </c>
      <c r="AB289" s="394">
        <f ca="1">+'Capex_FO input'!CQ289</f>
        <v>0</v>
      </c>
      <c r="AC289" s="394">
        <f ca="1">+'Capex_FO input'!CR289</f>
        <v>0</v>
      </c>
      <c r="AD289" s="394">
        <f ca="1">+'Capex_FO input'!CS289</f>
        <v>0</v>
      </c>
      <c r="AE289" s="1279">
        <f ca="1">+'Capex_FO input'!CT289</f>
        <v>0</v>
      </c>
      <c r="AF289" s="393">
        <f ca="1">+'Capex_FO input'!CU289</f>
        <v>0</v>
      </c>
      <c r="AG289" s="394">
        <f ca="1">+'Capex_FO input'!CV289</f>
        <v>0</v>
      </c>
      <c r="AH289" s="394">
        <f ca="1">+'Capex_FO input'!CW289</f>
        <v>0</v>
      </c>
      <c r="AI289" s="394">
        <f ca="1">+'Capex_FO input'!CX289</f>
        <v>0</v>
      </c>
      <c r="AJ289" s="395">
        <f ca="1">+'Capex_FO input'!CY289</f>
        <v>0</v>
      </c>
    </row>
    <row r="290" spans="3:36" ht="11.25" customHeight="1">
      <c r="C290" s="78">
        <f t="shared" si="22"/>
        <v>244</v>
      </c>
      <c r="D290" s="1984">
        <f>+'Capex_FO input'!C290</f>
        <v>0</v>
      </c>
      <c r="E290" s="1985"/>
      <c r="F290" s="1985"/>
      <c r="G290" s="1985"/>
      <c r="H290" s="1986"/>
      <c r="I290" s="643">
        <f>+'Capex_FO input'!N290</f>
        <v>0</v>
      </c>
      <c r="J290" s="67"/>
      <c r="K290" s="67"/>
      <c r="L290" s="67"/>
      <c r="M290" s="67"/>
      <c r="N290" s="138"/>
      <c r="O290" s="67"/>
      <c r="P290" s="67"/>
      <c r="Q290" s="67"/>
      <c r="R290" s="91"/>
      <c r="S290" s="138"/>
      <c r="T290" s="67"/>
      <c r="U290" s="91"/>
      <c r="V290" s="67"/>
      <c r="W290" s="67"/>
      <c r="X290" s="67"/>
      <c r="Y290" s="67"/>
      <c r="Z290" s="67"/>
      <c r="AA290" s="393">
        <f ca="1">+'Capex_FO input'!CP290</f>
        <v>0</v>
      </c>
      <c r="AB290" s="394">
        <f ca="1">+'Capex_FO input'!CQ290</f>
        <v>0</v>
      </c>
      <c r="AC290" s="394">
        <f ca="1">+'Capex_FO input'!CR290</f>
        <v>0</v>
      </c>
      <c r="AD290" s="394">
        <f ca="1">+'Capex_FO input'!CS290</f>
        <v>0</v>
      </c>
      <c r="AE290" s="1279">
        <f ca="1">+'Capex_FO input'!CT290</f>
        <v>0</v>
      </c>
      <c r="AF290" s="393">
        <f ca="1">+'Capex_FO input'!CU290</f>
        <v>0</v>
      </c>
      <c r="AG290" s="394">
        <f ca="1">+'Capex_FO input'!CV290</f>
        <v>0</v>
      </c>
      <c r="AH290" s="394">
        <f ca="1">+'Capex_FO input'!CW290</f>
        <v>0</v>
      </c>
      <c r="AI290" s="394">
        <f ca="1">+'Capex_FO input'!CX290</f>
        <v>0</v>
      </c>
      <c r="AJ290" s="395">
        <f ca="1">+'Capex_FO input'!CY290</f>
        <v>0</v>
      </c>
    </row>
    <row r="291" spans="3:36" ht="11.25" customHeight="1">
      <c r="C291" s="78">
        <f t="shared" si="22"/>
        <v>245</v>
      </c>
      <c r="D291" s="1984">
        <f>+'Capex_FO input'!C291</f>
        <v>0</v>
      </c>
      <c r="E291" s="1985"/>
      <c r="F291" s="1985"/>
      <c r="G291" s="1985"/>
      <c r="H291" s="1986"/>
      <c r="I291" s="643">
        <f>+'Capex_FO input'!N291</f>
        <v>0</v>
      </c>
      <c r="J291" s="67"/>
      <c r="K291" s="67"/>
      <c r="L291" s="67"/>
      <c r="M291" s="67"/>
      <c r="N291" s="138"/>
      <c r="O291" s="67"/>
      <c r="P291" s="67"/>
      <c r="Q291" s="67"/>
      <c r="R291" s="91"/>
      <c r="S291" s="138"/>
      <c r="T291" s="67"/>
      <c r="U291" s="91"/>
      <c r="V291" s="67"/>
      <c r="W291" s="67"/>
      <c r="X291" s="67"/>
      <c r="Y291" s="67"/>
      <c r="Z291" s="67"/>
      <c r="AA291" s="393">
        <f ca="1">+'Capex_FO input'!CP291</f>
        <v>0</v>
      </c>
      <c r="AB291" s="394">
        <f ca="1">+'Capex_FO input'!CQ291</f>
        <v>0</v>
      </c>
      <c r="AC291" s="394">
        <f ca="1">+'Capex_FO input'!CR291</f>
        <v>0</v>
      </c>
      <c r="AD291" s="394">
        <f ca="1">+'Capex_FO input'!CS291</f>
        <v>0</v>
      </c>
      <c r="AE291" s="1279">
        <f ca="1">+'Capex_FO input'!CT291</f>
        <v>0</v>
      </c>
      <c r="AF291" s="393">
        <f ca="1">+'Capex_FO input'!CU291</f>
        <v>0</v>
      </c>
      <c r="AG291" s="394">
        <f ca="1">+'Capex_FO input'!CV291</f>
        <v>0</v>
      </c>
      <c r="AH291" s="394">
        <f ca="1">+'Capex_FO input'!CW291</f>
        <v>0</v>
      </c>
      <c r="AI291" s="394">
        <f ca="1">+'Capex_FO input'!CX291</f>
        <v>0</v>
      </c>
      <c r="AJ291" s="395">
        <f ca="1">+'Capex_FO input'!CY291</f>
        <v>0</v>
      </c>
    </row>
    <row r="292" spans="3:36" ht="11.25" customHeight="1">
      <c r="C292" s="78">
        <f t="shared" si="22"/>
        <v>246</v>
      </c>
      <c r="D292" s="1984">
        <f>+'Capex_FO input'!C292</f>
        <v>0</v>
      </c>
      <c r="E292" s="1985"/>
      <c r="F292" s="1985"/>
      <c r="G292" s="1985"/>
      <c r="H292" s="1986"/>
      <c r="I292" s="643">
        <f>+'Capex_FO input'!N292</f>
        <v>0</v>
      </c>
      <c r="J292" s="67"/>
      <c r="K292" s="67"/>
      <c r="L292" s="67"/>
      <c r="M292" s="67"/>
      <c r="N292" s="138"/>
      <c r="O292" s="67"/>
      <c r="P292" s="67"/>
      <c r="Q292" s="67"/>
      <c r="R292" s="91"/>
      <c r="S292" s="138"/>
      <c r="T292" s="67"/>
      <c r="U292" s="91"/>
      <c r="V292" s="67"/>
      <c r="W292" s="67"/>
      <c r="X292" s="67"/>
      <c r="Y292" s="67"/>
      <c r="Z292" s="67"/>
      <c r="AA292" s="393">
        <f ca="1">+'Capex_FO input'!CP292</f>
        <v>0</v>
      </c>
      <c r="AB292" s="394">
        <f ca="1">+'Capex_FO input'!CQ292</f>
        <v>0</v>
      </c>
      <c r="AC292" s="394">
        <f ca="1">+'Capex_FO input'!CR292</f>
        <v>0</v>
      </c>
      <c r="AD292" s="394">
        <f ca="1">+'Capex_FO input'!CS292</f>
        <v>0</v>
      </c>
      <c r="AE292" s="1279">
        <f ca="1">+'Capex_FO input'!CT292</f>
        <v>0</v>
      </c>
      <c r="AF292" s="393">
        <f ca="1">+'Capex_FO input'!CU292</f>
        <v>0</v>
      </c>
      <c r="AG292" s="394">
        <f ca="1">+'Capex_FO input'!CV292</f>
        <v>0</v>
      </c>
      <c r="AH292" s="394">
        <f ca="1">+'Capex_FO input'!CW292</f>
        <v>0</v>
      </c>
      <c r="AI292" s="394">
        <f ca="1">+'Capex_FO input'!CX292</f>
        <v>0</v>
      </c>
      <c r="AJ292" s="395">
        <f ca="1">+'Capex_FO input'!CY292</f>
        <v>0</v>
      </c>
    </row>
    <row r="293" spans="3:36" ht="11.25" customHeight="1">
      <c r="C293" s="78">
        <f t="shared" si="22"/>
        <v>247</v>
      </c>
      <c r="D293" s="1984">
        <f>+'Capex_FO input'!C293</f>
        <v>0</v>
      </c>
      <c r="E293" s="1985"/>
      <c r="F293" s="1985"/>
      <c r="G293" s="1985"/>
      <c r="H293" s="1986"/>
      <c r="I293" s="643">
        <f>+'Capex_FO input'!N293</f>
        <v>0</v>
      </c>
      <c r="J293" s="67"/>
      <c r="K293" s="67"/>
      <c r="L293" s="67"/>
      <c r="M293" s="67"/>
      <c r="N293" s="138"/>
      <c r="O293" s="67"/>
      <c r="P293" s="67"/>
      <c r="Q293" s="67"/>
      <c r="R293" s="91"/>
      <c r="S293" s="138"/>
      <c r="T293" s="67"/>
      <c r="U293" s="91"/>
      <c r="V293" s="67"/>
      <c r="W293" s="67"/>
      <c r="X293" s="67"/>
      <c r="Y293" s="67"/>
      <c r="Z293" s="67"/>
      <c r="AA293" s="393">
        <f ca="1">+'Capex_FO input'!CP293</f>
        <v>0</v>
      </c>
      <c r="AB293" s="394">
        <f ca="1">+'Capex_FO input'!CQ293</f>
        <v>0</v>
      </c>
      <c r="AC293" s="394">
        <f ca="1">+'Capex_FO input'!CR293</f>
        <v>0</v>
      </c>
      <c r="AD293" s="394">
        <f ca="1">+'Capex_FO input'!CS293</f>
        <v>0</v>
      </c>
      <c r="AE293" s="1279">
        <f ca="1">+'Capex_FO input'!CT293</f>
        <v>0</v>
      </c>
      <c r="AF293" s="393">
        <f ca="1">+'Capex_FO input'!CU293</f>
        <v>0</v>
      </c>
      <c r="AG293" s="394">
        <f ca="1">+'Capex_FO input'!CV293</f>
        <v>0</v>
      </c>
      <c r="AH293" s="394">
        <f ca="1">+'Capex_FO input'!CW293</f>
        <v>0</v>
      </c>
      <c r="AI293" s="394">
        <f ca="1">+'Capex_FO input'!CX293</f>
        <v>0</v>
      </c>
      <c r="AJ293" s="395">
        <f ca="1">+'Capex_FO input'!CY293</f>
        <v>0</v>
      </c>
    </row>
    <row r="294" spans="3:36" ht="11.25" customHeight="1">
      <c r="C294" s="78">
        <f t="shared" si="22"/>
        <v>248</v>
      </c>
      <c r="D294" s="1984">
        <f>+'Capex_FO input'!C294</f>
        <v>0</v>
      </c>
      <c r="E294" s="1985"/>
      <c r="F294" s="1985"/>
      <c r="G294" s="1985"/>
      <c r="H294" s="1986"/>
      <c r="I294" s="643">
        <f>+'Capex_FO input'!N294</f>
        <v>0</v>
      </c>
      <c r="J294" s="67"/>
      <c r="K294" s="67"/>
      <c r="L294" s="67"/>
      <c r="M294" s="67"/>
      <c r="N294" s="138"/>
      <c r="O294" s="67"/>
      <c r="P294" s="67"/>
      <c r="Q294" s="67"/>
      <c r="R294" s="91"/>
      <c r="S294" s="138"/>
      <c r="T294" s="67"/>
      <c r="U294" s="91"/>
      <c r="V294" s="67"/>
      <c r="W294" s="67"/>
      <c r="X294" s="67"/>
      <c r="Y294" s="67"/>
      <c r="Z294" s="67"/>
      <c r="AA294" s="393">
        <f ca="1">+'Capex_FO input'!CP294</f>
        <v>0</v>
      </c>
      <c r="AB294" s="394">
        <f ca="1">+'Capex_FO input'!CQ294</f>
        <v>0</v>
      </c>
      <c r="AC294" s="394">
        <f ca="1">+'Capex_FO input'!CR294</f>
        <v>0</v>
      </c>
      <c r="AD294" s="394">
        <f ca="1">+'Capex_FO input'!CS294</f>
        <v>0</v>
      </c>
      <c r="AE294" s="1279">
        <f ca="1">+'Capex_FO input'!CT294</f>
        <v>0</v>
      </c>
      <c r="AF294" s="393">
        <f ca="1">+'Capex_FO input'!CU294</f>
        <v>0</v>
      </c>
      <c r="AG294" s="394">
        <f ca="1">+'Capex_FO input'!CV294</f>
        <v>0</v>
      </c>
      <c r="AH294" s="394">
        <f ca="1">+'Capex_FO input'!CW294</f>
        <v>0</v>
      </c>
      <c r="AI294" s="394">
        <f ca="1">+'Capex_FO input'!CX294</f>
        <v>0</v>
      </c>
      <c r="AJ294" s="395">
        <f ca="1">+'Capex_FO input'!CY294</f>
        <v>0</v>
      </c>
    </row>
    <row r="295" spans="3:36" ht="11.25" customHeight="1">
      <c r="C295" s="78">
        <f t="shared" si="22"/>
        <v>249</v>
      </c>
      <c r="D295" s="1984">
        <f>+'Capex_FO input'!C295</f>
        <v>0</v>
      </c>
      <c r="E295" s="1985"/>
      <c r="F295" s="1985"/>
      <c r="G295" s="1985"/>
      <c r="H295" s="1986"/>
      <c r="I295" s="643">
        <f>+'Capex_FO input'!N295</f>
        <v>0</v>
      </c>
      <c r="J295" s="67"/>
      <c r="K295" s="67"/>
      <c r="L295" s="67"/>
      <c r="M295" s="67"/>
      <c r="N295" s="138"/>
      <c r="O295" s="67"/>
      <c r="P295" s="67"/>
      <c r="Q295" s="67"/>
      <c r="R295" s="91"/>
      <c r="S295" s="138"/>
      <c r="T295" s="67"/>
      <c r="U295" s="91"/>
      <c r="V295" s="67"/>
      <c r="W295" s="67"/>
      <c r="X295" s="67"/>
      <c r="Y295" s="67"/>
      <c r="Z295" s="67"/>
      <c r="AA295" s="393">
        <f ca="1">+'Capex_FO input'!CP295</f>
        <v>0</v>
      </c>
      <c r="AB295" s="394">
        <f ca="1">+'Capex_FO input'!CQ295</f>
        <v>0</v>
      </c>
      <c r="AC295" s="394">
        <f ca="1">+'Capex_FO input'!CR295</f>
        <v>0</v>
      </c>
      <c r="AD295" s="394">
        <f ca="1">+'Capex_FO input'!CS295</f>
        <v>0</v>
      </c>
      <c r="AE295" s="1279">
        <f ca="1">+'Capex_FO input'!CT295</f>
        <v>0</v>
      </c>
      <c r="AF295" s="393">
        <f ca="1">+'Capex_FO input'!CU295</f>
        <v>0</v>
      </c>
      <c r="AG295" s="394">
        <f ca="1">+'Capex_FO input'!CV295</f>
        <v>0</v>
      </c>
      <c r="AH295" s="394">
        <f ca="1">+'Capex_FO input'!CW295</f>
        <v>0</v>
      </c>
      <c r="AI295" s="394">
        <f ca="1">+'Capex_FO input'!CX295</f>
        <v>0</v>
      </c>
      <c r="AJ295" s="395">
        <f ca="1">+'Capex_FO input'!CY295</f>
        <v>0</v>
      </c>
    </row>
    <row r="296" spans="3:36" ht="11.25" customHeight="1">
      <c r="C296" s="78">
        <f t="shared" si="22"/>
        <v>250</v>
      </c>
      <c r="D296" s="1984">
        <f>+'Capex_FO input'!C296</f>
        <v>0</v>
      </c>
      <c r="E296" s="1985"/>
      <c r="F296" s="1985"/>
      <c r="G296" s="1985"/>
      <c r="H296" s="1986"/>
      <c r="I296" s="643">
        <f>+'Capex_FO input'!N296</f>
        <v>0</v>
      </c>
      <c r="J296" s="67"/>
      <c r="K296" s="67"/>
      <c r="L296" s="67"/>
      <c r="M296" s="67"/>
      <c r="N296" s="138"/>
      <c r="O296" s="67"/>
      <c r="P296" s="67"/>
      <c r="Q296" s="67"/>
      <c r="R296" s="91"/>
      <c r="S296" s="138"/>
      <c r="T296" s="67"/>
      <c r="U296" s="91"/>
      <c r="V296" s="67"/>
      <c r="W296" s="67"/>
      <c r="X296" s="67"/>
      <c r="Y296" s="67"/>
      <c r="Z296" s="67"/>
      <c r="AA296" s="393">
        <f ca="1">+'Capex_FO input'!CP296</f>
        <v>0</v>
      </c>
      <c r="AB296" s="394">
        <f ca="1">+'Capex_FO input'!CQ296</f>
        <v>0</v>
      </c>
      <c r="AC296" s="394">
        <f ca="1">+'Capex_FO input'!CR296</f>
        <v>0</v>
      </c>
      <c r="AD296" s="394">
        <f ca="1">+'Capex_FO input'!CS296</f>
        <v>0</v>
      </c>
      <c r="AE296" s="1279">
        <f ca="1">+'Capex_FO input'!CT296</f>
        <v>0</v>
      </c>
      <c r="AF296" s="393">
        <f ca="1">+'Capex_FO input'!CU296</f>
        <v>0</v>
      </c>
      <c r="AG296" s="394">
        <f ca="1">+'Capex_FO input'!CV296</f>
        <v>0</v>
      </c>
      <c r="AH296" s="394">
        <f ca="1">+'Capex_FO input'!CW296</f>
        <v>0</v>
      </c>
      <c r="AI296" s="394">
        <f ca="1">+'Capex_FO input'!CX296</f>
        <v>0</v>
      </c>
      <c r="AJ296" s="395">
        <f ca="1">+'Capex_FO input'!CY296</f>
        <v>0</v>
      </c>
    </row>
    <row r="297" spans="3:36" ht="11.25" customHeight="1">
      <c r="C297" s="78">
        <f t="shared" si="22"/>
        <v>251</v>
      </c>
      <c r="D297" s="1984">
        <f>+'Capex_FO input'!C297</f>
        <v>0</v>
      </c>
      <c r="E297" s="1985"/>
      <c r="F297" s="1985"/>
      <c r="G297" s="1985"/>
      <c r="H297" s="1986"/>
      <c r="I297" s="643">
        <f>+'Capex_FO input'!N297</f>
        <v>0</v>
      </c>
      <c r="J297" s="67"/>
      <c r="K297" s="67"/>
      <c r="L297" s="67"/>
      <c r="M297" s="67"/>
      <c r="N297" s="138"/>
      <c r="O297" s="67"/>
      <c r="P297" s="67"/>
      <c r="Q297" s="67"/>
      <c r="R297" s="91"/>
      <c r="S297" s="138"/>
      <c r="T297" s="67"/>
      <c r="U297" s="91"/>
      <c r="V297" s="67"/>
      <c r="W297" s="67"/>
      <c r="X297" s="67"/>
      <c r="Y297" s="67"/>
      <c r="Z297" s="67"/>
      <c r="AA297" s="393">
        <f ca="1">+'Capex_FO input'!CP297</f>
        <v>0</v>
      </c>
      <c r="AB297" s="394">
        <f ca="1">+'Capex_FO input'!CQ297</f>
        <v>0</v>
      </c>
      <c r="AC297" s="394">
        <f ca="1">+'Capex_FO input'!CR297</f>
        <v>0</v>
      </c>
      <c r="AD297" s="394">
        <f ca="1">+'Capex_FO input'!CS297</f>
        <v>0</v>
      </c>
      <c r="AE297" s="1279">
        <f ca="1">+'Capex_FO input'!CT297</f>
        <v>0</v>
      </c>
      <c r="AF297" s="393">
        <f ca="1">+'Capex_FO input'!CU297</f>
        <v>0</v>
      </c>
      <c r="AG297" s="394">
        <f ca="1">+'Capex_FO input'!CV297</f>
        <v>0</v>
      </c>
      <c r="AH297" s="394">
        <f ca="1">+'Capex_FO input'!CW297</f>
        <v>0</v>
      </c>
      <c r="AI297" s="394">
        <f ca="1">+'Capex_FO input'!CX297</f>
        <v>0</v>
      </c>
      <c r="AJ297" s="395">
        <f ca="1">+'Capex_FO input'!CY297</f>
        <v>0</v>
      </c>
    </row>
    <row r="298" spans="3:36" ht="11.25" customHeight="1">
      <c r="C298" s="78">
        <f t="shared" si="22"/>
        <v>252</v>
      </c>
      <c r="D298" s="1984">
        <f>+'Capex_FO input'!C298</f>
        <v>0</v>
      </c>
      <c r="E298" s="1985"/>
      <c r="F298" s="1985"/>
      <c r="G298" s="1985"/>
      <c r="H298" s="1986"/>
      <c r="I298" s="643">
        <f>+'Capex_FO input'!N298</f>
        <v>0</v>
      </c>
      <c r="J298" s="67"/>
      <c r="K298" s="67"/>
      <c r="L298" s="67"/>
      <c r="M298" s="67"/>
      <c r="N298" s="138"/>
      <c r="O298" s="67"/>
      <c r="P298" s="67"/>
      <c r="Q298" s="67"/>
      <c r="R298" s="91"/>
      <c r="S298" s="138"/>
      <c r="T298" s="67"/>
      <c r="U298" s="91"/>
      <c r="V298" s="67"/>
      <c r="W298" s="67"/>
      <c r="X298" s="67"/>
      <c r="Y298" s="67"/>
      <c r="Z298" s="67"/>
      <c r="AA298" s="393">
        <f ca="1">+'Capex_FO input'!CP298</f>
        <v>0</v>
      </c>
      <c r="AB298" s="394">
        <f ca="1">+'Capex_FO input'!CQ298</f>
        <v>0</v>
      </c>
      <c r="AC298" s="394">
        <f ca="1">+'Capex_FO input'!CR298</f>
        <v>0</v>
      </c>
      <c r="AD298" s="394">
        <f ca="1">+'Capex_FO input'!CS298</f>
        <v>0</v>
      </c>
      <c r="AE298" s="1279">
        <f ca="1">+'Capex_FO input'!CT298</f>
        <v>0</v>
      </c>
      <c r="AF298" s="393">
        <f ca="1">+'Capex_FO input'!CU298</f>
        <v>0</v>
      </c>
      <c r="AG298" s="394">
        <f ca="1">+'Capex_FO input'!CV298</f>
        <v>0</v>
      </c>
      <c r="AH298" s="394">
        <f ca="1">+'Capex_FO input'!CW298</f>
        <v>0</v>
      </c>
      <c r="AI298" s="394">
        <f ca="1">+'Capex_FO input'!CX298</f>
        <v>0</v>
      </c>
      <c r="AJ298" s="395">
        <f ca="1">+'Capex_FO input'!CY298</f>
        <v>0</v>
      </c>
    </row>
    <row r="299" spans="3:36" ht="11.25" customHeight="1">
      <c r="C299" s="78">
        <f t="shared" si="22"/>
        <v>253</v>
      </c>
      <c r="D299" s="1984">
        <f>+'Capex_FO input'!C299</f>
        <v>0</v>
      </c>
      <c r="E299" s="1985"/>
      <c r="F299" s="1985"/>
      <c r="G299" s="1985"/>
      <c r="H299" s="1986"/>
      <c r="I299" s="643">
        <f>+'Capex_FO input'!N299</f>
        <v>0</v>
      </c>
      <c r="J299" s="67"/>
      <c r="K299" s="67"/>
      <c r="L299" s="67"/>
      <c r="M299" s="67"/>
      <c r="N299" s="138"/>
      <c r="O299" s="67"/>
      <c r="P299" s="67"/>
      <c r="Q299" s="67"/>
      <c r="R299" s="91"/>
      <c r="S299" s="138"/>
      <c r="T299" s="67"/>
      <c r="U299" s="91"/>
      <c r="V299" s="67"/>
      <c r="W299" s="67"/>
      <c r="X299" s="67"/>
      <c r="Y299" s="67"/>
      <c r="Z299" s="67"/>
      <c r="AA299" s="393">
        <f ca="1">+'Capex_FO input'!CP299</f>
        <v>0</v>
      </c>
      <c r="AB299" s="394">
        <f ca="1">+'Capex_FO input'!CQ299</f>
        <v>0</v>
      </c>
      <c r="AC299" s="394">
        <f ca="1">+'Capex_FO input'!CR299</f>
        <v>0</v>
      </c>
      <c r="AD299" s="394">
        <f ca="1">+'Capex_FO input'!CS299</f>
        <v>0</v>
      </c>
      <c r="AE299" s="1279">
        <f ca="1">+'Capex_FO input'!CT299</f>
        <v>0</v>
      </c>
      <c r="AF299" s="393">
        <f ca="1">+'Capex_FO input'!CU299</f>
        <v>0</v>
      </c>
      <c r="AG299" s="394">
        <f ca="1">+'Capex_FO input'!CV299</f>
        <v>0</v>
      </c>
      <c r="AH299" s="394">
        <f ca="1">+'Capex_FO input'!CW299</f>
        <v>0</v>
      </c>
      <c r="AI299" s="394">
        <f ca="1">+'Capex_FO input'!CX299</f>
        <v>0</v>
      </c>
      <c r="AJ299" s="395">
        <f ca="1">+'Capex_FO input'!CY299</f>
        <v>0</v>
      </c>
    </row>
    <row r="300" spans="3:36" ht="11.25" customHeight="1">
      <c r="C300" s="78">
        <f t="shared" si="22"/>
        <v>254</v>
      </c>
      <c r="D300" s="1984">
        <f>+'Capex_FO input'!C300</f>
        <v>0</v>
      </c>
      <c r="E300" s="1985"/>
      <c r="F300" s="1985"/>
      <c r="G300" s="1985"/>
      <c r="H300" s="1986"/>
      <c r="I300" s="643">
        <f>+'Capex_FO input'!N300</f>
        <v>0</v>
      </c>
      <c r="J300" s="67"/>
      <c r="K300" s="67"/>
      <c r="L300" s="67"/>
      <c r="M300" s="67"/>
      <c r="N300" s="138"/>
      <c r="O300" s="67"/>
      <c r="P300" s="67"/>
      <c r="Q300" s="67"/>
      <c r="R300" s="91"/>
      <c r="S300" s="138"/>
      <c r="T300" s="67"/>
      <c r="U300" s="91"/>
      <c r="V300" s="67"/>
      <c r="W300" s="67"/>
      <c r="X300" s="67"/>
      <c r="Y300" s="67"/>
      <c r="Z300" s="67"/>
      <c r="AA300" s="393">
        <f ca="1">+'Capex_FO input'!CP300</f>
        <v>0</v>
      </c>
      <c r="AB300" s="394">
        <f ca="1">+'Capex_FO input'!CQ300</f>
        <v>0</v>
      </c>
      <c r="AC300" s="394">
        <f ca="1">+'Capex_FO input'!CR300</f>
        <v>0</v>
      </c>
      <c r="AD300" s="394">
        <f ca="1">+'Capex_FO input'!CS300</f>
        <v>0</v>
      </c>
      <c r="AE300" s="1279">
        <f ca="1">+'Capex_FO input'!CT300</f>
        <v>0</v>
      </c>
      <c r="AF300" s="393">
        <f ca="1">+'Capex_FO input'!CU300</f>
        <v>0</v>
      </c>
      <c r="AG300" s="394">
        <f ca="1">+'Capex_FO input'!CV300</f>
        <v>0</v>
      </c>
      <c r="AH300" s="394">
        <f ca="1">+'Capex_FO input'!CW300</f>
        <v>0</v>
      </c>
      <c r="AI300" s="394">
        <f ca="1">+'Capex_FO input'!CX300</f>
        <v>0</v>
      </c>
      <c r="AJ300" s="395">
        <f ca="1">+'Capex_FO input'!CY300</f>
        <v>0</v>
      </c>
    </row>
    <row r="301" spans="3:36" ht="11.25" customHeight="1">
      <c r="C301" s="78">
        <f t="shared" si="22"/>
        <v>255</v>
      </c>
      <c r="D301" s="1984">
        <f>+'Capex_FO input'!C301</f>
        <v>0</v>
      </c>
      <c r="E301" s="1985"/>
      <c r="F301" s="1985"/>
      <c r="G301" s="1985"/>
      <c r="H301" s="1986"/>
      <c r="I301" s="643">
        <f>+'Capex_FO input'!N301</f>
        <v>0</v>
      </c>
      <c r="J301" s="67"/>
      <c r="K301" s="67"/>
      <c r="L301" s="67"/>
      <c r="M301" s="67"/>
      <c r="N301" s="138"/>
      <c r="O301" s="67"/>
      <c r="P301" s="67"/>
      <c r="Q301" s="67"/>
      <c r="R301" s="91"/>
      <c r="S301" s="138"/>
      <c r="T301" s="67"/>
      <c r="U301" s="91"/>
      <c r="V301" s="67"/>
      <c r="W301" s="67"/>
      <c r="X301" s="67"/>
      <c r="Y301" s="67"/>
      <c r="Z301" s="67"/>
      <c r="AA301" s="393">
        <f ca="1">+'Capex_FO input'!CP301</f>
        <v>0</v>
      </c>
      <c r="AB301" s="394">
        <f ca="1">+'Capex_FO input'!CQ301</f>
        <v>0</v>
      </c>
      <c r="AC301" s="394">
        <f ca="1">+'Capex_FO input'!CR301</f>
        <v>0</v>
      </c>
      <c r="AD301" s="394">
        <f ca="1">+'Capex_FO input'!CS301</f>
        <v>0</v>
      </c>
      <c r="AE301" s="1279">
        <f ca="1">+'Capex_FO input'!CT301</f>
        <v>0</v>
      </c>
      <c r="AF301" s="393">
        <f ca="1">+'Capex_FO input'!CU301</f>
        <v>0</v>
      </c>
      <c r="AG301" s="394">
        <f ca="1">+'Capex_FO input'!CV301</f>
        <v>0</v>
      </c>
      <c r="AH301" s="394">
        <f ca="1">+'Capex_FO input'!CW301</f>
        <v>0</v>
      </c>
      <c r="AI301" s="394">
        <f ca="1">+'Capex_FO input'!CX301</f>
        <v>0</v>
      </c>
      <c r="AJ301" s="395">
        <f ca="1">+'Capex_FO input'!CY301</f>
        <v>0</v>
      </c>
    </row>
    <row r="302" spans="3:36" ht="11.25" customHeight="1">
      <c r="C302" s="78">
        <f t="shared" si="22"/>
        <v>256</v>
      </c>
      <c r="D302" s="1984">
        <f>+'Capex_FO input'!C302</f>
        <v>0</v>
      </c>
      <c r="E302" s="1985"/>
      <c r="F302" s="1985"/>
      <c r="G302" s="1985"/>
      <c r="H302" s="1986"/>
      <c r="I302" s="643">
        <f>+'Capex_FO input'!N302</f>
        <v>0</v>
      </c>
      <c r="J302" s="67"/>
      <c r="K302" s="67"/>
      <c r="L302" s="67"/>
      <c r="M302" s="67"/>
      <c r="N302" s="138"/>
      <c r="O302" s="67"/>
      <c r="P302" s="67"/>
      <c r="Q302" s="67"/>
      <c r="R302" s="91"/>
      <c r="S302" s="138"/>
      <c r="T302" s="67"/>
      <c r="U302" s="91"/>
      <c r="V302" s="67"/>
      <c r="W302" s="67"/>
      <c r="X302" s="67"/>
      <c r="Y302" s="67"/>
      <c r="Z302" s="67"/>
      <c r="AA302" s="393">
        <f ca="1">+'Capex_FO input'!CP302</f>
        <v>0</v>
      </c>
      <c r="AB302" s="394">
        <f ca="1">+'Capex_FO input'!CQ302</f>
        <v>0</v>
      </c>
      <c r="AC302" s="394">
        <f ca="1">+'Capex_FO input'!CR302</f>
        <v>0</v>
      </c>
      <c r="AD302" s="394">
        <f ca="1">+'Capex_FO input'!CS302</f>
        <v>0</v>
      </c>
      <c r="AE302" s="1279">
        <f ca="1">+'Capex_FO input'!CT302</f>
        <v>0</v>
      </c>
      <c r="AF302" s="393">
        <f ca="1">+'Capex_FO input'!CU302</f>
        <v>0</v>
      </c>
      <c r="AG302" s="394">
        <f ca="1">+'Capex_FO input'!CV302</f>
        <v>0</v>
      </c>
      <c r="AH302" s="394">
        <f ca="1">+'Capex_FO input'!CW302</f>
        <v>0</v>
      </c>
      <c r="AI302" s="394">
        <f ca="1">+'Capex_FO input'!CX302</f>
        <v>0</v>
      </c>
      <c r="AJ302" s="395">
        <f ca="1">+'Capex_FO input'!CY302</f>
        <v>0</v>
      </c>
    </row>
    <row r="303" spans="3:36" ht="11.25" customHeight="1">
      <c r="C303" s="78">
        <f t="shared" si="22"/>
        <v>257</v>
      </c>
      <c r="D303" s="1984">
        <f>+'Capex_FO input'!C303</f>
        <v>0</v>
      </c>
      <c r="E303" s="1985"/>
      <c r="F303" s="1985"/>
      <c r="G303" s="1985"/>
      <c r="H303" s="1986"/>
      <c r="I303" s="643">
        <f>+'Capex_FO input'!N303</f>
        <v>0</v>
      </c>
      <c r="J303" s="67"/>
      <c r="K303" s="67"/>
      <c r="L303" s="67"/>
      <c r="M303" s="67"/>
      <c r="N303" s="138"/>
      <c r="O303" s="67"/>
      <c r="P303" s="67"/>
      <c r="Q303" s="67"/>
      <c r="R303" s="91"/>
      <c r="S303" s="138"/>
      <c r="T303" s="67"/>
      <c r="U303" s="91"/>
      <c r="V303" s="67"/>
      <c r="W303" s="67"/>
      <c r="X303" s="67"/>
      <c r="Y303" s="67"/>
      <c r="Z303" s="67"/>
      <c r="AA303" s="393">
        <f ca="1">+'Capex_FO input'!CP303</f>
        <v>0</v>
      </c>
      <c r="AB303" s="394">
        <f ca="1">+'Capex_FO input'!CQ303</f>
        <v>0</v>
      </c>
      <c r="AC303" s="394">
        <f ca="1">+'Capex_FO input'!CR303</f>
        <v>0</v>
      </c>
      <c r="AD303" s="394">
        <f ca="1">+'Capex_FO input'!CS303</f>
        <v>0</v>
      </c>
      <c r="AE303" s="1279">
        <f ca="1">+'Capex_FO input'!CT303</f>
        <v>0</v>
      </c>
      <c r="AF303" s="393">
        <f ca="1">+'Capex_FO input'!CU303</f>
        <v>0</v>
      </c>
      <c r="AG303" s="394">
        <f ca="1">+'Capex_FO input'!CV303</f>
        <v>0</v>
      </c>
      <c r="AH303" s="394">
        <f ca="1">+'Capex_FO input'!CW303</f>
        <v>0</v>
      </c>
      <c r="AI303" s="394">
        <f ca="1">+'Capex_FO input'!CX303</f>
        <v>0</v>
      </c>
      <c r="AJ303" s="395">
        <f ca="1">+'Capex_FO input'!CY303</f>
        <v>0</v>
      </c>
    </row>
    <row r="304" spans="3:36" ht="11.25" customHeight="1">
      <c r="C304" s="78">
        <f t="shared" si="22"/>
        <v>258</v>
      </c>
      <c r="D304" s="1984">
        <f>+'Capex_FO input'!C304</f>
        <v>0</v>
      </c>
      <c r="E304" s="1985"/>
      <c r="F304" s="1985"/>
      <c r="G304" s="1985"/>
      <c r="H304" s="1986"/>
      <c r="I304" s="643">
        <f>+'Capex_FO input'!N304</f>
        <v>0</v>
      </c>
      <c r="J304" s="67"/>
      <c r="K304" s="67"/>
      <c r="L304" s="67"/>
      <c r="M304" s="67"/>
      <c r="N304" s="138"/>
      <c r="O304" s="67"/>
      <c r="P304" s="67"/>
      <c r="Q304" s="67"/>
      <c r="R304" s="91"/>
      <c r="S304" s="138"/>
      <c r="T304" s="67"/>
      <c r="U304" s="91"/>
      <c r="V304" s="67"/>
      <c r="W304" s="67"/>
      <c r="X304" s="67"/>
      <c r="Y304" s="67"/>
      <c r="Z304" s="67"/>
      <c r="AA304" s="393">
        <f ca="1">+'Capex_FO input'!CP304</f>
        <v>0</v>
      </c>
      <c r="AB304" s="394">
        <f ca="1">+'Capex_FO input'!CQ304</f>
        <v>0</v>
      </c>
      <c r="AC304" s="394">
        <f ca="1">+'Capex_FO input'!CR304</f>
        <v>0</v>
      </c>
      <c r="AD304" s="394">
        <f ca="1">+'Capex_FO input'!CS304</f>
        <v>0</v>
      </c>
      <c r="AE304" s="1279">
        <f ca="1">+'Capex_FO input'!CT304</f>
        <v>0</v>
      </c>
      <c r="AF304" s="393">
        <f ca="1">+'Capex_FO input'!CU304</f>
        <v>0</v>
      </c>
      <c r="AG304" s="394">
        <f ca="1">+'Capex_FO input'!CV304</f>
        <v>0</v>
      </c>
      <c r="AH304" s="394">
        <f ca="1">+'Capex_FO input'!CW304</f>
        <v>0</v>
      </c>
      <c r="AI304" s="394">
        <f ca="1">+'Capex_FO input'!CX304</f>
        <v>0</v>
      </c>
      <c r="AJ304" s="395">
        <f ca="1">+'Capex_FO input'!CY304</f>
        <v>0</v>
      </c>
    </row>
    <row r="305" spans="3:36" ht="11.25" customHeight="1">
      <c r="C305" s="78">
        <f t="shared" si="22"/>
        <v>259</v>
      </c>
      <c r="D305" s="1984">
        <f>+'Capex_FO input'!C305</f>
        <v>0</v>
      </c>
      <c r="E305" s="1985"/>
      <c r="F305" s="1985"/>
      <c r="G305" s="1985"/>
      <c r="H305" s="1986"/>
      <c r="I305" s="643">
        <f>+'Capex_FO input'!N305</f>
        <v>0</v>
      </c>
      <c r="J305" s="67"/>
      <c r="K305" s="67"/>
      <c r="L305" s="67"/>
      <c r="M305" s="67"/>
      <c r="N305" s="138"/>
      <c r="O305" s="67"/>
      <c r="P305" s="67"/>
      <c r="Q305" s="67"/>
      <c r="R305" s="91"/>
      <c r="S305" s="138"/>
      <c r="T305" s="67"/>
      <c r="U305" s="91"/>
      <c r="V305" s="67"/>
      <c r="W305" s="67"/>
      <c r="X305" s="67"/>
      <c r="Y305" s="67"/>
      <c r="Z305" s="67"/>
      <c r="AA305" s="393">
        <f ca="1">+'Capex_FO input'!CP305</f>
        <v>0</v>
      </c>
      <c r="AB305" s="394">
        <f ca="1">+'Capex_FO input'!CQ305</f>
        <v>0</v>
      </c>
      <c r="AC305" s="394">
        <f ca="1">+'Capex_FO input'!CR305</f>
        <v>0</v>
      </c>
      <c r="AD305" s="394">
        <f ca="1">+'Capex_FO input'!CS305</f>
        <v>0</v>
      </c>
      <c r="AE305" s="1279">
        <f ca="1">+'Capex_FO input'!CT305</f>
        <v>0</v>
      </c>
      <c r="AF305" s="393">
        <f ca="1">+'Capex_FO input'!CU305</f>
        <v>0</v>
      </c>
      <c r="AG305" s="394">
        <f ca="1">+'Capex_FO input'!CV305</f>
        <v>0</v>
      </c>
      <c r="AH305" s="394">
        <f ca="1">+'Capex_FO input'!CW305</f>
        <v>0</v>
      </c>
      <c r="AI305" s="394">
        <f ca="1">+'Capex_FO input'!CX305</f>
        <v>0</v>
      </c>
      <c r="AJ305" s="395">
        <f ca="1">+'Capex_FO input'!CY305</f>
        <v>0</v>
      </c>
    </row>
    <row r="306" spans="3:36" ht="11.25" customHeight="1">
      <c r="C306" s="78">
        <f t="shared" si="22"/>
        <v>260</v>
      </c>
      <c r="D306" s="1984">
        <f>+'Capex_FO input'!C306</f>
        <v>0</v>
      </c>
      <c r="E306" s="1985"/>
      <c r="F306" s="1985"/>
      <c r="G306" s="1985"/>
      <c r="H306" s="1986"/>
      <c r="I306" s="643">
        <f>+'Capex_FO input'!N306</f>
        <v>0</v>
      </c>
      <c r="J306" s="67"/>
      <c r="K306" s="67"/>
      <c r="L306" s="67"/>
      <c r="M306" s="67"/>
      <c r="N306" s="138"/>
      <c r="O306" s="67"/>
      <c r="P306" s="67"/>
      <c r="Q306" s="67"/>
      <c r="R306" s="91"/>
      <c r="S306" s="138"/>
      <c r="T306" s="67"/>
      <c r="U306" s="91"/>
      <c r="V306" s="67"/>
      <c r="W306" s="67"/>
      <c r="X306" s="67"/>
      <c r="Y306" s="67"/>
      <c r="Z306" s="67"/>
      <c r="AA306" s="393">
        <f ca="1">+'Capex_FO input'!CP306</f>
        <v>0</v>
      </c>
      <c r="AB306" s="394">
        <f ca="1">+'Capex_FO input'!CQ306</f>
        <v>0</v>
      </c>
      <c r="AC306" s="394">
        <f ca="1">+'Capex_FO input'!CR306</f>
        <v>0</v>
      </c>
      <c r="AD306" s="394">
        <f ca="1">+'Capex_FO input'!CS306</f>
        <v>0</v>
      </c>
      <c r="AE306" s="1279">
        <f ca="1">+'Capex_FO input'!CT306</f>
        <v>0</v>
      </c>
      <c r="AF306" s="393">
        <f ca="1">+'Capex_FO input'!CU306</f>
        <v>0</v>
      </c>
      <c r="AG306" s="394">
        <f ca="1">+'Capex_FO input'!CV306</f>
        <v>0</v>
      </c>
      <c r="AH306" s="394">
        <f ca="1">+'Capex_FO input'!CW306</f>
        <v>0</v>
      </c>
      <c r="AI306" s="394">
        <f ca="1">+'Capex_FO input'!CX306</f>
        <v>0</v>
      </c>
      <c r="AJ306" s="395">
        <f ca="1">+'Capex_FO input'!CY306</f>
        <v>0</v>
      </c>
    </row>
    <row r="307" spans="3:36" ht="11.25" customHeight="1">
      <c r="C307" s="78">
        <f t="shared" si="22"/>
        <v>261</v>
      </c>
      <c r="D307" s="1984">
        <f>+'Capex_FO input'!C307</f>
        <v>0</v>
      </c>
      <c r="E307" s="1985"/>
      <c r="F307" s="1985"/>
      <c r="G307" s="1985"/>
      <c r="H307" s="1986"/>
      <c r="I307" s="643">
        <f>+'Capex_FO input'!N307</f>
        <v>0</v>
      </c>
      <c r="J307" s="67"/>
      <c r="K307" s="67"/>
      <c r="L307" s="67"/>
      <c r="M307" s="67"/>
      <c r="N307" s="138"/>
      <c r="O307" s="67"/>
      <c r="P307" s="67"/>
      <c r="Q307" s="67"/>
      <c r="R307" s="91"/>
      <c r="S307" s="138"/>
      <c r="T307" s="67"/>
      <c r="U307" s="91"/>
      <c r="V307" s="67"/>
      <c r="W307" s="67"/>
      <c r="X307" s="67"/>
      <c r="Y307" s="67"/>
      <c r="Z307" s="67"/>
      <c r="AA307" s="393">
        <f ca="1">+'Capex_FO input'!CP307</f>
        <v>0</v>
      </c>
      <c r="AB307" s="394">
        <f ca="1">+'Capex_FO input'!CQ307</f>
        <v>0</v>
      </c>
      <c r="AC307" s="394">
        <f ca="1">+'Capex_FO input'!CR307</f>
        <v>0</v>
      </c>
      <c r="AD307" s="394">
        <f ca="1">+'Capex_FO input'!CS307</f>
        <v>0</v>
      </c>
      <c r="AE307" s="1279">
        <f ca="1">+'Capex_FO input'!CT307</f>
        <v>0</v>
      </c>
      <c r="AF307" s="393">
        <f ca="1">+'Capex_FO input'!CU307</f>
        <v>0</v>
      </c>
      <c r="AG307" s="394">
        <f ca="1">+'Capex_FO input'!CV307</f>
        <v>0</v>
      </c>
      <c r="AH307" s="394">
        <f ca="1">+'Capex_FO input'!CW307</f>
        <v>0</v>
      </c>
      <c r="AI307" s="394">
        <f ca="1">+'Capex_FO input'!CX307</f>
        <v>0</v>
      </c>
      <c r="AJ307" s="395">
        <f ca="1">+'Capex_FO input'!CY307</f>
        <v>0</v>
      </c>
    </row>
    <row r="308" spans="3:36" ht="11.25" customHeight="1">
      <c r="C308" s="78">
        <f t="shared" si="22"/>
        <v>262</v>
      </c>
      <c r="D308" s="1984">
        <f>+'Capex_FO input'!C308</f>
        <v>0</v>
      </c>
      <c r="E308" s="1985"/>
      <c r="F308" s="1985"/>
      <c r="G308" s="1985"/>
      <c r="H308" s="1986"/>
      <c r="I308" s="643">
        <f>+'Capex_FO input'!N308</f>
        <v>0</v>
      </c>
      <c r="J308" s="67"/>
      <c r="K308" s="67"/>
      <c r="L308" s="67"/>
      <c r="M308" s="67"/>
      <c r="N308" s="138"/>
      <c r="O308" s="67"/>
      <c r="P308" s="67"/>
      <c r="Q308" s="67"/>
      <c r="R308" s="91"/>
      <c r="S308" s="138"/>
      <c r="T308" s="67"/>
      <c r="U308" s="91"/>
      <c r="V308" s="67"/>
      <c r="W308" s="67"/>
      <c r="X308" s="67"/>
      <c r="Y308" s="67"/>
      <c r="Z308" s="67"/>
      <c r="AA308" s="393">
        <f ca="1">+'Capex_FO input'!CP308</f>
        <v>0</v>
      </c>
      <c r="AB308" s="394">
        <f ca="1">+'Capex_FO input'!CQ308</f>
        <v>0</v>
      </c>
      <c r="AC308" s="394">
        <f ca="1">+'Capex_FO input'!CR308</f>
        <v>0</v>
      </c>
      <c r="AD308" s="394">
        <f ca="1">+'Capex_FO input'!CS308</f>
        <v>0</v>
      </c>
      <c r="AE308" s="1279">
        <f ca="1">+'Capex_FO input'!CT308</f>
        <v>0</v>
      </c>
      <c r="AF308" s="393">
        <f ca="1">+'Capex_FO input'!CU308</f>
        <v>0</v>
      </c>
      <c r="AG308" s="394">
        <f ca="1">+'Capex_FO input'!CV308</f>
        <v>0</v>
      </c>
      <c r="AH308" s="394">
        <f ca="1">+'Capex_FO input'!CW308</f>
        <v>0</v>
      </c>
      <c r="AI308" s="394">
        <f ca="1">+'Capex_FO input'!CX308</f>
        <v>0</v>
      </c>
      <c r="AJ308" s="395">
        <f ca="1">+'Capex_FO input'!CY308</f>
        <v>0</v>
      </c>
    </row>
    <row r="309" spans="3:36" ht="11.25" customHeight="1">
      <c r="C309" s="78">
        <f t="shared" si="22"/>
        <v>263</v>
      </c>
      <c r="D309" s="1984">
        <f>+'Capex_FO input'!C309</f>
        <v>0</v>
      </c>
      <c r="E309" s="1985"/>
      <c r="F309" s="1985"/>
      <c r="G309" s="1985"/>
      <c r="H309" s="1986"/>
      <c r="I309" s="643">
        <f>+'Capex_FO input'!N309</f>
        <v>0</v>
      </c>
      <c r="J309" s="67"/>
      <c r="K309" s="67"/>
      <c r="L309" s="67"/>
      <c r="M309" s="67"/>
      <c r="N309" s="138"/>
      <c r="O309" s="67"/>
      <c r="P309" s="67"/>
      <c r="Q309" s="67"/>
      <c r="R309" s="91"/>
      <c r="S309" s="138"/>
      <c r="T309" s="67"/>
      <c r="U309" s="91"/>
      <c r="V309" s="67"/>
      <c r="W309" s="67"/>
      <c r="X309" s="67"/>
      <c r="Y309" s="67"/>
      <c r="Z309" s="67"/>
      <c r="AA309" s="393">
        <f ca="1">+'Capex_FO input'!CP309</f>
        <v>0</v>
      </c>
      <c r="AB309" s="394">
        <f ca="1">+'Capex_FO input'!CQ309</f>
        <v>0</v>
      </c>
      <c r="AC309" s="394">
        <f ca="1">+'Capex_FO input'!CR309</f>
        <v>0</v>
      </c>
      <c r="AD309" s="394">
        <f ca="1">+'Capex_FO input'!CS309</f>
        <v>0</v>
      </c>
      <c r="AE309" s="1279">
        <f ca="1">+'Capex_FO input'!CT309</f>
        <v>0</v>
      </c>
      <c r="AF309" s="393">
        <f ca="1">+'Capex_FO input'!CU309</f>
        <v>0</v>
      </c>
      <c r="AG309" s="394">
        <f ca="1">+'Capex_FO input'!CV309</f>
        <v>0</v>
      </c>
      <c r="AH309" s="394">
        <f ca="1">+'Capex_FO input'!CW309</f>
        <v>0</v>
      </c>
      <c r="AI309" s="394">
        <f ca="1">+'Capex_FO input'!CX309</f>
        <v>0</v>
      </c>
      <c r="AJ309" s="395">
        <f ca="1">+'Capex_FO input'!CY309</f>
        <v>0</v>
      </c>
    </row>
    <row r="310" spans="3:36" ht="11.25" customHeight="1">
      <c r="C310" s="78">
        <f t="shared" si="22"/>
        <v>264</v>
      </c>
      <c r="D310" s="1984">
        <f>+'Capex_FO input'!C310</f>
        <v>0</v>
      </c>
      <c r="E310" s="1985"/>
      <c r="F310" s="1985"/>
      <c r="G310" s="1985"/>
      <c r="H310" s="1986"/>
      <c r="I310" s="643">
        <f>+'Capex_FO input'!N310</f>
        <v>0</v>
      </c>
      <c r="J310" s="67"/>
      <c r="K310" s="67"/>
      <c r="L310" s="67"/>
      <c r="M310" s="67"/>
      <c r="N310" s="138"/>
      <c r="O310" s="67"/>
      <c r="P310" s="67"/>
      <c r="Q310" s="67"/>
      <c r="R310" s="91"/>
      <c r="S310" s="138"/>
      <c r="T310" s="67"/>
      <c r="U310" s="91"/>
      <c r="V310" s="67"/>
      <c r="W310" s="67"/>
      <c r="X310" s="67"/>
      <c r="Y310" s="67"/>
      <c r="Z310" s="67"/>
      <c r="AA310" s="393">
        <f ca="1">+'Capex_FO input'!CP310</f>
        <v>0</v>
      </c>
      <c r="AB310" s="394">
        <f ca="1">+'Capex_FO input'!CQ310</f>
        <v>0</v>
      </c>
      <c r="AC310" s="394">
        <f ca="1">+'Capex_FO input'!CR310</f>
        <v>0</v>
      </c>
      <c r="AD310" s="394">
        <f ca="1">+'Capex_FO input'!CS310</f>
        <v>0</v>
      </c>
      <c r="AE310" s="1279">
        <f ca="1">+'Capex_FO input'!CT310</f>
        <v>0</v>
      </c>
      <c r="AF310" s="393">
        <f ca="1">+'Capex_FO input'!CU310</f>
        <v>0</v>
      </c>
      <c r="AG310" s="394">
        <f ca="1">+'Capex_FO input'!CV310</f>
        <v>0</v>
      </c>
      <c r="AH310" s="394">
        <f ca="1">+'Capex_FO input'!CW310</f>
        <v>0</v>
      </c>
      <c r="AI310" s="394">
        <f ca="1">+'Capex_FO input'!CX310</f>
        <v>0</v>
      </c>
      <c r="AJ310" s="395">
        <f ca="1">+'Capex_FO input'!CY310</f>
        <v>0</v>
      </c>
    </row>
    <row r="311" spans="3:36" ht="11.25" customHeight="1">
      <c r="C311" s="78">
        <f t="shared" si="22"/>
        <v>265</v>
      </c>
      <c r="D311" s="1984">
        <f>+'Capex_FO input'!C311</f>
        <v>0</v>
      </c>
      <c r="E311" s="1985"/>
      <c r="F311" s="1985"/>
      <c r="G311" s="1985"/>
      <c r="H311" s="1986"/>
      <c r="I311" s="643">
        <f>+'Capex_FO input'!N311</f>
        <v>0</v>
      </c>
      <c r="J311" s="67"/>
      <c r="K311" s="67"/>
      <c r="L311" s="67"/>
      <c r="M311" s="67"/>
      <c r="N311" s="138"/>
      <c r="O311" s="67"/>
      <c r="P311" s="67"/>
      <c r="Q311" s="67"/>
      <c r="R311" s="91"/>
      <c r="S311" s="138"/>
      <c r="T311" s="67"/>
      <c r="U311" s="91"/>
      <c r="V311" s="67"/>
      <c r="W311" s="67"/>
      <c r="X311" s="67"/>
      <c r="Y311" s="67"/>
      <c r="Z311" s="67"/>
      <c r="AA311" s="393">
        <f ca="1">+'Capex_FO input'!CP311</f>
        <v>0</v>
      </c>
      <c r="AB311" s="394">
        <f ca="1">+'Capex_FO input'!CQ311</f>
        <v>0</v>
      </c>
      <c r="AC311" s="394">
        <f ca="1">+'Capex_FO input'!CR311</f>
        <v>0</v>
      </c>
      <c r="AD311" s="394">
        <f ca="1">+'Capex_FO input'!CS311</f>
        <v>0</v>
      </c>
      <c r="AE311" s="1279">
        <f ca="1">+'Capex_FO input'!CT311</f>
        <v>0</v>
      </c>
      <c r="AF311" s="393">
        <f ca="1">+'Capex_FO input'!CU311</f>
        <v>0</v>
      </c>
      <c r="AG311" s="394">
        <f ca="1">+'Capex_FO input'!CV311</f>
        <v>0</v>
      </c>
      <c r="AH311" s="394">
        <f ca="1">+'Capex_FO input'!CW311</f>
        <v>0</v>
      </c>
      <c r="AI311" s="394">
        <f ca="1">+'Capex_FO input'!CX311</f>
        <v>0</v>
      </c>
      <c r="AJ311" s="395">
        <f ca="1">+'Capex_FO input'!CY311</f>
        <v>0</v>
      </c>
    </row>
    <row r="312" spans="3:36" ht="11.25" customHeight="1">
      <c r="C312" s="78">
        <f t="shared" si="22"/>
        <v>266</v>
      </c>
      <c r="D312" s="1984">
        <f>+'Capex_FO input'!C312</f>
        <v>0</v>
      </c>
      <c r="E312" s="1985"/>
      <c r="F312" s="1985"/>
      <c r="G312" s="1985"/>
      <c r="H312" s="1986"/>
      <c r="I312" s="643">
        <f>+'Capex_FO input'!N312</f>
        <v>0</v>
      </c>
      <c r="J312" s="67"/>
      <c r="K312" s="67"/>
      <c r="L312" s="67"/>
      <c r="M312" s="67"/>
      <c r="N312" s="138"/>
      <c r="O312" s="67"/>
      <c r="P312" s="67"/>
      <c r="Q312" s="67"/>
      <c r="R312" s="91"/>
      <c r="S312" s="138"/>
      <c r="T312" s="67"/>
      <c r="U312" s="91"/>
      <c r="V312" s="67"/>
      <c r="W312" s="67"/>
      <c r="X312" s="67"/>
      <c r="Y312" s="67"/>
      <c r="Z312" s="67"/>
      <c r="AA312" s="393">
        <f ca="1">+'Capex_FO input'!CP312</f>
        <v>0</v>
      </c>
      <c r="AB312" s="394">
        <f ca="1">+'Capex_FO input'!CQ312</f>
        <v>0</v>
      </c>
      <c r="AC312" s="394">
        <f ca="1">+'Capex_FO input'!CR312</f>
        <v>0</v>
      </c>
      <c r="AD312" s="394">
        <f ca="1">+'Capex_FO input'!CS312</f>
        <v>0</v>
      </c>
      <c r="AE312" s="1279">
        <f ca="1">+'Capex_FO input'!CT312</f>
        <v>0</v>
      </c>
      <c r="AF312" s="393">
        <f ca="1">+'Capex_FO input'!CU312</f>
        <v>0</v>
      </c>
      <c r="AG312" s="394">
        <f ca="1">+'Capex_FO input'!CV312</f>
        <v>0</v>
      </c>
      <c r="AH312" s="394">
        <f ca="1">+'Capex_FO input'!CW312</f>
        <v>0</v>
      </c>
      <c r="AI312" s="394">
        <f ca="1">+'Capex_FO input'!CX312</f>
        <v>0</v>
      </c>
      <c r="AJ312" s="395">
        <f ca="1">+'Capex_FO input'!CY312</f>
        <v>0</v>
      </c>
    </row>
    <row r="313" spans="3:36" ht="11.25" customHeight="1">
      <c r="C313" s="78">
        <f t="shared" si="22"/>
        <v>267</v>
      </c>
      <c r="D313" s="1984">
        <f>+'Capex_FO input'!C313</f>
        <v>0</v>
      </c>
      <c r="E313" s="1985"/>
      <c r="F313" s="1985"/>
      <c r="G313" s="1985"/>
      <c r="H313" s="1986"/>
      <c r="I313" s="643">
        <f>+'Capex_FO input'!N313</f>
        <v>0</v>
      </c>
      <c r="J313" s="67"/>
      <c r="K313" s="67"/>
      <c r="L313" s="67"/>
      <c r="M313" s="67"/>
      <c r="N313" s="138"/>
      <c r="O313" s="67"/>
      <c r="P313" s="67"/>
      <c r="Q313" s="67"/>
      <c r="R313" s="91"/>
      <c r="S313" s="138"/>
      <c r="T313" s="67"/>
      <c r="U313" s="91"/>
      <c r="V313" s="67"/>
      <c r="W313" s="67"/>
      <c r="X313" s="67"/>
      <c r="Y313" s="67"/>
      <c r="Z313" s="67"/>
      <c r="AA313" s="393">
        <f ca="1">+'Capex_FO input'!CP313</f>
        <v>0</v>
      </c>
      <c r="AB313" s="394">
        <f ca="1">+'Capex_FO input'!CQ313</f>
        <v>0</v>
      </c>
      <c r="AC313" s="394">
        <f ca="1">+'Capex_FO input'!CR313</f>
        <v>0</v>
      </c>
      <c r="AD313" s="394">
        <f ca="1">+'Capex_FO input'!CS313</f>
        <v>0</v>
      </c>
      <c r="AE313" s="1279">
        <f ca="1">+'Capex_FO input'!CT313</f>
        <v>0</v>
      </c>
      <c r="AF313" s="393">
        <f ca="1">+'Capex_FO input'!CU313</f>
        <v>0</v>
      </c>
      <c r="AG313" s="394">
        <f ca="1">+'Capex_FO input'!CV313</f>
        <v>0</v>
      </c>
      <c r="AH313" s="394">
        <f ca="1">+'Capex_FO input'!CW313</f>
        <v>0</v>
      </c>
      <c r="AI313" s="394">
        <f ca="1">+'Capex_FO input'!CX313</f>
        <v>0</v>
      </c>
      <c r="AJ313" s="395">
        <f ca="1">+'Capex_FO input'!CY313</f>
        <v>0</v>
      </c>
    </row>
    <row r="314" spans="3:36" ht="11.25" customHeight="1">
      <c r="C314" s="78">
        <f t="shared" si="22"/>
        <v>268</v>
      </c>
      <c r="D314" s="1984">
        <f>+'Capex_FO input'!C314</f>
        <v>0</v>
      </c>
      <c r="E314" s="1985"/>
      <c r="F314" s="1985"/>
      <c r="G314" s="1985"/>
      <c r="H314" s="1986"/>
      <c r="I314" s="643">
        <f>+'Capex_FO input'!N314</f>
        <v>0</v>
      </c>
      <c r="J314" s="67"/>
      <c r="K314" s="67"/>
      <c r="L314" s="67"/>
      <c r="M314" s="67"/>
      <c r="N314" s="138"/>
      <c r="O314" s="67"/>
      <c r="P314" s="67"/>
      <c r="Q314" s="67"/>
      <c r="R314" s="91"/>
      <c r="S314" s="138"/>
      <c r="T314" s="67"/>
      <c r="U314" s="91"/>
      <c r="V314" s="67"/>
      <c r="W314" s="67"/>
      <c r="X314" s="67"/>
      <c r="Y314" s="67"/>
      <c r="Z314" s="67"/>
      <c r="AA314" s="393">
        <f ca="1">+'Capex_FO input'!CP314</f>
        <v>0</v>
      </c>
      <c r="AB314" s="394">
        <f ca="1">+'Capex_FO input'!CQ314</f>
        <v>0</v>
      </c>
      <c r="AC314" s="394">
        <f ca="1">+'Capex_FO input'!CR314</f>
        <v>0</v>
      </c>
      <c r="AD314" s="394">
        <f ca="1">+'Capex_FO input'!CS314</f>
        <v>0</v>
      </c>
      <c r="AE314" s="1279">
        <f ca="1">+'Capex_FO input'!CT314</f>
        <v>0</v>
      </c>
      <c r="AF314" s="393">
        <f ca="1">+'Capex_FO input'!CU314</f>
        <v>0</v>
      </c>
      <c r="AG314" s="394">
        <f ca="1">+'Capex_FO input'!CV314</f>
        <v>0</v>
      </c>
      <c r="AH314" s="394">
        <f ca="1">+'Capex_FO input'!CW314</f>
        <v>0</v>
      </c>
      <c r="AI314" s="394">
        <f ca="1">+'Capex_FO input'!CX314</f>
        <v>0</v>
      </c>
      <c r="AJ314" s="395">
        <f ca="1">+'Capex_FO input'!CY314</f>
        <v>0</v>
      </c>
    </row>
    <row r="315" spans="3:36" ht="11.25" customHeight="1">
      <c r="C315" s="78">
        <f t="shared" si="22"/>
        <v>269</v>
      </c>
      <c r="D315" s="1984">
        <f>+'Capex_FO input'!C315</f>
        <v>0</v>
      </c>
      <c r="E315" s="1985"/>
      <c r="F315" s="1985"/>
      <c r="G315" s="1985"/>
      <c r="H315" s="1986"/>
      <c r="I315" s="643">
        <f>+'Capex_FO input'!N315</f>
        <v>0</v>
      </c>
      <c r="J315" s="67"/>
      <c r="K315" s="67"/>
      <c r="L315" s="67"/>
      <c r="M315" s="67"/>
      <c r="N315" s="138"/>
      <c r="O315" s="67"/>
      <c r="P315" s="67"/>
      <c r="Q315" s="67"/>
      <c r="R315" s="91"/>
      <c r="S315" s="138"/>
      <c r="T315" s="67"/>
      <c r="U315" s="91"/>
      <c r="V315" s="67"/>
      <c r="W315" s="67"/>
      <c r="X315" s="67"/>
      <c r="Y315" s="67"/>
      <c r="Z315" s="67"/>
      <c r="AA315" s="393">
        <f ca="1">+'Capex_FO input'!CP315</f>
        <v>0</v>
      </c>
      <c r="AB315" s="394">
        <f ca="1">+'Capex_FO input'!CQ315</f>
        <v>0</v>
      </c>
      <c r="AC315" s="394">
        <f ca="1">+'Capex_FO input'!CR315</f>
        <v>0</v>
      </c>
      <c r="AD315" s="394">
        <f ca="1">+'Capex_FO input'!CS315</f>
        <v>0</v>
      </c>
      <c r="AE315" s="1279">
        <f ca="1">+'Capex_FO input'!CT315</f>
        <v>0</v>
      </c>
      <c r="AF315" s="393">
        <f ca="1">+'Capex_FO input'!CU315</f>
        <v>0</v>
      </c>
      <c r="AG315" s="394">
        <f ca="1">+'Capex_FO input'!CV315</f>
        <v>0</v>
      </c>
      <c r="AH315" s="394">
        <f ca="1">+'Capex_FO input'!CW315</f>
        <v>0</v>
      </c>
      <c r="AI315" s="394">
        <f ca="1">+'Capex_FO input'!CX315</f>
        <v>0</v>
      </c>
      <c r="AJ315" s="395">
        <f ca="1">+'Capex_FO input'!CY315</f>
        <v>0</v>
      </c>
    </row>
    <row r="316" spans="3:36" ht="11.25" customHeight="1">
      <c r="C316" s="78">
        <f t="shared" si="22"/>
        <v>270</v>
      </c>
      <c r="D316" s="1984">
        <f>+'Capex_FO input'!C316</f>
        <v>0</v>
      </c>
      <c r="E316" s="1985"/>
      <c r="F316" s="1985"/>
      <c r="G316" s="1985"/>
      <c r="H316" s="1986"/>
      <c r="I316" s="643">
        <f>+'Capex_FO input'!N316</f>
        <v>0</v>
      </c>
      <c r="J316" s="67"/>
      <c r="K316" s="67"/>
      <c r="L316" s="67"/>
      <c r="M316" s="67"/>
      <c r="N316" s="138"/>
      <c r="O316" s="67"/>
      <c r="P316" s="67"/>
      <c r="Q316" s="67"/>
      <c r="R316" s="91"/>
      <c r="S316" s="138"/>
      <c r="T316" s="67"/>
      <c r="U316" s="91"/>
      <c r="V316" s="67"/>
      <c r="W316" s="67"/>
      <c r="X316" s="67"/>
      <c r="Y316" s="67"/>
      <c r="Z316" s="67"/>
      <c r="AA316" s="393">
        <f ca="1">+'Capex_FO input'!CP316</f>
        <v>0</v>
      </c>
      <c r="AB316" s="394">
        <f ca="1">+'Capex_FO input'!CQ316</f>
        <v>0</v>
      </c>
      <c r="AC316" s="394">
        <f ca="1">+'Capex_FO input'!CR316</f>
        <v>0</v>
      </c>
      <c r="AD316" s="394">
        <f ca="1">+'Capex_FO input'!CS316</f>
        <v>0</v>
      </c>
      <c r="AE316" s="1279">
        <f ca="1">+'Capex_FO input'!CT316</f>
        <v>0</v>
      </c>
      <c r="AF316" s="393">
        <f ca="1">+'Capex_FO input'!CU316</f>
        <v>0</v>
      </c>
      <c r="AG316" s="394">
        <f ca="1">+'Capex_FO input'!CV316</f>
        <v>0</v>
      </c>
      <c r="AH316" s="394">
        <f ca="1">+'Capex_FO input'!CW316</f>
        <v>0</v>
      </c>
      <c r="AI316" s="394">
        <f ca="1">+'Capex_FO input'!CX316</f>
        <v>0</v>
      </c>
      <c r="AJ316" s="395">
        <f ca="1">+'Capex_FO input'!CY316</f>
        <v>0</v>
      </c>
    </row>
    <row r="317" spans="3:36" ht="11.25" customHeight="1">
      <c r="C317" s="78">
        <f t="shared" si="22"/>
        <v>271</v>
      </c>
      <c r="D317" s="1984">
        <f>+'Capex_FO input'!C317</f>
        <v>0</v>
      </c>
      <c r="E317" s="1985"/>
      <c r="F317" s="1985"/>
      <c r="G317" s="1985"/>
      <c r="H317" s="1986"/>
      <c r="I317" s="643">
        <f>+'Capex_FO input'!N317</f>
        <v>0</v>
      </c>
      <c r="J317" s="67"/>
      <c r="K317" s="67"/>
      <c r="L317" s="67"/>
      <c r="M317" s="67"/>
      <c r="N317" s="138"/>
      <c r="O317" s="67"/>
      <c r="P317" s="67"/>
      <c r="Q317" s="67"/>
      <c r="R317" s="91"/>
      <c r="S317" s="138"/>
      <c r="T317" s="67"/>
      <c r="U317" s="91"/>
      <c r="V317" s="67"/>
      <c r="W317" s="67"/>
      <c r="X317" s="67"/>
      <c r="Y317" s="67"/>
      <c r="Z317" s="67"/>
      <c r="AA317" s="393">
        <f ca="1">+'Capex_FO input'!CP317</f>
        <v>0</v>
      </c>
      <c r="AB317" s="394">
        <f ca="1">+'Capex_FO input'!CQ317</f>
        <v>0</v>
      </c>
      <c r="AC317" s="394">
        <f ca="1">+'Capex_FO input'!CR317</f>
        <v>0</v>
      </c>
      <c r="AD317" s="394">
        <f ca="1">+'Capex_FO input'!CS317</f>
        <v>0</v>
      </c>
      <c r="AE317" s="1279">
        <f ca="1">+'Capex_FO input'!CT317</f>
        <v>0</v>
      </c>
      <c r="AF317" s="393">
        <f ca="1">+'Capex_FO input'!CU317</f>
        <v>0</v>
      </c>
      <c r="AG317" s="394">
        <f ca="1">+'Capex_FO input'!CV317</f>
        <v>0</v>
      </c>
      <c r="AH317" s="394">
        <f ca="1">+'Capex_FO input'!CW317</f>
        <v>0</v>
      </c>
      <c r="AI317" s="394">
        <f ca="1">+'Capex_FO input'!CX317</f>
        <v>0</v>
      </c>
      <c r="AJ317" s="395">
        <f ca="1">+'Capex_FO input'!CY317</f>
        <v>0</v>
      </c>
    </row>
    <row r="318" spans="3:36" ht="11.25" customHeight="1">
      <c r="C318" s="78">
        <f t="shared" si="22"/>
        <v>272</v>
      </c>
      <c r="D318" s="1984">
        <f>+'Capex_FO input'!C318</f>
        <v>0</v>
      </c>
      <c r="E318" s="1985"/>
      <c r="F318" s="1985"/>
      <c r="G318" s="1985"/>
      <c r="H318" s="1986"/>
      <c r="I318" s="643">
        <f>+'Capex_FO input'!N318</f>
        <v>0</v>
      </c>
      <c r="J318" s="67"/>
      <c r="K318" s="67"/>
      <c r="L318" s="67"/>
      <c r="M318" s="67"/>
      <c r="N318" s="138"/>
      <c r="O318" s="67"/>
      <c r="P318" s="67"/>
      <c r="Q318" s="67"/>
      <c r="R318" s="91"/>
      <c r="S318" s="138"/>
      <c r="T318" s="67"/>
      <c r="U318" s="91"/>
      <c r="V318" s="67"/>
      <c r="W318" s="67"/>
      <c r="X318" s="67"/>
      <c r="Y318" s="67"/>
      <c r="Z318" s="67"/>
      <c r="AA318" s="393">
        <f ca="1">+'Capex_FO input'!CP318</f>
        <v>0</v>
      </c>
      <c r="AB318" s="394">
        <f ca="1">+'Capex_FO input'!CQ318</f>
        <v>0</v>
      </c>
      <c r="AC318" s="394">
        <f ca="1">+'Capex_FO input'!CR318</f>
        <v>0</v>
      </c>
      <c r="AD318" s="394">
        <f ca="1">+'Capex_FO input'!CS318</f>
        <v>0</v>
      </c>
      <c r="AE318" s="1279">
        <f ca="1">+'Capex_FO input'!CT318</f>
        <v>0</v>
      </c>
      <c r="AF318" s="393">
        <f ca="1">+'Capex_FO input'!CU318</f>
        <v>0</v>
      </c>
      <c r="AG318" s="394">
        <f ca="1">+'Capex_FO input'!CV318</f>
        <v>0</v>
      </c>
      <c r="AH318" s="394">
        <f ca="1">+'Capex_FO input'!CW318</f>
        <v>0</v>
      </c>
      <c r="AI318" s="394">
        <f ca="1">+'Capex_FO input'!CX318</f>
        <v>0</v>
      </c>
      <c r="AJ318" s="395">
        <f ca="1">+'Capex_FO input'!CY318</f>
        <v>0</v>
      </c>
    </row>
    <row r="319" spans="3:36" ht="11.25" customHeight="1">
      <c r="C319" s="78">
        <f t="shared" si="22"/>
        <v>273</v>
      </c>
      <c r="D319" s="1984">
        <f>+'Capex_FO input'!C319</f>
        <v>0</v>
      </c>
      <c r="E319" s="1985"/>
      <c r="F319" s="1985"/>
      <c r="G319" s="1985"/>
      <c r="H319" s="1986"/>
      <c r="I319" s="643">
        <f>+'Capex_FO input'!N319</f>
        <v>0</v>
      </c>
      <c r="J319" s="67"/>
      <c r="K319" s="67"/>
      <c r="L319" s="67"/>
      <c r="M319" s="67"/>
      <c r="N319" s="138"/>
      <c r="O319" s="67"/>
      <c r="P319" s="67"/>
      <c r="Q319" s="67"/>
      <c r="R319" s="91"/>
      <c r="S319" s="138"/>
      <c r="T319" s="67"/>
      <c r="U319" s="91"/>
      <c r="V319" s="67"/>
      <c r="W319" s="67"/>
      <c r="X319" s="67"/>
      <c r="Y319" s="67"/>
      <c r="Z319" s="67"/>
      <c r="AA319" s="393">
        <f ca="1">+'Capex_FO input'!CP319</f>
        <v>0</v>
      </c>
      <c r="AB319" s="394">
        <f ca="1">+'Capex_FO input'!CQ319</f>
        <v>0</v>
      </c>
      <c r="AC319" s="394">
        <f ca="1">+'Capex_FO input'!CR319</f>
        <v>0</v>
      </c>
      <c r="AD319" s="394">
        <f ca="1">+'Capex_FO input'!CS319</f>
        <v>0</v>
      </c>
      <c r="AE319" s="1279">
        <f ca="1">+'Capex_FO input'!CT319</f>
        <v>0</v>
      </c>
      <c r="AF319" s="393">
        <f ca="1">+'Capex_FO input'!CU319</f>
        <v>0</v>
      </c>
      <c r="AG319" s="394">
        <f ca="1">+'Capex_FO input'!CV319</f>
        <v>0</v>
      </c>
      <c r="AH319" s="394">
        <f ca="1">+'Capex_FO input'!CW319</f>
        <v>0</v>
      </c>
      <c r="AI319" s="394">
        <f ca="1">+'Capex_FO input'!CX319</f>
        <v>0</v>
      </c>
      <c r="AJ319" s="395">
        <f ca="1">+'Capex_FO input'!CY319</f>
        <v>0</v>
      </c>
    </row>
    <row r="320" spans="3:36" ht="11.25" customHeight="1">
      <c r="C320" s="78">
        <f t="shared" ref="C320:C383" si="23">C319+1</f>
        <v>274</v>
      </c>
      <c r="D320" s="1984">
        <f>+'Capex_FO input'!C320</f>
        <v>0</v>
      </c>
      <c r="E320" s="1985"/>
      <c r="F320" s="1985"/>
      <c r="G320" s="1985"/>
      <c r="H320" s="1986"/>
      <c r="I320" s="643">
        <f>+'Capex_FO input'!N320</f>
        <v>0</v>
      </c>
      <c r="J320" s="67"/>
      <c r="K320" s="67"/>
      <c r="L320" s="67"/>
      <c r="M320" s="67"/>
      <c r="N320" s="138"/>
      <c r="O320" s="67"/>
      <c r="P320" s="67"/>
      <c r="Q320" s="67"/>
      <c r="R320" s="91"/>
      <c r="S320" s="138"/>
      <c r="T320" s="67"/>
      <c r="U320" s="91"/>
      <c r="V320" s="67"/>
      <c r="W320" s="67"/>
      <c r="X320" s="67"/>
      <c r="Y320" s="67"/>
      <c r="Z320" s="67"/>
      <c r="AA320" s="393">
        <f ca="1">+'Capex_FO input'!CP320</f>
        <v>0</v>
      </c>
      <c r="AB320" s="394">
        <f ca="1">+'Capex_FO input'!CQ320</f>
        <v>0</v>
      </c>
      <c r="AC320" s="394">
        <f ca="1">+'Capex_FO input'!CR320</f>
        <v>0</v>
      </c>
      <c r="AD320" s="394">
        <f ca="1">+'Capex_FO input'!CS320</f>
        <v>0</v>
      </c>
      <c r="AE320" s="1279">
        <f ca="1">+'Capex_FO input'!CT320</f>
        <v>0</v>
      </c>
      <c r="AF320" s="393">
        <f ca="1">+'Capex_FO input'!CU320</f>
        <v>0</v>
      </c>
      <c r="AG320" s="394">
        <f ca="1">+'Capex_FO input'!CV320</f>
        <v>0</v>
      </c>
      <c r="AH320" s="394">
        <f ca="1">+'Capex_FO input'!CW320</f>
        <v>0</v>
      </c>
      <c r="AI320" s="394">
        <f ca="1">+'Capex_FO input'!CX320</f>
        <v>0</v>
      </c>
      <c r="AJ320" s="395">
        <f ca="1">+'Capex_FO input'!CY320</f>
        <v>0</v>
      </c>
    </row>
    <row r="321" spans="3:36" ht="11.25" customHeight="1">
      <c r="C321" s="78">
        <f t="shared" si="23"/>
        <v>275</v>
      </c>
      <c r="D321" s="1984">
        <f>+'Capex_FO input'!C321</f>
        <v>0</v>
      </c>
      <c r="E321" s="1985"/>
      <c r="F321" s="1985"/>
      <c r="G321" s="1985"/>
      <c r="H321" s="1986"/>
      <c r="I321" s="643">
        <f>+'Capex_FO input'!N321</f>
        <v>0</v>
      </c>
      <c r="J321" s="67"/>
      <c r="K321" s="67"/>
      <c r="L321" s="67"/>
      <c r="M321" s="67"/>
      <c r="N321" s="138"/>
      <c r="O321" s="67"/>
      <c r="P321" s="67"/>
      <c r="Q321" s="67"/>
      <c r="R321" s="91"/>
      <c r="S321" s="138"/>
      <c r="T321" s="67"/>
      <c r="U321" s="91"/>
      <c r="V321" s="67"/>
      <c r="W321" s="67"/>
      <c r="X321" s="67"/>
      <c r="Y321" s="67"/>
      <c r="Z321" s="67"/>
      <c r="AA321" s="393">
        <f ca="1">+'Capex_FO input'!CP321</f>
        <v>0</v>
      </c>
      <c r="AB321" s="394">
        <f ca="1">+'Capex_FO input'!CQ321</f>
        <v>0</v>
      </c>
      <c r="AC321" s="394">
        <f ca="1">+'Capex_FO input'!CR321</f>
        <v>0</v>
      </c>
      <c r="AD321" s="394">
        <f ca="1">+'Capex_FO input'!CS321</f>
        <v>0</v>
      </c>
      <c r="AE321" s="1279">
        <f ca="1">+'Capex_FO input'!CT321</f>
        <v>0</v>
      </c>
      <c r="AF321" s="393">
        <f ca="1">+'Capex_FO input'!CU321</f>
        <v>0</v>
      </c>
      <c r="AG321" s="394">
        <f ca="1">+'Capex_FO input'!CV321</f>
        <v>0</v>
      </c>
      <c r="AH321" s="394">
        <f ca="1">+'Capex_FO input'!CW321</f>
        <v>0</v>
      </c>
      <c r="AI321" s="394">
        <f ca="1">+'Capex_FO input'!CX321</f>
        <v>0</v>
      </c>
      <c r="AJ321" s="395">
        <f ca="1">+'Capex_FO input'!CY321</f>
        <v>0</v>
      </c>
    </row>
    <row r="322" spans="3:36" ht="11.25" customHeight="1">
      <c r="C322" s="78">
        <f t="shared" si="23"/>
        <v>276</v>
      </c>
      <c r="D322" s="1984">
        <f>+'Capex_FO input'!C322</f>
        <v>0</v>
      </c>
      <c r="E322" s="1985"/>
      <c r="F322" s="1985"/>
      <c r="G322" s="1985"/>
      <c r="H322" s="1986"/>
      <c r="I322" s="643">
        <f>+'Capex_FO input'!N322</f>
        <v>0</v>
      </c>
      <c r="J322" s="67"/>
      <c r="K322" s="67"/>
      <c r="L322" s="67"/>
      <c r="M322" s="67"/>
      <c r="N322" s="138"/>
      <c r="O322" s="67"/>
      <c r="P322" s="67"/>
      <c r="Q322" s="67"/>
      <c r="R322" s="91"/>
      <c r="S322" s="138"/>
      <c r="T322" s="67"/>
      <c r="U322" s="91"/>
      <c r="V322" s="67"/>
      <c r="W322" s="67"/>
      <c r="X322" s="67"/>
      <c r="Y322" s="67"/>
      <c r="Z322" s="67"/>
      <c r="AA322" s="393">
        <f ca="1">+'Capex_FO input'!CP322</f>
        <v>0</v>
      </c>
      <c r="AB322" s="394">
        <f ca="1">+'Capex_FO input'!CQ322</f>
        <v>0</v>
      </c>
      <c r="AC322" s="394">
        <f ca="1">+'Capex_FO input'!CR322</f>
        <v>0</v>
      </c>
      <c r="AD322" s="394">
        <f ca="1">+'Capex_FO input'!CS322</f>
        <v>0</v>
      </c>
      <c r="AE322" s="1279">
        <f ca="1">+'Capex_FO input'!CT322</f>
        <v>0</v>
      </c>
      <c r="AF322" s="393">
        <f ca="1">+'Capex_FO input'!CU322</f>
        <v>0</v>
      </c>
      <c r="AG322" s="394">
        <f ca="1">+'Capex_FO input'!CV322</f>
        <v>0</v>
      </c>
      <c r="AH322" s="394">
        <f ca="1">+'Capex_FO input'!CW322</f>
        <v>0</v>
      </c>
      <c r="AI322" s="394">
        <f ca="1">+'Capex_FO input'!CX322</f>
        <v>0</v>
      </c>
      <c r="AJ322" s="395">
        <f ca="1">+'Capex_FO input'!CY322</f>
        <v>0</v>
      </c>
    </row>
    <row r="323" spans="3:36" ht="11.25" customHeight="1">
      <c r="C323" s="78">
        <f t="shared" si="23"/>
        <v>277</v>
      </c>
      <c r="D323" s="1984">
        <f>+'Capex_FO input'!C323</f>
        <v>0</v>
      </c>
      <c r="E323" s="1985"/>
      <c r="F323" s="1985"/>
      <c r="G323" s="1985"/>
      <c r="H323" s="1986"/>
      <c r="I323" s="643">
        <f>+'Capex_FO input'!N323</f>
        <v>0</v>
      </c>
      <c r="J323" s="67"/>
      <c r="K323" s="67"/>
      <c r="L323" s="67"/>
      <c r="M323" s="67"/>
      <c r="N323" s="138"/>
      <c r="O323" s="67"/>
      <c r="P323" s="67"/>
      <c r="Q323" s="67"/>
      <c r="R323" s="91"/>
      <c r="S323" s="138"/>
      <c r="T323" s="67"/>
      <c r="U323" s="91"/>
      <c r="V323" s="67"/>
      <c r="W323" s="67"/>
      <c r="X323" s="67"/>
      <c r="Y323" s="67"/>
      <c r="Z323" s="67"/>
      <c r="AA323" s="393">
        <f ca="1">+'Capex_FO input'!CP323</f>
        <v>0</v>
      </c>
      <c r="AB323" s="394">
        <f ca="1">+'Capex_FO input'!CQ323</f>
        <v>0</v>
      </c>
      <c r="AC323" s="394">
        <f ca="1">+'Capex_FO input'!CR323</f>
        <v>0</v>
      </c>
      <c r="AD323" s="394">
        <f ca="1">+'Capex_FO input'!CS323</f>
        <v>0</v>
      </c>
      <c r="AE323" s="1279">
        <f ca="1">+'Capex_FO input'!CT323</f>
        <v>0</v>
      </c>
      <c r="AF323" s="393">
        <f ca="1">+'Capex_FO input'!CU323</f>
        <v>0</v>
      </c>
      <c r="AG323" s="394">
        <f ca="1">+'Capex_FO input'!CV323</f>
        <v>0</v>
      </c>
      <c r="AH323" s="394">
        <f ca="1">+'Capex_FO input'!CW323</f>
        <v>0</v>
      </c>
      <c r="AI323" s="394">
        <f ca="1">+'Capex_FO input'!CX323</f>
        <v>0</v>
      </c>
      <c r="AJ323" s="395">
        <f ca="1">+'Capex_FO input'!CY323</f>
        <v>0</v>
      </c>
    </row>
    <row r="324" spans="3:36" ht="11.25" customHeight="1">
      <c r="C324" s="78">
        <f t="shared" si="23"/>
        <v>278</v>
      </c>
      <c r="D324" s="1984">
        <f>+'Capex_FO input'!C324</f>
        <v>0</v>
      </c>
      <c r="E324" s="1985"/>
      <c r="F324" s="1985"/>
      <c r="G324" s="1985"/>
      <c r="H324" s="1986"/>
      <c r="I324" s="643">
        <f>+'Capex_FO input'!N324</f>
        <v>0</v>
      </c>
      <c r="J324" s="67"/>
      <c r="K324" s="67"/>
      <c r="L324" s="67"/>
      <c r="M324" s="67"/>
      <c r="N324" s="138"/>
      <c r="O324" s="67"/>
      <c r="P324" s="67"/>
      <c r="Q324" s="67"/>
      <c r="R324" s="91"/>
      <c r="S324" s="138"/>
      <c r="T324" s="67"/>
      <c r="U324" s="91"/>
      <c r="V324" s="67"/>
      <c r="W324" s="67"/>
      <c r="X324" s="67"/>
      <c r="Y324" s="67"/>
      <c r="Z324" s="67"/>
      <c r="AA324" s="393">
        <f ca="1">+'Capex_FO input'!CP324</f>
        <v>0</v>
      </c>
      <c r="AB324" s="394">
        <f ca="1">+'Capex_FO input'!CQ324</f>
        <v>0</v>
      </c>
      <c r="AC324" s="394">
        <f ca="1">+'Capex_FO input'!CR324</f>
        <v>0</v>
      </c>
      <c r="AD324" s="394">
        <f ca="1">+'Capex_FO input'!CS324</f>
        <v>0</v>
      </c>
      <c r="AE324" s="1279">
        <f ca="1">+'Capex_FO input'!CT324</f>
        <v>0</v>
      </c>
      <c r="AF324" s="393">
        <f ca="1">+'Capex_FO input'!CU324</f>
        <v>0</v>
      </c>
      <c r="AG324" s="394">
        <f ca="1">+'Capex_FO input'!CV324</f>
        <v>0</v>
      </c>
      <c r="AH324" s="394">
        <f ca="1">+'Capex_FO input'!CW324</f>
        <v>0</v>
      </c>
      <c r="AI324" s="394">
        <f ca="1">+'Capex_FO input'!CX324</f>
        <v>0</v>
      </c>
      <c r="AJ324" s="395">
        <f ca="1">+'Capex_FO input'!CY324</f>
        <v>0</v>
      </c>
    </row>
    <row r="325" spans="3:36" ht="11.25" customHeight="1">
      <c r="C325" s="78">
        <f t="shared" si="23"/>
        <v>279</v>
      </c>
      <c r="D325" s="2124">
        <f>+'Capex_FO input'!C325</f>
        <v>0</v>
      </c>
      <c r="E325" s="2125"/>
      <c r="F325" s="2125"/>
      <c r="G325" s="2125"/>
      <c r="H325" s="2126"/>
      <c r="I325" s="643">
        <f>+'Capex_FO input'!N325</f>
        <v>0</v>
      </c>
      <c r="J325" s="67"/>
      <c r="K325" s="67"/>
      <c r="L325" s="67"/>
      <c r="M325" s="67"/>
      <c r="N325" s="138"/>
      <c r="O325" s="67"/>
      <c r="P325" s="67"/>
      <c r="Q325" s="67"/>
      <c r="R325" s="91"/>
      <c r="S325" s="138"/>
      <c r="T325" s="67"/>
      <c r="U325" s="91"/>
      <c r="V325" s="67"/>
      <c r="W325" s="67"/>
      <c r="X325" s="67"/>
      <c r="Y325" s="67"/>
      <c r="Z325" s="67"/>
      <c r="AA325" s="393">
        <f ca="1">+'Capex_FO input'!CP325</f>
        <v>0</v>
      </c>
      <c r="AB325" s="394">
        <f ca="1">+'Capex_FO input'!CQ325</f>
        <v>0</v>
      </c>
      <c r="AC325" s="394">
        <f ca="1">+'Capex_FO input'!CR325</f>
        <v>0</v>
      </c>
      <c r="AD325" s="394">
        <f ca="1">+'Capex_FO input'!CS325</f>
        <v>0</v>
      </c>
      <c r="AE325" s="1279">
        <f ca="1">+'Capex_FO input'!CT325</f>
        <v>0</v>
      </c>
      <c r="AF325" s="393">
        <f ca="1">+'Capex_FO input'!CU325</f>
        <v>0</v>
      </c>
      <c r="AG325" s="394">
        <f ca="1">+'Capex_FO input'!CV325</f>
        <v>0</v>
      </c>
      <c r="AH325" s="394">
        <f ca="1">+'Capex_FO input'!CW325</f>
        <v>0</v>
      </c>
      <c r="AI325" s="394">
        <f ca="1">+'Capex_FO input'!CX325</f>
        <v>0</v>
      </c>
      <c r="AJ325" s="395">
        <f ca="1">+'Capex_FO input'!CY325</f>
        <v>0</v>
      </c>
    </row>
    <row r="326" spans="3:36">
      <c r="C326" s="78">
        <f t="shared" si="23"/>
        <v>280</v>
      </c>
      <c r="D326" s="2124">
        <f>+'Capex_FO input'!C326</f>
        <v>0</v>
      </c>
      <c r="E326" s="2125"/>
      <c r="F326" s="2125"/>
      <c r="G326" s="2125"/>
      <c r="H326" s="2126"/>
      <c r="I326" s="643">
        <f>+'Capex_FO input'!N326</f>
        <v>0</v>
      </c>
      <c r="J326" s="67"/>
      <c r="K326" s="67"/>
      <c r="L326" s="67"/>
      <c r="M326" s="67"/>
      <c r="N326" s="138"/>
      <c r="O326" s="67"/>
      <c r="P326" s="67"/>
      <c r="Q326" s="67"/>
      <c r="R326" s="91"/>
      <c r="S326" s="138"/>
      <c r="T326" s="67"/>
      <c r="U326" s="91"/>
      <c r="V326" s="67"/>
      <c r="W326" s="67"/>
      <c r="X326" s="67"/>
      <c r="Y326" s="67"/>
      <c r="Z326" s="67"/>
      <c r="AA326" s="393">
        <f ca="1">+'Capex_FO input'!CP326</f>
        <v>0</v>
      </c>
      <c r="AB326" s="394">
        <f ca="1">+'Capex_FO input'!CQ326</f>
        <v>0</v>
      </c>
      <c r="AC326" s="394">
        <f ca="1">+'Capex_FO input'!CR326</f>
        <v>0</v>
      </c>
      <c r="AD326" s="394">
        <f ca="1">+'Capex_FO input'!CS326</f>
        <v>0</v>
      </c>
      <c r="AE326" s="1279">
        <f ca="1">+'Capex_FO input'!CT326</f>
        <v>0</v>
      </c>
      <c r="AF326" s="393">
        <f ca="1">+'Capex_FO input'!CU326</f>
        <v>0</v>
      </c>
      <c r="AG326" s="394">
        <f ca="1">+'Capex_FO input'!CV326</f>
        <v>0</v>
      </c>
      <c r="AH326" s="394">
        <f ca="1">+'Capex_FO input'!CW326</f>
        <v>0</v>
      </c>
      <c r="AI326" s="394">
        <f ca="1">+'Capex_FO input'!CX326</f>
        <v>0</v>
      </c>
      <c r="AJ326" s="395">
        <f ca="1">+'Capex_FO input'!CY326</f>
        <v>0</v>
      </c>
    </row>
    <row r="327" spans="3:36">
      <c r="C327" s="78">
        <f t="shared" si="23"/>
        <v>281</v>
      </c>
      <c r="D327" s="2124">
        <f>+'Capex_FO input'!C327</f>
        <v>0</v>
      </c>
      <c r="E327" s="2125"/>
      <c r="F327" s="2125"/>
      <c r="G327" s="2125"/>
      <c r="H327" s="2126"/>
      <c r="I327" s="643">
        <f>+'Capex_FO input'!N327</f>
        <v>0</v>
      </c>
      <c r="J327" s="67"/>
      <c r="K327" s="67"/>
      <c r="L327" s="67"/>
      <c r="M327" s="67"/>
      <c r="N327" s="138"/>
      <c r="O327" s="67"/>
      <c r="P327" s="67"/>
      <c r="Q327" s="67"/>
      <c r="R327" s="91"/>
      <c r="S327" s="138"/>
      <c r="T327" s="67"/>
      <c r="U327" s="91"/>
      <c r="V327" s="67"/>
      <c r="W327" s="67"/>
      <c r="X327" s="67"/>
      <c r="Y327" s="67"/>
      <c r="Z327" s="67"/>
      <c r="AA327" s="393">
        <f ca="1">+'Capex_FO input'!CP327</f>
        <v>0</v>
      </c>
      <c r="AB327" s="394">
        <f ca="1">+'Capex_FO input'!CQ327</f>
        <v>0</v>
      </c>
      <c r="AC327" s="394">
        <f ca="1">+'Capex_FO input'!CR327</f>
        <v>0</v>
      </c>
      <c r="AD327" s="394">
        <f ca="1">+'Capex_FO input'!CS327</f>
        <v>0</v>
      </c>
      <c r="AE327" s="1279">
        <f ca="1">+'Capex_FO input'!CT327</f>
        <v>0</v>
      </c>
      <c r="AF327" s="393">
        <f ca="1">+'Capex_FO input'!CU327</f>
        <v>0</v>
      </c>
      <c r="AG327" s="394">
        <f ca="1">+'Capex_FO input'!CV327</f>
        <v>0</v>
      </c>
      <c r="AH327" s="394">
        <f ca="1">+'Capex_FO input'!CW327</f>
        <v>0</v>
      </c>
      <c r="AI327" s="394">
        <f ca="1">+'Capex_FO input'!CX327</f>
        <v>0</v>
      </c>
      <c r="AJ327" s="395">
        <f ca="1">+'Capex_FO input'!CY327</f>
        <v>0</v>
      </c>
    </row>
    <row r="328" spans="3:36">
      <c r="C328" s="78">
        <f t="shared" si="23"/>
        <v>282</v>
      </c>
      <c r="D328" s="2124">
        <f>+'Capex_FO input'!C328</f>
        <v>0</v>
      </c>
      <c r="E328" s="2125"/>
      <c r="F328" s="2125"/>
      <c r="G328" s="2125"/>
      <c r="H328" s="2126"/>
      <c r="I328" s="643">
        <f>+'Capex_FO input'!N328</f>
        <v>0</v>
      </c>
      <c r="J328" s="67"/>
      <c r="K328" s="67"/>
      <c r="L328" s="67"/>
      <c r="M328" s="67"/>
      <c r="N328" s="138"/>
      <c r="O328" s="67"/>
      <c r="P328" s="67"/>
      <c r="Q328" s="67"/>
      <c r="R328" s="91"/>
      <c r="S328" s="138"/>
      <c r="T328" s="67"/>
      <c r="U328" s="91"/>
      <c r="V328" s="67"/>
      <c r="W328" s="67"/>
      <c r="X328" s="67"/>
      <c r="Y328" s="67"/>
      <c r="Z328" s="67"/>
      <c r="AA328" s="393">
        <f ca="1">+'Capex_FO input'!CP328</f>
        <v>0</v>
      </c>
      <c r="AB328" s="394">
        <f ca="1">+'Capex_FO input'!CQ328</f>
        <v>0</v>
      </c>
      <c r="AC328" s="394">
        <f ca="1">+'Capex_FO input'!CR328</f>
        <v>0</v>
      </c>
      <c r="AD328" s="394">
        <f ca="1">+'Capex_FO input'!CS328</f>
        <v>0</v>
      </c>
      <c r="AE328" s="1279">
        <f ca="1">+'Capex_FO input'!CT328</f>
        <v>0</v>
      </c>
      <c r="AF328" s="393">
        <f ca="1">+'Capex_FO input'!CU328</f>
        <v>0</v>
      </c>
      <c r="AG328" s="394">
        <f ca="1">+'Capex_FO input'!CV328</f>
        <v>0</v>
      </c>
      <c r="AH328" s="394">
        <f ca="1">+'Capex_FO input'!CW328</f>
        <v>0</v>
      </c>
      <c r="AI328" s="394">
        <f ca="1">+'Capex_FO input'!CX328</f>
        <v>0</v>
      </c>
      <c r="AJ328" s="395">
        <f ca="1">+'Capex_FO input'!CY328</f>
        <v>0</v>
      </c>
    </row>
    <row r="329" spans="3:36">
      <c r="C329" s="78">
        <f t="shared" si="23"/>
        <v>283</v>
      </c>
      <c r="D329" s="2124">
        <f>+'Capex_FO input'!C329</f>
        <v>0</v>
      </c>
      <c r="E329" s="2125"/>
      <c r="F329" s="2125"/>
      <c r="G329" s="2125"/>
      <c r="H329" s="2126"/>
      <c r="I329" s="643">
        <f>+'Capex_FO input'!N329</f>
        <v>0</v>
      </c>
      <c r="J329" s="67"/>
      <c r="K329" s="67"/>
      <c r="L329" s="67"/>
      <c r="M329" s="67"/>
      <c r="N329" s="138"/>
      <c r="O329" s="67"/>
      <c r="P329" s="67"/>
      <c r="Q329" s="67"/>
      <c r="R329" s="91"/>
      <c r="S329" s="138"/>
      <c r="T329" s="67"/>
      <c r="U329" s="91"/>
      <c r="V329" s="67"/>
      <c r="W329" s="67"/>
      <c r="X329" s="67"/>
      <c r="Y329" s="67"/>
      <c r="Z329" s="67"/>
      <c r="AA329" s="393">
        <f ca="1">+'Capex_FO input'!CP329</f>
        <v>0</v>
      </c>
      <c r="AB329" s="394">
        <f ca="1">+'Capex_FO input'!CQ329</f>
        <v>0</v>
      </c>
      <c r="AC329" s="394">
        <f ca="1">+'Capex_FO input'!CR329</f>
        <v>0</v>
      </c>
      <c r="AD329" s="394">
        <f ca="1">+'Capex_FO input'!CS329</f>
        <v>0</v>
      </c>
      <c r="AE329" s="1279">
        <f ca="1">+'Capex_FO input'!CT329</f>
        <v>0</v>
      </c>
      <c r="AF329" s="393">
        <f ca="1">+'Capex_FO input'!CU329</f>
        <v>0</v>
      </c>
      <c r="AG329" s="394">
        <f ca="1">+'Capex_FO input'!CV329</f>
        <v>0</v>
      </c>
      <c r="AH329" s="394">
        <f ca="1">+'Capex_FO input'!CW329</f>
        <v>0</v>
      </c>
      <c r="AI329" s="394">
        <f ca="1">+'Capex_FO input'!CX329</f>
        <v>0</v>
      </c>
      <c r="AJ329" s="395">
        <f ca="1">+'Capex_FO input'!CY329</f>
        <v>0</v>
      </c>
    </row>
    <row r="330" spans="3:36">
      <c r="C330" s="78">
        <f t="shared" si="23"/>
        <v>284</v>
      </c>
      <c r="D330" s="2124">
        <f>+'Capex_FO input'!C330</f>
        <v>0</v>
      </c>
      <c r="E330" s="2125"/>
      <c r="F330" s="2125"/>
      <c r="G330" s="2125"/>
      <c r="H330" s="2126"/>
      <c r="I330" s="643">
        <f>+'Capex_FO input'!N330</f>
        <v>0</v>
      </c>
      <c r="J330" s="67"/>
      <c r="K330" s="67"/>
      <c r="L330" s="67"/>
      <c r="M330" s="67"/>
      <c r="N330" s="138"/>
      <c r="O330" s="67"/>
      <c r="P330" s="67"/>
      <c r="Q330" s="67"/>
      <c r="R330" s="91"/>
      <c r="S330" s="138"/>
      <c r="T330" s="67"/>
      <c r="U330" s="91"/>
      <c r="V330" s="67"/>
      <c r="W330" s="67"/>
      <c r="X330" s="67"/>
      <c r="Y330" s="67"/>
      <c r="Z330" s="67"/>
      <c r="AA330" s="393">
        <f ca="1">+'Capex_FO input'!CP330</f>
        <v>0</v>
      </c>
      <c r="AB330" s="394">
        <f ca="1">+'Capex_FO input'!CQ330</f>
        <v>0</v>
      </c>
      <c r="AC330" s="394">
        <f ca="1">+'Capex_FO input'!CR330</f>
        <v>0</v>
      </c>
      <c r="AD330" s="394">
        <f ca="1">+'Capex_FO input'!CS330</f>
        <v>0</v>
      </c>
      <c r="AE330" s="1279">
        <f ca="1">+'Capex_FO input'!CT330</f>
        <v>0</v>
      </c>
      <c r="AF330" s="393">
        <f ca="1">+'Capex_FO input'!CU330</f>
        <v>0</v>
      </c>
      <c r="AG330" s="394">
        <f ca="1">+'Capex_FO input'!CV330</f>
        <v>0</v>
      </c>
      <c r="AH330" s="394">
        <f ca="1">+'Capex_FO input'!CW330</f>
        <v>0</v>
      </c>
      <c r="AI330" s="394">
        <f ca="1">+'Capex_FO input'!CX330</f>
        <v>0</v>
      </c>
      <c r="AJ330" s="395">
        <f ca="1">+'Capex_FO input'!CY330</f>
        <v>0</v>
      </c>
    </row>
    <row r="331" spans="3:36">
      <c r="C331" s="78">
        <f t="shared" si="23"/>
        <v>285</v>
      </c>
      <c r="D331" s="2124">
        <f>+'Capex_FO input'!C331</f>
        <v>0</v>
      </c>
      <c r="E331" s="2125"/>
      <c r="F331" s="2125"/>
      <c r="G331" s="2125"/>
      <c r="H331" s="2126"/>
      <c r="I331" s="643">
        <f>+'Capex_FO input'!N331</f>
        <v>0</v>
      </c>
      <c r="J331" s="67"/>
      <c r="K331" s="67"/>
      <c r="L331" s="67"/>
      <c r="M331" s="67"/>
      <c r="N331" s="138"/>
      <c r="O331" s="67"/>
      <c r="P331" s="67"/>
      <c r="Q331" s="67"/>
      <c r="R331" s="91"/>
      <c r="S331" s="138"/>
      <c r="T331" s="67"/>
      <c r="U331" s="91"/>
      <c r="V331" s="67"/>
      <c r="W331" s="67"/>
      <c r="X331" s="67"/>
      <c r="Y331" s="67"/>
      <c r="Z331" s="67"/>
      <c r="AA331" s="393">
        <f ca="1">+'Capex_FO input'!CP331</f>
        <v>0</v>
      </c>
      <c r="AB331" s="394">
        <f ca="1">+'Capex_FO input'!CQ331</f>
        <v>0</v>
      </c>
      <c r="AC331" s="394">
        <f ca="1">+'Capex_FO input'!CR331</f>
        <v>0</v>
      </c>
      <c r="AD331" s="394">
        <f ca="1">+'Capex_FO input'!CS331</f>
        <v>0</v>
      </c>
      <c r="AE331" s="1279">
        <f ca="1">+'Capex_FO input'!CT331</f>
        <v>0</v>
      </c>
      <c r="AF331" s="393">
        <f ca="1">+'Capex_FO input'!CU331</f>
        <v>0</v>
      </c>
      <c r="AG331" s="394">
        <f ca="1">+'Capex_FO input'!CV331</f>
        <v>0</v>
      </c>
      <c r="AH331" s="394">
        <f ca="1">+'Capex_FO input'!CW331</f>
        <v>0</v>
      </c>
      <c r="AI331" s="394">
        <f ca="1">+'Capex_FO input'!CX331</f>
        <v>0</v>
      </c>
      <c r="AJ331" s="395">
        <f ca="1">+'Capex_FO input'!CY331</f>
        <v>0</v>
      </c>
    </row>
    <row r="332" spans="3:36">
      <c r="C332" s="78">
        <f t="shared" si="23"/>
        <v>286</v>
      </c>
      <c r="D332" s="2124">
        <f>+'Capex_FO input'!C332</f>
        <v>0</v>
      </c>
      <c r="E332" s="2125"/>
      <c r="F332" s="2125"/>
      <c r="G332" s="2125"/>
      <c r="H332" s="2126"/>
      <c r="I332" s="643">
        <f>+'Capex_FO input'!N332</f>
        <v>0</v>
      </c>
      <c r="J332" s="67"/>
      <c r="K332" s="67"/>
      <c r="L332" s="67"/>
      <c r="M332" s="67"/>
      <c r="N332" s="138"/>
      <c r="O332" s="67"/>
      <c r="P332" s="67"/>
      <c r="Q332" s="67"/>
      <c r="R332" s="91"/>
      <c r="S332" s="138"/>
      <c r="T332" s="67"/>
      <c r="U332" s="91"/>
      <c r="V332" s="67"/>
      <c r="W332" s="67"/>
      <c r="X332" s="67"/>
      <c r="Y332" s="67"/>
      <c r="Z332" s="67"/>
      <c r="AA332" s="393">
        <f ca="1">+'Capex_FO input'!CP332</f>
        <v>0</v>
      </c>
      <c r="AB332" s="394">
        <f ca="1">+'Capex_FO input'!CQ332</f>
        <v>0</v>
      </c>
      <c r="AC332" s="394">
        <f ca="1">+'Capex_FO input'!CR332</f>
        <v>0</v>
      </c>
      <c r="AD332" s="394">
        <f ca="1">+'Capex_FO input'!CS332</f>
        <v>0</v>
      </c>
      <c r="AE332" s="1279">
        <f ca="1">+'Capex_FO input'!CT332</f>
        <v>0</v>
      </c>
      <c r="AF332" s="393">
        <f ca="1">+'Capex_FO input'!CU332</f>
        <v>0</v>
      </c>
      <c r="AG332" s="394">
        <f ca="1">+'Capex_FO input'!CV332</f>
        <v>0</v>
      </c>
      <c r="AH332" s="394">
        <f ca="1">+'Capex_FO input'!CW332</f>
        <v>0</v>
      </c>
      <c r="AI332" s="394">
        <f ca="1">+'Capex_FO input'!CX332</f>
        <v>0</v>
      </c>
      <c r="AJ332" s="395">
        <f ca="1">+'Capex_FO input'!CY332</f>
        <v>0</v>
      </c>
    </row>
    <row r="333" spans="3:36" ht="11.25" customHeight="1">
      <c r="C333" s="78">
        <f t="shared" si="23"/>
        <v>287</v>
      </c>
      <c r="D333" s="2124">
        <f>+'Capex_FO input'!C333</f>
        <v>0</v>
      </c>
      <c r="E333" s="2125"/>
      <c r="F333" s="2125"/>
      <c r="G333" s="2125"/>
      <c r="H333" s="2126"/>
      <c r="I333" s="643">
        <f>+'Capex_FO input'!N333</f>
        <v>0</v>
      </c>
      <c r="J333" s="67"/>
      <c r="K333" s="67"/>
      <c r="L333" s="67"/>
      <c r="M333" s="67"/>
      <c r="N333" s="138"/>
      <c r="O333" s="67"/>
      <c r="P333" s="67"/>
      <c r="Q333" s="67"/>
      <c r="R333" s="91"/>
      <c r="S333" s="138"/>
      <c r="T333" s="67"/>
      <c r="U333" s="91"/>
      <c r="V333" s="67"/>
      <c r="W333" s="67"/>
      <c r="X333" s="67"/>
      <c r="Y333" s="67"/>
      <c r="Z333" s="67"/>
      <c r="AA333" s="393">
        <f ca="1">+'Capex_FO input'!CP333</f>
        <v>0</v>
      </c>
      <c r="AB333" s="394">
        <f ca="1">+'Capex_FO input'!CQ333</f>
        <v>0</v>
      </c>
      <c r="AC333" s="394">
        <f ca="1">+'Capex_FO input'!CR333</f>
        <v>0</v>
      </c>
      <c r="AD333" s="394">
        <f ca="1">+'Capex_FO input'!CS333</f>
        <v>0</v>
      </c>
      <c r="AE333" s="1279">
        <f ca="1">+'Capex_FO input'!CT333</f>
        <v>0</v>
      </c>
      <c r="AF333" s="393">
        <f ca="1">+'Capex_FO input'!CU333</f>
        <v>0</v>
      </c>
      <c r="AG333" s="394">
        <f ca="1">+'Capex_FO input'!CV333</f>
        <v>0</v>
      </c>
      <c r="AH333" s="394">
        <f ca="1">+'Capex_FO input'!CW333</f>
        <v>0</v>
      </c>
      <c r="AI333" s="394">
        <f ca="1">+'Capex_FO input'!CX333</f>
        <v>0</v>
      </c>
      <c r="AJ333" s="395">
        <f ca="1">+'Capex_FO input'!CY333</f>
        <v>0</v>
      </c>
    </row>
    <row r="334" spans="3:36" ht="11.25" customHeight="1">
      <c r="C334" s="78">
        <f t="shared" si="23"/>
        <v>288</v>
      </c>
      <c r="D334" s="2124">
        <f>+'Capex_FO input'!C334</f>
        <v>0</v>
      </c>
      <c r="E334" s="2125"/>
      <c r="F334" s="2125"/>
      <c r="G334" s="2125"/>
      <c r="H334" s="2126"/>
      <c r="I334" s="643">
        <f>+'Capex_FO input'!N334</f>
        <v>0</v>
      </c>
      <c r="J334" s="67"/>
      <c r="K334" s="67"/>
      <c r="L334" s="67"/>
      <c r="M334" s="67"/>
      <c r="N334" s="138"/>
      <c r="O334" s="67"/>
      <c r="P334" s="67"/>
      <c r="Q334" s="67"/>
      <c r="R334" s="91"/>
      <c r="S334" s="138"/>
      <c r="T334" s="67"/>
      <c r="U334" s="91"/>
      <c r="V334" s="67"/>
      <c r="W334" s="67"/>
      <c r="X334" s="67"/>
      <c r="Y334" s="67"/>
      <c r="Z334" s="67"/>
      <c r="AA334" s="393">
        <f ca="1">+'Capex_FO input'!CP334</f>
        <v>0</v>
      </c>
      <c r="AB334" s="394">
        <f ca="1">+'Capex_FO input'!CQ334</f>
        <v>0</v>
      </c>
      <c r="AC334" s="394">
        <f ca="1">+'Capex_FO input'!CR334</f>
        <v>0</v>
      </c>
      <c r="AD334" s="394">
        <f ca="1">+'Capex_FO input'!CS334</f>
        <v>0</v>
      </c>
      <c r="AE334" s="1279">
        <f ca="1">+'Capex_FO input'!CT334</f>
        <v>0</v>
      </c>
      <c r="AF334" s="393">
        <f ca="1">+'Capex_FO input'!CU334</f>
        <v>0</v>
      </c>
      <c r="AG334" s="394">
        <f ca="1">+'Capex_FO input'!CV334</f>
        <v>0</v>
      </c>
      <c r="AH334" s="394">
        <f ca="1">+'Capex_FO input'!CW334</f>
        <v>0</v>
      </c>
      <c r="AI334" s="394">
        <f ca="1">+'Capex_FO input'!CX334</f>
        <v>0</v>
      </c>
      <c r="AJ334" s="395">
        <f ca="1">+'Capex_FO input'!CY334</f>
        <v>0</v>
      </c>
    </row>
    <row r="335" spans="3:36" ht="11.25" customHeight="1">
      <c r="C335" s="78">
        <f t="shared" si="23"/>
        <v>289</v>
      </c>
      <c r="D335" s="2124">
        <f>+'Capex_FO input'!C335</f>
        <v>0</v>
      </c>
      <c r="E335" s="2125"/>
      <c r="F335" s="2125"/>
      <c r="G335" s="2125"/>
      <c r="H335" s="2126"/>
      <c r="I335" s="643">
        <f>+'Capex_FO input'!N335</f>
        <v>0</v>
      </c>
      <c r="J335" s="67"/>
      <c r="K335" s="67"/>
      <c r="L335" s="67"/>
      <c r="M335" s="67"/>
      <c r="N335" s="138"/>
      <c r="O335" s="67"/>
      <c r="P335" s="67"/>
      <c r="Q335" s="67"/>
      <c r="R335" s="91"/>
      <c r="S335" s="138"/>
      <c r="T335" s="67"/>
      <c r="U335" s="91"/>
      <c r="V335" s="67"/>
      <c r="W335" s="67"/>
      <c r="X335" s="67"/>
      <c r="Y335" s="67"/>
      <c r="Z335" s="67"/>
      <c r="AA335" s="393">
        <f ca="1">+'Capex_FO input'!CP335</f>
        <v>0</v>
      </c>
      <c r="AB335" s="394">
        <f ca="1">+'Capex_FO input'!CQ335</f>
        <v>0</v>
      </c>
      <c r="AC335" s="394">
        <f ca="1">+'Capex_FO input'!CR335</f>
        <v>0</v>
      </c>
      <c r="AD335" s="394">
        <f ca="1">+'Capex_FO input'!CS335</f>
        <v>0</v>
      </c>
      <c r="AE335" s="1279">
        <f ca="1">+'Capex_FO input'!CT335</f>
        <v>0</v>
      </c>
      <c r="AF335" s="393">
        <f ca="1">+'Capex_FO input'!CU335</f>
        <v>0</v>
      </c>
      <c r="AG335" s="394">
        <f ca="1">+'Capex_FO input'!CV335</f>
        <v>0</v>
      </c>
      <c r="AH335" s="394">
        <f ca="1">+'Capex_FO input'!CW335</f>
        <v>0</v>
      </c>
      <c r="AI335" s="394">
        <f ca="1">+'Capex_FO input'!CX335</f>
        <v>0</v>
      </c>
      <c r="AJ335" s="395">
        <f ca="1">+'Capex_FO input'!CY335</f>
        <v>0</v>
      </c>
    </row>
    <row r="336" spans="3:36" ht="11.25" customHeight="1">
      <c r="C336" s="78">
        <f t="shared" si="23"/>
        <v>290</v>
      </c>
      <c r="D336" s="2124">
        <f>+'Capex_FO input'!C336</f>
        <v>0</v>
      </c>
      <c r="E336" s="2125"/>
      <c r="F336" s="2125"/>
      <c r="G336" s="2125"/>
      <c r="H336" s="2126"/>
      <c r="I336" s="643">
        <f>+'Capex_FO input'!N336</f>
        <v>0</v>
      </c>
      <c r="J336" s="67"/>
      <c r="K336" s="67"/>
      <c r="L336" s="67"/>
      <c r="M336" s="67"/>
      <c r="N336" s="138"/>
      <c r="O336" s="67"/>
      <c r="P336" s="67"/>
      <c r="Q336" s="67"/>
      <c r="R336" s="91"/>
      <c r="S336" s="138"/>
      <c r="T336" s="67"/>
      <c r="U336" s="91"/>
      <c r="V336" s="67"/>
      <c r="W336" s="67"/>
      <c r="X336" s="67"/>
      <c r="Y336" s="67"/>
      <c r="Z336" s="67"/>
      <c r="AA336" s="393">
        <f ca="1">+'Capex_FO input'!CP336</f>
        <v>0</v>
      </c>
      <c r="AB336" s="394">
        <f ca="1">+'Capex_FO input'!CQ336</f>
        <v>0</v>
      </c>
      <c r="AC336" s="394">
        <f ca="1">+'Capex_FO input'!CR336</f>
        <v>0</v>
      </c>
      <c r="AD336" s="394">
        <f ca="1">+'Capex_FO input'!CS336</f>
        <v>0</v>
      </c>
      <c r="AE336" s="1279">
        <f ca="1">+'Capex_FO input'!CT336</f>
        <v>0</v>
      </c>
      <c r="AF336" s="393">
        <f ca="1">+'Capex_FO input'!CU336</f>
        <v>0</v>
      </c>
      <c r="AG336" s="394">
        <f ca="1">+'Capex_FO input'!CV336</f>
        <v>0</v>
      </c>
      <c r="AH336" s="394">
        <f ca="1">+'Capex_FO input'!CW336</f>
        <v>0</v>
      </c>
      <c r="AI336" s="394">
        <f ca="1">+'Capex_FO input'!CX336</f>
        <v>0</v>
      </c>
      <c r="AJ336" s="395">
        <f ca="1">+'Capex_FO input'!CY336</f>
        <v>0</v>
      </c>
    </row>
    <row r="337" spans="3:36" ht="11.25" customHeight="1">
      <c r="C337" s="78">
        <f t="shared" si="23"/>
        <v>291</v>
      </c>
      <c r="D337" s="2124">
        <f>+'Capex_FO input'!C337</f>
        <v>0</v>
      </c>
      <c r="E337" s="2125"/>
      <c r="F337" s="2125"/>
      <c r="G337" s="2125"/>
      <c r="H337" s="2126"/>
      <c r="I337" s="643">
        <f>+'Capex_FO input'!N337</f>
        <v>0</v>
      </c>
      <c r="J337" s="67"/>
      <c r="K337" s="67"/>
      <c r="L337" s="67"/>
      <c r="M337" s="67"/>
      <c r="N337" s="138"/>
      <c r="O337" s="67"/>
      <c r="P337" s="67"/>
      <c r="Q337" s="67"/>
      <c r="R337" s="91"/>
      <c r="S337" s="138"/>
      <c r="T337" s="67"/>
      <c r="U337" s="91"/>
      <c r="V337" s="67"/>
      <c r="W337" s="67"/>
      <c r="X337" s="67"/>
      <c r="Y337" s="67"/>
      <c r="Z337" s="67"/>
      <c r="AA337" s="393">
        <f ca="1">+'Capex_FO input'!CP337</f>
        <v>0</v>
      </c>
      <c r="AB337" s="394">
        <f ca="1">+'Capex_FO input'!CQ337</f>
        <v>0</v>
      </c>
      <c r="AC337" s="394">
        <f ca="1">+'Capex_FO input'!CR337</f>
        <v>0</v>
      </c>
      <c r="AD337" s="394">
        <f ca="1">+'Capex_FO input'!CS337</f>
        <v>0</v>
      </c>
      <c r="AE337" s="1279">
        <f ca="1">+'Capex_FO input'!CT337</f>
        <v>0</v>
      </c>
      <c r="AF337" s="393">
        <f ca="1">+'Capex_FO input'!CU337</f>
        <v>0</v>
      </c>
      <c r="AG337" s="394">
        <f ca="1">+'Capex_FO input'!CV337</f>
        <v>0</v>
      </c>
      <c r="AH337" s="394">
        <f ca="1">+'Capex_FO input'!CW337</f>
        <v>0</v>
      </c>
      <c r="AI337" s="394">
        <f ca="1">+'Capex_FO input'!CX337</f>
        <v>0</v>
      </c>
      <c r="AJ337" s="395">
        <f ca="1">+'Capex_FO input'!CY337</f>
        <v>0</v>
      </c>
    </row>
    <row r="338" spans="3:36" ht="11.25" customHeight="1">
      <c r="C338" s="78">
        <f t="shared" si="23"/>
        <v>292</v>
      </c>
      <c r="D338" s="2124">
        <f>+'Capex_FO input'!C338</f>
        <v>0</v>
      </c>
      <c r="E338" s="2125"/>
      <c r="F338" s="2125"/>
      <c r="G338" s="2125"/>
      <c r="H338" s="2126"/>
      <c r="I338" s="643">
        <f>+'Capex_FO input'!N338</f>
        <v>0</v>
      </c>
      <c r="J338" s="67"/>
      <c r="K338" s="67"/>
      <c r="L338" s="67"/>
      <c r="M338" s="67"/>
      <c r="N338" s="138"/>
      <c r="O338" s="67"/>
      <c r="P338" s="67"/>
      <c r="Q338" s="67"/>
      <c r="R338" s="91"/>
      <c r="S338" s="138"/>
      <c r="T338" s="67"/>
      <c r="U338" s="91"/>
      <c r="V338" s="67"/>
      <c r="W338" s="67"/>
      <c r="X338" s="67"/>
      <c r="Y338" s="67"/>
      <c r="Z338" s="67"/>
      <c r="AA338" s="393">
        <f ca="1">+'Capex_FO input'!CP338</f>
        <v>0</v>
      </c>
      <c r="AB338" s="394">
        <f ca="1">+'Capex_FO input'!CQ338</f>
        <v>0</v>
      </c>
      <c r="AC338" s="394">
        <f ca="1">+'Capex_FO input'!CR338</f>
        <v>0</v>
      </c>
      <c r="AD338" s="394">
        <f ca="1">+'Capex_FO input'!CS338</f>
        <v>0</v>
      </c>
      <c r="AE338" s="1279">
        <f ca="1">+'Capex_FO input'!CT338</f>
        <v>0</v>
      </c>
      <c r="AF338" s="393">
        <f ca="1">+'Capex_FO input'!CU338</f>
        <v>0</v>
      </c>
      <c r="AG338" s="394">
        <f ca="1">+'Capex_FO input'!CV338</f>
        <v>0</v>
      </c>
      <c r="AH338" s="394">
        <f ca="1">+'Capex_FO input'!CW338</f>
        <v>0</v>
      </c>
      <c r="AI338" s="394">
        <f ca="1">+'Capex_FO input'!CX338</f>
        <v>0</v>
      </c>
      <c r="AJ338" s="395">
        <f ca="1">+'Capex_FO input'!CY338</f>
        <v>0</v>
      </c>
    </row>
    <row r="339" spans="3:36" ht="11.25" customHeight="1">
      <c r="C339" s="78">
        <f t="shared" si="23"/>
        <v>293</v>
      </c>
      <c r="D339" s="2124">
        <f>+'Capex_FO input'!C339</f>
        <v>0</v>
      </c>
      <c r="E339" s="2125"/>
      <c r="F339" s="2125"/>
      <c r="G339" s="2125"/>
      <c r="H339" s="2126"/>
      <c r="I339" s="643">
        <f>+'Capex_FO input'!N339</f>
        <v>0</v>
      </c>
      <c r="J339" s="67"/>
      <c r="K339" s="67"/>
      <c r="L339" s="67"/>
      <c r="M339" s="67"/>
      <c r="N339" s="138"/>
      <c r="O339" s="67"/>
      <c r="P339" s="67"/>
      <c r="Q339" s="67"/>
      <c r="R339" s="91"/>
      <c r="S339" s="138"/>
      <c r="T339" s="67"/>
      <c r="U339" s="91"/>
      <c r="V339" s="67"/>
      <c r="W339" s="67"/>
      <c r="X339" s="67"/>
      <c r="Y339" s="67"/>
      <c r="Z339" s="67"/>
      <c r="AA339" s="393">
        <f ca="1">+'Capex_FO input'!CP339</f>
        <v>0</v>
      </c>
      <c r="AB339" s="394">
        <f ca="1">+'Capex_FO input'!CQ339</f>
        <v>0</v>
      </c>
      <c r="AC339" s="394">
        <f ca="1">+'Capex_FO input'!CR339</f>
        <v>0</v>
      </c>
      <c r="AD339" s="394">
        <f ca="1">+'Capex_FO input'!CS339</f>
        <v>0</v>
      </c>
      <c r="AE339" s="1279">
        <f ca="1">+'Capex_FO input'!CT339</f>
        <v>0</v>
      </c>
      <c r="AF339" s="393">
        <f ca="1">+'Capex_FO input'!CU339</f>
        <v>0</v>
      </c>
      <c r="AG339" s="394">
        <f ca="1">+'Capex_FO input'!CV339</f>
        <v>0</v>
      </c>
      <c r="AH339" s="394">
        <f ca="1">+'Capex_FO input'!CW339</f>
        <v>0</v>
      </c>
      <c r="AI339" s="394">
        <f ca="1">+'Capex_FO input'!CX339</f>
        <v>0</v>
      </c>
      <c r="AJ339" s="395">
        <f ca="1">+'Capex_FO input'!CY339</f>
        <v>0</v>
      </c>
    </row>
    <row r="340" spans="3:36" ht="11.25" customHeight="1">
      <c r="C340" s="78">
        <f t="shared" si="23"/>
        <v>294</v>
      </c>
      <c r="D340" s="2124">
        <f>+'Capex_FO input'!C340</f>
        <v>0</v>
      </c>
      <c r="E340" s="2125"/>
      <c r="F340" s="2125"/>
      <c r="G340" s="2125"/>
      <c r="H340" s="2126"/>
      <c r="I340" s="643">
        <f>+'Capex_FO input'!N340</f>
        <v>0</v>
      </c>
      <c r="J340" s="67"/>
      <c r="K340" s="67"/>
      <c r="L340" s="67"/>
      <c r="M340" s="67"/>
      <c r="N340" s="138"/>
      <c r="O340" s="67"/>
      <c r="P340" s="67"/>
      <c r="Q340" s="67"/>
      <c r="R340" s="91"/>
      <c r="S340" s="138"/>
      <c r="T340" s="67"/>
      <c r="U340" s="91"/>
      <c r="V340" s="67"/>
      <c r="W340" s="67"/>
      <c r="X340" s="67"/>
      <c r="Y340" s="67"/>
      <c r="Z340" s="67"/>
      <c r="AA340" s="393">
        <f ca="1">+'Capex_FO input'!CP340</f>
        <v>0</v>
      </c>
      <c r="AB340" s="394">
        <f ca="1">+'Capex_FO input'!CQ340</f>
        <v>0</v>
      </c>
      <c r="AC340" s="394">
        <f ca="1">+'Capex_FO input'!CR340</f>
        <v>0</v>
      </c>
      <c r="AD340" s="394">
        <f ca="1">+'Capex_FO input'!CS340</f>
        <v>0</v>
      </c>
      <c r="AE340" s="1279">
        <f ca="1">+'Capex_FO input'!CT340</f>
        <v>0</v>
      </c>
      <c r="AF340" s="393">
        <f ca="1">+'Capex_FO input'!CU340</f>
        <v>0</v>
      </c>
      <c r="AG340" s="394">
        <f ca="1">+'Capex_FO input'!CV340</f>
        <v>0</v>
      </c>
      <c r="AH340" s="394">
        <f ca="1">+'Capex_FO input'!CW340</f>
        <v>0</v>
      </c>
      <c r="AI340" s="394">
        <f ca="1">+'Capex_FO input'!CX340</f>
        <v>0</v>
      </c>
      <c r="AJ340" s="395">
        <f ca="1">+'Capex_FO input'!CY340</f>
        <v>0</v>
      </c>
    </row>
    <row r="341" spans="3:36" ht="11.25" customHeight="1">
      <c r="C341" s="78">
        <f t="shared" si="23"/>
        <v>295</v>
      </c>
      <c r="D341" s="2124">
        <f>+'Capex_FO input'!C341</f>
        <v>0</v>
      </c>
      <c r="E341" s="2125"/>
      <c r="F341" s="2125"/>
      <c r="G341" s="2125"/>
      <c r="H341" s="2126"/>
      <c r="I341" s="643">
        <f>+'Capex_FO input'!N341</f>
        <v>0</v>
      </c>
      <c r="J341" s="67"/>
      <c r="K341" s="67"/>
      <c r="L341" s="67"/>
      <c r="M341" s="67"/>
      <c r="N341" s="138"/>
      <c r="O341" s="67"/>
      <c r="P341" s="67"/>
      <c r="Q341" s="67"/>
      <c r="R341" s="91"/>
      <c r="S341" s="138"/>
      <c r="T341" s="67"/>
      <c r="U341" s="91"/>
      <c r="V341" s="67"/>
      <c r="W341" s="67"/>
      <c r="X341" s="67"/>
      <c r="Y341" s="67"/>
      <c r="Z341" s="67"/>
      <c r="AA341" s="393">
        <f ca="1">+'Capex_FO input'!CP341</f>
        <v>0</v>
      </c>
      <c r="AB341" s="394">
        <f ca="1">+'Capex_FO input'!CQ341</f>
        <v>0</v>
      </c>
      <c r="AC341" s="394">
        <f ca="1">+'Capex_FO input'!CR341</f>
        <v>0</v>
      </c>
      <c r="AD341" s="394">
        <f ca="1">+'Capex_FO input'!CS341</f>
        <v>0</v>
      </c>
      <c r="AE341" s="1279">
        <f ca="1">+'Capex_FO input'!CT341</f>
        <v>0</v>
      </c>
      <c r="AF341" s="393">
        <f ca="1">+'Capex_FO input'!CU341</f>
        <v>0</v>
      </c>
      <c r="AG341" s="394">
        <f ca="1">+'Capex_FO input'!CV341</f>
        <v>0</v>
      </c>
      <c r="AH341" s="394">
        <f ca="1">+'Capex_FO input'!CW341</f>
        <v>0</v>
      </c>
      <c r="AI341" s="394">
        <f ca="1">+'Capex_FO input'!CX341</f>
        <v>0</v>
      </c>
      <c r="AJ341" s="395">
        <f ca="1">+'Capex_FO input'!CY341</f>
        <v>0</v>
      </c>
    </row>
    <row r="342" spans="3:36" ht="11.25" customHeight="1">
      <c r="C342" s="78">
        <f t="shared" si="23"/>
        <v>296</v>
      </c>
      <c r="D342" s="2124">
        <f>+'Capex_FO input'!C342</f>
        <v>0</v>
      </c>
      <c r="E342" s="2125"/>
      <c r="F342" s="2125"/>
      <c r="G342" s="2125"/>
      <c r="H342" s="2126"/>
      <c r="I342" s="643">
        <f>+'Capex_FO input'!N342</f>
        <v>0</v>
      </c>
      <c r="J342" s="67"/>
      <c r="K342" s="67"/>
      <c r="L342" s="67"/>
      <c r="M342" s="67"/>
      <c r="N342" s="138"/>
      <c r="O342" s="67"/>
      <c r="P342" s="67"/>
      <c r="Q342" s="67"/>
      <c r="R342" s="91"/>
      <c r="S342" s="138"/>
      <c r="T342" s="67"/>
      <c r="U342" s="91"/>
      <c r="V342" s="67"/>
      <c r="W342" s="67"/>
      <c r="X342" s="67"/>
      <c r="Y342" s="67"/>
      <c r="Z342" s="67"/>
      <c r="AA342" s="393">
        <f ca="1">+'Capex_FO input'!CP342</f>
        <v>0</v>
      </c>
      <c r="AB342" s="394">
        <f ca="1">+'Capex_FO input'!CQ342</f>
        <v>0</v>
      </c>
      <c r="AC342" s="394">
        <f ca="1">+'Capex_FO input'!CR342</f>
        <v>0</v>
      </c>
      <c r="AD342" s="394">
        <f ca="1">+'Capex_FO input'!CS342</f>
        <v>0</v>
      </c>
      <c r="AE342" s="1279">
        <f ca="1">+'Capex_FO input'!CT342</f>
        <v>0</v>
      </c>
      <c r="AF342" s="393">
        <f ca="1">+'Capex_FO input'!CU342</f>
        <v>0</v>
      </c>
      <c r="AG342" s="394">
        <f ca="1">+'Capex_FO input'!CV342</f>
        <v>0</v>
      </c>
      <c r="AH342" s="394">
        <f ca="1">+'Capex_FO input'!CW342</f>
        <v>0</v>
      </c>
      <c r="AI342" s="394">
        <f ca="1">+'Capex_FO input'!CX342</f>
        <v>0</v>
      </c>
      <c r="AJ342" s="395">
        <f ca="1">+'Capex_FO input'!CY342</f>
        <v>0</v>
      </c>
    </row>
    <row r="343" spans="3:36">
      <c r="C343" s="78">
        <f t="shared" si="23"/>
        <v>297</v>
      </c>
      <c r="D343" s="2124">
        <f>+'Capex_FO input'!C343</f>
        <v>0</v>
      </c>
      <c r="E343" s="2125"/>
      <c r="F343" s="2125"/>
      <c r="G343" s="2125"/>
      <c r="H343" s="2126"/>
      <c r="I343" s="643">
        <f>+'Capex_FO input'!N343</f>
        <v>0</v>
      </c>
      <c r="J343" s="67"/>
      <c r="K343" s="67"/>
      <c r="L343" s="67"/>
      <c r="M343" s="67"/>
      <c r="N343" s="138"/>
      <c r="O343" s="67"/>
      <c r="P343" s="67"/>
      <c r="Q343" s="67"/>
      <c r="R343" s="91"/>
      <c r="S343" s="138"/>
      <c r="T343" s="67"/>
      <c r="U343" s="91"/>
      <c r="V343" s="67"/>
      <c r="W343" s="67"/>
      <c r="X343" s="67"/>
      <c r="Y343" s="67"/>
      <c r="Z343" s="67"/>
      <c r="AA343" s="393">
        <f ca="1">+'Capex_FO input'!CP343</f>
        <v>0</v>
      </c>
      <c r="AB343" s="394">
        <f ca="1">+'Capex_FO input'!CQ343</f>
        <v>0</v>
      </c>
      <c r="AC343" s="394">
        <f ca="1">+'Capex_FO input'!CR343</f>
        <v>0</v>
      </c>
      <c r="AD343" s="394">
        <f ca="1">+'Capex_FO input'!CS343</f>
        <v>0</v>
      </c>
      <c r="AE343" s="1279">
        <f ca="1">+'Capex_FO input'!CT343</f>
        <v>0</v>
      </c>
      <c r="AF343" s="393">
        <f ca="1">+'Capex_FO input'!CU343</f>
        <v>0</v>
      </c>
      <c r="AG343" s="394">
        <f ca="1">+'Capex_FO input'!CV343</f>
        <v>0</v>
      </c>
      <c r="AH343" s="394">
        <f ca="1">+'Capex_FO input'!CW343</f>
        <v>0</v>
      </c>
      <c r="AI343" s="394">
        <f ca="1">+'Capex_FO input'!CX343</f>
        <v>0</v>
      </c>
      <c r="AJ343" s="395">
        <f ca="1">+'Capex_FO input'!CY343</f>
        <v>0</v>
      </c>
    </row>
    <row r="344" spans="3:36">
      <c r="C344" s="78">
        <f t="shared" si="23"/>
        <v>298</v>
      </c>
      <c r="D344" s="2124">
        <f>+'Capex_FO input'!C344</f>
        <v>0</v>
      </c>
      <c r="E344" s="2125"/>
      <c r="F344" s="2125"/>
      <c r="G344" s="2125"/>
      <c r="H344" s="2126"/>
      <c r="I344" s="643">
        <f>+'Capex_FO input'!N344</f>
        <v>0</v>
      </c>
      <c r="J344" s="67"/>
      <c r="K344" s="67"/>
      <c r="L344" s="67"/>
      <c r="M344" s="67"/>
      <c r="N344" s="138"/>
      <c r="O344" s="67"/>
      <c r="P344" s="67"/>
      <c r="Q344" s="67"/>
      <c r="R344" s="91"/>
      <c r="S344" s="138"/>
      <c r="T344" s="67"/>
      <c r="U344" s="91"/>
      <c r="V344" s="67"/>
      <c r="W344" s="67"/>
      <c r="X344" s="67"/>
      <c r="Y344" s="67"/>
      <c r="Z344" s="67"/>
      <c r="AA344" s="393">
        <f ca="1">+'Capex_FO input'!CP344</f>
        <v>0</v>
      </c>
      <c r="AB344" s="394">
        <f ca="1">+'Capex_FO input'!CQ344</f>
        <v>0</v>
      </c>
      <c r="AC344" s="394">
        <f ca="1">+'Capex_FO input'!CR344</f>
        <v>0</v>
      </c>
      <c r="AD344" s="394">
        <f ca="1">+'Capex_FO input'!CS344</f>
        <v>0</v>
      </c>
      <c r="AE344" s="1279">
        <f ca="1">+'Capex_FO input'!CT344</f>
        <v>0</v>
      </c>
      <c r="AF344" s="393">
        <f ca="1">+'Capex_FO input'!CU344</f>
        <v>0</v>
      </c>
      <c r="AG344" s="394">
        <f ca="1">+'Capex_FO input'!CV344</f>
        <v>0</v>
      </c>
      <c r="AH344" s="394">
        <f ca="1">+'Capex_FO input'!CW344</f>
        <v>0</v>
      </c>
      <c r="AI344" s="394">
        <f ca="1">+'Capex_FO input'!CX344</f>
        <v>0</v>
      </c>
      <c r="AJ344" s="395">
        <f ca="1">+'Capex_FO input'!CY344</f>
        <v>0</v>
      </c>
    </row>
    <row r="345" spans="3:36">
      <c r="C345" s="78">
        <f t="shared" si="23"/>
        <v>299</v>
      </c>
      <c r="D345" s="2124">
        <f>+'Capex_FO input'!C345</f>
        <v>0</v>
      </c>
      <c r="E345" s="2125"/>
      <c r="F345" s="2125"/>
      <c r="G345" s="2125"/>
      <c r="H345" s="2126"/>
      <c r="I345" s="643">
        <f>+'Capex_FO input'!N345</f>
        <v>0</v>
      </c>
      <c r="J345" s="67"/>
      <c r="K345" s="67"/>
      <c r="L345" s="67"/>
      <c r="M345" s="67"/>
      <c r="N345" s="138"/>
      <c r="O345" s="67"/>
      <c r="P345" s="67"/>
      <c r="Q345" s="67"/>
      <c r="R345" s="91"/>
      <c r="S345" s="138"/>
      <c r="T345" s="67"/>
      <c r="U345" s="91"/>
      <c r="V345" s="67"/>
      <c r="W345" s="67"/>
      <c r="X345" s="67"/>
      <c r="Y345" s="67"/>
      <c r="Z345" s="67"/>
      <c r="AA345" s="393">
        <f ca="1">+'Capex_FO input'!CP345</f>
        <v>0</v>
      </c>
      <c r="AB345" s="394">
        <f ca="1">+'Capex_FO input'!CQ345</f>
        <v>0</v>
      </c>
      <c r="AC345" s="394">
        <f ca="1">+'Capex_FO input'!CR345</f>
        <v>0</v>
      </c>
      <c r="AD345" s="394">
        <f ca="1">+'Capex_FO input'!CS345</f>
        <v>0</v>
      </c>
      <c r="AE345" s="1279">
        <f ca="1">+'Capex_FO input'!CT345</f>
        <v>0</v>
      </c>
      <c r="AF345" s="393">
        <f ca="1">+'Capex_FO input'!CU345</f>
        <v>0</v>
      </c>
      <c r="AG345" s="394">
        <f ca="1">+'Capex_FO input'!CV345</f>
        <v>0</v>
      </c>
      <c r="AH345" s="394">
        <f ca="1">+'Capex_FO input'!CW345</f>
        <v>0</v>
      </c>
      <c r="AI345" s="394">
        <f ca="1">+'Capex_FO input'!CX345</f>
        <v>0</v>
      </c>
      <c r="AJ345" s="395">
        <f ca="1">+'Capex_FO input'!CY345</f>
        <v>0</v>
      </c>
    </row>
    <row r="346" spans="3:36">
      <c r="C346" s="78">
        <f t="shared" si="23"/>
        <v>300</v>
      </c>
      <c r="D346" s="2124">
        <f>+'Capex_FO input'!C346</f>
        <v>0</v>
      </c>
      <c r="E346" s="2125"/>
      <c r="F346" s="2125"/>
      <c r="G346" s="2125"/>
      <c r="H346" s="2126"/>
      <c r="I346" s="643">
        <f>+'Capex_FO input'!N346</f>
        <v>0</v>
      </c>
      <c r="J346" s="67"/>
      <c r="K346" s="67"/>
      <c r="L346" s="67"/>
      <c r="M346" s="67"/>
      <c r="N346" s="138"/>
      <c r="O346" s="67"/>
      <c r="P346" s="67"/>
      <c r="Q346" s="67"/>
      <c r="R346" s="91"/>
      <c r="S346" s="138"/>
      <c r="T346" s="67"/>
      <c r="U346" s="91"/>
      <c r="V346" s="67"/>
      <c r="W346" s="67"/>
      <c r="X346" s="67"/>
      <c r="Y346" s="67"/>
      <c r="Z346" s="67"/>
      <c r="AA346" s="393">
        <f ca="1">+'Capex_FO input'!CP346</f>
        <v>0</v>
      </c>
      <c r="AB346" s="394">
        <f ca="1">+'Capex_FO input'!CQ346</f>
        <v>0</v>
      </c>
      <c r="AC346" s="394">
        <f ca="1">+'Capex_FO input'!CR346</f>
        <v>0</v>
      </c>
      <c r="AD346" s="394">
        <f ca="1">+'Capex_FO input'!CS346</f>
        <v>0</v>
      </c>
      <c r="AE346" s="1279">
        <f ca="1">+'Capex_FO input'!CT346</f>
        <v>0</v>
      </c>
      <c r="AF346" s="393">
        <f ca="1">+'Capex_FO input'!CU346</f>
        <v>0</v>
      </c>
      <c r="AG346" s="394">
        <f ca="1">+'Capex_FO input'!CV346</f>
        <v>0</v>
      </c>
      <c r="AH346" s="394">
        <f ca="1">+'Capex_FO input'!CW346</f>
        <v>0</v>
      </c>
      <c r="AI346" s="394">
        <f ca="1">+'Capex_FO input'!CX346</f>
        <v>0</v>
      </c>
      <c r="AJ346" s="395">
        <f ca="1">+'Capex_FO input'!CY346</f>
        <v>0</v>
      </c>
    </row>
    <row r="347" spans="3:36">
      <c r="C347" s="78">
        <f t="shared" si="23"/>
        <v>301</v>
      </c>
      <c r="D347" s="2124">
        <f>+'Capex_FO input'!C347</f>
        <v>0</v>
      </c>
      <c r="E347" s="2125"/>
      <c r="F347" s="2125"/>
      <c r="G347" s="2125"/>
      <c r="H347" s="2126"/>
      <c r="I347" s="643">
        <f>+'Capex_FO input'!N347</f>
        <v>0</v>
      </c>
      <c r="J347" s="67"/>
      <c r="K347" s="67"/>
      <c r="L347" s="67"/>
      <c r="M347" s="67"/>
      <c r="N347" s="138"/>
      <c r="O347" s="67"/>
      <c r="P347" s="67"/>
      <c r="Q347" s="67"/>
      <c r="R347" s="91"/>
      <c r="S347" s="138"/>
      <c r="T347" s="67"/>
      <c r="U347" s="91"/>
      <c r="V347" s="67"/>
      <c r="W347" s="67"/>
      <c r="X347" s="67"/>
      <c r="Y347" s="67"/>
      <c r="Z347" s="67"/>
      <c r="AA347" s="393">
        <f ca="1">+'Capex_FO input'!CP347</f>
        <v>0</v>
      </c>
      <c r="AB347" s="394">
        <f ca="1">+'Capex_FO input'!CQ347</f>
        <v>0</v>
      </c>
      <c r="AC347" s="394">
        <f ca="1">+'Capex_FO input'!CR347</f>
        <v>0</v>
      </c>
      <c r="AD347" s="394">
        <f ca="1">+'Capex_FO input'!CS347</f>
        <v>0</v>
      </c>
      <c r="AE347" s="1279">
        <f ca="1">+'Capex_FO input'!CT347</f>
        <v>0</v>
      </c>
      <c r="AF347" s="393">
        <f ca="1">+'Capex_FO input'!CU347</f>
        <v>0</v>
      </c>
      <c r="AG347" s="394">
        <f ca="1">+'Capex_FO input'!CV347</f>
        <v>0</v>
      </c>
      <c r="AH347" s="394">
        <f ca="1">+'Capex_FO input'!CW347</f>
        <v>0</v>
      </c>
      <c r="AI347" s="394">
        <f ca="1">+'Capex_FO input'!CX347</f>
        <v>0</v>
      </c>
      <c r="AJ347" s="395">
        <f ca="1">+'Capex_FO input'!CY347</f>
        <v>0</v>
      </c>
    </row>
    <row r="348" spans="3:36">
      <c r="C348" s="78">
        <f t="shared" si="23"/>
        <v>302</v>
      </c>
      <c r="D348" s="2124">
        <f>+'Capex_FO input'!C348</f>
        <v>0</v>
      </c>
      <c r="E348" s="2125"/>
      <c r="F348" s="2125"/>
      <c r="G348" s="2125"/>
      <c r="H348" s="2126"/>
      <c r="I348" s="643">
        <f>+'Capex_FO input'!N348</f>
        <v>0</v>
      </c>
      <c r="J348" s="67"/>
      <c r="K348" s="67"/>
      <c r="L348" s="67"/>
      <c r="M348" s="67"/>
      <c r="N348" s="138"/>
      <c r="O348" s="67"/>
      <c r="P348" s="67"/>
      <c r="Q348" s="67"/>
      <c r="R348" s="91"/>
      <c r="S348" s="138"/>
      <c r="T348" s="67"/>
      <c r="U348" s="91"/>
      <c r="V348" s="67"/>
      <c r="W348" s="67"/>
      <c r="X348" s="67"/>
      <c r="Y348" s="67"/>
      <c r="Z348" s="67"/>
      <c r="AA348" s="393">
        <f ca="1">+'Capex_FO input'!CP348</f>
        <v>0</v>
      </c>
      <c r="AB348" s="394">
        <f ca="1">+'Capex_FO input'!CQ348</f>
        <v>0</v>
      </c>
      <c r="AC348" s="394">
        <f ca="1">+'Capex_FO input'!CR348</f>
        <v>0</v>
      </c>
      <c r="AD348" s="394">
        <f ca="1">+'Capex_FO input'!CS348</f>
        <v>0</v>
      </c>
      <c r="AE348" s="1279">
        <f ca="1">+'Capex_FO input'!CT348</f>
        <v>0</v>
      </c>
      <c r="AF348" s="393">
        <f ca="1">+'Capex_FO input'!CU348</f>
        <v>0</v>
      </c>
      <c r="AG348" s="394">
        <f ca="1">+'Capex_FO input'!CV348</f>
        <v>0</v>
      </c>
      <c r="AH348" s="394">
        <f ca="1">+'Capex_FO input'!CW348</f>
        <v>0</v>
      </c>
      <c r="AI348" s="394">
        <f ca="1">+'Capex_FO input'!CX348</f>
        <v>0</v>
      </c>
      <c r="AJ348" s="395">
        <f ca="1">+'Capex_FO input'!CY348</f>
        <v>0</v>
      </c>
    </row>
    <row r="349" spans="3:36">
      <c r="C349" s="78">
        <f t="shared" si="23"/>
        <v>303</v>
      </c>
      <c r="D349" s="2124">
        <f>+'Capex_FO input'!C349</f>
        <v>0</v>
      </c>
      <c r="E349" s="2125"/>
      <c r="F349" s="2125"/>
      <c r="G349" s="2125"/>
      <c r="H349" s="2126"/>
      <c r="I349" s="643">
        <f>+'Capex_FO input'!N349</f>
        <v>0</v>
      </c>
      <c r="J349" s="67"/>
      <c r="K349" s="67"/>
      <c r="L349" s="67"/>
      <c r="M349" s="67"/>
      <c r="N349" s="138"/>
      <c r="O349" s="67"/>
      <c r="P349" s="67"/>
      <c r="Q349" s="67"/>
      <c r="R349" s="91"/>
      <c r="S349" s="138"/>
      <c r="T349" s="67"/>
      <c r="U349" s="91"/>
      <c r="V349" s="67"/>
      <c r="W349" s="67"/>
      <c r="X349" s="67"/>
      <c r="Y349" s="67"/>
      <c r="Z349" s="67"/>
      <c r="AA349" s="393">
        <f ca="1">+'Capex_FO input'!CP349</f>
        <v>0</v>
      </c>
      <c r="AB349" s="394">
        <f ca="1">+'Capex_FO input'!CQ349</f>
        <v>0</v>
      </c>
      <c r="AC349" s="394">
        <f ca="1">+'Capex_FO input'!CR349</f>
        <v>0</v>
      </c>
      <c r="AD349" s="394">
        <f ca="1">+'Capex_FO input'!CS349</f>
        <v>0</v>
      </c>
      <c r="AE349" s="1279">
        <f ca="1">+'Capex_FO input'!CT349</f>
        <v>0</v>
      </c>
      <c r="AF349" s="393">
        <f ca="1">+'Capex_FO input'!CU349</f>
        <v>0</v>
      </c>
      <c r="AG349" s="394">
        <f ca="1">+'Capex_FO input'!CV349</f>
        <v>0</v>
      </c>
      <c r="AH349" s="394">
        <f ca="1">+'Capex_FO input'!CW349</f>
        <v>0</v>
      </c>
      <c r="AI349" s="394">
        <f ca="1">+'Capex_FO input'!CX349</f>
        <v>0</v>
      </c>
      <c r="AJ349" s="395">
        <f ca="1">+'Capex_FO input'!CY349</f>
        <v>0</v>
      </c>
    </row>
    <row r="350" spans="3:36" ht="11.25" customHeight="1">
      <c r="C350" s="78">
        <f t="shared" si="23"/>
        <v>304</v>
      </c>
      <c r="D350" s="2124">
        <f>+'Capex_FO input'!C350</f>
        <v>0</v>
      </c>
      <c r="E350" s="2125"/>
      <c r="F350" s="2125"/>
      <c r="G350" s="2125"/>
      <c r="H350" s="2126"/>
      <c r="I350" s="643">
        <f>+'Capex_FO input'!N350</f>
        <v>0</v>
      </c>
      <c r="J350" s="67"/>
      <c r="K350" s="67"/>
      <c r="L350" s="67"/>
      <c r="M350" s="67"/>
      <c r="N350" s="138"/>
      <c r="O350" s="67"/>
      <c r="P350" s="67"/>
      <c r="Q350" s="67"/>
      <c r="R350" s="91"/>
      <c r="S350" s="138"/>
      <c r="T350" s="67"/>
      <c r="U350" s="91"/>
      <c r="V350" s="67"/>
      <c r="W350" s="67"/>
      <c r="X350" s="67"/>
      <c r="Y350" s="67"/>
      <c r="Z350" s="67"/>
      <c r="AA350" s="393">
        <f ca="1">+'Capex_FO input'!CP350</f>
        <v>0</v>
      </c>
      <c r="AB350" s="394">
        <f ca="1">+'Capex_FO input'!CQ350</f>
        <v>0</v>
      </c>
      <c r="AC350" s="394">
        <f ca="1">+'Capex_FO input'!CR350</f>
        <v>0</v>
      </c>
      <c r="AD350" s="394">
        <f ca="1">+'Capex_FO input'!CS350</f>
        <v>0</v>
      </c>
      <c r="AE350" s="1279">
        <f ca="1">+'Capex_FO input'!CT350</f>
        <v>0</v>
      </c>
      <c r="AF350" s="393">
        <f ca="1">+'Capex_FO input'!CU350</f>
        <v>0</v>
      </c>
      <c r="AG350" s="394">
        <f ca="1">+'Capex_FO input'!CV350</f>
        <v>0</v>
      </c>
      <c r="AH350" s="394">
        <f ca="1">+'Capex_FO input'!CW350</f>
        <v>0</v>
      </c>
      <c r="AI350" s="394">
        <f ca="1">+'Capex_FO input'!CX350</f>
        <v>0</v>
      </c>
      <c r="AJ350" s="395">
        <f ca="1">+'Capex_FO input'!CY350</f>
        <v>0</v>
      </c>
    </row>
    <row r="351" spans="3:36" ht="11.25" customHeight="1">
      <c r="C351" s="78">
        <f t="shared" si="23"/>
        <v>305</v>
      </c>
      <c r="D351" s="2124">
        <f>+'Capex_FO input'!C351</f>
        <v>0</v>
      </c>
      <c r="E351" s="2125"/>
      <c r="F351" s="2125"/>
      <c r="G351" s="2125"/>
      <c r="H351" s="2126"/>
      <c r="I351" s="643">
        <f>+'Capex_FO input'!N351</f>
        <v>0</v>
      </c>
      <c r="J351" s="67"/>
      <c r="K351" s="67"/>
      <c r="L351" s="67"/>
      <c r="M351" s="67"/>
      <c r="N351" s="138"/>
      <c r="O351" s="67"/>
      <c r="P351" s="67"/>
      <c r="Q351" s="67"/>
      <c r="R351" s="91"/>
      <c r="S351" s="138"/>
      <c r="T351" s="67"/>
      <c r="U351" s="91"/>
      <c r="V351" s="67"/>
      <c r="W351" s="67"/>
      <c r="X351" s="67"/>
      <c r="Y351" s="67"/>
      <c r="Z351" s="67"/>
      <c r="AA351" s="393">
        <f ca="1">+'Capex_FO input'!CP351</f>
        <v>0</v>
      </c>
      <c r="AB351" s="394">
        <f ca="1">+'Capex_FO input'!CQ351</f>
        <v>0</v>
      </c>
      <c r="AC351" s="394">
        <f ca="1">+'Capex_FO input'!CR351</f>
        <v>0</v>
      </c>
      <c r="AD351" s="394">
        <f ca="1">+'Capex_FO input'!CS351</f>
        <v>0</v>
      </c>
      <c r="AE351" s="1279">
        <f ca="1">+'Capex_FO input'!CT351</f>
        <v>0</v>
      </c>
      <c r="AF351" s="393">
        <f ca="1">+'Capex_FO input'!CU351</f>
        <v>0</v>
      </c>
      <c r="AG351" s="394">
        <f ca="1">+'Capex_FO input'!CV351</f>
        <v>0</v>
      </c>
      <c r="AH351" s="394">
        <f ca="1">+'Capex_FO input'!CW351</f>
        <v>0</v>
      </c>
      <c r="AI351" s="394">
        <f ca="1">+'Capex_FO input'!CX351</f>
        <v>0</v>
      </c>
      <c r="AJ351" s="395">
        <f ca="1">+'Capex_FO input'!CY351</f>
        <v>0</v>
      </c>
    </row>
    <row r="352" spans="3:36" ht="11.25" customHeight="1">
      <c r="C352" s="78">
        <f t="shared" si="23"/>
        <v>306</v>
      </c>
      <c r="D352" s="2124">
        <f>+'Capex_FO input'!C352</f>
        <v>0</v>
      </c>
      <c r="E352" s="2125"/>
      <c r="F352" s="2125"/>
      <c r="G352" s="2125"/>
      <c r="H352" s="2126"/>
      <c r="I352" s="643">
        <f>+'Capex_FO input'!N352</f>
        <v>0</v>
      </c>
      <c r="J352" s="67"/>
      <c r="K352" s="67"/>
      <c r="L352" s="67"/>
      <c r="M352" s="67"/>
      <c r="N352" s="138"/>
      <c r="O352" s="67"/>
      <c r="P352" s="67"/>
      <c r="Q352" s="67"/>
      <c r="R352" s="91"/>
      <c r="S352" s="138"/>
      <c r="T352" s="67"/>
      <c r="U352" s="91"/>
      <c r="V352" s="67"/>
      <c r="W352" s="67"/>
      <c r="X352" s="67"/>
      <c r="Y352" s="67"/>
      <c r="Z352" s="67"/>
      <c r="AA352" s="393">
        <f ca="1">+'Capex_FO input'!CP352</f>
        <v>0</v>
      </c>
      <c r="AB352" s="394">
        <f ca="1">+'Capex_FO input'!CQ352</f>
        <v>0</v>
      </c>
      <c r="AC352" s="394">
        <f ca="1">+'Capex_FO input'!CR352</f>
        <v>0</v>
      </c>
      <c r="AD352" s="394">
        <f ca="1">+'Capex_FO input'!CS352</f>
        <v>0</v>
      </c>
      <c r="AE352" s="1279">
        <f ca="1">+'Capex_FO input'!CT352</f>
        <v>0</v>
      </c>
      <c r="AF352" s="393">
        <f ca="1">+'Capex_FO input'!CU352</f>
        <v>0</v>
      </c>
      <c r="AG352" s="394">
        <f ca="1">+'Capex_FO input'!CV352</f>
        <v>0</v>
      </c>
      <c r="AH352" s="394">
        <f ca="1">+'Capex_FO input'!CW352</f>
        <v>0</v>
      </c>
      <c r="AI352" s="394">
        <f ca="1">+'Capex_FO input'!CX352</f>
        <v>0</v>
      </c>
      <c r="AJ352" s="395">
        <f ca="1">+'Capex_FO input'!CY352</f>
        <v>0</v>
      </c>
    </row>
    <row r="353" spans="3:36" ht="11.25" customHeight="1">
      <c r="C353" s="78">
        <f t="shared" si="23"/>
        <v>307</v>
      </c>
      <c r="D353" s="2124">
        <f>+'Capex_FO input'!C353</f>
        <v>0</v>
      </c>
      <c r="E353" s="2125"/>
      <c r="F353" s="2125"/>
      <c r="G353" s="2125"/>
      <c r="H353" s="2126"/>
      <c r="I353" s="643">
        <f>+'Capex_FO input'!N353</f>
        <v>0</v>
      </c>
      <c r="J353" s="67"/>
      <c r="K353" s="67"/>
      <c r="L353" s="67"/>
      <c r="M353" s="67"/>
      <c r="N353" s="138"/>
      <c r="O353" s="67"/>
      <c r="P353" s="67"/>
      <c r="Q353" s="67"/>
      <c r="R353" s="91"/>
      <c r="S353" s="138"/>
      <c r="T353" s="67"/>
      <c r="U353" s="91"/>
      <c r="V353" s="67"/>
      <c r="W353" s="67"/>
      <c r="X353" s="67"/>
      <c r="Y353" s="67"/>
      <c r="Z353" s="67"/>
      <c r="AA353" s="393">
        <f ca="1">+'Capex_FO input'!CP353</f>
        <v>0</v>
      </c>
      <c r="AB353" s="394">
        <f ca="1">+'Capex_FO input'!CQ353</f>
        <v>0</v>
      </c>
      <c r="AC353" s="394">
        <f ca="1">+'Capex_FO input'!CR353</f>
        <v>0</v>
      </c>
      <c r="AD353" s="394">
        <f ca="1">+'Capex_FO input'!CS353</f>
        <v>0</v>
      </c>
      <c r="AE353" s="1279">
        <f ca="1">+'Capex_FO input'!CT353</f>
        <v>0</v>
      </c>
      <c r="AF353" s="393">
        <f ca="1">+'Capex_FO input'!CU353</f>
        <v>0</v>
      </c>
      <c r="AG353" s="394">
        <f ca="1">+'Capex_FO input'!CV353</f>
        <v>0</v>
      </c>
      <c r="AH353" s="394">
        <f ca="1">+'Capex_FO input'!CW353</f>
        <v>0</v>
      </c>
      <c r="AI353" s="394">
        <f ca="1">+'Capex_FO input'!CX353</f>
        <v>0</v>
      </c>
      <c r="AJ353" s="395">
        <f ca="1">+'Capex_FO input'!CY353</f>
        <v>0</v>
      </c>
    </row>
    <row r="354" spans="3:36" ht="11.25" customHeight="1">
      <c r="C354" s="78">
        <f t="shared" si="23"/>
        <v>308</v>
      </c>
      <c r="D354" s="2124">
        <f>+'Capex_FO input'!C354</f>
        <v>0</v>
      </c>
      <c r="E354" s="2125"/>
      <c r="F354" s="2125"/>
      <c r="G354" s="2125"/>
      <c r="H354" s="2126"/>
      <c r="I354" s="643">
        <f>+'Capex_FO input'!N354</f>
        <v>0</v>
      </c>
      <c r="J354" s="67"/>
      <c r="K354" s="67"/>
      <c r="L354" s="67"/>
      <c r="M354" s="67"/>
      <c r="N354" s="138"/>
      <c r="O354" s="67"/>
      <c r="P354" s="67"/>
      <c r="Q354" s="67"/>
      <c r="R354" s="91"/>
      <c r="S354" s="138"/>
      <c r="T354" s="67"/>
      <c r="U354" s="91"/>
      <c r="V354" s="67"/>
      <c r="W354" s="67"/>
      <c r="X354" s="67"/>
      <c r="Y354" s="67"/>
      <c r="Z354" s="67"/>
      <c r="AA354" s="393">
        <f ca="1">+'Capex_FO input'!CP354</f>
        <v>0</v>
      </c>
      <c r="AB354" s="394">
        <f ca="1">+'Capex_FO input'!CQ354</f>
        <v>0</v>
      </c>
      <c r="AC354" s="394">
        <f ca="1">+'Capex_FO input'!CR354</f>
        <v>0</v>
      </c>
      <c r="AD354" s="394">
        <f ca="1">+'Capex_FO input'!CS354</f>
        <v>0</v>
      </c>
      <c r="AE354" s="1279">
        <f ca="1">+'Capex_FO input'!CT354</f>
        <v>0</v>
      </c>
      <c r="AF354" s="393">
        <f ca="1">+'Capex_FO input'!CU354</f>
        <v>0</v>
      </c>
      <c r="AG354" s="394">
        <f ca="1">+'Capex_FO input'!CV354</f>
        <v>0</v>
      </c>
      <c r="AH354" s="394">
        <f ca="1">+'Capex_FO input'!CW354</f>
        <v>0</v>
      </c>
      <c r="AI354" s="394">
        <f ca="1">+'Capex_FO input'!CX354</f>
        <v>0</v>
      </c>
      <c r="AJ354" s="395">
        <f ca="1">+'Capex_FO input'!CY354</f>
        <v>0</v>
      </c>
    </row>
    <row r="355" spans="3:36" ht="11.25" customHeight="1">
      <c r="C355" s="78">
        <f t="shared" si="23"/>
        <v>309</v>
      </c>
      <c r="D355" s="2124">
        <f>+'Capex_FO input'!C355</f>
        <v>0</v>
      </c>
      <c r="E355" s="2125"/>
      <c r="F355" s="2125"/>
      <c r="G355" s="2125"/>
      <c r="H355" s="2126"/>
      <c r="I355" s="643">
        <f>+'Capex_FO input'!N355</f>
        <v>0</v>
      </c>
      <c r="J355" s="67"/>
      <c r="K355" s="67"/>
      <c r="L355" s="67"/>
      <c r="M355" s="67"/>
      <c r="N355" s="138"/>
      <c r="O355" s="67"/>
      <c r="P355" s="67"/>
      <c r="Q355" s="67"/>
      <c r="R355" s="91"/>
      <c r="S355" s="138"/>
      <c r="T355" s="67"/>
      <c r="U355" s="91"/>
      <c r="V355" s="67"/>
      <c r="W355" s="67"/>
      <c r="X355" s="67"/>
      <c r="Y355" s="67"/>
      <c r="Z355" s="67"/>
      <c r="AA355" s="393">
        <f ca="1">+'Capex_FO input'!CP355</f>
        <v>0</v>
      </c>
      <c r="AB355" s="394">
        <f ca="1">+'Capex_FO input'!CQ355</f>
        <v>0</v>
      </c>
      <c r="AC355" s="394">
        <f ca="1">+'Capex_FO input'!CR355</f>
        <v>0</v>
      </c>
      <c r="AD355" s="394">
        <f ca="1">+'Capex_FO input'!CS355</f>
        <v>0</v>
      </c>
      <c r="AE355" s="1279">
        <f ca="1">+'Capex_FO input'!CT355</f>
        <v>0</v>
      </c>
      <c r="AF355" s="393">
        <f ca="1">+'Capex_FO input'!CU355</f>
        <v>0</v>
      </c>
      <c r="AG355" s="394">
        <f ca="1">+'Capex_FO input'!CV355</f>
        <v>0</v>
      </c>
      <c r="AH355" s="394">
        <f ca="1">+'Capex_FO input'!CW355</f>
        <v>0</v>
      </c>
      <c r="AI355" s="394">
        <f ca="1">+'Capex_FO input'!CX355</f>
        <v>0</v>
      </c>
      <c r="AJ355" s="395">
        <f ca="1">+'Capex_FO input'!CY355</f>
        <v>0</v>
      </c>
    </row>
    <row r="356" spans="3:36" ht="11.25" customHeight="1">
      <c r="C356" s="78">
        <f t="shared" si="23"/>
        <v>310</v>
      </c>
      <c r="D356" s="2124">
        <f>+'Capex_FO input'!C356</f>
        <v>0</v>
      </c>
      <c r="E356" s="2125"/>
      <c r="F356" s="2125"/>
      <c r="G356" s="2125"/>
      <c r="H356" s="2126"/>
      <c r="I356" s="643">
        <f>+'Capex_FO input'!N356</f>
        <v>0</v>
      </c>
      <c r="J356" s="67"/>
      <c r="K356" s="67"/>
      <c r="L356" s="67"/>
      <c r="M356" s="67"/>
      <c r="N356" s="138"/>
      <c r="O356" s="67"/>
      <c r="P356" s="67"/>
      <c r="Q356" s="67"/>
      <c r="R356" s="91"/>
      <c r="S356" s="138"/>
      <c r="T356" s="67"/>
      <c r="U356" s="91"/>
      <c r="V356" s="67"/>
      <c r="W356" s="67"/>
      <c r="X356" s="67"/>
      <c r="Y356" s="67"/>
      <c r="Z356" s="67"/>
      <c r="AA356" s="393">
        <f ca="1">+'Capex_FO input'!CP356</f>
        <v>0</v>
      </c>
      <c r="AB356" s="394">
        <f ca="1">+'Capex_FO input'!CQ356</f>
        <v>0</v>
      </c>
      <c r="AC356" s="394">
        <f ca="1">+'Capex_FO input'!CR356</f>
        <v>0</v>
      </c>
      <c r="AD356" s="394">
        <f ca="1">+'Capex_FO input'!CS356</f>
        <v>0</v>
      </c>
      <c r="AE356" s="1279">
        <f ca="1">+'Capex_FO input'!CT356</f>
        <v>0</v>
      </c>
      <c r="AF356" s="393">
        <f ca="1">+'Capex_FO input'!CU356</f>
        <v>0</v>
      </c>
      <c r="AG356" s="394">
        <f ca="1">+'Capex_FO input'!CV356</f>
        <v>0</v>
      </c>
      <c r="AH356" s="394">
        <f ca="1">+'Capex_FO input'!CW356</f>
        <v>0</v>
      </c>
      <c r="AI356" s="394">
        <f ca="1">+'Capex_FO input'!CX356</f>
        <v>0</v>
      </c>
      <c r="AJ356" s="395">
        <f ca="1">+'Capex_FO input'!CY356</f>
        <v>0</v>
      </c>
    </row>
    <row r="357" spans="3:36" ht="11.25" customHeight="1">
      <c r="C357" s="78">
        <f t="shared" si="23"/>
        <v>311</v>
      </c>
      <c r="D357" s="2124">
        <f>+'Capex_FO input'!C357</f>
        <v>0</v>
      </c>
      <c r="E357" s="2125"/>
      <c r="F357" s="2125"/>
      <c r="G357" s="2125"/>
      <c r="H357" s="2126"/>
      <c r="I357" s="643">
        <f>+'Capex_FO input'!N357</f>
        <v>0</v>
      </c>
      <c r="J357" s="67"/>
      <c r="K357" s="67"/>
      <c r="L357" s="67"/>
      <c r="M357" s="67"/>
      <c r="N357" s="138"/>
      <c r="O357" s="67"/>
      <c r="P357" s="67"/>
      <c r="Q357" s="67"/>
      <c r="R357" s="91"/>
      <c r="S357" s="138"/>
      <c r="T357" s="67"/>
      <c r="U357" s="91"/>
      <c r="V357" s="67"/>
      <c r="W357" s="67"/>
      <c r="X357" s="67"/>
      <c r="Y357" s="67"/>
      <c r="Z357" s="67"/>
      <c r="AA357" s="393">
        <f ca="1">+'Capex_FO input'!CP357</f>
        <v>0</v>
      </c>
      <c r="AB357" s="394">
        <f ca="1">+'Capex_FO input'!CQ357</f>
        <v>0</v>
      </c>
      <c r="AC357" s="394">
        <f ca="1">+'Capex_FO input'!CR357</f>
        <v>0</v>
      </c>
      <c r="AD357" s="394">
        <f ca="1">+'Capex_FO input'!CS357</f>
        <v>0</v>
      </c>
      <c r="AE357" s="1279">
        <f ca="1">+'Capex_FO input'!CT357</f>
        <v>0</v>
      </c>
      <c r="AF357" s="393">
        <f ca="1">+'Capex_FO input'!CU357</f>
        <v>0</v>
      </c>
      <c r="AG357" s="394">
        <f ca="1">+'Capex_FO input'!CV357</f>
        <v>0</v>
      </c>
      <c r="AH357" s="394">
        <f ca="1">+'Capex_FO input'!CW357</f>
        <v>0</v>
      </c>
      <c r="AI357" s="394">
        <f ca="1">+'Capex_FO input'!CX357</f>
        <v>0</v>
      </c>
      <c r="AJ357" s="395">
        <f ca="1">+'Capex_FO input'!CY357</f>
        <v>0</v>
      </c>
    </row>
    <row r="358" spans="3:36" ht="11.25" customHeight="1">
      <c r="C358" s="78">
        <f t="shared" si="23"/>
        <v>312</v>
      </c>
      <c r="D358" s="2124">
        <f>+'Capex_FO input'!C358</f>
        <v>0</v>
      </c>
      <c r="E358" s="2125"/>
      <c r="F358" s="2125"/>
      <c r="G358" s="2125"/>
      <c r="H358" s="2126"/>
      <c r="I358" s="643">
        <f>+'Capex_FO input'!N358</f>
        <v>0</v>
      </c>
      <c r="J358" s="67"/>
      <c r="K358" s="67"/>
      <c r="L358" s="67"/>
      <c r="M358" s="67"/>
      <c r="N358" s="138"/>
      <c r="O358" s="67"/>
      <c r="P358" s="67"/>
      <c r="Q358" s="67"/>
      <c r="R358" s="91"/>
      <c r="S358" s="138"/>
      <c r="T358" s="67"/>
      <c r="U358" s="91"/>
      <c r="V358" s="67"/>
      <c r="W358" s="67"/>
      <c r="X358" s="67"/>
      <c r="Y358" s="67"/>
      <c r="Z358" s="67"/>
      <c r="AA358" s="393">
        <f ca="1">+'Capex_FO input'!CP358</f>
        <v>0</v>
      </c>
      <c r="AB358" s="394">
        <f ca="1">+'Capex_FO input'!CQ358</f>
        <v>0</v>
      </c>
      <c r="AC358" s="394">
        <f ca="1">+'Capex_FO input'!CR358</f>
        <v>0</v>
      </c>
      <c r="AD358" s="394">
        <f ca="1">+'Capex_FO input'!CS358</f>
        <v>0</v>
      </c>
      <c r="AE358" s="1279">
        <f ca="1">+'Capex_FO input'!CT358</f>
        <v>0</v>
      </c>
      <c r="AF358" s="393">
        <f ca="1">+'Capex_FO input'!CU358</f>
        <v>0</v>
      </c>
      <c r="AG358" s="394">
        <f ca="1">+'Capex_FO input'!CV358</f>
        <v>0</v>
      </c>
      <c r="AH358" s="394">
        <f ca="1">+'Capex_FO input'!CW358</f>
        <v>0</v>
      </c>
      <c r="AI358" s="394">
        <f ca="1">+'Capex_FO input'!CX358</f>
        <v>0</v>
      </c>
      <c r="AJ358" s="395">
        <f ca="1">+'Capex_FO input'!CY358</f>
        <v>0</v>
      </c>
    </row>
    <row r="359" spans="3:36" ht="11.25" customHeight="1">
      <c r="C359" s="78">
        <f t="shared" si="23"/>
        <v>313</v>
      </c>
      <c r="D359" s="2124">
        <f>+'Capex_FO input'!C359</f>
        <v>0</v>
      </c>
      <c r="E359" s="2125"/>
      <c r="F359" s="2125"/>
      <c r="G359" s="2125"/>
      <c r="H359" s="2126"/>
      <c r="I359" s="643">
        <f>+'Capex_FO input'!N359</f>
        <v>0</v>
      </c>
      <c r="J359" s="67"/>
      <c r="K359" s="67"/>
      <c r="L359" s="67"/>
      <c r="M359" s="67"/>
      <c r="N359" s="138"/>
      <c r="O359" s="67"/>
      <c r="P359" s="67"/>
      <c r="Q359" s="67"/>
      <c r="R359" s="91"/>
      <c r="S359" s="138"/>
      <c r="T359" s="67"/>
      <c r="U359" s="91"/>
      <c r="V359" s="67"/>
      <c r="W359" s="67"/>
      <c r="X359" s="67"/>
      <c r="Y359" s="67"/>
      <c r="Z359" s="67"/>
      <c r="AA359" s="393">
        <f ca="1">+'Capex_FO input'!CP359</f>
        <v>0</v>
      </c>
      <c r="AB359" s="394">
        <f ca="1">+'Capex_FO input'!CQ359</f>
        <v>0</v>
      </c>
      <c r="AC359" s="394">
        <f ca="1">+'Capex_FO input'!CR359</f>
        <v>0</v>
      </c>
      <c r="AD359" s="394">
        <f ca="1">+'Capex_FO input'!CS359</f>
        <v>0</v>
      </c>
      <c r="AE359" s="1279">
        <f ca="1">+'Capex_FO input'!CT359</f>
        <v>0</v>
      </c>
      <c r="AF359" s="393">
        <f ca="1">+'Capex_FO input'!CU359</f>
        <v>0</v>
      </c>
      <c r="AG359" s="394">
        <f ca="1">+'Capex_FO input'!CV359</f>
        <v>0</v>
      </c>
      <c r="AH359" s="394">
        <f ca="1">+'Capex_FO input'!CW359</f>
        <v>0</v>
      </c>
      <c r="AI359" s="394">
        <f ca="1">+'Capex_FO input'!CX359</f>
        <v>0</v>
      </c>
      <c r="AJ359" s="395">
        <f ca="1">+'Capex_FO input'!CY359</f>
        <v>0</v>
      </c>
    </row>
    <row r="360" spans="3:36">
      <c r="C360" s="78">
        <f t="shared" si="23"/>
        <v>314</v>
      </c>
      <c r="D360" s="2124">
        <f>+'Capex_FO input'!C360</f>
        <v>0</v>
      </c>
      <c r="E360" s="2125"/>
      <c r="F360" s="2125"/>
      <c r="G360" s="2125"/>
      <c r="H360" s="2126"/>
      <c r="I360" s="643">
        <f>+'Capex_FO input'!N360</f>
        <v>0</v>
      </c>
      <c r="J360" s="67"/>
      <c r="K360" s="67"/>
      <c r="L360" s="67"/>
      <c r="M360" s="67"/>
      <c r="N360" s="138"/>
      <c r="O360" s="67"/>
      <c r="P360" s="67"/>
      <c r="Q360" s="67"/>
      <c r="R360" s="91"/>
      <c r="S360" s="138"/>
      <c r="T360" s="67"/>
      <c r="U360" s="91"/>
      <c r="V360" s="67"/>
      <c r="W360" s="67"/>
      <c r="X360" s="67"/>
      <c r="Y360" s="67"/>
      <c r="Z360" s="67"/>
      <c r="AA360" s="393">
        <f ca="1">+'Capex_FO input'!CP360</f>
        <v>0</v>
      </c>
      <c r="AB360" s="394">
        <f ca="1">+'Capex_FO input'!CQ360</f>
        <v>0</v>
      </c>
      <c r="AC360" s="394">
        <f ca="1">+'Capex_FO input'!CR360</f>
        <v>0</v>
      </c>
      <c r="AD360" s="394">
        <f ca="1">+'Capex_FO input'!CS360</f>
        <v>0</v>
      </c>
      <c r="AE360" s="1279">
        <f ca="1">+'Capex_FO input'!CT360</f>
        <v>0</v>
      </c>
      <c r="AF360" s="393">
        <f ca="1">+'Capex_FO input'!CU360</f>
        <v>0</v>
      </c>
      <c r="AG360" s="394">
        <f ca="1">+'Capex_FO input'!CV360</f>
        <v>0</v>
      </c>
      <c r="AH360" s="394">
        <f ca="1">+'Capex_FO input'!CW360</f>
        <v>0</v>
      </c>
      <c r="AI360" s="394">
        <f ca="1">+'Capex_FO input'!CX360</f>
        <v>0</v>
      </c>
      <c r="AJ360" s="395">
        <f ca="1">+'Capex_FO input'!CY360</f>
        <v>0</v>
      </c>
    </row>
    <row r="361" spans="3:36">
      <c r="C361" s="78">
        <f t="shared" si="23"/>
        <v>315</v>
      </c>
      <c r="D361" s="2124">
        <f>+'Capex_FO input'!C361</f>
        <v>0</v>
      </c>
      <c r="E361" s="2125"/>
      <c r="F361" s="2125"/>
      <c r="G361" s="2125"/>
      <c r="H361" s="2126"/>
      <c r="I361" s="643">
        <f>+'Capex_FO input'!N361</f>
        <v>0</v>
      </c>
      <c r="J361" s="67"/>
      <c r="K361" s="67"/>
      <c r="L361" s="67"/>
      <c r="M361" s="67"/>
      <c r="N361" s="138"/>
      <c r="O361" s="67"/>
      <c r="P361" s="67"/>
      <c r="Q361" s="67"/>
      <c r="R361" s="91"/>
      <c r="S361" s="138"/>
      <c r="T361" s="67"/>
      <c r="U361" s="91"/>
      <c r="V361" s="67"/>
      <c r="W361" s="67"/>
      <c r="X361" s="67"/>
      <c r="Y361" s="67"/>
      <c r="Z361" s="67"/>
      <c r="AA361" s="393">
        <f ca="1">+'Capex_FO input'!CP361</f>
        <v>0</v>
      </c>
      <c r="AB361" s="394">
        <f ca="1">+'Capex_FO input'!CQ361</f>
        <v>0</v>
      </c>
      <c r="AC361" s="394">
        <f ca="1">+'Capex_FO input'!CR361</f>
        <v>0</v>
      </c>
      <c r="AD361" s="394">
        <f ca="1">+'Capex_FO input'!CS361</f>
        <v>0</v>
      </c>
      <c r="AE361" s="1279">
        <f ca="1">+'Capex_FO input'!CT361</f>
        <v>0</v>
      </c>
      <c r="AF361" s="393">
        <f ca="1">+'Capex_FO input'!CU361</f>
        <v>0</v>
      </c>
      <c r="AG361" s="394">
        <f ca="1">+'Capex_FO input'!CV361</f>
        <v>0</v>
      </c>
      <c r="AH361" s="394">
        <f ca="1">+'Capex_FO input'!CW361</f>
        <v>0</v>
      </c>
      <c r="AI361" s="394">
        <f ca="1">+'Capex_FO input'!CX361</f>
        <v>0</v>
      </c>
      <c r="AJ361" s="395">
        <f ca="1">+'Capex_FO input'!CY361</f>
        <v>0</v>
      </c>
    </row>
    <row r="362" spans="3:36">
      <c r="C362" s="78">
        <f t="shared" si="23"/>
        <v>316</v>
      </c>
      <c r="D362" s="2124">
        <f>+'Capex_FO input'!C362</f>
        <v>0</v>
      </c>
      <c r="E362" s="2125"/>
      <c r="F362" s="2125"/>
      <c r="G362" s="2125"/>
      <c r="H362" s="2126"/>
      <c r="I362" s="643">
        <f>+'Capex_FO input'!N362</f>
        <v>0</v>
      </c>
      <c r="J362" s="67"/>
      <c r="K362" s="67"/>
      <c r="L362" s="67"/>
      <c r="M362" s="67"/>
      <c r="N362" s="138"/>
      <c r="O362" s="67"/>
      <c r="P362" s="67"/>
      <c r="Q362" s="67"/>
      <c r="R362" s="91"/>
      <c r="S362" s="138"/>
      <c r="T362" s="67"/>
      <c r="U362" s="91"/>
      <c r="V362" s="67"/>
      <c r="W362" s="67"/>
      <c r="X362" s="67"/>
      <c r="Y362" s="67"/>
      <c r="Z362" s="67"/>
      <c r="AA362" s="393">
        <f ca="1">+'Capex_FO input'!CP362</f>
        <v>0</v>
      </c>
      <c r="AB362" s="394">
        <f ca="1">+'Capex_FO input'!CQ362</f>
        <v>0</v>
      </c>
      <c r="AC362" s="394">
        <f ca="1">+'Capex_FO input'!CR362</f>
        <v>0</v>
      </c>
      <c r="AD362" s="394">
        <f ca="1">+'Capex_FO input'!CS362</f>
        <v>0</v>
      </c>
      <c r="AE362" s="1279">
        <f ca="1">+'Capex_FO input'!CT362</f>
        <v>0</v>
      </c>
      <c r="AF362" s="393">
        <f ca="1">+'Capex_FO input'!CU362</f>
        <v>0</v>
      </c>
      <c r="AG362" s="394">
        <f ca="1">+'Capex_FO input'!CV362</f>
        <v>0</v>
      </c>
      <c r="AH362" s="394">
        <f ca="1">+'Capex_FO input'!CW362</f>
        <v>0</v>
      </c>
      <c r="AI362" s="394">
        <f ca="1">+'Capex_FO input'!CX362</f>
        <v>0</v>
      </c>
      <c r="AJ362" s="395">
        <f ca="1">+'Capex_FO input'!CY362</f>
        <v>0</v>
      </c>
    </row>
    <row r="363" spans="3:36">
      <c r="C363" s="78">
        <f t="shared" si="23"/>
        <v>317</v>
      </c>
      <c r="D363" s="2124">
        <f>+'Capex_FO input'!C363</f>
        <v>0</v>
      </c>
      <c r="E363" s="2125"/>
      <c r="F363" s="2125"/>
      <c r="G363" s="2125"/>
      <c r="H363" s="2126"/>
      <c r="I363" s="643">
        <f>+'Capex_FO input'!N363</f>
        <v>0</v>
      </c>
      <c r="J363" s="67"/>
      <c r="K363" s="67"/>
      <c r="L363" s="67"/>
      <c r="M363" s="67"/>
      <c r="N363" s="138"/>
      <c r="O363" s="67"/>
      <c r="P363" s="67"/>
      <c r="Q363" s="67"/>
      <c r="R363" s="91"/>
      <c r="S363" s="138"/>
      <c r="T363" s="67"/>
      <c r="U363" s="91"/>
      <c r="V363" s="67"/>
      <c r="W363" s="67"/>
      <c r="X363" s="67"/>
      <c r="Y363" s="67"/>
      <c r="Z363" s="67"/>
      <c r="AA363" s="393">
        <f ca="1">+'Capex_FO input'!CP363</f>
        <v>0</v>
      </c>
      <c r="AB363" s="394">
        <f ca="1">+'Capex_FO input'!CQ363</f>
        <v>0</v>
      </c>
      <c r="AC363" s="394">
        <f ca="1">+'Capex_FO input'!CR363</f>
        <v>0</v>
      </c>
      <c r="AD363" s="394">
        <f ca="1">+'Capex_FO input'!CS363</f>
        <v>0</v>
      </c>
      <c r="AE363" s="1279">
        <f ca="1">+'Capex_FO input'!CT363</f>
        <v>0</v>
      </c>
      <c r="AF363" s="393">
        <f ca="1">+'Capex_FO input'!CU363</f>
        <v>0</v>
      </c>
      <c r="AG363" s="394">
        <f ca="1">+'Capex_FO input'!CV363</f>
        <v>0</v>
      </c>
      <c r="AH363" s="394">
        <f ca="1">+'Capex_FO input'!CW363</f>
        <v>0</v>
      </c>
      <c r="AI363" s="394">
        <f ca="1">+'Capex_FO input'!CX363</f>
        <v>0</v>
      </c>
      <c r="AJ363" s="395">
        <f ca="1">+'Capex_FO input'!CY363</f>
        <v>0</v>
      </c>
    </row>
    <row r="364" spans="3:36">
      <c r="C364" s="78">
        <f t="shared" si="23"/>
        <v>318</v>
      </c>
      <c r="D364" s="2124">
        <f>+'Capex_FO input'!C364</f>
        <v>0</v>
      </c>
      <c r="E364" s="2125"/>
      <c r="F364" s="2125"/>
      <c r="G364" s="2125"/>
      <c r="H364" s="2126"/>
      <c r="I364" s="643">
        <f>+'Capex_FO input'!N364</f>
        <v>0</v>
      </c>
      <c r="J364" s="67"/>
      <c r="K364" s="67"/>
      <c r="L364" s="67"/>
      <c r="M364" s="67"/>
      <c r="N364" s="138"/>
      <c r="O364" s="67"/>
      <c r="P364" s="67"/>
      <c r="Q364" s="67"/>
      <c r="R364" s="91"/>
      <c r="S364" s="138"/>
      <c r="T364" s="67"/>
      <c r="U364" s="91"/>
      <c r="V364" s="67"/>
      <c r="W364" s="67"/>
      <c r="X364" s="67"/>
      <c r="Y364" s="67"/>
      <c r="Z364" s="67"/>
      <c r="AA364" s="393">
        <f ca="1">+'Capex_FO input'!CP364</f>
        <v>0</v>
      </c>
      <c r="AB364" s="394">
        <f ca="1">+'Capex_FO input'!CQ364</f>
        <v>0</v>
      </c>
      <c r="AC364" s="394">
        <f ca="1">+'Capex_FO input'!CR364</f>
        <v>0</v>
      </c>
      <c r="AD364" s="394">
        <f ca="1">+'Capex_FO input'!CS364</f>
        <v>0</v>
      </c>
      <c r="AE364" s="1279">
        <f ca="1">+'Capex_FO input'!CT364</f>
        <v>0</v>
      </c>
      <c r="AF364" s="393">
        <f ca="1">+'Capex_FO input'!CU364</f>
        <v>0</v>
      </c>
      <c r="AG364" s="394">
        <f ca="1">+'Capex_FO input'!CV364</f>
        <v>0</v>
      </c>
      <c r="AH364" s="394">
        <f ca="1">+'Capex_FO input'!CW364</f>
        <v>0</v>
      </c>
      <c r="AI364" s="394">
        <f ca="1">+'Capex_FO input'!CX364</f>
        <v>0</v>
      </c>
      <c r="AJ364" s="395">
        <f ca="1">+'Capex_FO input'!CY364</f>
        <v>0</v>
      </c>
    </row>
    <row r="365" spans="3:36">
      <c r="C365" s="78">
        <f t="shared" si="23"/>
        <v>319</v>
      </c>
      <c r="D365" s="2124">
        <f>+'Capex_FO input'!C365</f>
        <v>0</v>
      </c>
      <c r="E365" s="2125"/>
      <c r="F365" s="2125"/>
      <c r="G365" s="2125"/>
      <c r="H365" s="2126"/>
      <c r="I365" s="643">
        <f>+'Capex_FO input'!N365</f>
        <v>0</v>
      </c>
      <c r="J365" s="67"/>
      <c r="K365" s="67"/>
      <c r="L365" s="67"/>
      <c r="M365" s="67"/>
      <c r="N365" s="138"/>
      <c r="O365" s="67"/>
      <c r="P365" s="67"/>
      <c r="Q365" s="67"/>
      <c r="R365" s="91"/>
      <c r="S365" s="138"/>
      <c r="T365" s="67"/>
      <c r="U365" s="91"/>
      <c r="V365" s="67"/>
      <c r="W365" s="67"/>
      <c r="X365" s="67"/>
      <c r="Y365" s="67"/>
      <c r="Z365" s="67"/>
      <c r="AA365" s="393">
        <f ca="1">+'Capex_FO input'!CP365</f>
        <v>0</v>
      </c>
      <c r="AB365" s="394">
        <f ca="1">+'Capex_FO input'!CQ365</f>
        <v>0</v>
      </c>
      <c r="AC365" s="394">
        <f ca="1">+'Capex_FO input'!CR365</f>
        <v>0</v>
      </c>
      <c r="AD365" s="394">
        <f ca="1">+'Capex_FO input'!CS365</f>
        <v>0</v>
      </c>
      <c r="AE365" s="1279">
        <f ca="1">+'Capex_FO input'!CT365</f>
        <v>0</v>
      </c>
      <c r="AF365" s="393">
        <f ca="1">+'Capex_FO input'!CU365</f>
        <v>0</v>
      </c>
      <c r="AG365" s="394">
        <f ca="1">+'Capex_FO input'!CV365</f>
        <v>0</v>
      </c>
      <c r="AH365" s="394">
        <f ca="1">+'Capex_FO input'!CW365</f>
        <v>0</v>
      </c>
      <c r="AI365" s="394">
        <f ca="1">+'Capex_FO input'!CX365</f>
        <v>0</v>
      </c>
      <c r="AJ365" s="395">
        <f ca="1">+'Capex_FO input'!CY365</f>
        <v>0</v>
      </c>
    </row>
    <row r="366" spans="3:36">
      <c r="C366" s="78">
        <f t="shared" si="23"/>
        <v>320</v>
      </c>
      <c r="D366" s="2124">
        <f>+'Capex_FO input'!C366</f>
        <v>0</v>
      </c>
      <c r="E366" s="2125"/>
      <c r="F366" s="2125"/>
      <c r="G366" s="2125"/>
      <c r="H366" s="2126"/>
      <c r="I366" s="643">
        <f>+'Capex_FO input'!N366</f>
        <v>0</v>
      </c>
      <c r="J366" s="67"/>
      <c r="K366" s="67"/>
      <c r="L366" s="67"/>
      <c r="M366" s="67"/>
      <c r="N366" s="138"/>
      <c r="O366" s="67"/>
      <c r="P366" s="67"/>
      <c r="Q366" s="67"/>
      <c r="R366" s="91"/>
      <c r="S366" s="138"/>
      <c r="T366" s="67"/>
      <c r="U366" s="91"/>
      <c r="V366" s="67"/>
      <c r="W366" s="67"/>
      <c r="X366" s="67"/>
      <c r="Y366" s="67"/>
      <c r="Z366" s="67"/>
      <c r="AA366" s="393">
        <f ca="1">+'Capex_FO input'!CP366</f>
        <v>0</v>
      </c>
      <c r="AB366" s="394">
        <f ca="1">+'Capex_FO input'!CQ366</f>
        <v>0</v>
      </c>
      <c r="AC366" s="394">
        <f ca="1">+'Capex_FO input'!CR366</f>
        <v>0</v>
      </c>
      <c r="AD366" s="394">
        <f ca="1">+'Capex_FO input'!CS366</f>
        <v>0</v>
      </c>
      <c r="AE366" s="1279">
        <f ca="1">+'Capex_FO input'!CT366</f>
        <v>0</v>
      </c>
      <c r="AF366" s="393">
        <f ca="1">+'Capex_FO input'!CU366</f>
        <v>0</v>
      </c>
      <c r="AG366" s="394">
        <f ca="1">+'Capex_FO input'!CV366</f>
        <v>0</v>
      </c>
      <c r="AH366" s="394">
        <f ca="1">+'Capex_FO input'!CW366</f>
        <v>0</v>
      </c>
      <c r="AI366" s="394">
        <f ca="1">+'Capex_FO input'!CX366</f>
        <v>0</v>
      </c>
      <c r="AJ366" s="395">
        <f ca="1">+'Capex_FO input'!CY366</f>
        <v>0</v>
      </c>
    </row>
    <row r="367" spans="3:36" ht="11.25" customHeight="1">
      <c r="C367" s="78">
        <f t="shared" si="23"/>
        <v>321</v>
      </c>
      <c r="D367" s="2124">
        <f>+'Capex_FO input'!C367</f>
        <v>0</v>
      </c>
      <c r="E367" s="2125"/>
      <c r="F367" s="2125"/>
      <c r="G367" s="2125"/>
      <c r="H367" s="2126"/>
      <c r="I367" s="643">
        <f>+'Capex_FO input'!N367</f>
        <v>0</v>
      </c>
      <c r="J367" s="67"/>
      <c r="K367" s="67"/>
      <c r="L367" s="67"/>
      <c r="M367" s="67"/>
      <c r="N367" s="138"/>
      <c r="O367" s="67"/>
      <c r="P367" s="67"/>
      <c r="Q367" s="67"/>
      <c r="R367" s="91"/>
      <c r="S367" s="138"/>
      <c r="T367" s="67"/>
      <c r="U367" s="91"/>
      <c r="V367" s="67"/>
      <c r="W367" s="67"/>
      <c r="X367" s="67"/>
      <c r="Y367" s="67"/>
      <c r="Z367" s="67"/>
      <c r="AA367" s="393">
        <f ca="1">+'Capex_FO input'!CP367</f>
        <v>0</v>
      </c>
      <c r="AB367" s="394">
        <f ca="1">+'Capex_FO input'!CQ367</f>
        <v>0</v>
      </c>
      <c r="AC367" s="394">
        <f ca="1">+'Capex_FO input'!CR367</f>
        <v>0</v>
      </c>
      <c r="AD367" s="394">
        <f ca="1">+'Capex_FO input'!CS367</f>
        <v>0</v>
      </c>
      <c r="AE367" s="1279">
        <f ca="1">+'Capex_FO input'!CT367</f>
        <v>0</v>
      </c>
      <c r="AF367" s="393">
        <f ca="1">+'Capex_FO input'!CU367</f>
        <v>0</v>
      </c>
      <c r="AG367" s="394">
        <f ca="1">+'Capex_FO input'!CV367</f>
        <v>0</v>
      </c>
      <c r="AH367" s="394">
        <f ca="1">+'Capex_FO input'!CW367</f>
        <v>0</v>
      </c>
      <c r="AI367" s="394">
        <f ca="1">+'Capex_FO input'!CX367</f>
        <v>0</v>
      </c>
      <c r="AJ367" s="395">
        <f ca="1">+'Capex_FO input'!CY367</f>
        <v>0</v>
      </c>
    </row>
    <row r="368" spans="3:36" ht="11.25" customHeight="1">
      <c r="C368" s="78">
        <f t="shared" si="23"/>
        <v>322</v>
      </c>
      <c r="D368" s="2124">
        <f>+'Capex_FO input'!C368</f>
        <v>0</v>
      </c>
      <c r="E368" s="2125"/>
      <c r="F368" s="2125"/>
      <c r="G368" s="2125"/>
      <c r="H368" s="2126"/>
      <c r="I368" s="643">
        <f>+'Capex_FO input'!N368</f>
        <v>0</v>
      </c>
      <c r="J368" s="67"/>
      <c r="K368" s="67"/>
      <c r="L368" s="67"/>
      <c r="M368" s="67"/>
      <c r="N368" s="138"/>
      <c r="O368" s="67"/>
      <c r="P368" s="67"/>
      <c r="Q368" s="67"/>
      <c r="R368" s="91"/>
      <c r="S368" s="138"/>
      <c r="T368" s="67"/>
      <c r="U368" s="91"/>
      <c r="V368" s="67"/>
      <c r="W368" s="67"/>
      <c r="X368" s="67"/>
      <c r="Y368" s="67"/>
      <c r="Z368" s="67"/>
      <c r="AA368" s="393">
        <f ca="1">+'Capex_FO input'!CP368</f>
        <v>0</v>
      </c>
      <c r="AB368" s="394">
        <f ca="1">+'Capex_FO input'!CQ368</f>
        <v>0</v>
      </c>
      <c r="AC368" s="394">
        <f ca="1">+'Capex_FO input'!CR368</f>
        <v>0</v>
      </c>
      <c r="AD368" s="394">
        <f ca="1">+'Capex_FO input'!CS368</f>
        <v>0</v>
      </c>
      <c r="AE368" s="1279">
        <f ca="1">+'Capex_FO input'!CT368</f>
        <v>0</v>
      </c>
      <c r="AF368" s="393">
        <f ca="1">+'Capex_FO input'!CU368</f>
        <v>0</v>
      </c>
      <c r="AG368" s="394">
        <f ca="1">+'Capex_FO input'!CV368</f>
        <v>0</v>
      </c>
      <c r="AH368" s="394">
        <f ca="1">+'Capex_FO input'!CW368</f>
        <v>0</v>
      </c>
      <c r="AI368" s="394">
        <f ca="1">+'Capex_FO input'!CX368</f>
        <v>0</v>
      </c>
      <c r="AJ368" s="395">
        <f ca="1">+'Capex_FO input'!CY368</f>
        <v>0</v>
      </c>
    </row>
    <row r="369" spans="3:36" ht="11.25" customHeight="1">
      <c r="C369" s="78">
        <f t="shared" si="23"/>
        <v>323</v>
      </c>
      <c r="D369" s="2124">
        <f>+'Capex_FO input'!C369</f>
        <v>0</v>
      </c>
      <c r="E369" s="2125"/>
      <c r="F369" s="2125"/>
      <c r="G369" s="2125"/>
      <c r="H369" s="2126"/>
      <c r="I369" s="643">
        <f>+'Capex_FO input'!N369</f>
        <v>0</v>
      </c>
      <c r="J369" s="67"/>
      <c r="K369" s="67"/>
      <c r="L369" s="67"/>
      <c r="M369" s="67"/>
      <c r="N369" s="138"/>
      <c r="O369" s="67"/>
      <c r="P369" s="67"/>
      <c r="Q369" s="67"/>
      <c r="R369" s="91"/>
      <c r="S369" s="138"/>
      <c r="T369" s="67"/>
      <c r="U369" s="91"/>
      <c r="V369" s="67"/>
      <c r="W369" s="67"/>
      <c r="X369" s="67"/>
      <c r="Y369" s="67"/>
      <c r="Z369" s="67"/>
      <c r="AA369" s="393">
        <f ca="1">+'Capex_FO input'!CP369</f>
        <v>0</v>
      </c>
      <c r="AB369" s="394">
        <f ca="1">+'Capex_FO input'!CQ369</f>
        <v>0</v>
      </c>
      <c r="AC369" s="394">
        <f ca="1">+'Capex_FO input'!CR369</f>
        <v>0</v>
      </c>
      <c r="AD369" s="394">
        <f ca="1">+'Capex_FO input'!CS369</f>
        <v>0</v>
      </c>
      <c r="AE369" s="1279">
        <f ca="1">+'Capex_FO input'!CT369</f>
        <v>0</v>
      </c>
      <c r="AF369" s="393">
        <f ca="1">+'Capex_FO input'!CU369</f>
        <v>0</v>
      </c>
      <c r="AG369" s="394">
        <f ca="1">+'Capex_FO input'!CV369</f>
        <v>0</v>
      </c>
      <c r="AH369" s="394">
        <f ca="1">+'Capex_FO input'!CW369</f>
        <v>0</v>
      </c>
      <c r="AI369" s="394">
        <f ca="1">+'Capex_FO input'!CX369</f>
        <v>0</v>
      </c>
      <c r="AJ369" s="395">
        <f ca="1">+'Capex_FO input'!CY369</f>
        <v>0</v>
      </c>
    </row>
    <row r="370" spans="3:36" ht="11.25" customHeight="1">
      <c r="C370" s="78">
        <f t="shared" si="23"/>
        <v>324</v>
      </c>
      <c r="D370" s="2124">
        <f>+'Capex_FO input'!C370</f>
        <v>0</v>
      </c>
      <c r="E370" s="2125"/>
      <c r="F370" s="2125"/>
      <c r="G370" s="2125"/>
      <c r="H370" s="2126"/>
      <c r="I370" s="643">
        <f>+'Capex_FO input'!N370</f>
        <v>0</v>
      </c>
      <c r="J370" s="67"/>
      <c r="K370" s="67"/>
      <c r="L370" s="67"/>
      <c r="M370" s="67"/>
      <c r="N370" s="138"/>
      <c r="O370" s="67"/>
      <c r="P370" s="67"/>
      <c r="Q370" s="67"/>
      <c r="R370" s="91"/>
      <c r="S370" s="138"/>
      <c r="T370" s="67"/>
      <c r="U370" s="91"/>
      <c r="V370" s="67"/>
      <c r="W370" s="67"/>
      <c r="X370" s="67"/>
      <c r="Y370" s="67"/>
      <c r="Z370" s="67"/>
      <c r="AA370" s="393">
        <f ca="1">+'Capex_FO input'!CP370</f>
        <v>0</v>
      </c>
      <c r="AB370" s="394">
        <f ca="1">+'Capex_FO input'!CQ370</f>
        <v>0</v>
      </c>
      <c r="AC370" s="394">
        <f ca="1">+'Capex_FO input'!CR370</f>
        <v>0</v>
      </c>
      <c r="AD370" s="394">
        <f ca="1">+'Capex_FO input'!CS370</f>
        <v>0</v>
      </c>
      <c r="AE370" s="1279">
        <f ca="1">+'Capex_FO input'!CT370</f>
        <v>0</v>
      </c>
      <c r="AF370" s="393">
        <f ca="1">+'Capex_FO input'!CU370</f>
        <v>0</v>
      </c>
      <c r="AG370" s="394">
        <f ca="1">+'Capex_FO input'!CV370</f>
        <v>0</v>
      </c>
      <c r="AH370" s="394">
        <f ca="1">+'Capex_FO input'!CW370</f>
        <v>0</v>
      </c>
      <c r="AI370" s="394">
        <f ca="1">+'Capex_FO input'!CX370</f>
        <v>0</v>
      </c>
      <c r="AJ370" s="395">
        <f ca="1">+'Capex_FO input'!CY370</f>
        <v>0</v>
      </c>
    </row>
    <row r="371" spans="3:36" ht="11.25" customHeight="1">
      <c r="C371" s="78">
        <f t="shared" si="23"/>
        <v>325</v>
      </c>
      <c r="D371" s="2124">
        <f>+'Capex_FO input'!C371</f>
        <v>0</v>
      </c>
      <c r="E371" s="2125"/>
      <c r="F371" s="2125"/>
      <c r="G371" s="2125"/>
      <c r="H371" s="2126"/>
      <c r="I371" s="643">
        <f>+'Capex_FO input'!N371</f>
        <v>0</v>
      </c>
      <c r="J371" s="67"/>
      <c r="K371" s="67"/>
      <c r="L371" s="67"/>
      <c r="M371" s="67"/>
      <c r="N371" s="138"/>
      <c r="O371" s="67"/>
      <c r="P371" s="67"/>
      <c r="Q371" s="67"/>
      <c r="R371" s="91"/>
      <c r="S371" s="138"/>
      <c r="T371" s="67"/>
      <c r="U371" s="91"/>
      <c r="V371" s="67"/>
      <c r="W371" s="67"/>
      <c r="X371" s="67"/>
      <c r="Y371" s="67"/>
      <c r="Z371" s="67"/>
      <c r="AA371" s="393">
        <f ca="1">+'Capex_FO input'!CP371</f>
        <v>0</v>
      </c>
      <c r="AB371" s="394">
        <f ca="1">+'Capex_FO input'!CQ371</f>
        <v>0</v>
      </c>
      <c r="AC371" s="394">
        <f ca="1">+'Capex_FO input'!CR371</f>
        <v>0</v>
      </c>
      <c r="AD371" s="394">
        <f ca="1">+'Capex_FO input'!CS371</f>
        <v>0</v>
      </c>
      <c r="AE371" s="1279">
        <f ca="1">+'Capex_FO input'!CT371</f>
        <v>0</v>
      </c>
      <c r="AF371" s="393">
        <f ca="1">+'Capex_FO input'!CU371</f>
        <v>0</v>
      </c>
      <c r="AG371" s="394">
        <f ca="1">+'Capex_FO input'!CV371</f>
        <v>0</v>
      </c>
      <c r="AH371" s="394">
        <f ca="1">+'Capex_FO input'!CW371</f>
        <v>0</v>
      </c>
      <c r="AI371" s="394">
        <f ca="1">+'Capex_FO input'!CX371</f>
        <v>0</v>
      </c>
      <c r="AJ371" s="395">
        <f ca="1">+'Capex_FO input'!CY371</f>
        <v>0</v>
      </c>
    </row>
    <row r="372" spans="3:36" ht="11.25" customHeight="1">
      <c r="C372" s="78">
        <f t="shared" si="23"/>
        <v>326</v>
      </c>
      <c r="D372" s="2124">
        <f>+'Capex_FO input'!C372</f>
        <v>0</v>
      </c>
      <c r="E372" s="2125"/>
      <c r="F372" s="2125"/>
      <c r="G372" s="2125"/>
      <c r="H372" s="2126"/>
      <c r="I372" s="643">
        <f>+'Capex_FO input'!N372</f>
        <v>0</v>
      </c>
      <c r="J372" s="67"/>
      <c r="K372" s="67"/>
      <c r="L372" s="67"/>
      <c r="M372" s="67"/>
      <c r="N372" s="138"/>
      <c r="O372" s="67"/>
      <c r="P372" s="67"/>
      <c r="Q372" s="67"/>
      <c r="R372" s="91"/>
      <c r="S372" s="138"/>
      <c r="T372" s="67"/>
      <c r="U372" s="91"/>
      <c r="V372" s="67"/>
      <c r="W372" s="67"/>
      <c r="X372" s="67"/>
      <c r="Y372" s="67"/>
      <c r="Z372" s="67"/>
      <c r="AA372" s="393">
        <f ca="1">+'Capex_FO input'!CP372</f>
        <v>0</v>
      </c>
      <c r="AB372" s="394">
        <f ca="1">+'Capex_FO input'!CQ372</f>
        <v>0</v>
      </c>
      <c r="AC372" s="394">
        <f ca="1">+'Capex_FO input'!CR372</f>
        <v>0</v>
      </c>
      <c r="AD372" s="394">
        <f ca="1">+'Capex_FO input'!CS372</f>
        <v>0</v>
      </c>
      <c r="AE372" s="1279">
        <f ca="1">+'Capex_FO input'!CT372</f>
        <v>0</v>
      </c>
      <c r="AF372" s="393">
        <f ca="1">+'Capex_FO input'!CU372</f>
        <v>0</v>
      </c>
      <c r="AG372" s="394">
        <f ca="1">+'Capex_FO input'!CV372</f>
        <v>0</v>
      </c>
      <c r="AH372" s="394">
        <f ca="1">+'Capex_FO input'!CW372</f>
        <v>0</v>
      </c>
      <c r="AI372" s="394">
        <f ca="1">+'Capex_FO input'!CX372</f>
        <v>0</v>
      </c>
      <c r="AJ372" s="395">
        <f ca="1">+'Capex_FO input'!CY372</f>
        <v>0</v>
      </c>
    </row>
    <row r="373" spans="3:36" ht="11.25" customHeight="1">
      <c r="C373" s="78">
        <f t="shared" si="23"/>
        <v>327</v>
      </c>
      <c r="D373" s="2124">
        <f>+'Capex_FO input'!C373</f>
        <v>0</v>
      </c>
      <c r="E373" s="2125"/>
      <c r="F373" s="2125"/>
      <c r="G373" s="2125"/>
      <c r="H373" s="2126"/>
      <c r="I373" s="643">
        <f>+'Capex_FO input'!N373</f>
        <v>0</v>
      </c>
      <c r="J373" s="67"/>
      <c r="K373" s="67"/>
      <c r="L373" s="67"/>
      <c r="M373" s="67"/>
      <c r="N373" s="138"/>
      <c r="O373" s="67"/>
      <c r="P373" s="67"/>
      <c r="Q373" s="67"/>
      <c r="R373" s="91"/>
      <c r="S373" s="138"/>
      <c r="T373" s="67"/>
      <c r="U373" s="91"/>
      <c r="V373" s="67"/>
      <c r="W373" s="67"/>
      <c r="X373" s="67"/>
      <c r="Y373" s="67"/>
      <c r="Z373" s="67"/>
      <c r="AA373" s="393">
        <f ca="1">+'Capex_FO input'!CP373</f>
        <v>0</v>
      </c>
      <c r="AB373" s="394">
        <f ca="1">+'Capex_FO input'!CQ373</f>
        <v>0</v>
      </c>
      <c r="AC373" s="394">
        <f ca="1">+'Capex_FO input'!CR373</f>
        <v>0</v>
      </c>
      <c r="AD373" s="394">
        <f ca="1">+'Capex_FO input'!CS373</f>
        <v>0</v>
      </c>
      <c r="AE373" s="1279">
        <f ca="1">+'Capex_FO input'!CT373</f>
        <v>0</v>
      </c>
      <c r="AF373" s="393">
        <f ca="1">+'Capex_FO input'!CU373</f>
        <v>0</v>
      </c>
      <c r="AG373" s="394">
        <f ca="1">+'Capex_FO input'!CV373</f>
        <v>0</v>
      </c>
      <c r="AH373" s="394">
        <f ca="1">+'Capex_FO input'!CW373</f>
        <v>0</v>
      </c>
      <c r="AI373" s="394">
        <f ca="1">+'Capex_FO input'!CX373</f>
        <v>0</v>
      </c>
      <c r="AJ373" s="395">
        <f ca="1">+'Capex_FO input'!CY373</f>
        <v>0</v>
      </c>
    </row>
    <row r="374" spans="3:36" ht="11.25" customHeight="1">
      <c r="C374" s="78">
        <f t="shared" si="23"/>
        <v>328</v>
      </c>
      <c r="D374" s="2124">
        <f>+'Capex_FO input'!C374</f>
        <v>0</v>
      </c>
      <c r="E374" s="2125"/>
      <c r="F374" s="2125"/>
      <c r="G374" s="2125"/>
      <c r="H374" s="2126"/>
      <c r="I374" s="643">
        <f>+'Capex_FO input'!N374</f>
        <v>0</v>
      </c>
      <c r="J374" s="67"/>
      <c r="K374" s="67"/>
      <c r="L374" s="67"/>
      <c r="M374" s="67"/>
      <c r="N374" s="138"/>
      <c r="O374" s="67"/>
      <c r="P374" s="67"/>
      <c r="Q374" s="67"/>
      <c r="R374" s="91"/>
      <c r="S374" s="138"/>
      <c r="T374" s="67"/>
      <c r="U374" s="91"/>
      <c r="V374" s="67"/>
      <c r="W374" s="67"/>
      <c r="X374" s="67"/>
      <c r="Y374" s="67"/>
      <c r="Z374" s="67"/>
      <c r="AA374" s="393">
        <f ca="1">+'Capex_FO input'!CP374</f>
        <v>0</v>
      </c>
      <c r="AB374" s="394">
        <f ca="1">+'Capex_FO input'!CQ374</f>
        <v>0</v>
      </c>
      <c r="AC374" s="394">
        <f ca="1">+'Capex_FO input'!CR374</f>
        <v>0</v>
      </c>
      <c r="AD374" s="394">
        <f ca="1">+'Capex_FO input'!CS374</f>
        <v>0</v>
      </c>
      <c r="AE374" s="1279">
        <f ca="1">+'Capex_FO input'!CT374</f>
        <v>0</v>
      </c>
      <c r="AF374" s="393">
        <f ca="1">+'Capex_FO input'!CU374</f>
        <v>0</v>
      </c>
      <c r="AG374" s="394">
        <f ca="1">+'Capex_FO input'!CV374</f>
        <v>0</v>
      </c>
      <c r="AH374" s="394">
        <f ca="1">+'Capex_FO input'!CW374</f>
        <v>0</v>
      </c>
      <c r="AI374" s="394">
        <f ca="1">+'Capex_FO input'!CX374</f>
        <v>0</v>
      </c>
      <c r="AJ374" s="395">
        <f ca="1">+'Capex_FO input'!CY374</f>
        <v>0</v>
      </c>
    </row>
    <row r="375" spans="3:36" ht="11.25" customHeight="1">
      <c r="C375" s="78">
        <f t="shared" si="23"/>
        <v>329</v>
      </c>
      <c r="D375" s="2124">
        <f>+'Capex_FO input'!C375</f>
        <v>0</v>
      </c>
      <c r="E375" s="2125"/>
      <c r="F375" s="2125"/>
      <c r="G375" s="2125"/>
      <c r="H375" s="2126"/>
      <c r="I375" s="643">
        <f>+'Capex_FO input'!N375</f>
        <v>0</v>
      </c>
      <c r="J375" s="67"/>
      <c r="K375" s="67"/>
      <c r="L375" s="67"/>
      <c r="M375" s="67"/>
      <c r="N375" s="138"/>
      <c r="O375" s="67"/>
      <c r="P375" s="67"/>
      <c r="Q375" s="67"/>
      <c r="R375" s="91"/>
      <c r="S375" s="138"/>
      <c r="T375" s="67"/>
      <c r="U375" s="91"/>
      <c r="V375" s="67"/>
      <c r="W375" s="67"/>
      <c r="X375" s="67"/>
      <c r="Y375" s="67"/>
      <c r="Z375" s="67"/>
      <c r="AA375" s="393">
        <f ca="1">+'Capex_FO input'!CP375</f>
        <v>0</v>
      </c>
      <c r="AB375" s="394">
        <f ca="1">+'Capex_FO input'!CQ375</f>
        <v>0</v>
      </c>
      <c r="AC375" s="394">
        <f ca="1">+'Capex_FO input'!CR375</f>
        <v>0</v>
      </c>
      <c r="AD375" s="394">
        <f ca="1">+'Capex_FO input'!CS375</f>
        <v>0</v>
      </c>
      <c r="AE375" s="1279">
        <f ca="1">+'Capex_FO input'!CT375</f>
        <v>0</v>
      </c>
      <c r="AF375" s="393">
        <f ca="1">+'Capex_FO input'!CU375</f>
        <v>0</v>
      </c>
      <c r="AG375" s="394">
        <f ca="1">+'Capex_FO input'!CV375</f>
        <v>0</v>
      </c>
      <c r="AH375" s="394">
        <f ca="1">+'Capex_FO input'!CW375</f>
        <v>0</v>
      </c>
      <c r="AI375" s="394">
        <f ca="1">+'Capex_FO input'!CX375</f>
        <v>0</v>
      </c>
      <c r="AJ375" s="395">
        <f ca="1">+'Capex_FO input'!CY375</f>
        <v>0</v>
      </c>
    </row>
    <row r="376" spans="3:36" ht="11.25" customHeight="1">
      <c r="C376" s="78">
        <f t="shared" si="23"/>
        <v>330</v>
      </c>
      <c r="D376" s="2124">
        <f>+'Capex_FO input'!C376</f>
        <v>0</v>
      </c>
      <c r="E376" s="2125"/>
      <c r="F376" s="2125"/>
      <c r="G376" s="2125"/>
      <c r="H376" s="2126"/>
      <c r="I376" s="643">
        <f>+'Capex_FO input'!N376</f>
        <v>0</v>
      </c>
      <c r="J376" s="67"/>
      <c r="K376" s="67"/>
      <c r="L376" s="67"/>
      <c r="M376" s="67"/>
      <c r="N376" s="138"/>
      <c r="O376" s="67"/>
      <c r="P376" s="67"/>
      <c r="Q376" s="67"/>
      <c r="R376" s="91"/>
      <c r="S376" s="138"/>
      <c r="T376" s="67"/>
      <c r="U376" s="91"/>
      <c r="V376" s="67"/>
      <c r="W376" s="67"/>
      <c r="X376" s="67"/>
      <c r="Y376" s="67"/>
      <c r="Z376" s="67"/>
      <c r="AA376" s="393">
        <f ca="1">+'Capex_FO input'!CP376</f>
        <v>0</v>
      </c>
      <c r="AB376" s="394">
        <f ca="1">+'Capex_FO input'!CQ376</f>
        <v>0</v>
      </c>
      <c r="AC376" s="394">
        <f ca="1">+'Capex_FO input'!CR376</f>
        <v>0</v>
      </c>
      <c r="AD376" s="394">
        <f ca="1">+'Capex_FO input'!CS376</f>
        <v>0</v>
      </c>
      <c r="AE376" s="1279">
        <f ca="1">+'Capex_FO input'!CT376</f>
        <v>0</v>
      </c>
      <c r="AF376" s="393">
        <f ca="1">+'Capex_FO input'!CU376</f>
        <v>0</v>
      </c>
      <c r="AG376" s="394">
        <f ca="1">+'Capex_FO input'!CV376</f>
        <v>0</v>
      </c>
      <c r="AH376" s="394">
        <f ca="1">+'Capex_FO input'!CW376</f>
        <v>0</v>
      </c>
      <c r="AI376" s="394">
        <f ca="1">+'Capex_FO input'!CX376</f>
        <v>0</v>
      </c>
      <c r="AJ376" s="395">
        <f ca="1">+'Capex_FO input'!CY376</f>
        <v>0</v>
      </c>
    </row>
    <row r="377" spans="3:36">
      <c r="C377" s="78">
        <f t="shared" si="23"/>
        <v>331</v>
      </c>
      <c r="D377" s="2124">
        <f>+'Capex_FO input'!C377</f>
        <v>0</v>
      </c>
      <c r="E377" s="2125"/>
      <c r="F377" s="2125"/>
      <c r="G377" s="2125"/>
      <c r="H377" s="2126"/>
      <c r="I377" s="643">
        <f>+'Capex_FO input'!N377</f>
        <v>0</v>
      </c>
      <c r="J377" s="67"/>
      <c r="K377" s="67"/>
      <c r="L377" s="67"/>
      <c r="M377" s="67"/>
      <c r="N377" s="138"/>
      <c r="O377" s="67"/>
      <c r="P377" s="67"/>
      <c r="Q377" s="67"/>
      <c r="R377" s="91"/>
      <c r="S377" s="138"/>
      <c r="T377" s="67"/>
      <c r="U377" s="91"/>
      <c r="V377" s="67"/>
      <c r="W377" s="67"/>
      <c r="X377" s="67"/>
      <c r="Y377" s="67"/>
      <c r="Z377" s="67"/>
      <c r="AA377" s="393">
        <f ca="1">+'Capex_FO input'!CP377</f>
        <v>0</v>
      </c>
      <c r="AB377" s="394">
        <f ca="1">+'Capex_FO input'!CQ377</f>
        <v>0</v>
      </c>
      <c r="AC377" s="394">
        <f ca="1">+'Capex_FO input'!CR377</f>
        <v>0</v>
      </c>
      <c r="AD377" s="394">
        <f ca="1">+'Capex_FO input'!CS377</f>
        <v>0</v>
      </c>
      <c r="AE377" s="1279">
        <f ca="1">+'Capex_FO input'!CT377</f>
        <v>0</v>
      </c>
      <c r="AF377" s="393">
        <f ca="1">+'Capex_FO input'!CU377</f>
        <v>0</v>
      </c>
      <c r="AG377" s="394">
        <f ca="1">+'Capex_FO input'!CV377</f>
        <v>0</v>
      </c>
      <c r="AH377" s="394">
        <f ca="1">+'Capex_FO input'!CW377</f>
        <v>0</v>
      </c>
      <c r="AI377" s="394">
        <f ca="1">+'Capex_FO input'!CX377</f>
        <v>0</v>
      </c>
      <c r="AJ377" s="395">
        <f ca="1">+'Capex_FO input'!CY377</f>
        <v>0</v>
      </c>
    </row>
    <row r="378" spans="3:36">
      <c r="C378" s="78">
        <f t="shared" si="23"/>
        <v>332</v>
      </c>
      <c r="D378" s="2124">
        <f>+'Capex_FO input'!C378</f>
        <v>0</v>
      </c>
      <c r="E378" s="2125"/>
      <c r="F378" s="2125"/>
      <c r="G378" s="2125"/>
      <c r="H378" s="2126"/>
      <c r="I378" s="643">
        <f>+'Capex_FO input'!N378</f>
        <v>0</v>
      </c>
      <c r="J378" s="67"/>
      <c r="K378" s="67"/>
      <c r="L378" s="67"/>
      <c r="M378" s="67"/>
      <c r="N378" s="138"/>
      <c r="O378" s="67"/>
      <c r="P378" s="67"/>
      <c r="Q378" s="67"/>
      <c r="R378" s="91"/>
      <c r="S378" s="138"/>
      <c r="T378" s="67"/>
      <c r="U378" s="91"/>
      <c r="V378" s="67"/>
      <c r="W378" s="67"/>
      <c r="X378" s="67"/>
      <c r="Y378" s="67"/>
      <c r="Z378" s="67"/>
      <c r="AA378" s="393">
        <f ca="1">+'Capex_FO input'!CP378</f>
        <v>0</v>
      </c>
      <c r="AB378" s="394">
        <f ca="1">+'Capex_FO input'!CQ378</f>
        <v>0</v>
      </c>
      <c r="AC378" s="394">
        <f ca="1">+'Capex_FO input'!CR378</f>
        <v>0</v>
      </c>
      <c r="AD378" s="394">
        <f ca="1">+'Capex_FO input'!CS378</f>
        <v>0</v>
      </c>
      <c r="AE378" s="1279">
        <f ca="1">+'Capex_FO input'!CT378</f>
        <v>0</v>
      </c>
      <c r="AF378" s="393">
        <f ca="1">+'Capex_FO input'!CU378</f>
        <v>0</v>
      </c>
      <c r="AG378" s="394">
        <f ca="1">+'Capex_FO input'!CV378</f>
        <v>0</v>
      </c>
      <c r="AH378" s="394">
        <f ca="1">+'Capex_FO input'!CW378</f>
        <v>0</v>
      </c>
      <c r="AI378" s="394">
        <f ca="1">+'Capex_FO input'!CX378</f>
        <v>0</v>
      </c>
      <c r="AJ378" s="395">
        <f ca="1">+'Capex_FO input'!CY378</f>
        <v>0</v>
      </c>
    </row>
    <row r="379" spans="3:36">
      <c r="C379" s="78">
        <f t="shared" si="23"/>
        <v>333</v>
      </c>
      <c r="D379" s="2124">
        <f>+'Capex_FO input'!C379</f>
        <v>0</v>
      </c>
      <c r="E379" s="2125"/>
      <c r="F379" s="2125"/>
      <c r="G379" s="2125"/>
      <c r="H379" s="2126"/>
      <c r="I379" s="643">
        <f>+'Capex_FO input'!N379</f>
        <v>0</v>
      </c>
      <c r="J379" s="67"/>
      <c r="K379" s="67"/>
      <c r="L379" s="67"/>
      <c r="M379" s="67"/>
      <c r="N379" s="138"/>
      <c r="O379" s="67"/>
      <c r="P379" s="67"/>
      <c r="Q379" s="67"/>
      <c r="R379" s="91"/>
      <c r="S379" s="138"/>
      <c r="T379" s="67"/>
      <c r="U379" s="91"/>
      <c r="V379" s="67"/>
      <c r="W379" s="67"/>
      <c r="X379" s="67"/>
      <c r="Y379" s="67"/>
      <c r="Z379" s="67"/>
      <c r="AA379" s="393">
        <f ca="1">+'Capex_FO input'!CP379</f>
        <v>0</v>
      </c>
      <c r="AB379" s="394">
        <f ca="1">+'Capex_FO input'!CQ379</f>
        <v>0</v>
      </c>
      <c r="AC379" s="394">
        <f ca="1">+'Capex_FO input'!CR379</f>
        <v>0</v>
      </c>
      <c r="AD379" s="394">
        <f ca="1">+'Capex_FO input'!CS379</f>
        <v>0</v>
      </c>
      <c r="AE379" s="1279">
        <f ca="1">+'Capex_FO input'!CT379</f>
        <v>0</v>
      </c>
      <c r="AF379" s="393">
        <f ca="1">+'Capex_FO input'!CU379</f>
        <v>0</v>
      </c>
      <c r="AG379" s="394">
        <f ca="1">+'Capex_FO input'!CV379</f>
        <v>0</v>
      </c>
      <c r="AH379" s="394">
        <f ca="1">+'Capex_FO input'!CW379</f>
        <v>0</v>
      </c>
      <c r="AI379" s="394">
        <f ca="1">+'Capex_FO input'!CX379</f>
        <v>0</v>
      </c>
      <c r="AJ379" s="395">
        <f ca="1">+'Capex_FO input'!CY379</f>
        <v>0</v>
      </c>
    </row>
    <row r="380" spans="3:36">
      <c r="C380" s="78">
        <f t="shared" si="23"/>
        <v>334</v>
      </c>
      <c r="D380" s="2124">
        <f>+'Capex_FO input'!C380</f>
        <v>0</v>
      </c>
      <c r="E380" s="2125"/>
      <c r="F380" s="2125"/>
      <c r="G380" s="2125"/>
      <c r="H380" s="2126"/>
      <c r="I380" s="643">
        <f>+'Capex_FO input'!N380</f>
        <v>0</v>
      </c>
      <c r="J380" s="67"/>
      <c r="K380" s="67"/>
      <c r="L380" s="67"/>
      <c r="M380" s="67"/>
      <c r="N380" s="138"/>
      <c r="O380" s="67"/>
      <c r="P380" s="67"/>
      <c r="Q380" s="67"/>
      <c r="R380" s="91"/>
      <c r="S380" s="138"/>
      <c r="T380" s="67"/>
      <c r="U380" s="91"/>
      <c r="V380" s="67"/>
      <c r="W380" s="67"/>
      <c r="X380" s="67"/>
      <c r="Y380" s="67"/>
      <c r="Z380" s="67"/>
      <c r="AA380" s="393">
        <f ca="1">+'Capex_FO input'!CP380</f>
        <v>0</v>
      </c>
      <c r="AB380" s="394">
        <f ca="1">+'Capex_FO input'!CQ380</f>
        <v>0</v>
      </c>
      <c r="AC380" s="394">
        <f ca="1">+'Capex_FO input'!CR380</f>
        <v>0</v>
      </c>
      <c r="AD380" s="394">
        <f ca="1">+'Capex_FO input'!CS380</f>
        <v>0</v>
      </c>
      <c r="AE380" s="1279">
        <f ca="1">+'Capex_FO input'!CT380</f>
        <v>0</v>
      </c>
      <c r="AF380" s="393">
        <f ca="1">+'Capex_FO input'!CU380</f>
        <v>0</v>
      </c>
      <c r="AG380" s="394">
        <f ca="1">+'Capex_FO input'!CV380</f>
        <v>0</v>
      </c>
      <c r="AH380" s="394">
        <f ca="1">+'Capex_FO input'!CW380</f>
        <v>0</v>
      </c>
      <c r="AI380" s="394">
        <f ca="1">+'Capex_FO input'!CX380</f>
        <v>0</v>
      </c>
      <c r="AJ380" s="395">
        <f ca="1">+'Capex_FO input'!CY380</f>
        <v>0</v>
      </c>
    </row>
    <row r="381" spans="3:36">
      <c r="C381" s="78">
        <f t="shared" si="23"/>
        <v>335</v>
      </c>
      <c r="D381" s="2124">
        <f>+'Capex_FO input'!C381</f>
        <v>0</v>
      </c>
      <c r="E381" s="2125"/>
      <c r="F381" s="2125"/>
      <c r="G381" s="2125"/>
      <c r="H381" s="2126"/>
      <c r="I381" s="643">
        <f>+'Capex_FO input'!N381</f>
        <v>0</v>
      </c>
      <c r="J381" s="67"/>
      <c r="K381" s="67"/>
      <c r="L381" s="67"/>
      <c r="M381" s="67"/>
      <c r="N381" s="138"/>
      <c r="O381" s="67"/>
      <c r="P381" s="67"/>
      <c r="Q381" s="67"/>
      <c r="R381" s="91"/>
      <c r="S381" s="138"/>
      <c r="T381" s="67"/>
      <c r="U381" s="91"/>
      <c r="V381" s="67"/>
      <c r="W381" s="67"/>
      <c r="X381" s="67"/>
      <c r="Y381" s="67"/>
      <c r="Z381" s="67"/>
      <c r="AA381" s="393">
        <f ca="1">+'Capex_FO input'!CP381</f>
        <v>0</v>
      </c>
      <c r="AB381" s="394">
        <f ca="1">+'Capex_FO input'!CQ381</f>
        <v>0</v>
      </c>
      <c r="AC381" s="394">
        <f ca="1">+'Capex_FO input'!CR381</f>
        <v>0</v>
      </c>
      <c r="AD381" s="394">
        <f ca="1">+'Capex_FO input'!CS381</f>
        <v>0</v>
      </c>
      <c r="AE381" s="1279">
        <f ca="1">+'Capex_FO input'!CT381</f>
        <v>0</v>
      </c>
      <c r="AF381" s="393">
        <f ca="1">+'Capex_FO input'!CU381</f>
        <v>0</v>
      </c>
      <c r="AG381" s="394">
        <f ca="1">+'Capex_FO input'!CV381</f>
        <v>0</v>
      </c>
      <c r="AH381" s="394">
        <f ca="1">+'Capex_FO input'!CW381</f>
        <v>0</v>
      </c>
      <c r="AI381" s="394">
        <f ca="1">+'Capex_FO input'!CX381</f>
        <v>0</v>
      </c>
      <c r="AJ381" s="395">
        <f ca="1">+'Capex_FO input'!CY381</f>
        <v>0</v>
      </c>
    </row>
    <row r="382" spans="3:36">
      <c r="C382" s="78">
        <f t="shared" si="23"/>
        <v>336</v>
      </c>
      <c r="D382" s="2124">
        <f>+'Capex_FO input'!C382</f>
        <v>0</v>
      </c>
      <c r="E382" s="2125"/>
      <c r="F382" s="2125"/>
      <c r="G382" s="2125"/>
      <c r="H382" s="2126"/>
      <c r="I382" s="643">
        <f>+'Capex_FO input'!N382</f>
        <v>0</v>
      </c>
      <c r="J382" s="67"/>
      <c r="K382" s="67"/>
      <c r="L382" s="67"/>
      <c r="M382" s="67"/>
      <c r="N382" s="138"/>
      <c r="O382" s="67"/>
      <c r="P382" s="67"/>
      <c r="Q382" s="67"/>
      <c r="R382" s="91"/>
      <c r="S382" s="138"/>
      <c r="T382" s="67"/>
      <c r="U382" s="91"/>
      <c r="V382" s="67"/>
      <c r="W382" s="67"/>
      <c r="X382" s="67"/>
      <c r="Y382" s="67"/>
      <c r="Z382" s="67"/>
      <c r="AA382" s="393">
        <f ca="1">+'Capex_FO input'!CP382</f>
        <v>0</v>
      </c>
      <c r="AB382" s="394">
        <f ca="1">+'Capex_FO input'!CQ382</f>
        <v>0</v>
      </c>
      <c r="AC382" s="394">
        <f ca="1">+'Capex_FO input'!CR382</f>
        <v>0</v>
      </c>
      <c r="AD382" s="394">
        <f ca="1">+'Capex_FO input'!CS382</f>
        <v>0</v>
      </c>
      <c r="AE382" s="1279">
        <f ca="1">+'Capex_FO input'!CT382</f>
        <v>0</v>
      </c>
      <c r="AF382" s="393">
        <f ca="1">+'Capex_FO input'!CU382</f>
        <v>0</v>
      </c>
      <c r="AG382" s="394">
        <f ca="1">+'Capex_FO input'!CV382</f>
        <v>0</v>
      </c>
      <c r="AH382" s="394">
        <f ca="1">+'Capex_FO input'!CW382</f>
        <v>0</v>
      </c>
      <c r="AI382" s="394">
        <f ca="1">+'Capex_FO input'!CX382</f>
        <v>0</v>
      </c>
      <c r="AJ382" s="395">
        <f ca="1">+'Capex_FO input'!CY382</f>
        <v>0</v>
      </c>
    </row>
    <row r="383" spans="3:36">
      <c r="C383" s="78">
        <f t="shared" si="23"/>
        <v>337</v>
      </c>
      <c r="D383" s="2124">
        <f>+'Capex_FO input'!C383</f>
        <v>0</v>
      </c>
      <c r="E383" s="2125"/>
      <c r="F383" s="2125"/>
      <c r="G383" s="2125"/>
      <c r="H383" s="2126"/>
      <c r="I383" s="643">
        <f>+'Capex_FO input'!N383</f>
        <v>0</v>
      </c>
      <c r="J383" s="67"/>
      <c r="K383" s="67"/>
      <c r="L383" s="67"/>
      <c r="M383" s="67"/>
      <c r="N383" s="138"/>
      <c r="O383" s="67"/>
      <c r="P383" s="67"/>
      <c r="Q383" s="67"/>
      <c r="R383" s="91"/>
      <c r="S383" s="138"/>
      <c r="T383" s="67"/>
      <c r="U383" s="91"/>
      <c r="V383" s="67"/>
      <c r="W383" s="67"/>
      <c r="X383" s="67"/>
      <c r="Y383" s="67"/>
      <c r="Z383" s="67"/>
      <c r="AA383" s="393">
        <f ca="1">+'Capex_FO input'!CP383</f>
        <v>0</v>
      </c>
      <c r="AB383" s="394">
        <f ca="1">+'Capex_FO input'!CQ383</f>
        <v>0</v>
      </c>
      <c r="AC383" s="394">
        <f ca="1">+'Capex_FO input'!CR383</f>
        <v>0</v>
      </c>
      <c r="AD383" s="394">
        <f ca="1">+'Capex_FO input'!CS383</f>
        <v>0</v>
      </c>
      <c r="AE383" s="1279">
        <f ca="1">+'Capex_FO input'!CT383</f>
        <v>0</v>
      </c>
      <c r="AF383" s="393">
        <f ca="1">+'Capex_FO input'!CU383</f>
        <v>0</v>
      </c>
      <c r="AG383" s="394">
        <f ca="1">+'Capex_FO input'!CV383</f>
        <v>0</v>
      </c>
      <c r="AH383" s="394">
        <f ca="1">+'Capex_FO input'!CW383</f>
        <v>0</v>
      </c>
      <c r="AI383" s="394">
        <f ca="1">+'Capex_FO input'!CX383</f>
        <v>0</v>
      </c>
      <c r="AJ383" s="395">
        <f ca="1">+'Capex_FO input'!CY383</f>
        <v>0</v>
      </c>
    </row>
    <row r="384" spans="3:36" ht="11.25" customHeight="1">
      <c r="C384" s="78">
        <f t="shared" ref="C384:C395" si="24">C383+1</f>
        <v>338</v>
      </c>
      <c r="D384" s="2124">
        <f>+'Capex_FO input'!C384</f>
        <v>0</v>
      </c>
      <c r="E384" s="2125"/>
      <c r="F384" s="2125"/>
      <c r="G384" s="2125"/>
      <c r="H384" s="2126"/>
      <c r="I384" s="643">
        <f>+'Capex_FO input'!N384</f>
        <v>0</v>
      </c>
      <c r="J384" s="67"/>
      <c r="K384" s="67"/>
      <c r="L384" s="67"/>
      <c r="M384" s="67"/>
      <c r="N384" s="138"/>
      <c r="O384" s="67"/>
      <c r="P384" s="67"/>
      <c r="Q384" s="67"/>
      <c r="R384" s="91"/>
      <c r="S384" s="138"/>
      <c r="T384" s="67"/>
      <c r="U384" s="91"/>
      <c r="V384" s="67"/>
      <c r="W384" s="67"/>
      <c r="X384" s="67"/>
      <c r="Y384" s="67"/>
      <c r="Z384" s="67"/>
      <c r="AA384" s="393">
        <f ca="1">+'Capex_FO input'!CP384</f>
        <v>0</v>
      </c>
      <c r="AB384" s="394">
        <f ca="1">+'Capex_FO input'!CQ384</f>
        <v>0</v>
      </c>
      <c r="AC384" s="394">
        <f ca="1">+'Capex_FO input'!CR384</f>
        <v>0</v>
      </c>
      <c r="AD384" s="394">
        <f ca="1">+'Capex_FO input'!CS384</f>
        <v>0</v>
      </c>
      <c r="AE384" s="1279">
        <f ca="1">+'Capex_FO input'!CT384</f>
        <v>0</v>
      </c>
      <c r="AF384" s="393">
        <f ca="1">+'Capex_FO input'!CU384</f>
        <v>0</v>
      </c>
      <c r="AG384" s="394">
        <f ca="1">+'Capex_FO input'!CV384</f>
        <v>0</v>
      </c>
      <c r="AH384" s="394">
        <f ca="1">+'Capex_FO input'!CW384</f>
        <v>0</v>
      </c>
      <c r="AI384" s="394">
        <f ca="1">+'Capex_FO input'!CX384</f>
        <v>0</v>
      </c>
      <c r="AJ384" s="395">
        <f ca="1">+'Capex_FO input'!CY384</f>
        <v>0</v>
      </c>
    </row>
    <row r="385" spans="3:36" ht="11.25" customHeight="1">
      <c r="C385" s="78">
        <f t="shared" si="24"/>
        <v>339</v>
      </c>
      <c r="D385" s="2124">
        <f>+'Capex_FO input'!C385</f>
        <v>0</v>
      </c>
      <c r="E385" s="2125"/>
      <c r="F385" s="2125"/>
      <c r="G385" s="2125"/>
      <c r="H385" s="2126"/>
      <c r="I385" s="643">
        <f>+'Capex_FO input'!N385</f>
        <v>0</v>
      </c>
      <c r="J385" s="67"/>
      <c r="K385" s="67"/>
      <c r="L385" s="67"/>
      <c r="M385" s="67"/>
      <c r="N385" s="138"/>
      <c r="O385" s="67"/>
      <c r="P385" s="67"/>
      <c r="Q385" s="67"/>
      <c r="R385" s="91"/>
      <c r="S385" s="138"/>
      <c r="T385" s="67"/>
      <c r="U385" s="91"/>
      <c r="V385" s="67"/>
      <c r="W385" s="67"/>
      <c r="X385" s="67"/>
      <c r="Y385" s="67"/>
      <c r="Z385" s="67"/>
      <c r="AA385" s="393">
        <f ca="1">+'Capex_FO input'!CP385</f>
        <v>0</v>
      </c>
      <c r="AB385" s="394">
        <f ca="1">+'Capex_FO input'!CQ385</f>
        <v>0</v>
      </c>
      <c r="AC385" s="394">
        <f ca="1">+'Capex_FO input'!CR385</f>
        <v>0</v>
      </c>
      <c r="AD385" s="394">
        <f ca="1">+'Capex_FO input'!CS385</f>
        <v>0</v>
      </c>
      <c r="AE385" s="1279">
        <f ca="1">+'Capex_FO input'!CT385</f>
        <v>0</v>
      </c>
      <c r="AF385" s="393">
        <f ca="1">+'Capex_FO input'!CU385</f>
        <v>0</v>
      </c>
      <c r="AG385" s="394">
        <f ca="1">+'Capex_FO input'!CV385</f>
        <v>0</v>
      </c>
      <c r="AH385" s="394">
        <f ca="1">+'Capex_FO input'!CW385</f>
        <v>0</v>
      </c>
      <c r="AI385" s="394">
        <f ca="1">+'Capex_FO input'!CX385</f>
        <v>0</v>
      </c>
      <c r="AJ385" s="395">
        <f ca="1">+'Capex_FO input'!CY385</f>
        <v>0</v>
      </c>
    </row>
    <row r="386" spans="3:36" ht="11.25" customHeight="1">
      <c r="C386" s="78">
        <f t="shared" si="24"/>
        <v>340</v>
      </c>
      <c r="D386" s="2124">
        <f>+'Capex_FO input'!C386</f>
        <v>0</v>
      </c>
      <c r="E386" s="2125"/>
      <c r="F386" s="2125"/>
      <c r="G386" s="2125"/>
      <c r="H386" s="2126"/>
      <c r="I386" s="643">
        <f>+'Capex_FO input'!N386</f>
        <v>0</v>
      </c>
      <c r="J386" s="67"/>
      <c r="K386" s="67"/>
      <c r="L386" s="67"/>
      <c r="M386" s="67"/>
      <c r="N386" s="138"/>
      <c r="O386" s="67"/>
      <c r="P386" s="67"/>
      <c r="Q386" s="67"/>
      <c r="R386" s="91"/>
      <c r="S386" s="138"/>
      <c r="T386" s="67"/>
      <c r="U386" s="91"/>
      <c r="V386" s="67"/>
      <c r="W386" s="67"/>
      <c r="X386" s="67"/>
      <c r="Y386" s="67"/>
      <c r="Z386" s="67"/>
      <c r="AA386" s="393">
        <f ca="1">+'Capex_FO input'!CP386</f>
        <v>0</v>
      </c>
      <c r="AB386" s="394">
        <f ca="1">+'Capex_FO input'!CQ386</f>
        <v>0</v>
      </c>
      <c r="AC386" s="394">
        <f ca="1">+'Capex_FO input'!CR386</f>
        <v>0</v>
      </c>
      <c r="AD386" s="394">
        <f ca="1">+'Capex_FO input'!CS386</f>
        <v>0</v>
      </c>
      <c r="AE386" s="1279">
        <f ca="1">+'Capex_FO input'!CT386</f>
        <v>0</v>
      </c>
      <c r="AF386" s="393">
        <f ca="1">+'Capex_FO input'!CU386</f>
        <v>0</v>
      </c>
      <c r="AG386" s="394">
        <f ca="1">+'Capex_FO input'!CV386</f>
        <v>0</v>
      </c>
      <c r="AH386" s="394">
        <f ca="1">+'Capex_FO input'!CW386</f>
        <v>0</v>
      </c>
      <c r="AI386" s="394">
        <f ca="1">+'Capex_FO input'!CX386</f>
        <v>0</v>
      </c>
      <c r="AJ386" s="395">
        <f ca="1">+'Capex_FO input'!CY386</f>
        <v>0</v>
      </c>
    </row>
    <row r="387" spans="3:36" ht="11.25" customHeight="1">
      <c r="C387" s="78">
        <f t="shared" si="24"/>
        <v>341</v>
      </c>
      <c r="D387" s="2124">
        <f>+'Capex_FO input'!C387</f>
        <v>0</v>
      </c>
      <c r="E387" s="2125"/>
      <c r="F387" s="2125"/>
      <c r="G387" s="2125"/>
      <c r="H387" s="2126"/>
      <c r="I387" s="643">
        <f>+'Capex_FO input'!N387</f>
        <v>0</v>
      </c>
      <c r="J387" s="67"/>
      <c r="K387" s="67"/>
      <c r="L387" s="67"/>
      <c r="M387" s="67"/>
      <c r="N387" s="138"/>
      <c r="O387" s="67"/>
      <c r="P387" s="67"/>
      <c r="Q387" s="67"/>
      <c r="R387" s="91"/>
      <c r="S387" s="138"/>
      <c r="T387" s="67"/>
      <c r="U387" s="91"/>
      <c r="V387" s="67"/>
      <c r="W387" s="67"/>
      <c r="X387" s="67"/>
      <c r="Y387" s="67"/>
      <c r="Z387" s="67"/>
      <c r="AA387" s="393">
        <f ca="1">+'Capex_FO input'!CP387</f>
        <v>0</v>
      </c>
      <c r="AB387" s="394">
        <f ca="1">+'Capex_FO input'!CQ387</f>
        <v>0</v>
      </c>
      <c r="AC387" s="394">
        <f ca="1">+'Capex_FO input'!CR387</f>
        <v>0</v>
      </c>
      <c r="AD387" s="394">
        <f ca="1">+'Capex_FO input'!CS387</f>
        <v>0</v>
      </c>
      <c r="AE387" s="1279">
        <f ca="1">+'Capex_FO input'!CT387</f>
        <v>0</v>
      </c>
      <c r="AF387" s="393">
        <f ca="1">+'Capex_FO input'!CU387</f>
        <v>0</v>
      </c>
      <c r="AG387" s="394">
        <f ca="1">+'Capex_FO input'!CV387</f>
        <v>0</v>
      </c>
      <c r="AH387" s="394">
        <f ca="1">+'Capex_FO input'!CW387</f>
        <v>0</v>
      </c>
      <c r="AI387" s="394">
        <f ca="1">+'Capex_FO input'!CX387</f>
        <v>0</v>
      </c>
      <c r="AJ387" s="395">
        <f ca="1">+'Capex_FO input'!CY387</f>
        <v>0</v>
      </c>
    </row>
    <row r="388" spans="3:36" ht="11.25" customHeight="1">
      <c r="C388" s="78">
        <f t="shared" si="24"/>
        <v>342</v>
      </c>
      <c r="D388" s="2124">
        <f>+'Capex_FO input'!C388</f>
        <v>0</v>
      </c>
      <c r="E388" s="2125"/>
      <c r="F388" s="2125"/>
      <c r="G388" s="2125"/>
      <c r="H388" s="2126"/>
      <c r="I388" s="643">
        <f>+'Capex_FO input'!N388</f>
        <v>0</v>
      </c>
      <c r="J388" s="67"/>
      <c r="K388" s="67"/>
      <c r="L388" s="67"/>
      <c r="M388" s="67"/>
      <c r="N388" s="138"/>
      <c r="O388" s="67"/>
      <c r="P388" s="67"/>
      <c r="Q388" s="67"/>
      <c r="R388" s="91"/>
      <c r="S388" s="138"/>
      <c r="T388" s="67"/>
      <c r="U388" s="91"/>
      <c r="V388" s="67"/>
      <c r="W388" s="67"/>
      <c r="X388" s="67"/>
      <c r="Y388" s="67"/>
      <c r="Z388" s="67"/>
      <c r="AA388" s="393">
        <f ca="1">+'Capex_FO input'!CP388</f>
        <v>0</v>
      </c>
      <c r="AB388" s="394">
        <f ca="1">+'Capex_FO input'!CQ388</f>
        <v>0</v>
      </c>
      <c r="AC388" s="394">
        <f ca="1">+'Capex_FO input'!CR388</f>
        <v>0</v>
      </c>
      <c r="AD388" s="394">
        <f ca="1">+'Capex_FO input'!CS388</f>
        <v>0</v>
      </c>
      <c r="AE388" s="1279">
        <f ca="1">+'Capex_FO input'!CT388</f>
        <v>0</v>
      </c>
      <c r="AF388" s="393">
        <f ca="1">+'Capex_FO input'!CU388</f>
        <v>0</v>
      </c>
      <c r="AG388" s="394">
        <f ca="1">+'Capex_FO input'!CV388</f>
        <v>0</v>
      </c>
      <c r="AH388" s="394">
        <f ca="1">+'Capex_FO input'!CW388</f>
        <v>0</v>
      </c>
      <c r="AI388" s="394">
        <f ca="1">+'Capex_FO input'!CX388</f>
        <v>0</v>
      </c>
      <c r="AJ388" s="395">
        <f ca="1">+'Capex_FO input'!CY388</f>
        <v>0</v>
      </c>
    </row>
    <row r="389" spans="3:36" ht="11.25" customHeight="1">
      <c r="C389" s="78">
        <f t="shared" si="24"/>
        <v>343</v>
      </c>
      <c r="D389" s="2124">
        <f>+'Capex_FO input'!C389</f>
        <v>0</v>
      </c>
      <c r="E389" s="2125"/>
      <c r="F389" s="2125"/>
      <c r="G389" s="2125"/>
      <c r="H389" s="2126"/>
      <c r="I389" s="643">
        <f>+'Capex_FO input'!N389</f>
        <v>0</v>
      </c>
      <c r="J389" s="67"/>
      <c r="K389" s="67"/>
      <c r="L389" s="67"/>
      <c r="M389" s="67"/>
      <c r="N389" s="138"/>
      <c r="O389" s="67"/>
      <c r="P389" s="67"/>
      <c r="Q389" s="67"/>
      <c r="R389" s="91"/>
      <c r="S389" s="138"/>
      <c r="T389" s="67"/>
      <c r="U389" s="91"/>
      <c r="V389" s="67"/>
      <c r="W389" s="67"/>
      <c r="X389" s="67"/>
      <c r="Y389" s="67"/>
      <c r="Z389" s="67"/>
      <c r="AA389" s="393">
        <f ca="1">+'Capex_FO input'!CP389</f>
        <v>0</v>
      </c>
      <c r="AB389" s="394">
        <f ca="1">+'Capex_FO input'!CQ389</f>
        <v>0</v>
      </c>
      <c r="AC389" s="394">
        <f ca="1">+'Capex_FO input'!CR389</f>
        <v>0</v>
      </c>
      <c r="AD389" s="394">
        <f ca="1">+'Capex_FO input'!CS389</f>
        <v>0</v>
      </c>
      <c r="AE389" s="1279">
        <f ca="1">+'Capex_FO input'!CT389</f>
        <v>0</v>
      </c>
      <c r="AF389" s="393">
        <f ca="1">+'Capex_FO input'!CU389</f>
        <v>0</v>
      </c>
      <c r="AG389" s="394">
        <f ca="1">+'Capex_FO input'!CV389</f>
        <v>0</v>
      </c>
      <c r="AH389" s="394">
        <f ca="1">+'Capex_FO input'!CW389</f>
        <v>0</v>
      </c>
      <c r="AI389" s="394">
        <f ca="1">+'Capex_FO input'!CX389</f>
        <v>0</v>
      </c>
      <c r="AJ389" s="395">
        <f ca="1">+'Capex_FO input'!CY389</f>
        <v>0</v>
      </c>
    </row>
    <row r="390" spans="3:36" ht="11.25" customHeight="1">
      <c r="C390" s="78">
        <f t="shared" si="24"/>
        <v>344</v>
      </c>
      <c r="D390" s="2124">
        <f>+'Capex_FO input'!C390</f>
        <v>0</v>
      </c>
      <c r="E390" s="2125"/>
      <c r="F390" s="2125"/>
      <c r="G390" s="2125"/>
      <c r="H390" s="2126"/>
      <c r="I390" s="643">
        <f>+'Capex_FO input'!N390</f>
        <v>0</v>
      </c>
      <c r="J390" s="67"/>
      <c r="K390" s="67"/>
      <c r="L390" s="67"/>
      <c r="M390" s="67"/>
      <c r="N390" s="138"/>
      <c r="O390" s="67"/>
      <c r="P390" s="67"/>
      <c r="Q390" s="67"/>
      <c r="R390" s="91"/>
      <c r="S390" s="138"/>
      <c r="T390" s="67"/>
      <c r="U390" s="91"/>
      <c r="V390" s="67"/>
      <c r="W390" s="67"/>
      <c r="X390" s="67"/>
      <c r="Y390" s="67"/>
      <c r="Z390" s="67"/>
      <c r="AA390" s="393">
        <f ca="1">+'Capex_FO input'!CP390</f>
        <v>0</v>
      </c>
      <c r="AB390" s="394">
        <f ca="1">+'Capex_FO input'!CQ390</f>
        <v>0</v>
      </c>
      <c r="AC390" s="394">
        <f ca="1">+'Capex_FO input'!CR390</f>
        <v>0</v>
      </c>
      <c r="AD390" s="394">
        <f ca="1">+'Capex_FO input'!CS390</f>
        <v>0</v>
      </c>
      <c r="AE390" s="1279">
        <f ca="1">+'Capex_FO input'!CT390</f>
        <v>0</v>
      </c>
      <c r="AF390" s="393">
        <f ca="1">+'Capex_FO input'!CU390</f>
        <v>0</v>
      </c>
      <c r="AG390" s="394">
        <f ca="1">+'Capex_FO input'!CV390</f>
        <v>0</v>
      </c>
      <c r="AH390" s="394">
        <f ca="1">+'Capex_FO input'!CW390</f>
        <v>0</v>
      </c>
      <c r="AI390" s="394">
        <f ca="1">+'Capex_FO input'!CX390</f>
        <v>0</v>
      </c>
      <c r="AJ390" s="395">
        <f ca="1">+'Capex_FO input'!CY390</f>
        <v>0</v>
      </c>
    </row>
    <row r="391" spans="3:36" ht="11.25" customHeight="1">
      <c r="C391" s="78">
        <f t="shared" si="24"/>
        <v>345</v>
      </c>
      <c r="D391" s="2124">
        <f>+'Capex_FO input'!C391</f>
        <v>0</v>
      </c>
      <c r="E391" s="2125"/>
      <c r="F391" s="2125"/>
      <c r="G391" s="2125"/>
      <c r="H391" s="2126"/>
      <c r="I391" s="643">
        <f>+'Capex_FO input'!N391</f>
        <v>0</v>
      </c>
      <c r="J391" s="67"/>
      <c r="K391" s="67"/>
      <c r="L391" s="67"/>
      <c r="M391" s="67"/>
      <c r="N391" s="138"/>
      <c r="O391" s="67"/>
      <c r="P391" s="67"/>
      <c r="Q391" s="67"/>
      <c r="R391" s="91"/>
      <c r="S391" s="138"/>
      <c r="T391" s="67"/>
      <c r="U391" s="91"/>
      <c r="V391" s="67"/>
      <c r="W391" s="67"/>
      <c r="X391" s="67"/>
      <c r="Y391" s="67"/>
      <c r="Z391" s="67"/>
      <c r="AA391" s="393">
        <f ca="1">+'Capex_FO input'!CP391</f>
        <v>0</v>
      </c>
      <c r="AB391" s="394">
        <f ca="1">+'Capex_FO input'!CQ391</f>
        <v>0</v>
      </c>
      <c r="AC391" s="394">
        <f ca="1">+'Capex_FO input'!CR391</f>
        <v>0</v>
      </c>
      <c r="AD391" s="394">
        <f ca="1">+'Capex_FO input'!CS391</f>
        <v>0</v>
      </c>
      <c r="AE391" s="1279">
        <f ca="1">+'Capex_FO input'!CT391</f>
        <v>0</v>
      </c>
      <c r="AF391" s="393">
        <f ca="1">+'Capex_FO input'!CU391</f>
        <v>0</v>
      </c>
      <c r="AG391" s="394">
        <f ca="1">+'Capex_FO input'!CV391</f>
        <v>0</v>
      </c>
      <c r="AH391" s="394">
        <f ca="1">+'Capex_FO input'!CW391</f>
        <v>0</v>
      </c>
      <c r="AI391" s="394">
        <f ca="1">+'Capex_FO input'!CX391</f>
        <v>0</v>
      </c>
      <c r="AJ391" s="395">
        <f ca="1">+'Capex_FO input'!CY391</f>
        <v>0</v>
      </c>
    </row>
    <row r="392" spans="3:36" ht="11.25" customHeight="1">
      <c r="C392" s="78">
        <f t="shared" si="24"/>
        <v>346</v>
      </c>
      <c r="D392" s="2124">
        <f>+'Capex_FO input'!C392</f>
        <v>0</v>
      </c>
      <c r="E392" s="2125"/>
      <c r="F392" s="2125"/>
      <c r="G392" s="2125"/>
      <c r="H392" s="2126"/>
      <c r="I392" s="643">
        <f>+'Capex_FO input'!N392</f>
        <v>0</v>
      </c>
      <c r="J392" s="67"/>
      <c r="K392" s="67"/>
      <c r="L392" s="67"/>
      <c r="M392" s="67"/>
      <c r="N392" s="138"/>
      <c r="O392" s="67"/>
      <c r="P392" s="67"/>
      <c r="Q392" s="67"/>
      <c r="R392" s="91"/>
      <c r="S392" s="138"/>
      <c r="T392" s="67"/>
      <c r="U392" s="91"/>
      <c r="V392" s="67"/>
      <c r="W392" s="67"/>
      <c r="X392" s="67"/>
      <c r="Y392" s="67"/>
      <c r="Z392" s="67"/>
      <c r="AA392" s="393">
        <f ca="1">+'Capex_FO input'!CP392</f>
        <v>0</v>
      </c>
      <c r="AB392" s="394">
        <f ca="1">+'Capex_FO input'!CQ392</f>
        <v>0</v>
      </c>
      <c r="AC392" s="394">
        <f ca="1">+'Capex_FO input'!CR392</f>
        <v>0</v>
      </c>
      <c r="AD392" s="394">
        <f ca="1">+'Capex_FO input'!CS392</f>
        <v>0</v>
      </c>
      <c r="AE392" s="1279">
        <f ca="1">+'Capex_FO input'!CT392</f>
        <v>0</v>
      </c>
      <c r="AF392" s="393">
        <f ca="1">+'Capex_FO input'!CU392</f>
        <v>0</v>
      </c>
      <c r="AG392" s="394">
        <f ca="1">+'Capex_FO input'!CV392</f>
        <v>0</v>
      </c>
      <c r="AH392" s="394">
        <f ca="1">+'Capex_FO input'!CW392</f>
        <v>0</v>
      </c>
      <c r="AI392" s="394">
        <f ca="1">+'Capex_FO input'!CX392</f>
        <v>0</v>
      </c>
      <c r="AJ392" s="395">
        <f ca="1">+'Capex_FO input'!CY392</f>
        <v>0</v>
      </c>
    </row>
    <row r="393" spans="3:36" ht="11.25" customHeight="1">
      <c r="C393" s="78">
        <f t="shared" si="24"/>
        <v>347</v>
      </c>
      <c r="D393" s="2124">
        <f>+'Capex_FO input'!C393</f>
        <v>0</v>
      </c>
      <c r="E393" s="2125"/>
      <c r="F393" s="2125"/>
      <c r="G393" s="2125"/>
      <c r="H393" s="2126"/>
      <c r="I393" s="643">
        <f>+'Capex_FO input'!N393</f>
        <v>0</v>
      </c>
      <c r="J393" s="67"/>
      <c r="K393" s="67"/>
      <c r="L393" s="67"/>
      <c r="M393" s="67"/>
      <c r="N393" s="138"/>
      <c r="O393" s="67"/>
      <c r="P393" s="67"/>
      <c r="Q393" s="67"/>
      <c r="R393" s="91"/>
      <c r="S393" s="138"/>
      <c r="T393" s="67"/>
      <c r="U393" s="91"/>
      <c r="V393" s="67"/>
      <c r="W393" s="67"/>
      <c r="X393" s="67"/>
      <c r="Y393" s="67"/>
      <c r="Z393" s="67"/>
      <c r="AA393" s="393">
        <f ca="1">+'Capex_FO input'!CP393</f>
        <v>0</v>
      </c>
      <c r="AB393" s="394">
        <f ca="1">+'Capex_FO input'!CQ393</f>
        <v>0</v>
      </c>
      <c r="AC393" s="394">
        <f ca="1">+'Capex_FO input'!CR393</f>
        <v>0</v>
      </c>
      <c r="AD393" s="394">
        <f ca="1">+'Capex_FO input'!CS393</f>
        <v>0</v>
      </c>
      <c r="AE393" s="1279">
        <f ca="1">+'Capex_FO input'!CT393</f>
        <v>0</v>
      </c>
      <c r="AF393" s="393">
        <f ca="1">+'Capex_FO input'!CU393</f>
        <v>0</v>
      </c>
      <c r="AG393" s="394">
        <f ca="1">+'Capex_FO input'!CV393</f>
        <v>0</v>
      </c>
      <c r="AH393" s="394">
        <f ca="1">+'Capex_FO input'!CW393</f>
        <v>0</v>
      </c>
      <c r="AI393" s="394">
        <f ca="1">+'Capex_FO input'!CX393</f>
        <v>0</v>
      </c>
      <c r="AJ393" s="395">
        <f ca="1">+'Capex_FO input'!CY393</f>
        <v>0</v>
      </c>
    </row>
    <row r="394" spans="3:36">
      <c r="C394" s="78">
        <f t="shared" si="24"/>
        <v>348</v>
      </c>
      <c r="D394" s="2124">
        <f>+'Capex_FO input'!C394</f>
        <v>0</v>
      </c>
      <c r="E394" s="2125"/>
      <c r="F394" s="2125"/>
      <c r="G394" s="2125"/>
      <c r="H394" s="2126"/>
      <c r="I394" s="643">
        <f>+'Capex_FO input'!N394</f>
        <v>0</v>
      </c>
      <c r="J394" s="67"/>
      <c r="K394" s="67"/>
      <c r="L394" s="67"/>
      <c r="M394" s="67"/>
      <c r="N394" s="138"/>
      <c r="O394" s="67"/>
      <c r="P394" s="67"/>
      <c r="Q394" s="67"/>
      <c r="R394" s="91"/>
      <c r="S394" s="138"/>
      <c r="T394" s="67"/>
      <c r="U394" s="91"/>
      <c r="V394" s="67"/>
      <c r="W394" s="67"/>
      <c r="X394" s="67"/>
      <c r="Y394" s="67"/>
      <c r="Z394" s="67"/>
      <c r="AA394" s="393">
        <f ca="1">+'Capex_FO input'!CP394</f>
        <v>0</v>
      </c>
      <c r="AB394" s="394">
        <f ca="1">+'Capex_FO input'!CQ394</f>
        <v>0</v>
      </c>
      <c r="AC394" s="394">
        <f ca="1">+'Capex_FO input'!CR394</f>
        <v>0</v>
      </c>
      <c r="AD394" s="394">
        <f ca="1">+'Capex_FO input'!CS394</f>
        <v>0</v>
      </c>
      <c r="AE394" s="1279">
        <f ca="1">+'Capex_FO input'!CT394</f>
        <v>0</v>
      </c>
      <c r="AF394" s="393">
        <f ca="1">+'Capex_FO input'!CU394</f>
        <v>0</v>
      </c>
      <c r="AG394" s="394">
        <f ca="1">+'Capex_FO input'!CV394</f>
        <v>0</v>
      </c>
      <c r="AH394" s="394">
        <f ca="1">+'Capex_FO input'!CW394</f>
        <v>0</v>
      </c>
      <c r="AI394" s="394">
        <f ca="1">+'Capex_FO input'!CX394</f>
        <v>0</v>
      </c>
      <c r="AJ394" s="395">
        <f ca="1">+'Capex_FO input'!CY394</f>
        <v>0</v>
      </c>
    </row>
    <row r="395" spans="3:36">
      <c r="C395" s="78">
        <f t="shared" si="24"/>
        <v>349</v>
      </c>
      <c r="D395" s="2124">
        <f>+'Capex_FO input'!C395</f>
        <v>0</v>
      </c>
      <c r="E395" s="2125"/>
      <c r="F395" s="2125"/>
      <c r="G395" s="2125"/>
      <c r="H395" s="2126"/>
      <c r="I395" s="643">
        <f>+'Capex_FO input'!N395</f>
        <v>0</v>
      </c>
      <c r="J395" s="67"/>
      <c r="K395" s="67"/>
      <c r="L395" s="67"/>
      <c r="M395" s="67"/>
      <c r="N395" s="138"/>
      <c r="O395" s="67"/>
      <c r="P395" s="67"/>
      <c r="Q395" s="67"/>
      <c r="R395" s="91"/>
      <c r="S395" s="138"/>
      <c r="T395" s="67"/>
      <c r="U395" s="91"/>
      <c r="V395" s="67"/>
      <c r="W395" s="67"/>
      <c r="X395" s="67"/>
      <c r="Y395" s="67"/>
      <c r="Z395" s="67"/>
      <c r="AA395" s="393">
        <f ca="1">+'Capex_FO input'!CP395</f>
        <v>0</v>
      </c>
      <c r="AB395" s="394">
        <f ca="1">+'Capex_FO input'!CQ395</f>
        <v>0</v>
      </c>
      <c r="AC395" s="394">
        <f ca="1">+'Capex_FO input'!CR395</f>
        <v>0</v>
      </c>
      <c r="AD395" s="394">
        <f ca="1">+'Capex_FO input'!CS395</f>
        <v>0</v>
      </c>
      <c r="AE395" s="1279">
        <f ca="1">+'Capex_FO input'!CT395</f>
        <v>0</v>
      </c>
      <c r="AF395" s="393">
        <f ca="1">+'Capex_FO input'!CU395</f>
        <v>0</v>
      </c>
      <c r="AG395" s="394">
        <f ca="1">+'Capex_FO input'!CV395</f>
        <v>0</v>
      </c>
      <c r="AH395" s="394">
        <f ca="1">+'Capex_FO input'!CW395</f>
        <v>0</v>
      </c>
      <c r="AI395" s="394">
        <f ca="1">+'Capex_FO input'!CX395</f>
        <v>0</v>
      </c>
      <c r="AJ395" s="395">
        <f ca="1">+'Capex_FO input'!CY395</f>
        <v>0</v>
      </c>
    </row>
    <row r="396" spans="3:36" ht="12.75" thickBot="1">
      <c r="C396" s="78">
        <f>C395+1</f>
        <v>350</v>
      </c>
      <c r="D396" s="2130">
        <f>+'Capex_FO input'!C396</f>
        <v>0</v>
      </c>
      <c r="E396" s="2131"/>
      <c r="F396" s="2131"/>
      <c r="G396" s="2131"/>
      <c r="H396" s="2132"/>
      <c r="I396" s="644">
        <f>+'Capex_FO input'!N396</f>
        <v>0</v>
      </c>
      <c r="J396" s="181"/>
      <c r="K396" s="181"/>
      <c r="L396" s="181"/>
      <c r="M396" s="181"/>
      <c r="N396" s="645"/>
      <c r="O396" s="181"/>
      <c r="P396" s="181"/>
      <c r="Q396" s="181"/>
      <c r="R396" s="646"/>
      <c r="S396" s="645"/>
      <c r="T396" s="181"/>
      <c r="U396" s="646"/>
      <c r="V396" s="181"/>
      <c r="W396" s="181"/>
      <c r="X396" s="181"/>
      <c r="Y396" s="181"/>
      <c r="Z396" s="181"/>
      <c r="AA396" s="650">
        <f ca="1">+'Capex_FO input'!CP396</f>
        <v>0</v>
      </c>
      <c r="AB396" s="651">
        <f ca="1">+'Capex_FO input'!CQ396</f>
        <v>0</v>
      </c>
      <c r="AC396" s="651">
        <f ca="1">+'Capex_FO input'!CR396</f>
        <v>0</v>
      </c>
      <c r="AD396" s="651">
        <f ca="1">+'Capex_FO input'!CS396</f>
        <v>0</v>
      </c>
      <c r="AE396" s="1299">
        <f ca="1">+'Capex_FO input'!CT396</f>
        <v>0</v>
      </c>
      <c r="AF396" s="650">
        <f ca="1">+'Capex_FO input'!CU396</f>
        <v>0</v>
      </c>
      <c r="AG396" s="651">
        <f ca="1">+'Capex_FO input'!CV396</f>
        <v>0</v>
      </c>
      <c r="AH396" s="651">
        <f ca="1">+'Capex_FO input'!CW396</f>
        <v>0</v>
      </c>
      <c r="AI396" s="651">
        <f ca="1">+'Capex_FO input'!CX396</f>
        <v>0</v>
      </c>
      <c r="AJ396" s="652">
        <f ca="1">+'Capex_FO input'!CY396</f>
        <v>0</v>
      </c>
    </row>
    <row r="397" spans="3:36">
      <c r="C397" s="78"/>
      <c r="D397" s="67"/>
      <c r="E397" s="67"/>
      <c r="F397" s="67"/>
      <c r="G397" s="67"/>
      <c r="H397" s="67"/>
      <c r="I397" s="67"/>
      <c r="J397" s="67"/>
      <c r="K397" s="67"/>
      <c r="L397" s="67"/>
      <c r="M397" s="67"/>
      <c r="N397" s="67"/>
      <c r="O397" s="67"/>
      <c r="P397" s="67"/>
      <c r="Q397" s="67"/>
      <c r="R397" s="67"/>
      <c r="S397" s="67"/>
      <c r="T397" s="67"/>
      <c r="U397" s="67"/>
      <c r="V397" s="67"/>
      <c r="W397" s="67"/>
      <c r="X397" s="87"/>
      <c r="Y397" s="87"/>
      <c r="Z397" s="87"/>
      <c r="AA397" s="87"/>
      <c r="AB397" s="87"/>
      <c r="AC397" s="87"/>
      <c r="AD397" s="87"/>
      <c r="AE397" s="87"/>
      <c r="AF397" s="87"/>
      <c r="AG397" s="87"/>
      <c r="AH397" s="87"/>
      <c r="AI397" s="87"/>
      <c r="AJ397" s="87"/>
    </row>
    <row r="398" spans="3:36">
      <c r="C398" s="78"/>
      <c r="D398" s="67"/>
      <c r="E398" s="67"/>
      <c r="F398" s="67"/>
      <c r="G398" s="67"/>
      <c r="H398" s="67"/>
      <c r="I398" s="67"/>
      <c r="J398" s="67"/>
      <c r="K398" s="67"/>
      <c r="L398" s="67"/>
      <c r="M398" s="67"/>
      <c r="N398" s="67"/>
      <c r="O398" s="67"/>
      <c r="P398" s="67"/>
      <c r="Q398" s="67"/>
      <c r="R398" s="67"/>
      <c r="S398" s="67"/>
      <c r="T398" s="67"/>
      <c r="U398" s="67"/>
      <c r="V398" s="67"/>
      <c r="W398" s="67"/>
      <c r="X398" s="87"/>
      <c r="Y398" s="87"/>
      <c r="Z398" s="87"/>
      <c r="AA398" s="87"/>
      <c r="AB398" s="87"/>
      <c r="AC398" s="87"/>
      <c r="AD398" s="87"/>
      <c r="AE398" s="87"/>
      <c r="AF398" s="87"/>
      <c r="AG398" s="87"/>
      <c r="AH398" s="87"/>
      <c r="AI398" s="87"/>
      <c r="AJ398" s="87"/>
    </row>
    <row r="399" spans="3:36">
      <c r="C399" s="78"/>
      <c r="D399" s="67"/>
      <c r="E399" s="67"/>
      <c r="F399" s="67"/>
      <c r="G399" s="67"/>
      <c r="H399" s="67"/>
      <c r="I399" s="67"/>
      <c r="J399" s="67"/>
      <c r="K399" s="67"/>
      <c r="L399" s="67"/>
      <c r="M399" s="67"/>
      <c r="N399" s="67"/>
      <c r="O399" s="67"/>
      <c r="P399" s="67"/>
      <c r="Q399" s="67"/>
      <c r="R399" s="67"/>
      <c r="S399" s="67"/>
      <c r="T399" s="67"/>
      <c r="U399" s="67"/>
      <c r="V399" s="67"/>
      <c r="W399" s="67"/>
      <c r="X399" s="87"/>
      <c r="Y399" s="87"/>
      <c r="Z399" s="87"/>
      <c r="AA399" s="87"/>
      <c r="AB399" s="87"/>
      <c r="AC399" s="87"/>
      <c r="AD399" s="87"/>
      <c r="AE399" s="87"/>
      <c r="AF399" s="87"/>
      <c r="AG399" s="87"/>
      <c r="AH399" s="87"/>
      <c r="AI399" s="87"/>
      <c r="AJ399" s="87"/>
    </row>
    <row r="400" spans="3:36">
      <c r="C400" s="78"/>
      <c r="D400" s="67"/>
      <c r="E400" s="67"/>
      <c r="F400" s="67"/>
      <c r="G400" s="67"/>
      <c r="H400" s="67"/>
      <c r="I400" s="67"/>
      <c r="J400" s="67"/>
      <c r="K400" s="67"/>
      <c r="L400" s="67"/>
      <c r="M400" s="67"/>
      <c r="N400" s="67"/>
      <c r="O400" s="67"/>
      <c r="P400" s="67"/>
      <c r="Q400" s="67"/>
      <c r="R400" s="67"/>
      <c r="S400" s="67"/>
      <c r="T400" s="67"/>
      <c r="U400" s="67"/>
      <c r="V400" s="67"/>
      <c r="W400" s="67"/>
      <c r="X400" s="87"/>
      <c r="Y400" s="87"/>
      <c r="Z400" s="87"/>
      <c r="AA400" s="87"/>
      <c r="AB400" s="87"/>
      <c r="AC400" s="87"/>
      <c r="AD400" s="87"/>
      <c r="AE400" s="87"/>
      <c r="AF400" s="87"/>
      <c r="AG400" s="87"/>
      <c r="AH400" s="87"/>
      <c r="AI400" s="87"/>
      <c r="AJ400" s="87"/>
    </row>
    <row r="401" spans="3:31">
      <c r="C401" s="78"/>
      <c r="D401" s="67"/>
      <c r="E401" s="67"/>
      <c r="F401" s="67"/>
      <c r="G401" s="67"/>
      <c r="H401" s="67"/>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row>
    <row r="402" spans="3:31" ht="11.25" customHeight="1">
      <c r="C402" s="78"/>
      <c r="D402" s="67"/>
      <c r="E402" s="67"/>
      <c r="F402" s="67"/>
      <c r="G402" s="67"/>
      <c r="H402" s="67"/>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row>
    <row r="403" spans="3:31" ht="11.25" customHeight="1">
      <c r="C403" s="78"/>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row>
    <row r="404" spans="3:31" ht="11.25" customHeight="1">
      <c r="C404" s="78"/>
      <c r="D404" s="67"/>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row>
    <row r="405" spans="3:31" ht="11.25" customHeight="1">
      <c r="C405" s="78"/>
      <c r="D405" s="67"/>
      <c r="E405" s="67"/>
      <c r="F405" s="6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row>
    <row r="406" spans="3:31" ht="11.25" customHeight="1">
      <c r="C406" s="78"/>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row>
    <row r="407" spans="3:31" ht="11.25" customHeight="1">
      <c r="C407" s="78"/>
      <c r="D407" s="67"/>
      <c r="E407" s="67"/>
      <c r="F407" s="67"/>
      <c r="G407" s="67"/>
      <c r="H407" s="67"/>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row>
    <row r="408" spans="3:31" ht="11.25" customHeight="1">
      <c r="C408" s="78"/>
      <c r="D408" s="67"/>
      <c r="E408" s="67"/>
      <c r="F408" s="6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row>
    <row r="409" spans="3:31" ht="11.25" customHeight="1">
      <c r="C409" s="78"/>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row>
    <row r="410" spans="3:31" ht="11.25" customHeight="1">
      <c r="C410" s="78"/>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row>
    <row r="411" spans="3:31" ht="11.25" customHeight="1">
      <c r="C411" s="78"/>
      <c r="D411" s="67"/>
      <c r="E411" s="67"/>
      <c r="F411" s="6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row>
    <row r="412" spans="3:31">
      <c r="C412" s="78"/>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row>
    <row r="413" spans="3:31">
      <c r="C413" s="78"/>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row>
    <row r="414" spans="3:31">
      <c r="C414" s="78"/>
      <c r="D414" s="67"/>
      <c r="E414" s="67"/>
      <c r="F414" s="6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row>
    <row r="415" spans="3:31">
      <c r="C415" s="78"/>
      <c r="D415" s="67"/>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row>
    <row r="416" spans="3:31">
      <c r="C416" s="78"/>
      <c r="D416" s="67"/>
      <c r="E416" s="67"/>
      <c r="F416" s="67"/>
      <c r="G416" s="67"/>
      <c r="H416" s="67"/>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row>
    <row r="417" spans="3:31">
      <c r="C417" s="78"/>
      <c r="D417" s="67"/>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row>
    <row r="418" spans="3:31">
      <c r="C418" s="78"/>
      <c r="D418" s="67"/>
      <c r="E418" s="67"/>
      <c r="F418" s="67"/>
      <c r="G418" s="67"/>
      <c r="H418" s="67"/>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row>
    <row r="419" spans="3:31" ht="11.25" customHeight="1">
      <c r="C419" s="78"/>
      <c r="D419" s="67"/>
      <c r="E419" s="67"/>
      <c r="F419" s="67"/>
      <c r="G419" s="67"/>
      <c r="H419" s="67"/>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row>
    <row r="420" spans="3:31" ht="11.25" customHeight="1">
      <c r="C420" s="78"/>
      <c r="D420" s="67"/>
      <c r="E420" s="67"/>
      <c r="F420" s="67"/>
      <c r="G420" s="67"/>
      <c r="H420" s="67"/>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row>
    <row r="421" spans="3:31" ht="11.25" customHeight="1">
      <c r="C421" s="78"/>
      <c r="D421" s="67"/>
      <c r="E421" s="67"/>
      <c r="F421" s="67"/>
      <c r="G421" s="67"/>
      <c r="H421" s="67"/>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row>
    <row r="422" spans="3:31" ht="11.25" customHeight="1">
      <c r="C422" s="78"/>
      <c r="D422" s="67"/>
      <c r="E422" s="67"/>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row>
    <row r="423" spans="3:31" ht="11.25" customHeight="1">
      <c r="C423" s="78"/>
      <c r="D423" s="67"/>
      <c r="E423" s="67"/>
      <c r="F423" s="6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row>
    <row r="424" spans="3:31" ht="11.25" customHeight="1">
      <c r="C424" s="78"/>
      <c r="D424" s="67"/>
      <c r="E424" s="67"/>
      <c r="F424" s="6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row>
    <row r="425" spans="3:31" ht="11.25" customHeight="1">
      <c r="C425" s="78"/>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row>
    <row r="426" spans="3:31" ht="11.25" customHeight="1">
      <c r="C426" s="78"/>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row>
    <row r="427" spans="3:31" ht="11.25" customHeight="1">
      <c r="C427" s="78"/>
      <c r="D427" s="67"/>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row>
    <row r="428" spans="3:31" ht="11.25" customHeight="1">
      <c r="C428" s="78"/>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row>
    <row r="429" spans="3:31">
      <c r="C429" s="78"/>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row>
    <row r="430" spans="3:31">
      <c r="C430" s="78"/>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row>
    <row r="431" spans="3:31">
      <c r="C431" s="78"/>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row>
    <row r="432" spans="3:31">
      <c r="C432" s="78"/>
      <c r="D432" s="67"/>
      <c r="E432" s="67"/>
      <c r="F432" s="6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row>
    <row r="433" spans="3:31">
      <c r="C433" s="78"/>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row>
    <row r="434" spans="3:31">
      <c r="C434" s="78"/>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row>
    <row r="435" spans="3:31">
      <c r="C435" s="78"/>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row>
    <row r="436" spans="3:31" ht="11.25" customHeight="1">
      <c r="C436" s="78"/>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row>
    <row r="437" spans="3:31" ht="11.25" customHeight="1">
      <c r="C437" s="78"/>
      <c r="D437" s="67"/>
      <c r="E437" s="67"/>
      <c r="F437" s="6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row>
    <row r="438" spans="3:31" ht="11.25" customHeight="1">
      <c r="C438" s="78"/>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row>
    <row r="439" spans="3:31" ht="11.25" customHeight="1">
      <c r="C439" s="78"/>
      <c r="D439" s="67"/>
      <c r="E439" s="67"/>
      <c r="F439" s="6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row>
    <row r="440" spans="3:31" ht="11.25" customHeight="1">
      <c r="C440" s="78"/>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row>
    <row r="441" spans="3:31" ht="11.25" customHeight="1">
      <c r="C441" s="78"/>
      <c r="D441" s="67"/>
      <c r="E441" s="67"/>
      <c r="F441" s="6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row>
    <row r="442" spans="3:31" ht="11.25" customHeight="1">
      <c r="C442" s="78"/>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row>
    <row r="443" spans="3:31" ht="11.25" customHeight="1">
      <c r="C443" s="78"/>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row>
    <row r="444" spans="3:31" ht="11.25" customHeight="1">
      <c r="C444" s="78"/>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row>
    <row r="445" spans="3:31" ht="11.25" customHeight="1">
      <c r="C445" s="78"/>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row>
    <row r="446" spans="3:31">
      <c r="C446" s="78"/>
      <c r="D446" s="67"/>
      <c r="E446" s="67"/>
      <c r="F446" s="6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row>
    <row r="447" spans="3:31">
      <c r="C447" s="78"/>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row>
    <row r="448" spans="3:31">
      <c r="C448" s="78"/>
      <c r="D448" s="67"/>
      <c r="E448" s="67"/>
      <c r="F448" s="6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row>
    <row r="449" spans="3:31">
      <c r="C449" s="78"/>
      <c r="D449" s="67"/>
      <c r="E449" s="67"/>
      <c r="F449" s="6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row>
    <row r="450" spans="3:31">
      <c r="C450" s="78"/>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row>
    <row r="451" spans="3:31">
      <c r="C451" s="78"/>
      <c r="D451" s="67"/>
      <c r="E451" s="67"/>
      <c r="F451" s="6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row>
    <row r="452" spans="3:31">
      <c r="C452" s="78"/>
      <c r="D452" s="67"/>
      <c r="E452" s="67"/>
      <c r="F452" s="67"/>
      <c r="G452" s="67"/>
      <c r="H452" s="67"/>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row>
    <row r="453" spans="3:31" ht="11.25" customHeight="1">
      <c r="C453" s="78"/>
      <c r="D453" s="67"/>
      <c r="E453" s="67"/>
      <c r="F453" s="67"/>
      <c r="G453" s="67"/>
      <c r="H453" s="67"/>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row>
    <row r="454" spans="3:31" ht="11.25" customHeight="1">
      <c r="C454" s="78"/>
      <c r="D454" s="67"/>
      <c r="E454" s="67"/>
      <c r="F454" s="67"/>
      <c r="G454" s="67"/>
      <c r="H454" s="67"/>
      <c r="I454" s="67"/>
      <c r="J454" s="67"/>
      <c r="K454" s="67"/>
      <c r="L454" s="67"/>
      <c r="M454" s="67"/>
      <c r="N454" s="67"/>
      <c r="O454" s="67"/>
      <c r="P454" s="67"/>
      <c r="Q454" s="67"/>
      <c r="R454" s="67"/>
      <c r="S454" s="67"/>
      <c r="T454" s="67"/>
      <c r="U454" s="67"/>
      <c r="V454" s="67"/>
      <c r="W454" s="67"/>
      <c r="X454" s="67"/>
      <c r="Y454" s="67"/>
      <c r="Z454" s="67"/>
      <c r="AA454" s="67"/>
      <c r="AB454" s="67"/>
      <c r="AC454" s="67"/>
      <c r="AD454" s="67"/>
      <c r="AE454" s="67"/>
    </row>
    <row r="455" spans="3:31" ht="11.25" customHeight="1">
      <c r="C455" s="78"/>
      <c r="D455" s="67"/>
      <c r="E455" s="67"/>
      <c r="F455" s="67"/>
      <c r="G455" s="67"/>
      <c r="H455" s="67"/>
      <c r="I455" s="67"/>
      <c r="J455" s="67"/>
      <c r="K455" s="67"/>
      <c r="L455" s="67"/>
      <c r="M455" s="67"/>
      <c r="N455" s="67"/>
      <c r="O455" s="67"/>
      <c r="P455" s="67"/>
      <c r="Q455" s="67"/>
      <c r="R455" s="67"/>
      <c r="S455" s="67"/>
      <c r="T455" s="67"/>
      <c r="U455" s="67"/>
      <c r="V455" s="67"/>
      <c r="W455" s="67"/>
      <c r="X455" s="67"/>
      <c r="Y455" s="67"/>
      <c r="Z455" s="67"/>
      <c r="AA455" s="67"/>
      <c r="AB455" s="67"/>
      <c r="AC455" s="67"/>
      <c r="AD455" s="67"/>
      <c r="AE455" s="67"/>
    </row>
    <row r="456" spans="3:31" ht="11.25" customHeight="1">
      <c r="C456" s="78"/>
      <c r="D456" s="67"/>
      <c r="E456" s="67"/>
      <c r="F456" s="67"/>
      <c r="G456" s="67"/>
      <c r="H456" s="67"/>
      <c r="I456" s="67"/>
      <c r="J456" s="67"/>
      <c r="K456" s="67"/>
      <c r="L456" s="67"/>
      <c r="M456" s="67"/>
      <c r="N456" s="67"/>
      <c r="O456" s="67"/>
      <c r="P456" s="67"/>
      <c r="Q456" s="67"/>
      <c r="R456" s="67"/>
      <c r="S456" s="67"/>
      <c r="T456" s="67"/>
      <c r="U456" s="67"/>
      <c r="V456" s="67"/>
      <c r="W456" s="67"/>
      <c r="X456" s="67"/>
      <c r="Y456" s="67"/>
      <c r="Z456" s="67"/>
      <c r="AA456" s="67"/>
      <c r="AB456" s="67"/>
      <c r="AC456" s="67"/>
      <c r="AD456" s="67"/>
      <c r="AE456" s="67"/>
    </row>
    <row r="457" spans="3:31" ht="11.25" customHeight="1">
      <c r="C457" s="78"/>
      <c r="D457" s="67"/>
      <c r="E457" s="67"/>
      <c r="F457" s="67"/>
      <c r="G457" s="67"/>
      <c r="H457" s="67"/>
      <c r="I457" s="67"/>
      <c r="J457" s="67"/>
      <c r="K457" s="67"/>
      <c r="L457" s="67"/>
      <c r="M457" s="67"/>
      <c r="N457" s="67"/>
      <c r="O457" s="67"/>
      <c r="P457" s="67"/>
      <c r="Q457" s="67"/>
      <c r="R457" s="67"/>
      <c r="S457" s="67"/>
      <c r="T457" s="67"/>
      <c r="U457" s="67"/>
      <c r="V457" s="67"/>
      <c r="W457" s="67"/>
      <c r="X457" s="67"/>
      <c r="Y457" s="67"/>
      <c r="Z457" s="67"/>
      <c r="AA457" s="67"/>
      <c r="AB457" s="67"/>
      <c r="AC457" s="67"/>
      <c r="AD457" s="67"/>
      <c r="AE457" s="67"/>
    </row>
    <row r="458" spans="3:31" ht="11.25" customHeight="1">
      <c r="C458" s="78"/>
      <c r="D458" s="67"/>
      <c r="E458" s="67"/>
      <c r="F458" s="67"/>
      <c r="G458" s="67"/>
      <c r="H458" s="67"/>
      <c r="I458" s="67"/>
      <c r="J458" s="67"/>
      <c r="K458" s="67"/>
      <c r="L458" s="67"/>
      <c r="M458" s="67"/>
      <c r="N458" s="67"/>
      <c r="O458" s="67"/>
      <c r="P458" s="67"/>
      <c r="Q458" s="67"/>
      <c r="R458" s="67"/>
      <c r="S458" s="67"/>
      <c r="T458" s="67"/>
      <c r="U458" s="67"/>
      <c r="V458" s="67"/>
      <c r="W458" s="67"/>
      <c r="X458" s="67"/>
      <c r="Y458" s="67"/>
      <c r="Z458" s="67"/>
      <c r="AA458" s="67"/>
      <c r="AB458" s="67"/>
      <c r="AC458" s="67"/>
      <c r="AD458" s="67"/>
      <c r="AE458" s="67"/>
    </row>
    <row r="459" spans="3:31" ht="11.25" customHeight="1">
      <c r="C459" s="78"/>
      <c r="D459" s="67"/>
      <c r="E459" s="67"/>
      <c r="F459" s="67"/>
      <c r="G459" s="67"/>
      <c r="H459" s="67"/>
      <c r="I459" s="67"/>
      <c r="J459" s="67"/>
      <c r="K459" s="67"/>
      <c r="L459" s="67"/>
      <c r="M459" s="67"/>
      <c r="N459" s="67"/>
      <c r="O459" s="67"/>
      <c r="P459" s="67"/>
      <c r="Q459" s="67"/>
      <c r="R459" s="67"/>
      <c r="S459" s="67"/>
      <c r="T459" s="67"/>
      <c r="U459" s="67"/>
      <c r="V459" s="67"/>
      <c r="W459" s="67"/>
      <c r="X459" s="67"/>
      <c r="Y459" s="67"/>
      <c r="Z459" s="67"/>
      <c r="AA459" s="67"/>
      <c r="AB459" s="67"/>
      <c r="AC459" s="67"/>
      <c r="AD459" s="67"/>
      <c r="AE459" s="67"/>
    </row>
    <row r="460" spans="3:31" ht="11.25" customHeight="1">
      <c r="C460" s="78"/>
      <c r="D460" s="67"/>
      <c r="E460" s="67"/>
      <c r="F460" s="67"/>
      <c r="G460" s="67"/>
      <c r="H460" s="67"/>
      <c r="I460" s="67"/>
      <c r="J460" s="67"/>
      <c r="K460" s="67"/>
      <c r="L460" s="67"/>
      <c r="M460" s="67"/>
      <c r="N460" s="67"/>
      <c r="O460" s="67"/>
      <c r="P460" s="67"/>
      <c r="Q460" s="67"/>
      <c r="R460" s="67"/>
      <c r="S460" s="67"/>
      <c r="T460" s="67"/>
      <c r="U460" s="67"/>
      <c r="V460" s="67"/>
      <c r="W460" s="67"/>
      <c r="X460" s="67"/>
      <c r="Y460" s="67"/>
      <c r="Z460" s="67"/>
      <c r="AA460" s="67"/>
      <c r="AB460" s="67"/>
      <c r="AC460" s="67"/>
      <c r="AD460" s="67"/>
      <c r="AE460" s="67"/>
    </row>
    <row r="461" spans="3:31" ht="11.25" customHeight="1">
      <c r="C461" s="78"/>
      <c r="D461" s="67"/>
      <c r="E461" s="67"/>
      <c r="F461" s="67"/>
      <c r="G461" s="67"/>
      <c r="H461" s="67"/>
      <c r="I461" s="67"/>
      <c r="J461" s="67"/>
      <c r="K461" s="67"/>
      <c r="L461" s="67"/>
      <c r="M461" s="67"/>
      <c r="N461" s="67"/>
      <c r="O461" s="67"/>
      <c r="P461" s="67"/>
      <c r="Q461" s="67"/>
      <c r="R461" s="67"/>
      <c r="S461" s="67"/>
      <c r="T461" s="67"/>
      <c r="U461" s="67"/>
      <c r="V461" s="67"/>
      <c r="W461" s="67"/>
      <c r="X461" s="67"/>
      <c r="Y461" s="67"/>
      <c r="Z461" s="67"/>
      <c r="AA461" s="67"/>
      <c r="AB461" s="67"/>
      <c r="AC461" s="67"/>
      <c r="AD461" s="67"/>
      <c r="AE461" s="67"/>
    </row>
    <row r="462" spans="3:31" ht="11.25" customHeight="1">
      <c r="C462" s="78"/>
      <c r="D462" s="67"/>
      <c r="E462" s="67"/>
      <c r="F462" s="67"/>
      <c r="G462" s="67"/>
      <c r="H462" s="67"/>
      <c r="I462" s="67"/>
      <c r="J462" s="67"/>
      <c r="K462" s="67"/>
      <c r="L462" s="67"/>
      <c r="M462" s="67"/>
      <c r="N462" s="67"/>
      <c r="O462" s="67"/>
      <c r="P462" s="67"/>
      <c r="Q462" s="67"/>
      <c r="R462" s="67"/>
      <c r="S462" s="67"/>
      <c r="T462" s="67"/>
      <c r="U462" s="67"/>
      <c r="V462" s="67"/>
      <c r="W462" s="67"/>
      <c r="X462" s="67"/>
      <c r="Y462" s="67"/>
      <c r="Z462" s="67"/>
      <c r="AA462" s="67"/>
      <c r="AB462" s="67"/>
      <c r="AC462" s="67"/>
      <c r="AD462" s="67"/>
      <c r="AE462" s="67"/>
    </row>
    <row r="463" spans="3:31">
      <c r="C463" s="78"/>
      <c r="D463" s="67"/>
      <c r="E463" s="67"/>
      <c r="F463" s="67"/>
      <c r="G463" s="67"/>
      <c r="H463" s="67"/>
      <c r="I463" s="67"/>
      <c r="J463" s="67"/>
      <c r="K463" s="67"/>
      <c r="L463" s="67"/>
      <c r="M463" s="67"/>
      <c r="N463" s="67"/>
      <c r="O463" s="67"/>
      <c r="P463" s="67"/>
      <c r="Q463" s="67"/>
      <c r="R463" s="67"/>
      <c r="S463" s="67"/>
      <c r="T463" s="67"/>
      <c r="U463" s="67"/>
      <c r="V463" s="67"/>
      <c r="W463" s="67"/>
      <c r="X463" s="67"/>
      <c r="Y463" s="67"/>
      <c r="Z463" s="67"/>
      <c r="AA463" s="67"/>
      <c r="AB463" s="67"/>
      <c r="AC463" s="67"/>
      <c r="AD463" s="67"/>
      <c r="AE463" s="67"/>
    </row>
    <row r="464" spans="3:31">
      <c r="C464" s="78"/>
      <c r="D464" s="67"/>
      <c r="E464" s="67"/>
      <c r="F464" s="67"/>
      <c r="G464" s="67"/>
      <c r="H464" s="67"/>
      <c r="I464" s="67"/>
      <c r="J464" s="67"/>
      <c r="K464" s="67"/>
      <c r="L464" s="67"/>
      <c r="M464" s="67"/>
      <c r="N464" s="67"/>
      <c r="O464" s="67"/>
      <c r="P464" s="67"/>
      <c r="Q464" s="67"/>
      <c r="R464" s="67"/>
      <c r="S464" s="67"/>
      <c r="T464" s="67"/>
      <c r="U464" s="67"/>
      <c r="V464" s="67"/>
      <c r="W464" s="67"/>
      <c r="X464" s="67"/>
      <c r="Y464" s="67"/>
      <c r="Z464" s="67"/>
      <c r="AA464" s="67"/>
      <c r="AB464" s="67"/>
      <c r="AC464" s="67"/>
      <c r="AD464" s="67"/>
      <c r="AE464" s="67"/>
    </row>
    <row r="465" spans="3:31">
      <c r="C465" s="78"/>
      <c r="D465" s="67"/>
      <c r="E465" s="67"/>
      <c r="F465" s="67"/>
      <c r="G465" s="67"/>
      <c r="H465" s="67"/>
      <c r="I465" s="67"/>
      <c r="J465" s="67"/>
      <c r="K465" s="67"/>
      <c r="L465" s="67"/>
      <c r="M465" s="67"/>
      <c r="N465" s="67"/>
      <c r="O465" s="67"/>
      <c r="P465" s="67"/>
      <c r="Q465" s="67"/>
      <c r="R465" s="67"/>
      <c r="S465" s="67"/>
      <c r="T465" s="67"/>
      <c r="U465" s="67"/>
      <c r="V465" s="67"/>
      <c r="W465" s="67"/>
      <c r="X465" s="67"/>
      <c r="Y465" s="67"/>
      <c r="Z465" s="67"/>
      <c r="AA465" s="67"/>
      <c r="AB465" s="67"/>
      <c r="AC465" s="67"/>
      <c r="AD465" s="67"/>
      <c r="AE465" s="67"/>
    </row>
    <row r="466" spans="3:31">
      <c r="C466" s="78"/>
      <c r="D466" s="67"/>
      <c r="E466" s="67"/>
      <c r="F466" s="67"/>
      <c r="G466" s="67"/>
      <c r="H466" s="67"/>
      <c r="I466" s="67"/>
      <c r="J466" s="67"/>
      <c r="K466" s="67"/>
      <c r="L466" s="67"/>
      <c r="M466" s="67"/>
      <c r="N466" s="67"/>
      <c r="O466" s="67"/>
      <c r="P466" s="67"/>
      <c r="Q466" s="67"/>
      <c r="R466" s="67"/>
      <c r="S466" s="67"/>
      <c r="T466" s="67"/>
      <c r="U466" s="67"/>
      <c r="V466" s="67"/>
      <c r="W466" s="67"/>
      <c r="X466" s="67"/>
      <c r="Y466" s="67"/>
      <c r="Z466" s="67"/>
      <c r="AA466" s="67"/>
      <c r="AB466" s="67"/>
      <c r="AC466" s="67"/>
      <c r="AD466" s="67"/>
      <c r="AE466" s="67"/>
    </row>
    <row r="467" spans="3:31">
      <c r="C467" s="78"/>
      <c r="D467" s="67"/>
      <c r="E467" s="67"/>
      <c r="F467" s="67"/>
      <c r="G467" s="67"/>
      <c r="H467" s="67"/>
      <c r="I467" s="67"/>
      <c r="J467" s="67"/>
      <c r="K467" s="67"/>
      <c r="L467" s="67"/>
      <c r="M467" s="67"/>
      <c r="N467" s="67"/>
      <c r="O467" s="67"/>
      <c r="P467" s="67"/>
      <c r="Q467" s="67"/>
      <c r="R467" s="67"/>
      <c r="S467" s="67"/>
      <c r="T467" s="67"/>
      <c r="U467" s="67"/>
      <c r="V467" s="67"/>
      <c r="W467" s="67"/>
      <c r="X467" s="67"/>
      <c r="Y467" s="67"/>
      <c r="Z467" s="67"/>
      <c r="AA467" s="67"/>
      <c r="AB467" s="67"/>
      <c r="AC467" s="67"/>
      <c r="AD467" s="67"/>
      <c r="AE467" s="67"/>
    </row>
    <row r="468" spans="3:31">
      <c r="C468" s="78"/>
      <c r="D468" s="67"/>
      <c r="E468" s="67"/>
      <c r="F468" s="67"/>
      <c r="G468" s="67"/>
      <c r="H468" s="67"/>
      <c r="I468" s="67"/>
      <c r="J468" s="67"/>
      <c r="K468" s="67"/>
      <c r="L468" s="67"/>
      <c r="M468" s="67"/>
      <c r="N468" s="67"/>
      <c r="O468" s="67"/>
      <c r="P468" s="67"/>
      <c r="Q468" s="67"/>
      <c r="R468" s="67"/>
      <c r="S468" s="67"/>
      <c r="T468" s="67"/>
      <c r="U468" s="67"/>
      <c r="V468" s="67"/>
      <c r="W468" s="67"/>
      <c r="X468" s="67"/>
      <c r="Y468" s="67"/>
      <c r="Z468" s="67"/>
      <c r="AA468" s="67"/>
      <c r="AB468" s="67"/>
      <c r="AC468" s="67"/>
      <c r="AD468" s="67"/>
      <c r="AE468" s="67"/>
    </row>
    <row r="469" spans="3:31">
      <c r="C469" s="78"/>
      <c r="D469" s="67"/>
      <c r="E469" s="67"/>
      <c r="F469" s="67"/>
      <c r="G469" s="67"/>
      <c r="H469" s="67"/>
      <c r="I469" s="67"/>
      <c r="J469" s="67"/>
      <c r="K469" s="67"/>
      <c r="L469" s="67"/>
      <c r="M469" s="67"/>
      <c r="N469" s="67"/>
      <c r="O469" s="67"/>
      <c r="P469" s="67"/>
      <c r="Q469" s="67"/>
      <c r="R469" s="67"/>
      <c r="S469" s="67"/>
      <c r="T469" s="67"/>
      <c r="U469" s="67"/>
      <c r="V469" s="67"/>
      <c r="W469" s="67"/>
      <c r="X469" s="67"/>
      <c r="Y469" s="67"/>
      <c r="Z469" s="67"/>
      <c r="AA469" s="67"/>
      <c r="AB469" s="67"/>
      <c r="AC469" s="67"/>
      <c r="AD469" s="67"/>
      <c r="AE469" s="67"/>
    </row>
    <row r="470" spans="3:31" ht="11.25" customHeight="1">
      <c r="C470" s="78"/>
      <c r="D470" s="67"/>
      <c r="E470" s="67"/>
      <c r="F470" s="67"/>
      <c r="G470" s="67"/>
      <c r="H470" s="67"/>
      <c r="I470" s="67"/>
      <c r="J470" s="67"/>
      <c r="K470" s="67"/>
      <c r="L470" s="67"/>
      <c r="M470" s="67"/>
      <c r="N470" s="67"/>
      <c r="O470" s="67"/>
      <c r="P470" s="67"/>
      <c r="Q470" s="67"/>
      <c r="R470" s="67"/>
      <c r="S470" s="67"/>
      <c r="T470" s="67"/>
      <c r="U470" s="67"/>
      <c r="V470" s="67"/>
      <c r="W470" s="67"/>
      <c r="X470" s="67"/>
      <c r="Y470" s="67"/>
      <c r="Z470" s="67"/>
      <c r="AA470" s="67"/>
      <c r="AB470" s="67"/>
      <c r="AC470" s="67"/>
      <c r="AD470" s="67"/>
      <c r="AE470" s="67"/>
    </row>
    <row r="471" spans="3:31" ht="11.25" customHeight="1">
      <c r="C471" s="78"/>
      <c r="D471" s="67"/>
      <c r="E471" s="67"/>
      <c r="F471" s="67"/>
      <c r="G471" s="67"/>
      <c r="H471" s="67"/>
      <c r="I471" s="67"/>
      <c r="J471" s="67"/>
      <c r="K471" s="67"/>
      <c r="L471" s="67"/>
      <c r="M471" s="67"/>
      <c r="N471" s="67"/>
      <c r="O471" s="67"/>
      <c r="P471" s="67"/>
      <c r="Q471" s="67"/>
      <c r="R471" s="67"/>
      <c r="S471" s="67"/>
      <c r="T471" s="67"/>
      <c r="U471" s="67"/>
      <c r="V471" s="67"/>
      <c r="W471" s="67"/>
      <c r="X471" s="67"/>
      <c r="Y471" s="67"/>
      <c r="Z471" s="67"/>
      <c r="AA471" s="67"/>
      <c r="AB471" s="67"/>
      <c r="AC471" s="67"/>
      <c r="AD471" s="67"/>
      <c r="AE471" s="67"/>
    </row>
    <row r="472" spans="3:31" ht="11.25" customHeight="1">
      <c r="C472" s="78"/>
      <c r="D472" s="67"/>
      <c r="E472" s="67"/>
      <c r="F472" s="67"/>
      <c r="G472" s="67"/>
      <c r="H472" s="67"/>
      <c r="I472" s="67"/>
      <c r="J472" s="67"/>
      <c r="K472" s="67"/>
      <c r="L472" s="67"/>
      <c r="M472" s="67"/>
      <c r="N472" s="67"/>
      <c r="O472" s="67"/>
      <c r="P472" s="67"/>
      <c r="Q472" s="67"/>
      <c r="R472" s="67"/>
      <c r="S472" s="67"/>
      <c r="T472" s="67"/>
      <c r="U472" s="67"/>
      <c r="V472" s="67"/>
      <c r="W472" s="67"/>
      <c r="X472" s="67"/>
      <c r="Y472" s="67"/>
      <c r="Z472" s="67"/>
      <c r="AA472" s="67"/>
      <c r="AB472" s="67"/>
      <c r="AC472" s="67"/>
      <c r="AD472" s="67"/>
      <c r="AE472" s="67"/>
    </row>
    <row r="473" spans="3:31" ht="11.25" customHeight="1">
      <c r="C473" s="78"/>
      <c r="D473" s="67"/>
      <c r="E473" s="67"/>
      <c r="F473" s="67"/>
      <c r="G473" s="67"/>
      <c r="H473" s="67"/>
      <c r="I473" s="67"/>
      <c r="J473" s="67"/>
      <c r="K473" s="67"/>
      <c r="L473" s="67"/>
      <c r="M473" s="67"/>
      <c r="N473" s="67"/>
      <c r="O473" s="67"/>
      <c r="P473" s="67"/>
      <c r="Q473" s="67"/>
      <c r="R473" s="67"/>
      <c r="S473" s="67"/>
      <c r="T473" s="67"/>
      <c r="U473" s="67"/>
      <c r="V473" s="67"/>
      <c r="W473" s="67"/>
      <c r="X473" s="67"/>
      <c r="Y473" s="67"/>
      <c r="Z473" s="67"/>
      <c r="AA473" s="67"/>
      <c r="AB473" s="67"/>
      <c r="AC473" s="67"/>
      <c r="AD473" s="67"/>
      <c r="AE473" s="67"/>
    </row>
    <row r="474" spans="3:31" ht="11.25" customHeight="1">
      <c r="C474" s="78"/>
      <c r="D474" s="67"/>
      <c r="E474" s="67"/>
      <c r="F474" s="67"/>
      <c r="G474" s="67"/>
      <c r="H474" s="67"/>
      <c r="I474" s="67"/>
      <c r="J474" s="67"/>
      <c r="K474" s="67"/>
      <c r="L474" s="67"/>
      <c r="M474" s="67"/>
      <c r="N474" s="67"/>
      <c r="O474" s="67"/>
      <c r="P474" s="67"/>
      <c r="Q474" s="67"/>
      <c r="R474" s="67"/>
      <c r="S474" s="67"/>
      <c r="T474" s="67"/>
      <c r="U474" s="67"/>
      <c r="V474" s="67"/>
      <c r="W474" s="67"/>
      <c r="X474" s="67"/>
      <c r="Y474" s="67"/>
      <c r="Z474" s="67"/>
      <c r="AA474" s="67"/>
      <c r="AB474" s="67"/>
      <c r="AC474" s="67"/>
      <c r="AD474" s="67"/>
      <c r="AE474" s="67"/>
    </row>
    <row r="475" spans="3:31" ht="11.25" customHeight="1">
      <c r="C475" s="78"/>
      <c r="D475" s="67"/>
      <c r="E475" s="67"/>
      <c r="F475" s="67"/>
      <c r="G475" s="67"/>
      <c r="H475" s="67"/>
      <c r="I475" s="67"/>
      <c r="J475" s="67"/>
      <c r="K475" s="67"/>
      <c r="L475" s="67"/>
      <c r="M475" s="67"/>
      <c r="N475" s="67"/>
      <c r="O475" s="67"/>
      <c r="P475" s="67"/>
      <c r="Q475" s="67"/>
      <c r="R475" s="67"/>
      <c r="S475" s="67"/>
      <c r="T475" s="67"/>
      <c r="U475" s="67"/>
      <c r="V475" s="67"/>
      <c r="W475" s="67"/>
      <c r="X475" s="67"/>
      <c r="Y475" s="67"/>
      <c r="Z475" s="67"/>
      <c r="AA475" s="67"/>
      <c r="AB475" s="67"/>
      <c r="AC475" s="67"/>
      <c r="AD475" s="67"/>
      <c r="AE475" s="67"/>
    </row>
    <row r="476" spans="3:31" ht="11.25" customHeight="1">
      <c r="C476" s="78"/>
      <c r="D476" s="67"/>
      <c r="E476" s="67"/>
      <c r="F476" s="67"/>
      <c r="G476" s="67"/>
      <c r="H476" s="67"/>
      <c r="I476" s="67"/>
      <c r="J476" s="67"/>
      <c r="K476" s="67"/>
      <c r="L476" s="67"/>
      <c r="M476" s="67"/>
      <c r="N476" s="67"/>
      <c r="O476" s="67"/>
      <c r="P476" s="67"/>
      <c r="Q476" s="67"/>
      <c r="R476" s="67"/>
      <c r="S476" s="67"/>
      <c r="T476" s="67"/>
      <c r="U476" s="67"/>
      <c r="V476" s="67"/>
      <c r="W476" s="67"/>
      <c r="X476" s="67"/>
      <c r="Y476" s="67"/>
      <c r="Z476" s="67"/>
      <c r="AA476" s="67"/>
      <c r="AB476" s="67"/>
      <c r="AC476" s="67"/>
      <c r="AD476" s="67"/>
      <c r="AE476" s="67"/>
    </row>
    <row r="477" spans="3:31" ht="11.25" customHeight="1">
      <c r="C477" s="78"/>
      <c r="D477" s="67"/>
      <c r="E477" s="67"/>
      <c r="F477" s="67"/>
      <c r="G477" s="67"/>
      <c r="H477" s="67"/>
      <c r="I477" s="67"/>
      <c r="J477" s="67"/>
      <c r="K477" s="67"/>
      <c r="L477" s="67"/>
      <c r="M477" s="67"/>
      <c r="N477" s="67"/>
      <c r="O477" s="67"/>
      <c r="P477" s="67"/>
      <c r="Q477" s="67"/>
      <c r="R477" s="67"/>
      <c r="S477" s="67"/>
      <c r="T477" s="67"/>
      <c r="U477" s="67"/>
      <c r="V477" s="67"/>
      <c r="W477" s="67"/>
      <c r="X477" s="67"/>
      <c r="Y477" s="67"/>
      <c r="Z477" s="67"/>
      <c r="AA477" s="67"/>
      <c r="AB477" s="67"/>
      <c r="AC477" s="67"/>
      <c r="AD477" s="67"/>
      <c r="AE477" s="67"/>
    </row>
    <row r="478" spans="3:31" ht="11.25" customHeight="1">
      <c r="C478" s="78"/>
      <c r="D478" s="67"/>
      <c r="E478" s="67"/>
      <c r="F478" s="67"/>
      <c r="G478" s="67"/>
      <c r="H478" s="67"/>
      <c r="I478" s="67"/>
      <c r="J478" s="67"/>
      <c r="K478" s="67"/>
      <c r="L478" s="67"/>
      <c r="M478" s="67"/>
      <c r="N478" s="67"/>
      <c r="O478" s="67"/>
      <c r="P478" s="67"/>
      <c r="Q478" s="67"/>
      <c r="R478" s="67"/>
      <c r="S478" s="67"/>
      <c r="T478" s="67"/>
      <c r="U478" s="67"/>
      <c r="V478" s="67"/>
      <c r="W478" s="67"/>
      <c r="X478" s="67"/>
      <c r="Y478" s="67"/>
      <c r="Z478" s="67"/>
      <c r="AA478" s="67"/>
      <c r="AB478" s="67"/>
      <c r="AC478" s="67"/>
      <c r="AD478" s="67"/>
      <c r="AE478" s="67"/>
    </row>
    <row r="479" spans="3:31" ht="11.25" customHeight="1">
      <c r="C479" s="78"/>
      <c r="D479" s="67"/>
      <c r="E479" s="67"/>
      <c r="F479" s="67"/>
      <c r="G479" s="67"/>
      <c r="H479" s="67"/>
      <c r="I479" s="67"/>
      <c r="J479" s="67"/>
      <c r="K479" s="67"/>
      <c r="L479" s="67"/>
      <c r="M479" s="67"/>
      <c r="N479" s="67"/>
      <c r="O479" s="67"/>
      <c r="P479" s="67"/>
      <c r="Q479" s="67"/>
      <c r="R479" s="67"/>
      <c r="S479" s="67"/>
      <c r="T479" s="67"/>
      <c r="U479" s="67"/>
      <c r="V479" s="67"/>
      <c r="W479" s="67"/>
      <c r="X479" s="67"/>
      <c r="Y479" s="67"/>
      <c r="Z479" s="67"/>
      <c r="AA479" s="67"/>
      <c r="AB479" s="67"/>
      <c r="AC479" s="67"/>
      <c r="AD479" s="67"/>
      <c r="AE479" s="67"/>
    </row>
    <row r="480" spans="3:31">
      <c r="C480" s="78"/>
      <c r="D480" s="67"/>
      <c r="E480" s="67"/>
      <c r="F480" s="67"/>
      <c r="G480" s="67"/>
      <c r="H480" s="67"/>
      <c r="I480" s="67"/>
      <c r="J480" s="67"/>
      <c r="K480" s="67"/>
      <c r="L480" s="67"/>
      <c r="M480" s="67"/>
      <c r="N480" s="67"/>
      <c r="O480" s="67"/>
      <c r="P480" s="67"/>
      <c r="Q480" s="67"/>
      <c r="R480" s="67"/>
      <c r="S480" s="67"/>
      <c r="T480" s="67"/>
      <c r="U480" s="67"/>
      <c r="V480" s="67"/>
      <c r="W480" s="67"/>
      <c r="X480" s="67"/>
      <c r="Y480" s="67"/>
      <c r="Z480" s="67"/>
      <c r="AA480" s="67"/>
      <c r="AB480" s="67"/>
      <c r="AC480" s="67"/>
      <c r="AD480" s="67"/>
      <c r="AE480" s="67"/>
    </row>
    <row r="481" spans="3:31">
      <c r="C481" s="78"/>
      <c r="D481" s="67"/>
      <c r="E481" s="67"/>
      <c r="F481" s="67"/>
      <c r="G481" s="67"/>
      <c r="H481" s="67"/>
      <c r="I481" s="67"/>
      <c r="J481" s="67"/>
      <c r="K481" s="67"/>
      <c r="L481" s="67"/>
      <c r="M481" s="67"/>
      <c r="N481" s="67"/>
      <c r="O481" s="67"/>
      <c r="P481" s="67"/>
      <c r="Q481" s="67"/>
      <c r="R481" s="67"/>
      <c r="S481" s="67"/>
      <c r="T481" s="67"/>
      <c r="U481" s="67"/>
      <c r="V481" s="67"/>
      <c r="W481" s="67"/>
      <c r="X481" s="67"/>
      <c r="Y481" s="67"/>
      <c r="Z481" s="67"/>
      <c r="AA481" s="67"/>
      <c r="AB481" s="67"/>
      <c r="AC481" s="67"/>
      <c r="AD481" s="67"/>
      <c r="AE481" s="67"/>
    </row>
    <row r="482" spans="3:31">
      <c r="C482" s="78"/>
      <c r="D482" s="67"/>
      <c r="E482" s="67"/>
      <c r="F482" s="67"/>
      <c r="G482" s="67"/>
      <c r="H482" s="67"/>
      <c r="I482" s="67"/>
      <c r="J482" s="67"/>
      <c r="K482" s="67"/>
      <c r="L482" s="67"/>
      <c r="M482" s="67"/>
      <c r="N482" s="67"/>
      <c r="O482" s="67"/>
      <c r="P482" s="67"/>
      <c r="Q482" s="67"/>
      <c r="R482" s="67"/>
      <c r="S482" s="67"/>
      <c r="T482" s="67"/>
      <c r="U482" s="67"/>
      <c r="V482" s="67"/>
      <c r="W482" s="67"/>
      <c r="X482" s="67"/>
      <c r="Y482" s="67"/>
      <c r="Z482" s="67"/>
      <c r="AA482" s="67"/>
      <c r="AB482" s="67"/>
      <c r="AC482" s="67"/>
      <c r="AD482" s="67"/>
      <c r="AE482" s="67"/>
    </row>
    <row r="483" spans="3:31">
      <c r="C483" s="78"/>
      <c r="D483" s="67"/>
      <c r="E483" s="67"/>
      <c r="F483" s="67"/>
      <c r="G483" s="67"/>
      <c r="H483" s="67"/>
      <c r="I483" s="67"/>
      <c r="J483" s="67"/>
      <c r="K483" s="67"/>
      <c r="L483" s="67"/>
      <c r="M483" s="67"/>
      <c r="N483" s="67"/>
      <c r="O483" s="67"/>
      <c r="P483" s="67"/>
      <c r="Q483" s="67"/>
      <c r="R483" s="67"/>
      <c r="S483" s="67"/>
      <c r="T483" s="67"/>
      <c r="U483" s="67"/>
      <c r="V483" s="67"/>
      <c r="W483" s="67"/>
      <c r="X483" s="67"/>
      <c r="Y483" s="67"/>
      <c r="Z483" s="67"/>
      <c r="AA483" s="67"/>
      <c r="AB483" s="67"/>
      <c r="AC483" s="67"/>
      <c r="AD483" s="67"/>
      <c r="AE483" s="67"/>
    </row>
    <row r="484" spans="3:31">
      <c r="C484" s="78"/>
      <c r="D484" s="67"/>
      <c r="E484" s="67"/>
      <c r="F484" s="67"/>
      <c r="G484" s="67"/>
      <c r="H484" s="67"/>
      <c r="I484" s="67"/>
      <c r="J484" s="67"/>
      <c r="K484" s="67"/>
      <c r="L484" s="67"/>
      <c r="M484" s="67"/>
      <c r="N484" s="67"/>
      <c r="O484" s="67"/>
      <c r="P484" s="67"/>
      <c r="Q484" s="67"/>
      <c r="R484" s="67"/>
      <c r="S484" s="67"/>
      <c r="T484" s="67"/>
      <c r="U484" s="67"/>
      <c r="V484" s="67"/>
      <c r="W484" s="67"/>
      <c r="X484" s="67"/>
      <c r="Y484" s="67"/>
      <c r="Z484" s="67"/>
      <c r="AA484" s="67"/>
      <c r="AB484" s="67"/>
      <c r="AC484" s="67"/>
      <c r="AD484" s="67"/>
      <c r="AE484" s="67"/>
    </row>
    <row r="485" spans="3:31">
      <c r="C485" s="78"/>
      <c r="D485" s="67"/>
      <c r="E485" s="67"/>
      <c r="F485" s="67"/>
      <c r="G485" s="67"/>
      <c r="H485" s="67"/>
      <c r="I485" s="67"/>
      <c r="J485" s="67"/>
      <c r="K485" s="67"/>
      <c r="L485" s="67"/>
      <c r="M485" s="67"/>
      <c r="N485" s="67"/>
      <c r="O485" s="67"/>
      <c r="P485" s="67"/>
      <c r="Q485" s="67"/>
      <c r="R485" s="67"/>
      <c r="S485" s="67"/>
      <c r="T485" s="67"/>
      <c r="U485" s="67"/>
      <c r="V485" s="67"/>
      <c r="W485" s="67"/>
      <c r="X485" s="67"/>
      <c r="Y485" s="67"/>
      <c r="Z485" s="67"/>
      <c r="AA485" s="67"/>
      <c r="AB485" s="67"/>
      <c r="AC485" s="67"/>
      <c r="AD485" s="67"/>
      <c r="AE485" s="67"/>
    </row>
    <row r="486" spans="3:31">
      <c r="C486" s="78"/>
      <c r="D486" s="67"/>
      <c r="E486" s="67"/>
      <c r="F486" s="67"/>
      <c r="G486" s="67"/>
      <c r="H486" s="67"/>
      <c r="I486" s="67"/>
      <c r="J486" s="67"/>
      <c r="K486" s="67"/>
      <c r="L486" s="67"/>
      <c r="M486" s="67"/>
      <c r="N486" s="67"/>
      <c r="O486" s="67"/>
      <c r="P486" s="67"/>
      <c r="Q486" s="67"/>
      <c r="R486" s="67"/>
      <c r="S486" s="67"/>
      <c r="T486" s="67"/>
      <c r="U486" s="67"/>
      <c r="V486" s="67"/>
      <c r="W486" s="67"/>
      <c r="X486" s="67"/>
      <c r="Y486" s="67"/>
      <c r="Z486" s="67"/>
      <c r="AA486" s="67"/>
      <c r="AB486" s="67"/>
      <c r="AC486" s="67"/>
      <c r="AD486" s="67"/>
      <c r="AE486" s="67"/>
    </row>
    <row r="487" spans="3:31" ht="11.25" customHeight="1">
      <c r="C487" s="78"/>
      <c r="D487" s="67"/>
      <c r="E487" s="67"/>
      <c r="F487" s="67"/>
      <c r="G487" s="67"/>
      <c r="H487" s="67"/>
      <c r="I487" s="67"/>
      <c r="J487" s="67"/>
      <c r="K487" s="67"/>
      <c r="L487" s="67"/>
      <c r="M487" s="67"/>
      <c r="N487" s="67"/>
      <c r="O487" s="67"/>
      <c r="P487" s="67"/>
      <c r="Q487" s="67"/>
      <c r="R487" s="67"/>
      <c r="S487" s="67"/>
      <c r="T487" s="67"/>
      <c r="U487" s="67"/>
      <c r="V487" s="67"/>
      <c r="W487" s="67"/>
      <c r="X487" s="67"/>
      <c r="Y487" s="67"/>
      <c r="Z487" s="67"/>
      <c r="AA487" s="67"/>
      <c r="AB487" s="67"/>
      <c r="AC487" s="67"/>
      <c r="AD487" s="67"/>
      <c r="AE487" s="67"/>
    </row>
    <row r="488" spans="3:31" ht="11.25" customHeight="1">
      <c r="C488" s="78"/>
      <c r="D488" s="67"/>
      <c r="E488" s="67"/>
      <c r="F488" s="67"/>
      <c r="G488" s="67"/>
      <c r="H488" s="67"/>
      <c r="I488" s="67"/>
      <c r="J488" s="67"/>
      <c r="K488" s="67"/>
      <c r="L488" s="67"/>
      <c r="M488" s="67"/>
      <c r="N488" s="67"/>
      <c r="O488" s="67"/>
      <c r="P488" s="67"/>
      <c r="Q488" s="67"/>
      <c r="R488" s="67"/>
      <c r="S488" s="67"/>
      <c r="T488" s="67"/>
      <c r="U488" s="67"/>
      <c r="V488" s="67"/>
      <c r="W488" s="67"/>
      <c r="X488" s="67"/>
      <c r="Y488" s="67"/>
      <c r="Z488" s="67"/>
      <c r="AA488" s="67"/>
      <c r="AB488" s="67"/>
      <c r="AC488" s="67"/>
      <c r="AD488" s="67"/>
      <c r="AE488" s="67"/>
    </row>
    <row r="489" spans="3:31" ht="11.25" customHeight="1">
      <c r="C489" s="78"/>
      <c r="D489" s="67"/>
      <c r="E489" s="67"/>
      <c r="F489" s="67"/>
      <c r="G489" s="67"/>
      <c r="H489" s="67"/>
      <c r="I489" s="67"/>
      <c r="J489" s="67"/>
      <c r="K489" s="67"/>
      <c r="L489" s="67"/>
      <c r="M489" s="67"/>
      <c r="N489" s="67"/>
      <c r="O489" s="67"/>
      <c r="P489" s="67"/>
      <c r="Q489" s="67"/>
      <c r="R489" s="67"/>
      <c r="S489" s="67"/>
      <c r="T489" s="67"/>
      <c r="U489" s="67"/>
      <c r="V489" s="67"/>
      <c r="W489" s="67"/>
      <c r="X489" s="67"/>
      <c r="Y489" s="67"/>
      <c r="Z489" s="67"/>
      <c r="AA489" s="67"/>
      <c r="AB489" s="67"/>
      <c r="AC489" s="67"/>
      <c r="AD489" s="67"/>
      <c r="AE489" s="67"/>
    </row>
    <row r="490" spans="3:31" ht="11.25" customHeight="1">
      <c r="C490" s="78"/>
      <c r="D490" s="67"/>
      <c r="E490" s="67"/>
      <c r="F490" s="67"/>
      <c r="G490" s="67"/>
      <c r="H490" s="67"/>
      <c r="I490" s="67"/>
      <c r="J490" s="67"/>
      <c r="K490" s="67"/>
      <c r="L490" s="67"/>
      <c r="M490" s="67"/>
      <c r="N490" s="67"/>
      <c r="O490" s="67"/>
      <c r="P490" s="67"/>
      <c r="Q490" s="67"/>
      <c r="R490" s="67"/>
      <c r="S490" s="67"/>
      <c r="T490" s="67"/>
      <c r="U490" s="67"/>
      <c r="V490" s="67"/>
      <c r="W490" s="67"/>
      <c r="X490" s="67"/>
      <c r="Y490" s="67"/>
      <c r="Z490" s="67"/>
      <c r="AA490" s="67"/>
      <c r="AB490" s="67"/>
      <c r="AC490" s="67"/>
      <c r="AD490" s="67"/>
      <c r="AE490" s="67"/>
    </row>
    <row r="491" spans="3:31" ht="11.25" customHeight="1">
      <c r="C491" s="78"/>
      <c r="D491" s="67"/>
      <c r="E491" s="67"/>
      <c r="F491" s="67"/>
      <c r="G491" s="67"/>
      <c r="H491" s="67"/>
      <c r="I491" s="67"/>
      <c r="J491" s="67"/>
      <c r="K491" s="67"/>
      <c r="L491" s="67"/>
      <c r="M491" s="67"/>
      <c r="N491" s="67"/>
      <c r="O491" s="67"/>
      <c r="P491" s="67"/>
      <c r="Q491" s="67"/>
      <c r="R491" s="67"/>
      <c r="S491" s="67"/>
      <c r="T491" s="67"/>
      <c r="U491" s="67"/>
      <c r="V491" s="67"/>
      <c r="W491" s="67"/>
      <c r="X491" s="67"/>
      <c r="Y491" s="67"/>
      <c r="Z491" s="67"/>
      <c r="AA491" s="67"/>
      <c r="AB491" s="67"/>
      <c r="AC491" s="67"/>
      <c r="AD491" s="67"/>
      <c r="AE491" s="67"/>
    </row>
    <row r="492" spans="3:31" ht="11.25" customHeight="1">
      <c r="C492" s="78"/>
      <c r="D492" s="67"/>
      <c r="E492" s="67"/>
      <c r="F492" s="67"/>
      <c r="G492" s="67"/>
      <c r="H492" s="67"/>
      <c r="I492" s="67"/>
      <c r="J492" s="67"/>
      <c r="K492" s="67"/>
      <c r="L492" s="67"/>
      <c r="M492" s="67"/>
      <c r="N492" s="67"/>
      <c r="O492" s="67"/>
      <c r="P492" s="67"/>
      <c r="Q492" s="67"/>
      <c r="R492" s="67"/>
      <c r="S492" s="67"/>
      <c r="T492" s="67"/>
      <c r="U492" s="67"/>
      <c r="V492" s="67"/>
      <c r="W492" s="67"/>
      <c r="X492" s="67"/>
      <c r="Y492" s="67"/>
      <c r="Z492" s="67"/>
      <c r="AA492" s="67"/>
      <c r="AB492" s="67"/>
      <c r="AC492" s="67"/>
      <c r="AD492" s="67"/>
      <c r="AE492" s="67"/>
    </row>
    <row r="493" spans="3:31" ht="11.25" customHeight="1">
      <c r="C493" s="78"/>
      <c r="D493" s="67"/>
      <c r="E493" s="67"/>
      <c r="F493" s="67"/>
      <c r="G493" s="67"/>
      <c r="H493" s="67"/>
      <c r="I493" s="67"/>
      <c r="J493" s="67"/>
      <c r="K493" s="67"/>
      <c r="L493" s="67"/>
      <c r="M493" s="67"/>
      <c r="N493" s="67"/>
      <c r="O493" s="67"/>
      <c r="P493" s="67"/>
      <c r="Q493" s="67"/>
      <c r="R493" s="67"/>
      <c r="S493" s="67"/>
      <c r="T493" s="67"/>
      <c r="U493" s="67"/>
      <c r="V493" s="67"/>
      <c r="W493" s="67"/>
      <c r="X493" s="67"/>
      <c r="Y493" s="67"/>
      <c r="Z493" s="67"/>
      <c r="AA493" s="67"/>
      <c r="AB493" s="67"/>
      <c r="AC493" s="67"/>
      <c r="AD493" s="67"/>
      <c r="AE493" s="67"/>
    </row>
    <row r="494" spans="3:31" ht="11.25" customHeight="1">
      <c r="C494" s="78"/>
      <c r="D494" s="67"/>
      <c r="E494" s="67"/>
      <c r="F494" s="67"/>
      <c r="G494" s="67"/>
      <c r="H494" s="67"/>
      <c r="I494" s="67"/>
      <c r="J494" s="67"/>
      <c r="K494" s="67"/>
      <c r="L494" s="67"/>
      <c r="M494" s="67"/>
      <c r="N494" s="67"/>
      <c r="O494" s="67"/>
      <c r="P494" s="67"/>
      <c r="Q494" s="67"/>
      <c r="R494" s="67"/>
      <c r="S494" s="67"/>
      <c r="T494" s="67"/>
      <c r="U494" s="67"/>
      <c r="V494" s="67"/>
      <c r="W494" s="67"/>
      <c r="X494" s="67"/>
      <c r="Y494" s="67"/>
      <c r="Z494" s="67"/>
      <c r="AA494" s="67"/>
      <c r="AB494" s="67"/>
      <c r="AC494" s="67"/>
      <c r="AD494" s="67"/>
      <c r="AE494" s="67"/>
    </row>
    <row r="495" spans="3:31" ht="11.25" customHeight="1">
      <c r="C495" s="78"/>
      <c r="D495" s="67"/>
      <c r="E495" s="67"/>
      <c r="F495" s="67"/>
      <c r="G495" s="67"/>
      <c r="H495" s="67"/>
      <c r="I495" s="67"/>
      <c r="J495" s="67"/>
      <c r="K495" s="67"/>
      <c r="L495" s="67"/>
      <c r="M495" s="67"/>
      <c r="N495" s="67"/>
      <c r="O495" s="67"/>
      <c r="P495" s="67"/>
      <c r="Q495" s="67"/>
      <c r="R495" s="67"/>
      <c r="S495" s="67"/>
      <c r="T495" s="67"/>
      <c r="U495" s="67"/>
      <c r="V495" s="67"/>
      <c r="W495" s="67"/>
      <c r="X495" s="67"/>
      <c r="Y495" s="67"/>
      <c r="Z495" s="67"/>
      <c r="AA495" s="67"/>
      <c r="AB495" s="67"/>
      <c r="AC495" s="67"/>
      <c r="AD495" s="67"/>
      <c r="AE495" s="67"/>
    </row>
    <row r="496" spans="3:31" ht="11.25" customHeight="1">
      <c r="C496" s="78"/>
      <c r="D496" s="67"/>
      <c r="E496" s="67"/>
      <c r="F496" s="67"/>
      <c r="G496" s="67"/>
      <c r="H496" s="67"/>
      <c r="I496" s="67"/>
      <c r="J496" s="67"/>
      <c r="K496" s="67"/>
      <c r="L496" s="67"/>
      <c r="M496" s="67"/>
      <c r="N496" s="67"/>
      <c r="O496" s="67"/>
      <c r="P496" s="67"/>
      <c r="Q496" s="67"/>
      <c r="R496" s="67"/>
      <c r="S496" s="67"/>
      <c r="T496" s="67"/>
      <c r="U496" s="67"/>
      <c r="V496" s="67"/>
      <c r="W496" s="67"/>
      <c r="X496" s="67"/>
      <c r="Y496" s="67"/>
      <c r="Z496" s="67"/>
      <c r="AA496" s="67"/>
      <c r="AB496" s="67"/>
      <c r="AC496" s="67"/>
      <c r="AD496" s="67"/>
      <c r="AE496" s="67"/>
    </row>
    <row r="497" spans="3:31">
      <c r="C497" s="78"/>
      <c r="D497" s="67"/>
      <c r="E497" s="67"/>
      <c r="F497" s="67"/>
      <c r="G497" s="67"/>
      <c r="H497" s="67"/>
      <c r="I497" s="67"/>
      <c r="J497" s="67"/>
      <c r="K497" s="67"/>
      <c r="L497" s="67"/>
      <c r="M497" s="67"/>
      <c r="N497" s="67"/>
      <c r="O497" s="67"/>
      <c r="P497" s="67"/>
      <c r="Q497" s="67"/>
      <c r="R497" s="67"/>
      <c r="S497" s="67"/>
      <c r="T497" s="67"/>
      <c r="U497" s="67"/>
      <c r="V497" s="67"/>
      <c r="W497" s="67"/>
      <c r="X497" s="67"/>
      <c r="Y497" s="67"/>
      <c r="Z497" s="67"/>
      <c r="AA497" s="67"/>
      <c r="AB497" s="67"/>
      <c r="AC497" s="67"/>
      <c r="AD497" s="67"/>
      <c r="AE497" s="67"/>
    </row>
    <row r="498" spans="3:31">
      <c r="C498" s="78"/>
      <c r="D498" s="67"/>
      <c r="E498" s="67"/>
      <c r="F498" s="67"/>
      <c r="G498" s="67"/>
      <c r="H498" s="67"/>
      <c r="I498" s="67"/>
      <c r="J498" s="67"/>
      <c r="K498" s="67"/>
      <c r="L498" s="67"/>
      <c r="M498" s="67"/>
      <c r="N498" s="67"/>
      <c r="O498" s="67"/>
      <c r="P498" s="67"/>
      <c r="Q498" s="67"/>
      <c r="R498" s="67"/>
      <c r="S498" s="67"/>
      <c r="T498" s="67"/>
      <c r="U498" s="67"/>
      <c r="V498" s="67"/>
      <c r="W498" s="67"/>
      <c r="X498" s="67"/>
      <c r="Y498" s="67"/>
      <c r="Z498" s="67"/>
      <c r="AA498" s="67"/>
      <c r="AB498" s="67"/>
      <c r="AC498" s="67"/>
      <c r="AD498" s="67"/>
      <c r="AE498" s="67"/>
    </row>
    <row r="499" spans="3:31">
      <c r="C499" s="78"/>
      <c r="D499" s="67"/>
      <c r="E499" s="67"/>
      <c r="F499" s="67"/>
      <c r="G499" s="67"/>
      <c r="H499" s="67"/>
      <c r="I499" s="67"/>
      <c r="J499" s="67"/>
      <c r="K499" s="67"/>
      <c r="L499" s="67"/>
      <c r="M499" s="67"/>
      <c r="N499" s="67"/>
      <c r="O499" s="67"/>
      <c r="P499" s="67"/>
      <c r="Q499" s="67"/>
      <c r="R499" s="67"/>
      <c r="S499" s="67"/>
      <c r="T499" s="67"/>
      <c r="U499" s="67"/>
      <c r="V499" s="67"/>
      <c r="W499" s="67"/>
      <c r="X499" s="67"/>
      <c r="Y499" s="67"/>
      <c r="Z499" s="67"/>
      <c r="AA499" s="67"/>
      <c r="AB499" s="67"/>
      <c r="AC499" s="67"/>
      <c r="AD499" s="67"/>
      <c r="AE499" s="67"/>
    </row>
    <row r="500" spans="3:31">
      <c r="C500" s="78"/>
      <c r="D500" s="67"/>
      <c r="E500" s="67"/>
      <c r="F500" s="67"/>
      <c r="G500" s="67"/>
      <c r="H500" s="67"/>
      <c r="I500" s="67"/>
      <c r="J500" s="67"/>
      <c r="K500" s="67"/>
      <c r="L500" s="67"/>
      <c r="M500" s="67"/>
      <c r="N500" s="67"/>
      <c r="O500" s="67"/>
      <c r="P500" s="67"/>
      <c r="Q500" s="67"/>
      <c r="R500" s="67"/>
      <c r="S500" s="67"/>
      <c r="T500" s="67"/>
      <c r="U500" s="67"/>
      <c r="V500" s="67"/>
      <c r="W500" s="67"/>
      <c r="X500" s="67"/>
      <c r="Y500" s="67"/>
      <c r="Z500" s="67"/>
      <c r="AA500" s="67"/>
      <c r="AB500" s="67"/>
      <c r="AC500" s="67"/>
      <c r="AD500" s="67"/>
      <c r="AE500" s="67"/>
    </row>
    <row r="501" spans="3:31">
      <c r="C501" s="78"/>
      <c r="D501" s="67"/>
      <c r="E501" s="67"/>
      <c r="F501" s="67"/>
      <c r="G501" s="67"/>
      <c r="H501" s="67"/>
      <c r="I501" s="67"/>
      <c r="J501" s="67"/>
      <c r="K501" s="67"/>
      <c r="L501" s="67"/>
      <c r="M501" s="67"/>
      <c r="N501" s="67"/>
      <c r="O501" s="67"/>
      <c r="P501" s="67"/>
      <c r="Q501" s="67"/>
      <c r="R501" s="67"/>
      <c r="S501" s="67"/>
      <c r="T501" s="67"/>
      <c r="U501" s="67"/>
      <c r="V501" s="67"/>
      <c r="W501" s="67"/>
      <c r="X501" s="67"/>
      <c r="Y501" s="67"/>
      <c r="Z501" s="67"/>
      <c r="AA501" s="67"/>
      <c r="AB501" s="67"/>
      <c r="AC501" s="67"/>
      <c r="AD501" s="67"/>
      <c r="AE501" s="67"/>
    </row>
    <row r="502" spans="3:31">
      <c r="C502" s="78"/>
      <c r="D502" s="67"/>
      <c r="E502" s="67"/>
      <c r="F502" s="67"/>
      <c r="G502" s="67"/>
      <c r="H502" s="67"/>
      <c r="I502" s="67"/>
      <c r="J502" s="67"/>
      <c r="K502" s="67"/>
      <c r="L502" s="67"/>
      <c r="M502" s="67"/>
      <c r="N502" s="67"/>
      <c r="O502" s="67"/>
      <c r="P502" s="67"/>
      <c r="Q502" s="67"/>
      <c r="R502" s="67"/>
      <c r="S502" s="67"/>
      <c r="T502" s="67"/>
      <c r="U502" s="67"/>
      <c r="V502" s="67"/>
      <c r="W502" s="67"/>
      <c r="X502" s="67"/>
      <c r="Y502" s="67"/>
      <c r="Z502" s="67"/>
      <c r="AA502" s="67"/>
      <c r="AB502" s="67"/>
      <c r="AC502" s="67"/>
      <c r="AD502" s="67"/>
      <c r="AE502" s="67"/>
    </row>
    <row r="503" spans="3:31">
      <c r="C503" s="78"/>
      <c r="D503" s="67"/>
      <c r="E503" s="67"/>
      <c r="F503" s="67"/>
      <c r="G503" s="67"/>
      <c r="H503" s="67"/>
      <c r="I503" s="67"/>
      <c r="J503" s="67"/>
      <c r="K503" s="67"/>
      <c r="L503" s="67"/>
      <c r="M503" s="67"/>
      <c r="N503" s="67"/>
      <c r="O503" s="67"/>
      <c r="P503" s="67"/>
      <c r="Q503" s="67"/>
      <c r="R503" s="67"/>
      <c r="S503" s="67"/>
      <c r="T503" s="67"/>
      <c r="U503" s="67"/>
      <c r="V503" s="67"/>
      <c r="W503" s="67"/>
      <c r="X503" s="67"/>
      <c r="Y503" s="67"/>
      <c r="Z503" s="67"/>
      <c r="AA503" s="67"/>
      <c r="AB503" s="67"/>
      <c r="AC503" s="67"/>
      <c r="AD503" s="67"/>
      <c r="AE503" s="67"/>
    </row>
    <row r="504" spans="3:31" ht="11.25" customHeight="1">
      <c r="C504" s="78"/>
      <c r="D504" s="67"/>
      <c r="E504" s="67"/>
      <c r="F504" s="67"/>
      <c r="G504" s="67"/>
      <c r="H504" s="67"/>
      <c r="I504" s="67"/>
      <c r="J504" s="67"/>
      <c r="K504" s="67"/>
      <c r="L504" s="67"/>
      <c r="M504" s="67"/>
      <c r="N504" s="67"/>
      <c r="O504" s="67"/>
      <c r="P504" s="67"/>
      <c r="Q504" s="67"/>
      <c r="R504" s="67"/>
      <c r="S504" s="67"/>
      <c r="T504" s="67"/>
      <c r="U504" s="67"/>
      <c r="V504" s="67"/>
      <c r="W504" s="67"/>
      <c r="X504" s="67"/>
      <c r="Y504" s="67"/>
      <c r="Z504" s="67"/>
      <c r="AA504" s="67"/>
      <c r="AB504" s="67"/>
      <c r="AC504" s="67"/>
      <c r="AD504" s="67"/>
      <c r="AE504" s="67"/>
    </row>
    <row r="505" spans="3:31" ht="11.25" customHeight="1">
      <c r="C505" s="78"/>
      <c r="D505" s="67"/>
      <c r="E505" s="67"/>
      <c r="F505" s="67"/>
      <c r="G505" s="67"/>
      <c r="H505" s="67"/>
      <c r="I505" s="67"/>
      <c r="J505" s="67"/>
      <c r="K505" s="67"/>
      <c r="L505" s="67"/>
      <c r="M505" s="67"/>
      <c r="N505" s="67"/>
      <c r="O505" s="67"/>
      <c r="P505" s="67"/>
      <c r="Q505" s="67"/>
      <c r="R505" s="67"/>
      <c r="S505" s="67"/>
      <c r="T505" s="67"/>
      <c r="U505" s="67"/>
      <c r="V505" s="67"/>
      <c r="W505" s="67"/>
      <c r="X505" s="67"/>
      <c r="Y505" s="67"/>
      <c r="Z505" s="67"/>
      <c r="AA505" s="67"/>
      <c r="AB505" s="67"/>
      <c r="AC505" s="67"/>
      <c r="AD505" s="67"/>
      <c r="AE505" s="67"/>
    </row>
    <row r="506" spans="3:31" ht="11.25" customHeight="1">
      <c r="C506" s="78"/>
      <c r="D506" s="67"/>
      <c r="E506" s="67"/>
      <c r="F506" s="67"/>
      <c r="G506" s="67"/>
      <c r="H506" s="67"/>
      <c r="I506" s="67"/>
      <c r="J506" s="67"/>
      <c r="K506" s="67"/>
      <c r="L506" s="67"/>
      <c r="M506" s="67"/>
      <c r="N506" s="67"/>
      <c r="O506" s="67"/>
      <c r="P506" s="67"/>
      <c r="Q506" s="67"/>
      <c r="R506" s="67"/>
      <c r="S506" s="67"/>
      <c r="T506" s="67"/>
      <c r="U506" s="67"/>
      <c r="V506" s="67"/>
      <c r="W506" s="67"/>
      <c r="X506" s="67"/>
      <c r="Y506" s="67"/>
      <c r="Z506" s="67"/>
      <c r="AA506" s="67"/>
      <c r="AB506" s="67"/>
      <c r="AC506" s="67"/>
      <c r="AD506" s="67"/>
      <c r="AE506" s="67"/>
    </row>
    <row r="507" spans="3:31" ht="11.25" customHeight="1">
      <c r="C507" s="78"/>
      <c r="D507" s="67"/>
      <c r="E507" s="67"/>
      <c r="F507" s="67"/>
      <c r="G507" s="67"/>
      <c r="H507" s="67"/>
      <c r="I507" s="67"/>
      <c r="J507" s="67"/>
      <c r="K507" s="67"/>
      <c r="L507" s="67"/>
      <c r="M507" s="67"/>
      <c r="N507" s="67"/>
      <c r="O507" s="67"/>
      <c r="P507" s="67"/>
      <c r="Q507" s="67"/>
      <c r="R507" s="67"/>
      <c r="S507" s="67"/>
      <c r="T507" s="67"/>
      <c r="U507" s="67"/>
      <c r="V507" s="67"/>
      <c r="W507" s="67"/>
      <c r="X507" s="67"/>
      <c r="Y507" s="67"/>
      <c r="Z507" s="67"/>
      <c r="AA507" s="67"/>
      <c r="AB507" s="67"/>
      <c r="AC507" s="67"/>
      <c r="AD507" s="67"/>
      <c r="AE507" s="67"/>
    </row>
    <row r="508" spans="3:31" ht="11.25" customHeight="1">
      <c r="C508" s="78"/>
      <c r="D508" s="67"/>
      <c r="E508" s="67"/>
      <c r="F508" s="67"/>
      <c r="G508" s="67"/>
      <c r="H508" s="67"/>
      <c r="I508" s="67"/>
      <c r="J508" s="67"/>
      <c r="K508" s="67"/>
      <c r="L508" s="67"/>
      <c r="M508" s="67"/>
      <c r="N508" s="67"/>
      <c r="O508" s="67"/>
      <c r="P508" s="67"/>
      <c r="Q508" s="67"/>
      <c r="R508" s="67"/>
      <c r="S508" s="67"/>
      <c r="T508" s="67"/>
      <c r="U508" s="67"/>
      <c r="V508" s="67"/>
      <c r="W508" s="67"/>
      <c r="X508" s="67"/>
      <c r="Y508" s="67"/>
      <c r="Z508" s="67"/>
      <c r="AA508" s="67"/>
      <c r="AB508" s="67"/>
      <c r="AC508" s="67"/>
      <c r="AD508" s="67"/>
      <c r="AE508" s="67"/>
    </row>
    <row r="509" spans="3:31" ht="11.25" customHeight="1">
      <c r="C509" s="78"/>
      <c r="D509" s="67"/>
      <c r="E509" s="67"/>
      <c r="F509" s="67"/>
      <c r="G509" s="67"/>
      <c r="H509" s="67"/>
      <c r="I509" s="67"/>
      <c r="J509" s="67"/>
      <c r="K509" s="67"/>
      <c r="L509" s="67"/>
      <c r="M509" s="67"/>
      <c r="N509" s="67"/>
      <c r="O509" s="67"/>
      <c r="P509" s="67"/>
      <c r="Q509" s="67"/>
      <c r="R509" s="67"/>
      <c r="S509" s="67"/>
      <c r="T509" s="67"/>
      <c r="U509" s="67"/>
      <c r="V509" s="67"/>
      <c r="W509" s="67"/>
      <c r="X509" s="67"/>
      <c r="Y509" s="67"/>
      <c r="Z509" s="67"/>
      <c r="AA509" s="67"/>
      <c r="AB509" s="67"/>
      <c r="AC509" s="67"/>
      <c r="AD509" s="67"/>
      <c r="AE509" s="67"/>
    </row>
    <row r="510" spans="3:31" ht="11.25" customHeight="1">
      <c r="C510" s="78"/>
      <c r="D510" s="67"/>
      <c r="E510" s="67"/>
      <c r="F510" s="67"/>
      <c r="G510" s="67"/>
      <c r="H510" s="67"/>
      <c r="I510" s="67"/>
      <c r="J510" s="67"/>
      <c r="K510" s="67"/>
      <c r="L510" s="67"/>
      <c r="M510" s="67"/>
      <c r="N510" s="67"/>
      <c r="O510" s="67"/>
      <c r="P510" s="67"/>
      <c r="Q510" s="67"/>
      <c r="R510" s="67"/>
      <c r="S510" s="67"/>
      <c r="T510" s="67"/>
      <c r="U510" s="67"/>
      <c r="V510" s="67"/>
      <c r="W510" s="67"/>
      <c r="X510" s="67"/>
      <c r="Y510" s="67"/>
      <c r="Z510" s="67"/>
      <c r="AA510" s="67"/>
      <c r="AB510" s="67"/>
      <c r="AC510" s="67"/>
      <c r="AD510" s="67"/>
      <c r="AE510" s="67"/>
    </row>
    <row r="511" spans="3:31" ht="11.25" customHeight="1">
      <c r="C511" s="78"/>
      <c r="D511" s="67"/>
      <c r="E511" s="67"/>
      <c r="F511" s="67"/>
      <c r="G511" s="67"/>
      <c r="H511" s="67"/>
      <c r="I511" s="67"/>
      <c r="J511" s="67"/>
      <c r="K511" s="67"/>
      <c r="L511" s="67"/>
      <c r="M511" s="67"/>
      <c r="N511" s="67"/>
      <c r="O511" s="67"/>
      <c r="P511" s="67"/>
      <c r="Q511" s="67"/>
      <c r="R511" s="67"/>
      <c r="S511" s="67"/>
      <c r="T511" s="67"/>
      <c r="U511" s="67"/>
      <c r="V511" s="67"/>
      <c r="W511" s="67"/>
      <c r="X511" s="67"/>
      <c r="Y511" s="67"/>
      <c r="Z511" s="67"/>
      <c r="AA511" s="67"/>
      <c r="AB511" s="67"/>
      <c r="AC511" s="67"/>
      <c r="AD511" s="67"/>
      <c r="AE511" s="67"/>
    </row>
    <row r="512" spans="3:31" ht="11.25" customHeight="1">
      <c r="C512" s="78"/>
      <c r="D512" s="67"/>
      <c r="E512" s="67"/>
      <c r="F512" s="67"/>
      <c r="G512" s="67"/>
      <c r="H512" s="67"/>
      <c r="I512" s="67"/>
      <c r="J512" s="67"/>
      <c r="K512" s="67"/>
      <c r="L512" s="67"/>
      <c r="M512" s="67"/>
      <c r="N512" s="67"/>
      <c r="O512" s="67"/>
      <c r="P512" s="67"/>
      <c r="Q512" s="67"/>
      <c r="R512" s="67"/>
      <c r="S512" s="67"/>
      <c r="T512" s="67"/>
      <c r="U512" s="67"/>
      <c r="V512" s="67"/>
      <c r="W512" s="67"/>
      <c r="X512" s="67"/>
      <c r="Y512" s="67"/>
      <c r="Z512" s="67"/>
      <c r="AA512" s="67"/>
      <c r="AB512" s="67"/>
      <c r="AC512" s="67"/>
      <c r="AD512" s="67"/>
      <c r="AE512" s="67"/>
    </row>
    <row r="513" spans="3:31" ht="11.25" customHeight="1">
      <c r="C513" s="78"/>
      <c r="D513" s="67"/>
      <c r="E513" s="67"/>
      <c r="F513" s="67"/>
      <c r="G513" s="67"/>
      <c r="H513" s="67"/>
      <c r="I513" s="67"/>
      <c r="J513" s="67"/>
      <c r="K513" s="67"/>
      <c r="L513" s="67"/>
      <c r="M513" s="67"/>
      <c r="N513" s="67"/>
      <c r="O513" s="67"/>
      <c r="P513" s="67"/>
      <c r="Q513" s="67"/>
      <c r="R513" s="67"/>
      <c r="S513" s="67"/>
      <c r="T513" s="67"/>
      <c r="U513" s="67"/>
      <c r="V513" s="67"/>
      <c r="W513" s="67"/>
      <c r="X513" s="67"/>
      <c r="Y513" s="67"/>
      <c r="Z513" s="67"/>
      <c r="AA513" s="67"/>
      <c r="AB513" s="67"/>
      <c r="AC513" s="67"/>
      <c r="AD513" s="67"/>
      <c r="AE513" s="67"/>
    </row>
    <row r="514" spans="3:31">
      <c r="C514" s="78"/>
      <c r="D514" s="67"/>
      <c r="E514" s="67"/>
      <c r="F514" s="67"/>
      <c r="G514" s="67"/>
      <c r="H514" s="67"/>
      <c r="I514" s="67"/>
      <c r="J514" s="67"/>
      <c r="K514" s="67"/>
      <c r="L514" s="67"/>
      <c r="M514" s="67"/>
      <c r="N514" s="67"/>
      <c r="O514" s="67"/>
      <c r="P514" s="67"/>
      <c r="Q514" s="67"/>
      <c r="R514" s="67"/>
      <c r="S514" s="67"/>
      <c r="T514" s="67"/>
      <c r="U514" s="67"/>
      <c r="V514" s="67"/>
      <c r="W514" s="67"/>
      <c r="X514" s="67"/>
      <c r="Y514" s="67"/>
      <c r="Z514" s="67"/>
      <c r="AA514" s="67"/>
      <c r="AB514" s="67"/>
      <c r="AC514" s="67"/>
      <c r="AD514" s="67"/>
      <c r="AE514" s="67"/>
    </row>
    <row r="515" spans="3:31">
      <c r="C515" s="78"/>
      <c r="D515" s="67"/>
      <c r="E515" s="67"/>
      <c r="F515" s="67"/>
      <c r="G515" s="67"/>
      <c r="H515" s="67"/>
      <c r="I515" s="67"/>
      <c r="J515" s="67"/>
      <c r="K515" s="67"/>
      <c r="L515" s="67"/>
      <c r="M515" s="67"/>
      <c r="N515" s="67"/>
      <c r="O515" s="67"/>
      <c r="P515" s="67"/>
      <c r="Q515" s="67"/>
      <c r="R515" s="67"/>
      <c r="S515" s="67"/>
      <c r="T515" s="67"/>
      <c r="U515" s="67"/>
      <c r="V515" s="67"/>
      <c r="W515" s="67"/>
      <c r="X515" s="67"/>
      <c r="Y515" s="67"/>
      <c r="Z515" s="67"/>
      <c r="AA515" s="67"/>
      <c r="AB515" s="67"/>
      <c r="AC515" s="67"/>
      <c r="AD515" s="67"/>
      <c r="AE515" s="67"/>
    </row>
    <row r="516" spans="3:31">
      <c r="C516" s="78"/>
      <c r="D516" s="67"/>
      <c r="E516" s="67"/>
      <c r="F516" s="67"/>
      <c r="G516" s="67"/>
      <c r="H516" s="67"/>
      <c r="I516" s="67"/>
      <c r="J516" s="67"/>
      <c r="K516" s="67"/>
      <c r="L516" s="67"/>
      <c r="M516" s="67"/>
      <c r="N516" s="67"/>
      <c r="O516" s="67"/>
      <c r="P516" s="67"/>
      <c r="Q516" s="67"/>
      <c r="R516" s="67"/>
      <c r="S516" s="67"/>
      <c r="T516" s="67"/>
      <c r="U516" s="67"/>
      <c r="V516" s="67"/>
      <c r="W516" s="67"/>
      <c r="X516" s="67"/>
      <c r="Y516" s="67"/>
      <c r="Z516" s="67"/>
      <c r="AA516" s="67"/>
      <c r="AB516" s="67"/>
      <c r="AC516" s="67"/>
      <c r="AD516" s="67"/>
      <c r="AE516" s="67"/>
    </row>
    <row r="517" spans="3:31">
      <c r="C517" s="78"/>
      <c r="D517" s="67"/>
      <c r="E517" s="67"/>
      <c r="F517" s="67"/>
      <c r="G517" s="67"/>
      <c r="H517" s="67"/>
      <c r="I517" s="67"/>
      <c r="J517" s="67"/>
      <c r="K517" s="67"/>
      <c r="L517" s="67"/>
      <c r="M517" s="67"/>
      <c r="N517" s="67"/>
      <c r="O517" s="67"/>
      <c r="P517" s="67"/>
      <c r="Q517" s="67"/>
      <c r="R517" s="67"/>
      <c r="S517" s="67"/>
      <c r="T517" s="67"/>
      <c r="U517" s="67"/>
      <c r="V517" s="67"/>
      <c r="W517" s="67"/>
      <c r="X517" s="67"/>
      <c r="Y517" s="67"/>
      <c r="Z517" s="67"/>
      <c r="AA517" s="67"/>
      <c r="AB517" s="67"/>
      <c r="AC517" s="67"/>
      <c r="AD517" s="67"/>
      <c r="AE517" s="67"/>
    </row>
    <row r="518" spans="3:31">
      <c r="C518" s="78"/>
      <c r="D518" s="67"/>
      <c r="E518" s="67"/>
      <c r="F518" s="67"/>
      <c r="G518" s="67"/>
      <c r="H518" s="67"/>
      <c r="I518" s="67"/>
      <c r="J518" s="67"/>
      <c r="K518" s="67"/>
      <c r="L518" s="67"/>
      <c r="M518" s="67"/>
      <c r="N518" s="67"/>
      <c r="O518" s="67"/>
      <c r="P518" s="67"/>
      <c r="Q518" s="67"/>
      <c r="R518" s="67"/>
      <c r="S518" s="67"/>
      <c r="T518" s="67"/>
      <c r="U518" s="67"/>
      <c r="V518" s="67"/>
      <c r="W518" s="67"/>
      <c r="X518" s="67"/>
      <c r="Y518" s="67"/>
      <c r="Z518" s="67"/>
      <c r="AA518" s="67"/>
      <c r="AB518" s="67"/>
      <c r="AC518" s="67"/>
      <c r="AD518" s="67"/>
      <c r="AE518" s="67"/>
    </row>
    <row r="519" spans="3:31">
      <c r="C519" s="78"/>
      <c r="D519" s="67"/>
      <c r="E519" s="67"/>
      <c r="F519" s="67"/>
      <c r="G519" s="67"/>
      <c r="H519" s="67"/>
      <c r="I519" s="67"/>
      <c r="J519" s="67"/>
      <c r="K519" s="67"/>
      <c r="L519" s="67"/>
      <c r="M519" s="67"/>
      <c r="N519" s="67"/>
      <c r="O519" s="67"/>
      <c r="P519" s="67"/>
      <c r="Q519" s="67"/>
      <c r="R519" s="67"/>
      <c r="S519" s="67"/>
      <c r="T519" s="67"/>
      <c r="U519" s="67"/>
      <c r="V519" s="67"/>
      <c r="W519" s="67"/>
      <c r="X519" s="67"/>
      <c r="Y519" s="67"/>
      <c r="Z519" s="67"/>
      <c r="AA519" s="67"/>
      <c r="AB519" s="67"/>
      <c r="AC519" s="67"/>
      <c r="AD519" s="67"/>
      <c r="AE519" s="67"/>
    </row>
    <row r="520" spans="3:31">
      <c r="C520" s="78"/>
      <c r="D520" s="67"/>
      <c r="E520" s="67"/>
      <c r="F520" s="67"/>
      <c r="G520" s="67"/>
      <c r="H520" s="67"/>
      <c r="I520" s="67"/>
      <c r="J520" s="67"/>
      <c r="K520" s="67"/>
      <c r="L520" s="67"/>
      <c r="M520" s="67"/>
      <c r="N520" s="67"/>
      <c r="O520" s="67"/>
      <c r="P520" s="67"/>
      <c r="Q520" s="67"/>
      <c r="R520" s="67"/>
      <c r="S520" s="67"/>
      <c r="T520" s="67"/>
      <c r="U520" s="67"/>
      <c r="V520" s="67"/>
      <c r="W520" s="67"/>
      <c r="X520" s="67"/>
      <c r="Y520" s="67"/>
      <c r="Z520" s="67"/>
      <c r="AA520" s="67"/>
      <c r="AB520" s="67"/>
      <c r="AC520" s="67"/>
      <c r="AD520" s="67"/>
      <c r="AE520" s="67"/>
    </row>
    <row r="521" spans="3:31" ht="11.25" customHeight="1">
      <c r="C521" s="78"/>
      <c r="D521" s="67"/>
      <c r="E521" s="67"/>
      <c r="F521" s="67"/>
      <c r="G521" s="67"/>
      <c r="H521" s="67"/>
      <c r="I521" s="67"/>
      <c r="J521" s="67"/>
      <c r="K521" s="67"/>
      <c r="L521" s="67"/>
      <c r="M521" s="67"/>
      <c r="N521" s="67"/>
      <c r="O521" s="67"/>
      <c r="P521" s="67"/>
      <c r="Q521" s="67"/>
      <c r="R521" s="67"/>
      <c r="S521" s="67"/>
      <c r="T521" s="67"/>
      <c r="U521" s="67"/>
      <c r="V521" s="67"/>
      <c r="W521" s="67"/>
      <c r="X521" s="67"/>
      <c r="Y521" s="67"/>
      <c r="Z521" s="67"/>
      <c r="AA521" s="67"/>
      <c r="AB521" s="67"/>
      <c r="AC521" s="67"/>
      <c r="AD521" s="67"/>
      <c r="AE521" s="67"/>
    </row>
    <row r="522" spans="3:31" ht="11.25" customHeight="1">
      <c r="C522" s="78"/>
      <c r="D522" s="67"/>
      <c r="E522" s="67"/>
      <c r="F522" s="67"/>
      <c r="G522" s="67"/>
      <c r="H522" s="67"/>
      <c r="I522" s="67"/>
      <c r="J522" s="67"/>
      <c r="K522" s="67"/>
      <c r="L522" s="67"/>
      <c r="M522" s="67"/>
      <c r="N522" s="67"/>
      <c r="O522" s="67"/>
      <c r="P522" s="67"/>
      <c r="Q522" s="67"/>
      <c r="R522" s="67"/>
      <c r="S522" s="67"/>
      <c r="T522" s="67"/>
      <c r="U522" s="67"/>
      <c r="V522" s="67"/>
      <c r="W522" s="67"/>
      <c r="X522" s="67"/>
      <c r="Y522" s="67"/>
      <c r="Z522" s="67"/>
      <c r="AA522" s="67"/>
      <c r="AB522" s="67"/>
      <c r="AC522" s="67"/>
      <c r="AD522" s="67"/>
      <c r="AE522" s="67"/>
    </row>
    <row r="523" spans="3:31" ht="11.25" customHeight="1">
      <c r="C523" s="78"/>
      <c r="D523" s="67"/>
      <c r="E523" s="67"/>
      <c r="F523" s="67"/>
      <c r="G523" s="67"/>
      <c r="H523" s="67"/>
      <c r="I523" s="67"/>
      <c r="J523" s="67"/>
      <c r="K523" s="67"/>
      <c r="L523" s="67"/>
      <c r="M523" s="67"/>
      <c r="N523" s="67"/>
      <c r="O523" s="67"/>
      <c r="P523" s="67"/>
      <c r="Q523" s="67"/>
      <c r="R523" s="67"/>
      <c r="S523" s="67"/>
      <c r="T523" s="67"/>
      <c r="U523" s="67"/>
      <c r="V523" s="67"/>
      <c r="W523" s="67"/>
      <c r="X523" s="67"/>
      <c r="Y523" s="67"/>
      <c r="Z523" s="67"/>
      <c r="AA523" s="67"/>
      <c r="AB523" s="67"/>
      <c r="AC523" s="67"/>
      <c r="AD523" s="67"/>
      <c r="AE523" s="67"/>
    </row>
    <row r="524" spans="3:31" ht="11.25" customHeight="1">
      <c r="C524" s="78"/>
      <c r="D524" s="67"/>
      <c r="E524" s="67"/>
      <c r="F524" s="67"/>
      <c r="G524" s="67"/>
      <c r="H524" s="67"/>
      <c r="I524" s="67"/>
      <c r="J524" s="67"/>
      <c r="K524" s="67"/>
      <c r="L524" s="67"/>
      <c r="M524" s="67"/>
      <c r="N524" s="67"/>
      <c r="O524" s="67"/>
      <c r="P524" s="67"/>
      <c r="Q524" s="67"/>
      <c r="R524" s="67"/>
      <c r="S524" s="67"/>
      <c r="T524" s="67"/>
      <c r="U524" s="67"/>
      <c r="V524" s="67"/>
      <c r="W524" s="67"/>
      <c r="X524" s="67"/>
      <c r="Y524" s="67"/>
      <c r="Z524" s="67"/>
      <c r="AA524" s="67"/>
      <c r="AB524" s="67"/>
      <c r="AC524" s="67"/>
      <c r="AD524" s="67"/>
      <c r="AE524" s="67"/>
    </row>
    <row r="525" spans="3:31" ht="11.25" customHeight="1">
      <c r="C525" s="78"/>
      <c r="D525" s="67"/>
      <c r="E525" s="67"/>
      <c r="F525" s="67"/>
      <c r="G525" s="67"/>
      <c r="H525" s="67"/>
      <c r="I525" s="67"/>
      <c r="J525" s="67"/>
      <c r="K525" s="67"/>
      <c r="L525" s="67"/>
      <c r="M525" s="67"/>
      <c r="N525" s="67"/>
      <c r="O525" s="67"/>
      <c r="P525" s="67"/>
      <c r="Q525" s="67"/>
      <c r="R525" s="67"/>
      <c r="S525" s="67"/>
      <c r="T525" s="67"/>
      <c r="U525" s="67"/>
      <c r="V525" s="67"/>
      <c r="W525" s="67"/>
      <c r="X525" s="67"/>
      <c r="Y525" s="67"/>
      <c r="Z525" s="67"/>
      <c r="AA525" s="67"/>
      <c r="AB525" s="67"/>
      <c r="AC525" s="67"/>
      <c r="AD525" s="67"/>
      <c r="AE525" s="67"/>
    </row>
    <row r="526" spans="3:31" ht="11.25" customHeight="1">
      <c r="C526" s="78"/>
      <c r="D526" s="67"/>
      <c r="E526" s="67"/>
      <c r="F526" s="67"/>
      <c r="G526" s="67"/>
      <c r="H526" s="67"/>
      <c r="I526" s="67"/>
      <c r="J526" s="67"/>
      <c r="K526" s="67"/>
      <c r="L526" s="67"/>
      <c r="M526" s="67"/>
      <c r="N526" s="67"/>
      <c r="O526" s="67"/>
      <c r="P526" s="67"/>
      <c r="Q526" s="67"/>
      <c r="R526" s="67"/>
      <c r="S526" s="67"/>
      <c r="T526" s="67"/>
      <c r="U526" s="67"/>
      <c r="V526" s="67"/>
      <c r="W526" s="67"/>
      <c r="X526" s="67"/>
      <c r="Y526" s="67"/>
      <c r="Z526" s="67"/>
      <c r="AA526" s="67"/>
      <c r="AB526" s="67"/>
      <c r="AC526" s="67"/>
      <c r="AD526" s="67"/>
      <c r="AE526" s="67"/>
    </row>
    <row r="527" spans="3:31" ht="11.25" customHeight="1">
      <c r="C527" s="78"/>
      <c r="D527" s="67"/>
      <c r="E527" s="67"/>
      <c r="F527" s="67"/>
      <c r="G527" s="67"/>
      <c r="H527" s="67"/>
      <c r="I527" s="67"/>
      <c r="J527" s="67"/>
      <c r="K527" s="67"/>
      <c r="L527" s="67"/>
      <c r="M527" s="67"/>
      <c r="N527" s="67"/>
      <c r="O527" s="67"/>
      <c r="P527" s="67"/>
      <c r="Q527" s="67"/>
      <c r="R527" s="67"/>
      <c r="S527" s="67"/>
      <c r="T527" s="67"/>
      <c r="U527" s="67"/>
      <c r="V527" s="67"/>
      <c r="W527" s="67"/>
      <c r="X527" s="67"/>
      <c r="Y527" s="67"/>
      <c r="Z527" s="67"/>
      <c r="AA527" s="67"/>
      <c r="AB527" s="67"/>
      <c r="AC527" s="67"/>
      <c r="AD527" s="67"/>
      <c r="AE527" s="67"/>
    </row>
    <row r="528" spans="3:31" ht="11.25" customHeight="1">
      <c r="C528" s="78"/>
      <c r="D528" s="67"/>
      <c r="E528" s="67"/>
      <c r="F528" s="67"/>
      <c r="G528" s="67"/>
      <c r="H528" s="67"/>
      <c r="I528" s="67"/>
      <c r="J528" s="67"/>
      <c r="K528" s="67"/>
      <c r="L528" s="67"/>
      <c r="M528" s="67"/>
      <c r="N528" s="67"/>
      <c r="O528" s="67"/>
      <c r="P528" s="67"/>
      <c r="Q528" s="67"/>
      <c r="R528" s="67"/>
      <c r="S528" s="67"/>
      <c r="T528" s="67"/>
      <c r="U528" s="67"/>
      <c r="V528" s="67"/>
      <c r="W528" s="67"/>
      <c r="X528" s="67"/>
      <c r="Y528" s="67"/>
      <c r="Z528" s="67"/>
      <c r="AA528" s="67"/>
      <c r="AB528" s="67"/>
      <c r="AC528" s="67"/>
      <c r="AD528" s="67"/>
      <c r="AE528" s="67"/>
    </row>
    <row r="529" spans="3:31" ht="11.25" customHeight="1">
      <c r="C529" s="78"/>
      <c r="D529" s="67"/>
      <c r="E529" s="67"/>
      <c r="F529" s="67"/>
      <c r="G529" s="67"/>
      <c r="H529" s="67"/>
      <c r="I529" s="67"/>
      <c r="J529" s="67"/>
      <c r="K529" s="67"/>
      <c r="L529" s="67"/>
      <c r="M529" s="67"/>
      <c r="N529" s="67"/>
      <c r="O529" s="67"/>
      <c r="P529" s="67"/>
      <c r="Q529" s="67"/>
      <c r="R529" s="67"/>
      <c r="S529" s="67"/>
      <c r="T529" s="67"/>
      <c r="U529" s="67"/>
      <c r="V529" s="67"/>
      <c r="W529" s="67"/>
      <c r="X529" s="67"/>
      <c r="Y529" s="67"/>
      <c r="Z529" s="67"/>
      <c r="AA529" s="67"/>
      <c r="AB529" s="67"/>
      <c r="AC529" s="67"/>
      <c r="AD529" s="67"/>
      <c r="AE529" s="67"/>
    </row>
    <row r="530" spans="3:31" ht="11.25" customHeight="1">
      <c r="C530" s="78"/>
      <c r="D530" s="67"/>
      <c r="E530" s="67"/>
      <c r="F530" s="67"/>
      <c r="G530" s="67"/>
      <c r="H530" s="67"/>
      <c r="I530" s="67"/>
      <c r="J530" s="67"/>
      <c r="K530" s="67"/>
      <c r="L530" s="67"/>
      <c r="M530" s="67"/>
      <c r="N530" s="67"/>
      <c r="O530" s="67"/>
      <c r="P530" s="67"/>
      <c r="Q530" s="67"/>
      <c r="R530" s="67"/>
      <c r="S530" s="67"/>
      <c r="T530" s="67"/>
      <c r="U530" s="67"/>
      <c r="V530" s="67"/>
      <c r="W530" s="67"/>
      <c r="X530" s="67"/>
      <c r="Y530" s="67"/>
      <c r="Z530" s="67"/>
      <c r="AA530" s="67"/>
      <c r="AB530" s="67"/>
      <c r="AC530" s="67"/>
      <c r="AD530" s="67"/>
      <c r="AE530" s="67"/>
    </row>
    <row r="531" spans="3:31">
      <c r="C531" s="78"/>
      <c r="D531" s="67"/>
      <c r="E531" s="67"/>
      <c r="F531" s="67"/>
      <c r="G531" s="67"/>
      <c r="H531" s="67"/>
      <c r="I531" s="67"/>
      <c r="J531" s="67"/>
      <c r="K531" s="67"/>
      <c r="L531" s="67"/>
      <c r="M531" s="67"/>
      <c r="N531" s="67"/>
      <c r="O531" s="67"/>
      <c r="P531" s="67"/>
      <c r="Q531" s="67"/>
      <c r="R531" s="67"/>
      <c r="S531" s="67"/>
      <c r="T531" s="67"/>
      <c r="U531" s="67"/>
      <c r="V531" s="67"/>
      <c r="W531" s="67"/>
      <c r="X531" s="67"/>
      <c r="Y531" s="67"/>
      <c r="Z531" s="67"/>
      <c r="AA531" s="67"/>
      <c r="AB531" s="67"/>
      <c r="AC531" s="67"/>
      <c r="AD531" s="67"/>
      <c r="AE531" s="67"/>
    </row>
    <row r="532" spans="3:31">
      <c r="C532" s="78"/>
      <c r="D532" s="67"/>
      <c r="E532" s="67"/>
      <c r="F532" s="67"/>
      <c r="G532" s="67"/>
      <c r="H532" s="67"/>
      <c r="I532" s="67"/>
      <c r="J532" s="67"/>
      <c r="K532" s="67"/>
      <c r="L532" s="67"/>
      <c r="M532" s="67"/>
      <c r="N532" s="67"/>
      <c r="O532" s="67"/>
      <c r="P532" s="67"/>
      <c r="Q532" s="67"/>
      <c r="R532" s="67"/>
      <c r="S532" s="67"/>
      <c r="T532" s="67"/>
      <c r="U532" s="67"/>
      <c r="V532" s="67"/>
      <c r="W532" s="67"/>
      <c r="X532" s="67"/>
      <c r="Y532" s="67"/>
      <c r="Z532" s="67"/>
      <c r="AA532" s="67"/>
      <c r="AB532" s="67"/>
      <c r="AC532" s="67"/>
      <c r="AD532" s="67"/>
      <c r="AE532" s="67"/>
    </row>
    <row r="533" spans="3:31">
      <c r="C533" s="78"/>
      <c r="D533" s="67"/>
      <c r="E533" s="67"/>
      <c r="F533" s="67"/>
      <c r="G533" s="67"/>
      <c r="H533" s="67"/>
      <c r="I533" s="67"/>
      <c r="J533" s="67"/>
      <c r="K533" s="67"/>
      <c r="L533" s="67"/>
      <c r="M533" s="67"/>
      <c r="N533" s="67"/>
      <c r="O533" s="67"/>
      <c r="P533" s="67"/>
      <c r="Q533" s="67"/>
      <c r="R533" s="67"/>
      <c r="S533" s="67"/>
      <c r="T533" s="67"/>
      <c r="U533" s="67"/>
      <c r="V533" s="67"/>
      <c r="W533" s="67"/>
      <c r="X533" s="67"/>
      <c r="Y533" s="67"/>
      <c r="Z533" s="67"/>
      <c r="AA533" s="67"/>
      <c r="AB533" s="67"/>
      <c r="AC533" s="67"/>
      <c r="AD533" s="67"/>
      <c r="AE533" s="67"/>
    </row>
    <row r="534" spans="3:31">
      <c r="C534" s="78"/>
      <c r="D534" s="67"/>
      <c r="E534" s="67"/>
      <c r="F534" s="67"/>
      <c r="G534" s="67"/>
      <c r="H534" s="67"/>
      <c r="I534" s="67"/>
      <c r="J534" s="67"/>
      <c r="K534" s="67"/>
      <c r="L534" s="67"/>
      <c r="M534" s="67"/>
      <c r="N534" s="67"/>
      <c r="O534" s="67"/>
      <c r="P534" s="67"/>
      <c r="Q534" s="67"/>
      <c r="R534" s="67"/>
      <c r="S534" s="67"/>
      <c r="T534" s="67"/>
      <c r="U534" s="67"/>
      <c r="V534" s="67"/>
      <c r="W534" s="67"/>
      <c r="X534" s="67"/>
      <c r="Y534" s="67"/>
      <c r="Z534" s="67"/>
      <c r="AA534" s="67"/>
      <c r="AB534" s="67"/>
      <c r="AC534" s="67"/>
      <c r="AD534" s="67"/>
      <c r="AE534" s="67"/>
    </row>
    <row r="535" spans="3:31">
      <c r="C535" s="78"/>
      <c r="D535" s="67"/>
      <c r="E535" s="67"/>
      <c r="F535" s="67"/>
      <c r="G535" s="67"/>
      <c r="H535" s="67"/>
      <c r="I535" s="67"/>
      <c r="J535" s="67"/>
      <c r="K535" s="67"/>
      <c r="L535" s="67"/>
      <c r="M535" s="67"/>
      <c r="N535" s="67"/>
      <c r="O535" s="67"/>
      <c r="P535" s="67"/>
      <c r="Q535" s="67"/>
      <c r="R535" s="67"/>
      <c r="S535" s="67"/>
      <c r="T535" s="67"/>
      <c r="U535" s="67"/>
      <c r="V535" s="67"/>
      <c r="W535" s="67"/>
      <c r="X535" s="67"/>
      <c r="Y535" s="67"/>
      <c r="Z535" s="67"/>
      <c r="AA535" s="67"/>
      <c r="AB535" s="67"/>
      <c r="AC535" s="67"/>
      <c r="AD535" s="67"/>
      <c r="AE535" s="67"/>
    </row>
    <row r="536" spans="3:31">
      <c r="C536" s="78"/>
      <c r="D536" s="67"/>
      <c r="E536" s="67"/>
      <c r="F536" s="67"/>
      <c r="G536" s="67"/>
      <c r="H536" s="67"/>
      <c r="I536" s="67"/>
      <c r="J536" s="67"/>
      <c r="K536" s="67"/>
      <c r="L536" s="67"/>
      <c r="M536" s="67"/>
      <c r="N536" s="67"/>
      <c r="O536" s="67"/>
      <c r="P536" s="67"/>
      <c r="Q536" s="67"/>
      <c r="R536" s="67"/>
      <c r="S536" s="67"/>
      <c r="T536" s="67"/>
      <c r="U536" s="67"/>
      <c r="V536" s="67"/>
      <c r="W536" s="67"/>
      <c r="X536" s="67"/>
      <c r="Y536" s="67"/>
      <c r="Z536" s="67"/>
      <c r="AA536" s="67"/>
      <c r="AB536" s="67"/>
      <c r="AC536" s="67"/>
      <c r="AD536" s="67"/>
      <c r="AE536" s="67"/>
    </row>
    <row r="537" spans="3:31">
      <c r="C537" s="78"/>
      <c r="D537" s="67"/>
      <c r="E537" s="67"/>
      <c r="F537" s="67"/>
      <c r="G537" s="67"/>
      <c r="H537" s="67"/>
      <c r="I537" s="67"/>
      <c r="J537" s="67"/>
      <c r="K537" s="67"/>
      <c r="L537" s="67"/>
      <c r="M537" s="67"/>
      <c r="N537" s="67"/>
      <c r="O537" s="67"/>
      <c r="P537" s="67"/>
      <c r="Q537" s="67"/>
      <c r="R537" s="67"/>
      <c r="S537" s="67"/>
      <c r="T537" s="67"/>
      <c r="U537" s="67"/>
      <c r="V537" s="67"/>
      <c r="W537" s="67"/>
      <c r="X537" s="67"/>
      <c r="Y537" s="67"/>
      <c r="Z537" s="67"/>
      <c r="AA537" s="67"/>
      <c r="AB537" s="67"/>
      <c r="AC537" s="67"/>
      <c r="AD537" s="67"/>
      <c r="AE537" s="67"/>
    </row>
    <row r="538" spans="3:31">
      <c r="C538" s="78"/>
      <c r="D538" s="67"/>
      <c r="E538" s="67"/>
      <c r="F538" s="67"/>
      <c r="G538" s="67"/>
      <c r="H538" s="67"/>
      <c r="I538" s="67"/>
      <c r="J538" s="67"/>
      <c r="K538" s="67"/>
      <c r="L538" s="67"/>
      <c r="M538" s="67"/>
      <c r="N538" s="67"/>
      <c r="O538" s="67"/>
      <c r="P538" s="67"/>
      <c r="Q538" s="67"/>
      <c r="R538" s="67"/>
      <c r="S538" s="67"/>
      <c r="T538" s="67"/>
      <c r="U538" s="67"/>
      <c r="V538" s="67"/>
      <c r="W538" s="67"/>
      <c r="X538" s="67"/>
      <c r="Y538" s="67"/>
      <c r="Z538" s="67"/>
      <c r="AA538" s="67"/>
      <c r="AB538" s="67"/>
      <c r="AC538" s="67"/>
      <c r="AD538" s="67"/>
      <c r="AE538" s="67"/>
    </row>
    <row r="539" spans="3:31">
      <c r="C539" s="78"/>
      <c r="D539" s="67"/>
      <c r="E539" s="67"/>
      <c r="F539" s="67"/>
      <c r="G539" s="67"/>
      <c r="H539" s="67"/>
      <c r="I539" s="67"/>
      <c r="J539" s="67"/>
      <c r="K539" s="67"/>
      <c r="L539" s="67"/>
      <c r="M539" s="67"/>
      <c r="N539" s="67"/>
      <c r="O539" s="67"/>
      <c r="P539" s="67"/>
      <c r="Q539" s="67"/>
      <c r="R539" s="67"/>
      <c r="S539" s="67"/>
      <c r="T539" s="67"/>
      <c r="U539" s="67"/>
      <c r="V539" s="67"/>
      <c r="W539" s="67"/>
      <c r="X539" s="67"/>
      <c r="Y539" s="67"/>
      <c r="Z539" s="67"/>
      <c r="AA539" s="67"/>
      <c r="AB539" s="67"/>
      <c r="AC539" s="67"/>
      <c r="AD539" s="67"/>
      <c r="AE539" s="67"/>
    </row>
    <row r="540" spans="3:31">
      <c r="C540" s="78"/>
      <c r="D540" s="67"/>
      <c r="E540" s="67"/>
      <c r="F540" s="67"/>
      <c r="G540" s="67"/>
      <c r="H540" s="67"/>
      <c r="I540" s="67"/>
      <c r="J540" s="67"/>
      <c r="K540" s="67"/>
      <c r="L540" s="67"/>
      <c r="M540" s="67"/>
      <c r="N540" s="67"/>
      <c r="O540" s="67"/>
      <c r="P540" s="67"/>
      <c r="Q540" s="67"/>
      <c r="R540" s="67"/>
      <c r="S540" s="67"/>
      <c r="T540" s="67"/>
      <c r="U540" s="67"/>
      <c r="V540" s="67"/>
      <c r="W540" s="67"/>
      <c r="X540" s="67"/>
      <c r="Y540" s="67"/>
      <c r="Z540" s="67"/>
      <c r="AA540" s="67"/>
      <c r="AB540" s="67"/>
      <c r="AC540" s="67"/>
      <c r="AD540" s="67"/>
      <c r="AE540" s="67"/>
    </row>
    <row r="541" spans="3:31">
      <c r="C541" s="78"/>
      <c r="D541" s="67"/>
      <c r="E541" s="67"/>
      <c r="F541" s="67"/>
      <c r="G541" s="67"/>
      <c r="H541" s="67"/>
      <c r="I541" s="67"/>
      <c r="J541" s="67"/>
      <c r="K541" s="67"/>
      <c r="L541" s="67"/>
      <c r="M541" s="67"/>
      <c r="N541" s="67"/>
      <c r="O541" s="67"/>
      <c r="P541" s="67"/>
      <c r="Q541" s="67"/>
      <c r="R541" s="67"/>
      <c r="S541" s="67"/>
      <c r="T541" s="67"/>
      <c r="U541" s="67"/>
      <c r="V541" s="67"/>
      <c r="W541" s="67"/>
      <c r="X541" s="67"/>
      <c r="Y541" s="67"/>
      <c r="Z541" s="67"/>
      <c r="AA541" s="67"/>
      <c r="AB541" s="67"/>
      <c r="AC541" s="67"/>
      <c r="AD541" s="67"/>
      <c r="AE541" s="67"/>
    </row>
    <row r="542" spans="3:31">
      <c r="C542" s="78"/>
      <c r="D542" s="67"/>
      <c r="E542" s="67"/>
      <c r="F542" s="67"/>
      <c r="G542" s="67"/>
      <c r="H542" s="67"/>
      <c r="I542" s="67"/>
      <c r="J542" s="67"/>
      <c r="K542" s="67"/>
      <c r="L542" s="67"/>
      <c r="M542" s="67"/>
      <c r="N542" s="67"/>
      <c r="O542" s="67"/>
      <c r="P542" s="67"/>
      <c r="Q542" s="67"/>
      <c r="R542" s="67"/>
      <c r="S542" s="67"/>
      <c r="T542" s="67"/>
      <c r="U542" s="67"/>
      <c r="V542" s="67"/>
      <c r="W542" s="67"/>
      <c r="X542" s="67"/>
      <c r="Y542" s="67"/>
      <c r="Z542" s="67"/>
      <c r="AA542" s="67"/>
      <c r="AB542" s="67"/>
      <c r="AC542" s="67"/>
      <c r="AD542" s="67"/>
      <c r="AE542" s="67"/>
    </row>
    <row r="543" spans="3:31">
      <c r="C543" s="78"/>
      <c r="D543" s="67"/>
      <c r="E543" s="67"/>
      <c r="F543" s="67"/>
      <c r="G543" s="67"/>
      <c r="H543" s="67"/>
      <c r="I543" s="67"/>
      <c r="J543" s="67"/>
      <c r="K543" s="67"/>
      <c r="L543" s="67"/>
      <c r="M543" s="67"/>
      <c r="N543" s="67"/>
      <c r="O543" s="67"/>
      <c r="P543" s="67"/>
      <c r="Q543" s="67"/>
      <c r="R543" s="67"/>
      <c r="S543" s="67"/>
      <c r="T543" s="67"/>
      <c r="U543" s="67"/>
      <c r="V543" s="67"/>
      <c r="W543" s="67"/>
      <c r="X543" s="67"/>
      <c r="Y543" s="67"/>
      <c r="Z543" s="67"/>
      <c r="AA543" s="67"/>
      <c r="AB543" s="67"/>
      <c r="AC543" s="67"/>
      <c r="AD543" s="67"/>
      <c r="AE543" s="67"/>
    </row>
    <row r="544" spans="3:31">
      <c r="C544" s="78"/>
      <c r="D544" s="67"/>
      <c r="E544" s="67"/>
      <c r="F544" s="67"/>
      <c r="G544" s="67"/>
      <c r="H544" s="67"/>
      <c r="I544" s="67"/>
      <c r="J544" s="67"/>
      <c r="K544" s="67"/>
      <c r="L544" s="67"/>
      <c r="M544" s="67"/>
      <c r="N544" s="67"/>
      <c r="O544" s="67"/>
      <c r="P544" s="67"/>
      <c r="Q544" s="67"/>
      <c r="R544" s="67"/>
      <c r="S544" s="67"/>
      <c r="T544" s="67"/>
      <c r="U544" s="67"/>
      <c r="V544" s="67"/>
      <c r="W544" s="67"/>
      <c r="X544" s="67"/>
      <c r="Y544" s="67"/>
      <c r="Z544" s="67"/>
      <c r="AA544" s="67"/>
      <c r="AB544" s="67"/>
      <c r="AC544" s="67"/>
      <c r="AD544" s="67"/>
      <c r="AE544" s="67"/>
    </row>
    <row r="545" spans="3:31">
      <c r="C545" s="78"/>
      <c r="D545" s="67"/>
      <c r="E545" s="67"/>
      <c r="F545" s="67"/>
      <c r="G545" s="67"/>
      <c r="H545" s="67"/>
      <c r="I545" s="67"/>
      <c r="J545" s="67"/>
      <c r="K545" s="67"/>
      <c r="L545" s="67"/>
      <c r="M545" s="67"/>
      <c r="N545" s="67"/>
      <c r="O545" s="67"/>
      <c r="P545" s="67"/>
      <c r="Q545" s="67"/>
      <c r="R545" s="67"/>
      <c r="S545" s="67"/>
      <c r="T545" s="67"/>
      <c r="U545" s="67"/>
      <c r="V545" s="67"/>
      <c r="W545" s="67"/>
      <c r="X545" s="67"/>
      <c r="Y545" s="67"/>
      <c r="Z545" s="67"/>
      <c r="AA545" s="67"/>
      <c r="AB545" s="67"/>
      <c r="AC545" s="67"/>
      <c r="AD545" s="67"/>
      <c r="AE545" s="67"/>
    </row>
    <row r="546" spans="3:31">
      <c r="C546" s="78"/>
      <c r="D546" s="67"/>
      <c r="E546" s="67"/>
      <c r="F546" s="67"/>
      <c r="G546" s="67"/>
      <c r="H546" s="67"/>
      <c r="I546" s="67"/>
      <c r="J546" s="67"/>
      <c r="K546" s="67"/>
      <c r="L546" s="67"/>
      <c r="M546" s="67"/>
      <c r="N546" s="67"/>
      <c r="O546" s="67"/>
      <c r="P546" s="67"/>
      <c r="Q546" s="67"/>
      <c r="R546" s="67"/>
      <c r="S546" s="67"/>
      <c r="T546" s="67"/>
      <c r="U546" s="67"/>
      <c r="V546" s="67"/>
      <c r="W546" s="67"/>
      <c r="X546" s="67"/>
      <c r="Y546" s="67"/>
      <c r="Z546" s="67"/>
      <c r="AA546" s="67"/>
      <c r="AB546" s="67"/>
      <c r="AC546" s="67"/>
      <c r="AD546" s="67"/>
      <c r="AE546" s="67"/>
    </row>
    <row r="547" spans="3:31">
      <c r="C547" s="78"/>
      <c r="D547" s="67"/>
      <c r="E547" s="67"/>
      <c r="F547" s="67"/>
      <c r="G547" s="67"/>
      <c r="H547" s="67"/>
      <c r="I547" s="67"/>
      <c r="J547" s="67"/>
      <c r="K547" s="67"/>
      <c r="L547" s="67"/>
      <c r="M547" s="67"/>
      <c r="N547" s="67"/>
      <c r="O547" s="67"/>
      <c r="P547" s="67"/>
      <c r="Q547" s="67"/>
      <c r="R547" s="67"/>
      <c r="S547" s="67"/>
      <c r="T547" s="67"/>
      <c r="U547" s="67"/>
      <c r="V547" s="67"/>
      <c r="W547" s="67"/>
      <c r="X547" s="67"/>
      <c r="Y547" s="67"/>
      <c r="Z547" s="67"/>
      <c r="AA547" s="67"/>
      <c r="AB547" s="67"/>
      <c r="AC547" s="67"/>
      <c r="AD547" s="67"/>
      <c r="AE547" s="67"/>
    </row>
    <row r="548" spans="3:31">
      <c r="C548" s="78"/>
      <c r="D548" s="67"/>
      <c r="E548" s="67"/>
      <c r="F548" s="67"/>
      <c r="G548" s="67"/>
      <c r="H548" s="67"/>
      <c r="I548" s="67"/>
      <c r="J548" s="67"/>
      <c r="K548" s="67"/>
      <c r="L548" s="67"/>
      <c r="M548" s="67"/>
      <c r="N548" s="67"/>
      <c r="O548" s="67"/>
      <c r="P548" s="67"/>
      <c r="Q548" s="67"/>
      <c r="R548" s="67"/>
      <c r="S548" s="67"/>
      <c r="T548" s="67"/>
      <c r="U548" s="67"/>
      <c r="V548" s="67"/>
      <c r="W548" s="67"/>
      <c r="X548" s="67"/>
      <c r="Y548" s="67"/>
      <c r="Z548" s="67"/>
      <c r="AA548" s="67"/>
      <c r="AB548" s="67"/>
      <c r="AC548" s="67"/>
      <c r="AD548" s="67"/>
      <c r="AE548" s="67"/>
    </row>
    <row r="549" spans="3:31">
      <c r="C549" s="78"/>
      <c r="D549" s="67"/>
      <c r="E549" s="67"/>
      <c r="F549" s="67"/>
      <c r="G549" s="67"/>
      <c r="H549" s="67"/>
      <c r="I549" s="67"/>
      <c r="J549" s="67"/>
      <c r="K549" s="67"/>
      <c r="L549" s="67"/>
      <c r="M549" s="67"/>
      <c r="N549" s="67"/>
      <c r="O549" s="67"/>
      <c r="P549" s="67"/>
      <c r="Q549" s="67"/>
      <c r="R549" s="67"/>
      <c r="S549" s="67"/>
      <c r="T549" s="67"/>
      <c r="U549" s="67"/>
      <c r="V549" s="67"/>
      <c r="W549" s="67"/>
      <c r="X549" s="67"/>
      <c r="Y549" s="67"/>
      <c r="Z549" s="67"/>
      <c r="AA549" s="67"/>
      <c r="AB549" s="67"/>
      <c r="AC549" s="67"/>
      <c r="AD549" s="67"/>
      <c r="AE549" s="67"/>
    </row>
    <row r="550" spans="3:31">
      <c r="C550" s="78"/>
      <c r="D550" s="67"/>
      <c r="E550" s="67"/>
      <c r="F550" s="67"/>
      <c r="G550" s="67"/>
      <c r="H550" s="67"/>
      <c r="I550" s="67"/>
      <c r="J550" s="67"/>
      <c r="K550" s="67"/>
      <c r="L550" s="67"/>
      <c r="M550" s="67"/>
      <c r="N550" s="67"/>
      <c r="O550" s="67"/>
      <c r="P550" s="67"/>
      <c r="Q550" s="67"/>
      <c r="R550" s="67"/>
      <c r="S550" s="67"/>
      <c r="T550" s="67"/>
      <c r="U550" s="67"/>
      <c r="V550" s="67"/>
      <c r="W550" s="67"/>
      <c r="X550" s="67"/>
      <c r="Y550" s="67"/>
      <c r="Z550" s="67"/>
      <c r="AA550" s="67"/>
      <c r="AB550" s="67"/>
      <c r="AC550" s="67"/>
      <c r="AD550" s="67"/>
      <c r="AE550" s="67"/>
    </row>
    <row r="551" spans="3:31">
      <c r="C551" s="78"/>
      <c r="D551" s="67"/>
      <c r="E551" s="67"/>
      <c r="F551" s="67"/>
      <c r="G551" s="67"/>
      <c r="H551" s="67"/>
      <c r="I551" s="67"/>
      <c r="J551" s="67"/>
      <c r="K551" s="67"/>
      <c r="L551" s="67"/>
      <c r="M551" s="67"/>
      <c r="N551" s="67"/>
      <c r="O551" s="67"/>
      <c r="P551" s="67"/>
      <c r="Q551" s="67"/>
      <c r="R551" s="67"/>
      <c r="S551" s="67"/>
      <c r="T551" s="67"/>
      <c r="U551" s="67"/>
      <c r="V551" s="67"/>
      <c r="W551" s="67"/>
      <c r="X551" s="67"/>
      <c r="Y551" s="67"/>
      <c r="Z551" s="67"/>
      <c r="AA551" s="67"/>
      <c r="AB551" s="67"/>
      <c r="AC551" s="67"/>
      <c r="AD551" s="67"/>
      <c r="AE551" s="67"/>
    </row>
    <row r="552" spans="3:31">
      <c r="C552" s="78"/>
      <c r="D552" s="67"/>
      <c r="E552" s="67"/>
      <c r="F552" s="67"/>
      <c r="G552" s="67"/>
      <c r="H552" s="67"/>
      <c r="I552" s="67"/>
      <c r="J552" s="67"/>
      <c r="K552" s="67"/>
      <c r="L552" s="67"/>
      <c r="M552" s="67"/>
      <c r="N552" s="67"/>
      <c r="O552" s="67"/>
      <c r="P552" s="67"/>
      <c r="Q552" s="67"/>
      <c r="R552" s="67"/>
      <c r="S552" s="67"/>
      <c r="T552" s="67"/>
      <c r="U552" s="67"/>
      <c r="V552" s="67"/>
      <c r="W552" s="67"/>
      <c r="X552" s="67"/>
      <c r="Y552" s="67"/>
      <c r="Z552" s="67"/>
      <c r="AA552" s="67"/>
      <c r="AB552" s="67"/>
      <c r="AC552" s="67"/>
      <c r="AD552" s="67"/>
      <c r="AE552" s="67"/>
    </row>
    <row r="553" spans="3:31">
      <c r="C553" s="78"/>
      <c r="D553" s="67"/>
      <c r="E553" s="67"/>
      <c r="F553" s="67"/>
      <c r="G553" s="67"/>
      <c r="H553" s="67"/>
      <c r="I553" s="67"/>
      <c r="J553" s="67"/>
      <c r="K553" s="67"/>
      <c r="L553" s="67"/>
      <c r="M553" s="67"/>
      <c r="N553" s="67"/>
      <c r="O553" s="67"/>
      <c r="P553" s="67"/>
      <c r="Q553" s="67"/>
      <c r="R553" s="67"/>
      <c r="S553" s="67"/>
      <c r="T553" s="67"/>
      <c r="U553" s="67"/>
      <c r="V553" s="67"/>
      <c r="W553" s="67"/>
      <c r="X553" s="67"/>
      <c r="Y553" s="67"/>
      <c r="Z553" s="67"/>
      <c r="AA553" s="67"/>
      <c r="AB553" s="67"/>
      <c r="AC553" s="67"/>
      <c r="AD553" s="67"/>
      <c r="AE553" s="67"/>
    </row>
    <row r="554" spans="3:31">
      <c r="C554" s="78"/>
      <c r="D554" s="67"/>
      <c r="E554" s="67"/>
      <c r="F554" s="67"/>
      <c r="G554" s="67"/>
      <c r="H554" s="67"/>
      <c r="I554" s="67"/>
      <c r="J554" s="67"/>
      <c r="K554" s="67"/>
      <c r="L554" s="67"/>
      <c r="M554" s="67"/>
      <c r="N554" s="67"/>
      <c r="O554" s="67"/>
      <c r="P554" s="67"/>
      <c r="Q554" s="67"/>
      <c r="R554" s="67"/>
      <c r="S554" s="67"/>
      <c r="T554" s="67"/>
      <c r="U554" s="67"/>
      <c r="V554" s="67"/>
      <c r="W554" s="67"/>
      <c r="X554" s="67"/>
      <c r="Y554" s="67"/>
      <c r="Z554" s="67"/>
      <c r="AA554" s="67"/>
      <c r="AB554" s="67"/>
      <c r="AC554" s="67"/>
      <c r="AD554" s="67"/>
      <c r="AE554" s="67"/>
    </row>
    <row r="555" spans="3:31">
      <c r="C555" s="78"/>
      <c r="D555" s="67"/>
      <c r="E555" s="67"/>
      <c r="F555" s="67"/>
      <c r="G555" s="67"/>
      <c r="H555" s="67"/>
      <c r="I555" s="67"/>
      <c r="J555" s="67"/>
      <c r="K555" s="67"/>
      <c r="L555" s="67"/>
      <c r="M555" s="67"/>
      <c r="N555" s="67"/>
      <c r="O555" s="67"/>
      <c r="P555" s="67"/>
      <c r="Q555" s="67"/>
      <c r="R555" s="67"/>
      <c r="S555" s="67"/>
      <c r="T555" s="67"/>
      <c r="U555" s="67"/>
      <c r="V555" s="67"/>
      <c r="W555" s="67"/>
      <c r="X555" s="67"/>
      <c r="Y555" s="67"/>
      <c r="Z555" s="67"/>
      <c r="AA555" s="67"/>
      <c r="AB555" s="67"/>
      <c r="AC555" s="67"/>
      <c r="AD555" s="67"/>
      <c r="AE555" s="67"/>
    </row>
    <row r="556" spans="3:31">
      <c r="C556" s="78"/>
      <c r="D556" s="67"/>
      <c r="E556" s="67"/>
      <c r="F556" s="67"/>
      <c r="G556" s="67"/>
      <c r="H556" s="67"/>
      <c r="I556" s="67"/>
      <c r="J556" s="67"/>
      <c r="K556" s="67"/>
      <c r="L556" s="67"/>
      <c r="M556" s="67"/>
      <c r="N556" s="67"/>
      <c r="O556" s="67"/>
      <c r="P556" s="67"/>
      <c r="Q556" s="67"/>
      <c r="R556" s="67"/>
      <c r="S556" s="67"/>
      <c r="T556" s="67"/>
      <c r="U556" s="67"/>
      <c r="V556" s="67"/>
      <c r="W556" s="67"/>
      <c r="X556" s="67"/>
      <c r="Y556" s="67"/>
      <c r="Z556" s="67"/>
      <c r="AA556" s="67"/>
      <c r="AB556" s="67"/>
      <c r="AC556" s="67"/>
      <c r="AD556" s="67"/>
      <c r="AE556" s="67"/>
    </row>
    <row r="557" spans="3:31">
      <c r="C557" s="78"/>
      <c r="D557" s="67"/>
      <c r="E557" s="67"/>
      <c r="F557" s="67"/>
      <c r="G557" s="67"/>
      <c r="H557" s="67"/>
      <c r="I557" s="67"/>
      <c r="J557" s="67"/>
      <c r="K557" s="67"/>
      <c r="L557" s="67"/>
      <c r="M557" s="67"/>
      <c r="N557" s="67"/>
      <c r="O557" s="67"/>
      <c r="P557" s="67"/>
      <c r="Q557" s="67"/>
      <c r="R557" s="67"/>
      <c r="S557" s="67"/>
      <c r="T557" s="67"/>
      <c r="U557" s="67"/>
      <c r="V557" s="67"/>
      <c r="W557" s="67"/>
      <c r="X557" s="67"/>
      <c r="Y557" s="67"/>
      <c r="Z557" s="67"/>
      <c r="AA557" s="67"/>
      <c r="AB557" s="67"/>
      <c r="AC557" s="67"/>
      <c r="AD557" s="67"/>
      <c r="AE557" s="67"/>
    </row>
    <row r="558" spans="3:31">
      <c r="C558" s="78"/>
      <c r="D558" s="67"/>
      <c r="E558" s="67"/>
      <c r="F558" s="67"/>
      <c r="G558" s="67"/>
      <c r="H558" s="67"/>
      <c r="I558" s="67"/>
      <c r="J558" s="67"/>
      <c r="K558" s="67"/>
      <c r="L558" s="67"/>
      <c r="M558" s="67"/>
      <c r="N558" s="67"/>
      <c r="O558" s="67"/>
      <c r="P558" s="67"/>
      <c r="Q558" s="67"/>
      <c r="R558" s="67"/>
      <c r="S558" s="67"/>
      <c r="T558" s="67"/>
      <c r="U558" s="67"/>
      <c r="V558" s="67"/>
      <c r="W558" s="67"/>
      <c r="X558" s="67"/>
      <c r="Y558" s="67"/>
      <c r="Z558" s="67"/>
      <c r="AA558" s="67"/>
      <c r="AB558" s="67"/>
      <c r="AC558" s="67"/>
      <c r="AD558" s="67"/>
      <c r="AE558" s="67"/>
    </row>
    <row r="559" spans="3:31">
      <c r="C559" s="78"/>
      <c r="D559" s="67"/>
      <c r="E559" s="67"/>
      <c r="F559" s="67"/>
      <c r="G559" s="67"/>
      <c r="H559" s="67"/>
      <c r="I559" s="67"/>
      <c r="J559" s="67"/>
      <c r="K559" s="67"/>
      <c r="L559" s="67"/>
      <c r="M559" s="67"/>
      <c r="N559" s="67"/>
      <c r="O559" s="67"/>
      <c r="P559" s="67"/>
      <c r="Q559" s="67"/>
      <c r="R559" s="67"/>
      <c r="S559" s="67"/>
      <c r="T559" s="67"/>
      <c r="U559" s="67"/>
      <c r="V559" s="67"/>
      <c r="W559" s="67"/>
      <c r="X559" s="67"/>
      <c r="Y559" s="67"/>
      <c r="Z559" s="67"/>
      <c r="AA559" s="67"/>
      <c r="AB559" s="67"/>
      <c r="AC559" s="67"/>
      <c r="AD559" s="67"/>
      <c r="AE559" s="67"/>
    </row>
    <row r="560" spans="3:31">
      <c r="C560" s="78"/>
      <c r="D560" s="67"/>
      <c r="E560" s="67"/>
      <c r="F560" s="67"/>
      <c r="G560" s="67"/>
      <c r="H560" s="67"/>
      <c r="I560" s="67"/>
      <c r="J560" s="67"/>
      <c r="K560" s="67"/>
      <c r="L560" s="67"/>
      <c r="M560" s="67"/>
      <c r="N560" s="67"/>
      <c r="O560" s="67"/>
      <c r="P560" s="67"/>
      <c r="Q560" s="67"/>
      <c r="R560" s="67"/>
      <c r="S560" s="67"/>
      <c r="T560" s="67"/>
      <c r="U560" s="67"/>
      <c r="V560" s="67"/>
      <c r="W560" s="67"/>
      <c r="X560" s="67"/>
      <c r="Y560" s="67"/>
      <c r="Z560" s="67"/>
      <c r="AA560" s="67"/>
      <c r="AB560" s="67"/>
      <c r="AC560" s="67"/>
      <c r="AD560" s="67"/>
      <c r="AE560" s="67"/>
    </row>
    <row r="561" spans="3:31">
      <c r="C561" s="78"/>
      <c r="D561" s="67"/>
      <c r="E561" s="67"/>
      <c r="F561" s="67"/>
      <c r="G561" s="67"/>
      <c r="H561" s="67"/>
      <c r="I561" s="67"/>
      <c r="J561" s="67"/>
      <c r="K561" s="67"/>
      <c r="L561" s="67"/>
      <c r="M561" s="67"/>
      <c r="N561" s="67"/>
      <c r="O561" s="67"/>
      <c r="P561" s="67"/>
      <c r="Q561" s="67"/>
      <c r="R561" s="67"/>
      <c r="S561" s="67"/>
      <c r="T561" s="67"/>
      <c r="U561" s="67"/>
      <c r="V561" s="67"/>
      <c r="W561" s="67"/>
      <c r="X561" s="67"/>
      <c r="Y561" s="67"/>
      <c r="Z561" s="67"/>
      <c r="AA561" s="67"/>
      <c r="AB561" s="67"/>
      <c r="AC561" s="67"/>
      <c r="AD561" s="67"/>
      <c r="AE561" s="67"/>
    </row>
    <row r="562" spans="3:31">
      <c r="C562" s="78"/>
      <c r="D562" s="67"/>
      <c r="E562" s="67"/>
      <c r="F562" s="67"/>
      <c r="G562" s="67"/>
      <c r="H562" s="67"/>
      <c r="I562" s="67"/>
      <c r="J562" s="67"/>
      <c r="K562" s="67"/>
      <c r="L562" s="67"/>
      <c r="M562" s="67"/>
      <c r="N562" s="67"/>
      <c r="O562" s="67"/>
      <c r="P562" s="67"/>
      <c r="Q562" s="67"/>
      <c r="R562" s="67"/>
      <c r="S562" s="67"/>
      <c r="T562" s="67"/>
      <c r="U562" s="67"/>
      <c r="V562" s="67"/>
      <c r="W562" s="67"/>
      <c r="X562" s="67"/>
      <c r="Y562" s="67"/>
      <c r="Z562" s="67"/>
      <c r="AA562" s="67"/>
      <c r="AB562" s="67"/>
      <c r="AC562" s="67"/>
      <c r="AD562" s="67"/>
      <c r="AE562" s="67"/>
    </row>
    <row r="563" spans="3:31">
      <c r="C563" s="78"/>
      <c r="D563" s="67"/>
      <c r="E563" s="67"/>
      <c r="F563" s="67"/>
      <c r="G563" s="67"/>
      <c r="H563" s="67"/>
      <c r="I563" s="67"/>
      <c r="J563" s="67"/>
      <c r="K563" s="67"/>
      <c r="L563" s="67"/>
      <c r="M563" s="67"/>
      <c r="N563" s="67"/>
      <c r="O563" s="67"/>
      <c r="P563" s="67"/>
      <c r="Q563" s="67"/>
      <c r="R563" s="67"/>
      <c r="S563" s="67"/>
      <c r="T563" s="67"/>
      <c r="U563" s="67"/>
      <c r="V563" s="67"/>
      <c r="W563" s="67"/>
      <c r="X563" s="67"/>
      <c r="Y563" s="67"/>
      <c r="Z563" s="67"/>
      <c r="AA563" s="67"/>
      <c r="AB563" s="67"/>
      <c r="AC563" s="67"/>
      <c r="AD563" s="67"/>
      <c r="AE563" s="67"/>
    </row>
    <row r="564" spans="3:31">
      <c r="C564" s="78"/>
      <c r="D564" s="67"/>
      <c r="E564" s="67"/>
      <c r="F564" s="67"/>
      <c r="G564" s="67"/>
      <c r="H564" s="67"/>
      <c r="I564" s="67"/>
      <c r="J564" s="67"/>
      <c r="K564" s="67"/>
      <c r="L564" s="67"/>
      <c r="M564" s="67"/>
      <c r="N564" s="67"/>
      <c r="O564" s="67"/>
      <c r="P564" s="67"/>
      <c r="Q564" s="67"/>
      <c r="R564" s="67"/>
      <c r="S564" s="67"/>
      <c r="T564" s="67"/>
      <c r="U564" s="67"/>
      <c r="V564" s="67"/>
      <c r="W564" s="67"/>
      <c r="X564" s="67"/>
      <c r="Y564" s="67"/>
      <c r="Z564" s="67"/>
      <c r="AA564" s="67"/>
      <c r="AB564" s="67"/>
      <c r="AC564" s="67"/>
      <c r="AD564" s="67"/>
      <c r="AE564" s="67"/>
    </row>
    <row r="565" spans="3:31">
      <c r="C565" s="78"/>
      <c r="D565" s="67"/>
      <c r="E565" s="67"/>
      <c r="F565" s="67"/>
      <c r="G565" s="67"/>
      <c r="H565" s="67"/>
      <c r="I565" s="67"/>
      <c r="J565" s="67"/>
      <c r="K565" s="67"/>
      <c r="L565" s="67"/>
      <c r="M565" s="67"/>
      <c r="N565" s="67"/>
      <c r="O565" s="67"/>
      <c r="P565" s="67"/>
      <c r="Q565" s="67"/>
      <c r="R565" s="67"/>
      <c r="S565" s="67"/>
      <c r="T565" s="67"/>
      <c r="U565" s="67"/>
      <c r="V565" s="67"/>
      <c r="W565" s="67"/>
      <c r="X565" s="67"/>
      <c r="Y565" s="67"/>
      <c r="Z565" s="67"/>
      <c r="AA565" s="67"/>
      <c r="AB565" s="67"/>
      <c r="AC565" s="67"/>
      <c r="AD565" s="67"/>
      <c r="AE565" s="67"/>
    </row>
    <row r="566" spans="3:31">
      <c r="C566" s="78"/>
      <c r="D566" s="67"/>
      <c r="E566" s="67"/>
      <c r="F566" s="67"/>
      <c r="G566" s="67"/>
      <c r="H566" s="67"/>
      <c r="I566" s="67"/>
      <c r="J566" s="67"/>
      <c r="K566" s="67"/>
      <c r="L566" s="67"/>
      <c r="M566" s="67"/>
      <c r="N566" s="67"/>
      <c r="O566" s="67"/>
      <c r="P566" s="67"/>
      <c r="Q566" s="67"/>
      <c r="R566" s="67"/>
      <c r="S566" s="67"/>
      <c r="T566" s="67"/>
      <c r="U566" s="67"/>
      <c r="V566" s="67"/>
      <c r="W566" s="67"/>
      <c r="X566" s="67"/>
      <c r="Y566" s="67"/>
      <c r="Z566" s="67"/>
      <c r="AA566" s="67"/>
      <c r="AB566" s="67"/>
      <c r="AC566" s="67"/>
      <c r="AD566" s="67"/>
      <c r="AE566" s="67"/>
    </row>
    <row r="567" spans="3:31">
      <c r="C567" s="78"/>
      <c r="D567" s="67"/>
      <c r="E567" s="67"/>
      <c r="F567" s="67"/>
      <c r="G567" s="67"/>
      <c r="H567" s="67"/>
      <c r="I567" s="67"/>
      <c r="J567" s="67"/>
      <c r="K567" s="67"/>
      <c r="L567" s="67"/>
      <c r="M567" s="67"/>
      <c r="N567" s="67"/>
      <c r="O567" s="67"/>
      <c r="P567" s="67"/>
      <c r="Q567" s="67"/>
      <c r="R567" s="67"/>
      <c r="S567" s="67"/>
      <c r="T567" s="67"/>
      <c r="U567" s="67"/>
      <c r="V567" s="67"/>
      <c r="W567" s="67"/>
      <c r="X567" s="67"/>
      <c r="Y567" s="67"/>
      <c r="Z567" s="67"/>
      <c r="AA567" s="67"/>
      <c r="AB567" s="67"/>
      <c r="AC567" s="67"/>
      <c r="AD567" s="67"/>
      <c r="AE567" s="67"/>
    </row>
    <row r="568" spans="3:31">
      <c r="C568" s="78"/>
      <c r="D568" s="67"/>
      <c r="E568" s="67"/>
      <c r="F568" s="67"/>
      <c r="G568" s="67"/>
      <c r="H568" s="67"/>
      <c r="I568" s="67"/>
      <c r="J568" s="67"/>
      <c r="K568" s="67"/>
      <c r="L568" s="67"/>
      <c r="M568" s="67"/>
      <c r="N568" s="67"/>
      <c r="O568" s="67"/>
      <c r="P568" s="67"/>
      <c r="Q568" s="67"/>
      <c r="R568" s="67"/>
      <c r="S568" s="67"/>
      <c r="T568" s="67"/>
      <c r="U568" s="67"/>
      <c r="V568" s="67"/>
      <c r="W568" s="67"/>
      <c r="X568" s="67"/>
      <c r="Y568" s="67"/>
      <c r="Z568" s="67"/>
      <c r="AA568" s="67"/>
      <c r="AB568" s="67"/>
      <c r="AC568" s="67"/>
      <c r="AD568" s="67"/>
      <c r="AE568" s="67"/>
    </row>
    <row r="569" spans="3:31">
      <c r="C569" s="78"/>
      <c r="D569" s="67"/>
      <c r="E569" s="67"/>
      <c r="F569" s="67"/>
      <c r="G569" s="67"/>
      <c r="H569" s="67"/>
      <c r="I569" s="67"/>
      <c r="J569" s="67"/>
      <c r="K569" s="67"/>
      <c r="L569" s="67"/>
      <c r="M569" s="67"/>
      <c r="N569" s="67"/>
      <c r="O569" s="67"/>
      <c r="P569" s="67"/>
      <c r="Q569" s="67"/>
      <c r="R569" s="67"/>
      <c r="S569" s="67"/>
      <c r="T569" s="67"/>
      <c r="U569" s="67"/>
      <c r="V569" s="67"/>
      <c r="W569" s="67"/>
      <c r="X569" s="67"/>
      <c r="Y569" s="67"/>
      <c r="Z569" s="67"/>
      <c r="AA569" s="67"/>
      <c r="AB569" s="67"/>
      <c r="AC569" s="67"/>
      <c r="AD569" s="67"/>
      <c r="AE569" s="67"/>
    </row>
    <row r="570" spans="3:31">
      <c r="C570" s="78"/>
      <c r="D570" s="67"/>
      <c r="E570" s="67"/>
      <c r="F570" s="67"/>
      <c r="G570" s="67"/>
      <c r="H570" s="67"/>
      <c r="I570" s="67"/>
      <c r="J570" s="67"/>
      <c r="K570" s="67"/>
      <c r="L570" s="67"/>
      <c r="M570" s="67"/>
      <c r="N570" s="67"/>
      <c r="O570" s="67"/>
      <c r="P570" s="67"/>
      <c r="Q570" s="67"/>
      <c r="R570" s="67"/>
      <c r="S570" s="67"/>
      <c r="T570" s="67"/>
      <c r="U570" s="67"/>
      <c r="V570" s="67"/>
      <c r="W570" s="67"/>
      <c r="X570" s="67"/>
      <c r="Y570" s="67"/>
      <c r="Z570" s="67"/>
      <c r="AA570" s="67"/>
      <c r="AB570" s="67"/>
      <c r="AC570" s="67"/>
      <c r="AD570" s="67"/>
      <c r="AE570" s="67"/>
    </row>
    <row r="571" spans="3:31">
      <c r="C571" s="78"/>
      <c r="D571" s="67"/>
      <c r="E571" s="67"/>
      <c r="F571" s="67"/>
      <c r="G571" s="67"/>
      <c r="H571" s="67"/>
      <c r="I571" s="67"/>
      <c r="J571" s="67"/>
      <c r="K571" s="67"/>
      <c r="L571" s="67"/>
      <c r="M571" s="67"/>
      <c r="N571" s="67"/>
      <c r="O571" s="67"/>
      <c r="P571" s="67"/>
      <c r="Q571" s="67"/>
      <c r="R571" s="67"/>
      <c r="S571" s="67"/>
      <c r="T571" s="67"/>
      <c r="U571" s="67"/>
      <c r="V571" s="67"/>
      <c r="W571" s="67"/>
      <c r="X571" s="67"/>
      <c r="Y571" s="67"/>
      <c r="Z571" s="67"/>
      <c r="AA571" s="67"/>
      <c r="AB571" s="67"/>
      <c r="AC571" s="67"/>
      <c r="AD571" s="67"/>
      <c r="AE571" s="67"/>
    </row>
    <row r="572" spans="3:31">
      <c r="C572" s="78"/>
      <c r="D572" s="67"/>
      <c r="E572" s="67"/>
      <c r="F572" s="67"/>
      <c r="G572" s="67"/>
      <c r="H572" s="67"/>
      <c r="I572" s="67"/>
      <c r="J572" s="67"/>
      <c r="K572" s="67"/>
      <c r="L572" s="67"/>
      <c r="M572" s="67"/>
      <c r="N572" s="67"/>
      <c r="O572" s="67"/>
      <c r="P572" s="67"/>
      <c r="Q572" s="67"/>
      <c r="R572" s="67"/>
      <c r="S572" s="67"/>
      <c r="T572" s="67"/>
      <c r="U572" s="67"/>
      <c r="V572" s="67"/>
      <c r="W572" s="67"/>
      <c r="X572" s="67"/>
      <c r="Y572" s="67"/>
      <c r="Z572" s="67"/>
      <c r="AA572" s="67"/>
      <c r="AB572" s="67"/>
      <c r="AC572" s="67"/>
      <c r="AD572" s="67"/>
      <c r="AE572" s="67"/>
    </row>
    <row r="573" spans="3:31">
      <c r="C573" s="78"/>
      <c r="D573" s="67"/>
      <c r="E573" s="67"/>
      <c r="F573" s="67"/>
      <c r="G573" s="67"/>
      <c r="H573" s="67"/>
      <c r="I573" s="67"/>
      <c r="J573" s="67"/>
      <c r="K573" s="67"/>
      <c r="L573" s="67"/>
      <c r="M573" s="67"/>
      <c r="N573" s="67"/>
      <c r="O573" s="67"/>
      <c r="P573" s="67"/>
      <c r="Q573" s="67"/>
      <c r="R573" s="67"/>
      <c r="S573" s="67"/>
      <c r="T573" s="67"/>
      <c r="U573" s="67"/>
      <c r="V573" s="67"/>
      <c r="W573" s="67"/>
      <c r="X573" s="67"/>
      <c r="Y573" s="67"/>
      <c r="Z573" s="67"/>
      <c r="AA573" s="67"/>
      <c r="AB573" s="67"/>
      <c r="AC573" s="67"/>
      <c r="AD573" s="67"/>
      <c r="AE573" s="67"/>
    </row>
    <row r="574" spans="3:31">
      <c r="C574" s="78"/>
      <c r="D574" s="67"/>
      <c r="E574" s="67"/>
      <c r="F574" s="67"/>
      <c r="G574" s="67"/>
      <c r="H574" s="67"/>
      <c r="I574" s="67"/>
      <c r="J574" s="67"/>
      <c r="K574" s="67"/>
      <c r="L574" s="67"/>
      <c r="M574" s="67"/>
      <c r="N574" s="67"/>
      <c r="O574" s="67"/>
      <c r="P574" s="67"/>
      <c r="Q574" s="67"/>
      <c r="R574" s="67"/>
      <c r="S574" s="67"/>
      <c r="T574" s="67"/>
      <c r="U574" s="67"/>
      <c r="V574" s="67"/>
      <c r="W574" s="67"/>
      <c r="X574" s="67"/>
      <c r="Y574" s="67"/>
      <c r="Z574" s="67"/>
      <c r="AA574" s="67"/>
      <c r="AB574" s="67"/>
      <c r="AC574" s="67"/>
      <c r="AD574" s="67"/>
      <c r="AE574" s="67"/>
    </row>
    <row r="575" spans="3:31">
      <c r="C575" s="78"/>
      <c r="D575" s="67"/>
      <c r="E575" s="67"/>
      <c r="F575" s="67"/>
      <c r="G575" s="67"/>
      <c r="H575" s="67"/>
      <c r="I575" s="67"/>
      <c r="J575" s="67"/>
      <c r="K575" s="67"/>
      <c r="L575" s="67"/>
      <c r="M575" s="67"/>
      <c r="N575" s="67"/>
      <c r="O575" s="67"/>
      <c r="P575" s="67"/>
      <c r="Q575" s="67"/>
      <c r="R575" s="67"/>
      <c r="S575" s="67"/>
      <c r="T575" s="67"/>
      <c r="U575" s="67"/>
      <c r="V575" s="67"/>
      <c r="W575" s="67"/>
      <c r="X575" s="67"/>
      <c r="Y575" s="67"/>
      <c r="Z575" s="67"/>
      <c r="AA575" s="67"/>
      <c r="AB575" s="67"/>
      <c r="AC575" s="67"/>
      <c r="AD575" s="67"/>
      <c r="AE575" s="67"/>
    </row>
    <row r="576" spans="3:31">
      <c r="C576" s="78"/>
      <c r="D576" s="67"/>
      <c r="E576" s="67"/>
      <c r="F576" s="67"/>
      <c r="G576" s="67"/>
      <c r="H576" s="67"/>
      <c r="I576" s="67"/>
      <c r="J576" s="67"/>
      <c r="K576" s="67"/>
      <c r="L576" s="67"/>
      <c r="M576" s="67"/>
      <c r="N576" s="67"/>
      <c r="O576" s="67"/>
      <c r="P576" s="67"/>
      <c r="Q576" s="67"/>
      <c r="R576" s="67"/>
      <c r="S576" s="67"/>
      <c r="T576" s="67"/>
      <c r="U576" s="67"/>
      <c r="V576" s="67"/>
      <c r="W576" s="67"/>
      <c r="X576" s="67"/>
      <c r="Y576" s="67"/>
      <c r="Z576" s="67"/>
      <c r="AA576" s="67"/>
      <c r="AB576" s="67"/>
      <c r="AC576" s="67"/>
      <c r="AD576" s="67"/>
      <c r="AE576" s="67"/>
    </row>
    <row r="577" spans="3:31">
      <c r="C577" s="78"/>
      <c r="D577" s="67"/>
      <c r="E577" s="67"/>
      <c r="F577" s="67"/>
      <c r="G577" s="67"/>
      <c r="H577" s="67"/>
      <c r="I577" s="67"/>
      <c r="J577" s="67"/>
      <c r="K577" s="67"/>
      <c r="L577" s="67"/>
      <c r="M577" s="67"/>
      <c r="N577" s="67"/>
      <c r="O577" s="67"/>
      <c r="P577" s="67"/>
      <c r="Q577" s="67"/>
      <c r="R577" s="67"/>
      <c r="S577" s="67"/>
      <c r="T577" s="67"/>
      <c r="U577" s="67"/>
      <c r="V577" s="67"/>
      <c r="W577" s="67"/>
      <c r="X577" s="67"/>
      <c r="Y577" s="67"/>
      <c r="Z577" s="67"/>
      <c r="AA577" s="67"/>
      <c r="AB577" s="67"/>
      <c r="AC577" s="67"/>
      <c r="AD577" s="67"/>
      <c r="AE577" s="67"/>
    </row>
    <row r="578" spans="3:31">
      <c r="C578" s="78"/>
      <c r="D578" s="67"/>
      <c r="E578" s="67"/>
      <c r="F578" s="67"/>
      <c r="G578" s="67"/>
      <c r="H578" s="67"/>
      <c r="I578" s="67"/>
      <c r="J578" s="67"/>
      <c r="K578" s="67"/>
      <c r="L578" s="67"/>
      <c r="M578" s="67"/>
      <c r="N578" s="67"/>
      <c r="O578" s="67"/>
      <c r="P578" s="67"/>
      <c r="Q578" s="67"/>
      <c r="R578" s="67"/>
      <c r="S578" s="67"/>
      <c r="T578" s="67"/>
      <c r="U578" s="67"/>
      <c r="V578" s="67"/>
      <c r="W578" s="67"/>
      <c r="X578" s="67"/>
      <c r="Y578" s="67"/>
      <c r="Z578" s="67"/>
      <c r="AA578" s="67"/>
      <c r="AB578" s="67"/>
      <c r="AC578" s="67"/>
      <c r="AD578" s="67"/>
      <c r="AE578" s="67"/>
    </row>
    <row r="579" spans="3:31">
      <c r="C579" s="78"/>
      <c r="D579" s="67"/>
      <c r="E579" s="67"/>
      <c r="F579" s="67"/>
      <c r="G579" s="67"/>
      <c r="H579" s="67"/>
      <c r="I579" s="67"/>
      <c r="J579" s="67"/>
      <c r="K579" s="67"/>
      <c r="L579" s="67"/>
      <c r="M579" s="67"/>
      <c r="N579" s="67"/>
      <c r="O579" s="67"/>
      <c r="P579" s="67"/>
      <c r="Q579" s="67"/>
      <c r="R579" s="67"/>
      <c r="S579" s="67"/>
      <c r="T579" s="67"/>
      <c r="U579" s="67"/>
      <c r="V579" s="67"/>
      <c r="W579" s="67"/>
      <c r="X579" s="67"/>
      <c r="Y579" s="67"/>
      <c r="Z579" s="67"/>
      <c r="AA579" s="67"/>
      <c r="AB579" s="67"/>
      <c r="AC579" s="67"/>
      <c r="AD579" s="67"/>
      <c r="AE579" s="67"/>
    </row>
    <row r="580" spans="3:31">
      <c r="C580" s="78"/>
      <c r="D580" s="67"/>
      <c r="E580" s="67"/>
      <c r="F580" s="67"/>
      <c r="G580" s="67"/>
      <c r="H580" s="67"/>
      <c r="I580" s="67"/>
      <c r="J580" s="67"/>
      <c r="K580" s="67"/>
      <c r="L580" s="67"/>
      <c r="M580" s="67"/>
      <c r="N580" s="67"/>
      <c r="O580" s="67"/>
      <c r="P580" s="67"/>
      <c r="Q580" s="67"/>
      <c r="R580" s="67"/>
      <c r="S580" s="67"/>
      <c r="T580" s="67"/>
      <c r="U580" s="67"/>
      <c r="V580" s="67"/>
      <c r="W580" s="67"/>
      <c r="X580" s="67"/>
      <c r="Y580" s="67"/>
      <c r="Z580" s="67"/>
      <c r="AA580" s="67"/>
      <c r="AB580" s="67"/>
      <c r="AC580" s="67"/>
      <c r="AD580" s="67"/>
      <c r="AE580" s="67"/>
    </row>
    <row r="581" spans="3:31">
      <c r="C581" s="78"/>
      <c r="D581" s="67"/>
      <c r="E581" s="67"/>
      <c r="F581" s="67"/>
      <c r="G581" s="67"/>
      <c r="H581" s="67"/>
      <c r="I581" s="67"/>
      <c r="J581" s="67"/>
      <c r="K581" s="67"/>
      <c r="L581" s="67"/>
      <c r="M581" s="67"/>
      <c r="N581" s="67"/>
      <c r="O581" s="67"/>
      <c r="P581" s="67"/>
      <c r="Q581" s="67"/>
      <c r="R581" s="67"/>
      <c r="S581" s="67"/>
      <c r="T581" s="67"/>
      <c r="U581" s="67"/>
      <c r="V581" s="67"/>
      <c r="W581" s="67"/>
      <c r="X581" s="67"/>
      <c r="Y581" s="67"/>
      <c r="Z581" s="67"/>
      <c r="AA581" s="67"/>
      <c r="AB581" s="67"/>
      <c r="AC581" s="67"/>
      <c r="AD581" s="67"/>
      <c r="AE581" s="67"/>
    </row>
    <row r="582" spans="3:31">
      <c r="C582" s="78"/>
      <c r="D582" s="67"/>
      <c r="E582" s="67"/>
      <c r="F582" s="67"/>
      <c r="G582" s="67"/>
      <c r="H582" s="67"/>
      <c r="I582" s="67"/>
      <c r="J582" s="67"/>
      <c r="K582" s="67"/>
      <c r="L582" s="67"/>
      <c r="M582" s="67"/>
      <c r="N582" s="67"/>
      <c r="O582" s="67"/>
      <c r="P582" s="67"/>
      <c r="Q582" s="67"/>
      <c r="R582" s="67"/>
      <c r="S582" s="67"/>
      <c r="T582" s="67"/>
      <c r="U582" s="67"/>
      <c r="V582" s="67"/>
      <c r="W582" s="67"/>
      <c r="X582" s="67"/>
      <c r="Y582" s="67"/>
      <c r="Z582" s="67"/>
      <c r="AA582" s="67"/>
      <c r="AB582" s="67"/>
      <c r="AC582" s="67"/>
      <c r="AD582" s="67"/>
      <c r="AE582" s="67"/>
    </row>
    <row r="583" spans="3:31">
      <c r="C583" s="78"/>
      <c r="D583" s="67"/>
      <c r="E583" s="67"/>
      <c r="F583" s="67"/>
      <c r="G583" s="67"/>
      <c r="H583" s="67"/>
      <c r="I583" s="67"/>
      <c r="J583" s="67"/>
      <c r="K583" s="67"/>
      <c r="L583" s="67"/>
      <c r="M583" s="67"/>
      <c r="N583" s="67"/>
      <c r="O583" s="67"/>
      <c r="P583" s="67"/>
      <c r="Q583" s="67"/>
      <c r="R583" s="67"/>
      <c r="S583" s="67"/>
      <c r="T583" s="67"/>
      <c r="U583" s="67"/>
      <c r="V583" s="67"/>
      <c r="W583" s="67"/>
      <c r="X583" s="67"/>
      <c r="Y583" s="67"/>
      <c r="Z583" s="67"/>
      <c r="AA583" s="67"/>
      <c r="AB583" s="67"/>
      <c r="AC583" s="67"/>
      <c r="AD583" s="67"/>
      <c r="AE583" s="67"/>
    </row>
    <row r="584" spans="3:31">
      <c r="C584" s="78"/>
      <c r="D584" s="67"/>
      <c r="E584" s="67"/>
      <c r="F584" s="67"/>
      <c r="G584" s="67"/>
      <c r="H584" s="67"/>
      <c r="I584" s="67"/>
      <c r="J584" s="67"/>
      <c r="K584" s="67"/>
      <c r="L584" s="67"/>
      <c r="M584" s="67"/>
      <c r="N584" s="67"/>
      <c r="O584" s="67"/>
      <c r="P584" s="67"/>
      <c r="Q584" s="67"/>
      <c r="R584" s="67"/>
      <c r="S584" s="67"/>
      <c r="T584" s="67"/>
      <c r="U584" s="67"/>
      <c r="V584" s="67"/>
      <c r="W584" s="67"/>
      <c r="X584" s="67"/>
      <c r="Y584" s="67"/>
      <c r="Z584" s="67"/>
      <c r="AA584" s="67"/>
      <c r="AB584" s="67"/>
      <c r="AC584" s="67"/>
      <c r="AD584" s="67"/>
      <c r="AE584" s="67"/>
    </row>
    <row r="585" spans="3:31">
      <c r="C585" s="78"/>
      <c r="D585" s="67"/>
      <c r="E585" s="67"/>
      <c r="F585" s="6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row>
    <row r="586" spans="3:31">
      <c r="C586" s="78"/>
      <c r="D586" s="67"/>
      <c r="E586" s="67"/>
      <c r="F586" s="67"/>
      <c r="G586" s="67"/>
      <c r="H586" s="67"/>
      <c r="I586" s="67"/>
      <c r="J586" s="67"/>
      <c r="K586" s="67"/>
      <c r="L586" s="67"/>
      <c r="M586" s="67"/>
      <c r="N586" s="67"/>
      <c r="O586" s="67"/>
      <c r="P586" s="67"/>
      <c r="Q586" s="67"/>
      <c r="R586" s="67"/>
      <c r="S586" s="67"/>
      <c r="T586" s="67"/>
      <c r="U586" s="67"/>
      <c r="V586" s="67"/>
      <c r="W586" s="67"/>
      <c r="X586" s="67"/>
      <c r="Y586" s="67"/>
      <c r="Z586" s="67"/>
      <c r="AA586" s="67"/>
      <c r="AB586" s="67"/>
      <c r="AC586" s="67"/>
      <c r="AD586" s="67"/>
      <c r="AE586" s="67"/>
    </row>
    <row r="587" spans="3:31">
      <c r="C587" s="78"/>
      <c r="D587" s="67"/>
      <c r="E587" s="67"/>
      <c r="F587" s="67"/>
      <c r="G587" s="67"/>
      <c r="H587" s="67"/>
      <c r="I587" s="67"/>
      <c r="J587" s="67"/>
      <c r="K587" s="67"/>
      <c r="L587" s="67"/>
      <c r="M587" s="67"/>
      <c r="N587" s="67"/>
      <c r="O587" s="67"/>
      <c r="P587" s="67"/>
      <c r="Q587" s="67"/>
      <c r="R587" s="67"/>
      <c r="S587" s="67"/>
      <c r="T587" s="67"/>
      <c r="U587" s="67"/>
      <c r="V587" s="67"/>
      <c r="W587" s="67"/>
      <c r="X587" s="67"/>
      <c r="Y587" s="67"/>
      <c r="Z587" s="67"/>
      <c r="AA587" s="67"/>
      <c r="AB587" s="67"/>
      <c r="AC587" s="67"/>
      <c r="AD587" s="67"/>
      <c r="AE587" s="67"/>
    </row>
    <row r="588" spans="3:31">
      <c r="C588" s="78"/>
      <c r="D588" s="67"/>
      <c r="E588" s="67"/>
      <c r="F588" s="67"/>
      <c r="G588" s="67"/>
      <c r="H588" s="67"/>
      <c r="I588" s="67"/>
      <c r="J588" s="67"/>
      <c r="K588" s="67"/>
      <c r="L588" s="67"/>
      <c r="M588" s="67"/>
      <c r="N588" s="67"/>
      <c r="O588" s="67"/>
      <c r="P588" s="67"/>
      <c r="Q588" s="67"/>
      <c r="R588" s="67"/>
      <c r="S588" s="67"/>
      <c r="T588" s="67"/>
      <c r="U588" s="67"/>
      <c r="V588" s="67"/>
      <c r="W588" s="67"/>
      <c r="X588" s="67"/>
      <c r="Y588" s="67"/>
      <c r="Z588" s="67"/>
      <c r="AA588" s="67"/>
      <c r="AB588" s="67"/>
      <c r="AC588" s="67"/>
      <c r="AD588" s="67"/>
      <c r="AE588" s="67"/>
    </row>
    <row r="589" spans="3:31">
      <c r="C589" s="78"/>
      <c r="D589" s="67"/>
      <c r="E589" s="67"/>
      <c r="F589" s="67"/>
      <c r="G589" s="67"/>
      <c r="H589" s="67"/>
      <c r="I589" s="67"/>
      <c r="J589" s="67"/>
      <c r="K589" s="67"/>
      <c r="L589" s="67"/>
      <c r="M589" s="67"/>
      <c r="N589" s="67"/>
      <c r="O589" s="67"/>
      <c r="P589" s="67"/>
      <c r="Q589" s="67"/>
      <c r="R589" s="67"/>
      <c r="S589" s="67"/>
      <c r="T589" s="67"/>
      <c r="U589" s="67"/>
      <c r="V589" s="67"/>
      <c r="W589" s="67"/>
      <c r="X589" s="67"/>
      <c r="Y589" s="67"/>
      <c r="Z589" s="67"/>
      <c r="AA589" s="67"/>
      <c r="AB589" s="67"/>
      <c r="AC589" s="67"/>
      <c r="AD589" s="67"/>
      <c r="AE589" s="67"/>
    </row>
    <row r="590" spans="3:31">
      <c r="C590" s="78"/>
      <c r="D590" s="67"/>
      <c r="E590" s="67"/>
      <c r="F590" s="67"/>
      <c r="G590" s="67"/>
      <c r="H590" s="67"/>
      <c r="I590" s="67"/>
      <c r="J590" s="67"/>
      <c r="K590" s="67"/>
      <c r="L590" s="67"/>
      <c r="M590" s="67"/>
      <c r="N590" s="67"/>
      <c r="O590" s="67"/>
      <c r="P590" s="67"/>
      <c r="Q590" s="67"/>
      <c r="R590" s="67"/>
      <c r="S590" s="67"/>
      <c r="T590" s="67"/>
      <c r="U590" s="67"/>
      <c r="V590" s="67"/>
      <c r="W590" s="67"/>
      <c r="X590" s="67"/>
      <c r="Y590" s="67"/>
      <c r="Z590" s="67"/>
      <c r="AA590" s="67"/>
      <c r="AB590" s="67"/>
      <c r="AC590" s="67"/>
      <c r="AD590" s="67"/>
      <c r="AE590" s="67"/>
    </row>
    <row r="591" spans="3:31">
      <c r="C591" s="78"/>
      <c r="D591" s="67"/>
      <c r="E591" s="67"/>
      <c r="F591" s="67"/>
      <c r="G591" s="67"/>
      <c r="H591" s="67"/>
      <c r="I591" s="67"/>
      <c r="J591" s="67"/>
      <c r="K591" s="67"/>
      <c r="L591" s="67"/>
      <c r="M591" s="67"/>
      <c r="N591" s="67"/>
      <c r="O591" s="67"/>
      <c r="P591" s="67"/>
      <c r="Q591" s="67"/>
      <c r="R591" s="67"/>
      <c r="S591" s="67"/>
      <c r="T591" s="67"/>
      <c r="U591" s="67"/>
      <c r="V591" s="67"/>
      <c r="W591" s="67"/>
      <c r="X591" s="67"/>
      <c r="Y591" s="67"/>
      <c r="Z591" s="67"/>
      <c r="AA591" s="67"/>
      <c r="AB591" s="67"/>
      <c r="AC591" s="67"/>
      <c r="AD591" s="67"/>
      <c r="AE591" s="67"/>
    </row>
    <row r="592" spans="3:31">
      <c r="C592" s="78"/>
      <c r="D592" s="67"/>
      <c r="E592" s="67"/>
      <c r="F592" s="67"/>
      <c r="G592" s="67"/>
      <c r="H592" s="67"/>
      <c r="I592" s="67"/>
      <c r="J592" s="67"/>
      <c r="K592" s="67"/>
      <c r="L592" s="67"/>
      <c r="M592" s="67"/>
      <c r="N592" s="67"/>
      <c r="O592" s="67"/>
      <c r="P592" s="67"/>
      <c r="Q592" s="67"/>
      <c r="R592" s="67"/>
      <c r="S592" s="67"/>
      <c r="T592" s="67"/>
      <c r="U592" s="67"/>
      <c r="V592" s="67"/>
      <c r="W592" s="67"/>
      <c r="X592" s="67"/>
      <c r="Y592" s="67"/>
      <c r="Z592" s="67"/>
      <c r="AA592" s="67"/>
      <c r="AB592" s="67"/>
      <c r="AC592" s="67"/>
      <c r="AD592" s="67"/>
      <c r="AE592" s="67"/>
    </row>
    <row r="593" spans="3:31">
      <c r="C593" s="78"/>
      <c r="D593" s="67"/>
      <c r="E593" s="67"/>
      <c r="F593" s="67"/>
      <c r="G593" s="67"/>
      <c r="H593" s="67"/>
      <c r="I593" s="67"/>
      <c r="J593" s="67"/>
      <c r="K593" s="67"/>
      <c r="L593" s="67"/>
      <c r="M593" s="67"/>
      <c r="N593" s="67"/>
      <c r="O593" s="67"/>
      <c r="P593" s="67"/>
      <c r="Q593" s="67"/>
      <c r="R593" s="67"/>
      <c r="S593" s="67"/>
      <c r="T593" s="67"/>
      <c r="U593" s="67"/>
      <c r="V593" s="67"/>
      <c r="W593" s="67"/>
      <c r="X593" s="67"/>
      <c r="Y593" s="67"/>
      <c r="Z593" s="67"/>
      <c r="AA593" s="67"/>
      <c r="AB593" s="67"/>
      <c r="AC593" s="67"/>
      <c r="AD593" s="67"/>
      <c r="AE593" s="67"/>
    </row>
    <row r="594" spans="3:31">
      <c r="C594" s="78"/>
      <c r="D594" s="67"/>
      <c r="E594" s="67"/>
      <c r="F594" s="67"/>
      <c r="G594" s="67"/>
      <c r="H594" s="67"/>
      <c r="I594" s="67"/>
      <c r="J594" s="67"/>
      <c r="K594" s="67"/>
      <c r="L594" s="67"/>
      <c r="M594" s="67"/>
      <c r="N594" s="67"/>
      <c r="O594" s="67"/>
      <c r="P594" s="67"/>
      <c r="Q594" s="67"/>
      <c r="R594" s="67"/>
      <c r="S594" s="67"/>
      <c r="T594" s="67"/>
      <c r="U594" s="67"/>
      <c r="V594" s="67"/>
      <c r="W594" s="67"/>
      <c r="X594" s="67"/>
      <c r="Y594" s="67"/>
      <c r="Z594" s="67"/>
      <c r="AA594" s="67"/>
      <c r="AB594" s="67"/>
      <c r="AC594" s="67"/>
      <c r="AD594" s="67"/>
      <c r="AE594" s="67"/>
    </row>
    <row r="595" spans="3:31">
      <c r="C595" s="78"/>
      <c r="D595" s="67"/>
      <c r="E595" s="67"/>
      <c r="F595" s="67"/>
      <c r="G595" s="67"/>
      <c r="H595" s="67"/>
      <c r="I595" s="67"/>
      <c r="J595" s="67"/>
      <c r="K595" s="67"/>
      <c r="L595" s="67"/>
      <c r="M595" s="67"/>
      <c r="N595" s="67"/>
      <c r="O595" s="67"/>
      <c r="P595" s="67"/>
      <c r="Q595" s="67"/>
      <c r="R595" s="67"/>
      <c r="S595" s="67"/>
      <c r="T595" s="67"/>
      <c r="U595" s="67"/>
      <c r="V595" s="67"/>
      <c r="W595" s="67"/>
      <c r="X595" s="67"/>
      <c r="Y595" s="67"/>
      <c r="Z595" s="67"/>
      <c r="AA595" s="67"/>
      <c r="AB595" s="67"/>
      <c r="AC595" s="67"/>
      <c r="AD595" s="67"/>
      <c r="AE595" s="67"/>
    </row>
    <row r="596" spans="3:31">
      <c r="C596" s="78"/>
      <c r="D596" s="67"/>
      <c r="E596" s="67"/>
      <c r="F596" s="67"/>
      <c r="G596" s="67"/>
      <c r="H596" s="67"/>
      <c r="I596" s="67"/>
      <c r="J596" s="67"/>
      <c r="K596" s="67"/>
      <c r="L596" s="67"/>
      <c r="M596" s="67"/>
      <c r="N596" s="67"/>
      <c r="O596" s="67"/>
      <c r="P596" s="67"/>
      <c r="Q596" s="67"/>
      <c r="R596" s="67"/>
      <c r="S596" s="67"/>
      <c r="T596" s="67"/>
      <c r="U596" s="67"/>
      <c r="V596" s="67"/>
      <c r="W596" s="67"/>
      <c r="X596" s="67"/>
      <c r="Y596" s="67"/>
      <c r="Z596" s="67"/>
      <c r="AA596" s="67"/>
      <c r="AB596" s="67"/>
      <c r="AC596" s="67"/>
      <c r="AD596" s="67"/>
      <c r="AE596" s="67"/>
    </row>
    <row r="597" spans="3:31">
      <c r="C597" s="78"/>
      <c r="D597" s="67"/>
      <c r="E597" s="67"/>
      <c r="F597" s="67"/>
      <c r="G597" s="67"/>
      <c r="H597" s="67"/>
      <c r="I597" s="67"/>
      <c r="J597" s="67"/>
      <c r="K597" s="67"/>
      <c r="L597" s="67"/>
      <c r="M597" s="67"/>
      <c r="N597" s="67"/>
      <c r="O597" s="67"/>
      <c r="P597" s="67"/>
      <c r="Q597" s="67"/>
      <c r="R597" s="67"/>
      <c r="S597" s="67"/>
      <c r="T597" s="67"/>
      <c r="U597" s="67"/>
      <c r="V597" s="67"/>
      <c r="W597" s="67"/>
      <c r="X597" s="67"/>
      <c r="Y597" s="67"/>
      <c r="Z597" s="67"/>
      <c r="AA597" s="67"/>
      <c r="AB597" s="67"/>
      <c r="AC597" s="67"/>
      <c r="AD597" s="67"/>
      <c r="AE597" s="67"/>
    </row>
    <row r="598" spans="3:31">
      <c r="C598" s="78"/>
      <c r="D598" s="67"/>
      <c r="E598" s="67"/>
      <c r="F598" s="67"/>
      <c r="G598" s="67"/>
      <c r="H598" s="67"/>
      <c r="I598" s="67"/>
      <c r="J598" s="67"/>
      <c r="K598" s="67"/>
      <c r="L598" s="67"/>
      <c r="M598" s="67"/>
      <c r="N598" s="67"/>
      <c r="O598" s="67"/>
      <c r="P598" s="67"/>
      <c r="Q598" s="67"/>
      <c r="R598" s="67"/>
      <c r="S598" s="67"/>
      <c r="T598" s="67"/>
      <c r="U598" s="67"/>
      <c r="V598" s="67"/>
      <c r="W598" s="67"/>
      <c r="X598" s="67"/>
      <c r="Y598" s="67"/>
      <c r="Z598" s="67"/>
      <c r="AA598" s="67"/>
      <c r="AB598" s="67"/>
      <c r="AC598" s="67"/>
      <c r="AD598" s="67"/>
      <c r="AE598" s="67"/>
    </row>
    <row r="599" spans="3:31">
      <c r="C599" s="78"/>
      <c r="D599" s="67"/>
      <c r="E599" s="67"/>
      <c r="F599" s="67"/>
      <c r="G599" s="67"/>
      <c r="H599" s="67"/>
      <c r="I599" s="67"/>
      <c r="J599" s="67"/>
      <c r="K599" s="67"/>
      <c r="L599" s="67"/>
      <c r="M599" s="67"/>
      <c r="N599" s="67"/>
      <c r="O599" s="67"/>
      <c r="P599" s="67"/>
      <c r="Q599" s="67"/>
      <c r="R599" s="67"/>
      <c r="S599" s="67"/>
      <c r="T599" s="67"/>
      <c r="U599" s="67"/>
      <c r="V599" s="67"/>
      <c r="W599" s="67"/>
      <c r="X599" s="67"/>
      <c r="Y599" s="67"/>
      <c r="Z599" s="67"/>
      <c r="AA599" s="67"/>
      <c r="AB599" s="67"/>
      <c r="AC599" s="67"/>
      <c r="AD599" s="67"/>
      <c r="AE599" s="67"/>
    </row>
    <row r="600" spans="3:31">
      <c r="C600" s="78"/>
      <c r="D600" s="67"/>
      <c r="E600" s="67"/>
      <c r="F600" s="67"/>
      <c r="G600" s="67"/>
      <c r="H600" s="67"/>
      <c r="I600" s="67"/>
      <c r="J600" s="67"/>
      <c r="K600" s="67"/>
      <c r="L600" s="67"/>
      <c r="M600" s="67"/>
      <c r="N600" s="67"/>
      <c r="O600" s="67"/>
      <c r="P600" s="67"/>
      <c r="Q600" s="67"/>
      <c r="R600" s="67"/>
      <c r="S600" s="67"/>
      <c r="T600" s="67"/>
      <c r="U600" s="67"/>
      <c r="V600" s="67"/>
      <c r="W600" s="67"/>
      <c r="X600" s="67"/>
      <c r="Y600" s="67"/>
      <c r="Z600" s="67"/>
      <c r="AA600" s="67"/>
      <c r="AB600" s="67"/>
      <c r="AC600" s="67"/>
      <c r="AD600" s="67"/>
      <c r="AE600" s="67"/>
    </row>
    <row r="601" spans="3:31">
      <c r="C601" s="78"/>
      <c r="D601" s="67"/>
      <c r="E601" s="67"/>
      <c r="F601" s="67"/>
      <c r="G601" s="67"/>
      <c r="H601" s="67"/>
      <c r="I601" s="67"/>
      <c r="J601" s="67"/>
      <c r="K601" s="67"/>
      <c r="L601" s="67"/>
      <c r="M601" s="67"/>
      <c r="N601" s="67"/>
      <c r="O601" s="67"/>
      <c r="P601" s="67"/>
      <c r="Q601" s="67"/>
      <c r="R601" s="67"/>
      <c r="S601" s="67"/>
      <c r="T601" s="67"/>
      <c r="U601" s="67"/>
      <c r="V601" s="67"/>
      <c r="W601" s="67"/>
      <c r="X601" s="67"/>
      <c r="Y601" s="67"/>
      <c r="Z601" s="67"/>
      <c r="AA601" s="67"/>
      <c r="AB601" s="67"/>
      <c r="AC601" s="67"/>
      <c r="AD601" s="67"/>
      <c r="AE601" s="67"/>
    </row>
    <row r="602" spans="3:31">
      <c r="C602" s="78"/>
      <c r="D602" s="67"/>
      <c r="E602" s="67"/>
      <c r="F602" s="67"/>
      <c r="G602" s="67"/>
      <c r="H602" s="67"/>
      <c r="I602" s="67"/>
      <c r="J602" s="67"/>
      <c r="K602" s="67"/>
      <c r="L602" s="67"/>
      <c r="M602" s="67"/>
      <c r="N602" s="67"/>
      <c r="O602" s="67"/>
      <c r="P602" s="67"/>
      <c r="Q602" s="67"/>
      <c r="R602" s="67"/>
      <c r="S602" s="67"/>
      <c r="T602" s="67"/>
      <c r="U602" s="67"/>
      <c r="V602" s="67"/>
      <c r="W602" s="67"/>
      <c r="X602" s="67"/>
      <c r="Y602" s="67"/>
      <c r="Z602" s="67"/>
      <c r="AA602" s="67"/>
      <c r="AB602" s="67"/>
      <c r="AC602" s="67"/>
      <c r="AD602" s="67"/>
      <c r="AE602" s="67"/>
    </row>
    <row r="603" spans="3:31">
      <c r="C603" s="78"/>
      <c r="D603" s="67"/>
      <c r="E603" s="67"/>
      <c r="F603" s="67"/>
      <c r="G603" s="67"/>
      <c r="H603" s="67"/>
      <c r="I603" s="67"/>
      <c r="J603" s="67"/>
      <c r="K603" s="67"/>
      <c r="L603" s="67"/>
      <c r="M603" s="67"/>
      <c r="N603" s="67"/>
      <c r="O603" s="67"/>
      <c r="P603" s="67"/>
      <c r="Q603" s="67"/>
      <c r="R603" s="67"/>
      <c r="S603" s="67"/>
      <c r="T603" s="67"/>
      <c r="U603" s="67"/>
      <c r="V603" s="67"/>
      <c r="W603" s="67"/>
      <c r="X603" s="67"/>
      <c r="Y603" s="67"/>
      <c r="Z603" s="67"/>
      <c r="AA603" s="67"/>
      <c r="AB603" s="67"/>
      <c r="AC603" s="67"/>
      <c r="AD603" s="67"/>
      <c r="AE603" s="67"/>
    </row>
    <row r="604" spans="3:31">
      <c r="C604" s="78"/>
      <c r="D604" s="67"/>
      <c r="E604" s="67"/>
      <c r="F604" s="67"/>
      <c r="G604" s="67"/>
      <c r="H604" s="67"/>
      <c r="I604" s="67"/>
      <c r="J604" s="67"/>
      <c r="K604" s="67"/>
      <c r="L604" s="67"/>
      <c r="M604" s="67"/>
      <c r="N604" s="67"/>
      <c r="O604" s="67"/>
      <c r="P604" s="67"/>
      <c r="Q604" s="67"/>
      <c r="R604" s="67"/>
      <c r="S604" s="67"/>
      <c r="T604" s="67"/>
      <c r="U604" s="67"/>
      <c r="V604" s="67"/>
      <c r="W604" s="67"/>
      <c r="X604" s="67"/>
      <c r="Y604" s="67"/>
      <c r="Z604" s="67"/>
      <c r="AA604" s="67"/>
      <c r="AB604" s="67"/>
      <c r="AC604" s="67"/>
      <c r="AD604" s="67"/>
      <c r="AE604" s="67"/>
    </row>
    <row r="605" spans="3:31">
      <c r="C605" s="78"/>
      <c r="D605" s="67"/>
      <c r="E605" s="67"/>
      <c r="F605" s="67"/>
      <c r="G605" s="67"/>
      <c r="H605" s="67"/>
      <c r="I605" s="67"/>
      <c r="J605" s="67"/>
      <c r="K605" s="67"/>
      <c r="L605" s="67"/>
      <c r="M605" s="67"/>
      <c r="N605" s="67"/>
      <c r="O605" s="67"/>
      <c r="P605" s="67"/>
      <c r="Q605" s="67"/>
      <c r="R605" s="67"/>
      <c r="S605" s="67"/>
      <c r="T605" s="67"/>
      <c r="U605" s="67"/>
      <c r="V605" s="67"/>
      <c r="W605" s="67"/>
      <c r="X605" s="67"/>
      <c r="Y605" s="67"/>
      <c r="Z605" s="67"/>
      <c r="AA605" s="67"/>
      <c r="AB605" s="67"/>
      <c r="AC605" s="67"/>
      <c r="AD605" s="67"/>
      <c r="AE605" s="67"/>
    </row>
  </sheetData>
  <mergeCells count="75">
    <mergeCell ref="D328:H328"/>
    <mergeCell ref="D327:H327"/>
    <mergeCell ref="D326:H326"/>
    <mergeCell ref="D333:H333"/>
    <mergeCell ref="D332:H332"/>
    <mergeCell ref="D331:H331"/>
    <mergeCell ref="D330:H330"/>
    <mergeCell ref="D329:H329"/>
    <mergeCell ref="D396:H396"/>
    <mergeCell ref="D387:H387"/>
    <mergeCell ref="D388:H388"/>
    <mergeCell ref="D389:H389"/>
    <mergeCell ref="D390:H390"/>
    <mergeCell ref="D391:H391"/>
    <mergeCell ref="D395:H395"/>
    <mergeCell ref="D392:H392"/>
    <mergeCell ref="D393:H393"/>
    <mergeCell ref="D394:H394"/>
    <mergeCell ref="D382:H382"/>
    <mergeCell ref="D383:H383"/>
    <mergeCell ref="D384:H384"/>
    <mergeCell ref="D385:H385"/>
    <mergeCell ref="D386:H386"/>
    <mergeCell ref="D340:H340"/>
    <mergeCell ref="D339:H339"/>
    <mergeCell ref="D358:H358"/>
    <mergeCell ref="D362:H362"/>
    <mergeCell ref="D361:H361"/>
    <mergeCell ref="D348:H348"/>
    <mergeCell ref="D347:H347"/>
    <mergeCell ref="D346:H346"/>
    <mergeCell ref="D342:H342"/>
    <mergeCell ref="D341:H341"/>
    <mergeCell ref="D351:H351"/>
    <mergeCell ref="D373:H373"/>
    <mergeCell ref="D353:H353"/>
    <mergeCell ref="D352:H352"/>
    <mergeCell ref="D350:H350"/>
    <mergeCell ref="D380:H380"/>
    <mergeCell ref="D359:H359"/>
    <mergeCell ref="D354:H354"/>
    <mergeCell ref="D377:H377"/>
    <mergeCell ref="D378:H378"/>
    <mergeCell ref="D381:H381"/>
    <mergeCell ref="D343:H343"/>
    <mergeCell ref="D62:H62"/>
    <mergeCell ref="D63:H63"/>
    <mergeCell ref="D325:H325"/>
    <mergeCell ref="D355:H355"/>
    <mergeCell ref="D356:H356"/>
    <mergeCell ref="D357:H357"/>
    <mergeCell ref="D349:H349"/>
    <mergeCell ref="D344:H344"/>
    <mergeCell ref="D345:H345"/>
    <mergeCell ref="D374:H374"/>
    <mergeCell ref="D375:H375"/>
    <mergeCell ref="D334:H334"/>
    <mergeCell ref="D335:H335"/>
    <mergeCell ref="D379:H379"/>
    <mergeCell ref="B3:F3"/>
    <mergeCell ref="D376:H376"/>
    <mergeCell ref="D372:H372"/>
    <mergeCell ref="D371:H371"/>
    <mergeCell ref="D370:H370"/>
    <mergeCell ref="D369:H369"/>
    <mergeCell ref="D368:H368"/>
    <mergeCell ref="D367:H367"/>
    <mergeCell ref="D366:H366"/>
    <mergeCell ref="D365:H365"/>
    <mergeCell ref="D364:H364"/>
    <mergeCell ref="D363:H363"/>
    <mergeCell ref="D336:H336"/>
    <mergeCell ref="D337:H337"/>
    <mergeCell ref="D338:H338"/>
    <mergeCell ref="D360:H360"/>
  </mergeCells>
  <phoneticPr fontId="0" type="noConversion"/>
  <hyperlinks>
    <hyperlink ref="B3" location="HL_Home" tooltip="Go to Table of Contents" display="HL_Home" xr:uid="{00000000-0004-0000-0E00-000000000000}"/>
  </hyperlinks>
  <pageMargins left="0.39370078740157499" right="0.39370078740157499" top="0.59055118110236249" bottom="0.98425196850393748" header="0" footer="0.31496062992125973"/>
  <pageSetup paperSize="9" scale="66" orientation="landscape" r:id="rId1"/>
  <headerFooter alignWithMargins="0">
    <oddHeader>&amp;C&amp;"Calibri"&amp;14&amp;KFF0000 OFFICIAL&amp;1#_x000D_&amp;"Arial"&amp;8&amp;K000000&amp;"Arial"&amp;8&amp;K000000&amp;B&amp;"Arial"&amp;12&amp;Kff0000​‌OFFICIAL‌​</oddHeader>
    <oddFooter>&amp;C&amp;"Arial,Bold"&amp;8Sheet b.
Page &amp;P of &amp;N&amp;L&amp;"Arial,Bold"&amp;7&amp;F
&amp;A
Printed: &amp;T on &amp;D</oddFooter>
  </headerFooter>
  <rowBreaks count="2" manualBreakCount="2">
    <brk id="343" min="1" max="23" man="1"/>
    <brk id="429" min="1" max="23" man="1"/>
  </rowBreaks>
  <ignoredErrors>
    <ignoredError sqref="D46:E60 D62:H167"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8CF2F-89AE-4F09-BDAC-B67C0DE53511}">
  <sheetPr codeName="Sheet16">
    <pageSetUpPr autoPageBreaks="0"/>
  </sheetPr>
  <dimension ref="A1:T58"/>
  <sheetViews>
    <sheetView showGridLines="0" topLeftCell="A17" zoomScaleNormal="100" zoomScaleSheetLayoutView="100" workbookViewId="0">
      <selection activeCell="C4" sqref="C4"/>
    </sheetView>
  </sheetViews>
  <sheetFormatPr defaultColWidth="9.33203125" defaultRowHeight="12"/>
  <cols>
    <col min="1" max="1" width="9.33203125" style="63"/>
    <col min="2" max="2" width="46.33203125" style="63" customWidth="1"/>
    <col min="3" max="8" width="14.83203125" style="63" customWidth="1"/>
    <col min="9" max="9" width="5.33203125" style="63" customWidth="1"/>
    <col min="10" max="10" width="9.33203125" style="63"/>
    <col min="11" max="11" width="11.5" style="63" bestFit="1" customWidth="1"/>
    <col min="12" max="12" width="40.33203125" style="63" bestFit="1" customWidth="1"/>
    <col min="13" max="13" width="26.6640625" style="63" bestFit="1" customWidth="1"/>
    <col min="14" max="14" width="32.33203125" style="63" customWidth="1"/>
    <col min="15" max="15" width="92.83203125" style="63" customWidth="1"/>
    <col min="16" max="16" width="9.33203125" style="63"/>
    <col min="17" max="17" width="30.33203125" style="63" customWidth="1"/>
    <col min="18" max="16384" width="9.33203125" style="63"/>
  </cols>
  <sheetData>
    <row r="1" spans="1:20">
      <c r="B1" s="63" t="str">
        <f>Model_Name</f>
        <v>Melbourne Water</v>
      </c>
      <c r="K1" s="89"/>
      <c r="L1" s="89"/>
      <c r="M1" s="89"/>
      <c r="N1" s="89"/>
      <c r="O1" s="89"/>
      <c r="P1" s="89"/>
    </row>
    <row r="2" spans="1:20">
      <c r="K2" s="89"/>
      <c r="L2" s="89"/>
      <c r="M2" s="89"/>
      <c r="N2" s="89"/>
      <c r="O2" s="89"/>
      <c r="P2" s="89"/>
    </row>
    <row r="3" spans="1:20">
      <c r="A3" s="1455">
        <v>1</v>
      </c>
      <c r="B3" s="1456" t="s">
        <v>104</v>
      </c>
      <c r="C3" s="1457"/>
      <c r="D3" s="1457"/>
      <c r="E3" s="1457"/>
      <c r="F3" s="1457"/>
      <c r="G3" s="1457"/>
      <c r="H3" s="1457"/>
      <c r="K3" s="89"/>
      <c r="L3" s="89"/>
      <c r="M3" s="89"/>
      <c r="N3" s="89"/>
      <c r="O3" s="89"/>
      <c r="P3" s="89"/>
    </row>
    <row r="4" spans="1:20">
      <c r="B4" s="1457" t="s">
        <v>105</v>
      </c>
      <c r="C4" s="89" t="s">
        <v>106</v>
      </c>
      <c r="D4" s="1457"/>
      <c r="E4" s="1457"/>
      <c r="F4" s="1457"/>
      <c r="G4" s="1457"/>
      <c r="H4" s="1457"/>
      <c r="J4" s="1519" t="s">
        <v>107</v>
      </c>
      <c r="K4" s="89"/>
      <c r="L4" s="89" t="s">
        <v>106</v>
      </c>
      <c r="M4" s="89"/>
      <c r="N4" s="89"/>
      <c r="O4" s="89"/>
      <c r="P4" s="89"/>
    </row>
    <row r="5" spans="1:20">
      <c r="B5" s="1457"/>
      <c r="C5" s="1457"/>
      <c r="D5" s="1457"/>
      <c r="E5" s="1457"/>
      <c r="F5" s="1457"/>
      <c r="G5" s="1457"/>
      <c r="H5" s="1457"/>
      <c r="K5" s="89"/>
      <c r="L5" s="89"/>
      <c r="M5" s="89"/>
      <c r="N5" s="89"/>
      <c r="O5" s="89"/>
      <c r="P5" s="89"/>
    </row>
    <row r="6" spans="1:20" ht="19.5" customHeight="1" thickBot="1">
      <c r="B6" s="1458"/>
      <c r="C6" s="1459" t="s">
        <v>108</v>
      </c>
      <c r="D6" s="1459" t="s">
        <v>109</v>
      </c>
      <c r="E6" s="1459" t="s">
        <v>110</v>
      </c>
      <c r="F6" s="1459" t="s">
        <v>111</v>
      </c>
      <c r="G6" s="1459" t="s">
        <v>112</v>
      </c>
      <c r="H6" s="1459" t="s">
        <v>113</v>
      </c>
      <c r="J6" s="1609" t="s">
        <v>114</v>
      </c>
      <c r="K6" s="1609" t="s">
        <v>115</v>
      </c>
      <c r="L6" s="1609" t="s">
        <v>116</v>
      </c>
      <c r="M6" s="1609" t="s">
        <v>117</v>
      </c>
      <c r="N6" s="1609" t="s">
        <v>118</v>
      </c>
      <c r="O6" s="1609" t="s">
        <v>119</v>
      </c>
      <c r="P6" s="89"/>
    </row>
    <row r="7" spans="1:20" s="89" customFormat="1" ht="19.5" customHeight="1" thickBot="1">
      <c r="B7" s="1460" t="s">
        <v>120</v>
      </c>
      <c r="C7" s="1461"/>
      <c r="D7" s="1461"/>
      <c r="E7" s="1461"/>
      <c r="F7" s="1461"/>
      <c r="G7" s="1461"/>
      <c r="H7" s="1462">
        <f>SUM(C7:G7)</f>
        <v>0</v>
      </c>
      <c r="J7" s="1610"/>
      <c r="K7" s="1611"/>
      <c r="L7" s="1612"/>
      <c r="M7" s="1612"/>
      <c r="N7" s="1613"/>
      <c r="O7" s="1613"/>
    </row>
    <row r="8" spans="1:20" s="89" customFormat="1" ht="19.5" customHeight="1" thickBot="1">
      <c r="B8" s="1460" t="s">
        <v>121</v>
      </c>
      <c r="C8" s="1461"/>
      <c r="D8" s="1461"/>
      <c r="E8" s="1461"/>
      <c r="F8" s="1461"/>
      <c r="G8" s="1461"/>
      <c r="H8" s="1462"/>
      <c r="J8" s="1610"/>
      <c r="K8" s="1611"/>
      <c r="L8" s="1612"/>
      <c r="M8" s="1612"/>
      <c r="N8" s="1613"/>
      <c r="O8" s="1613"/>
    </row>
    <row r="9" spans="1:20" s="76" customFormat="1" ht="48" customHeight="1" thickBot="1">
      <c r="B9" s="1481" t="s">
        <v>122</v>
      </c>
      <c r="C9" s="1463"/>
      <c r="D9" s="1463"/>
      <c r="E9" s="1463"/>
      <c r="F9" s="1463"/>
      <c r="G9" s="1463"/>
      <c r="H9" s="1464">
        <f>SUM(C9:G9)</f>
        <v>0</v>
      </c>
      <c r="J9" s="1610"/>
      <c r="K9" s="1611"/>
      <c r="L9" s="1612"/>
      <c r="M9" s="1612"/>
      <c r="N9" s="1613"/>
      <c r="O9" s="1613"/>
      <c r="P9" s="89"/>
    </row>
    <row r="10" spans="1:20" s="76" customFormat="1" ht="19.5" customHeight="1" thickBot="1">
      <c r="B10" s="1614" t="s">
        <v>122</v>
      </c>
      <c r="C10" s="1463"/>
      <c r="D10" s="1463"/>
      <c r="E10" s="1463"/>
      <c r="F10" s="1463"/>
      <c r="G10" s="1463"/>
      <c r="H10" s="1464">
        <f>SUM(C10:G10)</f>
        <v>0</v>
      </c>
      <c r="J10" s="1610"/>
      <c r="K10" s="1611"/>
      <c r="L10" s="1612"/>
      <c r="M10" s="1612"/>
      <c r="N10" s="1613"/>
      <c r="O10" s="1613"/>
      <c r="P10" s="89"/>
    </row>
    <row r="11" spans="1:20" s="76" customFormat="1" ht="19.5" customHeight="1" thickBot="1">
      <c r="B11" s="1614" t="s">
        <v>122</v>
      </c>
      <c r="C11" s="1463"/>
      <c r="D11" s="1463"/>
      <c r="E11" s="1463"/>
      <c r="F11" s="1463"/>
      <c r="G11" s="1463"/>
      <c r="H11" s="1464">
        <f>SUM(C11:G11)</f>
        <v>0</v>
      </c>
      <c r="J11" s="1610"/>
      <c r="K11" s="1611"/>
      <c r="L11" s="1612"/>
      <c r="M11" s="1612"/>
      <c r="N11" s="1613"/>
      <c r="O11" s="1613"/>
      <c r="P11" s="89"/>
    </row>
    <row r="12" spans="1:20" s="76" customFormat="1" ht="12.75" thickBot="1">
      <c r="B12" s="1614" t="s">
        <v>122</v>
      </c>
      <c r="C12" s="1463"/>
      <c r="D12" s="1463"/>
      <c r="E12" s="1463"/>
      <c r="F12" s="1463"/>
      <c r="G12" s="1463"/>
      <c r="H12" s="1464">
        <f>SUM(C12:G12)</f>
        <v>0</v>
      </c>
      <c r="J12" s="1610"/>
      <c r="K12" s="1611"/>
      <c r="L12" s="1612"/>
      <c r="M12" s="1612"/>
      <c r="N12" s="1612"/>
      <c r="O12" s="1822"/>
      <c r="P12" s="89"/>
      <c r="Q12" s="1837"/>
      <c r="R12" s="1615"/>
      <c r="S12" s="1615"/>
      <c r="T12" s="1615"/>
    </row>
    <row r="13" spans="1:20" s="76" customFormat="1" ht="12.75" thickBot="1">
      <c r="B13" s="1614" t="s">
        <v>122</v>
      </c>
      <c r="C13" s="1463"/>
      <c r="D13" s="1463"/>
      <c r="E13" s="1463"/>
      <c r="F13" s="1463"/>
      <c r="G13" s="1463"/>
      <c r="H13" s="1464">
        <f>SUM(C13:G13)</f>
        <v>0</v>
      </c>
      <c r="J13" s="1610"/>
      <c r="K13" s="1611"/>
      <c r="L13" s="1612"/>
      <c r="M13" s="1612"/>
      <c r="N13" s="1612"/>
      <c r="O13" s="1613"/>
      <c r="P13" s="89"/>
      <c r="Q13" s="1835"/>
    </row>
    <row r="14" spans="1:20" s="89" customFormat="1" ht="19.5" customHeight="1" thickBot="1">
      <c r="B14" s="1460" t="s">
        <v>123</v>
      </c>
      <c r="C14" s="1461"/>
      <c r="D14" s="1461"/>
      <c r="E14" s="1461"/>
      <c r="F14" s="1461"/>
      <c r="G14" s="1461"/>
      <c r="H14" s="1462"/>
      <c r="J14" s="1610"/>
      <c r="K14" s="1611"/>
      <c r="L14" s="1612"/>
      <c r="M14" s="1612"/>
      <c r="N14" s="1612"/>
      <c r="O14" s="1613"/>
    </row>
    <row r="15" spans="1:20" s="1465" customFormat="1" ht="12.75" thickBot="1">
      <c r="B15" s="1481" t="s">
        <v>122</v>
      </c>
      <c r="C15" s="1463"/>
      <c r="D15" s="1463"/>
      <c r="E15" s="1463"/>
      <c r="F15" s="1463"/>
      <c r="G15" s="1463"/>
      <c r="H15" s="1464">
        <f>SUM(C15:G15)</f>
        <v>0</v>
      </c>
      <c r="J15" s="1610"/>
      <c r="K15" s="1611"/>
      <c r="L15" s="1612"/>
      <c r="M15" s="1612"/>
      <c r="N15" s="1612"/>
      <c r="O15" s="1613"/>
      <c r="P15" s="89"/>
      <c r="Q15" s="1835"/>
    </row>
    <row r="16" spans="1:20" s="1465" customFormat="1" ht="19.5" customHeight="1" thickBot="1">
      <c r="B16" s="1614" t="s">
        <v>122</v>
      </c>
      <c r="C16" s="1463"/>
      <c r="D16" s="1463"/>
      <c r="E16" s="1463"/>
      <c r="F16" s="1463"/>
      <c r="G16" s="1463"/>
      <c r="H16" s="1464">
        <f>SUM(C16:G16)</f>
        <v>0</v>
      </c>
      <c r="J16" s="1610"/>
      <c r="K16" s="1611"/>
      <c r="L16" s="1612"/>
      <c r="M16" s="1612"/>
      <c r="N16" s="1612"/>
      <c r="O16" s="1613"/>
      <c r="P16" s="89"/>
    </row>
    <row r="17" spans="2:17" s="1465" customFormat="1" ht="19.5" customHeight="1" thickBot="1">
      <c r="B17" s="1614" t="s">
        <v>122</v>
      </c>
      <c r="C17" s="1463"/>
      <c r="D17" s="1463"/>
      <c r="E17" s="1463"/>
      <c r="F17" s="1463"/>
      <c r="G17" s="1463"/>
      <c r="H17" s="1464">
        <f>SUM(C17:G17)</f>
        <v>0</v>
      </c>
      <c r="J17" s="1610"/>
      <c r="K17" s="1611"/>
      <c r="L17" s="1612"/>
      <c r="M17" s="1612"/>
      <c r="N17" s="1612"/>
      <c r="O17" s="1613"/>
      <c r="P17" s="89"/>
    </row>
    <row r="18" spans="2:17" s="1465" customFormat="1" ht="19.5" customHeight="1" thickBot="1">
      <c r="B18" s="1614" t="s">
        <v>122</v>
      </c>
      <c r="C18" s="1463"/>
      <c r="D18" s="1463"/>
      <c r="E18" s="1463"/>
      <c r="F18" s="1463"/>
      <c r="G18" s="1463"/>
      <c r="H18" s="1464">
        <f>SUM(C18:G18)</f>
        <v>0</v>
      </c>
      <c r="J18" s="1610"/>
      <c r="K18" s="1611"/>
      <c r="L18" s="1612"/>
      <c r="M18" s="1612"/>
      <c r="N18" s="1612"/>
      <c r="O18" s="1613"/>
      <c r="P18" s="89"/>
    </row>
    <row r="19" spans="2:17" s="1465" customFormat="1" ht="19.5" customHeight="1" thickBot="1">
      <c r="B19" s="1614" t="s">
        <v>122</v>
      </c>
      <c r="C19" s="1463"/>
      <c r="D19" s="1463"/>
      <c r="E19" s="1463"/>
      <c r="F19" s="1463"/>
      <c r="G19" s="1463"/>
      <c r="H19" s="1464">
        <f>SUM(C19:G19)</f>
        <v>0</v>
      </c>
      <c r="K19" s="89"/>
      <c r="L19" s="89"/>
      <c r="M19" s="89"/>
      <c r="N19" s="89"/>
      <c r="O19" s="89"/>
      <c r="P19" s="89"/>
    </row>
    <row r="20" spans="2:17" s="1465" customFormat="1" ht="19.5" customHeight="1">
      <c r="B20" s="1616" t="s">
        <v>124</v>
      </c>
      <c r="C20" s="1473">
        <f t="shared" ref="C20:H20" si="0">SUM(C8:C19)</f>
        <v>0</v>
      </c>
      <c r="D20" s="1473">
        <f t="shared" si="0"/>
        <v>0</v>
      </c>
      <c r="E20" s="1473">
        <f t="shared" si="0"/>
        <v>0</v>
      </c>
      <c r="F20" s="1473">
        <f t="shared" si="0"/>
        <v>0</v>
      </c>
      <c r="G20" s="1473">
        <f t="shared" si="0"/>
        <v>0</v>
      </c>
      <c r="H20" s="1473">
        <f t="shared" si="0"/>
        <v>0</v>
      </c>
      <c r="K20" s="89"/>
      <c r="L20" s="89"/>
      <c r="M20" s="89"/>
      <c r="N20" s="89"/>
      <c r="O20" s="89"/>
      <c r="P20" s="89"/>
    </row>
    <row r="21" spans="2:17" s="89" customFormat="1" ht="19.5" customHeight="1" thickBot="1">
      <c r="B21" s="1467" t="s">
        <v>125</v>
      </c>
      <c r="C21" s="1468">
        <f t="shared" ref="C21:H21" si="1">C7+C20</f>
        <v>0</v>
      </c>
      <c r="D21" s="1468">
        <f t="shared" si="1"/>
        <v>0</v>
      </c>
      <c r="E21" s="1468">
        <f t="shared" si="1"/>
        <v>0</v>
      </c>
      <c r="F21" s="1468">
        <f t="shared" si="1"/>
        <v>0</v>
      </c>
      <c r="G21" s="1468">
        <f t="shared" si="1"/>
        <v>0</v>
      </c>
      <c r="H21" s="1468">
        <f t="shared" si="1"/>
        <v>0</v>
      </c>
    </row>
    <row r="22" spans="2:17" s="89" customFormat="1" ht="15.75" customHeight="1" thickBot="1">
      <c r="B22" s="1460"/>
      <c r="C22" s="1461"/>
      <c r="D22" s="1461"/>
      <c r="E22" s="1461"/>
      <c r="F22" s="1461"/>
      <c r="G22" s="1461"/>
      <c r="H22" s="1462"/>
    </row>
    <row r="23" spans="2:17" s="89" customFormat="1" ht="19.5" customHeight="1" collapsed="1" thickBot="1">
      <c r="B23" s="1460" t="s">
        <v>126</v>
      </c>
      <c r="C23" s="1461"/>
      <c r="D23" s="1461"/>
      <c r="E23" s="1461"/>
      <c r="F23" s="1461"/>
      <c r="G23" s="1461"/>
      <c r="H23" s="1462">
        <f>SUM(C23:G23)</f>
        <v>0</v>
      </c>
      <c r="L23" s="1615"/>
      <c r="M23" s="1615"/>
      <c r="N23" s="1615"/>
      <c r="O23" s="1615"/>
      <c r="P23" s="1615"/>
      <c r="Q23" s="1615"/>
    </row>
    <row r="24" spans="2:17" s="89" customFormat="1" ht="19.5" customHeight="1" thickBot="1">
      <c r="B24" s="1460" t="s">
        <v>121</v>
      </c>
      <c r="C24" s="1461"/>
      <c r="D24" s="1461"/>
      <c r="E24" s="1461"/>
      <c r="F24" s="1461"/>
      <c r="G24" s="1461"/>
      <c r="H24" s="1462"/>
    </row>
    <row r="25" spans="2:17" s="76" customFormat="1" ht="19.5" customHeight="1" thickBot="1">
      <c r="B25" s="1481" t="s">
        <v>122</v>
      </c>
      <c r="C25" s="1463"/>
      <c r="D25" s="1463"/>
      <c r="E25" s="1463"/>
      <c r="F25" s="1463"/>
      <c r="G25" s="1463"/>
      <c r="H25" s="1462">
        <f>SUM(C25:G25)</f>
        <v>0</v>
      </c>
      <c r="I25" s="89"/>
    </row>
    <row r="26" spans="2:17" s="76" customFormat="1" ht="19.5" customHeight="1" thickBot="1">
      <c r="B26" s="1481" t="s">
        <v>122</v>
      </c>
      <c r="C26" s="1463"/>
      <c r="D26" s="1463"/>
      <c r="E26" s="1463"/>
      <c r="F26" s="1463"/>
      <c r="G26" s="1463"/>
      <c r="H26" s="1462">
        <f>SUM(C26:G26)</f>
        <v>0</v>
      </c>
      <c r="I26" s="89"/>
    </row>
    <row r="27" spans="2:17" s="76" customFormat="1" ht="19.5" customHeight="1" thickBot="1">
      <c r="B27" s="1481" t="s">
        <v>122</v>
      </c>
      <c r="C27" s="1463"/>
      <c r="D27" s="1463"/>
      <c r="E27" s="1463"/>
      <c r="F27" s="1463"/>
      <c r="G27" s="1463"/>
      <c r="H27" s="1462">
        <f>SUM(C27:G27)</f>
        <v>0</v>
      </c>
      <c r="I27" s="89"/>
    </row>
    <row r="28" spans="2:17" s="76" customFormat="1" ht="19.5" customHeight="1" thickBot="1">
      <c r="B28" s="1481" t="s">
        <v>122</v>
      </c>
      <c r="C28" s="1463"/>
      <c r="D28" s="1463"/>
      <c r="E28" s="1463"/>
      <c r="F28" s="1463"/>
      <c r="G28" s="1463"/>
      <c r="H28" s="1462">
        <f>SUM(C28:G28)</f>
        <v>0</v>
      </c>
      <c r="I28" s="89"/>
    </row>
    <row r="29" spans="2:17" s="89" customFormat="1" ht="19.5" customHeight="1" thickBot="1">
      <c r="B29" s="1460" t="s">
        <v>123</v>
      </c>
      <c r="C29" s="1461"/>
      <c r="D29" s="1461"/>
      <c r="E29" s="1461"/>
      <c r="F29" s="1461"/>
      <c r="G29" s="1461"/>
      <c r="H29" s="1462"/>
    </row>
    <row r="30" spans="2:17" s="1465" customFormat="1" ht="19.5" customHeight="1" thickBot="1">
      <c r="B30" s="1481" t="s">
        <v>122</v>
      </c>
      <c r="C30" s="1463"/>
      <c r="D30" s="1463"/>
      <c r="E30" s="1463"/>
      <c r="F30" s="1463"/>
      <c r="G30" s="1463"/>
      <c r="H30" s="1464">
        <f>SUM(C30:G30)</f>
        <v>0</v>
      </c>
      <c r="K30" s="89"/>
      <c r="L30" s="89"/>
      <c r="M30" s="89"/>
      <c r="N30" s="89"/>
      <c r="O30" s="89"/>
      <c r="P30" s="89"/>
    </row>
    <row r="31" spans="2:17" s="1465" customFormat="1" ht="19.5" customHeight="1" thickBot="1">
      <c r="B31" s="1481" t="s">
        <v>122</v>
      </c>
      <c r="C31" s="1463"/>
      <c r="D31" s="1463"/>
      <c r="E31" s="1463"/>
      <c r="F31" s="1463"/>
      <c r="G31" s="1463"/>
      <c r="H31" s="1464">
        <f>SUM(C31:G31)</f>
        <v>0</v>
      </c>
      <c r="K31" s="89"/>
      <c r="L31" s="89"/>
      <c r="M31" s="89"/>
      <c r="N31" s="89"/>
      <c r="O31" s="89"/>
      <c r="P31" s="89"/>
    </row>
    <row r="32" spans="2:17" s="1465" customFormat="1" ht="19.5" customHeight="1">
      <c r="B32" s="1466" t="s">
        <v>124</v>
      </c>
      <c r="C32" s="1473">
        <f t="shared" ref="C32:H32" si="2">SUM(C24:C31)</f>
        <v>0</v>
      </c>
      <c r="D32" s="1473">
        <f t="shared" si="2"/>
        <v>0</v>
      </c>
      <c r="E32" s="1473">
        <f t="shared" si="2"/>
        <v>0</v>
      </c>
      <c r="F32" s="1473">
        <f t="shared" si="2"/>
        <v>0</v>
      </c>
      <c r="G32" s="1473">
        <f t="shared" si="2"/>
        <v>0</v>
      </c>
      <c r="H32" s="1473">
        <f t="shared" si="2"/>
        <v>0</v>
      </c>
    </row>
    <row r="33" spans="1:8" s="89" customFormat="1" ht="24" customHeight="1" thickBot="1">
      <c r="B33" s="1467" t="s">
        <v>127</v>
      </c>
      <c r="C33" s="1468">
        <f t="shared" ref="C33:H33" si="3">C23+C32</f>
        <v>0</v>
      </c>
      <c r="D33" s="1468">
        <f t="shared" si="3"/>
        <v>0</v>
      </c>
      <c r="E33" s="1468">
        <f t="shared" si="3"/>
        <v>0</v>
      </c>
      <c r="F33" s="1468">
        <f t="shared" si="3"/>
        <v>0</v>
      </c>
      <c r="G33" s="1468">
        <f t="shared" si="3"/>
        <v>0</v>
      </c>
      <c r="H33" s="1468">
        <f t="shared" si="3"/>
        <v>0</v>
      </c>
    </row>
    <row r="34" spans="1:8" s="89" customFormat="1" ht="9" customHeight="1" thickBot="1">
      <c r="B34" s="1460"/>
      <c r="C34" s="1461"/>
      <c r="D34" s="1461"/>
      <c r="E34" s="1461"/>
      <c r="F34" s="1461"/>
      <c r="G34" s="1461"/>
      <c r="H34" s="1462"/>
    </row>
    <row r="35" spans="1:8" s="89" customFormat="1" ht="19.5" customHeight="1" thickBot="1">
      <c r="B35" s="1460" t="s">
        <v>128</v>
      </c>
      <c r="C35" s="1469">
        <f t="shared" ref="C35:H35" si="4">C7+C23</f>
        <v>0</v>
      </c>
      <c r="D35" s="1469">
        <f t="shared" si="4"/>
        <v>0</v>
      </c>
      <c r="E35" s="1469">
        <f t="shared" si="4"/>
        <v>0</v>
      </c>
      <c r="F35" s="1469">
        <f t="shared" si="4"/>
        <v>0</v>
      </c>
      <c r="G35" s="1469">
        <f t="shared" si="4"/>
        <v>0</v>
      </c>
      <c r="H35" s="1469">
        <f t="shared" si="4"/>
        <v>0</v>
      </c>
    </row>
    <row r="36" spans="1:8" s="1465" customFormat="1" ht="19.5" customHeight="1">
      <c r="B36" s="1470" t="s">
        <v>124</v>
      </c>
      <c r="C36" s="1474">
        <f t="shared" ref="C36:H36" si="5">C20+C32</f>
        <v>0</v>
      </c>
      <c r="D36" s="1474">
        <f t="shared" si="5"/>
        <v>0</v>
      </c>
      <c r="E36" s="1474">
        <f t="shared" si="5"/>
        <v>0</v>
      </c>
      <c r="F36" s="1474">
        <f t="shared" si="5"/>
        <v>0</v>
      </c>
      <c r="G36" s="1474">
        <f t="shared" si="5"/>
        <v>0</v>
      </c>
      <c r="H36" s="1474">
        <f t="shared" si="5"/>
        <v>0</v>
      </c>
    </row>
    <row r="37" spans="1:8" s="89" customFormat="1" ht="19.5" customHeight="1" thickBot="1">
      <c r="B37" s="1617" t="s">
        <v>129</v>
      </c>
      <c r="C37" s="1618">
        <f t="shared" ref="C37:H37" si="6">SUM(C35:C36)</f>
        <v>0</v>
      </c>
      <c r="D37" s="1618">
        <f t="shared" si="6"/>
        <v>0</v>
      </c>
      <c r="E37" s="1618">
        <f t="shared" si="6"/>
        <v>0</v>
      </c>
      <c r="F37" s="1618">
        <f t="shared" si="6"/>
        <v>0</v>
      </c>
      <c r="G37" s="1618">
        <f t="shared" si="6"/>
        <v>0</v>
      </c>
      <c r="H37" s="1618">
        <f t="shared" si="6"/>
        <v>0</v>
      </c>
    </row>
    <row r="38" spans="1:8" ht="12.75" thickTop="1"/>
    <row r="39" spans="1:8" s="880" customFormat="1" ht="12.75" thickBot="1">
      <c r="B39" s="1471" t="s">
        <v>130</v>
      </c>
      <c r="C39" s="1478"/>
      <c r="D39" s="1478"/>
      <c r="E39" s="1478"/>
      <c r="F39" s="1478"/>
      <c r="G39" s="1478"/>
      <c r="H39" s="1619"/>
    </row>
    <row r="42" spans="1:8">
      <c r="A42" s="1455">
        <v>2</v>
      </c>
      <c r="B42" s="1456" t="s">
        <v>131</v>
      </c>
      <c r="C42" s="1457"/>
      <c r="D42" s="1457"/>
      <c r="E42" s="1457"/>
      <c r="F42" s="1457"/>
      <c r="G42" s="1457"/>
      <c r="H42" s="1457"/>
    </row>
    <row r="43" spans="1:8">
      <c r="B43" s="1457" t="str">
        <f>B4</f>
        <v>$m 2025-26</v>
      </c>
      <c r="C43" s="1457"/>
      <c r="D43" s="1457"/>
      <c r="E43" s="1457"/>
      <c r="F43" s="1457"/>
      <c r="G43" s="1457"/>
      <c r="H43" s="1457"/>
    </row>
    <row r="44" spans="1:8">
      <c r="B44" s="1457"/>
      <c r="C44" s="1457"/>
      <c r="D44" s="1457"/>
      <c r="E44" s="1457"/>
      <c r="F44" s="1457"/>
      <c r="G44" s="1457"/>
      <c r="H44" s="1457"/>
    </row>
    <row r="45" spans="1:8" ht="19.5" customHeight="1" thickBot="1">
      <c r="B45" s="1458"/>
      <c r="C45" s="1459" t="s">
        <v>132</v>
      </c>
      <c r="D45" s="1459" t="s">
        <v>133</v>
      </c>
      <c r="E45" s="1459" t="s">
        <v>134</v>
      </c>
      <c r="F45" s="1459" t="s">
        <v>108</v>
      </c>
      <c r="G45" s="1459" t="s">
        <v>109</v>
      </c>
      <c r="H45" s="1459" t="s">
        <v>113</v>
      </c>
    </row>
    <row r="46" spans="1:8" s="89" customFormat="1" ht="18.600000000000001" customHeight="1" collapsed="1" thickBot="1">
      <c r="B46" s="1460" t="s">
        <v>135</v>
      </c>
      <c r="C46" s="1461"/>
      <c r="D46" s="1461"/>
      <c r="E46" s="1461"/>
      <c r="F46" s="1461"/>
      <c r="G46" s="1461"/>
      <c r="H46" s="1462">
        <f>SUM(C46:G46)</f>
        <v>0</v>
      </c>
    </row>
    <row r="47" spans="1:8" s="89" customFormat="1" ht="18.600000000000001" customHeight="1" thickBot="1">
      <c r="B47" s="1460" t="s">
        <v>121</v>
      </c>
      <c r="C47" s="1461"/>
      <c r="D47" s="1461"/>
      <c r="E47" s="1461"/>
      <c r="F47" s="1461"/>
      <c r="G47" s="1461"/>
      <c r="H47" s="1462"/>
    </row>
    <row r="48" spans="1:8" s="76" customFormat="1" ht="18.600000000000001" customHeight="1" thickBot="1">
      <c r="B48" s="1481" t="s">
        <v>122</v>
      </c>
      <c r="C48" s="1463"/>
      <c r="D48" s="1463"/>
      <c r="E48" s="1463"/>
      <c r="F48" s="1463"/>
      <c r="G48" s="1463"/>
      <c r="H48" s="1464">
        <f>SUM(C48:G48)</f>
        <v>0</v>
      </c>
    </row>
    <row r="49" spans="2:9" s="76" customFormat="1" ht="18.600000000000001" customHeight="1" thickBot="1">
      <c r="B49" s="1481" t="s">
        <v>122</v>
      </c>
      <c r="C49" s="1463"/>
      <c r="D49" s="1463"/>
      <c r="E49" s="1463"/>
      <c r="F49" s="1463"/>
      <c r="G49" s="1463"/>
      <c r="H49" s="1464">
        <f>SUM(C49:G49)</f>
        <v>0</v>
      </c>
    </row>
    <row r="50" spans="2:9" s="89" customFormat="1" ht="18.600000000000001" customHeight="1" thickBot="1">
      <c r="B50" s="1481" t="s">
        <v>122</v>
      </c>
      <c r="C50" s="1463"/>
      <c r="D50" s="1463"/>
      <c r="E50" s="1463"/>
      <c r="F50" s="1463"/>
      <c r="G50" s="1463"/>
      <c r="H50" s="1464">
        <f>SUM(C50:G50)</f>
        <v>0</v>
      </c>
    </row>
    <row r="51" spans="2:9" s="76" customFormat="1" ht="19.5" customHeight="1" thickBot="1">
      <c r="B51" s="1481" t="s">
        <v>122</v>
      </c>
      <c r="C51" s="1463"/>
      <c r="D51" s="1463"/>
      <c r="E51" s="1463"/>
      <c r="F51" s="1463"/>
      <c r="G51" s="1463"/>
      <c r="H51" s="1464">
        <f>SUM(C51:G51)</f>
        <v>0</v>
      </c>
      <c r="I51" s="89"/>
    </row>
    <row r="52" spans="2:9" s="89" customFormat="1" ht="19.5" customHeight="1" thickBot="1">
      <c r="B52" s="1460" t="s">
        <v>123</v>
      </c>
      <c r="C52" s="1462"/>
      <c r="D52" s="1462"/>
      <c r="E52" s="1462"/>
      <c r="F52" s="1462"/>
      <c r="G52" s="1462"/>
      <c r="H52" s="1462"/>
    </row>
    <row r="53" spans="2:9" s="76" customFormat="1" ht="19.5" customHeight="1" thickBot="1">
      <c r="B53" s="1481" t="s">
        <v>122</v>
      </c>
      <c r="C53" s="1463"/>
      <c r="D53" s="1463"/>
      <c r="E53" s="1463"/>
      <c r="F53" s="1463"/>
      <c r="G53" s="1463"/>
      <c r="H53" s="1464">
        <f>SUM(C53:G53)</f>
        <v>0</v>
      </c>
      <c r="I53" s="89"/>
    </row>
    <row r="54" spans="2:9" s="76" customFormat="1" ht="19.5" customHeight="1" thickBot="1">
      <c r="B54" s="1481" t="s">
        <v>122</v>
      </c>
      <c r="C54" s="1463"/>
      <c r="D54" s="1463"/>
      <c r="E54" s="1463"/>
      <c r="F54" s="1463"/>
      <c r="G54" s="1463"/>
      <c r="H54" s="1464"/>
      <c r="I54" s="89"/>
    </row>
    <row r="55" spans="2:9" s="1465" customFormat="1" ht="19.5" customHeight="1">
      <c r="B55" s="1616" t="s">
        <v>124</v>
      </c>
      <c r="C55" s="1473">
        <f t="shared" ref="C55:H55" si="7">SUM(C47:C54)</f>
        <v>0</v>
      </c>
      <c r="D55" s="1473">
        <f t="shared" si="7"/>
        <v>0</v>
      </c>
      <c r="E55" s="1473">
        <f t="shared" si="7"/>
        <v>0</v>
      </c>
      <c r="F55" s="1473">
        <f t="shared" si="7"/>
        <v>0</v>
      </c>
      <c r="G55" s="1473">
        <f t="shared" si="7"/>
        <v>0</v>
      </c>
      <c r="H55" s="1473">
        <f t="shared" si="7"/>
        <v>0</v>
      </c>
      <c r="I55" s="89"/>
    </row>
    <row r="56" spans="2:9" s="89" customFormat="1" ht="19.5" customHeight="1" thickBot="1">
      <c r="B56" s="1617" t="s">
        <v>136</v>
      </c>
      <c r="C56" s="1618">
        <f t="shared" ref="C56:H56" si="8">C46+C55</f>
        <v>0</v>
      </c>
      <c r="D56" s="1618">
        <f t="shared" si="8"/>
        <v>0</v>
      </c>
      <c r="E56" s="1618">
        <f t="shared" si="8"/>
        <v>0</v>
      </c>
      <c r="F56" s="1618">
        <f t="shared" si="8"/>
        <v>0</v>
      </c>
      <c r="G56" s="1618">
        <f t="shared" si="8"/>
        <v>0</v>
      </c>
      <c r="H56" s="1618">
        <f t="shared" si="8"/>
        <v>0</v>
      </c>
    </row>
    <row r="57" spans="2:9" ht="12.75" thickTop="1">
      <c r="I57" s="89"/>
    </row>
    <row r="58" spans="2:9" s="880" customFormat="1" ht="12.75" thickBot="1">
      <c r="B58" s="1471" t="s">
        <v>130</v>
      </c>
      <c r="C58" s="1472"/>
      <c r="D58" s="1472"/>
      <c r="E58" s="1472"/>
      <c r="F58" s="1472"/>
      <c r="G58" s="1472"/>
      <c r="H58" s="1620"/>
    </row>
  </sheetData>
  <pageMargins left="0.7" right="0.7" top="0.75" bottom="0.75" header="0.3" footer="0.3"/>
  <pageSetup paperSize="9" scale="39" orientation="portrait" r:id="rId1"/>
  <headerFooter>
    <oddHeader>&amp;C&amp;"Calibri"&amp;14&amp;KFF0000 OFFICIAL&amp;1#_x000D_&amp;"Arial"&amp;8&amp;K000000&amp;"Arial"&amp;8&amp;K000000&amp;B&amp;"Arial"&amp;12&amp;Kff0000​‌OFFICIAL‌​</oddHeader>
  </headerFooter>
  <colBreaks count="1" manualBreakCount="1">
    <brk id="8" max="1048575" man="1"/>
  </col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5">
    <pageSetUpPr autoPageBreaks="0"/>
  </sheetPr>
  <dimension ref="A1:BL131"/>
  <sheetViews>
    <sheetView showGridLines="0" zoomScaleNormal="100" workbookViewId="0">
      <pane ySplit="7" topLeftCell="A82" activePane="bottomLeft" state="frozen"/>
      <selection activeCell="AN32" sqref="AN32"/>
      <selection pane="bottomLeft" activeCell="AA33" sqref="AA33"/>
    </sheetView>
  </sheetViews>
  <sheetFormatPr defaultColWidth="10.83203125" defaultRowHeight="12" outlineLevelRow="1" outlineLevelCol="1"/>
  <cols>
    <col min="1" max="5" width="3.83203125" style="63" customWidth="1"/>
    <col min="6" max="7" width="10.83203125" style="63" customWidth="1"/>
    <col min="8" max="9" width="13.83203125" style="63" customWidth="1"/>
    <col min="10" max="10" width="13.1640625" style="63" hidden="1" customWidth="1" outlineLevel="1"/>
    <col min="11" max="20" width="11.83203125" style="63" hidden="1" customWidth="1" outlineLevel="1"/>
    <col min="21" max="21" width="11.83203125" style="63" customWidth="1" collapsed="1"/>
    <col min="22" max="28" width="11.83203125" style="63" customWidth="1"/>
    <col min="29" max="36" width="10.83203125" style="63" customWidth="1"/>
    <col min="37" max="37" width="6.33203125" style="63" customWidth="1"/>
    <col min="38" max="38" width="10.83203125" style="63"/>
    <col min="39" max="39" width="13.6640625" style="63" bestFit="1" customWidth="1"/>
    <col min="40" max="47" width="11.83203125" style="63" customWidth="1"/>
    <col min="48" max="48" width="10.83203125" style="63"/>
    <col min="49" max="55" width="11.83203125" style="63" customWidth="1"/>
    <col min="56" max="56" width="12.6640625" style="63" customWidth="1"/>
    <col min="57" max="16384" width="10.83203125" style="63"/>
  </cols>
  <sheetData>
    <row r="1" spans="1:64" ht="15">
      <c r="A1" s="139">
        <v>80</v>
      </c>
      <c r="B1" s="140" t="s">
        <v>981</v>
      </c>
      <c r="J1" s="67"/>
      <c r="K1" s="67"/>
      <c r="L1" s="67"/>
      <c r="M1" s="67"/>
      <c r="N1" s="67"/>
      <c r="O1" s="67"/>
      <c r="P1" s="67"/>
      <c r="Q1" s="67"/>
      <c r="R1" s="310"/>
      <c r="S1" s="310"/>
      <c r="T1" s="310"/>
    </row>
    <row r="2" spans="1:64" ht="12.75">
      <c r="B2" s="142" t="str">
        <f>+Contents!H7</f>
        <v>Melbourne Water</v>
      </c>
      <c r="J2" s="67"/>
      <c r="K2" s="67"/>
      <c r="L2" s="67"/>
      <c r="M2" s="67"/>
      <c r="N2" s="67"/>
      <c r="O2" s="67"/>
      <c r="P2" s="67"/>
      <c r="Q2" s="270"/>
      <c r="R2" s="310"/>
      <c r="S2" s="310"/>
      <c r="T2" s="310"/>
    </row>
    <row r="3" spans="1:64">
      <c r="B3" s="2075" t="s">
        <v>138</v>
      </c>
      <c r="C3" s="2075"/>
      <c r="D3" s="2075"/>
      <c r="E3" s="2075"/>
      <c r="F3" s="2075"/>
      <c r="G3" s="64"/>
      <c r="J3" s="67"/>
      <c r="K3" s="67"/>
      <c r="L3" s="67"/>
      <c r="M3" s="67"/>
      <c r="N3" s="67"/>
      <c r="O3" s="67"/>
      <c r="P3" s="67"/>
      <c r="Q3" s="67"/>
    </row>
    <row r="4" spans="1:64">
      <c r="A4" s="147"/>
      <c r="B4" s="65"/>
      <c r="C4" s="66"/>
      <c r="F4" s="57"/>
      <c r="J4" s="67"/>
      <c r="K4" s="1208"/>
      <c r="L4" s="1209" t="s">
        <v>187</v>
      </c>
      <c r="M4" s="1210"/>
      <c r="N4" s="1208"/>
      <c r="O4" s="1211"/>
      <c r="P4" s="1209" t="s">
        <v>188</v>
      </c>
      <c r="Q4" s="1211"/>
      <c r="R4" s="1210"/>
      <c r="S4" s="1208"/>
      <c r="T4" s="1209" t="s">
        <v>189</v>
      </c>
      <c r="U4" s="1211"/>
      <c r="V4" s="1208"/>
      <c r="W4" s="1211"/>
      <c r="X4" s="1209" t="s">
        <v>139</v>
      </c>
      <c r="Y4" s="1211"/>
      <c r="Z4" s="1210"/>
      <c r="AA4" s="1287"/>
      <c r="AB4" s="721"/>
      <c r="AC4" s="1209" t="s">
        <v>140</v>
      </c>
      <c r="AD4" s="721"/>
      <c r="AE4" s="1207"/>
      <c r="AF4" s="1287"/>
      <c r="AG4" s="721"/>
      <c r="AH4" s="1209" t="str">
        <f>'Finance&amp;Tax_FO'!AH4</f>
        <v>SEVENTH REG PERIOD</v>
      </c>
      <c r="AI4" s="721"/>
      <c r="AJ4" s="1207"/>
    </row>
    <row r="5" spans="1:64">
      <c r="J5" s="67"/>
      <c r="K5" s="67"/>
      <c r="L5" s="67"/>
      <c r="M5" s="67"/>
      <c r="N5" s="67"/>
      <c r="O5" s="67"/>
      <c r="P5" s="67"/>
      <c r="Q5" s="67"/>
    </row>
    <row r="6" spans="1:64">
      <c r="B6" s="148"/>
      <c r="F6" s="149" t="s">
        <v>142</v>
      </c>
      <c r="J6" s="660"/>
      <c r="K6" s="58"/>
      <c r="L6" s="58"/>
      <c r="M6" s="58"/>
      <c r="N6" s="58"/>
      <c r="O6" s="58"/>
      <c r="P6" s="58"/>
      <c r="Q6" s="58"/>
      <c r="R6" s="59"/>
      <c r="S6" s="59"/>
      <c r="T6" s="59"/>
      <c r="U6" s="59">
        <v>2021</v>
      </c>
      <c r="V6" s="59">
        <v>2022</v>
      </c>
      <c r="W6" s="59">
        <v>2023</v>
      </c>
      <c r="X6" s="60">
        <v>2024</v>
      </c>
      <c r="Y6" s="60">
        <v>2025</v>
      </c>
      <c r="Z6" s="60">
        <v>2026</v>
      </c>
      <c r="AA6" s="60">
        <v>2027</v>
      </c>
      <c r="AB6" s="60">
        <v>2028</v>
      </c>
      <c r="AC6" s="60">
        <v>2029</v>
      </c>
      <c r="AD6" s="60">
        <v>2030</v>
      </c>
      <c r="AE6" s="60">
        <v>2031</v>
      </c>
      <c r="AF6" s="63">
        <f>AE6+1</f>
        <v>2032</v>
      </c>
      <c r="AG6" s="63">
        <f>AF6+1</f>
        <v>2033</v>
      </c>
      <c r="AH6" s="63">
        <f>AG6+1</f>
        <v>2034</v>
      </c>
      <c r="AI6" s="63">
        <f>AH6+1</f>
        <v>2035</v>
      </c>
      <c r="AJ6" s="63">
        <f>AI6+1</f>
        <v>2036</v>
      </c>
    </row>
    <row r="7" spans="1:64">
      <c r="A7" s="68"/>
      <c r="B7" s="150"/>
      <c r="C7" s="68"/>
      <c r="D7" s="68"/>
      <c r="E7" s="68"/>
      <c r="F7" s="151" t="s">
        <v>143</v>
      </c>
      <c r="G7" s="68"/>
      <c r="H7" s="68"/>
      <c r="I7" s="68"/>
      <c r="J7" s="661"/>
      <c r="K7" s="661"/>
      <c r="L7" s="661"/>
      <c r="M7" s="661"/>
      <c r="N7" s="661"/>
      <c r="O7" s="661"/>
      <c r="P7" s="661"/>
      <c r="Q7" s="661"/>
      <c r="R7" s="61"/>
      <c r="S7" s="61"/>
      <c r="T7" s="61"/>
      <c r="U7" s="61" t="str">
        <f t="shared" ref="U7:AJ7" si="0">+CONCATENATE(U6-1,"-",RIGHT(U6,2))</f>
        <v>2020-21</v>
      </c>
      <c r="V7" s="61" t="str">
        <f t="shared" si="0"/>
        <v>2021-22</v>
      </c>
      <c r="W7" s="61" t="str">
        <f t="shared" si="0"/>
        <v>2022-23</v>
      </c>
      <c r="X7" s="61" t="str">
        <f t="shared" si="0"/>
        <v>2023-24</v>
      </c>
      <c r="Y7" s="61" t="str">
        <f t="shared" si="0"/>
        <v>2024-25</v>
      </c>
      <c r="Z7" s="61" t="str">
        <f t="shared" si="0"/>
        <v>2025-26</v>
      </c>
      <c r="AA7" s="61" t="str">
        <f t="shared" si="0"/>
        <v>2026-27</v>
      </c>
      <c r="AB7" s="61" t="str">
        <f t="shared" si="0"/>
        <v>2027-28</v>
      </c>
      <c r="AC7" s="61" t="str">
        <f t="shared" si="0"/>
        <v>2028-29</v>
      </c>
      <c r="AD7" s="61" t="str">
        <f t="shared" si="0"/>
        <v>2029-30</v>
      </c>
      <c r="AE7" s="61" t="str">
        <f t="shared" si="0"/>
        <v>2030-31</v>
      </c>
      <c r="AF7" s="61" t="str">
        <f t="shared" si="0"/>
        <v>2031-32</v>
      </c>
      <c r="AG7" s="61" t="str">
        <f t="shared" si="0"/>
        <v>2032-33</v>
      </c>
      <c r="AH7" s="61" t="str">
        <f t="shared" si="0"/>
        <v>2033-34</v>
      </c>
      <c r="AI7" s="61" t="str">
        <f t="shared" si="0"/>
        <v>2034-35</v>
      </c>
      <c r="AJ7" s="61" t="str">
        <f t="shared" si="0"/>
        <v>2035-36</v>
      </c>
    </row>
    <row r="8" spans="1:64">
      <c r="J8" s="67"/>
      <c r="K8" s="67"/>
      <c r="L8" s="67"/>
      <c r="M8" s="67"/>
      <c r="N8" s="67"/>
      <c r="O8" s="67"/>
      <c r="P8" s="67"/>
      <c r="Q8" s="67"/>
    </row>
    <row r="9" spans="1:64">
      <c r="J9" s="67"/>
      <c r="K9" s="315"/>
      <c r="L9" s="315"/>
      <c r="M9" s="315"/>
      <c r="N9" s="315"/>
      <c r="O9" s="315"/>
      <c r="P9" s="315"/>
      <c r="Q9" s="315"/>
      <c r="R9" s="316"/>
      <c r="S9" s="316"/>
      <c r="T9" s="316"/>
      <c r="U9" s="316"/>
      <c r="V9" s="316"/>
      <c r="W9" s="316"/>
      <c r="X9" s="316"/>
      <c r="Y9" s="316"/>
      <c r="Z9" s="316"/>
      <c r="AA9" s="316"/>
      <c r="AB9" s="316"/>
    </row>
    <row r="10" spans="1:64">
      <c r="B10" s="295" t="s">
        <v>982</v>
      </c>
      <c r="J10" s="67"/>
      <c r="K10" s="315"/>
      <c r="L10" s="315"/>
      <c r="M10" s="315"/>
      <c r="N10" s="315"/>
      <c r="O10" s="315"/>
      <c r="P10" s="315"/>
      <c r="Q10" s="315"/>
      <c r="R10" s="316"/>
      <c r="S10" s="316"/>
      <c r="T10" s="316"/>
      <c r="U10" s="316"/>
      <c r="V10" s="316"/>
      <c r="W10" s="316"/>
      <c r="X10" s="316"/>
      <c r="Y10" s="316"/>
      <c r="Z10" s="316"/>
      <c r="AA10" s="316"/>
      <c r="AB10" s="316"/>
      <c r="AD10" s="116"/>
      <c r="AF10" s="842"/>
    </row>
    <row r="11" spans="1:64" ht="12.75" thickBot="1">
      <c r="J11" s="67"/>
      <c r="K11" s="315"/>
      <c r="L11" s="315"/>
      <c r="M11" s="315"/>
      <c r="N11" s="315"/>
      <c r="O11" s="315"/>
      <c r="P11" s="315"/>
      <c r="Q11" s="315"/>
      <c r="R11" s="316"/>
      <c r="S11" s="316"/>
      <c r="T11" s="316"/>
      <c r="U11" s="316"/>
      <c r="V11" s="316"/>
      <c r="W11" s="316"/>
      <c r="X11" s="316"/>
      <c r="Y11" s="316"/>
      <c r="Z11" s="316"/>
      <c r="AA11" s="316"/>
      <c r="AB11" s="316"/>
    </row>
    <row r="12" spans="1:64">
      <c r="C12" s="662"/>
      <c r="D12" s="633"/>
      <c r="E12" s="633"/>
      <c r="F12" s="633"/>
      <c r="G12" s="633"/>
      <c r="H12" s="633"/>
      <c r="I12" s="633"/>
      <c r="J12" s="220"/>
      <c r="K12" s="663"/>
      <c r="L12" s="663"/>
      <c r="M12" s="663"/>
      <c r="N12" s="663"/>
      <c r="O12" s="663"/>
      <c r="P12" s="663"/>
      <c r="Q12" s="663"/>
      <c r="R12" s="455"/>
      <c r="S12" s="664"/>
      <c r="T12" s="664"/>
      <c r="U12" s="664"/>
      <c r="V12" s="664"/>
      <c r="W12" s="664"/>
      <c r="X12" s="664"/>
      <c r="Y12" s="664"/>
      <c r="Z12" s="664"/>
      <c r="AA12" s="664"/>
      <c r="AB12" s="664"/>
      <c r="AC12" s="664"/>
      <c r="AD12" s="664"/>
      <c r="AE12" s="664"/>
      <c r="AF12" s="664"/>
      <c r="AG12" s="664"/>
      <c r="AH12" s="664"/>
      <c r="AI12" s="664"/>
      <c r="AJ12" s="664"/>
      <c r="AK12" s="665"/>
    </row>
    <row r="13" spans="1:64">
      <c r="C13" s="666"/>
      <c r="D13" s="667" t="s">
        <v>983</v>
      </c>
      <c r="E13" s="196"/>
      <c r="F13" s="196"/>
      <c r="G13" s="196"/>
      <c r="H13" s="196"/>
      <c r="I13" s="196"/>
      <c r="J13" s="67"/>
      <c r="K13" s="211"/>
      <c r="L13" s="211"/>
      <c r="M13" s="211"/>
      <c r="N13" s="211"/>
      <c r="O13" s="211"/>
      <c r="P13" s="211"/>
      <c r="Q13" s="211"/>
      <c r="R13" s="212"/>
      <c r="S13" s="596"/>
      <c r="T13" s="596"/>
      <c r="U13" s="1599"/>
      <c r="V13" s="682"/>
      <c r="W13" s="682"/>
      <c r="X13" s="682"/>
      <c r="Y13" s="682"/>
      <c r="Z13" s="682"/>
      <c r="AA13" s="682"/>
      <c r="AB13" s="596"/>
      <c r="AC13" s="596"/>
      <c r="AD13" s="596"/>
      <c r="AE13" s="596"/>
      <c r="AF13" s="596"/>
      <c r="AG13" s="596"/>
      <c r="AH13" s="596"/>
      <c r="AI13" s="596"/>
      <c r="AJ13" s="596"/>
      <c r="AK13" s="668"/>
    </row>
    <row r="14" spans="1:64">
      <c r="C14" s="666"/>
      <c r="D14" s="196"/>
      <c r="E14" s="196"/>
      <c r="F14" s="196"/>
      <c r="G14" s="196"/>
      <c r="H14" s="196"/>
      <c r="I14" s="196"/>
      <c r="J14" s="67"/>
      <c r="K14" s="67"/>
      <c r="L14" s="67"/>
      <c r="M14" s="67"/>
      <c r="N14" s="67"/>
      <c r="O14" s="67"/>
      <c r="P14" s="67"/>
      <c r="Q14" s="67"/>
      <c r="R14" s="212"/>
      <c r="S14" s="596"/>
      <c r="T14" s="596"/>
      <c r="U14" s="596"/>
      <c r="V14" s="596"/>
      <c r="W14" s="596"/>
      <c r="X14" s="596"/>
      <c r="Y14" s="596"/>
      <c r="Z14" s="196"/>
      <c r="AA14" s="196"/>
      <c r="AB14" s="196"/>
      <c r="AC14" s="196"/>
      <c r="AD14" s="196"/>
      <c r="AE14" s="196"/>
      <c r="AF14" s="196"/>
      <c r="AG14" s="196"/>
      <c r="AH14" s="196"/>
      <c r="AI14" s="196"/>
      <c r="AJ14" s="196"/>
      <c r="AK14" s="668"/>
    </row>
    <row r="15" spans="1:64">
      <c r="C15" s="666"/>
      <c r="D15" s="196"/>
      <c r="E15" s="196"/>
      <c r="F15" s="196" t="s">
        <v>104</v>
      </c>
      <c r="G15" s="196"/>
      <c r="H15" s="196"/>
      <c r="I15" s="196"/>
      <c r="J15" s="270"/>
      <c r="K15" s="270"/>
      <c r="L15" s="270"/>
      <c r="M15" s="270"/>
      <c r="N15" s="270"/>
      <c r="O15" s="270"/>
      <c r="P15" s="270"/>
      <c r="Q15" s="270"/>
      <c r="R15" s="212"/>
      <c r="S15" s="596"/>
      <c r="T15" s="596"/>
      <c r="U15" s="310"/>
      <c r="V15" s="310"/>
      <c r="W15" s="310"/>
      <c r="X15" s="310"/>
      <c r="Y15" s="310"/>
      <c r="Z15" s="310"/>
      <c r="AA15" s="310">
        <f>Summary_FO!AF15</f>
        <v>1115.0923741007557</v>
      </c>
      <c r="AB15" s="310">
        <f>Summary_FO!AG15</f>
        <v>1108.5567692167556</v>
      </c>
      <c r="AC15" s="310">
        <f>Summary_FO!AH15</f>
        <v>1114.4618802482598</v>
      </c>
      <c r="AD15" s="310">
        <f>Summary_FO!AI15</f>
        <v>1096.8106614241656</v>
      </c>
      <c r="AE15" s="310">
        <f>Summary_FO!AJ15</f>
        <v>1077.0055420432298</v>
      </c>
      <c r="AF15" s="310">
        <f>Summary_FO!AK15</f>
        <v>1054.3103655840573</v>
      </c>
      <c r="AG15" s="310">
        <f>Summary_FO!AL15</f>
        <v>1029.4729717621435</v>
      </c>
      <c r="AH15" s="310">
        <f>Summary_FO!AM15</f>
        <v>993.22220616490995</v>
      </c>
      <c r="AI15" s="310">
        <f>Summary_FO!AN15</f>
        <v>967.22468725231897</v>
      </c>
      <c r="AJ15" s="310">
        <f>Summary_FO!AO15</f>
        <v>936.82823318714361</v>
      </c>
      <c r="AK15" s="668"/>
      <c r="AL15" s="1498"/>
      <c r="BF15" s="1511"/>
      <c r="BG15" s="1513"/>
      <c r="BH15" s="842"/>
      <c r="BI15" s="1515"/>
      <c r="BJ15" s="1511"/>
      <c r="BK15" s="1511"/>
      <c r="BL15" s="1512"/>
    </row>
    <row r="16" spans="1:64">
      <c r="C16" s="666"/>
      <c r="D16" s="196"/>
      <c r="E16" s="196"/>
      <c r="F16" s="196" t="s">
        <v>984</v>
      </c>
      <c r="G16" s="196"/>
      <c r="H16" s="196"/>
      <c r="I16" s="196"/>
      <c r="J16" s="270"/>
      <c r="K16" s="270"/>
      <c r="L16" s="270"/>
      <c r="M16" s="270"/>
      <c r="N16" s="270"/>
      <c r="O16" s="270"/>
      <c r="P16" s="270"/>
      <c r="Q16" s="270"/>
      <c r="R16" s="212"/>
      <c r="S16" s="596"/>
      <c r="T16" s="596"/>
      <c r="U16" s="296"/>
      <c r="V16" s="296"/>
      <c r="W16" s="296"/>
      <c r="X16" s="296"/>
      <c r="Y16" s="296"/>
      <c r="Z16" s="296"/>
      <c r="AA16" s="310">
        <f t="shared" ref="AA16:AJ16" ca="1" si="1">+AA47+AA64</f>
        <v>453.64505838743651</v>
      </c>
      <c r="AB16" s="310">
        <f t="shared" ca="1" si="1"/>
        <v>488.42520183207944</v>
      </c>
      <c r="AC16" s="310">
        <f t="shared" ca="1" si="1"/>
        <v>529.83900122094542</v>
      </c>
      <c r="AD16" s="310">
        <f t="shared" ca="1" si="1"/>
        <v>572.00909805991046</v>
      </c>
      <c r="AE16" s="310">
        <f t="shared" ca="1" si="1"/>
        <v>629.35677135833407</v>
      </c>
      <c r="AF16" s="310">
        <f t="shared" ca="1" si="1"/>
        <v>698.10527769540852</v>
      </c>
      <c r="AG16" s="310">
        <f t="shared" ca="1" si="1"/>
        <v>763.57610417658566</v>
      </c>
      <c r="AH16" s="310">
        <f t="shared" ca="1" si="1"/>
        <v>789.70982239490422</v>
      </c>
      <c r="AI16" s="310">
        <f t="shared" ca="1" si="1"/>
        <v>817.57232319173954</v>
      </c>
      <c r="AJ16" s="310">
        <f t="shared" ca="1" si="1"/>
        <v>860.00431967689974</v>
      </c>
      <c r="AK16" s="668"/>
      <c r="BF16" s="1511"/>
      <c r="BG16" s="1513"/>
      <c r="BH16" s="1510"/>
      <c r="BI16" s="1515"/>
      <c r="BJ16" s="1511"/>
      <c r="BK16" s="1511"/>
      <c r="BL16" s="1512"/>
    </row>
    <row r="17" spans="3:64">
      <c r="C17" s="666"/>
      <c r="D17" s="196"/>
      <c r="E17" s="196"/>
      <c r="F17" s="196" t="s">
        <v>985</v>
      </c>
      <c r="G17" s="196"/>
      <c r="H17" s="196"/>
      <c r="I17" s="196"/>
      <c r="J17" s="270"/>
      <c r="K17" s="270"/>
      <c r="L17" s="270"/>
      <c r="M17" s="270"/>
      <c r="N17" s="270"/>
      <c r="O17" s="270"/>
      <c r="P17" s="270"/>
      <c r="Q17" s="270"/>
      <c r="R17" s="212"/>
      <c r="S17" s="596"/>
      <c r="T17" s="596"/>
      <c r="U17" s="310"/>
      <c r="V17" s="310"/>
      <c r="W17" s="310"/>
      <c r="X17" s="310"/>
      <c r="Y17" s="310"/>
      <c r="Z17" s="310"/>
      <c r="AA17" s="310">
        <f ca="1">RollForward_FO!AA17</f>
        <v>332.384302084745</v>
      </c>
      <c r="AB17" s="310">
        <f ca="1">RollForward_FO!AB17</f>
        <v>356.32515294133128</v>
      </c>
      <c r="AC17" s="310">
        <f ca="1">RollForward_FO!AC17</f>
        <v>377.04048341693692</v>
      </c>
      <c r="AD17" s="310">
        <f ca="1">RollForward_FO!AD17</f>
        <v>376.81114109452182</v>
      </c>
      <c r="AE17" s="310">
        <f ca="1">RollForward_FO!AE17</f>
        <v>385.11924661377589</v>
      </c>
      <c r="AF17" s="310">
        <f ca="1">RollForward_FO!AF17</f>
        <v>405.47714769034246</v>
      </c>
      <c r="AG17" s="310">
        <f ca="1">RollForward_FO!AG17</f>
        <v>440.78375076269117</v>
      </c>
      <c r="AH17" s="310">
        <f ca="1">RollForward_FO!AH17</f>
        <v>477.93084470822248</v>
      </c>
      <c r="AI17" s="310">
        <f ca="1">RollForward_FO!AI17</f>
        <v>512.23113427972567</v>
      </c>
      <c r="AJ17" s="310">
        <f ca="1">RollForward_FO!AJ17</f>
        <v>546.05418625881998</v>
      </c>
      <c r="AK17" s="668"/>
      <c r="BF17" s="1511"/>
      <c r="BG17" s="842"/>
      <c r="BH17" s="1510"/>
      <c r="BI17" s="1515"/>
      <c r="BJ17" s="1511"/>
      <c r="BK17" s="1511"/>
      <c r="BL17" s="1512"/>
    </row>
    <row r="18" spans="3:64" outlineLevel="1">
      <c r="C18" s="666"/>
      <c r="D18" s="196"/>
      <c r="E18" s="196"/>
      <c r="F18" s="196" t="s">
        <v>986</v>
      </c>
      <c r="G18" s="196"/>
      <c r="H18" s="196"/>
      <c r="I18" s="196"/>
      <c r="J18" s="270"/>
      <c r="K18" s="270"/>
      <c r="L18" s="270"/>
      <c r="M18" s="270"/>
      <c r="N18" s="270"/>
      <c r="O18" s="270"/>
      <c r="P18" s="270"/>
      <c r="Q18" s="270"/>
      <c r="R18" s="212"/>
      <c r="S18" s="596"/>
      <c r="T18" s="596"/>
      <c r="U18" s="296"/>
      <c r="V18" s="296"/>
      <c r="W18" s="296"/>
      <c r="X18" s="296"/>
      <c r="Y18" s="296"/>
      <c r="Z18" s="296"/>
      <c r="AA18" s="310">
        <f>+PrevPerAdj_FO!AA14</f>
        <v>-1.9453199483796064</v>
      </c>
      <c r="AB18" s="310">
        <f>+PrevPerAdj_FO!AB14</f>
        <v>-1.9453199483796064</v>
      </c>
      <c r="AC18" s="310">
        <f>+PrevPerAdj_FO!AC14</f>
        <v>-1.9453199483796064</v>
      </c>
      <c r="AD18" s="310">
        <f>+PrevPerAdj_FO!AD14</f>
        <v>-1.9453199483796064</v>
      </c>
      <c r="AE18" s="310">
        <f>+PrevPerAdj_FO!AE14</f>
        <v>-1.9453199483796064</v>
      </c>
      <c r="AF18" s="310">
        <f>+PrevPerAdj_FO!AF14</f>
        <v>0</v>
      </c>
      <c r="AG18" s="310">
        <f>+PrevPerAdj_FO!AG14</f>
        <v>0</v>
      </c>
      <c r="AH18" s="310">
        <f>+PrevPerAdj_FO!AH14</f>
        <v>0</v>
      </c>
      <c r="AI18" s="310">
        <f>+PrevPerAdj_FO!AI14</f>
        <v>0</v>
      </c>
      <c r="AJ18" s="310">
        <f>+PrevPerAdj_FO!AJ14</f>
        <v>0</v>
      </c>
      <c r="AK18" s="668"/>
      <c r="BF18" s="1511"/>
      <c r="BG18" s="1476"/>
      <c r="BH18" s="1510"/>
      <c r="BI18" s="1515"/>
      <c r="BJ18" s="1511"/>
      <c r="BK18" s="1511"/>
      <c r="BL18" s="1512"/>
    </row>
    <row r="19" spans="3:64" outlineLevel="1">
      <c r="C19" s="666"/>
      <c r="D19" s="196"/>
      <c r="E19" s="196"/>
      <c r="F19" s="196" t="s">
        <v>862</v>
      </c>
      <c r="G19" s="196"/>
      <c r="H19" s="196"/>
      <c r="I19" s="196"/>
      <c r="J19" s="270"/>
      <c r="K19" s="270"/>
      <c r="L19" s="270"/>
      <c r="M19" s="270"/>
      <c r="N19" s="270"/>
      <c r="O19" s="270"/>
      <c r="P19" s="270"/>
      <c r="Q19" s="270"/>
      <c r="R19" s="212"/>
      <c r="S19" s="596"/>
      <c r="T19" s="596"/>
      <c r="U19" s="296"/>
      <c r="V19" s="296"/>
      <c r="W19" s="296"/>
      <c r="X19" s="296"/>
      <c r="Y19" s="296"/>
      <c r="Z19" s="296"/>
      <c r="AA19" s="296">
        <f>+RevenuePriceCap_FO!AA61+RevenueTariffBasket_FO!AA61</f>
        <v>0</v>
      </c>
      <c r="AB19" s="296">
        <f>+RevenuePriceCap_FO!AB61+RevenueTariffBasket_FO!AB61</f>
        <v>0</v>
      </c>
      <c r="AC19" s="296">
        <f>+RevenuePriceCap_FO!AC61+RevenueTariffBasket_FO!AC61</f>
        <v>0</v>
      </c>
      <c r="AD19" s="296">
        <f>+RevenuePriceCap_FO!AD61+RevenueTariffBasket_FO!AD61</f>
        <v>0</v>
      </c>
      <c r="AE19" s="296">
        <f>+RevenuePriceCap_FO!AE61+RevenueTariffBasket_FO!AE61</f>
        <v>0</v>
      </c>
      <c r="AF19" s="296">
        <f>+RevenuePriceCap_FO!AF61+RevenueTariffBasket_FO!AF61</f>
        <v>0</v>
      </c>
      <c r="AG19" s="296">
        <f>+RevenuePriceCap_FO!AG61+RevenueTariffBasket_FO!AG61</f>
        <v>0</v>
      </c>
      <c r="AH19" s="296">
        <f>+RevenuePriceCap_FO!AH61+RevenueTariffBasket_FO!AH61</f>
        <v>0</v>
      </c>
      <c r="AI19" s="296">
        <f>+RevenuePriceCap_FO!AI61+RevenueTariffBasket_FO!AI61</f>
        <v>0</v>
      </c>
      <c r="AJ19" s="296">
        <f>+RevenuePriceCap_FO!AJ61+RevenueTariffBasket_FO!AJ61</f>
        <v>0</v>
      </c>
      <c r="AK19" s="668"/>
      <c r="BF19" s="1511"/>
      <c r="BG19" s="1476"/>
      <c r="BH19" s="1510"/>
      <c r="BI19" s="1515"/>
      <c r="BJ19" s="1511"/>
      <c r="BK19" s="1511"/>
      <c r="BL19" s="1512"/>
    </row>
    <row r="20" spans="3:64">
      <c r="C20" s="666"/>
      <c r="D20" s="196"/>
      <c r="E20" s="196"/>
      <c r="F20" s="196" t="s">
        <v>987</v>
      </c>
      <c r="G20" s="196"/>
      <c r="H20" s="196"/>
      <c r="I20" s="196"/>
      <c r="J20" s="270"/>
      <c r="K20" s="270"/>
      <c r="L20" s="270"/>
      <c r="M20" s="270"/>
      <c r="N20" s="270"/>
      <c r="O20" s="270"/>
      <c r="P20" s="270"/>
      <c r="Q20" s="270"/>
      <c r="R20" s="270"/>
      <c r="S20" s="596"/>
      <c r="T20" s="596"/>
      <c r="U20" s="296"/>
      <c r="V20" s="296"/>
      <c r="W20" s="296"/>
      <c r="X20" s="296"/>
      <c r="Y20" s="296"/>
      <c r="Z20" s="296"/>
      <c r="AA20" s="333">
        <f t="shared" ref="AA20:AJ20" ca="1" si="2">+AA122</f>
        <v>30.467001494236381</v>
      </c>
      <c r="AB20" s="334">
        <f t="shared" ca="1" si="2"/>
        <v>31.66708877497403</v>
      </c>
      <c r="AC20" s="334">
        <f t="shared" ca="1" si="2"/>
        <v>26.92077507181839</v>
      </c>
      <c r="AD20" s="334">
        <f t="shared" ca="1" si="2"/>
        <v>22.32328385526187</v>
      </c>
      <c r="AE20" s="335">
        <f t="shared" ca="1" si="2"/>
        <v>17.858759424505433</v>
      </c>
      <c r="AF20" s="333">
        <f t="shared" ca="1" si="2"/>
        <v>16.423674161030704</v>
      </c>
      <c r="AG20" s="334">
        <f t="shared" ca="1" si="2"/>
        <v>19.859818381433445</v>
      </c>
      <c r="AH20" s="334">
        <f t="shared" ca="1" si="2"/>
        <v>14.541421544291552</v>
      </c>
      <c r="AI20" s="334">
        <f t="shared" ca="1" si="2"/>
        <v>15.367993523166701</v>
      </c>
      <c r="AJ20" s="335">
        <f t="shared" ca="1" si="2"/>
        <v>16.786467714479681</v>
      </c>
      <c r="AK20" s="668"/>
      <c r="BF20" s="1511"/>
      <c r="BG20" s="1476"/>
      <c r="BH20" s="1510"/>
      <c r="BI20" s="1515"/>
      <c r="BJ20" s="1511"/>
      <c r="BK20" s="1511"/>
      <c r="BL20" s="1512"/>
    </row>
    <row r="21" spans="3:64" outlineLevel="1">
      <c r="C21" s="666"/>
      <c r="D21" s="196"/>
      <c r="E21" s="196"/>
      <c r="F21" s="196"/>
      <c r="G21" s="196"/>
      <c r="H21" s="196"/>
      <c r="I21" s="196"/>
      <c r="J21" s="67"/>
      <c r="K21" s="67"/>
      <c r="L21" s="67"/>
      <c r="M21" s="67"/>
      <c r="N21" s="67"/>
      <c r="O21" s="67"/>
      <c r="P21" s="67"/>
      <c r="Q21" s="67"/>
      <c r="R21" s="67"/>
      <c r="S21" s="310"/>
      <c r="T21" s="310"/>
      <c r="U21" s="296"/>
      <c r="V21" s="296"/>
      <c r="W21" s="296"/>
      <c r="X21" s="296"/>
      <c r="Y21" s="296"/>
      <c r="AA21" s="310"/>
      <c r="AB21" s="310"/>
      <c r="AC21" s="310"/>
      <c r="AD21" s="310"/>
      <c r="AE21" s="310"/>
      <c r="AF21" s="310"/>
      <c r="AG21" s="310"/>
      <c r="AH21" s="310"/>
      <c r="AI21" s="310"/>
      <c r="AJ21" s="310"/>
      <c r="AK21" s="668"/>
      <c r="BF21" s="1511"/>
      <c r="BG21" s="1513"/>
      <c r="BH21" s="1510"/>
      <c r="BI21" s="1515"/>
      <c r="BJ21" s="1511"/>
      <c r="BK21" s="1511"/>
      <c r="BL21" s="1512"/>
    </row>
    <row r="22" spans="3:64" outlineLevel="1">
      <c r="C22" s="666"/>
      <c r="D22" s="196"/>
      <c r="E22" s="196"/>
      <c r="F22" s="196"/>
      <c r="G22" s="196"/>
      <c r="H22" s="196"/>
      <c r="I22" s="196"/>
      <c r="J22" s="270"/>
      <c r="K22" s="270"/>
      <c r="L22" s="270"/>
      <c r="M22" s="270"/>
      <c r="N22" s="270"/>
      <c r="O22" s="270"/>
      <c r="P22" s="270"/>
      <c r="Q22" s="270"/>
      <c r="R22" s="270"/>
      <c r="S22" s="310"/>
      <c r="T22" s="310"/>
      <c r="U22" s="296"/>
      <c r="V22" s="296"/>
      <c r="W22" s="296"/>
      <c r="X22" s="296"/>
      <c r="Y22" s="296"/>
      <c r="Z22" s="296"/>
      <c r="AA22" s="310"/>
      <c r="AB22" s="310"/>
      <c r="AC22" s="310"/>
      <c r="AD22" s="310"/>
      <c r="AE22" s="310"/>
      <c r="AF22" s="310"/>
      <c r="AG22" s="310"/>
      <c r="AH22" s="310"/>
      <c r="AI22" s="310"/>
      <c r="AJ22" s="310"/>
      <c r="AK22" s="668"/>
      <c r="BF22" s="1511"/>
      <c r="BG22" s="1513"/>
      <c r="BH22" s="1510"/>
      <c r="BI22" s="1515"/>
      <c r="BJ22" s="1511"/>
      <c r="BK22" s="1511"/>
      <c r="BL22" s="1512"/>
    </row>
    <row r="23" spans="3:64" ht="12.75" thickBot="1">
      <c r="C23" s="666"/>
      <c r="D23" s="667" t="s">
        <v>988</v>
      </c>
      <c r="E23" s="196"/>
      <c r="F23" s="196"/>
      <c r="G23" s="196"/>
      <c r="H23" s="196"/>
      <c r="I23" s="196"/>
      <c r="J23" s="270"/>
      <c r="K23" s="271"/>
      <c r="L23" s="271"/>
      <c r="M23" s="271"/>
      <c r="N23" s="271"/>
      <c r="O23" s="271"/>
      <c r="P23" s="271"/>
      <c r="Q23" s="271"/>
      <c r="R23" s="271"/>
      <c r="S23" s="271"/>
      <c r="T23" s="271"/>
      <c r="U23" s="1789">
        <f>'Determination Lookup'!N10</f>
        <v>2046.2315172530705</v>
      </c>
      <c r="V23" s="1789">
        <f>'Determination Lookup'!O10</f>
        <v>1858.5664789427162</v>
      </c>
      <c r="W23" s="1789">
        <f>'Determination Lookup'!P10</f>
        <v>1893.0493600804243</v>
      </c>
      <c r="X23" s="1789">
        <f>'Determination Lookup'!Q10</f>
        <v>1925.145146714148</v>
      </c>
      <c r="Y23" s="1789">
        <f>'Determination Lookup'!R10</f>
        <v>1940.8329096597854</v>
      </c>
      <c r="Z23" s="1789">
        <f>'Determination Lookup'!S10</f>
        <v>1958.4335203749017</v>
      </c>
      <c r="AA23" s="1839">
        <f t="shared" ref="AA23:AF23" ca="1" si="3">+SUM(AA15:AA22)</f>
        <v>1929.643416118794</v>
      </c>
      <c r="AB23" s="272">
        <f t="shared" ca="1" si="3"/>
        <v>1983.0288928167606</v>
      </c>
      <c r="AC23" s="272">
        <f t="shared" ca="1" si="3"/>
        <v>2046.3168200095809</v>
      </c>
      <c r="AD23" s="272">
        <f t="shared" ca="1" si="3"/>
        <v>2066.00886448548</v>
      </c>
      <c r="AE23" s="272">
        <f t="shared" ca="1" si="3"/>
        <v>2107.3949994914656</v>
      </c>
      <c r="AF23" s="272">
        <f t="shared" ca="1" si="3"/>
        <v>2174.3164651308389</v>
      </c>
      <c r="AG23" s="272">
        <f ca="1">+SUM(AG15:AG22)</f>
        <v>2253.6926450828537</v>
      </c>
      <c r="AH23" s="272">
        <f ca="1">+SUM(AH15:AH22)</f>
        <v>2275.4042948123283</v>
      </c>
      <c r="AI23" s="272">
        <f ca="1">+SUM(AI15:AI22)</f>
        <v>2312.3961382469506</v>
      </c>
      <c r="AJ23" s="272">
        <f ca="1">+SUM(AJ15:AJ22)</f>
        <v>2359.6732068373431</v>
      </c>
      <c r="AK23" s="668"/>
      <c r="BF23" s="1511"/>
      <c r="BG23" s="1513"/>
      <c r="BH23" s="1510"/>
      <c r="BI23" s="1515"/>
      <c r="BJ23" s="1511"/>
      <c r="BK23" s="1511"/>
      <c r="BL23" s="1512"/>
    </row>
    <row r="24" spans="3:64">
      <c r="C24" s="666"/>
      <c r="D24" s="196"/>
      <c r="E24" s="196"/>
      <c r="F24" s="196"/>
      <c r="G24" s="196"/>
      <c r="H24" s="196"/>
      <c r="I24" s="196"/>
      <c r="J24" s="111"/>
      <c r="K24" s="270"/>
      <c r="L24" s="669"/>
      <c r="M24" s="270"/>
      <c r="N24" s="270"/>
      <c r="O24" s="270"/>
      <c r="P24" s="270"/>
      <c r="Q24" s="270"/>
      <c r="R24" s="270"/>
      <c r="S24" s="310"/>
      <c r="T24" s="310"/>
      <c r="U24" s="296"/>
      <c r="V24" s="296"/>
      <c r="W24" s="296"/>
      <c r="X24" s="296"/>
      <c r="Y24" s="296"/>
      <c r="Z24" s="296"/>
      <c r="AA24" s="310"/>
      <c r="AB24" s="310"/>
      <c r="AC24" s="310"/>
      <c r="AD24" s="310"/>
      <c r="AE24" s="2056"/>
      <c r="AF24" s="310"/>
      <c r="AG24" s="310"/>
      <c r="AH24" s="310"/>
      <c r="AI24" s="310"/>
      <c r="AJ24" s="310"/>
      <c r="AK24" s="668"/>
    </row>
    <row r="25" spans="3:64" ht="12.75" thickBot="1">
      <c r="C25" s="670"/>
      <c r="D25" s="634"/>
      <c r="E25" s="634"/>
      <c r="F25" s="634"/>
      <c r="G25" s="634"/>
      <c r="H25" s="634"/>
      <c r="I25" s="634"/>
      <c r="J25" s="611"/>
      <c r="K25" s="292"/>
      <c r="L25" s="292"/>
      <c r="M25" s="292"/>
      <c r="N25" s="292"/>
      <c r="O25" s="292"/>
      <c r="P25" s="292"/>
      <c r="Q25" s="292"/>
      <c r="R25" s="292"/>
      <c r="S25" s="565"/>
      <c r="T25" s="565"/>
      <c r="U25" s="634"/>
      <c r="V25" s="634"/>
      <c r="W25" s="634"/>
      <c r="X25" s="634"/>
      <c r="Y25" s="634"/>
      <c r="Z25" s="634"/>
      <c r="AA25" s="565"/>
      <c r="AB25" s="565"/>
      <c r="AC25" s="565"/>
      <c r="AD25" s="565"/>
      <c r="AE25" s="565"/>
      <c r="AF25" s="565"/>
      <c r="AG25" s="565"/>
      <c r="AH25" s="565"/>
      <c r="AI25" s="565"/>
      <c r="AJ25" s="565"/>
      <c r="AK25" s="563"/>
    </row>
    <row r="26" spans="3:64" ht="12.75" thickBot="1">
      <c r="J26" s="111"/>
      <c r="K26" s="111"/>
      <c r="L26" s="111"/>
      <c r="M26" s="111"/>
      <c r="N26" s="111"/>
      <c r="O26" s="111"/>
      <c r="P26" s="111"/>
      <c r="Q26" s="111"/>
      <c r="R26" s="111"/>
      <c r="S26" s="116"/>
      <c r="T26" s="116"/>
      <c r="U26" s="116"/>
      <c r="V26" s="116"/>
      <c r="W26" s="116"/>
      <c r="X26" s="116"/>
      <c r="Y26" s="116"/>
      <c r="Z26" s="116"/>
      <c r="AA26" s="116"/>
      <c r="AB26" s="116"/>
      <c r="AC26" s="116"/>
      <c r="AD26" s="116"/>
      <c r="AE26" s="116"/>
      <c r="AF26" s="116"/>
      <c r="AG26" s="116"/>
      <c r="AH26" s="116"/>
      <c r="AI26" s="116"/>
      <c r="AJ26" s="116"/>
      <c r="AS26" s="1507"/>
      <c r="BB26" s="1507"/>
    </row>
    <row r="27" spans="3:64">
      <c r="C27" s="152"/>
      <c r="D27" s="153"/>
      <c r="E27" s="153"/>
      <c r="F27" s="153"/>
      <c r="G27" s="153"/>
      <c r="H27" s="153"/>
      <c r="I27" s="153"/>
      <c r="J27" s="671"/>
      <c r="K27" s="671"/>
      <c r="L27" s="671"/>
      <c r="M27" s="671"/>
      <c r="N27" s="671"/>
      <c r="O27" s="671"/>
      <c r="P27" s="671"/>
      <c r="Q27" s="671"/>
      <c r="R27" s="671"/>
      <c r="S27" s="672"/>
      <c r="T27" s="672"/>
      <c r="U27" s="672"/>
      <c r="V27" s="672"/>
      <c r="W27" s="672"/>
      <c r="X27" s="672"/>
      <c r="Y27" s="672"/>
      <c r="Z27" s="672"/>
      <c r="AA27" s="672"/>
      <c r="AB27" s="672"/>
      <c r="AC27" s="672"/>
      <c r="AD27" s="672"/>
      <c r="AE27" s="672"/>
      <c r="AF27" s="672"/>
      <c r="AG27" s="672"/>
      <c r="AH27" s="672"/>
      <c r="AI27" s="672"/>
      <c r="AJ27" s="672"/>
      <c r="AK27" s="154"/>
      <c r="AS27" s="1507"/>
      <c r="BB27" s="1507"/>
    </row>
    <row r="28" spans="3:64">
      <c r="C28" s="155"/>
      <c r="D28" s="215" t="s">
        <v>989</v>
      </c>
      <c r="J28" s="111"/>
      <c r="K28" s="111"/>
      <c r="L28" s="111"/>
      <c r="M28" s="111"/>
      <c r="N28" s="111"/>
      <c r="O28" s="111"/>
      <c r="P28" s="111"/>
      <c r="Q28" s="111"/>
      <c r="R28" s="111"/>
      <c r="S28" s="673"/>
      <c r="T28" s="673"/>
      <c r="U28" s="673">
        <v>0.3</v>
      </c>
      <c r="V28" s="673">
        <v>0.3</v>
      </c>
      <c r="W28" s="673">
        <v>0.3</v>
      </c>
      <c r="X28" s="673">
        <v>0.3</v>
      </c>
      <c r="Y28" s="673">
        <v>0.3</v>
      </c>
      <c r="Z28" s="673">
        <v>0.3</v>
      </c>
      <c r="AA28" s="692">
        <v>0.3</v>
      </c>
      <c r="AB28" s="693">
        <v>0.3</v>
      </c>
      <c r="AC28" s="693">
        <v>0.3</v>
      </c>
      <c r="AD28" s="693">
        <v>0.3</v>
      </c>
      <c r="AE28" s="694">
        <v>0.3</v>
      </c>
      <c r="AF28" s="692">
        <v>0.3</v>
      </c>
      <c r="AG28" s="693">
        <v>0.3</v>
      </c>
      <c r="AH28" s="693">
        <v>0.3</v>
      </c>
      <c r="AI28" s="693">
        <v>0.3</v>
      </c>
      <c r="AJ28" s="694">
        <v>0.3</v>
      </c>
      <c r="AK28" s="157"/>
      <c r="AS28" s="1507"/>
      <c r="BB28" s="1507"/>
    </row>
    <row r="29" spans="3:64" ht="12.75" thickBot="1">
      <c r="C29" s="167"/>
      <c r="D29" s="168"/>
      <c r="E29" s="168"/>
      <c r="F29" s="168"/>
      <c r="G29" s="168"/>
      <c r="H29" s="168"/>
      <c r="I29" s="168"/>
      <c r="J29" s="611"/>
      <c r="K29" s="611"/>
      <c r="L29" s="611"/>
      <c r="M29" s="611"/>
      <c r="N29" s="611"/>
      <c r="O29" s="611"/>
      <c r="P29" s="611"/>
      <c r="Q29" s="611"/>
      <c r="R29" s="462"/>
      <c r="S29" s="462"/>
      <c r="T29" s="462"/>
      <c r="U29" s="462"/>
      <c r="V29" s="462"/>
      <c r="W29" s="462"/>
      <c r="X29" s="462"/>
      <c r="Y29" s="462"/>
      <c r="Z29" s="462"/>
      <c r="AA29" s="462"/>
      <c r="AB29" s="462"/>
      <c r="AC29" s="462"/>
      <c r="AD29" s="462"/>
      <c r="AE29" s="462"/>
      <c r="AF29" s="462"/>
      <c r="AG29" s="462"/>
      <c r="AH29" s="462"/>
      <c r="AI29" s="462"/>
      <c r="AJ29" s="462"/>
      <c r="AK29" s="170"/>
      <c r="AQ29" s="1511"/>
      <c r="AZ29" s="1511"/>
    </row>
    <row r="30" spans="3:64" ht="12.75" thickBot="1">
      <c r="C30" s="168"/>
      <c r="D30" s="168"/>
      <c r="E30" s="168"/>
      <c r="F30" s="168"/>
      <c r="G30" s="168"/>
      <c r="H30" s="168"/>
      <c r="I30" s="168"/>
      <c r="J30" s="611"/>
      <c r="K30" s="611"/>
      <c r="L30" s="611"/>
      <c r="M30" s="611"/>
      <c r="N30" s="611"/>
      <c r="O30" s="611"/>
      <c r="P30" s="611"/>
      <c r="Q30" s="611"/>
      <c r="R30" s="462"/>
      <c r="S30" s="462"/>
      <c r="T30" s="462"/>
      <c r="U30" s="462"/>
      <c r="V30" s="462"/>
      <c r="W30" s="462"/>
      <c r="X30" s="462"/>
      <c r="Y30" s="462"/>
      <c r="Z30" s="462"/>
      <c r="AA30" s="462"/>
      <c r="AB30" s="462"/>
      <c r="AC30" s="462"/>
      <c r="AD30" s="462"/>
      <c r="AE30" s="462"/>
      <c r="AF30" s="462"/>
      <c r="AG30" s="462"/>
      <c r="AH30" s="462"/>
      <c r="AI30" s="462"/>
      <c r="AJ30" s="462"/>
      <c r="AK30" s="168"/>
      <c r="AQ30" s="1511"/>
      <c r="AY30" s="842"/>
      <c r="AZ30" s="1514"/>
      <c r="BA30" s="1514"/>
      <c r="BB30" s="1514"/>
      <c r="BD30" s="1514"/>
      <c r="BE30" s="1514"/>
    </row>
    <row r="31" spans="3:64">
      <c r="C31" s="155"/>
      <c r="J31" s="111"/>
      <c r="K31" s="270"/>
      <c r="L31" s="270"/>
      <c r="M31" s="270"/>
      <c r="N31" s="270"/>
      <c r="O31" s="270"/>
      <c r="P31" s="270"/>
      <c r="Q31" s="270"/>
      <c r="R31" s="468"/>
      <c r="S31" s="468"/>
      <c r="T31" s="468"/>
      <c r="U31" s="468"/>
      <c r="V31" s="468"/>
      <c r="W31" s="468"/>
      <c r="X31" s="468"/>
      <c r="Y31" s="468"/>
      <c r="Z31" s="468"/>
      <c r="AA31" s="468"/>
      <c r="AB31" s="468"/>
      <c r="AC31" s="468"/>
      <c r="AD31" s="468"/>
      <c r="AE31" s="468"/>
      <c r="AF31" s="468"/>
      <c r="AG31" s="468"/>
      <c r="AH31" s="468"/>
      <c r="AI31" s="468"/>
      <c r="AJ31" s="468"/>
      <c r="AK31" s="157"/>
      <c r="AQ31" s="1511"/>
      <c r="AY31" s="842"/>
      <c r="AZ31" s="1514"/>
      <c r="BA31" s="1514"/>
      <c r="BB31" s="1514"/>
      <c r="BD31" s="1514"/>
      <c r="BE31" s="1514"/>
    </row>
    <row r="32" spans="3:64">
      <c r="C32" s="155"/>
      <c r="D32" s="674" t="s">
        <v>981</v>
      </c>
      <c r="J32" s="111"/>
      <c r="K32" s="270"/>
      <c r="L32" s="270"/>
      <c r="M32" s="270"/>
      <c r="N32" s="270"/>
      <c r="O32" s="270"/>
      <c r="P32" s="270"/>
      <c r="Q32" s="270"/>
      <c r="R32" s="468"/>
      <c r="S32" s="468"/>
      <c r="T32" s="468"/>
      <c r="U32" s="468"/>
      <c r="V32" s="468"/>
      <c r="W32" s="468"/>
      <c r="X32" s="468"/>
      <c r="Y32" s="468"/>
      <c r="Z32" s="468"/>
      <c r="AA32" s="468"/>
      <c r="AB32" s="468"/>
      <c r="AC32" s="468"/>
      <c r="AD32" s="468"/>
      <c r="AE32" s="468"/>
      <c r="AF32" s="468"/>
      <c r="AG32" s="468"/>
      <c r="AH32" s="468"/>
      <c r="AI32" s="468"/>
      <c r="AJ32" s="468"/>
      <c r="AK32" s="157"/>
      <c r="AQ32" s="1511"/>
      <c r="AY32" s="842"/>
      <c r="AZ32" s="1514"/>
      <c r="BA32" s="1514"/>
      <c r="BB32" s="1514"/>
      <c r="BD32" s="1514"/>
      <c r="BE32" s="1514"/>
    </row>
    <row r="33" spans="3:57">
      <c r="C33" s="155"/>
      <c r="J33" s="111"/>
      <c r="K33" s="270"/>
      <c r="L33" s="270"/>
      <c r="M33" s="270"/>
      <c r="N33" s="270"/>
      <c r="O33" s="270"/>
      <c r="P33" s="270"/>
      <c r="Q33" s="270"/>
      <c r="R33" s="468"/>
      <c r="S33" s="468"/>
      <c r="T33" s="468"/>
      <c r="U33" s="468"/>
      <c r="V33" s="468"/>
      <c r="W33" s="468"/>
      <c r="X33" s="468"/>
      <c r="Y33" s="468"/>
      <c r="Z33" s="468"/>
      <c r="AA33" s="468"/>
      <c r="AB33" s="468"/>
      <c r="AC33" s="468"/>
      <c r="AD33" s="468"/>
      <c r="AE33" s="468"/>
      <c r="AF33" s="468"/>
      <c r="AG33" s="468"/>
      <c r="AH33" s="468"/>
      <c r="AI33" s="468"/>
      <c r="AJ33" s="468"/>
      <c r="AK33" s="157"/>
      <c r="AO33" s="1476"/>
      <c r="AP33" s="1476"/>
      <c r="AQ33" s="1511"/>
      <c r="AY33" s="842"/>
      <c r="AZ33" s="1514"/>
      <c r="BA33" s="1514"/>
      <c r="BB33" s="1514"/>
      <c r="BD33" s="1514"/>
      <c r="BE33" s="1514"/>
    </row>
    <row r="34" spans="3:57">
      <c r="C34" s="155"/>
      <c r="J34" s="67"/>
      <c r="K34" s="211"/>
      <c r="L34" s="211"/>
      <c r="M34" s="211"/>
      <c r="N34" s="211"/>
      <c r="O34" s="211"/>
      <c r="P34" s="211"/>
      <c r="Q34" s="211"/>
      <c r="R34" s="211"/>
      <c r="S34" s="166"/>
      <c r="T34" s="166"/>
      <c r="U34" s="166"/>
      <c r="V34" s="166"/>
      <c r="W34" s="166"/>
      <c r="X34" s="166"/>
      <c r="Y34" s="166"/>
      <c r="Z34" s="166"/>
      <c r="AA34" s="166"/>
      <c r="AB34" s="166"/>
      <c r="AC34" s="166"/>
      <c r="AD34" s="166"/>
      <c r="AE34" s="166"/>
      <c r="AF34" s="166"/>
      <c r="AG34" s="166"/>
      <c r="AH34" s="166"/>
      <c r="AI34" s="166"/>
      <c r="AJ34" s="166"/>
      <c r="AK34" s="157"/>
      <c r="AO34" s="1476"/>
      <c r="AP34" s="1476"/>
      <c r="AY34" s="842"/>
      <c r="AZ34" s="1514"/>
      <c r="BA34" s="1514"/>
      <c r="BB34" s="1514"/>
      <c r="BD34" s="1514"/>
      <c r="BE34" s="1514"/>
    </row>
    <row r="35" spans="3:57">
      <c r="C35" s="155"/>
      <c r="E35" s="674" t="s">
        <v>990</v>
      </c>
      <c r="J35" s="67"/>
      <c r="K35" s="211"/>
      <c r="L35" s="211"/>
      <c r="M35" s="211"/>
      <c r="N35" s="211"/>
      <c r="O35" s="211"/>
      <c r="P35" s="211"/>
      <c r="Q35" s="211"/>
      <c r="R35" s="211"/>
      <c r="S35" s="166"/>
      <c r="T35" s="166"/>
      <c r="U35" s="166"/>
      <c r="V35" s="166"/>
      <c r="W35" s="166"/>
      <c r="X35" s="166"/>
      <c r="Y35" s="166"/>
      <c r="Z35" s="166"/>
      <c r="AA35" s="166"/>
      <c r="AB35" s="166"/>
      <c r="AC35" s="166"/>
      <c r="AD35" s="166"/>
      <c r="AE35" s="166"/>
      <c r="AF35" s="166"/>
      <c r="AG35" s="166"/>
      <c r="AH35" s="166"/>
      <c r="AI35" s="166"/>
      <c r="AJ35" s="166"/>
      <c r="AK35" s="157"/>
      <c r="AO35" s="1476"/>
      <c r="AP35" s="1476"/>
      <c r="AZ35" s="1477"/>
      <c r="BA35" s="842"/>
      <c r="BB35" s="842"/>
      <c r="BD35" s="842"/>
      <c r="BE35" s="842"/>
    </row>
    <row r="36" spans="3:57">
      <c r="C36" s="155"/>
      <c r="J36" s="675"/>
      <c r="K36" s="67"/>
      <c r="L36" s="676"/>
      <c r="M36" s="211"/>
      <c r="N36" s="677"/>
      <c r="O36" s="677"/>
      <c r="P36" s="67"/>
      <c r="Q36" s="211"/>
      <c r="R36" s="211"/>
      <c r="S36" s="166"/>
      <c r="T36" s="166"/>
      <c r="U36" s="196"/>
      <c r="V36" s="596"/>
      <c r="W36" s="596"/>
      <c r="X36" s="678"/>
      <c r="Y36" s="678"/>
      <c r="AA36" s="166"/>
      <c r="AB36" s="596"/>
      <c r="AC36" s="596"/>
      <c r="AD36" s="596"/>
      <c r="AE36" s="596"/>
      <c r="AF36" s="596"/>
      <c r="AG36" s="596"/>
      <c r="AH36" s="596"/>
      <c r="AI36" s="596"/>
      <c r="AJ36" s="596"/>
      <c r="AK36" s="157"/>
    </row>
    <row r="37" spans="3:57">
      <c r="C37" s="155"/>
      <c r="F37" s="63" t="s">
        <v>784</v>
      </c>
      <c r="J37" s="520"/>
      <c r="K37" s="520"/>
      <c r="L37" s="520"/>
      <c r="M37" s="520"/>
      <c r="N37" s="520"/>
      <c r="O37" s="520"/>
      <c r="P37" s="520"/>
      <c r="Q37" s="520"/>
      <c r="R37" s="520"/>
      <c r="S37" s="166"/>
      <c r="T37" s="166"/>
      <c r="U37" s="447">
        <f>+RollForward_FO!U24</f>
        <v>13681.353036332999</v>
      </c>
      <c r="V37" s="270">
        <f>+RollForward_FO!V24</f>
        <v>13974.996721133981</v>
      </c>
      <c r="W37" s="270">
        <f>+RollForward_FO!W24</f>
        <v>14252.112733443315</v>
      </c>
      <c r="X37" s="270">
        <f>+RollForward_FO!X24</f>
        <v>14629.706817244683</v>
      </c>
      <c r="Y37" s="270">
        <f>+RollForward_FO!Y24</f>
        <v>15089.678563567777</v>
      </c>
      <c r="Z37" s="270">
        <f>+RollForward_FO!Z24</f>
        <v>15621.166079286351</v>
      </c>
      <c r="AA37" s="458">
        <f t="shared" ref="AA37:AJ37" si="4">Z43</f>
        <v>15733.028038124707</v>
      </c>
      <c r="AB37" s="468">
        <f t="shared" si="4"/>
        <v>15404.782063377126</v>
      </c>
      <c r="AC37" s="468">
        <f t="shared" si="4"/>
        <v>15077.960240919849</v>
      </c>
      <c r="AD37" s="468">
        <f t="shared" si="4"/>
        <v>14757.155054713678</v>
      </c>
      <c r="AE37" s="468">
        <f t="shared" si="4"/>
        <v>14467.356756868503</v>
      </c>
      <c r="AF37" s="468">
        <f t="shared" si="4"/>
        <v>14200.829818895205</v>
      </c>
      <c r="AG37" s="468">
        <f t="shared" si="4"/>
        <v>13944.708709696555</v>
      </c>
      <c r="AH37" s="468">
        <f t="shared" si="4"/>
        <v>13688.587600497905</v>
      </c>
      <c r="AI37" s="468">
        <f t="shared" si="4"/>
        <v>13432.466491299256</v>
      </c>
      <c r="AJ37" s="468">
        <f t="shared" si="4"/>
        <v>13176.345382100606</v>
      </c>
      <c r="AK37" s="157"/>
    </row>
    <row r="38" spans="3:57">
      <c r="C38" s="155"/>
      <c r="F38" s="63" t="s">
        <v>991</v>
      </c>
      <c r="J38" s="270"/>
      <c r="K38" s="270"/>
      <c r="L38" s="270"/>
      <c r="M38" s="270"/>
      <c r="N38" s="270"/>
      <c r="O38" s="270"/>
      <c r="P38" s="270"/>
      <c r="Q38" s="270"/>
      <c r="R38" s="270"/>
      <c r="S38" s="166"/>
      <c r="T38" s="166"/>
      <c r="U38" s="296">
        <f>+RollForward_FO!U25</f>
        <v>797.02440927545513</v>
      </c>
      <c r="V38" s="296">
        <f>+RollForward_FO!V25</f>
        <v>751.86183677857571</v>
      </c>
      <c r="W38" s="296">
        <f>+RollForward_FO!W25</f>
        <v>883.33185422705719</v>
      </c>
      <c r="X38" s="296">
        <f>+RollForward_FO!X25</f>
        <v>975.48484394204763</v>
      </c>
      <c r="Y38" s="296">
        <f>+RollForward_FO!Y25</f>
        <v>1058.7332364874123</v>
      </c>
      <c r="Z38" s="296">
        <f>+RollForward_FO!Z25</f>
        <v>678.85510206620143</v>
      </c>
      <c r="AA38" s="296"/>
      <c r="AB38" s="296"/>
      <c r="AC38" s="296"/>
      <c r="AD38" s="296"/>
      <c r="AE38" s="296"/>
      <c r="AF38" s="296"/>
      <c r="AG38" s="296"/>
      <c r="AH38" s="296"/>
      <c r="AI38" s="296"/>
      <c r="AJ38" s="296"/>
      <c r="AK38" s="157"/>
    </row>
    <row r="39" spans="3:57">
      <c r="C39" s="155"/>
      <c r="F39" s="63" t="s">
        <v>992</v>
      </c>
      <c r="J39" s="270"/>
      <c r="K39" s="270"/>
      <c r="L39" s="270"/>
      <c r="M39" s="270"/>
      <c r="N39" s="270"/>
      <c r="O39" s="270"/>
      <c r="P39" s="270"/>
      <c r="Q39" s="270"/>
      <c r="R39" s="270"/>
      <c r="S39" s="166"/>
      <c r="T39" s="166"/>
      <c r="U39" s="468">
        <f>+RollForward_FO!U27</f>
        <v>210.8960332453432</v>
      </c>
      <c r="V39" s="468">
        <f>+RollForward_FO!V27</f>
        <v>230.07077214842749</v>
      </c>
      <c r="W39" s="468">
        <f>+RollForward_FO!W27</f>
        <v>244.47369722033895</v>
      </c>
      <c r="X39" s="468">
        <f>+RollForward_FO!X27</f>
        <v>229.85439754180234</v>
      </c>
      <c r="Y39" s="468">
        <f>+RollForward_FO!Y27</f>
        <v>222.79739963284294</v>
      </c>
      <c r="Z39" s="468">
        <f>+RollForward_FO!Z27</f>
        <v>244.65017134288519</v>
      </c>
      <c r="AA39" s="296"/>
      <c r="AB39" s="296"/>
      <c r="AC39" s="296"/>
      <c r="AD39" s="296"/>
      <c r="AE39" s="296"/>
      <c r="AF39" s="296"/>
      <c r="AG39" s="296"/>
      <c r="AH39" s="296"/>
      <c r="AI39" s="296"/>
      <c r="AJ39" s="296"/>
      <c r="AK39" s="157"/>
    </row>
    <row r="40" spans="3:57">
      <c r="C40" s="155"/>
      <c r="F40" s="63" t="s">
        <v>993</v>
      </c>
      <c r="J40" s="270"/>
      <c r="K40" s="270"/>
      <c r="L40" s="270"/>
      <c r="M40" s="270"/>
      <c r="N40" s="270"/>
      <c r="O40" s="270"/>
      <c r="P40" s="270"/>
      <c r="Q40" s="270"/>
      <c r="R40" s="270"/>
      <c r="S40" s="166"/>
      <c r="T40" s="166"/>
      <c r="U40" s="468">
        <f>+RollForward_FO!U26</f>
        <v>0</v>
      </c>
      <c r="V40" s="468">
        <f>+RollForward_FO!V26</f>
        <v>0</v>
      </c>
      <c r="W40" s="468">
        <f>+RollForward_FO!W26</f>
        <v>0</v>
      </c>
      <c r="X40" s="468">
        <f>+RollForward_FO!X26</f>
        <v>0</v>
      </c>
      <c r="Y40" s="468">
        <f>+RollForward_FO!Y26</f>
        <v>0</v>
      </c>
      <c r="Z40" s="468">
        <f>+RollForward_FO!Z26</f>
        <v>0</v>
      </c>
      <c r="AA40" s="296"/>
      <c r="AB40" s="296"/>
      <c r="AC40" s="296"/>
      <c r="AD40" s="296"/>
      <c r="AE40" s="296"/>
      <c r="AF40" s="296"/>
      <c r="AG40" s="296"/>
      <c r="AH40" s="296"/>
      <c r="AI40" s="296"/>
      <c r="AJ40" s="296"/>
      <c r="AK40" s="157"/>
    </row>
    <row r="41" spans="3:57">
      <c r="C41" s="175"/>
      <c r="D41" s="67"/>
      <c r="E41" s="67"/>
      <c r="F41" s="67" t="s">
        <v>994</v>
      </c>
      <c r="G41" s="67"/>
      <c r="H41" s="67"/>
      <c r="I41" s="67"/>
      <c r="J41" s="270"/>
      <c r="K41" s="270"/>
      <c r="L41" s="270"/>
      <c r="M41" s="270"/>
      <c r="N41" s="270"/>
      <c r="O41" s="270"/>
      <c r="P41" s="270"/>
      <c r="Q41" s="270"/>
      <c r="R41" s="270"/>
      <c r="S41" s="166"/>
      <c r="T41" s="166"/>
      <c r="U41" s="468">
        <f>RollForward_FO!U17</f>
        <v>288.4049501609511</v>
      </c>
      <c r="V41" s="468">
        <f>RollForward_FO!V17</f>
        <v>230.85872922959416</v>
      </c>
      <c r="W41" s="468">
        <f>RollForward_FO!W17</f>
        <v>256.53926889704508</v>
      </c>
      <c r="X41" s="468">
        <f>RollForward_FO!X17</f>
        <v>282.97186436577152</v>
      </c>
      <c r="Y41" s="468">
        <f>RollForward_FO!Y17</f>
        <v>302.77997032278677</v>
      </c>
      <c r="Z41" s="468">
        <f>RollForward_FO!Z17</f>
        <v>319.79709441607048</v>
      </c>
      <c r="AA41" s="458">
        <f>+RollForward_FO!AA15</f>
        <v>320.6074143518594</v>
      </c>
      <c r="AB41" s="270">
        <f>+RollForward_FO!AB15</f>
        <v>320.6074143518594</v>
      </c>
      <c r="AC41" s="270">
        <f>+RollForward_FO!AC15</f>
        <v>315.18775144704836</v>
      </c>
      <c r="AD41" s="270">
        <f>+RollForward_FO!AD15</f>
        <v>284.1808630860516</v>
      </c>
      <c r="AE41" s="270">
        <f>+RollForward_FO!AE15</f>
        <v>262.35880673737984</v>
      </c>
      <c r="AF41" s="270">
        <f>+RollForward_FO!AF15</f>
        <v>251.95297796273093</v>
      </c>
      <c r="AG41" s="270">
        <f>+RollForward_FO!AG15</f>
        <v>251.95297796273093</v>
      </c>
      <c r="AH41" s="270">
        <f>+RollForward_FO!AH15</f>
        <v>251.95297796273093</v>
      </c>
      <c r="AI41" s="270">
        <f>+RollForward_FO!AI15</f>
        <v>251.95297796273093</v>
      </c>
      <c r="AJ41" s="270">
        <f>+RollForward_FO!AJ15</f>
        <v>251.95297796273093</v>
      </c>
      <c r="AK41" s="157"/>
    </row>
    <row r="42" spans="3:57">
      <c r="C42" s="155"/>
      <c r="F42" s="63" t="s">
        <v>995</v>
      </c>
      <c r="J42" s="270"/>
      <c r="K42" s="270"/>
      <c r="L42" s="270"/>
      <c r="M42" s="270"/>
      <c r="N42" s="270"/>
      <c r="O42" s="270"/>
      <c r="P42" s="270"/>
      <c r="Q42" s="270"/>
      <c r="R42" s="270"/>
      <c r="S42" s="166"/>
      <c r="T42" s="166"/>
      <c r="U42" s="468">
        <f>Summary_FO!Z25</f>
        <v>4.0797410681779471</v>
      </c>
      <c r="V42" s="468">
        <f>Summary_FO!AA25</f>
        <v>13.816323091221374</v>
      </c>
      <c r="W42" s="468">
        <f>Summary_FO!AB25</f>
        <v>4.7248043083050844</v>
      </c>
      <c r="X42" s="468">
        <f>Summary_FO!AC25</f>
        <v>2.6868357113800907</v>
      </c>
      <c r="Y42" s="468">
        <f>Summary_FO!AD25</f>
        <v>1.6683508132096068</v>
      </c>
      <c r="Z42" s="468">
        <f>Summary_FO!AE25</f>
        <v>2.545877468891403</v>
      </c>
      <c r="AA42" s="468">
        <f>Summary_FO!AF25</f>
        <v>7.6385603957206714</v>
      </c>
      <c r="AB42" s="468">
        <f>Summary_FO!AG25</f>
        <v>6.2144081054172808</v>
      </c>
      <c r="AC42" s="468">
        <f>Summary_FO!AH25</f>
        <v>5.617434759122248</v>
      </c>
      <c r="AD42" s="468">
        <f>Summary_FO!AI25</f>
        <v>5.617434759122248</v>
      </c>
      <c r="AE42" s="468">
        <f>Summary_FO!AJ25</f>
        <v>4.168131235919085</v>
      </c>
      <c r="AF42" s="468">
        <f>Summary_FO!AK25</f>
        <v>4.168131235919085</v>
      </c>
      <c r="AG42" s="468">
        <f>Summary_FO!AL25</f>
        <v>4.168131235919085</v>
      </c>
      <c r="AH42" s="468">
        <f>Summary_FO!AM25</f>
        <v>4.168131235919085</v>
      </c>
      <c r="AI42" s="468">
        <f>Summary_FO!AN25</f>
        <v>4.168131235919085</v>
      </c>
      <c r="AJ42" s="468">
        <f>Summary_FO!AO25</f>
        <v>4.168131235919085</v>
      </c>
      <c r="AK42" s="157"/>
    </row>
    <row r="43" spans="3:57">
      <c r="C43" s="155"/>
      <c r="F43" s="63" t="s">
        <v>785</v>
      </c>
      <c r="J43" s="270"/>
      <c r="K43" s="312"/>
      <c r="L43" s="312"/>
      <c r="M43" s="312"/>
      <c r="N43" s="312"/>
      <c r="O43" s="312"/>
      <c r="P43" s="312"/>
      <c r="Q43" s="312"/>
      <c r="R43" s="312"/>
      <c r="S43" s="517"/>
      <c r="T43" s="517"/>
      <c r="U43" s="517">
        <f t="shared" ref="U43:AJ43" si="5">+SUM(U37:U38)-SUM(U39:U42)</f>
        <v>13974.996721133981</v>
      </c>
      <c r="V43" s="517">
        <f t="shared" si="5"/>
        <v>14252.112733443315</v>
      </c>
      <c r="W43" s="517">
        <f t="shared" si="5"/>
        <v>14629.706817244683</v>
      </c>
      <c r="X43" s="517">
        <f t="shared" si="5"/>
        <v>15089.678563567777</v>
      </c>
      <c r="Y43" s="517">
        <f t="shared" si="5"/>
        <v>15621.166079286351</v>
      </c>
      <c r="Z43" s="517">
        <f t="shared" si="5"/>
        <v>15733.028038124707</v>
      </c>
      <c r="AA43" s="517">
        <f t="shared" si="5"/>
        <v>15404.782063377126</v>
      </c>
      <c r="AB43" s="517">
        <f t="shared" si="5"/>
        <v>15077.960240919849</v>
      </c>
      <c r="AC43" s="517">
        <f t="shared" si="5"/>
        <v>14757.155054713678</v>
      </c>
      <c r="AD43" s="517">
        <f t="shared" si="5"/>
        <v>14467.356756868503</v>
      </c>
      <c r="AE43" s="517">
        <f t="shared" si="5"/>
        <v>14200.829818895205</v>
      </c>
      <c r="AF43" s="517">
        <f t="shared" si="5"/>
        <v>13944.708709696555</v>
      </c>
      <c r="AG43" s="517">
        <f t="shared" si="5"/>
        <v>13688.587600497905</v>
      </c>
      <c r="AH43" s="517">
        <f t="shared" si="5"/>
        <v>13432.466491299256</v>
      </c>
      <c r="AI43" s="517">
        <f t="shared" si="5"/>
        <v>13176.345382100606</v>
      </c>
      <c r="AJ43" s="517">
        <f t="shared" si="5"/>
        <v>12920.224272901956</v>
      </c>
      <c r="AK43" s="157"/>
    </row>
    <row r="44" spans="3:57">
      <c r="C44" s="155"/>
      <c r="J44" s="270"/>
      <c r="K44" s="270"/>
      <c r="L44" s="270"/>
      <c r="M44" s="270"/>
      <c r="N44" s="270"/>
      <c r="O44" s="270"/>
      <c r="P44" s="270"/>
      <c r="Q44" s="270"/>
      <c r="R44" s="270"/>
      <c r="S44" s="468"/>
      <c r="T44" s="468"/>
      <c r="U44" s="468"/>
      <c r="V44" s="468"/>
      <c r="W44" s="468"/>
      <c r="X44" s="468"/>
      <c r="Y44" s="468"/>
      <c r="Z44" s="468"/>
      <c r="AA44" s="468"/>
      <c r="AB44" s="468"/>
      <c r="AC44" s="468"/>
      <c r="AD44" s="468"/>
      <c r="AE44" s="468"/>
      <c r="AF44" s="468"/>
      <c r="AG44" s="468"/>
      <c r="AH44" s="468"/>
      <c r="AI44" s="468"/>
      <c r="AJ44" s="468"/>
      <c r="AK44" s="157"/>
    </row>
    <row r="45" spans="3:57">
      <c r="C45" s="155"/>
      <c r="F45" s="63" t="s">
        <v>996</v>
      </c>
      <c r="J45" s="270"/>
      <c r="K45" s="270"/>
      <c r="L45" s="270"/>
      <c r="M45" s="270"/>
      <c r="N45" s="270"/>
      <c r="O45" s="270"/>
      <c r="P45" s="270"/>
      <c r="Q45" s="270"/>
      <c r="R45" s="270"/>
      <c r="S45" s="468"/>
      <c r="T45" s="468"/>
      <c r="U45" s="468">
        <f t="shared" ref="U45:AJ45" si="6">+AVERAGE(U37,U43)</f>
        <v>13828.174878733491</v>
      </c>
      <c r="V45" s="468">
        <f t="shared" si="6"/>
        <v>14113.554727288647</v>
      </c>
      <c r="W45" s="468">
        <f t="shared" si="6"/>
        <v>14440.909775344</v>
      </c>
      <c r="X45" s="468">
        <f t="shared" si="6"/>
        <v>14859.692690406231</v>
      </c>
      <c r="Y45" s="468">
        <f t="shared" si="6"/>
        <v>15355.422321427064</v>
      </c>
      <c r="Z45" s="468">
        <f t="shared" si="6"/>
        <v>15677.097058705529</v>
      </c>
      <c r="AA45" s="468">
        <f t="shared" si="6"/>
        <v>15568.905050750916</v>
      </c>
      <c r="AB45" s="468">
        <f t="shared" si="6"/>
        <v>15241.371152148487</v>
      </c>
      <c r="AC45" s="468">
        <f t="shared" si="6"/>
        <v>14917.557647816764</v>
      </c>
      <c r="AD45" s="468">
        <f t="shared" si="6"/>
        <v>14612.255905791091</v>
      </c>
      <c r="AE45" s="468">
        <f t="shared" si="6"/>
        <v>14334.093287881853</v>
      </c>
      <c r="AF45" s="468">
        <f t="shared" si="6"/>
        <v>14072.769264295879</v>
      </c>
      <c r="AG45" s="468">
        <f t="shared" si="6"/>
        <v>13816.648155097231</v>
      </c>
      <c r="AH45" s="468">
        <f t="shared" si="6"/>
        <v>13560.52704589858</v>
      </c>
      <c r="AI45" s="468">
        <f t="shared" si="6"/>
        <v>13304.405936699932</v>
      </c>
      <c r="AJ45" s="468">
        <f t="shared" si="6"/>
        <v>13048.28482750128</v>
      </c>
      <c r="AK45" s="157"/>
    </row>
    <row r="46" spans="3:57">
      <c r="C46" s="155"/>
      <c r="J46" s="270"/>
      <c r="K46" s="270"/>
      <c r="L46" s="270"/>
      <c r="M46" s="270"/>
      <c r="N46" s="270"/>
      <c r="O46" s="270"/>
      <c r="P46" s="270"/>
      <c r="Q46" s="270"/>
      <c r="R46" s="270"/>
      <c r="S46" s="468"/>
      <c r="T46" s="468"/>
      <c r="U46" s="468"/>
      <c r="V46" s="468"/>
      <c r="W46" s="468"/>
      <c r="X46" s="468"/>
      <c r="Y46" s="468"/>
      <c r="Z46" s="468"/>
      <c r="AA46" s="468"/>
      <c r="AB46" s="468"/>
      <c r="AC46" s="468"/>
      <c r="AD46" s="468"/>
      <c r="AE46" s="468"/>
      <c r="AF46" s="468"/>
      <c r="AG46" s="468"/>
      <c r="AH46" s="468"/>
      <c r="AI46" s="468"/>
      <c r="AJ46" s="468"/>
      <c r="AK46" s="157"/>
    </row>
    <row r="47" spans="3:57">
      <c r="C47" s="155"/>
      <c r="F47" s="63" t="s">
        <v>997</v>
      </c>
      <c r="J47" s="270"/>
      <c r="K47" s="679"/>
      <c r="L47" s="679"/>
      <c r="M47" s="679"/>
      <c r="N47" s="679"/>
      <c r="O47" s="679"/>
      <c r="P47" s="679"/>
      <c r="Q47" s="679"/>
      <c r="R47" s="679"/>
      <c r="S47" s="679"/>
      <c r="T47" s="679"/>
      <c r="U47" s="467">
        <f>'Determination Lookup'!N9</f>
        <v>591.85649524512405</v>
      </c>
      <c r="V47" s="467">
        <f>'Determination Lookup'!O9</f>
        <v>463.66710551089187</v>
      </c>
      <c r="W47" s="467">
        <f>'Determination Lookup'!P9</f>
        <v>484.24966165593241</v>
      </c>
      <c r="X47" s="467">
        <f>'Determination Lookup'!Q9</f>
        <v>502.33842413412361</v>
      </c>
      <c r="Y47" s="467">
        <f>'Determination Lookup'!R9</f>
        <v>514.8901392497047</v>
      </c>
      <c r="Z47" s="467">
        <f>'Determination Lookup'!S9</f>
        <v>524.12157797998452</v>
      </c>
      <c r="AA47" s="296">
        <f>+AA45*KeyAssumptionsPriceControl_FO!AF42</f>
        <v>437.48623192610074</v>
      </c>
      <c r="AB47" s="296">
        <f>+AB45*KeyAssumptionsPriceControl_FO!AG42</f>
        <v>437.42735206666157</v>
      </c>
      <c r="AC47" s="296">
        <f>+AC45*KeyAssumptionsPriceControl_FO!AH42</f>
        <v>440.06795061059449</v>
      </c>
      <c r="AD47" s="296">
        <f>+AD45*KeyAssumptionsPriceControl_FO!AI42</f>
        <v>441.29012835489095</v>
      </c>
      <c r="AE47" s="296">
        <f>+AE45*KeyAssumptionsPriceControl_FO!AJ42</f>
        <v>452.9573478970666</v>
      </c>
      <c r="AF47" s="296">
        <f>+AF45*KeyAssumptionsPriceControl_FO!AK42</f>
        <v>468.62321650105281</v>
      </c>
      <c r="AG47" s="296">
        <f>+AG45*KeyAssumptionsPriceControl_FO!AL42</f>
        <v>476.6743613508545</v>
      </c>
      <c r="AH47" s="296">
        <f>+AH45*KeyAssumptionsPriceControl_FO!AM42</f>
        <v>461.05791956055174</v>
      </c>
      <c r="AI47" s="296">
        <f>+AI45*KeyAssumptionsPriceControl_FO!AN42</f>
        <v>447.0280394731177</v>
      </c>
      <c r="AJ47" s="296">
        <f>+AJ45*KeyAssumptionsPriceControl_FO!AO42</f>
        <v>438.42237020404298</v>
      </c>
      <c r="AK47" s="157"/>
    </row>
    <row r="48" spans="3:57">
      <c r="C48" s="155"/>
      <c r="J48" s="270"/>
      <c r="K48" s="270"/>
      <c r="L48" s="270"/>
      <c r="M48" s="270"/>
      <c r="N48" s="270"/>
      <c r="O48" s="270"/>
      <c r="P48" s="270"/>
      <c r="Q48" s="270"/>
      <c r="R48" s="270"/>
      <c r="S48" s="468"/>
      <c r="T48" s="468"/>
      <c r="U48" s="468"/>
      <c r="V48" s="468"/>
      <c r="W48" s="468"/>
      <c r="X48" s="468"/>
      <c r="Y48" s="468"/>
      <c r="Z48" s="468"/>
      <c r="AA48" s="468"/>
      <c r="AB48" s="468"/>
      <c r="AC48" s="468"/>
      <c r="AD48" s="468"/>
      <c r="AE48" s="468"/>
      <c r="AF48" s="468"/>
      <c r="AG48" s="468"/>
      <c r="AH48" s="468"/>
      <c r="AI48" s="468"/>
      <c r="AJ48" s="468"/>
      <c r="AK48" s="157"/>
    </row>
    <row r="49" spans="3:37" ht="12.75" thickBot="1">
      <c r="C49" s="155"/>
      <c r="E49" s="674" t="s">
        <v>998</v>
      </c>
      <c r="J49" s="270"/>
      <c r="K49" s="1173"/>
      <c r="L49" s="1173"/>
      <c r="M49" s="1173"/>
      <c r="N49" s="1173"/>
      <c r="O49" s="1173"/>
      <c r="P49" s="1173"/>
      <c r="Q49" s="1173"/>
      <c r="R49" s="1173"/>
      <c r="S49" s="481"/>
      <c r="T49" s="481"/>
      <c r="U49" s="481">
        <f t="shared" ref="U49:AJ49" si="7">+U47+U41</f>
        <v>880.26144540607515</v>
      </c>
      <c r="V49" s="481">
        <f t="shared" si="7"/>
        <v>694.52583474048606</v>
      </c>
      <c r="W49" s="481">
        <f t="shared" si="7"/>
        <v>740.78893055297749</v>
      </c>
      <c r="X49" s="481">
        <f t="shared" si="7"/>
        <v>785.31028849989514</v>
      </c>
      <c r="Y49" s="481">
        <f t="shared" si="7"/>
        <v>817.67010957249147</v>
      </c>
      <c r="Z49" s="481">
        <f t="shared" si="7"/>
        <v>843.91867239605494</v>
      </c>
      <c r="AA49" s="481">
        <f t="shared" si="7"/>
        <v>758.09364627796015</v>
      </c>
      <c r="AB49" s="481">
        <f t="shared" si="7"/>
        <v>758.03476641852103</v>
      </c>
      <c r="AC49" s="481">
        <f t="shared" si="7"/>
        <v>755.25570205764279</v>
      </c>
      <c r="AD49" s="481">
        <f t="shared" si="7"/>
        <v>725.4709914409425</v>
      </c>
      <c r="AE49" s="481">
        <f t="shared" si="7"/>
        <v>715.31615463444643</v>
      </c>
      <c r="AF49" s="481">
        <f t="shared" si="7"/>
        <v>720.57619446378374</v>
      </c>
      <c r="AG49" s="481">
        <f t="shared" si="7"/>
        <v>728.62733931358548</v>
      </c>
      <c r="AH49" s="481">
        <f t="shared" si="7"/>
        <v>713.01089752328267</v>
      </c>
      <c r="AI49" s="481">
        <f t="shared" si="7"/>
        <v>698.98101743584857</v>
      </c>
      <c r="AJ49" s="481">
        <f t="shared" si="7"/>
        <v>690.37534816677385</v>
      </c>
      <c r="AK49" s="157"/>
    </row>
    <row r="50" spans="3:37">
      <c r="C50" s="155"/>
      <c r="J50" s="270"/>
      <c r="K50" s="270"/>
      <c r="L50" s="270"/>
      <c r="M50" s="270"/>
      <c r="N50" s="270"/>
      <c r="O50" s="270"/>
      <c r="P50" s="270"/>
      <c r="Q50" s="270"/>
      <c r="R50" s="270"/>
      <c r="S50" s="468"/>
      <c r="T50" s="468"/>
      <c r="U50" s="468"/>
      <c r="V50" s="468"/>
      <c r="W50" s="468"/>
      <c r="X50" s="468"/>
      <c r="Y50" s="468"/>
      <c r="Z50" s="468"/>
      <c r="AA50" s="468"/>
      <c r="AB50" s="468"/>
      <c r="AC50" s="468"/>
      <c r="AD50" s="468"/>
      <c r="AE50" s="468"/>
      <c r="AF50" s="468"/>
      <c r="AG50" s="468"/>
      <c r="AH50" s="468"/>
      <c r="AI50" s="468"/>
      <c r="AJ50" s="468"/>
      <c r="AK50" s="157"/>
    </row>
    <row r="51" spans="3:37">
      <c r="C51" s="155"/>
      <c r="J51" s="270"/>
      <c r="K51" s="270"/>
      <c r="L51" s="270"/>
      <c r="M51" s="270"/>
      <c r="N51" s="270"/>
      <c r="O51" s="270"/>
      <c r="P51" s="270"/>
      <c r="Q51" s="270"/>
      <c r="R51" s="270"/>
      <c r="S51" s="468"/>
      <c r="T51" s="468"/>
      <c r="U51" s="468"/>
      <c r="V51" s="468"/>
      <c r="W51" s="468"/>
      <c r="X51" s="468"/>
      <c r="Y51" s="468"/>
      <c r="Z51" s="468"/>
      <c r="AA51" s="468"/>
      <c r="AB51" s="468"/>
      <c r="AC51" s="468"/>
      <c r="AD51" s="468"/>
      <c r="AE51" s="468"/>
      <c r="AF51" s="468"/>
      <c r="AG51" s="468"/>
      <c r="AH51" s="468"/>
      <c r="AI51" s="468"/>
      <c r="AJ51" s="468"/>
      <c r="AK51" s="157"/>
    </row>
    <row r="52" spans="3:37">
      <c r="C52" s="155"/>
      <c r="E52" s="674" t="s">
        <v>999</v>
      </c>
      <c r="J52" s="111"/>
      <c r="K52" s="270"/>
      <c r="L52" s="270"/>
      <c r="M52" s="270"/>
      <c r="N52" s="270"/>
      <c r="O52" s="270"/>
      <c r="P52" s="270"/>
      <c r="Q52" s="270"/>
      <c r="R52" s="468"/>
      <c r="S52" s="468"/>
      <c r="T52" s="468"/>
      <c r="U52" s="468"/>
      <c r="V52" s="468"/>
      <c r="W52" s="468"/>
      <c r="X52" s="468"/>
      <c r="Y52" s="468"/>
      <c r="Z52" s="468"/>
      <c r="AA52" s="468"/>
      <c r="AB52" s="468"/>
      <c r="AC52" s="468"/>
      <c r="AD52" s="468"/>
      <c r="AE52" s="468"/>
      <c r="AF52" s="468"/>
      <c r="AG52" s="468"/>
      <c r="AH52" s="468"/>
      <c r="AI52" s="468"/>
      <c r="AJ52" s="468"/>
      <c r="AK52" s="157"/>
    </row>
    <row r="53" spans="3:37">
      <c r="C53" s="155"/>
      <c r="J53" s="111"/>
      <c r="K53" s="270"/>
      <c r="L53" s="270"/>
      <c r="M53" s="270"/>
      <c r="N53" s="270"/>
      <c r="O53" s="270"/>
      <c r="P53" s="270"/>
      <c r="Q53" s="270"/>
      <c r="R53" s="468"/>
      <c r="S53" s="468"/>
      <c r="T53" s="468"/>
      <c r="U53" s="468"/>
      <c r="V53" s="468"/>
      <c r="W53" s="468"/>
      <c r="X53" s="468"/>
      <c r="Y53" s="468"/>
      <c r="Z53" s="468"/>
      <c r="AA53" s="468"/>
      <c r="AB53" s="468"/>
      <c r="AC53" s="468"/>
      <c r="AD53" s="468"/>
      <c r="AE53" s="468"/>
      <c r="AF53" s="468"/>
      <c r="AG53" s="468"/>
      <c r="AH53" s="468"/>
      <c r="AI53" s="468"/>
      <c r="AJ53" s="468"/>
      <c r="AK53" s="157"/>
    </row>
    <row r="54" spans="3:37">
      <c r="C54" s="155"/>
      <c r="F54" s="63" t="s">
        <v>784</v>
      </c>
      <c r="J54" s="468"/>
      <c r="K54" s="468"/>
      <c r="L54" s="468"/>
      <c r="M54" s="468"/>
      <c r="N54" s="468"/>
      <c r="O54" s="468"/>
      <c r="P54" s="468"/>
      <c r="Q54" s="468"/>
      <c r="R54" s="468"/>
      <c r="S54" s="270"/>
      <c r="T54" s="270"/>
      <c r="U54" s="270"/>
      <c r="V54" s="270"/>
      <c r="W54" s="270"/>
      <c r="X54" s="468"/>
      <c r="Y54" s="468"/>
      <c r="Z54" s="468"/>
      <c r="AA54" s="468">
        <f t="shared" ref="AA54:AJ54" si="8">+Z60</f>
        <v>0</v>
      </c>
      <c r="AB54" s="468">
        <f t="shared" ca="1" si="8"/>
        <v>1150.0944100594832</v>
      </c>
      <c r="AC54" s="468">
        <f t="shared" ca="1" si="8"/>
        <v>2403.762716450472</v>
      </c>
      <c r="AD54" s="468">
        <f t="shared" ca="1" si="8"/>
        <v>3682.4102062851834</v>
      </c>
      <c r="AE54" s="468">
        <f t="shared" ca="1" si="8"/>
        <v>4974.4752046432604</v>
      </c>
      <c r="AF54" s="468">
        <f t="shared" ca="1" si="8"/>
        <v>6190.0452675888537</v>
      </c>
      <c r="AG54" s="468">
        <f t="shared" ca="1" si="8"/>
        <v>7592.6611104505273</v>
      </c>
      <c r="AH54" s="468">
        <f t="shared" ca="1" si="8"/>
        <v>9039.3239808962026</v>
      </c>
      <c r="AI54" s="468">
        <f t="shared" ca="1" si="8"/>
        <v>10293.14089171277</v>
      </c>
      <c r="AJ54" s="468">
        <f t="shared" ca="1" si="8"/>
        <v>11763.066472490917</v>
      </c>
      <c r="AK54" s="157"/>
    </row>
    <row r="55" spans="3:37">
      <c r="C55" s="155"/>
      <c r="F55" s="63" t="s">
        <v>991</v>
      </c>
      <c r="J55" s="468"/>
      <c r="K55" s="468"/>
      <c r="L55" s="468"/>
      <c r="M55" s="468"/>
      <c r="N55" s="468"/>
      <c r="O55" s="468"/>
      <c r="P55" s="468"/>
      <c r="Q55" s="468"/>
      <c r="R55" s="468"/>
      <c r="S55" s="270"/>
      <c r="T55" s="270"/>
      <c r="U55" s="270"/>
      <c r="V55" s="270"/>
      <c r="W55" s="270"/>
      <c r="X55" s="468"/>
      <c r="Y55" s="468"/>
      <c r="Z55" s="468"/>
      <c r="AA55" s="468">
        <f>+Summary_FO!AF19</f>
        <v>1427.8676842478524</v>
      </c>
      <c r="AB55" s="468">
        <f>+Summary_FO!AG19</f>
        <v>1570.164250393809</v>
      </c>
      <c r="AC55" s="468">
        <f>+Summary_FO!AH19</f>
        <v>1607.4161999295407</v>
      </c>
      <c r="AD55" s="468">
        <f>+Summary_FO!AI19</f>
        <v>1650.5477325991501</v>
      </c>
      <c r="AE55" s="468">
        <f>+Summary_FO!AJ19</f>
        <v>1600.0870518966058</v>
      </c>
      <c r="AF55" s="468">
        <f>+Summary_FO!AK19</f>
        <v>1822.431846686201</v>
      </c>
      <c r="AG55" s="468">
        <f>+Summary_FO!AL19</f>
        <v>1894.5863492533358</v>
      </c>
      <c r="AH55" s="468">
        <f>+Summary_FO!AM19</f>
        <v>1729.8126501350996</v>
      </c>
      <c r="AI55" s="468">
        <f>+Summary_FO!AN19</f>
        <v>1971.4744774702951</v>
      </c>
      <c r="AJ55" s="468">
        <f>+Summary_FO!AO19</f>
        <v>2094.9713055918783</v>
      </c>
      <c r="AK55" s="157"/>
    </row>
    <row r="56" spans="3:37">
      <c r="C56" s="155"/>
      <c r="F56" s="63" t="s">
        <v>992</v>
      </c>
      <c r="J56" s="468"/>
      <c r="K56" s="468"/>
      <c r="L56" s="468"/>
      <c r="M56" s="468"/>
      <c r="N56" s="468"/>
      <c r="O56" s="468"/>
      <c r="P56" s="468"/>
      <c r="Q56" s="468"/>
      <c r="R56" s="468"/>
      <c r="S56" s="270"/>
      <c r="T56" s="270"/>
      <c r="U56" s="270"/>
      <c r="V56" s="270"/>
      <c r="W56" s="270"/>
      <c r="X56" s="468"/>
      <c r="Y56" s="468"/>
      <c r="Z56" s="468"/>
      <c r="AA56" s="468">
        <f>+Summary_FO!AF21</f>
        <v>256.68418674331554</v>
      </c>
      <c r="AB56" s="468">
        <f>+Summary_FO!AG21</f>
        <v>265.82094960941134</v>
      </c>
      <c r="AC56" s="468">
        <f>+Summary_FO!AH21</f>
        <v>266.89260337450156</v>
      </c>
      <c r="AD56" s="468">
        <f>+Summary_FO!AI21</f>
        <v>265.83725314288654</v>
      </c>
      <c r="AE56" s="468">
        <f>+Summary_FO!AJ21</f>
        <v>261.75654907461649</v>
      </c>
      <c r="AF56" s="468">
        <f>+Summary_FO!AK21</f>
        <v>266.29183409691552</v>
      </c>
      <c r="AG56" s="468">
        <f>+Summary_FO!AL21</f>
        <v>259.09270600770168</v>
      </c>
      <c r="AH56" s="468">
        <f>+Summary_FO!AM21</f>
        <v>250.01787257304056</v>
      </c>
      <c r="AI56" s="468">
        <f>+Summary_FO!AN21</f>
        <v>241.27074037515396</v>
      </c>
      <c r="AJ56" s="468">
        <f>+Summary_FO!AO21</f>
        <v>232.83938317900669</v>
      </c>
      <c r="AK56" s="157"/>
    </row>
    <row r="57" spans="3:37">
      <c r="C57" s="155"/>
      <c r="F57" s="63" t="s">
        <v>993</v>
      </c>
      <c r="J57" s="468"/>
      <c r="K57" s="468"/>
      <c r="L57" s="468"/>
      <c r="M57" s="468"/>
      <c r="N57" s="468"/>
      <c r="O57" s="468"/>
      <c r="P57" s="468"/>
      <c r="Q57" s="468"/>
      <c r="R57" s="468"/>
      <c r="S57" s="270"/>
      <c r="T57" s="270"/>
      <c r="U57" s="270"/>
      <c r="V57" s="270"/>
      <c r="W57" s="270"/>
      <c r="X57" s="468"/>
      <c r="Y57" s="468"/>
      <c r="Z57" s="468"/>
      <c r="AA57" s="468">
        <f>+Summary_FO!AF20</f>
        <v>9.3121997121680415</v>
      </c>
      <c r="AB57" s="468">
        <f>+Summary_FO!AG20</f>
        <v>14.957255803937155</v>
      </c>
      <c r="AC57" s="468">
        <f>+Summary_FO!AH20</f>
        <v>2.3374750439277121E-2</v>
      </c>
      <c r="AD57" s="468">
        <f>+Summary_FO!AI20</f>
        <v>1.5203089716603002E-2</v>
      </c>
      <c r="AE57" s="468">
        <f>+Summary_FO!AJ20</f>
        <v>0</v>
      </c>
      <c r="AF57" s="468">
        <f>+Summary_FO!AK20</f>
        <v>0</v>
      </c>
      <c r="AG57" s="468">
        <f>+Summary_FO!AL20</f>
        <v>0</v>
      </c>
      <c r="AH57" s="468">
        <f>+Summary_FO!AM20</f>
        <v>0</v>
      </c>
      <c r="AI57" s="468">
        <f>+Summary_FO!AN20</f>
        <v>0</v>
      </c>
      <c r="AJ57" s="468">
        <f>+Summary_FO!AO20</f>
        <v>0</v>
      </c>
      <c r="AK57" s="157"/>
    </row>
    <row r="58" spans="3:37">
      <c r="C58" s="175"/>
      <c r="D58" s="67"/>
      <c r="E58" s="67"/>
      <c r="F58" s="67" t="s">
        <v>994</v>
      </c>
      <c r="G58" s="67"/>
      <c r="H58" s="67"/>
      <c r="I58" s="67"/>
      <c r="J58" s="468"/>
      <c r="K58" s="468"/>
      <c r="L58" s="468"/>
      <c r="M58" s="468"/>
      <c r="N58" s="468"/>
      <c r="O58" s="468"/>
      <c r="P58" s="468"/>
      <c r="Q58" s="468"/>
      <c r="R58" s="468"/>
      <c r="S58" s="270"/>
      <c r="T58" s="270"/>
      <c r="U58" s="270"/>
      <c r="V58" s="270"/>
      <c r="W58" s="270"/>
      <c r="X58" s="296"/>
      <c r="Y58" s="296"/>
      <c r="Z58" s="296"/>
      <c r="AA58" s="296">
        <f ca="1">+RollForward_FO!AA16</f>
        <v>11.776887732885603</v>
      </c>
      <c r="AB58" s="296">
        <f ca="1">+RollForward_FO!AB16</f>
        <v>35.7177385894719</v>
      </c>
      <c r="AC58" s="296">
        <f ca="1">+RollForward_FO!AC16</f>
        <v>61.852731969888538</v>
      </c>
      <c r="AD58" s="296">
        <f ca="1">+RollForward_FO!AD16</f>
        <v>92.630278008470199</v>
      </c>
      <c r="AE58" s="296">
        <f ca="1">+RollForward_FO!AE16</f>
        <v>122.76043987639608</v>
      </c>
      <c r="AF58" s="296">
        <f ca="1">+RollForward_FO!AF16</f>
        <v>153.52416972761156</v>
      </c>
      <c r="AG58" s="296">
        <f ca="1">+RollForward_FO!AG16</f>
        <v>188.83077279996027</v>
      </c>
      <c r="AH58" s="296">
        <f ca="1">+RollForward_FO!AH16</f>
        <v>225.97786674549153</v>
      </c>
      <c r="AI58" s="296">
        <f ca="1">+RollForward_FO!AI16</f>
        <v>260.27815631699474</v>
      </c>
      <c r="AJ58" s="296">
        <f ca="1">+RollForward_FO!AJ16</f>
        <v>294.10120829608911</v>
      </c>
      <c r="AK58" s="157"/>
    </row>
    <row r="59" spans="3:37">
      <c r="C59" s="155"/>
      <c r="F59" s="63" t="s">
        <v>1000</v>
      </c>
      <c r="J59" s="468"/>
      <c r="K59" s="296"/>
      <c r="L59" s="296"/>
      <c r="M59" s="296"/>
      <c r="N59" s="296"/>
      <c r="O59" s="296"/>
      <c r="P59" s="296"/>
      <c r="Q59" s="296"/>
      <c r="R59" s="296"/>
      <c r="S59" s="270"/>
      <c r="T59" s="270"/>
      <c r="U59" s="270"/>
      <c r="V59" s="270"/>
      <c r="W59" s="270"/>
      <c r="X59" s="296"/>
      <c r="Y59" s="296"/>
      <c r="Z59" s="296"/>
      <c r="AA59" s="296">
        <v>0</v>
      </c>
      <c r="AB59" s="296">
        <v>0</v>
      </c>
      <c r="AC59" s="296">
        <v>0</v>
      </c>
      <c r="AD59" s="296">
        <v>0</v>
      </c>
      <c r="AE59" s="296">
        <v>0</v>
      </c>
      <c r="AF59" s="296">
        <v>0</v>
      </c>
      <c r="AG59" s="296">
        <v>0</v>
      </c>
      <c r="AH59" s="296">
        <v>0</v>
      </c>
      <c r="AI59" s="296">
        <v>0</v>
      </c>
      <c r="AJ59" s="296">
        <v>0</v>
      </c>
      <c r="AK59" s="157"/>
    </row>
    <row r="60" spans="3:37">
      <c r="C60" s="155"/>
      <c r="F60" s="63" t="s">
        <v>785</v>
      </c>
      <c r="J60" s="468"/>
      <c r="K60" s="517"/>
      <c r="L60" s="517"/>
      <c r="M60" s="517"/>
      <c r="N60" s="517"/>
      <c r="O60" s="517"/>
      <c r="P60" s="517"/>
      <c r="Q60" s="517"/>
      <c r="R60" s="517"/>
      <c r="S60" s="312"/>
      <c r="T60" s="312"/>
      <c r="U60" s="312"/>
      <c r="V60" s="312"/>
      <c r="W60" s="312"/>
      <c r="X60" s="517"/>
      <c r="Y60" s="517"/>
      <c r="Z60" s="517"/>
      <c r="AA60" s="517">
        <f t="shared" ref="AA60:AJ60" ca="1" si="9">+SUM(AA54:AA55)-SUM(AA56:AA59)</f>
        <v>1150.0944100594832</v>
      </c>
      <c r="AB60" s="517">
        <f t="shared" ca="1" si="9"/>
        <v>2403.762716450472</v>
      </c>
      <c r="AC60" s="517">
        <f t="shared" ca="1" si="9"/>
        <v>3682.4102062851834</v>
      </c>
      <c r="AD60" s="517">
        <f t="shared" ca="1" si="9"/>
        <v>4974.4752046432604</v>
      </c>
      <c r="AE60" s="517">
        <f t="shared" ca="1" si="9"/>
        <v>6190.0452675888537</v>
      </c>
      <c r="AF60" s="517">
        <f t="shared" ca="1" si="9"/>
        <v>7592.6611104505273</v>
      </c>
      <c r="AG60" s="517">
        <f t="shared" ca="1" si="9"/>
        <v>9039.3239808962026</v>
      </c>
      <c r="AH60" s="517">
        <f t="shared" ca="1" si="9"/>
        <v>10293.14089171277</v>
      </c>
      <c r="AI60" s="517">
        <f t="shared" ca="1" si="9"/>
        <v>11763.066472490917</v>
      </c>
      <c r="AJ60" s="517">
        <f t="shared" ca="1" si="9"/>
        <v>13331.0971866077</v>
      </c>
      <c r="AK60" s="157"/>
    </row>
    <row r="61" spans="3:37">
      <c r="C61" s="155"/>
      <c r="J61" s="468"/>
      <c r="K61" s="468"/>
      <c r="L61" s="468"/>
      <c r="M61" s="468"/>
      <c r="N61" s="468"/>
      <c r="O61" s="468"/>
      <c r="P61" s="468"/>
      <c r="Q61" s="468"/>
      <c r="R61" s="468"/>
      <c r="S61" s="270"/>
      <c r="T61" s="270"/>
      <c r="U61" s="270"/>
      <c r="V61" s="270"/>
      <c r="W61" s="270"/>
      <c r="X61" s="468"/>
      <c r="Y61" s="468"/>
      <c r="Z61" s="468"/>
      <c r="AA61" s="468"/>
      <c r="AB61" s="468"/>
      <c r="AC61" s="468"/>
      <c r="AD61" s="468"/>
      <c r="AE61" s="468"/>
      <c r="AF61" s="468"/>
      <c r="AG61" s="468"/>
      <c r="AH61" s="468"/>
      <c r="AI61" s="468"/>
      <c r="AJ61" s="468"/>
      <c r="AK61" s="157"/>
    </row>
    <row r="62" spans="3:37">
      <c r="C62" s="155"/>
      <c r="F62" s="63" t="s">
        <v>996</v>
      </c>
      <c r="J62" s="468"/>
      <c r="K62" s="468"/>
      <c r="L62" s="468"/>
      <c r="M62" s="468"/>
      <c r="N62" s="468"/>
      <c r="O62" s="468"/>
      <c r="P62" s="468"/>
      <c r="Q62" s="468"/>
      <c r="R62" s="468"/>
      <c r="S62" s="270"/>
      <c r="T62" s="270"/>
      <c r="U62" s="270"/>
      <c r="V62" s="270"/>
      <c r="W62" s="270"/>
      <c r="X62" s="468"/>
      <c r="Y62" s="468"/>
      <c r="Z62" s="468"/>
      <c r="AA62" s="468">
        <f t="shared" ref="AA62:AJ62" ca="1" si="10">+AVERAGE(AA54,AA60)</f>
        <v>575.04720502974158</v>
      </c>
      <c r="AB62" s="468">
        <f t="shared" ca="1" si="10"/>
        <v>1776.9285632549777</v>
      </c>
      <c r="AC62" s="468">
        <f t="shared" ca="1" si="10"/>
        <v>3043.0864613678277</v>
      </c>
      <c r="AD62" s="468">
        <f t="shared" ca="1" si="10"/>
        <v>4328.4427054642219</v>
      </c>
      <c r="AE62" s="468">
        <f t="shared" ca="1" si="10"/>
        <v>5582.2602361160571</v>
      </c>
      <c r="AF62" s="468">
        <f t="shared" ca="1" si="10"/>
        <v>6891.35318901969</v>
      </c>
      <c r="AG62" s="468">
        <f t="shared" ca="1" si="10"/>
        <v>8315.9925456733654</v>
      </c>
      <c r="AH62" s="468">
        <f t="shared" ca="1" si="10"/>
        <v>9666.2324363044863</v>
      </c>
      <c r="AI62" s="468">
        <f t="shared" ca="1" si="10"/>
        <v>11028.103682101842</v>
      </c>
      <c r="AJ62" s="468">
        <f t="shared" ca="1" si="10"/>
        <v>12547.081829549308</v>
      </c>
      <c r="AK62" s="157"/>
    </row>
    <row r="63" spans="3:37">
      <c r="C63" s="155"/>
      <c r="J63" s="468"/>
      <c r="K63" s="468"/>
      <c r="L63" s="468"/>
      <c r="M63" s="468"/>
      <c r="N63" s="468"/>
      <c r="O63" s="468"/>
      <c r="P63" s="468"/>
      <c r="Q63" s="468"/>
      <c r="R63" s="468"/>
      <c r="S63" s="270"/>
      <c r="T63" s="270"/>
      <c r="U63" s="270"/>
      <c r="V63" s="270"/>
      <c r="W63" s="270"/>
      <c r="X63" s="468"/>
      <c r="Y63" s="468"/>
      <c r="Z63" s="468"/>
      <c r="AA63" s="468"/>
      <c r="AB63" s="468"/>
      <c r="AC63" s="468"/>
      <c r="AD63" s="468"/>
      <c r="AE63" s="468"/>
      <c r="AF63" s="468"/>
      <c r="AG63" s="468"/>
      <c r="AH63" s="468"/>
      <c r="AI63" s="468"/>
      <c r="AJ63" s="468"/>
      <c r="AK63" s="157"/>
    </row>
    <row r="64" spans="3:37">
      <c r="C64" s="155"/>
      <c r="F64" s="63" t="s">
        <v>1001</v>
      </c>
      <c r="J64" s="468"/>
      <c r="K64" s="468"/>
      <c r="L64" s="468"/>
      <c r="M64" s="468"/>
      <c r="N64" s="468"/>
      <c r="O64" s="468"/>
      <c r="P64" s="468"/>
      <c r="Q64" s="468"/>
      <c r="R64" s="468"/>
      <c r="S64" s="270"/>
      <c r="T64" s="270"/>
      <c r="U64" s="270"/>
      <c r="V64" s="270"/>
      <c r="W64" s="270"/>
      <c r="X64" s="468"/>
      <c r="Y64" s="270"/>
      <c r="Z64" s="270"/>
      <c r="AA64" s="296">
        <f ca="1">+AA62*KeyAssumptionsPriceControl_FO!AF42</f>
        <v>16.158826461335739</v>
      </c>
      <c r="AB64" s="296">
        <f ca="1">+AB62*KeyAssumptionsPriceControl_FO!AG42</f>
        <v>50.997849765417861</v>
      </c>
      <c r="AC64" s="296">
        <f ca="1">+AC62*KeyAssumptionsPriceControl_FO!AH42</f>
        <v>89.771050610350912</v>
      </c>
      <c r="AD64" s="296">
        <f ca="1">+AD62*KeyAssumptionsPriceControl_FO!AI42</f>
        <v>130.7189697050195</v>
      </c>
      <c r="AE64" s="296">
        <f ca="1">+AE62*KeyAssumptionsPriceControl_FO!AJ42</f>
        <v>176.39942346126742</v>
      </c>
      <c r="AF64" s="296">
        <f ca="1">+AF62*KeyAssumptionsPriceControl_FO!AK42</f>
        <v>229.48206119435571</v>
      </c>
      <c r="AG64" s="296">
        <f ca="1">+AG62*KeyAssumptionsPriceControl_FO!AL42</f>
        <v>286.90174282573111</v>
      </c>
      <c r="AH64" s="296">
        <f ca="1">+AH62*KeyAssumptionsPriceControl_FO!AM42</f>
        <v>328.65190283435254</v>
      </c>
      <c r="AI64" s="296">
        <f ca="1">+AI62*KeyAssumptionsPriceControl_FO!AN42</f>
        <v>370.5442837186219</v>
      </c>
      <c r="AJ64" s="296">
        <f ca="1">+AJ62*KeyAssumptionsPriceControl_FO!AO42</f>
        <v>421.58194947285671</v>
      </c>
      <c r="AK64" s="157"/>
    </row>
    <row r="65" spans="3:37">
      <c r="C65" s="155"/>
      <c r="J65" s="468"/>
      <c r="K65" s="468"/>
      <c r="L65" s="468"/>
      <c r="M65" s="468"/>
      <c r="N65" s="468"/>
      <c r="O65" s="468"/>
      <c r="P65" s="468"/>
      <c r="Q65" s="468"/>
      <c r="R65" s="468"/>
      <c r="S65" s="270"/>
      <c r="T65" s="270"/>
      <c r="U65" s="270"/>
      <c r="V65" s="270"/>
      <c r="W65" s="270"/>
      <c r="X65" s="468"/>
      <c r="Y65" s="468"/>
      <c r="Z65" s="468"/>
      <c r="AA65" s="468"/>
      <c r="AB65" s="468"/>
      <c r="AC65" s="468"/>
      <c r="AD65" s="468"/>
      <c r="AE65" s="468"/>
      <c r="AF65" s="468"/>
      <c r="AG65" s="468"/>
      <c r="AH65" s="468"/>
      <c r="AI65" s="468"/>
      <c r="AJ65" s="468"/>
      <c r="AK65" s="157"/>
    </row>
    <row r="66" spans="3:37" ht="12.75" thickBot="1">
      <c r="C66" s="155"/>
      <c r="E66" s="674" t="s">
        <v>1002</v>
      </c>
      <c r="J66" s="468"/>
      <c r="K66" s="691"/>
      <c r="L66" s="691"/>
      <c r="M66" s="691"/>
      <c r="N66" s="691"/>
      <c r="O66" s="691"/>
      <c r="P66" s="691"/>
      <c r="Q66" s="691"/>
      <c r="R66" s="691"/>
      <c r="S66" s="272"/>
      <c r="T66" s="272"/>
      <c r="U66" s="272"/>
      <c r="V66" s="272"/>
      <c r="W66" s="272"/>
      <c r="X66" s="691"/>
      <c r="Y66" s="691"/>
      <c r="Z66" s="691"/>
      <c r="AA66" s="691">
        <f t="shared" ref="AA66:AJ66" ca="1" si="11">+AA64+AA58</f>
        <v>27.93571419422134</v>
      </c>
      <c r="AB66" s="691">
        <f t="shared" ca="1" si="11"/>
        <v>86.715588354889761</v>
      </c>
      <c r="AC66" s="691">
        <f t="shared" ca="1" si="11"/>
        <v>151.62378258023944</v>
      </c>
      <c r="AD66" s="691">
        <f t="shared" ca="1" si="11"/>
        <v>223.34924771348972</v>
      </c>
      <c r="AE66" s="691">
        <f t="shared" ca="1" si="11"/>
        <v>299.15986333766352</v>
      </c>
      <c r="AF66" s="691">
        <f t="shared" ca="1" si="11"/>
        <v>383.00623092196724</v>
      </c>
      <c r="AG66" s="691">
        <f t="shared" ca="1" si="11"/>
        <v>475.73251562569135</v>
      </c>
      <c r="AH66" s="691">
        <f t="shared" ca="1" si="11"/>
        <v>554.62976957984404</v>
      </c>
      <c r="AI66" s="691">
        <f t="shared" ca="1" si="11"/>
        <v>630.82244003561664</v>
      </c>
      <c r="AJ66" s="691">
        <f t="shared" ca="1" si="11"/>
        <v>715.68315776894588</v>
      </c>
      <c r="AK66" s="157"/>
    </row>
    <row r="67" spans="3:37">
      <c r="C67" s="155"/>
      <c r="J67" s="468"/>
      <c r="K67" s="468"/>
      <c r="L67" s="468"/>
      <c r="M67" s="468"/>
      <c r="N67" s="468"/>
      <c r="O67" s="468"/>
      <c r="P67" s="468"/>
      <c r="Q67" s="468"/>
      <c r="R67" s="468"/>
      <c r="S67" s="468"/>
      <c r="T67" s="468"/>
      <c r="U67" s="468"/>
      <c r="V67" s="468"/>
      <c r="W67" s="468"/>
      <c r="X67" s="468"/>
      <c r="Y67" s="468"/>
      <c r="Z67" s="468"/>
      <c r="AA67" s="468"/>
      <c r="AB67" s="468"/>
      <c r="AC67" s="468"/>
      <c r="AD67" s="468"/>
      <c r="AE67" s="468"/>
      <c r="AF67" s="468"/>
      <c r="AG67" s="468"/>
      <c r="AH67" s="468"/>
      <c r="AI67" s="468"/>
      <c r="AJ67" s="468"/>
      <c r="AK67" s="157"/>
    </row>
    <row r="68" spans="3:37">
      <c r="C68" s="155"/>
      <c r="J68" s="468"/>
      <c r="K68" s="468"/>
      <c r="L68" s="468"/>
      <c r="M68" s="468"/>
      <c r="N68" s="468"/>
      <c r="O68" s="468"/>
      <c r="P68" s="468"/>
      <c r="Q68" s="468"/>
      <c r="R68" s="468"/>
      <c r="S68" s="468"/>
      <c r="T68" s="468"/>
      <c r="U68" s="468"/>
      <c r="V68" s="468"/>
      <c r="W68" s="468"/>
      <c r="X68" s="468"/>
      <c r="Y68" s="468"/>
      <c r="Z68" s="468"/>
      <c r="AA68" s="468"/>
      <c r="AB68" s="468"/>
      <c r="AC68" s="468"/>
      <c r="AD68" s="468"/>
      <c r="AE68" s="468"/>
      <c r="AF68" s="468"/>
      <c r="AG68" s="468"/>
      <c r="AH68" s="468"/>
      <c r="AI68" s="468"/>
      <c r="AJ68" s="468"/>
      <c r="AK68" s="157"/>
    </row>
    <row r="69" spans="3:37">
      <c r="C69" s="155"/>
      <c r="E69" s="674" t="s">
        <v>1003</v>
      </c>
      <c r="J69" s="468"/>
      <c r="K69" s="270"/>
      <c r="L69" s="270"/>
      <c r="M69" s="270"/>
      <c r="N69" s="270"/>
      <c r="O69" s="270"/>
      <c r="P69" s="270"/>
      <c r="Q69" s="270"/>
      <c r="R69" s="468"/>
      <c r="S69" s="468"/>
      <c r="T69" s="468"/>
      <c r="U69" s="468"/>
      <c r="V69" s="468"/>
      <c r="W69" s="468"/>
      <c r="X69" s="468"/>
      <c r="Y69" s="468"/>
      <c r="Z69" s="468"/>
      <c r="AA69" s="468"/>
      <c r="AB69" s="468"/>
      <c r="AC69" s="468"/>
      <c r="AD69" s="468"/>
      <c r="AE69" s="468"/>
      <c r="AF69" s="468"/>
      <c r="AG69" s="468"/>
      <c r="AH69" s="468"/>
      <c r="AI69" s="468"/>
      <c r="AJ69" s="468"/>
      <c r="AK69" s="157"/>
    </row>
    <row r="70" spans="3:37">
      <c r="C70" s="155"/>
      <c r="J70" s="468"/>
      <c r="K70" s="270"/>
      <c r="L70" s="270"/>
      <c r="M70" s="270"/>
      <c r="N70" s="270"/>
      <c r="O70" s="270"/>
      <c r="P70" s="270"/>
      <c r="Q70" s="270"/>
      <c r="R70" s="270"/>
      <c r="S70" s="270"/>
      <c r="T70" s="270"/>
      <c r="U70" s="468"/>
      <c r="V70" s="468"/>
      <c r="W70" s="468"/>
      <c r="X70" s="468"/>
      <c r="Y70" s="468"/>
      <c r="Z70" s="468"/>
      <c r="AA70" s="468"/>
      <c r="AB70" s="468"/>
      <c r="AC70" s="468"/>
      <c r="AD70" s="468"/>
      <c r="AE70" s="468"/>
      <c r="AF70" s="468"/>
      <c r="AG70" s="468"/>
      <c r="AH70" s="468"/>
      <c r="AI70" s="468"/>
      <c r="AJ70" s="468"/>
      <c r="AK70" s="157"/>
    </row>
    <row r="71" spans="3:37">
      <c r="C71" s="155"/>
      <c r="F71" s="63" t="s">
        <v>784</v>
      </c>
      <c r="J71" s="468"/>
      <c r="K71" s="270"/>
      <c r="L71" s="270"/>
      <c r="M71" s="270"/>
      <c r="N71" s="270"/>
      <c r="O71" s="270"/>
      <c r="P71" s="270"/>
      <c r="Q71" s="270"/>
      <c r="R71" s="270"/>
      <c r="S71" s="270"/>
      <c r="T71" s="270"/>
      <c r="U71" s="1206">
        <f>U37</f>
        <v>13681.353036332999</v>
      </c>
      <c r="V71" s="296">
        <f t="shared" ref="V71:AJ71" si="12">+U78</f>
        <v>13974.996721133981</v>
      </c>
      <c r="W71" s="296">
        <f t="shared" si="12"/>
        <v>14252.112733443315</v>
      </c>
      <c r="X71" s="296">
        <f t="shared" si="12"/>
        <v>14629.706817244683</v>
      </c>
      <c r="Y71" s="296">
        <f t="shared" si="12"/>
        <v>15089.678563567777</v>
      </c>
      <c r="Z71" s="296">
        <f t="shared" si="12"/>
        <v>15621.166079286351</v>
      </c>
      <c r="AA71" s="296">
        <f t="shared" si="12"/>
        <v>15733.028038124707</v>
      </c>
      <c r="AB71" s="296">
        <f t="shared" ca="1" si="12"/>
        <v>16554.876473436609</v>
      </c>
      <c r="AC71" s="296">
        <f t="shared" ca="1" si="12"/>
        <v>17481.722957370323</v>
      </c>
      <c r="AD71" s="296">
        <f t="shared" ca="1" si="12"/>
        <v>18439.565260998861</v>
      </c>
      <c r="AE71" s="296">
        <f t="shared" ca="1" si="12"/>
        <v>19441.831961511762</v>
      </c>
      <c r="AF71" s="296">
        <f t="shared" ca="1" si="12"/>
        <v>20390.875086484059</v>
      </c>
      <c r="AG71" s="296">
        <f t="shared" ca="1" si="12"/>
        <v>21537.369820147083</v>
      </c>
      <c r="AH71" s="296">
        <f t="shared" ca="1" si="12"/>
        <v>22727.911581394106</v>
      </c>
      <c r="AI71" s="296">
        <f t="shared" ca="1" si="12"/>
        <v>23725.607383012022</v>
      </c>
      <c r="AJ71" s="296">
        <f t="shared" ca="1" si="12"/>
        <v>24939.411854591519</v>
      </c>
      <c r="AK71" s="157"/>
    </row>
    <row r="72" spans="3:37">
      <c r="C72" s="155"/>
      <c r="F72" s="63" t="s">
        <v>991</v>
      </c>
      <c r="J72" s="468"/>
      <c r="K72" s="270"/>
      <c r="L72" s="270"/>
      <c r="M72" s="270"/>
      <c r="N72" s="270"/>
      <c r="O72" s="270"/>
      <c r="P72" s="270"/>
      <c r="Q72" s="270"/>
      <c r="R72" s="270"/>
      <c r="S72" s="270"/>
      <c r="T72" s="270"/>
      <c r="U72" s="296">
        <f t="shared" ref="U72:W76" si="13">+U55+U38</f>
        <v>797.02440927545513</v>
      </c>
      <c r="V72" s="296">
        <f t="shared" si="13"/>
        <v>751.86183677857571</v>
      </c>
      <c r="W72" s="296">
        <f t="shared" si="13"/>
        <v>883.33185422705719</v>
      </c>
      <c r="X72" s="296">
        <f t="shared" ref="X72:AB76" si="14">+X55+X38</f>
        <v>975.48484394204763</v>
      </c>
      <c r="Y72" s="296">
        <f t="shared" si="14"/>
        <v>1058.7332364874123</v>
      </c>
      <c r="Z72" s="296">
        <f t="shared" si="14"/>
        <v>678.85510206620143</v>
      </c>
      <c r="AA72" s="296">
        <f t="shared" si="14"/>
        <v>1427.8676842478524</v>
      </c>
      <c r="AB72" s="296">
        <f t="shared" si="14"/>
        <v>1570.164250393809</v>
      </c>
      <c r="AC72" s="296">
        <f t="shared" ref="AC72:AJ76" si="15">+AC55+AC38</f>
        <v>1607.4161999295407</v>
      </c>
      <c r="AD72" s="296">
        <f t="shared" si="15"/>
        <v>1650.5477325991501</v>
      </c>
      <c r="AE72" s="296">
        <f t="shared" si="15"/>
        <v>1600.0870518966058</v>
      </c>
      <c r="AF72" s="296">
        <f t="shared" si="15"/>
        <v>1822.431846686201</v>
      </c>
      <c r="AG72" s="296">
        <f t="shared" si="15"/>
        <v>1894.5863492533358</v>
      </c>
      <c r="AH72" s="296">
        <f t="shared" si="15"/>
        <v>1729.8126501350996</v>
      </c>
      <c r="AI72" s="296">
        <f t="shared" si="15"/>
        <v>1971.4744774702951</v>
      </c>
      <c r="AJ72" s="296">
        <f t="shared" si="15"/>
        <v>2094.9713055918783</v>
      </c>
      <c r="AK72" s="157"/>
    </row>
    <row r="73" spans="3:37">
      <c r="C73" s="155"/>
      <c r="F73" s="63" t="s">
        <v>992</v>
      </c>
      <c r="J73" s="468"/>
      <c r="K73" s="270"/>
      <c r="L73" s="270"/>
      <c r="M73" s="270"/>
      <c r="N73" s="270"/>
      <c r="O73" s="270"/>
      <c r="P73" s="270"/>
      <c r="Q73" s="270"/>
      <c r="R73" s="270"/>
      <c r="S73" s="270"/>
      <c r="T73" s="270"/>
      <c r="U73" s="296">
        <f t="shared" si="13"/>
        <v>210.8960332453432</v>
      </c>
      <c r="V73" s="296">
        <f t="shared" si="13"/>
        <v>230.07077214842749</v>
      </c>
      <c r="W73" s="296">
        <f t="shared" si="13"/>
        <v>244.47369722033895</v>
      </c>
      <c r="X73" s="296">
        <f t="shared" si="14"/>
        <v>229.85439754180234</v>
      </c>
      <c r="Y73" s="296">
        <f t="shared" si="14"/>
        <v>222.79739963284294</v>
      </c>
      <c r="Z73" s="296">
        <f t="shared" si="14"/>
        <v>244.65017134288519</v>
      </c>
      <c r="AA73" s="296">
        <f t="shared" si="14"/>
        <v>256.68418674331554</v>
      </c>
      <c r="AB73" s="296">
        <f t="shared" si="14"/>
        <v>265.82094960941134</v>
      </c>
      <c r="AC73" s="296">
        <f t="shared" si="15"/>
        <v>266.89260337450156</v>
      </c>
      <c r="AD73" s="296">
        <f t="shared" si="15"/>
        <v>265.83725314288654</v>
      </c>
      <c r="AE73" s="296">
        <f t="shared" si="15"/>
        <v>261.75654907461649</v>
      </c>
      <c r="AF73" s="296">
        <f t="shared" si="15"/>
        <v>266.29183409691552</v>
      </c>
      <c r="AG73" s="296">
        <f t="shared" si="15"/>
        <v>259.09270600770168</v>
      </c>
      <c r="AH73" s="296">
        <f t="shared" si="15"/>
        <v>250.01787257304056</v>
      </c>
      <c r="AI73" s="296">
        <f t="shared" si="15"/>
        <v>241.27074037515396</v>
      </c>
      <c r="AJ73" s="296">
        <f t="shared" si="15"/>
        <v>232.83938317900669</v>
      </c>
      <c r="AK73" s="157"/>
    </row>
    <row r="74" spans="3:37">
      <c r="C74" s="155"/>
      <c r="F74" s="63" t="s">
        <v>993</v>
      </c>
      <c r="J74" s="468"/>
      <c r="K74" s="270"/>
      <c r="L74" s="270"/>
      <c r="M74" s="270"/>
      <c r="N74" s="270"/>
      <c r="O74" s="270"/>
      <c r="P74" s="270"/>
      <c r="Q74" s="270"/>
      <c r="R74" s="270"/>
      <c r="S74" s="270"/>
      <c r="T74" s="270"/>
      <c r="U74" s="296">
        <f t="shared" si="13"/>
        <v>0</v>
      </c>
      <c r="V74" s="296">
        <f t="shared" si="13"/>
        <v>0</v>
      </c>
      <c r="W74" s="296">
        <f t="shared" si="13"/>
        <v>0</v>
      </c>
      <c r="X74" s="296">
        <f t="shared" si="14"/>
        <v>0</v>
      </c>
      <c r="Y74" s="296">
        <f t="shared" si="14"/>
        <v>0</v>
      </c>
      <c r="Z74" s="296">
        <f t="shared" si="14"/>
        <v>0</v>
      </c>
      <c r="AA74" s="296">
        <f t="shared" si="14"/>
        <v>9.3121997121680415</v>
      </c>
      <c r="AB74" s="296">
        <f t="shared" si="14"/>
        <v>14.957255803937155</v>
      </c>
      <c r="AC74" s="296">
        <f t="shared" si="15"/>
        <v>2.3374750439277121E-2</v>
      </c>
      <c r="AD74" s="296">
        <f t="shared" si="15"/>
        <v>1.5203089716603002E-2</v>
      </c>
      <c r="AE74" s="296">
        <f t="shared" si="15"/>
        <v>0</v>
      </c>
      <c r="AF74" s="296">
        <f t="shared" si="15"/>
        <v>0</v>
      </c>
      <c r="AG74" s="296">
        <f t="shared" si="15"/>
        <v>0</v>
      </c>
      <c r="AH74" s="296">
        <f t="shared" si="15"/>
        <v>0</v>
      </c>
      <c r="AI74" s="296">
        <f t="shared" si="15"/>
        <v>0</v>
      </c>
      <c r="AJ74" s="296">
        <f t="shared" si="15"/>
        <v>0</v>
      </c>
      <c r="AK74" s="157"/>
    </row>
    <row r="75" spans="3:37">
      <c r="C75" s="155"/>
      <c r="F75" s="63" t="s">
        <v>994</v>
      </c>
      <c r="J75" s="468"/>
      <c r="K75" s="270"/>
      <c r="L75" s="270"/>
      <c r="M75" s="270"/>
      <c r="N75" s="270"/>
      <c r="O75" s="270"/>
      <c r="P75" s="270"/>
      <c r="Q75" s="270"/>
      <c r="R75" s="270"/>
      <c r="S75" s="270"/>
      <c r="T75" s="270"/>
      <c r="U75" s="296">
        <f t="shared" si="13"/>
        <v>288.4049501609511</v>
      </c>
      <c r="V75" s="296">
        <f t="shared" si="13"/>
        <v>230.85872922959416</v>
      </c>
      <c r="W75" s="296">
        <f t="shared" si="13"/>
        <v>256.53926889704508</v>
      </c>
      <c r="X75" s="296">
        <f t="shared" si="14"/>
        <v>282.97186436577152</v>
      </c>
      <c r="Y75" s="296">
        <f t="shared" si="14"/>
        <v>302.77997032278677</v>
      </c>
      <c r="Z75" s="296">
        <f t="shared" si="14"/>
        <v>319.79709441607048</v>
      </c>
      <c r="AA75" s="296">
        <f t="shared" ca="1" si="14"/>
        <v>332.384302084745</v>
      </c>
      <c r="AB75" s="296">
        <f t="shared" ca="1" si="14"/>
        <v>356.32515294133128</v>
      </c>
      <c r="AC75" s="296">
        <f t="shared" ca="1" si="15"/>
        <v>377.04048341693692</v>
      </c>
      <c r="AD75" s="296">
        <f t="shared" ca="1" si="15"/>
        <v>376.81114109452182</v>
      </c>
      <c r="AE75" s="296">
        <f t="shared" ca="1" si="15"/>
        <v>385.11924661377589</v>
      </c>
      <c r="AF75" s="296">
        <f t="shared" ca="1" si="15"/>
        <v>405.47714769034246</v>
      </c>
      <c r="AG75" s="296">
        <f t="shared" ca="1" si="15"/>
        <v>440.78375076269117</v>
      </c>
      <c r="AH75" s="296">
        <f t="shared" ca="1" si="15"/>
        <v>477.93084470822248</v>
      </c>
      <c r="AI75" s="296">
        <f t="shared" ca="1" si="15"/>
        <v>512.23113427972567</v>
      </c>
      <c r="AJ75" s="296">
        <f t="shared" ca="1" si="15"/>
        <v>546.05418625881998</v>
      </c>
      <c r="AK75" s="157"/>
    </row>
    <row r="76" spans="3:37">
      <c r="C76" s="155"/>
      <c r="F76" s="63" t="s">
        <v>995</v>
      </c>
      <c r="J76" s="468"/>
      <c r="K76" s="270"/>
      <c r="L76" s="270"/>
      <c r="M76" s="270"/>
      <c r="N76" s="270"/>
      <c r="O76" s="270"/>
      <c r="P76" s="270"/>
      <c r="Q76" s="270"/>
      <c r="R76" s="270"/>
      <c r="S76" s="270"/>
      <c r="T76" s="270"/>
      <c r="U76" s="296">
        <f t="shared" si="13"/>
        <v>4.0797410681779471</v>
      </c>
      <c r="V76" s="296">
        <f t="shared" si="13"/>
        <v>13.816323091221374</v>
      </c>
      <c r="W76" s="296">
        <f t="shared" si="13"/>
        <v>4.7248043083050844</v>
      </c>
      <c r="X76" s="296">
        <f t="shared" si="14"/>
        <v>2.6868357113800907</v>
      </c>
      <c r="Y76" s="296">
        <f t="shared" si="14"/>
        <v>1.6683508132096068</v>
      </c>
      <c r="Z76" s="296">
        <f t="shared" si="14"/>
        <v>2.545877468891403</v>
      </c>
      <c r="AA76" s="296">
        <f t="shared" si="14"/>
        <v>7.6385603957206714</v>
      </c>
      <c r="AB76" s="296">
        <f t="shared" si="14"/>
        <v>6.2144081054172808</v>
      </c>
      <c r="AC76" s="296">
        <f t="shared" si="15"/>
        <v>5.617434759122248</v>
      </c>
      <c r="AD76" s="296">
        <f t="shared" si="15"/>
        <v>5.617434759122248</v>
      </c>
      <c r="AE76" s="296">
        <f t="shared" si="15"/>
        <v>4.168131235919085</v>
      </c>
      <c r="AF76" s="296">
        <f t="shared" si="15"/>
        <v>4.168131235919085</v>
      </c>
      <c r="AG76" s="296">
        <f t="shared" si="15"/>
        <v>4.168131235919085</v>
      </c>
      <c r="AH76" s="296">
        <f t="shared" si="15"/>
        <v>4.168131235919085</v>
      </c>
      <c r="AI76" s="296">
        <f t="shared" si="15"/>
        <v>4.168131235919085</v>
      </c>
      <c r="AJ76" s="296">
        <f t="shared" si="15"/>
        <v>4.168131235919085</v>
      </c>
      <c r="AK76" s="157"/>
    </row>
    <row r="77" spans="3:37">
      <c r="C77" s="155"/>
      <c r="J77" s="468"/>
      <c r="K77" s="111"/>
      <c r="L77" s="111"/>
      <c r="M77" s="111"/>
      <c r="N77" s="111"/>
      <c r="O77" s="111"/>
      <c r="P77" s="111"/>
      <c r="Q77" s="111"/>
      <c r="R77" s="111"/>
      <c r="S77" s="111"/>
      <c r="T77" s="111"/>
      <c r="U77" s="116"/>
      <c r="V77" s="116"/>
      <c r="W77" s="116"/>
      <c r="X77" s="116"/>
      <c r="Y77" s="116"/>
      <c r="Z77" s="116"/>
      <c r="AA77" s="116"/>
      <c r="AB77" s="116"/>
      <c r="AC77" s="116"/>
      <c r="AD77" s="116"/>
      <c r="AE77" s="116"/>
      <c r="AF77" s="116"/>
      <c r="AG77" s="116"/>
      <c r="AH77" s="116"/>
      <c r="AI77" s="116"/>
      <c r="AJ77" s="116"/>
      <c r="AK77" s="157"/>
    </row>
    <row r="78" spans="3:37">
      <c r="C78" s="155"/>
      <c r="E78" s="674" t="s">
        <v>1003</v>
      </c>
      <c r="G78" s="89"/>
      <c r="H78" s="89"/>
      <c r="I78" s="89"/>
      <c r="J78" s="468"/>
      <c r="K78" s="680"/>
      <c r="L78" s="680"/>
      <c r="M78" s="680"/>
      <c r="N78" s="680"/>
      <c r="O78" s="680"/>
      <c r="P78" s="680"/>
      <c r="Q78" s="680"/>
      <c r="R78" s="680"/>
      <c r="S78" s="680"/>
      <c r="T78" s="680"/>
      <c r="U78" s="469">
        <f>+SUM(U71:U72)-SUM(U73:U76)</f>
        <v>13974.996721133981</v>
      </c>
      <c r="V78" s="469">
        <f t="shared" ref="V78:AJ78" si="16">+SUM(V71:V72)-SUM(V73:V76)</f>
        <v>14252.112733443315</v>
      </c>
      <c r="W78" s="469">
        <f t="shared" si="16"/>
        <v>14629.706817244683</v>
      </c>
      <c r="X78" s="469">
        <f t="shared" si="16"/>
        <v>15089.678563567777</v>
      </c>
      <c r="Y78" s="469">
        <f t="shared" si="16"/>
        <v>15621.166079286351</v>
      </c>
      <c r="Z78" s="469">
        <f t="shared" si="16"/>
        <v>15733.028038124707</v>
      </c>
      <c r="AA78" s="469">
        <f t="shared" ca="1" si="16"/>
        <v>16554.876473436609</v>
      </c>
      <c r="AB78" s="469">
        <f t="shared" ca="1" si="16"/>
        <v>17481.722957370323</v>
      </c>
      <c r="AC78" s="469">
        <f t="shared" ca="1" si="16"/>
        <v>18439.565260998861</v>
      </c>
      <c r="AD78" s="469">
        <f t="shared" ca="1" si="16"/>
        <v>19441.831961511762</v>
      </c>
      <c r="AE78" s="469">
        <f t="shared" ca="1" si="16"/>
        <v>20390.875086484059</v>
      </c>
      <c r="AF78" s="469">
        <f t="shared" ca="1" si="16"/>
        <v>21537.369820147083</v>
      </c>
      <c r="AG78" s="469">
        <f t="shared" ca="1" si="16"/>
        <v>22727.911581394106</v>
      </c>
      <c r="AH78" s="469">
        <f t="shared" ca="1" si="16"/>
        <v>23725.607383012022</v>
      </c>
      <c r="AI78" s="469">
        <f t="shared" ca="1" si="16"/>
        <v>24939.411854591519</v>
      </c>
      <c r="AJ78" s="469">
        <f t="shared" ca="1" si="16"/>
        <v>26251.321459509651</v>
      </c>
      <c r="AK78" s="157"/>
    </row>
    <row r="79" spans="3:37">
      <c r="C79" s="155"/>
      <c r="J79" s="468"/>
      <c r="K79" s="270"/>
      <c r="L79" s="270"/>
      <c r="M79" s="270"/>
      <c r="N79" s="270"/>
      <c r="O79" s="270"/>
      <c r="P79" s="270"/>
      <c r="Q79" s="270"/>
      <c r="R79" s="270"/>
      <c r="S79" s="270"/>
      <c r="T79" s="270"/>
      <c r="U79" s="681">
        <f>+RollForward_FO!U30</f>
        <v>13974.996721133981</v>
      </c>
      <c r="V79" s="681">
        <f>+RollForward_FO!V30</f>
        <v>14252.112733443315</v>
      </c>
      <c r="W79" s="681">
        <f>+RollForward_FO!W30</f>
        <v>14629.706817244683</v>
      </c>
      <c r="X79" s="681">
        <f>+RollForward_FO!X30</f>
        <v>15089.678563567777</v>
      </c>
      <c r="Y79" s="681">
        <f>+RollForward_FO!Y30</f>
        <v>15621.166079286351</v>
      </c>
      <c r="Z79" s="681">
        <f>+RollForward_FO!Z30</f>
        <v>15733.028038124707</v>
      </c>
      <c r="AA79" s="681">
        <f ca="1">+RollForward_FO!AA30</f>
        <v>16554.876473436609</v>
      </c>
      <c r="AB79" s="681">
        <f ca="1">+RollForward_FO!AB30</f>
        <v>17481.722957370323</v>
      </c>
      <c r="AC79" s="681">
        <f ca="1">+RollForward_FO!AC30</f>
        <v>18439.565260998861</v>
      </c>
      <c r="AD79" s="681">
        <f ca="1">+RollForward_FO!AD30</f>
        <v>19441.831961511762</v>
      </c>
      <c r="AE79" s="681">
        <f ca="1">+RollForward_FO!AE30</f>
        <v>20390.875086484059</v>
      </c>
      <c r="AF79" s="681">
        <f ca="1">+RollForward_FO!AF30</f>
        <v>21537.369820147083</v>
      </c>
      <c r="AG79" s="681">
        <f ca="1">+RollForward_FO!AG30</f>
        <v>22727.911581394106</v>
      </c>
      <c r="AH79" s="681">
        <f ca="1">+RollForward_FO!AH30</f>
        <v>23725.607383012022</v>
      </c>
      <c r="AI79" s="681">
        <f ca="1">+RollForward_FO!AI30</f>
        <v>24939.411854591519</v>
      </c>
      <c r="AJ79" s="681">
        <f ca="1">+RollForward_FO!AJ30</f>
        <v>26251.321459509651</v>
      </c>
      <c r="AK79" s="157"/>
    </row>
    <row r="80" spans="3:37">
      <c r="C80" s="155"/>
      <c r="J80" s="468"/>
      <c r="K80" s="682"/>
      <c r="L80" s="682"/>
      <c r="M80" s="682"/>
      <c r="N80" s="682"/>
      <c r="O80" s="682"/>
      <c r="P80" s="682"/>
      <c r="Q80" s="682"/>
      <c r="R80" s="682"/>
      <c r="S80" s="682"/>
      <c r="T80" s="682"/>
      <c r="U80" s="1660">
        <f>IF(+U79=U78,0,1)</f>
        <v>0</v>
      </c>
      <c r="V80" s="1660">
        <f t="shared" ref="V80:AJ80" si="17">IF(+V79=V78,0,1)</f>
        <v>0</v>
      </c>
      <c r="W80" s="1660">
        <f t="shared" si="17"/>
        <v>0</v>
      </c>
      <c r="X80" s="1660">
        <f t="shared" si="17"/>
        <v>0</v>
      </c>
      <c r="Y80" s="1660">
        <f t="shared" si="17"/>
        <v>0</v>
      </c>
      <c r="Z80" s="1660">
        <f t="shared" si="17"/>
        <v>0</v>
      </c>
      <c r="AA80" s="1660">
        <f t="shared" ca="1" si="17"/>
        <v>0</v>
      </c>
      <c r="AB80" s="1660">
        <f t="shared" ca="1" si="17"/>
        <v>0</v>
      </c>
      <c r="AC80" s="1660">
        <f t="shared" ca="1" si="17"/>
        <v>0</v>
      </c>
      <c r="AD80" s="1660">
        <f t="shared" ca="1" si="17"/>
        <v>0</v>
      </c>
      <c r="AE80" s="1660">
        <f t="shared" ca="1" si="17"/>
        <v>0</v>
      </c>
      <c r="AF80" s="1660">
        <f t="shared" ca="1" si="17"/>
        <v>0</v>
      </c>
      <c r="AG80" s="1660">
        <f t="shared" ca="1" si="17"/>
        <v>0</v>
      </c>
      <c r="AH80" s="1660">
        <f t="shared" ca="1" si="17"/>
        <v>0</v>
      </c>
      <c r="AI80" s="1660">
        <f t="shared" ca="1" si="17"/>
        <v>0</v>
      </c>
      <c r="AJ80" s="1660">
        <f t="shared" ca="1" si="17"/>
        <v>0</v>
      </c>
      <c r="AK80" s="157"/>
    </row>
    <row r="81" spans="3:37">
      <c r="C81" s="155"/>
      <c r="E81" s="674" t="s">
        <v>1004</v>
      </c>
      <c r="J81" s="468"/>
      <c r="K81" s="211"/>
      <c r="L81" s="211"/>
      <c r="M81" s="211"/>
      <c r="N81" s="211"/>
      <c r="O81" s="211"/>
      <c r="P81" s="211"/>
      <c r="Q81" s="211"/>
      <c r="R81" s="211"/>
      <c r="S81" s="211"/>
      <c r="T81" s="211"/>
      <c r="U81" s="166">
        <f t="shared" ref="U81:AF81" si="18">+U78-U79</f>
        <v>0</v>
      </c>
      <c r="V81" s="166">
        <f t="shared" si="18"/>
        <v>0</v>
      </c>
      <c r="W81" s="166">
        <f t="shared" si="18"/>
        <v>0</v>
      </c>
      <c r="X81" s="166">
        <f t="shared" si="18"/>
        <v>0</v>
      </c>
      <c r="Y81" s="166">
        <f t="shared" si="18"/>
        <v>0</v>
      </c>
      <c r="Z81" s="166">
        <f t="shared" si="18"/>
        <v>0</v>
      </c>
      <c r="AA81" s="166">
        <f t="shared" ca="1" si="18"/>
        <v>0</v>
      </c>
      <c r="AB81" s="166">
        <f t="shared" ca="1" si="18"/>
        <v>0</v>
      </c>
      <c r="AC81" s="166">
        <f t="shared" ca="1" si="18"/>
        <v>0</v>
      </c>
      <c r="AD81" s="166">
        <f t="shared" ca="1" si="18"/>
        <v>0</v>
      </c>
      <c r="AE81" s="166">
        <f t="shared" ca="1" si="18"/>
        <v>0</v>
      </c>
      <c r="AF81" s="166">
        <f t="shared" ca="1" si="18"/>
        <v>0</v>
      </c>
      <c r="AG81" s="166">
        <f ca="1">+AG78-AG79</f>
        <v>0</v>
      </c>
      <c r="AH81" s="166">
        <f ca="1">+AH78-AH79</f>
        <v>0</v>
      </c>
      <c r="AI81" s="166">
        <f ca="1">+AI78-AI79</f>
        <v>0</v>
      </c>
      <c r="AJ81" s="166">
        <f ca="1">+AJ78-AJ79</f>
        <v>0</v>
      </c>
      <c r="AK81" s="157"/>
    </row>
    <row r="82" spans="3:37">
      <c r="C82" s="155"/>
      <c r="J82" s="468"/>
      <c r="K82" s="211"/>
      <c r="L82" s="211"/>
      <c r="M82" s="211"/>
      <c r="N82" s="211"/>
      <c r="O82" s="211"/>
      <c r="P82" s="211"/>
      <c r="Q82" s="211"/>
      <c r="R82" s="211"/>
      <c r="S82" s="211"/>
      <c r="T82" s="211"/>
      <c r="U82" s="166"/>
      <c r="V82" s="166"/>
      <c r="W82" s="166"/>
      <c r="X82" s="166"/>
      <c r="Y82" s="166"/>
      <c r="Z82" s="166"/>
      <c r="AA82" s="166"/>
      <c r="AB82" s="166"/>
      <c r="AC82" s="166"/>
      <c r="AD82" s="166"/>
      <c r="AE82" s="166"/>
      <c r="AF82" s="166"/>
      <c r="AG82" s="166"/>
      <c r="AH82" s="166"/>
      <c r="AI82" s="166"/>
      <c r="AJ82" s="166"/>
      <c r="AK82" s="157"/>
    </row>
    <row r="83" spans="3:37">
      <c r="C83" s="155"/>
      <c r="F83" s="63" t="s">
        <v>213</v>
      </c>
      <c r="J83" s="468"/>
      <c r="K83" s="67"/>
      <c r="L83" s="67"/>
      <c r="M83" s="67"/>
      <c r="N83" s="67"/>
      <c r="O83" s="67"/>
      <c r="P83" s="67"/>
      <c r="Q83" s="67"/>
      <c r="R83" s="67"/>
      <c r="S83" s="67"/>
      <c r="T83" s="67"/>
      <c r="AK83" s="157"/>
    </row>
    <row r="84" spans="3:37">
      <c r="C84" s="155"/>
      <c r="F84" s="63" t="s">
        <v>1005</v>
      </c>
      <c r="J84" s="468"/>
      <c r="K84" s="683"/>
      <c r="L84" s="683"/>
      <c r="M84" s="683"/>
      <c r="N84" s="683"/>
      <c r="O84" s="683"/>
      <c r="P84" s="683"/>
      <c r="Q84" s="683"/>
      <c r="R84" s="683"/>
      <c r="S84" s="683"/>
      <c r="T84" s="683"/>
      <c r="U84" s="683">
        <f>+KeyAssumptionsPriceControl_FO!Z14</f>
        <v>2.1910604732690686E-2</v>
      </c>
      <c r="V84" s="1818">
        <f>+KeyAssumptionsPriceControl_FO!AA14</f>
        <v>1.1149228130360234E-2</v>
      </c>
      <c r="W84" s="1818">
        <f>+KeyAssumptionsPriceControl_FO!AB14</f>
        <v>5.0890585241730291E-2</v>
      </c>
      <c r="X84" s="1818">
        <f>+KeyAssumptionsPriceControl_FO!AC14</f>
        <v>7.0217917675544639E-2</v>
      </c>
      <c r="Y84" s="1818">
        <f>+KeyAssumptionsPriceControl_FO!AD14</f>
        <v>3.6199095022624528E-2</v>
      </c>
      <c r="Z84" s="1818">
        <f>+KeyAssumptionsPriceControl_FO!AE14</f>
        <v>2.4017467248908186E-2</v>
      </c>
      <c r="AA84" s="1818">
        <f>+KeyAssumptionsPriceControl_FO!AF14</f>
        <v>2.9000000000000001E-2</v>
      </c>
      <c r="AB84" s="1818">
        <f>+KeyAssumptionsPriceControl_FO!AG14</f>
        <v>2.9000000000000001E-2</v>
      </c>
      <c r="AC84" s="1818">
        <f>+KeyAssumptionsPriceControl_FO!AH14</f>
        <v>2.9000000000000001E-2</v>
      </c>
      <c r="AD84" s="1818">
        <f>+KeyAssumptionsPriceControl_FO!AI14</f>
        <v>2.9000000000000001E-2</v>
      </c>
      <c r="AE84" s="1818">
        <f>+KeyAssumptionsPriceControl_FO!AJ14</f>
        <v>2.9000000000000001E-2</v>
      </c>
      <c r="AF84" s="1818">
        <f>+KeyAssumptionsPriceControl_FO!AK14</f>
        <v>2.9000000000000001E-2</v>
      </c>
      <c r="AG84" s="1818">
        <f>+KeyAssumptionsPriceControl_FO!AL14</f>
        <v>2.9000000000000001E-2</v>
      </c>
      <c r="AH84" s="1818">
        <f>+KeyAssumptionsPriceControl_FO!AM14</f>
        <v>2.9000000000000001E-2</v>
      </c>
      <c r="AI84" s="1818">
        <f>+KeyAssumptionsPriceControl_FO!AN14</f>
        <v>2.9000000000000001E-2</v>
      </c>
      <c r="AJ84" s="1818">
        <f>+KeyAssumptionsPriceControl_FO!AO14</f>
        <v>2.9000000000000001E-2</v>
      </c>
      <c r="AK84" s="157"/>
    </row>
    <row r="85" spans="3:37">
      <c r="C85" s="155"/>
      <c r="F85" s="63" t="s">
        <v>196</v>
      </c>
      <c r="J85" s="468"/>
      <c r="K85" s="685"/>
      <c r="L85" s="685"/>
      <c r="M85" s="685"/>
      <c r="N85" s="685"/>
      <c r="O85" s="685"/>
      <c r="P85" s="685"/>
      <c r="Q85" s="685"/>
      <c r="R85" s="685"/>
      <c r="S85" s="685"/>
      <c r="T85" s="685"/>
      <c r="U85" s="685">
        <f>+KeyAssumptionsPriceControl_FO!Z15</f>
        <v>0.82871357498223175</v>
      </c>
      <c r="V85" s="208">
        <f>+KeyAssumptionsPriceControl_FO!AA15</f>
        <v>0.8379530916844351</v>
      </c>
      <c r="W85" s="208">
        <f>+KeyAssumptionsPriceControl_FO!AB15</f>
        <v>0.88059701492537323</v>
      </c>
      <c r="X85" s="208">
        <f>+KeyAssumptionsPriceControl_FO!AC15</f>
        <v>0.94243070362473347</v>
      </c>
      <c r="Y85" s="208">
        <f>+KeyAssumptionsPriceControl_FO!AD15</f>
        <v>0.97654584221748408</v>
      </c>
      <c r="Z85" s="208">
        <f>+KeyAssumptionsPriceControl_FO!AE15</f>
        <v>1</v>
      </c>
      <c r="AA85" s="208">
        <f>+KeyAssumptionsPriceControl_FO!AF15</f>
        <v>1.0289999999999999</v>
      </c>
      <c r="AB85" s="208">
        <f>+KeyAssumptionsPriceControl_FO!AG15</f>
        <v>1.0588409999999999</v>
      </c>
      <c r="AC85" s="208">
        <f>+KeyAssumptionsPriceControl_FO!AH15</f>
        <v>1.0895473889999998</v>
      </c>
      <c r="AD85" s="208">
        <f>+KeyAssumptionsPriceControl_FO!AI15</f>
        <v>1.1211442632809998</v>
      </c>
      <c r="AE85" s="208">
        <f>+KeyAssumptionsPriceControl_FO!AJ15</f>
        <v>1.1536574469161487</v>
      </c>
      <c r="AF85" s="208">
        <f>+KeyAssumptionsPriceControl_FO!AK15</f>
        <v>1.187113512876717</v>
      </c>
      <c r="AG85" s="208">
        <f>+KeyAssumptionsPriceControl_FO!AL15</f>
        <v>1.2215398047501416</v>
      </c>
      <c r="AH85" s="208">
        <f>+KeyAssumptionsPriceControl_FO!AM15</f>
        <v>1.2569644590878957</v>
      </c>
      <c r="AI85" s="208">
        <f>+KeyAssumptionsPriceControl_FO!AN15</f>
        <v>1.2934164284014444</v>
      </c>
      <c r="AJ85" s="208">
        <f>+KeyAssumptionsPriceControl_FO!AO15</f>
        <v>1.3309255048250863</v>
      </c>
      <c r="AK85" s="157"/>
    </row>
    <row r="86" spans="3:37">
      <c r="C86" s="155"/>
      <c r="F86" s="63" t="s">
        <v>226</v>
      </c>
      <c r="J86" s="468"/>
      <c r="K86" s="686"/>
      <c r="L86" s="686"/>
      <c r="M86" s="686"/>
      <c r="N86" s="686"/>
      <c r="O86" s="686"/>
      <c r="P86" s="686"/>
      <c r="Q86" s="686"/>
      <c r="R86" s="686"/>
      <c r="S86" s="686"/>
      <c r="T86" s="686"/>
      <c r="U86" s="673">
        <f t="shared" ref="U86:AJ86" si="19">+$H$90</f>
        <v>0.6</v>
      </c>
      <c r="V86" s="673">
        <f t="shared" si="19"/>
        <v>0.6</v>
      </c>
      <c r="W86" s="673">
        <f t="shared" si="19"/>
        <v>0.6</v>
      </c>
      <c r="X86" s="673">
        <f t="shared" si="19"/>
        <v>0.6</v>
      </c>
      <c r="Y86" s="673">
        <f t="shared" si="19"/>
        <v>0.6</v>
      </c>
      <c r="Z86" s="673">
        <f t="shared" si="19"/>
        <v>0.6</v>
      </c>
      <c r="AA86" s="673">
        <f t="shared" si="19"/>
        <v>0.6</v>
      </c>
      <c r="AB86" s="673">
        <f t="shared" si="19"/>
        <v>0.6</v>
      </c>
      <c r="AC86" s="673">
        <f t="shared" si="19"/>
        <v>0.6</v>
      </c>
      <c r="AD86" s="673">
        <f t="shared" si="19"/>
        <v>0.6</v>
      </c>
      <c r="AE86" s="673">
        <f t="shared" si="19"/>
        <v>0.6</v>
      </c>
      <c r="AF86" s="673">
        <f t="shared" si="19"/>
        <v>0.6</v>
      </c>
      <c r="AG86" s="673">
        <f t="shared" si="19"/>
        <v>0.6</v>
      </c>
      <c r="AH86" s="673">
        <f t="shared" si="19"/>
        <v>0.6</v>
      </c>
      <c r="AI86" s="673">
        <f t="shared" si="19"/>
        <v>0.6</v>
      </c>
      <c r="AJ86" s="673">
        <f t="shared" si="19"/>
        <v>0.6</v>
      </c>
      <c r="AK86" s="157"/>
    </row>
    <row r="87" spans="3:37">
      <c r="C87" s="155"/>
      <c r="F87" s="63" t="s">
        <v>989</v>
      </c>
      <c r="J87" s="468"/>
      <c r="K87" s="686"/>
      <c r="L87" s="686"/>
      <c r="M87" s="686"/>
      <c r="N87" s="686"/>
      <c r="O87" s="686"/>
      <c r="P87" s="686"/>
      <c r="Q87" s="686"/>
      <c r="R87" s="686"/>
      <c r="S87" s="686"/>
      <c r="T87" s="686"/>
      <c r="U87" s="673">
        <f t="shared" ref="U87:AB87" si="20">+U28</f>
        <v>0.3</v>
      </c>
      <c r="V87" s="673">
        <f t="shared" si="20"/>
        <v>0.3</v>
      </c>
      <c r="W87" s="673">
        <f t="shared" si="20"/>
        <v>0.3</v>
      </c>
      <c r="X87" s="673">
        <f t="shared" si="20"/>
        <v>0.3</v>
      </c>
      <c r="Y87" s="673">
        <f t="shared" si="20"/>
        <v>0.3</v>
      </c>
      <c r="Z87" s="673">
        <f t="shared" si="20"/>
        <v>0.3</v>
      </c>
      <c r="AA87" s="673">
        <f t="shared" si="20"/>
        <v>0.3</v>
      </c>
      <c r="AB87" s="673">
        <f t="shared" si="20"/>
        <v>0.3</v>
      </c>
      <c r="AC87" s="673">
        <f t="shared" ref="AC87:AJ87" si="21">+AC28</f>
        <v>0.3</v>
      </c>
      <c r="AD87" s="673">
        <f t="shared" si="21"/>
        <v>0.3</v>
      </c>
      <c r="AE87" s="673">
        <f t="shared" si="21"/>
        <v>0.3</v>
      </c>
      <c r="AF87" s="673">
        <f t="shared" si="21"/>
        <v>0.3</v>
      </c>
      <c r="AG87" s="673">
        <f t="shared" si="21"/>
        <v>0.3</v>
      </c>
      <c r="AH87" s="673">
        <f t="shared" si="21"/>
        <v>0.3</v>
      </c>
      <c r="AI87" s="673">
        <f t="shared" si="21"/>
        <v>0.3</v>
      </c>
      <c r="AJ87" s="673">
        <f t="shared" si="21"/>
        <v>0.3</v>
      </c>
      <c r="AK87" s="157"/>
    </row>
    <row r="88" spans="3:37">
      <c r="C88" s="155"/>
      <c r="J88" s="468"/>
      <c r="K88" s="211"/>
      <c r="L88" s="211"/>
      <c r="M88" s="211"/>
      <c r="N88" s="211"/>
      <c r="O88" s="211"/>
      <c r="P88" s="211"/>
      <c r="Q88" s="211"/>
      <c r="R88" s="211"/>
      <c r="S88" s="211"/>
      <c r="T88" s="211"/>
      <c r="U88" s="166"/>
      <c r="V88" s="166"/>
      <c r="W88" s="166"/>
      <c r="AK88" s="157"/>
    </row>
    <row r="89" spans="3:37">
      <c r="C89" s="155"/>
      <c r="J89" s="468"/>
      <c r="O89" s="684"/>
      <c r="P89" s="684"/>
      <c r="Q89" s="684"/>
      <c r="R89" s="684"/>
      <c r="S89" s="684"/>
      <c r="T89" s="684"/>
      <c r="U89" s="684"/>
      <c r="V89" s="684"/>
      <c r="W89" s="684"/>
      <c r="Y89" s="684"/>
      <c r="Z89" s="684"/>
      <c r="AA89" s="684"/>
      <c r="AB89" s="684"/>
      <c r="AC89" s="684"/>
      <c r="AD89" s="684"/>
      <c r="AE89" s="684"/>
      <c r="AF89" s="684"/>
      <c r="AG89" s="684"/>
      <c r="AH89" s="684"/>
      <c r="AI89" s="684"/>
      <c r="AJ89" s="684"/>
      <c r="AK89" s="157"/>
    </row>
    <row r="90" spans="3:37">
      <c r="C90" s="155"/>
      <c r="F90" s="63" t="str">
        <f>+KeyAssumptionsPriceControl_FO!F38</f>
        <v>Gearing (Debt/Assets)</v>
      </c>
      <c r="H90" s="1834">
        <f>KeyAssumptionsPriceControl_FO!$AF$43</f>
        <v>0.6</v>
      </c>
      <c r="J90" s="468"/>
      <c r="O90" s="166"/>
      <c r="P90" s="166"/>
      <c r="Q90" s="166"/>
      <c r="R90" s="166"/>
      <c r="S90" s="166"/>
      <c r="T90" s="166"/>
      <c r="U90" s="166"/>
      <c r="V90" s="166"/>
      <c r="W90" s="166"/>
      <c r="X90" s="166"/>
      <c r="Y90" s="166"/>
      <c r="Z90" s="166"/>
      <c r="AA90" s="166"/>
      <c r="AB90" s="166"/>
      <c r="AC90" s="166"/>
      <c r="AD90" s="166"/>
      <c r="AE90" s="166"/>
      <c r="AF90" s="166"/>
      <c r="AG90" s="166"/>
      <c r="AH90" s="166"/>
      <c r="AI90" s="166"/>
      <c r="AJ90" s="166"/>
      <c r="AK90" s="157"/>
    </row>
    <row r="91" spans="3:37">
      <c r="C91" s="155"/>
      <c r="F91" s="63" t="s">
        <v>1006</v>
      </c>
      <c r="J91" s="468"/>
      <c r="K91" s="166"/>
      <c r="O91" s="687"/>
      <c r="P91" s="687"/>
      <c r="Q91" s="687"/>
      <c r="R91" s="687"/>
      <c r="S91" s="687"/>
      <c r="T91" s="687"/>
      <c r="U91" s="1832">
        <f>KeyAssumptionsPriceControl_FO!Z26</f>
        <v>5.36643942885911E-2</v>
      </c>
      <c r="V91" s="1832">
        <f>KeyAssumptionsPriceControl_FO!AA26</f>
        <v>4.9662610146319931E-2</v>
      </c>
      <c r="W91" s="1832">
        <f>KeyAssumptionsPriceControl_FO!AB26</f>
        <v>4.7107022205707838E-2</v>
      </c>
      <c r="X91" s="1832">
        <f>KeyAssumptionsPriceControl_FO!AC26</f>
        <v>4.8598371746017124E-2</v>
      </c>
      <c r="Y91" s="1832">
        <f>KeyAssumptionsPriceControl_FO!AD26</f>
        <v>4.8079201746017139E-2</v>
      </c>
      <c r="Z91" s="1832">
        <f>KeyAssumptionsPriceControl_FO!AE26</f>
        <v>4.8561668412683813E-2</v>
      </c>
      <c r="AA91" s="1832">
        <f>KeyAssumptionsPriceControl_FO!AF26</f>
        <v>4.9134829999999997E-2</v>
      </c>
      <c r="AB91" s="1832">
        <f>KeyAssumptionsPriceControl_FO!AG26</f>
        <v>5.0069796666666673E-2</v>
      </c>
      <c r="AC91" s="1832">
        <f>KeyAssumptionsPriceControl_FO!AH26</f>
        <v>5.138479666666667E-2</v>
      </c>
      <c r="AD91" s="1832">
        <f>KeyAssumptionsPriceControl_FO!AI26</f>
        <v>5.2614763333333342E-2</v>
      </c>
      <c r="AE91" s="1832">
        <f>KeyAssumptionsPriceControl_FO!AJ26</f>
        <v>5.515223000000001E-2</v>
      </c>
      <c r="AF91" s="1832">
        <f>KeyAssumptionsPriceControl_FO!AK26</f>
        <v>5.7950530000000014E-2</v>
      </c>
      <c r="AG91" s="1832">
        <f>KeyAssumptionsPriceControl_FO!AL26</f>
        <v>6.0040530000000009E-2</v>
      </c>
      <c r="AH91" s="1832">
        <f>KeyAssumptionsPriceControl_FO!AM26</f>
        <v>5.9123030000000007E-2</v>
      </c>
      <c r="AI91" s="1832">
        <f>KeyAssumptionsPriceControl_FO!AN26</f>
        <v>5.8433000000000013E-2</v>
      </c>
      <c r="AJ91" s="1832">
        <f>KeyAssumptionsPriceControl_FO!AO26</f>
        <v>5.8433000000000013E-2</v>
      </c>
      <c r="AK91" s="157"/>
    </row>
    <row r="92" spans="3:37">
      <c r="C92" s="155"/>
      <c r="F92" s="63" t="s">
        <v>222</v>
      </c>
      <c r="H92" s="1833">
        <v>0.5</v>
      </c>
      <c r="J92" s="468"/>
      <c r="K92" s="166"/>
      <c r="O92" s="166"/>
      <c r="P92" s="166"/>
      <c r="Q92" s="166"/>
      <c r="R92" s="166"/>
      <c r="S92" s="166"/>
      <c r="T92" s="166"/>
      <c r="U92" s="1831">
        <f t="shared" ref="U92:AA92" si="22">$H$92</f>
        <v>0.5</v>
      </c>
      <c r="V92" s="1831">
        <f t="shared" si="22"/>
        <v>0.5</v>
      </c>
      <c r="W92" s="1831">
        <f t="shared" si="22"/>
        <v>0.5</v>
      </c>
      <c r="X92" s="1831">
        <f t="shared" si="22"/>
        <v>0.5</v>
      </c>
      <c r="Y92" s="1831">
        <f t="shared" si="22"/>
        <v>0.5</v>
      </c>
      <c r="Z92" s="1831">
        <f t="shared" si="22"/>
        <v>0.5</v>
      </c>
      <c r="AA92" s="1831">
        <f t="shared" si="22"/>
        <v>0.5</v>
      </c>
      <c r="AB92" s="1831">
        <f>AA92</f>
        <v>0.5</v>
      </c>
      <c r="AC92" s="1831">
        <f t="shared" ref="AC92:AJ92" si="23">AB92</f>
        <v>0.5</v>
      </c>
      <c r="AD92" s="1831">
        <f t="shared" si="23"/>
        <v>0.5</v>
      </c>
      <c r="AE92" s="1831">
        <f t="shared" si="23"/>
        <v>0.5</v>
      </c>
      <c r="AF92" s="1831">
        <f t="shared" si="23"/>
        <v>0.5</v>
      </c>
      <c r="AG92" s="1831">
        <f t="shared" si="23"/>
        <v>0.5</v>
      </c>
      <c r="AH92" s="1831">
        <f t="shared" si="23"/>
        <v>0.5</v>
      </c>
      <c r="AI92" s="1831">
        <f t="shared" si="23"/>
        <v>0.5</v>
      </c>
      <c r="AJ92" s="1831">
        <f t="shared" si="23"/>
        <v>0.5</v>
      </c>
      <c r="AK92" s="157"/>
    </row>
    <row r="93" spans="3:37">
      <c r="C93" s="155"/>
      <c r="J93" s="468"/>
      <c r="K93" s="212"/>
      <c r="M93" s="212"/>
      <c r="N93" s="166"/>
      <c r="O93" s="166"/>
      <c r="P93" s="166"/>
      <c r="Q93" s="166"/>
      <c r="R93" s="166"/>
      <c r="S93" s="688"/>
      <c r="T93" s="166"/>
      <c r="U93" s="166"/>
      <c r="V93" s="166"/>
      <c r="W93" s="166"/>
      <c r="X93" s="166"/>
      <c r="Y93" s="166"/>
      <c r="Z93" s="166"/>
      <c r="AA93" s="166"/>
      <c r="AB93" s="166"/>
      <c r="AC93" s="166"/>
      <c r="AD93" s="166"/>
      <c r="AE93" s="166"/>
      <c r="AF93" s="166"/>
      <c r="AG93" s="166"/>
      <c r="AH93" s="166"/>
      <c r="AI93" s="166"/>
      <c r="AJ93" s="166"/>
      <c r="AK93" s="157"/>
    </row>
    <row r="94" spans="3:37">
      <c r="C94" s="155"/>
      <c r="J94" s="468"/>
      <c r="K94" s="212"/>
      <c r="M94" s="212"/>
      <c r="N94" s="166"/>
      <c r="O94" s="166"/>
      <c r="P94" s="166"/>
      <c r="Q94" s="166"/>
      <c r="R94" s="166"/>
      <c r="S94" s="688"/>
      <c r="T94" s="166"/>
      <c r="U94" s="166"/>
      <c r="V94" s="166"/>
      <c r="W94" s="166"/>
      <c r="X94" s="166"/>
      <c r="Y94" s="166"/>
      <c r="Z94" s="166"/>
      <c r="AA94" s="166"/>
      <c r="AB94" s="166"/>
      <c r="AC94" s="166"/>
      <c r="AD94" s="166"/>
      <c r="AE94" s="166"/>
      <c r="AF94" s="166"/>
      <c r="AG94" s="166"/>
      <c r="AH94" s="166"/>
      <c r="AI94" s="166"/>
      <c r="AJ94" s="166"/>
      <c r="AK94" s="157"/>
    </row>
    <row r="95" spans="3:37">
      <c r="C95" s="155"/>
      <c r="F95" s="89" t="s">
        <v>1007</v>
      </c>
      <c r="J95" s="468"/>
      <c r="K95" s="212"/>
      <c r="L95" s="212"/>
      <c r="M95" s="212"/>
      <c r="N95" s="166"/>
      <c r="O95" s="166"/>
      <c r="P95" s="166"/>
      <c r="Q95" s="166"/>
      <c r="R95" s="166"/>
      <c r="S95" s="166"/>
      <c r="T95" s="166"/>
      <c r="U95" s="166"/>
      <c r="V95" s="166"/>
      <c r="W95" s="166"/>
      <c r="X95" s="166"/>
      <c r="Y95" s="166"/>
      <c r="Z95" s="166"/>
      <c r="AA95" s="166"/>
      <c r="AB95" s="166"/>
      <c r="AC95" s="166"/>
      <c r="AD95" s="166"/>
      <c r="AE95" s="166"/>
      <c r="AF95" s="166"/>
      <c r="AG95" s="166"/>
      <c r="AH95" s="166"/>
      <c r="AI95" s="166"/>
      <c r="AJ95" s="166"/>
      <c r="AK95" s="157"/>
    </row>
    <row r="96" spans="3:37">
      <c r="C96" s="155"/>
      <c r="J96" s="468"/>
      <c r="K96" s="166"/>
      <c r="L96" s="166"/>
      <c r="M96" s="166"/>
      <c r="N96" s="166"/>
      <c r="O96" s="166"/>
      <c r="P96" s="166"/>
      <c r="Q96" s="166"/>
      <c r="R96" s="166"/>
      <c r="S96" s="166"/>
      <c r="T96" s="166"/>
      <c r="U96" s="166"/>
      <c r="V96" s="166"/>
      <c r="W96" s="166"/>
      <c r="X96" s="166"/>
      <c r="Y96" s="166"/>
      <c r="Z96" s="166"/>
      <c r="AA96" s="166"/>
      <c r="AB96" s="166"/>
      <c r="AC96" s="166"/>
      <c r="AD96" s="166"/>
      <c r="AE96" s="166"/>
      <c r="AF96" s="166"/>
      <c r="AG96" s="166"/>
      <c r="AH96" s="166"/>
      <c r="AI96" s="166"/>
      <c r="AJ96" s="166"/>
      <c r="AK96" s="157"/>
    </row>
    <row r="97" spans="3:37">
      <c r="C97" s="155"/>
      <c r="F97" s="689" t="str">
        <f>Expenditure_Detail!$B$6</f>
        <v>$m, 01/01/26</v>
      </c>
      <c r="J97" s="468"/>
      <c r="K97" s="166"/>
      <c r="L97" s="166"/>
      <c r="M97" s="166"/>
      <c r="N97" s="166"/>
      <c r="O97" s="166"/>
      <c r="P97" s="166"/>
      <c r="Q97" s="166"/>
      <c r="R97" s="166"/>
      <c r="S97" s="166"/>
      <c r="T97" s="166"/>
      <c r="U97" s="166"/>
      <c r="V97" s="166"/>
      <c r="W97" s="166"/>
      <c r="X97" s="166"/>
      <c r="Y97" s="166"/>
      <c r="Z97" s="166"/>
      <c r="AA97" s="166"/>
      <c r="AB97" s="166"/>
      <c r="AC97" s="166"/>
      <c r="AD97" s="166"/>
      <c r="AE97" s="166"/>
      <c r="AF97" s="166"/>
      <c r="AG97" s="166"/>
      <c r="AH97" s="166"/>
      <c r="AI97" s="166"/>
      <c r="AJ97" s="166"/>
      <c r="AK97" s="157"/>
    </row>
    <row r="98" spans="3:37">
      <c r="C98" s="155"/>
      <c r="F98" s="63" t="s">
        <v>836</v>
      </c>
      <c r="J98" s="468"/>
      <c r="K98" s="296"/>
      <c r="L98" s="296"/>
      <c r="M98" s="296"/>
      <c r="N98" s="468"/>
      <c r="O98" s="468"/>
      <c r="P98" s="468"/>
      <c r="Q98" s="468"/>
      <c r="R98" s="468"/>
      <c r="S98" s="270"/>
      <c r="T98" s="270"/>
      <c r="U98" s="270">
        <f t="shared" ref="U98:Z98" si="24">U23</f>
        <v>2046.2315172530705</v>
      </c>
      <c r="V98" s="270">
        <f t="shared" si="24"/>
        <v>1858.5664789427162</v>
      </c>
      <c r="W98" s="270">
        <f t="shared" si="24"/>
        <v>1893.0493600804243</v>
      </c>
      <c r="X98" s="270">
        <f t="shared" si="24"/>
        <v>1925.145146714148</v>
      </c>
      <c r="Y98" s="270">
        <f t="shared" si="24"/>
        <v>1940.8329096597854</v>
      </c>
      <c r="Z98" s="270">
        <f t="shared" si="24"/>
        <v>1958.4335203749017</v>
      </c>
      <c r="AA98" s="458">
        <f t="shared" ref="AA98:AF98" ca="1" si="25">SUM(AA15:AA19)</f>
        <v>1899.1764146245575</v>
      </c>
      <c r="AB98" s="270">
        <f t="shared" ca="1" si="25"/>
        <v>1951.3618040417866</v>
      </c>
      <c r="AC98" s="270">
        <f t="shared" ca="1" si="25"/>
        <v>2019.3960449377626</v>
      </c>
      <c r="AD98" s="270">
        <f t="shared" ca="1" si="25"/>
        <v>2043.6855806302183</v>
      </c>
      <c r="AE98" s="270">
        <f t="shared" ca="1" si="25"/>
        <v>2089.5362400669601</v>
      </c>
      <c r="AF98" s="270">
        <f t="shared" ca="1" si="25"/>
        <v>2157.8927909698082</v>
      </c>
      <c r="AG98" s="270">
        <f ca="1">SUM(AG15:AG19)</f>
        <v>2233.8328267014203</v>
      </c>
      <c r="AH98" s="270">
        <f ca="1">SUM(AH15:AH19)</f>
        <v>2260.8628732680368</v>
      </c>
      <c r="AI98" s="270">
        <f ca="1">SUM(AI15:AI19)</f>
        <v>2297.028144723784</v>
      </c>
      <c r="AJ98" s="270">
        <f ca="1">SUM(AJ15:AJ19)</f>
        <v>2342.8867391228632</v>
      </c>
      <c r="AK98" s="157"/>
    </row>
    <row r="99" spans="3:37">
      <c r="C99" s="155"/>
      <c r="F99" s="63" t="s">
        <v>489</v>
      </c>
      <c r="J99" s="468"/>
      <c r="K99" s="296"/>
      <c r="L99" s="296"/>
      <c r="M99" s="296"/>
      <c r="N99" s="468"/>
      <c r="O99" s="468"/>
      <c r="P99" s="468"/>
      <c r="Q99" s="468"/>
      <c r="R99" s="468"/>
      <c r="S99" s="270"/>
      <c r="T99" s="270"/>
      <c r="U99" s="468">
        <f t="shared" ref="U99:Z99" si="26">+U73</f>
        <v>210.8960332453432</v>
      </c>
      <c r="V99" s="468">
        <f t="shared" si="26"/>
        <v>230.07077214842749</v>
      </c>
      <c r="W99" s="468">
        <f t="shared" si="26"/>
        <v>244.47369722033895</v>
      </c>
      <c r="X99" s="468">
        <f t="shared" si="26"/>
        <v>229.85439754180234</v>
      </c>
      <c r="Y99" s="468">
        <f t="shared" si="26"/>
        <v>222.79739963284294</v>
      </c>
      <c r="Z99" s="468">
        <f t="shared" si="26"/>
        <v>244.65017134288519</v>
      </c>
      <c r="AA99" s="468">
        <f t="shared" ref="AA99:AJ99" si="27">+AA73</f>
        <v>256.68418674331554</v>
      </c>
      <c r="AB99" s="468">
        <f t="shared" si="27"/>
        <v>265.82094960941134</v>
      </c>
      <c r="AC99" s="468">
        <f t="shared" si="27"/>
        <v>266.89260337450156</v>
      </c>
      <c r="AD99" s="468">
        <f t="shared" si="27"/>
        <v>265.83725314288654</v>
      </c>
      <c r="AE99" s="468">
        <f t="shared" si="27"/>
        <v>261.75654907461649</v>
      </c>
      <c r="AF99" s="468">
        <f t="shared" si="27"/>
        <v>266.29183409691552</v>
      </c>
      <c r="AG99" s="468">
        <f t="shared" si="27"/>
        <v>259.09270600770168</v>
      </c>
      <c r="AH99" s="468">
        <f t="shared" si="27"/>
        <v>250.01787257304056</v>
      </c>
      <c r="AI99" s="468">
        <f t="shared" si="27"/>
        <v>241.27074037515396</v>
      </c>
      <c r="AJ99" s="468">
        <f t="shared" si="27"/>
        <v>232.83938317900669</v>
      </c>
      <c r="AK99" s="157"/>
    </row>
    <row r="100" spans="3:37">
      <c r="C100" s="155"/>
      <c r="F100" s="63" t="s">
        <v>488</v>
      </c>
      <c r="J100" s="468"/>
      <c r="K100" s="296"/>
      <c r="L100" s="296"/>
      <c r="M100" s="296"/>
      <c r="N100" s="468"/>
      <c r="O100" s="468"/>
      <c r="P100" s="468"/>
      <c r="Q100" s="468"/>
      <c r="R100" s="468"/>
      <c r="S100" s="270"/>
      <c r="T100" s="270"/>
      <c r="U100" s="468">
        <f t="shared" ref="U100:Z100" si="28">+U74</f>
        <v>0</v>
      </c>
      <c r="V100" s="468">
        <f t="shared" si="28"/>
        <v>0</v>
      </c>
      <c r="W100" s="468">
        <f t="shared" si="28"/>
        <v>0</v>
      </c>
      <c r="X100" s="468">
        <f t="shared" si="28"/>
        <v>0</v>
      </c>
      <c r="Y100" s="468">
        <f t="shared" si="28"/>
        <v>0</v>
      </c>
      <c r="Z100" s="468">
        <f t="shared" si="28"/>
        <v>0</v>
      </c>
      <c r="AA100" s="468">
        <f t="shared" ref="AA100:AJ100" si="29">+AA74</f>
        <v>9.3121997121680415</v>
      </c>
      <c r="AB100" s="468">
        <f t="shared" si="29"/>
        <v>14.957255803937155</v>
      </c>
      <c r="AC100" s="468">
        <f t="shared" si="29"/>
        <v>2.3374750439277121E-2</v>
      </c>
      <c r="AD100" s="468">
        <f t="shared" si="29"/>
        <v>1.5203089716603002E-2</v>
      </c>
      <c r="AE100" s="468">
        <f t="shared" si="29"/>
        <v>0</v>
      </c>
      <c r="AF100" s="468">
        <f t="shared" si="29"/>
        <v>0</v>
      </c>
      <c r="AG100" s="468">
        <f t="shared" si="29"/>
        <v>0</v>
      </c>
      <c r="AH100" s="468">
        <f t="shared" si="29"/>
        <v>0</v>
      </c>
      <c r="AI100" s="468">
        <f t="shared" si="29"/>
        <v>0</v>
      </c>
      <c r="AJ100" s="468">
        <f t="shared" si="29"/>
        <v>0</v>
      </c>
      <c r="AK100" s="157"/>
    </row>
    <row r="101" spans="3:37">
      <c r="C101" s="155"/>
      <c r="F101" s="63" t="s">
        <v>1008</v>
      </c>
      <c r="J101" s="468"/>
      <c r="K101" s="296"/>
      <c r="L101" s="296"/>
      <c r="M101" s="296"/>
      <c r="N101" s="468"/>
      <c r="O101" s="468"/>
      <c r="P101" s="468"/>
      <c r="Q101" s="468"/>
      <c r="R101" s="468"/>
      <c r="S101" s="270"/>
      <c r="T101" s="270"/>
      <c r="U101" s="468">
        <f>Summary_FO!Z24</f>
        <v>46.438491152778724</v>
      </c>
      <c r="V101" s="468">
        <f>Summary_FO!AA24</f>
        <v>33.270578373256996</v>
      </c>
      <c r="W101" s="468">
        <f>Summary_FO!AB24</f>
        <v>11.629937299830507</v>
      </c>
      <c r="X101" s="468">
        <f>Summary_FO!AC24</f>
        <v>16.459277557850676</v>
      </c>
      <c r="Y101" s="468">
        <f>Summary_FO!AD24</f>
        <v>10.622503984497815</v>
      </c>
      <c r="Z101" s="468">
        <f>Summary_FO!AE24</f>
        <v>12</v>
      </c>
      <c r="AA101" s="468">
        <f>Summary_FO!AF24</f>
        <v>11.707317073170733</v>
      </c>
      <c r="AB101" s="468">
        <f>Summary_FO!AG24</f>
        <v>11.42177275431291</v>
      </c>
      <c r="AC101" s="468">
        <f>Summary_FO!AH24</f>
        <v>11.143192931036989</v>
      </c>
      <c r="AD101" s="468">
        <f>Summary_FO!AI24</f>
        <v>11.143192931036987</v>
      </c>
      <c r="AE101" s="468">
        <f>Summary_FO!AJ24</f>
        <v>11.143192931036987</v>
      </c>
      <c r="AF101" s="468">
        <f>Summary_FO!AK24</f>
        <v>11.143192931036987</v>
      </c>
      <c r="AG101" s="468">
        <f>Summary_FO!AL24</f>
        <v>11.143192931036985</v>
      </c>
      <c r="AH101" s="468">
        <f>Summary_FO!AM24</f>
        <v>11.143192931036987</v>
      </c>
      <c r="AI101" s="468">
        <f>Summary_FO!AN24</f>
        <v>11.143192931036987</v>
      </c>
      <c r="AJ101" s="468">
        <f>Summary_FO!AO24</f>
        <v>11.143192931036985</v>
      </c>
      <c r="AK101" s="157"/>
    </row>
    <row r="102" spans="3:37">
      <c r="C102" s="155"/>
      <c r="F102" s="63" t="s">
        <v>1009</v>
      </c>
      <c r="J102" s="468"/>
      <c r="K102" s="296"/>
      <c r="L102" s="296"/>
      <c r="M102" s="296"/>
      <c r="N102" s="468"/>
      <c r="O102" s="468"/>
      <c r="P102" s="468"/>
      <c r="Q102" s="468"/>
      <c r="R102" s="468"/>
      <c r="S102" s="270"/>
      <c r="T102" s="270"/>
      <c r="U102" s="468">
        <f t="shared" ref="U102:Z102" si="30">+U15</f>
        <v>0</v>
      </c>
      <c r="V102" s="468">
        <f t="shared" si="30"/>
        <v>0</v>
      </c>
      <c r="W102" s="468">
        <f t="shared" si="30"/>
        <v>0</v>
      </c>
      <c r="X102" s="468">
        <f t="shared" si="30"/>
        <v>0</v>
      </c>
      <c r="Y102" s="468">
        <f t="shared" si="30"/>
        <v>0</v>
      </c>
      <c r="Z102" s="468">
        <f t="shared" si="30"/>
        <v>0</v>
      </c>
      <c r="AA102" s="468">
        <f t="shared" ref="AA102:AF102" si="31">+AA15</f>
        <v>1115.0923741007557</v>
      </c>
      <c r="AB102" s="468">
        <f t="shared" si="31"/>
        <v>1108.5567692167556</v>
      </c>
      <c r="AC102" s="468">
        <f t="shared" si="31"/>
        <v>1114.4618802482598</v>
      </c>
      <c r="AD102" s="468">
        <f t="shared" si="31"/>
        <v>1096.8106614241656</v>
      </c>
      <c r="AE102" s="468">
        <f t="shared" si="31"/>
        <v>1077.0055420432298</v>
      </c>
      <c r="AF102" s="468">
        <f t="shared" si="31"/>
        <v>1054.3103655840573</v>
      </c>
      <c r="AG102" s="468">
        <f>+AG15</f>
        <v>1029.4729717621435</v>
      </c>
      <c r="AH102" s="468">
        <f>+AH15</f>
        <v>993.22220616490995</v>
      </c>
      <c r="AI102" s="468">
        <f>+AI15</f>
        <v>967.22468725231897</v>
      </c>
      <c r="AJ102" s="468">
        <f>+AJ15</f>
        <v>936.82823318714361</v>
      </c>
      <c r="AK102" s="157"/>
    </row>
    <row r="103" spans="3:37">
      <c r="C103" s="155"/>
      <c r="F103" s="63" t="s">
        <v>1010</v>
      </c>
      <c r="J103" s="468"/>
      <c r="K103" s="296"/>
      <c r="L103" s="296"/>
      <c r="M103" s="296"/>
      <c r="N103" s="468"/>
      <c r="O103" s="468"/>
      <c r="P103" s="468"/>
      <c r="Q103" s="468"/>
      <c r="R103" s="468"/>
      <c r="S103" s="270"/>
      <c r="T103" s="270"/>
      <c r="U103" s="111">
        <f t="shared" ref="U103:Z103" si="32">U45</f>
        <v>13828.174878733491</v>
      </c>
      <c r="V103" s="111">
        <f t="shared" si="32"/>
        <v>14113.554727288647</v>
      </c>
      <c r="W103" s="111">
        <f t="shared" si="32"/>
        <v>14440.909775344</v>
      </c>
      <c r="X103" s="111">
        <f t="shared" si="32"/>
        <v>14859.692690406231</v>
      </c>
      <c r="Y103" s="111">
        <f t="shared" si="32"/>
        <v>15355.422321427064</v>
      </c>
      <c r="Z103" s="111">
        <f t="shared" si="32"/>
        <v>15677.097058705529</v>
      </c>
      <c r="AA103" s="458">
        <f t="shared" ref="AA103:AJ103" ca="1" si="33">+AA62+AA45</f>
        <v>16143.952255780658</v>
      </c>
      <c r="AB103" s="468">
        <f t="shared" ca="1" si="33"/>
        <v>17018.299715403464</v>
      </c>
      <c r="AC103" s="468">
        <f t="shared" ca="1" si="33"/>
        <v>17960.644109184592</v>
      </c>
      <c r="AD103" s="468">
        <f t="shared" ca="1" si="33"/>
        <v>18940.698611255313</v>
      </c>
      <c r="AE103" s="468">
        <f t="shared" ca="1" si="33"/>
        <v>19916.35352399791</v>
      </c>
      <c r="AF103" s="468">
        <f t="shared" ca="1" si="33"/>
        <v>20964.122453315569</v>
      </c>
      <c r="AG103" s="468">
        <f t="shared" ca="1" si="33"/>
        <v>22132.640700770597</v>
      </c>
      <c r="AH103" s="468">
        <f t="shared" ca="1" si="33"/>
        <v>23226.759482203066</v>
      </c>
      <c r="AI103" s="468">
        <f t="shared" ca="1" si="33"/>
        <v>24332.509618801774</v>
      </c>
      <c r="AJ103" s="468">
        <f t="shared" ca="1" si="33"/>
        <v>25595.366657050588</v>
      </c>
      <c r="AK103" s="157"/>
    </row>
    <row r="104" spans="3:37">
      <c r="C104" s="155"/>
      <c r="F104" s="196" t="s">
        <v>1011</v>
      </c>
      <c r="I104" s="468"/>
      <c r="J104" s="468">
        <f t="shared" ref="J104:Z104" si="34">+J103*J86</f>
        <v>0</v>
      </c>
      <c r="K104" s="468">
        <f t="shared" si="34"/>
        <v>0</v>
      </c>
      <c r="L104" s="468">
        <f t="shared" si="34"/>
        <v>0</v>
      </c>
      <c r="M104" s="468">
        <f t="shared" si="34"/>
        <v>0</v>
      </c>
      <c r="N104" s="468">
        <f t="shared" si="34"/>
        <v>0</v>
      </c>
      <c r="O104" s="468">
        <f t="shared" si="34"/>
        <v>0</v>
      </c>
      <c r="P104" s="468">
        <f t="shared" si="34"/>
        <v>0</v>
      </c>
      <c r="Q104" s="468">
        <f t="shared" si="34"/>
        <v>0</v>
      </c>
      <c r="R104" s="468">
        <f t="shared" si="34"/>
        <v>0</v>
      </c>
      <c r="S104" s="468">
        <f t="shared" si="34"/>
        <v>0</v>
      </c>
      <c r="T104" s="468">
        <f t="shared" si="34"/>
        <v>0</v>
      </c>
      <c r="U104" s="111">
        <f>+U103*U86</f>
        <v>8296.9049272400935</v>
      </c>
      <c r="V104" s="111">
        <f>+V103*V86</f>
        <v>8468.1328363731882</v>
      </c>
      <c r="W104" s="111">
        <f>+W103*W86</f>
        <v>8664.545865206399</v>
      </c>
      <c r="X104" s="111">
        <f>+X103*X86</f>
        <v>8915.8156142437383</v>
      </c>
      <c r="Y104" s="111">
        <f>+Y103*Y86</f>
        <v>9213.2533928562389</v>
      </c>
      <c r="Z104" s="111">
        <f t="shared" si="34"/>
        <v>9406.2582352233167</v>
      </c>
      <c r="AA104" s="468">
        <f t="shared" ref="AA104:AJ104" ca="1" si="35">+AA103*AA86</f>
        <v>9686.3713534683939</v>
      </c>
      <c r="AB104" s="468">
        <f t="shared" ca="1" si="35"/>
        <v>10210.979829242078</v>
      </c>
      <c r="AC104" s="468">
        <f t="shared" ca="1" si="35"/>
        <v>10776.386465510755</v>
      </c>
      <c r="AD104" s="468">
        <f t="shared" ca="1" si="35"/>
        <v>11364.419166753187</v>
      </c>
      <c r="AE104" s="468">
        <f t="shared" ca="1" si="35"/>
        <v>11949.812114398746</v>
      </c>
      <c r="AF104" s="468">
        <f t="shared" ca="1" si="35"/>
        <v>12578.47347198934</v>
      </c>
      <c r="AG104" s="468">
        <f t="shared" ca="1" si="35"/>
        <v>13279.584420462357</v>
      </c>
      <c r="AH104" s="468">
        <f t="shared" ca="1" si="35"/>
        <v>13936.05568932184</v>
      </c>
      <c r="AI104" s="468">
        <f t="shared" ca="1" si="35"/>
        <v>14599.505771281065</v>
      </c>
      <c r="AJ104" s="468">
        <f t="shared" ca="1" si="35"/>
        <v>15357.219994230352</v>
      </c>
      <c r="AK104" s="157"/>
    </row>
    <row r="105" spans="3:37">
      <c r="C105" s="155"/>
      <c r="J105" s="296"/>
      <c r="K105" s="296"/>
      <c r="L105" s="296"/>
      <c r="M105" s="296"/>
      <c r="N105" s="468"/>
      <c r="O105" s="468"/>
      <c r="P105" s="468"/>
      <c r="Q105" s="468"/>
      <c r="R105" s="468"/>
      <c r="S105" s="270"/>
      <c r="T105" s="270"/>
      <c r="U105" s="111"/>
      <c r="V105" s="111"/>
      <c r="W105" s="111"/>
      <c r="X105" s="111"/>
      <c r="Y105" s="111"/>
      <c r="Z105" s="111"/>
      <c r="AA105" s="468"/>
      <c r="AB105" s="468"/>
      <c r="AC105" s="468"/>
      <c r="AD105" s="468"/>
      <c r="AE105" s="468"/>
      <c r="AF105" s="468"/>
      <c r="AG105" s="468"/>
      <c r="AH105" s="468"/>
      <c r="AI105" s="468"/>
      <c r="AJ105" s="468"/>
      <c r="AK105" s="157"/>
    </row>
    <row r="106" spans="3:37">
      <c r="C106" s="155"/>
      <c r="F106" s="689" t="s">
        <v>1012</v>
      </c>
      <c r="J106" s="296"/>
      <c r="K106" s="296"/>
      <c r="L106" s="296"/>
      <c r="M106" s="296"/>
      <c r="N106" s="468"/>
      <c r="O106" s="468"/>
      <c r="P106" s="468"/>
      <c r="Q106" s="468"/>
      <c r="R106" s="468"/>
      <c r="S106" s="270"/>
      <c r="T106" s="270"/>
      <c r="U106" s="111"/>
      <c r="V106" s="111"/>
      <c r="W106" s="111"/>
      <c r="X106" s="111"/>
      <c r="Y106" s="111"/>
      <c r="Z106" s="111"/>
      <c r="AA106" s="468"/>
      <c r="AB106" s="468"/>
      <c r="AC106" s="468"/>
      <c r="AD106" s="468"/>
      <c r="AE106" s="468"/>
      <c r="AF106" s="468"/>
      <c r="AG106" s="468"/>
      <c r="AH106" s="468"/>
      <c r="AI106" s="468"/>
      <c r="AJ106" s="468"/>
      <c r="AK106" s="157"/>
    </row>
    <row r="107" spans="3:37">
      <c r="C107" s="155"/>
      <c r="F107" s="63" t="s">
        <v>836</v>
      </c>
      <c r="J107" s="296"/>
      <c r="K107" s="296"/>
      <c r="L107" s="296"/>
      <c r="M107" s="296"/>
      <c r="N107" s="468"/>
      <c r="O107" s="468"/>
      <c r="P107" s="468"/>
      <c r="Q107" s="468"/>
      <c r="R107" s="468"/>
      <c r="S107" s="270"/>
      <c r="T107" s="270"/>
      <c r="U107" s="111">
        <f t="shared" ref="U107:Z107" si="36">+U98*U$85</f>
        <v>1695.7398359041083</v>
      </c>
      <c r="V107" s="111">
        <f t="shared" si="36"/>
        <v>1557.3915271311037</v>
      </c>
      <c r="W107" s="111">
        <f t="shared" si="36"/>
        <v>1667.0136155932096</v>
      </c>
      <c r="X107" s="111">
        <f t="shared" si="36"/>
        <v>1814.3158951975554</v>
      </c>
      <c r="Y107" s="111">
        <f t="shared" si="36"/>
        <v>1895.3123083671253</v>
      </c>
      <c r="Z107" s="111">
        <f t="shared" si="36"/>
        <v>1958.4335203749017</v>
      </c>
      <c r="AA107" s="468">
        <f t="shared" ref="AA107:AB111" ca="1" si="37">+AA98*AA$85</f>
        <v>1954.2525306486696</v>
      </c>
      <c r="AB107" s="468">
        <f t="shared" ca="1" si="37"/>
        <v>2066.1818839534094</v>
      </c>
      <c r="AC107" s="468">
        <f t="shared" ref="AC107:AJ109" ca="1" si="38">+AC98*AC$85</f>
        <v>2200.2276881188654</v>
      </c>
      <c r="AD107" s="468">
        <f t="shared" ca="1" si="38"/>
        <v>2291.2663646736682</v>
      </c>
      <c r="AE107" s="468">
        <f t="shared" ca="1" si="38"/>
        <v>2410.6090439544178</v>
      </c>
      <c r="AF107" s="468">
        <f t="shared" ca="1" si="38"/>
        <v>2561.663691499512</v>
      </c>
      <c r="AG107" s="468">
        <f t="shared" ca="1" si="38"/>
        <v>2728.7157149733098</v>
      </c>
      <c r="AH107" s="468">
        <f t="shared" ca="1" si="38"/>
        <v>2841.8242785692632</v>
      </c>
      <c r="AI107" s="468">
        <f t="shared" ca="1" si="38"/>
        <v>2971.0139388862331</v>
      </c>
      <c r="AJ107" s="468">
        <f t="shared" ca="1" si="38"/>
        <v>3118.207716015097</v>
      </c>
      <c r="AK107" s="157"/>
    </row>
    <row r="108" spans="3:37">
      <c r="C108" s="155"/>
      <c r="F108" s="63" t="s">
        <v>489</v>
      </c>
      <c r="J108" s="296"/>
      <c r="K108" s="296"/>
      <c r="L108" s="296"/>
      <c r="M108" s="296"/>
      <c r="N108" s="468"/>
      <c r="O108" s="468"/>
      <c r="P108" s="468"/>
      <c r="Q108" s="468"/>
      <c r="R108" s="468"/>
      <c r="S108" s="270"/>
      <c r="T108" s="270"/>
      <c r="U108" s="270">
        <f t="shared" ref="U108:Z108" si="39">+U99*U$85</f>
        <v>174.77240566031998</v>
      </c>
      <c r="V108" s="270">
        <f t="shared" si="39"/>
        <v>192.78851482800005</v>
      </c>
      <c r="W108" s="270">
        <f t="shared" si="39"/>
        <v>215.28280799999999</v>
      </c>
      <c r="X108" s="270">
        <f t="shared" si="39"/>
        <v>216.62184160656</v>
      </c>
      <c r="Y108" s="270">
        <f t="shared" si="39"/>
        <v>217.57187426831999</v>
      </c>
      <c r="Z108" s="270">
        <f t="shared" si="39"/>
        <v>244.65017134288519</v>
      </c>
      <c r="AA108" s="468">
        <f t="shared" si="37"/>
        <v>264.12802815887164</v>
      </c>
      <c r="AB108" s="468">
        <f t="shared" si="37"/>
        <v>281.46212010537869</v>
      </c>
      <c r="AC108" s="468">
        <f t="shared" si="38"/>
        <v>290.7921391501007</v>
      </c>
      <c r="AD108" s="468">
        <f t="shared" si="38"/>
        <v>298.04191132752618</v>
      </c>
      <c r="AE108" s="468">
        <f t="shared" si="38"/>
        <v>301.97739211900364</v>
      </c>
      <c r="AF108" s="468">
        <f t="shared" si="38"/>
        <v>316.11863462517329</v>
      </c>
      <c r="AG108" s="468">
        <f t="shared" si="38"/>
        <v>316.49205350883375</v>
      </c>
      <c r="AH108" s="468">
        <f t="shared" si="38"/>
        <v>314.26357996107834</v>
      </c>
      <c r="AI108" s="468">
        <f t="shared" si="38"/>
        <v>312.06353929380384</v>
      </c>
      <c r="AJ108" s="468">
        <f t="shared" si="38"/>
        <v>309.89187360068121</v>
      </c>
      <c r="AK108" s="157"/>
    </row>
    <row r="109" spans="3:37">
      <c r="C109" s="155"/>
      <c r="F109" s="63" t="s">
        <v>488</v>
      </c>
      <c r="J109" s="296"/>
      <c r="K109" s="296"/>
      <c r="L109" s="296"/>
      <c r="M109" s="296"/>
      <c r="N109" s="468"/>
      <c r="O109" s="468"/>
      <c r="P109" s="468"/>
      <c r="Q109" s="468"/>
      <c r="R109" s="468"/>
      <c r="S109" s="270"/>
      <c r="T109" s="270"/>
      <c r="U109" s="270">
        <f t="shared" ref="U109:Z109" si="40">+U100*U$85</f>
        <v>0</v>
      </c>
      <c r="V109" s="270">
        <f t="shared" si="40"/>
        <v>0</v>
      </c>
      <c r="W109" s="270">
        <f t="shared" si="40"/>
        <v>0</v>
      </c>
      <c r="X109" s="270">
        <f t="shared" si="40"/>
        <v>0</v>
      </c>
      <c r="Y109" s="270">
        <f t="shared" si="40"/>
        <v>0</v>
      </c>
      <c r="Z109" s="270">
        <f t="shared" si="40"/>
        <v>0</v>
      </c>
      <c r="AA109" s="468">
        <f t="shared" si="37"/>
        <v>9.5822535038209136</v>
      </c>
      <c r="AB109" s="468">
        <f t="shared" si="37"/>
        <v>15.837355692696621</v>
      </c>
      <c r="AC109" s="468">
        <f t="shared" si="38"/>
        <v>2.5467898309640986E-2</v>
      </c>
      <c r="AD109" s="468">
        <f t="shared" si="38"/>
        <v>1.7044856819915816E-2</v>
      </c>
      <c r="AE109" s="468">
        <f t="shared" si="38"/>
        <v>0</v>
      </c>
      <c r="AF109" s="468">
        <f t="shared" si="38"/>
        <v>0</v>
      </c>
      <c r="AG109" s="468">
        <f t="shared" si="38"/>
        <v>0</v>
      </c>
      <c r="AH109" s="468">
        <f t="shared" si="38"/>
        <v>0</v>
      </c>
      <c r="AI109" s="468">
        <f t="shared" si="38"/>
        <v>0</v>
      </c>
      <c r="AJ109" s="468">
        <f t="shared" si="38"/>
        <v>0</v>
      </c>
      <c r="AK109" s="157"/>
    </row>
    <row r="110" spans="3:37">
      <c r="C110" s="155"/>
      <c r="F110" s="63" t="s">
        <v>1008</v>
      </c>
      <c r="J110" s="296"/>
      <c r="K110" s="296"/>
      <c r="L110" s="296"/>
      <c r="M110" s="296"/>
      <c r="N110" s="468"/>
      <c r="O110" s="468"/>
      <c r="P110" s="468"/>
      <c r="Q110" s="468"/>
      <c r="R110" s="468"/>
      <c r="S110" s="270"/>
      <c r="T110" s="270"/>
      <c r="U110" s="270">
        <f t="shared" ref="U110:Z110" si="41">+U101*U$85</f>
        <v>38.484208019999997</v>
      </c>
      <c r="V110" s="270">
        <f t="shared" si="41"/>
        <v>27.879184010000003</v>
      </c>
      <c r="W110" s="270">
        <f t="shared" si="41"/>
        <v>10.24128807</v>
      </c>
      <c r="X110" s="270">
        <f t="shared" si="41"/>
        <v>15.511728529999997</v>
      </c>
      <c r="Y110" s="270">
        <f t="shared" si="41"/>
        <v>10.3733621</v>
      </c>
      <c r="Z110" s="270">
        <f t="shared" si="41"/>
        <v>12</v>
      </c>
      <c r="AA110" s="296">
        <f t="shared" ref="AA110:AF110" si="42">+AA101*AA$85</f>
        <v>12.046829268292683</v>
      </c>
      <c r="AB110" s="296">
        <f t="shared" si="42"/>
        <v>12.093841284949434</v>
      </c>
      <c r="AC110" s="296">
        <f t="shared" si="42"/>
        <v>12.141036763134606</v>
      </c>
      <c r="AD110" s="296">
        <f t="shared" si="42"/>
        <v>12.493126829265508</v>
      </c>
      <c r="AE110" s="296">
        <f t="shared" si="42"/>
        <v>12.855427507314205</v>
      </c>
      <c r="AF110" s="296">
        <f t="shared" si="42"/>
        <v>13.228234905026317</v>
      </c>
      <c r="AG110" s="296">
        <f t="shared" ref="AG110:AJ111" si="43">+AG101*AG$85</f>
        <v>13.611853717272076</v>
      </c>
      <c r="AH110" s="296">
        <f t="shared" si="43"/>
        <v>14.006597475072969</v>
      </c>
      <c r="AI110" s="296">
        <f t="shared" si="43"/>
        <v>14.412788801850082</v>
      </c>
      <c r="AJ110" s="296">
        <f t="shared" si="43"/>
        <v>14.830759677103734</v>
      </c>
      <c r="AK110" s="157"/>
    </row>
    <row r="111" spans="3:37">
      <c r="C111" s="155"/>
      <c r="F111" s="63" t="s">
        <v>1009</v>
      </c>
      <c r="J111" s="296"/>
      <c r="K111" s="296"/>
      <c r="L111" s="296"/>
      <c r="M111" s="296"/>
      <c r="N111" s="468"/>
      <c r="O111" s="468"/>
      <c r="P111" s="468"/>
      <c r="Q111" s="468"/>
      <c r="R111" s="468"/>
      <c r="S111" s="270"/>
      <c r="T111" s="270"/>
      <c r="U111" s="270">
        <f>+Summary_FO!Z15*U$85</f>
        <v>952.60440442123593</v>
      </c>
      <c r="V111" s="270">
        <f>+Summary_FO!AA15*V$85</f>
        <v>994.74279221185418</v>
      </c>
      <c r="W111" s="270">
        <f>+Summary_FO!AB15*W$85</f>
        <v>1026.8201984991595</v>
      </c>
      <c r="X111" s="270">
        <f>+Summary_FO!AC15*X$85</f>
        <v>1081.2235273292004</v>
      </c>
      <c r="Y111" s="270">
        <f>+Summary_FO!AD15*Y$85</f>
        <v>1137.2622580407569</v>
      </c>
      <c r="Z111" s="270">
        <f>+Summary_FO!AE15*Z$85</f>
        <v>1133.8169459228716</v>
      </c>
      <c r="AA111" s="458">
        <f t="shared" si="37"/>
        <v>1147.4300529496775</v>
      </c>
      <c r="AB111" s="468">
        <f t="shared" si="37"/>
        <v>1173.7853580742385</v>
      </c>
      <c r="AC111" s="468">
        <f>+AC102*AC$85</f>
        <v>1214.259031764522</v>
      </c>
      <c r="AD111" s="468">
        <f>+AD102*AD$85</f>
        <v>1229.6829809611422</v>
      </c>
      <c r="AE111" s="468">
        <f>+AE102*AE$85</f>
        <v>1242.4954639481352</v>
      </c>
      <c r="AF111" s="468">
        <f>+AF102*AF$85</f>
        <v>1251.586081750826</v>
      </c>
      <c r="AG111" s="468">
        <f t="shared" si="43"/>
        <v>1257.5422129218769</v>
      </c>
      <c r="AH111" s="468">
        <f t="shared" si="43"/>
        <v>1248.4450131261624</v>
      </c>
      <c r="AI111" s="468">
        <f t="shared" si="43"/>
        <v>1251.0243004475985</v>
      </c>
      <c r="AJ111" s="468">
        <f t="shared" si="43"/>
        <v>1246.8485891889927</v>
      </c>
      <c r="AK111" s="157"/>
    </row>
    <row r="112" spans="3:37">
      <c r="C112" s="155"/>
      <c r="F112" s="63" t="s">
        <v>1013</v>
      </c>
      <c r="J112" s="296"/>
      <c r="K112" s="296"/>
      <c r="L112" s="296"/>
      <c r="M112" s="296"/>
      <c r="N112" s="296"/>
      <c r="O112" s="296"/>
      <c r="P112" s="296"/>
      <c r="Q112" s="296"/>
      <c r="R112" s="296"/>
      <c r="S112" s="270"/>
      <c r="T112" s="270"/>
      <c r="U112" s="270">
        <f>+'Finance&amp;Tax_FO'!U19</f>
        <v>0</v>
      </c>
      <c r="V112" s="270">
        <f>+'Finance&amp;Tax_FO'!V19</f>
        <v>0</v>
      </c>
      <c r="W112" s="270">
        <f>+'Finance&amp;Tax_FO'!W19</f>
        <v>0</v>
      </c>
      <c r="X112" s="270">
        <f>+'Finance&amp;Tax_FO'!X19</f>
        <v>0</v>
      </c>
      <c r="Y112" s="270">
        <f>+'Finance&amp;Tax_FO'!Y19</f>
        <v>0</v>
      </c>
      <c r="Z112" s="270">
        <f>+'Finance&amp;Tax_FO'!Z19</f>
        <v>0</v>
      </c>
      <c r="AA112" s="296">
        <f ca="1">+'Finance&amp;Tax_FO'!AA19</f>
        <v>0</v>
      </c>
      <c r="AB112" s="296">
        <f ca="1">+'Finance&amp;Tax_FO'!AB19</f>
        <v>0</v>
      </c>
      <c r="AC112" s="296">
        <f ca="1">+'Finance&amp;Tax_FO'!AC19</f>
        <v>0</v>
      </c>
      <c r="AD112" s="296">
        <f ca="1">+'Finance&amp;Tax_FO'!AD19</f>
        <v>0</v>
      </c>
      <c r="AE112" s="296">
        <f ca="1">+'Finance&amp;Tax_FO'!AE19</f>
        <v>0</v>
      </c>
      <c r="AF112" s="296">
        <f ca="1">+'Finance&amp;Tax_FO'!AF19</f>
        <v>0</v>
      </c>
      <c r="AG112" s="296">
        <f ca="1">+'Finance&amp;Tax_FO'!AG19</f>
        <v>0</v>
      </c>
      <c r="AH112" s="296">
        <f ca="1">+'Finance&amp;Tax_FO'!AH19</f>
        <v>0</v>
      </c>
      <c r="AI112" s="296">
        <f ca="1">+'Finance&amp;Tax_FO'!AI19</f>
        <v>0</v>
      </c>
      <c r="AJ112" s="296">
        <f ca="1">+'Finance&amp;Tax_FO'!AJ19</f>
        <v>0</v>
      </c>
      <c r="AK112" s="157"/>
    </row>
    <row r="113" spans="3:37">
      <c r="C113" s="155"/>
      <c r="F113" s="63" t="s">
        <v>1014</v>
      </c>
      <c r="J113" s="468"/>
      <c r="K113" s="468"/>
      <c r="L113" s="468"/>
      <c r="M113" s="468"/>
      <c r="N113" s="468"/>
      <c r="O113" s="468"/>
      <c r="P113" s="468"/>
      <c r="Q113" s="468"/>
      <c r="R113" s="468"/>
      <c r="S113" s="270"/>
      <c r="T113" s="270"/>
      <c r="U113" s="270">
        <f>+'Finance&amp;Tax_FO'!U18</f>
        <v>298.12174700000003</v>
      </c>
      <c r="V113" s="270">
        <f>+'Finance&amp;Tax_FO'!V18</f>
        <v>282.75761864032972</v>
      </c>
      <c r="W113" s="270">
        <f>+'Finance&amp;Tax_FO'!W18</f>
        <v>306.13016452532611</v>
      </c>
      <c r="X113" s="270">
        <f>+'Finance&amp;Tax_FO'!X18</f>
        <v>340.80825957092583</v>
      </c>
      <c r="Y113" s="270">
        <f>+'Finance&amp;Tax_FO'!Y18</f>
        <v>373.60475678089438</v>
      </c>
      <c r="Z113" s="270">
        <f>+'Finance&amp;Tax_FO'!Z18</f>
        <v>401.44292145015493</v>
      </c>
      <c r="AA113" s="468">
        <f>+'Finance&amp;Tax_FO'!AA18</f>
        <v>415.60383156040785</v>
      </c>
      <c r="AB113" s="468">
        <f>+'Finance&amp;Tax_FO'!AB18</f>
        <v>454.60198702277006</v>
      </c>
      <c r="AC113" s="468">
        <f>+'Finance&amp;Tax_FO'!AC18</f>
        <v>519.36160865013153</v>
      </c>
      <c r="AD113" s="468">
        <f>+'Finance&amp;Tax_FO'!AD18</f>
        <v>559.92246429020236</v>
      </c>
      <c r="AE113" s="468">
        <f>+'Finance&amp;Tax_FO'!AE18</f>
        <v>605.86860843986699</v>
      </c>
      <c r="AF113" s="468">
        <f>+'Finance&amp;Tax_FO'!AF18</f>
        <v>663.62109960920748</v>
      </c>
      <c r="AG113" s="468">
        <f>+'Finance&amp;Tax_FO'!AG18</f>
        <v>689.85666016218033</v>
      </c>
      <c r="AH113" s="468">
        <f>+'Finance&amp;Tax_FO'!AH18</f>
        <v>782.40821836222528</v>
      </c>
      <c r="AI113" s="468">
        <f>+'Finance&amp;Tax_FO'!AI18</f>
        <v>830.42401456980235</v>
      </c>
      <c r="AJ113" s="468">
        <f>+'Finance&amp;Tax_FO'!AJ18</f>
        <v>875.1491727454536</v>
      </c>
      <c r="AK113" s="157"/>
    </row>
    <row r="114" spans="3:37" s="88" customFormat="1">
      <c r="C114" s="1828"/>
      <c r="F114" s="63" t="s">
        <v>1015</v>
      </c>
      <c r="J114" s="1598"/>
      <c r="K114" s="1598"/>
      <c r="L114" s="1598"/>
      <c r="M114" s="1598"/>
      <c r="N114" s="1829"/>
      <c r="O114" s="1829"/>
      <c r="P114" s="1829"/>
      <c r="Q114" s="1829"/>
      <c r="R114" s="1829"/>
      <c r="S114" s="520"/>
      <c r="T114" s="520"/>
      <c r="U114" s="270">
        <f t="shared" ref="U114:Z114" si="44">U104*U$91*U$85</f>
        <v>368.98337458220863</v>
      </c>
      <c r="V114" s="270">
        <f t="shared" si="44"/>
        <v>352.40082053300745</v>
      </c>
      <c r="W114" s="270">
        <f t="shared" si="44"/>
        <v>359.42531811946958</v>
      </c>
      <c r="X114" s="270">
        <f t="shared" si="44"/>
        <v>408.34968393360947</v>
      </c>
      <c r="Y114" s="270">
        <f t="shared" si="44"/>
        <v>432.57647723760965</v>
      </c>
      <c r="Z114" s="270">
        <f t="shared" si="44"/>
        <v>456.78359342299115</v>
      </c>
      <c r="AA114" s="468">
        <f ca="1">AA104*AA$91*AA$85</f>
        <v>489.74041785285601</v>
      </c>
      <c r="AB114" s="468">
        <f t="shared" ref="AB114:AJ114" ca="1" si="45">AB104*AB$91*AB$85</f>
        <v>541.34483255509622</v>
      </c>
      <c r="AC114" s="468">
        <f t="shared" ca="1" si="45"/>
        <v>603.3286158777637</v>
      </c>
      <c r="AD114" s="468">
        <f t="shared" ca="1" si="45"/>
        <v>670.37276833156739</v>
      </c>
      <c r="AE114" s="468">
        <f t="shared" ca="1" si="45"/>
        <v>760.32807664373365</v>
      </c>
      <c r="AF114" s="468">
        <f t="shared" ca="1" si="45"/>
        <v>865.32170834636395</v>
      </c>
      <c r="AG114" s="468">
        <f t="shared" ca="1" si="45"/>
        <v>973.94991666319106</v>
      </c>
      <c r="AH114" s="468">
        <f t="shared" ca="1" si="45"/>
        <v>1035.6656074775528</v>
      </c>
      <c r="AI114" s="468">
        <f t="shared" ca="1" si="45"/>
        <v>1103.4043986293782</v>
      </c>
      <c r="AJ114" s="468">
        <f t="shared" ca="1" si="45"/>
        <v>1194.3305385947338</v>
      </c>
      <c r="AK114" s="1830"/>
    </row>
    <row r="115" spans="3:37">
      <c r="C115" s="155"/>
      <c r="F115" s="63" t="s">
        <v>974</v>
      </c>
      <c r="J115" s="296"/>
      <c r="K115" s="296"/>
      <c r="L115" s="296"/>
      <c r="M115" s="296"/>
      <c r="N115" s="296"/>
      <c r="O115" s="468"/>
      <c r="P115" s="468"/>
      <c r="Q115" s="468"/>
      <c r="R115" s="468"/>
      <c r="S115" s="270"/>
      <c r="T115" s="270"/>
      <c r="U115" s="270">
        <f>'Finance&amp;Tax_FO'!U20</f>
        <v>0</v>
      </c>
      <c r="V115" s="270">
        <f>'Finance&amp;Tax_FO'!V20</f>
        <v>0</v>
      </c>
      <c r="W115" s="270">
        <f>'Finance&amp;Tax_FO'!W20</f>
        <v>0</v>
      </c>
      <c r="X115" s="270">
        <f>'Finance&amp;Tax_FO'!X20</f>
        <v>0</v>
      </c>
      <c r="Y115" s="270">
        <f>'Finance&amp;Tax_FO'!Y20</f>
        <v>0</v>
      </c>
      <c r="Z115" s="270">
        <f>'Finance&amp;Tax_FO'!Z20</f>
        <v>0</v>
      </c>
      <c r="AA115" s="458">
        <f>'Finance&amp;Tax_FO'!AA20</f>
        <v>0</v>
      </c>
      <c r="AB115" s="468">
        <f t="shared" ref="AB115:AJ115" ca="1" si="46">IF(AA116&lt;0,-AA116,0)</f>
        <v>0</v>
      </c>
      <c r="AC115" s="468">
        <f t="shared" ca="1" si="46"/>
        <v>0</v>
      </c>
      <c r="AD115" s="468">
        <f t="shared" ca="1" si="46"/>
        <v>0</v>
      </c>
      <c r="AE115" s="468">
        <f t="shared" ca="1" si="46"/>
        <v>0</v>
      </c>
      <c r="AF115" s="468">
        <f t="shared" ca="1" si="46"/>
        <v>0</v>
      </c>
      <c r="AG115" s="468">
        <f t="shared" ca="1" si="46"/>
        <v>0</v>
      </c>
      <c r="AH115" s="468">
        <f t="shared" ca="1" si="46"/>
        <v>0</v>
      </c>
      <c r="AI115" s="468">
        <f t="shared" ca="1" si="46"/>
        <v>0</v>
      </c>
      <c r="AJ115" s="468">
        <f t="shared" ca="1" si="46"/>
        <v>0</v>
      </c>
      <c r="AK115" s="157"/>
    </row>
    <row r="116" spans="3:37">
      <c r="C116" s="155"/>
      <c r="F116" s="63" t="s">
        <v>1016</v>
      </c>
      <c r="J116" s="296"/>
      <c r="K116" s="296"/>
      <c r="L116" s="296"/>
      <c r="M116" s="296"/>
      <c r="N116" s="468"/>
      <c r="O116" s="468"/>
      <c r="P116" s="468"/>
      <c r="Q116" s="468"/>
      <c r="R116" s="468"/>
      <c r="S116" s="270"/>
      <c r="T116" s="270"/>
      <c r="U116" s="270">
        <f t="shared" ref="U116:Z116" si="47">SUM(U107:U108,U110)-SUM(U111:U115)</f>
        <v>289.28692358098374</v>
      </c>
      <c r="V116" s="270">
        <f t="shared" si="47"/>
        <v>148.15799458391234</v>
      </c>
      <c r="W116" s="270">
        <f t="shared" si="47"/>
        <v>200.16203051925436</v>
      </c>
      <c r="X116" s="270">
        <f t="shared" si="47"/>
        <v>216.06799450037988</v>
      </c>
      <c r="Y116" s="270">
        <f t="shared" si="47"/>
        <v>179.81405267618425</v>
      </c>
      <c r="Z116" s="270">
        <f t="shared" si="47"/>
        <v>223.04023092176908</v>
      </c>
      <c r="AA116" s="468">
        <f t="shared" ref="AA116:AJ116" ca="1" si="48">SUM(AA107:AA108,AA110)-SUM(AA111:AA115)</f>
        <v>177.65308571289233</v>
      </c>
      <c r="AB116" s="468">
        <f t="shared" ca="1" si="48"/>
        <v>190.00566769163288</v>
      </c>
      <c r="AC116" s="468">
        <f t="shared" ca="1" si="48"/>
        <v>166.21160773968404</v>
      </c>
      <c r="AD116" s="468">
        <f t="shared" ca="1" si="48"/>
        <v>141.82318924754782</v>
      </c>
      <c r="AE116" s="468">
        <f t="shared" ca="1" si="48"/>
        <v>116.74971454899969</v>
      </c>
      <c r="AF116" s="468">
        <f t="shared" ca="1" si="48"/>
        <v>110.48167132331446</v>
      </c>
      <c r="AG116" s="468">
        <f t="shared" ca="1" si="48"/>
        <v>137.47083245216709</v>
      </c>
      <c r="AH116" s="468">
        <f t="shared" ca="1" si="48"/>
        <v>103.57561703947385</v>
      </c>
      <c r="AI116" s="468">
        <f t="shared" ca="1" si="48"/>
        <v>112.6375533351079</v>
      </c>
      <c r="AJ116" s="468">
        <f t="shared" ca="1" si="48"/>
        <v>126.60204876370199</v>
      </c>
      <c r="AK116" s="157"/>
    </row>
    <row r="117" spans="3:37">
      <c r="C117" s="155"/>
      <c r="F117" s="63" t="s">
        <v>1017</v>
      </c>
      <c r="J117" s="296"/>
      <c r="K117" s="296"/>
      <c r="L117" s="296"/>
      <c r="M117" s="296"/>
      <c r="N117" s="468"/>
      <c r="O117" s="468"/>
      <c r="P117" s="468"/>
      <c r="Q117" s="468"/>
      <c r="R117" s="468"/>
      <c r="S117" s="270"/>
      <c r="T117" s="270"/>
      <c r="U117" s="270">
        <f t="shared" ref="U117:Z117" si="49">IF(U116&lt;0,0,U116*U$87/(1-U87*(1-U$92)))</f>
        <v>102.10126714622956</v>
      </c>
      <c r="V117" s="270">
        <f t="shared" si="49"/>
        <v>52.291056911969058</v>
      </c>
      <c r="W117" s="270">
        <f t="shared" si="49"/>
        <v>70.64542253620742</v>
      </c>
      <c r="X117" s="270">
        <f t="shared" si="49"/>
        <v>76.25929217660466</v>
      </c>
      <c r="Y117" s="270">
        <f t="shared" si="49"/>
        <v>63.463783297476795</v>
      </c>
      <c r="Z117" s="270">
        <f t="shared" si="49"/>
        <v>78.720081501800848</v>
      </c>
      <c r="AA117" s="468">
        <f ca="1">IF(AA116&lt;0,0,AA116*AA$87/(1-AA87*(1-AA$92)))</f>
        <v>62.701089075138469</v>
      </c>
      <c r="AB117" s="468">
        <f t="shared" ref="AB117:AJ117" ca="1" si="50">IF(AB116&lt;0,0,AB116*AB$87/(1-AB87*(1-AB$92)))</f>
        <v>67.060823891164546</v>
      </c>
      <c r="AC117" s="468">
        <f t="shared" ca="1" si="50"/>
        <v>58.662920378712016</v>
      </c>
      <c r="AD117" s="468">
        <f t="shared" ca="1" si="50"/>
        <v>50.05524326384041</v>
      </c>
      <c r="AE117" s="468">
        <f t="shared" ca="1" si="50"/>
        <v>41.205781605529296</v>
      </c>
      <c r="AF117" s="468">
        <f t="shared" ca="1" si="50"/>
        <v>38.993531055287455</v>
      </c>
      <c r="AG117" s="468">
        <f t="shared" ca="1" si="50"/>
        <v>48.519117336058969</v>
      </c>
      <c r="AH117" s="468">
        <f t="shared" ca="1" si="50"/>
        <v>36.556100131579008</v>
      </c>
      <c r="AI117" s="468">
        <f t="shared" ca="1" si="50"/>
        <v>39.754430588861609</v>
      </c>
      <c r="AJ117" s="468">
        <f t="shared" ca="1" si="50"/>
        <v>44.683076034247762</v>
      </c>
      <c r="AK117" s="157"/>
    </row>
    <row r="118" spans="3:37">
      <c r="C118" s="155"/>
      <c r="F118" s="63" t="s">
        <v>1018</v>
      </c>
      <c r="J118" s="296"/>
      <c r="K118" s="296"/>
      <c r="L118" s="296"/>
      <c r="M118" s="296"/>
      <c r="N118" s="296"/>
      <c r="O118" s="296"/>
      <c r="P118" s="296"/>
      <c r="Q118" s="296"/>
      <c r="R118" s="296"/>
      <c r="S118" s="270"/>
      <c r="T118" s="270"/>
      <c r="U118" s="270">
        <f t="shared" ref="U118:Z118" si="51">+U117*U92</f>
        <v>51.05063357311478</v>
      </c>
      <c r="V118" s="270">
        <f t="shared" si="51"/>
        <v>26.145528455984529</v>
      </c>
      <c r="W118" s="270">
        <f t="shared" si="51"/>
        <v>35.32271126810371</v>
      </c>
      <c r="X118" s="270">
        <f t="shared" si="51"/>
        <v>38.12964608830233</v>
      </c>
      <c r="Y118" s="270">
        <f t="shared" si="51"/>
        <v>31.731891648738397</v>
      </c>
      <c r="Z118" s="270">
        <f t="shared" si="51"/>
        <v>39.360040750900424</v>
      </c>
      <c r="AA118" s="296">
        <f ca="1">+AA117*AA92</f>
        <v>31.350544537569235</v>
      </c>
      <c r="AB118" s="296">
        <f t="shared" ref="AB118:AJ118" ca="1" si="52">+AB117*AB92</f>
        <v>33.530411945582273</v>
      </c>
      <c r="AC118" s="296">
        <f t="shared" ca="1" si="52"/>
        <v>29.331460189356008</v>
      </c>
      <c r="AD118" s="296">
        <f t="shared" ca="1" si="52"/>
        <v>25.027621631920205</v>
      </c>
      <c r="AE118" s="296">
        <f t="shared" ca="1" si="52"/>
        <v>20.602890802764648</v>
      </c>
      <c r="AF118" s="296">
        <f t="shared" ca="1" si="52"/>
        <v>19.496765527643728</v>
      </c>
      <c r="AG118" s="296">
        <f t="shared" ca="1" si="52"/>
        <v>24.259558668029484</v>
      </c>
      <c r="AH118" s="296">
        <f t="shared" ca="1" si="52"/>
        <v>18.278050065789504</v>
      </c>
      <c r="AI118" s="296">
        <f t="shared" ca="1" si="52"/>
        <v>19.877215294430805</v>
      </c>
      <c r="AJ118" s="296">
        <f t="shared" ca="1" si="52"/>
        <v>22.341538017123881</v>
      </c>
      <c r="AK118" s="157"/>
    </row>
    <row r="119" spans="3:37" s="196" customFormat="1">
      <c r="C119" s="666"/>
      <c r="J119" s="310"/>
      <c r="K119" s="310"/>
      <c r="L119" s="310"/>
      <c r="M119" s="310"/>
      <c r="N119" s="310"/>
      <c r="O119" s="310"/>
      <c r="P119" s="310"/>
      <c r="Q119" s="310"/>
      <c r="R119" s="310"/>
      <c r="S119" s="270"/>
      <c r="T119" s="270"/>
      <c r="U119" s="270"/>
      <c r="V119" s="270"/>
      <c r="W119" s="270"/>
      <c r="X119" s="270"/>
      <c r="Y119" s="270"/>
      <c r="Z119" s="270"/>
      <c r="AA119" s="310"/>
      <c r="AB119" s="310"/>
      <c r="AC119" s="310"/>
      <c r="AD119" s="310"/>
      <c r="AE119" s="310"/>
      <c r="AF119" s="310"/>
      <c r="AG119" s="310"/>
      <c r="AH119" s="310"/>
      <c r="AI119" s="310"/>
      <c r="AJ119" s="310"/>
      <c r="AK119" s="668"/>
    </row>
    <row r="120" spans="3:37">
      <c r="C120" s="155"/>
      <c r="F120" s="89" t="s">
        <v>1019</v>
      </c>
      <c r="J120" s="296"/>
      <c r="K120" s="296"/>
      <c r="L120" s="296"/>
      <c r="M120" s="296"/>
      <c r="N120" s="468"/>
      <c r="O120" s="468"/>
      <c r="P120" s="468"/>
      <c r="Q120" s="468"/>
      <c r="R120" s="468"/>
      <c r="S120" s="270"/>
      <c r="T120" s="270"/>
      <c r="U120" s="312">
        <f t="shared" ref="U120:Z120" si="53">U117-U118</f>
        <v>51.05063357311478</v>
      </c>
      <c r="V120" s="312">
        <f t="shared" si="53"/>
        <v>26.145528455984529</v>
      </c>
      <c r="W120" s="312">
        <f t="shared" si="53"/>
        <v>35.32271126810371</v>
      </c>
      <c r="X120" s="312">
        <f t="shared" si="53"/>
        <v>38.12964608830233</v>
      </c>
      <c r="Y120" s="312">
        <f t="shared" si="53"/>
        <v>31.731891648738397</v>
      </c>
      <c r="Z120" s="312">
        <f t="shared" si="53"/>
        <v>39.360040750900424</v>
      </c>
      <c r="AA120" s="312">
        <f t="shared" ref="AA120:AF120" ca="1" si="54">AA117-AA118</f>
        <v>31.350544537569235</v>
      </c>
      <c r="AB120" s="312">
        <f t="shared" ca="1" si="54"/>
        <v>33.530411945582273</v>
      </c>
      <c r="AC120" s="312">
        <f t="shared" ca="1" si="54"/>
        <v>29.331460189356008</v>
      </c>
      <c r="AD120" s="312">
        <f t="shared" ca="1" si="54"/>
        <v>25.027621631920205</v>
      </c>
      <c r="AE120" s="312">
        <f t="shared" ca="1" si="54"/>
        <v>20.602890802764648</v>
      </c>
      <c r="AF120" s="312">
        <f t="shared" ca="1" si="54"/>
        <v>19.496765527643728</v>
      </c>
      <c r="AG120" s="312">
        <f ca="1">AG117-AG118</f>
        <v>24.259558668029484</v>
      </c>
      <c r="AH120" s="312">
        <f ca="1">AH117-AH118</f>
        <v>18.278050065789504</v>
      </c>
      <c r="AI120" s="312">
        <f ca="1">AI117-AI118</f>
        <v>19.877215294430805</v>
      </c>
      <c r="AJ120" s="312">
        <f ca="1">AJ117-AJ118</f>
        <v>22.341538017123881</v>
      </c>
      <c r="AK120" s="157"/>
    </row>
    <row r="121" spans="3:37">
      <c r="C121" s="155"/>
      <c r="J121" s="296"/>
      <c r="K121" s="296"/>
      <c r="L121" s="296"/>
      <c r="M121" s="296"/>
      <c r="N121" s="468"/>
      <c r="O121" s="468"/>
      <c r="P121" s="468"/>
      <c r="Q121" s="468"/>
      <c r="R121" s="468"/>
      <c r="S121" s="270"/>
      <c r="T121" s="270"/>
      <c r="U121" s="270"/>
      <c r="V121" s="270"/>
      <c r="W121" s="270"/>
      <c r="X121" s="270"/>
      <c r="Y121" s="270"/>
      <c r="Z121" s="270"/>
      <c r="AA121" s="468"/>
      <c r="AB121" s="468"/>
      <c r="AC121" s="468"/>
      <c r="AD121" s="468"/>
      <c r="AE121" s="468"/>
      <c r="AF121" s="468"/>
      <c r="AG121" s="468"/>
      <c r="AH121" s="468"/>
      <c r="AI121" s="468"/>
      <c r="AJ121" s="468"/>
      <c r="AK121" s="157"/>
    </row>
    <row r="122" spans="3:37" ht="12.75" thickBot="1">
      <c r="C122" s="155"/>
      <c r="E122" s="674" t="s">
        <v>1020</v>
      </c>
      <c r="J122" s="690"/>
      <c r="K122" s="690"/>
      <c r="L122" s="690"/>
      <c r="M122" s="690"/>
      <c r="N122" s="217"/>
      <c r="O122" s="217"/>
      <c r="P122" s="217"/>
      <c r="Q122" s="217"/>
      <c r="R122" s="217"/>
      <c r="S122" s="270"/>
      <c r="T122" s="270"/>
      <c r="U122" s="272">
        <f t="shared" ref="U122:Z122" si="55">+U120/U85</f>
        <v>61.602265383681384</v>
      </c>
      <c r="V122" s="272">
        <f t="shared" si="55"/>
        <v>31.201661185386111</v>
      </c>
      <c r="W122" s="272">
        <f t="shared" si="55"/>
        <v>40.112231440049968</v>
      </c>
      <c r="X122" s="272">
        <f t="shared" si="55"/>
        <v>40.458832614058352</v>
      </c>
      <c r="Y122" s="272">
        <f t="shared" si="55"/>
        <v>32.494011317157877</v>
      </c>
      <c r="Z122" s="272">
        <f t="shared" si="55"/>
        <v>39.360040750900424</v>
      </c>
      <c r="AA122" s="691">
        <f t="shared" ref="AA122:AF122" ca="1" si="56">+AA120/AA85</f>
        <v>30.467001494236381</v>
      </c>
      <c r="AB122" s="691">
        <f t="shared" ca="1" si="56"/>
        <v>31.66708877497403</v>
      </c>
      <c r="AC122" s="691">
        <f t="shared" ca="1" si="56"/>
        <v>26.92077507181839</v>
      </c>
      <c r="AD122" s="691">
        <f t="shared" ca="1" si="56"/>
        <v>22.32328385526187</v>
      </c>
      <c r="AE122" s="691">
        <f t="shared" ca="1" si="56"/>
        <v>17.858759424505433</v>
      </c>
      <c r="AF122" s="691">
        <f t="shared" ca="1" si="56"/>
        <v>16.423674161030704</v>
      </c>
      <c r="AG122" s="691">
        <f ca="1">+AG120/AG85</f>
        <v>19.859818381433445</v>
      </c>
      <c r="AH122" s="691">
        <f ca="1">+AH120/AH85</f>
        <v>14.541421544291552</v>
      </c>
      <c r="AI122" s="691">
        <f ca="1">+AI120/AI85</f>
        <v>15.367993523166701</v>
      </c>
      <c r="AJ122" s="691">
        <f ca="1">+AJ120/AJ85</f>
        <v>16.786467714479681</v>
      </c>
      <c r="AK122" s="157"/>
    </row>
    <row r="123" spans="3:37">
      <c r="C123" s="155"/>
      <c r="J123" s="166"/>
      <c r="K123" s="166"/>
      <c r="L123" s="166"/>
      <c r="M123" s="166"/>
      <c r="N123" s="166"/>
      <c r="O123" s="166"/>
      <c r="P123" s="166"/>
      <c r="Q123" s="166"/>
      <c r="R123" s="166"/>
      <c r="S123" s="166"/>
      <c r="T123" s="166"/>
      <c r="U123" s="166"/>
      <c r="V123" s="166"/>
      <c r="W123" s="166"/>
      <c r="X123" s="166"/>
      <c r="Y123" s="166"/>
      <c r="Z123" s="166"/>
      <c r="AA123" s="166"/>
      <c r="AB123" s="166"/>
      <c r="AC123" s="166"/>
      <c r="AD123" s="166"/>
      <c r="AE123" s="166"/>
      <c r="AF123" s="166"/>
      <c r="AG123" s="166"/>
      <c r="AH123" s="166"/>
      <c r="AI123" s="166"/>
      <c r="AJ123" s="166"/>
      <c r="AK123" s="157"/>
    </row>
    <row r="124" spans="3:37" ht="12.75" thickBot="1">
      <c r="C124" s="167"/>
      <c r="D124" s="168"/>
      <c r="E124" s="168"/>
      <c r="F124" s="168"/>
      <c r="G124" s="168"/>
      <c r="H124" s="168"/>
      <c r="I124" s="168"/>
      <c r="J124" s="168"/>
      <c r="K124" s="168"/>
      <c r="L124" s="168"/>
      <c r="M124" s="168"/>
      <c r="N124" s="168"/>
      <c r="O124" s="168"/>
      <c r="P124" s="168"/>
      <c r="Q124" s="168"/>
      <c r="R124" s="168"/>
      <c r="S124" s="168"/>
      <c r="T124" s="168"/>
      <c r="U124" s="168"/>
      <c r="V124" s="168"/>
      <c r="W124" s="168"/>
      <c r="X124" s="168"/>
      <c r="Y124" s="168"/>
      <c r="Z124" s="168"/>
      <c r="AA124" s="168"/>
      <c r="AB124" s="168"/>
      <c r="AC124" s="168"/>
      <c r="AD124" s="168"/>
      <c r="AE124" s="168"/>
      <c r="AF124" s="168"/>
      <c r="AG124" s="168"/>
      <c r="AH124" s="168"/>
      <c r="AI124" s="168"/>
      <c r="AJ124" s="168"/>
      <c r="AK124" s="170"/>
    </row>
    <row r="127" spans="3:37">
      <c r="AA127" s="77"/>
    </row>
    <row r="128" spans="3:37">
      <c r="AA128" s="77"/>
    </row>
    <row r="130" spans="27:29">
      <c r="AA130" s="77"/>
      <c r="AB130" s="77"/>
      <c r="AC130" s="77"/>
    </row>
    <row r="131" spans="27:29">
      <c r="AA131" s="77"/>
    </row>
  </sheetData>
  <mergeCells count="1">
    <mergeCell ref="B3:F3"/>
  </mergeCells>
  <phoneticPr fontId="0" type="noConversion"/>
  <conditionalFormatting sqref="U80:AJ80">
    <cfRule type="containsText" dxfId="25" priority="2" operator="containsText" text="FALSE">
      <formula>NOT(ISERROR(SEARCH("FALSE",U80)))</formula>
    </cfRule>
  </conditionalFormatting>
  <conditionalFormatting sqref="U80:AJ80">
    <cfRule type="cellIs" dxfId="24" priority="1" operator="equal">
      <formula>0</formula>
    </cfRule>
  </conditionalFormatting>
  <hyperlinks>
    <hyperlink ref="B3" location="HL_Home" tooltip="Go to Table of Contents" display="HL_Home" xr:uid="{00000000-0004-0000-0F00-000000000000}"/>
  </hyperlinks>
  <pageMargins left="0.39370078740157499" right="0.39370078740157499" top="0.59055118110236249" bottom="0.98425196850393748" header="0" footer="0.31496062992125973"/>
  <pageSetup paperSize="9" scale="65" orientation="landscape" r:id="rId1"/>
  <headerFooter alignWithMargins="0">
    <oddHeader>&amp;C&amp;"Calibri"&amp;14&amp;KFF0000 OFFICIAL&amp;1#_x000D_&amp;"Arial"&amp;8&amp;K000000&amp;"Arial"&amp;8&amp;K000000&amp;B&amp;"Arial"&amp;12&amp;Kff0000​‌OFFICIAL‌​</oddHeader>
    <oddFooter>&amp;C&amp;"Arial,Bold"&amp;8Sheet m.
Page &amp;P of &amp;N&amp;L&amp;"Arial,Bold"&amp;7&amp;F
&amp;A
Printed: &amp;T on &amp;D</oddFooter>
  </headerFooter>
  <rowBreaks count="2" manualBreakCount="2">
    <brk id="50" min="1" max="23" man="1"/>
    <brk id="79" min="1" max="23" man="1"/>
  </rowBreaks>
  <ignoredErrors>
    <ignoredError sqref="AA20:AJ20" unlockedFormula="1"/>
  </ignoredError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8">
    <pageSetUpPr autoPageBreaks="0"/>
  </sheetPr>
  <dimension ref="A1:AL315"/>
  <sheetViews>
    <sheetView showGridLines="0" topLeftCell="E1" zoomScaleNormal="100" workbookViewId="0">
      <pane ySplit="7" topLeftCell="A224" activePane="bottomLeft" state="frozen"/>
      <selection activeCell="Z36" sqref="Z36"/>
      <selection pane="bottomLeft" activeCell="AB250" sqref="AB250"/>
    </sheetView>
  </sheetViews>
  <sheetFormatPr defaultColWidth="10.83203125" defaultRowHeight="12" outlineLevelCol="1"/>
  <cols>
    <col min="1" max="4" width="3.83203125" style="63" customWidth="1"/>
    <col min="5" max="5" width="47" style="63" customWidth="1"/>
    <col min="6" max="6" width="12.5" style="63" customWidth="1"/>
    <col min="7" max="7" width="3.83203125" style="63" customWidth="1"/>
    <col min="8" max="8" width="13" style="63" customWidth="1"/>
    <col min="9" max="9" width="3.83203125" style="67" customWidth="1"/>
    <col min="10" max="10" width="12.6640625" style="63" customWidth="1"/>
    <col min="11" max="20" width="11.83203125" style="63" hidden="1" customWidth="1" outlineLevel="1"/>
    <col min="21" max="21" width="11.83203125" style="63" customWidth="1" collapsed="1"/>
    <col min="22" max="28" width="11.83203125" style="63" customWidth="1"/>
    <col min="29" max="30" width="10.33203125" style="63" customWidth="1"/>
    <col min="31" max="36" width="10.83203125" style="63" customWidth="1"/>
    <col min="37" max="37" width="5.33203125" style="63" customWidth="1"/>
    <col min="38" max="16384" width="10.83203125" style="63"/>
  </cols>
  <sheetData>
    <row r="1" spans="1:38" ht="15">
      <c r="A1" s="139">
        <v>80</v>
      </c>
      <c r="B1" s="140" t="s">
        <v>1021</v>
      </c>
      <c r="I1" s="63"/>
      <c r="S1" s="695"/>
      <c r="T1" s="695"/>
      <c r="U1" s="695"/>
      <c r="V1" s="196"/>
      <c r="W1" s="196"/>
      <c r="X1" s="196"/>
      <c r="AB1" s="67"/>
      <c r="AC1" s="67"/>
      <c r="AD1" s="67"/>
      <c r="AE1" s="67"/>
      <c r="AF1" s="67"/>
      <c r="AG1" s="67"/>
      <c r="AH1" s="67"/>
      <c r="AI1" s="67"/>
      <c r="AJ1" s="67"/>
      <c r="AK1" s="67"/>
      <c r="AL1" s="67"/>
    </row>
    <row r="2" spans="1:38" ht="12.75">
      <c r="B2" s="142" t="str">
        <f>Model_Name</f>
        <v>Melbourne Water</v>
      </c>
      <c r="K2" s="695"/>
      <c r="L2" s="695"/>
      <c r="M2" s="695"/>
      <c r="N2" s="695"/>
      <c r="O2" s="695"/>
      <c r="P2" s="695"/>
      <c r="Q2" s="695"/>
      <c r="R2" s="695"/>
      <c r="AB2" s="67"/>
      <c r="AC2" s="67"/>
      <c r="AD2" s="67"/>
      <c r="AE2" s="67"/>
      <c r="AF2" s="67"/>
      <c r="AG2" s="67"/>
      <c r="AH2" s="67"/>
      <c r="AI2" s="67"/>
      <c r="AJ2" s="67"/>
      <c r="AK2" s="67"/>
      <c r="AL2" s="67"/>
    </row>
    <row r="3" spans="1:38">
      <c r="B3" s="2075" t="s">
        <v>138</v>
      </c>
      <c r="C3" s="2075"/>
      <c r="D3" s="2075"/>
      <c r="E3" s="2075"/>
      <c r="F3" s="2075"/>
      <c r="G3" s="64"/>
      <c r="K3" s="695"/>
      <c r="L3" s="695"/>
      <c r="M3" s="695"/>
      <c r="N3" s="695"/>
      <c r="O3" s="695"/>
      <c r="P3" s="695"/>
      <c r="Q3" s="695"/>
      <c r="R3" s="695"/>
    </row>
    <row r="4" spans="1:38">
      <c r="A4" s="147"/>
      <c r="B4" s="65"/>
      <c r="C4" s="66"/>
      <c r="F4" s="57"/>
      <c r="K4" s="1208"/>
      <c r="L4" s="1209"/>
      <c r="M4" s="1210"/>
      <c r="N4" s="1208"/>
      <c r="O4" s="1211"/>
      <c r="P4" s="1209"/>
      <c r="Q4" s="1211"/>
      <c r="R4" s="1210"/>
      <c r="S4" s="1208"/>
      <c r="T4" s="1209"/>
      <c r="U4" s="1211"/>
      <c r="V4" s="1208"/>
      <c r="W4" s="1211"/>
      <c r="X4" s="1209" t="str">
        <f>'Rev&amp;RAV_FO'!X4</f>
        <v>FIFTH REG PERIOD</v>
      </c>
      <c r="Y4" s="1213"/>
      <c r="Z4" s="1210"/>
      <c r="AA4" s="1208"/>
      <c r="AB4" s="1211"/>
      <c r="AC4" s="1209" t="str">
        <f>'Rev&amp;RAV_FO'!AC4</f>
        <v>SIXTH REG PERIOD</v>
      </c>
      <c r="AD4" s="1211"/>
      <c r="AE4" s="1210"/>
      <c r="AF4" s="1287"/>
      <c r="AG4" s="721"/>
      <c r="AH4" s="1209" t="str">
        <f>'Rev&amp;RAV_FO'!AH4</f>
        <v>SEVENTH REG PERIOD</v>
      </c>
      <c r="AI4" s="721"/>
      <c r="AJ4" s="1207"/>
    </row>
    <row r="5" spans="1:38">
      <c r="K5" s="67"/>
      <c r="L5" s="67"/>
      <c r="M5" s="67"/>
      <c r="N5" s="67"/>
      <c r="O5" s="67"/>
      <c r="P5" s="67"/>
      <c r="Q5" s="67"/>
      <c r="R5" s="67"/>
    </row>
    <row r="6" spans="1:38">
      <c r="B6" s="148"/>
      <c r="F6" s="149" t="s">
        <v>142</v>
      </c>
      <c r="K6" s="58"/>
      <c r="L6" s="58"/>
      <c r="M6" s="58"/>
      <c r="N6" s="58"/>
      <c r="O6" s="58"/>
      <c r="P6" s="58"/>
      <c r="Q6" s="58"/>
      <c r="R6" s="58"/>
      <c r="S6" s="59"/>
      <c r="T6" s="59"/>
      <c r="U6" s="59">
        <v>2021</v>
      </c>
      <c r="V6" s="59">
        <v>2022</v>
      </c>
      <c r="W6" s="59">
        <v>2023</v>
      </c>
      <c r="X6" s="60">
        <v>2024</v>
      </c>
      <c r="Y6" s="60">
        <v>2025</v>
      </c>
      <c r="Z6" s="60">
        <v>2026</v>
      </c>
      <c r="AA6" s="60">
        <v>2027</v>
      </c>
      <c r="AB6" s="60">
        <v>2028</v>
      </c>
      <c r="AC6" s="60">
        <v>2029</v>
      </c>
      <c r="AD6" s="60">
        <v>2030</v>
      </c>
      <c r="AE6" s="60">
        <v>2031</v>
      </c>
      <c r="AF6" s="60">
        <f>AE6+1</f>
        <v>2032</v>
      </c>
      <c r="AG6" s="60">
        <f>AF6+1</f>
        <v>2033</v>
      </c>
      <c r="AH6" s="60">
        <f>AG6+1</f>
        <v>2034</v>
      </c>
      <c r="AI6" s="60">
        <f>AH6+1</f>
        <v>2035</v>
      </c>
      <c r="AJ6" s="60">
        <f>AI6+1</f>
        <v>2036</v>
      </c>
    </row>
    <row r="7" spans="1:38">
      <c r="A7" s="68"/>
      <c r="B7" s="150"/>
      <c r="C7" s="68"/>
      <c r="D7" s="68"/>
      <c r="E7" s="68"/>
      <c r="F7" s="151" t="s">
        <v>143</v>
      </c>
      <c r="G7" s="68"/>
      <c r="H7" s="68"/>
      <c r="I7" s="318"/>
      <c r="J7" s="263"/>
      <c r="K7" s="661"/>
      <c r="L7" s="661"/>
      <c r="M7" s="661"/>
      <c r="N7" s="661"/>
      <c r="O7" s="661"/>
      <c r="P7" s="661"/>
      <c r="Q7" s="661"/>
      <c r="R7" s="661"/>
      <c r="S7" s="61"/>
      <c r="T7" s="61"/>
      <c r="U7" s="61" t="str">
        <f t="shared" ref="U7:AJ7" si="0">+CONCATENATE(U6-1,"-",RIGHT(U6,2))</f>
        <v>2020-21</v>
      </c>
      <c r="V7" s="61" t="str">
        <f t="shared" si="0"/>
        <v>2021-22</v>
      </c>
      <c r="W7" s="61" t="str">
        <f t="shared" si="0"/>
        <v>2022-23</v>
      </c>
      <c r="X7" s="61" t="str">
        <f t="shared" si="0"/>
        <v>2023-24</v>
      </c>
      <c r="Y7" s="61" t="str">
        <f t="shared" si="0"/>
        <v>2024-25</v>
      </c>
      <c r="Z7" s="61" t="str">
        <f t="shared" si="0"/>
        <v>2025-26</v>
      </c>
      <c r="AA7" s="61" t="str">
        <f t="shared" si="0"/>
        <v>2026-27</v>
      </c>
      <c r="AB7" s="61" t="str">
        <f t="shared" si="0"/>
        <v>2027-28</v>
      </c>
      <c r="AC7" s="61" t="str">
        <f t="shared" si="0"/>
        <v>2028-29</v>
      </c>
      <c r="AD7" s="61" t="str">
        <f t="shared" si="0"/>
        <v>2029-30</v>
      </c>
      <c r="AE7" s="61" t="str">
        <f t="shared" si="0"/>
        <v>2030-31</v>
      </c>
      <c r="AF7" s="61" t="str">
        <f t="shared" si="0"/>
        <v>2031-32</v>
      </c>
      <c r="AG7" s="61" t="str">
        <f t="shared" si="0"/>
        <v>2032-33</v>
      </c>
      <c r="AH7" s="61" t="str">
        <f t="shared" si="0"/>
        <v>2033-34</v>
      </c>
      <c r="AI7" s="61" t="str">
        <f t="shared" si="0"/>
        <v>2034-35</v>
      </c>
      <c r="AJ7" s="61" t="str">
        <f t="shared" si="0"/>
        <v>2035-36</v>
      </c>
    </row>
    <row r="8" spans="1:38" ht="12.75" thickBot="1">
      <c r="K8" s="695"/>
      <c r="L8" s="695"/>
      <c r="M8" s="695"/>
      <c r="N8" s="695"/>
      <c r="O8" s="695"/>
      <c r="P8" s="695"/>
      <c r="Q8" s="695"/>
      <c r="R8" s="695"/>
    </row>
    <row r="9" spans="1:38">
      <c r="C9" s="696"/>
      <c r="D9" s="153"/>
      <c r="E9" s="153"/>
      <c r="F9" s="153"/>
      <c r="G9" s="153"/>
      <c r="H9" s="153"/>
      <c r="I9" s="220"/>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4"/>
    </row>
    <row r="10" spans="1:38">
      <c r="C10" s="155"/>
      <c r="D10" s="674" t="s">
        <v>1022</v>
      </c>
      <c r="AK10" s="157"/>
    </row>
    <row r="11" spans="1:38">
      <c r="C11" s="155"/>
      <c r="D11" s="674"/>
      <c r="AK11" s="157"/>
    </row>
    <row r="12" spans="1:38">
      <c r="C12" s="155"/>
      <c r="D12" s="1856" t="s">
        <v>1023</v>
      </c>
      <c r="E12" s="1856"/>
      <c r="F12" s="1856"/>
      <c r="G12" s="1856"/>
      <c r="H12" s="1856"/>
      <c r="I12" s="1856"/>
      <c r="J12" s="1856"/>
      <c r="K12" s="1848"/>
      <c r="L12" s="1848"/>
      <c r="M12" s="1848"/>
      <c r="N12" s="1848"/>
      <c r="O12" s="1848"/>
      <c r="P12" s="1848"/>
      <c r="Q12" s="1848"/>
      <c r="R12" s="1848"/>
      <c r="S12" s="1848"/>
      <c r="T12" s="1848"/>
      <c r="U12" s="1848"/>
      <c r="AK12" s="157"/>
    </row>
    <row r="13" spans="1:38">
      <c r="C13" s="155"/>
      <c r="D13" s="1856" t="s">
        <v>1024</v>
      </c>
      <c r="E13" s="1856"/>
      <c r="F13" s="1856"/>
      <c r="G13" s="1856"/>
      <c r="H13" s="1856"/>
      <c r="I13" s="1856"/>
      <c r="J13" s="1856"/>
      <c r="K13" s="1848"/>
      <c r="L13" s="1848"/>
      <c r="M13" s="1848"/>
      <c r="N13" s="1848"/>
      <c r="O13" s="1848"/>
      <c r="P13" s="1848"/>
      <c r="Q13" s="1848"/>
      <c r="R13" s="1848"/>
      <c r="S13" s="1848"/>
      <c r="T13" s="1848"/>
      <c r="U13" s="1848"/>
      <c r="AK13" s="157"/>
    </row>
    <row r="14" spans="1:38">
      <c r="C14" s="155"/>
      <c r="AK14" s="157"/>
    </row>
    <row r="15" spans="1:38">
      <c r="C15" s="697">
        <v>1</v>
      </c>
      <c r="D15" s="89" t="s">
        <v>1025</v>
      </c>
      <c r="K15" s="196"/>
      <c r="L15" s="196"/>
      <c r="M15" s="196"/>
      <c r="AK15" s="157"/>
    </row>
    <row r="16" spans="1:38">
      <c r="C16" s="155"/>
      <c r="E16" s="2133" t="s">
        <v>1026</v>
      </c>
      <c r="F16" s="2134"/>
      <c r="G16" s="2134"/>
      <c r="H16" s="2134"/>
      <c r="I16" s="2135"/>
      <c r="J16" s="729"/>
      <c r="K16" s="729"/>
      <c r="L16" s="729"/>
      <c r="M16" s="729"/>
      <c r="N16" s="730"/>
      <c r="O16" s="4"/>
      <c r="P16" s="731"/>
      <c r="Q16" s="731"/>
      <c r="U16" s="449">
        <v>11.18543396226049</v>
      </c>
      <c r="V16" s="324">
        <v>13.182120672</v>
      </c>
      <c r="W16" s="325">
        <v>14.720192000000001</v>
      </c>
      <c r="X16" s="325">
        <v>14.811749853440002</v>
      </c>
      <c r="Y16" s="325">
        <v>14.876709351680001</v>
      </c>
      <c r="Z16" s="326">
        <v>16.580265708704726</v>
      </c>
      <c r="AA16" s="324">
        <v>17.84188075615862</v>
      </c>
      <c r="AB16" s="325">
        <v>18.947989731986947</v>
      </c>
      <c r="AC16" s="325">
        <v>19.50429792155661</v>
      </c>
      <c r="AD16" s="325">
        <v>19.9159522375645</v>
      </c>
      <c r="AE16" s="326">
        <v>20.101861473357285</v>
      </c>
      <c r="AF16" s="324">
        <v>20.967733468236116</v>
      </c>
      <c r="AG16" s="325">
        <v>20.910497309922928</v>
      </c>
      <c r="AH16" s="325">
        <v>20.680937779089177</v>
      </c>
      <c r="AI16" s="325">
        <v>20.454721916807401</v>
      </c>
      <c r="AJ16" s="326">
        <v>20.231816091253403</v>
      </c>
      <c r="AK16" s="157"/>
    </row>
    <row r="17" spans="3:37">
      <c r="C17" s="155"/>
      <c r="E17" s="2136" t="s">
        <v>1027</v>
      </c>
      <c r="F17" s="2137"/>
      <c r="G17" s="2137"/>
      <c r="H17" s="2137"/>
      <c r="I17" s="2138"/>
      <c r="J17" s="729"/>
      <c r="K17" s="729"/>
      <c r="L17" s="729"/>
      <c r="M17" s="729"/>
      <c r="N17" s="730"/>
      <c r="O17" s="4"/>
      <c r="P17" s="731"/>
      <c r="Q17" s="731"/>
      <c r="U17" s="450"/>
      <c r="V17" s="327"/>
      <c r="W17" s="328"/>
      <c r="X17" s="328"/>
      <c r="Y17" s="328"/>
      <c r="Z17" s="329"/>
      <c r="AA17" s="327"/>
      <c r="AB17" s="328"/>
      <c r="AC17" s="328"/>
      <c r="AD17" s="328"/>
      <c r="AE17" s="329"/>
      <c r="AF17" s="327"/>
      <c r="AG17" s="328"/>
      <c r="AH17" s="328"/>
      <c r="AI17" s="328"/>
      <c r="AJ17" s="329"/>
      <c r="AK17" s="157"/>
    </row>
    <row r="18" spans="3:37">
      <c r="C18" s="155"/>
      <c r="E18" s="2136" t="s">
        <v>1028</v>
      </c>
      <c r="F18" s="2137"/>
      <c r="G18" s="2137"/>
      <c r="H18" s="2137"/>
      <c r="I18" s="2138"/>
      <c r="J18" s="729"/>
      <c r="K18" s="729"/>
      <c r="L18" s="729"/>
      <c r="M18" s="729"/>
      <c r="N18" s="730"/>
      <c r="O18" s="4"/>
      <c r="P18" s="731"/>
      <c r="Q18" s="731"/>
      <c r="U18" s="450"/>
      <c r="V18" s="327"/>
      <c r="W18" s="328"/>
      <c r="X18" s="328"/>
      <c r="Y18" s="328"/>
      <c r="Z18" s="329"/>
      <c r="AA18" s="327"/>
      <c r="AB18" s="328"/>
      <c r="AC18" s="328"/>
      <c r="AD18" s="328"/>
      <c r="AE18" s="329"/>
      <c r="AF18" s="327"/>
      <c r="AG18" s="328"/>
      <c r="AH18" s="328"/>
      <c r="AI18" s="328"/>
      <c r="AJ18" s="329"/>
      <c r="AK18" s="157"/>
    </row>
    <row r="19" spans="3:37">
      <c r="C19" s="155"/>
      <c r="E19" s="2139" t="s">
        <v>1029</v>
      </c>
      <c r="F19" s="2140"/>
      <c r="G19" s="2140"/>
      <c r="H19" s="2140"/>
      <c r="I19" s="2141"/>
      <c r="J19" s="729"/>
      <c r="K19" s="729"/>
      <c r="L19" s="729"/>
      <c r="M19" s="729"/>
      <c r="N19" s="730"/>
      <c r="O19" s="4"/>
      <c r="P19" s="731"/>
      <c r="Q19" s="731"/>
      <c r="U19" s="451"/>
      <c r="V19" s="330"/>
      <c r="W19" s="331"/>
      <c r="X19" s="331"/>
      <c r="Y19" s="331"/>
      <c r="Z19" s="332"/>
      <c r="AA19" s="330"/>
      <c r="AB19" s="331"/>
      <c r="AC19" s="331"/>
      <c r="AD19" s="331"/>
      <c r="AE19" s="332"/>
      <c r="AF19" s="330"/>
      <c r="AG19" s="331"/>
      <c r="AH19" s="331"/>
      <c r="AI19" s="331"/>
      <c r="AJ19" s="332"/>
      <c r="AK19" s="157"/>
    </row>
    <row r="20" spans="3:37">
      <c r="C20" s="155"/>
      <c r="D20" s="89" t="str">
        <f>+CONCATENATE("Total ",LOWER(D15))</f>
        <v>Total revenue adjustments</v>
      </c>
      <c r="J20" s="698"/>
      <c r="K20" s="698"/>
      <c r="L20" s="698"/>
      <c r="M20" s="698"/>
      <c r="N20" s="67"/>
      <c r="P20" s="596"/>
      <c r="Q20" s="596"/>
      <c r="U20" s="217">
        <f t="shared" ref="U20:AB20" si="1">+SUM(U16:U19)</f>
        <v>11.18543396226049</v>
      </c>
      <c r="V20" s="217">
        <f t="shared" si="1"/>
        <v>13.182120672</v>
      </c>
      <c r="W20" s="217">
        <f t="shared" si="1"/>
        <v>14.720192000000001</v>
      </c>
      <c r="X20" s="217">
        <f t="shared" si="1"/>
        <v>14.811749853440002</v>
      </c>
      <c r="Y20" s="217">
        <f t="shared" si="1"/>
        <v>14.876709351680001</v>
      </c>
      <c r="Z20" s="217">
        <f t="shared" si="1"/>
        <v>16.580265708704726</v>
      </c>
      <c r="AA20" s="217">
        <f t="shared" si="1"/>
        <v>17.84188075615862</v>
      </c>
      <c r="AB20" s="217">
        <f t="shared" si="1"/>
        <v>18.947989731986947</v>
      </c>
      <c r="AC20" s="217">
        <f t="shared" ref="AC20:AJ20" si="2">+SUM(AC16:AC19)</f>
        <v>19.50429792155661</v>
      </c>
      <c r="AD20" s="217">
        <f t="shared" si="2"/>
        <v>19.9159522375645</v>
      </c>
      <c r="AE20" s="217">
        <f t="shared" si="2"/>
        <v>20.101861473357285</v>
      </c>
      <c r="AF20" s="217">
        <f t="shared" si="2"/>
        <v>20.967733468236116</v>
      </c>
      <c r="AG20" s="217">
        <f t="shared" si="2"/>
        <v>20.910497309922928</v>
      </c>
      <c r="AH20" s="217">
        <f t="shared" si="2"/>
        <v>20.680937779089177</v>
      </c>
      <c r="AI20" s="217">
        <f t="shared" si="2"/>
        <v>20.454721916807401</v>
      </c>
      <c r="AJ20" s="217">
        <f t="shared" si="2"/>
        <v>20.231816091253403</v>
      </c>
      <c r="AK20" s="157"/>
    </row>
    <row r="21" spans="3:37">
      <c r="C21" s="155"/>
      <c r="J21" s="196"/>
      <c r="K21" s="196"/>
      <c r="L21" s="196"/>
      <c r="M21" s="196"/>
      <c r="N21" s="67"/>
      <c r="P21" s="196"/>
      <c r="Q21" s="196"/>
      <c r="U21" s="116"/>
      <c r="V21" s="116"/>
      <c r="W21" s="116"/>
      <c r="X21" s="116"/>
      <c r="Y21" s="116"/>
      <c r="Z21" s="116"/>
      <c r="AA21" s="116"/>
      <c r="AB21" s="116"/>
      <c r="AC21" s="116"/>
      <c r="AD21" s="116"/>
      <c r="AE21" s="116"/>
      <c r="AF21" s="116"/>
      <c r="AG21" s="116"/>
      <c r="AH21" s="116"/>
      <c r="AI21" s="116"/>
      <c r="AJ21" s="116"/>
      <c r="AK21" s="157"/>
    </row>
    <row r="22" spans="3:37">
      <c r="C22" s="155"/>
      <c r="J22" s="196"/>
      <c r="K22" s="196"/>
      <c r="L22" s="196"/>
      <c r="M22" s="196"/>
      <c r="N22" s="67"/>
      <c r="P22" s="196"/>
      <c r="Q22" s="196"/>
      <c r="U22" s="116"/>
      <c r="V22" s="116"/>
      <c r="W22" s="116"/>
      <c r="X22" s="116"/>
      <c r="Y22" s="116"/>
      <c r="Z22" s="116"/>
      <c r="AA22" s="116"/>
      <c r="AB22" s="116"/>
      <c r="AC22" s="116"/>
      <c r="AD22" s="116"/>
      <c r="AE22" s="116"/>
      <c r="AF22" s="116"/>
      <c r="AG22" s="116"/>
      <c r="AH22" s="116"/>
      <c r="AI22" s="116"/>
      <c r="AJ22" s="116"/>
      <c r="AK22" s="157"/>
    </row>
    <row r="23" spans="3:37">
      <c r="C23" s="697">
        <v>2</v>
      </c>
      <c r="D23" s="89" t="s">
        <v>1030</v>
      </c>
      <c r="J23" s="196"/>
      <c r="K23" s="196"/>
      <c r="L23" s="196"/>
      <c r="M23" s="196"/>
      <c r="N23" s="67"/>
      <c r="P23" s="196"/>
      <c r="Q23" s="196"/>
      <c r="U23" s="116"/>
      <c r="V23" s="116"/>
      <c r="W23" s="116"/>
      <c r="X23" s="116"/>
      <c r="Y23" s="116"/>
      <c r="Z23" s="116"/>
      <c r="AA23" s="116"/>
      <c r="AB23" s="116"/>
      <c r="AC23" s="116"/>
      <c r="AD23" s="116"/>
      <c r="AE23" s="116"/>
      <c r="AF23" s="116"/>
      <c r="AG23" s="116"/>
      <c r="AH23" s="116"/>
      <c r="AI23" s="116"/>
      <c r="AJ23" s="116"/>
      <c r="AK23" s="157"/>
    </row>
    <row r="24" spans="3:37">
      <c r="C24" s="155"/>
      <c r="E24" s="2133" t="s">
        <v>1031</v>
      </c>
      <c r="F24" s="2134"/>
      <c r="G24" s="2134"/>
      <c r="H24" s="2134"/>
      <c r="I24" s="2135"/>
      <c r="J24" s="729"/>
      <c r="K24" s="729"/>
      <c r="L24" s="729"/>
      <c r="M24" s="729"/>
      <c r="N24" s="730"/>
      <c r="O24" s="4"/>
      <c r="P24" s="731"/>
      <c r="Q24" s="731"/>
      <c r="U24" s="449">
        <v>-403.67480236778681</v>
      </c>
      <c r="V24" s="324">
        <v>-401.33253151823885</v>
      </c>
      <c r="W24" s="325">
        <v>-398.93653663743885</v>
      </c>
      <c r="X24" s="325">
        <v>-394.66043126358062</v>
      </c>
      <c r="Y24" s="325">
        <v>-389.33699999999999</v>
      </c>
      <c r="Z24" s="326">
        <v>-381.83104216999993</v>
      </c>
      <c r="AA24" s="324">
        <v>-373.49160605000003</v>
      </c>
      <c r="AB24" s="325">
        <v>-362.54382136999999</v>
      </c>
      <c r="AC24" s="325">
        <v>-348.17723351999996</v>
      </c>
      <c r="AD24" s="325">
        <v>-331.46065393000003</v>
      </c>
      <c r="AE24" s="326">
        <v>-312.45230673999998</v>
      </c>
      <c r="AF24" s="324">
        <v>-290.53974153897792</v>
      </c>
      <c r="AG24" s="325">
        <v>-265.38601361775858</v>
      </c>
      <c r="AH24" s="325">
        <v>-236.71990740756479</v>
      </c>
      <c r="AI24" s="325">
        <v>-204.31472503354775</v>
      </c>
      <c r="AJ24" s="326">
        <v>-167.96026407408445</v>
      </c>
      <c r="AK24" s="157"/>
    </row>
    <row r="25" spans="3:37">
      <c r="C25" s="155"/>
      <c r="E25" s="2136" t="s">
        <v>1032</v>
      </c>
      <c r="F25" s="2137"/>
      <c r="G25" s="2137"/>
      <c r="H25" s="2137"/>
      <c r="I25" s="2138"/>
      <c r="J25" s="729"/>
      <c r="K25" s="729"/>
      <c r="L25" s="729"/>
      <c r="M25" s="729"/>
      <c r="N25" s="730"/>
      <c r="O25" s="4"/>
      <c r="P25" s="731"/>
      <c r="Q25" s="731"/>
      <c r="U25" s="450">
        <v>102.98943326999999</v>
      </c>
      <c r="V25" s="327">
        <v>49.383946299999998</v>
      </c>
      <c r="W25" s="328">
        <v>59.210183450000002</v>
      </c>
      <c r="X25" s="328">
        <v>45.885418560000005</v>
      </c>
      <c r="Y25" s="328">
        <v>77.135000000000005</v>
      </c>
      <c r="Z25" s="329">
        <v>61.482250000000001</v>
      </c>
      <c r="AA25" s="327">
        <v>52.482250000000001</v>
      </c>
      <c r="AB25" s="328">
        <v>55.75</v>
      </c>
      <c r="AC25" s="328">
        <v>57.143749999999997</v>
      </c>
      <c r="AD25" s="328">
        <v>58.572344000000001</v>
      </c>
      <c r="AE25" s="329">
        <v>60.036651999999997</v>
      </c>
      <c r="AF25" s="327">
        <v>61.53756829999999</v>
      </c>
      <c r="AG25" s="328">
        <v>63.07600750749998</v>
      </c>
      <c r="AH25" s="328">
        <v>64.65290769518748</v>
      </c>
      <c r="AI25" s="328">
        <v>66.269230387567163</v>
      </c>
      <c r="AJ25" s="329">
        <v>67.925961147256331</v>
      </c>
      <c r="AK25" s="157"/>
    </row>
    <row r="26" spans="3:37">
      <c r="C26" s="155"/>
      <c r="E26" s="2136" t="s">
        <v>1028</v>
      </c>
      <c r="F26" s="2137"/>
      <c r="G26" s="2137"/>
      <c r="H26" s="2137"/>
      <c r="I26" s="2138"/>
      <c r="J26" s="729"/>
      <c r="K26" s="729"/>
      <c r="L26" s="729"/>
      <c r="M26" s="729"/>
      <c r="N26" s="730"/>
      <c r="O26" s="4"/>
      <c r="P26" s="731"/>
      <c r="Q26" s="731"/>
      <c r="U26" s="450"/>
      <c r="V26" s="327"/>
      <c r="W26" s="328"/>
      <c r="X26" s="328"/>
      <c r="Y26" s="328"/>
      <c r="Z26" s="329"/>
      <c r="AA26" s="327"/>
      <c r="AB26" s="328"/>
      <c r="AC26" s="328"/>
      <c r="AD26" s="328"/>
      <c r="AE26" s="329"/>
      <c r="AF26" s="327"/>
      <c r="AG26" s="328"/>
      <c r="AH26" s="328"/>
      <c r="AI26" s="328"/>
      <c r="AJ26" s="329"/>
      <c r="AK26" s="157"/>
    </row>
    <row r="27" spans="3:37">
      <c r="C27" s="155"/>
      <c r="E27" s="2139" t="s">
        <v>1029</v>
      </c>
      <c r="F27" s="2140"/>
      <c r="G27" s="2140"/>
      <c r="H27" s="2140"/>
      <c r="I27" s="2141"/>
      <c r="J27" s="729"/>
      <c r="K27" s="729"/>
      <c r="L27" s="729"/>
      <c r="M27" s="729"/>
      <c r="N27" s="730"/>
      <c r="O27" s="4"/>
      <c r="P27" s="731"/>
      <c r="Q27" s="731"/>
      <c r="U27" s="451"/>
      <c r="V27" s="330"/>
      <c r="W27" s="331"/>
      <c r="X27" s="331"/>
      <c r="Y27" s="331"/>
      <c r="Z27" s="332"/>
      <c r="AA27" s="330"/>
      <c r="AB27" s="331"/>
      <c r="AC27" s="331"/>
      <c r="AD27" s="331"/>
      <c r="AE27" s="332"/>
      <c r="AF27" s="330"/>
      <c r="AG27" s="331"/>
      <c r="AH27" s="331"/>
      <c r="AI27" s="331"/>
      <c r="AJ27" s="332"/>
      <c r="AK27" s="157"/>
    </row>
    <row r="28" spans="3:37">
      <c r="C28" s="155"/>
      <c r="D28" s="89" t="str">
        <f>+CONCATENATE("Total ",LOWER(D23))</f>
        <v>Total operating expenditure adjustments</v>
      </c>
      <c r="J28" s="698"/>
      <c r="K28" s="698"/>
      <c r="L28" s="698"/>
      <c r="M28" s="698"/>
      <c r="N28" s="67"/>
      <c r="P28" s="596"/>
      <c r="Q28" s="596"/>
      <c r="U28" s="217">
        <f t="shared" ref="U28:AB28" si="3">+SUM(U24:U27)</f>
        <v>-300.6853690977868</v>
      </c>
      <c r="V28" s="217">
        <f t="shared" si="3"/>
        <v>-351.94858521823886</v>
      </c>
      <c r="W28" s="217">
        <f t="shared" si="3"/>
        <v>-339.72635318743886</v>
      </c>
      <c r="X28" s="217">
        <f t="shared" si="3"/>
        <v>-348.77501270358061</v>
      </c>
      <c r="Y28" s="217">
        <f t="shared" si="3"/>
        <v>-312.202</v>
      </c>
      <c r="Z28" s="217">
        <f t="shared" si="3"/>
        <v>-320.34879216999991</v>
      </c>
      <c r="AA28" s="217">
        <f t="shared" si="3"/>
        <v>-321.00935605000001</v>
      </c>
      <c r="AB28" s="217">
        <f t="shared" si="3"/>
        <v>-306.79382136999999</v>
      </c>
      <c r="AC28" s="217">
        <f t="shared" ref="AC28:AJ28" si="4">+SUM(AC24:AC27)</f>
        <v>-291.03348351999995</v>
      </c>
      <c r="AD28" s="217">
        <f t="shared" si="4"/>
        <v>-272.88830993000005</v>
      </c>
      <c r="AE28" s="217">
        <f t="shared" si="4"/>
        <v>-252.41565473999998</v>
      </c>
      <c r="AF28" s="217">
        <f t="shared" si="4"/>
        <v>-229.00217323897795</v>
      </c>
      <c r="AG28" s="217">
        <f t="shared" si="4"/>
        <v>-202.3100061102586</v>
      </c>
      <c r="AH28" s="217">
        <f t="shared" si="4"/>
        <v>-172.06699971237731</v>
      </c>
      <c r="AI28" s="217">
        <f t="shared" si="4"/>
        <v>-138.04549464598057</v>
      </c>
      <c r="AJ28" s="217">
        <f t="shared" si="4"/>
        <v>-100.03430292682812</v>
      </c>
      <c r="AK28" s="157"/>
    </row>
    <row r="29" spans="3:37">
      <c r="C29" s="155"/>
      <c r="J29" s="196"/>
      <c r="K29" s="196"/>
      <c r="L29" s="196"/>
      <c r="M29" s="196"/>
      <c r="N29" s="67"/>
      <c r="P29" s="196"/>
      <c r="Q29" s="196"/>
      <c r="U29" s="116"/>
      <c r="V29" s="116"/>
      <c r="W29" s="116"/>
      <c r="X29" s="116"/>
      <c r="Y29" s="116"/>
      <c r="Z29" s="116"/>
      <c r="AA29" s="116"/>
      <c r="AB29" s="116"/>
      <c r="AC29" s="116"/>
      <c r="AD29" s="116"/>
      <c r="AE29" s="116"/>
      <c r="AF29" s="116"/>
      <c r="AG29" s="116"/>
      <c r="AH29" s="116"/>
      <c r="AI29" s="116"/>
      <c r="AJ29" s="116"/>
      <c r="AK29" s="157"/>
    </row>
    <row r="30" spans="3:37">
      <c r="C30" s="155"/>
      <c r="J30" s="196"/>
      <c r="K30" s="196"/>
      <c r="L30" s="196"/>
      <c r="M30" s="196"/>
      <c r="N30" s="67"/>
      <c r="P30" s="196"/>
      <c r="Q30" s="196"/>
      <c r="U30" s="116"/>
      <c r="V30" s="116"/>
      <c r="W30" s="116"/>
      <c r="X30" s="116"/>
      <c r="Y30" s="116"/>
      <c r="Z30" s="116"/>
      <c r="AA30" s="116"/>
      <c r="AB30" s="116"/>
      <c r="AC30" s="116"/>
      <c r="AD30" s="116"/>
      <c r="AE30" s="116"/>
      <c r="AF30" s="116"/>
      <c r="AG30" s="116"/>
      <c r="AH30" s="116"/>
      <c r="AI30" s="116"/>
      <c r="AJ30" s="116"/>
      <c r="AK30" s="157"/>
    </row>
    <row r="31" spans="3:37">
      <c r="C31" s="697">
        <v>3</v>
      </c>
      <c r="D31" s="89" t="s">
        <v>1033</v>
      </c>
      <c r="J31" s="196"/>
      <c r="K31" s="196"/>
      <c r="L31" s="196"/>
      <c r="M31" s="196"/>
      <c r="N31" s="67"/>
      <c r="P31" s="196"/>
      <c r="Q31" s="196"/>
      <c r="U31" s="116"/>
      <c r="V31" s="116"/>
      <c r="W31" s="116"/>
      <c r="X31" s="116"/>
      <c r="Y31" s="116"/>
      <c r="Z31" s="116"/>
      <c r="AA31" s="116"/>
      <c r="AB31" s="116"/>
      <c r="AC31" s="116"/>
      <c r="AD31" s="116"/>
      <c r="AE31" s="116"/>
      <c r="AF31" s="116"/>
      <c r="AG31" s="116"/>
      <c r="AH31" s="116"/>
      <c r="AI31" s="116"/>
      <c r="AJ31" s="116"/>
      <c r="AK31" s="157"/>
    </row>
    <row r="32" spans="3:37">
      <c r="C32" s="155"/>
      <c r="E32" s="2133" t="s">
        <v>1031</v>
      </c>
      <c r="F32" s="2134"/>
      <c r="G32" s="2134"/>
      <c r="H32" s="2134"/>
      <c r="I32" s="2135"/>
      <c r="J32" s="729"/>
      <c r="K32" s="729"/>
      <c r="L32" s="729"/>
      <c r="M32" s="729"/>
      <c r="N32" s="730"/>
      <c r="O32" s="4"/>
      <c r="P32" s="731"/>
      <c r="Q32" s="731"/>
      <c r="U32" s="449">
        <v>403.67480236778681</v>
      </c>
      <c r="V32" s="324">
        <v>401.33253151823885</v>
      </c>
      <c r="W32" s="325">
        <v>398.93653663743885</v>
      </c>
      <c r="X32" s="325">
        <v>394.66043126358062</v>
      </c>
      <c r="Y32" s="325">
        <v>389.33699999999999</v>
      </c>
      <c r="Z32" s="326">
        <v>381.83104216999993</v>
      </c>
      <c r="AA32" s="324">
        <v>373.49160605000003</v>
      </c>
      <c r="AB32" s="325">
        <v>362.54382136999999</v>
      </c>
      <c r="AC32" s="325">
        <v>348.17723351999996</v>
      </c>
      <c r="AD32" s="325">
        <v>331.46065393000003</v>
      </c>
      <c r="AE32" s="326">
        <v>312.45230673999998</v>
      </c>
      <c r="AF32" s="324">
        <v>290.53974153897792</v>
      </c>
      <c r="AG32" s="325">
        <v>265.38601361775858</v>
      </c>
      <c r="AH32" s="325">
        <v>236.71990740756479</v>
      </c>
      <c r="AI32" s="325">
        <v>204.31472503354775</v>
      </c>
      <c r="AJ32" s="326">
        <v>167.96026407408445</v>
      </c>
      <c r="AK32" s="157"/>
    </row>
    <row r="33" spans="3:37">
      <c r="C33" s="155"/>
      <c r="E33" s="2136" t="s">
        <v>1034</v>
      </c>
      <c r="F33" s="2137"/>
      <c r="G33" s="2137"/>
      <c r="H33" s="2137"/>
      <c r="I33" s="2138"/>
      <c r="J33" s="729"/>
      <c r="K33" s="729"/>
      <c r="L33" s="729"/>
      <c r="M33" s="729"/>
      <c r="N33" s="730"/>
      <c r="O33" s="4"/>
      <c r="P33" s="731"/>
      <c r="Q33" s="731"/>
      <c r="U33" s="450">
        <v>49.552608197466384</v>
      </c>
      <c r="V33" s="327">
        <v>46.198097820846669</v>
      </c>
      <c r="W33" s="328">
        <v>34.919134432541455</v>
      </c>
      <c r="X33" s="328">
        <v>59.86620355424833</v>
      </c>
      <c r="Y33" s="328">
        <v>-109.80366452095416</v>
      </c>
      <c r="Z33" s="329">
        <v>-35.516935862943797</v>
      </c>
      <c r="AA33" s="327">
        <v>-54.168121021564673</v>
      </c>
      <c r="AB33" s="328">
        <v>-60.614900232140428</v>
      </c>
      <c r="AC33" s="328">
        <v>3.6250665043072559</v>
      </c>
      <c r="AD33" s="328">
        <v>19.765869434180217</v>
      </c>
      <c r="AE33" s="329">
        <v>44.977031560608509</v>
      </c>
      <c r="AF33" s="327"/>
      <c r="AG33" s="328"/>
      <c r="AH33" s="328"/>
      <c r="AI33" s="328"/>
      <c r="AJ33" s="329"/>
      <c r="AK33" s="157"/>
    </row>
    <row r="34" spans="3:37">
      <c r="C34" s="155"/>
      <c r="E34" s="2136" t="s">
        <v>1035</v>
      </c>
      <c r="F34" s="2137"/>
      <c r="G34" s="2137"/>
      <c r="H34" s="2137"/>
      <c r="I34" s="2138"/>
      <c r="J34" s="729"/>
      <c r="K34" s="729"/>
      <c r="L34" s="729"/>
      <c r="M34" s="729"/>
      <c r="N34" s="730"/>
      <c r="O34" s="4"/>
      <c r="P34" s="731"/>
      <c r="Q34" s="731"/>
      <c r="U34" s="450"/>
      <c r="V34" s="327"/>
      <c r="W34" s="328"/>
      <c r="X34" s="328"/>
      <c r="Y34" s="328"/>
      <c r="Z34" s="329">
        <v>19.412775450000254</v>
      </c>
      <c r="AA34" s="327">
        <v>25.73257319382094</v>
      </c>
      <c r="AB34" s="328">
        <v>14.498167972697047</v>
      </c>
      <c r="AC34" s="328">
        <v>-35.437729121690836</v>
      </c>
      <c r="AD34" s="328">
        <v>-25.721238693180112</v>
      </c>
      <c r="AE34" s="329">
        <v>-29.769434040000021</v>
      </c>
      <c r="AF34" s="327"/>
      <c r="AG34" s="328"/>
      <c r="AH34" s="328"/>
      <c r="AI34" s="328"/>
      <c r="AJ34" s="329"/>
      <c r="AK34" s="157"/>
    </row>
    <row r="35" spans="3:37">
      <c r="C35" s="155"/>
      <c r="E35" s="2136" t="s">
        <v>1029</v>
      </c>
      <c r="F35" s="2137"/>
      <c r="G35" s="2137"/>
      <c r="H35" s="2137"/>
      <c r="I35" s="2138"/>
      <c r="J35" s="729"/>
      <c r="K35" s="729"/>
      <c r="L35" s="729"/>
      <c r="M35" s="729"/>
      <c r="N35" s="730"/>
      <c r="O35" s="4"/>
      <c r="P35" s="731"/>
      <c r="Q35" s="731"/>
      <c r="U35" s="450"/>
      <c r="V35" s="327"/>
      <c r="W35" s="328"/>
      <c r="X35" s="328"/>
      <c r="Y35" s="328"/>
      <c r="Z35" s="329"/>
      <c r="AA35" s="327"/>
      <c r="AB35" s="328"/>
      <c r="AC35" s="328"/>
      <c r="AD35" s="328"/>
      <c r="AE35" s="329"/>
      <c r="AF35" s="327"/>
      <c r="AG35" s="328"/>
      <c r="AH35" s="328"/>
      <c r="AI35" s="328"/>
      <c r="AJ35" s="329"/>
      <c r="AK35" s="157"/>
    </row>
    <row r="36" spans="3:37">
      <c r="C36" s="155"/>
      <c r="E36" s="2136" t="s">
        <v>1036</v>
      </c>
      <c r="F36" s="2137"/>
      <c r="G36" s="2137"/>
      <c r="H36" s="2137"/>
      <c r="I36" s="2138"/>
      <c r="J36" s="729"/>
      <c r="K36" s="729"/>
      <c r="L36" s="729"/>
      <c r="M36" s="729"/>
      <c r="N36" s="730"/>
      <c r="O36" s="4"/>
      <c r="P36" s="731"/>
      <c r="Q36" s="731"/>
      <c r="U36" s="450"/>
      <c r="V36" s="327"/>
      <c r="W36" s="328"/>
      <c r="X36" s="328"/>
      <c r="Y36" s="328"/>
      <c r="Z36" s="329"/>
      <c r="AA36" s="327"/>
      <c r="AB36" s="328"/>
      <c r="AC36" s="328"/>
      <c r="AD36" s="328"/>
      <c r="AE36" s="329"/>
      <c r="AF36" s="327"/>
      <c r="AG36" s="328"/>
      <c r="AH36" s="328"/>
      <c r="AI36" s="328"/>
      <c r="AJ36" s="329"/>
      <c r="AK36" s="157"/>
    </row>
    <row r="37" spans="3:37">
      <c r="C37" s="155"/>
      <c r="E37" s="2136" t="s">
        <v>1037</v>
      </c>
      <c r="F37" s="2137"/>
      <c r="G37" s="2137"/>
      <c r="H37" s="2137"/>
      <c r="I37" s="2138"/>
      <c r="J37" s="729"/>
      <c r="K37" s="729"/>
      <c r="L37" s="729"/>
      <c r="M37" s="729"/>
      <c r="N37" s="730"/>
      <c r="O37" s="4"/>
      <c r="P37" s="731"/>
      <c r="Q37" s="731"/>
      <c r="U37" s="450"/>
      <c r="V37" s="327"/>
      <c r="W37" s="328"/>
      <c r="X37" s="328"/>
      <c r="Y37" s="328"/>
      <c r="Z37" s="329"/>
      <c r="AA37" s="327"/>
      <c r="AB37" s="328"/>
      <c r="AC37" s="328"/>
      <c r="AD37" s="328"/>
      <c r="AE37" s="329"/>
      <c r="AF37" s="327"/>
      <c r="AG37" s="328"/>
      <c r="AH37" s="328"/>
      <c r="AI37" s="328"/>
      <c r="AJ37" s="329"/>
      <c r="AK37" s="157"/>
    </row>
    <row r="38" spans="3:37">
      <c r="C38" s="155"/>
      <c r="E38" s="2136" t="s">
        <v>1038</v>
      </c>
      <c r="F38" s="2137"/>
      <c r="G38" s="2137"/>
      <c r="H38" s="2137"/>
      <c r="I38" s="2138"/>
      <c r="J38" s="729"/>
      <c r="K38" s="729"/>
      <c r="L38" s="729"/>
      <c r="M38" s="729"/>
      <c r="N38" s="730"/>
      <c r="O38" s="4"/>
      <c r="P38" s="731"/>
      <c r="Q38" s="731"/>
      <c r="U38" s="450"/>
      <c r="V38" s="327"/>
      <c r="W38" s="328"/>
      <c r="X38" s="328"/>
      <c r="Y38" s="328"/>
      <c r="Z38" s="329"/>
      <c r="AA38" s="327"/>
      <c r="AB38" s="328"/>
      <c r="AC38" s="328"/>
      <c r="AD38" s="328"/>
      <c r="AE38" s="329"/>
      <c r="AF38" s="327"/>
      <c r="AG38" s="328"/>
      <c r="AH38" s="328"/>
      <c r="AI38" s="328"/>
      <c r="AJ38" s="329"/>
      <c r="AK38" s="157"/>
    </row>
    <row r="39" spans="3:37">
      <c r="C39" s="155"/>
      <c r="E39" s="2136" t="s">
        <v>1039</v>
      </c>
      <c r="F39" s="2137"/>
      <c r="G39" s="2137"/>
      <c r="H39" s="2137"/>
      <c r="I39" s="2138"/>
      <c r="J39" s="729"/>
      <c r="K39" s="729"/>
      <c r="L39" s="729"/>
      <c r="M39" s="729"/>
      <c r="N39" s="730"/>
      <c r="O39" s="4"/>
      <c r="P39" s="731"/>
      <c r="Q39" s="731"/>
      <c r="U39" s="450"/>
      <c r="V39" s="327"/>
      <c r="W39" s="328"/>
      <c r="X39" s="328"/>
      <c r="Y39" s="328"/>
      <c r="Z39" s="329"/>
      <c r="AA39" s="327"/>
      <c r="AB39" s="328"/>
      <c r="AC39" s="328"/>
      <c r="AD39" s="328"/>
      <c r="AE39" s="329"/>
      <c r="AF39" s="327"/>
      <c r="AG39" s="328"/>
      <c r="AH39" s="328"/>
      <c r="AI39" s="328"/>
      <c r="AJ39" s="329"/>
      <c r="AK39" s="157"/>
    </row>
    <row r="40" spans="3:37">
      <c r="C40" s="155"/>
      <c r="E40" s="2139" t="s">
        <v>1040</v>
      </c>
      <c r="F40" s="2140"/>
      <c r="G40" s="2140"/>
      <c r="H40" s="2140"/>
      <c r="I40" s="2141"/>
      <c r="J40" s="729"/>
      <c r="K40" s="729"/>
      <c r="L40" s="729"/>
      <c r="M40" s="729"/>
      <c r="N40" s="730"/>
      <c r="O40" s="4"/>
      <c r="P40" s="731"/>
      <c r="Q40" s="731"/>
      <c r="U40" s="451"/>
      <c r="V40" s="330"/>
      <c r="W40" s="331"/>
      <c r="X40" s="331"/>
      <c r="Y40" s="331"/>
      <c r="Z40" s="332"/>
      <c r="AA40" s="330"/>
      <c r="AB40" s="331"/>
      <c r="AC40" s="331"/>
      <c r="AD40" s="331"/>
      <c r="AE40" s="332"/>
      <c r="AF40" s="330"/>
      <c r="AG40" s="331"/>
      <c r="AH40" s="331"/>
      <c r="AI40" s="331"/>
      <c r="AJ40" s="332"/>
      <c r="AK40" s="157"/>
    </row>
    <row r="41" spans="3:37" s="89" customFormat="1">
      <c r="C41" s="697"/>
      <c r="D41" s="89" t="str">
        <f>+CONCATENATE("Total ",LOWER(D31))</f>
        <v>Total operating cash flow adjustments</v>
      </c>
      <c r="I41" s="93"/>
      <c r="J41" s="698"/>
      <c r="K41" s="698"/>
      <c r="L41" s="698"/>
      <c r="M41" s="698"/>
      <c r="N41" s="67"/>
      <c r="O41" s="63"/>
      <c r="P41" s="596"/>
      <c r="Q41" s="596"/>
      <c r="R41" s="63"/>
      <c r="S41" s="63"/>
      <c r="T41" s="63"/>
      <c r="U41" s="217">
        <f t="shared" ref="U41:AB41" si="5">+SUM(U32:U40)</f>
        <v>453.22741056525319</v>
      </c>
      <c r="V41" s="217">
        <f t="shared" si="5"/>
        <v>447.53062933908552</v>
      </c>
      <c r="W41" s="217">
        <f t="shared" si="5"/>
        <v>433.8556710699803</v>
      </c>
      <c r="X41" s="217">
        <f t="shared" si="5"/>
        <v>454.52663481782895</v>
      </c>
      <c r="Y41" s="217">
        <f t="shared" si="5"/>
        <v>279.53333547904583</v>
      </c>
      <c r="Z41" s="217">
        <f t="shared" si="5"/>
        <v>365.72688175705639</v>
      </c>
      <c r="AA41" s="217">
        <f t="shared" si="5"/>
        <v>345.0560582222563</v>
      </c>
      <c r="AB41" s="217">
        <f t="shared" si="5"/>
        <v>316.42708911055661</v>
      </c>
      <c r="AC41" s="217">
        <f t="shared" ref="AC41:AJ41" si="6">+SUM(AC32:AC40)</f>
        <v>316.36457090261638</v>
      </c>
      <c r="AD41" s="217">
        <f t="shared" si="6"/>
        <v>325.50528467100014</v>
      </c>
      <c r="AE41" s="217">
        <f t="shared" si="6"/>
        <v>327.65990426060847</v>
      </c>
      <c r="AF41" s="217">
        <f t="shared" si="6"/>
        <v>290.53974153897792</v>
      </c>
      <c r="AG41" s="217">
        <f t="shared" si="6"/>
        <v>265.38601361775858</v>
      </c>
      <c r="AH41" s="217">
        <f t="shared" si="6"/>
        <v>236.71990740756479</v>
      </c>
      <c r="AI41" s="217">
        <f t="shared" si="6"/>
        <v>204.31472503354775</v>
      </c>
      <c r="AJ41" s="217">
        <f t="shared" si="6"/>
        <v>167.96026407408445</v>
      </c>
      <c r="AK41" s="699"/>
    </row>
    <row r="42" spans="3:37">
      <c r="C42" s="155"/>
      <c r="J42" s="196"/>
      <c r="K42" s="196"/>
      <c r="L42" s="196"/>
      <c r="M42" s="196"/>
      <c r="N42" s="67"/>
      <c r="P42" s="196"/>
      <c r="Q42" s="196"/>
      <c r="U42" s="116"/>
      <c r="V42" s="116"/>
      <c r="W42" s="116"/>
      <c r="X42" s="116"/>
      <c r="Y42" s="116"/>
      <c r="Z42" s="116"/>
      <c r="AA42" s="116"/>
      <c r="AB42" s="116"/>
      <c r="AC42" s="116"/>
      <c r="AD42" s="116"/>
      <c r="AE42" s="116"/>
      <c r="AF42" s="116"/>
      <c r="AG42" s="116"/>
      <c r="AH42" s="116"/>
      <c r="AI42" s="116"/>
      <c r="AJ42" s="116"/>
      <c r="AK42" s="157"/>
    </row>
    <row r="43" spans="3:37">
      <c r="C43" s="155"/>
      <c r="J43" s="196"/>
      <c r="K43" s="196"/>
      <c r="L43" s="196"/>
      <c r="M43" s="196"/>
      <c r="N43" s="67"/>
      <c r="P43" s="196"/>
      <c r="Q43" s="196"/>
      <c r="U43" s="116"/>
      <c r="V43" s="116"/>
      <c r="W43" s="116"/>
      <c r="X43" s="116"/>
      <c r="Y43" s="116"/>
      <c r="Z43" s="116"/>
      <c r="AA43" s="116"/>
      <c r="AB43" s="116"/>
      <c r="AC43" s="116"/>
      <c r="AD43" s="116"/>
      <c r="AE43" s="116"/>
      <c r="AF43" s="116"/>
      <c r="AG43" s="116"/>
      <c r="AH43" s="116"/>
      <c r="AI43" s="116"/>
      <c r="AJ43" s="116"/>
      <c r="AK43" s="157"/>
    </row>
    <row r="44" spans="3:37">
      <c r="C44" s="697">
        <v>4</v>
      </c>
      <c r="D44" s="89" t="s">
        <v>1041</v>
      </c>
      <c r="J44" s="196"/>
      <c r="K44" s="196"/>
      <c r="L44" s="196"/>
      <c r="M44" s="196"/>
      <c r="N44" s="67"/>
      <c r="P44" s="196"/>
      <c r="Q44" s="196"/>
      <c r="U44" s="116"/>
      <c r="V44" s="116"/>
      <c r="W44" s="116"/>
      <c r="X44" s="116"/>
      <c r="Y44" s="116"/>
      <c r="Z44" s="116"/>
      <c r="AA44" s="116"/>
      <c r="AB44" s="116"/>
      <c r="AC44" s="116"/>
      <c r="AD44" s="116"/>
      <c r="AE44" s="116"/>
      <c r="AF44" s="116"/>
      <c r="AG44" s="116"/>
      <c r="AH44" s="116"/>
      <c r="AI44" s="116"/>
      <c r="AJ44" s="116"/>
      <c r="AK44" s="157"/>
    </row>
    <row r="45" spans="3:37">
      <c r="C45" s="155"/>
      <c r="E45" s="2133" t="s">
        <v>1042</v>
      </c>
      <c r="F45" s="2134"/>
      <c r="G45" s="2134"/>
      <c r="H45" s="2134"/>
      <c r="I45" s="2135"/>
      <c r="J45" s="729"/>
      <c r="K45" s="729"/>
      <c r="L45" s="729"/>
      <c r="M45" s="729"/>
      <c r="N45" s="730"/>
      <c r="O45" s="4"/>
      <c r="P45" s="731"/>
      <c r="Q45" s="731"/>
      <c r="U45" s="449">
        <v>44.223775753152267</v>
      </c>
      <c r="V45" s="324">
        <v>37.806120998145616</v>
      </c>
      <c r="W45" s="325">
        <v>68.293358450841538</v>
      </c>
      <c r="X45" s="325">
        <v>60.019377561567239</v>
      </c>
      <c r="Y45" s="325">
        <v>117.30330888924289</v>
      </c>
      <c r="Z45" s="326">
        <v>-490.04905720269005</v>
      </c>
      <c r="AA45" s="324">
        <v>131.09750491456543</v>
      </c>
      <c r="AB45" s="325">
        <v>173.55039208500762</v>
      </c>
      <c r="AC45" s="325">
        <v>204.7803756748533</v>
      </c>
      <c r="AD45" s="325">
        <v>229.98450027045351</v>
      </c>
      <c r="AE45" s="326">
        <v>224.66197711458335</v>
      </c>
      <c r="AF45" s="324">
        <v>208.8706371828051</v>
      </c>
      <c r="AG45" s="325">
        <v>238.80799558743371</v>
      </c>
      <c r="AH45" s="325">
        <v>270.52711140927318</v>
      </c>
      <c r="AI45" s="325">
        <v>303.85854472891185</v>
      </c>
      <c r="AJ45" s="326">
        <v>340.07018913784003</v>
      </c>
      <c r="AK45" s="157"/>
    </row>
    <row r="46" spans="3:37">
      <c r="C46" s="155"/>
      <c r="E46" s="2136" t="s">
        <v>1027</v>
      </c>
      <c r="F46" s="2137"/>
      <c r="G46" s="2137"/>
      <c r="H46" s="2137"/>
      <c r="I46" s="2138"/>
      <c r="J46" s="729"/>
      <c r="K46" s="729"/>
      <c r="L46" s="729"/>
      <c r="M46" s="729"/>
      <c r="N46" s="730"/>
      <c r="O46" s="4"/>
      <c r="P46" s="731"/>
      <c r="Q46" s="731"/>
      <c r="U46" s="450"/>
      <c r="V46" s="327"/>
      <c r="W46" s="328"/>
      <c r="X46" s="328"/>
      <c r="Y46" s="328"/>
      <c r="Z46" s="329"/>
      <c r="AA46" s="327"/>
      <c r="AB46" s="328"/>
      <c r="AC46" s="328"/>
      <c r="AD46" s="328"/>
      <c r="AE46" s="329"/>
      <c r="AF46" s="327"/>
      <c r="AG46" s="328"/>
      <c r="AH46" s="328"/>
      <c r="AI46" s="328"/>
      <c r="AJ46" s="329"/>
      <c r="AK46" s="157"/>
    </row>
    <row r="47" spans="3:37">
      <c r="C47" s="155"/>
      <c r="E47" s="2136" t="s">
        <v>1028</v>
      </c>
      <c r="F47" s="2137"/>
      <c r="G47" s="2137"/>
      <c r="H47" s="2137"/>
      <c r="I47" s="2138"/>
      <c r="J47" s="729"/>
      <c r="K47" s="729"/>
      <c r="L47" s="729"/>
      <c r="M47" s="729"/>
      <c r="N47" s="730"/>
      <c r="O47" s="4"/>
      <c r="P47" s="731"/>
      <c r="Q47" s="731"/>
      <c r="U47" s="450"/>
      <c r="V47" s="327"/>
      <c r="W47" s="328"/>
      <c r="X47" s="328"/>
      <c r="Y47" s="328"/>
      <c r="Z47" s="329"/>
      <c r="AA47" s="327"/>
      <c r="AB47" s="328"/>
      <c r="AC47" s="328"/>
      <c r="AD47" s="328"/>
      <c r="AE47" s="329"/>
      <c r="AF47" s="327"/>
      <c r="AG47" s="328"/>
      <c r="AH47" s="328"/>
      <c r="AI47" s="328"/>
      <c r="AJ47" s="329"/>
      <c r="AK47" s="157"/>
    </row>
    <row r="48" spans="3:37">
      <c r="C48" s="155"/>
      <c r="E48" s="2136" t="s">
        <v>1029</v>
      </c>
      <c r="F48" s="2137"/>
      <c r="G48" s="2137"/>
      <c r="H48" s="2137"/>
      <c r="I48" s="2138"/>
      <c r="J48" s="729"/>
      <c r="K48" s="729"/>
      <c r="L48" s="729"/>
      <c r="M48" s="729"/>
      <c r="N48" s="730"/>
      <c r="O48" s="4"/>
      <c r="P48" s="731"/>
      <c r="Q48" s="731"/>
      <c r="U48" s="450"/>
      <c r="V48" s="327"/>
      <c r="W48" s="328"/>
      <c r="X48" s="328"/>
      <c r="Y48" s="328"/>
      <c r="Z48" s="329"/>
      <c r="AA48" s="327"/>
      <c r="AB48" s="328"/>
      <c r="AC48" s="328"/>
      <c r="AD48" s="328"/>
      <c r="AE48" s="329"/>
      <c r="AF48" s="327"/>
      <c r="AG48" s="328"/>
      <c r="AH48" s="328"/>
      <c r="AI48" s="328"/>
      <c r="AJ48" s="329"/>
      <c r="AK48" s="157"/>
    </row>
    <row r="49" spans="3:37">
      <c r="C49" s="155"/>
      <c r="E49" s="2136" t="s">
        <v>1036</v>
      </c>
      <c r="F49" s="2137"/>
      <c r="G49" s="2137"/>
      <c r="H49" s="2137"/>
      <c r="I49" s="2138"/>
      <c r="J49" s="729"/>
      <c r="K49" s="729"/>
      <c r="L49" s="729"/>
      <c r="M49" s="729"/>
      <c r="N49" s="730"/>
      <c r="O49" s="4"/>
      <c r="P49" s="731"/>
      <c r="Q49" s="731"/>
      <c r="U49" s="450"/>
      <c r="V49" s="327"/>
      <c r="W49" s="328"/>
      <c r="X49" s="328"/>
      <c r="Y49" s="328"/>
      <c r="Z49" s="329"/>
      <c r="AA49" s="327"/>
      <c r="AB49" s="328"/>
      <c r="AC49" s="328"/>
      <c r="AD49" s="328"/>
      <c r="AE49" s="329"/>
      <c r="AF49" s="327"/>
      <c r="AG49" s="328"/>
      <c r="AH49" s="328"/>
      <c r="AI49" s="328"/>
      <c r="AJ49" s="329"/>
      <c r="AK49" s="157"/>
    </row>
    <row r="50" spans="3:37">
      <c r="C50" s="155"/>
      <c r="E50" s="2139" t="s">
        <v>1037</v>
      </c>
      <c r="F50" s="2140"/>
      <c r="G50" s="2140"/>
      <c r="H50" s="2140"/>
      <c r="I50" s="2141"/>
      <c r="J50" s="729"/>
      <c r="K50" s="729"/>
      <c r="L50" s="729"/>
      <c r="M50" s="729"/>
      <c r="N50" s="730"/>
      <c r="O50" s="4"/>
      <c r="P50" s="731"/>
      <c r="Q50" s="731"/>
      <c r="U50" s="451"/>
      <c r="V50" s="330"/>
      <c r="W50" s="331"/>
      <c r="X50" s="331"/>
      <c r="Y50" s="331"/>
      <c r="Z50" s="332"/>
      <c r="AA50" s="330"/>
      <c r="AB50" s="331"/>
      <c r="AC50" s="331"/>
      <c r="AD50" s="331"/>
      <c r="AE50" s="332"/>
      <c r="AF50" s="330"/>
      <c r="AG50" s="331"/>
      <c r="AH50" s="331"/>
      <c r="AI50" s="331"/>
      <c r="AJ50" s="332"/>
      <c r="AK50" s="157"/>
    </row>
    <row r="51" spans="3:37">
      <c r="C51" s="155"/>
      <c r="D51" s="89" t="str">
        <f>+CONCATENATE("Total ",LOWER(D44))</f>
        <v>Total investing cash flow adjustments</v>
      </c>
      <c r="E51" s="89"/>
      <c r="F51" s="89"/>
      <c r="G51" s="89"/>
      <c r="H51" s="89"/>
      <c r="I51" s="93"/>
      <c r="J51" s="698"/>
      <c r="K51" s="698"/>
      <c r="L51" s="698"/>
      <c r="M51" s="698"/>
      <c r="N51" s="67"/>
      <c r="P51" s="596"/>
      <c r="Q51" s="596"/>
      <c r="U51" s="217">
        <f t="shared" ref="U51:AB51" si="7">+SUM(U45:U50)</f>
        <v>44.223775753152267</v>
      </c>
      <c r="V51" s="217">
        <f t="shared" si="7"/>
        <v>37.806120998145616</v>
      </c>
      <c r="W51" s="217">
        <f t="shared" si="7"/>
        <v>68.293358450841538</v>
      </c>
      <c r="X51" s="217">
        <f t="shared" si="7"/>
        <v>60.019377561567239</v>
      </c>
      <c r="Y51" s="217">
        <f t="shared" si="7"/>
        <v>117.30330888924289</v>
      </c>
      <c r="Z51" s="217">
        <f t="shared" si="7"/>
        <v>-490.04905720269005</v>
      </c>
      <c r="AA51" s="217">
        <f t="shared" si="7"/>
        <v>131.09750491456543</v>
      </c>
      <c r="AB51" s="217">
        <f t="shared" si="7"/>
        <v>173.55039208500762</v>
      </c>
      <c r="AC51" s="217">
        <f t="shared" ref="AC51:AJ51" si="8">+SUM(AC45:AC50)</f>
        <v>204.7803756748533</v>
      </c>
      <c r="AD51" s="217">
        <f t="shared" si="8"/>
        <v>229.98450027045351</v>
      </c>
      <c r="AE51" s="217">
        <f t="shared" si="8"/>
        <v>224.66197711458335</v>
      </c>
      <c r="AF51" s="217">
        <f t="shared" si="8"/>
        <v>208.8706371828051</v>
      </c>
      <c r="AG51" s="217">
        <f t="shared" si="8"/>
        <v>238.80799558743371</v>
      </c>
      <c r="AH51" s="217">
        <f t="shared" si="8"/>
        <v>270.52711140927318</v>
      </c>
      <c r="AI51" s="217">
        <f t="shared" si="8"/>
        <v>303.85854472891185</v>
      </c>
      <c r="AJ51" s="217">
        <f t="shared" si="8"/>
        <v>340.07018913784003</v>
      </c>
      <c r="AK51" s="157"/>
    </row>
    <row r="52" spans="3:37">
      <c r="C52" s="155"/>
      <c r="D52" s="89"/>
      <c r="E52" s="89"/>
      <c r="F52" s="89"/>
      <c r="G52" s="89"/>
      <c r="H52" s="89"/>
      <c r="I52" s="93"/>
      <c r="J52" s="698"/>
      <c r="K52" s="698"/>
      <c r="L52" s="698"/>
      <c r="M52" s="698"/>
      <c r="N52" s="67"/>
      <c r="P52" s="596"/>
      <c r="Q52" s="596"/>
      <c r="U52" s="217"/>
      <c r="V52" s="217"/>
      <c r="W52" s="217"/>
      <c r="X52" s="217"/>
      <c r="Y52" s="217"/>
      <c r="Z52" s="217"/>
      <c r="AA52" s="217"/>
      <c r="AB52" s="217"/>
      <c r="AC52" s="217"/>
      <c r="AD52" s="217"/>
      <c r="AE52" s="217"/>
      <c r="AF52" s="217"/>
      <c r="AG52" s="217"/>
      <c r="AH52" s="217"/>
      <c r="AI52" s="217"/>
      <c r="AJ52" s="217"/>
      <c r="AK52" s="157"/>
    </row>
    <row r="53" spans="3:37">
      <c r="C53" s="155"/>
      <c r="D53" s="89"/>
      <c r="E53" s="89"/>
      <c r="F53" s="89"/>
      <c r="G53" s="89"/>
      <c r="H53" s="89"/>
      <c r="I53" s="93"/>
      <c r="J53" s="698"/>
      <c r="K53" s="698"/>
      <c r="L53" s="698"/>
      <c r="M53" s="698"/>
      <c r="N53" s="67"/>
      <c r="P53" s="596"/>
      <c r="Q53" s="596"/>
      <c r="U53" s="217"/>
      <c r="V53" s="217"/>
      <c r="W53" s="217"/>
      <c r="X53" s="217"/>
      <c r="Y53" s="217"/>
      <c r="Z53" s="217"/>
      <c r="AA53" s="217"/>
      <c r="AB53" s="217"/>
      <c r="AC53" s="217"/>
      <c r="AD53" s="217"/>
      <c r="AE53" s="217"/>
      <c r="AF53" s="217"/>
      <c r="AG53" s="217"/>
      <c r="AH53" s="217"/>
      <c r="AI53" s="217"/>
      <c r="AJ53" s="217"/>
      <c r="AK53" s="157"/>
    </row>
    <row r="54" spans="3:37">
      <c r="C54" s="697">
        <v>5</v>
      </c>
      <c r="D54" s="89" t="s">
        <v>1043</v>
      </c>
      <c r="J54" s="698"/>
      <c r="K54" s="698"/>
      <c r="L54" s="698"/>
      <c r="M54" s="698"/>
      <c r="N54" s="67"/>
      <c r="P54" s="596"/>
      <c r="Q54" s="596"/>
      <c r="U54" s="217"/>
      <c r="V54" s="217"/>
      <c r="W54" s="217"/>
      <c r="X54" s="217"/>
      <c r="Y54" s="217"/>
      <c r="Z54" s="217"/>
      <c r="AA54" s="217"/>
      <c r="AB54" s="217"/>
      <c r="AC54" s="217"/>
      <c r="AD54" s="217"/>
      <c r="AE54" s="217"/>
      <c r="AF54" s="217"/>
      <c r="AG54" s="217"/>
      <c r="AH54" s="217"/>
      <c r="AI54" s="217"/>
      <c r="AJ54" s="217"/>
      <c r="AK54" s="157"/>
    </row>
    <row r="55" spans="3:37">
      <c r="C55" s="155"/>
      <c r="E55" s="2133" t="s">
        <v>1044</v>
      </c>
      <c r="F55" s="2134"/>
      <c r="G55" s="2134"/>
      <c r="H55" s="2134"/>
      <c r="I55" s="2135"/>
      <c r="J55" s="729"/>
      <c r="K55" s="729"/>
      <c r="L55" s="729"/>
      <c r="M55" s="729"/>
      <c r="N55" s="730"/>
      <c r="O55" s="4"/>
      <c r="P55" s="731"/>
      <c r="Q55" s="731"/>
      <c r="U55" s="449">
        <v>-220.13683533129384</v>
      </c>
      <c r="V55" s="324">
        <v>-216.60343222856551</v>
      </c>
      <c r="W55" s="325">
        <v>-203.02735529993706</v>
      </c>
      <c r="X55" s="325">
        <v>-196.39777644212134</v>
      </c>
      <c r="Y55" s="325">
        <v>-199.74427017293152</v>
      </c>
      <c r="Z55" s="326">
        <v>-199.0328247996043</v>
      </c>
      <c r="AA55" s="324">
        <v>-115.69593877406898</v>
      </c>
      <c r="AB55" s="325">
        <v>-91.062248657265258</v>
      </c>
      <c r="AC55" s="325">
        <v>-66.502679692005145</v>
      </c>
      <c r="AD55" s="325">
        <v>-52.053650551943718</v>
      </c>
      <c r="AE55" s="326">
        <v>-32.0839574757115</v>
      </c>
      <c r="AF55" s="324"/>
      <c r="AG55" s="325"/>
      <c r="AH55" s="325"/>
      <c r="AI55" s="325"/>
      <c r="AJ55" s="326"/>
      <c r="AK55" s="157"/>
    </row>
    <row r="56" spans="3:37">
      <c r="C56" s="155"/>
      <c r="E56" s="2136" t="s">
        <v>1027</v>
      </c>
      <c r="F56" s="2137"/>
      <c r="G56" s="2137"/>
      <c r="H56" s="2137"/>
      <c r="I56" s="2138"/>
      <c r="J56" s="729"/>
      <c r="K56" s="729"/>
      <c r="L56" s="729"/>
      <c r="M56" s="729"/>
      <c r="N56" s="730"/>
      <c r="O56" s="4"/>
      <c r="P56" s="731"/>
      <c r="Q56" s="731"/>
      <c r="U56" s="450"/>
      <c r="V56" s="327"/>
      <c r="W56" s="328"/>
      <c r="X56" s="328"/>
      <c r="Y56" s="328"/>
      <c r="Z56" s="329"/>
      <c r="AA56" s="327"/>
      <c r="AB56" s="328"/>
      <c r="AC56" s="328"/>
      <c r="AD56" s="328"/>
      <c r="AE56" s="329"/>
      <c r="AF56" s="327"/>
      <c r="AG56" s="328"/>
      <c r="AH56" s="328"/>
      <c r="AI56" s="328"/>
      <c r="AJ56" s="329"/>
      <c r="AK56" s="157"/>
    </row>
    <row r="57" spans="3:37">
      <c r="C57" s="155"/>
      <c r="E57" s="2136" t="s">
        <v>1028</v>
      </c>
      <c r="F57" s="2137"/>
      <c r="G57" s="2137"/>
      <c r="H57" s="2137"/>
      <c r="I57" s="2138"/>
      <c r="J57" s="729"/>
      <c r="K57" s="729"/>
      <c r="L57" s="729"/>
      <c r="M57" s="729"/>
      <c r="N57" s="730"/>
      <c r="O57" s="4"/>
      <c r="P57" s="731"/>
      <c r="Q57" s="731"/>
      <c r="U57" s="450"/>
      <c r="V57" s="327"/>
      <c r="W57" s="328"/>
      <c r="X57" s="328"/>
      <c r="Y57" s="328"/>
      <c r="Z57" s="329"/>
      <c r="AA57" s="327"/>
      <c r="AB57" s="328"/>
      <c r="AC57" s="328"/>
      <c r="AD57" s="328"/>
      <c r="AE57" s="329"/>
      <c r="AF57" s="327"/>
      <c r="AG57" s="328"/>
      <c r="AH57" s="328"/>
      <c r="AI57" s="328"/>
      <c r="AJ57" s="329"/>
      <c r="AK57" s="157"/>
    </row>
    <row r="58" spans="3:37">
      <c r="C58" s="155"/>
      <c r="E58" s="2136" t="s">
        <v>1029</v>
      </c>
      <c r="F58" s="2137"/>
      <c r="G58" s="2137"/>
      <c r="H58" s="2137"/>
      <c r="I58" s="2138"/>
      <c r="J58" s="729"/>
      <c r="K58" s="729"/>
      <c r="L58" s="729"/>
      <c r="M58" s="729"/>
      <c r="N58" s="730"/>
      <c r="O58" s="4"/>
      <c r="P58" s="731"/>
      <c r="Q58" s="731"/>
      <c r="U58" s="450"/>
      <c r="V58" s="327"/>
      <c r="W58" s="328"/>
      <c r="X58" s="328"/>
      <c r="Y58" s="328"/>
      <c r="Z58" s="329"/>
      <c r="AA58" s="327"/>
      <c r="AB58" s="328"/>
      <c r="AC58" s="328"/>
      <c r="AD58" s="328"/>
      <c r="AE58" s="329"/>
      <c r="AF58" s="327"/>
      <c r="AG58" s="328"/>
      <c r="AH58" s="328"/>
      <c r="AI58" s="328"/>
      <c r="AJ58" s="329"/>
      <c r="AK58" s="157"/>
    </row>
    <row r="59" spans="3:37">
      <c r="C59" s="155"/>
      <c r="E59" s="2136" t="s">
        <v>1036</v>
      </c>
      <c r="F59" s="2137"/>
      <c r="G59" s="2137"/>
      <c r="H59" s="2137"/>
      <c r="I59" s="2138"/>
      <c r="J59" s="729"/>
      <c r="K59" s="729"/>
      <c r="L59" s="729"/>
      <c r="M59" s="729"/>
      <c r="N59" s="730"/>
      <c r="O59" s="4"/>
      <c r="P59" s="731"/>
      <c r="Q59" s="731"/>
      <c r="U59" s="450"/>
      <c r="V59" s="327"/>
      <c r="W59" s="328"/>
      <c r="X59" s="328"/>
      <c r="Y59" s="328"/>
      <c r="Z59" s="329"/>
      <c r="AA59" s="327"/>
      <c r="AB59" s="328"/>
      <c r="AC59" s="328"/>
      <c r="AD59" s="328"/>
      <c r="AE59" s="329"/>
      <c r="AF59" s="327"/>
      <c r="AG59" s="328"/>
      <c r="AH59" s="328"/>
      <c r="AI59" s="328"/>
      <c r="AJ59" s="329"/>
      <c r="AK59" s="157"/>
    </row>
    <row r="60" spans="3:37">
      <c r="C60" s="155"/>
      <c r="E60" s="2139" t="s">
        <v>1045</v>
      </c>
      <c r="F60" s="2140"/>
      <c r="G60" s="2140"/>
      <c r="H60" s="2140"/>
      <c r="I60" s="2141"/>
      <c r="J60" s="729"/>
      <c r="K60" s="729"/>
      <c r="L60" s="729"/>
      <c r="M60" s="729"/>
      <c r="N60" s="730"/>
      <c r="O60" s="4"/>
      <c r="P60" s="731"/>
      <c r="Q60" s="731"/>
      <c r="U60" s="451">
        <v>403.67480236778681</v>
      </c>
      <c r="V60" s="330">
        <v>401.33253151823885</v>
      </c>
      <c r="W60" s="331">
        <v>398.93653663743885</v>
      </c>
      <c r="X60" s="331">
        <v>394.66043126358062</v>
      </c>
      <c r="Y60" s="331">
        <v>389.33699999999999</v>
      </c>
      <c r="Z60" s="332">
        <v>381.83104216999993</v>
      </c>
      <c r="AA60" s="330">
        <v>373.49160605000003</v>
      </c>
      <c r="AB60" s="331">
        <v>362.54382136999999</v>
      </c>
      <c r="AC60" s="331">
        <v>348.17723351999996</v>
      </c>
      <c r="AD60" s="331">
        <v>331.46065393000003</v>
      </c>
      <c r="AE60" s="332">
        <v>312.45230673999998</v>
      </c>
      <c r="AF60" s="330">
        <v>290.53974153897792</v>
      </c>
      <c r="AG60" s="331">
        <v>265.38601361775858</v>
      </c>
      <c r="AH60" s="331">
        <v>236.71990740756479</v>
      </c>
      <c r="AI60" s="331">
        <v>204.31472503354775</v>
      </c>
      <c r="AJ60" s="332">
        <v>167.96026407408445</v>
      </c>
      <c r="AK60" s="157"/>
    </row>
    <row r="61" spans="3:37">
      <c r="C61" s="155"/>
      <c r="D61" s="89" t="str">
        <f>+CONCATENATE("Total ",LOWER(D54))</f>
        <v>Total interest payment adjustments</v>
      </c>
      <c r="E61" s="89"/>
      <c r="F61" s="89"/>
      <c r="G61" s="89"/>
      <c r="H61" s="89"/>
      <c r="I61" s="93"/>
      <c r="J61" s="698"/>
      <c r="K61" s="698"/>
      <c r="L61" s="698"/>
      <c r="M61" s="698"/>
      <c r="N61" s="67"/>
      <c r="P61" s="596"/>
      <c r="Q61" s="596"/>
      <c r="U61" s="217">
        <f t="shared" ref="U61:AJ61" si="9">+SUM(U55:U60)</f>
        <v>183.53796703649297</v>
      </c>
      <c r="V61" s="217">
        <f t="shared" si="9"/>
        <v>184.72909928967334</v>
      </c>
      <c r="W61" s="217">
        <f t="shared" si="9"/>
        <v>195.90918133750179</v>
      </c>
      <c r="X61" s="217">
        <f t="shared" si="9"/>
        <v>198.26265482145928</v>
      </c>
      <c r="Y61" s="217">
        <f t="shared" si="9"/>
        <v>189.59272982706847</v>
      </c>
      <c r="Z61" s="217">
        <f t="shared" si="9"/>
        <v>182.79821737039563</v>
      </c>
      <c r="AA61" s="217">
        <f t="shared" si="9"/>
        <v>257.79566727593107</v>
      </c>
      <c r="AB61" s="217">
        <f t="shared" si="9"/>
        <v>271.48157271273476</v>
      </c>
      <c r="AC61" s="217">
        <f t="shared" si="9"/>
        <v>281.67455382799483</v>
      </c>
      <c r="AD61" s="217">
        <f t="shared" si="9"/>
        <v>279.40700337805629</v>
      </c>
      <c r="AE61" s="217">
        <f t="shared" si="9"/>
        <v>280.3683492642885</v>
      </c>
      <c r="AF61" s="217">
        <f t="shared" si="9"/>
        <v>290.53974153897792</v>
      </c>
      <c r="AG61" s="217">
        <f t="shared" si="9"/>
        <v>265.38601361775858</v>
      </c>
      <c r="AH61" s="217">
        <f t="shared" si="9"/>
        <v>236.71990740756479</v>
      </c>
      <c r="AI61" s="217">
        <f t="shared" si="9"/>
        <v>204.31472503354775</v>
      </c>
      <c r="AJ61" s="217">
        <f t="shared" si="9"/>
        <v>167.96026407408445</v>
      </c>
      <c r="AK61" s="157"/>
    </row>
    <row r="62" spans="3:37">
      <c r="C62" s="155"/>
      <c r="N62" s="67"/>
      <c r="AK62" s="157"/>
    </row>
    <row r="63" spans="3:37" ht="12.75" thickBot="1">
      <c r="C63" s="167"/>
      <c r="D63" s="168"/>
      <c r="E63" s="168"/>
      <c r="F63" s="168"/>
      <c r="G63" s="168"/>
      <c r="H63" s="168"/>
      <c r="I63" s="181"/>
      <c r="J63" s="168"/>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c r="AK63" s="170"/>
    </row>
    <row r="64" spans="3:37">
      <c r="I64" s="63"/>
      <c r="K64" s="700"/>
      <c r="L64" s="700"/>
      <c r="M64" s="700"/>
      <c r="N64" s="700"/>
      <c r="O64" s="700"/>
      <c r="P64" s="700"/>
      <c r="Q64" s="700"/>
      <c r="R64" s="700"/>
    </row>
    <row r="65" spans="3:37" ht="12.75" thickBot="1">
      <c r="I65" s="63"/>
      <c r="L65" s="700"/>
      <c r="M65" s="700"/>
      <c r="N65" s="700"/>
      <c r="O65" s="700"/>
      <c r="P65" s="700"/>
      <c r="Q65" s="700"/>
      <c r="R65" s="700"/>
    </row>
    <row r="66" spans="3:37">
      <c r="C66" s="152"/>
      <c r="D66" s="153"/>
      <c r="E66" s="153"/>
      <c r="F66" s="153"/>
      <c r="G66" s="153"/>
      <c r="H66" s="153"/>
      <c r="I66" s="220"/>
      <c r="J66" s="153"/>
      <c r="K66" s="153"/>
      <c r="L66" s="153"/>
      <c r="M66" s="153"/>
      <c r="N66" s="153"/>
      <c r="O66" s="153"/>
      <c r="P66" s="153"/>
      <c r="Q66" s="153"/>
      <c r="R66" s="220"/>
      <c r="S66" s="153"/>
      <c r="T66" s="153"/>
      <c r="U66" s="153"/>
      <c r="V66" s="153"/>
      <c r="W66" s="153"/>
      <c r="X66" s="153"/>
      <c r="Y66" s="153"/>
      <c r="Z66" s="153"/>
      <c r="AA66" s="153"/>
      <c r="AB66" s="153"/>
      <c r="AC66" s="153"/>
      <c r="AD66" s="153"/>
      <c r="AE66" s="153"/>
      <c r="AF66" s="153"/>
      <c r="AG66" s="153"/>
      <c r="AH66" s="153"/>
      <c r="AI66" s="153"/>
      <c r="AJ66" s="153"/>
      <c r="AK66" s="154"/>
    </row>
    <row r="67" spans="3:37">
      <c r="C67" s="155"/>
      <c r="D67" s="674" t="s">
        <v>1046</v>
      </c>
      <c r="R67" s="67"/>
      <c r="AK67" s="157"/>
    </row>
    <row r="68" spans="3:37">
      <c r="C68" s="155"/>
      <c r="F68" s="701" t="s">
        <v>1047</v>
      </c>
      <c r="H68" s="701" t="s">
        <v>1048</v>
      </c>
      <c r="J68" s="701" t="s">
        <v>1049</v>
      </c>
      <c r="R68" s="67"/>
      <c r="AK68" s="157"/>
    </row>
    <row r="69" spans="3:37">
      <c r="C69" s="155"/>
      <c r="E69" s="57" t="s">
        <v>1050</v>
      </c>
      <c r="F69" s="732">
        <v>0.65</v>
      </c>
      <c r="H69" s="732">
        <v>0.65</v>
      </c>
      <c r="J69" s="732">
        <v>0.65</v>
      </c>
      <c r="U69" s="702" t="s">
        <v>1051</v>
      </c>
      <c r="AK69" s="157"/>
    </row>
    <row r="70" spans="3:37">
      <c r="C70" s="155"/>
      <c r="E70" s="57" t="s">
        <v>1052</v>
      </c>
      <c r="F70" s="1524">
        <v>0.06</v>
      </c>
      <c r="H70" s="1524">
        <v>0.06</v>
      </c>
      <c r="J70" s="1524">
        <v>0.06</v>
      </c>
      <c r="K70" s="176"/>
      <c r="S70" s="176"/>
      <c r="T70" s="67"/>
      <c r="U70" s="702" t="s">
        <v>1053</v>
      </c>
      <c r="W70" s="67"/>
      <c r="AK70" s="157"/>
    </row>
    <row r="71" spans="3:37">
      <c r="C71" s="155"/>
      <c r="E71" s="57" t="s">
        <v>1054</v>
      </c>
      <c r="F71" s="1846">
        <v>0.04</v>
      </c>
      <c r="H71" s="1846">
        <v>0.04</v>
      </c>
      <c r="J71" s="1846">
        <v>4.3499999999999997E-2</v>
      </c>
      <c r="U71" s="702" t="s">
        <v>1053</v>
      </c>
      <c r="AK71" s="157"/>
    </row>
    <row r="72" spans="3:37">
      <c r="C72" s="155"/>
      <c r="H72" s="94"/>
      <c r="I72" s="533"/>
      <c r="J72" s="703"/>
      <c r="R72" s="67"/>
      <c r="AK72" s="157"/>
    </row>
    <row r="73" spans="3:37" ht="12.75" thickBot="1">
      <c r="C73" s="167"/>
      <c r="D73" s="168"/>
      <c r="E73" s="168"/>
      <c r="F73" s="168"/>
      <c r="G73" s="168"/>
      <c r="H73" s="168"/>
      <c r="I73" s="181"/>
      <c r="J73" s="168"/>
      <c r="K73" s="168"/>
      <c r="L73" s="168"/>
      <c r="M73" s="168"/>
      <c r="N73" s="168"/>
      <c r="O73" s="168"/>
      <c r="P73" s="168"/>
      <c r="Q73" s="168"/>
      <c r="R73" s="181"/>
      <c r="S73" s="168"/>
      <c r="T73" s="168"/>
      <c r="U73" s="168"/>
      <c r="V73" s="168"/>
      <c r="W73" s="168"/>
      <c r="X73" s="168"/>
      <c r="Y73" s="168"/>
      <c r="Z73" s="168"/>
      <c r="AA73" s="168"/>
      <c r="AB73" s="168"/>
      <c r="AC73" s="168"/>
      <c r="AD73" s="168"/>
      <c r="AE73" s="168"/>
      <c r="AF73" s="168"/>
      <c r="AG73" s="168"/>
      <c r="AH73" s="168"/>
      <c r="AI73" s="168"/>
      <c r="AJ73" s="168"/>
      <c r="AK73" s="170"/>
    </row>
    <row r="74" spans="3:37">
      <c r="K74" s="700"/>
      <c r="L74" s="700"/>
      <c r="M74" s="700"/>
      <c r="N74" s="700"/>
      <c r="O74" s="700"/>
      <c r="P74" s="700"/>
      <c r="Q74" s="700"/>
      <c r="R74" s="700"/>
    </row>
    <row r="75" spans="3:37" ht="12.75" thickBot="1">
      <c r="K75" s="695"/>
      <c r="L75" s="695"/>
      <c r="M75" s="695"/>
      <c r="N75" s="695"/>
      <c r="O75" s="695"/>
      <c r="P75" s="695"/>
      <c r="Q75" s="695"/>
      <c r="R75" s="695"/>
    </row>
    <row r="76" spans="3:37">
      <c r="C76" s="152"/>
      <c r="D76" s="153"/>
      <c r="E76" s="153"/>
      <c r="F76" s="153"/>
      <c r="G76" s="153"/>
      <c r="H76" s="153"/>
      <c r="I76" s="220"/>
      <c r="J76" s="153"/>
      <c r="K76" s="632"/>
      <c r="L76" s="632"/>
      <c r="M76" s="632"/>
      <c r="N76" s="632"/>
      <c r="O76" s="632"/>
      <c r="P76" s="632"/>
      <c r="Q76" s="663"/>
      <c r="R76" s="663"/>
      <c r="S76" s="663"/>
      <c r="T76" s="632"/>
      <c r="U76" s="632"/>
      <c r="V76" s="632"/>
      <c r="W76" s="632"/>
      <c r="X76" s="632"/>
      <c r="Y76" s="632"/>
      <c r="Z76" s="632"/>
      <c r="AA76" s="632"/>
      <c r="AB76" s="632"/>
      <c r="AC76" s="632"/>
      <c r="AD76" s="632"/>
      <c r="AE76" s="632"/>
      <c r="AF76" s="632"/>
      <c r="AG76" s="632"/>
      <c r="AH76" s="632"/>
      <c r="AI76" s="632"/>
      <c r="AJ76" s="632"/>
      <c r="AK76" s="154"/>
    </row>
    <row r="77" spans="3:37">
      <c r="C77" s="155"/>
      <c r="D77" s="674" t="s">
        <v>1055</v>
      </c>
      <c r="K77" s="166"/>
      <c r="L77" s="166"/>
      <c r="M77" s="166"/>
      <c r="N77" s="166"/>
      <c r="O77" s="166"/>
      <c r="P77" s="166"/>
      <c r="Q77" s="211"/>
      <c r="R77" s="211"/>
      <c r="S77" s="211"/>
      <c r="T77" s="166"/>
      <c r="U77" s="166"/>
      <c r="V77" s="166"/>
      <c r="W77" s="166"/>
      <c r="X77" s="166"/>
      <c r="Y77" s="166"/>
      <c r="Z77" s="166"/>
      <c r="AA77" s="166"/>
      <c r="AB77" s="166"/>
      <c r="AC77" s="166"/>
      <c r="AD77" s="166"/>
      <c r="AE77" s="166"/>
      <c r="AF77" s="166"/>
      <c r="AG77" s="166"/>
      <c r="AH77" s="166"/>
      <c r="AI77" s="166"/>
      <c r="AJ77" s="166"/>
      <c r="AK77" s="157"/>
    </row>
    <row r="78" spans="3:37">
      <c r="C78" s="155"/>
      <c r="D78" s="215" t="s">
        <v>976</v>
      </c>
      <c r="Q78" s="67"/>
      <c r="R78" s="67"/>
      <c r="S78" s="67"/>
      <c r="AK78" s="157"/>
    </row>
    <row r="79" spans="3:37">
      <c r="C79" s="155"/>
      <c r="F79" s="701" t="str">
        <f>F$68</f>
        <v>RP4</v>
      </c>
      <c r="H79" s="701" t="str">
        <f>H$68</f>
        <v>RP5</v>
      </c>
      <c r="J79" s="701" t="str">
        <f>J$68</f>
        <v>RP6</v>
      </c>
      <c r="M79" s="468"/>
      <c r="N79" s="468"/>
      <c r="O79" s="468"/>
      <c r="P79" s="468"/>
      <c r="Q79" s="270"/>
      <c r="R79" s="67"/>
      <c r="S79" s="270"/>
      <c r="T79" s="468"/>
      <c r="U79" s="468"/>
      <c r="V79" s="468"/>
      <c r="W79" s="468"/>
      <c r="X79" s="468"/>
      <c r="Y79" s="468"/>
      <c r="Z79" s="468"/>
      <c r="AA79" s="468"/>
      <c r="AB79" s="468"/>
      <c r="AC79" s="468"/>
      <c r="AD79" s="468"/>
      <c r="AE79" s="468"/>
      <c r="AF79" s="468"/>
      <c r="AG79" s="468"/>
      <c r="AH79" s="468"/>
      <c r="AI79" s="468"/>
      <c r="AJ79" s="468"/>
      <c r="AK79" s="157"/>
    </row>
    <row r="80" spans="3:37">
      <c r="C80" s="155"/>
      <c r="E80" s="57" t="s">
        <v>1050</v>
      </c>
      <c r="F80" s="704">
        <f>F69</f>
        <v>0.65</v>
      </c>
      <c r="H80" s="704">
        <f>H69</f>
        <v>0.65</v>
      </c>
      <c r="J80" s="704">
        <f>J69</f>
        <v>0.65</v>
      </c>
      <c r="K80" s="468"/>
      <c r="M80" s="468"/>
      <c r="N80" s="468"/>
      <c r="O80" s="468"/>
      <c r="P80" s="468"/>
      <c r="Q80" s="270"/>
      <c r="R80" s="67"/>
      <c r="S80" s="270"/>
      <c r="T80" s="468"/>
      <c r="U80" s="468"/>
      <c r="V80" s="468"/>
      <c r="W80" s="468"/>
      <c r="X80" s="468"/>
      <c r="Y80" s="468"/>
      <c r="Z80" s="468"/>
      <c r="AA80" s="468"/>
      <c r="AB80" s="468"/>
      <c r="AC80" s="468"/>
      <c r="AD80" s="468"/>
      <c r="AE80" s="468"/>
      <c r="AF80" s="468"/>
      <c r="AG80" s="468"/>
      <c r="AH80" s="468"/>
      <c r="AI80" s="468"/>
      <c r="AJ80" s="468"/>
      <c r="AK80" s="157"/>
    </row>
    <row r="81" spans="3:37">
      <c r="C81" s="155"/>
      <c r="J81" s="468"/>
      <c r="K81" s="468"/>
      <c r="L81" s="468"/>
      <c r="M81" s="468"/>
      <c r="N81" s="468"/>
      <c r="O81" s="468"/>
      <c r="P81" s="468"/>
      <c r="Q81" s="270"/>
      <c r="R81" s="67"/>
      <c r="S81" s="270"/>
      <c r="T81" s="468"/>
      <c r="U81" s="468"/>
      <c r="V81" s="468"/>
      <c r="W81" s="468"/>
      <c r="X81" s="468"/>
      <c r="Y81" s="468"/>
      <c r="Z81" s="468"/>
      <c r="AA81" s="1509"/>
      <c r="AB81" s="468"/>
      <c r="AC81" s="468"/>
      <c r="AD81" s="468"/>
      <c r="AE81" s="468"/>
      <c r="AF81" s="468"/>
      <c r="AG81" s="468"/>
      <c r="AH81" s="468"/>
      <c r="AI81" s="468"/>
      <c r="AJ81" s="468"/>
      <c r="AK81" s="157"/>
    </row>
    <row r="82" spans="3:37">
      <c r="C82" s="155"/>
      <c r="E82" s="89" t="s">
        <v>1056</v>
      </c>
      <c r="J82" s="468"/>
      <c r="K82" s="196"/>
      <c r="L82" s="196"/>
      <c r="M82" s="196"/>
      <c r="N82" s="196"/>
      <c r="O82" s="196"/>
      <c r="P82" s="196"/>
      <c r="Q82" s="67"/>
      <c r="R82" s="67"/>
      <c r="S82" s="270"/>
      <c r="T82" s="468"/>
      <c r="U82" s="196"/>
      <c r="V82" s="196"/>
      <c r="W82" s="196"/>
      <c r="X82" s="196"/>
      <c r="Y82" s="196"/>
      <c r="Z82" s="196"/>
      <c r="AA82" s="196"/>
      <c r="AB82" s="196"/>
      <c r="AC82" s="196"/>
      <c r="AD82" s="196"/>
      <c r="AE82" s="196"/>
      <c r="AF82" s="196"/>
      <c r="AG82" s="196"/>
      <c r="AH82" s="196"/>
      <c r="AI82" s="196"/>
      <c r="AJ82" s="196"/>
      <c r="AK82" s="668"/>
    </row>
    <row r="83" spans="3:37">
      <c r="C83" s="155"/>
      <c r="E83" s="107" t="s">
        <v>1057</v>
      </c>
      <c r="J83" s="468"/>
      <c r="K83" s="196"/>
      <c r="L83" s="196"/>
      <c r="M83" s="196"/>
      <c r="N83" s="196"/>
      <c r="O83" s="196"/>
      <c r="P83" s="196"/>
      <c r="Q83" s="67"/>
      <c r="R83" s="67"/>
      <c r="S83" s="270"/>
      <c r="T83" s="468"/>
      <c r="U83" s="310">
        <f>+IF(KeyAssumptionsPriceControl_FO!$X$32=1,(RevenuePriceCap_FO!U17+RevenuePriceCap_FO!U15)*'Rev&amp;RAV_FO'!U85,(RevenueTariffBasket_FO!U17+RevenueTariffBasket_FO!U15)*'Rev&amp;RAV_FO'!U85)</f>
        <v>1622.6567864555841</v>
      </c>
      <c r="V83" s="310">
        <f>+IF(KeyAssumptionsPriceControl_FO!$X$32=1,(RevenuePriceCap_FO!V17+RevenuePriceCap_FO!V15)*'Rev&amp;RAV_FO'!V85,(RevenueTariffBasket_FO!V17+RevenueTariffBasket_FO!V15)*'Rev&amp;RAV_FO'!V85)</f>
        <v>1584.3199911875399</v>
      </c>
      <c r="W83" s="310">
        <f>+IF(KeyAssumptionsPriceControl_FO!$X$32=1,(RevenuePriceCap_FO!W17+RevenuePriceCap_FO!W15)*'Rev&amp;RAV_FO'!W85,(RevenueTariffBasket_FO!W17+RevenueTariffBasket_FO!W15)*'Rev&amp;RAV_FO'!W85)</f>
        <v>1656.3499734175352</v>
      </c>
      <c r="X83" s="310">
        <f>+IF(KeyAssumptionsPriceControl_FO!$X$32=1,(RevenuePriceCap_FO!X17+RevenuePriceCap_FO!X15)*'Rev&amp;RAV_FO'!X85,(RevenueTariffBasket_FO!X17+RevenueTariffBasket_FO!X15)*'Rev&amp;RAV_FO'!X85)</f>
        <v>1782.1525346238095</v>
      </c>
      <c r="Y83" s="270">
        <f>+IF(KeyAssumptionsPriceControl_FO!$X$32=1,(RevenuePriceCap_FO!Y17+RevenuePriceCap_FO!Y15)*'Rev&amp;RAV_FO'!Y85,(RevenueTariffBasket_FO!Y17+RevenueTariffBasket_FO!Y15)*'Rev&amp;RAV_FO'!Y85)</f>
        <v>1868.0577934859641</v>
      </c>
      <c r="Z83" s="270">
        <f>+IF(KeyAssumptionsPriceControl_FO!$X$32=1,(RevenuePriceCap_FO!Z17+RevenuePriceCap_FO!Z15)*'Rev&amp;RAV_FO'!Z85,(RevenueTariffBasket_FO!Z17+RevenueTariffBasket_FO!Z15)*'Rev&amp;RAV_FO'!Z85)</f>
        <v>1910.9108943274211</v>
      </c>
      <c r="AA83" s="270">
        <f>+IF(KeyAssumptionsPriceControl_FO!$X$32=1,(RevenuePriceCap_FO!AA17+RevenuePriceCap_FO!AA15)*'Rev&amp;RAV_FO'!AA85,(RevenueTariffBasket_FO!AA17+RevenueTariffBasket_FO!AA15)*'Rev&amp;RAV_FO'!AA85)</f>
        <v>1977.1199138538614</v>
      </c>
      <c r="AB83" s="270">
        <f>+IF(KeyAssumptionsPriceControl_FO!$X$32=1,(RevenuePriceCap_FO!AB17+RevenuePriceCap_FO!AB15)*'Rev&amp;RAV_FO'!AB85,(RevenueTariffBasket_FO!AB17+RevenueTariffBasket_FO!AB15)*'Rev&amp;RAV_FO'!AB85)</f>
        <v>2112.8995904649382</v>
      </c>
      <c r="AC83" s="270">
        <f>+IF(KeyAssumptionsPriceControl_FO!$X$32=1,(RevenuePriceCap_FO!AC17+RevenuePriceCap_FO!AC15)*'Rev&amp;RAV_FO'!AC85,(RevenueTariffBasket_FO!AC17+RevenueTariffBasket_FO!AC15)*'Rev&amp;RAV_FO'!AC85)</f>
        <v>2215.6317762666331</v>
      </c>
      <c r="AD83" s="270">
        <f>+IF(KeyAssumptionsPriceControl_FO!$X$32=1,(RevenuePriceCap_FO!AD17+RevenuePriceCap_FO!AD15)*'Rev&amp;RAV_FO'!AD85,(RevenueTariffBasket_FO!AD17+RevenueTariffBasket_FO!AD15)*'Rev&amp;RAV_FO'!AD85)</f>
        <v>2322.6612515854067</v>
      </c>
      <c r="AE83" s="270">
        <f>+IF(KeyAssumptionsPriceControl_FO!$X$32=1,(RevenuePriceCap_FO!AE17+RevenuePriceCap_FO!AE15)*'Rev&amp;RAV_FO'!AE85,(RevenueTariffBasket_FO!AE17+RevenueTariffBasket_FO!AE15)*'Rev&amp;RAV_FO'!AE85)</f>
        <v>2435.0736374375851</v>
      </c>
      <c r="AF83" s="270">
        <f>+IF(KeyAssumptionsPriceControl_FO!$X$32=1,(RevenuePriceCap_FO!AF17+RevenuePriceCap_FO!AF15)*'Rev&amp;RAV_FO'!AF85,(RevenueTariffBasket_FO!AF17+RevenueTariffBasket_FO!AF15)*'Rev&amp;RAV_FO'!AF85)</f>
        <v>2622.1546458037888</v>
      </c>
      <c r="AG83" s="270">
        <f>+IF(KeyAssumptionsPriceControl_FO!$X$32=1,(RevenuePriceCap_FO!AG17+RevenuePriceCap_FO!AG15)*'Rev&amp;RAV_FO'!AG85,(RevenueTariffBasket_FO!AG17+RevenueTariffBasket_FO!AG15)*'Rev&amp;RAV_FO'!AG85)</f>
        <v>2734.8949804367053</v>
      </c>
      <c r="AH83" s="270">
        <f>+IF(KeyAssumptionsPriceControl_FO!$X$32=1,(RevenuePriceCap_FO!AH17+RevenuePriceCap_FO!AH15)*'Rev&amp;RAV_FO'!AH85,(RevenueTariffBasket_FO!AH17+RevenueTariffBasket_FO!AH15)*'Rev&amp;RAV_FO'!AH85)</f>
        <v>2854.123516024496</v>
      </c>
      <c r="AI83" s="270">
        <f>+IF(KeyAssumptionsPriceControl_FO!$X$32=1,(RevenuePriceCap_FO!AI17+RevenuePriceCap_FO!AI15)*'Rev&amp;RAV_FO'!AI85,(RevenueTariffBasket_FO!AI17+RevenueTariffBasket_FO!AI15)*'Rev&amp;RAV_FO'!AI85)</f>
        <v>2986.0622351468601</v>
      </c>
      <c r="AJ83" s="270">
        <f>+IF(KeyAssumptionsPriceControl_FO!$X$32=1,(RevenuePriceCap_FO!AJ17+RevenuePriceCap_FO!AJ15)*'Rev&amp;RAV_FO'!AJ85,(RevenueTariffBasket_FO!AJ17+RevenueTariffBasket_FO!AJ15)*'Rev&amp;RAV_FO'!AJ85)</f>
        <v>3119.3513719721282</v>
      </c>
      <c r="AK83" s="668"/>
    </row>
    <row r="84" spans="3:37">
      <c r="C84" s="155"/>
      <c r="E84" s="107" t="s">
        <v>1058</v>
      </c>
      <c r="J84" s="468"/>
      <c r="K84" s="196"/>
      <c r="L84" s="196"/>
      <c r="M84" s="196"/>
      <c r="N84" s="196"/>
      <c r="O84" s="196"/>
      <c r="P84" s="196"/>
      <c r="Q84" s="67"/>
      <c r="R84" s="67"/>
      <c r="S84" s="270"/>
      <c r="T84" s="468"/>
      <c r="U84" s="310">
        <f>+IF(KeyAssumptionsPriceControl_FO!$X$32=1,RevenuePriceCap_FO!U15,RevenueTariffBasket_FO!U15)*'Rev&amp;RAV_FO'!U85</f>
        <v>0</v>
      </c>
      <c r="V84" s="310">
        <f>+IF(KeyAssumptionsPriceControl_FO!$X$32=1,RevenuePriceCap_FO!V15,RevenueTariffBasket_FO!V15)*'Rev&amp;RAV_FO'!V85</f>
        <v>0</v>
      </c>
      <c r="W84" s="310">
        <f>+IF(KeyAssumptionsPriceControl_FO!$X$32=1,RevenuePriceCap_FO!W15,RevenueTariffBasket_FO!W15)*'Rev&amp;RAV_FO'!W85</f>
        <v>0</v>
      </c>
      <c r="X84" s="310">
        <f>+IF(KeyAssumptionsPriceControl_FO!$X$32=1,RevenuePriceCap_FO!X15,RevenueTariffBasket_FO!X15)*'Rev&amp;RAV_FO'!X85</f>
        <v>0</v>
      </c>
      <c r="Y84" s="270">
        <f>+IF(KeyAssumptionsPriceControl_FO!$X$32=1,RevenuePriceCap_FO!Y15,RevenueTariffBasket_FO!Y15)*'Rev&amp;RAV_FO'!Y85</f>
        <v>0</v>
      </c>
      <c r="Z84" s="270">
        <f>+IF(KeyAssumptionsPriceControl_FO!$X$32=1,RevenuePriceCap_FO!Z15,RevenueTariffBasket_FO!Z15)*'Rev&amp;RAV_FO'!Z85</f>
        <v>0</v>
      </c>
      <c r="AA84" s="270">
        <f>+IF(KeyAssumptionsPriceControl_FO!$X$32=1,RevenuePriceCap_FO!AA15,RevenueTariffBasket_FO!AA15)*'Rev&amp;RAV_FO'!AA85</f>
        <v>0</v>
      </c>
      <c r="AB84" s="270">
        <f>+IF(KeyAssumptionsPriceControl_FO!$X$32=1,RevenuePriceCap_FO!AB15,RevenueTariffBasket_FO!AB15)*'Rev&amp;RAV_FO'!AB85</f>
        <v>0</v>
      </c>
      <c r="AC84" s="270">
        <f>+IF(KeyAssumptionsPriceControl_FO!$X$32=1,RevenuePriceCap_FO!AC15,RevenueTariffBasket_FO!AC15)*'Rev&amp;RAV_FO'!AC85</f>
        <v>0</v>
      </c>
      <c r="AD84" s="270">
        <f>+IF(KeyAssumptionsPriceControl_FO!$X$32=1,RevenuePriceCap_FO!AD15,RevenueTariffBasket_FO!AD15)*'Rev&amp;RAV_FO'!AD85</f>
        <v>0</v>
      </c>
      <c r="AE84" s="270">
        <f>+IF(KeyAssumptionsPriceControl_FO!$X$32=1,RevenuePriceCap_FO!AE15,RevenueTariffBasket_FO!AE15)*'Rev&amp;RAV_FO'!AE85</f>
        <v>0</v>
      </c>
      <c r="AF84" s="270">
        <f>+IF(KeyAssumptionsPriceControl_FO!$X$32=1,RevenuePriceCap_FO!AF15,RevenueTariffBasket_FO!AF15)*'Rev&amp;RAV_FO'!AF85</f>
        <v>0</v>
      </c>
      <c r="AG84" s="270">
        <f>+IF(KeyAssumptionsPriceControl_FO!$X$32=1,RevenuePriceCap_FO!AG15,RevenueTariffBasket_FO!AG15)*'Rev&amp;RAV_FO'!AG85</f>
        <v>0</v>
      </c>
      <c r="AH84" s="270">
        <f>+IF(KeyAssumptionsPriceControl_FO!$X$32=1,RevenuePriceCap_FO!AH15,RevenueTariffBasket_FO!AH15)*'Rev&amp;RAV_FO'!AH85</f>
        <v>0</v>
      </c>
      <c r="AI84" s="270">
        <f>+IF(KeyAssumptionsPriceControl_FO!$X$32=1,RevenuePriceCap_FO!AI15,RevenueTariffBasket_FO!AI15)*'Rev&amp;RAV_FO'!AI85</f>
        <v>0</v>
      </c>
      <c r="AJ84" s="270">
        <f>+IF(KeyAssumptionsPriceControl_FO!$X$32=1,RevenuePriceCap_FO!AJ15,RevenueTariffBasket_FO!AJ15)*'Rev&amp;RAV_FO'!AJ85</f>
        <v>0</v>
      </c>
      <c r="AK84" s="668"/>
    </row>
    <row r="85" spans="3:37">
      <c r="C85" s="155"/>
      <c r="E85" s="107" t="s">
        <v>1059</v>
      </c>
      <c r="J85" s="468"/>
      <c r="K85" s="196"/>
      <c r="L85" s="196"/>
      <c r="M85" s="196"/>
      <c r="N85" s="196"/>
      <c r="O85" s="196"/>
      <c r="P85" s="196"/>
      <c r="Q85" s="67"/>
      <c r="R85" s="67"/>
      <c r="S85" s="270"/>
      <c r="T85" s="468"/>
      <c r="U85" s="310">
        <f ca="1">+(Summary_FO!Z24+NotPres_FO!U21)*'Rev&amp;RAV_FO'!U85</f>
        <v>38.484208019999997</v>
      </c>
      <c r="V85" s="310">
        <f ca="1">+(Summary_FO!AA24+NotPres_FO!V21)*'Rev&amp;RAV_FO'!V85</f>
        <v>27.879184010000003</v>
      </c>
      <c r="W85" s="310">
        <f ca="1">+(Summary_FO!AB24+NotPres_FO!W21)*'Rev&amp;RAV_FO'!W85</f>
        <v>10.24128807</v>
      </c>
      <c r="X85" s="310">
        <f ca="1">+(Summary_FO!AC24+NotPres_FO!X21)*'Rev&amp;RAV_FO'!X85</f>
        <v>15.511728529999997</v>
      </c>
      <c r="Y85" s="270">
        <f ca="1">+(Summary_FO!AD24+NotPres_FO!Y21)*'Rev&amp;RAV_FO'!Y85</f>
        <v>10.3733621</v>
      </c>
      <c r="Z85" s="270">
        <f ca="1">+(Summary_FO!AE24+NotPres_FO!Z21)*'Rev&amp;RAV_FO'!Z85</f>
        <v>12</v>
      </c>
      <c r="AA85" s="270">
        <f ca="1">+(Summary_FO!AF24+NotPres_FO!AA21)*'Rev&amp;RAV_FO'!AA85</f>
        <v>12.046829268292683</v>
      </c>
      <c r="AB85" s="270">
        <f ca="1">+(Summary_FO!AG24+NotPres_FO!AB21)*'Rev&amp;RAV_FO'!AB85</f>
        <v>12.093841284949434</v>
      </c>
      <c r="AC85" s="270">
        <f ca="1">+(Summary_FO!AH24+NotPres_FO!AC21)*'Rev&amp;RAV_FO'!AC85</f>
        <v>12.141036763134606</v>
      </c>
      <c r="AD85" s="270">
        <f ca="1">+(Summary_FO!AI24+NotPres_FO!AD21)*'Rev&amp;RAV_FO'!AD85</f>
        <v>12.493126829265508</v>
      </c>
      <c r="AE85" s="270">
        <f ca="1">+(Summary_FO!AJ24+NotPres_FO!AE21)*'Rev&amp;RAV_FO'!AE85</f>
        <v>12.855427507314205</v>
      </c>
      <c r="AF85" s="270">
        <f ca="1">+(Summary_FO!AK24+NotPres_FO!AF21)*'Rev&amp;RAV_FO'!AF85</f>
        <v>13.228234905026317</v>
      </c>
      <c r="AG85" s="270">
        <f ca="1">+(Summary_FO!AL24+NotPres_FO!AG21)*'Rev&amp;RAV_FO'!AG85</f>
        <v>13.611853717272076</v>
      </c>
      <c r="AH85" s="270">
        <f ca="1">+(Summary_FO!AM24+NotPres_FO!AH21)*'Rev&amp;RAV_FO'!AH85</f>
        <v>14.006597475072969</v>
      </c>
      <c r="AI85" s="270">
        <f ca="1">+(Summary_FO!AN24+NotPres_FO!AI21)*'Rev&amp;RAV_FO'!AI85</f>
        <v>14.412788801850082</v>
      </c>
      <c r="AJ85" s="270">
        <f ca="1">+(Summary_FO!AO24+NotPres_FO!AJ21)*'Rev&amp;RAV_FO'!AJ85</f>
        <v>14.830759677103734</v>
      </c>
      <c r="AK85" s="668"/>
    </row>
    <row r="86" spans="3:37">
      <c r="C86" s="155"/>
      <c r="E86" s="107" t="s">
        <v>1060</v>
      </c>
      <c r="J86" s="468"/>
      <c r="K86" s="196"/>
      <c r="L86" s="196"/>
      <c r="M86" s="196"/>
      <c r="N86" s="196"/>
      <c r="O86" s="196"/>
      <c r="P86" s="196"/>
      <c r="Q86" s="67"/>
      <c r="R86" s="67"/>
      <c r="S86" s="270"/>
      <c r="T86" s="468"/>
      <c r="U86" s="310">
        <f ca="1">+(Summary_FO!Z21+NotPres_FO!U18)*'Rev&amp;RAV_FO'!U85</f>
        <v>174.77240566031998</v>
      </c>
      <c r="V86" s="310">
        <f ca="1">+(Summary_FO!AA21+NotPres_FO!V18)*'Rev&amp;RAV_FO'!V85</f>
        <v>192.78851482800005</v>
      </c>
      <c r="W86" s="310">
        <f ca="1">+(Summary_FO!AB21+NotPres_FO!W18)*'Rev&amp;RAV_FO'!W85</f>
        <v>215.28280799999999</v>
      </c>
      <c r="X86" s="310">
        <f ca="1">+(Summary_FO!AC21+NotPres_FO!X18)*'Rev&amp;RAV_FO'!X85</f>
        <v>216.62184160656</v>
      </c>
      <c r="Y86" s="270">
        <f ca="1">+(Summary_FO!AD21+NotPres_FO!Y18)*'Rev&amp;RAV_FO'!Y85</f>
        <v>217.57187426831999</v>
      </c>
      <c r="Z86" s="270">
        <f ca="1">+(Summary_FO!AE21+NotPres_FO!Z18)*'Rev&amp;RAV_FO'!Z85</f>
        <v>244.65017134288519</v>
      </c>
      <c r="AA86" s="270">
        <f ca="1">+(Summary_FO!AF21+NotPres_FO!AA18)*'Rev&amp;RAV_FO'!AA85</f>
        <v>264.12802815887164</v>
      </c>
      <c r="AB86" s="270">
        <f ca="1">+(Summary_FO!AG21+NotPres_FO!AB18)*'Rev&amp;RAV_FO'!AB85</f>
        <v>281.46212010537869</v>
      </c>
      <c r="AC86" s="270">
        <f ca="1">+(Summary_FO!AH21+NotPres_FO!AC18)*'Rev&amp;RAV_FO'!AC85</f>
        <v>290.7921391501007</v>
      </c>
      <c r="AD86" s="270">
        <f ca="1">+(Summary_FO!AI21+NotPres_FO!AD18)*'Rev&amp;RAV_FO'!AD85</f>
        <v>298.04191132752618</v>
      </c>
      <c r="AE86" s="270">
        <f ca="1">+(Summary_FO!AJ21+NotPres_FO!AE18)*'Rev&amp;RAV_FO'!AE85</f>
        <v>301.97739211900364</v>
      </c>
      <c r="AF86" s="270">
        <f ca="1">+(Summary_FO!AK21+NotPres_FO!AF18)*'Rev&amp;RAV_FO'!AF85</f>
        <v>316.11863462517329</v>
      </c>
      <c r="AG86" s="270">
        <f ca="1">+(Summary_FO!AL21+NotPres_FO!AG18)*'Rev&amp;RAV_FO'!AG85</f>
        <v>316.49205350883375</v>
      </c>
      <c r="AH86" s="270">
        <f ca="1">+(Summary_FO!AM21+NotPres_FO!AH18)*'Rev&amp;RAV_FO'!AH85</f>
        <v>314.26357996107834</v>
      </c>
      <c r="AI86" s="270">
        <f ca="1">+(Summary_FO!AN21+NotPres_FO!AI18)*'Rev&amp;RAV_FO'!AI85</f>
        <v>312.06353929380384</v>
      </c>
      <c r="AJ86" s="270">
        <f ca="1">+(Summary_FO!AO21+NotPres_FO!AJ18)*'Rev&amp;RAV_FO'!AJ85</f>
        <v>309.89187360068121</v>
      </c>
      <c r="AK86" s="668"/>
    </row>
    <row r="87" spans="3:37">
      <c r="C87" s="155"/>
      <c r="E87" s="107" t="s">
        <v>1061</v>
      </c>
      <c r="J87" s="468"/>
      <c r="K87" s="196"/>
      <c r="L87" s="196"/>
      <c r="M87" s="196"/>
      <c r="N87" s="196"/>
      <c r="O87" s="196"/>
      <c r="P87" s="196"/>
      <c r="Q87" s="67"/>
      <c r="R87" s="67"/>
      <c r="S87" s="270"/>
      <c r="T87" s="468"/>
      <c r="U87" s="310">
        <f ca="1">+(Summary_FO!Z20+NotPres_FO!U17)*'Rev&amp;RAV_FO'!U85</f>
        <v>0</v>
      </c>
      <c r="V87" s="310">
        <f ca="1">+(Summary_FO!AA20+NotPres_FO!V17)*'Rev&amp;RAV_FO'!V85</f>
        <v>0</v>
      </c>
      <c r="W87" s="310">
        <f ca="1">+(Summary_FO!AB20+NotPres_FO!W17)*'Rev&amp;RAV_FO'!W85</f>
        <v>0</v>
      </c>
      <c r="X87" s="310">
        <f ca="1">+(Summary_FO!AC20+NotPres_FO!X17)*'Rev&amp;RAV_FO'!X85</f>
        <v>0</v>
      </c>
      <c r="Y87" s="270">
        <f ca="1">+(Summary_FO!AD20+NotPres_FO!Y17)*'Rev&amp;RAV_FO'!Y85</f>
        <v>0</v>
      </c>
      <c r="Z87" s="270">
        <f ca="1">+(Summary_FO!AE20+NotPres_FO!Z17)*'Rev&amp;RAV_FO'!Z85</f>
        <v>0</v>
      </c>
      <c r="AA87" s="270">
        <f ca="1">+(Summary_FO!AF20+NotPres_FO!AA17)*'Rev&amp;RAV_FO'!AA85</f>
        <v>9.5822535038209136</v>
      </c>
      <c r="AB87" s="270">
        <f ca="1">+(Summary_FO!AG20+NotPres_FO!AB17)*'Rev&amp;RAV_FO'!AB85</f>
        <v>15.837355692696621</v>
      </c>
      <c r="AC87" s="270">
        <f ca="1">+(Summary_FO!AH20+NotPres_FO!AC17)*'Rev&amp;RAV_FO'!AC85</f>
        <v>2.5467898309640986E-2</v>
      </c>
      <c r="AD87" s="270">
        <f ca="1">+(Summary_FO!AI20+NotPres_FO!AD17)*'Rev&amp;RAV_FO'!AD85</f>
        <v>1.7044856819915816E-2</v>
      </c>
      <c r="AE87" s="270">
        <f ca="1">+(Summary_FO!AJ20+NotPres_FO!AE17)*'Rev&amp;RAV_FO'!AE85</f>
        <v>0</v>
      </c>
      <c r="AF87" s="270">
        <f ca="1">+(Summary_FO!AK20+NotPres_FO!AF17)*'Rev&amp;RAV_FO'!AF85</f>
        <v>0</v>
      </c>
      <c r="AG87" s="270">
        <f ca="1">+(Summary_FO!AL20+NotPres_FO!AG17)*'Rev&amp;RAV_FO'!AG85</f>
        <v>0</v>
      </c>
      <c r="AH87" s="270">
        <f ca="1">+(Summary_FO!AM20+NotPres_FO!AH17)*'Rev&amp;RAV_FO'!AH85</f>
        <v>0</v>
      </c>
      <c r="AI87" s="270">
        <f ca="1">+(Summary_FO!AN20+NotPres_FO!AI17)*'Rev&amp;RAV_FO'!AI85</f>
        <v>0</v>
      </c>
      <c r="AJ87" s="270">
        <f ca="1">+(Summary_FO!AO20+NotPres_FO!AJ17)*'Rev&amp;RAV_FO'!AJ85</f>
        <v>0</v>
      </c>
      <c r="AK87" s="668"/>
    </row>
    <row r="88" spans="3:37">
      <c r="C88" s="155"/>
      <c r="E88" s="107" t="s">
        <v>1062</v>
      </c>
      <c r="J88" s="468"/>
      <c r="K88" s="196"/>
      <c r="L88" s="196"/>
      <c r="M88" s="196"/>
      <c r="N88" s="196"/>
      <c r="O88" s="196"/>
      <c r="P88" s="196"/>
      <c r="Q88" s="67"/>
      <c r="R88" s="67"/>
      <c r="S88" s="270"/>
      <c r="T88" s="468"/>
      <c r="U88" s="310">
        <f>+U189</f>
        <v>0.11095251604753237</v>
      </c>
      <c r="V88" s="310">
        <f t="shared" ref="V88:AJ88" ca="1" si="10">+V189</f>
        <v>4.2108187706407903E-2</v>
      </c>
      <c r="W88" s="310">
        <f t="shared" ca="1" si="10"/>
        <v>0.13179462686567164</v>
      </c>
      <c r="X88" s="310">
        <f t="shared" ca="1" si="10"/>
        <v>0.54607507147761702</v>
      </c>
      <c r="Y88" s="270">
        <f t="shared" ca="1" si="10"/>
        <v>0.49935852810929193</v>
      </c>
      <c r="Z88" s="270">
        <f t="shared" ca="1" si="10"/>
        <v>3.990635E-2</v>
      </c>
      <c r="AA88" s="270">
        <f t="shared" ca="1" si="10"/>
        <v>3.989653381463415E-2</v>
      </c>
      <c r="AB88" s="270">
        <f t="shared" ca="1" si="10"/>
        <v>3.9968397430101124E-2</v>
      </c>
      <c r="AC88" s="270">
        <f t="shared" ca="1" si="10"/>
        <v>4.0295892114861322E-2</v>
      </c>
      <c r="AD88" s="270">
        <f t="shared" ca="1" si="10"/>
        <v>3.0564896477603517E-2</v>
      </c>
      <c r="AE88" s="270">
        <f t="shared" ca="1" si="10"/>
        <v>3.1336992801612527E-2</v>
      </c>
      <c r="AF88" s="270">
        <f t="shared" ca="1" si="10"/>
        <v>3.2131479919017797E-2</v>
      </c>
      <c r="AG88" s="270">
        <f t="shared" ca="1" si="10"/>
        <v>3.2949007162827823E-2</v>
      </c>
      <c r="AH88" s="270">
        <f t="shared" ca="1" si="10"/>
        <v>3.3790242696708342E-2</v>
      </c>
      <c r="AI88" s="270">
        <f t="shared" ca="1" si="10"/>
        <v>3.4655874061071394E-2</v>
      </c>
      <c r="AJ88" s="270">
        <f t="shared" ca="1" si="10"/>
        <v>3.554660873500097E-2</v>
      </c>
      <c r="AK88" s="668"/>
    </row>
    <row r="89" spans="3:37">
      <c r="C89" s="155"/>
      <c r="E89" s="107" t="s">
        <v>1063</v>
      </c>
      <c r="J89" s="468"/>
      <c r="K89" s="196"/>
      <c r="L89" s="196"/>
      <c r="M89" s="196"/>
      <c r="N89" s="196"/>
      <c r="O89" s="196"/>
      <c r="P89" s="196"/>
      <c r="Q89" s="67"/>
      <c r="R89" s="67"/>
      <c r="S89" s="270"/>
      <c r="T89" s="468"/>
      <c r="U89" s="310">
        <f ca="1">+(Summary_FO!Z25+NotPres_FO!U22)*'Rev&amp;RAV_FO'!U85</f>
        <v>22.781171805611571</v>
      </c>
      <c r="V89" s="310">
        <f ca="1">+(Summary_FO!AA25+NotPres_FO!V22)*'Rev&amp;RAV_FO'!V85</f>
        <v>22.918829649999999</v>
      </c>
      <c r="W89" s="310">
        <f ca="1">+(Summary_FO!AB25+NotPres_FO!W22)*'Rev&amp;RAV_FO'!W85</f>
        <v>29.266035569999996</v>
      </c>
      <c r="X89" s="310">
        <f ca="1">+(Summary_FO!AC25+NotPres_FO!X22)*'Rev&amp;RAV_FO'!X85</f>
        <v>27.969004470000002</v>
      </c>
      <c r="Y89" s="270">
        <f ca="1">+(Summary_FO!AD25+NotPres_FO!Y22)*'Rev&amp;RAV_FO'!Y85</f>
        <v>29.574602049999999</v>
      </c>
      <c r="Z89" s="270">
        <f ca="1">+(Summary_FO!AE25+NotPres_FO!Z22)*'Rev&amp;RAV_FO'!Z85</f>
        <v>15.438677468891402</v>
      </c>
      <c r="AA89" s="270">
        <f ca="1">+(Summary_FO!AF25+NotPres_FO!AA22)*'Rev&amp;RAV_FO'!AA85</f>
        <v>13.466672988659985</v>
      </c>
      <c r="AB89" s="270">
        <f ca="1">+(Summary_FO!AG25+NotPres_FO!AB22)*'Rev&amp;RAV_FO'!AB85</f>
        <v>6.5800700927481381</v>
      </c>
      <c r="AC89" s="270">
        <f ca="1">+(Summary_FO!AH25+NotPres_FO!AC22)*'Rev&amp;RAV_FO'!AC85</f>
        <v>6.120461374679488</v>
      </c>
      <c r="AD89" s="270">
        <f ca="1">+(Summary_FO!AI25+NotPres_FO!AD22)*'Rev&amp;RAV_FO'!AD85</f>
        <v>6.2979547545451933</v>
      </c>
      <c r="AE89" s="270">
        <f ca="1">+(Summary_FO!AJ25+NotPres_FO!AE22)*'Rev&amp;RAV_FO'!AE85</f>
        <v>4.8085956400418626</v>
      </c>
      <c r="AF89" s="270">
        <f ca="1">+(Summary_FO!AK25+NotPres_FO!AF22)*'Rev&amp;RAV_FO'!AF85</f>
        <v>4.9480449136030771</v>
      </c>
      <c r="AG89" s="270">
        <f ca="1">+(Summary_FO!AL25+NotPres_FO!AG22)*'Rev&amp;RAV_FO'!AG85</f>
        <v>5.0915382160975655</v>
      </c>
      <c r="AH89" s="270">
        <f ca="1">+(Summary_FO!AM25+NotPres_FO!AH22)*'Rev&amp;RAV_FO'!AH85</f>
        <v>5.2391928243643946</v>
      </c>
      <c r="AI89" s="270">
        <f ca="1">+(Summary_FO!AN25+NotPres_FO!AI22)*'Rev&amp;RAV_FO'!AI85</f>
        <v>5.3911294162709611</v>
      </c>
      <c r="AJ89" s="270">
        <f ca="1">+(Summary_FO!AO25+NotPres_FO!AJ22)*'Rev&amp;RAV_FO'!AJ85</f>
        <v>5.5474721693428188</v>
      </c>
      <c r="AK89" s="668"/>
    </row>
    <row r="90" spans="3:37">
      <c r="C90" s="155"/>
      <c r="E90" s="107" t="s">
        <v>1064</v>
      </c>
      <c r="J90" s="468"/>
      <c r="K90" s="196"/>
      <c r="L90" s="196"/>
      <c r="M90" s="196"/>
      <c r="N90" s="196"/>
      <c r="O90" s="196"/>
      <c r="P90" s="196"/>
      <c r="Q90" s="67"/>
      <c r="R90" s="67"/>
      <c r="S90" s="270"/>
      <c r="T90" s="468"/>
      <c r="U90" s="310">
        <f ca="1">+NotPres_FO!U12*'Rev&amp;RAV_FO'!U85</f>
        <v>0</v>
      </c>
      <c r="V90" s="310">
        <f ca="1">+NotPres_FO!V12*'Rev&amp;RAV_FO'!V85</f>
        <v>0</v>
      </c>
      <c r="W90" s="310">
        <f ca="1">+NotPres_FO!W12*'Rev&amp;RAV_FO'!W85</f>
        <v>0</v>
      </c>
      <c r="X90" s="310">
        <f ca="1">+NotPres_FO!X12*'Rev&amp;RAV_FO'!X85</f>
        <v>0</v>
      </c>
      <c r="Y90" s="270">
        <f ca="1">+NotPres_FO!Y12*'Rev&amp;RAV_FO'!Y85</f>
        <v>0</v>
      </c>
      <c r="Z90" s="270">
        <f ca="1">+NotPres_FO!Z12*'Rev&amp;RAV_FO'!Z85</f>
        <v>0</v>
      </c>
      <c r="AA90" s="270">
        <f ca="1">+NotPres_FO!AA12*'Rev&amp;RAV_FO'!AA85</f>
        <v>2.4343145432480671</v>
      </c>
      <c r="AB90" s="270">
        <f ca="1">+NotPres_FO!AB12*'Rev&amp;RAV_FO'!AB85</f>
        <v>2.3799912722259982</v>
      </c>
      <c r="AC90" s="270">
        <f ca="1">+NotPres_FO!AC12*'Rev&amp;RAV_FO'!AC85</f>
        <v>2.5774078624557704</v>
      </c>
      <c r="AD90" s="270">
        <f ca="1">+NotPres_FO!AD12*'Rev&amp;RAV_FO'!AD85</f>
        <v>3.048631124999829</v>
      </c>
      <c r="AE90" s="270">
        <f ca="1">+NotPres_FO!AE12*'Rev&amp;RAV_FO'!AE85</f>
        <v>3.1369384414516541</v>
      </c>
      <c r="AF90" s="270">
        <f ca="1">+NotPres_FO!AF12*'Rev&amp;RAV_FO'!AF85</f>
        <v>2.7689787001033506</v>
      </c>
      <c r="AG90" s="270">
        <f ca="1">+NotPres_FO!AG12*'Rev&amp;RAV_FO'!AG85</f>
        <v>2.5210991682616402</v>
      </c>
      <c r="AH90" s="270">
        <f ca="1">+NotPres_FO!AH12*'Rev&amp;RAV_FO'!AH85</f>
        <v>2.5942110441412276</v>
      </c>
      <c r="AI90" s="270">
        <f ca="1">+NotPres_FO!AI12*'Rev&amp;RAV_FO'!AI85</f>
        <v>2.669443164421323</v>
      </c>
      <c r="AJ90" s="270">
        <f ca="1">+NotPres_FO!AJ12*'Rev&amp;RAV_FO'!AJ85</f>
        <v>2.7468570161895411</v>
      </c>
      <c r="AK90" s="668"/>
    </row>
    <row r="91" spans="3:37" ht="14.25">
      <c r="C91" s="155"/>
      <c r="E91" s="107" t="s">
        <v>1065</v>
      </c>
      <c r="J91" s="468"/>
      <c r="K91" s="196"/>
      <c r="L91" s="196"/>
      <c r="M91" s="196"/>
      <c r="N91" s="196"/>
      <c r="O91" s="196"/>
      <c r="P91" s="196"/>
      <c r="Q91" s="67"/>
      <c r="R91" s="67"/>
      <c r="S91" s="270"/>
      <c r="T91" s="468"/>
      <c r="U91" s="310">
        <f>+U20</f>
        <v>11.18543396226049</v>
      </c>
      <c r="V91" s="310">
        <f t="shared" ref="V91:AJ91" si="11">+V20</f>
        <v>13.182120672</v>
      </c>
      <c r="W91" s="310">
        <f t="shared" si="11"/>
        <v>14.720192000000001</v>
      </c>
      <c r="X91" s="310">
        <f t="shared" si="11"/>
        <v>14.811749853440002</v>
      </c>
      <c r="Y91" s="270">
        <f t="shared" si="11"/>
        <v>14.876709351680001</v>
      </c>
      <c r="Z91" s="270">
        <f t="shared" si="11"/>
        <v>16.580265708704726</v>
      </c>
      <c r="AA91" s="270">
        <f t="shared" si="11"/>
        <v>17.84188075615862</v>
      </c>
      <c r="AB91" s="270">
        <f t="shared" si="11"/>
        <v>18.947989731986947</v>
      </c>
      <c r="AC91" s="270">
        <f t="shared" si="11"/>
        <v>19.50429792155661</v>
      </c>
      <c r="AD91" s="270">
        <f t="shared" si="11"/>
        <v>19.9159522375645</v>
      </c>
      <c r="AE91" s="270">
        <f t="shared" si="11"/>
        <v>20.101861473357285</v>
      </c>
      <c r="AF91" s="270">
        <f t="shared" si="11"/>
        <v>20.967733468236116</v>
      </c>
      <c r="AG91" s="270">
        <f t="shared" si="11"/>
        <v>20.910497309922928</v>
      </c>
      <c r="AH91" s="270">
        <f t="shared" si="11"/>
        <v>20.680937779089177</v>
      </c>
      <c r="AI91" s="270">
        <f t="shared" si="11"/>
        <v>20.454721916807401</v>
      </c>
      <c r="AJ91" s="270">
        <f t="shared" si="11"/>
        <v>20.231816091253403</v>
      </c>
      <c r="AK91" s="668"/>
    </row>
    <row r="92" spans="3:37">
      <c r="C92" s="155"/>
      <c r="E92" s="89" t="s">
        <v>1066</v>
      </c>
      <c r="J92" s="468"/>
      <c r="K92" s="196"/>
      <c r="L92" s="196"/>
      <c r="M92" s="196"/>
      <c r="N92" s="196"/>
      <c r="O92" s="196"/>
      <c r="P92" s="196"/>
      <c r="Q92" s="67"/>
      <c r="R92" s="67"/>
      <c r="S92" s="270"/>
      <c r="T92" s="468"/>
      <c r="U92" s="706">
        <f ca="1">+(U83-U84)+SUM(U85:U91)</f>
        <v>1869.9909584198235</v>
      </c>
      <c r="V92" s="706">
        <f t="shared" ref="V92:AJ92" ca="1" si="12">+(V83-V84)+SUM(V85:V91)</f>
        <v>1841.1307485352463</v>
      </c>
      <c r="W92" s="706">
        <f t="shared" ca="1" si="12"/>
        <v>1925.992091684401</v>
      </c>
      <c r="X92" s="706">
        <f t="shared" ca="1" si="12"/>
        <v>2057.6129341552869</v>
      </c>
      <c r="Y92" s="705">
        <f t="shared" ca="1" si="12"/>
        <v>2140.9536997840733</v>
      </c>
      <c r="Z92" s="705">
        <f t="shared" ca="1" si="12"/>
        <v>2199.6199151979026</v>
      </c>
      <c r="AA92" s="705">
        <f t="shared" ca="1" si="12"/>
        <v>2296.6597896067278</v>
      </c>
      <c r="AB92" s="705">
        <f t="shared" ca="1" si="12"/>
        <v>2450.2409270423541</v>
      </c>
      <c r="AC92" s="705">
        <f t="shared" ca="1" si="12"/>
        <v>2546.8328831289846</v>
      </c>
      <c r="AD92" s="705">
        <f t="shared" ca="1" si="12"/>
        <v>2662.5064376126056</v>
      </c>
      <c r="AE92" s="705">
        <f t="shared" ca="1" si="12"/>
        <v>2777.9851896115556</v>
      </c>
      <c r="AF92" s="705">
        <f t="shared" ca="1" si="12"/>
        <v>2980.2184038958499</v>
      </c>
      <c r="AG92" s="705">
        <f t="shared" ca="1" si="12"/>
        <v>3093.5549713642558</v>
      </c>
      <c r="AH92" s="705">
        <f t="shared" ca="1" si="12"/>
        <v>3210.9418253509389</v>
      </c>
      <c r="AI92" s="705">
        <f t="shared" ca="1" si="12"/>
        <v>3341.0885136140746</v>
      </c>
      <c r="AJ92" s="705">
        <f t="shared" ca="1" si="12"/>
        <v>3472.6356971354339</v>
      </c>
      <c r="AK92" s="668"/>
    </row>
    <row r="93" spans="3:37">
      <c r="C93" s="155"/>
      <c r="E93" s="89"/>
      <c r="J93" s="468"/>
      <c r="K93" s="196"/>
      <c r="L93" s="196"/>
      <c r="M93" s="196"/>
      <c r="N93" s="196"/>
      <c r="O93" s="196"/>
      <c r="P93" s="196"/>
      <c r="Q93" s="67"/>
      <c r="R93" s="67"/>
      <c r="S93" s="270"/>
      <c r="T93" s="468"/>
      <c r="U93" s="310"/>
      <c r="V93" s="310"/>
      <c r="W93" s="310"/>
      <c r="X93" s="310"/>
      <c r="Y93" s="270"/>
      <c r="Z93" s="270"/>
      <c r="AA93" s="270"/>
      <c r="AB93" s="270"/>
      <c r="AC93" s="270"/>
      <c r="AD93" s="270"/>
      <c r="AE93" s="270"/>
      <c r="AF93" s="270"/>
      <c r="AG93" s="270"/>
      <c r="AH93" s="270"/>
      <c r="AI93" s="270"/>
      <c r="AJ93" s="270"/>
      <c r="AK93" s="668"/>
    </row>
    <row r="94" spans="3:37">
      <c r="C94" s="155"/>
      <c r="E94" s="89" t="s">
        <v>1067</v>
      </c>
      <c r="J94" s="468"/>
      <c r="K94" s="196"/>
      <c r="L94" s="196"/>
      <c r="M94" s="196"/>
      <c r="N94" s="196"/>
      <c r="O94" s="196"/>
      <c r="P94" s="196"/>
      <c r="Q94" s="67"/>
      <c r="R94" s="67"/>
      <c r="S94" s="270"/>
      <c r="T94" s="468"/>
      <c r="U94" s="310"/>
      <c r="V94" s="310"/>
      <c r="W94" s="310"/>
      <c r="X94" s="310"/>
      <c r="Y94" s="270"/>
      <c r="Z94" s="270"/>
      <c r="AA94" s="270"/>
      <c r="AB94" s="270"/>
      <c r="AC94" s="270"/>
      <c r="AD94" s="270"/>
      <c r="AE94" s="270"/>
      <c r="AF94" s="270"/>
      <c r="AG94" s="270"/>
      <c r="AH94" s="270"/>
      <c r="AI94" s="270"/>
      <c r="AJ94" s="270"/>
      <c r="AK94" s="668"/>
    </row>
    <row r="95" spans="3:37">
      <c r="C95" s="155"/>
      <c r="E95" s="107" t="s">
        <v>1068</v>
      </c>
      <c r="J95" s="468"/>
      <c r="K95" s="196"/>
      <c r="L95" s="196"/>
      <c r="M95" s="196"/>
      <c r="N95" s="196"/>
      <c r="O95" s="196"/>
      <c r="P95" s="196"/>
      <c r="Q95" s="67"/>
      <c r="R95" s="67"/>
      <c r="S95" s="270"/>
      <c r="T95" s="468"/>
      <c r="U95" s="310">
        <f>+Summary_FO!Z15*'Rev&amp;RAV_FO'!U85</f>
        <v>952.60440442123593</v>
      </c>
      <c r="V95" s="310">
        <f>+Summary_FO!AA15*'Rev&amp;RAV_FO'!V85</f>
        <v>994.74279221185418</v>
      </c>
      <c r="W95" s="310">
        <f>+Summary_FO!AB15*'Rev&amp;RAV_FO'!W85</f>
        <v>1026.8201984991595</v>
      </c>
      <c r="X95" s="310">
        <f>+Summary_FO!AC15*'Rev&amp;RAV_FO'!X85</f>
        <v>1081.2235273292004</v>
      </c>
      <c r="Y95" s="270">
        <f>+Summary_FO!AD15*'Rev&amp;RAV_FO'!Y85</f>
        <v>1137.2622580407569</v>
      </c>
      <c r="Z95" s="270">
        <f>+Summary_FO!AE15*'Rev&amp;RAV_FO'!Z85</f>
        <v>1133.8169459228716</v>
      </c>
      <c r="AA95" s="270">
        <f>+Summary_FO!AF15*'Rev&amp;RAV_FO'!AA85</f>
        <v>1147.4300529496775</v>
      </c>
      <c r="AB95" s="270">
        <f>+Summary_FO!AG15*'Rev&amp;RAV_FO'!AB85</f>
        <v>1173.7853580742385</v>
      </c>
      <c r="AC95" s="270">
        <f>+Summary_FO!AH15*'Rev&amp;RAV_FO'!AC85</f>
        <v>1214.259031764522</v>
      </c>
      <c r="AD95" s="270">
        <f>+Summary_FO!AI15*'Rev&amp;RAV_FO'!AD85</f>
        <v>1229.6829809611422</v>
      </c>
      <c r="AE95" s="270">
        <f>+Summary_FO!AJ15*'Rev&amp;RAV_FO'!AE85</f>
        <v>1242.4954639481352</v>
      </c>
      <c r="AF95" s="270">
        <f>+Summary_FO!AK15*'Rev&amp;RAV_FO'!AF85</f>
        <v>1251.586081750826</v>
      </c>
      <c r="AG95" s="270">
        <f>+Summary_FO!AL15*'Rev&amp;RAV_FO'!AG85</f>
        <v>1257.5422129218769</v>
      </c>
      <c r="AH95" s="270">
        <f>+Summary_FO!AM15*'Rev&amp;RAV_FO'!AH85</f>
        <v>1248.4450131261624</v>
      </c>
      <c r="AI95" s="270">
        <f>+Summary_FO!AN15*'Rev&amp;RAV_FO'!AI85</f>
        <v>1251.0243004475985</v>
      </c>
      <c r="AJ95" s="270">
        <f>+Summary_FO!AO15*'Rev&amp;RAV_FO'!AJ85</f>
        <v>1246.8485891889927</v>
      </c>
      <c r="AK95" s="668"/>
    </row>
    <row r="96" spans="3:37">
      <c r="C96" s="155"/>
      <c r="E96" s="107" t="s">
        <v>1069</v>
      </c>
      <c r="J96" s="468"/>
      <c r="K96" s="196"/>
      <c r="L96" s="196"/>
      <c r="M96" s="196"/>
      <c r="N96" s="196"/>
      <c r="O96" s="196"/>
      <c r="P96" s="196"/>
      <c r="Q96" s="67"/>
      <c r="R96" s="67"/>
      <c r="S96" s="270"/>
      <c r="T96" s="468"/>
      <c r="U96" s="310">
        <f ca="1">+NotPres_FO!U14*'Rev&amp;RAV_FO'!U85</f>
        <v>0.15501799999999999</v>
      </c>
      <c r="V96" s="310">
        <f ca="1">+NotPres_FO!V14*'Rev&amp;RAV_FO'!V85</f>
        <v>0.34286300000000003</v>
      </c>
      <c r="W96" s="310">
        <f ca="1">+NotPres_FO!W14*'Rev&amp;RAV_FO'!W85</f>
        <v>0.38647700000000001</v>
      </c>
      <c r="X96" s="310">
        <f ca="1">+NotPres_FO!X14*'Rev&amp;RAV_FO'!X85</f>
        <v>0.33904099999999998</v>
      </c>
      <c r="Y96" s="270">
        <f ca="1">+NotPres_FO!Y14*'Rev&amp;RAV_FO'!Y85</f>
        <v>0.57770500000000002</v>
      </c>
      <c r="Z96" s="270">
        <f ca="1">+NotPres_FO!Z14*'Rev&amp;RAV_FO'!Z85</f>
        <v>0.97345984449137435</v>
      </c>
      <c r="AA96" s="270">
        <f ca="1">+NotPres_FO!AA14*'Rev&amp;RAV_FO'!AA85</f>
        <v>1.0030248233496728</v>
      </c>
      <c r="AB96" s="270">
        <f ca="1">+NotPres_FO!AB14*'Rev&amp;RAV_FO'!AB85</f>
        <v>0.60089681037203757</v>
      </c>
      <c r="AC96" s="270">
        <f ca="1">+NotPres_FO!AC14*'Rev&amp;RAV_FO'!AC85</f>
        <v>0.94846178959452154</v>
      </c>
      <c r="AD96" s="270">
        <f ca="1">+NotPres_FO!AD14*'Rev&amp;RAV_FO'!AD85</f>
        <v>1.3415443622774976</v>
      </c>
      <c r="AE96" s="270">
        <f ca="1">+NotPres_FO!AE14*'Rev&amp;RAV_FO'!AE85</f>
        <v>1.3655079714833911</v>
      </c>
      <c r="AF96" s="270">
        <f ca="1">+NotPres_FO!AF14*'Rev&amp;RAV_FO'!AF85</f>
        <v>1.6316073212849544</v>
      </c>
      <c r="AG96" s="270">
        <f ca="1">+NotPres_FO!AG14*'Rev&amp;RAV_FO'!AG85</f>
        <v>1.3908347973460993</v>
      </c>
      <c r="AH96" s="270">
        <f ca="1">+NotPres_FO!AH14*'Rev&amp;RAV_FO'!AH85</f>
        <v>1.4248784621433412</v>
      </c>
      <c r="AI96" s="270">
        <f ca="1">+NotPres_FO!AI14*'Rev&amp;RAV_FO'!AI85</f>
        <v>1.4598848447540416</v>
      </c>
      <c r="AJ96" s="270">
        <f ca="1">+NotPres_FO!AJ14*'Rev&amp;RAV_FO'!AJ85</f>
        <v>1.5022215052519088</v>
      </c>
      <c r="AK96" s="668"/>
    </row>
    <row r="97" spans="3:37">
      <c r="C97" s="155"/>
      <c r="E97" s="107" t="s">
        <v>971</v>
      </c>
      <c r="J97" s="468"/>
      <c r="K97" s="196"/>
      <c r="L97" s="196"/>
      <c r="M97" s="196"/>
      <c r="N97" s="196"/>
      <c r="O97" s="196"/>
      <c r="P97" s="196"/>
      <c r="Q97" s="67"/>
      <c r="R97" s="67"/>
      <c r="S97" s="270"/>
      <c r="T97" s="468"/>
      <c r="U97" s="310">
        <f>+'Finance&amp;Tax_FO'!U17</f>
        <v>450.14600000000002</v>
      </c>
      <c r="V97" s="310">
        <f>+'Finance&amp;Tax_FO'!V17</f>
        <v>456.34199999999998</v>
      </c>
      <c r="W97" s="310">
        <f>+'Finance&amp;Tax_FO'!W17</f>
        <v>469.52</v>
      </c>
      <c r="X97" s="310">
        <f>+'Finance&amp;Tax_FO'!X17</f>
        <v>487.89400000000001</v>
      </c>
      <c r="Y97" s="270">
        <f>+'Finance&amp;Tax_FO'!Y17</f>
        <v>533.64</v>
      </c>
      <c r="Z97" s="270">
        <f>+'Finance&amp;Tax_FO'!Z17</f>
        <v>522.65602828904593</v>
      </c>
      <c r="AA97" s="270">
        <f>+'Finance&amp;Tax_FO'!AA17</f>
        <v>533.06403609472238</v>
      </c>
      <c r="AB97" s="270">
        <f>+'Finance&amp;Tax_FO'!AB17</f>
        <v>587.59887543366187</v>
      </c>
      <c r="AC97" s="270">
        <f>+'Finance&amp;Tax_FO'!AC17</f>
        <v>634.01679594525024</v>
      </c>
      <c r="AD97" s="270">
        <f>+'Finance&amp;Tax_FO'!AD17</f>
        <v>675.24944474380186</v>
      </c>
      <c r="AE97" s="270">
        <f>+'Finance&amp;Tax_FO'!AE17</f>
        <v>708.67985163282447</v>
      </c>
      <c r="AF97" s="270">
        <f>+'Finance&amp;Tax_FO'!AF17</f>
        <v>751.25450489957188</v>
      </c>
      <c r="AG97" s="270">
        <f>+'Finance&amp;Tax_FO'!AG17</f>
        <v>788.53828867787308</v>
      </c>
      <c r="AH97" s="270">
        <f>+'Finance&amp;Tax_FO'!AH17</f>
        <v>846.30649553842045</v>
      </c>
      <c r="AI97" s="270">
        <f>+'Finance&amp;Tax_FO'!AI17</f>
        <v>922.01604170350618</v>
      </c>
      <c r="AJ97" s="270">
        <f>+'Finance&amp;Tax_FO'!AJ17</f>
        <v>982.89753526587594</v>
      </c>
      <c r="AK97" s="668"/>
    </row>
    <row r="98" spans="3:37">
      <c r="C98" s="155"/>
      <c r="E98" s="107" t="s">
        <v>1070</v>
      </c>
      <c r="J98" s="468"/>
      <c r="K98" s="196"/>
      <c r="L98" s="196"/>
      <c r="M98" s="196"/>
      <c r="N98" s="196"/>
      <c r="O98" s="196"/>
      <c r="P98" s="196"/>
      <c r="Q98" s="67"/>
      <c r="R98" s="67"/>
      <c r="S98" s="270"/>
      <c r="T98" s="468"/>
      <c r="U98" s="310">
        <f>+U195</f>
        <v>572.30813277596872</v>
      </c>
      <c r="V98" s="310">
        <f t="shared" ref="V98:AJ98" ca="1" si="13">+V195</f>
        <v>544.49558833047763</v>
      </c>
      <c r="W98" s="310">
        <f t="shared" ca="1" si="13"/>
        <v>553.91357161522171</v>
      </c>
      <c r="X98" s="310">
        <f t="shared" ca="1" si="13"/>
        <v>571.08451779047573</v>
      </c>
      <c r="Y98" s="270">
        <f t="shared" ca="1" si="13"/>
        <v>581.22239872068235</v>
      </c>
      <c r="Z98" s="270">
        <f t="shared" ca="1" si="13"/>
        <v>607.43104216999996</v>
      </c>
      <c r="AA98" s="270">
        <f t="shared" ca="1" si="13"/>
        <v>662.61550848902448</v>
      </c>
      <c r="AB98" s="270">
        <f t="shared" ca="1" si="13"/>
        <v>720.72308742591906</v>
      </c>
      <c r="AC98" s="270">
        <f t="shared" ca="1" si="13"/>
        <v>792.8427049698048</v>
      </c>
      <c r="AD98" s="270">
        <f t="shared" ca="1" si="13"/>
        <v>849.3667815919905</v>
      </c>
      <c r="AE98" s="270">
        <f t="shared" ca="1" si="13"/>
        <v>888.66298617183179</v>
      </c>
      <c r="AF98" s="270">
        <f t="shared" ca="1" si="13"/>
        <v>933.96773615799077</v>
      </c>
      <c r="AG98" s="270">
        <f t="shared" ca="1" si="13"/>
        <v>956.99659589295561</v>
      </c>
      <c r="AH98" s="270">
        <f t="shared" ca="1" si="13"/>
        <v>979.67523477546672</v>
      </c>
      <c r="AI98" s="270">
        <f t="shared" ca="1" si="13"/>
        <v>986.63344568337595</v>
      </c>
      <c r="AJ98" s="270">
        <f t="shared" ca="1" si="13"/>
        <v>1001.8498952503928</v>
      </c>
      <c r="AK98" s="668"/>
    </row>
    <row r="99" spans="3:37">
      <c r="C99" s="155"/>
      <c r="E99" s="107" t="s">
        <v>776</v>
      </c>
      <c r="J99" s="468"/>
      <c r="K99" s="196"/>
      <c r="L99" s="196"/>
      <c r="M99" s="196"/>
      <c r="N99" s="196"/>
      <c r="O99" s="196"/>
      <c r="P99" s="196"/>
      <c r="Q99" s="67"/>
      <c r="R99" s="67"/>
      <c r="S99" s="270"/>
      <c r="T99" s="468"/>
      <c r="U99" s="310">
        <f>Capex_FO_AC!U32*'Rev&amp;RAV_FO'!U85</f>
        <v>0</v>
      </c>
      <c r="V99" s="310">
        <f>Capex_FO_AC!V32*'Rev&amp;RAV_FO'!V85</f>
        <v>0</v>
      </c>
      <c r="W99" s="310">
        <f>Capex_FO_AC!W32*'Rev&amp;RAV_FO'!W85</f>
        <v>0</v>
      </c>
      <c r="X99" s="310">
        <f>Capex_FO_AC!X32*'Rev&amp;RAV_FO'!X85</f>
        <v>0</v>
      </c>
      <c r="Y99" s="270">
        <f>Capex_FO_AC!Y32*'Rev&amp;RAV_FO'!Y85</f>
        <v>0</v>
      </c>
      <c r="Z99" s="270">
        <f>Capex_FO_AC!Z32*'Rev&amp;RAV_FO'!Z85</f>
        <v>0</v>
      </c>
      <c r="AA99" s="270">
        <f>Capex_FO_AC!AA32*'Rev&amp;RAV_FO'!AA85</f>
        <v>0</v>
      </c>
      <c r="AB99" s="270">
        <f>Capex_FO_AC!AB32*'Rev&amp;RAV_FO'!AB85</f>
        <v>0</v>
      </c>
      <c r="AC99" s="270">
        <f>Capex_FO_AC!AC32*'Rev&amp;RAV_FO'!AC85</f>
        <v>0</v>
      </c>
      <c r="AD99" s="270">
        <f>Capex_FO_AC!AD32*'Rev&amp;RAV_FO'!AD85</f>
        <v>0</v>
      </c>
      <c r="AE99" s="270">
        <f>Capex_FO_AC!AE32*'Rev&amp;RAV_FO'!AE85</f>
        <v>0</v>
      </c>
      <c r="AF99" s="270">
        <f>Capex_FO_AC!AF32*'Rev&amp;RAV_FO'!AF85</f>
        <v>0</v>
      </c>
      <c r="AG99" s="270">
        <f>Capex_FO_AC!AG32*'Rev&amp;RAV_FO'!AG85</f>
        <v>0</v>
      </c>
      <c r="AH99" s="270">
        <f>Capex_FO_AC!AH32*'Rev&amp;RAV_FO'!AH85</f>
        <v>0</v>
      </c>
      <c r="AI99" s="270">
        <f>Capex_FO_AC!AI32*'Rev&amp;RAV_FO'!AI85</f>
        <v>0</v>
      </c>
      <c r="AJ99" s="270">
        <f>Capex_FO_AC!AJ32*'Rev&amp;RAV_FO'!AJ85</f>
        <v>0</v>
      </c>
      <c r="AK99" s="668"/>
    </row>
    <row r="100" spans="3:37" ht="14.25">
      <c r="C100" s="155"/>
      <c r="E100" s="107" t="s">
        <v>1071</v>
      </c>
      <c r="J100" s="468"/>
      <c r="K100" s="196"/>
      <c r="L100" s="196"/>
      <c r="M100" s="196"/>
      <c r="N100" s="196"/>
      <c r="O100" s="196"/>
      <c r="P100" s="196"/>
      <c r="Q100" s="67"/>
      <c r="R100" s="67"/>
      <c r="S100" s="270"/>
      <c r="T100" s="468"/>
      <c r="U100" s="310">
        <f>+U28</f>
        <v>-300.6853690977868</v>
      </c>
      <c r="V100" s="310">
        <f t="shared" ref="V100:AJ100" si="14">+V28</f>
        <v>-351.94858521823886</v>
      </c>
      <c r="W100" s="310">
        <f t="shared" si="14"/>
        <v>-339.72635318743886</v>
      </c>
      <c r="X100" s="310">
        <f t="shared" si="14"/>
        <v>-348.77501270358061</v>
      </c>
      <c r="Y100" s="270">
        <f t="shared" si="14"/>
        <v>-312.202</v>
      </c>
      <c r="Z100" s="270">
        <f t="shared" si="14"/>
        <v>-320.34879216999991</v>
      </c>
      <c r="AA100" s="270">
        <f t="shared" si="14"/>
        <v>-321.00935605000001</v>
      </c>
      <c r="AB100" s="270">
        <f t="shared" si="14"/>
        <v>-306.79382136999999</v>
      </c>
      <c r="AC100" s="270">
        <f t="shared" si="14"/>
        <v>-291.03348351999995</v>
      </c>
      <c r="AD100" s="270">
        <f t="shared" si="14"/>
        <v>-272.88830993000005</v>
      </c>
      <c r="AE100" s="270">
        <f t="shared" si="14"/>
        <v>-252.41565473999998</v>
      </c>
      <c r="AF100" s="270">
        <f t="shared" si="14"/>
        <v>-229.00217323897795</v>
      </c>
      <c r="AG100" s="270">
        <f t="shared" si="14"/>
        <v>-202.3100061102586</v>
      </c>
      <c r="AH100" s="270">
        <f t="shared" si="14"/>
        <v>-172.06699971237731</v>
      </c>
      <c r="AI100" s="270">
        <f t="shared" si="14"/>
        <v>-138.04549464598057</v>
      </c>
      <c r="AJ100" s="270">
        <f t="shared" si="14"/>
        <v>-100.03430292682812</v>
      </c>
      <c r="AK100" s="668"/>
    </row>
    <row r="101" spans="3:37">
      <c r="C101" s="155"/>
      <c r="E101" s="89" t="s">
        <v>1072</v>
      </c>
      <c r="J101" s="468"/>
      <c r="K101" s="196"/>
      <c r="L101" s="196"/>
      <c r="M101" s="196"/>
      <c r="N101" s="196"/>
      <c r="O101" s="196"/>
      <c r="P101" s="196"/>
      <c r="Q101" s="67"/>
      <c r="R101" s="67"/>
      <c r="S101" s="270"/>
      <c r="T101" s="468"/>
      <c r="U101" s="618">
        <f ca="1">+SUM(U95:U100)</f>
        <v>1674.5281860994178</v>
      </c>
      <c r="V101" s="618">
        <f t="shared" ref="V101:AJ101" ca="1" si="15">+SUM(V95:V100)</f>
        <v>1643.9746583240928</v>
      </c>
      <c r="W101" s="618">
        <f t="shared" ca="1" si="15"/>
        <v>1710.9138939269421</v>
      </c>
      <c r="X101" s="618">
        <f t="shared" ca="1" si="15"/>
        <v>1791.7660734160954</v>
      </c>
      <c r="Y101" s="303">
        <f t="shared" ca="1" si="15"/>
        <v>1940.5003617614395</v>
      </c>
      <c r="Z101" s="303">
        <f t="shared" ca="1" si="15"/>
        <v>1944.528684056409</v>
      </c>
      <c r="AA101" s="303">
        <f t="shared" ca="1" si="15"/>
        <v>2023.1032663067745</v>
      </c>
      <c r="AB101" s="303">
        <f t="shared" ca="1" si="15"/>
        <v>2175.9143963741913</v>
      </c>
      <c r="AC101" s="303">
        <f t="shared" ca="1" si="15"/>
        <v>2351.0335109491716</v>
      </c>
      <c r="AD101" s="303">
        <f t="shared" ca="1" si="15"/>
        <v>2482.752441729212</v>
      </c>
      <c r="AE101" s="303">
        <f t="shared" ca="1" si="15"/>
        <v>2588.788154984275</v>
      </c>
      <c r="AF101" s="303">
        <f t="shared" ca="1" si="15"/>
        <v>2709.4377568906957</v>
      </c>
      <c r="AG101" s="303">
        <f t="shared" ca="1" si="15"/>
        <v>2802.1579261797929</v>
      </c>
      <c r="AH101" s="303">
        <f t="shared" ca="1" si="15"/>
        <v>2903.7846221898158</v>
      </c>
      <c r="AI101" s="303">
        <f t="shared" ca="1" si="15"/>
        <v>3023.0881780332543</v>
      </c>
      <c r="AJ101" s="303">
        <f t="shared" ca="1" si="15"/>
        <v>3133.0639382836853</v>
      </c>
      <c r="AK101" s="668"/>
    </row>
    <row r="102" spans="3:37">
      <c r="C102" s="155"/>
      <c r="J102" s="468"/>
      <c r="K102" s="196"/>
      <c r="L102" s="196"/>
      <c r="M102" s="196"/>
      <c r="N102" s="196"/>
      <c r="O102" s="196"/>
      <c r="P102" s="196"/>
      <c r="Q102" s="67"/>
      <c r="R102" s="67"/>
      <c r="S102" s="270"/>
      <c r="T102" s="468"/>
      <c r="U102" s="310"/>
      <c r="V102" s="310"/>
      <c r="W102" s="310"/>
      <c r="X102" s="310"/>
      <c r="Y102" s="270"/>
      <c r="Z102" s="270"/>
      <c r="AA102" s="270"/>
      <c r="AB102" s="270"/>
      <c r="AC102" s="270"/>
      <c r="AD102" s="270"/>
      <c r="AE102" s="270"/>
      <c r="AF102" s="270"/>
      <c r="AG102" s="270"/>
      <c r="AH102" s="270"/>
      <c r="AI102" s="270"/>
      <c r="AJ102" s="270"/>
      <c r="AK102" s="668"/>
    </row>
    <row r="103" spans="3:37">
      <c r="C103" s="155"/>
      <c r="E103" s="89" t="s">
        <v>1073</v>
      </c>
      <c r="J103" s="468"/>
      <c r="K103" s="196"/>
      <c r="L103" s="196"/>
      <c r="M103" s="196"/>
      <c r="N103" s="196"/>
      <c r="O103" s="196"/>
      <c r="P103" s="196"/>
      <c r="Q103" s="67"/>
      <c r="R103" s="67"/>
      <c r="S103" s="270"/>
      <c r="T103" s="468"/>
      <c r="U103" s="620">
        <f ca="1">+U92-U101</f>
        <v>195.46277232040575</v>
      </c>
      <c r="V103" s="619">
        <f t="shared" ref="V103:AJ103" ca="1" si="16">+V92-V101</f>
        <v>197.15609021115347</v>
      </c>
      <c r="W103" s="620">
        <f t="shared" ca="1" si="16"/>
        <v>215.07819775745884</v>
      </c>
      <c r="X103" s="620">
        <f t="shared" ca="1" si="16"/>
        <v>265.84686073919147</v>
      </c>
      <c r="Y103" s="312">
        <f t="shared" ca="1" si="16"/>
        <v>200.45333802263372</v>
      </c>
      <c r="Z103" s="312">
        <f t="shared" ca="1" si="16"/>
        <v>255.09123114149361</v>
      </c>
      <c r="AA103" s="311">
        <f t="shared" ca="1" si="16"/>
        <v>273.55652329995337</v>
      </c>
      <c r="AB103" s="312">
        <f t="shared" ca="1" si="16"/>
        <v>274.32653066816283</v>
      </c>
      <c r="AC103" s="312">
        <f t="shared" ca="1" si="16"/>
        <v>195.79937217981296</v>
      </c>
      <c r="AD103" s="312">
        <f t="shared" ca="1" si="16"/>
        <v>179.7539958833936</v>
      </c>
      <c r="AE103" s="313">
        <f t="shared" ca="1" si="16"/>
        <v>189.19703462728057</v>
      </c>
      <c r="AF103" s="312">
        <f t="shared" ca="1" si="16"/>
        <v>270.78064700515415</v>
      </c>
      <c r="AG103" s="312">
        <f t="shared" ca="1" si="16"/>
        <v>291.39704518446297</v>
      </c>
      <c r="AH103" s="312">
        <f t="shared" ca="1" si="16"/>
        <v>307.15720316112311</v>
      </c>
      <c r="AI103" s="312">
        <f t="shared" ca="1" si="16"/>
        <v>318.00033558082032</v>
      </c>
      <c r="AJ103" s="312">
        <f t="shared" ca="1" si="16"/>
        <v>339.57175885174865</v>
      </c>
      <c r="AK103" s="668"/>
    </row>
    <row r="104" spans="3:37">
      <c r="C104" s="155"/>
      <c r="J104" s="468"/>
      <c r="K104" s="196"/>
      <c r="L104" s="196"/>
      <c r="M104" s="196"/>
      <c r="N104" s="196"/>
      <c r="O104" s="196"/>
      <c r="P104" s="196"/>
      <c r="Q104" s="67"/>
      <c r="R104" s="67"/>
      <c r="S104" s="270"/>
      <c r="T104" s="468"/>
      <c r="U104" s="310"/>
      <c r="V104" s="310"/>
      <c r="W104" s="310"/>
      <c r="X104" s="310"/>
      <c r="Y104" s="270"/>
      <c r="Z104" s="270"/>
      <c r="AA104" s="270"/>
      <c r="AB104" s="270"/>
      <c r="AC104" s="270"/>
      <c r="AD104" s="270"/>
      <c r="AE104" s="270"/>
      <c r="AF104" s="270"/>
      <c r="AG104" s="270"/>
      <c r="AH104" s="270"/>
      <c r="AI104" s="270"/>
      <c r="AJ104" s="270"/>
      <c r="AK104" s="668"/>
    </row>
    <row r="105" spans="3:37">
      <c r="C105" s="155"/>
      <c r="E105" s="63" t="s">
        <v>1074</v>
      </c>
      <c r="J105" s="468"/>
      <c r="K105" s="196"/>
      <c r="L105" s="196"/>
      <c r="M105" s="196"/>
      <c r="N105" s="196"/>
      <c r="O105" s="196"/>
      <c r="P105" s="196"/>
      <c r="Q105" s="67"/>
      <c r="R105" s="67"/>
      <c r="S105" s="270"/>
      <c r="T105" s="468"/>
      <c r="U105" s="310">
        <f ca="1">'Rev&amp;RAV_FO'!U87*U103</f>
        <v>58.63883169612172</v>
      </c>
      <c r="V105" s="310">
        <f ca="1">'Rev&amp;RAV_FO'!V87*V103</f>
        <v>59.146827063346038</v>
      </c>
      <c r="W105" s="310">
        <f ca="1">'Rev&amp;RAV_FO'!W87*W103</f>
        <v>64.523459327237646</v>
      </c>
      <c r="X105" s="310">
        <f ca="1">'Rev&amp;RAV_FO'!X87*X103</f>
        <v>79.754058221757433</v>
      </c>
      <c r="Y105" s="310">
        <f ca="1">'Rev&amp;RAV_FO'!Y87*Y103</f>
        <v>60.136001406790115</v>
      </c>
      <c r="Z105" s="310">
        <f ca="1">'Rev&amp;RAV_FO'!Z87*Z103</f>
        <v>76.527369342448083</v>
      </c>
      <c r="AA105" s="310">
        <f ca="1">'Rev&amp;RAV_FO'!AA87*AA103</f>
        <v>82.066956989986011</v>
      </c>
      <c r="AB105" s="310">
        <f ca="1">'Rev&amp;RAV_FO'!AB87*AB103</f>
        <v>82.297959200448844</v>
      </c>
      <c r="AC105" s="310">
        <f ca="1">'Rev&amp;RAV_FO'!AC87*AC103</f>
        <v>58.739811653943889</v>
      </c>
      <c r="AD105" s="310">
        <f ca="1">'Rev&amp;RAV_FO'!AD87*AD103</f>
        <v>53.926198765018079</v>
      </c>
      <c r="AE105" s="310">
        <f ca="1">'Rev&amp;RAV_FO'!AE87*AE103</f>
        <v>56.759110388184169</v>
      </c>
      <c r="AF105" s="310">
        <f ca="1">'Rev&amp;RAV_FO'!AF87*AF103</f>
        <v>81.234194101546237</v>
      </c>
      <c r="AG105" s="310">
        <f ca="1">'Rev&amp;RAV_FO'!AG87*AG103</f>
        <v>87.419113555338882</v>
      </c>
      <c r="AH105" s="310">
        <f ca="1">'Rev&amp;RAV_FO'!AH87*AH103</f>
        <v>92.147160948336932</v>
      </c>
      <c r="AI105" s="310">
        <f ca="1">'Rev&amp;RAV_FO'!AI87*AI103</f>
        <v>95.40010067424609</v>
      </c>
      <c r="AJ105" s="310">
        <f ca="1">'Rev&amp;RAV_FO'!AJ87*AJ103</f>
        <v>101.87152765552459</v>
      </c>
      <c r="AK105" s="668"/>
    </row>
    <row r="106" spans="3:37">
      <c r="C106" s="155"/>
      <c r="J106" s="468"/>
      <c r="K106" s="196"/>
      <c r="L106" s="196"/>
      <c r="M106" s="196"/>
      <c r="N106" s="196"/>
      <c r="O106" s="196"/>
      <c r="P106" s="196"/>
      <c r="Q106" s="67"/>
      <c r="R106" s="67"/>
      <c r="S106" s="270"/>
      <c r="T106" s="468"/>
      <c r="U106" s="310"/>
      <c r="V106" s="310"/>
      <c r="W106" s="310"/>
      <c r="X106" s="310"/>
      <c r="Y106" s="270"/>
      <c r="Z106" s="270"/>
      <c r="AA106" s="270"/>
      <c r="AB106" s="270"/>
      <c r="AC106" s="270"/>
      <c r="AD106" s="270"/>
      <c r="AE106" s="270"/>
      <c r="AF106" s="270"/>
      <c r="AG106" s="270"/>
      <c r="AH106" s="270"/>
      <c r="AI106" s="270"/>
      <c r="AJ106" s="270"/>
      <c r="AK106" s="668"/>
    </row>
    <row r="107" spans="3:37" s="89" customFormat="1" ht="12.75" thickBot="1">
      <c r="C107" s="697"/>
      <c r="E107" s="89" t="s">
        <v>1075</v>
      </c>
      <c r="I107" s="93"/>
      <c r="J107" s="217"/>
      <c r="K107" s="196"/>
      <c r="L107" s="196"/>
      <c r="M107" s="196"/>
      <c r="N107" s="196"/>
      <c r="O107" s="196"/>
      <c r="P107" s="196"/>
      <c r="Q107" s="67"/>
      <c r="R107" s="67"/>
      <c r="S107" s="270"/>
      <c r="T107" s="468"/>
      <c r="U107" s="1373">
        <f ca="1">IF(U103&lt;=0,0,U103*$F$80)</f>
        <v>127.05080200826374</v>
      </c>
      <c r="V107" s="1374">
        <f ca="1">IF(V103&lt;=0,0,V103*$H$80)</f>
        <v>128.15145863724976</v>
      </c>
      <c r="W107" s="1373">
        <f ca="1">IF(W103&lt;=0,0,W103*$H$80)</f>
        <v>139.80082854234826</v>
      </c>
      <c r="X107" s="1373">
        <f ca="1">IF(X103&lt;=0,0,X103*$H$80)</f>
        <v>172.80045948047447</v>
      </c>
      <c r="Y107" s="1373">
        <f ca="1">IF(Y103&lt;=0,0,Y103*$H$80)</f>
        <v>130.29466971471192</v>
      </c>
      <c r="Z107" s="1373">
        <f ca="1">IF(Z103&lt;=0,0,Z103*$H$80)</f>
        <v>165.80930024197085</v>
      </c>
      <c r="AA107" s="1374">
        <f t="shared" ref="AA107:AJ107" ca="1" si="17">IF(AA103&lt;=0,0,AA103*$J$80)</f>
        <v>177.81174014496969</v>
      </c>
      <c r="AB107" s="1373">
        <f t="shared" ca="1" si="17"/>
        <v>178.31224493430585</v>
      </c>
      <c r="AC107" s="1373">
        <f t="shared" ca="1" si="17"/>
        <v>127.26959191687843</v>
      </c>
      <c r="AD107" s="1373">
        <f t="shared" ca="1" si="17"/>
        <v>116.84009732420584</v>
      </c>
      <c r="AE107" s="1375">
        <f t="shared" ca="1" si="17"/>
        <v>122.97807250773238</v>
      </c>
      <c r="AF107" s="1373">
        <f t="shared" ca="1" si="17"/>
        <v>176.00742055335022</v>
      </c>
      <c r="AG107" s="1373">
        <f t="shared" ca="1" si="17"/>
        <v>189.40807936990095</v>
      </c>
      <c r="AH107" s="1373">
        <f t="shared" ca="1" si="17"/>
        <v>199.65218205473002</v>
      </c>
      <c r="AI107" s="1373">
        <f t="shared" ca="1" si="17"/>
        <v>206.70021812753322</v>
      </c>
      <c r="AJ107" s="1373">
        <f t="shared" ca="1" si="17"/>
        <v>220.72164325363664</v>
      </c>
      <c r="AK107" s="707"/>
    </row>
    <row r="108" spans="3:37">
      <c r="C108" s="155"/>
      <c r="J108" s="468"/>
      <c r="K108" s="196"/>
      <c r="L108" s="196"/>
      <c r="M108" s="196"/>
      <c r="N108" s="196"/>
      <c r="O108" s="196"/>
      <c r="P108" s="196"/>
      <c r="Q108" s="67"/>
      <c r="R108" s="67"/>
      <c r="S108" s="270"/>
      <c r="T108" s="468"/>
      <c r="U108" s="310"/>
      <c r="V108" s="310"/>
      <c r="W108" s="310"/>
      <c r="X108" s="310"/>
      <c r="Y108" s="270"/>
      <c r="Z108" s="270"/>
      <c r="AA108" s="270"/>
      <c r="AB108" s="270"/>
      <c r="AC108" s="270"/>
      <c r="AD108" s="270"/>
      <c r="AE108" s="270"/>
      <c r="AF108" s="270"/>
      <c r="AG108" s="270"/>
      <c r="AH108" s="270"/>
      <c r="AI108" s="270"/>
      <c r="AJ108" s="270"/>
      <c r="AK108" s="668"/>
    </row>
    <row r="109" spans="3:37">
      <c r="C109" s="155"/>
      <c r="E109" s="63" t="s">
        <v>1076</v>
      </c>
      <c r="J109" s="468"/>
      <c r="K109" s="196"/>
      <c r="L109" s="196"/>
      <c r="M109" s="196"/>
      <c r="N109" s="196"/>
      <c r="O109" s="196"/>
      <c r="P109" s="196"/>
      <c r="Q109" s="67"/>
      <c r="R109" s="67"/>
      <c r="S109" s="270"/>
      <c r="T109" s="468"/>
      <c r="U109" s="310">
        <f t="shared" ref="U109:AJ109" ca="1" si="18">IF(U107&lt;=0,0,IF(U107-U174&lt;=0,0,U107-U174))</f>
        <v>0</v>
      </c>
      <c r="V109" s="310">
        <f t="shared" ca="1" si="18"/>
        <v>15.051458637249766</v>
      </c>
      <c r="W109" s="310">
        <f t="shared" ca="1" si="18"/>
        <v>27.600828542348253</v>
      </c>
      <c r="X109" s="310">
        <f t="shared" ca="1" si="18"/>
        <v>96.000459480474476</v>
      </c>
      <c r="Y109" s="270">
        <f t="shared" ca="1" si="18"/>
        <v>0</v>
      </c>
      <c r="Z109" s="270">
        <f t="shared" ca="1" si="18"/>
        <v>55.688695211970838</v>
      </c>
      <c r="AA109" s="270">
        <f t="shared" ca="1" si="18"/>
        <v>68.402962354969688</v>
      </c>
      <c r="AB109" s="270">
        <f t="shared" ca="1" si="18"/>
        <v>73.327883314305851</v>
      </c>
      <c r="AC109" s="270">
        <f t="shared" ca="1" si="18"/>
        <v>41.722677356878407</v>
      </c>
      <c r="AD109" s="270">
        <f t="shared" ca="1" si="18"/>
        <v>31.795170834205834</v>
      </c>
      <c r="AE109" s="270">
        <f t="shared" ca="1" si="18"/>
        <v>32.050462747732368</v>
      </c>
      <c r="AF109" s="270">
        <f t="shared" ca="1" si="18"/>
        <v>58.402173269778274</v>
      </c>
      <c r="AG109" s="270">
        <f t="shared" ca="1" si="18"/>
        <v>54.278624678828322</v>
      </c>
      <c r="AH109" s="270">
        <f t="shared" ca="1" si="18"/>
        <v>61.087915593894024</v>
      </c>
      <c r="AI109" s="270">
        <f t="shared" ca="1" si="18"/>
        <v>46.300570674931635</v>
      </c>
      <c r="AJ109" s="270">
        <f t="shared" ca="1" si="18"/>
        <v>37.533438940329432</v>
      </c>
      <c r="AK109" s="668"/>
    </row>
    <row r="110" spans="3:37">
      <c r="C110" s="155"/>
      <c r="J110" s="468"/>
      <c r="K110" s="196"/>
      <c r="L110" s="196"/>
      <c r="M110" s="196"/>
      <c r="N110" s="196"/>
      <c r="O110" s="196"/>
      <c r="P110" s="196"/>
      <c r="Q110" s="67"/>
      <c r="R110" s="67"/>
      <c r="S110" s="270"/>
      <c r="T110" s="468"/>
      <c r="U110" s="310"/>
      <c r="V110" s="310"/>
      <c r="W110" s="310"/>
      <c r="X110" s="310"/>
      <c r="Y110" s="270"/>
      <c r="Z110" s="270"/>
      <c r="AA110" s="270"/>
      <c r="AB110" s="270"/>
      <c r="AC110" s="270"/>
      <c r="AD110" s="270"/>
      <c r="AE110" s="270"/>
      <c r="AF110" s="270"/>
      <c r="AG110" s="270"/>
      <c r="AH110" s="270"/>
      <c r="AI110" s="270"/>
      <c r="AJ110" s="270"/>
      <c r="AK110" s="668"/>
    </row>
    <row r="111" spans="3:37">
      <c r="C111" s="155"/>
      <c r="E111" s="63" t="s">
        <v>1077</v>
      </c>
      <c r="J111" s="468"/>
      <c r="K111" s="196"/>
      <c r="L111" s="196"/>
      <c r="M111" s="196"/>
      <c r="N111" s="196"/>
      <c r="O111" s="196"/>
      <c r="P111" s="196"/>
      <c r="Q111" s="67"/>
      <c r="R111" s="270"/>
      <c r="S111" s="270"/>
      <c r="T111" s="468"/>
      <c r="U111" s="310">
        <f t="shared" ref="U111:AJ111" ca="1" si="19">U103-U105-U109</f>
        <v>136.82394062428403</v>
      </c>
      <c r="V111" s="310">
        <f t="shared" ca="1" si="19"/>
        <v>122.95780451055765</v>
      </c>
      <c r="W111" s="310">
        <f t="shared" ca="1" si="19"/>
        <v>122.95390988787294</v>
      </c>
      <c r="X111" s="310">
        <f t="shared" ca="1" si="19"/>
        <v>90.092343036959576</v>
      </c>
      <c r="Y111" s="270">
        <f t="shared" ca="1" si="19"/>
        <v>140.3173366158436</v>
      </c>
      <c r="Z111" s="270">
        <f t="shared" ca="1" si="19"/>
        <v>122.87516658707469</v>
      </c>
      <c r="AA111" s="270">
        <f t="shared" ca="1" si="19"/>
        <v>123.08660395499767</v>
      </c>
      <c r="AB111" s="270">
        <f t="shared" ca="1" si="19"/>
        <v>118.70068815340814</v>
      </c>
      <c r="AC111" s="270">
        <f t="shared" ca="1" si="19"/>
        <v>95.336883168990667</v>
      </c>
      <c r="AD111" s="270">
        <f t="shared" ca="1" si="19"/>
        <v>94.03262628416968</v>
      </c>
      <c r="AE111" s="270">
        <f t="shared" ca="1" si="19"/>
        <v>100.38746149136402</v>
      </c>
      <c r="AF111" s="270">
        <f t="shared" ca="1" si="19"/>
        <v>131.14427963382965</v>
      </c>
      <c r="AG111" s="270">
        <f t="shared" ca="1" si="19"/>
        <v>149.69930695029578</v>
      </c>
      <c r="AH111" s="270">
        <f t="shared" ca="1" si="19"/>
        <v>153.92212661889215</v>
      </c>
      <c r="AI111" s="270">
        <f t="shared" ca="1" si="19"/>
        <v>176.29966423164259</v>
      </c>
      <c r="AJ111" s="270">
        <f t="shared" ca="1" si="19"/>
        <v>200.16679225589465</v>
      </c>
      <c r="AK111" s="668"/>
    </row>
    <row r="112" spans="3:37">
      <c r="C112" s="155"/>
      <c r="J112" s="468"/>
      <c r="K112" s="270"/>
      <c r="L112" s="270"/>
      <c r="M112" s="270"/>
      <c r="N112" s="270"/>
      <c r="O112" s="270"/>
      <c r="P112" s="270"/>
      <c r="Q112" s="270"/>
      <c r="R112" s="270"/>
      <c r="S112" s="270"/>
      <c r="T112" s="270"/>
      <c r="U112" s="270"/>
      <c r="V112" s="310"/>
      <c r="W112" s="310"/>
      <c r="X112" s="310"/>
      <c r="Y112" s="310"/>
      <c r="Z112" s="310"/>
      <c r="AA112" s="310"/>
      <c r="AB112" s="310"/>
      <c r="AC112" s="310"/>
      <c r="AD112" s="310"/>
      <c r="AE112" s="310"/>
      <c r="AF112" s="310"/>
      <c r="AG112" s="310"/>
      <c r="AH112" s="310"/>
      <c r="AI112" s="310"/>
      <c r="AJ112" s="310"/>
      <c r="AK112" s="668"/>
    </row>
    <row r="113" spans="3:37" ht="12.75" thickBot="1">
      <c r="C113" s="167"/>
      <c r="D113" s="168"/>
      <c r="E113" s="168"/>
      <c r="F113" s="168"/>
      <c r="G113" s="168"/>
      <c r="H113" s="168"/>
      <c r="I113" s="181"/>
      <c r="J113" s="168"/>
      <c r="K113" s="221"/>
      <c r="L113" s="221"/>
      <c r="M113" s="221"/>
      <c r="N113" s="221"/>
      <c r="O113" s="221"/>
      <c r="P113" s="221"/>
      <c r="Q113" s="221"/>
      <c r="R113" s="221"/>
      <c r="S113" s="221"/>
      <c r="T113" s="221"/>
      <c r="U113" s="221"/>
      <c r="V113" s="708"/>
      <c r="W113" s="708"/>
      <c r="X113" s="708"/>
      <c r="Y113" s="708"/>
      <c r="Z113" s="708"/>
      <c r="AA113" s="708"/>
      <c r="AB113" s="708"/>
      <c r="AC113" s="708"/>
      <c r="AD113" s="708"/>
      <c r="AE113" s="708"/>
      <c r="AF113" s="708"/>
      <c r="AG113" s="708"/>
      <c r="AH113" s="708"/>
      <c r="AI113" s="708"/>
      <c r="AJ113" s="708"/>
      <c r="AK113" s="563"/>
    </row>
    <row r="114" spans="3:37">
      <c r="K114" s="695"/>
      <c r="L114" s="695"/>
      <c r="M114" s="695"/>
      <c r="N114" s="695"/>
      <c r="O114" s="695"/>
      <c r="P114" s="695"/>
      <c r="Q114" s="695"/>
      <c r="R114" s="695"/>
      <c r="S114" s="67"/>
      <c r="T114" s="67"/>
      <c r="U114" s="67"/>
    </row>
    <row r="115" spans="3:37" ht="12.75" thickBot="1">
      <c r="C115" s="168"/>
      <c r="D115" s="168"/>
      <c r="E115" s="168"/>
      <c r="F115" s="168"/>
      <c r="G115" s="168"/>
      <c r="H115" s="168"/>
      <c r="I115" s="181"/>
      <c r="J115" s="168"/>
      <c r="K115" s="709"/>
      <c r="L115" s="709"/>
      <c r="M115" s="709"/>
      <c r="N115" s="709"/>
      <c r="O115" s="709"/>
      <c r="P115" s="709"/>
      <c r="Q115" s="709"/>
      <c r="R115" s="709"/>
      <c r="S115" s="181"/>
      <c r="T115" s="181"/>
      <c r="U115" s="181"/>
      <c r="V115" s="168"/>
      <c r="W115" s="168"/>
      <c r="X115" s="168"/>
      <c r="Y115" s="168"/>
      <c r="Z115" s="168"/>
      <c r="AA115" s="168"/>
      <c r="AB115" s="168"/>
      <c r="AC115" s="168"/>
      <c r="AD115" s="168"/>
      <c r="AE115" s="168"/>
      <c r="AF115" s="168"/>
      <c r="AG115" s="168"/>
      <c r="AH115" s="168"/>
      <c r="AI115" s="168"/>
      <c r="AJ115" s="168"/>
      <c r="AK115" s="168"/>
    </row>
    <row r="116" spans="3:37">
      <c r="C116" s="155"/>
      <c r="K116" s="211"/>
      <c r="L116" s="211"/>
      <c r="M116" s="211"/>
      <c r="N116" s="211"/>
      <c r="O116" s="211"/>
      <c r="P116" s="211"/>
      <c r="Q116" s="211"/>
      <c r="R116" s="211"/>
      <c r="S116" s="211"/>
      <c r="T116" s="211"/>
      <c r="U116" s="211"/>
      <c r="V116" s="166"/>
      <c r="W116" s="166"/>
      <c r="X116" s="166"/>
      <c r="Y116" s="166"/>
      <c r="Z116" s="166"/>
      <c r="AA116" s="166"/>
      <c r="AB116" s="166"/>
      <c r="AC116" s="166"/>
      <c r="AD116" s="166"/>
      <c r="AE116" s="166"/>
      <c r="AF116" s="166"/>
      <c r="AG116" s="166"/>
      <c r="AH116" s="166"/>
      <c r="AI116" s="166"/>
      <c r="AJ116" s="166"/>
      <c r="AK116" s="157"/>
    </row>
    <row r="117" spans="3:37">
      <c r="C117" s="155"/>
      <c r="D117" s="674" t="s">
        <v>1078</v>
      </c>
      <c r="K117" s="211"/>
      <c r="L117" s="211"/>
      <c r="M117" s="211"/>
      <c r="N117" s="211"/>
      <c r="O117" s="211"/>
      <c r="P117" s="211"/>
      <c r="Q117" s="211"/>
      <c r="R117" s="211"/>
      <c r="S117" s="211"/>
      <c r="T117" s="211"/>
      <c r="U117" s="211"/>
      <c r="V117" s="166"/>
      <c r="W117" s="166"/>
      <c r="X117" s="166"/>
      <c r="Y117" s="166"/>
      <c r="Z117" s="166"/>
      <c r="AA117" s="166"/>
      <c r="AB117" s="166"/>
      <c r="AC117" s="166"/>
      <c r="AD117" s="166"/>
      <c r="AE117" s="166"/>
      <c r="AF117" s="166"/>
      <c r="AG117" s="166"/>
      <c r="AH117" s="166"/>
      <c r="AI117" s="166"/>
      <c r="AJ117" s="166"/>
      <c r="AK117" s="157"/>
    </row>
    <row r="118" spans="3:37">
      <c r="C118" s="155"/>
      <c r="D118" s="215" t="s">
        <v>976</v>
      </c>
      <c r="K118" s="211"/>
      <c r="L118" s="211"/>
      <c r="M118" s="211"/>
      <c r="N118" s="211"/>
      <c r="O118" s="211"/>
      <c r="P118" s="211"/>
      <c r="Q118" s="211"/>
      <c r="R118" s="211"/>
      <c r="S118" s="211"/>
      <c r="T118" s="211"/>
      <c r="U118" s="211"/>
      <c r="V118" s="166"/>
      <c r="W118" s="166"/>
      <c r="X118" s="166"/>
      <c r="Y118" s="166"/>
      <c r="Z118" s="166"/>
      <c r="AA118" s="166"/>
      <c r="AB118" s="166"/>
      <c r="AC118" s="166"/>
      <c r="AD118" s="166"/>
      <c r="AE118" s="166"/>
      <c r="AF118" s="166"/>
      <c r="AG118" s="166"/>
      <c r="AH118" s="166"/>
      <c r="AI118" s="166"/>
      <c r="AJ118" s="166"/>
      <c r="AK118" s="157"/>
    </row>
    <row r="119" spans="3:37">
      <c r="C119" s="155"/>
      <c r="D119" s="710"/>
      <c r="K119" s="211"/>
      <c r="L119" s="211"/>
      <c r="M119" s="211"/>
      <c r="N119" s="211"/>
      <c r="O119" s="211"/>
      <c r="P119" s="211"/>
      <c r="Q119" s="211"/>
      <c r="R119" s="211"/>
      <c r="S119" s="211"/>
      <c r="T119" s="211"/>
      <c r="U119" s="211"/>
      <c r="V119" s="166"/>
      <c r="W119" s="166"/>
      <c r="X119" s="166"/>
      <c r="Y119" s="166"/>
      <c r="Z119" s="166"/>
      <c r="AA119" s="166"/>
      <c r="AB119" s="166"/>
      <c r="AC119" s="166"/>
      <c r="AD119" s="166"/>
      <c r="AE119" s="166"/>
      <c r="AF119" s="166"/>
      <c r="AG119" s="166"/>
      <c r="AH119" s="166"/>
      <c r="AI119" s="166"/>
      <c r="AJ119" s="166"/>
      <c r="AK119" s="157"/>
    </row>
    <row r="120" spans="3:37">
      <c r="C120" s="155"/>
      <c r="K120" s="211"/>
      <c r="L120" s="211"/>
      <c r="M120" s="211"/>
      <c r="N120" s="211"/>
      <c r="O120" s="211"/>
      <c r="P120" s="211"/>
      <c r="Q120" s="211"/>
      <c r="R120" s="211"/>
      <c r="S120" s="211"/>
      <c r="T120" s="211"/>
      <c r="U120" s="211"/>
      <c r="V120" s="166"/>
      <c r="W120" s="166"/>
      <c r="X120" s="166"/>
      <c r="Y120" s="166"/>
      <c r="Z120" s="166"/>
      <c r="AA120" s="166"/>
      <c r="AB120" s="166"/>
      <c r="AC120" s="166"/>
      <c r="AD120" s="166"/>
      <c r="AE120" s="166"/>
      <c r="AF120" s="166"/>
      <c r="AG120" s="166"/>
      <c r="AH120" s="166"/>
      <c r="AI120" s="166"/>
      <c r="AJ120" s="166"/>
      <c r="AK120" s="157"/>
    </row>
    <row r="121" spans="3:37">
      <c r="C121" s="155"/>
      <c r="D121" s="89" t="s">
        <v>1079</v>
      </c>
      <c r="K121" s="211"/>
      <c r="L121" s="211"/>
      <c r="M121" s="211"/>
      <c r="N121" s="211"/>
      <c r="O121" s="211"/>
      <c r="P121" s="211"/>
      <c r="Q121" s="211"/>
      <c r="R121" s="211"/>
      <c r="S121" s="211"/>
      <c r="T121" s="211"/>
      <c r="U121" s="211"/>
      <c r="V121" s="166"/>
      <c r="W121" s="166"/>
      <c r="X121" s="166"/>
      <c r="Y121" s="166"/>
      <c r="Z121" s="166"/>
      <c r="AA121" s="211"/>
      <c r="AB121" s="211"/>
      <c r="AC121" s="211"/>
      <c r="AD121" s="211"/>
      <c r="AE121" s="211"/>
      <c r="AF121" s="211"/>
      <c r="AG121" s="211"/>
      <c r="AH121" s="211"/>
      <c r="AI121" s="211"/>
      <c r="AJ121" s="211"/>
      <c r="AK121" s="157"/>
    </row>
    <row r="122" spans="3:37">
      <c r="C122" s="155"/>
      <c r="E122" s="63" t="s">
        <v>833</v>
      </c>
      <c r="K122" s="211"/>
      <c r="L122" s="211"/>
      <c r="M122" s="211"/>
      <c r="N122" s="211"/>
      <c r="O122" s="211"/>
      <c r="P122" s="211"/>
      <c r="Q122" s="211"/>
      <c r="R122" s="211"/>
      <c r="S122" s="211"/>
      <c r="T122" s="211"/>
      <c r="U122" s="468">
        <f>+U83</f>
        <v>1622.6567864555841</v>
      </c>
      <c r="V122" s="468">
        <f t="shared" ref="V122:AJ122" si="20">+V83</f>
        <v>1584.3199911875399</v>
      </c>
      <c r="W122" s="468">
        <f t="shared" si="20"/>
        <v>1656.3499734175352</v>
      </c>
      <c r="X122" s="468">
        <f t="shared" si="20"/>
        <v>1782.1525346238095</v>
      </c>
      <c r="Y122" s="468">
        <f t="shared" si="20"/>
        <v>1868.0577934859641</v>
      </c>
      <c r="Z122" s="468">
        <f t="shared" si="20"/>
        <v>1910.9108943274211</v>
      </c>
      <c r="AA122" s="270">
        <f t="shared" si="20"/>
        <v>1977.1199138538614</v>
      </c>
      <c r="AB122" s="270">
        <f t="shared" si="20"/>
        <v>2112.8995904649382</v>
      </c>
      <c r="AC122" s="270">
        <f t="shared" si="20"/>
        <v>2215.6317762666331</v>
      </c>
      <c r="AD122" s="270">
        <f t="shared" si="20"/>
        <v>2322.6612515854067</v>
      </c>
      <c r="AE122" s="270">
        <f t="shared" si="20"/>
        <v>2435.0736374375851</v>
      </c>
      <c r="AF122" s="270">
        <f t="shared" si="20"/>
        <v>2622.1546458037888</v>
      </c>
      <c r="AG122" s="270">
        <f t="shared" si="20"/>
        <v>2734.8949804367053</v>
      </c>
      <c r="AH122" s="270">
        <f t="shared" si="20"/>
        <v>2854.123516024496</v>
      </c>
      <c r="AI122" s="270">
        <f t="shared" si="20"/>
        <v>2986.0622351468601</v>
      </c>
      <c r="AJ122" s="270">
        <f t="shared" si="20"/>
        <v>3119.3513719721282</v>
      </c>
      <c r="AK122" s="157"/>
    </row>
    <row r="123" spans="3:37">
      <c r="C123" s="155"/>
      <c r="E123" s="63" t="s">
        <v>837</v>
      </c>
      <c r="K123" s="211"/>
      <c r="L123" s="211"/>
      <c r="M123" s="211"/>
      <c r="N123" s="211"/>
      <c r="O123" s="211"/>
      <c r="P123" s="211"/>
      <c r="Q123" s="211"/>
      <c r="R123" s="211"/>
      <c r="S123" s="211"/>
      <c r="T123" s="211"/>
      <c r="U123" s="468">
        <f ca="1">+U90</f>
        <v>0</v>
      </c>
      <c r="V123" s="468">
        <f t="shared" ref="V123:AJ123" ca="1" si="21">+V90</f>
        <v>0</v>
      </c>
      <c r="W123" s="468">
        <f t="shared" ca="1" si="21"/>
        <v>0</v>
      </c>
      <c r="X123" s="468">
        <f t="shared" ca="1" si="21"/>
        <v>0</v>
      </c>
      <c r="Y123" s="468">
        <f t="shared" ca="1" si="21"/>
        <v>0</v>
      </c>
      <c r="Z123" s="468">
        <f t="shared" ca="1" si="21"/>
        <v>0</v>
      </c>
      <c r="AA123" s="270">
        <f t="shared" ca="1" si="21"/>
        <v>2.4343145432480671</v>
      </c>
      <c r="AB123" s="270">
        <f t="shared" ca="1" si="21"/>
        <v>2.3799912722259982</v>
      </c>
      <c r="AC123" s="270">
        <f t="shared" ca="1" si="21"/>
        <v>2.5774078624557704</v>
      </c>
      <c r="AD123" s="270">
        <f t="shared" ca="1" si="21"/>
        <v>3.048631124999829</v>
      </c>
      <c r="AE123" s="270">
        <f t="shared" ca="1" si="21"/>
        <v>3.1369384414516541</v>
      </c>
      <c r="AF123" s="270">
        <f t="shared" ca="1" si="21"/>
        <v>2.7689787001033506</v>
      </c>
      <c r="AG123" s="270">
        <f t="shared" ca="1" si="21"/>
        <v>2.5210991682616402</v>
      </c>
      <c r="AH123" s="270">
        <f t="shared" ca="1" si="21"/>
        <v>2.5942110441412276</v>
      </c>
      <c r="AI123" s="270">
        <f t="shared" ca="1" si="21"/>
        <v>2.669443164421323</v>
      </c>
      <c r="AJ123" s="270">
        <f t="shared" ca="1" si="21"/>
        <v>2.7468570161895411</v>
      </c>
      <c r="AK123" s="157"/>
    </row>
    <row r="124" spans="3:37">
      <c r="C124" s="155"/>
      <c r="E124" s="63" t="s">
        <v>1080</v>
      </c>
      <c r="K124" s="211"/>
      <c r="L124" s="211"/>
      <c r="M124" s="211"/>
      <c r="N124" s="211"/>
      <c r="O124" s="211"/>
      <c r="P124" s="211"/>
      <c r="Q124" s="211"/>
      <c r="R124" s="211"/>
      <c r="S124" s="211"/>
      <c r="T124" s="211"/>
      <c r="U124" s="468">
        <f ca="1">+U86</f>
        <v>174.77240566031998</v>
      </c>
      <c r="V124" s="468">
        <f t="shared" ref="V124:AJ124" ca="1" si="22">+V86</f>
        <v>192.78851482800005</v>
      </c>
      <c r="W124" s="468">
        <f t="shared" ca="1" si="22"/>
        <v>215.28280799999999</v>
      </c>
      <c r="X124" s="468">
        <f t="shared" ca="1" si="22"/>
        <v>216.62184160656</v>
      </c>
      <c r="Y124" s="468">
        <f t="shared" ca="1" si="22"/>
        <v>217.57187426831999</v>
      </c>
      <c r="Z124" s="468">
        <f t="shared" ca="1" si="22"/>
        <v>244.65017134288519</v>
      </c>
      <c r="AA124" s="270">
        <f t="shared" ca="1" si="22"/>
        <v>264.12802815887164</v>
      </c>
      <c r="AB124" s="270">
        <f t="shared" ca="1" si="22"/>
        <v>281.46212010537869</v>
      </c>
      <c r="AC124" s="270">
        <f t="shared" ca="1" si="22"/>
        <v>290.7921391501007</v>
      </c>
      <c r="AD124" s="270">
        <f t="shared" ca="1" si="22"/>
        <v>298.04191132752618</v>
      </c>
      <c r="AE124" s="270">
        <f t="shared" ca="1" si="22"/>
        <v>301.97739211900364</v>
      </c>
      <c r="AF124" s="270">
        <f t="shared" ca="1" si="22"/>
        <v>316.11863462517329</v>
      </c>
      <c r="AG124" s="270">
        <f t="shared" ca="1" si="22"/>
        <v>316.49205350883375</v>
      </c>
      <c r="AH124" s="270">
        <f t="shared" ca="1" si="22"/>
        <v>314.26357996107834</v>
      </c>
      <c r="AI124" s="270">
        <f t="shared" ca="1" si="22"/>
        <v>312.06353929380384</v>
      </c>
      <c r="AJ124" s="270">
        <f t="shared" ca="1" si="22"/>
        <v>309.89187360068121</v>
      </c>
      <c r="AK124" s="157"/>
    </row>
    <row r="125" spans="3:37">
      <c r="C125" s="155"/>
      <c r="E125" s="63" t="s">
        <v>1061</v>
      </c>
      <c r="K125" s="211"/>
      <c r="L125" s="211"/>
      <c r="M125" s="211"/>
      <c r="N125" s="211"/>
      <c r="O125" s="211"/>
      <c r="P125" s="211"/>
      <c r="Q125" s="211"/>
      <c r="R125" s="211"/>
      <c r="S125" s="211"/>
      <c r="T125" s="211"/>
      <c r="U125" s="468">
        <f ca="1">+U87</f>
        <v>0</v>
      </c>
      <c r="V125" s="468">
        <f t="shared" ref="V125:AJ125" ca="1" si="23">+V87</f>
        <v>0</v>
      </c>
      <c r="W125" s="468">
        <f t="shared" ca="1" si="23"/>
        <v>0</v>
      </c>
      <c r="X125" s="468">
        <f t="shared" ca="1" si="23"/>
        <v>0</v>
      </c>
      <c r="Y125" s="468">
        <f t="shared" ca="1" si="23"/>
        <v>0</v>
      </c>
      <c r="Z125" s="468">
        <f t="shared" ca="1" si="23"/>
        <v>0</v>
      </c>
      <c r="AA125" s="270">
        <f t="shared" ca="1" si="23"/>
        <v>9.5822535038209136</v>
      </c>
      <c r="AB125" s="270">
        <f t="shared" ca="1" si="23"/>
        <v>15.837355692696621</v>
      </c>
      <c r="AC125" s="270">
        <f t="shared" ca="1" si="23"/>
        <v>2.5467898309640986E-2</v>
      </c>
      <c r="AD125" s="270">
        <f t="shared" ca="1" si="23"/>
        <v>1.7044856819915816E-2</v>
      </c>
      <c r="AE125" s="270">
        <f t="shared" ca="1" si="23"/>
        <v>0</v>
      </c>
      <c r="AF125" s="270">
        <f t="shared" ca="1" si="23"/>
        <v>0</v>
      </c>
      <c r="AG125" s="270">
        <f t="shared" ca="1" si="23"/>
        <v>0</v>
      </c>
      <c r="AH125" s="270">
        <f t="shared" ca="1" si="23"/>
        <v>0</v>
      </c>
      <c r="AI125" s="270">
        <f t="shared" ca="1" si="23"/>
        <v>0</v>
      </c>
      <c r="AJ125" s="270">
        <f t="shared" ca="1" si="23"/>
        <v>0</v>
      </c>
      <c r="AK125" s="157"/>
    </row>
    <row r="126" spans="3:37">
      <c r="C126" s="155"/>
      <c r="E126" s="63" t="s">
        <v>834</v>
      </c>
      <c r="K126" s="211"/>
      <c r="L126" s="211"/>
      <c r="M126" s="211"/>
      <c r="N126" s="211"/>
      <c r="O126" s="211"/>
      <c r="P126" s="211"/>
      <c r="Q126" s="211"/>
      <c r="R126" s="211"/>
      <c r="S126" s="211"/>
      <c r="T126" s="211"/>
      <c r="U126" s="468">
        <f>-U84</f>
        <v>0</v>
      </c>
      <c r="V126" s="468">
        <f t="shared" ref="V126:AJ126" si="24">-V84</f>
        <v>0</v>
      </c>
      <c r="W126" s="468">
        <f t="shared" si="24"/>
        <v>0</v>
      </c>
      <c r="X126" s="468">
        <f t="shared" si="24"/>
        <v>0</v>
      </c>
      <c r="Y126" s="468">
        <f t="shared" si="24"/>
        <v>0</v>
      </c>
      <c r="Z126" s="468">
        <f t="shared" si="24"/>
        <v>0</v>
      </c>
      <c r="AA126" s="270">
        <f t="shared" si="24"/>
        <v>0</v>
      </c>
      <c r="AB126" s="270">
        <f t="shared" si="24"/>
        <v>0</v>
      </c>
      <c r="AC126" s="270">
        <f t="shared" si="24"/>
        <v>0</v>
      </c>
      <c r="AD126" s="270">
        <f t="shared" si="24"/>
        <v>0</v>
      </c>
      <c r="AE126" s="270">
        <f t="shared" si="24"/>
        <v>0</v>
      </c>
      <c r="AF126" s="270">
        <f t="shared" si="24"/>
        <v>0</v>
      </c>
      <c r="AG126" s="270">
        <f t="shared" si="24"/>
        <v>0</v>
      </c>
      <c r="AH126" s="270">
        <f t="shared" si="24"/>
        <v>0</v>
      </c>
      <c r="AI126" s="270">
        <f t="shared" si="24"/>
        <v>0</v>
      </c>
      <c r="AJ126" s="270">
        <f t="shared" si="24"/>
        <v>0</v>
      </c>
      <c r="AK126" s="157"/>
    </row>
    <row r="127" spans="3:37">
      <c r="C127" s="155"/>
      <c r="K127" s="211"/>
      <c r="L127" s="211"/>
      <c r="M127" s="211"/>
      <c r="N127" s="211"/>
      <c r="O127" s="211"/>
      <c r="P127" s="211"/>
      <c r="Q127" s="211"/>
      <c r="R127" s="211"/>
      <c r="S127" s="211"/>
      <c r="T127" s="211"/>
      <c r="U127" s="468"/>
      <c r="V127" s="468"/>
      <c r="W127" s="468"/>
      <c r="X127" s="468"/>
      <c r="Y127" s="468"/>
      <c r="Z127" s="468"/>
      <c r="AA127" s="270"/>
      <c r="AB127" s="270"/>
      <c r="AC127" s="270"/>
      <c r="AD127" s="270"/>
      <c r="AE127" s="270"/>
      <c r="AF127" s="270"/>
      <c r="AG127" s="270"/>
      <c r="AH127" s="270"/>
      <c r="AI127" s="270"/>
      <c r="AJ127" s="270"/>
      <c r="AK127" s="157"/>
    </row>
    <row r="128" spans="3:37">
      <c r="C128" s="155"/>
      <c r="E128" s="63" t="s">
        <v>1081</v>
      </c>
      <c r="K128" s="211"/>
      <c r="L128" s="211"/>
      <c r="M128" s="211"/>
      <c r="N128" s="211"/>
      <c r="O128" s="211"/>
      <c r="P128" s="211"/>
      <c r="Q128" s="211"/>
      <c r="R128" s="211"/>
      <c r="S128" s="211"/>
      <c r="T128" s="211"/>
      <c r="U128" s="468">
        <f ca="1">-SUM(U95:U96)</f>
        <v>-952.75942242123597</v>
      </c>
      <c r="V128" s="468">
        <f t="shared" ref="V128:AJ128" ca="1" si="25">-SUM(V95:V96)</f>
        <v>-995.08565521185415</v>
      </c>
      <c r="W128" s="468">
        <f t="shared" ca="1" si="25"/>
        <v>-1027.2066754991595</v>
      </c>
      <c r="X128" s="468">
        <f t="shared" ca="1" si="25"/>
        <v>-1081.5625683292003</v>
      </c>
      <c r="Y128" s="468">
        <f t="shared" ca="1" si="25"/>
        <v>-1137.8399630407569</v>
      </c>
      <c r="Z128" s="468">
        <f t="shared" ca="1" si="25"/>
        <v>-1134.7904057673629</v>
      </c>
      <c r="AA128" s="270">
        <f t="shared" ca="1" si="25"/>
        <v>-1148.4330777730272</v>
      </c>
      <c r="AB128" s="270">
        <f t="shared" ca="1" si="25"/>
        <v>-1174.3862548846105</v>
      </c>
      <c r="AC128" s="270">
        <f t="shared" ca="1" si="25"/>
        <v>-1215.2074935541166</v>
      </c>
      <c r="AD128" s="270">
        <f t="shared" ca="1" si="25"/>
        <v>-1231.0245253234198</v>
      </c>
      <c r="AE128" s="270">
        <f t="shared" ca="1" si="25"/>
        <v>-1243.8609719196186</v>
      </c>
      <c r="AF128" s="270">
        <f t="shared" ca="1" si="25"/>
        <v>-1253.2176890721109</v>
      </c>
      <c r="AG128" s="270">
        <f t="shared" ca="1" si="25"/>
        <v>-1258.9330477192229</v>
      </c>
      <c r="AH128" s="270">
        <f t="shared" ca="1" si="25"/>
        <v>-1249.8698915883058</v>
      </c>
      <c r="AI128" s="270">
        <f t="shared" ca="1" si="25"/>
        <v>-1252.4841852923525</v>
      </c>
      <c r="AJ128" s="270">
        <f t="shared" ca="1" si="25"/>
        <v>-1248.3508106942447</v>
      </c>
      <c r="AK128" s="157"/>
    </row>
    <row r="129" spans="3:37">
      <c r="C129" s="155"/>
      <c r="E129" s="63" t="s">
        <v>1082</v>
      </c>
      <c r="K129" s="211"/>
      <c r="L129" s="211"/>
      <c r="M129" s="211"/>
      <c r="N129" s="211"/>
      <c r="O129" s="211"/>
      <c r="P129" s="211"/>
      <c r="Q129" s="211"/>
      <c r="R129" s="211"/>
      <c r="S129" s="211"/>
      <c r="T129" s="211"/>
      <c r="U129" s="468">
        <f ca="1">-U174</f>
        <v>-130.6</v>
      </c>
      <c r="V129" s="468">
        <f t="shared" ref="V129:AJ129" ca="1" si="26">-V174</f>
        <v>-113.1</v>
      </c>
      <c r="W129" s="468">
        <f t="shared" ca="1" si="26"/>
        <v>-112.2</v>
      </c>
      <c r="X129" s="468">
        <f t="shared" ca="1" si="26"/>
        <v>-76.8</v>
      </c>
      <c r="Y129" s="468">
        <f t="shared" ca="1" si="26"/>
        <v>-131.9</v>
      </c>
      <c r="Z129" s="468">
        <f t="shared" ca="1" si="26"/>
        <v>-110.12060503000001</v>
      </c>
      <c r="AA129" s="270">
        <f t="shared" ca="1" si="26"/>
        <v>-109.40877779</v>
      </c>
      <c r="AB129" s="270">
        <f t="shared" ca="1" si="26"/>
        <v>-104.98436162</v>
      </c>
      <c r="AC129" s="270">
        <f t="shared" ca="1" si="26"/>
        <v>-85.546914560000019</v>
      </c>
      <c r="AD129" s="270">
        <f t="shared" ca="1" si="26"/>
        <v>-85.044926490000009</v>
      </c>
      <c r="AE129" s="270">
        <f t="shared" ca="1" si="26"/>
        <v>-90.92760976000001</v>
      </c>
      <c r="AF129" s="270">
        <f t="shared" ca="1" si="26"/>
        <v>-117.60524728357194</v>
      </c>
      <c r="AG129" s="270">
        <f t="shared" ca="1" si="26"/>
        <v>-135.12945469107262</v>
      </c>
      <c r="AH129" s="270">
        <f t="shared" ca="1" si="26"/>
        <v>-138.564266460836</v>
      </c>
      <c r="AI129" s="270">
        <f t="shared" ca="1" si="26"/>
        <v>-160.39964745260158</v>
      </c>
      <c r="AJ129" s="270">
        <f t="shared" ca="1" si="26"/>
        <v>-183.18820431330721</v>
      </c>
      <c r="AK129" s="157"/>
    </row>
    <row r="130" spans="3:37">
      <c r="C130" s="155"/>
      <c r="E130" s="63" t="s">
        <v>1083</v>
      </c>
      <c r="K130" s="211"/>
      <c r="L130" s="211"/>
      <c r="M130" s="211"/>
      <c r="N130" s="211"/>
      <c r="O130" s="211"/>
      <c r="P130" s="211"/>
      <c r="Q130" s="211"/>
      <c r="R130" s="211"/>
      <c r="S130" s="211"/>
      <c r="T130" s="211"/>
      <c r="U130" s="468">
        <f>+U189</f>
        <v>0.11095251604753237</v>
      </c>
      <c r="V130" s="468">
        <f t="shared" ref="V130:AJ130" ca="1" si="27">+V189</f>
        <v>4.2108187706407903E-2</v>
      </c>
      <c r="W130" s="468">
        <f t="shared" ca="1" si="27"/>
        <v>0.13179462686567164</v>
      </c>
      <c r="X130" s="468">
        <f t="shared" ca="1" si="27"/>
        <v>0.54607507147761702</v>
      </c>
      <c r="Y130" s="468">
        <f t="shared" ca="1" si="27"/>
        <v>0.49935852810929193</v>
      </c>
      <c r="Z130" s="468">
        <f t="shared" ca="1" si="27"/>
        <v>3.990635E-2</v>
      </c>
      <c r="AA130" s="270">
        <f t="shared" ca="1" si="27"/>
        <v>3.989653381463415E-2</v>
      </c>
      <c r="AB130" s="270">
        <f t="shared" ca="1" si="27"/>
        <v>3.9968397430101124E-2</v>
      </c>
      <c r="AC130" s="270">
        <f t="shared" ca="1" si="27"/>
        <v>4.0295892114861322E-2</v>
      </c>
      <c r="AD130" s="270">
        <f t="shared" ca="1" si="27"/>
        <v>3.0564896477603517E-2</v>
      </c>
      <c r="AE130" s="270">
        <f t="shared" ca="1" si="27"/>
        <v>3.1336992801612527E-2</v>
      </c>
      <c r="AF130" s="270">
        <f t="shared" ca="1" si="27"/>
        <v>3.2131479919017797E-2</v>
      </c>
      <c r="AG130" s="270">
        <f t="shared" ca="1" si="27"/>
        <v>3.2949007162827823E-2</v>
      </c>
      <c r="AH130" s="270">
        <f t="shared" ca="1" si="27"/>
        <v>3.3790242696708342E-2</v>
      </c>
      <c r="AI130" s="270">
        <f t="shared" ca="1" si="27"/>
        <v>3.4655874061071394E-2</v>
      </c>
      <c r="AJ130" s="270">
        <f t="shared" ca="1" si="27"/>
        <v>3.554660873500097E-2</v>
      </c>
      <c r="AK130" s="157"/>
    </row>
    <row r="131" spans="3:37">
      <c r="C131" s="155"/>
      <c r="E131" s="63" t="s">
        <v>1084</v>
      </c>
      <c r="K131" s="211"/>
      <c r="L131" s="211"/>
      <c r="M131" s="211"/>
      <c r="N131" s="211"/>
      <c r="O131" s="211"/>
      <c r="P131" s="211"/>
      <c r="Q131" s="211"/>
      <c r="R131" s="211"/>
      <c r="S131" s="211"/>
      <c r="T131" s="211"/>
      <c r="U131" s="468">
        <f>-U195</f>
        <v>-572.30813277596872</v>
      </c>
      <c r="V131" s="468">
        <f t="shared" ref="V131:AJ131" ca="1" si="28">-V195</f>
        <v>-544.49558833047763</v>
      </c>
      <c r="W131" s="468">
        <f t="shared" ca="1" si="28"/>
        <v>-553.91357161522171</v>
      </c>
      <c r="X131" s="468">
        <f t="shared" ca="1" si="28"/>
        <v>-571.08451779047573</v>
      </c>
      <c r="Y131" s="468">
        <f t="shared" ca="1" si="28"/>
        <v>-581.22239872068235</v>
      </c>
      <c r="Z131" s="468">
        <f t="shared" ca="1" si="28"/>
        <v>-607.43104216999996</v>
      </c>
      <c r="AA131" s="270">
        <f t="shared" ca="1" si="28"/>
        <v>-662.61550848902448</v>
      </c>
      <c r="AB131" s="270">
        <f t="shared" ca="1" si="28"/>
        <v>-720.72308742591906</v>
      </c>
      <c r="AC131" s="270">
        <f t="shared" ca="1" si="28"/>
        <v>-792.8427049698048</v>
      </c>
      <c r="AD131" s="270">
        <f t="shared" ca="1" si="28"/>
        <v>-849.3667815919905</v>
      </c>
      <c r="AE131" s="270">
        <f t="shared" ca="1" si="28"/>
        <v>-888.66298617183179</v>
      </c>
      <c r="AF131" s="270">
        <f t="shared" ca="1" si="28"/>
        <v>-933.96773615799077</v>
      </c>
      <c r="AG131" s="270">
        <f t="shared" ca="1" si="28"/>
        <v>-956.99659589295561</v>
      </c>
      <c r="AH131" s="270">
        <f t="shared" ca="1" si="28"/>
        <v>-979.67523477546672</v>
      </c>
      <c r="AI131" s="270">
        <f t="shared" ca="1" si="28"/>
        <v>-986.63344568337595</v>
      </c>
      <c r="AJ131" s="270">
        <f t="shared" ca="1" si="28"/>
        <v>-1001.8498952503928</v>
      </c>
      <c r="AK131" s="157"/>
    </row>
    <row r="132" spans="3:37" ht="14.25">
      <c r="C132" s="155"/>
      <c r="E132" s="63" t="s">
        <v>1085</v>
      </c>
      <c r="K132" s="211"/>
      <c r="L132" s="211"/>
      <c r="M132" s="211"/>
      <c r="N132" s="211"/>
      <c r="O132" s="211"/>
      <c r="P132" s="211"/>
      <c r="Q132" s="211"/>
      <c r="R132" s="211"/>
      <c r="S132" s="211"/>
      <c r="T132" s="211"/>
      <c r="U132" s="468">
        <f>+U41</f>
        <v>453.22741056525319</v>
      </c>
      <c r="V132" s="468">
        <f t="shared" ref="V132:AJ132" si="29">+V41</f>
        <v>447.53062933908552</v>
      </c>
      <c r="W132" s="468">
        <f t="shared" si="29"/>
        <v>433.8556710699803</v>
      </c>
      <c r="X132" s="468">
        <f t="shared" si="29"/>
        <v>454.52663481782895</v>
      </c>
      <c r="Y132" s="468">
        <f t="shared" si="29"/>
        <v>279.53333547904583</v>
      </c>
      <c r="Z132" s="468">
        <f t="shared" si="29"/>
        <v>365.72688175705639</v>
      </c>
      <c r="AA132" s="270">
        <f t="shared" si="29"/>
        <v>345.0560582222563</v>
      </c>
      <c r="AB132" s="270">
        <f t="shared" si="29"/>
        <v>316.42708911055661</v>
      </c>
      <c r="AC132" s="270">
        <f t="shared" si="29"/>
        <v>316.36457090261638</v>
      </c>
      <c r="AD132" s="270">
        <f t="shared" si="29"/>
        <v>325.50528467100014</v>
      </c>
      <c r="AE132" s="270">
        <f t="shared" si="29"/>
        <v>327.65990426060847</v>
      </c>
      <c r="AF132" s="270">
        <f t="shared" si="29"/>
        <v>290.53974153897792</v>
      </c>
      <c r="AG132" s="270">
        <f t="shared" si="29"/>
        <v>265.38601361775858</v>
      </c>
      <c r="AH132" s="270">
        <f t="shared" si="29"/>
        <v>236.71990740756479</v>
      </c>
      <c r="AI132" s="270">
        <f t="shared" si="29"/>
        <v>204.31472503354775</v>
      </c>
      <c r="AJ132" s="270">
        <f t="shared" si="29"/>
        <v>167.96026407408445</v>
      </c>
      <c r="AK132" s="157"/>
    </row>
    <row r="133" spans="3:37">
      <c r="C133" s="155"/>
      <c r="D133" s="89" t="s">
        <v>1086</v>
      </c>
      <c r="K133" s="211"/>
      <c r="L133" s="211"/>
      <c r="M133" s="211"/>
      <c r="N133" s="211"/>
      <c r="O133" s="211"/>
      <c r="P133" s="211"/>
      <c r="Q133" s="211"/>
      <c r="R133" s="211"/>
      <c r="S133" s="211"/>
      <c r="T133" s="211"/>
      <c r="U133" s="1376">
        <f ca="1">+SUM(U122:U132)</f>
        <v>595.1</v>
      </c>
      <c r="V133" s="619">
        <f t="shared" ref="V133:AJ133" ca="1" si="30">+SUM(V122:V132)</f>
        <v>572</v>
      </c>
      <c r="W133" s="620">
        <f t="shared" ca="1" si="30"/>
        <v>612.29999999999995</v>
      </c>
      <c r="X133" s="620">
        <f t="shared" ca="1" si="30"/>
        <v>724.4</v>
      </c>
      <c r="Y133" s="312">
        <f t="shared" ca="1" si="30"/>
        <v>514.70000000000005</v>
      </c>
      <c r="Z133" s="312">
        <f t="shared" ca="1" si="30"/>
        <v>668.98580081000011</v>
      </c>
      <c r="AA133" s="311">
        <f t="shared" ca="1" si="30"/>
        <v>677.90310076382116</v>
      </c>
      <c r="AB133" s="312">
        <f t="shared" ca="1" si="30"/>
        <v>728.95241111269695</v>
      </c>
      <c r="AC133" s="312">
        <f t="shared" ca="1" si="30"/>
        <v>731.83454488830944</v>
      </c>
      <c r="AD133" s="312">
        <f t="shared" ca="1" si="30"/>
        <v>783.86845505682015</v>
      </c>
      <c r="AE133" s="313">
        <f t="shared" ca="1" si="30"/>
        <v>844.42764140000008</v>
      </c>
      <c r="AF133" s="312">
        <f t="shared" ca="1" si="30"/>
        <v>926.82345963428838</v>
      </c>
      <c r="AG133" s="312">
        <f t="shared" ca="1" si="30"/>
        <v>968.26799743547076</v>
      </c>
      <c r="AH133" s="312">
        <f t="shared" ca="1" si="30"/>
        <v>1039.6256118553686</v>
      </c>
      <c r="AI133" s="312">
        <f t="shared" ca="1" si="30"/>
        <v>1105.6273200843643</v>
      </c>
      <c r="AJ133" s="313">
        <f t="shared" ca="1" si="30"/>
        <v>1166.5970030138735</v>
      </c>
      <c r="AK133" s="157"/>
    </row>
    <row r="134" spans="3:37">
      <c r="C134" s="155"/>
      <c r="K134" s="211"/>
      <c r="L134" s="211"/>
      <c r="M134" s="211"/>
      <c r="N134" s="211"/>
      <c r="O134" s="211"/>
      <c r="P134" s="211"/>
      <c r="Q134" s="211"/>
      <c r="R134" s="211"/>
      <c r="S134" s="211"/>
      <c r="T134" s="211"/>
      <c r="U134" s="468"/>
      <c r="V134" s="468"/>
      <c r="W134" s="468"/>
      <c r="X134" s="468"/>
      <c r="Y134" s="468"/>
      <c r="Z134" s="468"/>
      <c r="AA134" s="270"/>
      <c r="AB134" s="270"/>
      <c r="AC134" s="270"/>
      <c r="AD134" s="270"/>
      <c r="AE134" s="270"/>
      <c r="AF134" s="270"/>
      <c r="AG134" s="270"/>
      <c r="AH134" s="270"/>
      <c r="AI134" s="270"/>
      <c r="AJ134" s="270"/>
      <c r="AK134" s="157"/>
    </row>
    <row r="135" spans="3:37">
      <c r="C135" s="155"/>
      <c r="D135" s="89" t="s">
        <v>1087</v>
      </c>
      <c r="K135" s="211"/>
      <c r="L135" s="211"/>
      <c r="M135" s="211"/>
      <c r="N135" s="211"/>
      <c r="O135" s="211"/>
      <c r="P135" s="211"/>
      <c r="Q135" s="211"/>
      <c r="R135" s="211"/>
      <c r="S135" s="211"/>
      <c r="T135" s="211"/>
      <c r="U135" s="468"/>
      <c r="V135" s="468"/>
      <c r="W135" s="468"/>
      <c r="X135" s="468"/>
      <c r="Y135" s="468"/>
      <c r="Z135" s="468"/>
      <c r="AA135" s="270"/>
      <c r="AB135" s="270"/>
      <c r="AC135" s="270"/>
      <c r="AD135" s="270"/>
      <c r="AE135" s="270"/>
      <c r="AF135" s="270"/>
      <c r="AG135" s="270"/>
      <c r="AH135" s="270"/>
      <c r="AI135" s="270"/>
      <c r="AJ135" s="270"/>
      <c r="AK135" s="157"/>
    </row>
    <row r="136" spans="3:37">
      <c r="C136" s="155"/>
      <c r="E136" s="63" t="s">
        <v>1088</v>
      </c>
      <c r="K136" s="211"/>
      <c r="L136" s="211"/>
      <c r="M136" s="211"/>
      <c r="N136" s="211"/>
      <c r="O136" s="211"/>
      <c r="P136" s="211"/>
      <c r="Q136" s="211"/>
      <c r="R136" s="211"/>
      <c r="S136" s="211"/>
      <c r="T136" s="211"/>
      <c r="U136" s="270">
        <f ca="1">-('Rev&amp;RAV_FO'!U72+NotPres_FO!U16)*'Rev&amp;RAV_FO'!U85</f>
        <v>-660.50494755876389</v>
      </c>
      <c r="V136" s="270">
        <f ca="1">-('Rev&amp;RAV_FO'!V72+NotPres_FO!V16)*'Rev&amp;RAV_FO'!V85</f>
        <v>-630.02495064814559</v>
      </c>
      <c r="W136" s="270">
        <f ca="1">-('Rev&amp;RAV_FO'!W72+NotPres_FO!W16)*'Rev&amp;RAV_FO'!W85</f>
        <v>-777.85939402084148</v>
      </c>
      <c r="X136" s="270">
        <f ca="1">-('Rev&amp;RAV_FO'!X72+NotPres_FO!X16)*'Rev&amp;RAV_FO'!X85</f>
        <v>-921.68838203156724</v>
      </c>
      <c r="Y136" s="270">
        <f ca="1">-('Rev&amp;RAV_FO'!Y72+NotPres_FO!Y16)*'Rev&amp;RAV_FO'!Y85</f>
        <v>-1039.8779109392428</v>
      </c>
      <c r="Z136" s="296">
        <f ca="1">-('Rev&amp;RAV_FO'!Z72+NotPres_FO!Z16)*'Rev&amp;RAV_FO'!Z85</f>
        <v>-691.88538153620141</v>
      </c>
      <c r="AA136" s="270">
        <f ca="1">-('Rev&amp;RAV_FO'!AA72+NotPres_FO!AA16)*'Rev&amp;RAV_FO'!AA85</f>
        <v>-1505.9771083332255</v>
      </c>
      <c r="AB136" s="270">
        <f ca="1">-('Rev&amp;RAV_FO'!AB72+NotPres_FO!AB16)*'Rev&amp;RAV_FO'!AB85</f>
        <v>-1672.130342857756</v>
      </c>
      <c r="AC136" s="270">
        <f ca="1">-('Rev&amp;RAV_FO'!AC72+NotPres_FO!AC16)*'Rev&amp;RAV_FO'!AC85</f>
        <v>-1751.3561236695327</v>
      </c>
      <c r="AD136" s="270">
        <f ca="1">-('Rev&amp;RAV_FO'!AD72+NotPres_FO!AD16)*'Rev&amp;RAV_FO'!AD85</f>
        <v>-1850.5021216749988</v>
      </c>
      <c r="AE136" s="270">
        <f ca="1">-('Rev&amp;RAV_FO'!AE72+NotPres_FO!AE16)*'Rev&amp;RAV_FO'!AE85</f>
        <v>-1845.9523431346254</v>
      </c>
      <c r="AF136" s="270">
        <f ca="1">-('Rev&amp;RAV_FO'!AF72+NotPres_FO!AF16)*'Rev&amp;RAV_FO'!AF85</f>
        <v>-2163.4334714980587</v>
      </c>
      <c r="AG136" s="270">
        <f ca="1">-('Rev&amp;RAV_FO'!AG72+NotPres_FO!AG16)*'Rev&amp;RAV_FO'!AG85</f>
        <v>-2314.3126391492033</v>
      </c>
      <c r="AH136" s="270">
        <f ca="1">-('Rev&amp;RAV_FO'!AH72+NotPres_FO!AH16)*'Rev&amp;RAV_FO'!AH85</f>
        <v>-2174.3130221004649</v>
      </c>
      <c r="AI136" s="270">
        <f ca="1">-('Rev&amp;RAV_FO'!AI72+NotPres_FO!AI16)*'Rev&amp;RAV_FO'!AI85</f>
        <v>-2549.9374773342329</v>
      </c>
      <c r="AJ136" s="270">
        <f ca="1">-('Rev&amp;RAV_FO'!AJ72+NotPres_FO!AJ16)*'Rev&amp;RAV_FO'!AJ85</f>
        <v>-2788.2507424889409</v>
      </c>
      <c r="AK136" s="157"/>
    </row>
    <row r="137" spans="3:37">
      <c r="C137" s="155"/>
      <c r="E137" s="63" t="s">
        <v>1089</v>
      </c>
      <c r="K137" s="211"/>
      <c r="L137" s="211"/>
      <c r="M137" s="211"/>
      <c r="N137" s="211"/>
      <c r="O137" s="211"/>
      <c r="P137" s="211"/>
      <c r="Q137" s="211"/>
      <c r="R137" s="211"/>
      <c r="S137" s="211"/>
      <c r="T137" s="211"/>
      <c r="U137" s="270">
        <f ca="1">+U89</f>
        <v>22.781171805611571</v>
      </c>
      <c r="V137" s="270">
        <f t="shared" ref="V137:AJ137" ca="1" si="31">+V89</f>
        <v>22.918829649999999</v>
      </c>
      <c r="W137" s="270">
        <f t="shared" ca="1" si="31"/>
        <v>29.266035569999996</v>
      </c>
      <c r="X137" s="270">
        <f t="shared" ca="1" si="31"/>
        <v>27.969004470000002</v>
      </c>
      <c r="Y137" s="468">
        <f t="shared" ca="1" si="31"/>
        <v>29.574602049999999</v>
      </c>
      <c r="Z137" s="468">
        <f t="shared" ca="1" si="31"/>
        <v>15.438677468891402</v>
      </c>
      <c r="AA137" s="270">
        <f t="shared" ca="1" si="31"/>
        <v>13.466672988659985</v>
      </c>
      <c r="AB137" s="270">
        <f t="shared" ca="1" si="31"/>
        <v>6.5800700927481381</v>
      </c>
      <c r="AC137" s="270">
        <f t="shared" ca="1" si="31"/>
        <v>6.120461374679488</v>
      </c>
      <c r="AD137" s="270">
        <f t="shared" ca="1" si="31"/>
        <v>6.2979547545451933</v>
      </c>
      <c r="AE137" s="270">
        <f t="shared" ca="1" si="31"/>
        <v>4.8085956400418626</v>
      </c>
      <c r="AF137" s="270">
        <f t="shared" ca="1" si="31"/>
        <v>4.9480449136030771</v>
      </c>
      <c r="AG137" s="270">
        <f t="shared" ca="1" si="31"/>
        <v>5.0915382160975655</v>
      </c>
      <c r="AH137" s="270">
        <f t="shared" ca="1" si="31"/>
        <v>5.2391928243643946</v>
      </c>
      <c r="AI137" s="270">
        <f t="shared" ca="1" si="31"/>
        <v>5.3911294162709611</v>
      </c>
      <c r="AJ137" s="270">
        <f t="shared" ca="1" si="31"/>
        <v>5.5474721693428188</v>
      </c>
      <c r="AK137" s="157"/>
    </row>
    <row r="138" spans="3:37" ht="14.25">
      <c r="C138" s="155"/>
      <c r="E138" s="63" t="s">
        <v>1090</v>
      </c>
      <c r="K138" s="211"/>
      <c r="L138" s="211"/>
      <c r="M138" s="211"/>
      <c r="N138" s="211"/>
      <c r="O138" s="211"/>
      <c r="P138" s="211"/>
      <c r="Q138" s="211"/>
      <c r="R138" s="211"/>
      <c r="S138" s="211"/>
      <c r="T138" s="211"/>
      <c r="U138" s="468">
        <f>+U51</f>
        <v>44.223775753152267</v>
      </c>
      <c r="V138" s="468">
        <f t="shared" ref="V138:AJ138" si="32">+V51</f>
        <v>37.806120998145616</v>
      </c>
      <c r="W138" s="468">
        <f t="shared" si="32"/>
        <v>68.293358450841538</v>
      </c>
      <c r="X138" s="468">
        <f t="shared" si="32"/>
        <v>60.019377561567239</v>
      </c>
      <c r="Y138" s="468">
        <f t="shared" si="32"/>
        <v>117.30330888924289</v>
      </c>
      <c r="Z138" s="468">
        <f t="shared" si="32"/>
        <v>-490.04905720269005</v>
      </c>
      <c r="AA138" s="270">
        <f t="shared" si="32"/>
        <v>131.09750491456543</v>
      </c>
      <c r="AB138" s="270">
        <f t="shared" si="32"/>
        <v>173.55039208500762</v>
      </c>
      <c r="AC138" s="270">
        <f t="shared" si="32"/>
        <v>204.7803756748533</v>
      </c>
      <c r="AD138" s="270">
        <f t="shared" si="32"/>
        <v>229.98450027045351</v>
      </c>
      <c r="AE138" s="270">
        <f t="shared" si="32"/>
        <v>224.66197711458335</v>
      </c>
      <c r="AF138" s="270">
        <f t="shared" si="32"/>
        <v>208.8706371828051</v>
      </c>
      <c r="AG138" s="270">
        <f t="shared" si="32"/>
        <v>238.80799558743371</v>
      </c>
      <c r="AH138" s="270">
        <f t="shared" si="32"/>
        <v>270.52711140927318</v>
      </c>
      <c r="AI138" s="270">
        <f t="shared" si="32"/>
        <v>303.85854472891185</v>
      </c>
      <c r="AJ138" s="270">
        <f t="shared" si="32"/>
        <v>340.07018913784003</v>
      </c>
      <c r="AK138" s="157"/>
    </row>
    <row r="139" spans="3:37">
      <c r="C139" s="155"/>
      <c r="D139" s="89" t="s">
        <v>1091</v>
      </c>
      <c r="K139" s="211"/>
      <c r="L139" s="211"/>
      <c r="M139" s="211"/>
      <c r="N139" s="211"/>
      <c r="O139" s="211"/>
      <c r="P139" s="211"/>
      <c r="Q139" s="211"/>
      <c r="R139" s="211"/>
      <c r="S139" s="211"/>
      <c r="T139" s="211"/>
      <c r="U139" s="1376">
        <f ca="1">+SUM(U136:U138)</f>
        <v>-593.5</v>
      </c>
      <c r="V139" s="619">
        <f t="shared" ref="V139:AJ139" ca="1" si="33">+SUM(V136:V138)</f>
        <v>-569.29999999999995</v>
      </c>
      <c r="W139" s="620">
        <f t="shared" ca="1" si="33"/>
        <v>-680.3</v>
      </c>
      <c r="X139" s="620">
        <f t="shared" ca="1" si="33"/>
        <v>-833.7</v>
      </c>
      <c r="Y139" s="312">
        <f t="shared" ca="1" si="33"/>
        <v>-893</v>
      </c>
      <c r="Z139" s="312">
        <f t="shared" ca="1" si="33"/>
        <v>-1166.49576127</v>
      </c>
      <c r="AA139" s="311">
        <f t="shared" ca="1" si="33"/>
        <v>-1361.41293043</v>
      </c>
      <c r="AB139" s="312">
        <f t="shared" ca="1" si="33"/>
        <v>-1491.9998806800002</v>
      </c>
      <c r="AC139" s="312">
        <f t="shared" ca="1" si="33"/>
        <v>-1540.4552866199999</v>
      </c>
      <c r="AD139" s="312">
        <f t="shared" ca="1" si="33"/>
        <v>-1614.2196666500001</v>
      </c>
      <c r="AE139" s="313">
        <f t="shared" ca="1" si="33"/>
        <v>-1616.4817703800002</v>
      </c>
      <c r="AF139" s="312">
        <f t="shared" ca="1" si="33"/>
        <v>-1949.6147894016506</v>
      </c>
      <c r="AG139" s="312">
        <f t="shared" ca="1" si="33"/>
        <v>-2070.4131053456722</v>
      </c>
      <c r="AH139" s="312">
        <f t="shared" ca="1" si="33"/>
        <v>-1898.5467178668275</v>
      </c>
      <c r="AI139" s="312">
        <f t="shared" ca="1" si="33"/>
        <v>-2240.6878031890501</v>
      </c>
      <c r="AJ139" s="313">
        <f t="shared" ca="1" si="33"/>
        <v>-2442.6330811817584</v>
      </c>
      <c r="AK139" s="157"/>
    </row>
    <row r="140" spans="3:37">
      <c r="C140" s="155"/>
      <c r="K140" s="211"/>
      <c r="L140" s="211"/>
      <c r="M140" s="211"/>
      <c r="N140" s="211"/>
      <c r="O140" s="211"/>
      <c r="P140" s="211"/>
      <c r="Q140" s="211"/>
      <c r="R140" s="211"/>
      <c r="S140" s="211"/>
      <c r="T140" s="211"/>
      <c r="U140" s="468"/>
      <c r="V140" s="468"/>
      <c r="W140" s="468"/>
      <c r="X140" s="468"/>
      <c r="Y140" s="468"/>
      <c r="Z140" s="468"/>
      <c r="AA140" s="270"/>
      <c r="AB140" s="270"/>
      <c r="AC140" s="270"/>
      <c r="AD140" s="270"/>
      <c r="AE140" s="270"/>
      <c r="AF140" s="270"/>
      <c r="AG140" s="270"/>
      <c r="AH140" s="270"/>
      <c r="AI140" s="270"/>
      <c r="AJ140" s="270"/>
      <c r="AK140" s="157"/>
    </row>
    <row r="141" spans="3:37">
      <c r="C141" s="155"/>
      <c r="D141" s="63" t="s">
        <v>1092</v>
      </c>
      <c r="K141" s="211"/>
      <c r="L141" s="211"/>
      <c r="M141" s="211"/>
      <c r="N141" s="211"/>
      <c r="O141" s="211"/>
      <c r="P141" s="211"/>
      <c r="Q141" s="211"/>
      <c r="R141" s="211"/>
      <c r="S141" s="211"/>
      <c r="T141" s="211"/>
      <c r="U141" s="468">
        <f ca="1">-U109</f>
        <v>0</v>
      </c>
      <c r="V141" s="468">
        <f t="shared" ref="V141:AJ141" ca="1" si="34">-V109</f>
        <v>-15.051458637249766</v>
      </c>
      <c r="W141" s="468">
        <f t="shared" ca="1" si="34"/>
        <v>-27.600828542348253</v>
      </c>
      <c r="X141" s="468">
        <f t="shared" ca="1" si="34"/>
        <v>-96.000459480474476</v>
      </c>
      <c r="Y141" s="468">
        <f t="shared" ca="1" si="34"/>
        <v>0</v>
      </c>
      <c r="Z141" s="468">
        <f t="shared" ca="1" si="34"/>
        <v>-55.688695211970838</v>
      </c>
      <c r="AA141" s="270">
        <f t="shared" ca="1" si="34"/>
        <v>-68.402962354969688</v>
      </c>
      <c r="AB141" s="270">
        <f t="shared" ca="1" si="34"/>
        <v>-73.327883314305851</v>
      </c>
      <c r="AC141" s="270">
        <f t="shared" ca="1" si="34"/>
        <v>-41.722677356878407</v>
      </c>
      <c r="AD141" s="270">
        <f t="shared" ca="1" si="34"/>
        <v>-31.795170834205834</v>
      </c>
      <c r="AE141" s="270">
        <f t="shared" ca="1" si="34"/>
        <v>-32.050462747732368</v>
      </c>
      <c r="AF141" s="270">
        <f t="shared" ca="1" si="34"/>
        <v>-58.402173269778274</v>
      </c>
      <c r="AG141" s="270">
        <f t="shared" ca="1" si="34"/>
        <v>-54.278624678828322</v>
      </c>
      <c r="AH141" s="270">
        <f t="shared" ca="1" si="34"/>
        <v>-61.087915593894024</v>
      </c>
      <c r="AI141" s="270">
        <f t="shared" ca="1" si="34"/>
        <v>-46.300570674931635</v>
      </c>
      <c r="AJ141" s="270">
        <f t="shared" ca="1" si="34"/>
        <v>-37.533438940329432</v>
      </c>
      <c r="AK141" s="157"/>
    </row>
    <row r="142" spans="3:37">
      <c r="C142" s="155"/>
      <c r="K142" s="211"/>
      <c r="L142" s="211"/>
      <c r="M142" s="211"/>
      <c r="N142" s="211"/>
      <c r="O142" s="211"/>
      <c r="P142" s="211"/>
      <c r="Q142" s="211"/>
      <c r="R142" s="211"/>
      <c r="S142" s="211"/>
      <c r="T142" s="211"/>
      <c r="U142" s="468"/>
      <c r="V142" s="468"/>
      <c r="W142" s="468"/>
      <c r="X142" s="468"/>
      <c r="Y142" s="468"/>
      <c r="Z142" s="468"/>
      <c r="AA142" s="270"/>
      <c r="AB142" s="270"/>
      <c r="AC142" s="270"/>
      <c r="AD142" s="270"/>
      <c r="AE142" s="270"/>
      <c r="AF142" s="270"/>
      <c r="AG142" s="270"/>
      <c r="AH142" s="270"/>
      <c r="AI142" s="270"/>
      <c r="AJ142" s="270"/>
      <c r="AK142" s="157"/>
    </row>
    <row r="143" spans="3:37" ht="12.75" thickBot="1">
      <c r="C143" s="155"/>
      <c r="D143" s="89" t="s">
        <v>1093</v>
      </c>
      <c r="E143" s="89"/>
      <c r="F143" s="89"/>
      <c r="G143" s="89"/>
      <c r="H143" s="89"/>
      <c r="I143" s="93"/>
      <c r="J143" s="89"/>
      <c r="K143" s="211"/>
      <c r="L143" s="211"/>
      <c r="M143" s="211"/>
      <c r="N143" s="211"/>
      <c r="O143" s="211"/>
      <c r="P143" s="211"/>
      <c r="Q143" s="211"/>
      <c r="R143" s="211"/>
      <c r="S143" s="211"/>
      <c r="T143" s="211"/>
      <c r="U143" s="1375">
        <f ca="1">U133+U139+U141</f>
        <v>1.6000000000000227</v>
      </c>
      <c r="V143" s="1374">
        <f t="shared" ref="V143:AJ143" ca="1" si="35">V133+V139+V141</f>
        <v>-12.351458637249721</v>
      </c>
      <c r="W143" s="1373">
        <f t="shared" ca="1" si="35"/>
        <v>-95.600828542348253</v>
      </c>
      <c r="X143" s="1373">
        <f t="shared" ca="1" si="35"/>
        <v>-205.30045948047456</v>
      </c>
      <c r="Y143" s="1373">
        <f t="shared" ca="1" si="35"/>
        <v>-378.29999999999995</v>
      </c>
      <c r="Z143" s="1373">
        <f t="shared" ca="1" si="35"/>
        <v>-553.19865567197076</v>
      </c>
      <c r="AA143" s="1374">
        <f t="shared" ca="1" si="35"/>
        <v>-751.91279202114845</v>
      </c>
      <c r="AB143" s="1373">
        <f t="shared" ca="1" si="35"/>
        <v>-836.37535288160905</v>
      </c>
      <c r="AC143" s="1373">
        <f t="shared" ca="1" si="35"/>
        <v>-850.34341908856891</v>
      </c>
      <c r="AD143" s="1373">
        <f t="shared" ca="1" si="35"/>
        <v>-862.14638242738579</v>
      </c>
      <c r="AE143" s="1375">
        <f t="shared" ca="1" si="35"/>
        <v>-804.10459172773244</v>
      </c>
      <c r="AF143" s="1373">
        <f t="shared" ca="1" si="35"/>
        <v>-1081.1935030371405</v>
      </c>
      <c r="AG143" s="1373">
        <f t="shared" ca="1" si="35"/>
        <v>-1156.4237325890297</v>
      </c>
      <c r="AH143" s="1373">
        <f t="shared" ca="1" si="35"/>
        <v>-920.00902160535293</v>
      </c>
      <c r="AI143" s="1373">
        <f t="shared" ca="1" si="35"/>
        <v>-1181.3610537796174</v>
      </c>
      <c r="AJ143" s="1373">
        <f t="shared" ca="1" si="35"/>
        <v>-1313.5695171082143</v>
      </c>
      <c r="AK143" s="157"/>
    </row>
    <row r="144" spans="3:37">
      <c r="C144" s="155"/>
      <c r="K144" s="211"/>
      <c r="L144" s="211"/>
      <c r="M144" s="211"/>
      <c r="N144" s="211"/>
      <c r="O144" s="211"/>
      <c r="P144" s="211"/>
      <c r="Q144" s="211"/>
      <c r="R144" s="211"/>
      <c r="S144" s="211"/>
      <c r="T144" s="166"/>
      <c r="U144" s="166"/>
      <c r="V144" s="166"/>
      <c r="W144" s="166"/>
      <c r="X144" s="166"/>
      <c r="Y144" s="166"/>
      <c r="Z144" s="166"/>
      <c r="AA144" s="211"/>
      <c r="AB144" s="211"/>
      <c r="AC144" s="211"/>
      <c r="AD144" s="211"/>
      <c r="AE144" s="211"/>
      <c r="AF144" s="211"/>
      <c r="AG144" s="211"/>
      <c r="AH144" s="211"/>
      <c r="AI144" s="211"/>
      <c r="AJ144" s="211"/>
      <c r="AK144" s="157"/>
    </row>
    <row r="145" spans="3:37" ht="12.75" thickBot="1">
      <c r="C145" s="167"/>
      <c r="D145" s="168"/>
      <c r="E145" s="168"/>
      <c r="F145" s="168"/>
      <c r="G145" s="168"/>
      <c r="H145" s="168"/>
      <c r="I145" s="181"/>
      <c r="J145" s="168"/>
      <c r="K145" s="181"/>
      <c r="L145" s="181"/>
      <c r="M145" s="181"/>
      <c r="N145" s="181"/>
      <c r="O145" s="181"/>
      <c r="P145" s="181"/>
      <c r="Q145" s="181"/>
      <c r="R145" s="181"/>
      <c r="S145" s="181"/>
      <c r="T145" s="168"/>
      <c r="U145" s="168"/>
      <c r="V145" s="168"/>
      <c r="W145" s="168"/>
      <c r="X145" s="168"/>
      <c r="Y145" s="168"/>
      <c r="Z145" s="168"/>
      <c r="AA145" s="168"/>
      <c r="AB145" s="168"/>
      <c r="AC145" s="168"/>
      <c r="AD145" s="168"/>
      <c r="AE145" s="168"/>
      <c r="AF145" s="168"/>
      <c r="AG145" s="168"/>
      <c r="AH145" s="168"/>
      <c r="AI145" s="168"/>
      <c r="AJ145" s="168"/>
      <c r="AK145" s="170"/>
    </row>
    <row r="146" spans="3:37">
      <c r="K146" s="695"/>
      <c r="L146" s="695"/>
      <c r="M146" s="695"/>
      <c r="N146" s="695"/>
      <c r="O146" s="695"/>
      <c r="P146" s="695"/>
      <c r="Q146" s="695"/>
      <c r="R146" s="695"/>
      <c r="S146" s="67"/>
    </row>
    <row r="147" spans="3:37" ht="12.75" thickBot="1">
      <c r="C147" s="168"/>
      <c r="D147" s="168"/>
      <c r="E147" s="168"/>
      <c r="F147" s="168"/>
      <c r="G147" s="168"/>
      <c r="H147" s="168"/>
      <c r="I147" s="181"/>
      <c r="J147" s="168"/>
      <c r="K147" s="709"/>
      <c r="L147" s="709"/>
      <c r="M147" s="709"/>
      <c r="N147" s="709"/>
      <c r="O147" s="709"/>
      <c r="P147" s="709"/>
      <c r="Q147" s="709"/>
      <c r="R147" s="709"/>
      <c r="S147" s="181"/>
      <c r="T147" s="168"/>
      <c r="U147" s="168"/>
      <c r="V147" s="168"/>
      <c r="W147" s="168"/>
      <c r="X147" s="168"/>
      <c r="Y147" s="168"/>
      <c r="Z147" s="168"/>
      <c r="AA147" s="168"/>
      <c r="AB147" s="168"/>
      <c r="AC147" s="168"/>
      <c r="AD147" s="168"/>
      <c r="AE147" s="168"/>
      <c r="AF147" s="168"/>
      <c r="AG147" s="168"/>
      <c r="AH147" s="168"/>
      <c r="AI147" s="168"/>
      <c r="AJ147" s="168"/>
      <c r="AK147" s="168"/>
    </row>
    <row r="148" spans="3:37">
      <c r="C148" s="155"/>
      <c r="K148" s="211"/>
      <c r="L148" s="211"/>
      <c r="M148" s="211"/>
      <c r="N148" s="211"/>
      <c r="O148" s="211"/>
      <c r="P148" s="211"/>
      <c r="Q148" s="211"/>
      <c r="R148" s="211"/>
      <c r="S148" s="211"/>
      <c r="T148" s="166"/>
      <c r="U148" s="166"/>
      <c r="V148" s="166"/>
      <c r="W148" s="166"/>
      <c r="X148" s="166"/>
      <c r="Y148" s="166"/>
      <c r="Z148" s="166"/>
      <c r="AA148" s="166"/>
      <c r="AB148" s="166"/>
      <c r="AC148" s="166"/>
      <c r="AD148" s="166"/>
      <c r="AE148" s="166"/>
      <c r="AF148" s="166"/>
      <c r="AG148" s="166"/>
      <c r="AH148" s="166"/>
      <c r="AI148" s="166"/>
      <c r="AJ148" s="166"/>
      <c r="AK148" s="157"/>
    </row>
    <row r="149" spans="3:37">
      <c r="C149" s="155"/>
      <c r="D149" s="674" t="s">
        <v>1094</v>
      </c>
      <c r="K149" s="211"/>
      <c r="L149" s="211"/>
      <c r="M149" s="211"/>
      <c r="N149" s="211"/>
      <c r="O149" s="211"/>
      <c r="P149" s="211"/>
      <c r="Q149" s="211"/>
      <c r="R149" s="211"/>
      <c r="S149" s="211"/>
      <c r="T149" s="166"/>
      <c r="U149" s="166"/>
      <c r="V149" s="166"/>
      <c r="W149" s="166"/>
      <c r="X149" s="166"/>
      <c r="Y149" s="166"/>
      <c r="Z149" s="166"/>
      <c r="AA149" s="166"/>
      <c r="AB149" s="166"/>
      <c r="AC149" s="166"/>
      <c r="AD149" s="166"/>
      <c r="AE149" s="166"/>
      <c r="AF149" s="166"/>
      <c r="AG149" s="166"/>
      <c r="AH149" s="166"/>
      <c r="AI149" s="166"/>
      <c r="AJ149" s="166"/>
      <c r="AK149" s="157"/>
    </row>
    <row r="150" spans="3:37">
      <c r="C150" s="155"/>
      <c r="D150" s="710"/>
      <c r="K150" s="211"/>
      <c r="L150" s="211"/>
      <c r="M150" s="211"/>
      <c r="N150" s="211"/>
      <c r="O150" s="211"/>
      <c r="P150" s="211"/>
      <c r="Q150" s="211"/>
      <c r="R150" s="211"/>
      <c r="S150" s="211"/>
      <c r="T150" s="596"/>
      <c r="U150" s="596"/>
      <c r="V150" s="596"/>
      <c r="W150" s="596"/>
      <c r="X150" s="596"/>
      <c r="Y150" s="596"/>
      <c r="Z150" s="596"/>
      <c r="AA150" s="596"/>
      <c r="AB150" s="596"/>
      <c r="AC150" s="596"/>
      <c r="AD150" s="596"/>
      <c r="AE150" s="596"/>
      <c r="AF150" s="596"/>
      <c r="AG150" s="596"/>
      <c r="AH150" s="596"/>
      <c r="AI150" s="596"/>
      <c r="AJ150" s="596"/>
      <c r="AK150" s="668"/>
    </row>
    <row r="151" spans="3:37">
      <c r="C151" s="155"/>
      <c r="D151" s="710"/>
      <c r="K151" s="67"/>
      <c r="L151" s="67"/>
      <c r="M151" s="211"/>
      <c r="N151" s="211"/>
      <c r="O151" s="211"/>
      <c r="P151" s="211"/>
      <c r="Q151" s="211"/>
      <c r="R151" s="211"/>
      <c r="S151" s="211"/>
      <c r="T151" s="596"/>
      <c r="U151" s="596"/>
      <c r="V151" s="596"/>
      <c r="W151" s="596"/>
      <c r="X151" s="596"/>
      <c r="Y151" s="596"/>
      <c r="Z151" s="596"/>
      <c r="AA151" s="596"/>
      <c r="AB151" s="596"/>
      <c r="AC151" s="596"/>
      <c r="AD151" s="596"/>
      <c r="AE151" s="596"/>
      <c r="AF151" s="596"/>
      <c r="AG151" s="596"/>
      <c r="AH151" s="596"/>
      <c r="AI151" s="596"/>
      <c r="AJ151" s="596"/>
      <c r="AK151" s="668"/>
    </row>
    <row r="152" spans="3:37">
      <c r="C152" s="155"/>
      <c r="D152" s="57" t="s">
        <v>1095</v>
      </c>
      <c r="K152" s="67"/>
      <c r="L152" s="67"/>
      <c r="M152" s="211"/>
      <c r="N152" s="211"/>
      <c r="O152" s="211"/>
      <c r="P152" s="211"/>
      <c r="Q152" s="211"/>
      <c r="R152" s="211"/>
      <c r="S152" s="211"/>
      <c r="T152" s="596"/>
      <c r="U152" s="596"/>
      <c r="V152" s="596"/>
      <c r="W152" s="596"/>
      <c r="X152" s="596"/>
      <c r="Y152" s="596"/>
      <c r="Z152" s="596"/>
      <c r="AA152" s="596"/>
      <c r="AB152" s="596"/>
      <c r="AC152" s="596"/>
      <c r="AD152" s="596"/>
      <c r="AE152" s="596"/>
      <c r="AF152" s="596"/>
      <c r="AG152" s="596"/>
      <c r="AH152" s="596"/>
      <c r="AI152" s="596"/>
      <c r="AJ152" s="596"/>
      <c r="AK152" s="668"/>
    </row>
    <row r="153" spans="3:37">
      <c r="C153" s="155"/>
      <c r="K153" s="67"/>
      <c r="L153" s="67"/>
      <c r="M153" s="211"/>
      <c r="N153" s="211"/>
      <c r="O153" s="211"/>
      <c r="P153" s="211"/>
      <c r="Q153" s="211"/>
      <c r="R153" s="211"/>
      <c r="S153" s="211"/>
      <c r="T153" s="596"/>
      <c r="U153" s="596"/>
      <c r="V153" s="596"/>
      <c r="W153" s="596"/>
      <c r="X153" s="596"/>
      <c r="Y153" s="596"/>
      <c r="Z153" s="596"/>
      <c r="AA153" s="596"/>
      <c r="AB153" s="596"/>
      <c r="AC153" s="596"/>
      <c r="AD153" s="596"/>
      <c r="AE153" s="596"/>
      <c r="AF153" s="596"/>
      <c r="AG153" s="596"/>
      <c r="AH153" s="596"/>
      <c r="AI153" s="596"/>
      <c r="AJ153" s="596"/>
      <c r="AK153" s="668"/>
    </row>
    <row r="154" spans="3:37">
      <c r="C154" s="155"/>
      <c r="D154" s="89" t="s">
        <v>1096</v>
      </c>
      <c r="K154" s="67"/>
      <c r="L154" s="67"/>
      <c r="M154" s="211"/>
      <c r="N154" s="211"/>
      <c r="O154" s="211"/>
      <c r="P154" s="211"/>
      <c r="Q154" s="211"/>
      <c r="R154" s="211"/>
      <c r="S154" s="211"/>
      <c r="T154" s="596"/>
      <c r="U154" s="333">
        <v>4.3635694682675812</v>
      </c>
      <c r="V154" s="333">
        <v>7.3967582697201015</v>
      </c>
      <c r="W154" s="334">
        <v>1.5891380145278451</v>
      </c>
      <c r="X154" s="334">
        <v>0.52638914027149331</v>
      </c>
      <c r="Y154" s="334">
        <v>2.1589999999999998</v>
      </c>
      <c r="Z154" s="334">
        <v>9.7560975609756115E-2</v>
      </c>
      <c r="AA154" s="333">
        <v>9.518143961927425E-2</v>
      </c>
      <c r="AB154" s="334">
        <v>9.2859941091974887E-2</v>
      </c>
      <c r="AC154" s="334">
        <v>9.0595064479975507E-2</v>
      </c>
      <c r="AD154" s="334">
        <v>9.0595064479975507E-2</v>
      </c>
      <c r="AE154" s="335">
        <v>9.0595064479975507E-2</v>
      </c>
      <c r="AF154" s="334">
        <v>9.0595064479975507E-2</v>
      </c>
      <c r="AG154" s="334">
        <v>9.0595064479975507E-2</v>
      </c>
      <c r="AH154" s="334">
        <v>9.0595064479975507E-2</v>
      </c>
      <c r="AI154" s="334">
        <v>9.0595064479975507E-2</v>
      </c>
      <c r="AJ154" s="335">
        <v>0</v>
      </c>
      <c r="AK154" s="157"/>
    </row>
    <row r="155" spans="3:37">
      <c r="C155" s="155"/>
      <c r="D155" s="63" t="s">
        <v>1097</v>
      </c>
      <c r="K155" s="67"/>
      <c r="L155" s="67"/>
      <c r="M155" s="211"/>
      <c r="N155" s="211"/>
      <c r="O155" s="211"/>
      <c r="P155" s="211"/>
      <c r="Q155" s="211"/>
      <c r="R155" s="211"/>
      <c r="S155" s="211"/>
      <c r="T155" s="596"/>
      <c r="U155" s="468">
        <f>+J157</f>
        <v>14.324</v>
      </c>
      <c r="V155" s="468">
        <f t="shared" ref="V155:AJ155" ca="1" si="36">+U157</f>
        <v>4.3635694682675812</v>
      </c>
      <c r="W155" s="468">
        <f t="shared" ca="1" si="36"/>
        <v>7.3967582697201015</v>
      </c>
      <c r="X155" s="468">
        <f t="shared" ca="1" si="36"/>
        <v>1.5891380145278449</v>
      </c>
      <c r="Y155" s="468">
        <f t="shared" ca="1" si="36"/>
        <v>0.52638914027149331</v>
      </c>
      <c r="Z155" s="468">
        <f t="shared" ca="1" si="36"/>
        <v>2.1589999999999998</v>
      </c>
      <c r="AA155" s="468">
        <f t="shared" ca="1" si="36"/>
        <v>9.7560975609756184E-2</v>
      </c>
      <c r="AB155" s="468">
        <f t="shared" ca="1" si="36"/>
        <v>9.518143961927425E-2</v>
      </c>
      <c r="AC155" s="468">
        <f t="shared" ca="1" si="36"/>
        <v>9.2859941091974887E-2</v>
      </c>
      <c r="AD155" s="468">
        <f t="shared" ca="1" si="36"/>
        <v>9.0595064479975507E-2</v>
      </c>
      <c r="AE155" s="468">
        <f t="shared" ca="1" si="36"/>
        <v>9.0595064479975507E-2</v>
      </c>
      <c r="AF155" s="468">
        <f t="shared" ca="1" si="36"/>
        <v>9.0595064479975507E-2</v>
      </c>
      <c r="AG155" s="468">
        <f t="shared" ca="1" si="36"/>
        <v>9.0595064479975507E-2</v>
      </c>
      <c r="AH155" s="468">
        <f t="shared" ca="1" si="36"/>
        <v>9.0595064479975507E-2</v>
      </c>
      <c r="AI155" s="468">
        <f t="shared" ca="1" si="36"/>
        <v>9.0595064479975507E-2</v>
      </c>
      <c r="AJ155" s="468">
        <f t="shared" ca="1" si="36"/>
        <v>9.0595064479975507E-2</v>
      </c>
      <c r="AK155" s="157"/>
    </row>
    <row r="156" spans="3:37">
      <c r="C156" s="155"/>
      <c r="D156" s="63" t="s">
        <v>1098</v>
      </c>
      <c r="K156" s="67"/>
      <c r="L156" s="67"/>
      <c r="M156" s="211"/>
      <c r="N156" s="211"/>
      <c r="O156" s="211"/>
      <c r="P156" s="211"/>
      <c r="Q156" s="211"/>
      <c r="R156" s="211"/>
      <c r="S156" s="211"/>
      <c r="T156" s="596"/>
      <c r="U156" s="468">
        <f t="shared" ref="U156:AJ156" ca="1" si="37">IF(U159-U143+(U154-U155)&gt;=0,U154-U155,U143-U159)</f>
        <v>-9.9604305317324187</v>
      </c>
      <c r="V156" s="468">
        <f t="shared" ca="1" si="37"/>
        <v>3.0331888014525203</v>
      </c>
      <c r="W156" s="468">
        <f t="shared" ca="1" si="37"/>
        <v>-5.8076202551922567</v>
      </c>
      <c r="X156" s="468">
        <f t="shared" ca="1" si="37"/>
        <v>-1.0627488742563516</v>
      </c>
      <c r="Y156" s="468">
        <f t="shared" ca="1" si="37"/>
        <v>1.6326108597285065</v>
      </c>
      <c r="Z156" s="468">
        <f t="shared" ca="1" si="37"/>
        <v>-2.0614390243902436</v>
      </c>
      <c r="AA156" s="468">
        <f t="shared" ca="1" si="37"/>
        <v>-2.3795359904819346E-3</v>
      </c>
      <c r="AB156" s="468">
        <f t="shared" ca="1" si="37"/>
        <v>-2.3214985272993621E-3</v>
      </c>
      <c r="AC156" s="468">
        <f t="shared" ca="1" si="37"/>
        <v>-2.2648766119993807E-3</v>
      </c>
      <c r="AD156" s="468">
        <f t="shared" ca="1" si="37"/>
        <v>0</v>
      </c>
      <c r="AE156" s="468">
        <f t="shared" ca="1" si="37"/>
        <v>0</v>
      </c>
      <c r="AF156" s="468">
        <f t="shared" ca="1" si="37"/>
        <v>0</v>
      </c>
      <c r="AG156" s="468">
        <f t="shared" ca="1" si="37"/>
        <v>0</v>
      </c>
      <c r="AH156" s="468">
        <f t="shared" ca="1" si="37"/>
        <v>0</v>
      </c>
      <c r="AI156" s="468">
        <f t="shared" ca="1" si="37"/>
        <v>0</v>
      </c>
      <c r="AJ156" s="468">
        <f t="shared" ca="1" si="37"/>
        <v>-9.0595064479975507E-2</v>
      </c>
      <c r="AK156" s="157"/>
    </row>
    <row r="157" spans="3:37">
      <c r="C157" s="155"/>
      <c r="D157" s="89" t="s">
        <v>1099</v>
      </c>
      <c r="E157" s="89"/>
      <c r="F157" s="1856"/>
      <c r="G157" s="1856"/>
      <c r="H157" s="1856"/>
      <c r="I157" s="1851" t="s">
        <v>1100</v>
      </c>
      <c r="J157" s="1840">
        <v>14.324</v>
      </c>
      <c r="K157" s="67"/>
      <c r="L157" s="67"/>
      <c r="M157" s="211"/>
      <c r="N157" s="211"/>
      <c r="O157" s="211"/>
      <c r="P157" s="211"/>
      <c r="R157" s="211"/>
      <c r="S157" s="211"/>
      <c r="T157" s="596"/>
      <c r="U157" s="1376">
        <f t="shared" ref="U157:AJ157" ca="1" si="38">+U155+U156</f>
        <v>4.3635694682675812</v>
      </c>
      <c r="V157" s="619">
        <f t="shared" ca="1" si="38"/>
        <v>7.3967582697201015</v>
      </c>
      <c r="W157" s="620">
        <f t="shared" ca="1" si="38"/>
        <v>1.5891380145278449</v>
      </c>
      <c r="X157" s="620">
        <f t="shared" ca="1" si="38"/>
        <v>0.52638914027149331</v>
      </c>
      <c r="Y157" s="312">
        <f t="shared" ca="1" si="38"/>
        <v>2.1589999999999998</v>
      </c>
      <c r="Z157" s="312">
        <f t="shared" ca="1" si="38"/>
        <v>9.7560975609756184E-2</v>
      </c>
      <c r="AA157" s="311">
        <f t="shared" ca="1" si="38"/>
        <v>9.518143961927425E-2</v>
      </c>
      <c r="AB157" s="312">
        <f t="shared" ca="1" si="38"/>
        <v>9.2859941091974887E-2</v>
      </c>
      <c r="AC157" s="312">
        <f t="shared" ca="1" si="38"/>
        <v>9.0595064479975507E-2</v>
      </c>
      <c r="AD157" s="312">
        <f t="shared" ca="1" si="38"/>
        <v>9.0595064479975507E-2</v>
      </c>
      <c r="AE157" s="313">
        <f t="shared" ca="1" si="38"/>
        <v>9.0595064479975507E-2</v>
      </c>
      <c r="AF157" s="312">
        <f t="shared" ca="1" si="38"/>
        <v>9.0595064479975507E-2</v>
      </c>
      <c r="AG157" s="312">
        <f t="shared" ca="1" si="38"/>
        <v>9.0595064479975507E-2</v>
      </c>
      <c r="AH157" s="312">
        <f t="shared" ca="1" si="38"/>
        <v>9.0595064479975507E-2</v>
      </c>
      <c r="AI157" s="312">
        <f t="shared" ca="1" si="38"/>
        <v>9.0595064479975507E-2</v>
      </c>
      <c r="AJ157" s="312">
        <f t="shared" ca="1" si="38"/>
        <v>0</v>
      </c>
      <c r="AK157" s="157"/>
    </row>
    <row r="158" spans="3:37">
      <c r="C158" s="155"/>
      <c r="K158" s="67"/>
      <c r="L158" s="67"/>
      <c r="M158" s="211"/>
      <c r="N158" s="211"/>
      <c r="O158" s="211"/>
      <c r="P158" s="211"/>
      <c r="Q158" s="211"/>
      <c r="R158" s="211"/>
      <c r="S158" s="211"/>
      <c r="T158" s="596"/>
      <c r="U158" s="468"/>
      <c r="V158" s="468"/>
      <c r="W158" s="468"/>
      <c r="X158" s="468"/>
      <c r="Y158" s="468"/>
      <c r="Z158" s="468"/>
      <c r="AA158" s="468"/>
      <c r="AB158" s="468"/>
      <c r="AC158" s="468"/>
      <c r="AD158" s="468"/>
      <c r="AE158" s="468"/>
      <c r="AF158" s="468"/>
      <c r="AG158" s="468"/>
      <c r="AH158" s="468"/>
      <c r="AI158" s="468"/>
      <c r="AJ158" s="468"/>
      <c r="AK158" s="157"/>
    </row>
    <row r="159" spans="3:37">
      <c r="C159" s="155"/>
      <c r="D159" s="63" t="s">
        <v>1101</v>
      </c>
      <c r="K159" s="67"/>
      <c r="L159" s="67"/>
      <c r="M159" s="211"/>
      <c r="N159" s="211"/>
      <c r="O159" s="211"/>
      <c r="P159" s="211"/>
      <c r="Q159" s="211"/>
      <c r="R159" s="211"/>
      <c r="S159" s="211"/>
      <c r="T159" s="596"/>
      <c r="U159" s="468">
        <f>+J161</f>
        <v>7814.7</v>
      </c>
      <c r="V159" s="468">
        <f t="shared" ref="V159:AJ159" ca="1" si="39">+U161</f>
        <v>7803.1395694682669</v>
      </c>
      <c r="W159" s="468">
        <f t="shared" ca="1" si="39"/>
        <v>7818.5242169069688</v>
      </c>
      <c r="X159" s="468">
        <f t="shared" ca="1" si="39"/>
        <v>7908.3174251941246</v>
      </c>
      <c r="Y159" s="468">
        <f t="shared" ca="1" si="39"/>
        <v>8112.5551358003431</v>
      </c>
      <c r="Z159" s="468">
        <f t="shared" ca="1" si="39"/>
        <v>8492.4877466600719</v>
      </c>
      <c r="AA159" s="468">
        <f ca="1">+Z161</f>
        <v>9043.6249633076532</v>
      </c>
      <c r="AB159" s="468">
        <f t="shared" ca="1" si="39"/>
        <v>9795.5353757928115</v>
      </c>
      <c r="AC159" s="468">
        <f t="shared" ca="1" si="39"/>
        <v>10631.908407175893</v>
      </c>
      <c r="AD159" s="468">
        <f t="shared" ca="1" si="39"/>
        <v>11482.249561387851</v>
      </c>
      <c r="AE159" s="468">
        <f t="shared" ca="1" si="39"/>
        <v>12344.395943815236</v>
      </c>
      <c r="AF159" s="468">
        <f t="shared" ca="1" si="39"/>
        <v>13148.500535542968</v>
      </c>
      <c r="AG159" s="468">
        <f t="shared" ca="1" si="39"/>
        <v>14229.694038580108</v>
      </c>
      <c r="AH159" s="468">
        <f t="shared" ca="1" si="39"/>
        <v>15386.117771169138</v>
      </c>
      <c r="AI159" s="468">
        <f t="shared" ca="1" si="39"/>
        <v>16306.12679277449</v>
      </c>
      <c r="AJ159" s="468">
        <f t="shared" ca="1" si="39"/>
        <v>17487.487846554108</v>
      </c>
      <c r="AK159" s="157"/>
    </row>
    <row r="160" spans="3:37">
      <c r="C160" s="155"/>
      <c r="D160" s="63" t="s">
        <v>1102</v>
      </c>
      <c r="K160" s="67"/>
      <c r="L160" s="67"/>
      <c r="M160" s="211"/>
      <c r="N160" s="211"/>
      <c r="O160" s="211"/>
      <c r="P160" s="211"/>
      <c r="Q160" s="211"/>
      <c r="R160" s="211"/>
      <c r="S160" s="211"/>
      <c r="T160" s="596"/>
      <c r="U160" s="468">
        <f t="shared" ref="U160:AJ160" ca="1" si="40">-(U143-U156)</f>
        <v>-11.560430531732441</v>
      </c>
      <c r="V160" s="468">
        <f t="shared" ca="1" si="40"/>
        <v>15.384647438702242</v>
      </c>
      <c r="W160" s="468">
        <f t="shared" ca="1" si="40"/>
        <v>89.793208287155991</v>
      </c>
      <c r="X160" s="468">
        <f ca="1">-(X143-X156)</f>
        <v>204.2377106062182</v>
      </c>
      <c r="Y160" s="468">
        <f t="shared" ca="1" si="40"/>
        <v>379.93261085972847</v>
      </c>
      <c r="Z160" s="468">
        <f t="shared" ca="1" si="40"/>
        <v>551.13721664758054</v>
      </c>
      <c r="AA160" s="468">
        <f t="shared" ca="1" si="40"/>
        <v>751.91041248515796</v>
      </c>
      <c r="AB160" s="468">
        <f t="shared" ca="1" si="40"/>
        <v>836.37303138308175</v>
      </c>
      <c r="AC160" s="468">
        <f t="shared" ca="1" si="40"/>
        <v>850.3411542119569</v>
      </c>
      <c r="AD160" s="468">
        <f t="shared" ca="1" si="40"/>
        <v>862.14638242738579</v>
      </c>
      <c r="AE160" s="468">
        <f t="shared" ca="1" si="40"/>
        <v>804.10459172773244</v>
      </c>
      <c r="AF160" s="468">
        <f t="shared" ca="1" si="40"/>
        <v>1081.1935030371405</v>
      </c>
      <c r="AG160" s="468">
        <f t="shared" ca="1" si="40"/>
        <v>1156.4237325890297</v>
      </c>
      <c r="AH160" s="468">
        <f t="shared" ca="1" si="40"/>
        <v>920.00902160535293</v>
      </c>
      <c r="AI160" s="468">
        <f t="shared" ca="1" si="40"/>
        <v>1181.3610537796174</v>
      </c>
      <c r="AJ160" s="468">
        <f t="shared" ca="1" si="40"/>
        <v>1313.4789220437344</v>
      </c>
      <c r="AK160" s="157"/>
    </row>
    <row r="161" spans="3:37">
      <c r="C161" s="155"/>
      <c r="D161" s="89" t="s">
        <v>1103</v>
      </c>
      <c r="E161" s="89"/>
      <c r="F161" s="1856"/>
      <c r="G161" s="1856"/>
      <c r="H161" s="1856"/>
      <c r="I161" s="1851" t="s">
        <v>1100</v>
      </c>
      <c r="J161" s="1840">
        <v>7814.7</v>
      </c>
      <c r="K161" s="67"/>
      <c r="L161" s="67"/>
      <c r="M161" s="211"/>
      <c r="N161" s="211"/>
      <c r="O161" s="211"/>
      <c r="P161" s="211"/>
      <c r="R161" s="211"/>
      <c r="S161" s="211"/>
      <c r="T161" s="596"/>
      <c r="U161" s="1376">
        <f t="shared" ref="U161:AJ161" ca="1" si="41">+U159+U160</f>
        <v>7803.1395694682669</v>
      </c>
      <c r="V161" s="619">
        <f t="shared" ca="1" si="41"/>
        <v>7818.5242169069688</v>
      </c>
      <c r="W161" s="620">
        <f t="shared" ca="1" si="41"/>
        <v>7908.3174251941246</v>
      </c>
      <c r="X161" s="620">
        <f t="shared" ca="1" si="41"/>
        <v>8112.5551358003431</v>
      </c>
      <c r="Y161" s="312">
        <f t="shared" ca="1" si="41"/>
        <v>8492.4877466600719</v>
      </c>
      <c r="Z161" s="312">
        <f t="shared" ca="1" si="41"/>
        <v>9043.6249633076532</v>
      </c>
      <c r="AA161" s="311">
        <f t="shared" ca="1" si="41"/>
        <v>9795.5353757928115</v>
      </c>
      <c r="AB161" s="312">
        <f t="shared" ca="1" si="41"/>
        <v>10631.908407175893</v>
      </c>
      <c r="AC161" s="312">
        <f t="shared" ca="1" si="41"/>
        <v>11482.249561387851</v>
      </c>
      <c r="AD161" s="312">
        <f t="shared" ca="1" si="41"/>
        <v>12344.395943815236</v>
      </c>
      <c r="AE161" s="313">
        <f t="shared" ca="1" si="41"/>
        <v>13148.500535542968</v>
      </c>
      <c r="AF161" s="312">
        <f t="shared" ca="1" si="41"/>
        <v>14229.694038580108</v>
      </c>
      <c r="AG161" s="312">
        <f t="shared" ca="1" si="41"/>
        <v>15386.117771169138</v>
      </c>
      <c r="AH161" s="312">
        <f t="shared" ca="1" si="41"/>
        <v>16306.12679277449</v>
      </c>
      <c r="AI161" s="312">
        <f t="shared" ca="1" si="41"/>
        <v>17487.487846554108</v>
      </c>
      <c r="AJ161" s="312">
        <f t="shared" ca="1" si="41"/>
        <v>18800.966768597842</v>
      </c>
      <c r="AK161" s="157"/>
    </row>
    <row r="162" spans="3:37">
      <c r="C162" s="155"/>
      <c r="K162" s="67"/>
      <c r="L162" s="67"/>
      <c r="M162" s="211"/>
      <c r="N162" s="211"/>
      <c r="O162" s="211"/>
      <c r="P162" s="211"/>
      <c r="Q162" s="211"/>
      <c r="R162" s="211"/>
      <c r="S162" s="270"/>
      <c r="T162" s="468"/>
      <c r="U162" s="468"/>
      <c r="V162" s="468"/>
      <c r="W162" s="468"/>
      <c r="X162" s="468"/>
      <c r="Y162" s="468"/>
      <c r="Z162" s="468"/>
      <c r="AA162" s="468"/>
      <c r="AB162" s="468"/>
      <c r="AC162" s="468"/>
      <c r="AD162" s="468"/>
      <c r="AE162" s="468"/>
      <c r="AF162" s="468"/>
      <c r="AG162" s="468"/>
      <c r="AH162" s="468"/>
      <c r="AI162" s="468"/>
      <c r="AJ162" s="468"/>
      <c r="AK162" s="157"/>
    </row>
    <row r="163" spans="3:37">
      <c r="C163" s="155"/>
      <c r="K163" s="67"/>
      <c r="L163" s="67"/>
      <c r="M163" s="211"/>
      <c r="N163" s="211"/>
      <c r="O163" s="211"/>
      <c r="P163" s="211"/>
      <c r="Q163" s="211"/>
      <c r="R163" s="211"/>
      <c r="S163" s="270"/>
      <c r="T163" s="468"/>
      <c r="U163" s="468"/>
      <c r="V163" s="468"/>
      <c r="W163" s="468"/>
      <c r="X163" s="468"/>
      <c r="Y163" s="468"/>
      <c r="Z163" s="468"/>
      <c r="AA163" s="468"/>
      <c r="AB163" s="468"/>
      <c r="AC163" s="468"/>
      <c r="AD163" s="468"/>
      <c r="AE163" s="468"/>
      <c r="AF163" s="468"/>
      <c r="AG163" s="468"/>
      <c r="AH163" s="468"/>
      <c r="AI163" s="468"/>
      <c r="AJ163" s="468"/>
      <c r="AK163" s="157"/>
    </row>
    <row r="164" spans="3:37">
      <c r="C164" s="155"/>
      <c r="D164" s="117" t="s">
        <v>1104</v>
      </c>
      <c r="E164" s="196"/>
      <c r="F164" s="196"/>
      <c r="G164" s="196"/>
      <c r="H164" s="196"/>
      <c r="K164" s="67"/>
      <c r="L164" s="67"/>
      <c r="M164" s="211"/>
      <c r="N164" s="211"/>
      <c r="O164" s="211"/>
      <c r="P164" s="211"/>
      <c r="Q164" s="211"/>
      <c r="R164" s="211"/>
      <c r="S164" s="270"/>
      <c r="T164" s="468"/>
      <c r="U164" s="468"/>
      <c r="V164" s="468"/>
      <c r="W164" s="468"/>
      <c r="X164" s="468"/>
      <c r="Y164" s="468"/>
      <c r="Z164" s="468"/>
      <c r="AA164" s="468"/>
      <c r="AB164" s="468"/>
      <c r="AC164" s="468"/>
      <c r="AD164" s="468"/>
      <c r="AE164" s="468"/>
      <c r="AF164" s="468"/>
      <c r="AG164" s="468"/>
      <c r="AH164" s="468"/>
      <c r="AI164" s="468"/>
      <c r="AJ164" s="468"/>
      <c r="AK164" s="157"/>
    </row>
    <row r="165" spans="3:37">
      <c r="C165" s="155"/>
      <c r="D165" s="196"/>
      <c r="E165" s="196" t="s">
        <v>1056</v>
      </c>
      <c r="F165" s="196"/>
      <c r="G165" s="196"/>
      <c r="H165" s="196"/>
      <c r="K165" s="67"/>
      <c r="L165" s="67"/>
      <c r="M165" s="211"/>
      <c r="N165" s="211"/>
      <c r="O165" s="211"/>
      <c r="P165" s="211"/>
      <c r="Q165" s="211"/>
      <c r="R165" s="211"/>
      <c r="S165" s="270"/>
      <c r="T165" s="468"/>
      <c r="U165" s="468">
        <f t="shared" ref="U165:AJ165" ca="1" si="42">+SUM(U83,U85:U86,U88:U90)-U84</f>
        <v>1858.8055244575633</v>
      </c>
      <c r="V165" s="468">
        <f t="shared" ca="1" si="42"/>
        <v>1827.9486278632462</v>
      </c>
      <c r="W165" s="468">
        <f t="shared" ca="1" si="42"/>
        <v>1911.271899684401</v>
      </c>
      <c r="X165" s="468">
        <f t="shared" ca="1" si="42"/>
        <v>2042.8011843018473</v>
      </c>
      <c r="Y165" s="270">
        <f t="shared" ca="1" si="42"/>
        <v>2126.0769904323934</v>
      </c>
      <c r="Z165" s="270">
        <f t="shared" ca="1" si="42"/>
        <v>2183.0396494891979</v>
      </c>
      <c r="AA165" s="270">
        <f t="shared" ca="1" si="42"/>
        <v>2269.235655346748</v>
      </c>
      <c r="AB165" s="270">
        <f t="shared" ca="1" si="42"/>
        <v>2415.4555816176708</v>
      </c>
      <c r="AC165" s="270">
        <f t="shared" ca="1" si="42"/>
        <v>2527.303117309119</v>
      </c>
      <c r="AD165" s="270">
        <f t="shared" ca="1" si="42"/>
        <v>2642.5734405182207</v>
      </c>
      <c r="AE165" s="270">
        <f t="shared" ca="1" si="42"/>
        <v>2757.8833281381981</v>
      </c>
      <c r="AF165" s="270">
        <f t="shared" ca="1" si="42"/>
        <v>2959.2506704276138</v>
      </c>
      <c r="AG165" s="270">
        <f t="shared" ca="1" si="42"/>
        <v>3072.6444740543325</v>
      </c>
      <c r="AH165" s="270">
        <f t="shared" ca="1" si="42"/>
        <v>3190.2608875718493</v>
      </c>
      <c r="AI165" s="270">
        <f t="shared" ca="1" si="42"/>
        <v>3320.6337916972675</v>
      </c>
      <c r="AJ165" s="270">
        <f t="shared" ca="1" si="42"/>
        <v>3452.4038810441803</v>
      </c>
      <c r="AK165" s="157"/>
    </row>
    <row r="166" spans="3:37">
      <c r="C166" s="155"/>
      <c r="D166" s="196"/>
      <c r="E166" s="196" t="s">
        <v>1105</v>
      </c>
      <c r="F166" s="196"/>
      <c r="G166" s="196"/>
      <c r="H166" s="196"/>
      <c r="K166" s="67"/>
      <c r="L166" s="67"/>
      <c r="M166" s="211"/>
      <c r="N166" s="211"/>
      <c r="O166" s="211"/>
      <c r="P166" s="211"/>
      <c r="Q166" s="211"/>
      <c r="R166" s="211"/>
      <c r="S166" s="270"/>
      <c r="T166" s="468"/>
      <c r="U166" s="468">
        <f t="shared" ref="U166:AJ166" ca="1" si="43">+U128</f>
        <v>-952.75942242123597</v>
      </c>
      <c r="V166" s="468">
        <f t="shared" ca="1" si="43"/>
        <v>-995.08565521185415</v>
      </c>
      <c r="W166" s="468">
        <f t="shared" ca="1" si="43"/>
        <v>-1027.2066754991595</v>
      </c>
      <c r="X166" s="468">
        <f t="shared" ca="1" si="43"/>
        <v>-1081.5625683292003</v>
      </c>
      <c r="Y166" s="270">
        <f t="shared" ca="1" si="43"/>
        <v>-1137.8399630407569</v>
      </c>
      <c r="Z166" s="270">
        <f t="shared" ca="1" si="43"/>
        <v>-1134.7904057673629</v>
      </c>
      <c r="AA166" s="270">
        <f t="shared" ca="1" si="43"/>
        <v>-1148.4330777730272</v>
      </c>
      <c r="AB166" s="270">
        <f t="shared" ca="1" si="43"/>
        <v>-1174.3862548846105</v>
      </c>
      <c r="AC166" s="270">
        <f t="shared" ca="1" si="43"/>
        <v>-1215.2074935541166</v>
      </c>
      <c r="AD166" s="270">
        <f t="shared" ca="1" si="43"/>
        <v>-1231.0245253234198</v>
      </c>
      <c r="AE166" s="270">
        <f t="shared" ca="1" si="43"/>
        <v>-1243.8609719196186</v>
      </c>
      <c r="AF166" s="270">
        <f t="shared" ca="1" si="43"/>
        <v>-1253.2176890721109</v>
      </c>
      <c r="AG166" s="270">
        <f t="shared" ca="1" si="43"/>
        <v>-1258.9330477192229</v>
      </c>
      <c r="AH166" s="270">
        <f t="shared" ca="1" si="43"/>
        <v>-1249.8698915883058</v>
      </c>
      <c r="AI166" s="270">
        <f t="shared" ca="1" si="43"/>
        <v>-1252.4841852923525</v>
      </c>
      <c r="AJ166" s="270">
        <f t="shared" ca="1" si="43"/>
        <v>-1248.3508106942447</v>
      </c>
      <c r="AK166" s="157"/>
    </row>
    <row r="167" spans="3:37">
      <c r="C167" s="155"/>
      <c r="D167" s="196"/>
      <c r="E167" s="196" t="s">
        <v>1106</v>
      </c>
      <c r="F167" s="196"/>
      <c r="G167" s="196"/>
      <c r="H167" s="196"/>
      <c r="K167" s="67"/>
      <c r="L167" s="67"/>
      <c r="M167" s="211"/>
      <c r="N167" s="211"/>
      <c r="O167" s="211"/>
      <c r="P167" s="211"/>
      <c r="Q167" s="211"/>
      <c r="R167" s="211"/>
      <c r="S167" s="270"/>
      <c r="T167" s="468"/>
      <c r="U167" s="270">
        <f t="shared" ref="U167:AJ167" si="44">-U195</f>
        <v>-572.30813277596872</v>
      </c>
      <c r="V167" s="270">
        <f t="shared" ca="1" si="44"/>
        <v>-544.49558833047763</v>
      </c>
      <c r="W167" s="270">
        <f t="shared" ca="1" si="44"/>
        <v>-553.91357161522171</v>
      </c>
      <c r="X167" s="468">
        <f t="shared" ca="1" si="44"/>
        <v>-571.08451779047573</v>
      </c>
      <c r="Y167" s="270">
        <f t="shared" ca="1" si="44"/>
        <v>-581.22239872068235</v>
      </c>
      <c r="Z167" s="270">
        <f t="shared" ca="1" si="44"/>
        <v>-607.43104216999996</v>
      </c>
      <c r="AA167" s="270">
        <f t="shared" ca="1" si="44"/>
        <v>-662.61550848902448</v>
      </c>
      <c r="AB167" s="270">
        <f t="shared" ca="1" si="44"/>
        <v>-720.72308742591906</v>
      </c>
      <c r="AC167" s="270">
        <f t="shared" ca="1" si="44"/>
        <v>-792.8427049698048</v>
      </c>
      <c r="AD167" s="270">
        <f t="shared" ca="1" si="44"/>
        <v>-849.3667815919905</v>
      </c>
      <c r="AE167" s="270">
        <f t="shared" ca="1" si="44"/>
        <v>-888.66298617183179</v>
      </c>
      <c r="AF167" s="270">
        <f t="shared" ca="1" si="44"/>
        <v>-933.96773615799077</v>
      </c>
      <c r="AG167" s="270">
        <f t="shared" ca="1" si="44"/>
        <v>-956.99659589295561</v>
      </c>
      <c r="AH167" s="270">
        <f t="shared" ca="1" si="44"/>
        <v>-979.67523477546672</v>
      </c>
      <c r="AI167" s="270">
        <f t="shared" ca="1" si="44"/>
        <v>-986.63344568337595</v>
      </c>
      <c r="AJ167" s="270">
        <f t="shared" ca="1" si="44"/>
        <v>-1001.8498952503928</v>
      </c>
      <c r="AK167" s="157"/>
    </row>
    <row r="168" spans="3:37">
      <c r="C168" s="155"/>
      <c r="D168" s="196"/>
      <c r="E168" s="196" t="s">
        <v>1107</v>
      </c>
      <c r="F168" s="196"/>
      <c r="G168" s="196"/>
      <c r="H168" s="196"/>
      <c r="K168" s="67"/>
      <c r="L168" s="67"/>
      <c r="M168" s="211"/>
      <c r="N168" s="211"/>
      <c r="O168" s="211"/>
      <c r="P168" s="211"/>
      <c r="Q168" s="211"/>
      <c r="R168" s="211"/>
      <c r="S168" s="270"/>
      <c r="T168" s="468"/>
      <c r="U168" s="296">
        <f>-SUM('Finance&amp;Tax_FO'!U18:U19)</f>
        <v>-298.12174700000003</v>
      </c>
      <c r="V168" s="296">
        <f>-SUM('Finance&amp;Tax_FO'!V18:V19)</f>
        <v>-282.75761864032972</v>
      </c>
      <c r="W168" s="296">
        <f>-SUM('Finance&amp;Tax_FO'!W18:W19)</f>
        <v>-306.13016452532611</v>
      </c>
      <c r="X168" s="296">
        <f>-SUM('Finance&amp;Tax_FO'!X18:X19)</f>
        <v>-340.80825957092583</v>
      </c>
      <c r="Y168" s="296">
        <f>-SUM('Finance&amp;Tax_FO'!Y18:Y19)</f>
        <v>-373.60475678089438</v>
      </c>
      <c r="Z168" s="296">
        <f>-SUM('Finance&amp;Tax_FO'!Z18:Z19)</f>
        <v>-401.44292145015493</v>
      </c>
      <c r="AA168" s="296">
        <f ca="1">-SUM('Finance&amp;Tax_FO'!AA18:AA19)</f>
        <v>-415.60383156040785</v>
      </c>
      <c r="AB168" s="296">
        <f ca="1">-SUM('Finance&amp;Tax_FO'!AB18:AB19)</f>
        <v>-454.60198702277006</v>
      </c>
      <c r="AC168" s="296">
        <f ca="1">-SUM('Finance&amp;Tax_FO'!AC18:AC19)</f>
        <v>-519.36160865013153</v>
      </c>
      <c r="AD168" s="296">
        <f ca="1">-SUM('Finance&amp;Tax_FO'!AD18:AD19)</f>
        <v>-559.92246429020236</v>
      </c>
      <c r="AE168" s="296">
        <f ca="1">-SUM('Finance&amp;Tax_FO'!AE18:AE19)</f>
        <v>-605.86860843986699</v>
      </c>
      <c r="AF168" s="296">
        <f ca="1">-SUM('Finance&amp;Tax_FO'!AF18:AF19)</f>
        <v>-663.62109960920748</v>
      </c>
      <c r="AG168" s="296">
        <f ca="1">-SUM('Finance&amp;Tax_FO'!AG18:AG19)</f>
        <v>-689.85666016218033</v>
      </c>
      <c r="AH168" s="296">
        <f ca="1">-SUM('Finance&amp;Tax_FO'!AH18:AH19)</f>
        <v>-782.40821836222528</v>
      </c>
      <c r="AI168" s="296">
        <f ca="1">-SUM('Finance&amp;Tax_FO'!AI18:AI19)</f>
        <v>-830.42401456980235</v>
      </c>
      <c r="AJ168" s="296">
        <f ca="1">-SUM('Finance&amp;Tax_FO'!AJ18:AJ19)</f>
        <v>-875.1491727454536</v>
      </c>
      <c r="AK168" s="157"/>
    </row>
    <row r="169" spans="3:37">
      <c r="C169" s="155"/>
      <c r="D169" s="196"/>
      <c r="E169" s="196" t="s">
        <v>1108</v>
      </c>
      <c r="F169" s="196"/>
      <c r="G169" s="196"/>
      <c r="H169" s="196"/>
      <c r="K169" s="67"/>
      <c r="L169" s="67"/>
      <c r="M169" s="211"/>
      <c r="N169" s="211"/>
      <c r="O169" s="211"/>
      <c r="P169" s="211"/>
      <c r="Q169" s="211"/>
      <c r="R169" s="211"/>
      <c r="S169" s="270"/>
      <c r="T169" s="468"/>
      <c r="U169" s="270">
        <f>IF(J172&lt;0,J172,0)</f>
        <v>0</v>
      </c>
      <c r="V169" s="458">
        <f>-'Finance&amp;Tax_FO'!V20</f>
        <v>0</v>
      </c>
      <c r="W169" s="270">
        <f ca="1">IF(V172&lt;0,V172,0)</f>
        <v>0</v>
      </c>
      <c r="X169" s="270">
        <f ca="1">IF(W172&lt;0,W172,0)</f>
        <v>0</v>
      </c>
      <c r="Y169" s="270">
        <f ca="1">IF(X172&lt;0,X172,0)</f>
        <v>0</v>
      </c>
      <c r="Z169" s="270">
        <f ca="1">IF(Y172&lt;0,Y172,0)</f>
        <v>0</v>
      </c>
      <c r="AA169" s="458">
        <f>'Finance&amp;Tax_FO'!AA20</f>
        <v>0</v>
      </c>
      <c r="AB169" s="270">
        <f t="shared" ref="AB169:AJ169" ca="1" si="45">IF(AA172&lt;0,AA172,0)</f>
        <v>0</v>
      </c>
      <c r="AC169" s="270">
        <f t="shared" ca="1" si="45"/>
        <v>0</v>
      </c>
      <c r="AD169" s="270">
        <f t="shared" ca="1" si="45"/>
        <v>0</v>
      </c>
      <c r="AE169" s="270">
        <f t="shared" ca="1" si="45"/>
        <v>0</v>
      </c>
      <c r="AF169" s="270">
        <f t="shared" ca="1" si="45"/>
        <v>0</v>
      </c>
      <c r="AG169" s="270">
        <f t="shared" ca="1" si="45"/>
        <v>0</v>
      </c>
      <c r="AH169" s="270">
        <f t="shared" ca="1" si="45"/>
        <v>0</v>
      </c>
      <c r="AI169" s="270">
        <f t="shared" ca="1" si="45"/>
        <v>0</v>
      </c>
      <c r="AJ169" s="270">
        <f t="shared" ca="1" si="45"/>
        <v>0</v>
      </c>
      <c r="AK169" s="157"/>
    </row>
    <row r="170" spans="3:37">
      <c r="C170" s="155"/>
      <c r="D170" s="196"/>
      <c r="E170" s="196" t="s">
        <v>1109</v>
      </c>
      <c r="F170" s="196"/>
      <c r="G170" s="196"/>
      <c r="H170" s="196"/>
      <c r="K170" s="1999"/>
      <c r="L170" s="1999"/>
      <c r="M170" s="2000"/>
      <c r="N170" s="2000"/>
      <c r="O170" s="2000"/>
      <c r="P170" s="2000"/>
      <c r="Q170" s="2000"/>
      <c r="R170" s="2000"/>
      <c r="S170" s="1297"/>
      <c r="T170" s="1297"/>
      <c r="U170" s="336">
        <v>399.71711107297477</v>
      </c>
      <c r="V170" s="333">
        <v>371.3902343194153</v>
      </c>
      <c r="W170" s="334">
        <v>349.97851195530632</v>
      </c>
      <c r="X170" s="334">
        <v>206.65416138875452</v>
      </c>
      <c r="Y170" s="334">
        <v>406.25679477660691</v>
      </c>
      <c r="Z170" s="334">
        <v>327.69340333165326</v>
      </c>
      <c r="AA170" s="333">
        <v>322.11268844237821</v>
      </c>
      <c r="AB170" s="334">
        <v>284.2036197822955</v>
      </c>
      <c r="AC170" s="334">
        <v>285.26507173160064</v>
      </c>
      <c r="AD170" s="334">
        <v>281.22341898739199</v>
      </c>
      <c r="AE170" s="335">
        <v>283.60127092645268</v>
      </c>
      <c r="AF170" s="334">
        <v>283.57334535693519</v>
      </c>
      <c r="AG170" s="334">
        <v>283.57334535693519</v>
      </c>
      <c r="AH170" s="334">
        <v>283.57334535693519</v>
      </c>
      <c r="AI170" s="334">
        <v>283.57334535693519</v>
      </c>
      <c r="AJ170" s="335">
        <v>283.57334535693519</v>
      </c>
      <c r="AK170" s="157"/>
    </row>
    <row r="171" spans="3:37">
      <c r="C171" s="155"/>
      <c r="D171" s="196"/>
      <c r="E171" s="196"/>
      <c r="F171" s="196"/>
      <c r="G171" s="196"/>
      <c r="H171" s="196"/>
      <c r="K171" s="67"/>
      <c r="L171" s="67"/>
      <c r="M171" s="211"/>
      <c r="N171" s="211"/>
      <c r="O171" s="211"/>
      <c r="P171" s="211"/>
      <c r="Q171" s="211"/>
      <c r="R171" s="211"/>
      <c r="S171" s="270"/>
      <c r="T171" s="270"/>
      <c r="U171" s="270"/>
      <c r="V171" s="270"/>
      <c r="W171" s="270"/>
      <c r="X171" s="270"/>
      <c r="Y171" s="270"/>
      <c r="Z171" s="270"/>
      <c r="AA171" s="270"/>
      <c r="AB171" s="270"/>
      <c r="AC171" s="270"/>
      <c r="AD171" s="270"/>
      <c r="AE171" s="270"/>
      <c r="AF171" s="270"/>
      <c r="AG171" s="270"/>
      <c r="AH171" s="270"/>
      <c r="AI171" s="270"/>
      <c r="AJ171" s="270"/>
      <c r="AK171" s="157"/>
    </row>
    <row r="172" spans="3:37">
      <c r="C172" s="155"/>
      <c r="D172" s="196"/>
      <c r="E172" s="196" t="s">
        <v>1110</v>
      </c>
      <c r="F172" s="1856"/>
      <c r="G172" s="1856"/>
      <c r="H172" s="1856"/>
      <c r="I172" s="1851" t="s">
        <v>1100</v>
      </c>
      <c r="J172" s="1840">
        <v>324.90899999999999</v>
      </c>
      <c r="K172" s="67"/>
      <c r="L172" s="67"/>
      <c r="M172" s="211"/>
      <c r="N172" s="211"/>
      <c r="O172" s="211"/>
      <c r="P172" s="211"/>
      <c r="R172" s="211"/>
      <c r="S172" s="270"/>
      <c r="T172" s="270"/>
      <c r="U172" s="620">
        <f t="shared" ref="U172:AJ172" ca="1" si="46">+SUM(U165:U171)</f>
        <v>435.33333333333331</v>
      </c>
      <c r="V172" s="619">
        <f t="shared" ca="1" si="46"/>
        <v>377</v>
      </c>
      <c r="W172" s="620">
        <f t="shared" ca="1" si="46"/>
        <v>374</v>
      </c>
      <c r="X172" s="620">
        <f t="shared" ca="1" si="46"/>
        <v>256</v>
      </c>
      <c r="Y172" s="312">
        <f t="shared" ca="1" si="46"/>
        <v>439.66666666666669</v>
      </c>
      <c r="Z172" s="312">
        <f t="shared" ca="1" si="46"/>
        <v>367.06868343333338</v>
      </c>
      <c r="AA172" s="311">
        <f t="shared" ca="1" si="46"/>
        <v>364.69592596666666</v>
      </c>
      <c r="AB172" s="312">
        <f t="shared" ca="1" si="46"/>
        <v>349.94787206666666</v>
      </c>
      <c r="AC172" s="312">
        <f t="shared" ca="1" si="46"/>
        <v>285.15638186666672</v>
      </c>
      <c r="AD172" s="312">
        <f t="shared" ca="1" si="46"/>
        <v>283.48308830000002</v>
      </c>
      <c r="AE172" s="313">
        <f t="shared" ca="1" si="46"/>
        <v>303.09203253333339</v>
      </c>
      <c r="AF172" s="312">
        <f t="shared" ca="1" si="46"/>
        <v>392.01749094523984</v>
      </c>
      <c r="AG172" s="312">
        <f t="shared" ca="1" si="46"/>
        <v>450.43151563690878</v>
      </c>
      <c r="AH172" s="312">
        <f t="shared" ca="1" si="46"/>
        <v>461.88088820278665</v>
      </c>
      <c r="AI172" s="312">
        <f t="shared" ca="1" si="46"/>
        <v>534.66549150867195</v>
      </c>
      <c r="AJ172" s="313">
        <f t="shared" ca="1" si="46"/>
        <v>610.62734771102407</v>
      </c>
      <c r="AK172" s="157"/>
    </row>
    <row r="173" spans="3:37">
      <c r="C173" s="155"/>
      <c r="D173" s="196"/>
      <c r="E173" s="196"/>
      <c r="F173" s="196"/>
      <c r="G173" s="196"/>
      <c r="H173" s="196"/>
      <c r="K173" s="67"/>
      <c r="L173" s="67"/>
      <c r="M173" s="211"/>
      <c r="N173" s="211"/>
      <c r="O173" s="211"/>
      <c r="P173" s="211"/>
      <c r="Q173" s="211"/>
      <c r="R173" s="211"/>
      <c r="S173" s="270"/>
      <c r="T173" s="270"/>
      <c r="U173" s="270"/>
      <c r="V173" s="270"/>
      <c r="W173" s="270"/>
      <c r="X173" s="270"/>
      <c r="Y173" s="270"/>
      <c r="Z173" s="270"/>
      <c r="AA173" s="270"/>
      <c r="AB173" s="270"/>
      <c r="AC173" s="270"/>
      <c r="AD173" s="270"/>
      <c r="AE173" s="270"/>
      <c r="AF173" s="270"/>
      <c r="AG173" s="270"/>
      <c r="AH173" s="270"/>
      <c r="AI173" s="270"/>
      <c r="AJ173" s="270"/>
      <c r="AK173" s="157"/>
    </row>
    <row r="174" spans="3:37" ht="12.75" thickBot="1">
      <c r="C174" s="155"/>
      <c r="D174" s="89" t="s">
        <v>1111</v>
      </c>
      <c r="K174" s="67"/>
      <c r="L174" s="67"/>
      <c r="M174" s="211"/>
      <c r="N174" s="211"/>
      <c r="O174" s="211"/>
      <c r="P174" s="211"/>
      <c r="Q174" s="211"/>
      <c r="R174" s="211"/>
      <c r="S174" s="270"/>
      <c r="T174" s="270"/>
      <c r="U174" s="1373">
        <f ca="1">MAX('Rev&amp;RAV_FO'!U87*U172,0)</f>
        <v>130.6</v>
      </c>
      <c r="V174" s="1374">
        <f ca="1">MAX('Rev&amp;RAV_FO'!V87*V172,0)</f>
        <v>113.1</v>
      </c>
      <c r="W174" s="1373">
        <f ca="1">MAX('Rev&amp;RAV_FO'!W87*W172,0)</f>
        <v>112.2</v>
      </c>
      <c r="X174" s="1373">
        <f ca="1">MAX('Rev&amp;RAV_FO'!X87*X172,0)</f>
        <v>76.8</v>
      </c>
      <c r="Y174" s="1373">
        <f ca="1">MAX('Rev&amp;RAV_FO'!Y87*Y172,0)</f>
        <v>131.9</v>
      </c>
      <c r="Z174" s="1373">
        <f ca="1">MAX('Rev&amp;RAV_FO'!Z87*Z172,0)</f>
        <v>110.12060503000001</v>
      </c>
      <c r="AA174" s="1374">
        <f ca="1">MAX('Rev&amp;RAV_FO'!AA87*AA172,0)</f>
        <v>109.40877779</v>
      </c>
      <c r="AB174" s="1373">
        <f ca="1">MAX('Rev&amp;RAV_FO'!AB87*AB172,0)</f>
        <v>104.98436162</v>
      </c>
      <c r="AC174" s="1373">
        <f ca="1">MAX('Rev&amp;RAV_FO'!AC87*AC172,0)</f>
        <v>85.546914560000019</v>
      </c>
      <c r="AD174" s="1373">
        <f ca="1">MAX('Rev&amp;RAV_FO'!AD87*AD172,0)</f>
        <v>85.044926490000009</v>
      </c>
      <c r="AE174" s="1375">
        <f ca="1">MAX('Rev&amp;RAV_FO'!AE87*AE172,0)</f>
        <v>90.92760976000001</v>
      </c>
      <c r="AF174" s="1373">
        <f ca="1">MAX('Rev&amp;RAV_FO'!AF87*AF172,0)</f>
        <v>117.60524728357194</v>
      </c>
      <c r="AG174" s="1373">
        <f ca="1">MAX('Rev&amp;RAV_FO'!AG87*AG172,0)</f>
        <v>135.12945469107262</v>
      </c>
      <c r="AH174" s="1373">
        <f ca="1">MAX('Rev&amp;RAV_FO'!AH87*AH172,0)</f>
        <v>138.564266460836</v>
      </c>
      <c r="AI174" s="1373">
        <f ca="1">MAX('Rev&amp;RAV_FO'!AI87*AI172,0)</f>
        <v>160.39964745260158</v>
      </c>
      <c r="AJ174" s="1375">
        <f ca="1">MAX('Rev&amp;RAV_FO'!AJ87*AJ172,0)</f>
        <v>183.18820431330721</v>
      </c>
      <c r="AK174" s="157"/>
    </row>
    <row r="175" spans="3:37">
      <c r="C175" s="155"/>
      <c r="K175" s="211"/>
      <c r="L175" s="211"/>
      <c r="M175" s="211"/>
      <c r="N175" s="211"/>
      <c r="O175" s="211"/>
      <c r="P175" s="211"/>
      <c r="Q175" s="211"/>
      <c r="R175" s="211"/>
      <c r="S175" s="211"/>
      <c r="T175" s="211"/>
      <c r="U175" s="211"/>
      <c r="V175" s="211"/>
      <c r="W175" s="211"/>
      <c r="X175" s="211"/>
      <c r="Y175" s="211"/>
      <c r="Z175" s="211"/>
      <c r="AA175" s="211"/>
      <c r="AB175" s="211"/>
      <c r="AC175" s="211"/>
      <c r="AD175" s="211"/>
      <c r="AE175" s="211"/>
      <c r="AF175" s="211"/>
      <c r="AG175" s="211"/>
      <c r="AH175" s="211"/>
      <c r="AI175" s="211"/>
      <c r="AJ175" s="211"/>
      <c r="AK175" s="157"/>
    </row>
    <row r="176" spans="3:37" ht="12.75" thickBot="1">
      <c r="C176" s="167"/>
      <c r="D176" s="168"/>
      <c r="E176" s="168"/>
      <c r="F176" s="168"/>
      <c r="G176" s="168"/>
      <c r="H176" s="168"/>
      <c r="I176" s="181"/>
      <c r="J176" s="168"/>
      <c r="K176" s="181"/>
      <c r="L176" s="181"/>
      <c r="M176" s="181"/>
      <c r="N176" s="181"/>
      <c r="O176" s="181"/>
      <c r="P176" s="181"/>
      <c r="Q176" s="181"/>
      <c r="R176" s="181"/>
      <c r="S176" s="181"/>
      <c r="T176" s="181"/>
      <c r="U176" s="181"/>
      <c r="V176" s="181"/>
      <c r="W176" s="181"/>
      <c r="X176" s="181"/>
      <c r="Y176" s="181"/>
      <c r="Z176" s="181"/>
      <c r="AA176" s="181"/>
      <c r="AB176" s="181"/>
      <c r="AC176" s="181"/>
      <c r="AD176" s="181"/>
      <c r="AE176" s="181"/>
      <c r="AF176" s="181"/>
      <c r="AG176" s="181"/>
      <c r="AH176" s="181"/>
      <c r="AI176" s="181"/>
      <c r="AJ176" s="181"/>
      <c r="AK176" s="170"/>
    </row>
    <row r="177" spans="3:37">
      <c r="K177" s="695"/>
      <c r="L177" s="695"/>
      <c r="M177" s="695"/>
      <c r="N177" s="695"/>
      <c r="O177" s="695"/>
      <c r="P177" s="695"/>
      <c r="Q177" s="695"/>
      <c r="R177" s="695"/>
      <c r="S177" s="67"/>
      <c r="T177" s="67"/>
      <c r="U177" s="67"/>
      <c r="V177" s="67"/>
      <c r="W177" s="67"/>
      <c r="X177" s="67"/>
    </row>
    <row r="178" spans="3:37" ht="12.75" thickBot="1">
      <c r="C178" s="168"/>
      <c r="D178" s="168"/>
      <c r="E178" s="168"/>
      <c r="F178" s="168"/>
      <c r="G178" s="168"/>
      <c r="H178" s="168"/>
      <c r="I178" s="181"/>
      <c r="J178" s="168"/>
      <c r="K178" s="709"/>
      <c r="L178" s="709"/>
      <c r="M178" s="709"/>
      <c r="N178" s="709"/>
      <c r="O178" s="709"/>
      <c r="P178" s="709"/>
      <c r="Q178" s="709"/>
      <c r="R178" s="709"/>
      <c r="S178" s="181"/>
      <c r="T178" s="181"/>
      <c r="U178" s="181"/>
      <c r="V178" s="181"/>
      <c r="W178" s="181"/>
      <c r="X178" s="181"/>
      <c r="Y178" s="168"/>
      <c r="Z178" s="168"/>
      <c r="AA178" s="168"/>
      <c r="AB178" s="168"/>
      <c r="AC178" s="168"/>
      <c r="AD178" s="168"/>
      <c r="AE178" s="168"/>
      <c r="AF178" s="168"/>
      <c r="AG178" s="168"/>
      <c r="AH178" s="168"/>
      <c r="AI178" s="168"/>
      <c r="AJ178" s="168"/>
      <c r="AK178" s="168"/>
    </row>
    <row r="179" spans="3:37">
      <c r="C179" s="155"/>
      <c r="K179" s="211"/>
      <c r="L179" s="211"/>
      <c r="M179" s="211"/>
      <c r="N179" s="211"/>
      <c r="O179" s="211"/>
      <c r="P179" s="211"/>
      <c r="Q179" s="211"/>
      <c r="R179" s="211"/>
      <c r="S179" s="211"/>
      <c r="T179" s="211"/>
      <c r="U179" s="211"/>
      <c r="V179" s="211"/>
      <c r="W179" s="211"/>
      <c r="X179" s="211"/>
      <c r="Y179" s="166"/>
      <c r="Z179" s="166"/>
      <c r="AA179" s="166"/>
      <c r="AB179" s="166"/>
      <c r="AC179" s="166"/>
      <c r="AD179" s="166"/>
      <c r="AE179" s="166"/>
      <c r="AF179" s="166"/>
      <c r="AG179" s="166"/>
      <c r="AH179" s="166"/>
      <c r="AI179" s="166"/>
      <c r="AJ179" s="166"/>
      <c r="AK179" s="157"/>
    </row>
    <row r="180" spans="3:37">
      <c r="C180" s="155"/>
      <c r="D180" s="674" t="s">
        <v>1112</v>
      </c>
      <c r="K180" s="211"/>
      <c r="L180" s="211"/>
      <c r="M180" s="211"/>
      <c r="N180" s="211"/>
      <c r="O180" s="211"/>
      <c r="P180" s="211"/>
      <c r="Q180" s="211"/>
      <c r="R180" s="211"/>
      <c r="S180" s="211"/>
      <c r="T180" s="211"/>
      <c r="U180" s="211"/>
      <c r="V180" s="211"/>
      <c r="W180" s="211"/>
      <c r="X180" s="211"/>
      <c r="Y180" s="166"/>
      <c r="Z180" s="166"/>
      <c r="AA180" s="166"/>
      <c r="AB180" s="166"/>
      <c r="AC180" s="166"/>
      <c r="AD180" s="166"/>
      <c r="AE180" s="166"/>
      <c r="AF180" s="166"/>
      <c r="AG180" s="166"/>
      <c r="AH180" s="166"/>
      <c r="AI180" s="166"/>
      <c r="AJ180" s="166"/>
      <c r="AK180" s="157"/>
    </row>
    <row r="181" spans="3:37">
      <c r="C181" s="155"/>
      <c r="D181" s="710"/>
      <c r="K181" s="211"/>
      <c r="L181" s="211"/>
      <c r="M181" s="211"/>
      <c r="N181" s="211"/>
      <c r="O181" s="211"/>
      <c r="P181" s="211"/>
      <c r="Q181" s="211"/>
      <c r="R181" s="211"/>
      <c r="S181" s="211"/>
      <c r="T181" s="211"/>
      <c r="U181" s="211"/>
      <c r="V181" s="211"/>
      <c r="W181" s="211"/>
      <c r="X181" s="211"/>
      <c r="Y181" s="166"/>
      <c r="Z181" s="166"/>
      <c r="AA181" s="166"/>
      <c r="AB181" s="166"/>
      <c r="AC181" s="166"/>
      <c r="AD181" s="166"/>
      <c r="AE181" s="166"/>
      <c r="AF181" s="166"/>
      <c r="AG181" s="166"/>
      <c r="AH181" s="166"/>
      <c r="AI181" s="166"/>
      <c r="AJ181" s="166"/>
      <c r="AK181" s="157"/>
    </row>
    <row r="182" spans="3:37">
      <c r="C182" s="155"/>
      <c r="D182" s="710"/>
      <c r="F182" s="701" t="str">
        <f>F$68</f>
        <v>RP4</v>
      </c>
      <c r="H182" s="701" t="str">
        <f>H$68</f>
        <v>RP5</v>
      </c>
      <c r="J182" s="701" t="str">
        <f>J$68</f>
        <v>RP6</v>
      </c>
      <c r="K182" s="67"/>
      <c r="L182" s="67"/>
      <c r="M182" s="211"/>
      <c r="N182" s="211"/>
      <c r="O182" s="211"/>
      <c r="P182" s="211"/>
      <c r="Q182" s="211"/>
      <c r="R182" s="211"/>
      <c r="S182" s="211"/>
      <c r="T182" s="211"/>
      <c r="U182" s="211"/>
      <c r="V182" s="211"/>
      <c r="W182" s="211"/>
      <c r="X182" s="211"/>
      <c r="Y182" s="166"/>
      <c r="Z182" s="166"/>
      <c r="AA182" s="166"/>
      <c r="AB182" s="166"/>
      <c r="AC182" s="166"/>
      <c r="AD182" s="166"/>
      <c r="AE182" s="166"/>
      <c r="AF182" s="166"/>
      <c r="AG182" s="166"/>
      <c r="AH182" s="166"/>
      <c r="AI182" s="166"/>
      <c r="AJ182" s="166"/>
      <c r="AK182" s="157"/>
    </row>
    <row r="183" spans="3:37">
      <c r="C183" s="155"/>
      <c r="D183" s="57" t="s">
        <v>1052</v>
      </c>
      <c r="F183" s="712">
        <f>F70</f>
        <v>0.06</v>
      </c>
      <c r="G183" s="166"/>
      <c r="H183" s="712">
        <f>H70</f>
        <v>0.06</v>
      </c>
      <c r="I183" s="533"/>
      <c r="J183" s="712">
        <f>J70</f>
        <v>0.06</v>
      </c>
      <c r="K183" s="67"/>
      <c r="L183" s="67"/>
      <c r="M183" s="211"/>
      <c r="N183" s="211"/>
      <c r="O183" s="211"/>
      <c r="P183" s="211"/>
      <c r="Q183" s="211"/>
      <c r="R183" s="211"/>
      <c r="S183" s="211"/>
      <c r="T183" s="211"/>
      <c r="U183" s="211"/>
      <c r="V183" s="211"/>
      <c r="W183" s="211"/>
      <c r="X183" s="211"/>
      <c r="Y183" s="166"/>
      <c r="Z183" s="166"/>
      <c r="AA183" s="166"/>
      <c r="AB183" s="166"/>
      <c r="AC183" s="166"/>
      <c r="AD183" s="166"/>
      <c r="AE183" s="166"/>
      <c r="AF183" s="166"/>
      <c r="AG183" s="166"/>
      <c r="AH183" s="166"/>
      <c r="AI183" s="166"/>
      <c r="AJ183" s="166"/>
      <c r="AK183" s="157"/>
    </row>
    <row r="184" spans="3:37">
      <c r="C184" s="155"/>
      <c r="D184" s="57" t="s">
        <v>1054</v>
      </c>
      <c r="F184" s="712">
        <f>F71</f>
        <v>0.04</v>
      </c>
      <c r="G184" s="166"/>
      <c r="H184" s="712">
        <f>H71</f>
        <v>0.04</v>
      </c>
      <c r="I184" s="533"/>
      <c r="J184" s="712">
        <f>J71</f>
        <v>4.3499999999999997E-2</v>
      </c>
      <c r="K184" s="67"/>
      <c r="L184" s="67"/>
      <c r="M184" s="211"/>
      <c r="N184" s="211"/>
      <c r="O184" s="211"/>
      <c r="P184" s="211"/>
      <c r="Q184" s="211"/>
      <c r="R184" s="211"/>
      <c r="S184" s="211"/>
      <c r="T184" s="211"/>
      <c r="U184" s="211"/>
      <c r="V184" s="211"/>
      <c r="W184" s="211"/>
      <c r="X184" s="211"/>
      <c r="Y184" s="166"/>
      <c r="Z184" s="166"/>
      <c r="AA184" s="166"/>
      <c r="AB184" s="166"/>
      <c r="AC184" s="166"/>
      <c r="AD184" s="166"/>
      <c r="AE184" s="166"/>
      <c r="AF184" s="166"/>
      <c r="AG184" s="166"/>
      <c r="AH184" s="166"/>
      <c r="AI184" s="166"/>
      <c r="AJ184" s="166"/>
      <c r="AK184" s="157"/>
    </row>
    <row r="185" spans="3:37">
      <c r="C185" s="155"/>
      <c r="K185" s="67"/>
      <c r="L185" s="67"/>
      <c r="M185" s="211"/>
      <c r="N185" s="211"/>
      <c r="O185" s="211"/>
      <c r="P185" s="211"/>
      <c r="Q185" s="211"/>
      <c r="R185" s="211"/>
      <c r="S185" s="211"/>
      <c r="T185" s="211"/>
      <c r="U185" s="211"/>
      <c r="V185" s="211"/>
      <c r="W185" s="211"/>
      <c r="X185" s="211"/>
      <c r="Y185" s="211"/>
      <c r="Z185" s="211"/>
      <c r="AA185" s="211"/>
      <c r="AB185" s="211"/>
      <c r="AC185" s="211"/>
      <c r="AD185" s="211"/>
      <c r="AE185" s="211"/>
      <c r="AF185" s="211"/>
      <c r="AG185" s="211"/>
      <c r="AH185" s="211"/>
      <c r="AI185" s="211"/>
      <c r="AJ185" s="211"/>
      <c r="AK185" s="177"/>
    </row>
    <row r="186" spans="3:37">
      <c r="C186" s="666"/>
      <c r="D186" s="196" t="s">
        <v>1113</v>
      </c>
      <c r="E186" s="196"/>
      <c r="F186" s="196"/>
      <c r="G186" s="196"/>
      <c r="H186" s="196"/>
      <c r="J186" s="196"/>
      <c r="K186" s="67"/>
      <c r="L186" s="67"/>
      <c r="M186" s="211"/>
      <c r="N186" s="211"/>
      <c r="O186" s="211"/>
      <c r="P186" s="211"/>
      <c r="Q186" s="211"/>
      <c r="R186" s="211"/>
      <c r="S186" s="270">
        <f>'Finance&amp;Tax_FO'!S12*'Rev&amp;RAV_FO'!S85</f>
        <v>0</v>
      </c>
      <c r="T186" s="270">
        <f>'Finance&amp;Tax_FO'!T12*'Rev&amp;RAV_FO'!T85</f>
        <v>0</v>
      </c>
      <c r="U186" s="270">
        <f>'Finance&amp;Tax_FO'!U12*'Rev&amp;RAV_FO'!U85</f>
        <v>14.294529117278266</v>
      </c>
      <c r="V186" s="270">
        <f>'Finance&amp;Tax_FO'!V12*'Rev&amp;RAV_FO'!V85</f>
        <v>3.6564665267146261</v>
      </c>
      <c r="W186" s="270">
        <f>'Finance&amp;Tax_FO'!W12*'Rev&amp;RAV_FO'!W85</f>
        <v>6.5135632524400897</v>
      </c>
      <c r="X186" s="270">
        <f>'Finance&amp;Tax_FO'!X12*'Rev&amp;RAV_FO'!X85</f>
        <v>1.497652457188289</v>
      </c>
      <c r="Y186" s="270">
        <f>'Finance&amp;Tax_FO'!Y12*'Rev&amp;RAV_FO'!Y85</f>
        <v>0.51404312632056282</v>
      </c>
      <c r="Z186" s="270">
        <f>'Finance&amp;Tax_FO'!Z12*'Rev&amp;RAV_FO'!Z85</f>
        <v>2.1589999999999998</v>
      </c>
      <c r="AA186" s="270">
        <f>'Finance&amp;Tax_FO'!AA12*'Rev&amp;RAV_FO'!AA85</f>
        <v>0.10039024390243903</v>
      </c>
      <c r="AB186" s="270">
        <f>'Finance&amp;Tax_FO'!AB12*'Rev&amp;RAV_FO'!AB85</f>
        <v>0.10078201070791196</v>
      </c>
      <c r="AC186" s="270">
        <f>'Finance&amp;Tax_FO'!AC12*'Rev&amp;RAV_FO'!AC85</f>
        <v>0.10117530635945503</v>
      </c>
      <c r="AD186" s="270">
        <f>'Finance&amp;Tax_FO'!AD12*'Rev&amp;RAV_FO'!AD85</f>
        <v>0.10157013682329681</v>
      </c>
      <c r="AE186" s="270">
        <f>'Finance&amp;Tax_FO'!AE12*'Rev&amp;RAV_FO'!AE85</f>
        <v>0.10451567079117241</v>
      </c>
      <c r="AF186" s="270">
        <f>'Finance&amp;Tax_FO'!AF12*'Rev&amp;RAV_FO'!AF85</f>
        <v>0.1075466252441164</v>
      </c>
      <c r="AG186" s="270">
        <f>'Finance&amp;Tax_FO'!AG12*'Rev&amp;RAV_FO'!AG85</f>
        <v>0.11066547737619577</v>
      </c>
      <c r="AH186" s="270">
        <f>'Finance&amp;Tax_FO'!AH12*'Rev&amp;RAV_FO'!AH85</f>
        <v>0.11387477622010544</v>
      </c>
      <c r="AI186" s="270">
        <f>'Finance&amp;Tax_FO'!AI12*'Rev&amp;RAV_FO'!AI85</f>
        <v>0.11717714473048849</v>
      </c>
      <c r="AJ186" s="270">
        <f>'Finance&amp;Tax_FO'!AJ12*'Rev&amp;RAV_FO'!AJ85</f>
        <v>0.12057528192767265</v>
      </c>
      <c r="AK186" s="177"/>
    </row>
    <row r="187" spans="3:37">
      <c r="C187" s="666"/>
      <c r="D187" s="196" t="s">
        <v>1114</v>
      </c>
      <c r="E187" s="196"/>
      <c r="F187" s="196"/>
      <c r="G187" s="196"/>
      <c r="H187" s="196"/>
      <c r="J187" s="196"/>
      <c r="K187" s="67"/>
      <c r="L187" s="67"/>
      <c r="M187" s="211"/>
      <c r="N187" s="211"/>
      <c r="O187" s="211"/>
      <c r="P187" s="211"/>
      <c r="Q187" s="211"/>
      <c r="R187" s="211"/>
      <c r="S187" s="270">
        <f t="shared" ref="S187:AJ187" si="47">+S155</f>
        <v>0</v>
      </c>
      <c r="T187" s="270">
        <f t="shared" si="47"/>
        <v>0</v>
      </c>
      <c r="U187" s="270">
        <f t="shared" si="47"/>
        <v>14.324</v>
      </c>
      <c r="V187" s="270">
        <f t="shared" ca="1" si="47"/>
        <v>4.3635694682675812</v>
      </c>
      <c r="W187" s="270">
        <f t="shared" ca="1" si="47"/>
        <v>7.3967582697201015</v>
      </c>
      <c r="X187" s="270">
        <f t="shared" ca="1" si="47"/>
        <v>1.5891380145278449</v>
      </c>
      <c r="Y187" s="270">
        <f t="shared" ca="1" si="47"/>
        <v>0.52638914027149331</v>
      </c>
      <c r="Z187" s="270">
        <f t="shared" ca="1" si="47"/>
        <v>2.1589999999999998</v>
      </c>
      <c r="AA187" s="270">
        <f t="shared" ca="1" si="47"/>
        <v>9.7560975609756184E-2</v>
      </c>
      <c r="AB187" s="270">
        <f t="shared" ca="1" si="47"/>
        <v>9.518143961927425E-2</v>
      </c>
      <c r="AC187" s="270">
        <f t="shared" ca="1" si="47"/>
        <v>9.2859941091974887E-2</v>
      </c>
      <c r="AD187" s="270">
        <f t="shared" ca="1" si="47"/>
        <v>9.0595064479975507E-2</v>
      </c>
      <c r="AE187" s="270">
        <f t="shared" ca="1" si="47"/>
        <v>9.0595064479975507E-2</v>
      </c>
      <c r="AF187" s="270">
        <f t="shared" ca="1" si="47"/>
        <v>9.0595064479975507E-2</v>
      </c>
      <c r="AG187" s="270">
        <f t="shared" ca="1" si="47"/>
        <v>9.0595064479975507E-2</v>
      </c>
      <c r="AH187" s="270">
        <f t="shared" ca="1" si="47"/>
        <v>9.0595064479975507E-2</v>
      </c>
      <c r="AI187" s="270">
        <f t="shared" ca="1" si="47"/>
        <v>9.0595064479975507E-2</v>
      </c>
      <c r="AJ187" s="270">
        <f t="shared" ca="1" si="47"/>
        <v>9.0595064479975507E-2</v>
      </c>
      <c r="AK187" s="177"/>
    </row>
    <row r="188" spans="3:37">
      <c r="C188" s="666"/>
      <c r="D188" s="196" t="s">
        <v>1115</v>
      </c>
      <c r="E188" s="196"/>
      <c r="F188" s="196"/>
      <c r="G188" s="196"/>
      <c r="H188" s="196"/>
      <c r="J188" s="196"/>
      <c r="K188" s="67"/>
      <c r="L188" s="67"/>
      <c r="M188" s="211"/>
      <c r="N188" s="211"/>
      <c r="O188" s="211"/>
      <c r="P188" s="211"/>
      <c r="Q188" s="211"/>
      <c r="R188" s="211"/>
      <c r="S188" s="270">
        <f>'Finance&amp;Tax_FO'!S13*'Rev&amp;RAV_FO'!S85</f>
        <v>0</v>
      </c>
      <c r="T188" s="270">
        <f>'Finance&amp;Tax_FO'!T13*'Rev&amp;RAV_FO'!T85</f>
        <v>0</v>
      </c>
      <c r="U188" s="270">
        <f>'Finance&amp;Tax_FO'!U13*'Rev&amp;RAV_FO'!U85</f>
        <v>0.10977368073866302</v>
      </c>
      <c r="V188" s="270">
        <f>'Finance&amp;Tax_FO'!V13*'Rev&amp;RAV_FO'!V85</f>
        <v>1.3824070044289703E-2</v>
      </c>
      <c r="W188" s="270">
        <f>'Finance&amp;Tax_FO'!W13*'Rev&amp;RAV_FO'!W85</f>
        <v>9.6466826174471165E-2</v>
      </c>
      <c r="X188" s="310">
        <f>'Finance&amp;Tax_FO'!X13*'Rev&amp;RAV_FO'!X85</f>
        <v>0.54241564918403484</v>
      </c>
      <c r="Y188" s="270">
        <f>'Finance&amp;Tax_FO'!Y13*'Rev&amp;RAV_FO'!Y85</f>
        <v>0.49886468755125474</v>
      </c>
      <c r="Z188" s="270">
        <f>'Finance&amp;Tax_FO'!Z13*'Rev&amp;RAV_FO'!Z85</f>
        <v>3.990635E-2</v>
      </c>
      <c r="AA188" s="270">
        <f>'Finance&amp;Tax_FO'!AA13*'Rev&amp;RAV_FO'!AA85</f>
        <v>4.0019606985365851E-2</v>
      </c>
      <c r="AB188" s="270">
        <f>'Finance&amp;Tax_FO'!AB13*'Rev&amp;RAV_FO'!AB85</f>
        <v>4.0212022272456863E-2</v>
      </c>
      <c r="AC188" s="270">
        <f>'Finance&amp;Tax_FO'!AC13*'Rev&amp;RAV_FO'!AC85</f>
        <v>4.0657610503996709E-2</v>
      </c>
      <c r="AD188" s="270">
        <f>'Finance&amp;Tax_FO'!AD13*'Rev&amp;RAV_FO'!AD85</f>
        <v>3.1042312124537993E-2</v>
      </c>
      <c r="AE188" s="270">
        <f>'Finance&amp;Tax_FO'!AE13*'Rev&amp;RAV_FO'!AE85</f>
        <v>3.1942539176149594E-2</v>
      </c>
      <c r="AF188" s="270">
        <f>'Finance&amp;Tax_FO'!AF13*'Rev&amp;RAV_FO'!AF85</f>
        <v>3.2868872812257928E-2</v>
      </c>
      <c r="AG188" s="270">
        <f>'Finance&amp;Tax_FO'!AG13*'Rev&amp;RAV_FO'!AG85</f>
        <v>3.3822070123813407E-2</v>
      </c>
      <c r="AH188" s="270">
        <f>'Finance&amp;Tax_FO'!AH13*'Rev&amp;RAV_FO'!AH85</f>
        <v>3.4802910157403992E-2</v>
      </c>
      <c r="AI188" s="270">
        <f>'Finance&amp;Tax_FO'!AI13*'Rev&amp;RAV_FO'!AI85</f>
        <v>3.5812194551968705E-2</v>
      </c>
      <c r="AJ188" s="270">
        <f>'Finance&amp;Tax_FO'!AJ13*'Rev&amp;RAV_FO'!AJ85</f>
        <v>3.6850748193975796E-2</v>
      </c>
      <c r="AK188" s="177"/>
    </row>
    <row r="189" spans="3:37">
      <c r="C189" s="666"/>
      <c r="D189" s="117" t="s">
        <v>1116</v>
      </c>
      <c r="E189" s="117"/>
      <c r="F189" s="117"/>
      <c r="G189" s="117"/>
      <c r="H189" s="117"/>
      <c r="I189" s="93"/>
      <c r="J189" s="117"/>
      <c r="K189" s="67"/>
      <c r="L189" s="67"/>
      <c r="M189" s="211"/>
      <c r="N189" s="211"/>
      <c r="O189" s="211"/>
      <c r="P189" s="211"/>
      <c r="Q189" s="211"/>
      <c r="R189" s="211"/>
      <c r="S189" s="713">
        <f>S188+(S187-S186)*$F$184</f>
        <v>0</v>
      </c>
      <c r="T189" s="680">
        <f>T188+(T187-T186)*$F$184</f>
        <v>0</v>
      </c>
      <c r="U189" s="1802">
        <f>U188+(U187-U186)*$F$184</f>
        <v>0.11095251604753237</v>
      </c>
      <c r="V189" s="713">
        <f ca="1">V188+(V187-V186)*$H$184</f>
        <v>4.2108187706407903E-2</v>
      </c>
      <c r="W189" s="717">
        <f ca="1">W188+(W187-W186)*$H$184</f>
        <v>0.13179462686567164</v>
      </c>
      <c r="X189" s="717">
        <f ca="1">X188+(X187-X186)*$H$184</f>
        <v>0.54607507147761702</v>
      </c>
      <c r="Y189" s="680">
        <f ca="1">Y188+(Y187-Y186)*$H$184</f>
        <v>0.49935852810929193</v>
      </c>
      <c r="Z189" s="680">
        <f ca="1">Z188+(Z187-Z186)*$H$184</f>
        <v>3.990635E-2</v>
      </c>
      <c r="AA189" s="713">
        <f t="shared" ref="AA189:AJ189" ca="1" si="48">AA188+(AA187-AA186)*$J$184</f>
        <v>3.989653381463415E-2</v>
      </c>
      <c r="AB189" s="680">
        <f t="shared" ca="1" si="48"/>
        <v>3.9968397430101124E-2</v>
      </c>
      <c r="AC189" s="680">
        <f t="shared" ca="1" si="48"/>
        <v>4.0295892114861322E-2</v>
      </c>
      <c r="AD189" s="680">
        <f t="shared" ca="1" si="48"/>
        <v>3.0564896477603517E-2</v>
      </c>
      <c r="AE189" s="1803">
        <f t="shared" ca="1" si="48"/>
        <v>3.1336992801612527E-2</v>
      </c>
      <c r="AF189" s="680">
        <f t="shared" ca="1" si="48"/>
        <v>3.2131479919017797E-2</v>
      </c>
      <c r="AG189" s="680">
        <f t="shared" ca="1" si="48"/>
        <v>3.2949007162827823E-2</v>
      </c>
      <c r="AH189" s="680">
        <f t="shared" ca="1" si="48"/>
        <v>3.3790242696708342E-2</v>
      </c>
      <c r="AI189" s="680">
        <f t="shared" ca="1" si="48"/>
        <v>3.4655874061071394E-2</v>
      </c>
      <c r="AJ189" s="1803">
        <f t="shared" ca="1" si="48"/>
        <v>3.554660873500097E-2</v>
      </c>
      <c r="AK189" s="177"/>
    </row>
    <row r="190" spans="3:37">
      <c r="C190" s="666"/>
      <c r="D190" s="196"/>
      <c r="E190" s="196"/>
      <c r="F190" s="196"/>
      <c r="G190" s="196"/>
      <c r="H190" s="196"/>
      <c r="J190" s="196"/>
      <c r="K190" s="67"/>
      <c r="L190" s="67"/>
      <c r="M190" s="211"/>
      <c r="N190" s="211"/>
      <c r="O190" s="211"/>
      <c r="P190" s="211"/>
      <c r="Q190" s="211"/>
      <c r="R190" s="211"/>
      <c r="S190" s="270"/>
      <c r="T190" s="270"/>
      <c r="U190" s="270"/>
      <c r="V190" s="270"/>
      <c r="W190" s="270"/>
      <c r="X190" s="310"/>
      <c r="Y190" s="270"/>
      <c r="Z190" s="270"/>
      <c r="AA190" s="270"/>
      <c r="AB190" s="270"/>
      <c r="AC190" s="270"/>
      <c r="AD190" s="270"/>
      <c r="AE190" s="270"/>
      <c r="AF190" s="270"/>
      <c r="AG190" s="270"/>
      <c r="AH190" s="270"/>
      <c r="AI190" s="270"/>
      <c r="AJ190" s="270"/>
      <c r="AK190" s="177"/>
    </row>
    <row r="191" spans="3:37">
      <c r="C191" s="666"/>
      <c r="D191" s="196" t="s">
        <v>1117</v>
      </c>
      <c r="E191" s="196"/>
      <c r="F191" s="196"/>
      <c r="G191" s="196"/>
      <c r="H191" s="196"/>
      <c r="J191" s="196"/>
      <c r="K191" s="67"/>
      <c r="L191" s="67"/>
      <c r="M191" s="211"/>
      <c r="N191" s="211"/>
      <c r="O191" s="211"/>
      <c r="P191" s="211"/>
      <c r="Q191" s="211"/>
      <c r="R191" s="211"/>
      <c r="S191" s="270">
        <f>'Finance&amp;Tax_FO'!S14*'Rev&amp;RAV_FO'!S85</f>
        <v>0</v>
      </c>
      <c r="T191" s="270">
        <f>'Finance&amp;Tax_FO'!T14*'Rev&amp;RAV_FO'!T85</f>
        <v>0</v>
      </c>
      <c r="U191" s="270">
        <f>'Finance&amp;Tax_FO'!U14*'Rev&amp;RAV_FO'!U85</f>
        <v>4145.7527444784355</v>
      </c>
      <c r="V191" s="270">
        <f>'Finance&amp;Tax_FO'!V14*'Rev&amp;RAV_FO'!V85</f>
        <v>4193.0823656588418</v>
      </c>
      <c r="W191" s="270">
        <f>'Finance&amp;Tax_FO'!W14*'Rev&amp;RAV_FO'!W85</f>
        <v>4434.7349619080178</v>
      </c>
      <c r="X191" s="310">
        <f>'Finance&amp;Tax_FO'!X14*'Rev&amp;RAV_FO'!X85</f>
        <v>4635.0211511587686</v>
      </c>
      <c r="Y191" s="270">
        <f>'Finance&amp;Tax_FO'!Y14*'Rev&amp;RAV_FO'!Y85</f>
        <v>4783.4839662514842</v>
      </c>
      <c r="Z191" s="270">
        <f>'Finance&amp;Tax_FO'!Z14*'Rev&amp;RAV_FO'!Z85</f>
        <v>5175.2740000000003</v>
      </c>
      <c r="AA191" s="270">
        <f>'Finance&amp;Tax_FO'!AA14*'Rev&amp;RAV_FO'!AA85</f>
        <v>7115.3593170731701</v>
      </c>
      <c r="AB191" s="270">
        <f>'Finance&amp;Tax_FO'!AB14*'Rev&amp;RAV_FO'!AB85</f>
        <v>8277.8312315050571</v>
      </c>
      <c r="AC191" s="270">
        <f>'Finance&amp;Tax_FO'!AC14*'Rev&amp;RAV_FO'!AC85</f>
        <v>9523.530412309141</v>
      </c>
      <c r="AD191" s="270">
        <f>'Finance&amp;Tax_FO'!AD14*'Rev&amp;RAV_FO'!AD85</f>
        <v>10614.688718855456</v>
      </c>
      <c r="AE191" s="270">
        <f>'Finance&amp;Tax_FO'!AE14*'Rev&amp;RAV_FO'!AE85</f>
        <v>11809.663319220044</v>
      </c>
      <c r="AF191" s="270">
        <f>'Finance&amp;Tax_FO'!AF14*'Rev&amp;RAV_FO'!AF85</f>
        <v>12979.56718036526</v>
      </c>
      <c r="AG191" s="270">
        <f>'Finance&amp;Tax_FO'!AG14*'Rev&amp;RAV_FO'!AG85</f>
        <v>14468.522743221069</v>
      </c>
      <c r="AH191" s="270">
        <f>'Finance&amp;Tax_FO'!AH14*'Rev&amp;RAV_FO'!AH85</f>
        <v>16078.069923608591</v>
      </c>
      <c r="AI191" s="270">
        <f>'Finance&amp;Tax_FO'!AI14*'Rev&amp;RAV_FO'!AI85</f>
        <v>17491.023234625147</v>
      </c>
      <c r="AJ191" s="270">
        <f>'Finance&amp;Tax_FO'!AJ14*'Rev&amp;RAV_FO'!AJ85</f>
        <v>19213.883432768504</v>
      </c>
      <c r="AK191" s="177"/>
    </row>
    <row r="192" spans="3:37">
      <c r="C192" s="666"/>
      <c r="D192" s="196" t="s">
        <v>1118</v>
      </c>
      <c r="E192" s="196"/>
      <c r="F192" s="196"/>
      <c r="G192" s="196"/>
      <c r="H192" s="196"/>
      <c r="J192" s="196"/>
      <c r="K192" s="67"/>
      <c r="L192" s="67"/>
      <c r="M192" s="211"/>
      <c r="N192" s="211"/>
      <c r="O192" s="211"/>
      <c r="P192" s="211"/>
      <c r="Q192" s="211"/>
      <c r="R192" s="211"/>
      <c r="S192" s="270">
        <f t="shared" ref="S192:AJ192" si="49">+S159</f>
        <v>0</v>
      </c>
      <c r="T192" s="270">
        <f t="shared" si="49"/>
        <v>0</v>
      </c>
      <c r="U192" s="270">
        <f t="shared" si="49"/>
        <v>7814.7</v>
      </c>
      <c r="V192" s="270">
        <f t="shared" ca="1" si="49"/>
        <v>7803.1395694682669</v>
      </c>
      <c r="W192" s="270">
        <f t="shared" ca="1" si="49"/>
        <v>7818.5242169069688</v>
      </c>
      <c r="X192" s="310">
        <f t="shared" ca="1" si="49"/>
        <v>7908.3174251941246</v>
      </c>
      <c r="Y192" s="270">
        <f t="shared" ca="1" si="49"/>
        <v>8112.5551358003431</v>
      </c>
      <c r="Z192" s="270">
        <f t="shared" ca="1" si="49"/>
        <v>8492.4877466600719</v>
      </c>
      <c r="AA192" s="270">
        <f ca="1">+AA159</f>
        <v>9043.6249633076532</v>
      </c>
      <c r="AB192" s="270">
        <f t="shared" ca="1" si="49"/>
        <v>9795.5353757928115</v>
      </c>
      <c r="AC192" s="270">
        <f t="shared" ca="1" si="49"/>
        <v>10631.908407175893</v>
      </c>
      <c r="AD192" s="270">
        <f t="shared" ca="1" si="49"/>
        <v>11482.249561387851</v>
      </c>
      <c r="AE192" s="270">
        <f t="shared" ca="1" si="49"/>
        <v>12344.395943815236</v>
      </c>
      <c r="AF192" s="270">
        <f t="shared" ca="1" si="49"/>
        <v>13148.500535542968</v>
      </c>
      <c r="AG192" s="270">
        <f t="shared" ca="1" si="49"/>
        <v>14229.694038580108</v>
      </c>
      <c r="AH192" s="270">
        <f t="shared" ca="1" si="49"/>
        <v>15386.117771169138</v>
      </c>
      <c r="AI192" s="270">
        <f t="shared" ca="1" si="49"/>
        <v>16306.12679277449</v>
      </c>
      <c r="AJ192" s="270">
        <f t="shared" ca="1" si="49"/>
        <v>17487.487846554108</v>
      </c>
      <c r="AK192" s="177"/>
    </row>
    <row r="193" spans="3:37">
      <c r="C193" s="666"/>
      <c r="D193" s="196" t="s">
        <v>1119</v>
      </c>
      <c r="E193" s="196"/>
      <c r="F193" s="196"/>
      <c r="G193" s="196"/>
      <c r="H193" s="196"/>
      <c r="J193" s="196"/>
      <c r="K193" s="67"/>
      <c r="L193" s="67"/>
      <c r="M193" s="211"/>
      <c r="N193" s="211"/>
      <c r="O193" s="211"/>
      <c r="P193" s="211"/>
      <c r="Q193" s="211"/>
      <c r="R193" s="211"/>
      <c r="S193" s="270">
        <f>'Finance&amp;Tax_FO'!S15*'Rev&amp;RAV_FO'!S85</f>
        <v>0</v>
      </c>
      <c r="T193" s="270">
        <f>'Finance&amp;Tax_FO'!T15*'Rev&amp;RAV_FO'!T85</f>
        <v>0</v>
      </c>
      <c r="U193" s="270">
        <f>'Finance&amp;Tax_FO'!U15*'Rev&amp;RAV_FO'!U85</f>
        <v>168.63333040818196</v>
      </c>
      <c r="V193" s="270">
        <f>'Finance&amp;Tax_FO'!V15*'Rev&amp;RAV_FO'!V85</f>
        <v>143.16305681223878</v>
      </c>
      <c r="W193" s="270">
        <f>'Finance&amp;Tax_FO'!W15*'Rev&amp;RAV_FO'!W85</f>
        <v>154.97703497778286</v>
      </c>
      <c r="X193" s="310">
        <f>'Finance&amp;Tax_FO'!X15*'Rev&amp;RAV_FO'!X85</f>
        <v>176.42408652689511</v>
      </c>
      <c r="Y193" s="270">
        <f>'Finance&amp;Tax_FO'!Y15*'Rev&amp;RAV_FO'!Y85</f>
        <v>191.88539872068233</v>
      </c>
      <c r="Z193" s="270">
        <f>'Finance&amp;Tax_FO'!Z15*'Rev&amp;RAV_FO'!Z85</f>
        <v>225.6</v>
      </c>
      <c r="AA193" s="270">
        <f>'Finance&amp;Tax_FO'!AA15*'Rev&amp;RAV_FO'!AA85</f>
        <v>289.12390243902439</v>
      </c>
      <c r="AB193" s="270">
        <f>'Finance&amp;Tax_FO'!AB15*'Rev&amp;RAV_FO'!AB85</f>
        <v>358.17926605591907</v>
      </c>
      <c r="AC193" s="270">
        <f>'Finance&amp;Tax_FO'!AC15*'Rev&amp;RAV_FO'!AC85</f>
        <v>444.66547144980484</v>
      </c>
      <c r="AD193" s="270">
        <f>'Finance&amp;Tax_FO'!AD15*'Rev&amp;RAV_FO'!AD85</f>
        <v>517.90612766199047</v>
      </c>
      <c r="AE193" s="270">
        <f>'Finance&amp;Tax_FO'!AE15*'Rev&amp;RAV_FO'!AE85</f>
        <v>576.21067943183175</v>
      </c>
      <c r="AF193" s="270">
        <f>'Finance&amp;Tax_FO'!AF15*'Rev&amp;RAV_FO'!AF85</f>
        <v>633.29199330835047</v>
      </c>
      <c r="AG193" s="270">
        <f>'Finance&amp;Tax_FO'!AG15*'Rev&amp;RAV_FO'!AG85</f>
        <v>705.94030455365476</v>
      </c>
      <c r="AH193" s="270">
        <f>'Finance&amp;Tax_FO'!AH15*'Rev&amp;RAV_FO'!AH85</f>
        <v>784.4724565142692</v>
      </c>
      <c r="AI193" s="270">
        <f>'Finance&amp;Tax_FO'!AI15*'Rev&amp;RAV_FO'!AI85</f>
        <v>853.41250716086756</v>
      </c>
      <c r="AJ193" s="270">
        <f>'Finance&amp;Tax_FO'!AJ15*'Rev&amp;RAV_FO'!AJ85</f>
        <v>937.47336634917212</v>
      </c>
      <c r="AK193" s="177"/>
    </row>
    <row r="194" spans="3:37">
      <c r="C194" s="666"/>
      <c r="D194" s="196" t="s">
        <v>1120</v>
      </c>
      <c r="E194" s="196"/>
      <c r="F194" s="196"/>
      <c r="G194" s="196"/>
      <c r="H194" s="196"/>
      <c r="J194" s="196"/>
      <c r="K194" s="67"/>
      <c r="L194" s="67"/>
      <c r="M194" s="211"/>
      <c r="N194" s="211"/>
      <c r="O194" s="211"/>
      <c r="P194" s="211"/>
      <c r="Q194" s="211"/>
      <c r="R194" s="211"/>
      <c r="S194" s="270">
        <f t="shared" ref="S194:AE194" si="50">S61</f>
        <v>0</v>
      </c>
      <c r="T194" s="270">
        <f t="shared" si="50"/>
        <v>0</v>
      </c>
      <c r="U194" s="270">
        <f t="shared" si="50"/>
        <v>183.53796703649297</v>
      </c>
      <c r="V194" s="270">
        <f t="shared" si="50"/>
        <v>184.72909928967334</v>
      </c>
      <c r="W194" s="270">
        <f t="shared" si="50"/>
        <v>195.90918133750179</v>
      </c>
      <c r="X194" s="310">
        <f t="shared" si="50"/>
        <v>198.26265482145928</v>
      </c>
      <c r="Y194" s="270">
        <f t="shared" si="50"/>
        <v>189.59272982706847</v>
      </c>
      <c r="Z194" s="270">
        <f t="shared" si="50"/>
        <v>182.79821737039563</v>
      </c>
      <c r="AA194" s="270">
        <f t="shared" si="50"/>
        <v>257.79566727593107</v>
      </c>
      <c r="AB194" s="270">
        <f t="shared" si="50"/>
        <v>271.48157271273476</v>
      </c>
      <c r="AC194" s="270">
        <f t="shared" si="50"/>
        <v>281.67455382799483</v>
      </c>
      <c r="AD194" s="270">
        <f t="shared" si="50"/>
        <v>279.40700337805629</v>
      </c>
      <c r="AE194" s="270">
        <f t="shared" si="50"/>
        <v>280.3683492642885</v>
      </c>
      <c r="AF194" s="270">
        <f>AF61</f>
        <v>290.53974153897792</v>
      </c>
      <c r="AG194" s="270">
        <f>AG61</f>
        <v>265.38601361775858</v>
      </c>
      <c r="AH194" s="270">
        <f>AH61</f>
        <v>236.71990740756479</v>
      </c>
      <c r="AI194" s="270">
        <f>AI61</f>
        <v>204.31472503354775</v>
      </c>
      <c r="AJ194" s="270">
        <f>AJ61</f>
        <v>167.96026407408445</v>
      </c>
      <c r="AK194" s="177"/>
    </row>
    <row r="195" spans="3:37">
      <c r="C195" s="666"/>
      <c r="D195" s="117" t="s">
        <v>1121</v>
      </c>
      <c r="E195" s="117"/>
      <c r="F195" s="117"/>
      <c r="G195" s="117"/>
      <c r="H195" s="117"/>
      <c r="I195" s="93"/>
      <c r="J195" s="117"/>
      <c r="K195" s="67"/>
      <c r="L195" s="67"/>
      <c r="M195" s="211"/>
      <c r="N195" s="211"/>
      <c r="O195" s="211"/>
      <c r="P195" s="211"/>
      <c r="Q195" s="211"/>
      <c r="R195" s="211"/>
      <c r="S195" s="713">
        <f>S194+S193+(S192-S191)*$F$183</f>
        <v>0</v>
      </c>
      <c r="T195" s="680">
        <f>T194+T193+(T192-T191)*$F$183</f>
        <v>0</v>
      </c>
      <c r="U195" s="1802">
        <f>U194+U193+(U192-U191)*$F$183</f>
        <v>572.30813277596872</v>
      </c>
      <c r="V195" s="713">
        <f ca="1">V194+V193+(V192-V191)*$H$183</f>
        <v>544.49558833047763</v>
      </c>
      <c r="W195" s="717">
        <f ca="1">W194+W193+(W192-W191)*$H$183</f>
        <v>553.91357161522171</v>
      </c>
      <c r="X195" s="717">
        <f ca="1">X194+X193+(X192-X191)*$H$183</f>
        <v>571.08451779047573</v>
      </c>
      <c r="Y195" s="680">
        <f ca="1">Y194+Y193+(Y192-Y191)*$H$183</f>
        <v>581.22239872068235</v>
      </c>
      <c r="Z195" s="680">
        <f ca="1">Z194+Z193+(Z192-Z191)*$H$183</f>
        <v>607.43104216999996</v>
      </c>
      <c r="AA195" s="713">
        <f ca="1">AA194+AA193+(AA192-AA191)*$J$183</f>
        <v>662.61550848902448</v>
      </c>
      <c r="AB195" s="680">
        <f t="shared" ref="AB195:AJ195" ca="1" si="51">AB194+AB193+(AB192-AB191)*$J$183</f>
        <v>720.72308742591906</v>
      </c>
      <c r="AC195" s="680">
        <f t="shared" ca="1" si="51"/>
        <v>792.8427049698048</v>
      </c>
      <c r="AD195" s="680">
        <f t="shared" ca="1" si="51"/>
        <v>849.3667815919905</v>
      </c>
      <c r="AE195" s="1803">
        <f t="shared" ca="1" si="51"/>
        <v>888.66298617183179</v>
      </c>
      <c r="AF195" s="680">
        <f t="shared" ca="1" si="51"/>
        <v>933.96773615799077</v>
      </c>
      <c r="AG195" s="680">
        <f t="shared" ca="1" si="51"/>
        <v>956.99659589295561</v>
      </c>
      <c r="AH195" s="680">
        <f t="shared" ca="1" si="51"/>
        <v>979.67523477546672</v>
      </c>
      <c r="AI195" s="680">
        <f t="shared" ca="1" si="51"/>
        <v>986.63344568337595</v>
      </c>
      <c r="AJ195" s="1803">
        <f t="shared" ca="1" si="51"/>
        <v>1001.8498952503928</v>
      </c>
      <c r="AK195" s="177"/>
    </row>
    <row r="196" spans="3:37">
      <c r="C196" s="666"/>
      <c r="D196" s="196"/>
      <c r="E196" s="196"/>
      <c r="F196" s="196"/>
      <c r="G196" s="196"/>
      <c r="H196" s="196"/>
      <c r="J196" s="196"/>
      <c r="K196" s="67"/>
      <c r="L196" s="67"/>
      <c r="M196" s="211"/>
      <c r="N196" s="211"/>
      <c r="O196" s="211"/>
      <c r="P196" s="211"/>
      <c r="Q196" s="211"/>
      <c r="R196" s="211"/>
      <c r="S196" s="211"/>
      <c r="T196" s="211"/>
      <c r="U196" s="211"/>
      <c r="V196" s="211"/>
      <c r="W196" s="211"/>
      <c r="X196" s="596"/>
      <c r="Y196" s="596"/>
      <c r="Z196" s="596"/>
      <c r="AA196" s="596"/>
      <c r="AB196" s="596"/>
      <c r="AC196" s="596"/>
      <c r="AD196" s="596"/>
      <c r="AE196" s="596"/>
      <c r="AF196" s="596"/>
      <c r="AG196" s="596"/>
      <c r="AH196" s="596"/>
      <c r="AI196" s="596"/>
      <c r="AJ196" s="596"/>
      <c r="AK196" s="157"/>
    </row>
    <row r="197" spans="3:37" ht="12.75" thickBot="1">
      <c r="C197" s="167"/>
      <c r="D197" s="168"/>
      <c r="E197" s="168"/>
      <c r="F197" s="168"/>
      <c r="G197" s="168"/>
      <c r="H197" s="168"/>
      <c r="I197" s="181"/>
      <c r="J197" s="168"/>
      <c r="K197" s="181"/>
      <c r="L197" s="181"/>
      <c r="M197" s="181"/>
      <c r="N197" s="181"/>
      <c r="O197" s="181"/>
      <c r="P197" s="181"/>
      <c r="Q197" s="181"/>
      <c r="R197" s="181"/>
      <c r="S197" s="181"/>
      <c r="T197" s="181"/>
      <c r="U197" s="181"/>
      <c r="V197" s="181"/>
      <c r="W197" s="181"/>
      <c r="X197" s="168"/>
      <c r="Y197" s="168"/>
      <c r="Z197" s="168"/>
      <c r="AA197" s="168"/>
      <c r="AB197" s="168"/>
      <c r="AC197" s="168"/>
      <c r="AD197" s="168"/>
      <c r="AE197" s="168"/>
      <c r="AF197" s="168"/>
      <c r="AG197" s="168"/>
      <c r="AH197" s="168"/>
      <c r="AI197" s="168"/>
      <c r="AJ197" s="168"/>
      <c r="AK197" s="170"/>
    </row>
    <row r="198" spans="3:37">
      <c r="K198" s="695"/>
      <c r="L198" s="695"/>
      <c r="M198" s="695"/>
      <c r="N198" s="695"/>
      <c r="O198" s="695"/>
      <c r="P198" s="695"/>
      <c r="Q198" s="695"/>
      <c r="R198" s="695"/>
      <c r="S198" s="67"/>
      <c r="T198" s="67"/>
      <c r="U198" s="67"/>
      <c r="V198" s="67"/>
      <c r="W198" s="67"/>
    </row>
    <row r="199" spans="3:37" ht="12.75" thickBot="1">
      <c r="K199" s="695"/>
      <c r="L199" s="695"/>
      <c r="M199" s="695"/>
      <c r="N199" s="695"/>
      <c r="O199" s="695"/>
      <c r="P199" s="695"/>
      <c r="Q199" s="695"/>
      <c r="R199" s="695"/>
      <c r="S199" s="67"/>
      <c r="T199" s="67"/>
      <c r="U199" s="67"/>
      <c r="V199" s="67"/>
      <c r="W199" s="67"/>
    </row>
    <row r="200" spans="3:37">
      <c r="C200" s="152"/>
      <c r="D200" s="153"/>
      <c r="E200" s="153"/>
      <c r="F200" s="153"/>
      <c r="G200" s="153"/>
      <c r="H200" s="153"/>
      <c r="I200" s="220"/>
      <c r="J200" s="153"/>
      <c r="K200" s="663"/>
      <c r="L200" s="663"/>
      <c r="M200" s="663"/>
      <c r="N200" s="663"/>
      <c r="O200" s="663"/>
      <c r="P200" s="663"/>
      <c r="Q200" s="663"/>
      <c r="R200" s="663"/>
      <c r="S200" s="663"/>
      <c r="T200" s="663"/>
      <c r="U200" s="663"/>
      <c r="V200" s="663"/>
      <c r="W200" s="663"/>
      <c r="X200" s="632"/>
      <c r="Y200" s="632"/>
      <c r="Z200" s="632"/>
      <c r="AA200" s="632"/>
      <c r="AB200" s="632"/>
      <c r="AC200" s="632"/>
      <c r="AD200" s="632"/>
      <c r="AE200" s="632"/>
      <c r="AF200" s="632"/>
      <c r="AG200" s="632"/>
      <c r="AH200" s="632"/>
      <c r="AI200" s="632"/>
      <c r="AJ200" s="632"/>
      <c r="AK200" s="154"/>
    </row>
    <row r="201" spans="3:37" ht="15.75">
      <c r="C201" s="155"/>
      <c r="D201" s="1919" t="s">
        <v>1122</v>
      </c>
      <c r="K201" s="211"/>
      <c r="L201" s="211"/>
      <c r="M201" s="211"/>
      <c r="N201" s="211"/>
      <c r="O201" s="211"/>
      <c r="P201" s="211"/>
      <c r="Q201" s="211"/>
      <c r="R201" s="211"/>
      <c r="S201" s="211"/>
      <c r="T201" s="211"/>
      <c r="U201" s="211"/>
      <c r="V201" s="211"/>
      <c r="W201" s="211"/>
      <c r="X201" s="166"/>
      <c r="Y201" s="166"/>
      <c r="Z201" s="166"/>
      <c r="AA201" s="166"/>
      <c r="AB201" s="166"/>
      <c r="AC201" s="166"/>
      <c r="AD201" s="166"/>
      <c r="AE201" s="166"/>
      <c r="AF201" s="166"/>
      <c r="AG201" s="166"/>
      <c r="AH201" s="166"/>
      <c r="AI201" s="166"/>
      <c r="AJ201" s="166"/>
      <c r="AK201" s="157"/>
    </row>
    <row r="202" spans="3:37">
      <c r="C202" s="155"/>
      <c r="D202" s="215" t="s">
        <v>976</v>
      </c>
      <c r="K202" s="67"/>
      <c r="L202" s="67"/>
      <c r="M202" s="67"/>
      <c r="N202" s="67"/>
      <c r="O202" s="67"/>
      <c r="P202" s="67"/>
      <c r="Q202" s="67"/>
      <c r="R202" s="67"/>
      <c r="S202" s="67"/>
      <c r="T202" s="67"/>
      <c r="U202" s="67"/>
      <c r="V202" s="67"/>
      <c r="W202" s="67"/>
      <c r="AK202" s="157"/>
    </row>
    <row r="203" spans="3:37">
      <c r="C203" s="155"/>
      <c r="D203" s="196"/>
      <c r="E203" s="196"/>
      <c r="F203" s="196"/>
      <c r="G203" s="196"/>
      <c r="H203" s="196"/>
      <c r="J203" s="310"/>
      <c r="K203" s="270"/>
      <c r="L203" s="270"/>
      <c r="M203" s="270"/>
      <c r="N203" s="270"/>
      <c r="O203" s="270"/>
      <c r="P203" s="270"/>
      <c r="Q203" s="270"/>
      <c r="R203" s="270"/>
      <c r="S203" s="270"/>
      <c r="T203" s="270"/>
      <c r="U203" s="270"/>
      <c r="V203" s="270"/>
      <c r="W203" s="270"/>
      <c r="X203" s="310"/>
      <c r="Y203" s="310"/>
      <c r="Z203" s="310"/>
      <c r="AA203" s="310"/>
      <c r="AB203" s="310"/>
      <c r="AC203" s="310"/>
      <c r="AD203" s="310"/>
      <c r="AE203" s="310"/>
      <c r="AF203" s="310"/>
      <c r="AG203" s="310"/>
      <c r="AH203" s="310"/>
      <c r="AI203" s="310"/>
      <c r="AJ203" s="310"/>
      <c r="AK203" s="157"/>
    </row>
    <row r="204" spans="3:37">
      <c r="C204" s="155"/>
      <c r="D204" s="117" t="s">
        <v>1123</v>
      </c>
      <c r="E204" s="196"/>
      <c r="F204" s="196"/>
      <c r="G204" s="196"/>
      <c r="H204" s="714"/>
      <c r="I204" s="533"/>
      <c r="J204" s="715"/>
      <c r="K204" s="270"/>
      <c r="L204" s="270"/>
      <c r="M204" s="270"/>
      <c r="N204" s="270"/>
      <c r="O204" s="270"/>
      <c r="P204" s="270"/>
      <c r="Q204" s="270"/>
      <c r="R204" s="270"/>
      <c r="S204" s="270"/>
      <c r="T204" s="270"/>
      <c r="U204" s="270"/>
      <c r="V204" s="270"/>
      <c r="W204" s="270"/>
      <c r="X204" s="310"/>
      <c r="Y204" s="310"/>
      <c r="Z204" s="310"/>
      <c r="AA204" s="310"/>
      <c r="AB204" s="310"/>
      <c r="AC204" s="310"/>
      <c r="AD204" s="310"/>
      <c r="AE204" s="310"/>
      <c r="AF204" s="310"/>
      <c r="AG204" s="310"/>
      <c r="AH204" s="310"/>
      <c r="AI204" s="310"/>
      <c r="AJ204" s="310"/>
      <c r="AK204" s="157"/>
    </row>
    <row r="205" spans="3:37">
      <c r="C205" s="155"/>
      <c r="D205" s="196"/>
      <c r="E205" s="196" t="s">
        <v>833</v>
      </c>
      <c r="F205" s="196"/>
      <c r="G205" s="196"/>
      <c r="H205" s="196"/>
      <c r="J205" s="310"/>
      <c r="K205" s="270"/>
      <c r="L205" s="270"/>
      <c r="M205" s="270"/>
      <c r="N205" s="270"/>
      <c r="O205" s="270"/>
      <c r="P205" s="270"/>
      <c r="Q205" s="270"/>
      <c r="R205" s="270"/>
      <c r="S205" s="270">
        <f t="shared" ref="S205:AB205" si="52">+S83</f>
        <v>0</v>
      </c>
      <c r="T205" s="270">
        <f t="shared" si="52"/>
        <v>0</v>
      </c>
      <c r="U205" s="270">
        <f t="shared" si="52"/>
        <v>1622.6567864555841</v>
      </c>
      <c r="V205" s="270">
        <f t="shared" si="52"/>
        <v>1584.3199911875399</v>
      </c>
      <c r="W205" s="270">
        <f t="shared" si="52"/>
        <v>1656.3499734175352</v>
      </c>
      <c r="X205" s="310">
        <f t="shared" si="52"/>
        <v>1782.1525346238095</v>
      </c>
      <c r="Y205" s="310">
        <f t="shared" si="52"/>
        <v>1868.0577934859641</v>
      </c>
      <c r="Z205" s="310">
        <f t="shared" si="52"/>
        <v>1910.9108943274211</v>
      </c>
      <c r="AA205" s="310">
        <f t="shared" si="52"/>
        <v>1977.1199138538614</v>
      </c>
      <c r="AB205" s="310">
        <f t="shared" si="52"/>
        <v>2112.8995904649382</v>
      </c>
      <c r="AC205" s="310">
        <f t="shared" ref="AC205:AJ205" si="53">+AC83</f>
        <v>2215.6317762666331</v>
      </c>
      <c r="AD205" s="310">
        <f t="shared" si="53"/>
        <v>2322.6612515854067</v>
      </c>
      <c r="AE205" s="310">
        <f t="shared" si="53"/>
        <v>2435.0736374375851</v>
      </c>
      <c r="AF205" s="310">
        <f t="shared" si="53"/>
        <v>2622.1546458037888</v>
      </c>
      <c r="AG205" s="310">
        <f t="shared" si="53"/>
        <v>2734.8949804367053</v>
      </c>
      <c r="AH205" s="310">
        <f t="shared" si="53"/>
        <v>2854.123516024496</v>
      </c>
      <c r="AI205" s="310">
        <f t="shared" si="53"/>
        <v>2986.0622351468601</v>
      </c>
      <c r="AJ205" s="310">
        <f t="shared" si="53"/>
        <v>3119.3513719721282</v>
      </c>
      <c r="AK205" s="157"/>
    </row>
    <row r="206" spans="3:37">
      <c r="C206" s="155"/>
      <c r="D206" s="196"/>
      <c r="E206" s="196" t="s">
        <v>1124</v>
      </c>
      <c r="F206" s="196"/>
      <c r="G206" s="196"/>
      <c r="H206" s="196"/>
      <c r="J206" s="310"/>
      <c r="K206" s="270"/>
      <c r="L206" s="270"/>
      <c r="M206" s="270"/>
      <c r="N206" s="270"/>
      <c r="O206" s="270"/>
      <c r="P206" s="270"/>
      <c r="Q206" s="270"/>
      <c r="R206" s="270"/>
      <c r="S206" s="270">
        <f t="shared" ref="S206:AB206" si="54">+S86</f>
        <v>0</v>
      </c>
      <c r="T206" s="270">
        <f t="shared" si="54"/>
        <v>0</v>
      </c>
      <c r="U206" s="270">
        <f t="shared" ca="1" si="54"/>
        <v>174.77240566031998</v>
      </c>
      <c r="V206" s="270">
        <f t="shared" ca="1" si="54"/>
        <v>192.78851482800005</v>
      </c>
      <c r="W206" s="270">
        <f t="shared" ca="1" si="54"/>
        <v>215.28280799999999</v>
      </c>
      <c r="X206" s="310">
        <f t="shared" ca="1" si="54"/>
        <v>216.62184160656</v>
      </c>
      <c r="Y206" s="310">
        <f t="shared" ca="1" si="54"/>
        <v>217.57187426831999</v>
      </c>
      <c r="Z206" s="310">
        <f t="shared" ca="1" si="54"/>
        <v>244.65017134288519</v>
      </c>
      <c r="AA206" s="310">
        <f t="shared" ca="1" si="54"/>
        <v>264.12802815887164</v>
      </c>
      <c r="AB206" s="310">
        <f t="shared" ca="1" si="54"/>
        <v>281.46212010537869</v>
      </c>
      <c r="AC206" s="310">
        <f t="shared" ref="AC206:AJ206" ca="1" si="55">+AC86</f>
        <v>290.7921391501007</v>
      </c>
      <c r="AD206" s="310">
        <f t="shared" ca="1" si="55"/>
        <v>298.04191132752618</v>
      </c>
      <c r="AE206" s="310">
        <f t="shared" ca="1" si="55"/>
        <v>301.97739211900364</v>
      </c>
      <c r="AF206" s="310">
        <f t="shared" ca="1" si="55"/>
        <v>316.11863462517329</v>
      </c>
      <c r="AG206" s="310">
        <f t="shared" ca="1" si="55"/>
        <v>316.49205350883375</v>
      </c>
      <c r="AH206" s="310">
        <f t="shared" ca="1" si="55"/>
        <v>314.26357996107834</v>
      </c>
      <c r="AI206" s="310">
        <f t="shared" ca="1" si="55"/>
        <v>312.06353929380384</v>
      </c>
      <c r="AJ206" s="310">
        <f t="shared" ca="1" si="55"/>
        <v>309.89187360068121</v>
      </c>
      <c r="AK206" s="157"/>
    </row>
    <row r="207" spans="3:37">
      <c r="C207" s="155"/>
      <c r="D207" s="196"/>
      <c r="E207" s="196" t="s">
        <v>1125</v>
      </c>
      <c r="F207" s="196"/>
      <c r="G207" s="196"/>
      <c r="H207" s="196"/>
      <c r="J207" s="310"/>
      <c r="K207" s="270"/>
      <c r="L207" s="270"/>
      <c r="M207" s="270"/>
      <c r="N207" s="270"/>
      <c r="O207" s="270"/>
      <c r="P207" s="270"/>
      <c r="Q207" s="270"/>
      <c r="R207" s="270"/>
      <c r="S207" s="270">
        <f t="shared" ref="S207:AJ207" si="56">+S90</f>
        <v>0</v>
      </c>
      <c r="T207" s="270">
        <f t="shared" si="56"/>
        <v>0</v>
      </c>
      <c r="U207" s="270">
        <f t="shared" ca="1" si="56"/>
        <v>0</v>
      </c>
      <c r="V207" s="270">
        <f t="shared" ca="1" si="56"/>
        <v>0</v>
      </c>
      <c r="W207" s="270">
        <f t="shared" ca="1" si="56"/>
        <v>0</v>
      </c>
      <c r="X207" s="310">
        <f t="shared" ca="1" si="56"/>
        <v>0</v>
      </c>
      <c r="Y207" s="310">
        <f t="shared" ca="1" si="56"/>
        <v>0</v>
      </c>
      <c r="Z207" s="310">
        <f t="shared" ca="1" si="56"/>
        <v>0</v>
      </c>
      <c r="AA207" s="310">
        <f t="shared" ca="1" si="56"/>
        <v>2.4343145432480671</v>
      </c>
      <c r="AB207" s="310">
        <f t="shared" ca="1" si="56"/>
        <v>2.3799912722259982</v>
      </c>
      <c r="AC207" s="310">
        <f t="shared" ca="1" si="56"/>
        <v>2.5774078624557704</v>
      </c>
      <c r="AD207" s="310">
        <f t="shared" ca="1" si="56"/>
        <v>3.048631124999829</v>
      </c>
      <c r="AE207" s="310">
        <f t="shared" ca="1" si="56"/>
        <v>3.1369384414516541</v>
      </c>
      <c r="AF207" s="310">
        <f t="shared" ca="1" si="56"/>
        <v>2.7689787001033506</v>
      </c>
      <c r="AG207" s="310">
        <f t="shared" ca="1" si="56"/>
        <v>2.5210991682616402</v>
      </c>
      <c r="AH207" s="310">
        <f t="shared" ca="1" si="56"/>
        <v>2.5942110441412276</v>
      </c>
      <c r="AI207" s="310">
        <f t="shared" ca="1" si="56"/>
        <v>2.669443164421323</v>
      </c>
      <c r="AJ207" s="310">
        <f t="shared" ca="1" si="56"/>
        <v>2.7468570161895411</v>
      </c>
      <c r="AK207" s="157"/>
    </row>
    <row r="208" spans="3:37">
      <c r="C208" s="155"/>
      <c r="D208" s="196"/>
      <c r="E208" s="196" t="s">
        <v>1126</v>
      </c>
      <c r="F208" s="196"/>
      <c r="G208" s="196"/>
      <c r="H208" s="196"/>
      <c r="J208" s="310"/>
      <c r="K208" s="270"/>
      <c r="L208" s="270"/>
      <c r="M208" s="270"/>
      <c r="N208" s="270"/>
      <c r="O208" s="270"/>
      <c r="P208" s="270"/>
      <c r="Q208" s="270"/>
      <c r="R208" s="270"/>
      <c r="S208" s="270">
        <f t="shared" ref="S208:AB208" si="57">S132</f>
        <v>0</v>
      </c>
      <c r="T208" s="310">
        <f t="shared" si="57"/>
        <v>0</v>
      </c>
      <c r="U208" s="310">
        <f t="shared" si="57"/>
        <v>453.22741056525319</v>
      </c>
      <c r="V208" s="310">
        <f t="shared" si="57"/>
        <v>447.53062933908552</v>
      </c>
      <c r="W208" s="310">
        <f t="shared" si="57"/>
        <v>433.8556710699803</v>
      </c>
      <c r="X208" s="310">
        <f t="shared" si="57"/>
        <v>454.52663481782895</v>
      </c>
      <c r="Y208" s="310">
        <f t="shared" si="57"/>
        <v>279.53333547904583</v>
      </c>
      <c r="Z208" s="310">
        <f t="shared" si="57"/>
        <v>365.72688175705639</v>
      </c>
      <c r="AA208" s="310">
        <f t="shared" si="57"/>
        <v>345.0560582222563</v>
      </c>
      <c r="AB208" s="310">
        <f t="shared" si="57"/>
        <v>316.42708911055661</v>
      </c>
      <c r="AC208" s="310">
        <f t="shared" ref="AC208:AJ208" si="58">AC132</f>
        <v>316.36457090261638</v>
      </c>
      <c r="AD208" s="310">
        <f t="shared" si="58"/>
        <v>325.50528467100014</v>
      </c>
      <c r="AE208" s="310">
        <f t="shared" si="58"/>
        <v>327.65990426060847</v>
      </c>
      <c r="AF208" s="310">
        <f t="shared" si="58"/>
        <v>290.53974153897792</v>
      </c>
      <c r="AG208" s="310">
        <f t="shared" si="58"/>
        <v>265.38601361775858</v>
      </c>
      <c r="AH208" s="310">
        <f t="shared" si="58"/>
        <v>236.71990740756479</v>
      </c>
      <c r="AI208" s="310">
        <f t="shared" si="58"/>
        <v>204.31472503354775</v>
      </c>
      <c r="AJ208" s="310">
        <f t="shared" si="58"/>
        <v>167.96026407408445</v>
      </c>
      <c r="AK208" s="157"/>
    </row>
    <row r="209" spans="3:37">
      <c r="C209" s="155"/>
      <c r="D209" s="196"/>
      <c r="E209" s="196" t="s">
        <v>1127</v>
      </c>
      <c r="F209" s="196"/>
      <c r="G209" s="196"/>
      <c r="H209" s="196"/>
      <c r="J209" s="310"/>
      <c r="K209" s="270"/>
      <c r="L209" s="270"/>
      <c r="M209" s="270"/>
      <c r="N209" s="270"/>
      <c r="O209" s="270"/>
      <c r="P209" s="270"/>
      <c r="Q209" s="270"/>
      <c r="R209" s="270"/>
      <c r="S209" s="270">
        <f>-S84</f>
        <v>0</v>
      </c>
      <c r="T209" s="310">
        <f>-T84</f>
        <v>0</v>
      </c>
      <c r="U209" s="270">
        <f>-U84</f>
        <v>0</v>
      </c>
      <c r="V209" s="270">
        <f t="shared" ref="V209:AJ209" si="59">-V84</f>
        <v>0</v>
      </c>
      <c r="W209" s="270">
        <f t="shared" si="59"/>
        <v>0</v>
      </c>
      <c r="X209" s="270">
        <f t="shared" si="59"/>
        <v>0</v>
      </c>
      <c r="Y209" s="270">
        <f t="shared" si="59"/>
        <v>0</v>
      </c>
      <c r="Z209" s="270">
        <f t="shared" si="59"/>
        <v>0</v>
      </c>
      <c r="AA209" s="270">
        <f t="shared" si="59"/>
        <v>0</v>
      </c>
      <c r="AB209" s="270">
        <f t="shared" si="59"/>
        <v>0</v>
      </c>
      <c r="AC209" s="270">
        <f t="shared" si="59"/>
        <v>0</v>
      </c>
      <c r="AD209" s="270">
        <f t="shared" si="59"/>
        <v>0</v>
      </c>
      <c r="AE209" s="270">
        <f t="shared" si="59"/>
        <v>0</v>
      </c>
      <c r="AF209" s="270">
        <f t="shared" si="59"/>
        <v>0</v>
      </c>
      <c r="AG209" s="270">
        <f t="shared" si="59"/>
        <v>0</v>
      </c>
      <c r="AH209" s="270">
        <f t="shared" si="59"/>
        <v>0</v>
      </c>
      <c r="AI209" s="270">
        <f t="shared" si="59"/>
        <v>0</v>
      </c>
      <c r="AJ209" s="270">
        <f t="shared" si="59"/>
        <v>0</v>
      </c>
      <c r="AK209" s="157"/>
    </row>
    <row r="210" spans="3:37">
      <c r="C210" s="155"/>
      <c r="D210" s="196"/>
      <c r="E210" s="196" t="s">
        <v>1128</v>
      </c>
      <c r="F210" s="196"/>
      <c r="G210" s="196"/>
      <c r="H210" s="196"/>
      <c r="J210" s="310"/>
      <c r="K210" s="270"/>
      <c r="L210" s="270"/>
      <c r="M210" s="270"/>
      <c r="N210" s="270"/>
      <c r="O210" s="270"/>
      <c r="P210" s="270"/>
      <c r="Q210" s="270"/>
      <c r="R210" s="270"/>
      <c r="S210" s="270">
        <f t="shared" ref="S210:AJ210" si="60">+S128</f>
        <v>0</v>
      </c>
      <c r="T210" s="310">
        <f t="shared" si="60"/>
        <v>0</v>
      </c>
      <c r="U210" s="310">
        <f t="shared" ca="1" si="60"/>
        <v>-952.75942242123597</v>
      </c>
      <c r="V210" s="310">
        <f t="shared" ca="1" si="60"/>
        <v>-995.08565521185415</v>
      </c>
      <c r="W210" s="310">
        <f t="shared" ca="1" si="60"/>
        <v>-1027.2066754991595</v>
      </c>
      <c r="X210" s="310">
        <f t="shared" ca="1" si="60"/>
        <v>-1081.5625683292003</v>
      </c>
      <c r="Y210" s="310">
        <f t="shared" ca="1" si="60"/>
        <v>-1137.8399630407569</v>
      </c>
      <c r="Z210" s="310">
        <f t="shared" ca="1" si="60"/>
        <v>-1134.7904057673629</v>
      </c>
      <c r="AA210" s="310">
        <f t="shared" ca="1" si="60"/>
        <v>-1148.4330777730272</v>
      </c>
      <c r="AB210" s="310">
        <f t="shared" ca="1" si="60"/>
        <v>-1174.3862548846105</v>
      </c>
      <c r="AC210" s="310">
        <f t="shared" ca="1" si="60"/>
        <v>-1215.2074935541166</v>
      </c>
      <c r="AD210" s="310">
        <f t="shared" ca="1" si="60"/>
        <v>-1231.0245253234198</v>
      </c>
      <c r="AE210" s="310">
        <f t="shared" ca="1" si="60"/>
        <v>-1243.8609719196186</v>
      </c>
      <c r="AF210" s="310">
        <f t="shared" ca="1" si="60"/>
        <v>-1253.2176890721109</v>
      </c>
      <c r="AG210" s="310">
        <f t="shared" ca="1" si="60"/>
        <v>-1258.9330477192229</v>
      </c>
      <c r="AH210" s="310">
        <f t="shared" ca="1" si="60"/>
        <v>-1249.8698915883058</v>
      </c>
      <c r="AI210" s="310">
        <f t="shared" ca="1" si="60"/>
        <v>-1252.4841852923525</v>
      </c>
      <c r="AJ210" s="310">
        <f t="shared" ca="1" si="60"/>
        <v>-1248.3508106942447</v>
      </c>
      <c r="AK210" s="157"/>
    </row>
    <row r="211" spans="3:37">
      <c r="C211" s="155"/>
      <c r="D211" s="196"/>
      <c r="E211" s="196" t="s">
        <v>1129</v>
      </c>
      <c r="F211" s="196"/>
      <c r="G211" s="196"/>
      <c r="H211" s="196"/>
      <c r="J211" s="310"/>
      <c r="K211" s="270"/>
      <c r="L211" s="270"/>
      <c r="M211" s="270"/>
      <c r="N211" s="270"/>
      <c r="O211" s="270"/>
      <c r="P211" s="270"/>
      <c r="Q211" s="270"/>
      <c r="R211" s="270"/>
      <c r="S211" s="270">
        <f t="shared" ref="S211:AJ211" si="61">-S174</f>
        <v>0</v>
      </c>
      <c r="T211" s="310">
        <f t="shared" si="61"/>
        <v>0</v>
      </c>
      <c r="U211" s="310">
        <f t="shared" ca="1" si="61"/>
        <v>-130.6</v>
      </c>
      <c r="V211" s="310">
        <f t="shared" ca="1" si="61"/>
        <v>-113.1</v>
      </c>
      <c r="W211" s="310">
        <f t="shared" ca="1" si="61"/>
        <v>-112.2</v>
      </c>
      <c r="X211" s="310">
        <f t="shared" ca="1" si="61"/>
        <v>-76.8</v>
      </c>
      <c r="Y211" s="310">
        <f t="shared" ca="1" si="61"/>
        <v>-131.9</v>
      </c>
      <c r="Z211" s="310">
        <f t="shared" ca="1" si="61"/>
        <v>-110.12060503000001</v>
      </c>
      <c r="AA211" s="310">
        <f t="shared" ca="1" si="61"/>
        <v>-109.40877779</v>
      </c>
      <c r="AB211" s="310">
        <f t="shared" ca="1" si="61"/>
        <v>-104.98436162</v>
      </c>
      <c r="AC211" s="310">
        <f t="shared" ca="1" si="61"/>
        <v>-85.546914560000019</v>
      </c>
      <c r="AD211" s="310">
        <f t="shared" ca="1" si="61"/>
        <v>-85.044926490000009</v>
      </c>
      <c r="AE211" s="310">
        <f t="shared" ca="1" si="61"/>
        <v>-90.92760976000001</v>
      </c>
      <c r="AF211" s="310">
        <f t="shared" ca="1" si="61"/>
        <v>-117.60524728357194</v>
      </c>
      <c r="AG211" s="310">
        <f t="shared" ca="1" si="61"/>
        <v>-135.12945469107262</v>
      </c>
      <c r="AH211" s="310">
        <f t="shared" ca="1" si="61"/>
        <v>-138.564266460836</v>
      </c>
      <c r="AI211" s="310">
        <f t="shared" ca="1" si="61"/>
        <v>-160.39964745260158</v>
      </c>
      <c r="AJ211" s="310">
        <f t="shared" ca="1" si="61"/>
        <v>-183.18820431330721</v>
      </c>
      <c r="AK211" s="157"/>
    </row>
    <row r="212" spans="3:37">
      <c r="C212" s="155"/>
      <c r="D212" s="196"/>
      <c r="E212" s="196" t="s">
        <v>1130</v>
      </c>
      <c r="F212" s="196"/>
      <c r="G212" s="196"/>
      <c r="H212" s="196"/>
      <c r="J212" s="310"/>
      <c r="K212" s="270"/>
      <c r="L212" s="270"/>
      <c r="M212" s="270"/>
      <c r="N212" s="270"/>
      <c r="O212" s="270"/>
      <c r="P212" s="270"/>
      <c r="Q212" s="270"/>
      <c r="R212" s="270"/>
      <c r="S212" s="270">
        <f t="shared" ref="S212:AJ212" si="62">+S189</f>
        <v>0</v>
      </c>
      <c r="T212" s="310">
        <f t="shared" si="62"/>
        <v>0</v>
      </c>
      <c r="U212" s="310">
        <f t="shared" si="62"/>
        <v>0.11095251604753237</v>
      </c>
      <c r="V212" s="310">
        <f t="shared" ca="1" si="62"/>
        <v>4.2108187706407903E-2</v>
      </c>
      <c r="W212" s="310">
        <f t="shared" ca="1" si="62"/>
        <v>0.13179462686567164</v>
      </c>
      <c r="X212" s="310">
        <f t="shared" ca="1" si="62"/>
        <v>0.54607507147761702</v>
      </c>
      <c r="Y212" s="310">
        <f t="shared" ca="1" si="62"/>
        <v>0.49935852810929193</v>
      </c>
      <c r="Z212" s="310">
        <f t="shared" ca="1" si="62"/>
        <v>3.990635E-2</v>
      </c>
      <c r="AA212" s="310">
        <f t="shared" ca="1" si="62"/>
        <v>3.989653381463415E-2</v>
      </c>
      <c r="AB212" s="310">
        <f t="shared" ca="1" si="62"/>
        <v>3.9968397430101124E-2</v>
      </c>
      <c r="AC212" s="310">
        <f t="shared" ca="1" si="62"/>
        <v>4.0295892114861322E-2</v>
      </c>
      <c r="AD212" s="310">
        <f t="shared" ca="1" si="62"/>
        <v>3.0564896477603517E-2</v>
      </c>
      <c r="AE212" s="310">
        <f t="shared" ca="1" si="62"/>
        <v>3.1336992801612527E-2</v>
      </c>
      <c r="AF212" s="310">
        <f t="shared" ca="1" si="62"/>
        <v>3.2131479919017797E-2</v>
      </c>
      <c r="AG212" s="310">
        <f t="shared" ca="1" si="62"/>
        <v>3.2949007162827823E-2</v>
      </c>
      <c r="AH212" s="310">
        <f t="shared" ca="1" si="62"/>
        <v>3.3790242696708342E-2</v>
      </c>
      <c r="AI212" s="310">
        <f t="shared" ca="1" si="62"/>
        <v>3.4655874061071394E-2</v>
      </c>
      <c r="AJ212" s="310">
        <f t="shared" ca="1" si="62"/>
        <v>3.554660873500097E-2</v>
      </c>
      <c r="AK212" s="157"/>
    </row>
    <row r="213" spans="3:37">
      <c r="C213" s="155"/>
      <c r="D213" s="196"/>
      <c r="E213" s="196" t="s">
        <v>1131</v>
      </c>
      <c r="F213" s="196"/>
      <c r="G213" s="196"/>
      <c r="H213" s="196"/>
      <c r="J213" s="310"/>
      <c r="K213" s="270"/>
      <c r="L213" s="270"/>
      <c r="M213" s="270"/>
      <c r="N213" s="270"/>
      <c r="O213" s="270"/>
      <c r="P213" s="270"/>
      <c r="Q213" s="270"/>
      <c r="R213" s="270"/>
      <c r="S213" s="270">
        <f t="shared" ref="S213:AJ213" si="63">-S195</f>
        <v>0</v>
      </c>
      <c r="T213" s="310">
        <f t="shared" si="63"/>
        <v>0</v>
      </c>
      <c r="U213" s="310">
        <f t="shared" si="63"/>
        <v>-572.30813277596872</v>
      </c>
      <c r="V213" s="310">
        <f t="shared" ca="1" si="63"/>
        <v>-544.49558833047763</v>
      </c>
      <c r="W213" s="310">
        <f t="shared" ca="1" si="63"/>
        <v>-553.91357161522171</v>
      </c>
      <c r="X213" s="310">
        <f t="shared" ca="1" si="63"/>
        <v>-571.08451779047573</v>
      </c>
      <c r="Y213" s="310">
        <f t="shared" ca="1" si="63"/>
        <v>-581.22239872068235</v>
      </c>
      <c r="Z213" s="310">
        <f t="shared" ca="1" si="63"/>
        <v>-607.43104216999996</v>
      </c>
      <c r="AA213" s="310">
        <f t="shared" ca="1" si="63"/>
        <v>-662.61550848902448</v>
      </c>
      <c r="AB213" s="310">
        <f t="shared" ca="1" si="63"/>
        <v>-720.72308742591906</v>
      </c>
      <c r="AC213" s="310">
        <f t="shared" ca="1" si="63"/>
        <v>-792.8427049698048</v>
      </c>
      <c r="AD213" s="310">
        <f t="shared" ca="1" si="63"/>
        <v>-849.3667815919905</v>
      </c>
      <c r="AE213" s="310">
        <f t="shared" ca="1" si="63"/>
        <v>-888.66298617183179</v>
      </c>
      <c r="AF213" s="310">
        <f t="shared" ca="1" si="63"/>
        <v>-933.96773615799077</v>
      </c>
      <c r="AG213" s="310">
        <f t="shared" ca="1" si="63"/>
        <v>-956.99659589295561</v>
      </c>
      <c r="AH213" s="310">
        <f t="shared" ca="1" si="63"/>
        <v>-979.67523477546672</v>
      </c>
      <c r="AI213" s="310">
        <f t="shared" ca="1" si="63"/>
        <v>-986.63344568337595</v>
      </c>
      <c r="AJ213" s="310">
        <f t="shared" ca="1" si="63"/>
        <v>-1001.8498952503928</v>
      </c>
      <c r="AK213" s="157"/>
    </row>
    <row r="214" spans="3:37">
      <c r="C214" s="155"/>
      <c r="D214" s="196"/>
      <c r="E214" s="196"/>
      <c r="F214" s="196"/>
      <c r="G214" s="196"/>
      <c r="H214" s="196"/>
      <c r="J214" s="310"/>
      <c r="K214" s="270"/>
      <c r="L214" s="270"/>
      <c r="M214" s="270"/>
      <c r="N214" s="270"/>
      <c r="O214" s="270"/>
      <c r="P214" s="270"/>
      <c r="Q214" s="270"/>
      <c r="R214" s="270"/>
      <c r="S214" s="270"/>
      <c r="T214" s="310"/>
      <c r="U214" s="310"/>
      <c r="V214" s="310"/>
      <c r="W214" s="310"/>
      <c r="X214" s="310"/>
      <c r="Y214" s="310"/>
      <c r="Z214" s="310"/>
      <c r="AA214" s="310"/>
      <c r="AB214" s="310"/>
      <c r="AC214" s="310"/>
      <c r="AD214" s="310"/>
      <c r="AE214" s="310"/>
      <c r="AF214" s="310"/>
      <c r="AG214" s="310"/>
      <c r="AH214" s="310"/>
      <c r="AI214" s="310"/>
      <c r="AJ214" s="310"/>
      <c r="AK214" s="157"/>
    </row>
    <row r="215" spans="3:37">
      <c r="C215" s="155"/>
      <c r="D215" s="716" t="s">
        <v>1132</v>
      </c>
      <c r="E215" s="516"/>
      <c r="F215" s="516"/>
      <c r="G215" s="516"/>
      <c r="H215" s="516"/>
      <c r="I215" s="352"/>
      <c r="J215" s="620"/>
      <c r="K215" s="312"/>
      <c r="L215" s="312"/>
      <c r="M215" s="312"/>
      <c r="N215" s="312"/>
      <c r="O215" s="312"/>
      <c r="P215" s="312"/>
      <c r="Q215" s="312"/>
      <c r="R215" s="680"/>
      <c r="S215" s="711">
        <f t="shared" ref="S215:AB215" si="64">+SUM(S205:S214)</f>
        <v>0</v>
      </c>
      <c r="T215" s="717">
        <f t="shared" si="64"/>
        <v>0</v>
      </c>
      <c r="U215" s="1804">
        <f t="shared" ca="1" si="64"/>
        <v>595.09999999999991</v>
      </c>
      <c r="V215" s="1805">
        <f t="shared" ca="1" si="64"/>
        <v>572.00000000000023</v>
      </c>
      <c r="W215" s="717">
        <f t="shared" ca="1" si="64"/>
        <v>612.30000000000007</v>
      </c>
      <c r="X215" s="717">
        <f t="shared" ca="1" si="64"/>
        <v>724.39999999999986</v>
      </c>
      <c r="Y215" s="680">
        <f t="shared" ca="1" si="64"/>
        <v>514.70000000000005</v>
      </c>
      <c r="Z215" s="680">
        <f t="shared" ca="1" si="64"/>
        <v>668.98580081000023</v>
      </c>
      <c r="AA215" s="711">
        <f t="shared" ca="1" si="64"/>
        <v>668.32084726000062</v>
      </c>
      <c r="AB215" s="680">
        <f t="shared" ca="1" si="64"/>
        <v>713.1150554200002</v>
      </c>
      <c r="AC215" s="680">
        <f t="shared" ref="AC215:AJ215" ca="1" si="65">+SUM(AC205:AC214)</f>
        <v>731.80907698999977</v>
      </c>
      <c r="AD215" s="680">
        <f t="shared" ca="1" si="65"/>
        <v>783.85141019999992</v>
      </c>
      <c r="AE215" s="1803">
        <f t="shared" ca="1" si="65"/>
        <v>844.42764140000008</v>
      </c>
      <c r="AF215" s="680">
        <f t="shared" ca="1" si="65"/>
        <v>926.8234596342885</v>
      </c>
      <c r="AG215" s="680">
        <f t="shared" ca="1" si="65"/>
        <v>968.26799743547076</v>
      </c>
      <c r="AH215" s="680">
        <f t="shared" ca="1" si="65"/>
        <v>1039.6256118553683</v>
      </c>
      <c r="AI215" s="680">
        <f t="shared" ca="1" si="65"/>
        <v>1105.6273200843643</v>
      </c>
      <c r="AJ215" s="680">
        <f t="shared" ca="1" si="65"/>
        <v>1166.5970030138737</v>
      </c>
      <c r="AK215" s="718"/>
    </row>
    <row r="216" spans="3:37">
      <c r="C216" s="155"/>
      <c r="D216" s="196"/>
      <c r="E216" s="196"/>
      <c r="F216" s="196"/>
      <c r="G216" s="196"/>
      <c r="H216" s="196"/>
      <c r="J216" s="310"/>
      <c r="K216" s="270"/>
      <c r="L216" s="270"/>
      <c r="M216" s="270"/>
      <c r="N216" s="270"/>
      <c r="O216" s="270"/>
      <c r="P216" s="270"/>
      <c r="Q216" s="270"/>
      <c r="R216" s="270"/>
      <c r="S216" s="270"/>
      <c r="T216" s="310"/>
      <c r="U216" s="310"/>
      <c r="V216" s="310"/>
      <c r="W216" s="310"/>
      <c r="X216" s="310"/>
      <c r="Y216" s="310"/>
      <c r="Z216" s="310"/>
      <c r="AA216" s="310"/>
      <c r="AB216" s="310"/>
      <c r="AC216" s="310"/>
      <c r="AD216" s="310"/>
      <c r="AE216" s="310"/>
      <c r="AF216" s="310"/>
      <c r="AG216" s="310"/>
      <c r="AH216" s="310"/>
      <c r="AI216" s="310"/>
      <c r="AJ216" s="310"/>
      <c r="AK216" s="157"/>
    </row>
    <row r="217" spans="3:37">
      <c r="C217" s="155"/>
      <c r="D217" s="674" t="s">
        <v>176</v>
      </c>
      <c r="E217" s="196"/>
      <c r="F217" s="196"/>
      <c r="G217" s="196"/>
      <c r="H217" s="196"/>
      <c r="J217" s="310"/>
      <c r="K217" s="270"/>
      <c r="L217" s="270"/>
      <c r="M217" s="270"/>
      <c r="N217" s="270"/>
      <c r="O217" s="270"/>
      <c r="P217" s="270"/>
      <c r="Q217" s="270"/>
      <c r="R217" s="270"/>
      <c r="S217" s="270"/>
      <c r="T217" s="310"/>
      <c r="U217" s="310"/>
      <c r="V217" s="310"/>
      <c r="W217" s="310"/>
      <c r="X217" s="310"/>
      <c r="Y217" s="310"/>
      <c r="Z217" s="310"/>
      <c r="AA217" s="310"/>
      <c r="AB217" s="310"/>
      <c r="AC217" s="310"/>
      <c r="AD217" s="310"/>
      <c r="AE217" s="310"/>
      <c r="AF217" s="310"/>
      <c r="AG217" s="310"/>
      <c r="AH217" s="310"/>
      <c r="AI217" s="310"/>
      <c r="AJ217" s="310"/>
      <c r="AK217" s="157"/>
    </row>
    <row r="218" spans="3:37">
      <c r="C218" s="155"/>
      <c r="D218" s="196"/>
      <c r="E218" s="196"/>
      <c r="F218" s="196"/>
      <c r="G218" s="196"/>
      <c r="H218" s="196"/>
      <c r="J218" s="310"/>
      <c r="K218" s="270"/>
      <c r="L218" s="270"/>
      <c r="M218" s="270"/>
      <c r="N218" s="270"/>
      <c r="O218" s="270"/>
      <c r="P218" s="270"/>
      <c r="Q218" s="270"/>
      <c r="R218" s="270"/>
      <c r="S218" s="270"/>
      <c r="T218" s="310"/>
      <c r="U218" s="310"/>
      <c r="V218" s="310"/>
      <c r="W218" s="310"/>
      <c r="X218" s="310"/>
      <c r="Y218" s="310"/>
      <c r="Z218" s="310"/>
      <c r="AA218" s="310"/>
      <c r="AB218" s="310"/>
      <c r="AC218" s="310"/>
      <c r="AD218" s="310"/>
      <c r="AE218" s="310"/>
      <c r="AF218" s="310"/>
      <c r="AG218" s="310"/>
      <c r="AH218" s="310"/>
      <c r="AI218" s="310"/>
      <c r="AJ218" s="310"/>
      <c r="AK218" s="157"/>
    </row>
    <row r="219" spans="3:37">
      <c r="C219" s="155"/>
      <c r="D219" s="117" t="s">
        <v>1133</v>
      </c>
      <c r="E219" s="196"/>
      <c r="F219" s="196"/>
      <c r="G219" s="196"/>
      <c r="H219" s="196"/>
      <c r="J219" s="310"/>
      <c r="K219" s="270"/>
      <c r="L219" s="270"/>
      <c r="M219" s="270"/>
      <c r="N219" s="270"/>
      <c r="O219" s="270"/>
      <c r="P219" s="270"/>
      <c r="Q219" s="270"/>
      <c r="R219" s="270"/>
      <c r="S219" s="270"/>
      <c r="T219" s="310"/>
      <c r="U219" s="310"/>
      <c r="V219" s="310"/>
      <c r="W219" s="310"/>
      <c r="X219" s="310"/>
      <c r="Y219" s="310"/>
      <c r="Z219" s="310"/>
      <c r="AA219" s="310"/>
      <c r="AB219" s="310"/>
      <c r="AC219" s="310"/>
      <c r="AD219" s="310"/>
      <c r="AE219" s="310"/>
      <c r="AF219" s="310"/>
      <c r="AG219" s="310"/>
      <c r="AH219" s="310"/>
      <c r="AI219" s="310"/>
      <c r="AJ219" s="310"/>
      <c r="AK219" s="157"/>
    </row>
    <row r="220" spans="3:37">
      <c r="C220" s="155"/>
      <c r="D220" s="196"/>
      <c r="E220" s="196" t="s">
        <v>1134</v>
      </c>
      <c r="F220" s="196"/>
      <c r="G220" s="196"/>
      <c r="H220" s="196"/>
      <c r="J220" s="310"/>
      <c r="K220" s="270"/>
      <c r="L220" s="270"/>
      <c r="M220" s="270"/>
      <c r="N220" s="270"/>
      <c r="O220" s="270"/>
      <c r="P220" s="270"/>
      <c r="Q220" s="270"/>
      <c r="R220" s="270"/>
      <c r="S220" s="270">
        <f t="shared" ref="S220:AF220" si="66">+S215</f>
        <v>0</v>
      </c>
      <c r="T220" s="310">
        <f t="shared" si="66"/>
        <v>0</v>
      </c>
      <c r="U220" s="310">
        <f t="shared" ca="1" si="66"/>
        <v>595.09999999999991</v>
      </c>
      <c r="V220" s="310">
        <f t="shared" ca="1" si="66"/>
        <v>572.00000000000023</v>
      </c>
      <c r="W220" s="310">
        <f t="shared" ca="1" si="66"/>
        <v>612.30000000000007</v>
      </c>
      <c r="X220" s="310">
        <f t="shared" ca="1" si="66"/>
        <v>724.39999999999986</v>
      </c>
      <c r="Y220" s="310">
        <f t="shared" ca="1" si="66"/>
        <v>514.70000000000005</v>
      </c>
      <c r="Z220" s="310">
        <f t="shared" ca="1" si="66"/>
        <v>668.98580081000023</v>
      </c>
      <c r="AA220" s="310">
        <f t="shared" ca="1" si="66"/>
        <v>668.32084726000062</v>
      </c>
      <c r="AB220" s="310">
        <f t="shared" ca="1" si="66"/>
        <v>713.1150554200002</v>
      </c>
      <c r="AC220" s="310">
        <f t="shared" ca="1" si="66"/>
        <v>731.80907698999977</v>
      </c>
      <c r="AD220" s="310">
        <f t="shared" ca="1" si="66"/>
        <v>783.85141019999992</v>
      </c>
      <c r="AE220" s="310">
        <f t="shared" ca="1" si="66"/>
        <v>844.42764140000008</v>
      </c>
      <c r="AF220" s="310">
        <f t="shared" ca="1" si="66"/>
        <v>926.8234596342885</v>
      </c>
      <c r="AG220" s="310">
        <f ca="1">+AG215</f>
        <v>968.26799743547076</v>
      </c>
      <c r="AH220" s="310">
        <f ca="1">+AH215</f>
        <v>1039.6256118553683</v>
      </c>
      <c r="AI220" s="310">
        <f ca="1">+AI215</f>
        <v>1105.6273200843643</v>
      </c>
      <c r="AJ220" s="310">
        <f ca="1">+AJ215</f>
        <v>1166.5970030138737</v>
      </c>
      <c r="AK220" s="157"/>
    </row>
    <row r="221" spans="3:37">
      <c r="C221" s="155"/>
      <c r="D221" s="196"/>
      <c r="E221" s="196" t="s">
        <v>1135</v>
      </c>
      <c r="F221" s="196"/>
      <c r="G221" s="196"/>
      <c r="H221" s="196"/>
      <c r="J221" s="310"/>
      <c r="K221" s="270"/>
      <c r="L221" s="270"/>
      <c r="M221" s="270"/>
      <c r="N221" s="270"/>
      <c r="O221" s="270"/>
      <c r="P221" s="270"/>
      <c r="Q221" s="270"/>
      <c r="R221" s="270"/>
      <c r="S221" s="270">
        <f t="shared" ref="S221:AF221" si="67">-S213</f>
        <v>0</v>
      </c>
      <c r="T221" s="310">
        <f t="shared" si="67"/>
        <v>0</v>
      </c>
      <c r="U221" s="310">
        <f t="shared" si="67"/>
        <v>572.30813277596872</v>
      </c>
      <c r="V221" s="310">
        <f t="shared" ca="1" si="67"/>
        <v>544.49558833047763</v>
      </c>
      <c r="W221" s="310">
        <f t="shared" ca="1" si="67"/>
        <v>553.91357161522171</v>
      </c>
      <c r="X221" s="310">
        <f t="shared" ca="1" si="67"/>
        <v>571.08451779047573</v>
      </c>
      <c r="Y221" s="310">
        <f t="shared" ca="1" si="67"/>
        <v>581.22239872068235</v>
      </c>
      <c r="Z221" s="310">
        <f t="shared" ca="1" si="67"/>
        <v>607.43104216999996</v>
      </c>
      <c r="AA221" s="310">
        <f t="shared" ca="1" si="67"/>
        <v>662.61550848902448</v>
      </c>
      <c r="AB221" s="310">
        <f t="shared" ca="1" si="67"/>
        <v>720.72308742591906</v>
      </c>
      <c r="AC221" s="310">
        <f t="shared" ca="1" si="67"/>
        <v>792.8427049698048</v>
      </c>
      <c r="AD221" s="310">
        <f t="shared" ca="1" si="67"/>
        <v>849.3667815919905</v>
      </c>
      <c r="AE221" s="310">
        <f t="shared" ca="1" si="67"/>
        <v>888.66298617183179</v>
      </c>
      <c r="AF221" s="310">
        <f t="shared" ca="1" si="67"/>
        <v>933.96773615799077</v>
      </c>
      <c r="AG221" s="310">
        <f ca="1">-AG213</f>
        <v>956.99659589295561</v>
      </c>
      <c r="AH221" s="310">
        <f ca="1">-AH213</f>
        <v>979.67523477546672</v>
      </c>
      <c r="AI221" s="310">
        <f ca="1">-AI213</f>
        <v>986.63344568337595</v>
      </c>
      <c r="AJ221" s="310">
        <f ca="1">-AJ213</f>
        <v>1001.8498952503928</v>
      </c>
      <c r="AK221" s="157"/>
    </row>
    <row r="222" spans="3:37">
      <c r="C222" s="155"/>
      <c r="D222" s="196"/>
      <c r="E222" s="196" t="s">
        <v>1136</v>
      </c>
      <c r="F222" s="196"/>
      <c r="G222" s="196"/>
      <c r="H222" s="196"/>
      <c r="J222" s="310"/>
      <c r="K222" s="270"/>
      <c r="L222" s="270"/>
      <c r="M222" s="270"/>
      <c r="N222" s="270"/>
      <c r="O222" s="270"/>
      <c r="P222" s="270"/>
      <c r="Q222" s="270"/>
      <c r="R222" s="270"/>
      <c r="S222" s="270">
        <f t="shared" ref="S222:AF222" si="68">-S212</f>
        <v>0</v>
      </c>
      <c r="T222" s="310">
        <f t="shared" si="68"/>
        <v>0</v>
      </c>
      <c r="U222" s="310">
        <f t="shared" si="68"/>
        <v>-0.11095251604753237</v>
      </c>
      <c r="V222" s="310">
        <f t="shared" ca="1" si="68"/>
        <v>-4.2108187706407903E-2</v>
      </c>
      <c r="W222" s="310">
        <f t="shared" ca="1" si="68"/>
        <v>-0.13179462686567164</v>
      </c>
      <c r="X222" s="310">
        <f t="shared" ca="1" si="68"/>
        <v>-0.54607507147761702</v>
      </c>
      <c r="Y222" s="310">
        <f t="shared" ca="1" si="68"/>
        <v>-0.49935852810929193</v>
      </c>
      <c r="Z222" s="310">
        <f t="shared" ca="1" si="68"/>
        <v>-3.990635E-2</v>
      </c>
      <c r="AA222" s="310">
        <f t="shared" ca="1" si="68"/>
        <v>-3.989653381463415E-2</v>
      </c>
      <c r="AB222" s="310">
        <f t="shared" ca="1" si="68"/>
        <v>-3.9968397430101124E-2</v>
      </c>
      <c r="AC222" s="310">
        <f t="shared" ca="1" si="68"/>
        <v>-4.0295892114861322E-2</v>
      </c>
      <c r="AD222" s="310">
        <f t="shared" ca="1" si="68"/>
        <v>-3.0564896477603517E-2</v>
      </c>
      <c r="AE222" s="310">
        <f t="shared" ca="1" si="68"/>
        <v>-3.1336992801612527E-2</v>
      </c>
      <c r="AF222" s="310">
        <f t="shared" ca="1" si="68"/>
        <v>-3.2131479919017797E-2</v>
      </c>
      <c r="AG222" s="310">
        <f ca="1">-AG212</f>
        <v>-3.2949007162827823E-2</v>
      </c>
      <c r="AH222" s="310">
        <f ca="1">-AH212</f>
        <v>-3.3790242696708342E-2</v>
      </c>
      <c r="AI222" s="310">
        <f ca="1">-AI212</f>
        <v>-3.4655874061071394E-2</v>
      </c>
      <c r="AJ222" s="310">
        <f ca="1">-AJ212</f>
        <v>-3.554660873500097E-2</v>
      </c>
      <c r="AK222" s="157"/>
    </row>
    <row r="223" spans="3:37">
      <c r="C223" s="155"/>
      <c r="D223" s="196"/>
      <c r="E223" s="196" t="s">
        <v>1137</v>
      </c>
      <c r="F223" s="196"/>
      <c r="G223" s="196"/>
      <c r="H223" s="196"/>
      <c r="J223" s="310"/>
      <c r="K223" s="270"/>
      <c r="L223" s="270"/>
      <c r="M223" s="270"/>
      <c r="N223" s="270"/>
      <c r="O223" s="270"/>
      <c r="P223" s="270"/>
      <c r="Q223" s="270"/>
      <c r="R223" s="270"/>
      <c r="S223" s="270">
        <f t="shared" ref="S223:AJ223" si="69">+S221+S222</f>
        <v>0</v>
      </c>
      <c r="T223" s="310">
        <f t="shared" si="69"/>
        <v>0</v>
      </c>
      <c r="U223" s="310">
        <f t="shared" si="69"/>
        <v>572.1971802599212</v>
      </c>
      <c r="V223" s="310">
        <f t="shared" ca="1" si="69"/>
        <v>544.45348014277124</v>
      </c>
      <c r="W223" s="310">
        <f t="shared" ca="1" si="69"/>
        <v>553.781776988356</v>
      </c>
      <c r="X223" s="310">
        <f t="shared" ca="1" si="69"/>
        <v>570.53844271899811</v>
      </c>
      <c r="Y223" s="310">
        <f t="shared" ca="1" si="69"/>
        <v>580.72304019257308</v>
      </c>
      <c r="Z223" s="310">
        <f t="shared" ca="1" si="69"/>
        <v>607.39113581999993</v>
      </c>
      <c r="AA223" s="310">
        <f t="shared" ca="1" si="69"/>
        <v>662.57561195520987</v>
      </c>
      <c r="AB223" s="310">
        <f t="shared" ca="1" si="69"/>
        <v>720.68311902848893</v>
      </c>
      <c r="AC223" s="310">
        <f t="shared" ca="1" si="69"/>
        <v>792.80240907768996</v>
      </c>
      <c r="AD223" s="310">
        <f t="shared" ca="1" si="69"/>
        <v>849.33621669551292</v>
      </c>
      <c r="AE223" s="310">
        <f t="shared" ca="1" si="69"/>
        <v>888.63164917903021</v>
      </c>
      <c r="AF223" s="310">
        <f t="shared" ca="1" si="69"/>
        <v>933.93560467807174</v>
      </c>
      <c r="AG223" s="310">
        <f t="shared" ca="1" si="69"/>
        <v>956.96364688579274</v>
      </c>
      <c r="AH223" s="310">
        <f t="shared" ca="1" si="69"/>
        <v>979.64144453277004</v>
      </c>
      <c r="AI223" s="310">
        <f t="shared" ca="1" si="69"/>
        <v>986.59878980931489</v>
      </c>
      <c r="AJ223" s="310">
        <f t="shared" ca="1" si="69"/>
        <v>1001.8143486416578</v>
      </c>
      <c r="AK223" s="157"/>
    </row>
    <row r="224" spans="3:37">
      <c r="C224" s="155"/>
      <c r="D224" s="196"/>
      <c r="E224" s="196"/>
      <c r="F224" s="196"/>
      <c r="G224" s="196"/>
      <c r="H224" s="196"/>
      <c r="J224" s="310"/>
      <c r="K224" s="270"/>
      <c r="L224" s="270"/>
      <c r="M224" s="270"/>
      <c r="N224" s="270"/>
      <c r="O224" s="270"/>
      <c r="P224" s="270"/>
      <c r="Q224" s="270"/>
      <c r="R224" s="270"/>
      <c r="S224" s="270"/>
      <c r="T224" s="310"/>
      <c r="U224" s="310"/>
      <c r="V224" s="310"/>
      <c r="W224" s="310"/>
      <c r="X224" s="310"/>
      <c r="Y224" s="310"/>
      <c r="Z224" s="310"/>
      <c r="AA224" s="310"/>
      <c r="AB224" s="310"/>
      <c r="AC224" s="310"/>
      <c r="AD224" s="310"/>
      <c r="AE224" s="310"/>
      <c r="AF224" s="310"/>
      <c r="AG224" s="310"/>
      <c r="AH224" s="310"/>
      <c r="AI224" s="310"/>
      <c r="AJ224" s="310"/>
      <c r="AK224" s="157"/>
    </row>
    <row r="225" spans="3:37">
      <c r="C225" s="155"/>
      <c r="D225" s="716"/>
      <c r="E225" s="719"/>
      <c r="F225" s="719"/>
      <c r="G225" s="719"/>
      <c r="H225" s="720" t="s">
        <v>1138</v>
      </c>
      <c r="I225" s="721"/>
      <c r="J225" s="620"/>
      <c r="K225" s="312"/>
      <c r="L225" s="312"/>
      <c r="M225" s="312"/>
      <c r="N225" s="312"/>
      <c r="O225" s="312"/>
      <c r="P225" s="312"/>
      <c r="Q225" s="312"/>
      <c r="R225" s="1174"/>
      <c r="S225" s="711">
        <f t="shared" ref="S225:AJ225" si="70">+IF(ISERROR(SUM(S220:S222)/S223),0,SUM(S220:S222)/S223)</f>
        <v>0</v>
      </c>
      <c r="T225" s="717">
        <f t="shared" si="70"/>
        <v>0</v>
      </c>
      <c r="U225" s="1804">
        <f t="shared" ca="1" si="70"/>
        <v>2.0400260968250055</v>
      </c>
      <c r="V225" s="1805">
        <f t="shared" ca="1" si="70"/>
        <v>2.0505948090367712</v>
      </c>
      <c r="W225" s="717">
        <f t="shared" ca="1" si="70"/>
        <v>2.1056701853388624</v>
      </c>
      <c r="X225" s="717">
        <f t="shared" ca="1" si="70"/>
        <v>2.2696778091722414</v>
      </c>
      <c r="Y225" s="680">
        <f t="shared" ca="1" si="70"/>
        <v>1.886308901794771</v>
      </c>
      <c r="Z225" s="680">
        <f t="shared" ca="1" si="70"/>
        <v>2.1014085674906093</v>
      </c>
      <c r="AA225" s="711">
        <f t="shared" ca="1" si="70"/>
        <v>2.0086710636508895</v>
      </c>
      <c r="AB225" s="680">
        <f t="shared" ca="1" si="70"/>
        <v>1.9894987638690764</v>
      </c>
      <c r="AC225" s="680">
        <f t="shared" ca="1" si="70"/>
        <v>1.9230661620230858</v>
      </c>
      <c r="AD225" s="680">
        <f t="shared" ca="1" si="70"/>
        <v>1.9228988412265136</v>
      </c>
      <c r="AE225" s="1803">
        <f t="shared" ca="1" si="70"/>
        <v>1.950256095627622</v>
      </c>
      <c r="AF225" s="680">
        <f t="shared" ca="1" si="70"/>
        <v>1.9923847586405761</v>
      </c>
      <c r="AG225" s="680">
        <f t="shared" ca="1" si="70"/>
        <v>2.0118127272508892</v>
      </c>
      <c r="AH225" s="680">
        <f t="shared" ca="1" si="70"/>
        <v>2.0612307366714226</v>
      </c>
      <c r="AI225" s="680">
        <f t="shared" ca="1" si="70"/>
        <v>2.1206453236153417</v>
      </c>
      <c r="AJ225" s="680">
        <f t="shared" ca="1" si="70"/>
        <v>2.1644842226462835</v>
      </c>
      <c r="AK225" s="718"/>
    </row>
    <row r="226" spans="3:37">
      <c r="C226" s="155"/>
      <c r="D226" s="196"/>
      <c r="E226" s="196"/>
      <c r="F226" s="196"/>
      <c r="G226" s="196"/>
      <c r="H226" s="722"/>
      <c r="J226" s="310"/>
      <c r="K226" s="270"/>
      <c r="L226" s="270"/>
      <c r="M226" s="270"/>
      <c r="N226" s="270"/>
      <c r="O226" s="270"/>
      <c r="P226" s="270"/>
      <c r="Q226" s="270"/>
      <c r="R226" s="270"/>
      <c r="S226" s="270"/>
      <c r="T226" s="310"/>
      <c r="U226" s="1844">
        <f ca="1">IF(U225&gt;1.5,0,1)</f>
        <v>0</v>
      </c>
      <c r="V226" s="1844">
        <f t="shared" ref="V226:AJ226" ca="1" si="71">IF(V225&gt;1.5,0,1)</f>
        <v>0</v>
      </c>
      <c r="W226" s="1844">
        <f t="shared" ca="1" si="71"/>
        <v>0</v>
      </c>
      <c r="X226" s="1844">
        <f t="shared" ca="1" si="71"/>
        <v>0</v>
      </c>
      <c r="Y226" s="1844">
        <f t="shared" ca="1" si="71"/>
        <v>0</v>
      </c>
      <c r="Z226" s="1844">
        <f t="shared" ca="1" si="71"/>
        <v>0</v>
      </c>
      <c r="AA226" s="1844">
        <f t="shared" ca="1" si="71"/>
        <v>0</v>
      </c>
      <c r="AB226" s="1844">
        <f t="shared" ca="1" si="71"/>
        <v>0</v>
      </c>
      <c r="AC226" s="1844">
        <f t="shared" ca="1" si="71"/>
        <v>0</v>
      </c>
      <c r="AD226" s="1844">
        <f t="shared" ca="1" si="71"/>
        <v>0</v>
      </c>
      <c r="AE226" s="1844">
        <f t="shared" ca="1" si="71"/>
        <v>0</v>
      </c>
      <c r="AF226" s="1844">
        <f t="shared" ca="1" si="71"/>
        <v>0</v>
      </c>
      <c r="AG226" s="1844">
        <f t="shared" ca="1" si="71"/>
        <v>0</v>
      </c>
      <c r="AH226" s="1844">
        <f t="shared" ca="1" si="71"/>
        <v>0</v>
      </c>
      <c r="AI226" s="1844">
        <f t="shared" ca="1" si="71"/>
        <v>0</v>
      </c>
      <c r="AJ226" s="1844">
        <f t="shared" ca="1" si="71"/>
        <v>0</v>
      </c>
      <c r="AK226" s="157"/>
    </row>
    <row r="227" spans="3:37">
      <c r="C227" s="155"/>
      <c r="D227" s="196"/>
      <c r="E227" s="196"/>
      <c r="F227" s="196"/>
      <c r="G227" s="196"/>
      <c r="H227" s="722"/>
      <c r="J227" s="310"/>
      <c r="K227" s="270"/>
      <c r="L227" s="270"/>
      <c r="M227" s="270"/>
      <c r="N227" s="270"/>
      <c r="O227" s="270"/>
      <c r="P227" s="270"/>
      <c r="Q227" s="270"/>
      <c r="R227" s="270"/>
      <c r="S227" s="270"/>
      <c r="T227" s="310"/>
      <c r="U227" s="722"/>
      <c r="V227" s="722"/>
      <c r="W227" s="722"/>
      <c r="X227" s="722"/>
      <c r="Y227" s="722"/>
      <c r="Z227" s="722"/>
      <c r="AA227" s="722"/>
      <c r="AB227" s="722"/>
      <c r="AC227" s="722"/>
      <c r="AD227" s="722"/>
      <c r="AE227" s="722"/>
      <c r="AF227" s="722"/>
      <c r="AG227" s="722"/>
      <c r="AH227" s="722"/>
      <c r="AI227" s="722"/>
      <c r="AJ227" s="722"/>
      <c r="AK227" s="157"/>
    </row>
    <row r="228" spans="3:37">
      <c r="C228" s="155"/>
      <c r="D228" s="89" t="s">
        <v>1139</v>
      </c>
      <c r="H228" s="969"/>
      <c r="J228" s="310"/>
      <c r="K228" s="270"/>
      <c r="L228" s="270"/>
      <c r="M228" s="270"/>
      <c r="N228" s="270"/>
      <c r="O228" s="270"/>
      <c r="P228" s="270"/>
      <c r="Q228" s="270"/>
      <c r="R228" s="270"/>
      <c r="S228" s="270"/>
      <c r="T228" s="310"/>
      <c r="U228" s="722"/>
      <c r="V228" s="722"/>
      <c r="W228" s="722"/>
      <c r="X228" s="722"/>
      <c r="Y228" s="722"/>
      <c r="Z228" s="722"/>
      <c r="AA228" s="722"/>
      <c r="AB228" s="722"/>
      <c r="AC228" s="722"/>
      <c r="AD228" s="722"/>
      <c r="AE228" s="722"/>
      <c r="AF228" s="722"/>
      <c r="AG228" s="722"/>
      <c r="AH228" s="722"/>
      <c r="AI228" s="722"/>
      <c r="AJ228" s="722"/>
      <c r="AK228" s="157"/>
    </row>
    <row r="229" spans="3:37">
      <c r="C229" s="155"/>
      <c r="E229" s="63" t="s">
        <v>1140</v>
      </c>
      <c r="H229" s="969"/>
      <c r="J229" s="310"/>
      <c r="K229" s="270"/>
      <c r="L229" s="270"/>
      <c r="M229" s="270"/>
      <c r="N229" s="270"/>
      <c r="O229" s="270"/>
      <c r="P229" s="270"/>
      <c r="Q229" s="270"/>
      <c r="R229" s="270"/>
      <c r="S229" s="270"/>
      <c r="T229" s="310"/>
      <c r="U229" s="270">
        <f t="shared" ref="U229:AJ229" ca="1" si="72">+U215</f>
        <v>595.09999999999991</v>
      </c>
      <c r="V229" s="270">
        <f t="shared" ca="1" si="72"/>
        <v>572.00000000000023</v>
      </c>
      <c r="W229" s="270">
        <f t="shared" ca="1" si="72"/>
        <v>612.30000000000007</v>
      </c>
      <c r="X229" s="270">
        <f t="shared" ca="1" si="72"/>
        <v>724.39999999999986</v>
      </c>
      <c r="Y229" s="270">
        <f t="shared" ca="1" si="72"/>
        <v>514.70000000000005</v>
      </c>
      <c r="Z229" s="270">
        <f t="shared" ca="1" si="72"/>
        <v>668.98580081000023</v>
      </c>
      <c r="AA229" s="270">
        <f t="shared" ca="1" si="72"/>
        <v>668.32084726000062</v>
      </c>
      <c r="AB229" s="270">
        <f t="shared" ca="1" si="72"/>
        <v>713.1150554200002</v>
      </c>
      <c r="AC229" s="270">
        <f t="shared" ca="1" si="72"/>
        <v>731.80907698999977</v>
      </c>
      <c r="AD229" s="270">
        <f t="shared" ca="1" si="72"/>
        <v>783.85141019999992</v>
      </c>
      <c r="AE229" s="270">
        <f t="shared" ca="1" si="72"/>
        <v>844.42764140000008</v>
      </c>
      <c r="AF229" s="270">
        <f t="shared" ca="1" si="72"/>
        <v>926.8234596342885</v>
      </c>
      <c r="AG229" s="270">
        <f t="shared" ca="1" si="72"/>
        <v>968.26799743547076</v>
      </c>
      <c r="AH229" s="270">
        <f t="shared" ca="1" si="72"/>
        <v>1039.6256118553683</v>
      </c>
      <c r="AI229" s="270">
        <f t="shared" ca="1" si="72"/>
        <v>1105.6273200843643</v>
      </c>
      <c r="AJ229" s="270">
        <f t="shared" ca="1" si="72"/>
        <v>1166.5970030138737</v>
      </c>
      <c r="AK229" s="157"/>
    </row>
    <row r="230" spans="3:37">
      <c r="C230" s="155"/>
      <c r="E230" s="63" t="s">
        <v>1141</v>
      </c>
      <c r="H230" s="969"/>
      <c r="J230" s="310"/>
      <c r="K230" s="270"/>
      <c r="L230" s="270"/>
      <c r="M230" s="270"/>
      <c r="N230" s="270"/>
      <c r="O230" s="270"/>
      <c r="P230" s="270"/>
      <c r="Q230" s="270"/>
      <c r="R230" s="270"/>
      <c r="S230" s="270"/>
      <c r="T230" s="310"/>
      <c r="U230" s="270">
        <f t="shared" ref="U230:AJ230" si="73">+U192</f>
        <v>7814.7</v>
      </c>
      <c r="V230" s="270">
        <f t="shared" ca="1" si="73"/>
        <v>7803.1395694682669</v>
      </c>
      <c r="W230" s="270">
        <f t="shared" ca="1" si="73"/>
        <v>7818.5242169069688</v>
      </c>
      <c r="X230" s="270">
        <f t="shared" ca="1" si="73"/>
        <v>7908.3174251941246</v>
      </c>
      <c r="Y230" s="270">
        <f t="shared" ca="1" si="73"/>
        <v>8112.5551358003431</v>
      </c>
      <c r="Z230" s="270">
        <f t="shared" ca="1" si="73"/>
        <v>8492.4877466600719</v>
      </c>
      <c r="AA230" s="270">
        <f t="shared" ca="1" si="73"/>
        <v>9043.6249633076532</v>
      </c>
      <c r="AB230" s="270">
        <f t="shared" ca="1" si="73"/>
        <v>9795.5353757928115</v>
      </c>
      <c r="AC230" s="270">
        <f t="shared" ca="1" si="73"/>
        <v>10631.908407175893</v>
      </c>
      <c r="AD230" s="270">
        <f t="shared" ca="1" si="73"/>
        <v>11482.249561387851</v>
      </c>
      <c r="AE230" s="270">
        <f t="shared" ca="1" si="73"/>
        <v>12344.395943815236</v>
      </c>
      <c r="AF230" s="270">
        <f t="shared" ca="1" si="73"/>
        <v>13148.500535542968</v>
      </c>
      <c r="AG230" s="270">
        <f t="shared" ca="1" si="73"/>
        <v>14229.694038580108</v>
      </c>
      <c r="AH230" s="270">
        <f t="shared" ca="1" si="73"/>
        <v>15386.117771169138</v>
      </c>
      <c r="AI230" s="270">
        <f t="shared" ca="1" si="73"/>
        <v>16306.12679277449</v>
      </c>
      <c r="AJ230" s="270">
        <f t="shared" ca="1" si="73"/>
        <v>17487.487846554108</v>
      </c>
      <c r="AK230" s="157"/>
    </row>
    <row r="231" spans="3:37">
      <c r="C231" s="155"/>
      <c r="E231" s="63" t="s">
        <v>1142</v>
      </c>
      <c r="H231" s="969"/>
      <c r="J231" s="310"/>
      <c r="K231" s="270"/>
      <c r="L231" s="270"/>
      <c r="M231" s="270"/>
      <c r="N231" s="270"/>
      <c r="O231" s="270"/>
      <c r="P231" s="270"/>
      <c r="Q231" s="270"/>
      <c r="R231" s="270"/>
      <c r="S231" s="270"/>
      <c r="T231" s="310"/>
      <c r="U231" s="2053">
        <v>641.33100000000002</v>
      </c>
      <c r="V231" s="2054">
        <v>346.44499999999999</v>
      </c>
      <c r="W231" s="2054">
        <v>134</v>
      </c>
      <c r="X231" s="2054">
        <v>325</v>
      </c>
      <c r="Y231" s="2054">
        <v>236.21633997469925</v>
      </c>
      <c r="Z231" s="2055">
        <v>747.27898167907063</v>
      </c>
      <c r="AA231" s="2054">
        <v>863.32665272241707</v>
      </c>
      <c r="AB231" s="2054">
        <v>885.2203129383347</v>
      </c>
      <c r="AC231" s="2054">
        <v>379.57330321324952</v>
      </c>
      <c r="AD231" s="2054">
        <v>404.33300861006143</v>
      </c>
      <c r="AE231" s="2055">
        <v>429.43645130725952</v>
      </c>
      <c r="AF231" s="2054">
        <v>382.84986920522442</v>
      </c>
      <c r="AG231" s="2054">
        <v>414.33138986260741</v>
      </c>
      <c r="AH231" s="2054">
        <v>448.00341760225149</v>
      </c>
      <c r="AI231" s="2054">
        <v>474.79166867598428</v>
      </c>
      <c r="AJ231" s="2055">
        <v>509.18980584007085</v>
      </c>
      <c r="AK231" s="157"/>
    </row>
    <row r="232" spans="3:37">
      <c r="C232" s="155"/>
      <c r="E232" s="63" t="s">
        <v>1143</v>
      </c>
      <c r="H232" s="969"/>
      <c r="J232" s="310"/>
      <c r="K232" s="270"/>
      <c r="L232" s="270"/>
      <c r="M232" s="270"/>
      <c r="N232" s="270"/>
      <c r="O232" s="270"/>
      <c r="P232" s="270"/>
      <c r="Q232" s="270"/>
      <c r="R232" s="270"/>
      <c r="S232" s="270"/>
      <c r="T232" s="310"/>
      <c r="U232" s="270">
        <f t="shared" ref="U232:AJ232" si="74">-U187</f>
        <v>-14.324</v>
      </c>
      <c r="V232" s="270">
        <f t="shared" ca="1" si="74"/>
        <v>-4.3635694682675812</v>
      </c>
      <c r="W232" s="270">
        <f t="shared" ca="1" si="74"/>
        <v>-7.3967582697201015</v>
      </c>
      <c r="X232" s="270">
        <f t="shared" ca="1" si="74"/>
        <v>-1.5891380145278449</v>
      </c>
      <c r="Y232" s="270">
        <f t="shared" ca="1" si="74"/>
        <v>-0.52638914027149331</v>
      </c>
      <c r="Z232" s="270">
        <f t="shared" ca="1" si="74"/>
        <v>-2.1589999999999998</v>
      </c>
      <c r="AA232" s="270">
        <f t="shared" ca="1" si="74"/>
        <v>-9.7560975609756184E-2</v>
      </c>
      <c r="AB232" s="270">
        <f t="shared" ca="1" si="74"/>
        <v>-9.518143961927425E-2</v>
      </c>
      <c r="AC232" s="270">
        <f t="shared" ca="1" si="74"/>
        <v>-9.2859941091974887E-2</v>
      </c>
      <c r="AD232" s="270">
        <f t="shared" ca="1" si="74"/>
        <v>-9.0595064479975507E-2</v>
      </c>
      <c r="AE232" s="270">
        <f t="shared" ca="1" si="74"/>
        <v>-9.0595064479975507E-2</v>
      </c>
      <c r="AF232" s="270">
        <f t="shared" ca="1" si="74"/>
        <v>-9.0595064479975507E-2</v>
      </c>
      <c r="AG232" s="270">
        <f t="shared" ca="1" si="74"/>
        <v>-9.0595064479975507E-2</v>
      </c>
      <c r="AH232" s="270">
        <f t="shared" ca="1" si="74"/>
        <v>-9.0595064479975507E-2</v>
      </c>
      <c r="AI232" s="270">
        <f t="shared" ca="1" si="74"/>
        <v>-9.0595064479975507E-2</v>
      </c>
      <c r="AJ232" s="270">
        <f t="shared" ca="1" si="74"/>
        <v>-9.0595064479975507E-2</v>
      </c>
      <c r="AK232" s="157"/>
    </row>
    <row r="233" spans="3:37">
      <c r="C233" s="155"/>
      <c r="I233" s="63"/>
      <c r="K233" s="270"/>
      <c r="L233" s="270"/>
      <c r="M233" s="270"/>
      <c r="N233" s="270"/>
      <c r="O233" s="270"/>
      <c r="P233" s="270"/>
      <c r="Q233" s="270"/>
      <c r="R233" s="270"/>
      <c r="S233" s="270"/>
      <c r="T233" s="310"/>
      <c r="U233" s="270"/>
      <c r="V233" s="270"/>
      <c r="W233" s="270"/>
      <c r="X233" s="270"/>
      <c r="Y233" s="270"/>
      <c r="Z233" s="270"/>
      <c r="AA233" s="270"/>
      <c r="AB233" s="270"/>
      <c r="AC233" s="270"/>
      <c r="AD233" s="270"/>
      <c r="AE233" s="270"/>
      <c r="AF233" s="270"/>
      <c r="AG233" s="270"/>
      <c r="AH233" s="270"/>
      <c r="AI233" s="270"/>
      <c r="AJ233" s="270"/>
      <c r="AK233" s="157"/>
    </row>
    <row r="234" spans="3:37">
      <c r="C234" s="155"/>
      <c r="D234" s="723"/>
      <c r="E234" s="724"/>
      <c r="F234" s="724"/>
      <c r="G234" s="724"/>
      <c r="H234" s="1916" t="s">
        <v>1144</v>
      </c>
      <c r="I234" s="724"/>
      <c r="J234" s="1321"/>
      <c r="K234" s="270"/>
      <c r="L234" s="270"/>
      <c r="M234" s="270"/>
      <c r="N234" s="270"/>
      <c r="O234" s="270"/>
      <c r="P234" s="270"/>
      <c r="Q234" s="270"/>
      <c r="R234" s="270"/>
      <c r="S234" s="270"/>
      <c r="T234" s="310"/>
      <c r="U234" s="1917">
        <f ca="1">+IF(ISERROR(U229/SUM(U230:U232)),0,U229/SUM(U230:U232))</f>
        <v>7.0495220931027336E-2</v>
      </c>
      <c r="V234" s="725">
        <f t="shared" ref="V234:AJ234" ca="1" si="75">+IF(ISERROR(V229/SUM(V230:V232)),0,V229/SUM(V230:V232))</f>
        <v>7.0225227774666929E-2</v>
      </c>
      <c r="W234" s="725">
        <f t="shared" ca="1" si="75"/>
        <v>7.7066101606005202E-2</v>
      </c>
      <c r="X234" s="725">
        <f t="shared" ca="1" si="75"/>
        <v>8.8000961004532641E-2</v>
      </c>
      <c r="Y234" s="725">
        <f t="shared" ca="1" si="75"/>
        <v>6.1653676270718931E-2</v>
      </c>
      <c r="Z234" s="1918">
        <f t="shared" ca="1" si="75"/>
        <v>7.2419810462148654E-2</v>
      </c>
      <c r="AA234" s="725">
        <f t="shared" ca="1" si="75"/>
        <v>6.7460451475917768E-2</v>
      </c>
      <c r="AB234" s="725">
        <f t="shared" ca="1" si="75"/>
        <v>6.6766943386428884E-2</v>
      </c>
      <c r="AC234" s="725">
        <f t="shared" ca="1" si="75"/>
        <v>6.6459289280318412E-2</v>
      </c>
      <c r="AD234" s="725">
        <f t="shared" ca="1" si="75"/>
        <v>6.5944722114229137E-2</v>
      </c>
      <c r="AE234" s="1918">
        <f t="shared" ca="1" si="75"/>
        <v>6.6106521849076741E-2</v>
      </c>
      <c r="AF234" s="725">
        <f t="shared" ca="1" si="75"/>
        <v>6.8494986621349382E-2</v>
      </c>
      <c r="AG234" s="725">
        <f t="shared" ca="1" si="75"/>
        <v>6.6120752956949566E-2</v>
      </c>
      <c r="AH234" s="725">
        <f t="shared" ca="1" si="75"/>
        <v>6.565767355966573E-2</v>
      </c>
      <c r="AI234" s="725">
        <f t="shared" ca="1" si="75"/>
        <v>6.5886339392055154E-2</v>
      </c>
      <c r="AJ234" s="1918">
        <f t="shared" ca="1" si="75"/>
        <v>6.4823235611151012E-2</v>
      </c>
      <c r="AK234" s="157"/>
    </row>
    <row r="235" spans="3:37">
      <c r="C235" s="155"/>
      <c r="D235" s="196"/>
      <c r="H235" s="969"/>
      <c r="I235" s="63"/>
      <c r="J235" s="296"/>
      <c r="K235" s="270"/>
      <c r="L235" s="270"/>
      <c r="M235" s="270"/>
      <c r="N235" s="270"/>
      <c r="O235" s="270"/>
      <c r="P235" s="270"/>
      <c r="Q235" s="270"/>
      <c r="R235" s="270"/>
      <c r="S235" s="270"/>
      <c r="T235" s="310"/>
      <c r="U235" s="1844">
        <f ca="1">IF(U234&gt;0.06,0,1)</f>
        <v>0</v>
      </c>
      <c r="V235" s="1844">
        <f t="shared" ref="V235:AJ235" ca="1" si="76">IF(V234&gt;0.06,0,1)</f>
        <v>0</v>
      </c>
      <c r="W235" s="1844">
        <f t="shared" ca="1" si="76"/>
        <v>0</v>
      </c>
      <c r="X235" s="1844">
        <f t="shared" ca="1" si="76"/>
        <v>0</v>
      </c>
      <c r="Y235" s="1844">
        <f t="shared" ca="1" si="76"/>
        <v>0</v>
      </c>
      <c r="Z235" s="1844">
        <f t="shared" ca="1" si="76"/>
        <v>0</v>
      </c>
      <c r="AA235" s="1844">
        <f t="shared" ca="1" si="76"/>
        <v>0</v>
      </c>
      <c r="AB235" s="1844">
        <f t="shared" ca="1" si="76"/>
        <v>0</v>
      </c>
      <c r="AC235" s="1844">
        <f t="shared" ca="1" si="76"/>
        <v>0</v>
      </c>
      <c r="AD235" s="1844">
        <f t="shared" ca="1" si="76"/>
        <v>0</v>
      </c>
      <c r="AE235" s="1844">
        <f t="shared" ca="1" si="76"/>
        <v>0</v>
      </c>
      <c r="AF235" s="1844">
        <f t="shared" ca="1" si="76"/>
        <v>0</v>
      </c>
      <c r="AG235" s="1844">
        <f t="shared" ca="1" si="76"/>
        <v>0</v>
      </c>
      <c r="AH235" s="1844">
        <f t="shared" ca="1" si="76"/>
        <v>0</v>
      </c>
      <c r="AI235" s="1844">
        <f t="shared" ca="1" si="76"/>
        <v>0</v>
      </c>
      <c r="AJ235" s="1844">
        <f t="shared" ca="1" si="76"/>
        <v>0</v>
      </c>
      <c r="AK235" s="157"/>
    </row>
    <row r="236" spans="3:37">
      <c r="C236" s="155"/>
      <c r="D236" s="196"/>
      <c r="H236" s="969"/>
      <c r="I236" s="63"/>
      <c r="J236" s="296"/>
      <c r="K236" s="270"/>
      <c r="L236" s="270"/>
      <c r="M236" s="270"/>
      <c r="N236" s="270"/>
      <c r="O236" s="270"/>
      <c r="P236" s="270"/>
      <c r="Q236" s="270"/>
      <c r="R236" s="270"/>
      <c r="S236" s="270"/>
      <c r="T236" s="310"/>
      <c r="U236" s="722"/>
      <c r="V236" s="722"/>
      <c r="W236" s="722"/>
      <c r="X236" s="722"/>
      <c r="Y236" s="722"/>
      <c r="Z236" s="722"/>
      <c r="AA236" s="722"/>
      <c r="AB236" s="722"/>
      <c r="AC236" s="722"/>
      <c r="AD236" s="722"/>
      <c r="AE236" s="722"/>
      <c r="AF236" s="722"/>
      <c r="AG236" s="722"/>
      <c r="AH236" s="722"/>
      <c r="AI236" s="722"/>
      <c r="AJ236" s="722"/>
      <c r="AK236" s="157"/>
    </row>
    <row r="237" spans="3:37">
      <c r="C237" s="155"/>
      <c r="D237" s="674" t="s">
        <v>1145</v>
      </c>
      <c r="H237" s="969"/>
      <c r="I237" s="63"/>
      <c r="J237" s="296"/>
      <c r="K237" s="270"/>
      <c r="L237" s="270"/>
      <c r="M237" s="270"/>
      <c r="N237" s="270"/>
      <c r="O237" s="270"/>
      <c r="P237" s="270"/>
      <c r="Q237" s="270"/>
      <c r="R237" s="270"/>
      <c r="S237" s="270"/>
      <c r="T237" s="468"/>
      <c r="U237" s="468"/>
      <c r="V237" s="468"/>
      <c r="W237" s="468"/>
      <c r="X237" s="468"/>
      <c r="Y237" s="468"/>
      <c r="Z237" s="468"/>
      <c r="AA237" s="468"/>
      <c r="AB237" s="468"/>
      <c r="AC237" s="468"/>
      <c r="AD237" s="468"/>
      <c r="AE237" s="468"/>
      <c r="AF237" s="468"/>
      <c r="AG237" s="468"/>
      <c r="AH237" s="468"/>
      <c r="AI237" s="468"/>
      <c r="AJ237" s="468"/>
      <c r="AK237" s="157"/>
    </row>
    <row r="238" spans="3:37">
      <c r="C238" s="155"/>
      <c r="H238" s="969"/>
      <c r="I238" s="63"/>
      <c r="J238" s="296"/>
      <c r="K238" s="270"/>
      <c r="L238" s="270"/>
      <c r="M238" s="270"/>
      <c r="N238" s="270"/>
      <c r="O238" s="270"/>
      <c r="P238" s="270"/>
      <c r="Q238" s="270"/>
      <c r="R238" s="270"/>
      <c r="S238" s="270"/>
      <c r="T238" s="468"/>
      <c r="U238" s="468"/>
      <c r="V238" s="468"/>
      <c r="W238" s="468"/>
      <c r="X238" s="468"/>
      <c r="Y238" s="468"/>
      <c r="Z238" s="468"/>
      <c r="AA238" s="468"/>
      <c r="AB238" s="468"/>
      <c r="AC238" s="468"/>
      <c r="AD238" s="468"/>
      <c r="AE238" s="468"/>
      <c r="AF238" s="468"/>
      <c r="AG238" s="468"/>
      <c r="AH238" s="468"/>
      <c r="AI238" s="468"/>
      <c r="AJ238" s="468"/>
      <c r="AK238" s="157"/>
    </row>
    <row r="239" spans="3:37">
      <c r="C239" s="175"/>
      <c r="D239" s="89" t="s">
        <v>1146</v>
      </c>
      <c r="H239" s="969"/>
      <c r="I239" s="63"/>
      <c r="J239" s="296"/>
      <c r="K239" s="270"/>
      <c r="L239" s="270"/>
      <c r="M239" s="270"/>
      <c r="N239" s="270"/>
      <c r="O239" s="270"/>
      <c r="P239" s="270"/>
      <c r="Q239" s="270"/>
      <c r="R239" s="270"/>
      <c r="S239" s="270"/>
      <c r="T239" s="468"/>
      <c r="U239" s="468"/>
      <c r="V239" s="468"/>
      <c r="W239" s="468"/>
      <c r="X239" s="468"/>
      <c r="Y239" s="468"/>
      <c r="Z239" s="468"/>
      <c r="AA239" s="468"/>
      <c r="AB239" s="468"/>
      <c r="AC239" s="468"/>
      <c r="AD239" s="468"/>
      <c r="AE239" s="468"/>
      <c r="AF239" s="468"/>
      <c r="AG239" s="468"/>
      <c r="AH239" s="468"/>
      <c r="AI239" s="468"/>
      <c r="AJ239" s="468"/>
      <c r="AK239" s="157"/>
    </row>
    <row r="240" spans="3:37">
      <c r="C240" s="155"/>
      <c r="E240" s="63" t="s">
        <v>1147</v>
      </c>
      <c r="H240" s="969"/>
      <c r="I240" s="63"/>
      <c r="J240" s="296"/>
      <c r="K240" s="270"/>
      <c r="L240" s="270"/>
      <c r="M240" s="270"/>
      <c r="N240" s="270"/>
      <c r="O240" s="270"/>
      <c r="P240" s="270"/>
      <c r="Q240" s="270"/>
      <c r="R240" s="270"/>
      <c r="S240" s="270">
        <f t="shared" ref="S240:AF240" si="77">+S192</f>
        <v>0</v>
      </c>
      <c r="T240" s="468">
        <f t="shared" si="77"/>
        <v>0</v>
      </c>
      <c r="U240" s="468">
        <f t="shared" si="77"/>
        <v>7814.7</v>
      </c>
      <c r="V240" s="468">
        <f t="shared" ca="1" si="77"/>
        <v>7803.1395694682669</v>
      </c>
      <c r="W240" s="468">
        <f t="shared" ca="1" si="77"/>
        <v>7818.5242169069688</v>
      </c>
      <c r="X240" s="468">
        <f t="shared" ca="1" si="77"/>
        <v>7908.3174251941246</v>
      </c>
      <c r="Y240" s="468">
        <f t="shared" ca="1" si="77"/>
        <v>8112.5551358003431</v>
      </c>
      <c r="Z240" s="468">
        <f t="shared" ca="1" si="77"/>
        <v>8492.4877466600719</v>
      </c>
      <c r="AA240" s="468">
        <f ca="1">+AA192</f>
        <v>9043.6249633076532</v>
      </c>
      <c r="AB240" s="468">
        <f t="shared" ca="1" si="77"/>
        <v>9795.5353757928115</v>
      </c>
      <c r="AC240" s="468">
        <f t="shared" ca="1" si="77"/>
        <v>10631.908407175893</v>
      </c>
      <c r="AD240" s="468">
        <f t="shared" ca="1" si="77"/>
        <v>11482.249561387851</v>
      </c>
      <c r="AE240" s="468">
        <f t="shared" ca="1" si="77"/>
        <v>12344.395943815236</v>
      </c>
      <c r="AF240" s="468">
        <f t="shared" ca="1" si="77"/>
        <v>13148.500535542968</v>
      </c>
      <c r="AG240" s="468">
        <f ca="1">+AG192</f>
        <v>14229.694038580108</v>
      </c>
      <c r="AH240" s="468">
        <f ca="1">+AH192</f>
        <v>15386.117771169138</v>
      </c>
      <c r="AI240" s="468">
        <f ca="1">+AI192</f>
        <v>16306.12679277449</v>
      </c>
      <c r="AJ240" s="468">
        <f ca="1">+AJ192</f>
        <v>17487.487846554108</v>
      </c>
      <c r="AK240" s="157"/>
    </row>
    <row r="241" spans="3:37">
      <c r="C241" s="155"/>
      <c r="E241" s="63" t="s">
        <v>1148</v>
      </c>
      <c r="H241" s="969"/>
      <c r="I241" s="63"/>
      <c r="J241" s="296"/>
      <c r="K241" s="270"/>
      <c r="L241" s="270"/>
      <c r="M241" s="270"/>
      <c r="N241" s="270"/>
      <c r="O241" s="270"/>
      <c r="P241" s="270"/>
      <c r="Q241" s="270"/>
      <c r="R241" s="270"/>
      <c r="S241" s="270">
        <f t="shared" ref="S241:AF241" si="78">-S187</f>
        <v>0</v>
      </c>
      <c r="T241" s="468">
        <f t="shared" si="78"/>
        <v>0</v>
      </c>
      <c r="U241" s="468">
        <f t="shared" si="78"/>
        <v>-14.324</v>
      </c>
      <c r="V241" s="468">
        <f t="shared" ca="1" si="78"/>
        <v>-4.3635694682675812</v>
      </c>
      <c r="W241" s="468">
        <f t="shared" ca="1" si="78"/>
        <v>-7.3967582697201015</v>
      </c>
      <c r="X241" s="468">
        <f t="shared" ca="1" si="78"/>
        <v>-1.5891380145278449</v>
      </c>
      <c r="Y241" s="468">
        <f t="shared" ca="1" si="78"/>
        <v>-0.52638914027149331</v>
      </c>
      <c r="Z241" s="468">
        <f t="shared" ca="1" si="78"/>
        <v>-2.1589999999999998</v>
      </c>
      <c r="AA241" s="468">
        <f t="shared" ca="1" si="78"/>
        <v>-9.7560975609756184E-2</v>
      </c>
      <c r="AB241" s="468">
        <f t="shared" ca="1" si="78"/>
        <v>-9.518143961927425E-2</v>
      </c>
      <c r="AC241" s="468">
        <f t="shared" ca="1" si="78"/>
        <v>-9.2859941091974887E-2</v>
      </c>
      <c r="AD241" s="468">
        <f t="shared" ca="1" si="78"/>
        <v>-9.0595064479975507E-2</v>
      </c>
      <c r="AE241" s="468">
        <f t="shared" ca="1" si="78"/>
        <v>-9.0595064479975507E-2</v>
      </c>
      <c r="AF241" s="468">
        <f t="shared" ca="1" si="78"/>
        <v>-9.0595064479975507E-2</v>
      </c>
      <c r="AG241" s="468">
        <f ca="1">-AG187</f>
        <v>-9.0595064479975507E-2</v>
      </c>
      <c r="AH241" s="468">
        <f ca="1">-AH187</f>
        <v>-9.0595064479975507E-2</v>
      </c>
      <c r="AI241" s="468">
        <f ca="1">-AI187</f>
        <v>-9.0595064479975507E-2</v>
      </c>
      <c r="AJ241" s="468">
        <f ca="1">-AJ187</f>
        <v>-9.0595064479975507E-2</v>
      </c>
      <c r="AK241" s="157"/>
    </row>
    <row r="242" spans="3:37">
      <c r="C242" s="155"/>
      <c r="E242" s="63" t="s">
        <v>1149</v>
      </c>
      <c r="H242" s="969"/>
      <c r="I242" s="63"/>
      <c r="J242" s="296"/>
      <c r="K242" s="270"/>
      <c r="L242" s="270"/>
      <c r="M242" s="270"/>
      <c r="N242" s="270"/>
      <c r="O242" s="270"/>
      <c r="P242" s="270"/>
      <c r="Q242" s="270"/>
      <c r="R242" s="270"/>
      <c r="S242" s="270">
        <f>+SUM('Rev&amp;RAV_FO'!S45,'Rev&amp;RAV_FO'!S62)*'Rev&amp;RAV_FO'!S85</f>
        <v>0</v>
      </c>
      <c r="T242" s="468">
        <f>+SUM('Rev&amp;RAV_FO'!T45,'Rev&amp;RAV_FO'!T62)*'Rev&amp;RAV_FO'!T85</f>
        <v>0</v>
      </c>
      <c r="U242" s="468">
        <f>+SUM('Rev&amp;RAV_FO'!U45,'Rev&amp;RAV_FO'!U62)*'Rev&amp;RAV_FO'!U85</f>
        <v>11459.596239234721</v>
      </c>
      <c r="V242" s="468">
        <f>+SUM('Rev&amp;RAV_FO'!V45,'Rev&amp;RAV_FO'!V62)*'Rev&amp;RAV_FO'!V85</f>
        <v>11826.496818388996</v>
      </c>
      <c r="W242" s="468">
        <f>+SUM('Rev&amp;RAV_FO'!W45,'Rev&amp;RAV_FO'!W62)*'Rev&amp;RAV_FO'!W85</f>
        <v>12716.622040974569</v>
      </c>
      <c r="X242" s="468">
        <f>+SUM('Rev&amp;RAV_FO'!X45,'Rev&amp;RAV_FO'!X62)*'Rev&amp;RAV_FO'!X85</f>
        <v>14004.230637866853</v>
      </c>
      <c r="Y242" s="468">
        <f>+SUM('Rev&amp;RAV_FO'!Y45,'Rev&amp;RAV_FO'!Y62)*'Rev&amp;RAV_FO'!Y85</f>
        <v>14995.273823483147</v>
      </c>
      <c r="Z242" s="468">
        <f>+SUM('Rev&amp;RAV_FO'!Z45,'Rev&amp;RAV_FO'!Z62)*'Rev&amp;RAV_FO'!Z85</f>
        <v>15677.097058705529</v>
      </c>
      <c r="AA242" s="468">
        <f ca="1">+SUM('Rev&amp;RAV_FO'!AA45,'Rev&amp;RAV_FO'!AA62)*'Rev&amp;RAV_FO'!AA85</f>
        <v>16612.126871198296</v>
      </c>
      <c r="AB242" s="468">
        <f ca="1">+SUM('Rev&amp;RAV_FO'!AB45,'Rev&amp;RAV_FO'!AB62)*'Rev&amp;RAV_FO'!AB85</f>
        <v>18019.673488957516</v>
      </c>
      <c r="AC242" s="468">
        <f ca="1">+SUM('Rev&amp;RAV_FO'!AC45,'Rev&amp;RAV_FO'!AC62)*'Rev&amp;RAV_FO'!AC85</f>
        <v>19568.972893920298</v>
      </c>
      <c r="AD242" s="468">
        <f ca="1">+SUM('Rev&amp;RAV_FO'!AD45,'Rev&amp;RAV_FO'!AD62)*'Rev&amp;RAV_FO'!AD85</f>
        <v>21235.255590543293</v>
      </c>
      <c r="AE242" s="468">
        <f ca="1">+SUM('Rev&amp;RAV_FO'!AE45,'Rev&amp;RAV_FO'!AE62)*'Rev&amp;RAV_FO'!AE85</f>
        <v>22976.649558374869</v>
      </c>
      <c r="AF242" s="468">
        <f ca="1">+SUM('Rev&amp;RAV_FO'!AF45,'Rev&amp;RAV_FO'!AF62)*'Rev&amp;RAV_FO'!AF85</f>
        <v>24886.793049933101</v>
      </c>
      <c r="AG242" s="468">
        <f ca="1">+SUM('Rev&amp;RAV_FO'!AG45,'Rev&amp;RAV_FO'!AG62)*'Rev&amp;RAV_FO'!AG85</f>
        <v>27035.901600224352</v>
      </c>
      <c r="AH242" s="468">
        <f ca="1">+SUM('Rev&amp;RAV_FO'!AH45,'Rev&amp;RAV_FO'!AH62)*'Rev&amp;RAV_FO'!AH85</f>
        <v>29195.211168912028</v>
      </c>
      <c r="AI242" s="468">
        <f ca="1">+SUM('Rev&amp;RAV_FO'!AI45,'Rev&amp;RAV_FO'!AI62)*'Rev&amp;RAV_FO'!AI85</f>
        <v>31472.067685194383</v>
      </c>
      <c r="AJ242" s="468">
        <f ca="1">+SUM('Rev&amp;RAV_FO'!AJ45,'Rev&amp;RAV_FO'!AJ62)*'Rev&amp;RAV_FO'!AJ85</f>
        <v>34065.526289218236</v>
      </c>
      <c r="AK242" s="157"/>
    </row>
    <row r="243" spans="3:37">
      <c r="C243" s="155"/>
      <c r="H243" s="969"/>
      <c r="I243" s="63"/>
      <c r="J243" s="296"/>
      <c r="K243" s="270"/>
      <c r="L243" s="270"/>
      <c r="M243" s="270"/>
      <c r="N243" s="270"/>
      <c r="O243" s="270"/>
      <c r="P243" s="270"/>
      <c r="Q243" s="270"/>
      <c r="R243" s="270"/>
      <c r="S243" s="270"/>
      <c r="T243" s="468"/>
      <c r="U243" s="468"/>
      <c r="V243" s="468"/>
      <c r="W243" s="468"/>
      <c r="X243" s="468"/>
      <c r="Y243" s="468"/>
      <c r="Z243" s="468"/>
      <c r="AA243" s="468"/>
      <c r="AB243" s="468"/>
      <c r="AC243" s="468"/>
      <c r="AD243" s="468"/>
      <c r="AE243" s="468"/>
      <c r="AF243" s="468"/>
      <c r="AG243" s="468"/>
      <c r="AH243" s="468"/>
      <c r="AI243" s="468"/>
      <c r="AJ243" s="468"/>
      <c r="AK243" s="157"/>
    </row>
    <row r="244" spans="3:37">
      <c r="C244" s="155"/>
      <c r="D244" s="723"/>
      <c r="E244" s="724"/>
      <c r="F244" s="724"/>
      <c r="G244" s="724"/>
      <c r="H244" s="1916" t="s">
        <v>1150</v>
      </c>
      <c r="I244" s="724"/>
      <c r="J244" s="1321"/>
      <c r="K244" s="312"/>
      <c r="L244" s="312"/>
      <c r="M244" s="312"/>
      <c r="N244" s="312"/>
      <c r="O244" s="312"/>
      <c r="P244" s="312"/>
      <c r="Q244" s="312"/>
      <c r="R244" s="725"/>
      <c r="S244" s="726" t="e">
        <f t="shared" ref="S244:AJ244" si="79">SUM(S240:S241)/S242</f>
        <v>#DIV/0!</v>
      </c>
      <c r="T244" s="727" t="e">
        <f t="shared" si="79"/>
        <v>#DIV/0!</v>
      </c>
      <c r="U244" s="1806">
        <f t="shared" si="79"/>
        <v>0.68068506404209184</v>
      </c>
      <c r="V244" s="1807">
        <f t="shared" ca="1" si="79"/>
        <v>0.65943246928995047</v>
      </c>
      <c r="W244" s="1808">
        <f t="shared" ca="1" si="79"/>
        <v>0.61424546813366043</v>
      </c>
      <c r="X244" s="1808">
        <f t="shared" ca="1" si="79"/>
        <v>0.56459569194755588</v>
      </c>
      <c r="Y244" s="1809">
        <f t="shared" ca="1" si="79"/>
        <v>0.54097236516990688</v>
      </c>
      <c r="Z244" s="1809">
        <f t="shared" ca="1" si="79"/>
        <v>0.54157531301022166</v>
      </c>
      <c r="AA244" s="1810">
        <f ca="1">SUM(AA240:AA241)/AA242</f>
        <v>0.5443931094706177</v>
      </c>
      <c r="AB244" s="1809">
        <f t="shared" ca="1" si="79"/>
        <v>0.54359698583638894</v>
      </c>
      <c r="AC244" s="1809">
        <f t="shared" ca="1" si="79"/>
        <v>0.54329962052008873</v>
      </c>
      <c r="AD244" s="1809">
        <f t="shared" ca="1" si="79"/>
        <v>0.54071206806838379</v>
      </c>
      <c r="AE244" s="1811">
        <f t="shared" ca="1" si="79"/>
        <v>0.53725436850088193</v>
      </c>
      <c r="AF244" s="1810">
        <f t="shared" ca="1" si="79"/>
        <v>0.52832881738106596</v>
      </c>
      <c r="AG244" s="1809">
        <f t="shared" ca="1" si="79"/>
        <v>0.52632250456916696</v>
      </c>
      <c r="AH244" s="1809">
        <f t="shared" ca="1" si="79"/>
        <v>0.52700516831637723</v>
      </c>
      <c r="AI244" s="1809">
        <f t="shared" ca="1" si="79"/>
        <v>0.51811137294233034</v>
      </c>
      <c r="AJ244" s="1811">
        <f t="shared" ca="1" si="79"/>
        <v>0.51334587063239945</v>
      </c>
      <c r="AK244" s="157"/>
    </row>
    <row r="245" spans="3:37">
      <c r="C245" s="155"/>
      <c r="H245" s="969"/>
      <c r="I245" s="63"/>
      <c r="J245" s="296"/>
      <c r="K245" s="310"/>
      <c r="L245" s="310"/>
      <c r="M245" s="310"/>
      <c r="N245" s="310"/>
      <c r="O245" s="310"/>
      <c r="P245" s="310"/>
      <c r="Q245" s="310"/>
      <c r="R245" s="310"/>
      <c r="S245" s="310"/>
      <c r="T245" s="310"/>
      <c r="U245" s="1844">
        <f>IF(U244&lt;0.8,0,1)</f>
        <v>0</v>
      </c>
      <c r="V245" s="1844">
        <f t="shared" ref="V245:AJ245" ca="1" si="80">IF(V244&lt;0.8,0,1)</f>
        <v>0</v>
      </c>
      <c r="W245" s="1844">
        <f t="shared" ca="1" si="80"/>
        <v>0</v>
      </c>
      <c r="X245" s="1844">
        <f t="shared" ca="1" si="80"/>
        <v>0</v>
      </c>
      <c r="Y245" s="1844">
        <f t="shared" ca="1" si="80"/>
        <v>0</v>
      </c>
      <c r="Z245" s="1844">
        <f t="shared" ca="1" si="80"/>
        <v>0</v>
      </c>
      <c r="AA245" s="1844">
        <f t="shared" ca="1" si="80"/>
        <v>0</v>
      </c>
      <c r="AB245" s="1844">
        <f t="shared" ca="1" si="80"/>
        <v>0</v>
      </c>
      <c r="AC245" s="1844">
        <f t="shared" ca="1" si="80"/>
        <v>0</v>
      </c>
      <c r="AD245" s="1844">
        <f t="shared" ca="1" si="80"/>
        <v>0</v>
      </c>
      <c r="AE245" s="1844">
        <f t="shared" ca="1" si="80"/>
        <v>0</v>
      </c>
      <c r="AF245" s="1844">
        <f t="shared" ca="1" si="80"/>
        <v>0</v>
      </c>
      <c r="AG245" s="1844">
        <f t="shared" ca="1" si="80"/>
        <v>0</v>
      </c>
      <c r="AH245" s="1844">
        <f t="shared" ca="1" si="80"/>
        <v>0</v>
      </c>
      <c r="AI245" s="1844">
        <f t="shared" ca="1" si="80"/>
        <v>0</v>
      </c>
      <c r="AJ245" s="1844">
        <f t="shared" ca="1" si="80"/>
        <v>0</v>
      </c>
      <c r="AK245" s="157"/>
    </row>
    <row r="246" spans="3:37">
      <c r="C246" s="155"/>
      <c r="D246" s="89" t="s">
        <v>181</v>
      </c>
      <c r="H246" s="969"/>
      <c r="I246" s="63"/>
      <c r="J246" s="296"/>
      <c r="K246" s="270"/>
      <c r="L246" s="270"/>
      <c r="M246" s="270"/>
      <c r="N246" s="270"/>
      <c r="O246" s="270"/>
      <c r="P246" s="270"/>
      <c r="Q246" s="270"/>
      <c r="R246" s="270"/>
      <c r="S246" s="270"/>
      <c r="T246" s="468"/>
      <c r="U246" s="468"/>
      <c r="V246" s="468"/>
      <c r="W246" s="468"/>
      <c r="X246" s="468"/>
      <c r="Y246" s="468"/>
      <c r="Z246" s="468"/>
      <c r="AA246" s="468"/>
      <c r="AB246" s="468"/>
      <c r="AC246" s="468"/>
      <c r="AD246" s="468"/>
      <c r="AE246" s="468"/>
      <c r="AF246" s="468"/>
      <c r="AG246" s="468"/>
      <c r="AH246" s="468"/>
      <c r="AI246" s="468"/>
      <c r="AJ246" s="468"/>
      <c r="AK246" s="157"/>
    </row>
    <row r="247" spans="3:37">
      <c r="C247" s="155"/>
      <c r="E247" s="63" t="s">
        <v>1134</v>
      </c>
      <c r="H247" s="969"/>
      <c r="I247" s="63"/>
      <c r="J247" s="296"/>
      <c r="K247" s="270"/>
      <c r="L247" s="270"/>
      <c r="M247" s="270"/>
      <c r="N247" s="270"/>
      <c r="O247" s="270"/>
      <c r="P247" s="270"/>
      <c r="Q247" s="270"/>
      <c r="R247" s="270"/>
      <c r="S247" s="270">
        <f>+S215</f>
        <v>0</v>
      </c>
      <c r="T247" s="468">
        <f>+T215</f>
        <v>0</v>
      </c>
      <c r="U247" s="116">
        <f ca="1">U215</f>
        <v>595.09999999999991</v>
      </c>
      <c r="V247" s="116">
        <f t="shared" ref="V247:AJ247" ca="1" si="81">V215</f>
        <v>572.00000000000023</v>
      </c>
      <c r="W247" s="116">
        <f t="shared" ca="1" si="81"/>
        <v>612.30000000000007</v>
      </c>
      <c r="X247" s="116">
        <f t="shared" ca="1" si="81"/>
        <v>724.39999999999986</v>
      </c>
      <c r="Y247" s="116">
        <f t="shared" ca="1" si="81"/>
        <v>514.70000000000005</v>
      </c>
      <c r="Z247" s="116">
        <f t="shared" ca="1" si="81"/>
        <v>668.98580081000023</v>
      </c>
      <c r="AA247" s="116">
        <f t="shared" ca="1" si="81"/>
        <v>668.32084726000062</v>
      </c>
      <c r="AB247" s="116">
        <f t="shared" ca="1" si="81"/>
        <v>713.1150554200002</v>
      </c>
      <c r="AC247" s="116">
        <f t="shared" ca="1" si="81"/>
        <v>731.80907698999977</v>
      </c>
      <c r="AD247" s="116">
        <f t="shared" ca="1" si="81"/>
        <v>783.85141019999992</v>
      </c>
      <c r="AE247" s="116">
        <f t="shared" ca="1" si="81"/>
        <v>844.42764140000008</v>
      </c>
      <c r="AF247" s="116">
        <f t="shared" ca="1" si="81"/>
        <v>926.8234596342885</v>
      </c>
      <c r="AG247" s="116">
        <f t="shared" ca="1" si="81"/>
        <v>968.26799743547076</v>
      </c>
      <c r="AH247" s="116">
        <f t="shared" ca="1" si="81"/>
        <v>1039.6256118553683</v>
      </c>
      <c r="AI247" s="116">
        <f t="shared" ca="1" si="81"/>
        <v>1105.6273200843643</v>
      </c>
      <c r="AJ247" s="116">
        <f t="shared" ca="1" si="81"/>
        <v>1166.5970030138737</v>
      </c>
      <c r="AK247" s="157"/>
    </row>
    <row r="248" spans="3:37">
      <c r="C248" s="155"/>
      <c r="E248" s="63" t="s">
        <v>1151</v>
      </c>
      <c r="H248" s="969"/>
      <c r="I248" s="63"/>
      <c r="J248" s="296"/>
      <c r="K248" s="270"/>
      <c r="L248" s="270"/>
      <c r="M248" s="270"/>
      <c r="N248" s="270"/>
      <c r="O248" s="270"/>
      <c r="P248" s="270"/>
      <c r="Q248" s="270"/>
      <c r="R248" s="270"/>
      <c r="S248" s="270">
        <f>+S192</f>
        <v>0</v>
      </c>
      <c r="T248" s="296">
        <f>+T192</f>
        <v>0</v>
      </c>
      <c r="U248" s="116">
        <f ca="1">-U109</f>
        <v>0</v>
      </c>
      <c r="V248" s="116">
        <f t="shared" ref="V248:AJ248" ca="1" si="82">-V109</f>
        <v>-15.051458637249766</v>
      </c>
      <c r="W248" s="116">
        <f t="shared" ca="1" si="82"/>
        <v>-27.600828542348253</v>
      </c>
      <c r="X248" s="116">
        <f t="shared" ca="1" si="82"/>
        <v>-96.000459480474476</v>
      </c>
      <c r="Y248" s="116">
        <f t="shared" ca="1" si="82"/>
        <v>0</v>
      </c>
      <c r="Z248" s="116">
        <f t="shared" ca="1" si="82"/>
        <v>-55.688695211970838</v>
      </c>
      <c r="AA248" s="116">
        <f t="shared" ca="1" si="82"/>
        <v>-68.402962354969688</v>
      </c>
      <c r="AB248" s="116">
        <f t="shared" ca="1" si="82"/>
        <v>-73.327883314305851</v>
      </c>
      <c r="AC248" s="116">
        <f t="shared" ca="1" si="82"/>
        <v>-41.722677356878407</v>
      </c>
      <c r="AD248" s="116">
        <f t="shared" ca="1" si="82"/>
        <v>-31.795170834205834</v>
      </c>
      <c r="AE248" s="116">
        <f t="shared" ca="1" si="82"/>
        <v>-32.050462747732368</v>
      </c>
      <c r="AF248" s="116">
        <f t="shared" ca="1" si="82"/>
        <v>-58.402173269778274</v>
      </c>
      <c r="AG248" s="116">
        <f t="shared" ca="1" si="82"/>
        <v>-54.278624678828322</v>
      </c>
      <c r="AH248" s="116">
        <f t="shared" ca="1" si="82"/>
        <v>-61.087915593894024</v>
      </c>
      <c r="AI248" s="116">
        <f t="shared" ca="1" si="82"/>
        <v>-46.300570674931635</v>
      </c>
      <c r="AJ248" s="116">
        <f t="shared" ca="1" si="82"/>
        <v>-37.533438940329432</v>
      </c>
      <c r="AK248" s="157"/>
    </row>
    <row r="249" spans="3:37">
      <c r="C249" s="155"/>
      <c r="E249" s="63" t="s">
        <v>1141</v>
      </c>
      <c r="H249" s="969"/>
      <c r="I249" s="63"/>
      <c r="J249" s="296"/>
      <c r="K249" s="270"/>
      <c r="L249" s="270"/>
      <c r="M249" s="270"/>
      <c r="N249" s="270"/>
      <c r="O249" s="270"/>
      <c r="P249" s="270"/>
      <c r="Q249" s="270"/>
      <c r="R249" s="270"/>
      <c r="S249" s="1176"/>
      <c r="T249" s="1177"/>
      <c r="U249" s="116">
        <f>+U192</f>
        <v>7814.7</v>
      </c>
      <c r="V249" s="116">
        <f t="shared" ref="V249:AJ249" ca="1" si="83">+V192</f>
        <v>7803.1395694682669</v>
      </c>
      <c r="W249" s="116">
        <f t="shared" ca="1" si="83"/>
        <v>7818.5242169069688</v>
      </c>
      <c r="X249" s="116">
        <f t="shared" ca="1" si="83"/>
        <v>7908.3174251941246</v>
      </c>
      <c r="Y249" s="116">
        <f t="shared" ca="1" si="83"/>
        <v>8112.5551358003431</v>
      </c>
      <c r="Z249" s="116">
        <f t="shared" ca="1" si="83"/>
        <v>8492.4877466600719</v>
      </c>
      <c r="AA249" s="116">
        <f t="shared" ca="1" si="83"/>
        <v>9043.6249633076532</v>
      </c>
      <c r="AB249" s="116">
        <f t="shared" ca="1" si="83"/>
        <v>9795.5353757928115</v>
      </c>
      <c r="AC249" s="116">
        <f t="shared" ca="1" si="83"/>
        <v>10631.908407175893</v>
      </c>
      <c r="AD249" s="116">
        <f t="shared" ca="1" si="83"/>
        <v>11482.249561387851</v>
      </c>
      <c r="AE249" s="116">
        <f t="shared" ca="1" si="83"/>
        <v>12344.395943815236</v>
      </c>
      <c r="AF249" s="116">
        <f t="shared" ca="1" si="83"/>
        <v>13148.500535542968</v>
      </c>
      <c r="AG249" s="116">
        <f t="shared" ca="1" si="83"/>
        <v>14229.694038580108</v>
      </c>
      <c r="AH249" s="116">
        <f t="shared" ca="1" si="83"/>
        <v>15386.117771169138</v>
      </c>
      <c r="AI249" s="116">
        <f t="shared" ca="1" si="83"/>
        <v>16306.12679277449</v>
      </c>
      <c r="AJ249" s="116">
        <f t="shared" ca="1" si="83"/>
        <v>17487.487846554108</v>
      </c>
      <c r="AK249" s="157"/>
    </row>
    <row r="250" spans="3:37">
      <c r="C250" s="155"/>
      <c r="E250" s="63" t="s">
        <v>1142</v>
      </c>
      <c r="H250" s="969"/>
      <c r="I250" s="63"/>
      <c r="J250" s="296"/>
      <c r="K250" s="270"/>
      <c r="L250" s="270"/>
      <c r="M250" s="270"/>
      <c r="N250" s="270"/>
      <c r="O250" s="270"/>
      <c r="P250" s="270"/>
      <c r="Q250" s="270"/>
      <c r="R250" s="270"/>
      <c r="S250" s="270">
        <f>-S187</f>
        <v>0</v>
      </c>
      <c r="T250" s="468">
        <f>-T187</f>
        <v>0</v>
      </c>
      <c r="U250" s="2053">
        <v>641.33100000000002</v>
      </c>
      <c r="V250" s="2054">
        <v>346.44499999999999</v>
      </c>
      <c r="W250" s="2054">
        <v>134</v>
      </c>
      <c r="X250" s="2054">
        <v>325</v>
      </c>
      <c r="Y250" s="2054">
        <v>236.21633997469925</v>
      </c>
      <c r="Z250" s="2055">
        <v>747.27898167907063</v>
      </c>
      <c r="AA250" s="2054">
        <v>863.32665272241707</v>
      </c>
      <c r="AB250" s="2054">
        <v>885.2203129383347</v>
      </c>
      <c r="AC250" s="2054">
        <v>379.57330321324952</v>
      </c>
      <c r="AD250" s="2054">
        <v>404.33300861006143</v>
      </c>
      <c r="AE250" s="2055">
        <v>429.43645130725952</v>
      </c>
      <c r="AF250" s="2054">
        <v>382.84986920522442</v>
      </c>
      <c r="AG250" s="2054">
        <v>414.33138986260741</v>
      </c>
      <c r="AH250" s="2054">
        <v>448.00341760225149</v>
      </c>
      <c r="AI250" s="2054">
        <v>474.79166867598428</v>
      </c>
      <c r="AJ250" s="2055">
        <v>509.18980584007085</v>
      </c>
      <c r="AK250" s="157"/>
    </row>
    <row r="251" spans="3:37">
      <c r="C251" s="155"/>
      <c r="E251" s="63" t="s">
        <v>1143</v>
      </c>
      <c r="H251" s="969"/>
      <c r="I251" s="63"/>
      <c r="J251" s="296"/>
      <c r="K251" s="270"/>
      <c r="L251" s="270"/>
      <c r="M251" s="270"/>
      <c r="N251" s="270"/>
      <c r="O251" s="270"/>
      <c r="P251" s="270"/>
      <c r="Q251" s="270"/>
      <c r="R251" s="270"/>
      <c r="S251" s="270"/>
      <c r="T251" s="468"/>
      <c r="U251" s="116">
        <f>-U187</f>
        <v>-14.324</v>
      </c>
      <c r="V251" s="116">
        <f t="shared" ref="V251:AJ251" ca="1" si="84">-V187</f>
        <v>-4.3635694682675812</v>
      </c>
      <c r="W251" s="116">
        <f t="shared" ca="1" si="84"/>
        <v>-7.3967582697201015</v>
      </c>
      <c r="X251" s="116">
        <f t="shared" ca="1" si="84"/>
        <v>-1.5891380145278449</v>
      </c>
      <c r="Y251" s="116">
        <f t="shared" ca="1" si="84"/>
        <v>-0.52638914027149331</v>
      </c>
      <c r="Z251" s="116">
        <f t="shared" ca="1" si="84"/>
        <v>-2.1589999999999998</v>
      </c>
      <c r="AA251" s="116">
        <f t="shared" ca="1" si="84"/>
        <v>-9.7560975609756184E-2</v>
      </c>
      <c r="AB251" s="116">
        <f t="shared" ca="1" si="84"/>
        <v>-9.518143961927425E-2</v>
      </c>
      <c r="AC251" s="116">
        <f t="shared" ca="1" si="84"/>
        <v>-9.2859941091974887E-2</v>
      </c>
      <c r="AD251" s="116">
        <f t="shared" ca="1" si="84"/>
        <v>-9.0595064479975507E-2</v>
      </c>
      <c r="AE251" s="116">
        <f t="shared" ca="1" si="84"/>
        <v>-9.0595064479975507E-2</v>
      </c>
      <c r="AF251" s="116">
        <f t="shared" ca="1" si="84"/>
        <v>-9.0595064479975507E-2</v>
      </c>
      <c r="AG251" s="116">
        <f t="shared" ca="1" si="84"/>
        <v>-9.0595064479975507E-2</v>
      </c>
      <c r="AH251" s="116">
        <f t="shared" ca="1" si="84"/>
        <v>-9.0595064479975507E-2</v>
      </c>
      <c r="AI251" s="116">
        <f t="shared" ca="1" si="84"/>
        <v>-9.0595064479975507E-2</v>
      </c>
      <c r="AJ251" s="116">
        <f t="shared" ca="1" si="84"/>
        <v>-9.0595064479975507E-2</v>
      </c>
      <c r="AK251" s="157"/>
    </row>
    <row r="252" spans="3:37">
      <c r="C252" s="155"/>
      <c r="H252" s="969"/>
      <c r="I252" s="63"/>
      <c r="J252" s="296"/>
      <c r="K252" s="270"/>
      <c r="L252" s="270"/>
      <c r="M252" s="270"/>
      <c r="N252" s="270"/>
      <c r="O252" s="270"/>
      <c r="P252" s="270"/>
      <c r="Q252" s="270"/>
      <c r="R252" s="270"/>
      <c r="S252" s="270"/>
      <c r="T252" s="468"/>
      <c r="U252" s="468"/>
      <c r="V252" s="468"/>
      <c r="W252" s="468"/>
      <c r="X252" s="468"/>
      <c r="Y252" s="468"/>
      <c r="Z252" s="468"/>
      <c r="AA252" s="468"/>
      <c r="AB252" s="468"/>
      <c r="AC252" s="468"/>
      <c r="AD252" s="468"/>
      <c r="AE252" s="468"/>
      <c r="AF252" s="468"/>
      <c r="AG252" s="468"/>
      <c r="AH252" s="468"/>
      <c r="AI252" s="468"/>
      <c r="AJ252" s="468"/>
      <c r="AK252" s="157"/>
    </row>
    <row r="253" spans="3:37">
      <c r="C253" s="155"/>
      <c r="D253" s="723"/>
      <c r="E253" s="724"/>
      <c r="F253" s="724"/>
      <c r="G253" s="724"/>
      <c r="H253" s="1916" t="s">
        <v>1152</v>
      </c>
      <c r="I253" s="724"/>
      <c r="J253" s="1321"/>
      <c r="K253" s="312"/>
      <c r="L253" s="312"/>
      <c r="M253" s="312"/>
      <c r="N253" s="312"/>
      <c r="O253" s="312"/>
      <c r="P253" s="312"/>
      <c r="Q253" s="312"/>
      <c r="R253" s="1042"/>
      <c r="S253" s="1175">
        <f>+IF(ISERROR(S247/SUM(S248:S250)),0,S247/SUM(S248:S250))</f>
        <v>0</v>
      </c>
      <c r="T253" s="1042">
        <f>+IF(ISERROR(T247/SUM(T248:T250)),0,T247/SUM(T248:T250))</f>
        <v>0</v>
      </c>
      <c r="U253" s="1806">
        <f ca="1">+IF(ISERROR((U247+U248)/SUM(U249:U251)),0,(U247+U248)/SUM(U249:U251))</f>
        <v>7.0495220931027336E-2</v>
      </c>
      <c r="V253" s="1807">
        <f t="shared" ref="V253:AJ253" ca="1" si="85">+IF(ISERROR((V247+V248)/SUM(V249:V251)),0,(V247+V248)/SUM(V249:V251))</f>
        <v>6.8377339468474893E-2</v>
      </c>
      <c r="W253" s="1808">
        <f t="shared" ca="1" si="85"/>
        <v>7.3592170106977703E-2</v>
      </c>
      <c r="X253" s="1808">
        <f t="shared" ca="1" si="85"/>
        <v>7.6338712673281323E-2</v>
      </c>
      <c r="Y253" s="1809">
        <f t="shared" ca="1" si="85"/>
        <v>6.1653676270718931E-2</v>
      </c>
      <c r="Z253" s="1809">
        <f t="shared" ca="1" si="85"/>
        <v>6.6391334600251095E-2</v>
      </c>
      <c r="AA253" s="1810">
        <f t="shared" ca="1" si="85"/>
        <v>6.0555841599276801E-2</v>
      </c>
      <c r="AB253" s="1809">
        <f t="shared" ca="1" si="85"/>
        <v>5.9901461306528868E-2</v>
      </c>
      <c r="AC253" s="1809">
        <f t="shared" ca="1" si="85"/>
        <v>6.2670241602179169E-2</v>
      </c>
      <c r="AD253" s="1809">
        <f t="shared" ca="1" si="85"/>
        <v>6.3269822665236411E-2</v>
      </c>
      <c r="AE253" s="1811">
        <f t="shared" ca="1" si="85"/>
        <v>6.3597432245622657E-2</v>
      </c>
      <c r="AF253" s="1809">
        <f t="shared" ca="1" si="85"/>
        <v>6.4178893804331533E-2</v>
      </c>
      <c r="AG253" s="1809">
        <f t="shared" ca="1" si="85"/>
        <v>6.2414192848862363E-2</v>
      </c>
      <c r="AH253" s="1809">
        <f t="shared" ca="1" si="85"/>
        <v>6.179965931418531E-2</v>
      </c>
      <c r="AI253" s="1809">
        <f t="shared" ca="1" si="85"/>
        <v>6.3127204321748093E-2</v>
      </c>
      <c r="AJ253" s="1809">
        <f t="shared" ca="1" si="85"/>
        <v>6.2737649115180219E-2</v>
      </c>
      <c r="AK253" s="718"/>
    </row>
    <row r="254" spans="3:37">
      <c r="C254" s="155"/>
      <c r="U254" s="1844">
        <f ca="1">IF(U253&gt;0.04,0,1)</f>
        <v>0</v>
      </c>
      <c r="V254" s="1844">
        <f t="shared" ref="V254:AJ254" ca="1" si="86">IF(V253&gt;0.04,0,1)</f>
        <v>0</v>
      </c>
      <c r="W254" s="1844">
        <f t="shared" ca="1" si="86"/>
        <v>0</v>
      </c>
      <c r="X254" s="1844">
        <f t="shared" ca="1" si="86"/>
        <v>0</v>
      </c>
      <c r="Y254" s="1844">
        <f t="shared" ca="1" si="86"/>
        <v>0</v>
      </c>
      <c r="Z254" s="1844">
        <f t="shared" ca="1" si="86"/>
        <v>0</v>
      </c>
      <c r="AA254" s="1844">
        <f t="shared" ca="1" si="86"/>
        <v>0</v>
      </c>
      <c r="AB254" s="1844">
        <f t="shared" ca="1" si="86"/>
        <v>0</v>
      </c>
      <c r="AC254" s="1844">
        <f t="shared" ca="1" si="86"/>
        <v>0</v>
      </c>
      <c r="AD254" s="1844">
        <f t="shared" ca="1" si="86"/>
        <v>0</v>
      </c>
      <c r="AE254" s="1844">
        <f t="shared" ca="1" si="86"/>
        <v>0</v>
      </c>
      <c r="AF254" s="1844">
        <f t="shared" ca="1" si="86"/>
        <v>0</v>
      </c>
      <c r="AG254" s="1844">
        <f t="shared" ca="1" si="86"/>
        <v>0</v>
      </c>
      <c r="AH254" s="1844">
        <f t="shared" ca="1" si="86"/>
        <v>0</v>
      </c>
      <c r="AI254" s="1844">
        <f t="shared" ca="1" si="86"/>
        <v>0</v>
      </c>
      <c r="AJ254" s="1844">
        <f t="shared" ca="1" si="86"/>
        <v>0</v>
      </c>
      <c r="AK254" s="157"/>
    </row>
    <row r="255" spans="3:37">
      <c r="C255" s="155"/>
      <c r="D255" s="89" t="s">
        <v>1153</v>
      </c>
      <c r="H255" s="722"/>
      <c r="J255" s="310"/>
      <c r="K255" s="270"/>
      <c r="L255" s="270"/>
      <c r="M255" s="270"/>
      <c r="N255" s="270"/>
      <c r="O255" s="270"/>
      <c r="P255" s="270"/>
      <c r="Q255" s="270"/>
      <c r="R255" s="270"/>
      <c r="S255" s="270"/>
      <c r="T255" s="468"/>
      <c r="U255" s="468"/>
      <c r="V255" s="468"/>
      <c r="W255" s="468"/>
      <c r="X255" s="468"/>
      <c r="Y255" s="468"/>
      <c r="Z255" s="468"/>
      <c r="AA255" s="468"/>
      <c r="AB255" s="468"/>
      <c r="AC255" s="468"/>
      <c r="AD255" s="468"/>
      <c r="AE255" s="468"/>
      <c r="AF255" s="468"/>
      <c r="AG255" s="468"/>
      <c r="AH255" s="468"/>
      <c r="AI255" s="468"/>
      <c r="AJ255" s="468"/>
      <c r="AK255" s="157"/>
    </row>
    <row r="256" spans="3:37">
      <c r="C256" s="155"/>
      <c r="E256" s="63" t="s">
        <v>1134</v>
      </c>
      <c r="H256" s="722"/>
      <c r="J256" s="310"/>
      <c r="K256" s="270"/>
      <c r="L256" s="270"/>
      <c r="M256" s="270"/>
      <c r="N256" s="270"/>
      <c r="O256" s="270"/>
      <c r="P256" s="270"/>
      <c r="Q256" s="270"/>
      <c r="R256" s="270"/>
      <c r="S256" s="270">
        <f t="shared" ref="S256:AF256" si="87">+S215</f>
        <v>0</v>
      </c>
      <c r="T256" s="468">
        <f t="shared" si="87"/>
        <v>0</v>
      </c>
      <c r="U256" s="468">
        <f t="shared" ca="1" si="87"/>
        <v>595.09999999999991</v>
      </c>
      <c r="V256" s="468">
        <f t="shared" ca="1" si="87"/>
        <v>572.00000000000023</v>
      </c>
      <c r="W256" s="468">
        <f t="shared" ca="1" si="87"/>
        <v>612.30000000000007</v>
      </c>
      <c r="X256" s="468">
        <f t="shared" ca="1" si="87"/>
        <v>724.39999999999986</v>
      </c>
      <c r="Y256" s="468">
        <f t="shared" ca="1" si="87"/>
        <v>514.70000000000005</v>
      </c>
      <c r="Z256" s="468">
        <f t="shared" ca="1" si="87"/>
        <v>668.98580081000023</v>
      </c>
      <c r="AA256" s="468">
        <f t="shared" ca="1" si="87"/>
        <v>668.32084726000062</v>
      </c>
      <c r="AB256" s="468">
        <f t="shared" ca="1" si="87"/>
        <v>713.1150554200002</v>
      </c>
      <c r="AC256" s="468">
        <f t="shared" ca="1" si="87"/>
        <v>731.80907698999977</v>
      </c>
      <c r="AD256" s="468">
        <f t="shared" ca="1" si="87"/>
        <v>783.85141019999992</v>
      </c>
      <c r="AE256" s="468">
        <f t="shared" ca="1" si="87"/>
        <v>844.42764140000008</v>
      </c>
      <c r="AF256" s="468">
        <f t="shared" ca="1" si="87"/>
        <v>926.8234596342885</v>
      </c>
      <c r="AG256" s="468">
        <f ca="1">+AG215</f>
        <v>968.26799743547076</v>
      </c>
      <c r="AH256" s="468">
        <f ca="1">+AH215</f>
        <v>1039.6256118553683</v>
      </c>
      <c r="AI256" s="468">
        <f ca="1">+AI215</f>
        <v>1105.6273200843643</v>
      </c>
      <c r="AJ256" s="468">
        <f ca="1">+AJ215</f>
        <v>1166.5970030138737</v>
      </c>
      <c r="AK256" s="157"/>
    </row>
    <row r="257" spans="3:37">
      <c r="C257" s="155"/>
      <c r="E257" s="63" t="s">
        <v>1151</v>
      </c>
      <c r="H257" s="722"/>
      <c r="J257" s="310"/>
      <c r="K257" s="270"/>
      <c r="L257" s="270"/>
      <c r="M257" s="270"/>
      <c r="N257" s="270"/>
      <c r="O257" s="270"/>
      <c r="P257" s="270"/>
      <c r="Q257" s="270"/>
      <c r="R257" s="270"/>
      <c r="S257" s="270">
        <f t="shared" ref="S257:AF257" si="88">-S109</f>
        <v>0</v>
      </c>
      <c r="T257" s="468">
        <f t="shared" si="88"/>
        <v>0</v>
      </c>
      <c r="U257" s="468">
        <f t="shared" ca="1" si="88"/>
        <v>0</v>
      </c>
      <c r="V257" s="468">
        <f t="shared" ca="1" si="88"/>
        <v>-15.051458637249766</v>
      </c>
      <c r="W257" s="468">
        <f t="shared" ca="1" si="88"/>
        <v>-27.600828542348253</v>
      </c>
      <c r="X257" s="468">
        <f t="shared" ca="1" si="88"/>
        <v>-96.000459480474476</v>
      </c>
      <c r="Y257" s="468">
        <f t="shared" ca="1" si="88"/>
        <v>0</v>
      </c>
      <c r="Z257" s="468">
        <f t="shared" ca="1" si="88"/>
        <v>-55.688695211970838</v>
      </c>
      <c r="AA257" s="468">
        <f t="shared" ca="1" si="88"/>
        <v>-68.402962354969688</v>
      </c>
      <c r="AB257" s="468">
        <f t="shared" ca="1" si="88"/>
        <v>-73.327883314305851</v>
      </c>
      <c r="AC257" s="468">
        <f t="shared" ca="1" si="88"/>
        <v>-41.722677356878407</v>
      </c>
      <c r="AD257" s="468">
        <f t="shared" ca="1" si="88"/>
        <v>-31.795170834205834</v>
      </c>
      <c r="AE257" s="468">
        <f t="shared" ca="1" si="88"/>
        <v>-32.050462747732368</v>
      </c>
      <c r="AF257" s="468">
        <f t="shared" ca="1" si="88"/>
        <v>-58.402173269778274</v>
      </c>
      <c r="AG257" s="468">
        <f ca="1">-AG109</f>
        <v>-54.278624678828322</v>
      </c>
      <c r="AH257" s="468">
        <f ca="1">-AH109</f>
        <v>-61.087915593894024</v>
      </c>
      <c r="AI257" s="468">
        <f ca="1">-AI109</f>
        <v>-46.300570674931635</v>
      </c>
      <c r="AJ257" s="468">
        <f ca="1">-AJ109</f>
        <v>-37.533438940329432</v>
      </c>
      <c r="AK257" s="157"/>
    </row>
    <row r="258" spans="3:37">
      <c r="C258" s="155"/>
      <c r="E258" s="63" t="s">
        <v>1154</v>
      </c>
      <c r="H258" s="722"/>
      <c r="J258" s="310"/>
      <c r="K258" s="270"/>
      <c r="L258" s="270"/>
      <c r="M258" s="270"/>
      <c r="N258" s="270"/>
      <c r="O258" s="270"/>
      <c r="P258" s="270"/>
      <c r="Q258" s="270"/>
      <c r="R258" s="270"/>
      <c r="S258" s="270">
        <f t="shared" ref="S258:AF258" si="89">-S136</f>
        <v>0</v>
      </c>
      <c r="T258" s="468">
        <f t="shared" si="89"/>
        <v>0</v>
      </c>
      <c r="U258" s="468">
        <f t="shared" ca="1" si="89"/>
        <v>660.50494755876389</v>
      </c>
      <c r="V258" s="468">
        <f t="shared" ca="1" si="89"/>
        <v>630.02495064814559</v>
      </c>
      <c r="W258" s="468">
        <f t="shared" ca="1" si="89"/>
        <v>777.85939402084148</v>
      </c>
      <c r="X258" s="468">
        <f t="shared" ca="1" si="89"/>
        <v>921.68838203156724</v>
      </c>
      <c r="Y258" s="468">
        <f t="shared" ca="1" si="89"/>
        <v>1039.8779109392428</v>
      </c>
      <c r="Z258" s="468">
        <f t="shared" ca="1" si="89"/>
        <v>691.88538153620141</v>
      </c>
      <c r="AA258" s="468">
        <f t="shared" ca="1" si="89"/>
        <v>1505.9771083332255</v>
      </c>
      <c r="AB258" s="468">
        <f t="shared" ca="1" si="89"/>
        <v>1672.130342857756</v>
      </c>
      <c r="AC258" s="468">
        <f t="shared" ca="1" si="89"/>
        <v>1751.3561236695327</v>
      </c>
      <c r="AD258" s="468">
        <f t="shared" ca="1" si="89"/>
        <v>1850.5021216749988</v>
      </c>
      <c r="AE258" s="468">
        <f t="shared" ca="1" si="89"/>
        <v>1845.9523431346254</v>
      </c>
      <c r="AF258" s="468">
        <f t="shared" ca="1" si="89"/>
        <v>2163.4334714980587</v>
      </c>
      <c r="AG258" s="468">
        <f ca="1">-AG136</f>
        <v>2314.3126391492033</v>
      </c>
      <c r="AH258" s="468">
        <f ca="1">-AH136</f>
        <v>2174.3130221004649</v>
      </c>
      <c r="AI258" s="468">
        <f ca="1">-AI136</f>
        <v>2549.9374773342329</v>
      </c>
      <c r="AJ258" s="468">
        <f ca="1">-AJ136</f>
        <v>2788.2507424889409</v>
      </c>
      <c r="AK258" s="157"/>
    </row>
    <row r="259" spans="3:37">
      <c r="C259" s="155"/>
      <c r="E259" s="63" t="s">
        <v>1155</v>
      </c>
      <c r="H259" s="722"/>
      <c r="J259" s="310"/>
      <c r="K259" s="270"/>
      <c r="L259" s="270"/>
      <c r="M259" s="270"/>
      <c r="N259" s="270"/>
      <c r="O259" s="270"/>
      <c r="P259" s="270"/>
      <c r="Q259" s="270"/>
      <c r="R259" s="270"/>
      <c r="S259" s="270">
        <f t="shared" ref="S259:AF259" si="90">-S86</f>
        <v>0</v>
      </c>
      <c r="T259" s="468">
        <f t="shared" si="90"/>
        <v>0</v>
      </c>
      <c r="U259" s="468">
        <f t="shared" ca="1" si="90"/>
        <v>-174.77240566031998</v>
      </c>
      <c r="V259" s="468">
        <f t="shared" ca="1" si="90"/>
        <v>-192.78851482800005</v>
      </c>
      <c r="W259" s="468">
        <f t="shared" ca="1" si="90"/>
        <v>-215.28280799999999</v>
      </c>
      <c r="X259" s="468">
        <f t="shared" ca="1" si="90"/>
        <v>-216.62184160656</v>
      </c>
      <c r="Y259" s="468">
        <f t="shared" ca="1" si="90"/>
        <v>-217.57187426831999</v>
      </c>
      <c r="Z259" s="468">
        <f t="shared" ca="1" si="90"/>
        <v>-244.65017134288519</v>
      </c>
      <c r="AA259" s="468">
        <f t="shared" ca="1" si="90"/>
        <v>-264.12802815887164</v>
      </c>
      <c r="AB259" s="468">
        <f t="shared" ca="1" si="90"/>
        <v>-281.46212010537869</v>
      </c>
      <c r="AC259" s="468">
        <f t="shared" ca="1" si="90"/>
        <v>-290.7921391501007</v>
      </c>
      <c r="AD259" s="468">
        <f t="shared" ca="1" si="90"/>
        <v>-298.04191132752618</v>
      </c>
      <c r="AE259" s="468">
        <f t="shared" ca="1" si="90"/>
        <v>-301.97739211900364</v>
      </c>
      <c r="AF259" s="468">
        <f t="shared" ca="1" si="90"/>
        <v>-316.11863462517329</v>
      </c>
      <c r="AG259" s="468">
        <f t="shared" ref="AG259:AJ260" ca="1" si="91">-AG86</f>
        <v>-316.49205350883375</v>
      </c>
      <c r="AH259" s="468">
        <f t="shared" ca="1" si="91"/>
        <v>-314.26357996107834</v>
      </c>
      <c r="AI259" s="468">
        <f t="shared" ca="1" si="91"/>
        <v>-312.06353929380384</v>
      </c>
      <c r="AJ259" s="468">
        <f t="shared" ca="1" si="91"/>
        <v>-309.89187360068121</v>
      </c>
      <c r="AK259" s="157"/>
    </row>
    <row r="260" spans="3:37">
      <c r="C260" s="155"/>
      <c r="E260" s="63" t="s">
        <v>1156</v>
      </c>
      <c r="H260" s="722"/>
      <c r="J260" s="310"/>
      <c r="K260" s="270"/>
      <c r="L260" s="270"/>
      <c r="M260" s="270"/>
      <c r="N260" s="270"/>
      <c r="O260" s="270"/>
      <c r="P260" s="270"/>
      <c r="Q260" s="270"/>
      <c r="R260" s="270"/>
      <c r="S260" s="270">
        <f t="shared" ref="S260:AF260" si="92">-S87</f>
        <v>0</v>
      </c>
      <c r="T260" s="468">
        <f t="shared" si="92"/>
        <v>0</v>
      </c>
      <c r="U260" s="468">
        <f t="shared" ca="1" si="92"/>
        <v>0</v>
      </c>
      <c r="V260" s="468">
        <f t="shared" ca="1" si="92"/>
        <v>0</v>
      </c>
      <c r="W260" s="468">
        <f t="shared" ca="1" si="92"/>
        <v>0</v>
      </c>
      <c r="X260" s="468">
        <f t="shared" ca="1" si="92"/>
        <v>0</v>
      </c>
      <c r="Y260" s="468">
        <f t="shared" ca="1" si="92"/>
        <v>0</v>
      </c>
      <c r="Z260" s="468">
        <f t="shared" ca="1" si="92"/>
        <v>0</v>
      </c>
      <c r="AA260" s="468">
        <f t="shared" ca="1" si="92"/>
        <v>-9.5822535038209136</v>
      </c>
      <c r="AB260" s="468">
        <f t="shared" ca="1" si="92"/>
        <v>-15.837355692696621</v>
      </c>
      <c r="AC260" s="468">
        <f t="shared" ca="1" si="92"/>
        <v>-2.5467898309640986E-2</v>
      </c>
      <c r="AD260" s="468">
        <f t="shared" ca="1" si="92"/>
        <v>-1.7044856819915816E-2</v>
      </c>
      <c r="AE260" s="468">
        <f t="shared" ca="1" si="92"/>
        <v>0</v>
      </c>
      <c r="AF260" s="468">
        <f t="shared" ca="1" si="92"/>
        <v>0</v>
      </c>
      <c r="AG260" s="468">
        <f t="shared" ca="1" si="91"/>
        <v>0</v>
      </c>
      <c r="AH260" s="468">
        <f t="shared" ca="1" si="91"/>
        <v>0</v>
      </c>
      <c r="AI260" s="468">
        <f t="shared" ca="1" si="91"/>
        <v>0</v>
      </c>
      <c r="AJ260" s="468">
        <f t="shared" ca="1" si="91"/>
        <v>0</v>
      </c>
      <c r="AK260" s="157"/>
    </row>
    <row r="261" spans="3:37">
      <c r="C261" s="155"/>
      <c r="H261" s="722"/>
      <c r="J261" s="310"/>
      <c r="K261" s="270"/>
      <c r="L261" s="270"/>
      <c r="M261" s="270"/>
      <c r="N261" s="270"/>
      <c r="O261" s="270"/>
      <c r="P261" s="270"/>
      <c r="Q261" s="270"/>
      <c r="R261" s="270"/>
      <c r="S261" s="270"/>
      <c r="T261" s="468"/>
      <c r="U261" s="468"/>
      <c r="V261" s="468"/>
      <c r="W261" s="468"/>
      <c r="X261" s="468"/>
      <c r="Y261" s="468"/>
      <c r="Z261" s="468"/>
      <c r="AA261" s="468"/>
      <c r="AB261" s="468"/>
      <c r="AC261" s="468"/>
      <c r="AD261" s="468"/>
      <c r="AE261" s="468"/>
      <c r="AF261" s="468"/>
      <c r="AG261" s="468"/>
      <c r="AH261" s="468"/>
      <c r="AI261" s="468"/>
      <c r="AJ261" s="468"/>
      <c r="AK261" s="157"/>
    </row>
    <row r="262" spans="3:37">
      <c r="C262" s="155"/>
      <c r="D262" s="723"/>
      <c r="E262" s="724"/>
      <c r="F262" s="724"/>
      <c r="G262" s="724"/>
      <c r="H262" s="720" t="s">
        <v>1157</v>
      </c>
      <c r="I262" s="721"/>
      <c r="J262" s="620"/>
      <c r="K262" s="312"/>
      <c r="L262" s="312"/>
      <c r="M262" s="312"/>
      <c r="N262" s="312"/>
      <c r="O262" s="312"/>
      <c r="P262" s="312"/>
      <c r="Q262" s="312"/>
      <c r="R262" s="1042"/>
      <c r="S262" s="1175">
        <f t="shared" ref="S262:AJ262" si="93">+IF(ISERROR(SUM(S256:S257)/SUM(S258:S260)),0,SUM(S256:S257)/SUM(S258:S260))</f>
        <v>0</v>
      </c>
      <c r="T262" s="1042">
        <f t="shared" si="93"/>
        <v>0</v>
      </c>
      <c r="U262" s="1806">
        <f t="shared" ca="1" si="93"/>
        <v>1.2251598331750693</v>
      </c>
      <c r="V262" s="1807">
        <f t="shared" ca="1" si="93"/>
        <v>1.2737926113546671</v>
      </c>
      <c r="W262" s="1808">
        <f t="shared" ca="1" si="93"/>
        <v>1.0393236867415432</v>
      </c>
      <c r="X262" s="1808">
        <f t="shared" ca="1" si="93"/>
        <v>0.89126274541510975</v>
      </c>
      <c r="Y262" s="1809">
        <f t="shared" ca="1" si="93"/>
        <v>0.62592268212421853</v>
      </c>
      <c r="Z262" s="1809">
        <f t="shared" ca="1" si="93"/>
        <v>1.3713077405800258</v>
      </c>
      <c r="AA262" s="1810">
        <f t="shared" ca="1" si="93"/>
        <v>0.48684089510544709</v>
      </c>
      <c r="AB262" s="1809">
        <f t="shared" ca="1" si="93"/>
        <v>0.46535700313013234</v>
      </c>
      <c r="AC262" s="1809">
        <f t="shared" ca="1" si="93"/>
        <v>0.47248764190731463</v>
      </c>
      <c r="AD262" s="1809">
        <f t="shared" ca="1" si="93"/>
        <v>0.48443399158390782</v>
      </c>
      <c r="AE262" s="1811">
        <f t="shared" ca="1" si="93"/>
        <v>0.52615955855882812</v>
      </c>
      <c r="AF262" s="1809">
        <f t="shared" ca="1" si="93"/>
        <v>0.47009923215609772</v>
      </c>
      <c r="AG262" s="1809">
        <f t="shared" ca="1" si="93"/>
        <v>0.45749322002489912</v>
      </c>
      <c r="AH262" s="1809">
        <f t="shared" ca="1" si="93"/>
        <v>0.52608155143230095</v>
      </c>
      <c r="AI262" s="1809">
        <f t="shared" ca="1" si="93"/>
        <v>0.47336301272493531</v>
      </c>
      <c r="AJ262" s="1809">
        <f t="shared" ca="1" si="93"/>
        <v>0.45556903733639625</v>
      </c>
      <c r="AK262" s="718"/>
    </row>
    <row r="263" spans="3:37">
      <c r="C263" s="155"/>
      <c r="J263" s="310"/>
      <c r="K263" s="270"/>
      <c r="L263" s="270"/>
      <c r="M263" s="270"/>
      <c r="N263" s="270"/>
      <c r="O263" s="270"/>
      <c r="P263" s="270"/>
      <c r="Q263" s="270"/>
      <c r="R263" s="270"/>
      <c r="S263" s="270"/>
      <c r="T263" s="468"/>
      <c r="U263" s="1844">
        <f ca="1">IF(U262&gt;0.35,0,1)</f>
        <v>0</v>
      </c>
      <c r="V263" s="1844">
        <f t="shared" ref="V263:AJ263" ca="1" si="94">IF(V262&gt;0.35,0,1)</f>
        <v>0</v>
      </c>
      <c r="W263" s="1844">
        <f t="shared" ca="1" si="94"/>
        <v>0</v>
      </c>
      <c r="X263" s="1844">
        <f t="shared" ca="1" si="94"/>
        <v>0</v>
      </c>
      <c r="Y263" s="1844">
        <f t="shared" ca="1" si="94"/>
        <v>0</v>
      </c>
      <c r="Z263" s="1844">
        <f t="shared" ca="1" si="94"/>
        <v>0</v>
      </c>
      <c r="AA263" s="1844">
        <f t="shared" ca="1" si="94"/>
        <v>0</v>
      </c>
      <c r="AB263" s="1844">
        <f t="shared" ca="1" si="94"/>
        <v>0</v>
      </c>
      <c r="AC263" s="1844">
        <f t="shared" ca="1" si="94"/>
        <v>0</v>
      </c>
      <c r="AD263" s="1844">
        <f t="shared" ca="1" si="94"/>
        <v>0</v>
      </c>
      <c r="AE263" s="1844">
        <f t="shared" ca="1" si="94"/>
        <v>0</v>
      </c>
      <c r="AF263" s="1844">
        <f t="shared" ca="1" si="94"/>
        <v>0</v>
      </c>
      <c r="AG263" s="1844">
        <f t="shared" ca="1" si="94"/>
        <v>0</v>
      </c>
      <c r="AH263" s="1844">
        <f t="shared" ca="1" si="94"/>
        <v>0</v>
      </c>
      <c r="AI263" s="1844">
        <f t="shared" ca="1" si="94"/>
        <v>0</v>
      </c>
      <c r="AJ263" s="1844">
        <f t="shared" ca="1" si="94"/>
        <v>0</v>
      </c>
      <c r="AK263" s="157"/>
    </row>
    <row r="264" spans="3:37" ht="12.75" thickBot="1">
      <c r="C264" s="167"/>
      <c r="D264" s="168"/>
      <c r="E264" s="168"/>
      <c r="F264" s="168"/>
      <c r="G264" s="168"/>
      <c r="H264" s="168"/>
      <c r="I264" s="181"/>
      <c r="J264" s="634"/>
      <c r="K264" s="221"/>
      <c r="L264" s="221"/>
      <c r="M264" s="221"/>
      <c r="N264" s="221"/>
      <c r="O264" s="221"/>
      <c r="P264" s="221"/>
      <c r="Q264" s="221"/>
      <c r="R264" s="221"/>
      <c r="S264" s="221"/>
      <c r="T264" s="169"/>
      <c r="U264" s="169"/>
      <c r="V264" s="169"/>
      <c r="W264" s="169"/>
      <c r="X264" s="169"/>
      <c r="Y264" s="169"/>
      <c r="Z264" s="169"/>
      <c r="AA264" s="169"/>
      <c r="AB264" s="169"/>
      <c r="AC264" s="169"/>
      <c r="AD264" s="169"/>
      <c r="AE264" s="169"/>
      <c r="AF264" s="169"/>
      <c r="AG264" s="169"/>
      <c r="AH264" s="169"/>
      <c r="AI264" s="169"/>
      <c r="AJ264" s="169"/>
      <c r="AK264" s="170"/>
    </row>
    <row r="265" spans="3:37">
      <c r="J265" s="196"/>
      <c r="K265" s="728"/>
      <c r="L265" s="728"/>
      <c r="M265" s="728"/>
      <c r="N265" s="728"/>
      <c r="O265" s="728"/>
      <c r="P265" s="728"/>
      <c r="Q265" s="728"/>
      <c r="R265" s="728"/>
      <c r="S265" s="67"/>
    </row>
    <row r="266" spans="3:37">
      <c r="J266" s="196"/>
      <c r="K266" s="728"/>
      <c r="L266" s="728"/>
      <c r="M266" s="728"/>
      <c r="N266" s="728"/>
      <c r="O266" s="728"/>
      <c r="P266" s="728"/>
      <c r="Q266" s="728"/>
      <c r="R266" s="728"/>
      <c r="S266" s="67"/>
    </row>
    <row r="267" spans="3:37" ht="12.75" thickBot="1"/>
    <row r="268" spans="3:37" ht="21">
      <c r="C268" s="152"/>
      <c r="D268" s="1920"/>
      <c r="E268" s="1998"/>
      <c r="F268" s="153"/>
      <c r="G268" s="153"/>
      <c r="H268" s="153"/>
      <c r="I268" s="220"/>
      <c r="J268" s="153"/>
      <c r="K268" s="153"/>
      <c r="L268" s="153"/>
      <c r="M268" s="153"/>
      <c r="N268" s="153"/>
      <c r="O268" s="153"/>
      <c r="P268" s="153"/>
      <c r="Q268" s="153"/>
      <c r="R268" s="153"/>
      <c r="S268" s="153"/>
      <c r="T268" s="153"/>
      <c r="U268" s="153"/>
      <c r="V268" s="153"/>
      <c r="W268" s="153"/>
      <c r="X268" s="153"/>
      <c r="Y268" s="153"/>
      <c r="Z268" s="153"/>
      <c r="AA268" s="153"/>
      <c r="AB268" s="153"/>
      <c r="AC268" s="153"/>
      <c r="AD268" s="153"/>
      <c r="AE268" s="153"/>
      <c r="AF268" s="153"/>
      <c r="AG268" s="153"/>
      <c r="AH268" s="153"/>
      <c r="AI268" s="153"/>
      <c r="AJ268" s="153"/>
      <c r="AK268" s="154"/>
    </row>
    <row r="269" spans="3:37" ht="15.75">
      <c r="C269" s="155"/>
      <c r="D269" s="1919" t="s">
        <v>1158</v>
      </c>
      <c r="AK269" s="157"/>
    </row>
    <row r="270" spans="3:37">
      <c r="C270" s="155"/>
      <c r="D270" s="215" t="s">
        <v>976</v>
      </c>
      <c r="J270" s="310"/>
      <c r="AK270" s="157"/>
    </row>
    <row r="271" spans="3:37">
      <c r="C271" s="155"/>
      <c r="D271" s="215"/>
      <c r="J271" s="310"/>
      <c r="AK271" s="157"/>
    </row>
    <row r="272" spans="3:37">
      <c r="C272" s="155"/>
      <c r="D272" s="117" t="s">
        <v>1159</v>
      </c>
      <c r="H272" s="94"/>
      <c r="I272" s="533"/>
      <c r="J272" s="715"/>
      <c r="AK272" s="157"/>
    </row>
    <row r="273" spans="3:37">
      <c r="C273" s="155"/>
      <c r="D273" s="196"/>
      <c r="E273" s="63" t="s">
        <v>833</v>
      </c>
      <c r="I273" s="63"/>
      <c r="J273" s="296"/>
      <c r="U273" s="296">
        <f>U83</f>
        <v>1622.6567864555841</v>
      </c>
      <c r="V273" s="296">
        <f t="shared" ref="V273:AJ273" si="95">V205</f>
        <v>1584.3199911875399</v>
      </c>
      <c r="W273" s="296">
        <f t="shared" si="95"/>
        <v>1656.3499734175352</v>
      </c>
      <c r="X273" s="296">
        <f t="shared" si="95"/>
        <v>1782.1525346238095</v>
      </c>
      <c r="Y273" s="296">
        <f t="shared" si="95"/>
        <v>1868.0577934859641</v>
      </c>
      <c r="Z273" s="296">
        <f t="shared" si="95"/>
        <v>1910.9108943274211</v>
      </c>
      <c r="AA273" s="296">
        <f t="shared" si="95"/>
        <v>1977.1199138538614</v>
      </c>
      <c r="AB273" s="296">
        <f t="shared" si="95"/>
        <v>2112.8995904649382</v>
      </c>
      <c r="AC273" s="296">
        <f t="shared" si="95"/>
        <v>2215.6317762666331</v>
      </c>
      <c r="AD273" s="296">
        <f t="shared" si="95"/>
        <v>2322.6612515854067</v>
      </c>
      <c r="AE273" s="296">
        <f t="shared" si="95"/>
        <v>2435.0736374375851</v>
      </c>
      <c r="AF273" s="296">
        <f t="shared" si="95"/>
        <v>2622.1546458037888</v>
      </c>
      <c r="AG273" s="296">
        <f t="shared" si="95"/>
        <v>2734.8949804367053</v>
      </c>
      <c r="AH273" s="296">
        <f t="shared" si="95"/>
        <v>2854.123516024496</v>
      </c>
      <c r="AI273" s="296">
        <f t="shared" si="95"/>
        <v>2986.0622351468601</v>
      </c>
      <c r="AJ273" s="296">
        <f t="shared" si="95"/>
        <v>3119.3513719721282</v>
      </c>
      <c r="AK273" s="157"/>
    </row>
    <row r="274" spans="3:37">
      <c r="C274" s="155"/>
      <c r="D274" s="196"/>
      <c r="E274" s="63" t="s">
        <v>1124</v>
      </c>
      <c r="I274" s="63"/>
      <c r="J274" s="296"/>
      <c r="U274" s="296">
        <f>+(Summary_FO!Z21)*'Rev&amp;RAV_FO'!U85</f>
        <v>174.77240566031998</v>
      </c>
      <c r="V274" s="296">
        <f>+(Summary_FO!AA21)*'Rev&amp;RAV_FO'!V85</f>
        <v>192.78851482800005</v>
      </c>
      <c r="W274" s="296">
        <f>+(Summary_FO!AB21)*'Rev&amp;RAV_FO'!W85</f>
        <v>215.28280799999999</v>
      </c>
      <c r="X274" s="296">
        <f>+(Summary_FO!AC21)*'Rev&amp;RAV_FO'!X85</f>
        <v>216.62184160656</v>
      </c>
      <c r="Y274" s="296">
        <f>+(Summary_FO!AD21)*'Rev&amp;RAV_FO'!Y85</f>
        <v>217.57187426831999</v>
      </c>
      <c r="Z274" s="296">
        <f>+(Summary_FO!AE21)*'Rev&amp;RAV_FO'!Z85</f>
        <v>244.65017134288519</v>
      </c>
      <c r="AA274" s="296">
        <f>+(Summary_FO!AF21)*'Rev&amp;RAV_FO'!AA85</f>
        <v>264.12802815887164</v>
      </c>
      <c r="AB274" s="296">
        <f>+(Summary_FO!AG21)*'Rev&amp;RAV_FO'!AB85</f>
        <v>281.46212010537869</v>
      </c>
      <c r="AC274" s="296">
        <f>+(Summary_FO!AH21)*'Rev&amp;RAV_FO'!AC85</f>
        <v>290.7921391501007</v>
      </c>
      <c r="AD274" s="296">
        <f>+(Summary_FO!AI21)*'Rev&amp;RAV_FO'!AD85</f>
        <v>298.04191132752618</v>
      </c>
      <c r="AE274" s="296">
        <f>+(Summary_FO!AJ21)*'Rev&amp;RAV_FO'!AE85</f>
        <v>301.97739211900364</v>
      </c>
      <c r="AF274" s="296">
        <f>+(Summary_FO!AK21)*'Rev&amp;RAV_FO'!AF85</f>
        <v>316.11863462517329</v>
      </c>
      <c r="AG274" s="296">
        <f>+(Summary_FO!AL21)*'Rev&amp;RAV_FO'!AG85</f>
        <v>316.49205350883375</v>
      </c>
      <c r="AH274" s="296">
        <f>+(Summary_FO!AM21)*'Rev&amp;RAV_FO'!AH85</f>
        <v>314.26357996107834</v>
      </c>
      <c r="AI274" s="296">
        <f>+(Summary_FO!AN21)*'Rev&amp;RAV_FO'!AI85</f>
        <v>312.06353929380384</v>
      </c>
      <c r="AJ274" s="296">
        <f>+(Summary_FO!AO21)*'Rev&amp;RAV_FO'!AJ85</f>
        <v>309.89187360068121</v>
      </c>
      <c r="AK274" s="157"/>
    </row>
    <row r="275" spans="3:37">
      <c r="C275" s="155"/>
      <c r="D275" s="196"/>
      <c r="E275" s="63" t="s">
        <v>1125</v>
      </c>
      <c r="I275" s="63"/>
      <c r="J275" s="296"/>
      <c r="U275" s="296" t="s">
        <v>1160</v>
      </c>
      <c r="V275" s="296" t="s">
        <v>1160</v>
      </c>
      <c r="W275" s="296" t="s">
        <v>1160</v>
      </c>
      <c r="X275" s="296" t="s">
        <v>1160</v>
      </c>
      <c r="Y275" s="296" t="s">
        <v>1160</v>
      </c>
      <c r="Z275" s="296" t="s">
        <v>1160</v>
      </c>
      <c r="AA275" s="296" t="s">
        <v>1160</v>
      </c>
      <c r="AB275" s="296" t="s">
        <v>1160</v>
      </c>
      <c r="AC275" s="296" t="s">
        <v>1160</v>
      </c>
      <c r="AD275" s="296" t="s">
        <v>1160</v>
      </c>
      <c r="AE275" s="296" t="s">
        <v>1160</v>
      </c>
      <c r="AF275" s="296" t="s">
        <v>1160</v>
      </c>
      <c r="AG275" s="296" t="s">
        <v>1160</v>
      </c>
      <c r="AH275" s="296" t="s">
        <v>1160</v>
      </c>
      <c r="AI275" s="296" t="s">
        <v>1160</v>
      </c>
      <c r="AJ275" s="296" t="s">
        <v>1160</v>
      </c>
      <c r="AK275" s="157"/>
    </row>
    <row r="276" spans="3:37">
      <c r="C276" s="155"/>
      <c r="D276" s="196"/>
      <c r="E276" s="63" t="s">
        <v>1126</v>
      </c>
      <c r="I276" s="63"/>
      <c r="J276" s="296"/>
      <c r="P276" s="1994"/>
      <c r="Q276" s="1994"/>
      <c r="R276" s="1994"/>
      <c r="U276" s="296" t="s">
        <v>1160</v>
      </c>
      <c r="V276" s="296" t="s">
        <v>1160</v>
      </c>
      <c r="W276" s="296" t="s">
        <v>1160</v>
      </c>
      <c r="X276" s="296" t="s">
        <v>1160</v>
      </c>
      <c r="Y276" s="296" t="s">
        <v>1160</v>
      </c>
      <c r="Z276" s="296" t="s">
        <v>1160</v>
      </c>
      <c r="AA276" s="296" t="s">
        <v>1160</v>
      </c>
      <c r="AB276" s="296" t="s">
        <v>1160</v>
      </c>
      <c r="AC276" s="296" t="s">
        <v>1160</v>
      </c>
      <c r="AD276" s="296" t="s">
        <v>1160</v>
      </c>
      <c r="AE276" s="296" t="s">
        <v>1160</v>
      </c>
      <c r="AF276" s="296" t="s">
        <v>1160</v>
      </c>
      <c r="AG276" s="296" t="s">
        <v>1160</v>
      </c>
      <c r="AH276" s="296" t="s">
        <v>1160</v>
      </c>
      <c r="AI276" s="296" t="s">
        <v>1160</v>
      </c>
      <c r="AJ276" s="296" t="s">
        <v>1160</v>
      </c>
      <c r="AK276" s="157"/>
    </row>
    <row r="277" spans="3:37">
      <c r="C277" s="155"/>
      <c r="D277" s="196"/>
      <c r="E277" s="63" t="s">
        <v>1127</v>
      </c>
      <c r="I277" s="63"/>
      <c r="J277" s="296"/>
      <c r="K277" s="1994"/>
      <c r="L277" s="1994"/>
      <c r="M277" s="1994"/>
      <c r="N277" s="1994"/>
      <c r="P277" s="1994"/>
      <c r="Q277" s="1994"/>
      <c r="R277" s="1994"/>
      <c r="U277" s="296">
        <f>-U84</f>
        <v>0</v>
      </c>
      <c r="V277" s="296">
        <f t="shared" ref="V277:AJ277" si="96">-V84</f>
        <v>0</v>
      </c>
      <c r="W277" s="296">
        <f t="shared" si="96"/>
        <v>0</v>
      </c>
      <c r="X277" s="296">
        <f t="shared" si="96"/>
        <v>0</v>
      </c>
      <c r="Y277" s="296">
        <f t="shared" si="96"/>
        <v>0</v>
      </c>
      <c r="Z277" s="296">
        <f t="shared" si="96"/>
        <v>0</v>
      </c>
      <c r="AA277" s="296">
        <f t="shared" si="96"/>
        <v>0</v>
      </c>
      <c r="AB277" s="296">
        <f t="shared" si="96"/>
        <v>0</v>
      </c>
      <c r="AC277" s="296">
        <f t="shared" si="96"/>
        <v>0</v>
      </c>
      <c r="AD277" s="296">
        <f t="shared" si="96"/>
        <v>0</v>
      </c>
      <c r="AE277" s="296">
        <f t="shared" si="96"/>
        <v>0</v>
      </c>
      <c r="AF277" s="296">
        <f t="shared" si="96"/>
        <v>0</v>
      </c>
      <c r="AG277" s="296">
        <f t="shared" si="96"/>
        <v>0</v>
      </c>
      <c r="AH277" s="296">
        <f t="shared" si="96"/>
        <v>0</v>
      </c>
      <c r="AI277" s="296">
        <f t="shared" si="96"/>
        <v>0</v>
      </c>
      <c r="AJ277" s="296">
        <f t="shared" si="96"/>
        <v>0</v>
      </c>
      <c r="AK277" s="157"/>
    </row>
    <row r="278" spans="3:37">
      <c r="C278" s="155"/>
      <c r="D278" s="196"/>
      <c r="E278" s="63" t="s">
        <v>1128</v>
      </c>
      <c r="I278" s="63"/>
      <c r="J278" s="296"/>
      <c r="K278" s="1994"/>
      <c r="L278" s="1994"/>
      <c r="M278" s="1994"/>
      <c r="N278" s="1994"/>
      <c r="P278" s="1994"/>
      <c r="Q278" s="1994"/>
      <c r="R278" s="1994"/>
      <c r="U278" s="296">
        <f>-U95</f>
        <v>-952.60440442123593</v>
      </c>
      <c r="V278" s="296">
        <f t="shared" ref="V278:AJ278" si="97">-V95</f>
        <v>-994.74279221185418</v>
      </c>
      <c r="W278" s="296">
        <f t="shared" si="97"/>
        <v>-1026.8201984991595</v>
      </c>
      <c r="X278" s="296">
        <f t="shared" si="97"/>
        <v>-1081.2235273292004</v>
      </c>
      <c r="Y278" s="296">
        <f t="shared" si="97"/>
        <v>-1137.2622580407569</v>
      </c>
      <c r="Z278" s="296">
        <f t="shared" si="97"/>
        <v>-1133.8169459228716</v>
      </c>
      <c r="AA278" s="296">
        <f t="shared" si="97"/>
        <v>-1147.4300529496775</v>
      </c>
      <c r="AB278" s="296">
        <f t="shared" si="97"/>
        <v>-1173.7853580742385</v>
      </c>
      <c r="AC278" s="296">
        <f t="shared" si="97"/>
        <v>-1214.259031764522</v>
      </c>
      <c r="AD278" s="296">
        <f t="shared" si="97"/>
        <v>-1229.6829809611422</v>
      </c>
      <c r="AE278" s="296">
        <f t="shared" si="97"/>
        <v>-1242.4954639481352</v>
      </c>
      <c r="AF278" s="296">
        <f t="shared" si="97"/>
        <v>-1251.586081750826</v>
      </c>
      <c r="AG278" s="296">
        <f t="shared" si="97"/>
        <v>-1257.5422129218769</v>
      </c>
      <c r="AH278" s="296">
        <f t="shared" si="97"/>
        <v>-1248.4450131261624</v>
      </c>
      <c r="AI278" s="296">
        <f t="shared" si="97"/>
        <v>-1251.0243004475985</v>
      </c>
      <c r="AJ278" s="296">
        <f t="shared" si="97"/>
        <v>-1246.8485891889927</v>
      </c>
      <c r="AK278" s="157"/>
    </row>
    <row r="279" spans="3:37">
      <c r="C279" s="155"/>
      <c r="D279" s="196"/>
      <c r="E279" s="63" t="s">
        <v>1161</v>
      </c>
      <c r="I279" s="63"/>
      <c r="J279" s="296"/>
      <c r="K279" s="1994"/>
      <c r="L279" s="1994"/>
      <c r="M279" s="1994"/>
      <c r="N279" s="1994"/>
      <c r="P279" s="1994"/>
      <c r="Q279" s="1994"/>
      <c r="R279" s="1994"/>
      <c r="U279" s="296">
        <f>-'Rev&amp;RAV_FO'!U120</f>
        <v>-51.05063357311478</v>
      </c>
      <c r="V279" s="296">
        <f>-'Rev&amp;RAV_FO'!V120</f>
        <v>-26.145528455984529</v>
      </c>
      <c r="W279" s="296">
        <f>-'Rev&amp;RAV_FO'!W120</f>
        <v>-35.32271126810371</v>
      </c>
      <c r="X279" s="296">
        <f>-'Rev&amp;RAV_FO'!X120</f>
        <v>-38.12964608830233</v>
      </c>
      <c r="Y279" s="296">
        <f>-'Rev&amp;RAV_FO'!Y120</f>
        <v>-31.731891648738397</v>
      </c>
      <c r="Z279" s="296">
        <f>-'Rev&amp;RAV_FO'!Z120</f>
        <v>-39.360040750900424</v>
      </c>
      <c r="AA279" s="296">
        <f ca="1">-'Rev&amp;RAV_FO'!AA120</f>
        <v>-31.350544537569235</v>
      </c>
      <c r="AB279" s="296">
        <f ca="1">-'Rev&amp;RAV_FO'!AB120</f>
        <v>-33.530411945582273</v>
      </c>
      <c r="AC279" s="296">
        <f ca="1">-'Rev&amp;RAV_FO'!AC120</f>
        <v>-29.331460189356008</v>
      </c>
      <c r="AD279" s="296">
        <f ca="1">-'Rev&amp;RAV_FO'!AD120</f>
        <v>-25.027621631920205</v>
      </c>
      <c r="AE279" s="296">
        <f ca="1">-'Rev&amp;RAV_FO'!AE120</f>
        <v>-20.602890802764648</v>
      </c>
      <c r="AF279" s="296">
        <f ca="1">-'Rev&amp;RAV_FO'!AF120</f>
        <v>-19.496765527643728</v>
      </c>
      <c r="AG279" s="296">
        <f ca="1">-'Rev&amp;RAV_FO'!AG120</f>
        <v>-24.259558668029484</v>
      </c>
      <c r="AH279" s="296">
        <f ca="1">-'Rev&amp;RAV_FO'!AH120</f>
        <v>-18.278050065789504</v>
      </c>
      <c r="AI279" s="296">
        <f ca="1">-'Rev&amp;RAV_FO'!AI120</f>
        <v>-19.877215294430805</v>
      </c>
      <c r="AJ279" s="296">
        <f ca="1">-'Rev&amp;RAV_FO'!AJ120</f>
        <v>-22.341538017123881</v>
      </c>
      <c r="AK279" s="157"/>
    </row>
    <row r="280" spans="3:37">
      <c r="C280" s="155"/>
      <c r="D280" s="196"/>
      <c r="E280" s="67" t="s">
        <v>1162</v>
      </c>
      <c r="I280" s="63"/>
      <c r="J280" s="296"/>
      <c r="P280" s="1994"/>
      <c r="Q280" s="1994"/>
      <c r="R280" s="1994"/>
      <c r="U280" s="296" t="s">
        <v>1160</v>
      </c>
      <c r="V280" s="296" t="s">
        <v>1160</v>
      </c>
      <c r="W280" s="296" t="s">
        <v>1160</v>
      </c>
      <c r="X280" s="296" t="s">
        <v>1160</v>
      </c>
      <c r="Y280" s="296" t="s">
        <v>1160</v>
      </c>
      <c r="Z280" s="296" t="s">
        <v>1160</v>
      </c>
      <c r="AA280" s="296" t="s">
        <v>1160</v>
      </c>
      <c r="AB280" s="296" t="s">
        <v>1160</v>
      </c>
      <c r="AC280" s="296" t="s">
        <v>1160</v>
      </c>
      <c r="AD280" s="296" t="s">
        <v>1160</v>
      </c>
      <c r="AE280" s="296" t="s">
        <v>1160</v>
      </c>
      <c r="AF280" s="296" t="s">
        <v>1160</v>
      </c>
      <c r="AG280" s="296" t="s">
        <v>1160</v>
      </c>
      <c r="AH280" s="296" t="s">
        <v>1160</v>
      </c>
      <c r="AI280" s="296" t="s">
        <v>1160</v>
      </c>
      <c r="AJ280" s="296" t="s">
        <v>1160</v>
      </c>
      <c r="AK280" s="157"/>
    </row>
    <row r="281" spans="3:37">
      <c r="C281" s="155"/>
      <c r="D281" s="196"/>
      <c r="E281" s="63" t="s">
        <v>1131</v>
      </c>
      <c r="I281" s="63"/>
      <c r="J281" s="296"/>
      <c r="U281" s="296">
        <f>-'Rev&amp;RAV_FO'!U114</f>
        <v>-368.98337458220863</v>
      </c>
      <c r="V281" s="296">
        <f>-'Rev&amp;RAV_FO'!V114</f>
        <v>-352.40082053300745</v>
      </c>
      <c r="W281" s="296">
        <f>-'Rev&amp;RAV_FO'!W114</f>
        <v>-359.42531811946958</v>
      </c>
      <c r="X281" s="296">
        <f>-'Rev&amp;RAV_FO'!X114</f>
        <v>-408.34968393360947</v>
      </c>
      <c r="Y281" s="296">
        <f>-'Rev&amp;RAV_FO'!Y114</f>
        <v>-432.57647723760965</v>
      </c>
      <c r="Z281" s="296">
        <f>-'Rev&amp;RAV_FO'!Z114</f>
        <v>-456.78359342299115</v>
      </c>
      <c r="AA281" s="296">
        <f ca="1">-'Rev&amp;RAV_FO'!AA114</f>
        <v>-489.74041785285601</v>
      </c>
      <c r="AB281" s="296">
        <f ca="1">-'Rev&amp;RAV_FO'!AB114</f>
        <v>-541.34483255509622</v>
      </c>
      <c r="AC281" s="296">
        <f ca="1">-'Rev&amp;RAV_FO'!AC114</f>
        <v>-603.3286158777637</v>
      </c>
      <c r="AD281" s="296">
        <f ca="1">-'Rev&amp;RAV_FO'!AD114</f>
        <v>-670.37276833156739</v>
      </c>
      <c r="AE281" s="296">
        <f ca="1">-'Rev&amp;RAV_FO'!AE114</f>
        <v>-760.32807664373365</v>
      </c>
      <c r="AF281" s="296">
        <f ca="1">-'Rev&amp;RAV_FO'!AF114</f>
        <v>-865.32170834636395</v>
      </c>
      <c r="AG281" s="296">
        <f ca="1">-'Rev&amp;RAV_FO'!AG114</f>
        <v>-973.94991666319106</v>
      </c>
      <c r="AH281" s="296">
        <f ca="1">-'Rev&amp;RAV_FO'!AH114</f>
        <v>-1035.6656074775528</v>
      </c>
      <c r="AI281" s="296">
        <f ca="1">-'Rev&amp;RAV_FO'!AI114</f>
        <v>-1103.4043986293782</v>
      </c>
      <c r="AJ281" s="296">
        <f ca="1">-'Rev&amp;RAV_FO'!AJ114</f>
        <v>-1194.3305385947338</v>
      </c>
      <c r="AK281" s="157"/>
    </row>
    <row r="282" spans="3:37">
      <c r="C282" s="155"/>
      <c r="D282" s="196"/>
      <c r="I282" s="63"/>
      <c r="J282" s="296"/>
      <c r="AK282" s="157"/>
    </row>
    <row r="283" spans="3:37">
      <c r="C283" s="155"/>
      <c r="D283" s="723" t="s">
        <v>1163</v>
      </c>
      <c r="E283" s="1995"/>
      <c r="F283" s="1995"/>
      <c r="G283" s="1995"/>
      <c r="H283" s="1995"/>
      <c r="I283" s="1995"/>
      <c r="J283" s="1321"/>
      <c r="U283" s="1790">
        <f>+SUM(U273,U274,U277,U278,U279,U281)</f>
        <v>424.79077953934473</v>
      </c>
      <c r="V283" s="1996">
        <f t="shared" ref="V283:AJ283" si="98">+SUM(V273,V274,V277,V278,V279,V281)</f>
        <v>403.81936481469376</v>
      </c>
      <c r="W283" s="1174">
        <f t="shared" si="98"/>
        <v>450.06455353080241</v>
      </c>
      <c r="X283" s="1174">
        <f t="shared" si="98"/>
        <v>471.07151887925721</v>
      </c>
      <c r="Y283" s="1174">
        <f t="shared" si="98"/>
        <v>484.05904082717916</v>
      </c>
      <c r="Z283" s="1174">
        <f t="shared" si="98"/>
        <v>525.60048557354344</v>
      </c>
      <c r="AA283" s="1996">
        <f t="shared" ca="1" si="98"/>
        <v>572.72692667263016</v>
      </c>
      <c r="AB283" s="1174">
        <f t="shared" ca="1" si="98"/>
        <v>645.70110799539998</v>
      </c>
      <c r="AC283" s="1174">
        <f t="shared" ca="1" si="98"/>
        <v>659.50480758509229</v>
      </c>
      <c r="AD283" s="1174">
        <f t="shared" ca="1" si="98"/>
        <v>695.61979198830295</v>
      </c>
      <c r="AE283" s="1997">
        <f t="shared" ca="1" si="98"/>
        <v>713.62459816195508</v>
      </c>
      <c r="AF283" s="1174">
        <f t="shared" ca="1" si="98"/>
        <v>801.86872480412853</v>
      </c>
      <c r="AG283" s="1174">
        <f t="shared" ca="1" si="98"/>
        <v>795.63534569244143</v>
      </c>
      <c r="AH283" s="1174">
        <f t="shared" ca="1" si="98"/>
        <v>865.99842531606964</v>
      </c>
      <c r="AI283" s="1174">
        <f t="shared" ca="1" si="98"/>
        <v>923.81986006925649</v>
      </c>
      <c r="AJ283" s="1997">
        <f t="shared" ca="1" si="98"/>
        <v>965.72257977195886</v>
      </c>
      <c r="AK283" s="157"/>
    </row>
    <row r="284" spans="3:37">
      <c r="C284" s="155"/>
      <c r="I284" s="63"/>
      <c r="J284" s="296"/>
      <c r="AK284" s="157"/>
    </row>
    <row r="285" spans="3:37">
      <c r="C285" s="155"/>
      <c r="D285" s="1921" t="s">
        <v>1164</v>
      </c>
      <c r="I285" s="63"/>
      <c r="J285" s="296"/>
      <c r="AK285" s="157"/>
    </row>
    <row r="286" spans="3:37">
      <c r="C286" s="155"/>
      <c r="I286" s="63"/>
      <c r="J286" s="296"/>
      <c r="AK286" s="157"/>
    </row>
    <row r="287" spans="3:37">
      <c r="C287" s="155"/>
      <c r="D287" s="89" t="s">
        <v>1165</v>
      </c>
      <c r="I287" s="63"/>
      <c r="J287" s="296"/>
      <c r="AK287" s="157"/>
    </row>
    <row r="288" spans="3:37">
      <c r="C288" s="155"/>
      <c r="E288" s="63" t="s">
        <v>1166</v>
      </c>
      <c r="I288" s="63"/>
      <c r="J288" s="296"/>
      <c r="U288" s="116">
        <f>U283</f>
        <v>424.79077953934473</v>
      </c>
      <c r="V288" s="116">
        <f t="shared" ref="V288:AJ288" si="99">V283</f>
        <v>403.81936481469376</v>
      </c>
      <c r="W288" s="116">
        <f t="shared" si="99"/>
        <v>450.06455353080241</v>
      </c>
      <c r="X288" s="116">
        <f t="shared" si="99"/>
        <v>471.07151887925721</v>
      </c>
      <c r="Y288" s="116">
        <f t="shared" si="99"/>
        <v>484.05904082717916</v>
      </c>
      <c r="Z288" s="116">
        <f t="shared" si="99"/>
        <v>525.60048557354344</v>
      </c>
      <c r="AA288" s="116">
        <f t="shared" ca="1" si="99"/>
        <v>572.72692667263016</v>
      </c>
      <c r="AB288" s="116">
        <f t="shared" ca="1" si="99"/>
        <v>645.70110799539998</v>
      </c>
      <c r="AC288" s="116">
        <f t="shared" ca="1" si="99"/>
        <v>659.50480758509229</v>
      </c>
      <c r="AD288" s="116">
        <f t="shared" ca="1" si="99"/>
        <v>695.61979198830295</v>
      </c>
      <c r="AE288" s="116">
        <f t="shared" ca="1" si="99"/>
        <v>713.62459816195508</v>
      </c>
      <c r="AF288" s="116">
        <f t="shared" ca="1" si="99"/>
        <v>801.86872480412853</v>
      </c>
      <c r="AG288" s="116">
        <f t="shared" ca="1" si="99"/>
        <v>795.63534569244143</v>
      </c>
      <c r="AH288" s="116">
        <f t="shared" ca="1" si="99"/>
        <v>865.99842531606964</v>
      </c>
      <c r="AI288" s="116">
        <f t="shared" ca="1" si="99"/>
        <v>923.81986006925649</v>
      </c>
      <c r="AJ288" s="116">
        <f t="shared" ca="1" si="99"/>
        <v>965.72257977195886</v>
      </c>
      <c r="AK288" s="157"/>
    </row>
    <row r="289" spans="3:37">
      <c r="C289" s="155"/>
      <c r="E289" s="63" t="s">
        <v>1135</v>
      </c>
      <c r="I289" s="63"/>
      <c r="J289" s="296"/>
      <c r="U289" s="116">
        <f>'Rev&amp;RAV_FO'!U114</f>
        <v>368.98337458220863</v>
      </c>
      <c r="V289" s="116">
        <f>'Rev&amp;RAV_FO'!V114</f>
        <v>352.40082053300745</v>
      </c>
      <c r="W289" s="116">
        <f>'Rev&amp;RAV_FO'!W114</f>
        <v>359.42531811946958</v>
      </c>
      <c r="X289" s="116">
        <f>'Rev&amp;RAV_FO'!X114</f>
        <v>408.34968393360947</v>
      </c>
      <c r="Y289" s="116">
        <f>'Rev&amp;RAV_FO'!Y114</f>
        <v>432.57647723760965</v>
      </c>
      <c r="Z289" s="116">
        <f>'Rev&amp;RAV_FO'!Z114</f>
        <v>456.78359342299115</v>
      </c>
      <c r="AA289" s="116">
        <f ca="1">'Rev&amp;RAV_FO'!AA114</f>
        <v>489.74041785285601</v>
      </c>
      <c r="AB289" s="116">
        <f ca="1">'Rev&amp;RAV_FO'!AB114</f>
        <v>541.34483255509622</v>
      </c>
      <c r="AC289" s="116">
        <f ca="1">'Rev&amp;RAV_FO'!AC114</f>
        <v>603.3286158777637</v>
      </c>
      <c r="AD289" s="116">
        <f ca="1">'Rev&amp;RAV_FO'!AD114</f>
        <v>670.37276833156739</v>
      </c>
      <c r="AE289" s="116">
        <f ca="1">'Rev&amp;RAV_FO'!AE114</f>
        <v>760.32807664373365</v>
      </c>
      <c r="AF289" s="116">
        <f ca="1">'Rev&amp;RAV_FO'!AF114</f>
        <v>865.32170834636395</v>
      </c>
      <c r="AG289" s="116">
        <f ca="1">'Rev&amp;RAV_FO'!AG114</f>
        <v>973.94991666319106</v>
      </c>
      <c r="AH289" s="116">
        <f ca="1">'Rev&amp;RAV_FO'!AH114</f>
        <v>1035.6656074775528</v>
      </c>
      <c r="AI289" s="116">
        <f ca="1">'Rev&amp;RAV_FO'!AI114</f>
        <v>1103.4043986293782</v>
      </c>
      <c r="AJ289" s="116">
        <f ca="1">'Rev&amp;RAV_FO'!AJ114</f>
        <v>1194.3305385947338</v>
      </c>
      <c r="AK289" s="157"/>
    </row>
    <row r="290" spans="3:37">
      <c r="C290" s="155"/>
      <c r="E290" s="63" t="s">
        <v>1136</v>
      </c>
      <c r="I290" s="63"/>
      <c r="J290" s="296"/>
      <c r="U290" s="603">
        <v>0</v>
      </c>
      <c r="V290" s="603">
        <v>0</v>
      </c>
      <c r="W290" s="603">
        <v>0</v>
      </c>
      <c r="X290" s="603">
        <v>0</v>
      </c>
      <c r="Y290" s="603">
        <v>0</v>
      </c>
      <c r="Z290" s="603">
        <v>0</v>
      </c>
      <c r="AA290" s="603">
        <v>0</v>
      </c>
      <c r="AB290" s="603">
        <v>0</v>
      </c>
      <c r="AC290" s="603">
        <v>0</v>
      </c>
      <c r="AD290" s="603">
        <v>0</v>
      </c>
      <c r="AE290" s="603">
        <v>0</v>
      </c>
      <c r="AF290" s="603">
        <v>0</v>
      </c>
      <c r="AG290" s="603">
        <v>0</v>
      </c>
      <c r="AH290" s="603">
        <v>0</v>
      </c>
      <c r="AI290" s="603">
        <v>0</v>
      </c>
      <c r="AJ290" s="603">
        <v>0</v>
      </c>
      <c r="AK290" s="157"/>
    </row>
    <row r="291" spans="3:37">
      <c r="C291" s="155"/>
      <c r="E291" s="63" t="s">
        <v>1137</v>
      </c>
      <c r="I291" s="63"/>
      <c r="J291" s="296"/>
      <c r="U291" s="296">
        <f>+U289</f>
        <v>368.98337458220863</v>
      </c>
      <c r="V291" s="296">
        <f t="shared" ref="V291:AJ291" si="100">+V289</f>
        <v>352.40082053300745</v>
      </c>
      <c r="W291" s="296">
        <f t="shared" si="100"/>
        <v>359.42531811946958</v>
      </c>
      <c r="X291" s="296">
        <f t="shared" si="100"/>
        <v>408.34968393360947</v>
      </c>
      <c r="Y291" s="296">
        <f t="shared" si="100"/>
        <v>432.57647723760965</v>
      </c>
      <c r="Z291" s="296">
        <f t="shared" si="100"/>
        <v>456.78359342299115</v>
      </c>
      <c r="AA291" s="296">
        <f t="shared" ca="1" si="100"/>
        <v>489.74041785285601</v>
      </c>
      <c r="AB291" s="296">
        <f t="shared" ca="1" si="100"/>
        <v>541.34483255509622</v>
      </c>
      <c r="AC291" s="296">
        <f t="shared" ca="1" si="100"/>
        <v>603.3286158777637</v>
      </c>
      <c r="AD291" s="296">
        <f t="shared" ca="1" si="100"/>
        <v>670.37276833156739</v>
      </c>
      <c r="AE291" s="296">
        <f t="shared" ca="1" si="100"/>
        <v>760.32807664373365</v>
      </c>
      <c r="AF291" s="296">
        <f t="shared" ca="1" si="100"/>
        <v>865.32170834636395</v>
      </c>
      <c r="AG291" s="296">
        <f t="shared" ca="1" si="100"/>
        <v>973.94991666319106</v>
      </c>
      <c r="AH291" s="296">
        <f t="shared" ca="1" si="100"/>
        <v>1035.6656074775528</v>
      </c>
      <c r="AI291" s="296">
        <f t="shared" ca="1" si="100"/>
        <v>1103.4043986293782</v>
      </c>
      <c r="AJ291" s="296">
        <f t="shared" ca="1" si="100"/>
        <v>1194.3305385947338</v>
      </c>
      <c r="AK291" s="157"/>
    </row>
    <row r="292" spans="3:37">
      <c r="C292" s="155"/>
      <c r="I292" s="63"/>
      <c r="J292" s="296"/>
      <c r="AK292" s="157"/>
    </row>
    <row r="293" spans="3:37">
      <c r="C293" s="155"/>
      <c r="D293" s="723"/>
      <c r="E293" s="724"/>
      <c r="F293" s="724"/>
      <c r="G293" s="724"/>
      <c r="H293" s="1916" t="s">
        <v>1138</v>
      </c>
      <c r="I293" s="724"/>
      <c r="J293" s="1321"/>
      <c r="U293" s="1790">
        <f>+IF(ISERROR(SUM(U288:U289)/U291),0,SUM(U288:U289)/U291)</f>
        <v>2.1512463942862619</v>
      </c>
      <c r="V293" s="1996">
        <f t="shared" ref="V293:AJ293" si="101">+IF(ISERROR(SUM(V288:V289)/V291),0,SUM(V288:V289)/V291)</f>
        <v>2.1459092637863773</v>
      </c>
      <c r="W293" s="1174">
        <f t="shared" si="101"/>
        <v>2.2521782157293804</v>
      </c>
      <c r="X293" s="1174">
        <f t="shared" si="101"/>
        <v>2.1535983433155912</v>
      </c>
      <c r="Y293" s="1174">
        <f t="shared" si="101"/>
        <v>2.1190137843794283</v>
      </c>
      <c r="Z293" s="1174">
        <f t="shared" si="101"/>
        <v>2.1506553500200396</v>
      </c>
      <c r="AA293" s="1996">
        <f t="shared" ca="1" si="101"/>
        <v>2.1694499898203374</v>
      </c>
      <c r="AB293" s="1174">
        <f t="shared" ca="1" si="101"/>
        <v>2.1927722759405537</v>
      </c>
      <c r="AC293" s="1174">
        <f t="shared" ca="1" si="101"/>
        <v>2.0931104380414638</v>
      </c>
      <c r="AD293" s="1174">
        <f t="shared" ca="1" si="101"/>
        <v>2.0376611712906696</v>
      </c>
      <c r="AE293" s="1997">
        <f t="shared" ca="1" si="101"/>
        <v>1.9385745707459092</v>
      </c>
      <c r="AF293" s="1174">
        <f t="shared" ca="1" si="101"/>
        <v>1.9266712218933066</v>
      </c>
      <c r="AG293" s="1174">
        <f t="shared" ca="1" si="101"/>
        <v>1.8169160775929161</v>
      </c>
      <c r="AH293" s="1174">
        <f t="shared" ca="1" si="101"/>
        <v>1.8361757106381844</v>
      </c>
      <c r="AI293" s="1174">
        <f t="shared" ca="1" si="101"/>
        <v>1.8372450401836378</v>
      </c>
      <c r="AJ293" s="1997">
        <f t="shared" ca="1" si="101"/>
        <v>1.8085890367571458</v>
      </c>
      <c r="AK293" s="157"/>
    </row>
    <row r="294" spans="3:37">
      <c r="C294" s="155"/>
      <c r="H294" s="969"/>
      <c r="I294" s="63"/>
      <c r="J294" s="296"/>
      <c r="U294" s="1844">
        <f>IF(U293&gt;1.5,0,1)</f>
        <v>0</v>
      </c>
      <c r="V294" s="1844">
        <f t="shared" ref="V294:AJ294" si="102">IF(V293&gt;1.5,0,1)</f>
        <v>0</v>
      </c>
      <c r="W294" s="1844">
        <f t="shared" si="102"/>
        <v>0</v>
      </c>
      <c r="X294" s="1844">
        <f t="shared" si="102"/>
        <v>0</v>
      </c>
      <c r="Y294" s="1844">
        <f t="shared" si="102"/>
        <v>0</v>
      </c>
      <c r="Z294" s="1844">
        <f t="shared" si="102"/>
        <v>0</v>
      </c>
      <c r="AA294" s="1844">
        <f t="shared" ca="1" si="102"/>
        <v>0</v>
      </c>
      <c r="AB294" s="1844">
        <f t="shared" ca="1" si="102"/>
        <v>0</v>
      </c>
      <c r="AC294" s="1844">
        <f t="shared" ca="1" si="102"/>
        <v>0</v>
      </c>
      <c r="AD294" s="1844">
        <f t="shared" ca="1" si="102"/>
        <v>0</v>
      </c>
      <c r="AE294" s="1844">
        <f t="shared" ca="1" si="102"/>
        <v>0</v>
      </c>
      <c r="AF294" s="1844">
        <f t="shared" ca="1" si="102"/>
        <v>0</v>
      </c>
      <c r="AG294" s="1844">
        <f t="shared" ca="1" si="102"/>
        <v>0</v>
      </c>
      <c r="AH294" s="1844">
        <f t="shared" ca="1" si="102"/>
        <v>0</v>
      </c>
      <c r="AI294" s="1844">
        <f t="shared" ca="1" si="102"/>
        <v>0</v>
      </c>
      <c r="AJ294" s="1844">
        <f t="shared" ca="1" si="102"/>
        <v>0</v>
      </c>
      <c r="AK294" s="157"/>
    </row>
    <row r="295" spans="3:37">
      <c r="C295" s="155"/>
      <c r="H295" s="969"/>
      <c r="I295" s="63"/>
      <c r="J295" s="296"/>
      <c r="AK295" s="157"/>
    </row>
    <row r="296" spans="3:37">
      <c r="C296" s="155"/>
      <c r="D296" s="89" t="s">
        <v>1167</v>
      </c>
      <c r="H296" s="969"/>
      <c r="I296" s="63"/>
      <c r="J296" s="296"/>
      <c r="AK296" s="157"/>
    </row>
    <row r="297" spans="3:37">
      <c r="C297" s="155"/>
      <c r="E297" s="63" t="s">
        <v>1168</v>
      </c>
      <c r="H297" s="969"/>
      <c r="I297" s="63"/>
      <c r="J297" s="296"/>
      <c r="U297" s="116">
        <f>U283</f>
        <v>424.79077953934473</v>
      </c>
      <c r="V297" s="116">
        <f t="shared" ref="V297:AJ297" si="103">V283</f>
        <v>403.81936481469376</v>
      </c>
      <c r="W297" s="116">
        <f t="shared" si="103"/>
        <v>450.06455353080241</v>
      </c>
      <c r="X297" s="116">
        <f t="shared" si="103"/>
        <v>471.07151887925721</v>
      </c>
      <c r="Y297" s="116">
        <f t="shared" si="103"/>
        <v>484.05904082717916</v>
      </c>
      <c r="Z297" s="116">
        <f t="shared" si="103"/>
        <v>525.60048557354344</v>
      </c>
      <c r="AA297" s="116">
        <f t="shared" ca="1" si="103"/>
        <v>572.72692667263016</v>
      </c>
      <c r="AB297" s="116">
        <f t="shared" ca="1" si="103"/>
        <v>645.70110799539998</v>
      </c>
      <c r="AC297" s="116">
        <f t="shared" ca="1" si="103"/>
        <v>659.50480758509229</v>
      </c>
      <c r="AD297" s="116">
        <f t="shared" ca="1" si="103"/>
        <v>695.61979198830295</v>
      </c>
      <c r="AE297" s="116">
        <f t="shared" ca="1" si="103"/>
        <v>713.62459816195508</v>
      </c>
      <c r="AF297" s="116">
        <f t="shared" ca="1" si="103"/>
        <v>801.86872480412853</v>
      </c>
      <c r="AG297" s="116">
        <f t="shared" ca="1" si="103"/>
        <v>795.63534569244143</v>
      </c>
      <c r="AH297" s="116">
        <f t="shared" ca="1" si="103"/>
        <v>865.99842531606964</v>
      </c>
      <c r="AI297" s="116">
        <f t="shared" ca="1" si="103"/>
        <v>923.81986006925649</v>
      </c>
      <c r="AJ297" s="116">
        <f t="shared" ca="1" si="103"/>
        <v>965.72257977195886</v>
      </c>
      <c r="AK297" s="157"/>
    </row>
    <row r="298" spans="3:37">
      <c r="C298" s="155"/>
      <c r="E298" s="63" t="s">
        <v>1169</v>
      </c>
      <c r="H298" s="969"/>
      <c r="I298" s="63"/>
      <c r="J298" s="296"/>
      <c r="U298" s="116">
        <f>'Rev&amp;RAV_FO'!U104*'Rev&amp;RAV_FO'!U85</f>
        <v>6875.7577435408311</v>
      </c>
      <c r="V298" s="116">
        <f>'Rev&amp;RAV_FO'!V104*'Rev&amp;RAV_FO'!V85</f>
        <v>7095.8980910333976</v>
      </c>
      <c r="W298" s="116">
        <f>'Rev&amp;RAV_FO'!W104*'Rev&amp;RAV_FO'!W85</f>
        <v>7629.9732245847399</v>
      </c>
      <c r="X298" s="116">
        <f>'Rev&amp;RAV_FO'!X104*'Rev&amp;RAV_FO'!X85</f>
        <v>8402.5383827201113</v>
      </c>
      <c r="Y298" s="116">
        <f>'Rev&amp;RAV_FO'!Y104*'Rev&amp;RAV_FO'!Y85</f>
        <v>8997.1642940898892</v>
      </c>
      <c r="Z298" s="116">
        <f>'Rev&amp;RAV_FO'!Z104*'Rev&amp;RAV_FO'!Z85</f>
        <v>9406.2582352233167</v>
      </c>
      <c r="AA298" s="116">
        <f ca="1">'Rev&amp;RAV_FO'!AA104*'Rev&amp;RAV_FO'!AA85</f>
        <v>9967.2761227189767</v>
      </c>
      <c r="AB298" s="116">
        <f ca="1">'Rev&amp;RAV_FO'!AB104*'Rev&amp;RAV_FO'!AB85</f>
        <v>10811.804093374511</v>
      </c>
      <c r="AC298" s="116">
        <f ca="1">'Rev&amp;RAV_FO'!AC104*'Rev&amp;RAV_FO'!AC85</f>
        <v>11741.38373635218</v>
      </c>
      <c r="AD298" s="116">
        <f ca="1">'Rev&amp;RAV_FO'!AD104*'Rev&amp;RAV_FO'!AD85</f>
        <v>12741.153354325976</v>
      </c>
      <c r="AE298" s="116">
        <f ca="1">'Rev&amp;RAV_FO'!AE104*'Rev&amp;RAV_FO'!AE85</f>
        <v>13785.989735024923</v>
      </c>
      <c r="AF298" s="116">
        <f ca="1">'Rev&amp;RAV_FO'!AF104*'Rev&amp;RAV_FO'!AF85</f>
        <v>14932.07582995986</v>
      </c>
      <c r="AG298" s="116">
        <f ca="1">'Rev&amp;RAV_FO'!AG104*'Rev&amp;RAV_FO'!AG85</f>
        <v>16221.540960134609</v>
      </c>
      <c r="AH298" s="116">
        <f ca="1">'Rev&amp;RAV_FO'!AH104*'Rev&amp;RAV_FO'!AH85</f>
        <v>17517.126701347217</v>
      </c>
      <c r="AI298" s="116">
        <f ca="1">'Rev&amp;RAV_FO'!AI104*'Rev&amp;RAV_FO'!AI85</f>
        <v>18883.240611116631</v>
      </c>
      <c r="AJ298" s="116">
        <f ca="1">'Rev&amp;RAV_FO'!AJ104*'Rev&amp;RAV_FO'!AJ85</f>
        <v>20439.31577353094</v>
      </c>
      <c r="AK298" s="157"/>
    </row>
    <row r="299" spans="3:37">
      <c r="C299" s="155"/>
      <c r="E299" s="63" t="s">
        <v>1142</v>
      </c>
      <c r="H299" s="969"/>
      <c r="I299" s="63"/>
      <c r="J299" s="296"/>
      <c r="U299" s="296" t="s">
        <v>1160</v>
      </c>
      <c r="V299" s="296" t="s">
        <v>1160</v>
      </c>
      <c r="W299" s="296" t="s">
        <v>1160</v>
      </c>
      <c r="X299" s="296" t="s">
        <v>1160</v>
      </c>
      <c r="Y299" s="296" t="s">
        <v>1160</v>
      </c>
      <c r="Z299" s="296" t="s">
        <v>1160</v>
      </c>
      <c r="AA299" s="296" t="s">
        <v>1160</v>
      </c>
      <c r="AB299" s="296" t="s">
        <v>1160</v>
      </c>
      <c r="AC299" s="296" t="s">
        <v>1160</v>
      </c>
      <c r="AD299" s="296" t="s">
        <v>1160</v>
      </c>
      <c r="AE299" s="296" t="s">
        <v>1160</v>
      </c>
      <c r="AF299" s="296" t="s">
        <v>1160</v>
      </c>
      <c r="AG299" s="296" t="s">
        <v>1160</v>
      </c>
      <c r="AH299" s="296" t="s">
        <v>1160</v>
      </c>
      <c r="AI299" s="296" t="s">
        <v>1160</v>
      </c>
      <c r="AJ299" s="296" t="s">
        <v>1160</v>
      </c>
      <c r="AK299" s="157"/>
    </row>
    <row r="300" spans="3:37">
      <c r="C300" s="155"/>
      <c r="E300" s="63" t="s">
        <v>1143</v>
      </c>
      <c r="H300" s="969"/>
      <c r="I300" s="63"/>
      <c r="J300" s="296"/>
      <c r="U300" s="296">
        <v>0</v>
      </c>
      <c r="V300" s="296">
        <v>0</v>
      </c>
      <c r="W300" s="296">
        <v>0</v>
      </c>
      <c r="X300" s="296">
        <v>0</v>
      </c>
      <c r="Y300" s="296">
        <v>0</v>
      </c>
      <c r="Z300" s="296">
        <v>0</v>
      </c>
      <c r="AA300" s="296">
        <v>0</v>
      </c>
      <c r="AB300" s="296">
        <v>0</v>
      </c>
      <c r="AC300" s="296">
        <v>0</v>
      </c>
      <c r="AD300" s="296">
        <v>0</v>
      </c>
      <c r="AE300" s="296">
        <v>0</v>
      </c>
      <c r="AF300" s="296">
        <v>0</v>
      </c>
      <c r="AG300" s="296">
        <v>0</v>
      </c>
      <c r="AH300" s="296">
        <v>0</v>
      </c>
      <c r="AI300" s="296">
        <v>0</v>
      </c>
      <c r="AJ300" s="296">
        <v>0</v>
      </c>
      <c r="AK300" s="157"/>
    </row>
    <row r="301" spans="3:37">
      <c r="C301" s="155"/>
      <c r="H301" s="969"/>
      <c r="I301" s="63"/>
      <c r="J301" s="296"/>
      <c r="AK301" s="157"/>
    </row>
    <row r="302" spans="3:37">
      <c r="C302" s="155"/>
      <c r="D302" s="723"/>
      <c r="E302" s="724"/>
      <c r="F302" s="724"/>
      <c r="G302" s="724"/>
      <c r="H302" s="1916" t="s">
        <v>1144</v>
      </c>
      <c r="I302" s="724"/>
      <c r="J302" s="1321"/>
      <c r="U302" s="1923">
        <f>+IF(ISERROR(U297/SUM(U298,U300)),0,U297/SUM(U298,U300))</f>
        <v>6.1780940426296761E-2</v>
      </c>
      <c r="V302" s="1042">
        <f t="shared" ref="V302:AJ302" si="104">+IF(ISERROR(V297/SUM(V298,V300)),0,V297/SUM(V298,V300))</f>
        <v>5.6908845030479334E-2</v>
      </c>
      <c r="W302" s="1042">
        <f t="shared" si="104"/>
        <v>5.8986387013867547E-2</v>
      </c>
      <c r="X302" s="1042">
        <f t="shared" si="104"/>
        <v>5.6063001134040592E-2</v>
      </c>
      <c r="Y302" s="1042">
        <f t="shared" si="104"/>
        <v>5.3801289495752649E-2</v>
      </c>
      <c r="Z302" s="1922">
        <f t="shared" si="104"/>
        <v>5.5877743564953807E-2</v>
      </c>
      <c r="AA302" s="1042">
        <f t="shared" ca="1" si="104"/>
        <v>5.7460726443323992E-2</v>
      </c>
      <c r="AB302" s="1042">
        <f t="shared" ca="1" si="104"/>
        <v>5.9721865325980755E-2</v>
      </c>
      <c r="AC302" s="1042">
        <f t="shared" ca="1" si="104"/>
        <v>5.6169257592971547E-2</v>
      </c>
      <c r="AD302" s="1042">
        <f t="shared" ca="1" si="104"/>
        <v>5.4596296947648046E-2</v>
      </c>
      <c r="AE302" s="1922">
        <f t="shared" ca="1" si="104"/>
        <v>5.1764480597929659E-2</v>
      </c>
      <c r="AF302" s="1042">
        <f t="shared" ca="1" si="104"/>
        <v>5.370108844446473E-2</v>
      </c>
      <c r="AG302" s="1042">
        <f t="shared" ca="1" si="104"/>
        <v>4.9048074264199812E-2</v>
      </c>
      <c r="AH302" s="1042">
        <f t="shared" ca="1" si="104"/>
        <v>4.9437241625332709E-2</v>
      </c>
      <c r="AI302" s="1042">
        <f t="shared" ca="1" si="104"/>
        <v>4.8922739433050512E-2</v>
      </c>
      <c r="AJ302" s="1922">
        <f t="shared" ca="1" si="104"/>
        <v>4.7248283184830313E-2</v>
      </c>
      <c r="AK302" s="157"/>
    </row>
    <row r="303" spans="3:37">
      <c r="C303" s="155"/>
      <c r="I303" s="63"/>
      <c r="U303" s="1844">
        <f t="shared" ref="U303:AJ303" si="105">IF(U302&gt;=0.06,0,1)</f>
        <v>0</v>
      </c>
      <c r="V303" s="1844">
        <f t="shared" si="105"/>
        <v>1</v>
      </c>
      <c r="W303" s="1844">
        <f t="shared" si="105"/>
        <v>1</v>
      </c>
      <c r="X303" s="1844">
        <f t="shared" si="105"/>
        <v>1</v>
      </c>
      <c r="Y303" s="1844">
        <f t="shared" si="105"/>
        <v>1</v>
      </c>
      <c r="Z303" s="1844">
        <f t="shared" si="105"/>
        <v>1</v>
      </c>
      <c r="AA303" s="1844">
        <f t="shared" ca="1" si="105"/>
        <v>1</v>
      </c>
      <c r="AB303" s="1844">
        <f t="shared" ca="1" si="105"/>
        <v>1</v>
      </c>
      <c r="AC303" s="1844">
        <f t="shared" ca="1" si="105"/>
        <v>1</v>
      </c>
      <c r="AD303" s="1844">
        <f t="shared" ca="1" si="105"/>
        <v>1</v>
      </c>
      <c r="AE303" s="1844">
        <f t="shared" ca="1" si="105"/>
        <v>1</v>
      </c>
      <c r="AF303" s="1844">
        <f t="shared" ca="1" si="105"/>
        <v>1</v>
      </c>
      <c r="AG303" s="1844">
        <f t="shared" ca="1" si="105"/>
        <v>1</v>
      </c>
      <c r="AH303" s="1844">
        <f t="shared" ca="1" si="105"/>
        <v>1</v>
      </c>
      <c r="AI303" s="1844">
        <f t="shared" ca="1" si="105"/>
        <v>1</v>
      </c>
      <c r="AJ303" s="1844">
        <f t="shared" ca="1" si="105"/>
        <v>1</v>
      </c>
      <c r="AK303" s="157"/>
    </row>
    <row r="304" spans="3:37">
      <c r="C304" s="155"/>
      <c r="D304" s="1921" t="s">
        <v>1170</v>
      </c>
      <c r="I304" s="63"/>
      <c r="AK304" s="157"/>
    </row>
    <row r="305" spans="3:37">
      <c r="C305" s="155"/>
      <c r="D305" s="1921"/>
      <c r="I305" s="63"/>
      <c r="AK305" s="157"/>
    </row>
    <row r="306" spans="3:37">
      <c r="C306" s="155"/>
      <c r="D306" s="89" t="s">
        <v>1153</v>
      </c>
      <c r="H306" s="969"/>
      <c r="I306" s="63"/>
      <c r="J306" s="296"/>
      <c r="AK306" s="157"/>
    </row>
    <row r="307" spans="3:37">
      <c r="C307" s="155"/>
      <c r="E307" s="63" t="s">
        <v>1168</v>
      </c>
      <c r="H307" s="969"/>
      <c r="I307" s="63"/>
      <c r="J307" s="296"/>
      <c r="U307" s="296">
        <f t="shared" ref="U307:AJ307" si="106">U283</f>
        <v>424.79077953934473</v>
      </c>
      <c r="V307" s="296">
        <f t="shared" si="106"/>
        <v>403.81936481469376</v>
      </c>
      <c r="W307" s="296">
        <f t="shared" si="106"/>
        <v>450.06455353080241</v>
      </c>
      <c r="X307" s="296">
        <f t="shared" si="106"/>
        <v>471.07151887925721</v>
      </c>
      <c r="Y307" s="296">
        <f t="shared" si="106"/>
        <v>484.05904082717916</v>
      </c>
      <c r="Z307" s="296">
        <f t="shared" si="106"/>
        <v>525.60048557354344</v>
      </c>
      <c r="AA307" s="296">
        <f t="shared" ca="1" si="106"/>
        <v>572.72692667263016</v>
      </c>
      <c r="AB307" s="296">
        <f t="shared" ca="1" si="106"/>
        <v>645.70110799539998</v>
      </c>
      <c r="AC307" s="296">
        <f t="shared" ca="1" si="106"/>
        <v>659.50480758509229</v>
      </c>
      <c r="AD307" s="296">
        <f t="shared" ca="1" si="106"/>
        <v>695.61979198830295</v>
      </c>
      <c r="AE307" s="296">
        <f t="shared" ca="1" si="106"/>
        <v>713.62459816195508</v>
      </c>
      <c r="AF307" s="296">
        <f t="shared" ca="1" si="106"/>
        <v>801.86872480412853</v>
      </c>
      <c r="AG307" s="296">
        <f t="shared" ca="1" si="106"/>
        <v>795.63534569244143</v>
      </c>
      <c r="AH307" s="296">
        <f t="shared" ca="1" si="106"/>
        <v>865.99842531606964</v>
      </c>
      <c r="AI307" s="296">
        <f t="shared" ca="1" si="106"/>
        <v>923.81986006925649</v>
      </c>
      <c r="AJ307" s="296">
        <f t="shared" ca="1" si="106"/>
        <v>965.72257977195886</v>
      </c>
      <c r="AK307" s="157"/>
    </row>
    <row r="308" spans="3:37">
      <c r="C308" s="155"/>
      <c r="E308" s="63" t="s">
        <v>1151</v>
      </c>
      <c r="H308" s="969"/>
      <c r="I308" s="63"/>
      <c r="J308" s="296"/>
      <c r="U308" s="296">
        <v>0</v>
      </c>
      <c r="V308" s="296">
        <v>0</v>
      </c>
      <c r="W308" s="296">
        <v>0</v>
      </c>
      <c r="X308" s="296">
        <v>0</v>
      </c>
      <c r="Y308" s="296">
        <v>0</v>
      </c>
      <c r="Z308" s="296">
        <v>0</v>
      </c>
      <c r="AA308" s="296">
        <v>0</v>
      </c>
      <c r="AB308" s="296">
        <v>0</v>
      </c>
      <c r="AC308" s="296">
        <v>0</v>
      </c>
      <c r="AD308" s="296">
        <v>0</v>
      </c>
      <c r="AE308" s="296">
        <v>0</v>
      </c>
      <c r="AF308" s="296">
        <v>0</v>
      </c>
      <c r="AG308" s="296">
        <v>0</v>
      </c>
      <c r="AH308" s="296">
        <v>0</v>
      </c>
      <c r="AI308" s="296">
        <v>0</v>
      </c>
      <c r="AJ308" s="296">
        <v>0</v>
      </c>
      <c r="AK308" s="157"/>
    </row>
    <row r="309" spans="3:37">
      <c r="C309" s="155"/>
      <c r="E309" s="63" t="s">
        <v>1154</v>
      </c>
      <c r="H309" s="969"/>
      <c r="I309" s="63"/>
      <c r="J309" s="296"/>
      <c r="U309" s="296">
        <f>(Summary_FO!Z19)*'Rev&amp;RAV_FO'!U85</f>
        <v>660.50494755876389</v>
      </c>
      <c r="V309" s="296">
        <f>(Summary_FO!AA19)*'Rev&amp;RAV_FO'!V85</f>
        <v>630.02495064814559</v>
      </c>
      <c r="W309" s="296">
        <f>(Summary_FO!AB19)*'Rev&amp;RAV_FO'!W85</f>
        <v>777.85939402084148</v>
      </c>
      <c r="X309" s="296">
        <f>(Summary_FO!AC19)*'Rev&amp;RAV_FO'!X85</f>
        <v>919.32686785156727</v>
      </c>
      <c r="Y309" s="296">
        <f>(Summary_FO!AD19)*'Rev&amp;RAV_FO'!Y85</f>
        <v>1033.9015401092429</v>
      </c>
      <c r="Z309" s="296">
        <f>(Summary_FO!AE19)*'Rev&amp;RAV_FO'!Z85</f>
        <v>678.85510206620143</v>
      </c>
      <c r="AA309" s="296">
        <f>(Summary_FO!AF19)*'Rev&amp;RAV_FO'!AA85</f>
        <v>1469.2758470910399</v>
      </c>
      <c r="AB309" s="296">
        <f>(Summary_FO!AG19)*'Rev&amp;RAV_FO'!AB85</f>
        <v>1662.5542850512309</v>
      </c>
      <c r="AC309" s="296">
        <f>(Summary_FO!AH19)*'Rev&amp;RAV_FO'!AC85</f>
        <v>1751.3561236695327</v>
      </c>
      <c r="AD309" s="296">
        <f>(Summary_FO!AI19)*'Rev&amp;RAV_FO'!AD85</f>
        <v>1850.5021216749988</v>
      </c>
      <c r="AE309" s="296">
        <f>(Summary_FO!AJ19)*'Rev&amp;RAV_FO'!AE85</f>
        <v>1845.9523431346254</v>
      </c>
      <c r="AF309" s="296">
        <f>(Summary_FO!AK19)*'Rev&amp;RAV_FO'!AF85</f>
        <v>2163.4334714980587</v>
      </c>
      <c r="AG309" s="296">
        <f>(Summary_FO!AL19)*'Rev&amp;RAV_FO'!AG85</f>
        <v>2314.3126391492033</v>
      </c>
      <c r="AH309" s="296">
        <f>(Summary_FO!AM19)*'Rev&amp;RAV_FO'!AH85</f>
        <v>2174.3130221004649</v>
      </c>
      <c r="AI309" s="296">
        <f>(Summary_FO!AN19)*'Rev&amp;RAV_FO'!AI85</f>
        <v>2549.9374773342329</v>
      </c>
      <c r="AJ309" s="296">
        <f>(Summary_FO!AO19)*'Rev&amp;RAV_FO'!AJ85</f>
        <v>2788.2507424889409</v>
      </c>
      <c r="AK309" s="157"/>
    </row>
    <row r="310" spans="3:37">
      <c r="C310" s="155"/>
      <c r="E310" s="63" t="s">
        <v>1155</v>
      </c>
      <c r="H310" s="969"/>
      <c r="I310" s="63"/>
      <c r="J310" s="296"/>
      <c r="U310" s="296">
        <f>-(Summary_FO!Z21)*'Rev&amp;RAV_FO'!U85</f>
        <v>-174.77240566031998</v>
      </c>
      <c r="V310" s="296">
        <f>-(Summary_FO!AA21)*'Rev&amp;RAV_FO'!V85</f>
        <v>-192.78851482800005</v>
      </c>
      <c r="W310" s="296">
        <f>-(Summary_FO!AB21)*'Rev&amp;RAV_FO'!W85</f>
        <v>-215.28280799999999</v>
      </c>
      <c r="X310" s="296">
        <f>-(Summary_FO!AC21)*'Rev&amp;RAV_FO'!X85</f>
        <v>-216.62184160656</v>
      </c>
      <c r="Y310" s="296">
        <f>-(Summary_FO!AD21)*'Rev&amp;RAV_FO'!Y85</f>
        <v>-217.57187426831999</v>
      </c>
      <c r="Z310" s="296">
        <f>-(Summary_FO!AE21)*'Rev&amp;RAV_FO'!Z85</f>
        <v>-244.65017134288519</v>
      </c>
      <c r="AA310" s="296">
        <f>-(Summary_FO!AF21)*'Rev&amp;RAV_FO'!AA85</f>
        <v>-264.12802815887164</v>
      </c>
      <c r="AB310" s="296">
        <f>-(Summary_FO!AG21)*'Rev&amp;RAV_FO'!AB85</f>
        <v>-281.46212010537869</v>
      </c>
      <c r="AC310" s="296">
        <f>-(Summary_FO!AH21)*'Rev&amp;RAV_FO'!AC85</f>
        <v>-290.7921391501007</v>
      </c>
      <c r="AD310" s="296">
        <f>-(Summary_FO!AI21)*'Rev&amp;RAV_FO'!AD85</f>
        <v>-298.04191132752618</v>
      </c>
      <c r="AE310" s="296">
        <f>-(Summary_FO!AJ21)*'Rev&amp;RAV_FO'!AE85</f>
        <v>-301.97739211900364</v>
      </c>
      <c r="AF310" s="296">
        <f>-(Summary_FO!AK21)*'Rev&amp;RAV_FO'!AF85</f>
        <v>-316.11863462517329</v>
      </c>
      <c r="AG310" s="296">
        <f>-(Summary_FO!AL21)*'Rev&amp;RAV_FO'!AG85</f>
        <v>-316.49205350883375</v>
      </c>
      <c r="AH310" s="296">
        <f>-(Summary_FO!AM21)*'Rev&amp;RAV_FO'!AH85</f>
        <v>-314.26357996107834</v>
      </c>
      <c r="AI310" s="296">
        <f>-(Summary_FO!AN21)*'Rev&amp;RAV_FO'!AI85</f>
        <v>-312.06353929380384</v>
      </c>
      <c r="AJ310" s="296">
        <f>-(Summary_FO!AO21)*'Rev&amp;RAV_FO'!AJ85</f>
        <v>-309.89187360068121</v>
      </c>
      <c r="AK310" s="157"/>
    </row>
    <row r="311" spans="3:37">
      <c r="C311" s="155"/>
      <c r="E311" s="63" t="s">
        <v>1156</v>
      </c>
      <c r="H311" s="969"/>
      <c r="I311" s="63"/>
      <c r="J311" s="296"/>
      <c r="U311" s="296">
        <f>-(Summary_FO!Z20)*'Rev&amp;RAV_FO'!U85</f>
        <v>0</v>
      </c>
      <c r="V311" s="296">
        <f>-(Summary_FO!AA20)*'Rev&amp;RAV_FO'!V85</f>
        <v>0</v>
      </c>
      <c r="W311" s="296">
        <f>-(Summary_FO!AB20)*'Rev&amp;RAV_FO'!W85</f>
        <v>0</v>
      </c>
      <c r="X311" s="296">
        <f>-(Summary_FO!AC20)*'Rev&amp;RAV_FO'!X85</f>
        <v>0</v>
      </c>
      <c r="Y311" s="296">
        <f>-(Summary_FO!AD20)*'Rev&amp;RAV_FO'!Y85</f>
        <v>0</v>
      </c>
      <c r="Z311" s="296">
        <f>-(Summary_FO!AE20)*'Rev&amp;RAV_FO'!Z85</f>
        <v>0</v>
      </c>
      <c r="AA311" s="296">
        <f>-(Summary_FO!AF20)*'Rev&amp;RAV_FO'!AA85</f>
        <v>-9.5822535038209136</v>
      </c>
      <c r="AB311" s="296">
        <f>-(Summary_FO!AG20)*'Rev&amp;RAV_FO'!AB85</f>
        <v>-15.837355692696621</v>
      </c>
      <c r="AC311" s="296">
        <f>-(Summary_FO!AH20)*'Rev&amp;RAV_FO'!AC85</f>
        <v>-2.5467898309640986E-2</v>
      </c>
      <c r="AD311" s="296">
        <f>-(Summary_FO!AI20)*'Rev&amp;RAV_FO'!AD85</f>
        <v>-1.7044856819915816E-2</v>
      </c>
      <c r="AE311" s="296">
        <f>-(Summary_FO!AJ20)*'Rev&amp;RAV_FO'!AE85</f>
        <v>0</v>
      </c>
      <c r="AF311" s="296">
        <f>-(Summary_FO!AK20)*'Rev&amp;RAV_FO'!AF85</f>
        <v>0</v>
      </c>
      <c r="AG311" s="296">
        <f>-(Summary_FO!AL20)*'Rev&amp;RAV_FO'!AG85</f>
        <v>0</v>
      </c>
      <c r="AH311" s="296">
        <f>-(Summary_FO!AM20)*'Rev&amp;RAV_FO'!AH85</f>
        <v>0</v>
      </c>
      <c r="AI311" s="296">
        <f>-(Summary_FO!AN20)*'Rev&amp;RAV_FO'!AI85</f>
        <v>0</v>
      </c>
      <c r="AJ311" s="296">
        <f>-(Summary_FO!AO20)*'Rev&amp;RAV_FO'!AJ85</f>
        <v>0</v>
      </c>
      <c r="AK311" s="157"/>
    </row>
    <row r="312" spans="3:37">
      <c r="C312" s="155"/>
      <c r="H312" s="969"/>
      <c r="I312" s="63"/>
      <c r="J312" s="296"/>
      <c r="U312" s="296"/>
      <c r="V312" s="296"/>
      <c r="W312" s="296"/>
      <c r="X312" s="296"/>
      <c r="Y312" s="296"/>
      <c r="Z312" s="296"/>
      <c r="AA312" s="296"/>
      <c r="AB312" s="296"/>
      <c r="AC312" s="296"/>
      <c r="AD312" s="296"/>
      <c r="AE312" s="296"/>
      <c r="AF312" s="296"/>
      <c r="AG312" s="296"/>
      <c r="AH312" s="296"/>
      <c r="AI312" s="296"/>
      <c r="AJ312" s="296"/>
      <c r="AK312" s="157"/>
    </row>
    <row r="313" spans="3:37">
      <c r="C313" s="155"/>
      <c r="D313" s="723"/>
      <c r="E313" s="724"/>
      <c r="F313" s="724"/>
      <c r="G313" s="724"/>
      <c r="H313" s="720" t="s">
        <v>1157</v>
      </c>
      <c r="I313" s="721"/>
      <c r="J313" s="620"/>
      <c r="O313" s="67"/>
      <c r="U313" s="1923">
        <f>+IF(ISERROR(SUM(U307,U308)/SUM(U309:U311)),0,SUM(U307,U308)/SUM(U309:U311))</f>
        <v>0.87453638143964263</v>
      </c>
      <c r="V313" s="1042">
        <f t="shared" ref="V313:AJ313" si="107">+IF(ISERROR(SUM(V307,V308)/SUM(V309:V311)),0,SUM(V307,V308)/SUM(V309:V311))</f>
        <v>0.92357208076044772</v>
      </c>
      <c r="W313" s="1042">
        <f t="shared" si="107"/>
        <v>0.80000583869682973</v>
      </c>
      <c r="X313" s="1042">
        <f t="shared" si="107"/>
        <v>0.6703687910082089</v>
      </c>
      <c r="Y313" s="1042">
        <f t="shared" si="107"/>
        <v>0.59297004761983885</v>
      </c>
      <c r="Z313" s="1922">
        <f t="shared" si="107"/>
        <v>1.2104894449217256</v>
      </c>
      <c r="AA313" s="1042">
        <f t="shared" ca="1" si="107"/>
        <v>0.47904267506017834</v>
      </c>
      <c r="AB313" s="1042">
        <f t="shared" ca="1" si="107"/>
        <v>0.47295281702660485</v>
      </c>
      <c r="AC313" s="1042">
        <f t="shared" ca="1" si="107"/>
        <v>0.45154906911378229</v>
      </c>
      <c r="AD313" s="1042">
        <f t="shared" ca="1" si="107"/>
        <v>0.44808068176102983</v>
      </c>
      <c r="AE313" s="1922">
        <f t="shared" ca="1" si="107"/>
        <v>0.46219959572047148</v>
      </c>
      <c r="AF313" s="1042">
        <f t="shared" ca="1" si="107"/>
        <v>0.43407258405476962</v>
      </c>
      <c r="AG313" s="1042">
        <f t="shared" ca="1" si="107"/>
        <v>0.39825165052917566</v>
      </c>
      <c r="AH313" s="1042">
        <f t="shared" ca="1" si="107"/>
        <v>0.46557817534141349</v>
      </c>
      <c r="AI313" s="1042">
        <f t="shared" ca="1" si="107"/>
        <v>0.41281139404938499</v>
      </c>
      <c r="AJ313" s="1922">
        <f t="shared" ca="1" si="107"/>
        <v>0.38966212355080038</v>
      </c>
      <c r="AK313" s="157"/>
    </row>
    <row r="314" spans="3:37">
      <c r="C314" s="155"/>
      <c r="J314" s="310"/>
      <c r="O314" s="67"/>
      <c r="U314" s="1844">
        <f>IF(U313&gt;=0.35,0,1)</f>
        <v>0</v>
      </c>
      <c r="V314" s="1844">
        <f t="shared" ref="V314:AJ314" si="108">IF(V313&gt;=0.35,0,1)</f>
        <v>0</v>
      </c>
      <c r="W314" s="1844">
        <f t="shared" si="108"/>
        <v>0</v>
      </c>
      <c r="X314" s="1844">
        <f t="shared" si="108"/>
        <v>0</v>
      </c>
      <c r="Y314" s="1844">
        <f t="shared" si="108"/>
        <v>0</v>
      </c>
      <c r="Z314" s="1844">
        <f t="shared" si="108"/>
        <v>0</v>
      </c>
      <c r="AA314" s="1844">
        <f t="shared" ca="1" si="108"/>
        <v>0</v>
      </c>
      <c r="AB314" s="1844">
        <f t="shared" ca="1" si="108"/>
        <v>0</v>
      </c>
      <c r="AC314" s="1844">
        <f t="shared" ca="1" si="108"/>
        <v>0</v>
      </c>
      <c r="AD314" s="1844">
        <f t="shared" ca="1" si="108"/>
        <v>0</v>
      </c>
      <c r="AE314" s="1844">
        <f t="shared" ca="1" si="108"/>
        <v>0</v>
      </c>
      <c r="AF314" s="1844">
        <f t="shared" ca="1" si="108"/>
        <v>0</v>
      </c>
      <c r="AG314" s="1844">
        <f t="shared" ca="1" si="108"/>
        <v>0</v>
      </c>
      <c r="AH314" s="1844">
        <f t="shared" ca="1" si="108"/>
        <v>0</v>
      </c>
      <c r="AI314" s="1844">
        <f t="shared" ca="1" si="108"/>
        <v>0</v>
      </c>
      <c r="AJ314" s="1844">
        <f t="shared" ca="1" si="108"/>
        <v>0</v>
      </c>
      <c r="AK314" s="157"/>
    </row>
    <row r="315" spans="3:37" ht="12.75" thickBot="1">
      <c r="C315" s="167"/>
      <c r="D315" s="168"/>
      <c r="E315" s="168"/>
      <c r="F315" s="168"/>
      <c r="G315" s="168"/>
      <c r="H315" s="168"/>
      <c r="I315" s="181"/>
      <c r="J315" s="634"/>
      <c r="K315" s="168"/>
      <c r="L315" s="168"/>
      <c r="M315" s="168"/>
      <c r="N315" s="168"/>
      <c r="O315" s="181"/>
      <c r="P315" s="168"/>
      <c r="Q315" s="168"/>
      <c r="R315" s="168"/>
      <c r="S315" s="168"/>
      <c r="T315" s="168"/>
      <c r="U315" s="634"/>
      <c r="V315" s="634"/>
      <c r="W315" s="634"/>
      <c r="X315" s="634"/>
      <c r="Y315" s="634"/>
      <c r="Z315" s="634"/>
      <c r="AA315" s="634"/>
      <c r="AB315" s="634"/>
      <c r="AC315" s="634"/>
      <c r="AD315" s="634"/>
      <c r="AE315" s="634"/>
      <c r="AF315" s="634"/>
      <c r="AG315" s="634"/>
      <c r="AH315" s="634"/>
      <c r="AI315" s="634"/>
      <c r="AJ315" s="634"/>
      <c r="AK315" s="170"/>
    </row>
  </sheetData>
  <mergeCells count="30">
    <mergeCell ref="E58:I58"/>
    <mergeCell ref="E59:I59"/>
    <mergeCell ref="E60:I60"/>
    <mergeCell ref="E48:I48"/>
    <mergeCell ref="E49:I49"/>
    <mergeCell ref="E50:I50"/>
    <mergeCell ref="E55:I55"/>
    <mergeCell ref="E56:I56"/>
    <mergeCell ref="E57:I57"/>
    <mergeCell ref="E36:I36"/>
    <mergeCell ref="E37:I37"/>
    <mergeCell ref="E38:I38"/>
    <mergeCell ref="E39:I39"/>
    <mergeCell ref="E40:I40"/>
    <mergeCell ref="B3:F3"/>
    <mergeCell ref="E24:I24"/>
    <mergeCell ref="E25:I25"/>
    <mergeCell ref="E46:I46"/>
    <mergeCell ref="E47:I47"/>
    <mergeCell ref="E16:I16"/>
    <mergeCell ref="E17:I17"/>
    <mergeCell ref="E18:I18"/>
    <mergeCell ref="E19:I19"/>
    <mergeCell ref="E45:I45"/>
    <mergeCell ref="E26:I26"/>
    <mergeCell ref="E27:I27"/>
    <mergeCell ref="E32:I32"/>
    <mergeCell ref="E33:I33"/>
    <mergeCell ref="E34:I34"/>
    <mergeCell ref="E35:I35"/>
  </mergeCells>
  <phoneticPr fontId="0" type="noConversion"/>
  <conditionalFormatting sqref="U263:AJ263">
    <cfRule type="containsText" dxfId="23" priority="42" operator="containsText" text="FALSE">
      <formula>NOT(ISERROR(SEARCH("FALSE",U263)))</formula>
    </cfRule>
  </conditionalFormatting>
  <conditionalFormatting sqref="U263:AJ263">
    <cfRule type="cellIs" dxfId="22" priority="41" operator="equal">
      <formula>0</formula>
    </cfRule>
  </conditionalFormatting>
  <conditionalFormatting sqref="U254:AJ254">
    <cfRule type="containsText" dxfId="21" priority="40" operator="containsText" text="FALSE">
      <formula>NOT(ISERROR(SEARCH("FALSE",U254)))</formula>
    </cfRule>
  </conditionalFormatting>
  <conditionalFormatting sqref="U254:AJ254">
    <cfRule type="cellIs" dxfId="20" priority="39" operator="equal">
      <formula>0</formula>
    </cfRule>
  </conditionalFormatting>
  <conditionalFormatting sqref="U245:AJ245">
    <cfRule type="containsText" dxfId="19" priority="38" operator="containsText" text="FALSE">
      <formula>NOT(ISERROR(SEARCH("FALSE",U245)))</formula>
    </cfRule>
  </conditionalFormatting>
  <conditionalFormatting sqref="U245:AJ245">
    <cfRule type="cellIs" dxfId="18" priority="37" operator="equal">
      <formula>0</formula>
    </cfRule>
  </conditionalFormatting>
  <conditionalFormatting sqref="U226:AJ226">
    <cfRule type="containsText" dxfId="17" priority="36" operator="containsText" text="FALSE">
      <formula>NOT(ISERROR(SEARCH("FALSE",U226)))</formula>
    </cfRule>
  </conditionalFormatting>
  <conditionalFormatting sqref="U226:AJ226">
    <cfRule type="cellIs" dxfId="16" priority="35" operator="equal">
      <formula>0</formula>
    </cfRule>
  </conditionalFormatting>
  <conditionalFormatting sqref="U235:AJ235">
    <cfRule type="containsText" dxfId="15" priority="32" operator="containsText" text="FALSE">
      <formula>NOT(ISERROR(SEARCH("FALSE",U235)))</formula>
    </cfRule>
  </conditionalFormatting>
  <conditionalFormatting sqref="U235:AJ235">
    <cfRule type="cellIs" dxfId="14" priority="31" operator="equal">
      <formula>0</formula>
    </cfRule>
  </conditionalFormatting>
  <conditionalFormatting sqref="O294">
    <cfRule type="notContainsText" dxfId="13" priority="30" operator="notContains" text="0">
      <formula>ISERROR(SEARCH("0",O294))</formula>
    </cfRule>
  </conditionalFormatting>
  <conditionalFormatting sqref="O294">
    <cfRule type="cellIs" dxfId="12" priority="29" operator="equal">
      <formula>0</formula>
    </cfRule>
  </conditionalFormatting>
  <conditionalFormatting sqref="O303">
    <cfRule type="notContainsText" dxfId="11" priority="28" operator="notContains" text="0">
      <formula>ISERROR(SEARCH("0",O303))</formula>
    </cfRule>
  </conditionalFormatting>
  <conditionalFormatting sqref="O303">
    <cfRule type="cellIs" dxfId="10" priority="27" operator="equal">
      <formula>0</formula>
    </cfRule>
  </conditionalFormatting>
  <conditionalFormatting sqref="O314">
    <cfRule type="notContainsText" dxfId="9" priority="26" operator="notContains" text="0">
      <formula>ISERROR(SEARCH("0",O314))</formula>
    </cfRule>
  </conditionalFormatting>
  <conditionalFormatting sqref="O314">
    <cfRule type="cellIs" dxfId="8" priority="25" operator="equal">
      <formula>0</formula>
    </cfRule>
  </conditionalFormatting>
  <conditionalFormatting sqref="U294:AJ294">
    <cfRule type="containsText" dxfId="7" priority="12" operator="containsText" text="FALSE">
      <formula>NOT(ISERROR(SEARCH("FALSE",U294)))</formula>
    </cfRule>
  </conditionalFormatting>
  <conditionalFormatting sqref="U294:AJ294">
    <cfRule type="cellIs" dxfId="6" priority="11" operator="equal">
      <formula>0</formula>
    </cfRule>
  </conditionalFormatting>
  <conditionalFormatting sqref="U303:AJ303">
    <cfRule type="containsText" dxfId="5" priority="4" operator="containsText" text="FALSE">
      <formula>NOT(ISERROR(SEARCH("FALSE",U303)))</formula>
    </cfRule>
  </conditionalFormatting>
  <conditionalFormatting sqref="U303:AJ303">
    <cfRule type="cellIs" dxfId="4" priority="3" operator="equal">
      <formula>0</formula>
    </cfRule>
  </conditionalFormatting>
  <conditionalFormatting sqref="U314:AJ314">
    <cfRule type="containsText" dxfId="3" priority="2" operator="containsText" text="FALSE">
      <formula>NOT(ISERROR(SEARCH("FALSE",U314)))</formula>
    </cfRule>
  </conditionalFormatting>
  <conditionalFormatting sqref="U314:AJ314">
    <cfRule type="cellIs" dxfId="2" priority="1" operator="equal">
      <formula>0</formula>
    </cfRule>
  </conditionalFormatting>
  <hyperlinks>
    <hyperlink ref="B3" location="HL_Home" tooltip="Go to Table of Contents" display="HL_Home" xr:uid="{00000000-0004-0000-1000-000000000000}"/>
  </hyperlinks>
  <pageMargins left="0.39370078740157499" right="0.39370078740157499" top="0.59055118110236249" bottom="0.98425196850393748" header="0" footer="0.31496062992125973"/>
  <pageSetup paperSize="9" scale="74" orientation="landscape" r:id="rId1"/>
  <headerFooter alignWithMargins="0">
    <oddHeader>&amp;C&amp;"Calibri"&amp;14&amp;KFF0000 OFFICIAL&amp;1#_x000D_&amp;"Arial"&amp;8&amp;K000000&amp;"Arial"&amp;8&amp;K000000&amp;B&amp;"Arial"&amp;12&amp;Kff0000​‌OFFICIAL‌​</oddHeader>
    <oddFooter>&amp;C&amp;"Arial,Bold"&amp;8Sheet p.
Page &amp;P of &amp;N&amp;L&amp;"Arial,Bold"&amp;7&amp;F
&amp;A
Printed: &amp;T on &amp;D</oddFooter>
  </headerFooter>
  <rowBreaks count="4" manualBreakCount="4">
    <brk id="64" min="1" max="23" man="1"/>
    <brk id="114" min="1" max="23" man="1"/>
    <brk id="146" min="1" max="23" man="1"/>
    <brk id="198" min="1" max="23" man="1"/>
  </rowBreaks>
  <ignoredErrors>
    <ignoredError sqref="AA169 U274:AJ274" formula="1"/>
  </ignoredError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pageSetUpPr autoPageBreaks="0"/>
  </sheetPr>
  <dimension ref="A1:AJ183"/>
  <sheetViews>
    <sheetView showGridLines="0" topLeftCell="A54" zoomScaleNormal="100" workbookViewId="0">
      <selection activeCell="V66" sqref="V66:AE67"/>
    </sheetView>
  </sheetViews>
  <sheetFormatPr defaultColWidth="9.33203125" defaultRowHeight="12" outlineLevelCol="1"/>
  <cols>
    <col min="1" max="1" width="2.6640625" style="63" customWidth="1"/>
    <col min="2" max="2" width="13.33203125" style="63" customWidth="1"/>
    <col min="3" max="3" width="20" style="63" customWidth="1"/>
    <col min="4" max="7" width="13.33203125" style="63" customWidth="1"/>
    <col min="8" max="8" width="2.1640625" style="63" customWidth="1"/>
    <col min="9" max="9" width="21.33203125" style="63" bestFit="1" customWidth="1"/>
    <col min="10" max="10" width="2.83203125" style="63" customWidth="1"/>
    <col min="11" max="20" width="10.83203125" style="63" hidden="1" customWidth="1" outlineLevel="1"/>
    <col min="21" max="21" width="10.83203125" style="63" customWidth="1" collapsed="1"/>
    <col min="22" max="36" width="10.83203125" style="63" customWidth="1"/>
    <col min="37" max="16384" width="9.33203125" style="63"/>
  </cols>
  <sheetData>
    <row r="1" spans="2:36" ht="15">
      <c r="B1" s="140" t="s">
        <v>244</v>
      </c>
    </row>
    <row r="2" spans="2:36" ht="12.75">
      <c r="B2" s="142" t="str">
        <f>+Contents!H7</f>
        <v>Melbourne Water</v>
      </c>
    </row>
    <row r="3" spans="2:36">
      <c r="B3" s="2075" t="s">
        <v>138</v>
      </c>
      <c r="C3" s="2075"/>
      <c r="D3" s="2075"/>
      <c r="E3" s="2075"/>
      <c r="F3" s="2075"/>
    </row>
    <row r="4" spans="2:36">
      <c r="K4" s="1208"/>
      <c r="L4" s="1209"/>
      <c r="M4" s="1210"/>
      <c r="N4" s="1208"/>
      <c r="O4" s="1211"/>
      <c r="P4" s="1209"/>
      <c r="Q4" s="1211"/>
      <c r="R4" s="1210"/>
      <c r="S4" s="1208"/>
      <c r="T4" s="1209"/>
      <c r="U4" s="1211"/>
      <c r="V4" s="1208"/>
      <c r="W4" s="1211"/>
      <c r="X4" s="1209" t="str">
        <f>'Rev&amp;RAV_FO'!X4</f>
        <v>FIFTH REG PERIOD</v>
      </c>
      <c r="Y4" s="1213"/>
      <c r="Z4" s="1210"/>
      <c r="AA4" s="1208"/>
      <c r="AB4" s="1211"/>
      <c r="AC4" s="1209" t="str">
        <f>'Rev&amp;RAV_FO'!AC4</f>
        <v>SIXTH REG PERIOD</v>
      </c>
      <c r="AD4" s="1211"/>
      <c r="AE4" s="1210"/>
      <c r="AF4" s="1287"/>
      <c r="AG4" s="721"/>
      <c r="AH4" s="1209" t="str">
        <f>'Rev&amp;RAV_FO'!AH4</f>
        <v>SEVENTH REG PERIOD</v>
      </c>
      <c r="AI4" s="721"/>
      <c r="AJ4" s="1207"/>
    </row>
    <row r="6" spans="2:36">
      <c r="K6" s="59"/>
      <c r="L6" s="59"/>
      <c r="M6" s="59"/>
      <c r="N6" s="59"/>
      <c r="O6" s="59"/>
      <c r="P6" s="59"/>
      <c r="Q6" s="59"/>
      <c r="R6" s="59"/>
      <c r="S6" s="59"/>
      <c r="T6" s="59"/>
      <c r="U6" s="59">
        <v>2021</v>
      </c>
      <c r="V6" s="59">
        <v>2022</v>
      </c>
      <c r="W6" s="59">
        <v>2023</v>
      </c>
      <c r="X6" s="60">
        <v>2024</v>
      </c>
      <c r="Y6" s="60">
        <v>2025</v>
      </c>
      <c r="Z6" s="60">
        <v>2026</v>
      </c>
      <c r="AA6" s="60">
        <v>2027</v>
      </c>
      <c r="AB6" s="60">
        <v>2028</v>
      </c>
      <c r="AC6" s="60">
        <v>2029</v>
      </c>
      <c r="AD6" s="60">
        <v>2030</v>
      </c>
      <c r="AE6" s="60">
        <v>2031</v>
      </c>
      <c r="AF6" s="60">
        <f>AE6+1</f>
        <v>2032</v>
      </c>
      <c r="AG6" s="60">
        <f>AF6+1</f>
        <v>2033</v>
      </c>
      <c r="AH6" s="60">
        <f>AG6+1</f>
        <v>2034</v>
      </c>
      <c r="AI6" s="60">
        <f>AH6+1</f>
        <v>2035</v>
      </c>
      <c r="AJ6" s="60">
        <f>AI6+1</f>
        <v>2036</v>
      </c>
    </row>
    <row r="7" spans="2:36" s="68" customFormat="1">
      <c r="K7" s="61"/>
      <c r="L7" s="61"/>
      <c r="M7" s="61"/>
      <c r="N7" s="61"/>
      <c r="O7" s="61"/>
      <c r="P7" s="61"/>
      <c r="Q7" s="61"/>
      <c r="R7" s="61"/>
      <c r="S7" s="61"/>
      <c r="T7" s="61"/>
      <c r="U7" s="61" t="str">
        <f t="shared" ref="U7:AJ7" si="0">+CONCATENATE(U6-1,"-",RIGHT(U6,2))</f>
        <v>2020-21</v>
      </c>
      <c r="V7" s="61" t="str">
        <f t="shared" si="0"/>
        <v>2021-22</v>
      </c>
      <c r="W7" s="61" t="str">
        <f t="shared" si="0"/>
        <v>2022-23</v>
      </c>
      <c r="X7" s="61" t="str">
        <f t="shared" si="0"/>
        <v>2023-24</v>
      </c>
      <c r="Y7" s="61" t="str">
        <f t="shared" si="0"/>
        <v>2024-25</v>
      </c>
      <c r="Z7" s="61" t="str">
        <f t="shared" si="0"/>
        <v>2025-26</v>
      </c>
      <c r="AA7" s="61" t="str">
        <f t="shared" si="0"/>
        <v>2026-27</v>
      </c>
      <c r="AB7" s="61" t="str">
        <f t="shared" si="0"/>
        <v>2027-28</v>
      </c>
      <c r="AC7" s="61" t="str">
        <f t="shared" si="0"/>
        <v>2028-29</v>
      </c>
      <c r="AD7" s="61" t="str">
        <f t="shared" si="0"/>
        <v>2029-30</v>
      </c>
      <c r="AE7" s="61" t="str">
        <f t="shared" si="0"/>
        <v>2030-31</v>
      </c>
      <c r="AF7" s="61" t="str">
        <f t="shared" si="0"/>
        <v>2031-32</v>
      </c>
      <c r="AG7" s="61" t="str">
        <f t="shared" si="0"/>
        <v>2032-33</v>
      </c>
      <c r="AH7" s="61" t="str">
        <f t="shared" si="0"/>
        <v>2033-34</v>
      </c>
      <c r="AI7" s="61" t="str">
        <f t="shared" si="0"/>
        <v>2034-35</v>
      </c>
      <c r="AJ7" s="61" t="str">
        <f t="shared" si="0"/>
        <v>2035-36</v>
      </c>
    </row>
    <row r="9" spans="2:36" ht="12.75">
      <c r="B9" s="733" t="s">
        <v>1171</v>
      </c>
      <c r="K9" s="734"/>
    </row>
    <row r="10" spans="2:36">
      <c r="K10" s="734"/>
    </row>
    <row r="11" spans="2:36">
      <c r="B11" s="67" t="s">
        <v>1172</v>
      </c>
      <c r="C11" s="737"/>
      <c r="K11" s="734"/>
    </row>
    <row r="12" spans="2:36">
      <c r="B12" s="67" t="s">
        <v>1173</v>
      </c>
      <c r="C12" s="737"/>
      <c r="K12" s="734"/>
    </row>
    <row r="13" spans="2:36">
      <c r="B13" s="67" t="s">
        <v>1174</v>
      </c>
      <c r="C13" s="737"/>
      <c r="K13" s="734"/>
    </row>
    <row r="14" spans="2:36">
      <c r="B14" s="67" t="s">
        <v>1175</v>
      </c>
      <c r="C14" s="737"/>
      <c r="K14" s="734"/>
    </row>
    <row r="15" spans="2:36">
      <c r="B15" s="67" t="s">
        <v>1176</v>
      </c>
      <c r="C15" s="737"/>
      <c r="K15" s="734"/>
    </row>
    <row r="16" spans="2:36">
      <c r="K16" s="734"/>
    </row>
    <row r="17" spans="2:36">
      <c r="K17" s="734"/>
    </row>
    <row r="18" spans="2:36" ht="12.75">
      <c r="B18" s="733" t="s">
        <v>1177</v>
      </c>
      <c r="K18" s="2142" t="s">
        <v>1178</v>
      </c>
      <c r="L18" s="2143"/>
      <c r="M18" s="2143"/>
      <c r="N18" s="2143"/>
      <c r="O18" s="2143"/>
      <c r="P18" s="2143"/>
      <c r="Q18" s="2143"/>
      <c r="R18" s="2143"/>
      <c r="S18" s="2143"/>
      <c r="T18" s="2143"/>
      <c r="U18" s="2143"/>
      <c r="V18" s="2143"/>
      <c r="W18" s="2143"/>
      <c r="X18" s="2143"/>
      <c r="Y18" s="2143"/>
      <c r="Z18" s="1824"/>
      <c r="AA18" s="1823"/>
      <c r="AB18" s="1823"/>
      <c r="AC18" s="1823"/>
      <c r="AD18" s="1823"/>
      <c r="AE18" s="1823" t="s">
        <v>1179</v>
      </c>
      <c r="AF18" s="1823"/>
      <c r="AG18" s="1823"/>
      <c r="AH18" s="1823"/>
      <c r="AI18" s="1823"/>
      <c r="AJ18" s="1824"/>
    </row>
    <row r="19" spans="2:36">
      <c r="K19" s="734"/>
    </row>
    <row r="20" spans="2:36">
      <c r="K20" s="734"/>
    </row>
    <row r="21" spans="2:36" ht="12.75">
      <c r="B21" s="735" t="s">
        <v>1180</v>
      </c>
      <c r="C21" s="738" t="s">
        <v>1181</v>
      </c>
      <c r="D21" s="246"/>
      <c r="E21" s="246"/>
      <c r="F21" s="246"/>
      <c r="G21" s="246"/>
      <c r="H21" s="246"/>
      <c r="I21" s="247"/>
    </row>
    <row r="23" spans="2:36">
      <c r="B23" s="63" t="s">
        <v>1182</v>
      </c>
      <c r="I23" s="94" t="s">
        <v>1183</v>
      </c>
    </row>
    <row r="24" spans="2:36">
      <c r="B24" s="738" t="s">
        <v>1184</v>
      </c>
      <c r="C24" s="246"/>
      <c r="D24" s="246"/>
      <c r="E24" s="246"/>
      <c r="F24" s="246"/>
      <c r="G24" s="247"/>
      <c r="H24" s="4"/>
      <c r="I24" s="744" t="s">
        <v>1185</v>
      </c>
      <c r="J24" s="4"/>
      <c r="K24" s="741"/>
      <c r="L24" s="742"/>
      <c r="M24" s="742"/>
      <c r="N24" s="741"/>
      <c r="O24" s="742"/>
      <c r="P24" s="742"/>
      <c r="Q24" s="742"/>
      <c r="R24" s="743"/>
      <c r="S24" s="741"/>
      <c r="T24" s="742"/>
      <c r="U24" s="742"/>
      <c r="V24" s="1438">
        <v>0</v>
      </c>
      <c r="W24" s="1439">
        <v>0</v>
      </c>
      <c r="X24" s="1439">
        <v>0</v>
      </c>
      <c r="Y24" s="1439">
        <v>0</v>
      </c>
      <c r="Z24" s="1440" t="e">
        <v>#N/A</v>
      </c>
      <c r="AA24" s="1438">
        <v>0</v>
      </c>
      <c r="AB24" s="1439">
        <v>0</v>
      </c>
      <c r="AC24" s="1439">
        <v>0</v>
      </c>
      <c r="AD24" s="1439">
        <v>0</v>
      </c>
      <c r="AE24" s="1440">
        <v>0</v>
      </c>
      <c r="AF24" s="741"/>
      <c r="AG24" s="742"/>
      <c r="AH24" s="742"/>
      <c r="AI24" s="742"/>
      <c r="AJ24" s="743"/>
    </row>
    <row r="25" spans="2:36">
      <c r="B25" s="738" t="s">
        <v>1186</v>
      </c>
      <c r="C25" s="246"/>
      <c r="D25" s="246"/>
      <c r="E25" s="246"/>
      <c r="F25" s="246"/>
      <c r="G25" s="247"/>
      <c r="H25" s="4"/>
      <c r="I25" s="744" t="s">
        <v>1187</v>
      </c>
      <c r="J25" s="4"/>
      <c r="K25" s="745"/>
      <c r="L25" s="746"/>
      <c r="M25" s="746"/>
      <c r="N25" s="745"/>
      <c r="O25" s="746"/>
      <c r="P25" s="746"/>
      <c r="Q25" s="746"/>
      <c r="R25" s="747"/>
      <c r="S25" s="745"/>
      <c r="T25" s="746"/>
      <c r="U25" s="746"/>
      <c r="V25" s="1441">
        <v>1</v>
      </c>
      <c r="W25" s="1442">
        <v>0.999</v>
      </c>
      <c r="X25" s="1442">
        <v>1</v>
      </c>
      <c r="Y25" s="1447">
        <v>0.999</v>
      </c>
      <c r="Z25" s="1448" t="e">
        <v>#N/A</v>
      </c>
      <c r="AA25" s="1449">
        <v>0.999</v>
      </c>
      <c r="AB25" s="1447">
        <v>0.999</v>
      </c>
      <c r="AC25" s="1447">
        <v>0.999</v>
      </c>
      <c r="AD25" s="1447">
        <v>0.999</v>
      </c>
      <c r="AE25" s="1448">
        <v>0.999</v>
      </c>
      <c r="AF25" s="745"/>
      <c r="AG25" s="746"/>
      <c r="AH25" s="746"/>
      <c r="AI25" s="746"/>
      <c r="AJ25" s="747"/>
    </row>
    <row r="26" spans="2:36">
      <c r="B26" s="738" t="s">
        <v>1188</v>
      </c>
      <c r="C26" s="246"/>
      <c r="D26" s="246"/>
      <c r="E26" s="246"/>
      <c r="F26" s="246"/>
      <c r="G26" s="247"/>
      <c r="H26" s="4"/>
      <c r="I26" s="744" t="s">
        <v>1187</v>
      </c>
      <c r="J26" s="4"/>
      <c r="K26" s="745"/>
      <c r="L26" s="746"/>
      <c r="M26" s="746"/>
      <c r="N26" s="745"/>
      <c r="O26" s="746"/>
      <c r="P26" s="746"/>
      <c r="Q26" s="746"/>
      <c r="R26" s="747"/>
      <c r="S26" s="745"/>
      <c r="T26" s="746"/>
      <c r="U26" s="746"/>
      <c r="V26" s="1441">
        <v>8.6999999999999994E-3</v>
      </c>
      <c r="W26" s="1442">
        <v>7.6E-3</v>
      </c>
      <c r="X26" s="1442">
        <v>9.5999999999999992E-3</v>
      </c>
      <c r="Y26" s="1442">
        <v>9.1999999999999998E-3</v>
      </c>
      <c r="Z26" s="1443" t="e">
        <v>#N/A</v>
      </c>
      <c r="AA26" s="1441" t="s">
        <v>1189</v>
      </c>
      <c r="AB26" s="1442" t="s">
        <v>1189</v>
      </c>
      <c r="AC26" s="1442" t="s">
        <v>1189</v>
      </c>
      <c r="AD26" s="1442" t="s">
        <v>1189</v>
      </c>
      <c r="AE26" s="1443" t="s">
        <v>1189</v>
      </c>
      <c r="AF26" s="745"/>
      <c r="AG26" s="746"/>
      <c r="AH26" s="746"/>
      <c r="AI26" s="746"/>
      <c r="AJ26" s="747"/>
    </row>
    <row r="27" spans="2:36">
      <c r="B27" s="738" t="s">
        <v>1190</v>
      </c>
      <c r="C27" s="246"/>
      <c r="D27" s="246"/>
      <c r="E27" s="246"/>
      <c r="F27" s="246"/>
      <c r="G27" s="247"/>
      <c r="H27" s="4"/>
      <c r="I27" s="744" t="s">
        <v>1191</v>
      </c>
      <c r="J27" s="4"/>
      <c r="K27" s="745"/>
      <c r="L27" s="746"/>
      <c r="M27" s="746"/>
      <c r="N27" s="745"/>
      <c r="O27" s="746"/>
      <c r="P27" s="746"/>
      <c r="Q27" s="746"/>
      <c r="R27" s="747"/>
      <c r="S27" s="745"/>
      <c r="T27" s="746"/>
      <c r="U27" s="746"/>
      <c r="V27" s="745" t="e">
        <v>#N/A</v>
      </c>
      <c r="W27" s="746" t="e">
        <v>#N/A</v>
      </c>
      <c r="X27" s="746" t="e">
        <v>#N/A</v>
      </c>
      <c r="Y27" s="746" t="e">
        <v>#N/A</v>
      </c>
      <c r="Z27" s="747" t="e">
        <v>#N/A</v>
      </c>
      <c r="AA27" s="745" t="s">
        <v>1192</v>
      </c>
      <c r="AB27" s="746" t="s">
        <v>1192</v>
      </c>
      <c r="AC27" s="746" t="s">
        <v>1192</v>
      </c>
      <c r="AD27" s="746" t="s">
        <v>1192</v>
      </c>
      <c r="AE27" s="747" t="s">
        <v>1193</v>
      </c>
      <c r="AF27" s="745"/>
      <c r="AG27" s="746"/>
      <c r="AH27" s="746"/>
      <c r="AI27" s="746"/>
      <c r="AJ27" s="747"/>
    </row>
    <row r="28" spans="2:36">
      <c r="B28" s="738" t="s">
        <v>1194</v>
      </c>
      <c r="C28" s="246"/>
      <c r="D28" s="246"/>
      <c r="E28" s="246"/>
      <c r="F28" s="246"/>
      <c r="G28" s="247"/>
      <c r="H28" s="4"/>
      <c r="I28" s="744"/>
      <c r="J28" s="4"/>
      <c r="K28" s="745"/>
      <c r="L28" s="746"/>
      <c r="M28" s="746"/>
      <c r="N28" s="745"/>
      <c r="O28" s="746"/>
      <c r="P28" s="746"/>
      <c r="Q28" s="746"/>
      <c r="R28" s="747"/>
      <c r="S28" s="745"/>
      <c r="T28" s="746"/>
      <c r="U28" s="746"/>
      <c r="V28" s="745"/>
      <c r="W28" s="746"/>
      <c r="X28" s="746"/>
      <c r="Y28" s="746"/>
      <c r="Z28" s="747"/>
      <c r="AA28" s="745"/>
      <c r="AB28" s="746"/>
      <c r="AC28" s="746"/>
      <c r="AD28" s="746"/>
      <c r="AE28" s="747"/>
      <c r="AF28" s="745"/>
      <c r="AG28" s="746"/>
      <c r="AH28" s="746"/>
      <c r="AI28" s="746"/>
      <c r="AJ28" s="747"/>
    </row>
    <row r="29" spans="2:36">
      <c r="B29" s="738" t="s">
        <v>1195</v>
      </c>
      <c r="C29" s="246"/>
      <c r="D29" s="246"/>
      <c r="E29" s="246"/>
      <c r="F29" s="246"/>
      <c r="G29" s="247"/>
      <c r="H29" s="4"/>
      <c r="I29" s="744"/>
      <c r="J29" s="4"/>
      <c r="K29" s="745"/>
      <c r="L29" s="746"/>
      <c r="M29" s="746"/>
      <c r="N29" s="745"/>
      <c r="O29" s="746"/>
      <c r="P29" s="746"/>
      <c r="Q29" s="746"/>
      <c r="R29" s="747"/>
      <c r="S29" s="745"/>
      <c r="T29" s="746"/>
      <c r="U29" s="746"/>
      <c r="V29" s="745"/>
      <c r="W29" s="746"/>
      <c r="X29" s="746"/>
      <c r="Y29" s="746"/>
      <c r="Z29" s="747"/>
      <c r="AA29" s="745"/>
      <c r="AB29" s="746"/>
      <c r="AC29" s="746"/>
      <c r="AD29" s="746"/>
      <c r="AE29" s="747"/>
      <c r="AF29" s="745"/>
      <c r="AG29" s="746"/>
      <c r="AH29" s="746"/>
      <c r="AI29" s="746"/>
      <c r="AJ29" s="747"/>
    </row>
    <row r="30" spans="2:36">
      <c r="B30" s="738" t="s">
        <v>1196</v>
      </c>
      <c r="C30" s="246"/>
      <c r="D30" s="246"/>
      <c r="E30" s="246"/>
      <c r="F30" s="246"/>
      <c r="G30" s="247"/>
      <c r="H30" s="4"/>
      <c r="I30" s="744"/>
      <c r="J30" s="4"/>
      <c r="K30" s="745"/>
      <c r="L30" s="746"/>
      <c r="M30" s="746"/>
      <c r="N30" s="745"/>
      <c r="O30" s="746"/>
      <c r="P30" s="746"/>
      <c r="Q30" s="746"/>
      <c r="R30" s="747"/>
      <c r="S30" s="745"/>
      <c r="T30" s="746"/>
      <c r="U30" s="746"/>
      <c r="V30" s="745"/>
      <c r="W30" s="746"/>
      <c r="X30" s="746"/>
      <c r="Y30" s="746"/>
      <c r="Z30" s="747"/>
      <c r="AA30" s="745"/>
      <c r="AB30" s="746"/>
      <c r="AC30" s="746"/>
      <c r="AD30" s="746"/>
      <c r="AE30" s="747"/>
      <c r="AF30" s="745"/>
      <c r="AG30" s="746"/>
      <c r="AH30" s="746"/>
      <c r="AI30" s="746"/>
      <c r="AJ30" s="747"/>
    </row>
    <row r="31" spans="2:36">
      <c r="B31" s="738" t="s">
        <v>1197</v>
      </c>
      <c r="C31" s="246"/>
      <c r="D31" s="246"/>
      <c r="E31" s="246"/>
      <c r="F31" s="246"/>
      <c r="G31" s="247"/>
      <c r="H31" s="4"/>
      <c r="I31" s="744"/>
      <c r="J31" s="4"/>
      <c r="K31" s="745"/>
      <c r="L31" s="746"/>
      <c r="M31" s="746"/>
      <c r="N31" s="745"/>
      <c r="O31" s="746"/>
      <c r="P31" s="746"/>
      <c r="Q31" s="746"/>
      <c r="R31" s="747"/>
      <c r="S31" s="745"/>
      <c r="T31" s="746"/>
      <c r="U31" s="746"/>
      <c r="V31" s="745"/>
      <c r="W31" s="746"/>
      <c r="X31" s="746"/>
      <c r="Y31" s="746"/>
      <c r="Z31" s="747"/>
      <c r="AA31" s="745"/>
      <c r="AB31" s="746"/>
      <c r="AC31" s="746"/>
      <c r="AD31" s="746"/>
      <c r="AE31" s="747"/>
      <c r="AF31" s="745"/>
      <c r="AG31" s="746"/>
      <c r="AH31" s="746"/>
      <c r="AI31" s="746"/>
      <c r="AJ31" s="747"/>
    </row>
    <row r="32" spans="2:36">
      <c r="B32" s="738" t="s">
        <v>1198</v>
      </c>
      <c r="C32" s="246"/>
      <c r="D32" s="246"/>
      <c r="E32" s="246"/>
      <c r="F32" s="246"/>
      <c r="G32" s="247"/>
      <c r="H32" s="4"/>
      <c r="I32" s="744"/>
      <c r="J32" s="4"/>
      <c r="K32" s="745"/>
      <c r="L32" s="746"/>
      <c r="M32" s="746"/>
      <c r="N32" s="745"/>
      <c r="O32" s="746"/>
      <c r="P32" s="746"/>
      <c r="Q32" s="746"/>
      <c r="R32" s="747"/>
      <c r="S32" s="745"/>
      <c r="T32" s="746"/>
      <c r="U32" s="746"/>
      <c r="V32" s="745"/>
      <c r="W32" s="746"/>
      <c r="X32" s="746"/>
      <c r="Y32" s="746"/>
      <c r="Z32" s="747"/>
      <c r="AA32" s="745"/>
      <c r="AB32" s="746"/>
      <c r="AC32" s="746"/>
      <c r="AD32" s="746"/>
      <c r="AE32" s="747"/>
      <c r="AF32" s="745"/>
      <c r="AG32" s="746"/>
      <c r="AH32" s="746"/>
      <c r="AI32" s="746"/>
      <c r="AJ32" s="747"/>
    </row>
    <row r="33" spans="2:36">
      <c r="B33" s="738" t="s">
        <v>1199</v>
      </c>
      <c r="C33" s="246"/>
      <c r="D33" s="246"/>
      <c r="E33" s="246"/>
      <c r="F33" s="246"/>
      <c r="G33" s="247"/>
      <c r="H33" s="4"/>
      <c r="I33" s="744"/>
      <c r="J33" s="4"/>
      <c r="K33" s="748"/>
      <c r="L33" s="749"/>
      <c r="M33" s="749"/>
      <c r="N33" s="748"/>
      <c r="O33" s="749"/>
      <c r="P33" s="749"/>
      <c r="Q33" s="749"/>
      <c r="R33" s="750"/>
      <c r="S33" s="748"/>
      <c r="T33" s="749"/>
      <c r="U33" s="749"/>
      <c r="V33" s="748"/>
      <c r="W33" s="749"/>
      <c r="X33" s="749"/>
      <c r="Y33" s="749"/>
      <c r="Z33" s="750"/>
      <c r="AA33" s="748"/>
      <c r="AB33" s="749"/>
      <c r="AC33" s="749"/>
      <c r="AD33" s="749"/>
      <c r="AE33" s="750"/>
      <c r="AF33" s="748"/>
      <c r="AG33" s="749"/>
      <c r="AH33" s="749"/>
      <c r="AI33" s="749"/>
      <c r="AJ33" s="750"/>
    </row>
    <row r="34" spans="2:36" s="67" customFormat="1"/>
    <row r="35" spans="2:36" s="67" customFormat="1"/>
    <row r="36" spans="2:36" ht="12.75">
      <c r="B36" s="735" t="s">
        <v>1200</v>
      </c>
      <c r="C36" s="738" t="s">
        <v>1201</v>
      </c>
      <c r="D36" s="246"/>
      <c r="E36" s="246"/>
      <c r="F36" s="246"/>
      <c r="G36" s="246"/>
      <c r="H36" s="246"/>
      <c r="I36" s="247"/>
    </row>
    <row r="38" spans="2:36">
      <c r="B38" s="738" t="s">
        <v>1202</v>
      </c>
      <c r="C38" s="739"/>
      <c r="D38" s="739"/>
      <c r="E38" s="739"/>
      <c r="F38" s="739"/>
      <c r="G38" s="740"/>
      <c r="H38" s="4"/>
      <c r="I38" s="744" t="s">
        <v>1185</v>
      </c>
      <c r="J38" s="4"/>
      <c r="K38" s="741"/>
      <c r="L38" s="742"/>
      <c r="M38" s="742"/>
      <c r="N38" s="741"/>
      <c r="O38" s="742"/>
      <c r="P38" s="742"/>
      <c r="Q38" s="742"/>
      <c r="R38" s="743"/>
      <c r="S38" s="741"/>
      <c r="T38" s="742"/>
      <c r="U38" s="742"/>
      <c r="V38" s="1450">
        <v>0</v>
      </c>
      <c r="W38" s="1451">
        <v>0</v>
      </c>
      <c r="X38" s="1451">
        <v>1</v>
      </c>
      <c r="Y38" s="1451">
        <v>0</v>
      </c>
      <c r="Z38" s="1452" t="e">
        <v>#N/A</v>
      </c>
      <c r="AA38" s="1450">
        <v>0</v>
      </c>
      <c r="AB38" s="1451">
        <v>0</v>
      </c>
      <c r="AC38" s="1451">
        <v>0</v>
      </c>
      <c r="AD38" s="1451">
        <v>0</v>
      </c>
      <c r="AE38" s="1452">
        <v>0</v>
      </c>
      <c r="AF38" s="741"/>
      <c r="AG38" s="742"/>
      <c r="AH38" s="742"/>
      <c r="AI38" s="742"/>
      <c r="AJ38" s="743"/>
    </row>
    <row r="39" spans="2:36">
      <c r="B39" s="738" t="s">
        <v>1203</v>
      </c>
      <c r="C39" s="246"/>
      <c r="D39" s="246"/>
      <c r="E39" s="246"/>
      <c r="F39" s="246"/>
      <c r="G39" s="247"/>
      <c r="H39" s="4"/>
      <c r="I39" s="744" t="s">
        <v>1185</v>
      </c>
      <c r="J39" s="4"/>
      <c r="K39" s="745"/>
      <c r="L39" s="746"/>
      <c r="M39" s="746"/>
      <c r="N39" s="745"/>
      <c r="O39" s="746"/>
      <c r="P39" s="746"/>
      <c r="Q39" s="746"/>
      <c r="R39" s="747"/>
      <c r="S39" s="745"/>
      <c r="T39" s="746"/>
      <c r="U39" s="746"/>
      <c r="V39" s="1446">
        <v>0</v>
      </c>
      <c r="W39" s="1444">
        <v>0</v>
      </c>
      <c r="X39" s="1444">
        <v>0</v>
      </c>
      <c r="Y39" s="1444">
        <v>0</v>
      </c>
      <c r="Z39" s="1445" t="e">
        <v>#N/A</v>
      </c>
      <c r="AA39" s="1446">
        <v>0</v>
      </c>
      <c r="AB39" s="1444">
        <v>0</v>
      </c>
      <c r="AC39" s="1444">
        <v>0</v>
      </c>
      <c r="AD39" s="1444">
        <v>0</v>
      </c>
      <c r="AE39" s="1445">
        <v>0</v>
      </c>
      <c r="AF39" s="745"/>
      <c r="AG39" s="746"/>
      <c r="AH39" s="746"/>
      <c r="AI39" s="746"/>
      <c r="AJ39" s="747"/>
    </row>
    <row r="40" spans="2:36">
      <c r="B40" s="738" t="s">
        <v>1204</v>
      </c>
      <c r="C40" s="246"/>
      <c r="D40" s="246"/>
      <c r="E40" s="246"/>
      <c r="F40" s="246"/>
      <c r="G40" s="247"/>
      <c r="H40" s="4"/>
      <c r="I40" s="744" t="s">
        <v>1205</v>
      </c>
      <c r="J40" s="4"/>
      <c r="K40" s="745"/>
      <c r="L40" s="746"/>
      <c r="M40" s="746"/>
      <c r="N40" s="745"/>
      <c r="O40" s="746"/>
      <c r="P40" s="746"/>
      <c r="Q40" s="746"/>
      <c r="R40" s="747"/>
      <c r="S40" s="745"/>
      <c r="T40" s="746"/>
      <c r="U40" s="746"/>
      <c r="V40" s="1446" t="s">
        <v>1206</v>
      </c>
      <c r="W40" s="1444" t="s">
        <v>1207</v>
      </c>
      <c r="X40" s="1444" t="s">
        <v>1207</v>
      </c>
      <c r="Y40" s="1444">
        <v>204.38</v>
      </c>
      <c r="Z40" s="1445" t="e">
        <v>#N/A</v>
      </c>
      <c r="AA40" s="1446" t="s">
        <v>1208</v>
      </c>
      <c r="AB40" s="1444" t="s">
        <v>1209</v>
      </c>
      <c r="AC40" s="1444" t="s">
        <v>1209</v>
      </c>
      <c r="AD40" s="1444">
        <v>0</v>
      </c>
      <c r="AE40" s="1445">
        <v>0</v>
      </c>
      <c r="AF40" s="745"/>
      <c r="AG40" s="746"/>
      <c r="AH40" s="746"/>
      <c r="AI40" s="746"/>
      <c r="AJ40" s="747"/>
    </row>
    <row r="41" spans="2:36">
      <c r="B41" s="738" t="s">
        <v>1210</v>
      </c>
      <c r="C41" s="246"/>
      <c r="D41" s="246"/>
      <c r="E41" s="246"/>
      <c r="F41" s="246"/>
      <c r="G41" s="247"/>
      <c r="H41" s="4"/>
      <c r="I41" s="744" t="s">
        <v>1185</v>
      </c>
      <c r="J41" s="4"/>
      <c r="K41" s="745"/>
      <c r="L41" s="746"/>
      <c r="M41" s="746"/>
      <c r="N41" s="745"/>
      <c r="O41" s="746"/>
      <c r="P41" s="746"/>
      <c r="Q41" s="746"/>
      <c r="R41" s="747"/>
      <c r="S41" s="745"/>
      <c r="T41" s="746"/>
      <c r="U41" s="746"/>
      <c r="V41" s="1441">
        <v>0</v>
      </c>
      <c r="W41" s="1442">
        <v>0</v>
      </c>
      <c r="X41" s="1442">
        <v>0</v>
      </c>
      <c r="Y41" s="1442">
        <v>0</v>
      </c>
      <c r="Z41" s="1443" t="e">
        <v>#N/A</v>
      </c>
      <c r="AA41" s="1441">
        <v>0</v>
      </c>
      <c r="AB41" s="1442">
        <v>0</v>
      </c>
      <c r="AC41" s="1442">
        <v>0</v>
      </c>
      <c r="AD41" s="1442">
        <v>0</v>
      </c>
      <c r="AE41" s="1443">
        <v>0</v>
      </c>
      <c r="AF41" s="745"/>
      <c r="AG41" s="746"/>
      <c r="AH41" s="746"/>
      <c r="AI41" s="746"/>
      <c r="AJ41" s="747"/>
    </row>
    <row r="42" spans="2:36">
      <c r="B42" s="738" t="s">
        <v>1211</v>
      </c>
      <c r="C42" s="246"/>
      <c r="D42" s="246"/>
      <c r="E42" s="246"/>
      <c r="F42" s="246"/>
      <c r="G42" s="247"/>
      <c r="H42" s="4"/>
      <c r="I42" s="744" t="s">
        <v>1212</v>
      </c>
      <c r="J42" s="4"/>
      <c r="K42" s="745"/>
      <c r="L42" s="746"/>
      <c r="M42" s="746"/>
      <c r="N42" s="745"/>
      <c r="O42" s="746"/>
      <c r="P42" s="746"/>
      <c r="Q42" s="746"/>
      <c r="R42" s="747"/>
      <c r="S42" s="745"/>
      <c r="T42" s="746"/>
      <c r="U42" s="746"/>
      <c r="V42" s="745">
        <v>0</v>
      </c>
      <c r="W42" s="746">
        <v>0</v>
      </c>
      <c r="X42" s="746">
        <v>0</v>
      </c>
      <c r="Y42" s="746">
        <v>0</v>
      </c>
      <c r="Z42" s="747" t="e">
        <v>#N/A</v>
      </c>
      <c r="AA42" s="745">
        <v>0</v>
      </c>
      <c r="AB42" s="746">
        <v>0</v>
      </c>
      <c r="AC42" s="746">
        <v>0</v>
      </c>
      <c r="AD42" s="746">
        <v>0</v>
      </c>
      <c r="AE42" s="747">
        <v>0</v>
      </c>
      <c r="AF42" s="745"/>
      <c r="AG42" s="746"/>
      <c r="AH42" s="746"/>
      <c r="AI42" s="746"/>
      <c r="AJ42" s="747"/>
    </row>
    <row r="43" spans="2:36">
      <c r="B43" s="738" t="s">
        <v>1195</v>
      </c>
      <c r="C43" s="246"/>
      <c r="D43" s="246"/>
      <c r="E43" s="246"/>
      <c r="F43" s="246"/>
      <c r="G43" s="247"/>
      <c r="H43" s="4"/>
      <c r="I43" s="744"/>
      <c r="J43" s="4"/>
      <c r="K43" s="745"/>
      <c r="L43" s="746"/>
      <c r="M43" s="746"/>
      <c r="N43" s="745"/>
      <c r="O43" s="746"/>
      <c r="P43" s="746"/>
      <c r="Q43" s="746"/>
      <c r="R43" s="747"/>
      <c r="S43" s="745"/>
      <c r="T43" s="746"/>
      <c r="U43" s="746"/>
      <c r="V43" s="745"/>
      <c r="W43" s="746"/>
      <c r="X43" s="746"/>
      <c r="Y43" s="746"/>
      <c r="Z43" s="747"/>
      <c r="AA43" s="745"/>
      <c r="AB43" s="746"/>
      <c r="AC43" s="746"/>
      <c r="AD43" s="746"/>
      <c r="AE43" s="747"/>
      <c r="AF43" s="745"/>
      <c r="AG43" s="746"/>
      <c r="AH43" s="746"/>
      <c r="AI43" s="746"/>
      <c r="AJ43" s="747"/>
    </row>
    <row r="44" spans="2:36">
      <c r="B44" s="738" t="s">
        <v>1196</v>
      </c>
      <c r="C44" s="246"/>
      <c r="D44" s="246"/>
      <c r="E44" s="246"/>
      <c r="F44" s="246"/>
      <c r="G44" s="247"/>
      <c r="H44" s="4"/>
      <c r="I44" s="744"/>
      <c r="J44" s="4"/>
      <c r="K44" s="745"/>
      <c r="L44" s="746"/>
      <c r="M44" s="746"/>
      <c r="N44" s="745"/>
      <c r="O44" s="746"/>
      <c r="P44" s="746"/>
      <c r="Q44" s="746"/>
      <c r="R44" s="747"/>
      <c r="S44" s="745"/>
      <c r="T44" s="746"/>
      <c r="U44" s="746"/>
      <c r="V44" s="745"/>
      <c r="W44" s="746"/>
      <c r="X44" s="746"/>
      <c r="Y44" s="746"/>
      <c r="Z44" s="747"/>
      <c r="AA44" s="745"/>
      <c r="AB44" s="746"/>
      <c r="AC44" s="746"/>
      <c r="AD44" s="746"/>
      <c r="AE44" s="747"/>
      <c r="AF44" s="745"/>
      <c r="AG44" s="746"/>
      <c r="AH44" s="746"/>
      <c r="AI44" s="746"/>
      <c r="AJ44" s="747"/>
    </row>
    <row r="45" spans="2:36">
      <c r="B45" s="738" t="s">
        <v>1197</v>
      </c>
      <c r="C45" s="246"/>
      <c r="D45" s="246"/>
      <c r="E45" s="246"/>
      <c r="F45" s="246"/>
      <c r="G45" s="247"/>
      <c r="H45" s="4"/>
      <c r="I45" s="744"/>
      <c r="J45" s="4"/>
      <c r="K45" s="745"/>
      <c r="L45" s="746"/>
      <c r="M45" s="746"/>
      <c r="N45" s="745"/>
      <c r="O45" s="746"/>
      <c r="P45" s="746"/>
      <c r="Q45" s="746"/>
      <c r="R45" s="747"/>
      <c r="S45" s="745"/>
      <c r="T45" s="746"/>
      <c r="U45" s="746"/>
      <c r="V45" s="745"/>
      <c r="W45" s="746"/>
      <c r="X45" s="746"/>
      <c r="Y45" s="746"/>
      <c r="Z45" s="747"/>
      <c r="AA45" s="745"/>
      <c r="AB45" s="746"/>
      <c r="AC45" s="746"/>
      <c r="AD45" s="746"/>
      <c r="AE45" s="747"/>
      <c r="AF45" s="745"/>
      <c r="AG45" s="746"/>
      <c r="AH45" s="746"/>
      <c r="AI45" s="746"/>
      <c r="AJ45" s="747"/>
    </row>
    <row r="46" spans="2:36">
      <c r="B46" s="738" t="s">
        <v>1198</v>
      </c>
      <c r="C46" s="246"/>
      <c r="D46" s="246"/>
      <c r="E46" s="246"/>
      <c r="F46" s="246"/>
      <c r="G46" s="247"/>
      <c r="H46" s="4"/>
      <c r="I46" s="744"/>
      <c r="J46" s="4"/>
      <c r="K46" s="745"/>
      <c r="L46" s="746"/>
      <c r="M46" s="746"/>
      <c r="N46" s="745"/>
      <c r="O46" s="746"/>
      <c r="P46" s="746"/>
      <c r="Q46" s="746"/>
      <c r="R46" s="747"/>
      <c r="S46" s="745"/>
      <c r="T46" s="746"/>
      <c r="U46" s="746"/>
      <c r="V46" s="745"/>
      <c r="W46" s="746"/>
      <c r="X46" s="746"/>
      <c r="Y46" s="746"/>
      <c r="Z46" s="747"/>
      <c r="AA46" s="745"/>
      <c r="AB46" s="746"/>
      <c r="AC46" s="746"/>
      <c r="AD46" s="746"/>
      <c r="AE46" s="747"/>
      <c r="AF46" s="745"/>
      <c r="AG46" s="746"/>
      <c r="AH46" s="746"/>
      <c r="AI46" s="746"/>
      <c r="AJ46" s="747"/>
    </row>
    <row r="47" spans="2:36">
      <c r="B47" s="738" t="s">
        <v>1199</v>
      </c>
      <c r="C47" s="246"/>
      <c r="D47" s="246"/>
      <c r="E47" s="246"/>
      <c r="F47" s="246"/>
      <c r="G47" s="247"/>
      <c r="H47" s="4"/>
      <c r="I47" s="744"/>
      <c r="J47" s="4"/>
      <c r="K47" s="748"/>
      <c r="L47" s="749"/>
      <c r="M47" s="749"/>
      <c r="N47" s="748"/>
      <c r="O47" s="749"/>
      <c r="P47" s="749"/>
      <c r="Q47" s="749"/>
      <c r="R47" s="750"/>
      <c r="S47" s="748"/>
      <c r="T47" s="749"/>
      <c r="U47" s="749"/>
      <c r="V47" s="748"/>
      <c r="W47" s="749"/>
      <c r="X47" s="749"/>
      <c r="Y47" s="749"/>
      <c r="Z47" s="750"/>
      <c r="AA47" s="748"/>
      <c r="AB47" s="749"/>
      <c r="AC47" s="749"/>
      <c r="AD47" s="749"/>
      <c r="AE47" s="750"/>
      <c r="AF47" s="748"/>
      <c r="AG47" s="749"/>
      <c r="AH47" s="749"/>
      <c r="AI47" s="749"/>
      <c r="AJ47" s="750"/>
    </row>
    <row r="50" spans="1:36" ht="12.75">
      <c r="B50" s="735" t="s">
        <v>1213</v>
      </c>
      <c r="C50" s="738" t="s">
        <v>1214</v>
      </c>
      <c r="D50" s="246"/>
      <c r="E50" s="246"/>
      <c r="F50" s="246"/>
      <c r="G50" s="246"/>
      <c r="H50" s="246"/>
      <c r="I50" s="247"/>
    </row>
    <row r="52" spans="1:36">
      <c r="B52" s="738" t="s">
        <v>1215</v>
      </c>
      <c r="C52" s="739"/>
      <c r="D52" s="739"/>
      <c r="E52" s="739"/>
      <c r="F52" s="739"/>
      <c r="G52" s="740"/>
      <c r="H52" s="4"/>
      <c r="I52" s="744" t="s">
        <v>1216</v>
      </c>
      <c r="J52" s="4"/>
      <c r="K52" s="741"/>
      <c r="L52" s="742"/>
      <c r="M52" s="742"/>
      <c r="N52" s="741"/>
      <c r="O52" s="742"/>
      <c r="P52" s="742"/>
      <c r="Q52" s="742"/>
      <c r="R52" s="743"/>
      <c r="S52" s="741"/>
      <c r="T52" s="742"/>
      <c r="U52" s="742"/>
      <c r="V52" s="1438">
        <v>90</v>
      </c>
      <c r="W52" s="1439">
        <v>178</v>
      </c>
      <c r="X52" s="1439">
        <v>295</v>
      </c>
      <c r="Y52" s="1439">
        <v>384</v>
      </c>
      <c r="Z52" s="1440" t="e">
        <v>#N/A</v>
      </c>
      <c r="AA52" s="1438">
        <v>75</v>
      </c>
      <c r="AB52" s="1439">
        <v>272</v>
      </c>
      <c r="AC52" s="1439">
        <v>378</v>
      </c>
      <c r="AD52" s="1439">
        <v>536</v>
      </c>
      <c r="AE52" s="1440">
        <v>608</v>
      </c>
      <c r="AF52" s="741"/>
      <c r="AG52" s="742"/>
      <c r="AH52" s="742"/>
      <c r="AI52" s="742"/>
      <c r="AJ52" s="743"/>
    </row>
    <row r="53" spans="1:36">
      <c r="B53" s="738" t="s">
        <v>1217</v>
      </c>
      <c r="C53" s="246"/>
      <c r="D53" s="246"/>
      <c r="E53" s="246"/>
      <c r="F53" s="246"/>
      <c r="G53" s="247"/>
      <c r="H53" s="4"/>
      <c r="I53" s="744" t="s">
        <v>1185</v>
      </c>
      <c r="J53" s="4"/>
      <c r="K53" s="745"/>
      <c r="L53" s="746"/>
      <c r="M53" s="746"/>
      <c r="N53" s="745"/>
      <c r="O53" s="746"/>
      <c r="P53" s="746"/>
      <c r="Q53" s="746"/>
      <c r="R53" s="747"/>
      <c r="S53" s="745"/>
      <c r="T53" s="746"/>
      <c r="U53" s="746"/>
      <c r="V53" s="1441">
        <v>838</v>
      </c>
      <c r="W53" s="1442">
        <v>1032</v>
      </c>
      <c r="X53" s="1442">
        <v>1057</v>
      </c>
      <c r="Y53" s="1442">
        <v>1254</v>
      </c>
      <c r="Z53" s="1443" t="e">
        <v>#N/A</v>
      </c>
      <c r="AA53" s="2058">
        <v>1000</v>
      </c>
      <c r="AB53" s="2059">
        <v>1000</v>
      </c>
      <c r="AC53" s="2059">
        <v>1000</v>
      </c>
      <c r="AD53" s="2059">
        <v>1000</v>
      </c>
      <c r="AE53" s="2060">
        <v>1000</v>
      </c>
      <c r="AF53" s="745"/>
      <c r="AG53" s="746"/>
      <c r="AH53" s="746"/>
      <c r="AI53" s="746"/>
      <c r="AJ53" s="747"/>
    </row>
    <row r="54" spans="1:36">
      <c r="B54" s="738" t="s">
        <v>1218</v>
      </c>
      <c r="C54" s="246"/>
      <c r="D54" s="246"/>
      <c r="E54" s="246"/>
      <c r="F54" s="246"/>
      <c r="G54" s="247"/>
      <c r="H54" s="4"/>
      <c r="I54" s="744" t="s">
        <v>1187</v>
      </c>
      <c r="J54" s="4"/>
      <c r="K54" s="745"/>
      <c r="L54" s="746"/>
      <c r="M54" s="746"/>
      <c r="N54" s="745"/>
      <c r="O54" s="746"/>
      <c r="P54" s="746"/>
      <c r="Q54" s="746"/>
      <c r="R54" s="747"/>
      <c r="S54" s="745"/>
      <c r="T54" s="746"/>
      <c r="U54" s="746"/>
      <c r="V54" s="745">
        <v>0.84</v>
      </c>
      <c r="W54" s="746">
        <v>0.91</v>
      </c>
      <c r="X54" s="746">
        <v>0.92</v>
      </c>
      <c r="Y54" s="746">
        <v>0.91</v>
      </c>
      <c r="Z54" s="747" t="e">
        <v>#N/A</v>
      </c>
      <c r="AA54" s="745" t="s">
        <v>1219</v>
      </c>
      <c r="AB54" s="746" t="s">
        <v>1219</v>
      </c>
      <c r="AC54" s="746" t="s">
        <v>1219</v>
      </c>
      <c r="AD54" s="746" t="s">
        <v>1219</v>
      </c>
      <c r="AE54" s="747" t="s">
        <v>1219</v>
      </c>
      <c r="AF54" s="745"/>
      <c r="AG54" s="746"/>
      <c r="AH54" s="746"/>
      <c r="AI54" s="746"/>
      <c r="AJ54" s="747"/>
    </row>
    <row r="55" spans="1:36">
      <c r="B55" s="738" t="s">
        <v>1220</v>
      </c>
      <c r="C55" s="246"/>
      <c r="D55" s="246"/>
      <c r="E55" s="246"/>
      <c r="F55" s="246"/>
      <c r="G55" s="247"/>
      <c r="H55" s="4"/>
      <c r="I55" s="744"/>
      <c r="J55" s="4"/>
      <c r="K55" s="745"/>
      <c r="L55" s="746"/>
      <c r="M55" s="746"/>
      <c r="N55" s="745"/>
      <c r="O55" s="746"/>
      <c r="P55" s="746"/>
      <c r="Q55" s="746"/>
      <c r="R55" s="747"/>
      <c r="S55" s="745"/>
      <c r="T55" s="746"/>
      <c r="U55" s="746"/>
      <c r="V55" s="745"/>
      <c r="W55" s="746"/>
      <c r="X55" s="746"/>
      <c r="Y55" s="746"/>
      <c r="Z55" s="747"/>
      <c r="AA55" s="745"/>
      <c r="AB55" s="746"/>
      <c r="AC55" s="746"/>
      <c r="AD55" s="746"/>
      <c r="AE55" s="747"/>
      <c r="AF55" s="745"/>
      <c r="AG55" s="746"/>
      <c r="AH55" s="746"/>
      <c r="AI55" s="746"/>
      <c r="AJ55" s="747"/>
    </row>
    <row r="56" spans="1:36">
      <c r="B56" s="738" t="s">
        <v>1194</v>
      </c>
      <c r="C56" s="246"/>
      <c r="D56" s="246"/>
      <c r="E56" s="246"/>
      <c r="F56" s="246"/>
      <c r="G56" s="247"/>
      <c r="H56" s="4"/>
      <c r="I56" s="744"/>
      <c r="J56" s="4"/>
      <c r="K56" s="745"/>
      <c r="L56" s="746"/>
      <c r="M56" s="746"/>
      <c r="N56" s="745"/>
      <c r="O56" s="746"/>
      <c r="P56" s="746"/>
      <c r="Q56" s="746"/>
      <c r="R56" s="747"/>
      <c r="S56" s="745"/>
      <c r="T56" s="746"/>
      <c r="U56" s="746"/>
      <c r="V56" s="745"/>
      <c r="W56" s="746"/>
      <c r="X56" s="746"/>
      <c r="Y56" s="746"/>
      <c r="Z56" s="747"/>
      <c r="AA56" s="745"/>
      <c r="AB56" s="746"/>
      <c r="AC56" s="746"/>
      <c r="AD56" s="746"/>
      <c r="AE56" s="747"/>
      <c r="AF56" s="745"/>
      <c r="AG56" s="746"/>
      <c r="AH56" s="746"/>
      <c r="AI56" s="746"/>
      <c r="AJ56" s="747"/>
    </row>
    <row r="57" spans="1:36">
      <c r="B57" s="738" t="s">
        <v>1195</v>
      </c>
      <c r="C57" s="246"/>
      <c r="D57" s="246"/>
      <c r="E57" s="246"/>
      <c r="F57" s="246"/>
      <c r="G57" s="247"/>
      <c r="H57" s="4"/>
      <c r="I57" s="744"/>
      <c r="J57" s="4"/>
      <c r="K57" s="745"/>
      <c r="L57" s="746"/>
      <c r="M57" s="746"/>
      <c r="N57" s="745"/>
      <c r="O57" s="746"/>
      <c r="P57" s="746"/>
      <c r="Q57" s="746"/>
      <c r="R57" s="747"/>
      <c r="S57" s="745"/>
      <c r="T57" s="746"/>
      <c r="U57" s="746"/>
      <c r="V57" s="745"/>
      <c r="W57" s="746"/>
      <c r="X57" s="746"/>
      <c r="Y57" s="746"/>
      <c r="Z57" s="747"/>
      <c r="AA57" s="745"/>
      <c r="AB57" s="746"/>
      <c r="AC57" s="746"/>
      <c r="AD57" s="746"/>
      <c r="AE57" s="747"/>
      <c r="AF57" s="745"/>
      <c r="AG57" s="746"/>
      <c r="AH57" s="746"/>
      <c r="AI57" s="746"/>
      <c r="AJ57" s="747"/>
    </row>
    <row r="58" spans="1:36">
      <c r="B58" s="738" t="s">
        <v>1196</v>
      </c>
      <c r="C58" s="246"/>
      <c r="D58" s="246"/>
      <c r="E58" s="246"/>
      <c r="F58" s="246"/>
      <c r="G58" s="247"/>
      <c r="H58" s="4"/>
      <c r="I58" s="744"/>
      <c r="J58" s="4"/>
      <c r="K58" s="745"/>
      <c r="L58" s="746"/>
      <c r="M58" s="746"/>
      <c r="N58" s="745"/>
      <c r="O58" s="746"/>
      <c r="P58" s="746"/>
      <c r="Q58" s="746"/>
      <c r="R58" s="747"/>
      <c r="S58" s="745"/>
      <c r="T58" s="746"/>
      <c r="U58" s="746"/>
      <c r="V58" s="745"/>
      <c r="W58" s="746"/>
      <c r="X58" s="746"/>
      <c r="Y58" s="746"/>
      <c r="Z58" s="747"/>
      <c r="AA58" s="745"/>
      <c r="AB58" s="746"/>
      <c r="AC58" s="746"/>
      <c r="AD58" s="746"/>
      <c r="AE58" s="747"/>
      <c r="AF58" s="745"/>
      <c r="AG58" s="746"/>
      <c r="AH58" s="746"/>
      <c r="AI58" s="746"/>
      <c r="AJ58" s="747"/>
    </row>
    <row r="59" spans="1:36">
      <c r="B59" s="738" t="s">
        <v>1197</v>
      </c>
      <c r="C59" s="246"/>
      <c r="D59" s="246"/>
      <c r="E59" s="246"/>
      <c r="F59" s="246"/>
      <c r="G59" s="247"/>
      <c r="H59" s="4"/>
      <c r="I59" s="744"/>
      <c r="J59" s="4"/>
      <c r="K59" s="745"/>
      <c r="L59" s="746"/>
      <c r="M59" s="746"/>
      <c r="N59" s="745"/>
      <c r="O59" s="746"/>
      <c r="P59" s="746"/>
      <c r="Q59" s="746"/>
      <c r="R59" s="747"/>
      <c r="S59" s="745"/>
      <c r="T59" s="746"/>
      <c r="U59" s="746"/>
      <c r="V59" s="745"/>
      <c r="W59" s="746"/>
      <c r="X59" s="746"/>
      <c r="Y59" s="746"/>
      <c r="Z59" s="747"/>
      <c r="AA59" s="745"/>
      <c r="AB59" s="746"/>
      <c r="AC59" s="746"/>
      <c r="AD59" s="746"/>
      <c r="AE59" s="747"/>
      <c r="AF59" s="745"/>
      <c r="AG59" s="746"/>
      <c r="AH59" s="746"/>
      <c r="AI59" s="746"/>
      <c r="AJ59" s="747"/>
    </row>
    <row r="60" spans="1:36">
      <c r="B60" s="738" t="s">
        <v>1198</v>
      </c>
      <c r="C60" s="246"/>
      <c r="D60" s="246"/>
      <c r="E60" s="246"/>
      <c r="F60" s="246"/>
      <c r="G60" s="247"/>
      <c r="H60" s="4"/>
      <c r="I60" s="744"/>
      <c r="J60" s="4"/>
      <c r="K60" s="745"/>
      <c r="L60" s="746"/>
      <c r="M60" s="746"/>
      <c r="N60" s="745"/>
      <c r="O60" s="746"/>
      <c r="P60" s="746"/>
      <c r="Q60" s="746"/>
      <c r="R60" s="747"/>
      <c r="S60" s="745"/>
      <c r="T60" s="746"/>
      <c r="U60" s="746"/>
      <c r="V60" s="745"/>
      <c r="W60" s="746"/>
      <c r="X60" s="746"/>
      <c r="Y60" s="746"/>
      <c r="Z60" s="747"/>
      <c r="AA60" s="745"/>
      <c r="AB60" s="746"/>
      <c r="AC60" s="746"/>
      <c r="AD60" s="746"/>
      <c r="AE60" s="747"/>
      <c r="AF60" s="745"/>
      <c r="AG60" s="746"/>
      <c r="AH60" s="746"/>
      <c r="AI60" s="746"/>
      <c r="AJ60" s="747"/>
    </row>
    <row r="61" spans="1:36">
      <c r="B61" s="738" t="s">
        <v>1199</v>
      </c>
      <c r="C61" s="246"/>
      <c r="D61" s="246"/>
      <c r="E61" s="246"/>
      <c r="F61" s="246"/>
      <c r="G61" s="247"/>
      <c r="H61" s="4"/>
      <c r="I61" s="744"/>
      <c r="J61" s="4"/>
      <c r="K61" s="748"/>
      <c r="L61" s="749"/>
      <c r="M61" s="749"/>
      <c r="N61" s="748"/>
      <c r="O61" s="749"/>
      <c r="P61" s="749"/>
      <c r="Q61" s="749"/>
      <c r="R61" s="750"/>
      <c r="S61" s="748"/>
      <c r="T61" s="749"/>
      <c r="U61" s="749"/>
      <c r="V61" s="748"/>
      <c r="W61" s="749"/>
      <c r="X61" s="749"/>
      <c r="Y61" s="749"/>
      <c r="Z61" s="750"/>
      <c r="AA61" s="748"/>
      <c r="AB61" s="749"/>
      <c r="AC61" s="749"/>
      <c r="AD61" s="749"/>
      <c r="AE61" s="750"/>
      <c r="AF61" s="748"/>
      <c r="AG61" s="749"/>
      <c r="AH61" s="749"/>
      <c r="AI61" s="749"/>
      <c r="AJ61" s="750"/>
    </row>
    <row r="62" spans="1:36">
      <c r="A62" s="67"/>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row>
    <row r="63" spans="1:36">
      <c r="A63" s="67"/>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row>
    <row r="64" spans="1:36" ht="12.75">
      <c r="B64" s="735" t="s">
        <v>1221</v>
      </c>
      <c r="C64" s="738" t="s">
        <v>1222</v>
      </c>
      <c r="D64" s="246"/>
      <c r="E64" s="246"/>
      <c r="F64" s="246"/>
      <c r="G64" s="246"/>
      <c r="H64" s="246"/>
      <c r="I64" s="247"/>
    </row>
    <row r="66" spans="2:36">
      <c r="B66" s="738" t="s">
        <v>1223</v>
      </c>
      <c r="C66" s="246"/>
      <c r="D66" s="246"/>
      <c r="E66" s="246"/>
      <c r="F66" s="246"/>
      <c r="G66" s="247"/>
      <c r="H66" s="4"/>
      <c r="I66" s="744" t="s">
        <v>1224</v>
      </c>
      <c r="J66" s="4"/>
      <c r="K66" s="745"/>
      <c r="L66" s="746"/>
      <c r="M66" s="746"/>
      <c r="N66" s="745"/>
      <c r="O66" s="746"/>
      <c r="P66" s="746"/>
      <c r="Q66" s="746"/>
      <c r="R66" s="747"/>
      <c r="S66" s="745"/>
      <c r="T66" s="746"/>
      <c r="U66" s="742"/>
      <c r="V66" s="1438">
        <v>0</v>
      </c>
      <c r="W66" s="1439">
        <v>0</v>
      </c>
      <c r="X66" s="1439">
        <v>5.3</v>
      </c>
      <c r="Y66" s="1439">
        <v>21.6</v>
      </c>
      <c r="Z66" s="1440" t="e">
        <v>#N/A</v>
      </c>
      <c r="AA66" s="1438">
        <v>9</v>
      </c>
      <c r="AB66" s="1439">
        <v>18</v>
      </c>
      <c r="AC66" s="1439">
        <v>27</v>
      </c>
      <c r="AD66" s="1439">
        <v>36</v>
      </c>
      <c r="AE66" s="1440">
        <v>48</v>
      </c>
      <c r="AF66" s="741"/>
      <c r="AG66" s="742"/>
      <c r="AH66" s="742"/>
      <c r="AI66" s="742"/>
      <c r="AJ66" s="743"/>
    </row>
    <row r="67" spans="2:36">
      <c r="B67" s="738" t="s">
        <v>1225</v>
      </c>
      <c r="C67" s="739"/>
      <c r="D67" s="739"/>
      <c r="E67" s="739"/>
      <c r="F67" s="739"/>
      <c r="G67" s="740"/>
      <c r="H67" s="4"/>
      <c r="I67" s="744" t="s">
        <v>1226</v>
      </c>
      <c r="J67" s="4"/>
      <c r="K67" s="741"/>
      <c r="L67" s="742"/>
      <c r="M67" s="742"/>
      <c r="N67" s="741"/>
      <c r="O67" s="742"/>
      <c r="P67" s="742"/>
      <c r="Q67" s="742"/>
      <c r="R67" s="743"/>
      <c r="S67" s="741"/>
      <c r="T67" s="742"/>
      <c r="U67" s="746"/>
      <c r="V67" s="1441">
        <v>22.7</v>
      </c>
      <c r="W67" s="1442">
        <v>148.9</v>
      </c>
      <c r="X67" s="1442">
        <v>249.9</v>
      </c>
      <c r="Y67" s="1442">
        <v>322.3</v>
      </c>
      <c r="Z67" s="1443" t="e">
        <v>#N/A</v>
      </c>
      <c r="AA67" s="2058">
        <v>75</v>
      </c>
      <c r="AB67" s="2073">
        <v>150</v>
      </c>
      <c r="AC67" s="2073">
        <v>226</v>
      </c>
      <c r="AD67" s="2073">
        <v>301</v>
      </c>
      <c r="AE67" s="2060">
        <v>390</v>
      </c>
      <c r="AF67" s="745"/>
      <c r="AG67" s="746"/>
      <c r="AH67" s="746"/>
      <c r="AI67" s="746"/>
      <c r="AJ67" s="747"/>
    </row>
    <row r="68" spans="2:36">
      <c r="B68" s="738" t="s">
        <v>1227</v>
      </c>
      <c r="C68" s="246"/>
      <c r="D68" s="246"/>
      <c r="E68" s="246"/>
      <c r="F68" s="246"/>
      <c r="G68" s="247"/>
      <c r="H68" s="4"/>
      <c r="I68" s="744" t="s">
        <v>1187</v>
      </c>
      <c r="J68" s="4"/>
      <c r="K68" s="745"/>
      <c r="L68" s="746"/>
      <c r="M68" s="746"/>
      <c r="N68" s="745"/>
      <c r="O68" s="746"/>
      <c r="P68" s="746"/>
      <c r="Q68" s="746"/>
      <c r="R68" s="747"/>
      <c r="S68" s="745"/>
      <c r="T68" s="746"/>
      <c r="U68" s="746"/>
      <c r="V68" s="745" t="e">
        <v>#N/A</v>
      </c>
      <c r="W68" s="746" t="e">
        <v>#N/A</v>
      </c>
      <c r="X68" s="746" t="e">
        <v>#N/A</v>
      </c>
      <c r="Y68" s="746">
        <v>0.98</v>
      </c>
      <c r="Z68" s="747" t="e">
        <v>#N/A</v>
      </c>
      <c r="AA68" s="745" t="s">
        <v>1228</v>
      </c>
      <c r="AB68" s="746" t="s">
        <v>1228</v>
      </c>
      <c r="AC68" s="746" t="s">
        <v>1228</v>
      </c>
      <c r="AD68" s="746" t="s">
        <v>1228</v>
      </c>
      <c r="AE68" s="747" t="s">
        <v>1228</v>
      </c>
      <c r="AF68" s="745"/>
      <c r="AG68" s="746"/>
      <c r="AH68" s="746"/>
      <c r="AI68" s="746"/>
      <c r="AJ68" s="747"/>
    </row>
    <row r="69" spans="2:36">
      <c r="B69" s="738" t="s">
        <v>1229</v>
      </c>
      <c r="C69" s="246"/>
      <c r="D69" s="246"/>
      <c r="E69" s="246"/>
      <c r="F69" s="246"/>
      <c r="G69" s="247"/>
      <c r="H69" s="4"/>
      <c r="I69" s="744" t="s">
        <v>1230</v>
      </c>
      <c r="J69" s="4"/>
      <c r="K69" s="745"/>
      <c r="L69" s="746"/>
      <c r="M69" s="746"/>
      <c r="N69" s="745"/>
      <c r="O69" s="746"/>
      <c r="P69" s="746"/>
      <c r="Q69" s="746"/>
      <c r="R69" s="747"/>
      <c r="S69" s="745"/>
      <c r="T69" s="746"/>
      <c r="U69" s="746"/>
      <c r="V69" s="745" t="e">
        <v>#N/A</v>
      </c>
      <c r="W69" s="746" t="e">
        <v>#N/A</v>
      </c>
      <c r="X69" s="746" t="e">
        <v>#N/A</v>
      </c>
      <c r="Y69" s="746">
        <v>6.96</v>
      </c>
      <c r="Z69" s="747" t="e">
        <v>#N/A</v>
      </c>
      <c r="AA69" s="745" t="s">
        <v>1231</v>
      </c>
      <c r="AB69" s="746" t="s">
        <v>1231</v>
      </c>
      <c r="AC69" s="746" t="s">
        <v>1231</v>
      </c>
      <c r="AD69" s="746" t="s">
        <v>1231</v>
      </c>
      <c r="AE69" s="747" t="s">
        <v>1231</v>
      </c>
      <c r="AF69" s="745"/>
      <c r="AG69" s="746"/>
      <c r="AH69" s="746"/>
      <c r="AI69" s="746"/>
      <c r="AJ69" s="747"/>
    </row>
    <row r="70" spans="2:36">
      <c r="B70" s="738" t="s">
        <v>1194</v>
      </c>
      <c r="C70" s="246"/>
      <c r="D70" s="246"/>
      <c r="E70" s="246"/>
      <c r="F70" s="246"/>
      <c r="G70" s="247"/>
      <c r="H70" s="4"/>
      <c r="I70" s="744"/>
      <c r="J70" s="4"/>
      <c r="K70" s="745"/>
      <c r="L70" s="746"/>
      <c r="M70" s="746"/>
      <c r="N70" s="745"/>
      <c r="O70" s="746"/>
      <c r="P70" s="746"/>
      <c r="Q70" s="746"/>
      <c r="R70" s="747"/>
      <c r="S70" s="745"/>
      <c r="T70" s="746"/>
      <c r="U70" s="746"/>
      <c r="V70" s="745"/>
      <c r="W70" s="746"/>
      <c r="X70" s="746"/>
      <c r="Y70" s="746"/>
      <c r="Z70" s="747"/>
      <c r="AA70" s="745"/>
      <c r="AB70" s="746"/>
      <c r="AC70" s="746"/>
      <c r="AD70" s="746"/>
      <c r="AE70" s="747"/>
      <c r="AF70" s="745"/>
      <c r="AG70" s="746"/>
      <c r="AH70" s="746"/>
      <c r="AI70" s="746"/>
      <c r="AJ70" s="747"/>
    </row>
    <row r="71" spans="2:36">
      <c r="B71" s="738" t="s">
        <v>1195</v>
      </c>
      <c r="C71" s="246"/>
      <c r="D71" s="246"/>
      <c r="E71" s="246"/>
      <c r="F71" s="246"/>
      <c r="G71" s="247"/>
      <c r="H71" s="4"/>
      <c r="I71" s="744"/>
      <c r="J71" s="4"/>
      <c r="K71" s="745"/>
      <c r="L71" s="746"/>
      <c r="M71" s="746"/>
      <c r="N71" s="745"/>
      <c r="O71" s="746"/>
      <c r="P71" s="746"/>
      <c r="Q71" s="746"/>
      <c r="R71" s="747"/>
      <c r="S71" s="745"/>
      <c r="T71" s="746"/>
      <c r="U71" s="746"/>
      <c r="V71" s="745"/>
      <c r="W71" s="746"/>
      <c r="X71" s="746"/>
      <c r="Y71" s="746"/>
      <c r="Z71" s="747"/>
      <c r="AA71" s="745"/>
      <c r="AB71" s="746"/>
      <c r="AC71" s="746"/>
      <c r="AD71" s="746"/>
      <c r="AE71" s="747"/>
      <c r="AF71" s="745"/>
      <c r="AG71" s="746"/>
      <c r="AH71" s="746"/>
      <c r="AI71" s="746"/>
      <c r="AJ71" s="747"/>
    </row>
    <row r="72" spans="2:36">
      <c r="B72" s="738" t="s">
        <v>1196</v>
      </c>
      <c r="C72" s="246"/>
      <c r="D72" s="246"/>
      <c r="E72" s="246"/>
      <c r="F72" s="246"/>
      <c r="G72" s="247"/>
      <c r="H72" s="4"/>
      <c r="I72" s="744"/>
      <c r="J72" s="4"/>
      <c r="K72" s="745"/>
      <c r="L72" s="746"/>
      <c r="M72" s="746"/>
      <c r="N72" s="745"/>
      <c r="O72" s="746"/>
      <c r="P72" s="746"/>
      <c r="Q72" s="746"/>
      <c r="R72" s="747"/>
      <c r="S72" s="745"/>
      <c r="T72" s="746"/>
      <c r="U72" s="746"/>
      <c r="V72" s="745"/>
      <c r="W72" s="746"/>
      <c r="X72" s="746"/>
      <c r="Y72" s="746"/>
      <c r="Z72" s="747"/>
      <c r="AA72" s="745"/>
      <c r="AB72" s="746"/>
      <c r="AC72" s="746"/>
      <c r="AD72" s="746"/>
      <c r="AE72" s="747"/>
      <c r="AF72" s="745"/>
      <c r="AG72" s="746"/>
      <c r="AH72" s="746"/>
      <c r="AI72" s="746"/>
      <c r="AJ72" s="747"/>
    </row>
    <row r="73" spans="2:36">
      <c r="B73" s="738" t="s">
        <v>1197</v>
      </c>
      <c r="C73" s="246"/>
      <c r="D73" s="246"/>
      <c r="E73" s="246"/>
      <c r="F73" s="246"/>
      <c r="G73" s="247"/>
      <c r="H73" s="4"/>
      <c r="I73" s="744"/>
      <c r="J73" s="4"/>
      <c r="K73" s="745"/>
      <c r="L73" s="746"/>
      <c r="M73" s="746"/>
      <c r="N73" s="745"/>
      <c r="O73" s="746"/>
      <c r="P73" s="746"/>
      <c r="Q73" s="746"/>
      <c r="R73" s="747"/>
      <c r="S73" s="745"/>
      <c r="T73" s="746"/>
      <c r="U73" s="746"/>
      <c r="V73" s="745"/>
      <c r="W73" s="746"/>
      <c r="X73" s="746"/>
      <c r="Y73" s="746"/>
      <c r="Z73" s="747"/>
      <c r="AA73" s="745"/>
      <c r="AB73" s="746"/>
      <c r="AC73" s="746"/>
      <c r="AD73" s="746"/>
      <c r="AE73" s="747"/>
      <c r="AF73" s="745"/>
      <c r="AG73" s="746"/>
      <c r="AH73" s="746"/>
      <c r="AI73" s="746"/>
      <c r="AJ73" s="747"/>
    </row>
    <row r="74" spans="2:36">
      <c r="B74" s="738" t="s">
        <v>1198</v>
      </c>
      <c r="C74" s="246"/>
      <c r="D74" s="246"/>
      <c r="E74" s="246"/>
      <c r="F74" s="246"/>
      <c r="G74" s="247"/>
      <c r="H74" s="4"/>
      <c r="I74" s="744"/>
      <c r="J74" s="4"/>
      <c r="K74" s="745"/>
      <c r="L74" s="746"/>
      <c r="M74" s="746"/>
      <c r="N74" s="745"/>
      <c r="O74" s="746"/>
      <c r="P74" s="746"/>
      <c r="Q74" s="746"/>
      <c r="R74" s="747"/>
      <c r="S74" s="745"/>
      <c r="T74" s="746"/>
      <c r="U74" s="746"/>
      <c r="V74" s="745"/>
      <c r="W74" s="746"/>
      <c r="X74" s="746"/>
      <c r="Y74" s="746"/>
      <c r="Z74" s="747"/>
      <c r="AA74" s="745"/>
      <c r="AB74" s="746"/>
      <c r="AC74" s="746"/>
      <c r="AD74" s="746"/>
      <c r="AE74" s="747"/>
      <c r="AF74" s="745"/>
      <c r="AG74" s="746"/>
      <c r="AH74" s="746"/>
      <c r="AI74" s="746"/>
      <c r="AJ74" s="747"/>
    </row>
    <row r="75" spans="2:36">
      <c r="B75" s="738" t="s">
        <v>1199</v>
      </c>
      <c r="C75" s="246"/>
      <c r="D75" s="246"/>
      <c r="E75" s="246"/>
      <c r="F75" s="246"/>
      <c r="G75" s="247"/>
      <c r="H75" s="4"/>
      <c r="I75" s="744"/>
      <c r="J75" s="4"/>
      <c r="K75" s="748"/>
      <c r="L75" s="749"/>
      <c r="M75" s="749"/>
      <c r="N75" s="748"/>
      <c r="O75" s="749"/>
      <c r="P75" s="749"/>
      <c r="Q75" s="749"/>
      <c r="R75" s="750"/>
      <c r="S75" s="748"/>
      <c r="T75" s="749"/>
      <c r="U75" s="749"/>
      <c r="V75" s="748"/>
      <c r="W75" s="749"/>
      <c r="X75" s="749"/>
      <c r="Y75" s="749"/>
      <c r="Z75" s="750"/>
      <c r="AA75" s="748"/>
      <c r="AB75" s="749"/>
      <c r="AC75" s="749"/>
      <c r="AD75" s="749"/>
      <c r="AE75" s="750"/>
      <c r="AF75" s="748"/>
      <c r="AG75" s="749"/>
      <c r="AH75" s="749"/>
      <c r="AI75" s="749"/>
      <c r="AJ75" s="750"/>
    </row>
    <row r="78" spans="2:36" ht="12.75">
      <c r="B78" s="735" t="s">
        <v>1232</v>
      </c>
      <c r="C78" s="738" t="s">
        <v>1233</v>
      </c>
      <c r="D78" s="246"/>
      <c r="E78" s="246"/>
      <c r="F78" s="246"/>
      <c r="G78" s="246"/>
      <c r="H78" s="246"/>
      <c r="I78" s="247"/>
    </row>
    <row r="80" spans="2:36">
      <c r="B80" s="738" t="s">
        <v>1234</v>
      </c>
      <c r="C80" s="739"/>
      <c r="D80" s="739"/>
      <c r="E80" s="739"/>
      <c r="F80" s="739"/>
      <c r="G80" s="740"/>
      <c r="H80" s="4"/>
      <c r="I80" s="744" t="s">
        <v>1187</v>
      </c>
      <c r="J80" s="4"/>
      <c r="K80" s="741"/>
      <c r="L80" s="742"/>
      <c r="M80" s="742"/>
      <c r="N80" s="741"/>
      <c r="O80" s="742"/>
      <c r="P80" s="742"/>
      <c r="Q80" s="742"/>
      <c r="R80" s="743"/>
      <c r="S80" s="741"/>
      <c r="T80" s="742"/>
      <c r="U80" s="742"/>
      <c r="V80" s="1438" t="e">
        <v>#N/A</v>
      </c>
      <c r="W80" s="1439" t="e">
        <v>#N/A</v>
      </c>
      <c r="X80" s="1439" t="e">
        <v>#N/A</v>
      </c>
      <c r="Y80" s="1439">
        <v>0.78600000000000003</v>
      </c>
      <c r="Z80" s="1440" t="e">
        <v>#N/A</v>
      </c>
      <c r="AA80" s="1438" t="s">
        <v>1235</v>
      </c>
      <c r="AB80" s="1439" t="s">
        <v>1235</v>
      </c>
      <c r="AC80" s="1439" t="s">
        <v>1235</v>
      </c>
      <c r="AD80" s="1439" t="s">
        <v>1235</v>
      </c>
      <c r="AE80" s="1440" t="s">
        <v>1235</v>
      </c>
      <c r="AF80" s="741"/>
      <c r="AG80" s="742"/>
      <c r="AH80" s="742"/>
      <c r="AI80" s="742"/>
      <c r="AJ80" s="743"/>
    </row>
    <row r="81" spans="1:36">
      <c r="B81" s="738" t="s">
        <v>1236</v>
      </c>
      <c r="C81" s="246"/>
      <c r="D81" s="246"/>
      <c r="E81" s="246"/>
      <c r="F81" s="246"/>
      <c r="G81" s="247"/>
      <c r="H81" s="4"/>
      <c r="I81" s="744" t="s">
        <v>1237</v>
      </c>
      <c r="J81" s="4"/>
      <c r="K81" s="745"/>
      <c r="L81" s="746"/>
      <c r="M81" s="746"/>
      <c r="N81" s="745"/>
      <c r="O81" s="746"/>
      <c r="P81" s="746"/>
      <c r="Q81" s="746"/>
      <c r="R81" s="747"/>
      <c r="S81" s="745"/>
      <c r="T81" s="746"/>
      <c r="U81" s="746"/>
      <c r="V81" s="1441">
        <v>63</v>
      </c>
      <c r="W81" s="1442">
        <v>155</v>
      </c>
      <c r="X81" s="1442">
        <v>172</v>
      </c>
      <c r="Y81" s="1442">
        <v>208</v>
      </c>
      <c r="Z81" s="1443" t="e">
        <v>#N/A</v>
      </c>
      <c r="AA81" s="1441">
        <v>40</v>
      </c>
      <c r="AB81" s="1442">
        <v>80</v>
      </c>
      <c r="AC81" s="1442">
        <v>120</v>
      </c>
      <c r="AD81" s="1442">
        <v>160</v>
      </c>
      <c r="AE81" s="1443">
        <v>200</v>
      </c>
      <c r="AF81" s="745"/>
      <c r="AG81" s="746"/>
      <c r="AH81" s="746"/>
      <c r="AI81" s="746"/>
      <c r="AJ81" s="747"/>
    </row>
    <row r="82" spans="1:36">
      <c r="B82" s="738" t="s">
        <v>1238</v>
      </c>
      <c r="C82" s="246"/>
      <c r="D82" s="246"/>
      <c r="E82" s="246"/>
      <c r="F82" s="246"/>
      <c r="G82" s="247"/>
      <c r="H82" s="4"/>
      <c r="I82" s="744" t="s">
        <v>1187</v>
      </c>
      <c r="J82" s="4"/>
      <c r="K82" s="745"/>
      <c r="L82" s="746"/>
      <c r="M82" s="746"/>
      <c r="N82" s="745"/>
      <c r="O82" s="746"/>
      <c r="P82" s="746"/>
      <c r="Q82" s="746"/>
      <c r="R82" s="747"/>
      <c r="S82" s="745"/>
      <c r="T82" s="746"/>
      <c r="U82" s="746"/>
      <c r="V82" s="1441">
        <v>0.92</v>
      </c>
      <c r="W82" s="1442">
        <v>0.8</v>
      </c>
      <c r="X82" s="1442">
        <v>0.75</v>
      </c>
      <c r="Y82" s="1442">
        <v>0.78</v>
      </c>
      <c r="Z82" s="1443" t="e">
        <v>#N/A</v>
      </c>
      <c r="AA82" s="1441" t="s">
        <v>1239</v>
      </c>
      <c r="AB82" s="1442" t="s">
        <v>1239</v>
      </c>
      <c r="AC82" s="1442" t="s">
        <v>1239</v>
      </c>
      <c r="AD82" s="1442" t="s">
        <v>1239</v>
      </c>
      <c r="AE82" s="1443" t="s">
        <v>1239</v>
      </c>
      <c r="AF82" s="745"/>
      <c r="AG82" s="746"/>
      <c r="AH82" s="746"/>
      <c r="AI82" s="746"/>
      <c r="AJ82" s="747"/>
    </row>
    <row r="83" spans="1:36">
      <c r="B83" s="738" t="s">
        <v>1220</v>
      </c>
      <c r="C83" s="246"/>
      <c r="D83" s="246"/>
      <c r="E83" s="246"/>
      <c r="F83" s="246"/>
      <c r="G83" s="247"/>
      <c r="H83" s="4"/>
      <c r="I83" s="744"/>
      <c r="J83" s="4"/>
      <c r="K83" s="745"/>
      <c r="L83" s="746"/>
      <c r="M83" s="746"/>
      <c r="N83" s="745"/>
      <c r="O83" s="746"/>
      <c r="P83" s="746"/>
      <c r="Q83" s="746"/>
      <c r="R83" s="747"/>
      <c r="S83" s="745"/>
      <c r="T83" s="746"/>
      <c r="U83" s="746"/>
      <c r="V83" s="1441"/>
      <c r="W83" s="1442"/>
      <c r="X83" s="1442"/>
      <c r="Y83" s="1442"/>
      <c r="Z83" s="1443"/>
      <c r="AA83" s="1441"/>
      <c r="AB83" s="1442"/>
      <c r="AC83" s="1442"/>
      <c r="AD83" s="1442"/>
      <c r="AE83" s="1443"/>
      <c r="AF83" s="745"/>
      <c r="AG83" s="746"/>
      <c r="AH83" s="746"/>
      <c r="AI83" s="746"/>
      <c r="AJ83" s="747"/>
    </row>
    <row r="84" spans="1:36">
      <c r="B84" s="738" t="s">
        <v>1194</v>
      </c>
      <c r="C84" s="246"/>
      <c r="D84" s="246"/>
      <c r="E84" s="246"/>
      <c r="F84" s="246"/>
      <c r="G84" s="247"/>
      <c r="H84" s="4"/>
      <c r="I84" s="744"/>
      <c r="J84" s="4"/>
      <c r="K84" s="745"/>
      <c r="L84" s="746"/>
      <c r="M84" s="746"/>
      <c r="N84" s="745"/>
      <c r="O84" s="746"/>
      <c r="P84" s="746"/>
      <c r="Q84" s="746"/>
      <c r="R84" s="747"/>
      <c r="S84" s="745"/>
      <c r="T84" s="746"/>
      <c r="U84" s="746"/>
      <c r="V84" s="745"/>
      <c r="W84" s="746"/>
      <c r="X84" s="746"/>
      <c r="Y84" s="746"/>
      <c r="Z84" s="747"/>
      <c r="AA84" s="745"/>
      <c r="AB84" s="746"/>
      <c r="AC84" s="746"/>
      <c r="AD84" s="746"/>
      <c r="AE84" s="747"/>
      <c r="AF84" s="745"/>
      <c r="AG84" s="746"/>
      <c r="AH84" s="746"/>
      <c r="AI84" s="746"/>
      <c r="AJ84" s="747"/>
    </row>
    <row r="85" spans="1:36">
      <c r="B85" s="738" t="s">
        <v>1195</v>
      </c>
      <c r="C85" s="246"/>
      <c r="D85" s="246"/>
      <c r="E85" s="246"/>
      <c r="F85" s="246"/>
      <c r="G85" s="247"/>
      <c r="H85" s="4"/>
      <c r="I85" s="744"/>
      <c r="J85" s="4"/>
      <c r="K85" s="745"/>
      <c r="L85" s="746"/>
      <c r="M85" s="746"/>
      <c r="N85" s="745"/>
      <c r="O85" s="746"/>
      <c r="P85" s="746"/>
      <c r="Q85" s="746"/>
      <c r="R85" s="747"/>
      <c r="S85" s="745"/>
      <c r="T85" s="746"/>
      <c r="U85" s="746"/>
      <c r="V85" s="745"/>
      <c r="W85" s="746"/>
      <c r="X85" s="746"/>
      <c r="Y85" s="746"/>
      <c r="Z85" s="747"/>
      <c r="AA85" s="745"/>
      <c r="AB85" s="746"/>
      <c r="AC85" s="746"/>
      <c r="AD85" s="746"/>
      <c r="AE85" s="747"/>
      <c r="AF85" s="745"/>
      <c r="AG85" s="746"/>
      <c r="AH85" s="746"/>
      <c r="AI85" s="746"/>
      <c r="AJ85" s="747"/>
    </row>
    <row r="86" spans="1:36">
      <c r="B86" s="738" t="s">
        <v>1196</v>
      </c>
      <c r="C86" s="246"/>
      <c r="D86" s="246"/>
      <c r="E86" s="246"/>
      <c r="F86" s="246"/>
      <c r="G86" s="247"/>
      <c r="H86" s="4"/>
      <c r="I86" s="744"/>
      <c r="J86" s="4"/>
      <c r="K86" s="745"/>
      <c r="L86" s="746"/>
      <c r="M86" s="746"/>
      <c r="N86" s="745"/>
      <c r="O86" s="746"/>
      <c r="P86" s="746"/>
      <c r="Q86" s="746"/>
      <c r="R86" s="747"/>
      <c r="S86" s="745"/>
      <c r="T86" s="746"/>
      <c r="U86" s="746"/>
      <c r="V86" s="745"/>
      <c r="W86" s="746"/>
      <c r="X86" s="746"/>
      <c r="Y86" s="746"/>
      <c r="Z86" s="747"/>
      <c r="AA86" s="745"/>
      <c r="AB86" s="746"/>
      <c r="AC86" s="746"/>
      <c r="AD86" s="746"/>
      <c r="AE86" s="747"/>
      <c r="AF86" s="745"/>
      <c r="AG86" s="746"/>
      <c r="AH86" s="746"/>
      <c r="AI86" s="746"/>
      <c r="AJ86" s="747"/>
    </row>
    <row r="87" spans="1:36">
      <c r="B87" s="738" t="s">
        <v>1197</v>
      </c>
      <c r="C87" s="246"/>
      <c r="D87" s="246"/>
      <c r="E87" s="246"/>
      <c r="F87" s="246"/>
      <c r="G87" s="247"/>
      <c r="H87" s="4"/>
      <c r="I87" s="744"/>
      <c r="J87" s="4"/>
      <c r="K87" s="745"/>
      <c r="L87" s="746"/>
      <c r="M87" s="746"/>
      <c r="N87" s="745"/>
      <c r="O87" s="746"/>
      <c r="P87" s="746"/>
      <c r="Q87" s="746"/>
      <c r="R87" s="747"/>
      <c r="S87" s="745"/>
      <c r="T87" s="746"/>
      <c r="U87" s="746"/>
      <c r="V87" s="745"/>
      <c r="W87" s="746"/>
      <c r="X87" s="746"/>
      <c r="Y87" s="746"/>
      <c r="Z87" s="747"/>
      <c r="AA87" s="745"/>
      <c r="AB87" s="746"/>
      <c r="AC87" s="746"/>
      <c r="AD87" s="746"/>
      <c r="AE87" s="747"/>
      <c r="AF87" s="745"/>
      <c r="AG87" s="746"/>
      <c r="AH87" s="746"/>
      <c r="AI87" s="746"/>
      <c r="AJ87" s="747"/>
    </row>
    <row r="88" spans="1:36">
      <c r="B88" s="738" t="s">
        <v>1198</v>
      </c>
      <c r="C88" s="246"/>
      <c r="D88" s="246"/>
      <c r="E88" s="246"/>
      <c r="F88" s="246"/>
      <c r="G88" s="247"/>
      <c r="H88" s="4"/>
      <c r="I88" s="744"/>
      <c r="J88" s="4"/>
      <c r="K88" s="745"/>
      <c r="L88" s="746"/>
      <c r="M88" s="746"/>
      <c r="N88" s="745"/>
      <c r="O88" s="746"/>
      <c r="P88" s="746"/>
      <c r="Q88" s="746"/>
      <c r="R88" s="747"/>
      <c r="S88" s="745"/>
      <c r="T88" s="746"/>
      <c r="U88" s="746"/>
      <c r="V88" s="745"/>
      <c r="W88" s="746"/>
      <c r="X88" s="746"/>
      <c r="Y88" s="746"/>
      <c r="Z88" s="747"/>
      <c r="AA88" s="745"/>
      <c r="AB88" s="746"/>
      <c r="AC88" s="746"/>
      <c r="AD88" s="746"/>
      <c r="AE88" s="747"/>
      <c r="AF88" s="745"/>
      <c r="AG88" s="746"/>
      <c r="AH88" s="746"/>
      <c r="AI88" s="746"/>
      <c r="AJ88" s="747"/>
    </row>
    <row r="89" spans="1:36">
      <c r="B89" s="738" t="s">
        <v>1199</v>
      </c>
      <c r="C89" s="246"/>
      <c r="D89" s="246"/>
      <c r="E89" s="246"/>
      <c r="F89" s="246"/>
      <c r="G89" s="247"/>
      <c r="H89" s="4"/>
      <c r="I89" s="744"/>
      <c r="J89" s="4"/>
      <c r="K89" s="748"/>
      <c r="L89" s="749"/>
      <c r="M89" s="749"/>
      <c r="N89" s="748"/>
      <c r="O89" s="749"/>
      <c r="P89" s="749"/>
      <c r="Q89" s="749"/>
      <c r="R89" s="750"/>
      <c r="S89" s="748"/>
      <c r="T89" s="749"/>
      <c r="U89" s="749"/>
      <c r="V89" s="748"/>
      <c r="W89" s="749"/>
      <c r="X89" s="749"/>
      <c r="Y89" s="749"/>
      <c r="Z89" s="750"/>
      <c r="AA89" s="748"/>
      <c r="AB89" s="749"/>
      <c r="AC89" s="749"/>
      <c r="AD89" s="749"/>
      <c r="AE89" s="750"/>
      <c r="AF89" s="748"/>
      <c r="AG89" s="749"/>
      <c r="AH89" s="749"/>
      <c r="AI89" s="749"/>
      <c r="AJ89" s="750"/>
    </row>
    <row r="90" spans="1:36">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row>
    <row r="91" spans="1:36">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row>
    <row r="92" spans="1:36" ht="12.75">
      <c r="B92" s="735" t="s">
        <v>1240</v>
      </c>
      <c r="C92" s="738"/>
      <c r="D92" s="246"/>
      <c r="E92" s="246"/>
      <c r="F92" s="246"/>
      <c r="G92" s="246"/>
      <c r="H92" s="246"/>
      <c r="I92" s="247"/>
    </row>
    <row r="94" spans="1:36">
      <c r="B94" s="738" t="s">
        <v>1241</v>
      </c>
      <c r="C94" s="739"/>
      <c r="D94" s="739"/>
      <c r="E94" s="739"/>
      <c r="F94" s="739"/>
      <c r="G94" s="740"/>
      <c r="H94" s="4"/>
      <c r="I94" s="744"/>
      <c r="J94" s="4"/>
      <c r="K94" s="741"/>
      <c r="L94" s="742"/>
      <c r="M94" s="742"/>
      <c r="N94" s="741"/>
      <c r="O94" s="742"/>
      <c r="P94" s="742"/>
      <c r="Q94" s="742"/>
      <c r="R94" s="743"/>
      <c r="S94" s="741"/>
      <c r="T94" s="742"/>
      <c r="U94" s="742"/>
      <c r="V94" s="1438"/>
      <c r="W94" s="1439"/>
      <c r="X94" s="1439"/>
      <c r="Y94" s="1439"/>
      <c r="Z94" s="1440"/>
      <c r="AA94" s="1438"/>
      <c r="AB94" s="1439"/>
      <c r="AC94" s="1439"/>
      <c r="AD94" s="1439"/>
      <c r="AE94" s="1440"/>
      <c r="AF94" s="741"/>
      <c r="AG94" s="742"/>
      <c r="AH94" s="742"/>
      <c r="AI94" s="742"/>
      <c r="AJ94" s="743"/>
    </row>
    <row r="95" spans="1:36">
      <c r="B95" s="738" t="s">
        <v>1242</v>
      </c>
      <c r="C95" s="246"/>
      <c r="D95" s="246"/>
      <c r="E95" s="246"/>
      <c r="F95" s="246"/>
      <c r="G95" s="247"/>
      <c r="H95" s="4"/>
      <c r="I95" s="744"/>
      <c r="J95" s="4"/>
      <c r="K95" s="745"/>
      <c r="L95" s="746"/>
      <c r="M95" s="746"/>
      <c r="N95" s="745"/>
      <c r="O95" s="746"/>
      <c r="P95" s="746"/>
      <c r="Q95" s="746"/>
      <c r="R95" s="747"/>
      <c r="S95" s="745"/>
      <c r="T95" s="746"/>
      <c r="U95" s="746"/>
      <c r="V95" s="1441"/>
      <c r="W95" s="1442"/>
      <c r="X95" s="1442"/>
      <c r="Y95" s="1442"/>
      <c r="Z95" s="1443"/>
      <c r="AA95" s="1441"/>
      <c r="AB95" s="1442"/>
      <c r="AC95" s="1442"/>
      <c r="AD95" s="1442"/>
      <c r="AE95" s="1443"/>
      <c r="AF95" s="745"/>
      <c r="AG95" s="746"/>
      <c r="AH95" s="746"/>
      <c r="AI95" s="746"/>
      <c r="AJ95" s="747"/>
    </row>
    <row r="96" spans="1:36">
      <c r="B96" s="738" t="s">
        <v>1243</v>
      </c>
      <c r="C96" s="246"/>
      <c r="D96" s="246"/>
      <c r="E96" s="246"/>
      <c r="F96" s="246"/>
      <c r="G96" s="247"/>
      <c r="H96" s="4"/>
      <c r="I96" s="744"/>
      <c r="J96" s="4"/>
      <c r="K96" s="745"/>
      <c r="L96" s="746"/>
      <c r="M96" s="746"/>
      <c r="N96" s="745"/>
      <c r="O96" s="746"/>
      <c r="P96" s="746"/>
      <c r="Q96" s="746"/>
      <c r="R96" s="747"/>
      <c r="S96" s="745"/>
      <c r="T96" s="746"/>
      <c r="U96" s="746"/>
      <c r="V96" s="1441"/>
      <c r="W96" s="1442"/>
      <c r="X96" s="1442"/>
      <c r="Y96" s="1442"/>
      <c r="Z96" s="1443"/>
      <c r="AA96" s="1441"/>
      <c r="AB96" s="1442"/>
      <c r="AC96" s="1442"/>
      <c r="AD96" s="1442"/>
      <c r="AE96" s="1443"/>
      <c r="AF96" s="745"/>
      <c r="AG96" s="746"/>
      <c r="AH96" s="746"/>
      <c r="AI96" s="746"/>
      <c r="AJ96" s="747"/>
    </row>
    <row r="97" spans="2:36">
      <c r="B97" s="738" t="s">
        <v>1220</v>
      </c>
      <c r="C97" s="246"/>
      <c r="D97" s="246"/>
      <c r="E97" s="246"/>
      <c r="F97" s="246"/>
      <c r="G97" s="247"/>
      <c r="H97" s="4"/>
      <c r="I97" s="744"/>
      <c r="J97" s="4"/>
      <c r="K97" s="745"/>
      <c r="L97" s="746"/>
      <c r="M97" s="746"/>
      <c r="N97" s="745"/>
      <c r="O97" s="746"/>
      <c r="P97" s="746"/>
      <c r="Q97" s="746"/>
      <c r="R97" s="747"/>
      <c r="S97" s="745"/>
      <c r="T97" s="746"/>
      <c r="U97" s="746"/>
      <c r="V97" s="745"/>
      <c r="W97" s="746"/>
      <c r="X97" s="746"/>
      <c r="Y97" s="746"/>
      <c r="Z97" s="747"/>
      <c r="AA97" s="745"/>
      <c r="AB97" s="746"/>
      <c r="AC97" s="746"/>
      <c r="AD97" s="746"/>
      <c r="AE97" s="747"/>
      <c r="AF97" s="745"/>
      <c r="AG97" s="746"/>
      <c r="AH97" s="746"/>
      <c r="AI97" s="746"/>
      <c r="AJ97" s="747"/>
    </row>
    <row r="98" spans="2:36">
      <c r="B98" s="738" t="s">
        <v>1194</v>
      </c>
      <c r="C98" s="246"/>
      <c r="D98" s="246"/>
      <c r="E98" s="246"/>
      <c r="F98" s="246"/>
      <c r="G98" s="247"/>
      <c r="H98" s="4"/>
      <c r="I98" s="744"/>
      <c r="J98" s="4"/>
      <c r="K98" s="745"/>
      <c r="L98" s="746"/>
      <c r="M98" s="746"/>
      <c r="N98" s="745"/>
      <c r="O98" s="746"/>
      <c r="P98" s="746"/>
      <c r="Q98" s="746"/>
      <c r="R98" s="747"/>
      <c r="S98" s="745"/>
      <c r="T98" s="746"/>
      <c r="U98" s="746"/>
      <c r="V98" s="745"/>
      <c r="W98" s="746"/>
      <c r="X98" s="746"/>
      <c r="Y98" s="746"/>
      <c r="Z98" s="747"/>
      <c r="AA98" s="745"/>
      <c r="AB98" s="746"/>
      <c r="AC98" s="746"/>
      <c r="AD98" s="746"/>
      <c r="AE98" s="747"/>
      <c r="AF98" s="745"/>
      <c r="AG98" s="746"/>
      <c r="AH98" s="746"/>
      <c r="AI98" s="746"/>
      <c r="AJ98" s="747"/>
    </row>
    <row r="99" spans="2:36">
      <c r="B99" s="738" t="s">
        <v>1195</v>
      </c>
      <c r="C99" s="246"/>
      <c r="D99" s="246"/>
      <c r="E99" s="246"/>
      <c r="F99" s="246"/>
      <c r="G99" s="247"/>
      <c r="H99" s="4"/>
      <c r="I99" s="744"/>
      <c r="J99" s="4"/>
      <c r="K99" s="745"/>
      <c r="L99" s="746"/>
      <c r="M99" s="746"/>
      <c r="N99" s="745"/>
      <c r="O99" s="746"/>
      <c r="P99" s="746"/>
      <c r="Q99" s="746"/>
      <c r="R99" s="747"/>
      <c r="S99" s="745"/>
      <c r="T99" s="746"/>
      <c r="U99" s="746"/>
      <c r="V99" s="745"/>
      <c r="W99" s="746"/>
      <c r="X99" s="746"/>
      <c r="Y99" s="746"/>
      <c r="Z99" s="747"/>
      <c r="AA99" s="745"/>
      <c r="AB99" s="746"/>
      <c r="AC99" s="746"/>
      <c r="AD99" s="746"/>
      <c r="AE99" s="747"/>
      <c r="AF99" s="745"/>
      <c r="AG99" s="746"/>
      <c r="AH99" s="746"/>
      <c r="AI99" s="746"/>
      <c r="AJ99" s="747"/>
    </row>
    <row r="100" spans="2:36">
      <c r="B100" s="738" t="s">
        <v>1196</v>
      </c>
      <c r="C100" s="246"/>
      <c r="D100" s="246"/>
      <c r="E100" s="246"/>
      <c r="F100" s="246"/>
      <c r="G100" s="247"/>
      <c r="H100" s="4"/>
      <c r="I100" s="744"/>
      <c r="J100" s="4"/>
      <c r="K100" s="745"/>
      <c r="L100" s="746"/>
      <c r="M100" s="746"/>
      <c r="N100" s="745"/>
      <c r="O100" s="746"/>
      <c r="P100" s="746"/>
      <c r="Q100" s="746"/>
      <c r="R100" s="747"/>
      <c r="S100" s="745"/>
      <c r="T100" s="746"/>
      <c r="U100" s="746"/>
      <c r="V100" s="745"/>
      <c r="W100" s="746"/>
      <c r="X100" s="746"/>
      <c r="Y100" s="746"/>
      <c r="Z100" s="747"/>
      <c r="AA100" s="745"/>
      <c r="AB100" s="746"/>
      <c r="AC100" s="746"/>
      <c r="AD100" s="746"/>
      <c r="AE100" s="747"/>
      <c r="AF100" s="745"/>
      <c r="AG100" s="746"/>
      <c r="AH100" s="746"/>
      <c r="AI100" s="746"/>
      <c r="AJ100" s="747"/>
    </row>
    <row r="101" spans="2:36">
      <c r="B101" s="738" t="s">
        <v>1197</v>
      </c>
      <c r="C101" s="246"/>
      <c r="D101" s="246"/>
      <c r="E101" s="246"/>
      <c r="F101" s="246"/>
      <c r="G101" s="247"/>
      <c r="H101" s="4"/>
      <c r="I101" s="744"/>
      <c r="J101" s="4"/>
      <c r="K101" s="745"/>
      <c r="L101" s="746"/>
      <c r="M101" s="746"/>
      <c r="N101" s="745"/>
      <c r="O101" s="746"/>
      <c r="P101" s="746"/>
      <c r="Q101" s="746"/>
      <c r="R101" s="747"/>
      <c r="S101" s="745"/>
      <c r="T101" s="746"/>
      <c r="U101" s="746"/>
      <c r="V101" s="745"/>
      <c r="W101" s="746"/>
      <c r="X101" s="746"/>
      <c r="Y101" s="746"/>
      <c r="Z101" s="747"/>
      <c r="AA101" s="745"/>
      <c r="AB101" s="746"/>
      <c r="AC101" s="746"/>
      <c r="AD101" s="746"/>
      <c r="AE101" s="747"/>
      <c r="AF101" s="745"/>
      <c r="AG101" s="746"/>
      <c r="AH101" s="746"/>
      <c r="AI101" s="746"/>
      <c r="AJ101" s="747"/>
    </row>
    <row r="102" spans="2:36">
      <c r="B102" s="738" t="s">
        <v>1198</v>
      </c>
      <c r="C102" s="246"/>
      <c r="D102" s="246"/>
      <c r="E102" s="246"/>
      <c r="F102" s="246"/>
      <c r="G102" s="247"/>
      <c r="H102" s="4"/>
      <c r="I102" s="744"/>
      <c r="J102" s="4"/>
      <c r="K102" s="745"/>
      <c r="L102" s="746"/>
      <c r="M102" s="746"/>
      <c r="N102" s="745"/>
      <c r="O102" s="746"/>
      <c r="P102" s="746"/>
      <c r="Q102" s="746"/>
      <c r="R102" s="747"/>
      <c r="S102" s="745"/>
      <c r="T102" s="746"/>
      <c r="U102" s="746"/>
      <c r="V102" s="745"/>
      <c r="W102" s="746"/>
      <c r="X102" s="746"/>
      <c r="Y102" s="746"/>
      <c r="Z102" s="747"/>
      <c r="AA102" s="745"/>
      <c r="AB102" s="746"/>
      <c r="AC102" s="746"/>
      <c r="AD102" s="746"/>
      <c r="AE102" s="747"/>
      <c r="AF102" s="745"/>
      <c r="AG102" s="746"/>
      <c r="AH102" s="746"/>
      <c r="AI102" s="746"/>
      <c r="AJ102" s="747"/>
    </row>
    <row r="103" spans="2:36">
      <c r="B103" s="738" t="s">
        <v>1199</v>
      </c>
      <c r="C103" s="246"/>
      <c r="D103" s="246"/>
      <c r="E103" s="246"/>
      <c r="F103" s="246"/>
      <c r="G103" s="247"/>
      <c r="H103" s="4"/>
      <c r="I103" s="744"/>
      <c r="J103" s="4"/>
      <c r="K103" s="748"/>
      <c r="L103" s="749"/>
      <c r="M103" s="749"/>
      <c r="N103" s="748"/>
      <c r="O103" s="749"/>
      <c r="P103" s="749"/>
      <c r="Q103" s="749"/>
      <c r="R103" s="750"/>
      <c r="S103" s="748"/>
      <c r="T103" s="749"/>
      <c r="U103" s="749"/>
      <c r="V103" s="748"/>
      <c r="W103" s="749"/>
      <c r="X103" s="749"/>
      <c r="Y103" s="749"/>
      <c r="Z103" s="750"/>
      <c r="AA103" s="748"/>
      <c r="AB103" s="749"/>
      <c r="AC103" s="749"/>
      <c r="AD103" s="749"/>
      <c r="AE103" s="750"/>
      <c r="AF103" s="748"/>
      <c r="AG103" s="749"/>
      <c r="AH103" s="749"/>
      <c r="AI103" s="749"/>
      <c r="AJ103" s="750"/>
    </row>
    <row r="106" spans="2:36" ht="12.75">
      <c r="B106" s="735" t="s">
        <v>1244</v>
      </c>
      <c r="C106" s="738"/>
      <c r="D106" s="246"/>
      <c r="E106" s="246"/>
      <c r="F106" s="246"/>
      <c r="G106" s="246"/>
      <c r="H106" s="246"/>
      <c r="I106" s="247"/>
    </row>
    <row r="108" spans="2:36">
      <c r="B108" s="738" t="s">
        <v>1241</v>
      </c>
      <c r="C108" s="739"/>
      <c r="D108" s="739"/>
      <c r="E108" s="739"/>
      <c r="F108" s="739"/>
      <c r="G108" s="740"/>
      <c r="H108" s="4"/>
      <c r="I108" s="744"/>
      <c r="J108" s="4"/>
      <c r="K108" s="741"/>
      <c r="L108" s="742"/>
      <c r="M108" s="742"/>
      <c r="N108" s="741"/>
      <c r="O108" s="742"/>
      <c r="P108" s="742"/>
      <c r="Q108" s="742"/>
      <c r="R108" s="743"/>
      <c r="S108" s="741"/>
      <c r="T108" s="742"/>
      <c r="U108" s="742"/>
      <c r="V108" s="741"/>
      <c r="W108" s="742"/>
      <c r="X108" s="742"/>
      <c r="Y108" s="742"/>
      <c r="Z108" s="743"/>
      <c r="AA108" s="741"/>
      <c r="AB108" s="742"/>
      <c r="AC108" s="742"/>
      <c r="AD108" s="742"/>
      <c r="AE108" s="743"/>
      <c r="AF108" s="741"/>
      <c r="AG108" s="742"/>
      <c r="AH108" s="742"/>
      <c r="AI108" s="742"/>
      <c r="AJ108" s="743"/>
    </row>
    <row r="109" spans="2:36">
      <c r="B109" s="738" t="s">
        <v>1242</v>
      </c>
      <c r="C109" s="246"/>
      <c r="D109" s="246"/>
      <c r="E109" s="246"/>
      <c r="F109" s="246"/>
      <c r="G109" s="247"/>
      <c r="H109" s="4"/>
      <c r="I109" s="744"/>
      <c r="J109" s="4"/>
      <c r="K109" s="745"/>
      <c r="L109" s="746"/>
      <c r="M109" s="746"/>
      <c r="N109" s="745"/>
      <c r="O109" s="746"/>
      <c r="P109" s="746"/>
      <c r="Q109" s="746"/>
      <c r="R109" s="747"/>
      <c r="S109" s="745"/>
      <c r="T109" s="746"/>
      <c r="U109" s="746"/>
      <c r="V109" s="745"/>
      <c r="W109" s="746"/>
      <c r="X109" s="746"/>
      <c r="Y109" s="746"/>
      <c r="Z109" s="747"/>
      <c r="AA109" s="745"/>
      <c r="AB109" s="746"/>
      <c r="AC109" s="746"/>
      <c r="AD109" s="746"/>
      <c r="AE109" s="747"/>
      <c r="AF109" s="745"/>
      <c r="AG109" s="746"/>
      <c r="AH109" s="746"/>
      <c r="AI109" s="746"/>
      <c r="AJ109" s="747"/>
    </row>
    <row r="110" spans="2:36">
      <c r="B110" s="738" t="s">
        <v>1243</v>
      </c>
      <c r="C110" s="246"/>
      <c r="D110" s="246"/>
      <c r="E110" s="246"/>
      <c r="F110" s="246"/>
      <c r="G110" s="247"/>
      <c r="H110" s="4"/>
      <c r="I110" s="744"/>
      <c r="J110" s="4"/>
      <c r="K110" s="745"/>
      <c r="L110" s="746"/>
      <c r="M110" s="746"/>
      <c r="N110" s="745"/>
      <c r="O110" s="746"/>
      <c r="P110" s="746"/>
      <c r="Q110" s="746"/>
      <c r="R110" s="747"/>
      <c r="S110" s="745"/>
      <c r="T110" s="746"/>
      <c r="U110" s="746"/>
      <c r="V110" s="745"/>
      <c r="W110" s="746"/>
      <c r="X110" s="746"/>
      <c r="Y110" s="746"/>
      <c r="Z110" s="747"/>
      <c r="AA110" s="745"/>
      <c r="AB110" s="746"/>
      <c r="AC110" s="746"/>
      <c r="AD110" s="746"/>
      <c r="AE110" s="747"/>
      <c r="AF110" s="745"/>
      <c r="AG110" s="746"/>
      <c r="AH110" s="746"/>
      <c r="AI110" s="746"/>
      <c r="AJ110" s="747"/>
    </row>
    <row r="111" spans="2:36">
      <c r="B111" s="738" t="s">
        <v>1220</v>
      </c>
      <c r="C111" s="246"/>
      <c r="D111" s="246"/>
      <c r="E111" s="246"/>
      <c r="F111" s="246"/>
      <c r="G111" s="247"/>
      <c r="H111" s="4"/>
      <c r="I111" s="744"/>
      <c r="J111" s="4"/>
      <c r="K111" s="745"/>
      <c r="L111" s="746"/>
      <c r="M111" s="746"/>
      <c r="N111" s="745"/>
      <c r="O111" s="746"/>
      <c r="P111" s="746"/>
      <c r="Q111" s="746"/>
      <c r="R111" s="747"/>
      <c r="S111" s="745"/>
      <c r="T111" s="746"/>
      <c r="U111" s="746"/>
      <c r="V111" s="745"/>
      <c r="W111" s="746"/>
      <c r="X111" s="746"/>
      <c r="Y111" s="746"/>
      <c r="Z111" s="747"/>
      <c r="AA111" s="745"/>
      <c r="AB111" s="746"/>
      <c r="AC111" s="746"/>
      <c r="AD111" s="746"/>
      <c r="AE111" s="747"/>
      <c r="AF111" s="745"/>
      <c r="AG111" s="746"/>
      <c r="AH111" s="746"/>
      <c r="AI111" s="746"/>
      <c r="AJ111" s="747"/>
    </row>
    <row r="112" spans="2:36">
      <c r="B112" s="738" t="s">
        <v>1194</v>
      </c>
      <c r="C112" s="246"/>
      <c r="D112" s="246"/>
      <c r="E112" s="246"/>
      <c r="F112" s="246"/>
      <c r="G112" s="247"/>
      <c r="H112" s="4"/>
      <c r="I112" s="744"/>
      <c r="J112" s="4"/>
      <c r="K112" s="745"/>
      <c r="L112" s="746"/>
      <c r="M112" s="746"/>
      <c r="N112" s="745"/>
      <c r="O112" s="746"/>
      <c r="P112" s="746"/>
      <c r="Q112" s="746"/>
      <c r="R112" s="747"/>
      <c r="S112" s="745"/>
      <c r="T112" s="746"/>
      <c r="U112" s="746"/>
      <c r="V112" s="745"/>
      <c r="W112" s="746"/>
      <c r="X112" s="746"/>
      <c r="Y112" s="746"/>
      <c r="Z112" s="747"/>
      <c r="AA112" s="745"/>
      <c r="AB112" s="746"/>
      <c r="AC112" s="746"/>
      <c r="AD112" s="746"/>
      <c r="AE112" s="747"/>
      <c r="AF112" s="745"/>
      <c r="AG112" s="746"/>
      <c r="AH112" s="746"/>
      <c r="AI112" s="746"/>
      <c r="AJ112" s="747"/>
    </row>
    <row r="113" spans="2:36">
      <c r="B113" s="738" t="s">
        <v>1195</v>
      </c>
      <c r="C113" s="246"/>
      <c r="D113" s="246"/>
      <c r="E113" s="246"/>
      <c r="F113" s="246"/>
      <c r="G113" s="247"/>
      <c r="H113" s="4"/>
      <c r="I113" s="744"/>
      <c r="J113" s="4"/>
      <c r="K113" s="745"/>
      <c r="L113" s="746"/>
      <c r="M113" s="746"/>
      <c r="N113" s="745"/>
      <c r="O113" s="746"/>
      <c r="P113" s="746"/>
      <c r="Q113" s="746"/>
      <c r="R113" s="747"/>
      <c r="S113" s="745"/>
      <c r="T113" s="746"/>
      <c r="U113" s="746"/>
      <c r="V113" s="745"/>
      <c r="W113" s="746"/>
      <c r="X113" s="746"/>
      <c r="Y113" s="746"/>
      <c r="Z113" s="747"/>
      <c r="AA113" s="745"/>
      <c r="AB113" s="746"/>
      <c r="AC113" s="746"/>
      <c r="AD113" s="746"/>
      <c r="AE113" s="747"/>
      <c r="AF113" s="745"/>
      <c r="AG113" s="746"/>
      <c r="AH113" s="746"/>
      <c r="AI113" s="746"/>
      <c r="AJ113" s="747"/>
    </row>
    <row r="114" spans="2:36">
      <c r="B114" s="738" t="s">
        <v>1196</v>
      </c>
      <c r="C114" s="246"/>
      <c r="D114" s="246"/>
      <c r="E114" s="246"/>
      <c r="F114" s="246"/>
      <c r="G114" s="247"/>
      <c r="H114" s="4"/>
      <c r="I114" s="744"/>
      <c r="J114" s="4"/>
      <c r="K114" s="745"/>
      <c r="L114" s="746"/>
      <c r="M114" s="746"/>
      <c r="N114" s="745"/>
      <c r="O114" s="746"/>
      <c r="P114" s="746"/>
      <c r="Q114" s="746"/>
      <c r="R114" s="747"/>
      <c r="S114" s="745"/>
      <c r="T114" s="746"/>
      <c r="U114" s="746"/>
      <c r="V114" s="745"/>
      <c r="W114" s="746"/>
      <c r="X114" s="746"/>
      <c r="Y114" s="746"/>
      <c r="Z114" s="747"/>
      <c r="AA114" s="745"/>
      <c r="AB114" s="746"/>
      <c r="AC114" s="746"/>
      <c r="AD114" s="746"/>
      <c r="AE114" s="747"/>
      <c r="AF114" s="745"/>
      <c r="AG114" s="746"/>
      <c r="AH114" s="746"/>
      <c r="AI114" s="746"/>
      <c r="AJ114" s="747"/>
    </row>
    <row r="115" spans="2:36">
      <c r="B115" s="738" t="s">
        <v>1197</v>
      </c>
      <c r="C115" s="246"/>
      <c r="D115" s="246"/>
      <c r="E115" s="246"/>
      <c r="F115" s="246"/>
      <c r="G115" s="247"/>
      <c r="H115" s="4"/>
      <c r="I115" s="744"/>
      <c r="J115" s="4"/>
      <c r="K115" s="745"/>
      <c r="L115" s="746"/>
      <c r="M115" s="746"/>
      <c r="N115" s="745"/>
      <c r="O115" s="746"/>
      <c r="P115" s="746"/>
      <c r="Q115" s="746"/>
      <c r="R115" s="747"/>
      <c r="S115" s="745"/>
      <c r="T115" s="746"/>
      <c r="U115" s="746"/>
      <c r="V115" s="745"/>
      <c r="W115" s="746"/>
      <c r="X115" s="746"/>
      <c r="Y115" s="746"/>
      <c r="Z115" s="747"/>
      <c r="AA115" s="745"/>
      <c r="AB115" s="746"/>
      <c r="AC115" s="746"/>
      <c r="AD115" s="746"/>
      <c r="AE115" s="747"/>
      <c r="AF115" s="745"/>
      <c r="AG115" s="746"/>
      <c r="AH115" s="746"/>
      <c r="AI115" s="746"/>
      <c r="AJ115" s="747"/>
    </row>
    <row r="116" spans="2:36">
      <c r="B116" s="738" t="s">
        <v>1198</v>
      </c>
      <c r="C116" s="246"/>
      <c r="D116" s="246"/>
      <c r="E116" s="246"/>
      <c r="F116" s="246"/>
      <c r="G116" s="247"/>
      <c r="H116" s="4"/>
      <c r="I116" s="744"/>
      <c r="J116" s="4"/>
      <c r="K116" s="745"/>
      <c r="L116" s="746"/>
      <c r="M116" s="746"/>
      <c r="N116" s="745"/>
      <c r="O116" s="746"/>
      <c r="P116" s="746"/>
      <c r="Q116" s="746"/>
      <c r="R116" s="747"/>
      <c r="S116" s="745"/>
      <c r="T116" s="746"/>
      <c r="U116" s="746"/>
      <c r="V116" s="745"/>
      <c r="W116" s="746"/>
      <c r="X116" s="746"/>
      <c r="Y116" s="746"/>
      <c r="Z116" s="747"/>
      <c r="AA116" s="745"/>
      <c r="AB116" s="746"/>
      <c r="AC116" s="746"/>
      <c r="AD116" s="746"/>
      <c r="AE116" s="747"/>
      <c r="AF116" s="745"/>
      <c r="AG116" s="746"/>
      <c r="AH116" s="746"/>
      <c r="AI116" s="746"/>
      <c r="AJ116" s="747"/>
    </row>
    <row r="117" spans="2:36">
      <c r="B117" s="738" t="s">
        <v>1199</v>
      </c>
      <c r="C117" s="246"/>
      <c r="D117" s="246"/>
      <c r="E117" s="246"/>
      <c r="F117" s="246"/>
      <c r="G117" s="247"/>
      <c r="H117" s="4"/>
      <c r="I117" s="744"/>
      <c r="J117" s="4"/>
      <c r="K117" s="748"/>
      <c r="L117" s="749"/>
      <c r="M117" s="749"/>
      <c r="N117" s="748"/>
      <c r="O117" s="749"/>
      <c r="P117" s="749"/>
      <c r="Q117" s="749"/>
      <c r="R117" s="750"/>
      <c r="S117" s="748"/>
      <c r="T117" s="749"/>
      <c r="U117" s="749"/>
      <c r="V117" s="748"/>
      <c r="W117" s="749"/>
      <c r="X117" s="749"/>
      <c r="Y117" s="749"/>
      <c r="Z117" s="750"/>
      <c r="AA117" s="748"/>
      <c r="AB117" s="749"/>
      <c r="AC117" s="749"/>
      <c r="AD117" s="749"/>
      <c r="AE117" s="750"/>
      <c r="AF117" s="748"/>
      <c r="AG117" s="749"/>
      <c r="AH117" s="749"/>
      <c r="AI117" s="749"/>
      <c r="AJ117" s="750"/>
    </row>
    <row r="120" spans="2:36" ht="12.75">
      <c r="B120" s="735" t="s">
        <v>1245</v>
      </c>
      <c r="C120" s="738"/>
      <c r="D120" s="246"/>
      <c r="E120" s="246"/>
      <c r="F120" s="246"/>
      <c r="G120" s="246"/>
      <c r="H120" s="246"/>
      <c r="I120" s="247"/>
    </row>
    <row r="122" spans="2:36">
      <c r="B122" s="738" t="s">
        <v>1241</v>
      </c>
      <c r="C122" s="739"/>
      <c r="D122" s="739"/>
      <c r="E122" s="739"/>
      <c r="F122" s="739"/>
      <c r="G122" s="740"/>
      <c r="H122" s="4"/>
      <c r="I122" s="744"/>
      <c r="J122" s="4"/>
      <c r="K122" s="741"/>
      <c r="L122" s="742"/>
      <c r="M122" s="742"/>
      <c r="N122" s="741"/>
      <c r="O122" s="742"/>
      <c r="P122" s="742"/>
      <c r="Q122" s="742"/>
      <c r="R122" s="743"/>
      <c r="S122" s="741"/>
      <c r="T122" s="742"/>
      <c r="U122" s="742"/>
      <c r="V122" s="741"/>
      <c r="W122" s="742"/>
      <c r="X122" s="742"/>
      <c r="Y122" s="742"/>
      <c r="Z122" s="743"/>
      <c r="AA122" s="741"/>
      <c r="AB122" s="742"/>
      <c r="AC122" s="742"/>
      <c r="AD122" s="742"/>
      <c r="AE122" s="743"/>
      <c r="AF122" s="741"/>
      <c r="AG122" s="742"/>
      <c r="AH122" s="742"/>
      <c r="AI122" s="742"/>
      <c r="AJ122" s="743"/>
    </row>
    <row r="123" spans="2:36">
      <c r="B123" s="738" t="s">
        <v>1242</v>
      </c>
      <c r="C123" s="246"/>
      <c r="D123" s="246"/>
      <c r="E123" s="246"/>
      <c r="F123" s="246"/>
      <c r="G123" s="247"/>
      <c r="H123" s="4"/>
      <c r="I123" s="744"/>
      <c r="J123" s="4"/>
      <c r="K123" s="745"/>
      <c r="L123" s="746"/>
      <c r="M123" s="746"/>
      <c r="N123" s="745"/>
      <c r="O123" s="746"/>
      <c r="P123" s="746"/>
      <c r="Q123" s="746"/>
      <c r="R123" s="747"/>
      <c r="S123" s="745"/>
      <c r="T123" s="746"/>
      <c r="U123" s="746"/>
      <c r="V123" s="745"/>
      <c r="W123" s="746"/>
      <c r="X123" s="746"/>
      <c r="Y123" s="746"/>
      <c r="Z123" s="747"/>
      <c r="AA123" s="745"/>
      <c r="AB123" s="746"/>
      <c r="AC123" s="746"/>
      <c r="AD123" s="746"/>
      <c r="AE123" s="747"/>
      <c r="AF123" s="745"/>
      <c r="AG123" s="746"/>
      <c r="AH123" s="746"/>
      <c r="AI123" s="746"/>
      <c r="AJ123" s="747"/>
    </row>
    <row r="124" spans="2:36">
      <c r="B124" s="738" t="s">
        <v>1243</v>
      </c>
      <c r="C124" s="246"/>
      <c r="D124" s="246"/>
      <c r="E124" s="246"/>
      <c r="F124" s="246"/>
      <c r="G124" s="247"/>
      <c r="H124" s="4"/>
      <c r="I124" s="744"/>
      <c r="J124" s="4"/>
      <c r="K124" s="745"/>
      <c r="L124" s="746"/>
      <c r="M124" s="746"/>
      <c r="N124" s="745"/>
      <c r="O124" s="746"/>
      <c r="P124" s="746"/>
      <c r="Q124" s="746"/>
      <c r="R124" s="747"/>
      <c r="S124" s="745"/>
      <c r="T124" s="746"/>
      <c r="U124" s="746"/>
      <c r="V124" s="745"/>
      <c r="W124" s="746"/>
      <c r="X124" s="746"/>
      <c r="Y124" s="746"/>
      <c r="Z124" s="747"/>
      <c r="AA124" s="745"/>
      <c r="AB124" s="746"/>
      <c r="AC124" s="746"/>
      <c r="AD124" s="746"/>
      <c r="AE124" s="747"/>
      <c r="AF124" s="745"/>
      <c r="AG124" s="746"/>
      <c r="AH124" s="746"/>
      <c r="AI124" s="746"/>
      <c r="AJ124" s="747"/>
    </row>
    <row r="125" spans="2:36">
      <c r="B125" s="738" t="s">
        <v>1220</v>
      </c>
      <c r="C125" s="246"/>
      <c r="D125" s="246"/>
      <c r="E125" s="246"/>
      <c r="F125" s="246"/>
      <c r="G125" s="247"/>
      <c r="H125" s="4"/>
      <c r="I125" s="744"/>
      <c r="J125" s="4"/>
      <c r="K125" s="745"/>
      <c r="L125" s="746"/>
      <c r="M125" s="746"/>
      <c r="N125" s="745"/>
      <c r="O125" s="746"/>
      <c r="P125" s="746"/>
      <c r="Q125" s="746"/>
      <c r="R125" s="747"/>
      <c r="S125" s="745"/>
      <c r="T125" s="746"/>
      <c r="U125" s="746"/>
      <c r="V125" s="745"/>
      <c r="W125" s="746"/>
      <c r="X125" s="746"/>
      <c r="Y125" s="746"/>
      <c r="Z125" s="747"/>
      <c r="AA125" s="745"/>
      <c r="AB125" s="746"/>
      <c r="AC125" s="746"/>
      <c r="AD125" s="746"/>
      <c r="AE125" s="747"/>
      <c r="AF125" s="745"/>
      <c r="AG125" s="746"/>
      <c r="AH125" s="746"/>
      <c r="AI125" s="746"/>
      <c r="AJ125" s="747"/>
    </row>
    <row r="126" spans="2:36">
      <c r="B126" s="738" t="s">
        <v>1194</v>
      </c>
      <c r="C126" s="246"/>
      <c r="D126" s="246"/>
      <c r="E126" s="246"/>
      <c r="F126" s="246"/>
      <c r="G126" s="247"/>
      <c r="H126" s="4"/>
      <c r="I126" s="744"/>
      <c r="J126" s="4"/>
      <c r="K126" s="745"/>
      <c r="L126" s="746"/>
      <c r="M126" s="746"/>
      <c r="N126" s="745"/>
      <c r="O126" s="746"/>
      <c r="P126" s="746"/>
      <c r="Q126" s="746"/>
      <c r="R126" s="747"/>
      <c r="S126" s="745"/>
      <c r="T126" s="746"/>
      <c r="U126" s="746"/>
      <c r="V126" s="745"/>
      <c r="W126" s="746"/>
      <c r="X126" s="746"/>
      <c r="Y126" s="746"/>
      <c r="Z126" s="747"/>
      <c r="AA126" s="745"/>
      <c r="AB126" s="746"/>
      <c r="AC126" s="746"/>
      <c r="AD126" s="746"/>
      <c r="AE126" s="747"/>
      <c r="AF126" s="745"/>
      <c r="AG126" s="746"/>
      <c r="AH126" s="746"/>
      <c r="AI126" s="746"/>
      <c r="AJ126" s="747"/>
    </row>
    <row r="127" spans="2:36">
      <c r="B127" s="738" t="s">
        <v>1195</v>
      </c>
      <c r="C127" s="246"/>
      <c r="D127" s="246"/>
      <c r="E127" s="246"/>
      <c r="F127" s="246"/>
      <c r="G127" s="247"/>
      <c r="H127" s="4"/>
      <c r="I127" s="744"/>
      <c r="J127" s="4"/>
      <c r="K127" s="745"/>
      <c r="L127" s="746"/>
      <c r="M127" s="746"/>
      <c r="N127" s="745"/>
      <c r="O127" s="746"/>
      <c r="P127" s="746"/>
      <c r="Q127" s="746"/>
      <c r="R127" s="747"/>
      <c r="S127" s="745"/>
      <c r="T127" s="746"/>
      <c r="U127" s="746"/>
      <c r="V127" s="745"/>
      <c r="W127" s="746"/>
      <c r="X127" s="746"/>
      <c r="Y127" s="746"/>
      <c r="Z127" s="747"/>
      <c r="AA127" s="745"/>
      <c r="AB127" s="746"/>
      <c r="AC127" s="746"/>
      <c r="AD127" s="746"/>
      <c r="AE127" s="747"/>
      <c r="AF127" s="745"/>
      <c r="AG127" s="746"/>
      <c r="AH127" s="746"/>
      <c r="AI127" s="746"/>
      <c r="AJ127" s="747"/>
    </row>
    <row r="128" spans="2:36">
      <c r="B128" s="738" t="s">
        <v>1196</v>
      </c>
      <c r="C128" s="246"/>
      <c r="D128" s="246"/>
      <c r="E128" s="246"/>
      <c r="F128" s="246"/>
      <c r="G128" s="247"/>
      <c r="H128" s="4"/>
      <c r="I128" s="744"/>
      <c r="J128" s="4"/>
      <c r="K128" s="745"/>
      <c r="L128" s="746"/>
      <c r="M128" s="746"/>
      <c r="N128" s="745"/>
      <c r="O128" s="746"/>
      <c r="P128" s="746"/>
      <c r="Q128" s="746"/>
      <c r="R128" s="747"/>
      <c r="S128" s="745"/>
      <c r="T128" s="746"/>
      <c r="U128" s="746"/>
      <c r="V128" s="745"/>
      <c r="W128" s="746"/>
      <c r="X128" s="746"/>
      <c r="Y128" s="746"/>
      <c r="Z128" s="747"/>
      <c r="AA128" s="745"/>
      <c r="AB128" s="746"/>
      <c r="AC128" s="746"/>
      <c r="AD128" s="746"/>
      <c r="AE128" s="747"/>
      <c r="AF128" s="745"/>
      <c r="AG128" s="746"/>
      <c r="AH128" s="746"/>
      <c r="AI128" s="746"/>
      <c r="AJ128" s="747"/>
    </row>
    <row r="129" spans="2:36">
      <c r="B129" s="738" t="s">
        <v>1197</v>
      </c>
      <c r="C129" s="246"/>
      <c r="D129" s="246"/>
      <c r="E129" s="246"/>
      <c r="F129" s="246"/>
      <c r="G129" s="247"/>
      <c r="H129" s="4"/>
      <c r="I129" s="744"/>
      <c r="J129" s="4"/>
      <c r="K129" s="745"/>
      <c r="L129" s="746"/>
      <c r="M129" s="746"/>
      <c r="N129" s="745"/>
      <c r="O129" s="746"/>
      <c r="P129" s="746"/>
      <c r="Q129" s="746"/>
      <c r="R129" s="747"/>
      <c r="S129" s="745"/>
      <c r="T129" s="746"/>
      <c r="U129" s="746"/>
      <c r="V129" s="745"/>
      <c r="W129" s="746"/>
      <c r="X129" s="746"/>
      <c r="Y129" s="746"/>
      <c r="Z129" s="747"/>
      <c r="AA129" s="745"/>
      <c r="AB129" s="746"/>
      <c r="AC129" s="746"/>
      <c r="AD129" s="746"/>
      <c r="AE129" s="747"/>
      <c r="AF129" s="745"/>
      <c r="AG129" s="746"/>
      <c r="AH129" s="746"/>
      <c r="AI129" s="746"/>
      <c r="AJ129" s="747"/>
    </row>
    <row r="130" spans="2:36">
      <c r="B130" s="738" t="s">
        <v>1198</v>
      </c>
      <c r="C130" s="246"/>
      <c r="D130" s="246"/>
      <c r="E130" s="246"/>
      <c r="F130" s="246"/>
      <c r="G130" s="247"/>
      <c r="H130" s="4"/>
      <c r="I130" s="744"/>
      <c r="J130" s="4"/>
      <c r="K130" s="745"/>
      <c r="L130" s="746"/>
      <c r="M130" s="746"/>
      <c r="N130" s="745"/>
      <c r="O130" s="746"/>
      <c r="P130" s="746"/>
      <c r="Q130" s="746"/>
      <c r="R130" s="747"/>
      <c r="S130" s="745"/>
      <c r="T130" s="746"/>
      <c r="U130" s="746"/>
      <c r="V130" s="745"/>
      <c r="W130" s="746"/>
      <c r="X130" s="746"/>
      <c r="Y130" s="746"/>
      <c r="Z130" s="747"/>
      <c r="AA130" s="745"/>
      <c r="AB130" s="746"/>
      <c r="AC130" s="746"/>
      <c r="AD130" s="746"/>
      <c r="AE130" s="747"/>
      <c r="AF130" s="745"/>
      <c r="AG130" s="746"/>
      <c r="AH130" s="746"/>
      <c r="AI130" s="746"/>
      <c r="AJ130" s="747"/>
    </row>
    <row r="131" spans="2:36">
      <c r="B131" s="738" t="s">
        <v>1199</v>
      </c>
      <c r="C131" s="246"/>
      <c r="D131" s="246"/>
      <c r="E131" s="246"/>
      <c r="F131" s="246"/>
      <c r="G131" s="247"/>
      <c r="H131" s="4"/>
      <c r="I131" s="744"/>
      <c r="J131" s="4"/>
      <c r="K131" s="748"/>
      <c r="L131" s="749"/>
      <c r="M131" s="749"/>
      <c r="N131" s="748"/>
      <c r="O131" s="749"/>
      <c r="P131" s="749"/>
      <c r="Q131" s="749"/>
      <c r="R131" s="750"/>
      <c r="S131" s="748"/>
      <c r="T131" s="749"/>
      <c r="U131" s="749"/>
      <c r="V131" s="748"/>
      <c r="W131" s="749"/>
      <c r="X131" s="749"/>
      <c r="Y131" s="749"/>
      <c r="Z131" s="750"/>
      <c r="AA131" s="748"/>
      <c r="AB131" s="749"/>
      <c r="AC131" s="749"/>
      <c r="AD131" s="749"/>
      <c r="AE131" s="750"/>
      <c r="AF131" s="748"/>
      <c r="AG131" s="749"/>
      <c r="AH131" s="749"/>
      <c r="AI131" s="749"/>
      <c r="AJ131" s="750"/>
    </row>
    <row r="134" spans="2:36" ht="12.75">
      <c r="B134" s="735" t="s">
        <v>1246</v>
      </c>
      <c r="C134" s="738"/>
      <c r="D134" s="246"/>
      <c r="E134" s="246"/>
      <c r="F134" s="246"/>
      <c r="G134" s="246"/>
      <c r="H134" s="246"/>
      <c r="I134" s="247"/>
    </row>
    <row r="136" spans="2:36">
      <c r="B136" s="738" t="s">
        <v>1241</v>
      </c>
      <c r="C136" s="739"/>
      <c r="D136" s="739"/>
      <c r="E136" s="739"/>
      <c r="F136" s="739"/>
      <c r="G136" s="740"/>
      <c r="H136" s="4"/>
      <c r="I136" s="744"/>
      <c r="J136" s="4"/>
      <c r="K136" s="741"/>
      <c r="L136" s="742"/>
      <c r="M136" s="742"/>
      <c r="N136" s="741"/>
      <c r="O136" s="742"/>
      <c r="P136" s="742"/>
      <c r="Q136" s="742"/>
      <c r="R136" s="743"/>
      <c r="S136" s="741"/>
      <c r="T136" s="742"/>
      <c r="U136" s="742"/>
      <c r="V136" s="741"/>
      <c r="W136" s="742"/>
      <c r="X136" s="742"/>
      <c r="Y136" s="742"/>
      <c r="Z136" s="743"/>
      <c r="AA136" s="741"/>
      <c r="AB136" s="742"/>
      <c r="AC136" s="742"/>
      <c r="AD136" s="742"/>
      <c r="AE136" s="743"/>
      <c r="AF136" s="741"/>
      <c r="AG136" s="742"/>
      <c r="AH136" s="742"/>
      <c r="AI136" s="742"/>
      <c r="AJ136" s="743"/>
    </row>
    <row r="137" spans="2:36">
      <c r="B137" s="738" t="s">
        <v>1242</v>
      </c>
      <c r="C137" s="246"/>
      <c r="D137" s="246"/>
      <c r="E137" s="246"/>
      <c r="F137" s="246"/>
      <c r="G137" s="247"/>
      <c r="H137" s="4"/>
      <c r="I137" s="744"/>
      <c r="J137" s="4"/>
      <c r="K137" s="745"/>
      <c r="L137" s="746"/>
      <c r="M137" s="746"/>
      <c r="N137" s="745"/>
      <c r="O137" s="746"/>
      <c r="P137" s="746"/>
      <c r="Q137" s="746"/>
      <c r="R137" s="747"/>
      <c r="S137" s="745"/>
      <c r="T137" s="746"/>
      <c r="U137" s="746"/>
      <c r="V137" s="745"/>
      <c r="W137" s="746"/>
      <c r="X137" s="746"/>
      <c r="Y137" s="746"/>
      <c r="Z137" s="747"/>
      <c r="AA137" s="745"/>
      <c r="AB137" s="746"/>
      <c r="AC137" s="746"/>
      <c r="AD137" s="746"/>
      <c r="AE137" s="747"/>
      <c r="AF137" s="745"/>
      <c r="AG137" s="746"/>
      <c r="AH137" s="746"/>
      <c r="AI137" s="746"/>
      <c r="AJ137" s="747"/>
    </row>
    <row r="138" spans="2:36">
      <c r="B138" s="738" t="s">
        <v>1243</v>
      </c>
      <c r="C138" s="246"/>
      <c r="D138" s="246"/>
      <c r="E138" s="246"/>
      <c r="F138" s="246"/>
      <c r="G138" s="247"/>
      <c r="H138" s="4"/>
      <c r="I138" s="744"/>
      <c r="J138" s="4"/>
      <c r="K138" s="745"/>
      <c r="L138" s="746"/>
      <c r="M138" s="746"/>
      <c r="N138" s="745"/>
      <c r="O138" s="746"/>
      <c r="P138" s="746"/>
      <c r="Q138" s="746"/>
      <c r="R138" s="747"/>
      <c r="S138" s="745"/>
      <c r="T138" s="746"/>
      <c r="U138" s="746"/>
      <c r="V138" s="745"/>
      <c r="W138" s="746"/>
      <c r="X138" s="746"/>
      <c r="Y138" s="746"/>
      <c r="Z138" s="747"/>
      <c r="AA138" s="745"/>
      <c r="AB138" s="746"/>
      <c r="AC138" s="746"/>
      <c r="AD138" s="746"/>
      <c r="AE138" s="747"/>
      <c r="AF138" s="745"/>
      <c r="AG138" s="746"/>
      <c r="AH138" s="746"/>
      <c r="AI138" s="746"/>
      <c r="AJ138" s="747"/>
    </row>
    <row r="139" spans="2:36">
      <c r="B139" s="738" t="s">
        <v>1220</v>
      </c>
      <c r="C139" s="246"/>
      <c r="D139" s="246"/>
      <c r="E139" s="246"/>
      <c r="F139" s="246"/>
      <c r="G139" s="247"/>
      <c r="H139" s="4"/>
      <c r="I139" s="744"/>
      <c r="J139" s="4"/>
      <c r="K139" s="745"/>
      <c r="L139" s="746"/>
      <c r="M139" s="746"/>
      <c r="N139" s="745"/>
      <c r="O139" s="746"/>
      <c r="P139" s="746"/>
      <c r="Q139" s="746"/>
      <c r="R139" s="747"/>
      <c r="S139" s="745"/>
      <c r="T139" s="746"/>
      <c r="U139" s="746"/>
      <c r="V139" s="745"/>
      <c r="W139" s="746"/>
      <c r="X139" s="746"/>
      <c r="Y139" s="746"/>
      <c r="Z139" s="747"/>
      <c r="AA139" s="745"/>
      <c r="AB139" s="746"/>
      <c r="AC139" s="746"/>
      <c r="AD139" s="746"/>
      <c r="AE139" s="747"/>
      <c r="AF139" s="745"/>
      <c r="AG139" s="746"/>
      <c r="AH139" s="746"/>
      <c r="AI139" s="746"/>
      <c r="AJ139" s="747"/>
    </row>
    <row r="140" spans="2:36">
      <c r="B140" s="738" t="s">
        <v>1194</v>
      </c>
      <c r="C140" s="246"/>
      <c r="D140" s="246"/>
      <c r="E140" s="246"/>
      <c r="F140" s="246"/>
      <c r="G140" s="247"/>
      <c r="H140" s="4"/>
      <c r="I140" s="744"/>
      <c r="J140" s="4"/>
      <c r="K140" s="745"/>
      <c r="L140" s="746"/>
      <c r="M140" s="746"/>
      <c r="N140" s="745"/>
      <c r="O140" s="746"/>
      <c r="P140" s="746"/>
      <c r="Q140" s="746"/>
      <c r="R140" s="747"/>
      <c r="S140" s="745"/>
      <c r="T140" s="746"/>
      <c r="U140" s="746"/>
      <c r="V140" s="745"/>
      <c r="W140" s="746"/>
      <c r="X140" s="746"/>
      <c r="Y140" s="746"/>
      <c r="Z140" s="747"/>
      <c r="AA140" s="745"/>
      <c r="AB140" s="746"/>
      <c r="AC140" s="746"/>
      <c r="AD140" s="746"/>
      <c r="AE140" s="747"/>
      <c r="AF140" s="745"/>
      <c r="AG140" s="746"/>
      <c r="AH140" s="746"/>
      <c r="AI140" s="746"/>
      <c r="AJ140" s="747"/>
    </row>
    <row r="141" spans="2:36">
      <c r="B141" s="738" t="s">
        <v>1195</v>
      </c>
      <c r="C141" s="246"/>
      <c r="D141" s="246"/>
      <c r="E141" s="246"/>
      <c r="F141" s="246"/>
      <c r="G141" s="247"/>
      <c r="H141" s="4"/>
      <c r="I141" s="744"/>
      <c r="J141" s="4"/>
      <c r="K141" s="745"/>
      <c r="L141" s="746"/>
      <c r="M141" s="746"/>
      <c r="N141" s="745"/>
      <c r="O141" s="746"/>
      <c r="P141" s="746"/>
      <c r="Q141" s="746"/>
      <c r="R141" s="747"/>
      <c r="S141" s="745"/>
      <c r="T141" s="746"/>
      <c r="U141" s="746"/>
      <c r="V141" s="745"/>
      <c r="W141" s="746"/>
      <c r="X141" s="746"/>
      <c r="Y141" s="746"/>
      <c r="Z141" s="747"/>
      <c r="AA141" s="745"/>
      <c r="AB141" s="746"/>
      <c r="AC141" s="746"/>
      <c r="AD141" s="746"/>
      <c r="AE141" s="747"/>
      <c r="AF141" s="745"/>
      <c r="AG141" s="746"/>
      <c r="AH141" s="746"/>
      <c r="AI141" s="746"/>
      <c r="AJ141" s="747"/>
    </row>
    <row r="142" spans="2:36">
      <c r="B142" s="738" t="s">
        <v>1196</v>
      </c>
      <c r="C142" s="246"/>
      <c r="D142" s="246"/>
      <c r="E142" s="246"/>
      <c r="F142" s="246"/>
      <c r="G142" s="247"/>
      <c r="H142" s="4"/>
      <c r="I142" s="744"/>
      <c r="J142" s="4"/>
      <c r="K142" s="745"/>
      <c r="L142" s="746"/>
      <c r="M142" s="746"/>
      <c r="N142" s="745"/>
      <c r="O142" s="746"/>
      <c r="P142" s="746"/>
      <c r="Q142" s="746"/>
      <c r="R142" s="747"/>
      <c r="S142" s="745"/>
      <c r="T142" s="746"/>
      <c r="U142" s="746"/>
      <c r="V142" s="745"/>
      <c r="W142" s="746"/>
      <c r="X142" s="746"/>
      <c r="Y142" s="746"/>
      <c r="Z142" s="747"/>
      <c r="AA142" s="745"/>
      <c r="AB142" s="746"/>
      <c r="AC142" s="746"/>
      <c r="AD142" s="746"/>
      <c r="AE142" s="747"/>
      <c r="AF142" s="745"/>
      <c r="AG142" s="746"/>
      <c r="AH142" s="746"/>
      <c r="AI142" s="746"/>
      <c r="AJ142" s="747"/>
    </row>
    <row r="143" spans="2:36">
      <c r="B143" s="738" t="s">
        <v>1197</v>
      </c>
      <c r="C143" s="246"/>
      <c r="D143" s="246"/>
      <c r="E143" s="246"/>
      <c r="F143" s="246"/>
      <c r="G143" s="247"/>
      <c r="H143" s="4"/>
      <c r="I143" s="744"/>
      <c r="J143" s="4"/>
      <c r="K143" s="745"/>
      <c r="L143" s="746"/>
      <c r="M143" s="746"/>
      <c r="N143" s="745"/>
      <c r="O143" s="746"/>
      <c r="P143" s="746"/>
      <c r="Q143" s="746"/>
      <c r="R143" s="747"/>
      <c r="S143" s="745"/>
      <c r="T143" s="746"/>
      <c r="U143" s="746"/>
      <c r="V143" s="745"/>
      <c r="W143" s="746"/>
      <c r="X143" s="746"/>
      <c r="Y143" s="746"/>
      <c r="Z143" s="747"/>
      <c r="AA143" s="745"/>
      <c r="AB143" s="746"/>
      <c r="AC143" s="746"/>
      <c r="AD143" s="746"/>
      <c r="AE143" s="747"/>
      <c r="AF143" s="745"/>
      <c r="AG143" s="746"/>
      <c r="AH143" s="746"/>
      <c r="AI143" s="746"/>
      <c r="AJ143" s="747"/>
    </row>
    <row r="144" spans="2:36">
      <c r="B144" s="738" t="s">
        <v>1198</v>
      </c>
      <c r="C144" s="246"/>
      <c r="D144" s="246"/>
      <c r="E144" s="246"/>
      <c r="F144" s="246"/>
      <c r="G144" s="247"/>
      <c r="H144" s="4"/>
      <c r="I144" s="744"/>
      <c r="J144" s="4"/>
      <c r="K144" s="745"/>
      <c r="L144" s="746"/>
      <c r="M144" s="746"/>
      <c r="N144" s="745"/>
      <c r="O144" s="746"/>
      <c r="P144" s="746"/>
      <c r="Q144" s="746"/>
      <c r="R144" s="747"/>
      <c r="S144" s="745"/>
      <c r="T144" s="746"/>
      <c r="U144" s="746"/>
      <c r="V144" s="745"/>
      <c r="W144" s="746"/>
      <c r="X144" s="746"/>
      <c r="Y144" s="746"/>
      <c r="Z144" s="747"/>
      <c r="AA144" s="745"/>
      <c r="AB144" s="746"/>
      <c r="AC144" s="746"/>
      <c r="AD144" s="746"/>
      <c r="AE144" s="747"/>
      <c r="AF144" s="745"/>
      <c r="AG144" s="746"/>
      <c r="AH144" s="746"/>
      <c r="AI144" s="746"/>
      <c r="AJ144" s="747"/>
    </row>
    <row r="145" spans="2:36">
      <c r="B145" s="738" t="s">
        <v>1199</v>
      </c>
      <c r="C145" s="246"/>
      <c r="D145" s="246"/>
      <c r="E145" s="246"/>
      <c r="F145" s="246"/>
      <c r="G145" s="247"/>
      <c r="H145" s="4"/>
      <c r="I145" s="744"/>
      <c r="J145" s="4"/>
      <c r="K145" s="748"/>
      <c r="L145" s="749"/>
      <c r="M145" s="749"/>
      <c r="N145" s="748"/>
      <c r="O145" s="749"/>
      <c r="P145" s="749"/>
      <c r="Q145" s="749"/>
      <c r="R145" s="750"/>
      <c r="S145" s="748"/>
      <c r="T145" s="749"/>
      <c r="U145" s="749"/>
      <c r="V145" s="748"/>
      <c r="W145" s="749"/>
      <c r="X145" s="749"/>
      <c r="Y145" s="749"/>
      <c r="Z145" s="750"/>
      <c r="AA145" s="748"/>
      <c r="AB145" s="749"/>
      <c r="AC145" s="749"/>
      <c r="AD145" s="749"/>
      <c r="AE145" s="750"/>
      <c r="AF145" s="748"/>
      <c r="AG145" s="749"/>
      <c r="AH145" s="749"/>
      <c r="AI145" s="749"/>
      <c r="AJ145" s="750"/>
    </row>
    <row r="148" spans="2:36" ht="12.75">
      <c r="B148" s="735" t="s">
        <v>1247</v>
      </c>
      <c r="C148" s="738"/>
      <c r="D148" s="246"/>
      <c r="E148" s="246"/>
      <c r="F148" s="246"/>
      <c r="G148" s="246"/>
      <c r="H148" s="246"/>
      <c r="I148" s="247"/>
    </row>
    <row r="150" spans="2:36">
      <c r="B150" s="738" t="s">
        <v>1241</v>
      </c>
      <c r="C150" s="739"/>
      <c r="D150" s="739"/>
      <c r="E150" s="739"/>
      <c r="F150" s="739"/>
      <c r="G150" s="740"/>
      <c r="H150" s="4"/>
      <c r="I150" s="744"/>
      <c r="J150" s="4"/>
      <c r="K150" s="741"/>
      <c r="L150" s="742"/>
      <c r="M150" s="742"/>
      <c r="N150" s="741"/>
      <c r="O150" s="742"/>
      <c r="P150" s="742"/>
      <c r="Q150" s="742"/>
      <c r="R150" s="743"/>
      <c r="S150" s="741"/>
      <c r="T150" s="742"/>
      <c r="U150" s="742"/>
      <c r="V150" s="741"/>
      <c r="W150" s="742"/>
      <c r="X150" s="742"/>
      <c r="Y150" s="742"/>
      <c r="Z150" s="743"/>
      <c r="AA150" s="741"/>
      <c r="AB150" s="742"/>
      <c r="AC150" s="742"/>
      <c r="AD150" s="742"/>
      <c r="AE150" s="743"/>
      <c r="AF150" s="741"/>
      <c r="AG150" s="742"/>
      <c r="AH150" s="742"/>
      <c r="AI150" s="742"/>
      <c r="AJ150" s="743"/>
    </row>
    <row r="151" spans="2:36">
      <c r="B151" s="738" t="s">
        <v>1242</v>
      </c>
      <c r="C151" s="246"/>
      <c r="D151" s="246"/>
      <c r="E151" s="246"/>
      <c r="F151" s="246"/>
      <c r="G151" s="247"/>
      <c r="H151" s="4"/>
      <c r="I151" s="744"/>
      <c r="J151" s="4"/>
      <c r="K151" s="745"/>
      <c r="L151" s="746"/>
      <c r="M151" s="746"/>
      <c r="N151" s="745"/>
      <c r="O151" s="746"/>
      <c r="P151" s="746"/>
      <c r="Q151" s="746"/>
      <c r="R151" s="747"/>
      <c r="S151" s="745"/>
      <c r="T151" s="746"/>
      <c r="U151" s="746"/>
      <c r="V151" s="745"/>
      <c r="W151" s="746"/>
      <c r="X151" s="746"/>
      <c r="Y151" s="746"/>
      <c r="Z151" s="747"/>
      <c r="AA151" s="745"/>
      <c r="AB151" s="746"/>
      <c r="AC151" s="746"/>
      <c r="AD151" s="746"/>
      <c r="AE151" s="747"/>
      <c r="AF151" s="745"/>
      <c r="AG151" s="746"/>
      <c r="AH151" s="746"/>
      <c r="AI151" s="746"/>
      <c r="AJ151" s="747"/>
    </row>
    <row r="152" spans="2:36">
      <c r="B152" s="738" t="s">
        <v>1243</v>
      </c>
      <c r="C152" s="246"/>
      <c r="D152" s="246"/>
      <c r="E152" s="246"/>
      <c r="F152" s="246"/>
      <c r="G152" s="247"/>
      <c r="H152" s="4"/>
      <c r="I152" s="744"/>
      <c r="J152" s="4"/>
      <c r="K152" s="745"/>
      <c r="L152" s="746"/>
      <c r="M152" s="746"/>
      <c r="N152" s="745"/>
      <c r="O152" s="746"/>
      <c r="P152" s="746"/>
      <c r="Q152" s="746"/>
      <c r="R152" s="747"/>
      <c r="S152" s="745"/>
      <c r="T152" s="746"/>
      <c r="U152" s="746"/>
      <c r="V152" s="745"/>
      <c r="W152" s="746"/>
      <c r="X152" s="746"/>
      <c r="Y152" s="746"/>
      <c r="Z152" s="747"/>
      <c r="AA152" s="745"/>
      <c r="AB152" s="746"/>
      <c r="AC152" s="746"/>
      <c r="AD152" s="746"/>
      <c r="AE152" s="747"/>
      <c r="AF152" s="745"/>
      <c r="AG152" s="746"/>
      <c r="AH152" s="746"/>
      <c r="AI152" s="746"/>
      <c r="AJ152" s="747"/>
    </row>
    <row r="153" spans="2:36">
      <c r="B153" s="738" t="s">
        <v>1220</v>
      </c>
      <c r="C153" s="246"/>
      <c r="D153" s="246"/>
      <c r="E153" s="246"/>
      <c r="F153" s="246"/>
      <c r="G153" s="247"/>
      <c r="H153" s="4"/>
      <c r="I153" s="744"/>
      <c r="J153" s="4"/>
      <c r="K153" s="745"/>
      <c r="L153" s="746"/>
      <c r="M153" s="746"/>
      <c r="N153" s="745"/>
      <c r="O153" s="746"/>
      <c r="P153" s="746"/>
      <c r="Q153" s="746"/>
      <c r="R153" s="747"/>
      <c r="S153" s="745"/>
      <c r="T153" s="746"/>
      <c r="U153" s="746"/>
      <c r="V153" s="745"/>
      <c r="W153" s="746"/>
      <c r="X153" s="746"/>
      <c r="Y153" s="746"/>
      <c r="Z153" s="747"/>
      <c r="AA153" s="745"/>
      <c r="AB153" s="746"/>
      <c r="AC153" s="746"/>
      <c r="AD153" s="746"/>
      <c r="AE153" s="747"/>
      <c r="AF153" s="745"/>
      <c r="AG153" s="746"/>
      <c r="AH153" s="746"/>
      <c r="AI153" s="746"/>
      <c r="AJ153" s="747"/>
    </row>
    <row r="154" spans="2:36">
      <c r="B154" s="738" t="s">
        <v>1194</v>
      </c>
      <c r="C154" s="246"/>
      <c r="D154" s="246"/>
      <c r="E154" s="246"/>
      <c r="F154" s="246"/>
      <c r="G154" s="247"/>
      <c r="H154" s="4"/>
      <c r="I154" s="744"/>
      <c r="J154" s="4"/>
      <c r="K154" s="745"/>
      <c r="L154" s="746"/>
      <c r="M154" s="746"/>
      <c r="N154" s="745"/>
      <c r="O154" s="746"/>
      <c r="P154" s="746"/>
      <c r="Q154" s="746"/>
      <c r="R154" s="747"/>
      <c r="S154" s="745"/>
      <c r="T154" s="746"/>
      <c r="U154" s="746"/>
      <c r="V154" s="745"/>
      <c r="W154" s="746"/>
      <c r="X154" s="746"/>
      <c r="Y154" s="746"/>
      <c r="Z154" s="747"/>
      <c r="AA154" s="745"/>
      <c r="AB154" s="746"/>
      <c r="AC154" s="746"/>
      <c r="AD154" s="746"/>
      <c r="AE154" s="747"/>
      <c r="AF154" s="745"/>
      <c r="AG154" s="746"/>
      <c r="AH154" s="746"/>
      <c r="AI154" s="746"/>
      <c r="AJ154" s="747"/>
    </row>
    <row r="155" spans="2:36">
      <c r="B155" s="738" t="s">
        <v>1195</v>
      </c>
      <c r="C155" s="246"/>
      <c r="D155" s="246"/>
      <c r="E155" s="246"/>
      <c r="F155" s="246"/>
      <c r="G155" s="247"/>
      <c r="H155" s="4"/>
      <c r="I155" s="744"/>
      <c r="J155" s="4"/>
      <c r="K155" s="745"/>
      <c r="L155" s="746"/>
      <c r="M155" s="746"/>
      <c r="N155" s="745"/>
      <c r="O155" s="746"/>
      <c r="P155" s="746"/>
      <c r="Q155" s="746"/>
      <c r="R155" s="747"/>
      <c r="S155" s="745"/>
      <c r="T155" s="746"/>
      <c r="U155" s="746"/>
      <c r="V155" s="745"/>
      <c r="W155" s="746"/>
      <c r="X155" s="746"/>
      <c r="Y155" s="746"/>
      <c r="Z155" s="747"/>
      <c r="AA155" s="745"/>
      <c r="AB155" s="746"/>
      <c r="AC155" s="746"/>
      <c r="AD155" s="746"/>
      <c r="AE155" s="747"/>
      <c r="AF155" s="745"/>
      <c r="AG155" s="746"/>
      <c r="AH155" s="746"/>
      <c r="AI155" s="746"/>
      <c r="AJ155" s="747"/>
    </row>
    <row r="156" spans="2:36">
      <c r="B156" s="738" t="s">
        <v>1196</v>
      </c>
      <c r="C156" s="246"/>
      <c r="D156" s="246"/>
      <c r="E156" s="246"/>
      <c r="F156" s="246"/>
      <c r="G156" s="247"/>
      <c r="H156" s="4"/>
      <c r="I156" s="744"/>
      <c r="J156" s="4"/>
      <c r="K156" s="745"/>
      <c r="L156" s="746"/>
      <c r="M156" s="746"/>
      <c r="N156" s="745"/>
      <c r="O156" s="746"/>
      <c r="P156" s="746"/>
      <c r="Q156" s="746"/>
      <c r="R156" s="747"/>
      <c r="S156" s="745"/>
      <c r="T156" s="746"/>
      <c r="U156" s="746"/>
      <c r="V156" s="745"/>
      <c r="W156" s="746"/>
      <c r="X156" s="746"/>
      <c r="Y156" s="746"/>
      <c r="Z156" s="747"/>
      <c r="AA156" s="745"/>
      <c r="AB156" s="746"/>
      <c r="AC156" s="746"/>
      <c r="AD156" s="746"/>
      <c r="AE156" s="747"/>
      <c r="AF156" s="745"/>
      <c r="AG156" s="746"/>
      <c r="AH156" s="746"/>
      <c r="AI156" s="746"/>
      <c r="AJ156" s="747"/>
    </row>
    <row r="157" spans="2:36">
      <c r="B157" s="738" t="s">
        <v>1197</v>
      </c>
      <c r="C157" s="246"/>
      <c r="D157" s="246"/>
      <c r="E157" s="246"/>
      <c r="F157" s="246"/>
      <c r="G157" s="247"/>
      <c r="H157" s="4"/>
      <c r="I157" s="744"/>
      <c r="J157" s="4"/>
      <c r="K157" s="745"/>
      <c r="L157" s="746"/>
      <c r="M157" s="746"/>
      <c r="N157" s="745"/>
      <c r="O157" s="746"/>
      <c r="P157" s="746"/>
      <c r="Q157" s="746"/>
      <c r="R157" s="747"/>
      <c r="S157" s="745"/>
      <c r="T157" s="746"/>
      <c r="U157" s="746"/>
      <c r="V157" s="745"/>
      <c r="W157" s="746"/>
      <c r="X157" s="746"/>
      <c r="Y157" s="746"/>
      <c r="Z157" s="747"/>
      <c r="AA157" s="745"/>
      <c r="AB157" s="746"/>
      <c r="AC157" s="746"/>
      <c r="AD157" s="746"/>
      <c r="AE157" s="747"/>
      <c r="AF157" s="745"/>
      <c r="AG157" s="746"/>
      <c r="AH157" s="746"/>
      <c r="AI157" s="746"/>
      <c r="AJ157" s="747"/>
    </row>
    <row r="158" spans="2:36">
      <c r="B158" s="738" t="s">
        <v>1198</v>
      </c>
      <c r="C158" s="246"/>
      <c r="D158" s="246"/>
      <c r="E158" s="246"/>
      <c r="F158" s="246"/>
      <c r="G158" s="247"/>
      <c r="H158" s="4"/>
      <c r="I158" s="744"/>
      <c r="J158" s="4"/>
      <c r="K158" s="745"/>
      <c r="L158" s="746"/>
      <c r="M158" s="746"/>
      <c r="N158" s="745"/>
      <c r="O158" s="746"/>
      <c r="P158" s="746"/>
      <c r="Q158" s="746"/>
      <c r="R158" s="747"/>
      <c r="S158" s="745"/>
      <c r="T158" s="746"/>
      <c r="U158" s="746"/>
      <c r="V158" s="745"/>
      <c r="W158" s="746"/>
      <c r="X158" s="746"/>
      <c r="Y158" s="746"/>
      <c r="Z158" s="747"/>
      <c r="AA158" s="745"/>
      <c r="AB158" s="746"/>
      <c r="AC158" s="746"/>
      <c r="AD158" s="746"/>
      <c r="AE158" s="747"/>
      <c r="AF158" s="745"/>
      <c r="AG158" s="746"/>
      <c r="AH158" s="746"/>
      <c r="AI158" s="746"/>
      <c r="AJ158" s="747"/>
    </row>
    <row r="159" spans="2:36">
      <c r="B159" s="738" t="s">
        <v>1199</v>
      </c>
      <c r="C159" s="246"/>
      <c r="D159" s="246"/>
      <c r="E159" s="246"/>
      <c r="F159" s="246"/>
      <c r="G159" s="247"/>
      <c r="H159" s="4"/>
      <c r="I159" s="744"/>
      <c r="J159" s="4"/>
      <c r="K159" s="748"/>
      <c r="L159" s="749"/>
      <c r="M159" s="749"/>
      <c r="N159" s="748"/>
      <c r="O159" s="749"/>
      <c r="P159" s="749"/>
      <c r="Q159" s="749"/>
      <c r="R159" s="750"/>
      <c r="S159" s="748"/>
      <c r="T159" s="749"/>
      <c r="U159" s="749"/>
      <c r="V159" s="748"/>
      <c r="W159" s="749"/>
      <c r="X159" s="749"/>
      <c r="Y159" s="749"/>
      <c r="Z159" s="750"/>
      <c r="AA159" s="748"/>
      <c r="AB159" s="749"/>
      <c r="AC159" s="749"/>
      <c r="AD159" s="749"/>
      <c r="AE159" s="750"/>
      <c r="AF159" s="748"/>
      <c r="AG159" s="749"/>
      <c r="AH159" s="749"/>
      <c r="AI159" s="749"/>
      <c r="AJ159" s="750"/>
    </row>
    <row r="162" spans="2:36" ht="12.75">
      <c r="B162" s="735" t="s">
        <v>1248</v>
      </c>
      <c r="C162" s="738"/>
      <c r="D162" s="246"/>
      <c r="E162" s="246"/>
      <c r="F162" s="246"/>
      <c r="G162" s="246"/>
      <c r="H162" s="246"/>
      <c r="I162" s="247"/>
    </row>
    <row r="164" spans="2:36">
      <c r="B164" s="738" t="s">
        <v>1241</v>
      </c>
      <c r="C164" s="739"/>
      <c r="D164" s="739"/>
      <c r="E164" s="739"/>
      <c r="F164" s="739"/>
      <c r="G164" s="740"/>
      <c r="H164" s="4"/>
      <c r="I164" s="744"/>
      <c r="J164" s="4"/>
      <c r="K164" s="741"/>
      <c r="L164" s="742"/>
      <c r="M164" s="742"/>
      <c r="N164" s="741"/>
      <c r="O164" s="742"/>
      <c r="P164" s="742"/>
      <c r="Q164" s="742"/>
      <c r="R164" s="743"/>
      <c r="S164" s="741"/>
      <c r="T164" s="742"/>
      <c r="U164" s="742"/>
      <c r="V164" s="741"/>
      <c r="W164" s="742"/>
      <c r="X164" s="742"/>
      <c r="Y164" s="742"/>
      <c r="Z164" s="743"/>
      <c r="AA164" s="741"/>
      <c r="AB164" s="742"/>
      <c r="AC164" s="742"/>
      <c r="AD164" s="742"/>
      <c r="AE164" s="743"/>
      <c r="AF164" s="741"/>
      <c r="AG164" s="742"/>
      <c r="AH164" s="742"/>
      <c r="AI164" s="742"/>
      <c r="AJ164" s="743"/>
    </row>
    <row r="165" spans="2:36">
      <c r="B165" s="738" t="s">
        <v>1242</v>
      </c>
      <c r="C165" s="246"/>
      <c r="D165" s="246"/>
      <c r="E165" s="246"/>
      <c r="F165" s="246"/>
      <c r="G165" s="247"/>
      <c r="H165" s="4"/>
      <c r="I165" s="744"/>
      <c r="J165" s="4"/>
      <c r="K165" s="745"/>
      <c r="L165" s="746"/>
      <c r="M165" s="746"/>
      <c r="N165" s="745"/>
      <c r="O165" s="746"/>
      <c r="P165" s="746"/>
      <c r="Q165" s="746"/>
      <c r="R165" s="747"/>
      <c r="S165" s="745"/>
      <c r="T165" s="746"/>
      <c r="U165" s="746"/>
      <c r="V165" s="745"/>
      <c r="W165" s="746"/>
      <c r="X165" s="746"/>
      <c r="Y165" s="746"/>
      <c r="Z165" s="747"/>
      <c r="AA165" s="745"/>
      <c r="AB165" s="746"/>
      <c r="AC165" s="746"/>
      <c r="AD165" s="746"/>
      <c r="AE165" s="747"/>
      <c r="AF165" s="745"/>
      <c r="AG165" s="746"/>
      <c r="AH165" s="746"/>
      <c r="AI165" s="746"/>
      <c r="AJ165" s="747"/>
    </row>
    <row r="166" spans="2:36">
      <c r="B166" s="738" t="s">
        <v>1243</v>
      </c>
      <c r="C166" s="246"/>
      <c r="D166" s="246"/>
      <c r="E166" s="246"/>
      <c r="F166" s="246"/>
      <c r="G166" s="247"/>
      <c r="H166" s="4"/>
      <c r="I166" s="744"/>
      <c r="J166" s="4"/>
      <c r="K166" s="745"/>
      <c r="L166" s="746"/>
      <c r="M166" s="746"/>
      <c r="N166" s="745"/>
      <c r="O166" s="746"/>
      <c r="P166" s="746"/>
      <c r="Q166" s="746"/>
      <c r="R166" s="747"/>
      <c r="S166" s="745"/>
      <c r="T166" s="746"/>
      <c r="U166" s="746"/>
      <c r="V166" s="745"/>
      <c r="W166" s="746"/>
      <c r="X166" s="746"/>
      <c r="Y166" s="746"/>
      <c r="Z166" s="747"/>
      <c r="AA166" s="745"/>
      <c r="AB166" s="746"/>
      <c r="AC166" s="746"/>
      <c r="AD166" s="746"/>
      <c r="AE166" s="747"/>
      <c r="AF166" s="745"/>
      <c r="AG166" s="746"/>
      <c r="AH166" s="746"/>
      <c r="AI166" s="746"/>
      <c r="AJ166" s="747"/>
    </row>
    <row r="167" spans="2:36">
      <c r="B167" s="738" t="s">
        <v>1220</v>
      </c>
      <c r="C167" s="246"/>
      <c r="D167" s="246"/>
      <c r="E167" s="246"/>
      <c r="F167" s="246"/>
      <c r="G167" s="247"/>
      <c r="H167" s="4"/>
      <c r="I167" s="744"/>
      <c r="J167" s="4"/>
      <c r="K167" s="745"/>
      <c r="L167" s="746"/>
      <c r="M167" s="746"/>
      <c r="N167" s="745"/>
      <c r="O167" s="746"/>
      <c r="P167" s="746"/>
      <c r="Q167" s="746"/>
      <c r="R167" s="747"/>
      <c r="S167" s="745"/>
      <c r="T167" s="746"/>
      <c r="U167" s="746"/>
      <c r="V167" s="745"/>
      <c r="W167" s="746"/>
      <c r="X167" s="746"/>
      <c r="Y167" s="746"/>
      <c r="Z167" s="747"/>
      <c r="AA167" s="745"/>
      <c r="AB167" s="746"/>
      <c r="AC167" s="746"/>
      <c r="AD167" s="746"/>
      <c r="AE167" s="747"/>
      <c r="AF167" s="745"/>
      <c r="AG167" s="746"/>
      <c r="AH167" s="746"/>
      <c r="AI167" s="746"/>
      <c r="AJ167" s="747"/>
    </row>
    <row r="168" spans="2:36">
      <c r="B168" s="738" t="s">
        <v>1194</v>
      </c>
      <c r="C168" s="246"/>
      <c r="D168" s="246"/>
      <c r="E168" s="246"/>
      <c r="F168" s="246"/>
      <c r="G168" s="247"/>
      <c r="H168" s="4"/>
      <c r="I168" s="744"/>
      <c r="J168" s="4"/>
      <c r="K168" s="745"/>
      <c r="L168" s="746"/>
      <c r="M168" s="746"/>
      <c r="N168" s="745"/>
      <c r="O168" s="746"/>
      <c r="P168" s="746"/>
      <c r="Q168" s="746"/>
      <c r="R168" s="747"/>
      <c r="S168" s="745"/>
      <c r="T168" s="746"/>
      <c r="U168" s="746"/>
      <c r="V168" s="745"/>
      <c r="W168" s="746"/>
      <c r="X168" s="746"/>
      <c r="Y168" s="746"/>
      <c r="Z168" s="747"/>
      <c r="AA168" s="745"/>
      <c r="AB168" s="746"/>
      <c r="AC168" s="746"/>
      <c r="AD168" s="746"/>
      <c r="AE168" s="747"/>
      <c r="AF168" s="745"/>
      <c r="AG168" s="746"/>
      <c r="AH168" s="746"/>
      <c r="AI168" s="746"/>
      <c r="AJ168" s="747"/>
    </row>
    <row r="169" spans="2:36">
      <c r="B169" s="738" t="s">
        <v>1195</v>
      </c>
      <c r="C169" s="246"/>
      <c r="D169" s="246"/>
      <c r="E169" s="246"/>
      <c r="F169" s="246"/>
      <c r="G169" s="247"/>
      <c r="H169" s="4"/>
      <c r="I169" s="744"/>
      <c r="J169" s="4"/>
      <c r="K169" s="745"/>
      <c r="L169" s="746"/>
      <c r="M169" s="746"/>
      <c r="N169" s="745"/>
      <c r="O169" s="746"/>
      <c r="P169" s="746"/>
      <c r="Q169" s="746"/>
      <c r="R169" s="747"/>
      <c r="S169" s="745"/>
      <c r="T169" s="746"/>
      <c r="U169" s="746"/>
      <c r="V169" s="745"/>
      <c r="W169" s="746"/>
      <c r="X169" s="746"/>
      <c r="Y169" s="746"/>
      <c r="Z169" s="747"/>
      <c r="AA169" s="745"/>
      <c r="AB169" s="746"/>
      <c r="AC169" s="746"/>
      <c r="AD169" s="746"/>
      <c r="AE169" s="747"/>
      <c r="AF169" s="745"/>
      <c r="AG169" s="746"/>
      <c r="AH169" s="746"/>
      <c r="AI169" s="746"/>
      <c r="AJ169" s="747"/>
    </row>
    <row r="170" spans="2:36">
      <c r="B170" s="738" t="s">
        <v>1196</v>
      </c>
      <c r="C170" s="246"/>
      <c r="D170" s="246"/>
      <c r="E170" s="246"/>
      <c r="F170" s="246"/>
      <c r="G170" s="247"/>
      <c r="H170" s="4"/>
      <c r="I170" s="744"/>
      <c r="J170" s="4"/>
      <c r="K170" s="745"/>
      <c r="L170" s="746"/>
      <c r="M170" s="746"/>
      <c r="N170" s="745"/>
      <c r="O170" s="746"/>
      <c r="P170" s="746"/>
      <c r="Q170" s="746"/>
      <c r="R170" s="747"/>
      <c r="S170" s="745"/>
      <c r="T170" s="746"/>
      <c r="U170" s="746"/>
      <c r="V170" s="745"/>
      <c r="W170" s="746"/>
      <c r="X170" s="746"/>
      <c r="Y170" s="746"/>
      <c r="Z170" s="747"/>
      <c r="AA170" s="745"/>
      <c r="AB170" s="746"/>
      <c r="AC170" s="746"/>
      <c r="AD170" s="746"/>
      <c r="AE170" s="747"/>
      <c r="AF170" s="745"/>
      <c r="AG170" s="746"/>
      <c r="AH170" s="746"/>
      <c r="AI170" s="746"/>
      <c r="AJ170" s="747"/>
    </row>
    <row r="171" spans="2:36">
      <c r="B171" s="738" t="s">
        <v>1197</v>
      </c>
      <c r="C171" s="246"/>
      <c r="D171" s="246"/>
      <c r="E171" s="246"/>
      <c r="F171" s="246"/>
      <c r="G171" s="247"/>
      <c r="H171" s="4"/>
      <c r="I171" s="744"/>
      <c r="J171" s="4"/>
      <c r="K171" s="745"/>
      <c r="L171" s="746"/>
      <c r="M171" s="746"/>
      <c r="N171" s="745"/>
      <c r="O171" s="746"/>
      <c r="P171" s="746"/>
      <c r="Q171" s="746"/>
      <c r="R171" s="747"/>
      <c r="S171" s="745"/>
      <c r="T171" s="746"/>
      <c r="U171" s="746"/>
      <c r="V171" s="745"/>
      <c r="W171" s="746"/>
      <c r="X171" s="746"/>
      <c r="Y171" s="746"/>
      <c r="Z171" s="747"/>
      <c r="AA171" s="745"/>
      <c r="AB171" s="746"/>
      <c r="AC171" s="746"/>
      <c r="AD171" s="746"/>
      <c r="AE171" s="747"/>
      <c r="AF171" s="745"/>
      <c r="AG171" s="746"/>
      <c r="AH171" s="746"/>
      <c r="AI171" s="746"/>
      <c r="AJ171" s="747"/>
    </row>
    <row r="172" spans="2:36">
      <c r="B172" s="738" t="s">
        <v>1198</v>
      </c>
      <c r="C172" s="246"/>
      <c r="D172" s="246"/>
      <c r="E172" s="246"/>
      <c r="F172" s="246"/>
      <c r="G172" s="247"/>
      <c r="H172" s="4"/>
      <c r="I172" s="744"/>
      <c r="J172" s="4"/>
      <c r="K172" s="745"/>
      <c r="L172" s="746"/>
      <c r="M172" s="746"/>
      <c r="N172" s="745"/>
      <c r="O172" s="746"/>
      <c r="P172" s="746"/>
      <c r="Q172" s="746"/>
      <c r="R172" s="747"/>
      <c r="S172" s="745"/>
      <c r="T172" s="746"/>
      <c r="U172" s="746"/>
      <c r="V172" s="745"/>
      <c r="W172" s="746"/>
      <c r="X172" s="746"/>
      <c r="Y172" s="746"/>
      <c r="Z172" s="747"/>
      <c r="AA172" s="745"/>
      <c r="AB172" s="746"/>
      <c r="AC172" s="746"/>
      <c r="AD172" s="746"/>
      <c r="AE172" s="747"/>
      <c r="AF172" s="745"/>
      <c r="AG172" s="746"/>
      <c r="AH172" s="746"/>
      <c r="AI172" s="746"/>
      <c r="AJ172" s="747"/>
    </row>
    <row r="173" spans="2:36">
      <c r="B173" s="738" t="s">
        <v>1199</v>
      </c>
      <c r="C173" s="246"/>
      <c r="D173" s="246"/>
      <c r="E173" s="246"/>
      <c r="F173" s="246"/>
      <c r="G173" s="247"/>
      <c r="H173" s="4"/>
      <c r="I173" s="744"/>
      <c r="J173" s="4"/>
      <c r="K173" s="748"/>
      <c r="L173" s="749"/>
      <c r="M173" s="749"/>
      <c r="N173" s="748"/>
      <c r="O173" s="749"/>
      <c r="P173" s="749"/>
      <c r="Q173" s="749"/>
      <c r="R173" s="750"/>
      <c r="S173" s="748"/>
      <c r="T173" s="749"/>
      <c r="U173" s="749"/>
      <c r="V173" s="748"/>
      <c r="W173" s="749"/>
      <c r="X173" s="749"/>
      <c r="Y173" s="749"/>
      <c r="Z173" s="750"/>
      <c r="AA173" s="748"/>
      <c r="AB173" s="749"/>
      <c r="AC173" s="749"/>
      <c r="AD173" s="749"/>
      <c r="AE173" s="750"/>
      <c r="AF173" s="748"/>
      <c r="AG173" s="749"/>
      <c r="AH173" s="749"/>
      <c r="AI173" s="749"/>
      <c r="AJ173" s="750"/>
    </row>
    <row r="176" spans="2:36" ht="12.75">
      <c r="B176" s="733" t="s">
        <v>1249</v>
      </c>
    </row>
    <row r="178" spans="2:9">
      <c r="B178" s="546" t="s">
        <v>1250</v>
      </c>
      <c r="C178" s="547"/>
      <c r="D178" s="547"/>
      <c r="E178" s="547"/>
      <c r="F178" s="547"/>
      <c r="G178" s="547"/>
      <c r="H178" s="547"/>
      <c r="I178" s="736"/>
    </row>
    <row r="179" spans="2:9">
      <c r="B179" s="546" t="s">
        <v>1251</v>
      </c>
      <c r="C179" s="547"/>
      <c r="D179" s="547"/>
      <c r="E179" s="547"/>
      <c r="F179" s="547"/>
      <c r="G179" s="547"/>
      <c r="H179" s="547"/>
      <c r="I179" s="736"/>
    </row>
    <row r="180" spans="2:9">
      <c r="B180" s="546" t="s">
        <v>1252</v>
      </c>
      <c r="C180" s="547"/>
      <c r="D180" s="547"/>
      <c r="E180" s="547"/>
      <c r="F180" s="547"/>
      <c r="G180" s="547"/>
      <c r="H180" s="547"/>
      <c r="I180" s="736"/>
    </row>
    <row r="181" spans="2:9">
      <c r="B181" s="546" t="s">
        <v>1253</v>
      </c>
      <c r="C181" s="547"/>
      <c r="D181" s="547"/>
      <c r="E181" s="547"/>
      <c r="F181" s="547"/>
      <c r="G181" s="547"/>
      <c r="H181" s="547"/>
      <c r="I181" s="736"/>
    </row>
    <row r="182" spans="2:9">
      <c r="B182" s="546" t="s">
        <v>1254</v>
      </c>
      <c r="C182" s="547"/>
      <c r="D182" s="547"/>
      <c r="E182" s="547"/>
      <c r="F182" s="547"/>
      <c r="G182" s="547"/>
      <c r="H182" s="547"/>
      <c r="I182" s="736"/>
    </row>
    <row r="183" spans="2:9">
      <c r="B183" s="546" t="s">
        <v>1255</v>
      </c>
      <c r="C183" s="547"/>
      <c r="D183" s="547"/>
      <c r="E183" s="547"/>
      <c r="F183" s="547"/>
      <c r="G183" s="547"/>
      <c r="H183" s="547"/>
      <c r="I183" s="736"/>
    </row>
  </sheetData>
  <mergeCells count="2">
    <mergeCell ref="B3:F3"/>
    <mergeCell ref="K18:Y18"/>
  </mergeCells>
  <hyperlinks>
    <hyperlink ref="B3" location="HL_Home" tooltip="Go to Table of Contents" display="HL_Home" xr:uid="{00000000-0004-0000-1100-000000000000}"/>
  </hyperlinks>
  <pageMargins left="0.7" right="0.7" top="0.75" bottom="0.75" header="0.3" footer="0.3"/>
  <pageSetup paperSize="9" orientation="portrait" r:id="rId1"/>
  <headerFooter>
    <oddHeader>&amp;C&amp;"Calibri"&amp;14&amp;KFF0000 OFFICIAL&amp;1#_x000D_&amp;"Arial"&amp;8&amp;K000000&amp;"Arial"&amp;8&amp;K000000&amp;B&amp;"Arial"&amp;12&amp;Kff0000​‌OFFICIAL‌​</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FF0000"/>
    <pageSetUpPr autoPageBreaks="0"/>
  </sheetPr>
  <dimension ref="B1:AJ45"/>
  <sheetViews>
    <sheetView showGridLines="0" topLeftCell="J1" workbookViewId="0">
      <selection activeCell="T38" sqref="T38"/>
    </sheetView>
  </sheetViews>
  <sheetFormatPr defaultColWidth="9.33203125" defaultRowHeight="12"/>
  <cols>
    <col min="1" max="1" width="2.6640625" style="63" customWidth="1"/>
    <col min="2" max="2" width="8" style="63" customWidth="1"/>
    <col min="3" max="3" width="34.33203125" style="63" customWidth="1"/>
    <col min="4" max="5" width="9.33203125" style="63"/>
    <col min="6" max="6" width="2.83203125" style="63" customWidth="1"/>
    <col min="7" max="7" width="20.33203125" style="63" bestFit="1" customWidth="1"/>
    <col min="8" max="8" width="2.83203125" style="63" customWidth="1"/>
    <col min="9" max="9" width="20.33203125" style="63" bestFit="1" customWidth="1"/>
    <col min="10" max="10" width="2.83203125" style="63" customWidth="1"/>
    <col min="11" max="36" width="10.83203125" style="63" customWidth="1"/>
    <col min="37" max="16384" width="9.33203125" style="63"/>
  </cols>
  <sheetData>
    <row r="1" spans="2:36" ht="15">
      <c r="B1" s="140" t="s">
        <v>1256</v>
      </c>
    </row>
    <row r="2" spans="2:36" ht="12.75">
      <c r="B2" s="142" t="str">
        <f>+Contents!H7</f>
        <v>Melbourne Water</v>
      </c>
    </row>
    <row r="3" spans="2:36">
      <c r="B3" s="2075" t="s">
        <v>138</v>
      </c>
      <c r="C3" s="2075"/>
      <c r="D3" s="2075"/>
      <c r="E3" s="2075"/>
      <c r="F3" s="2075"/>
    </row>
    <row r="4" spans="2:36">
      <c r="K4" s="1208"/>
      <c r="L4" s="1209"/>
      <c r="M4" s="1210"/>
      <c r="N4" s="1208"/>
      <c r="O4" s="1211"/>
      <c r="P4" s="1209"/>
      <c r="Q4" s="1211"/>
      <c r="R4" s="1210"/>
      <c r="S4" s="1208"/>
      <c r="T4" s="1209"/>
      <c r="U4" s="1211"/>
      <c r="V4" s="1208"/>
      <c r="W4" s="1211"/>
      <c r="X4" s="1209" t="str">
        <f>'Rev&amp;RAV_FO'!X4</f>
        <v>FIFTH REG PERIOD</v>
      </c>
      <c r="Y4" s="1213"/>
      <c r="Z4" s="1210"/>
      <c r="AA4" s="1208"/>
      <c r="AB4" s="1211"/>
      <c r="AC4" s="1209" t="str">
        <f>'Rev&amp;RAV_FO'!AC4</f>
        <v>SIXTH REG PERIOD</v>
      </c>
      <c r="AD4" s="1211"/>
      <c r="AE4" s="1210"/>
      <c r="AF4" s="1287"/>
      <c r="AG4" s="721"/>
      <c r="AH4" s="1209" t="str">
        <f>'Rev&amp;RAV_FO'!AH4</f>
        <v>SEVENTH REG PERIOD</v>
      </c>
      <c r="AI4" s="721"/>
      <c r="AJ4" s="1207"/>
    </row>
    <row r="6" spans="2:36">
      <c r="K6" s="59"/>
      <c r="L6" s="59"/>
      <c r="M6" s="59"/>
      <c r="N6" s="59"/>
      <c r="O6" s="59"/>
      <c r="P6" s="59"/>
      <c r="Q6" s="59"/>
      <c r="R6" s="59"/>
      <c r="S6" s="59"/>
      <c r="T6" s="59"/>
      <c r="U6" s="59">
        <v>2021</v>
      </c>
      <c r="V6" s="59">
        <v>2022</v>
      </c>
      <c r="W6" s="59">
        <v>2023</v>
      </c>
      <c r="X6" s="60">
        <v>2024</v>
      </c>
      <c r="Y6" s="60">
        <v>2025</v>
      </c>
      <c r="Z6" s="60">
        <v>2026</v>
      </c>
      <c r="AA6" s="60">
        <v>2027</v>
      </c>
      <c r="AB6" s="60">
        <v>2028</v>
      </c>
      <c r="AC6" s="60">
        <v>2029</v>
      </c>
      <c r="AD6" s="60">
        <v>2030</v>
      </c>
      <c r="AE6" s="60">
        <v>2031</v>
      </c>
      <c r="AF6" s="60">
        <v>2032</v>
      </c>
      <c r="AG6" s="60">
        <v>2033</v>
      </c>
      <c r="AH6" s="60">
        <v>2034</v>
      </c>
      <c r="AI6" s="60">
        <v>2035</v>
      </c>
      <c r="AJ6" s="60">
        <v>2036</v>
      </c>
    </row>
    <row r="7" spans="2:36" s="68" customFormat="1">
      <c r="K7" s="61"/>
      <c r="L7" s="61"/>
      <c r="M7" s="61"/>
      <c r="N7" s="61"/>
      <c r="O7" s="61"/>
      <c r="P7" s="61"/>
      <c r="Q7" s="61"/>
      <c r="R7" s="61"/>
      <c r="S7" s="61"/>
      <c r="T7" s="61"/>
      <c r="U7" s="61" t="str">
        <f t="shared" ref="U7:AJ7" si="0">+CONCATENATE(U6-1,"-",RIGHT(U6,2))</f>
        <v>2020-21</v>
      </c>
      <c r="V7" s="61" t="str">
        <f t="shared" si="0"/>
        <v>2021-22</v>
      </c>
      <c r="W7" s="61" t="str">
        <f t="shared" si="0"/>
        <v>2022-23</v>
      </c>
      <c r="X7" s="61" t="str">
        <f t="shared" si="0"/>
        <v>2023-24</v>
      </c>
      <c r="Y7" s="61" t="str">
        <f t="shared" si="0"/>
        <v>2024-25</v>
      </c>
      <c r="Z7" s="61" t="str">
        <f t="shared" si="0"/>
        <v>2025-26</v>
      </c>
      <c r="AA7" s="61" t="str">
        <f t="shared" si="0"/>
        <v>2026-27</v>
      </c>
      <c r="AB7" s="61" t="str">
        <f t="shared" si="0"/>
        <v>2027-28</v>
      </c>
      <c r="AC7" s="61" t="str">
        <f t="shared" si="0"/>
        <v>2028-29</v>
      </c>
      <c r="AD7" s="61" t="str">
        <f t="shared" si="0"/>
        <v>2029-30</v>
      </c>
      <c r="AE7" s="61" t="str">
        <f t="shared" si="0"/>
        <v>2030-31</v>
      </c>
      <c r="AF7" s="61" t="str">
        <f t="shared" si="0"/>
        <v>2031-32</v>
      </c>
      <c r="AG7" s="61" t="str">
        <f t="shared" si="0"/>
        <v>2032-33</v>
      </c>
      <c r="AH7" s="61" t="str">
        <f t="shared" si="0"/>
        <v>2033-34</v>
      </c>
      <c r="AI7" s="61" t="str">
        <f t="shared" si="0"/>
        <v>2034-35</v>
      </c>
      <c r="AJ7" s="61" t="str">
        <f t="shared" si="0"/>
        <v>2035-36</v>
      </c>
    </row>
    <row r="10" spans="2:36">
      <c r="G10" s="2142" t="s">
        <v>1257</v>
      </c>
      <c r="H10" s="2143"/>
      <c r="I10" s="2147"/>
      <c r="K10" s="2142" t="s">
        <v>1178</v>
      </c>
      <c r="L10" s="2143"/>
      <c r="M10" s="2143"/>
      <c r="N10" s="2143"/>
      <c r="O10" s="2143"/>
      <c r="P10" s="2143"/>
      <c r="Q10" s="2143"/>
      <c r="R10" s="2143"/>
      <c r="S10" s="2143"/>
      <c r="T10" s="2143"/>
      <c r="U10" s="2143"/>
      <c r="V10" s="2143"/>
      <c r="W10" s="2143"/>
      <c r="X10" s="2143"/>
      <c r="Y10" s="2147"/>
      <c r="Z10" s="2142" t="s">
        <v>1179</v>
      </c>
      <c r="AA10" s="2143"/>
      <c r="AB10" s="2143"/>
      <c r="AC10" s="2143"/>
      <c r="AD10" s="2143"/>
      <c r="AE10" s="2143"/>
      <c r="AF10" s="2143"/>
      <c r="AG10" s="2143"/>
      <c r="AH10" s="2143"/>
      <c r="AI10" s="2143"/>
      <c r="AJ10" s="2147"/>
    </row>
    <row r="12" spans="2:36">
      <c r="B12" s="734" t="s">
        <v>1258</v>
      </c>
      <c r="G12" s="751" t="s">
        <v>1259</v>
      </c>
      <c r="I12" s="751" t="s">
        <v>1260</v>
      </c>
      <c r="K12" s="734" t="s">
        <v>1261</v>
      </c>
      <c r="S12" s="734" t="s">
        <v>1261</v>
      </c>
    </row>
    <row r="13" spans="2:36">
      <c r="G13" s="752" t="s">
        <v>1262</v>
      </c>
      <c r="I13" s="752" t="s">
        <v>1262</v>
      </c>
    </row>
    <row r="14" spans="2:36">
      <c r="I14" s="753"/>
    </row>
    <row r="15" spans="2:36">
      <c r="B15" s="63" t="s">
        <v>1263</v>
      </c>
      <c r="C15" s="2144"/>
      <c r="D15" s="2145"/>
      <c r="E15" s="2146"/>
      <c r="F15" s="1037"/>
      <c r="G15" s="346"/>
      <c r="H15" s="1038"/>
      <c r="I15" s="346"/>
      <c r="J15" s="4"/>
      <c r="K15" s="337"/>
      <c r="L15" s="338"/>
      <c r="M15" s="338"/>
      <c r="N15" s="337"/>
      <c r="O15" s="338"/>
      <c r="P15" s="338"/>
      <c r="Q15" s="338"/>
      <c r="R15" s="339"/>
      <c r="S15" s="337"/>
      <c r="T15" s="338"/>
      <c r="U15" s="338"/>
      <c r="V15" s="337"/>
      <c r="W15" s="338"/>
      <c r="X15" s="338"/>
      <c r="Y15" s="338"/>
      <c r="Z15" s="339"/>
      <c r="AA15" s="337"/>
      <c r="AB15" s="338"/>
      <c r="AC15" s="338"/>
      <c r="AD15" s="338"/>
      <c r="AE15" s="339"/>
      <c r="AF15" s="337"/>
      <c r="AG15" s="338"/>
      <c r="AH15" s="338"/>
      <c r="AI15" s="338"/>
      <c r="AJ15" s="339"/>
    </row>
    <row r="16" spans="2:36">
      <c r="B16" s="63" t="s">
        <v>1264</v>
      </c>
      <c r="C16" s="2144"/>
      <c r="D16" s="2145"/>
      <c r="E16" s="2146"/>
      <c r="F16" s="1037"/>
      <c r="G16" s="346"/>
      <c r="H16" s="1038"/>
      <c r="I16" s="346"/>
      <c r="J16" s="4"/>
      <c r="K16" s="340"/>
      <c r="L16" s="341"/>
      <c r="M16" s="341"/>
      <c r="N16" s="340"/>
      <c r="O16" s="341"/>
      <c r="P16" s="341"/>
      <c r="Q16" s="341"/>
      <c r="R16" s="342"/>
      <c r="S16" s="340"/>
      <c r="T16" s="341"/>
      <c r="U16" s="341"/>
      <c r="V16" s="340"/>
      <c r="W16" s="341"/>
      <c r="X16" s="341"/>
      <c r="Y16" s="341"/>
      <c r="Z16" s="342"/>
      <c r="AA16" s="340"/>
      <c r="AB16" s="341"/>
      <c r="AC16" s="341"/>
      <c r="AD16" s="341"/>
      <c r="AE16" s="342"/>
      <c r="AF16" s="340"/>
      <c r="AG16" s="341"/>
      <c r="AH16" s="341"/>
      <c r="AI16" s="341"/>
      <c r="AJ16" s="342"/>
    </row>
    <row r="17" spans="2:36">
      <c r="B17" s="63" t="s">
        <v>1265</v>
      </c>
      <c r="C17" s="2144"/>
      <c r="D17" s="2145"/>
      <c r="E17" s="2146"/>
      <c r="F17" s="1037"/>
      <c r="G17" s="346"/>
      <c r="H17" s="1038"/>
      <c r="I17" s="346"/>
      <c r="J17" s="4"/>
      <c r="K17" s="340"/>
      <c r="L17" s="341"/>
      <c r="M17" s="341"/>
      <c r="N17" s="340"/>
      <c r="O17" s="341"/>
      <c r="P17" s="341"/>
      <c r="Q17" s="341"/>
      <c r="R17" s="342"/>
      <c r="S17" s="340"/>
      <c r="T17" s="341"/>
      <c r="U17" s="341"/>
      <c r="V17" s="340"/>
      <c r="W17" s="341"/>
      <c r="X17" s="341"/>
      <c r="Y17" s="341"/>
      <c r="Z17" s="342"/>
      <c r="AA17" s="340"/>
      <c r="AB17" s="341"/>
      <c r="AC17" s="341"/>
      <c r="AD17" s="341"/>
      <c r="AE17" s="342"/>
      <c r="AF17" s="340"/>
      <c r="AG17" s="341"/>
      <c r="AH17" s="341"/>
      <c r="AI17" s="341"/>
      <c r="AJ17" s="342"/>
    </row>
    <row r="18" spans="2:36">
      <c r="B18" s="63" t="s">
        <v>1266</v>
      </c>
      <c r="C18" s="2144"/>
      <c r="D18" s="2145"/>
      <c r="E18" s="2146"/>
      <c r="F18" s="1037"/>
      <c r="G18" s="346"/>
      <c r="H18" s="1038"/>
      <c r="I18" s="346"/>
      <c r="J18" s="4"/>
      <c r="K18" s="340"/>
      <c r="L18" s="341"/>
      <c r="M18" s="341"/>
      <c r="N18" s="340"/>
      <c r="O18" s="341"/>
      <c r="P18" s="341"/>
      <c r="Q18" s="341"/>
      <c r="R18" s="342"/>
      <c r="S18" s="340"/>
      <c r="T18" s="341"/>
      <c r="U18" s="341"/>
      <c r="V18" s="340"/>
      <c r="W18" s="341"/>
      <c r="X18" s="341"/>
      <c r="Y18" s="341"/>
      <c r="Z18" s="342"/>
      <c r="AA18" s="340"/>
      <c r="AB18" s="341"/>
      <c r="AC18" s="341"/>
      <c r="AD18" s="341"/>
      <c r="AE18" s="342"/>
      <c r="AF18" s="340"/>
      <c r="AG18" s="341"/>
      <c r="AH18" s="341"/>
      <c r="AI18" s="341"/>
      <c r="AJ18" s="342"/>
    </row>
    <row r="19" spans="2:36">
      <c r="B19" s="63" t="s">
        <v>1267</v>
      </c>
      <c r="C19" s="2144"/>
      <c r="D19" s="2145"/>
      <c r="E19" s="2146"/>
      <c r="F19" s="1037"/>
      <c r="G19" s="346"/>
      <c r="H19" s="1038"/>
      <c r="I19" s="346"/>
      <c r="J19" s="4"/>
      <c r="K19" s="340"/>
      <c r="L19" s="341"/>
      <c r="M19" s="341"/>
      <c r="N19" s="340"/>
      <c r="O19" s="341"/>
      <c r="P19" s="341"/>
      <c r="Q19" s="341"/>
      <c r="R19" s="342"/>
      <c r="S19" s="340"/>
      <c r="T19" s="341"/>
      <c r="U19" s="341"/>
      <c r="V19" s="340"/>
      <c r="W19" s="341"/>
      <c r="X19" s="341"/>
      <c r="Y19" s="341"/>
      <c r="Z19" s="342"/>
      <c r="AA19" s="340"/>
      <c r="AB19" s="341"/>
      <c r="AC19" s="341"/>
      <c r="AD19" s="341"/>
      <c r="AE19" s="342"/>
      <c r="AF19" s="340"/>
      <c r="AG19" s="341"/>
      <c r="AH19" s="341"/>
      <c r="AI19" s="341"/>
      <c r="AJ19" s="342"/>
    </row>
    <row r="20" spans="2:36">
      <c r="B20" s="63" t="s">
        <v>1268</v>
      </c>
      <c r="C20" s="738"/>
      <c r="D20" s="246"/>
      <c r="E20" s="247"/>
      <c r="F20" s="4"/>
      <c r="G20" s="744"/>
      <c r="H20" s="4"/>
      <c r="I20" s="744"/>
      <c r="J20" s="4"/>
      <c r="K20" s="340"/>
      <c r="L20" s="341"/>
      <c r="M20" s="341"/>
      <c r="N20" s="340"/>
      <c r="O20" s="341"/>
      <c r="P20" s="341"/>
      <c r="Q20" s="341"/>
      <c r="R20" s="342"/>
      <c r="S20" s="340"/>
      <c r="T20" s="341"/>
      <c r="U20" s="341"/>
      <c r="V20" s="340"/>
      <c r="W20" s="341"/>
      <c r="X20" s="341"/>
      <c r="Y20" s="341"/>
      <c r="Z20" s="342"/>
      <c r="AA20" s="340"/>
      <c r="AB20" s="341"/>
      <c r="AC20" s="341"/>
      <c r="AD20" s="341"/>
      <c r="AE20" s="342"/>
      <c r="AF20" s="340"/>
      <c r="AG20" s="341"/>
      <c r="AH20" s="341"/>
      <c r="AI20" s="341"/>
      <c r="AJ20" s="342"/>
    </row>
    <row r="21" spans="2:36">
      <c r="B21" s="63" t="s">
        <v>1269</v>
      </c>
      <c r="C21" s="738"/>
      <c r="D21" s="246"/>
      <c r="E21" s="247"/>
      <c r="F21" s="4"/>
      <c r="G21" s="744"/>
      <c r="H21" s="4"/>
      <c r="I21" s="744"/>
      <c r="J21" s="4"/>
      <c r="K21" s="340"/>
      <c r="L21" s="341"/>
      <c r="M21" s="341"/>
      <c r="N21" s="340"/>
      <c r="O21" s="341"/>
      <c r="P21" s="341"/>
      <c r="Q21" s="341"/>
      <c r="R21" s="342"/>
      <c r="S21" s="340"/>
      <c r="T21" s="341"/>
      <c r="U21" s="341"/>
      <c r="V21" s="340"/>
      <c r="W21" s="341"/>
      <c r="X21" s="341"/>
      <c r="Y21" s="341"/>
      <c r="Z21" s="342"/>
      <c r="AA21" s="340"/>
      <c r="AB21" s="341"/>
      <c r="AC21" s="341"/>
      <c r="AD21" s="341"/>
      <c r="AE21" s="342"/>
      <c r="AF21" s="340"/>
      <c r="AG21" s="341"/>
      <c r="AH21" s="341"/>
      <c r="AI21" s="341"/>
      <c r="AJ21" s="342"/>
    </row>
    <row r="22" spans="2:36">
      <c r="B22" s="63" t="s">
        <v>1270</v>
      </c>
      <c r="C22" s="738"/>
      <c r="D22" s="246"/>
      <c r="E22" s="247"/>
      <c r="F22" s="4"/>
      <c r="G22" s="744"/>
      <c r="H22" s="4"/>
      <c r="I22" s="744"/>
      <c r="J22" s="4"/>
      <c r="K22" s="340"/>
      <c r="L22" s="341"/>
      <c r="M22" s="341"/>
      <c r="N22" s="340"/>
      <c r="O22" s="341"/>
      <c r="P22" s="341"/>
      <c r="Q22" s="341"/>
      <c r="R22" s="342"/>
      <c r="S22" s="340"/>
      <c r="T22" s="341"/>
      <c r="U22" s="341"/>
      <c r="V22" s="340"/>
      <c r="W22" s="341"/>
      <c r="X22" s="341"/>
      <c r="Y22" s="341"/>
      <c r="Z22" s="342"/>
      <c r="AA22" s="340"/>
      <c r="AB22" s="341"/>
      <c r="AC22" s="341"/>
      <c r="AD22" s="341"/>
      <c r="AE22" s="342"/>
      <c r="AF22" s="340"/>
      <c r="AG22" s="341"/>
      <c r="AH22" s="341"/>
      <c r="AI22" s="341"/>
      <c r="AJ22" s="342"/>
    </row>
    <row r="23" spans="2:36">
      <c r="B23" s="63" t="s">
        <v>1271</v>
      </c>
      <c r="C23" s="738"/>
      <c r="D23" s="246"/>
      <c r="E23" s="247"/>
      <c r="F23" s="4"/>
      <c r="G23" s="744"/>
      <c r="H23" s="4"/>
      <c r="I23" s="744"/>
      <c r="J23" s="4"/>
      <c r="K23" s="340"/>
      <c r="L23" s="341"/>
      <c r="M23" s="341"/>
      <c r="N23" s="340"/>
      <c r="O23" s="341"/>
      <c r="P23" s="341"/>
      <c r="Q23" s="341"/>
      <c r="R23" s="342"/>
      <c r="S23" s="340"/>
      <c r="T23" s="341"/>
      <c r="U23" s="341"/>
      <c r="V23" s="340"/>
      <c r="W23" s="341"/>
      <c r="X23" s="341"/>
      <c r="Y23" s="341"/>
      <c r="Z23" s="342"/>
      <c r="AA23" s="340"/>
      <c r="AB23" s="341"/>
      <c r="AC23" s="341"/>
      <c r="AD23" s="341"/>
      <c r="AE23" s="342"/>
      <c r="AF23" s="340"/>
      <c r="AG23" s="341"/>
      <c r="AH23" s="341"/>
      <c r="AI23" s="341"/>
      <c r="AJ23" s="342"/>
    </row>
    <row r="24" spans="2:36">
      <c r="B24" s="63" t="s">
        <v>1272</v>
      </c>
      <c r="C24" s="738"/>
      <c r="D24" s="246"/>
      <c r="E24" s="247"/>
      <c r="F24" s="4"/>
      <c r="G24" s="744"/>
      <c r="H24" s="4"/>
      <c r="I24" s="744"/>
      <c r="J24" s="4"/>
      <c r="K24" s="340"/>
      <c r="L24" s="341"/>
      <c r="M24" s="341"/>
      <c r="N24" s="340"/>
      <c r="O24" s="341"/>
      <c r="P24" s="341"/>
      <c r="Q24" s="341"/>
      <c r="R24" s="342"/>
      <c r="S24" s="340"/>
      <c r="T24" s="341"/>
      <c r="U24" s="341"/>
      <c r="V24" s="340"/>
      <c r="W24" s="341"/>
      <c r="X24" s="341"/>
      <c r="Y24" s="341"/>
      <c r="Z24" s="342"/>
      <c r="AA24" s="340"/>
      <c r="AB24" s="341"/>
      <c r="AC24" s="341"/>
      <c r="AD24" s="341"/>
      <c r="AE24" s="342"/>
      <c r="AF24" s="340"/>
      <c r="AG24" s="341"/>
      <c r="AH24" s="341"/>
      <c r="AI24" s="341"/>
      <c r="AJ24" s="342"/>
    </row>
    <row r="25" spans="2:36">
      <c r="B25" s="63" t="s">
        <v>1273</v>
      </c>
      <c r="C25" s="738"/>
      <c r="D25" s="246"/>
      <c r="E25" s="247"/>
      <c r="F25" s="4"/>
      <c r="G25" s="744"/>
      <c r="H25" s="4"/>
      <c r="I25" s="744"/>
      <c r="J25" s="4"/>
      <c r="K25" s="340"/>
      <c r="L25" s="341"/>
      <c r="M25" s="341"/>
      <c r="N25" s="340"/>
      <c r="O25" s="341"/>
      <c r="P25" s="341"/>
      <c r="Q25" s="341"/>
      <c r="R25" s="342"/>
      <c r="S25" s="340"/>
      <c r="T25" s="341"/>
      <c r="U25" s="341"/>
      <c r="V25" s="340"/>
      <c r="W25" s="341"/>
      <c r="X25" s="341"/>
      <c r="Y25" s="341"/>
      <c r="Z25" s="342"/>
      <c r="AA25" s="340"/>
      <c r="AB25" s="341"/>
      <c r="AC25" s="341"/>
      <c r="AD25" s="341"/>
      <c r="AE25" s="342"/>
      <c r="AF25" s="340"/>
      <c r="AG25" s="341"/>
      <c r="AH25" s="341"/>
      <c r="AI25" s="341"/>
      <c r="AJ25" s="342"/>
    </row>
    <row r="26" spans="2:36">
      <c r="B26" s="63" t="s">
        <v>1274</v>
      </c>
      <c r="C26" s="738"/>
      <c r="D26" s="246"/>
      <c r="E26" s="247"/>
      <c r="F26" s="4"/>
      <c r="G26" s="744"/>
      <c r="H26" s="4"/>
      <c r="I26" s="744"/>
      <c r="J26" s="4"/>
      <c r="K26" s="340"/>
      <c r="L26" s="341"/>
      <c r="M26" s="341"/>
      <c r="N26" s="340"/>
      <c r="O26" s="341"/>
      <c r="P26" s="341"/>
      <c r="Q26" s="341"/>
      <c r="R26" s="342"/>
      <c r="S26" s="340"/>
      <c r="T26" s="341"/>
      <c r="U26" s="341"/>
      <c r="V26" s="340"/>
      <c r="W26" s="341"/>
      <c r="X26" s="341"/>
      <c r="Y26" s="341"/>
      <c r="Z26" s="342"/>
      <c r="AA26" s="340"/>
      <c r="AB26" s="341"/>
      <c r="AC26" s="341"/>
      <c r="AD26" s="341"/>
      <c r="AE26" s="342"/>
      <c r="AF26" s="340"/>
      <c r="AG26" s="341"/>
      <c r="AH26" s="341"/>
      <c r="AI26" s="341"/>
      <c r="AJ26" s="342"/>
    </row>
    <row r="27" spans="2:36">
      <c r="B27" s="63" t="s">
        <v>1275</v>
      </c>
      <c r="C27" s="738"/>
      <c r="D27" s="246"/>
      <c r="E27" s="247"/>
      <c r="F27" s="4"/>
      <c r="G27" s="744"/>
      <c r="H27" s="4"/>
      <c r="I27" s="744"/>
      <c r="J27" s="4"/>
      <c r="K27" s="340"/>
      <c r="L27" s="341"/>
      <c r="M27" s="341"/>
      <c r="N27" s="340"/>
      <c r="O27" s="341"/>
      <c r="P27" s="341"/>
      <c r="Q27" s="341"/>
      <c r="R27" s="342"/>
      <c r="S27" s="340"/>
      <c r="T27" s="341"/>
      <c r="U27" s="341"/>
      <c r="V27" s="340"/>
      <c r="W27" s="341"/>
      <c r="X27" s="341"/>
      <c r="Y27" s="341"/>
      <c r="Z27" s="342"/>
      <c r="AA27" s="340"/>
      <c r="AB27" s="341"/>
      <c r="AC27" s="341"/>
      <c r="AD27" s="341"/>
      <c r="AE27" s="342"/>
      <c r="AF27" s="340"/>
      <c r="AG27" s="341"/>
      <c r="AH27" s="341"/>
      <c r="AI27" s="341"/>
      <c r="AJ27" s="342"/>
    </row>
    <row r="28" spans="2:36">
      <c r="B28" s="63" t="s">
        <v>1276</v>
      </c>
      <c r="C28" s="738"/>
      <c r="D28" s="246"/>
      <c r="E28" s="247"/>
      <c r="F28" s="4"/>
      <c r="G28" s="744"/>
      <c r="H28" s="4"/>
      <c r="I28" s="744"/>
      <c r="J28" s="4"/>
      <c r="K28" s="340"/>
      <c r="L28" s="341"/>
      <c r="M28" s="341"/>
      <c r="N28" s="340"/>
      <c r="O28" s="341"/>
      <c r="P28" s="341"/>
      <c r="Q28" s="341"/>
      <c r="R28" s="342"/>
      <c r="S28" s="340"/>
      <c r="T28" s="341"/>
      <c r="U28" s="341"/>
      <c r="V28" s="340"/>
      <c r="W28" s="341"/>
      <c r="X28" s="341"/>
      <c r="Y28" s="341"/>
      <c r="Z28" s="342"/>
      <c r="AA28" s="340"/>
      <c r="AB28" s="341"/>
      <c r="AC28" s="341"/>
      <c r="AD28" s="341"/>
      <c r="AE28" s="342"/>
      <c r="AF28" s="340"/>
      <c r="AG28" s="341"/>
      <c r="AH28" s="341"/>
      <c r="AI28" s="341"/>
      <c r="AJ28" s="342"/>
    </row>
    <row r="29" spans="2:36">
      <c r="B29" s="63" t="s">
        <v>1277</v>
      </c>
      <c r="C29" s="738"/>
      <c r="D29" s="246"/>
      <c r="E29" s="247"/>
      <c r="F29" s="4"/>
      <c r="G29" s="744"/>
      <c r="H29" s="4"/>
      <c r="I29" s="744"/>
      <c r="J29" s="4"/>
      <c r="K29" s="340"/>
      <c r="L29" s="341"/>
      <c r="M29" s="341"/>
      <c r="N29" s="340"/>
      <c r="O29" s="341"/>
      <c r="P29" s="341"/>
      <c r="Q29" s="341"/>
      <c r="R29" s="342"/>
      <c r="S29" s="340"/>
      <c r="T29" s="341"/>
      <c r="U29" s="341"/>
      <c r="V29" s="340"/>
      <c r="W29" s="341"/>
      <c r="X29" s="341"/>
      <c r="Y29" s="341"/>
      <c r="Z29" s="342"/>
      <c r="AA29" s="340"/>
      <c r="AB29" s="341"/>
      <c r="AC29" s="341"/>
      <c r="AD29" s="341"/>
      <c r="AE29" s="342"/>
      <c r="AF29" s="340"/>
      <c r="AG29" s="341"/>
      <c r="AH29" s="341"/>
      <c r="AI29" s="341"/>
      <c r="AJ29" s="342"/>
    </row>
    <row r="30" spans="2:36">
      <c r="B30" s="63" t="s">
        <v>1278</v>
      </c>
      <c r="C30" s="738"/>
      <c r="D30" s="246"/>
      <c r="E30" s="247"/>
      <c r="F30" s="4"/>
      <c r="G30" s="744"/>
      <c r="H30" s="4"/>
      <c r="I30" s="744"/>
      <c r="J30" s="4"/>
      <c r="K30" s="340"/>
      <c r="L30" s="341"/>
      <c r="M30" s="341"/>
      <c r="N30" s="340"/>
      <c r="O30" s="341"/>
      <c r="P30" s="341"/>
      <c r="Q30" s="341"/>
      <c r="R30" s="342"/>
      <c r="S30" s="340"/>
      <c r="T30" s="341"/>
      <c r="U30" s="341"/>
      <c r="V30" s="340"/>
      <c r="W30" s="341"/>
      <c r="X30" s="341"/>
      <c r="Y30" s="341"/>
      <c r="Z30" s="342"/>
      <c r="AA30" s="340"/>
      <c r="AB30" s="341"/>
      <c r="AC30" s="341"/>
      <c r="AD30" s="341"/>
      <c r="AE30" s="342"/>
      <c r="AF30" s="340"/>
      <c r="AG30" s="341"/>
      <c r="AH30" s="341"/>
      <c r="AI30" s="341"/>
      <c r="AJ30" s="342"/>
    </row>
    <row r="31" spans="2:36">
      <c r="B31" s="63" t="s">
        <v>1279</v>
      </c>
      <c r="C31" s="738"/>
      <c r="D31" s="246"/>
      <c r="E31" s="247"/>
      <c r="F31" s="4"/>
      <c r="G31" s="744"/>
      <c r="H31" s="4"/>
      <c r="I31" s="744"/>
      <c r="J31" s="4"/>
      <c r="K31" s="340"/>
      <c r="L31" s="341"/>
      <c r="M31" s="341"/>
      <c r="N31" s="340"/>
      <c r="O31" s="341"/>
      <c r="P31" s="341"/>
      <c r="Q31" s="341"/>
      <c r="R31" s="342"/>
      <c r="S31" s="340"/>
      <c r="T31" s="341"/>
      <c r="U31" s="341"/>
      <c r="V31" s="340"/>
      <c r="W31" s="341"/>
      <c r="X31" s="341"/>
      <c r="Y31" s="341"/>
      <c r="Z31" s="342"/>
      <c r="AA31" s="340"/>
      <c r="AB31" s="341"/>
      <c r="AC31" s="341"/>
      <c r="AD31" s="341"/>
      <c r="AE31" s="342"/>
      <c r="AF31" s="340"/>
      <c r="AG31" s="341"/>
      <c r="AH31" s="341"/>
      <c r="AI31" s="341"/>
      <c r="AJ31" s="342"/>
    </row>
    <row r="32" spans="2:36">
      <c r="B32" s="63" t="s">
        <v>1280</v>
      </c>
      <c r="C32" s="738"/>
      <c r="D32" s="246"/>
      <c r="E32" s="247"/>
      <c r="F32" s="4"/>
      <c r="G32" s="744"/>
      <c r="H32" s="4"/>
      <c r="I32" s="744"/>
      <c r="J32" s="4"/>
      <c r="K32" s="340"/>
      <c r="L32" s="341"/>
      <c r="M32" s="341"/>
      <c r="N32" s="340"/>
      <c r="O32" s="341"/>
      <c r="P32" s="341"/>
      <c r="Q32" s="341"/>
      <c r="R32" s="342"/>
      <c r="S32" s="340"/>
      <c r="T32" s="341"/>
      <c r="U32" s="341"/>
      <c r="V32" s="340"/>
      <c r="W32" s="341"/>
      <c r="X32" s="341"/>
      <c r="Y32" s="341"/>
      <c r="Z32" s="342"/>
      <c r="AA32" s="340"/>
      <c r="AB32" s="341"/>
      <c r="AC32" s="341"/>
      <c r="AD32" s="341"/>
      <c r="AE32" s="342"/>
      <c r="AF32" s="340"/>
      <c r="AG32" s="341"/>
      <c r="AH32" s="341"/>
      <c r="AI32" s="341"/>
      <c r="AJ32" s="342"/>
    </row>
    <row r="33" spans="2:36">
      <c r="B33" s="63" t="s">
        <v>1281</v>
      </c>
      <c r="C33" s="738"/>
      <c r="D33" s="246"/>
      <c r="E33" s="247"/>
      <c r="F33" s="4"/>
      <c r="G33" s="744"/>
      <c r="H33" s="4"/>
      <c r="I33" s="744"/>
      <c r="J33" s="4"/>
      <c r="K33" s="340"/>
      <c r="L33" s="341"/>
      <c r="M33" s="341"/>
      <c r="N33" s="340"/>
      <c r="O33" s="341"/>
      <c r="P33" s="341"/>
      <c r="Q33" s="341"/>
      <c r="R33" s="342"/>
      <c r="S33" s="340"/>
      <c r="T33" s="341"/>
      <c r="U33" s="341"/>
      <c r="V33" s="340"/>
      <c r="W33" s="341"/>
      <c r="X33" s="341"/>
      <c r="Y33" s="341"/>
      <c r="Z33" s="342"/>
      <c r="AA33" s="340"/>
      <c r="AB33" s="341"/>
      <c r="AC33" s="341"/>
      <c r="AD33" s="341"/>
      <c r="AE33" s="342"/>
      <c r="AF33" s="340"/>
      <c r="AG33" s="341"/>
      <c r="AH33" s="341"/>
      <c r="AI33" s="341"/>
      <c r="AJ33" s="342"/>
    </row>
    <row r="34" spans="2:36">
      <c r="B34" s="63" t="s">
        <v>1282</v>
      </c>
      <c r="C34" s="738"/>
      <c r="D34" s="246"/>
      <c r="E34" s="247"/>
      <c r="F34" s="4"/>
      <c r="G34" s="744"/>
      <c r="H34" s="4"/>
      <c r="I34" s="744"/>
      <c r="J34" s="4"/>
      <c r="K34" s="343"/>
      <c r="L34" s="344"/>
      <c r="M34" s="344"/>
      <c r="N34" s="343"/>
      <c r="O34" s="344"/>
      <c r="P34" s="344"/>
      <c r="Q34" s="344"/>
      <c r="R34" s="345"/>
      <c r="S34" s="343"/>
      <c r="T34" s="344"/>
      <c r="U34" s="344"/>
      <c r="V34" s="343"/>
      <c r="W34" s="344"/>
      <c r="X34" s="344"/>
      <c r="Y34" s="344"/>
      <c r="Z34" s="345"/>
      <c r="AA34" s="343"/>
      <c r="AB34" s="344"/>
      <c r="AC34" s="344"/>
      <c r="AD34" s="344"/>
      <c r="AE34" s="345"/>
      <c r="AF34" s="343"/>
      <c r="AG34" s="344"/>
      <c r="AH34" s="344"/>
      <c r="AI34" s="344"/>
      <c r="AJ34" s="345"/>
    </row>
    <row r="37" spans="2:36">
      <c r="Z37" s="754" t="s">
        <v>1283</v>
      </c>
      <c r="AA37" s="1153">
        <f t="shared" ref="AA37:AJ37" si="1">+SUMPRODUCT(AA15:AA35,$I$15:$I$35)</f>
        <v>0</v>
      </c>
      <c r="AB37" s="1154">
        <f t="shared" si="1"/>
        <v>0</v>
      </c>
      <c r="AC37" s="1154">
        <f t="shared" si="1"/>
        <v>0</v>
      </c>
      <c r="AD37" s="1154">
        <f t="shared" si="1"/>
        <v>0</v>
      </c>
      <c r="AE37" s="1155">
        <f t="shared" si="1"/>
        <v>0</v>
      </c>
      <c r="AF37" s="1154">
        <f t="shared" si="1"/>
        <v>0</v>
      </c>
      <c r="AG37" s="1154">
        <f t="shared" si="1"/>
        <v>0</v>
      </c>
      <c r="AH37" s="1154">
        <f t="shared" si="1"/>
        <v>0</v>
      </c>
      <c r="AI37" s="1154">
        <f t="shared" si="1"/>
        <v>0</v>
      </c>
      <c r="AJ37" s="1155">
        <f t="shared" si="1"/>
        <v>0</v>
      </c>
    </row>
    <row r="38" spans="2:36">
      <c r="Z38" s="754" t="s">
        <v>1284</v>
      </c>
      <c r="AA38" s="755">
        <f t="shared" ref="AA38:AJ38" si="2">+AA37/1000000</f>
        <v>0</v>
      </c>
      <c r="AB38" s="756">
        <f t="shared" si="2"/>
        <v>0</v>
      </c>
      <c r="AC38" s="756">
        <f t="shared" si="2"/>
        <v>0</v>
      </c>
      <c r="AD38" s="756">
        <f t="shared" si="2"/>
        <v>0</v>
      </c>
      <c r="AE38" s="757">
        <f t="shared" si="2"/>
        <v>0</v>
      </c>
      <c r="AF38" s="756">
        <f t="shared" si="2"/>
        <v>0</v>
      </c>
      <c r="AG38" s="756">
        <f t="shared" si="2"/>
        <v>0</v>
      </c>
      <c r="AH38" s="756">
        <f t="shared" si="2"/>
        <v>0</v>
      </c>
      <c r="AI38" s="756">
        <f t="shared" si="2"/>
        <v>0</v>
      </c>
      <c r="AJ38" s="757">
        <f t="shared" si="2"/>
        <v>0</v>
      </c>
    </row>
    <row r="39" spans="2:36">
      <c r="Z39" s="754" t="s">
        <v>1285</v>
      </c>
      <c r="AA39" s="758">
        <f>+AA38/KeyAssumptionsPriceControl_FO!AF15</f>
        <v>0</v>
      </c>
      <c r="AB39" s="759">
        <f>+AB38/KeyAssumptionsPriceControl_FO!AG15</f>
        <v>0</v>
      </c>
      <c r="AC39" s="759">
        <f>+AC38/KeyAssumptionsPriceControl_FO!AH15</f>
        <v>0</v>
      </c>
      <c r="AD39" s="759">
        <f>+AD38/KeyAssumptionsPriceControl_FO!AI15</f>
        <v>0</v>
      </c>
      <c r="AE39" s="760">
        <f>+AE38/KeyAssumptionsPriceControl_FO!AJ15</f>
        <v>0</v>
      </c>
      <c r="AF39" s="759">
        <f>+AF38/KeyAssumptionsPriceControl_FO!AK15</f>
        <v>0</v>
      </c>
      <c r="AG39" s="759">
        <f>+AG38/KeyAssumptionsPriceControl_FO!AL15</f>
        <v>0</v>
      </c>
      <c r="AH39" s="759">
        <f>+AH38/KeyAssumptionsPriceControl_FO!AM15</f>
        <v>0</v>
      </c>
      <c r="AI39" s="759">
        <f>+AI38/KeyAssumptionsPriceControl_FO!AN15</f>
        <v>0</v>
      </c>
      <c r="AJ39" s="760">
        <f>+AJ38/KeyAssumptionsPriceControl_FO!AO15</f>
        <v>0</v>
      </c>
    </row>
    <row r="40" spans="2:36">
      <c r="Z40" s="754" t="s">
        <v>1286</v>
      </c>
      <c r="AA40" s="761"/>
      <c r="AB40" s="762"/>
      <c r="AC40" s="762"/>
      <c r="AD40" s="762"/>
      <c r="AE40" s="763"/>
      <c r="AF40" s="762"/>
      <c r="AG40" s="762"/>
      <c r="AH40" s="762"/>
      <c r="AI40" s="762"/>
      <c r="AJ40" s="763"/>
    </row>
    <row r="41" spans="2:36">
      <c r="Z41" s="754" t="s">
        <v>231</v>
      </c>
      <c r="AA41" s="764"/>
      <c r="AB41" s="765"/>
      <c r="AC41" s="765"/>
      <c r="AD41" s="765"/>
      <c r="AE41" s="766"/>
      <c r="AF41" s="765"/>
      <c r="AG41" s="765"/>
      <c r="AH41" s="765"/>
      <c r="AI41" s="765"/>
      <c r="AJ41" s="766"/>
    </row>
    <row r="42" spans="2:36">
      <c r="AA42" s="767"/>
      <c r="AB42" s="767"/>
      <c r="AC42" s="767"/>
      <c r="AD42" s="767"/>
      <c r="AE42" s="767"/>
      <c r="AF42" s="767"/>
      <c r="AG42" s="767"/>
      <c r="AH42" s="767"/>
      <c r="AI42" s="767"/>
      <c r="AJ42" s="767"/>
    </row>
    <row r="45" spans="2:36">
      <c r="X45" s="767"/>
      <c r="Y45" s="767"/>
      <c r="Z45" s="767"/>
      <c r="AA45" s="767"/>
      <c r="AB45" s="767"/>
      <c r="AC45" s="767"/>
      <c r="AD45" s="767"/>
      <c r="AE45" s="767"/>
      <c r="AF45" s="767"/>
      <c r="AG45" s="767"/>
      <c r="AH45" s="767"/>
      <c r="AI45" s="767"/>
      <c r="AJ45" s="767"/>
    </row>
  </sheetData>
  <mergeCells count="9">
    <mergeCell ref="C18:E18"/>
    <mergeCell ref="C19:E19"/>
    <mergeCell ref="B3:F3"/>
    <mergeCell ref="G10:I10"/>
    <mergeCell ref="Z10:AJ10"/>
    <mergeCell ref="K10:Y10"/>
    <mergeCell ref="C15:E15"/>
    <mergeCell ref="C16:E16"/>
    <mergeCell ref="C17:E17"/>
  </mergeCells>
  <hyperlinks>
    <hyperlink ref="B3" location="HL_Home" tooltip="Go to Table of Contents" display="HL_Home" xr:uid="{00000000-0004-0000-1200-000000000000}"/>
  </hyperlinks>
  <pageMargins left="0.7" right="0.7" top="0.75" bottom="0.75" header="0.3" footer="0.3"/>
  <pageSetup paperSize="9" orientation="portrait" r:id="rId1"/>
  <headerFooter>
    <oddHeader>&amp;C&amp;"Calibri"&amp;14&amp;KFF0000 OFFICIAL&amp;1#_x000D_&amp;"Arial"&amp;8&amp;K000000&amp;"Arial"&amp;8&amp;K000000&amp;B&amp;"Arial"&amp;12&amp;Kff0000​‌OFFICIAL‌​</oddHead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C28C5-E94D-4CAF-ABC0-96937FDDB7BB}">
  <sheetPr codeName="Sheet17">
    <pageSetUpPr autoPageBreaks="0"/>
  </sheetPr>
  <dimension ref="A2:K70"/>
  <sheetViews>
    <sheetView showGridLines="0" workbookViewId="0">
      <selection activeCell="B24" sqref="B24"/>
    </sheetView>
  </sheetViews>
  <sheetFormatPr defaultColWidth="0" defaultRowHeight="15"/>
  <cols>
    <col min="1" max="1" width="10.6640625" style="1868" customWidth="1"/>
    <col min="2" max="2" width="130.6640625" style="1868" customWidth="1"/>
    <col min="3" max="3" width="16" style="1868" customWidth="1"/>
    <col min="4" max="4" width="16.83203125" style="1868" bestFit="1" customWidth="1"/>
    <col min="5" max="5" width="16.33203125" style="1868" customWidth="1"/>
    <col min="6" max="9" width="15.6640625" style="1868" customWidth="1"/>
    <col min="10" max="10" width="10.6640625" style="1868" customWidth="1"/>
    <col min="11" max="11" width="0" style="1868" hidden="1" customWidth="1"/>
    <col min="12" max="16384" width="10.6640625" style="1868" hidden="1"/>
  </cols>
  <sheetData>
    <row r="2" spans="2:9" ht="25.5">
      <c r="B2" s="1911" t="s">
        <v>1287</v>
      </c>
      <c r="C2" s="1885"/>
      <c r="D2" s="1884"/>
      <c r="E2" s="1883"/>
      <c r="F2" s="1883"/>
      <c r="G2" s="1879"/>
      <c r="H2" s="1879"/>
      <c r="I2" s="1879"/>
    </row>
    <row r="3" spans="2:9" ht="19.5">
      <c r="B3" s="1912" t="s">
        <v>829</v>
      </c>
      <c r="C3" s="1882"/>
      <c r="D3" s="1881"/>
      <c r="E3" s="1880"/>
      <c r="F3" s="1880"/>
      <c r="G3" s="1879"/>
      <c r="H3" s="1879"/>
      <c r="I3" s="1878"/>
    </row>
    <row r="4" spans="2:9">
      <c r="B4" s="1878"/>
      <c r="C4" s="1878"/>
      <c r="D4" s="1878"/>
      <c r="E4" s="1878"/>
      <c r="F4" s="1878"/>
      <c r="G4" s="1879"/>
      <c r="H4" s="1879"/>
      <c r="I4" s="1878"/>
    </row>
    <row r="5" spans="2:9">
      <c r="B5" s="2148" t="s">
        <v>1288</v>
      </c>
      <c r="C5" s="2148"/>
      <c r="D5" s="2148"/>
      <c r="E5" s="2148"/>
      <c r="F5" s="2148"/>
      <c r="G5" s="2148"/>
      <c r="H5" s="2148"/>
      <c r="I5" s="2148"/>
    </row>
    <row r="6" spans="2:9">
      <c r="B6" s="2148"/>
      <c r="C6" s="2148"/>
      <c r="D6" s="2148"/>
      <c r="E6" s="2148"/>
      <c r="F6" s="2148"/>
      <c r="G6" s="2148"/>
      <c r="H6" s="2148"/>
      <c r="I6" s="2148"/>
    </row>
    <row r="7" spans="2:9">
      <c r="B7" s="1877" t="s">
        <v>1289</v>
      </c>
      <c r="C7" s="1877" t="s">
        <v>875</v>
      </c>
      <c r="D7" s="1875" t="s">
        <v>1290</v>
      </c>
      <c r="E7" s="1875" t="s">
        <v>1291</v>
      </c>
      <c r="F7" s="1875" t="s">
        <v>1292</v>
      </c>
      <c r="G7" s="1875" t="s">
        <v>1293</v>
      </c>
      <c r="H7" s="1875" t="s">
        <v>1294</v>
      </c>
      <c r="I7" s="1875" t="s">
        <v>1295</v>
      </c>
    </row>
    <row r="8" spans="2:9">
      <c r="B8" s="1877"/>
      <c r="C8" s="1877"/>
      <c r="D8" s="1876" t="s">
        <v>1296</v>
      </c>
      <c r="E8" s="1875" t="s">
        <v>1297</v>
      </c>
      <c r="F8" s="1875" t="s">
        <v>1298</v>
      </c>
      <c r="G8" s="1875" t="s">
        <v>1299</v>
      </c>
      <c r="H8" s="1875" t="s">
        <v>1300</v>
      </c>
      <c r="I8" s="1875" t="s">
        <v>1301</v>
      </c>
    </row>
    <row r="9" spans="2:9" ht="7.5" customHeight="1">
      <c r="B9" s="1924"/>
      <c r="C9" s="1924"/>
      <c r="D9" s="1925"/>
      <c r="E9" s="1926"/>
      <c r="F9" s="1926"/>
      <c r="G9" s="1926"/>
      <c r="H9" s="1926"/>
      <c r="I9" s="1926"/>
    </row>
    <row r="10" spans="2:9">
      <c r="B10" s="1961" t="s">
        <v>1302</v>
      </c>
      <c r="C10" s="1874"/>
      <c r="D10" s="1873"/>
      <c r="E10" s="2041"/>
      <c r="F10" s="1873"/>
      <c r="G10" s="1873"/>
      <c r="H10" s="1873"/>
      <c r="I10" s="1873"/>
    </row>
    <row r="11" spans="2:9">
      <c r="B11" s="1962"/>
      <c r="C11" s="1874"/>
      <c r="D11" s="1873"/>
      <c r="E11" s="1873"/>
      <c r="F11" s="1873"/>
      <c r="G11" s="1873"/>
      <c r="H11" s="1873"/>
      <c r="I11" s="1873"/>
    </row>
    <row r="12" spans="2:9">
      <c r="B12" s="2009" t="s">
        <v>1303</v>
      </c>
      <c r="C12" s="1871"/>
      <c r="D12" s="1872"/>
      <c r="E12" s="1872"/>
      <c r="F12" s="1872"/>
      <c r="G12" s="1872"/>
      <c r="H12" s="1872"/>
      <c r="I12" s="1872"/>
    </row>
    <row r="13" spans="2:9" ht="25.5">
      <c r="B13" s="2010" t="s">
        <v>1304</v>
      </c>
      <c r="C13" s="1929" t="s">
        <v>843</v>
      </c>
      <c r="D13" s="1930"/>
      <c r="E13" s="1972" cm="1">
        <f t="array" ref="E13">IF(ISERROR(IF(C13="Fixed",ROUNDDOWN(CPI*D13,2),IF(C13="Variable",ROUNDDOWN(CPI*D13,4),ROUND(CPI*D13,4)))),D13,IF(C13="Fixed",ROUNDDOWN(CPI*D13,2),IF(C13="Variable",ROUNDDOWN(CPI*D13,4),ROUND(CPI*D13,4))))</f>
        <v>0</v>
      </c>
      <c r="F13" s="1938"/>
      <c r="G13" s="1938"/>
      <c r="H13" s="1938"/>
      <c r="I13" s="1938"/>
    </row>
    <row r="14" spans="2:9">
      <c r="B14" s="1963"/>
      <c r="C14" s="1931"/>
      <c r="D14" s="1931"/>
      <c r="E14" s="1973"/>
      <c r="F14" s="1931"/>
      <c r="G14" s="1931"/>
      <c r="H14" s="1931"/>
      <c r="I14" s="1931"/>
    </row>
    <row r="15" spans="2:9">
      <c r="B15" s="2011" t="s">
        <v>1305</v>
      </c>
      <c r="C15" s="1932"/>
      <c r="D15" s="1931"/>
      <c r="E15" s="1973"/>
      <c r="F15" s="1931"/>
      <c r="G15" s="1931"/>
      <c r="H15" s="1931"/>
      <c r="I15" s="1931"/>
    </row>
    <row r="16" spans="2:9">
      <c r="B16" s="2010" t="s">
        <v>1306</v>
      </c>
      <c r="C16" s="1929" t="s">
        <v>842</v>
      </c>
      <c r="D16" s="1930"/>
      <c r="E16" s="1972" cm="1">
        <f t="array" ref="E16">IF(ISERROR(IF(C16="Fixed",ROUNDDOWN(CPI*D16,2),IF(C16="Variable",ROUNDDOWN(CPI*D16,4),ROUND(CPI*D16,4)))),D16,IF(C16="Fixed",ROUNDDOWN(CPI*D16,2),IF(C16="Variable",ROUNDDOWN(CPI*D16,4),ROUND(CPI*D16,4))))</f>
        <v>0</v>
      </c>
      <c r="F16" s="1938"/>
      <c r="G16" s="1938"/>
      <c r="H16" s="1938"/>
      <c r="I16" s="1938"/>
    </row>
    <row r="17" spans="2:9">
      <c r="B17" s="1963"/>
      <c r="C17" s="1931"/>
      <c r="D17" s="1931"/>
      <c r="E17" s="1973" t="s">
        <v>1307</v>
      </c>
      <c r="F17" s="1931"/>
      <c r="G17" s="1931"/>
      <c r="H17" s="1931"/>
      <c r="I17" s="1931"/>
    </row>
    <row r="18" spans="2:9">
      <c r="B18" s="2012" t="s">
        <v>1308</v>
      </c>
      <c r="C18" s="1932"/>
      <c r="D18" s="1932"/>
      <c r="E18" s="1973" t="s">
        <v>1307</v>
      </c>
      <c r="F18" s="1931"/>
      <c r="G18" s="1931"/>
      <c r="H18" s="1931"/>
      <c r="I18" s="1931"/>
    </row>
    <row r="19" spans="2:9">
      <c r="B19" s="2010" t="s">
        <v>1306</v>
      </c>
      <c r="C19" s="1929" t="s">
        <v>842</v>
      </c>
      <c r="D19" s="1930"/>
      <c r="E19" s="1972" cm="1">
        <f t="array" ref="E19">IF(ISERROR(IF(C19="Fixed",ROUNDDOWN(CPI*D19,2),IF(C19="Variable",ROUNDDOWN(CPI*D19,4),ROUND(CPI*D19,4)))),D19,IF(C19="Fixed",ROUNDDOWN(CPI*D19,2),IF(C19="Variable",ROUNDDOWN(CPI*D19,4),ROUND(CPI*D19,4))))</f>
        <v>0</v>
      </c>
      <c r="F19" s="1938"/>
      <c r="G19" s="1938"/>
      <c r="H19" s="1938"/>
      <c r="I19" s="1938"/>
    </row>
    <row r="20" spans="2:9">
      <c r="B20" s="1963"/>
      <c r="C20" s="1931"/>
      <c r="D20" s="1933"/>
      <c r="E20" s="1973"/>
      <c r="F20" s="1931"/>
      <c r="G20" s="1931"/>
      <c r="H20" s="1931"/>
      <c r="I20" s="1931"/>
    </row>
    <row r="21" spans="2:9">
      <c r="B21" s="2009" t="s">
        <v>1309</v>
      </c>
      <c r="C21" s="1934"/>
      <c r="D21" s="1933"/>
      <c r="E21" s="1973" t="s">
        <v>1307</v>
      </c>
      <c r="F21" s="1931"/>
      <c r="G21" s="1931"/>
      <c r="H21" s="1931"/>
      <c r="I21" s="1931"/>
    </row>
    <row r="22" spans="2:9">
      <c r="B22" s="2013" t="s">
        <v>1306</v>
      </c>
      <c r="C22" s="1929" t="s">
        <v>842</v>
      </c>
      <c r="D22" s="2048">
        <f>+RevenueTariffBasket_FO!AA123</f>
        <v>457.28343354448816</v>
      </c>
      <c r="E22" s="1972" cm="1">
        <f t="array" ref="E22">IF(ISERROR(IF(C22="Fixed",ROUNDDOWN(CPI*D22,2),IF(C22="Variable",ROUNDDOWN(CPI*D22,4),ROUND(CPI*D22,4)))),D22,IF(C22="Fixed",ROUNDDOWN(CPI*D22,2),IF(C22="Variable",ROUNDDOWN(CPI*D22,4),ROUND(CPI*D22,4))))</f>
        <v>457.28</v>
      </c>
      <c r="F22" s="2049">
        <f>+RevenueTariffBasket_FO!AB123/RevenueTariffBasket_FO!AA123-1</f>
        <v>0</v>
      </c>
      <c r="G22" s="2049">
        <f>+RevenueTariffBasket_FO!AC123/RevenueTariffBasket_FO!AB123-1</f>
        <v>0</v>
      </c>
      <c r="H22" s="2049">
        <f>+RevenueTariffBasket_FO!AD123/RevenueTariffBasket_FO!AC123-1</f>
        <v>0</v>
      </c>
      <c r="I22" s="2049">
        <f>+RevenueTariffBasket_FO!AE123/RevenueTariffBasket_FO!AD123-1</f>
        <v>0</v>
      </c>
    </row>
    <row r="23" spans="2:9">
      <c r="B23" s="1964"/>
      <c r="C23" s="1935"/>
      <c r="D23" s="1933"/>
      <c r="E23" s="1973"/>
      <c r="F23" s="1931"/>
      <c r="G23" s="1931"/>
      <c r="H23" s="1931"/>
      <c r="I23" s="1931"/>
    </row>
    <row r="24" spans="2:9">
      <c r="B24" s="2012" t="s">
        <v>1310</v>
      </c>
      <c r="C24" s="1932"/>
      <c r="D24" s="1933"/>
      <c r="E24" s="1973" t="s">
        <v>1307</v>
      </c>
      <c r="F24" s="1931"/>
      <c r="G24" s="1931"/>
      <c r="H24" s="1931"/>
      <c r="I24" s="1931"/>
    </row>
    <row r="25" spans="2:9" ht="25.5">
      <c r="B25" s="2010" t="s">
        <v>1304</v>
      </c>
      <c r="C25" s="1929" t="s">
        <v>843</v>
      </c>
      <c r="D25" s="1930">
        <f>+RevenueTariffBasket_FO!AA132</f>
        <v>800</v>
      </c>
      <c r="E25" s="1972" cm="1">
        <f t="array" ref="E25">IF(ISERROR(IF(C25="Fixed",ROUNDDOWN(CPI*D25,2),IF(C25="Variable",ROUNDDOWN(CPI*D25,4),ROUND(CPI*D25,4)))),D25,IF(C25="Fixed",ROUNDDOWN(CPI*D25,2),IF(C25="Variable",ROUNDDOWN(CPI*D25,4),ROUND(CPI*D25,4))))</f>
        <v>800</v>
      </c>
      <c r="F25" s="2049">
        <f>+RevenueTariffBasket_FO!AB132/RevenueTariffBasket_FO!AA132-1</f>
        <v>0</v>
      </c>
      <c r="G25" s="2049">
        <f>+RevenueTariffBasket_FO!AC132/RevenueTariffBasket_FO!AB132-1</f>
        <v>0</v>
      </c>
      <c r="H25" s="2049">
        <f>+RevenueTariffBasket_FO!AD132/RevenueTariffBasket_FO!AC132-1</f>
        <v>0</v>
      </c>
      <c r="I25" s="2049">
        <f>+RevenueTariffBasket_FO!AE132/RevenueTariffBasket_FO!AD132-1</f>
        <v>0</v>
      </c>
    </row>
    <row r="26" spans="2:9">
      <c r="B26" s="1963"/>
      <c r="C26" s="1931"/>
      <c r="D26" s="1933"/>
      <c r="E26" s="1973" t="s">
        <v>1307</v>
      </c>
      <c r="F26" s="1931"/>
      <c r="G26" s="1931"/>
      <c r="H26" s="1931"/>
      <c r="I26" s="1931"/>
    </row>
    <row r="27" spans="2:9">
      <c r="B27" s="2012" t="s">
        <v>1311</v>
      </c>
      <c r="C27" s="1932"/>
      <c r="D27" s="1933"/>
      <c r="E27" s="1973" t="s">
        <v>1307</v>
      </c>
      <c r="F27" s="1931"/>
      <c r="G27" s="1931"/>
      <c r="H27" s="1931"/>
      <c r="I27" s="1931"/>
    </row>
    <row r="28" spans="2:9">
      <c r="B28" s="2014" t="s">
        <v>73</v>
      </c>
      <c r="C28" s="1929" t="s">
        <v>842</v>
      </c>
      <c r="D28" s="1930"/>
      <c r="E28" s="1972" cm="1">
        <f t="array" ref="E28">IF(ISERROR(IF(C28="Fixed",ROUNDDOWN(CPI*D28,2),IF(C28="Variable",ROUNDDOWN(CPI*D28,4),ROUND(CPI*D28,4)))),D28,IF(C28="Fixed",ROUNDDOWN(CPI*D28,2),IF(C28="Variable",ROUNDDOWN(CPI*D28,4),ROUND(CPI*D28,4))))</f>
        <v>0</v>
      </c>
      <c r="F28" s="1938"/>
      <c r="G28" s="1938"/>
      <c r="H28" s="1938"/>
      <c r="I28" s="1938"/>
    </row>
    <row r="29" spans="2:9">
      <c r="B29" s="1963"/>
      <c r="C29" s="1931"/>
      <c r="D29" s="1933"/>
      <c r="E29" s="1973" t="s">
        <v>1307</v>
      </c>
      <c r="F29" s="1931"/>
      <c r="G29" s="1931"/>
      <c r="H29" s="1931"/>
      <c r="I29" s="1931"/>
    </row>
    <row r="30" spans="2:9">
      <c r="B30" s="2012" t="s">
        <v>1312</v>
      </c>
      <c r="C30" s="1932"/>
      <c r="D30" s="1933"/>
      <c r="E30" s="1973" t="s">
        <v>1307</v>
      </c>
      <c r="F30" s="1931"/>
      <c r="G30" s="1931"/>
      <c r="H30" s="1931"/>
      <c r="I30" s="1931"/>
    </row>
    <row r="31" spans="2:9">
      <c r="B31" s="2010" t="s">
        <v>1313</v>
      </c>
      <c r="C31" s="1929" t="s">
        <v>843</v>
      </c>
      <c r="D31" s="1930">
        <f>+RevenueTariffBasket_FO!AA168</f>
        <v>72.28</v>
      </c>
      <c r="E31" s="1972" cm="1">
        <f t="array" ref="E31">IF(ISERROR(IF(C31="Fixed",ROUNDDOWN(CPI*D31,2),IF(C31="Variable",ROUNDDOWN(CPI*D31,4),ROUND(CPI*D31,4)))),D31,IF(C31="Fixed",ROUNDDOWN(CPI*D31,2),IF(C31="Variable",ROUNDDOWN(CPI*D31,4),ROUND(CPI*D31,4))))</f>
        <v>72.28</v>
      </c>
      <c r="F31" s="2049">
        <f>+RevenueTariffBasket_FO!AB168/RevenueTariffBasket_FO!AA168-1</f>
        <v>0</v>
      </c>
      <c r="G31" s="2049">
        <f>+RevenueTariffBasket_FO!AC168/RevenueTariffBasket_FO!AB168-1</f>
        <v>0</v>
      </c>
      <c r="H31" s="2049">
        <f>+RevenueTariffBasket_FO!AD168/RevenueTariffBasket_FO!AC168-1</f>
        <v>0</v>
      </c>
      <c r="I31" s="2049">
        <f>+RevenueTariffBasket_FO!AE168/RevenueTariffBasket_FO!AD168-1</f>
        <v>0</v>
      </c>
    </row>
    <row r="32" spans="2:9">
      <c r="B32" s="2010" t="s">
        <v>1314</v>
      </c>
      <c r="C32" s="1929" t="s">
        <v>843</v>
      </c>
      <c r="D32" s="1930">
        <f>+RevenueTariffBasket_FO!AA177</f>
        <v>88</v>
      </c>
      <c r="E32" s="1972" cm="1">
        <f t="array" ref="E32">IF(ISERROR(IF(C32="Fixed",ROUNDDOWN(CPI*D32,2),IF(C32="Variable",ROUNDDOWN(CPI*D32,4),ROUND(CPI*D32,4)))),D32,IF(C32="Fixed",ROUNDDOWN(CPI*D32,2),IF(C32="Variable",ROUNDDOWN(CPI*D32,4),ROUND(CPI*D32,4))))</f>
        <v>88</v>
      </c>
      <c r="F32" s="2049">
        <f>+RevenueTariffBasket_FO!AB177/RevenueTariffBasket_FO!AA177-1</f>
        <v>0</v>
      </c>
      <c r="G32" s="2049">
        <f>+RevenueTariffBasket_FO!AC177/RevenueTariffBasket_FO!AB177-1</f>
        <v>0</v>
      </c>
      <c r="H32" s="2049">
        <f>+RevenueTariffBasket_FO!AD177/RevenueTariffBasket_FO!AC177-1</f>
        <v>0</v>
      </c>
      <c r="I32" s="2049">
        <f>+RevenueTariffBasket_FO!AE177/RevenueTariffBasket_FO!AD177-1</f>
        <v>0</v>
      </c>
    </row>
    <row r="33" spans="2:9">
      <c r="B33" s="1963"/>
      <c r="C33" s="1931"/>
      <c r="D33" s="1933"/>
      <c r="E33" s="1973" t="s">
        <v>1307</v>
      </c>
      <c r="F33" s="1931"/>
      <c r="G33" s="1931"/>
      <c r="H33" s="1931"/>
      <c r="I33" s="1931"/>
    </row>
    <row r="34" spans="2:9">
      <c r="B34" s="2012" t="s">
        <v>1315</v>
      </c>
      <c r="C34" s="1932"/>
      <c r="D34" s="1933"/>
      <c r="E34" s="1973" t="s">
        <v>1307</v>
      </c>
      <c r="F34" s="1931"/>
      <c r="G34" s="1931"/>
      <c r="H34" s="1931"/>
      <c r="I34" s="1931"/>
    </row>
    <row r="35" spans="2:9">
      <c r="B35" s="2013" t="s">
        <v>1313</v>
      </c>
      <c r="C35" s="1929" t="s">
        <v>843</v>
      </c>
      <c r="D35" s="1930">
        <f>+RevenueTariffBasket_FO!AA183</f>
        <v>50.800095827408093</v>
      </c>
      <c r="E35" s="1972" cm="1">
        <f t="array" ref="E35">IF(ISERROR(IF(C35="Fixed",ROUNDDOWN(CPI*D35,2),IF(C35="Variable",ROUNDDOWN(CPI*D35,4),ROUND(CPI*D35,4)))),D35,IF(C35="Fixed",ROUNDDOWN(CPI*D35,2),IF(C35="Variable",ROUNDDOWN(CPI*D35,4),ROUND(CPI*D35,4))))</f>
        <v>50.8</v>
      </c>
      <c r="F35" s="2049">
        <f>+RevenueTariffBasket_FO!AB183/RevenueTariffBasket_FO!AA183-1</f>
        <v>0</v>
      </c>
      <c r="G35" s="2049">
        <f>+RevenueTariffBasket_FO!AC183/RevenueTariffBasket_FO!AB183-1</f>
        <v>0</v>
      </c>
      <c r="H35" s="2049">
        <f>+RevenueTariffBasket_FO!AD183/RevenueTariffBasket_FO!AC183-1</f>
        <v>0</v>
      </c>
      <c r="I35" s="2049">
        <f>+RevenueTariffBasket_FO!AE183/RevenueTariffBasket_FO!AD183-1</f>
        <v>0</v>
      </c>
    </row>
    <row r="36" spans="2:9">
      <c r="B36" s="2013" t="s">
        <v>1314</v>
      </c>
      <c r="C36" s="1929" t="s">
        <v>843</v>
      </c>
      <c r="D36" s="1930">
        <f>+RevenueTariffBasket_FO!AA192</f>
        <v>50.800095827408093</v>
      </c>
      <c r="E36" s="1972" cm="1">
        <f t="array" ref="E36">IF(ISERROR(IF(C36="Fixed",ROUNDDOWN(CPI*D36,2),IF(C36="Variable",ROUNDDOWN(CPI*D36,4),ROUND(CPI*D36,4)))),D36,IF(C36="Fixed",ROUNDDOWN(CPI*D36,2),IF(C36="Variable",ROUNDDOWN(CPI*D36,4),ROUND(CPI*D36,4))))</f>
        <v>50.8</v>
      </c>
      <c r="F36" s="2049">
        <f>+RevenueTariffBasket_FO!AB192/RevenueTariffBasket_FO!AA192-1</f>
        <v>0</v>
      </c>
      <c r="G36" s="2049">
        <f>+RevenueTariffBasket_FO!AC192/RevenueTariffBasket_FO!AB192-1</f>
        <v>0</v>
      </c>
      <c r="H36" s="2049">
        <f>+RevenueTariffBasket_FO!AD192/RevenueTariffBasket_FO!AC192-1</f>
        <v>0</v>
      </c>
      <c r="I36" s="2049">
        <f>+RevenueTariffBasket_FO!AE192/RevenueTariffBasket_FO!AD192-1</f>
        <v>0</v>
      </c>
    </row>
    <row r="37" spans="2:9">
      <c r="B37" s="1963"/>
      <c r="C37" s="1931"/>
      <c r="D37" s="1933"/>
      <c r="E37" s="1974" t="s">
        <v>1307</v>
      </c>
      <c r="F37" s="1933"/>
      <c r="G37" s="1933"/>
      <c r="H37" s="1933"/>
      <c r="I37" s="1933"/>
    </row>
    <row r="38" spans="2:9">
      <c r="B38" s="2009" t="s">
        <v>1316</v>
      </c>
      <c r="C38" s="1934"/>
      <c r="D38" s="1933"/>
      <c r="E38" s="1974" t="s">
        <v>1307</v>
      </c>
      <c r="F38" s="1933"/>
      <c r="G38" s="1933"/>
      <c r="H38" s="1933"/>
      <c r="I38" s="1933"/>
    </row>
    <row r="39" spans="2:9">
      <c r="B39" s="2015" t="s">
        <v>1317</v>
      </c>
      <c r="C39" s="1929" t="s">
        <v>843</v>
      </c>
      <c r="D39" s="1930">
        <f>+RevenueTariffBasket_FO!AA207</f>
        <v>926.2</v>
      </c>
      <c r="E39" s="1972" cm="1">
        <f t="array" ref="E39">IF(ISERROR(IF(C39="Fixed",ROUNDDOWN(CPI*D39,2),IF(C39="Variable",ROUNDDOWN(CPI*D39,4),ROUND(CPI*D39,4)))),D39,IF(C39="Fixed",ROUNDDOWN(CPI*D39,2),IF(C39="Variable",ROUNDDOWN(CPI*D39,4),ROUND(CPI*D39,4))))</f>
        <v>926.2</v>
      </c>
      <c r="F39" s="2049">
        <f>+RevenueTariffBasket_FO!AB207/RevenueTariffBasket_FO!AA207-1</f>
        <v>0</v>
      </c>
      <c r="G39" s="2049">
        <f>+RevenueTariffBasket_FO!AC207/RevenueTariffBasket_FO!AB207-1</f>
        <v>0</v>
      </c>
      <c r="H39" s="2049">
        <f>+RevenueTariffBasket_FO!AD207/RevenueTariffBasket_FO!AC207-1</f>
        <v>0</v>
      </c>
      <c r="I39" s="2049">
        <f>+RevenueTariffBasket_FO!AE207/RevenueTariffBasket_FO!AD207-1</f>
        <v>0</v>
      </c>
    </row>
    <row r="40" spans="2:9">
      <c r="B40" s="2015" t="s">
        <v>1318</v>
      </c>
      <c r="C40" s="1929" t="s">
        <v>843</v>
      </c>
      <c r="D40" s="1930">
        <f>+RevenueTariffBasket_FO!AA198</f>
        <v>591</v>
      </c>
      <c r="E40" s="1972" cm="1">
        <f t="array" ref="E40">IF(ISERROR(IF(C40="Fixed",ROUNDDOWN(CPI*D40,2),IF(C40="Variable",ROUNDDOWN(CPI*D40,4),ROUND(CPI*D40,4)))),D40,IF(C40="Fixed",ROUNDDOWN(CPI*D40,2),IF(C40="Variable",ROUNDDOWN(CPI*D40,4),ROUND(CPI*D40,4))))</f>
        <v>591</v>
      </c>
      <c r="F40" s="2049">
        <f>+RevenueTariffBasket_FO!AB198/RevenueTariffBasket_FO!AA198-1</f>
        <v>0</v>
      </c>
      <c r="G40" s="2049">
        <f>+RevenueTariffBasket_FO!AC198/RevenueTariffBasket_FO!AB198-1</f>
        <v>0</v>
      </c>
      <c r="H40" s="2049">
        <f>+RevenueTariffBasket_FO!AD198/RevenueTariffBasket_FO!AC198-1</f>
        <v>0</v>
      </c>
      <c r="I40" s="2049">
        <f>+RevenueTariffBasket_FO!AE198/RevenueTariffBasket_FO!AD198-1</f>
        <v>0</v>
      </c>
    </row>
    <row r="41" spans="2:9">
      <c r="B41" s="2015" t="s">
        <v>1319</v>
      </c>
      <c r="C41" s="1929" t="s">
        <v>843</v>
      </c>
      <c r="D41" s="1930">
        <f>+RevenueTariffBasket_FO!AA222</f>
        <v>485</v>
      </c>
      <c r="E41" s="1972" cm="1">
        <f t="array" ref="E41">IF(ISERROR(IF(C41="Fixed",ROUNDDOWN(CPI*D41,2),IF(C41="Variable",ROUNDDOWN(CPI*D41,4),ROUND(CPI*D41,4)))),D41,IF(C41="Fixed",ROUNDDOWN(CPI*D41,2),IF(C41="Variable",ROUNDDOWN(CPI*D41,4),ROUND(CPI*D41,4))))</f>
        <v>485</v>
      </c>
      <c r="F41" s="2049">
        <f>+RevenueTariffBasket_FO!AB222/RevenueTariffBasket_FO!AA222-1</f>
        <v>0</v>
      </c>
      <c r="G41" s="2049">
        <f>+RevenueTariffBasket_FO!AC222/RevenueTariffBasket_FO!AB222-1</f>
        <v>0</v>
      </c>
      <c r="H41" s="2049">
        <f>+RevenueTariffBasket_FO!AD222/RevenueTariffBasket_FO!AC222-1</f>
        <v>0</v>
      </c>
      <c r="I41" s="2049">
        <f>+RevenueTariffBasket_FO!AE222/RevenueTariffBasket_FO!AD222-1</f>
        <v>0</v>
      </c>
    </row>
    <row r="42" spans="2:9">
      <c r="B42" s="2015" t="s">
        <v>1320</v>
      </c>
      <c r="C42" s="1929" t="s">
        <v>843</v>
      </c>
      <c r="D42" s="1930">
        <f>+RevenueTariffBasket_FO!AA213</f>
        <v>161</v>
      </c>
      <c r="E42" s="1972" cm="1">
        <f t="array" ref="E42">IF(ISERROR(IF(C42="Fixed",ROUNDDOWN(CPI*D42,2),IF(C42="Variable",ROUNDDOWN(CPI*D42,4),ROUND(CPI*D42,4)))),D42,IF(C42="Fixed",ROUNDDOWN(CPI*D42,2),IF(C42="Variable",ROUNDDOWN(CPI*D42,4),ROUND(CPI*D42,4))))</f>
        <v>161</v>
      </c>
      <c r="F42" s="2049">
        <f>+RevenueTariffBasket_FO!AB213/RevenueTariffBasket_FO!AA213-1</f>
        <v>0</v>
      </c>
      <c r="G42" s="2049">
        <f>+RevenueTariffBasket_FO!AC213/RevenueTariffBasket_FO!AB213-1</f>
        <v>0</v>
      </c>
      <c r="H42" s="2049">
        <f>+RevenueTariffBasket_FO!AD213/RevenueTariffBasket_FO!AC213-1</f>
        <v>0</v>
      </c>
      <c r="I42" s="2049">
        <f>+RevenueTariffBasket_FO!AE213/RevenueTariffBasket_FO!AD213-1</f>
        <v>0</v>
      </c>
    </row>
    <row r="43" spans="2:9">
      <c r="B43" s="2015" t="s">
        <v>1321</v>
      </c>
      <c r="C43" s="1929" t="s">
        <v>843</v>
      </c>
      <c r="D43" s="1930">
        <f>+RevenueTariffBasket_FO!AA237</f>
        <v>371</v>
      </c>
      <c r="E43" s="1972" cm="1">
        <f t="array" ref="E43">IF(ISERROR(IF(C43="Fixed",ROUNDDOWN(CPI*D43,2),IF(C43="Variable",ROUNDDOWN(CPI*D43,4),ROUND(CPI*D43,4)))),D43,IF(C43="Fixed",ROUNDDOWN(CPI*D43,2),IF(C43="Variable",ROUNDDOWN(CPI*D43,4),ROUND(CPI*D43,4))))</f>
        <v>371</v>
      </c>
      <c r="F43" s="2049">
        <f>+RevenueTariffBasket_FO!AB237/RevenueTariffBasket_FO!AA237-1</f>
        <v>0</v>
      </c>
      <c r="G43" s="2049">
        <f>+RevenueTariffBasket_FO!AC237/RevenueTariffBasket_FO!AB237-1</f>
        <v>0</v>
      </c>
      <c r="H43" s="2049">
        <f>+RevenueTariffBasket_FO!AD237/RevenueTariffBasket_FO!AC237-1</f>
        <v>0</v>
      </c>
      <c r="I43" s="2049">
        <f>+RevenueTariffBasket_FO!AE237/RevenueTariffBasket_FO!AD237-1</f>
        <v>0</v>
      </c>
    </row>
    <row r="44" spans="2:9">
      <c r="B44" s="2015" t="s">
        <v>1322</v>
      </c>
      <c r="C44" s="1929" t="s">
        <v>843</v>
      </c>
      <c r="D44" s="1930">
        <f>+RevenueTariffBasket_FO!AA228</f>
        <v>1549.5</v>
      </c>
      <c r="E44" s="1972" cm="1">
        <f t="array" ref="E44">IF(ISERROR(IF(C44="Fixed",ROUNDDOWN(CPI*D44,2),IF(C44="Variable",ROUNDDOWN(CPI*D44,4),ROUND(CPI*D44,4)))),D44,IF(C44="Fixed",ROUNDDOWN(CPI*D44,2),IF(C44="Variable",ROUNDDOWN(CPI*D44,4),ROUND(CPI*D44,4))))</f>
        <v>1549.5</v>
      </c>
      <c r="F44" s="2049">
        <f>+RevenueTariffBasket_FO!AB228/RevenueTariffBasket_FO!AA228-1</f>
        <v>0</v>
      </c>
      <c r="G44" s="2049">
        <f>+RevenueTariffBasket_FO!AC228/RevenueTariffBasket_FO!AB228-1</f>
        <v>0</v>
      </c>
      <c r="H44" s="2049">
        <f>+RevenueTariffBasket_FO!AD228/RevenueTariffBasket_FO!AC228-1</f>
        <v>0</v>
      </c>
      <c r="I44" s="2049">
        <f>+RevenueTariffBasket_FO!AE228/RevenueTariffBasket_FO!AD228-1</f>
        <v>0</v>
      </c>
    </row>
    <row r="45" spans="2:9">
      <c r="B45" s="2015" t="s">
        <v>1323</v>
      </c>
      <c r="C45" s="1929" t="s">
        <v>843</v>
      </c>
      <c r="D45" s="1930">
        <f>+RevenueTariffBasket_FO!AA243</f>
        <v>38.56</v>
      </c>
      <c r="E45" s="1972" cm="1">
        <f t="array" ref="E45">IF(ISERROR(IF(C45="Fixed",ROUNDDOWN(CPI*D45,2),IF(C45="Variable",ROUNDDOWN(CPI*D45,4),ROUND(CPI*D45,4)))),D45,IF(C45="Fixed",ROUNDDOWN(CPI*D45,2),IF(C45="Variable",ROUNDDOWN(CPI*D45,4),ROUND(CPI*D45,4))))</f>
        <v>38.56</v>
      </c>
      <c r="F45" s="2049">
        <f>+RevenueTariffBasket_FO!AB243/RevenueTariffBasket_FO!AA243-1</f>
        <v>0</v>
      </c>
      <c r="G45" s="2049">
        <f>+RevenueTariffBasket_FO!AC243/RevenueTariffBasket_FO!AB243-1</f>
        <v>0</v>
      </c>
      <c r="H45" s="2049">
        <f>+RevenueTariffBasket_FO!AD243/RevenueTariffBasket_FO!AC243-1</f>
        <v>0</v>
      </c>
      <c r="I45" s="2049">
        <f>+RevenueTariffBasket_FO!AE243/RevenueTariffBasket_FO!AD243-1</f>
        <v>0</v>
      </c>
    </row>
    <row r="46" spans="2:9">
      <c r="B46" s="1963"/>
      <c r="C46" s="1931"/>
      <c r="D46" s="1933"/>
      <c r="E46" s="1974" t="s">
        <v>1307</v>
      </c>
      <c r="F46" s="1933"/>
      <c r="G46" s="1933"/>
      <c r="H46" s="1933"/>
      <c r="I46" s="1933"/>
    </row>
    <row r="47" spans="2:9">
      <c r="B47" s="2012" t="s">
        <v>1324</v>
      </c>
      <c r="C47" s="1932"/>
      <c r="D47" s="1933"/>
      <c r="E47" s="1974" t="s">
        <v>1307</v>
      </c>
      <c r="F47" s="1933"/>
      <c r="G47" s="1933"/>
      <c r="H47" s="1933"/>
      <c r="I47" s="1933"/>
    </row>
    <row r="48" spans="2:9">
      <c r="B48" s="2015" t="s">
        <v>1325</v>
      </c>
      <c r="C48" s="1929" t="s">
        <v>842</v>
      </c>
      <c r="D48" s="1938">
        <f>RevenueTariffBasket_FO!$AA$252</f>
        <v>9008558.7143098377</v>
      </c>
      <c r="E48" s="1972" cm="1">
        <f t="array" ref="E48">IF(ISERROR(IF(C48="Fixed",ROUNDDOWN(CPI*D48,2),IF(C48="Variable",ROUNDDOWN(CPI*D48,4),ROUND(CPI*D48,4)))),D48,IF(C48="Fixed",ROUNDDOWN(CPI*D48,2),IF(C48="Variable",ROUNDDOWN(CPI*D48,4),ROUND(CPI*D48,4))))</f>
        <v>9008558.7100000009</v>
      </c>
      <c r="F48" s="2049">
        <f>+RevenueTariffBasket_FO!AB252/RevenueTariffBasket_FO!AA252-1</f>
        <v>7.8619559525705984E-2</v>
      </c>
      <c r="G48" s="2049">
        <f>+RevenueTariffBasket_FO!AC252/RevenueTariffBasket_FO!AB252-1</f>
        <v>7.8619559525705984E-2</v>
      </c>
      <c r="H48" s="2049">
        <f>+RevenueTariffBasket_FO!AD252/RevenueTariffBasket_FO!AC252-1</f>
        <v>7.8619559525705984E-2</v>
      </c>
      <c r="I48" s="2049">
        <f>+RevenueTariffBasket_FO!AE252/RevenueTariffBasket_FO!AD252-1</f>
        <v>7.8619559525705984E-2</v>
      </c>
    </row>
    <row r="49" spans="2:9">
      <c r="B49" s="2015" t="s">
        <v>91</v>
      </c>
      <c r="C49" s="1929" t="s">
        <v>842</v>
      </c>
      <c r="D49" s="1938">
        <f>+RevenueTariffBasket_FO!AA255</f>
        <v>17907124.289541438</v>
      </c>
      <c r="E49" s="1972" cm="1">
        <f t="array" ref="E49">IF(ISERROR(IF(C49="Fixed",ROUNDDOWN(CPI*D49,2),IF(C49="Variable",ROUNDDOWN(CPI*D49,4),ROUND(CPI*D49,4)))),D49,IF(C49="Fixed",ROUNDDOWN(CPI*D49,2),IF(C49="Variable",ROUNDDOWN(CPI*D49,4),ROUND(CPI*D49,4))))</f>
        <v>17907124.280000001</v>
      </c>
      <c r="F49" s="2049">
        <f>+RevenueTariffBasket_FO!AB255/RevenueTariffBasket_FO!AA255-1</f>
        <v>2.8202562187290559E-2</v>
      </c>
      <c r="G49" s="2049">
        <f>+RevenueTariffBasket_FO!AC255/RevenueTariffBasket_FO!AB255-1</f>
        <v>2.8202562187290559E-2</v>
      </c>
      <c r="H49" s="2049">
        <f>+RevenueTariffBasket_FO!AD255/RevenueTariffBasket_FO!AC255-1</f>
        <v>2.8202562187290559E-2</v>
      </c>
      <c r="I49" s="2049">
        <f>+RevenueTariffBasket_FO!AE255/RevenueTariffBasket_FO!AD255-1</f>
        <v>2.8202562187290559E-2</v>
      </c>
    </row>
    <row r="50" spans="2:9">
      <c r="B50" s="2015" t="s">
        <v>102</v>
      </c>
      <c r="C50" s="1929" t="s">
        <v>842</v>
      </c>
      <c r="D50" s="1938">
        <f>+RevenueTariffBasket_FO!AA258</f>
        <v>18009276.814956281</v>
      </c>
      <c r="E50" s="1972" cm="1">
        <f t="array" ref="E50">IF(ISERROR(IF(C50="Fixed",ROUNDDOWN(CPI*D50,2),IF(C50="Variable",ROUNDDOWN(CPI*D50,4),ROUND(CPI*D50,4)))),D50,IF(C50="Fixed",ROUNDDOWN(CPI*D50,2),IF(C50="Variable",ROUNDDOWN(CPI*D50,4),ROUND(CPI*D50,4))))</f>
        <v>18009276.809999999</v>
      </c>
      <c r="F50" s="2049">
        <f>+RevenueTariffBasket_FO!AB258/RevenueTariffBasket_FO!AA258-1</f>
        <v>2.2452688754577288E-3</v>
      </c>
      <c r="G50" s="2049">
        <f>+RevenueTariffBasket_FO!AC258/RevenueTariffBasket_FO!AB258-1</f>
        <v>2.2452688754577288E-3</v>
      </c>
      <c r="H50" s="2049">
        <f>+RevenueTariffBasket_FO!AD258/RevenueTariffBasket_FO!AC258-1</f>
        <v>2.2452688754577288E-3</v>
      </c>
      <c r="I50" s="2049">
        <f>+RevenueTariffBasket_FO!AE258/RevenueTariffBasket_FO!AD258-1</f>
        <v>2.2452688754577288E-3</v>
      </c>
    </row>
    <row r="51" spans="2:9">
      <c r="B51" s="1936"/>
      <c r="C51" s="1936"/>
      <c r="D51" s="1933"/>
      <c r="E51" s="1974"/>
      <c r="F51" s="1933"/>
      <c r="G51" s="1933"/>
      <c r="H51" s="1933"/>
      <c r="I51" s="1933"/>
    </row>
    <row r="52" spans="2:9">
      <c r="B52" s="2012" t="s">
        <v>1326</v>
      </c>
      <c r="C52" s="1936"/>
      <c r="D52" s="1933"/>
      <c r="E52" s="1974"/>
      <c r="F52" s="1933"/>
      <c r="G52" s="1933"/>
      <c r="H52" s="1933"/>
      <c r="I52" s="1933"/>
    </row>
    <row r="53" spans="2:9">
      <c r="B53" s="2015" t="s">
        <v>1325</v>
      </c>
      <c r="C53" s="1929" t="s">
        <v>842</v>
      </c>
      <c r="D53" s="1938">
        <f>+RevenueTariffBasket_FO!AA69</f>
        <v>12305982.841696702</v>
      </c>
      <c r="E53" s="1972" cm="1">
        <f t="array" ref="E53">IF(ISERROR(IF(C53="Fixed",ROUNDDOWN(CPI*D53,2),IF(C53="Variable",ROUNDDOWN(CPI*D53,4),ROUND(CPI*D53,4)))),D53,IF(C53="Fixed",ROUNDDOWN(CPI*D53,2),IF(C53="Variable",ROUNDDOWN(CPI*D53,4),ROUND(CPI*D53,4))))</f>
        <v>12305982.84</v>
      </c>
      <c r="F53" s="2049">
        <f>+RevenueTariffBasket_FO!AB69/RevenueTariffBasket_FO!AA69-1</f>
        <v>6.362170494249253E-2</v>
      </c>
      <c r="G53" s="2049">
        <f>+RevenueTariffBasket_FO!AC69/RevenueTariffBasket_FO!AB69-1</f>
        <v>3.1810852471246154E-2</v>
      </c>
      <c r="H53" s="2049">
        <f>+RevenueTariffBasket_FO!AD69/RevenueTariffBasket_FO!AC69-1</f>
        <v>3.1810852471246154E-2</v>
      </c>
      <c r="I53" s="2049">
        <f>+RevenueTariffBasket_FO!AE69/RevenueTariffBasket_FO!AD69-1</f>
        <v>3.1810852471246154E-2</v>
      </c>
    </row>
    <row r="54" spans="2:9">
      <c r="B54" s="2015" t="s">
        <v>1327</v>
      </c>
      <c r="C54" s="1929" t="s">
        <v>842</v>
      </c>
      <c r="D54" s="1938">
        <f>+RevenueTariffBasket_FO!AA72</f>
        <v>15504326.21504296</v>
      </c>
      <c r="E54" s="1972" cm="1">
        <f t="array" ref="E54">IF(ISERROR(IF(C54="Fixed",ROUNDDOWN(CPI*D54,2),IF(C54="Variable",ROUNDDOWN(CPI*D54,4),ROUND(CPI*D54,4)))),D54,IF(C54="Fixed",ROUNDDOWN(CPI*D54,2),IF(C54="Variable",ROUNDDOWN(CPI*D54,4),ROUND(CPI*D54,4))))</f>
        <v>15504326.210000001</v>
      </c>
      <c r="F54" s="2049">
        <f>+RevenueTariffBasket_FO!AB72/RevenueTariffBasket_FO!AA72-1</f>
        <v>8.9126849947839037E-2</v>
      </c>
      <c r="G54" s="2049">
        <f>+RevenueTariffBasket_FO!AC72/RevenueTariffBasket_FO!AB72-1</f>
        <v>1.5366698266868761E-2</v>
      </c>
      <c r="H54" s="2049">
        <f>+RevenueTariffBasket_FO!AD72/RevenueTariffBasket_FO!AC72-1</f>
        <v>1.5366698266868761E-2</v>
      </c>
      <c r="I54" s="2049">
        <f>+RevenueTariffBasket_FO!AE72/RevenueTariffBasket_FO!AD72-1</f>
        <v>1.5366698266868761E-2</v>
      </c>
    </row>
    <row r="55" spans="2:9">
      <c r="B55" s="2015" t="s">
        <v>1328</v>
      </c>
      <c r="C55" s="1929" t="s">
        <v>842</v>
      </c>
      <c r="D55" s="1938">
        <f>+RevenueTariffBasket_FO!AA75</f>
        <v>15525549.507777976</v>
      </c>
      <c r="E55" s="1972" cm="1">
        <f t="array" ref="E55">IF(ISERROR(IF(C55="Fixed",ROUNDDOWN(CPI*D55,2),IF(C55="Variable",ROUNDDOWN(CPI*D55,4),ROUND(CPI*D55,4)))),D55,IF(C55="Fixed",ROUNDDOWN(CPI*D55,2),IF(C55="Variable",ROUNDDOWN(CPI*D55,4),ROUND(CPI*D55,4))))</f>
        <v>15525549.5</v>
      </c>
      <c r="F55" s="2049">
        <f>+RevenueTariffBasket_FO!AB75/RevenueTariffBasket_FO!AA75-1</f>
        <v>0.12531990540940896</v>
      </c>
      <c r="G55" s="2049">
        <f>+RevenueTariffBasket_FO!AC75/RevenueTariffBasket_FO!AB75-1</f>
        <v>0</v>
      </c>
      <c r="H55" s="2049">
        <f>+RevenueTariffBasket_FO!AD75/RevenueTariffBasket_FO!AC75-1</f>
        <v>0</v>
      </c>
      <c r="I55" s="2049">
        <f>+RevenueTariffBasket_FO!AE75/RevenueTariffBasket_FO!AD75-1</f>
        <v>0</v>
      </c>
    </row>
    <row r="56" spans="2:9">
      <c r="B56" s="2015" t="s">
        <v>60</v>
      </c>
      <c r="C56" s="1929" t="s">
        <v>842</v>
      </c>
      <c r="D56" s="1938">
        <f>+RevenueTariffBasket_FO!AA78</f>
        <v>337280.71774432849</v>
      </c>
      <c r="E56" s="1972" cm="1">
        <f t="array" ref="E56">IF(ISERROR(IF(C56="Fixed",ROUNDDOWN(CPI*D56,2),IF(C56="Variable",ROUNDDOWN(CPI*D56,4),ROUND(CPI*D56,4)))),D56,IF(C56="Fixed",ROUNDDOWN(CPI*D56,2),IF(C56="Variable",ROUNDDOWN(CPI*D56,4),ROUND(CPI*D56,4))))</f>
        <v>337280.71</v>
      </c>
      <c r="F56" s="2049">
        <f>+RevenueTariffBasket_FO!AB78/RevenueTariffBasket_FO!AA78-1</f>
        <v>0</v>
      </c>
      <c r="G56" s="2049">
        <f>+RevenueTariffBasket_FO!AC78/RevenueTariffBasket_FO!AB78-1</f>
        <v>0</v>
      </c>
      <c r="H56" s="2049">
        <f>+RevenueTariffBasket_FO!AD78/RevenueTariffBasket_FO!AC78-1</f>
        <v>0</v>
      </c>
      <c r="I56" s="2049">
        <f>+RevenueTariffBasket_FO!AE78/RevenueTariffBasket_FO!AD78-1</f>
        <v>0</v>
      </c>
    </row>
    <row r="57" spans="2:9">
      <c r="B57" s="2015" t="s">
        <v>93</v>
      </c>
      <c r="C57" s="1929" t="s">
        <v>842</v>
      </c>
      <c r="D57" s="1938">
        <f>+RevenueTariffBasket_FO!AA81</f>
        <v>38245.510731840703</v>
      </c>
      <c r="E57" s="1972" cm="1">
        <f t="array" ref="E57">IF(ISERROR(IF(C57="Fixed",ROUNDDOWN(CPI*D57,2),IF(C57="Variable",ROUNDDOWN(CPI*D57,4),ROUND(CPI*D57,4)))),D57,IF(C57="Fixed",ROUNDDOWN(CPI*D57,2),IF(C57="Variable",ROUNDDOWN(CPI*D57,4),ROUND(CPI*D57,4))))</f>
        <v>38245.51</v>
      </c>
      <c r="F57" s="2049">
        <f>+RevenueTariffBasket_FO!AB81/RevenueTariffBasket_FO!AA81-1</f>
        <v>0.3154078804245839</v>
      </c>
      <c r="G57" s="2049">
        <f>+RevenueTariffBasket_FO!AC81/RevenueTariffBasket_FO!AB81-1</f>
        <v>0.3154078804245839</v>
      </c>
      <c r="H57" s="2049">
        <f>+RevenueTariffBasket_FO!AD81/RevenueTariffBasket_FO!AC81-1</f>
        <v>0.3154078804245839</v>
      </c>
      <c r="I57" s="2049">
        <f>+RevenueTariffBasket_FO!AE81/RevenueTariffBasket_FO!AD81-1</f>
        <v>0.3154078804245839</v>
      </c>
    </row>
    <row r="58" spans="2:9">
      <c r="B58" s="2015" t="s">
        <v>100</v>
      </c>
      <c r="C58" s="1929" t="s">
        <v>842</v>
      </c>
      <c r="D58" s="1938">
        <f>+RevenueTariffBasket_FO!AA84</f>
        <v>16828.292779062438</v>
      </c>
      <c r="E58" s="1972" cm="1">
        <f t="array" ref="E58">IF(ISERROR(IF(C58="Fixed",ROUNDDOWN(CPI*D58,2),IF(C58="Variable",ROUNDDOWN(CPI*D58,4),ROUND(CPI*D58,4)))),D58,IF(C58="Fixed",ROUNDDOWN(CPI*D58,2),IF(C58="Variable",ROUNDDOWN(CPI*D58,4),ROUND(CPI*D58,4))))</f>
        <v>16828.29</v>
      </c>
      <c r="F58" s="2049">
        <f>+RevenueTariffBasket_FO!AB84/RevenueTariffBasket_FO!AA84-1</f>
        <v>0.20958659186196371</v>
      </c>
      <c r="G58" s="2049">
        <f>+RevenueTariffBasket_FO!AC84/RevenueTariffBasket_FO!AB84-1</f>
        <v>0.20958659186196371</v>
      </c>
      <c r="H58" s="2049">
        <f>+RevenueTariffBasket_FO!AD84/RevenueTariffBasket_FO!AC84-1</f>
        <v>0.20958659186196371</v>
      </c>
      <c r="I58" s="2049">
        <f>+RevenueTariffBasket_FO!AE84/RevenueTariffBasket_FO!AD84-1</f>
        <v>0.20958659186196371</v>
      </c>
    </row>
    <row r="59" spans="2:9">
      <c r="B59" s="2015" t="s">
        <v>73</v>
      </c>
      <c r="C59" s="1929" t="s">
        <v>842</v>
      </c>
      <c r="D59" s="1938">
        <f>+RevenueTariffBasket_FO!AA87</f>
        <v>23732.018462299216</v>
      </c>
      <c r="E59" s="1972" cm="1">
        <f t="array" ref="E59">IF(ISERROR(IF(C59="Fixed",ROUNDDOWN(CPI*D59,2),IF(C59="Variable",ROUNDDOWN(CPI*D59,4),ROUND(CPI*D59,4)))),D59,IF(C59="Fixed",ROUNDDOWN(CPI*D59,2),IF(C59="Variable",ROUNDDOWN(CPI*D59,4),ROUND(CPI*D59,4))))</f>
        <v>23732.01</v>
      </c>
      <c r="F59" s="2049">
        <f>+RevenueTariffBasket_FO!AB87/RevenueTariffBasket_FO!AA87-1</f>
        <v>0</v>
      </c>
      <c r="G59" s="2049">
        <f>+RevenueTariffBasket_FO!AC87/RevenueTariffBasket_FO!AB87-1</f>
        <v>0</v>
      </c>
      <c r="H59" s="2049">
        <f>+RevenueTariffBasket_FO!AD87/RevenueTariffBasket_FO!AC87-1</f>
        <v>0</v>
      </c>
      <c r="I59" s="2049">
        <f>+RevenueTariffBasket_FO!AE87/RevenueTariffBasket_FO!AD87-1</f>
        <v>0</v>
      </c>
    </row>
    <row r="60" spans="2:9">
      <c r="B60" s="1936"/>
      <c r="C60" s="1936"/>
      <c r="D60" s="1933"/>
      <c r="E60" s="1974"/>
      <c r="F60" s="1933"/>
      <c r="G60" s="1933"/>
      <c r="H60" s="1933"/>
      <c r="I60" s="1933"/>
    </row>
    <row r="61" spans="2:9">
      <c r="B61" s="2012" t="s">
        <v>1329</v>
      </c>
      <c r="C61" s="1936"/>
      <c r="D61" s="1933"/>
      <c r="E61" s="1974"/>
      <c r="F61" s="1933"/>
      <c r="G61" s="1933"/>
      <c r="H61" s="1933"/>
      <c r="I61" s="1933"/>
    </row>
    <row r="62" spans="2:9">
      <c r="B62" s="2069" t="s">
        <v>1330</v>
      </c>
      <c r="C62" s="1929" t="s">
        <v>843</v>
      </c>
      <c r="D62" s="1930">
        <f>+RevenueTariffBasket_FO!AA159</f>
        <v>612.67954263752461</v>
      </c>
      <c r="E62" s="1972" cm="1">
        <f t="array" ref="E62">IF(ISERROR(IF(C62="Fixed",ROUNDDOWN(CPI*D62,2),IF(C62="Variable",ROUNDDOWN(CPI*D62,4),ROUND(CPI*D62,4)))),D62,IF(C62="Fixed",ROUNDDOWN(CPI*D62,2),IF(C62="Variable",ROUNDDOWN(CPI*D62,4),ROUND(CPI*D62,4))))</f>
        <v>612.67949999999996</v>
      </c>
      <c r="F62" s="2049">
        <f>+RevenueTariffBasket_FO!AB159/RevenueTariffBasket_FO!AA159-1</f>
        <v>0</v>
      </c>
      <c r="G62" s="2049">
        <f>+RevenueTariffBasket_FO!AC159/RevenueTariffBasket_FO!AB159-1</f>
        <v>0</v>
      </c>
      <c r="H62" s="2049">
        <f>+RevenueTariffBasket_FO!AD159/RevenueTariffBasket_FO!AC159-1</f>
        <v>0</v>
      </c>
      <c r="I62" s="2049">
        <f>+RevenueTariffBasket_FO!AE159/RevenueTariffBasket_FO!AD159-1</f>
        <v>0</v>
      </c>
    </row>
    <row r="63" spans="2:9">
      <c r="B63" s="1937"/>
      <c r="C63" s="1937"/>
      <c r="D63" s="1933"/>
      <c r="E63" s="1974"/>
      <c r="F63" s="1933"/>
      <c r="G63" s="1933"/>
      <c r="H63" s="1933"/>
      <c r="I63" s="1933"/>
    </row>
    <row r="64" spans="2:9">
      <c r="B64" s="2012" t="s">
        <v>1331</v>
      </c>
      <c r="C64" s="1936"/>
      <c r="D64" s="1933"/>
      <c r="E64" s="1974"/>
      <c r="F64" s="1933"/>
      <c r="G64" s="1933"/>
      <c r="H64" s="1933"/>
      <c r="I64" s="1933"/>
    </row>
    <row r="65" spans="2:9">
      <c r="B65" s="2012"/>
      <c r="C65" s="1929"/>
      <c r="D65" s="1930"/>
      <c r="E65" s="1972" cm="1">
        <f t="array" ref="E65">IF(ISERROR(IF(C65="Fixed",ROUNDDOWN(CPI*D65,2),IF(C65="Variable",ROUNDDOWN(CPI*D65,4),ROUND(CPI*D65,4)))),D65,IF(C65="Fixed",ROUNDDOWN(CPI*D65,2),IF(C65="Variable",ROUNDDOWN(CPI*D65,4),ROUND(CPI*D65,4))))</f>
        <v>0</v>
      </c>
      <c r="F65" s="1938"/>
      <c r="G65" s="1938"/>
      <c r="H65" s="1938"/>
      <c r="I65" s="1938"/>
    </row>
    <row r="66" spans="2:9">
      <c r="B66" s="2012"/>
      <c r="C66" s="1929"/>
      <c r="D66" s="1930"/>
      <c r="E66" s="1972" cm="1">
        <f t="array" ref="E66">IF(ISERROR(IF(C66="Fixed",ROUNDDOWN(CPI*D66,2),IF(C66="Variable",ROUNDDOWN(CPI*D66,4),ROUND(CPI*D66,4)))),D66,IF(C66="Fixed",ROUNDDOWN(CPI*D66,2),IF(C66="Variable",ROUNDDOWN(CPI*D66,4),ROUND(CPI*D66,4))))</f>
        <v>0</v>
      </c>
      <c r="F66" s="1938"/>
      <c r="G66" s="1938"/>
      <c r="H66" s="1938"/>
      <c r="I66" s="1938"/>
    </row>
    <row r="67" spans="2:9">
      <c r="B67" s="2012"/>
      <c r="C67" s="1929"/>
      <c r="D67" s="1930"/>
      <c r="E67" s="1972" cm="1">
        <f t="array" ref="E67">IF(ISERROR(IF(C67="Fixed",ROUNDDOWN(CPI*D67,2),IF(C67="Variable",ROUNDDOWN(CPI*D67,4),ROUND(CPI*D67,4)))),D67,IF(C67="Fixed",ROUNDDOWN(CPI*D67,2),IF(C67="Variable",ROUNDDOWN(CPI*D67,4),ROUND(CPI*D67,4))))</f>
        <v>0</v>
      </c>
      <c r="F67" s="1938"/>
      <c r="G67" s="1938"/>
      <c r="H67" s="1938"/>
      <c r="I67" s="1938"/>
    </row>
    <row r="68" spans="2:9">
      <c r="B68" s="2012"/>
      <c r="C68" s="1929"/>
      <c r="D68" s="1930"/>
      <c r="E68" s="1972" cm="1">
        <f t="array" ref="E68">IF(ISERROR(IF(C68="Fixed",ROUNDDOWN(CPI*D68,2),IF(C68="Variable",ROUNDDOWN(CPI*D68,4),ROUND(CPI*D68,4)))),D68,IF(C68="Fixed",ROUNDDOWN(CPI*D68,2),IF(C68="Variable",ROUNDDOWN(CPI*D68,4),ROUND(CPI*D68,4))))</f>
        <v>0</v>
      </c>
      <c r="F68" s="1938"/>
      <c r="G68" s="1938"/>
      <c r="H68" s="1938"/>
      <c r="I68" s="1938"/>
    </row>
    <row r="69" spans="2:9">
      <c r="B69" s="2015"/>
      <c r="C69" s="1929"/>
      <c r="D69" s="1930"/>
      <c r="E69" s="1972" cm="1">
        <f t="array" ref="E69">IF(ISERROR(IF(C69="Fixed",ROUNDDOWN(CPI*D69,2),IF(C69="Variable",ROUNDDOWN(CPI*D69,4),ROUND(CPI*D69,4)))),D69,IF(C69="Fixed",ROUNDDOWN(CPI*D69,2),IF(C69="Variable",ROUNDDOWN(CPI*D69,4),ROUND(CPI*D69,4))))</f>
        <v>0</v>
      </c>
      <c r="F69" s="1938"/>
      <c r="G69" s="1938"/>
      <c r="H69" s="1938"/>
      <c r="I69" s="1938"/>
    </row>
    <row r="70" spans="2:9" ht="15.75" thickBot="1">
      <c r="B70" s="1993"/>
      <c r="C70" s="1870"/>
      <c r="D70" s="1869"/>
      <c r="E70" s="1869"/>
      <c r="F70" s="1869"/>
      <c r="G70" s="1869"/>
      <c r="H70" s="1869"/>
      <c r="I70" s="1869"/>
    </row>
  </sheetData>
  <mergeCells count="1">
    <mergeCell ref="B5:I6"/>
  </mergeCells>
  <dataValidations count="1">
    <dataValidation type="list" allowBlank="1" showInputMessage="1" showErrorMessage="1" sqref="C13 C16 C19 C22 C25 C31:C32 C28 C35:C36 C39:C45 C48:C50 C62 C53:C59 C65:C69" xr:uid="{7CB272FE-2517-4D91-87DD-48EA192D867B}">
      <formula1>"Fixed, Variable"</formula1>
    </dataValidation>
  </dataValidations>
  <pageMargins left="0.7" right="0.7" top="0.75" bottom="0.75" header="0.3" footer="0.3"/>
  <pageSetup paperSize="9" orientation="portrait" r:id="rId1"/>
  <headerFooter>
    <oddHeader>&amp;C&amp;"Calibri"&amp;14&amp;KFF0000 OFFICIAL&amp;1#_x000D_</oddHead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8DC2C-A65E-4AF9-A942-4B0A8F153A19}">
  <sheetPr codeName="Sheet19">
    <pageSetUpPr autoPageBreaks="0" fitToPage="1"/>
  </sheetPr>
  <dimension ref="A1:V136"/>
  <sheetViews>
    <sheetView topLeftCell="A7" zoomScale="85" zoomScaleNormal="85" zoomScaleSheetLayoutView="100" workbookViewId="0">
      <selection activeCell="D61" sqref="D61"/>
    </sheetView>
  </sheetViews>
  <sheetFormatPr defaultColWidth="0" defaultRowHeight="11.25" zeroHeight="1"/>
  <cols>
    <col min="1" max="1" width="9.33203125" style="1886" customWidth="1"/>
    <col min="2" max="2" width="97.6640625" style="1887" customWidth="1"/>
    <col min="3" max="3" width="17" style="1887" bestFit="1" customWidth="1"/>
    <col min="4" max="4" width="13.33203125" style="1887" bestFit="1" customWidth="1"/>
    <col min="5" max="5" width="14.1640625" style="1887" bestFit="1" customWidth="1"/>
    <col min="6" max="6" width="16" style="1887" customWidth="1"/>
    <col min="7" max="9" width="16" style="1886" customWidth="1"/>
    <col min="10" max="10" width="9.5" style="1886" customWidth="1"/>
    <col min="11" max="16384" width="3" style="1886" hidden="1"/>
  </cols>
  <sheetData>
    <row r="1" spans="1:9"/>
    <row r="2" spans="1:9" s="1887" customFormat="1" ht="25.5">
      <c r="A2" s="1910"/>
      <c r="B2" s="1911" t="s">
        <v>1332</v>
      </c>
      <c r="C2" s="1909"/>
      <c r="D2" s="1909"/>
      <c r="E2" s="1908"/>
      <c r="F2" s="1908"/>
      <c r="G2" s="1905"/>
      <c r="H2" s="1903"/>
      <c r="I2" s="1903"/>
    </row>
    <row r="3" spans="1:9" s="1887" customFormat="1" ht="19.5">
      <c r="B3" s="1913" t="s">
        <v>420</v>
      </c>
      <c r="C3" s="1907"/>
      <c r="D3" s="1907"/>
      <c r="E3" s="1906"/>
      <c r="F3" s="1906"/>
      <c r="G3" s="1905"/>
      <c r="H3" s="1903"/>
      <c r="I3" s="1903"/>
    </row>
    <row r="4" spans="1:9" s="1887" customFormat="1" ht="12" customHeight="1">
      <c r="B4" s="1904"/>
      <c r="C4" s="1904"/>
      <c r="D4" s="1904"/>
      <c r="E4" s="1904"/>
      <c r="F4" s="1904"/>
      <c r="G4" s="1903"/>
      <c r="H4" s="1893"/>
      <c r="I4" s="1893"/>
    </row>
    <row r="5" spans="1:9" s="1887" customFormat="1" ht="12" customHeight="1">
      <c r="B5" s="2149" t="s">
        <v>1288</v>
      </c>
      <c r="C5" s="2149"/>
      <c r="D5" s="2149"/>
      <c r="E5" s="2149"/>
      <c r="F5" s="2149"/>
      <c r="G5" s="2149"/>
      <c r="H5" s="2149"/>
      <c r="I5" s="2150"/>
    </row>
    <row r="6" spans="1:9" s="1887" customFormat="1" ht="23.25" customHeight="1">
      <c r="B6" s="2149"/>
      <c r="C6" s="2149"/>
      <c r="D6" s="2149"/>
      <c r="E6" s="2149"/>
      <c r="F6" s="2149"/>
      <c r="G6" s="2149"/>
      <c r="H6" s="2149"/>
      <c r="I6" s="2150"/>
    </row>
    <row r="7" spans="1:9" s="1887" customFormat="1" ht="20.25" customHeight="1">
      <c r="B7" s="1877" t="s">
        <v>1289</v>
      </c>
      <c r="C7" s="1877" t="s">
        <v>875</v>
      </c>
      <c r="D7" s="1875" t="s">
        <v>1290</v>
      </c>
      <c r="E7" s="1875" t="s">
        <v>857</v>
      </c>
      <c r="F7" s="1875" t="s">
        <v>1292</v>
      </c>
      <c r="G7" s="1875" t="s">
        <v>1293</v>
      </c>
      <c r="H7" s="1875" t="s">
        <v>1294</v>
      </c>
      <c r="I7" s="1875" t="s">
        <v>1295</v>
      </c>
    </row>
    <row r="8" spans="1:9" s="1887" customFormat="1" ht="12.75">
      <c r="B8" s="1877"/>
      <c r="C8" s="1877"/>
      <c r="D8" s="1876" t="s">
        <v>1296</v>
      </c>
      <c r="E8" s="1877" t="str">
        <f>'Schedule 2 - W&amp;S'!E8</f>
        <v>(1 July 2026)</v>
      </c>
      <c r="F8" s="1877" t="str">
        <f>'Schedule 2 - W&amp;S'!F8</f>
        <v>(1 July 2027)</v>
      </c>
      <c r="G8" s="1877" t="str">
        <f>'Schedule 2 - W&amp;S'!G8</f>
        <v>(1 July 2028)</v>
      </c>
      <c r="H8" s="1877" t="str">
        <f>'Schedule 2 - W&amp;S'!H8</f>
        <v>(1 July 2029)</v>
      </c>
      <c r="I8" s="1877" t="str">
        <f>'Schedule 2 - W&amp;S'!I8</f>
        <v>(1 July 2030)</v>
      </c>
    </row>
    <row r="9" spans="1:9" s="1887" customFormat="1" ht="12.75">
      <c r="B9" s="1927"/>
      <c r="C9" s="1927"/>
      <c r="D9" s="1928"/>
      <c r="E9" s="1927"/>
      <c r="F9" s="1927"/>
      <c r="G9" s="1927"/>
      <c r="H9" s="1927"/>
      <c r="I9" s="1927"/>
    </row>
    <row r="10" spans="1:9" s="1887" customFormat="1" ht="12.75">
      <c r="B10" s="1987" t="str">
        <f>'Schedule 2 - W&amp;S'!B10</f>
        <v>2026-27 Inflation</v>
      </c>
      <c r="C10" s="1927"/>
      <c r="D10" s="1928"/>
      <c r="E10" s="1965">
        <f>'Schedule 2 - W&amp;S'!E10</f>
        <v>0</v>
      </c>
      <c r="F10" s="1927"/>
      <c r="G10" s="1927"/>
      <c r="H10" s="1927"/>
      <c r="I10" s="1927"/>
    </row>
    <row r="11" spans="1:9" s="1887" customFormat="1" ht="12.75">
      <c r="B11" s="1902"/>
      <c r="C11" s="1902"/>
      <c r="D11" s="1902"/>
      <c r="E11" s="1902"/>
      <c r="F11" s="1902"/>
      <c r="G11" s="1901"/>
      <c r="H11" s="1900"/>
      <c r="I11" s="1900"/>
    </row>
    <row r="12" spans="1:9" ht="25.5">
      <c r="B12" s="2016" t="s">
        <v>1333</v>
      </c>
      <c r="C12" s="1892"/>
      <c r="D12" s="1892"/>
      <c r="E12" s="1892"/>
      <c r="F12" s="1892"/>
      <c r="G12" s="1899"/>
      <c r="H12" s="1898"/>
      <c r="I12" s="1898"/>
    </row>
    <row r="13" spans="1:9" ht="12.75">
      <c r="B13" s="2017" t="s">
        <v>1334</v>
      </c>
      <c r="C13" s="1929" t="s">
        <v>842</v>
      </c>
      <c r="D13" s="1938">
        <f>RevenueTariffBasket_FO!$AA$261</f>
        <v>123.95816884654046</v>
      </c>
      <c r="E13" s="1890" cm="1">
        <f t="array" ref="E13">IF(ISERROR(IF(C13="Fixed",ROUNDDOWN(CPI*D13,2),IF(C13="Variable",ROUNDDOWN(CPI*D13,4),IF(D13="","",ROUND(CPI*D13,4))))),D13,IF(C13="Fixed",ROUNDDOWN(CPI*D13,2),IF(C13="Variable",ROUNDDOWN(CPI*D13,4),IF(D13="","",ROUND(CPI*D13,4)))))</f>
        <v>123.95</v>
      </c>
      <c r="F13" s="2049">
        <f>+RevenueTariffBasket_FO!AB261/RevenueTariffBasket_FO!AA261-1</f>
        <v>0</v>
      </c>
      <c r="G13" s="2049">
        <f>+RevenueTariffBasket_FO!AC261/RevenueTariffBasket_FO!AB261-1</f>
        <v>0</v>
      </c>
      <c r="H13" s="2049">
        <f>+RevenueTariffBasket_FO!AD261/RevenueTariffBasket_FO!AC261-1</f>
        <v>0</v>
      </c>
      <c r="I13" s="2049">
        <f>+RevenueTariffBasket_FO!AE261/RevenueTariffBasket_FO!AD261-1</f>
        <v>0</v>
      </c>
    </row>
    <row r="14" spans="1:9" ht="12.75">
      <c r="B14" s="2018" t="s">
        <v>1335</v>
      </c>
      <c r="C14" s="1939"/>
      <c r="D14" s="1940"/>
      <c r="E14" s="1890"/>
      <c r="F14" s="1940"/>
      <c r="G14" s="1940"/>
      <c r="H14" s="1940"/>
      <c r="I14" s="1940"/>
    </row>
    <row r="15" spans="1:9" ht="12.75">
      <c r="B15" s="2019" t="s">
        <v>1336</v>
      </c>
      <c r="C15" s="1929" t="s">
        <v>842</v>
      </c>
      <c r="D15" s="1938">
        <f>RevenueTariffBasket_FO!$AA$264</f>
        <v>186.2347528750424</v>
      </c>
      <c r="E15" s="1890" cm="1">
        <f t="array" ref="E15">IF(ISERROR(IF(C15="Fixed",ROUNDDOWN(CPI*D15,2),IF(C15="Variable",ROUNDDOWN(CPI*D15,4),IF(D15="","",ROUND(CPI*D15,4))))),D15,IF(C15="Fixed",ROUNDDOWN(CPI*D15,2),IF(C15="Variable",ROUNDDOWN(CPI*D15,4),IF(D15="","",ROUND(CPI*D15,4)))))</f>
        <v>186.23</v>
      </c>
      <c r="F15" s="2049">
        <f>+RevenueTariffBasket_FO!AB264/RevenueTariffBasket_FO!AA264-1</f>
        <v>0</v>
      </c>
      <c r="G15" s="2049">
        <f>+RevenueTariffBasket_FO!AC264/RevenueTariffBasket_FO!AB264-1</f>
        <v>0</v>
      </c>
      <c r="H15" s="2049">
        <f>+RevenueTariffBasket_FO!AD264/RevenueTariffBasket_FO!AC264-1</f>
        <v>0</v>
      </c>
      <c r="I15" s="2049">
        <f>+RevenueTariffBasket_FO!AE264/RevenueTariffBasket_FO!AD264-1</f>
        <v>0</v>
      </c>
    </row>
    <row r="16" spans="1:9" ht="12.75">
      <c r="B16" s="2019" t="s">
        <v>1337</v>
      </c>
      <c r="C16" s="1929" t="s">
        <v>843</v>
      </c>
      <c r="D16" s="1930"/>
      <c r="E16" s="1890" cm="1">
        <f t="array" ref="E16">IF(ISERROR(IF(C16="Fixed",ROUNDDOWN(CPI*D16,2),IF(C16="Variable",ROUNDDOWN(CPI*D16,4),IF(D16="","",ROUND(CPI*D16,4))))),D16,IF(C16="Fixed",ROUNDDOWN(CPI*D16,2),IF(C16="Variable",ROUNDDOWN(CPI*D16,4),IF(D16="","",ROUND(CPI*D16,4)))))</f>
        <v>0</v>
      </c>
      <c r="F16" s="1938"/>
      <c r="G16" s="1938"/>
      <c r="H16" s="1938"/>
      <c r="I16" s="1938"/>
    </row>
    <row r="17" spans="2:22" ht="12">
      <c r="C17" s="1941"/>
      <c r="D17" s="1940"/>
      <c r="E17" s="1890"/>
      <c r="F17" s="1940"/>
      <c r="G17" s="1940"/>
      <c r="H17" s="1940"/>
      <c r="I17" s="1940"/>
    </row>
    <row r="18" spans="2:22" ht="63.75">
      <c r="B18" s="2016" t="s">
        <v>1338</v>
      </c>
      <c r="C18" s="1942"/>
      <c r="D18" s="1940"/>
      <c r="E18" s="1890"/>
      <c r="F18" s="1940"/>
      <c r="G18" s="1940"/>
      <c r="H18" s="1940"/>
      <c r="I18" s="1940"/>
    </row>
    <row r="19" spans="2:22" ht="12.75">
      <c r="B19" s="2018" t="s">
        <v>1339</v>
      </c>
      <c r="C19" s="1939"/>
      <c r="D19" s="1940"/>
      <c r="E19" s="1890"/>
      <c r="F19" s="1940"/>
      <c r="G19" s="1940"/>
      <c r="H19" s="1940"/>
      <c r="I19" s="1940"/>
    </row>
    <row r="20" spans="2:22" ht="12.75">
      <c r="B20" s="2019" t="s">
        <v>1336</v>
      </c>
      <c r="C20" s="1929" t="s">
        <v>842</v>
      </c>
      <c r="D20" s="1930"/>
      <c r="E20" s="1890" cm="1">
        <f t="array" ref="E20">IF(ISERROR(IF(C20="Fixed",ROUNDDOWN(CPI*D20,2),IF(C20="Variable",ROUNDDOWN(CPI*D20,4),IF(D20="","",ROUND(CPI*D20,4))))),D20,IF(C20="Fixed",ROUNDDOWN(CPI*D20,2),IF(C20="Variable",ROUNDDOWN(CPI*D20,4),IF(D20="","",ROUND(CPI*D20,4)))))</f>
        <v>0</v>
      </c>
      <c r="F20" s="1938"/>
      <c r="G20" s="1938"/>
      <c r="H20" s="1938"/>
      <c r="I20" s="1938"/>
    </row>
    <row r="21" spans="2:22" ht="12">
      <c r="C21" s="1941"/>
      <c r="D21" s="1940"/>
      <c r="E21" s="1890"/>
      <c r="F21" s="1940"/>
      <c r="G21" s="1940"/>
      <c r="H21" s="1940"/>
      <c r="I21" s="1940"/>
    </row>
    <row r="22" spans="2:22" ht="25.5">
      <c r="B22" s="2016" t="s">
        <v>1340</v>
      </c>
      <c r="C22" s="1942"/>
      <c r="D22" s="1940"/>
      <c r="E22" s="1890"/>
      <c r="F22" s="1940"/>
      <c r="G22" s="1940"/>
      <c r="H22" s="1940"/>
      <c r="I22" s="1940"/>
    </row>
    <row r="23" spans="2:22" ht="12.75">
      <c r="B23" s="2019" t="s">
        <v>1336</v>
      </c>
      <c r="C23" s="1929" t="s">
        <v>842</v>
      </c>
      <c r="D23" s="1938">
        <f>+RevenueTariffBasket_FO!AA270</f>
        <v>68.028243062981403</v>
      </c>
      <c r="E23" s="1890" cm="1">
        <f t="array" ref="E23">IF(ISERROR(IF(C23="Fixed",ROUNDDOWN(CPI*D23,2),IF(C23="Variable",ROUNDDOWN(CPI*D23,4),IF(D23="","",ROUND(CPI*D23,4))))),D23,IF(C23="Fixed",ROUNDDOWN(CPI*D23,2),IF(C23="Variable",ROUNDDOWN(CPI*D23,4),IF(D23="","",ROUND(CPI*D23,4)))))</f>
        <v>68.02</v>
      </c>
      <c r="F23" s="2049">
        <f>+RevenueTariffBasket_FO!AB270/RevenueTariffBasket_FO!AA270-1</f>
        <v>0</v>
      </c>
      <c r="G23" s="2049">
        <f>+RevenueTariffBasket_FO!AC270/RevenueTariffBasket_FO!AB270-1</f>
        <v>0</v>
      </c>
      <c r="H23" s="2049">
        <f>+RevenueTariffBasket_FO!AD270/RevenueTariffBasket_FO!AC270-1</f>
        <v>0</v>
      </c>
      <c r="I23" s="2049">
        <f>+RevenueTariffBasket_FO!AE270/RevenueTariffBasket_FO!AD270-1</f>
        <v>0</v>
      </c>
    </row>
    <row r="24" spans="2:22" ht="12.75">
      <c r="C24" s="1941"/>
      <c r="D24" s="1943"/>
      <c r="E24" s="1890"/>
      <c r="F24" s="1943"/>
      <c r="G24" s="1957"/>
      <c r="H24" s="1940"/>
      <c r="I24" s="1940"/>
    </row>
    <row r="25" spans="2:22" ht="42" customHeight="1">
      <c r="B25" s="2016" t="s">
        <v>1341</v>
      </c>
      <c r="C25" s="1942"/>
      <c r="D25" s="1942"/>
      <c r="E25" s="1890"/>
      <c r="F25" s="1942"/>
      <c r="G25" s="1958"/>
      <c r="H25" s="1940"/>
      <c r="I25" s="1940"/>
    </row>
    <row r="26" spans="2:22" ht="12.75">
      <c r="B26" s="2018" t="s">
        <v>1342</v>
      </c>
      <c r="C26" s="1929" t="s">
        <v>842</v>
      </c>
      <c r="D26" s="1938">
        <f>+RevenueTariffBasket_FO!AA285</f>
        <v>248.48</v>
      </c>
      <c r="E26" s="1890" cm="1">
        <f t="array" ref="E26">IF(ISERROR(IF(C26="Fixed",ROUNDDOWN(CPI*D26,2),IF(C26="Variable",ROUNDDOWN(CPI*D26,4),IF(D26="","",ROUND(CPI*D26,4))))),D26,IF(C26="Fixed",ROUNDDOWN(CPI*D26,2),IF(C26="Variable",ROUNDDOWN(CPI*D26,4),IF(D26="","",ROUND(CPI*D26,4)))))</f>
        <v>248.48</v>
      </c>
      <c r="F26" s="2050">
        <f>+RevenueTariffBasket_FO!AB285/RevenueTariffBasket_FO!AA285-1</f>
        <v>5.155983470132508E-2</v>
      </c>
      <c r="G26" s="2050">
        <f>+RevenueTariffBasket_FO!AC285/RevenueTariffBasket_FO!AB285-1</f>
        <v>5.155983470132508E-2</v>
      </c>
      <c r="H26" s="2050">
        <f>+RevenueTariffBasket_FO!AD285/RevenueTariffBasket_FO!AC285-1</f>
        <v>5.155983470132508E-2</v>
      </c>
      <c r="I26" s="2050">
        <f>+RevenueTariffBasket_FO!AE285/RevenueTariffBasket_FO!AD285-1</f>
        <v>5.155983470132508E-2</v>
      </c>
    </row>
    <row r="27" spans="2:22" ht="12" customHeight="1">
      <c r="B27" s="1989"/>
      <c r="C27" s="1944"/>
      <c r="D27" s="1945"/>
      <c r="E27" s="1890"/>
      <c r="F27" s="1945"/>
      <c r="G27" s="1945"/>
      <c r="H27" s="1945"/>
      <c r="I27" s="1945"/>
    </row>
    <row r="28" spans="2:22" ht="12.75">
      <c r="B28" s="2020" t="s">
        <v>1343</v>
      </c>
      <c r="C28" s="1946"/>
      <c r="D28" s="1946"/>
      <c r="E28" s="1890"/>
      <c r="F28" s="1946"/>
      <c r="G28" s="1959"/>
      <c r="H28" s="1960"/>
      <c r="I28" s="1960"/>
    </row>
    <row r="29" spans="2:22" ht="12.75">
      <c r="B29" s="2021" t="s">
        <v>1344</v>
      </c>
      <c r="C29" s="1929" t="s">
        <v>842</v>
      </c>
      <c r="D29" s="1938">
        <f>+RevenueTariffBasket_FO!AA273</f>
        <v>886.78532309528987</v>
      </c>
      <c r="E29" s="1890" cm="1">
        <f t="array" ref="E29">IF(ISERROR(IF(C29="Fixed",ROUNDDOWN(CPI*D29,2),IF(C29="Variable",ROUNDDOWN(CPI*D29,4),IF(D29="","",ROUND(CPI*D29,4))))),D29,IF(C29="Fixed",ROUNDDOWN(CPI*D29,2),IF(C29="Variable",ROUNDDOWN(CPI*D29,4),IF(D29="","",ROUND(CPI*D29,4)))))</f>
        <v>886.78</v>
      </c>
      <c r="F29" s="2049">
        <f>+RevenueTariffBasket_FO!AB273/RevenueTariffBasket_FO!AA273-1</f>
        <v>-2.8182701652089359E-2</v>
      </c>
      <c r="G29" s="2049">
        <f>+RevenueTariffBasket_FO!AC273/RevenueTariffBasket_FO!AB273-1</f>
        <v>-2.8182701652089359E-2</v>
      </c>
      <c r="H29" s="2049">
        <f>+RevenueTariffBasket_FO!AD273/RevenueTariffBasket_FO!AC273-1</f>
        <v>-2.818270165208947E-2</v>
      </c>
      <c r="I29" s="2049">
        <f>+RevenueTariffBasket_FO!AE273/RevenueTariffBasket_FO!AD273-1</f>
        <v>-2.8182701652089359E-2</v>
      </c>
    </row>
    <row r="30" spans="2:22" ht="12.75">
      <c r="B30" s="2017" t="s">
        <v>1345</v>
      </c>
      <c r="C30" s="1929" t="s">
        <v>842</v>
      </c>
      <c r="D30" s="1938">
        <f>+RevenueTariffBasket_FO!AA276</f>
        <v>821.1364822437497</v>
      </c>
      <c r="E30" s="1890" cm="1">
        <f t="array" ref="E30">IF(ISERROR(IF(C30="Fixed",ROUNDDOWN(CPI*D30,2),IF(C30="Variable",ROUNDDOWN(CPI*D30,4),IF(D30="","",ROUND(CPI*D30,4))))),D30,IF(C30="Fixed",ROUNDDOWN(CPI*D30,2),IF(C30="Variable",ROUNDDOWN(CPI*D30,4),IF(D30="","",ROUND(CPI*D30,4)))))</f>
        <v>821.13</v>
      </c>
      <c r="F30" s="2049">
        <f>+RevenueTariffBasket_FO!AB276/RevenueTariffBasket_FO!AA276-1</f>
        <v>-2.8182701652089359E-2</v>
      </c>
      <c r="G30" s="2049">
        <f>+RevenueTariffBasket_FO!AC276/RevenueTariffBasket_FO!AB276-1</f>
        <v>-2.8182701652089248E-2</v>
      </c>
      <c r="H30" s="2049">
        <f>+RevenueTariffBasket_FO!AD276/RevenueTariffBasket_FO!AC276-1</f>
        <v>-2.8182701652089359E-2</v>
      </c>
      <c r="I30" s="2049">
        <f>+RevenueTariffBasket_FO!AE276/RevenueTariffBasket_FO!AD276-1</f>
        <v>-2.8182701652089359E-2</v>
      </c>
    </row>
    <row r="31" spans="2:22" ht="12.75">
      <c r="B31" s="2017" t="s">
        <v>1346</v>
      </c>
      <c r="C31" s="1929" t="s">
        <v>842</v>
      </c>
      <c r="D31" s="1938">
        <f>+RevenueTariffBasket_FO!AA279</f>
        <v>163.5663100436681</v>
      </c>
      <c r="E31" s="1890" cm="1">
        <f t="array" ref="E31">IF(ISERROR(IF(C31="Fixed",ROUNDDOWN(CPI*D31,2),IF(C31="Variable",ROUNDDOWN(CPI*D31,4),IF(D31="","",ROUND(CPI*D31,4))))),D31,IF(C31="Fixed",ROUNDDOWN(CPI*D31,2),IF(C31="Variable",ROUNDDOWN(CPI*D31,4),IF(D31="","",ROUND(CPI*D31,4)))))</f>
        <v>163.56</v>
      </c>
      <c r="F31" s="2049">
        <f>+RevenueTariffBasket_FO!AB279/RevenueTariffBasket_FO!AA279-1</f>
        <v>0.30015832131257136</v>
      </c>
      <c r="G31" s="2049">
        <f>+RevenueTariffBasket_FO!AC279/RevenueTariffBasket_FO!AB279-1</f>
        <v>0.30015832131257136</v>
      </c>
      <c r="H31" s="2049">
        <f>+RevenueTariffBasket_FO!AD279/RevenueTariffBasket_FO!AC279-1</f>
        <v>0.30015832131257136</v>
      </c>
      <c r="I31" s="2049">
        <f>+RevenueTariffBasket_FO!AE279/RevenueTariffBasket_FO!AD279-1</f>
        <v>0.30015832131257136</v>
      </c>
    </row>
    <row r="32" spans="2:22" s="1887" customFormat="1" ht="12.75">
      <c r="B32" s="2017" t="s">
        <v>914</v>
      </c>
      <c r="C32" s="1929" t="s">
        <v>842</v>
      </c>
      <c r="D32" s="1938">
        <f>+RevenueTariffBasket_FO!AA282</f>
        <v>153.22</v>
      </c>
      <c r="E32" s="1890" cm="1">
        <f t="array" ref="E32">IF(ISERROR(IF(C32="Fixed",ROUNDDOWN(CPI*D32,2),IF(C32="Variable",ROUNDDOWN(CPI*D32,4),IF(D32="","",ROUND(CPI*D32,4))))),D32,IF(C32="Fixed",ROUNDDOWN(CPI*D32,2),IF(C32="Variable",ROUNDDOWN(CPI*D32,4),IF(D32="","",ROUND(CPI*D32,4)))))</f>
        <v>153.22</v>
      </c>
      <c r="F32" s="2049">
        <f>+RevenueTariffBasket_FO!AB282/RevenueTariffBasket_FO!AA282-1</f>
        <v>0.19186217731458433</v>
      </c>
      <c r="G32" s="2049">
        <f>+RevenueTariffBasket_FO!AC282/RevenueTariffBasket_FO!AB282-1</f>
        <v>0.19186217731458433</v>
      </c>
      <c r="H32" s="2049">
        <f>+RevenueTariffBasket_FO!AD282/RevenueTariffBasket_FO!AC282-1</f>
        <v>0.19186217731458433</v>
      </c>
      <c r="I32" s="2049">
        <f>+RevenueTariffBasket_FO!AE282/RevenueTariffBasket_FO!AD282-1</f>
        <v>0.19186217731458433</v>
      </c>
      <c r="J32" s="1894"/>
      <c r="K32" s="1897"/>
      <c r="L32" s="1895"/>
      <c r="M32" s="1896"/>
      <c r="N32" s="1895"/>
      <c r="O32" s="1895"/>
      <c r="P32" s="1894"/>
      <c r="Q32" s="1893"/>
      <c r="R32" s="1893"/>
      <c r="S32" s="1893"/>
      <c r="T32" s="1893"/>
      <c r="U32" s="1893"/>
      <c r="V32" s="1893"/>
    </row>
    <row r="33" spans="2:10" ht="12">
      <c r="C33" s="1941"/>
      <c r="D33" s="1947" t="s">
        <v>1307</v>
      </c>
      <c r="E33" s="1890"/>
      <c r="F33" s="1947"/>
      <c r="G33" s="1947"/>
      <c r="H33" s="1956"/>
      <c r="I33" s="1956"/>
    </row>
    <row r="34" spans="2:10" ht="12.75">
      <c r="B34" s="2022" t="s">
        <v>1347</v>
      </c>
      <c r="C34" s="1948"/>
      <c r="D34" s="1947" t="s">
        <v>1307</v>
      </c>
      <c r="E34" s="1890"/>
      <c r="F34" s="1947"/>
      <c r="G34" s="1947"/>
      <c r="H34" s="1956"/>
      <c r="I34" s="1956"/>
    </row>
    <row r="35" spans="2:10" ht="12.75">
      <c r="B35" s="2018" t="s">
        <v>1348</v>
      </c>
      <c r="C35" s="1929" t="s">
        <v>842</v>
      </c>
      <c r="D35" s="1930"/>
      <c r="E35" s="1890" cm="1">
        <f t="array" ref="E35">IF(ISERROR(IF(C35="Fixed",ROUNDDOWN(CPI*D35,2),IF(C35="Variable",ROUNDDOWN(CPI*D35,4),IF(D35="","",ROUND(CPI*D35,4))))),D35,IF(C35="Fixed",ROUNDDOWN(CPI*D35,2),IF(C35="Variable",ROUNDDOWN(CPI*D35,4),IF(D35="","",ROUND(CPI*D35,4)))))</f>
        <v>0</v>
      </c>
      <c r="F35" s="1938"/>
      <c r="G35" s="1938"/>
      <c r="H35" s="1938"/>
      <c r="I35" s="1938"/>
    </row>
    <row r="36" spans="2:10" ht="25.5">
      <c r="B36" s="2019" t="s">
        <v>1349</v>
      </c>
      <c r="C36" s="1929" t="s">
        <v>842</v>
      </c>
      <c r="D36" s="1938">
        <v>5.77</v>
      </c>
      <c r="E36" s="1890" cm="1">
        <f t="array" ref="E36">IF(ISERROR(IF(C36="Fixed",ROUNDDOWN(CPI*D36,2),IF(C36="Variable",ROUNDDOWN(CPI*D36,4),IF(D36="","",ROUND(CPI*D36,4))))),D36,IF(C36="Fixed",ROUNDDOWN(CPI*D36,2),IF(C36="Variable",ROUNDDOWN(CPI*D36,4),IF(D36="","",ROUND(CPI*D36,4)))))</f>
        <v>5.77</v>
      </c>
      <c r="F36" s="2050">
        <v>1.05039136763123E-2</v>
      </c>
      <c r="G36" s="2050">
        <v>0</v>
      </c>
      <c r="H36" s="2050">
        <v>0</v>
      </c>
      <c r="I36" s="2050">
        <v>0</v>
      </c>
    </row>
    <row r="37" spans="2:10" ht="12.75">
      <c r="B37" s="1990"/>
      <c r="C37" s="1949"/>
      <c r="D37" s="1947" t="s">
        <v>1307</v>
      </c>
      <c r="E37" s="1890"/>
      <c r="F37" s="1947"/>
      <c r="G37" s="1947"/>
      <c r="H37" s="1956"/>
      <c r="I37" s="1947"/>
      <c r="J37" s="1891" t="str">
        <f>IF(ISBLANK('[7]MW Schedule 2 - W&amp;D'!L54),"",'[7]MW Schedule 2 - W&amp;D'!L54)</f>
        <v/>
      </c>
    </row>
    <row r="38" spans="2:10" ht="12.75">
      <c r="B38" s="2018" t="s">
        <v>1350</v>
      </c>
      <c r="C38" s="1929" t="s">
        <v>842</v>
      </c>
      <c r="D38" s="1938">
        <v>55.21</v>
      </c>
      <c r="E38" s="1890" cm="1">
        <f t="array" ref="E38">IF(ISERROR(IF(C38="Fixed",ROUNDDOWN(CPI*D38,2),IF(C38="Variable",ROUNDDOWN(CPI*D38,4),IF(D38="","",ROUND(CPI*D38,4))))),D38,IF(C38="Fixed",ROUNDDOWN(CPI*D38,2),IF(C38="Variable",ROUNDDOWN(CPI*D38,4),IF(D38="","",ROUND(CPI*D38,4)))))</f>
        <v>55.21</v>
      </c>
      <c r="F38" s="2050">
        <v>6.5636255418407017E-3</v>
      </c>
      <c r="G38" s="2050">
        <v>0</v>
      </c>
      <c r="H38" s="2050">
        <v>0</v>
      </c>
      <c r="I38" s="2050">
        <v>0</v>
      </c>
    </row>
    <row r="39" spans="2:10" ht="12.75">
      <c r="B39" s="2018" t="s">
        <v>1351</v>
      </c>
      <c r="C39" s="1929" t="s">
        <v>842</v>
      </c>
      <c r="D39" s="1930"/>
      <c r="E39" s="1890" cm="1">
        <f t="array" ref="E39">IF(ISERROR(IF(C39="Fixed",ROUNDDOWN(CPI*D39,2),IF(C39="Variable",ROUNDDOWN(CPI*D39,4),IF(D39="","",ROUND(CPI*D39,4))))),D39,IF(C39="Fixed",ROUNDDOWN(CPI*D39,2),IF(C39="Variable",ROUNDDOWN(CPI*D39,4),IF(D39="","",ROUND(CPI*D39,4)))))</f>
        <v>0</v>
      </c>
      <c r="F39" s="1938"/>
      <c r="G39" s="1938"/>
      <c r="H39" s="1938"/>
      <c r="I39" s="1938"/>
    </row>
    <row r="40" spans="2:10" ht="12.75">
      <c r="B40" s="1988"/>
      <c r="C40" s="1950"/>
      <c r="D40" s="1947"/>
      <c r="E40" s="1890" t="str" cm="1">
        <f t="array" ref="E40">IF(C40="Fixed",ROUNDDOWN(CPI*D40,2),IF(C40="Variable",ROUNDDOWN(CPI*D40,4),IF(D40="","",ROUND(CPI*D40,4))))</f>
        <v/>
      </c>
      <c r="F40" s="1947" t="s">
        <v>1352</v>
      </c>
      <c r="G40" s="1947"/>
      <c r="H40" s="1956"/>
      <c r="I40" s="1956"/>
    </row>
    <row r="41" spans="2:10" ht="12.75">
      <c r="B41" s="1892"/>
      <c r="C41" s="1942"/>
      <c r="D41" s="1947"/>
      <c r="E41" s="1890" t="str" cm="1">
        <f t="array" ref="E41">IF(C41="Fixed",ROUNDDOWN(CPI*D41,2),IF(C41="Variable",ROUNDDOWN(CPI*D41,4),IF(D41="","",ROUND(CPI*D41,4))))</f>
        <v/>
      </c>
      <c r="F41" s="1947"/>
      <c r="G41" s="1947"/>
      <c r="H41" s="1956"/>
      <c r="I41" s="1956"/>
    </row>
    <row r="42" spans="2:10" ht="12.75">
      <c r="B42" s="2023" t="s">
        <v>1353</v>
      </c>
      <c r="C42" s="1929" t="s">
        <v>842</v>
      </c>
      <c r="D42" s="1938">
        <v>182.11</v>
      </c>
      <c r="E42" s="1890" cm="1">
        <f t="array" ref="E42">IF(ISERROR(IF(C42="Fixed",ROUNDDOWN(CPI*D42,2),IF(C42="Variable",ROUNDDOWN(CPI*D42,4),IF(D42="","",ROUND(CPI*D42,4))))),D42,IF(C42="Fixed",ROUNDDOWN(CPI*D42,2),IF(C42="Variable",ROUNDDOWN(CPI*D42,4),IF(D42="","",ROUND(CPI*D42,4)))))</f>
        <v>182.11</v>
      </c>
      <c r="F42" s="2050">
        <v>-1.4764337992143276E-2</v>
      </c>
      <c r="G42" s="2050">
        <v>0</v>
      </c>
      <c r="H42" s="2050">
        <v>0</v>
      </c>
      <c r="I42" s="2050">
        <v>0</v>
      </c>
    </row>
    <row r="43" spans="2:10" ht="12.75">
      <c r="B43" s="2023" t="s">
        <v>1354</v>
      </c>
      <c r="C43" s="1929" t="s">
        <v>842</v>
      </c>
      <c r="D43" s="1938">
        <v>113.23</v>
      </c>
      <c r="E43" s="1890" cm="1">
        <f t="array" ref="E43">IF(ISERROR(IF(C43="Fixed",ROUNDDOWN(CPI*D43,2),IF(C43="Variable",ROUNDDOWN(CPI*D43,4),IF(D43="","",ROUND(CPI*D43,4))))),D43,IF(C43="Fixed",ROUNDDOWN(CPI*D43,2),IF(C43="Variable",ROUNDDOWN(CPI*D43,4),IF(D43="","",ROUND(CPI*D43,4)))))</f>
        <v>113.23</v>
      </c>
      <c r="F43" s="2050">
        <v>-1.4764337992143276E-2</v>
      </c>
      <c r="G43" s="2050">
        <v>0</v>
      </c>
      <c r="H43" s="2050">
        <v>0</v>
      </c>
      <c r="I43" s="2050">
        <v>0</v>
      </c>
    </row>
    <row r="44" spans="2:10" ht="12.75">
      <c r="B44" s="2023" t="s">
        <v>1355</v>
      </c>
      <c r="C44" s="1929" t="s">
        <v>842</v>
      </c>
      <c r="D44" s="1938">
        <v>182.11</v>
      </c>
      <c r="E44" s="1890" cm="1">
        <f t="array" ref="E44">IF(ISERROR(IF(C44="Fixed",ROUNDDOWN(CPI*D44,2),IF(C44="Variable",ROUNDDOWN(CPI*D44,4),IF(D44="","",ROUND(CPI*D44,4))))),D44,IF(C44="Fixed",ROUNDDOWN(CPI*D44,2),IF(C44="Variable",ROUNDDOWN(CPI*D44,4),IF(D44="","",ROUND(CPI*D44,4)))))</f>
        <v>182.11</v>
      </c>
      <c r="F44" s="2050">
        <v>-1.4764337992143276E-2</v>
      </c>
      <c r="G44" s="2050">
        <v>0</v>
      </c>
      <c r="H44" s="2050">
        <v>0</v>
      </c>
      <c r="I44" s="2050">
        <v>0</v>
      </c>
    </row>
    <row r="45" spans="2:10" ht="12.75">
      <c r="B45" s="1988"/>
      <c r="C45" s="1950"/>
      <c r="D45" s="1947"/>
      <c r="E45" s="1890"/>
      <c r="F45" s="1947"/>
      <c r="G45" s="1947"/>
      <c r="H45" s="1956"/>
      <c r="I45" s="1956"/>
    </row>
    <row r="46" spans="2:10" ht="12.75">
      <c r="B46" s="2016" t="s">
        <v>1356</v>
      </c>
      <c r="C46" s="1942"/>
      <c r="D46" s="1947"/>
      <c r="E46" s="1890"/>
      <c r="F46" s="1947"/>
      <c r="G46" s="1947"/>
      <c r="H46" s="1956"/>
      <c r="I46" s="1956"/>
    </row>
    <row r="47" spans="2:10" ht="12.75">
      <c r="B47" s="2024" t="s">
        <v>1357</v>
      </c>
      <c r="C47" s="1929" t="s">
        <v>842</v>
      </c>
      <c r="D47" s="1938">
        <v>209.05</v>
      </c>
      <c r="E47" s="1890" cm="1">
        <f t="array" ref="E47">IF(ISERROR(IF(C47="Fixed",ROUNDDOWN(CPI*D47,2),IF(C47="Variable",ROUNDDOWN(CPI*D47,4),IF(D47="","",ROUND(CPI*D47,4))))),D47,IF(C47="Fixed",ROUNDDOWN(CPI*D47,2),IF(C47="Variable",ROUNDDOWN(CPI*D47,4),IF(D47="","",ROUND(CPI*D47,4)))))</f>
        <v>209.05</v>
      </c>
      <c r="F47" s="2049">
        <v>0.1</v>
      </c>
      <c r="G47" s="2049">
        <v>0.1</v>
      </c>
      <c r="H47" s="2049">
        <v>0.1</v>
      </c>
      <c r="I47" s="2049">
        <v>0.1</v>
      </c>
    </row>
    <row r="48" spans="2:10" ht="12.75">
      <c r="B48" s="2024" t="s">
        <v>1358</v>
      </c>
      <c r="C48" s="1929" t="s">
        <v>842</v>
      </c>
      <c r="D48" s="1938">
        <v>575.97</v>
      </c>
      <c r="E48" s="1890" cm="1">
        <f t="array" ref="E48">IF(ISERROR(IF(C48="Fixed",ROUNDDOWN(CPI*D48,2),IF(C48="Variable",ROUNDDOWN(CPI*D48,4),IF(D48="","",ROUND(CPI*D48,4))))),D48,IF(C48="Fixed",ROUNDDOWN(CPI*D48,2),IF(C48="Variable",ROUNDDOWN(CPI*D48,4),IF(D48="","",ROUND(CPI*D48,4)))))</f>
        <v>575.97</v>
      </c>
      <c r="F48" s="2049">
        <v>0.1</v>
      </c>
      <c r="G48" s="2049">
        <v>0.1</v>
      </c>
      <c r="H48" s="2049">
        <v>0.1</v>
      </c>
      <c r="I48" s="2049">
        <v>0.1</v>
      </c>
    </row>
    <row r="49" spans="2:9" ht="12.75">
      <c r="B49" s="2024" t="s">
        <v>1359</v>
      </c>
      <c r="C49" s="1929" t="s">
        <v>842</v>
      </c>
      <c r="D49" s="1938">
        <v>282.75</v>
      </c>
      <c r="E49" s="1890" cm="1">
        <f t="array" ref="E49">IF(ISERROR(IF(C49="Fixed",ROUNDDOWN(CPI*D49,2),IF(C49="Variable",ROUNDDOWN(CPI*D49,4),IF(D49="","",ROUND(CPI*D49,4))))),D49,IF(C49="Fixed",ROUNDDOWN(CPI*D49,2),IF(C49="Variable",ROUNDDOWN(CPI*D49,4),IF(D49="","",ROUND(CPI*D49,4)))))</f>
        <v>282.75</v>
      </c>
      <c r="F49" s="2049">
        <v>0.1</v>
      </c>
      <c r="G49" s="2049">
        <v>0.1</v>
      </c>
      <c r="H49" s="2049">
        <v>0.1</v>
      </c>
      <c r="I49" s="2049">
        <v>0.1</v>
      </c>
    </row>
    <row r="50" spans="2:9" ht="12.75">
      <c r="B50" s="2023" t="s">
        <v>1360</v>
      </c>
      <c r="C50" s="1929" t="s">
        <v>842</v>
      </c>
      <c r="D50" s="1938">
        <v>1449.08</v>
      </c>
      <c r="E50" s="1890" cm="1">
        <f t="array" ref="E50">IF(ISERROR(IF(C50="Fixed",ROUNDDOWN(CPI*D50,2),IF(C50="Variable",ROUNDDOWN(CPI*D50,4),IF(D50="","",ROUND(CPI*D50,4))))),D50,IF(C50="Fixed",ROUNDDOWN(CPI*D50,2),IF(C50="Variable",ROUNDDOWN(CPI*D50,4),IF(D50="","",ROUND(CPI*D50,4)))))</f>
        <v>1449.08</v>
      </c>
      <c r="F50" s="2049">
        <v>0.1</v>
      </c>
      <c r="G50" s="2051">
        <v>0.1</v>
      </c>
      <c r="H50" s="2051">
        <v>0.1</v>
      </c>
      <c r="I50" s="2051">
        <v>0.1</v>
      </c>
    </row>
    <row r="51" spans="2:9" ht="15">
      <c r="B51" s="2057"/>
      <c r="C51" s="1950"/>
      <c r="D51" s="1947"/>
      <c r="E51" s="1890"/>
      <c r="F51" s="1947"/>
      <c r="G51" s="1947"/>
      <c r="H51" s="1956"/>
      <c r="I51" s="1956"/>
    </row>
    <row r="52" spans="2:9" ht="12">
      <c r="B52" s="2025" t="s">
        <v>1361</v>
      </c>
      <c r="C52" s="1951"/>
      <c r="D52" s="1947"/>
      <c r="E52" s="1890"/>
      <c r="F52" s="1947"/>
      <c r="G52" s="1947"/>
      <c r="H52" s="1956"/>
      <c r="I52" s="1956"/>
    </row>
    <row r="53" spans="2:9" ht="12.75">
      <c r="B53" s="2024" t="s">
        <v>1362</v>
      </c>
      <c r="C53" s="1929" t="s">
        <v>842</v>
      </c>
      <c r="D53" s="1938">
        <v>181.09</v>
      </c>
      <c r="E53" s="1890" cm="1">
        <f t="array" ref="E53">IF(ISERROR(IF(C53="Fixed",ROUNDDOWN(CPI*D53,2),IF(C53="Variable",ROUNDDOWN(CPI*D53,4),IF(D53="","",ROUND(CPI*D53,4))))),D53,IF(C53="Fixed",ROUNDDOWN(CPI*D53,2),IF(C53="Variable",ROUNDDOWN(CPI*D53,4),IF(D53="","",ROUND(CPI*D53,4)))))</f>
        <v>181.09</v>
      </c>
      <c r="F53" s="2049">
        <v>0.1</v>
      </c>
      <c r="G53" s="2049">
        <v>0.1</v>
      </c>
      <c r="H53" s="2049">
        <v>0.1</v>
      </c>
      <c r="I53" s="2049">
        <v>0.1</v>
      </c>
    </row>
    <row r="54" spans="2:9" ht="12.75">
      <c r="B54" s="2024" t="s">
        <v>1363</v>
      </c>
      <c r="C54" s="1929" t="s">
        <v>842</v>
      </c>
      <c r="D54" s="1938">
        <v>366.91</v>
      </c>
      <c r="E54" s="1890" cm="1">
        <f t="array" ref="E54">IF(ISERROR(IF(C54="Fixed",ROUNDDOWN(CPI*D54,2),IF(C54="Variable",ROUNDDOWN(CPI*D54,4),IF(D54="","",ROUND(CPI*D54,4))))),D54,IF(C54="Fixed",ROUNDDOWN(CPI*D54,2),IF(C54="Variable",ROUNDDOWN(CPI*D54,4),IF(D54="","",ROUND(CPI*D54,4)))))</f>
        <v>366.91</v>
      </c>
      <c r="F54" s="2049">
        <v>0.1</v>
      </c>
      <c r="G54" s="2049">
        <v>0.1</v>
      </c>
      <c r="H54" s="2049">
        <v>0.1</v>
      </c>
      <c r="I54" s="2049">
        <v>0.1</v>
      </c>
    </row>
    <row r="55" spans="2:9" ht="15.75">
      <c r="B55" s="1991"/>
      <c r="C55" s="1952"/>
      <c r="D55" s="1947"/>
      <c r="E55" s="1890"/>
      <c r="F55" s="1947"/>
      <c r="G55" s="1947"/>
      <c r="H55" s="1956"/>
      <c r="I55" s="1956"/>
    </row>
    <row r="56" spans="2:9" ht="12.75">
      <c r="B56" s="2026" t="s">
        <v>1364</v>
      </c>
      <c r="C56" s="1953"/>
      <c r="D56" s="1947"/>
      <c r="E56" s="1890"/>
      <c r="F56" s="1947"/>
      <c r="G56" s="1947"/>
      <c r="H56" s="1956"/>
      <c r="I56" s="1956"/>
    </row>
    <row r="57" spans="2:9" ht="12.75">
      <c r="B57" s="2027" t="s">
        <v>1365</v>
      </c>
      <c r="C57" s="1929" t="s">
        <v>842</v>
      </c>
      <c r="D57" s="1938">
        <v>329.39</v>
      </c>
      <c r="E57" s="1890" cm="1">
        <f t="array" ref="E57">IF(ISERROR(IF(C57="Fixed",ROUNDDOWN(CPI*D57,2),IF(C57="Variable",ROUNDDOWN(CPI*D57,4),IF(D57="","",ROUND(CPI*D57,4))))),D57,IF(C57="Fixed",ROUNDDOWN(CPI*D57,2),IF(C57="Variable",ROUNDDOWN(CPI*D57,4),IF(D57="","",ROUND(CPI*D57,4)))))</f>
        <v>329.39</v>
      </c>
      <c r="F57" s="2050">
        <v>1.6053321618307997E-3</v>
      </c>
      <c r="G57" s="2050">
        <v>1.6053321618307703E-3</v>
      </c>
      <c r="H57" s="2050">
        <v>1.6053321618307455E-3</v>
      </c>
      <c r="I57" s="2050">
        <v>1.6053321618307507E-3</v>
      </c>
    </row>
    <row r="58" spans="2:9" ht="12.75">
      <c r="B58" s="2027" t="s">
        <v>1366</v>
      </c>
      <c r="C58" s="1929" t="s">
        <v>842</v>
      </c>
      <c r="D58" s="1938">
        <v>29.56</v>
      </c>
      <c r="E58" s="1890" cm="1">
        <f t="array" ref="E58">IF(ISERROR(IF(C58="Fixed",ROUNDDOWN(CPI*D58,2),IF(C58="Variable",ROUNDDOWN(CPI*D58,4),IF(D58="","",ROUND(CPI*D58,4))))),D58,IF(C58="Fixed",ROUNDDOWN(CPI*D58,2),IF(C58="Variable",ROUNDDOWN(CPI*D58,4),IF(D58="","",ROUND(CPI*D58,4)))))</f>
        <v>29.56</v>
      </c>
      <c r="F58" s="2050">
        <v>1.6053321618307997E-3</v>
      </c>
      <c r="G58" s="2050">
        <v>1.6053321618307703E-3</v>
      </c>
      <c r="H58" s="2050">
        <v>1.6053321618307455E-3</v>
      </c>
      <c r="I58" s="2050">
        <v>1.6053321618307507E-3</v>
      </c>
    </row>
    <row r="59" spans="2:9" ht="12.75">
      <c r="B59" s="2027" t="s">
        <v>1367</v>
      </c>
      <c r="C59" s="1929" t="s">
        <v>842</v>
      </c>
      <c r="D59" s="1938">
        <v>43.21</v>
      </c>
      <c r="E59" s="1890" cm="1">
        <f t="array" ref="E59">IF(ISERROR(IF(C59="Fixed",ROUNDDOWN(CPI*D59,2),IF(C59="Variable",ROUNDDOWN(CPI*D59,4),IF(D59="","",ROUND(CPI*D59,4))))),D59,IF(C59="Fixed",ROUNDDOWN(CPI*D59,2),IF(C59="Variable",ROUNDDOWN(CPI*D59,4),IF(D59="","",ROUND(CPI*D59,4)))))</f>
        <v>43.21</v>
      </c>
      <c r="F59" s="2050">
        <v>1.6053321618307997E-3</v>
      </c>
      <c r="G59" s="2050">
        <v>1.6053321618307703E-3</v>
      </c>
      <c r="H59" s="2050">
        <v>1.6053321618307455E-3</v>
      </c>
      <c r="I59" s="2050">
        <v>1.6053321618307507E-3</v>
      </c>
    </row>
    <row r="60" spans="2:9" ht="12.75">
      <c r="B60" s="2027" t="s">
        <v>1368</v>
      </c>
      <c r="C60" s="1929" t="s">
        <v>842</v>
      </c>
      <c r="D60" s="1938">
        <v>21.75</v>
      </c>
      <c r="E60" s="1890" cm="1">
        <f t="array" ref="E60">IF(ISERROR(IF(C60="Fixed",ROUNDDOWN(CPI*D60,2),IF(C60="Variable",ROUNDDOWN(CPI*D60,4),IF(D60="","",ROUND(CPI*D60,4))))),D60,IF(C60="Fixed",ROUNDDOWN(CPI*D60,2),IF(C60="Variable",ROUNDDOWN(CPI*D60,4),IF(D60="","",ROUND(CPI*D60,4)))))</f>
        <v>21.75</v>
      </c>
      <c r="F60" s="2050">
        <v>1.6053321618307997E-3</v>
      </c>
      <c r="G60" s="2050">
        <v>1.6053321618307703E-3</v>
      </c>
      <c r="H60" s="2050">
        <v>1.6053321618307455E-3</v>
      </c>
      <c r="I60" s="2050">
        <v>1.6053321618307507E-3</v>
      </c>
    </row>
    <row r="61" spans="2:9" ht="12.75">
      <c r="B61" s="2027" t="s">
        <v>1369</v>
      </c>
      <c r="C61" s="1929" t="s">
        <v>842</v>
      </c>
      <c r="D61" s="1938">
        <v>21.75</v>
      </c>
      <c r="E61" s="1890" cm="1">
        <f t="array" ref="E61">IF(ISERROR(IF(C61="Fixed",ROUNDDOWN(CPI*D61,2),IF(C61="Variable",ROUNDDOWN(CPI*D61,4),IF(D61="","",ROUND(CPI*D61,4))))),D61,IF(C61="Fixed",ROUNDDOWN(CPI*D61,2),IF(C61="Variable",ROUNDDOWN(CPI*D61,4),IF(D61="","",ROUND(CPI*D61,4)))))</f>
        <v>21.75</v>
      </c>
      <c r="F61" s="2050">
        <v>1.6053321618307997E-3</v>
      </c>
      <c r="G61" s="2050">
        <v>1.6053321618307703E-3</v>
      </c>
      <c r="H61" s="2050">
        <v>1.6053321618307455E-3</v>
      </c>
      <c r="I61" s="2050">
        <v>1.6053321618307507E-3</v>
      </c>
    </row>
    <row r="62" spans="2:9" ht="12.75">
      <c r="B62" s="2027" t="s">
        <v>1370</v>
      </c>
      <c r="C62" s="1929" t="s">
        <v>842</v>
      </c>
      <c r="D62" s="1938">
        <v>21.75</v>
      </c>
      <c r="E62" s="1890" cm="1">
        <f t="array" ref="E62">IF(ISERROR(IF(C62="Fixed",ROUNDDOWN(CPI*D62,2),IF(C62="Variable",ROUNDDOWN(CPI*D62,4),IF(D62="","",ROUND(CPI*D62,4))))),D62,IF(C62="Fixed",ROUNDDOWN(CPI*D62,2),IF(C62="Variable",ROUNDDOWN(CPI*D62,4),IF(D62="","",ROUND(CPI*D62,4)))))</f>
        <v>21.75</v>
      </c>
      <c r="F62" s="2050">
        <v>1.6053321618307997E-3</v>
      </c>
      <c r="G62" s="2050">
        <v>1.6053321618307703E-3</v>
      </c>
      <c r="H62" s="2050">
        <v>1.6053321618307455E-3</v>
      </c>
      <c r="I62" s="2050">
        <v>1.6053321618307507E-3</v>
      </c>
    </row>
    <row r="63" spans="2:9" ht="12.75">
      <c r="B63" s="2027" t="s">
        <v>1371</v>
      </c>
      <c r="C63" s="1929" t="s">
        <v>842</v>
      </c>
      <c r="D63" s="1938">
        <v>2.72</v>
      </c>
      <c r="E63" s="1890" cm="1">
        <f t="array" ref="E63">IF(ISERROR(IF(C63="Fixed",ROUNDDOWN(CPI*D63,2),IF(C63="Variable",ROUNDDOWN(CPI*D63,4),IF(D63="","",ROUND(CPI*D63,4))))),D63,IF(C63="Fixed",ROUNDDOWN(CPI*D63,2),IF(C63="Variable",ROUNDDOWN(CPI*D63,4),IF(D63="","",ROUND(CPI*D63,4)))))</f>
        <v>2.72</v>
      </c>
      <c r="F63" s="2050">
        <v>1.6053321618307997E-3</v>
      </c>
      <c r="G63" s="2050">
        <v>1.6053321618307703E-3</v>
      </c>
      <c r="H63" s="2050">
        <v>1.6053321618307455E-3</v>
      </c>
      <c r="I63" s="2050">
        <v>1.6053321618307507E-3</v>
      </c>
    </row>
    <row r="64" spans="2:9" ht="12.75">
      <c r="B64" s="2027" t="s">
        <v>1372</v>
      </c>
      <c r="C64" s="1929" t="s">
        <v>842</v>
      </c>
      <c r="D64" s="1938">
        <v>74.27</v>
      </c>
      <c r="E64" s="1890" cm="1">
        <f t="array" ref="E64">IF(ISERROR(IF(C64="Fixed",ROUNDDOWN(CPI*D64,2),IF(C64="Variable",ROUNDDOWN(CPI*D64,4),IF(D64="","",ROUND(CPI*D64,4))))),D64,IF(C64="Fixed",ROUNDDOWN(CPI*D64,2),IF(C64="Variable",ROUNDDOWN(CPI*D64,4),IF(D64="","",ROUND(CPI*D64,4)))))</f>
        <v>74.27</v>
      </c>
      <c r="F64" s="2050">
        <v>1.6053321618307997E-3</v>
      </c>
      <c r="G64" s="2050">
        <v>1.6053321618307703E-3</v>
      </c>
      <c r="H64" s="2050">
        <v>1.6053321618307455E-3</v>
      </c>
      <c r="I64" s="2050">
        <v>1.6053321618307507E-3</v>
      </c>
    </row>
    <row r="65" spans="2:9" ht="12.75">
      <c r="B65" s="2027" t="s">
        <v>1373</v>
      </c>
      <c r="C65" s="1929" t="s">
        <v>842</v>
      </c>
      <c r="D65" s="1938">
        <v>125.75</v>
      </c>
      <c r="E65" s="1890" cm="1">
        <f t="array" ref="E65">IF(ISERROR(IF(C65="Fixed",ROUNDDOWN(CPI*D65,2),IF(C65="Variable",ROUNDDOWN(CPI*D65,4),IF(D65="","",ROUND(CPI*D65,4))))),D65,IF(C65="Fixed",ROUNDDOWN(CPI*D65,2),IF(C65="Variable",ROUNDDOWN(CPI*D65,4),IF(D65="","",ROUND(CPI*D65,4)))))</f>
        <v>125.75</v>
      </c>
      <c r="F65" s="2050">
        <v>1.6053321618307997E-3</v>
      </c>
      <c r="G65" s="2050">
        <v>1.6053321618307703E-3</v>
      </c>
      <c r="H65" s="2050">
        <v>1.6053321618307455E-3</v>
      </c>
      <c r="I65" s="2050">
        <v>1.6053321618307507E-3</v>
      </c>
    </row>
    <row r="66" spans="2:9" ht="12">
      <c r="C66" s="1941"/>
      <c r="D66" s="1947"/>
      <c r="E66" s="1890"/>
      <c r="F66" s="1947"/>
      <c r="G66" s="1947"/>
      <c r="H66" s="1956"/>
      <c r="I66" s="1956"/>
    </row>
    <row r="67" spans="2:9" ht="12.75">
      <c r="B67" s="2022" t="s">
        <v>1374</v>
      </c>
      <c r="C67" s="1948"/>
      <c r="D67" s="1947"/>
      <c r="E67" s="1890"/>
      <c r="F67" s="1947"/>
      <c r="G67" s="1947"/>
      <c r="H67" s="1956"/>
      <c r="I67" s="1956"/>
    </row>
    <row r="68" spans="2:9" ht="12.75">
      <c r="B68" s="2027" t="s">
        <v>1365</v>
      </c>
      <c r="C68" s="1929" t="s">
        <v>842</v>
      </c>
      <c r="D68" s="1938">
        <v>329.39</v>
      </c>
      <c r="E68" s="1890" cm="1">
        <f t="array" ref="E68">IF(ISERROR(IF(C68="Fixed",ROUNDDOWN(CPI*D68,2),IF(C68="Variable",ROUNDDOWN(CPI*D68,4),IF(D68="","",ROUND(CPI*D68,4))))),D68,IF(C68="Fixed",ROUNDDOWN(CPI*D68,2),IF(C68="Variable",ROUNDDOWN(CPI*D68,4),IF(D68="","",ROUND(CPI*D68,4)))))</f>
        <v>329.39</v>
      </c>
      <c r="F68" s="2050">
        <v>1.6053321618307997E-3</v>
      </c>
      <c r="G68" s="2050">
        <v>1.6053321618307703E-3</v>
      </c>
      <c r="H68" s="2050">
        <v>1.6053321618307455E-3</v>
      </c>
      <c r="I68" s="2050">
        <v>1.6053321618307507E-3</v>
      </c>
    </row>
    <row r="69" spans="2:9" ht="12.75">
      <c r="B69" s="2027" t="s">
        <v>1367</v>
      </c>
      <c r="C69" s="1929" t="s">
        <v>842</v>
      </c>
      <c r="D69" s="1938">
        <v>90.45</v>
      </c>
      <c r="E69" s="1890" cm="1">
        <f t="array" ref="E69">IF(ISERROR(IF(C69="Fixed",ROUNDDOWN(CPI*D69,2),IF(C69="Variable",ROUNDDOWN(CPI*D69,4),IF(D69="","",ROUND(CPI*D69,4))))),D69,IF(C69="Fixed",ROUNDDOWN(CPI*D69,2),IF(C69="Variable",ROUNDDOWN(CPI*D69,4),IF(D69="","",ROUND(CPI*D69,4)))))</f>
        <v>90.45</v>
      </c>
      <c r="F69" s="2050">
        <v>1.6053321618307997E-3</v>
      </c>
      <c r="G69" s="2050">
        <v>1.6053321618307703E-3</v>
      </c>
      <c r="H69" s="2050">
        <v>1.6053321618307455E-3</v>
      </c>
      <c r="I69" s="2050">
        <v>1.6053321618307507E-3</v>
      </c>
    </row>
    <row r="70" spans="2:9" ht="12.75">
      <c r="B70" s="2027" t="s">
        <v>1375</v>
      </c>
      <c r="C70" s="1929" t="s">
        <v>842</v>
      </c>
      <c r="D70" s="1938">
        <v>21.75</v>
      </c>
      <c r="E70" s="1890" cm="1">
        <f t="array" ref="E70">IF(ISERROR(IF(C70="Fixed",ROUNDDOWN(CPI*D70,2),IF(C70="Variable",ROUNDDOWN(CPI*D70,4),IF(D70="","",ROUND(CPI*D70,4))))),D70,IF(C70="Fixed",ROUNDDOWN(CPI*D70,2),IF(C70="Variable",ROUNDDOWN(CPI*D70,4),IF(D70="","",ROUND(CPI*D70,4)))))</f>
        <v>21.75</v>
      </c>
      <c r="F70" s="2050">
        <v>1.6053321618307997E-3</v>
      </c>
      <c r="G70" s="2050">
        <v>1.6053321618307703E-3</v>
      </c>
      <c r="H70" s="2050">
        <v>1.6053321618307455E-3</v>
      </c>
      <c r="I70" s="2050">
        <v>1.6053321618307507E-3</v>
      </c>
    </row>
    <row r="71" spans="2:9" ht="12">
      <c r="C71" s="1941"/>
      <c r="D71" s="1947"/>
      <c r="E71" s="1890"/>
      <c r="F71" s="1947"/>
      <c r="G71" s="1947"/>
      <c r="H71" s="1956"/>
      <c r="I71" s="1956"/>
    </row>
    <row r="72" spans="2:9" ht="12.75">
      <c r="B72" s="2022" t="s">
        <v>1376</v>
      </c>
      <c r="C72" s="1948"/>
      <c r="D72" s="1947"/>
      <c r="E72" s="1890"/>
      <c r="F72" s="1947"/>
      <c r="G72" s="1947"/>
      <c r="H72" s="1956"/>
      <c r="I72" s="1956"/>
    </row>
    <row r="73" spans="2:9" ht="12.75">
      <c r="B73" s="2027" t="s">
        <v>1377</v>
      </c>
      <c r="C73" s="1929" t="s">
        <v>842</v>
      </c>
      <c r="D73" s="1938">
        <v>329.39</v>
      </c>
      <c r="E73" s="1890" cm="1">
        <f t="array" ref="E73">IF(ISERROR(IF(C73="Fixed",ROUNDDOWN(CPI*D73,2),IF(C73="Variable",ROUNDDOWN(CPI*D73,4),IF(D73="","",ROUND(CPI*D73,4))))),D73,IF(C73="Fixed",ROUNDDOWN(CPI*D73,2),IF(C73="Variable",ROUNDDOWN(CPI*D73,4),IF(D73="","",ROUND(CPI*D73,4)))))</f>
        <v>329.39</v>
      </c>
      <c r="F73" s="2050">
        <v>1.6053321618307997E-3</v>
      </c>
      <c r="G73" s="2050">
        <v>1.6053321618307703E-3</v>
      </c>
      <c r="H73" s="2050">
        <v>1.6053321618307455E-3</v>
      </c>
      <c r="I73" s="2050">
        <v>1.6053321618307507E-3</v>
      </c>
    </row>
    <row r="74" spans="2:9" ht="12.75">
      <c r="B74" s="2027" t="s">
        <v>1367</v>
      </c>
      <c r="C74" s="1929" t="s">
        <v>843</v>
      </c>
      <c r="D74" s="1938">
        <v>43.21</v>
      </c>
      <c r="E74" s="1890" cm="1">
        <f t="array" ref="E74">IF(ISERROR(IF(C74="Fixed",ROUNDDOWN(CPI*D74,2),IF(C74="Variable",ROUNDDOWN(CPI*D74,4),IF(D74="","",ROUND(CPI*D74,4))))),D74,IF(C74="Fixed",ROUNDDOWN(CPI*D74,2),IF(C74="Variable",ROUNDDOWN(CPI*D74,4),IF(D74="","",ROUND(CPI*D74,4)))))</f>
        <v>43.21</v>
      </c>
      <c r="F74" s="2050">
        <v>1.6053321618307997E-3</v>
      </c>
      <c r="G74" s="2050">
        <v>1.6053321618307703E-3</v>
      </c>
      <c r="H74" s="2050">
        <v>1.6053321618307455E-3</v>
      </c>
      <c r="I74" s="2050">
        <v>1.6053321618307507E-3</v>
      </c>
    </row>
    <row r="75" spans="2:9" ht="12">
      <c r="C75" s="1941"/>
      <c r="D75" s="1947" t="s">
        <v>1307</v>
      </c>
      <c r="E75" s="1890"/>
      <c r="F75" s="1947"/>
      <c r="G75" s="1947"/>
      <c r="H75" s="1956"/>
      <c r="I75" s="1956"/>
    </row>
    <row r="76" spans="2:9" ht="12.75">
      <c r="B76" s="2028" t="s">
        <v>1378</v>
      </c>
      <c r="C76" s="1954"/>
      <c r="D76" s="1947" t="s">
        <v>1307</v>
      </c>
      <c r="E76" s="1890"/>
      <c r="F76" s="1947"/>
      <c r="G76" s="1947"/>
      <c r="H76" s="1956"/>
      <c r="I76" s="1956"/>
    </row>
    <row r="77" spans="2:9" ht="12.75">
      <c r="B77" s="2027" t="s">
        <v>1379</v>
      </c>
      <c r="C77" s="1929" t="s">
        <v>842</v>
      </c>
      <c r="D77" s="1930"/>
      <c r="E77" s="1890" cm="1">
        <f t="array" ref="E77">IF(ISERROR(IF(C77="Fixed",ROUNDDOWN(CPI*D77,2),IF(C77="Variable",ROUNDDOWN(CPI*D77,4),IF(D77="","",ROUND(CPI*D77,4))))),D77,IF(C77="Fixed",ROUNDDOWN(CPI*D77,2),IF(C77="Variable",ROUNDDOWN(CPI*D77,4),IF(D77="","",ROUND(CPI*D77,4)))))</f>
        <v>0</v>
      </c>
      <c r="F77" s="1938"/>
      <c r="G77" s="1938"/>
      <c r="H77" s="1938"/>
      <c r="I77" s="1938"/>
    </row>
    <row r="78" spans="2:9" ht="12.75">
      <c r="B78" s="2027" t="s">
        <v>1380</v>
      </c>
      <c r="C78" s="1929" t="s">
        <v>842</v>
      </c>
      <c r="D78" s="1930"/>
      <c r="E78" s="1890" cm="1">
        <f t="array" ref="E78">IF(ISERROR(IF(C78="Fixed",ROUNDDOWN(CPI*D78,2),IF(C78="Variable",ROUNDDOWN(CPI*D78,4),IF(D78="","",ROUND(CPI*D78,4))))),D78,IF(C78="Fixed",ROUNDDOWN(CPI*D78,2),IF(C78="Variable",ROUNDDOWN(CPI*D78,4),IF(D78="","",ROUND(CPI*D78,4)))))</f>
        <v>0</v>
      </c>
      <c r="F78" s="1938"/>
      <c r="G78" s="1938"/>
      <c r="H78" s="1938"/>
      <c r="I78" s="1938"/>
    </row>
    <row r="79" spans="2:9" ht="12.75">
      <c r="B79" s="2027" t="s">
        <v>1381</v>
      </c>
      <c r="C79" s="1929" t="s">
        <v>842</v>
      </c>
      <c r="D79" s="1930"/>
      <c r="E79" s="1890" cm="1">
        <f t="array" ref="E79">IF(ISERROR(IF(C79="Fixed",ROUNDDOWN(CPI*D79,2),IF(C79="Variable",ROUNDDOWN(CPI*D79,4),IF(D79="","",ROUND(CPI*D79,4))))),D79,IF(C79="Fixed",ROUNDDOWN(CPI*D79,2),IF(C79="Variable",ROUNDDOWN(CPI*D79,4),IF(D79="","",ROUND(CPI*D79,4)))))</f>
        <v>0</v>
      </c>
      <c r="F79" s="1938"/>
      <c r="G79" s="1938"/>
      <c r="H79" s="1938"/>
      <c r="I79" s="1938"/>
    </row>
    <row r="80" spans="2:9" ht="12.75">
      <c r="B80" s="2027" t="s">
        <v>1382</v>
      </c>
      <c r="C80" s="1929" t="s">
        <v>842</v>
      </c>
      <c r="D80" s="1930"/>
      <c r="E80" s="1890" cm="1">
        <f t="array" ref="E80">IF(ISERROR(IF(C80="Fixed",ROUNDDOWN(CPI*D80,2),IF(C80="Variable",ROUNDDOWN(CPI*D80,4),IF(D80="","",ROUND(CPI*D80,4))))),D80,IF(C80="Fixed",ROUNDDOWN(CPI*D80,2),IF(C80="Variable",ROUNDDOWN(CPI*D80,4),IF(D80="","",ROUND(CPI*D80,4)))))</f>
        <v>0</v>
      </c>
      <c r="F80" s="1938"/>
      <c r="G80" s="1938"/>
      <c r="H80" s="1938"/>
      <c r="I80" s="1938"/>
    </row>
    <row r="81" spans="2:9" ht="12.75">
      <c r="B81" s="2027" t="s">
        <v>1383</v>
      </c>
      <c r="C81" s="1929" t="s">
        <v>842</v>
      </c>
      <c r="D81" s="1930"/>
      <c r="E81" s="1890" cm="1">
        <f t="array" ref="E81">IF(ISERROR(IF(C81="Fixed",ROUNDDOWN(CPI*D81,2),IF(C81="Variable",ROUNDDOWN(CPI*D81,4),IF(D81="","",ROUND(CPI*D81,4))))),D81,IF(C81="Fixed",ROUNDDOWN(CPI*D81,2),IF(C81="Variable",ROUNDDOWN(CPI*D81,4),IF(D81="","",ROUND(CPI*D81,4)))))</f>
        <v>0</v>
      </c>
      <c r="F81" s="1938"/>
      <c r="G81" s="1938"/>
      <c r="H81" s="1938"/>
      <c r="I81" s="1938"/>
    </row>
    <row r="82" spans="2:9" ht="12.75">
      <c r="B82" s="2027" t="s">
        <v>1384</v>
      </c>
      <c r="C82" s="1929" t="s">
        <v>842</v>
      </c>
      <c r="D82" s="1930"/>
      <c r="E82" s="1890" cm="1">
        <f t="array" ref="E82">IF(ISERROR(IF(C82="Fixed",ROUNDDOWN(CPI*D82,2),IF(C82="Variable",ROUNDDOWN(CPI*D82,4),IF(D82="","",ROUND(CPI*D82,4))))),D82,IF(C82="Fixed",ROUNDDOWN(CPI*D82,2),IF(C82="Variable",ROUNDDOWN(CPI*D82,4),IF(D82="","",ROUND(CPI*D82,4)))))</f>
        <v>0</v>
      </c>
      <c r="F82" s="1938"/>
      <c r="G82" s="1938"/>
      <c r="H82" s="1938"/>
      <c r="I82" s="1938"/>
    </row>
    <row r="83" spans="2:9" ht="12.75">
      <c r="B83" s="2027" t="s">
        <v>1385</v>
      </c>
      <c r="C83" s="1929" t="s">
        <v>842</v>
      </c>
      <c r="D83" s="1930"/>
      <c r="E83" s="1890" cm="1">
        <f t="array" ref="E83">IF(ISERROR(IF(C83="Fixed",ROUNDDOWN(CPI*D83,2),IF(C83="Variable",ROUNDDOWN(CPI*D83,4),IF(D83="","",ROUND(CPI*D83,4))))),D83,IF(C83="Fixed",ROUNDDOWN(CPI*D83,2),IF(C83="Variable",ROUNDDOWN(CPI*D83,4),IF(D83="","",ROUND(CPI*D83,4)))))</f>
        <v>0</v>
      </c>
      <c r="F83" s="1938"/>
      <c r="G83" s="1938"/>
      <c r="H83" s="1938"/>
      <c r="I83" s="1938"/>
    </row>
    <row r="84" spans="2:9" ht="12.75">
      <c r="B84" s="2027" t="s">
        <v>1386</v>
      </c>
      <c r="C84" s="1929" t="s">
        <v>842</v>
      </c>
      <c r="D84" s="1930"/>
      <c r="E84" s="1890" cm="1">
        <f t="array" ref="E84">IF(ISERROR(IF(C84="Fixed",ROUNDDOWN(CPI*D84,2),IF(C84="Variable",ROUNDDOWN(CPI*D84,4),IF(D84="","",ROUND(CPI*D84,4))))),D84,IF(C84="Fixed",ROUNDDOWN(CPI*D84,2),IF(C84="Variable",ROUNDDOWN(CPI*D84,4),IF(D84="","",ROUND(CPI*D84,4)))))</f>
        <v>0</v>
      </c>
      <c r="F84" s="1938"/>
      <c r="G84" s="1938"/>
      <c r="H84" s="1938"/>
      <c r="I84" s="1938"/>
    </row>
    <row r="85" spans="2:9" ht="12.75">
      <c r="B85" s="2027" t="s">
        <v>1387</v>
      </c>
      <c r="C85" s="1929" t="s">
        <v>842</v>
      </c>
      <c r="D85" s="1930"/>
      <c r="E85" s="1890" cm="1">
        <f t="array" ref="E85">IF(ISERROR(IF(C85="Fixed",ROUNDDOWN(CPI*D85,2),IF(C85="Variable",ROUNDDOWN(CPI*D85,4),IF(D85="","",ROUND(CPI*D85,4))))),D85,IF(C85="Fixed",ROUNDDOWN(CPI*D85,2),IF(C85="Variable",ROUNDDOWN(CPI*D85,4),IF(D85="","",ROUND(CPI*D85,4)))))</f>
        <v>0</v>
      </c>
      <c r="F85" s="1938"/>
      <c r="G85" s="1938"/>
      <c r="H85" s="1938"/>
      <c r="I85" s="1938"/>
    </row>
    <row r="86" spans="2:9" ht="12.75">
      <c r="B86" s="2027" t="s">
        <v>1388</v>
      </c>
      <c r="C86" s="1929" t="s">
        <v>842</v>
      </c>
      <c r="D86" s="1930"/>
      <c r="E86" s="1890" cm="1">
        <f t="array" ref="E86">IF(ISERROR(IF(C86="Fixed",ROUNDDOWN(CPI*D86,2),IF(C86="Variable",ROUNDDOWN(CPI*D86,4),IF(D86="","",ROUND(CPI*D86,4))))),D86,IF(C86="Fixed",ROUNDDOWN(CPI*D86,2),IF(C86="Variable",ROUNDDOWN(CPI*D86,4),IF(D86="","",ROUND(CPI*D86,4)))))</f>
        <v>0</v>
      </c>
      <c r="F86" s="1938"/>
      <c r="G86" s="1938"/>
      <c r="H86" s="1938"/>
      <c r="I86" s="1938"/>
    </row>
    <row r="87" spans="2:9" ht="12.75">
      <c r="B87" s="2027" t="s">
        <v>1389</v>
      </c>
      <c r="C87" s="1929" t="s">
        <v>842</v>
      </c>
      <c r="D87" s="1930"/>
      <c r="E87" s="1890" cm="1">
        <f t="array" ref="E87">IF(ISERROR(IF(C87="Fixed",ROUNDDOWN(CPI*D87,2),IF(C87="Variable",ROUNDDOWN(CPI*D87,4),IF(D87="","",ROUND(CPI*D87,4))))),D87,IF(C87="Fixed",ROUNDDOWN(CPI*D87,2),IF(C87="Variable",ROUNDDOWN(CPI*D87,4),IF(D87="","",ROUND(CPI*D87,4)))))</f>
        <v>0</v>
      </c>
      <c r="F87" s="1938"/>
      <c r="G87" s="1938"/>
      <c r="H87" s="1938"/>
      <c r="I87" s="1938"/>
    </row>
    <row r="88" spans="2:9" ht="12.75">
      <c r="B88" s="2029" t="s">
        <v>1390</v>
      </c>
      <c r="C88" s="1929" t="s">
        <v>842</v>
      </c>
      <c r="D88" s="1930"/>
      <c r="E88" s="1890" cm="1">
        <f t="array" ref="E88">IF(ISERROR(IF(C88="Fixed",ROUNDDOWN(CPI*D88,2),IF(C88="Variable",ROUNDDOWN(CPI*D88,4),IF(D88="","",ROUND(CPI*D88,4))))),D88,IF(C88="Fixed",ROUNDDOWN(CPI*D88,2),IF(C88="Variable",ROUNDDOWN(CPI*D88,4),IF(D88="","",ROUND(CPI*D88,4)))))</f>
        <v>0</v>
      </c>
      <c r="F88" s="1938"/>
      <c r="G88" s="1938"/>
      <c r="H88" s="1938"/>
      <c r="I88" s="1938"/>
    </row>
    <row r="89" spans="2:9" ht="12.75">
      <c r="B89" s="2027" t="s">
        <v>1391</v>
      </c>
      <c r="C89" s="1929" t="s">
        <v>842</v>
      </c>
      <c r="D89" s="1930"/>
      <c r="E89" s="1890" cm="1">
        <f t="array" ref="E89">IF(ISERROR(IF(C89="Fixed",ROUNDDOWN(CPI*D89,2),IF(C89="Variable",ROUNDDOWN(CPI*D89,4),IF(D89="","",ROUND(CPI*D89,4))))),D89,IF(C89="Fixed",ROUNDDOWN(CPI*D89,2),IF(C89="Variable",ROUNDDOWN(CPI*D89,4),IF(D89="","",ROUND(CPI*D89,4)))))</f>
        <v>0</v>
      </c>
      <c r="F89" s="1938"/>
      <c r="G89" s="1938"/>
      <c r="H89" s="1938"/>
      <c r="I89" s="1938"/>
    </row>
    <row r="90" spans="2:9" ht="12.75">
      <c r="B90" s="2027" t="s">
        <v>1392</v>
      </c>
      <c r="C90" s="1929" t="s">
        <v>842</v>
      </c>
      <c r="D90" s="1930"/>
      <c r="E90" s="1890" cm="1">
        <f t="array" ref="E90">IF(ISERROR(IF(C90="Fixed",ROUNDDOWN(CPI*D90,2),IF(C90="Variable",ROUNDDOWN(CPI*D90,4),IF(D90="","",ROUND(CPI*D90,4))))),D90,IF(C90="Fixed",ROUNDDOWN(CPI*D90,2),IF(C90="Variable",ROUNDDOWN(CPI*D90,4),IF(D90="","",ROUND(CPI*D90,4)))))</f>
        <v>0</v>
      </c>
      <c r="F90" s="1938"/>
      <c r="G90" s="1938"/>
      <c r="H90" s="1938"/>
      <c r="I90" s="1938"/>
    </row>
    <row r="91" spans="2:9" ht="12.75">
      <c r="B91" s="2027" t="s">
        <v>1393</v>
      </c>
      <c r="C91" s="1929" t="s">
        <v>842</v>
      </c>
      <c r="D91" s="1930"/>
      <c r="E91" s="1890" cm="1">
        <f t="array" ref="E91">IF(ISERROR(IF(C91="Fixed",ROUNDDOWN(CPI*D91,2),IF(C91="Variable",ROUNDDOWN(CPI*D91,4),IF(D91="","",ROUND(CPI*D91,4))))),D91,IF(C91="Fixed",ROUNDDOWN(CPI*D91,2),IF(C91="Variable",ROUNDDOWN(CPI*D91,4),IF(D91="","",ROUND(CPI*D91,4)))))</f>
        <v>0</v>
      </c>
      <c r="F91" s="1938"/>
      <c r="G91" s="1938"/>
      <c r="H91" s="1938"/>
      <c r="I91" s="1938"/>
    </row>
    <row r="92" spans="2:9" ht="12.75">
      <c r="B92" s="2027" t="s">
        <v>1394</v>
      </c>
      <c r="C92" s="1929" t="s">
        <v>842</v>
      </c>
      <c r="D92" s="1930"/>
      <c r="E92" s="1890" cm="1">
        <f t="array" ref="E92">IF(ISERROR(IF(C92="Fixed",ROUNDDOWN(CPI*D92,2),IF(C92="Variable",ROUNDDOWN(CPI*D92,4),IF(D92="","",ROUND(CPI*D92,4))))),D92,IF(C92="Fixed",ROUNDDOWN(CPI*D92,2),IF(C92="Variable",ROUNDDOWN(CPI*D92,4),IF(D92="","",ROUND(CPI*D92,4)))))</f>
        <v>0</v>
      </c>
      <c r="F92" s="1938"/>
      <c r="G92" s="1938"/>
      <c r="H92" s="1938"/>
      <c r="I92" s="1938"/>
    </row>
    <row r="93" spans="2:9" ht="12.75">
      <c r="B93" s="2027" t="s">
        <v>1395</v>
      </c>
      <c r="C93" s="1929" t="s">
        <v>842</v>
      </c>
      <c r="D93" s="1930"/>
      <c r="E93" s="1890" cm="1">
        <f t="array" ref="E93">IF(ISERROR(IF(C93="Fixed",ROUNDDOWN(CPI*D93,2),IF(C93="Variable",ROUNDDOWN(CPI*D93,4),IF(D93="","",ROUND(CPI*D93,4))))),D93,IF(C93="Fixed",ROUNDDOWN(CPI*D93,2),IF(C93="Variable",ROUNDDOWN(CPI*D93,4),IF(D93="","",ROUND(CPI*D93,4)))))</f>
        <v>0</v>
      </c>
      <c r="F93" s="1938"/>
      <c r="G93" s="1938"/>
      <c r="H93" s="1938"/>
      <c r="I93" s="1938"/>
    </row>
    <row r="94" spans="2:9" ht="12.75">
      <c r="B94" s="2027" t="s">
        <v>1396</v>
      </c>
      <c r="C94" s="1929" t="s">
        <v>842</v>
      </c>
      <c r="D94" s="1930"/>
      <c r="E94" s="1890" cm="1">
        <f t="array" ref="E94">IF(ISERROR(IF(C94="Fixed",ROUNDDOWN(CPI*D94,2),IF(C94="Variable",ROUNDDOWN(CPI*D94,4),IF(D94="","",ROUND(CPI*D94,4))))),D94,IF(C94="Fixed",ROUNDDOWN(CPI*D94,2),IF(C94="Variable",ROUNDDOWN(CPI*D94,4),IF(D94="","",ROUND(CPI*D94,4)))))</f>
        <v>0</v>
      </c>
      <c r="F94" s="1938"/>
      <c r="G94" s="1938"/>
      <c r="H94" s="1938"/>
      <c r="I94" s="1938"/>
    </row>
    <row r="95" spans="2:9" ht="12.75">
      <c r="B95" s="2029" t="s">
        <v>1397</v>
      </c>
      <c r="C95" s="1929" t="s">
        <v>842</v>
      </c>
      <c r="D95" s="1930"/>
      <c r="E95" s="1890" cm="1">
        <f t="array" ref="E95">IF(ISERROR(IF(C95="Fixed",ROUNDDOWN(CPI*D95,2),IF(C95="Variable",ROUNDDOWN(CPI*D95,4),IF(D95="","",ROUND(CPI*D95,4))))),D95,IF(C95="Fixed",ROUNDDOWN(CPI*D95,2),IF(C95="Variable",ROUNDDOWN(CPI*D95,4),IF(D95="","",ROUND(CPI*D95,4)))))</f>
        <v>0</v>
      </c>
      <c r="F95" s="1938"/>
      <c r="G95" s="1938"/>
      <c r="H95" s="1938"/>
      <c r="I95" s="1938"/>
    </row>
    <row r="96" spans="2:9" ht="12.75">
      <c r="B96" s="1992"/>
      <c r="C96" s="1955"/>
      <c r="D96" s="1956"/>
      <c r="E96" s="1890"/>
      <c r="F96" s="1956"/>
      <c r="G96" s="1956"/>
      <c r="H96" s="1956"/>
      <c r="I96" s="1956"/>
    </row>
    <row r="97" spans="2:9" ht="12.75">
      <c r="B97" s="2028" t="s">
        <v>1398</v>
      </c>
      <c r="C97" s="1955"/>
      <c r="D97" s="1956"/>
      <c r="E97" s="1890"/>
      <c r="F97" s="1956"/>
      <c r="G97" s="1956"/>
      <c r="H97" s="1956"/>
      <c r="I97" s="1956"/>
    </row>
    <row r="98" spans="2:9" ht="12.75">
      <c r="B98" s="2029"/>
      <c r="C98" s="1929"/>
      <c r="D98" s="1930"/>
      <c r="E98" s="1890" t="str" cm="1">
        <f t="array" ref="E98">IF(ISERROR(IF(C98="Fixed",ROUNDDOWN(CPI*D98,2),IF(C98="Variable",ROUNDDOWN(CPI*D98,4),IF(D98="","",ROUND(CPI*D98,4))))),D98,IF(C98="Fixed",ROUNDDOWN(CPI*D98,2),IF(C98="Variable",ROUNDDOWN(CPI*D98,4),IF(D98="","",ROUND(CPI*D98,4)))))</f>
        <v/>
      </c>
      <c r="F98" s="1938"/>
      <c r="G98" s="1938"/>
      <c r="H98" s="1938"/>
      <c r="I98" s="1938"/>
    </row>
    <row r="99" spans="2:9" ht="12.75">
      <c r="B99" s="2029"/>
      <c r="C99" s="1929"/>
      <c r="D99" s="1930"/>
      <c r="E99" s="1890" t="str" cm="1">
        <f t="array" ref="E99">IF(ISERROR(IF(C99="Fixed",ROUNDDOWN(CPI*D99,2),IF(C99="Variable",ROUNDDOWN(CPI*D99,4),IF(D99="","",ROUND(CPI*D99,4))))),D99,IF(C99="Fixed",ROUNDDOWN(CPI*D99,2),IF(C99="Variable",ROUNDDOWN(CPI*D99,4),IF(D99="","",ROUND(CPI*D99,4)))))</f>
        <v/>
      </c>
      <c r="F99" s="1938"/>
      <c r="G99" s="1938"/>
      <c r="H99" s="1938"/>
      <c r="I99" s="1938"/>
    </row>
    <row r="100" spans="2:9" ht="12.75">
      <c r="B100" s="2029"/>
      <c r="C100" s="1929"/>
      <c r="D100" s="1930"/>
      <c r="E100" s="1890" t="str" cm="1">
        <f t="array" ref="E100">IF(ISERROR(IF(C100="Fixed",ROUNDDOWN(CPI*D100,2),IF(C100="Variable",ROUNDDOWN(CPI*D100,4),IF(D100="","",ROUND(CPI*D100,4))))),D100,IF(C100="Fixed",ROUNDDOWN(CPI*D100,2),IF(C100="Variable",ROUNDDOWN(CPI*D100,4),IF(D100="","",ROUND(CPI*D100,4)))))</f>
        <v/>
      </c>
      <c r="F100" s="1938"/>
      <c r="G100" s="1938"/>
      <c r="H100" s="1938"/>
      <c r="I100" s="1938"/>
    </row>
    <row r="101" spans="2:9" ht="12.75">
      <c r="B101" s="2029"/>
      <c r="C101" s="1929"/>
      <c r="D101" s="1930"/>
      <c r="E101" s="1890" t="str" cm="1">
        <f t="array" ref="E101">IF(ISERROR(IF(C101="Fixed",ROUNDDOWN(CPI*D101,2),IF(C101="Variable",ROUNDDOWN(CPI*D101,4),IF(D101="","",ROUND(CPI*D101,4))))),D101,IF(C101="Fixed",ROUNDDOWN(CPI*D101,2),IF(C101="Variable",ROUNDDOWN(CPI*D101,4),IF(D101="","",ROUND(CPI*D101,4)))))</f>
        <v/>
      </c>
      <c r="F101" s="1938"/>
      <c r="G101" s="1938"/>
      <c r="H101" s="1938"/>
      <c r="I101" s="1938"/>
    </row>
    <row r="102" spans="2:9" ht="12.75">
      <c r="B102" s="2029"/>
      <c r="C102" s="1929"/>
      <c r="D102" s="1930"/>
      <c r="E102" s="1890" t="str" cm="1">
        <f t="array" ref="E102">IF(ISERROR(IF(C102="Fixed",ROUNDDOWN(CPI*D102,2),IF(C102="Variable",ROUNDDOWN(CPI*D102,4),IF(D102="","",ROUND(CPI*D102,4))))),D102,IF(C102="Fixed",ROUNDDOWN(CPI*D102,2),IF(C102="Variable",ROUNDDOWN(CPI*D102,4),IF(D102="","",ROUND(CPI*D102,4)))))</f>
        <v/>
      </c>
      <c r="F102" s="1938"/>
      <c r="G102" s="1938"/>
      <c r="H102" s="1938"/>
      <c r="I102" s="1938"/>
    </row>
    <row r="103" spans="2:9" ht="12.75">
      <c r="B103" s="2029"/>
      <c r="C103" s="1929"/>
      <c r="D103" s="1930"/>
      <c r="E103" s="1890" t="str" cm="1">
        <f t="array" ref="E103">IF(ISERROR(IF(C103="Fixed",ROUNDDOWN(CPI*D103,2),IF(C103="Variable",ROUNDDOWN(CPI*D103,4),IF(D103="","",ROUND(CPI*D103,4))))),D103,IF(C103="Fixed",ROUNDDOWN(CPI*D103,2),IF(C103="Variable",ROUNDDOWN(CPI*D103,4),IF(D103="","",ROUND(CPI*D103,4)))))</f>
        <v/>
      </c>
      <c r="F103" s="1938"/>
      <c r="G103" s="1938"/>
      <c r="H103" s="1938"/>
      <c r="I103" s="1938"/>
    </row>
    <row r="104" spans="2:9" ht="12.75">
      <c r="B104" s="1992"/>
      <c r="C104" s="1955"/>
      <c r="D104" s="1956"/>
      <c r="E104" s="1890"/>
      <c r="F104" s="1956"/>
      <c r="G104" s="1956"/>
      <c r="H104" s="1956"/>
      <c r="I104" s="1956"/>
    </row>
    <row r="105" spans="2:9" ht="12.75">
      <c r="B105" s="2028" t="s">
        <v>1399</v>
      </c>
      <c r="C105" s="1955"/>
      <c r="D105" s="1956"/>
      <c r="E105" s="1890"/>
      <c r="F105" s="1956"/>
      <c r="G105" s="1956"/>
      <c r="H105" s="1956"/>
      <c r="I105" s="1956"/>
    </row>
    <row r="106" spans="2:9" ht="12.75">
      <c r="B106" s="2029"/>
      <c r="C106" s="1929"/>
      <c r="D106" s="1930"/>
      <c r="E106" s="1890" t="str" cm="1">
        <f t="array" ref="E106">IF(ISERROR(IF(C106="Fixed",ROUNDDOWN(CPI*D106,2),IF(C106="Variable",ROUNDDOWN(CPI*D106,4),IF(D106="","",ROUND(CPI*D106,4))))),D106,IF(C106="Fixed",ROUNDDOWN(CPI*D106,2),IF(C106="Variable",ROUNDDOWN(CPI*D106,4),IF(D106="","",ROUND(CPI*D106,4)))))</f>
        <v/>
      </c>
      <c r="F106" s="1938"/>
      <c r="G106" s="1938"/>
      <c r="H106" s="1938"/>
      <c r="I106" s="1938"/>
    </row>
    <row r="107" spans="2:9" ht="12.75">
      <c r="B107" s="2029"/>
      <c r="C107" s="1929"/>
      <c r="D107" s="1930"/>
      <c r="E107" s="1890" t="str" cm="1">
        <f t="array" ref="E107">IF(ISERROR(IF(C107="Fixed",ROUNDDOWN(CPI*D107,2),IF(C107="Variable",ROUNDDOWN(CPI*D107,4),IF(D107="","",ROUND(CPI*D107,4))))),D107,IF(C107="Fixed",ROUNDDOWN(CPI*D107,2),IF(C107="Variable",ROUNDDOWN(CPI*D107,4),IF(D107="","",ROUND(CPI*D107,4)))))</f>
        <v/>
      </c>
      <c r="F107" s="1938"/>
      <c r="G107" s="1938"/>
      <c r="H107" s="1938"/>
      <c r="I107" s="1938"/>
    </row>
    <row r="108" spans="2:9" ht="12.75">
      <c r="B108" s="2029"/>
      <c r="C108" s="1929"/>
      <c r="D108" s="1930"/>
      <c r="E108" s="1890" t="str" cm="1">
        <f t="array" ref="E108">IF(ISERROR(IF(C108="Fixed",ROUNDDOWN(CPI*D108,2),IF(C108="Variable",ROUNDDOWN(CPI*D108,4),IF(D108="","",ROUND(CPI*D108,4))))),D108,IF(C108="Fixed",ROUNDDOWN(CPI*D108,2),IF(C108="Variable",ROUNDDOWN(CPI*D108,4),IF(D108="","",ROUND(CPI*D108,4)))))</f>
        <v/>
      </c>
      <c r="F108" s="1938"/>
      <c r="G108" s="1938"/>
      <c r="H108" s="1938"/>
      <c r="I108" s="1938"/>
    </row>
    <row r="109" spans="2:9" ht="12.75">
      <c r="B109" s="2029"/>
      <c r="C109" s="1929"/>
      <c r="D109" s="1930"/>
      <c r="E109" s="1890" t="str" cm="1">
        <f t="array" ref="E109">IF(ISERROR(IF(C109="Fixed",ROUNDDOWN(CPI*D109,2),IF(C109="Variable",ROUNDDOWN(CPI*D109,4),IF(D109="","",ROUND(CPI*D109,4))))),D109,IF(C109="Fixed",ROUNDDOWN(CPI*D109,2),IF(C109="Variable",ROUNDDOWN(CPI*D109,4),IF(D109="","",ROUND(CPI*D109,4)))))</f>
        <v/>
      </c>
      <c r="F109" s="1938"/>
      <c r="G109" s="1938"/>
      <c r="H109" s="1938"/>
      <c r="I109" s="1938"/>
    </row>
    <row r="110" spans="2:9" ht="12.75">
      <c r="B110" s="2029"/>
      <c r="C110" s="1929"/>
      <c r="D110" s="1930"/>
      <c r="E110" s="1890" t="str" cm="1">
        <f t="array" ref="E110">IF(ISERROR(IF(C110="Fixed",ROUNDDOWN(CPI*D110,2),IF(C110="Variable",ROUNDDOWN(CPI*D110,4),IF(D110="","",ROUND(CPI*D110,4))))),D110,IF(C110="Fixed",ROUNDDOWN(CPI*D110,2),IF(C110="Variable",ROUNDDOWN(CPI*D110,4),IF(D110="","",ROUND(CPI*D110,4)))))</f>
        <v/>
      </c>
      <c r="F110" s="1938"/>
      <c r="G110" s="1938"/>
      <c r="H110" s="1938"/>
      <c r="I110" s="1938"/>
    </row>
    <row r="111" spans="2:9" ht="12.75">
      <c r="B111" s="2029"/>
      <c r="C111" s="1929"/>
      <c r="D111" s="1930"/>
      <c r="E111" s="1890" t="str" cm="1">
        <f t="array" ref="E111">IF(ISERROR(IF(C111="Fixed",ROUNDDOWN(CPI*D111,2),IF(C111="Variable",ROUNDDOWN(CPI*D111,4),IF(D111="","",ROUND(CPI*D111,4))))),D111,IF(C111="Fixed",ROUNDDOWN(CPI*D111,2),IF(C111="Variable",ROUNDDOWN(CPI*D111,4),IF(D111="","",ROUND(CPI*D111,4)))))</f>
        <v/>
      </c>
      <c r="F111" s="1938"/>
      <c r="G111" s="1938"/>
      <c r="H111" s="1938"/>
      <c r="I111" s="1938"/>
    </row>
    <row r="112" spans="2:9" ht="13.5" thickBot="1">
      <c r="B112" s="1889"/>
      <c r="C112" s="1889"/>
      <c r="D112" s="1889"/>
      <c r="E112" s="1889"/>
      <c r="F112" s="1888"/>
      <c r="G112" s="1888"/>
      <c r="H112" s="1888"/>
      <c r="I112" s="1888"/>
    </row>
    <row r="113"/>
    <row r="114"/>
    <row r="115"/>
    <row r="116"/>
    <row r="117"/>
    <row r="118"/>
    <row r="119"/>
    <row r="120"/>
    <row r="121"/>
    <row r="122"/>
    <row r="123"/>
    <row r="124"/>
    <row r="125"/>
    <row r="126"/>
    <row r="127"/>
    <row r="128"/>
    <row r="129"/>
    <row r="130"/>
    <row r="131"/>
    <row r="132"/>
    <row r="133"/>
    <row r="134"/>
    <row r="135"/>
    <row r="136"/>
  </sheetData>
  <mergeCells count="1">
    <mergeCell ref="B5:I6"/>
  </mergeCells>
  <dataValidations count="1">
    <dataValidation type="list" allowBlank="1" showInputMessage="1" showErrorMessage="1" sqref="C13 C23 C15:C16 C20 C29:C32 C38:C39 C42:C44 C47:C50 C53:C54 C57:C65 C68:C70 C73:C74 C77:C95 C106:C111 C98:C103 C35:C36 C26" xr:uid="{D456C8FB-FB24-4916-9022-4D573D8B61AD}">
      <formula1>"Fixed, Variable"</formula1>
    </dataValidation>
  </dataValidations>
  <pageMargins left="0.70866141732283472" right="0.70866141732283472" top="0.74803149606299213" bottom="0.74803149606299213" header="0.31496062992125984" footer="0.31496062992125984"/>
  <pageSetup paperSize="9" scale="62" fitToHeight="0" orientation="portrait" r:id="rId1"/>
  <headerFooter>
    <oddHeader>&amp;C&amp;"Calibri"&amp;14&amp;KFF0000 OFFICIAL&amp;1#_x000D_</oddHeader>
  </headerFooter>
  <rowBreaks count="1" manualBreakCount="1">
    <brk id="40" min="1" max="5"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tabColor theme="2" tint="-9.9978637043366805E-2"/>
    <pageSetUpPr autoPageBreaks="0"/>
  </sheetPr>
  <dimension ref="A1:F4"/>
  <sheetViews>
    <sheetView showGridLines="0" topLeftCell="A51" zoomScale="85" zoomScaleNormal="85" workbookViewId="0">
      <selection activeCell="AM2" sqref="AM2"/>
    </sheetView>
  </sheetViews>
  <sheetFormatPr defaultColWidth="9.33203125" defaultRowHeight="12"/>
  <cols>
    <col min="1" max="1" width="2.6640625" style="63" customWidth="1"/>
    <col min="2" max="16384" width="9.33203125" style="769"/>
  </cols>
  <sheetData>
    <row r="1" spans="2:6" s="63" customFormat="1" ht="15">
      <c r="B1" s="140" t="s">
        <v>81</v>
      </c>
    </row>
    <row r="2" spans="2:6" s="63" customFormat="1" ht="12.75">
      <c r="B2" s="142" t="str">
        <f>+Contents!H7</f>
        <v>Melbourne Water</v>
      </c>
    </row>
    <row r="3" spans="2:6" s="63" customFormat="1">
      <c r="B3" s="2075" t="s">
        <v>138</v>
      </c>
      <c r="C3" s="2075"/>
      <c r="D3" s="2075"/>
      <c r="E3" s="2075"/>
      <c r="F3" s="2075"/>
    </row>
    <row r="4" spans="2:6" s="63" customFormat="1">
      <c r="B4" s="1178"/>
      <c r="C4" s="1178"/>
      <c r="D4" s="1178"/>
      <c r="E4" s="1178"/>
      <c r="F4" s="1178"/>
    </row>
  </sheetData>
  <mergeCells count="1">
    <mergeCell ref="B3:F3"/>
  </mergeCells>
  <hyperlinks>
    <hyperlink ref="B3" location="HL_Home" tooltip="Go to Table of Contents" display="HL_Home" xr:uid="{00000000-0004-0000-1300-000000000000}"/>
  </hyperlinks>
  <pageMargins left="0.7" right="0.7" top="0.75" bottom="0.75" header="0.3" footer="0.3"/>
  <pageSetup paperSize="9" orientation="portrait" r:id="rId1"/>
  <headerFooter>
    <oddHeader>&amp;C&amp;"Calibri"&amp;14&amp;KFF0000 OFFICIAL&amp;1#_x000D_&amp;"Arial"&amp;8&amp;K000000&amp;"Arial"&amp;8&amp;K000000&amp;B&amp;"Arial"&amp;12&amp;Kff0000​‌OFFICIAL‌​</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1">
    <tabColor theme="2" tint="-9.9978637043366805E-2"/>
    <pageSetUpPr autoPageBreaks="0"/>
  </sheetPr>
  <dimension ref="A1:F4"/>
  <sheetViews>
    <sheetView showGridLines="0" topLeftCell="A24" zoomScale="85" zoomScaleNormal="85" workbookViewId="0">
      <selection activeCell="U88" sqref="U88"/>
    </sheetView>
  </sheetViews>
  <sheetFormatPr defaultColWidth="9.33203125" defaultRowHeight="12"/>
  <cols>
    <col min="1" max="1" width="2.6640625" style="63" customWidth="1"/>
    <col min="2" max="16384" width="9.33203125" style="769"/>
  </cols>
  <sheetData>
    <row r="1" spans="2:6" s="63" customFormat="1" ht="15">
      <c r="B1" s="140" t="s">
        <v>84</v>
      </c>
    </row>
    <row r="2" spans="2:6" s="63" customFormat="1" ht="12.75">
      <c r="B2" s="142" t="str">
        <f>+Contents!H7</f>
        <v>Melbourne Water</v>
      </c>
    </row>
    <row r="3" spans="2:6" s="63" customFormat="1">
      <c r="B3" s="2075" t="s">
        <v>138</v>
      </c>
      <c r="C3" s="2075"/>
      <c r="D3" s="2075"/>
      <c r="E3" s="2075"/>
      <c r="F3" s="2075"/>
    </row>
    <row r="4" spans="2:6" s="63" customFormat="1">
      <c r="B4" s="1178"/>
      <c r="C4" s="1178"/>
      <c r="D4" s="1178"/>
      <c r="E4" s="1178"/>
      <c r="F4" s="1178"/>
    </row>
  </sheetData>
  <mergeCells count="1">
    <mergeCell ref="B3:F3"/>
  </mergeCells>
  <hyperlinks>
    <hyperlink ref="B3" location="HL_Home" tooltip="Go to Table of Contents" display="HL_Home" xr:uid="{00000000-0004-0000-1400-000000000000}"/>
  </hyperlinks>
  <pageMargins left="0.7" right="0.7" top="0.75" bottom="0.75" header="0.3" footer="0.3"/>
  <pageSetup paperSize="9" orientation="portrait" r:id="rId1"/>
  <headerFooter>
    <oddHeader>&amp;C&amp;"Calibri"&amp;14&amp;KFF0000 OFFICIAL&amp;1#_x000D_&amp;"Arial"&amp;8&amp;K000000&amp;"Arial"&amp;8&amp;K000000&amp;B&amp;"Arial"&amp;12&amp;Kff0000​‌OFFICIAL‌​</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2">
    <tabColor theme="2" tint="-9.9978637043366805E-2"/>
    <pageSetUpPr autoPageBreaks="0"/>
  </sheetPr>
  <dimension ref="A1:F4"/>
  <sheetViews>
    <sheetView showGridLines="0" topLeftCell="A3" zoomScale="90" zoomScaleNormal="90" workbookViewId="0">
      <selection activeCell="AE46" sqref="AE46"/>
    </sheetView>
  </sheetViews>
  <sheetFormatPr defaultColWidth="9.33203125" defaultRowHeight="12"/>
  <cols>
    <col min="1" max="1" width="2.6640625" style="63" customWidth="1"/>
    <col min="2" max="16384" width="9.33203125" style="769"/>
  </cols>
  <sheetData>
    <row r="1" spans="2:6" s="63" customFormat="1" ht="15">
      <c r="B1" s="140" t="s">
        <v>87</v>
      </c>
    </row>
    <row r="2" spans="2:6" s="63" customFormat="1" ht="12.75">
      <c r="B2" s="142" t="str">
        <f>+Contents!H7</f>
        <v>Melbourne Water</v>
      </c>
    </row>
    <row r="3" spans="2:6" s="63" customFormat="1">
      <c r="B3" s="2075" t="s">
        <v>138</v>
      </c>
      <c r="C3" s="2075"/>
      <c r="D3" s="2075"/>
      <c r="E3" s="2075"/>
      <c r="F3" s="2075"/>
    </row>
    <row r="4" spans="2:6" s="63" customFormat="1">
      <c r="B4" s="1178"/>
      <c r="C4" s="1178"/>
      <c r="D4" s="1178"/>
      <c r="E4" s="1178"/>
      <c r="F4" s="1178"/>
    </row>
  </sheetData>
  <mergeCells count="1">
    <mergeCell ref="B3:F3"/>
  </mergeCells>
  <hyperlinks>
    <hyperlink ref="B3" location="HL_Home" tooltip="Go to Table of Contents" display="HL_Home" xr:uid="{00000000-0004-0000-1500-000000000000}"/>
  </hyperlinks>
  <pageMargins left="0.7" right="0.7" top="0.75" bottom="0.75" header="0.3" footer="0.3"/>
  <pageSetup paperSize="9" orientation="portrait" r:id="rId1"/>
  <headerFooter>
    <oddHeader>&amp;C&amp;"Calibri"&amp;14&amp;KFF0000 OFFICIAL&amp;1#_x000D_&amp;"Arial"&amp;8&amp;K000000&amp;"Arial"&amp;8&amp;K000000&amp;B&amp;"Arial"&amp;12&amp;Kff0000​‌OFFICIAL‌​</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9">
    <tabColor theme="2" tint="-9.9978637043366805E-2"/>
    <pageSetUpPr autoPageBreaks="0"/>
  </sheetPr>
  <dimension ref="A1:AM183"/>
  <sheetViews>
    <sheetView showGridLines="0" topLeftCell="A123" zoomScale="70" zoomScaleNormal="70" workbookViewId="0">
      <selection activeCell="R43" sqref="R43"/>
    </sheetView>
  </sheetViews>
  <sheetFormatPr defaultColWidth="9.33203125" defaultRowHeight="12"/>
  <cols>
    <col min="1" max="1" width="2.6640625" style="63" customWidth="1"/>
    <col min="2" max="2" width="9.33203125" style="769"/>
    <col min="3" max="3" width="52" style="769" bestFit="1" customWidth="1"/>
    <col min="4" max="5" width="12.6640625" style="769" customWidth="1"/>
    <col min="6" max="6" width="12.83203125" style="769" customWidth="1"/>
    <col min="7" max="8" width="9.33203125" style="769" customWidth="1"/>
    <col min="9" max="9" width="11.6640625" style="769" bestFit="1" customWidth="1"/>
    <col min="10" max="10" width="9.33203125" style="769" customWidth="1"/>
    <col min="11" max="13" width="11.6640625" style="769" bestFit="1" customWidth="1"/>
    <col min="14" max="18" width="11.6640625" style="769" customWidth="1"/>
    <col min="19" max="20" width="9.33203125" style="769"/>
    <col min="21" max="21" width="55" style="769" customWidth="1"/>
    <col min="22" max="22" width="18.6640625" style="769" customWidth="1"/>
    <col min="23" max="23" width="12.33203125" style="769" customWidth="1"/>
    <col min="24" max="31" width="10.6640625" style="769" bestFit="1" customWidth="1"/>
    <col min="32" max="36" width="10.6640625" style="769" customWidth="1"/>
    <col min="37" max="16384" width="9.33203125" style="769"/>
  </cols>
  <sheetData>
    <row r="1" spans="2:36" s="63" customFormat="1" ht="15">
      <c r="B1" s="140" t="s">
        <v>90</v>
      </c>
    </row>
    <row r="2" spans="2:36" s="63" customFormat="1" ht="12.75">
      <c r="B2" s="142" t="str">
        <f>+Contents!H7</f>
        <v>Melbourne Water</v>
      </c>
    </row>
    <row r="3" spans="2:36" s="63" customFormat="1">
      <c r="B3" s="2075" t="s">
        <v>138</v>
      </c>
      <c r="C3" s="2075"/>
      <c r="D3" s="2075"/>
      <c r="E3" s="2075"/>
      <c r="F3" s="2075"/>
    </row>
    <row r="4" spans="2:36" s="63" customFormat="1">
      <c r="B4" s="1178"/>
      <c r="C4" s="1178"/>
      <c r="D4" s="1178"/>
      <c r="E4" s="1178"/>
      <c r="F4" s="1178"/>
    </row>
    <row r="5" spans="2:36" ht="15.75">
      <c r="B5" s="768" t="s">
        <v>1400</v>
      </c>
      <c r="T5" s="768" t="s">
        <v>1401</v>
      </c>
    </row>
    <row r="6" spans="2:36">
      <c r="B6" s="770" t="s">
        <v>1402</v>
      </c>
    </row>
    <row r="7" spans="2:36">
      <c r="D7" s="770" t="str">
        <f>Indicators_FO!X4</f>
        <v>FIFTH REG PERIOD</v>
      </c>
      <c r="I7" s="770" t="str">
        <f>D17</f>
        <v>SIXTH REG PERIOD</v>
      </c>
      <c r="J7" s="770"/>
      <c r="K7" s="770"/>
      <c r="L7" s="770"/>
      <c r="M7" s="770"/>
      <c r="N7" s="770" t="str">
        <f>Indicators_FO!AH4</f>
        <v>SEVENTH REG PERIOD</v>
      </c>
      <c r="T7" s="770" t="s">
        <v>1403</v>
      </c>
      <c r="V7" s="771" t="str">
        <f>D8</f>
        <v>2021-22</v>
      </c>
      <c r="W7" s="771" t="str">
        <f t="shared" ref="W7:AJ7" si="0">E8</f>
        <v>2022-23</v>
      </c>
      <c r="X7" s="771" t="str">
        <f t="shared" si="0"/>
        <v>2023-24</v>
      </c>
      <c r="Y7" s="771" t="str">
        <f t="shared" si="0"/>
        <v>2024-25</v>
      </c>
      <c r="Z7" s="771" t="str">
        <f t="shared" si="0"/>
        <v>2025-26</v>
      </c>
      <c r="AA7" s="771" t="str">
        <f t="shared" si="0"/>
        <v>2026-27</v>
      </c>
      <c r="AB7" s="771" t="str">
        <f t="shared" si="0"/>
        <v>2027-28</v>
      </c>
      <c r="AC7" s="771" t="str">
        <f t="shared" si="0"/>
        <v>2028-29</v>
      </c>
      <c r="AD7" s="771" t="str">
        <f t="shared" si="0"/>
        <v>2029-30</v>
      </c>
      <c r="AE7" s="771" t="str">
        <f t="shared" si="0"/>
        <v>2030-31</v>
      </c>
      <c r="AF7" s="771" t="str">
        <f t="shared" si="0"/>
        <v>2031-32</v>
      </c>
      <c r="AG7" s="771" t="str">
        <f t="shared" si="0"/>
        <v>2032-33</v>
      </c>
      <c r="AH7" s="771" t="str">
        <f t="shared" si="0"/>
        <v>2033-34</v>
      </c>
      <c r="AI7" s="771" t="str">
        <f t="shared" si="0"/>
        <v>2034-35</v>
      </c>
      <c r="AJ7" s="771" t="str">
        <f t="shared" si="0"/>
        <v>2035-36</v>
      </c>
    </row>
    <row r="8" spans="2:36">
      <c r="D8" s="771" t="str">
        <f>'Rev&amp;RAV_FO'!V7</f>
        <v>2021-22</v>
      </c>
      <c r="E8" s="771" t="str">
        <f>'Rev&amp;RAV_FO'!W7</f>
        <v>2022-23</v>
      </c>
      <c r="F8" s="771" t="str">
        <f>'Rev&amp;RAV_FO'!X7</f>
        <v>2023-24</v>
      </c>
      <c r="G8" s="771" t="str">
        <f>'Rev&amp;RAV_FO'!Y7</f>
        <v>2024-25</v>
      </c>
      <c r="H8" s="771" t="str">
        <f>'Rev&amp;RAV_FO'!Z7</f>
        <v>2025-26</v>
      </c>
      <c r="I8" s="771" t="str">
        <f>'Rev&amp;RAV_FO'!AA7</f>
        <v>2026-27</v>
      </c>
      <c r="J8" s="771" t="str">
        <f>'Rev&amp;RAV_FO'!AB7</f>
        <v>2027-28</v>
      </c>
      <c r="K8" s="771" t="str">
        <f>'Rev&amp;RAV_FO'!AC7</f>
        <v>2028-29</v>
      </c>
      <c r="L8" s="771" t="str">
        <f>'Rev&amp;RAV_FO'!AD7</f>
        <v>2029-30</v>
      </c>
      <c r="M8" s="771" t="str">
        <f>'Rev&amp;RAV_FO'!AE7</f>
        <v>2030-31</v>
      </c>
      <c r="N8" s="771" t="str">
        <f>'Rev&amp;RAV_FO'!AF7</f>
        <v>2031-32</v>
      </c>
      <c r="O8" s="771" t="str">
        <f>'Rev&amp;RAV_FO'!AG7</f>
        <v>2032-33</v>
      </c>
      <c r="P8" s="771" t="str">
        <f>'Rev&amp;RAV_FO'!AH7</f>
        <v>2033-34</v>
      </c>
      <c r="Q8" s="771" t="str">
        <f>'Rev&amp;RAV_FO'!AI7</f>
        <v>2034-35</v>
      </c>
      <c r="R8" s="771" t="str">
        <f>'Rev&amp;RAV_FO'!AJ7</f>
        <v>2035-36</v>
      </c>
      <c r="T8" s="770"/>
      <c r="U8" s="769" t="str">
        <f>Capex_FO_AC!E12</f>
        <v>Water</v>
      </c>
      <c r="V8" s="772">
        <f>Capex_FO_AC!V12</f>
        <v>160.58106018646654</v>
      </c>
      <c r="W8" s="772">
        <f>Capex_FO_AC!W12</f>
        <v>220.50499895080904</v>
      </c>
      <c r="X8" s="772">
        <f>Capex_FO_AC!X12</f>
        <v>252.99562358098612</v>
      </c>
      <c r="Y8" s="772">
        <f>Capex_FO_AC!Y12</f>
        <v>213.81725434633634</v>
      </c>
      <c r="Z8" s="772">
        <f>Capex_FO_AC!Z12</f>
        <v>195.66018431652603</v>
      </c>
      <c r="AA8" s="772">
        <f>Capex_FO_AC!AA12</f>
        <v>238.35409665567732</v>
      </c>
      <c r="AB8" s="772">
        <f>Capex_FO_AC!AB12</f>
        <v>427.9467740890334</v>
      </c>
      <c r="AC8" s="772">
        <f>Capex_FO_AC!AC12</f>
        <v>544.92121023433981</v>
      </c>
      <c r="AD8" s="772">
        <f>Capex_FO_AC!AD12</f>
        <v>508.33385109977695</v>
      </c>
      <c r="AE8" s="772">
        <f>Capex_FO_AC!AE12</f>
        <v>553.51477434246692</v>
      </c>
      <c r="AF8" s="772">
        <f>Capex_FO_AC!AF12</f>
        <v>557.29577419724069</v>
      </c>
      <c r="AG8" s="772">
        <f>Capex_FO_AC!AG12</f>
        <v>765.99040897459759</v>
      </c>
      <c r="AH8" s="772">
        <f>Capex_FO_AC!AH12</f>
        <v>839.71302273238746</v>
      </c>
      <c r="AI8" s="772">
        <f>Capex_FO_AC!AI12</f>
        <v>873.45183130946896</v>
      </c>
      <c r="AJ8" s="772">
        <f>Capex_FO_AC!AJ12</f>
        <v>735.74152732830646</v>
      </c>
    </row>
    <row r="9" spans="2:36">
      <c r="C9" s="773" t="s">
        <v>1404</v>
      </c>
      <c r="D9" s="774">
        <f>'Rev&amp;RAV_FO'!V23</f>
        <v>1858.5664789427162</v>
      </c>
      <c r="E9" s="774">
        <f>'Rev&amp;RAV_FO'!W23</f>
        <v>1893.0493600804243</v>
      </c>
      <c r="F9" s="774">
        <f>'Rev&amp;RAV_FO'!X23</f>
        <v>1925.145146714148</v>
      </c>
      <c r="G9" s="774">
        <f>'Rev&amp;RAV_FO'!Y23</f>
        <v>1940.8329096597854</v>
      </c>
      <c r="H9" s="774">
        <f>'Rev&amp;RAV_FO'!Z23</f>
        <v>1958.4335203749017</v>
      </c>
      <c r="I9" s="774">
        <f ca="1">'Rev&amp;RAV_FO'!AA23</f>
        <v>1929.643416118794</v>
      </c>
      <c r="J9" s="774">
        <f ca="1">'Rev&amp;RAV_FO'!AB23</f>
        <v>1983.0288928167606</v>
      </c>
      <c r="K9" s="774">
        <f ca="1">'Rev&amp;RAV_FO'!AC23</f>
        <v>2046.3168200095809</v>
      </c>
      <c r="L9" s="774">
        <f ca="1">'Rev&amp;RAV_FO'!AD23</f>
        <v>2066.00886448548</v>
      </c>
      <c r="M9" s="774">
        <f ca="1">'Rev&amp;RAV_FO'!AE23</f>
        <v>2107.3949994914656</v>
      </c>
      <c r="N9" s="774">
        <f ca="1">'Rev&amp;RAV_FO'!AF23</f>
        <v>2174.3164651308389</v>
      </c>
      <c r="O9" s="774">
        <f ca="1">'Rev&amp;RAV_FO'!AG23</f>
        <v>2253.6926450828537</v>
      </c>
      <c r="P9" s="774">
        <f ca="1">'Rev&amp;RAV_FO'!AH23</f>
        <v>2275.4042948123283</v>
      </c>
      <c r="Q9" s="774">
        <f ca="1">'Rev&amp;RAV_FO'!AI23</f>
        <v>2312.3961382469506</v>
      </c>
      <c r="R9" s="774">
        <f ca="1">'Rev&amp;RAV_FO'!AJ23</f>
        <v>2359.6732068373431</v>
      </c>
      <c r="T9" s="770"/>
      <c r="U9" s="769" t="str">
        <f>Capex_FO_AC!E13</f>
        <v>Sewerage</v>
      </c>
      <c r="V9" s="772">
        <f>Capex_FO_AC!V13</f>
        <v>309.11093404552605</v>
      </c>
      <c r="W9" s="772">
        <f>Capex_FO_AC!W13</f>
        <v>350.73801118076074</v>
      </c>
      <c r="X9" s="772">
        <f>Capex_FO_AC!X13</f>
        <v>428.25333241749422</v>
      </c>
      <c r="Y9" s="772">
        <f>Capex_FO_AC!Y13</f>
        <v>416.95984200084467</v>
      </c>
      <c r="Z9" s="772">
        <f>Capex_FO_AC!Z13</f>
        <v>433.93458881100798</v>
      </c>
      <c r="AA9" s="772">
        <f>Capex_FO_AC!AA13</f>
        <v>551.51807250819627</v>
      </c>
      <c r="AB9" s="772">
        <f>Capex_FO_AC!AB13</f>
        <v>493.92685339452834</v>
      </c>
      <c r="AC9" s="772">
        <f>Capex_FO_AC!AC13</f>
        <v>548.94011845555701</v>
      </c>
      <c r="AD9" s="772">
        <f>Capex_FO_AC!AD13</f>
        <v>612.73341221888086</v>
      </c>
      <c r="AE9" s="772">
        <f>Capex_FO_AC!AE13</f>
        <v>530.49166560593574</v>
      </c>
      <c r="AF9" s="772">
        <f>Capex_FO_AC!AF13</f>
        <v>636.15282948604147</v>
      </c>
      <c r="AG9" s="772">
        <f>Capex_FO_AC!AG13</f>
        <v>494.31935722932718</v>
      </c>
      <c r="AH9" s="772">
        <f>Capex_FO_AC!AH13</f>
        <v>226.21620908625147</v>
      </c>
      <c r="AI9" s="772">
        <f>Capex_FO_AC!AI13</f>
        <v>429.92037276851232</v>
      </c>
      <c r="AJ9" s="772">
        <f>Capex_FO_AC!AJ13</f>
        <v>660.68827196773452</v>
      </c>
    </row>
    <row r="10" spans="2:36">
      <c r="C10" s="773" t="s">
        <v>1405</v>
      </c>
      <c r="D10" s="774">
        <f>AVERAGE($D$9:$H$9)</f>
        <v>1915.2054831543951</v>
      </c>
      <c r="E10" s="774">
        <f>AVERAGE($D$9:$H$9)</f>
        <v>1915.2054831543951</v>
      </c>
      <c r="F10" s="774">
        <f>AVERAGE($D$9:$H$9)</f>
        <v>1915.2054831543951</v>
      </c>
      <c r="G10" s="774">
        <f>AVERAGE($D$9:$H$9)</f>
        <v>1915.2054831543951</v>
      </c>
      <c r="H10" s="774">
        <f>AVERAGE($D$9:$H$9)</f>
        <v>1915.2054831543951</v>
      </c>
      <c r="I10" s="775"/>
      <c r="J10" s="775"/>
      <c r="K10" s="775"/>
      <c r="L10" s="775"/>
      <c r="M10" s="775"/>
      <c r="N10" s="775"/>
      <c r="O10" s="775"/>
      <c r="P10" s="775"/>
      <c r="Q10" s="775"/>
      <c r="R10" s="775"/>
      <c r="T10" s="770"/>
      <c r="U10" s="769" t="str">
        <f>Capex_FO_AC!E14</f>
        <v>Recycled Water</v>
      </c>
      <c r="V10" s="772">
        <f>Capex_FO_AC!V14</f>
        <v>0.12723309171601016</v>
      </c>
      <c r="W10" s="772">
        <f>Capex_FO_AC!W14</f>
        <v>8.0920574624067751E-2</v>
      </c>
      <c r="X10" s="772">
        <f>Capex_FO_AC!X14</f>
        <v>0.11153135236333934</v>
      </c>
      <c r="Y10" s="772">
        <f>Capex_FO_AC!Y14</f>
        <v>0.19871305666035805</v>
      </c>
      <c r="Z10" s="772">
        <f>Capex_FO_AC!Z14</f>
        <v>0.18036526631200003</v>
      </c>
      <c r="AA10" s="772">
        <f>Capex_FO_AC!AA14</f>
        <v>1.2900821579531556</v>
      </c>
      <c r="AB10" s="772">
        <f>Capex_FO_AC!AB14</f>
        <v>2.2504586598816543</v>
      </c>
      <c r="AC10" s="772">
        <f>Capex_FO_AC!AC14</f>
        <v>4.9454212327565292</v>
      </c>
      <c r="AD10" s="772">
        <f>Capex_FO_AC!AD14</f>
        <v>4.7962078474367669</v>
      </c>
      <c r="AE10" s="772">
        <f>Capex_FO_AC!AE14</f>
        <v>4.6625624939347698</v>
      </c>
      <c r="AF10" s="772">
        <f>Capex_FO_AC!AF14</f>
        <v>2.8123650217485552</v>
      </c>
      <c r="AG10" s="772">
        <f>Capex_FO_AC!AG14</f>
        <v>12.852377748895282</v>
      </c>
      <c r="AH10" s="772">
        <f>Capex_FO_AC!AH14</f>
        <v>20.763473246376336</v>
      </c>
      <c r="AI10" s="772">
        <f>Capex_FO_AC!AI14</f>
        <v>16.250643162416068</v>
      </c>
      <c r="AJ10" s="772">
        <f>Capex_FO_AC!AJ14</f>
        <v>27.109203137127032</v>
      </c>
    </row>
    <row r="11" spans="2:36">
      <c r="C11" s="773" t="s">
        <v>1405</v>
      </c>
      <c r="D11" s="775"/>
      <c r="E11" s="775"/>
      <c r="F11" s="775"/>
      <c r="G11" s="775"/>
      <c r="H11" s="775"/>
      <c r="I11" s="774">
        <f ca="1">AVERAGE($I$9:$M$9)</f>
        <v>2026.4785985844162</v>
      </c>
      <c r="J11" s="774">
        <f ca="1">AVERAGE($I$9:$M$9)</f>
        <v>2026.4785985844162</v>
      </c>
      <c r="K11" s="774">
        <f ca="1">AVERAGE($I$9:$M$9)</f>
        <v>2026.4785985844162</v>
      </c>
      <c r="L11" s="774">
        <f ca="1">AVERAGE($I$9:$M$9)</f>
        <v>2026.4785985844162</v>
      </c>
      <c r="M11" s="774">
        <f ca="1">AVERAGE($I$9:$M$9)</f>
        <v>2026.4785985844162</v>
      </c>
      <c r="N11" s="775"/>
      <c r="O11" s="775"/>
      <c r="P11" s="775"/>
      <c r="Q11" s="775"/>
      <c r="R11" s="775"/>
      <c r="T11" s="770"/>
      <c r="U11" s="769" t="str">
        <f>Capex_FO_AC!E15</f>
        <v>Waterways and Drainage</v>
      </c>
      <c r="V11" s="772">
        <f>Capex_FO_AC!V15</f>
        <v>256.73197407608779</v>
      </c>
      <c r="W11" s="772">
        <f>Capex_FO_AC!W15</f>
        <v>275.02814930075527</v>
      </c>
      <c r="X11" s="772">
        <f>Capex_FO_AC!X15</f>
        <v>239.41018117942784</v>
      </c>
      <c r="Y11" s="772">
        <f>Capex_FO_AC!Y15</f>
        <v>361.26719718120216</v>
      </c>
      <c r="Z11" s="772">
        <f>Capex_FO_AC!Z15</f>
        <v>463.470747296154</v>
      </c>
      <c r="AA11" s="772">
        <f>Capex_FO_AC!AA15</f>
        <v>555.67932538182436</v>
      </c>
      <c r="AB11" s="772">
        <f>Capex_FO_AC!AB15</f>
        <v>533.33733456169023</v>
      </c>
      <c r="AC11" s="772">
        <f>Capex_FO_AC!AC15</f>
        <v>378.27118645961377</v>
      </c>
      <c r="AD11" s="772">
        <f>Capex_FO_AC!AD15</f>
        <v>384.02327605403127</v>
      </c>
      <c r="AE11" s="772">
        <f>Capex_FO_AC!AE15</f>
        <v>353.14795033900714</v>
      </c>
      <c r="AF11" s="772">
        <f>Capex_FO_AC!AF15</f>
        <v>449.87763170151476</v>
      </c>
      <c r="AG11" s="772">
        <f>Capex_FO_AC!AG15</f>
        <v>425.59018479164865</v>
      </c>
      <c r="AH11" s="772">
        <f>Capex_FO_AC!AH15</f>
        <v>427.56908429741759</v>
      </c>
      <c r="AI11" s="772">
        <f>Capex_FO_AC!AI15</f>
        <v>416.60425890024231</v>
      </c>
      <c r="AJ11" s="772">
        <f>Capex_FO_AC!AJ15</f>
        <v>415.76199608318598</v>
      </c>
    </row>
    <row r="12" spans="2:36">
      <c r="C12" s="773" t="s">
        <v>1405</v>
      </c>
      <c r="D12" s="775"/>
      <c r="E12" s="775"/>
      <c r="F12" s="775"/>
      <c r="G12" s="775"/>
      <c r="H12" s="775"/>
      <c r="I12" s="774"/>
      <c r="J12" s="774"/>
      <c r="K12" s="774"/>
      <c r="L12" s="774"/>
      <c r="M12" s="774"/>
      <c r="N12" s="774">
        <f ca="1">AVERAGE($N$9:$R$9)</f>
        <v>2275.0965500220627</v>
      </c>
      <c r="O12" s="774">
        <f ca="1">AVERAGE($N$9:$R$9)</f>
        <v>2275.0965500220627</v>
      </c>
      <c r="P12" s="774">
        <f ca="1">AVERAGE($N$9:$R$9)</f>
        <v>2275.0965500220627</v>
      </c>
      <c r="Q12" s="774">
        <f ca="1">AVERAGE($N$9:$R$9)</f>
        <v>2275.0965500220627</v>
      </c>
      <c r="R12" s="774">
        <f ca="1">AVERAGE($N$9:$R$9)</f>
        <v>2275.0965500220627</v>
      </c>
      <c r="T12" s="770"/>
      <c r="U12" s="769" t="str">
        <f>Capex_FO_AC!E16</f>
        <v>Diversions</v>
      </c>
      <c r="V12" s="772">
        <f>Capex_FO_AC!V16</f>
        <v>0.83045111582697206</v>
      </c>
      <c r="W12" s="772">
        <f>Capex_FO_AC!W16</f>
        <v>0.87602266067796575</v>
      </c>
      <c r="X12" s="772">
        <f>Capex_FO_AC!X16</f>
        <v>0.20945219552036198</v>
      </c>
      <c r="Y12" s="772">
        <f>Capex_FO_AC!Y16</f>
        <v>0.5102891113318776</v>
      </c>
      <c r="Z12" s="772">
        <f>Capex_FO_AC!Z16</f>
        <v>1.0902278000000001</v>
      </c>
      <c r="AA12" s="772">
        <f>Capex_FO_AC!AA16</f>
        <v>0.3902439024390244</v>
      </c>
      <c r="AB12" s="772">
        <f>Capex_FO_AC!AB16</f>
        <v>0.38072575847709705</v>
      </c>
      <c r="AC12" s="772">
        <f>Capex_FO_AC!AC16</f>
        <v>0.37143976436789955</v>
      </c>
      <c r="AD12" s="772">
        <f>Capex_FO_AC!AD16</f>
        <v>0.36238025791990203</v>
      </c>
      <c r="AE12" s="772">
        <f>Capex_FO_AC!AE16</f>
        <v>0.35354171504380694</v>
      </c>
      <c r="AF12" s="772">
        <f>Capex_FO_AC!AF16</f>
        <v>0.34491874638420195</v>
      </c>
      <c r="AG12" s="772">
        <f>Capex_FO_AC!AG16</f>
        <v>0.33650609403336773</v>
      </c>
      <c r="AH12" s="772">
        <f>Capex_FO_AC!AH16</f>
        <v>0.32829862832523693</v>
      </c>
      <c r="AI12" s="772">
        <f>Capex_FO_AC!AI16</f>
        <v>0.32029134470754822</v>
      </c>
      <c r="AJ12" s="772">
        <f>Capex_FO_AC!AJ16</f>
        <v>0.15623968034514546</v>
      </c>
    </row>
    <row r="13" spans="2:36">
      <c r="C13" s="773"/>
      <c r="D13" s="814"/>
      <c r="E13" s="814"/>
      <c r="F13" s="814"/>
      <c r="G13" s="814"/>
      <c r="H13" s="814"/>
      <c r="I13" s="814"/>
      <c r="J13" s="814"/>
      <c r="K13" s="814"/>
      <c r="L13" s="814"/>
      <c r="M13" s="814"/>
      <c r="N13" s="815"/>
      <c r="O13" s="815"/>
      <c r="P13" s="815"/>
      <c r="Q13" s="815"/>
      <c r="R13" s="815"/>
      <c r="U13" s="1416" t="str">
        <f>Capex_FO_AC!E17</f>
        <v>Desal security payment cost capitalisation</v>
      </c>
      <c r="V13" s="1415">
        <f>Capex_FO_AC!V17</f>
        <v>24.480184262952481</v>
      </c>
      <c r="W13" s="1415">
        <f>Capex_FO_AC!W17</f>
        <v>36.103751559430009</v>
      </c>
      <c r="X13" s="1415">
        <f>Capex_FO_AC!X17</f>
        <v>54.504723216255655</v>
      </c>
      <c r="Y13" s="1415">
        <f>Capex_FO_AC!Y17</f>
        <v>65.979940791036981</v>
      </c>
      <c r="Z13" s="1415">
        <f>Capex_FO_AC!Z17</f>
        <v>75.920242215512587</v>
      </c>
      <c r="AA13" s="1415">
        <f>Capex_FO_AC!AA17</f>
        <v>80.635863641761844</v>
      </c>
      <c r="AB13" s="1415">
        <f>Capex_FO_AC!AB17</f>
        <v>112.3221039301982</v>
      </c>
      <c r="AC13" s="1415">
        <f>Capex_FO_AC!AC17</f>
        <v>129.96682378290575</v>
      </c>
      <c r="AD13" s="1415">
        <f>Capex_FO_AC!AD17</f>
        <v>140.29860512110415</v>
      </c>
      <c r="AE13" s="1415">
        <f>Capex_FO_AC!AE17</f>
        <v>157.91655740021756</v>
      </c>
      <c r="AF13" s="1415">
        <f>Capex_FO_AC!AF17</f>
        <v>175.94832753327148</v>
      </c>
      <c r="AG13" s="1415">
        <f>Capex_FO_AC!AG17</f>
        <v>195.49751441483352</v>
      </c>
      <c r="AH13" s="1415">
        <f>Capex_FO_AC!AH17</f>
        <v>215.22256214434148</v>
      </c>
      <c r="AI13" s="1415">
        <f>Capex_FO_AC!AI17</f>
        <v>234.92707998494794</v>
      </c>
      <c r="AJ13" s="1415">
        <f>Capex_FO_AC!AJ17</f>
        <v>255.51406739517921</v>
      </c>
    </row>
    <row r="14" spans="2:36">
      <c r="T14" s="770"/>
      <c r="U14" s="770" t="s">
        <v>479</v>
      </c>
      <c r="V14" s="776">
        <f>SUM(V8:V13)</f>
        <v>751.86183677857571</v>
      </c>
      <c r="W14" s="776">
        <f t="shared" ref="W14:AJ14" si="1">SUM(W8:W13)</f>
        <v>883.33185422705719</v>
      </c>
      <c r="X14" s="776">
        <f t="shared" si="1"/>
        <v>975.48484394204763</v>
      </c>
      <c r="Y14" s="776">
        <f t="shared" si="1"/>
        <v>1058.7332364874123</v>
      </c>
      <c r="Z14" s="776">
        <f t="shared" si="1"/>
        <v>1170.2563557055128</v>
      </c>
      <c r="AA14" s="776">
        <f t="shared" si="1"/>
        <v>1427.8676842478524</v>
      </c>
      <c r="AB14" s="776">
        <f t="shared" si="1"/>
        <v>1570.164250393809</v>
      </c>
      <c r="AC14" s="776">
        <f t="shared" si="1"/>
        <v>1607.4161999295407</v>
      </c>
      <c r="AD14" s="776">
        <f t="shared" si="1"/>
        <v>1650.5477325991501</v>
      </c>
      <c r="AE14" s="776">
        <f t="shared" si="1"/>
        <v>1600.0870518966058</v>
      </c>
      <c r="AF14" s="776">
        <f t="shared" si="1"/>
        <v>1822.431846686201</v>
      </c>
      <c r="AG14" s="776">
        <f t="shared" si="1"/>
        <v>1894.5863492533358</v>
      </c>
      <c r="AH14" s="776">
        <f t="shared" si="1"/>
        <v>1729.8126501350996</v>
      </c>
      <c r="AI14" s="776">
        <f t="shared" si="1"/>
        <v>1971.4744774702951</v>
      </c>
      <c r="AJ14" s="776">
        <f t="shared" si="1"/>
        <v>2094.9713055918783</v>
      </c>
    </row>
    <row r="15" spans="2:36" ht="15.75">
      <c r="B15" s="768" t="s">
        <v>1406</v>
      </c>
      <c r="T15" s="770"/>
    </row>
    <row r="16" spans="2:36">
      <c r="T16" s="770"/>
    </row>
    <row r="17" spans="2:39">
      <c r="B17" s="770" t="s">
        <v>1402</v>
      </c>
      <c r="D17" s="770" t="str">
        <f>Indicators_FO!AC4</f>
        <v>SIXTH REG PERIOD</v>
      </c>
      <c r="T17" s="770" t="s">
        <v>1407</v>
      </c>
      <c r="V17" s="771"/>
      <c r="W17" s="771"/>
      <c r="X17" s="771"/>
      <c r="Y17" s="771"/>
      <c r="Z17" s="771"/>
      <c r="AA17" s="771" t="str">
        <f t="shared" ref="AA17:AJ17" si="2">AA7</f>
        <v>2026-27</v>
      </c>
      <c r="AB17" s="771" t="str">
        <f t="shared" si="2"/>
        <v>2027-28</v>
      </c>
      <c r="AC17" s="771" t="str">
        <f t="shared" si="2"/>
        <v>2028-29</v>
      </c>
      <c r="AD17" s="771" t="str">
        <f t="shared" si="2"/>
        <v>2029-30</v>
      </c>
      <c r="AE17" s="771" t="str">
        <f t="shared" si="2"/>
        <v>2030-31</v>
      </c>
      <c r="AF17" s="771" t="str">
        <f t="shared" si="2"/>
        <v>2031-32</v>
      </c>
      <c r="AG17" s="771" t="str">
        <f t="shared" si="2"/>
        <v>2032-33</v>
      </c>
      <c r="AH17" s="771" t="str">
        <f t="shared" si="2"/>
        <v>2033-34</v>
      </c>
      <c r="AI17" s="771" t="str">
        <f t="shared" si="2"/>
        <v>2034-35</v>
      </c>
      <c r="AJ17" s="771" t="str">
        <f t="shared" si="2"/>
        <v>2035-36</v>
      </c>
    </row>
    <row r="18" spans="2:39">
      <c r="C18" s="773" t="s">
        <v>104</v>
      </c>
      <c r="D18" s="778">
        <f>SUM('Rev&amp;RAV_FO'!AA15:AE15)</f>
        <v>5511.9272270331667</v>
      </c>
      <c r="U18" s="777" t="str">
        <f>'Capex_FO input'!C11</f>
        <v>Net capital expenditure - Renewals</v>
      </c>
      <c r="V18" s="772"/>
      <c r="W18" s="772"/>
      <c r="X18" s="772"/>
      <c r="Y18" s="772"/>
      <c r="Z18" s="772"/>
      <c r="AA18" s="772">
        <f>'Capex_FO input'!D11</f>
        <v>389.01969680611728</v>
      </c>
      <c r="AB18" s="772">
        <f>'Capex_FO input'!E11</f>
        <v>469.61563014807314</v>
      </c>
      <c r="AC18" s="772">
        <f>'Capex_FO input'!F11</f>
        <v>367.01374222584082</v>
      </c>
      <c r="AD18" s="772">
        <f>'Capex_FO input'!G11</f>
        <v>482.90693539057577</v>
      </c>
      <c r="AE18" s="772">
        <f>'Capex_FO input'!H11</f>
        <v>507.18141381319504</v>
      </c>
      <c r="AF18" s="772">
        <f>'Capex_FO input'!I11</f>
        <v>459.04787556285186</v>
      </c>
      <c r="AG18" s="772">
        <f>'Capex_FO input'!J11</f>
        <v>527.53026046321691</v>
      </c>
      <c r="AH18" s="772">
        <f>'Capex_FO input'!K11</f>
        <v>614.26689955382824</v>
      </c>
      <c r="AI18" s="772">
        <f>'Capex_FO input'!L11</f>
        <v>638.27704142287268</v>
      </c>
      <c r="AJ18" s="772">
        <f>'Capex_FO input'!M11</f>
        <v>629.96831915816733</v>
      </c>
    </row>
    <row r="19" spans="2:39">
      <c r="C19" s="773" t="s">
        <v>984</v>
      </c>
      <c r="D19" s="774">
        <f ca="1">SUM('Rev&amp;RAV_FO'!AA16:AE16)</f>
        <v>2673.2751308587058</v>
      </c>
      <c r="U19" s="777" t="str">
        <f>'Capex_FO input'!C12</f>
        <v>Net capital expenditure - Growth</v>
      </c>
      <c r="V19" s="772"/>
      <c r="W19" s="772"/>
      <c r="X19" s="772"/>
      <c r="Y19" s="772"/>
      <c r="Z19" s="772"/>
      <c r="AA19" s="772">
        <f>'Capex_FO input'!D12</f>
        <v>338.82790934749289</v>
      </c>
      <c r="AB19" s="772">
        <f>'Capex_FO input'!E12</f>
        <v>304.04358517043744</v>
      </c>
      <c r="AC19" s="772">
        <f>'Capex_FO input'!F12</f>
        <v>442.6075799919185</v>
      </c>
      <c r="AD19" s="772">
        <f>'Capex_FO input'!G12</f>
        <v>408.23250261235313</v>
      </c>
      <c r="AE19" s="772">
        <f>'Capex_FO input'!H12</f>
        <v>399.32107073702639</v>
      </c>
      <c r="AF19" s="772">
        <f>'Capex_FO input'!I12</f>
        <v>262.23600552609099</v>
      </c>
      <c r="AG19" s="772">
        <f>'Capex_FO input'!J12</f>
        <v>296.13316814291738</v>
      </c>
      <c r="AH19" s="772">
        <f>'Capex_FO input'!K12</f>
        <v>411.54643971425844</v>
      </c>
      <c r="AI19" s="772">
        <f>'Capex_FO input'!L12</f>
        <v>694.12446774472608</v>
      </c>
      <c r="AJ19" s="772">
        <f>'Capex_FO input'!M12</f>
        <v>830.02717874210339</v>
      </c>
    </row>
    <row r="20" spans="2:39">
      <c r="C20" s="773" t="s">
        <v>985</v>
      </c>
      <c r="D20" s="772">
        <f ca="1">SUM('Rev&amp;RAV_FO'!AA17:AE17)</f>
        <v>1827.680326151311</v>
      </c>
      <c r="U20" s="777" t="str">
        <f>'Capex_FO input'!C13</f>
        <v>Net capital expenditure - Improvements / Compliance</v>
      </c>
      <c r="V20" s="772"/>
      <c r="W20" s="772"/>
      <c r="X20" s="772"/>
      <c r="Y20" s="772"/>
      <c r="Z20" s="772"/>
      <c r="AA20" s="772">
        <f>'Capex_FO input'!D13</f>
        <v>353.38782799699646</v>
      </c>
      <c r="AB20" s="772">
        <f>'Capex_FO input'!E13</f>
        <v>403.40472573175157</v>
      </c>
      <c r="AC20" s="772">
        <f>'Capex_FO input'!F13</f>
        <v>400.91207580393467</v>
      </c>
      <c r="AD20" s="772">
        <f>'Capex_FO input'!G13</f>
        <v>353.25723324251379</v>
      </c>
      <c r="AE20" s="772">
        <f>'Capex_FO input'!H13</f>
        <v>273.91146087155033</v>
      </c>
      <c r="AF20" s="772">
        <f>'Capex_FO input'!I13</f>
        <v>658.90780396707112</v>
      </c>
      <c r="AG20" s="772">
        <f>'Capex_FO input'!J13</f>
        <v>616.33270022466616</v>
      </c>
      <c r="AH20" s="772">
        <f>'Capex_FO input'!K13</f>
        <v>238.75887614963059</v>
      </c>
      <c r="AI20" s="772">
        <f>'Capex_FO input'!L13</f>
        <v>162.87514794259457</v>
      </c>
      <c r="AJ20" s="772">
        <f>'Capex_FO input'!M13</f>
        <v>146.62235711742159</v>
      </c>
    </row>
    <row r="21" spans="2:39">
      <c r="C21" s="773" t="s">
        <v>986</v>
      </c>
      <c r="D21" s="772">
        <f>SUM('Rev&amp;RAV_FO'!AA18:AE18)</f>
        <v>-9.7265997418980312</v>
      </c>
      <c r="U21" s="777" t="str">
        <f>'Capex_FO input'!C14</f>
        <v>Government Contributions</v>
      </c>
      <c r="V21" s="772"/>
      <c r="W21" s="772"/>
      <c r="X21" s="772"/>
      <c r="Y21" s="772"/>
      <c r="Z21" s="772"/>
      <c r="AA21" s="772">
        <f>'Capex_FO input'!D14</f>
        <v>9.3121997121680415</v>
      </c>
      <c r="AB21" s="772">
        <f>'Capex_FO input'!E14</f>
        <v>14.957255803937155</v>
      </c>
      <c r="AC21" s="772">
        <f>'Capex_FO input'!F14</f>
        <v>2.3374750439277121E-2</v>
      </c>
      <c r="AD21" s="772">
        <f>'Capex_FO input'!G14</f>
        <v>1.5203089716603002E-2</v>
      </c>
      <c r="AE21" s="772">
        <f>'Capex_FO input'!H14</f>
        <v>0</v>
      </c>
      <c r="AF21" s="772">
        <f>'Capex_FO input'!I14</f>
        <v>0</v>
      </c>
      <c r="AG21" s="772">
        <f>'Capex_FO input'!J14</f>
        <v>0</v>
      </c>
      <c r="AH21" s="772">
        <f>'Capex_FO input'!K14</f>
        <v>0</v>
      </c>
      <c r="AI21" s="772">
        <f>'Capex_FO input'!L14</f>
        <v>0</v>
      </c>
      <c r="AJ21" s="772">
        <f>'Capex_FO input'!M14</f>
        <v>0</v>
      </c>
    </row>
    <row r="22" spans="2:39">
      <c r="C22" s="773" t="s">
        <v>862</v>
      </c>
      <c r="D22" s="772">
        <f>SUM('Rev&amp;RAV_FO'!AA19:AE19)</f>
        <v>0</v>
      </c>
      <c r="U22" s="777" t="str">
        <f>'Capex_FO input'!C15</f>
        <v>Customer Contributions</v>
      </c>
      <c r="V22" s="772"/>
      <c r="W22" s="772"/>
      <c r="X22" s="772"/>
      <c r="Y22" s="772"/>
      <c r="Z22" s="772"/>
      <c r="AA22" s="772">
        <f>'Capex_FO input'!D15</f>
        <v>256.68418674331554</v>
      </c>
      <c r="AB22" s="772">
        <f>'Capex_FO input'!E15</f>
        <v>265.82094960941134</v>
      </c>
      <c r="AC22" s="772">
        <f>'Capex_FO input'!F15</f>
        <v>266.89260337450156</v>
      </c>
      <c r="AD22" s="772">
        <f>'Capex_FO input'!G15</f>
        <v>265.83725314288654</v>
      </c>
      <c r="AE22" s="772">
        <f>'Capex_FO input'!H15</f>
        <v>261.75654907461649</v>
      </c>
      <c r="AF22" s="772">
        <f>'Capex_FO input'!I15</f>
        <v>266.29183409691552</v>
      </c>
      <c r="AG22" s="772">
        <f>'Capex_FO input'!J15</f>
        <v>259.09270600770168</v>
      </c>
      <c r="AH22" s="772">
        <f>'Capex_FO input'!K15</f>
        <v>250.01787257304056</v>
      </c>
      <c r="AI22" s="772">
        <f>'Capex_FO input'!L15</f>
        <v>241.27074037515396</v>
      </c>
      <c r="AJ22" s="772">
        <f>'Capex_FO input'!M15</f>
        <v>232.83938317900669</v>
      </c>
    </row>
    <row r="23" spans="2:39">
      <c r="C23" s="773" t="s">
        <v>987</v>
      </c>
      <c r="D23" s="772">
        <f ca="1">SUM('Rev&amp;RAV_FO'!AA20:AE20)</f>
        <v>129.2369086207961</v>
      </c>
      <c r="U23" s="1416" t="str">
        <f>U13</f>
        <v>Desal security payment cost capitalisation</v>
      </c>
      <c r="V23" s="772"/>
      <c r="W23" s="772"/>
      <c r="X23" s="772"/>
      <c r="Y23" s="772"/>
      <c r="Z23" s="772"/>
      <c r="AA23" s="1415">
        <f>AA13</f>
        <v>80.635863641761844</v>
      </c>
      <c r="AB23" s="1415">
        <f t="shared" ref="AB23:AJ23" si="3">AB13</f>
        <v>112.3221039301982</v>
      </c>
      <c r="AC23" s="1415">
        <f t="shared" si="3"/>
        <v>129.96682378290575</v>
      </c>
      <c r="AD23" s="1415">
        <f t="shared" si="3"/>
        <v>140.29860512110415</v>
      </c>
      <c r="AE23" s="1415">
        <f t="shared" si="3"/>
        <v>157.91655740021756</v>
      </c>
      <c r="AF23" s="1415">
        <f t="shared" si="3"/>
        <v>175.94832753327148</v>
      </c>
      <c r="AG23" s="1415">
        <f t="shared" si="3"/>
        <v>195.49751441483352</v>
      </c>
      <c r="AH23" s="1415">
        <f t="shared" si="3"/>
        <v>215.22256214434148</v>
      </c>
      <c r="AI23" s="1415">
        <f t="shared" si="3"/>
        <v>234.92707998494794</v>
      </c>
      <c r="AJ23" s="1415">
        <f t="shared" si="3"/>
        <v>255.51406739517921</v>
      </c>
    </row>
    <row r="24" spans="2:39" ht="16.5" customHeight="1">
      <c r="C24" s="779" t="s">
        <v>988</v>
      </c>
      <c r="D24" s="780">
        <f ca="1">SUM(D18:D23)</f>
        <v>10132.392992922081</v>
      </c>
      <c r="E24" s="1394">
        <f ca="1">D24-SUM(I9:M9)</f>
        <v>0</v>
      </c>
      <c r="G24" s="813"/>
      <c r="T24" s="1399"/>
      <c r="U24" s="770" t="s">
        <v>479</v>
      </c>
      <c r="V24" s="776"/>
      <c r="W24" s="776"/>
      <c r="X24" s="776"/>
      <c r="Y24" s="776"/>
      <c r="Z24" s="776"/>
      <c r="AA24" s="776">
        <f>SUM(AA18:AA23)</f>
        <v>1427.8676842478519</v>
      </c>
      <c r="AB24" s="776">
        <f t="shared" ref="AB24:AJ24" si="4">SUM(AB18:AB23)</f>
        <v>1570.164250393809</v>
      </c>
      <c r="AC24" s="776">
        <f t="shared" si="4"/>
        <v>1607.4161999295404</v>
      </c>
      <c r="AD24" s="776">
        <f t="shared" si="4"/>
        <v>1650.5477325991501</v>
      </c>
      <c r="AE24" s="776">
        <f t="shared" si="4"/>
        <v>1600.0870518966058</v>
      </c>
      <c r="AF24" s="776">
        <f t="shared" si="4"/>
        <v>1822.431846686201</v>
      </c>
      <c r="AG24" s="776">
        <f t="shared" si="4"/>
        <v>1894.5863492533358</v>
      </c>
      <c r="AH24" s="776">
        <f t="shared" si="4"/>
        <v>1729.8126501350991</v>
      </c>
      <c r="AI24" s="776">
        <f t="shared" si="4"/>
        <v>1971.4744774702954</v>
      </c>
      <c r="AJ24" s="776">
        <f t="shared" si="4"/>
        <v>2094.9713055918783</v>
      </c>
      <c r="AK24" s="1396"/>
      <c r="AL24" s="1396"/>
      <c r="AM24" s="1396"/>
    </row>
    <row r="25" spans="2:39">
      <c r="T25" s="1396"/>
      <c r="U25" s="1401"/>
      <c r="V25" s="1400"/>
      <c r="W25" s="1400"/>
      <c r="X25" s="1400"/>
      <c r="Y25" s="1400"/>
      <c r="Z25" s="1400"/>
      <c r="AA25" s="1400"/>
      <c r="AB25" s="1400"/>
      <c r="AC25" s="1400"/>
      <c r="AD25" s="1400"/>
      <c r="AE25" s="1400"/>
      <c r="AF25" s="1400"/>
      <c r="AG25" s="1400"/>
      <c r="AH25" s="1400"/>
      <c r="AI25" s="1400"/>
      <c r="AJ25" s="1400"/>
      <c r="AK25" s="1396"/>
      <c r="AL25" s="1396"/>
      <c r="AM25" s="1396"/>
    </row>
    <row r="26" spans="2:39" ht="15.75">
      <c r="B26" s="768" t="s">
        <v>1408</v>
      </c>
      <c r="T26" s="1396"/>
      <c r="U26" s="1401"/>
      <c r="V26" s="1400"/>
      <c r="W26" s="1400"/>
      <c r="X26" s="1400"/>
      <c r="Y26" s="1400"/>
      <c r="Z26" s="1418" t="s">
        <v>130</v>
      </c>
      <c r="AA26" s="1417">
        <f>AA24-AA14</f>
        <v>0</v>
      </c>
      <c r="AB26" s="1417">
        <f t="shared" ref="AB26:AJ26" si="5">AB24-AB14</f>
        <v>0</v>
      </c>
      <c r="AC26" s="1417">
        <f t="shared" si="5"/>
        <v>0</v>
      </c>
      <c r="AD26" s="1417">
        <f t="shared" si="5"/>
        <v>0</v>
      </c>
      <c r="AE26" s="1417">
        <f t="shared" si="5"/>
        <v>0</v>
      </c>
      <c r="AF26" s="1417">
        <f t="shared" si="5"/>
        <v>0</v>
      </c>
      <c r="AG26" s="1417">
        <f t="shared" si="5"/>
        <v>0</v>
      </c>
      <c r="AH26" s="1417">
        <f t="shared" si="5"/>
        <v>0</v>
      </c>
      <c r="AI26" s="1417">
        <f t="shared" si="5"/>
        <v>0</v>
      </c>
      <c r="AJ26" s="1417">
        <f t="shared" si="5"/>
        <v>0</v>
      </c>
      <c r="AK26" s="1396"/>
      <c r="AL26" s="1396"/>
      <c r="AM26" s="1396"/>
    </row>
    <row r="27" spans="2:39">
      <c r="T27" s="1396"/>
      <c r="U27" s="1401"/>
      <c r="V27" s="1400"/>
      <c r="W27" s="1400"/>
      <c r="X27" s="1400"/>
      <c r="Y27" s="1400"/>
      <c r="Z27" s="1400"/>
      <c r="AA27" s="1400"/>
      <c r="AB27" s="1400"/>
      <c r="AC27" s="1400"/>
      <c r="AD27" s="1400"/>
      <c r="AE27" s="1400"/>
      <c r="AF27" s="1400"/>
      <c r="AG27" s="1400"/>
      <c r="AH27" s="1400"/>
      <c r="AI27" s="1400"/>
      <c r="AJ27" s="1400"/>
      <c r="AK27" s="1396"/>
      <c r="AL27" s="1396"/>
      <c r="AM27" s="1396"/>
    </row>
    <row r="28" spans="2:39">
      <c r="B28" s="770" t="s">
        <v>1409</v>
      </c>
      <c r="D28" s="771" t="str">
        <f t="shared" ref="D28:R28" si="6">D8</f>
        <v>2021-22</v>
      </c>
      <c r="E28" s="771" t="str">
        <f t="shared" si="6"/>
        <v>2022-23</v>
      </c>
      <c r="F28" s="771" t="str">
        <f t="shared" si="6"/>
        <v>2023-24</v>
      </c>
      <c r="G28" s="771" t="str">
        <f t="shared" si="6"/>
        <v>2024-25</v>
      </c>
      <c r="H28" s="771" t="str">
        <f t="shared" si="6"/>
        <v>2025-26</v>
      </c>
      <c r="I28" s="771" t="str">
        <f t="shared" si="6"/>
        <v>2026-27</v>
      </c>
      <c r="J28" s="771" t="str">
        <f t="shared" si="6"/>
        <v>2027-28</v>
      </c>
      <c r="K28" s="771" t="str">
        <f t="shared" si="6"/>
        <v>2028-29</v>
      </c>
      <c r="L28" s="771" t="str">
        <f t="shared" si="6"/>
        <v>2029-30</v>
      </c>
      <c r="M28" s="771" t="str">
        <f t="shared" si="6"/>
        <v>2030-31</v>
      </c>
      <c r="N28" s="771" t="str">
        <f t="shared" si="6"/>
        <v>2031-32</v>
      </c>
      <c r="O28" s="771" t="str">
        <f t="shared" si="6"/>
        <v>2032-33</v>
      </c>
      <c r="P28" s="771" t="str">
        <f t="shared" si="6"/>
        <v>2033-34</v>
      </c>
      <c r="Q28" s="771" t="str">
        <f t="shared" si="6"/>
        <v>2034-35</v>
      </c>
      <c r="R28" s="771" t="str">
        <f t="shared" si="6"/>
        <v>2035-36</v>
      </c>
      <c r="T28" s="1396"/>
      <c r="U28" s="1396"/>
      <c r="V28" s="1400"/>
      <c r="W28" s="1400"/>
      <c r="X28" s="1400"/>
      <c r="Y28" s="1400"/>
      <c r="Z28" s="1400"/>
      <c r="AA28" s="1400"/>
      <c r="AB28" s="1400"/>
      <c r="AC28" s="1400"/>
      <c r="AD28" s="1400"/>
      <c r="AE28" s="1400"/>
      <c r="AF28" s="1400"/>
      <c r="AG28" s="1400"/>
      <c r="AH28" s="1400"/>
      <c r="AI28" s="1400"/>
      <c r="AJ28" s="1400"/>
      <c r="AK28" s="1396"/>
      <c r="AL28" s="1396"/>
      <c r="AM28" s="1396"/>
    </row>
    <row r="29" spans="2:39">
      <c r="C29" s="769" t="s">
        <v>1410</v>
      </c>
      <c r="D29" s="772">
        <f>IF(KeyAssumptionsPriceControl_FO!$X$32=1,RevenuePriceCap_FO!V461,RevenueTariffBasket_FO!V461+RevenueTariffBasket_FO!V463)</f>
        <v>1674.6840549448489</v>
      </c>
      <c r="E29" s="772">
        <f>IF(KeyAssumptionsPriceControl_FO!$X$32=1,RevenuePriceCap_FO!W461,RevenueTariffBasket_FO!W461+RevenueTariffBasket_FO!W463)</f>
        <v>1652.5634087981452</v>
      </c>
      <c r="F29" s="772">
        <f>IF(KeyAssumptionsPriceControl_FO!$X$32=1,RevenuePriceCap_FO!X461,RevenueTariffBasket_FO!X461+RevenueTariffBasket_FO!X463)</f>
        <v>1654.5832960652176</v>
      </c>
      <c r="G29" s="772">
        <f>IF(KeyAssumptionsPriceControl_FO!$X$32=1,RevenuePriceCap_FO!Y461,RevenueTariffBasket_FO!Y461+RevenueTariffBasket_FO!Y463)</f>
        <v>1665.0721446488483</v>
      </c>
      <c r="H29" s="772">
        <f>IF(KeyAssumptionsPriceControl_FO!$X$32=1,RevenuePriceCap_FO!Z461,RevenueTariffBasket_FO!Z461+RevenueTariffBasket_FO!Z463)</f>
        <v>1662.8114824694694</v>
      </c>
      <c r="I29" s="772">
        <f>IF(KeyAssumptionsPriceControl_FO!$X$32=1,RevenuePriceCap_FO!AA461,RevenueTariffBasket_FO!AA461+RevenueTariffBasket_FO!AA463)</f>
        <v>1413.3925049115305</v>
      </c>
      <c r="J29" s="772">
        <f>IF(KeyAssumptionsPriceControl_FO!$X$32=1,RevenuePriceCap_FO!AB461,RevenueTariffBasket_FO!AB461+RevenueTariffBasket_FO!AB463)</f>
        <v>1484.2021654567366</v>
      </c>
      <c r="K29" s="772">
        <f>IF(KeyAssumptionsPriceControl_FO!$X$32=1,RevenuePriceCap_FO!AC461,RevenueTariffBasket_FO!AC461+RevenueTariffBasket_FO!AC463)</f>
        <v>1514.8302093166812</v>
      </c>
      <c r="L29" s="772">
        <f>IF(KeyAssumptionsPriceControl_FO!$X$32=1,RevenuePriceCap_FO!AD461,RevenueTariffBasket_FO!AD461+RevenueTariffBasket_FO!AD463)</f>
        <v>1546.7782559091204</v>
      </c>
      <c r="M29" s="772">
        <f>IF(KeyAssumptionsPriceControl_FO!$X$32=1,RevenuePriceCap_FO!AE461,RevenueTariffBasket_FO!AE461+RevenueTariffBasket_FO!AE463)</f>
        <v>1580.1421854462596</v>
      </c>
      <c r="N29" s="772">
        <f>IF(KeyAssumptionsPriceControl_FO!$X$32=1,RevenuePriceCap_FO!AF461,RevenueTariffBasket_FO!AF461+RevenueTariffBasket_FO!AF463)</f>
        <v>1600.0512239554785</v>
      </c>
      <c r="O29" s="772">
        <f>IF(KeyAssumptionsPriceControl_FO!$X$32=1,RevenuePriceCap_FO!AG461,RevenueTariffBasket_FO!AG461+RevenueTariffBasket_FO!AG463)</f>
        <v>1623.55693742057</v>
      </c>
      <c r="P29" s="772">
        <f>IF(KeyAssumptionsPriceControl_FO!$X$32=1,RevenuePriceCap_FO!AH461,RevenueTariffBasket_FO!AH461+RevenueTariffBasket_FO!AH463)</f>
        <v>1648.9402493595962</v>
      </c>
      <c r="Q29" s="772">
        <f>IF(KeyAssumptionsPriceControl_FO!$X$32=1,RevenuePriceCap_FO!AI461,RevenueTariffBasket_FO!AI461+RevenueTariffBasket_FO!AI463)</f>
        <v>1676.2550308645009</v>
      </c>
      <c r="R29" s="772">
        <f>IF(KeyAssumptionsPriceControl_FO!$X$32=1,RevenuePriceCap_FO!AJ461,RevenueTariffBasket_FO!AJ461+RevenueTariffBasket_FO!AJ463)</f>
        <v>1705.6968430912898</v>
      </c>
      <c r="T29" s="1396"/>
      <c r="U29" s="1396"/>
      <c r="V29" s="1400"/>
      <c r="W29" s="1400"/>
      <c r="X29" s="1400"/>
      <c r="Y29" s="1400"/>
      <c r="Z29" s="1400"/>
      <c r="AA29" s="1400"/>
      <c r="AB29" s="1400"/>
      <c r="AC29" s="1400"/>
      <c r="AD29" s="1400"/>
      <c r="AE29" s="1400"/>
      <c r="AF29" s="1400"/>
      <c r="AG29" s="1400"/>
      <c r="AH29" s="1400"/>
      <c r="AI29" s="1400"/>
      <c r="AJ29" s="1400"/>
      <c r="AK29" s="1396"/>
      <c r="AL29" s="1396"/>
      <c r="AM29" s="1396"/>
    </row>
    <row r="30" spans="2:39">
      <c r="C30" s="769" t="s">
        <v>843</v>
      </c>
      <c r="D30" s="772">
        <f>IF(KeyAssumptionsPriceControl_FO!$X$32=1,RevenuePriceCap_FO!V462,RevenueTariffBasket_FO!V462+RevenueTariffBasket_FO!V464)</f>
        <v>188.80731756934512</v>
      </c>
      <c r="E30" s="772">
        <f>IF(KeyAssumptionsPriceControl_FO!$X$32=1,RevenuePriceCap_FO!W462,RevenueTariffBasket_FO!W462+RevenueTariffBasket_FO!W464)</f>
        <v>197.75481806481847</v>
      </c>
      <c r="F30" s="772">
        <f>IF(KeyAssumptionsPriceControl_FO!$X$32=1,RevenuePriceCap_FO!X462,RevenueTariffBasket_FO!X462+RevenueTariffBasket_FO!X464)</f>
        <v>206.41065063533338</v>
      </c>
      <c r="G30" s="772">
        <f>IF(KeyAssumptionsPriceControl_FO!$X$32=1,RevenuePriceCap_FO!Y462,RevenueTariffBasket_FO!Y462+RevenueTariffBasket_FO!Y464)</f>
        <v>219.57611078287448</v>
      </c>
      <c r="H30" s="772">
        <f>IF(KeyAssumptionsPriceControl_FO!$X$32=1,RevenuePriceCap_FO!Z462,RevenueTariffBasket_FO!Z462+RevenueTariffBasket_FO!Z464)</f>
        <v>221.02917690874295</v>
      </c>
      <c r="I30" s="772">
        <f>IF(KeyAssumptionsPriceControl_FO!$X$32=1,RevenuePriceCap_FO!AA462,RevenueTariffBasket_FO!AA462+RevenueTariffBasket_FO!AA464)</f>
        <v>479.89040362456439</v>
      </c>
      <c r="J30" s="772">
        <f>IF(KeyAssumptionsPriceControl_FO!$X$32=1,RevenuePriceCap_FO!AB462,RevenueTariffBasket_FO!AB462+RevenueTariffBasket_FO!AB464)</f>
        <v>482.45692160211524</v>
      </c>
      <c r="K30" s="772">
        <f>IF(KeyAssumptionsPriceControl_FO!$X$32=1,RevenuePriceCap_FO!AC462,RevenueTariffBasket_FO!AC462+RevenueTariffBasket_FO!AC464)</f>
        <v>489.75057125487507</v>
      </c>
      <c r="L30" s="772">
        <f>IF(KeyAssumptionsPriceControl_FO!$X$32=1,RevenuePriceCap_FO!AD462,RevenueTariffBasket_FO!AD462+RevenueTariffBasket_FO!AD464)</f>
        <v>495.95223444989415</v>
      </c>
      <c r="M30" s="772">
        <f>IF(KeyAssumptionsPriceControl_FO!$X$32=1,RevenuePriceCap_FO!AE462,RevenueTariffBasket_FO!AE462+RevenueTariffBasket_FO!AE464)</f>
        <v>501.83964911104476</v>
      </c>
      <c r="N30" s="772">
        <f>IF(KeyAssumptionsPriceControl_FO!$X$32=1,RevenuePriceCap_FO!AF462,RevenueTariffBasket_FO!AF462+RevenueTariffBasket_FO!AF464)</f>
        <v>579.72408662665589</v>
      </c>
      <c r="O30" s="772">
        <f>IF(KeyAssumptionsPriceControl_FO!$X$32=1,RevenuePriceCap_FO!AG462,RevenueTariffBasket_FO!AG462+RevenueTariffBasket_FO!AG464)</f>
        <v>586.74979699855487</v>
      </c>
      <c r="P30" s="772">
        <f>IF(KeyAssumptionsPriceControl_FO!$X$32=1,RevenuePriceCap_FO!AH462,RevenueTariffBasket_FO!AH462+RevenueTariffBasket_FO!AH464)</f>
        <v>593.74028311326254</v>
      </c>
      <c r="Q30" s="772">
        <f>IF(KeyAssumptionsPriceControl_FO!$X$32=1,RevenuePriceCap_FO!AI462,RevenueTariffBasket_FO!AI462+RevenueTariffBasket_FO!AI464)</f>
        <v>605.03556607945484</v>
      </c>
      <c r="R30" s="772">
        <f>IF(KeyAssumptionsPriceControl_FO!$X$32=1,RevenuePriceCap_FO!AJ462,RevenueTariffBasket_FO!AJ462+RevenueTariffBasket_FO!AJ464)</f>
        <v>611.25072246036711</v>
      </c>
      <c r="T30" s="1396"/>
      <c r="U30" s="1399"/>
      <c r="V30" s="1402"/>
      <c r="W30" s="1402"/>
      <c r="X30" s="1402"/>
      <c r="Y30" s="1402"/>
      <c r="Z30" s="1402"/>
      <c r="AA30" s="1402"/>
      <c r="AB30" s="1402"/>
      <c r="AC30" s="1402"/>
      <c r="AD30" s="1402"/>
      <c r="AE30" s="1402"/>
      <c r="AF30" s="1402"/>
      <c r="AG30" s="1402"/>
      <c r="AH30" s="1402"/>
      <c r="AI30" s="1402"/>
      <c r="AJ30" s="1402"/>
      <c r="AK30" s="1396"/>
      <c r="AL30" s="1396"/>
      <c r="AM30" s="1396"/>
    </row>
    <row r="31" spans="2:39">
      <c r="C31" s="770" t="s">
        <v>936</v>
      </c>
      <c r="D31" s="776">
        <f>SUM(D29:D30)</f>
        <v>1863.4913725141939</v>
      </c>
      <c r="E31" s="776">
        <f t="shared" ref="E31:R31" si="7">SUM(E29:E30)</f>
        <v>1850.3182268629637</v>
      </c>
      <c r="F31" s="776">
        <f t="shared" si="7"/>
        <v>1860.9939467005511</v>
      </c>
      <c r="G31" s="776">
        <f t="shared" si="7"/>
        <v>1884.6482554317226</v>
      </c>
      <c r="H31" s="776">
        <f t="shared" si="7"/>
        <v>1883.8406593782124</v>
      </c>
      <c r="I31" s="776">
        <f t="shared" si="7"/>
        <v>1893.282908536095</v>
      </c>
      <c r="J31" s="776">
        <f t="shared" si="7"/>
        <v>1966.6590870588518</v>
      </c>
      <c r="K31" s="776">
        <f t="shared" si="7"/>
        <v>2004.5807805715563</v>
      </c>
      <c r="L31" s="776">
        <f t="shared" si="7"/>
        <v>2042.7304903590145</v>
      </c>
      <c r="M31" s="776">
        <f t="shared" si="7"/>
        <v>2081.9818345573044</v>
      </c>
      <c r="N31" s="776">
        <f t="shared" si="7"/>
        <v>2179.7753105821344</v>
      </c>
      <c r="O31" s="776">
        <f t="shared" si="7"/>
        <v>2210.306734419125</v>
      </c>
      <c r="P31" s="776">
        <f t="shared" si="7"/>
        <v>2242.6805324728589</v>
      </c>
      <c r="Q31" s="776">
        <f t="shared" si="7"/>
        <v>2281.2905969439557</v>
      </c>
      <c r="R31" s="776">
        <f t="shared" si="7"/>
        <v>2316.9475655516571</v>
      </c>
      <c r="T31" s="1396"/>
      <c r="U31" s="1399"/>
      <c r="V31" s="1402"/>
      <c r="W31" s="1402"/>
      <c r="X31" s="1402"/>
      <c r="Y31" s="1402"/>
      <c r="Z31" s="1402"/>
      <c r="AA31" s="1402"/>
      <c r="AB31" s="1402"/>
      <c r="AC31" s="1402"/>
      <c r="AD31" s="1402"/>
      <c r="AE31" s="1402"/>
      <c r="AF31" s="1402"/>
      <c r="AG31" s="1402"/>
      <c r="AH31" s="1402"/>
      <c r="AI31" s="1402"/>
      <c r="AJ31" s="1396"/>
      <c r="AK31" s="1402"/>
      <c r="AL31" s="1396"/>
      <c r="AM31" s="1396"/>
    </row>
    <row r="32" spans="2:39">
      <c r="T32" s="1399"/>
      <c r="U32" s="1399"/>
      <c r="V32" s="1397"/>
      <c r="W32" s="1397"/>
      <c r="X32" s="1397"/>
      <c r="Y32" s="1397"/>
      <c r="Z32" s="1397"/>
      <c r="AA32" s="1397"/>
      <c r="AB32" s="1397"/>
      <c r="AC32" s="1397"/>
      <c r="AD32" s="1397"/>
      <c r="AE32" s="1397"/>
      <c r="AF32" s="1397"/>
      <c r="AG32" s="1397"/>
      <c r="AH32" s="1397"/>
      <c r="AI32" s="1397"/>
      <c r="AJ32" s="1397"/>
      <c r="AK32" s="1396"/>
      <c r="AL32" s="1396"/>
      <c r="AM32" s="1396"/>
    </row>
    <row r="33" spans="2:39" ht="15.75">
      <c r="B33" s="768" t="s">
        <v>1411</v>
      </c>
      <c r="T33" s="1396"/>
      <c r="U33" s="1401"/>
      <c r="V33" s="1400"/>
      <c r="W33" s="1400"/>
      <c r="X33" s="1400"/>
      <c r="Y33" s="1400"/>
      <c r="Z33" s="1400"/>
      <c r="AA33" s="1400"/>
      <c r="AB33" s="1400"/>
      <c r="AC33" s="1400"/>
      <c r="AD33" s="1400"/>
      <c r="AE33" s="1400"/>
      <c r="AF33" s="1400"/>
      <c r="AG33" s="1400"/>
      <c r="AH33" s="1400"/>
      <c r="AI33" s="1400"/>
      <c r="AJ33" s="1400"/>
      <c r="AK33" s="1396"/>
      <c r="AL33" s="1396"/>
      <c r="AM33" s="1396"/>
    </row>
    <row r="34" spans="2:39">
      <c r="T34" s="1396"/>
      <c r="U34" s="1401"/>
      <c r="V34" s="1400"/>
      <c r="W34" s="1400"/>
      <c r="X34" s="1400"/>
      <c r="Y34" s="1400"/>
      <c r="Z34" s="1400"/>
      <c r="AA34" s="1400"/>
      <c r="AB34" s="1400"/>
      <c r="AC34" s="1400"/>
      <c r="AD34" s="1400"/>
      <c r="AE34" s="1400"/>
      <c r="AF34" s="1400"/>
      <c r="AG34" s="1400"/>
      <c r="AH34" s="1400"/>
      <c r="AI34" s="1400"/>
      <c r="AJ34" s="1400"/>
      <c r="AK34" s="1396"/>
      <c r="AL34" s="1396"/>
      <c r="AM34" s="1396"/>
    </row>
    <row r="35" spans="2:39" ht="45">
      <c r="B35" s="779" t="s">
        <v>883</v>
      </c>
      <c r="C35" s="782"/>
      <c r="D35" s="783" t="s">
        <v>1412</v>
      </c>
      <c r="E35" s="783" t="s">
        <v>442</v>
      </c>
      <c r="F35" s="783" t="s">
        <v>778</v>
      </c>
      <c r="T35" s="1396"/>
      <c r="U35" s="1401"/>
      <c r="V35" s="1400"/>
      <c r="W35" s="1400"/>
      <c r="X35" s="1400"/>
      <c r="Y35" s="1400"/>
      <c r="Z35" s="1400"/>
      <c r="AA35" s="1400"/>
      <c r="AB35" s="1400"/>
      <c r="AC35" s="1400"/>
      <c r="AD35" s="1400"/>
      <c r="AE35" s="1400"/>
      <c r="AF35" s="1400"/>
      <c r="AG35" s="1400"/>
      <c r="AH35" s="1400"/>
      <c r="AI35" s="1400"/>
      <c r="AJ35" s="1400"/>
      <c r="AK35" s="1396"/>
      <c r="AL35" s="1396"/>
      <c r="AM35" s="1396"/>
    </row>
    <row r="36" spans="2:39">
      <c r="C36" s="769" t="s">
        <v>1413</v>
      </c>
      <c r="D36" s="784">
        <f>SUM('Rev&amp;RAV_FO'!V23:Z23)</f>
        <v>9576.0274157719759</v>
      </c>
      <c r="E36" s="784">
        <f>SUM(Opex_Breakdown!V39:Z39)</f>
        <v>5798.8248923698029</v>
      </c>
      <c r="F36" s="772">
        <f>SUM(Capex_FO_AC!V18:Z18)</f>
        <v>4839.6681271406051</v>
      </c>
      <c r="T36" s="1396"/>
      <c r="U36" s="1396"/>
      <c r="V36" s="1400"/>
      <c r="W36" s="1400"/>
      <c r="X36" s="1400"/>
      <c r="Y36" s="1400"/>
      <c r="Z36" s="1400"/>
      <c r="AA36" s="1400"/>
      <c r="AB36" s="1400"/>
      <c r="AC36" s="1400"/>
      <c r="AD36" s="1400"/>
      <c r="AE36" s="1400"/>
      <c r="AF36" s="1400"/>
      <c r="AG36" s="1400"/>
      <c r="AH36" s="1400"/>
      <c r="AI36" s="1400"/>
      <c r="AJ36" s="1400"/>
      <c r="AK36" s="1396"/>
      <c r="AL36" s="1396"/>
      <c r="AM36" s="1396"/>
    </row>
    <row r="37" spans="2:39">
      <c r="C37" s="769" t="s">
        <v>1414</v>
      </c>
      <c r="D37" s="816">
        <f ca="1">SUM('Rev&amp;RAV_FO'!AA23:AE23)</f>
        <v>10132.392992922081</v>
      </c>
      <c r="E37" s="816">
        <f>SUM(Opex_Breakdown!AA39:AE39)</f>
        <v>5511.9272270331667</v>
      </c>
      <c r="F37" s="817">
        <f>SUM(Capex_FO_AC!AA18:AE18)</f>
        <v>7856.0829190669574</v>
      </c>
      <c r="T37" s="1396"/>
      <c r="U37" s="1396"/>
      <c r="V37" s="1400"/>
      <c r="W37" s="1400"/>
      <c r="X37" s="1400"/>
      <c r="Y37" s="1400"/>
      <c r="Z37" s="1400"/>
      <c r="AA37" s="1400"/>
      <c r="AB37" s="1400"/>
      <c r="AC37" s="1400"/>
      <c r="AD37" s="1400"/>
      <c r="AE37" s="1400"/>
      <c r="AF37" s="1400"/>
      <c r="AG37" s="1400"/>
      <c r="AH37" s="1400"/>
      <c r="AI37" s="1400"/>
      <c r="AJ37" s="1400"/>
      <c r="AK37" s="1396"/>
      <c r="AL37" s="1396"/>
      <c r="AM37" s="1396"/>
    </row>
    <row r="38" spans="2:39">
      <c r="T38" s="1396"/>
      <c r="U38" s="1399"/>
      <c r="V38" s="1402"/>
      <c r="W38" s="1402"/>
      <c r="X38" s="1402"/>
      <c r="Y38" s="1402"/>
      <c r="Z38" s="1402"/>
      <c r="AA38" s="1402"/>
      <c r="AB38" s="1402"/>
      <c r="AC38" s="1402"/>
      <c r="AD38" s="1402"/>
      <c r="AE38" s="1402"/>
      <c r="AF38" s="1402"/>
      <c r="AG38" s="1402"/>
      <c r="AH38" s="1402"/>
      <c r="AI38" s="1402"/>
      <c r="AJ38" s="1402"/>
      <c r="AK38" s="1396"/>
      <c r="AL38" s="1396"/>
      <c r="AM38" s="1396"/>
    </row>
    <row r="39" spans="2:39" ht="15.75">
      <c r="B39" s="768" t="s">
        <v>1415</v>
      </c>
    </row>
    <row r="40" spans="2:39">
      <c r="T40" s="770" t="s">
        <v>1416</v>
      </c>
      <c r="V40" s="771"/>
      <c r="W40" s="771"/>
      <c r="X40" s="771"/>
      <c r="Y40" s="771"/>
      <c r="Z40" s="771"/>
      <c r="AA40" s="771" t="str">
        <f t="shared" ref="AA40:AJ40" si="8">AA$17</f>
        <v>2026-27</v>
      </c>
      <c r="AB40" s="771" t="str">
        <f t="shared" si="8"/>
        <v>2027-28</v>
      </c>
      <c r="AC40" s="771" t="str">
        <f t="shared" si="8"/>
        <v>2028-29</v>
      </c>
      <c r="AD40" s="771" t="str">
        <f t="shared" si="8"/>
        <v>2029-30</v>
      </c>
      <c r="AE40" s="771" t="str">
        <f t="shared" si="8"/>
        <v>2030-31</v>
      </c>
      <c r="AF40" s="771" t="str">
        <f t="shared" si="8"/>
        <v>2031-32</v>
      </c>
      <c r="AG40" s="771" t="str">
        <f t="shared" si="8"/>
        <v>2032-33</v>
      </c>
      <c r="AH40" s="771" t="str">
        <f t="shared" si="8"/>
        <v>2033-34</v>
      </c>
      <c r="AI40" s="771" t="str">
        <f t="shared" si="8"/>
        <v>2034-35</v>
      </c>
      <c r="AJ40" s="771" t="str">
        <f t="shared" si="8"/>
        <v>2035-36</v>
      </c>
    </row>
    <row r="41" spans="2:39">
      <c r="B41" s="770" t="s">
        <v>359</v>
      </c>
      <c r="D41" s="771" t="str">
        <f t="shared" ref="D41:R41" si="9">D28</f>
        <v>2021-22</v>
      </c>
      <c r="E41" s="771" t="str">
        <f t="shared" si="9"/>
        <v>2022-23</v>
      </c>
      <c r="F41" s="771" t="str">
        <f t="shared" si="9"/>
        <v>2023-24</v>
      </c>
      <c r="G41" s="771" t="str">
        <f t="shared" si="9"/>
        <v>2024-25</v>
      </c>
      <c r="H41" s="771" t="str">
        <f t="shared" si="9"/>
        <v>2025-26</v>
      </c>
      <c r="I41" s="771" t="str">
        <f t="shared" si="9"/>
        <v>2026-27</v>
      </c>
      <c r="J41" s="771" t="str">
        <f t="shared" si="9"/>
        <v>2027-28</v>
      </c>
      <c r="K41" s="771" t="str">
        <f t="shared" si="9"/>
        <v>2028-29</v>
      </c>
      <c r="L41" s="771" t="str">
        <f t="shared" si="9"/>
        <v>2029-30</v>
      </c>
      <c r="M41" s="771" t="str">
        <f t="shared" si="9"/>
        <v>2030-31</v>
      </c>
      <c r="N41" s="771" t="str">
        <f t="shared" si="9"/>
        <v>2031-32</v>
      </c>
      <c r="O41" s="771" t="str">
        <f t="shared" si="9"/>
        <v>2032-33</v>
      </c>
      <c r="P41" s="771" t="str">
        <f t="shared" si="9"/>
        <v>2033-34</v>
      </c>
      <c r="Q41" s="771" t="str">
        <f t="shared" si="9"/>
        <v>2034-35</v>
      </c>
      <c r="R41" s="771" t="str">
        <f t="shared" si="9"/>
        <v>2035-36</v>
      </c>
      <c r="U41" s="785" t="str">
        <f>'Capex_FO input'!C19</f>
        <v>Top 15 Major Projects</v>
      </c>
      <c r="V41" s="772"/>
      <c r="W41" s="772"/>
      <c r="X41" s="772"/>
      <c r="Y41" s="772"/>
      <c r="Z41" s="772"/>
      <c r="AA41" s="772">
        <f>'Capex_FO input'!D19</f>
        <v>259.14327551944751</v>
      </c>
      <c r="AB41" s="772">
        <f>'Capex_FO input'!E19</f>
        <v>304.66113375043432</v>
      </c>
      <c r="AC41" s="772">
        <f>'Capex_FO input'!F19</f>
        <v>370.18120168852789</v>
      </c>
      <c r="AD41" s="772">
        <f>'Capex_FO input'!G19</f>
        <v>421.06946084244248</v>
      </c>
      <c r="AE41" s="772">
        <f>'Capex_FO input'!H19</f>
        <v>494.74671954154638</v>
      </c>
      <c r="AF41" s="772">
        <f>'Capex_FO input'!I19</f>
        <v>224.54454419624614</v>
      </c>
      <c r="AG41" s="772">
        <f>'Capex_FO input'!J19</f>
        <v>49.91742419465556</v>
      </c>
      <c r="AH41" s="772">
        <f>'Capex_FO input'!K19</f>
        <v>0.44735038066138832</v>
      </c>
      <c r="AI41" s="772">
        <f>'Capex_FO input'!L19</f>
        <v>0</v>
      </c>
      <c r="AJ41" s="772">
        <f>'Capex_FO input'!M19</f>
        <v>0</v>
      </c>
    </row>
    <row r="42" spans="2:39">
      <c r="B42" s="786"/>
      <c r="C42" s="769" t="s">
        <v>367</v>
      </c>
      <c r="D42" s="772">
        <f>Opex_Breakdown!V17</f>
        <v>501.2491774159792</v>
      </c>
      <c r="E42" s="772">
        <f>Opex_Breakdown!W17</f>
        <v>500.26722780491616</v>
      </c>
      <c r="F42" s="772">
        <f>Opex_Breakdown!X17</f>
        <v>508.48725061361989</v>
      </c>
      <c r="G42" s="772">
        <f>Opex_Breakdown!Y17</f>
        <v>568.05319685796928</v>
      </c>
      <c r="H42" s="772">
        <f>Opex_Breakdown!Z17</f>
        <v>547.84335201999977</v>
      </c>
      <c r="I42" s="772">
        <f>Opex_Breakdown!AA17</f>
        <v>545.45973319354857</v>
      </c>
      <c r="J42" s="772">
        <f>Opex_Breakdown!AB17</f>
        <v>551.14985044551531</v>
      </c>
      <c r="K42" s="772">
        <f>Opex_Breakdown!AC17</f>
        <v>561.95351311879097</v>
      </c>
      <c r="L42" s="772">
        <f>Opex_Breakdown!AD17</f>
        <v>565.25181980440391</v>
      </c>
      <c r="M42" s="772">
        <f>Opex_Breakdown!AE17</f>
        <v>566.14799284372646</v>
      </c>
      <c r="N42" s="772">
        <f>Opex_Breakdown!AF17</f>
        <v>565.72662591603273</v>
      </c>
      <c r="O42" s="772">
        <f>Opex_Breakdown!AG17</f>
        <v>564.92478358474898</v>
      </c>
      <c r="P42" s="772">
        <f>Opex_Breakdown!AH17</f>
        <v>563.84208181640099</v>
      </c>
      <c r="Q42" s="772">
        <f>Opex_Breakdown!AI17</f>
        <v>564.75118862126078</v>
      </c>
      <c r="R42" s="772">
        <f>Opex_Breakdown!AJ17</f>
        <v>562.37815884444956</v>
      </c>
      <c r="U42" s="785" t="str">
        <f>'Capex_FO input'!C20</f>
        <v>Significant projects</v>
      </c>
      <c r="V42" s="772"/>
      <c r="W42" s="772"/>
      <c r="X42" s="772"/>
      <c r="Y42" s="772"/>
      <c r="Z42" s="772"/>
      <c r="AA42" s="772">
        <f>'Capex_FO input'!D20</f>
        <v>0</v>
      </c>
      <c r="AB42" s="772">
        <f>'Capex_FO input'!E20</f>
        <v>0</v>
      </c>
      <c r="AC42" s="772">
        <f>'Capex_FO input'!F20</f>
        <v>0</v>
      </c>
      <c r="AD42" s="772">
        <f>'Capex_FO input'!G20</f>
        <v>0</v>
      </c>
      <c r="AE42" s="772">
        <f>'Capex_FO input'!H20</f>
        <v>0</v>
      </c>
      <c r="AF42" s="772">
        <f>'Capex_FO input'!I20</f>
        <v>0</v>
      </c>
      <c r="AG42" s="772">
        <f>'Capex_FO input'!J20</f>
        <v>0</v>
      </c>
      <c r="AH42" s="772">
        <f>'Capex_FO input'!K20</f>
        <v>0</v>
      </c>
      <c r="AI42" s="772">
        <f>'Capex_FO input'!L20</f>
        <v>0</v>
      </c>
      <c r="AJ42" s="772">
        <f>'Capex_FO input'!M20</f>
        <v>0</v>
      </c>
    </row>
    <row r="43" spans="2:39">
      <c r="B43" s="787"/>
      <c r="C43" s="769" t="s">
        <v>368</v>
      </c>
      <c r="D43" s="772">
        <f>Opex_Breakdown!V35</f>
        <v>685.8611776663605</v>
      </c>
      <c r="E43" s="772">
        <f>Opex_Breakdown!W35</f>
        <v>665.782828117858</v>
      </c>
      <c r="F43" s="772">
        <f>Opex_Breakdown!X35</f>
        <v>638.78386775152717</v>
      </c>
      <c r="G43" s="772">
        <f>Opex_Breakdown!Y35</f>
        <v>596.52322021870089</v>
      </c>
      <c r="H43" s="772">
        <f>Opex_Breakdown!Z35</f>
        <v>585.9735939028717</v>
      </c>
      <c r="I43" s="772">
        <f>Opex_Breakdown!AA35</f>
        <v>569.63264090720713</v>
      </c>
      <c r="J43" s="772">
        <f>Opex_Breakdown!AB35</f>
        <v>557.40691877124016</v>
      </c>
      <c r="K43" s="772">
        <f>Opex_Breakdown!AC35</f>
        <v>552.50836712946898</v>
      </c>
      <c r="L43" s="772">
        <f>Opex_Breakdown!AD35</f>
        <v>531.55884161976178</v>
      </c>
      <c r="M43" s="772">
        <f>Opex_Breakdown!AE35</f>
        <v>510.85754919950347</v>
      </c>
      <c r="N43" s="772">
        <f>Opex_Breakdown!AF35</f>
        <v>488.58373966802463</v>
      </c>
      <c r="O43" s="772">
        <f>Opex_Breakdown!AG35</f>
        <v>464.54818817739465</v>
      </c>
      <c r="P43" s="772">
        <f>Opex_Breakdown!AH35</f>
        <v>429.38012434850913</v>
      </c>
      <c r="Q43" s="772">
        <f>Opex_Breakdown!AI35</f>
        <v>402.47349863105825</v>
      </c>
      <c r="R43" s="772">
        <f>Opex_Breakdown!AJ35</f>
        <v>374.45007434269405</v>
      </c>
      <c r="U43" s="785" t="str">
        <f>'Capex_FO input'!C21</f>
        <v>Capital Programs / Allocation</v>
      </c>
      <c r="V43" s="772"/>
      <c r="W43" s="772"/>
      <c r="X43" s="772"/>
      <c r="Y43" s="772"/>
      <c r="Z43" s="772"/>
      <c r="AA43" s="772">
        <f>'Capex_FO input'!D21</f>
        <v>1088.0885450866426</v>
      </c>
      <c r="AB43" s="772">
        <f>'Capex_FO input'!E21</f>
        <v>1153.181012713176</v>
      </c>
      <c r="AC43" s="772">
        <f>'Capex_FO input'!F21</f>
        <v>1107.2681744581066</v>
      </c>
      <c r="AD43" s="772">
        <f>'Capex_FO input'!G21</f>
        <v>1089.1796666356031</v>
      </c>
      <c r="AE43" s="772">
        <f>'Capex_FO input'!H21</f>
        <v>947.42377495484186</v>
      </c>
      <c r="AF43" s="772">
        <f>'Capex_FO input'!I21</f>
        <v>1421.9389749566835</v>
      </c>
      <c r="AG43" s="772">
        <f>'Capex_FO input'!J21</f>
        <v>1649.1714106438471</v>
      </c>
      <c r="AH43" s="772">
        <f>'Capex_FO input'!K21</f>
        <v>1514.1427376100967</v>
      </c>
      <c r="AI43" s="772">
        <f>'Capex_FO input'!L21</f>
        <v>1736.5473974853476</v>
      </c>
      <c r="AJ43" s="772">
        <f>'Capex_FO input'!M21</f>
        <v>1839.4572381966984</v>
      </c>
    </row>
    <row r="44" spans="2:39">
      <c r="C44" s="770" t="s">
        <v>369</v>
      </c>
      <c r="D44" s="788">
        <f t="shared" ref="D44:R44" si="10">SUM(D42:D43)</f>
        <v>1187.1103550823398</v>
      </c>
      <c r="E44" s="788">
        <f t="shared" si="10"/>
        <v>1166.0500559227742</v>
      </c>
      <c r="F44" s="776">
        <f t="shared" si="10"/>
        <v>1147.271118365147</v>
      </c>
      <c r="G44" s="776">
        <f t="shared" si="10"/>
        <v>1164.5764170766702</v>
      </c>
      <c r="H44" s="776">
        <f t="shared" si="10"/>
        <v>1133.8169459228716</v>
      </c>
      <c r="I44" s="776">
        <f t="shared" si="10"/>
        <v>1115.0923741007557</v>
      </c>
      <c r="J44" s="776">
        <f t="shared" si="10"/>
        <v>1108.5567692167556</v>
      </c>
      <c r="K44" s="776">
        <f t="shared" si="10"/>
        <v>1114.4618802482601</v>
      </c>
      <c r="L44" s="776">
        <f t="shared" si="10"/>
        <v>1096.8106614241656</v>
      </c>
      <c r="M44" s="776">
        <f t="shared" si="10"/>
        <v>1077.00554204323</v>
      </c>
      <c r="N44" s="776">
        <f t="shared" si="10"/>
        <v>1054.3103655840573</v>
      </c>
      <c r="O44" s="776">
        <f t="shared" si="10"/>
        <v>1029.4729717621435</v>
      </c>
      <c r="P44" s="776">
        <f t="shared" si="10"/>
        <v>993.22220616491018</v>
      </c>
      <c r="Q44" s="776">
        <f t="shared" si="10"/>
        <v>967.22468725231897</v>
      </c>
      <c r="R44" s="776">
        <f t="shared" si="10"/>
        <v>936.82823318714361</v>
      </c>
      <c r="U44" s="785" t="str">
        <f>'Capex_FO input'!C22</f>
        <v>Other Capital expenditure</v>
      </c>
      <c r="V44" s="772"/>
      <c r="W44" s="772"/>
      <c r="X44" s="772"/>
      <c r="Y44" s="772"/>
      <c r="Z44" s="772"/>
      <c r="AA44" s="772">
        <f>'Capex_FO input'!D22</f>
        <v>0</v>
      </c>
      <c r="AB44" s="772">
        <f>'Capex_FO input'!E22</f>
        <v>0</v>
      </c>
      <c r="AC44" s="772">
        <f>'Capex_FO input'!F22</f>
        <v>0</v>
      </c>
      <c r="AD44" s="772">
        <f>'Capex_FO input'!G22</f>
        <v>0</v>
      </c>
      <c r="AE44" s="772">
        <f>'Capex_FO input'!H22</f>
        <v>0</v>
      </c>
      <c r="AF44" s="772">
        <f>'Capex_FO input'!I22</f>
        <v>0</v>
      </c>
      <c r="AG44" s="772">
        <f>'Capex_FO input'!J22</f>
        <v>0</v>
      </c>
      <c r="AH44" s="772">
        <f>'Capex_FO input'!K22</f>
        <v>0</v>
      </c>
      <c r="AI44" s="772">
        <f>'Capex_FO input'!L22</f>
        <v>0</v>
      </c>
      <c r="AJ44" s="772">
        <f>'Capex_FO input'!M22</f>
        <v>0</v>
      </c>
    </row>
    <row r="45" spans="2:39">
      <c r="D45" s="789"/>
      <c r="E45" s="789"/>
      <c r="F45" s="789"/>
      <c r="G45" s="789"/>
      <c r="H45" s="789"/>
      <c r="I45" s="789"/>
      <c r="J45" s="789"/>
      <c r="K45" s="789"/>
      <c r="L45" s="789"/>
      <c r="M45" s="789"/>
      <c r="N45" s="789"/>
      <c r="U45" s="790" t="s">
        <v>479</v>
      </c>
      <c r="V45" s="776"/>
      <c r="W45" s="776"/>
      <c r="X45" s="776"/>
      <c r="Y45" s="776"/>
      <c r="Z45" s="776"/>
      <c r="AA45" s="776">
        <f t="shared" ref="AA45:AJ45" si="11">SUM(AA41:AA44)</f>
        <v>1347.2318206060902</v>
      </c>
      <c r="AB45" s="776">
        <f t="shared" si="11"/>
        <v>1457.8421464636103</v>
      </c>
      <c r="AC45" s="776">
        <f t="shared" si="11"/>
        <v>1477.4493761466344</v>
      </c>
      <c r="AD45" s="776">
        <f t="shared" si="11"/>
        <v>1510.2491274780455</v>
      </c>
      <c r="AE45" s="776">
        <f t="shared" si="11"/>
        <v>1442.1704944963883</v>
      </c>
      <c r="AF45" s="776">
        <f t="shared" si="11"/>
        <v>1646.4835191529296</v>
      </c>
      <c r="AG45" s="776">
        <f t="shared" si="11"/>
        <v>1699.0888348385026</v>
      </c>
      <c r="AH45" s="776">
        <f t="shared" si="11"/>
        <v>1514.5900879907581</v>
      </c>
      <c r="AI45" s="776">
        <f t="shared" si="11"/>
        <v>1736.5473974853476</v>
      </c>
      <c r="AJ45" s="776">
        <f t="shared" si="11"/>
        <v>1839.4572381966984</v>
      </c>
    </row>
    <row r="46" spans="2:39">
      <c r="B46" s="770" t="s">
        <v>1417</v>
      </c>
      <c r="D46" s="781" t="str">
        <f>D41</f>
        <v>2021-22</v>
      </c>
      <c r="E46" s="781" t="str">
        <f t="shared" ref="E46:R46" si="12">E41</f>
        <v>2022-23</v>
      </c>
      <c r="F46" s="781" t="str">
        <f t="shared" si="12"/>
        <v>2023-24</v>
      </c>
      <c r="G46" s="781" t="str">
        <f t="shared" si="12"/>
        <v>2024-25</v>
      </c>
      <c r="H46" s="781" t="str">
        <f t="shared" si="12"/>
        <v>2025-26</v>
      </c>
      <c r="I46" s="781" t="str">
        <f t="shared" si="12"/>
        <v>2026-27</v>
      </c>
      <c r="J46" s="781" t="str">
        <f t="shared" si="12"/>
        <v>2027-28</v>
      </c>
      <c r="K46" s="781" t="str">
        <f t="shared" si="12"/>
        <v>2028-29</v>
      </c>
      <c r="L46" s="781" t="str">
        <f t="shared" si="12"/>
        <v>2029-30</v>
      </c>
      <c r="M46" s="781" t="str">
        <f t="shared" si="12"/>
        <v>2030-31</v>
      </c>
      <c r="N46" s="781" t="str">
        <f t="shared" si="12"/>
        <v>2031-32</v>
      </c>
      <c r="O46" s="781" t="str">
        <f t="shared" si="12"/>
        <v>2032-33</v>
      </c>
      <c r="P46" s="781" t="str">
        <f t="shared" si="12"/>
        <v>2033-34</v>
      </c>
      <c r="Q46" s="781" t="str">
        <f t="shared" si="12"/>
        <v>2034-35</v>
      </c>
      <c r="R46" s="781" t="str">
        <f t="shared" si="12"/>
        <v>2035-36</v>
      </c>
    </row>
    <row r="47" spans="2:39">
      <c r="C47" s="769" t="s">
        <v>401</v>
      </c>
      <c r="D47" s="772"/>
      <c r="E47" s="772"/>
      <c r="F47" s="772"/>
      <c r="G47" s="772"/>
      <c r="H47" s="772"/>
      <c r="I47" s="772">
        <f>'Dashboard - Data'!I153</f>
        <v>7.609575041980758</v>
      </c>
      <c r="J47" s="772">
        <f>'Dashboard - Data'!J153</f>
        <v>9.7152635372422829</v>
      </c>
      <c r="K47" s="772">
        <f>'Dashboard - Data'!K153</f>
        <v>11.73667473297256</v>
      </c>
      <c r="L47" s="772">
        <f>'Dashboard - Data'!L153</f>
        <v>11.307612333448985</v>
      </c>
      <c r="M47" s="772">
        <f>'Dashboard - Data'!M153</f>
        <v>11.169129219653115</v>
      </c>
      <c r="N47" s="772">
        <f>'Dashboard - Data'!N153</f>
        <v>11.378299592550015</v>
      </c>
      <c r="O47" s="772">
        <f>'Dashboard - Data'!O153</f>
        <v>11.414136606361</v>
      </c>
      <c r="P47" s="772">
        <f>'Dashboard - Data'!P153</f>
        <v>11.494644825888731</v>
      </c>
      <c r="Q47" s="772">
        <f>'Dashboard - Data'!Q153</f>
        <v>11.340000999564415</v>
      </c>
      <c r="R47" s="772">
        <f>'Dashboard - Data'!R153</f>
        <v>11.006655104423096</v>
      </c>
      <c r="T47" s="1399"/>
      <c r="U47" s="1396"/>
      <c r="V47" s="1397"/>
      <c r="W47" s="1397"/>
      <c r="X47" s="1397"/>
      <c r="Y47" s="1397"/>
      <c r="Z47" s="1397"/>
      <c r="AA47" s="1397"/>
      <c r="AB47" s="1397"/>
      <c r="AC47" s="1397"/>
      <c r="AD47" s="1397"/>
      <c r="AE47" s="1397"/>
      <c r="AF47" s="1397"/>
      <c r="AG47" s="1397"/>
      <c r="AH47" s="1397"/>
      <c r="AI47" s="1397"/>
      <c r="AJ47" s="1397"/>
    </row>
    <row r="48" spans="2:39">
      <c r="C48" s="769" t="s">
        <v>402</v>
      </c>
      <c r="D48" s="772"/>
      <c r="E48" s="772"/>
      <c r="F48" s="772"/>
      <c r="G48" s="772"/>
      <c r="H48" s="772"/>
      <c r="I48" s="772">
        <f>'Dashboard - Data'!I154</f>
        <v>12.693801542458857</v>
      </c>
      <c r="J48" s="772">
        <f>'Dashboard - Data'!J154</f>
        <v>14.341604733410122</v>
      </c>
      <c r="K48" s="772">
        <f>'Dashboard - Data'!K154</f>
        <v>21.890149366433693</v>
      </c>
      <c r="L48" s="772">
        <f>'Dashboard - Data'!L154</f>
        <v>26.532255644945398</v>
      </c>
      <c r="M48" s="772">
        <f>'Dashboard - Data'!M154</f>
        <v>27.607694022397059</v>
      </c>
      <c r="N48" s="772">
        <f>'Dashboard - Data'!N154</f>
        <v>27.298694839334747</v>
      </c>
      <c r="O48" s="772">
        <f>'Dashboard - Data'!O154</f>
        <v>27.033097256505823</v>
      </c>
      <c r="P48" s="772">
        <f>'Dashboard - Data'!P154</f>
        <v>26.350353935862795</v>
      </c>
      <c r="Q48" s="772">
        <f>'Dashboard - Data'!Q154</f>
        <v>27.816002209328882</v>
      </c>
      <c r="R48" s="772">
        <f>'Dashboard - Data'!R154</f>
        <v>26.371183992118898</v>
      </c>
      <c r="T48" s="1396"/>
      <c r="U48" s="1403"/>
      <c r="V48" s="1400"/>
      <c r="W48" s="1400"/>
      <c r="X48" s="1400"/>
      <c r="Y48" s="1400"/>
      <c r="Z48" s="1400"/>
      <c r="AA48" s="1400"/>
      <c r="AB48" s="1400"/>
      <c r="AC48" s="1400"/>
      <c r="AD48" s="1400"/>
      <c r="AE48" s="1400"/>
      <c r="AF48" s="1400"/>
      <c r="AG48" s="1400"/>
      <c r="AH48" s="1400"/>
      <c r="AI48" s="1400"/>
      <c r="AJ48" s="1400"/>
    </row>
    <row r="49" spans="2:36">
      <c r="C49" s="769" t="s">
        <v>411</v>
      </c>
      <c r="D49" s="772"/>
      <c r="E49" s="772"/>
      <c r="F49" s="772"/>
      <c r="G49" s="772"/>
      <c r="H49" s="772"/>
      <c r="I49" s="772">
        <f>'Dashboard - Data'!I155</f>
        <v>3.3899980933661505E-2</v>
      </c>
      <c r="J49" s="772">
        <f>'Dashboard - Data'!J155</f>
        <v>6.1051833137915616E-2</v>
      </c>
      <c r="K49" s="772">
        <f>'Dashboard - Data'!K155</f>
        <v>6.9008521158827482E-2</v>
      </c>
      <c r="L49" s="772">
        <f>'Dashboard - Data'!L155</f>
        <v>3.7446658698747373E-2</v>
      </c>
      <c r="M49" s="772">
        <f>'Dashboard - Data'!M155</f>
        <v>3.4362969513279898E-2</v>
      </c>
      <c r="N49" s="772">
        <f>'Dashboard - Data'!N155</f>
        <v>3.5264766618044507E-2</v>
      </c>
      <c r="O49" s="772">
        <f>'Dashboard - Data'!O155</f>
        <v>3.5264766618044507E-2</v>
      </c>
      <c r="P49" s="772">
        <f>'Dashboard - Data'!P155</f>
        <v>3.5264766618044507E-2</v>
      </c>
      <c r="Q49" s="772">
        <f>'Dashboard - Data'!Q155</f>
        <v>3.5264766618044507E-2</v>
      </c>
      <c r="R49" s="772">
        <f>'Dashboard - Data'!R155</f>
        <v>3.5264766618044507E-2</v>
      </c>
      <c r="T49" s="1396"/>
      <c r="U49" s="1403"/>
      <c r="V49" s="1400"/>
      <c r="W49" s="1400"/>
      <c r="X49" s="1400"/>
      <c r="Y49" s="1400"/>
      <c r="Z49" s="1400"/>
      <c r="AA49" s="1400"/>
      <c r="AB49" s="1400"/>
      <c r="AC49" s="1400"/>
      <c r="AD49" s="1400"/>
      <c r="AE49" s="1400"/>
      <c r="AF49" s="1400"/>
      <c r="AG49" s="1400"/>
      <c r="AH49" s="1400"/>
      <c r="AI49" s="1400"/>
      <c r="AJ49" s="1400"/>
    </row>
    <row r="50" spans="2:36">
      <c r="C50" s="769" t="s">
        <v>1418</v>
      </c>
      <c r="D50" s="772"/>
      <c r="E50" s="772"/>
      <c r="F50" s="772"/>
      <c r="G50" s="772"/>
      <c r="H50" s="772"/>
      <c r="I50" s="772">
        <f>'Dashboard - Data'!I156</f>
        <v>7.1897173448435687</v>
      </c>
      <c r="J50" s="772">
        <f>'Dashboard - Data'!J156</f>
        <v>9.1011778509945565</v>
      </c>
      <c r="K50" s="772">
        <f>'Dashboard - Data'!K156</f>
        <v>10.328864112794539</v>
      </c>
      <c r="L50" s="772">
        <f>'Dashboard - Data'!L156</f>
        <v>9.4475006866988771</v>
      </c>
      <c r="M50" s="772">
        <f>'Dashboard - Data'!M156</f>
        <v>9.4115698601261233</v>
      </c>
      <c r="N50" s="772">
        <f>'Dashboard - Data'!N156</f>
        <v>9.5791381090685732</v>
      </c>
      <c r="O50" s="772">
        <f>'Dashboard - Data'!O156</f>
        <v>9.4965997201420596</v>
      </c>
      <c r="P50" s="772">
        <f>'Dashboard - Data'!P156</f>
        <v>9.5052120768831969</v>
      </c>
      <c r="Q50" s="772">
        <f>'Dashboard - Data'!Q156</f>
        <v>9.5919295496613302</v>
      </c>
      <c r="R50" s="772">
        <f>'Dashboard - Data'!R156</f>
        <v>9.4852155313818649</v>
      </c>
      <c r="T50" s="1396"/>
      <c r="U50" s="1404"/>
      <c r="V50" s="1400"/>
      <c r="W50" s="1400"/>
      <c r="X50" s="1400"/>
      <c r="Y50" s="1400"/>
      <c r="Z50" s="1400"/>
      <c r="AA50" s="1400"/>
      <c r="AB50" s="1400"/>
      <c r="AC50" s="1400"/>
      <c r="AD50" s="1400"/>
      <c r="AE50" s="1400"/>
      <c r="AF50" s="1400"/>
      <c r="AG50" s="1400"/>
      <c r="AH50" s="1400"/>
      <c r="AI50" s="1400"/>
      <c r="AJ50" s="1400"/>
    </row>
    <row r="51" spans="2:36">
      <c r="C51" s="769" t="s">
        <v>1419</v>
      </c>
      <c r="D51" s="772"/>
      <c r="E51" s="772"/>
      <c r="F51" s="772"/>
      <c r="G51" s="772"/>
      <c r="H51" s="772"/>
      <c r="I51" s="772">
        <f>'Dashboard - Data'!I157</f>
        <v>6.1952419834996109E-2</v>
      </c>
      <c r="J51" s="772">
        <f>'Dashboard - Data'!J157</f>
        <v>5.9965627233729932E-2</v>
      </c>
      <c r="K51" s="772">
        <f>'Dashboard - Data'!K157</f>
        <v>5.8029521934540709E-2</v>
      </c>
      <c r="L51" s="772">
        <f>'Dashboard - Data'!L157</f>
        <v>5.6217617115165805E-2</v>
      </c>
      <c r="M51" s="772">
        <f>'Dashboard - Data'!M157</f>
        <v>5.4449908539946891E-2</v>
      </c>
      <c r="N51" s="772">
        <f>'Dashboard - Data'!N157</f>
        <v>5.5660673616863089E-2</v>
      </c>
      <c r="O51" s="772">
        <f>'Dashboard - Data'!O157</f>
        <v>5.6870290239881258E-2</v>
      </c>
      <c r="P51" s="772">
        <f>'Dashboard - Data'!P157</f>
        <v>5.8078759498350556E-2</v>
      </c>
      <c r="Q51" s="772">
        <f>'Dashboard - Data'!Q157</f>
        <v>5.9286082480587532E-2</v>
      </c>
      <c r="R51" s="772">
        <f>'Dashboard - Data'!R157</f>
        <v>6.04922602738759E-2</v>
      </c>
      <c r="T51" s="1396"/>
      <c r="U51" s="1403"/>
      <c r="V51" s="1400"/>
      <c r="W51" s="1400"/>
      <c r="X51" s="1400"/>
      <c r="Y51" s="1400"/>
      <c r="Z51" s="1400"/>
      <c r="AA51" s="1400"/>
      <c r="AB51" s="1400"/>
      <c r="AC51" s="1400"/>
      <c r="AD51" s="1400"/>
      <c r="AE51" s="1400"/>
      <c r="AF51" s="1400"/>
      <c r="AG51" s="1400"/>
      <c r="AH51" s="1400"/>
      <c r="AI51" s="1400"/>
      <c r="AJ51" s="1400"/>
    </row>
    <row r="52" spans="2:36">
      <c r="C52" s="770" t="s">
        <v>1420</v>
      </c>
      <c r="D52" s="776"/>
      <c r="E52" s="776"/>
      <c r="F52" s="776"/>
      <c r="G52" s="776"/>
      <c r="H52" s="776"/>
      <c r="I52" s="776">
        <f t="shared" ref="I52:R52" si="13">SUM(I47:I51)</f>
        <v>27.58894633005184</v>
      </c>
      <c r="J52" s="776">
        <f t="shared" si="13"/>
        <v>33.279063582018608</v>
      </c>
      <c r="K52" s="776">
        <f t="shared" si="13"/>
        <v>44.082726255294162</v>
      </c>
      <c r="L52" s="776">
        <f t="shared" si="13"/>
        <v>47.381032940907176</v>
      </c>
      <c r="M52" s="776">
        <f t="shared" si="13"/>
        <v>48.277205980229517</v>
      </c>
      <c r="N52" s="776">
        <f t="shared" si="13"/>
        <v>48.347057981188243</v>
      </c>
      <c r="O52" s="776">
        <f t="shared" si="13"/>
        <v>48.035968639866802</v>
      </c>
      <c r="P52" s="776">
        <f t="shared" si="13"/>
        <v>47.443554364751115</v>
      </c>
      <c r="Q52" s="776">
        <f t="shared" si="13"/>
        <v>48.842483607653257</v>
      </c>
      <c r="R52" s="776">
        <f t="shared" si="13"/>
        <v>46.958811654815776</v>
      </c>
      <c r="T52" s="1396"/>
      <c r="U52" s="1405"/>
      <c r="V52" s="1402"/>
      <c r="W52" s="1402"/>
      <c r="X52" s="1402"/>
      <c r="Y52" s="1402"/>
      <c r="Z52" s="1402"/>
      <c r="AA52" s="1402"/>
      <c r="AB52" s="1402"/>
      <c r="AC52" s="1402"/>
      <c r="AD52" s="1402"/>
      <c r="AE52" s="1402"/>
      <c r="AF52" s="1402"/>
      <c r="AG52" s="1402"/>
      <c r="AH52" s="1402"/>
      <c r="AI52" s="1402"/>
      <c r="AJ52" s="1402"/>
    </row>
    <row r="53" spans="2:36">
      <c r="D53" s="789"/>
      <c r="E53" s="789"/>
      <c r="F53" s="789"/>
      <c r="G53" s="789"/>
      <c r="H53" s="789"/>
      <c r="I53" s="789"/>
      <c r="J53" s="789"/>
      <c r="K53" s="789"/>
      <c r="L53" s="789"/>
      <c r="M53" s="789"/>
      <c r="N53" s="789"/>
      <c r="T53" s="1396"/>
      <c r="U53" s="1396"/>
      <c r="V53" s="1396"/>
      <c r="W53" s="1396"/>
      <c r="X53" s="1396"/>
      <c r="Y53" s="1396"/>
      <c r="Z53" s="1396"/>
      <c r="AA53" s="1396"/>
      <c r="AB53" s="1396"/>
      <c r="AC53" s="1396"/>
      <c r="AD53" s="1396"/>
      <c r="AE53" s="1396"/>
      <c r="AF53" s="1396"/>
      <c r="AG53" s="1396"/>
      <c r="AH53" s="1396"/>
      <c r="AI53" s="1396"/>
      <c r="AJ53" s="1396"/>
    </row>
    <row r="54" spans="2:36">
      <c r="B54" s="770" t="s">
        <v>1421</v>
      </c>
      <c r="D54" s="781" t="str">
        <f>D46</f>
        <v>2021-22</v>
      </c>
      <c r="E54" s="781" t="str">
        <f t="shared" ref="E54:R54" si="14">E46</f>
        <v>2022-23</v>
      </c>
      <c r="F54" s="781" t="str">
        <f t="shared" si="14"/>
        <v>2023-24</v>
      </c>
      <c r="G54" s="781" t="str">
        <f t="shared" si="14"/>
        <v>2024-25</v>
      </c>
      <c r="H54" s="781" t="str">
        <f t="shared" si="14"/>
        <v>2025-26</v>
      </c>
      <c r="I54" s="781" t="str">
        <f t="shared" si="14"/>
        <v>2026-27</v>
      </c>
      <c r="J54" s="781" t="str">
        <f t="shared" si="14"/>
        <v>2027-28</v>
      </c>
      <c r="K54" s="781" t="str">
        <f t="shared" si="14"/>
        <v>2028-29</v>
      </c>
      <c r="L54" s="781" t="str">
        <f t="shared" si="14"/>
        <v>2029-30</v>
      </c>
      <c r="M54" s="781" t="str">
        <f t="shared" si="14"/>
        <v>2030-31</v>
      </c>
      <c r="N54" s="781" t="str">
        <f t="shared" si="14"/>
        <v>2031-32</v>
      </c>
      <c r="O54" s="781" t="str">
        <f t="shared" si="14"/>
        <v>2032-33</v>
      </c>
      <c r="P54" s="781" t="str">
        <f t="shared" si="14"/>
        <v>2033-34</v>
      </c>
      <c r="Q54" s="781" t="str">
        <f t="shared" si="14"/>
        <v>2034-35</v>
      </c>
      <c r="R54" s="781" t="str">
        <f t="shared" si="14"/>
        <v>2035-36</v>
      </c>
      <c r="T54" s="1399"/>
      <c r="U54" s="1396"/>
      <c r="V54" s="1397"/>
      <c r="W54" s="1397"/>
      <c r="X54" s="1397"/>
      <c r="Y54" s="1397"/>
      <c r="Z54" s="1397"/>
      <c r="AA54" s="1397"/>
      <c r="AB54" s="1397"/>
      <c r="AC54" s="1397"/>
      <c r="AD54" s="1397"/>
      <c r="AE54" s="1397"/>
      <c r="AF54" s="1397"/>
      <c r="AG54" s="1397"/>
      <c r="AH54" s="1397"/>
      <c r="AI54" s="1397"/>
      <c r="AJ54" s="1397"/>
    </row>
    <row r="55" spans="2:36">
      <c r="D55" s="772"/>
      <c r="E55" s="772"/>
      <c r="F55" s="772"/>
      <c r="G55" s="772"/>
      <c r="H55" s="772"/>
      <c r="I55" s="772"/>
      <c r="J55" s="772"/>
      <c r="K55" s="772"/>
      <c r="L55" s="772"/>
      <c r="M55" s="772"/>
      <c r="N55" s="772"/>
      <c r="O55" s="772"/>
      <c r="P55" s="772"/>
      <c r="Q55" s="772"/>
      <c r="R55" s="772"/>
      <c r="T55" s="1396"/>
      <c r="U55" s="1403"/>
      <c r="V55" s="1400"/>
      <c r="W55" s="1400"/>
      <c r="X55" s="1400"/>
      <c r="Y55" s="1400"/>
      <c r="Z55" s="1400"/>
      <c r="AA55" s="1400"/>
      <c r="AB55" s="1400"/>
      <c r="AC55" s="1400"/>
      <c r="AD55" s="1400"/>
      <c r="AE55" s="1400"/>
      <c r="AF55" s="1400"/>
      <c r="AG55" s="1400"/>
      <c r="AH55" s="1400"/>
      <c r="AI55" s="1400"/>
      <c r="AJ55" s="1400"/>
    </row>
    <row r="56" spans="2:36">
      <c r="D56" s="772"/>
      <c r="E56" s="772"/>
      <c r="F56" s="772"/>
      <c r="G56" s="772"/>
      <c r="H56" s="772"/>
      <c r="I56" s="772"/>
      <c r="J56" s="772"/>
      <c r="K56" s="772"/>
      <c r="L56" s="772"/>
      <c r="M56" s="772"/>
      <c r="N56" s="772"/>
      <c r="O56" s="772"/>
      <c r="P56" s="772"/>
      <c r="Q56" s="772"/>
      <c r="R56" s="772"/>
      <c r="T56" s="1396"/>
      <c r="U56" s="1403"/>
      <c r="V56" s="1400"/>
      <c r="W56" s="1400"/>
      <c r="X56" s="1400"/>
      <c r="Y56" s="1400"/>
      <c r="Z56" s="1400"/>
      <c r="AA56" s="1400"/>
      <c r="AB56" s="1400"/>
      <c r="AC56" s="1400"/>
      <c r="AD56" s="1400"/>
      <c r="AE56" s="1400"/>
      <c r="AF56" s="1400"/>
      <c r="AG56" s="1400"/>
      <c r="AH56" s="1400"/>
      <c r="AI56" s="1400"/>
      <c r="AJ56" s="1400"/>
    </row>
    <row r="57" spans="2:36">
      <c r="C57" s="769" t="s">
        <v>1422</v>
      </c>
      <c r="D57" s="772"/>
      <c r="E57" s="772"/>
      <c r="F57" s="772"/>
      <c r="G57" s="772">
        <f>'Dashboard - Data'!G164</f>
        <v>2.8978902757641918</v>
      </c>
      <c r="H57" s="772">
        <f>'Dashboard - Data'!H164</f>
        <v>2.8978902757641918</v>
      </c>
      <c r="I57" s="772">
        <f>'Dashboard - Data'!I164</f>
        <v>2.8978902757641918</v>
      </c>
      <c r="J57" s="772">
        <f>'Dashboard - Data'!J164</f>
        <v>2.8978902757641918</v>
      </c>
      <c r="K57" s="772">
        <f>'Dashboard - Data'!K164</f>
        <v>2.8978902757641918</v>
      </c>
      <c r="L57" s="772">
        <f>'Dashboard - Data'!L164</f>
        <v>2.8978902757641918</v>
      </c>
      <c r="M57" s="772">
        <f>'Dashboard - Data'!M164</f>
        <v>2.8978902757641918</v>
      </c>
      <c r="N57" s="772">
        <f>'Dashboard - Data'!N164</f>
        <v>2.8978902757641918</v>
      </c>
      <c r="O57" s="772">
        <f>'Dashboard - Data'!O164</f>
        <v>2.8978902757641918</v>
      </c>
      <c r="P57" s="772">
        <f>'Dashboard - Data'!P164</f>
        <v>2.8978902757641918</v>
      </c>
      <c r="Q57" s="772">
        <f>'Dashboard - Data'!Q164</f>
        <v>2.8978902757641918</v>
      </c>
      <c r="R57" s="772">
        <f>'Dashboard - Data'!R164</f>
        <v>2.8978902757641918</v>
      </c>
      <c r="T57" s="1396"/>
      <c r="U57" s="1404"/>
      <c r="V57" s="1400"/>
      <c r="W57" s="1400"/>
      <c r="X57" s="1400"/>
      <c r="Y57" s="1400"/>
      <c r="Z57" s="1400"/>
      <c r="AA57" s="1400"/>
      <c r="AB57" s="1400"/>
      <c r="AC57" s="1400"/>
      <c r="AD57" s="1400"/>
      <c r="AE57" s="1400"/>
      <c r="AF57" s="1400"/>
      <c r="AG57" s="1400"/>
      <c r="AH57" s="1400"/>
      <c r="AI57" s="1400"/>
      <c r="AJ57" s="1400"/>
    </row>
    <row r="58" spans="2:36">
      <c r="C58" s="769" t="s">
        <v>1423</v>
      </c>
      <c r="D58" s="772"/>
      <c r="E58" s="772"/>
      <c r="F58" s="772"/>
      <c r="G58" s="772">
        <f>'Dashboard - Data'!G165</f>
        <v>3.665495499803495E-2</v>
      </c>
      <c r="H58" s="772">
        <f>'Dashboard - Data'!H165</f>
        <v>3.5795243900000016E-2</v>
      </c>
      <c r="I58" s="772">
        <f>'Dashboard - Data'!I165</f>
        <v>3.4786437220602547E-2</v>
      </c>
      <c r="J58" s="772">
        <f>'Dashboard - Data'!J165</f>
        <v>3.3806061438875171E-2</v>
      </c>
      <c r="K58" s="772">
        <f>'Dashboard - Data'!K165</f>
        <v>3.2853315295311152E-2</v>
      </c>
      <c r="L58" s="772">
        <f>'Dashboard - Data'!L165</f>
        <v>3.1927420112061372E-2</v>
      </c>
      <c r="M58" s="772">
        <f>'Dashboard - Data'!M165</f>
        <v>3.1027619156522229E-2</v>
      </c>
      <c r="N58" s="772">
        <f>'Dashboard - Data'!N165</f>
        <v>3.0153177022859311E-2</v>
      </c>
      <c r="O58" s="772">
        <f>'Dashboard - Data'!O165</f>
        <v>2.9303379030961432E-2</v>
      </c>
      <c r="P58" s="772">
        <f>'Dashboard - Data'!P165</f>
        <v>2.8477530642333757E-2</v>
      </c>
      <c r="Q58" s="772">
        <f>'Dashboard - Data'!Q165</f>
        <v>2.7674956892452633E-2</v>
      </c>
      <c r="R58" s="772">
        <f>'Dashboard - Data'!R165</f>
        <v>2.6895001839118207E-2</v>
      </c>
      <c r="T58" s="1396"/>
      <c r="U58" s="1403"/>
      <c r="V58" s="1400"/>
      <c r="W58" s="1400"/>
      <c r="X58" s="1400"/>
      <c r="Y58" s="1400"/>
      <c r="Z58" s="1400"/>
      <c r="AA58" s="1400"/>
      <c r="AB58" s="1400"/>
      <c r="AC58" s="1400"/>
      <c r="AD58" s="1400"/>
      <c r="AE58" s="1400"/>
      <c r="AF58" s="1400"/>
      <c r="AG58" s="1400"/>
      <c r="AH58" s="1400"/>
      <c r="AI58" s="1400"/>
      <c r="AJ58" s="1400"/>
    </row>
    <row r="59" spans="2:36">
      <c r="C59" s="769" t="s">
        <v>440</v>
      </c>
      <c r="D59" s="772"/>
      <c r="E59" s="772"/>
      <c r="F59" s="772"/>
      <c r="G59" s="772">
        <f>'Dashboard - Data'!G167</f>
        <v>46.284554643604579</v>
      </c>
      <c r="H59" s="772">
        <f>'Dashboard - Data'!H167</f>
        <v>52.760150598720088</v>
      </c>
      <c r="I59" s="772">
        <f>'Dashboard - Data'!I167</f>
        <v>47.043857033064519</v>
      </c>
      <c r="J59" s="772">
        <f>'Dashboard - Data'!J167</f>
        <v>47.241439292764042</v>
      </c>
      <c r="K59" s="772">
        <f>'Dashboard - Data'!K167</f>
        <v>47.440273774173868</v>
      </c>
      <c r="L59" s="772">
        <f>'Dashboard - Data'!L167</f>
        <v>47.640358457637717</v>
      </c>
      <c r="M59" s="772">
        <f>'Dashboard - Data'!M167</f>
        <v>47.632351912201202</v>
      </c>
      <c r="N59" s="772">
        <f>'Dashboard - Data'!N167</f>
        <v>47.624571012846005</v>
      </c>
      <c r="O59" s="772">
        <f>'Dashboard - Data'!O167</f>
        <v>47.61700940025591</v>
      </c>
      <c r="P59" s="772">
        <f>'Dashboard - Data'!P167</f>
        <v>47.609660894337438</v>
      </c>
      <c r="Q59" s="772">
        <f>'Dashboard - Data'!Q167</f>
        <v>47.60251948916887</v>
      </c>
      <c r="R59" s="772">
        <f>'Dashboard - Data'!R167</f>
        <v>47.595579348091547</v>
      </c>
      <c r="T59" s="1396"/>
      <c r="U59" s="1405"/>
      <c r="V59" s="1402"/>
      <c r="W59" s="1402"/>
      <c r="X59" s="1402"/>
      <c r="Y59" s="1402"/>
      <c r="Z59" s="1402"/>
      <c r="AA59" s="1402"/>
      <c r="AB59" s="1402"/>
      <c r="AC59" s="1402"/>
      <c r="AD59" s="1402"/>
      <c r="AE59" s="1402"/>
      <c r="AF59" s="1402"/>
      <c r="AG59" s="1402"/>
      <c r="AH59" s="1402"/>
      <c r="AI59" s="1402"/>
      <c r="AJ59" s="1402"/>
    </row>
    <row r="60" spans="2:36">
      <c r="C60" s="770" t="s">
        <v>354</v>
      </c>
      <c r="D60" s="776"/>
      <c r="E60" s="776"/>
      <c r="F60" s="776"/>
      <c r="G60" s="776">
        <f t="shared" ref="G60:R60" si="15">SUM(G55:G59)</f>
        <v>49.219099874366805</v>
      </c>
      <c r="H60" s="776">
        <f t="shared" si="15"/>
        <v>55.693836118384283</v>
      </c>
      <c r="I60" s="776">
        <f t="shared" si="15"/>
        <v>49.976533746049313</v>
      </c>
      <c r="J60" s="776">
        <f t="shared" si="15"/>
        <v>50.173135629967106</v>
      </c>
      <c r="K60" s="776">
        <f t="shared" si="15"/>
        <v>50.371017365233371</v>
      </c>
      <c r="L60" s="776">
        <f t="shared" si="15"/>
        <v>50.57017615351397</v>
      </c>
      <c r="M60" s="776">
        <f t="shared" si="15"/>
        <v>50.561269807121917</v>
      </c>
      <c r="N60" s="776">
        <f t="shared" si="15"/>
        <v>50.552614465633056</v>
      </c>
      <c r="O60" s="776">
        <f t="shared" si="15"/>
        <v>50.544203055051064</v>
      </c>
      <c r="P60" s="776">
        <f t="shared" si="15"/>
        <v>50.536028700743962</v>
      </c>
      <c r="Q60" s="776">
        <f t="shared" si="15"/>
        <v>50.528084721825515</v>
      </c>
      <c r="R60" s="776">
        <f t="shared" si="15"/>
        <v>50.52036462569486</v>
      </c>
      <c r="T60" s="1396"/>
      <c r="U60" s="1396"/>
      <c r="V60" s="1396"/>
      <c r="W60" s="1396"/>
      <c r="X60" s="1396"/>
      <c r="Y60" s="1396"/>
      <c r="Z60" s="1396"/>
      <c r="AA60" s="1396"/>
      <c r="AB60" s="1396"/>
      <c r="AC60" s="1396"/>
      <c r="AD60" s="1396"/>
      <c r="AE60" s="1396"/>
      <c r="AF60" s="1396"/>
      <c r="AG60" s="1396"/>
      <c r="AH60" s="1396"/>
      <c r="AI60" s="1396"/>
      <c r="AJ60" s="1396"/>
    </row>
    <row r="61" spans="2:36">
      <c r="D61" s="789"/>
      <c r="E61" s="789"/>
      <c r="F61" s="789"/>
      <c r="G61" s="789"/>
      <c r="H61" s="789"/>
      <c r="I61" s="789"/>
      <c r="J61" s="789"/>
      <c r="K61" s="789"/>
      <c r="L61" s="789"/>
      <c r="M61" s="789"/>
      <c r="N61" s="789"/>
      <c r="T61" s="1399"/>
      <c r="U61" s="1396"/>
      <c r="V61" s="1397"/>
      <c r="W61" s="1397"/>
      <c r="X61" s="1397"/>
      <c r="Y61" s="1397"/>
      <c r="Z61" s="1397"/>
      <c r="AA61" s="1397"/>
      <c r="AB61" s="1397"/>
      <c r="AC61" s="1397"/>
      <c r="AD61" s="1397"/>
      <c r="AE61" s="1397"/>
      <c r="AF61" s="1397"/>
      <c r="AG61" s="1397"/>
      <c r="AH61" s="1397"/>
      <c r="AI61" s="1397"/>
      <c r="AJ61" s="1397"/>
    </row>
    <row r="62" spans="2:36">
      <c r="B62" s="770" t="s">
        <v>1424</v>
      </c>
      <c r="D62" s="771" t="str">
        <f>D54</f>
        <v>2021-22</v>
      </c>
      <c r="E62" s="771" t="str">
        <f t="shared" ref="E62:R62" si="16">E54</f>
        <v>2022-23</v>
      </c>
      <c r="F62" s="771" t="str">
        <f t="shared" si="16"/>
        <v>2023-24</v>
      </c>
      <c r="G62" s="771" t="str">
        <f t="shared" si="16"/>
        <v>2024-25</v>
      </c>
      <c r="H62" s="771" t="str">
        <f t="shared" si="16"/>
        <v>2025-26</v>
      </c>
      <c r="I62" s="771" t="str">
        <f t="shared" si="16"/>
        <v>2026-27</v>
      </c>
      <c r="J62" s="771" t="str">
        <f t="shared" si="16"/>
        <v>2027-28</v>
      </c>
      <c r="K62" s="771" t="str">
        <f t="shared" si="16"/>
        <v>2028-29</v>
      </c>
      <c r="L62" s="771" t="str">
        <f t="shared" si="16"/>
        <v>2029-30</v>
      </c>
      <c r="M62" s="771" t="str">
        <f t="shared" si="16"/>
        <v>2030-31</v>
      </c>
      <c r="N62" s="771" t="str">
        <f t="shared" si="16"/>
        <v>2031-32</v>
      </c>
      <c r="O62" s="771" t="str">
        <f t="shared" si="16"/>
        <v>2032-33</v>
      </c>
      <c r="P62" s="771" t="str">
        <f t="shared" si="16"/>
        <v>2033-34</v>
      </c>
      <c r="Q62" s="771" t="str">
        <f t="shared" si="16"/>
        <v>2034-35</v>
      </c>
      <c r="R62" s="771" t="str">
        <f t="shared" si="16"/>
        <v>2035-36</v>
      </c>
      <c r="T62" s="1396"/>
      <c r="U62" s="1396"/>
      <c r="V62" s="1400"/>
      <c r="W62" s="1400"/>
      <c r="X62" s="1400"/>
      <c r="Y62" s="1400"/>
      <c r="Z62" s="1400"/>
      <c r="AA62" s="1400"/>
      <c r="AB62" s="1400"/>
      <c r="AC62" s="1400"/>
      <c r="AD62" s="1400"/>
      <c r="AE62" s="1400"/>
      <c r="AF62" s="1400"/>
      <c r="AG62" s="1400"/>
      <c r="AH62" s="1400"/>
      <c r="AI62" s="1400"/>
      <c r="AJ62" s="1400"/>
    </row>
    <row r="63" spans="2:36">
      <c r="C63" s="769" t="str">
        <f>Opex_Breakdown!D52</f>
        <v>Operations &amp; Maintenance</v>
      </c>
      <c r="D63" s="772">
        <f>Opex_Breakdown!V52</f>
        <v>79.574254677642315</v>
      </c>
      <c r="E63" s="772">
        <f>Opex_Breakdown!W52</f>
        <v>78.110333248721261</v>
      </c>
      <c r="F63" s="772">
        <f>Opex_Breakdown!X52</f>
        <v>80.321029257452864</v>
      </c>
      <c r="G63" s="772">
        <f>Opex_Breakdown!Y52</f>
        <v>97.982745893113844</v>
      </c>
      <c r="H63" s="772">
        <f>Opex_Breakdown!Z52</f>
        <v>96.9947640565141</v>
      </c>
      <c r="I63" s="772">
        <f>Opex_Breakdown!AA52</f>
        <v>99.17280593799714</v>
      </c>
      <c r="J63" s="772">
        <f>Opex_Breakdown!AB52</f>
        <v>99.522671927895345</v>
      </c>
      <c r="K63" s="772">
        <f>Opex_Breakdown!AC52</f>
        <v>100.97091882585207</v>
      </c>
      <c r="L63" s="772">
        <f>Opex_Breakdown!AD52</f>
        <v>102.40054168983019</v>
      </c>
      <c r="M63" s="772">
        <f>Opex_Breakdown!AE52</f>
        <v>102.45522515364785</v>
      </c>
      <c r="N63" s="772">
        <f>Opex_Breakdown!AF52</f>
        <v>102.52024194312881</v>
      </c>
      <c r="O63" s="772">
        <f>Opex_Breakdown!AG52</f>
        <v>102.46762199306249</v>
      </c>
      <c r="P63" s="772">
        <f>Opex_Breakdown!AH52</f>
        <v>102.45974760593474</v>
      </c>
      <c r="Q63" s="772">
        <f>Opex_Breakdown!AI52</f>
        <v>102.21679572871689</v>
      </c>
      <c r="R63" s="772">
        <f>Opex_Breakdown!AJ52</f>
        <v>101.79521652921262</v>
      </c>
      <c r="T63" s="1396"/>
      <c r="U63" s="1396"/>
      <c r="V63" s="1400"/>
      <c r="W63" s="1400"/>
      <c r="X63" s="1400"/>
      <c r="Y63" s="1400"/>
      <c r="Z63" s="1400"/>
      <c r="AA63" s="1400"/>
      <c r="AB63" s="1400"/>
      <c r="AC63" s="1400"/>
      <c r="AD63" s="1400"/>
      <c r="AE63" s="1400"/>
      <c r="AF63" s="1400"/>
      <c r="AG63" s="1400"/>
      <c r="AH63" s="1400"/>
      <c r="AI63" s="1400"/>
      <c r="AJ63" s="1400"/>
    </row>
    <row r="64" spans="2:36">
      <c r="C64" s="769" t="str">
        <f>Opex_Breakdown!D53</f>
        <v>Desalination Payments (W&amp;S)</v>
      </c>
      <c r="D64" s="772">
        <f>Opex_Breakdown!V53</f>
        <v>637.96739843424859</v>
      </c>
      <c r="E64" s="772">
        <f>Opex_Breakdown!W53</f>
        <v>614.70472301684106</v>
      </c>
      <c r="F64" s="772">
        <f>Opex_Breakdown!X53</f>
        <v>577.90251660274885</v>
      </c>
      <c r="G64" s="772">
        <f>Opex_Breakdown!Y53</f>
        <v>547.30412034433414</v>
      </c>
      <c r="H64" s="772">
        <f>Opex_Breakdown!Z53</f>
        <v>530.2797577844874</v>
      </c>
      <c r="I64" s="772">
        <f>Opex_Breakdown!AA53</f>
        <v>519.65610716115782</v>
      </c>
      <c r="J64" s="772">
        <f>Opex_Breakdown!AB53</f>
        <v>507.23378314127302</v>
      </c>
      <c r="K64" s="772">
        <f>Opex_Breakdown!AC53</f>
        <v>502.13734976423558</v>
      </c>
      <c r="L64" s="772">
        <f>Opex_Breakdown!AD53</f>
        <v>480.98866546624782</v>
      </c>
      <c r="M64" s="772">
        <f>Opex_Breakdown!AE53</f>
        <v>460.29627939238156</v>
      </c>
      <c r="N64" s="772">
        <f>Opex_Breakdown!AF53</f>
        <v>438.03112520239159</v>
      </c>
      <c r="O64" s="772">
        <f>Opex_Breakdown!AG53</f>
        <v>414.00398512234364</v>
      </c>
      <c r="P64" s="772">
        <f>Opex_Breakdown!AH53</f>
        <v>378.84409564776519</v>
      </c>
      <c r="Q64" s="772">
        <f>Opex_Breakdown!AI53</f>
        <v>351.94541390923274</v>
      </c>
      <c r="R64" s="772">
        <f>Opex_Breakdown!AJ53</f>
        <v>323.92970971699924</v>
      </c>
      <c r="T64" s="1396"/>
      <c r="U64" s="1396"/>
      <c r="V64" s="1400"/>
      <c r="W64" s="1400"/>
      <c r="X64" s="1400"/>
      <c r="Y64" s="1400"/>
      <c r="Z64" s="1400"/>
      <c r="AA64" s="1400"/>
      <c r="AB64" s="1400"/>
      <c r="AC64" s="1400"/>
      <c r="AD64" s="1400"/>
      <c r="AE64" s="1400"/>
      <c r="AF64" s="1400"/>
      <c r="AG64" s="1400"/>
      <c r="AH64" s="1400"/>
      <c r="AI64" s="1400"/>
      <c r="AJ64" s="1400"/>
    </row>
    <row r="65" spans="2:36">
      <c r="C65" s="769" t="str">
        <f>Opex_Breakdown!D54</f>
        <v>Licence fees</v>
      </c>
      <c r="D65" s="772">
        <f>Opex_Breakdown!V54</f>
        <v>0.79824940938182598</v>
      </c>
      <c r="E65" s="772">
        <f>Opex_Breakdown!W54</f>
        <v>0.67207406650050749</v>
      </c>
      <c r="F65" s="772">
        <f>Opex_Breakdown!X54</f>
        <v>0.67723870267739383</v>
      </c>
      <c r="G65" s="772">
        <f>Opex_Breakdown!Y54</f>
        <v>0.67086948527205137</v>
      </c>
      <c r="H65" s="772">
        <f>Opex_Breakdown!Z54</f>
        <v>0.67086948527205137</v>
      </c>
      <c r="I65" s="772">
        <f>Opex_Breakdown!AA54</f>
        <v>0.67086948527205137</v>
      </c>
      <c r="J65" s="772">
        <f>Opex_Breakdown!AB54</f>
        <v>0.67086948527205137</v>
      </c>
      <c r="K65" s="772">
        <f>Opex_Breakdown!AC54</f>
        <v>0.67086948527205137</v>
      </c>
      <c r="L65" s="772">
        <f>Opex_Breakdown!AD54</f>
        <v>0.67086948527205137</v>
      </c>
      <c r="M65" s="772">
        <f>Opex_Breakdown!AE54</f>
        <v>0.67086948527205137</v>
      </c>
      <c r="N65" s="772">
        <f>Opex_Breakdown!AF54</f>
        <v>0.67086948527205137</v>
      </c>
      <c r="O65" s="772">
        <f>Opex_Breakdown!AG54</f>
        <v>0.67086948527205137</v>
      </c>
      <c r="P65" s="772">
        <f>Opex_Breakdown!AH54</f>
        <v>0.67086948527205137</v>
      </c>
      <c r="Q65" s="772">
        <f>Opex_Breakdown!AI54</f>
        <v>0.67086948527205137</v>
      </c>
      <c r="R65" s="772">
        <f>Opex_Breakdown!AJ54</f>
        <v>0.67086948527205137</v>
      </c>
      <c r="T65" s="1396"/>
      <c r="U65" s="1399"/>
      <c r="V65" s="1402"/>
      <c r="W65" s="1402"/>
      <c r="X65" s="1402"/>
      <c r="Y65" s="1402"/>
      <c r="Z65" s="1402"/>
      <c r="AA65" s="1402"/>
      <c r="AB65" s="1402"/>
      <c r="AC65" s="1402"/>
      <c r="AD65" s="1402"/>
      <c r="AE65" s="1402"/>
      <c r="AF65" s="1402"/>
      <c r="AG65" s="1402"/>
      <c r="AH65" s="1402"/>
      <c r="AI65" s="1402"/>
      <c r="AJ65" s="1402"/>
    </row>
    <row r="66" spans="2:36">
      <c r="C66" s="769" t="str">
        <f>Opex_Breakdown!D55</f>
        <v>Corporate</v>
      </c>
      <c r="D66" s="772">
        <f>Opex_Breakdown!V55</f>
        <v>47.331311602293283</v>
      </c>
      <c r="E66" s="772">
        <f>Opex_Breakdown!W55</f>
        <v>51.910898501789191</v>
      </c>
      <c r="F66" s="772">
        <f>Opex_Breakdown!X55</f>
        <v>55.237897383493582</v>
      </c>
      <c r="G66" s="772">
        <f>Opex_Breakdown!Y55</f>
        <v>62.062690261667868</v>
      </c>
      <c r="H66" s="772">
        <f>Opex_Breakdown!Z55</f>
        <v>56.806837367511889</v>
      </c>
      <c r="I66" s="772">
        <f>Opex_Breakdown!AA55</f>
        <v>53.598095514152696</v>
      </c>
      <c r="J66" s="772">
        <f>Opex_Breakdown!AB55</f>
        <v>55.353918019516009</v>
      </c>
      <c r="K66" s="772">
        <f>Opex_Breakdown!AC55</f>
        <v>55.927082317289567</v>
      </c>
      <c r="L66" s="772">
        <f>Opex_Breakdown!AD55</f>
        <v>54.068397053787862</v>
      </c>
      <c r="M66" s="772">
        <f>Opex_Breakdown!AE55</f>
        <v>53.875230476174352</v>
      </c>
      <c r="N66" s="772">
        <f>Opex_Breakdown!AF55</f>
        <v>53.881693359420069</v>
      </c>
      <c r="O66" s="772">
        <f>Opex_Breakdown!AG55</f>
        <v>53.832590227671666</v>
      </c>
      <c r="P66" s="772">
        <f>Opex_Breakdown!AH55</f>
        <v>53.783543219362841</v>
      </c>
      <c r="Q66" s="772">
        <f>Opex_Breakdown!AI55</f>
        <v>53.734552012187926</v>
      </c>
      <c r="R66" s="772">
        <f>Opex_Breakdown!AJ55</f>
        <v>53.685616291730121</v>
      </c>
    </row>
    <row r="67" spans="2:36" ht="15.75">
      <c r="C67" s="769" t="str">
        <f>Opex_Breakdown!D56</f>
        <v>Other operating expenditure</v>
      </c>
      <c r="D67" s="794">
        <f>Opex_Breakdown!V56</f>
        <v>0</v>
      </c>
      <c r="E67" s="794">
        <f>Opex_Breakdown!W56</f>
        <v>0</v>
      </c>
      <c r="F67" s="794">
        <f>Opex_Breakdown!X56</f>
        <v>0</v>
      </c>
      <c r="G67" s="794">
        <f>Opex_Breakdown!Y56</f>
        <v>0</v>
      </c>
      <c r="H67" s="794">
        <f>Opex_Breakdown!Z56</f>
        <v>0</v>
      </c>
      <c r="I67" s="794">
        <f>Opex_Breakdown!AA56</f>
        <v>0</v>
      </c>
      <c r="J67" s="794">
        <f>Opex_Breakdown!AB56</f>
        <v>0</v>
      </c>
      <c r="K67" s="794">
        <f>Opex_Breakdown!AC56</f>
        <v>0</v>
      </c>
      <c r="L67" s="794">
        <f>Opex_Breakdown!AD56</f>
        <v>0</v>
      </c>
      <c r="M67" s="794">
        <f>Opex_Breakdown!AE56</f>
        <v>0</v>
      </c>
      <c r="N67" s="794">
        <f>Opex_Breakdown!AF56</f>
        <v>0</v>
      </c>
      <c r="O67" s="794">
        <f>Opex_Breakdown!AG56</f>
        <v>0</v>
      </c>
      <c r="P67" s="794">
        <f>Opex_Breakdown!AH56</f>
        <v>0</v>
      </c>
      <c r="Q67" s="794">
        <f>Opex_Breakdown!AI56</f>
        <v>0</v>
      </c>
      <c r="R67" s="794">
        <f>Opex_Breakdown!AJ56</f>
        <v>0</v>
      </c>
      <c r="T67" s="768" t="s">
        <v>1425</v>
      </c>
    </row>
    <row r="68" spans="2:36">
      <c r="D68" s="772"/>
      <c r="E68" s="772"/>
      <c r="F68" s="772"/>
      <c r="G68" s="772"/>
      <c r="H68" s="772"/>
      <c r="I68" s="772"/>
      <c r="J68" s="772"/>
      <c r="K68" s="772"/>
      <c r="L68" s="772"/>
      <c r="M68" s="772"/>
      <c r="N68" s="772"/>
      <c r="O68" s="772"/>
      <c r="P68" s="772"/>
      <c r="Q68" s="772"/>
      <c r="R68" s="772"/>
      <c r="U68" s="791"/>
      <c r="V68" s="792"/>
      <c r="W68" s="770"/>
    </row>
    <row r="69" spans="2:36">
      <c r="C69" s="770" t="s">
        <v>1426</v>
      </c>
      <c r="D69" s="776">
        <f t="shared" ref="D69:R69" si="17">SUM(D63:D68)</f>
        <v>765.67121412356596</v>
      </c>
      <c r="E69" s="776">
        <f t="shared" si="17"/>
        <v>745.39802883385209</v>
      </c>
      <c r="F69" s="776">
        <f t="shared" si="17"/>
        <v>714.13868194637269</v>
      </c>
      <c r="G69" s="776">
        <f t="shared" si="17"/>
        <v>708.02042598438788</v>
      </c>
      <c r="H69" s="776">
        <f t="shared" si="17"/>
        <v>684.75222869378547</v>
      </c>
      <c r="I69" s="776">
        <f t="shared" si="17"/>
        <v>673.09787809857971</v>
      </c>
      <c r="J69" s="776">
        <f t="shared" si="17"/>
        <v>662.78124257395643</v>
      </c>
      <c r="K69" s="776">
        <f t="shared" si="17"/>
        <v>659.70622039264924</v>
      </c>
      <c r="L69" s="776">
        <f t="shared" si="17"/>
        <v>638.12847369513793</v>
      </c>
      <c r="M69" s="776">
        <f t="shared" si="17"/>
        <v>617.29760450747585</v>
      </c>
      <c r="N69" s="776">
        <f t="shared" si="17"/>
        <v>595.10392999021258</v>
      </c>
      <c r="O69" s="776">
        <f t="shared" si="17"/>
        <v>570.9750668283499</v>
      </c>
      <c r="P69" s="776">
        <f t="shared" si="17"/>
        <v>535.75825595833487</v>
      </c>
      <c r="Q69" s="776">
        <f t="shared" si="17"/>
        <v>508.56763113540961</v>
      </c>
      <c r="R69" s="776">
        <f t="shared" si="17"/>
        <v>480.08141202321406</v>
      </c>
      <c r="T69" s="779" t="s">
        <v>883</v>
      </c>
      <c r="V69" s="821" t="s">
        <v>1413</v>
      </c>
      <c r="W69" s="821" t="s">
        <v>1414</v>
      </c>
      <c r="X69" s="779"/>
      <c r="Y69" s="779"/>
      <c r="Z69" s="779"/>
      <c r="AA69" s="779"/>
      <c r="AB69" s="779"/>
      <c r="AC69" s="779"/>
      <c r="AD69" s="793"/>
      <c r="AE69" s="779"/>
      <c r="AF69" s="779"/>
      <c r="AG69" s="779"/>
      <c r="AH69" s="779"/>
      <c r="AI69" s="779"/>
      <c r="AJ69" s="779"/>
    </row>
    <row r="70" spans="2:36">
      <c r="U70" s="769" t="s">
        <v>131</v>
      </c>
      <c r="V70" s="794">
        <f>SUM(Capex_FO_AC!V18:Z18)</f>
        <v>4839.6681271406051</v>
      </c>
      <c r="W70" s="794">
        <f>SUM(Capex_FO_AC!AA18:AE18)</f>
        <v>7856.0829190669574</v>
      </c>
    </row>
    <row r="71" spans="2:36">
      <c r="B71" s="770" t="s">
        <v>1427</v>
      </c>
      <c r="D71" s="771" t="str">
        <f t="shared" ref="D71:R71" si="18">D62</f>
        <v>2021-22</v>
      </c>
      <c r="E71" s="771" t="str">
        <f t="shared" si="18"/>
        <v>2022-23</v>
      </c>
      <c r="F71" s="771" t="str">
        <f t="shared" si="18"/>
        <v>2023-24</v>
      </c>
      <c r="G71" s="771" t="str">
        <f t="shared" si="18"/>
        <v>2024-25</v>
      </c>
      <c r="H71" s="771" t="str">
        <f t="shared" si="18"/>
        <v>2025-26</v>
      </c>
      <c r="I71" s="771" t="str">
        <f t="shared" si="18"/>
        <v>2026-27</v>
      </c>
      <c r="J71" s="771" t="str">
        <f t="shared" si="18"/>
        <v>2027-28</v>
      </c>
      <c r="K71" s="771" t="str">
        <f t="shared" si="18"/>
        <v>2028-29</v>
      </c>
      <c r="L71" s="771" t="str">
        <f t="shared" si="18"/>
        <v>2029-30</v>
      </c>
      <c r="M71" s="771" t="str">
        <f t="shared" si="18"/>
        <v>2030-31</v>
      </c>
      <c r="N71" s="771" t="str">
        <f t="shared" si="18"/>
        <v>2031-32</v>
      </c>
      <c r="O71" s="771" t="str">
        <f t="shared" si="18"/>
        <v>2032-33</v>
      </c>
      <c r="P71" s="771" t="str">
        <f t="shared" si="18"/>
        <v>2033-34</v>
      </c>
      <c r="Q71" s="771" t="str">
        <f t="shared" si="18"/>
        <v>2034-35</v>
      </c>
      <c r="R71" s="771" t="str">
        <f t="shared" si="18"/>
        <v>2035-36</v>
      </c>
      <c r="U71" s="769" t="s">
        <v>1428</v>
      </c>
      <c r="V71" s="820">
        <f>SUM(RollForward_FO!V17:Z17)</f>
        <v>1392.9469272312679</v>
      </c>
      <c r="W71" s="820">
        <f ca="1">SUM(RollForward_FO!AA17:AE17)</f>
        <v>1827.680326151311</v>
      </c>
    </row>
    <row r="72" spans="2:36">
      <c r="C72" s="769" t="str">
        <f>Opex_Breakdown!D60</f>
        <v>Operations &amp; Maintenance</v>
      </c>
      <c r="D72" s="772">
        <f>Opex_Breakdown!V60</f>
        <v>142.31287771015707</v>
      </c>
      <c r="E72" s="772">
        <f>Opex_Breakdown!W60</f>
        <v>130.21968306897546</v>
      </c>
      <c r="F72" s="772">
        <f>Opex_Breakdown!X60</f>
        <v>124.47510760466518</v>
      </c>
      <c r="G72" s="772">
        <f>Opex_Breakdown!Y60</f>
        <v>128.40679787659383</v>
      </c>
      <c r="H72" s="772">
        <f>Opex_Breakdown!Z60</f>
        <v>127.162104274794</v>
      </c>
      <c r="I72" s="772">
        <f>Opex_Breakdown!AA60</f>
        <v>130.06604670692201</v>
      </c>
      <c r="J72" s="772">
        <f>Opex_Breakdown!AB60</f>
        <v>129.37886474426384</v>
      </c>
      <c r="K72" s="772">
        <f>Opex_Breakdown!AC60</f>
        <v>136.1639478351278</v>
      </c>
      <c r="L72" s="772">
        <f>Opex_Breakdown!AD60</f>
        <v>143.2746421621662</v>
      </c>
      <c r="M72" s="772">
        <f>Opex_Breakdown!AE60</f>
        <v>144.60740147043984</v>
      </c>
      <c r="N72" s="772">
        <f>Opex_Breakdown!AF60</f>
        <v>144.11115671817379</v>
      </c>
      <c r="O72" s="772">
        <f>Opex_Breakdown!AG60</f>
        <v>143.72673517413847</v>
      </c>
      <c r="P72" s="772">
        <f>Opex_Breakdown!AH60</f>
        <v>142.93106811743473</v>
      </c>
      <c r="Q72" s="772">
        <f>Opex_Breakdown!AI60</f>
        <v>144.27248385706977</v>
      </c>
      <c r="R72" s="772">
        <f>Opex_Breakdown!AJ60</f>
        <v>142.73185020895929</v>
      </c>
      <c r="U72" s="795"/>
      <c r="V72" s="796"/>
      <c r="W72" s="796"/>
    </row>
    <row r="73" spans="2:36">
      <c r="C73" s="769" t="str">
        <f>Opex_Breakdown!D61</f>
        <v>Licence fees</v>
      </c>
      <c r="D73" s="772">
        <f>Opex_Breakdown!V61</f>
        <v>1.5727299335440748</v>
      </c>
      <c r="E73" s="772">
        <f>Opex_Breakdown!W61</f>
        <v>1.6437962600872373</v>
      </c>
      <c r="F73" s="772">
        <f>Opex_Breakdown!X61</f>
        <v>3.495691514581559</v>
      </c>
      <c r="G73" s="772">
        <f>Opex_Breakdown!Y61</f>
        <v>1.9717857751176666</v>
      </c>
      <c r="H73" s="772">
        <f>Opex_Breakdown!Z61</f>
        <v>1.9717857751176666</v>
      </c>
      <c r="I73" s="772">
        <f>Opex_Breakdown!AA61</f>
        <v>1.9717857751176666</v>
      </c>
      <c r="J73" s="772">
        <f>Opex_Breakdown!AB61</f>
        <v>1.9717857751176666</v>
      </c>
      <c r="K73" s="772">
        <f>Opex_Breakdown!AC61</f>
        <v>1.9717857751176666</v>
      </c>
      <c r="L73" s="772">
        <f>Opex_Breakdown!AD61</f>
        <v>1.9717857751176666</v>
      </c>
      <c r="M73" s="772">
        <f>Opex_Breakdown!AE61</f>
        <v>1.9717857751176666</v>
      </c>
      <c r="N73" s="772">
        <f>Opex_Breakdown!AF61</f>
        <v>1.9717857751176666</v>
      </c>
      <c r="O73" s="772">
        <f>Opex_Breakdown!AG61</f>
        <v>1.9717857751176666</v>
      </c>
      <c r="P73" s="772">
        <f>Opex_Breakdown!AH61</f>
        <v>1.9717857751176666</v>
      </c>
      <c r="Q73" s="772">
        <f>Opex_Breakdown!AI61</f>
        <v>1.9717857751176666</v>
      </c>
      <c r="R73" s="772">
        <f>Opex_Breakdown!AJ61</f>
        <v>1.9717857751176666</v>
      </c>
      <c r="T73" s="1396"/>
      <c r="U73" s="1396"/>
      <c r="V73" s="1398"/>
      <c r="W73" s="1398"/>
      <c r="X73" s="1398"/>
      <c r="Y73" s="1398"/>
      <c r="Z73" s="1398"/>
      <c r="AA73" s="1398"/>
      <c r="AB73" s="1398"/>
      <c r="AC73" s="1398"/>
      <c r="AD73" s="1398"/>
      <c r="AE73" s="1398"/>
      <c r="AF73" s="1398"/>
      <c r="AG73" s="1398"/>
      <c r="AH73" s="1398"/>
      <c r="AI73" s="1398"/>
      <c r="AJ73" s="1398"/>
    </row>
    <row r="74" spans="2:36">
      <c r="C74" s="769" t="str">
        <f>Opex_Breakdown!D62</f>
        <v>Corporate</v>
      </c>
      <c r="D74" s="794">
        <f>Opex_Breakdown!V62</f>
        <v>62.585726929428397</v>
      </c>
      <c r="E74" s="794">
        <f>Opex_Breakdown!W62</f>
        <v>68.722977629214967</v>
      </c>
      <c r="F74" s="794">
        <f>Opex_Breakdown!X62</f>
        <v>73.372289412118391</v>
      </c>
      <c r="G74" s="794">
        <f>Opex_Breakdown!Y62</f>
        <v>81.035035448548228</v>
      </c>
      <c r="H74" s="794">
        <f>Opex_Breakdown!Z62</f>
        <v>74.100926465952853</v>
      </c>
      <c r="I74" s="794">
        <f>Opex_Breakdown!AA62</f>
        <v>69.840368225779116</v>
      </c>
      <c r="J74" s="794">
        <f>Opex_Breakdown!AB62</f>
        <v>72.174718826066595</v>
      </c>
      <c r="K74" s="794">
        <f>Opex_Breakdown!AC62</f>
        <v>72.936773742750304</v>
      </c>
      <c r="L74" s="794">
        <f>Opex_Breakdown!AD62</f>
        <v>70.465785997838864</v>
      </c>
      <c r="M74" s="794">
        <f>Opex_Breakdown!AE62</f>
        <v>70.209033274306478</v>
      </c>
      <c r="N74" s="794">
        <f>Opex_Breakdown!AF62</f>
        <v>70.217994800748528</v>
      </c>
      <c r="O74" s="794">
        <f>Opex_Breakdown!AG62</f>
        <v>70.153081881151095</v>
      </c>
      <c r="P74" s="794">
        <f>Opex_Breakdown!AH62</f>
        <v>70.088241836018355</v>
      </c>
      <c r="Q74" s="794">
        <f>Opex_Breakdown!AI62</f>
        <v>70.023474277698512</v>
      </c>
      <c r="R74" s="794">
        <f>Opex_Breakdown!AJ62</f>
        <v>69.958778827884473</v>
      </c>
      <c r="T74" s="1396"/>
      <c r="U74" s="1396"/>
      <c r="V74" s="1396"/>
      <c r="W74" s="1396"/>
      <c r="X74" s="1396"/>
      <c r="Y74" s="1396"/>
      <c r="Z74" s="1396"/>
      <c r="AA74" s="1396"/>
      <c r="AB74" s="1396"/>
      <c r="AC74" s="1396"/>
      <c r="AD74" s="1396"/>
      <c r="AE74" s="1396"/>
      <c r="AF74" s="1396"/>
      <c r="AG74" s="1396"/>
      <c r="AH74" s="1396"/>
      <c r="AI74" s="1396"/>
      <c r="AJ74" s="1396"/>
    </row>
    <row r="75" spans="2:36">
      <c r="C75" s="769" t="str">
        <f>Opex_Breakdown!D63</f>
        <v>Other operating expenditure</v>
      </c>
      <c r="D75" s="794">
        <f>Opex_Breakdown!V63</f>
        <v>0</v>
      </c>
      <c r="E75" s="794">
        <f>Opex_Breakdown!W63</f>
        <v>0</v>
      </c>
      <c r="F75" s="794">
        <f>Opex_Breakdown!X63</f>
        <v>0</v>
      </c>
      <c r="G75" s="794">
        <f>Opex_Breakdown!Y63</f>
        <v>0</v>
      </c>
      <c r="H75" s="794">
        <f>Opex_Breakdown!Z63</f>
        <v>0</v>
      </c>
      <c r="I75" s="794">
        <f>Opex_Breakdown!AA63</f>
        <v>0</v>
      </c>
      <c r="J75" s="794">
        <f>Opex_Breakdown!AB63</f>
        <v>0</v>
      </c>
      <c r="K75" s="794">
        <f>Opex_Breakdown!AC63</f>
        <v>0</v>
      </c>
      <c r="L75" s="794">
        <f>Opex_Breakdown!AD63</f>
        <v>0</v>
      </c>
      <c r="M75" s="794">
        <f>Opex_Breakdown!AE63</f>
        <v>0</v>
      </c>
      <c r="N75" s="794">
        <f>Opex_Breakdown!AF63</f>
        <v>0</v>
      </c>
      <c r="O75" s="794">
        <f>Opex_Breakdown!AG63</f>
        <v>0</v>
      </c>
      <c r="P75" s="794">
        <f>Opex_Breakdown!AH63</f>
        <v>0</v>
      </c>
      <c r="Q75" s="794">
        <f>Opex_Breakdown!AI63</f>
        <v>0</v>
      </c>
      <c r="R75" s="794">
        <f>Opex_Breakdown!AJ63</f>
        <v>0</v>
      </c>
      <c r="T75" s="1396"/>
      <c r="U75" s="1396"/>
      <c r="V75" s="1397"/>
      <c r="W75" s="1397"/>
      <c r="X75" s="1397"/>
      <c r="Y75" s="1397"/>
      <c r="Z75" s="1397"/>
      <c r="AA75" s="1397"/>
      <c r="AB75" s="1397"/>
      <c r="AC75" s="1397"/>
      <c r="AD75" s="1397"/>
      <c r="AE75" s="1397"/>
      <c r="AF75" s="1397"/>
      <c r="AG75" s="1397"/>
      <c r="AH75" s="1397"/>
      <c r="AI75" s="1397"/>
      <c r="AJ75" s="1397"/>
    </row>
    <row r="76" spans="2:36">
      <c r="D76" s="772"/>
      <c r="E76" s="772"/>
      <c r="F76" s="772"/>
      <c r="G76" s="772"/>
      <c r="H76" s="772"/>
      <c r="I76" s="772"/>
      <c r="J76" s="772"/>
      <c r="K76" s="772"/>
      <c r="L76" s="772"/>
      <c r="M76" s="772"/>
      <c r="N76" s="772"/>
      <c r="O76" s="772"/>
      <c r="P76" s="772"/>
      <c r="Q76" s="772"/>
      <c r="R76" s="772"/>
      <c r="T76" s="1396"/>
      <c r="U76" s="1396"/>
      <c r="V76" s="1398"/>
      <c r="W76" s="1398"/>
      <c r="X76" s="1398"/>
      <c r="Y76" s="1398"/>
      <c r="Z76" s="1398"/>
      <c r="AA76" s="1398"/>
      <c r="AB76" s="1398"/>
      <c r="AC76" s="1398"/>
      <c r="AD76" s="1398"/>
      <c r="AE76" s="1398"/>
      <c r="AF76" s="1398"/>
      <c r="AG76" s="1398"/>
      <c r="AH76" s="1398"/>
      <c r="AI76" s="1398"/>
      <c r="AJ76" s="1398"/>
    </row>
    <row r="77" spans="2:36">
      <c r="C77" s="770" t="s">
        <v>1429</v>
      </c>
      <c r="D77" s="776">
        <f t="shared" ref="D77:R77" si="19">SUM(D72:D76)</f>
        <v>206.47133457312955</v>
      </c>
      <c r="E77" s="776">
        <f t="shared" si="19"/>
        <v>200.58645695827767</v>
      </c>
      <c r="F77" s="776">
        <f t="shared" si="19"/>
        <v>201.34308853136514</v>
      </c>
      <c r="G77" s="776">
        <f t="shared" si="19"/>
        <v>211.41361910025972</v>
      </c>
      <c r="H77" s="776">
        <f t="shared" si="19"/>
        <v>203.23481651586451</v>
      </c>
      <c r="I77" s="776">
        <f t="shared" si="19"/>
        <v>201.87820070781879</v>
      </c>
      <c r="J77" s="776">
        <f t="shared" si="19"/>
        <v>203.5253693454481</v>
      </c>
      <c r="K77" s="776">
        <f t="shared" si="19"/>
        <v>211.07250735299579</v>
      </c>
      <c r="L77" s="776">
        <f t="shared" si="19"/>
        <v>215.71221393512275</v>
      </c>
      <c r="M77" s="776">
        <f t="shared" si="19"/>
        <v>216.78822051986398</v>
      </c>
      <c r="N77" s="776">
        <f t="shared" si="19"/>
        <v>216.30093729403998</v>
      </c>
      <c r="O77" s="776">
        <f t="shared" si="19"/>
        <v>215.85160283040722</v>
      </c>
      <c r="P77" s="776">
        <f t="shared" si="19"/>
        <v>214.99109572857077</v>
      </c>
      <c r="Q77" s="776">
        <f t="shared" si="19"/>
        <v>216.26774390988595</v>
      </c>
      <c r="R77" s="776">
        <f t="shared" si="19"/>
        <v>214.66241481196141</v>
      </c>
      <c r="T77" s="1396"/>
      <c r="U77" s="1396"/>
      <c r="V77" s="1396"/>
      <c r="W77" s="1396"/>
      <c r="X77" s="1396"/>
      <c r="Y77" s="1396"/>
      <c r="Z77" s="1396"/>
      <c r="AA77" s="1396"/>
      <c r="AB77" s="1396"/>
      <c r="AC77" s="1396"/>
      <c r="AD77" s="1396"/>
      <c r="AE77" s="1396"/>
      <c r="AF77" s="1396"/>
      <c r="AG77" s="1396"/>
      <c r="AH77" s="1396"/>
      <c r="AI77" s="1396"/>
      <c r="AJ77" s="1396"/>
    </row>
    <row r="78" spans="2:36" ht="11.25" customHeight="1">
      <c r="T78" s="1396"/>
      <c r="U78" s="1396"/>
      <c r="V78" s="1397"/>
      <c r="W78" s="1397"/>
      <c r="X78" s="1397"/>
      <c r="Y78" s="1397"/>
      <c r="Z78" s="1397"/>
      <c r="AA78" s="1397"/>
      <c r="AB78" s="1397"/>
      <c r="AC78" s="1397"/>
      <c r="AD78" s="1397"/>
      <c r="AE78" s="1397"/>
      <c r="AF78" s="1397"/>
      <c r="AG78" s="1397"/>
      <c r="AH78" s="1397"/>
      <c r="AI78" s="1397"/>
      <c r="AJ78" s="1397"/>
    </row>
    <row r="79" spans="2:36">
      <c r="B79" s="770" t="s">
        <v>1430</v>
      </c>
      <c r="D79" s="771" t="str">
        <f t="shared" ref="D79:R79" si="20">D71</f>
        <v>2021-22</v>
      </c>
      <c r="E79" s="771" t="str">
        <f t="shared" si="20"/>
        <v>2022-23</v>
      </c>
      <c r="F79" s="771" t="str">
        <f t="shared" si="20"/>
        <v>2023-24</v>
      </c>
      <c r="G79" s="771" t="str">
        <f t="shared" si="20"/>
        <v>2024-25</v>
      </c>
      <c r="H79" s="771" t="str">
        <f t="shared" si="20"/>
        <v>2025-26</v>
      </c>
      <c r="I79" s="771" t="str">
        <f t="shared" si="20"/>
        <v>2026-27</v>
      </c>
      <c r="J79" s="771" t="str">
        <f t="shared" si="20"/>
        <v>2027-28</v>
      </c>
      <c r="K79" s="771" t="str">
        <f t="shared" si="20"/>
        <v>2028-29</v>
      </c>
      <c r="L79" s="771" t="str">
        <f t="shared" si="20"/>
        <v>2029-30</v>
      </c>
      <c r="M79" s="771" t="str">
        <f t="shared" si="20"/>
        <v>2030-31</v>
      </c>
      <c r="N79" s="771" t="str">
        <f t="shared" si="20"/>
        <v>2031-32</v>
      </c>
      <c r="O79" s="771" t="str">
        <f t="shared" si="20"/>
        <v>2032-33</v>
      </c>
      <c r="P79" s="771" t="str">
        <f t="shared" si="20"/>
        <v>2033-34</v>
      </c>
      <c r="Q79" s="771" t="str">
        <f t="shared" si="20"/>
        <v>2034-35</v>
      </c>
      <c r="R79" s="771" t="str">
        <f t="shared" si="20"/>
        <v>2035-36</v>
      </c>
      <c r="T79" s="1396"/>
      <c r="U79" s="1396"/>
      <c r="V79" s="1398"/>
      <c r="W79" s="1398"/>
      <c r="X79" s="1398"/>
      <c r="Y79" s="1398"/>
      <c r="Z79" s="1398"/>
      <c r="AA79" s="1398"/>
      <c r="AB79" s="1398"/>
      <c r="AC79" s="1398"/>
      <c r="AD79" s="1398"/>
      <c r="AE79" s="1398"/>
      <c r="AF79" s="1398"/>
      <c r="AG79" s="1398"/>
      <c r="AH79" s="1398"/>
      <c r="AI79" s="1398"/>
      <c r="AJ79" s="1398"/>
    </row>
    <row r="80" spans="2:36">
      <c r="C80" s="769" t="str">
        <f>Opex_Breakdown!D67</f>
        <v>Operations &amp; Maintenance</v>
      </c>
      <c r="D80" s="772">
        <f>Opex_Breakdown!V67</f>
        <v>3.0962116542462197</v>
      </c>
      <c r="E80" s="772">
        <f>Opex_Breakdown!W67</f>
        <v>1.6110311625916953</v>
      </c>
      <c r="F80" s="772">
        <f>Opex_Breakdown!X67</f>
        <v>1.8685968790615961</v>
      </c>
      <c r="G80" s="772">
        <f>Opex_Breakdown!Y67</f>
        <v>2.5114951382484798</v>
      </c>
      <c r="H80" s="772">
        <f>Opex_Breakdown!Z67</f>
        <v>2.5090691703711387</v>
      </c>
      <c r="I80" s="772">
        <f>Opex_Breakdown!AA67</f>
        <v>2.5066432024937977</v>
      </c>
      <c r="J80" s="772">
        <f>Opex_Breakdown!AB67</f>
        <v>2.5063774631659173</v>
      </c>
      <c r="K80" s="772">
        <f>Opex_Breakdown!AC67</f>
        <v>2.5068511699787628</v>
      </c>
      <c r="L80" s="772">
        <f>Opex_Breakdown!AD67</f>
        <v>2.508215179983051</v>
      </c>
      <c r="M80" s="772">
        <f>Opex_Breakdown!AE67</f>
        <v>2.5080756664230082</v>
      </c>
      <c r="N80" s="772">
        <f>Opex_Breakdown!AF67</f>
        <v>2.5067608257352272</v>
      </c>
      <c r="O80" s="772">
        <f>Opex_Breakdown!AG67</f>
        <v>2.5110589463546371</v>
      </c>
      <c r="P80" s="772">
        <f>Opex_Breakdown!AH67</f>
        <v>2.5095442271307973</v>
      </c>
      <c r="Q80" s="772">
        <f>Opex_Breakdown!AI67</f>
        <v>2.5194262068765974</v>
      </c>
      <c r="R80" s="772">
        <f>Opex_Breakdown!AJ67</f>
        <v>2.5009794834236923</v>
      </c>
      <c r="T80" s="1396"/>
      <c r="U80" s="1396"/>
      <c r="V80" s="1396"/>
      <c r="W80" s="1396"/>
      <c r="X80" s="1396"/>
      <c r="Y80" s="1396"/>
      <c r="Z80" s="1396"/>
      <c r="AA80" s="1396"/>
      <c r="AB80" s="1396"/>
      <c r="AC80" s="1396"/>
      <c r="AD80" s="1396"/>
      <c r="AE80" s="1396"/>
      <c r="AF80" s="1396"/>
      <c r="AG80" s="1396"/>
      <c r="AH80" s="1396"/>
      <c r="AI80" s="1396"/>
      <c r="AJ80" s="1396"/>
    </row>
    <row r="81" spans="2:36">
      <c r="C81" s="769" t="str">
        <f>Opex_Breakdown!D68</f>
        <v>Licence fees</v>
      </c>
      <c r="D81" s="772">
        <f>Opex_Breakdown!V68</f>
        <v>8.317104267744577E-3</v>
      </c>
      <c r="E81" s="772">
        <f>Opex_Breakdown!W68</f>
        <v>6.4183989679825314E-3</v>
      </c>
      <c r="F81" s="772">
        <f>Opex_Breakdown!X68</f>
        <v>6.4188316610565574E-3</v>
      </c>
      <c r="G81" s="772">
        <f>Opex_Breakdown!Y68</f>
        <v>6.4109739287983563E-3</v>
      </c>
      <c r="H81" s="772">
        <f>Opex_Breakdown!Z68</f>
        <v>6.4109739287983563E-3</v>
      </c>
      <c r="I81" s="772">
        <f>Opex_Breakdown!AA68</f>
        <v>6.4109739287983563E-3</v>
      </c>
      <c r="J81" s="772">
        <f>Opex_Breakdown!AB68</f>
        <v>6.4109739287983563E-3</v>
      </c>
      <c r="K81" s="772">
        <f>Opex_Breakdown!AC68</f>
        <v>6.4109739287983563E-3</v>
      </c>
      <c r="L81" s="772">
        <f>Opex_Breakdown!AD68</f>
        <v>6.4109739287983563E-3</v>
      </c>
      <c r="M81" s="772">
        <f>Opex_Breakdown!AE68</f>
        <v>6.4109739287983563E-3</v>
      </c>
      <c r="N81" s="772">
        <f>Opex_Breakdown!AF68</f>
        <v>6.4109739287983563E-3</v>
      </c>
      <c r="O81" s="772">
        <f>Opex_Breakdown!AG68</f>
        <v>6.4109739287983563E-3</v>
      </c>
      <c r="P81" s="772">
        <f>Opex_Breakdown!AH68</f>
        <v>6.4109739287983563E-3</v>
      </c>
      <c r="Q81" s="772">
        <f>Opex_Breakdown!AI68</f>
        <v>6.4109739287983563E-3</v>
      </c>
      <c r="R81" s="772">
        <f>Opex_Breakdown!AJ68</f>
        <v>6.4109739287983563E-3</v>
      </c>
      <c r="T81" s="1396"/>
      <c r="U81" s="1396"/>
      <c r="V81" s="1398"/>
      <c r="W81" s="1398"/>
      <c r="X81" s="1398"/>
      <c r="Y81" s="1398"/>
      <c r="Z81" s="1398"/>
      <c r="AA81" s="1398"/>
      <c r="AB81" s="1398"/>
      <c r="AC81" s="1398"/>
      <c r="AD81" s="1398"/>
      <c r="AE81" s="1398"/>
      <c r="AF81" s="1398"/>
      <c r="AG81" s="1398"/>
      <c r="AH81" s="1398"/>
      <c r="AI81" s="1398"/>
      <c r="AJ81" s="1398"/>
    </row>
    <row r="82" spans="2:36">
      <c r="C82" s="769" t="str">
        <f>Opex_Breakdown!D69</f>
        <v>Corporate</v>
      </c>
      <c r="D82" s="794">
        <f>Opex_Breakdown!V69</f>
        <v>1.3269530805436434</v>
      </c>
      <c r="E82" s="794">
        <f>Opex_Breakdown!W69</f>
        <v>1.49451222612406</v>
      </c>
      <c r="F82" s="794">
        <f>Opex_Breakdown!X69</f>
        <v>1.4732598303559075</v>
      </c>
      <c r="G82" s="794">
        <f>Opex_Breakdown!Y69</f>
        <v>1.5905814513582075</v>
      </c>
      <c r="H82" s="794">
        <f>Opex_Breakdown!Z69</f>
        <v>1.5110885780800944</v>
      </c>
      <c r="I82" s="794">
        <f>Opex_Breakdown!AA69</f>
        <v>1.4315957048019814</v>
      </c>
      <c r="J82" s="794">
        <f>Opex_Breakdown!AB69</f>
        <v>1.4596478496560563</v>
      </c>
      <c r="K82" s="794">
        <f>Opex_Breakdown!AC69</f>
        <v>1.4685374563400626</v>
      </c>
      <c r="L82" s="794">
        <f>Opex_Breakdown!AD69</f>
        <v>1.4380112802603819</v>
      </c>
      <c r="M82" s="794">
        <f>Opex_Breakdown!AE69</f>
        <v>1.4344988973454311</v>
      </c>
      <c r="N82" s="794">
        <f>Opex_Breakdown!AF69</f>
        <v>1.4337183260011994</v>
      </c>
      <c r="O82" s="794">
        <f>Opex_Breakdown!AG69</f>
        <v>1.4320477860261536</v>
      </c>
      <c r="P82" s="794">
        <f>Opex_Breakdown!AH69</f>
        <v>1.4303887749205522</v>
      </c>
      <c r="Q82" s="794">
        <f>Opex_Breakdown!AI69</f>
        <v>1.4287410014915363</v>
      </c>
      <c r="R82" s="794">
        <f>Opex_Breakdown!AJ69</f>
        <v>1.4271041827208626</v>
      </c>
      <c r="T82" s="1396"/>
      <c r="U82" s="1396"/>
      <c r="V82" s="1396"/>
      <c r="W82" s="1396"/>
      <c r="X82" s="1396"/>
      <c r="Y82" s="1396"/>
      <c r="Z82" s="1396"/>
      <c r="AA82" s="1396"/>
      <c r="AB82" s="1396"/>
      <c r="AC82" s="1396"/>
      <c r="AD82" s="1396"/>
      <c r="AE82" s="1396"/>
      <c r="AF82" s="1396"/>
      <c r="AG82" s="1396"/>
      <c r="AH82" s="1396"/>
      <c r="AI82" s="1396"/>
      <c r="AJ82" s="1396"/>
    </row>
    <row r="83" spans="2:36" ht="12.75" customHeight="1">
      <c r="C83" s="769" t="str">
        <f>Opex_Breakdown!D70</f>
        <v>Other operating expenditure</v>
      </c>
      <c r="D83" s="794">
        <f>Opex_Breakdown!V70</f>
        <v>0</v>
      </c>
      <c r="E83" s="794">
        <f>Opex_Breakdown!W70</f>
        <v>0</v>
      </c>
      <c r="F83" s="794">
        <f>Opex_Breakdown!X70</f>
        <v>0</v>
      </c>
      <c r="G83" s="794">
        <f>Opex_Breakdown!Y70</f>
        <v>0</v>
      </c>
      <c r="H83" s="794">
        <f>Opex_Breakdown!Z70</f>
        <v>0</v>
      </c>
      <c r="I83" s="794">
        <f>Opex_Breakdown!AA70</f>
        <v>0</v>
      </c>
      <c r="J83" s="794">
        <f>Opex_Breakdown!AB70</f>
        <v>0</v>
      </c>
      <c r="K83" s="794">
        <f>Opex_Breakdown!AC70</f>
        <v>0</v>
      </c>
      <c r="L83" s="794">
        <f>Opex_Breakdown!AD70</f>
        <v>0</v>
      </c>
      <c r="M83" s="794">
        <f>Opex_Breakdown!AE70</f>
        <v>0</v>
      </c>
      <c r="N83" s="794">
        <f>Opex_Breakdown!AF70</f>
        <v>0</v>
      </c>
      <c r="O83" s="794">
        <f>Opex_Breakdown!AG70</f>
        <v>0</v>
      </c>
      <c r="P83" s="794">
        <f>Opex_Breakdown!AH70</f>
        <v>0</v>
      </c>
      <c r="Q83" s="794">
        <f>Opex_Breakdown!AI70</f>
        <v>0</v>
      </c>
      <c r="R83" s="794">
        <f>Opex_Breakdown!AJ70</f>
        <v>0</v>
      </c>
      <c r="T83" s="1395"/>
      <c r="U83" s="1396"/>
      <c r="V83" s="1396"/>
      <c r="W83" s="1396"/>
      <c r="X83" s="1396"/>
      <c r="Y83" s="1396"/>
      <c r="Z83" s="1396"/>
      <c r="AA83" s="1396"/>
      <c r="AB83" s="1396"/>
      <c r="AC83" s="1396"/>
      <c r="AD83" s="1396"/>
      <c r="AE83" s="1396"/>
      <c r="AF83" s="1396"/>
      <c r="AG83" s="1396"/>
      <c r="AH83" s="1396"/>
      <c r="AI83" s="1396"/>
      <c r="AJ83" s="1396"/>
    </row>
    <row r="84" spans="2:36">
      <c r="D84" s="772"/>
      <c r="E84" s="772"/>
      <c r="F84" s="772"/>
      <c r="G84" s="772"/>
      <c r="H84" s="772"/>
      <c r="I84" s="772"/>
      <c r="J84" s="772"/>
      <c r="K84" s="772"/>
      <c r="L84" s="772"/>
      <c r="M84" s="772"/>
      <c r="N84" s="772"/>
      <c r="O84" s="772"/>
      <c r="P84" s="772"/>
      <c r="Q84" s="772"/>
      <c r="R84" s="772"/>
      <c r="T84" s="1396"/>
      <c r="U84" s="1396"/>
      <c r="V84" s="1396"/>
      <c r="W84" s="1396"/>
      <c r="X84" s="1396"/>
      <c r="Y84" s="1396"/>
      <c r="Z84" s="1396"/>
      <c r="AA84" s="1396"/>
      <c r="AB84" s="1396"/>
      <c r="AC84" s="1396"/>
      <c r="AD84" s="1396"/>
      <c r="AE84" s="1396"/>
      <c r="AF84" s="1396"/>
      <c r="AG84" s="1396"/>
      <c r="AH84" s="1396"/>
      <c r="AI84" s="1396"/>
      <c r="AJ84" s="1396"/>
    </row>
    <row r="85" spans="2:36" ht="15.75">
      <c r="C85" s="770" t="s">
        <v>1431</v>
      </c>
      <c r="D85" s="776">
        <f t="shared" ref="D85:R85" si="21">SUM(D80:D84)</f>
        <v>4.4314818390576072</v>
      </c>
      <c r="E85" s="776">
        <f t="shared" si="21"/>
        <v>3.1119617876837378</v>
      </c>
      <c r="F85" s="776">
        <f t="shared" si="21"/>
        <v>3.3482755410785598</v>
      </c>
      <c r="G85" s="776">
        <f t="shared" si="21"/>
        <v>4.1084875635354852</v>
      </c>
      <c r="H85" s="776">
        <f t="shared" si="21"/>
        <v>4.0265687223800315</v>
      </c>
      <c r="I85" s="776">
        <f t="shared" si="21"/>
        <v>3.9446498812245774</v>
      </c>
      <c r="J85" s="776">
        <f t="shared" si="21"/>
        <v>3.9724362867507717</v>
      </c>
      <c r="K85" s="776">
        <f t="shared" si="21"/>
        <v>3.9817996002476237</v>
      </c>
      <c r="L85" s="776">
        <f t="shared" si="21"/>
        <v>3.9526374341722312</v>
      </c>
      <c r="M85" s="776">
        <f t="shared" si="21"/>
        <v>3.9489855376972374</v>
      </c>
      <c r="N85" s="776">
        <f t="shared" si="21"/>
        <v>3.9468901256652247</v>
      </c>
      <c r="O85" s="776">
        <f t="shared" si="21"/>
        <v>3.9495177063095888</v>
      </c>
      <c r="P85" s="776">
        <f t="shared" si="21"/>
        <v>3.946343975980148</v>
      </c>
      <c r="Q85" s="776">
        <f t="shared" si="21"/>
        <v>3.9545781822969319</v>
      </c>
      <c r="R85" s="776">
        <f t="shared" si="21"/>
        <v>3.9344946400733534</v>
      </c>
      <c r="T85" s="1395"/>
      <c r="U85" s="1396"/>
      <c r="V85" s="1397"/>
      <c r="W85" s="1397"/>
      <c r="X85" s="1397"/>
      <c r="Y85" s="1397"/>
      <c r="Z85" s="1397"/>
      <c r="AA85" s="1397"/>
      <c r="AB85" s="1397"/>
      <c r="AC85" s="1397"/>
      <c r="AD85" s="1397"/>
      <c r="AE85" s="1397"/>
      <c r="AF85" s="1397"/>
      <c r="AG85" s="1397"/>
      <c r="AH85" s="1397"/>
      <c r="AI85" s="1397"/>
      <c r="AJ85" s="1397"/>
    </row>
    <row r="86" spans="2:36" ht="15.75">
      <c r="B86" s="1395"/>
      <c r="C86" s="1396"/>
      <c r="D86" s="1396"/>
      <c r="E86" s="1396"/>
      <c r="F86" s="1396"/>
      <c r="G86" s="1396"/>
      <c r="H86" s="1396"/>
      <c r="I86" s="1396"/>
      <c r="J86" s="1396"/>
      <c r="K86" s="1396"/>
      <c r="L86" s="1396"/>
      <c r="M86" s="1396"/>
      <c r="N86" s="1396"/>
      <c r="O86" s="1396"/>
      <c r="P86" s="1396"/>
      <c r="Q86" s="1396"/>
      <c r="R86" s="1396"/>
      <c r="T86" s="1396"/>
      <c r="U86" s="1396"/>
      <c r="V86" s="1398"/>
      <c r="W86" s="1398"/>
      <c r="X86" s="1398"/>
      <c r="Y86" s="1398"/>
      <c r="Z86" s="1398"/>
      <c r="AA86" s="1398"/>
      <c r="AB86" s="1398"/>
      <c r="AC86" s="1398"/>
      <c r="AD86" s="1398"/>
      <c r="AE86" s="1398"/>
      <c r="AF86" s="1398"/>
      <c r="AG86" s="1398"/>
      <c r="AH86" s="1398"/>
      <c r="AI86" s="1398"/>
      <c r="AJ86" s="1398"/>
    </row>
    <row r="87" spans="2:36">
      <c r="B87" s="770" t="s">
        <v>1432</v>
      </c>
      <c r="D87" s="771" t="str">
        <f t="shared" ref="D87:R87" si="22">D79</f>
        <v>2021-22</v>
      </c>
      <c r="E87" s="771" t="str">
        <f t="shared" si="22"/>
        <v>2022-23</v>
      </c>
      <c r="F87" s="771" t="str">
        <f t="shared" si="22"/>
        <v>2023-24</v>
      </c>
      <c r="G87" s="771" t="str">
        <f t="shared" si="22"/>
        <v>2024-25</v>
      </c>
      <c r="H87" s="771" t="str">
        <f t="shared" si="22"/>
        <v>2025-26</v>
      </c>
      <c r="I87" s="771" t="str">
        <f t="shared" si="22"/>
        <v>2026-27</v>
      </c>
      <c r="J87" s="771" t="str">
        <f t="shared" si="22"/>
        <v>2027-28</v>
      </c>
      <c r="K87" s="771" t="str">
        <f t="shared" si="22"/>
        <v>2028-29</v>
      </c>
      <c r="L87" s="771" t="str">
        <f t="shared" si="22"/>
        <v>2029-30</v>
      </c>
      <c r="M87" s="771" t="str">
        <f t="shared" si="22"/>
        <v>2030-31</v>
      </c>
      <c r="N87" s="771" t="str">
        <f t="shared" si="22"/>
        <v>2031-32</v>
      </c>
      <c r="O87" s="771" t="str">
        <f t="shared" si="22"/>
        <v>2032-33</v>
      </c>
      <c r="P87" s="771" t="str">
        <f t="shared" si="22"/>
        <v>2033-34</v>
      </c>
      <c r="Q87" s="771" t="str">
        <f t="shared" si="22"/>
        <v>2034-35</v>
      </c>
      <c r="R87" s="771" t="str">
        <f t="shared" si="22"/>
        <v>2035-36</v>
      </c>
    </row>
    <row r="88" spans="2:36" ht="15.75">
      <c r="C88" s="769" t="str">
        <f>Opex_Breakdown!D74</f>
        <v>Operations &amp; Maintenance</v>
      </c>
      <c r="D88" s="772">
        <f>Opex_Breakdown!V74</f>
        <v>115.24386312281433</v>
      </c>
      <c r="E88" s="772">
        <f>Opex_Breakdown!W74</f>
        <v>115.9652263014066</v>
      </c>
      <c r="F88" s="772">
        <f>Opex_Breakdown!X74</f>
        <v>116.25184942533647</v>
      </c>
      <c r="G88" s="772">
        <f>Opex_Breakdown!Y74</f>
        <v>135.02705814191035</v>
      </c>
      <c r="H88" s="772">
        <f>Opex_Breakdown!Z74</f>
        <v>132.78442509515372</v>
      </c>
      <c r="I88" s="772">
        <f>Opex_Breakdown!AA74</f>
        <v>134.91273653998249</v>
      </c>
      <c r="J88" s="772">
        <f>Opex_Breakdown!AB74</f>
        <v>135.71856257682342</v>
      </c>
      <c r="K88" s="772">
        <f>Opex_Breakdown!AC74</f>
        <v>136.58483015975736</v>
      </c>
      <c r="L88" s="772">
        <f>Opex_Breakdown!AD74</f>
        <v>136.8723235503372</v>
      </c>
      <c r="M88" s="772">
        <f>Opex_Breakdown!AE74</f>
        <v>136.95723362298705</v>
      </c>
      <c r="N88" s="772">
        <f>Opex_Breakdown!AF74</f>
        <v>136.96676552318755</v>
      </c>
      <c r="O88" s="772">
        <f>Opex_Breakdown!AG74</f>
        <v>136.76132083892301</v>
      </c>
      <c r="P88" s="772">
        <f>Opex_Breakdown!AH74</f>
        <v>136.64715574045906</v>
      </c>
      <c r="Q88" s="772">
        <f>Opex_Breakdown!AI74</f>
        <v>136.61122413046039</v>
      </c>
      <c r="R88" s="772">
        <f>Opex_Breakdown!AJ74</f>
        <v>136.38198894430829</v>
      </c>
      <c r="T88" s="768" t="s">
        <v>1433</v>
      </c>
    </row>
    <row r="89" spans="2:36">
      <c r="C89" s="769" t="str">
        <f>Opex_Breakdown!D75</f>
        <v>Customer Service and billing</v>
      </c>
      <c r="D89" s="772">
        <f>Opex_Breakdown!V75</f>
        <v>17.987072545674302</v>
      </c>
      <c r="E89" s="772">
        <f>Opex_Breakdown!W75</f>
        <v>17.314434391186438</v>
      </c>
      <c r="F89" s="772">
        <f>Opex_Breakdown!X75</f>
        <v>18.638119526923077</v>
      </c>
      <c r="G89" s="772">
        <f>Opex_Breakdown!Y75</f>
        <v>18.176835241746723</v>
      </c>
      <c r="H89" s="772">
        <f>Opex_Breakdown!Z75</f>
        <v>18.14048157126323</v>
      </c>
      <c r="I89" s="772">
        <f>Opex_Breakdown!AA75</f>
        <v>18.14048157126323</v>
      </c>
      <c r="J89" s="772">
        <f>Opex_Breakdown!AB75</f>
        <v>18.14048157126323</v>
      </c>
      <c r="K89" s="772">
        <f>Opex_Breakdown!AC75</f>
        <v>18.14048157126323</v>
      </c>
      <c r="L89" s="772">
        <f>Opex_Breakdown!AD75</f>
        <v>18.14048157126323</v>
      </c>
      <c r="M89" s="772">
        <f>Opex_Breakdown!AE75</f>
        <v>18.14048157126323</v>
      </c>
      <c r="N89" s="772">
        <f>Opex_Breakdown!AF75</f>
        <v>18.14048157126323</v>
      </c>
      <c r="O89" s="772">
        <f>Opex_Breakdown!AG75</f>
        <v>18.14048157126323</v>
      </c>
      <c r="P89" s="772">
        <f>Opex_Breakdown!AH75</f>
        <v>18.14048157126323</v>
      </c>
      <c r="Q89" s="772">
        <f>Opex_Breakdown!AI75</f>
        <v>18.14048157126323</v>
      </c>
      <c r="R89" s="772">
        <f>Opex_Breakdown!AJ75</f>
        <v>18.14048157126323</v>
      </c>
    </row>
    <row r="90" spans="2:36">
      <c r="C90" s="769" t="str">
        <f>Opex_Breakdown!D76</f>
        <v>Licence fees</v>
      </c>
      <c r="D90" s="772">
        <f>Opex_Breakdown!V76</f>
        <v>0.32280516502009521</v>
      </c>
      <c r="E90" s="772">
        <f>Opex_Breakdown!W76</f>
        <v>0.24911222359681479</v>
      </c>
      <c r="F90" s="772">
        <f>Opex_Breakdown!X76</f>
        <v>0.24912901736958323</v>
      </c>
      <c r="G90" s="772">
        <f>Opex_Breakdown!Y76</f>
        <v>0.24882404144567552</v>
      </c>
      <c r="H90" s="772">
        <f>Opex_Breakdown!Z76</f>
        <v>0.24882404144567552</v>
      </c>
      <c r="I90" s="772">
        <f>Opex_Breakdown!AA76</f>
        <v>0.24882404144567552</v>
      </c>
      <c r="J90" s="772">
        <f>Opex_Breakdown!AB76</f>
        <v>0.24882404144567552</v>
      </c>
      <c r="K90" s="772">
        <f>Opex_Breakdown!AC76</f>
        <v>0.24882404144567552</v>
      </c>
      <c r="L90" s="772">
        <f>Opex_Breakdown!AD76</f>
        <v>0.24882404144567552</v>
      </c>
      <c r="M90" s="772">
        <f>Opex_Breakdown!AE76</f>
        <v>0.24882404144567552</v>
      </c>
      <c r="N90" s="772">
        <f>Opex_Breakdown!AF76</f>
        <v>0.24882404144567552</v>
      </c>
      <c r="O90" s="772">
        <f>Opex_Breakdown!AG76</f>
        <v>0.24882404144567552</v>
      </c>
      <c r="P90" s="772">
        <f>Opex_Breakdown!AH76</f>
        <v>0.24882404144567552</v>
      </c>
      <c r="Q90" s="772">
        <f>Opex_Breakdown!AI76</f>
        <v>0.24882404144567552</v>
      </c>
      <c r="R90" s="772">
        <f>Opex_Breakdown!AJ76</f>
        <v>0.24882404144567552</v>
      </c>
      <c r="T90" s="770" t="s">
        <v>883</v>
      </c>
      <c r="V90" s="771" t="str">
        <f t="shared" ref="V90:AJ90" si="23">V7</f>
        <v>2021-22</v>
      </c>
      <c r="W90" s="771" t="str">
        <f t="shared" si="23"/>
        <v>2022-23</v>
      </c>
      <c r="X90" s="771" t="str">
        <f t="shared" si="23"/>
        <v>2023-24</v>
      </c>
      <c r="Y90" s="771" t="str">
        <f t="shared" si="23"/>
        <v>2024-25</v>
      </c>
      <c r="Z90" s="771" t="str">
        <f t="shared" si="23"/>
        <v>2025-26</v>
      </c>
      <c r="AA90" s="771" t="str">
        <f t="shared" si="23"/>
        <v>2026-27</v>
      </c>
      <c r="AB90" s="771" t="str">
        <f t="shared" si="23"/>
        <v>2027-28</v>
      </c>
      <c r="AC90" s="771" t="str">
        <f t="shared" si="23"/>
        <v>2028-29</v>
      </c>
      <c r="AD90" s="771" t="str">
        <f t="shared" si="23"/>
        <v>2029-30</v>
      </c>
      <c r="AE90" s="771" t="str">
        <f t="shared" si="23"/>
        <v>2030-31</v>
      </c>
      <c r="AF90" s="771" t="str">
        <f t="shared" si="23"/>
        <v>2031-32</v>
      </c>
      <c r="AG90" s="771" t="str">
        <f t="shared" si="23"/>
        <v>2032-33</v>
      </c>
      <c r="AH90" s="771" t="str">
        <f t="shared" si="23"/>
        <v>2033-34</v>
      </c>
      <c r="AI90" s="771" t="str">
        <f t="shared" si="23"/>
        <v>2034-35</v>
      </c>
      <c r="AJ90" s="771" t="str">
        <f t="shared" si="23"/>
        <v>2035-36</v>
      </c>
    </row>
    <row r="91" spans="2:36">
      <c r="C91" s="769" t="str">
        <f>Opex_Breakdown!D77</f>
        <v>Corporate</v>
      </c>
      <c r="D91" s="794">
        <f>Opex_Breakdown!V77</f>
        <v>30.795625093179723</v>
      </c>
      <c r="E91" s="794">
        <f>Opex_Breakdown!W77</f>
        <v>33.72941327490642</v>
      </c>
      <c r="F91" s="794">
        <f>Opex_Breakdown!X77</f>
        <v>35.636401294212824</v>
      </c>
      <c r="G91" s="794">
        <f>Opex_Breakdown!Y77</f>
        <v>39.980942327644698</v>
      </c>
      <c r="H91" s="794">
        <f>Opex_Breakdown!Z77</f>
        <v>36.557198393375806</v>
      </c>
      <c r="I91" s="794">
        <f>Opex_Breakdown!AA77</f>
        <v>34.452550323338272</v>
      </c>
      <c r="J91" s="794">
        <f>Opex_Breakdown!AB77</f>
        <v>35.558184792648305</v>
      </c>
      <c r="K91" s="794">
        <f>Opex_Breakdown!AC77</f>
        <v>35.919603471514364</v>
      </c>
      <c r="L91" s="794">
        <f>Opex_Breakdown!AD77</f>
        <v>34.750746654838814</v>
      </c>
      <c r="M91" s="794">
        <f>Opex_Breakdown!AE77</f>
        <v>34.629905755616214</v>
      </c>
      <c r="N91" s="794">
        <f>Opex_Breakdown!AF77</f>
        <v>34.616905892851491</v>
      </c>
      <c r="O91" s="794">
        <f>Opex_Breakdown!AG77</f>
        <v>34.568938210635302</v>
      </c>
      <c r="P91" s="794">
        <f>Opex_Breakdown!AH77</f>
        <v>34.521003768353822</v>
      </c>
      <c r="Q91" s="794">
        <f>Opex_Breakdown!AI77</f>
        <v>34.473102879973034</v>
      </c>
      <c r="R91" s="794">
        <f>Opex_Breakdown!AJ77</f>
        <v>34.425235849424112</v>
      </c>
      <c r="U91" s="769" t="s">
        <v>1434</v>
      </c>
      <c r="V91" s="772">
        <f>'Rev&amp;RAV_FO'!V37</f>
        <v>13974.996721133981</v>
      </c>
      <c r="W91" s="772">
        <f>'Rev&amp;RAV_FO'!W37</f>
        <v>14252.112733443315</v>
      </c>
      <c r="X91" s="772">
        <f>'Rev&amp;RAV_FO'!X37</f>
        <v>14629.706817244683</v>
      </c>
      <c r="Y91" s="772">
        <f>'Rev&amp;RAV_FO'!Y37</f>
        <v>15089.678563567777</v>
      </c>
      <c r="Z91" s="772">
        <f>'Rev&amp;RAV_FO'!Z37</f>
        <v>15621.166079286351</v>
      </c>
      <c r="AA91" s="772">
        <f>'Rev&amp;RAV_FO'!AA37</f>
        <v>15733.028038124707</v>
      </c>
      <c r="AB91" s="772">
        <f>'Rev&amp;RAV_FO'!AB37</f>
        <v>15404.782063377126</v>
      </c>
      <c r="AC91" s="772">
        <f>'Rev&amp;RAV_FO'!AC37</f>
        <v>15077.960240919849</v>
      </c>
      <c r="AD91" s="772">
        <f>'Rev&amp;RAV_FO'!AD37</f>
        <v>14757.155054713678</v>
      </c>
      <c r="AE91" s="772">
        <f>'Rev&amp;RAV_FO'!AE37</f>
        <v>14467.356756868503</v>
      </c>
      <c r="AF91" s="772">
        <f>'Rev&amp;RAV_FO'!AF37</f>
        <v>14200.829818895205</v>
      </c>
      <c r="AG91" s="772">
        <f>'Rev&amp;RAV_FO'!AG37</f>
        <v>13944.708709696555</v>
      </c>
      <c r="AH91" s="772">
        <f>'Rev&amp;RAV_FO'!AH37</f>
        <v>13688.587600497905</v>
      </c>
      <c r="AI91" s="772">
        <f>'Rev&amp;RAV_FO'!AI37</f>
        <v>13432.466491299256</v>
      </c>
      <c r="AJ91" s="772">
        <f>'Rev&amp;RAV_FO'!AJ37</f>
        <v>13176.345382100606</v>
      </c>
    </row>
    <row r="92" spans="2:36">
      <c r="C92" s="769" t="str">
        <f>Opex_Breakdown!D78</f>
        <v>Other operating expenditure</v>
      </c>
      <c r="D92" s="794">
        <f>Opex_Breakdown!V78</f>
        <v>0</v>
      </c>
      <c r="E92" s="794">
        <f>Opex_Breakdown!W78</f>
        <v>0</v>
      </c>
      <c r="F92" s="794">
        <f>Opex_Breakdown!X78</f>
        <v>0</v>
      </c>
      <c r="G92" s="794">
        <f>Opex_Breakdown!Y78</f>
        <v>0</v>
      </c>
      <c r="H92" s="794">
        <f>Opex_Breakdown!Z78</f>
        <v>0</v>
      </c>
      <c r="I92" s="794">
        <f>Opex_Breakdown!AA78</f>
        <v>0</v>
      </c>
      <c r="J92" s="794">
        <f>Opex_Breakdown!AB78</f>
        <v>0</v>
      </c>
      <c r="K92" s="794">
        <f>Opex_Breakdown!AC78</f>
        <v>0</v>
      </c>
      <c r="L92" s="794">
        <f>Opex_Breakdown!AD78</f>
        <v>0</v>
      </c>
      <c r="M92" s="794">
        <f>Opex_Breakdown!AE78</f>
        <v>0</v>
      </c>
      <c r="N92" s="794">
        <f>Opex_Breakdown!AF78</f>
        <v>0</v>
      </c>
      <c r="O92" s="794">
        <f>Opex_Breakdown!AG78</f>
        <v>0</v>
      </c>
      <c r="P92" s="794">
        <f>Opex_Breakdown!AH78</f>
        <v>0</v>
      </c>
      <c r="Q92" s="794">
        <f>Opex_Breakdown!AI78</f>
        <v>0</v>
      </c>
      <c r="R92" s="794">
        <f>Opex_Breakdown!AJ78</f>
        <v>0</v>
      </c>
      <c r="U92" s="769" t="s">
        <v>1435</v>
      </c>
      <c r="V92" s="775"/>
      <c r="W92" s="775"/>
      <c r="X92" s="775"/>
      <c r="Y92" s="775"/>
      <c r="Z92" s="775"/>
      <c r="AA92" s="772">
        <f>'Rev&amp;RAV_FO'!AA54</f>
        <v>0</v>
      </c>
      <c r="AB92" s="772">
        <f ca="1">'Rev&amp;RAV_FO'!AB54</f>
        <v>1150.0944100594832</v>
      </c>
      <c r="AC92" s="772">
        <f ca="1">'Rev&amp;RAV_FO'!AC54</f>
        <v>2403.762716450472</v>
      </c>
      <c r="AD92" s="772">
        <f ca="1">'Rev&amp;RAV_FO'!AD54</f>
        <v>3682.4102062851834</v>
      </c>
      <c r="AE92" s="772">
        <f ca="1">'Rev&amp;RAV_FO'!AE54</f>
        <v>4974.4752046432604</v>
      </c>
      <c r="AF92" s="772">
        <f ca="1">'Rev&amp;RAV_FO'!AF54</f>
        <v>6190.0452675888537</v>
      </c>
      <c r="AG92" s="772">
        <f ca="1">'Rev&amp;RAV_FO'!AG54</f>
        <v>7592.6611104505273</v>
      </c>
      <c r="AH92" s="772">
        <f ca="1">'Rev&amp;RAV_FO'!AH54</f>
        <v>9039.3239808962026</v>
      </c>
      <c r="AI92" s="772">
        <f ca="1">'Rev&amp;RAV_FO'!AI54</f>
        <v>10293.14089171277</v>
      </c>
      <c r="AJ92" s="772">
        <f ca="1">'Rev&amp;RAV_FO'!AJ54</f>
        <v>11763.066472490917</v>
      </c>
    </row>
    <row r="93" spans="2:36">
      <c r="D93" s="772"/>
      <c r="E93" s="772"/>
      <c r="F93" s="772"/>
      <c r="G93" s="772"/>
      <c r="H93" s="772"/>
      <c r="I93" s="772"/>
      <c r="J93" s="772"/>
      <c r="K93" s="772"/>
      <c r="L93" s="772"/>
      <c r="M93" s="772"/>
      <c r="N93" s="772"/>
      <c r="O93" s="772"/>
      <c r="P93" s="772"/>
      <c r="Q93" s="772"/>
      <c r="R93" s="772"/>
      <c r="U93" s="770" t="s">
        <v>113</v>
      </c>
      <c r="V93" s="776">
        <f>SUM(V91,V92)</f>
        <v>13974.996721133981</v>
      </c>
      <c r="W93" s="776">
        <f t="shared" ref="W93:AJ93" si="24">SUM(W91,W92)</f>
        <v>14252.112733443315</v>
      </c>
      <c r="X93" s="776">
        <f t="shared" si="24"/>
        <v>14629.706817244683</v>
      </c>
      <c r="Y93" s="776">
        <f t="shared" si="24"/>
        <v>15089.678563567777</v>
      </c>
      <c r="Z93" s="776">
        <f t="shared" si="24"/>
        <v>15621.166079286351</v>
      </c>
      <c r="AA93" s="776">
        <f t="shared" si="24"/>
        <v>15733.028038124707</v>
      </c>
      <c r="AB93" s="776">
        <f t="shared" ca="1" si="24"/>
        <v>16554.876473436609</v>
      </c>
      <c r="AC93" s="776">
        <f t="shared" ca="1" si="24"/>
        <v>17481.722957370323</v>
      </c>
      <c r="AD93" s="776">
        <f t="shared" ca="1" si="24"/>
        <v>18439.565260998861</v>
      </c>
      <c r="AE93" s="776">
        <f t="shared" ca="1" si="24"/>
        <v>19441.831961511765</v>
      </c>
      <c r="AF93" s="776">
        <f t="shared" ca="1" si="24"/>
        <v>20390.875086484059</v>
      </c>
      <c r="AG93" s="776">
        <f t="shared" ca="1" si="24"/>
        <v>21537.369820147083</v>
      </c>
      <c r="AH93" s="776">
        <f t="shared" ca="1" si="24"/>
        <v>22727.91158139411</v>
      </c>
      <c r="AI93" s="776">
        <f t="shared" ca="1" si="24"/>
        <v>23725.607383012026</v>
      </c>
      <c r="AJ93" s="776">
        <f t="shared" ca="1" si="24"/>
        <v>24939.411854591523</v>
      </c>
    </row>
    <row r="94" spans="2:36">
      <c r="C94" s="770" t="s">
        <v>1436</v>
      </c>
      <c r="D94" s="776">
        <f t="shared" ref="D94:R94" si="25">SUM(D88:D93)</f>
        <v>164.34936592668845</v>
      </c>
      <c r="E94" s="776">
        <f t="shared" si="25"/>
        <v>167.25818619109629</v>
      </c>
      <c r="F94" s="776">
        <f t="shared" si="25"/>
        <v>170.77549926384197</v>
      </c>
      <c r="G94" s="776">
        <f t="shared" si="25"/>
        <v>193.43365975274745</v>
      </c>
      <c r="H94" s="776">
        <f t="shared" si="25"/>
        <v>187.73092910123844</v>
      </c>
      <c r="I94" s="776">
        <f t="shared" si="25"/>
        <v>187.75459247602967</v>
      </c>
      <c r="J94" s="776">
        <f t="shared" si="25"/>
        <v>189.66605298218064</v>
      </c>
      <c r="K94" s="776">
        <f t="shared" si="25"/>
        <v>190.89373924398063</v>
      </c>
      <c r="L94" s="776">
        <f t="shared" si="25"/>
        <v>190.01237581788493</v>
      </c>
      <c r="M94" s="776">
        <f t="shared" si="25"/>
        <v>189.97644499131218</v>
      </c>
      <c r="N94" s="776">
        <f t="shared" si="25"/>
        <v>189.97297702874795</v>
      </c>
      <c r="O94" s="776">
        <f t="shared" si="25"/>
        <v>189.71956466226723</v>
      </c>
      <c r="P94" s="776">
        <f t="shared" si="25"/>
        <v>189.55746512152177</v>
      </c>
      <c r="Q94" s="776">
        <f t="shared" si="25"/>
        <v>189.47363262314232</v>
      </c>
      <c r="R94" s="776">
        <f t="shared" si="25"/>
        <v>189.1965304064413</v>
      </c>
    </row>
    <row r="98" spans="2:32" ht="15.75">
      <c r="T98" s="768" t="s">
        <v>1437</v>
      </c>
    </row>
    <row r="99" spans="2:32" ht="15.75">
      <c r="B99" s="768" t="s">
        <v>1438</v>
      </c>
      <c r="U99" s="1787">
        <v>26</v>
      </c>
      <c r="V99" s="771" t="s">
        <v>501</v>
      </c>
      <c r="W99" s="771" t="s">
        <v>360</v>
      </c>
      <c r="X99" s="771" t="s">
        <v>361</v>
      </c>
      <c r="Y99" s="771" t="s">
        <v>132</v>
      </c>
      <c r="Z99" s="771" t="s">
        <v>133</v>
      </c>
      <c r="AA99" s="771" t="s">
        <v>134</v>
      </c>
      <c r="AB99" s="771" t="s">
        <v>108</v>
      </c>
      <c r="AC99" s="771" t="s">
        <v>109</v>
      </c>
      <c r="AD99" s="771" t="s">
        <v>110</v>
      </c>
      <c r="AE99" s="771" t="s">
        <v>111</v>
      </c>
      <c r="AF99" s="771" t="s">
        <v>112</v>
      </c>
    </row>
    <row r="100" spans="2:32">
      <c r="D100" s="771" t="str">
        <f t="shared" ref="D100:R100" si="26">D87</f>
        <v>2021-22</v>
      </c>
      <c r="E100" s="771" t="str">
        <f t="shared" si="26"/>
        <v>2022-23</v>
      </c>
      <c r="F100" s="771" t="str">
        <f t="shared" si="26"/>
        <v>2023-24</v>
      </c>
      <c r="G100" s="771" t="str">
        <f t="shared" si="26"/>
        <v>2024-25</v>
      </c>
      <c r="H100" s="771" t="str">
        <f t="shared" si="26"/>
        <v>2025-26</v>
      </c>
      <c r="I100" s="771" t="str">
        <f t="shared" si="26"/>
        <v>2026-27</v>
      </c>
      <c r="J100" s="771" t="str">
        <f t="shared" si="26"/>
        <v>2027-28</v>
      </c>
      <c r="K100" s="771" t="str">
        <f t="shared" si="26"/>
        <v>2028-29</v>
      </c>
      <c r="L100" s="771" t="str">
        <f t="shared" si="26"/>
        <v>2029-30</v>
      </c>
      <c r="M100" s="771" t="str">
        <f t="shared" si="26"/>
        <v>2030-31</v>
      </c>
      <c r="N100" s="771" t="str">
        <f t="shared" si="26"/>
        <v>2031-32</v>
      </c>
      <c r="O100" s="771" t="str">
        <f t="shared" si="26"/>
        <v>2032-33</v>
      </c>
      <c r="P100" s="771" t="str">
        <f t="shared" si="26"/>
        <v>2033-34</v>
      </c>
      <c r="Q100" s="771" t="str">
        <f t="shared" si="26"/>
        <v>2034-35</v>
      </c>
      <c r="R100" s="771" t="str">
        <f t="shared" si="26"/>
        <v>2035-36</v>
      </c>
      <c r="U100" s="779" t="s">
        <v>1439</v>
      </c>
      <c r="V100" s="789">
        <f>SUM('Determination Lookup'!N13:N18)</f>
        <v>550.34498315723476</v>
      </c>
      <c r="W100" s="789">
        <f>SUM('Determination Lookup'!O13:O18)</f>
        <v>927.06243643349524</v>
      </c>
      <c r="X100" s="789">
        <f>SUM('Determination Lookup'!P13:P18)</f>
        <v>1109.5112280953947</v>
      </c>
      <c r="Y100" s="789">
        <f>SUM('Determination Lookup'!Q13:Q18)</f>
        <v>829.31472941982076</v>
      </c>
      <c r="Z100" s="789">
        <f>SUM('Determination Lookup'!R13:R18)</f>
        <v>831.8436266888491</v>
      </c>
      <c r="AA100" s="1841">
        <f>SUM('Determination Lookup'!S13:S18)</f>
        <v>678.85510206620143</v>
      </c>
      <c r="AB100" s="789"/>
    </row>
    <row r="101" spans="2:32">
      <c r="C101" s="769" t="s">
        <v>1440</v>
      </c>
      <c r="D101" s="819">
        <f ca="1">Indicators_FO!V225</f>
        <v>2.0505948090367712</v>
      </c>
      <c r="E101" s="819">
        <f ca="1">Indicators_FO!W225</f>
        <v>2.1056701853388624</v>
      </c>
      <c r="F101" s="819">
        <f ca="1">Indicators_FO!X225</f>
        <v>2.2696778091722414</v>
      </c>
      <c r="G101" s="819">
        <f ca="1">Indicators_FO!Y225</f>
        <v>1.886308901794771</v>
      </c>
      <c r="H101" s="819">
        <f ca="1">Indicators_FO!Z225</f>
        <v>2.1014085674906093</v>
      </c>
      <c r="I101" s="819">
        <f ca="1">Indicators_FO!AA225</f>
        <v>2.0086710636508895</v>
      </c>
      <c r="J101" s="819">
        <f ca="1">Indicators_FO!AB225</f>
        <v>1.9894987638690764</v>
      </c>
      <c r="K101" s="819">
        <f ca="1">Indicators_FO!AC225</f>
        <v>1.9230661620230858</v>
      </c>
      <c r="L101" s="819">
        <f ca="1">Indicators_FO!AD225</f>
        <v>1.9228988412265136</v>
      </c>
      <c r="M101" s="819">
        <f ca="1">Indicators_FO!AE225</f>
        <v>1.950256095627622</v>
      </c>
      <c r="N101" s="819">
        <f ca="1">Indicators_FO!AF225</f>
        <v>1.9923847586405761</v>
      </c>
      <c r="O101" s="819">
        <f ca="1">Indicators_FO!AG225</f>
        <v>2.0118127272508892</v>
      </c>
      <c r="P101" s="819">
        <f ca="1">Indicators_FO!AH225</f>
        <v>2.0612307366714226</v>
      </c>
      <c r="Q101" s="819">
        <f ca="1">Indicators_FO!AI225</f>
        <v>2.1206453236153417</v>
      </c>
      <c r="R101" s="819">
        <f ca="1">Indicators_FO!AJ225</f>
        <v>2.1644842226462835</v>
      </c>
      <c r="U101" s="779" t="s">
        <v>1441</v>
      </c>
      <c r="AA101" s="1841">
        <f>SUM('Determination Lookup'!S13:S18)</f>
        <v>678.85510206620143</v>
      </c>
      <c r="AB101" s="789">
        <f>SUM('Determination Lookup'!T13:T18)</f>
        <v>807.53216060687657</v>
      </c>
      <c r="AC101" s="789">
        <f>SUM('Determination Lookup'!U13:U18)</f>
        <v>770.44178331775004</v>
      </c>
      <c r="AD101" s="789">
        <f>SUM('Determination Lookup'!V13:V18)</f>
        <v>784.80776674452045</v>
      </c>
      <c r="AE101" s="789">
        <f>SUM('Determination Lookup'!W13:W18)</f>
        <v>814.24641575700412</v>
      </c>
      <c r="AF101" s="789">
        <f>SUM('Determination Lookup'!X13:X18)</f>
        <v>786.28968618234512</v>
      </c>
    </row>
    <row r="102" spans="2:32">
      <c r="U102" s="779" t="s">
        <v>1442</v>
      </c>
      <c r="V102" s="789">
        <f>Summary_FO!Z19</f>
        <v>797.02440927545513</v>
      </c>
      <c r="W102" s="789">
        <f>Summary_FO!AA19</f>
        <v>751.86183677857571</v>
      </c>
      <c r="X102" s="789">
        <f>Summary_FO!AB19</f>
        <v>883.33185422705719</v>
      </c>
      <c r="Y102" s="789">
        <f>Summary_FO!AC19</f>
        <v>975.48484394204763</v>
      </c>
      <c r="Z102" s="789">
        <f>Summary_FO!AD19</f>
        <v>1058.7332364874123</v>
      </c>
      <c r="AA102" s="1841">
        <f>Summary_FO!AE19</f>
        <v>678.85510206620143</v>
      </c>
      <c r="AB102" s="789"/>
    </row>
    <row r="103" spans="2:32" ht="15.75">
      <c r="B103" s="768" t="s">
        <v>1443</v>
      </c>
      <c r="U103" s="779" t="s">
        <v>1444</v>
      </c>
      <c r="AA103" s="1841">
        <f>Summary_FO!AE19</f>
        <v>678.85510206620143</v>
      </c>
      <c r="AB103" s="789">
        <f>Summary_FO!AF19</f>
        <v>1427.8676842478524</v>
      </c>
      <c r="AC103" s="789">
        <f>Summary_FO!AG19</f>
        <v>1570.164250393809</v>
      </c>
      <c r="AD103" s="789">
        <f>Summary_FO!AH19</f>
        <v>1607.4161999295407</v>
      </c>
      <c r="AE103" s="789">
        <f>Summary_FO!AI19</f>
        <v>1650.5477325991501</v>
      </c>
      <c r="AF103" s="789">
        <f>Summary_FO!AJ19</f>
        <v>1600.0870518966058</v>
      </c>
    </row>
    <row r="104" spans="2:32">
      <c r="D104" s="771" t="str">
        <f>D100</f>
        <v>2021-22</v>
      </c>
      <c r="E104" s="771" t="str">
        <f t="shared" ref="E104:R104" si="27">E100</f>
        <v>2022-23</v>
      </c>
      <c r="F104" s="771" t="str">
        <f t="shared" si="27"/>
        <v>2023-24</v>
      </c>
      <c r="G104" s="771" t="str">
        <f t="shared" si="27"/>
        <v>2024-25</v>
      </c>
      <c r="H104" s="771" t="str">
        <f t="shared" si="27"/>
        <v>2025-26</v>
      </c>
      <c r="I104" s="771" t="str">
        <f t="shared" si="27"/>
        <v>2026-27</v>
      </c>
      <c r="J104" s="771" t="str">
        <f t="shared" si="27"/>
        <v>2027-28</v>
      </c>
      <c r="K104" s="771" t="str">
        <f t="shared" si="27"/>
        <v>2028-29</v>
      </c>
      <c r="L104" s="771" t="str">
        <f t="shared" si="27"/>
        <v>2029-30</v>
      </c>
      <c r="M104" s="771" t="str">
        <f t="shared" si="27"/>
        <v>2030-31</v>
      </c>
      <c r="N104" s="771" t="str">
        <f t="shared" si="27"/>
        <v>2031-32</v>
      </c>
      <c r="O104" s="771" t="str">
        <f t="shared" si="27"/>
        <v>2032-33</v>
      </c>
      <c r="P104" s="771" t="str">
        <f t="shared" si="27"/>
        <v>2033-34</v>
      </c>
      <c r="Q104" s="771" t="str">
        <f t="shared" si="27"/>
        <v>2034-35</v>
      </c>
      <c r="R104" s="771" t="str">
        <f t="shared" si="27"/>
        <v>2035-36</v>
      </c>
    </row>
    <row r="105" spans="2:32">
      <c r="C105" s="769" t="s">
        <v>182</v>
      </c>
      <c r="D105" s="818">
        <f ca="1">Indicators_FO!V262</f>
        <v>1.2737926113546671</v>
      </c>
      <c r="E105" s="818">
        <f ca="1">Indicators_FO!W262</f>
        <v>1.0393236867415432</v>
      </c>
      <c r="F105" s="818">
        <f ca="1">Indicators_FO!X262</f>
        <v>0.89126274541510975</v>
      </c>
      <c r="G105" s="818">
        <f ca="1">Indicators_FO!Y262</f>
        <v>0.62592268212421853</v>
      </c>
      <c r="H105" s="818">
        <f ca="1">Indicators_FO!Z262</f>
        <v>1.3713077405800258</v>
      </c>
      <c r="I105" s="818">
        <f ca="1">Indicators_FO!AA262</f>
        <v>0.48684089510544709</v>
      </c>
      <c r="J105" s="818">
        <f ca="1">Indicators_FO!AB262</f>
        <v>0.46535700313013234</v>
      </c>
      <c r="K105" s="818">
        <f ca="1">Indicators_FO!AC262</f>
        <v>0.47248764190731463</v>
      </c>
      <c r="L105" s="818">
        <f ca="1">Indicators_FO!AD262</f>
        <v>0.48443399158390782</v>
      </c>
      <c r="M105" s="818">
        <f ca="1">Indicators_FO!AE262</f>
        <v>0.52615955855882812</v>
      </c>
      <c r="N105" s="818">
        <f ca="1">Indicators_FO!AF262</f>
        <v>0.47009923215609772</v>
      </c>
      <c r="O105" s="818">
        <f ca="1">Indicators_FO!AG262</f>
        <v>0.45749322002489912</v>
      </c>
      <c r="P105" s="818">
        <f ca="1">Indicators_FO!AH262</f>
        <v>0.52608155143230095</v>
      </c>
      <c r="Q105" s="818">
        <f ca="1">Indicators_FO!AI262</f>
        <v>0.47336301272493531</v>
      </c>
      <c r="R105" s="818">
        <f ca="1">Indicators_FO!AJ262</f>
        <v>0.45556903733639625</v>
      </c>
    </row>
    <row r="108" spans="2:32" ht="15.75">
      <c r="B108" s="768" t="s">
        <v>1445</v>
      </c>
    </row>
    <row r="110" spans="2:32">
      <c r="F110" s="63"/>
      <c r="G110" s="63"/>
      <c r="H110" s="63"/>
      <c r="I110" s="1755" t="str">
        <f t="shared" ref="I110:R110" si="28">+I$131</f>
        <v>2026-27</v>
      </c>
      <c r="J110" s="1755" t="str">
        <f t="shared" si="28"/>
        <v>2027-28</v>
      </c>
      <c r="K110" s="1755" t="str">
        <f t="shared" si="28"/>
        <v>2028-29</v>
      </c>
      <c r="L110" s="1755" t="str">
        <f t="shared" si="28"/>
        <v>2029-30</v>
      </c>
      <c r="M110" s="1755" t="str">
        <f t="shared" si="28"/>
        <v>2030-31</v>
      </c>
      <c r="N110" s="1755" t="str">
        <f t="shared" si="28"/>
        <v>2031-32</v>
      </c>
      <c r="O110" s="1755" t="str">
        <f t="shared" si="28"/>
        <v>2032-33</v>
      </c>
      <c r="P110" s="1755" t="str">
        <f t="shared" si="28"/>
        <v>2033-34</v>
      </c>
      <c r="Q110" s="1755" t="str">
        <f t="shared" si="28"/>
        <v>2034-35</v>
      </c>
      <c r="R110" s="1755" t="str">
        <f t="shared" si="28"/>
        <v>2035-36</v>
      </c>
    </row>
    <row r="111" spans="2:32">
      <c r="F111" s="63"/>
      <c r="G111" s="63"/>
      <c r="H111" s="483" t="s">
        <v>1446</v>
      </c>
      <c r="I111" s="1756">
        <f>+Opex_FO_Summary!AA76</f>
        <v>545.45973319354857</v>
      </c>
      <c r="J111" s="1756">
        <f>+Opex_FO_Summary!AB76</f>
        <v>551.14985044551531</v>
      </c>
      <c r="K111" s="1756">
        <f>+Opex_FO_Summary!AC76</f>
        <v>561.95351311879085</v>
      </c>
      <c r="L111" s="1756">
        <f>+Opex_FO_Summary!AD76</f>
        <v>565.25181980440391</v>
      </c>
      <c r="M111" s="1756">
        <f>+Opex_FO_Summary!AE76</f>
        <v>566.14799284372623</v>
      </c>
      <c r="N111" s="1756">
        <f>+Opex_FO_Summary!AF76</f>
        <v>565.72662591603273</v>
      </c>
      <c r="O111" s="1756">
        <f>+Opex_FO_Summary!AG76</f>
        <v>564.92478358474887</v>
      </c>
      <c r="P111" s="1756">
        <f>+Opex_FO_Summary!AH76</f>
        <v>563.84208181640088</v>
      </c>
      <c r="Q111" s="1756">
        <f>+Opex_FO_Summary!AI76</f>
        <v>564.75118862126078</v>
      </c>
      <c r="R111" s="1756">
        <f>+Opex_FO_Summary!AJ76</f>
        <v>562.37815884444956</v>
      </c>
    </row>
    <row r="112" spans="2:32">
      <c r="F112" s="63"/>
      <c r="G112" s="63"/>
      <c r="H112" s="617" t="s">
        <v>1447</v>
      </c>
      <c r="I112" s="1757"/>
      <c r="J112" s="1757">
        <f t="shared" ref="J112:R112" si="29">+J111-I111</f>
        <v>5.6901172519667398</v>
      </c>
      <c r="K112" s="1757">
        <f t="shared" si="29"/>
        <v>10.803662673275539</v>
      </c>
      <c r="L112" s="1757">
        <f t="shared" si="29"/>
        <v>3.2983066856130563</v>
      </c>
      <c r="M112" s="1757">
        <f t="shared" si="29"/>
        <v>0.89617303932232062</v>
      </c>
      <c r="N112" s="1757">
        <f t="shared" si="29"/>
        <v>-0.42136692769349793</v>
      </c>
      <c r="O112" s="1757">
        <f t="shared" si="29"/>
        <v>-0.80184233128386495</v>
      </c>
      <c r="P112" s="1757">
        <f t="shared" si="29"/>
        <v>-1.082701768347988</v>
      </c>
      <c r="Q112" s="1757">
        <f t="shared" si="29"/>
        <v>0.9091068048599027</v>
      </c>
      <c r="R112" s="1757">
        <f t="shared" si="29"/>
        <v>-2.3730297768112223</v>
      </c>
    </row>
    <row r="113" spans="6:18">
      <c r="F113" s="63"/>
      <c r="G113" s="63"/>
      <c r="H113" s="617" t="s">
        <v>1448</v>
      </c>
      <c r="I113" s="1758" t="str">
        <f>IFERROR(I112/#REF!,"")</f>
        <v/>
      </c>
      <c r="J113" s="1758">
        <f t="shared" ref="J113:R113" si="30">IFERROR(J112/I111,"")</f>
        <v>1.0431782413437443E-2</v>
      </c>
      <c r="K113" s="1758">
        <f t="shared" si="30"/>
        <v>1.9602042284040409E-2</v>
      </c>
      <c r="L113" s="1758">
        <f t="shared" si="30"/>
        <v>5.869358601048251E-3</v>
      </c>
      <c r="M113" s="1758">
        <f t="shared" si="30"/>
        <v>1.5854403434427272E-3</v>
      </c>
      <c r="N113" s="1758">
        <f t="shared" si="30"/>
        <v>-7.4426993121886383E-4</v>
      </c>
      <c r="O113" s="1758">
        <f t="shared" si="30"/>
        <v>-1.4173671426291987E-3</v>
      </c>
      <c r="P113" s="1758">
        <f t="shared" si="30"/>
        <v>-1.9165414579223594E-3</v>
      </c>
      <c r="Q113" s="1758">
        <f t="shared" si="30"/>
        <v>1.6123429488115566E-3</v>
      </c>
      <c r="R113" s="1758">
        <f t="shared" si="30"/>
        <v>-4.2019031117128784E-3</v>
      </c>
    </row>
    <row r="114" spans="6:18">
      <c r="F114" s="63"/>
      <c r="G114" s="63"/>
      <c r="H114" s="63"/>
      <c r="I114" s="63"/>
      <c r="J114" s="63"/>
      <c r="K114" s="63"/>
      <c r="L114" s="63"/>
      <c r="M114" s="63"/>
      <c r="N114" s="63"/>
      <c r="O114" s="63"/>
      <c r="P114" s="63"/>
      <c r="Q114" s="63"/>
      <c r="R114" s="63"/>
    </row>
    <row r="115" spans="6:18">
      <c r="F115" s="63"/>
      <c r="G115" s="63"/>
      <c r="H115" s="63"/>
      <c r="I115" s="1755" t="str">
        <f t="shared" ref="I115:R115" si="31">+I$131</f>
        <v>2026-27</v>
      </c>
      <c r="J115" s="1755" t="str">
        <f t="shared" si="31"/>
        <v>2027-28</v>
      </c>
      <c r="K115" s="1755" t="str">
        <f t="shared" si="31"/>
        <v>2028-29</v>
      </c>
      <c r="L115" s="1755" t="str">
        <f t="shared" si="31"/>
        <v>2029-30</v>
      </c>
      <c r="M115" s="1755" t="str">
        <f t="shared" si="31"/>
        <v>2030-31</v>
      </c>
      <c r="N115" s="1755" t="str">
        <f t="shared" si="31"/>
        <v>2031-32</v>
      </c>
      <c r="O115" s="1755" t="str">
        <f t="shared" si="31"/>
        <v>2032-33</v>
      </c>
      <c r="P115" s="1755" t="str">
        <f t="shared" si="31"/>
        <v>2033-34</v>
      </c>
      <c r="Q115" s="1755" t="str">
        <f t="shared" si="31"/>
        <v>2034-35</v>
      </c>
      <c r="R115" s="1755" t="str">
        <f t="shared" si="31"/>
        <v>2035-36</v>
      </c>
    </row>
    <row r="116" spans="6:18">
      <c r="F116" s="63"/>
      <c r="G116" s="63"/>
      <c r="H116" s="483" t="s">
        <v>1449</v>
      </c>
      <c r="I116" s="1756">
        <f>+Opex_FO_Summary!AA83</f>
        <v>569.63264090720713</v>
      </c>
      <c r="J116" s="1756">
        <f>+Opex_FO_Summary!AB83</f>
        <v>557.40691877124016</v>
      </c>
      <c r="K116" s="1756">
        <f>+Opex_FO_Summary!AC83</f>
        <v>552.50836712946898</v>
      </c>
      <c r="L116" s="1756">
        <f>+Opex_FO_Summary!AD83</f>
        <v>531.55884161976178</v>
      </c>
      <c r="M116" s="1756">
        <f>+Opex_FO_Summary!AE83</f>
        <v>510.85754919950347</v>
      </c>
      <c r="N116" s="1756">
        <f>+Opex_FO_Summary!AF83</f>
        <v>488.58373966802463</v>
      </c>
      <c r="O116" s="1756">
        <f>+Opex_FO_Summary!AG83</f>
        <v>464.54818817739465</v>
      </c>
      <c r="P116" s="1756">
        <f>+Opex_FO_Summary!AH83</f>
        <v>429.38012434850913</v>
      </c>
      <c r="Q116" s="1756">
        <f>+Opex_FO_Summary!AI83</f>
        <v>402.47349863105825</v>
      </c>
      <c r="R116" s="1756">
        <f>+Opex_FO_Summary!AJ83</f>
        <v>374.45007434269405</v>
      </c>
    </row>
    <row r="117" spans="6:18">
      <c r="F117" s="63"/>
      <c r="G117" s="63"/>
      <c r="H117" s="617" t="s">
        <v>1447</v>
      </c>
      <c r="I117" s="1757"/>
      <c r="J117" s="1757">
        <f t="shared" ref="J117:R117" si="32">+J116-I116</f>
        <v>-12.225722135966976</v>
      </c>
      <c r="K117" s="1757">
        <f t="shared" si="32"/>
        <v>-4.8985516417711779</v>
      </c>
      <c r="L117" s="1757">
        <f t="shared" si="32"/>
        <v>-20.9495255097072</v>
      </c>
      <c r="M117" s="1757">
        <f t="shared" si="32"/>
        <v>-20.701292420258312</v>
      </c>
      <c r="N117" s="1757">
        <f t="shared" si="32"/>
        <v>-22.273809531478832</v>
      </c>
      <c r="O117" s="1757">
        <f t="shared" si="32"/>
        <v>-24.035551490629985</v>
      </c>
      <c r="P117" s="1757">
        <f t="shared" si="32"/>
        <v>-35.168063828885522</v>
      </c>
      <c r="Q117" s="1757">
        <f t="shared" si="32"/>
        <v>-26.906625717450879</v>
      </c>
      <c r="R117" s="1757">
        <f t="shared" si="32"/>
        <v>-28.023424288364197</v>
      </c>
    </row>
    <row r="118" spans="6:18">
      <c r="F118" s="63"/>
      <c r="G118" s="63"/>
      <c r="H118" s="617" t="s">
        <v>1448</v>
      </c>
      <c r="I118" s="1758" t="str">
        <f>IFERROR(I117/#REF!,"")</f>
        <v/>
      </c>
      <c r="J118" s="1758">
        <f t="shared" ref="J118:R118" si="33">IFERROR(J117/I116,"")</f>
        <v>-2.1462467664240713E-2</v>
      </c>
      <c r="K118" s="1758">
        <f t="shared" si="33"/>
        <v>-8.7881069947421016E-3</v>
      </c>
      <c r="L118" s="1758">
        <f t="shared" si="33"/>
        <v>-3.7917119008621478E-2</v>
      </c>
      <c r="M118" s="1758">
        <f t="shared" si="33"/>
        <v>-3.8944498330942066E-2</v>
      </c>
      <c r="N118" s="1758">
        <f t="shared" si="33"/>
        <v>-4.3600822903334092E-2</v>
      </c>
      <c r="O118" s="1758">
        <f t="shared" si="33"/>
        <v>-4.9194333620192293E-2</v>
      </c>
      <c r="P118" s="1758">
        <f t="shared" si="33"/>
        <v>-7.5703801508436988E-2</v>
      </c>
      <c r="Q118" s="1758">
        <f t="shared" si="33"/>
        <v>-6.2663882633775439E-2</v>
      </c>
      <c r="R118" s="1758">
        <f t="shared" si="33"/>
        <v>-6.9627998821489789E-2</v>
      </c>
    </row>
    <row r="119" spans="6:18">
      <c r="F119" s="63"/>
      <c r="G119" s="63"/>
      <c r="H119" s="63"/>
      <c r="I119" s="63"/>
      <c r="J119" s="63"/>
      <c r="K119" s="63"/>
      <c r="L119" s="63"/>
      <c r="M119" s="63"/>
      <c r="N119" s="63"/>
      <c r="O119" s="63"/>
      <c r="P119" s="63"/>
      <c r="Q119" s="63"/>
      <c r="R119" s="63"/>
    </row>
    <row r="120" spans="6:18">
      <c r="F120" s="63"/>
      <c r="G120" s="63"/>
      <c r="H120" s="63"/>
      <c r="I120" s="1755" t="str">
        <f t="shared" ref="I120:R120" si="34">+I$131</f>
        <v>2026-27</v>
      </c>
      <c r="J120" s="1755" t="str">
        <f t="shared" si="34"/>
        <v>2027-28</v>
      </c>
      <c r="K120" s="1755" t="str">
        <f t="shared" si="34"/>
        <v>2028-29</v>
      </c>
      <c r="L120" s="1755" t="str">
        <f t="shared" si="34"/>
        <v>2029-30</v>
      </c>
      <c r="M120" s="1755" t="str">
        <f t="shared" si="34"/>
        <v>2030-31</v>
      </c>
      <c r="N120" s="1755" t="str">
        <f t="shared" si="34"/>
        <v>2031-32</v>
      </c>
      <c r="O120" s="1755" t="str">
        <f t="shared" si="34"/>
        <v>2032-33</v>
      </c>
      <c r="P120" s="1755" t="str">
        <f t="shared" si="34"/>
        <v>2033-34</v>
      </c>
      <c r="Q120" s="1755" t="str">
        <f t="shared" si="34"/>
        <v>2034-35</v>
      </c>
      <c r="R120" s="1755" t="str">
        <f t="shared" si="34"/>
        <v>2035-36</v>
      </c>
    </row>
    <row r="121" spans="6:18">
      <c r="F121" s="63"/>
      <c r="G121" s="63"/>
      <c r="H121" s="483" t="s">
        <v>1450</v>
      </c>
      <c r="I121" s="1756">
        <f t="shared" ref="I121:R121" si="35">+I111+I116</f>
        <v>1115.0923741007557</v>
      </c>
      <c r="J121" s="1756">
        <f t="shared" si="35"/>
        <v>1108.5567692167556</v>
      </c>
      <c r="K121" s="1756">
        <f t="shared" si="35"/>
        <v>1114.4618802482598</v>
      </c>
      <c r="L121" s="1756">
        <f t="shared" si="35"/>
        <v>1096.8106614241656</v>
      </c>
      <c r="M121" s="1756">
        <f t="shared" si="35"/>
        <v>1077.0055420432298</v>
      </c>
      <c r="N121" s="1756">
        <f t="shared" si="35"/>
        <v>1054.3103655840573</v>
      </c>
      <c r="O121" s="1756">
        <f t="shared" si="35"/>
        <v>1029.4729717621435</v>
      </c>
      <c r="P121" s="1756">
        <f t="shared" si="35"/>
        <v>993.22220616490995</v>
      </c>
      <c r="Q121" s="1756">
        <f t="shared" si="35"/>
        <v>967.22468725231897</v>
      </c>
      <c r="R121" s="1756">
        <f t="shared" si="35"/>
        <v>936.82823318714361</v>
      </c>
    </row>
    <row r="122" spans="6:18">
      <c r="F122" s="63"/>
      <c r="G122" s="63"/>
      <c r="H122" s="617" t="s">
        <v>1447</v>
      </c>
      <c r="I122" s="1757"/>
      <c r="J122" s="1757">
        <f t="shared" ref="J122:R122" si="36">+J121-I121</f>
        <v>-6.5356048840001222</v>
      </c>
      <c r="K122" s="1757">
        <f t="shared" si="36"/>
        <v>5.9051110315042479</v>
      </c>
      <c r="L122" s="1757">
        <f t="shared" si="36"/>
        <v>-17.651218824094258</v>
      </c>
      <c r="M122" s="1757">
        <f t="shared" si="36"/>
        <v>-19.805119380935821</v>
      </c>
      <c r="N122" s="1757">
        <f t="shared" si="36"/>
        <v>-22.695176459172444</v>
      </c>
      <c r="O122" s="1757">
        <f t="shared" si="36"/>
        <v>-24.837393821913793</v>
      </c>
      <c r="P122" s="1757">
        <f t="shared" si="36"/>
        <v>-36.250765597233567</v>
      </c>
      <c r="Q122" s="1757">
        <f t="shared" si="36"/>
        <v>-25.997518912590976</v>
      </c>
      <c r="R122" s="1757">
        <f t="shared" si="36"/>
        <v>-30.396454065175362</v>
      </c>
    </row>
    <row r="123" spans="6:18">
      <c r="F123" s="63"/>
      <c r="G123" s="63"/>
      <c r="H123" s="617" t="s">
        <v>1448</v>
      </c>
      <c r="I123" s="1758" t="str">
        <f>IFERROR(I122/#REF!,"")</f>
        <v/>
      </c>
      <c r="J123" s="1758">
        <f t="shared" ref="J123:R123" si="37">IFERROR(J122/I121,"")</f>
        <v>-5.8610434756767409E-3</v>
      </c>
      <c r="K123" s="1758">
        <f t="shared" si="37"/>
        <v>5.3268458553335707E-3</v>
      </c>
      <c r="L123" s="1758">
        <f t="shared" si="37"/>
        <v>-1.5838333402809827E-2</v>
      </c>
      <c r="M123" s="1758">
        <f t="shared" si="37"/>
        <v>-1.805700844958933E-2</v>
      </c>
      <c r="N123" s="1758">
        <f t="shared" si="37"/>
        <v>-2.1072478806484624E-2</v>
      </c>
      <c r="O123" s="1758">
        <f t="shared" si="37"/>
        <v>-2.3557952793297823E-2</v>
      </c>
      <c r="P123" s="1758">
        <f t="shared" si="37"/>
        <v>-3.5212935736606395E-2</v>
      </c>
      <c r="Q123" s="1758">
        <f t="shared" si="37"/>
        <v>-2.6174927172615461E-2</v>
      </c>
      <c r="R123" s="1758">
        <f t="shared" si="37"/>
        <v>-3.1426466327617496E-2</v>
      </c>
    </row>
    <row r="124" spans="6:18">
      <c r="F124" s="63"/>
      <c r="G124" s="63"/>
      <c r="H124" s="63"/>
      <c r="I124" s="63"/>
      <c r="J124" s="63"/>
      <c r="K124" s="63"/>
      <c r="L124" s="63"/>
      <c r="M124" s="63"/>
      <c r="N124" s="63"/>
      <c r="O124" s="63"/>
      <c r="P124" s="63"/>
      <c r="Q124" s="63"/>
      <c r="R124" s="63"/>
    </row>
    <row r="125" spans="6:18">
      <c r="F125" s="63"/>
      <c r="G125" s="63"/>
      <c r="H125" s="63"/>
      <c r="I125" s="63"/>
      <c r="J125" s="63"/>
      <c r="K125" s="63"/>
      <c r="L125" s="63"/>
      <c r="M125" s="63"/>
      <c r="N125" s="63"/>
      <c r="O125" s="63"/>
      <c r="P125" s="63"/>
      <c r="Q125" s="63"/>
      <c r="R125" s="63"/>
    </row>
    <row r="126" spans="6:18">
      <c r="F126" s="63"/>
      <c r="G126" s="63"/>
      <c r="H126" s="483" t="s">
        <v>1451</v>
      </c>
      <c r="I126" s="1755" t="str">
        <f t="shared" ref="I126:R126" si="38">+I$131</f>
        <v>2026-27</v>
      </c>
      <c r="J126" s="1755" t="str">
        <f t="shared" si="38"/>
        <v>2027-28</v>
      </c>
      <c r="K126" s="1755" t="str">
        <f t="shared" si="38"/>
        <v>2028-29</v>
      </c>
      <c r="L126" s="1755" t="str">
        <f t="shared" si="38"/>
        <v>2029-30</v>
      </c>
      <c r="M126" s="1755" t="str">
        <f t="shared" si="38"/>
        <v>2030-31</v>
      </c>
      <c r="N126" s="1755" t="str">
        <f t="shared" si="38"/>
        <v>2031-32</v>
      </c>
      <c r="O126" s="1755" t="str">
        <f t="shared" si="38"/>
        <v>2032-33</v>
      </c>
      <c r="P126" s="1755" t="str">
        <f t="shared" si="38"/>
        <v>2033-34</v>
      </c>
      <c r="Q126" s="1755" t="str">
        <f t="shared" si="38"/>
        <v>2034-35</v>
      </c>
      <c r="R126" s="1755" t="str">
        <f t="shared" si="38"/>
        <v>2035-36</v>
      </c>
    </row>
    <row r="127" spans="6:18">
      <c r="F127" s="63"/>
      <c r="G127" s="63"/>
      <c r="H127" s="617" t="s">
        <v>1452</v>
      </c>
      <c r="I127" s="1759">
        <f>+Opex_FO_Summary!AA76/Opex_FO_Summary!AA86</f>
        <v>0.48916102904337755</v>
      </c>
      <c r="J127" s="1759">
        <f>+Opex_FO_Summary!AB76/Opex_FO_Summary!AB86</f>
        <v>0.49717783134816546</v>
      </c>
      <c r="K127" s="1759">
        <f>+Opex_FO_Summary!AC76/Opex_FO_Summary!AC86</f>
        <v>0.50423753658905668</v>
      </c>
      <c r="L127" s="1759">
        <f>+Opex_FO_Summary!AD76/Opex_FO_Summary!AD86</f>
        <v>0.51535952346638081</v>
      </c>
      <c r="M127" s="1759">
        <f>+Opex_FO_Summary!AE76/Opex_FO_Summary!AE86</f>
        <v>0.52566859755397777</v>
      </c>
      <c r="N127" s="1759">
        <f>+Opex_FO_Summary!AF76/Opex_FO_Summary!AF86</f>
        <v>0.53658452423792369</v>
      </c>
      <c r="O127" s="1759">
        <f>+Opex_FO_Summary!AG76/Opex_FO_Summary!AG86</f>
        <v>0.54875144766333206</v>
      </c>
      <c r="P127" s="1759">
        <f>+Opex_FO_Summary!AH76/Opex_FO_Summary!AH86</f>
        <v>0.56768976601272569</v>
      </c>
      <c r="Q127" s="1759">
        <f>+Opex_FO_Summary!AI76/Opex_FO_Summary!AI86</f>
        <v>0.5838883106112599</v>
      </c>
      <c r="R127" s="1759">
        <f>+Opex_FO_Summary!AJ76/Opex_FO_Summary!AJ86</f>
        <v>0.60030018195673573</v>
      </c>
    </row>
    <row r="128" spans="6:18">
      <c r="F128" s="63"/>
      <c r="G128" s="63"/>
      <c r="H128" s="617" t="s">
        <v>1453</v>
      </c>
      <c r="I128" s="1760">
        <f>+Opex_FO_Summary!AA83/Opex_FO_Summary!AA86</f>
        <v>0.51083897095662245</v>
      </c>
      <c r="J128" s="1760">
        <f>+Opex_FO_Summary!AB83/Opex_FO_Summary!AB86</f>
        <v>0.50282216865183438</v>
      </c>
      <c r="K128" s="1760">
        <f>+Opex_FO_Summary!AC83/Opex_FO_Summary!AC86</f>
        <v>0.49576246341094327</v>
      </c>
      <c r="L128" s="1760">
        <f>+Opex_FO_Summary!AD83/Opex_FO_Summary!AD86</f>
        <v>0.4846404765336193</v>
      </c>
      <c r="M128" s="1760">
        <f>+Opex_FO_Summary!AE83/Opex_FO_Summary!AE86</f>
        <v>0.47433140244602218</v>
      </c>
      <c r="N128" s="1760">
        <f>+Opex_FO_Summary!AF83/Opex_FO_Summary!AF86</f>
        <v>0.46341547576207642</v>
      </c>
      <c r="O128" s="1760">
        <f>+Opex_FO_Summary!AG83/Opex_FO_Summary!AG86</f>
        <v>0.45124855233666789</v>
      </c>
      <c r="P128" s="1760">
        <f>+Opex_FO_Summary!AH83/Opex_FO_Summary!AH86</f>
        <v>0.43231023398727442</v>
      </c>
      <c r="Q128" s="1760">
        <f>+Opex_FO_Summary!AI83/Opex_FO_Summary!AI86</f>
        <v>0.4161116893887401</v>
      </c>
      <c r="R128" s="1760">
        <f>+Opex_FO_Summary!AJ83/Opex_FO_Summary!AJ86</f>
        <v>0.39969981804326427</v>
      </c>
    </row>
    <row r="129" spans="6:18">
      <c r="F129" s="63"/>
      <c r="G129" s="63"/>
      <c r="H129" s="63"/>
      <c r="I129" s="1761">
        <f t="shared" ref="I129:R129" si="39">SUM(I127:I128)</f>
        <v>1</v>
      </c>
      <c r="J129" s="1761">
        <f t="shared" si="39"/>
        <v>0.99999999999999978</v>
      </c>
      <c r="K129" s="1761">
        <f t="shared" si="39"/>
        <v>1</v>
      </c>
      <c r="L129" s="1761">
        <f t="shared" si="39"/>
        <v>1</v>
      </c>
      <c r="M129" s="1761">
        <f t="shared" si="39"/>
        <v>1</v>
      </c>
      <c r="N129" s="1761">
        <f t="shared" si="39"/>
        <v>1</v>
      </c>
      <c r="O129" s="1761">
        <f t="shared" si="39"/>
        <v>1</v>
      </c>
      <c r="P129" s="1761">
        <f t="shared" si="39"/>
        <v>1</v>
      </c>
      <c r="Q129" s="1761">
        <f t="shared" si="39"/>
        <v>1</v>
      </c>
      <c r="R129" s="1761">
        <f t="shared" si="39"/>
        <v>1</v>
      </c>
    </row>
    <row r="130" spans="6:18">
      <c r="F130" s="63"/>
      <c r="G130" s="63"/>
      <c r="H130" s="63"/>
      <c r="I130" s="63"/>
      <c r="J130" s="63"/>
      <c r="K130" s="63"/>
      <c r="L130" s="63"/>
      <c r="M130" s="63"/>
      <c r="N130" s="63"/>
      <c r="O130" s="63"/>
      <c r="P130" s="63"/>
      <c r="Q130" s="63"/>
      <c r="R130" s="63"/>
    </row>
    <row r="131" spans="6:18">
      <c r="F131" s="67" t="s">
        <v>1454</v>
      </c>
      <c r="G131" s="1755" t="str">
        <f t="shared" ref="G131:R131" si="40">G161</f>
        <v>2024-25</v>
      </c>
      <c r="H131" s="1755" t="str">
        <f t="shared" si="40"/>
        <v>2025-26</v>
      </c>
      <c r="I131" s="1755" t="str">
        <f t="shared" si="40"/>
        <v>2026-27</v>
      </c>
      <c r="J131" s="1755" t="str">
        <f t="shared" si="40"/>
        <v>2027-28</v>
      </c>
      <c r="K131" s="1755" t="str">
        <f t="shared" si="40"/>
        <v>2028-29</v>
      </c>
      <c r="L131" s="1755" t="str">
        <f t="shared" si="40"/>
        <v>2029-30</v>
      </c>
      <c r="M131" s="1755" t="str">
        <f t="shared" si="40"/>
        <v>2030-31</v>
      </c>
      <c r="N131" s="1755" t="str">
        <f t="shared" si="40"/>
        <v>2031-32</v>
      </c>
      <c r="O131" s="1755" t="str">
        <f t="shared" si="40"/>
        <v>2032-33</v>
      </c>
      <c r="P131" s="1755" t="str">
        <f t="shared" si="40"/>
        <v>2033-34</v>
      </c>
      <c r="Q131" s="1755" t="str">
        <f t="shared" si="40"/>
        <v>2034-35</v>
      </c>
      <c r="R131" s="1755" t="str">
        <f t="shared" si="40"/>
        <v>2035-36</v>
      </c>
    </row>
    <row r="132" spans="6:18">
      <c r="F132" s="1763" t="s">
        <v>1455</v>
      </c>
      <c r="G132" s="1764">
        <f>+G140-SUM(G133:G139)</f>
        <v>568.05319685796928</v>
      </c>
      <c r="H132" s="1765">
        <f>+H140-SUM(H133:H139)</f>
        <v>547.84335201999988</v>
      </c>
      <c r="I132" s="1632"/>
      <c r="J132" s="1632"/>
      <c r="K132" s="1632"/>
      <c r="L132" s="1632"/>
      <c r="M132" s="1632"/>
      <c r="N132" s="1632"/>
      <c r="O132" s="1632"/>
      <c r="P132" s="1632"/>
      <c r="Q132" s="1632"/>
      <c r="R132" s="1632"/>
    </row>
    <row r="133" spans="6:18">
      <c r="F133" s="1763" t="s">
        <v>1456</v>
      </c>
      <c r="G133" s="1766"/>
      <c r="H133" s="1767"/>
      <c r="I133" s="1766">
        <f>+Opex_FO_Summary!AA53</f>
        <v>517.87078686349673</v>
      </c>
      <c r="J133" s="1766">
        <f>+Opex_FO_Summary!AB53</f>
        <v>517.87078686349673</v>
      </c>
      <c r="K133" s="1766">
        <f>+Opex_FO_Summary!AC53</f>
        <v>517.87078686349673</v>
      </c>
      <c r="L133" s="1766">
        <f>+Opex_FO_Summary!AD53</f>
        <v>517.87078686349673</v>
      </c>
      <c r="M133" s="1766">
        <f>+Opex_FO_Summary!AE53</f>
        <v>517.87078686349673</v>
      </c>
      <c r="N133" s="1766">
        <f>+Opex_FO_Summary!AF53</f>
        <v>517.37956793484454</v>
      </c>
      <c r="O133" s="1766">
        <f>+Opex_FO_Summary!AG53</f>
        <v>516.88881494488203</v>
      </c>
      <c r="P133" s="1766">
        <f>+Opex_FO_Summary!AH53</f>
        <v>516.39852745164978</v>
      </c>
      <c r="Q133" s="1766">
        <f>+Opex_FO_Summary!AI53</f>
        <v>515.90870501360746</v>
      </c>
      <c r="R133" s="1766">
        <f>+Opex_FO_Summary!AJ53</f>
        <v>515.41934718963375</v>
      </c>
    </row>
    <row r="134" spans="6:18">
      <c r="F134" s="1763" t="s">
        <v>1420</v>
      </c>
      <c r="G134" s="1766"/>
      <c r="H134" s="1767"/>
      <c r="I134" s="1766">
        <f>+Opex_FO_Summary!AA55</f>
        <v>27.588946330051836</v>
      </c>
      <c r="J134" s="1766">
        <f>+Opex_FO_Summary!AB55</f>
        <v>33.279063582018608</v>
      </c>
      <c r="K134" s="1766">
        <f>+Opex_FO_Summary!AC55</f>
        <v>44.082726255294162</v>
      </c>
      <c r="L134" s="1766">
        <f>+Opex_FO_Summary!AD55</f>
        <v>47.381032940907176</v>
      </c>
      <c r="M134" s="1766">
        <f>+Opex_FO_Summary!AE55</f>
        <v>48.277205980229525</v>
      </c>
      <c r="N134" s="1766">
        <f>+Opex_FO_Summary!AF55</f>
        <v>48.347057981188236</v>
      </c>
      <c r="O134" s="1766">
        <f>+Opex_FO_Summary!AG55</f>
        <v>48.035968639866816</v>
      </c>
      <c r="P134" s="1766">
        <f>+Opex_FO_Summary!AH55</f>
        <v>47.443554364751122</v>
      </c>
      <c r="Q134" s="1766">
        <f>+Opex_FO_Summary!AI55</f>
        <v>48.842483607653264</v>
      </c>
      <c r="R134" s="1766">
        <f>+Opex_FO_Summary!AJ55</f>
        <v>46.958811654815776</v>
      </c>
    </row>
    <row r="135" spans="6:18">
      <c r="F135" s="1763" t="s">
        <v>439</v>
      </c>
      <c r="G135" s="1766">
        <f t="shared" ref="G135:H137" si="41">G164</f>
        <v>2.8978902757641918</v>
      </c>
      <c r="H135" s="1767">
        <f t="shared" si="41"/>
        <v>2.8978902757641918</v>
      </c>
      <c r="I135" s="1766">
        <f>+Opex_FO_Summary!AA79</f>
        <v>2.8978902757641918</v>
      </c>
      <c r="J135" s="1766">
        <f>+Opex_FO_Summary!AB79</f>
        <v>2.8978902757641918</v>
      </c>
      <c r="K135" s="1766">
        <f>+Opex_FO_Summary!AC79</f>
        <v>2.8978902757641918</v>
      </c>
      <c r="L135" s="1766">
        <f>+Opex_FO_Summary!AD79</f>
        <v>2.8978902757641918</v>
      </c>
      <c r="M135" s="1766">
        <f>+Opex_FO_Summary!AE79</f>
        <v>2.8978902757641918</v>
      </c>
      <c r="N135" s="1766">
        <f>+Opex_FO_Summary!AF79</f>
        <v>2.8978902757641918</v>
      </c>
      <c r="O135" s="1766">
        <f>+Opex_FO_Summary!AG79</f>
        <v>2.8978902757641918</v>
      </c>
      <c r="P135" s="1766">
        <f>+Opex_FO_Summary!AH79</f>
        <v>2.8978902757641918</v>
      </c>
      <c r="Q135" s="1766">
        <f>+Opex_FO_Summary!AI79</f>
        <v>2.8978902757641918</v>
      </c>
      <c r="R135" s="1766">
        <f>+Opex_FO_Summary!AJ79</f>
        <v>2.8978902757641918</v>
      </c>
    </row>
    <row r="136" spans="6:18">
      <c r="F136" s="1763" t="s">
        <v>1457</v>
      </c>
      <c r="G136" s="1766">
        <f t="shared" si="41"/>
        <v>3.665495499803495E-2</v>
      </c>
      <c r="H136" s="1767">
        <f t="shared" si="41"/>
        <v>3.5795243900000016E-2</v>
      </c>
      <c r="I136" s="1766">
        <f>+Opex_FO_Summary!AA80</f>
        <v>3.4786437220602547E-2</v>
      </c>
      <c r="J136" s="1766">
        <f>+Opex_FO_Summary!AB80</f>
        <v>3.3806061438875171E-2</v>
      </c>
      <c r="K136" s="1766">
        <f>+Opex_FO_Summary!AC80</f>
        <v>3.2853315295311152E-2</v>
      </c>
      <c r="L136" s="1766">
        <f>+Opex_FO_Summary!AD80</f>
        <v>3.1927420112061372E-2</v>
      </c>
      <c r="M136" s="1766">
        <f>+Opex_FO_Summary!AE80</f>
        <v>3.1027619156522229E-2</v>
      </c>
      <c r="N136" s="1766">
        <f>+Opex_FO_Summary!AF80</f>
        <v>3.0153177022859311E-2</v>
      </c>
      <c r="O136" s="1766">
        <f>+Opex_FO_Summary!AG80</f>
        <v>2.9303379030961432E-2</v>
      </c>
      <c r="P136" s="1766">
        <f>+Opex_FO_Summary!AH80</f>
        <v>2.8477530642333757E-2</v>
      </c>
      <c r="Q136" s="1766">
        <f>+Opex_FO_Summary!AI80</f>
        <v>2.7674956892452633E-2</v>
      </c>
      <c r="R136" s="1766">
        <f>+Opex_FO_Summary!AJ80</f>
        <v>2.6895001839118207E-2</v>
      </c>
    </row>
    <row r="137" spans="6:18">
      <c r="F137" s="1763" t="s">
        <v>1458</v>
      </c>
      <c r="G137" s="1766">
        <f t="shared" si="41"/>
        <v>547.30412034433414</v>
      </c>
      <c r="H137" s="1767">
        <f t="shared" si="41"/>
        <v>530.2797577844874</v>
      </c>
      <c r="I137" s="1766">
        <f>+Opex_FO_Summary!AA81</f>
        <v>519.65610716115782</v>
      </c>
      <c r="J137" s="1766">
        <f>+Opex_FO_Summary!AB81</f>
        <v>507.23378314127302</v>
      </c>
      <c r="K137" s="1766">
        <f>+Opex_FO_Summary!AC81</f>
        <v>502.13734976423558</v>
      </c>
      <c r="L137" s="1766">
        <f>+Opex_FO_Summary!AD81</f>
        <v>480.98866546624782</v>
      </c>
      <c r="M137" s="1766">
        <f>+Opex_FO_Summary!AE81</f>
        <v>460.29627939238156</v>
      </c>
      <c r="N137" s="1766">
        <f>+Opex_FO_Summary!AF81</f>
        <v>438.03112520239159</v>
      </c>
      <c r="O137" s="1766">
        <f>+Opex_FO_Summary!AG81</f>
        <v>414.00398512234364</v>
      </c>
      <c r="P137" s="1766">
        <f>+Opex_FO_Summary!AH81</f>
        <v>378.84409564776519</v>
      </c>
      <c r="Q137" s="1766">
        <f>+Opex_FO_Summary!AI81</f>
        <v>351.94541390923274</v>
      </c>
      <c r="R137" s="1766">
        <f>+Opex_FO_Summary!AJ81</f>
        <v>323.92970971699924</v>
      </c>
    </row>
    <row r="138" spans="6:18">
      <c r="F138" s="1763"/>
      <c r="G138" s="1766"/>
      <c r="H138" s="1767"/>
      <c r="I138" s="1766"/>
      <c r="J138" s="1766"/>
      <c r="K138" s="1766"/>
      <c r="L138" s="1766"/>
      <c r="M138" s="1766"/>
      <c r="N138" s="1766"/>
      <c r="O138" s="1766"/>
      <c r="P138" s="1766"/>
      <c r="Q138" s="1766"/>
      <c r="R138" s="1766"/>
    </row>
    <row r="139" spans="6:18">
      <c r="F139" s="1763" t="s">
        <v>440</v>
      </c>
      <c r="G139" s="1768">
        <f>G167</f>
        <v>46.284554643604579</v>
      </c>
      <c r="H139" s="1769">
        <f>H167</f>
        <v>52.760150598720088</v>
      </c>
      <c r="I139" s="1768">
        <f>+Opex_FO_Summary!AA82</f>
        <v>47.043857033064519</v>
      </c>
      <c r="J139" s="1768">
        <f>+Opex_FO_Summary!AB82</f>
        <v>47.241439292764042</v>
      </c>
      <c r="K139" s="1768">
        <f>+Opex_FO_Summary!AC82</f>
        <v>47.440273774173868</v>
      </c>
      <c r="L139" s="1768">
        <f>+Opex_FO_Summary!AD82</f>
        <v>47.640358457637717</v>
      </c>
      <c r="M139" s="1768">
        <f>+Opex_FO_Summary!AE82</f>
        <v>47.632351912201202</v>
      </c>
      <c r="N139" s="1768">
        <f>+Opex_FO_Summary!AF82</f>
        <v>47.624571012846005</v>
      </c>
      <c r="O139" s="1768">
        <f>+Opex_FO_Summary!AG82</f>
        <v>47.61700940025591</v>
      </c>
      <c r="P139" s="1768">
        <f>+Opex_FO_Summary!AH82</f>
        <v>47.609660894337438</v>
      </c>
      <c r="Q139" s="1768">
        <f>+Opex_FO_Summary!AI82</f>
        <v>47.60251948916887</v>
      </c>
      <c r="R139" s="1768">
        <f>+Opex_FO_Summary!AJ82</f>
        <v>47.595579348091547</v>
      </c>
    </row>
    <row r="140" spans="6:18">
      <c r="F140" s="1770" t="s">
        <v>369</v>
      </c>
      <c r="G140" s="1771">
        <f>+Opex_Breakdown!Y39</f>
        <v>1164.5764170766702</v>
      </c>
      <c r="H140" s="1772">
        <f>+Opex_Breakdown!Z39</f>
        <v>1133.8169459228716</v>
      </c>
      <c r="I140" s="1773">
        <f t="shared" ref="I140:R140" si="42">SUM(I133:I139)</f>
        <v>1115.0923741007557</v>
      </c>
      <c r="J140" s="1773">
        <f t="shared" si="42"/>
        <v>1108.5567692167554</v>
      </c>
      <c r="K140" s="1773">
        <f t="shared" si="42"/>
        <v>1114.4618802482598</v>
      </c>
      <c r="L140" s="1773">
        <f t="shared" si="42"/>
        <v>1096.8106614241656</v>
      </c>
      <c r="M140" s="1773">
        <f t="shared" si="42"/>
        <v>1077.0055420432295</v>
      </c>
      <c r="N140" s="1773">
        <f t="shared" si="42"/>
        <v>1054.3103655840573</v>
      </c>
      <c r="O140" s="1773">
        <f t="shared" si="42"/>
        <v>1029.4729717621435</v>
      </c>
      <c r="P140" s="1773">
        <f t="shared" si="42"/>
        <v>993.22220616491006</v>
      </c>
      <c r="Q140" s="1773">
        <f t="shared" si="42"/>
        <v>967.22468725231909</v>
      </c>
      <c r="R140" s="1773">
        <f t="shared" si="42"/>
        <v>936.82823318714361</v>
      </c>
    </row>
    <row r="141" spans="6:18">
      <c r="F141" s="63"/>
      <c r="G141" s="70"/>
      <c r="H141" s="70"/>
      <c r="I141" s="70"/>
      <c r="J141" s="70"/>
      <c r="K141" s="1774"/>
      <c r="L141" s="70"/>
      <c r="M141" s="70"/>
      <c r="N141" s="70"/>
      <c r="O141" s="70"/>
      <c r="P141" s="70"/>
      <c r="Q141" s="70"/>
      <c r="R141" s="70"/>
    </row>
    <row r="142" spans="6:18">
      <c r="F142" s="63"/>
      <c r="G142" s="63"/>
      <c r="H142" s="63"/>
      <c r="I142" s="1755" t="str">
        <f t="shared" ref="I142:R142" si="43">+I$131</f>
        <v>2026-27</v>
      </c>
      <c r="J142" s="1755" t="str">
        <f t="shared" si="43"/>
        <v>2027-28</v>
      </c>
      <c r="K142" s="1755" t="str">
        <f t="shared" si="43"/>
        <v>2028-29</v>
      </c>
      <c r="L142" s="1755" t="str">
        <f t="shared" si="43"/>
        <v>2029-30</v>
      </c>
      <c r="M142" s="1755" t="str">
        <f t="shared" si="43"/>
        <v>2030-31</v>
      </c>
      <c r="N142" s="1755" t="str">
        <f t="shared" si="43"/>
        <v>2031-32</v>
      </c>
      <c r="O142" s="1755" t="str">
        <f t="shared" si="43"/>
        <v>2032-33</v>
      </c>
      <c r="P142" s="1755" t="str">
        <f t="shared" si="43"/>
        <v>2033-34</v>
      </c>
      <c r="Q142" s="1755" t="str">
        <f t="shared" si="43"/>
        <v>2034-35</v>
      </c>
      <c r="R142" s="1755" t="str">
        <f t="shared" si="43"/>
        <v>2035-36</v>
      </c>
    </row>
    <row r="143" spans="6:18">
      <c r="F143" s="63"/>
      <c r="G143" s="63"/>
      <c r="H143" s="1763" t="s">
        <v>1456</v>
      </c>
      <c r="I143" s="1775">
        <f t="shared" ref="I143:R143" si="44">+I133/I$140</f>
        <v>0.46441962916401741</v>
      </c>
      <c r="J143" s="1775">
        <f t="shared" si="44"/>
        <v>0.46715766052233432</v>
      </c>
      <c r="K143" s="1775">
        <f t="shared" si="44"/>
        <v>0.46468236917007405</v>
      </c>
      <c r="L143" s="1775">
        <f t="shared" si="44"/>
        <v>0.47216060627188094</v>
      </c>
      <c r="M143" s="1775">
        <f t="shared" si="44"/>
        <v>0.48084319592360103</v>
      </c>
      <c r="N143" s="1775">
        <f t="shared" si="44"/>
        <v>0.49072795338423075</v>
      </c>
      <c r="O143" s="1775">
        <f t="shared" si="44"/>
        <v>0.50209070963769564</v>
      </c>
      <c r="P143" s="1775">
        <f t="shared" si="44"/>
        <v>0.51992245465956621</v>
      </c>
      <c r="Q143" s="1775">
        <f t="shared" si="44"/>
        <v>0.53339075378565348</v>
      </c>
      <c r="R143" s="1775">
        <f t="shared" si="44"/>
        <v>0.55017486549924677</v>
      </c>
    </row>
    <row r="144" spans="6:18">
      <c r="F144" s="63"/>
      <c r="G144" s="63"/>
      <c r="H144" s="1763" t="s">
        <v>1420</v>
      </c>
      <c r="I144" s="1775">
        <f t="shared" ref="I144:R144" si="45">+I134/I$140</f>
        <v>2.4741399879360127E-2</v>
      </c>
      <c r="J144" s="1775">
        <f t="shared" si="45"/>
        <v>3.002017082583127E-2</v>
      </c>
      <c r="K144" s="1775">
        <f t="shared" si="45"/>
        <v>3.9555167418982698E-2</v>
      </c>
      <c r="L144" s="1775">
        <f t="shared" si="45"/>
        <v>4.3198917194499885E-2</v>
      </c>
      <c r="M144" s="1775">
        <f t="shared" si="45"/>
        <v>4.482540163037689E-2</v>
      </c>
      <c r="N144" s="1775">
        <f t="shared" si="45"/>
        <v>4.5856570853692942E-2</v>
      </c>
      <c r="O144" s="1775">
        <f t="shared" si="45"/>
        <v>4.6660738025636458E-2</v>
      </c>
      <c r="P144" s="1775">
        <f t="shared" si="45"/>
        <v>4.776731135315939E-2</v>
      </c>
      <c r="Q144" s="1775">
        <f t="shared" si="45"/>
        <v>5.0497556825606298E-2</v>
      </c>
      <c r="R144" s="1775">
        <f t="shared" si="45"/>
        <v>5.0125316457488897E-2</v>
      </c>
    </row>
    <row r="145" spans="6:18">
      <c r="F145" s="63"/>
      <c r="G145" s="63"/>
      <c r="H145" s="1763" t="s">
        <v>439</v>
      </c>
      <c r="I145" s="1775">
        <f t="shared" ref="I145:R145" si="46">+I135/I$140</f>
        <v>2.5987894304282536E-3</v>
      </c>
      <c r="J145" s="1775">
        <f t="shared" si="46"/>
        <v>2.6141108477571971E-3</v>
      </c>
      <c r="K145" s="1775">
        <f t="shared" si="46"/>
        <v>2.6002596653361097E-3</v>
      </c>
      <c r="L145" s="1775">
        <f t="shared" si="46"/>
        <v>2.642106224607076E-3</v>
      </c>
      <c r="M145" s="1775">
        <f t="shared" si="46"/>
        <v>2.6906920741247907E-3</v>
      </c>
      <c r="N145" s="1775">
        <f t="shared" si="46"/>
        <v>2.7486121453039539E-3</v>
      </c>
      <c r="O145" s="1775">
        <f t="shared" si="46"/>
        <v>2.8149260400726094E-3</v>
      </c>
      <c r="P145" s="1775">
        <f t="shared" si="46"/>
        <v>2.9176656117604356E-3</v>
      </c>
      <c r="Q145" s="1775">
        <f t="shared" si="46"/>
        <v>2.9960879968815575E-3</v>
      </c>
      <c r="R145" s="1775">
        <f t="shared" si="46"/>
        <v>3.0932994684686244E-3</v>
      </c>
    </row>
    <row r="146" spans="6:18">
      <c r="F146" s="63"/>
      <c r="G146" s="63"/>
      <c r="H146" s="1763" t="s">
        <v>1457</v>
      </c>
      <c r="I146" s="1775">
        <f t="shared" ref="I146:R146" si="47">+I136/I$140</f>
        <v>3.1196013916475202E-5</v>
      </c>
      <c r="J146" s="1775">
        <f t="shared" si="47"/>
        <v>3.0495561776922488E-5</v>
      </c>
      <c r="K146" s="1775">
        <f t="shared" si="47"/>
        <v>2.9479083921643581E-5</v>
      </c>
      <c r="L146" s="1775">
        <f t="shared" si="47"/>
        <v>2.9109326919383578E-5</v>
      </c>
      <c r="M146" s="1775">
        <f t="shared" si="47"/>
        <v>2.880915459140397E-5</v>
      </c>
      <c r="N146" s="1775">
        <f t="shared" si="47"/>
        <v>2.8599905689208819E-5</v>
      </c>
      <c r="O146" s="1775">
        <f t="shared" si="47"/>
        <v>2.8464447182914373E-5</v>
      </c>
      <c r="P146" s="1775">
        <f t="shared" si="47"/>
        <v>2.8671862616013115E-5</v>
      </c>
      <c r="Q146" s="1775">
        <f t="shared" si="47"/>
        <v>2.8612748678976894E-5</v>
      </c>
      <c r="R146" s="1775">
        <f t="shared" si="47"/>
        <v>2.8708573126174754E-5</v>
      </c>
    </row>
    <row r="147" spans="6:18">
      <c r="F147" s="63"/>
      <c r="G147" s="63"/>
      <c r="H147" s="1763" t="s">
        <v>1459</v>
      </c>
      <c r="I147" s="1775">
        <f t="shared" ref="I147:R147" si="48">+I137/I$140</f>
        <v>0.46602068064560503</v>
      </c>
      <c r="J147" s="1775">
        <f t="shared" si="48"/>
        <v>0.45756229832023509</v>
      </c>
      <c r="K147" s="1775">
        <f t="shared" si="48"/>
        <v>0.45056484987389467</v>
      </c>
      <c r="L147" s="1775">
        <f t="shared" si="48"/>
        <v>0.43853390779562895</v>
      </c>
      <c r="M147" s="1775">
        <f t="shared" si="48"/>
        <v>0.42738524680117745</v>
      </c>
      <c r="N147" s="1775">
        <f t="shared" si="48"/>
        <v>0.41546696257675042</v>
      </c>
      <c r="O147" s="1775">
        <f t="shared" si="48"/>
        <v>0.40215138860197092</v>
      </c>
      <c r="P147" s="1775">
        <f t="shared" si="48"/>
        <v>0.38142934511158488</v>
      </c>
      <c r="Q147" s="1775">
        <f t="shared" si="48"/>
        <v>0.36387141327940592</v>
      </c>
      <c r="R147" s="1775">
        <f t="shared" si="48"/>
        <v>0.34577278762721714</v>
      </c>
    </row>
    <row r="148" spans="6:18">
      <c r="F148" s="63"/>
      <c r="G148" s="63"/>
      <c r="H148" s="1763" t="s">
        <v>1460</v>
      </c>
      <c r="I148" s="1775">
        <f t="shared" ref="I148:R148" si="49">+I138/I$140</f>
        <v>0</v>
      </c>
      <c r="J148" s="1775">
        <f t="shared" si="49"/>
        <v>0</v>
      </c>
      <c r="K148" s="1775">
        <f t="shared" si="49"/>
        <v>0</v>
      </c>
      <c r="L148" s="1775">
        <f t="shared" si="49"/>
        <v>0</v>
      </c>
      <c r="M148" s="1775">
        <f t="shared" si="49"/>
        <v>0</v>
      </c>
      <c r="N148" s="1775">
        <f t="shared" si="49"/>
        <v>0</v>
      </c>
      <c r="O148" s="1775">
        <f t="shared" si="49"/>
        <v>0</v>
      </c>
      <c r="P148" s="1775">
        <f t="shared" si="49"/>
        <v>0</v>
      </c>
      <c r="Q148" s="1775">
        <f t="shared" si="49"/>
        <v>0</v>
      </c>
      <c r="R148" s="1775">
        <f t="shared" si="49"/>
        <v>0</v>
      </c>
    </row>
    <row r="149" spans="6:18">
      <c r="F149" s="63"/>
      <c r="G149" s="63"/>
      <c r="H149" s="1763" t="s">
        <v>440</v>
      </c>
      <c r="I149" s="1775">
        <f t="shared" ref="I149:R149" si="50">+I139/I$140</f>
        <v>4.2188304866672695E-2</v>
      </c>
      <c r="J149" s="1775">
        <f t="shared" si="50"/>
        <v>4.2615263922065279E-2</v>
      </c>
      <c r="K149" s="1775">
        <f t="shared" si="50"/>
        <v>4.2567874787790831E-2</v>
      </c>
      <c r="L149" s="1775">
        <f t="shared" si="50"/>
        <v>4.343535318646391E-2</v>
      </c>
      <c r="M149" s="1775">
        <f t="shared" si="50"/>
        <v>4.4226654416128629E-2</v>
      </c>
      <c r="N149" s="1775">
        <f t="shared" si="50"/>
        <v>4.5171301134332847E-2</v>
      </c>
      <c r="O149" s="1775">
        <f t="shared" si="50"/>
        <v>4.6253773247441475E-2</v>
      </c>
      <c r="P149" s="1775">
        <f t="shared" si="50"/>
        <v>4.7934551401313058E-2</v>
      </c>
      <c r="Q149" s="1775">
        <f t="shared" si="50"/>
        <v>4.9215575363773613E-2</v>
      </c>
      <c r="R149" s="1775">
        <f t="shared" si="50"/>
        <v>5.0805022374452405E-2</v>
      </c>
    </row>
    <row r="150" spans="6:18">
      <c r="F150" s="63"/>
      <c r="G150" s="63"/>
      <c r="H150" s="1770" t="s">
        <v>369</v>
      </c>
      <c r="I150" s="1776">
        <f t="shared" ref="I150:R150" si="51">+I140/I$140</f>
        <v>1</v>
      </c>
      <c r="J150" s="1776">
        <f t="shared" si="51"/>
        <v>1</v>
      </c>
      <c r="K150" s="1776">
        <f t="shared" si="51"/>
        <v>1</v>
      </c>
      <c r="L150" s="1776">
        <f t="shared" si="51"/>
        <v>1</v>
      </c>
      <c r="M150" s="1776">
        <f t="shared" si="51"/>
        <v>1</v>
      </c>
      <c r="N150" s="1776">
        <f t="shared" si="51"/>
        <v>1</v>
      </c>
      <c r="O150" s="1776">
        <f t="shared" si="51"/>
        <v>1</v>
      </c>
      <c r="P150" s="1776">
        <f t="shared" si="51"/>
        <v>1</v>
      </c>
      <c r="Q150" s="1776">
        <f t="shared" si="51"/>
        <v>1</v>
      </c>
      <c r="R150" s="1776">
        <f t="shared" si="51"/>
        <v>1</v>
      </c>
    </row>
    <row r="151" spans="6:18">
      <c r="F151" s="63"/>
      <c r="G151" s="63"/>
      <c r="H151" s="63"/>
      <c r="I151" s="63"/>
      <c r="J151" s="63"/>
      <c r="K151" s="63"/>
      <c r="L151" s="63"/>
      <c r="M151" s="63"/>
      <c r="N151" s="63"/>
      <c r="O151" s="63"/>
      <c r="P151" s="63"/>
      <c r="Q151" s="63"/>
      <c r="R151" s="63"/>
    </row>
    <row r="152" spans="6:18">
      <c r="F152" s="63"/>
      <c r="G152" s="63"/>
      <c r="H152" s="63"/>
      <c r="I152" s="1755" t="str">
        <f t="shared" ref="I152:R152" si="52">+I$131</f>
        <v>2026-27</v>
      </c>
      <c r="J152" s="1755" t="str">
        <f t="shared" si="52"/>
        <v>2027-28</v>
      </c>
      <c r="K152" s="1755" t="str">
        <f t="shared" si="52"/>
        <v>2028-29</v>
      </c>
      <c r="L152" s="1755" t="str">
        <f t="shared" si="52"/>
        <v>2029-30</v>
      </c>
      <c r="M152" s="1755" t="str">
        <f t="shared" si="52"/>
        <v>2030-31</v>
      </c>
      <c r="N152" s="1755" t="str">
        <f t="shared" si="52"/>
        <v>2031-32</v>
      </c>
      <c r="O152" s="1755" t="str">
        <f t="shared" si="52"/>
        <v>2032-33</v>
      </c>
      <c r="P152" s="1755" t="str">
        <f t="shared" si="52"/>
        <v>2033-34</v>
      </c>
      <c r="Q152" s="1755" t="str">
        <f t="shared" si="52"/>
        <v>2034-35</v>
      </c>
      <c r="R152" s="1755" t="str">
        <f t="shared" si="52"/>
        <v>2035-36</v>
      </c>
    </row>
    <row r="153" spans="6:18">
      <c r="F153" s="63"/>
      <c r="G153" s="63"/>
      <c r="H153" s="1763" t="str">
        <f>General_BL!F10</f>
        <v>Water</v>
      </c>
      <c r="I153" s="1777">
        <f>+SUMIF('Opex_FO_W&amp;S'!$H$74:$H$88,$H153,'Opex_FO_W&amp;S'!AA$74:AA$88)+SUMIF('Opex_FO_W&amp;D'!$H$74:$H$88,$H153,'Opex_FO_W&amp;D'!AA$74:AA$88)</f>
        <v>7.609575041980758</v>
      </c>
      <c r="J153" s="1777">
        <f>+SUMIF('Opex_FO_W&amp;S'!$H$74:$H$88,$H153,'Opex_FO_W&amp;S'!AB$74:AB$88)+SUMIF('Opex_FO_W&amp;D'!$H$74:$H$88,$H153,'Opex_FO_W&amp;D'!AB$74:AB$88)</f>
        <v>9.7152635372422829</v>
      </c>
      <c r="K153" s="1777">
        <f>+SUMIF('Opex_FO_W&amp;S'!$H$74:$H$88,$H153,'Opex_FO_W&amp;S'!AC$74:AC$88)+SUMIF('Opex_FO_W&amp;D'!$H$74:$H$88,$H153,'Opex_FO_W&amp;D'!AC$74:AC$88)</f>
        <v>11.73667473297256</v>
      </c>
      <c r="L153" s="1777">
        <f>+SUMIF('Opex_FO_W&amp;S'!$H$74:$H$88,$H153,'Opex_FO_W&amp;S'!AD$74:AD$88)+SUMIF('Opex_FO_W&amp;D'!$H$74:$H$88,$H153,'Opex_FO_W&amp;D'!AD$74:AD$88)</f>
        <v>11.307612333448985</v>
      </c>
      <c r="M153" s="1777">
        <f>+SUMIF('Opex_FO_W&amp;S'!$H$74:$H$88,$H153,'Opex_FO_W&amp;S'!AE$74:AE$88)+SUMIF('Opex_FO_W&amp;D'!$H$74:$H$88,$H153,'Opex_FO_W&amp;D'!AE$74:AE$88)</f>
        <v>11.169129219653115</v>
      </c>
      <c r="N153" s="1777">
        <f>+SUMIF('Opex_FO_W&amp;S'!$H$74:$H$88,$H153,'Opex_FO_W&amp;S'!AF$74:AF$88)+SUMIF('Opex_FO_W&amp;D'!$H$74:$H$88,$H153,'Opex_FO_W&amp;D'!AF$74:AF$88)</f>
        <v>11.378299592550015</v>
      </c>
      <c r="O153" s="1777">
        <f>+SUMIF('Opex_FO_W&amp;S'!$H$74:$H$88,$H153,'Opex_FO_W&amp;S'!AG$74:AG$88)+SUMIF('Opex_FO_W&amp;D'!$H$74:$H$88,$H153,'Opex_FO_W&amp;D'!AG$74:AG$88)</f>
        <v>11.414136606361</v>
      </c>
      <c r="P153" s="1777">
        <f>+SUMIF('Opex_FO_W&amp;S'!$H$74:$H$88,$H153,'Opex_FO_W&amp;S'!AH$74:AH$88)+SUMIF('Opex_FO_W&amp;D'!$H$74:$H$88,$H153,'Opex_FO_W&amp;D'!AH$74:AH$88)</f>
        <v>11.494644825888731</v>
      </c>
      <c r="Q153" s="1777">
        <f>+SUMIF('Opex_FO_W&amp;S'!$H$74:$H$88,$H153,'Opex_FO_W&amp;S'!AI$74:AI$88)+SUMIF('Opex_FO_W&amp;D'!$H$74:$H$88,$H153,'Opex_FO_W&amp;D'!AI$74:AI$88)</f>
        <v>11.340000999564415</v>
      </c>
      <c r="R153" s="1777">
        <f>+SUMIF('Opex_FO_W&amp;S'!$H$74:$H$88,$H153,'Opex_FO_W&amp;S'!AJ$74:AJ$88)+SUMIF('Opex_FO_W&amp;D'!$H$74:$H$88,$H153,'Opex_FO_W&amp;D'!AJ$74:AJ$88)</f>
        <v>11.006655104423096</v>
      </c>
    </row>
    <row r="154" spans="6:18">
      <c r="F154" s="63"/>
      <c r="G154" s="63"/>
      <c r="H154" s="1763" t="str">
        <f>General_BL!F11</f>
        <v>Sewerage</v>
      </c>
      <c r="I154" s="1777">
        <f>+SUMIF('Opex_FO_W&amp;S'!$H$74:$H$88,$H154,'Opex_FO_W&amp;S'!AA$74:AA$88)+SUMIF('Opex_FO_W&amp;D'!$H$74:$H$88,$H154,'Opex_FO_W&amp;D'!AA$74:AA$88)</f>
        <v>12.693801542458857</v>
      </c>
      <c r="J154" s="1777">
        <f>+SUMIF('Opex_FO_W&amp;S'!$H$74:$H$88,$H154,'Opex_FO_W&amp;S'!AB$74:AB$88)+SUMIF('Opex_FO_W&amp;D'!$H$74:$H$88,$H154,'Opex_FO_W&amp;D'!AB$74:AB$88)</f>
        <v>14.341604733410122</v>
      </c>
      <c r="K154" s="1777">
        <f>+SUMIF('Opex_FO_W&amp;S'!$H$74:$H$88,$H154,'Opex_FO_W&amp;S'!AC$74:AC$88)+SUMIF('Opex_FO_W&amp;D'!$H$74:$H$88,$H154,'Opex_FO_W&amp;D'!AC$74:AC$88)</f>
        <v>21.890149366433693</v>
      </c>
      <c r="L154" s="1777">
        <f>+SUMIF('Opex_FO_W&amp;S'!$H$74:$H$88,$H154,'Opex_FO_W&amp;S'!AD$74:AD$88)+SUMIF('Opex_FO_W&amp;D'!$H$74:$H$88,$H154,'Opex_FO_W&amp;D'!AD$74:AD$88)</f>
        <v>26.532255644945398</v>
      </c>
      <c r="M154" s="1777">
        <f>+SUMIF('Opex_FO_W&amp;S'!$H$74:$H$88,$H154,'Opex_FO_W&amp;S'!AE$74:AE$88)+SUMIF('Opex_FO_W&amp;D'!$H$74:$H$88,$H154,'Opex_FO_W&amp;D'!AE$74:AE$88)</f>
        <v>27.607694022397059</v>
      </c>
      <c r="N154" s="1777">
        <f>+SUMIF('Opex_FO_W&amp;S'!$H$74:$H$88,$H154,'Opex_FO_W&amp;S'!AF$74:AF$88)+SUMIF('Opex_FO_W&amp;D'!$H$74:$H$88,$H154,'Opex_FO_W&amp;D'!AF$74:AF$88)</f>
        <v>27.298694839334747</v>
      </c>
      <c r="O154" s="1777">
        <f>+SUMIF('Opex_FO_W&amp;S'!$H$74:$H$88,$H154,'Opex_FO_W&amp;S'!AG$74:AG$88)+SUMIF('Opex_FO_W&amp;D'!$H$74:$H$88,$H154,'Opex_FO_W&amp;D'!AG$74:AG$88)</f>
        <v>27.033097256505823</v>
      </c>
      <c r="P154" s="1777">
        <f>+SUMIF('Opex_FO_W&amp;S'!$H$74:$H$88,$H154,'Opex_FO_W&amp;S'!AH$74:AH$88)+SUMIF('Opex_FO_W&amp;D'!$H$74:$H$88,$H154,'Opex_FO_W&amp;D'!AH$74:AH$88)</f>
        <v>26.350353935862795</v>
      </c>
      <c r="Q154" s="1777">
        <f>+SUMIF('Opex_FO_W&amp;S'!$H$74:$H$88,$H154,'Opex_FO_W&amp;S'!AI$74:AI$88)+SUMIF('Opex_FO_W&amp;D'!$H$74:$H$88,$H154,'Opex_FO_W&amp;D'!AI$74:AI$88)</f>
        <v>27.816002209328882</v>
      </c>
      <c r="R154" s="1777">
        <f>+SUMIF('Opex_FO_W&amp;S'!$H$74:$H$88,$H154,'Opex_FO_W&amp;S'!AJ$74:AJ$88)+SUMIF('Opex_FO_W&amp;D'!$H$74:$H$88,$H154,'Opex_FO_W&amp;D'!AJ$74:AJ$88)</f>
        <v>26.371183992118898</v>
      </c>
    </row>
    <row r="155" spans="6:18">
      <c r="F155" s="63"/>
      <c r="G155" s="63"/>
      <c r="H155" s="1763" t="str">
        <f>General_BL!F12</f>
        <v>Recycled Water</v>
      </c>
      <c r="I155" s="1777">
        <f>+SUMIF('Opex_FO_W&amp;S'!$H$74:$H$88,$H155,'Opex_FO_W&amp;S'!AA$74:AA$88)+SUMIF('Opex_FO_W&amp;D'!$H$74:$H$88,$H155,'Opex_FO_W&amp;D'!AA$74:AA$88)</f>
        <v>3.3899980933661505E-2</v>
      </c>
      <c r="J155" s="1777">
        <f>+SUMIF('Opex_FO_W&amp;S'!$H$74:$H$88,$H155,'Opex_FO_W&amp;S'!AB$74:AB$88)+SUMIF('Opex_FO_W&amp;D'!$H$74:$H$88,$H155,'Opex_FO_W&amp;D'!AB$74:AB$88)</f>
        <v>6.1051833137915616E-2</v>
      </c>
      <c r="K155" s="1777">
        <f>+SUMIF('Opex_FO_W&amp;S'!$H$74:$H$88,$H155,'Opex_FO_W&amp;S'!AC$74:AC$88)+SUMIF('Opex_FO_W&amp;D'!$H$74:$H$88,$H155,'Opex_FO_W&amp;D'!AC$74:AC$88)</f>
        <v>6.9008521158827482E-2</v>
      </c>
      <c r="L155" s="1777">
        <f>+SUMIF('Opex_FO_W&amp;S'!$H$74:$H$88,$H155,'Opex_FO_W&amp;S'!AD$74:AD$88)+SUMIF('Opex_FO_W&amp;D'!$H$74:$H$88,$H155,'Opex_FO_W&amp;D'!AD$74:AD$88)</f>
        <v>3.7446658698747373E-2</v>
      </c>
      <c r="M155" s="1777">
        <f>+SUMIF('Opex_FO_W&amp;S'!$H$74:$H$88,$H155,'Opex_FO_W&amp;S'!AE$74:AE$88)+SUMIF('Opex_FO_W&amp;D'!$H$74:$H$88,$H155,'Opex_FO_W&amp;D'!AE$74:AE$88)</f>
        <v>3.4362969513279898E-2</v>
      </c>
      <c r="N155" s="1777">
        <f>+SUMIF('Opex_FO_W&amp;S'!$H$74:$H$88,$H155,'Opex_FO_W&amp;S'!AF$74:AF$88)+SUMIF('Opex_FO_W&amp;D'!$H$74:$H$88,$H155,'Opex_FO_W&amp;D'!AF$74:AF$88)</f>
        <v>3.5264766618044507E-2</v>
      </c>
      <c r="O155" s="1777">
        <f>+SUMIF('Opex_FO_W&amp;S'!$H$74:$H$88,$H155,'Opex_FO_W&amp;S'!AG$74:AG$88)+SUMIF('Opex_FO_W&amp;D'!$H$74:$H$88,$H155,'Opex_FO_W&amp;D'!AG$74:AG$88)</f>
        <v>3.5264766618044507E-2</v>
      </c>
      <c r="P155" s="1777">
        <f>+SUMIF('Opex_FO_W&amp;S'!$H$74:$H$88,$H155,'Opex_FO_W&amp;S'!AH$74:AH$88)+SUMIF('Opex_FO_W&amp;D'!$H$74:$H$88,$H155,'Opex_FO_W&amp;D'!AH$74:AH$88)</f>
        <v>3.5264766618044507E-2</v>
      </c>
      <c r="Q155" s="1777">
        <f>+SUMIF('Opex_FO_W&amp;S'!$H$74:$H$88,$H155,'Opex_FO_W&amp;S'!AI$74:AI$88)+SUMIF('Opex_FO_W&amp;D'!$H$74:$H$88,$H155,'Opex_FO_W&amp;D'!AI$74:AI$88)</f>
        <v>3.5264766618044507E-2</v>
      </c>
      <c r="R155" s="1777">
        <f>+SUMIF('Opex_FO_W&amp;S'!$H$74:$H$88,$H155,'Opex_FO_W&amp;S'!AJ$74:AJ$88)+SUMIF('Opex_FO_W&amp;D'!$H$74:$H$88,$H155,'Opex_FO_W&amp;D'!AJ$74:AJ$88)</f>
        <v>3.5264766618044507E-2</v>
      </c>
    </row>
    <row r="156" spans="6:18">
      <c r="F156" s="63"/>
      <c r="G156" s="63"/>
      <c r="H156" s="1763" t="str">
        <f>General_BL!F13</f>
        <v>Waterways and Drainage</v>
      </c>
      <c r="I156" s="1777">
        <f>+SUMIF('Opex_FO_W&amp;S'!$H$74:$H$88,$H156,'Opex_FO_W&amp;S'!AA$74:AA$88)+SUMIF('Opex_FO_W&amp;D'!$H$74:$H$88,$H156,'Opex_FO_W&amp;D'!AA$74:AA$88)</f>
        <v>7.1897173448435687</v>
      </c>
      <c r="J156" s="1777">
        <f>+SUMIF('Opex_FO_W&amp;S'!$H$74:$H$88,$H156,'Opex_FO_W&amp;S'!AB$74:AB$88)+SUMIF('Opex_FO_W&amp;D'!$H$74:$H$88,$H156,'Opex_FO_W&amp;D'!AB$74:AB$88)</f>
        <v>9.1011778509945565</v>
      </c>
      <c r="K156" s="1777">
        <f>+SUMIF('Opex_FO_W&amp;S'!$H$74:$H$88,$H156,'Opex_FO_W&amp;S'!AC$74:AC$88)+SUMIF('Opex_FO_W&amp;D'!$H$74:$H$88,$H156,'Opex_FO_W&amp;D'!AC$74:AC$88)</f>
        <v>10.328864112794539</v>
      </c>
      <c r="L156" s="1777">
        <f>+SUMIF('Opex_FO_W&amp;S'!$H$74:$H$88,$H156,'Opex_FO_W&amp;S'!AD$74:AD$88)+SUMIF('Opex_FO_W&amp;D'!$H$74:$H$88,$H156,'Opex_FO_W&amp;D'!AD$74:AD$88)</f>
        <v>9.4475006866988771</v>
      </c>
      <c r="M156" s="1777">
        <f>+SUMIF('Opex_FO_W&amp;S'!$H$74:$H$88,$H156,'Opex_FO_W&amp;S'!AE$74:AE$88)+SUMIF('Opex_FO_W&amp;D'!$H$74:$H$88,$H156,'Opex_FO_W&amp;D'!AE$74:AE$88)</f>
        <v>9.4115698601261233</v>
      </c>
      <c r="N156" s="1777">
        <f>+SUMIF('Opex_FO_W&amp;S'!$H$74:$H$88,$H156,'Opex_FO_W&amp;S'!AF$74:AF$88)+SUMIF('Opex_FO_W&amp;D'!$H$74:$H$88,$H156,'Opex_FO_W&amp;D'!AF$74:AF$88)</f>
        <v>9.5791381090685732</v>
      </c>
      <c r="O156" s="1777">
        <f>+SUMIF('Opex_FO_W&amp;S'!$H$74:$H$88,$H156,'Opex_FO_W&amp;S'!AG$74:AG$88)+SUMIF('Opex_FO_W&amp;D'!$H$74:$H$88,$H156,'Opex_FO_W&amp;D'!AG$74:AG$88)</f>
        <v>9.4965997201420596</v>
      </c>
      <c r="P156" s="1777">
        <f>+SUMIF('Opex_FO_W&amp;S'!$H$74:$H$88,$H156,'Opex_FO_W&amp;S'!AH$74:AH$88)+SUMIF('Opex_FO_W&amp;D'!$H$74:$H$88,$H156,'Opex_FO_W&amp;D'!AH$74:AH$88)</f>
        <v>9.5052120768831969</v>
      </c>
      <c r="Q156" s="1777">
        <f>+SUMIF('Opex_FO_W&amp;S'!$H$74:$H$88,$H156,'Opex_FO_W&amp;S'!AI$74:AI$88)+SUMIF('Opex_FO_W&amp;D'!$H$74:$H$88,$H156,'Opex_FO_W&amp;D'!AI$74:AI$88)</f>
        <v>9.5919295496613302</v>
      </c>
      <c r="R156" s="1777">
        <f>+SUMIF('Opex_FO_W&amp;S'!$H$74:$H$88,$H156,'Opex_FO_W&amp;S'!AJ$74:AJ$88)+SUMIF('Opex_FO_W&amp;D'!$H$74:$H$88,$H156,'Opex_FO_W&amp;D'!AJ$74:AJ$88)</f>
        <v>9.4852155313818649</v>
      </c>
    </row>
    <row r="157" spans="6:18">
      <c r="F157" s="63"/>
      <c r="G157" s="63"/>
      <c r="H157" s="1763" t="str">
        <f>General_BL!F14</f>
        <v>Diversions</v>
      </c>
      <c r="I157" s="1777">
        <f>+SUMIF('Opex_FO_W&amp;S'!$H$74:$H$88,$H157,'Opex_FO_W&amp;S'!AA$74:AA$88)+SUMIF('Opex_FO_W&amp;D'!$H$74:$H$88,$H157,'Opex_FO_W&amp;D'!AA$74:AA$88)</f>
        <v>6.1952419834996109E-2</v>
      </c>
      <c r="J157" s="1777">
        <f>+SUMIF('Opex_FO_W&amp;S'!$H$74:$H$88,$H157,'Opex_FO_W&amp;S'!AB$74:AB$88)+SUMIF('Opex_FO_W&amp;D'!$H$74:$H$88,$H157,'Opex_FO_W&amp;D'!AB$74:AB$88)</f>
        <v>5.9965627233729932E-2</v>
      </c>
      <c r="K157" s="1777">
        <f>+SUMIF('Opex_FO_W&amp;S'!$H$74:$H$88,$H157,'Opex_FO_W&amp;S'!AC$74:AC$88)+SUMIF('Opex_FO_W&amp;D'!$H$74:$H$88,$H157,'Opex_FO_W&amp;D'!AC$74:AC$88)</f>
        <v>5.8029521934540709E-2</v>
      </c>
      <c r="L157" s="1777">
        <f>+SUMIF('Opex_FO_W&amp;S'!$H$74:$H$88,$H157,'Opex_FO_W&amp;S'!AD$74:AD$88)+SUMIF('Opex_FO_W&amp;D'!$H$74:$H$88,$H157,'Opex_FO_W&amp;D'!AD$74:AD$88)</f>
        <v>5.6217617115165805E-2</v>
      </c>
      <c r="M157" s="1777">
        <f>+SUMIF('Opex_FO_W&amp;S'!$H$74:$H$88,$H157,'Opex_FO_W&amp;S'!AE$74:AE$88)+SUMIF('Opex_FO_W&amp;D'!$H$74:$H$88,$H157,'Opex_FO_W&amp;D'!AE$74:AE$88)</f>
        <v>5.4449908539946891E-2</v>
      </c>
      <c r="N157" s="1777">
        <f>+SUMIF('Opex_FO_W&amp;S'!$H$74:$H$88,$H157,'Opex_FO_W&amp;S'!AF$74:AF$88)+SUMIF('Opex_FO_W&amp;D'!$H$74:$H$88,$H157,'Opex_FO_W&amp;D'!AF$74:AF$88)</f>
        <v>5.5660673616863089E-2</v>
      </c>
      <c r="O157" s="1777">
        <f>+SUMIF('Opex_FO_W&amp;S'!$H$74:$H$88,$H157,'Opex_FO_W&amp;S'!AG$74:AG$88)+SUMIF('Opex_FO_W&amp;D'!$H$74:$H$88,$H157,'Opex_FO_W&amp;D'!AG$74:AG$88)</f>
        <v>5.6870290239881258E-2</v>
      </c>
      <c r="P157" s="1777">
        <f>+SUMIF('Opex_FO_W&amp;S'!$H$74:$H$88,$H157,'Opex_FO_W&amp;S'!AH$74:AH$88)+SUMIF('Opex_FO_W&amp;D'!$H$74:$H$88,$H157,'Opex_FO_W&amp;D'!AH$74:AH$88)</f>
        <v>5.8078759498350556E-2</v>
      </c>
      <c r="Q157" s="1777">
        <f>+SUMIF('Opex_FO_W&amp;S'!$H$74:$H$88,$H157,'Opex_FO_W&amp;S'!AI$74:AI$88)+SUMIF('Opex_FO_W&amp;D'!$H$74:$H$88,$H157,'Opex_FO_W&amp;D'!AI$74:AI$88)</f>
        <v>5.9286082480587532E-2</v>
      </c>
      <c r="R157" s="1777">
        <f>+SUMIF('Opex_FO_W&amp;S'!$H$74:$H$88,$H157,'Opex_FO_W&amp;S'!AJ$74:AJ$88)+SUMIF('Opex_FO_W&amp;D'!$H$74:$H$88,$H157,'Opex_FO_W&amp;D'!AJ$74:AJ$88)</f>
        <v>6.04922602738759E-2</v>
      </c>
    </row>
    <row r="158" spans="6:18">
      <c r="F158" s="63"/>
      <c r="G158" s="63"/>
      <c r="H158" s="1770" t="s">
        <v>1420</v>
      </c>
      <c r="I158" s="1778">
        <f t="shared" ref="I158:R158" si="53">SUM(I153:I157)</f>
        <v>27.58894633005184</v>
      </c>
      <c r="J158" s="1778">
        <f t="shared" si="53"/>
        <v>33.279063582018608</v>
      </c>
      <c r="K158" s="1778">
        <f t="shared" si="53"/>
        <v>44.082726255294162</v>
      </c>
      <c r="L158" s="1778">
        <f t="shared" si="53"/>
        <v>47.381032940907176</v>
      </c>
      <c r="M158" s="1778">
        <f t="shared" si="53"/>
        <v>48.277205980229517</v>
      </c>
      <c r="N158" s="1778">
        <f t="shared" si="53"/>
        <v>48.347057981188243</v>
      </c>
      <c r="O158" s="1778">
        <f t="shared" si="53"/>
        <v>48.035968639866802</v>
      </c>
      <c r="P158" s="1778">
        <f t="shared" si="53"/>
        <v>47.443554364751115</v>
      </c>
      <c r="Q158" s="1778">
        <f t="shared" si="53"/>
        <v>48.842483607653257</v>
      </c>
      <c r="R158" s="1778">
        <f t="shared" si="53"/>
        <v>46.958811654815776</v>
      </c>
    </row>
    <row r="159" spans="6:18">
      <c r="F159" s="63"/>
      <c r="G159" s="63"/>
      <c r="H159" s="63"/>
      <c r="I159" s="63"/>
      <c r="J159" s="63"/>
      <c r="K159" s="63"/>
      <c r="L159" s="63"/>
      <c r="M159" s="63"/>
      <c r="N159" s="63"/>
      <c r="O159" s="63"/>
      <c r="P159" s="63"/>
      <c r="Q159" s="63"/>
      <c r="R159" s="63"/>
    </row>
    <row r="160" spans="6:18">
      <c r="F160" s="63"/>
      <c r="G160" s="63"/>
      <c r="H160" s="63"/>
      <c r="I160" s="63"/>
      <c r="J160" s="63"/>
      <c r="K160" s="63"/>
      <c r="L160" s="63"/>
      <c r="M160" s="63"/>
      <c r="N160" s="63"/>
      <c r="O160" s="63"/>
      <c r="P160" s="63"/>
      <c r="Q160" s="63"/>
      <c r="R160" s="63"/>
    </row>
    <row r="161" spans="6:18">
      <c r="F161" s="321" t="s">
        <v>1461</v>
      </c>
      <c r="G161" s="1762" t="str">
        <f>+Opex_FO_Summary!Y6</f>
        <v>2024-25</v>
      </c>
      <c r="H161" s="1762" t="str">
        <f>+Opex_FO_Summary!Z6</f>
        <v>2025-26</v>
      </c>
      <c r="I161" s="1762" t="str">
        <f>+Opex_FO_Summary!AA6</f>
        <v>2026-27</v>
      </c>
      <c r="J161" s="1762" t="str">
        <f>+Opex_FO_Summary!AB6</f>
        <v>2027-28</v>
      </c>
      <c r="K161" s="1762" t="str">
        <f>+Opex_FO_Summary!AC6</f>
        <v>2028-29</v>
      </c>
      <c r="L161" s="1762" t="str">
        <f>+Opex_FO_Summary!AD6</f>
        <v>2029-30</v>
      </c>
      <c r="M161" s="1762" t="str">
        <f>+Opex_FO_Summary!AE6</f>
        <v>2030-31</v>
      </c>
      <c r="N161" s="1762" t="str">
        <f>+Opex_FO_Summary!AF6</f>
        <v>2031-32</v>
      </c>
      <c r="O161" s="1762" t="str">
        <f>+Opex_FO_Summary!AG6</f>
        <v>2032-33</v>
      </c>
      <c r="P161" s="1762" t="str">
        <f>+Opex_FO_Summary!AH6</f>
        <v>2033-34</v>
      </c>
      <c r="Q161" s="1762" t="str">
        <f>+Opex_FO_Summary!AI6</f>
        <v>2034-35</v>
      </c>
      <c r="R161" s="1762" t="str">
        <f>+Opex_FO_Summary!AJ6</f>
        <v>2035-36</v>
      </c>
    </row>
    <row r="162" spans="6:18">
      <c r="F162" s="1763"/>
      <c r="G162" s="1779"/>
      <c r="H162" s="1780"/>
      <c r="I162" s="1781"/>
      <c r="J162" s="1781"/>
      <c r="K162" s="1781"/>
      <c r="L162" s="1781"/>
      <c r="M162" s="1781"/>
      <c r="N162" s="1781"/>
      <c r="O162" s="1781"/>
      <c r="P162" s="1781"/>
      <c r="Q162" s="1781"/>
      <c r="R162" s="1781"/>
    </row>
    <row r="163" spans="6:18">
      <c r="F163" s="1763"/>
      <c r="G163" s="1781"/>
      <c r="H163" s="1782"/>
      <c r="I163" s="1781"/>
      <c r="J163" s="1781"/>
      <c r="K163" s="1781"/>
      <c r="L163" s="1781"/>
      <c r="M163" s="1781"/>
      <c r="N163" s="1781"/>
      <c r="O163" s="1781"/>
      <c r="P163" s="1781"/>
      <c r="Q163" s="1781"/>
      <c r="R163" s="1781"/>
    </row>
    <row r="164" spans="6:18">
      <c r="F164" s="1763" t="s">
        <v>439</v>
      </c>
      <c r="G164" s="1781">
        <f>+Opex_Breakdown!Y31</f>
        <v>2.8978902757641918</v>
      </c>
      <c r="H164" s="1782">
        <f>+Opex_Breakdown!Z31</f>
        <v>2.8978902757641918</v>
      </c>
      <c r="I164" s="1781">
        <f>+Opex_Breakdown!AA31</f>
        <v>2.8978902757641918</v>
      </c>
      <c r="J164" s="1781">
        <f>+Opex_Breakdown!AB31</f>
        <v>2.8978902757641918</v>
      </c>
      <c r="K164" s="1781">
        <f>+Opex_Breakdown!AC31</f>
        <v>2.8978902757641918</v>
      </c>
      <c r="L164" s="1781">
        <f>+Opex_Breakdown!AD31</f>
        <v>2.8978902757641918</v>
      </c>
      <c r="M164" s="1781">
        <f>+Opex_Breakdown!AE31</f>
        <v>2.8978902757641918</v>
      </c>
      <c r="N164" s="1781">
        <f>+Opex_Breakdown!AF31</f>
        <v>2.8978902757641918</v>
      </c>
      <c r="O164" s="1781">
        <f>+Opex_Breakdown!AG31</f>
        <v>2.8978902757641918</v>
      </c>
      <c r="P164" s="1781">
        <f>+Opex_Breakdown!AH31</f>
        <v>2.8978902757641918</v>
      </c>
      <c r="Q164" s="1781">
        <f>+Opex_Breakdown!AI31</f>
        <v>2.8978902757641918</v>
      </c>
      <c r="R164" s="1781">
        <f>+Opex_Breakdown!AJ31</f>
        <v>2.8978902757641918</v>
      </c>
    </row>
    <row r="165" spans="6:18">
      <c r="F165" s="1763" t="s">
        <v>1457</v>
      </c>
      <c r="G165" s="87">
        <f>+Opex_Breakdown!Y32</f>
        <v>3.665495499803495E-2</v>
      </c>
      <c r="H165" s="1825">
        <f>+Opex_Breakdown!Z32</f>
        <v>3.5795243900000016E-2</v>
      </c>
      <c r="I165" s="87">
        <f>+Opex_Breakdown!AA32</f>
        <v>3.4786437220602547E-2</v>
      </c>
      <c r="J165" s="87">
        <f>+Opex_Breakdown!AB32</f>
        <v>3.3806061438875171E-2</v>
      </c>
      <c r="K165" s="87">
        <f>+Opex_Breakdown!AC32</f>
        <v>3.2853315295311152E-2</v>
      </c>
      <c r="L165" s="87">
        <f>+Opex_Breakdown!AD32</f>
        <v>3.1927420112061372E-2</v>
      </c>
      <c r="M165" s="87">
        <f>+Opex_Breakdown!AE32</f>
        <v>3.1027619156522229E-2</v>
      </c>
      <c r="N165" s="87">
        <f>+Opex_Breakdown!AF32</f>
        <v>3.0153177022859311E-2</v>
      </c>
      <c r="O165" s="87">
        <f>+Opex_Breakdown!AG32</f>
        <v>2.9303379030961432E-2</v>
      </c>
      <c r="P165" s="87">
        <f>+Opex_Breakdown!AH32</f>
        <v>2.8477530642333757E-2</v>
      </c>
      <c r="Q165" s="87">
        <f>+Opex_Breakdown!AI32</f>
        <v>2.7674956892452633E-2</v>
      </c>
      <c r="R165" s="87">
        <f>+Opex_Breakdown!AJ32</f>
        <v>2.6895001839118207E-2</v>
      </c>
    </row>
    <row r="166" spans="6:18">
      <c r="F166" s="1763" t="s">
        <v>1458</v>
      </c>
      <c r="G166" s="1781">
        <f>+Opex_Breakdown!Y33</f>
        <v>547.30412034433414</v>
      </c>
      <c r="H166" s="1782">
        <f>+Opex_Breakdown!Z33</f>
        <v>530.2797577844874</v>
      </c>
      <c r="I166" s="1781">
        <f>+Opex_Breakdown!AA33</f>
        <v>519.65610716115782</v>
      </c>
      <c r="J166" s="1781">
        <f>+Opex_Breakdown!AB33</f>
        <v>507.23378314127302</v>
      </c>
      <c r="K166" s="1781">
        <f>+Opex_Breakdown!AC33</f>
        <v>502.13734976423558</v>
      </c>
      <c r="L166" s="1781">
        <f>+Opex_Breakdown!AD33</f>
        <v>480.98866546624782</v>
      </c>
      <c r="M166" s="1781">
        <f>+Opex_Breakdown!AE33</f>
        <v>460.29627939238156</v>
      </c>
      <c r="N166" s="1781">
        <f>+Opex_Breakdown!AF33</f>
        <v>438.03112520239159</v>
      </c>
      <c r="O166" s="1781">
        <f>+Opex_Breakdown!AG33</f>
        <v>414.00398512234364</v>
      </c>
      <c r="P166" s="1781">
        <f>+Opex_Breakdown!AH33</f>
        <v>378.84409564776519</v>
      </c>
      <c r="Q166" s="1781">
        <f>+Opex_Breakdown!AI33</f>
        <v>351.94541390923274</v>
      </c>
      <c r="R166" s="1781">
        <f>+Opex_Breakdown!AJ33</f>
        <v>323.92970971699924</v>
      </c>
    </row>
    <row r="167" spans="6:18">
      <c r="F167" s="1763" t="s">
        <v>440</v>
      </c>
      <c r="G167" s="1783">
        <f>+Opex_Breakdown!Y34</f>
        <v>46.284554643604579</v>
      </c>
      <c r="H167" s="1784">
        <f>+Opex_Breakdown!Z34</f>
        <v>52.760150598720088</v>
      </c>
      <c r="I167" s="1783">
        <f>+Opex_Breakdown!AA34</f>
        <v>47.043857033064519</v>
      </c>
      <c r="J167" s="1783">
        <f>+Opex_Breakdown!AB34</f>
        <v>47.241439292764042</v>
      </c>
      <c r="K167" s="1783">
        <f>+Opex_Breakdown!AC34</f>
        <v>47.440273774173868</v>
      </c>
      <c r="L167" s="1783">
        <f>+Opex_Breakdown!AD34</f>
        <v>47.640358457637717</v>
      </c>
      <c r="M167" s="1783">
        <f>+Opex_Breakdown!AE34</f>
        <v>47.632351912201202</v>
      </c>
      <c r="N167" s="1783">
        <f>+Opex_Breakdown!AF34</f>
        <v>47.624571012846005</v>
      </c>
      <c r="O167" s="1783">
        <f>+Opex_Breakdown!AG34</f>
        <v>47.61700940025591</v>
      </c>
      <c r="P167" s="1783">
        <f>+Opex_Breakdown!AH34</f>
        <v>47.609660894337438</v>
      </c>
      <c r="Q167" s="1783">
        <f>+Opex_Breakdown!AI34</f>
        <v>47.60251948916887</v>
      </c>
      <c r="R167" s="1783">
        <f>+Opex_Breakdown!AJ34</f>
        <v>47.595579348091547</v>
      </c>
    </row>
    <row r="168" spans="6:18">
      <c r="F168" s="1770" t="s">
        <v>1462</v>
      </c>
      <c r="G168" s="1778">
        <f t="shared" ref="G168:R168" si="54">SUM(G162:G167)</f>
        <v>596.52322021870089</v>
      </c>
      <c r="H168" s="1785">
        <f t="shared" si="54"/>
        <v>585.9735939028717</v>
      </c>
      <c r="I168" s="1778">
        <f t="shared" si="54"/>
        <v>569.63264090720713</v>
      </c>
      <c r="J168" s="1778">
        <f t="shared" si="54"/>
        <v>557.40691877124016</v>
      </c>
      <c r="K168" s="1778">
        <f t="shared" si="54"/>
        <v>552.50836712946898</v>
      </c>
      <c r="L168" s="1778">
        <f t="shared" si="54"/>
        <v>531.55884161976178</v>
      </c>
      <c r="M168" s="1778">
        <f t="shared" si="54"/>
        <v>510.85754919950347</v>
      </c>
      <c r="N168" s="1778">
        <f t="shared" si="54"/>
        <v>488.58373966802463</v>
      </c>
      <c r="O168" s="1778">
        <f t="shared" si="54"/>
        <v>464.54818817739465</v>
      </c>
      <c r="P168" s="1778">
        <f t="shared" si="54"/>
        <v>429.38012434850913</v>
      </c>
      <c r="Q168" s="1778">
        <f t="shared" si="54"/>
        <v>402.47349863105825</v>
      </c>
      <c r="R168" s="1778">
        <f t="shared" si="54"/>
        <v>374.45007434269405</v>
      </c>
    </row>
    <row r="169" spans="6:18">
      <c r="F169" s="80"/>
      <c r="G169" s="80"/>
      <c r="H169" s="80"/>
      <c r="I169" s="80"/>
      <c r="J169" s="80"/>
      <c r="K169" s="80"/>
      <c r="L169" s="80"/>
      <c r="M169" s="80"/>
      <c r="N169" s="80"/>
      <c r="O169" s="80"/>
      <c r="P169" s="80"/>
      <c r="Q169" s="80"/>
      <c r="R169" s="80"/>
    </row>
    <row r="170" spans="6:18">
      <c r="F170" s="63"/>
      <c r="G170" s="322" t="s">
        <v>63</v>
      </c>
      <c r="H170" s="322"/>
      <c r="I170" s="322" t="b">
        <f>ROUND(I140,2)=ROUND(Opex_FO_Summary!AA86,2)</f>
        <v>1</v>
      </c>
      <c r="J170" s="322" t="b">
        <f>ROUND(J140,2)=ROUND(Opex_FO_Summary!AB86,2)</f>
        <v>1</v>
      </c>
      <c r="K170" s="322" t="b">
        <f>ROUND(K140,2)=ROUND(Opex_FO_Summary!AC86,2)</f>
        <v>1</v>
      </c>
      <c r="L170" s="322" t="b">
        <f>ROUND(L140,2)=ROUND(Opex_FO_Summary!AD86,2)</f>
        <v>1</v>
      </c>
      <c r="M170" s="322" t="b">
        <f>ROUND(M140,2)=ROUND(Opex_FO_Summary!AE86,2)</f>
        <v>1</v>
      </c>
      <c r="N170" s="322" t="b">
        <f>ROUND(N140,2)=ROUND(Opex_FO_Summary!AF86,2)</f>
        <v>1</v>
      </c>
      <c r="O170" s="322" t="b">
        <f>ROUND(O140,2)=ROUND(Opex_FO_Summary!AG86,2)</f>
        <v>1</v>
      </c>
      <c r="P170" s="322" t="b">
        <f>ROUND(P140,2)=ROUND(Opex_FO_Summary!AH86,2)</f>
        <v>1</v>
      </c>
      <c r="Q170" s="322" t="b">
        <f>ROUND(Q140,2)=ROUND(Opex_FO_Summary!AI86,2)</f>
        <v>1</v>
      </c>
      <c r="R170" s="322" t="b">
        <f>ROUND(R140,2)=ROUND(Opex_FO_Summary!AJ86,2)</f>
        <v>1</v>
      </c>
    </row>
    <row r="171" spans="6:18">
      <c r="F171" s="63"/>
      <c r="G171" s="322"/>
      <c r="H171" s="322"/>
      <c r="I171" s="1786" t="b">
        <f t="shared" ref="I171:R171" si="55">+I158=I134</f>
        <v>1</v>
      </c>
      <c r="J171" s="1786" t="b">
        <f t="shared" si="55"/>
        <v>1</v>
      </c>
      <c r="K171" s="1786" t="b">
        <f t="shared" si="55"/>
        <v>1</v>
      </c>
      <c r="L171" s="1786" t="b">
        <f t="shared" si="55"/>
        <v>1</v>
      </c>
      <c r="M171" s="1786" t="b">
        <f t="shared" si="55"/>
        <v>1</v>
      </c>
      <c r="N171" s="1786" t="b">
        <f t="shared" si="55"/>
        <v>1</v>
      </c>
      <c r="O171" s="1786" t="b">
        <f t="shared" si="55"/>
        <v>1</v>
      </c>
      <c r="P171" s="1786" t="b">
        <f t="shared" si="55"/>
        <v>1</v>
      </c>
      <c r="Q171" s="1786" t="b">
        <f t="shared" si="55"/>
        <v>1</v>
      </c>
      <c r="R171" s="1786" t="b">
        <f t="shared" si="55"/>
        <v>1</v>
      </c>
    </row>
    <row r="172" spans="6:18">
      <c r="F172" s="63"/>
      <c r="G172" s="322"/>
      <c r="H172" s="322"/>
      <c r="I172" s="322" t="b">
        <f t="shared" ref="I172:R172" si="56">ROUND(I121,2)=ROUND(I140,2)</f>
        <v>1</v>
      </c>
      <c r="J172" s="322" t="b">
        <f t="shared" si="56"/>
        <v>1</v>
      </c>
      <c r="K172" s="322" t="b">
        <f t="shared" si="56"/>
        <v>1</v>
      </c>
      <c r="L172" s="322" t="b">
        <f t="shared" si="56"/>
        <v>1</v>
      </c>
      <c r="M172" s="322" t="b">
        <f t="shared" si="56"/>
        <v>1</v>
      </c>
      <c r="N172" s="322" t="b">
        <f t="shared" si="56"/>
        <v>1</v>
      </c>
      <c r="O172" s="322" t="b">
        <f t="shared" si="56"/>
        <v>1</v>
      </c>
      <c r="P172" s="322" t="b">
        <f t="shared" si="56"/>
        <v>1</v>
      </c>
      <c r="Q172" s="322" t="b">
        <f t="shared" si="56"/>
        <v>1</v>
      </c>
      <c r="R172" s="322" t="b">
        <f t="shared" si="56"/>
        <v>1</v>
      </c>
    </row>
    <row r="173" spans="6:18">
      <c r="F173" s="63"/>
      <c r="G173" s="322"/>
      <c r="H173" s="322"/>
      <c r="I173" s="322" t="b">
        <f t="shared" ref="I173:R173" si="57">ROUND(I168,2)=ROUND(I116,2)</f>
        <v>1</v>
      </c>
      <c r="J173" s="322" t="b">
        <f t="shared" si="57"/>
        <v>1</v>
      </c>
      <c r="K173" s="322" t="b">
        <f t="shared" si="57"/>
        <v>1</v>
      </c>
      <c r="L173" s="322" t="b">
        <f t="shared" si="57"/>
        <v>1</v>
      </c>
      <c r="M173" s="322" t="b">
        <f t="shared" si="57"/>
        <v>1</v>
      </c>
      <c r="N173" s="322" t="b">
        <f t="shared" si="57"/>
        <v>1</v>
      </c>
      <c r="O173" s="322" t="b">
        <f t="shared" si="57"/>
        <v>1</v>
      </c>
      <c r="P173" s="322" t="b">
        <f t="shared" si="57"/>
        <v>1</v>
      </c>
      <c r="Q173" s="322" t="b">
        <f t="shared" si="57"/>
        <v>1</v>
      </c>
      <c r="R173" s="322" t="b">
        <f t="shared" si="57"/>
        <v>1</v>
      </c>
    </row>
    <row r="177" spans="3:16" ht="15.75">
      <c r="C177" s="768" t="s">
        <v>1463</v>
      </c>
    </row>
    <row r="179" spans="3:16">
      <c r="E179" s="1787">
        <v>26</v>
      </c>
      <c r="F179" s="771" t="s">
        <v>501</v>
      </c>
      <c r="G179" s="771" t="s">
        <v>360</v>
      </c>
      <c r="H179" s="771" t="s">
        <v>361</v>
      </c>
      <c r="I179" s="771" t="s">
        <v>132</v>
      </c>
      <c r="J179" s="771" t="s">
        <v>133</v>
      </c>
      <c r="K179" s="771" t="s">
        <v>134</v>
      </c>
      <c r="L179" s="1842" t="s">
        <v>108</v>
      </c>
      <c r="M179" s="771" t="s">
        <v>109</v>
      </c>
      <c r="N179" s="771" t="s">
        <v>110</v>
      </c>
      <c r="O179" s="771" t="s">
        <v>111</v>
      </c>
      <c r="P179" s="771" t="s">
        <v>112</v>
      </c>
    </row>
    <row r="180" spans="3:16">
      <c r="E180" s="779" t="s">
        <v>1439</v>
      </c>
      <c r="F180" s="789">
        <f>'Determination Lookup'!N19</f>
        <v>478.88790661522034</v>
      </c>
      <c r="G180" s="789">
        <f>'Determination Lookup'!O19</f>
        <v>464.35261142983683</v>
      </c>
      <c r="H180" s="789">
        <f>'Determination Lookup'!P19</f>
        <v>460.38395741805232</v>
      </c>
      <c r="I180" s="789">
        <f>'Determination Lookup'!Q19</f>
        <v>462.2812313055486</v>
      </c>
      <c r="J180" s="789">
        <f>'Determination Lookup'!R19</f>
        <v>467.3678224714638</v>
      </c>
      <c r="K180" s="789">
        <f>'Determination Lookup'!S19</f>
        <v>471.79175435209817</v>
      </c>
      <c r="L180" s="789"/>
    </row>
    <row r="181" spans="3:16">
      <c r="E181" s="779" t="s">
        <v>1441</v>
      </c>
      <c r="K181" s="789">
        <f>'Determination Lookup'!S19</f>
        <v>471.79175435209817</v>
      </c>
      <c r="L181" s="789">
        <f>'Determination Lookup'!T19</f>
        <v>471.78802568142913</v>
      </c>
      <c r="M181" s="789">
        <f>'Determination Lookup'!U19</f>
        <v>471.79206809137764</v>
      </c>
      <c r="N181" s="789">
        <f>'Determination Lookup'!V19</f>
        <v>471.78730166770691</v>
      </c>
      <c r="O181" s="789">
        <f>'Determination Lookup'!W19</f>
        <v>471.79291277405355</v>
      </c>
      <c r="P181" s="789">
        <f>'Determination Lookup'!X19</f>
        <v>471.78730166770691</v>
      </c>
    </row>
    <row r="182" spans="3:16">
      <c r="E182" s="779" t="s">
        <v>1464</v>
      </c>
      <c r="F182" s="789">
        <f>Summary_FO!Z13</f>
        <v>463.4341967889622</v>
      </c>
      <c r="G182" s="789">
        <f>Summary_FO!AA13</f>
        <v>501.2491774159792</v>
      </c>
      <c r="H182" s="789">
        <f>Summary_FO!AB13</f>
        <v>500.26722780491616</v>
      </c>
      <c r="I182" s="789">
        <f>Summary_FO!AC13</f>
        <v>508.48725061361989</v>
      </c>
      <c r="J182" s="789">
        <f>Summary_FO!AD13</f>
        <v>568.05319685796928</v>
      </c>
      <c r="K182" s="789">
        <f>Summary_FO!AE13</f>
        <v>547.84335201999977</v>
      </c>
      <c r="L182" s="789"/>
    </row>
    <row r="183" spans="3:16">
      <c r="E183" s="779" t="s">
        <v>1444</v>
      </c>
      <c r="K183" s="789">
        <f>Summary_FO!AE13</f>
        <v>547.84335201999977</v>
      </c>
      <c r="L183" s="789">
        <f>Summary_FO!AF13</f>
        <v>545.45973319354857</v>
      </c>
      <c r="M183" s="789">
        <f>Summary_FO!AG13</f>
        <v>551.14985044551531</v>
      </c>
      <c r="N183" s="789">
        <f>Summary_FO!AH13</f>
        <v>561.95351311879097</v>
      </c>
      <c r="O183" s="789">
        <f>Summary_FO!AI13</f>
        <v>565.25181980440391</v>
      </c>
      <c r="P183" s="789">
        <f>Summary_FO!AJ13</f>
        <v>566.14799284372646</v>
      </c>
    </row>
  </sheetData>
  <mergeCells count="1">
    <mergeCell ref="B3:F3"/>
  </mergeCells>
  <phoneticPr fontId="4" type="noConversion"/>
  <conditionalFormatting sqref="I171:R171">
    <cfRule type="containsText" dxfId="1" priority="2" stopIfTrue="1" operator="containsText" text="FALSE">
      <formula>NOT(ISERROR(SEARCH("FALSE",I171)))</formula>
    </cfRule>
  </conditionalFormatting>
  <conditionalFormatting sqref="I170:R173">
    <cfRule type="containsText" dxfId="0" priority="1" operator="containsText" text="FALSE">
      <formula>NOT(ISERROR(SEARCH("FALSE",I170)))</formula>
    </cfRule>
  </conditionalFormatting>
  <hyperlinks>
    <hyperlink ref="B3" location="HL_Home" tooltip="Go to Table of Contents" display="HL_Home" xr:uid="{00000000-0004-0000-1600-000000000000}"/>
  </hyperlinks>
  <pageMargins left="0.7" right="0.7" top="0.75" bottom="0.75" header="0.3" footer="0.3"/>
  <pageSetup paperSize="9" orientation="portrait" r:id="rId1"/>
  <headerFooter>
    <oddHeader>&amp;C&amp;"Calibri"&amp;14&amp;KFF0000 OFFICIAL&amp;1#_x000D_&amp;"Arial"&amp;8&amp;K000000&amp;"Arial"&amp;8&amp;K000000&amp;B&amp;"Arial"&amp;12&amp;Kff0000​‌OFFICIAL‌​</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D118F-00C9-42C0-BED1-AA43F767DFCD}">
  <sheetPr codeName="Sheet8"/>
  <dimension ref="B2:G14"/>
  <sheetViews>
    <sheetView showGridLines="0" zoomScale="115" zoomScaleNormal="115" workbookViewId="0">
      <selection activeCell="C4" sqref="C4"/>
    </sheetView>
  </sheetViews>
  <sheetFormatPr defaultColWidth="9.33203125" defaultRowHeight="11.25"/>
  <cols>
    <col min="1" max="1" width="4.33203125" style="1396" customWidth="1"/>
    <col min="2" max="2" width="9.33203125" style="1396"/>
    <col min="3" max="3" width="11.1640625" style="1396" customWidth="1"/>
    <col min="4" max="4" width="19.6640625" style="1396" customWidth="1"/>
    <col min="5" max="5" width="40.6640625" style="1396" customWidth="1"/>
    <col min="6" max="6" width="14.33203125" style="1396" customWidth="1"/>
    <col min="7" max="7" width="130.1640625" style="1396" customWidth="1"/>
    <col min="8" max="16384" width="9.33203125" style="1396"/>
  </cols>
  <sheetData>
    <row r="2" spans="2:7" ht="12">
      <c r="B2" s="1396" t="str">
        <f>Model_Name</f>
        <v>Melbourne Water</v>
      </c>
      <c r="D2" s="89" t="s">
        <v>106</v>
      </c>
    </row>
    <row r="4" spans="2:7">
      <c r="B4" s="2001" t="s">
        <v>114</v>
      </c>
      <c r="C4" s="2001" t="s">
        <v>115</v>
      </c>
      <c r="D4" s="2001" t="s">
        <v>116</v>
      </c>
      <c r="E4" s="2001" t="s">
        <v>117</v>
      </c>
      <c r="F4" s="2001" t="s">
        <v>118</v>
      </c>
      <c r="G4" s="2001" t="str">
        <f>Model_Name&amp;" Comment"</f>
        <v>Melbourne Water Comment</v>
      </c>
    </row>
    <row r="5" spans="2:7">
      <c r="B5" s="2002">
        <v>1</v>
      </c>
      <c r="C5" s="2003"/>
      <c r="D5" s="2004"/>
      <c r="E5" s="2004"/>
      <c r="F5" s="2005"/>
      <c r="G5" s="2005"/>
    </row>
    <row r="6" spans="2:7">
      <c r="B6" s="2002">
        <f>B5+1</f>
        <v>2</v>
      </c>
      <c r="C6" s="2004"/>
      <c r="D6" s="2004"/>
      <c r="E6" s="2004"/>
      <c r="F6" s="2004"/>
      <c r="G6" s="2005"/>
    </row>
    <row r="7" spans="2:7">
      <c r="B7" s="2002">
        <f t="shared" ref="B7:B14" si="0">B6+1</f>
        <v>3</v>
      </c>
      <c r="C7" s="2004"/>
      <c r="D7" s="2004"/>
      <c r="E7" s="2004"/>
      <c r="F7" s="2004"/>
      <c r="G7" s="2005"/>
    </row>
    <row r="8" spans="2:7">
      <c r="B8" s="2002">
        <f t="shared" si="0"/>
        <v>4</v>
      </c>
      <c r="C8" s="2004"/>
      <c r="D8" s="2004"/>
      <c r="E8" s="2004"/>
      <c r="F8" s="2004"/>
      <c r="G8" s="2005"/>
    </row>
    <row r="9" spans="2:7">
      <c r="B9" s="2002">
        <f t="shared" si="0"/>
        <v>5</v>
      </c>
      <c r="C9" s="2004"/>
      <c r="D9" s="2004"/>
      <c r="E9" s="2004"/>
      <c r="F9" s="2004"/>
      <c r="G9" s="2005"/>
    </row>
    <row r="10" spans="2:7">
      <c r="B10" s="2002">
        <f t="shared" si="0"/>
        <v>6</v>
      </c>
      <c r="C10" s="2004"/>
      <c r="D10" s="2004"/>
      <c r="E10" s="2004"/>
      <c r="F10" s="2004"/>
      <c r="G10" s="2005"/>
    </row>
    <row r="11" spans="2:7">
      <c r="B11" s="2002">
        <f t="shared" si="0"/>
        <v>7</v>
      </c>
      <c r="C11" s="2004"/>
      <c r="D11" s="2004"/>
      <c r="E11" s="2004"/>
      <c r="F11" s="2004"/>
      <c r="G11" s="2005"/>
    </row>
    <row r="12" spans="2:7">
      <c r="B12" s="2002">
        <f t="shared" si="0"/>
        <v>8</v>
      </c>
      <c r="C12" s="2004"/>
      <c r="D12" s="2004"/>
      <c r="E12" s="2004"/>
      <c r="F12" s="2004"/>
      <c r="G12" s="2005"/>
    </row>
    <row r="13" spans="2:7">
      <c r="B13" s="2002">
        <f t="shared" si="0"/>
        <v>9</v>
      </c>
      <c r="C13" s="2004"/>
      <c r="D13" s="2004"/>
      <c r="E13" s="2004"/>
      <c r="F13" s="2004"/>
      <c r="G13" s="2005"/>
    </row>
    <row r="14" spans="2:7">
      <c r="B14" s="2002">
        <f t="shared" si="0"/>
        <v>10</v>
      </c>
      <c r="C14" s="2004"/>
      <c r="D14" s="2004"/>
      <c r="E14" s="2004"/>
      <c r="F14" s="2004"/>
      <c r="G14" s="2005"/>
    </row>
  </sheetData>
  <pageMargins left="0.7" right="0.7" top="0.75" bottom="0.75" header="0.3" footer="0.3"/>
  <pageSetup paperSize="9" scale="23" orientation="portrait" r:id="rId1"/>
  <headerFooter>
    <oddHeader>&amp;C&amp;"Calibri"&amp;14&amp;KFF0000 OFFICIAL&amp;1#_x000D_&amp;"Arial"&amp;8&amp;K000000&amp;"Arial"&amp;8&amp;K000000&amp;B&amp;"Arial"&amp;12&amp;Kff0000​‌OFFICIAL‌​</oddHeader>
  </headerFooter>
  <ignoredErrors>
    <ignoredError sqref="B6:B14 G4" unlockedFormula="1"/>
  </ignoredError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FBFC4-8F8D-4DF8-971D-69A984EB6736}">
  <sheetPr codeName="Sheet18">
    <pageSetUpPr autoPageBreaks="0"/>
  </sheetPr>
  <dimension ref="B1:AK69"/>
  <sheetViews>
    <sheetView showGridLines="0" topLeftCell="C1" zoomScale="115" zoomScaleNormal="115" workbookViewId="0">
      <selection activeCell="S22" sqref="S22:X25"/>
    </sheetView>
  </sheetViews>
  <sheetFormatPr defaultColWidth="9.33203125" defaultRowHeight="11.25" outlineLevelCol="1"/>
  <cols>
    <col min="1" max="1" width="1.6640625" style="1696" customWidth="1"/>
    <col min="2" max="3" width="17.5" style="1696" bestFit="1" customWidth="1"/>
    <col min="4" max="4" width="20.33203125" style="1696" bestFit="1" customWidth="1"/>
    <col min="5" max="5" width="22.33203125" style="1696" bestFit="1" customWidth="1"/>
    <col min="6" max="6" width="50.1640625" style="1696" bestFit="1" customWidth="1"/>
    <col min="7" max="7" width="7.83203125" style="1696" bestFit="1" customWidth="1"/>
    <col min="8" max="8" width="9.83203125" style="1696" bestFit="1" customWidth="1"/>
    <col min="9" max="13" width="10.5" style="1696" hidden="1" customWidth="1" outlineLevel="1"/>
    <col min="14" max="14" width="10.5" style="1696" bestFit="1" customWidth="1" collapsed="1"/>
    <col min="15" max="24" width="10.5" style="1696" bestFit="1" customWidth="1"/>
    <col min="25" max="26" width="9.83203125" style="1696" bestFit="1" customWidth="1"/>
    <col min="27" max="27" width="44.1640625" style="1696" customWidth="1"/>
    <col min="28" max="28" width="7.5" style="1696" customWidth="1"/>
    <col min="29" max="33" width="9.83203125" style="1696" bestFit="1" customWidth="1"/>
    <col min="34" max="82" width="9.83203125" style="1696" customWidth="1"/>
    <col min="83" max="16384" width="9.33203125" style="1696"/>
  </cols>
  <sheetData>
    <row r="1" spans="2:31">
      <c r="F1" s="1117"/>
    </row>
    <row r="2" spans="2:31">
      <c r="B2" s="1697" t="str">
        <f>Model_Name</f>
        <v>Melbourne Water</v>
      </c>
    </row>
    <row r="3" spans="2:31">
      <c r="B3" s="1698" t="s">
        <v>281</v>
      </c>
    </row>
    <row r="5" spans="2:31">
      <c r="G5" s="1736">
        <v>26</v>
      </c>
    </row>
    <row r="6" spans="2:31">
      <c r="B6" s="1699" t="s">
        <v>1465</v>
      </c>
      <c r="C6" s="1699" t="s">
        <v>1466</v>
      </c>
      <c r="D6" s="1699" t="s">
        <v>1467</v>
      </c>
      <c r="E6" s="1699" t="s">
        <v>1468</v>
      </c>
      <c r="F6" s="1699" t="s">
        <v>1469</v>
      </c>
      <c r="G6" s="1699" t="s">
        <v>1470</v>
      </c>
      <c r="H6" s="1699" t="s">
        <v>1471</v>
      </c>
      <c r="I6" s="1700" t="s">
        <v>1472</v>
      </c>
      <c r="J6" s="1700" t="s">
        <v>1473</v>
      </c>
      <c r="K6" s="1700" t="s">
        <v>1474</v>
      </c>
      <c r="L6" s="1700" t="s">
        <v>1475</v>
      </c>
      <c r="M6" s="1700" t="s">
        <v>1476</v>
      </c>
      <c r="N6" s="1700" t="s">
        <v>501</v>
      </c>
      <c r="O6" s="1700" t="s">
        <v>360</v>
      </c>
      <c r="P6" s="1700" t="s">
        <v>361</v>
      </c>
      <c r="Q6" s="1700" t="s">
        <v>132</v>
      </c>
      <c r="R6" s="1700" t="s">
        <v>133</v>
      </c>
      <c r="S6" s="1700" t="s">
        <v>134</v>
      </c>
      <c r="T6" s="1700" t="s">
        <v>108</v>
      </c>
      <c r="U6" s="1700" t="s">
        <v>109</v>
      </c>
      <c r="V6" s="1700" t="s">
        <v>110</v>
      </c>
      <c r="W6" s="1700" t="s">
        <v>111</v>
      </c>
      <c r="X6" s="1700" t="s">
        <v>112</v>
      </c>
      <c r="AA6" s="1698" t="s">
        <v>1477</v>
      </c>
    </row>
    <row r="7" spans="2:31">
      <c r="B7" s="1701"/>
      <c r="C7" s="1701"/>
      <c r="D7" s="1701"/>
      <c r="E7" s="1701"/>
      <c r="F7" s="1701"/>
      <c r="G7" s="1701"/>
      <c r="H7" s="1702"/>
      <c r="I7" s="1700"/>
      <c r="J7" s="1700"/>
      <c r="K7" s="1700"/>
      <c r="L7" s="1700"/>
      <c r="M7" s="1700"/>
      <c r="N7" s="1700"/>
      <c r="O7" s="1700"/>
      <c r="P7" s="1700"/>
      <c r="Q7" s="1700"/>
      <c r="R7" s="1700"/>
      <c r="S7" s="1700"/>
      <c r="T7" s="1700"/>
      <c r="U7" s="1700"/>
      <c r="V7" s="1700"/>
      <c r="W7" s="1700"/>
      <c r="X7" s="1700"/>
      <c r="AA7" s="769"/>
      <c r="AC7" s="795" t="s">
        <v>1478</v>
      </c>
      <c r="AD7" s="1696" t="s">
        <v>1479</v>
      </c>
      <c r="AE7" s="1696" t="s">
        <v>1480</v>
      </c>
    </row>
    <row r="8" spans="2:31">
      <c r="B8" s="1702" t="str">
        <f t="shared" ref="B8:B27" si="0">$B$2</f>
        <v>Melbourne Water</v>
      </c>
      <c r="C8" s="1702" t="str">
        <f t="shared" ref="C8:C21" si="1">INDEX($C$29:$C$33,MATCH($B8,$B$29:$B$32,0))</f>
        <v>MW</v>
      </c>
      <c r="D8" s="1702" t="s">
        <v>1481</v>
      </c>
      <c r="E8" s="1702"/>
      <c r="F8" s="1702" t="str">
        <f t="shared" ref="F8:F18" si="2">C8&amp;D8&amp;E8</f>
        <v>MWRAV (Opening Base)</v>
      </c>
      <c r="G8" s="1702" t="str">
        <f t="shared" ref="G8:G20" si="3">INDEX($D$29:$D$33,MATCH($B8,$B$29:$B$32,0))</f>
        <v>2020-21</v>
      </c>
      <c r="H8" s="1702">
        <f>INDEX(KeyAssumptionsPriceControl_FO!$S$15:$AC$15,MATCH($G8,KeyAssumptionsPriceControl_FO!$S$7:$AC$7,0))</f>
        <v>0.82871357498223175</v>
      </c>
      <c r="I8" s="1703">
        <f t="shared" ref="I8:X17" si="4">INDEX($I$35:$X$52,MATCH($F8,$F$35:$F$52,0),MATCH(I$6,$I$34:$X$34,0))/$H8</f>
        <v>12711.563401844856</v>
      </c>
      <c r="J8" s="1703">
        <f t="shared" si="4"/>
        <v>12836.024959901792</v>
      </c>
      <c r="K8" s="1703">
        <f t="shared" si="4"/>
        <v>13038.017885244864</v>
      </c>
      <c r="L8" s="1703">
        <f t="shared" si="4"/>
        <v>13303.831979129705</v>
      </c>
      <c r="M8" s="1703">
        <f t="shared" si="4"/>
        <v>13535.147075455094</v>
      </c>
      <c r="N8" s="1703">
        <f t="shared" si="4"/>
        <v>13681.353036332999</v>
      </c>
      <c r="O8" s="1703">
        <f t="shared" si="4"/>
        <v>13779.539974831559</v>
      </c>
      <c r="P8" s="1703">
        <f t="shared" si="4"/>
        <v>14321.496722798249</v>
      </c>
      <c r="Q8" s="1703">
        <f t="shared" si="4"/>
        <v>15026.967619985531</v>
      </c>
      <c r="R8" s="1703">
        <f t="shared" si="4"/>
        <v>15417.785357840137</v>
      </c>
      <c r="S8" s="1703">
        <f t="shared" si="4"/>
        <v>15787.67762699044</v>
      </c>
      <c r="T8" s="1703">
        <f t="shared" si="4"/>
        <v>15977.266493008612</v>
      </c>
      <c r="U8" s="1703">
        <f t="shared" si="4"/>
        <v>16292.099040802346</v>
      </c>
      <c r="V8" s="1703">
        <f t="shared" si="4"/>
        <v>16553.986278248547</v>
      </c>
      <c r="W8" s="1703">
        <f t="shared" si="4"/>
        <v>16811.875570999753</v>
      </c>
      <c r="X8" s="1703">
        <f t="shared" si="4"/>
        <v>17083.483774346976</v>
      </c>
      <c r="AA8" s="1396" t="s">
        <v>214</v>
      </c>
      <c r="AC8" s="1704">
        <f t="shared" ref="AC8:AE14" si="5">INDEX($AA$41:$AG$50,MATCH($AA8,$AA$41:$AA$50,0),MATCH(AC$7,$AA$41:$AG$41,0))</f>
        <v>0</v>
      </c>
      <c r="AD8" s="1704">
        <f t="shared" si="5"/>
        <v>0</v>
      </c>
      <c r="AE8" s="1704">
        <f t="shared" si="5"/>
        <v>0</v>
      </c>
    </row>
    <row r="9" spans="2:31">
      <c r="B9" s="1702" t="str">
        <f t="shared" si="0"/>
        <v>Melbourne Water</v>
      </c>
      <c r="C9" s="1702" t="str">
        <f t="shared" si="1"/>
        <v>MW</v>
      </c>
      <c r="D9" s="1702" t="s">
        <v>1482</v>
      </c>
      <c r="E9" s="1702"/>
      <c r="F9" s="1702" t="str">
        <f t="shared" si="2"/>
        <v>MWRoA</v>
      </c>
      <c r="G9" s="1702" t="str">
        <f t="shared" si="3"/>
        <v>2020-21</v>
      </c>
      <c r="H9" s="1702">
        <f>INDEX(KeyAssumptionsPriceControl_FO!$S$15:$AC$15,MATCH($G9,KeyAssumptionsPriceControl_FO!$S$7:$AC$7,0))</f>
        <v>0.82871357498223175</v>
      </c>
      <c r="I9" s="1703">
        <f t="shared" si="4"/>
        <v>538.49371840705419</v>
      </c>
      <c r="J9" s="1703">
        <f t="shared" si="4"/>
        <v>570.33268065593325</v>
      </c>
      <c r="K9" s="1703">
        <f t="shared" si="4"/>
        <v>579.81032676263283</v>
      </c>
      <c r="L9" s="1703">
        <f t="shared" si="4"/>
        <v>583.39827668692215</v>
      </c>
      <c r="M9" s="1703">
        <f t="shared" si="4"/>
        <v>590.20280915470732</v>
      </c>
      <c r="N9" s="1703">
        <f t="shared" si="4"/>
        <v>591.85649524512405</v>
      </c>
      <c r="O9" s="1703">
        <f t="shared" si="4"/>
        <v>463.66710551089187</v>
      </c>
      <c r="P9" s="1703">
        <f t="shared" si="4"/>
        <v>484.24966165593241</v>
      </c>
      <c r="Q9" s="1703">
        <f t="shared" si="4"/>
        <v>502.33842413412361</v>
      </c>
      <c r="R9" s="1703">
        <f t="shared" si="4"/>
        <v>514.8901392497047</v>
      </c>
      <c r="S9" s="1703">
        <f t="shared" si="4"/>
        <v>524.12157797998452</v>
      </c>
      <c r="T9" s="1703">
        <f t="shared" si="4"/>
        <v>532.44453130788111</v>
      </c>
      <c r="U9" s="1703">
        <f t="shared" si="4"/>
        <v>541.96040776433995</v>
      </c>
      <c r="V9" s="1703">
        <f t="shared" si="4"/>
        <v>550.5367205125973</v>
      </c>
      <c r="W9" s="1703">
        <f t="shared" si="4"/>
        <v>559.27342919822138</v>
      </c>
      <c r="X9" s="1703">
        <f t="shared" si="4"/>
        <v>567.54667544233666</v>
      </c>
      <c r="AA9" s="1396" t="s">
        <v>216</v>
      </c>
      <c r="AC9" s="1705">
        <f t="shared" si="5"/>
        <v>0</v>
      </c>
      <c r="AD9" s="1705">
        <f t="shared" si="5"/>
        <v>0</v>
      </c>
      <c r="AE9" s="1705">
        <f t="shared" si="5"/>
        <v>0</v>
      </c>
    </row>
    <row r="10" spans="2:31">
      <c r="B10" s="1702" t="str">
        <f t="shared" si="0"/>
        <v>Melbourne Water</v>
      </c>
      <c r="C10" s="1702" t="str">
        <f t="shared" si="1"/>
        <v>MW</v>
      </c>
      <c r="D10" s="1702" t="s">
        <v>1483</v>
      </c>
      <c r="E10" s="1702"/>
      <c r="F10" s="1702" t="str">
        <f t="shared" si="2"/>
        <v>MWRevenue Req</v>
      </c>
      <c r="G10" s="1702" t="str">
        <f t="shared" si="3"/>
        <v>2020-21</v>
      </c>
      <c r="H10" s="1702">
        <f>INDEX(KeyAssumptionsPriceControl_FO!$S$15:$AC$15,MATCH($G10,KeyAssumptionsPriceControl_FO!$S$7:$AC$7,0))</f>
        <v>0.82871357498223175</v>
      </c>
      <c r="I10" s="1703">
        <f t="shared" si="4"/>
        <v>2286.6657466631232</v>
      </c>
      <c r="J10" s="1703">
        <f t="shared" si="4"/>
        <v>2040.1321899294014</v>
      </c>
      <c r="K10" s="1703">
        <f t="shared" si="4"/>
        <v>2033.0844816072263</v>
      </c>
      <c r="L10" s="1703">
        <f t="shared" si="4"/>
        <v>2054.776482506863</v>
      </c>
      <c r="M10" s="1703">
        <f t="shared" si="4"/>
        <v>2066.1732742683375</v>
      </c>
      <c r="N10" s="1703">
        <f t="shared" si="4"/>
        <v>2046.2315172530705</v>
      </c>
      <c r="O10" s="1703">
        <f t="shared" si="4"/>
        <v>1858.5664789427162</v>
      </c>
      <c r="P10" s="1703">
        <f t="shared" si="4"/>
        <v>1893.0493600804243</v>
      </c>
      <c r="Q10" s="1703">
        <f t="shared" si="4"/>
        <v>1925.145146714148</v>
      </c>
      <c r="R10" s="1703">
        <f t="shared" si="4"/>
        <v>1940.8329096597854</v>
      </c>
      <c r="S10" s="1703">
        <f t="shared" si="4"/>
        <v>1958.4335203749017</v>
      </c>
      <c r="T10" s="1703">
        <f t="shared" si="4"/>
        <v>1960.1503271038555</v>
      </c>
      <c r="U10" s="1703">
        <f t="shared" si="4"/>
        <v>1970.8500431713589</v>
      </c>
      <c r="V10" s="1703">
        <f t="shared" si="4"/>
        <v>2002.0204720619122</v>
      </c>
      <c r="W10" s="1703">
        <f t="shared" si="4"/>
        <v>2006.7334724022576</v>
      </c>
      <c r="X10" s="1703">
        <f t="shared" si="4"/>
        <v>2007.7083294791596</v>
      </c>
      <c r="AA10" s="1396" t="s">
        <v>217</v>
      </c>
      <c r="AC10" s="1705">
        <f t="shared" si="5"/>
        <v>0.06</v>
      </c>
      <c r="AD10" s="1705">
        <f t="shared" si="5"/>
        <v>0.06</v>
      </c>
      <c r="AE10" s="1705">
        <f t="shared" si="5"/>
        <v>0.06</v>
      </c>
    </row>
    <row r="11" spans="2:31">
      <c r="B11" s="1702" t="str">
        <f t="shared" si="0"/>
        <v>Melbourne Water</v>
      </c>
      <c r="C11" s="1702" t="str">
        <f t="shared" si="1"/>
        <v>MW</v>
      </c>
      <c r="D11" s="1702" t="s">
        <v>1484</v>
      </c>
      <c r="E11" s="1702"/>
      <c r="F11" s="1702" t="str">
        <f t="shared" si="2"/>
        <v>MWRegDepEx</v>
      </c>
      <c r="G11" s="1702" t="str">
        <f t="shared" si="3"/>
        <v>2020-21</v>
      </c>
      <c r="H11" s="1702">
        <f>INDEX(KeyAssumptionsPriceControl_FO!$S$15:$AC$15,MATCH($G11,KeyAssumptionsPriceControl_FO!$S$7:$AC$7,0))</f>
        <v>0.82871357498223175</v>
      </c>
      <c r="I11" s="1703">
        <f t="shared" si="4"/>
        <v>197.19795174599648</v>
      </c>
      <c r="J11" s="1703">
        <f t="shared" si="4"/>
        <v>205.03232050827293</v>
      </c>
      <c r="K11" s="1703">
        <f t="shared" si="4"/>
        <v>205.03232050827293</v>
      </c>
      <c r="L11" s="1703">
        <f t="shared" si="4"/>
        <v>205.03232050827293</v>
      </c>
      <c r="M11" s="1703">
        <f t="shared" si="4"/>
        <v>205.03232050827293</v>
      </c>
      <c r="N11" s="1703">
        <f t="shared" si="4"/>
        <v>205.03232050827293</v>
      </c>
      <c r="O11" s="1703">
        <f t="shared" si="4"/>
        <v>219.04601149638972</v>
      </c>
      <c r="P11" s="1703">
        <f t="shared" si="4"/>
        <v>219.04601149638972</v>
      </c>
      <c r="Q11" s="1703">
        <f t="shared" si="4"/>
        <v>219.04601149638972</v>
      </c>
      <c r="R11" s="1703">
        <f t="shared" si="4"/>
        <v>219.04601149638972</v>
      </c>
      <c r="S11" s="1703">
        <f t="shared" si="4"/>
        <v>219.04601149638972</v>
      </c>
      <c r="T11" s="1703">
        <f t="shared" si="4"/>
        <v>219.04601149638972</v>
      </c>
      <c r="U11" s="1703">
        <f t="shared" si="4"/>
        <v>219.04601149638972</v>
      </c>
      <c r="V11" s="1703">
        <f t="shared" si="4"/>
        <v>219.04601149638972</v>
      </c>
      <c r="W11" s="1703">
        <f t="shared" si="4"/>
        <v>219.04601149638972</v>
      </c>
      <c r="X11" s="1703">
        <f t="shared" si="4"/>
        <v>218.39547415429166</v>
      </c>
      <c r="AA11" s="1396" t="s">
        <v>219</v>
      </c>
      <c r="AC11" s="1706">
        <f t="shared" si="5"/>
        <v>0</v>
      </c>
      <c r="AD11" s="1706">
        <f t="shared" si="5"/>
        <v>0</v>
      </c>
      <c r="AE11" s="1706">
        <f t="shared" si="5"/>
        <v>0</v>
      </c>
    </row>
    <row r="12" spans="2:31">
      <c r="B12" s="1702" t="str">
        <f t="shared" si="0"/>
        <v>Melbourne Water</v>
      </c>
      <c r="C12" s="1702" t="str">
        <f t="shared" si="1"/>
        <v>MW</v>
      </c>
      <c r="D12" s="1702" t="s">
        <v>1485</v>
      </c>
      <c r="E12" s="1702"/>
      <c r="F12" s="1702" t="str">
        <f t="shared" si="2"/>
        <v>MWRegDepNew</v>
      </c>
      <c r="G12" s="1702" t="str">
        <f t="shared" si="3"/>
        <v>2020-21</v>
      </c>
      <c r="H12" s="1702">
        <f>INDEX(KeyAssumptionsPriceControl_FO!$S$15:$AC$15,MATCH($G12,KeyAssumptionsPriceControl_FO!$S$7:$AC$7,0))</f>
        <v>0.82871357498223175</v>
      </c>
      <c r="I12" s="1703">
        <f t="shared" si="4"/>
        <v>74.565768602180569</v>
      </c>
      <c r="J12" s="1703">
        <f t="shared" si="4"/>
        <v>10.735332218832369</v>
      </c>
      <c r="K12" s="1703">
        <f t="shared" si="4"/>
        <v>31.487036086477175</v>
      </c>
      <c r="L12" s="1703">
        <f t="shared" si="4"/>
        <v>51.090267208795908</v>
      </c>
      <c r="M12" s="1703">
        <f t="shared" si="4"/>
        <v>67.683706550725717</v>
      </c>
      <c r="N12" s="1703">
        <f t="shared" si="4"/>
        <v>83.372629652678157</v>
      </c>
      <c r="O12" s="1703">
        <f t="shared" si="4"/>
        <v>11.812717733204444</v>
      </c>
      <c r="P12" s="1703">
        <f t="shared" si="4"/>
        <v>37.493257400655338</v>
      </c>
      <c r="Q12" s="1703">
        <f t="shared" si="4"/>
        <v>63.925852869381814</v>
      </c>
      <c r="R12" s="1703">
        <f t="shared" si="4"/>
        <v>83.733958826397071</v>
      </c>
      <c r="S12" s="1703">
        <f t="shared" si="4"/>
        <v>100.75108291968075</v>
      </c>
      <c r="T12" s="1703">
        <f t="shared" si="4"/>
        <v>117.70540914221141</v>
      </c>
      <c r="U12" s="1703">
        <f t="shared" si="4"/>
        <v>132.62726648373456</v>
      </c>
      <c r="V12" s="1703">
        <f t="shared" si="4"/>
        <v>149.9984431591792</v>
      </c>
      <c r="W12" s="1703">
        <f t="shared" si="4"/>
        <v>164.65283953644078</v>
      </c>
      <c r="X12" s="1703">
        <f t="shared" si="4"/>
        <v>178.00028631900682</v>
      </c>
      <c r="AA12" s="1396" t="s">
        <v>220</v>
      </c>
      <c r="AC12" s="1705">
        <f t="shared" si="5"/>
        <v>0.6</v>
      </c>
      <c r="AD12" s="1705">
        <f t="shared" si="5"/>
        <v>0.6</v>
      </c>
      <c r="AE12" s="1705">
        <f t="shared" si="5"/>
        <v>0.6</v>
      </c>
    </row>
    <row r="13" spans="2:31">
      <c r="B13" s="1702" t="str">
        <f t="shared" si="0"/>
        <v>Melbourne Water</v>
      </c>
      <c r="C13" s="1702" t="str">
        <f t="shared" si="1"/>
        <v>MW</v>
      </c>
      <c r="D13" s="1702" t="s">
        <v>479</v>
      </c>
      <c r="E13" s="1702" t="s">
        <v>401</v>
      </c>
      <c r="F13" s="1702" t="str">
        <f t="shared" si="2"/>
        <v>MWTotal prescribed capexWater</v>
      </c>
      <c r="G13" s="1702" t="str">
        <f t="shared" si="3"/>
        <v>2020-21</v>
      </c>
      <c r="H13" s="1702">
        <f>INDEX(KeyAssumptionsPriceControl_FO!$S$15:$AC$15,MATCH($G13,KeyAssumptionsPriceControl_FO!$S$7:$AC$7,0))</f>
        <v>0.82871357498223175</v>
      </c>
      <c r="I13" s="1703">
        <f t="shared" si="4"/>
        <v>126.46400561797752</v>
      </c>
      <c r="J13" s="1703">
        <f t="shared" si="4"/>
        <v>160.62769109202864</v>
      </c>
      <c r="K13" s="1703">
        <f t="shared" si="4"/>
        <v>133.64700140846958</v>
      </c>
      <c r="L13" s="1703">
        <f t="shared" si="4"/>
        <v>141.45777283790216</v>
      </c>
      <c r="M13" s="1703">
        <f t="shared" si="4"/>
        <v>172.98292424568129</v>
      </c>
      <c r="N13" s="1703">
        <f t="shared" si="4"/>
        <v>113.5079661248824</v>
      </c>
      <c r="O13" s="1703">
        <f t="shared" si="4"/>
        <v>207.8604860490176</v>
      </c>
      <c r="P13" s="1703">
        <f t="shared" si="4"/>
        <v>287.54835980963094</v>
      </c>
      <c r="Q13" s="1703">
        <f t="shared" si="4"/>
        <v>147.72475757197333</v>
      </c>
      <c r="R13" s="1703">
        <f t="shared" si="4"/>
        <v>134.87296636631709</v>
      </c>
      <c r="S13" s="1703">
        <f t="shared" si="4"/>
        <v>155.58046368442029</v>
      </c>
      <c r="T13" s="1703">
        <f t="shared" si="4"/>
        <v>203.82198470994541</v>
      </c>
      <c r="U13" s="1703">
        <f t="shared" si="4"/>
        <v>173.37025074100023</v>
      </c>
      <c r="V13" s="1703">
        <f t="shared" si="4"/>
        <v>209.60781380795706</v>
      </c>
      <c r="W13" s="1703">
        <f t="shared" si="4"/>
        <v>202.29976952621956</v>
      </c>
      <c r="X13" s="1703">
        <f t="shared" si="4"/>
        <v>136.74079479841168</v>
      </c>
      <c r="AA13" s="1396" t="s">
        <v>221</v>
      </c>
      <c r="AC13" s="1705">
        <f t="shared" si="5"/>
        <v>0</v>
      </c>
      <c r="AD13" s="1705">
        <f t="shared" si="5"/>
        <v>0</v>
      </c>
      <c r="AE13" s="1705">
        <f t="shared" si="5"/>
        <v>0</v>
      </c>
    </row>
    <row r="14" spans="2:31">
      <c r="B14" s="1702" t="str">
        <f t="shared" si="0"/>
        <v>Melbourne Water</v>
      </c>
      <c r="C14" s="1702" t="str">
        <f t="shared" si="1"/>
        <v>MW</v>
      </c>
      <c r="D14" s="1702" t="s">
        <v>479</v>
      </c>
      <c r="E14" s="1702" t="s">
        <v>402</v>
      </c>
      <c r="F14" s="1702" t="str">
        <f t="shared" si="2"/>
        <v>MWTotal prescribed capexSewerage</v>
      </c>
      <c r="G14" s="1702" t="str">
        <f t="shared" si="3"/>
        <v>2020-21</v>
      </c>
      <c r="H14" s="1702">
        <f>INDEX(KeyAssumptionsPriceControl_FO!$S$15:$AC$15,MATCH($G14,KeyAssumptionsPriceControl_FO!$S$7:$AC$7,0))</f>
        <v>0.82871357498223175</v>
      </c>
      <c r="I14" s="1703">
        <f t="shared" si="4"/>
        <v>201.13512921348314</v>
      </c>
      <c r="J14" s="1703">
        <f t="shared" si="4"/>
        <v>230.34791508973194</v>
      </c>
      <c r="K14" s="1703">
        <f t="shared" si="4"/>
        <v>291.55158606296141</v>
      </c>
      <c r="L14" s="1703">
        <f t="shared" si="4"/>
        <v>266.27602337653519</v>
      </c>
      <c r="M14" s="1703">
        <f t="shared" si="4"/>
        <v>178.71822889345395</v>
      </c>
      <c r="N14" s="1703">
        <f t="shared" si="4"/>
        <v>155.44015641104289</v>
      </c>
      <c r="O14" s="1703">
        <f t="shared" si="4"/>
        <v>394.9690492179825</v>
      </c>
      <c r="P14" s="1703">
        <f t="shared" si="4"/>
        <v>454.119834147181</v>
      </c>
      <c r="Q14" s="1703">
        <f t="shared" si="4"/>
        <v>343.52844529598508</v>
      </c>
      <c r="R14" s="1703">
        <f t="shared" si="4"/>
        <v>341.77580176141964</v>
      </c>
      <c r="S14" s="1703">
        <f t="shared" si="4"/>
        <v>160.75506768433698</v>
      </c>
      <c r="T14" s="1703">
        <f t="shared" si="4"/>
        <v>252.36705305018094</v>
      </c>
      <c r="U14" s="1703">
        <f t="shared" si="4"/>
        <v>216.37362411014712</v>
      </c>
      <c r="V14" s="1703">
        <f t="shared" si="4"/>
        <v>168.40280063936976</v>
      </c>
      <c r="W14" s="1703">
        <f t="shared" si="4"/>
        <v>191.90938763546717</v>
      </c>
      <c r="X14" s="1703">
        <f t="shared" si="4"/>
        <v>209.06693407814089</v>
      </c>
      <c r="AA14" s="1396" t="s">
        <v>222</v>
      </c>
      <c r="AC14" s="1707">
        <f t="shared" si="5"/>
        <v>0.5</v>
      </c>
      <c r="AD14" s="1707">
        <f t="shared" si="5"/>
        <v>0.5</v>
      </c>
      <c r="AE14" s="1707">
        <f t="shared" si="5"/>
        <v>0.5</v>
      </c>
    </row>
    <row r="15" spans="2:31">
      <c r="B15" s="1702" t="str">
        <f t="shared" si="0"/>
        <v>Melbourne Water</v>
      </c>
      <c r="C15" s="1702" t="str">
        <f t="shared" si="1"/>
        <v>MW</v>
      </c>
      <c r="D15" s="1702" t="s">
        <v>479</v>
      </c>
      <c r="E15" s="1702" t="s">
        <v>411</v>
      </c>
      <c r="F15" s="1702" t="str">
        <f t="shared" si="2"/>
        <v>MWTotal prescribed capexRecycled Water</v>
      </c>
      <c r="G15" s="1702" t="str">
        <f t="shared" si="3"/>
        <v>2020-21</v>
      </c>
      <c r="H15" s="1702">
        <f>INDEX(KeyAssumptionsPriceControl_FO!$S$15:$AC$15,MATCH($G15,KeyAssumptionsPriceControl_FO!$S$7:$AC$7,0))</f>
        <v>0.82871357498223175</v>
      </c>
      <c r="I15" s="1703">
        <f t="shared" si="4"/>
        <v>1.8035421348314604</v>
      </c>
      <c r="J15" s="1703">
        <f t="shared" si="4"/>
        <v>2.775538302615526</v>
      </c>
      <c r="K15" s="1703">
        <f t="shared" si="4"/>
        <v>1.0951921057731042</v>
      </c>
      <c r="L15" s="1703">
        <f t="shared" si="4"/>
        <v>0.76351715379250529</v>
      </c>
      <c r="M15" s="1703">
        <f t="shared" si="4"/>
        <v>0.13301965254312886</v>
      </c>
      <c r="N15" s="1703">
        <f t="shared" si="4"/>
        <v>2.0085017183240201</v>
      </c>
      <c r="O15" s="1703">
        <f t="shared" si="4"/>
        <v>0.22877466871771265</v>
      </c>
      <c r="P15" s="1703">
        <f t="shared" si="4"/>
        <v>0.1317406865204723</v>
      </c>
      <c r="Q15" s="1703">
        <f t="shared" si="4"/>
        <v>0.12181721515926719</v>
      </c>
      <c r="R15" s="1703">
        <f t="shared" si="4"/>
        <v>0.10618847907180508</v>
      </c>
      <c r="S15" s="1703">
        <f t="shared" si="4"/>
        <v>0.10499511092088307</v>
      </c>
      <c r="T15" s="1703">
        <f t="shared" si="4"/>
        <v>0.12361287966820081</v>
      </c>
      <c r="U15" s="1703">
        <f t="shared" si="4"/>
        <v>0.126354151888629</v>
      </c>
      <c r="V15" s="1703">
        <f t="shared" si="4"/>
        <v>0.12170817368210902</v>
      </c>
      <c r="W15" s="1703">
        <f t="shared" si="4"/>
        <v>0.1244077406964486</v>
      </c>
      <c r="X15" s="1703">
        <f t="shared" si="4"/>
        <v>0.12778753837323878</v>
      </c>
    </row>
    <row r="16" spans="2:31">
      <c r="B16" s="1702" t="str">
        <f t="shared" si="0"/>
        <v>Melbourne Water</v>
      </c>
      <c r="C16" s="1702" t="str">
        <f t="shared" si="1"/>
        <v>MW</v>
      </c>
      <c r="D16" s="1702" t="s">
        <v>479</v>
      </c>
      <c r="E16" s="1702" t="s">
        <v>420</v>
      </c>
      <c r="F16" s="1702" t="str">
        <f t="shared" si="2"/>
        <v>MWTotal prescribed capexWaterways and Drainage</v>
      </c>
      <c r="G16" s="1702" t="str">
        <f t="shared" si="3"/>
        <v>2020-21</v>
      </c>
      <c r="H16" s="1702">
        <f>INDEX(KeyAssumptionsPriceControl_FO!$S$15:$AC$15,MATCH($G16,KeyAssumptionsPriceControl_FO!$S$7:$AC$7,0))</f>
        <v>0.82871357498223175</v>
      </c>
      <c r="I16" s="1703">
        <f t="shared" si="4"/>
        <v>224.27814813544938</v>
      </c>
      <c r="J16" s="1703">
        <f t="shared" si="4"/>
        <v>172.76232902948706</v>
      </c>
      <c r="K16" s="1703">
        <f t="shared" si="4"/>
        <v>252.79085637798983</v>
      </c>
      <c r="L16" s="1703">
        <f t="shared" si="4"/>
        <v>253.1448761005976</v>
      </c>
      <c r="M16" s="1703">
        <f t="shared" si="4"/>
        <v>266.44894886028476</v>
      </c>
      <c r="N16" s="1703">
        <f t="shared" si="4"/>
        <v>239.63440356875878</v>
      </c>
      <c r="O16" s="1703">
        <f t="shared" si="4"/>
        <v>299.00705322261632</v>
      </c>
      <c r="P16" s="1703">
        <f t="shared" si="4"/>
        <v>331.08971768012367</v>
      </c>
      <c r="Q16" s="1703">
        <f t="shared" si="4"/>
        <v>282.917490353858</v>
      </c>
      <c r="R16" s="1703">
        <f t="shared" si="4"/>
        <v>288.59156216373952</v>
      </c>
      <c r="S16" s="1703">
        <f t="shared" si="4"/>
        <v>285.97749339437541</v>
      </c>
      <c r="T16" s="1703">
        <f t="shared" si="4"/>
        <v>264.03772265241605</v>
      </c>
      <c r="U16" s="1703">
        <f t="shared" si="4"/>
        <v>258.74599214307494</v>
      </c>
      <c r="V16" s="1703">
        <f t="shared" si="4"/>
        <v>265.20020067388532</v>
      </c>
      <c r="W16" s="1703">
        <f t="shared" si="4"/>
        <v>266.61653970740497</v>
      </c>
      <c r="X16" s="1703">
        <f t="shared" si="4"/>
        <v>267.16442005090357</v>
      </c>
    </row>
    <row r="17" spans="2:30">
      <c r="B17" s="1702" t="str">
        <f t="shared" si="0"/>
        <v>Melbourne Water</v>
      </c>
      <c r="C17" s="1702" t="str">
        <f t="shared" si="1"/>
        <v>MW</v>
      </c>
      <c r="D17" s="1702" t="s">
        <v>479</v>
      </c>
      <c r="E17" s="1702" t="s">
        <v>427</v>
      </c>
      <c r="F17" s="1702" t="str">
        <f t="shared" si="2"/>
        <v>MWTotal prescribed capexDiversions</v>
      </c>
      <c r="G17" s="1702" t="str">
        <f t="shared" si="3"/>
        <v>2020-21</v>
      </c>
      <c r="H17" s="1702">
        <f>INDEX(KeyAssumptionsPriceControl_FO!$S$15:$AC$15,MATCH($G17,KeyAssumptionsPriceControl_FO!$S$7:$AC$7,0))</f>
        <v>0.82871357498223175</v>
      </c>
      <c r="I17" s="1703">
        <f t="shared" si="4"/>
        <v>0.21869101123595505</v>
      </c>
      <c r="J17" s="1703">
        <f t="shared" si="4"/>
        <v>0.32805986506469492</v>
      </c>
      <c r="K17" s="1703">
        <f t="shared" si="4"/>
        <v>0.25795303895022625</v>
      </c>
      <c r="L17" s="1703">
        <f t="shared" si="4"/>
        <v>0.22760449209591474</v>
      </c>
      <c r="M17" s="1703">
        <f t="shared" si="4"/>
        <v>0.39089742195540306</v>
      </c>
      <c r="N17" s="1703">
        <f t="shared" si="4"/>
        <v>0.23148342411434292</v>
      </c>
      <c r="O17" s="1703">
        <f t="shared" si="4"/>
        <v>0.51688901220865702</v>
      </c>
      <c r="P17" s="1703">
        <f t="shared" si="4"/>
        <v>0.51782421250844002</v>
      </c>
      <c r="Q17" s="1703">
        <f t="shared" si="4"/>
        <v>0.51749576658944796</v>
      </c>
      <c r="R17" s="1703">
        <f t="shared" si="4"/>
        <v>0.51716712726413427</v>
      </c>
      <c r="S17" s="1703">
        <f t="shared" si="4"/>
        <v>0.51683997663533965</v>
      </c>
      <c r="T17" s="1703">
        <f t="shared" si="4"/>
        <v>0.20963635150447049</v>
      </c>
      <c r="U17" s="1703">
        <f t="shared" si="4"/>
        <v>0.20452326976045901</v>
      </c>
      <c r="V17" s="1703">
        <f t="shared" si="4"/>
        <v>0.19953489732727711</v>
      </c>
      <c r="W17" s="1703">
        <f t="shared" si="4"/>
        <v>0.19466819251441672</v>
      </c>
      <c r="X17" s="1703">
        <f t="shared" si="4"/>
        <v>0.18992018781894318</v>
      </c>
      <c r="AA17" s="1698" t="s">
        <v>1486</v>
      </c>
    </row>
    <row r="18" spans="2:30">
      <c r="B18" s="1702" t="str">
        <f t="shared" si="0"/>
        <v>Melbourne Water</v>
      </c>
      <c r="C18" s="1702" t="str">
        <f t="shared" si="1"/>
        <v>MW</v>
      </c>
      <c r="D18" s="1702" t="s">
        <v>479</v>
      </c>
      <c r="E18" s="1702" t="s">
        <v>485</v>
      </c>
      <c r="F18" s="1702" t="str">
        <f t="shared" si="2"/>
        <v>MWTotal prescribed capexDesal security payment cost capitalisation</v>
      </c>
      <c r="G18" s="1702" t="str">
        <f t="shared" si="3"/>
        <v>2020-21</v>
      </c>
      <c r="H18" s="1702">
        <f>INDEX(KeyAssumptionsPriceControl_FO!$S$15:$AC$15,MATCH($G18,KeyAssumptionsPriceControl_FO!$S$7:$AC$7,0))</f>
        <v>0.82871357498223175</v>
      </c>
      <c r="I18" s="1703">
        <f t="shared" ref="I18:X25" si="6">INDEX($I$35:$X$52,MATCH($F18,$F$35:$F$52,0),MATCH(I$6,$I$34:$X$34,0))/$H18</f>
        <v>0</v>
      </c>
      <c r="J18" s="1703">
        <f t="shared" si="6"/>
        <v>39.522471910112351</v>
      </c>
      <c r="K18" s="1703">
        <f t="shared" si="6"/>
        <v>39.522471910112351</v>
      </c>
      <c r="L18" s="1703">
        <f t="shared" si="6"/>
        <v>39.522471910112351</v>
      </c>
      <c r="M18" s="1703">
        <f t="shared" si="6"/>
        <v>39.522471910112351</v>
      </c>
      <c r="N18" s="1703">
        <f t="shared" si="6"/>
        <v>39.522471910112358</v>
      </c>
      <c r="O18" s="1703">
        <f t="shared" si="6"/>
        <v>24.480184262952481</v>
      </c>
      <c r="P18" s="1703">
        <f t="shared" si="6"/>
        <v>36.103751559430009</v>
      </c>
      <c r="Q18" s="1703">
        <f t="shared" si="6"/>
        <v>54.50472321625567</v>
      </c>
      <c r="R18" s="1703">
        <f t="shared" si="6"/>
        <v>65.979940791036981</v>
      </c>
      <c r="S18" s="1703">
        <f t="shared" si="6"/>
        <v>75.920242215512587</v>
      </c>
      <c r="T18" s="1703">
        <f t="shared" si="6"/>
        <v>86.972150963161397</v>
      </c>
      <c r="U18" s="1703">
        <f t="shared" si="6"/>
        <v>121.62103890187872</v>
      </c>
      <c r="V18" s="1703">
        <f t="shared" si="6"/>
        <v>141.27570855229897</v>
      </c>
      <c r="W18" s="1703">
        <f t="shared" si="6"/>
        <v>153.10164295470156</v>
      </c>
      <c r="X18" s="1703">
        <f t="shared" si="6"/>
        <v>172.99982952869681</v>
      </c>
      <c r="AA18" s="1396"/>
      <c r="AC18" s="1708" t="s">
        <v>1479</v>
      </c>
      <c r="AD18" s="1708" t="s">
        <v>1480</v>
      </c>
    </row>
    <row r="19" spans="2:30">
      <c r="B19" s="1702" t="str">
        <f t="shared" si="0"/>
        <v>Melbourne Water</v>
      </c>
      <c r="C19" s="1702" t="str">
        <f t="shared" si="1"/>
        <v>MW</v>
      </c>
      <c r="D19" s="1702" t="s">
        <v>1487</v>
      </c>
      <c r="E19" s="1702"/>
      <c r="F19" s="1702" t="str">
        <f t="shared" ref="F19:F25" si="7">C19&amp;D19&amp;E19</f>
        <v>MWTotal controllable opex</v>
      </c>
      <c r="G19" s="1702" t="str">
        <f t="shared" si="3"/>
        <v>2020-21</v>
      </c>
      <c r="H19" s="1702">
        <f>INDEX(KeyAssumptionsPriceControl_FO!$S$15:$AC$15,MATCH($G19,KeyAssumptionsPriceControl_FO!$S$7:$AC$7,0))</f>
        <v>0.82871357498223175</v>
      </c>
      <c r="I19" s="1703">
        <f t="shared" si="6"/>
        <v>418.48578419756291</v>
      </c>
      <c r="J19" s="1703">
        <f t="shared" si="6"/>
        <v>445.12305042366137</v>
      </c>
      <c r="K19" s="1703">
        <f t="shared" si="6"/>
        <v>442.96676855043137</v>
      </c>
      <c r="L19" s="1703">
        <f t="shared" si="6"/>
        <v>442.75024148340503</v>
      </c>
      <c r="M19" s="1703">
        <f t="shared" si="6"/>
        <v>469.65162922644407</v>
      </c>
      <c r="N19" s="1703">
        <f t="shared" si="6"/>
        <v>478.88790661522034</v>
      </c>
      <c r="O19" s="1703">
        <f t="shared" si="6"/>
        <v>464.35261142983683</v>
      </c>
      <c r="P19" s="1703">
        <f t="shared" si="6"/>
        <v>460.38395741805232</v>
      </c>
      <c r="Q19" s="1703">
        <f t="shared" si="6"/>
        <v>462.2812313055486</v>
      </c>
      <c r="R19" s="1703">
        <f t="shared" si="6"/>
        <v>467.3678224714638</v>
      </c>
      <c r="S19" s="1703">
        <f t="shared" si="6"/>
        <v>471.79175435209817</v>
      </c>
      <c r="T19" s="1703">
        <f t="shared" si="6"/>
        <v>471.78802568142913</v>
      </c>
      <c r="U19" s="1703">
        <f t="shared" si="6"/>
        <v>471.79206809137764</v>
      </c>
      <c r="V19" s="1703">
        <f t="shared" si="6"/>
        <v>471.78730166770691</v>
      </c>
      <c r="W19" s="1703">
        <f t="shared" si="6"/>
        <v>471.79291277405355</v>
      </c>
      <c r="X19" s="1703">
        <f t="shared" si="6"/>
        <v>471.78730166770691</v>
      </c>
      <c r="AA19" s="1396" t="s">
        <v>1050</v>
      </c>
      <c r="AC19" s="1709"/>
      <c r="AD19" s="1709"/>
    </row>
    <row r="20" spans="2:30">
      <c r="B20" s="1702" t="str">
        <f t="shared" si="0"/>
        <v>Melbourne Water</v>
      </c>
      <c r="C20" s="1702" t="str">
        <f t="shared" si="1"/>
        <v>MW</v>
      </c>
      <c r="D20" s="1702" t="s">
        <v>1488</v>
      </c>
      <c r="E20" s="1702"/>
      <c r="F20" s="1702" t="str">
        <f t="shared" si="7"/>
        <v>MWTotal controllable opex W&amp;D</v>
      </c>
      <c r="G20" s="1702" t="str">
        <f t="shared" si="3"/>
        <v>2020-21</v>
      </c>
      <c r="H20" s="1702">
        <f>INDEX(KeyAssumptionsPriceControl_FO!$S$15:$AC$15,MATCH($G20,KeyAssumptionsPriceControl_FO!$S$7:$AC$7,0))</f>
        <v>0.82871357498223175</v>
      </c>
      <c r="I20" s="1703">
        <f t="shared" si="6"/>
        <v>150.34115225193017</v>
      </c>
      <c r="J20" s="1703">
        <f t="shared" si="6"/>
        <v>153.35237168674931</v>
      </c>
      <c r="K20" s="1703">
        <f t="shared" si="6"/>
        <v>157.31319506929108</v>
      </c>
      <c r="L20" s="1703">
        <f t="shared" si="6"/>
        <v>167.12823251930888</v>
      </c>
      <c r="M20" s="1703">
        <f t="shared" si="6"/>
        <v>169.68911037083384</v>
      </c>
      <c r="N20" s="1703">
        <f t="shared" si="6"/>
        <v>176.27232974013023</v>
      </c>
      <c r="O20" s="1703">
        <f t="shared" si="6"/>
        <v>180.47986378988716</v>
      </c>
      <c r="P20" s="1703">
        <f t="shared" si="6"/>
        <v>180.37752137081955</v>
      </c>
      <c r="Q20" s="1703">
        <f t="shared" si="6"/>
        <v>180.41574504462625</v>
      </c>
      <c r="R20" s="2033">
        <f t="shared" si="6"/>
        <v>182.26061124507007</v>
      </c>
      <c r="S20" s="2033">
        <f t="shared" si="6"/>
        <v>182.47224742024156</v>
      </c>
      <c r="T20" s="2033">
        <f t="shared" si="6"/>
        <v>182.47224742024156</v>
      </c>
      <c r="U20" s="2033">
        <f t="shared" si="6"/>
        <v>182.47224742024156</v>
      </c>
      <c r="V20" s="2033">
        <f t="shared" si="6"/>
        <v>182.47224742024156</v>
      </c>
      <c r="W20" s="2033">
        <f t="shared" si="6"/>
        <v>182.47224742024156</v>
      </c>
      <c r="X20" s="2033">
        <f t="shared" si="6"/>
        <v>182.47224742024156</v>
      </c>
      <c r="AA20" s="1396"/>
      <c r="AC20" s="1752"/>
      <c r="AD20" s="1752"/>
    </row>
    <row r="21" spans="2:30">
      <c r="B21" s="1702" t="str">
        <f t="shared" si="0"/>
        <v>Melbourne Water</v>
      </c>
      <c r="C21" s="1702" t="str">
        <f t="shared" si="1"/>
        <v>MW</v>
      </c>
      <c r="D21" s="1702" t="s">
        <v>1489</v>
      </c>
      <c r="E21" s="1702"/>
      <c r="F21" s="1702" t="str">
        <f t="shared" si="7"/>
        <v>MWTotal controllable opex W&amp;S</v>
      </c>
      <c r="G21" s="1702" t="str">
        <f>INDEX($D$29:$D$30,MATCH($B22,$B$29:$B$32,0))</f>
        <v>2020-21</v>
      </c>
      <c r="H21" s="1702">
        <f>INDEX(KeyAssumptionsPriceControl_FO!$S$15:$AC$15,MATCH($G21,KeyAssumptionsPriceControl_FO!$S$7:$AC$7,0))</f>
        <v>0.82871357498223175</v>
      </c>
      <c r="I21" s="1703">
        <f t="shared" si="6"/>
        <v>268.14463194563274</v>
      </c>
      <c r="J21" s="1703">
        <f t="shared" si="6"/>
        <v>291.77067873691203</v>
      </c>
      <c r="K21" s="1703">
        <f t="shared" si="6"/>
        <v>285.65357348114031</v>
      </c>
      <c r="L21" s="1703">
        <f t="shared" si="6"/>
        <v>275.62200896409615</v>
      </c>
      <c r="M21" s="1703">
        <f t="shared" si="6"/>
        <v>299.9625188556102</v>
      </c>
      <c r="N21" s="1703">
        <f t="shared" si="6"/>
        <v>302.61557687509014</v>
      </c>
      <c r="O21" s="1703">
        <f t="shared" si="6"/>
        <v>283.87274763994964</v>
      </c>
      <c r="P21" s="1703">
        <f t="shared" si="6"/>
        <v>280.0064360472328</v>
      </c>
      <c r="Q21" s="1703">
        <f t="shared" si="6"/>
        <v>281.86548626092235</v>
      </c>
      <c r="R21" s="2033">
        <f t="shared" si="6"/>
        <v>285.10721122639399</v>
      </c>
      <c r="S21" s="2033">
        <f t="shared" si="6"/>
        <v>289.31950693185638</v>
      </c>
      <c r="T21" s="2033">
        <f t="shared" si="6"/>
        <v>289.31577826118746</v>
      </c>
      <c r="U21" s="2033">
        <f t="shared" si="6"/>
        <v>289.31982067113597</v>
      </c>
      <c r="V21" s="2033">
        <f t="shared" si="6"/>
        <v>289.31505424746535</v>
      </c>
      <c r="W21" s="2033">
        <f t="shared" si="6"/>
        <v>289.32066535381182</v>
      </c>
      <c r="X21" s="2033">
        <f t="shared" si="6"/>
        <v>289.31505424746535</v>
      </c>
      <c r="AA21" s="1396"/>
      <c r="AC21" s="1752"/>
      <c r="AD21" s="1752"/>
    </row>
    <row r="22" spans="2:30">
      <c r="B22" s="1702" t="str">
        <f t="shared" si="0"/>
        <v>Melbourne Water</v>
      </c>
      <c r="C22" s="1702" t="str">
        <f>INDEX($C$29:$C$33,MATCH($B23,$B$29:$B$32,0))</f>
        <v>MW</v>
      </c>
      <c r="D22" s="1702" t="s">
        <v>1490</v>
      </c>
      <c r="E22" s="1702"/>
      <c r="F22" s="1702" t="str">
        <f t="shared" si="7"/>
        <v>MWTotal Labour costs</v>
      </c>
      <c r="G22" s="1702" t="str">
        <f>INDEX($D$29:$D$33,MATCH($B23,$B$29:$B$32,0))</f>
        <v>2020-21</v>
      </c>
      <c r="H22" s="1702">
        <f>INDEX(KeyAssumptionsPriceControl_FO!$S$15:$AC$15,MATCH($G22,KeyAssumptionsPriceControl_FO!$S$7:$AC$7,0))</f>
        <v>0.82871357498223175</v>
      </c>
      <c r="I22" s="1703">
        <f t="shared" si="6"/>
        <v>155.63875902481024</v>
      </c>
      <c r="J22" s="1703">
        <f t="shared" si="6"/>
        <v>163.59808711979659</v>
      </c>
      <c r="K22" s="1703">
        <f t="shared" si="6"/>
        <v>163.83015703346638</v>
      </c>
      <c r="L22" s="1703">
        <f t="shared" si="6"/>
        <v>168.70202795557722</v>
      </c>
      <c r="M22" s="1703">
        <f t="shared" si="6"/>
        <v>174.60077593877273</v>
      </c>
      <c r="N22" s="1703">
        <f t="shared" si="6"/>
        <v>172.73049618267555</v>
      </c>
      <c r="O22" s="1703">
        <f t="shared" si="6"/>
        <v>165.94312363984466</v>
      </c>
      <c r="P22" s="1703">
        <f t="shared" si="6"/>
        <v>166.36798029232747</v>
      </c>
      <c r="Q22" s="1703">
        <f t="shared" si="6"/>
        <v>165.65008175122469</v>
      </c>
      <c r="R22" s="1703">
        <f t="shared" si="6"/>
        <v>165.49965030083354</v>
      </c>
      <c r="S22" s="1703">
        <f t="shared" si="6"/>
        <v>164.80158938695533</v>
      </c>
      <c r="T22" s="1703">
        <f t="shared" si="6"/>
        <v>164.80158938695533</v>
      </c>
      <c r="U22" s="1703">
        <f t="shared" si="6"/>
        <v>164.80158938695533</v>
      </c>
      <c r="V22" s="1703">
        <f t="shared" si="6"/>
        <v>164.80158938695533</v>
      </c>
      <c r="W22" s="1703">
        <f t="shared" si="6"/>
        <v>164.80158938695533</v>
      </c>
      <c r="X22" s="1703">
        <f t="shared" si="6"/>
        <v>164.80158938695533</v>
      </c>
      <c r="AA22" s="1396" t="s">
        <v>1491</v>
      </c>
      <c r="AC22" s="1705">
        <f>INDEX($AA$53:$AE$56,MATCH($AA22,$AA$53:$AA$56,0),MATCH(AC$7,$AA$53:$AE$53,0))</f>
        <v>6.5000000000000002E-2</v>
      </c>
      <c r="AD22" s="1705">
        <f>INDEX($AA$53:$AE$56,MATCH($AA22,$AA$53:$AA$56,0),MATCH(AD$7,$AA$53:$AE$53,0))</f>
        <v>0.06</v>
      </c>
    </row>
    <row r="23" spans="2:30">
      <c r="B23" s="1702" t="str">
        <f t="shared" si="0"/>
        <v>Melbourne Water</v>
      </c>
      <c r="C23" s="1702" t="str">
        <f>INDEX($C$29:$C$33,MATCH($B24,$B$29:$B$32,0))</f>
        <v>MW</v>
      </c>
      <c r="D23" s="1702" t="s">
        <v>1492</v>
      </c>
      <c r="E23" s="1702"/>
      <c r="F23" s="1702" t="str">
        <f t="shared" si="7"/>
        <v>MWTotal Energy costs</v>
      </c>
      <c r="G23" s="1702" t="str">
        <f>INDEX($D$29:$D$33,MATCH($B24,$B$29:$B$32,0))</f>
        <v>2020-21</v>
      </c>
      <c r="H23" s="1702">
        <f>INDEX(KeyAssumptionsPriceControl_FO!$S$15:$AC$15,MATCH($G23,KeyAssumptionsPriceControl_FO!$S$7:$AC$7,0))</f>
        <v>0.82871357498223175</v>
      </c>
      <c r="I23" s="1703">
        <f t="shared" si="6"/>
        <v>42.458127676660673</v>
      </c>
      <c r="J23" s="1703">
        <f t="shared" si="6"/>
        <v>48.232108725553758</v>
      </c>
      <c r="K23" s="1703">
        <f t="shared" si="6"/>
        <v>49.213678681756825</v>
      </c>
      <c r="L23" s="1703">
        <f t="shared" si="6"/>
        <v>49.84072175191347</v>
      </c>
      <c r="M23" s="1703">
        <f t="shared" si="6"/>
        <v>60.181482924801898</v>
      </c>
      <c r="N23" s="1703">
        <f t="shared" si="6"/>
        <v>55.911971518267386</v>
      </c>
      <c r="O23" s="1703">
        <f t="shared" si="6"/>
        <v>48.547066695439398</v>
      </c>
      <c r="P23" s="1703">
        <f t="shared" si="6"/>
        <v>40.437687322154957</v>
      </c>
      <c r="Q23" s="1703">
        <f t="shared" si="6"/>
        <v>43.714577828474596</v>
      </c>
      <c r="R23" s="1703">
        <f t="shared" si="6"/>
        <v>41.967840788206097</v>
      </c>
      <c r="S23" s="1703">
        <f t="shared" si="6"/>
        <v>49.586625323598327</v>
      </c>
      <c r="T23" s="1703">
        <f t="shared" si="6"/>
        <v>43.39750775183083</v>
      </c>
      <c r="U23" s="1703">
        <f t="shared" si="6"/>
        <v>43.39750775183083</v>
      </c>
      <c r="V23" s="1703">
        <f t="shared" si="6"/>
        <v>43.397507751830815</v>
      </c>
      <c r="W23" s="1703">
        <f t="shared" si="6"/>
        <v>43.39750775183083</v>
      </c>
      <c r="X23" s="1703">
        <f t="shared" si="6"/>
        <v>43.39750775183083</v>
      </c>
      <c r="AA23" s="1396" t="s">
        <v>1493</v>
      </c>
      <c r="AC23" s="1710">
        <f>INDEX($AA$53:$AE$56,MATCH($AA23,$AA$53:$AA$56,0),MATCH(AC$7,$AA$53:$AE$53,0))</f>
        <v>4.4999999999999998E-2</v>
      </c>
      <c r="AD23" s="1710">
        <f>INDEX($AA$53:$AE$56,MATCH($AA23,$AA$53:$AA$56,0),MATCH(AD$7,$AA$53:$AE$53,0))</f>
        <v>0.04</v>
      </c>
    </row>
    <row r="24" spans="2:30">
      <c r="B24" s="1702" t="str">
        <f t="shared" si="0"/>
        <v>Melbourne Water</v>
      </c>
      <c r="C24" s="1702" t="str">
        <f>INDEX($C$29:$C$33,MATCH($B25,$B$29:$B$32,0))</f>
        <v>MW</v>
      </c>
      <c r="D24" s="1702" t="s">
        <v>324</v>
      </c>
      <c r="E24" s="1702"/>
      <c r="F24" s="1702" t="str">
        <f t="shared" si="7"/>
        <v>MWTotal IT costs</v>
      </c>
      <c r="G24" s="1702" t="str">
        <f>INDEX($D$29:$D$33,MATCH($B25,$B$29:$B$32,0))</f>
        <v>2020-21</v>
      </c>
      <c r="H24" s="1702">
        <f>INDEX(KeyAssumptionsPriceControl_FO!$S$15:$AC$15,MATCH($G24,KeyAssumptionsPriceControl_FO!$S$7:$AC$7,0))</f>
        <v>0.82871357498223175</v>
      </c>
      <c r="I24" s="1703">
        <f t="shared" si="6"/>
        <v>27.20190723947038</v>
      </c>
      <c r="J24" s="1703">
        <f t="shared" si="6"/>
        <v>28.600977295536051</v>
      </c>
      <c r="K24" s="1703">
        <f t="shared" si="6"/>
        <v>29.823755168307702</v>
      </c>
      <c r="L24" s="1703">
        <f t="shared" si="6"/>
        <v>30.059158871136766</v>
      </c>
      <c r="M24" s="1703">
        <f t="shared" si="6"/>
        <v>30.940902729018411</v>
      </c>
      <c r="N24" s="1703">
        <f t="shared" si="6"/>
        <v>31.8201656109777</v>
      </c>
      <c r="O24" s="1703">
        <f t="shared" si="6"/>
        <v>34.288344166582583</v>
      </c>
      <c r="P24" s="1703">
        <f t="shared" si="6"/>
        <v>35.518815381393182</v>
      </c>
      <c r="Q24" s="1703">
        <f t="shared" si="6"/>
        <v>36.855994744134591</v>
      </c>
      <c r="R24" s="1703">
        <f t="shared" si="6"/>
        <v>37.880060058497065</v>
      </c>
      <c r="S24" s="1703">
        <f t="shared" si="6"/>
        <v>38.453561487794062</v>
      </c>
      <c r="T24" s="1703">
        <f t="shared" si="6"/>
        <v>38.453561487794062</v>
      </c>
      <c r="U24" s="1703">
        <f t="shared" si="6"/>
        <v>38.453561487794062</v>
      </c>
      <c r="V24" s="1703">
        <f t="shared" si="6"/>
        <v>38.453561487794062</v>
      </c>
      <c r="W24" s="1703">
        <f t="shared" si="6"/>
        <v>38.453561487794062</v>
      </c>
      <c r="X24" s="1703">
        <f t="shared" si="6"/>
        <v>38.453561487794062</v>
      </c>
    </row>
    <row r="25" spans="2:30">
      <c r="B25" s="1702" t="str">
        <f t="shared" si="0"/>
        <v>Melbourne Water</v>
      </c>
      <c r="C25" s="1702" t="str">
        <f>INDEX($C$29:$C$33,MATCH($B27,$B$29:$B$32,0))</f>
        <v>MW</v>
      </c>
      <c r="D25" s="1702" t="s">
        <v>1494</v>
      </c>
      <c r="E25" s="1702"/>
      <c r="F25" s="1702" t="str">
        <f t="shared" si="7"/>
        <v>MWTotal Chemical costs</v>
      </c>
      <c r="G25" s="1702" t="str">
        <f>INDEX($D$29:$D$33,MATCH($B27,$B$29:$B$32,0))</f>
        <v>2020-21</v>
      </c>
      <c r="H25" s="1702">
        <f>INDEX(KeyAssumptionsPriceControl_FO!$S$15:$AC$15,MATCH($G25,KeyAssumptionsPriceControl_FO!$S$7:$AC$7,0))</f>
        <v>0.82871357498223175</v>
      </c>
      <c r="I25" s="1703">
        <f t="shared" si="6"/>
        <v>8.6667798659911881</v>
      </c>
      <c r="J25" s="1703">
        <f t="shared" si="6"/>
        <v>10.75355828877642</v>
      </c>
      <c r="K25" s="1703">
        <f t="shared" si="6"/>
        <v>10.83213052878733</v>
      </c>
      <c r="L25" s="1703">
        <f t="shared" si="6"/>
        <v>11.010047465674955</v>
      </c>
      <c r="M25" s="1703">
        <f t="shared" si="6"/>
        <v>11.297828149325154</v>
      </c>
      <c r="N25" s="1703">
        <f t="shared" si="6"/>
        <v>11.950544408799312</v>
      </c>
      <c r="O25" s="1703">
        <f t="shared" si="6"/>
        <v>11.825109330037332</v>
      </c>
      <c r="P25" s="1703">
        <f t="shared" si="6"/>
        <v>12.335195310216919</v>
      </c>
      <c r="Q25" s="1703">
        <f t="shared" si="6"/>
        <v>12.827713613507402</v>
      </c>
      <c r="R25" s="1703">
        <f t="shared" si="6"/>
        <v>12.695454771959886</v>
      </c>
      <c r="S25" s="1703">
        <f t="shared" si="6"/>
        <v>12.851999039981621</v>
      </c>
      <c r="T25" s="1703">
        <f t="shared" si="6"/>
        <v>12.851999039981621</v>
      </c>
      <c r="U25" s="1703">
        <f t="shared" si="6"/>
        <v>12.851999039981621</v>
      </c>
      <c r="V25" s="1703">
        <f t="shared" si="6"/>
        <v>12.851999039981621</v>
      </c>
      <c r="W25" s="1703">
        <f t="shared" si="6"/>
        <v>12.851999039981621</v>
      </c>
      <c r="X25" s="1703">
        <f t="shared" si="6"/>
        <v>12.851999039981621</v>
      </c>
      <c r="AA25" s="1698" t="s">
        <v>1486</v>
      </c>
    </row>
    <row r="26" spans="2:30">
      <c r="AA26" s="1396"/>
      <c r="AC26" s="1708" t="str">
        <f>AD18</f>
        <v>MW5</v>
      </c>
    </row>
    <row r="27" spans="2:30">
      <c r="B27" s="1702" t="str">
        <f t="shared" si="0"/>
        <v>Melbourne Water</v>
      </c>
      <c r="C27" s="1702" t="str">
        <f>INDEX($C$29:$C$33,MATCH($B22,$B$29:$B$32,0))</f>
        <v>MW</v>
      </c>
      <c r="D27" s="1702" t="s">
        <v>302</v>
      </c>
      <c r="E27" s="1702"/>
      <c r="F27" s="1702" t="str">
        <f>C27&amp;D27&amp;E27</f>
        <v>MWTotal FTEs</v>
      </c>
      <c r="G27" s="1702" t="str">
        <f>INDEX($D$29:$D$33,MATCH($B22,$B$29:$B$32,0))</f>
        <v>2020-21</v>
      </c>
      <c r="H27" s="1702" t="s">
        <v>1185</v>
      </c>
      <c r="I27" s="1711">
        <f t="shared" ref="I27:X27" si="8">INDEX($I$35:$X$54,MATCH($F27,$F$35:$F$54,0),MATCH(I$6,$I$34:$X$34,0))</f>
        <v>943.2</v>
      </c>
      <c r="J27" s="1711">
        <f t="shared" si="8"/>
        <v>1002.1</v>
      </c>
      <c r="K27" s="1711">
        <f t="shared" si="8"/>
        <v>1029.3</v>
      </c>
      <c r="L27" s="1711">
        <f t="shared" si="8"/>
        <v>1085</v>
      </c>
      <c r="M27" s="1711">
        <f t="shared" si="8"/>
        <v>1128.3</v>
      </c>
      <c r="N27" s="1711">
        <f t="shared" si="8"/>
        <v>1165.0999999999999</v>
      </c>
      <c r="O27" s="1711">
        <f t="shared" si="8"/>
        <v>1165.0999999999999</v>
      </c>
      <c r="P27" s="1711">
        <f t="shared" si="8"/>
        <v>1165.0999999999999</v>
      </c>
      <c r="Q27" s="1711">
        <f t="shared" si="8"/>
        <v>1165.0999999999999</v>
      </c>
      <c r="R27" s="1711">
        <f t="shared" si="8"/>
        <v>1165.0999999999999</v>
      </c>
      <c r="S27" s="1711">
        <f t="shared" si="8"/>
        <v>1165.0999999999999</v>
      </c>
      <c r="T27" s="1711">
        <f t="shared" si="8"/>
        <v>1165.0999999999999</v>
      </c>
      <c r="U27" s="1711">
        <f t="shared" si="8"/>
        <v>1165.0999999999999</v>
      </c>
      <c r="V27" s="1711">
        <f t="shared" si="8"/>
        <v>1165.0999999999999</v>
      </c>
      <c r="W27" s="1711">
        <f t="shared" si="8"/>
        <v>1165.0999999999999</v>
      </c>
      <c r="X27" s="1711">
        <f t="shared" si="8"/>
        <v>1165.0999999999999</v>
      </c>
      <c r="AA27" s="1696" t="s">
        <v>211</v>
      </c>
      <c r="AC27" s="1704"/>
    </row>
    <row r="28" spans="2:30">
      <c r="AA28" s="1696" t="s">
        <v>223</v>
      </c>
      <c r="AC28" s="1705"/>
    </row>
    <row r="29" spans="2:30">
      <c r="B29" s="1712" t="s">
        <v>1465</v>
      </c>
      <c r="C29" s="1713" t="s">
        <v>1466</v>
      </c>
      <c r="D29" s="1714" t="s">
        <v>1470</v>
      </c>
      <c r="R29" s="1696">
        <v>467.3678224714638</v>
      </c>
      <c r="AA29" s="1696" t="s">
        <v>226</v>
      </c>
      <c r="AC29" s="1705"/>
    </row>
    <row r="30" spans="2:30">
      <c r="B30" s="1715" t="s">
        <v>59</v>
      </c>
      <c r="C30" s="1716" t="s">
        <v>95</v>
      </c>
      <c r="D30" s="1717" t="s">
        <v>501</v>
      </c>
      <c r="I30" s="1718"/>
      <c r="J30" s="1718"/>
      <c r="Q30" s="1696" t="s">
        <v>344</v>
      </c>
      <c r="R30" s="1696">
        <f>R20+R21</f>
        <v>467.36782247146402</v>
      </c>
      <c r="U30" s="1718"/>
      <c r="V30" s="1718"/>
      <c r="W30" s="1718"/>
      <c r="X30" s="1718"/>
      <c r="AA30" s="1696" t="s">
        <v>221</v>
      </c>
      <c r="AC30" s="1705"/>
    </row>
    <row r="31" spans="2:30">
      <c r="R31" s="1718">
        <f>R29-R30</f>
        <v>0</v>
      </c>
      <c r="S31" s="1718"/>
      <c r="T31" s="1718"/>
      <c r="U31" s="1718"/>
      <c r="V31" s="1718"/>
      <c r="W31" s="1718"/>
      <c r="X31" s="1718"/>
      <c r="AA31" s="1696" t="s">
        <v>1495</v>
      </c>
      <c r="AC31" s="1719"/>
    </row>
    <row r="33" spans="2:34">
      <c r="G33" s="1736">
        <v>21</v>
      </c>
    </row>
    <row r="34" spans="2:34">
      <c r="B34" s="1699" t="s">
        <v>1465</v>
      </c>
      <c r="C34" s="1699" t="s">
        <v>1466</v>
      </c>
      <c r="D34" s="1699" t="s">
        <v>1467</v>
      </c>
      <c r="E34" s="1699" t="s">
        <v>1468</v>
      </c>
      <c r="F34" s="1699" t="s">
        <v>1469</v>
      </c>
      <c r="G34" s="1699" t="s">
        <v>1470</v>
      </c>
      <c r="I34" s="1700" t="s">
        <v>1472</v>
      </c>
      <c r="J34" s="1700" t="s">
        <v>1473</v>
      </c>
      <c r="K34" s="1700" t="s">
        <v>1474</v>
      </c>
      <c r="L34" s="1700" t="s">
        <v>1475</v>
      </c>
      <c r="M34" s="1700" t="s">
        <v>1476</v>
      </c>
      <c r="N34" s="1700" t="s">
        <v>501</v>
      </c>
      <c r="O34" s="1700" t="s">
        <v>360</v>
      </c>
      <c r="P34" s="1700" t="s">
        <v>361</v>
      </c>
      <c r="Q34" s="1700" t="s">
        <v>132</v>
      </c>
      <c r="R34" s="1700" t="str">
        <f t="shared" ref="R34:X34" si="9">R6</f>
        <v>2024-25</v>
      </c>
      <c r="S34" s="1700" t="str">
        <f t="shared" si="9"/>
        <v>2025-26</v>
      </c>
      <c r="T34" s="1700" t="str">
        <f t="shared" si="9"/>
        <v>2026-27</v>
      </c>
      <c r="U34" s="1700" t="str">
        <f t="shared" si="9"/>
        <v>2027-28</v>
      </c>
      <c r="V34" s="1700" t="str">
        <f t="shared" si="9"/>
        <v>2028-29</v>
      </c>
      <c r="W34" s="1700" t="str">
        <f t="shared" si="9"/>
        <v>2029-30</v>
      </c>
      <c r="X34" s="1700" t="str">
        <f t="shared" si="9"/>
        <v>2030-31</v>
      </c>
      <c r="AA34" s="1698" t="s">
        <v>1496</v>
      </c>
    </row>
    <row r="35" spans="2:34">
      <c r="B35" s="1702" t="str">
        <f>$B$2</f>
        <v>Melbourne Water</v>
      </c>
      <c r="C35" s="1702" t="s">
        <v>95</v>
      </c>
      <c r="D35" s="1702" t="s">
        <v>1481</v>
      </c>
      <c r="E35" s="1702"/>
      <c r="F35" s="1702" t="str">
        <f>C35&amp;D35&amp;E35</f>
        <v>MWRAV (Opening Base)</v>
      </c>
      <c r="G35" s="1702" t="str">
        <f>_xlfn.XLOOKUP(B35,$B$29:$B$30,$D$29:$D$30,0)</f>
        <v>2020-21</v>
      </c>
      <c r="I35" s="1735">
        <v>10534.24515035615</v>
      </c>
      <c r="J35" s="1735">
        <v>10637.388133081371</v>
      </c>
      <c r="K35" s="1735">
        <v>10804.782412363549</v>
      </c>
      <c r="L35" s="1735">
        <v>11025.066160387518</v>
      </c>
      <c r="M35" s="1735">
        <v>11216.76012081069</v>
      </c>
      <c r="N35" s="1735">
        <v>11337.922985333531</v>
      </c>
      <c r="O35" s="1735">
        <v>11419.291834153233</v>
      </c>
      <c r="P35" s="1735">
        <v>11868.418748246453</v>
      </c>
      <c r="Q35" s="1723">
        <v>12453.052057500448</v>
      </c>
      <c r="R35" s="1723">
        <v>12776.928022204407</v>
      </c>
      <c r="S35" s="1723">
        <v>13083.462766930244</v>
      </c>
      <c r="T35" s="1723">
        <v>13240.577633864992</v>
      </c>
      <c r="U35" s="1723">
        <v>13501.483640067901</v>
      </c>
      <c r="V35" s="1723">
        <v>13718.513148854163</v>
      </c>
      <c r="W35" s="1723">
        <v>13932.229506599655</v>
      </c>
      <c r="X35" s="1723">
        <v>14157.314911790032</v>
      </c>
      <c r="Y35" s="1696" t="s">
        <v>1497</v>
      </c>
      <c r="AC35" s="1696" t="s">
        <v>1479</v>
      </c>
      <c r="AD35" s="1696" t="s">
        <v>1480</v>
      </c>
    </row>
    <row r="36" spans="2:34">
      <c r="B36" s="1702" t="str">
        <f t="shared" ref="B36:B54" si="10">$B$2</f>
        <v>Melbourne Water</v>
      </c>
      <c r="C36" s="1702" t="s">
        <v>95</v>
      </c>
      <c r="D36" s="1702" t="s">
        <v>1482</v>
      </c>
      <c r="E36" s="1702"/>
      <c r="F36" s="1702" t="str">
        <f t="shared" ref="F36:F47" si="11">C36&amp;D36&amp;E36</f>
        <v>MWRoA</v>
      </c>
      <c r="G36" s="1702" t="str">
        <f t="shared" ref="G36:G54" si="12">_xlfn.XLOOKUP(B36,$B$29:$B$30,$D$29:$D$30,0)</f>
        <v>2020-21</v>
      </c>
      <c r="I36" s="1735">
        <v>446.2570544865851</v>
      </c>
      <c r="J36" s="1735">
        <v>472.64243471557796</v>
      </c>
      <c r="K36" s="1735">
        <v>480.49668870307744</v>
      </c>
      <c r="L36" s="1735">
        <v>483.47007151169242</v>
      </c>
      <c r="M36" s="1735">
        <v>489.10907993915339</v>
      </c>
      <c r="N36" s="2031">
        <v>490.47951205104096</v>
      </c>
      <c r="O36" s="1735">
        <v>384.24722460959487</v>
      </c>
      <c r="P36" s="1735">
        <v>401.30426829482388</v>
      </c>
      <c r="Q36" s="1735">
        <v>416.29467131513019</v>
      </c>
      <c r="R36" s="1735">
        <v>426.6964480207219</v>
      </c>
      <c r="S36" s="1735">
        <v>434.34666661312156</v>
      </c>
      <c r="T36" s="1735">
        <v>441.24401101989292</v>
      </c>
      <c r="U36" s="1735">
        <v>449.12994701721425</v>
      </c>
      <c r="V36" s="1735">
        <v>456.23725381498826</v>
      </c>
      <c r="W36" s="1735">
        <v>463.47748290343009</v>
      </c>
      <c r="X36" s="1735">
        <v>470.33363437509922</v>
      </c>
      <c r="Y36" s="1696" t="s">
        <v>1497</v>
      </c>
      <c r="AA36" s="1696" t="s">
        <v>333</v>
      </c>
      <c r="AC36" s="1704"/>
      <c r="AD36" s="1704"/>
    </row>
    <row r="37" spans="2:34">
      <c r="B37" s="1702" t="str">
        <f t="shared" si="10"/>
        <v>Melbourne Water</v>
      </c>
      <c r="C37" s="1702" t="s">
        <v>95</v>
      </c>
      <c r="D37" s="1702" t="s">
        <v>1483</v>
      </c>
      <c r="E37" s="1702"/>
      <c r="F37" s="1702" t="str">
        <f t="shared" si="11"/>
        <v>MWRevenue Req</v>
      </c>
      <c r="G37" s="1702" t="str">
        <f t="shared" si="12"/>
        <v>2020-21</v>
      </c>
      <c r="I37" s="1735">
        <v>1894.9909457066112</v>
      </c>
      <c r="J37" s="1735">
        <v>1690.6852405527236</v>
      </c>
      <c r="K37" s="1735">
        <v>1684.8447089936219</v>
      </c>
      <c r="L37" s="1735">
        <v>1702.8211646076777</v>
      </c>
      <c r="M37" s="1735">
        <v>1712.2658406516573</v>
      </c>
      <c r="N37" s="1735">
        <v>1695.7398359041083</v>
      </c>
      <c r="O37" s="1735">
        <v>1540.2192711067571</v>
      </c>
      <c r="P37" s="1735">
        <v>1568.7957028100745</v>
      </c>
      <c r="Q37" s="1723">
        <v>1595.3939168931747</v>
      </c>
      <c r="R37" s="1723">
        <v>1608.3945790073276</v>
      </c>
      <c r="S37" s="1723">
        <v>1622.9804440349221</v>
      </c>
      <c r="T37" s="1723">
        <v>1624.403185076827</v>
      </c>
      <c r="U37" s="1723">
        <v>1633.2701850304227</v>
      </c>
      <c r="V37" s="1723">
        <v>1659.1015425900425</v>
      </c>
      <c r="W37" s="1723">
        <v>1663.0072699509826</v>
      </c>
      <c r="X37" s="1723">
        <v>1663.8151472442787</v>
      </c>
      <c r="Y37" s="1696" t="s">
        <v>1497</v>
      </c>
      <c r="AA37" s="1696" t="s">
        <v>1498</v>
      </c>
      <c r="AC37" s="1719"/>
      <c r="AD37" s="1719"/>
    </row>
    <row r="38" spans="2:34">
      <c r="B38" s="1702" t="str">
        <f t="shared" si="10"/>
        <v>Melbourne Water</v>
      </c>
      <c r="C38" s="1702" t="s">
        <v>95</v>
      </c>
      <c r="D38" s="1702" t="s">
        <v>1484</v>
      </c>
      <c r="E38" s="1702"/>
      <c r="F38" s="1702" t="str">
        <f t="shared" si="11"/>
        <v>MWRegDepEx</v>
      </c>
      <c r="G38" s="1702" t="str">
        <f t="shared" si="12"/>
        <v>2020-21</v>
      </c>
      <c r="I38" s="1735">
        <v>163.42061957059838</v>
      </c>
      <c r="J38" s="1735">
        <v>169.91306731531361</v>
      </c>
      <c r="K38" s="1735">
        <v>169.91306731531361</v>
      </c>
      <c r="L38" s="1735">
        <v>169.91306731531361</v>
      </c>
      <c r="M38" s="1735">
        <v>169.91306731531361</v>
      </c>
      <c r="N38" s="1735">
        <v>169.91306731531361</v>
      </c>
      <c r="O38" s="1735">
        <v>181.52640327277217</v>
      </c>
      <c r="P38" s="1735">
        <v>181.52640327277217</v>
      </c>
      <c r="Q38" s="1723">
        <v>181.52640327277217</v>
      </c>
      <c r="R38" s="1723">
        <v>181.52640327277217</v>
      </c>
      <c r="S38" s="1723">
        <v>181.52640327277217</v>
      </c>
      <c r="T38" s="1723">
        <v>181.52640327277217</v>
      </c>
      <c r="U38" s="1723">
        <v>181.52640327277217</v>
      </c>
      <c r="V38" s="1723">
        <v>181.52640327277217</v>
      </c>
      <c r="W38" s="1723">
        <v>181.52640327277217</v>
      </c>
      <c r="X38" s="1723">
        <v>180.98729414634263</v>
      </c>
      <c r="Y38" s="1696" t="s">
        <v>1497</v>
      </c>
    </row>
    <row r="39" spans="2:34">
      <c r="B39" s="1702" t="str">
        <f t="shared" si="10"/>
        <v>Melbourne Water</v>
      </c>
      <c r="C39" s="1702" t="s">
        <v>95</v>
      </c>
      <c r="D39" s="1702" t="s">
        <v>1485</v>
      </c>
      <c r="E39" s="1702"/>
      <c r="F39" s="1702" t="str">
        <f t="shared" si="11"/>
        <v>MWRegDepNew</v>
      </c>
      <c r="G39" s="1702" t="str">
        <f t="shared" si="12"/>
        <v>2020-21</v>
      </c>
      <c r="I39" s="1735">
        <v>61.793664669610905</v>
      </c>
      <c r="J39" s="1735">
        <v>8.8965155416905066</v>
      </c>
      <c r="K39" s="1735">
        <v>26.093734240819039</v>
      </c>
      <c r="L39" s="1735">
        <v>42.339197985398741</v>
      </c>
      <c r="M39" s="1735">
        <v>56.090406423700202</v>
      </c>
      <c r="N39" s="1735">
        <v>69.092029975140534</v>
      </c>
      <c r="O39" s="1735">
        <v>9.7893595429398594</v>
      </c>
      <c r="P39" s="1735">
        <v>31.071171378226104</v>
      </c>
      <c r="Q39" s="1723">
        <v>52.976222065173559</v>
      </c>
      <c r="R39" s="1723">
        <v>69.391468366438517</v>
      </c>
      <c r="S39" s="1723">
        <v>83.493790109699901</v>
      </c>
      <c r="T39" s="1723">
        <v>97.544070404988275</v>
      </c>
      <c r="U39" s="1723">
        <v>109.91001614785678</v>
      </c>
      <c r="V39" s="1723">
        <v>124.30574607221249</v>
      </c>
      <c r="W39" s="1723">
        <v>136.4500432832196</v>
      </c>
      <c r="X39" s="1723">
        <v>147.51125362328497</v>
      </c>
      <c r="Y39" s="1696" t="s">
        <v>1497</v>
      </c>
    </row>
    <row r="40" spans="2:34">
      <c r="B40" s="1702" t="str">
        <f t="shared" si="10"/>
        <v>Melbourne Water</v>
      </c>
      <c r="C40" s="1702" t="s">
        <v>95</v>
      </c>
      <c r="D40" s="1702" t="s">
        <v>479</v>
      </c>
      <c r="E40" s="1702" t="s">
        <v>401</v>
      </c>
      <c r="F40" s="1701" t="str">
        <f t="shared" si="11"/>
        <v>MWTotal prescribed capexWater</v>
      </c>
      <c r="G40" s="1702" t="str">
        <f t="shared" si="12"/>
        <v>2020-21</v>
      </c>
      <c r="I40" s="1720">
        <v>104.80243820224719</v>
      </c>
      <c r="J40" s="1720">
        <v>133.11434812601664</v>
      </c>
      <c r="K40" s="1720">
        <v>110.75508432286819</v>
      </c>
      <c r="L40" s="1720">
        <v>117.22797663752233</v>
      </c>
      <c r="M40" s="1720">
        <v>143.35329756251912</v>
      </c>
      <c r="N40" s="1720">
        <v>94.065592396313349</v>
      </c>
      <c r="O40" s="1720">
        <v>172.25680649122569</v>
      </c>
      <c r="P40" s="1720">
        <v>238.29522923811632</v>
      </c>
      <c r="Q40" s="1721">
        <v>122.42151196085352</v>
      </c>
      <c r="R40" s="1723">
        <v>111.77105812588893</v>
      </c>
      <c r="S40" s="1723">
        <v>128.93164225730922</v>
      </c>
      <c r="T40" s="1723">
        <v>168.91004560895263</v>
      </c>
      <c r="U40" s="1723">
        <v>143.67428028714022</v>
      </c>
      <c r="V40" s="1723">
        <v>173.7048407250021</v>
      </c>
      <c r="W40" s="1723">
        <v>167.64856522215496</v>
      </c>
      <c r="X40" s="1723">
        <v>113.3189529033035</v>
      </c>
      <c r="Y40" s="1696" t="s">
        <v>1497</v>
      </c>
      <c r="AA40" s="1698" t="s">
        <v>1499</v>
      </c>
      <c r="AC40" s="1724"/>
    </row>
    <row r="41" spans="2:34">
      <c r="B41" s="1702" t="str">
        <f t="shared" si="10"/>
        <v>Melbourne Water</v>
      </c>
      <c r="C41" s="1702" t="s">
        <v>95</v>
      </c>
      <c r="D41" s="1702" t="s">
        <v>479</v>
      </c>
      <c r="E41" s="1702" t="s">
        <v>402</v>
      </c>
      <c r="F41" s="1701" t="str">
        <f t="shared" si="11"/>
        <v>MWTotal prescribed capexSewerage</v>
      </c>
      <c r="G41" s="1702" t="str">
        <f t="shared" si="12"/>
        <v>2020-21</v>
      </c>
      <c r="I41" s="1720">
        <v>166.68341198501872</v>
      </c>
      <c r="J41" s="1720">
        <v>190.89244420371531</v>
      </c>
      <c r="K41" s="1720">
        <v>241.61275717797656</v>
      </c>
      <c r="L41" s="1720">
        <v>220.66655526442079</v>
      </c>
      <c r="M41" s="1720">
        <v>148.10622238078702</v>
      </c>
      <c r="N41" s="1720">
        <v>128.81536771519262</v>
      </c>
      <c r="O41" s="1720">
        <v>327.31621278476734</v>
      </c>
      <c r="P41" s="1720">
        <v>376.33527122644853</v>
      </c>
      <c r="Q41" s="1721">
        <v>284.68668600932381</v>
      </c>
      <c r="R41" s="1723">
        <v>283.2342465201246</v>
      </c>
      <c r="S41" s="1723">
        <v>133.21990683719753</v>
      </c>
      <c r="T41" s="1723">
        <v>209.14000274094599</v>
      </c>
      <c r="U41" s="1723">
        <v>179.31175956818163</v>
      </c>
      <c r="V41" s="1723">
        <v>139.55768695487217</v>
      </c>
      <c r="W41" s="1723">
        <v>159.0379147000389</v>
      </c>
      <c r="X41" s="1723">
        <v>173.25660635047072</v>
      </c>
      <c r="Y41" s="1696" t="s">
        <v>1497</v>
      </c>
      <c r="AA41" s="769"/>
      <c r="AC41" s="795" t="s">
        <v>1500</v>
      </c>
      <c r="AD41" s="795" t="s">
        <v>1501</v>
      </c>
      <c r="AE41" s="795" t="s">
        <v>1478</v>
      </c>
      <c r="AF41" s="1696" t="s">
        <v>1479</v>
      </c>
      <c r="AG41" s="1696" t="s">
        <v>1480</v>
      </c>
      <c r="AH41" s="1696" t="s">
        <v>1502</v>
      </c>
    </row>
    <row r="42" spans="2:34">
      <c r="B42" s="1702" t="str">
        <f t="shared" si="10"/>
        <v>Melbourne Water</v>
      </c>
      <c r="C42" s="1702" t="s">
        <v>95</v>
      </c>
      <c r="D42" s="1702" t="s">
        <v>479</v>
      </c>
      <c r="E42" s="1702" t="s">
        <v>411</v>
      </c>
      <c r="F42" s="1701" t="str">
        <f t="shared" si="11"/>
        <v>MWTotal prescribed capexRecycled Water</v>
      </c>
      <c r="G42" s="1702" t="str">
        <f t="shared" si="12"/>
        <v>2020-21</v>
      </c>
      <c r="I42" s="1720">
        <v>1.4946198501872658</v>
      </c>
      <c r="J42" s="1720">
        <v>2.3001262692606281</v>
      </c>
      <c r="K42" s="1720">
        <v>0.90760056526754762</v>
      </c>
      <c r="L42" s="1720">
        <v>0.63273703007964555</v>
      </c>
      <c r="M42" s="1720">
        <v>0.11023519180191063</v>
      </c>
      <c r="N42" s="1720">
        <v>1.6644726393502542</v>
      </c>
      <c r="O42" s="1720">
        <v>0.1895886735784314</v>
      </c>
      <c r="P42" s="1720">
        <v>0.1091752952969941</v>
      </c>
      <c r="Q42" s="1721">
        <v>0.10095157986901603</v>
      </c>
      <c r="R42" s="1723">
        <v>8.7999834113521483E-2</v>
      </c>
      <c r="S42" s="1723">
        <v>8.7010873726900972E-2</v>
      </c>
      <c r="T42" s="1723">
        <v>0.10243967142368313</v>
      </c>
      <c r="U42" s="1723">
        <v>0.10471140092547364</v>
      </c>
      <c r="V42" s="1723">
        <v>0.10086121571665894</v>
      </c>
      <c r="W42" s="1723">
        <v>0.1030983835480164</v>
      </c>
      <c r="X42" s="1723">
        <v>0.10589926776346582</v>
      </c>
      <c r="Y42" s="1696" t="s">
        <v>1497</v>
      </c>
      <c r="AA42" s="1396" t="s">
        <v>214</v>
      </c>
      <c r="AC42" s="1725"/>
      <c r="AD42" s="1725"/>
      <c r="AE42" s="1726"/>
      <c r="AF42" s="1725"/>
      <c r="AG42" s="1725"/>
      <c r="AH42" s="1725"/>
    </row>
    <row r="43" spans="2:34">
      <c r="B43" s="1702" t="str">
        <f t="shared" si="10"/>
        <v>Melbourne Water</v>
      </c>
      <c r="C43" s="1702" t="s">
        <v>95</v>
      </c>
      <c r="D43" s="1702" t="s">
        <v>479</v>
      </c>
      <c r="E43" s="1702" t="s">
        <v>420</v>
      </c>
      <c r="F43" s="1701" t="str">
        <f t="shared" si="11"/>
        <v>MWTotal prescribed capexWaterways and Drainage</v>
      </c>
      <c r="G43" s="1702" t="str">
        <f t="shared" si="12"/>
        <v>2020-21</v>
      </c>
      <c r="I43" s="1720">
        <v>185.86234593172281</v>
      </c>
      <c r="J43" s="1720">
        <v>143.17048731228283</v>
      </c>
      <c r="K43" s="1720">
        <v>209.49121431182385</v>
      </c>
      <c r="L43" s="1720">
        <v>209.78459526176036</v>
      </c>
      <c r="M43" s="1720">
        <v>220.80986096026444</v>
      </c>
      <c r="N43" s="1720">
        <v>198.58828327020098</v>
      </c>
      <c r="O43" s="1720">
        <v>247.79120402101682</v>
      </c>
      <c r="P43" s="1720">
        <v>274.37854357855309</v>
      </c>
      <c r="Q43" s="1721">
        <v>234.45756485614675</v>
      </c>
      <c r="R43" s="1723">
        <v>239.15974519041956</v>
      </c>
      <c r="S43" s="1723">
        <v>236.9934309153104</v>
      </c>
      <c r="T43" s="1723">
        <v>218.81164506945072</v>
      </c>
      <c r="U43" s="1723">
        <v>214.4263161612121</v>
      </c>
      <c r="V43" s="1723">
        <v>219.77500638646075</v>
      </c>
      <c r="W43" s="1723">
        <v>220.9487457703157</v>
      </c>
      <c r="X43" s="1723">
        <v>221.40278164843895</v>
      </c>
      <c r="Y43" s="1696" t="s">
        <v>1497</v>
      </c>
      <c r="AA43" s="1396" t="s">
        <v>216</v>
      </c>
      <c r="AC43" s="1727"/>
      <c r="AD43" s="1727"/>
      <c r="AE43" s="1727"/>
      <c r="AF43" s="1727"/>
      <c r="AG43" s="1727"/>
      <c r="AH43" s="1727"/>
    </row>
    <row r="44" spans="2:34">
      <c r="B44" s="1702" t="str">
        <f t="shared" si="10"/>
        <v>Melbourne Water</v>
      </c>
      <c r="C44" s="1702" t="s">
        <v>95</v>
      </c>
      <c r="D44" s="1702" t="s">
        <v>479</v>
      </c>
      <c r="E44" s="1702" t="s">
        <v>427</v>
      </c>
      <c r="F44" s="1701" t="str">
        <f t="shared" si="11"/>
        <v>MWTotal prescribed capexDiversions</v>
      </c>
      <c r="G44" s="1702" t="str">
        <f t="shared" si="12"/>
        <v>2020-21</v>
      </c>
      <c r="I44" s="1720">
        <v>0.18123220973782772</v>
      </c>
      <c r="J44" s="1720">
        <v>0.27186766358595188</v>
      </c>
      <c r="K44" s="1720">
        <v>0.21376918508597287</v>
      </c>
      <c r="L44" s="1720">
        <v>0.18861893232682062</v>
      </c>
      <c r="M44" s="1720">
        <v>0.32394200000000001</v>
      </c>
      <c r="N44" s="1720">
        <v>0.19183345594692527</v>
      </c>
      <c r="O44" s="1720">
        <v>0.42835294117647055</v>
      </c>
      <c r="P44" s="1720">
        <v>0.42912795436022821</v>
      </c>
      <c r="Q44" s="1721">
        <v>0.42885576676851195</v>
      </c>
      <c r="R44" s="1723">
        <v>0.42858341889835155</v>
      </c>
      <c r="S44" s="1723">
        <v>0.42831230473120541</v>
      </c>
      <c r="T44" s="1723">
        <v>0.1737284903015015</v>
      </c>
      <c r="U44" s="1723">
        <v>0.16949121005024537</v>
      </c>
      <c r="V44" s="1723">
        <v>0.16535727809780038</v>
      </c>
      <c r="W44" s="1723">
        <v>0.16132417375395161</v>
      </c>
      <c r="X44" s="1723">
        <v>0.1573894378087333</v>
      </c>
      <c r="Y44" s="1696" t="s">
        <v>1497</v>
      </c>
      <c r="AA44" s="1396" t="s">
        <v>217</v>
      </c>
      <c r="AC44" s="1727">
        <v>0.06</v>
      </c>
      <c r="AD44" s="1727">
        <v>0.06</v>
      </c>
      <c r="AE44" s="1727">
        <v>0.06</v>
      </c>
      <c r="AF44" s="1727">
        <v>0.06</v>
      </c>
      <c r="AG44" s="1727">
        <v>0.06</v>
      </c>
      <c r="AH44" s="1727">
        <v>0.06</v>
      </c>
    </row>
    <row r="45" spans="2:34">
      <c r="B45" s="1702" t="str">
        <f t="shared" si="10"/>
        <v>Melbourne Water</v>
      </c>
      <c r="C45" s="1702" t="s">
        <v>95</v>
      </c>
      <c r="D45" s="1702" t="s">
        <v>479</v>
      </c>
      <c r="E45" s="1702" t="s">
        <v>485</v>
      </c>
      <c r="F45" s="1701" t="str">
        <f t="shared" si="11"/>
        <v>MWTotal prescribed capexDesal security payment cost capitalisation</v>
      </c>
      <c r="G45" s="1702" t="str">
        <f t="shared" si="12"/>
        <v>2020-21</v>
      </c>
      <c r="I45" s="1720">
        <v>0</v>
      </c>
      <c r="J45" s="1720">
        <v>32.752808988764038</v>
      </c>
      <c r="K45" s="1720">
        <v>32.752808988764038</v>
      </c>
      <c r="L45" s="1720">
        <v>32.752808988764038</v>
      </c>
      <c r="M45" s="1720">
        <v>32.752808988764038</v>
      </c>
      <c r="N45" s="1720">
        <v>32.752808988764045</v>
      </c>
      <c r="O45" s="1720">
        <v>20.28706101677512</v>
      </c>
      <c r="P45" s="1720">
        <v>29.919669025085568</v>
      </c>
      <c r="Q45" s="1721">
        <v>45.168804029960278</v>
      </c>
      <c r="R45" s="1723">
        <v>54.678472610056239</v>
      </c>
      <c r="S45" s="1723">
        <v>62.916135339934385</v>
      </c>
      <c r="T45" s="1723">
        <v>72.075002148575834</v>
      </c>
      <c r="U45" s="1723">
        <v>100.789005941429</v>
      </c>
      <c r="V45" s="1723">
        <v>117.07709749252352</v>
      </c>
      <c r="W45" s="1723">
        <v>126.87740986864394</v>
      </c>
      <c r="X45" s="1723">
        <v>143.367307200043</v>
      </c>
      <c r="Y45" s="1696" t="s">
        <v>1497</v>
      </c>
      <c r="AA45" s="1396" t="s">
        <v>219</v>
      </c>
      <c r="AC45" s="1728"/>
      <c r="AD45" s="1728"/>
      <c r="AE45" s="1728"/>
      <c r="AF45" s="1728"/>
      <c r="AG45" s="1728"/>
      <c r="AH45" s="1728"/>
    </row>
    <row r="46" spans="2:34">
      <c r="B46" s="1702" t="str">
        <f t="shared" si="10"/>
        <v>Melbourne Water</v>
      </c>
      <c r="C46" s="1702" t="s">
        <v>95</v>
      </c>
      <c r="D46" s="1702" t="s">
        <v>1487</v>
      </c>
      <c r="E46" s="1702"/>
      <c r="F46" s="1702" t="str">
        <f t="shared" si="11"/>
        <v>MWTotal controllable opex</v>
      </c>
      <c r="G46" s="1702" t="str">
        <f t="shared" si="12"/>
        <v>2020-21</v>
      </c>
      <c r="I46" s="1720">
        <v>346.80485030160509</v>
      </c>
      <c r="J46" s="1720">
        <v>368.8795144235886</v>
      </c>
      <c r="K46" s="1720">
        <v>367.09257436375481</v>
      </c>
      <c r="L46" s="1720">
        <v>366.91313544395899</v>
      </c>
      <c r="M46" s="1720">
        <v>389.20668065247605</v>
      </c>
      <c r="N46" s="1720">
        <v>396.86090910685641</v>
      </c>
      <c r="O46" s="1720">
        <v>384.81531267035518</v>
      </c>
      <c r="P46" s="1720">
        <v>381.52643521638169</v>
      </c>
      <c r="Q46" s="1721">
        <v>383.09873184240917</v>
      </c>
      <c r="R46" s="1723">
        <v>387.31405899198779</v>
      </c>
      <c r="S46" s="1723">
        <v>390.98023139626616</v>
      </c>
      <c r="T46" s="1723">
        <v>390.97714139626612</v>
      </c>
      <c r="U46" s="1723">
        <v>390.98049139626607</v>
      </c>
      <c r="V46" s="1723">
        <v>390.97654139626604</v>
      </c>
      <c r="W46" s="1723">
        <v>390.98119139626613</v>
      </c>
      <c r="X46" s="1723">
        <v>390.97654139626604</v>
      </c>
      <c r="Y46" s="1696" t="s">
        <v>1497</v>
      </c>
      <c r="AA46" s="1396" t="s">
        <v>220</v>
      </c>
      <c r="AC46" s="1727">
        <v>0.6</v>
      </c>
      <c r="AD46" s="1727">
        <v>0.6</v>
      </c>
      <c r="AE46" s="1727">
        <v>0.6</v>
      </c>
      <c r="AF46" s="1727">
        <v>0.6</v>
      </c>
      <c r="AG46" s="1727">
        <v>0.6</v>
      </c>
      <c r="AH46" s="1727">
        <v>0.6</v>
      </c>
    </row>
    <row r="47" spans="2:34">
      <c r="B47" s="1702" t="str">
        <f t="shared" si="10"/>
        <v>Melbourne Water</v>
      </c>
      <c r="C47" s="1702" t="s">
        <v>95</v>
      </c>
      <c r="D47" s="1702" t="s">
        <v>1488</v>
      </c>
      <c r="E47" s="1702"/>
      <c r="F47" s="1702" t="str">
        <f t="shared" si="11"/>
        <v>MWTotal controllable opex W&amp;D</v>
      </c>
      <c r="G47" s="1702" t="str">
        <f t="shared" si="12"/>
        <v>2020-21</v>
      </c>
      <c r="I47" s="1723">
        <v>124.58975374964504</v>
      </c>
      <c r="J47" s="1723">
        <v>127.08519217252999</v>
      </c>
      <c r="K47" s="1723">
        <v>130.3675802777494</v>
      </c>
      <c r="L47" s="1723">
        <v>138.50143505153815</v>
      </c>
      <c r="M47" s="1723">
        <v>140.62366929096822</v>
      </c>
      <c r="N47" s="1723">
        <v>146.07927254939008</v>
      </c>
      <c r="O47" s="1723">
        <v>149.56611313362362</v>
      </c>
      <c r="P47" s="1723">
        <v>149.48130058164577</v>
      </c>
      <c r="Q47" s="1723">
        <v>149.51297705901507</v>
      </c>
      <c r="R47" s="2032">
        <f>150.112293977833+0.929548745515777</f>
        <v>151.04184272334876</v>
      </c>
      <c r="S47" s="2032">
        <f t="shared" ref="S47:X47" si="13">150.288667886718+0.92856060795271</f>
        <v>151.21722849467071</v>
      </c>
      <c r="T47" s="2032">
        <f t="shared" si="13"/>
        <v>151.21722849467071</v>
      </c>
      <c r="U47" s="2032">
        <f t="shared" si="13"/>
        <v>151.21722849467071</v>
      </c>
      <c r="V47" s="2032">
        <f t="shared" si="13"/>
        <v>151.21722849467071</v>
      </c>
      <c r="W47" s="2032">
        <f t="shared" si="13"/>
        <v>151.21722849467071</v>
      </c>
      <c r="X47" s="2032">
        <f t="shared" si="13"/>
        <v>151.21722849467071</v>
      </c>
      <c r="Y47" s="1696" t="s">
        <v>1497</v>
      </c>
      <c r="AA47" s="1396"/>
      <c r="AC47" s="1727"/>
      <c r="AD47" s="1727"/>
      <c r="AE47" s="1727"/>
      <c r="AF47" s="1727"/>
      <c r="AG47" s="1727"/>
      <c r="AH47" s="1727"/>
    </row>
    <row r="48" spans="2:34">
      <c r="B48" s="1702" t="str">
        <f t="shared" si="10"/>
        <v>Melbourne Water</v>
      </c>
      <c r="C48" s="1702" t="s">
        <v>95</v>
      </c>
      <c r="D48" s="1702" t="s">
        <v>1489</v>
      </c>
      <c r="E48" s="1702"/>
      <c r="F48" s="1702" t="str">
        <f>C48&amp;D48&amp;E48</f>
        <v>MWTotal controllable opex W&amp;S</v>
      </c>
      <c r="G48" s="1702" t="str">
        <f t="shared" si="12"/>
        <v>2020-21</v>
      </c>
      <c r="I48" s="1723">
        <v>222.21509655196004</v>
      </c>
      <c r="J48" s="1723">
        <v>241.79432225105862</v>
      </c>
      <c r="K48" s="1723">
        <v>236.72499408600541</v>
      </c>
      <c r="L48" s="1723">
        <v>228.41170039242084</v>
      </c>
      <c r="M48" s="1723">
        <v>248.58301136150783</v>
      </c>
      <c r="N48" s="1723">
        <v>250.78163655746633</v>
      </c>
      <c r="O48" s="1723">
        <v>235.24919953673157</v>
      </c>
      <c r="P48" s="1723">
        <v>232.04513463473592</v>
      </c>
      <c r="Q48" s="1723">
        <v>233.58575478339409</v>
      </c>
      <c r="R48" s="2032">
        <f>237.201765014155-0.929548745515777</f>
        <v>236.27221626863923</v>
      </c>
      <c r="S48" s="2032">
        <f>240.691563509548-0.92856060795271</f>
        <v>239.76300290159529</v>
      </c>
      <c r="T48" s="2032">
        <f>240.688473509548-0.92856060795271</f>
        <v>239.7599129015953</v>
      </c>
      <c r="U48" s="2032">
        <f>240.691823509548-0.92856060795271</f>
        <v>239.76326290159528</v>
      </c>
      <c r="V48" s="2032">
        <f>240.687873509548-0.92856060795271</f>
        <v>239.75931290159531</v>
      </c>
      <c r="W48" s="2032">
        <f>240.692523509548-0.92856060795271</f>
        <v>239.76396290159531</v>
      </c>
      <c r="X48" s="2032">
        <f>240.687873509548-0.92856060795271</f>
        <v>239.75931290159531</v>
      </c>
      <c r="Y48" s="1696" t="s">
        <v>1497</v>
      </c>
      <c r="AA48" s="1396"/>
      <c r="AC48" s="1727"/>
      <c r="AD48" s="1727"/>
      <c r="AE48" s="1727"/>
      <c r="AF48" s="1727"/>
      <c r="AG48" s="1727"/>
      <c r="AH48" s="1727"/>
    </row>
    <row r="49" spans="2:37">
      <c r="B49" s="1702" t="str">
        <f t="shared" si="10"/>
        <v>Melbourne Water</v>
      </c>
      <c r="C49" s="1702" t="s">
        <v>95</v>
      </c>
      <c r="D49" s="1702" t="s">
        <v>1490</v>
      </c>
      <c r="E49" s="1702"/>
      <c r="F49" s="1702" t="str">
        <f>C49&amp;D49&amp;E49</f>
        <v>MWTotal Labour costs</v>
      </c>
      <c r="G49" s="1702" t="str">
        <f t="shared" si="12"/>
        <v>2020-21</v>
      </c>
      <c r="I49" s="1720">
        <v>128.97995239724858</v>
      </c>
      <c r="J49" s="1720">
        <v>135.57595563730123</v>
      </c>
      <c r="K49" s="1720">
        <v>135.76827512510434</v>
      </c>
      <c r="L49" s="1720">
        <v>139.80566069381879</v>
      </c>
      <c r="M49" s="1720">
        <v>144.69403322289199</v>
      </c>
      <c r="N49" s="1720">
        <v>143.14410699999979</v>
      </c>
      <c r="O49" s="1720">
        <v>137.51931923529415</v>
      </c>
      <c r="P49" s="1720">
        <v>137.87140371062819</v>
      </c>
      <c r="Q49" s="1721">
        <v>137.27647144415636</v>
      </c>
      <c r="R49" s="1721">
        <v>137.15180685911295</v>
      </c>
      <c r="S49" s="1721">
        <v>136.57331430361756</v>
      </c>
      <c r="T49" s="1721">
        <v>136.57331430361756</v>
      </c>
      <c r="U49" s="1721">
        <v>136.57331430361756</v>
      </c>
      <c r="V49" s="1721">
        <v>136.57331430361756</v>
      </c>
      <c r="W49" s="1721">
        <v>136.57331430361756</v>
      </c>
      <c r="X49" s="1721">
        <v>136.57331430361756</v>
      </c>
      <c r="Y49" s="1696" t="s">
        <v>1497</v>
      </c>
      <c r="AA49" s="1396" t="s">
        <v>221</v>
      </c>
      <c r="AC49" s="1727"/>
      <c r="AD49" s="1727"/>
      <c r="AE49" s="1727"/>
      <c r="AF49" s="1727"/>
      <c r="AG49" s="1727"/>
      <c r="AH49" s="1727"/>
    </row>
    <row r="50" spans="2:37">
      <c r="B50" s="1702" t="str">
        <f t="shared" si="10"/>
        <v>Melbourne Water</v>
      </c>
      <c r="C50" s="1702" t="s">
        <v>95</v>
      </c>
      <c r="D50" s="1702" t="s">
        <v>1492</v>
      </c>
      <c r="E50" s="1702"/>
      <c r="F50" s="1702" t="str">
        <f>C50&amp;D50&amp;E50</f>
        <v>MWTotal Energy costs</v>
      </c>
      <c r="G50" s="1702" t="str">
        <f t="shared" si="12"/>
        <v>2020-21</v>
      </c>
      <c r="I50" s="1720">
        <v>35.185626773977503</v>
      </c>
      <c r="J50" s="1720">
        <v>39.970603250885347</v>
      </c>
      <c r="K50" s="1720">
        <v>40.784043598385544</v>
      </c>
      <c r="L50" s="1720">
        <v>41.303682702722895</v>
      </c>
      <c r="M50" s="1720">
        <v>49.873211862344718</v>
      </c>
      <c r="N50" s="1720">
        <v>46.335009801208088</v>
      </c>
      <c r="O50" s="1720">
        <v>40.23161319607842</v>
      </c>
      <c r="P50" s="1720">
        <v>33.511260424756706</v>
      </c>
      <c r="Q50" s="1721">
        <v>36.226864071074189</v>
      </c>
      <c r="R50" s="1721">
        <v>34.779319373879396</v>
      </c>
      <c r="S50" s="1721">
        <v>41.093109543223633</v>
      </c>
      <c r="T50" s="1721">
        <v>35.96410379433884</v>
      </c>
      <c r="U50" s="1721">
        <v>35.96410379433884</v>
      </c>
      <c r="V50" s="1721">
        <v>35.964103794338833</v>
      </c>
      <c r="W50" s="1721">
        <v>35.96410379433884</v>
      </c>
      <c r="X50" s="1721">
        <v>35.96410379433884</v>
      </c>
      <c r="Y50" s="1696" t="s">
        <v>1497</v>
      </c>
      <c r="AA50" s="1396" t="s">
        <v>222</v>
      </c>
      <c r="AC50" s="1729">
        <v>0.5</v>
      </c>
      <c r="AD50" s="1729">
        <v>0.5</v>
      </c>
      <c r="AE50" s="1729">
        <v>0.5</v>
      </c>
      <c r="AF50" s="1729">
        <v>0.5</v>
      </c>
      <c r="AG50" s="1729">
        <v>0.5</v>
      </c>
      <c r="AH50" s="1729">
        <v>0.5</v>
      </c>
    </row>
    <row r="51" spans="2:37">
      <c r="B51" s="1702" t="str">
        <f t="shared" si="10"/>
        <v>Melbourne Water</v>
      </c>
      <c r="C51" s="1702" t="s">
        <v>95</v>
      </c>
      <c r="D51" s="1702" t="s">
        <v>324</v>
      </c>
      <c r="E51" s="1702"/>
      <c r="F51" s="1702" t="str">
        <f>C51&amp;D51&amp;E51</f>
        <v>MWTotal IT costs</v>
      </c>
      <c r="G51" s="1702" t="str">
        <f t="shared" si="12"/>
        <v>2020-21</v>
      </c>
      <c r="I51" s="1720">
        <v>22.542589794756548</v>
      </c>
      <c r="J51" s="1720">
        <v>23.702018142569322</v>
      </c>
      <c r="K51" s="1720">
        <v>24.715350764923087</v>
      </c>
      <c r="L51" s="1720">
        <v>24.910433009058615</v>
      </c>
      <c r="M51" s="1720">
        <v>25.641146113742337</v>
      </c>
      <c r="N51" s="1720">
        <v>26.3698032</v>
      </c>
      <c r="O51" s="1720">
        <v>28.415216274509802</v>
      </c>
      <c r="P51" s="1720">
        <v>29.434924473848227</v>
      </c>
      <c r="Q51" s="1721">
        <v>30.543063163938118</v>
      </c>
      <c r="R51" s="1721">
        <v>31.39171999161875</v>
      </c>
      <c r="S51" s="1721">
        <v>31.866988411348885</v>
      </c>
      <c r="T51" s="1721">
        <v>31.866988411348885</v>
      </c>
      <c r="U51" s="1721">
        <v>31.866988411348885</v>
      </c>
      <c r="V51" s="1721">
        <v>31.866988411348885</v>
      </c>
      <c r="W51" s="1721">
        <v>31.866988411348885</v>
      </c>
      <c r="X51" s="1721">
        <v>31.866988411348885</v>
      </c>
      <c r="Y51" s="1696" t="s">
        <v>1497</v>
      </c>
    </row>
    <row r="52" spans="2:37">
      <c r="B52" s="1702" t="str">
        <f t="shared" si="10"/>
        <v>Melbourne Water</v>
      </c>
      <c r="C52" s="1702" t="s">
        <v>95</v>
      </c>
      <c r="D52" s="1702" t="s">
        <v>1494</v>
      </c>
      <c r="E52" s="1702"/>
      <c r="F52" s="1702" t="str">
        <f>C52&amp;D52&amp;E52</f>
        <v>MWTotal Chemical costs</v>
      </c>
      <c r="G52" s="1702" t="str">
        <f t="shared" si="12"/>
        <v>2020-21</v>
      </c>
      <c r="I52" s="1720">
        <v>7.1822781263295852</v>
      </c>
      <c r="J52" s="1720">
        <v>8.9116197332717171</v>
      </c>
      <c r="K52" s="1720">
        <v>8.9767336151855197</v>
      </c>
      <c r="L52" s="1720">
        <v>9.1241757960035521</v>
      </c>
      <c r="M52" s="1720">
        <v>9.3626635551621398</v>
      </c>
      <c r="N52" s="1720">
        <v>9.903578379999999</v>
      </c>
      <c r="O52" s="1720">
        <v>9.7996286274509803</v>
      </c>
      <c r="P52" s="1720">
        <v>10.222343803633922</v>
      </c>
      <c r="Q52" s="1721">
        <v>10.630500407497962</v>
      </c>
      <c r="R52" s="1721">
        <v>10.520895710096111</v>
      </c>
      <c r="S52" s="1721">
        <v>10.650626070091379</v>
      </c>
      <c r="T52" s="1721">
        <v>10.650626070091379</v>
      </c>
      <c r="U52" s="1721">
        <v>10.650626070091379</v>
      </c>
      <c r="V52" s="1721">
        <v>10.650626070091379</v>
      </c>
      <c r="W52" s="1721">
        <v>10.650626070091379</v>
      </c>
      <c r="X52" s="1721">
        <v>10.650626070091379</v>
      </c>
      <c r="Y52" s="1696" t="s">
        <v>1497</v>
      </c>
    </row>
    <row r="53" spans="2:37">
      <c r="AA53" s="1396"/>
      <c r="AC53" s="795" t="s">
        <v>1478</v>
      </c>
      <c r="AD53" s="1696" t="s">
        <v>1479</v>
      </c>
      <c r="AE53" s="1696" t="s">
        <v>1480</v>
      </c>
      <c r="AJ53" s="1708"/>
      <c r="AK53" s="1708"/>
    </row>
    <row r="54" spans="2:37">
      <c r="B54" s="1702" t="str">
        <f t="shared" si="10"/>
        <v>Melbourne Water</v>
      </c>
      <c r="C54" s="1702" t="s">
        <v>95</v>
      </c>
      <c r="D54" s="1702" t="s">
        <v>302</v>
      </c>
      <c r="E54" s="1702"/>
      <c r="F54" s="1702" t="str">
        <f>C54&amp;D54&amp;E54</f>
        <v>MWTotal FTEs</v>
      </c>
      <c r="G54" s="1702" t="str">
        <f t="shared" si="12"/>
        <v>2020-21</v>
      </c>
      <c r="I54" s="1730">
        <v>943.2</v>
      </c>
      <c r="J54" s="1730">
        <v>1002.1</v>
      </c>
      <c r="K54" s="1730">
        <v>1029.3</v>
      </c>
      <c r="L54" s="1730">
        <v>1085</v>
      </c>
      <c r="M54" s="1730">
        <v>1128.3</v>
      </c>
      <c r="N54" s="1730">
        <v>1165.0999999999999</v>
      </c>
      <c r="O54" s="1730">
        <v>1165.0999999999999</v>
      </c>
      <c r="P54" s="1730">
        <v>1165.0999999999999</v>
      </c>
      <c r="Q54" s="1722">
        <v>1165.0999999999999</v>
      </c>
      <c r="R54" s="1722">
        <v>1165.0999999999999</v>
      </c>
      <c r="S54" s="1722">
        <v>1165.0999999999999</v>
      </c>
      <c r="T54" s="1722">
        <v>1165.0999999999999</v>
      </c>
      <c r="U54" s="1722">
        <v>1165.0999999999999</v>
      </c>
      <c r="V54" s="1722">
        <v>1165.0999999999999</v>
      </c>
      <c r="W54" s="1722">
        <v>1165.0999999999999</v>
      </c>
      <c r="X54" s="1722">
        <v>1165.0999999999999</v>
      </c>
      <c r="Y54" s="1696" t="s">
        <v>1497</v>
      </c>
      <c r="AA54" s="1396" t="s">
        <v>1050</v>
      </c>
      <c r="AC54" s="1731"/>
      <c r="AD54" s="1731"/>
      <c r="AE54" s="1731"/>
    </row>
    <row r="55" spans="2:37">
      <c r="AA55" s="1396" t="s">
        <v>1491</v>
      </c>
      <c r="AC55" s="1732">
        <v>6.5000000000000002E-2</v>
      </c>
      <c r="AD55" s="1732">
        <v>0.06</v>
      </c>
      <c r="AE55" s="1732">
        <v>0.05</v>
      </c>
    </row>
    <row r="56" spans="2:37">
      <c r="D56" s="1702" t="s">
        <v>1503</v>
      </c>
      <c r="E56" s="1702"/>
      <c r="F56" s="1702" t="s">
        <v>427</v>
      </c>
      <c r="G56" s="1702" t="str">
        <f>G54</f>
        <v>2020-21</v>
      </c>
      <c r="N56" s="2034" t="s">
        <v>1504</v>
      </c>
      <c r="R56" s="1696">
        <v>0.92954874551577704</v>
      </c>
      <c r="S56" s="1696">
        <v>0.92856060795271045</v>
      </c>
      <c r="T56" s="1696">
        <v>0.92856060795271045</v>
      </c>
      <c r="U56" s="1696">
        <v>0.92856060795271045</v>
      </c>
      <c r="V56" s="1696">
        <v>0.92856060795271</v>
      </c>
      <c r="W56" s="1696">
        <v>0.92856060795271045</v>
      </c>
      <c r="X56" s="1696">
        <v>0.92856060795271045</v>
      </c>
      <c r="AA56" s="1396" t="s">
        <v>1493</v>
      </c>
      <c r="AC56" s="1733">
        <v>4.4999999999999998E-2</v>
      </c>
      <c r="AD56" s="1733">
        <v>0.04</v>
      </c>
      <c r="AE56" s="1733">
        <v>3.5000000000000003E-2</v>
      </c>
    </row>
    <row r="57" spans="2:37">
      <c r="Q57" s="1696" t="s">
        <v>344</v>
      </c>
      <c r="R57" s="1696">
        <v>0.92954874551577704</v>
      </c>
      <c r="S57" s="1696">
        <v>0.92856060795271045</v>
      </c>
      <c r="T57" s="1696">
        <v>0.92856060795271045</v>
      </c>
      <c r="U57" s="1696">
        <v>0.92856060795271045</v>
      </c>
      <c r="V57" s="1696">
        <v>0.92856060795271</v>
      </c>
      <c r="W57" s="1696">
        <v>0.92856060795271045</v>
      </c>
      <c r="X57" s="1696">
        <v>0.92856060795271045</v>
      </c>
    </row>
    <row r="58" spans="2:37">
      <c r="AA58" s="1698" t="s">
        <v>1505</v>
      </c>
    </row>
    <row r="59" spans="2:37">
      <c r="AB59" s="1698"/>
      <c r="AC59" s="795" t="s">
        <v>1478</v>
      </c>
      <c r="AD59" s="1696" t="s">
        <v>1479</v>
      </c>
      <c r="AE59" s="1696" t="s">
        <v>1480</v>
      </c>
    </row>
    <row r="60" spans="2:37">
      <c r="AA60" s="1696" t="s">
        <v>211</v>
      </c>
      <c r="AC60" s="1731"/>
      <c r="AD60" s="1731"/>
      <c r="AE60" s="1731"/>
    </row>
    <row r="61" spans="2:37">
      <c r="AA61" s="1696" t="s">
        <v>223</v>
      </c>
      <c r="AC61" s="1732"/>
      <c r="AD61" s="1732"/>
      <c r="AE61" s="1732"/>
    </row>
    <row r="62" spans="2:37">
      <c r="AA62" s="1696" t="s">
        <v>226</v>
      </c>
      <c r="AC62" s="1732"/>
      <c r="AD62" s="1732"/>
      <c r="AE62" s="1732"/>
    </row>
    <row r="63" spans="2:37">
      <c r="AA63" s="1696" t="s">
        <v>221</v>
      </c>
      <c r="AC63" s="1732"/>
      <c r="AD63" s="1732"/>
      <c r="AE63" s="1732"/>
    </row>
    <row r="64" spans="2:37">
      <c r="AA64" s="1696" t="s">
        <v>1495</v>
      </c>
      <c r="AC64" s="1734"/>
      <c r="AD64" s="1734"/>
      <c r="AE64" s="1734"/>
    </row>
    <row r="66" spans="27:31">
      <c r="AA66" s="1698" t="s">
        <v>1496</v>
      </c>
    </row>
    <row r="67" spans="27:31">
      <c r="AC67" s="795" t="s">
        <v>1478</v>
      </c>
      <c r="AD67" s="1696" t="s">
        <v>1479</v>
      </c>
      <c r="AE67" s="1696" t="s">
        <v>1480</v>
      </c>
    </row>
    <row r="68" spans="27:31">
      <c r="AA68" s="1696" t="s">
        <v>333</v>
      </c>
      <c r="AC68" s="1731"/>
      <c r="AD68" s="1731"/>
      <c r="AE68" s="1731"/>
    </row>
    <row r="69" spans="27:31">
      <c r="AA69" s="1696" t="s">
        <v>1498</v>
      </c>
      <c r="AC69" s="1734"/>
      <c r="AD69" s="1734"/>
      <c r="AE69" s="1734"/>
    </row>
  </sheetData>
  <phoneticPr fontId="4" type="noConversion"/>
  <pageMargins left="0.7" right="0.7" top="0.75" bottom="0.75" header="0.3" footer="0.3"/>
  <pageSetup paperSize="9" orientation="portrait" r:id="rId1"/>
  <headerFooter>
    <oddHeader>&amp;C&amp;"Calibri"&amp;14&amp;KFF0000 OFFICIAL&amp;1#_x000D_&amp;"Arial"&amp;8&amp;K000000&amp;"Arial"&amp;8&amp;K000000&amp;B&amp;"Arial"&amp;12&amp;Kff0000​‌OFFICIAL‌​</oddHeader>
  </headerFooter>
  <ignoredErrors>
    <ignoredError sqref="W48" formula="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9" tint="0.59999389629810485"/>
    <pageSetUpPr autoPageBreaks="0"/>
  </sheetPr>
  <dimension ref="A1:I90"/>
  <sheetViews>
    <sheetView showGridLines="0" topLeftCell="A16" workbookViewId="0">
      <selection activeCell="K29" sqref="K29"/>
    </sheetView>
  </sheetViews>
  <sheetFormatPr defaultColWidth="3.83203125" defaultRowHeight="11.25"/>
  <cols>
    <col min="1" max="2" width="3.83203125" customWidth="1"/>
    <col min="3" max="3" width="30.83203125" customWidth="1"/>
    <col min="4" max="5" width="3.83203125" customWidth="1"/>
    <col min="6" max="6" width="30.83203125" customWidth="1"/>
    <col min="7" max="8" width="3.83203125" customWidth="1"/>
    <col min="9" max="9" width="30.83203125" customWidth="1"/>
    <col min="10" max="10" width="3.83203125" customWidth="1"/>
    <col min="11" max="11" width="30.83203125" customWidth="1"/>
    <col min="12" max="12" width="3.83203125" customWidth="1"/>
    <col min="13" max="13" width="30.83203125" customWidth="1"/>
    <col min="14" max="14" width="3.83203125" customWidth="1"/>
    <col min="15" max="15" width="30.83203125" customWidth="1"/>
    <col min="16" max="16" width="3.83203125" customWidth="1"/>
    <col min="17" max="17" width="30.83203125" customWidth="1"/>
    <col min="18" max="18" width="3.83203125" customWidth="1"/>
    <col min="19" max="19" width="30.83203125" customWidth="1"/>
    <col min="20" max="20" width="3.83203125" customWidth="1"/>
    <col min="21" max="21" width="30.83203125" customWidth="1"/>
    <col min="22" max="22" width="3.83203125" customWidth="1"/>
    <col min="23" max="23" width="30.83203125" customWidth="1"/>
    <col min="24" max="24" width="3.83203125" customWidth="1"/>
    <col min="25" max="25" width="30.83203125" customWidth="1"/>
    <col min="26" max="26" width="3.83203125" customWidth="1"/>
    <col min="27" max="27" width="30.83203125" customWidth="1"/>
    <col min="28" max="28" width="3.83203125" customWidth="1"/>
    <col min="29" max="29" width="30.83203125" customWidth="1"/>
    <col min="30" max="30" width="3.83203125" customWidth="1"/>
    <col min="31" max="31" width="30.83203125" customWidth="1"/>
    <col min="32" max="32" width="3.83203125" customWidth="1"/>
    <col min="33" max="33" width="30.83203125" customWidth="1"/>
    <col min="34" max="34" width="3.83203125" customWidth="1"/>
    <col min="35" max="35" width="30.83203125" customWidth="1"/>
    <col min="36" max="36" width="3.83203125" customWidth="1"/>
    <col min="37" max="37" width="30.83203125" customWidth="1"/>
    <col min="38" max="38" width="3.83203125" customWidth="1"/>
    <col min="39" max="39" width="30.83203125" customWidth="1"/>
    <col min="40" max="40" width="3.83203125" customWidth="1"/>
    <col min="41" max="41" width="30.83203125" customWidth="1"/>
    <col min="42" max="42" width="3.83203125" customWidth="1"/>
    <col min="43" max="43" width="30.83203125" customWidth="1"/>
    <col min="44" max="44" width="3.83203125" customWidth="1"/>
    <col min="45" max="45" width="30.83203125" customWidth="1"/>
    <col min="46" max="46" width="3.83203125" customWidth="1"/>
    <col min="47" max="47" width="30.83203125" customWidth="1"/>
    <col min="48" max="48" width="3.83203125" customWidth="1"/>
    <col min="49" max="49" width="30.83203125" customWidth="1"/>
    <col min="50" max="50" width="3.83203125" customWidth="1"/>
    <col min="51" max="51" width="30.83203125" customWidth="1"/>
    <col min="52" max="52" width="3.83203125" customWidth="1"/>
    <col min="53" max="53" width="30.83203125" customWidth="1"/>
    <col min="54" max="54" width="3.83203125" customWidth="1"/>
    <col min="55" max="55" width="30.83203125" customWidth="1"/>
    <col min="56" max="56" width="3.83203125" customWidth="1"/>
    <col min="57" max="57" width="30.83203125" customWidth="1"/>
    <col min="58" max="58" width="3.83203125" customWidth="1"/>
    <col min="59" max="59" width="30.83203125" customWidth="1"/>
    <col min="60" max="60" width="3.83203125" customWidth="1"/>
    <col min="61" max="61" width="30.83203125" customWidth="1"/>
    <col min="62" max="62" width="3.83203125" customWidth="1"/>
    <col min="63" max="63" width="30.83203125" customWidth="1"/>
    <col min="64" max="64" width="3.83203125" customWidth="1"/>
    <col min="65" max="65" width="30.83203125" customWidth="1"/>
    <col min="66" max="66" width="3.83203125" customWidth="1"/>
    <col min="67" max="67" width="30.83203125" customWidth="1"/>
    <col min="68" max="68" width="3.83203125" customWidth="1"/>
    <col min="69" max="69" width="30.83203125" customWidth="1"/>
    <col min="70" max="70" width="3.83203125" customWidth="1"/>
    <col min="71" max="71" width="30.83203125" customWidth="1"/>
    <col min="72" max="72" width="3.83203125" customWidth="1"/>
    <col min="73" max="73" width="30.83203125" customWidth="1"/>
    <col min="74" max="74" width="3.83203125" customWidth="1"/>
    <col min="75" max="75" width="30.83203125" customWidth="1"/>
    <col min="76" max="76" width="3.83203125" customWidth="1"/>
    <col min="77" max="77" width="30.83203125" customWidth="1"/>
    <col min="78" max="78" width="3.83203125" customWidth="1"/>
    <col min="79" max="79" width="30.83203125" customWidth="1"/>
    <col min="80" max="80" width="3.83203125" customWidth="1"/>
    <col min="81" max="81" width="30.83203125" customWidth="1"/>
    <col min="82" max="82" width="3.83203125" customWidth="1"/>
    <col min="83" max="83" width="30.83203125" customWidth="1"/>
    <col min="84" max="84" width="3.83203125" customWidth="1"/>
    <col min="85" max="85" width="30.83203125" customWidth="1"/>
    <col min="86" max="86" width="3.83203125" customWidth="1"/>
    <col min="87" max="87" width="30.83203125" customWidth="1"/>
    <col min="88" max="88" width="3.83203125" customWidth="1"/>
    <col min="89" max="89" width="30.83203125" customWidth="1"/>
    <col min="90" max="90" width="3.83203125" customWidth="1"/>
    <col min="91" max="91" width="30.83203125" customWidth="1"/>
    <col min="92" max="92" width="3.83203125" customWidth="1"/>
    <col min="93" max="93" width="30.83203125" customWidth="1"/>
    <col min="94" max="94" width="3.83203125" customWidth="1"/>
    <col min="95" max="95" width="30.83203125" customWidth="1"/>
    <col min="96" max="96" width="3.83203125" customWidth="1"/>
    <col min="97" max="97" width="30.83203125" customWidth="1"/>
    <col min="98" max="98" width="3.83203125" customWidth="1"/>
    <col min="99" max="99" width="30.83203125" customWidth="1"/>
    <col min="100" max="100" width="3.83203125" customWidth="1"/>
    <col min="101" max="101" width="30.83203125" customWidth="1"/>
    <col min="102" max="102" width="3.83203125" customWidth="1"/>
    <col min="103" max="103" width="30.83203125" customWidth="1"/>
    <col min="104" max="104" width="3.83203125" customWidth="1"/>
    <col min="105" max="105" width="30.83203125" customWidth="1"/>
    <col min="106" max="106" width="3.83203125" customWidth="1"/>
    <col min="107" max="107" width="30.83203125" customWidth="1"/>
    <col min="108" max="108" width="3.83203125" customWidth="1"/>
    <col min="109" max="109" width="30.83203125" customWidth="1"/>
    <col min="110" max="110" width="3.83203125" customWidth="1"/>
    <col min="111" max="111" width="30.83203125" customWidth="1"/>
    <col min="112" max="112" width="3.83203125" customWidth="1"/>
    <col min="113" max="113" width="30.83203125" customWidth="1"/>
    <col min="114" max="114" width="3.83203125" customWidth="1"/>
    <col min="115" max="115" width="30.83203125" customWidth="1"/>
    <col min="116" max="116" width="3.83203125" customWidth="1"/>
    <col min="117" max="117" width="30.83203125" customWidth="1"/>
    <col min="118" max="118" width="3.83203125" customWidth="1"/>
    <col min="119" max="119" width="30.83203125" customWidth="1"/>
    <col min="120" max="120" width="3.83203125" customWidth="1"/>
    <col min="121" max="121" width="30.83203125" customWidth="1"/>
    <col min="122" max="122" width="3.83203125" customWidth="1"/>
    <col min="123" max="123" width="30.83203125" customWidth="1"/>
    <col min="124" max="124" width="3.83203125" customWidth="1"/>
    <col min="125" max="125" width="30.83203125" customWidth="1"/>
    <col min="126" max="126" width="3.83203125" customWidth="1"/>
    <col min="127" max="127" width="30.83203125" customWidth="1"/>
    <col min="128" max="128" width="3.83203125" customWidth="1"/>
    <col min="129" max="129" width="30.83203125" customWidth="1"/>
    <col min="130" max="130" width="3.83203125" customWidth="1"/>
    <col min="131" max="131" width="30.83203125" customWidth="1"/>
    <col min="132" max="132" width="3.83203125" customWidth="1"/>
    <col min="133" max="133" width="30.83203125" customWidth="1"/>
    <col min="134" max="134" width="3.83203125" customWidth="1"/>
    <col min="135" max="135" width="30.83203125" customWidth="1"/>
    <col min="136" max="136" width="3.83203125" customWidth="1"/>
    <col min="137" max="137" width="30.83203125" customWidth="1"/>
    <col min="138" max="138" width="3.83203125" customWidth="1"/>
    <col min="139" max="139" width="30.83203125" customWidth="1"/>
    <col min="140" max="140" width="3.83203125" customWidth="1"/>
    <col min="141" max="141" width="30.83203125" customWidth="1"/>
    <col min="142" max="142" width="3.83203125" customWidth="1"/>
    <col min="143" max="143" width="30.83203125" customWidth="1"/>
    <col min="144" max="144" width="3.83203125" customWidth="1"/>
    <col min="145" max="145" width="30.83203125" customWidth="1"/>
    <col min="146" max="146" width="3.83203125" customWidth="1"/>
    <col min="147" max="147" width="30.83203125" customWidth="1"/>
    <col min="148" max="148" width="3.83203125" customWidth="1"/>
    <col min="149" max="149" width="30.83203125" customWidth="1"/>
    <col min="150" max="150" width="3.83203125" customWidth="1"/>
    <col min="151" max="151" width="30.83203125" customWidth="1"/>
    <col min="152" max="152" width="3.83203125" customWidth="1"/>
    <col min="153" max="153" width="30.83203125" customWidth="1"/>
    <col min="154" max="154" width="3.83203125" customWidth="1"/>
    <col min="155" max="155" width="30.83203125" customWidth="1"/>
    <col min="156" max="156" width="3.83203125" customWidth="1"/>
    <col min="157" max="157" width="30.83203125" customWidth="1"/>
    <col min="158" max="158" width="3.83203125" customWidth="1"/>
    <col min="159" max="159" width="30.83203125" customWidth="1"/>
    <col min="160" max="160" width="3.83203125" customWidth="1"/>
    <col min="161" max="161" width="30.83203125" customWidth="1"/>
    <col min="162" max="162" width="3.83203125" customWidth="1"/>
    <col min="163" max="163" width="30.83203125" customWidth="1"/>
    <col min="164" max="164" width="3.83203125" customWidth="1"/>
    <col min="165" max="165" width="30.83203125" customWidth="1"/>
    <col min="166" max="166" width="3.83203125" customWidth="1"/>
    <col min="167" max="167" width="30.83203125" customWidth="1"/>
    <col min="168" max="168" width="3.83203125" customWidth="1"/>
    <col min="169" max="169" width="30.83203125" customWidth="1"/>
    <col min="170" max="170" width="3.83203125" customWidth="1"/>
    <col min="171" max="171" width="30.83203125" customWidth="1"/>
    <col min="172" max="172" width="3.83203125" customWidth="1"/>
    <col min="173" max="173" width="30.83203125" customWidth="1"/>
    <col min="174" max="174" width="3.83203125" customWidth="1"/>
    <col min="175" max="175" width="30.83203125" customWidth="1"/>
    <col min="176" max="176" width="3.83203125" customWidth="1"/>
    <col min="177" max="177" width="30.83203125" customWidth="1"/>
    <col min="178" max="178" width="3.83203125" customWidth="1"/>
    <col min="179" max="179" width="30.83203125" customWidth="1"/>
    <col min="180" max="180" width="3.83203125" customWidth="1"/>
    <col min="181" max="181" width="30.83203125" customWidth="1"/>
    <col min="182" max="182" width="3.83203125" customWidth="1"/>
    <col min="183" max="183" width="30.83203125" customWidth="1"/>
    <col min="184" max="184" width="3.83203125" customWidth="1"/>
    <col min="185" max="185" width="30.83203125" customWidth="1"/>
    <col min="186" max="186" width="3.83203125" customWidth="1"/>
    <col min="187" max="187" width="30.83203125" customWidth="1"/>
    <col min="188" max="188" width="3.83203125" customWidth="1"/>
    <col min="189" max="189" width="30.83203125" customWidth="1"/>
    <col min="190" max="190" width="3.83203125" customWidth="1"/>
    <col min="191" max="191" width="30.83203125" customWidth="1"/>
    <col min="192" max="192" width="3.83203125" customWidth="1"/>
    <col min="193" max="193" width="30.83203125" customWidth="1"/>
    <col min="194" max="194" width="3.83203125" customWidth="1"/>
    <col min="195" max="195" width="30.83203125" customWidth="1"/>
    <col min="196" max="196" width="3.83203125" customWidth="1"/>
    <col min="197" max="197" width="30.83203125" customWidth="1"/>
    <col min="198" max="198" width="3.83203125" customWidth="1"/>
    <col min="199" max="199" width="30.83203125" customWidth="1"/>
    <col min="200" max="200" width="3.83203125" customWidth="1"/>
    <col min="201" max="201" width="30.83203125" customWidth="1"/>
    <col min="202" max="202" width="3.83203125" customWidth="1"/>
    <col min="203" max="203" width="30.83203125" customWidth="1"/>
    <col min="204" max="204" width="3.83203125" customWidth="1"/>
    <col min="205" max="205" width="30.83203125" customWidth="1"/>
    <col min="206" max="206" width="3.83203125" customWidth="1"/>
    <col min="207" max="207" width="30.83203125" customWidth="1"/>
    <col min="208" max="208" width="3.83203125" customWidth="1"/>
    <col min="209" max="209" width="30.83203125" customWidth="1"/>
    <col min="210" max="210" width="3.83203125" customWidth="1"/>
    <col min="211" max="211" width="30.83203125" customWidth="1"/>
    <col min="212" max="212" width="3.83203125" customWidth="1"/>
    <col min="213" max="213" width="30.83203125" customWidth="1"/>
    <col min="214" max="214" width="3.83203125" customWidth="1"/>
    <col min="215" max="215" width="30.83203125" customWidth="1"/>
    <col min="216" max="216" width="3.83203125" customWidth="1"/>
    <col min="217" max="217" width="30.83203125" customWidth="1"/>
    <col min="218" max="218" width="3.83203125" customWidth="1"/>
    <col min="219" max="219" width="30.83203125" customWidth="1"/>
    <col min="220" max="220" width="3.83203125" customWidth="1"/>
    <col min="221" max="221" width="30.83203125" customWidth="1"/>
    <col min="222" max="222" width="3.83203125" customWidth="1"/>
    <col min="223" max="223" width="30.83203125" customWidth="1"/>
    <col min="224" max="224" width="3.83203125" customWidth="1"/>
    <col min="225" max="225" width="30.83203125" customWidth="1"/>
    <col min="226" max="226" width="3.83203125" customWidth="1"/>
    <col min="227" max="227" width="30.83203125" customWidth="1"/>
    <col min="228" max="228" width="3.83203125" customWidth="1"/>
    <col min="229" max="229" width="30.83203125" customWidth="1"/>
    <col min="230" max="230" width="3.83203125" customWidth="1"/>
    <col min="231" max="231" width="30.83203125" customWidth="1"/>
    <col min="232" max="232" width="3.83203125" customWidth="1"/>
    <col min="233" max="233" width="30.83203125" customWidth="1"/>
    <col min="234" max="234" width="3.83203125" customWidth="1"/>
    <col min="235" max="235" width="30.83203125" customWidth="1"/>
    <col min="236" max="236" width="3.83203125" customWidth="1"/>
    <col min="237" max="237" width="30.83203125" customWidth="1"/>
    <col min="238" max="238" width="3.83203125" customWidth="1"/>
    <col min="239" max="239" width="30.83203125" customWidth="1"/>
    <col min="240" max="240" width="3.83203125" customWidth="1"/>
    <col min="241" max="241" width="30.83203125" customWidth="1"/>
    <col min="242" max="242" width="3.83203125" customWidth="1"/>
    <col min="243" max="243" width="30.83203125" customWidth="1"/>
    <col min="244" max="244" width="3.83203125" customWidth="1"/>
    <col min="245" max="245" width="30.83203125" customWidth="1"/>
    <col min="246" max="246" width="3.83203125" customWidth="1"/>
    <col min="247" max="247" width="30.83203125" customWidth="1"/>
    <col min="248" max="248" width="3.83203125" customWidth="1"/>
    <col min="249" max="249" width="30.83203125" customWidth="1"/>
    <col min="250" max="250" width="3.83203125" customWidth="1"/>
    <col min="251" max="251" width="30.83203125" customWidth="1"/>
    <col min="252" max="252" width="3.83203125" customWidth="1"/>
    <col min="253" max="253" width="30.83203125" customWidth="1"/>
  </cols>
  <sheetData>
    <row r="1" spans="1:9" ht="18">
      <c r="A1" s="797" t="s">
        <v>1506</v>
      </c>
      <c r="B1" s="798" t="s">
        <v>1507</v>
      </c>
    </row>
    <row r="2" spans="1:9" ht="15.75">
      <c r="B2" s="799" t="str">
        <f>Model_Name</f>
        <v>Melbourne Water</v>
      </c>
    </row>
    <row r="3" spans="1:9">
      <c r="B3" s="2151" t="s">
        <v>138</v>
      </c>
      <c r="C3" s="2151"/>
    </row>
    <row r="4" spans="1:9" ht="12.75">
      <c r="A4" s="800"/>
      <c r="B4" s="801"/>
      <c r="C4" s="802"/>
    </row>
    <row r="7" spans="1:9" ht="12.75">
      <c r="B7" s="803" t="s">
        <v>1508</v>
      </c>
      <c r="E7" s="803" t="s">
        <v>1509</v>
      </c>
      <c r="I7" s="803" t="s">
        <v>505</v>
      </c>
    </row>
    <row r="9" spans="1:9">
      <c r="C9" s="804" t="s">
        <v>1510</v>
      </c>
      <c r="F9" s="804" t="s">
        <v>428</v>
      </c>
      <c r="I9" s="804" t="s">
        <v>1511</v>
      </c>
    </row>
    <row r="10" spans="1:9">
      <c r="C10" s="805" t="s">
        <v>516</v>
      </c>
      <c r="F10" s="805" t="s">
        <v>401</v>
      </c>
      <c r="I10" s="805" t="s">
        <v>515</v>
      </c>
    </row>
    <row r="11" spans="1:9">
      <c r="C11" s="805" t="s">
        <v>143</v>
      </c>
      <c r="F11" s="805" t="s">
        <v>402</v>
      </c>
      <c r="I11" s="805" t="s">
        <v>525</v>
      </c>
    </row>
    <row r="12" spans="1:9">
      <c r="C12" s="806"/>
      <c r="F12" s="805" t="s">
        <v>411</v>
      </c>
      <c r="I12" s="805" t="s">
        <v>522</v>
      </c>
    </row>
    <row r="13" spans="1:9">
      <c r="C13" s="806"/>
      <c r="F13" s="805" t="s">
        <v>420</v>
      </c>
      <c r="I13" s="805" t="s">
        <v>437</v>
      </c>
    </row>
    <row r="14" spans="1:9">
      <c r="C14" s="806"/>
      <c r="F14" s="805" t="s">
        <v>427</v>
      </c>
      <c r="I14" s="806"/>
    </row>
    <row r="15" spans="1:9">
      <c r="C15" s="806"/>
      <c r="F15" s="807"/>
      <c r="I15" s="806"/>
    </row>
    <row r="16" spans="1:9">
      <c r="C16" s="806"/>
      <c r="F16" s="807"/>
      <c r="I16" s="806"/>
    </row>
    <row r="17" spans="2:9">
      <c r="C17" s="806"/>
      <c r="F17" s="806"/>
      <c r="I17" s="806"/>
    </row>
    <row r="18" spans="2:9">
      <c r="C18" s="806"/>
      <c r="F18" s="806"/>
      <c r="I18" s="806"/>
    </row>
    <row r="19" spans="2:9">
      <c r="C19" s="806"/>
      <c r="F19" s="806"/>
      <c r="I19" s="806"/>
    </row>
    <row r="20" spans="2:9">
      <c r="F20" s="806"/>
      <c r="I20" s="806"/>
    </row>
    <row r="22" spans="2:9" ht="12.75">
      <c r="B22" s="803" t="s">
        <v>1512</v>
      </c>
      <c r="E22" s="803" t="s">
        <v>1513</v>
      </c>
      <c r="I22" s="803" t="s">
        <v>506</v>
      </c>
    </row>
    <row r="24" spans="2:9">
      <c r="C24" s="804" t="s">
        <v>1514</v>
      </c>
      <c r="F24" s="804" t="s">
        <v>1515</v>
      </c>
      <c r="I24" s="804" t="s">
        <v>1516</v>
      </c>
    </row>
    <row r="25" spans="2:9">
      <c r="C25" s="805" t="s">
        <v>527</v>
      </c>
      <c r="F25" s="805" t="s">
        <v>544</v>
      </c>
      <c r="I25" s="805" t="s">
        <v>481</v>
      </c>
    </row>
    <row r="26" spans="2:9">
      <c r="C26" s="805" t="s">
        <v>520</v>
      </c>
      <c r="F26" s="805" t="s">
        <v>1475</v>
      </c>
      <c r="I26" s="805" t="s">
        <v>482</v>
      </c>
    </row>
    <row r="27" spans="2:9">
      <c r="C27" s="805" t="s">
        <v>514</v>
      </c>
      <c r="F27" s="805" t="s">
        <v>1476</v>
      </c>
      <c r="I27" s="805" t="s">
        <v>483</v>
      </c>
    </row>
    <row r="28" spans="2:9">
      <c r="C28" s="806"/>
      <c r="F28" s="805" t="s">
        <v>501</v>
      </c>
      <c r="I28" s="805" t="s">
        <v>484</v>
      </c>
    </row>
    <row r="29" spans="2:9">
      <c r="C29" s="806"/>
      <c r="F29" s="805" t="s">
        <v>360</v>
      </c>
      <c r="I29" s="806"/>
    </row>
    <row r="30" spans="2:9">
      <c r="C30" s="806"/>
      <c r="F30" s="805" t="s">
        <v>361</v>
      </c>
      <c r="I30" s="806"/>
    </row>
    <row r="31" spans="2:9">
      <c r="C31" s="806"/>
      <c r="F31" s="805" t="s">
        <v>132</v>
      </c>
      <c r="I31" s="806"/>
    </row>
    <row r="32" spans="2:9">
      <c r="C32" s="806"/>
      <c r="F32" s="805" t="s">
        <v>133</v>
      </c>
      <c r="I32" s="806"/>
    </row>
    <row r="33" spans="3:9">
      <c r="C33" s="806"/>
      <c r="F33" s="805" t="s">
        <v>134</v>
      </c>
      <c r="I33" s="806"/>
    </row>
    <row r="34" spans="3:9">
      <c r="C34" s="806"/>
      <c r="F34" s="805" t="s">
        <v>108</v>
      </c>
      <c r="I34" s="806"/>
    </row>
    <row r="35" spans="3:9">
      <c r="C35" s="806"/>
      <c r="F35" s="805" t="s">
        <v>109</v>
      </c>
      <c r="I35" s="806"/>
    </row>
    <row r="36" spans="3:9">
      <c r="F36" s="805" t="s">
        <v>110</v>
      </c>
    </row>
    <row r="37" spans="3:9">
      <c r="F37" s="805" t="s">
        <v>111</v>
      </c>
    </row>
    <row r="38" spans="3:9">
      <c r="F38" s="805" t="s">
        <v>112</v>
      </c>
    </row>
    <row r="39" spans="3:9">
      <c r="F39" s="805" t="s">
        <v>362</v>
      </c>
    </row>
    <row r="40" spans="3:9">
      <c r="F40" s="805" t="s">
        <v>363</v>
      </c>
    </row>
    <row r="41" spans="3:9">
      <c r="F41" s="805" t="s">
        <v>364</v>
      </c>
    </row>
    <row r="42" spans="3:9">
      <c r="F42" s="805" t="s">
        <v>365</v>
      </c>
    </row>
    <row r="43" spans="3:9">
      <c r="F43" s="805" t="s">
        <v>366</v>
      </c>
    </row>
    <row r="44" spans="3:9">
      <c r="F44" s="805" t="s">
        <v>1517</v>
      </c>
    </row>
    <row r="45" spans="3:9">
      <c r="F45" s="805" t="s">
        <v>1518</v>
      </c>
    </row>
    <row r="46" spans="3:9">
      <c r="F46" s="805" t="s">
        <v>1519</v>
      </c>
    </row>
    <row r="47" spans="3:9">
      <c r="F47" s="805" t="s">
        <v>1520</v>
      </c>
    </row>
    <row r="48" spans="3:9">
      <c r="F48" s="805" t="s">
        <v>1521</v>
      </c>
    </row>
    <row r="49" spans="2:6">
      <c r="F49" s="805" t="s">
        <v>1522</v>
      </c>
    </row>
    <row r="50" spans="2:6">
      <c r="F50" s="805" t="s">
        <v>1523</v>
      </c>
    </row>
    <row r="51" spans="2:6">
      <c r="F51" s="805" t="s">
        <v>1524</v>
      </c>
    </row>
    <row r="52" spans="2:6">
      <c r="F52" s="805" t="s">
        <v>1525</v>
      </c>
    </row>
    <row r="53" spans="2:6">
      <c r="F53" s="805" t="s">
        <v>1526</v>
      </c>
    </row>
    <row r="55" spans="2:6" ht="12.75">
      <c r="B55" s="803" t="s">
        <v>1527</v>
      </c>
      <c r="E55" s="803" t="s">
        <v>1528</v>
      </c>
    </row>
    <row r="57" spans="2:6">
      <c r="C57" s="804" t="s">
        <v>428</v>
      </c>
      <c r="F57" s="804" t="s">
        <v>920</v>
      </c>
    </row>
    <row r="58" spans="2:6">
      <c r="C58" s="805" t="s">
        <v>401</v>
      </c>
      <c r="F58" s="805" t="s">
        <v>842</v>
      </c>
    </row>
    <row r="59" spans="2:6">
      <c r="C59" s="805" t="s">
        <v>402</v>
      </c>
      <c r="F59" s="805" t="s">
        <v>843</v>
      </c>
    </row>
    <row r="60" spans="2:6">
      <c r="C60" s="805" t="s">
        <v>411</v>
      </c>
      <c r="F60" s="806"/>
    </row>
    <row r="61" spans="2:6">
      <c r="C61" s="805" t="s">
        <v>420</v>
      </c>
      <c r="F61" s="806"/>
    </row>
    <row r="62" spans="2:6">
      <c r="C62" s="805" t="s">
        <v>427</v>
      </c>
      <c r="F62" s="806"/>
    </row>
    <row r="63" spans="2:6">
      <c r="C63" s="805" t="s">
        <v>1529</v>
      </c>
      <c r="F63" s="806"/>
    </row>
    <row r="64" spans="2:6">
      <c r="C64" s="806"/>
      <c r="F64" s="806"/>
    </row>
    <row r="65" spans="2:6">
      <c r="C65" s="806"/>
      <c r="F65" s="806"/>
    </row>
    <row r="66" spans="2:6">
      <c r="C66" s="806"/>
      <c r="F66" s="806"/>
    </row>
    <row r="67" spans="2:6">
      <c r="C67" s="806"/>
      <c r="F67" s="806"/>
    </row>
    <row r="70" spans="2:6" ht="12.75">
      <c r="B70" s="803" t="s">
        <v>1530</v>
      </c>
    </row>
    <row r="71" spans="2:6" ht="12.75">
      <c r="E71" s="808" t="s">
        <v>1531</v>
      </c>
    </row>
    <row r="72" spans="2:6" ht="12.75">
      <c r="C72" s="809" t="s">
        <v>916</v>
      </c>
      <c r="F72" s="808"/>
    </row>
    <row r="73" spans="2:6">
      <c r="C73" s="806" t="s">
        <v>1532</v>
      </c>
      <c r="F73" s="810" t="s">
        <v>1533</v>
      </c>
    </row>
    <row r="74" spans="2:6">
      <c r="C74" s="806" t="s">
        <v>906</v>
      </c>
      <c r="F74" s="810" t="s">
        <v>210</v>
      </c>
    </row>
    <row r="75" spans="2:6">
      <c r="C75" s="806" t="s">
        <v>1534</v>
      </c>
      <c r="F75" s="810" t="s">
        <v>1535</v>
      </c>
    </row>
    <row r="76" spans="2:6">
      <c r="C76" s="806" t="s">
        <v>887</v>
      </c>
    </row>
    <row r="77" spans="2:6">
      <c r="C77" s="806"/>
    </row>
    <row r="78" spans="2:6" ht="12.75">
      <c r="C78" s="806"/>
      <c r="E78" s="811" t="s">
        <v>1528</v>
      </c>
    </row>
    <row r="79" spans="2:6" ht="12.75">
      <c r="C79" s="806"/>
      <c r="F79" s="808"/>
    </row>
    <row r="80" spans="2:6">
      <c r="C80" s="806"/>
      <c r="F80" s="804" t="s">
        <v>920</v>
      </c>
    </row>
    <row r="81" spans="3:6">
      <c r="C81" s="806"/>
      <c r="F81" s="805" t="s">
        <v>939</v>
      </c>
    </row>
    <row r="82" spans="3:6">
      <c r="C82" s="806"/>
      <c r="F82" s="805" t="s">
        <v>941</v>
      </c>
    </row>
    <row r="83" spans="3:6">
      <c r="F83" s="805" t="s">
        <v>943</v>
      </c>
    </row>
    <row r="84" spans="3:6">
      <c r="F84" s="805" t="s">
        <v>944</v>
      </c>
    </row>
    <row r="85" spans="3:6">
      <c r="F85" s="812"/>
    </row>
    <row r="86" spans="3:6">
      <c r="F86" s="812"/>
    </row>
    <row r="87" spans="3:6">
      <c r="F87" s="812"/>
    </row>
    <row r="88" spans="3:6">
      <c r="F88" s="812"/>
    </row>
    <row r="89" spans="3:6">
      <c r="F89" s="812"/>
    </row>
    <row r="90" spans="3:6">
      <c r="F90" s="812"/>
    </row>
  </sheetData>
  <mergeCells count="1">
    <mergeCell ref="B3:C3"/>
  </mergeCells>
  <phoneticPr fontId="22" type="noConversion"/>
  <hyperlinks>
    <hyperlink ref="B3" location="HL_Home" tooltip="Go to Table of Contents" display="HL_Home" xr:uid="{00000000-0004-0000-1800-000000000000}"/>
  </hyperlinks>
  <pageMargins left="0.39370078740157499" right="0.39370078740157499" top="0.59055118110236249" bottom="0.98425196850393748" header="0" footer="0.31496062992125973"/>
  <pageSetup paperSize="9" orientation="landscape" r:id="rId1"/>
  <headerFooter alignWithMargins="0">
    <oddHeader>&amp;C&amp;"Calibri"&amp;14&amp;KFF0000 OFFICIAL&amp;1#_x000D_&amp;"Arial"&amp;8&amp;K000000&amp;"Arial"&amp;8&amp;K000000&amp;B&amp;"Arial"&amp;12&amp;Kff0000​‌OFFICIAL‌​</oddHeader>
    <oddFooter>&amp;C&amp;"Arial,Bold"&amp;10Page &amp;P of &amp;N&amp;L&amp;"Arial,Bold"&amp;7&amp;F
&amp;A
Printed: &amp;T on &amp;D</oddFooter>
  </headerFooter>
  <rowBreaks count="1" manualBreakCount="1">
    <brk id="50" min="1"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pageSetUpPr autoPageBreaks="0"/>
  </sheetPr>
  <dimension ref="A1:AB68"/>
  <sheetViews>
    <sheetView showGridLines="0" workbookViewId="0">
      <selection activeCell="M64" sqref="M64:Z64"/>
    </sheetView>
  </sheetViews>
  <sheetFormatPr defaultColWidth="10.83203125" defaultRowHeight="12"/>
  <cols>
    <col min="1" max="5" width="3.83203125" style="63" customWidth="1"/>
    <col min="6" max="6" width="5.1640625" style="63" customWidth="1"/>
    <col min="7" max="7" width="10.83203125" style="63" customWidth="1"/>
    <col min="8" max="9" width="10.83203125" style="316" customWidth="1"/>
    <col min="10" max="11" width="10.83203125" style="63" customWidth="1"/>
    <col min="12" max="12" width="10.83203125" style="63" customWidth="1" collapsed="1"/>
    <col min="13" max="27" width="10.83203125" style="63" customWidth="1"/>
    <col min="28" max="28" width="4.5" style="63" customWidth="1"/>
    <col min="29" max="37" width="10.83203125" style="63"/>
    <col min="38" max="38" width="3.83203125" style="63" customWidth="1"/>
    <col min="39" max="16384" width="10.83203125" style="63"/>
  </cols>
  <sheetData>
    <row r="1" spans="1:28" ht="15">
      <c r="A1" s="139">
        <v>80</v>
      </c>
      <c r="B1" s="140" t="s">
        <v>137</v>
      </c>
    </row>
    <row r="2" spans="1:28" ht="12.75">
      <c r="B2" s="142" t="str">
        <f>Model_Name</f>
        <v>Melbourne Water</v>
      </c>
    </row>
    <row r="3" spans="1:28">
      <c r="B3" s="2075" t="s">
        <v>138</v>
      </c>
      <c r="C3" s="2075"/>
      <c r="D3" s="2075"/>
      <c r="E3" s="2075"/>
      <c r="F3" s="2075"/>
      <c r="G3" s="452"/>
    </row>
    <row r="4" spans="1:28">
      <c r="A4" s="147"/>
      <c r="B4" s="65"/>
      <c r="C4" s="66"/>
      <c r="F4" s="57"/>
      <c r="L4" s="1845"/>
      <c r="M4" s="1208"/>
      <c r="N4" s="1211"/>
      <c r="O4" s="1212" t="s">
        <v>139</v>
      </c>
      <c r="P4" s="1211"/>
      <c r="Q4" s="1210"/>
      <c r="R4" s="721"/>
      <c r="S4" s="721"/>
      <c r="T4" s="1212" t="s">
        <v>140</v>
      </c>
      <c r="U4" s="721"/>
      <c r="V4" s="1207"/>
      <c r="W4" s="721"/>
      <c r="X4" s="721"/>
      <c r="Y4" s="1212" t="s">
        <v>141</v>
      </c>
      <c r="Z4" s="721"/>
      <c r="AA4" s="1207"/>
    </row>
    <row r="6" spans="1:28">
      <c r="B6" s="148"/>
      <c r="F6" s="149" t="s">
        <v>142</v>
      </c>
      <c r="J6" s="59"/>
      <c r="K6" s="59"/>
      <c r="L6" s="59">
        <v>2021</v>
      </c>
      <c r="M6" s="59">
        <v>2022</v>
      </c>
      <c r="N6" s="59">
        <v>2023</v>
      </c>
      <c r="O6" s="59">
        <v>2024</v>
      </c>
      <c r="P6" s="59">
        <v>2025</v>
      </c>
      <c r="Q6" s="59">
        <v>2026</v>
      </c>
      <c r="R6" s="59">
        <v>2027</v>
      </c>
      <c r="S6" s="59">
        <v>2028</v>
      </c>
      <c r="T6" s="59">
        <v>2029</v>
      </c>
      <c r="U6" s="59">
        <v>2030</v>
      </c>
      <c r="V6" s="59">
        <v>2031</v>
      </c>
      <c r="W6" s="59">
        <v>2032</v>
      </c>
      <c r="X6" s="59">
        <v>2033</v>
      </c>
      <c r="Y6" s="59">
        <v>2034</v>
      </c>
      <c r="Z6" s="59">
        <v>2035</v>
      </c>
      <c r="AA6" s="59">
        <v>2036</v>
      </c>
    </row>
    <row r="7" spans="1:28">
      <c r="A7" s="68"/>
      <c r="B7" s="1182"/>
      <c r="C7" s="68"/>
      <c r="D7" s="68"/>
      <c r="E7" s="68"/>
      <c r="F7" s="151" t="s">
        <v>143</v>
      </c>
      <c r="G7" s="68"/>
      <c r="H7" s="453"/>
      <c r="I7" s="453"/>
      <c r="J7" s="61"/>
      <c r="K7" s="61"/>
      <c r="L7" s="61" t="str">
        <f>+CONCATENATE(L6-1,"-",RIGHT(L6,2))</f>
        <v>2020-21</v>
      </c>
      <c r="M7" s="61" t="str">
        <f t="shared" ref="M7:V7" si="0">+CONCATENATE(M6-1,"-",RIGHT(M6,2))</f>
        <v>2021-22</v>
      </c>
      <c r="N7" s="61" t="str">
        <f t="shared" si="0"/>
        <v>2022-23</v>
      </c>
      <c r="O7" s="61" t="str">
        <f t="shared" si="0"/>
        <v>2023-24</v>
      </c>
      <c r="P7" s="61" t="str">
        <f t="shared" si="0"/>
        <v>2024-25</v>
      </c>
      <c r="Q7" s="61" t="str">
        <f t="shared" si="0"/>
        <v>2025-26</v>
      </c>
      <c r="R7" s="61" t="str">
        <f t="shared" si="0"/>
        <v>2026-27</v>
      </c>
      <c r="S7" s="61" t="str">
        <f t="shared" si="0"/>
        <v>2027-28</v>
      </c>
      <c r="T7" s="61" t="str">
        <f t="shared" si="0"/>
        <v>2028-29</v>
      </c>
      <c r="U7" s="61" t="str">
        <f t="shared" si="0"/>
        <v>2029-30</v>
      </c>
      <c r="V7" s="61" t="str">
        <f t="shared" si="0"/>
        <v>2030-31</v>
      </c>
      <c r="W7" s="61" t="str">
        <f>+CONCATENATE(W6-1,"-",RIGHT(W6,2))</f>
        <v>2031-32</v>
      </c>
      <c r="X7" s="61" t="str">
        <f>+CONCATENATE(X6-1,"-",RIGHT(X6,2))</f>
        <v>2032-33</v>
      </c>
      <c r="Y7" s="61" t="str">
        <f>+CONCATENATE(Y6-1,"-",RIGHT(Y6,2))</f>
        <v>2033-34</v>
      </c>
      <c r="Z7" s="61" t="str">
        <f>+CONCATENATE(Z6-1,"-",RIGHT(Z6,2))</f>
        <v>2034-35</v>
      </c>
      <c r="AA7" s="61" t="str">
        <f>+CONCATENATE(AA6-1,"-",RIGHT(AA6,2))</f>
        <v>2035-36</v>
      </c>
    </row>
    <row r="8" spans="1:28" ht="12.75" thickBot="1">
      <c r="H8" s="454"/>
      <c r="I8" s="454"/>
    </row>
    <row r="9" spans="1:28" ht="15.75" thickBot="1">
      <c r="D9" s="1183" t="s">
        <v>144</v>
      </c>
      <c r="E9" s="1184"/>
      <c r="F9" s="1185"/>
      <c r="G9" s="1185"/>
      <c r="H9" s="1186"/>
      <c r="I9" s="1187" t="str">
        <f ca="1">IF(COUNTIF(J11:AB48,1)&gt;0,"NO","YES")</f>
        <v>YES</v>
      </c>
      <c r="J9" s="63" t="s">
        <v>145</v>
      </c>
    </row>
    <row r="10" spans="1:28" ht="12.75" thickBot="1">
      <c r="H10" s="212"/>
      <c r="I10" s="212"/>
    </row>
    <row r="11" spans="1:28">
      <c r="D11" s="152"/>
      <c r="E11" s="153"/>
      <c r="F11" s="153"/>
      <c r="G11" s="153"/>
      <c r="H11" s="455"/>
      <c r="I11" s="455"/>
      <c r="J11" s="153"/>
      <c r="K11" s="153"/>
      <c r="L11" s="153"/>
      <c r="M11" s="153"/>
      <c r="N11" s="153"/>
      <c r="O11" s="153"/>
      <c r="P11" s="153"/>
      <c r="Q11" s="153"/>
      <c r="R11" s="153"/>
      <c r="S11" s="153"/>
      <c r="T11" s="153"/>
      <c r="U11" s="153"/>
      <c r="V11" s="153"/>
      <c r="W11" s="153"/>
      <c r="X11" s="153"/>
      <c r="Y11" s="153"/>
      <c r="Z11" s="153"/>
      <c r="AA11" s="153"/>
      <c r="AB11" s="154"/>
    </row>
    <row r="12" spans="1:28">
      <c r="D12" s="456"/>
      <c r="E12" s="1188" t="s">
        <v>146</v>
      </c>
      <c r="F12" s="457" t="s">
        <v>147</v>
      </c>
      <c r="H12" s="212"/>
      <c r="I12" s="212"/>
      <c r="J12" s="296"/>
      <c r="K12" s="296"/>
      <c r="L12" s="296"/>
      <c r="M12" s="296"/>
      <c r="N12" s="296"/>
      <c r="O12" s="296"/>
      <c r="P12" s="296"/>
      <c r="Q12" s="296"/>
      <c r="R12" s="296"/>
      <c r="S12" s="296"/>
      <c r="T12" s="296"/>
      <c r="U12" s="296"/>
      <c r="V12" s="296"/>
      <c r="W12" s="296"/>
      <c r="X12" s="296"/>
      <c r="Y12" s="296"/>
      <c r="Z12" s="296"/>
      <c r="AA12" s="296"/>
      <c r="AB12" s="157"/>
    </row>
    <row r="13" spans="1:28">
      <c r="D13" s="456"/>
      <c r="E13" s="506"/>
      <c r="G13" s="63" t="s">
        <v>148</v>
      </c>
      <c r="H13" s="212"/>
      <c r="I13" s="212"/>
      <c r="J13" s="296"/>
      <c r="K13" s="296"/>
      <c r="L13" s="296"/>
      <c r="M13" s="296"/>
      <c r="N13" s="296"/>
      <c r="O13" s="296"/>
      <c r="Q13" s="1660">
        <f>IF(ISNUMBER(KeyAssumptionsPriceControl_FO!AE13),0,1)</f>
        <v>0</v>
      </c>
      <c r="R13" s="296"/>
      <c r="S13" s="296"/>
      <c r="T13" s="296"/>
      <c r="U13" s="296"/>
      <c r="V13" s="296"/>
      <c r="W13" s="296"/>
      <c r="X13" s="296"/>
      <c r="Y13" s="296"/>
      <c r="Z13" s="296"/>
      <c r="AA13" s="296"/>
      <c r="AB13" s="157"/>
    </row>
    <row r="14" spans="1:28">
      <c r="D14" s="459"/>
      <c r="E14" s="472"/>
      <c r="H14" s="212"/>
      <c r="I14" s="212"/>
      <c r="J14" s="296"/>
      <c r="K14" s="296"/>
      <c r="L14" s="296"/>
      <c r="M14" s="296"/>
      <c r="N14" s="296"/>
      <c r="O14" s="296"/>
      <c r="P14" s="296"/>
      <c r="Q14" s="296"/>
      <c r="R14" s="296"/>
      <c r="S14" s="296"/>
      <c r="T14" s="296"/>
      <c r="U14" s="296"/>
      <c r="V14" s="296"/>
      <c r="W14" s="296"/>
      <c r="X14" s="296"/>
      <c r="Y14" s="296"/>
      <c r="Z14" s="296"/>
      <c r="AA14" s="296"/>
      <c r="AB14" s="157"/>
    </row>
    <row r="15" spans="1:28">
      <c r="D15" s="155"/>
      <c r="E15" s="1188" t="s">
        <v>149</v>
      </c>
      <c r="F15" s="457" t="s">
        <v>150</v>
      </c>
      <c r="H15" s="212"/>
      <c r="I15" s="212"/>
      <c r="J15" s="296"/>
      <c r="K15" s="296"/>
      <c r="L15" s="296"/>
      <c r="M15" s="296"/>
      <c r="N15" s="296"/>
      <c r="O15" s="296"/>
      <c r="P15" s="296"/>
      <c r="Q15" s="296"/>
      <c r="R15" s="296"/>
      <c r="S15" s="296"/>
      <c r="T15" s="296"/>
      <c r="U15" s="296"/>
      <c r="V15" s="296"/>
      <c r="W15" s="296"/>
      <c r="X15" s="296"/>
      <c r="Y15" s="296"/>
      <c r="Z15" s="296"/>
      <c r="AA15" s="296"/>
      <c r="AB15" s="157"/>
    </row>
    <row r="16" spans="1:28">
      <c r="D16" s="155"/>
      <c r="G16" s="63" t="s">
        <v>151</v>
      </c>
      <c r="H16" s="212"/>
      <c r="I16" s="212"/>
      <c r="J16" s="296"/>
      <c r="K16" s="296"/>
      <c r="L16" s="296"/>
      <c r="M16" s="296"/>
      <c r="N16" s="296"/>
      <c r="O16" s="296"/>
      <c r="P16" s="296"/>
      <c r="Q16" s="1189"/>
      <c r="R16" s="1660">
        <f>Opex_FO_Summary!AA91</f>
        <v>0</v>
      </c>
      <c r="S16" s="1660">
        <f>Opex_FO_Summary!AB91</f>
        <v>0</v>
      </c>
      <c r="T16" s="1660">
        <f>Opex_FO_Summary!AC91</f>
        <v>0</v>
      </c>
      <c r="U16" s="1660">
        <f>Opex_FO_Summary!AD91</f>
        <v>0</v>
      </c>
      <c r="V16" s="1660">
        <f>Opex_FO_Summary!AE91</f>
        <v>0</v>
      </c>
      <c r="W16" s="1660">
        <f>Opex_FO_Summary!AF91</f>
        <v>0</v>
      </c>
      <c r="X16" s="1660">
        <f>Opex_FO_Summary!AG91</f>
        <v>0</v>
      </c>
      <c r="Y16" s="1660">
        <f>Opex_FO_Summary!AH91</f>
        <v>0</v>
      </c>
      <c r="Z16" s="1660">
        <f>Opex_FO_Summary!AI91</f>
        <v>0</v>
      </c>
      <c r="AA16" s="1660">
        <f>Opex_FO_Summary!AJ91</f>
        <v>0</v>
      </c>
      <c r="AB16" s="157"/>
    </row>
    <row r="17" spans="2:28">
      <c r="B17" s="460"/>
      <c r="D17" s="155"/>
      <c r="H17" s="212"/>
      <c r="I17" s="212"/>
      <c r="J17" s="296"/>
      <c r="K17" s="296"/>
      <c r="L17" s="296"/>
      <c r="M17" s="296"/>
      <c r="N17" s="296"/>
      <c r="O17" s="296"/>
      <c r="P17" s="296"/>
      <c r="Q17" s="296"/>
      <c r="R17" s="296"/>
      <c r="S17" s="296"/>
      <c r="T17" s="296"/>
      <c r="U17" s="296"/>
      <c r="V17" s="296"/>
      <c r="W17" s="296"/>
      <c r="X17" s="296"/>
      <c r="Y17" s="296"/>
      <c r="Z17" s="296"/>
      <c r="AA17" s="296"/>
      <c r="AB17" s="157"/>
    </row>
    <row r="18" spans="2:28">
      <c r="D18" s="155"/>
      <c r="E18" s="1188" t="s">
        <v>152</v>
      </c>
      <c r="F18" s="457" t="s">
        <v>153</v>
      </c>
      <c r="H18" s="212"/>
      <c r="I18" s="212"/>
      <c r="J18" s="296"/>
      <c r="K18" s="296"/>
      <c r="L18" s="296"/>
      <c r="M18" s="296"/>
      <c r="N18" s="296"/>
      <c r="O18" s="296"/>
      <c r="P18" s="296"/>
      <c r="Q18" s="296"/>
      <c r="R18" s="296"/>
      <c r="S18" s="296"/>
      <c r="T18" s="296"/>
      <c r="U18" s="296"/>
      <c r="V18" s="296"/>
      <c r="W18" s="296"/>
      <c r="X18" s="296"/>
      <c r="Y18" s="296"/>
      <c r="Z18" s="296"/>
      <c r="AA18" s="296"/>
      <c r="AB18" s="157"/>
    </row>
    <row r="19" spans="2:28">
      <c r="D19" s="155"/>
      <c r="G19" s="63" t="s">
        <v>154</v>
      </c>
      <c r="H19" s="212"/>
      <c r="I19" s="212"/>
      <c r="J19" s="296"/>
      <c r="K19" s="296"/>
      <c r="L19" s="296"/>
      <c r="M19" s="296"/>
      <c r="N19" s="296"/>
      <c r="O19" s="296"/>
      <c r="P19" s="296"/>
      <c r="Q19" s="1189"/>
      <c r="R19" s="1660">
        <f>Opex_Breakdown!AA45</f>
        <v>0</v>
      </c>
      <c r="S19" s="1660">
        <f>Opex_Breakdown!AB45</f>
        <v>0</v>
      </c>
      <c r="T19" s="1660">
        <f>Opex_Breakdown!AC45</f>
        <v>0</v>
      </c>
      <c r="U19" s="1660">
        <f>Opex_Breakdown!AD45</f>
        <v>0</v>
      </c>
      <c r="V19" s="1660">
        <f>Opex_Breakdown!AE45</f>
        <v>0</v>
      </c>
      <c r="W19" s="1660">
        <f>Opex_Breakdown!AF45</f>
        <v>0</v>
      </c>
      <c r="X19" s="1660">
        <f>Opex_Breakdown!AG45</f>
        <v>0</v>
      </c>
      <c r="Y19" s="1660">
        <f>Opex_Breakdown!AH45</f>
        <v>0</v>
      </c>
      <c r="Z19" s="1660">
        <f>Opex_Breakdown!AI45</f>
        <v>0</v>
      </c>
      <c r="AA19" s="1660">
        <f>Opex_Breakdown!AJ45</f>
        <v>0</v>
      </c>
      <c r="AB19" s="157"/>
    </row>
    <row r="20" spans="2:28" ht="6" customHeight="1">
      <c r="D20" s="155"/>
      <c r="H20" s="166"/>
      <c r="I20" s="166"/>
      <c r="R20" s="57"/>
      <c r="AB20" s="157"/>
    </row>
    <row r="21" spans="2:28">
      <c r="D21" s="155"/>
      <c r="G21" s="63" t="s">
        <v>155</v>
      </c>
      <c r="H21" s="212"/>
      <c r="I21" s="212"/>
      <c r="J21" s="296"/>
      <c r="L21" s="1660">
        <f>Opex_Breakdown!U29</f>
        <v>0</v>
      </c>
      <c r="M21" s="1660">
        <f>Opex_Breakdown!V29</f>
        <v>0</v>
      </c>
      <c r="N21" s="1660">
        <f>Opex_Breakdown!W29</f>
        <v>0</v>
      </c>
      <c r="O21" s="1660">
        <f>Opex_Breakdown!X29</f>
        <v>0</v>
      </c>
      <c r="P21" s="1660">
        <f>Opex_Breakdown!Y29</f>
        <v>0</v>
      </c>
      <c r="Q21" s="1660">
        <f>Opex_Breakdown!Z29</f>
        <v>0</v>
      </c>
      <c r="R21" s="1660">
        <f>Opex_Breakdown!AA29</f>
        <v>0</v>
      </c>
      <c r="S21" s="1660">
        <f>Opex_Breakdown!AB29</f>
        <v>0</v>
      </c>
      <c r="T21" s="1660">
        <f>Opex_Breakdown!AC29</f>
        <v>0</v>
      </c>
      <c r="U21" s="1660">
        <f>Opex_Breakdown!AD29</f>
        <v>0</v>
      </c>
      <c r="V21" s="1660">
        <f>Opex_Breakdown!AE29</f>
        <v>0</v>
      </c>
      <c r="W21" s="1660">
        <f>Opex_Breakdown!AF29</f>
        <v>0</v>
      </c>
      <c r="X21" s="1660">
        <f>Opex_Breakdown!AG29</f>
        <v>0</v>
      </c>
      <c r="Y21" s="1660">
        <f>Opex_Breakdown!AH29</f>
        <v>0</v>
      </c>
      <c r="Z21" s="1660">
        <f>Opex_Breakdown!AI29</f>
        <v>0</v>
      </c>
      <c r="AA21" s="1660">
        <f>Opex_Breakdown!AJ29</f>
        <v>0</v>
      </c>
      <c r="AB21" s="157"/>
    </row>
    <row r="22" spans="2:28">
      <c r="D22" s="155"/>
      <c r="H22" s="212"/>
      <c r="I22" s="212"/>
      <c r="J22" s="296"/>
      <c r="K22" s="296"/>
      <c r="L22" s="296"/>
      <c r="M22" s="296"/>
      <c r="N22" s="296"/>
      <c r="O22" s="296"/>
      <c r="P22" s="296"/>
      <c r="Q22" s="296"/>
      <c r="R22" s="296"/>
      <c r="S22" s="296"/>
      <c r="T22" s="296"/>
      <c r="U22" s="296"/>
      <c r="V22" s="296"/>
      <c r="W22" s="296"/>
      <c r="X22" s="296"/>
      <c r="Y22" s="296"/>
      <c r="Z22" s="296"/>
      <c r="AA22" s="296"/>
      <c r="AB22" s="157"/>
    </row>
    <row r="23" spans="2:28">
      <c r="D23" s="155"/>
      <c r="E23" s="1188" t="s">
        <v>156</v>
      </c>
      <c r="F23" s="457" t="s">
        <v>157</v>
      </c>
      <c r="H23" s="212"/>
      <c r="I23" s="212"/>
      <c r="J23" s="296"/>
      <c r="K23" s="296"/>
      <c r="L23" s="296"/>
      <c r="M23" s="296"/>
      <c r="N23" s="296"/>
      <c r="O23" s="296"/>
      <c r="P23" s="296"/>
      <c r="Q23" s="296"/>
      <c r="R23" s="296"/>
      <c r="S23" s="296"/>
      <c r="T23" s="296"/>
      <c r="U23" s="296"/>
      <c r="V23" s="296"/>
      <c r="W23" s="296"/>
      <c r="X23" s="296"/>
      <c r="Y23" s="296"/>
      <c r="Z23" s="296"/>
      <c r="AA23" s="296"/>
      <c r="AB23" s="157"/>
    </row>
    <row r="24" spans="2:28">
      <c r="D24" s="155"/>
      <c r="F24" s="457"/>
      <c r="G24" s="63" t="s">
        <v>158</v>
      </c>
      <c r="H24" s="212"/>
      <c r="I24" s="212"/>
      <c r="J24" s="296"/>
      <c r="K24" s="296"/>
      <c r="L24" s="296"/>
      <c r="M24" s="296"/>
      <c r="N24" s="296"/>
      <c r="O24" s="296"/>
      <c r="P24" s="296"/>
      <c r="Q24" s="296"/>
      <c r="R24" s="1660">
        <f>'Capex_FO input'!D27</f>
        <v>0</v>
      </c>
      <c r="S24" s="1660">
        <f>'Capex_FO input'!E27</f>
        <v>0</v>
      </c>
      <c r="T24" s="1660">
        <f>'Capex_FO input'!F27</f>
        <v>0</v>
      </c>
      <c r="U24" s="1660">
        <f>'Capex_FO input'!G27</f>
        <v>0</v>
      </c>
      <c r="V24" s="1660">
        <f>'Capex_FO input'!H27</f>
        <v>0</v>
      </c>
      <c r="W24" s="1660">
        <f>'Capex_FO input'!I27</f>
        <v>0</v>
      </c>
      <c r="X24" s="1660">
        <f>'Capex_FO input'!J27</f>
        <v>0</v>
      </c>
      <c r="Y24" s="1660">
        <f>'Capex_FO input'!K27</f>
        <v>0</v>
      </c>
      <c r="Z24" s="1660">
        <f>'Capex_FO input'!L27</f>
        <v>0</v>
      </c>
      <c r="AA24" s="1660">
        <f>'Capex_FO input'!M27</f>
        <v>0</v>
      </c>
      <c r="AB24" s="157"/>
    </row>
    <row r="25" spans="2:28">
      <c r="D25" s="155"/>
      <c r="H25" s="212"/>
      <c r="I25" s="212"/>
      <c r="J25" s="296"/>
      <c r="K25" s="296"/>
      <c r="L25" s="296"/>
      <c r="M25" s="296"/>
      <c r="N25" s="296"/>
      <c r="O25" s="296"/>
      <c r="P25" s="296"/>
      <c r="Q25" s="296"/>
      <c r="R25" s="296"/>
      <c r="S25" s="296"/>
      <c r="T25" s="296"/>
      <c r="U25" s="296"/>
      <c r="V25" s="296"/>
      <c r="W25" s="296"/>
      <c r="X25" s="296"/>
      <c r="Y25" s="296"/>
      <c r="Z25" s="296"/>
      <c r="AA25" s="296"/>
      <c r="AB25" s="157"/>
    </row>
    <row r="26" spans="2:28">
      <c r="D26" s="155"/>
      <c r="E26" s="1188" t="s">
        <v>159</v>
      </c>
      <c r="F26" s="457" t="s">
        <v>160</v>
      </c>
      <c r="H26" s="212"/>
      <c r="I26" s="212"/>
      <c r="J26" s="296"/>
      <c r="K26" s="296"/>
      <c r="L26" s="296"/>
      <c r="M26" s="296"/>
      <c r="N26" s="296"/>
      <c r="O26" s="296"/>
      <c r="P26" s="296"/>
      <c r="Q26" s="296"/>
      <c r="R26" s="296"/>
      <c r="S26" s="296"/>
      <c r="T26" s="296"/>
      <c r="U26" s="296"/>
      <c r="V26" s="296"/>
      <c r="W26" s="296"/>
      <c r="X26" s="296"/>
      <c r="Y26" s="296"/>
      <c r="Z26" s="296"/>
      <c r="AA26" s="296"/>
      <c r="AB26" s="157"/>
    </row>
    <row r="27" spans="2:28">
      <c r="D27" s="155"/>
      <c r="F27" s="457"/>
      <c r="G27" s="63" t="s">
        <v>161</v>
      </c>
      <c r="H27" s="212"/>
      <c r="I27" s="212"/>
      <c r="J27" s="296"/>
      <c r="K27" s="296"/>
      <c r="L27" s="296"/>
      <c r="M27" s="296"/>
      <c r="N27" s="296"/>
      <c r="O27" s="296"/>
      <c r="P27" s="296"/>
      <c r="Q27" s="296"/>
      <c r="R27" s="1660">
        <f>Capex_FO_AC!AA37</f>
        <v>0</v>
      </c>
      <c r="S27" s="1660">
        <f>Capex_FO_AC!AB37</f>
        <v>0</v>
      </c>
      <c r="T27" s="1660">
        <f>Capex_FO_AC!AC37</f>
        <v>0</v>
      </c>
      <c r="U27" s="1660">
        <f>Capex_FO_AC!AD37</f>
        <v>0</v>
      </c>
      <c r="V27" s="1660">
        <f>Capex_FO_AC!AE37</f>
        <v>0</v>
      </c>
      <c r="W27" s="1660">
        <f>Capex_FO_AC!AF37</f>
        <v>0</v>
      </c>
      <c r="X27" s="1660">
        <f>Capex_FO_AC!AG37</f>
        <v>0</v>
      </c>
      <c r="Y27" s="1660">
        <f>Capex_FO_AC!AH37</f>
        <v>0</v>
      </c>
      <c r="Z27" s="1660">
        <f>Capex_FO_AC!AI37</f>
        <v>0</v>
      </c>
      <c r="AA27" s="1660">
        <f>Capex_FO_AC!AJ37</f>
        <v>0</v>
      </c>
      <c r="AB27" s="157"/>
    </row>
    <row r="28" spans="2:28">
      <c r="D28" s="155"/>
      <c r="H28" s="212"/>
      <c r="I28" s="212"/>
      <c r="AB28" s="157"/>
    </row>
    <row r="29" spans="2:28">
      <c r="D29" s="155"/>
      <c r="E29" s="1188" t="s">
        <v>162</v>
      </c>
      <c r="F29" s="457" t="s">
        <v>163</v>
      </c>
      <c r="H29" s="212"/>
      <c r="I29" s="212"/>
      <c r="J29" s="296"/>
      <c r="K29" s="296"/>
      <c r="L29" s="296"/>
      <c r="M29" s="296"/>
      <c r="N29" s="296"/>
      <c r="O29" s="296"/>
      <c r="P29" s="296"/>
      <c r="Q29" s="296"/>
      <c r="R29" s="296"/>
      <c r="S29" s="296"/>
      <c r="T29" s="296"/>
      <c r="U29" s="296"/>
      <c r="V29" s="296"/>
      <c r="W29" s="296"/>
      <c r="X29" s="296"/>
      <c r="Y29" s="296"/>
      <c r="Z29" s="296"/>
      <c r="AA29" s="296"/>
      <c r="AB29" s="157"/>
    </row>
    <row r="30" spans="2:28">
      <c r="D30" s="155"/>
      <c r="F30" s="457"/>
      <c r="G30" s="63" t="s">
        <v>164</v>
      </c>
      <c r="H30" s="212"/>
      <c r="I30" s="212"/>
      <c r="J30" s="296"/>
      <c r="K30" s="296"/>
      <c r="L30" s="296"/>
      <c r="M30" s="296"/>
      <c r="N30" s="296"/>
      <c r="O30" s="296"/>
      <c r="P30" s="296"/>
      <c r="Q30" s="1660">
        <f>IF(ROUND(RollForward_FO!G84,2)=ROUND(RollForward_FO!G82,2),0,1)</f>
        <v>0</v>
      </c>
      <c r="R30" s="1189"/>
      <c r="S30" s="1189"/>
      <c r="T30" s="1189"/>
      <c r="U30" s="1189"/>
      <c r="V30" s="1189"/>
      <c r="W30" s="1189"/>
      <c r="X30" s="1189"/>
      <c r="Y30" s="1189"/>
      <c r="Z30" s="1189"/>
      <c r="AA30" s="1189"/>
      <c r="AB30" s="157"/>
    </row>
    <row r="31" spans="2:28">
      <c r="D31" s="155"/>
      <c r="H31" s="212"/>
      <c r="I31" s="212"/>
      <c r="AB31" s="157"/>
    </row>
    <row r="32" spans="2:28">
      <c r="D32" s="155"/>
      <c r="E32" s="1188" t="s">
        <v>165</v>
      </c>
      <c r="F32" s="457" t="s">
        <v>166</v>
      </c>
      <c r="H32" s="212"/>
      <c r="I32" s="212"/>
      <c r="J32" s="296"/>
      <c r="K32" s="296"/>
      <c r="L32" s="296"/>
      <c r="M32" s="296"/>
      <c r="N32" s="296"/>
      <c r="O32" s="296"/>
      <c r="P32" s="296"/>
      <c r="Q32" s="296"/>
      <c r="R32" s="296"/>
      <c r="S32" s="296"/>
      <c r="T32" s="296"/>
      <c r="U32" s="296"/>
      <c r="V32" s="296"/>
      <c r="W32" s="296"/>
      <c r="X32" s="296"/>
      <c r="Y32" s="296"/>
      <c r="Z32" s="296"/>
      <c r="AA32" s="296"/>
      <c r="AB32" s="157"/>
    </row>
    <row r="33" spans="4:28">
      <c r="D33" s="155"/>
      <c r="F33" s="457"/>
      <c r="G33" s="63" t="s">
        <v>167</v>
      </c>
      <c r="H33" s="212"/>
      <c r="I33" s="212"/>
      <c r="J33" s="296"/>
      <c r="K33" s="296"/>
      <c r="L33" s="296"/>
      <c r="M33" s="296"/>
      <c r="N33" s="296"/>
      <c r="O33" s="296"/>
      <c r="P33" s="296"/>
      <c r="Q33" s="1660">
        <f>IF(KeyAssumptionsPriceControl_FO!X32=1,IF(RevenuePriceCap_FO!AB34="PRICE CONTROL OK",0,1),0)</f>
        <v>0</v>
      </c>
      <c r="R33" s="1190" t="str">
        <f>IF(KeyAssumptionsPriceControl_FO!X32=1,RevenuePriceCap_FO!AB34,"")</f>
        <v/>
      </c>
      <c r="T33" s="1189"/>
      <c r="U33" s="1189"/>
      <c r="V33" s="1189"/>
      <c r="W33" s="1189"/>
      <c r="X33" s="1189"/>
      <c r="Y33" s="1189"/>
      <c r="Z33" s="1189"/>
      <c r="AA33" s="1189"/>
      <c r="AB33" s="157"/>
    </row>
    <row r="34" spans="4:28" ht="6" customHeight="1">
      <c r="D34" s="155"/>
      <c r="H34" s="166"/>
      <c r="I34" s="166"/>
      <c r="J34" s="296"/>
      <c r="K34" s="296"/>
      <c r="R34" s="57"/>
      <c r="AB34" s="157"/>
    </row>
    <row r="35" spans="4:28">
      <c r="D35" s="155"/>
      <c r="G35" s="63" t="s">
        <v>168</v>
      </c>
      <c r="H35" s="212"/>
      <c r="I35" s="212"/>
      <c r="J35" s="296"/>
      <c r="K35" s="296"/>
      <c r="Q35" s="1660">
        <f>IF(KeyAssumptionsPriceControl_FO!X32=1,IF(RevenuePriceCap_FO!AG34="PRICE CONTROL OK",0,1),0)</f>
        <v>0</v>
      </c>
      <c r="R35" s="1191" t="str">
        <f>IF(KeyAssumptionsPriceControl_FO!X32=1,RevenuePriceCap_FO!AG34,"")</f>
        <v/>
      </c>
      <c r="T35" s="1519"/>
      <c r="AB35" s="157"/>
    </row>
    <row r="36" spans="4:28" ht="6" customHeight="1">
      <c r="D36" s="155"/>
      <c r="H36" s="166"/>
      <c r="I36" s="166"/>
      <c r="J36" s="296"/>
      <c r="K36" s="296"/>
      <c r="R36" s="57"/>
      <c r="AB36" s="157"/>
    </row>
    <row r="37" spans="4:28">
      <c r="D37" s="155"/>
      <c r="G37" s="63" t="s">
        <v>169</v>
      </c>
      <c r="H37" s="212"/>
      <c r="I37" s="212"/>
      <c r="J37" s="296"/>
      <c r="K37" s="296"/>
      <c r="L37" s="1660">
        <f>RevenuePriceCap_FO!U458</f>
        <v>0</v>
      </c>
      <c r="M37" s="1660">
        <f>RevenuePriceCap_FO!V458</f>
        <v>0</v>
      </c>
      <c r="N37" s="1660">
        <f>RevenuePriceCap_FO!W458</f>
        <v>0</v>
      </c>
      <c r="O37" s="1660">
        <f>RevenuePriceCap_FO!X458</f>
        <v>0</v>
      </c>
      <c r="P37" s="1660">
        <f>RevenuePriceCap_FO!Y458</f>
        <v>0</v>
      </c>
      <c r="Q37" s="1660">
        <f>RevenuePriceCap_FO!Z458</f>
        <v>0</v>
      </c>
      <c r="R37" s="1660">
        <f>RevenuePriceCap_FO!AA458</f>
        <v>0</v>
      </c>
      <c r="S37" s="1660">
        <f>RevenuePriceCap_FO!AB458</f>
        <v>0</v>
      </c>
      <c r="T37" s="1660">
        <f>RevenuePriceCap_FO!AC458</f>
        <v>0</v>
      </c>
      <c r="U37" s="1660">
        <f>RevenuePriceCap_FO!AD458</f>
        <v>0</v>
      </c>
      <c r="V37" s="1660">
        <f>RevenuePriceCap_FO!AE458</f>
        <v>0</v>
      </c>
      <c r="W37" s="1660">
        <f>RevenuePriceCap_FO!AF458</f>
        <v>0</v>
      </c>
      <c r="X37" s="1660">
        <f>RevenuePriceCap_FO!AG458</f>
        <v>0</v>
      </c>
      <c r="Y37" s="1660">
        <f>RevenuePriceCap_FO!AH458</f>
        <v>0</v>
      </c>
      <c r="Z37" s="1660">
        <f>RevenuePriceCap_FO!AI458</f>
        <v>0</v>
      </c>
      <c r="AA37" s="1660">
        <f>RevenuePriceCap_FO!AJ458</f>
        <v>0</v>
      </c>
      <c r="AB37" s="157"/>
    </row>
    <row r="38" spans="4:28">
      <c r="D38" s="155"/>
      <c r="H38" s="166"/>
      <c r="I38" s="166"/>
      <c r="J38" s="296"/>
      <c r="K38" s="296"/>
      <c r="AB38" s="157"/>
    </row>
    <row r="39" spans="4:28">
      <c r="D39" s="155"/>
      <c r="E39" s="1188" t="s">
        <v>170</v>
      </c>
      <c r="F39" s="457" t="s">
        <v>171</v>
      </c>
      <c r="H39" s="212"/>
      <c r="I39" s="212"/>
      <c r="J39" s="296"/>
      <c r="K39" s="296"/>
      <c r="L39" s="296"/>
      <c r="M39" s="296"/>
      <c r="N39" s="296"/>
      <c r="O39" s="296"/>
      <c r="P39" s="296"/>
      <c r="Q39" s="296"/>
      <c r="R39" s="296"/>
      <c r="S39" s="296"/>
      <c r="T39" s="296"/>
      <c r="U39" s="296"/>
      <c r="V39" s="296"/>
      <c r="W39" s="296"/>
      <c r="X39" s="296"/>
      <c r="Y39" s="296"/>
      <c r="Z39" s="296"/>
      <c r="AA39" s="296"/>
      <c r="AB39" s="157"/>
    </row>
    <row r="40" spans="4:28">
      <c r="D40" s="155"/>
      <c r="F40" s="457"/>
      <c r="G40" s="63" t="s">
        <v>167</v>
      </c>
      <c r="H40" s="212"/>
      <c r="I40" s="212"/>
      <c r="J40" s="296"/>
      <c r="K40" s="296"/>
      <c r="L40" s="296"/>
      <c r="M40" s="296"/>
      <c r="N40" s="296"/>
      <c r="O40" s="296"/>
      <c r="P40" s="296"/>
      <c r="Q40" s="1660">
        <f ca="1">IF(KeyAssumptionsPriceControl_FO!X32=2,IF(RevenueTariffBasket_FO!AB34="PRICE CONTROL OK",0,1),0)</f>
        <v>0</v>
      </c>
      <c r="R40" s="1190" t="str">
        <f ca="1">IF(KeyAssumptionsPriceControl_FO!X32=2,RevenueTariffBasket_FO!AB34,"")</f>
        <v>PRICE CONTROL OK</v>
      </c>
      <c r="T40" s="1189"/>
      <c r="U40" s="1189"/>
      <c r="V40" s="1189"/>
      <c r="W40" s="1189"/>
      <c r="X40" s="1189"/>
      <c r="Y40" s="1189"/>
      <c r="Z40" s="1189"/>
      <c r="AA40" s="1189"/>
      <c r="AB40" s="157"/>
    </row>
    <row r="41" spans="4:28" ht="6" customHeight="1">
      <c r="D41" s="155"/>
      <c r="H41" s="166"/>
      <c r="I41" s="166"/>
      <c r="J41" s="296"/>
      <c r="K41" s="296"/>
      <c r="R41" s="57"/>
      <c r="AB41" s="157"/>
    </row>
    <row r="42" spans="4:28">
      <c r="D42" s="155"/>
      <c r="G42" s="63" t="s">
        <v>168</v>
      </c>
      <c r="H42" s="212"/>
      <c r="I42" s="212"/>
      <c r="J42" s="296"/>
      <c r="K42" s="296"/>
      <c r="Q42" s="1660">
        <f ca="1">IF(KeyAssumptionsPriceControl_FO!X32=2,IF(RevenueTariffBasket_FO!AG34="PRICE CONTROL OK",0,1),0)</f>
        <v>0</v>
      </c>
      <c r="R42" s="1191" t="str">
        <f ca="1">IF(KeyAssumptionsPriceControl_FO!X32=2,RevenueTariffBasket_FO!AG34,"")</f>
        <v>PRICE CONTROL OK</v>
      </c>
      <c r="AB42" s="157"/>
    </row>
    <row r="43" spans="4:28" ht="6" customHeight="1">
      <c r="D43" s="155"/>
      <c r="H43" s="166"/>
      <c r="I43" s="166"/>
      <c r="J43" s="296"/>
      <c r="K43" s="296"/>
      <c r="R43" s="57"/>
      <c r="AB43" s="157"/>
    </row>
    <row r="44" spans="4:28">
      <c r="D44" s="155"/>
      <c r="G44" s="63" t="s">
        <v>169</v>
      </c>
      <c r="H44" s="212"/>
      <c r="I44" s="212"/>
      <c r="J44" s="296"/>
      <c r="K44" s="296"/>
      <c r="L44" s="1660">
        <f>RevenueTariffBasket_FO!U458</f>
        <v>0</v>
      </c>
      <c r="M44" s="1660">
        <f>RevenueTariffBasket_FO!V458</f>
        <v>0</v>
      </c>
      <c r="N44" s="1660">
        <f>RevenueTariffBasket_FO!W458</f>
        <v>0</v>
      </c>
      <c r="O44" s="1660">
        <f>RevenueTariffBasket_FO!X458</f>
        <v>0</v>
      </c>
      <c r="P44" s="1660">
        <f>RevenueTariffBasket_FO!Y458</f>
        <v>0</v>
      </c>
      <c r="Q44" s="1660">
        <f>RevenueTariffBasket_FO!Z458</f>
        <v>0</v>
      </c>
      <c r="R44" s="1660">
        <f>RevenueTariffBasket_FO!AA458</f>
        <v>0</v>
      </c>
      <c r="S44" s="1660">
        <f>RevenueTariffBasket_FO!AB458</f>
        <v>0</v>
      </c>
      <c r="T44" s="1660">
        <f>RevenueTariffBasket_FO!AC458</f>
        <v>0</v>
      </c>
      <c r="U44" s="1660">
        <f>RevenueTariffBasket_FO!AD458</f>
        <v>0</v>
      </c>
      <c r="V44" s="1660">
        <f>RevenueTariffBasket_FO!AE458</f>
        <v>0</v>
      </c>
      <c r="W44" s="1660">
        <f>RevenueTariffBasket_FO!AF458</f>
        <v>0</v>
      </c>
      <c r="X44" s="1660">
        <f>RevenueTariffBasket_FO!AG458</f>
        <v>0</v>
      </c>
      <c r="Y44" s="1660">
        <f>RevenueTariffBasket_FO!AH458</f>
        <v>0</v>
      </c>
      <c r="Z44" s="1660">
        <f>RevenueTariffBasket_FO!AI458</f>
        <v>0</v>
      </c>
      <c r="AA44" s="1660">
        <f>RevenueTariffBasket_FO!AJ458</f>
        <v>0</v>
      </c>
      <c r="AB44" s="157"/>
    </row>
    <row r="45" spans="4:28">
      <c r="D45" s="155"/>
      <c r="H45" s="166"/>
      <c r="I45" s="166"/>
      <c r="AB45" s="157"/>
    </row>
    <row r="46" spans="4:28">
      <c r="D46" s="155"/>
      <c r="E46" s="1188" t="s">
        <v>172</v>
      </c>
      <c r="F46" s="457" t="s">
        <v>173</v>
      </c>
      <c r="H46" s="212"/>
      <c r="I46" s="212"/>
      <c r="L46" s="296"/>
      <c r="M46" s="296"/>
      <c r="N46" s="296"/>
      <c r="O46" s="296"/>
      <c r="P46" s="296"/>
      <c r="Q46" s="296"/>
      <c r="R46" s="296"/>
      <c r="S46" s="296"/>
      <c r="T46" s="296"/>
      <c r="U46" s="296"/>
      <c r="V46" s="296"/>
      <c r="W46" s="296"/>
      <c r="X46" s="296"/>
      <c r="Y46" s="296"/>
      <c r="Z46" s="296"/>
      <c r="AA46" s="296"/>
      <c r="AB46" s="157"/>
    </row>
    <row r="47" spans="4:28">
      <c r="D47" s="155"/>
      <c r="F47" s="457"/>
      <c r="G47" s="63" t="s">
        <v>174</v>
      </c>
      <c r="H47" s="212"/>
      <c r="I47" s="212"/>
      <c r="L47" s="1660">
        <f>'Rev&amp;RAV_FO'!U80</f>
        <v>0</v>
      </c>
      <c r="M47" s="1660">
        <f>'Rev&amp;RAV_FO'!V80</f>
        <v>0</v>
      </c>
      <c r="N47" s="1660">
        <f>'Rev&amp;RAV_FO'!W80</f>
        <v>0</v>
      </c>
      <c r="O47" s="1660">
        <f>'Rev&amp;RAV_FO'!X80</f>
        <v>0</v>
      </c>
      <c r="P47" s="1660">
        <f>'Rev&amp;RAV_FO'!Y80</f>
        <v>0</v>
      </c>
      <c r="Q47" s="1660">
        <f>'Rev&amp;RAV_FO'!Z80</f>
        <v>0</v>
      </c>
      <c r="R47" s="1660">
        <f ca="1">'Rev&amp;RAV_FO'!AA80</f>
        <v>0</v>
      </c>
      <c r="S47" s="1660">
        <f ca="1">'Rev&amp;RAV_FO'!AB80</f>
        <v>0</v>
      </c>
      <c r="T47" s="1660">
        <f ca="1">'Rev&amp;RAV_FO'!AC80</f>
        <v>0</v>
      </c>
      <c r="U47" s="1660">
        <f ca="1">'Rev&amp;RAV_FO'!AD80</f>
        <v>0</v>
      </c>
      <c r="V47" s="1660">
        <f ca="1">'Rev&amp;RAV_FO'!AE80</f>
        <v>0</v>
      </c>
      <c r="W47" s="1660">
        <f ca="1">'Rev&amp;RAV_FO'!AF80</f>
        <v>0</v>
      </c>
      <c r="X47" s="1660">
        <f ca="1">'Rev&amp;RAV_FO'!AG80</f>
        <v>0</v>
      </c>
      <c r="Y47" s="1660">
        <f ca="1">'Rev&amp;RAV_FO'!AH80</f>
        <v>0</v>
      </c>
      <c r="Z47" s="1660">
        <f ca="1">'Rev&amp;RAV_FO'!AI80</f>
        <v>0</v>
      </c>
      <c r="AA47" s="1660">
        <f ca="1">'Rev&amp;RAV_FO'!AJ80</f>
        <v>0</v>
      </c>
      <c r="AB47" s="157"/>
    </row>
    <row r="48" spans="4:28" ht="12.75" thickBot="1">
      <c r="D48" s="167"/>
      <c r="E48" s="168"/>
      <c r="F48" s="168"/>
      <c r="G48" s="168"/>
      <c r="H48" s="169"/>
      <c r="I48" s="169"/>
      <c r="J48" s="168"/>
      <c r="K48" s="168"/>
      <c r="L48" s="168"/>
      <c r="M48" s="168"/>
      <c r="N48" s="168"/>
      <c r="O48" s="168"/>
      <c r="P48" s="168"/>
      <c r="Q48" s="168"/>
      <c r="R48" s="168"/>
      <c r="S48" s="168"/>
      <c r="T48" s="168"/>
      <c r="U48" s="168"/>
      <c r="V48" s="168"/>
      <c r="W48" s="168"/>
      <c r="X48" s="168"/>
      <c r="Y48" s="168"/>
      <c r="Z48" s="168"/>
      <c r="AA48" s="168"/>
      <c r="AB48" s="170"/>
    </row>
    <row r="49" spans="4:28" ht="12.75" thickBot="1"/>
    <row r="50" spans="4:28">
      <c r="D50" s="152"/>
      <c r="E50" s="153"/>
      <c r="F50" s="153"/>
      <c r="G50" s="153"/>
      <c r="H50" s="455"/>
      <c r="I50" s="455"/>
      <c r="J50" s="153"/>
      <c r="K50" s="153"/>
      <c r="L50" s="153"/>
      <c r="M50" s="153"/>
      <c r="N50" s="153"/>
      <c r="O50" s="153"/>
      <c r="P50" s="153"/>
      <c r="Q50" s="153"/>
      <c r="R50" s="153"/>
      <c r="S50" s="153"/>
      <c r="T50" s="153"/>
      <c r="U50" s="153"/>
      <c r="V50" s="153"/>
      <c r="W50" s="153"/>
      <c r="X50" s="153"/>
      <c r="Y50" s="153"/>
      <c r="Z50" s="153"/>
      <c r="AA50" s="153"/>
      <c r="AB50" s="154"/>
    </row>
    <row r="51" spans="4:28">
      <c r="D51" s="155"/>
      <c r="F51" s="89" t="s">
        <v>175</v>
      </c>
      <c r="H51" s="212"/>
      <c r="I51" s="212"/>
      <c r="AB51" s="157"/>
    </row>
    <row r="52" spans="4:28">
      <c r="D52" s="155"/>
      <c r="E52" s="2008">
        <v>1</v>
      </c>
      <c r="F52" s="457" t="s">
        <v>176</v>
      </c>
      <c r="H52" s="212"/>
      <c r="I52" s="212"/>
      <c r="J52" s="270"/>
      <c r="K52" s="270"/>
      <c r="L52" s="296"/>
      <c r="M52" s="296"/>
      <c r="N52" s="296"/>
      <c r="O52" s="296"/>
      <c r="P52" s="296"/>
      <c r="Q52" s="296"/>
      <c r="R52" s="296"/>
      <c r="S52" s="296"/>
      <c r="T52" s="296"/>
      <c r="U52" s="296"/>
      <c r="V52" s="296"/>
      <c r="W52" s="296"/>
      <c r="X52" s="296"/>
      <c r="Y52" s="296"/>
      <c r="Z52" s="296"/>
      <c r="AA52" s="296"/>
      <c r="AB52" s="157"/>
    </row>
    <row r="53" spans="4:28">
      <c r="D53" s="155"/>
      <c r="G53" s="1843" t="s">
        <v>177</v>
      </c>
      <c r="H53" s="63"/>
      <c r="I53" s="212"/>
      <c r="J53" s="270"/>
      <c r="K53" s="270"/>
      <c r="L53" s="1844">
        <f ca="1">Indicators_FO!U226</f>
        <v>0</v>
      </c>
      <c r="M53" s="1844">
        <f ca="1">Indicators_FO!V226</f>
        <v>0</v>
      </c>
      <c r="N53" s="1844">
        <f ca="1">Indicators_FO!W226</f>
        <v>0</v>
      </c>
      <c r="O53" s="1844">
        <f ca="1">Indicators_FO!X226</f>
        <v>0</v>
      </c>
      <c r="P53" s="1844">
        <f ca="1">Indicators_FO!Y226</f>
        <v>0</v>
      </c>
      <c r="Q53" s="1844">
        <f ca="1">Indicators_FO!Z226</f>
        <v>0</v>
      </c>
      <c r="R53" s="1844">
        <f ca="1">Indicators_FO!AA226</f>
        <v>0</v>
      </c>
      <c r="S53" s="1844">
        <f ca="1">Indicators_FO!AB226</f>
        <v>0</v>
      </c>
      <c r="T53" s="1844">
        <f ca="1">Indicators_FO!AC226</f>
        <v>0</v>
      </c>
      <c r="U53" s="1844">
        <f ca="1">Indicators_FO!AD226</f>
        <v>0</v>
      </c>
      <c r="V53" s="1844">
        <f ca="1">Indicators_FO!AE226</f>
        <v>0</v>
      </c>
      <c r="W53" s="1844">
        <f ca="1">Indicators_FO!AF226</f>
        <v>0</v>
      </c>
      <c r="X53" s="1844">
        <f ca="1">Indicators_FO!AG226</f>
        <v>0</v>
      </c>
      <c r="Y53" s="1844">
        <f ca="1">Indicators_FO!AH226</f>
        <v>0</v>
      </c>
      <c r="Z53" s="1844">
        <f ca="1">Indicators_FO!AI226</f>
        <v>0</v>
      </c>
      <c r="AA53" s="1844">
        <f ca="1">Indicators_FO!AJ226</f>
        <v>0</v>
      </c>
      <c r="AB53" s="157"/>
    </row>
    <row r="54" spans="4:28">
      <c r="D54" s="155"/>
      <c r="G54" s="63" t="s">
        <v>178</v>
      </c>
      <c r="H54" s="212"/>
      <c r="I54" s="212"/>
      <c r="J54" s="270"/>
      <c r="K54" s="270"/>
      <c r="L54" s="1844">
        <f ca="1">Indicators_FO!U235</f>
        <v>0</v>
      </c>
      <c r="M54" s="1844">
        <f ca="1">Indicators_FO!V235</f>
        <v>0</v>
      </c>
      <c r="N54" s="1844">
        <f ca="1">Indicators_FO!W235</f>
        <v>0</v>
      </c>
      <c r="O54" s="1844">
        <f ca="1">Indicators_FO!X235</f>
        <v>0</v>
      </c>
      <c r="P54" s="1844">
        <f ca="1">Indicators_FO!Y235</f>
        <v>0</v>
      </c>
      <c r="Q54" s="1844">
        <f ca="1">Indicators_FO!Z235</f>
        <v>0</v>
      </c>
      <c r="R54" s="1844">
        <f ca="1">Indicators_FO!AA235</f>
        <v>0</v>
      </c>
      <c r="S54" s="1844">
        <f ca="1">Indicators_FO!AB235</f>
        <v>0</v>
      </c>
      <c r="T54" s="1844">
        <f ca="1">Indicators_FO!AC235</f>
        <v>0</v>
      </c>
      <c r="U54" s="1844">
        <f ca="1">Indicators_FO!AD235</f>
        <v>0</v>
      </c>
      <c r="V54" s="1844">
        <f ca="1">Indicators_FO!AE235</f>
        <v>0</v>
      </c>
      <c r="W54" s="1844">
        <f ca="1">Indicators_FO!AF235</f>
        <v>0</v>
      </c>
      <c r="X54" s="1844">
        <f ca="1">Indicators_FO!AG235</f>
        <v>0</v>
      </c>
      <c r="Y54" s="1844">
        <f ca="1">Indicators_FO!AH235</f>
        <v>0</v>
      </c>
      <c r="Z54" s="1844">
        <f ca="1">Indicators_FO!AI235</f>
        <v>0</v>
      </c>
      <c r="AA54" s="1844">
        <f ca="1">Indicators_FO!AJ235</f>
        <v>0</v>
      </c>
      <c r="AB54" s="157"/>
    </row>
    <row r="55" spans="4:28">
      <c r="D55" s="155"/>
      <c r="H55" s="212"/>
      <c r="I55" s="212"/>
      <c r="J55" s="270"/>
      <c r="K55" s="270"/>
      <c r="L55" s="296"/>
      <c r="M55" s="296"/>
      <c r="N55" s="296"/>
      <c r="O55" s="296"/>
      <c r="P55" s="296"/>
      <c r="Q55" s="296"/>
      <c r="R55" s="296"/>
      <c r="S55" s="296"/>
      <c r="T55" s="296"/>
      <c r="U55" s="296"/>
      <c r="V55" s="296"/>
      <c r="W55" s="296"/>
      <c r="X55" s="296"/>
      <c r="Y55" s="296"/>
      <c r="Z55" s="296"/>
      <c r="AA55" s="296"/>
      <c r="AB55" s="157"/>
    </row>
    <row r="56" spans="4:28">
      <c r="D56" s="155"/>
      <c r="E56" s="2008">
        <v>2</v>
      </c>
      <c r="F56" s="457" t="s">
        <v>179</v>
      </c>
      <c r="H56" s="212"/>
      <c r="I56" s="212"/>
      <c r="J56" s="270"/>
      <c r="K56" s="270"/>
      <c r="L56" s="296"/>
      <c r="M56" s="296"/>
      <c r="N56" s="296"/>
      <c r="O56" s="296"/>
      <c r="P56" s="296"/>
      <c r="Q56" s="296"/>
      <c r="R56" s="296"/>
      <c r="S56" s="296"/>
      <c r="T56" s="296"/>
      <c r="U56" s="296"/>
      <c r="V56" s="296"/>
      <c r="W56" s="296"/>
      <c r="X56" s="296"/>
      <c r="Y56" s="296"/>
      <c r="Z56" s="296"/>
      <c r="AA56" s="296"/>
      <c r="AB56" s="157"/>
    </row>
    <row r="57" spans="4:28">
      <c r="D57" s="155"/>
      <c r="G57" s="63" t="s">
        <v>180</v>
      </c>
      <c r="H57" s="212"/>
      <c r="I57" s="212"/>
      <c r="J57" s="270"/>
      <c r="K57" s="270"/>
      <c r="L57" s="1844">
        <f>Indicators_FO!U245</f>
        <v>0</v>
      </c>
      <c r="M57" s="1844">
        <f ca="1">Indicators_FO!V245</f>
        <v>0</v>
      </c>
      <c r="N57" s="1844">
        <f ca="1">Indicators_FO!W245</f>
        <v>0</v>
      </c>
      <c r="O57" s="1844">
        <f ca="1">Indicators_FO!X245</f>
        <v>0</v>
      </c>
      <c r="P57" s="1844">
        <f ca="1">Indicators_FO!Y245</f>
        <v>0</v>
      </c>
      <c r="Q57" s="1844">
        <f ca="1">Indicators_FO!Z245</f>
        <v>0</v>
      </c>
      <c r="R57" s="1844">
        <f ca="1">Indicators_FO!AA245</f>
        <v>0</v>
      </c>
      <c r="S57" s="1844">
        <f ca="1">Indicators_FO!AB245</f>
        <v>0</v>
      </c>
      <c r="T57" s="1844">
        <f ca="1">Indicators_FO!AC245</f>
        <v>0</v>
      </c>
      <c r="U57" s="1844">
        <f ca="1">Indicators_FO!AD245</f>
        <v>0</v>
      </c>
      <c r="V57" s="1844">
        <f ca="1">Indicators_FO!AE245</f>
        <v>0</v>
      </c>
      <c r="W57" s="1844">
        <f ca="1">Indicators_FO!AF245</f>
        <v>0</v>
      </c>
      <c r="X57" s="1844">
        <f ca="1">Indicators_FO!AG245</f>
        <v>0</v>
      </c>
      <c r="Y57" s="1844">
        <f ca="1">Indicators_FO!AH245</f>
        <v>0</v>
      </c>
      <c r="Z57" s="1844">
        <f ca="1">Indicators_FO!AI245</f>
        <v>0</v>
      </c>
      <c r="AA57" s="1844">
        <f ca="1">Indicators_FO!AJ245</f>
        <v>0</v>
      </c>
      <c r="AB57" s="157"/>
    </row>
    <row r="58" spans="4:28">
      <c r="D58" s="155"/>
      <c r="G58" s="63" t="s">
        <v>181</v>
      </c>
      <c r="H58" s="212"/>
      <c r="I58" s="212"/>
      <c r="J58" s="270"/>
      <c r="K58" s="270"/>
      <c r="L58" s="1844">
        <f ca="1">Indicators_FO!U254</f>
        <v>0</v>
      </c>
      <c r="M58" s="1844">
        <f ca="1">Indicators_FO!V254</f>
        <v>0</v>
      </c>
      <c r="N58" s="1844">
        <f ca="1">Indicators_FO!W254</f>
        <v>0</v>
      </c>
      <c r="O58" s="1844">
        <f ca="1">Indicators_FO!X254</f>
        <v>0</v>
      </c>
      <c r="P58" s="1844">
        <f ca="1">Indicators_FO!Y254</f>
        <v>0</v>
      </c>
      <c r="Q58" s="1844">
        <f ca="1">Indicators_FO!Z254</f>
        <v>0</v>
      </c>
      <c r="R58" s="1844">
        <f ca="1">Indicators_FO!AA254</f>
        <v>0</v>
      </c>
      <c r="S58" s="1844">
        <f ca="1">Indicators_FO!AB254</f>
        <v>0</v>
      </c>
      <c r="T58" s="1844">
        <f ca="1">Indicators_FO!AC254</f>
        <v>0</v>
      </c>
      <c r="U58" s="1844">
        <f ca="1">Indicators_FO!AD254</f>
        <v>0</v>
      </c>
      <c r="V58" s="1844">
        <f ca="1">Indicators_FO!AE254</f>
        <v>0</v>
      </c>
      <c r="W58" s="1844">
        <f ca="1">Indicators_FO!AF254</f>
        <v>0</v>
      </c>
      <c r="X58" s="1844">
        <f ca="1">Indicators_FO!AG254</f>
        <v>0</v>
      </c>
      <c r="Y58" s="1844">
        <f ca="1">Indicators_FO!AH254</f>
        <v>0</v>
      </c>
      <c r="Z58" s="1844">
        <f ca="1">Indicators_FO!AI254</f>
        <v>0</v>
      </c>
      <c r="AA58" s="1844">
        <f ca="1">Indicators_FO!AJ254</f>
        <v>0</v>
      </c>
      <c r="AB58" s="157"/>
    </row>
    <row r="59" spans="4:28">
      <c r="D59" s="155"/>
      <c r="G59" s="63" t="s">
        <v>182</v>
      </c>
      <c r="H59" s="212"/>
      <c r="I59" s="212"/>
      <c r="J59" s="270"/>
      <c r="K59" s="270"/>
      <c r="L59" s="1844">
        <f ca="1">Indicators_FO!U263</f>
        <v>0</v>
      </c>
      <c r="M59" s="1844">
        <f ca="1">Indicators_FO!V263</f>
        <v>0</v>
      </c>
      <c r="N59" s="1844">
        <f ca="1">Indicators_FO!W263</f>
        <v>0</v>
      </c>
      <c r="O59" s="1844">
        <f ca="1">Indicators_FO!X263</f>
        <v>0</v>
      </c>
      <c r="P59" s="1844">
        <f ca="1">Indicators_FO!Y263</f>
        <v>0</v>
      </c>
      <c r="Q59" s="1844">
        <f ca="1">Indicators_FO!Z263</f>
        <v>0</v>
      </c>
      <c r="R59" s="1844">
        <f ca="1">Indicators_FO!AA263</f>
        <v>0</v>
      </c>
      <c r="S59" s="1844">
        <f ca="1">Indicators_FO!AB263</f>
        <v>0</v>
      </c>
      <c r="T59" s="1844">
        <f ca="1">Indicators_FO!AC263</f>
        <v>0</v>
      </c>
      <c r="U59" s="1844">
        <f ca="1">Indicators_FO!AD263</f>
        <v>0</v>
      </c>
      <c r="V59" s="1844">
        <f ca="1">Indicators_FO!AE263</f>
        <v>0</v>
      </c>
      <c r="W59" s="1844">
        <f ca="1">Indicators_FO!AF263</f>
        <v>0</v>
      </c>
      <c r="X59" s="1844">
        <f ca="1">Indicators_FO!AG263</f>
        <v>0</v>
      </c>
      <c r="Y59" s="1844">
        <f ca="1">Indicators_FO!AH263</f>
        <v>0</v>
      </c>
      <c r="Z59" s="1844">
        <f ca="1">Indicators_FO!AI263</f>
        <v>0</v>
      </c>
      <c r="AA59" s="1844">
        <f ca="1">Indicators_FO!AJ263</f>
        <v>0</v>
      </c>
      <c r="AB59" s="157"/>
    </row>
    <row r="60" spans="4:28">
      <c r="D60" s="155"/>
      <c r="H60" s="212"/>
      <c r="I60" s="212"/>
      <c r="J60" s="270"/>
      <c r="K60" s="270"/>
      <c r="L60" s="270"/>
      <c r="M60" s="270"/>
      <c r="N60" s="270"/>
      <c r="O60" s="270"/>
      <c r="P60" s="270"/>
      <c r="Q60" s="270"/>
      <c r="R60" s="270"/>
      <c r="S60" s="270"/>
      <c r="T60" s="270"/>
      <c r="U60" s="270"/>
      <c r="V60" s="270"/>
      <c r="W60" s="270"/>
      <c r="X60" s="270"/>
      <c r="Y60" s="270"/>
      <c r="Z60" s="270"/>
      <c r="AA60" s="270"/>
      <c r="AB60" s="157"/>
    </row>
    <row r="61" spans="4:28">
      <c r="D61" s="155"/>
      <c r="F61" s="89" t="s">
        <v>183</v>
      </c>
      <c r="H61" s="212"/>
      <c r="I61" s="212"/>
      <c r="J61" s="270"/>
      <c r="K61" s="270"/>
      <c r="L61" s="270"/>
      <c r="M61" s="270"/>
      <c r="N61" s="270"/>
      <c r="O61" s="270"/>
      <c r="P61" s="270"/>
      <c r="Q61" s="270"/>
      <c r="R61" s="270"/>
      <c r="S61" s="270"/>
      <c r="T61" s="270"/>
      <c r="U61" s="270"/>
      <c r="V61" s="270"/>
      <c r="W61" s="270"/>
      <c r="X61" s="270"/>
      <c r="Y61" s="270"/>
      <c r="Z61" s="270"/>
      <c r="AA61" s="270"/>
      <c r="AB61" s="157"/>
    </row>
    <row r="62" spans="4:28">
      <c r="D62" s="155"/>
      <c r="E62" s="2008">
        <v>1</v>
      </c>
      <c r="F62" s="457" t="s">
        <v>176</v>
      </c>
      <c r="H62" s="212"/>
      <c r="I62" s="212"/>
      <c r="J62" s="270"/>
      <c r="K62" s="270"/>
      <c r="L62" s="270"/>
      <c r="M62" s="270"/>
      <c r="N62" s="270"/>
      <c r="O62" s="270"/>
      <c r="P62" s="270"/>
      <c r="Q62" s="270"/>
      <c r="R62" s="270"/>
      <c r="S62" s="270"/>
      <c r="T62" s="270"/>
      <c r="U62" s="270"/>
      <c r="V62" s="270"/>
      <c r="W62" s="270"/>
      <c r="X62" s="270"/>
      <c r="Y62" s="270"/>
      <c r="Z62" s="270"/>
      <c r="AA62" s="270"/>
      <c r="AB62" s="157"/>
    </row>
    <row r="63" spans="4:28">
      <c r="D63" s="155"/>
      <c r="G63" s="1843" t="s">
        <v>184</v>
      </c>
      <c r="H63" s="63"/>
      <c r="I63" s="212"/>
      <c r="J63" s="270"/>
      <c r="K63" s="270"/>
      <c r="L63" s="1844">
        <f>Indicators_FO!U294</f>
        <v>0</v>
      </c>
      <c r="M63" s="1844">
        <f>Indicators_FO!V294</f>
        <v>0</v>
      </c>
      <c r="N63" s="1844">
        <f>Indicators_FO!W294</f>
        <v>0</v>
      </c>
      <c r="O63" s="1844">
        <f>Indicators_FO!X294</f>
        <v>0</v>
      </c>
      <c r="P63" s="1844">
        <f>Indicators_FO!Y294</f>
        <v>0</v>
      </c>
      <c r="Q63" s="1844">
        <f>Indicators_FO!Z294</f>
        <v>0</v>
      </c>
      <c r="R63" s="1844">
        <f ca="1">Indicators_FO!AA294</f>
        <v>0</v>
      </c>
      <c r="S63" s="1844">
        <f ca="1">Indicators_FO!AB294</f>
        <v>0</v>
      </c>
      <c r="T63" s="1844">
        <f ca="1">Indicators_FO!AC294</f>
        <v>0</v>
      </c>
      <c r="U63" s="1844">
        <f ca="1">Indicators_FO!AD294</f>
        <v>0</v>
      </c>
      <c r="V63" s="1844">
        <f ca="1">Indicators_FO!AE294</f>
        <v>0</v>
      </c>
      <c r="W63" s="1844">
        <f ca="1">Indicators_FO!AF294</f>
        <v>0</v>
      </c>
      <c r="X63" s="1844">
        <f ca="1">Indicators_FO!AG294</f>
        <v>0</v>
      </c>
      <c r="Y63" s="1844">
        <f ca="1">Indicators_FO!AH294</f>
        <v>0</v>
      </c>
      <c r="Z63" s="1844">
        <f ca="1">Indicators_FO!AI294</f>
        <v>0</v>
      </c>
      <c r="AA63" s="1844">
        <f ca="1">Indicators_FO!AJ294</f>
        <v>0</v>
      </c>
      <c r="AB63" s="157"/>
    </row>
    <row r="64" spans="4:28">
      <c r="D64" s="155"/>
      <c r="G64" s="63" t="s">
        <v>185</v>
      </c>
      <c r="H64" s="63"/>
      <c r="I64" s="212"/>
      <c r="J64" s="270"/>
      <c r="K64" s="270"/>
      <c r="L64" s="1844">
        <f>Indicators_FO!U303</f>
        <v>0</v>
      </c>
      <c r="M64" s="1844">
        <f>Indicators_FO!V303</f>
        <v>1</v>
      </c>
      <c r="N64" s="1844">
        <f>Indicators_FO!W303</f>
        <v>1</v>
      </c>
      <c r="O64" s="1844">
        <f>Indicators_FO!X303</f>
        <v>1</v>
      </c>
      <c r="P64" s="1844">
        <f>Indicators_FO!Y303</f>
        <v>1</v>
      </c>
      <c r="Q64" s="1844">
        <f>Indicators_FO!Z303</f>
        <v>1</v>
      </c>
      <c r="R64" s="1844">
        <f ca="1">Indicators_FO!AA303</f>
        <v>1</v>
      </c>
      <c r="S64" s="1844">
        <f ca="1">Indicators_FO!AB303</f>
        <v>1</v>
      </c>
      <c r="T64" s="1844">
        <f ca="1">Indicators_FO!AC303</f>
        <v>1</v>
      </c>
      <c r="U64" s="1844">
        <f ca="1">Indicators_FO!AD303</f>
        <v>1</v>
      </c>
      <c r="V64" s="1844">
        <f ca="1">Indicators_FO!AE303</f>
        <v>1</v>
      </c>
      <c r="W64" s="1844">
        <f ca="1">Indicators_FO!AF303</f>
        <v>1</v>
      </c>
      <c r="X64" s="1844">
        <f ca="1">Indicators_FO!AG303</f>
        <v>1</v>
      </c>
      <c r="Y64" s="1844">
        <f ca="1">Indicators_FO!AH303</f>
        <v>1</v>
      </c>
      <c r="Z64" s="1844">
        <f ca="1">Indicators_FO!AI303</f>
        <v>1</v>
      </c>
      <c r="AA64" s="1844">
        <f ca="1">Indicators_FO!AJ303</f>
        <v>1</v>
      </c>
      <c r="AB64" s="157"/>
    </row>
    <row r="65" spans="4:28">
      <c r="D65" s="155"/>
      <c r="H65" s="212"/>
      <c r="I65" s="212"/>
      <c r="J65" s="270"/>
      <c r="K65" s="270"/>
      <c r="L65" s="270"/>
      <c r="M65" s="270"/>
      <c r="N65" s="270"/>
      <c r="O65" s="270"/>
      <c r="P65" s="270"/>
      <c r="Q65" s="270"/>
      <c r="R65" s="270"/>
      <c r="S65" s="270"/>
      <c r="T65" s="270"/>
      <c r="U65" s="270"/>
      <c r="V65" s="270"/>
      <c r="W65" s="270"/>
      <c r="X65" s="270"/>
      <c r="Y65" s="270"/>
      <c r="Z65" s="270"/>
      <c r="AA65" s="270"/>
      <c r="AB65" s="157"/>
    </row>
    <row r="66" spans="4:28">
      <c r="D66" s="155"/>
      <c r="E66" s="2008">
        <v>2</v>
      </c>
      <c r="F66" s="457" t="s">
        <v>179</v>
      </c>
      <c r="H66" s="212"/>
      <c r="I66" s="212"/>
      <c r="J66" s="270"/>
      <c r="K66" s="270"/>
      <c r="L66" s="270"/>
      <c r="M66" s="270"/>
      <c r="N66" s="270"/>
      <c r="O66" s="270"/>
      <c r="P66" s="270"/>
      <c r="Q66" s="270"/>
      <c r="R66" s="270"/>
      <c r="S66" s="270"/>
      <c r="T66" s="270"/>
      <c r="U66" s="270"/>
      <c r="V66" s="270"/>
      <c r="W66" s="270"/>
      <c r="X66" s="270"/>
      <c r="Y66" s="270"/>
      <c r="Z66" s="270"/>
      <c r="AA66" s="270"/>
      <c r="AB66" s="157"/>
    </row>
    <row r="67" spans="4:28">
      <c r="D67" s="155"/>
      <c r="G67" s="63" t="s">
        <v>182</v>
      </c>
      <c r="H67" s="212"/>
      <c r="I67" s="212"/>
      <c r="J67" s="270"/>
      <c r="K67" s="270"/>
      <c r="L67" s="1844">
        <f>Indicators_FO!U314</f>
        <v>0</v>
      </c>
      <c r="M67" s="1844">
        <f>Indicators_FO!V314</f>
        <v>0</v>
      </c>
      <c r="N67" s="1844">
        <f>Indicators_FO!W314</f>
        <v>0</v>
      </c>
      <c r="O67" s="1844">
        <f>Indicators_FO!X314</f>
        <v>0</v>
      </c>
      <c r="P67" s="1844">
        <f>Indicators_FO!Y314</f>
        <v>0</v>
      </c>
      <c r="Q67" s="1844">
        <f>Indicators_FO!Z314</f>
        <v>0</v>
      </c>
      <c r="R67" s="1844">
        <f ca="1">Indicators_FO!AA314</f>
        <v>0</v>
      </c>
      <c r="S67" s="1844">
        <f ca="1">Indicators_FO!AB314</f>
        <v>0</v>
      </c>
      <c r="T67" s="1844">
        <f ca="1">Indicators_FO!AC314</f>
        <v>0</v>
      </c>
      <c r="U67" s="1844">
        <f ca="1">Indicators_FO!AD314</f>
        <v>0</v>
      </c>
      <c r="V67" s="1844">
        <f ca="1">Indicators_FO!AE314</f>
        <v>0</v>
      </c>
      <c r="W67" s="1844">
        <f ca="1">Indicators_FO!AF314</f>
        <v>0</v>
      </c>
      <c r="X67" s="1844">
        <f ca="1">Indicators_FO!AG314</f>
        <v>0</v>
      </c>
      <c r="Y67" s="1844">
        <f ca="1">Indicators_FO!AH314</f>
        <v>0</v>
      </c>
      <c r="Z67" s="1844">
        <f ca="1">Indicators_FO!AI314</f>
        <v>0</v>
      </c>
      <c r="AA67" s="1844">
        <f ca="1">Indicators_FO!AJ314</f>
        <v>0</v>
      </c>
      <c r="AB67" s="157"/>
    </row>
    <row r="68" spans="4:28" ht="12.75" thickBot="1">
      <c r="D68" s="167"/>
      <c r="E68" s="168"/>
      <c r="F68" s="168"/>
      <c r="G68" s="168"/>
      <c r="H68" s="169"/>
      <c r="I68" s="169"/>
      <c r="J68" s="168"/>
      <c r="K68" s="168"/>
      <c r="L68" s="168"/>
      <c r="M68" s="168"/>
      <c r="N68" s="168"/>
      <c r="O68" s="168"/>
      <c r="P68" s="168"/>
      <c r="Q68" s="168"/>
      <c r="R68" s="168"/>
      <c r="S68" s="168"/>
      <c r="T68" s="168"/>
      <c r="U68" s="168"/>
      <c r="V68" s="168"/>
      <c r="W68" s="168"/>
      <c r="X68" s="168"/>
      <c r="Y68" s="168"/>
      <c r="Z68" s="168"/>
      <c r="AA68" s="168"/>
      <c r="AB68" s="170"/>
    </row>
  </sheetData>
  <mergeCells count="1">
    <mergeCell ref="B3:F3"/>
  </mergeCells>
  <conditionalFormatting sqref="T33:AA33 R33 R30:AA30">
    <cfRule type="containsText" dxfId="218" priority="70" operator="containsText" text="FALSE">
      <formula>NOT(ISERROR(SEARCH("FALSE",R30)))</formula>
    </cfRule>
    <cfRule type="containsText" dxfId="217" priority="71" operator="containsText" text="TRUE">
      <formula>NOT(ISERROR(SEARCH("TRUE",R30)))</formula>
    </cfRule>
  </conditionalFormatting>
  <conditionalFormatting sqref="Q16">
    <cfRule type="containsText" dxfId="216" priority="68" operator="containsText" text="FALSE">
      <formula>NOT(ISERROR(SEARCH("FALSE",Q16)))</formula>
    </cfRule>
    <cfRule type="containsText" dxfId="215" priority="69" operator="containsText" text="TRUE">
      <formula>NOT(ISERROR(SEARCH("TRUE",Q16)))</formula>
    </cfRule>
  </conditionalFormatting>
  <conditionalFormatting sqref="Q19">
    <cfRule type="containsText" dxfId="214" priority="66" operator="containsText" text="FALSE">
      <formula>NOT(ISERROR(SEARCH("FALSE",Q19)))</formula>
    </cfRule>
    <cfRule type="containsText" dxfId="213" priority="67" operator="containsText" text="TRUE">
      <formula>NOT(ISERROR(SEARCH("TRUE",Q19)))</formula>
    </cfRule>
  </conditionalFormatting>
  <conditionalFormatting sqref="T40:AA40 R40">
    <cfRule type="containsText" dxfId="212" priority="56" operator="containsText" text="FALSE">
      <formula>NOT(ISERROR(SEARCH("FALSE",R40)))</formula>
    </cfRule>
    <cfRule type="containsText" dxfId="211" priority="57" operator="containsText" text="TRUE">
      <formula>NOT(ISERROR(SEARCH("TRUE",R40)))</formula>
    </cfRule>
  </conditionalFormatting>
  <conditionalFormatting sqref="I9">
    <cfRule type="containsText" dxfId="210" priority="42" operator="containsText" text="YES">
      <formula>NOT(ISERROR(SEARCH("YES",I9)))</formula>
    </cfRule>
    <cfRule type="containsText" dxfId="209" priority="43" operator="containsText" text="NO">
      <formula>NOT(ISERROR(SEARCH("NO",I9)))</formula>
    </cfRule>
  </conditionalFormatting>
  <conditionalFormatting sqref="R27:AA27">
    <cfRule type="containsText" dxfId="208" priority="35" operator="containsText" text="FALSE">
      <formula>NOT(ISERROR(SEARCH("FALSE",R27)))</formula>
    </cfRule>
  </conditionalFormatting>
  <conditionalFormatting sqref="R27:AA27">
    <cfRule type="cellIs" dxfId="207" priority="34" operator="equal">
      <formula>0</formula>
    </cfRule>
  </conditionalFormatting>
  <conditionalFormatting sqref="L21:AA21">
    <cfRule type="containsText" dxfId="206" priority="33" operator="containsText" text="FALSE">
      <formula>NOT(ISERROR(SEARCH("FALSE",L21)))</formula>
    </cfRule>
  </conditionalFormatting>
  <conditionalFormatting sqref="L21:AA21">
    <cfRule type="cellIs" dxfId="205" priority="32" operator="equal">
      <formula>0</formula>
    </cfRule>
  </conditionalFormatting>
  <conditionalFormatting sqref="R24:AA24">
    <cfRule type="containsText" dxfId="204" priority="31" operator="containsText" text="FALSE">
      <formula>NOT(ISERROR(SEARCH("FALSE",R24)))</formula>
    </cfRule>
  </conditionalFormatting>
  <conditionalFormatting sqref="R24:AA24">
    <cfRule type="cellIs" dxfId="203" priority="30" operator="equal">
      <formula>0</formula>
    </cfRule>
  </conditionalFormatting>
  <conditionalFormatting sqref="R19:AA19">
    <cfRule type="containsText" dxfId="202" priority="29" operator="containsText" text="FALSE">
      <formula>NOT(ISERROR(SEARCH("FALSE",R19)))</formula>
    </cfRule>
  </conditionalFormatting>
  <conditionalFormatting sqref="R19:AA19">
    <cfRule type="cellIs" dxfId="201" priority="28" operator="equal">
      <formula>0</formula>
    </cfRule>
  </conditionalFormatting>
  <conditionalFormatting sqref="R16:AA16">
    <cfRule type="containsText" dxfId="200" priority="27" operator="containsText" text="FALSE">
      <formula>NOT(ISERROR(SEARCH("FALSE",R16)))</formula>
    </cfRule>
  </conditionalFormatting>
  <conditionalFormatting sqref="R16:AA16">
    <cfRule type="cellIs" dxfId="199" priority="26" operator="equal">
      <formula>0</formula>
    </cfRule>
  </conditionalFormatting>
  <conditionalFormatting sqref="L37:AA37">
    <cfRule type="containsText" dxfId="198" priority="25" operator="containsText" text="FALSE">
      <formula>NOT(ISERROR(SEARCH("FALSE",L37)))</formula>
    </cfRule>
  </conditionalFormatting>
  <conditionalFormatting sqref="L37:AA37">
    <cfRule type="cellIs" dxfId="197" priority="24" operator="equal">
      <formula>0</formula>
    </cfRule>
  </conditionalFormatting>
  <conditionalFormatting sqref="Q33">
    <cfRule type="containsText" dxfId="196" priority="23" operator="containsText" text="FALSE">
      <formula>NOT(ISERROR(SEARCH("FALSE",Q33)))</formula>
    </cfRule>
  </conditionalFormatting>
  <conditionalFormatting sqref="Q33">
    <cfRule type="cellIs" dxfId="195" priority="22" operator="equal">
      <formula>0</formula>
    </cfRule>
  </conditionalFormatting>
  <conditionalFormatting sqref="Q35">
    <cfRule type="containsText" dxfId="194" priority="21" operator="containsText" text="FALSE">
      <formula>NOT(ISERROR(SEARCH("FALSE",Q35)))</formula>
    </cfRule>
  </conditionalFormatting>
  <conditionalFormatting sqref="Q35">
    <cfRule type="cellIs" dxfId="193" priority="20" operator="equal">
      <formula>0</formula>
    </cfRule>
  </conditionalFormatting>
  <conditionalFormatting sqref="Q13">
    <cfRule type="containsText" dxfId="192" priority="19" operator="containsText" text="FALSE">
      <formula>NOT(ISERROR(SEARCH("FALSE",Q13)))</formula>
    </cfRule>
  </conditionalFormatting>
  <conditionalFormatting sqref="Q13">
    <cfRule type="cellIs" dxfId="191" priority="18" operator="equal">
      <formula>0</formula>
    </cfRule>
  </conditionalFormatting>
  <conditionalFormatting sqref="Q30">
    <cfRule type="containsText" dxfId="190" priority="17" operator="containsText" text="FALSE">
      <formula>NOT(ISERROR(SEARCH("FALSE",Q30)))</formula>
    </cfRule>
  </conditionalFormatting>
  <conditionalFormatting sqref="Q30">
    <cfRule type="cellIs" dxfId="189" priority="16" operator="equal">
      <formula>0</formula>
    </cfRule>
  </conditionalFormatting>
  <conditionalFormatting sqref="Q40">
    <cfRule type="containsText" dxfId="188" priority="15" operator="containsText" text="FALSE">
      <formula>NOT(ISERROR(SEARCH("FALSE",Q40)))</formula>
    </cfRule>
  </conditionalFormatting>
  <conditionalFormatting sqref="Q40">
    <cfRule type="cellIs" dxfId="187" priority="14" operator="equal">
      <formula>0</formula>
    </cfRule>
  </conditionalFormatting>
  <conditionalFormatting sqref="Q42">
    <cfRule type="containsText" dxfId="186" priority="13" operator="containsText" text="FALSE">
      <formula>NOT(ISERROR(SEARCH("FALSE",Q42)))</formula>
    </cfRule>
  </conditionalFormatting>
  <conditionalFormatting sqref="Q42">
    <cfRule type="cellIs" dxfId="185" priority="12" operator="equal">
      <formula>0</formula>
    </cfRule>
  </conditionalFormatting>
  <conditionalFormatting sqref="L44:AA44">
    <cfRule type="containsText" dxfId="184" priority="11" operator="containsText" text="FALSE">
      <formula>NOT(ISERROR(SEARCH("FALSE",L44)))</formula>
    </cfRule>
  </conditionalFormatting>
  <conditionalFormatting sqref="L44:AA44">
    <cfRule type="cellIs" dxfId="183" priority="10" operator="equal">
      <formula>0</formula>
    </cfRule>
  </conditionalFormatting>
  <conditionalFormatting sqref="L47:AA47">
    <cfRule type="containsText" dxfId="182" priority="9" operator="containsText" text="FALSE">
      <formula>NOT(ISERROR(SEARCH("FALSE",L47)))</formula>
    </cfRule>
  </conditionalFormatting>
  <conditionalFormatting sqref="L47:AA47">
    <cfRule type="cellIs" dxfId="181" priority="8" operator="equal">
      <formula>0</formula>
    </cfRule>
  </conditionalFormatting>
  <conditionalFormatting sqref="L53:AA53">
    <cfRule type="cellIs" dxfId="180" priority="5" operator="equal">
      <formula>0</formula>
    </cfRule>
  </conditionalFormatting>
  <conditionalFormatting sqref="L57:AA57">
    <cfRule type="cellIs" dxfId="179" priority="4" operator="equal">
      <formula>0</formula>
    </cfRule>
  </conditionalFormatting>
  <conditionalFormatting sqref="L58:AA58">
    <cfRule type="cellIs" dxfId="178" priority="3" operator="equal">
      <formula>0</formula>
    </cfRule>
  </conditionalFormatting>
  <conditionalFormatting sqref="L59:AA59 L63:AA64 L67:AA67">
    <cfRule type="cellIs" dxfId="177" priority="2" operator="equal">
      <formula>0</formula>
    </cfRule>
  </conditionalFormatting>
  <conditionalFormatting sqref="L54:AA54">
    <cfRule type="cellIs" dxfId="176" priority="1" operator="equal">
      <formula>0</formula>
    </cfRule>
  </conditionalFormatting>
  <hyperlinks>
    <hyperlink ref="B3" location="HL_Home" tooltip="Go to Table of Contents" display="HL_Home" xr:uid="{00000000-0004-0000-0100-000000000000}"/>
  </hyperlinks>
  <pageMargins left="0.7" right="0.7" top="0.75" bottom="0.75" header="0.3" footer="0.3"/>
  <pageSetup paperSize="9" orientation="portrait" r:id="rId1"/>
  <headerFooter>
    <oddHeader>&amp;C&amp;"Calibri"&amp;14&amp;KFF0000 OFFICIAL&amp;1#_x000D_&amp;"Arial"&amp;8&amp;K000000&amp;"Arial"&amp;8&amp;K000000&amp;B&amp;"Arial"&amp;12&amp;Kff0000​‌OFFICIAL‌​</oddHeader>
  </headerFooter>
  <ignoredErrors>
    <ignoredError sqref="E12:E19 E21:E33 E35 E37:E40 E42 E44:E47" numberStoredAsText="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4">
    <pageSetUpPr autoPageBreaks="0"/>
  </sheetPr>
  <dimension ref="A1:AU85"/>
  <sheetViews>
    <sheetView showGridLines="0" topLeftCell="N1" zoomScaleNormal="100" workbookViewId="0">
      <pane ySplit="7" topLeftCell="A8" activePane="bottomLeft" state="frozen"/>
      <selection activeCell="L16" sqref="L16"/>
      <selection pane="bottomLeft" activeCell="AD23" sqref="AD23"/>
    </sheetView>
  </sheetViews>
  <sheetFormatPr defaultColWidth="10.83203125" defaultRowHeight="12" outlineLevelCol="1"/>
  <cols>
    <col min="1" max="3" width="2.5" style="63" customWidth="1"/>
    <col min="4" max="5" width="3.83203125" style="63" customWidth="1" outlineLevel="1"/>
    <col min="6" max="6" width="17.33203125" style="63" customWidth="1" outlineLevel="1"/>
    <col min="7" max="8" width="10.33203125" style="63" customWidth="1" outlineLevel="1"/>
    <col min="9" max="9" width="9" style="63" customWidth="1" outlineLevel="1"/>
    <col min="10" max="10" width="7.83203125" style="63" customWidth="1" outlineLevel="1"/>
    <col min="11" max="11" width="9.33203125" style="63" customWidth="1" outlineLevel="1"/>
    <col min="12" max="16" width="10.33203125" style="63" customWidth="1" outlineLevel="1"/>
    <col min="17" max="17" width="10.1640625" style="63" customWidth="1" outlineLevel="1"/>
    <col min="18" max="18" width="9" style="63" customWidth="1" outlineLevel="1"/>
    <col min="19" max="19" width="7.83203125" style="63" bestFit="1" customWidth="1"/>
    <col min="20" max="20" width="12.5" style="63" customWidth="1"/>
    <col min="21" max="21" width="7.83203125" style="63" bestFit="1" customWidth="1"/>
    <col min="22" max="27" width="12.5" style="63" bestFit="1" customWidth="1"/>
    <col min="28" max="28" width="12.5" style="63" customWidth="1"/>
    <col min="29" max="31" width="12.5" style="63" bestFit="1" customWidth="1"/>
    <col min="32" max="32" width="12.83203125" style="63" customWidth="1"/>
    <col min="33" max="33" width="9.83203125" style="63" bestFit="1" customWidth="1"/>
    <col min="34" max="34" width="12.83203125" style="63" customWidth="1"/>
    <col min="35" max="36" width="10.83203125" style="63" customWidth="1"/>
    <col min="37" max="37" width="11.6640625" style="63" customWidth="1"/>
    <col min="38" max="38" width="11.1640625" style="63" customWidth="1"/>
    <col min="39" max="39" width="11.33203125" style="63" customWidth="1"/>
    <col min="40" max="41" width="10.6640625" style="63" customWidth="1"/>
    <col min="42" max="16384" width="10.83203125" style="63"/>
  </cols>
  <sheetData>
    <row r="1" spans="1:42" ht="15">
      <c r="A1" s="139">
        <v>80</v>
      </c>
      <c r="B1" s="140" t="s">
        <v>186</v>
      </c>
      <c r="R1" s="141"/>
    </row>
    <row r="2" spans="1:42" ht="12.75">
      <c r="B2" s="142" t="str">
        <f>+Contents!H7</f>
        <v>Melbourne Water</v>
      </c>
      <c r="N2" s="143"/>
      <c r="O2" s="143"/>
      <c r="P2" s="143"/>
      <c r="Q2" s="143"/>
      <c r="R2" s="144"/>
      <c r="S2" s="145"/>
    </row>
    <row r="3" spans="1:42">
      <c r="B3" s="2075" t="s">
        <v>138</v>
      </c>
      <c r="C3" s="2075"/>
      <c r="D3" s="2075"/>
      <c r="E3" s="2075"/>
      <c r="F3" s="2075"/>
      <c r="G3" s="146"/>
      <c r="H3" s="146"/>
    </row>
    <row r="4" spans="1:42">
      <c r="A4" s="147"/>
      <c r="B4" s="65"/>
      <c r="C4" s="66"/>
      <c r="F4" s="57"/>
      <c r="K4" s="1208"/>
      <c r="L4" s="1209" t="s">
        <v>187</v>
      </c>
      <c r="M4" s="1210"/>
      <c r="N4" s="1208"/>
      <c r="O4" s="1211"/>
      <c r="P4" s="1209" t="s">
        <v>188</v>
      </c>
      <c r="Q4" s="1211"/>
      <c r="R4" s="1210"/>
      <c r="S4" s="1574" t="s">
        <v>189</v>
      </c>
      <c r="T4" s="1211"/>
      <c r="U4" s="1211"/>
      <c r="V4" s="1208"/>
      <c r="W4" s="1557"/>
      <c r="X4" s="1557"/>
      <c r="Y4" s="1557" t="s">
        <v>190</v>
      </c>
      <c r="Z4" s="1211"/>
      <c r="AA4" s="1208"/>
      <c r="AB4" s="1211"/>
      <c r="AC4" s="1209" t="s">
        <v>139</v>
      </c>
      <c r="AD4" s="1209"/>
      <c r="AE4" s="1210"/>
      <c r="AF4" s="1211"/>
      <c r="AG4" s="1211"/>
      <c r="AH4" s="1209" t="s">
        <v>140</v>
      </c>
      <c r="AI4" s="1211"/>
      <c r="AJ4" s="1210"/>
      <c r="AK4" s="723"/>
      <c r="AL4" s="724"/>
      <c r="AM4" s="1209" t="s">
        <v>141</v>
      </c>
      <c r="AN4" s="724"/>
      <c r="AO4" s="1608"/>
    </row>
    <row r="6" spans="1:42" s="1683" customFormat="1">
      <c r="B6" s="2006"/>
      <c r="F6" s="1683" t="s">
        <v>142</v>
      </c>
      <c r="K6" s="2007">
        <v>2006</v>
      </c>
      <c r="L6" s="2007">
        <v>2007</v>
      </c>
      <c r="M6" s="2007">
        <v>2008</v>
      </c>
      <c r="N6" s="2007">
        <v>2009</v>
      </c>
      <c r="O6" s="2007">
        <v>2010</v>
      </c>
      <c r="P6" s="2007">
        <v>2011</v>
      </c>
      <c r="Q6" s="2007">
        <v>2012</v>
      </c>
      <c r="R6" s="2007">
        <v>2013</v>
      </c>
      <c r="S6" s="2007">
        <v>2014</v>
      </c>
      <c r="T6" s="2007">
        <v>2015</v>
      </c>
      <c r="U6" s="2007">
        <v>2016</v>
      </c>
      <c r="V6" s="2007">
        <v>2017</v>
      </c>
      <c r="W6" s="2007">
        <v>2018</v>
      </c>
      <c r="X6" s="2007">
        <v>2019</v>
      </c>
      <c r="Y6" s="2007">
        <v>2020</v>
      </c>
      <c r="Z6" s="2007">
        <v>2021</v>
      </c>
      <c r="AA6" s="2007">
        <v>2022</v>
      </c>
      <c r="AB6" s="2007">
        <v>2023</v>
      </c>
      <c r="AC6" s="2007">
        <v>2024</v>
      </c>
      <c r="AD6" s="2007">
        <v>2025</v>
      </c>
      <c r="AE6" s="2007">
        <v>2026</v>
      </c>
      <c r="AF6" s="2007">
        <v>2027</v>
      </c>
      <c r="AG6" s="2007">
        <v>2028</v>
      </c>
      <c r="AH6" s="2007">
        <v>2029</v>
      </c>
      <c r="AI6" s="2007">
        <v>2030</v>
      </c>
      <c r="AJ6" s="2007">
        <v>2031</v>
      </c>
      <c r="AK6" s="2007">
        <v>2032</v>
      </c>
      <c r="AL6" s="2007">
        <v>2033</v>
      </c>
      <c r="AM6" s="2007">
        <v>2034</v>
      </c>
      <c r="AN6" s="2007">
        <v>2035</v>
      </c>
      <c r="AO6" s="2007">
        <v>2036</v>
      </c>
    </row>
    <row r="7" spans="1:42">
      <c r="A7" s="68"/>
      <c r="B7" s="150"/>
      <c r="C7" s="68"/>
      <c r="D7" s="68"/>
      <c r="E7" s="68"/>
      <c r="F7" s="151" t="s">
        <v>143</v>
      </c>
      <c r="G7" s="68"/>
      <c r="H7" s="68"/>
      <c r="I7" s="61" t="s">
        <v>191</v>
      </c>
      <c r="J7" s="61" t="s">
        <v>192</v>
      </c>
      <c r="K7" s="61" t="str">
        <f t="shared" ref="K7:AO7" si="0">+CONCATENATE(K6-1,"-",RIGHT(K6,2))</f>
        <v>2005-06</v>
      </c>
      <c r="L7" s="61" t="str">
        <f t="shared" si="0"/>
        <v>2006-07</v>
      </c>
      <c r="M7" s="61" t="str">
        <f t="shared" si="0"/>
        <v>2007-08</v>
      </c>
      <c r="N7" s="61" t="str">
        <f t="shared" si="0"/>
        <v>2008-09</v>
      </c>
      <c r="O7" s="61" t="str">
        <f t="shared" si="0"/>
        <v>2009-10</v>
      </c>
      <c r="P7" s="61" t="str">
        <f t="shared" si="0"/>
        <v>2010-11</v>
      </c>
      <c r="Q7" s="61" t="str">
        <f t="shared" si="0"/>
        <v>2011-12</v>
      </c>
      <c r="R7" s="61" t="str">
        <f t="shared" si="0"/>
        <v>2012-13</v>
      </c>
      <c r="S7" s="61" t="str">
        <f t="shared" si="0"/>
        <v>2013-14</v>
      </c>
      <c r="T7" s="1556" t="str">
        <f t="shared" si="0"/>
        <v>2014-15</v>
      </c>
      <c r="U7" s="61" t="str">
        <f t="shared" si="0"/>
        <v>2015-16</v>
      </c>
      <c r="V7" s="61" t="str">
        <f t="shared" si="0"/>
        <v>2016-17</v>
      </c>
      <c r="W7" s="61" t="str">
        <f t="shared" si="0"/>
        <v>2017-18</v>
      </c>
      <c r="X7" s="61" t="str">
        <f t="shared" si="0"/>
        <v>2018-19</v>
      </c>
      <c r="Y7" s="61" t="str">
        <f t="shared" si="0"/>
        <v>2019-20</v>
      </c>
      <c r="Z7" s="61" t="str">
        <f t="shared" si="0"/>
        <v>2020-21</v>
      </c>
      <c r="AA7" s="61" t="str">
        <f t="shared" si="0"/>
        <v>2021-22</v>
      </c>
      <c r="AB7" s="61" t="str">
        <f t="shared" si="0"/>
        <v>2022-23</v>
      </c>
      <c r="AC7" s="61" t="str">
        <f t="shared" si="0"/>
        <v>2023-24</v>
      </c>
      <c r="AD7" s="61" t="str">
        <f t="shared" si="0"/>
        <v>2024-25</v>
      </c>
      <c r="AE7" s="61" t="str">
        <f t="shared" si="0"/>
        <v>2025-26</v>
      </c>
      <c r="AF7" s="61" t="str">
        <f t="shared" si="0"/>
        <v>2026-27</v>
      </c>
      <c r="AG7" s="61" t="str">
        <f t="shared" si="0"/>
        <v>2027-28</v>
      </c>
      <c r="AH7" s="61" t="str">
        <f t="shared" si="0"/>
        <v>2028-29</v>
      </c>
      <c r="AI7" s="61" t="str">
        <f t="shared" si="0"/>
        <v>2029-30</v>
      </c>
      <c r="AJ7" s="61" t="str">
        <f t="shared" si="0"/>
        <v>2030-31</v>
      </c>
      <c r="AK7" s="61" t="str">
        <f t="shared" si="0"/>
        <v>2031-32</v>
      </c>
      <c r="AL7" s="61" t="str">
        <f t="shared" si="0"/>
        <v>2032-33</v>
      </c>
      <c r="AM7" s="61" t="str">
        <f t="shared" si="0"/>
        <v>2033-34</v>
      </c>
      <c r="AN7" s="61" t="str">
        <f t="shared" si="0"/>
        <v>2034-35</v>
      </c>
      <c r="AO7" s="61" t="str">
        <f t="shared" si="0"/>
        <v>2035-36</v>
      </c>
    </row>
    <row r="9" spans="1:42" ht="12.75" thickBot="1"/>
    <row r="10" spans="1:42">
      <c r="D10" s="152"/>
      <c r="E10" s="153"/>
      <c r="F10" s="153"/>
      <c r="G10" s="153"/>
      <c r="H10" s="153"/>
      <c r="I10" s="153"/>
      <c r="J10" s="153"/>
      <c r="K10" s="153"/>
      <c r="L10" s="153"/>
      <c r="M10" s="153"/>
      <c r="N10" s="153"/>
      <c r="O10" s="153"/>
      <c r="P10" s="153"/>
      <c r="Q10" s="153"/>
      <c r="R10" s="153"/>
      <c r="S10" s="153"/>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c r="AP10" s="154"/>
    </row>
    <row r="11" spans="1:42">
      <c r="D11" s="155"/>
      <c r="E11" s="156" t="s">
        <v>193</v>
      </c>
      <c r="AE11" s="1419"/>
      <c r="AP11" s="157"/>
    </row>
    <row r="12" spans="1:42" ht="12.75">
      <c r="D12" s="155"/>
      <c r="AE12" s="1865" t="s">
        <v>194</v>
      </c>
      <c r="AP12" s="157"/>
    </row>
    <row r="13" spans="1:42">
      <c r="D13" s="155"/>
      <c r="F13" s="63" t="s">
        <v>148</v>
      </c>
      <c r="I13" s="158">
        <v>141.30000000000001</v>
      </c>
      <c r="J13" s="159">
        <v>144.1</v>
      </c>
      <c r="K13" s="159">
        <v>147.5</v>
      </c>
      <c r="L13" s="159">
        <v>151.9</v>
      </c>
      <c r="M13" s="159">
        <v>155.6</v>
      </c>
      <c r="N13" s="159">
        <v>162.19999999999999</v>
      </c>
      <c r="O13" s="159">
        <v>166.2</v>
      </c>
      <c r="P13" s="159">
        <v>171</v>
      </c>
      <c r="Q13" s="159">
        <v>176.7</v>
      </c>
      <c r="R13" s="160">
        <v>99.9</v>
      </c>
      <c r="S13" s="161">
        <v>102.4</v>
      </c>
      <c r="T13" s="161">
        <v>105.4</v>
      </c>
      <c r="U13" s="161">
        <v>106.8</v>
      </c>
      <c r="V13" s="161">
        <v>108.2</v>
      </c>
      <c r="W13" s="161">
        <v>110.5</v>
      </c>
      <c r="X13" s="161">
        <v>112.6</v>
      </c>
      <c r="Y13" s="161">
        <v>114.1</v>
      </c>
      <c r="Z13" s="161">
        <v>116.6</v>
      </c>
      <c r="AA13" s="161">
        <v>117.9</v>
      </c>
      <c r="AB13" s="161">
        <v>123.9</v>
      </c>
      <c r="AC13" s="161">
        <v>132.6</v>
      </c>
      <c r="AD13" s="161">
        <v>137.4</v>
      </c>
      <c r="AE13" s="1558">
        <v>140.69999999999999</v>
      </c>
      <c r="AP13" s="157"/>
    </row>
    <row r="14" spans="1:42">
      <c r="D14" s="155"/>
      <c r="F14" s="63" t="s">
        <v>195</v>
      </c>
      <c r="I14" s="162"/>
      <c r="J14" s="162">
        <f>+J13/I13-1</f>
        <v>1.9815994338287179E-2</v>
      </c>
      <c r="K14" s="162">
        <v>2.3594725884802159E-2</v>
      </c>
      <c r="L14" s="162">
        <v>2.9830508474576245E-2</v>
      </c>
      <c r="M14" s="162">
        <v>2.4358130348913765E-2</v>
      </c>
      <c r="N14" s="162">
        <v>4.2416452442159303E-2</v>
      </c>
      <c r="O14" s="162">
        <v>2.4660912453760897E-2</v>
      </c>
      <c r="P14" s="162">
        <v>2.8880866425992746E-2</v>
      </c>
      <c r="Q14" s="162">
        <v>3.3333333333333215E-2</v>
      </c>
      <c r="R14" s="163">
        <v>1.5846066779853007E-2</v>
      </c>
      <c r="S14" s="164">
        <f t="shared" ref="S14:AA14" si="1">+IF(S13=0,$AF$44,S13/R13-1)</f>
        <v>2.5025025025025016E-2</v>
      </c>
      <c r="T14" s="164">
        <f t="shared" si="1"/>
        <v>2.9296875E-2</v>
      </c>
      <c r="U14" s="1078">
        <f t="shared" si="1"/>
        <v>1.3282732447817747E-2</v>
      </c>
      <c r="V14" s="1078">
        <f t="shared" si="1"/>
        <v>1.3108614232209881E-2</v>
      </c>
      <c r="W14" s="1078">
        <f t="shared" si="1"/>
        <v>2.1256931608133023E-2</v>
      </c>
      <c r="X14" s="1078">
        <f t="shared" si="1"/>
        <v>1.9004524886877761E-2</v>
      </c>
      <c r="Y14" s="1078">
        <f t="shared" si="1"/>
        <v>1.3321492007104752E-2</v>
      </c>
      <c r="Z14" s="1078">
        <f t="shared" si="1"/>
        <v>2.1910604732690686E-2</v>
      </c>
      <c r="AA14" s="1078">
        <f t="shared" si="1"/>
        <v>1.1149228130360234E-2</v>
      </c>
      <c r="AB14" s="1078">
        <f t="shared" ref="AB14:AO14" si="2">+IF(AB13=0,$AF$44,AB13/AA13-1)</f>
        <v>5.0890585241730291E-2</v>
      </c>
      <c r="AC14" s="1078">
        <f t="shared" si="2"/>
        <v>7.0217917675544639E-2</v>
      </c>
      <c r="AD14" s="1078">
        <f t="shared" si="2"/>
        <v>3.6199095022624528E-2</v>
      </c>
      <c r="AE14" s="1078">
        <f t="shared" si="2"/>
        <v>2.4017467248908186E-2</v>
      </c>
      <c r="AF14" s="1078">
        <f t="shared" si="2"/>
        <v>2.9000000000000001E-2</v>
      </c>
      <c r="AG14" s="1078">
        <f t="shared" si="2"/>
        <v>2.9000000000000001E-2</v>
      </c>
      <c r="AH14" s="1078">
        <f t="shared" si="2"/>
        <v>2.9000000000000001E-2</v>
      </c>
      <c r="AI14" s="1078">
        <f t="shared" si="2"/>
        <v>2.9000000000000001E-2</v>
      </c>
      <c r="AJ14" s="1078">
        <f t="shared" si="2"/>
        <v>2.9000000000000001E-2</v>
      </c>
      <c r="AK14" s="1078">
        <f t="shared" si="2"/>
        <v>2.9000000000000001E-2</v>
      </c>
      <c r="AL14" s="1078">
        <f t="shared" si="2"/>
        <v>2.9000000000000001E-2</v>
      </c>
      <c r="AM14" s="1078">
        <f t="shared" si="2"/>
        <v>2.9000000000000001E-2</v>
      </c>
      <c r="AN14" s="1078">
        <f t="shared" si="2"/>
        <v>2.9000000000000001E-2</v>
      </c>
      <c r="AO14" s="1078">
        <f t="shared" si="2"/>
        <v>2.9000000000000001E-2</v>
      </c>
      <c r="AP14" s="157"/>
    </row>
    <row r="15" spans="1:42">
      <c r="D15" s="155"/>
      <c r="F15" s="63" t="s">
        <v>196</v>
      </c>
      <c r="I15" s="165">
        <v>0.78718662952646246</v>
      </c>
      <c r="J15" s="165">
        <v>0.80278551532033426</v>
      </c>
      <c r="K15" s="165">
        <v>0.82172701949860727</v>
      </c>
      <c r="L15" s="165">
        <v>0.84623955431754883</v>
      </c>
      <c r="M15" s="165">
        <v>0.86685236768802221</v>
      </c>
      <c r="N15" s="165">
        <v>0.90362116991643449</v>
      </c>
      <c r="O15" s="165">
        <v>0.92590529247910858</v>
      </c>
      <c r="P15" s="165">
        <v>0.9526462395543176</v>
      </c>
      <c r="Q15" s="165">
        <v>0.98440111420612808</v>
      </c>
      <c r="R15" s="1079">
        <f t="shared" ref="R15:AE15" si="3">+R13/$AE$13</f>
        <v>0.7100213219616206</v>
      </c>
      <c r="S15" s="1079">
        <f t="shared" si="3"/>
        <v>0.72778962331201147</v>
      </c>
      <c r="T15" s="1079">
        <f t="shared" si="3"/>
        <v>0.74911158493248053</v>
      </c>
      <c r="U15" s="1079">
        <f t="shared" si="3"/>
        <v>0.75906183368869939</v>
      </c>
      <c r="V15" s="1079">
        <f t="shared" si="3"/>
        <v>0.76901208244491837</v>
      </c>
      <c r="W15" s="1079">
        <f t="shared" si="3"/>
        <v>0.785358919687278</v>
      </c>
      <c r="X15" s="1079">
        <f t="shared" si="3"/>
        <v>0.80028429282160629</v>
      </c>
      <c r="Y15" s="1079">
        <f t="shared" si="3"/>
        <v>0.81094527363184077</v>
      </c>
      <c r="Z15" s="1836">
        <f t="shared" si="3"/>
        <v>0.82871357498223175</v>
      </c>
      <c r="AA15" s="1079">
        <f t="shared" si="3"/>
        <v>0.8379530916844351</v>
      </c>
      <c r="AB15" s="1079">
        <f t="shared" si="3"/>
        <v>0.88059701492537323</v>
      </c>
      <c r="AC15" s="1079">
        <f t="shared" si="3"/>
        <v>0.94243070362473347</v>
      </c>
      <c r="AD15" s="1079">
        <f t="shared" si="3"/>
        <v>0.97654584221748408</v>
      </c>
      <c r="AE15" s="1079">
        <f t="shared" si="3"/>
        <v>1</v>
      </c>
      <c r="AF15" s="1079">
        <f t="shared" ref="AF15:AK15" si="4">+AE15*(1+AF14)</f>
        <v>1.0289999999999999</v>
      </c>
      <c r="AG15" s="1079">
        <f t="shared" si="4"/>
        <v>1.0588409999999999</v>
      </c>
      <c r="AH15" s="1079">
        <f t="shared" si="4"/>
        <v>1.0895473889999998</v>
      </c>
      <c r="AI15" s="1079">
        <f t="shared" si="4"/>
        <v>1.1211442632809998</v>
      </c>
      <c r="AJ15" s="1079">
        <f t="shared" si="4"/>
        <v>1.1536574469161487</v>
      </c>
      <c r="AK15" s="1079">
        <f t="shared" si="4"/>
        <v>1.187113512876717</v>
      </c>
      <c r="AL15" s="1079">
        <f>+AK15*(1+AL14)</f>
        <v>1.2215398047501416</v>
      </c>
      <c r="AM15" s="1079">
        <f>+AL15*(1+AM14)</f>
        <v>1.2569644590878957</v>
      </c>
      <c r="AN15" s="1079">
        <f>+AM15*(1+AN14)</f>
        <v>1.2934164284014444</v>
      </c>
      <c r="AO15" s="1079">
        <f>+AN15*(1+AO14)</f>
        <v>1.3309255048250863</v>
      </c>
      <c r="AP15" s="157"/>
    </row>
    <row r="16" spans="1:42">
      <c r="D16" s="155"/>
      <c r="I16" s="63" t="s">
        <v>197</v>
      </c>
      <c r="K16" s="166"/>
      <c r="L16" s="166"/>
      <c r="M16" s="166"/>
      <c r="N16" s="166"/>
      <c r="O16" s="166"/>
      <c r="P16" s="166"/>
      <c r="Q16" s="166"/>
      <c r="R16" s="166"/>
      <c r="S16" s="166"/>
      <c r="T16" s="166"/>
      <c r="U16" s="166"/>
      <c r="V16" s="166"/>
      <c r="W16" s="166"/>
      <c r="X16" s="166"/>
      <c r="Y16" s="166"/>
      <c r="Z16" s="166"/>
      <c r="AA16" s="166"/>
      <c r="AB16" s="166"/>
      <c r="AC16" s="166"/>
      <c r="AD16" s="166"/>
      <c r="AE16" s="166"/>
      <c r="AF16" s="166"/>
      <c r="AG16" s="1080"/>
      <c r="AP16" s="157"/>
    </row>
    <row r="17" spans="4:47" ht="12.75" thickBot="1">
      <c r="D17" s="167"/>
      <c r="E17" s="168"/>
      <c r="F17" s="168"/>
      <c r="G17" s="168"/>
      <c r="H17" s="168"/>
      <c r="I17" s="168"/>
      <c r="J17" s="168"/>
      <c r="K17" s="168"/>
      <c r="L17" s="169"/>
      <c r="M17" s="169"/>
      <c r="N17" s="169"/>
      <c r="O17" s="169"/>
      <c r="P17" s="169"/>
      <c r="Q17" s="169"/>
      <c r="R17" s="169"/>
      <c r="S17" s="169"/>
      <c r="T17" s="169"/>
      <c r="U17" s="169"/>
      <c r="V17" s="169"/>
      <c r="W17" s="169"/>
      <c r="X17" s="169"/>
      <c r="Y17" s="169"/>
      <c r="Z17" s="169"/>
      <c r="AA17" s="169"/>
      <c r="AB17" s="169"/>
      <c r="AC17" s="169"/>
      <c r="AD17" s="169"/>
      <c r="AE17" s="169"/>
      <c r="AF17" s="169"/>
      <c r="AG17" s="1081"/>
      <c r="AH17" s="168"/>
      <c r="AI17" s="168"/>
      <c r="AJ17" s="168"/>
      <c r="AK17" s="168"/>
      <c r="AL17" s="168"/>
      <c r="AM17" s="168"/>
      <c r="AN17" s="168"/>
      <c r="AO17" s="168"/>
      <c r="AP17" s="170"/>
    </row>
    <row r="19" spans="4:47" ht="12.75" thickBot="1"/>
    <row r="20" spans="4:47">
      <c r="D20" s="152"/>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2061"/>
      <c r="AE20" s="2061"/>
      <c r="AF20" s="153"/>
      <c r="AG20" s="153"/>
      <c r="AH20" s="153"/>
      <c r="AI20" s="153"/>
      <c r="AJ20" s="153"/>
      <c r="AK20" s="153"/>
      <c r="AL20" s="153"/>
      <c r="AM20" s="153"/>
      <c r="AN20" s="153"/>
      <c r="AO20" s="153"/>
      <c r="AP20" s="154"/>
    </row>
    <row r="21" spans="4:47">
      <c r="D21" s="155"/>
      <c r="E21" s="156" t="s">
        <v>198</v>
      </c>
      <c r="AP21" s="157"/>
    </row>
    <row r="22" spans="4:47" ht="12.75">
      <c r="D22" s="155"/>
      <c r="AD22" s="2030" t="s">
        <v>194</v>
      </c>
      <c r="AE22" s="1865" t="s">
        <v>199</v>
      </c>
      <c r="AF22" s="1865" t="s">
        <v>199</v>
      </c>
      <c r="AG22" s="1865" t="s">
        <v>199</v>
      </c>
      <c r="AH22" s="1865" t="s">
        <v>199</v>
      </c>
      <c r="AI22" s="1865" t="s">
        <v>199</v>
      </c>
      <c r="AJ22" s="1865" t="s">
        <v>199</v>
      </c>
      <c r="AK22" s="1865" t="s">
        <v>199</v>
      </c>
      <c r="AL22" s="1865" t="s">
        <v>199</v>
      </c>
      <c r="AM22" s="1865" t="s">
        <v>199</v>
      </c>
      <c r="AN22" s="1865" t="s">
        <v>199</v>
      </c>
      <c r="AO22" s="1865" t="s">
        <v>199</v>
      </c>
      <c r="AP22" s="157"/>
    </row>
    <row r="23" spans="4:47" s="174" customFormat="1">
      <c r="D23" s="171"/>
      <c r="E23" s="172" t="s">
        <v>200</v>
      </c>
      <c r="F23" s="173"/>
      <c r="K23" s="63"/>
      <c r="L23" s="1217">
        <v>6.981666666666668E-2</v>
      </c>
      <c r="M23" s="1218">
        <v>7.4139999999999984E-2</v>
      </c>
      <c r="N23" s="1218">
        <v>6.9152578800222353E-2</v>
      </c>
      <c r="O23" s="1218">
        <v>7.3618709835995999E-2</v>
      </c>
      <c r="P23" s="1218">
        <v>7.0467841422711647E-2</v>
      </c>
      <c r="Q23" s="1218">
        <v>6.3088879406120971E-2</v>
      </c>
      <c r="R23" s="1218">
        <v>5.2694504596907034E-2</v>
      </c>
      <c r="S23" s="1218">
        <v>7.0525000000000004E-2</v>
      </c>
      <c r="T23" s="1218">
        <v>5.360833333333332E-2</v>
      </c>
      <c r="U23" s="1219">
        <v>5.2701384126838099E-2</v>
      </c>
      <c r="V23" s="2062">
        <v>4.9083333333333298E-2</v>
      </c>
      <c r="W23" s="2062">
        <v>4.5282999999999997E-2</v>
      </c>
      <c r="X23" s="2062">
        <v>4.6133333333333297E-2</v>
      </c>
      <c r="Y23" s="2063">
        <v>3.3058333333333301E-2</v>
      </c>
      <c r="Z23" s="2064">
        <v>3.0450000000000001E-2</v>
      </c>
      <c r="AA23" s="2064">
        <f>3.7533%</f>
        <v>3.7532999999999997E-2</v>
      </c>
      <c r="AB23" s="2064">
        <v>6.7608000000000001E-2</v>
      </c>
      <c r="AC23" s="2065">
        <v>6.5333299999999997E-2</v>
      </c>
      <c r="AD23" s="2066">
        <v>5.8432999999999999E-2</v>
      </c>
      <c r="AE23" s="2066">
        <f>AD23</f>
        <v>5.8432999999999999E-2</v>
      </c>
      <c r="AF23" s="1559">
        <f t="shared" ref="AF23:AO23" si="5">AE23</f>
        <v>5.8432999999999999E-2</v>
      </c>
      <c r="AG23" s="1559">
        <f t="shared" si="5"/>
        <v>5.8432999999999999E-2</v>
      </c>
      <c r="AH23" s="1559">
        <f t="shared" si="5"/>
        <v>5.8432999999999999E-2</v>
      </c>
      <c r="AI23" s="1559">
        <f t="shared" si="5"/>
        <v>5.8432999999999999E-2</v>
      </c>
      <c r="AJ23" s="1559">
        <f t="shared" si="5"/>
        <v>5.8432999999999999E-2</v>
      </c>
      <c r="AK23" s="1559">
        <f t="shared" si="5"/>
        <v>5.8432999999999999E-2</v>
      </c>
      <c r="AL23" s="1559">
        <f t="shared" si="5"/>
        <v>5.8432999999999999E-2</v>
      </c>
      <c r="AM23" s="1559">
        <f t="shared" si="5"/>
        <v>5.8432999999999999E-2</v>
      </c>
      <c r="AN23" s="1559">
        <f t="shared" si="5"/>
        <v>5.8432999999999999E-2</v>
      </c>
      <c r="AO23" s="1559">
        <f t="shared" si="5"/>
        <v>5.8432999999999999E-2</v>
      </c>
      <c r="AP23" s="1083"/>
    </row>
    <row r="24" spans="4:47" s="67" customFormat="1">
      <c r="D24" s="175"/>
      <c r="E24" s="172" t="s">
        <v>201</v>
      </c>
      <c r="F24" s="176"/>
      <c r="K24" s="178"/>
      <c r="L24" s="1560">
        <f>1/10</f>
        <v>0.1</v>
      </c>
      <c r="M24" s="1560">
        <f>1/10</f>
        <v>0.1</v>
      </c>
      <c r="N24" s="1560">
        <f>1/10</f>
        <v>0.1</v>
      </c>
      <c r="O24" s="1560">
        <f>1/10</f>
        <v>0.1</v>
      </c>
      <c r="P24" s="1560">
        <f t="shared" ref="P24:AO24" si="6">1/10</f>
        <v>0.1</v>
      </c>
      <c r="Q24" s="1560">
        <f t="shared" si="6"/>
        <v>0.1</v>
      </c>
      <c r="R24" s="1560">
        <f t="shared" si="6"/>
        <v>0.1</v>
      </c>
      <c r="S24" s="1560">
        <f t="shared" si="6"/>
        <v>0.1</v>
      </c>
      <c r="T24" s="1560">
        <f t="shared" si="6"/>
        <v>0.1</v>
      </c>
      <c r="U24" s="1560">
        <f t="shared" si="6"/>
        <v>0.1</v>
      </c>
      <c r="V24" s="1561">
        <f t="shared" si="6"/>
        <v>0.1</v>
      </c>
      <c r="W24" s="1561">
        <f t="shared" si="6"/>
        <v>0.1</v>
      </c>
      <c r="X24" s="1561">
        <f t="shared" si="6"/>
        <v>0.1</v>
      </c>
      <c r="Y24" s="1561">
        <f t="shared" si="6"/>
        <v>0.1</v>
      </c>
      <c r="Z24" s="1561">
        <f t="shared" si="6"/>
        <v>0.1</v>
      </c>
      <c r="AA24" s="1561">
        <f t="shared" si="6"/>
        <v>0.1</v>
      </c>
      <c r="AB24" s="1561">
        <f t="shared" si="6"/>
        <v>0.1</v>
      </c>
      <c r="AC24" s="1561">
        <f t="shared" si="6"/>
        <v>0.1</v>
      </c>
      <c r="AD24" s="1561">
        <f t="shared" si="6"/>
        <v>0.1</v>
      </c>
      <c r="AE24" s="1561">
        <f t="shared" si="6"/>
        <v>0.1</v>
      </c>
      <c r="AF24" s="1561">
        <f t="shared" si="6"/>
        <v>0.1</v>
      </c>
      <c r="AG24" s="1561">
        <f t="shared" si="6"/>
        <v>0.1</v>
      </c>
      <c r="AH24" s="1561">
        <f t="shared" si="6"/>
        <v>0.1</v>
      </c>
      <c r="AI24" s="1561">
        <f t="shared" si="6"/>
        <v>0.1</v>
      </c>
      <c r="AJ24" s="1561">
        <f t="shared" si="6"/>
        <v>0.1</v>
      </c>
      <c r="AK24" s="1561">
        <f t="shared" si="6"/>
        <v>0.1</v>
      </c>
      <c r="AL24" s="1561">
        <f t="shared" si="6"/>
        <v>0.1</v>
      </c>
      <c r="AM24" s="1561">
        <f t="shared" si="6"/>
        <v>0.1</v>
      </c>
      <c r="AN24" s="1561">
        <f t="shared" si="6"/>
        <v>0.1</v>
      </c>
      <c r="AO24" s="1561">
        <f t="shared" si="6"/>
        <v>0.1</v>
      </c>
      <c r="AP24" s="177"/>
    </row>
    <row r="25" spans="4:47" s="67" customFormat="1">
      <c r="D25" s="175"/>
      <c r="E25" s="172"/>
      <c r="F25" s="176"/>
      <c r="K25" s="178"/>
      <c r="L25" s="1560"/>
      <c r="M25" s="1560"/>
      <c r="N25" s="1560"/>
      <c r="O25" s="1560"/>
      <c r="P25" s="1560"/>
      <c r="Q25" s="1560"/>
      <c r="R25" s="1560"/>
      <c r="S25" s="1560"/>
      <c r="T25" s="1560"/>
      <c r="U25" s="1560"/>
      <c r="V25" s="1561"/>
      <c r="W25" s="1561"/>
      <c r="X25" s="1561"/>
      <c r="Y25" s="1561"/>
      <c r="Z25" s="1561"/>
      <c r="AA25" s="1561"/>
      <c r="AB25" s="1561"/>
      <c r="AC25" s="1561"/>
      <c r="AD25" s="1561"/>
      <c r="AE25" s="1561"/>
      <c r="AF25" s="1561"/>
      <c r="AG25" s="1561"/>
      <c r="AH25" s="1561"/>
      <c r="AI25" s="1561"/>
      <c r="AJ25" s="1561"/>
      <c r="AK25" s="1561"/>
      <c r="AL25" s="1561"/>
      <c r="AM25" s="1561"/>
      <c r="AN25" s="1561"/>
      <c r="AO25" s="1561"/>
      <c r="AP25" s="177"/>
    </row>
    <row r="26" spans="4:47" s="67" customFormat="1">
      <c r="D26" s="175"/>
      <c r="E26" s="179" t="s">
        <v>202</v>
      </c>
      <c r="F26" s="176"/>
      <c r="K26" s="178"/>
      <c r="L26" s="178"/>
      <c r="M26" s="178"/>
      <c r="N26" s="178"/>
      <c r="O26" s="178"/>
      <c r="P26" s="178"/>
      <c r="Q26" s="178"/>
      <c r="R26" s="178"/>
      <c r="S26" s="178"/>
      <c r="T26" s="178"/>
      <c r="U26" s="178"/>
      <c r="V26" s="1215">
        <f>IF(U23&lt;&gt;"",SUMPRODUCT(L23:U23,L24:U24),"")</f>
        <v>6.4981389818879617E-2</v>
      </c>
      <c r="W26" s="1216">
        <f>IF(V23&lt;&gt;"",SUMPRODUCT(M23:V23,M24:V24),"")</f>
        <v>6.2908056485546288E-2</v>
      </c>
      <c r="X26" s="1216">
        <f>IF(W23&lt;&gt;"",SUMPRODUCT(N23:W23,N24:W24),"")</f>
        <v>6.0022356485546283E-2</v>
      </c>
      <c r="Y26" s="1216">
        <f>IF(X23&lt;&gt;"",SUMPRODUCT(O23:X23,O24:X24),"")</f>
        <v>5.7720431938857369E-2</v>
      </c>
      <c r="Z26" s="1216">
        <f>IF(Y23&lt;&gt;"",SUMPRODUCT(P23:Y23,P24:Y24),"")</f>
        <v>5.36643942885911E-2</v>
      </c>
      <c r="AA26" s="1562">
        <f t="shared" ref="AA26:AO26" si="7">IF(Z23&lt;&gt;"",SUMPRODUCT(Q23:Z23,Q24:Z24),"")</f>
        <v>4.9662610146319931E-2</v>
      </c>
      <c r="AB26" s="1215">
        <f t="shared" si="7"/>
        <v>4.7107022205707838E-2</v>
      </c>
      <c r="AC26" s="1216">
        <f t="shared" si="7"/>
        <v>4.8598371746017124E-2</v>
      </c>
      <c r="AD26" s="1216">
        <f t="shared" si="7"/>
        <v>4.8079201746017139E-2</v>
      </c>
      <c r="AE26" s="1562">
        <f t="shared" si="7"/>
        <v>4.8561668412683813E-2</v>
      </c>
      <c r="AF26" s="1215">
        <f t="shared" si="7"/>
        <v>4.9134829999999997E-2</v>
      </c>
      <c r="AG26" s="1216">
        <f t="shared" si="7"/>
        <v>5.0069796666666673E-2</v>
      </c>
      <c r="AH26" s="1216">
        <f t="shared" si="7"/>
        <v>5.138479666666667E-2</v>
      </c>
      <c r="AI26" s="1216">
        <f t="shared" si="7"/>
        <v>5.2614763333333342E-2</v>
      </c>
      <c r="AJ26" s="1562">
        <f t="shared" si="7"/>
        <v>5.515223000000001E-2</v>
      </c>
      <c r="AK26" s="1215">
        <f t="shared" si="7"/>
        <v>5.7950530000000014E-2</v>
      </c>
      <c r="AL26" s="1216">
        <f t="shared" si="7"/>
        <v>6.0040530000000009E-2</v>
      </c>
      <c r="AM26" s="1216">
        <f t="shared" si="7"/>
        <v>5.9123030000000007E-2</v>
      </c>
      <c r="AN26" s="1216">
        <f t="shared" si="7"/>
        <v>5.8433000000000013E-2</v>
      </c>
      <c r="AO26" s="1562">
        <f t="shared" si="7"/>
        <v>5.8433000000000013E-2</v>
      </c>
      <c r="AP26" s="177"/>
    </row>
    <row r="27" spans="4:47" s="67" customFormat="1" ht="12.75" thickBot="1">
      <c r="D27" s="180"/>
      <c r="E27" s="181"/>
      <c r="F27" s="182"/>
      <c r="G27" s="181"/>
      <c r="H27" s="181"/>
      <c r="I27" s="181"/>
      <c r="J27" s="181"/>
      <c r="K27" s="181"/>
      <c r="L27" s="181"/>
      <c r="M27" s="181"/>
      <c r="N27" s="181"/>
      <c r="O27" s="181"/>
      <c r="P27" s="181"/>
      <c r="Q27" s="181"/>
      <c r="R27" s="181"/>
      <c r="S27" s="181"/>
      <c r="T27" s="181"/>
      <c r="U27" s="181"/>
      <c r="V27" s="181"/>
      <c r="W27" s="181"/>
      <c r="X27" s="181"/>
      <c r="Y27" s="181"/>
      <c r="Z27" s="181"/>
      <c r="AA27" s="1214"/>
      <c r="AB27" s="1214"/>
      <c r="AC27" s="1214"/>
      <c r="AD27" s="1214"/>
      <c r="AE27" s="1214"/>
      <c r="AF27" s="1214"/>
      <c r="AG27" s="181"/>
      <c r="AH27" s="181"/>
      <c r="AI27" s="181"/>
      <c r="AJ27" s="181"/>
      <c r="AK27" s="181"/>
      <c r="AL27" s="181"/>
      <c r="AM27" s="181"/>
      <c r="AN27" s="181"/>
      <c r="AO27" s="181"/>
      <c r="AP27" s="183"/>
    </row>
    <row r="28" spans="4:47" s="67" customFormat="1" ht="12.75" thickBot="1">
      <c r="F28" s="176"/>
    </row>
    <row r="29" spans="4:47">
      <c r="D29" s="152"/>
      <c r="E29" s="153"/>
      <c r="F29" s="153"/>
      <c r="G29" s="153"/>
      <c r="H29" s="153"/>
      <c r="I29" s="153"/>
      <c r="J29" s="153"/>
      <c r="K29" s="153"/>
      <c r="L29" s="153"/>
      <c r="M29" s="153"/>
      <c r="N29" s="153"/>
      <c r="O29" s="153"/>
      <c r="P29" s="153"/>
      <c r="Q29" s="153"/>
      <c r="R29" s="154"/>
      <c r="S29" s="1563"/>
      <c r="T29" s="1564"/>
      <c r="U29" s="1564"/>
      <c r="V29" s="1564"/>
      <c r="W29" s="1564"/>
      <c r="X29" s="1564"/>
      <c r="Y29" s="1565"/>
      <c r="AC29" s="1084"/>
      <c r="AD29" s="153"/>
      <c r="AE29" s="1085"/>
      <c r="AF29" s="1085"/>
      <c r="AG29" s="1085"/>
      <c r="AH29" s="1085"/>
      <c r="AI29" s="1085"/>
      <c r="AJ29" s="1085"/>
      <c r="AK29" s="1085"/>
      <c r="AL29" s="1085"/>
      <c r="AM29" s="1085"/>
      <c r="AN29" s="1085"/>
      <c r="AO29" s="1085"/>
      <c r="AP29" s="1086"/>
      <c r="AQ29" s="67"/>
      <c r="AS29" s="67"/>
      <c r="AT29" s="1010"/>
    </row>
    <row r="30" spans="4:47">
      <c r="D30" s="155"/>
      <c r="E30" s="156" t="s">
        <v>203</v>
      </c>
      <c r="R30" s="157"/>
      <c r="S30" s="1566"/>
      <c r="T30" s="1567" t="s">
        <v>204</v>
      </c>
      <c r="U30" s="4"/>
      <c r="V30" s="4"/>
      <c r="W30" s="4"/>
      <c r="X30" s="4"/>
      <c r="Y30" s="1568"/>
      <c r="AC30" s="184" t="s">
        <v>205</v>
      </c>
      <c r="AE30" s="185"/>
      <c r="AF30" s="186"/>
      <c r="AG30" s="1087"/>
      <c r="AH30" s="1010"/>
      <c r="AI30" s="1010"/>
      <c r="AJ30" s="1010"/>
      <c r="AK30" s="1010"/>
      <c r="AL30" s="1010"/>
      <c r="AM30" s="1010"/>
      <c r="AN30" s="1010"/>
      <c r="AO30" s="1010"/>
      <c r="AP30" s="1107"/>
      <c r="AQ30" s="67"/>
      <c r="AS30" s="67"/>
      <c r="AT30" s="1010"/>
    </row>
    <row r="31" spans="4:47">
      <c r="D31" s="155"/>
      <c r="R31" s="157"/>
      <c r="S31" s="1566"/>
      <c r="T31" s="1569"/>
      <c r="U31" s="4"/>
      <c r="V31" s="4"/>
      <c r="W31" s="4"/>
      <c r="X31" s="4"/>
      <c r="Y31" s="1568"/>
      <c r="AC31" s="1089"/>
      <c r="AE31" s="1090"/>
      <c r="AF31" s="1010"/>
      <c r="AG31" s="1010"/>
      <c r="AH31" s="1010"/>
      <c r="AI31" s="1010"/>
      <c r="AJ31" s="1010"/>
      <c r="AK31" s="1010"/>
      <c r="AL31" s="1010"/>
      <c r="AM31" s="1010"/>
      <c r="AN31" s="1010"/>
      <c r="AO31" s="1010"/>
      <c r="AP31" s="1088"/>
      <c r="AQ31" s="67"/>
      <c r="AS31" s="67"/>
      <c r="AT31" s="1010"/>
    </row>
    <row r="32" spans="4:47">
      <c r="D32" s="155"/>
      <c r="K32" s="187" t="s">
        <v>206</v>
      </c>
      <c r="M32" s="187" t="s">
        <v>207</v>
      </c>
      <c r="O32" s="187" t="s">
        <v>208</v>
      </c>
      <c r="Q32" s="187" t="s">
        <v>209</v>
      </c>
      <c r="R32" s="157"/>
      <c r="S32" s="1566"/>
      <c r="T32" s="4" t="s">
        <v>210</v>
      </c>
      <c r="U32" s="1570"/>
      <c r="V32" s="4"/>
      <c r="W32" s="4"/>
      <c r="X32" s="1571">
        <v>2</v>
      </c>
      <c r="Y32" s="1568"/>
      <c r="AC32" s="1091" t="s">
        <v>211</v>
      </c>
      <c r="AE32" s="1092"/>
      <c r="AF32" s="1586">
        <f>AF26</f>
        <v>4.9134829999999997E-2</v>
      </c>
      <c r="AG32" s="1575">
        <f t="shared" ref="AG32:AO32" si="8">+AG26</f>
        <v>5.0069796666666673E-2</v>
      </c>
      <c r="AH32" s="1575">
        <f t="shared" si="8"/>
        <v>5.138479666666667E-2</v>
      </c>
      <c r="AI32" s="1575">
        <f t="shared" si="8"/>
        <v>5.2614763333333342E-2</v>
      </c>
      <c r="AJ32" s="1575">
        <f t="shared" si="8"/>
        <v>5.515223000000001E-2</v>
      </c>
      <c r="AK32" s="1575">
        <f t="shared" si="8"/>
        <v>5.7950530000000014E-2</v>
      </c>
      <c r="AL32" s="1575">
        <f t="shared" si="8"/>
        <v>6.0040530000000009E-2</v>
      </c>
      <c r="AM32" s="1575">
        <f t="shared" si="8"/>
        <v>5.9123030000000007E-2</v>
      </c>
      <c r="AN32" s="1575">
        <f t="shared" si="8"/>
        <v>5.8433000000000013E-2</v>
      </c>
      <c r="AO32" s="1576">
        <f t="shared" si="8"/>
        <v>5.8433000000000013E-2</v>
      </c>
      <c r="AP32" s="1108"/>
      <c r="AQ32" s="1864" t="s">
        <v>212</v>
      </c>
      <c r="AR32" s="1848"/>
      <c r="AS32" s="1849"/>
      <c r="AT32" s="1849"/>
      <c r="AU32" s="1848"/>
    </row>
    <row r="33" spans="4:46" ht="12.75" thickBot="1">
      <c r="D33" s="155"/>
      <c r="E33" s="89" t="s">
        <v>213</v>
      </c>
      <c r="R33" s="157"/>
      <c r="S33" s="1566"/>
      <c r="T33" s="1569"/>
      <c r="U33" s="4"/>
      <c r="V33" s="4"/>
      <c r="W33" s="4"/>
      <c r="X33" s="4"/>
      <c r="Y33" s="1568"/>
      <c r="AC33" s="1093"/>
      <c r="AD33" s="168"/>
      <c r="AE33" s="1094"/>
      <c r="AF33" s="1094"/>
      <c r="AG33" s="1094"/>
      <c r="AH33" s="1094"/>
      <c r="AI33" s="1094"/>
      <c r="AJ33" s="1094"/>
      <c r="AK33" s="1094"/>
      <c r="AL33" s="1094"/>
      <c r="AM33" s="1094"/>
      <c r="AN33" s="1094"/>
      <c r="AO33" s="1094"/>
      <c r="AP33" s="1095"/>
      <c r="AS33" s="67"/>
    </row>
    <row r="34" spans="4:46" ht="12.75" thickBot="1">
      <c r="D34" s="155"/>
      <c r="F34" s="63" t="s">
        <v>214</v>
      </c>
      <c r="K34" s="188">
        <v>2.6700000000000002E-2</v>
      </c>
      <c r="M34" s="188">
        <v>2.2185E-2</v>
      </c>
      <c r="O34" s="188">
        <v>5.9589999999999999E-3</v>
      </c>
      <c r="Q34" s="188">
        <v>7.1999999999999998E-3</v>
      </c>
      <c r="R34" s="157"/>
      <c r="S34" s="1566"/>
      <c r="T34" s="4" t="s">
        <v>215</v>
      </c>
      <c r="U34" s="4"/>
      <c r="V34" s="4"/>
      <c r="W34" s="4"/>
      <c r="X34" s="4"/>
      <c r="Y34" s="1568"/>
      <c r="AC34" s="1010"/>
      <c r="AE34" s="1010"/>
      <c r="AF34" s="1010"/>
      <c r="AG34" s="1010"/>
      <c r="AH34" s="1010"/>
      <c r="AI34" s="1010"/>
      <c r="AJ34" s="1010"/>
      <c r="AK34" s="1010"/>
      <c r="AL34" s="1010"/>
      <c r="AM34" s="1010"/>
      <c r="AN34" s="1010"/>
      <c r="AO34" s="1010"/>
      <c r="AP34" s="1010"/>
      <c r="AQ34" s="1010"/>
      <c r="AS34" s="67"/>
    </row>
    <row r="35" spans="4:46">
      <c r="D35" s="155"/>
      <c r="F35" s="63" t="s">
        <v>216</v>
      </c>
      <c r="K35" s="189">
        <v>1.1599999999999999E-2</v>
      </c>
      <c r="M35" s="189">
        <v>2.2499999999999999E-2</v>
      </c>
      <c r="O35" s="189">
        <v>3.9899999999999998E-2</v>
      </c>
      <c r="Q35" s="189">
        <v>3.15E-2</v>
      </c>
      <c r="R35" s="157"/>
      <c r="S35" s="1566"/>
      <c r="T35" s="4"/>
      <c r="U35" s="4"/>
      <c r="V35" s="4"/>
      <c r="W35" s="4"/>
      <c r="X35" s="4"/>
      <c r="Y35" s="1568"/>
      <c r="AC35" s="190"/>
      <c r="AD35" s="153"/>
      <c r="AE35" s="191"/>
      <c r="AF35" s="2068"/>
      <c r="AG35" s="1096"/>
      <c r="AH35" s="1096"/>
      <c r="AI35" s="1096"/>
      <c r="AJ35" s="1096"/>
      <c r="AK35" s="1096"/>
      <c r="AL35" s="1096"/>
      <c r="AM35" s="1096"/>
      <c r="AN35" s="1096"/>
      <c r="AO35" s="1096"/>
      <c r="AP35" s="1109"/>
      <c r="AQ35" s="1010"/>
      <c r="AS35" s="67"/>
    </row>
    <row r="36" spans="4:46" ht="12.75" thickBot="1">
      <c r="D36" s="155"/>
      <c r="F36" s="63" t="s">
        <v>217</v>
      </c>
      <c r="K36" s="189">
        <v>0.06</v>
      </c>
      <c r="M36" s="189">
        <v>0.06</v>
      </c>
      <c r="O36" s="189">
        <v>0.06</v>
      </c>
      <c r="Q36" s="189">
        <v>0.06</v>
      </c>
      <c r="R36" s="157"/>
      <c r="S36" s="1572"/>
      <c r="T36" s="200"/>
      <c r="U36" s="200"/>
      <c r="V36" s="200"/>
      <c r="W36" s="200"/>
      <c r="X36" s="200"/>
      <c r="Y36" s="1573"/>
      <c r="AC36" s="184" t="s">
        <v>218</v>
      </c>
      <c r="AE36" s="192"/>
      <c r="AF36" s="2067"/>
      <c r="AG36" s="1087"/>
      <c r="AH36" s="1087"/>
      <c r="AI36" s="1087"/>
      <c r="AJ36" s="1087"/>
      <c r="AK36" s="1087"/>
      <c r="AL36" s="1087"/>
      <c r="AM36" s="1087"/>
      <c r="AN36" s="1087"/>
      <c r="AO36" s="1087"/>
      <c r="AP36" s="1107"/>
      <c r="AQ36" s="1010"/>
      <c r="AS36" s="67"/>
    </row>
    <row r="37" spans="4:46">
      <c r="D37" s="155"/>
      <c r="F37" s="63" t="s">
        <v>219</v>
      </c>
      <c r="K37" s="193">
        <v>0.75</v>
      </c>
      <c r="M37" s="193">
        <v>0.65</v>
      </c>
      <c r="O37" s="193">
        <v>0.65</v>
      </c>
      <c r="Q37" s="193">
        <v>0.65</v>
      </c>
      <c r="R37" s="157"/>
      <c r="AC37" s="155"/>
      <c r="AP37" s="157"/>
      <c r="AQ37" s="1010"/>
      <c r="AS37" s="67"/>
    </row>
    <row r="38" spans="4:46">
      <c r="D38" s="155"/>
      <c r="F38" s="63" t="s">
        <v>220</v>
      </c>
      <c r="K38" s="189">
        <v>0.6</v>
      </c>
      <c r="M38" s="189">
        <v>0.6</v>
      </c>
      <c r="O38" s="189">
        <v>0.6</v>
      </c>
      <c r="Q38" s="189">
        <v>0.6</v>
      </c>
      <c r="R38" s="157"/>
      <c r="AC38" s="1097" t="s">
        <v>211</v>
      </c>
      <c r="AF38" s="1577">
        <f>(1+AF32)/(1+AF44)-1</f>
        <v>1.9567376093294619E-2</v>
      </c>
      <c r="AG38" s="1578">
        <f t="shared" ref="AG38:AO38" si="9">(1+AG32)/(1+AG44)-1</f>
        <v>2.047599287334001E-2</v>
      </c>
      <c r="AH38" s="1578">
        <f t="shared" si="9"/>
        <v>2.1753932620667493E-2</v>
      </c>
      <c r="AI38" s="1578">
        <f t="shared" si="9"/>
        <v>2.2949235503725518E-2</v>
      </c>
      <c r="AJ38" s="1579">
        <f t="shared" si="9"/>
        <v>2.541518950437327E-2</v>
      </c>
      <c r="AK38" s="1578">
        <f t="shared" si="9"/>
        <v>2.8134625850340322E-2</v>
      </c>
      <c r="AL38" s="1578">
        <f t="shared" si="9"/>
        <v>3.0165724003887284E-2</v>
      </c>
      <c r="AM38" s="1578">
        <f t="shared" si="9"/>
        <v>2.9274081632653326E-2</v>
      </c>
      <c r="AN38" s="1578">
        <f t="shared" si="9"/>
        <v>2.8603498542274064E-2</v>
      </c>
      <c r="AO38" s="1579">
        <f t="shared" si="9"/>
        <v>2.8603498542274064E-2</v>
      </c>
      <c r="AP38" s="1108"/>
      <c r="AS38" s="67"/>
    </row>
    <row r="39" spans="4:46">
      <c r="D39" s="155"/>
      <c r="F39" s="63" t="s">
        <v>221</v>
      </c>
      <c r="K39" s="189">
        <v>2.5499999999999998E-2</v>
      </c>
      <c r="M39" s="189">
        <v>2.5000000000000001E-2</v>
      </c>
      <c r="O39" s="189">
        <v>2.75E-2</v>
      </c>
      <c r="Q39" s="189">
        <v>2.1999999999999999E-2</v>
      </c>
      <c r="R39" s="157"/>
      <c r="AC39" s="155"/>
      <c r="AP39" s="157"/>
      <c r="AQ39" s="1010"/>
      <c r="AS39" s="67"/>
    </row>
    <row r="40" spans="4:46">
      <c r="D40" s="155"/>
      <c r="F40" s="63" t="s">
        <v>222</v>
      </c>
      <c r="K40" s="194">
        <v>0.5</v>
      </c>
      <c r="M40" s="194">
        <v>0.5</v>
      </c>
      <c r="O40" s="194">
        <v>0.5</v>
      </c>
      <c r="Q40" s="194">
        <v>0.5</v>
      </c>
      <c r="R40" s="157"/>
      <c r="AC40" s="1097" t="s">
        <v>223</v>
      </c>
      <c r="AE40" s="1092"/>
      <c r="AF40" s="1500">
        <f>IF(AO65&lt;&gt;0,(AO65/100),IF(AO63&lt;&gt;0,(AO63/100),(AO61/100)))</f>
        <v>4.0999999999999995E-2</v>
      </c>
      <c r="AG40" s="1575">
        <f t="shared" ref="AG40:AL40" si="10">+$AF$40</f>
        <v>4.0999999999999995E-2</v>
      </c>
      <c r="AH40" s="1575">
        <f t="shared" si="10"/>
        <v>4.0999999999999995E-2</v>
      </c>
      <c r="AI40" s="1575">
        <f t="shared" si="10"/>
        <v>4.0999999999999995E-2</v>
      </c>
      <c r="AJ40" s="1575">
        <f t="shared" si="10"/>
        <v>4.0999999999999995E-2</v>
      </c>
      <c r="AK40" s="1575">
        <f t="shared" si="10"/>
        <v>4.0999999999999995E-2</v>
      </c>
      <c r="AL40" s="1575">
        <f t="shared" si="10"/>
        <v>4.0999999999999995E-2</v>
      </c>
      <c r="AM40" s="1575">
        <f>+$AF$40</f>
        <v>4.0999999999999995E-2</v>
      </c>
      <c r="AN40" s="1575">
        <f>+$AF$40</f>
        <v>4.0999999999999995E-2</v>
      </c>
      <c r="AO40" s="1576">
        <f>+$AF$40</f>
        <v>4.0999999999999995E-2</v>
      </c>
      <c r="AP40" s="1108"/>
      <c r="AQ40" s="1010"/>
      <c r="AS40" s="67"/>
    </row>
    <row r="41" spans="4:46">
      <c r="D41" s="155"/>
      <c r="R41" s="157"/>
      <c r="AC41" s="1098"/>
      <c r="AE41" s="1010"/>
      <c r="AF41" s="1099"/>
      <c r="AG41" s="1099"/>
      <c r="AH41" s="1099"/>
      <c r="AI41" s="1099"/>
      <c r="AJ41" s="1099"/>
      <c r="AK41" s="1099"/>
      <c r="AL41" s="1099"/>
      <c r="AM41" s="1099"/>
      <c r="AN41" s="1099"/>
      <c r="AO41" s="1099"/>
      <c r="AP41" s="1108"/>
      <c r="AQ41" s="67"/>
      <c r="AS41" s="67"/>
      <c r="AT41" s="1010"/>
    </row>
    <row r="42" spans="4:46">
      <c r="D42" s="155"/>
      <c r="E42" s="89" t="s">
        <v>224</v>
      </c>
      <c r="K42" s="195">
        <f>ROUND(((K34+K36*K37)*(1-K38))+((K34+K35)*K38),3)</f>
        <v>5.1999999999999998E-2</v>
      </c>
      <c r="M42" s="195">
        <f>ROUND(((M34+M36*M37)*(1-M38))+((M34+M35)*M38),3)</f>
        <v>5.0999999999999997E-2</v>
      </c>
      <c r="O42" s="195">
        <f>ROUND(((O34+O36*O37)*(1-O38))+((O34+O35)*O38),3)</f>
        <v>4.4999999999999998E-2</v>
      </c>
      <c r="Q42" s="195">
        <f>ROUND(((Q34+Q36*Q37)*(1-Q38))+((Q34+Q35)*Q38),3)</f>
        <v>4.2000000000000003E-2</v>
      </c>
      <c r="R42" s="157"/>
      <c r="AC42" s="1100" t="s">
        <v>225</v>
      </c>
      <c r="AE42" s="1082"/>
      <c r="AF42" s="1577">
        <f>ROUND((AF40*(1-AF43)+AF38*AF43),4)</f>
        <v>2.81E-2</v>
      </c>
      <c r="AG42" s="1578">
        <f t="shared" ref="AG42:AL42" si="11">ROUND((AG40*(1-AG43)+AG38*AG43),4)</f>
        <v>2.87E-2</v>
      </c>
      <c r="AH42" s="1578">
        <f t="shared" si="11"/>
        <v>2.9499999999999998E-2</v>
      </c>
      <c r="AI42" s="1578">
        <f t="shared" si="11"/>
        <v>3.0200000000000001E-2</v>
      </c>
      <c r="AJ42" s="1579">
        <f t="shared" si="11"/>
        <v>3.1600000000000003E-2</v>
      </c>
      <c r="AK42" s="1105">
        <f t="shared" si="11"/>
        <v>3.3300000000000003E-2</v>
      </c>
      <c r="AL42" s="1105">
        <f t="shared" si="11"/>
        <v>3.4500000000000003E-2</v>
      </c>
      <c r="AM42" s="1105">
        <f>ROUND((AM40*(1-AM43)+AM38*AM43),4)</f>
        <v>3.4000000000000002E-2</v>
      </c>
      <c r="AN42" s="1105">
        <f>ROUND((AN40*(1-AN43)+AN38*AN43),4)</f>
        <v>3.3599999999999998E-2</v>
      </c>
      <c r="AO42" s="1106">
        <f>ROUND((AO40*(1-AO43)+AO38*AO43),4)</f>
        <v>3.3599999999999998E-2</v>
      </c>
      <c r="AP42" s="1108"/>
      <c r="AQ42" s="67"/>
      <c r="AS42" s="67"/>
      <c r="AT42" s="1010"/>
    </row>
    <row r="43" spans="4:46" ht="12.75" thickBot="1">
      <c r="D43" s="167"/>
      <c r="E43" s="168"/>
      <c r="F43" s="168"/>
      <c r="G43" s="168"/>
      <c r="H43" s="168"/>
      <c r="I43" s="168"/>
      <c r="J43" s="168"/>
      <c r="K43" s="168"/>
      <c r="L43" s="168"/>
      <c r="M43" s="168"/>
      <c r="N43" s="168"/>
      <c r="O43" s="168"/>
      <c r="P43" s="168"/>
      <c r="Q43" s="168"/>
      <c r="R43" s="170"/>
      <c r="AC43" s="1101" t="s">
        <v>226</v>
      </c>
      <c r="AE43" s="1092"/>
      <c r="AF43" s="1582">
        <v>0.6</v>
      </c>
      <c r="AG43" s="1584">
        <f>+AF43</f>
        <v>0.6</v>
      </c>
      <c r="AH43" s="1584">
        <f t="shared" ref="AH43:AL44" si="12">+AG43</f>
        <v>0.6</v>
      </c>
      <c r="AI43" s="1584">
        <f t="shared" si="12"/>
        <v>0.6</v>
      </c>
      <c r="AJ43" s="1585">
        <f t="shared" si="12"/>
        <v>0.6</v>
      </c>
      <c r="AK43" s="1584">
        <f t="shared" si="12"/>
        <v>0.6</v>
      </c>
      <c r="AL43" s="1584">
        <f t="shared" si="12"/>
        <v>0.6</v>
      </c>
      <c r="AM43" s="1584">
        <f t="shared" ref="AM43:AO44" si="13">+AL43</f>
        <v>0.6</v>
      </c>
      <c r="AN43" s="1584">
        <f t="shared" si="13"/>
        <v>0.6</v>
      </c>
      <c r="AO43" s="1585">
        <f t="shared" si="13"/>
        <v>0.6</v>
      </c>
      <c r="AP43" s="1108"/>
      <c r="AQ43" s="67"/>
      <c r="AS43" s="67"/>
      <c r="AT43" s="1010"/>
    </row>
    <row r="44" spans="4:46">
      <c r="K44" s="196"/>
      <c r="L44" s="196"/>
      <c r="M44" s="196"/>
      <c r="AC44" s="1101" t="s">
        <v>221</v>
      </c>
      <c r="AE44" s="1092"/>
      <c r="AF44" s="1583">
        <v>2.9000000000000001E-2</v>
      </c>
      <c r="AG44" s="1580">
        <f>+AF44</f>
        <v>2.9000000000000001E-2</v>
      </c>
      <c r="AH44" s="1580">
        <f t="shared" si="12"/>
        <v>2.9000000000000001E-2</v>
      </c>
      <c r="AI44" s="1580">
        <f t="shared" si="12"/>
        <v>2.9000000000000001E-2</v>
      </c>
      <c r="AJ44" s="1581">
        <f t="shared" si="12"/>
        <v>2.9000000000000001E-2</v>
      </c>
      <c r="AK44" s="1580">
        <f t="shared" si="12"/>
        <v>2.9000000000000001E-2</v>
      </c>
      <c r="AL44" s="1580">
        <f t="shared" si="12"/>
        <v>2.9000000000000001E-2</v>
      </c>
      <c r="AM44" s="1580">
        <f t="shared" si="13"/>
        <v>2.9000000000000001E-2</v>
      </c>
      <c r="AN44" s="1580">
        <f t="shared" si="13"/>
        <v>2.9000000000000001E-2</v>
      </c>
      <c r="AO44" s="1581">
        <f t="shared" si="13"/>
        <v>2.9000000000000001E-2</v>
      </c>
      <c r="AP44" s="1110"/>
      <c r="AQ44" s="67"/>
      <c r="AS44" s="67"/>
      <c r="AT44" s="1010"/>
    </row>
    <row r="45" spans="4:46" ht="12.75" thickBot="1">
      <c r="AC45" s="1093"/>
      <c r="AD45" s="168"/>
      <c r="AE45" s="1094"/>
      <c r="AF45" s="1501"/>
      <c r="AG45" s="1094"/>
      <c r="AH45" s="1094"/>
      <c r="AI45" s="1094"/>
      <c r="AJ45" s="1094"/>
      <c r="AK45" s="1094"/>
      <c r="AL45" s="1094"/>
      <c r="AM45" s="1094"/>
      <c r="AN45" s="1094"/>
      <c r="AO45" s="1094"/>
      <c r="AP45" s="1095"/>
      <c r="AQ45" s="67"/>
      <c r="AS45" s="67"/>
      <c r="AT45" s="1010"/>
    </row>
    <row r="46" spans="4:46">
      <c r="AC46" s="1010"/>
      <c r="AD46" s="1010"/>
      <c r="AE46" s="1010"/>
      <c r="AF46" s="1102"/>
      <c r="AG46" s="1102"/>
      <c r="AH46" s="1102"/>
      <c r="AI46" s="1102"/>
      <c r="AJ46" s="1102"/>
      <c r="AK46" s="1102"/>
      <c r="AL46" s="1102"/>
      <c r="AM46" s="1102"/>
      <c r="AN46" s="1102"/>
      <c r="AO46" s="1102"/>
      <c r="AP46" s="1102"/>
      <c r="AQ46" s="1102"/>
      <c r="AS46" s="67"/>
      <c r="AT46" s="1010"/>
    </row>
    <row r="47" spans="4:46" ht="12.75" thickBot="1">
      <c r="AC47" s="1010"/>
      <c r="AE47" s="1010"/>
      <c r="AF47" s="1010"/>
      <c r="AG47" s="1010"/>
      <c r="AR47" s="1010"/>
      <c r="AS47" s="1010"/>
      <c r="AT47" s="1010"/>
    </row>
    <row r="48" spans="4:46">
      <c r="AI48" s="1010"/>
      <c r="AJ48" s="152"/>
      <c r="AK48" s="153"/>
      <c r="AL48" s="153"/>
      <c r="AM48" s="153"/>
      <c r="AN48" s="153"/>
      <c r="AO48" s="153"/>
      <c r="AP48" s="154"/>
    </row>
    <row r="49" spans="29:43">
      <c r="AC49" s="1682" t="s">
        <v>227</v>
      </c>
      <c r="AD49" s="1683"/>
      <c r="AE49" s="1683"/>
      <c r="AF49" s="1683"/>
      <c r="AG49" s="1683"/>
      <c r="AH49" s="1683"/>
      <c r="AI49" s="1010"/>
      <c r="AJ49" s="184" t="s">
        <v>228</v>
      </c>
      <c r="AP49" s="157"/>
    </row>
    <row r="50" spans="29:43">
      <c r="AC50" s="1682"/>
      <c r="AD50" s="1683"/>
      <c r="AE50" s="1683"/>
      <c r="AF50" s="1683"/>
      <c r="AG50" s="1683"/>
      <c r="AH50" s="1683"/>
      <c r="AI50" s="1010"/>
      <c r="AJ50" s="155"/>
      <c r="AP50" s="157"/>
    </row>
    <row r="51" spans="29:43" ht="12" customHeight="1">
      <c r="AC51" s="1682"/>
      <c r="AD51" s="1683"/>
      <c r="AE51" s="1683"/>
      <c r="AF51" s="1683"/>
      <c r="AG51" s="1683"/>
      <c r="AH51" s="1683"/>
      <c r="AI51" s="1010"/>
      <c r="AJ51" s="155"/>
      <c r="AP51" s="157"/>
      <c r="AQ51" s="1223"/>
    </row>
    <row r="52" spans="29:43" ht="12" customHeight="1">
      <c r="AC52" s="1683"/>
      <c r="AD52" s="1684" t="s">
        <v>229</v>
      </c>
      <c r="AE52" s="1683"/>
      <c r="AF52" s="1684" t="s">
        <v>230</v>
      </c>
      <c r="AG52" s="1683"/>
      <c r="AH52" s="1685" t="s">
        <v>231</v>
      </c>
      <c r="AI52" s="1010"/>
      <c r="AJ52" s="1230"/>
      <c r="AK52" s="178"/>
      <c r="AL52" s="2080" t="s">
        <v>232</v>
      </c>
      <c r="AM52" s="2080"/>
      <c r="AN52" s="2080"/>
      <c r="AO52" s="2080"/>
      <c r="AP52" s="157"/>
      <c r="AQ52" s="1222"/>
    </row>
    <row r="53" spans="29:43" ht="12" customHeight="1">
      <c r="AC53" s="1683"/>
      <c r="AD53" s="1684" t="s">
        <v>233</v>
      </c>
      <c r="AE53" s="1683"/>
      <c r="AF53" s="1684" t="s">
        <v>234</v>
      </c>
      <c r="AG53" s="1683"/>
      <c r="AH53" s="1686"/>
      <c r="AI53" s="1010"/>
      <c r="AJ53" s="1230"/>
      <c r="AK53" s="178"/>
      <c r="AL53" s="178"/>
      <c r="AM53" s="178"/>
      <c r="AN53" s="178"/>
      <c r="AO53" s="178"/>
      <c r="AP53" s="157"/>
      <c r="AQ53" s="1225"/>
    </row>
    <row r="54" spans="29:43" ht="26.25" customHeight="1">
      <c r="AC54" s="1687"/>
      <c r="AD54" s="1683"/>
      <c r="AE54" s="1683"/>
      <c r="AF54" s="1683"/>
      <c r="AG54" s="1683"/>
      <c r="AH54" s="1686"/>
      <c r="AI54" s="1010"/>
      <c r="AJ54" s="1230"/>
      <c r="AK54" s="178"/>
      <c r="AL54" s="1231" t="s">
        <v>235</v>
      </c>
      <c r="AM54" s="1231" t="s">
        <v>236</v>
      </c>
      <c r="AN54" s="1231" t="s">
        <v>237</v>
      </c>
      <c r="AO54" s="1231" t="s">
        <v>238</v>
      </c>
      <c r="AP54" s="157"/>
      <c r="AQ54" s="1227"/>
    </row>
    <row r="55" spans="29:43" ht="31.5" customHeight="1">
      <c r="AC55" s="1688" t="s">
        <v>239</v>
      </c>
      <c r="AD55" s="1689" t="s">
        <v>240</v>
      </c>
      <c r="AE55" s="1683"/>
      <c r="AF55" s="1690"/>
      <c r="AG55" s="1683"/>
      <c r="AH55" s="1691" t="str">
        <f>IFERROR(IF(AF55=0,"",AF55-AD55),"")</f>
        <v/>
      </c>
      <c r="AI55" s="1010"/>
      <c r="AJ55" s="2081" t="s">
        <v>241</v>
      </c>
      <c r="AK55" s="1232" t="s">
        <v>235</v>
      </c>
      <c r="AL55" s="1221">
        <v>4.7</v>
      </c>
      <c r="AM55" s="1233"/>
      <c r="AN55" s="1233"/>
      <c r="AO55" s="1233"/>
      <c r="AP55" s="157"/>
      <c r="AQ55" s="1227"/>
    </row>
    <row r="56" spans="29:43" ht="33" customHeight="1">
      <c r="AC56" s="1688" t="s">
        <v>242</v>
      </c>
      <c r="AD56" s="1689" t="s">
        <v>240</v>
      </c>
      <c r="AE56" s="1683"/>
      <c r="AF56" s="1690"/>
      <c r="AG56" s="1683"/>
      <c r="AH56" s="1691" t="str">
        <f>IFERROR(IF(AF56=0,"",AF56-AD56),"")</f>
        <v/>
      </c>
      <c r="AI56" s="1010"/>
      <c r="AJ56" s="2081"/>
      <c r="AK56" s="1232" t="s">
        <v>236</v>
      </c>
      <c r="AL56" s="1221">
        <v>4.2</v>
      </c>
      <c r="AM56" s="1221">
        <v>4.4000000000000004</v>
      </c>
      <c r="AN56" s="1233"/>
      <c r="AO56" s="1233"/>
      <c r="AP56" s="157"/>
      <c r="AQ56" s="1226"/>
    </row>
    <row r="57" spans="29:43" ht="33.75" customHeight="1">
      <c r="AC57" s="1688" t="s">
        <v>243</v>
      </c>
      <c r="AD57" s="1689" t="s">
        <v>240</v>
      </c>
      <c r="AE57" s="1683"/>
      <c r="AF57" s="1690"/>
      <c r="AG57" s="1683"/>
      <c r="AH57" s="1691" t="str">
        <f>IFERROR(IF(AF57=0,"",AF57-AD57),"")</f>
        <v/>
      </c>
      <c r="AI57" s="1010"/>
      <c r="AJ57" s="2081"/>
      <c r="AK57" s="1232" t="s">
        <v>237</v>
      </c>
      <c r="AL57" s="1221">
        <v>3.6</v>
      </c>
      <c r="AM57" s="1221">
        <v>3.8</v>
      </c>
      <c r="AN57" s="1221">
        <v>4.0999999999999996</v>
      </c>
      <c r="AO57" s="1233"/>
      <c r="AP57" s="157"/>
      <c r="AQ57" s="1226"/>
    </row>
    <row r="58" spans="29:43" ht="26.25" customHeight="1">
      <c r="AC58" s="1688" t="s">
        <v>244</v>
      </c>
      <c r="AD58" s="1689" t="s">
        <v>240</v>
      </c>
      <c r="AE58" s="1683"/>
      <c r="AF58" s="1690"/>
      <c r="AG58" s="1683"/>
      <c r="AH58" s="1691" t="str">
        <f>IFERROR(IF(AF58=0,"",AF58-AD58),"")</f>
        <v/>
      </c>
      <c r="AI58" s="1010"/>
      <c r="AJ58" s="2081"/>
      <c r="AK58" s="1232" t="s">
        <v>238</v>
      </c>
      <c r="AL58" s="1234"/>
      <c r="AM58" s="1234"/>
      <c r="AN58" s="1221">
        <v>3.5</v>
      </c>
      <c r="AO58" s="1221">
        <v>3.7</v>
      </c>
      <c r="AP58" s="157"/>
      <c r="AQ58" s="1227"/>
    </row>
    <row r="59" spans="29:43" ht="27" customHeight="1">
      <c r="AC59" s="1683"/>
      <c r="AD59" s="1683"/>
      <c r="AE59" s="1683"/>
      <c r="AF59" s="1683"/>
      <c r="AG59" s="1683"/>
      <c r="AH59" s="1686"/>
      <c r="AI59" s="1010"/>
      <c r="AJ59" s="2081"/>
      <c r="AK59" s="1235"/>
      <c r="AL59" s="1234"/>
      <c r="AM59" s="1234"/>
      <c r="AN59" s="1234"/>
      <c r="AO59" s="1234"/>
      <c r="AP59" s="157"/>
      <c r="AQ59" s="1222"/>
    </row>
    <row r="60" spans="29:43" ht="15" customHeight="1" thickBot="1">
      <c r="AC60" s="1688" t="s">
        <v>245</v>
      </c>
      <c r="AD60" s="1692">
        <f>SUM(AD55:AD58)</f>
        <v>0</v>
      </c>
      <c r="AE60" s="1683"/>
      <c r="AF60" s="1692">
        <f>SUM(AF55:AF58)</f>
        <v>0</v>
      </c>
      <c r="AG60" s="1683"/>
      <c r="AH60" s="1691" t="str">
        <f>IFERROR(IF(AF60=0,"",AF60-AD60),"")</f>
        <v/>
      </c>
      <c r="AI60" s="1010"/>
      <c r="AJ60" s="155"/>
      <c r="AP60" s="157"/>
      <c r="AQ60" s="62"/>
    </row>
    <row r="61" spans="29:43" ht="12.75" thickBot="1">
      <c r="AC61" s="1683"/>
      <c r="AD61" s="1683"/>
      <c r="AE61" s="1683"/>
      <c r="AF61" s="1683"/>
      <c r="AG61" s="1683"/>
      <c r="AH61" s="1686"/>
      <c r="AI61" s="1010"/>
      <c r="AJ61" s="1220" t="s">
        <v>246</v>
      </c>
      <c r="AL61" s="1103"/>
      <c r="AM61" s="1236"/>
      <c r="AN61" s="1237" t="s">
        <v>237</v>
      </c>
      <c r="AO61" s="1226">
        <f>+VLOOKUP(AN61,$AN$72:$AQ$76,2,FALSE)</f>
        <v>4.0999999999999996</v>
      </c>
      <c r="AP61" s="157"/>
    </row>
    <row r="62" spans="29:43" ht="12.75" thickBot="1">
      <c r="AC62" s="1683"/>
      <c r="AD62" s="1683"/>
      <c r="AE62" s="1683"/>
      <c r="AF62" s="1683"/>
      <c r="AG62" s="1683"/>
      <c r="AH62" s="1686"/>
      <c r="AI62" s="1010"/>
      <c r="AJ62" s="1238"/>
      <c r="AM62" s="94"/>
      <c r="AP62" s="157"/>
      <c r="AQ62" s="1228"/>
    </row>
    <row r="63" spans="29:43" ht="12.75" thickBot="1">
      <c r="AC63" s="1693"/>
      <c r="AD63" s="1683"/>
      <c r="AE63" s="1683"/>
      <c r="AF63" s="1683"/>
      <c r="AG63" s="1683"/>
      <c r="AH63" s="1686"/>
      <c r="AI63" s="1010"/>
      <c r="AJ63" s="1220" t="s">
        <v>247</v>
      </c>
      <c r="AL63" s="178"/>
      <c r="AM63" s="94"/>
      <c r="AN63" s="1239"/>
      <c r="AO63" s="1226">
        <f>+IF(AN63&lt;=AO61,AN63,"CHECK")</f>
        <v>0</v>
      </c>
      <c r="AP63" s="157"/>
    </row>
    <row r="64" spans="29:43" ht="12.75" thickBot="1">
      <c r="AC64" s="1688" t="s">
        <v>248</v>
      </c>
      <c r="AD64" s="1694" t="str">
        <f>IF(AD60&lt;4,"",IF(AND(AD60&gt;=4,AD60&lt;=7.25),"Basic",IF(AND(AD60&gt;=7.5,AD60&lt;=11.25),"Standard",IF(AND(AD60&gt;=11.5,AD60&lt;=15.25),"Advanced",IF(AND(AD60&gt;=15.5,AD60&lt;=16),"Leading")))))</f>
        <v/>
      </c>
      <c r="AE64" s="1683"/>
      <c r="AF64" s="1694" t="str">
        <f>IF(AF60&lt;4,"",IF(AND(AF60&gt;=4,AF60&lt;=7.25),"Basic",IF(AND(AF60&gt;=7.5,AF60&lt;=11.25),"Standard",IF(AND(AF60&gt;=11.5,AF60&lt;=15.25),"Advanced",IF(AND(AF60&gt;=15.5,AF60&lt;=16),"Leading")))))</f>
        <v/>
      </c>
      <c r="AG64" s="1683"/>
      <c r="AH64" s="1686"/>
      <c r="AI64" s="1010"/>
      <c r="AJ64" s="1238"/>
      <c r="AO64" s="1226"/>
      <c r="AP64" s="157"/>
      <c r="AQ64" s="62"/>
    </row>
    <row r="65" spans="29:46" ht="12.75" thickBot="1">
      <c r="AI65" s="1010"/>
      <c r="AJ65" s="1220" t="s">
        <v>241</v>
      </c>
      <c r="AL65" s="178"/>
      <c r="AN65" s="1240" t="s">
        <v>240</v>
      </c>
      <c r="AO65" s="1226">
        <f>IFERROR(IF(AN65=AN61,AO61,VLOOKUP(AN61&amp;AN65,AN79:AQ83,2,FALSE)),0)</f>
        <v>0</v>
      </c>
      <c r="AP65" s="157"/>
      <c r="AQ65" s="1222"/>
      <c r="AT65" s="89"/>
    </row>
    <row r="66" spans="29:46">
      <c r="AI66" s="1010"/>
      <c r="AJ66" s="184"/>
      <c r="AP66" s="157"/>
      <c r="AQ66" s="1229"/>
    </row>
    <row r="67" spans="29:46" ht="12.75" thickBot="1">
      <c r="AC67" s="1223"/>
      <c r="AD67" s="1222"/>
      <c r="AE67" s="1222"/>
      <c r="AF67" s="1222"/>
      <c r="AG67" s="1222"/>
      <c r="AI67" s="1010"/>
      <c r="AJ67" s="167"/>
      <c r="AK67" s="168"/>
      <c r="AL67" s="168"/>
      <c r="AM67" s="168"/>
      <c r="AN67" s="1241" t="s">
        <v>231</v>
      </c>
      <c r="AO67" s="1242" t="str">
        <f>IFERROR(IF(AO65=0,"",AO65-AO61),"")</f>
        <v/>
      </c>
      <c r="AP67" s="170"/>
    </row>
    <row r="68" spans="29:46">
      <c r="AD68" s="1223"/>
      <c r="AE68" s="1222"/>
      <c r="AF68" s="1222"/>
      <c r="AG68" s="1222"/>
      <c r="AH68" s="1222"/>
      <c r="AI68" s="1010"/>
    </row>
    <row r="69" spans="29:46">
      <c r="AD69" s="1223"/>
      <c r="AE69" s="1222"/>
      <c r="AF69" s="1222"/>
      <c r="AG69" s="1222"/>
      <c r="AH69" s="1222"/>
      <c r="AI69" s="1010"/>
    </row>
    <row r="70" spans="29:46">
      <c r="AC70" s="198" t="s">
        <v>0</v>
      </c>
      <c r="AD70" s="1243"/>
      <c r="AE70" s="1244"/>
      <c r="AF70" s="1244"/>
      <c r="AG70" s="1244"/>
      <c r="AH70" s="1244"/>
      <c r="AI70" s="1244"/>
      <c r="AJ70" s="125"/>
      <c r="AK70" s="125"/>
      <c r="AL70" s="125"/>
      <c r="AM70" s="125"/>
      <c r="AN70" s="125"/>
      <c r="AO70" s="125"/>
      <c r="AP70" s="125"/>
    </row>
    <row r="71" spans="29:46">
      <c r="AC71" s="125"/>
      <c r="AD71" s="1243"/>
      <c r="AE71" s="1245" t="s">
        <v>240</v>
      </c>
      <c r="AF71" s="1246"/>
      <c r="AG71" s="1247" t="s">
        <v>248</v>
      </c>
      <c r="AH71" s="1247" t="s">
        <v>249</v>
      </c>
      <c r="AI71" s="1248"/>
      <c r="AJ71" s="1246"/>
      <c r="AK71" s="1246"/>
      <c r="AL71" s="1246"/>
      <c r="AM71" s="1246"/>
      <c r="AN71" s="1249" t="s">
        <v>250</v>
      </c>
      <c r="AO71" s="1249"/>
      <c r="AP71" s="125"/>
      <c r="AQ71" s="1222"/>
    </row>
    <row r="72" spans="29:46">
      <c r="AC72" s="125"/>
      <c r="AD72" s="125"/>
      <c r="AE72" s="1250">
        <v>1</v>
      </c>
      <c r="AF72" s="1246"/>
      <c r="AG72" s="1251" t="s">
        <v>235</v>
      </c>
      <c r="AH72" s="2078" t="s">
        <v>251</v>
      </c>
      <c r="AI72" s="2079"/>
      <c r="AJ72" s="1246"/>
      <c r="AK72" s="1246"/>
      <c r="AL72" s="1246"/>
      <c r="AM72" s="1246"/>
      <c r="AN72" s="1252" t="s">
        <v>240</v>
      </c>
      <c r="AO72" s="1253"/>
      <c r="AP72" s="125"/>
      <c r="AQ72" s="1222"/>
    </row>
    <row r="73" spans="29:46">
      <c r="AC73" s="125"/>
      <c r="AD73" s="125"/>
      <c r="AE73" s="1250">
        <v>1.25</v>
      </c>
      <c r="AF73" s="1246"/>
      <c r="AG73" s="1254" t="s">
        <v>236</v>
      </c>
      <c r="AH73" s="2082" t="s">
        <v>252</v>
      </c>
      <c r="AI73" s="2083"/>
      <c r="AJ73" s="1246"/>
      <c r="AK73" s="1246"/>
      <c r="AL73" s="1246"/>
      <c r="AM73" s="1246"/>
      <c r="AN73" s="1255" t="s">
        <v>235</v>
      </c>
      <c r="AO73" s="1256">
        <f>+AL55</f>
        <v>4.7</v>
      </c>
      <c r="AP73" s="125"/>
      <c r="AQ73" s="1222"/>
    </row>
    <row r="74" spans="29:46">
      <c r="AC74" s="125"/>
      <c r="AD74" s="125"/>
      <c r="AE74" s="1257">
        <v>1.5</v>
      </c>
      <c r="AF74" s="1246"/>
      <c r="AG74" s="1254" t="s">
        <v>237</v>
      </c>
      <c r="AH74" s="2082" t="s">
        <v>253</v>
      </c>
      <c r="AI74" s="2083"/>
      <c r="AJ74" s="1246"/>
      <c r="AK74" s="1246"/>
      <c r="AL74" s="1246"/>
      <c r="AM74" s="1246"/>
      <c r="AN74" s="1255" t="s">
        <v>236</v>
      </c>
      <c r="AO74" s="1256">
        <f>+AM56</f>
        <v>4.4000000000000004</v>
      </c>
      <c r="AP74" s="125"/>
      <c r="AQ74" s="1222"/>
    </row>
    <row r="75" spans="29:46">
      <c r="AC75" s="125"/>
      <c r="AD75" s="125"/>
      <c r="AE75" s="1257">
        <v>1.75</v>
      </c>
      <c r="AF75" s="1246"/>
      <c r="AG75" s="1258" t="s">
        <v>238</v>
      </c>
      <c r="AH75" s="2076" t="s">
        <v>254</v>
      </c>
      <c r="AI75" s="2077"/>
      <c r="AJ75" s="1246"/>
      <c r="AK75" s="1246"/>
      <c r="AL75" s="1246"/>
      <c r="AM75" s="1246"/>
      <c r="AN75" s="1255" t="s">
        <v>237</v>
      </c>
      <c r="AO75" s="1256">
        <f>+AN57</f>
        <v>4.0999999999999996</v>
      </c>
      <c r="AP75" s="125"/>
      <c r="AQ75" s="1222"/>
    </row>
    <row r="76" spans="29:46">
      <c r="AC76" s="125"/>
      <c r="AD76" s="125"/>
      <c r="AE76" s="1257">
        <v>2</v>
      </c>
      <c r="AF76" s="1246"/>
      <c r="AG76" s="1246"/>
      <c r="AH76" s="1249"/>
      <c r="AI76" s="1246"/>
      <c r="AJ76" s="1246"/>
      <c r="AK76" s="1246"/>
      <c r="AL76" s="1246"/>
      <c r="AM76" s="1246"/>
      <c r="AN76" s="1259" t="s">
        <v>238</v>
      </c>
      <c r="AO76" s="1260">
        <f>+AO58</f>
        <v>3.7</v>
      </c>
      <c r="AP76" s="125"/>
      <c r="AQ76" s="1222"/>
    </row>
    <row r="77" spans="29:46">
      <c r="AC77" s="125"/>
      <c r="AD77" s="1244"/>
      <c r="AE77" s="1257">
        <v>2.25</v>
      </c>
      <c r="AF77" s="1246"/>
      <c r="AG77" s="1246"/>
      <c r="AH77" s="1249"/>
      <c r="AI77" s="1246"/>
      <c r="AJ77" s="1246"/>
      <c r="AK77" s="1246"/>
      <c r="AL77" s="1246"/>
      <c r="AM77" s="1246"/>
      <c r="AN77" s="1249"/>
      <c r="AO77" s="1261"/>
      <c r="AP77" s="125"/>
      <c r="AQ77" s="1222"/>
    </row>
    <row r="78" spans="29:46">
      <c r="AC78" s="125"/>
      <c r="AD78" s="1244"/>
      <c r="AE78" s="1257">
        <v>2.5</v>
      </c>
      <c r="AF78" s="1246"/>
      <c r="AG78" s="1246"/>
      <c r="AH78" s="1249"/>
      <c r="AI78" s="1246"/>
      <c r="AJ78" s="1246"/>
      <c r="AK78" s="1246"/>
      <c r="AL78" s="1246"/>
      <c r="AM78" s="1246"/>
      <c r="AN78" s="1249" t="s">
        <v>255</v>
      </c>
      <c r="AO78" s="1261"/>
      <c r="AP78" s="125"/>
      <c r="AQ78" s="1222"/>
    </row>
    <row r="79" spans="29:46">
      <c r="AC79" s="125"/>
      <c r="AD79" s="1244"/>
      <c r="AE79" s="1257">
        <v>2.75</v>
      </c>
      <c r="AF79" s="1246"/>
      <c r="AG79" s="1246"/>
      <c r="AH79" s="1249"/>
      <c r="AI79" s="1246"/>
      <c r="AJ79" s="1246"/>
      <c r="AK79" s="1246"/>
      <c r="AL79" s="1246"/>
      <c r="AM79" s="1246"/>
      <c r="AN79" s="1262" t="str">
        <f>AN54&amp;AK58</f>
        <v>StandardBasic</v>
      </c>
      <c r="AO79" s="1263">
        <f>+AN58</f>
        <v>3.5</v>
      </c>
      <c r="AP79" s="125"/>
      <c r="AQ79" s="1224"/>
    </row>
    <row r="80" spans="29:46">
      <c r="AC80" s="125"/>
      <c r="AD80" s="1244"/>
      <c r="AE80" s="1257">
        <v>3</v>
      </c>
      <c r="AF80" s="1246"/>
      <c r="AG80" s="1246"/>
      <c r="AH80" s="1249"/>
      <c r="AI80" s="1246"/>
      <c r="AJ80" s="1246"/>
      <c r="AK80" s="1246"/>
      <c r="AL80" s="1246"/>
      <c r="AM80" s="1246"/>
      <c r="AN80" s="1264" t="str">
        <f>+AM54&amp;AK57</f>
        <v>AdvancedStandard</v>
      </c>
      <c r="AO80" s="1256">
        <f>+AM57</f>
        <v>3.8</v>
      </c>
      <c r="AP80" s="125"/>
      <c r="AQ80" s="1224"/>
    </row>
    <row r="81" spans="29:43">
      <c r="AC81" s="125"/>
      <c r="AD81" s="1244"/>
      <c r="AE81" s="1257">
        <v>3.25</v>
      </c>
      <c r="AF81" s="1246"/>
      <c r="AG81" s="1246"/>
      <c r="AH81" s="1249"/>
      <c r="AI81" s="1246"/>
      <c r="AJ81" s="1246"/>
      <c r="AK81" s="1246"/>
      <c r="AL81" s="1246"/>
      <c r="AM81" s="1246"/>
      <c r="AN81" s="1264" t="str">
        <f>+AL54&amp;AK56</f>
        <v>LeadingAdvanced</v>
      </c>
      <c r="AO81" s="1256">
        <f>+AL56</f>
        <v>4.2</v>
      </c>
      <c r="AP81" s="125"/>
      <c r="AQ81" s="1224"/>
    </row>
    <row r="82" spans="29:43">
      <c r="AC82" s="125"/>
      <c r="AD82" s="1244"/>
      <c r="AE82" s="1257">
        <v>3.5</v>
      </c>
      <c r="AF82" s="1246"/>
      <c r="AG82" s="1246"/>
      <c r="AH82" s="1249"/>
      <c r="AI82" s="1246"/>
      <c r="AJ82" s="1246"/>
      <c r="AK82" s="1246"/>
      <c r="AL82" s="1246"/>
      <c r="AM82" s="1246"/>
      <c r="AN82" s="1255" t="str">
        <f>+AL54&amp;AK57</f>
        <v>LeadingStandard</v>
      </c>
      <c r="AO82" s="1256">
        <f>+AL57</f>
        <v>3.6</v>
      </c>
      <c r="AP82" s="125"/>
      <c r="AQ82" s="1222"/>
    </row>
    <row r="83" spans="29:43">
      <c r="AC83" s="125"/>
      <c r="AD83" s="125"/>
      <c r="AE83" s="1257">
        <v>3.75</v>
      </c>
      <c r="AF83" s="1246"/>
      <c r="AG83" s="1246"/>
      <c r="AH83" s="1246"/>
      <c r="AI83" s="1246"/>
      <c r="AJ83" s="1246"/>
      <c r="AK83" s="1246"/>
      <c r="AL83" s="1246"/>
      <c r="AM83" s="1246"/>
      <c r="AN83" s="1259" t="str">
        <f>+AN61&amp;"Basic"</f>
        <v>StandardBasic</v>
      </c>
      <c r="AO83" s="1265" t="s">
        <v>256</v>
      </c>
      <c r="AP83" s="125"/>
      <c r="AQ83" s="1222"/>
    </row>
    <row r="84" spans="29:43">
      <c r="AC84" s="125"/>
      <c r="AD84" s="125"/>
      <c r="AE84" s="1266">
        <v>4</v>
      </c>
      <c r="AF84" s="1246"/>
      <c r="AG84" s="1246"/>
      <c r="AH84" s="1246"/>
      <c r="AI84" s="1246"/>
      <c r="AJ84" s="1246"/>
      <c r="AK84" s="1246"/>
      <c r="AL84" s="1246"/>
      <c r="AM84" s="1246"/>
      <c r="AN84" s="1246"/>
      <c r="AO84" s="1246"/>
      <c r="AP84" s="125"/>
    </row>
    <row r="85" spans="29:43">
      <c r="AC85" s="125"/>
      <c r="AD85" s="125"/>
      <c r="AE85" s="1246"/>
      <c r="AF85" s="1246"/>
      <c r="AG85" s="1246"/>
      <c r="AH85" s="1246"/>
      <c r="AI85" s="1246"/>
      <c r="AJ85" s="1246"/>
      <c r="AK85" s="1246"/>
      <c r="AL85" s="1246"/>
      <c r="AM85" s="1246"/>
      <c r="AN85" s="1246"/>
      <c r="AO85" s="1246"/>
      <c r="AP85" s="125"/>
    </row>
  </sheetData>
  <mergeCells count="7">
    <mergeCell ref="AH75:AI75"/>
    <mergeCell ref="AH72:AI72"/>
    <mergeCell ref="B3:F3"/>
    <mergeCell ref="AL52:AO52"/>
    <mergeCell ref="AJ55:AJ59"/>
    <mergeCell ref="AH73:AI73"/>
    <mergeCell ref="AH74:AI74"/>
  </mergeCells>
  <phoneticPr fontId="0" type="noConversion"/>
  <conditionalFormatting sqref="AQ60">
    <cfRule type="containsText" dxfId="175" priority="73" operator="containsText" text="Leading">
      <formula>NOT(ISERROR(SEARCH("Leading",AQ60)))</formula>
    </cfRule>
    <cfRule type="containsText" dxfId="174" priority="74" operator="containsText" text="Advanced">
      <formula>NOT(ISERROR(SEARCH("Advanced",AQ60)))</formula>
    </cfRule>
    <cfRule type="containsText" dxfId="173" priority="75" operator="containsText" text="Standard">
      <formula>NOT(ISERROR(SEARCH("Standard",AQ60)))</formula>
    </cfRule>
    <cfRule type="containsText" dxfId="172" priority="76" operator="containsText" text="Basic">
      <formula>NOT(ISERROR(SEARCH("Basic",AQ60)))</formula>
    </cfRule>
  </conditionalFormatting>
  <conditionalFormatting sqref="AQ64">
    <cfRule type="containsText" dxfId="171" priority="69" operator="containsText" text="Leading">
      <formula>NOT(ISERROR(SEARCH("Leading",AQ64)))</formula>
    </cfRule>
    <cfRule type="containsText" dxfId="170" priority="70" operator="containsText" text="Advanced">
      <formula>NOT(ISERROR(SEARCH("Advanced",AQ64)))</formula>
    </cfRule>
    <cfRule type="containsText" dxfId="169" priority="71" operator="containsText" text="Standard">
      <formula>NOT(ISERROR(SEARCH("Standard",AQ64)))</formula>
    </cfRule>
    <cfRule type="containsText" dxfId="168" priority="72" operator="containsText" text="Basic">
      <formula>NOT(ISERROR(SEARCH("Basic",AQ64)))</formula>
    </cfRule>
  </conditionalFormatting>
  <conditionalFormatting sqref="AD64 AF64">
    <cfRule type="containsText" dxfId="167" priority="33" operator="containsText" text="Leading">
      <formula>NOT(ISERROR(SEARCH("Leading",AD64)))</formula>
    </cfRule>
    <cfRule type="containsText" dxfId="166" priority="34" operator="containsText" text="Advanced">
      <formula>NOT(ISERROR(SEARCH("Advanced",AD64)))</formula>
    </cfRule>
    <cfRule type="containsText" dxfId="165" priority="35" operator="containsText" text="Standard">
      <formula>NOT(ISERROR(SEARCH("Standard",AD64)))</formula>
    </cfRule>
    <cfRule type="containsText" dxfId="164" priority="36" operator="containsText" text="Basic">
      <formula>NOT(ISERROR(SEARCH("Basic",AD64)))</formula>
    </cfRule>
  </conditionalFormatting>
  <conditionalFormatting sqref="AN61">
    <cfRule type="containsText" dxfId="163" priority="13" operator="containsText" text="Leading">
      <formula>NOT(ISERROR(SEARCH("Leading",AN61)))</formula>
    </cfRule>
    <cfRule type="containsText" dxfId="162" priority="14" operator="containsText" text="Advanced">
      <formula>NOT(ISERROR(SEARCH("Advanced",AN61)))</formula>
    </cfRule>
    <cfRule type="containsText" dxfId="161" priority="15" operator="containsText" text="Standard">
      <formula>NOT(ISERROR(SEARCH("Standard",AN61)))</formula>
    </cfRule>
    <cfRule type="containsText" dxfId="160" priority="16" operator="containsText" text="Basic">
      <formula>NOT(ISERROR(SEARCH("Basic",AN61)))</formula>
    </cfRule>
  </conditionalFormatting>
  <conditionalFormatting sqref="AN65">
    <cfRule type="containsText" dxfId="159" priority="9" operator="containsText" text="Leading">
      <formula>NOT(ISERROR(SEARCH("Leading",AN65)))</formula>
    </cfRule>
    <cfRule type="containsText" dxfId="158" priority="10" operator="containsText" text="Advanced">
      <formula>NOT(ISERROR(SEARCH("Advanced",AN65)))</formula>
    </cfRule>
    <cfRule type="containsText" dxfId="157" priority="11" operator="containsText" text="Standard">
      <formula>NOT(ISERROR(SEARCH("Standard",AN65)))</formula>
    </cfRule>
    <cfRule type="containsText" dxfId="156" priority="12" operator="containsText" text="Basic">
      <formula>NOT(ISERROR(SEARCH("Basic",AN65)))</formula>
    </cfRule>
  </conditionalFormatting>
  <conditionalFormatting sqref="AO63">
    <cfRule type="cellIs" dxfId="155" priority="7" operator="notEqual">
      <formula>0</formula>
    </cfRule>
    <cfRule type="cellIs" dxfId="154" priority="8" operator="equal">
      <formula>0</formula>
    </cfRule>
  </conditionalFormatting>
  <conditionalFormatting sqref="AO61">
    <cfRule type="cellIs" dxfId="153" priority="5" operator="notEqual">
      <formula>0</formula>
    </cfRule>
    <cfRule type="cellIs" dxfId="152" priority="6" operator="equal">
      <formula>0</formula>
    </cfRule>
  </conditionalFormatting>
  <conditionalFormatting sqref="AO64">
    <cfRule type="cellIs" dxfId="151" priority="3" operator="notEqual">
      <formula>0</formula>
    </cfRule>
    <cfRule type="cellIs" dxfId="150" priority="4" operator="equal">
      <formula>0</formula>
    </cfRule>
  </conditionalFormatting>
  <conditionalFormatting sqref="AO65">
    <cfRule type="cellIs" dxfId="149" priority="1" operator="notEqual">
      <formula>0</formula>
    </cfRule>
    <cfRule type="cellIs" dxfId="148" priority="2" operator="equal">
      <formula>0</formula>
    </cfRule>
  </conditionalFormatting>
  <dataValidations count="3">
    <dataValidation type="list" allowBlank="1" showInputMessage="1" showErrorMessage="1" sqref="AD55:AD58" xr:uid="{00000000-0002-0000-0200-000000000000}">
      <formula1>$AE$71:$AE$84</formula1>
    </dataValidation>
    <dataValidation type="list" allowBlank="1" showInputMessage="1" showErrorMessage="1" sqref="AF55:AF58" xr:uid="{00000000-0002-0000-0200-000001000000}">
      <formula1>$AE$72:$AE$84</formula1>
    </dataValidation>
    <dataValidation type="list" allowBlank="1" showInputMessage="1" showErrorMessage="1" sqref="AN65 AN61 AP61 AQ60 AP65 AQ64" xr:uid="{00000000-0002-0000-0200-000002000000}">
      <formula1>$AN$72:$AN$76</formula1>
    </dataValidation>
  </dataValidations>
  <hyperlinks>
    <hyperlink ref="B3" location="HL_Home" tooltip="Go to Table of Contents" display="HL_Home" xr:uid="{00000000-0004-0000-0200-000000000000}"/>
  </hyperlinks>
  <pageMargins left="0.39370078740157499" right="0.39370078740157499" top="0.59055118110236249" bottom="0.98425196850393748" header="0" footer="0.31496062992125973"/>
  <pageSetup paperSize="9" scale="68" orientation="landscape" r:id="rId1"/>
  <headerFooter alignWithMargins="0">
    <oddHeader>&amp;C&amp;"Calibri"&amp;14&amp;KFF0000 OFFICIAL&amp;1#_x000D_&amp;"Arial"&amp;8&amp;K000000&amp;"Arial"&amp;8&amp;K000000&amp;B&amp;"Arial"&amp;12&amp;Kff0000​‌OFFICIAL‌​</oddHeader>
    <oddFooter>&amp;C&amp;"Arial,Bold"&amp;8Sheet a.
Page &amp;P of &amp;N&amp;L&amp;"Arial,Bold"&amp;7&amp;F
&amp;A
Printed: &amp;T on &amp;D</oddFooter>
  </headerFooter>
  <ignoredErrors>
    <ignoredError sqref="V26 W26:AA26" formulaRange="1"/>
    <ignoredError sqref="AE23:AO23"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2717" r:id="rId4" name="Option Button 189">
              <controlPr locked="0" defaultSize="0" autoFill="0" autoLine="0" autoPict="0" macro="[0]!HideTarBask">
                <anchor moveWithCells="1">
                  <from>
                    <xdr:col>23</xdr:col>
                    <xdr:colOff>38100</xdr:colOff>
                    <xdr:row>31</xdr:row>
                    <xdr:rowOff>0</xdr:rowOff>
                  </from>
                  <to>
                    <xdr:col>23</xdr:col>
                    <xdr:colOff>409575</xdr:colOff>
                    <xdr:row>32</xdr:row>
                    <xdr:rowOff>47625</xdr:rowOff>
                  </to>
                </anchor>
              </controlPr>
            </control>
          </mc:Choice>
        </mc:AlternateContent>
        <mc:AlternateContent xmlns:mc="http://schemas.openxmlformats.org/markup-compatibility/2006">
          <mc:Choice Requires="x14">
            <control shapeId="22718" r:id="rId5" name="Option Button 190">
              <controlPr locked="0" defaultSize="0" autoFill="0" autoLine="0" autoPict="0" macro="[0]!HidePriceCap">
                <anchor moveWithCells="1">
                  <from>
                    <xdr:col>23</xdr:col>
                    <xdr:colOff>38100</xdr:colOff>
                    <xdr:row>32</xdr:row>
                    <xdr:rowOff>85725</xdr:rowOff>
                  </from>
                  <to>
                    <xdr:col>23</xdr:col>
                    <xdr:colOff>409575</xdr:colOff>
                    <xdr:row>34</xdr:row>
                    <xdr:rowOff>28575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6">
    <pageSetUpPr autoPageBreaks="0"/>
  </sheetPr>
  <dimension ref="A1:BO40"/>
  <sheetViews>
    <sheetView showGridLines="0" zoomScaleNormal="100" workbookViewId="0">
      <pane ySplit="7" topLeftCell="A8" activePane="bottomLeft" state="frozen"/>
      <selection activeCell="L16" sqref="L16"/>
      <selection pane="bottomLeft" activeCell="Z25" sqref="Z25"/>
    </sheetView>
  </sheetViews>
  <sheetFormatPr defaultColWidth="10.83203125" defaultRowHeight="12" outlineLevelCol="1"/>
  <cols>
    <col min="1" max="5" width="3.83203125" style="63" customWidth="1"/>
    <col min="6" max="6" width="12.6640625" style="63" customWidth="1"/>
    <col min="7" max="7" width="14.6640625" style="63" customWidth="1"/>
    <col min="8" max="9" width="15" style="316" customWidth="1"/>
    <col min="10" max="15" width="14.83203125" style="63" hidden="1" customWidth="1" outlineLevel="1"/>
    <col min="16" max="25" width="10.83203125" style="63" hidden="1" customWidth="1" outlineLevel="1"/>
    <col min="26" max="26" width="10.83203125" style="63" customWidth="1" collapsed="1"/>
    <col min="27" max="33" width="10.83203125" style="63" customWidth="1"/>
    <col min="34" max="35" width="10.5" style="63" customWidth="1"/>
    <col min="36" max="41" width="10.83203125" style="63" customWidth="1"/>
    <col min="42" max="42" width="1.1640625" style="63" customWidth="1"/>
    <col min="43" max="43" width="10.83203125" style="63"/>
    <col min="44" max="45" width="12.6640625" style="63" bestFit="1" customWidth="1"/>
    <col min="46" max="46" width="2" style="63" customWidth="1"/>
    <col min="47" max="48" width="12.6640625" style="63" bestFit="1" customWidth="1"/>
    <col min="49" max="49" width="12.6640625" style="63" customWidth="1"/>
    <col min="50" max="51" width="2.5" style="63" customWidth="1"/>
    <col min="52" max="16384" width="10.83203125" style="63"/>
  </cols>
  <sheetData>
    <row r="1" spans="1:67" ht="15">
      <c r="A1" s="139">
        <v>80</v>
      </c>
      <c r="B1" s="140" t="s">
        <v>257</v>
      </c>
    </row>
    <row r="2" spans="1:67" ht="12.75">
      <c r="B2" s="142" t="str">
        <f>+Contents!H7</f>
        <v>Melbourne Water</v>
      </c>
    </row>
    <row r="3" spans="1:67">
      <c r="B3" s="2075" t="s">
        <v>138</v>
      </c>
      <c r="C3" s="2075"/>
      <c r="D3" s="2075"/>
      <c r="E3" s="2075"/>
      <c r="F3" s="2075"/>
      <c r="G3" s="452"/>
    </row>
    <row r="4" spans="1:67">
      <c r="A4" s="147"/>
      <c r="B4" s="65"/>
      <c r="C4" s="66"/>
      <c r="F4" s="57"/>
      <c r="K4" s="1208"/>
      <c r="L4" s="1209" t="s">
        <v>187</v>
      </c>
      <c r="M4" s="1210"/>
      <c r="N4" s="1208"/>
      <c r="O4" s="1211"/>
      <c r="P4" s="1209" t="s">
        <v>188</v>
      </c>
      <c r="Q4" s="1211"/>
      <c r="R4" s="1210"/>
      <c r="S4" s="1208"/>
      <c r="T4" s="1209" t="s">
        <v>189</v>
      </c>
      <c r="U4" s="1211"/>
      <c r="V4" s="1208"/>
      <c r="W4" s="1211"/>
      <c r="X4" s="1209" t="s">
        <v>190</v>
      </c>
      <c r="Y4" s="1213"/>
      <c r="Z4" s="1210"/>
      <c r="AA4" s="1208"/>
      <c r="AB4" s="1211"/>
      <c r="AC4" s="1209" t="s">
        <v>139</v>
      </c>
      <c r="AD4" s="1211"/>
      <c r="AE4" s="1210"/>
      <c r="AF4" s="1287"/>
      <c r="AG4" s="721"/>
      <c r="AH4" s="1209" t="s">
        <v>140</v>
      </c>
      <c r="AI4" s="721"/>
      <c r="AJ4" s="1207"/>
      <c r="AK4" s="1287"/>
      <c r="AL4" s="721"/>
      <c r="AM4" s="1209" t="s">
        <v>141</v>
      </c>
      <c r="AN4" s="721"/>
      <c r="AO4" s="1207"/>
      <c r="AQ4" s="2084" t="s">
        <v>258</v>
      </c>
      <c r="AR4" s="2085"/>
      <c r="AS4" s="2086"/>
      <c r="AU4" s="2084" t="s">
        <v>259</v>
      </c>
      <c r="AV4" s="2085"/>
      <c r="AW4" s="2086"/>
    </row>
    <row r="6" spans="1:67">
      <c r="B6" s="148"/>
      <c r="F6" s="149" t="s">
        <v>142</v>
      </c>
      <c r="J6" s="59"/>
      <c r="K6" s="59"/>
      <c r="L6" s="59"/>
      <c r="M6" s="59"/>
      <c r="N6" s="59"/>
      <c r="O6" s="59"/>
      <c r="P6" s="59"/>
      <c r="Q6" s="59"/>
      <c r="R6" s="59"/>
      <c r="S6" s="59"/>
      <c r="T6" s="59"/>
      <c r="U6" s="59"/>
      <c r="V6" s="59"/>
      <c r="W6" s="59"/>
      <c r="X6" s="59"/>
      <c r="Y6" s="59"/>
      <c r="Z6" s="59">
        <v>2021</v>
      </c>
      <c r="AA6" s="59">
        <v>2022</v>
      </c>
      <c r="AB6" s="59">
        <v>2023</v>
      </c>
      <c r="AC6" s="60">
        <v>2024</v>
      </c>
      <c r="AD6" s="60">
        <v>2025</v>
      </c>
      <c r="AE6" s="60">
        <v>2026</v>
      </c>
      <c r="AF6" s="60">
        <v>2027</v>
      </c>
      <c r="AG6" s="60">
        <v>2028</v>
      </c>
      <c r="AH6" s="60">
        <v>2029</v>
      </c>
      <c r="AI6" s="60">
        <v>2030</v>
      </c>
      <c r="AJ6" s="60">
        <v>2031</v>
      </c>
      <c r="AK6" s="60">
        <f>AJ6+1</f>
        <v>2032</v>
      </c>
      <c r="AL6" s="60">
        <f>AK6+1</f>
        <v>2033</v>
      </c>
      <c r="AM6" s="60">
        <f>AL6+1</f>
        <v>2034</v>
      </c>
      <c r="AN6" s="60">
        <f>AM6+1</f>
        <v>2035</v>
      </c>
      <c r="AO6" s="60">
        <f>AN6+1</f>
        <v>2036</v>
      </c>
    </row>
    <row r="7" spans="1:67" ht="14.25">
      <c r="A7" s="68"/>
      <c r="B7" s="63" t="str">
        <f>Expenditure_Detail!$B$6</f>
        <v>$m, 01/01/26</v>
      </c>
      <c r="C7" s="68"/>
      <c r="D7" s="68"/>
      <c r="E7" s="68"/>
      <c r="F7" s="151" t="s">
        <v>143</v>
      </c>
      <c r="G7" s="68"/>
      <c r="H7" s="453"/>
      <c r="I7" s="453"/>
      <c r="J7" s="61"/>
      <c r="K7" s="61"/>
      <c r="L7" s="61"/>
      <c r="M7" s="61"/>
      <c r="N7" s="61"/>
      <c r="O7" s="61"/>
      <c r="P7" s="61"/>
      <c r="Q7" s="61"/>
      <c r="R7" s="61"/>
      <c r="S7" s="61"/>
      <c r="T7" s="61"/>
      <c r="U7" s="61"/>
      <c r="V7" s="61"/>
      <c r="W7" s="61"/>
      <c r="X7" s="61"/>
      <c r="Y7" s="61"/>
      <c r="Z7" s="61" t="str">
        <f t="shared" ref="Z7:AO7" si="0">+CONCATENATE(Z6-1,"-",RIGHT(Z6,2))</f>
        <v>2020-21</v>
      </c>
      <c r="AA7" s="61" t="str">
        <f t="shared" si="0"/>
        <v>2021-22</v>
      </c>
      <c r="AB7" s="61" t="str">
        <f t="shared" si="0"/>
        <v>2022-23</v>
      </c>
      <c r="AC7" s="61" t="str">
        <f t="shared" si="0"/>
        <v>2023-24</v>
      </c>
      <c r="AD7" s="61" t="str">
        <f t="shared" si="0"/>
        <v>2024-25</v>
      </c>
      <c r="AE7" s="61" t="str">
        <f t="shared" si="0"/>
        <v>2025-26</v>
      </c>
      <c r="AF7" s="61" t="str">
        <f t="shared" si="0"/>
        <v>2026-27</v>
      </c>
      <c r="AG7" s="61" t="str">
        <f t="shared" si="0"/>
        <v>2027-28</v>
      </c>
      <c r="AH7" s="61" t="str">
        <f t="shared" si="0"/>
        <v>2028-29</v>
      </c>
      <c r="AI7" s="61" t="str">
        <f t="shared" si="0"/>
        <v>2029-30</v>
      </c>
      <c r="AJ7" s="61" t="str">
        <f t="shared" si="0"/>
        <v>2030-31</v>
      </c>
      <c r="AK7" s="61" t="str">
        <f t="shared" si="0"/>
        <v>2031-32</v>
      </c>
      <c r="AL7" s="61" t="str">
        <f t="shared" si="0"/>
        <v>2032-33</v>
      </c>
      <c r="AM7" s="61" t="str">
        <f t="shared" si="0"/>
        <v>2033-34</v>
      </c>
      <c r="AN7" s="61" t="str">
        <f t="shared" si="0"/>
        <v>2034-35</v>
      </c>
      <c r="AO7" s="61" t="str">
        <f t="shared" si="0"/>
        <v>2035-36</v>
      </c>
      <c r="AQ7" s="1587" t="s">
        <v>260</v>
      </c>
      <c r="AR7" s="1587" t="s">
        <v>261</v>
      </c>
      <c r="AS7" s="1587" t="s">
        <v>262</v>
      </c>
      <c r="AU7" s="1587" t="s">
        <v>260</v>
      </c>
      <c r="AV7" s="1587" t="s">
        <v>261</v>
      </c>
      <c r="AW7" s="1587" t="s">
        <v>262</v>
      </c>
    </row>
    <row r="8" spans="1:67">
      <c r="H8" s="454"/>
      <c r="I8" s="454"/>
    </row>
    <row r="9" spans="1:67">
      <c r="H9" s="212"/>
      <c r="I9" s="212"/>
    </row>
    <row r="10" spans="1:67" ht="12.75" thickBot="1">
      <c r="D10" s="197"/>
      <c r="H10" s="212"/>
      <c r="I10" s="212"/>
    </row>
    <row r="11" spans="1:67">
      <c r="E11" s="152"/>
      <c r="F11" s="153"/>
      <c r="G11" s="153"/>
      <c r="H11" s="455"/>
      <c r="I11" s="455"/>
      <c r="J11" s="153"/>
      <c r="K11" s="153"/>
      <c r="L11" s="153"/>
      <c r="M11" s="153"/>
      <c r="N11" s="153"/>
      <c r="O11" s="153"/>
      <c r="P11" s="153"/>
      <c r="Q11" s="153"/>
      <c r="R11" s="153"/>
      <c r="S11" s="153"/>
      <c r="T11" s="153"/>
      <c r="U11" s="153"/>
      <c r="V11" s="153"/>
      <c r="W11" s="153"/>
      <c r="X11" s="153"/>
      <c r="Y11" s="153"/>
      <c r="Z11" s="153"/>
      <c r="AA11" s="153"/>
      <c r="AB11" s="153"/>
      <c r="AC11" s="153"/>
      <c r="AD11" s="153"/>
      <c r="AE11" s="153"/>
      <c r="AF11" s="153"/>
      <c r="AG11" s="153"/>
      <c r="AH11" s="153"/>
      <c r="AI11" s="153"/>
      <c r="AJ11" s="153"/>
      <c r="AK11" s="153"/>
      <c r="AL11" s="153"/>
      <c r="AM11" s="153"/>
      <c r="AN11" s="153"/>
      <c r="AO11" s="154"/>
      <c r="AQ11" s="152"/>
      <c r="AR11" s="153"/>
      <c r="AS11" s="154"/>
      <c r="AU11" s="152"/>
      <c r="AV11" s="153"/>
      <c r="AW11" s="153"/>
      <c r="AX11" s="154"/>
    </row>
    <row r="12" spans="1:67">
      <c r="E12" s="456"/>
      <c r="F12" s="457" t="s">
        <v>263</v>
      </c>
      <c r="H12" s="212"/>
      <c r="I12" s="212"/>
      <c r="J12" s="296"/>
      <c r="K12" s="296"/>
      <c r="L12" s="296"/>
      <c r="M12" s="296"/>
      <c r="N12" s="296"/>
      <c r="O12" s="296"/>
      <c r="P12" s="296"/>
      <c r="Q12" s="296"/>
      <c r="R12" s="296"/>
      <c r="S12" s="296"/>
      <c r="T12" s="296"/>
      <c r="U12" s="296"/>
      <c r="V12" s="296"/>
      <c r="W12" s="296"/>
      <c r="X12" s="296"/>
      <c r="Y12" s="296"/>
      <c r="Z12" s="296"/>
      <c r="AA12" s="296"/>
      <c r="AB12" s="296"/>
      <c r="AC12" s="296"/>
      <c r="AD12" s="296"/>
      <c r="AE12" s="296"/>
      <c r="AF12" s="296"/>
      <c r="AG12" s="296"/>
      <c r="AH12" s="296"/>
      <c r="AI12" s="296"/>
      <c r="AJ12" s="296"/>
      <c r="AK12" s="296"/>
      <c r="AL12" s="296"/>
      <c r="AM12" s="296"/>
      <c r="AN12" s="296"/>
      <c r="AO12" s="1589"/>
      <c r="AP12" s="157"/>
      <c r="AQ12" s="155"/>
      <c r="AS12" s="157"/>
      <c r="AU12" s="155"/>
      <c r="AX12" s="157"/>
    </row>
    <row r="13" spans="1:67">
      <c r="E13" s="456"/>
      <c r="F13" s="457"/>
      <c r="G13" s="63" t="s">
        <v>264</v>
      </c>
      <c r="H13" s="212"/>
      <c r="I13" s="212"/>
      <c r="J13" s="296"/>
      <c r="K13" s="296"/>
      <c r="L13" s="296"/>
      <c r="M13" s="296"/>
      <c r="N13" s="296"/>
      <c r="O13" s="296"/>
      <c r="P13" s="296"/>
      <c r="Q13" s="296"/>
      <c r="R13" s="296"/>
      <c r="S13" s="296"/>
      <c r="T13" s="296"/>
      <c r="U13" s="296"/>
      <c r="V13" s="296"/>
      <c r="W13" s="296"/>
      <c r="X13" s="296"/>
      <c r="Y13" s="296"/>
      <c r="Z13" s="296">
        <f>Opex_Breakdown!U17</f>
        <v>463.4341967889622</v>
      </c>
      <c r="AA13" s="296">
        <f>Opex_Breakdown!V17</f>
        <v>501.2491774159792</v>
      </c>
      <c r="AB13" s="296">
        <f>Opex_Breakdown!W17</f>
        <v>500.26722780491616</v>
      </c>
      <c r="AC13" s="296">
        <f>Opex_Breakdown!X17</f>
        <v>508.48725061361989</v>
      </c>
      <c r="AD13" s="296">
        <f>Opex_Breakdown!Y17</f>
        <v>568.05319685796928</v>
      </c>
      <c r="AE13" s="296">
        <f>Opex_Breakdown!Z17</f>
        <v>547.84335201999977</v>
      </c>
      <c r="AF13" s="296">
        <f>Opex_Breakdown!AA17</f>
        <v>545.45973319354857</v>
      </c>
      <c r="AG13" s="296">
        <f>Opex_Breakdown!AB17</f>
        <v>551.14985044551531</v>
      </c>
      <c r="AH13" s="296">
        <f>Opex_Breakdown!AC17</f>
        <v>561.95351311879097</v>
      </c>
      <c r="AI13" s="296">
        <f>Opex_Breakdown!AD17</f>
        <v>565.25181980440391</v>
      </c>
      <c r="AJ13" s="296">
        <f>Opex_Breakdown!AE17</f>
        <v>566.14799284372646</v>
      </c>
      <c r="AK13" s="296">
        <f>Opex_Breakdown!AF17</f>
        <v>565.72662591603273</v>
      </c>
      <c r="AL13" s="296">
        <f>Opex_Breakdown!AG17</f>
        <v>564.92478358474898</v>
      </c>
      <c r="AM13" s="296">
        <f>Opex_Breakdown!AH17</f>
        <v>563.84208181640099</v>
      </c>
      <c r="AN13" s="296">
        <f>Opex_Breakdown!AI17</f>
        <v>564.75118862126078</v>
      </c>
      <c r="AO13" s="1589">
        <f>Opex_Breakdown!AJ17</f>
        <v>562.37815884444956</v>
      </c>
      <c r="AP13" s="157"/>
      <c r="AQ13" s="1800">
        <f>SUM($AA13:$AE13)</f>
        <v>2625.9002047124841</v>
      </c>
      <c r="AR13" s="1047">
        <f>SUM($AF13:$AJ13)</f>
        <v>2789.9629094059856</v>
      </c>
      <c r="AS13" s="526">
        <f>SUM($AK13:$AO13)</f>
        <v>2821.6228387828928</v>
      </c>
      <c r="AU13" s="1800">
        <f>AVERAGE(AA13:AE13)</f>
        <v>525.18004094249682</v>
      </c>
      <c r="AV13" s="1047">
        <f>AVERAGE(AF13:AJ13)</f>
        <v>557.99258188119711</v>
      </c>
      <c r="AW13" s="116">
        <f>AVERAGE(AK13:AO13)</f>
        <v>564.32456775657852</v>
      </c>
      <c r="AX13" s="1588"/>
      <c r="AY13" s="842"/>
      <c r="AZ13" s="842"/>
      <c r="BA13" s="842"/>
      <c r="BB13" s="842"/>
      <c r="BC13" s="842"/>
      <c r="BD13" s="842"/>
      <c r="BE13" s="842"/>
      <c r="BF13" s="842"/>
      <c r="BG13" s="842"/>
      <c r="BH13" s="842"/>
      <c r="BI13" s="842"/>
      <c r="BJ13" s="842"/>
      <c r="BK13" s="842"/>
      <c r="BL13" s="842"/>
      <c r="BM13" s="842"/>
      <c r="BN13" s="842"/>
      <c r="BO13" s="842"/>
    </row>
    <row r="14" spans="1:67">
      <c r="E14" s="456"/>
      <c r="F14" s="457"/>
      <c r="G14" s="63" t="s">
        <v>265</v>
      </c>
      <c r="H14" s="212"/>
      <c r="I14" s="212"/>
      <c r="J14" s="296"/>
      <c r="K14" s="296"/>
      <c r="L14" s="296"/>
      <c r="M14" s="296"/>
      <c r="N14" s="296"/>
      <c r="O14" s="296"/>
      <c r="P14" s="296"/>
      <c r="Q14" s="296"/>
      <c r="R14" s="296"/>
      <c r="S14" s="296"/>
      <c r="T14" s="296"/>
      <c r="U14" s="296"/>
      <c r="V14" s="296"/>
      <c r="W14" s="296"/>
      <c r="X14" s="296"/>
      <c r="Y14" s="296"/>
      <c r="Z14" s="296">
        <f>Opex_Breakdown!U35</f>
        <v>686.06357081024782</v>
      </c>
      <c r="AA14" s="296">
        <f>Opex_Breakdown!V35</f>
        <v>685.8611776663605</v>
      </c>
      <c r="AB14" s="296">
        <f>Opex_Breakdown!W35</f>
        <v>665.782828117858</v>
      </c>
      <c r="AC14" s="296">
        <f>Opex_Breakdown!X35</f>
        <v>638.78386775152717</v>
      </c>
      <c r="AD14" s="296">
        <f>Opex_Breakdown!Y35</f>
        <v>596.52322021870089</v>
      </c>
      <c r="AE14" s="296">
        <f>Opex_Breakdown!Z35</f>
        <v>585.9735939028717</v>
      </c>
      <c r="AF14" s="296">
        <f>Opex_Breakdown!AA35</f>
        <v>569.63264090720713</v>
      </c>
      <c r="AG14" s="296">
        <f>Opex_Breakdown!AB35</f>
        <v>557.40691877124016</v>
      </c>
      <c r="AH14" s="296">
        <f>Opex_Breakdown!AC35</f>
        <v>552.50836712946898</v>
      </c>
      <c r="AI14" s="296">
        <f>Opex_Breakdown!AD35</f>
        <v>531.55884161976178</v>
      </c>
      <c r="AJ14" s="296">
        <f>Opex_Breakdown!AE35</f>
        <v>510.85754919950347</v>
      </c>
      <c r="AK14" s="296">
        <f>Opex_Breakdown!AF35</f>
        <v>488.58373966802463</v>
      </c>
      <c r="AL14" s="296">
        <f>Opex_Breakdown!AG35</f>
        <v>464.54818817739465</v>
      </c>
      <c r="AM14" s="296">
        <f>Opex_Breakdown!AH35</f>
        <v>429.38012434850913</v>
      </c>
      <c r="AN14" s="296">
        <f>Opex_Breakdown!AI35</f>
        <v>402.47349863105825</v>
      </c>
      <c r="AO14" s="1589">
        <f>Opex_Breakdown!AJ35</f>
        <v>374.45007434269405</v>
      </c>
      <c r="AP14" s="157"/>
      <c r="AQ14" s="1800">
        <f>SUM($AA14:$AE14)</f>
        <v>3172.9246876573179</v>
      </c>
      <c r="AR14" s="1047">
        <f>SUM($AF14:$AJ14)</f>
        <v>2721.9643176271816</v>
      </c>
      <c r="AS14" s="526">
        <f>SUM($AK14:$AO14)</f>
        <v>2159.4356251676809</v>
      </c>
      <c r="AU14" s="1800">
        <f>AVERAGE(AA14:AE14)</f>
        <v>634.58493753146354</v>
      </c>
      <c r="AV14" s="1047">
        <f>AVERAGE(AF14:AJ14)</f>
        <v>544.39286352543627</v>
      </c>
      <c r="AW14" s="116">
        <f>AVERAGE(AK14:AO14)</f>
        <v>431.88712503353617</v>
      </c>
      <c r="AX14" s="1588"/>
      <c r="AY14" s="842"/>
      <c r="AZ14" s="842"/>
      <c r="BA14" s="842"/>
      <c r="BB14" s="842"/>
      <c r="BC14" s="842"/>
      <c r="BD14" s="842"/>
      <c r="BE14" s="842"/>
      <c r="BF14" s="842"/>
      <c r="BG14" s="842"/>
      <c r="BH14" s="842"/>
      <c r="BI14" s="842"/>
      <c r="BJ14" s="842"/>
      <c r="BK14" s="842"/>
      <c r="BL14" s="842"/>
      <c r="BM14" s="842"/>
      <c r="BN14" s="842"/>
      <c r="BO14" s="842"/>
    </row>
    <row r="15" spans="1:67">
      <c r="E15" s="456"/>
      <c r="G15" s="63" t="s">
        <v>266</v>
      </c>
      <c r="H15" s="212"/>
      <c r="I15" s="212"/>
      <c r="J15" s="296"/>
      <c r="K15" s="296"/>
      <c r="L15" s="296"/>
      <c r="M15" s="296"/>
      <c r="N15" s="296"/>
      <c r="O15" s="296"/>
      <c r="P15" s="296"/>
      <c r="Q15" s="296"/>
      <c r="R15" s="296"/>
      <c r="S15" s="296"/>
      <c r="T15" s="296"/>
      <c r="U15" s="296"/>
      <c r="V15" s="296"/>
      <c r="W15" s="296"/>
      <c r="X15" s="296"/>
      <c r="Y15" s="296"/>
      <c r="Z15" s="296">
        <f>Opex_Breakdown!U39</f>
        <v>1149.49776759921</v>
      </c>
      <c r="AA15" s="296">
        <f>Opex_Breakdown!V39</f>
        <v>1187.1103550823398</v>
      </c>
      <c r="AB15" s="296">
        <f>Opex_Breakdown!W39</f>
        <v>1166.0500559227742</v>
      </c>
      <c r="AC15" s="296">
        <f>Opex_Breakdown!X39</f>
        <v>1147.271118365147</v>
      </c>
      <c r="AD15" s="296">
        <f>Opex_Breakdown!Y39</f>
        <v>1164.5764170766702</v>
      </c>
      <c r="AE15" s="296">
        <f>Opex_Breakdown!Z39</f>
        <v>1133.8169459228716</v>
      </c>
      <c r="AF15" s="458">
        <f>+Opex_FO_Summary!AA86</f>
        <v>1115.0923741007557</v>
      </c>
      <c r="AG15" s="270">
        <f>+Opex_FO_Summary!AB86</f>
        <v>1108.5567692167556</v>
      </c>
      <c r="AH15" s="270">
        <f>+Opex_FO_Summary!AC86</f>
        <v>1114.4618802482598</v>
      </c>
      <c r="AI15" s="270">
        <f>+Opex_FO_Summary!AD86</f>
        <v>1096.8106614241656</v>
      </c>
      <c r="AJ15" s="270">
        <f>+Opex_FO_Summary!AE86</f>
        <v>1077.0055420432298</v>
      </c>
      <c r="AK15" s="270">
        <f>+Opex_FO_Summary!AF86</f>
        <v>1054.3103655840573</v>
      </c>
      <c r="AL15" s="270">
        <f>+Opex_FO_Summary!AG86</f>
        <v>1029.4729717621435</v>
      </c>
      <c r="AM15" s="270">
        <f>+Opex_FO_Summary!AH86</f>
        <v>993.22220616490995</v>
      </c>
      <c r="AN15" s="270">
        <f>+Opex_FO_Summary!AI86</f>
        <v>967.22468725231897</v>
      </c>
      <c r="AO15" s="1368">
        <f>+Opex_FO_Summary!AJ86</f>
        <v>936.82823318714361</v>
      </c>
      <c r="AP15" s="157"/>
      <c r="AQ15" s="1800">
        <f>SUM($AA15:$AE15)</f>
        <v>5798.8248923698029</v>
      </c>
      <c r="AR15" s="1047">
        <f>SUM($AF15:$AJ15)</f>
        <v>5511.9272270331667</v>
      </c>
      <c r="AS15" s="526">
        <f>SUM($AK15:$AO15)</f>
        <v>4981.0584639505732</v>
      </c>
      <c r="AU15" s="1800">
        <f>AVERAGE(AA15:AE15)</f>
        <v>1159.7649784739606</v>
      </c>
      <c r="AV15" s="1047">
        <f>AVERAGE(AF15:AJ15)</f>
        <v>1102.3854454066334</v>
      </c>
      <c r="AW15" s="116">
        <f>AVERAGE(AK15:AO15)</f>
        <v>996.21169279011463</v>
      </c>
      <c r="AX15" s="1588"/>
      <c r="AY15" s="842"/>
      <c r="AZ15" s="842"/>
      <c r="BA15" s="842"/>
      <c r="BB15" s="842"/>
      <c r="BC15" s="842"/>
      <c r="BD15" s="842"/>
      <c r="BE15" s="842"/>
      <c r="BF15" s="842"/>
      <c r="BG15" s="842"/>
      <c r="BH15" s="842"/>
      <c r="BI15" s="842"/>
      <c r="BJ15" s="842"/>
      <c r="BK15" s="842"/>
      <c r="BL15" s="842"/>
      <c r="BM15" s="842"/>
      <c r="BN15" s="842"/>
      <c r="BO15" s="842"/>
    </row>
    <row r="16" spans="1:67">
      <c r="E16" s="459"/>
      <c r="H16" s="212"/>
      <c r="I16" s="212"/>
      <c r="J16" s="296"/>
      <c r="K16" s="296"/>
      <c r="L16" s="296"/>
      <c r="M16" s="296"/>
      <c r="N16" s="296"/>
      <c r="O16" s="296"/>
      <c r="P16" s="296"/>
      <c r="Q16" s="296"/>
      <c r="R16" s="296"/>
      <c r="S16" s="296"/>
      <c r="T16" s="296"/>
      <c r="U16" s="296"/>
      <c r="V16" s="296"/>
      <c r="W16" s="296"/>
      <c r="X16" s="296"/>
      <c r="Y16" s="296"/>
      <c r="Z16" s="296"/>
      <c r="AA16" s="296"/>
      <c r="AB16" s="296"/>
      <c r="AC16" s="296"/>
      <c r="AD16" s="296"/>
      <c r="AE16" s="296"/>
      <c r="AF16" s="296"/>
      <c r="AG16" s="296"/>
      <c r="AH16" s="296"/>
      <c r="AI16" s="296"/>
      <c r="AJ16" s="296"/>
      <c r="AK16" s="296"/>
      <c r="AL16" s="296"/>
      <c r="AM16" s="296"/>
      <c r="AN16" s="296"/>
      <c r="AO16" s="1589"/>
      <c r="AP16" s="157"/>
      <c r="AQ16" s="155"/>
      <c r="AR16" s="1630"/>
      <c r="AS16" s="157"/>
      <c r="AU16" s="1800"/>
      <c r="AV16" s="1047"/>
      <c r="AW16" s="116"/>
      <c r="AX16" s="1588"/>
      <c r="AY16" s="842"/>
      <c r="AZ16" s="842"/>
      <c r="BA16" s="842"/>
      <c r="BB16" s="842"/>
      <c r="BC16" s="842"/>
      <c r="BD16" s="842"/>
      <c r="BE16" s="842"/>
      <c r="BF16" s="842"/>
      <c r="BG16" s="842"/>
      <c r="BH16" s="842"/>
      <c r="BI16" s="842"/>
      <c r="BJ16" s="842"/>
      <c r="BK16" s="842"/>
      <c r="BL16" s="842"/>
      <c r="BM16" s="842"/>
      <c r="BN16" s="842"/>
      <c r="BO16" s="842"/>
    </row>
    <row r="17" spans="2:67">
      <c r="E17" s="459"/>
      <c r="H17" s="212"/>
      <c r="I17" s="212"/>
      <c r="J17" s="296"/>
      <c r="K17" s="296"/>
      <c r="L17" s="296"/>
      <c r="M17" s="296"/>
      <c r="N17" s="296"/>
      <c r="O17" s="296"/>
      <c r="P17" s="296"/>
      <c r="Q17" s="296"/>
      <c r="R17" s="296"/>
      <c r="S17" s="296"/>
      <c r="T17" s="296"/>
      <c r="U17" s="296"/>
      <c r="V17" s="296"/>
      <c r="W17" s="296"/>
      <c r="X17" s="296"/>
      <c r="Y17" s="296"/>
      <c r="Z17" s="296"/>
      <c r="AA17" s="296"/>
      <c r="AB17" s="296"/>
      <c r="AC17" s="296"/>
      <c r="AD17" s="296"/>
      <c r="AE17" s="296"/>
      <c r="AF17" s="296"/>
      <c r="AG17" s="296"/>
      <c r="AH17" s="296"/>
      <c r="AI17" s="296"/>
      <c r="AJ17" s="296"/>
      <c r="AK17" s="296"/>
      <c r="AL17" s="296"/>
      <c r="AM17" s="296"/>
      <c r="AN17" s="296"/>
      <c r="AO17" s="1589"/>
      <c r="AP17" s="157"/>
      <c r="AQ17" s="155"/>
      <c r="AR17" s="1630"/>
      <c r="AS17" s="157"/>
      <c r="AU17" s="1800"/>
      <c r="AV17" s="1047"/>
      <c r="AW17" s="116"/>
      <c r="AX17" s="1588"/>
      <c r="AY17" s="842"/>
      <c r="AZ17" s="842"/>
      <c r="BA17" s="842"/>
      <c r="BB17" s="842"/>
      <c r="BC17" s="842"/>
      <c r="BD17" s="842"/>
      <c r="BE17" s="842"/>
      <c r="BF17" s="842"/>
      <c r="BG17" s="842"/>
      <c r="BH17" s="842"/>
      <c r="BI17" s="842"/>
      <c r="BJ17" s="842"/>
      <c r="BK17" s="842"/>
      <c r="BL17" s="842"/>
      <c r="BM17" s="842"/>
      <c r="BN17" s="842"/>
      <c r="BO17" s="842"/>
    </row>
    <row r="18" spans="2:67">
      <c r="E18" s="155"/>
      <c r="F18" s="457" t="s">
        <v>267</v>
      </c>
      <c r="H18" s="212"/>
      <c r="I18" s="212"/>
      <c r="J18" s="116"/>
      <c r="K18" s="116"/>
      <c r="L18" s="116"/>
      <c r="M18" s="116"/>
      <c r="N18" s="116"/>
      <c r="O18" s="116"/>
      <c r="P18" s="116"/>
      <c r="Q18" s="116"/>
      <c r="R18" s="116"/>
      <c r="S18" s="116"/>
      <c r="T18" s="116"/>
      <c r="U18" s="116"/>
      <c r="V18" s="116"/>
      <c r="W18" s="116"/>
      <c r="X18" s="116"/>
      <c r="Y18" s="116"/>
      <c r="Z18" s="116"/>
      <c r="AA18" s="116"/>
      <c r="AB18" s="116"/>
      <c r="AC18" s="116"/>
      <c r="AD18" s="116"/>
      <c r="AE18" s="116"/>
      <c r="AF18" s="116"/>
      <c r="AG18" s="116"/>
      <c r="AH18" s="116"/>
      <c r="AI18" s="116"/>
      <c r="AJ18" s="116"/>
      <c r="AK18" s="116"/>
      <c r="AL18" s="116"/>
      <c r="AM18" s="116"/>
      <c r="AN18" s="116"/>
      <c r="AO18" s="526"/>
      <c r="AP18" s="157"/>
      <c r="AQ18" s="155"/>
      <c r="AR18" s="1630"/>
      <c r="AS18" s="157"/>
      <c r="AU18" s="1800"/>
      <c r="AV18" s="1047"/>
      <c r="AW18" s="116"/>
      <c r="AX18" s="1588"/>
      <c r="AY18" s="842"/>
      <c r="AZ18" s="842"/>
      <c r="BA18" s="842"/>
      <c r="BB18" s="842"/>
      <c r="BC18" s="842"/>
      <c r="BD18" s="842"/>
      <c r="BE18" s="842"/>
      <c r="BF18" s="842"/>
      <c r="BG18" s="842"/>
      <c r="BH18" s="842"/>
      <c r="BI18" s="842"/>
      <c r="BJ18" s="842"/>
      <c r="BK18" s="842"/>
      <c r="BL18" s="842"/>
      <c r="BM18" s="842"/>
      <c r="BN18" s="842"/>
      <c r="BO18" s="842"/>
    </row>
    <row r="19" spans="2:67">
      <c r="E19" s="155"/>
      <c r="G19" s="63" t="s">
        <v>268</v>
      </c>
      <c r="H19" s="212"/>
      <c r="I19" s="212"/>
      <c r="J19" s="116"/>
      <c r="K19" s="116"/>
      <c r="L19" s="116"/>
      <c r="M19" s="116"/>
      <c r="N19" s="116"/>
      <c r="O19" s="116"/>
      <c r="P19" s="116"/>
      <c r="Q19" s="116"/>
      <c r="R19" s="116"/>
      <c r="S19" s="116"/>
      <c r="T19" s="116"/>
      <c r="U19" s="116"/>
      <c r="V19" s="116"/>
      <c r="W19" s="111"/>
      <c r="X19" s="111"/>
      <c r="Y19" s="111"/>
      <c r="Z19" s="111">
        <f>Capex_FO_AC!U18</f>
        <v>797.02440927545513</v>
      </c>
      <c r="AA19" s="111">
        <f>Capex_FO_AC!V18</f>
        <v>751.86183677857571</v>
      </c>
      <c r="AB19" s="111">
        <f>Capex_FO_AC!W18</f>
        <v>883.33185422705719</v>
      </c>
      <c r="AC19" s="111">
        <f>Capex_FO_AC!X18</f>
        <v>975.48484394204763</v>
      </c>
      <c r="AD19" s="111">
        <f>Capex_FO_AC!Y18</f>
        <v>1058.7332364874123</v>
      </c>
      <c r="AE19" s="1827">
        <f>Capex_FO_AC!AP15</f>
        <v>678.85510206620143</v>
      </c>
      <c r="AF19" s="1827">
        <f>Capex_FO_AC!AA18</f>
        <v>1427.8676842478524</v>
      </c>
      <c r="AG19" s="111">
        <f>Capex_FO_AC!AB18</f>
        <v>1570.164250393809</v>
      </c>
      <c r="AH19" s="111">
        <f>Capex_FO_AC!AC18</f>
        <v>1607.4161999295407</v>
      </c>
      <c r="AI19" s="111">
        <f>Capex_FO_AC!AD18</f>
        <v>1650.5477325991501</v>
      </c>
      <c r="AJ19" s="111">
        <f>Capex_FO_AC!AE18</f>
        <v>1600.0870518966058</v>
      </c>
      <c r="AK19" s="111">
        <f>Capex_FO_AC!AF18</f>
        <v>1822.431846686201</v>
      </c>
      <c r="AL19" s="111">
        <f>Capex_FO_AC!AG18</f>
        <v>1894.5863492533358</v>
      </c>
      <c r="AM19" s="111">
        <f>Capex_FO_AC!AH18</f>
        <v>1729.8126501350996</v>
      </c>
      <c r="AN19" s="111">
        <f>Capex_FO_AC!AI18</f>
        <v>1971.4744774702951</v>
      </c>
      <c r="AO19" s="1801">
        <f>Capex_FO_AC!AJ18</f>
        <v>2094.9713055918783</v>
      </c>
      <c r="AP19" s="157"/>
      <c r="AQ19" s="1800">
        <f>SUM($AA19:$AE19)</f>
        <v>4348.266873501294</v>
      </c>
      <c r="AR19" s="1047">
        <f>SUM($AF19:$AJ19)</f>
        <v>7856.0829190669574</v>
      </c>
      <c r="AS19" s="526">
        <f>SUM($AK19:$AO19)</f>
        <v>9513.2766291368098</v>
      </c>
      <c r="AU19" s="1800">
        <f>AVERAGE(AA19:AE19)</f>
        <v>869.65337470025884</v>
      </c>
      <c r="AV19" s="1047">
        <f>AVERAGE(AF19:AJ19)</f>
        <v>1571.2165838133915</v>
      </c>
      <c r="AW19" s="116">
        <f>AVERAGE(AK19:AO19)</f>
        <v>1902.655325827362</v>
      </c>
      <c r="AX19" s="1588"/>
      <c r="AY19" s="842"/>
      <c r="AZ19" s="842"/>
      <c r="BA19" s="842"/>
      <c r="BB19" s="842"/>
      <c r="BC19" s="842"/>
      <c r="BD19" s="842"/>
      <c r="BE19" s="842"/>
      <c r="BF19" s="842"/>
      <c r="BG19" s="842"/>
      <c r="BH19" s="842"/>
      <c r="BI19" s="842"/>
      <c r="BJ19" s="842"/>
      <c r="BK19" s="842"/>
      <c r="BL19" s="842"/>
      <c r="BM19" s="842"/>
      <c r="BN19" s="842"/>
      <c r="BO19" s="842"/>
    </row>
    <row r="20" spans="2:67">
      <c r="E20" s="155"/>
      <c r="G20" s="63" t="s">
        <v>269</v>
      </c>
      <c r="H20" s="212"/>
      <c r="I20" s="212"/>
      <c r="J20" s="116"/>
      <c r="K20" s="116"/>
      <c r="L20" s="116"/>
      <c r="M20" s="116"/>
      <c r="N20" s="116"/>
      <c r="O20" s="116"/>
      <c r="P20" s="116"/>
      <c r="Q20" s="116"/>
      <c r="R20" s="116"/>
      <c r="S20" s="116"/>
      <c r="T20" s="116"/>
      <c r="U20" s="116"/>
      <c r="V20" s="116"/>
      <c r="W20" s="116"/>
      <c r="X20" s="116"/>
      <c r="Y20" s="116"/>
      <c r="Z20" s="116">
        <f>Capex_FO_AC!U27</f>
        <v>0</v>
      </c>
      <c r="AA20" s="116">
        <f>Capex_FO_AC!V27</f>
        <v>0</v>
      </c>
      <c r="AB20" s="116">
        <f>Capex_FO_AC!W27</f>
        <v>0</v>
      </c>
      <c r="AC20" s="116">
        <f>Capex_FO_AC!X27</f>
        <v>0</v>
      </c>
      <c r="AD20" s="116">
        <f>Capex_FO_AC!Y27</f>
        <v>0</v>
      </c>
      <c r="AE20" s="116">
        <f>Capex_FO_AC!Z27</f>
        <v>0</v>
      </c>
      <c r="AF20" s="116">
        <f>Capex_FO_AC!AA27</f>
        <v>9.3121997121680415</v>
      </c>
      <c r="AG20" s="116">
        <f>Capex_FO_AC!AB27</f>
        <v>14.957255803937155</v>
      </c>
      <c r="AH20" s="116">
        <f>Capex_FO_AC!AC27</f>
        <v>2.3374750439277121E-2</v>
      </c>
      <c r="AI20" s="116">
        <f>Capex_FO_AC!AD27</f>
        <v>1.5203089716603002E-2</v>
      </c>
      <c r="AJ20" s="116">
        <f>Capex_FO_AC!AE27</f>
        <v>0</v>
      </c>
      <c r="AK20" s="116">
        <f>Capex_FO_AC!AF27</f>
        <v>0</v>
      </c>
      <c r="AL20" s="116">
        <f>Capex_FO_AC!AG27</f>
        <v>0</v>
      </c>
      <c r="AM20" s="116">
        <f>Capex_FO_AC!AH27</f>
        <v>0</v>
      </c>
      <c r="AN20" s="116">
        <f>Capex_FO_AC!AI27</f>
        <v>0</v>
      </c>
      <c r="AO20" s="526">
        <f>Capex_FO_AC!AJ27</f>
        <v>0</v>
      </c>
      <c r="AP20" s="157"/>
      <c r="AQ20" s="1800">
        <f>SUM($AA20:$AE20)</f>
        <v>0</v>
      </c>
      <c r="AR20" s="1047">
        <f>SUM($AF20:$AJ20)</f>
        <v>24.308033356261078</v>
      </c>
      <c r="AS20" s="526">
        <f>SUM($AK20:$AO20)</f>
        <v>0</v>
      </c>
      <c r="AU20" s="1800">
        <f>AVERAGE(AA20:AE20)</f>
        <v>0</v>
      </c>
      <c r="AV20" s="1047">
        <f>AVERAGE(AF20:AJ20)</f>
        <v>4.8616066712522157</v>
      </c>
      <c r="AW20" s="116">
        <f>AVERAGE(AK20:AO20)</f>
        <v>0</v>
      </c>
      <c r="AX20" s="1588"/>
      <c r="AY20" s="842"/>
      <c r="AZ20" s="842"/>
      <c r="BA20" s="842"/>
      <c r="BB20" s="842"/>
      <c r="BC20" s="842"/>
      <c r="BD20" s="842"/>
      <c r="BE20" s="842"/>
      <c r="BF20" s="842"/>
      <c r="BG20" s="842"/>
      <c r="BH20" s="842"/>
      <c r="BI20" s="842"/>
      <c r="BJ20" s="842"/>
      <c r="BK20" s="842"/>
      <c r="BL20" s="842"/>
      <c r="BM20" s="842"/>
      <c r="BN20" s="842"/>
      <c r="BO20" s="842"/>
    </row>
    <row r="21" spans="2:67">
      <c r="E21" s="155"/>
      <c r="G21" s="63" t="s">
        <v>270</v>
      </c>
      <c r="H21" s="212"/>
      <c r="I21" s="212"/>
      <c r="J21" s="116"/>
      <c r="K21" s="116"/>
      <c r="L21" s="116"/>
      <c r="M21" s="116"/>
      <c r="N21" s="116"/>
      <c r="O21" s="116"/>
      <c r="P21" s="116"/>
      <c r="Q21" s="116"/>
      <c r="R21" s="116"/>
      <c r="S21" s="116"/>
      <c r="T21" s="116"/>
      <c r="U21" s="116"/>
      <c r="V21" s="116"/>
      <c r="W21" s="116"/>
      <c r="X21" s="116"/>
      <c r="Y21" s="116"/>
      <c r="Z21" s="116">
        <f>Capex_FO_AC!U28</f>
        <v>210.8960332453432</v>
      </c>
      <c r="AA21" s="116">
        <f>Capex_FO_AC!V28</f>
        <v>230.07077214842749</v>
      </c>
      <c r="AB21" s="116">
        <f>Capex_FO_AC!W28</f>
        <v>244.47369722033895</v>
      </c>
      <c r="AC21" s="116">
        <f>Capex_FO_AC!X28</f>
        <v>229.85439754180234</v>
      </c>
      <c r="AD21" s="116">
        <f>Capex_FO_AC!Y28</f>
        <v>222.79739963284294</v>
      </c>
      <c r="AE21" s="116">
        <f>Capex_FO_AC!Z28</f>
        <v>244.65017134288519</v>
      </c>
      <c r="AF21" s="116">
        <f>Capex_FO_AC!AA28</f>
        <v>256.68418674331554</v>
      </c>
      <c r="AG21" s="116">
        <f>Capex_FO_AC!AB28</f>
        <v>265.82094960941134</v>
      </c>
      <c r="AH21" s="116">
        <f>Capex_FO_AC!AC28</f>
        <v>266.89260337450156</v>
      </c>
      <c r="AI21" s="116">
        <f>Capex_FO_AC!AD28</f>
        <v>265.83725314288654</v>
      </c>
      <c r="AJ21" s="116">
        <f>Capex_FO_AC!AE28</f>
        <v>261.75654907461649</v>
      </c>
      <c r="AK21" s="116">
        <f>Capex_FO_AC!AF28</f>
        <v>266.29183409691552</v>
      </c>
      <c r="AL21" s="116">
        <f>Capex_FO_AC!AG28</f>
        <v>259.09270600770168</v>
      </c>
      <c r="AM21" s="116">
        <f>Capex_FO_AC!AH28</f>
        <v>250.01787257304056</v>
      </c>
      <c r="AN21" s="116">
        <f>Capex_FO_AC!AI28</f>
        <v>241.27074037515396</v>
      </c>
      <c r="AO21" s="526">
        <f>Capex_FO_AC!AJ28</f>
        <v>232.83938317900669</v>
      </c>
      <c r="AP21" s="157"/>
      <c r="AQ21" s="1800">
        <f>SUM($AA21:$AE21)</f>
        <v>1171.8464378862968</v>
      </c>
      <c r="AR21" s="1047">
        <f>SUM($AF21:$AJ21)</f>
        <v>1316.9915419447314</v>
      </c>
      <c r="AS21" s="526">
        <f>SUM($AK21:$AO21)</f>
        <v>1249.5125362318183</v>
      </c>
      <c r="AU21" s="1800">
        <f>AVERAGE(AA21:AE21)</f>
        <v>234.36928757725937</v>
      </c>
      <c r="AV21" s="1047">
        <f>AVERAGE(AF21:AJ21)</f>
        <v>263.39830838894625</v>
      </c>
      <c r="AW21" s="116">
        <f>AVERAGE(AK21:AO21)</f>
        <v>249.90250724636365</v>
      </c>
      <c r="AX21" s="1588"/>
      <c r="AY21" s="842"/>
      <c r="AZ21" s="842"/>
      <c r="BA21" s="842"/>
      <c r="BB21" s="842"/>
      <c r="BC21" s="842"/>
      <c r="BD21" s="842"/>
      <c r="BE21" s="842"/>
      <c r="BF21" s="842"/>
      <c r="BG21" s="842"/>
      <c r="BH21" s="842"/>
      <c r="BI21" s="842"/>
      <c r="BJ21" s="842"/>
      <c r="BK21" s="842"/>
      <c r="BL21" s="842"/>
      <c r="BM21" s="842"/>
      <c r="BN21" s="842"/>
      <c r="BO21" s="842"/>
    </row>
    <row r="22" spans="2:67">
      <c r="B22" s="460"/>
      <c r="E22" s="155"/>
      <c r="G22" s="63" t="s">
        <v>271</v>
      </c>
      <c r="H22" s="212"/>
      <c r="I22" s="212"/>
      <c r="J22" s="116"/>
      <c r="K22" s="116"/>
      <c r="L22" s="116"/>
      <c r="M22" s="116"/>
      <c r="N22" s="116"/>
      <c r="O22" s="116"/>
      <c r="P22" s="116"/>
      <c r="Q22" s="116"/>
      <c r="R22" s="116"/>
      <c r="S22" s="116"/>
      <c r="T22" s="116"/>
      <c r="U22" s="116"/>
      <c r="V22" s="116"/>
      <c r="W22" s="116"/>
      <c r="X22" s="116"/>
      <c r="Y22" s="116"/>
      <c r="Z22" s="116">
        <f t="shared" ref="Z22:AO22" si="1">Z19-SUM(Z20:Z21)</f>
        <v>586.12837603011189</v>
      </c>
      <c r="AA22" s="116">
        <f t="shared" si="1"/>
        <v>521.79106463014818</v>
      </c>
      <c r="AB22" s="116">
        <f t="shared" si="1"/>
        <v>638.85815700671822</v>
      </c>
      <c r="AC22" s="116">
        <f t="shared" si="1"/>
        <v>745.63044640024532</v>
      </c>
      <c r="AD22" s="116">
        <f t="shared" si="1"/>
        <v>835.9358368545694</v>
      </c>
      <c r="AE22" s="116">
        <f t="shared" si="1"/>
        <v>434.20493072331624</v>
      </c>
      <c r="AF22" s="116">
        <f t="shared" si="1"/>
        <v>1161.8712977923688</v>
      </c>
      <c r="AG22" s="116">
        <f t="shared" si="1"/>
        <v>1289.3860449804606</v>
      </c>
      <c r="AH22" s="116">
        <f t="shared" si="1"/>
        <v>1340.5002218045997</v>
      </c>
      <c r="AI22" s="116">
        <f t="shared" si="1"/>
        <v>1384.695276366547</v>
      </c>
      <c r="AJ22" s="116">
        <f t="shared" si="1"/>
        <v>1338.3305028219893</v>
      </c>
      <c r="AK22" s="116">
        <f t="shared" si="1"/>
        <v>1556.1400125892856</v>
      </c>
      <c r="AL22" s="116">
        <f t="shared" si="1"/>
        <v>1635.4936432456341</v>
      </c>
      <c r="AM22" s="116">
        <f t="shared" si="1"/>
        <v>1479.7947775620592</v>
      </c>
      <c r="AN22" s="116">
        <f t="shared" si="1"/>
        <v>1730.2037370951412</v>
      </c>
      <c r="AO22" s="526">
        <f t="shared" si="1"/>
        <v>1862.1319224128715</v>
      </c>
      <c r="AP22" s="157"/>
      <c r="AQ22" s="1800">
        <f>SUM($AA22:$AE22)</f>
        <v>3176.4204356149976</v>
      </c>
      <c r="AR22" s="1047">
        <f>SUM($AF22:$AJ22)</f>
        <v>6514.7833437659656</v>
      </c>
      <c r="AS22" s="526">
        <f>SUM($AK22:$AO22)</f>
        <v>8263.7640929049921</v>
      </c>
      <c r="AU22" s="1800">
        <f>AVERAGE(AA22:AE22)</f>
        <v>635.28408712299949</v>
      </c>
      <c r="AV22" s="1047">
        <f>AVERAGE(AF22:AJ22)</f>
        <v>1302.9566687531931</v>
      </c>
      <c r="AW22" s="116">
        <f>AVERAGE(AK22:AO22)</f>
        <v>1652.7528185809983</v>
      </c>
      <c r="AX22" s="1588"/>
      <c r="AY22" s="842"/>
      <c r="AZ22" s="842"/>
      <c r="BA22" s="842"/>
      <c r="BB22" s="842"/>
      <c r="BC22" s="842"/>
      <c r="BD22" s="842"/>
      <c r="BE22" s="842"/>
      <c r="BF22" s="842"/>
      <c r="BG22" s="842"/>
      <c r="BH22" s="842"/>
      <c r="BI22" s="842"/>
      <c r="BJ22" s="842"/>
      <c r="BK22" s="842"/>
      <c r="BL22" s="842"/>
      <c r="BM22" s="842"/>
      <c r="BN22" s="842"/>
      <c r="BO22" s="842"/>
    </row>
    <row r="23" spans="2:67">
      <c r="B23" s="460"/>
      <c r="E23" s="155"/>
      <c r="H23" s="212"/>
      <c r="I23" s="212"/>
      <c r="J23" s="116"/>
      <c r="K23" s="116"/>
      <c r="L23" s="116"/>
      <c r="M23" s="116"/>
      <c r="N23" s="116"/>
      <c r="O23" s="116"/>
      <c r="P23" s="116"/>
      <c r="Q23" s="116"/>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c r="AO23" s="526"/>
      <c r="AP23" s="157"/>
      <c r="AQ23" s="1800"/>
      <c r="AR23" s="1047"/>
      <c r="AS23" s="526"/>
      <c r="AU23" s="1800"/>
      <c r="AV23" s="1047"/>
      <c r="AW23" s="116"/>
      <c r="AX23" s="1588"/>
      <c r="AY23" s="842"/>
      <c r="AZ23" s="842"/>
      <c r="BA23" s="842"/>
      <c r="BB23" s="842"/>
      <c r="BC23" s="842"/>
      <c r="BD23" s="842"/>
      <c r="BE23" s="842"/>
      <c r="BF23" s="842"/>
      <c r="BG23" s="842"/>
      <c r="BH23" s="842"/>
      <c r="BI23" s="842"/>
      <c r="BJ23" s="842"/>
      <c r="BK23" s="842"/>
      <c r="BL23" s="842"/>
      <c r="BM23" s="842"/>
      <c r="BN23" s="842"/>
      <c r="BO23" s="842"/>
    </row>
    <row r="24" spans="2:67">
      <c r="E24" s="155"/>
      <c r="G24" s="63" t="s">
        <v>272</v>
      </c>
      <c r="H24" s="212"/>
      <c r="I24" s="212"/>
      <c r="J24" s="116"/>
      <c r="K24" s="116"/>
      <c r="L24" s="116"/>
      <c r="M24" s="116"/>
      <c r="N24" s="116"/>
      <c r="O24" s="116"/>
      <c r="P24" s="116"/>
      <c r="Q24" s="116"/>
      <c r="R24" s="116"/>
      <c r="S24" s="116"/>
      <c r="T24" s="116"/>
      <c r="U24" s="116"/>
      <c r="V24" s="116"/>
      <c r="W24" s="116"/>
      <c r="X24" s="116"/>
      <c r="Y24" s="116"/>
      <c r="Z24" s="116">
        <f>Capex_FO_AC!U30</f>
        <v>46.438491152778724</v>
      </c>
      <c r="AA24" s="116">
        <f>Capex_FO_AC!V30</f>
        <v>33.270578373256996</v>
      </c>
      <c r="AB24" s="116">
        <f>Capex_FO_AC!W30</f>
        <v>11.629937299830507</v>
      </c>
      <c r="AC24" s="116">
        <f>Capex_FO_AC!X30</f>
        <v>16.459277557850676</v>
      </c>
      <c r="AD24" s="116">
        <f>Capex_FO_AC!Y30</f>
        <v>10.622503984497815</v>
      </c>
      <c r="AE24" s="116">
        <f>Capex_FO_AC!Z30</f>
        <v>12</v>
      </c>
      <c r="AF24" s="116">
        <f>Capex_FO_AC!AA30</f>
        <v>11.707317073170733</v>
      </c>
      <c r="AG24" s="116">
        <f>Capex_FO_AC!AB30</f>
        <v>11.42177275431291</v>
      </c>
      <c r="AH24" s="116">
        <f>Capex_FO_AC!AC30</f>
        <v>11.143192931036989</v>
      </c>
      <c r="AI24" s="116">
        <f>Capex_FO_AC!AD30</f>
        <v>11.143192931036987</v>
      </c>
      <c r="AJ24" s="116">
        <f>Capex_FO_AC!AE30</f>
        <v>11.143192931036987</v>
      </c>
      <c r="AK24" s="116">
        <f>Capex_FO_AC!AF30</f>
        <v>11.143192931036987</v>
      </c>
      <c r="AL24" s="116">
        <f>Capex_FO_AC!AG30</f>
        <v>11.143192931036985</v>
      </c>
      <c r="AM24" s="116">
        <f>Capex_FO_AC!AH30</f>
        <v>11.143192931036987</v>
      </c>
      <c r="AN24" s="116">
        <f>Capex_FO_AC!AI30</f>
        <v>11.143192931036987</v>
      </c>
      <c r="AO24" s="526">
        <f>Capex_FO_AC!AJ30</f>
        <v>11.143192931036985</v>
      </c>
      <c r="AP24" s="157"/>
      <c r="AQ24" s="1800">
        <f>SUM($AA24:$AE24)</f>
        <v>83.982297215435992</v>
      </c>
      <c r="AR24" s="1047">
        <f>SUM($AF24:$AJ24)</f>
        <v>56.558668620594602</v>
      </c>
      <c r="AS24" s="526">
        <f>SUM($AK24:$AO24)</f>
        <v>55.715964655184926</v>
      </c>
      <c r="AU24" s="1800">
        <f>AVERAGE(AA24:AE24)</f>
        <v>16.796459443087198</v>
      </c>
      <c r="AV24" s="1047">
        <f>AVERAGE(AF24:AJ24)</f>
        <v>11.31173372411892</v>
      </c>
      <c r="AW24" s="116">
        <f>AVERAGE(AK24:AO24)</f>
        <v>11.143192931036985</v>
      </c>
      <c r="AX24" s="1588"/>
      <c r="AY24" s="842"/>
      <c r="AZ24" s="842"/>
      <c r="BA24" s="842"/>
      <c r="BB24" s="842"/>
      <c r="BC24" s="842"/>
      <c r="BD24" s="842"/>
      <c r="BE24" s="842"/>
      <c r="BF24" s="842"/>
      <c r="BG24" s="842"/>
      <c r="BH24" s="842"/>
      <c r="BI24" s="842"/>
      <c r="BJ24" s="842"/>
      <c r="BK24" s="842"/>
      <c r="BL24" s="842"/>
      <c r="BM24" s="842"/>
      <c r="BN24" s="842"/>
      <c r="BO24" s="842"/>
    </row>
    <row r="25" spans="2:67">
      <c r="E25" s="155"/>
      <c r="G25" s="63" t="s">
        <v>273</v>
      </c>
      <c r="H25" s="212"/>
      <c r="I25" s="212"/>
      <c r="J25" s="116"/>
      <c r="K25" s="116"/>
      <c r="L25" s="116"/>
      <c r="M25" s="116"/>
      <c r="N25" s="116"/>
      <c r="O25" s="116"/>
      <c r="P25" s="116"/>
      <c r="Q25" s="116"/>
      <c r="R25" s="116"/>
      <c r="S25" s="116"/>
      <c r="T25" s="116"/>
      <c r="U25" s="116"/>
      <c r="V25" s="116"/>
      <c r="W25" s="116"/>
      <c r="X25" s="116"/>
      <c r="Y25" s="116"/>
      <c r="Z25" s="116">
        <f>Capex_FO_AC!U31</f>
        <v>4.0797410681779471</v>
      </c>
      <c r="AA25" s="116">
        <f>Capex_FO_AC!V31</f>
        <v>13.816323091221374</v>
      </c>
      <c r="AB25" s="116">
        <f>Capex_FO_AC!W31</f>
        <v>4.7248043083050844</v>
      </c>
      <c r="AC25" s="116">
        <f>Capex_FO_AC!X31</f>
        <v>2.6868357113800907</v>
      </c>
      <c r="AD25" s="116">
        <f>Capex_FO_AC!Y31</f>
        <v>1.6683508132096068</v>
      </c>
      <c r="AE25" s="116">
        <f>Capex_FO_AC!Z31</f>
        <v>2.545877468891403</v>
      </c>
      <c r="AF25" s="116">
        <f>Capex_FO_AC!AA31</f>
        <v>7.6385603957206714</v>
      </c>
      <c r="AG25" s="116">
        <f>Capex_FO_AC!AB31</f>
        <v>6.2144081054172808</v>
      </c>
      <c r="AH25" s="116">
        <f>Capex_FO_AC!AC31</f>
        <v>5.617434759122248</v>
      </c>
      <c r="AI25" s="116">
        <f>Capex_FO_AC!AD31</f>
        <v>5.617434759122248</v>
      </c>
      <c r="AJ25" s="116">
        <f>Capex_FO_AC!AE31</f>
        <v>4.168131235919085</v>
      </c>
      <c r="AK25" s="116">
        <f>Capex_FO_AC!AF31</f>
        <v>4.168131235919085</v>
      </c>
      <c r="AL25" s="116">
        <f>Capex_FO_AC!AG31</f>
        <v>4.168131235919085</v>
      </c>
      <c r="AM25" s="116">
        <f>Capex_FO_AC!AH31</f>
        <v>4.168131235919085</v>
      </c>
      <c r="AN25" s="116">
        <f>Capex_FO_AC!AI31</f>
        <v>4.168131235919085</v>
      </c>
      <c r="AO25" s="526">
        <f>Capex_FO_AC!AJ31</f>
        <v>4.168131235919085</v>
      </c>
      <c r="AP25" s="157"/>
      <c r="AQ25" s="1800">
        <f>SUM($AA25:$AE25)</f>
        <v>25.442191393007562</v>
      </c>
      <c r="AR25" s="1047">
        <f>SUM($AF25:$AJ25)</f>
        <v>29.25596925530153</v>
      </c>
      <c r="AS25" s="526">
        <f>SUM($AK25:$AO25)</f>
        <v>20.840656179595424</v>
      </c>
      <c r="AU25" s="1800">
        <f>AVERAGE(AA25:AE25)</f>
        <v>5.0884382786015125</v>
      </c>
      <c r="AV25" s="1047">
        <f>AVERAGE(AF25:AJ25)</f>
        <v>5.8511938510603061</v>
      </c>
      <c r="AW25" s="116">
        <f>AVERAGE(AK25:AO25)</f>
        <v>4.168131235919085</v>
      </c>
      <c r="AX25" s="1588"/>
      <c r="AY25" s="842"/>
      <c r="AZ25" s="842"/>
      <c r="BA25" s="842"/>
      <c r="BB25" s="842"/>
      <c r="BC25" s="842"/>
      <c r="BD25" s="842"/>
      <c r="BE25" s="842"/>
      <c r="BF25" s="842"/>
      <c r="BG25" s="842"/>
      <c r="BH25" s="842"/>
      <c r="BI25" s="842"/>
      <c r="BJ25" s="842"/>
      <c r="BK25" s="842"/>
      <c r="BL25" s="842"/>
      <c r="BM25" s="842"/>
      <c r="BN25" s="842"/>
      <c r="BO25" s="842"/>
    </row>
    <row r="26" spans="2:67">
      <c r="E26" s="155"/>
      <c r="H26" s="212"/>
      <c r="I26" s="212"/>
      <c r="Q26" s="116"/>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c r="AO26" s="526"/>
      <c r="AP26" s="157"/>
      <c r="AQ26" s="155"/>
      <c r="AR26" s="1630"/>
      <c r="AS26" s="157"/>
      <c r="AU26" s="1800"/>
      <c r="AV26" s="1047"/>
      <c r="AW26" s="116"/>
      <c r="AX26" s="1588"/>
      <c r="AY26" s="842"/>
      <c r="AZ26" s="842"/>
      <c r="BA26" s="842"/>
      <c r="BB26" s="842"/>
      <c r="BC26" s="842"/>
      <c r="BD26" s="842"/>
      <c r="BE26" s="842"/>
      <c r="BF26" s="842"/>
      <c r="BG26" s="842"/>
      <c r="BH26" s="842"/>
      <c r="BI26" s="842"/>
      <c r="BJ26" s="842"/>
      <c r="BK26" s="842"/>
      <c r="BL26" s="842"/>
      <c r="BM26" s="842"/>
      <c r="BN26" s="842"/>
      <c r="BO26" s="842"/>
    </row>
    <row r="27" spans="2:67">
      <c r="E27" s="155"/>
      <c r="F27" s="457" t="s">
        <v>274</v>
      </c>
      <c r="H27" s="212"/>
      <c r="I27" s="212"/>
      <c r="Q27" s="116"/>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c r="AO27" s="526"/>
      <c r="AP27" s="157"/>
      <c r="AQ27" s="155"/>
      <c r="AR27" s="1630"/>
      <c r="AS27" s="157"/>
      <c r="AU27" s="1800"/>
      <c r="AV27" s="1047"/>
      <c r="AW27" s="116"/>
      <c r="AX27" s="1588"/>
      <c r="AY27" s="842"/>
      <c r="AZ27" s="842"/>
      <c r="BA27" s="842"/>
      <c r="BB27" s="842"/>
      <c r="BC27" s="842"/>
      <c r="BD27" s="842"/>
      <c r="BE27" s="842"/>
      <c r="BF27" s="842"/>
      <c r="BG27" s="842"/>
      <c r="BH27" s="842"/>
      <c r="BI27" s="842"/>
      <c r="BJ27" s="842"/>
      <c r="BK27" s="842"/>
      <c r="BL27" s="842"/>
      <c r="BM27" s="842"/>
      <c r="BN27" s="842"/>
      <c r="BO27" s="842"/>
    </row>
    <row r="28" spans="2:67">
      <c r="E28" s="155"/>
      <c r="F28" s="457"/>
      <c r="G28" s="63" t="s">
        <v>275</v>
      </c>
      <c r="H28" s="212"/>
      <c r="I28" s="212"/>
      <c r="Q28" s="116"/>
      <c r="R28" s="116"/>
      <c r="S28" s="116"/>
      <c r="T28" s="116"/>
      <c r="U28" s="116"/>
      <c r="V28" s="116"/>
      <c r="W28" s="116"/>
      <c r="X28" s="116"/>
      <c r="Y28" s="116"/>
      <c r="Z28" s="116"/>
      <c r="AA28" s="116"/>
      <c r="AB28" s="116"/>
      <c r="AC28" s="116"/>
      <c r="AD28" s="116"/>
      <c r="AE28" s="116"/>
      <c r="AF28" s="116">
        <f>+RollForward_FO!AA15</f>
        <v>320.6074143518594</v>
      </c>
      <c r="AG28" s="116">
        <f>+RollForward_FO!AB15</f>
        <v>320.6074143518594</v>
      </c>
      <c r="AH28" s="116">
        <f>+RollForward_FO!AC15</f>
        <v>315.18775144704836</v>
      </c>
      <c r="AI28" s="116">
        <f>+RollForward_FO!AD15</f>
        <v>284.1808630860516</v>
      </c>
      <c r="AJ28" s="116">
        <f>+RollForward_FO!AE15</f>
        <v>262.35880673737984</v>
      </c>
      <c r="AK28" s="116">
        <f>+RollForward_FO!AF15</f>
        <v>251.95297796273093</v>
      </c>
      <c r="AL28" s="116">
        <f>+RollForward_FO!AG15</f>
        <v>251.95297796273093</v>
      </c>
      <c r="AM28" s="116">
        <f>+RollForward_FO!AH15</f>
        <v>251.95297796273093</v>
      </c>
      <c r="AN28" s="116">
        <f>+RollForward_FO!AI15</f>
        <v>251.95297796273093</v>
      </c>
      <c r="AO28" s="526">
        <f>+RollForward_FO!AJ15</f>
        <v>251.95297796273093</v>
      </c>
      <c r="AP28" s="157"/>
      <c r="AQ28" s="1800">
        <f>SUM($AA28:$AE28)</f>
        <v>0</v>
      </c>
      <c r="AR28" s="1047">
        <f>SUM($AF28:$AJ28)</f>
        <v>1502.9422499741986</v>
      </c>
      <c r="AS28" s="526">
        <f>SUM($AK28:$AO28)</f>
        <v>1259.7648898136547</v>
      </c>
      <c r="AU28" s="1800" t="str">
        <f>IF(ISERROR(AVERAGE(AA28:AE28)),"",AVERAGE(AA28:AE28))</f>
        <v/>
      </c>
      <c r="AV28" s="1047">
        <f>AVERAGE(AF28:AJ28)</f>
        <v>300.58844999483972</v>
      </c>
      <c r="AW28" s="116">
        <f>AVERAGE(AK28:AO28)</f>
        <v>251.95297796273093</v>
      </c>
      <c r="AX28" s="1588"/>
      <c r="AY28" s="842"/>
      <c r="AZ28" s="842"/>
      <c r="BA28" s="842"/>
      <c r="BB28" s="842"/>
      <c r="BC28" s="842"/>
      <c r="BD28" s="842"/>
      <c r="BE28" s="842"/>
      <c r="BF28" s="842"/>
      <c r="BG28" s="842"/>
      <c r="BH28" s="842"/>
      <c r="BI28" s="842"/>
      <c r="BJ28" s="842"/>
      <c r="BK28" s="842"/>
      <c r="BL28" s="842"/>
      <c r="BM28" s="842"/>
      <c r="BN28" s="842"/>
      <c r="BO28" s="842"/>
    </row>
    <row r="29" spans="2:67">
      <c r="E29" s="155"/>
      <c r="G29" s="63" t="s">
        <v>276</v>
      </c>
      <c r="H29" s="212"/>
      <c r="I29" s="212"/>
      <c r="J29" s="116"/>
      <c r="K29" s="116"/>
      <c r="L29" s="116"/>
      <c r="M29" s="116"/>
      <c r="N29" s="116"/>
      <c r="O29" s="116"/>
      <c r="P29" s="116"/>
      <c r="Q29" s="116"/>
      <c r="R29" s="116"/>
      <c r="S29" s="116"/>
      <c r="T29" s="116"/>
      <c r="U29" s="116"/>
      <c r="V29" s="116"/>
      <c r="W29" s="116"/>
      <c r="X29" s="111"/>
      <c r="Y29" s="111"/>
      <c r="Z29" s="111"/>
      <c r="AA29" s="111"/>
      <c r="AB29" s="111"/>
      <c r="AC29" s="116"/>
      <c r="AD29" s="116"/>
      <c r="AE29" s="116"/>
      <c r="AF29" s="116">
        <f ca="1">+RollForward_FO!AA16</f>
        <v>11.776887732885603</v>
      </c>
      <c r="AG29" s="116">
        <f ca="1">+RollForward_FO!AB16</f>
        <v>35.7177385894719</v>
      </c>
      <c r="AH29" s="116">
        <f ca="1">+RollForward_FO!AC16</f>
        <v>61.852731969888538</v>
      </c>
      <c r="AI29" s="116">
        <f ca="1">+RollForward_FO!AD16</f>
        <v>92.630278008470199</v>
      </c>
      <c r="AJ29" s="116">
        <f ca="1">+RollForward_FO!AE16</f>
        <v>122.76043987639608</v>
      </c>
      <c r="AK29" s="116">
        <f ca="1">+RollForward_FO!AF16</f>
        <v>153.52416972761156</v>
      </c>
      <c r="AL29" s="116">
        <f ca="1">+RollForward_FO!AG16</f>
        <v>188.83077279996027</v>
      </c>
      <c r="AM29" s="116">
        <f ca="1">+RollForward_FO!AH16</f>
        <v>225.97786674549153</v>
      </c>
      <c r="AN29" s="116">
        <f ca="1">+RollForward_FO!AI16</f>
        <v>260.27815631699474</v>
      </c>
      <c r="AO29" s="526">
        <f ca="1">+RollForward_FO!AJ16</f>
        <v>294.10120829608911</v>
      </c>
      <c r="AP29" s="157"/>
      <c r="AQ29" s="1800">
        <f>SUM($AA29:$AE29)</f>
        <v>0</v>
      </c>
      <c r="AR29" s="1047">
        <f ca="1">SUM($AF29:$AJ29)</f>
        <v>324.73807617711236</v>
      </c>
      <c r="AS29" s="526">
        <f ca="1">SUM($AK29:$AO29)</f>
        <v>1122.7121738861474</v>
      </c>
      <c r="AU29" s="1800" t="str">
        <f>IF(ISERROR(AVERAGE(AA29:AE29)),"",AVERAGE(AA29:AE29))</f>
        <v/>
      </c>
      <c r="AV29" s="1047">
        <f ca="1">AVERAGE(AF29:AJ29)</f>
        <v>64.947615235422475</v>
      </c>
      <c r="AW29" s="116">
        <f ca="1">AVERAGE(AK29:AO29)</f>
        <v>224.54243477722949</v>
      </c>
      <c r="AX29" s="1588"/>
      <c r="AY29" s="842"/>
      <c r="AZ29" s="842"/>
      <c r="BA29" s="842"/>
      <c r="BB29" s="842"/>
      <c r="BC29" s="842"/>
      <c r="BD29" s="842"/>
      <c r="BE29" s="842"/>
      <c r="BF29" s="842"/>
      <c r="BG29" s="842"/>
      <c r="BH29" s="842"/>
      <c r="BI29" s="842"/>
      <c r="BJ29" s="842"/>
      <c r="BK29" s="842"/>
      <c r="BL29" s="842"/>
      <c r="BM29" s="842"/>
      <c r="BN29" s="842"/>
      <c r="BO29" s="842"/>
    </row>
    <row r="30" spans="2:67">
      <c r="E30" s="155"/>
      <c r="G30" s="63" t="s">
        <v>277</v>
      </c>
      <c r="H30" s="212"/>
      <c r="I30" s="212"/>
      <c r="Q30" s="116"/>
      <c r="R30" s="116"/>
      <c r="S30" s="116"/>
      <c r="T30" s="116"/>
      <c r="U30" s="116"/>
      <c r="V30" s="116"/>
      <c r="W30" s="116"/>
      <c r="X30" s="116"/>
      <c r="Y30" s="116"/>
      <c r="Z30" s="116"/>
      <c r="AA30" s="116"/>
      <c r="AB30" s="116"/>
      <c r="AC30" s="116"/>
      <c r="AD30" s="116"/>
      <c r="AE30" s="116"/>
      <c r="AF30" s="116">
        <f ca="1">SUM(AF28:AF29)</f>
        <v>332.384302084745</v>
      </c>
      <c r="AG30" s="116">
        <f t="shared" ref="AG30:AO30" ca="1" si="2">SUM(AG28:AG29)</f>
        <v>356.32515294133128</v>
      </c>
      <c r="AH30" s="116">
        <f t="shared" ca="1" si="2"/>
        <v>377.04048341693692</v>
      </c>
      <c r="AI30" s="116">
        <f t="shared" ca="1" si="2"/>
        <v>376.81114109452182</v>
      </c>
      <c r="AJ30" s="116">
        <f t="shared" ca="1" si="2"/>
        <v>385.11924661377589</v>
      </c>
      <c r="AK30" s="116">
        <f t="shared" ca="1" si="2"/>
        <v>405.47714769034246</v>
      </c>
      <c r="AL30" s="116">
        <f t="shared" ca="1" si="2"/>
        <v>440.78375076269117</v>
      </c>
      <c r="AM30" s="116">
        <f t="shared" ca="1" si="2"/>
        <v>477.93084470822248</v>
      </c>
      <c r="AN30" s="116">
        <f t="shared" ca="1" si="2"/>
        <v>512.23113427972567</v>
      </c>
      <c r="AO30" s="526">
        <f t="shared" ca="1" si="2"/>
        <v>546.05418625881998</v>
      </c>
      <c r="AP30" s="157"/>
      <c r="AQ30" s="1800">
        <f>SUM($AA30:$AE30)</f>
        <v>0</v>
      </c>
      <c r="AR30" s="1047">
        <f ca="1">SUM($AF30:$AJ30)</f>
        <v>1827.680326151311</v>
      </c>
      <c r="AS30" s="526">
        <f ca="1">SUM($AK30:$AO30)</f>
        <v>2382.4770636998019</v>
      </c>
      <c r="AU30" s="1800" t="str">
        <f>IF(ISERROR(AVERAGE(AA30:AE30)),"",AVERAGE(AA30:AE30))</f>
        <v/>
      </c>
      <c r="AV30" s="1047">
        <f ca="1">AVERAGE(AF30:AJ30)</f>
        <v>365.53606523026218</v>
      </c>
      <c r="AW30" s="116">
        <f ca="1">AVERAGE(AK30:AO30)</f>
        <v>476.49541273996039</v>
      </c>
      <c r="AX30" s="1588"/>
      <c r="AY30" s="842"/>
      <c r="AZ30" s="842"/>
      <c r="BA30" s="842"/>
      <c r="BB30" s="842"/>
      <c r="BC30" s="842"/>
      <c r="BD30" s="842"/>
      <c r="BE30" s="842"/>
      <c r="BF30" s="842"/>
      <c r="BG30" s="842"/>
      <c r="BH30" s="842"/>
      <c r="BI30" s="842"/>
      <c r="BJ30" s="842"/>
      <c r="BK30" s="842"/>
      <c r="BL30" s="842"/>
      <c r="BM30" s="842"/>
      <c r="BN30" s="842"/>
      <c r="BO30" s="842"/>
    </row>
    <row r="31" spans="2:67">
      <c r="E31" s="155"/>
      <c r="H31" s="212"/>
      <c r="I31" s="212"/>
      <c r="Q31" s="116"/>
      <c r="R31" s="116"/>
      <c r="S31" s="116"/>
      <c r="T31" s="116"/>
      <c r="U31" s="116"/>
      <c r="V31" s="116"/>
      <c r="W31" s="116"/>
      <c r="X31" s="116"/>
      <c r="Y31" s="116"/>
      <c r="Z31" s="116"/>
      <c r="AA31" s="116"/>
      <c r="AB31" s="116"/>
      <c r="AC31" s="116"/>
      <c r="AD31" s="116"/>
      <c r="AE31" s="116"/>
      <c r="AF31" s="116"/>
      <c r="AG31" s="116"/>
      <c r="AH31" s="111"/>
      <c r="AI31" s="111"/>
      <c r="AJ31" s="111"/>
      <c r="AK31" s="111"/>
      <c r="AL31" s="111"/>
      <c r="AM31" s="111"/>
      <c r="AN31" s="111"/>
      <c r="AO31" s="1801"/>
      <c r="AP31" s="157"/>
      <c r="AQ31" s="155"/>
      <c r="AR31" s="322"/>
      <c r="AS31" s="157"/>
      <c r="AU31" s="1800"/>
      <c r="AV31" s="1047"/>
      <c r="AW31" s="116"/>
      <c r="AX31" s="1588"/>
      <c r="AY31" s="842"/>
      <c r="AZ31" s="842"/>
      <c r="BA31" s="842"/>
      <c r="BB31" s="842"/>
      <c r="BC31" s="842"/>
      <c r="BD31" s="842"/>
      <c r="BE31" s="842"/>
      <c r="BF31" s="842"/>
      <c r="BG31" s="842"/>
    </row>
    <row r="32" spans="2:67">
      <c r="E32" s="155"/>
      <c r="F32" s="457" t="s">
        <v>278</v>
      </c>
      <c r="H32" s="212"/>
      <c r="I32" s="212"/>
      <c r="P32" s="116"/>
      <c r="Q32" s="116"/>
      <c r="R32" s="116"/>
      <c r="S32" s="116"/>
      <c r="T32" s="116"/>
      <c r="U32" s="116"/>
      <c r="V32" s="116"/>
      <c r="W32" s="116"/>
      <c r="X32" s="116"/>
      <c r="Y32" s="116"/>
      <c r="Z32" s="116"/>
      <c r="AA32" s="116"/>
      <c r="AB32" s="116"/>
      <c r="AC32" s="116"/>
      <c r="AD32" s="116"/>
      <c r="AE32" s="116"/>
      <c r="AF32" s="116"/>
      <c r="AG32" s="116"/>
      <c r="AH32" s="116"/>
      <c r="AI32" s="116"/>
      <c r="AJ32" s="116"/>
      <c r="AK32" s="116"/>
      <c r="AL32" s="116"/>
      <c r="AM32" s="116"/>
      <c r="AN32" s="116"/>
      <c r="AO32" s="526"/>
      <c r="AP32" s="157"/>
      <c r="AQ32" s="155"/>
      <c r="AR32" s="322"/>
      <c r="AS32" s="157"/>
      <c r="AU32" s="1800"/>
      <c r="AV32" s="1047"/>
      <c r="AW32" s="116"/>
      <c r="AX32" s="157"/>
    </row>
    <row r="33" spans="5:50">
      <c r="E33" s="155"/>
      <c r="G33" s="63" t="s">
        <v>279</v>
      </c>
      <c r="H33" s="212"/>
      <c r="I33" s="212"/>
      <c r="P33" s="116"/>
      <c r="Q33" s="116"/>
      <c r="R33" s="116"/>
      <c r="S33" s="116"/>
      <c r="T33" s="116"/>
      <c r="U33" s="116"/>
      <c r="V33" s="116"/>
      <c r="W33" s="116"/>
      <c r="X33" s="116"/>
      <c r="Y33" s="116"/>
      <c r="Z33" s="116">
        <f>'Rev&amp;RAV_FO'!U23</f>
        <v>2046.2315172530705</v>
      </c>
      <c r="AA33" s="116">
        <f>'Rev&amp;RAV_FO'!V23</f>
        <v>1858.5664789427162</v>
      </c>
      <c r="AB33" s="116">
        <f>'Rev&amp;RAV_FO'!W23</f>
        <v>1893.0493600804243</v>
      </c>
      <c r="AC33" s="116">
        <f>'Rev&amp;RAV_FO'!X23</f>
        <v>1925.145146714148</v>
      </c>
      <c r="AD33" s="116">
        <f>'Rev&amp;RAV_FO'!Y23</f>
        <v>1940.8329096597854</v>
      </c>
      <c r="AE33" s="116">
        <f>'Rev&amp;RAV_FO'!Z23</f>
        <v>1958.4335203749017</v>
      </c>
      <c r="AF33" s="116">
        <f ca="1">'Rev&amp;RAV_FO'!AA23</f>
        <v>1929.643416118794</v>
      </c>
      <c r="AG33" s="116">
        <f ca="1">'Rev&amp;RAV_FO'!AB23</f>
        <v>1983.0288928167606</v>
      </c>
      <c r="AH33" s="116">
        <f ca="1">'Rev&amp;RAV_FO'!AC23</f>
        <v>2046.3168200095809</v>
      </c>
      <c r="AI33" s="116">
        <f ca="1">'Rev&amp;RAV_FO'!AD23</f>
        <v>2066.00886448548</v>
      </c>
      <c r="AJ33" s="116">
        <f ca="1">'Rev&amp;RAV_FO'!AE23</f>
        <v>2107.3949994914656</v>
      </c>
      <c r="AK33" s="116">
        <f ca="1">'Rev&amp;RAV_FO'!AF23</f>
        <v>2174.3164651308389</v>
      </c>
      <c r="AL33" s="116">
        <f ca="1">'Rev&amp;RAV_FO'!AG23</f>
        <v>2253.6926450828537</v>
      </c>
      <c r="AM33" s="116">
        <f ca="1">'Rev&amp;RAV_FO'!AH23</f>
        <v>2275.4042948123283</v>
      </c>
      <c r="AN33" s="116">
        <f ca="1">'Rev&amp;RAV_FO'!AI23</f>
        <v>2312.3961382469506</v>
      </c>
      <c r="AO33" s="526">
        <f ca="1">'Rev&amp;RAV_FO'!AJ23</f>
        <v>2359.6732068373431</v>
      </c>
      <c r="AP33" s="157"/>
      <c r="AQ33" s="1800">
        <f>SUM($AA33:$AE33)</f>
        <v>9576.0274157719759</v>
      </c>
      <c r="AR33" s="1047">
        <f ca="1">SUM($AF33:$AJ33)</f>
        <v>10132.392992922081</v>
      </c>
      <c r="AS33" s="526">
        <f ca="1">SUM($AK33:$AO33)</f>
        <v>11375.482750110314</v>
      </c>
      <c r="AU33" s="1800">
        <f>AVERAGE(AA33:AE33)</f>
        <v>1915.2054831543951</v>
      </c>
      <c r="AV33" s="1047">
        <f ca="1">AVERAGE(AF33:AJ33)</f>
        <v>2026.4785985844162</v>
      </c>
      <c r="AW33" s="116">
        <f ca="1">AVERAGE(AK33:AO33)</f>
        <v>2275.0965500220627</v>
      </c>
      <c r="AX33" s="157"/>
    </row>
    <row r="34" spans="5:50" ht="12.75" thickBot="1">
      <c r="E34" s="167"/>
      <c r="F34" s="168"/>
      <c r="G34" s="168"/>
      <c r="H34" s="461"/>
      <c r="I34" s="461"/>
      <c r="J34" s="462"/>
      <c r="K34" s="462"/>
      <c r="L34" s="462"/>
      <c r="M34" s="462"/>
      <c r="N34" s="462"/>
      <c r="O34" s="462"/>
      <c r="P34" s="462"/>
      <c r="Q34" s="462"/>
      <c r="R34" s="462"/>
      <c r="S34" s="462"/>
      <c r="T34" s="462"/>
      <c r="U34" s="462"/>
      <c r="V34" s="462"/>
      <c r="W34" s="462"/>
      <c r="X34" s="462"/>
      <c r="Y34" s="462"/>
      <c r="Z34" s="462"/>
      <c r="AA34" s="462"/>
      <c r="AB34" s="462"/>
      <c r="AC34" s="462"/>
      <c r="AD34" s="462"/>
      <c r="AE34" s="462"/>
      <c r="AF34" s="462"/>
      <c r="AG34" s="462"/>
      <c r="AH34" s="462"/>
      <c r="AI34" s="462"/>
      <c r="AJ34" s="462"/>
      <c r="AK34" s="462"/>
      <c r="AL34" s="462"/>
      <c r="AM34" s="462"/>
      <c r="AN34" s="462"/>
      <c r="AO34" s="536"/>
      <c r="AQ34" s="167"/>
      <c r="AR34" s="168"/>
      <c r="AS34" s="170"/>
      <c r="AU34" s="167"/>
      <c r="AV34" s="168"/>
      <c r="AW34" s="168"/>
      <c r="AX34" s="170"/>
    </row>
    <row r="35" spans="5:50">
      <c r="F35" s="457"/>
      <c r="H35" s="212"/>
      <c r="I35" s="463"/>
      <c r="J35" s="116"/>
      <c r="K35" s="116"/>
      <c r="L35" s="116"/>
      <c r="M35" s="116"/>
      <c r="N35" s="116"/>
      <c r="O35" s="116"/>
      <c r="P35" s="116"/>
      <c r="Q35" s="116"/>
      <c r="R35" s="116"/>
      <c r="S35" s="116"/>
      <c r="T35" s="116"/>
      <c r="U35" s="116"/>
      <c r="V35" s="116"/>
      <c r="W35" s="116"/>
      <c r="X35" s="464"/>
      <c r="Y35" s="464"/>
      <c r="Z35" s="464"/>
      <c r="AA35" s="464"/>
      <c r="AB35" s="464"/>
      <c r="AC35" s="464"/>
      <c r="AD35" s="464"/>
      <c r="AE35" s="464"/>
      <c r="AF35" s="464"/>
      <c r="AG35" s="464"/>
    </row>
    <row r="36" spans="5:50">
      <c r="H36" s="212"/>
      <c r="I36" s="212"/>
      <c r="J36" s="116"/>
      <c r="K36" s="116"/>
      <c r="L36" s="116"/>
      <c r="M36" s="116"/>
      <c r="N36" s="116"/>
      <c r="O36" s="116"/>
      <c r="P36" s="116"/>
      <c r="Q36" s="116"/>
      <c r="R36" s="116"/>
      <c r="S36" s="465"/>
      <c r="T36" s="116"/>
      <c r="U36" s="116"/>
      <c r="V36" s="116"/>
      <c r="W36" s="116"/>
      <c r="X36" s="116"/>
      <c r="Y36" s="116"/>
      <c r="Z36" s="116"/>
      <c r="AA36" s="116"/>
      <c r="AB36" s="116"/>
      <c r="AC36" s="116"/>
      <c r="AD36" s="116"/>
      <c r="AE36" s="116"/>
      <c r="AF36" s="116"/>
      <c r="AG36" s="116"/>
      <c r="AH36" s="116"/>
      <c r="AI36" s="116"/>
      <c r="AJ36" s="116"/>
      <c r="AK36" s="116"/>
      <c r="AL36" s="116"/>
      <c r="AM36" s="116"/>
      <c r="AN36" s="116"/>
      <c r="AO36" s="116"/>
    </row>
    <row r="37" spans="5:50">
      <c r="H37" s="212"/>
      <c r="I37" s="212"/>
      <c r="Z37" s="116"/>
      <c r="AA37" s="116"/>
      <c r="AB37" s="116"/>
      <c r="AC37" s="116"/>
      <c r="AD37" s="116"/>
      <c r="AE37" s="116"/>
      <c r="AF37" s="116"/>
      <c r="AG37" s="116"/>
      <c r="AH37" s="116"/>
      <c r="AI37" s="116"/>
      <c r="AJ37" s="116"/>
      <c r="AK37" s="116"/>
      <c r="AL37" s="116"/>
      <c r="AM37" s="116"/>
      <c r="AN37" s="116"/>
      <c r="AO37" s="116"/>
    </row>
    <row r="38" spans="5:50">
      <c r="H38" s="212"/>
      <c r="I38" s="212"/>
    </row>
    <row r="39" spans="5:50">
      <c r="H39" s="454"/>
      <c r="I39" s="454"/>
    </row>
    <row r="40" spans="5:50">
      <c r="H40" s="454"/>
      <c r="I40" s="454"/>
    </row>
  </sheetData>
  <mergeCells count="3">
    <mergeCell ref="B3:F3"/>
    <mergeCell ref="AQ4:AS4"/>
    <mergeCell ref="AU4:AW4"/>
  </mergeCells>
  <phoneticPr fontId="0" type="noConversion"/>
  <hyperlinks>
    <hyperlink ref="B3" location="HL_Home" tooltip="Go to Table of Contents" display="HL_Home" xr:uid="{00000000-0004-0000-0800-000000000000}"/>
  </hyperlinks>
  <pageMargins left="0.39370078740157483" right="0.39370078740157483" top="0.59055118110236227" bottom="0.98425196850393704" header="0" footer="0.31496062992125984"/>
  <pageSetup paperSize="9" scale="75" orientation="landscape" r:id="rId1"/>
  <headerFooter alignWithMargins="0">
    <oddHeader>&amp;C&amp;"Calibri"&amp;14&amp;KFF0000 OFFICIAL&amp;1#_x000D_&amp;"Arial"&amp;8&amp;K000000&amp;"Arial"&amp;8&amp;K000000&amp;B&amp;"Arial"&amp;12&amp;Kff0000​‌OFFICIAL‌​</oddHeader>
    <oddFooter>&amp;C&amp;"Arial,Bold"&amp;8Sheet j.
Page &amp;P of &amp;N&amp;L&amp;"Arial,Bold"&amp;7&amp;F
&amp;A
Printed: &amp;T on &amp;D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autoPageBreaks="0"/>
  </sheetPr>
  <dimension ref="B1:BI138"/>
  <sheetViews>
    <sheetView showGridLines="0" zoomScaleNormal="100" workbookViewId="0">
      <pane ySplit="6" topLeftCell="A7" activePane="bottomLeft" state="frozen"/>
      <selection activeCell="L16" sqref="L16"/>
      <selection pane="bottomLeft" activeCell="A30" sqref="A30:XFD30"/>
    </sheetView>
  </sheetViews>
  <sheetFormatPr defaultColWidth="9.33203125" defaultRowHeight="12" outlineLevelCol="2"/>
  <cols>
    <col min="1" max="1" width="3.6640625" style="63" customWidth="1"/>
    <col min="2" max="3" width="4.1640625" style="63" customWidth="1"/>
    <col min="4" max="7" width="9.33203125" style="63"/>
    <col min="8" max="8" width="17.1640625" style="63" customWidth="1"/>
    <col min="9" max="10" width="9.33203125" style="63" customWidth="1"/>
    <col min="11" max="15" width="9.33203125" style="63" hidden="1" customWidth="1" outlineLevel="1"/>
    <col min="16" max="18" width="10" style="63" hidden="1" customWidth="1" outlineLevel="2"/>
    <col min="19" max="25" width="12.5" style="63" hidden="1" customWidth="1" outlineLevel="2"/>
    <col min="26" max="26" width="12.5" style="63" customWidth="1" collapsed="1"/>
    <col min="27" max="31" width="12.5" style="63" customWidth="1"/>
    <col min="32" max="41" width="12.83203125" style="63" customWidth="1"/>
    <col min="42" max="42" width="5.1640625" style="63" customWidth="1"/>
    <col min="43" max="16384" width="9.33203125" style="63"/>
  </cols>
  <sheetData>
    <row r="1" spans="2:61" ht="15">
      <c r="B1" s="140" t="s">
        <v>280</v>
      </c>
    </row>
    <row r="2" spans="2:61" ht="12.75">
      <c r="B2" s="142" t="str">
        <f>Model_Name</f>
        <v>Melbourne Water</v>
      </c>
    </row>
    <row r="3" spans="2:61">
      <c r="B3" s="2075" t="s">
        <v>138</v>
      </c>
      <c r="C3" s="2075"/>
      <c r="D3" s="2075"/>
      <c r="E3" s="2075"/>
      <c r="F3" s="2075"/>
    </row>
    <row r="4" spans="2:61">
      <c r="B4" s="65"/>
      <c r="C4" s="66"/>
      <c r="F4" s="57"/>
      <c r="K4" s="1208"/>
      <c r="L4" s="1209" t="s">
        <v>187</v>
      </c>
      <c r="M4" s="1210"/>
      <c r="N4" s="1208"/>
      <c r="O4" s="1211"/>
      <c r="P4" s="1209" t="s">
        <v>188</v>
      </c>
      <c r="Q4" s="1211"/>
      <c r="R4" s="1210"/>
      <c r="S4" s="1208"/>
      <c r="T4" s="1209" t="s">
        <v>189</v>
      </c>
      <c r="U4" s="1211"/>
      <c r="V4" s="1208"/>
      <c r="W4" s="1211"/>
      <c r="X4" s="1209" t="s">
        <v>190</v>
      </c>
      <c r="Y4" s="1213"/>
      <c r="Z4" s="1210"/>
      <c r="AA4" s="1208"/>
      <c r="AB4" s="1211"/>
      <c r="AC4" s="1209" t="s">
        <v>139</v>
      </c>
      <c r="AD4" s="1211"/>
      <c r="AE4" s="1210"/>
      <c r="AF4" s="1287"/>
      <c r="AG4" s="721"/>
      <c r="AH4" s="1209" t="s">
        <v>140</v>
      </c>
      <c r="AI4" s="721"/>
      <c r="AJ4" s="1207"/>
      <c r="AK4" s="1287"/>
      <c r="AL4" s="721"/>
      <c r="AM4" s="1209" t="s">
        <v>141</v>
      </c>
      <c r="AN4" s="721"/>
      <c r="AO4" s="1207"/>
    </row>
    <row r="5" spans="2:61">
      <c r="K5" s="59">
        <v>2006</v>
      </c>
      <c r="L5" s="59">
        <v>2007</v>
      </c>
      <c r="M5" s="59">
        <v>2008</v>
      </c>
      <c r="N5" s="59">
        <v>2009</v>
      </c>
      <c r="O5" s="59">
        <v>2010</v>
      </c>
      <c r="P5" s="59">
        <v>2011</v>
      </c>
      <c r="Q5" s="59">
        <v>2012</v>
      </c>
      <c r="R5" s="59">
        <v>2013</v>
      </c>
      <c r="S5" s="60">
        <v>2014</v>
      </c>
      <c r="T5" s="60">
        <v>2015</v>
      </c>
      <c r="U5" s="60">
        <v>2016</v>
      </c>
      <c r="V5" s="60">
        <v>2017</v>
      </c>
      <c r="W5" s="60">
        <v>2018</v>
      </c>
      <c r="X5" s="60">
        <v>2019</v>
      </c>
      <c r="Y5" s="60">
        <v>2020</v>
      </c>
      <c r="Z5" s="60">
        <v>2021</v>
      </c>
      <c r="AA5" s="60">
        <v>2022</v>
      </c>
      <c r="AB5" s="60">
        <v>2023</v>
      </c>
      <c r="AC5" s="60">
        <v>2024</v>
      </c>
      <c r="AD5" s="60">
        <v>2025</v>
      </c>
      <c r="AE5" s="60">
        <v>2026</v>
      </c>
      <c r="AF5" s="60">
        <v>2027</v>
      </c>
      <c r="AG5" s="60">
        <v>2028</v>
      </c>
      <c r="AH5" s="60">
        <v>2029</v>
      </c>
      <c r="AI5" s="60">
        <v>2030</v>
      </c>
      <c r="AJ5" s="60">
        <v>2031</v>
      </c>
      <c r="AK5" s="60">
        <v>2032</v>
      </c>
      <c r="AL5" s="60">
        <v>2033</v>
      </c>
      <c r="AM5" s="60">
        <v>2034</v>
      </c>
      <c r="AN5" s="60">
        <v>2035</v>
      </c>
      <c r="AO5" s="60">
        <v>2036</v>
      </c>
    </row>
    <row r="6" spans="2:61" s="68" customFormat="1">
      <c r="B6" s="68" t="s">
        <v>281</v>
      </c>
      <c r="K6" s="61" t="str">
        <f t="shared" ref="K6:AF6" si="0">+CONCATENATE(K5-1,"-",RIGHT(K5,2))</f>
        <v>2005-06</v>
      </c>
      <c r="L6" s="61" t="str">
        <f t="shared" si="0"/>
        <v>2006-07</v>
      </c>
      <c r="M6" s="61" t="str">
        <f t="shared" si="0"/>
        <v>2007-08</v>
      </c>
      <c r="N6" s="61" t="str">
        <f t="shared" si="0"/>
        <v>2008-09</v>
      </c>
      <c r="O6" s="61" t="str">
        <f t="shared" si="0"/>
        <v>2009-10</v>
      </c>
      <c r="P6" s="61" t="str">
        <f t="shared" si="0"/>
        <v>2010-11</v>
      </c>
      <c r="Q6" s="61" t="str">
        <f t="shared" si="0"/>
        <v>2011-12</v>
      </c>
      <c r="R6" s="61" t="str">
        <f t="shared" si="0"/>
        <v>2012-13</v>
      </c>
      <c r="S6" s="61" t="str">
        <f t="shared" si="0"/>
        <v>2013-14</v>
      </c>
      <c r="T6" s="61" t="str">
        <f t="shared" si="0"/>
        <v>2014-15</v>
      </c>
      <c r="U6" s="61" t="str">
        <f t="shared" si="0"/>
        <v>2015-16</v>
      </c>
      <c r="V6" s="61" t="str">
        <f t="shared" si="0"/>
        <v>2016-17</v>
      </c>
      <c r="W6" s="61" t="str">
        <f t="shared" si="0"/>
        <v>2017-18</v>
      </c>
      <c r="X6" s="61" t="str">
        <f t="shared" si="0"/>
        <v>2018-19</v>
      </c>
      <c r="Y6" s="61" t="str">
        <f t="shared" si="0"/>
        <v>2019-20</v>
      </c>
      <c r="Z6" s="61" t="str">
        <f t="shared" si="0"/>
        <v>2020-21</v>
      </c>
      <c r="AA6" s="61" t="str">
        <f t="shared" si="0"/>
        <v>2021-22</v>
      </c>
      <c r="AB6" s="61" t="str">
        <f t="shared" si="0"/>
        <v>2022-23</v>
      </c>
      <c r="AC6" s="61" t="str">
        <f t="shared" si="0"/>
        <v>2023-24</v>
      </c>
      <c r="AD6" s="61" t="str">
        <f t="shared" si="0"/>
        <v>2024-25</v>
      </c>
      <c r="AE6" s="61" t="str">
        <f t="shared" si="0"/>
        <v>2025-26</v>
      </c>
      <c r="AF6" s="61" t="str">
        <f t="shared" si="0"/>
        <v>2026-27</v>
      </c>
      <c r="AG6" s="61" t="str">
        <f t="shared" ref="AG6:AO6" si="1">+CONCATENATE(AG5-1,"-",RIGHT(AG5,2))</f>
        <v>2027-28</v>
      </c>
      <c r="AH6" s="61" t="str">
        <f t="shared" si="1"/>
        <v>2028-29</v>
      </c>
      <c r="AI6" s="61" t="str">
        <f t="shared" si="1"/>
        <v>2029-30</v>
      </c>
      <c r="AJ6" s="61" t="str">
        <f t="shared" si="1"/>
        <v>2030-31</v>
      </c>
      <c r="AK6" s="61" t="str">
        <f t="shared" si="1"/>
        <v>2031-32</v>
      </c>
      <c r="AL6" s="61" t="str">
        <f t="shared" si="1"/>
        <v>2032-33</v>
      </c>
      <c r="AM6" s="61" t="str">
        <f t="shared" si="1"/>
        <v>2033-34</v>
      </c>
      <c r="AN6" s="61" t="str">
        <f t="shared" si="1"/>
        <v>2034-35</v>
      </c>
      <c r="AO6" s="61" t="str">
        <f t="shared" si="1"/>
        <v>2035-36</v>
      </c>
    </row>
    <row r="8" spans="2:61" ht="12.75">
      <c r="B8" s="1914" t="s">
        <v>282</v>
      </c>
      <c r="C8" s="1848"/>
      <c r="D8" s="1848"/>
      <c r="E8" s="1848"/>
      <c r="F8" s="1848"/>
      <c r="G8" s="1848"/>
      <c r="H8" s="1848"/>
      <c r="I8" s="1848"/>
      <c r="J8" s="1848"/>
      <c r="K8" s="1848"/>
      <c r="L8" s="1848"/>
      <c r="M8" s="1848"/>
      <c r="N8" s="1848"/>
      <c r="O8" s="1848"/>
      <c r="P8" s="1848"/>
      <c r="Q8" s="1848"/>
      <c r="R8" s="1848"/>
      <c r="S8" s="1848"/>
      <c r="T8" s="1848"/>
      <c r="U8" s="1848"/>
      <c r="V8" s="1848"/>
      <c r="W8" s="1848"/>
      <c r="X8" s="1848"/>
      <c r="Y8" s="1848"/>
      <c r="Z8" s="1848"/>
      <c r="AA8" s="1848"/>
      <c r="AB8" s="1848"/>
      <c r="AC8" s="1848"/>
      <c r="AD8" s="1848"/>
    </row>
    <row r="9" spans="2:61" ht="12.75" thickBot="1">
      <c r="H9" s="212"/>
      <c r="I9" s="212"/>
    </row>
    <row r="10" spans="2:61">
      <c r="B10" s="152"/>
      <c r="C10" s="153"/>
      <c r="D10" s="153"/>
      <c r="E10" s="153"/>
      <c r="F10" s="153"/>
      <c r="G10" s="153"/>
      <c r="H10" s="455"/>
      <c r="I10" s="455"/>
      <c r="J10" s="153"/>
      <c r="K10" s="153"/>
      <c r="L10" s="153"/>
      <c r="M10" s="153"/>
      <c r="N10" s="153"/>
      <c r="O10" s="153"/>
      <c r="P10" s="153"/>
      <c r="Q10" s="153"/>
      <c r="R10" s="153"/>
      <c r="S10" s="153"/>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c r="AP10" s="154"/>
    </row>
    <row r="11" spans="2:61">
      <c r="B11" s="155"/>
      <c r="C11" s="156" t="s">
        <v>283</v>
      </c>
      <c r="D11" s="197"/>
      <c r="H11" s="212"/>
      <c r="I11" s="212"/>
      <c r="AP11" s="157"/>
    </row>
    <row r="12" spans="2:61">
      <c r="B12" s="155"/>
      <c r="H12" s="212"/>
      <c r="I12" s="212"/>
      <c r="AP12" s="157"/>
    </row>
    <row r="13" spans="2:61">
      <c r="B13" s="155"/>
      <c r="D13" s="63" t="s">
        <v>284</v>
      </c>
      <c r="H13" s="212"/>
      <c r="I13" s="212"/>
      <c r="J13" s="296"/>
      <c r="K13" s="296"/>
      <c r="L13" s="296"/>
      <c r="M13" s="296"/>
      <c r="N13" s="296"/>
      <c r="O13" s="296"/>
      <c r="P13" s="296"/>
      <c r="Q13" s="296"/>
      <c r="R13" s="296"/>
      <c r="S13" s="296"/>
      <c r="T13" s="296"/>
      <c r="U13" s="296"/>
      <c r="V13" s="296"/>
      <c r="W13" s="296"/>
      <c r="X13" s="296"/>
      <c r="Y13" s="296"/>
      <c r="Z13" s="1737">
        <f t="shared" ref="Z13:AE13" si="2">Z48</f>
        <v>1164</v>
      </c>
      <c r="AA13" s="1738">
        <f t="shared" si="2"/>
        <v>1138</v>
      </c>
      <c r="AB13" s="1738">
        <f t="shared" si="2"/>
        <v>1204.3599999999999</v>
      </c>
      <c r="AC13" s="1738">
        <f t="shared" si="2"/>
        <v>1324.11</v>
      </c>
      <c r="AD13" s="1738">
        <f t="shared" si="2"/>
        <v>1399.34</v>
      </c>
      <c r="AE13" s="1590">
        <f t="shared" si="2"/>
        <v>1395.450975</v>
      </c>
      <c r="AF13" s="1738">
        <f t="shared" ref="AF13:AO13" si="3">AF48</f>
        <v>1436.2918459390737</v>
      </c>
      <c r="AG13" s="1738">
        <f t="shared" si="3"/>
        <v>1452.1828147811211</v>
      </c>
      <c r="AH13" s="1738">
        <f t="shared" si="3"/>
        <v>1461.6712650028649</v>
      </c>
      <c r="AI13" s="1738">
        <f t="shared" si="3"/>
        <v>1456.2153892400465</v>
      </c>
      <c r="AJ13" s="1590">
        <f t="shared" si="3"/>
        <v>1456.6784238843279</v>
      </c>
      <c r="AK13" s="1738">
        <f t="shared" si="3"/>
        <v>1456.6009677192349</v>
      </c>
      <c r="AL13" s="1738">
        <f t="shared" si="3"/>
        <v>1456.359042082619</v>
      </c>
      <c r="AM13" s="1738">
        <f t="shared" si="3"/>
        <v>1456.1808205866851</v>
      </c>
      <c r="AN13" s="1738">
        <f t="shared" si="3"/>
        <v>1456.5251965262626</v>
      </c>
      <c r="AO13" s="1590">
        <f t="shared" si="3"/>
        <v>1456.1343285093367</v>
      </c>
      <c r="AP13" s="157"/>
      <c r="AR13" s="842"/>
      <c r="AS13" s="842"/>
      <c r="AT13" s="842"/>
      <c r="AU13" s="842"/>
      <c r="AV13" s="842"/>
      <c r="AW13" s="842"/>
      <c r="AX13" s="842"/>
      <c r="AY13" s="842"/>
      <c r="AZ13" s="842"/>
      <c r="BA13" s="842"/>
      <c r="BB13" s="842"/>
      <c r="BC13" s="842"/>
      <c r="BD13" s="842"/>
      <c r="BE13" s="842"/>
      <c r="BF13" s="842"/>
      <c r="BG13" s="842"/>
      <c r="BH13" s="842"/>
      <c r="BI13" s="842"/>
    </row>
    <row r="14" spans="2:61">
      <c r="B14" s="155"/>
      <c r="D14" s="63" t="s">
        <v>285</v>
      </c>
      <c r="H14" s="212"/>
      <c r="I14" s="212"/>
      <c r="J14" s="296"/>
      <c r="K14" s="296"/>
      <c r="L14" s="296"/>
      <c r="M14" s="296"/>
      <c r="N14" s="296"/>
      <c r="O14" s="296"/>
      <c r="P14" s="296"/>
      <c r="Q14" s="296"/>
      <c r="R14" s="296"/>
      <c r="S14" s="296"/>
      <c r="T14" s="296"/>
      <c r="U14" s="296"/>
      <c r="V14" s="296"/>
      <c r="W14" s="296"/>
      <c r="X14" s="296"/>
      <c r="Y14" s="296"/>
      <c r="Z14" s="1747">
        <f>_xlfn.XLOOKUP("Total FTEs",'Determination Lookup'!$D:$D,'Determination Lookup'!N:N,0)</f>
        <v>1165.0999999999999</v>
      </c>
      <c r="AA14" s="1748">
        <f>_xlfn.XLOOKUP("Total FTEs",'Determination Lookup'!$D:$D,'Determination Lookup'!O:O,0)</f>
        <v>1165.0999999999999</v>
      </c>
      <c r="AB14" s="1748">
        <f>_xlfn.XLOOKUP("Total FTEs",'Determination Lookup'!$D:$D,'Determination Lookup'!P:P,0)</f>
        <v>1165.0999999999999</v>
      </c>
      <c r="AC14" s="1748">
        <f>_xlfn.XLOOKUP("Total FTEs",'Determination Lookup'!$D:$D,'Determination Lookup'!Q:Q,0)</f>
        <v>1165.0999999999999</v>
      </c>
      <c r="AD14" s="1748">
        <f>_xlfn.XLOOKUP("Total FTEs",'Determination Lookup'!$D:$D,'Determination Lookup'!R:R,0)</f>
        <v>1165.0999999999999</v>
      </c>
      <c r="AE14" s="1749">
        <f>_xlfn.XLOOKUP("Total FTEs",'Determination Lookup'!$D:$D,'Determination Lookup'!S:S,0)</f>
        <v>1165.0999999999999</v>
      </c>
      <c r="AF14" s="1748">
        <f>_xlfn.XLOOKUP("Total FTEs",'Determination Lookup'!$D:$D,'Determination Lookup'!T:T,0)</f>
        <v>1165.0999999999999</v>
      </c>
      <c r="AG14" s="1748">
        <f>_xlfn.XLOOKUP("Total FTEs",'Determination Lookup'!$D:$D,'Determination Lookup'!U:U,0)</f>
        <v>1165.0999999999999</v>
      </c>
      <c r="AH14" s="1748">
        <f>_xlfn.XLOOKUP("Total FTEs",'Determination Lookup'!$D:$D,'Determination Lookup'!V:V,0)</f>
        <v>1165.0999999999999</v>
      </c>
      <c r="AI14" s="1748">
        <f>_xlfn.XLOOKUP("Total FTEs",'Determination Lookup'!$D:$D,'Determination Lookup'!W:W,0)</f>
        <v>1165.0999999999999</v>
      </c>
      <c r="AJ14" s="1749">
        <f>_xlfn.XLOOKUP("Total FTEs",'Determination Lookup'!$D:$D,'Determination Lookup'!X:X,0)</f>
        <v>1165.0999999999999</v>
      </c>
      <c r="AK14" s="1740"/>
      <c r="AL14" s="1740"/>
      <c r="AM14" s="1740"/>
      <c r="AN14" s="1740"/>
      <c r="AO14" s="1741"/>
      <c r="AP14" s="157"/>
      <c r="AR14" s="842"/>
      <c r="AS14" s="842"/>
      <c r="AT14" s="842"/>
      <c r="AU14" s="842"/>
      <c r="AV14" s="842"/>
      <c r="AW14" s="842"/>
      <c r="AX14" s="842"/>
      <c r="AY14" s="842"/>
      <c r="AZ14" s="842"/>
      <c r="BA14" s="842"/>
      <c r="BB14" s="842"/>
      <c r="BC14" s="842"/>
      <c r="BD14" s="842"/>
      <c r="BE14" s="842"/>
      <c r="BF14" s="842"/>
      <c r="BG14" s="842"/>
      <c r="BH14" s="842"/>
      <c r="BI14" s="842"/>
    </row>
    <row r="15" spans="2:61">
      <c r="B15" s="155"/>
      <c r="D15" s="63" t="s">
        <v>231</v>
      </c>
      <c r="H15" s="212"/>
      <c r="I15" s="212"/>
      <c r="J15" s="296"/>
      <c r="K15" s="296"/>
      <c r="L15" s="296"/>
      <c r="M15" s="296"/>
      <c r="N15" s="296"/>
      <c r="O15" s="296"/>
      <c r="P15" s="296"/>
      <c r="Q15" s="296"/>
      <c r="R15" s="296"/>
      <c r="S15" s="296"/>
      <c r="T15" s="296"/>
      <c r="U15" s="296"/>
      <c r="V15" s="296"/>
      <c r="W15" s="296"/>
      <c r="X15" s="296"/>
      <c r="Y15" s="296"/>
      <c r="Z15" s="1739">
        <f t="shared" ref="Z15:AE15" si="4">IF(Z14=0,"- ",Z13- Z14)</f>
        <v>-1.0999999999999091</v>
      </c>
      <c r="AA15" s="1740">
        <f t="shared" si="4"/>
        <v>-27.099999999999909</v>
      </c>
      <c r="AB15" s="1740">
        <f t="shared" si="4"/>
        <v>39.259999999999991</v>
      </c>
      <c r="AC15" s="1740">
        <f t="shared" si="4"/>
        <v>159.01</v>
      </c>
      <c r="AD15" s="1740">
        <f t="shared" si="4"/>
        <v>234.24</v>
      </c>
      <c r="AE15" s="1741">
        <f t="shared" si="4"/>
        <v>230.35097500000006</v>
      </c>
      <c r="AF15" s="1740">
        <f t="shared" ref="AF15:AO15" si="5">IF(AF14=0,"- ",AF13- AF14)</f>
        <v>271.1918459390738</v>
      </c>
      <c r="AG15" s="1740">
        <f t="shared" si="5"/>
        <v>287.08281478112121</v>
      </c>
      <c r="AH15" s="1740">
        <f t="shared" si="5"/>
        <v>296.57126500286495</v>
      </c>
      <c r="AI15" s="1740">
        <f t="shared" si="5"/>
        <v>291.11538924004662</v>
      </c>
      <c r="AJ15" s="1741">
        <f t="shared" si="5"/>
        <v>291.578423884328</v>
      </c>
      <c r="AK15" s="1740" t="str">
        <f t="shared" si="5"/>
        <v xml:space="preserve">- </v>
      </c>
      <c r="AL15" s="1740" t="str">
        <f t="shared" si="5"/>
        <v xml:space="preserve">- </v>
      </c>
      <c r="AM15" s="1740" t="str">
        <f t="shared" si="5"/>
        <v xml:space="preserve">- </v>
      </c>
      <c r="AN15" s="1740" t="str">
        <f t="shared" si="5"/>
        <v xml:space="preserve">- </v>
      </c>
      <c r="AO15" s="1741" t="str">
        <f t="shared" si="5"/>
        <v xml:space="preserve">- </v>
      </c>
      <c r="AP15" s="157"/>
      <c r="AR15" s="842"/>
      <c r="AS15" s="842"/>
      <c r="AT15" s="842"/>
      <c r="AU15" s="842"/>
      <c r="AV15" s="842"/>
      <c r="AW15" s="842"/>
      <c r="AX15" s="842"/>
      <c r="AY15" s="842"/>
      <c r="AZ15" s="842"/>
      <c r="BA15" s="842"/>
      <c r="BB15" s="842"/>
      <c r="BC15" s="842"/>
      <c r="BD15" s="842"/>
      <c r="BE15" s="842"/>
      <c r="BF15" s="842"/>
      <c r="BG15" s="842"/>
      <c r="BH15" s="842"/>
      <c r="BI15" s="842"/>
    </row>
    <row r="16" spans="2:61">
      <c r="B16" s="155"/>
      <c r="H16" s="212"/>
      <c r="I16" s="212"/>
      <c r="J16" s="296"/>
      <c r="K16" s="296"/>
      <c r="L16" s="296"/>
      <c r="M16" s="296"/>
      <c r="N16" s="296"/>
      <c r="O16" s="296"/>
      <c r="P16" s="296"/>
      <c r="Q16" s="296"/>
      <c r="R16" s="296"/>
      <c r="S16" s="296"/>
      <c r="T16" s="296"/>
      <c r="U16" s="296"/>
      <c r="V16" s="296"/>
      <c r="W16" s="296"/>
      <c r="X16" s="296"/>
      <c r="Y16" s="296"/>
      <c r="Z16" s="88"/>
      <c r="AA16" s="88"/>
      <c r="AB16" s="88"/>
      <c r="AC16" s="88"/>
      <c r="AD16" s="88"/>
      <c r="AE16" s="1597"/>
      <c r="AF16" s="88"/>
      <c r="AG16" s="88"/>
      <c r="AH16" s="88"/>
      <c r="AI16" s="88"/>
      <c r="AJ16" s="1597"/>
      <c r="AK16" s="88"/>
      <c r="AL16" s="88"/>
      <c r="AM16" s="88"/>
      <c r="AN16" s="88"/>
      <c r="AO16" s="1597"/>
      <c r="AP16" s="157"/>
      <c r="AR16" s="842"/>
      <c r="AS16" s="842"/>
      <c r="AT16" s="842"/>
      <c r="AU16" s="842"/>
      <c r="AV16" s="842"/>
      <c r="AW16" s="842"/>
      <c r="AX16" s="842"/>
      <c r="AY16" s="842"/>
      <c r="AZ16" s="842"/>
      <c r="BA16" s="842"/>
      <c r="BB16" s="842"/>
      <c r="BC16" s="842"/>
      <c r="BD16" s="842"/>
      <c r="BE16" s="842"/>
      <c r="BF16" s="842"/>
      <c r="BG16" s="842"/>
      <c r="BH16" s="842"/>
      <c r="BI16" s="842"/>
    </row>
    <row r="17" spans="2:61">
      <c r="B17" s="155"/>
      <c r="D17" s="57" t="s">
        <v>286</v>
      </c>
      <c r="E17" s="472"/>
      <c r="H17" s="212"/>
      <c r="I17" s="212"/>
      <c r="J17" s="296"/>
      <c r="K17" s="296"/>
      <c r="L17" s="296"/>
      <c r="M17" s="296"/>
      <c r="N17" s="296"/>
      <c r="O17" s="296"/>
      <c r="P17" s="296"/>
      <c r="Q17" s="296"/>
      <c r="R17" s="296"/>
      <c r="S17" s="296"/>
      <c r="T17" s="296"/>
      <c r="U17" s="296"/>
      <c r="V17" s="296"/>
      <c r="W17" s="296"/>
      <c r="X17" s="296"/>
      <c r="Y17" s="296"/>
      <c r="Z17" s="1591">
        <f t="shared" ref="Z17:AE17" si="6">Z49</f>
        <v>176.25572587638032</v>
      </c>
      <c r="AA17" s="1592">
        <f t="shared" si="6"/>
        <v>178.83604604060889</v>
      </c>
      <c r="AB17" s="1592">
        <f t="shared" si="6"/>
        <v>190.68644869941517</v>
      </c>
      <c r="AC17" s="1592">
        <f t="shared" si="6"/>
        <v>195.25499586728822</v>
      </c>
      <c r="AD17" s="1592">
        <f t="shared" si="6"/>
        <v>212.793968637353</v>
      </c>
      <c r="AE17" s="1593">
        <f t="shared" si="6"/>
        <v>200.27761109192008</v>
      </c>
      <c r="AF17" s="1592">
        <f t="shared" ref="AF17:AO17" si="7">AF49</f>
        <v>202.8115692437309</v>
      </c>
      <c r="AG17" s="1592">
        <f t="shared" si="7"/>
        <v>203.22877982977661</v>
      </c>
      <c r="AH17" s="1592">
        <f t="shared" si="7"/>
        <v>204.91192895359316</v>
      </c>
      <c r="AI17" s="1592">
        <f t="shared" si="7"/>
        <v>204.15346230286028</v>
      </c>
      <c r="AJ17" s="1593">
        <f t="shared" si="7"/>
        <v>204.24495794857026</v>
      </c>
      <c r="AK17" s="1592">
        <f t="shared" si="7"/>
        <v>204.2296526103479</v>
      </c>
      <c r="AL17" s="1592">
        <f t="shared" si="7"/>
        <v>204.18184810455261</v>
      </c>
      <c r="AM17" s="1592">
        <f t="shared" si="7"/>
        <v>204.14663153695605</v>
      </c>
      <c r="AN17" s="1592">
        <f t="shared" si="7"/>
        <v>204.21468022261655</v>
      </c>
      <c r="AO17" s="1593">
        <f t="shared" si="7"/>
        <v>204.13744470247201</v>
      </c>
      <c r="AP17" s="157"/>
      <c r="AR17" s="842"/>
      <c r="AS17" s="842"/>
      <c r="AT17" s="842"/>
      <c r="AU17" s="842"/>
      <c r="AV17" s="842"/>
      <c r="AW17" s="842"/>
      <c r="AX17" s="842"/>
      <c r="AY17" s="842"/>
      <c r="AZ17" s="842"/>
      <c r="BA17" s="842"/>
      <c r="BB17" s="842"/>
      <c r="BC17" s="842"/>
      <c r="BD17" s="842"/>
      <c r="BE17" s="842"/>
      <c r="BF17" s="842"/>
      <c r="BG17" s="842"/>
      <c r="BH17" s="842"/>
      <c r="BI17" s="842"/>
    </row>
    <row r="18" spans="2:61">
      <c r="B18" s="155"/>
      <c r="D18" s="57" t="s">
        <v>287</v>
      </c>
      <c r="E18" s="472"/>
      <c r="H18" s="212"/>
      <c r="I18" s="212"/>
      <c r="J18" s="296"/>
      <c r="K18" s="296"/>
      <c r="L18" s="296"/>
      <c r="M18" s="296"/>
      <c r="N18" s="296"/>
      <c r="O18" s="296"/>
      <c r="P18" s="296"/>
      <c r="Q18" s="296"/>
      <c r="R18" s="296"/>
      <c r="S18" s="296"/>
      <c r="T18" s="296"/>
      <c r="U18" s="296"/>
      <c r="V18" s="296"/>
      <c r="W18" s="296"/>
      <c r="X18" s="296"/>
      <c r="Y18" s="296"/>
      <c r="Z18" s="1744">
        <f>_xlfn.XLOOKUP("Total Labour costs",'Determination Lookup'!$D:$D,'Determination Lookup'!N:N,0)</f>
        <v>172.73049618267555</v>
      </c>
      <c r="AA18" s="1745">
        <f>_xlfn.XLOOKUP("Total Labour costs",'Determination Lookup'!$D:$D,'Determination Lookup'!O:O,0)</f>
        <v>165.94312363984466</v>
      </c>
      <c r="AB18" s="1745">
        <f>_xlfn.XLOOKUP("Total Labour costs",'Determination Lookup'!$D:$D,'Determination Lookup'!P:P,0)</f>
        <v>166.36798029232747</v>
      </c>
      <c r="AC18" s="1745">
        <f>_xlfn.XLOOKUP("Total Labour costs",'Determination Lookup'!$D:$D,'Determination Lookup'!Q:Q,0)</f>
        <v>165.65008175122469</v>
      </c>
      <c r="AD18" s="1745">
        <f>_xlfn.XLOOKUP("Total Labour costs",'Determination Lookup'!$D:$D,'Determination Lookup'!R:R,0)</f>
        <v>165.49965030083354</v>
      </c>
      <c r="AE18" s="1746">
        <f>_xlfn.XLOOKUP("Total Labour costs",'Determination Lookup'!$D:$D,'Determination Lookup'!S:S,0)</f>
        <v>164.80158938695533</v>
      </c>
      <c r="AF18" s="1745">
        <f>_xlfn.XLOOKUP("Total Labour costs",'Determination Lookup'!$D:$D,'Determination Lookup'!T:T,0)</f>
        <v>164.80158938695533</v>
      </c>
      <c r="AG18" s="1745">
        <f>_xlfn.XLOOKUP("Total Labour costs",'Determination Lookup'!$D:$D,'Determination Lookup'!U:U,0)</f>
        <v>164.80158938695533</v>
      </c>
      <c r="AH18" s="1745">
        <f>_xlfn.XLOOKUP("Total Labour costs",'Determination Lookup'!$D:$D,'Determination Lookup'!V:V,0)</f>
        <v>164.80158938695533</v>
      </c>
      <c r="AI18" s="1745">
        <f>_xlfn.XLOOKUP("Total Labour costs",'Determination Lookup'!$D:$D,'Determination Lookup'!W:W,0)</f>
        <v>164.80158938695533</v>
      </c>
      <c r="AJ18" s="1746">
        <f>_xlfn.XLOOKUP("Total Labour costs",'Determination Lookup'!$D:$D,'Determination Lookup'!X:X,0)</f>
        <v>164.80158938695533</v>
      </c>
      <c r="AK18" s="1742"/>
      <c r="AL18" s="1742"/>
      <c r="AM18" s="1742"/>
      <c r="AN18" s="1742"/>
      <c r="AO18" s="1743"/>
      <c r="AP18" s="157"/>
      <c r="AR18" s="842"/>
      <c r="AS18" s="842"/>
      <c r="AT18" s="842"/>
      <c r="AU18" s="842"/>
      <c r="AV18" s="842"/>
      <c r="AW18" s="842"/>
      <c r="AX18" s="842"/>
      <c r="AY18" s="842"/>
      <c r="AZ18" s="842"/>
      <c r="BA18" s="842"/>
      <c r="BB18" s="842"/>
      <c r="BC18" s="842"/>
      <c r="BD18" s="842"/>
      <c r="BE18" s="842"/>
      <c r="BF18" s="842"/>
      <c r="BG18" s="842"/>
      <c r="BH18" s="842"/>
      <c r="BI18" s="842"/>
    </row>
    <row r="19" spans="2:61">
      <c r="B19" s="155"/>
      <c r="D19" s="57" t="s">
        <v>288</v>
      </c>
      <c r="E19" s="472"/>
      <c r="H19" s="212"/>
      <c r="I19" s="212"/>
      <c r="J19" s="296"/>
      <c r="K19" s="296"/>
      <c r="L19" s="296"/>
      <c r="M19" s="296"/>
      <c r="N19" s="296"/>
      <c r="O19" s="296"/>
      <c r="P19" s="296"/>
      <c r="Q19" s="296"/>
      <c r="R19" s="296"/>
      <c r="S19" s="296"/>
      <c r="T19" s="296"/>
      <c r="U19" s="296"/>
      <c r="V19" s="296"/>
      <c r="W19" s="296"/>
      <c r="X19" s="296"/>
      <c r="Y19" s="296"/>
      <c r="Z19" s="1594">
        <f t="shared" ref="Z19:AE19" si="8">Z17-Z18</f>
        <v>3.5252296937047731</v>
      </c>
      <c r="AA19" s="1595">
        <f t="shared" si="8"/>
        <v>12.892922400764235</v>
      </c>
      <c r="AB19" s="1595">
        <f t="shared" si="8"/>
        <v>24.318468407087693</v>
      </c>
      <c r="AC19" s="1595">
        <f t="shared" si="8"/>
        <v>29.604914116063526</v>
      </c>
      <c r="AD19" s="1595">
        <f t="shared" si="8"/>
        <v>47.294318336519467</v>
      </c>
      <c r="AE19" s="1596">
        <f t="shared" si="8"/>
        <v>35.476021704964751</v>
      </c>
      <c r="AF19" s="1595">
        <f t="shared" ref="AF19:AO19" si="9">AF17-AF18</f>
        <v>38.009979856775573</v>
      </c>
      <c r="AG19" s="1595">
        <f t="shared" si="9"/>
        <v>38.427190442821285</v>
      </c>
      <c r="AH19" s="1595">
        <f t="shared" si="9"/>
        <v>40.110339566637833</v>
      </c>
      <c r="AI19" s="1595">
        <f t="shared" si="9"/>
        <v>39.351872915904949</v>
      </c>
      <c r="AJ19" s="1596">
        <f t="shared" si="9"/>
        <v>39.443368561614932</v>
      </c>
      <c r="AK19" s="1595">
        <f t="shared" si="9"/>
        <v>204.2296526103479</v>
      </c>
      <c r="AL19" s="1595">
        <f t="shared" si="9"/>
        <v>204.18184810455261</v>
      </c>
      <c r="AM19" s="1595">
        <f t="shared" si="9"/>
        <v>204.14663153695605</v>
      </c>
      <c r="AN19" s="1595">
        <f t="shared" si="9"/>
        <v>204.21468022261655</v>
      </c>
      <c r="AO19" s="1596">
        <f t="shared" si="9"/>
        <v>204.13744470247201</v>
      </c>
      <c r="AP19" s="157"/>
      <c r="AR19" s="842"/>
      <c r="AS19" s="842"/>
      <c r="AT19" s="842"/>
      <c r="AU19" s="842"/>
      <c r="AV19" s="842"/>
      <c r="AW19" s="842"/>
      <c r="AX19" s="842"/>
      <c r="AY19" s="842"/>
      <c r="AZ19" s="842"/>
      <c r="BA19" s="842"/>
      <c r="BB19" s="842"/>
      <c r="BC19" s="842"/>
      <c r="BD19" s="842"/>
      <c r="BE19" s="842"/>
      <c r="BF19" s="842"/>
      <c r="BG19" s="842"/>
      <c r="BH19" s="842"/>
      <c r="BI19" s="842"/>
    </row>
    <row r="20" spans="2:61">
      <c r="B20" s="155"/>
      <c r="D20" s="57"/>
      <c r="E20" s="472"/>
      <c r="H20" s="212"/>
      <c r="I20" s="212"/>
      <c r="J20" s="296"/>
      <c r="K20" s="296"/>
      <c r="L20" s="296"/>
      <c r="M20" s="296"/>
      <c r="N20" s="296"/>
      <c r="O20" s="296"/>
      <c r="P20" s="296"/>
      <c r="Q20" s="296"/>
      <c r="R20" s="296"/>
      <c r="S20" s="296"/>
      <c r="T20" s="296"/>
      <c r="U20" s="296"/>
      <c r="V20" s="296"/>
      <c r="W20" s="296"/>
      <c r="X20" s="296"/>
      <c r="Y20" s="296"/>
      <c r="Z20" s="1598"/>
      <c r="AA20" s="1598"/>
      <c r="AB20" s="1598"/>
      <c r="AC20" s="1598"/>
      <c r="AD20" s="1598"/>
      <c r="AE20" s="1321">
        <f>SUM(AA19:AE19)</f>
        <v>149.58664496539967</v>
      </c>
      <c r="AF20" s="1598"/>
      <c r="AG20" s="1598"/>
      <c r="AH20" s="1598"/>
      <c r="AI20" s="1598"/>
      <c r="AJ20" s="1321">
        <f>SUM(AF19:AJ19)</f>
        <v>195.34275134375457</v>
      </c>
      <c r="AK20" s="1598"/>
      <c r="AL20" s="1598"/>
      <c r="AM20" s="1598"/>
      <c r="AN20" s="1598"/>
      <c r="AO20" s="1321">
        <f>SUM(AK19:AO19)</f>
        <v>1020.9102571769452</v>
      </c>
      <c r="AP20" s="157"/>
      <c r="AR20" s="842"/>
      <c r="AS20" s="842"/>
      <c r="AT20" s="842"/>
      <c r="AU20" s="842"/>
      <c r="AV20" s="842"/>
      <c r="AW20" s="842"/>
      <c r="AX20" s="842"/>
      <c r="AY20" s="842"/>
      <c r="AZ20" s="842"/>
      <c r="BA20" s="842"/>
      <c r="BB20" s="842"/>
      <c r="BC20" s="842"/>
      <c r="BD20" s="842"/>
      <c r="BE20" s="842"/>
      <c r="BF20" s="842"/>
      <c r="BG20" s="842"/>
      <c r="BH20" s="842"/>
      <c r="BI20" s="842"/>
    </row>
    <row r="21" spans="2:61">
      <c r="B21" s="155"/>
      <c r="D21" s="57" t="s">
        <v>289</v>
      </c>
      <c r="E21" s="472"/>
      <c r="H21" s="212"/>
      <c r="I21" s="212"/>
      <c r="J21" s="296"/>
      <c r="K21" s="296"/>
      <c r="L21" s="296"/>
      <c r="M21" s="296"/>
      <c r="N21" s="296"/>
      <c r="O21" s="296"/>
      <c r="P21" s="296"/>
      <c r="Q21" s="296"/>
      <c r="R21" s="296"/>
      <c r="S21" s="296"/>
      <c r="T21" s="296"/>
      <c r="U21" s="296"/>
      <c r="V21" s="296"/>
      <c r="W21" s="296"/>
      <c r="X21" s="296"/>
      <c r="Y21" s="296"/>
      <c r="Z21" s="1591">
        <f t="shared" ref="Z21:AE21" si="10">Z107</f>
        <v>50.514429650631236</v>
      </c>
      <c r="AA21" s="1592">
        <f t="shared" si="10"/>
        <v>49.040980735866995</v>
      </c>
      <c r="AB21" s="1592">
        <f t="shared" si="10"/>
        <v>38.778700934177536</v>
      </c>
      <c r="AC21" s="1592">
        <f t="shared" si="10"/>
        <v>33.994934153873494</v>
      </c>
      <c r="AD21" s="1592">
        <f t="shared" si="10"/>
        <v>38.993971901496657</v>
      </c>
      <c r="AE21" s="1421">
        <f t="shared" si="10"/>
        <v>45.830166065799574</v>
      </c>
      <c r="AF21" s="1592">
        <f t="shared" ref="AF21:AO21" si="11">AF107</f>
        <v>48.874417781954506</v>
      </c>
      <c r="AG21" s="1592">
        <f t="shared" si="11"/>
        <v>48.066030342066121</v>
      </c>
      <c r="AH21" s="1592">
        <f t="shared" si="11"/>
        <v>50.125024126410921</v>
      </c>
      <c r="AI21" s="1592">
        <f t="shared" si="11"/>
        <v>58.141448274097129</v>
      </c>
      <c r="AJ21" s="1421">
        <f t="shared" si="11"/>
        <v>49.357555371089816</v>
      </c>
      <c r="AK21" s="1592">
        <f t="shared" si="11"/>
        <v>50.35806290841969</v>
      </c>
      <c r="AL21" s="1592">
        <f t="shared" si="11"/>
        <v>51.383583134182807</v>
      </c>
      <c r="AM21" s="1592">
        <f t="shared" si="11"/>
        <v>52.434741365590007</v>
      </c>
      <c r="AN21" s="1592">
        <f t="shared" si="11"/>
        <v>53.512178552782387</v>
      </c>
      <c r="AO21" s="1421">
        <f t="shared" si="11"/>
        <v>54.616551669654577</v>
      </c>
      <c r="AP21" s="157"/>
      <c r="AR21" s="842"/>
      <c r="AS21" s="842"/>
      <c r="AT21" s="842"/>
      <c r="AU21" s="842"/>
      <c r="AV21" s="842"/>
      <c r="AW21" s="842"/>
      <c r="AX21" s="842"/>
      <c r="AY21" s="842"/>
      <c r="AZ21" s="842"/>
      <c r="BA21" s="842"/>
      <c r="BB21" s="842"/>
      <c r="BC21" s="842"/>
      <c r="BD21" s="842"/>
      <c r="BE21" s="842"/>
      <c r="BF21" s="842"/>
      <c r="BG21" s="842"/>
      <c r="BH21" s="842"/>
      <c r="BI21" s="842"/>
    </row>
    <row r="22" spans="2:61">
      <c r="B22" s="155"/>
      <c r="D22" s="57" t="s">
        <v>290</v>
      </c>
      <c r="E22" s="472"/>
      <c r="H22" s="212"/>
      <c r="I22" s="212"/>
      <c r="J22" s="296"/>
      <c r="K22" s="296"/>
      <c r="L22" s="296"/>
      <c r="M22" s="296"/>
      <c r="N22" s="296"/>
      <c r="O22" s="296"/>
      <c r="P22" s="296"/>
      <c r="Q22" s="296"/>
      <c r="R22" s="296"/>
      <c r="S22" s="296"/>
      <c r="T22" s="296"/>
      <c r="U22" s="296"/>
      <c r="V22" s="296"/>
      <c r="W22" s="296"/>
      <c r="X22" s="296"/>
      <c r="Y22" s="296"/>
      <c r="Z22" s="1744">
        <f>_xlfn.XLOOKUP("Total Energy costs",'Determination Lookup'!$D:$D,'Determination Lookup'!N:N,0)</f>
        <v>55.911971518267386</v>
      </c>
      <c r="AA22" s="1745">
        <f>_xlfn.XLOOKUP("Total Energy costs",'Determination Lookup'!$D:$D,'Determination Lookup'!O:O,0)</f>
        <v>48.547066695439398</v>
      </c>
      <c r="AB22" s="1745">
        <f>_xlfn.XLOOKUP("Total Energy costs",'Determination Lookup'!$D:$D,'Determination Lookup'!P:P,0)</f>
        <v>40.437687322154957</v>
      </c>
      <c r="AC22" s="1745">
        <f>_xlfn.XLOOKUP("Total Energy costs",'Determination Lookup'!$D:$D,'Determination Lookup'!Q:Q,0)</f>
        <v>43.714577828474596</v>
      </c>
      <c r="AD22" s="1745">
        <f>_xlfn.XLOOKUP("Total Energy costs",'Determination Lookup'!$D:$D,'Determination Lookup'!R:R,0)</f>
        <v>41.967840788206097</v>
      </c>
      <c r="AE22" s="1746">
        <f>_xlfn.XLOOKUP("Total Energy costs",'Determination Lookup'!$D:$D,'Determination Lookup'!S:S,0)</f>
        <v>49.586625323598327</v>
      </c>
      <c r="AF22" s="1745">
        <f>_xlfn.XLOOKUP("Total Energy costs",'Determination Lookup'!$D:$D,'Determination Lookup'!T:T,0)</f>
        <v>43.39750775183083</v>
      </c>
      <c r="AG22" s="1745">
        <f>_xlfn.XLOOKUP("Total Energy costs",'Determination Lookup'!$D:$D,'Determination Lookup'!U:U,0)</f>
        <v>43.39750775183083</v>
      </c>
      <c r="AH22" s="1745">
        <f>_xlfn.XLOOKUP("Total Energy costs",'Determination Lookup'!$D:$D,'Determination Lookup'!V:V,0)</f>
        <v>43.397507751830815</v>
      </c>
      <c r="AI22" s="1745">
        <f>_xlfn.XLOOKUP("Total Energy costs",'Determination Lookup'!$D:$D,'Determination Lookup'!W:W,0)</f>
        <v>43.39750775183083</v>
      </c>
      <c r="AJ22" s="1746">
        <f>_xlfn.XLOOKUP("Total Energy costs",'Determination Lookup'!$D:$D,'Determination Lookup'!X:X,0)</f>
        <v>43.39750775183083</v>
      </c>
      <c r="AK22" s="1742"/>
      <c r="AL22" s="1742"/>
      <c r="AM22" s="1742"/>
      <c r="AN22" s="1742"/>
      <c r="AO22" s="1743"/>
      <c r="AP22" s="157"/>
      <c r="AR22" s="842"/>
      <c r="AS22" s="842"/>
      <c r="AT22" s="842"/>
      <c r="AU22" s="842"/>
      <c r="AV22" s="842"/>
      <c r="AW22" s="842"/>
      <c r="AX22" s="842"/>
      <c r="AY22" s="842"/>
      <c r="AZ22" s="842"/>
      <c r="BA22" s="842"/>
      <c r="BB22" s="842"/>
      <c r="BC22" s="842"/>
      <c r="BD22" s="842"/>
      <c r="BE22" s="842"/>
      <c r="BF22" s="842"/>
      <c r="BG22" s="842"/>
      <c r="BH22" s="842"/>
      <c r="BI22" s="842"/>
    </row>
    <row r="23" spans="2:61">
      <c r="B23" s="155"/>
      <c r="D23" s="57" t="s">
        <v>288</v>
      </c>
      <c r="E23" s="472"/>
      <c r="H23" s="212"/>
      <c r="I23" s="212"/>
      <c r="J23" s="296"/>
      <c r="K23" s="296"/>
      <c r="L23" s="296"/>
      <c r="M23" s="296"/>
      <c r="N23" s="296"/>
      <c r="O23" s="296"/>
      <c r="P23" s="296"/>
      <c r="Q23" s="296"/>
      <c r="R23" s="296"/>
      <c r="S23" s="296"/>
      <c r="T23" s="296"/>
      <c r="U23" s="296"/>
      <c r="V23" s="296"/>
      <c r="W23" s="296"/>
      <c r="X23" s="296"/>
      <c r="Y23" s="296"/>
      <c r="Z23" s="1594">
        <f t="shared" ref="Z23:AE23" si="12">Z21-Z22</f>
        <v>-5.39754186763615</v>
      </c>
      <c r="AA23" s="1595">
        <f t="shared" si="12"/>
        <v>0.49391404042759746</v>
      </c>
      <c r="AB23" s="1595">
        <f t="shared" si="12"/>
        <v>-1.6589863879774214</v>
      </c>
      <c r="AC23" s="1595">
        <f t="shared" si="12"/>
        <v>-9.7196436746011017</v>
      </c>
      <c r="AD23" s="1595">
        <f t="shared" si="12"/>
        <v>-2.9738688867094396</v>
      </c>
      <c r="AE23" s="1596">
        <f t="shared" si="12"/>
        <v>-3.7564592577987526</v>
      </c>
      <c r="AF23" s="1595">
        <f t="shared" ref="AF23:AO23" si="13">AF21-AF22</f>
        <v>5.4769100301236762</v>
      </c>
      <c r="AG23" s="1595">
        <f t="shared" si="13"/>
        <v>4.6685225902352911</v>
      </c>
      <c r="AH23" s="1595">
        <f t="shared" si="13"/>
        <v>6.7275163745801052</v>
      </c>
      <c r="AI23" s="1595">
        <f t="shared" si="13"/>
        <v>14.7439405222663</v>
      </c>
      <c r="AJ23" s="1596">
        <f t="shared" si="13"/>
        <v>5.9600476192589866</v>
      </c>
      <c r="AK23" s="1595">
        <f t="shared" si="13"/>
        <v>50.35806290841969</v>
      </c>
      <c r="AL23" s="1595">
        <f t="shared" si="13"/>
        <v>51.383583134182807</v>
      </c>
      <c r="AM23" s="1595">
        <f t="shared" si="13"/>
        <v>52.434741365590007</v>
      </c>
      <c r="AN23" s="1595">
        <f t="shared" si="13"/>
        <v>53.512178552782387</v>
      </c>
      <c r="AO23" s="1596">
        <f t="shared" si="13"/>
        <v>54.616551669654577</v>
      </c>
      <c r="AP23" s="157"/>
      <c r="AR23" s="842"/>
      <c r="AS23" s="842"/>
      <c r="AT23" s="842"/>
      <c r="AU23" s="842"/>
      <c r="AV23" s="842"/>
      <c r="AW23" s="842"/>
      <c r="AX23" s="842"/>
      <c r="AY23" s="842"/>
      <c r="AZ23" s="842"/>
      <c r="BA23" s="842"/>
      <c r="BB23" s="842"/>
      <c r="BC23" s="842"/>
      <c r="BD23" s="842"/>
      <c r="BE23" s="842"/>
      <c r="BF23" s="842"/>
      <c r="BG23" s="842"/>
      <c r="BH23" s="842"/>
      <c r="BI23" s="842"/>
    </row>
    <row r="24" spans="2:61">
      <c r="B24" s="155"/>
      <c r="D24" s="57"/>
      <c r="E24" s="472"/>
      <c r="H24" s="212"/>
      <c r="I24" s="212"/>
      <c r="J24" s="296"/>
      <c r="K24" s="296"/>
      <c r="L24" s="296"/>
      <c r="M24" s="296"/>
      <c r="N24" s="296"/>
      <c r="O24" s="296"/>
      <c r="P24" s="296"/>
      <c r="Q24" s="296"/>
      <c r="R24" s="296"/>
      <c r="S24" s="296"/>
      <c r="T24" s="296"/>
      <c r="U24" s="296"/>
      <c r="V24" s="296"/>
      <c r="W24" s="296"/>
      <c r="X24" s="296"/>
      <c r="Y24" s="296"/>
      <c r="Z24" s="1598"/>
      <c r="AA24" s="1598"/>
      <c r="AB24" s="1598"/>
      <c r="AC24" s="1598"/>
      <c r="AD24" s="1598"/>
      <c r="AE24" s="1321">
        <f>SUM(AA23:AE23)</f>
        <v>-17.615044166659118</v>
      </c>
      <c r="AF24" s="1598"/>
      <c r="AG24" s="1598"/>
      <c r="AH24" s="1598"/>
      <c r="AI24" s="1598"/>
      <c r="AJ24" s="1321">
        <f>SUM(AF23:AJ23)</f>
        <v>37.576937136464359</v>
      </c>
      <c r="AK24" s="1598"/>
      <c r="AL24" s="1598"/>
      <c r="AM24" s="1598"/>
      <c r="AN24" s="1598"/>
      <c r="AO24" s="1321">
        <f>SUM(AK23:AO23)</f>
        <v>262.30511763062947</v>
      </c>
      <c r="AP24" s="157"/>
      <c r="AR24" s="842"/>
      <c r="AS24" s="842"/>
      <c r="AT24" s="842"/>
      <c r="AU24" s="842"/>
      <c r="AV24" s="842"/>
      <c r="AW24" s="842"/>
      <c r="AX24" s="842"/>
      <c r="AY24" s="842"/>
      <c r="AZ24" s="842"/>
      <c r="BA24" s="842"/>
      <c r="BB24" s="842"/>
      <c r="BC24" s="842"/>
      <c r="BD24" s="842"/>
      <c r="BE24" s="842"/>
      <c r="BF24" s="842"/>
      <c r="BG24" s="842"/>
      <c r="BH24" s="842"/>
      <c r="BI24" s="842"/>
    </row>
    <row r="25" spans="2:61">
      <c r="B25" s="155"/>
      <c r="D25" s="57" t="s">
        <v>291</v>
      </c>
      <c r="E25" s="472"/>
      <c r="H25" s="212"/>
      <c r="I25" s="212"/>
      <c r="J25" s="296"/>
      <c r="K25" s="296"/>
      <c r="L25" s="296"/>
      <c r="M25" s="296"/>
      <c r="N25" s="296"/>
      <c r="O25" s="296"/>
      <c r="P25" s="296"/>
      <c r="Q25" s="296"/>
      <c r="R25" s="296"/>
      <c r="S25" s="296"/>
      <c r="T25" s="296"/>
      <c r="U25" s="296"/>
      <c r="V25" s="296"/>
      <c r="W25" s="296"/>
      <c r="X25" s="296"/>
      <c r="Y25" s="296"/>
      <c r="Z25" s="1591">
        <f t="shared" ref="Z25:AE25" si="14">Z118</f>
        <v>32.092749163147495</v>
      </c>
      <c r="AA25" s="1592">
        <f t="shared" si="14"/>
        <v>40.566503683002523</v>
      </c>
      <c r="AB25" s="1592">
        <f t="shared" si="14"/>
        <v>44.337467591016946</v>
      </c>
      <c r="AC25" s="1592">
        <f t="shared" si="14"/>
        <v>47.892419491855179</v>
      </c>
      <c r="AD25" s="1592">
        <f t="shared" si="14"/>
        <v>47.764245479847176</v>
      </c>
      <c r="AE25" s="1421">
        <f t="shared" si="14"/>
        <v>49.897122739923589</v>
      </c>
      <c r="AF25" s="1592">
        <f t="shared" ref="AF25:AO25" si="15">AF118</f>
        <v>52.03</v>
      </c>
      <c r="AG25" s="1592">
        <f t="shared" si="15"/>
        <v>56.669999999999995</v>
      </c>
      <c r="AH25" s="1592">
        <f t="shared" si="15"/>
        <v>57.406000000000006</v>
      </c>
      <c r="AI25" s="1592">
        <f t="shared" si="15"/>
        <v>53.406999999999996</v>
      </c>
      <c r="AJ25" s="1421">
        <f t="shared" si="15"/>
        <v>52.407000000000004</v>
      </c>
      <c r="AK25" s="1592">
        <f t="shared" si="15"/>
        <v>52.407000000000004</v>
      </c>
      <c r="AL25" s="1592">
        <f t="shared" si="15"/>
        <v>52.407000000000004</v>
      </c>
      <c r="AM25" s="1592">
        <f t="shared" si="15"/>
        <v>52.407000000000004</v>
      </c>
      <c r="AN25" s="1592">
        <f t="shared" si="15"/>
        <v>52.407000000000004</v>
      </c>
      <c r="AO25" s="1421">
        <f t="shared" si="15"/>
        <v>52.407000000000004</v>
      </c>
      <c r="AP25" s="157"/>
      <c r="AR25" s="842"/>
      <c r="AS25" s="842"/>
      <c r="AT25" s="842"/>
      <c r="AU25" s="842"/>
      <c r="AV25" s="842"/>
      <c r="AW25" s="842"/>
      <c r="AX25" s="842"/>
      <c r="AY25" s="842"/>
      <c r="AZ25" s="842"/>
      <c r="BA25" s="842"/>
      <c r="BB25" s="842"/>
      <c r="BC25" s="842"/>
      <c r="BD25" s="842"/>
      <c r="BE25" s="842"/>
      <c r="BF25" s="842"/>
      <c r="BG25" s="842"/>
      <c r="BH25" s="842"/>
      <c r="BI25" s="842"/>
    </row>
    <row r="26" spans="2:61">
      <c r="B26" s="155"/>
      <c r="D26" s="57" t="s">
        <v>292</v>
      </c>
      <c r="E26" s="472"/>
      <c r="H26" s="212"/>
      <c r="I26" s="212"/>
      <c r="J26" s="296"/>
      <c r="K26" s="296"/>
      <c r="L26" s="296"/>
      <c r="M26" s="296"/>
      <c r="N26" s="296"/>
      <c r="O26" s="296"/>
      <c r="P26" s="296"/>
      <c r="Q26" s="296"/>
      <c r="R26" s="296"/>
      <c r="S26" s="296"/>
      <c r="T26" s="296"/>
      <c r="U26" s="296"/>
      <c r="V26" s="296"/>
      <c r="W26" s="296"/>
      <c r="X26" s="296"/>
      <c r="Y26" s="296"/>
      <c r="Z26" s="1744">
        <f>_xlfn.XLOOKUP("Total IT costs",'Determination Lookup'!$D:$D,'Determination Lookup'!N:N,0)</f>
        <v>31.8201656109777</v>
      </c>
      <c r="AA26" s="1745">
        <f>_xlfn.XLOOKUP("Total IT costs",'Determination Lookup'!$D:$D,'Determination Lookup'!O:O,0)</f>
        <v>34.288344166582583</v>
      </c>
      <c r="AB26" s="1745">
        <f>_xlfn.XLOOKUP("Total IT costs",'Determination Lookup'!$D:$D,'Determination Lookup'!P:P,0)</f>
        <v>35.518815381393182</v>
      </c>
      <c r="AC26" s="1745">
        <f>_xlfn.XLOOKUP("Total IT costs",'Determination Lookup'!$D:$D,'Determination Lookup'!Q:Q,0)</f>
        <v>36.855994744134591</v>
      </c>
      <c r="AD26" s="1745">
        <f>_xlfn.XLOOKUP("Total IT costs",'Determination Lookup'!$D:$D,'Determination Lookup'!R:R,0)</f>
        <v>37.880060058497065</v>
      </c>
      <c r="AE26" s="1746">
        <f>_xlfn.XLOOKUP("Total IT costs",'Determination Lookup'!$D:$D,'Determination Lookup'!S:S,0)</f>
        <v>38.453561487794062</v>
      </c>
      <c r="AF26" s="1745">
        <f>_xlfn.XLOOKUP("Total IT costs",'Determination Lookup'!$D:$D,'Determination Lookup'!T:T,0)</f>
        <v>38.453561487794062</v>
      </c>
      <c r="AG26" s="1745">
        <f>_xlfn.XLOOKUP("Total IT costs",'Determination Lookup'!$D:$D,'Determination Lookup'!U:U,0)</f>
        <v>38.453561487794062</v>
      </c>
      <c r="AH26" s="1745">
        <f>_xlfn.XLOOKUP("Total IT costs",'Determination Lookup'!$D:$D,'Determination Lookup'!V:V,0)</f>
        <v>38.453561487794062</v>
      </c>
      <c r="AI26" s="1745">
        <f>_xlfn.XLOOKUP("Total IT costs",'Determination Lookup'!$D:$D,'Determination Lookup'!W:W,0)</f>
        <v>38.453561487794062</v>
      </c>
      <c r="AJ26" s="1746">
        <f>_xlfn.XLOOKUP("Total IT costs",'Determination Lookup'!$D:$D,'Determination Lookup'!X:X,0)</f>
        <v>38.453561487794062</v>
      </c>
      <c r="AK26" s="1742"/>
      <c r="AL26" s="1742"/>
      <c r="AM26" s="1742"/>
      <c r="AN26" s="1742"/>
      <c r="AO26" s="1743"/>
      <c r="AP26" s="157"/>
      <c r="AR26" s="842"/>
      <c r="AS26" s="842"/>
      <c r="AT26" s="842"/>
      <c r="AU26" s="842"/>
      <c r="AV26" s="842"/>
      <c r="AW26" s="842"/>
      <c r="AX26" s="842"/>
      <c r="AY26" s="842"/>
      <c r="AZ26" s="842"/>
      <c r="BA26" s="842"/>
      <c r="BB26" s="842"/>
      <c r="BC26" s="842"/>
      <c r="BD26" s="842"/>
      <c r="BE26" s="842"/>
      <c r="BF26" s="842"/>
      <c r="BG26" s="842"/>
      <c r="BH26" s="842"/>
      <c r="BI26" s="842"/>
    </row>
    <row r="27" spans="2:61">
      <c r="B27" s="155"/>
      <c r="D27" s="57" t="s">
        <v>288</v>
      </c>
      <c r="E27" s="472"/>
      <c r="H27" s="212"/>
      <c r="I27" s="212"/>
      <c r="J27" s="296"/>
      <c r="K27" s="296"/>
      <c r="L27" s="296"/>
      <c r="M27" s="296"/>
      <c r="N27" s="296"/>
      <c r="O27" s="296"/>
      <c r="P27" s="296"/>
      <c r="Q27" s="296"/>
      <c r="R27" s="296"/>
      <c r="S27" s="296"/>
      <c r="T27" s="296"/>
      <c r="U27" s="296"/>
      <c r="V27" s="296"/>
      <c r="W27" s="296"/>
      <c r="X27" s="296"/>
      <c r="Y27" s="296"/>
      <c r="Z27" s="1594">
        <f t="shared" ref="Z27:AO27" si="16">Z25-Z26</f>
        <v>0.27258355216979524</v>
      </c>
      <c r="AA27" s="1595">
        <f t="shared" si="16"/>
        <v>6.2781595164199402</v>
      </c>
      <c r="AB27" s="1595">
        <f t="shared" si="16"/>
        <v>8.8186522096237638</v>
      </c>
      <c r="AC27" s="1595">
        <f t="shared" si="16"/>
        <v>11.036424747720588</v>
      </c>
      <c r="AD27" s="1595">
        <f t="shared" si="16"/>
        <v>9.8841854213501108</v>
      </c>
      <c r="AE27" s="1596">
        <f t="shared" si="16"/>
        <v>11.443561252129527</v>
      </c>
      <c r="AF27" s="1595">
        <f t="shared" si="16"/>
        <v>13.576438512205939</v>
      </c>
      <c r="AG27" s="1595">
        <f t="shared" si="16"/>
        <v>18.216438512205933</v>
      </c>
      <c r="AH27" s="1595">
        <f t="shared" si="16"/>
        <v>18.952438512205944</v>
      </c>
      <c r="AI27" s="1595">
        <f t="shared" si="16"/>
        <v>14.953438512205935</v>
      </c>
      <c r="AJ27" s="1596">
        <f t="shared" si="16"/>
        <v>13.953438512205942</v>
      </c>
      <c r="AK27" s="1595">
        <f t="shared" si="16"/>
        <v>52.407000000000004</v>
      </c>
      <c r="AL27" s="1595">
        <f t="shared" si="16"/>
        <v>52.407000000000004</v>
      </c>
      <c r="AM27" s="1595">
        <f t="shared" si="16"/>
        <v>52.407000000000004</v>
      </c>
      <c r="AN27" s="1595">
        <f t="shared" si="16"/>
        <v>52.407000000000004</v>
      </c>
      <c r="AO27" s="1596">
        <f t="shared" si="16"/>
        <v>52.407000000000004</v>
      </c>
      <c r="AP27" s="157"/>
      <c r="AR27" s="842"/>
      <c r="AS27" s="842"/>
      <c r="AT27" s="842"/>
      <c r="AU27" s="842"/>
      <c r="AV27" s="842"/>
      <c r="AW27" s="842"/>
      <c r="AX27" s="842"/>
      <c r="AY27" s="842"/>
      <c r="AZ27" s="842"/>
      <c r="BA27" s="842"/>
      <c r="BB27" s="842"/>
      <c r="BC27" s="842"/>
      <c r="BD27" s="842"/>
      <c r="BE27" s="842"/>
      <c r="BF27" s="842"/>
      <c r="BG27" s="842"/>
      <c r="BH27" s="842"/>
      <c r="BI27" s="842"/>
    </row>
    <row r="28" spans="2:61">
      <c r="B28" s="155"/>
      <c r="D28" s="57"/>
      <c r="E28" s="472"/>
      <c r="H28" s="212"/>
      <c r="I28" s="212"/>
      <c r="J28" s="296"/>
      <c r="K28" s="296"/>
      <c r="L28" s="296"/>
      <c r="M28" s="296"/>
      <c r="N28" s="296"/>
      <c r="O28" s="296"/>
      <c r="P28" s="296"/>
      <c r="Q28" s="296"/>
      <c r="R28" s="296"/>
      <c r="S28" s="296"/>
      <c r="T28" s="296"/>
      <c r="U28" s="296"/>
      <c r="V28" s="296"/>
      <c r="W28" s="296"/>
      <c r="X28" s="296"/>
      <c r="Y28" s="296"/>
      <c r="Z28" s="1598"/>
      <c r="AA28" s="1598"/>
      <c r="AB28" s="1598"/>
      <c r="AC28" s="1598"/>
      <c r="AD28" s="1598"/>
      <c r="AE28" s="1321">
        <f>SUM(AA27:AE27)</f>
        <v>47.46098314724393</v>
      </c>
      <c r="AF28" s="1598"/>
      <c r="AG28" s="1598"/>
      <c r="AH28" s="1598"/>
      <c r="AI28" s="1598"/>
      <c r="AJ28" s="1321">
        <f>SUM(AF27:AJ27)</f>
        <v>79.652192561029693</v>
      </c>
      <c r="AK28" s="1598"/>
      <c r="AL28" s="1598"/>
      <c r="AM28" s="1598"/>
      <c r="AN28" s="1598"/>
      <c r="AO28" s="1321">
        <f>SUM(AK27:AO27)</f>
        <v>262.03500000000003</v>
      </c>
      <c r="AP28" s="157"/>
      <c r="AR28" s="842"/>
      <c r="AS28" s="842"/>
      <c r="AT28" s="842"/>
      <c r="AU28" s="842"/>
      <c r="AV28" s="842"/>
      <c r="AW28" s="842"/>
      <c r="AX28" s="842"/>
      <c r="AY28" s="842"/>
      <c r="AZ28" s="842"/>
      <c r="BA28" s="842"/>
      <c r="BB28" s="842"/>
      <c r="BC28" s="842"/>
      <c r="BD28" s="842"/>
      <c r="BE28" s="842"/>
      <c r="BF28" s="842"/>
      <c r="BG28" s="842"/>
      <c r="BH28" s="842"/>
      <c r="BI28" s="842"/>
    </row>
    <row r="29" spans="2:61">
      <c r="B29" s="155"/>
      <c r="D29" s="57" t="s">
        <v>293</v>
      </c>
      <c r="E29" s="472"/>
      <c r="H29" s="212"/>
      <c r="I29" s="212"/>
      <c r="J29" s="296"/>
      <c r="K29" s="296"/>
      <c r="L29" s="296"/>
      <c r="M29" s="296"/>
      <c r="N29" s="296"/>
      <c r="O29" s="296"/>
      <c r="P29" s="296"/>
      <c r="Q29" s="296"/>
      <c r="R29" s="296"/>
      <c r="S29" s="296"/>
      <c r="T29" s="296"/>
      <c r="U29" s="296"/>
      <c r="V29" s="296"/>
      <c r="W29" s="296"/>
      <c r="X29" s="296"/>
      <c r="Y29" s="296"/>
      <c r="Z29" s="1591">
        <f t="shared" ref="Z29:AE29" si="17">Z129</f>
        <v>11.626878635608918</v>
      </c>
      <c r="AA29" s="1592">
        <f t="shared" si="17"/>
        <v>10.673662820458015</v>
      </c>
      <c r="AB29" s="1592">
        <f t="shared" si="17"/>
        <v>12.680212583898303</v>
      </c>
      <c r="AC29" s="1592">
        <f t="shared" si="17"/>
        <v>16.108858074773757</v>
      </c>
      <c r="AD29" s="1592">
        <f t="shared" si="17"/>
        <v>17.070885071965058</v>
      </c>
      <c r="AE29" s="1421">
        <f t="shared" si="17"/>
        <v>20.143582370000001</v>
      </c>
      <c r="AF29" s="1592">
        <f t="shared" ref="AF29:AO29" si="18">AF129</f>
        <v>20.23167616585366</v>
      </c>
      <c r="AG29" s="1592">
        <f t="shared" si="18"/>
        <v>20.527711343248068</v>
      </c>
      <c r="AH29" s="1592">
        <f t="shared" si="18"/>
        <v>23.432469736655019</v>
      </c>
      <c r="AI29" s="1592">
        <f t="shared" si="18"/>
        <v>21.406305027495254</v>
      </c>
      <c r="AJ29" s="1421">
        <f t="shared" si="18"/>
        <v>22.507705768670952</v>
      </c>
      <c r="AK29" s="1592">
        <f t="shared" si="18"/>
        <v>22.507705768670952</v>
      </c>
      <c r="AL29" s="1592">
        <f t="shared" si="18"/>
        <v>22.507705768670952</v>
      </c>
      <c r="AM29" s="1592">
        <f t="shared" si="18"/>
        <v>22.507705768670952</v>
      </c>
      <c r="AN29" s="1592">
        <f t="shared" si="18"/>
        <v>22.507705768670952</v>
      </c>
      <c r="AO29" s="1421">
        <f t="shared" si="18"/>
        <v>22.507705768670952</v>
      </c>
      <c r="AP29" s="157"/>
      <c r="AR29" s="842"/>
      <c r="AS29" s="842"/>
      <c r="AT29" s="842"/>
      <c r="AU29" s="842"/>
      <c r="AV29" s="842"/>
      <c r="AW29" s="842"/>
      <c r="AX29" s="842"/>
      <c r="AY29" s="842"/>
      <c r="AZ29" s="842"/>
      <c r="BA29" s="842"/>
      <c r="BB29" s="842"/>
      <c r="BC29" s="842"/>
      <c r="BD29" s="842"/>
      <c r="BE29" s="842"/>
      <c r="BF29" s="842"/>
      <c r="BG29" s="842"/>
      <c r="BH29" s="842"/>
      <c r="BI29" s="842"/>
    </row>
    <row r="30" spans="2:61">
      <c r="B30" s="155"/>
      <c r="D30" s="57" t="s">
        <v>294</v>
      </c>
      <c r="E30" s="472"/>
      <c r="H30" s="212"/>
      <c r="I30" s="212"/>
      <c r="J30" s="296"/>
      <c r="K30" s="296"/>
      <c r="L30" s="296"/>
      <c r="M30" s="296"/>
      <c r="N30" s="296"/>
      <c r="O30" s="296"/>
      <c r="P30" s="296"/>
      <c r="Q30" s="296"/>
      <c r="R30" s="296"/>
      <c r="S30" s="296"/>
      <c r="T30" s="296"/>
      <c r="U30" s="296"/>
      <c r="V30" s="296"/>
      <c r="W30" s="296"/>
      <c r="X30" s="296"/>
      <c r="Y30" s="296"/>
      <c r="Z30" s="1744">
        <f>_xlfn.XLOOKUP("Total Chemical costs",'Determination Lookup'!$D:$D,'Determination Lookup'!N:N,0)</f>
        <v>11.950544408799312</v>
      </c>
      <c r="AA30" s="1745">
        <f>_xlfn.XLOOKUP("Total Chemical costs",'Determination Lookup'!$D:$D,'Determination Lookup'!O:O,0)</f>
        <v>11.825109330037332</v>
      </c>
      <c r="AB30" s="1745">
        <f>_xlfn.XLOOKUP("Total Chemical costs",'Determination Lookup'!$D:$D,'Determination Lookup'!P:P,0)</f>
        <v>12.335195310216919</v>
      </c>
      <c r="AC30" s="1745">
        <f>_xlfn.XLOOKUP("Total Chemical costs",'Determination Lookup'!$D:$D,'Determination Lookup'!Q:Q,0)</f>
        <v>12.827713613507402</v>
      </c>
      <c r="AD30" s="1745">
        <f>_xlfn.XLOOKUP("Total Chemical costs",'Determination Lookup'!$D:$D,'Determination Lookup'!R:R,0)</f>
        <v>12.695454771959886</v>
      </c>
      <c r="AE30" s="1746">
        <f>_xlfn.XLOOKUP("Total Chemical costs",'Determination Lookup'!$D:$D,'Determination Lookup'!S:S,0)</f>
        <v>12.851999039981621</v>
      </c>
      <c r="AF30" s="1745">
        <f>_xlfn.XLOOKUP("Total Chemical costs",'Determination Lookup'!$D:$D,'Determination Lookup'!T:T,0)</f>
        <v>12.851999039981621</v>
      </c>
      <c r="AG30" s="1745">
        <f>_xlfn.XLOOKUP("Total Chemical costs",'Determination Lookup'!$D:$D,'Determination Lookup'!U:U,0)</f>
        <v>12.851999039981621</v>
      </c>
      <c r="AH30" s="1745">
        <f>_xlfn.XLOOKUP("Total Chemical costs",'Determination Lookup'!$D:$D,'Determination Lookup'!V:V,0)</f>
        <v>12.851999039981621</v>
      </c>
      <c r="AI30" s="1745">
        <f>_xlfn.XLOOKUP("Total Chemical costs",'Determination Lookup'!$D:$D,'Determination Lookup'!W:W,0)</f>
        <v>12.851999039981621</v>
      </c>
      <c r="AJ30" s="1746">
        <f>_xlfn.XLOOKUP("Total Chemical costs",'Determination Lookup'!$D:$D,'Determination Lookup'!X:X,0)</f>
        <v>12.851999039981621</v>
      </c>
      <c r="AK30" s="1742"/>
      <c r="AL30" s="1742"/>
      <c r="AM30" s="1742"/>
      <c r="AN30" s="1742"/>
      <c r="AO30" s="1743"/>
      <c r="AP30" s="157"/>
      <c r="AR30" s="842"/>
      <c r="AS30" s="842"/>
      <c r="AT30" s="842"/>
      <c r="AU30" s="842"/>
      <c r="AV30" s="842"/>
      <c r="AW30" s="842"/>
      <c r="AX30" s="842"/>
      <c r="AY30" s="842"/>
      <c r="AZ30" s="842"/>
      <c r="BA30" s="842"/>
      <c r="BB30" s="842"/>
      <c r="BC30" s="842"/>
      <c r="BD30" s="842"/>
      <c r="BE30" s="842"/>
      <c r="BF30" s="842"/>
      <c r="BG30" s="842"/>
      <c r="BH30" s="842"/>
      <c r="BI30" s="842"/>
    </row>
    <row r="31" spans="2:61">
      <c r="B31" s="155"/>
      <c r="D31" s="57" t="s">
        <v>288</v>
      </c>
      <c r="E31" s="472"/>
      <c r="H31" s="212"/>
      <c r="I31" s="212"/>
      <c r="J31" s="296"/>
      <c r="K31" s="296"/>
      <c r="L31" s="296"/>
      <c r="M31" s="296"/>
      <c r="N31" s="296"/>
      <c r="O31" s="296"/>
      <c r="P31" s="296"/>
      <c r="Q31" s="296"/>
      <c r="R31" s="296"/>
      <c r="S31" s="296"/>
      <c r="T31" s="296"/>
      <c r="U31" s="296"/>
      <c r="V31" s="296"/>
      <c r="W31" s="296"/>
      <c r="X31" s="296"/>
      <c r="Y31" s="296"/>
      <c r="Z31" s="1594">
        <f t="shared" ref="Z31:AE31" si="19">Z29-Z30</f>
        <v>-0.32366577319039358</v>
      </c>
      <c r="AA31" s="1595">
        <f t="shared" si="19"/>
        <v>-1.1514465095793174</v>
      </c>
      <c r="AB31" s="1595">
        <f t="shared" si="19"/>
        <v>0.34501727368138368</v>
      </c>
      <c r="AC31" s="1595">
        <f t="shared" si="19"/>
        <v>3.2811444612663543</v>
      </c>
      <c r="AD31" s="1595">
        <f t="shared" si="19"/>
        <v>4.3754303000051724</v>
      </c>
      <c r="AE31" s="1596">
        <f t="shared" si="19"/>
        <v>7.2915833300183799</v>
      </c>
      <c r="AF31" s="1595">
        <f t="shared" ref="AF31:AO31" si="20">AF29-AF30</f>
        <v>7.3796771258720391</v>
      </c>
      <c r="AG31" s="1595">
        <f t="shared" si="20"/>
        <v>7.6757123032664474</v>
      </c>
      <c r="AH31" s="1595">
        <f t="shared" si="20"/>
        <v>10.580470696673398</v>
      </c>
      <c r="AI31" s="1595">
        <f t="shared" si="20"/>
        <v>8.5543059875136329</v>
      </c>
      <c r="AJ31" s="1596">
        <f t="shared" si="20"/>
        <v>9.6557067286893314</v>
      </c>
      <c r="AK31" s="1595">
        <f t="shared" si="20"/>
        <v>22.507705768670952</v>
      </c>
      <c r="AL31" s="1595">
        <f t="shared" si="20"/>
        <v>22.507705768670952</v>
      </c>
      <c r="AM31" s="1595">
        <f t="shared" si="20"/>
        <v>22.507705768670952</v>
      </c>
      <c r="AN31" s="1595">
        <f t="shared" si="20"/>
        <v>22.507705768670952</v>
      </c>
      <c r="AO31" s="1596">
        <f t="shared" si="20"/>
        <v>22.507705768670952</v>
      </c>
      <c r="AP31" s="157"/>
      <c r="AR31" s="842"/>
      <c r="AS31" s="842"/>
      <c r="AT31" s="842"/>
      <c r="AU31" s="842"/>
      <c r="AV31" s="842"/>
      <c r="AW31" s="842"/>
      <c r="AX31" s="842"/>
      <c r="AY31" s="842"/>
      <c r="AZ31" s="842"/>
      <c r="BA31" s="842"/>
      <c r="BB31" s="842"/>
      <c r="BC31" s="842"/>
      <c r="BD31" s="842"/>
      <c r="BE31" s="842"/>
      <c r="BF31" s="842"/>
      <c r="BG31" s="842"/>
      <c r="BH31" s="842"/>
      <c r="BI31" s="842"/>
    </row>
    <row r="32" spans="2:61" ht="12.75" thickBot="1">
      <c r="B32" s="167"/>
      <c r="C32" s="168"/>
      <c r="D32" s="168"/>
      <c r="E32" s="1112"/>
      <c r="F32" s="168"/>
      <c r="G32" s="168"/>
      <c r="H32" s="461"/>
      <c r="I32" s="461"/>
      <c r="J32" s="1113"/>
      <c r="K32" s="1113"/>
      <c r="L32" s="1113"/>
      <c r="M32" s="1113"/>
      <c r="N32" s="1113"/>
      <c r="O32" s="1113"/>
      <c r="P32" s="1113"/>
      <c r="Q32" s="1113"/>
      <c r="R32" s="1113"/>
      <c r="S32" s="1113"/>
      <c r="T32" s="1113"/>
      <c r="U32" s="1113"/>
      <c r="V32" s="1113"/>
      <c r="W32" s="1113"/>
      <c r="X32" s="1113"/>
      <c r="Y32" s="1113"/>
      <c r="Z32" s="1113"/>
      <c r="AA32" s="1113"/>
      <c r="AB32" s="1113"/>
      <c r="AC32" s="1113"/>
      <c r="AD32" s="1113"/>
      <c r="AE32" s="1113">
        <f>SUM(AA31:AE31)</f>
        <v>14.141728855391973</v>
      </c>
      <c r="AF32" s="1113"/>
      <c r="AG32" s="292"/>
      <c r="AH32" s="292"/>
      <c r="AI32" s="292"/>
      <c r="AJ32" s="1113">
        <f>SUM(AF31:AJ31)</f>
        <v>43.845872842014849</v>
      </c>
      <c r="AK32" s="292"/>
      <c r="AL32" s="292"/>
      <c r="AM32" s="292"/>
      <c r="AN32" s="292"/>
      <c r="AO32" s="1113">
        <f>SUM(AK31:AO31)</f>
        <v>112.53852884335475</v>
      </c>
      <c r="AP32" s="170"/>
      <c r="AR32" s="842"/>
      <c r="AS32" s="842"/>
      <c r="AT32" s="842"/>
      <c r="AU32" s="842"/>
      <c r="AV32" s="842"/>
      <c r="AW32" s="842"/>
      <c r="AX32" s="842"/>
      <c r="AY32" s="842"/>
      <c r="AZ32" s="842"/>
      <c r="BA32" s="842"/>
      <c r="BB32" s="842"/>
      <c r="BC32" s="842"/>
      <c r="BD32" s="842"/>
      <c r="BE32" s="842"/>
      <c r="BF32" s="842"/>
      <c r="BG32" s="842"/>
    </row>
    <row r="33" spans="2:59">
      <c r="E33" s="472"/>
      <c r="H33" s="212"/>
      <c r="I33" s="212"/>
      <c r="J33" s="296"/>
      <c r="K33" s="296"/>
      <c r="L33" s="296"/>
      <c r="M33" s="296"/>
      <c r="N33" s="296"/>
      <c r="O33" s="296"/>
      <c r="P33" s="296"/>
      <c r="Q33" s="296"/>
      <c r="R33" s="296"/>
      <c r="S33" s="296"/>
      <c r="T33" s="296"/>
      <c r="U33" s="296"/>
      <c r="V33" s="296"/>
      <c r="W33" s="296"/>
      <c r="X33" s="296"/>
      <c r="Y33" s="296"/>
      <c r="Z33" s="296"/>
      <c r="AA33" s="296"/>
      <c r="AB33" s="296"/>
      <c r="AC33" s="296"/>
      <c r="AD33" s="296"/>
      <c r="AE33" s="296"/>
      <c r="AF33" s="296"/>
      <c r="AG33" s="270"/>
      <c r="AH33" s="270"/>
      <c r="AI33" s="270"/>
      <c r="AJ33" s="270"/>
      <c r="AK33" s="270"/>
      <c r="AL33" s="270"/>
      <c r="AM33" s="270"/>
      <c r="AN33" s="270"/>
      <c r="AR33" s="842"/>
      <c r="AS33" s="842"/>
      <c r="AT33" s="842"/>
      <c r="AU33" s="842"/>
      <c r="AV33" s="842"/>
      <c r="AW33" s="842"/>
      <c r="AX33" s="842"/>
      <c r="AY33" s="842"/>
      <c r="AZ33" s="842"/>
      <c r="BA33" s="842"/>
      <c r="BB33" s="842"/>
      <c r="BC33" s="842"/>
      <c r="BD33" s="842"/>
      <c r="BE33" s="842"/>
      <c r="BF33" s="842"/>
      <c r="BG33" s="842"/>
    </row>
    <row r="34" spans="2:59" ht="12.75" thickBot="1">
      <c r="AR34" s="842"/>
      <c r="AS34" s="842"/>
      <c r="AT34" s="842"/>
      <c r="AU34" s="842"/>
      <c r="AV34" s="842"/>
      <c r="AW34" s="842"/>
      <c r="AX34" s="842"/>
      <c r="AY34" s="842"/>
      <c r="AZ34" s="842"/>
      <c r="BA34" s="842"/>
      <c r="BB34" s="842"/>
      <c r="BC34" s="842"/>
      <c r="BD34" s="842"/>
      <c r="BE34" s="842"/>
      <c r="BF34" s="842"/>
      <c r="BG34" s="842"/>
    </row>
    <row r="35" spans="2:59">
      <c r="B35" s="152"/>
      <c r="C35" s="153"/>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c r="AM35" s="153"/>
      <c r="AN35" s="153"/>
      <c r="AO35" s="153"/>
      <c r="AP35" s="154"/>
      <c r="AR35" s="842"/>
      <c r="AS35" s="842"/>
      <c r="AT35" s="842"/>
      <c r="AU35" s="842"/>
      <c r="AV35" s="842"/>
      <c r="AW35" s="842"/>
      <c r="AX35" s="842"/>
      <c r="AY35" s="842"/>
      <c r="AZ35" s="842"/>
      <c r="BA35" s="842"/>
      <c r="BB35" s="842"/>
      <c r="BC35" s="842"/>
      <c r="BD35" s="842"/>
      <c r="BE35" s="842"/>
      <c r="BF35" s="842"/>
      <c r="BG35" s="842"/>
    </row>
    <row r="36" spans="2:59">
      <c r="B36" s="155"/>
      <c r="C36" s="156" t="s">
        <v>295</v>
      </c>
      <c r="AP36" s="157"/>
      <c r="AR36" s="842"/>
      <c r="AS36" s="842"/>
      <c r="AT36" s="842"/>
      <c r="AU36" s="842"/>
      <c r="AV36" s="842"/>
      <c r="AW36" s="842"/>
      <c r="AX36" s="842"/>
      <c r="AY36" s="842"/>
      <c r="AZ36" s="842"/>
      <c r="BA36" s="842"/>
      <c r="BB36" s="842"/>
      <c r="BC36" s="842"/>
      <c r="BD36" s="842"/>
      <c r="BE36" s="842"/>
      <c r="BF36" s="842"/>
      <c r="BG36" s="842"/>
    </row>
    <row r="37" spans="2:59">
      <c r="B37" s="155"/>
      <c r="AP37" s="157"/>
      <c r="AR37" s="842"/>
      <c r="AS37" s="842"/>
      <c r="AT37" s="842"/>
      <c r="AU37" s="842"/>
      <c r="AV37" s="842"/>
      <c r="AW37" s="842"/>
      <c r="AX37" s="842"/>
      <c r="AY37" s="842"/>
      <c r="AZ37" s="842"/>
      <c r="BA37" s="842"/>
      <c r="BB37" s="842"/>
      <c r="BC37" s="842"/>
      <c r="BD37" s="842"/>
      <c r="BE37" s="842"/>
      <c r="BF37" s="842"/>
      <c r="BG37" s="842"/>
    </row>
    <row r="38" spans="2:59">
      <c r="B38" s="155"/>
      <c r="D38" s="63" t="s">
        <v>296</v>
      </c>
      <c r="G38" s="166"/>
      <c r="S38" s="1267"/>
      <c r="T38" s="1268"/>
      <c r="U38" s="1268"/>
      <c r="V38" s="1268"/>
      <c r="W38" s="199"/>
      <c r="X38" s="1104"/>
      <c r="Y38" s="199"/>
      <c r="Z38" s="336">
        <v>1164</v>
      </c>
      <c r="AA38" s="333">
        <v>1138</v>
      </c>
      <c r="AB38" s="334">
        <v>1204.3599999999999</v>
      </c>
      <c r="AC38" s="334">
        <v>1324.11</v>
      </c>
      <c r="AD38" s="335">
        <v>1399.34</v>
      </c>
      <c r="AE38" s="116"/>
      <c r="AF38" s="116"/>
      <c r="AG38" s="116"/>
      <c r="AP38" s="157"/>
      <c r="AR38" s="842"/>
      <c r="AS38" s="842"/>
      <c r="AT38" s="842"/>
      <c r="AU38" s="842"/>
      <c r="AV38" s="842"/>
      <c r="AW38" s="842"/>
      <c r="AX38" s="842"/>
      <c r="AY38" s="842"/>
      <c r="AZ38" s="842"/>
      <c r="BA38" s="842"/>
      <c r="BB38" s="842"/>
      <c r="BC38" s="842"/>
      <c r="BD38" s="842"/>
      <c r="BE38" s="842"/>
      <c r="BF38" s="842"/>
      <c r="BG38" s="842"/>
    </row>
    <row r="39" spans="2:59">
      <c r="B39" s="155"/>
      <c r="D39" s="63" t="s">
        <v>297</v>
      </c>
      <c r="F39" s="201"/>
      <c r="G39" s="201"/>
      <c r="H39" s="201"/>
      <c r="I39" s="201"/>
      <c r="J39" s="201"/>
      <c r="K39" s="201"/>
      <c r="L39" s="201"/>
      <c r="M39" s="201"/>
      <c r="N39" s="201"/>
      <c r="O39" s="201"/>
      <c r="S39" s="1269"/>
      <c r="T39" s="1270"/>
      <c r="U39" s="1270"/>
      <c r="V39" s="1270"/>
      <c r="W39" s="335"/>
      <c r="X39" s="330"/>
      <c r="Y39" s="331"/>
      <c r="Z39" s="451">
        <v>176.25572587638032</v>
      </c>
      <c r="AA39" s="330">
        <v>178.83604604060889</v>
      </c>
      <c r="AB39" s="334">
        <v>190.68644869941517</v>
      </c>
      <c r="AC39" s="334">
        <v>195.25499586728822</v>
      </c>
      <c r="AD39" s="334">
        <v>212.793968637353</v>
      </c>
      <c r="AE39" s="334">
        <v>212.793968637353</v>
      </c>
      <c r="AF39" s="333">
        <v>212.793968637353</v>
      </c>
      <c r="AG39" s="334">
        <v>212.793968637353</v>
      </c>
      <c r="AH39" s="334">
        <v>212.793968637353</v>
      </c>
      <c r="AI39" s="334">
        <v>212.793968637353</v>
      </c>
      <c r="AJ39" s="335">
        <v>212.793968637353</v>
      </c>
      <c r="AK39" s="334">
        <v>212.793968637353</v>
      </c>
      <c r="AL39" s="334">
        <v>212.793968637353</v>
      </c>
      <c r="AM39" s="334">
        <v>212.793968637353</v>
      </c>
      <c r="AN39" s="334">
        <v>212.793968637353</v>
      </c>
      <c r="AO39" s="335">
        <v>212.793968637353</v>
      </c>
      <c r="AP39" s="157"/>
      <c r="AR39" s="842"/>
      <c r="AS39" s="842"/>
      <c r="AT39" s="842"/>
      <c r="AU39" s="842"/>
      <c r="AV39" s="842"/>
      <c r="AW39" s="842"/>
      <c r="AX39" s="842"/>
      <c r="AY39" s="842"/>
      <c r="AZ39" s="842"/>
      <c r="BA39" s="842"/>
      <c r="BB39" s="842"/>
      <c r="BC39" s="842"/>
      <c r="BD39" s="842"/>
      <c r="BE39" s="842"/>
      <c r="BF39" s="842"/>
      <c r="BG39" s="842"/>
    </row>
    <row r="40" spans="2:59">
      <c r="B40" s="155"/>
      <c r="D40" s="63" t="s">
        <v>298</v>
      </c>
      <c r="F40" s="201"/>
      <c r="G40" s="201"/>
      <c r="H40" s="201"/>
      <c r="I40" s="201"/>
      <c r="J40" s="202"/>
      <c r="K40" s="202"/>
      <c r="L40" s="202"/>
      <c r="M40" s="202"/>
      <c r="N40" s="202"/>
      <c r="O40" s="202"/>
      <c r="W40" s="203"/>
      <c r="X40" s="203"/>
      <c r="Y40" s="203"/>
      <c r="Z40" s="203">
        <f>+Z39/Z38*10^3</f>
        <v>151.42244491097966</v>
      </c>
      <c r="AA40" s="203">
        <f>+AA39/AA38*10^3</f>
        <v>157.14942534324155</v>
      </c>
      <c r="AB40" s="203">
        <f>+AB39/AB38*10^3</f>
        <v>158.33010785762994</v>
      </c>
      <c r="AC40" s="203">
        <f>+AC39/AC38*10^3</f>
        <v>147.46131051596035</v>
      </c>
      <c r="AD40" s="203">
        <f>+AD39/AD38*10^3</f>
        <v>152.06738079191121</v>
      </c>
      <c r="AE40" s="204">
        <f>+AE39/$AD$38*10^3</f>
        <v>152.06738079191121</v>
      </c>
      <c r="AF40" s="205">
        <f t="shared" ref="AF40:AO40" si="21">+AF39/$AD$38*10^3</f>
        <v>152.06738079191121</v>
      </c>
      <c r="AG40" s="205">
        <f t="shared" si="21"/>
        <v>152.06738079191121</v>
      </c>
      <c r="AH40" s="205">
        <f t="shared" si="21"/>
        <v>152.06738079191121</v>
      </c>
      <c r="AI40" s="205">
        <f t="shared" si="21"/>
        <v>152.06738079191121</v>
      </c>
      <c r="AJ40" s="205">
        <f t="shared" si="21"/>
        <v>152.06738079191121</v>
      </c>
      <c r="AK40" s="205">
        <f t="shared" si="21"/>
        <v>152.06738079191121</v>
      </c>
      <c r="AL40" s="205">
        <f t="shared" si="21"/>
        <v>152.06738079191121</v>
      </c>
      <c r="AM40" s="205">
        <f t="shared" si="21"/>
        <v>152.06738079191121</v>
      </c>
      <c r="AN40" s="205">
        <f t="shared" si="21"/>
        <v>152.06738079191121</v>
      </c>
      <c r="AO40" s="205">
        <f t="shared" si="21"/>
        <v>152.06738079191121</v>
      </c>
      <c r="AP40" s="157"/>
      <c r="AR40" s="842"/>
      <c r="AS40" s="842"/>
      <c r="AT40" s="842"/>
      <c r="AU40" s="842"/>
      <c r="AV40" s="842"/>
      <c r="AW40" s="842"/>
      <c r="AX40" s="842"/>
      <c r="AY40" s="842"/>
      <c r="AZ40" s="842"/>
      <c r="BA40" s="842"/>
      <c r="BB40" s="842"/>
      <c r="BC40" s="842"/>
      <c r="BD40" s="842"/>
      <c r="BE40" s="842"/>
      <c r="BF40" s="842"/>
      <c r="BG40" s="842"/>
    </row>
    <row r="41" spans="2:59">
      <c r="B41" s="155"/>
      <c r="D41" s="63" t="s">
        <v>299</v>
      </c>
      <c r="F41" s="201"/>
      <c r="G41" s="201"/>
      <c r="H41" s="201"/>
      <c r="I41" s="201"/>
      <c r="J41" s="201"/>
      <c r="K41" s="201"/>
      <c r="L41" s="201"/>
      <c r="M41" s="201"/>
      <c r="N41" s="201"/>
      <c r="O41" s="201"/>
      <c r="W41" s="201"/>
      <c r="X41" s="201"/>
      <c r="Y41" s="201"/>
      <c r="Z41" s="201"/>
      <c r="AA41" s="201">
        <f t="shared" ref="AA41:AO41" si="22">+AA40/Z40-1</f>
        <v>3.7821212275556348E-2</v>
      </c>
      <c r="AB41" s="201">
        <f t="shared" si="22"/>
        <v>7.5131201517890656E-3</v>
      </c>
      <c r="AC41" s="201">
        <f t="shared" si="22"/>
        <v>-6.8646434267844891E-2</v>
      </c>
      <c r="AD41" s="201">
        <f t="shared" si="22"/>
        <v>3.1235788288022315E-2</v>
      </c>
      <c r="AE41" s="201">
        <f t="shared" si="22"/>
        <v>0</v>
      </c>
      <c r="AF41" s="201">
        <f t="shared" si="22"/>
        <v>0</v>
      </c>
      <c r="AG41" s="201">
        <f t="shared" si="22"/>
        <v>0</v>
      </c>
      <c r="AH41" s="201">
        <f t="shared" si="22"/>
        <v>0</v>
      </c>
      <c r="AI41" s="201">
        <f t="shared" si="22"/>
        <v>0</v>
      </c>
      <c r="AJ41" s="201">
        <f t="shared" si="22"/>
        <v>0</v>
      </c>
      <c r="AK41" s="201">
        <f t="shared" si="22"/>
        <v>0</v>
      </c>
      <c r="AL41" s="201">
        <f t="shared" si="22"/>
        <v>0</v>
      </c>
      <c r="AM41" s="201">
        <f t="shared" si="22"/>
        <v>0</v>
      </c>
      <c r="AN41" s="201">
        <f t="shared" si="22"/>
        <v>0</v>
      </c>
      <c r="AO41" s="201">
        <f t="shared" si="22"/>
        <v>0</v>
      </c>
      <c r="AP41" s="157"/>
      <c r="AR41" s="842"/>
      <c r="AS41" s="842"/>
      <c r="AT41" s="842"/>
      <c r="AU41" s="842"/>
      <c r="AV41" s="842"/>
      <c r="AW41" s="842"/>
      <c r="AX41" s="842"/>
      <c r="AY41" s="842"/>
      <c r="AZ41" s="842"/>
      <c r="BA41" s="842"/>
      <c r="BB41" s="842"/>
      <c r="BC41" s="842"/>
      <c r="BD41" s="842"/>
      <c r="BE41" s="842"/>
      <c r="BF41" s="842"/>
      <c r="BG41" s="842"/>
    </row>
    <row r="42" spans="2:59">
      <c r="B42" s="155"/>
      <c r="F42" s="207"/>
      <c r="G42" s="207"/>
      <c r="H42" s="201"/>
      <c r="I42" s="201"/>
      <c r="J42" s="201"/>
      <c r="K42" s="201"/>
      <c r="L42" s="201"/>
      <c r="M42" s="201"/>
      <c r="N42" s="201"/>
      <c r="O42" s="201"/>
      <c r="W42" s="206"/>
      <c r="X42" s="206"/>
      <c r="Y42" s="206"/>
      <c r="Z42" s="206"/>
      <c r="AA42" s="206"/>
      <c r="AB42" s="201"/>
      <c r="AG42" s="201"/>
      <c r="AP42" s="157"/>
      <c r="AR42" s="842"/>
      <c r="AS42" s="842"/>
      <c r="AT42" s="842"/>
      <c r="AU42" s="842"/>
      <c r="AV42" s="842"/>
      <c r="AW42" s="842"/>
      <c r="AX42" s="842"/>
      <c r="AY42" s="842"/>
      <c r="AZ42" s="842"/>
      <c r="BA42" s="842"/>
      <c r="BB42" s="842"/>
      <c r="BC42" s="842"/>
      <c r="BD42" s="842"/>
      <c r="BE42" s="842"/>
      <c r="BF42" s="842"/>
      <c r="BG42" s="842"/>
    </row>
    <row r="43" spans="2:59">
      <c r="B43" s="155"/>
      <c r="D43" s="63" t="s">
        <v>300</v>
      </c>
      <c r="F43" s="208"/>
      <c r="G43" s="209"/>
      <c r="H43" s="210"/>
      <c r="I43" s="210"/>
      <c r="J43" s="210"/>
      <c r="K43" s="210"/>
      <c r="L43" s="210"/>
      <c r="M43" s="210"/>
      <c r="N43" s="210"/>
      <c r="O43" s="210"/>
      <c r="AE43" s="336">
        <v>-3.8890250000000002</v>
      </c>
      <c r="AF43" s="333">
        <v>40.840870939073767</v>
      </c>
      <c r="AG43" s="334">
        <v>15.890968842047457</v>
      </c>
      <c r="AH43" s="334">
        <v>9.4884502217436477</v>
      </c>
      <c r="AI43" s="334">
        <v>-5.4558757628182306</v>
      </c>
      <c r="AJ43" s="335">
        <v>0.46303464428126517</v>
      </c>
      <c r="AK43" s="334">
        <v>-7.7456165092939955E-2</v>
      </c>
      <c r="AL43" s="334">
        <v>-0.24192563661579669</v>
      </c>
      <c r="AM43" s="334">
        <v>-0.17822149593400383</v>
      </c>
      <c r="AN43" s="334">
        <v>0.34437593957740376</v>
      </c>
      <c r="AO43" s="335">
        <v>-0.39086801692584316</v>
      </c>
      <c r="AP43" s="157"/>
      <c r="AR43" s="842"/>
      <c r="AS43" s="842"/>
      <c r="AT43" s="842"/>
      <c r="AU43" s="842"/>
      <c r="AV43" s="842"/>
      <c r="AW43" s="842"/>
      <c r="AX43" s="842"/>
      <c r="AY43" s="842"/>
      <c r="AZ43" s="842"/>
      <c r="BA43" s="842"/>
      <c r="BB43" s="842"/>
      <c r="BC43" s="842"/>
      <c r="BD43" s="842"/>
      <c r="BE43" s="842"/>
      <c r="BF43" s="842"/>
      <c r="BG43" s="842"/>
    </row>
    <row r="44" spans="2:59">
      <c r="B44" s="155"/>
      <c r="D44" s="63" t="s">
        <v>301</v>
      </c>
      <c r="F44" s="208"/>
      <c r="G44" s="208"/>
      <c r="H44" s="210"/>
      <c r="I44" s="210"/>
      <c r="J44" s="210"/>
      <c r="K44" s="210"/>
      <c r="L44" s="210"/>
      <c r="M44" s="210"/>
      <c r="N44" s="210"/>
      <c r="O44" s="210"/>
      <c r="AE44" s="336">
        <v>-12.516357545432934</v>
      </c>
      <c r="AF44" s="333">
        <v>-9.9823993936221118</v>
      </c>
      <c r="AG44" s="334">
        <v>-9.5651888075763907</v>
      </c>
      <c r="AH44" s="334">
        <v>-7.8820396837598476</v>
      </c>
      <c r="AI44" s="334">
        <v>-8.6405063344927289</v>
      </c>
      <c r="AJ44" s="335">
        <v>-8.5490106887827508</v>
      </c>
      <c r="AK44" s="334">
        <v>-8.5643160270051162</v>
      </c>
      <c r="AL44" s="334">
        <v>-8.6121205328003967</v>
      </c>
      <c r="AM44" s="334">
        <v>-8.647337100396955</v>
      </c>
      <c r="AN44" s="334">
        <v>-8.5792884147364603</v>
      </c>
      <c r="AO44" s="335">
        <v>-8.6565239348810064</v>
      </c>
      <c r="AP44" s="157"/>
      <c r="AR44" s="842"/>
      <c r="AS44" s="842"/>
      <c r="AT44" s="842"/>
      <c r="AU44" s="842"/>
      <c r="AV44" s="842"/>
      <c r="AW44" s="842"/>
      <c r="AX44" s="842"/>
      <c r="AY44" s="842"/>
      <c r="AZ44" s="842"/>
      <c r="BA44" s="842"/>
      <c r="BB44" s="842"/>
      <c r="BC44" s="842"/>
      <c r="BD44" s="842"/>
      <c r="BE44" s="842"/>
      <c r="BF44" s="842"/>
      <c r="BG44" s="842"/>
    </row>
    <row r="45" spans="2:59">
      <c r="B45" s="155"/>
      <c r="F45" s="201"/>
      <c r="G45" s="201"/>
      <c r="H45" s="201"/>
      <c r="I45" s="201"/>
      <c r="J45" s="201"/>
      <c r="K45" s="201"/>
      <c r="L45" s="201"/>
      <c r="M45" s="201"/>
      <c r="N45" s="201"/>
      <c r="O45" s="201"/>
      <c r="W45" s="205"/>
      <c r="X45" s="205"/>
      <c r="Y45" s="205"/>
      <c r="Z45" s="205"/>
      <c r="AA45" s="205"/>
      <c r="AB45" s="203"/>
      <c r="AC45" s="203"/>
      <c r="AD45" s="203"/>
      <c r="AE45" s="203"/>
      <c r="AF45" s="203"/>
      <c r="AG45" s="203"/>
      <c r="AH45" s="203"/>
      <c r="AI45" s="203"/>
      <c r="AJ45" s="203"/>
      <c r="AK45" s="203"/>
      <c r="AL45" s="203"/>
      <c r="AM45" s="203"/>
      <c r="AN45" s="203"/>
      <c r="AO45" s="203"/>
      <c r="AP45" s="157"/>
      <c r="AR45" s="842"/>
      <c r="AS45" s="842"/>
      <c r="AT45" s="842"/>
      <c r="AU45" s="842"/>
      <c r="AV45" s="842"/>
      <c r="AW45" s="842"/>
      <c r="AX45" s="842"/>
      <c r="AY45" s="842"/>
      <c r="AZ45" s="842"/>
      <c r="BA45" s="842"/>
      <c r="BB45" s="842"/>
      <c r="BC45" s="842"/>
      <c r="BD45" s="842"/>
      <c r="BE45" s="842"/>
      <c r="BF45" s="842"/>
      <c r="BG45" s="842"/>
    </row>
    <row r="46" spans="2:59">
      <c r="B46" s="155"/>
      <c r="F46" s="201"/>
      <c r="G46" s="201"/>
      <c r="H46" s="201"/>
      <c r="I46" s="201"/>
      <c r="J46" s="201"/>
      <c r="K46" s="201"/>
      <c r="L46" s="201"/>
      <c r="M46" s="201"/>
      <c r="N46" s="201"/>
      <c r="O46" s="201"/>
      <c r="W46" s="206"/>
      <c r="X46" s="206"/>
      <c r="Y46" s="206"/>
      <c r="Z46" s="206"/>
      <c r="AA46" s="206"/>
      <c r="AB46" s="201"/>
      <c r="AC46" s="201"/>
      <c r="AD46" s="201"/>
      <c r="AE46" s="201"/>
      <c r="AF46" s="201"/>
      <c r="AG46" s="201"/>
      <c r="AH46" s="201"/>
      <c r="AI46" s="201"/>
      <c r="AJ46" s="201"/>
      <c r="AK46" s="201"/>
      <c r="AL46" s="201"/>
      <c r="AM46" s="201"/>
      <c r="AN46" s="201"/>
      <c r="AO46" s="201"/>
      <c r="AP46" s="157"/>
      <c r="AR46" s="842"/>
      <c r="AS46" s="842"/>
      <c r="AT46" s="842"/>
      <c r="AU46" s="842"/>
      <c r="AV46" s="842"/>
      <c r="AW46" s="842"/>
      <c r="AX46" s="842"/>
      <c r="AY46" s="842"/>
      <c r="AZ46" s="842"/>
      <c r="BA46" s="842"/>
      <c r="BB46" s="842"/>
      <c r="BC46" s="842"/>
      <c r="BD46" s="842"/>
      <c r="BE46" s="842"/>
      <c r="BF46" s="842"/>
      <c r="BG46" s="842"/>
    </row>
    <row r="47" spans="2:59">
      <c r="B47" s="155"/>
      <c r="F47" s="201"/>
      <c r="G47" s="201"/>
      <c r="H47" s="201"/>
      <c r="I47" s="201"/>
      <c r="J47" s="201"/>
      <c r="K47" s="201"/>
      <c r="L47" s="201"/>
      <c r="M47" s="201"/>
      <c r="N47" s="201"/>
      <c r="O47" s="201"/>
      <c r="W47" s="201"/>
      <c r="X47" s="201"/>
      <c r="Y47" s="201"/>
      <c r="Z47" s="201"/>
      <c r="AA47" s="201"/>
      <c r="AB47" s="201"/>
      <c r="AG47" s="201"/>
      <c r="AP47" s="157"/>
      <c r="AR47" s="842"/>
      <c r="AS47" s="842"/>
      <c r="AT47" s="842"/>
      <c r="AU47" s="842"/>
      <c r="AV47" s="842"/>
      <c r="AW47" s="842"/>
      <c r="AX47" s="842"/>
      <c r="AY47" s="842"/>
      <c r="AZ47" s="842"/>
      <c r="BA47" s="842"/>
      <c r="BB47" s="842"/>
      <c r="BC47" s="842"/>
      <c r="BD47" s="842"/>
      <c r="BE47" s="842"/>
      <c r="BF47" s="842"/>
      <c r="BG47" s="842"/>
    </row>
    <row r="48" spans="2:59">
      <c r="B48" s="155"/>
      <c r="D48" s="63" t="s">
        <v>302</v>
      </c>
      <c r="F48" s="201"/>
      <c r="G48" s="201"/>
      <c r="H48" s="201"/>
      <c r="I48" s="201"/>
      <c r="J48" s="166"/>
      <c r="K48" s="166"/>
      <c r="L48" s="166"/>
      <c r="M48" s="166"/>
      <c r="N48" s="166"/>
      <c r="O48" s="166"/>
      <c r="W48" s="270"/>
      <c r="X48" s="270"/>
      <c r="Y48" s="270"/>
      <c r="Z48" s="270">
        <f t="shared" ref="Z48:AD49" si="23">+Z38</f>
        <v>1164</v>
      </c>
      <c r="AA48" s="270">
        <f t="shared" si="23"/>
        <v>1138</v>
      </c>
      <c r="AB48" s="270">
        <f t="shared" si="23"/>
        <v>1204.3599999999999</v>
      </c>
      <c r="AC48" s="270">
        <f t="shared" si="23"/>
        <v>1324.11</v>
      </c>
      <c r="AD48" s="270">
        <f t="shared" si="23"/>
        <v>1399.34</v>
      </c>
      <c r="AE48" s="458">
        <f>+$AD$38+SUM($AE43:AE43)</f>
        <v>1395.450975</v>
      </c>
      <c r="AF48" s="270">
        <f>+$AD$38+SUM($AE43:AF43)</f>
        <v>1436.2918459390737</v>
      </c>
      <c r="AG48" s="270">
        <f>+$AD$38+SUM($AE43:AG43)</f>
        <v>1452.1828147811211</v>
      </c>
      <c r="AH48" s="211">
        <f>+$AD$38+SUM($AE43:AH43)</f>
        <v>1461.6712650028649</v>
      </c>
      <c r="AI48" s="211">
        <f>+$AD$38+SUM($AE43:AI43)</f>
        <v>1456.2153892400465</v>
      </c>
      <c r="AJ48" s="211">
        <f>+$AD$38+SUM($AE43:AJ43)</f>
        <v>1456.6784238843279</v>
      </c>
      <c r="AK48" s="211">
        <f>+$AD$38+SUM($AE43:AK43)</f>
        <v>1456.6009677192349</v>
      </c>
      <c r="AL48" s="211">
        <f>+$AD$38+SUM($AE43:AL43)</f>
        <v>1456.359042082619</v>
      </c>
      <c r="AM48" s="211">
        <f>+$AD$38+SUM($AE43:AM43)</f>
        <v>1456.1808205866851</v>
      </c>
      <c r="AN48" s="211">
        <f>+$AD$38+SUM($AE43:AN43)</f>
        <v>1456.5251965262626</v>
      </c>
      <c r="AO48" s="211">
        <f>+$AD$38+SUM($AE43:AO43)</f>
        <v>1456.1343285093367</v>
      </c>
      <c r="AP48" s="157"/>
      <c r="AR48" s="842"/>
      <c r="AS48" s="842"/>
      <c r="AT48" s="842"/>
      <c r="AU48" s="842"/>
      <c r="AV48" s="842"/>
      <c r="AW48" s="842"/>
      <c r="AX48" s="842"/>
      <c r="AY48" s="842"/>
      <c r="AZ48" s="842"/>
      <c r="BA48" s="842"/>
      <c r="BB48" s="842"/>
      <c r="BC48" s="842"/>
      <c r="BD48" s="842"/>
      <c r="BE48" s="842"/>
      <c r="BF48" s="842"/>
      <c r="BG48" s="842"/>
    </row>
    <row r="49" spans="2:59">
      <c r="B49" s="155"/>
      <c r="D49" s="63" t="s">
        <v>303</v>
      </c>
      <c r="F49" s="201"/>
      <c r="G49" s="201"/>
      <c r="H49" s="201"/>
      <c r="I49" s="201"/>
      <c r="J49" s="166"/>
      <c r="K49" s="166"/>
      <c r="L49" s="166"/>
      <c r="M49" s="166"/>
      <c r="N49" s="166"/>
      <c r="O49" s="166"/>
      <c r="W49" s="270"/>
      <c r="X49" s="270"/>
      <c r="Y49" s="270"/>
      <c r="Z49" s="270">
        <f t="shared" si="23"/>
        <v>176.25572587638032</v>
      </c>
      <c r="AA49" s="270">
        <f t="shared" si="23"/>
        <v>178.83604604060889</v>
      </c>
      <c r="AB49" s="270">
        <f t="shared" si="23"/>
        <v>190.68644869941517</v>
      </c>
      <c r="AC49" s="270">
        <f t="shared" si="23"/>
        <v>195.25499586728822</v>
      </c>
      <c r="AD49" s="270">
        <f t="shared" si="23"/>
        <v>212.793968637353</v>
      </c>
      <c r="AE49" s="458">
        <f>+AE44+AE39</f>
        <v>200.27761109192008</v>
      </c>
      <c r="AF49" s="270">
        <f t="shared" ref="AF49:AO49" si="24">+AF44+AF39</f>
        <v>202.8115692437309</v>
      </c>
      <c r="AG49" s="270">
        <f t="shared" si="24"/>
        <v>203.22877982977661</v>
      </c>
      <c r="AH49" s="211">
        <f t="shared" si="24"/>
        <v>204.91192895359316</v>
      </c>
      <c r="AI49" s="211">
        <f t="shared" si="24"/>
        <v>204.15346230286028</v>
      </c>
      <c r="AJ49" s="211">
        <f t="shared" si="24"/>
        <v>204.24495794857026</v>
      </c>
      <c r="AK49" s="211">
        <f t="shared" si="24"/>
        <v>204.2296526103479</v>
      </c>
      <c r="AL49" s="211">
        <f t="shared" si="24"/>
        <v>204.18184810455261</v>
      </c>
      <c r="AM49" s="211">
        <f t="shared" si="24"/>
        <v>204.14663153695605</v>
      </c>
      <c r="AN49" s="211">
        <f t="shared" si="24"/>
        <v>204.21468022261655</v>
      </c>
      <c r="AO49" s="211">
        <f t="shared" si="24"/>
        <v>204.13744470247201</v>
      </c>
      <c r="AP49" s="157"/>
      <c r="AR49" s="842"/>
      <c r="AS49" s="842"/>
      <c r="AT49" s="842"/>
      <c r="AU49" s="842"/>
      <c r="AV49" s="842"/>
      <c r="AW49" s="842"/>
      <c r="AX49" s="842"/>
      <c r="AY49" s="842"/>
      <c r="AZ49" s="842"/>
      <c r="BA49" s="842"/>
      <c r="BB49" s="842"/>
      <c r="BC49" s="842"/>
      <c r="BD49" s="842"/>
      <c r="BE49" s="842"/>
      <c r="BF49" s="842"/>
      <c r="BG49" s="842"/>
    </row>
    <row r="50" spans="2:59">
      <c r="B50" s="155"/>
      <c r="D50" s="63" t="s">
        <v>304</v>
      </c>
      <c r="F50" s="208"/>
      <c r="G50" s="208"/>
      <c r="H50" s="209"/>
      <c r="I50" s="208"/>
      <c r="J50" s="212"/>
      <c r="K50" s="212"/>
      <c r="L50" s="212"/>
      <c r="M50" s="212"/>
      <c r="N50" s="212"/>
      <c r="O50" s="212"/>
      <c r="W50" s="213"/>
      <c r="X50" s="213"/>
      <c r="Y50" s="213"/>
      <c r="Z50" s="213">
        <f>+Z49/Z48</f>
        <v>0.15142244491097967</v>
      </c>
      <c r="AA50" s="213">
        <f>+AA49/AA48</f>
        <v>0.15714942534324156</v>
      </c>
      <c r="AB50" s="213">
        <f t="shared" ref="AB50:AK50" si="25">+AB49/AB48</f>
        <v>0.15833010785762994</v>
      </c>
      <c r="AC50" s="213">
        <f t="shared" si="25"/>
        <v>0.14746131051596034</v>
      </c>
      <c r="AD50" s="213">
        <f>+AD49/AD48</f>
        <v>0.15206738079191121</v>
      </c>
      <c r="AE50" s="213">
        <f>+AE49/AE48</f>
        <v>0.14352178233414475</v>
      </c>
      <c r="AF50" s="213">
        <f>+AF49/AF48</f>
        <v>0.14120498547502999</v>
      </c>
      <c r="AG50" s="213">
        <f t="shared" si="25"/>
        <v>0.13994710429100352</v>
      </c>
      <c r="AH50" s="213">
        <f t="shared" si="25"/>
        <v>0.14019016030474646</v>
      </c>
      <c r="AI50" s="213">
        <f t="shared" si="25"/>
        <v>0.14019455075900661</v>
      </c>
      <c r="AJ50" s="213">
        <f t="shared" si="25"/>
        <v>0.1402127982399422</v>
      </c>
      <c r="AK50" s="213">
        <f t="shared" si="25"/>
        <v>0.14020974661999119</v>
      </c>
      <c r="AL50" s="213">
        <f>+AL49/AL48</f>
        <v>0.14020021313739295</v>
      </c>
      <c r="AM50" s="213">
        <f>+AM49/AM48</f>
        <v>0.14019318799619049</v>
      </c>
      <c r="AN50" s="213">
        <f>+AN49/AN48</f>
        <v>0.14020676107056576</v>
      </c>
      <c r="AO50" s="213">
        <f>+AO49/AO48</f>
        <v>0.14019135508703384</v>
      </c>
      <c r="AP50" s="157"/>
      <c r="AR50" s="842"/>
      <c r="AS50" s="842"/>
      <c r="AT50" s="842"/>
      <c r="AU50" s="842"/>
      <c r="AV50" s="842"/>
      <c r="AW50" s="842"/>
      <c r="AX50" s="842"/>
      <c r="AY50" s="842"/>
      <c r="AZ50" s="842"/>
      <c r="BA50" s="842"/>
      <c r="BB50" s="842"/>
      <c r="BC50" s="842"/>
      <c r="BD50" s="842"/>
      <c r="BE50" s="842"/>
      <c r="BF50" s="842"/>
      <c r="BG50" s="842"/>
    </row>
    <row r="51" spans="2:59">
      <c r="B51" s="155"/>
      <c r="D51" s="63" t="s">
        <v>305</v>
      </c>
      <c r="E51" s="89"/>
      <c r="F51" s="214"/>
      <c r="G51" s="214"/>
      <c r="H51" s="214"/>
      <c r="I51" s="214"/>
      <c r="J51" s="214"/>
      <c r="K51" s="214"/>
      <c r="L51" s="214"/>
      <c r="M51" s="214"/>
      <c r="N51" s="214"/>
      <c r="O51" s="214"/>
      <c r="W51" s="206"/>
      <c r="X51" s="206"/>
      <c r="Y51" s="206"/>
      <c r="Z51" s="206"/>
      <c r="AA51" s="206">
        <f t="shared" ref="AA51:AO51" si="26">+AA49/Z49-1</f>
        <v>1.463963880548369E-2</v>
      </c>
      <c r="AB51" s="206">
        <f t="shared" si="26"/>
        <v>6.6264060971888084E-2</v>
      </c>
      <c r="AC51" s="206">
        <f t="shared" si="26"/>
        <v>2.3958425986917442E-2</v>
      </c>
      <c r="AD51" s="206">
        <f t="shared" si="26"/>
        <v>8.9825987254050776E-2</v>
      </c>
      <c r="AE51" s="206">
        <f t="shared" si="26"/>
        <v>-5.8819136771510183E-2</v>
      </c>
      <c r="AF51" s="206">
        <f t="shared" si="26"/>
        <v>1.2652228763842421E-2</v>
      </c>
      <c r="AG51" s="206">
        <f t="shared" si="26"/>
        <v>2.0571340560178175E-3</v>
      </c>
      <c r="AH51" s="206">
        <f t="shared" si="26"/>
        <v>8.2820411815016648E-3</v>
      </c>
      <c r="AI51" s="206">
        <f t="shared" si="26"/>
        <v>-3.7014275089112258E-3</v>
      </c>
      <c r="AJ51" s="206">
        <f t="shared" si="26"/>
        <v>4.4817092337257058E-4</v>
      </c>
      <c r="AK51" s="206">
        <f t="shared" si="26"/>
        <v>-7.4936186313157016E-5</v>
      </c>
      <c r="AL51" s="206">
        <f t="shared" si="26"/>
        <v>-2.3407230627026099E-4</v>
      </c>
      <c r="AM51" s="206">
        <f t="shared" si="26"/>
        <v>-1.7247648565965612E-4</v>
      </c>
      <c r="AN51" s="206">
        <f t="shared" si="26"/>
        <v>3.3333239519151014E-4</v>
      </c>
      <c r="AO51" s="206">
        <f t="shared" si="26"/>
        <v>-3.7820748273509341E-4</v>
      </c>
      <c r="AP51" s="157"/>
      <c r="AR51" s="842"/>
      <c r="AS51" s="842"/>
      <c r="AT51" s="842"/>
      <c r="AU51" s="842"/>
      <c r="AV51" s="842"/>
      <c r="AW51" s="842"/>
      <c r="AX51" s="842"/>
      <c r="AY51" s="842"/>
      <c r="AZ51" s="842"/>
      <c r="BA51" s="842"/>
      <c r="BB51" s="842"/>
      <c r="BC51" s="842"/>
      <c r="BD51" s="842"/>
      <c r="BE51" s="842"/>
      <c r="BF51" s="842"/>
      <c r="BG51" s="842"/>
    </row>
    <row r="52" spans="2:59">
      <c r="B52" s="155"/>
      <c r="D52" s="63" t="s">
        <v>306</v>
      </c>
      <c r="F52" s="210"/>
      <c r="G52" s="210"/>
      <c r="H52" s="210"/>
      <c r="I52" s="210"/>
      <c r="J52" s="210"/>
      <c r="K52" s="210"/>
      <c r="L52" s="210"/>
      <c r="M52" s="210"/>
      <c r="N52" s="210"/>
      <c r="O52" s="210"/>
      <c r="W52" s="206"/>
      <c r="X52" s="206"/>
      <c r="Y52" s="206"/>
      <c r="Z52" s="206"/>
      <c r="AA52" s="206">
        <f t="shared" ref="AA52:AO52" si="27">+AA50/Z50-1</f>
        <v>3.7821212275556348E-2</v>
      </c>
      <c r="AB52" s="206">
        <f t="shared" si="27"/>
        <v>7.5131201517890656E-3</v>
      </c>
      <c r="AC52" s="206">
        <f t="shared" si="27"/>
        <v>-6.8646434267845002E-2</v>
      </c>
      <c r="AD52" s="206">
        <f t="shared" si="27"/>
        <v>3.1235788288022315E-2</v>
      </c>
      <c r="AE52" s="206">
        <f t="shared" si="27"/>
        <v>-5.6196131039175534E-2</v>
      </c>
      <c r="AF52" s="206">
        <f t="shared" si="27"/>
        <v>-1.6142475528354572E-2</v>
      </c>
      <c r="AG52" s="206">
        <f t="shared" si="27"/>
        <v>-8.9081924394865952E-3</v>
      </c>
      <c r="AH52" s="206">
        <f t="shared" si="27"/>
        <v>1.7367705818158719E-3</v>
      </c>
      <c r="AI52" s="206">
        <f t="shared" si="27"/>
        <v>3.1317848917522539E-5</v>
      </c>
      <c r="AJ52" s="206">
        <f t="shared" si="27"/>
        <v>1.3015827531681623E-4</v>
      </c>
      <c r="AK52" s="206">
        <f t="shared" si="27"/>
        <v>-2.1764204047869384E-5</v>
      </c>
      <c r="AL52" s="206">
        <f t="shared" si="27"/>
        <v>-6.7994435679841203E-5</v>
      </c>
      <c r="AM52" s="206">
        <f t="shared" si="27"/>
        <v>-5.0107920988473609E-5</v>
      </c>
      <c r="AN52" s="206">
        <f t="shared" si="27"/>
        <v>9.6816932186660765E-5</v>
      </c>
      <c r="AO52" s="206">
        <f t="shared" si="27"/>
        <v>-1.0988046092985648E-4</v>
      </c>
      <c r="AP52" s="157"/>
      <c r="AR52" s="842"/>
      <c r="AS52" s="842"/>
      <c r="AT52" s="842"/>
      <c r="AU52" s="842"/>
      <c r="AV52" s="842"/>
      <c r="AW52" s="842"/>
      <c r="AX52" s="842"/>
      <c r="AY52" s="842"/>
      <c r="AZ52" s="842"/>
      <c r="BA52" s="842"/>
      <c r="BB52" s="842"/>
      <c r="BC52" s="842"/>
      <c r="BD52" s="842"/>
      <c r="BE52" s="842"/>
      <c r="BF52" s="842"/>
      <c r="BG52" s="842"/>
    </row>
    <row r="53" spans="2:59" ht="12.75" thickBot="1">
      <c r="B53" s="167"/>
      <c r="C53" s="168"/>
      <c r="D53" s="168"/>
      <c r="E53" s="168"/>
      <c r="F53" s="168"/>
      <c r="G53" s="168"/>
      <c r="H53" s="168"/>
      <c r="I53" s="169"/>
      <c r="J53" s="169"/>
      <c r="K53" s="169"/>
      <c r="L53" s="169"/>
      <c r="M53" s="169"/>
      <c r="N53" s="169"/>
      <c r="O53" s="169"/>
      <c r="P53" s="168"/>
      <c r="Q53" s="168"/>
      <c r="R53" s="168"/>
      <c r="S53" s="168"/>
      <c r="T53" s="168"/>
      <c r="U53" s="168"/>
      <c r="V53" s="168"/>
      <c r="W53" s="169"/>
      <c r="X53" s="169"/>
      <c r="Y53" s="169"/>
      <c r="Z53" s="169"/>
      <c r="AA53" s="169"/>
      <c r="AB53" s="169"/>
      <c r="AC53" s="168"/>
      <c r="AD53" s="169"/>
      <c r="AE53" s="169"/>
      <c r="AF53" s="169"/>
      <c r="AG53" s="169"/>
      <c r="AH53" s="168"/>
      <c r="AI53" s="169"/>
      <c r="AJ53" s="169"/>
      <c r="AK53" s="169"/>
      <c r="AL53" s="169"/>
      <c r="AM53" s="169"/>
      <c r="AN53" s="169"/>
      <c r="AO53" s="169"/>
      <c r="AP53" s="170"/>
      <c r="AR53" s="842"/>
      <c r="AS53" s="842"/>
      <c r="AT53" s="842"/>
      <c r="AU53" s="842"/>
      <c r="AV53" s="842"/>
      <c r="AW53" s="842"/>
      <c r="AX53" s="842"/>
      <c r="AY53" s="842"/>
      <c r="AZ53" s="842"/>
      <c r="BA53" s="842"/>
      <c r="BB53" s="842"/>
      <c r="BC53" s="842"/>
      <c r="BD53" s="842"/>
      <c r="BE53" s="842"/>
      <c r="BF53" s="842"/>
      <c r="BG53" s="842"/>
    </row>
    <row r="54" spans="2:59">
      <c r="AR54" s="842"/>
      <c r="AS54" s="842"/>
      <c r="AT54" s="842"/>
      <c r="AU54" s="842"/>
      <c r="AV54" s="842"/>
      <c r="AW54" s="842"/>
      <c r="AX54" s="842"/>
      <c r="AY54" s="842"/>
      <c r="AZ54" s="842"/>
      <c r="BA54" s="842"/>
      <c r="BB54" s="842"/>
      <c r="BC54" s="842"/>
      <c r="BD54" s="842"/>
      <c r="BE54" s="842"/>
      <c r="BF54" s="842"/>
      <c r="BG54" s="842"/>
    </row>
    <row r="55" spans="2:59" ht="12.75" thickBot="1">
      <c r="AR55" s="842"/>
      <c r="AS55" s="842"/>
      <c r="AT55" s="842"/>
      <c r="AU55" s="842"/>
      <c r="AV55" s="842"/>
      <c r="AW55" s="842"/>
      <c r="AX55" s="842"/>
      <c r="AY55" s="842"/>
      <c r="AZ55" s="842"/>
      <c r="BA55" s="842"/>
      <c r="BB55" s="842"/>
      <c r="BC55" s="842"/>
      <c r="BD55" s="842"/>
      <c r="BE55" s="842"/>
      <c r="BF55" s="842"/>
      <c r="BG55" s="842"/>
    </row>
    <row r="56" spans="2:59">
      <c r="B56" s="152"/>
      <c r="C56" s="153"/>
      <c r="D56" s="153"/>
      <c r="E56" s="153"/>
      <c r="F56" s="153"/>
      <c r="G56" s="153"/>
      <c r="H56" s="153"/>
      <c r="I56" s="153"/>
      <c r="J56" s="153"/>
      <c r="K56" s="153"/>
      <c r="L56" s="153"/>
      <c r="M56" s="153"/>
      <c r="N56" s="153"/>
      <c r="O56" s="153"/>
      <c r="P56" s="153"/>
      <c r="Q56" s="153"/>
      <c r="R56" s="153"/>
      <c r="S56" s="153"/>
      <c r="T56" s="153"/>
      <c r="U56" s="153"/>
      <c r="V56" s="153"/>
      <c r="W56" s="153"/>
      <c r="X56" s="153"/>
      <c r="Y56" s="153"/>
      <c r="Z56" s="153"/>
      <c r="AA56" s="153"/>
      <c r="AB56" s="153"/>
      <c r="AC56" s="153"/>
      <c r="AD56" s="153"/>
      <c r="AE56" s="153"/>
      <c r="AF56" s="153"/>
      <c r="AG56" s="153"/>
      <c r="AH56" s="153"/>
      <c r="AI56" s="153"/>
      <c r="AJ56" s="153"/>
      <c r="AK56" s="153"/>
      <c r="AL56" s="153"/>
      <c r="AM56" s="153"/>
      <c r="AN56" s="153"/>
      <c r="AO56" s="153"/>
      <c r="AP56" s="154"/>
      <c r="AR56" s="842"/>
      <c r="AS56" s="842"/>
      <c r="AT56" s="842"/>
      <c r="AU56" s="842"/>
      <c r="AV56" s="842"/>
      <c r="AW56" s="842"/>
      <c r="AX56" s="842"/>
      <c r="AY56" s="842"/>
      <c r="AZ56" s="842"/>
      <c r="BA56" s="842"/>
      <c r="BB56" s="842"/>
      <c r="BC56" s="842"/>
      <c r="BD56" s="842"/>
      <c r="BE56" s="842"/>
      <c r="BF56" s="842"/>
      <c r="BG56" s="842"/>
    </row>
    <row r="57" spans="2:59">
      <c r="B57" s="155"/>
      <c r="C57" s="156" t="s">
        <v>307</v>
      </c>
      <c r="AP57" s="157"/>
      <c r="AR57" s="842"/>
      <c r="AS57" s="842"/>
      <c r="AT57" s="842"/>
      <c r="AU57" s="842"/>
      <c r="AV57" s="842"/>
      <c r="AW57" s="842"/>
      <c r="AX57" s="842"/>
      <c r="AY57" s="842"/>
      <c r="AZ57" s="842"/>
      <c r="BA57" s="842"/>
      <c r="BB57" s="842"/>
      <c r="BC57" s="842"/>
      <c r="BD57" s="842"/>
      <c r="BE57" s="842"/>
      <c r="BF57" s="842"/>
      <c r="BG57" s="842"/>
    </row>
    <row r="58" spans="2:59">
      <c r="B58" s="155"/>
      <c r="AP58" s="157"/>
      <c r="AR58" s="842"/>
      <c r="AS58" s="842"/>
      <c r="AT58" s="842"/>
      <c r="AU58" s="842"/>
      <c r="AV58" s="842"/>
      <c r="AW58" s="842"/>
      <c r="AX58" s="842"/>
      <c r="AY58" s="842"/>
      <c r="AZ58" s="842"/>
      <c r="BA58" s="842"/>
      <c r="BB58" s="842"/>
      <c r="BC58" s="842"/>
      <c r="BD58" s="842"/>
      <c r="BE58" s="842"/>
      <c r="BF58" s="842"/>
      <c r="BG58" s="842"/>
    </row>
    <row r="59" spans="2:59">
      <c r="B59" s="155"/>
      <c r="D59" s="89" t="s">
        <v>308</v>
      </c>
      <c r="G59" s="166"/>
      <c r="H59" s="166"/>
      <c r="I59" s="166"/>
      <c r="J59" s="166"/>
      <c r="K59" s="166"/>
      <c r="L59" s="166"/>
      <c r="M59" s="166"/>
      <c r="N59" s="166"/>
      <c r="O59" s="166"/>
      <c r="S59" s="166"/>
      <c r="T59" s="166"/>
      <c r="U59" s="166"/>
      <c r="AP59" s="157"/>
      <c r="AR59" s="842"/>
      <c r="AS59" s="842"/>
      <c r="AT59" s="842"/>
      <c r="AU59" s="842"/>
      <c r="AV59" s="842"/>
      <c r="AW59" s="842"/>
      <c r="AX59" s="842"/>
      <c r="AY59" s="842"/>
      <c r="AZ59" s="842"/>
      <c r="BA59" s="842"/>
      <c r="BB59" s="842"/>
      <c r="BC59" s="842"/>
      <c r="BD59" s="842"/>
      <c r="BE59" s="842"/>
      <c r="BF59" s="842"/>
      <c r="BG59" s="842"/>
    </row>
    <row r="60" spans="2:59">
      <c r="B60" s="155"/>
      <c r="D60" s="89"/>
      <c r="G60" s="166"/>
      <c r="H60" s="166"/>
      <c r="I60" s="166"/>
      <c r="J60" s="166"/>
      <c r="K60" s="166"/>
      <c r="L60" s="166"/>
      <c r="M60" s="166"/>
      <c r="N60" s="166"/>
      <c r="O60" s="166"/>
      <c r="S60" s="166"/>
      <c r="T60" s="166"/>
      <c r="U60" s="166"/>
      <c r="AP60" s="157"/>
      <c r="AR60" s="842"/>
      <c r="AS60" s="842"/>
      <c r="AT60" s="842"/>
      <c r="AU60" s="842"/>
      <c r="AV60" s="842"/>
      <c r="AW60" s="842"/>
      <c r="AX60" s="842"/>
      <c r="AY60" s="842"/>
      <c r="AZ60" s="842"/>
      <c r="BA60" s="842"/>
      <c r="BB60" s="842"/>
      <c r="BC60" s="842"/>
      <c r="BD60" s="842"/>
      <c r="BE60" s="842"/>
      <c r="BF60" s="842"/>
      <c r="BG60" s="842"/>
    </row>
    <row r="61" spans="2:59">
      <c r="B61" s="155"/>
      <c r="D61" s="215" t="s">
        <v>309</v>
      </c>
      <c r="G61" s="166"/>
      <c r="H61" s="166"/>
      <c r="I61" s="166"/>
      <c r="J61" s="166"/>
      <c r="K61" s="166"/>
      <c r="L61" s="166"/>
      <c r="M61" s="166"/>
      <c r="N61" s="166"/>
      <c r="O61" s="166"/>
      <c r="S61" s="166"/>
      <c r="T61" s="166"/>
      <c r="U61" s="166"/>
      <c r="AP61" s="157"/>
      <c r="AR61" s="842"/>
      <c r="AS61" s="842"/>
      <c r="AT61" s="842"/>
      <c r="AU61" s="842"/>
      <c r="AV61" s="842"/>
      <c r="AW61" s="842"/>
      <c r="AX61" s="842"/>
      <c r="AY61" s="842"/>
      <c r="AZ61" s="842"/>
      <c r="BA61" s="842"/>
      <c r="BB61" s="842"/>
      <c r="BC61" s="842"/>
      <c r="BD61" s="842"/>
      <c r="BE61" s="842"/>
      <c r="BF61" s="842"/>
      <c r="BG61" s="842"/>
    </row>
    <row r="62" spans="2:59">
      <c r="B62" s="155"/>
      <c r="D62" s="89"/>
      <c r="G62" s="166"/>
      <c r="H62" s="166"/>
      <c r="I62" s="166"/>
      <c r="J62" s="166"/>
      <c r="K62" s="166"/>
      <c r="L62" s="166"/>
      <c r="M62" s="166"/>
      <c r="N62" s="166"/>
      <c r="O62" s="166"/>
      <c r="S62" s="166"/>
      <c r="T62" s="166"/>
      <c r="U62" s="166"/>
      <c r="AP62" s="157"/>
      <c r="AR62" s="842"/>
      <c r="AS62" s="842"/>
      <c r="AT62" s="842"/>
      <c r="AU62" s="842"/>
      <c r="AV62" s="842"/>
      <c r="AW62" s="842"/>
      <c r="AX62" s="842"/>
      <c r="AY62" s="842"/>
      <c r="AZ62" s="842"/>
      <c r="BA62" s="842"/>
      <c r="BB62" s="842"/>
      <c r="BC62" s="842"/>
      <c r="BD62" s="842"/>
      <c r="BE62" s="842"/>
      <c r="BF62" s="842"/>
      <c r="BG62" s="842"/>
    </row>
    <row r="63" spans="2:59">
      <c r="B63" s="155"/>
      <c r="D63" s="89" t="s">
        <v>310</v>
      </c>
      <c r="F63" s="201"/>
      <c r="G63" s="201"/>
      <c r="H63" s="201"/>
      <c r="I63" s="201"/>
      <c r="J63" s="201"/>
      <c r="K63" s="201"/>
      <c r="L63" s="201"/>
      <c r="M63" s="201"/>
      <c r="N63" s="201"/>
      <c r="O63" s="201"/>
      <c r="S63" s="201"/>
      <c r="T63" s="201"/>
      <c r="U63" s="201"/>
      <c r="V63" s="201"/>
      <c r="W63" s="201"/>
      <c r="X63" s="201"/>
      <c r="Y63" s="201"/>
      <c r="Z63" s="201"/>
      <c r="AA63" s="201"/>
      <c r="AB63" s="201"/>
      <c r="AC63" s="201"/>
      <c r="AD63" s="201"/>
      <c r="AE63" s="201"/>
      <c r="AF63" s="201"/>
      <c r="AG63" s="201"/>
      <c r="AH63" s="201"/>
      <c r="AI63" s="201"/>
      <c r="AJ63" s="201"/>
      <c r="AK63" s="201"/>
      <c r="AL63" s="201"/>
      <c r="AM63" s="201"/>
      <c r="AN63" s="201"/>
      <c r="AP63" s="157"/>
      <c r="AR63" s="842"/>
      <c r="AS63" s="842"/>
      <c r="AT63" s="842"/>
      <c r="AU63" s="842"/>
      <c r="AV63" s="842"/>
      <c r="AW63" s="842"/>
      <c r="AX63" s="842"/>
      <c r="AY63" s="842"/>
      <c r="AZ63" s="842"/>
      <c r="BA63" s="842"/>
      <c r="BB63" s="842"/>
      <c r="BC63" s="842"/>
      <c r="BD63" s="842"/>
      <c r="BE63" s="842"/>
      <c r="BF63" s="842"/>
      <c r="BG63" s="842"/>
    </row>
    <row r="64" spans="2:59">
      <c r="B64" s="155"/>
      <c r="D64" s="63" t="s">
        <v>311</v>
      </c>
      <c r="F64" s="201"/>
      <c r="G64" s="201"/>
      <c r="H64" s="201"/>
      <c r="I64" s="201"/>
      <c r="S64" s="1271"/>
      <c r="T64" s="1272"/>
      <c r="U64" s="1272"/>
      <c r="V64" s="1273"/>
      <c r="W64" s="225"/>
      <c r="X64" s="224"/>
      <c r="Y64" s="225"/>
      <c r="Z64" s="1294">
        <v>182693000</v>
      </c>
      <c r="AA64" s="225">
        <v>193383692.65669999</v>
      </c>
      <c r="AB64" s="225">
        <v>176039552.9747</v>
      </c>
      <c r="AC64" s="225">
        <v>149050918.37570003</v>
      </c>
      <c r="AD64" s="225">
        <v>165140747.49089998</v>
      </c>
      <c r="AE64" s="226">
        <v>178310266.77762234</v>
      </c>
      <c r="AF64" s="224">
        <v>178310266.77762234</v>
      </c>
      <c r="AG64" s="225">
        <v>178310266.77762234</v>
      </c>
      <c r="AH64" s="225">
        <v>178310266.77762234</v>
      </c>
      <c r="AI64" s="225">
        <v>178310266.77762234</v>
      </c>
      <c r="AJ64" s="226">
        <v>178310266.77762234</v>
      </c>
      <c r="AK64" s="224">
        <v>178310266.77762234</v>
      </c>
      <c r="AL64" s="225">
        <v>178310266.77762234</v>
      </c>
      <c r="AM64" s="225">
        <v>178310266.77762234</v>
      </c>
      <c r="AN64" s="225">
        <v>178310266.77762234</v>
      </c>
      <c r="AO64" s="226">
        <v>178310266.77762234</v>
      </c>
      <c r="AP64" s="157"/>
      <c r="AR64" s="842"/>
      <c r="AS64" s="842"/>
      <c r="AT64" s="842"/>
      <c r="AU64" s="842"/>
      <c r="AV64" s="842"/>
      <c r="AW64" s="842"/>
      <c r="AX64" s="842"/>
      <c r="AY64" s="842"/>
      <c r="AZ64" s="842"/>
      <c r="BA64" s="842"/>
      <c r="BB64" s="842"/>
      <c r="BC64" s="842"/>
      <c r="BD64" s="842"/>
      <c r="BE64" s="842"/>
      <c r="BF64" s="842"/>
      <c r="BG64" s="842"/>
    </row>
    <row r="65" spans="2:59">
      <c r="B65" s="155"/>
      <c r="D65" s="63" t="s">
        <v>312</v>
      </c>
      <c r="F65" s="201"/>
      <c r="G65" s="201"/>
      <c r="H65" s="201"/>
      <c r="I65" s="201"/>
      <c r="S65" s="1274"/>
      <c r="T65" s="1275"/>
      <c r="U65" s="1275"/>
      <c r="V65" s="1275"/>
      <c r="W65" s="228"/>
      <c r="X65" s="227"/>
      <c r="Y65" s="228"/>
      <c r="Z65" s="1295">
        <v>40.743783415485083</v>
      </c>
      <c r="AA65" s="228">
        <v>39.594541690146272</v>
      </c>
      <c r="AB65" s="228">
        <v>29.868781257834463</v>
      </c>
      <c r="AC65" s="228">
        <v>24.828537999927065</v>
      </c>
      <c r="AD65" s="228">
        <v>27.524935971723089</v>
      </c>
      <c r="AE65" s="229">
        <v>35.897980232068491</v>
      </c>
      <c r="AF65" s="227">
        <v>35.252817699001326</v>
      </c>
      <c r="AG65" s="228">
        <v>35.321865926178937</v>
      </c>
      <c r="AH65" s="228">
        <v>36.247951795410557</v>
      </c>
      <c r="AI65" s="228">
        <v>37.168201431427754</v>
      </c>
      <c r="AJ65" s="229">
        <v>29.584669684376351</v>
      </c>
      <c r="AK65" s="227">
        <v>30.324286426485759</v>
      </c>
      <c r="AL65" s="228">
        <v>31.082393587147898</v>
      </c>
      <c r="AM65" s="228">
        <v>31.859453426826594</v>
      </c>
      <c r="AN65" s="228">
        <v>32.655939762497255</v>
      </c>
      <c r="AO65" s="229">
        <v>33.472338256559688</v>
      </c>
      <c r="AP65" s="157"/>
      <c r="AR65" s="842"/>
      <c r="AS65" s="842"/>
      <c r="AT65" s="842"/>
      <c r="AU65" s="842"/>
      <c r="AV65" s="842"/>
      <c r="AW65" s="842"/>
      <c r="AX65" s="842"/>
      <c r="AY65" s="842"/>
      <c r="AZ65" s="842"/>
      <c r="BA65" s="842"/>
      <c r="BB65" s="842"/>
      <c r="BC65" s="842"/>
      <c r="BD65" s="842"/>
      <c r="BE65" s="842"/>
      <c r="BF65" s="842"/>
      <c r="BG65" s="842"/>
    </row>
    <row r="66" spans="2:59">
      <c r="B66" s="155"/>
      <c r="D66" s="89" t="s">
        <v>313</v>
      </c>
      <c r="F66" s="201"/>
      <c r="G66" s="201"/>
      <c r="H66" s="201"/>
      <c r="I66" s="201"/>
      <c r="J66" s="216"/>
      <c r="K66" s="216"/>
      <c r="L66" s="216"/>
      <c r="M66" s="216"/>
      <c r="N66" s="216"/>
      <c r="O66" s="216"/>
      <c r="S66" s="217"/>
      <c r="T66" s="217"/>
      <c r="U66" s="217"/>
      <c r="V66" s="217"/>
      <c r="W66" s="217"/>
      <c r="X66" s="217"/>
      <c r="Y66" s="217"/>
      <c r="Z66" s="217">
        <f t="shared" ref="Z66:AG66" si="28">+Z65/Z64*100*10^6</f>
        <v>22.301775883851647</v>
      </c>
      <c r="AA66" s="217">
        <f t="shared" si="28"/>
        <v>20.474602147780672</v>
      </c>
      <c r="AB66" s="217">
        <f t="shared" si="28"/>
        <v>16.967085381162686</v>
      </c>
      <c r="AC66" s="217">
        <f t="shared" si="28"/>
        <v>16.657755799493881</v>
      </c>
      <c r="AD66" s="217">
        <f t="shared" si="28"/>
        <v>16.667561695056417</v>
      </c>
      <c r="AE66" s="217">
        <f t="shared" si="28"/>
        <v>20.132312558781742</v>
      </c>
      <c r="AF66" s="217">
        <f t="shared" si="28"/>
        <v>19.770492376059583</v>
      </c>
      <c r="AG66" s="217">
        <f t="shared" si="28"/>
        <v>19.80921601683778</v>
      </c>
      <c r="AH66" s="217">
        <f t="shared" ref="AH66:AO66" si="29">+AH65/AH64*100*10^6</f>
        <v>20.328583681957465</v>
      </c>
      <c r="AI66" s="217">
        <f t="shared" si="29"/>
        <v>20.844678269581447</v>
      </c>
      <c r="AJ66" s="217">
        <f t="shared" si="29"/>
        <v>16.591680456219912</v>
      </c>
      <c r="AK66" s="217">
        <f t="shared" si="29"/>
        <v>17.006472467625411</v>
      </c>
      <c r="AL66" s="217">
        <f t="shared" si="29"/>
        <v>17.431634279316039</v>
      </c>
      <c r="AM66" s="217">
        <f t="shared" si="29"/>
        <v>17.867425136298941</v>
      </c>
      <c r="AN66" s="217">
        <f t="shared" si="29"/>
        <v>18.314110764706413</v>
      </c>
      <c r="AO66" s="217">
        <f t="shared" si="29"/>
        <v>18.771963533824074</v>
      </c>
      <c r="AP66" s="157"/>
      <c r="AR66" s="842"/>
      <c r="AS66" s="842"/>
      <c r="AT66" s="842"/>
      <c r="AU66" s="842"/>
      <c r="AV66" s="842"/>
      <c r="AW66" s="842"/>
      <c r="AX66" s="842"/>
      <c r="AY66" s="842"/>
      <c r="AZ66" s="842"/>
      <c r="BA66" s="842"/>
      <c r="BB66" s="842"/>
      <c r="BC66" s="842"/>
      <c r="BD66" s="842"/>
      <c r="BE66" s="842"/>
      <c r="BF66" s="842"/>
      <c r="BG66" s="842"/>
    </row>
    <row r="67" spans="2:59">
      <c r="B67" s="155"/>
      <c r="D67" s="63" t="s">
        <v>314</v>
      </c>
      <c r="F67" s="201"/>
      <c r="G67" s="201"/>
      <c r="H67" s="201"/>
      <c r="I67" s="201"/>
      <c r="J67" s="166"/>
      <c r="K67" s="166"/>
      <c r="L67" s="166"/>
      <c r="M67" s="166"/>
      <c r="N67" s="166"/>
      <c r="O67" s="166"/>
      <c r="S67" s="201"/>
      <c r="T67" s="201"/>
      <c r="U67" s="201"/>
      <c r="V67" s="201"/>
      <c r="W67" s="201"/>
      <c r="X67" s="201"/>
      <c r="Y67" s="201"/>
      <c r="Z67" s="201"/>
      <c r="AA67" s="201">
        <f t="shared" ref="AA67:AG67" si="30">+AA66/Z66-1</f>
        <v>-8.1929517433362853E-2</v>
      </c>
      <c r="AB67" s="201">
        <f t="shared" si="30"/>
        <v>-0.17131061894641897</v>
      </c>
      <c r="AC67" s="201">
        <f t="shared" si="30"/>
        <v>-1.8231156071874977E-2</v>
      </c>
      <c r="AD67" s="201">
        <f t="shared" si="30"/>
        <v>5.8866846654304084E-4</v>
      </c>
      <c r="AE67" s="201">
        <f t="shared" si="30"/>
        <v>0.20787388864161005</v>
      </c>
      <c r="AF67" s="201">
        <f t="shared" si="30"/>
        <v>-1.7972112327668599E-2</v>
      </c>
      <c r="AG67" s="201">
        <f t="shared" si="30"/>
        <v>1.9586583905764066E-3</v>
      </c>
      <c r="AH67" s="201">
        <f t="shared" ref="AH67:AO67" si="31">+AH66/AG66-1</f>
        <v>2.6218486621490955E-2</v>
      </c>
      <c r="AI67" s="201">
        <f t="shared" si="31"/>
        <v>2.538763131255628E-2</v>
      </c>
      <c r="AJ67" s="201">
        <f t="shared" si="31"/>
        <v>-0.20403278757091292</v>
      </c>
      <c r="AK67" s="201">
        <f t="shared" si="31"/>
        <v>2.5000000000000133E-2</v>
      </c>
      <c r="AL67" s="201">
        <f t="shared" si="31"/>
        <v>2.4999999999999689E-2</v>
      </c>
      <c r="AM67" s="201">
        <f t="shared" si="31"/>
        <v>2.5000000000000133E-2</v>
      </c>
      <c r="AN67" s="201">
        <f t="shared" si="31"/>
        <v>2.4999999999999911E-2</v>
      </c>
      <c r="AO67" s="201">
        <f t="shared" si="31"/>
        <v>2.5000000000000133E-2</v>
      </c>
      <c r="AP67" s="157"/>
      <c r="AR67" s="842"/>
      <c r="AS67" s="842"/>
      <c r="AT67" s="842"/>
      <c r="AU67" s="842"/>
      <c r="AV67" s="842"/>
      <c r="AW67" s="842"/>
      <c r="AX67" s="842"/>
      <c r="AY67" s="842"/>
      <c r="AZ67" s="842"/>
      <c r="BA67" s="842"/>
      <c r="BB67" s="842"/>
      <c r="BC67" s="842"/>
      <c r="BD67" s="842"/>
      <c r="BE67" s="842"/>
      <c r="BF67" s="842"/>
      <c r="BG67" s="842"/>
    </row>
    <row r="68" spans="2:59">
      <c r="B68" s="155"/>
      <c r="F68" s="201"/>
      <c r="G68" s="201"/>
      <c r="H68" s="201"/>
      <c r="I68" s="201"/>
      <c r="J68" s="201"/>
      <c r="K68" s="201"/>
      <c r="L68" s="201"/>
      <c r="M68" s="201"/>
      <c r="N68" s="201"/>
      <c r="O68" s="201"/>
      <c r="S68" s="201"/>
      <c r="T68" s="201"/>
      <c r="U68" s="201"/>
      <c r="V68" s="201"/>
      <c r="W68" s="201"/>
      <c r="X68" s="201"/>
      <c r="Y68" s="201"/>
      <c r="Z68" s="201"/>
      <c r="AA68" s="201"/>
      <c r="AB68" s="201"/>
      <c r="AC68" s="201"/>
      <c r="AD68" s="201"/>
      <c r="AE68" s="201"/>
      <c r="AF68" s="201"/>
      <c r="AG68" s="201"/>
      <c r="AH68" s="201"/>
      <c r="AI68" s="201"/>
      <c r="AJ68" s="201"/>
      <c r="AK68" s="201"/>
      <c r="AL68" s="201"/>
      <c r="AM68" s="201"/>
      <c r="AN68" s="201"/>
      <c r="AO68" s="201"/>
      <c r="AP68" s="157"/>
      <c r="AR68" s="842"/>
      <c r="AS68" s="842"/>
      <c r="AT68" s="842"/>
      <c r="AU68" s="842"/>
      <c r="AV68" s="842"/>
      <c r="AW68" s="842"/>
      <c r="AX68" s="842"/>
      <c r="AY68" s="842"/>
      <c r="AZ68" s="842"/>
      <c r="BA68" s="842"/>
      <c r="BB68" s="842"/>
      <c r="BC68" s="842"/>
      <c r="BD68" s="842"/>
      <c r="BE68" s="842"/>
      <c r="BF68" s="842"/>
      <c r="BG68" s="842"/>
    </row>
    <row r="69" spans="2:59">
      <c r="B69" s="155"/>
      <c r="D69" s="89" t="s">
        <v>315</v>
      </c>
      <c r="F69" s="201"/>
      <c r="G69" s="201"/>
      <c r="H69" s="201"/>
      <c r="I69" s="201"/>
      <c r="J69" s="201"/>
      <c r="K69" s="201"/>
      <c r="L69" s="201"/>
      <c r="M69" s="201"/>
      <c r="N69" s="201"/>
      <c r="O69" s="201"/>
      <c r="S69" s="201"/>
      <c r="T69" s="201"/>
      <c r="U69" s="201"/>
      <c r="V69" s="201"/>
      <c r="W69" s="201"/>
      <c r="X69" s="201"/>
      <c r="Y69" s="201"/>
      <c r="Z69" s="201"/>
      <c r="AA69" s="201"/>
      <c r="AB69" s="201"/>
      <c r="AC69" s="201"/>
      <c r="AD69" s="201"/>
      <c r="AE69" s="201"/>
      <c r="AF69" s="201"/>
      <c r="AG69" s="201"/>
      <c r="AH69" s="201"/>
      <c r="AI69" s="201"/>
      <c r="AJ69" s="201"/>
      <c r="AK69" s="201"/>
      <c r="AL69" s="201"/>
      <c r="AM69" s="201"/>
      <c r="AN69" s="201"/>
      <c r="AO69" s="201"/>
      <c r="AP69" s="157"/>
      <c r="AR69" s="842"/>
      <c r="AS69" s="842"/>
      <c r="AT69" s="842"/>
      <c r="AU69" s="842"/>
      <c r="AV69" s="842"/>
      <c r="AW69" s="842"/>
      <c r="AX69" s="842"/>
      <c r="AY69" s="842"/>
      <c r="AZ69" s="842"/>
      <c r="BA69" s="842"/>
      <c r="BB69" s="842"/>
      <c r="BC69" s="842"/>
      <c r="BD69" s="842"/>
      <c r="BE69" s="842"/>
      <c r="BF69" s="842"/>
      <c r="BG69" s="842"/>
    </row>
    <row r="70" spans="2:59">
      <c r="B70" s="155"/>
      <c r="D70" s="63" t="s">
        <v>311</v>
      </c>
      <c r="F70" s="201"/>
      <c r="G70" s="201"/>
      <c r="H70" s="201"/>
      <c r="I70" s="201"/>
      <c r="S70" s="1271"/>
      <c r="T70" s="1272"/>
      <c r="U70" s="1272"/>
      <c r="V70" s="1273"/>
      <c r="W70" s="225"/>
      <c r="X70" s="224"/>
      <c r="Y70" s="225"/>
      <c r="Z70" s="1294"/>
      <c r="AA70" s="225"/>
      <c r="AB70" s="225"/>
      <c r="AC70" s="225"/>
      <c r="AD70" s="225"/>
      <c r="AE70" s="226"/>
      <c r="AF70" s="224"/>
      <c r="AG70" s="225"/>
      <c r="AH70" s="225"/>
      <c r="AI70" s="225"/>
      <c r="AJ70" s="226"/>
      <c r="AK70" s="224"/>
      <c r="AL70" s="225"/>
      <c r="AM70" s="225"/>
      <c r="AN70" s="225"/>
      <c r="AO70" s="226"/>
      <c r="AP70" s="157"/>
      <c r="AR70" s="842"/>
      <c r="AS70" s="842"/>
      <c r="AT70" s="842"/>
      <c r="AU70" s="842"/>
      <c r="AV70" s="842"/>
      <c r="AW70" s="842"/>
      <c r="AX70" s="842"/>
      <c r="AY70" s="842"/>
      <c r="AZ70" s="842"/>
      <c r="BA70" s="842"/>
      <c r="BB70" s="842"/>
      <c r="BC70" s="842"/>
      <c r="BD70" s="842"/>
      <c r="BE70" s="842"/>
      <c r="BF70" s="842"/>
      <c r="BG70" s="842"/>
    </row>
    <row r="71" spans="2:59">
      <c r="B71" s="155"/>
      <c r="D71" s="63" t="s">
        <v>312</v>
      </c>
      <c r="F71" s="201"/>
      <c r="G71" s="201"/>
      <c r="H71" s="201"/>
      <c r="I71" s="201"/>
      <c r="S71" s="1274"/>
      <c r="T71" s="1275"/>
      <c r="U71" s="1275"/>
      <c r="V71" s="1275"/>
      <c r="W71" s="228"/>
      <c r="X71" s="227"/>
      <c r="Y71" s="228"/>
      <c r="Z71" s="1295"/>
      <c r="AA71" s="228"/>
      <c r="AB71" s="228"/>
      <c r="AC71" s="228"/>
      <c r="AD71" s="228"/>
      <c r="AE71" s="229"/>
      <c r="AF71" s="227"/>
      <c r="AG71" s="228"/>
      <c r="AH71" s="228"/>
      <c r="AI71" s="228"/>
      <c r="AJ71" s="229"/>
      <c r="AK71" s="227"/>
      <c r="AL71" s="228"/>
      <c r="AM71" s="228"/>
      <c r="AN71" s="228"/>
      <c r="AO71" s="229"/>
      <c r="AP71" s="157"/>
      <c r="AR71" s="842"/>
      <c r="AS71" s="842"/>
      <c r="AT71" s="842"/>
      <c r="AU71" s="842"/>
      <c r="AV71" s="842"/>
      <c r="AW71" s="842"/>
      <c r="AX71" s="842"/>
      <c r="AY71" s="842"/>
      <c r="AZ71" s="842"/>
      <c r="BA71" s="842"/>
      <c r="BB71" s="842"/>
      <c r="BC71" s="842"/>
      <c r="BD71" s="842"/>
      <c r="BE71" s="842"/>
      <c r="BF71" s="842"/>
      <c r="BG71" s="842"/>
    </row>
    <row r="72" spans="2:59">
      <c r="B72" s="155"/>
      <c r="D72" s="89" t="s">
        <v>313</v>
      </c>
      <c r="F72" s="201"/>
      <c r="G72" s="201"/>
      <c r="H72" s="201"/>
      <c r="I72" s="201"/>
      <c r="J72" s="216"/>
      <c r="K72" s="216"/>
      <c r="L72" s="216"/>
      <c r="M72" s="216"/>
      <c r="N72" s="216"/>
      <c r="O72" s="216"/>
      <c r="S72" s="217"/>
      <c r="T72" s="217"/>
      <c r="U72" s="217"/>
      <c r="V72" s="217"/>
      <c r="W72" s="217"/>
      <c r="X72" s="217"/>
      <c r="Y72" s="217"/>
      <c r="Z72" s="217" t="e">
        <f t="shared" ref="Z72:AG72" si="32">+Z71/Z70*100*10^6</f>
        <v>#DIV/0!</v>
      </c>
      <c r="AA72" s="217" t="e">
        <f t="shared" si="32"/>
        <v>#DIV/0!</v>
      </c>
      <c r="AB72" s="217" t="e">
        <f t="shared" si="32"/>
        <v>#DIV/0!</v>
      </c>
      <c r="AC72" s="217" t="e">
        <f t="shared" si="32"/>
        <v>#DIV/0!</v>
      </c>
      <c r="AD72" s="217" t="e">
        <f t="shared" si="32"/>
        <v>#DIV/0!</v>
      </c>
      <c r="AE72" s="217" t="e">
        <f t="shared" si="32"/>
        <v>#DIV/0!</v>
      </c>
      <c r="AF72" s="217" t="e">
        <f t="shared" si="32"/>
        <v>#DIV/0!</v>
      </c>
      <c r="AG72" s="217" t="e">
        <f t="shared" si="32"/>
        <v>#DIV/0!</v>
      </c>
      <c r="AH72" s="217" t="e">
        <f t="shared" ref="AH72:AO72" si="33">+AH71/AH70*100*10^6</f>
        <v>#DIV/0!</v>
      </c>
      <c r="AI72" s="217" t="e">
        <f t="shared" si="33"/>
        <v>#DIV/0!</v>
      </c>
      <c r="AJ72" s="217" t="e">
        <f t="shared" si="33"/>
        <v>#DIV/0!</v>
      </c>
      <c r="AK72" s="217" t="e">
        <f t="shared" si="33"/>
        <v>#DIV/0!</v>
      </c>
      <c r="AL72" s="217" t="e">
        <f t="shared" si="33"/>
        <v>#DIV/0!</v>
      </c>
      <c r="AM72" s="217" t="e">
        <f t="shared" si="33"/>
        <v>#DIV/0!</v>
      </c>
      <c r="AN72" s="217" t="e">
        <f t="shared" si="33"/>
        <v>#DIV/0!</v>
      </c>
      <c r="AO72" s="217" t="e">
        <f t="shared" si="33"/>
        <v>#DIV/0!</v>
      </c>
      <c r="AP72" s="157"/>
      <c r="AR72" s="842"/>
      <c r="AS72" s="842"/>
      <c r="AT72" s="842"/>
      <c r="AU72" s="842"/>
      <c r="AV72" s="842"/>
      <c r="AW72" s="842"/>
      <c r="AX72" s="842"/>
      <c r="AY72" s="842"/>
      <c r="AZ72" s="842"/>
      <c r="BA72" s="842"/>
      <c r="BB72" s="842"/>
      <c r="BC72" s="842"/>
      <c r="BD72" s="842"/>
      <c r="BE72" s="842"/>
      <c r="BF72" s="842"/>
      <c r="BG72" s="842"/>
    </row>
    <row r="73" spans="2:59">
      <c r="B73" s="155"/>
      <c r="D73" s="63" t="s">
        <v>314</v>
      </c>
      <c r="F73" s="201"/>
      <c r="G73" s="201"/>
      <c r="H73" s="201"/>
      <c r="I73" s="201"/>
      <c r="J73" s="166"/>
      <c r="K73" s="166"/>
      <c r="L73" s="166"/>
      <c r="M73" s="166"/>
      <c r="N73" s="166"/>
      <c r="O73" s="166"/>
      <c r="S73" s="201"/>
      <c r="T73" s="201"/>
      <c r="U73" s="201"/>
      <c r="V73" s="201"/>
      <c r="W73" s="201"/>
      <c r="X73" s="201"/>
      <c r="Y73" s="201"/>
      <c r="Z73" s="201"/>
      <c r="AA73" s="201" t="e">
        <f t="shared" ref="AA73:AG73" si="34">+AA72/Z72-1</f>
        <v>#DIV/0!</v>
      </c>
      <c r="AB73" s="201" t="e">
        <f t="shared" si="34"/>
        <v>#DIV/0!</v>
      </c>
      <c r="AC73" s="201" t="e">
        <f t="shared" si="34"/>
        <v>#DIV/0!</v>
      </c>
      <c r="AD73" s="201" t="e">
        <f t="shared" si="34"/>
        <v>#DIV/0!</v>
      </c>
      <c r="AE73" s="201" t="e">
        <f t="shared" si="34"/>
        <v>#DIV/0!</v>
      </c>
      <c r="AF73" s="201" t="e">
        <f t="shared" si="34"/>
        <v>#DIV/0!</v>
      </c>
      <c r="AG73" s="201" t="e">
        <f t="shared" si="34"/>
        <v>#DIV/0!</v>
      </c>
      <c r="AH73" s="201" t="e">
        <f t="shared" ref="AH73:AO73" si="35">+AH72/AG72-1</f>
        <v>#DIV/0!</v>
      </c>
      <c r="AI73" s="201" t="e">
        <f t="shared" si="35"/>
        <v>#DIV/0!</v>
      </c>
      <c r="AJ73" s="201" t="e">
        <f t="shared" si="35"/>
        <v>#DIV/0!</v>
      </c>
      <c r="AK73" s="201" t="e">
        <f t="shared" si="35"/>
        <v>#DIV/0!</v>
      </c>
      <c r="AL73" s="201" t="e">
        <f t="shared" si="35"/>
        <v>#DIV/0!</v>
      </c>
      <c r="AM73" s="201" t="e">
        <f t="shared" si="35"/>
        <v>#DIV/0!</v>
      </c>
      <c r="AN73" s="201" t="e">
        <f t="shared" si="35"/>
        <v>#DIV/0!</v>
      </c>
      <c r="AO73" s="201" t="e">
        <f t="shared" si="35"/>
        <v>#DIV/0!</v>
      </c>
      <c r="AP73" s="157"/>
      <c r="AR73" s="842"/>
      <c r="AS73" s="842"/>
      <c r="AT73" s="842"/>
      <c r="AU73" s="842"/>
      <c r="AV73" s="842"/>
      <c r="AW73" s="842"/>
      <c r="AX73" s="842"/>
      <c r="AY73" s="842"/>
      <c r="AZ73" s="842"/>
      <c r="BA73" s="842"/>
      <c r="BB73" s="842"/>
      <c r="BC73" s="842"/>
      <c r="BD73" s="842"/>
      <c r="BE73" s="842"/>
      <c r="BF73" s="842"/>
      <c r="BG73" s="842"/>
    </row>
    <row r="74" spans="2:59">
      <c r="B74" s="155"/>
      <c r="F74" s="201"/>
      <c r="G74" s="201"/>
      <c r="H74" s="201"/>
      <c r="I74" s="201"/>
      <c r="J74" s="201"/>
      <c r="K74" s="201"/>
      <c r="L74" s="201"/>
      <c r="M74" s="201"/>
      <c r="N74" s="201"/>
      <c r="O74" s="201"/>
      <c r="S74" s="201"/>
      <c r="T74" s="201"/>
      <c r="U74" s="201"/>
      <c r="V74" s="201"/>
      <c r="W74" s="201"/>
      <c r="X74" s="201"/>
      <c r="Y74" s="201"/>
      <c r="Z74" s="201"/>
      <c r="AA74" s="201"/>
      <c r="AB74" s="201"/>
      <c r="AC74" s="201"/>
      <c r="AD74" s="201"/>
      <c r="AE74" s="201"/>
      <c r="AF74" s="201"/>
      <c r="AG74" s="201"/>
      <c r="AH74" s="201"/>
      <c r="AI74" s="201"/>
      <c r="AJ74" s="201"/>
      <c r="AK74" s="201"/>
      <c r="AL74" s="201"/>
      <c r="AM74" s="201"/>
      <c r="AN74" s="201"/>
      <c r="AO74" s="201"/>
      <c r="AP74" s="157"/>
      <c r="AR74" s="842"/>
      <c r="AS74" s="842"/>
      <c r="AT74" s="842"/>
      <c r="AU74" s="842"/>
      <c r="AV74" s="842"/>
      <c r="AW74" s="842"/>
      <c r="AX74" s="842"/>
      <c r="AY74" s="842"/>
      <c r="AZ74" s="842"/>
      <c r="BA74" s="842"/>
      <c r="BB74" s="842"/>
      <c r="BC74" s="842"/>
      <c r="BD74" s="842"/>
      <c r="BE74" s="842"/>
      <c r="BF74" s="842"/>
      <c r="BG74" s="842"/>
    </row>
    <row r="75" spans="2:59">
      <c r="B75" s="155"/>
      <c r="D75" s="89" t="s">
        <v>316</v>
      </c>
      <c r="F75" s="201"/>
      <c r="G75" s="201"/>
      <c r="H75" s="201"/>
      <c r="I75" s="201"/>
      <c r="J75" s="201"/>
      <c r="K75" s="201"/>
      <c r="L75" s="201"/>
      <c r="M75" s="201"/>
      <c r="N75" s="201"/>
      <c r="O75" s="201"/>
      <c r="S75" s="201"/>
      <c r="T75" s="201"/>
      <c r="U75" s="201"/>
      <c r="V75" s="201"/>
      <c r="W75" s="201"/>
      <c r="X75" s="201"/>
      <c r="Y75" s="201"/>
      <c r="Z75" s="201"/>
      <c r="AA75" s="201"/>
      <c r="AB75" s="201"/>
      <c r="AC75" s="201"/>
      <c r="AD75" s="201"/>
      <c r="AE75" s="201"/>
      <c r="AF75" s="201"/>
      <c r="AG75" s="201"/>
      <c r="AH75" s="201"/>
      <c r="AI75" s="201"/>
      <c r="AJ75" s="201"/>
      <c r="AK75" s="201"/>
      <c r="AL75" s="201"/>
      <c r="AM75" s="201"/>
      <c r="AN75" s="201"/>
      <c r="AO75" s="201"/>
      <c r="AP75" s="157"/>
      <c r="AR75" s="842"/>
      <c r="AS75" s="842"/>
      <c r="AT75" s="842"/>
      <c r="AU75" s="842"/>
      <c r="AV75" s="842"/>
      <c r="AW75" s="842"/>
      <c r="AX75" s="842"/>
      <c r="AY75" s="842"/>
      <c r="AZ75" s="842"/>
      <c r="BA75" s="842"/>
      <c r="BB75" s="842"/>
      <c r="BC75" s="842"/>
      <c r="BD75" s="842"/>
      <c r="BE75" s="842"/>
      <c r="BF75" s="842"/>
      <c r="BG75" s="842"/>
    </row>
    <row r="76" spans="2:59">
      <c r="B76" s="155"/>
      <c r="D76" s="63" t="s">
        <v>311</v>
      </c>
      <c r="F76" s="201"/>
      <c r="G76" s="201"/>
      <c r="H76" s="201"/>
      <c r="I76" s="201"/>
      <c r="S76" s="1271"/>
      <c r="T76" s="1272"/>
      <c r="U76" s="1272"/>
      <c r="V76" s="1273"/>
      <c r="W76" s="225"/>
      <c r="X76" s="224"/>
      <c r="Y76" s="225"/>
      <c r="Z76" s="1294">
        <v>39091000</v>
      </c>
      <c r="AA76" s="225">
        <v>39091000</v>
      </c>
      <c r="AB76" s="225">
        <v>37968006.710299999</v>
      </c>
      <c r="AC76" s="225">
        <v>42458958.47209999</v>
      </c>
      <c r="AD76" s="225">
        <v>39644446.942999996</v>
      </c>
      <c r="AE76" s="226">
        <v>40699903.748300001</v>
      </c>
      <c r="AF76" s="224">
        <v>39555111.936000012</v>
      </c>
      <c r="AG76" s="225">
        <v>39377776.788280003</v>
      </c>
      <c r="AH76" s="225">
        <v>39482686.788280003</v>
      </c>
      <c r="AI76" s="225">
        <v>39377776.788280003</v>
      </c>
      <c r="AJ76" s="226">
        <v>39377776.788280003</v>
      </c>
      <c r="AK76" s="224">
        <v>39377776.788280003</v>
      </c>
      <c r="AL76" s="225">
        <v>39377776.788280003</v>
      </c>
      <c r="AM76" s="225">
        <v>39377776.788280003</v>
      </c>
      <c r="AN76" s="225">
        <v>39377776.788280003</v>
      </c>
      <c r="AO76" s="226">
        <v>39377776.788280003</v>
      </c>
      <c r="AP76" s="157"/>
      <c r="AR76" s="842"/>
      <c r="AS76" s="842"/>
      <c r="AT76" s="842"/>
      <c r="AU76" s="842"/>
      <c r="AV76" s="842"/>
      <c r="AW76" s="842"/>
      <c r="AX76" s="842"/>
      <c r="AY76" s="842"/>
      <c r="AZ76" s="842"/>
      <c r="BA76" s="842"/>
      <c r="BB76" s="842"/>
      <c r="BC76" s="842"/>
      <c r="BD76" s="842"/>
      <c r="BE76" s="842"/>
      <c r="BF76" s="842"/>
      <c r="BG76" s="842"/>
    </row>
    <row r="77" spans="2:59">
      <c r="B77" s="155"/>
      <c r="D77" s="63" t="s">
        <v>312</v>
      </c>
      <c r="F77" s="201"/>
      <c r="G77" s="201"/>
      <c r="H77" s="201"/>
      <c r="I77" s="201"/>
      <c r="S77" s="1274"/>
      <c r="T77" s="1275"/>
      <c r="U77" s="1275"/>
      <c r="V77" s="1275"/>
      <c r="W77" s="228"/>
      <c r="X77" s="227"/>
      <c r="Y77" s="228"/>
      <c r="Z77" s="1295">
        <v>9.7706462351461507</v>
      </c>
      <c r="AA77" s="228">
        <v>9.4464390457207266</v>
      </c>
      <c r="AB77" s="228">
        <v>8.0208239983769669</v>
      </c>
      <c r="AC77" s="228">
        <v>8.0076902715934928</v>
      </c>
      <c r="AD77" s="228">
        <v>7.9675536109962755</v>
      </c>
      <c r="AE77" s="229">
        <v>8.1938318337310818</v>
      </c>
      <c r="AF77" s="227">
        <v>7.8202403896487152</v>
      </c>
      <c r="AG77" s="228">
        <v>7.8004288666185913</v>
      </c>
      <c r="AH77" s="228">
        <v>8.026271023640664</v>
      </c>
      <c r="AI77" s="228">
        <v>8.20817088123089</v>
      </c>
      <c r="AJ77" s="229">
        <v>6.5334348954749535</v>
      </c>
      <c r="AK77" s="227">
        <v>6.6967707678618273</v>
      </c>
      <c r="AL77" s="228">
        <v>6.8641900370583722</v>
      </c>
      <c r="AM77" s="228">
        <v>7.0357947879848295</v>
      </c>
      <c r="AN77" s="228">
        <v>7.2116896576844498</v>
      </c>
      <c r="AO77" s="229">
        <v>7.3919818991265611</v>
      </c>
      <c r="AP77" s="157"/>
      <c r="AR77" s="842"/>
      <c r="AS77" s="842"/>
      <c r="AT77" s="842"/>
      <c r="AU77" s="842"/>
      <c r="AV77" s="842"/>
      <c r="AW77" s="842"/>
      <c r="AX77" s="842"/>
      <c r="AY77" s="842"/>
      <c r="AZ77" s="842"/>
      <c r="BA77" s="842"/>
      <c r="BB77" s="842"/>
      <c r="BC77" s="842"/>
      <c r="BD77" s="842"/>
      <c r="BE77" s="842"/>
      <c r="BF77" s="842"/>
      <c r="BG77" s="842"/>
    </row>
    <row r="78" spans="2:59">
      <c r="B78" s="155"/>
      <c r="D78" s="89" t="s">
        <v>313</v>
      </c>
      <c r="F78" s="201"/>
      <c r="G78" s="201"/>
      <c r="H78" s="201"/>
      <c r="I78" s="201"/>
      <c r="J78" s="216"/>
      <c r="K78" s="216"/>
      <c r="L78" s="216"/>
      <c r="M78" s="216"/>
      <c r="N78" s="216"/>
      <c r="O78" s="216"/>
      <c r="S78" s="217"/>
      <c r="T78" s="217"/>
      <c r="U78" s="217"/>
      <c r="V78" s="217"/>
      <c r="W78" s="217"/>
      <c r="X78" s="217"/>
      <c r="Y78" s="217"/>
      <c r="Z78" s="217">
        <f t="shared" ref="Z78:AG78" si="36">+Z77/Z76*100*10^6</f>
        <v>24.994618288470875</v>
      </c>
      <c r="AA78" s="217">
        <f t="shared" si="36"/>
        <v>24.165252988464676</v>
      </c>
      <c r="AB78" s="217">
        <f t="shared" si="36"/>
        <v>21.125217501083799</v>
      </c>
      <c r="AC78" s="217">
        <f t="shared" si="36"/>
        <v>18.859836792405986</v>
      </c>
      <c r="AD78" s="217">
        <f t="shared" si="36"/>
        <v>20.097527460660167</v>
      </c>
      <c r="AE78" s="217">
        <f t="shared" si="36"/>
        <v>20.132312558781742</v>
      </c>
      <c r="AF78" s="217">
        <f t="shared" si="36"/>
        <v>19.770492376059579</v>
      </c>
      <c r="AG78" s="217">
        <f t="shared" si="36"/>
        <v>19.80921601683778</v>
      </c>
      <c r="AH78" s="217">
        <f t="shared" ref="AH78:AO78" si="37">+AH77/AH76*100*10^6</f>
        <v>20.328583681957461</v>
      </c>
      <c r="AI78" s="217">
        <f t="shared" si="37"/>
        <v>20.844678269581451</v>
      </c>
      <c r="AJ78" s="217">
        <f t="shared" si="37"/>
        <v>16.591680456219912</v>
      </c>
      <c r="AK78" s="217">
        <f t="shared" si="37"/>
        <v>17.006472467625407</v>
      </c>
      <c r="AL78" s="217">
        <f t="shared" si="37"/>
        <v>17.431634279316039</v>
      </c>
      <c r="AM78" s="217">
        <f t="shared" si="37"/>
        <v>17.867425136298937</v>
      </c>
      <c r="AN78" s="217">
        <f t="shared" si="37"/>
        <v>18.31411076470641</v>
      </c>
      <c r="AO78" s="217">
        <f t="shared" si="37"/>
        <v>18.771963533824071</v>
      </c>
      <c r="AP78" s="157"/>
      <c r="AR78" s="842"/>
      <c r="AS78" s="842"/>
      <c r="AT78" s="842"/>
      <c r="AU78" s="842"/>
      <c r="AV78" s="842"/>
      <c r="AW78" s="842"/>
      <c r="AX78" s="842"/>
      <c r="AY78" s="842"/>
      <c r="AZ78" s="842"/>
      <c r="BA78" s="842"/>
      <c r="BB78" s="842"/>
      <c r="BC78" s="842"/>
      <c r="BD78" s="842"/>
      <c r="BE78" s="842"/>
      <c r="BF78" s="842"/>
      <c r="BG78" s="842"/>
    </row>
    <row r="79" spans="2:59">
      <c r="B79" s="155"/>
      <c r="D79" s="63" t="s">
        <v>314</v>
      </c>
      <c r="F79" s="201"/>
      <c r="G79" s="201"/>
      <c r="H79" s="201"/>
      <c r="I79" s="201"/>
      <c r="J79" s="166"/>
      <c r="K79" s="166"/>
      <c r="L79" s="166"/>
      <c r="M79" s="166"/>
      <c r="N79" s="166"/>
      <c r="O79" s="166"/>
      <c r="S79" s="201"/>
      <c r="T79" s="201"/>
      <c r="U79" s="201"/>
      <c r="V79" s="201"/>
      <c r="W79" s="201"/>
      <c r="X79" s="201"/>
      <c r="Y79" s="201"/>
      <c r="Z79" s="201"/>
      <c r="AA79" s="201">
        <f t="shared" ref="AA79:AG79" si="38">+AA78/Z78-1</f>
        <v>-3.3181754985582401E-2</v>
      </c>
      <c r="AB79" s="201">
        <f t="shared" si="38"/>
        <v>-0.12580193093083047</v>
      </c>
      <c r="AC79" s="201">
        <f t="shared" si="38"/>
        <v>-0.10723585253319123</v>
      </c>
      <c r="AD79" s="201">
        <f t="shared" si="38"/>
        <v>6.5625735889323522E-2</v>
      </c>
      <c r="AE79" s="201">
        <f t="shared" si="38"/>
        <v>1.7308148074266505E-3</v>
      </c>
      <c r="AF79" s="201">
        <f t="shared" si="38"/>
        <v>-1.7972112327668821E-2</v>
      </c>
      <c r="AG79" s="201">
        <f t="shared" si="38"/>
        <v>1.9586583905766286E-3</v>
      </c>
      <c r="AH79" s="201">
        <f t="shared" ref="AH79:AO79" si="39">+AH78/AG78-1</f>
        <v>2.6218486621490733E-2</v>
      </c>
      <c r="AI79" s="201">
        <f t="shared" si="39"/>
        <v>2.5387631312556502E-2</v>
      </c>
      <c r="AJ79" s="201">
        <f t="shared" si="39"/>
        <v>-0.20403278757091303</v>
      </c>
      <c r="AK79" s="201">
        <f t="shared" si="39"/>
        <v>2.4999999999999911E-2</v>
      </c>
      <c r="AL79" s="201">
        <f t="shared" si="39"/>
        <v>2.4999999999999911E-2</v>
      </c>
      <c r="AM79" s="201">
        <f t="shared" si="39"/>
        <v>2.4999999999999911E-2</v>
      </c>
      <c r="AN79" s="201">
        <f t="shared" si="39"/>
        <v>2.4999999999999911E-2</v>
      </c>
      <c r="AO79" s="201">
        <f t="shared" si="39"/>
        <v>2.5000000000000133E-2</v>
      </c>
      <c r="AP79" s="157"/>
      <c r="AR79" s="842"/>
      <c r="AS79" s="842"/>
      <c r="AT79" s="842"/>
      <c r="AU79" s="842"/>
      <c r="AV79" s="842"/>
      <c r="AW79" s="842"/>
      <c r="AX79" s="842"/>
      <c r="AY79" s="842"/>
      <c r="AZ79" s="842"/>
      <c r="BA79" s="842"/>
      <c r="BB79" s="842"/>
      <c r="BC79" s="842"/>
      <c r="BD79" s="842"/>
      <c r="BE79" s="842"/>
      <c r="BF79" s="842"/>
      <c r="BG79" s="842"/>
    </row>
    <row r="80" spans="2:59">
      <c r="B80" s="155"/>
      <c r="F80" s="201"/>
      <c r="G80" s="201"/>
      <c r="H80" s="201"/>
      <c r="I80" s="201"/>
      <c r="J80" s="166"/>
      <c r="K80" s="166"/>
      <c r="L80" s="166"/>
      <c r="M80" s="166"/>
      <c r="N80" s="166"/>
      <c r="O80" s="166"/>
      <c r="S80" s="201"/>
      <c r="T80" s="201"/>
      <c r="U80" s="201"/>
      <c r="V80" s="201"/>
      <c r="W80" s="201"/>
      <c r="X80" s="201"/>
      <c r="Y80" s="201"/>
      <c r="Z80" s="201"/>
      <c r="AA80" s="201"/>
      <c r="AB80" s="201"/>
      <c r="AC80" s="201"/>
      <c r="AD80" s="201"/>
      <c r="AE80" s="201"/>
      <c r="AF80" s="201"/>
      <c r="AG80" s="201"/>
      <c r="AH80" s="201"/>
      <c r="AI80" s="201"/>
      <c r="AJ80" s="201"/>
      <c r="AK80" s="201"/>
      <c r="AL80" s="201"/>
      <c r="AM80" s="201"/>
      <c r="AN80" s="201"/>
      <c r="AO80" s="201"/>
      <c r="AP80" s="157"/>
      <c r="AR80" s="842"/>
      <c r="AS80" s="842"/>
      <c r="AT80" s="842"/>
      <c r="AU80" s="842"/>
      <c r="AV80" s="842"/>
      <c r="AW80" s="842"/>
      <c r="AX80" s="842"/>
      <c r="AY80" s="842"/>
      <c r="AZ80" s="842"/>
      <c r="BA80" s="842"/>
      <c r="BB80" s="842"/>
      <c r="BC80" s="842"/>
      <c r="BD80" s="842"/>
      <c r="BE80" s="842"/>
      <c r="BF80" s="842"/>
      <c r="BG80" s="842"/>
    </row>
    <row r="81" spans="2:59">
      <c r="B81" s="155"/>
      <c r="F81" s="201"/>
      <c r="G81" s="201"/>
      <c r="H81" s="201"/>
      <c r="I81" s="201"/>
      <c r="J81" s="166"/>
      <c r="K81" s="166"/>
      <c r="L81" s="166"/>
      <c r="M81" s="166"/>
      <c r="N81" s="166"/>
      <c r="O81" s="166"/>
      <c r="S81" s="201"/>
      <c r="T81" s="201"/>
      <c r="U81" s="201"/>
      <c r="V81" s="201"/>
      <c r="W81" s="201"/>
      <c r="X81" s="201"/>
      <c r="Y81" s="201"/>
      <c r="Z81" s="201"/>
      <c r="AA81" s="201"/>
      <c r="AB81" s="201"/>
      <c r="AC81" s="201"/>
      <c r="AD81" s="201"/>
      <c r="AE81" s="201"/>
      <c r="AF81" s="201"/>
      <c r="AG81" s="201"/>
      <c r="AH81" s="201"/>
      <c r="AI81" s="201"/>
      <c r="AJ81" s="201"/>
      <c r="AK81" s="201"/>
      <c r="AL81" s="201"/>
      <c r="AM81" s="201"/>
      <c r="AN81" s="201"/>
      <c r="AO81" s="201"/>
      <c r="AP81" s="157"/>
      <c r="AR81" s="842"/>
      <c r="AS81" s="842"/>
      <c r="AT81" s="842"/>
      <c r="AU81" s="842"/>
      <c r="AV81" s="842"/>
      <c r="AW81" s="842"/>
      <c r="AX81" s="842"/>
      <c r="AY81" s="842"/>
      <c r="AZ81" s="842"/>
      <c r="BA81" s="842"/>
      <c r="BB81" s="842"/>
      <c r="BC81" s="842"/>
      <c r="BD81" s="842"/>
      <c r="BE81" s="842"/>
      <c r="BF81" s="842"/>
      <c r="BG81" s="842"/>
    </row>
    <row r="82" spans="2:59">
      <c r="B82" s="155"/>
      <c r="D82" s="218" t="s">
        <v>317</v>
      </c>
      <c r="E82" s="67"/>
      <c r="F82" s="67"/>
      <c r="G82" s="211"/>
      <c r="H82" s="211"/>
      <c r="I82" s="211"/>
      <c r="J82" s="211"/>
      <c r="K82" s="211"/>
      <c r="L82" s="211"/>
      <c r="M82" s="211"/>
      <c r="N82" s="211"/>
      <c r="O82" s="211"/>
      <c r="S82" s="166"/>
      <c r="T82" s="166"/>
      <c r="U82" s="166"/>
      <c r="AP82" s="157"/>
      <c r="AR82" s="842"/>
      <c r="AS82" s="842"/>
      <c r="AT82" s="842"/>
      <c r="AU82" s="842"/>
      <c r="AV82" s="842"/>
      <c r="AW82" s="842"/>
      <c r="AX82" s="842"/>
      <c r="AY82" s="842"/>
      <c r="AZ82" s="842"/>
      <c r="BA82" s="842"/>
      <c r="BB82" s="842"/>
      <c r="BC82" s="842"/>
      <c r="BD82" s="842"/>
      <c r="BE82" s="842"/>
      <c r="BF82" s="842"/>
      <c r="BG82" s="842"/>
    </row>
    <row r="83" spans="2:59">
      <c r="B83" s="155"/>
      <c r="D83" s="89"/>
      <c r="G83" s="166"/>
      <c r="H83" s="166"/>
      <c r="I83" s="166"/>
      <c r="J83" s="166"/>
      <c r="K83" s="166"/>
      <c r="L83" s="166"/>
      <c r="M83" s="166"/>
      <c r="N83" s="166"/>
      <c r="O83" s="166"/>
      <c r="S83" s="166"/>
      <c r="T83" s="166"/>
      <c r="U83" s="166"/>
      <c r="AP83" s="157"/>
      <c r="AR83" s="842"/>
      <c r="AS83" s="842"/>
      <c r="AT83" s="842"/>
      <c r="AU83" s="842"/>
      <c r="AV83" s="842"/>
      <c r="AW83" s="842"/>
      <c r="AX83" s="842"/>
      <c r="AY83" s="842"/>
      <c r="AZ83" s="842"/>
      <c r="BA83" s="842"/>
      <c r="BB83" s="842"/>
      <c r="BC83" s="842"/>
      <c r="BD83" s="842"/>
      <c r="BE83" s="842"/>
      <c r="BF83" s="842"/>
      <c r="BG83" s="842"/>
    </row>
    <row r="84" spans="2:59">
      <c r="B84" s="155"/>
      <c r="D84" s="89" t="s">
        <v>310</v>
      </c>
      <c r="F84" s="201"/>
      <c r="G84" s="201"/>
      <c r="H84" s="201"/>
      <c r="I84" s="201"/>
      <c r="J84" s="201"/>
      <c r="K84" s="201"/>
      <c r="L84" s="201"/>
      <c r="M84" s="201"/>
      <c r="N84" s="201"/>
      <c r="O84" s="201"/>
      <c r="S84" s="201"/>
      <c r="T84" s="201"/>
      <c r="U84" s="201"/>
      <c r="V84" s="201"/>
      <c r="W84" s="201"/>
      <c r="X84" s="201"/>
      <c r="Y84" s="201"/>
      <c r="Z84" s="201"/>
      <c r="AA84" s="201"/>
      <c r="AB84" s="201"/>
      <c r="AC84" s="201"/>
      <c r="AD84" s="201"/>
      <c r="AE84" s="201"/>
      <c r="AF84" s="201"/>
      <c r="AG84" s="201"/>
      <c r="AH84" s="201"/>
      <c r="AI84" s="201"/>
      <c r="AJ84" s="201"/>
      <c r="AK84" s="201"/>
      <c r="AL84" s="201"/>
      <c r="AM84" s="201"/>
      <c r="AN84" s="201"/>
      <c r="AO84" s="201"/>
      <c r="AP84" s="157"/>
      <c r="AR84" s="842"/>
      <c r="AS84" s="842"/>
      <c r="AT84" s="842"/>
      <c r="AU84" s="842"/>
      <c r="AV84" s="842"/>
      <c r="AW84" s="842"/>
      <c r="AX84" s="842"/>
      <c r="AY84" s="842"/>
      <c r="AZ84" s="842"/>
      <c r="BA84" s="842"/>
      <c r="BB84" s="842"/>
      <c r="BC84" s="842"/>
      <c r="BD84" s="842"/>
      <c r="BE84" s="842"/>
      <c r="BF84" s="842"/>
      <c r="BG84" s="842"/>
    </row>
    <row r="85" spans="2:59">
      <c r="B85" s="155"/>
      <c r="D85" s="63" t="s">
        <v>311</v>
      </c>
      <c r="F85" s="201"/>
      <c r="G85" s="201"/>
      <c r="H85" s="201"/>
      <c r="I85" s="201"/>
      <c r="S85" s="1271"/>
      <c r="T85" s="1272"/>
      <c r="U85" s="1272"/>
      <c r="V85" s="1273"/>
      <c r="W85" s="199"/>
      <c r="X85" s="224"/>
      <c r="Y85" s="225"/>
      <c r="Z85" s="1294">
        <v>0</v>
      </c>
      <c r="AA85" s="225">
        <v>0</v>
      </c>
      <c r="AB85" s="225">
        <v>0</v>
      </c>
      <c r="AC85" s="225">
        <v>0</v>
      </c>
      <c r="AD85" s="225">
        <v>0</v>
      </c>
      <c r="AE85" s="226">
        <v>0</v>
      </c>
      <c r="AF85" s="224">
        <v>17398778.403984878</v>
      </c>
      <c r="AG85" s="225">
        <v>12664154.326841177</v>
      </c>
      <c r="AH85" s="225">
        <v>16456814.794750476</v>
      </c>
      <c r="AI85" s="225">
        <v>18818418.184222858</v>
      </c>
      <c r="AJ85" s="226">
        <v>23518997.509869136</v>
      </c>
      <c r="AK85" s="224">
        <v>23518997.509869136</v>
      </c>
      <c r="AL85" s="225">
        <v>23518997.509869136</v>
      </c>
      <c r="AM85" s="225">
        <v>23518997.509869136</v>
      </c>
      <c r="AN85" s="225">
        <v>23518997.509869136</v>
      </c>
      <c r="AO85" s="226">
        <v>23518997.509869136</v>
      </c>
      <c r="AP85" s="157"/>
      <c r="AR85" s="842"/>
      <c r="AS85" s="842"/>
      <c r="AT85" s="842"/>
      <c r="AU85" s="842"/>
      <c r="AV85" s="842"/>
      <c r="AW85" s="842"/>
      <c r="AX85" s="842"/>
      <c r="AY85" s="842"/>
      <c r="AZ85" s="842"/>
      <c r="BA85" s="842"/>
      <c r="BB85" s="842"/>
      <c r="BC85" s="842"/>
      <c r="BD85" s="842"/>
      <c r="BE85" s="842"/>
      <c r="BF85" s="842"/>
      <c r="BG85" s="842"/>
    </row>
    <row r="86" spans="2:59">
      <c r="B86" s="155"/>
      <c r="D86" s="63" t="s">
        <v>312</v>
      </c>
      <c r="F86" s="201"/>
      <c r="G86" s="201"/>
      <c r="H86" s="201"/>
      <c r="I86" s="201"/>
      <c r="S86" s="1274"/>
      <c r="T86" s="1275"/>
      <c r="U86" s="1275"/>
      <c r="V86" s="1275"/>
      <c r="W86" s="223"/>
      <c r="X86" s="227"/>
      <c r="Y86" s="228"/>
      <c r="Z86" s="1295">
        <v>0</v>
      </c>
      <c r="AA86" s="228">
        <v>0</v>
      </c>
      <c r="AB86" s="228">
        <v>0</v>
      </c>
      <c r="AC86" s="228">
        <v>0</v>
      </c>
      <c r="AD86" s="228">
        <v>0</v>
      </c>
      <c r="AE86" s="229">
        <v>0</v>
      </c>
      <c r="AF86" s="227">
        <v>3.4398241578873314</v>
      </c>
      <c r="AG86" s="228">
        <v>2.5086696873096774</v>
      </c>
      <c r="AH86" s="228">
        <v>3.3454373669356077</v>
      </c>
      <c r="AI86" s="228">
        <v>3.9226387259256668</v>
      </c>
      <c r="AJ86" s="229">
        <v>3.9021969133438046</v>
      </c>
      <c r="AK86" s="227">
        <v>3.9997518361773996</v>
      </c>
      <c r="AL86" s="228">
        <v>4.0997456320818344</v>
      </c>
      <c r="AM86" s="228">
        <v>4.2022392728838787</v>
      </c>
      <c r="AN86" s="228">
        <v>4.3072952547059762</v>
      </c>
      <c r="AO86" s="229">
        <v>4.4149776360736253</v>
      </c>
      <c r="AP86" s="157"/>
      <c r="AR86" s="842"/>
      <c r="AS86" s="842"/>
      <c r="AT86" s="842"/>
      <c r="AU86" s="842"/>
      <c r="AV86" s="842"/>
      <c r="AW86" s="842"/>
      <c r="AX86" s="842"/>
      <c r="AY86" s="842"/>
      <c r="AZ86" s="842"/>
      <c r="BA86" s="842"/>
      <c r="BB86" s="842"/>
      <c r="BC86" s="842"/>
      <c r="BD86" s="842"/>
      <c r="BE86" s="842"/>
      <c r="BF86" s="842"/>
      <c r="BG86" s="842"/>
    </row>
    <row r="87" spans="2:59">
      <c r="B87" s="155"/>
      <c r="D87" s="89" t="s">
        <v>313</v>
      </c>
      <c r="F87" s="201"/>
      <c r="G87" s="201"/>
      <c r="H87" s="201"/>
      <c r="I87" s="201"/>
      <c r="J87" s="216"/>
      <c r="K87" s="216"/>
      <c r="L87" s="216"/>
      <c r="M87" s="216"/>
      <c r="N87" s="216"/>
      <c r="O87" s="216"/>
      <c r="S87" s="217"/>
      <c r="T87" s="217"/>
      <c r="U87" s="217"/>
      <c r="V87" s="217"/>
      <c r="W87" s="217"/>
      <c r="X87" s="217"/>
      <c r="Y87" s="217"/>
      <c r="Z87" s="217" t="e">
        <f t="shared" ref="Z87:AG87" si="40">+Z86/Z85*100*10^6</f>
        <v>#DIV/0!</v>
      </c>
      <c r="AA87" s="217" t="e">
        <f t="shared" si="40"/>
        <v>#DIV/0!</v>
      </c>
      <c r="AB87" s="217" t="e">
        <f t="shared" si="40"/>
        <v>#DIV/0!</v>
      </c>
      <c r="AC87" s="217" t="e">
        <f t="shared" si="40"/>
        <v>#DIV/0!</v>
      </c>
      <c r="AD87" s="217" t="e">
        <f t="shared" si="40"/>
        <v>#DIV/0!</v>
      </c>
      <c r="AE87" s="217" t="e">
        <f t="shared" si="40"/>
        <v>#DIV/0!</v>
      </c>
      <c r="AF87" s="217">
        <f t="shared" si="40"/>
        <v>19.770492376059583</v>
      </c>
      <c r="AG87" s="217">
        <f t="shared" si="40"/>
        <v>19.809216016837784</v>
      </c>
      <c r="AH87" s="217">
        <f t="shared" ref="AH87:AO87" si="41">+AH86/AH85*100*10^6</f>
        <v>20.328583681957468</v>
      </c>
      <c r="AI87" s="217">
        <f t="shared" si="41"/>
        <v>20.844678269581454</v>
      </c>
      <c r="AJ87" s="217">
        <f t="shared" si="41"/>
        <v>16.591680456219912</v>
      </c>
      <c r="AK87" s="217">
        <f t="shared" si="41"/>
        <v>17.006472467625407</v>
      </c>
      <c r="AL87" s="217">
        <f t="shared" si="41"/>
        <v>17.431634279316039</v>
      </c>
      <c r="AM87" s="217">
        <f t="shared" si="41"/>
        <v>17.867425136298937</v>
      </c>
      <c r="AN87" s="217">
        <f t="shared" si="41"/>
        <v>18.314110764706413</v>
      </c>
      <c r="AO87" s="217">
        <f t="shared" si="41"/>
        <v>18.771963533824071</v>
      </c>
      <c r="AP87" s="157"/>
      <c r="AR87" s="842"/>
      <c r="AS87" s="842"/>
      <c r="AT87" s="842"/>
      <c r="AU87" s="842"/>
      <c r="AV87" s="842"/>
      <c r="AW87" s="842"/>
      <c r="AX87" s="842"/>
      <c r="AY87" s="842"/>
      <c r="AZ87" s="842"/>
      <c r="BA87" s="842"/>
      <c r="BB87" s="842"/>
      <c r="BC87" s="842"/>
      <c r="BD87" s="842"/>
      <c r="BE87" s="842"/>
      <c r="BF87" s="842"/>
      <c r="BG87" s="842"/>
    </row>
    <row r="88" spans="2:59">
      <c r="B88" s="155"/>
      <c r="D88" s="63" t="s">
        <v>314</v>
      </c>
      <c r="F88" s="201"/>
      <c r="G88" s="201"/>
      <c r="H88" s="201"/>
      <c r="I88" s="201"/>
      <c r="J88" s="166"/>
      <c r="K88" s="166"/>
      <c r="L88" s="166"/>
      <c r="M88" s="166"/>
      <c r="N88" s="166"/>
      <c r="O88" s="166"/>
      <c r="S88" s="201"/>
      <c r="T88" s="201"/>
      <c r="U88" s="201"/>
      <c r="V88" s="201"/>
      <c r="W88" s="201"/>
      <c r="X88" s="201"/>
      <c r="Y88" s="201"/>
      <c r="Z88" s="201"/>
      <c r="AA88" s="201" t="e">
        <f t="shared" ref="AA88:AG88" si="42">+AA87/Z87-1</f>
        <v>#DIV/0!</v>
      </c>
      <c r="AB88" s="201" t="e">
        <f t="shared" si="42"/>
        <v>#DIV/0!</v>
      </c>
      <c r="AC88" s="201" t="e">
        <f t="shared" si="42"/>
        <v>#DIV/0!</v>
      </c>
      <c r="AD88" s="201" t="e">
        <f t="shared" si="42"/>
        <v>#DIV/0!</v>
      </c>
      <c r="AE88" s="201" t="e">
        <f t="shared" si="42"/>
        <v>#DIV/0!</v>
      </c>
      <c r="AF88" s="201" t="e">
        <f t="shared" si="42"/>
        <v>#DIV/0!</v>
      </c>
      <c r="AG88" s="201">
        <f t="shared" si="42"/>
        <v>1.9586583905766286E-3</v>
      </c>
      <c r="AH88" s="201">
        <f t="shared" ref="AH88:AO88" si="43">+AH87/AG87-1</f>
        <v>2.6218486621490955E-2</v>
      </c>
      <c r="AI88" s="201">
        <f t="shared" si="43"/>
        <v>2.538763131255628E-2</v>
      </c>
      <c r="AJ88" s="201">
        <f t="shared" si="43"/>
        <v>-0.20403278757091314</v>
      </c>
      <c r="AK88" s="201">
        <f t="shared" si="43"/>
        <v>2.4999999999999911E-2</v>
      </c>
      <c r="AL88" s="201">
        <f t="shared" si="43"/>
        <v>2.4999999999999911E-2</v>
      </c>
      <c r="AM88" s="201">
        <f t="shared" si="43"/>
        <v>2.4999999999999911E-2</v>
      </c>
      <c r="AN88" s="201">
        <f t="shared" si="43"/>
        <v>2.5000000000000133E-2</v>
      </c>
      <c r="AO88" s="201">
        <f t="shared" si="43"/>
        <v>2.4999999999999911E-2</v>
      </c>
      <c r="AP88" s="157"/>
      <c r="AR88" s="842"/>
      <c r="AS88" s="842"/>
      <c r="AT88" s="842"/>
      <c r="AU88" s="842"/>
      <c r="AV88" s="842"/>
      <c r="AW88" s="842"/>
      <c r="AX88" s="842"/>
      <c r="AY88" s="842"/>
      <c r="AZ88" s="842"/>
      <c r="BA88" s="842"/>
      <c r="BB88" s="842"/>
      <c r="BC88" s="842"/>
      <c r="BD88" s="842"/>
      <c r="BE88" s="842"/>
      <c r="BF88" s="842"/>
      <c r="BG88" s="842"/>
    </row>
    <row r="89" spans="2:59">
      <c r="B89" s="155"/>
      <c r="F89" s="201"/>
      <c r="G89" s="201"/>
      <c r="H89" s="201"/>
      <c r="I89" s="201"/>
      <c r="J89" s="201"/>
      <c r="K89" s="201"/>
      <c r="L89" s="201"/>
      <c r="M89" s="201"/>
      <c r="N89" s="201"/>
      <c r="O89" s="201"/>
      <c r="S89" s="201"/>
      <c r="T89" s="201"/>
      <c r="U89" s="201"/>
      <c r="V89" s="201"/>
      <c r="W89" s="201"/>
      <c r="X89" s="201"/>
      <c r="Y89" s="201"/>
      <c r="Z89" s="201"/>
      <c r="AA89" s="201"/>
      <c r="AB89" s="201"/>
      <c r="AC89" s="201"/>
      <c r="AD89" s="201"/>
      <c r="AE89" s="201"/>
      <c r="AF89" s="201"/>
      <c r="AG89" s="201"/>
      <c r="AH89" s="201"/>
      <c r="AI89" s="201"/>
      <c r="AJ89" s="201"/>
      <c r="AK89" s="201"/>
      <c r="AL89" s="201"/>
      <c r="AM89" s="201"/>
      <c r="AN89" s="201"/>
      <c r="AO89" s="201"/>
      <c r="AP89" s="157"/>
      <c r="AR89" s="842"/>
      <c r="AS89" s="842"/>
      <c r="AT89" s="842"/>
      <c r="AU89" s="842"/>
      <c r="AV89" s="842"/>
      <c r="AW89" s="842"/>
      <c r="AX89" s="842"/>
      <c r="AY89" s="842"/>
      <c r="AZ89" s="842"/>
      <c r="BA89" s="842"/>
      <c r="BB89" s="842"/>
      <c r="BC89" s="842"/>
      <c r="BD89" s="842"/>
      <c r="BE89" s="842"/>
      <c r="BF89" s="842"/>
      <c r="BG89" s="842"/>
    </row>
    <row r="90" spans="2:59">
      <c r="B90" s="155"/>
      <c r="D90" s="89" t="s">
        <v>315</v>
      </c>
      <c r="F90" s="201"/>
      <c r="G90" s="201"/>
      <c r="H90" s="201"/>
      <c r="I90" s="201"/>
      <c r="J90" s="201"/>
      <c r="K90" s="201"/>
      <c r="L90" s="201"/>
      <c r="M90" s="201"/>
      <c r="N90" s="201"/>
      <c r="O90" s="201"/>
      <c r="S90" s="201"/>
      <c r="T90" s="201"/>
      <c r="U90" s="201"/>
      <c r="V90" s="201"/>
      <c r="W90" s="201"/>
      <c r="X90" s="201"/>
      <c r="Y90" s="201"/>
      <c r="Z90" s="201"/>
      <c r="AA90" s="201"/>
      <c r="AB90" s="201"/>
      <c r="AC90" s="201"/>
      <c r="AD90" s="201"/>
      <c r="AE90" s="201"/>
      <c r="AF90" s="201"/>
      <c r="AG90" s="201"/>
      <c r="AH90" s="201"/>
      <c r="AI90" s="201"/>
      <c r="AJ90" s="201"/>
      <c r="AK90" s="201"/>
      <c r="AL90" s="201"/>
      <c r="AM90" s="201"/>
      <c r="AN90" s="201"/>
      <c r="AO90" s="201"/>
      <c r="AP90" s="157"/>
      <c r="AR90" s="842"/>
      <c r="AS90" s="842"/>
      <c r="AT90" s="842"/>
      <c r="AU90" s="842"/>
      <c r="AV90" s="842"/>
      <c r="AW90" s="842"/>
      <c r="AX90" s="842"/>
      <c r="AY90" s="842"/>
      <c r="AZ90" s="842"/>
      <c r="BA90" s="842"/>
      <c r="BB90" s="842"/>
      <c r="BC90" s="842"/>
      <c r="BD90" s="842"/>
      <c r="BE90" s="842"/>
      <c r="BF90" s="842"/>
      <c r="BG90" s="842"/>
    </row>
    <row r="91" spans="2:59">
      <c r="B91" s="155"/>
      <c r="D91" s="63" t="s">
        <v>311</v>
      </c>
      <c r="F91" s="201"/>
      <c r="G91" s="201"/>
      <c r="H91" s="201"/>
      <c r="I91" s="201"/>
      <c r="S91" s="1271"/>
      <c r="T91" s="1272"/>
      <c r="U91" s="1272"/>
      <c r="V91" s="1273"/>
      <c r="W91" s="199"/>
      <c r="X91" s="224"/>
      <c r="Y91" s="225"/>
      <c r="Z91" s="1294"/>
      <c r="AA91" s="225"/>
      <c r="AB91" s="225"/>
      <c r="AC91" s="225"/>
      <c r="AD91" s="225"/>
      <c r="AE91" s="226"/>
      <c r="AF91" s="224"/>
      <c r="AG91" s="225"/>
      <c r="AH91" s="225"/>
      <c r="AI91" s="225"/>
      <c r="AJ91" s="226"/>
      <c r="AK91" s="224"/>
      <c r="AL91" s="225"/>
      <c r="AM91" s="225"/>
      <c r="AN91" s="225"/>
      <c r="AO91" s="226"/>
      <c r="AP91" s="157"/>
      <c r="AR91" s="842"/>
      <c r="AS91" s="842"/>
      <c r="AT91" s="842"/>
      <c r="AU91" s="842"/>
      <c r="AV91" s="842"/>
      <c r="AW91" s="842"/>
      <c r="AX91" s="842"/>
      <c r="AY91" s="842"/>
      <c r="AZ91" s="842"/>
      <c r="BA91" s="842"/>
      <c r="BB91" s="842"/>
      <c r="BC91" s="842"/>
      <c r="BD91" s="842"/>
      <c r="BE91" s="842"/>
      <c r="BF91" s="842"/>
      <c r="BG91" s="842"/>
    </row>
    <row r="92" spans="2:59">
      <c r="B92" s="155"/>
      <c r="D92" s="63" t="s">
        <v>312</v>
      </c>
      <c r="F92" s="201"/>
      <c r="G92" s="201"/>
      <c r="H92" s="201"/>
      <c r="I92" s="201"/>
      <c r="S92" s="1274"/>
      <c r="T92" s="1275"/>
      <c r="U92" s="1275"/>
      <c r="V92" s="1275"/>
      <c r="W92" s="223"/>
      <c r="X92" s="227"/>
      <c r="Y92" s="228"/>
      <c r="Z92" s="1295"/>
      <c r="AA92" s="228"/>
      <c r="AB92" s="228"/>
      <c r="AC92" s="228"/>
      <c r="AD92" s="228"/>
      <c r="AE92" s="229"/>
      <c r="AF92" s="227"/>
      <c r="AG92" s="228"/>
      <c r="AH92" s="228"/>
      <c r="AI92" s="228"/>
      <c r="AJ92" s="229"/>
      <c r="AK92" s="227"/>
      <c r="AL92" s="228"/>
      <c r="AM92" s="228"/>
      <c r="AN92" s="228"/>
      <c r="AO92" s="229"/>
      <c r="AP92" s="157"/>
      <c r="AR92" s="842"/>
      <c r="AS92" s="842"/>
      <c r="AT92" s="842"/>
      <c r="AU92" s="842"/>
      <c r="AV92" s="842"/>
      <c r="AW92" s="842"/>
      <c r="AX92" s="842"/>
      <c r="AY92" s="842"/>
      <c r="AZ92" s="842"/>
      <c r="BA92" s="842"/>
      <c r="BB92" s="842"/>
      <c r="BC92" s="842"/>
      <c r="BD92" s="842"/>
      <c r="BE92" s="842"/>
      <c r="BF92" s="842"/>
      <c r="BG92" s="842"/>
    </row>
    <row r="93" spans="2:59">
      <c r="B93" s="155"/>
      <c r="D93" s="89" t="s">
        <v>313</v>
      </c>
      <c r="F93" s="201"/>
      <c r="G93" s="201"/>
      <c r="H93" s="201"/>
      <c r="I93" s="201"/>
      <c r="J93" s="216"/>
      <c r="K93" s="216"/>
      <c r="L93" s="216"/>
      <c r="M93" s="216"/>
      <c r="N93" s="216"/>
      <c r="O93" s="216"/>
      <c r="S93" s="217"/>
      <c r="T93" s="217"/>
      <c r="U93" s="217"/>
      <c r="V93" s="217"/>
      <c r="W93" s="217"/>
      <c r="X93" s="217"/>
      <c r="Y93" s="217"/>
      <c r="Z93" s="217" t="e">
        <f t="shared" ref="Z93:AG93" si="44">+Z92/Z91*100*10^6</f>
        <v>#DIV/0!</v>
      </c>
      <c r="AA93" s="217" t="e">
        <f t="shared" si="44"/>
        <v>#DIV/0!</v>
      </c>
      <c r="AB93" s="217" t="e">
        <f t="shared" si="44"/>
        <v>#DIV/0!</v>
      </c>
      <c r="AC93" s="217" t="e">
        <f t="shared" si="44"/>
        <v>#DIV/0!</v>
      </c>
      <c r="AD93" s="217" t="e">
        <f t="shared" si="44"/>
        <v>#DIV/0!</v>
      </c>
      <c r="AE93" s="217" t="e">
        <f t="shared" si="44"/>
        <v>#DIV/0!</v>
      </c>
      <c r="AF93" s="217" t="e">
        <f t="shared" si="44"/>
        <v>#DIV/0!</v>
      </c>
      <c r="AG93" s="217" t="e">
        <f t="shared" si="44"/>
        <v>#DIV/0!</v>
      </c>
      <c r="AH93" s="217" t="e">
        <f t="shared" ref="AH93:AO93" si="45">+AH92/AH91*100*10^6</f>
        <v>#DIV/0!</v>
      </c>
      <c r="AI93" s="217" t="e">
        <f t="shared" si="45"/>
        <v>#DIV/0!</v>
      </c>
      <c r="AJ93" s="217" t="e">
        <f t="shared" si="45"/>
        <v>#DIV/0!</v>
      </c>
      <c r="AK93" s="217" t="e">
        <f t="shared" si="45"/>
        <v>#DIV/0!</v>
      </c>
      <c r="AL93" s="217" t="e">
        <f t="shared" si="45"/>
        <v>#DIV/0!</v>
      </c>
      <c r="AM93" s="217" t="e">
        <f t="shared" si="45"/>
        <v>#DIV/0!</v>
      </c>
      <c r="AN93" s="217" t="e">
        <f t="shared" si="45"/>
        <v>#DIV/0!</v>
      </c>
      <c r="AO93" s="217" t="e">
        <f t="shared" si="45"/>
        <v>#DIV/0!</v>
      </c>
      <c r="AP93" s="157"/>
      <c r="AR93" s="842"/>
      <c r="AS93" s="842"/>
      <c r="AT93" s="842"/>
      <c r="AU93" s="842"/>
      <c r="AV93" s="842"/>
      <c r="AW93" s="842"/>
      <c r="AX93" s="842"/>
      <c r="AY93" s="842"/>
      <c r="AZ93" s="842"/>
      <c r="BA93" s="842"/>
      <c r="BB93" s="842"/>
      <c r="BC93" s="842"/>
      <c r="BD93" s="842"/>
      <c r="BE93" s="842"/>
      <c r="BF93" s="842"/>
      <c r="BG93" s="842"/>
    </row>
    <row r="94" spans="2:59">
      <c r="B94" s="155"/>
      <c r="D94" s="63" t="s">
        <v>314</v>
      </c>
      <c r="F94" s="201"/>
      <c r="G94" s="201"/>
      <c r="H94" s="201"/>
      <c r="I94" s="201"/>
      <c r="J94" s="166"/>
      <c r="K94" s="166"/>
      <c r="L94" s="166"/>
      <c r="M94" s="166"/>
      <c r="N94" s="166"/>
      <c r="O94" s="166"/>
      <c r="S94" s="201"/>
      <c r="T94" s="201"/>
      <c r="U94" s="201"/>
      <c r="V94" s="201"/>
      <c r="W94" s="201"/>
      <c r="X94" s="201"/>
      <c r="Y94" s="201"/>
      <c r="Z94" s="201"/>
      <c r="AA94" s="201" t="e">
        <f t="shared" ref="AA94:AG94" si="46">+AA93/Z93-1</f>
        <v>#DIV/0!</v>
      </c>
      <c r="AB94" s="201" t="e">
        <f t="shared" si="46"/>
        <v>#DIV/0!</v>
      </c>
      <c r="AC94" s="201" t="e">
        <f t="shared" si="46"/>
        <v>#DIV/0!</v>
      </c>
      <c r="AD94" s="201" t="e">
        <f t="shared" si="46"/>
        <v>#DIV/0!</v>
      </c>
      <c r="AE94" s="201" t="e">
        <f t="shared" si="46"/>
        <v>#DIV/0!</v>
      </c>
      <c r="AF94" s="201" t="e">
        <f t="shared" si="46"/>
        <v>#DIV/0!</v>
      </c>
      <c r="AG94" s="201" t="e">
        <f t="shared" si="46"/>
        <v>#DIV/0!</v>
      </c>
      <c r="AH94" s="201" t="e">
        <f t="shared" ref="AH94:AO94" si="47">+AH93/AG93-1</f>
        <v>#DIV/0!</v>
      </c>
      <c r="AI94" s="201" t="e">
        <f t="shared" si="47"/>
        <v>#DIV/0!</v>
      </c>
      <c r="AJ94" s="201" t="e">
        <f t="shared" si="47"/>
        <v>#DIV/0!</v>
      </c>
      <c r="AK94" s="201" t="e">
        <f t="shared" si="47"/>
        <v>#DIV/0!</v>
      </c>
      <c r="AL94" s="201" t="e">
        <f t="shared" si="47"/>
        <v>#DIV/0!</v>
      </c>
      <c r="AM94" s="201" t="e">
        <f t="shared" si="47"/>
        <v>#DIV/0!</v>
      </c>
      <c r="AN94" s="201" t="e">
        <f t="shared" si="47"/>
        <v>#DIV/0!</v>
      </c>
      <c r="AO94" s="201" t="e">
        <f t="shared" si="47"/>
        <v>#DIV/0!</v>
      </c>
      <c r="AP94" s="157"/>
      <c r="AR94" s="842"/>
      <c r="AS94" s="842"/>
      <c r="AT94" s="842"/>
      <c r="AU94" s="842"/>
      <c r="AV94" s="842"/>
      <c r="AW94" s="842"/>
      <c r="AX94" s="842"/>
      <c r="AY94" s="842"/>
      <c r="AZ94" s="842"/>
      <c r="BA94" s="842"/>
      <c r="BB94" s="842"/>
      <c r="BC94" s="842"/>
      <c r="BD94" s="842"/>
      <c r="BE94" s="842"/>
      <c r="BF94" s="842"/>
      <c r="BG94" s="842"/>
    </row>
    <row r="95" spans="2:59">
      <c r="B95" s="155"/>
      <c r="F95" s="201"/>
      <c r="G95" s="201"/>
      <c r="H95" s="201"/>
      <c r="I95" s="201"/>
      <c r="J95" s="201"/>
      <c r="K95" s="201"/>
      <c r="L95" s="201"/>
      <c r="M95" s="201"/>
      <c r="N95" s="201"/>
      <c r="O95" s="201"/>
      <c r="S95" s="201"/>
      <c r="T95" s="201"/>
      <c r="U95" s="201"/>
      <c r="V95" s="201"/>
      <c r="W95" s="201"/>
      <c r="X95" s="201"/>
      <c r="Y95" s="201"/>
      <c r="Z95" s="201"/>
      <c r="AA95" s="201"/>
      <c r="AB95" s="201"/>
      <c r="AC95" s="201"/>
      <c r="AD95" s="201"/>
      <c r="AE95" s="201"/>
      <c r="AF95" s="201"/>
      <c r="AG95" s="201"/>
      <c r="AH95" s="201"/>
      <c r="AI95" s="201"/>
      <c r="AJ95" s="201"/>
      <c r="AK95" s="201"/>
      <c r="AL95" s="201"/>
      <c r="AM95" s="201"/>
      <c r="AN95" s="201"/>
      <c r="AO95" s="201"/>
      <c r="AP95" s="157"/>
      <c r="AR95" s="842"/>
      <c r="AS95" s="842"/>
      <c r="AT95" s="842"/>
      <c r="AU95" s="842"/>
      <c r="AV95" s="842"/>
      <c r="AW95" s="842"/>
      <c r="AX95" s="842"/>
      <c r="AY95" s="842"/>
      <c r="AZ95" s="842"/>
      <c r="BA95" s="842"/>
      <c r="BB95" s="842"/>
      <c r="BC95" s="842"/>
      <c r="BD95" s="842"/>
      <c r="BE95" s="842"/>
      <c r="BF95" s="842"/>
      <c r="BG95" s="842"/>
    </row>
    <row r="96" spans="2:59">
      <c r="B96" s="155"/>
      <c r="D96" s="89" t="s">
        <v>316</v>
      </c>
      <c r="F96" s="201"/>
      <c r="G96" s="201"/>
      <c r="H96" s="201"/>
      <c r="I96" s="201"/>
      <c r="J96" s="201"/>
      <c r="K96" s="201"/>
      <c r="L96" s="201"/>
      <c r="M96" s="201"/>
      <c r="N96" s="201"/>
      <c r="O96" s="201"/>
      <c r="S96" s="201"/>
      <c r="T96" s="201"/>
      <c r="U96" s="201"/>
      <c r="V96" s="201"/>
      <c r="W96" s="201"/>
      <c r="X96" s="201"/>
      <c r="Y96" s="201"/>
      <c r="Z96" s="201"/>
      <c r="AA96" s="201"/>
      <c r="AB96" s="201"/>
      <c r="AC96" s="201"/>
      <c r="AD96" s="201"/>
      <c r="AE96" s="201"/>
      <c r="AF96" s="201"/>
      <c r="AG96" s="201"/>
      <c r="AH96" s="201"/>
      <c r="AI96" s="201"/>
      <c r="AJ96" s="201"/>
      <c r="AK96" s="201"/>
      <c r="AL96" s="201"/>
      <c r="AM96" s="201"/>
      <c r="AN96" s="201"/>
      <c r="AO96" s="201"/>
      <c r="AP96" s="157"/>
      <c r="AR96" s="842"/>
      <c r="AS96" s="842"/>
      <c r="AT96" s="842"/>
      <c r="AU96" s="842"/>
      <c r="AV96" s="842"/>
      <c r="AW96" s="842"/>
      <c r="AX96" s="842"/>
      <c r="AY96" s="842"/>
      <c r="AZ96" s="842"/>
      <c r="BA96" s="842"/>
      <c r="BB96" s="842"/>
      <c r="BC96" s="842"/>
      <c r="BD96" s="842"/>
      <c r="BE96" s="842"/>
      <c r="BF96" s="842"/>
      <c r="BG96" s="842"/>
    </row>
    <row r="97" spans="2:59">
      <c r="B97" s="155"/>
      <c r="D97" s="63" t="s">
        <v>311</v>
      </c>
      <c r="F97" s="201"/>
      <c r="G97" s="201"/>
      <c r="H97" s="201"/>
      <c r="I97" s="201"/>
      <c r="S97" s="1271"/>
      <c r="T97" s="1272"/>
      <c r="U97" s="1272"/>
      <c r="V97" s="1272"/>
      <c r="W97" s="199"/>
      <c r="X97" s="224"/>
      <c r="Y97" s="225"/>
      <c r="Z97" s="1294"/>
      <c r="AA97" s="225"/>
      <c r="AB97" s="225"/>
      <c r="AC97" s="225"/>
      <c r="AD97" s="225"/>
      <c r="AE97" s="226"/>
      <c r="AF97" s="224"/>
      <c r="AG97" s="225"/>
      <c r="AH97" s="225"/>
      <c r="AI97" s="225"/>
      <c r="AJ97" s="226"/>
      <c r="AK97" s="224"/>
      <c r="AL97" s="225"/>
      <c r="AM97" s="225"/>
      <c r="AN97" s="225"/>
      <c r="AO97" s="226"/>
      <c r="AP97" s="157"/>
      <c r="AR97" s="842"/>
      <c r="AS97" s="842"/>
      <c r="AT97" s="842"/>
      <c r="AU97" s="842"/>
      <c r="AV97" s="842"/>
      <c r="AW97" s="842"/>
      <c r="AX97" s="842"/>
      <c r="AY97" s="842"/>
      <c r="AZ97" s="842"/>
      <c r="BA97" s="842"/>
      <c r="BB97" s="842"/>
      <c r="BC97" s="842"/>
      <c r="BD97" s="842"/>
      <c r="BE97" s="842"/>
      <c r="BF97" s="842"/>
      <c r="BG97" s="842"/>
    </row>
    <row r="98" spans="2:59">
      <c r="B98" s="155"/>
      <c r="D98" s="63" t="s">
        <v>312</v>
      </c>
      <c r="F98" s="201"/>
      <c r="G98" s="201"/>
      <c r="H98" s="201"/>
      <c r="I98" s="201"/>
      <c r="S98" s="1274"/>
      <c r="T98" s="1275"/>
      <c r="U98" s="1275"/>
      <c r="V98" s="1275"/>
      <c r="W98" s="223"/>
      <c r="X98" s="227"/>
      <c r="Y98" s="228"/>
      <c r="Z98" s="1295"/>
      <c r="AA98" s="228"/>
      <c r="AB98" s="228"/>
      <c r="AC98" s="228"/>
      <c r="AD98" s="228"/>
      <c r="AE98" s="229"/>
      <c r="AF98" s="227"/>
      <c r="AG98" s="228"/>
      <c r="AH98" s="228"/>
      <c r="AI98" s="228"/>
      <c r="AJ98" s="229"/>
      <c r="AK98" s="227"/>
      <c r="AL98" s="228"/>
      <c r="AM98" s="228"/>
      <c r="AN98" s="228"/>
      <c r="AO98" s="229"/>
      <c r="AP98" s="157"/>
      <c r="AR98" s="842"/>
      <c r="AS98" s="842"/>
      <c r="AT98" s="842"/>
      <c r="AU98" s="842"/>
      <c r="AV98" s="842"/>
      <c r="AW98" s="842"/>
      <c r="AX98" s="842"/>
      <c r="AY98" s="842"/>
      <c r="AZ98" s="842"/>
      <c r="BA98" s="842"/>
      <c r="BB98" s="842"/>
      <c r="BC98" s="842"/>
      <c r="BD98" s="842"/>
      <c r="BE98" s="842"/>
      <c r="BF98" s="842"/>
      <c r="BG98" s="842"/>
    </row>
    <row r="99" spans="2:59">
      <c r="B99" s="155"/>
      <c r="D99" s="89" t="s">
        <v>313</v>
      </c>
      <c r="F99" s="201"/>
      <c r="G99" s="201"/>
      <c r="H99" s="201"/>
      <c r="I99" s="201"/>
      <c r="J99" s="216"/>
      <c r="K99" s="216"/>
      <c r="L99" s="216"/>
      <c r="M99" s="216"/>
      <c r="N99" s="216"/>
      <c r="O99" s="216"/>
      <c r="S99" s="217"/>
      <c r="T99" s="217"/>
      <c r="U99" s="217"/>
      <c r="V99" s="217"/>
      <c r="W99" s="217"/>
      <c r="X99" s="217"/>
      <c r="Y99" s="217"/>
      <c r="Z99" s="217" t="e">
        <f t="shared" ref="Z99:AK99" si="48">+Z98/Z97*100*10^6</f>
        <v>#DIV/0!</v>
      </c>
      <c r="AA99" s="217" t="e">
        <f t="shared" si="48"/>
        <v>#DIV/0!</v>
      </c>
      <c r="AB99" s="217" t="e">
        <f t="shared" si="48"/>
        <v>#DIV/0!</v>
      </c>
      <c r="AC99" s="217" t="e">
        <f t="shared" si="48"/>
        <v>#DIV/0!</v>
      </c>
      <c r="AD99" s="217" t="e">
        <f t="shared" si="48"/>
        <v>#DIV/0!</v>
      </c>
      <c r="AE99" s="217" t="e">
        <f t="shared" si="48"/>
        <v>#DIV/0!</v>
      </c>
      <c r="AF99" s="217" t="e">
        <f t="shared" si="48"/>
        <v>#DIV/0!</v>
      </c>
      <c r="AG99" s="217" t="e">
        <f t="shared" si="48"/>
        <v>#DIV/0!</v>
      </c>
      <c r="AH99" s="217" t="e">
        <f t="shared" si="48"/>
        <v>#DIV/0!</v>
      </c>
      <c r="AI99" s="217" t="e">
        <f t="shared" si="48"/>
        <v>#DIV/0!</v>
      </c>
      <c r="AJ99" s="217" t="e">
        <f t="shared" si="48"/>
        <v>#DIV/0!</v>
      </c>
      <c r="AK99" s="217" t="e">
        <f t="shared" si="48"/>
        <v>#DIV/0!</v>
      </c>
      <c r="AL99" s="217" t="e">
        <f>+AL98/AL97*100*10^6</f>
        <v>#DIV/0!</v>
      </c>
      <c r="AM99" s="217" t="e">
        <f>+AM98/AM97*100*10^6</f>
        <v>#DIV/0!</v>
      </c>
      <c r="AN99" s="217" t="e">
        <f>+AN98/AN97*100*10^6</f>
        <v>#DIV/0!</v>
      </c>
      <c r="AO99" s="217" t="e">
        <f>+AO98/AO97*100*10^6</f>
        <v>#DIV/0!</v>
      </c>
      <c r="AP99" s="157"/>
      <c r="AR99" s="842"/>
      <c r="AS99" s="842"/>
      <c r="AT99" s="842"/>
      <c r="AU99" s="842"/>
      <c r="AV99" s="842"/>
      <c r="AW99" s="842"/>
      <c r="AX99" s="842"/>
      <c r="AY99" s="842"/>
      <c r="AZ99" s="842"/>
      <c r="BA99" s="842"/>
      <c r="BB99" s="842"/>
      <c r="BC99" s="842"/>
      <c r="BD99" s="842"/>
      <c r="BE99" s="842"/>
      <c r="BF99" s="842"/>
      <c r="BG99" s="842"/>
    </row>
    <row r="100" spans="2:59">
      <c r="B100" s="155"/>
      <c r="D100" s="63" t="s">
        <v>314</v>
      </c>
      <c r="F100" s="201"/>
      <c r="G100" s="201"/>
      <c r="H100" s="201"/>
      <c r="I100" s="201"/>
      <c r="J100" s="166"/>
      <c r="K100" s="166"/>
      <c r="L100" s="166"/>
      <c r="M100" s="166"/>
      <c r="N100" s="166"/>
      <c r="O100" s="166"/>
      <c r="S100" s="201"/>
      <c r="T100" s="201"/>
      <c r="U100" s="201"/>
      <c r="V100" s="201"/>
      <c r="W100" s="201"/>
      <c r="X100" s="201"/>
      <c r="Y100" s="201"/>
      <c r="Z100" s="201"/>
      <c r="AA100" s="201" t="e">
        <f t="shared" ref="AA100:AG100" si="49">+AA99/Z99-1</f>
        <v>#DIV/0!</v>
      </c>
      <c r="AB100" s="201" t="e">
        <f t="shared" si="49"/>
        <v>#DIV/0!</v>
      </c>
      <c r="AC100" s="201" t="e">
        <f t="shared" si="49"/>
        <v>#DIV/0!</v>
      </c>
      <c r="AD100" s="201" t="e">
        <f t="shared" si="49"/>
        <v>#DIV/0!</v>
      </c>
      <c r="AE100" s="201" t="e">
        <f t="shared" si="49"/>
        <v>#DIV/0!</v>
      </c>
      <c r="AF100" s="201" t="e">
        <f t="shared" si="49"/>
        <v>#DIV/0!</v>
      </c>
      <c r="AG100" s="201" t="e">
        <f t="shared" si="49"/>
        <v>#DIV/0!</v>
      </c>
      <c r="AH100" s="201" t="e">
        <f t="shared" ref="AH100:AO100" si="50">+AH99/AG99-1</f>
        <v>#DIV/0!</v>
      </c>
      <c r="AI100" s="201" t="e">
        <f t="shared" si="50"/>
        <v>#DIV/0!</v>
      </c>
      <c r="AJ100" s="201" t="e">
        <f t="shared" si="50"/>
        <v>#DIV/0!</v>
      </c>
      <c r="AK100" s="201" t="e">
        <f t="shared" si="50"/>
        <v>#DIV/0!</v>
      </c>
      <c r="AL100" s="201" t="e">
        <f t="shared" si="50"/>
        <v>#DIV/0!</v>
      </c>
      <c r="AM100" s="201" t="e">
        <f t="shared" si="50"/>
        <v>#DIV/0!</v>
      </c>
      <c r="AN100" s="201" t="e">
        <f t="shared" si="50"/>
        <v>#DIV/0!</v>
      </c>
      <c r="AO100" s="201" t="e">
        <f t="shared" si="50"/>
        <v>#DIV/0!</v>
      </c>
      <c r="AP100" s="157"/>
      <c r="AR100" s="842"/>
      <c r="AS100" s="842"/>
      <c r="AT100" s="842"/>
      <c r="AU100" s="842"/>
      <c r="AV100" s="842"/>
      <c r="AW100" s="842"/>
      <c r="AX100" s="842"/>
      <c r="AY100" s="842"/>
      <c r="AZ100" s="842"/>
      <c r="BA100" s="842"/>
      <c r="BB100" s="842"/>
      <c r="BC100" s="842"/>
      <c r="BD100" s="842"/>
      <c r="BE100" s="842"/>
      <c r="BF100" s="842"/>
      <c r="BG100" s="842"/>
    </row>
    <row r="101" spans="2:59">
      <c r="B101" s="155"/>
      <c r="D101" s="89"/>
      <c r="F101" s="201"/>
      <c r="G101" s="201"/>
      <c r="H101" s="201"/>
      <c r="I101" s="201"/>
      <c r="J101" s="216"/>
      <c r="K101" s="216"/>
      <c r="L101" s="216"/>
      <c r="M101" s="216"/>
      <c r="N101" s="216"/>
      <c r="O101" s="216"/>
      <c r="S101" s="216"/>
      <c r="T101" s="216"/>
      <c r="U101" s="216"/>
      <c r="V101" s="216"/>
      <c r="W101" s="216"/>
      <c r="X101" s="216"/>
      <c r="Y101" s="216"/>
      <c r="Z101" s="216"/>
      <c r="AA101" s="216"/>
      <c r="AB101" s="216"/>
      <c r="AC101" s="216"/>
      <c r="AD101" s="216"/>
      <c r="AE101" s="216"/>
      <c r="AF101" s="216"/>
      <c r="AG101" s="216"/>
      <c r="AH101" s="216"/>
      <c r="AI101" s="216"/>
      <c r="AJ101" s="216"/>
      <c r="AK101" s="216"/>
      <c r="AL101" s="216"/>
      <c r="AM101" s="216"/>
      <c r="AN101" s="216"/>
      <c r="AO101" s="216"/>
      <c r="AP101" s="157"/>
      <c r="AR101" s="842"/>
      <c r="AS101" s="842"/>
      <c r="AT101" s="842"/>
      <c r="AU101" s="842"/>
      <c r="AV101" s="842"/>
      <c r="AW101" s="842"/>
      <c r="AX101" s="842"/>
      <c r="AY101" s="842"/>
      <c r="AZ101" s="842"/>
      <c r="BA101" s="842"/>
      <c r="BB101" s="842"/>
      <c r="BC101" s="842"/>
      <c r="BD101" s="842"/>
      <c r="BE101" s="842"/>
      <c r="BF101" s="842"/>
      <c r="BG101" s="842"/>
    </row>
    <row r="102" spans="2:59">
      <c r="B102" s="155"/>
      <c r="D102" s="89"/>
      <c r="F102" s="201"/>
      <c r="G102" s="201"/>
      <c r="H102" s="201"/>
      <c r="I102" s="201"/>
      <c r="J102" s="216"/>
      <c r="K102" s="216"/>
      <c r="L102" s="216"/>
      <c r="M102" s="216"/>
      <c r="N102" s="216"/>
      <c r="O102" s="216"/>
      <c r="S102" s="216"/>
      <c r="T102" s="216"/>
      <c r="U102" s="216"/>
      <c r="V102" s="216"/>
      <c r="W102" s="216"/>
      <c r="X102" s="216"/>
      <c r="Y102" s="216"/>
      <c r="Z102" s="216"/>
      <c r="AA102" s="216"/>
      <c r="AB102" s="216"/>
      <c r="AC102" s="216"/>
      <c r="AD102" s="216"/>
      <c r="AE102" s="216"/>
      <c r="AF102" s="216"/>
      <c r="AG102" s="216"/>
      <c r="AH102" s="216"/>
      <c r="AI102" s="216"/>
      <c r="AJ102" s="216"/>
      <c r="AK102" s="216"/>
      <c r="AL102" s="216"/>
      <c r="AM102" s="216"/>
      <c r="AN102" s="216"/>
      <c r="AO102" s="216"/>
      <c r="AP102" s="157"/>
      <c r="AR102" s="842"/>
      <c r="AS102" s="842"/>
      <c r="AT102" s="842"/>
      <c r="AU102" s="842"/>
      <c r="AV102" s="842"/>
      <c r="AW102" s="842"/>
      <c r="AX102" s="842"/>
      <c r="AY102" s="842"/>
      <c r="AZ102" s="842"/>
      <c r="BA102" s="842"/>
      <c r="BB102" s="842"/>
      <c r="BC102" s="842"/>
      <c r="BD102" s="842"/>
      <c r="BE102" s="842"/>
      <c r="BF102" s="842"/>
      <c r="BG102" s="842"/>
    </row>
    <row r="103" spans="2:59">
      <c r="B103" s="155"/>
      <c r="D103" s="89" t="s">
        <v>318</v>
      </c>
      <c r="F103" s="201"/>
      <c r="G103" s="201"/>
      <c r="H103" s="201"/>
      <c r="I103" s="201"/>
      <c r="S103" s="1271"/>
      <c r="T103" s="1272"/>
      <c r="U103" s="1272"/>
      <c r="V103" s="1272"/>
      <c r="W103" s="334"/>
      <c r="X103" s="333"/>
      <c r="Y103" s="334"/>
      <c r="Z103" s="336"/>
      <c r="AA103" s="334"/>
      <c r="AB103" s="334">
        <v>0.88909567796610167</v>
      </c>
      <c r="AC103" s="334">
        <v>1.1587058823529413</v>
      </c>
      <c r="AD103" s="334">
        <v>3.5014823187772919</v>
      </c>
      <c r="AE103" s="335">
        <v>1.738354</v>
      </c>
      <c r="AF103" s="333">
        <v>2.3615355354171363</v>
      </c>
      <c r="AG103" s="334">
        <v>2.4350658619589201</v>
      </c>
      <c r="AH103" s="199">
        <v>2.5053639404240955</v>
      </c>
      <c r="AI103" s="199">
        <v>8.8424372355128185</v>
      </c>
      <c r="AJ103" s="222">
        <v>9.3372538778947032</v>
      </c>
      <c r="AK103" s="1104">
        <v>9.3372538778947032</v>
      </c>
      <c r="AL103" s="199">
        <v>9.3372538778947014</v>
      </c>
      <c r="AM103" s="199">
        <v>9.3372538778947032</v>
      </c>
      <c r="AN103" s="199">
        <v>9.3372538778947032</v>
      </c>
      <c r="AO103" s="222">
        <v>9.3372538778947014</v>
      </c>
      <c r="AP103" s="157"/>
      <c r="AR103" s="842"/>
      <c r="AS103" s="842"/>
      <c r="AT103" s="842"/>
      <c r="AU103" s="842"/>
      <c r="AV103" s="842"/>
      <c r="AW103" s="842"/>
      <c r="AX103" s="842"/>
      <c r="AY103" s="842"/>
      <c r="AZ103" s="842"/>
      <c r="BA103" s="842"/>
      <c r="BB103" s="842"/>
      <c r="BC103" s="842"/>
      <c r="BD103" s="842"/>
      <c r="BE103" s="842"/>
      <c r="BF103" s="842"/>
      <c r="BG103" s="842"/>
    </row>
    <row r="104" spans="2:59">
      <c r="B104" s="155"/>
      <c r="D104" s="63" t="s">
        <v>314</v>
      </c>
      <c r="F104" s="201"/>
      <c r="G104" s="201"/>
      <c r="H104" s="201"/>
      <c r="I104" s="201"/>
      <c r="J104" s="166"/>
      <c r="K104" s="166"/>
      <c r="L104" s="166"/>
      <c r="M104" s="166"/>
      <c r="N104" s="166"/>
      <c r="O104" s="166"/>
      <c r="S104" s="201"/>
      <c r="T104" s="201"/>
      <c r="U104" s="201"/>
      <c r="V104" s="201"/>
      <c r="W104" s="201"/>
      <c r="X104" s="201"/>
      <c r="Y104" s="201"/>
      <c r="Z104" s="201"/>
      <c r="AA104" s="201" t="e">
        <f t="shared" ref="AA104:AK104" si="51">AA103/Z103-1</f>
        <v>#DIV/0!</v>
      </c>
      <c r="AB104" s="201" t="e">
        <f t="shared" si="51"/>
        <v>#DIV/0!</v>
      </c>
      <c r="AC104" s="201">
        <f t="shared" si="51"/>
        <v>0.30324093465801205</v>
      </c>
      <c r="AD104" s="201">
        <f t="shared" si="51"/>
        <v>2.0218905177791631</v>
      </c>
      <c r="AE104" s="201">
        <f t="shared" si="51"/>
        <v>-0.50353769011547422</v>
      </c>
      <c r="AF104" s="201">
        <f t="shared" si="51"/>
        <v>0.35848943047108728</v>
      </c>
      <c r="AG104" s="201">
        <f t="shared" si="51"/>
        <v>3.1136658940343009E-2</v>
      </c>
      <c r="AH104" s="201">
        <f t="shared" si="51"/>
        <v>2.8869066567515089E-2</v>
      </c>
      <c r="AI104" s="201">
        <f t="shared" si="51"/>
        <v>2.5294022927527307</v>
      </c>
      <c r="AJ104" s="201">
        <f t="shared" si="51"/>
        <v>5.5959305019956718E-2</v>
      </c>
      <c r="AK104" s="201">
        <f t="shared" si="51"/>
        <v>0</v>
      </c>
      <c r="AL104" s="201">
        <f>AL103/AK103-1</f>
        <v>0</v>
      </c>
      <c r="AM104" s="201">
        <f>AM103/AL103-1</f>
        <v>0</v>
      </c>
      <c r="AN104" s="201">
        <f>AN103/AM103-1</f>
        <v>0</v>
      </c>
      <c r="AO104" s="201">
        <f>AO103/AN103-1</f>
        <v>0</v>
      </c>
      <c r="AP104" s="157"/>
      <c r="AR104" s="842"/>
      <c r="AS104" s="842"/>
      <c r="AT104" s="842"/>
      <c r="AU104" s="842"/>
      <c r="AV104" s="842"/>
      <c r="AW104" s="842"/>
      <c r="AX104" s="842"/>
      <c r="AY104" s="842"/>
      <c r="AZ104" s="842"/>
      <c r="BA104" s="842"/>
      <c r="BB104" s="842"/>
      <c r="BC104" s="842"/>
      <c r="BD104" s="842"/>
      <c r="BE104" s="842"/>
      <c r="BF104" s="842"/>
      <c r="BG104" s="842"/>
    </row>
    <row r="105" spans="2:59">
      <c r="B105" s="155"/>
      <c r="F105" s="201"/>
      <c r="G105" s="201"/>
      <c r="H105" s="201"/>
      <c r="I105" s="201"/>
      <c r="J105" s="166"/>
      <c r="K105" s="166"/>
      <c r="L105" s="166"/>
      <c r="M105" s="166"/>
      <c r="N105" s="166"/>
      <c r="O105" s="166"/>
      <c r="S105" s="201"/>
      <c r="T105" s="201"/>
      <c r="U105" s="201"/>
      <c r="V105" s="201"/>
      <c r="W105" s="201"/>
      <c r="X105" s="201"/>
      <c r="Y105" s="201"/>
      <c r="Z105" s="201"/>
      <c r="AA105" s="201"/>
      <c r="AB105" s="201"/>
      <c r="AC105" s="201"/>
      <c r="AD105" s="201"/>
      <c r="AE105" s="201"/>
      <c r="AF105" s="201"/>
      <c r="AG105" s="201"/>
      <c r="AH105" s="201"/>
      <c r="AI105" s="201"/>
      <c r="AJ105" s="201"/>
      <c r="AK105" s="201"/>
      <c r="AL105" s="201"/>
      <c r="AM105" s="201"/>
      <c r="AN105" s="201"/>
      <c r="AO105" s="201"/>
      <c r="AP105" s="157"/>
      <c r="AR105" s="842"/>
      <c r="AS105" s="842"/>
      <c r="AT105" s="842"/>
      <c r="AU105" s="842"/>
      <c r="AV105" s="842"/>
      <c r="AW105" s="842"/>
      <c r="AX105" s="842"/>
      <c r="AY105" s="842"/>
      <c r="AZ105" s="842"/>
      <c r="BA105" s="842"/>
      <c r="BB105" s="842"/>
      <c r="BC105" s="842"/>
      <c r="BD105" s="842"/>
      <c r="BE105" s="842"/>
      <c r="BF105" s="842"/>
      <c r="BG105" s="842"/>
    </row>
    <row r="106" spans="2:59">
      <c r="B106" s="155"/>
      <c r="F106" s="201"/>
      <c r="G106" s="201"/>
      <c r="H106" s="201"/>
      <c r="I106" s="201"/>
      <c r="J106" s="166"/>
      <c r="K106" s="166"/>
      <c r="L106" s="166"/>
      <c r="M106" s="166"/>
      <c r="N106" s="166"/>
      <c r="O106" s="166"/>
      <c r="S106" s="201"/>
      <c r="T106" s="201"/>
      <c r="U106" s="201"/>
      <c r="V106" s="201"/>
      <c r="W106" s="201"/>
      <c r="X106" s="201"/>
      <c r="Y106" s="201"/>
      <c r="Z106" s="201"/>
      <c r="AA106" s="201"/>
      <c r="AB106" s="201"/>
      <c r="AC106" s="201"/>
      <c r="AD106" s="201"/>
      <c r="AE106" s="201"/>
      <c r="AF106" s="201"/>
      <c r="AG106" s="201"/>
      <c r="AH106" s="201"/>
      <c r="AI106" s="201"/>
      <c r="AJ106" s="201"/>
      <c r="AK106" s="201"/>
      <c r="AL106" s="201"/>
      <c r="AM106" s="201"/>
      <c r="AN106" s="201"/>
      <c r="AO106" s="201"/>
      <c r="AP106" s="157"/>
      <c r="AR106" s="842"/>
      <c r="AS106" s="842"/>
      <c r="AT106" s="842"/>
      <c r="AU106" s="842"/>
      <c r="AV106" s="842"/>
      <c r="AW106" s="842"/>
      <c r="AX106" s="842"/>
      <c r="AY106" s="842"/>
      <c r="AZ106" s="842"/>
      <c r="BA106" s="842"/>
      <c r="BB106" s="842"/>
      <c r="BC106" s="842"/>
      <c r="BD106" s="842"/>
      <c r="BE106" s="842"/>
      <c r="BF106" s="842"/>
      <c r="BG106" s="842"/>
    </row>
    <row r="107" spans="2:59" ht="12.75" thickBot="1">
      <c r="B107" s="155"/>
      <c r="D107" s="89" t="s">
        <v>319</v>
      </c>
      <c r="F107" s="201"/>
      <c r="G107" s="201"/>
      <c r="H107" s="201"/>
      <c r="I107" s="201"/>
      <c r="S107" s="219">
        <f>+SUM(S65,S71,S77,S86,S92,S98,S103)</f>
        <v>0</v>
      </c>
      <c r="T107" s="219">
        <f t="shared" ref="T107:AK107" si="52">+SUM(T65,T71,T77,T86,T92,T98,T103)</f>
        <v>0</v>
      </c>
      <c r="U107" s="219">
        <f t="shared" si="52"/>
        <v>0</v>
      </c>
      <c r="V107" s="219">
        <f t="shared" si="52"/>
        <v>0</v>
      </c>
      <c r="W107" s="691"/>
      <c r="X107" s="691"/>
      <c r="Y107" s="691"/>
      <c r="Z107" s="691">
        <f t="shared" si="52"/>
        <v>50.514429650631236</v>
      </c>
      <c r="AA107" s="691">
        <f t="shared" si="52"/>
        <v>49.040980735866995</v>
      </c>
      <c r="AB107" s="691">
        <f t="shared" si="52"/>
        <v>38.778700934177536</v>
      </c>
      <c r="AC107" s="691">
        <f t="shared" si="52"/>
        <v>33.994934153873494</v>
      </c>
      <c r="AD107" s="691">
        <f t="shared" si="52"/>
        <v>38.993971901496657</v>
      </c>
      <c r="AE107" s="691">
        <f t="shared" si="52"/>
        <v>45.830166065799574</v>
      </c>
      <c r="AF107" s="691">
        <f t="shared" si="52"/>
        <v>48.874417781954506</v>
      </c>
      <c r="AG107" s="691">
        <f t="shared" si="52"/>
        <v>48.066030342066121</v>
      </c>
      <c r="AH107" s="219">
        <f t="shared" si="52"/>
        <v>50.125024126410921</v>
      </c>
      <c r="AI107" s="219">
        <f t="shared" si="52"/>
        <v>58.141448274097129</v>
      </c>
      <c r="AJ107" s="219">
        <f t="shared" si="52"/>
        <v>49.357555371089816</v>
      </c>
      <c r="AK107" s="219">
        <f t="shared" si="52"/>
        <v>50.35806290841969</v>
      </c>
      <c r="AL107" s="219">
        <f>+SUM(AL65,AL71,AL77,AL86,AL92,AL98,AL103)</f>
        <v>51.383583134182807</v>
      </c>
      <c r="AM107" s="219">
        <f>+SUM(AM65,AM71,AM77,AM86,AM92,AM98,AM103)</f>
        <v>52.434741365590007</v>
      </c>
      <c r="AN107" s="219">
        <f>+SUM(AN65,AN71,AN77,AN86,AN92,AN98,AN103)</f>
        <v>53.512178552782387</v>
      </c>
      <c r="AO107" s="219">
        <f>+SUM(AO65,AO71,AO77,AO86,AO92,AO98,AO103)</f>
        <v>54.616551669654577</v>
      </c>
      <c r="AP107" s="157"/>
      <c r="AR107" s="842"/>
      <c r="AS107" s="842"/>
      <c r="AT107" s="842"/>
      <c r="AU107" s="842"/>
      <c r="AV107" s="842"/>
      <c r="AW107" s="842"/>
      <c r="AX107" s="842"/>
      <c r="AY107" s="842"/>
      <c r="AZ107" s="842"/>
      <c r="BA107" s="842"/>
      <c r="BB107" s="842"/>
      <c r="BC107" s="842"/>
      <c r="BD107" s="842"/>
      <c r="BE107" s="842"/>
      <c r="BF107" s="842"/>
      <c r="BG107" s="842"/>
    </row>
    <row r="108" spans="2:59">
      <c r="B108" s="155"/>
      <c r="D108" s="63" t="s">
        <v>314</v>
      </c>
      <c r="H108" s="166"/>
      <c r="I108" s="166"/>
      <c r="J108" s="166"/>
      <c r="K108" s="166"/>
      <c r="L108" s="166"/>
      <c r="M108" s="166"/>
      <c r="N108" s="166"/>
      <c r="O108" s="166"/>
      <c r="S108" s="201"/>
      <c r="T108" s="201"/>
      <c r="U108" s="201"/>
      <c r="V108" s="201"/>
      <c r="W108" s="201"/>
      <c r="X108" s="201"/>
      <c r="Y108" s="201"/>
      <c r="Z108" s="201"/>
      <c r="AA108" s="201">
        <f t="shared" ref="AA108:AK108" si="53">AA107/Z107-1</f>
        <v>-2.9168871646278793E-2</v>
      </c>
      <c r="AB108" s="201">
        <f t="shared" si="53"/>
        <v>-0.20925926944572615</v>
      </c>
      <c r="AC108" s="201">
        <f t="shared" si="53"/>
        <v>-0.12336067648124538</v>
      </c>
      <c r="AD108" s="201">
        <f t="shared" si="53"/>
        <v>0.14705243213579089</v>
      </c>
      <c r="AE108" s="201">
        <f t="shared" si="53"/>
        <v>0.17531412756751075</v>
      </c>
      <c r="AF108" s="201">
        <f t="shared" si="53"/>
        <v>6.6424627652106327E-2</v>
      </c>
      <c r="AG108" s="201">
        <f t="shared" si="53"/>
        <v>-1.6540093500343689E-2</v>
      </c>
      <c r="AH108" s="201">
        <f t="shared" si="53"/>
        <v>4.2836776194992376E-2</v>
      </c>
      <c r="AI108" s="201">
        <f t="shared" si="53"/>
        <v>0.15992858432286217</v>
      </c>
      <c r="AJ108" s="201">
        <f t="shared" si="53"/>
        <v>-0.15107798590769994</v>
      </c>
      <c r="AK108" s="201">
        <f t="shared" si="53"/>
        <v>2.0270605580192447E-2</v>
      </c>
      <c r="AL108" s="201">
        <f>AL107/AK107-1</f>
        <v>2.0364568582157627E-2</v>
      </c>
      <c r="AM108" s="201">
        <f>AM107/AL107-1</f>
        <v>2.0457083124433062E-2</v>
      </c>
      <c r="AN108" s="201">
        <f>AN107/AM107-1</f>
        <v>2.0548154889907355E-2</v>
      </c>
      <c r="AO108" s="201">
        <f>AO107/AN107-1</f>
        <v>2.0637790251482269E-2</v>
      </c>
      <c r="AP108" s="157"/>
      <c r="AR108" s="842"/>
      <c r="AS108" s="842"/>
      <c r="AT108" s="842"/>
      <c r="AU108" s="842"/>
      <c r="AV108" s="842"/>
      <c r="AW108" s="842"/>
      <c r="AX108" s="842"/>
      <c r="AY108" s="842"/>
      <c r="AZ108" s="842"/>
      <c r="BA108" s="842"/>
      <c r="BB108" s="842"/>
      <c r="BC108" s="842"/>
      <c r="BD108" s="842"/>
      <c r="BE108" s="842"/>
      <c r="BF108" s="842"/>
      <c r="BG108" s="842"/>
    </row>
    <row r="109" spans="2:59" ht="12.75" thickBot="1">
      <c r="B109" s="167"/>
      <c r="C109" s="168"/>
      <c r="D109" s="168"/>
      <c r="E109" s="168"/>
      <c r="F109" s="168"/>
      <c r="G109" s="168"/>
      <c r="H109" s="168"/>
      <c r="I109" s="169"/>
      <c r="J109" s="169"/>
      <c r="K109" s="169"/>
      <c r="L109" s="169"/>
      <c r="M109" s="169"/>
      <c r="N109" s="169"/>
      <c r="O109" s="169"/>
      <c r="P109" s="168"/>
      <c r="Q109" s="168"/>
      <c r="R109" s="168"/>
      <c r="S109" s="169"/>
      <c r="T109" s="169"/>
      <c r="U109" s="169"/>
      <c r="V109" s="169"/>
      <c r="W109" s="169"/>
      <c r="X109" s="169"/>
      <c r="Y109" s="169"/>
      <c r="Z109" s="169"/>
      <c r="AA109" s="169"/>
      <c r="AB109" s="169"/>
      <c r="AC109" s="169"/>
      <c r="AD109" s="169"/>
      <c r="AE109" s="169"/>
      <c r="AF109" s="169"/>
      <c r="AG109" s="169"/>
      <c r="AH109" s="169"/>
      <c r="AI109" s="169"/>
      <c r="AJ109" s="169"/>
      <c r="AK109" s="169"/>
      <c r="AL109" s="169"/>
      <c r="AM109" s="169"/>
      <c r="AN109" s="169"/>
      <c r="AO109" s="169"/>
      <c r="AP109" s="170"/>
      <c r="AR109" s="842"/>
      <c r="AS109" s="842"/>
      <c r="AT109" s="842"/>
      <c r="AU109" s="842"/>
      <c r="AV109" s="842"/>
      <c r="AW109" s="842"/>
      <c r="AX109" s="842"/>
      <c r="AY109" s="842"/>
      <c r="AZ109" s="842"/>
      <c r="BA109" s="842"/>
      <c r="BB109" s="842"/>
      <c r="BC109" s="842"/>
      <c r="BD109" s="842"/>
      <c r="BE109" s="842"/>
      <c r="BF109" s="842"/>
      <c r="BG109" s="842"/>
    </row>
    <row r="110" spans="2:59">
      <c r="I110" s="166"/>
      <c r="J110" s="166"/>
      <c r="K110" s="166"/>
      <c r="L110" s="166"/>
      <c r="M110" s="166"/>
      <c r="N110" s="166"/>
      <c r="O110" s="166"/>
      <c r="S110" s="166"/>
      <c r="T110" s="166"/>
      <c r="U110" s="166"/>
      <c r="V110" s="166"/>
      <c r="W110" s="166"/>
      <c r="X110" s="166"/>
      <c r="Y110" s="166"/>
      <c r="Z110" s="166"/>
      <c r="AA110" s="166"/>
      <c r="AB110" s="166"/>
      <c r="AG110" s="166"/>
      <c r="AR110" s="842"/>
      <c r="AS110" s="842"/>
      <c r="AT110" s="842"/>
      <c r="AU110" s="842"/>
      <c r="AV110" s="842"/>
      <c r="AW110" s="842"/>
      <c r="AX110" s="842"/>
      <c r="AY110" s="842"/>
      <c r="AZ110" s="842"/>
      <c r="BA110" s="842"/>
      <c r="BB110" s="842"/>
      <c r="BC110" s="842"/>
      <c r="BD110" s="842"/>
      <c r="BE110" s="842"/>
      <c r="BF110" s="842"/>
      <c r="BG110" s="842"/>
    </row>
    <row r="111" spans="2:59" ht="12.75" thickBot="1">
      <c r="AR111" s="842"/>
      <c r="AS111" s="842"/>
      <c r="AT111" s="842"/>
      <c r="AU111" s="842"/>
      <c r="AV111" s="842"/>
      <c r="AW111" s="842"/>
      <c r="AX111" s="842"/>
      <c r="AY111" s="842"/>
      <c r="AZ111" s="842"/>
      <c r="BA111" s="842"/>
      <c r="BB111" s="842"/>
      <c r="BC111" s="842"/>
      <c r="BD111" s="842"/>
      <c r="BE111" s="842"/>
      <c r="BF111" s="842"/>
      <c r="BG111" s="842"/>
    </row>
    <row r="112" spans="2:59">
      <c r="B112" s="152"/>
      <c r="C112" s="153"/>
      <c r="D112" s="153"/>
      <c r="E112" s="153"/>
      <c r="F112" s="153"/>
      <c r="G112" s="153"/>
      <c r="H112" s="153"/>
      <c r="I112" s="153"/>
      <c r="J112" s="153"/>
      <c r="K112" s="153"/>
      <c r="L112" s="153"/>
      <c r="M112" s="153"/>
      <c r="N112" s="153"/>
      <c r="O112" s="153"/>
      <c r="P112" s="220"/>
      <c r="Q112" s="220"/>
      <c r="R112" s="220"/>
      <c r="S112" s="220"/>
      <c r="T112" s="220"/>
      <c r="U112" s="220"/>
      <c r="V112" s="220"/>
      <c r="W112" s="153"/>
      <c r="X112" s="153"/>
      <c r="Y112" s="153"/>
      <c r="Z112" s="153"/>
      <c r="AA112" s="153"/>
      <c r="AB112" s="153"/>
      <c r="AC112" s="153"/>
      <c r="AD112" s="153"/>
      <c r="AE112" s="153"/>
      <c r="AF112" s="153"/>
      <c r="AG112" s="153"/>
      <c r="AH112" s="153"/>
      <c r="AI112" s="153"/>
      <c r="AJ112" s="153"/>
      <c r="AK112" s="153"/>
      <c r="AL112" s="153"/>
      <c r="AM112" s="153"/>
      <c r="AN112" s="153"/>
      <c r="AO112" s="153"/>
      <c r="AP112" s="154"/>
      <c r="AR112" s="842"/>
      <c r="AS112" s="842"/>
      <c r="AT112" s="842"/>
      <c r="AU112" s="842"/>
      <c r="AV112" s="842"/>
      <c r="AW112" s="842"/>
      <c r="AX112" s="842"/>
      <c r="AY112" s="842"/>
      <c r="AZ112" s="842"/>
      <c r="BA112" s="842"/>
      <c r="BB112" s="842"/>
      <c r="BC112" s="842"/>
      <c r="BD112" s="842"/>
      <c r="BE112" s="842"/>
      <c r="BF112" s="842"/>
      <c r="BG112" s="842"/>
    </row>
    <row r="113" spans="2:59">
      <c r="B113" s="155"/>
      <c r="C113" s="156" t="s">
        <v>320</v>
      </c>
      <c r="P113" s="67"/>
      <c r="Q113" s="67"/>
      <c r="R113" s="67"/>
      <c r="S113" s="67"/>
      <c r="T113" s="67"/>
      <c r="U113" s="67"/>
      <c r="V113" s="67"/>
      <c r="AP113" s="157"/>
      <c r="AR113" s="842"/>
      <c r="AS113" s="842"/>
      <c r="AT113" s="842"/>
      <c r="AU113" s="842"/>
      <c r="AV113" s="842"/>
      <c r="AW113" s="842"/>
      <c r="AX113" s="842"/>
      <c r="AY113" s="842"/>
      <c r="AZ113" s="842"/>
      <c r="BA113" s="842"/>
      <c r="BB113" s="842"/>
      <c r="BC113" s="842"/>
      <c r="BD113" s="842"/>
      <c r="BE113" s="842"/>
      <c r="BF113" s="842"/>
      <c r="BG113" s="842"/>
    </row>
    <row r="114" spans="2:59">
      <c r="B114" s="155"/>
      <c r="P114" s="67"/>
      <c r="Q114" s="67"/>
      <c r="R114" s="67"/>
      <c r="S114" s="67"/>
      <c r="T114" s="67"/>
      <c r="U114" s="67"/>
      <c r="V114" s="67"/>
      <c r="AP114" s="157"/>
      <c r="AR114" s="842"/>
      <c r="AS114" s="842"/>
      <c r="AT114" s="842"/>
      <c r="AU114" s="842"/>
      <c r="AV114" s="842"/>
      <c r="AW114" s="842"/>
      <c r="AX114" s="842"/>
      <c r="AY114" s="842"/>
      <c r="AZ114" s="842"/>
      <c r="BA114" s="842"/>
      <c r="BB114" s="842"/>
      <c r="BC114" s="842"/>
      <c r="BD114" s="842"/>
      <c r="BE114" s="842"/>
      <c r="BF114" s="842"/>
      <c r="BG114" s="842"/>
    </row>
    <row r="115" spans="2:59">
      <c r="B115" s="155"/>
      <c r="D115" s="63" t="s">
        <v>321</v>
      </c>
      <c r="F115" s="201"/>
      <c r="G115" s="201"/>
      <c r="H115" s="201"/>
      <c r="I115" s="201"/>
      <c r="P115" s="67"/>
      <c r="Q115" s="67"/>
      <c r="R115" s="67"/>
      <c r="S115" s="1271"/>
      <c r="T115" s="1272"/>
      <c r="U115" s="1272"/>
      <c r="V115" s="1272"/>
      <c r="W115" s="334"/>
      <c r="X115" s="333"/>
      <c r="Y115" s="334"/>
      <c r="Z115" s="336">
        <v>10.787747693472168</v>
      </c>
      <c r="AA115" s="333">
        <v>13.636139562673135</v>
      </c>
      <c r="AB115" s="334">
        <v>14.903722062198073</v>
      </c>
      <c r="AC115" s="334">
        <v>16.098693673190809</v>
      </c>
      <c r="AD115" s="334">
        <v>16.055608897393846</v>
      </c>
      <c r="AE115" s="335">
        <v>16.772560306756741</v>
      </c>
      <c r="AF115" s="333">
        <v>17.48951171611964</v>
      </c>
      <c r="AG115" s="334">
        <v>19.049214471506822</v>
      </c>
      <c r="AH115" s="199">
        <v>19.296615598223411</v>
      </c>
      <c r="AI115" s="199">
        <v>17.952380400207606</v>
      </c>
      <c r="AJ115" s="222">
        <v>17.616237564994851</v>
      </c>
      <c r="AK115" s="1104">
        <v>17.616237564994851</v>
      </c>
      <c r="AL115" s="199">
        <v>17.616237564994851</v>
      </c>
      <c r="AM115" s="199">
        <v>17.616237564994851</v>
      </c>
      <c r="AN115" s="199">
        <v>17.616237564994851</v>
      </c>
      <c r="AO115" s="222">
        <v>17.616237564994851</v>
      </c>
      <c r="AP115" s="157"/>
      <c r="AR115" s="842"/>
      <c r="AS115" s="842"/>
      <c r="AT115" s="842"/>
      <c r="AU115" s="842"/>
      <c r="AV115" s="842"/>
      <c r="AW115" s="842"/>
      <c r="AX115" s="842"/>
      <c r="AY115" s="842"/>
      <c r="AZ115" s="842"/>
      <c r="BA115" s="842"/>
      <c r="BB115" s="842"/>
      <c r="BC115" s="842"/>
      <c r="BD115" s="842"/>
      <c r="BE115" s="842"/>
      <c r="BF115" s="842"/>
      <c r="BG115" s="842"/>
    </row>
    <row r="116" spans="2:59">
      <c r="B116" s="155"/>
      <c r="D116" s="63" t="s">
        <v>322</v>
      </c>
      <c r="F116" s="201"/>
      <c r="G116" s="201"/>
      <c r="H116" s="201"/>
      <c r="I116" s="201"/>
      <c r="P116" s="67"/>
      <c r="Q116" s="67"/>
      <c r="R116" s="67"/>
      <c r="S116" s="1274"/>
      <c r="T116" s="1275"/>
      <c r="U116" s="1275"/>
      <c r="V116" s="1275"/>
      <c r="W116" s="331"/>
      <c r="X116" s="330"/>
      <c r="Y116" s="331"/>
      <c r="Z116" s="336">
        <v>14.516753715863452</v>
      </c>
      <c r="AA116" s="333">
        <v>18.349750595877573</v>
      </c>
      <c r="AB116" s="334">
        <v>20.055498958093811</v>
      </c>
      <c r="AC116" s="334">
        <v>21.663536990418866</v>
      </c>
      <c r="AD116" s="334">
        <v>21.605559079095805</v>
      </c>
      <c r="AE116" s="335">
        <v>22.570339432854013</v>
      </c>
      <c r="AF116" s="333">
        <v>23.535119786612221</v>
      </c>
      <c r="AG116" s="334">
        <v>25.633965756435025</v>
      </c>
      <c r="AH116" s="199">
        <v>25.966886151648303</v>
      </c>
      <c r="AI116" s="199">
        <v>24.157988515156614</v>
      </c>
      <c r="AJ116" s="222">
        <v>23.705651021660323</v>
      </c>
      <c r="AK116" s="1104">
        <v>23.705651021660323</v>
      </c>
      <c r="AL116" s="199">
        <v>23.705651021660323</v>
      </c>
      <c r="AM116" s="199">
        <v>23.705651021660323</v>
      </c>
      <c r="AN116" s="199">
        <v>23.705651021660323</v>
      </c>
      <c r="AO116" s="222">
        <v>23.705651021660323</v>
      </c>
      <c r="AP116" s="157"/>
      <c r="AR116" s="842"/>
      <c r="AS116" s="842"/>
      <c r="AT116" s="842"/>
      <c r="AU116" s="842"/>
      <c r="AV116" s="842"/>
      <c r="AW116" s="842"/>
      <c r="AX116" s="842"/>
      <c r="AY116" s="842"/>
      <c r="AZ116" s="842"/>
      <c r="BA116" s="842"/>
      <c r="BB116" s="842"/>
      <c r="BC116" s="842"/>
      <c r="BD116" s="842"/>
      <c r="BE116" s="842"/>
      <c r="BF116" s="842"/>
      <c r="BG116" s="842"/>
    </row>
    <row r="117" spans="2:59">
      <c r="B117" s="155"/>
      <c r="D117" s="63" t="s">
        <v>323</v>
      </c>
      <c r="F117" s="201"/>
      <c r="G117" s="201"/>
      <c r="H117" s="201"/>
      <c r="I117" s="201"/>
      <c r="P117" s="67"/>
      <c r="Q117" s="67"/>
      <c r="R117" s="67"/>
      <c r="S117" s="1271"/>
      <c r="T117" s="1272"/>
      <c r="U117" s="1272"/>
      <c r="V117" s="1272"/>
      <c r="W117" s="334"/>
      <c r="X117" s="333"/>
      <c r="Y117" s="334"/>
      <c r="Z117" s="336">
        <v>6.7882477538118735</v>
      </c>
      <c r="AA117" s="333">
        <v>8.5806135244518131</v>
      </c>
      <c r="AB117" s="334">
        <v>9.3782465707250608</v>
      </c>
      <c r="AC117" s="334">
        <v>10.130188828245508</v>
      </c>
      <c r="AD117" s="334">
        <v>10.103077503357529</v>
      </c>
      <c r="AE117" s="335">
        <v>10.554223000312835</v>
      </c>
      <c r="AF117" s="333">
        <v>11.00536849726814</v>
      </c>
      <c r="AG117" s="334">
        <v>11.98681977205815</v>
      </c>
      <c r="AH117" s="199">
        <v>12.142498250128289</v>
      </c>
      <c r="AI117" s="199">
        <v>11.296631084635779</v>
      </c>
      <c r="AJ117" s="222">
        <v>11.085111413344828</v>
      </c>
      <c r="AK117" s="1104">
        <v>11.085111413344828</v>
      </c>
      <c r="AL117" s="199">
        <v>11.085111413344828</v>
      </c>
      <c r="AM117" s="199">
        <v>11.085111413344828</v>
      </c>
      <c r="AN117" s="199">
        <v>11.085111413344828</v>
      </c>
      <c r="AO117" s="222">
        <v>11.085111413344828</v>
      </c>
      <c r="AP117" s="157"/>
      <c r="AR117" s="842"/>
      <c r="AS117" s="842"/>
      <c r="AT117" s="842"/>
      <c r="AU117" s="842"/>
      <c r="AV117" s="842"/>
      <c r="AW117" s="842"/>
      <c r="AX117" s="842"/>
      <c r="AY117" s="842"/>
      <c r="AZ117" s="842"/>
      <c r="BA117" s="842"/>
      <c r="BB117" s="842"/>
      <c r="BC117" s="842"/>
      <c r="BD117" s="842"/>
      <c r="BE117" s="842"/>
      <c r="BF117" s="842"/>
      <c r="BG117" s="842"/>
    </row>
    <row r="118" spans="2:59">
      <c r="B118" s="155"/>
      <c r="D118" s="63" t="s">
        <v>324</v>
      </c>
      <c r="F118" s="201"/>
      <c r="G118" s="201"/>
      <c r="H118" s="201"/>
      <c r="I118" s="201"/>
      <c r="J118" s="212"/>
      <c r="K118" s="212"/>
      <c r="L118" s="212"/>
      <c r="M118" s="212"/>
      <c r="N118" s="212"/>
      <c r="O118" s="212"/>
      <c r="P118" s="67"/>
      <c r="Q118" s="67"/>
      <c r="R118" s="67"/>
      <c r="S118" s="211"/>
      <c r="T118" s="211"/>
      <c r="U118" s="211"/>
      <c r="V118" s="211"/>
      <c r="W118" s="296"/>
      <c r="X118" s="296"/>
      <c r="Y118" s="296"/>
      <c r="Z118" s="296">
        <f t="shared" ref="Z118:AG118" si="54">SUM(Z115:Z117)</f>
        <v>32.092749163147495</v>
      </c>
      <c r="AA118" s="296">
        <f t="shared" si="54"/>
        <v>40.566503683002523</v>
      </c>
      <c r="AB118" s="296">
        <f t="shared" si="54"/>
        <v>44.337467591016946</v>
      </c>
      <c r="AC118" s="296">
        <f t="shared" si="54"/>
        <v>47.892419491855179</v>
      </c>
      <c r="AD118" s="296">
        <f t="shared" si="54"/>
        <v>47.764245479847176</v>
      </c>
      <c r="AE118" s="296">
        <f t="shared" si="54"/>
        <v>49.897122739923589</v>
      </c>
      <c r="AF118" s="296">
        <f t="shared" si="54"/>
        <v>52.03</v>
      </c>
      <c r="AG118" s="296">
        <f t="shared" si="54"/>
        <v>56.669999999999995</v>
      </c>
      <c r="AH118" s="212">
        <f t="shared" ref="AH118:AO118" si="55">SUM(AH115:AH117)</f>
        <v>57.406000000000006</v>
      </c>
      <c r="AI118" s="212">
        <f t="shared" si="55"/>
        <v>53.406999999999996</v>
      </c>
      <c r="AJ118" s="212">
        <f t="shared" si="55"/>
        <v>52.407000000000004</v>
      </c>
      <c r="AK118" s="212">
        <f t="shared" si="55"/>
        <v>52.407000000000004</v>
      </c>
      <c r="AL118" s="212">
        <f t="shared" si="55"/>
        <v>52.407000000000004</v>
      </c>
      <c r="AM118" s="212">
        <f t="shared" si="55"/>
        <v>52.407000000000004</v>
      </c>
      <c r="AN118" s="212">
        <f t="shared" si="55"/>
        <v>52.407000000000004</v>
      </c>
      <c r="AO118" s="212">
        <f t="shared" si="55"/>
        <v>52.407000000000004</v>
      </c>
      <c r="AP118" s="157"/>
      <c r="AR118" s="842"/>
      <c r="AS118" s="842"/>
      <c r="AT118" s="842"/>
      <c r="AU118" s="842"/>
      <c r="AV118" s="842"/>
      <c r="AW118" s="842"/>
      <c r="AX118" s="842"/>
      <c r="AY118" s="842"/>
      <c r="AZ118" s="842"/>
      <c r="BA118" s="842"/>
      <c r="BB118" s="842"/>
      <c r="BC118" s="842"/>
      <c r="BD118" s="842"/>
      <c r="BE118" s="842"/>
      <c r="BF118" s="842"/>
      <c r="BG118" s="842"/>
    </row>
    <row r="119" spans="2:59">
      <c r="B119" s="155"/>
      <c r="D119" s="63" t="s">
        <v>314</v>
      </c>
      <c r="H119" s="166"/>
      <c r="I119" s="166"/>
      <c r="J119" s="166"/>
      <c r="K119" s="166"/>
      <c r="L119" s="166"/>
      <c r="M119" s="166"/>
      <c r="N119" s="166"/>
      <c r="O119" s="166"/>
      <c r="P119" s="67"/>
      <c r="Q119" s="67"/>
      <c r="R119" s="67"/>
      <c r="S119" s="206"/>
      <c r="T119" s="206"/>
      <c r="U119" s="206"/>
      <c r="V119" s="206"/>
      <c r="W119" s="201"/>
      <c r="X119" s="201"/>
      <c r="Y119" s="201"/>
      <c r="Z119" s="201"/>
      <c r="AA119" s="201">
        <f t="shared" ref="AA119:AK119" si="56">AA118/Z118-1</f>
        <v>0.26403953356496945</v>
      </c>
      <c r="AB119" s="201">
        <f t="shared" si="56"/>
        <v>9.2957577450641038E-2</v>
      </c>
      <c r="AC119" s="201">
        <f t="shared" si="56"/>
        <v>8.0179407936200819E-2</v>
      </c>
      <c r="AD119" s="201">
        <f t="shared" si="56"/>
        <v>-2.6762901805326145E-3</v>
      </c>
      <c r="AE119" s="201">
        <f t="shared" si="56"/>
        <v>4.4654264683743783E-2</v>
      </c>
      <c r="AF119" s="201">
        <f t="shared" si="56"/>
        <v>4.2745495991692861E-2</v>
      </c>
      <c r="AG119" s="201">
        <f t="shared" si="56"/>
        <v>8.9179319623294173E-2</v>
      </c>
      <c r="AH119" s="201">
        <f t="shared" si="56"/>
        <v>1.2987471325216271E-2</v>
      </c>
      <c r="AI119" s="201">
        <f t="shared" si="56"/>
        <v>-6.966170783541803E-2</v>
      </c>
      <c r="AJ119" s="201">
        <f t="shared" si="56"/>
        <v>-1.8724137285374476E-2</v>
      </c>
      <c r="AK119" s="201">
        <f t="shared" si="56"/>
        <v>0</v>
      </c>
      <c r="AL119" s="201">
        <f>AL118/AK118-1</f>
        <v>0</v>
      </c>
      <c r="AM119" s="201">
        <f>AM118/AL118-1</f>
        <v>0</v>
      </c>
      <c r="AN119" s="201">
        <f>AN118/AM118-1</f>
        <v>0</v>
      </c>
      <c r="AO119" s="201">
        <f>AO118/AN118-1</f>
        <v>0</v>
      </c>
      <c r="AP119" s="157"/>
      <c r="AR119" s="842"/>
      <c r="AS119" s="842"/>
      <c r="AT119" s="842"/>
      <c r="AU119" s="842"/>
      <c r="AV119" s="842"/>
      <c r="AW119" s="842"/>
      <c r="AX119" s="842"/>
      <c r="AY119" s="842"/>
      <c r="AZ119" s="842"/>
      <c r="BA119" s="842"/>
      <c r="BB119" s="842"/>
      <c r="BC119" s="842"/>
      <c r="BD119" s="842"/>
      <c r="BE119" s="842"/>
      <c r="BF119" s="842"/>
      <c r="BG119" s="842"/>
    </row>
    <row r="120" spans="2:59" ht="12.75" thickBot="1">
      <c r="B120" s="167"/>
      <c r="C120" s="168"/>
      <c r="D120" s="168"/>
      <c r="E120" s="168"/>
      <c r="F120" s="168"/>
      <c r="G120" s="168"/>
      <c r="H120" s="168"/>
      <c r="I120" s="169"/>
      <c r="J120" s="169"/>
      <c r="K120" s="169"/>
      <c r="L120" s="169"/>
      <c r="M120" s="169"/>
      <c r="N120" s="169"/>
      <c r="O120" s="169"/>
      <c r="P120" s="181"/>
      <c r="Q120" s="181"/>
      <c r="R120" s="181"/>
      <c r="S120" s="221"/>
      <c r="T120" s="221"/>
      <c r="U120" s="221"/>
      <c r="V120" s="221"/>
      <c r="W120" s="169"/>
      <c r="X120" s="169"/>
      <c r="Y120" s="169"/>
      <c r="Z120" s="169"/>
      <c r="AA120" s="169"/>
      <c r="AB120" s="169"/>
      <c r="AC120" s="169"/>
      <c r="AD120" s="169"/>
      <c r="AE120" s="169"/>
      <c r="AF120" s="169"/>
      <c r="AG120" s="169"/>
      <c r="AH120" s="169"/>
      <c r="AI120" s="169"/>
      <c r="AJ120" s="169"/>
      <c r="AK120" s="169"/>
      <c r="AL120" s="169"/>
      <c r="AM120" s="169"/>
      <c r="AN120" s="169"/>
      <c r="AO120" s="169"/>
      <c r="AP120" s="170"/>
      <c r="AR120" s="842"/>
      <c r="AS120" s="842"/>
      <c r="AT120" s="842"/>
      <c r="AU120" s="842"/>
      <c r="AV120" s="842"/>
      <c r="AW120" s="842"/>
      <c r="AX120" s="842"/>
      <c r="AY120" s="842"/>
      <c r="AZ120" s="842"/>
      <c r="BA120" s="842"/>
      <c r="BB120" s="842"/>
      <c r="BC120" s="842"/>
      <c r="BD120" s="842"/>
      <c r="BE120" s="842"/>
      <c r="BF120" s="842"/>
      <c r="BG120" s="842"/>
    </row>
    <row r="121" spans="2:59">
      <c r="I121" s="166"/>
      <c r="J121" s="166"/>
      <c r="K121" s="166"/>
      <c r="L121" s="166"/>
      <c r="M121" s="166"/>
      <c r="N121" s="166"/>
      <c r="O121" s="166"/>
      <c r="P121" s="67"/>
      <c r="Q121" s="67"/>
      <c r="R121" s="67"/>
      <c r="S121" s="211"/>
      <c r="T121" s="211"/>
      <c r="U121" s="211"/>
      <c r="V121" s="211"/>
      <c r="W121" s="166"/>
      <c r="X121" s="166"/>
      <c r="Y121" s="166"/>
      <c r="Z121" s="166"/>
      <c r="AA121" s="166"/>
      <c r="AB121" s="166"/>
      <c r="AG121" s="166"/>
      <c r="AR121" s="842"/>
      <c r="AS121" s="842"/>
      <c r="AT121" s="842"/>
      <c r="AU121" s="842"/>
      <c r="AV121" s="842"/>
      <c r="AW121" s="842"/>
      <c r="AX121" s="842"/>
      <c r="AY121" s="842"/>
      <c r="AZ121" s="842"/>
      <c r="BA121" s="842"/>
      <c r="BB121" s="842"/>
      <c r="BC121" s="842"/>
      <c r="BD121" s="842"/>
      <c r="BE121" s="842"/>
      <c r="BF121" s="842"/>
      <c r="BG121" s="842"/>
    </row>
    <row r="122" spans="2:59" ht="12.75" thickBot="1">
      <c r="P122" s="67"/>
      <c r="Q122" s="67"/>
      <c r="R122" s="67"/>
      <c r="S122" s="67"/>
      <c r="T122" s="67"/>
      <c r="U122" s="67"/>
      <c r="V122" s="67"/>
      <c r="AR122" s="842"/>
      <c r="AS122" s="842"/>
      <c r="AT122" s="842"/>
      <c r="AU122" s="842"/>
      <c r="AV122" s="842"/>
      <c r="AW122" s="842"/>
      <c r="AX122" s="842"/>
      <c r="AY122" s="842"/>
      <c r="AZ122" s="842"/>
      <c r="BA122" s="842"/>
      <c r="BB122" s="842"/>
      <c r="BC122" s="842"/>
      <c r="BD122" s="842"/>
      <c r="BE122" s="842"/>
      <c r="BF122" s="842"/>
      <c r="BG122" s="842"/>
    </row>
    <row r="123" spans="2:59">
      <c r="B123" s="152"/>
      <c r="C123" s="153"/>
      <c r="D123" s="153"/>
      <c r="E123" s="153"/>
      <c r="F123" s="153"/>
      <c r="G123" s="153"/>
      <c r="H123" s="153"/>
      <c r="I123" s="153"/>
      <c r="J123" s="153"/>
      <c r="K123" s="153"/>
      <c r="L123" s="153"/>
      <c r="M123" s="153"/>
      <c r="N123" s="153"/>
      <c r="O123" s="153"/>
      <c r="P123" s="220"/>
      <c r="Q123" s="220"/>
      <c r="R123" s="220"/>
      <c r="S123" s="220"/>
      <c r="T123" s="220"/>
      <c r="U123" s="220"/>
      <c r="V123" s="220"/>
      <c r="W123" s="153"/>
      <c r="X123" s="153"/>
      <c r="Y123" s="153"/>
      <c r="Z123" s="153"/>
      <c r="AA123" s="153"/>
      <c r="AB123" s="153"/>
      <c r="AC123" s="153"/>
      <c r="AD123" s="153"/>
      <c r="AE123" s="153"/>
      <c r="AF123" s="153"/>
      <c r="AG123" s="153"/>
      <c r="AH123" s="153"/>
      <c r="AI123" s="153"/>
      <c r="AJ123" s="153"/>
      <c r="AK123" s="153"/>
      <c r="AL123" s="153"/>
      <c r="AM123" s="153"/>
      <c r="AN123" s="153"/>
      <c r="AO123" s="153"/>
      <c r="AP123" s="154"/>
      <c r="AR123" s="842"/>
      <c r="AS123" s="842"/>
      <c r="AT123" s="842"/>
      <c r="AU123" s="842"/>
      <c r="AV123" s="842"/>
      <c r="AW123" s="842"/>
      <c r="AX123" s="842"/>
      <c r="AY123" s="842"/>
      <c r="AZ123" s="842"/>
      <c r="BA123" s="842"/>
      <c r="BB123" s="842"/>
      <c r="BC123" s="842"/>
      <c r="BD123" s="842"/>
      <c r="BE123" s="842"/>
      <c r="BF123" s="842"/>
      <c r="BG123" s="842"/>
    </row>
    <row r="124" spans="2:59">
      <c r="B124" s="155"/>
      <c r="C124" s="156" t="s">
        <v>325</v>
      </c>
      <c r="P124" s="67"/>
      <c r="Q124" s="67"/>
      <c r="R124" s="67"/>
      <c r="S124" s="67"/>
      <c r="T124" s="67"/>
      <c r="U124" s="67"/>
      <c r="V124" s="67"/>
      <c r="AP124" s="157"/>
      <c r="AR124" s="842"/>
      <c r="AS124" s="842"/>
      <c r="AT124" s="842"/>
      <c r="AU124" s="842"/>
      <c r="AV124" s="842"/>
      <c r="AW124" s="842"/>
      <c r="AX124" s="842"/>
      <c r="AY124" s="842"/>
      <c r="AZ124" s="842"/>
      <c r="BA124" s="842"/>
      <c r="BB124" s="842"/>
      <c r="BC124" s="842"/>
      <c r="BD124" s="842"/>
      <c r="BE124" s="842"/>
      <c r="BF124" s="842"/>
      <c r="BG124" s="842"/>
    </row>
    <row r="125" spans="2:59">
      <c r="B125" s="155"/>
      <c r="P125" s="67"/>
      <c r="Q125" s="67"/>
      <c r="R125" s="67"/>
      <c r="S125" s="67"/>
      <c r="T125" s="67"/>
      <c r="U125" s="67"/>
      <c r="V125" s="67"/>
      <c r="AP125" s="157"/>
      <c r="AR125" s="842"/>
      <c r="AS125" s="842"/>
      <c r="AT125" s="842"/>
      <c r="AU125" s="842"/>
      <c r="AV125" s="842"/>
      <c r="AW125" s="842"/>
      <c r="AX125" s="842"/>
      <c r="AY125" s="842"/>
      <c r="AZ125" s="842"/>
      <c r="BA125" s="842"/>
      <c r="BB125" s="842"/>
      <c r="BC125" s="842"/>
      <c r="BD125" s="842"/>
      <c r="BE125" s="842"/>
      <c r="BF125" s="842"/>
      <c r="BG125" s="842"/>
    </row>
    <row r="126" spans="2:59">
      <c r="B126" s="155"/>
      <c r="D126" s="63" t="s">
        <v>326</v>
      </c>
      <c r="F126" s="201"/>
      <c r="G126" s="201"/>
      <c r="H126" s="201"/>
      <c r="I126" s="201"/>
      <c r="P126" s="67"/>
      <c r="Q126" s="67"/>
      <c r="R126" s="67"/>
      <c r="S126" s="1271"/>
      <c r="T126" s="1272"/>
      <c r="U126" s="1272"/>
      <c r="V126" s="1272"/>
      <c r="W126" s="334"/>
      <c r="X126" s="333"/>
      <c r="Y126" s="334"/>
      <c r="Z126" s="336">
        <v>7.3117032626500844</v>
      </c>
      <c r="AA126" s="333">
        <v>7.2670567964122137</v>
      </c>
      <c r="AB126" s="334">
        <v>8.5350478966101679</v>
      </c>
      <c r="AC126" s="334">
        <v>9.6818336509049772</v>
      </c>
      <c r="AD126" s="334">
        <v>12.954541223864625</v>
      </c>
      <c r="AE126" s="335">
        <v>14.87530175</v>
      </c>
      <c r="AF126" s="333">
        <v>14.963395482926831</v>
      </c>
      <c r="AG126" s="334">
        <v>15.042417056513981</v>
      </c>
      <c r="AH126" s="199">
        <v>15.929953852091531</v>
      </c>
      <c r="AI126" s="199">
        <v>15.991022237478687</v>
      </c>
      <c r="AJ126" s="222">
        <v>16.055818777900381</v>
      </c>
      <c r="AK126" s="1104">
        <v>16.055818777900381</v>
      </c>
      <c r="AL126" s="199">
        <v>16.055818777900381</v>
      </c>
      <c r="AM126" s="199">
        <v>16.055818777900381</v>
      </c>
      <c r="AN126" s="199">
        <v>16.055818777900381</v>
      </c>
      <c r="AO126" s="222">
        <v>16.055818777900381</v>
      </c>
      <c r="AP126" s="157"/>
      <c r="AR126" s="842"/>
      <c r="AS126" s="842"/>
      <c r="AT126" s="842"/>
      <c r="AU126" s="842"/>
      <c r="AV126" s="842"/>
      <c r="AW126" s="842"/>
      <c r="AX126" s="842"/>
      <c r="AY126" s="842"/>
      <c r="AZ126" s="842"/>
      <c r="BA126" s="842"/>
      <c r="BB126" s="842"/>
      <c r="BC126" s="842"/>
      <c r="BD126" s="842"/>
      <c r="BE126" s="842"/>
      <c r="BF126" s="842"/>
      <c r="BG126" s="842"/>
    </row>
    <row r="127" spans="2:59">
      <c r="B127" s="155"/>
      <c r="D127" s="63" t="s">
        <v>327</v>
      </c>
      <c r="F127" s="201"/>
      <c r="G127" s="201"/>
      <c r="H127" s="201"/>
      <c r="I127" s="201"/>
      <c r="P127" s="67"/>
      <c r="Q127" s="67"/>
      <c r="R127" s="67"/>
      <c r="S127" s="1274"/>
      <c r="T127" s="1275"/>
      <c r="U127" s="1275"/>
      <c r="V127" s="1275"/>
      <c r="W127" s="331"/>
      <c r="X127" s="330"/>
      <c r="Y127" s="331"/>
      <c r="Z127" s="336">
        <v>4.0519026010548886</v>
      </c>
      <c r="AA127" s="333">
        <v>3.1456618826972007</v>
      </c>
      <c r="AB127" s="334">
        <v>3.8622251635593217</v>
      </c>
      <c r="AC127" s="334">
        <v>6.113083962398191</v>
      </c>
      <c r="AD127" s="334">
        <v>3.7681329343886456</v>
      </c>
      <c r="AE127" s="335">
        <v>3.8341603099999997</v>
      </c>
      <c r="AF127" s="333">
        <v>3.8341603512195124</v>
      </c>
      <c r="AG127" s="334">
        <v>4.0511740059488401</v>
      </c>
      <c r="AH127" s="199">
        <v>6.0683956088855373</v>
      </c>
      <c r="AI127" s="199">
        <v>3.9811625025612583</v>
      </c>
      <c r="AJ127" s="222">
        <v>5.0177666958025009</v>
      </c>
      <c r="AK127" s="1104">
        <v>5.0177666958025009</v>
      </c>
      <c r="AL127" s="199">
        <v>5.0177666958025009</v>
      </c>
      <c r="AM127" s="199">
        <v>5.0177666958025009</v>
      </c>
      <c r="AN127" s="199">
        <v>5.0177666958025009</v>
      </c>
      <c r="AO127" s="222">
        <v>5.0177666958025009</v>
      </c>
      <c r="AP127" s="157"/>
      <c r="AR127" s="842"/>
      <c r="AS127" s="842"/>
      <c r="AT127" s="842"/>
      <c r="AU127" s="842"/>
      <c r="AV127" s="842"/>
      <c r="AW127" s="842"/>
      <c r="AX127" s="842"/>
      <c r="AY127" s="842"/>
      <c r="AZ127" s="842"/>
      <c r="BA127" s="842"/>
      <c r="BB127" s="842"/>
      <c r="BC127" s="842"/>
      <c r="BD127" s="842"/>
      <c r="BE127" s="842"/>
      <c r="BF127" s="842"/>
      <c r="BG127" s="842"/>
    </row>
    <row r="128" spans="2:59">
      <c r="B128" s="155"/>
      <c r="D128" s="63" t="s">
        <v>328</v>
      </c>
      <c r="F128" s="201"/>
      <c r="G128" s="201"/>
      <c r="H128" s="201"/>
      <c r="I128" s="201"/>
      <c r="P128" s="67"/>
      <c r="Q128" s="67"/>
      <c r="R128" s="67"/>
      <c r="S128" s="1271"/>
      <c r="T128" s="1272"/>
      <c r="U128" s="1272"/>
      <c r="V128" s="1272"/>
      <c r="W128" s="334"/>
      <c r="X128" s="333"/>
      <c r="Y128" s="334"/>
      <c r="Z128" s="336">
        <v>0.2632727719039451</v>
      </c>
      <c r="AA128" s="333">
        <v>0.2609441413486005</v>
      </c>
      <c r="AB128" s="334">
        <v>0.28293952372881354</v>
      </c>
      <c r="AC128" s="334">
        <v>0.31394046147058824</v>
      </c>
      <c r="AD128" s="334">
        <v>0.34821091371179036</v>
      </c>
      <c r="AE128" s="335">
        <v>1.43412031</v>
      </c>
      <c r="AF128" s="333">
        <v>1.4341203317073175</v>
      </c>
      <c r="AG128" s="334">
        <v>1.4341202807852471</v>
      </c>
      <c r="AH128" s="199">
        <v>1.4341202756779505</v>
      </c>
      <c r="AI128" s="199">
        <v>1.434120287455309</v>
      </c>
      <c r="AJ128" s="222">
        <v>1.4341202949680707</v>
      </c>
      <c r="AK128" s="1104">
        <v>1.4341202949680707</v>
      </c>
      <c r="AL128" s="199">
        <v>1.4341202949680707</v>
      </c>
      <c r="AM128" s="199">
        <v>1.4341202949680707</v>
      </c>
      <c r="AN128" s="199">
        <v>1.4341202949680707</v>
      </c>
      <c r="AO128" s="222">
        <v>1.4341202949680707</v>
      </c>
      <c r="AP128" s="157"/>
      <c r="AR128" s="842"/>
      <c r="AS128" s="842"/>
      <c r="AT128" s="842"/>
      <c r="AU128" s="842"/>
      <c r="AV128" s="842"/>
      <c r="AW128" s="842"/>
      <c r="AX128" s="842"/>
      <c r="AY128" s="842"/>
      <c r="AZ128" s="842"/>
      <c r="BA128" s="842"/>
      <c r="BB128" s="842"/>
      <c r="BC128" s="842"/>
      <c r="BD128" s="842"/>
      <c r="BE128" s="842"/>
      <c r="BF128" s="842"/>
      <c r="BG128" s="842"/>
    </row>
    <row r="129" spans="2:59">
      <c r="B129" s="155"/>
      <c r="D129" s="63" t="s">
        <v>329</v>
      </c>
      <c r="F129" s="201"/>
      <c r="G129" s="201"/>
      <c r="H129" s="201"/>
      <c r="I129" s="201"/>
      <c r="J129" s="212"/>
      <c r="K129" s="212"/>
      <c r="L129" s="212"/>
      <c r="M129" s="212"/>
      <c r="N129" s="212"/>
      <c r="O129" s="212"/>
      <c r="P129" s="67"/>
      <c r="Q129" s="67"/>
      <c r="R129" s="67"/>
      <c r="S129" s="211"/>
      <c r="T129" s="211"/>
      <c r="U129" s="211"/>
      <c r="V129" s="211"/>
      <c r="W129" s="296"/>
      <c r="X129" s="296"/>
      <c r="Y129" s="296"/>
      <c r="Z129" s="296">
        <f t="shared" ref="Z129:AG129" si="57">SUM(Z126:Z128)</f>
        <v>11.626878635608918</v>
      </c>
      <c r="AA129" s="296">
        <f t="shared" si="57"/>
        <v>10.673662820458015</v>
      </c>
      <c r="AB129" s="296">
        <f t="shared" si="57"/>
        <v>12.680212583898303</v>
      </c>
      <c r="AC129" s="296">
        <f t="shared" si="57"/>
        <v>16.108858074773757</v>
      </c>
      <c r="AD129" s="296">
        <f t="shared" si="57"/>
        <v>17.070885071965058</v>
      </c>
      <c r="AE129" s="296">
        <f t="shared" si="57"/>
        <v>20.143582370000001</v>
      </c>
      <c r="AF129" s="296">
        <f t="shared" si="57"/>
        <v>20.23167616585366</v>
      </c>
      <c r="AG129" s="296">
        <f t="shared" si="57"/>
        <v>20.527711343248068</v>
      </c>
      <c r="AH129" s="212">
        <f t="shared" ref="AH129:AO129" si="58">SUM(AH126:AH128)</f>
        <v>23.432469736655019</v>
      </c>
      <c r="AI129" s="212">
        <f t="shared" si="58"/>
        <v>21.406305027495254</v>
      </c>
      <c r="AJ129" s="212">
        <f t="shared" si="58"/>
        <v>22.507705768670952</v>
      </c>
      <c r="AK129" s="212">
        <f t="shared" si="58"/>
        <v>22.507705768670952</v>
      </c>
      <c r="AL129" s="212">
        <f t="shared" si="58"/>
        <v>22.507705768670952</v>
      </c>
      <c r="AM129" s="212">
        <f t="shared" si="58"/>
        <v>22.507705768670952</v>
      </c>
      <c r="AN129" s="212">
        <f t="shared" si="58"/>
        <v>22.507705768670952</v>
      </c>
      <c r="AO129" s="212">
        <f t="shared" si="58"/>
        <v>22.507705768670952</v>
      </c>
      <c r="AP129" s="157"/>
      <c r="AR129" s="842"/>
      <c r="AS129" s="842"/>
      <c r="AT129" s="842"/>
      <c r="AU129" s="842"/>
      <c r="AV129" s="842"/>
      <c r="AW129" s="842"/>
      <c r="AX129" s="842"/>
      <c r="AY129" s="842"/>
      <c r="AZ129" s="842"/>
      <c r="BA129" s="842"/>
      <c r="BB129" s="842"/>
      <c r="BC129" s="842"/>
      <c r="BD129" s="842"/>
      <c r="BE129" s="842"/>
      <c r="BF129" s="842"/>
      <c r="BG129" s="842"/>
    </row>
    <row r="130" spans="2:59">
      <c r="B130" s="155"/>
      <c r="D130" s="63" t="s">
        <v>314</v>
      </c>
      <c r="H130" s="166"/>
      <c r="I130" s="166"/>
      <c r="J130" s="166"/>
      <c r="K130" s="166"/>
      <c r="L130" s="166"/>
      <c r="M130" s="166"/>
      <c r="N130" s="166"/>
      <c r="O130" s="166"/>
      <c r="P130" s="67"/>
      <c r="Q130" s="67"/>
      <c r="R130" s="67"/>
      <c r="S130" s="206"/>
      <c r="T130" s="206"/>
      <c r="U130" s="206"/>
      <c r="V130" s="206"/>
      <c r="W130" s="201"/>
      <c r="X130" s="201"/>
      <c r="Y130" s="201"/>
      <c r="Z130" s="201"/>
      <c r="AA130" s="201">
        <f t="shared" ref="AA130:AK130" si="59">AA129/Z129-1</f>
        <v>-8.1983810532910262E-2</v>
      </c>
      <c r="AB130" s="201">
        <f t="shared" si="59"/>
        <v>0.18799073918602449</v>
      </c>
      <c r="AC130" s="201">
        <f t="shared" si="59"/>
        <v>0.2703933761512205</v>
      </c>
      <c r="AD130" s="201">
        <f t="shared" si="59"/>
        <v>5.9720372029214319E-2</v>
      </c>
      <c r="AE130" s="201">
        <f t="shared" si="59"/>
        <v>0.17999636721127765</v>
      </c>
      <c r="AF130" s="201">
        <f t="shared" si="59"/>
        <v>4.3732934011211366E-3</v>
      </c>
      <c r="AG130" s="201">
        <f t="shared" si="59"/>
        <v>1.4632261556956294E-2</v>
      </c>
      <c r="AH130" s="201">
        <f t="shared" si="59"/>
        <v>0.14150424978390874</v>
      </c>
      <c r="AI130" s="201">
        <f t="shared" si="59"/>
        <v>-8.646825246893497E-2</v>
      </c>
      <c r="AJ130" s="201">
        <f t="shared" si="59"/>
        <v>5.1452165133637484E-2</v>
      </c>
      <c r="AK130" s="201">
        <f t="shared" si="59"/>
        <v>0</v>
      </c>
      <c r="AL130" s="201">
        <f>AL129/AK129-1</f>
        <v>0</v>
      </c>
      <c r="AM130" s="201">
        <f>AM129/AL129-1</f>
        <v>0</v>
      </c>
      <c r="AN130" s="201">
        <f>AN129/AM129-1</f>
        <v>0</v>
      </c>
      <c r="AO130" s="201">
        <f>AO129/AN129-1</f>
        <v>0</v>
      </c>
      <c r="AP130" s="157"/>
      <c r="AR130" s="842"/>
      <c r="AS130" s="842"/>
      <c r="AT130" s="842"/>
      <c r="AU130" s="842"/>
      <c r="AV130" s="842"/>
      <c r="AW130" s="842"/>
      <c r="AX130" s="842"/>
      <c r="AY130" s="842"/>
      <c r="AZ130" s="842"/>
      <c r="BA130" s="842"/>
      <c r="BB130" s="842"/>
      <c r="BC130" s="842"/>
      <c r="BD130" s="842"/>
      <c r="BE130" s="842"/>
      <c r="BF130" s="842"/>
      <c r="BG130" s="842"/>
    </row>
    <row r="131" spans="2:59" ht="12.75" thickBot="1">
      <c r="B131" s="167"/>
      <c r="C131" s="168"/>
      <c r="D131" s="168"/>
      <c r="E131" s="168"/>
      <c r="F131" s="168"/>
      <c r="G131" s="168"/>
      <c r="H131" s="168"/>
      <c r="I131" s="169"/>
      <c r="J131" s="169"/>
      <c r="K131" s="169"/>
      <c r="L131" s="169"/>
      <c r="M131" s="169"/>
      <c r="N131" s="169"/>
      <c r="O131" s="169"/>
      <c r="P131" s="181"/>
      <c r="Q131" s="181"/>
      <c r="R131" s="181"/>
      <c r="S131" s="221"/>
      <c r="T131" s="221"/>
      <c r="U131" s="221"/>
      <c r="V131" s="221"/>
      <c r="W131" s="169"/>
      <c r="X131" s="169"/>
      <c r="Y131" s="169"/>
      <c r="Z131" s="169"/>
      <c r="AA131" s="169"/>
      <c r="AB131" s="169"/>
      <c r="AC131" s="169"/>
      <c r="AD131" s="169"/>
      <c r="AE131" s="169"/>
      <c r="AF131" s="169"/>
      <c r="AG131" s="169"/>
      <c r="AH131" s="169"/>
      <c r="AI131" s="169"/>
      <c r="AJ131" s="169"/>
      <c r="AK131" s="169"/>
      <c r="AL131" s="169"/>
      <c r="AM131" s="169"/>
      <c r="AN131" s="169"/>
      <c r="AO131" s="169"/>
      <c r="AP131" s="170"/>
      <c r="AR131" s="842"/>
      <c r="AS131" s="842"/>
      <c r="AT131" s="842"/>
      <c r="AU131" s="842"/>
      <c r="AV131" s="842"/>
      <c r="AW131" s="842"/>
      <c r="AX131" s="842"/>
      <c r="AY131" s="842"/>
      <c r="AZ131" s="842"/>
      <c r="BA131" s="842"/>
      <c r="BB131" s="842"/>
      <c r="BC131" s="842"/>
      <c r="BD131" s="842"/>
      <c r="BE131" s="842"/>
      <c r="BF131" s="842"/>
      <c r="BG131" s="842"/>
    </row>
    <row r="132" spans="2:59">
      <c r="P132" s="67"/>
      <c r="Q132" s="67"/>
      <c r="R132" s="67"/>
      <c r="S132" s="67"/>
      <c r="T132" s="67"/>
      <c r="U132" s="67"/>
      <c r="V132" s="67"/>
    </row>
    <row r="133" spans="2:59">
      <c r="P133" s="67"/>
      <c r="Q133" s="67"/>
      <c r="R133" s="67"/>
      <c r="S133" s="67"/>
      <c r="T133" s="67"/>
      <c r="U133" s="67"/>
      <c r="V133" s="67"/>
    </row>
    <row r="134" spans="2:59">
      <c r="P134" s="67"/>
      <c r="Q134" s="67"/>
      <c r="R134" s="67"/>
      <c r="S134" s="67"/>
      <c r="T134" s="67"/>
      <c r="U134" s="67"/>
      <c r="V134" s="67"/>
    </row>
    <row r="135" spans="2:59">
      <c r="P135" s="67"/>
      <c r="Q135" s="67"/>
      <c r="R135" s="67"/>
      <c r="S135" s="67"/>
      <c r="T135" s="67"/>
      <c r="U135" s="67"/>
      <c r="V135" s="67"/>
    </row>
    <row r="136" spans="2:59">
      <c r="P136" s="67"/>
      <c r="Q136" s="67"/>
      <c r="R136" s="67"/>
      <c r="S136" s="67"/>
      <c r="T136" s="67"/>
      <c r="U136" s="67"/>
      <c r="V136" s="67"/>
    </row>
    <row r="137" spans="2:59">
      <c r="P137" s="67"/>
      <c r="Q137" s="67"/>
      <c r="R137" s="67"/>
      <c r="S137" s="67"/>
      <c r="T137" s="67"/>
      <c r="U137" s="67"/>
      <c r="V137" s="67"/>
    </row>
    <row r="138" spans="2:59">
      <c r="P138" s="67"/>
      <c r="Q138" s="67"/>
      <c r="R138" s="67"/>
      <c r="S138" s="67"/>
      <c r="T138" s="67"/>
      <c r="U138" s="67"/>
      <c r="V138" s="67"/>
    </row>
  </sheetData>
  <mergeCells count="1">
    <mergeCell ref="B3:F3"/>
  </mergeCells>
  <hyperlinks>
    <hyperlink ref="B3" location="HL_Home" tooltip="Go to Table of Contents" display="HL_Home" xr:uid="{00000000-0004-0000-0300-000000000000}"/>
  </hyperlinks>
  <pageMargins left="0.7" right="0.7" top="0.75" bottom="0.75" header="0.3" footer="0.3"/>
  <pageSetup paperSize="9" orientation="portrait" r:id="rId1"/>
  <headerFooter>
    <oddHeader>&amp;C&amp;"Calibri"&amp;14&amp;KFF0000 OFFICIAL&amp;1#_x000D_&amp;"Arial"&amp;8&amp;K000000&amp;"Arial"&amp;8&amp;K000000&amp;B&amp;"Arial"&amp;12&amp;Kff0000​‌OFFICIAL‌​</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autoPageBreaks="0"/>
  </sheetPr>
  <dimension ref="A1:BC190"/>
  <sheetViews>
    <sheetView showGridLines="0" topLeftCell="F1" zoomScaleNormal="100" workbookViewId="0">
      <pane ySplit="6" topLeftCell="A84" activePane="bottomLeft" state="frozen"/>
      <selection activeCell="L16" sqref="L16"/>
      <selection pane="bottomLeft" activeCell="AA86" sqref="AA86"/>
    </sheetView>
  </sheetViews>
  <sheetFormatPr defaultColWidth="9.33203125" defaultRowHeight="12" outlineLevelRow="1" outlineLevelCol="1"/>
  <cols>
    <col min="1" max="2" width="4" style="63" customWidth="1"/>
    <col min="3" max="3" width="10.33203125" style="63" customWidth="1"/>
    <col min="4" max="4" width="9.33203125" style="63"/>
    <col min="5" max="5" width="53.1640625" style="63" bestFit="1" customWidth="1"/>
    <col min="6" max="8" width="14.6640625" style="63" customWidth="1"/>
    <col min="9" max="9" width="10" style="63" customWidth="1"/>
    <col min="10" max="10" width="14.5" style="63" hidden="1" customWidth="1" outlineLevel="1"/>
    <col min="11" max="18" width="9.33203125" style="63" hidden="1" customWidth="1" outlineLevel="1"/>
    <col min="19" max="20" width="11" style="63" hidden="1" customWidth="1" outlineLevel="1"/>
    <col min="21" max="21" width="11" style="63" customWidth="1" collapsed="1"/>
    <col min="22" max="36" width="11" style="63" customWidth="1"/>
    <col min="37" max="37" width="5.6640625" style="63" customWidth="1"/>
    <col min="38" max="16384" width="9.33203125" style="63"/>
  </cols>
  <sheetData>
    <row r="1" spans="1:40" ht="15">
      <c r="B1" s="140" t="s">
        <v>330</v>
      </c>
      <c r="G1" s="57"/>
    </row>
    <row r="2" spans="1:40" ht="12.75">
      <c r="B2" s="142" t="str">
        <f>Model_Name</f>
        <v>Melbourne Water</v>
      </c>
      <c r="G2" s="57"/>
    </row>
    <row r="3" spans="1:40">
      <c r="B3" s="2075" t="s">
        <v>138</v>
      </c>
      <c r="C3" s="2075"/>
      <c r="D3" s="2075"/>
      <c r="E3" s="2075"/>
      <c r="F3" s="2075"/>
      <c r="H3" s="64"/>
      <c r="I3" s="64"/>
      <c r="J3" s="64"/>
    </row>
    <row r="4" spans="1:40">
      <c r="B4" s="65"/>
      <c r="C4" s="66"/>
      <c r="K4" s="1208"/>
      <c r="L4" s="1209"/>
      <c r="M4" s="1210"/>
      <c r="N4" s="1208"/>
      <c r="O4" s="1211"/>
      <c r="P4" s="1209"/>
      <c r="Q4" s="1211"/>
      <c r="R4" s="1210"/>
      <c r="S4" s="1208"/>
      <c r="T4" s="1209"/>
      <c r="U4" s="1211"/>
      <c r="V4" s="1208"/>
      <c r="W4" s="1211"/>
      <c r="X4" s="1209" t="s">
        <v>139</v>
      </c>
      <c r="Y4" s="1211"/>
      <c r="Z4" s="1210"/>
      <c r="AA4" s="1287"/>
      <c r="AB4" s="721"/>
      <c r="AC4" s="1209" t="s">
        <v>140</v>
      </c>
      <c r="AD4" s="721"/>
      <c r="AE4" s="1207"/>
      <c r="AF4" s="1287"/>
      <c r="AG4" s="721"/>
      <c r="AH4" s="1209" t="s">
        <v>141</v>
      </c>
      <c r="AI4" s="721"/>
      <c r="AJ4" s="1207"/>
    </row>
    <row r="5" spans="1:40">
      <c r="B5" s="67"/>
      <c r="K5" s="58"/>
      <c r="L5" s="59"/>
      <c r="M5" s="59"/>
      <c r="N5" s="59"/>
      <c r="O5" s="59"/>
      <c r="P5" s="59"/>
      <c r="Q5" s="59"/>
      <c r="R5" s="59"/>
      <c r="S5" s="60"/>
      <c r="T5" s="60"/>
      <c r="U5" s="60">
        <v>2021</v>
      </c>
      <c r="V5" s="60">
        <v>2022</v>
      </c>
      <c r="W5" s="60">
        <v>2023</v>
      </c>
      <c r="X5" s="60">
        <v>2024</v>
      </c>
      <c r="Y5" s="60">
        <v>2025</v>
      </c>
      <c r="Z5" s="60">
        <v>2026</v>
      </c>
      <c r="AA5" s="60">
        <v>2027</v>
      </c>
      <c r="AB5" s="60">
        <v>2028</v>
      </c>
      <c r="AC5" s="60">
        <v>2029</v>
      </c>
      <c r="AD5" s="60">
        <v>2030</v>
      </c>
      <c r="AE5" s="60">
        <v>2031</v>
      </c>
      <c r="AF5" s="63">
        <f>AE5+1</f>
        <v>2032</v>
      </c>
      <c r="AG5" s="63">
        <f>AF5+1</f>
        <v>2033</v>
      </c>
      <c r="AH5" s="63">
        <f>AG5+1</f>
        <v>2034</v>
      </c>
      <c r="AI5" s="63">
        <f>AH5+1</f>
        <v>2035</v>
      </c>
      <c r="AJ5" s="63">
        <f>AI5+1</f>
        <v>2036</v>
      </c>
    </row>
    <row r="6" spans="1:40">
      <c r="A6" s="68"/>
      <c r="B6" s="63" t="str">
        <f>Expenditure_Detail!$B$6</f>
        <v>$m, 01/01/26</v>
      </c>
      <c r="C6" s="68"/>
      <c r="D6" s="68"/>
      <c r="E6" s="68"/>
      <c r="F6" s="68"/>
      <c r="G6" s="68"/>
      <c r="H6" s="68"/>
      <c r="I6" s="68"/>
      <c r="J6" s="68"/>
      <c r="K6" s="61"/>
      <c r="L6" s="61"/>
      <c r="M6" s="61"/>
      <c r="N6" s="61"/>
      <c r="O6" s="61"/>
      <c r="P6" s="61"/>
      <c r="Q6" s="61"/>
      <c r="R6" s="61"/>
      <c r="S6" s="61"/>
      <c r="T6" s="61"/>
      <c r="U6" s="61" t="str">
        <f t="shared" ref="U6:AJ6" si="0">+CONCATENATE(U5-1,"-",RIGHT(U5,2))</f>
        <v>2020-21</v>
      </c>
      <c r="V6" s="61" t="str">
        <f t="shared" si="0"/>
        <v>2021-22</v>
      </c>
      <c r="W6" s="61" t="str">
        <f t="shared" si="0"/>
        <v>2022-23</v>
      </c>
      <c r="X6" s="61" t="str">
        <f t="shared" si="0"/>
        <v>2023-24</v>
      </c>
      <c r="Y6" s="61" t="str">
        <f t="shared" si="0"/>
        <v>2024-25</v>
      </c>
      <c r="Z6" s="61" t="str">
        <f t="shared" si="0"/>
        <v>2025-26</v>
      </c>
      <c r="AA6" s="61" t="str">
        <f t="shared" si="0"/>
        <v>2026-27</v>
      </c>
      <c r="AB6" s="61" t="str">
        <f t="shared" si="0"/>
        <v>2027-28</v>
      </c>
      <c r="AC6" s="61" t="str">
        <f t="shared" si="0"/>
        <v>2028-29</v>
      </c>
      <c r="AD6" s="61" t="str">
        <f t="shared" si="0"/>
        <v>2029-30</v>
      </c>
      <c r="AE6" s="61" t="str">
        <f t="shared" si="0"/>
        <v>2030-31</v>
      </c>
      <c r="AF6" s="61" t="str">
        <f t="shared" si="0"/>
        <v>2031-32</v>
      </c>
      <c r="AG6" s="61" t="str">
        <f t="shared" si="0"/>
        <v>2032-33</v>
      </c>
      <c r="AH6" s="61" t="str">
        <f t="shared" si="0"/>
        <v>2033-34</v>
      </c>
      <c r="AI6" s="61" t="str">
        <f t="shared" si="0"/>
        <v>2034-35</v>
      </c>
      <c r="AJ6" s="61" t="str">
        <f t="shared" si="0"/>
        <v>2035-36</v>
      </c>
      <c r="AK6" s="68"/>
      <c r="AL6" s="68"/>
      <c r="AM6" s="68"/>
      <c r="AN6" s="68"/>
    </row>
    <row r="8" spans="1:40">
      <c r="C8" s="69"/>
      <c r="D8" s="70"/>
      <c r="E8" s="70"/>
      <c r="F8" s="70"/>
      <c r="G8" s="70"/>
      <c r="H8" s="70"/>
      <c r="I8" s="70"/>
      <c r="J8" s="70"/>
      <c r="K8" s="70"/>
      <c r="L8" s="70"/>
      <c r="M8" s="70"/>
      <c r="N8" s="70"/>
      <c r="O8" s="70"/>
      <c r="P8" s="70"/>
      <c r="Q8" s="70"/>
      <c r="R8" s="70"/>
      <c r="S8" s="70"/>
      <c r="T8" s="71"/>
      <c r="U8" s="70"/>
      <c r="V8" s="70"/>
      <c r="W8" s="70"/>
      <c r="X8" s="70"/>
      <c r="Y8" s="72"/>
      <c r="Z8" s="70"/>
      <c r="AA8" s="70"/>
      <c r="AB8" s="70"/>
      <c r="AC8" s="70"/>
      <c r="AD8" s="70"/>
      <c r="AE8" s="70"/>
      <c r="AF8" s="70"/>
      <c r="AG8" s="70"/>
      <c r="AH8" s="70"/>
      <c r="AI8" s="70"/>
      <c r="AJ8" s="70"/>
      <c r="AK8" s="73"/>
    </row>
    <row r="9" spans="1:40">
      <c r="C9" s="230" t="s">
        <v>213</v>
      </c>
      <c r="F9" s="1115" t="s">
        <v>331</v>
      </c>
      <c r="H9" s="1115" t="s">
        <v>332</v>
      </c>
      <c r="Y9" s="67"/>
      <c r="AK9" s="74"/>
    </row>
    <row r="10" spans="1:40">
      <c r="C10" s="75"/>
      <c r="F10" s="1116"/>
      <c r="H10" s="647"/>
      <c r="T10" s="62"/>
      <c r="Y10" s="67"/>
      <c r="AA10" s="1390"/>
      <c r="AB10" s="1390"/>
      <c r="AC10" s="1391"/>
      <c r="AE10" s="77"/>
      <c r="AK10" s="74"/>
    </row>
    <row r="11" spans="1:40" ht="12.75">
      <c r="C11" s="75"/>
      <c r="D11" s="78" t="s">
        <v>333</v>
      </c>
      <c r="F11" s="79">
        <f>AVERAGE('Opex_FO_W&amp;S'!F11,'Opex_FO_W&amp;D'!F11)</f>
        <v>1.2E-2</v>
      </c>
      <c r="H11" s="79">
        <f>IFERROR(AVERAGE(AA11:AE11),"-")</f>
        <v>2.006741470273643E-2</v>
      </c>
      <c r="S11" s="80"/>
      <c r="Y11" s="67"/>
      <c r="AA11" s="1378">
        <f>IFERROR((('Opex_FO_W&amp;S'!AA63/AA46)*'Opex_FO_W&amp;S'!AA11)+(('Opex_FO_W&amp;D'!AA63/AA46)*'Opex_FO_W&amp;D'!AA11),"-")</f>
        <v>2.006741470273643E-2</v>
      </c>
      <c r="AB11" s="1379">
        <f>IFERROR((('Opex_FO_W&amp;S'!AB63/AB46)*'Opex_FO_W&amp;S'!AB11)+(('Opex_FO_W&amp;D'!AB63/AB46)*'Opex_FO_W&amp;D'!AB11),"-")</f>
        <v>2.006741470273643E-2</v>
      </c>
      <c r="AC11" s="1379">
        <f>IFERROR((('Opex_FO_W&amp;S'!AC63/AC46)*'Opex_FO_W&amp;S'!AC11)+(('Opex_FO_W&amp;D'!AC63/AC46)*'Opex_FO_W&amp;D'!AC11),"-")</f>
        <v>2.006741470273643E-2</v>
      </c>
      <c r="AD11" s="1379">
        <f>IFERROR((('Opex_FO_W&amp;S'!AD63/AD46)*'Opex_FO_W&amp;S'!AD11)+(('Opex_FO_W&amp;D'!AD63/AD46)*'Opex_FO_W&amp;D'!AD11),"-")</f>
        <v>2.006741470273643E-2</v>
      </c>
      <c r="AE11" s="1380">
        <f>IFERROR((('Opex_FO_W&amp;S'!AE63/AE46)*'Opex_FO_W&amp;S'!AE11)+(('Opex_FO_W&amp;D'!AE63/AE46)*'Opex_FO_W&amp;D'!AE11),"-")</f>
        <v>2.006741470273643E-2</v>
      </c>
      <c r="AF11" s="1379">
        <f>IFERROR((('Opex_FO_W&amp;S'!AF63/AF46)*'Opex_FO_W&amp;S'!AF11)+(('Opex_FO_W&amp;D'!AF63/AF46)*'Opex_FO_W&amp;D'!AF11),"-")</f>
        <v>1.9999999999999997E-2</v>
      </c>
      <c r="AG11" s="1379">
        <f>IFERROR((('Opex_FO_W&amp;S'!AG63/AG46)*'Opex_FO_W&amp;S'!AG11)+(('Opex_FO_W&amp;D'!AG63/AG46)*'Opex_FO_W&amp;D'!AG11),"-")</f>
        <v>1.9999999999999997E-2</v>
      </c>
      <c r="AH11" s="1379">
        <f>IFERROR((('Opex_FO_W&amp;S'!AH63/AH46)*'Opex_FO_W&amp;S'!AH11)+(('Opex_FO_W&amp;D'!AH63/AH46)*'Opex_FO_W&amp;D'!AH11),"-")</f>
        <v>0.02</v>
      </c>
      <c r="AI11" s="1379">
        <f>IFERROR((('Opex_FO_W&amp;S'!AI63/AI46)*'Opex_FO_W&amp;S'!AI11)+(('Opex_FO_W&amp;D'!AI63/AI46)*'Opex_FO_W&amp;D'!AI11),"-")</f>
        <v>0.02</v>
      </c>
      <c r="AJ11" s="1380">
        <f>IFERROR((('Opex_FO_W&amp;S'!AJ63/AJ46)*'Opex_FO_W&amp;S'!AJ11)+(('Opex_FO_W&amp;D'!AJ63/AJ46)*'Opex_FO_W&amp;D'!AJ11),"-")</f>
        <v>1.9999999999999997E-2</v>
      </c>
      <c r="AK11" s="1393" t="s">
        <v>334</v>
      </c>
      <c r="AL11" s="1111" t="s">
        <v>335</v>
      </c>
      <c r="AM11" s="321"/>
      <c r="AN11" s="321"/>
    </row>
    <row r="12" spans="1:40">
      <c r="C12" s="75"/>
      <c r="D12" s="78"/>
      <c r="F12" s="844"/>
      <c r="H12" s="844"/>
      <c r="I12" s="78"/>
      <c r="T12" s="62"/>
      <c r="U12" s="76"/>
      <c r="AK12" s="74"/>
    </row>
    <row r="13" spans="1:40" ht="12.75">
      <c r="C13" s="75"/>
      <c r="D13" s="63" t="s">
        <v>336</v>
      </c>
      <c r="F13" s="79">
        <f>AVERAGE('Opex_FO_W&amp;S'!F13,'Opex_FO_W&amp;D'!F13)</f>
        <v>0.01</v>
      </c>
      <c r="H13" s="79">
        <f>IFERROR(AVERAGE(AA13:AE13),"-")</f>
        <v>2.006741470273643E-2</v>
      </c>
      <c r="S13" s="80"/>
      <c r="U13" s="76"/>
      <c r="Z13" s="1381">
        <f>IFERROR((('Opex_FO_W&amp;S'!Z63/Z46)*'Opex_FO_W&amp;S'!Z13)+(('Opex_FO_W&amp;D'!Z63/Z46)*'Opex_FO_W&amp;D'!Z13),"-")</f>
        <v>9.9999999999999985E-3</v>
      </c>
      <c r="AA13" s="1382">
        <f>IFERROR((('Opex_FO_W&amp;S'!AA63/AA46)*'Opex_FO_W&amp;S'!AA13)+(('Opex_FO_W&amp;D'!AA63/AA46)*'Opex_FO_W&amp;D'!AA13),"-")</f>
        <v>2.006741470273643E-2</v>
      </c>
      <c r="AB13" s="1383">
        <f>IFERROR((('Opex_FO_W&amp;S'!AB63/AB46)*'Opex_FO_W&amp;S'!AB13)+(('Opex_FO_W&amp;D'!AB63/AB46)*'Opex_FO_W&amp;D'!AB13),"-")</f>
        <v>2.006741470273643E-2</v>
      </c>
      <c r="AC13" s="1379">
        <f>IFERROR((('Opex_FO_W&amp;S'!AC63/AC46)*'Opex_FO_W&amp;S'!AC13)+(('Opex_FO_W&amp;D'!AC63/AC46)*'Opex_FO_W&amp;D'!AC13),"-")</f>
        <v>2.006741470273643E-2</v>
      </c>
      <c r="AD13" s="1379">
        <f>IFERROR((('Opex_FO_W&amp;S'!AD63/AD46)*'Opex_FO_W&amp;S'!AD13)+(('Opex_FO_W&amp;D'!AD63/AD46)*'Opex_FO_W&amp;D'!AD13),"-")</f>
        <v>2.006741470273643E-2</v>
      </c>
      <c r="AE13" s="1379">
        <f>IFERROR((('Opex_FO_W&amp;S'!AE63/AE46)*'Opex_FO_W&amp;S'!AE13)+(('Opex_FO_W&amp;D'!AE63/AE46)*'Opex_FO_W&amp;D'!AE13),"-")</f>
        <v>2.006741470273643E-2</v>
      </c>
      <c r="AF13" s="1378">
        <f>IFERROR((('Opex_FO_W&amp;S'!AF63/AF46)*'Opex_FO_W&amp;S'!AF13)+(('Opex_FO_W&amp;D'!AF63/AF46)*'Opex_FO_W&amp;D'!AF13),"-")</f>
        <v>1.9051464301303334E-2</v>
      </c>
      <c r="AG13" s="1379">
        <f>IFERROR((('Opex_FO_W&amp;S'!AG63/AG46)*'Opex_FO_W&amp;S'!AG13)+(('Opex_FO_W&amp;D'!AG63/AG46)*'Opex_FO_W&amp;D'!AG13),"-")</f>
        <v>1.9051464301303334E-2</v>
      </c>
      <c r="AH13" s="1379">
        <f>IFERROR((('Opex_FO_W&amp;S'!AH63/AH46)*'Opex_FO_W&amp;S'!AH13)+(('Opex_FO_W&amp;D'!AH63/AH46)*'Opex_FO_W&amp;D'!AH13),"-")</f>
        <v>1.9051464301303334E-2</v>
      </c>
      <c r="AI13" s="1379">
        <f>IFERROR((('Opex_FO_W&amp;S'!AI63/AI46)*'Opex_FO_W&amp;S'!AI13)+(('Opex_FO_W&amp;D'!AI63/AI46)*'Opex_FO_W&amp;D'!AI13),"-")</f>
        <v>1.9051464301303334E-2</v>
      </c>
      <c r="AJ13" s="1380">
        <f>IFERROR((('Opex_FO_W&amp;S'!AJ63/AJ46)*'Opex_FO_W&amp;S'!AJ13)+(('Opex_FO_W&amp;D'!AJ63/AJ46)*'Opex_FO_W&amp;D'!AJ13),"-")</f>
        <v>1.905146430130333E-2</v>
      </c>
      <c r="AK13" s="1393" t="s">
        <v>334</v>
      </c>
      <c r="AL13" s="1111" t="s">
        <v>335</v>
      </c>
      <c r="AM13" s="321"/>
      <c r="AN13" s="321"/>
    </row>
    <row r="14" spans="1:40">
      <c r="C14" s="81"/>
      <c r="D14" s="68"/>
      <c r="E14" s="68"/>
      <c r="F14" s="68"/>
      <c r="G14" s="68"/>
      <c r="H14" s="68"/>
      <c r="I14" s="68"/>
      <c r="J14" s="68"/>
      <c r="K14" s="68"/>
      <c r="L14" s="68"/>
      <c r="M14" s="68"/>
      <c r="N14" s="68"/>
      <c r="O14" s="68"/>
      <c r="P14" s="68"/>
      <c r="Q14" s="68"/>
      <c r="R14" s="68"/>
      <c r="S14" s="68"/>
      <c r="T14" s="68"/>
      <c r="U14" s="82"/>
      <c r="V14" s="68"/>
      <c r="W14" s="68"/>
      <c r="X14" s="68"/>
      <c r="Y14" s="68"/>
      <c r="Z14" s="1392"/>
      <c r="AA14" s="1392"/>
      <c r="AB14" s="1392"/>
      <c r="AC14" s="1392"/>
      <c r="AD14" s="1392"/>
      <c r="AE14" s="1392"/>
      <c r="AF14" s="1392"/>
      <c r="AG14" s="1392"/>
      <c r="AH14" s="1392"/>
      <c r="AI14" s="1392"/>
      <c r="AJ14" s="1392"/>
      <c r="AK14" s="83"/>
    </row>
    <row r="15" spans="1:40">
      <c r="U15" s="84"/>
    </row>
    <row r="16" spans="1:40">
      <c r="C16" s="69"/>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3"/>
    </row>
    <row r="17" spans="3:37">
      <c r="C17" s="230" t="s">
        <v>337</v>
      </c>
      <c r="AK17" s="74"/>
    </row>
    <row r="18" spans="3:37">
      <c r="C18" s="75"/>
      <c r="AK18" s="74"/>
    </row>
    <row r="19" spans="3:37">
      <c r="C19" s="75"/>
      <c r="D19" s="85" t="s">
        <v>338</v>
      </c>
      <c r="U19" s="77"/>
      <c r="V19" s="842"/>
      <c r="X19" s="1385">
        <f>Y19-'Opex_FO_W&amp;S'!Y19-'Opex_FO_W&amp;D'!Y19</f>
        <v>0</v>
      </c>
      <c r="Y19" s="1424">
        <f>+Opex_Breakdown!Y39</f>
        <v>1164.5764170766702</v>
      </c>
      <c r="Z19" s="1040"/>
      <c r="AA19" s="126" t="s">
        <v>339</v>
      </c>
      <c r="AB19" s="86"/>
      <c r="AK19" s="74"/>
    </row>
    <row r="20" spans="3:37">
      <c r="C20" s="75"/>
      <c r="D20" s="67"/>
      <c r="Y20" s="111"/>
      <c r="AA20" s="231" t="s">
        <v>340</v>
      </c>
      <c r="AK20" s="74"/>
    </row>
    <row r="21" spans="3:37">
      <c r="C21" s="75"/>
      <c r="D21" s="85" t="s">
        <v>341</v>
      </c>
      <c r="Y21" s="111"/>
      <c r="AK21" s="74"/>
    </row>
    <row r="22" spans="3:37">
      <c r="C22" s="75"/>
      <c r="D22" s="67"/>
      <c r="E22" s="67" t="str">
        <f>Opex_Breakdown!E31</f>
        <v>Licence fees</v>
      </c>
      <c r="V22" s="842"/>
      <c r="Y22" s="1425">
        <f>+Opex_Breakdown!Y31</f>
        <v>2.8978902757641918</v>
      </c>
      <c r="AA22" s="127"/>
      <c r="AB22" s="128"/>
      <c r="AC22" s="128"/>
      <c r="AD22" s="129"/>
      <c r="AE22" s="130"/>
      <c r="AK22" s="74"/>
    </row>
    <row r="23" spans="3:37">
      <c r="C23" s="75"/>
      <c r="D23" s="67"/>
      <c r="E23" s="67" t="s">
        <v>342</v>
      </c>
      <c r="V23" s="842"/>
      <c r="Y23" s="1426">
        <f>+Opex_Breakdown!Y32</f>
        <v>3.665495499803495E-2</v>
      </c>
      <c r="AA23" s="232"/>
      <c r="AB23" s="233" t="s">
        <v>133</v>
      </c>
      <c r="AC23" s="233" t="s">
        <v>231</v>
      </c>
      <c r="AD23" s="233" t="s">
        <v>343</v>
      </c>
      <c r="AE23" s="234"/>
      <c r="AK23" s="74"/>
    </row>
    <row r="24" spans="3:37">
      <c r="C24" s="75"/>
      <c r="D24" s="67"/>
      <c r="E24" s="67" t="str">
        <f>Opex_Breakdown!E33</f>
        <v>Desalination Payments (W&amp;S)</v>
      </c>
      <c r="G24" s="77"/>
      <c r="V24" s="842"/>
      <c r="Y24" s="1426">
        <f>+Opex_Breakdown!Y33</f>
        <v>547.30412034433414</v>
      </c>
      <c r="AA24" s="232"/>
      <c r="AB24" s="233"/>
      <c r="AC24" s="233"/>
      <c r="AD24" s="233"/>
      <c r="AE24" s="234"/>
      <c r="AK24" s="74"/>
    </row>
    <row r="25" spans="3:37">
      <c r="C25" s="75"/>
      <c r="D25" s="67"/>
      <c r="E25" s="67" t="str">
        <f>Opex_Breakdown!E34</f>
        <v>Other non-controllable</v>
      </c>
      <c r="G25" s="77"/>
      <c r="V25" s="842"/>
      <c r="Y25" s="1427">
        <f>+Opex_Breakdown!Y34</f>
        <v>46.284554643604579</v>
      </c>
      <c r="AA25" s="131"/>
      <c r="AB25" s="1428">
        <f>'Determination Lookup'!R19</f>
        <v>467.3678224714638</v>
      </c>
      <c r="AC25" s="1429">
        <f>+Y44-AB25</f>
        <v>51.54078160017616</v>
      </c>
      <c r="AD25" s="137">
        <f>+AC25/AB25</f>
        <v>0.11027884060915019</v>
      </c>
      <c r="AE25" s="132"/>
      <c r="AG25" s="77"/>
      <c r="AK25" s="74"/>
    </row>
    <row r="26" spans="3:37">
      <c r="C26" s="75"/>
      <c r="D26" s="67"/>
      <c r="E26" s="76"/>
      <c r="G26" s="77"/>
      <c r="U26" s="1391"/>
      <c r="V26" s="842"/>
      <c r="X26" s="1385">
        <f>Y26-'Opex_FO_W&amp;S'!Y26-'Opex_FO_W&amp;D'!Y26</f>
        <v>0</v>
      </c>
      <c r="Y26" s="111">
        <f>SUM(Y22:Y25)</f>
        <v>596.52322021870089</v>
      </c>
      <c r="AA26" s="1754" t="s">
        <v>344</v>
      </c>
      <c r="AB26" s="1423">
        <f>AB25-('Opex_FO_W&amp;S'!AB26+'Opex_FO_W&amp;D'!AB26)</f>
        <v>0</v>
      </c>
      <c r="AC26" s="135"/>
      <c r="AD26" s="135"/>
      <c r="AE26" s="136"/>
      <c r="AK26" s="74"/>
    </row>
    <row r="27" spans="3:37">
      <c r="C27" s="75"/>
      <c r="E27" s="76"/>
      <c r="U27" s="77"/>
      <c r="Y27" s="111"/>
      <c r="AA27" s="231" t="s">
        <v>345</v>
      </c>
      <c r="AK27" s="74"/>
    </row>
    <row r="28" spans="3:37">
      <c r="C28" s="75"/>
      <c r="D28" s="93" t="s">
        <v>346</v>
      </c>
      <c r="E28" s="76"/>
      <c r="H28" s="77"/>
      <c r="U28" s="77"/>
      <c r="X28" s="842"/>
      <c r="Y28" s="1424">
        <f>+Y19-Y26</f>
        <v>568.05319685796928</v>
      </c>
      <c r="AK28" s="74"/>
    </row>
    <row r="29" spans="3:37">
      <c r="C29" s="75"/>
      <c r="E29" s="76"/>
      <c r="U29" s="77"/>
      <c r="Y29" s="116"/>
      <c r="AK29" s="74"/>
    </row>
    <row r="30" spans="3:37">
      <c r="C30" s="75"/>
      <c r="D30" s="85" t="s">
        <v>347</v>
      </c>
      <c r="E30" s="67"/>
      <c r="F30" s="67"/>
      <c r="G30" s="67"/>
      <c r="H30" s="67"/>
      <c r="I30" s="67"/>
      <c r="J30" s="67"/>
      <c r="K30" s="67"/>
      <c r="L30" s="67"/>
      <c r="M30" s="67"/>
      <c r="N30" s="67"/>
      <c r="O30" s="67"/>
      <c r="P30" s="67"/>
      <c r="Q30" s="67"/>
      <c r="R30" s="67"/>
      <c r="S30" s="67"/>
      <c r="X30" s="1385">
        <f>Y30-'Opex_FO_W&amp;S'!Y42-'Opex_FO_W&amp;D'!Y42</f>
        <v>0</v>
      </c>
      <c r="Y30" s="529">
        <f>'Opex_FO_W&amp;S'!Y42+'Opex_FO_W&amp;D'!Y42</f>
        <v>-49.144592786329355</v>
      </c>
      <c r="AK30" s="74"/>
    </row>
    <row r="31" spans="3:37">
      <c r="C31" s="75"/>
      <c r="E31" s="76"/>
      <c r="Y31" s="116"/>
      <c r="AK31" s="74"/>
    </row>
    <row r="32" spans="3:37" hidden="1" outlineLevel="1">
      <c r="C32" s="75"/>
      <c r="Y32" s="116"/>
      <c r="AK32" s="74"/>
    </row>
    <row r="33" spans="3:38" hidden="1" outlineLevel="1">
      <c r="C33" s="75"/>
      <c r="Y33" s="116"/>
      <c r="AK33" s="74"/>
    </row>
    <row r="34" spans="3:38" hidden="1" outlineLevel="1">
      <c r="C34" s="75"/>
      <c r="Y34" s="116"/>
      <c r="AK34" s="74"/>
    </row>
    <row r="35" spans="3:38" hidden="1" outlineLevel="1">
      <c r="C35" s="75"/>
      <c r="Y35" s="116"/>
      <c r="AK35" s="74"/>
    </row>
    <row r="36" spans="3:38" hidden="1" outlineLevel="1">
      <c r="C36" s="75"/>
      <c r="Y36" s="116"/>
      <c r="AK36" s="74"/>
    </row>
    <row r="37" spans="3:38" hidden="1" outlineLevel="1">
      <c r="C37" s="75"/>
      <c r="Y37" s="116"/>
      <c r="AK37" s="74"/>
      <c r="AL37" s="89"/>
    </row>
    <row r="38" spans="3:38" hidden="1" outlineLevel="1">
      <c r="C38" s="75"/>
      <c r="Y38" s="116"/>
      <c r="AK38" s="74"/>
    </row>
    <row r="39" spans="3:38" hidden="1" outlineLevel="1">
      <c r="C39" s="75"/>
      <c r="Y39" s="116"/>
      <c r="AK39" s="74"/>
    </row>
    <row r="40" spans="3:38" hidden="1" outlineLevel="1">
      <c r="C40" s="75"/>
      <c r="Y40" s="116"/>
      <c r="AK40" s="74"/>
    </row>
    <row r="41" spans="3:38" hidden="1" outlineLevel="1">
      <c r="C41" s="75"/>
      <c r="Y41" s="116"/>
      <c r="AK41" s="74"/>
    </row>
    <row r="42" spans="3:38" hidden="1" outlineLevel="1">
      <c r="C42" s="75"/>
      <c r="E42" s="251"/>
      <c r="F42" s="4"/>
      <c r="G42" s="4"/>
      <c r="H42" s="4"/>
      <c r="Y42" s="116"/>
      <c r="AK42" s="74"/>
    </row>
    <row r="43" spans="3:38" hidden="1" outlineLevel="1">
      <c r="C43" s="75"/>
      <c r="Y43" s="90"/>
      <c r="AK43" s="74"/>
    </row>
    <row r="44" spans="3:38" collapsed="1">
      <c r="C44" s="75"/>
      <c r="D44" s="63" t="s">
        <v>348</v>
      </c>
      <c r="U44" s="77"/>
      <c r="Y44" s="529">
        <f>+Y28+Y30</f>
        <v>518.90860407163996</v>
      </c>
      <c r="Z44" s="87"/>
      <c r="AA44" s="67"/>
      <c r="AB44" s="67"/>
      <c r="AC44" s="67"/>
      <c r="AD44" s="67"/>
      <c r="AE44" s="67"/>
      <c r="AF44" s="67"/>
      <c r="AG44" s="67"/>
      <c r="AH44" s="67"/>
      <c r="AI44" s="67"/>
      <c r="AJ44" s="67"/>
      <c r="AK44" s="74"/>
    </row>
    <row r="45" spans="3:38">
      <c r="C45" s="75"/>
      <c r="V45" s="67"/>
      <c r="W45" s="67"/>
      <c r="X45" s="87"/>
      <c r="Y45" s="87"/>
      <c r="Z45" s="67"/>
      <c r="AA45" s="87"/>
      <c r="AB45" s="87"/>
      <c r="AC45" s="87"/>
      <c r="AD45" s="87"/>
      <c r="AE45" s="87"/>
      <c r="AF45" s="87"/>
      <c r="AG45" s="87"/>
      <c r="AH45" s="87"/>
      <c r="AI45" s="87"/>
      <c r="AJ45" s="87"/>
      <c r="AK45" s="74"/>
    </row>
    <row r="46" spans="3:38">
      <c r="C46" s="75"/>
      <c r="D46" s="89" t="s">
        <v>349</v>
      </c>
      <c r="V46" s="67"/>
      <c r="Z46" s="1424">
        <f>'Opex_FO_W&amp;S'!Z63+'Opex_FO_W&amp;D'!Z63</f>
        <v>517.87078686349673</v>
      </c>
      <c r="AA46" s="95">
        <f>'Opex_FO_W&amp;S'!AA63+'Opex_FO_W&amp;D'!AA63</f>
        <v>517.87078686349673</v>
      </c>
      <c r="AB46" s="96">
        <f>'Opex_FO_W&amp;S'!AB63+'Opex_FO_W&amp;D'!AB63</f>
        <v>517.87078686349673</v>
      </c>
      <c r="AC46" s="96">
        <f>'Opex_FO_W&amp;S'!AC63+'Opex_FO_W&amp;D'!AC63</f>
        <v>517.87078686349673</v>
      </c>
      <c r="AD46" s="96">
        <f>'Opex_FO_W&amp;S'!AD63+'Opex_FO_W&amp;D'!AD63</f>
        <v>517.87078686349673</v>
      </c>
      <c r="AE46" s="97">
        <f>'Opex_FO_W&amp;S'!AE63+'Opex_FO_W&amp;D'!AE63</f>
        <v>517.87078686349673</v>
      </c>
      <c r="AF46" s="96">
        <f>'Opex_FO_W&amp;S'!AF63+'Opex_FO_W&amp;D'!AF63</f>
        <v>517.37956793484454</v>
      </c>
      <c r="AG46" s="96">
        <f>'Opex_FO_W&amp;S'!AG63+'Opex_FO_W&amp;D'!AG63</f>
        <v>516.88881494488203</v>
      </c>
      <c r="AH46" s="96">
        <f>'Opex_FO_W&amp;S'!AH63+'Opex_FO_W&amp;D'!AH63</f>
        <v>516.39852745164978</v>
      </c>
      <c r="AI46" s="96">
        <f>'Opex_FO_W&amp;S'!AI63+'Opex_FO_W&amp;D'!AI63</f>
        <v>515.90870501360746</v>
      </c>
      <c r="AJ46" s="97">
        <f>'Opex_FO_W&amp;S'!AJ63+'Opex_FO_W&amp;D'!AJ63</f>
        <v>515.41934718963375</v>
      </c>
      <c r="AK46" s="74"/>
      <c r="AL46" s="237"/>
    </row>
    <row r="47" spans="3:38">
      <c r="C47" s="81"/>
      <c r="D47" s="68"/>
      <c r="E47" s="68"/>
      <c r="F47" s="68"/>
      <c r="G47" s="68"/>
      <c r="H47" s="68"/>
      <c r="I47" s="68"/>
      <c r="J47" s="68"/>
      <c r="K47" s="68"/>
      <c r="L47" s="68"/>
      <c r="M47" s="68"/>
      <c r="N47" s="68"/>
      <c r="O47" s="68"/>
      <c r="P47" s="68"/>
      <c r="Q47" s="68"/>
      <c r="R47" s="68"/>
      <c r="S47" s="68"/>
      <c r="T47" s="68"/>
      <c r="U47" s="68"/>
      <c r="V47" s="68"/>
      <c r="W47" s="1114"/>
      <c r="X47" s="68"/>
      <c r="Y47" s="68"/>
      <c r="Z47" s="1386">
        <f>Z46-'Opex_FO_W&amp;S'!Z63-'Opex_FO_W&amp;D'!Z63</f>
        <v>0</v>
      </c>
      <c r="AA47" s="1386">
        <f>AA46-'Opex_FO_W&amp;S'!AA63-'Opex_FO_W&amp;D'!AA63</f>
        <v>0</v>
      </c>
      <c r="AB47" s="1386">
        <f>AB46-'Opex_FO_W&amp;S'!AB63-'Opex_FO_W&amp;D'!AB63</f>
        <v>0</v>
      </c>
      <c r="AC47" s="1386">
        <f>AC46-'Opex_FO_W&amp;S'!AC63-'Opex_FO_W&amp;D'!AC63</f>
        <v>0</v>
      </c>
      <c r="AD47" s="1386">
        <f>AD46-'Opex_FO_W&amp;S'!AD63-'Opex_FO_W&amp;D'!AD63</f>
        <v>0</v>
      </c>
      <c r="AE47" s="1386">
        <f>AE46-'Opex_FO_W&amp;S'!AE63-'Opex_FO_W&amp;D'!AE63</f>
        <v>0</v>
      </c>
      <c r="AF47" s="1386">
        <f>AF46-'Opex_FO_W&amp;S'!AF63-'Opex_FO_W&amp;D'!AF63</f>
        <v>0</v>
      </c>
      <c r="AG47" s="1386">
        <f>AG46-'Opex_FO_W&amp;S'!AG63-'Opex_FO_W&amp;D'!AG63</f>
        <v>0</v>
      </c>
      <c r="AH47" s="1386">
        <f>AH46-'Opex_FO_W&amp;S'!AH63-'Opex_FO_W&amp;D'!AH63</f>
        <v>0</v>
      </c>
      <c r="AI47" s="1386">
        <f>AI46-'Opex_FO_W&amp;S'!AI63-'Opex_FO_W&amp;D'!AI63</f>
        <v>0</v>
      </c>
      <c r="AJ47" s="1386">
        <f>AJ46-'Opex_FO_W&amp;S'!AJ63-'Opex_FO_W&amp;D'!AJ63</f>
        <v>0</v>
      </c>
      <c r="AK47" s="83"/>
    </row>
    <row r="49" spans="3:51">
      <c r="C49" s="69"/>
      <c r="D49" s="70"/>
      <c r="E49" s="70"/>
      <c r="F49" s="70"/>
      <c r="G49" s="70"/>
      <c r="H49" s="72"/>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3"/>
    </row>
    <row r="50" spans="3:51">
      <c r="C50" s="230" t="s">
        <v>350</v>
      </c>
      <c r="H50" s="67"/>
      <c r="AK50" s="74"/>
    </row>
    <row r="51" spans="3:51">
      <c r="C51" s="75"/>
      <c r="H51" s="67"/>
      <c r="AK51" s="74"/>
    </row>
    <row r="52" spans="3:51">
      <c r="C52" s="75"/>
      <c r="H52" s="67"/>
      <c r="AK52" s="74"/>
    </row>
    <row r="53" spans="3:51">
      <c r="C53" s="75"/>
      <c r="D53" s="92" t="s">
        <v>349</v>
      </c>
      <c r="H53" s="67"/>
      <c r="AA53" s="95">
        <f t="shared" ref="AA53:AJ53" si="1">+AA46</f>
        <v>517.87078686349673</v>
      </c>
      <c r="AB53" s="96">
        <f t="shared" si="1"/>
        <v>517.87078686349673</v>
      </c>
      <c r="AC53" s="96">
        <f t="shared" si="1"/>
        <v>517.87078686349673</v>
      </c>
      <c r="AD53" s="96">
        <f t="shared" si="1"/>
        <v>517.87078686349673</v>
      </c>
      <c r="AE53" s="97">
        <f t="shared" si="1"/>
        <v>517.87078686349673</v>
      </c>
      <c r="AF53" s="96">
        <f t="shared" si="1"/>
        <v>517.37956793484454</v>
      </c>
      <c r="AG53" s="96">
        <f t="shared" si="1"/>
        <v>516.88881494488203</v>
      </c>
      <c r="AH53" s="96">
        <f t="shared" si="1"/>
        <v>516.39852745164978</v>
      </c>
      <c r="AI53" s="96">
        <f t="shared" si="1"/>
        <v>515.90870501360746</v>
      </c>
      <c r="AJ53" s="97">
        <f t="shared" si="1"/>
        <v>515.41934718963375</v>
      </c>
      <c r="AK53" s="74"/>
      <c r="AL53" s="237"/>
      <c r="AN53" s="1477"/>
      <c r="AO53" s="1477"/>
      <c r="AP53" s="1477"/>
      <c r="AQ53" s="1477"/>
      <c r="AR53" s="1477"/>
      <c r="AS53" s="1477"/>
      <c r="AT53" s="1477"/>
      <c r="AU53" s="1477"/>
      <c r="AV53" s="1477"/>
      <c r="AW53" s="1477"/>
      <c r="AX53" s="842"/>
      <c r="AY53" s="842"/>
    </row>
    <row r="54" spans="3:51">
      <c r="C54" s="75"/>
      <c r="E54" s="93"/>
      <c r="H54" s="67"/>
      <c r="V54" s="77"/>
      <c r="W54" s="77"/>
      <c r="X54" s="77"/>
      <c r="Y54" s="77"/>
      <c r="Z54" s="77"/>
      <c r="AA54" s="77"/>
      <c r="AB54" s="77"/>
      <c r="AC54" s="77"/>
      <c r="AD54" s="77"/>
      <c r="AE54" s="77"/>
      <c r="AF54" s="77"/>
      <c r="AG54" s="77"/>
      <c r="AH54" s="77"/>
      <c r="AI54" s="77"/>
      <c r="AJ54" s="77"/>
      <c r="AK54" s="74"/>
      <c r="AN54" s="1477"/>
      <c r="AO54" s="1477"/>
      <c r="AP54" s="1477"/>
      <c r="AQ54" s="1477"/>
      <c r="AR54" s="1477"/>
      <c r="AS54" s="1477"/>
      <c r="AT54" s="1477"/>
      <c r="AU54" s="1477"/>
      <c r="AV54" s="1477"/>
      <c r="AW54" s="1477"/>
    </row>
    <row r="55" spans="3:51" ht="10.5" customHeight="1">
      <c r="C55" s="75"/>
      <c r="D55" s="92" t="s">
        <v>351</v>
      </c>
      <c r="H55" s="67"/>
      <c r="AA55" s="95">
        <f>'Opex_FO_W&amp;S'!AA90+'Opex_FO_W&amp;D'!AA90</f>
        <v>27.588946330051836</v>
      </c>
      <c r="AB55" s="96">
        <f>'Opex_FO_W&amp;S'!AB90+'Opex_FO_W&amp;D'!AB90</f>
        <v>33.279063582018608</v>
      </c>
      <c r="AC55" s="96">
        <f>'Opex_FO_W&amp;S'!AC90+'Opex_FO_W&amp;D'!AC90</f>
        <v>44.082726255294162</v>
      </c>
      <c r="AD55" s="96">
        <f>'Opex_FO_W&amp;S'!AD90+'Opex_FO_W&amp;D'!AD90</f>
        <v>47.381032940907176</v>
      </c>
      <c r="AE55" s="97">
        <f>'Opex_FO_W&amp;S'!AE90+'Opex_FO_W&amp;D'!AE90</f>
        <v>48.277205980229525</v>
      </c>
      <c r="AF55" s="96">
        <f>'Opex_FO_W&amp;S'!AF90+'Opex_FO_W&amp;D'!AF90</f>
        <v>48.347057981188236</v>
      </c>
      <c r="AG55" s="96">
        <f>'Opex_FO_W&amp;S'!AG90+'Opex_FO_W&amp;D'!AG90</f>
        <v>48.035968639866816</v>
      </c>
      <c r="AH55" s="96">
        <f>'Opex_FO_W&amp;S'!AH90+'Opex_FO_W&amp;D'!AH90</f>
        <v>47.443554364751122</v>
      </c>
      <c r="AI55" s="96">
        <f>'Opex_FO_W&amp;S'!AI90+'Opex_FO_W&amp;D'!AI90</f>
        <v>48.842483607653264</v>
      </c>
      <c r="AJ55" s="97">
        <f>'Opex_FO_W&amp;S'!AJ90+'Opex_FO_W&amp;D'!AJ90</f>
        <v>46.958811654815776</v>
      </c>
      <c r="AK55" s="74"/>
      <c r="AN55" s="1477"/>
      <c r="AO55" s="1477"/>
      <c r="AP55" s="1477"/>
      <c r="AQ55" s="1477"/>
      <c r="AR55" s="1477"/>
      <c r="AS55" s="1477"/>
      <c r="AT55" s="1477"/>
      <c r="AU55" s="1477"/>
      <c r="AV55" s="1477"/>
      <c r="AW55" s="1477"/>
    </row>
    <row r="56" spans="3:51" hidden="1" outlineLevel="1">
      <c r="C56" s="75"/>
      <c r="S56" s="67"/>
      <c r="AK56" s="74"/>
      <c r="AN56" s="1477"/>
      <c r="AO56" s="1477"/>
      <c r="AP56" s="1477"/>
      <c r="AQ56" s="1477"/>
      <c r="AR56" s="1477"/>
      <c r="AS56" s="1477"/>
      <c r="AT56" s="1477"/>
      <c r="AU56" s="1477"/>
      <c r="AV56" s="1477"/>
      <c r="AW56" s="1477"/>
    </row>
    <row r="57" spans="3:51" hidden="1" outlineLevel="1">
      <c r="C57" s="75"/>
      <c r="AK57" s="74"/>
      <c r="AN57" s="1477"/>
      <c r="AO57" s="1477"/>
      <c r="AP57" s="1477"/>
      <c r="AQ57" s="1477"/>
      <c r="AR57" s="1477"/>
      <c r="AS57" s="1477"/>
      <c r="AT57" s="1477"/>
      <c r="AU57" s="1477"/>
      <c r="AV57" s="1477"/>
      <c r="AW57" s="1477"/>
    </row>
    <row r="58" spans="3:51" hidden="1" outlineLevel="1">
      <c r="C58" s="75"/>
      <c r="AK58" s="74"/>
      <c r="AN58" s="1477"/>
      <c r="AO58" s="1477"/>
      <c r="AP58" s="1477"/>
      <c r="AQ58" s="1477"/>
      <c r="AR58" s="1477"/>
      <c r="AS58" s="1477"/>
      <c r="AT58" s="1477"/>
      <c r="AU58" s="1477"/>
      <c r="AV58" s="1477"/>
      <c r="AW58" s="1477"/>
    </row>
    <row r="59" spans="3:51" hidden="1" outlineLevel="1">
      <c r="C59" s="75"/>
      <c r="AK59" s="74"/>
      <c r="AN59" s="1477"/>
      <c r="AO59" s="1477"/>
      <c r="AP59" s="1477"/>
      <c r="AQ59" s="1477"/>
      <c r="AR59" s="1477"/>
      <c r="AS59" s="1477"/>
      <c r="AT59" s="1477"/>
      <c r="AU59" s="1477"/>
      <c r="AV59" s="1477"/>
      <c r="AW59" s="1477"/>
    </row>
    <row r="60" spans="3:51" hidden="1" outlineLevel="1">
      <c r="C60" s="75"/>
      <c r="AK60" s="74"/>
      <c r="AN60" s="1477"/>
      <c r="AO60" s="1477"/>
      <c r="AP60" s="1477"/>
      <c r="AQ60" s="1477"/>
      <c r="AR60" s="1477"/>
      <c r="AS60" s="1477"/>
      <c r="AT60" s="1477"/>
      <c r="AU60" s="1477"/>
      <c r="AV60" s="1477"/>
      <c r="AW60" s="1477"/>
    </row>
    <row r="61" spans="3:51" hidden="1" outlineLevel="1">
      <c r="C61" s="75"/>
      <c r="AK61" s="74"/>
      <c r="AN61" s="1477"/>
      <c r="AO61" s="1477"/>
      <c r="AP61" s="1477"/>
      <c r="AQ61" s="1477"/>
      <c r="AR61" s="1477"/>
      <c r="AS61" s="1477"/>
      <c r="AT61" s="1477"/>
      <c r="AU61" s="1477"/>
      <c r="AV61" s="1477"/>
      <c r="AW61" s="1477"/>
    </row>
    <row r="62" spans="3:51" hidden="1" outlineLevel="1">
      <c r="C62" s="75"/>
      <c r="AK62" s="74"/>
      <c r="AN62" s="1477"/>
      <c r="AO62" s="1477"/>
      <c r="AP62" s="1477"/>
      <c r="AQ62" s="1477"/>
      <c r="AR62" s="1477"/>
      <c r="AS62" s="1477"/>
      <c r="AT62" s="1477"/>
      <c r="AU62" s="1477"/>
      <c r="AV62" s="1477"/>
      <c r="AW62" s="1477"/>
    </row>
    <row r="63" spans="3:51" hidden="1" outlineLevel="1">
      <c r="C63" s="75"/>
      <c r="AK63" s="74"/>
      <c r="AN63" s="1477"/>
      <c r="AO63" s="1477"/>
      <c r="AP63" s="1477"/>
      <c r="AQ63" s="1477"/>
      <c r="AR63" s="1477"/>
      <c r="AS63" s="1477"/>
      <c r="AT63" s="1477"/>
      <c r="AU63" s="1477"/>
      <c r="AV63" s="1477"/>
      <c r="AW63" s="1477"/>
    </row>
    <row r="64" spans="3:51" hidden="1" outlineLevel="1">
      <c r="C64" s="75"/>
      <c r="AK64" s="74"/>
      <c r="AN64" s="1477"/>
      <c r="AO64" s="1477"/>
      <c r="AP64" s="1477"/>
      <c r="AQ64" s="1477"/>
      <c r="AR64" s="1477"/>
      <c r="AS64" s="1477"/>
      <c r="AT64" s="1477"/>
      <c r="AU64" s="1477"/>
      <c r="AV64" s="1477"/>
      <c r="AW64" s="1477"/>
    </row>
    <row r="65" spans="2:49" hidden="1" outlineLevel="1">
      <c r="C65" s="75"/>
      <c r="AK65" s="74"/>
      <c r="AN65" s="1477"/>
      <c r="AO65" s="1477"/>
      <c r="AP65" s="1477"/>
      <c r="AQ65" s="1477"/>
      <c r="AR65" s="1477"/>
      <c r="AS65" s="1477"/>
      <c r="AT65" s="1477"/>
      <c r="AU65" s="1477"/>
      <c r="AV65" s="1477"/>
      <c r="AW65" s="1477"/>
    </row>
    <row r="66" spans="2:49" hidden="1" outlineLevel="1">
      <c r="C66" s="75"/>
      <c r="V66" s="94"/>
      <c r="AK66" s="74"/>
      <c r="AN66" s="1477"/>
      <c r="AO66" s="1477"/>
      <c r="AP66" s="1477"/>
      <c r="AQ66" s="1477"/>
      <c r="AR66" s="1477"/>
      <c r="AS66" s="1477"/>
      <c r="AT66" s="1477"/>
      <c r="AU66" s="1477"/>
      <c r="AV66" s="1477"/>
      <c r="AW66" s="1477"/>
    </row>
    <row r="67" spans="2:49" hidden="1" outlineLevel="1">
      <c r="C67" s="75"/>
      <c r="AK67" s="74"/>
      <c r="AN67" s="1477"/>
      <c r="AO67" s="1477"/>
      <c r="AP67" s="1477"/>
      <c r="AQ67" s="1477"/>
      <c r="AR67" s="1477"/>
      <c r="AS67" s="1477"/>
      <c r="AT67" s="1477"/>
      <c r="AU67" s="1477"/>
      <c r="AV67" s="1477"/>
      <c r="AW67" s="1477"/>
    </row>
    <row r="68" spans="2:49" hidden="1" outlineLevel="1">
      <c r="C68" s="75"/>
      <c r="AK68" s="74"/>
      <c r="AN68" s="1477"/>
      <c r="AO68" s="1477"/>
      <c r="AP68" s="1477"/>
      <c r="AQ68" s="1477"/>
      <c r="AR68" s="1477"/>
      <c r="AS68" s="1477"/>
      <c r="AT68" s="1477"/>
      <c r="AU68" s="1477"/>
      <c r="AV68" s="1477"/>
      <c r="AW68" s="1477"/>
    </row>
    <row r="69" spans="2:49" hidden="1" outlineLevel="1">
      <c r="C69" s="75"/>
      <c r="AK69" s="74"/>
      <c r="AN69" s="1477"/>
      <c r="AO69" s="1477"/>
      <c r="AP69" s="1477"/>
      <c r="AQ69" s="1477"/>
      <c r="AR69" s="1477"/>
      <c r="AS69" s="1477"/>
      <c r="AT69" s="1477"/>
      <c r="AU69" s="1477"/>
      <c r="AV69" s="1477"/>
      <c r="AW69" s="1477"/>
    </row>
    <row r="70" spans="2:49" hidden="1" outlineLevel="1">
      <c r="C70" s="75"/>
      <c r="AK70" s="74"/>
      <c r="AN70" s="1477"/>
      <c r="AO70" s="1477"/>
      <c r="AP70" s="1477"/>
      <c r="AQ70" s="1477"/>
      <c r="AR70" s="1477"/>
      <c r="AS70" s="1477"/>
      <c r="AT70" s="1477"/>
      <c r="AU70" s="1477"/>
      <c r="AV70" s="1477"/>
      <c r="AW70" s="1477"/>
    </row>
    <row r="71" spans="2:49" hidden="1" outlineLevel="1">
      <c r="C71" s="75"/>
      <c r="AK71" s="74"/>
      <c r="AN71" s="1477"/>
      <c r="AO71" s="1477"/>
      <c r="AP71" s="1477"/>
      <c r="AQ71" s="1477"/>
      <c r="AR71" s="1477"/>
      <c r="AS71" s="1477"/>
      <c r="AT71" s="1477"/>
      <c r="AU71" s="1477"/>
      <c r="AV71" s="1477"/>
      <c r="AW71" s="1477"/>
    </row>
    <row r="72" spans="2:49" hidden="1" outlineLevel="1">
      <c r="B72" s="67"/>
      <c r="C72" s="138"/>
      <c r="E72" s="4"/>
      <c r="F72" s="4"/>
      <c r="G72" s="4"/>
      <c r="H72" s="4"/>
      <c r="AA72" s="4"/>
      <c r="AB72" s="4"/>
      <c r="AC72" s="4"/>
      <c r="AD72" s="4"/>
      <c r="AE72" s="4"/>
      <c r="AF72" s="4"/>
      <c r="AG72" s="4"/>
      <c r="AH72" s="4"/>
      <c r="AI72" s="4"/>
      <c r="AJ72" s="4"/>
      <c r="AK72" s="74"/>
      <c r="AN72" s="1477"/>
      <c r="AO72" s="1477"/>
      <c r="AP72" s="1477"/>
      <c r="AQ72" s="1477"/>
      <c r="AR72" s="1477"/>
      <c r="AS72" s="1477"/>
      <c r="AT72" s="1477"/>
      <c r="AU72" s="1477"/>
      <c r="AV72" s="1477"/>
      <c r="AW72" s="1477"/>
    </row>
    <row r="73" spans="2:49" hidden="1" outlineLevel="1">
      <c r="C73" s="75"/>
      <c r="D73" s="92"/>
      <c r="AK73" s="74"/>
      <c r="AN73" s="1477"/>
      <c r="AO73" s="1477"/>
      <c r="AP73" s="1477"/>
      <c r="AQ73" s="1477"/>
      <c r="AR73" s="1477"/>
      <c r="AS73" s="1477"/>
      <c r="AT73" s="1477"/>
      <c r="AU73" s="1477"/>
      <c r="AV73" s="1477"/>
      <c r="AW73" s="1477"/>
    </row>
    <row r="74" spans="2:49" hidden="1" outlineLevel="1">
      <c r="C74" s="75"/>
      <c r="AK74" s="74"/>
      <c r="AN74" s="1477"/>
      <c r="AO74" s="1477"/>
      <c r="AP74" s="1477"/>
      <c r="AQ74" s="1477"/>
      <c r="AR74" s="1477"/>
      <c r="AS74" s="1477"/>
      <c r="AT74" s="1477"/>
      <c r="AU74" s="1477"/>
      <c r="AV74" s="1477"/>
      <c r="AW74" s="1477"/>
    </row>
    <row r="75" spans="2:49" collapsed="1">
      <c r="C75" s="75"/>
      <c r="AA75" s="1387">
        <f>AA55-'Opex_FO_W&amp;S'!AA90-'Opex_FO_W&amp;D'!AA90</f>
        <v>0</v>
      </c>
      <c r="AB75" s="1387">
        <f>AB55-'Opex_FO_W&amp;S'!AB90-'Opex_FO_W&amp;D'!AB90</f>
        <v>0</v>
      </c>
      <c r="AC75" s="1387">
        <f>AC55-'Opex_FO_W&amp;S'!AC90-'Opex_FO_W&amp;D'!AC90</f>
        <v>0</v>
      </c>
      <c r="AD75" s="1387">
        <f>AD55-'Opex_FO_W&amp;S'!AD90-'Opex_FO_W&amp;D'!AD90</f>
        <v>0</v>
      </c>
      <c r="AE75" s="1387">
        <f>AE55-'Opex_FO_W&amp;S'!AE90-'Opex_FO_W&amp;D'!AE90</f>
        <v>0</v>
      </c>
      <c r="AF75" s="1387">
        <f>AF55-'Opex_FO_W&amp;S'!AF90-'Opex_FO_W&amp;D'!AF90</f>
        <v>0</v>
      </c>
      <c r="AG75" s="1387">
        <f>AG55-'Opex_FO_W&amp;S'!AG90-'Opex_FO_W&amp;D'!AG90</f>
        <v>0</v>
      </c>
      <c r="AH75" s="1387">
        <f>AH55-'Opex_FO_W&amp;S'!AH90-'Opex_FO_W&amp;D'!AH90</f>
        <v>0</v>
      </c>
      <c r="AI75" s="1387">
        <f>AI55-'Opex_FO_W&amp;S'!AI90-'Opex_FO_W&amp;D'!AI90</f>
        <v>0</v>
      </c>
      <c r="AJ75" s="1387">
        <f>AJ55-'Opex_FO_W&amp;S'!AJ90-'Opex_FO_W&amp;D'!AJ90</f>
        <v>0</v>
      </c>
      <c r="AK75" s="74"/>
      <c r="AN75" s="1477"/>
      <c r="AO75" s="1477"/>
      <c r="AP75" s="1477"/>
      <c r="AQ75" s="1477"/>
      <c r="AR75" s="1477"/>
      <c r="AS75" s="1477"/>
      <c r="AT75" s="1477"/>
      <c r="AU75" s="1477"/>
      <c r="AV75" s="1477"/>
      <c r="AW75" s="1477"/>
    </row>
    <row r="76" spans="2:49">
      <c r="C76" s="75"/>
      <c r="D76" s="92" t="s">
        <v>352</v>
      </c>
      <c r="E76" s="67"/>
      <c r="F76" s="67"/>
      <c r="G76" s="67"/>
      <c r="H76" s="67"/>
      <c r="I76" s="67"/>
      <c r="J76" s="67"/>
      <c r="K76" s="67"/>
      <c r="L76" s="67"/>
      <c r="M76" s="67"/>
      <c r="N76" s="67"/>
      <c r="O76" s="67"/>
      <c r="P76" s="67"/>
      <c r="Q76" s="67"/>
      <c r="R76" s="67"/>
      <c r="S76" s="67"/>
      <c r="T76" s="67"/>
      <c r="U76" s="67"/>
      <c r="V76" s="67"/>
      <c r="Z76" s="1479"/>
      <c r="AA76" s="1502">
        <f t="shared" ref="AA76:AJ76" si="2">+AA55+AA53</f>
        <v>545.45973319354857</v>
      </c>
      <c r="AB76" s="1503">
        <f t="shared" si="2"/>
        <v>551.14985044551531</v>
      </c>
      <c r="AC76" s="1503">
        <f t="shared" si="2"/>
        <v>561.95351311879085</v>
      </c>
      <c r="AD76" s="1503">
        <f t="shared" si="2"/>
        <v>565.25181980440391</v>
      </c>
      <c r="AE76" s="1504">
        <f t="shared" si="2"/>
        <v>566.14799284372623</v>
      </c>
      <c r="AF76" s="96">
        <f t="shared" si="2"/>
        <v>565.72662591603273</v>
      </c>
      <c r="AG76" s="96">
        <f t="shared" si="2"/>
        <v>564.92478358474887</v>
      </c>
      <c r="AH76" s="96">
        <f t="shared" si="2"/>
        <v>563.84208181640088</v>
      </c>
      <c r="AI76" s="96">
        <f t="shared" si="2"/>
        <v>564.75118862126078</v>
      </c>
      <c r="AJ76" s="97">
        <f t="shared" si="2"/>
        <v>562.37815884444956</v>
      </c>
      <c r="AK76" s="74"/>
      <c r="AN76" s="1477"/>
      <c r="AO76" s="1477"/>
      <c r="AP76" s="1477"/>
      <c r="AQ76" s="1477"/>
      <c r="AR76" s="1477"/>
      <c r="AS76" s="1477"/>
      <c r="AT76" s="1477"/>
      <c r="AU76" s="1477"/>
      <c r="AV76" s="1477"/>
      <c r="AW76" s="1477"/>
    </row>
    <row r="77" spans="2:49">
      <c r="C77" s="75"/>
      <c r="D77" s="92"/>
      <c r="E77" s="67"/>
      <c r="F77" s="67"/>
      <c r="G77" s="67"/>
      <c r="H77" s="67"/>
      <c r="I77" s="67"/>
      <c r="J77" s="67"/>
      <c r="K77" s="67"/>
      <c r="L77" s="67"/>
      <c r="M77" s="67"/>
      <c r="N77" s="67"/>
      <c r="O77" s="67"/>
      <c r="P77" s="67"/>
      <c r="Q77" s="67"/>
      <c r="R77" s="67"/>
      <c r="S77" s="67"/>
      <c r="T77" s="67"/>
      <c r="U77" s="67"/>
      <c r="V77" s="67"/>
      <c r="W77" s="1006"/>
      <c r="AA77" s="1008"/>
      <c r="AB77" s="98"/>
      <c r="AC77" s="98"/>
      <c r="AD77" s="98"/>
      <c r="AE77" s="98"/>
      <c r="AF77" s="98"/>
      <c r="AG77" s="98"/>
      <c r="AH77" s="98"/>
      <c r="AI77" s="98"/>
      <c r="AJ77" s="98"/>
      <c r="AK77" s="74"/>
      <c r="AN77" s="1477"/>
      <c r="AO77" s="1477"/>
      <c r="AP77" s="1477"/>
      <c r="AQ77" s="1477"/>
      <c r="AR77" s="1477"/>
      <c r="AS77" s="1477"/>
      <c r="AT77" s="1477"/>
      <c r="AU77" s="1477"/>
      <c r="AV77" s="1477"/>
      <c r="AW77" s="1477"/>
    </row>
    <row r="78" spans="2:49">
      <c r="C78" s="75"/>
      <c r="D78" s="92" t="s">
        <v>353</v>
      </c>
      <c r="E78" s="67"/>
      <c r="F78" s="67"/>
      <c r="G78" s="67"/>
      <c r="H78" s="67"/>
      <c r="I78" s="67"/>
      <c r="J78" s="67"/>
      <c r="K78" s="67"/>
      <c r="L78" s="67"/>
      <c r="M78" s="67"/>
      <c r="N78" s="67"/>
      <c r="O78" s="67"/>
      <c r="P78" s="67"/>
      <c r="Q78" s="67"/>
      <c r="R78" s="67"/>
      <c r="S78" s="67"/>
      <c r="T78" s="67"/>
      <c r="U78" s="67"/>
      <c r="V78" s="67"/>
      <c r="AA78" s="1384"/>
      <c r="AB78" s="67"/>
      <c r="AC78" s="67"/>
      <c r="AD78" s="67"/>
      <c r="AE78" s="67"/>
      <c r="AF78" s="67"/>
      <c r="AG78" s="67"/>
      <c r="AH78" s="67"/>
      <c r="AI78" s="67"/>
      <c r="AJ78" s="67"/>
      <c r="AK78" s="74"/>
      <c r="AN78" s="1477"/>
      <c r="AO78" s="1477"/>
      <c r="AP78" s="1477"/>
      <c r="AQ78" s="1477"/>
      <c r="AR78" s="1477"/>
      <c r="AS78" s="1477"/>
      <c r="AT78" s="1477"/>
      <c r="AU78" s="1477"/>
      <c r="AV78" s="1477"/>
      <c r="AW78" s="1477"/>
    </row>
    <row r="79" spans="2:49">
      <c r="C79" s="75"/>
      <c r="D79" s="99" t="str">
        <f>Opex_Breakdown!E31</f>
        <v>Licence fees</v>
      </c>
      <c r="E79" s="103"/>
      <c r="F79" s="67"/>
      <c r="G79" s="67"/>
      <c r="H79" s="67"/>
      <c r="I79" s="67"/>
      <c r="J79" s="67"/>
      <c r="K79" s="67"/>
      <c r="L79" s="67"/>
      <c r="M79" s="67"/>
      <c r="N79" s="67"/>
      <c r="O79" s="67"/>
      <c r="P79" s="67"/>
      <c r="Q79" s="67"/>
      <c r="R79" s="67"/>
      <c r="S79" s="67"/>
      <c r="T79" s="67"/>
      <c r="U79" s="67"/>
      <c r="V79" s="67"/>
      <c r="AA79" s="100">
        <f>+Opex_Breakdown!AA31</f>
        <v>2.8978902757641918</v>
      </c>
      <c r="AB79" s="101">
        <f>+Opex_Breakdown!AB31</f>
        <v>2.8978902757641918</v>
      </c>
      <c r="AC79" s="101">
        <f>+Opex_Breakdown!AC31</f>
        <v>2.8978902757641918</v>
      </c>
      <c r="AD79" s="101">
        <f>+Opex_Breakdown!AD31</f>
        <v>2.8978902757641918</v>
      </c>
      <c r="AE79" s="102">
        <f>+Opex_Breakdown!AE31</f>
        <v>2.8978902757641918</v>
      </c>
      <c r="AF79" s="101">
        <f>+Opex_Breakdown!AF31</f>
        <v>2.8978902757641918</v>
      </c>
      <c r="AG79" s="101">
        <f>+Opex_Breakdown!AG31</f>
        <v>2.8978902757641918</v>
      </c>
      <c r="AH79" s="101">
        <f>+Opex_Breakdown!AH31</f>
        <v>2.8978902757641918</v>
      </c>
      <c r="AI79" s="101">
        <f>+Opex_Breakdown!AI31</f>
        <v>2.8978902757641918</v>
      </c>
      <c r="AJ79" s="102">
        <f>+Opex_Breakdown!AJ31</f>
        <v>2.8978902757641918</v>
      </c>
      <c r="AK79" s="74"/>
      <c r="AN79" s="1477"/>
      <c r="AO79" s="1477"/>
      <c r="AP79" s="1477"/>
      <c r="AQ79" s="1477"/>
      <c r="AR79" s="1477"/>
      <c r="AS79" s="1477"/>
      <c r="AT79" s="1477"/>
      <c r="AU79" s="1477"/>
      <c r="AV79" s="1477"/>
      <c r="AW79" s="1477"/>
    </row>
    <row r="80" spans="2:49">
      <c r="C80" s="75"/>
      <c r="D80" s="99" t="str">
        <f>Opex_Breakdown!E32</f>
        <v>Environment Contribution (W&amp;D)</v>
      </c>
      <c r="E80" s="103"/>
      <c r="F80" s="67"/>
      <c r="G80" s="67"/>
      <c r="H80" s="67"/>
      <c r="I80" s="67"/>
      <c r="J80" s="67"/>
      <c r="K80" s="67"/>
      <c r="L80" s="67"/>
      <c r="M80" s="67"/>
      <c r="N80" s="67"/>
      <c r="O80" s="67"/>
      <c r="P80" s="67"/>
      <c r="Q80" s="67"/>
      <c r="R80" s="67"/>
      <c r="S80" s="67"/>
      <c r="T80" s="67"/>
      <c r="U80" s="67"/>
      <c r="V80" s="67"/>
      <c r="AA80" s="104">
        <f>+Opex_Breakdown!AA32</f>
        <v>3.4786437220602547E-2</v>
      </c>
      <c r="AB80" s="105">
        <f>+Opex_Breakdown!AB32</f>
        <v>3.3806061438875171E-2</v>
      </c>
      <c r="AC80" s="105">
        <f>+Opex_Breakdown!AC32</f>
        <v>3.2853315295311152E-2</v>
      </c>
      <c r="AD80" s="105">
        <f>+Opex_Breakdown!AD32</f>
        <v>3.1927420112061372E-2</v>
      </c>
      <c r="AE80" s="106">
        <f>+Opex_Breakdown!AE32</f>
        <v>3.1027619156522229E-2</v>
      </c>
      <c r="AF80" s="105">
        <f>+Opex_Breakdown!AF32</f>
        <v>3.0153177022859311E-2</v>
      </c>
      <c r="AG80" s="105">
        <f>+Opex_Breakdown!AG32</f>
        <v>2.9303379030961432E-2</v>
      </c>
      <c r="AH80" s="105">
        <f>+Opex_Breakdown!AH32</f>
        <v>2.8477530642333757E-2</v>
      </c>
      <c r="AI80" s="105">
        <f>+Opex_Breakdown!AI32</f>
        <v>2.7674956892452633E-2</v>
      </c>
      <c r="AJ80" s="106">
        <f>+Opex_Breakdown!AJ32</f>
        <v>2.6895001839118207E-2</v>
      </c>
      <c r="AK80" s="74"/>
      <c r="AN80" s="1477"/>
      <c r="AO80" s="1477"/>
      <c r="AP80" s="1477"/>
      <c r="AQ80" s="1477"/>
      <c r="AR80" s="1477"/>
      <c r="AS80" s="1477"/>
      <c r="AT80" s="1477"/>
      <c r="AU80" s="1477"/>
      <c r="AV80" s="1477"/>
      <c r="AW80" s="1477"/>
    </row>
    <row r="81" spans="3:49">
      <c r="C81" s="75"/>
      <c r="D81" s="99" t="str">
        <f>Opex_Breakdown!E33</f>
        <v>Desalination Payments (W&amp;S)</v>
      </c>
      <c r="E81" s="103"/>
      <c r="F81" s="67"/>
      <c r="G81" s="67"/>
      <c r="H81" s="67"/>
      <c r="I81" s="67"/>
      <c r="J81" s="67"/>
      <c r="K81" s="67"/>
      <c r="L81" s="67"/>
      <c r="M81" s="67"/>
      <c r="N81" s="67"/>
      <c r="O81" s="67"/>
      <c r="P81" s="67"/>
      <c r="Q81" s="67"/>
      <c r="R81" s="67"/>
      <c r="S81" s="67"/>
      <c r="T81" s="67"/>
      <c r="U81" s="67"/>
      <c r="V81" s="67"/>
      <c r="AA81" s="104">
        <f>+Opex_Breakdown!AA33</f>
        <v>519.65610716115782</v>
      </c>
      <c r="AB81" s="105">
        <f>+Opex_Breakdown!AB33</f>
        <v>507.23378314127302</v>
      </c>
      <c r="AC81" s="105">
        <f>+Opex_Breakdown!AC33</f>
        <v>502.13734976423558</v>
      </c>
      <c r="AD81" s="105">
        <f>+Opex_Breakdown!AD33</f>
        <v>480.98866546624782</v>
      </c>
      <c r="AE81" s="106">
        <f>+Opex_Breakdown!AE33</f>
        <v>460.29627939238156</v>
      </c>
      <c r="AF81" s="105">
        <f>+Opex_Breakdown!AF33</f>
        <v>438.03112520239159</v>
      </c>
      <c r="AG81" s="105">
        <f>+Opex_Breakdown!AG33</f>
        <v>414.00398512234364</v>
      </c>
      <c r="AH81" s="105">
        <f>+Opex_Breakdown!AH33</f>
        <v>378.84409564776519</v>
      </c>
      <c r="AI81" s="105">
        <f>+Opex_Breakdown!AI33</f>
        <v>351.94541390923274</v>
      </c>
      <c r="AJ81" s="106">
        <f>+Opex_Breakdown!AJ33</f>
        <v>323.92970971699924</v>
      </c>
      <c r="AK81" s="74"/>
      <c r="AN81" s="1477"/>
      <c r="AO81" s="1477"/>
      <c r="AP81" s="1477"/>
      <c r="AQ81" s="1477"/>
      <c r="AR81" s="1477"/>
      <c r="AS81" s="1477"/>
      <c r="AT81" s="1477"/>
      <c r="AU81" s="1477"/>
      <c r="AV81" s="1477"/>
      <c r="AW81" s="1477"/>
    </row>
    <row r="82" spans="3:49">
      <c r="C82" s="75"/>
      <c r="D82" s="99" t="str">
        <f>Opex_Breakdown!E34</f>
        <v>Other non-controllable</v>
      </c>
      <c r="E82" s="107"/>
      <c r="F82" s="67"/>
      <c r="G82" s="67"/>
      <c r="H82" s="67"/>
      <c r="I82" s="67"/>
      <c r="J82" s="67"/>
      <c r="K82" s="67"/>
      <c r="L82" s="67"/>
      <c r="M82" s="67"/>
      <c r="N82" s="67"/>
      <c r="O82" s="67"/>
      <c r="P82" s="67"/>
      <c r="Q82" s="67"/>
      <c r="R82" s="67"/>
      <c r="S82" s="67"/>
      <c r="T82" s="67"/>
      <c r="U82" s="67"/>
      <c r="V82" s="67"/>
      <c r="AA82" s="108">
        <f>+Opex_Breakdown!AA34</f>
        <v>47.043857033064519</v>
      </c>
      <c r="AB82" s="109">
        <f>+Opex_Breakdown!AB34</f>
        <v>47.241439292764042</v>
      </c>
      <c r="AC82" s="109">
        <f>+Opex_Breakdown!AC34</f>
        <v>47.440273774173868</v>
      </c>
      <c r="AD82" s="109">
        <f>+Opex_Breakdown!AD34</f>
        <v>47.640358457637717</v>
      </c>
      <c r="AE82" s="110">
        <f>+Opex_Breakdown!AE34</f>
        <v>47.632351912201202</v>
      </c>
      <c r="AF82" s="109">
        <f>+Opex_Breakdown!AF34</f>
        <v>47.624571012846005</v>
      </c>
      <c r="AG82" s="109">
        <f>+Opex_Breakdown!AG34</f>
        <v>47.61700940025591</v>
      </c>
      <c r="AH82" s="109">
        <f>+Opex_Breakdown!AH34</f>
        <v>47.609660894337438</v>
      </c>
      <c r="AI82" s="109">
        <f>+Opex_Breakdown!AI34</f>
        <v>47.60251948916887</v>
      </c>
      <c r="AJ82" s="110">
        <f>+Opex_Breakdown!AJ34</f>
        <v>47.595579348091547</v>
      </c>
      <c r="AK82" s="74"/>
      <c r="AN82" s="1477"/>
      <c r="AO82" s="1477"/>
      <c r="AP82" s="1477"/>
      <c r="AQ82" s="1477"/>
      <c r="AR82" s="1477"/>
      <c r="AS82" s="1477"/>
      <c r="AT82" s="1477"/>
      <c r="AU82" s="1477"/>
      <c r="AV82" s="1477"/>
      <c r="AW82" s="1477"/>
    </row>
    <row r="83" spans="3:49">
      <c r="C83" s="75"/>
      <c r="D83" s="92" t="s">
        <v>354</v>
      </c>
      <c r="E83" s="67"/>
      <c r="F83" s="67"/>
      <c r="G83" s="67"/>
      <c r="H83" s="67"/>
      <c r="I83" s="67"/>
      <c r="J83" s="67"/>
      <c r="K83" s="67"/>
      <c r="L83" s="67"/>
      <c r="M83" s="67"/>
      <c r="N83" s="67"/>
      <c r="O83" s="67"/>
      <c r="P83" s="67"/>
      <c r="Q83" s="67"/>
      <c r="R83" s="67"/>
      <c r="S83" s="67"/>
      <c r="T83" s="67"/>
      <c r="U83" s="67"/>
      <c r="V83" s="67"/>
      <c r="AA83" s="111">
        <f t="shared" ref="AA83:AJ83" si="3">SUM(AA79:AA82)</f>
        <v>569.63264090720713</v>
      </c>
      <c r="AB83" s="111">
        <f t="shared" si="3"/>
        <v>557.40691877124016</v>
      </c>
      <c r="AC83" s="111">
        <f t="shared" si="3"/>
        <v>552.50836712946898</v>
      </c>
      <c r="AD83" s="111">
        <f t="shared" si="3"/>
        <v>531.55884161976178</v>
      </c>
      <c r="AE83" s="111">
        <f t="shared" si="3"/>
        <v>510.85754919950347</v>
      </c>
      <c r="AF83" s="111">
        <f t="shared" si="3"/>
        <v>488.58373966802463</v>
      </c>
      <c r="AG83" s="111">
        <f t="shared" si="3"/>
        <v>464.54818817739465</v>
      </c>
      <c r="AH83" s="111">
        <f t="shared" si="3"/>
        <v>429.38012434850913</v>
      </c>
      <c r="AI83" s="111">
        <f t="shared" si="3"/>
        <v>402.47349863105825</v>
      </c>
      <c r="AJ83" s="111">
        <f t="shared" si="3"/>
        <v>374.45007434269405</v>
      </c>
      <c r="AK83" s="74"/>
      <c r="AN83" s="1477"/>
      <c r="AO83" s="1477"/>
      <c r="AP83" s="1477"/>
      <c r="AQ83" s="1477"/>
      <c r="AR83" s="1477"/>
      <c r="AS83" s="1477"/>
      <c r="AT83" s="1477"/>
      <c r="AU83" s="1477"/>
      <c r="AV83" s="1477"/>
      <c r="AW83" s="1477"/>
    </row>
    <row r="84" spans="3:49">
      <c r="C84" s="75"/>
      <c r="D84" s="92"/>
      <c r="E84" s="67"/>
      <c r="F84" s="67"/>
      <c r="G84" s="67"/>
      <c r="W84" s="1006"/>
      <c r="AA84" s="1387">
        <f>AA83-'Opex_FO_W&amp;S'!AA99-'Opex_FO_W&amp;D'!AA99</f>
        <v>-3.907985046680551E-14</v>
      </c>
      <c r="AB84" s="1387">
        <f>AB83-'Opex_FO_W&amp;S'!AB99-'Opex_FO_W&amp;D'!AB99</f>
        <v>2.6645352591003757E-14</v>
      </c>
      <c r="AC84" s="1387">
        <f>AC83-'Opex_FO_W&amp;S'!AC99-'Opex_FO_W&amp;D'!AC99</f>
        <v>6.7501559897209518E-14</v>
      </c>
      <c r="AD84" s="1387">
        <f>AD83-'Opex_FO_W&amp;S'!AD99-'Opex_FO_W&amp;D'!AD99</f>
        <v>3.0198066269804258E-14</v>
      </c>
      <c r="AE84" s="1387">
        <f>AE83-'Opex_FO_W&amp;S'!AE99-'Opex_FO_W&amp;D'!AE99</f>
        <v>-3.907985046680551E-14</v>
      </c>
      <c r="AF84" s="1387">
        <f>AF83-'Opex_FO_W&amp;S'!AF99-'Opex_FO_W&amp;D'!AF99</f>
        <v>0</v>
      </c>
      <c r="AG84" s="1387">
        <f>AG83-'Opex_FO_W&amp;S'!AG99-'Opex_FO_W&amp;D'!AG99</f>
        <v>-3.1974423109204508E-14</v>
      </c>
      <c r="AH84" s="1387">
        <f>AH83-'Opex_FO_W&amp;S'!AH99-'Opex_FO_W&amp;D'!AH99</f>
        <v>-1.9539925233402755E-14</v>
      </c>
      <c r="AI84" s="1387">
        <f>AI83-'Opex_FO_W&amp;S'!AI99-'Opex_FO_W&amp;D'!AI99</f>
        <v>0</v>
      </c>
      <c r="AJ84" s="1387">
        <f>AJ83-'Opex_FO_W&amp;S'!AJ99-'Opex_FO_W&amp;D'!AJ99</f>
        <v>-3.0198066269804258E-14</v>
      </c>
      <c r="AK84" s="74"/>
      <c r="AN84" s="1477"/>
      <c r="AO84" s="1477"/>
      <c r="AP84" s="1477"/>
      <c r="AQ84" s="1477"/>
      <c r="AR84" s="1477"/>
      <c r="AS84" s="1477"/>
      <c r="AT84" s="1477"/>
      <c r="AU84" s="1477"/>
      <c r="AV84" s="1477"/>
      <c r="AW84" s="1477"/>
    </row>
    <row r="85" spans="3:49">
      <c r="C85" s="75"/>
      <c r="D85" s="112"/>
      <c r="E85" s="112"/>
      <c r="F85" s="67"/>
      <c r="G85" s="67"/>
      <c r="H85" s="67"/>
      <c r="I85" s="67"/>
      <c r="J85" s="67"/>
      <c r="K85" s="67"/>
      <c r="L85" s="67"/>
      <c r="M85" s="67"/>
      <c r="N85" s="67"/>
      <c r="O85" s="67"/>
      <c r="P85" s="67"/>
      <c r="Q85" s="67"/>
      <c r="R85" s="67"/>
      <c r="S85" s="67"/>
      <c r="T85" s="67"/>
      <c r="U85" s="67"/>
      <c r="V85" s="67"/>
      <c r="AA85" s="67"/>
      <c r="AB85" s="67"/>
      <c r="AC85" s="67"/>
      <c r="AD85" s="67"/>
      <c r="AE85" s="67"/>
      <c r="AF85" s="67"/>
      <c r="AG85" s="67"/>
      <c r="AH85" s="67"/>
      <c r="AI85" s="67"/>
      <c r="AJ85" s="67"/>
      <c r="AK85" s="74"/>
      <c r="AN85" s="1477"/>
      <c r="AO85" s="1477"/>
      <c r="AP85" s="1477"/>
      <c r="AQ85" s="1477"/>
      <c r="AR85" s="1477"/>
      <c r="AS85" s="1477"/>
      <c r="AT85" s="1477"/>
      <c r="AU85" s="1477"/>
      <c r="AV85" s="1477"/>
      <c r="AW85" s="1477"/>
    </row>
    <row r="86" spans="3:49">
      <c r="C86" s="75"/>
      <c r="D86" s="92" t="s">
        <v>355</v>
      </c>
      <c r="E86" s="67"/>
      <c r="F86" s="67"/>
      <c r="AA86" s="1430">
        <f t="shared" ref="AA86:AJ86" si="4">+AA83+AA76</f>
        <v>1115.0923741007557</v>
      </c>
      <c r="AB86" s="1431">
        <f t="shared" si="4"/>
        <v>1108.5567692167556</v>
      </c>
      <c r="AC86" s="1431">
        <f t="shared" si="4"/>
        <v>1114.4618802482598</v>
      </c>
      <c r="AD86" s="1431">
        <f t="shared" si="4"/>
        <v>1096.8106614241656</v>
      </c>
      <c r="AE86" s="1432">
        <f t="shared" si="4"/>
        <v>1077.0055420432298</v>
      </c>
      <c r="AF86" s="1431">
        <f t="shared" si="4"/>
        <v>1054.3103655840573</v>
      </c>
      <c r="AG86" s="1431">
        <f t="shared" si="4"/>
        <v>1029.4729717621435</v>
      </c>
      <c r="AH86" s="1431">
        <f t="shared" si="4"/>
        <v>993.22220616490995</v>
      </c>
      <c r="AI86" s="1431">
        <f t="shared" si="4"/>
        <v>967.22468725231897</v>
      </c>
      <c r="AJ86" s="1432">
        <f t="shared" si="4"/>
        <v>936.82823318714361</v>
      </c>
      <c r="AK86" s="74"/>
      <c r="AN86" s="1477"/>
      <c r="AO86" s="1477"/>
      <c r="AP86" s="1477"/>
      <c r="AQ86" s="1477"/>
      <c r="AR86" s="1477"/>
      <c r="AS86" s="1477"/>
      <c r="AT86" s="1477"/>
      <c r="AU86" s="1477"/>
      <c r="AV86" s="1477"/>
      <c r="AW86" s="1477"/>
    </row>
    <row r="87" spans="3:49">
      <c r="C87" s="75"/>
      <c r="D87" s="92"/>
      <c r="E87" s="67"/>
      <c r="F87" s="67"/>
      <c r="G87" s="1848"/>
      <c r="H87" s="1848"/>
      <c r="I87" s="1848"/>
      <c r="J87" s="1848"/>
      <c r="K87" s="1848"/>
      <c r="L87" s="1848"/>
      <c r="M87" s="1848"/>
      <c r="N87" s="1848"/>
      <c r="O87" s="1848"/>
      <c r="P87" s="1848"/>
      <c r="Q87" s="1848"/>
      <c r="R87" s="1848"/>
      <c r="S87" s="1848"/>
      <c r="T87" s="1848"/>
      <c r="U87" s="1848"/>
      <c r="V87" s="1848"/>
      <c r="W87" s="1850"/>
      <c r="X87" s="1848"/>
      <c r="Y87" s="1848"/>
      <c r="Z87" s="1851" t="s">
        <v>356</v>
      </c>
      <c r="AA87" s="1385">
        <f>AA86-'Opex_FO_W&amp;S'!AA102-'Opex_FO_W&amp;D'!AA102</f>
        <v>0</v>
      </c>
      <c r="AB87" s="1385">
        <f>AB86-'Opex_FO_W&amp;S'!AB102-'Opex_FO_W&amp;D'!AB102</f>
        <v>0</v>
      </c>
      <c r="AC87" s="1385">
        <f>AC86-'Opex_FO_W&amp;S'!AC102-'Opex_FO_W&amp;D'!AC102</f>
        <v>0</v>
      </c>
      <c r="AD87" s="1385">
        <f>AD86-'Opex_FO_W&amp;S'!AD102-'Opex_FO_W&amp;D'!AD102</f>
        <v>0</v>
      </c>
      <c r="AE87" s="1385">
        <f>AE86-'Opex_FO_W&amp;S'!AE102-'Opex_FO_W&amp;D'!AE102</f>
        <v>0</v>
      </c>
      <c r="AF87" s="1385">
        <f>AF86-'Opex_FO_W&amp;S'!AF102-'Opex_FO_W&amp;D'!AF102</f>
        <v>0</v>
      </c>
      <c r="AG87" s="1385">
        <f>AG86-'Opex_FO_W&amp;S'!AG102-'Opex_FO_W&amp;D'!AG102</f>
        <v>0</v>
      </c>
      <c r="AH87" s="1385">
        <f>AH86-'Opex_FO_W&amp;S'!AH102-'Opex_FO_W&amp;D'!AH102</f>
        <v>0</v>
      </c>
      <c r="AI87" s="1385">
        <f>AI86-'Opex_FO_W&amp;S'!AI102-'Opex_FO_W&amp;D'!AI102</f>
        <v>0</v>
      </c>
      <c r="AJ87" s="1385">
        <f>AJ86-'Opex_FO_W&amp;S'!AJ102-'Opex_FO_W&amp;D'!AJ102</f>
        <v>0</v>
      </c>
      <c r="AK87" s="74"/>
      <c r="AN87" s="1477"/>
      <c r="AO87" s="1477"/>
      <c r="AP87" s="1477"/>
      <c r="AQ87" s="1477"/>
      <c r="AR87" s="1477"/>
      <c r="AS87" s="1477"/>
      <c r="AT87" s="1477"/>
      <c r="AU87" s="1477"/>
      <c r="AV87" s="1477"/>
      <c r="AW87" s="1477"/>
    </row>
    <row r="88" spans="3:49">
      <c r="C88" s="75"/>
      <c r="D88" s="92"/>
      <c r="E88" s="67"/>
      <c r="F88" s="67"/>
      <c r="G88" s="67"/>
      <c r="H88" s="67"/>
      <c r="I88" s="67"/>
      <c r="J88" s="67"/>
      <c r="K88" s="67"/>
      <c r="L88" s="67"/>
      <c r="M88" s="67"/>
      <c r="N88" s="67"/>
      <c r="O88" s="67"/>
      <c r="P88" s="67"/>
      <c r="Q88" s="67"/>
      <c r="R88" s="67"/>
      <c r="S88" s="67"/>
      <c r="T88" s="67"/>
      <c r="U88" s="67"/>
      <c r="V88" s="67"/>
      <c r="AA88" s="67"/>
      <c r="AB88" s="67"/>
      <c r="AC88" s="67"/>
      <c r="AD88" s="67"/>
      <c r="AE88" s="67"/>
      <c r="AF88" s="67"/>
      <c r="AG88" s="67"/>
      <c r="AH88" s="67"/>
      <c r="AI88" s="67"/>
      <c r="AJ88" s="67"/>
      <c r="AK88" s="74"/>
      <c r="AN88" s="1477"/>
      <c r="AO88" s="1477"/>
      <c r="AP88" s="1477"/>
      <c r="AQ88" s="1477"/>
      <c r="AR88" s="1477"/>
      <c r="AS88" s="1477"/>
      <c r="AT88" s="1477"/>
      <c r="AU88" s="1477"/>
      <c r="AV88" s="1477"/>
      <c r="AW88" s="1477"/>
    </row>
    <row r="89" spans="3:49">
      <c r="C89" s="75"/>
      <c r="D89" s="92"/>
      <c r="E89" s="67"/>
      <c r="F89" s="67"/>
      <c r="G89" s="67"/>
      <c r="H89" s="67"/>
      <c r="I89" s="67"/>
      <c r="J89" s="67"/>
      <c r="K89" s="67"/>
      <c r="L89" s="67"/>
      <c r="M89" s="67"/>
      <c r="N89" s="67"/>
      <c r="O89" s="67"/>
      <c r="P89" s="67"/>
      <c r="Q89" s="67"/>
      <c r="R89" s="67"/>
      <c r="S89" s="67"/>
      <c r="T89" s="67"/>
      <c r="U89" s="67"/>
      <c r="Z89" s="238" t="s">
        <v>357</v>
      </c>
      <c r="AA89" s="239">
        <f>+Opex_Breakdown!AA39</f>
        <v>1115.0923741007557</v>
      </c>
      <c r="AB89" s="240">
        <f>+Opex_Breakdown!AB39</f>
        <v>1108.5567692167556</v>
      </c>
      <c r="AC89" s="240">
        <f>+Opex_Breakdown!AC39</f>
        <v>1114.4618802482601</v>
      </c>
      <c r="AD89" s="240">
        <f>+Opex_Breakdown!AD39</f>
        <v>1096.8106614241656</v>
      </c>
      <c r="AE89" s="240">
        <f>+Opex_Breakdown!AE39</f>
        <v>1077.00554204323</v>
      </c>
      <c r="AF89" s="240">
        <f>+Opex_Breakdown!AF39</f>
        <v>1054.3103655840573</v>
      </c>
      <c r="AG89" s="240">
        <f>+Opex_Breakdown!AG39</f>
        <v>1029.4729717621435</v>
      </c>
      <c r="AH89" s="240">
        <f>+Opex_Breakdown!AH39</f>
        <v>993.22220616491018</v>
      </c>
      <c r="AI89" s="240">
        <f>+Opex_Breakdown!AI39</f>
        <v>967.22468725231897</v>
      </c>
      <c r="AJ89" s="241">
        <f>+Opex_Breakdown!AJ39</f>
        <v>936.82823318714361</v>
      </c>
      <c r="AK89" s="74"/>
      <c r="AN89" s="1477"/>
      <c r="AO89" s="1477"/>
      <c r="AP89" s="1477"/>
      <c r="AQ89" s="1477"/>
      <c r="AR89" s="1477"/>
      <c r="AS89" s="1477"/>
      <c r="AT89" s="1477"/>
      <c r="AU89" s="1477"/>
      <c r="AV89" s="1477"/>
      <c r="AW89" s="1477"/>
    </row>
    <row r="90" spans="3:49">
      <c r="C90" s="75"/>
      <c r="D90" s="92"/>
      <c r="E90" s="67"/>
      <c r="F90" s="67"/>
      <c r="G90" s="67"/>
      <c r="H90" s="67"/>
      <c r="I90" s="67"/>
      <c r="J90" s="67"/>
      <c r="K90" s="67"/>
      <c r="L90" s="67"/>
      <c r="M90" s="67"/>
      <c r="N90" s="67"/>
      <c r="O90" s="67"/>
      <c r="P90" s="67"/>
      <c r="Q90" s="67"/>
      <c r="R90" s="67"/>
      <c r="S90" s="67"/>
      <c r="T90" s="67"/>
      <c r="U90" s="67"/>
      <c r="Z90" s="238" t="s">
        <v>231</v>
      </c>
      <c r="AA90" s="1516">
        <f t="shared" ref="AA90:AF90" si="5">+AA89-AA86</f>
        <v>0</v>
      </c>
      <c r="AB90" s="1517">
        <f t="shared" si="5"/>
        <v>0</v>
      </c>
      <c r="AC90" s="1517">
        <f t="shared" si="5"/>
        <v>0</v>
      </c>
      <c r="AD90" s="1517">
        <f t="shared" si="5"/>
        <v>0</v>
      </c>
      <c r="AE90" s="1517">
        <f t="shared" si="5"/>
        <v>0</v>
      </c>
      <c r="AF90" s="1517">
        <f t="shared" si="5"/>
        <v>0</v>
      </c>
      <c r="AG90" s="1517">
        <f>+AG89-AG86</f>
        <v>0</v>
      </c>
      <c r="AH90" s="1517">
        <f>+AH89-AH86</f>
        <v>0</v>
      </c>
      <c r="AI90" s="1517">
        <f>+AI89-AI86</f>
        <v>0</v>
      </c>
      <c r="AJ90" s="1518">
        <f>+AJ89-AJ86</f>
        <v>0</v>
      </c>
      <c r="AK90" s="74"/>
      <c r="AN90" s="1477"/>
      <c r="AO90" s="1477"/>
      <c r="AP90" s="1477"/>
      <c r="AQ90" s="1477"/>
      <c r="AR90" s="1477"/>
      <c r="AS90" s="1477"/>
      <c r="AT90" s="1477"/>
      <c r="AU90" s="1477"/>
      <c r="AV90" s="1477"/>
      <c r="AW90" s="1477"/>
    </row>
    <row r="91" spans="3:49">
      <c r="C91" s="75"/>
      <c r="D91" s="92"/>
      <c r="E91" s="67"/>
      <c r="F91" s="67"/>
      <c r="G91" s="67"/>
      <c r="H91" s="67"/>
      <c r="I91" s="67"/>
      <c r="J91" s="67"/>
      <c r="K91" s="67"/>
      <c r="L91" s="67"/>
      <c r="M91" s="67"/>
      <c r="N91" s="67"/>
      <c r="O91" s="67"/>
      <c r="P91" s="67"/>
      <c r="Q91" s="67"/>
      <c r="R91" s="67"/>
      <c r="S91" s="67"/>
      <c r="T91" s="67"/>
      <c r="U91" s="67"/>
      <c r="Z91" s="238" t="s">
        <v>358</v>
      </c>
      <c r="AA91" s="1660">
        <f>IF(ROUND(AA89,5)=ROUND(AA86,5),0,1)</f>
        <v>0</v>
      </c>
      <c r="AB91" s="1660">
        <f t="shared" ref="AB91:AJ91" si="6">IF(ROUND(AB89,5)=ROUND(AB86,5),0,1)</f>
        <v>0</v>
      </c>
      <c r="AC91" s="1660">
        <f t="shared" si="6"/>
        <v>0</v>
      </c>
      <c r="AD91" s="1660">
        <f t="shared" si="6"/>
        <v>0</v>
      </c>
      <c r="AE91" s="1660">
        <f t="shared" si="6"/>
        <v>0</v>
      </c>
      <c r="AF91" s="1660">
        <f t="shared" si="6"/>
        <v>0</v>
      </c>
      <c r="AG91" s="1660">
        <f t="shared" si="6"/>
        <v>0</v>
      </c>
      <c r="AH91" s="1660">
        <f t="shared" si="6"/>
        <v>0</v>
      </c>
      <c r="AI91" s="1660">
        <f t="shared" si="6"/>
        <v>0</v>
      </c>
      <c r="AJ91" s="1660">
        <f t="shared" si="6"/>
        <v>0</v>
      </c>
      <c r="AK91" s="74"/>
      <c r="AN91" s="1477"/>
      <c r="AO91" s="1477"/>
      <c r="AP91" s="1477"/>
      <c r="AQ91" s="1477"/>
      <c r="AR91" s="1477"/>
      <c r="AS91" s="1477"/>
      <c r="AT91" s="1477"/>
      <c r="AU91" s="1477"/>
      <c r="AV91" s="1477"/>
      <c r="AW91" s="1477"/>
    </row>
    <row r="92" spans="3:49">
      <c r="C92" s="81"/>
      <c r="D92" s="68"/>
      <c r="E92" s="68"/>
      <c r="F92" s="68"/>
      <c r="G92" s="68"/>
      <c r="H92" s="68"/>
      <c r="I92" s="68"/>
      <c r="J92" s="68"/>
      <c r="K92" s="68"/>
      <c r="L92" s="68"/>
      <c r="M92" s="68"/>
      <c r="N92" s="68"/>
      <c r="O92" s="68"/>
      <c r="P92" s="68"/>
      <c r="Q92" s="68"/>
      <c r="R92" s="68"/>
      <c r="S92" s="68"/>
      <c r="T92" s="68"/>
      <c r="U92" s="68"/>
      <c r="V92" s="113"/>
      <c r="W92" s="68"/>
      <c r="X92" s="114"/>
      <c r="Y92" s="114"/>
      <c r="Z92" s="114"/>
      <c r="AA92" s="114"/>
      <c r="AB92" s="114"/>
      <c r="AC92" s="114"/>
      <c r="AD92" s="114"/>
      <c r="AE92" s="114"/>
      <c r="AF92" s="114"/>
      <c r="AG92" s="114"/>
      <c r="AH92" s="114"/>
      <c r="AI92" s="114"/>
      <c r="AJ92" s="114"/>
      <c r="AK92" s="83"/>
    </row>
    <row r="130" spans="21:23">
      <c r="U130" s="122"/>
      <c r="V130" s="122"/>
      <c r="W130" s="122"/>
    </row>
    <row r="131" spans="21:23">
      <c r="U131" s="122"/>
      <c r="V131" s="122"/>
    </row>
    <row r="132" spans="21:23">
      <c r="U132" s="122"/>
      <c r="V132" s="122"/>
    </row>
    <row r="133" spans="21:23">
      <c r="U133" s="122"/>
      <c r="V133" s="122"/>
    </row>
    <row r="134" spans="21:23">
      <c r="U134" s="122"/>
      <c r="V134" s="122"/>
    </row>
    <row r="135" spans="21:23">
      <c r="U135" s="122"/>
      <c r="V135" s="122"/>
    </row>
    <row r="136" spans="21:23">
      <c r="U136" s="122"/>
      <c r="V136" s="122"/>
    </row>
    <row r="137" spans="21:23">
      <c r="U137" s="122"/>
      <c r="V137" s="122"/>
    </row>
    <row r="138" spans="21:23">
      <c r="U138" s="122"/>
      <c r="V138" s="122"/>
    </row>
    <row r="139" spans="21:23">
      <c r="U139" s="122"/>
      <c r="V139" s="122"/>
    </row>
    <row r="140" spans="21:23">
      <c r="U140" s="122"/>
      <c r="V140" s="122"/>
    </row>
    <row r="141" spans="21:23">
      <c r="U141" s="122"/>
      <c r="V141" s="122"/>
    </row>
    <row r="142" spans="21:23">
      <c r="U142" s="122"/>
      <c r="V142" s="122"/>
    </row>
    <row r="143" spans="21:23">
      <c r="U143" s="122"/>
      <c r="V143" s="122"/>
    </row>
    <row r="144" spans="21:23">
      <c r="U144" s="122"/>
      <c r="V144" s="122"/>
      <c r="W144" s="122"/>
    </row>
    <row r="145" spans="20:55">
      <c r="U145" s="122"/>
      <c r="V145" s="122"/>
      <c r="W145" s="122"/>
    </row>
    <row r="146" spans="20:55">
      <c r="U146" s="122"/>
      <c r="V146" s="122"/>
    </row>
    <row r="147" spans="20:55">
      <c r="U147" s="122"/>
      <c r="V147" s="122"/>
    </row>
    <row r="148" spans="20:55">
      <c r="U148" s="122"/>
      <c r="V148" s="122"/>
    </row>
    <row r="149" spans="20:55">
      <c r="U149" s="122"/>
      <c r="V149" s="122"/>
      <c r="W149" s="122"/>
    </row>
    <row r="150" spans="20:55">
      <c r="U150" s="122"/>
      <c r="V150" s="124"/>
      <c r="W150" s="124"/>
    </row>
    <row r="151" spans="20:55">
      <c r="T151" s="112"/>
      <c r="U151" s="124"/>
      <c r="V151" s="124"/>
      <c r="W151" s="124"/>
      <c r="AM151" s="770" t="s">
        <v>359</v>
      </c>
      <c r="AN151" s="769"/>
      <c r="AO151" s="771" t="s">
        <v>360</v>
      </c>
      <c r="AP151" s="771" t="s">
        <v>361</v>
      </c>
      <c r="AQ151" s="771" t="s">
        <v>132</v>
      </c>
      <c r="AR151" s="771" t="s">
        <v>133</v>
      </c>
      <c r="AS151" s="771" t="s">
        <v>134</v>
      </c>
      <c r="AT151" s="771" t="s">
        <v>108</v>
      </c>
      <c r="AU151" s="771" t="s">
        <v>109</v>
      </c>
      <c r="AV151" s="771" t="s">
        <v>110</v>
      </c>
      <c r="AW151" s="771" t="s">
        <v>111</v>
      </c>
      <c r="AX151" s="771" t="s">
        <v>112</v>
      </c>
      <c r="AY151" s="771" t="s">
        <v>362</v>
      </c>
      <c r="AZ151" s="771" t="s">
        <v>363</v>
      </c>
      <c r="BA151" s="771" t="s">
        <v>364</v>
      </c>
      <c r="BB151" s="771" t="s">
        <v>365</v>
      </c>
      <c r="BC151" s="771" t="s">
        <v>366</v>
      </c>
    </row>
    <row r="152" spans="20:55">
      <c r="T152" s="112"/>
      <c r="V152" s="124"/>
      <c r="AM152" s="786"/>
      <c r="AN152" s="769" t="s">
        <v>367</v>
      </c>
      <c r="AO152" s="772">
        <v>368.8795144235886</v>
      </c>
      <c r="AP152" s="772">
        <v>367.09257436375475</v>
      </c>
      <c r="AQ152" s="772">
        <v>366.91313544395888</v>
      </c>
      <c r="AR152" s="772">
        <v>389.206680652476</v>
      </c>
      <c r="AS152" s="772">
        <v>396.86090910685641</v>
      </c>
      <c r="AT152" s="772">
        <v>384.81531267035507</v>
      </c>
      <c r="AU152" s="772">
        <v>381.52643521638169</v>
      </c>
      <c r="AV152" s="772">
        <v>383.09873184240911</v>
      </c>
      <c r="AW152" s="772">
        <v>387.31405899198791</v>
      </c>
      <c r="AX152" s="772">
        <v>390.98023139626611</v>
      </c>
      <c r="AY152" s="772">
        <v>390.97714139626606</v>
      </c>
      <c r="AZ152" s="772">
        <v>390.98049139626607</v>
      </c>
      <c r="BA152" s="772">
        <v>390.97654139626604</v>
      </c>
      <c r="BB152" s="772">
        <v>390.98119139626607</v>
      </c>
      <c r="BC152" s="772">
        <v>390.97654139626604</v>
      </c>
    </row>
    <row r="153" spans="20:55">
      <c r="T153" s="67"/>
      <c r="V153" s="124"/>
      <c r="AM153" s="787"/>
      <c r="AN153" s="769" t="s">
        <v>368</v>
      </c>
      <c r="AO153" s="772">
        <v>636.91146521484018</v>
      </c>
      <c r="AP153" s="772">
        <v>635.52791278371672</v>
      </c>
      <c r="AQ153" s="772">
        <v>640.5594527793919</v>
      </c>
      <c r="AR153" s="772">
        <v>692.1619875575326</v>
      </c>
      <c r="AS153" s="772">
        <v>571.34953126701157</v>
      </c>
      <c r="AT153" s="772">
        <v>562.08106586479767</v>
      </c>
      <c r="AU153" s="772">
        <v>554.56794348727522</v>
      </c>
      <c r="AV153" s="772">
        <v>542.32732556506153</v>
      </c>
      <c r="AW153" s="772">
        <v>526.34757441559805</v>
      </c>
      <c r="AX153" s="772">
        <v>513.75537279541709</v>
      </c>
      <c r="AY153" s="772">
        <v>498.1407203547522</v>
      </c>
      <c r="AZ153" s="772">
        <v>483.62627173512919</v>
      </c>
      <c r="BA153" s="772">
        <v>484.4096262171991</v>
      </c>
      <c r="BB153" s="772">
        <v>465.83561668282141</v>
      </c>
      <c r="BC153" s="772">
        <v>446.40477512417431</v>
      </c>
    </row>
    <row r="154" spans="20:55">
      <c r="T154" s="67"/>
      <c r="V154" s="124"/>
      <c r="AM154" s="769"/>
      <c r="AN154" s="770" t="s">
        <v>369</v>
      </c>
      <c r="AO154" s="788">
        <v>1005.7909796384288</v>
      </c>
      <c r="AP154" s="788">
        <v>1002.6204871474715</v>
      </c>
      <c r="AQ154" s="776">
        <v>1007.4725882233508</v>
      </c>
      <c r="AR154" s="776">
        <v>1081.3686682100085</v>
      </c>
      <c r="AS154" s="776">
        <v>968.21044037386798</v>
      </c>
      <c r="AT154" s="776">
        <v>946.89637853515273</v>
      </c>
      <c r="AU154" s="776">
        <v>936.09437870365696</v>
      </c>
      <c r="AV154" s="776">
        <v>925.42605740747058</v>
      </c>
      <c r="AW154" s="776">
        <v>913.6616334075859</v>
      </c>
      <c r="AX154" s="776">
        <v>904.73560419168325</v>
      </c>
      <c r="AY154" s="776">
        <v>889.11786175101827</v>
      </c>
      <c r="AZ154" s="776">
        <v>874.60676313139527</v>
      </c>
      <c r="BA154" s="776">
        <v>875.3861676134652</v>
      </c>
      <c r="BB154" s="776">
        <v>856.81680807908742</v>
      </c>
      <c r="BC154" s="776">
        <v>837.38131652044035</v>
      </c>
    </row>
    <row r="155" spans="20:55">
      <c r="T155" s="67"/>
      <c r="V155" s="124"/>
    </row>
    <row r="156" spans="20:55">
      <c r="T156" s="67"/>
      <c r="V156" s="124"/>
    </row>
    <row r="157" spans="20:55">
      <c r="T157" s="67"/>
      <c r="V157" s="124"/>
    </row>
    <row r="158" spans="20:55" hidden="1" outlineLevel="1">
      <c r="T158" s="67"/>
      <c r="V158" s="124"/>
    </row>
    <row r="159" spans="20:55" collapsed="1">
      <c r="T159" s="67"/>
      <c r="V159" s="124"/>
    </row>
    <row r="160" spans="20:55">
      <c r="T160" s="67"/>
      <c r="V160" s="124"/>
    </row>
    <row r="161" spans="2:40">
      <c r="T161" s="67"/>
      <c r="U161" s="122"/>
      <c r="V161" s="124"/>
      <c r="W161" s="123"/>
    </row>
    <row r="162" spans="2:40">
      <c r="T162" s="67"/>
      <c r="U162" s="122"/>
      <c r="V162" s="122"/>
      <c r="W162" s="122"/>
    </row>
    <row r="163" spans="2:40">
      <c r="S163" s="115"/>
      <c r="T163" s="67"/>
      <c r="U163" s="122"/>
      <c r="V163" s="124"/>
    </row>
    <row r="164" spans="2:40">
      <c r="T164" s="67"/>
      <c r="U164" s="122"/>
      <c r="V164" s="124"/>
    </row>
    <row r="165" spans="2:40">
      <c r="N165" s="116"/>
      <c r="T165" s="67"/>
      <c r="U165" s="122"/>
      <c r="V165" s="124"/>
    </row>
    <row r="166" spans="2:40">
      <c r="T166" s="67"/>
      <c r="U166" s="122"/>
      <c r="V166" s="124"/>
    </row>
    <row r="167" spans="2:40">
      <c r="T167" s="67"/>
      <c r="U167" s="122"/>
      <c r="V167" s="124"/>
    </row>
    <row r="168" spans="2:40">
      <c r="T168" s="67"/>
      <c r="U168" s="122"/>
      <c r="V168" s="124"/>
    </row>
    <row r="169" spans="2:40">
      <c r="T169" s="67"/>
      <c r="U169" s="122"/>
      <c r="V169" s="124"/>
    </row>
    <row r="170" spans="2:40">
      <c r="T170" s="67"/>
      <c r="U170" s="122"/>
      <c r="V170" s="124"/>
    </row>
    <row r="171" spans="2:40">
      <c r="T171" s="67"/>
      <c r="U171" s="122"/>
      <c r="V171" s="124"/>
      <c r="W171" s="123"/>
    </row>
    <row r="172" spans="2:40">
      <c r="T172" s="67"/>
      <c r="U172" s="122"/>
      <c r="V172" s="124"/>
      <c r="W172" s="124"/>
    </row>
    <row r="173" spans="2:40">
      <c r="B173" s="117"/>
      <c r="C173" s="117"/>
      <c r="D173" s="117"/>
      <c r="E173" s="117"/>
      <c r="F173" s="117"/>
      <c r="G173" s="117"/>
      <c r="T173" s="67"/>
      <c r="U173" s="122"/>
      <c r="V173" s="124"/>
      <c r="AL173" s="117"/>
      <c r="AM173" s="117"/>
      <c r="AN173" s="117"/>
    </row>
    <row r="174" spans="2:40">
      <c r="J174" s="117"/>
      <c r="Q174" s="117"/>
      <c r="R174" s="117"/>
      <c r="S174" s="117"/>
      <c r="T174" s="93"/>
      <c r="U174" s="122"/>
      <c r="V174" s="124"/>
    </row>
    <row r="175" spans="2:40">
      <c r="B175" s="67"/>
      <c r="C175" s="67"/>
      <c r="D175" s="67"/>
      <c r="E175" s="67"/>
      <c r="F175" s="67"/>
      <c r="G175" s="67"/>
      <c r="T175" s="67"/>
      <c r="U175" s="122"/>
      <c r="V175" s="124"/>
    </row>
    <row r="176" spans="2:40">
      <c r="B176" s="67"/>
      <c r="C176" s="67"/>
      <c r="D176" s="67"/>
      <c r="E176" s="67"/>
      <c r="F176" s="67"/>
      <c r="G176" s="67"/>
      <c r="J176" s="67"/>
      <c r="T176" s="67"/>
      <c r="U176" s="122"/>
      <c r="V176" s="124"/>
    </row>
    <row r="177" spans="2:38">
      <c r="B177" s="67"/>
      <c r="C177" s="67"/>
      <c r="D177" s="67"/>
      <c r="E177" s="67"/>
      <c r="F177" s="67"/>
      <c r="G177" s="67"/>
      <c r="J177" s="67"/>
      <c r="T177" s="67"/>
      <c r="U177" s="122"/>
      <c r="V177" s="124"/>
    </row>
    <row r="178" spans="2:38">
      <c r="B178" s="67"/>
      <c r="C178" s="67"/>
      <c r="D178" s="67"/>
      <c r="E178" s="67"/>
      <c r="F178" s="67"/>
      <c r="G178" s="67"/>
      <c r="H178" s="67"/>
      <c r="I178" s="67"/>
      <c r="J178" s="67"/>
      <c r="K178" s="67"/>
      <c r="L178" s="67"/>
      <c r="M178" s="67"/>
      <c r="T178" s="67"/>
      <c r="U178" s="122"/>
      <c r="V178" s="124"/>
    </row>
    <row r="179" spans="2:38">
      <c r="T179" s="67"/>
      <c r="U179" s="122"/>
      <c r="V179" s="124"/>
      <c r="W179" s="122"/>
    </row>
    <row r="180" spans="2:38">
      <c r="T180" s="67"/>
      <c r="U180" s="122"/>
      <c r="V180" s="122"/>
      <c r="W180" s="122"/>
      <c r="AK180" s="67"/>
    </row>
    <row r="181" spans="2:38">
      <c r="T181" s="67"/>
      <c r="U181" s="122"/>
      <c r="V181" s="122"/>
      <c r="W181" s="176"/>
      <c r="AL181" s="118"/>
    </row>
    <row r="182" spans="2:38" hidden="1" outlineLevel="1">
      <c r="T182" s="67"/>
      <c r="V182" s="122"/>
      <c r="W182" s="176"/>
      <c r="AK182" s="67"/>
    </row>
    <row r="183" spans="2:38" hidden="1" outlineLevel="1">
      <c r="T183" s="67"/>
      <c r="V183" s="122"/>
      <c r="W183" s="176"/>
    </row>
    <row r="184" spans="2:38" collapsed="1">
      <c r="T184" s="67"/>
      <c r="V184" s="122"/>
      <c r="W184" s="176"/>
    </row>
    <row r="185" spans="2:38">
      <c r="T185" s="67"/>
      <c r="V185" s="122"/>
      <c r="W185" s="176"/>
      <c r="AK185" s="67"/>
    </row>
    <row r="186" spans="2:38">
      <c r="T186" s="67"/>
      <c r="V186" s="122"/>
      <c r="W186" s="176"/>
      <c r="AK186" s="67"/>
    </row>
    <row r="187" spans="2:38">
      <c r="T187" s="67"/>
      <c r="V187" s="122"/>
      <c r="W187" s="176"/>
    </row>
    <row r="188" spans="2:38">
      <c r="T188" s="67"/>
      <c r="V188" s="122"/>
      <c r="W188" s="176"/>
    </row>
    <row r="189" spans="2:38">
      <c r="T189" s="67"/>
      <c r="V189" s="80"/>
      <c r="W189" s="80"/>
    </row>
    <row r="190" spans="2:38">
      <c r="T190" s="67"/>
    </row>
  </sheetData>
  <dataConsolidate/>
  <mergeCells count="1">
    <mergeCell ref="B3:F3"/>
  </mergeCells>
  <phoneticPr fontId="4" type="noConversion"/>
  <conditionalFormatting sqref="AA91:AJ91">
    <cfRule type="containsText" dxfId="147" priority="2" operator="containsText" text="FALSE">
      <formula>NOT(ISERROR(SEARCH("FALSE",AA91)))</formula>
    </cfRule>
  </conditionalFormatting>
  <conditionalFormatting sqref="AA91:AJ91">
    <cfRule type="cellIs" dxfId="146" priority="1" operator="equal">
      <formula>0</formula>
    </cfRule>
  </conditionalFormatting>
  <hyperlinks>
    <hyperlink ref="B3" location="HL_Home" tooltip="Go to Table of Contents" display="HL_Home" xr:uid="{00000000-0004-0000-0400-000000000000}"/>
  </hyperlinks>
  <pageMargins left="0.75" right="0.75" top="1" bottom="1" header="0.5" footer="0.5"/>
  <pageSetup paperSize="9" orientation="portrait" r:id="rId1"/>
  <headerFooter alignWithMargins="0">
    <oddHeader>&amp;C&amp;"Calibri"&amp;14&amp;KFF0000 OFFICIAL&amp;1#_x000D_&amp;"Arial"&amp;8&amp;K000000&amp;"Arial"&amp;8&amp;K000000&amp;B&amp;"Arial"&amp;12&amp;Kff0000​‌OFFICIAL‌​</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5E5DC-D760-4C04-892D-213CEE915C7B}">
  <sheetPr codeName="Sheet14">
    <pageSetUpPr autoPageBreaks="0"/>
  </sheetPr>
  <dimension ref="A1:AX115"/>
  <sheetViews>
    <sheetView showGridLines="0" topLeftCell="D1" zoomScaleNormal="85" workbookViewId="0">
      <pane ySplit="6" topLeftCell="A84" activePane="bottomLeft" state="frozen"/>
      <selection activeCell="L16" sqref="L16"/>
      <selection pane="bottomLeft" activeCell="AA105" sqref="AA105:AJ105"/>
    </sheetView>
  </sheetViews>
  <sheetFormatPr defaultColWidth="9.33203125" defaultRowHeight="12" outlineLevelRow="1" outlineLevelCol="1"/>
  <cols>
    <col min="1" max="2" width="4" style="63" customWidth="1"/>
    <col min="3" max="3" width="10.33203125" style="63" customWidth="1"/>
    <col min="4" max="4" width="9.33203125" style="63"/>
    <col min="5" max="5" width="53.1640625" style="63" bestFit="1" customWidth="1"/>
    <col min="6" max="8" width="14.6640625" style="63" customWidth="1"/>
    <col min="9" max="9" width="10" style="63" customWidth="1"/>
    <col min="10" max="10" width="14.5" style="63" hidden="1" customWidth="1" outlineLevel="1"/>
    <col min="11" max="18" width="9.33203125" style="63" hidden="1" customWidth="1" outlineLevel="1"/>
    <col min="19" max="20" width="11" style="63" hidden="1" customWidth="1" outlineLevel="1"/>
    <col min="21" max="21" width="11" style="63" customWidth="1" collapsed="1"/>
    <col min="22" max="28" width="11" style="63" customWidth="1"/>
    <col min="29" max="29" width="13.5" style="63" customWidth="1"/>
    <col min="30" max="30" width="14.6640625" style="63" bestFit="1" customWidth="1"/>
    <col min="31" max="36" width="11" style="63" customWidth="1"/>
    <col min="37" max="37" width="5.6640625" style="63" customWidth="1"/>
    <col min="38" max="16384" width="9.33203125" style="63"/>
  </cols>
  <sheetData>
    <row r="1" spans="1:40" ht="15">
      <c r="B1" s="140" t="s">
        <v>370</v>
      </c>
      <c r="G1" s="57"/>
    </row>
    <row r="2" spans="1:40" ht="12.75">
      <c r="B2" s="142" t="str">
        <f>Model_Name</f>
        <v>Melbourne Water</v>
      </c>
      <c r="G2" s="57"/>
    </row>
    <row r="3" spans="1:40">
      <c r="B3" s="2075" t="s">
        <v>138</v>
      </c>
      <c r="C3" s="2075"/>
      <c r="D3" s="2075"/>
      <c r="E3" s="2075"/>
      <c r="F3" s="2075"/>
      <c r="H3" s="64"/>
      <c r="I3" s="64"/>
      <c r="J3" s="64"/>
    </row>
    <row r="4" spans="1:40">
      <c r="B4" s="65"/>
      <c r="C4" s="66"/>
      <c r="K4" s="1208"/>
      <c r="L4" s="1209"/>
      <c r="M4" s="1210"/>
      <c r="N4" s="1208"/>
      <c r="O4" s="1211"/>
      <c r="P4" s="1209"/>
      <c r="Q4" s="1211"/>
      <c r="R4" s="1210"/>
      <c r="S4" s="1208"/>
      <c r="T4" s="1209"/>
      <c r="U4" s="1211"/>
      <c r="V4" s="1208"/>
      <c r="W4" s="1211"/>
      <c r="X4" s="1209" t="s">
        <v>139</v>
      </c>
      <c r="Y4" s="1211"/>
      <c r="Z4" s="1210"/>
      <c r="AA4" s="1287"/>
      <c r="AB4" s="721"/>
      <c r="AC4" s="1209" t="s">
        <v>140</v>
      </c>
      <c r="AD4" s="721"/>
      <c r="AE4" s="1207"/>
      <c r="AF4" s="1287"/>
      <c r="AG4" s="721"/>
      <c r="AH4" s="1209" t="s">
        <v>141</v>
      </c>
      <c r="AI4" s="721"/>
      <c r="AJ4" s="1207"/>
    </row>
    <row r="5" spans="1:40">
      <c r="B5" s="67"/>
      <c r="K5" s="58"/>
      <c r="L5" s="59"/>
      <c r="M5" s="59"/>
      <c r="N5" s="59"/>
      <c r="O5" s="59"/>
      <c r="P5" s="59"/>
      <c r="Q5" s="59"/>
      <c r="R5" s="59"/>
      <c r="S5" s="60"/>
      <c r="T5" s="60"/>
      <c r="U5" s="60">
        <v>2021</v>
      </c>
      <c r="V5" s="60">
        <v>2022</v>
      </c>
      <c r="W5" s="60">
        <v>2023</v>
      </c>
      <c r="X5" s="60">
        <v>2024</v>
      </c>
      <c r="Y5" s="60">
        <v>2025</v>
      </c>
      <c r="Z5" s="60">
        <v>2026</v>
      </c>
      <c r="AA5" s="60">
        <v>2027</v>
      </c>
      <c r="AB5" s="60">
        <v>2028</v>
      </c>
      <c r="AC5" s="60">
        <v>2029</v>
      </c>
      <c r="AD5" s="60">
        <v>2030</v>
      </c>
      <c r="AE5" s="60">
        <v>2031</v>
      </c>
      <c r="AF5" s="902">
        <f>AE5+1</f>
        <v>2032</v>
      </c>
      <c r="AG5" s="902">
        <f>AF5+1</f>
        <v>2033</v>
      </c>
      <c r="AH5" s="902">
        <f>AG5+1</f>
        <v>2034</v>
      </c>
      <c r="AI5" s="902">
        <f>AH5+1</f>
        <v>2035</v>
      </c>
      <c r="AJ5" s="902">
        <f>AI5+1</f>
        <v>2036</v>
      </c>
    </row>
    <row r="6" spans="1:40">
      <c r="A6" s="68"/>
      <c r="B6" s="63" t="str">
        <f>Expenditure_Detail!$B$6</f>
        <v>$m, 01/01/26</v>
      </c>
      <c r="C6" s="68"/>
      <c r="D6" s="68"/>
      <c r="E6" s="68"/>
      <c r="F6" s="68"/>
      <c r="G6" s="68"/>
      <c r="H6" s="68"/>
      <c r="I6" s="68"/>
      <c r="J6" s="68"/>
      <c r="K6" s="61"/>
      <c r="L6" s="61"/>
      <c r="M6" s="61"/>
      <c r="N6" s="61"/>
      <c r="O6" s="61"/>
      <c r="P6" s="61"/>
      <c r="Q6" s="61"/>
      <c r="R6" s="61"/>
      <c r="S6" s="61"/>
      <c r="T6" s="61"/>
      <c r="U6" s="61" t="str">
        <f t="shared" ref="U6:AJ6" si="0">+CONCATENATE(U5-1,"-",RIGHT(U5,2))</f>
        <v>2020-21</v>
      </c>
      <c r="V6" s="61" t="str">
        <f t="shared" si="0"/>
        <v>2021-22</v>
      </c>
      <c r="W6" s="61" t="str">
        <f t="shared" si="0"/>
        <v>2022-23</v>
      </c>
      <c r="X6" s="61" t="str">
        <f t="shared" si="0"/>
        <v>2023-24</v>
      </c>
      <c r="Y6" s="61" t="str">
        <f t="shared" si="0"/>
        <v>2024-25</v>
      </c>
      <c r="Z6" s="61" t="str">
        <f t="shared" si="0"/>
        <v>2025-26</v>
      </c>
      <c r="AA6" s="61" t="str">
        <f t="shared" si="0"/>
        <v>2026-27</v>
      </c>
      <c r="AB6" s="61" t="str">
        <f t="shared" si="0"/>
        <v>2027-28</v>
      </c>
      <c r="AC6" s="61" t="str">
        <f t="shared" si="0"/>
        <v>2028-29</v>
      </c>
      <c r="AD6" s="61" t="str">
        <f t="shared" si="0"/>
        <v>2029-30</v>
      </c>
      <c r="AE6" s="61" t="str">
        <f t="shared" si="0"/>
        <v>2030-31</v>
      </c>
      <c r="AF6" s="61" t="str">
        <f t="shared" si="0"/>
        <v>2031-32</v>
      </c>
      <c r="AG6" s="61" t="str">
        <f t="shared" si="0"/>
        <v>2032-33</v>
      </c>
      <c r="AH6" s="61" t="str">
        <f t="shared" si="0"/>
        <v>2033-34</v>
      </c>
      <c r="AI6" s="61" t="str">
        <f t="shared" si="0"/>
        <v>2034-35</v>
      </c>
      <c r="AJ6" s="61" t="str">
        <f t="shared" si="0"/>
        <v>2035-36</v>
      </c>
      <c r="AK6" s="68"/>
      <c r="AL6" s="68"/>
      <c r="AM6" s="68"/>
      <c r="AN6" s="68"/>
    </row>
    <row r="8" spans="1:40">
      <c r="C8" s="69"/>
      <c r="D8" s="70"/>
      <c r="E8" s="70"/>
      <c r="F8" s="70"/>
      <c r="G8" s="70"/>
      <c r="H8" s="70"/>
      <c r="I8" s="70"/>
      <c r="J8" s="70"/>
      <c r="K8" s="70"/>
      <c r="L8" s="70"/>
      <c r="M8" s="70"/>
      <c r="N8" s="70"/>
      <c r="O8" s="70"/>
      <c r="P8" s="70"/>
      <c r="Q8" s="70"/>
      <c r="R8" s="70"/>
      <c r="S8" s="70"/>
      <c r="T8" s="71"/>
      <c r="U8" s="70"/>
      <c r="V8" s="70"/>
      <c r="W8" s="70"/>
      <c r="X8" s="70"/>
      <c r="Y8" s="72"/>
      <c r="Z8" s="70"/>
      <c r="AA8" s="70"/>
      <c r="AB8" s="70"/>
      <c r="AC8" s="70"/>
      <c r="AD8" s="70"/>
      <c r="AE8" s="70"/>
      <c r="AF8" s="70"/>
      <c r="AG8" s="70"/>
      <c r="AH8" s="70"/>
      <c r="AI8" s="70"/>
      <c r="AJ8" s="70"/>
      <c r="AK8" s="73"/>
    </row>
    <row r="9" spans="1:40">
      <c r="C9" s="230" t="s">
        <v>213</v>
      </c>
      <c r="F9" s="1115" t="s">
        <v>331</v>
      </c>
      <c r="H9" s="1115" t="s">
        <v>332</v>
      </c>
      <c r="Y9" s="67"/>
      <c r="AK9" s="74"/>
    </row>
    <row r="10" spans="1:40">
      <c r="C10" s="75"/>
      <c r="F10" s="1116"/>
      <c r="H10" s="647"/>
      <c r="T10" s="62"/>
      <c r="U10" s="76"/>
      <c r="AA10" s="1419"/>
      <c r="AE10" s="77"/>
      <c r="AK10" s="74"/>
    </row>
    <row r="11" spans="1:40">
      <c r="C11" s="75"/>
      <c r="D11" s="78" t="s">
        <v>333</v>
      </c>
      <c r="F11" s="79">
        <v>1.2E-2</v>
      </c>
      <c r="H11" s="79">
        <f>IFERROR(AVERAGE(AA11:AE11),"-")</f>
        <v>2.006741470273643E-2</v>
      </c>
      <c r="S11" s="80"/>
      <c r="U11" s="76"/>
      <c r="Z11" s="243">
        <v>1.2E-2</v>
      </c>
      <c r="AA11" s="243">
        <v>2.006741470273643E-2</v>
      </c>
      <c r="AB11" s="244">
        <v>2.006741470273643E-2</v>
      </c>
      <c r="AC11" s="244">
        <v>2.006741470273643E-2</v>
      </c>
      <c r="AD11" s="244">
        <v>2.006741470273643E-2</v>
      </c>
      <c r="AE11" s="245">
        <v>2.006741470273643E-2</v>
      </c>
      <c r="AF11" s="244">
        <v>0.02</v>
      </c>
      <c r="AG11" s="244">
        <v>0.02</v>
      </c>
      <c r="AH11" s="244">
        <v>0.02</v>
      </c>
      <c r="AI11" s="244">
        <v>0.02</v>
      </c>
      <c r="AJ11" s="245">
        <v>0.02</v>
      </c>
      <c r="AK11" s="74"/>
    </row>
    <row r="12" spans="1:40">
      <c r="C12" s="75"/>
      <c r="D12" s="78"/>
      <c r="F12" s="844"/>
      <c r="H12" s="844"/>
      <c r="I12" s="78"/>
      <c r="T12" s="62"/>
      <c r="U12" s="76"/>
      <c r="AA12" s="1419"/>
      <c r="AK12" s="74"/>
    </row>
    <row r="13" spans="1:40">
      <c r="C13" s="75"/>
      <c r="D13" s="63" t="s">
        <v>371</v>
      </c>
      <c r="F13" s="79">
        <v>0.01</v>
      </c>
      <c r="H13" s="79">
        <f>IFERROR(AVERAGE(AA13:AE13),"-")</f>
        <v>2.006741470273643E-2</v>
      </c>
      <c r="S13" s="80"/>
      <c r="U13" s="76"/>
      <c r="Z13" s="1377">
        <v>0.01</v>
      </c>
      <c r="AA13" s="1600">
        <v>2.006741470273643E-2</v>
      </c>
      <c r="AB13" s="1601">
        <v>2.006741470273643E-2</v>
      </c>
      <c r="AC13" s="244">
        <v>2.006741470273643E-2</v>
      </c>
      <c r="AD13" s="244">
        <v>2.006741470273643E-2</v>
      </c>
      <c r="AE13" s="244">
        <v>2.006741470273643E-2</v>
      </c>
      <c r="AF13" s="243">
        <v>1.9051464301303334E-2</v>
      </c>
      <c r="AG13" s="244">
        <v>1.9051464301303334E-2</v>
      </c>
      <c r="AH13" s="244">
        <v>1.9051464301303334E-2</v>
      </c>
      <c r="AI13" s="244">
        <v>1.9051464301303334E-2</v>
      </c>
      <c r="AJ13" s="245">
        <v>1.9051464301303334E-2</v>
      </c>
      <c r="AK13" s="74"/>
    </row>
    <row r="14" spans="1:40">
      <c r="C14" s="81"/>
      <c r="D14" s="68"/>
      <c r="E14" s="68"/>
      <c r="F14" s="68"/>
      <c r="G14" s="68"/>
      <c r="H14" s="68"/>
      <c r="I14" s="68"/>
      <c r="J14" s="68"/>
      <c r="K14" s="68"/>
      <c r="L14" s="68"/>
      <c r="M14" s="68"/>
      <c r="N14" s="68"/>
      <c r="O14" s="68"/>
      <c r="P14" s="68"/>
      <c r="Q14" s="68"/>
      <c r="R14" s="68"/>
      <c r="S14" s="68"/>
      <c r="T14" s="68"/>
      <c r="U14" s="82"/>
      <c r="V14" s="68"/>
      <c r="W14" s="68"/>
      <c r="X14" s="68"/>
      <c r="Y14" s="68"/>
      <c r="Z14" s="68"/>
      <c r="AA14" s="68"/>
      <c r="AB14" s="68"/>
      <c r="AC14" s="68"/>
      <c r="AD14" s="68"/>
      <c r="AE14" s="68"/>
      <c r="AF14" s="68"/>
      <c r="AG14" s="68"/>
      <c r="AH14" s="68"/>
      <c r="AI14" s="68"/>
      <c r="AJ14" s="68"/>
      <c r="AK14" s="83"/>
    </row>
    <row r="15" spans="1:40">
      <c r="U15" s="84"/>
    </row>
    <row r="16" spans="1:40">
      <c r="C16" s="69"/>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3"/>
    </row>
    <row r="17" spans="3:37">
      <c r="C17" s="230" t="s">
        <v>337</v>
      </c>
      <c r="AK17" s="74"/>
    </row>
    <row r="18" spans="3:37">
      <c r="C18" s="75"/>
      <c r="AK18" s="74"/>
    </row>
    <row r="19" spans="3:37">
      <c r="C19" s="75"/>
      <c r="D19" s="85" t="s">
        <v>338</v>
      </c>
      <c r="U19" s="1391"/>
      <c r="V19" s="842"/>
      <c r="W19" s="77"/>
      <c r="Y19" s="1424">
        <f>+Opex_Breakdown!Y39-(Opex_Breakdown!Y79+Opex_Breakdown!Y99+Opex_Breakdown!Y130+Opex_Breakdown!Y86)</f>
        <v>957.33296581318439</v>
      </c>
      <c r="Z19" s="1040"/>
      <c r="AA19" s="126" t="s">
        <v>372</v>
      </c>
      <c r="AB19" s="86"/>
      <c r="AK19" s="74"/>
    </row>
    <row r="20" spans="3:37">
      <c r="C20" s="75"/>
      <c r="D20" s="67"/>
      <c r="Y20" s="111"/>
      <c r="AA20" s="231" t="s">
        <v>373</v>
      </c>
      <c r="AK20" s="74"/>
    </row>
    <row r="21" spans="3:37">
      <c r="C21" s="75"/>
      <c r="D21" s="85" t="s">
        <v>341</v>
      </c>
      <c r="Y21" s="111"/>
      <c r="AK21" s="74"/>
    </row>
    <row r="22" spans="3:37">
      <c r="C22" s="75"/>
      <c r="D22" s="67"/>
      <c r="E22" s="67" t="str">
        <f>Opex_Breakdown!E31</f>
        <v>Licence fees</v>
      </c>
      <c r="Y22" s="1425">
        <f>+Opex_Breakdown!Y31-Opex_Breakdown!Y76</f>
        <v>2.6490662343185161</v>
      </c>
      <c r="AA22" s="127"/>
      <c r="AB22" s="128"/>
      <c r="AC22" s="128"/>
      <c r="AD22" s="129"/>
      <c r="AE22" s="130"/>
      <c r="AK22" s="74"/>
    </row>
    <row r="23" spans="3:37">
      <c r="C23" s="75"/>
      <c r="D23" s="67"/>
      <c r="E23" s="67" t="s">
        <v>374</v>
      </c>
      <c r="Y23" s="1426">
        <f>+Opex_Breakdown!Y33</f>
        <v>547.30412034433414</v>
      </c>
      <c r="AA23" s="232"/>
      <c r="AB23" s="233" t="s">
        <v>133</v>
      </c>
      <c r="AC23" s="233" t="s">
        <v>231</v>
      </c>
      <c r="AD23" s="233" t="s">
        <v>343</v>
      </c>
      <c r="AE23" s="234"/>
      <c r="AK23" s="74"/>
    </row>
    <row r="24" spans="3:37" hidden="1" outlineLevel="1">
      <c r="C24" s="75"/>
      <c r="D24" s="67"/>
      <c r="E24" s="67"/>
      <c r="Y24" s="1426"/>
      <c r="AA24" s="232"/>
      <c r="AB24" s="233"/>
      <c r="AC24" s="233"/>
      <c r="AD24" s="233"/>
      <c r="AE24" s="234"/>
      <c r="AK24" s="74"/>
    </row>
    <row r="25" spans="3:37" collapsed="1">
      <c r="C25" s="75"/>
      <c r="D25" s="67"/>
      <c r="E25" s="67" t="str">
        <f>Opex_Breakdown!E34</f>
        <v>Other non-controllable</v>
      </c>
      <c r="Y25" s="1427">
        <f>Opex_Breakdown!Y117</f>
        <v>33.790433165001502</v>
      </c>
      <c r="AA25" s="235"/>
      <c r="AB25" s="233"/>
      <c r="AC25" s="233"/>
      <c r="AD25" s="233"/>
      <c r="AE25" s="132"/>
      <c r="AK25" s="74"/>
    </row>
    <row r="26" spans="3:37">
      <c r="C26" s="75"/>
      <c r="D26" s="67"/>
      <c r="E26" s="76"/>
      <c r="U26" s="77"/>
      <c r="Y26" s="111">
        <f>SUM(Y22:Y25)</f>
        <v>583.74361974365411</v>
      </c>
      <c r="AA26" s="131"/>
      <c r="AB26" s="1428">
        <f>'Determination Lookup'!R21</f>
        <v>285.10721122639399</v>
      </c>
      <c r="AC26" s="1429">
        <f>+Y44-AB26</f>
        <v>51.844971866565231</v>
      </c>
      <c r="AD26" s="137">
        <f>+AC26/AB26</f>
        <v>0.18184377604324042</v>
      </c>
      <c r="AE26" s="132"/>
      <c r="AK26" s="74"/>
    </row>
    <row r="27" spans="3:37">
      <c r="C27" s="75"/>
      <c r="E27" s="76"/>
      <c r="U27" s="77"/>
      <c r="Y27" s="111"/>
      <c r="AA27" s="133"/>
      <c r="AB27" s="134"/>
      <c r="AC27" s="135"/>
      <c r="AD27" s="135"/>
      <c r="AE27" s="136"/>
      <c r="AK27" s="74"/>
    </row>
    <row r="28" spans="3:37">
      <c r="C28" s="75"/>
      <c r="D28" s="93" t="s">
        <v>346</v>
      </c>
      <c r="E28" s="76"/>
      <c r="U28" s="77"/>
      <c r="Y28" s="1424">
        <f>+Y19-Y26</f>
        <v>373.58934606953028</v>
      </c>
      <c r="AA28" s="231" t="s">
        <v>345</v>
      </c>
      <c r="AK28" s="74"/>
    </row>
    <row r="29" spans="3:37">
      <c r="C29" s="75"/>
      <c r="E29" s="76"/>
      <c r="U29" s="77"/>
      <c r="Y29" s="116"/>
      <c r="AK29" s="74"/>
    </row>
    <row r="30" spans="3:37">
      <c r="C30" s="75"/>
      <c r="D30" s="85" t="s">
        <v>375</v>
      </c>
      <c r="E30" s="67"/>
      <c r="F30" s="67"/>
      <c r="G30" s="67"/>
      <c r="H30" s="67"/>
      <c r="I30" s="67"/>
      <c r="J30" s="67"/>
      <c r="K30" s="67"/>
      <c r="L30" s="67"/>
      <c r="M30" s="67"/>
      <c r="N30" s="67"/>
      <c r="O30" s="67"/>
      <c r="P30" s="67"/>
      <c r="Q30" s="67"/>
      <c r="R30" s="67"/>
      <c r="S30" s="67"/>
      <c r="Y30" s="116"/>
      <c r="AB30" s="1753"/>
      <c r="AK30" s="74"/>
    </row>
    <row r="31" spans="3:37">
      <c r="C31" s="75"/>
      <c r="E31" s="76"/>
      <c r="Y31" s="116"/>
      <c r="AK31" s="74"/>
    </row>
    <row r="32" spans="3:37">
      <c r="C32" s="75"/>
      <c r="D32" s="63">
        <v>1</v>
      </c>
      <c r="E32" s="248" t="s">
        <v>376</v>
      </c>
      <c r="F32" s="249"/>
      <c r="G32" s="249"/>
      <c r="H32" s="250"/>
      <c r="Y32" s="252">
        <v>-6.726079757708546</v>
      </c>
      <c r="Z32" s="88"/>
      <c r="AK32" s="74"/>
    </row>
    <row r="33" spans="3:38">
      <c r="C33" s="75"/>
      <c r="D33" s="63">
        <v>2</v>
      </c>
      <c r="E33" s="248" t="s">
        <v>377</v>
      </c>
      <c r="F33" s="249"/>
      <c r="G33" s="249"/>
      <c r="H33" s="250"/>
      <c r="Y33" s="253">
        <v>-10.538230682598522</v>
      </c>
      <c r="Z33" s="88"/>
      <c r="AK33" s="74"/>
    </row>
    <row r="34" spans="3:38">
      <c r="C34" s="75"/>
      <c r="D34" s="63">
        <v>3</v>
      </c>
      <c r="E34" s="248" t="s">
        <v>378</v>
      </c>
      <c r="F34" s="249"/>
      <c r="G34" s="249"/>
      <c r="H34" s="250"/>
      <c r="X34" s="1419"/>
      <c r="Y34" s="253">
        <v>-8.1649441103994427</v>
      </c>
      <c r="Z34" s="88"/>
      <c r="AK34" s="74"/>
    </row>
    <row r="35" spans="3:38">
      <c r="C35" s="75"/>
      <c r="D35" s="63">
        <v>4</v>
      </c>
      <c r="E35" s="248" t="s">
        <v>379</v>
      </c>
      <c r="F35" s="249"/>
      <c r="G35" s="249"/>
      <c r="H35" s="250"/>
      <c r="X35" s="1419"/>
      <c r="Y35" s="253">
        <v>-1.0579206571793451</v>
      </c>
      <c r="Z35" s="88"/>
      <c r="AK35" s="74"/>
    </row>
    <row r="36" spans="3:38">
      <c r="C36" s="75"/>
      <c r="D36" s="63">
        <v>5</v>
      </c>
      <c r="E36" s="248" t="s">
        <v>380</v>
      </c>
      <c r="F36" s="249"/>
      <c r="G36" s="249"/>
      <c r="H36" s="250"/>
      <c r="X36" s="1419"/>
      <c r="Y36" s="253">
        <v>0.95487467981380181</v>
      </c>
      <c r="Z36" s="88"/>
      <c r="AK36" s="74"/>
    </row>
    <row r="37" spans="3:38">
      <c r="C37" s="75"/>
      <c r="D37" s="63">
        <v>6</v>
      </c>
      <c r="E37" s="248" t="s">
        <v>381</v>
      </c>
      <c r="F37" s="249"/>
      <c r="G37" s="249"/>
      <c r="H37" s="250"/>
      <c r="X37" s="1419"/>
      <c r="Y37" s="253">
        <v>-11.802946459959406</v>
      </c>
      <c r="Z37" s="88"/>
      <c r="AK37" s="74"/>
      <c r="AL37" s="89"/>
    </row>
    <row r="38" spans="3:38">
      <c r="C38" s="75"/>
      <c r="D38" s="63">
        <v>7</v>
      </c>
      <c r="E38" s="248" t="s">
        <v>382</v>
      </c>
      <c r="F38" s="249"/>
      <c r="G38" s="249"/>
      <c r="H38" s="250"/>
      <c r="Y38" s="253">
        <v>0.69808401146037757</v>
      </c>
      <c r="Z38" s="88"/>
      <c r="AK38" s="74"/>
    </row>
    <row r="39" spans="3:38">
      <c r="C39" s="75"/>
      <c r="D39" s="63">
        <v>8</v>
      </c>
      <c r="E39" s="248"/>
      <c r="F39" s="249"/>
      <c r="G39" s="249"/>
      <c r="H39" s="250"/>
      <c r="Y39" s="253"/>
      <c r="Z39" s="88"/>
      <c r="AK39" s="74"/>
    </row>
    <row r="40" spans="3:38">
      <c r="C40" s="75"/>
      <c r="D40" s="63">
        <v>9</v>
      </c>
      <c r="E40" s="248"/>
      <c r="F40" s="249"/>
      <c r="G40" s="249"/>
      <c r="H40" s="250"/>
      <c r="Y40" s="253"/>
      <c r="Z40" s="88"/>
      <c r="AK40" s="74"/>
    </row>
    <row r="41" spans="3:38">
      <c r="C41" s="75"/>
      <c r="D41" s="63">
        <v>10</v>
      </c>
      <c r="E41" s="248"/>
      <c r="F41" s="249"/>
      <c r="G41" s="249"/>
      <c r="H41" s="250"/>
      <c r="Y41" s="254"/>
      <c r="Z41" s="88"/>
      <c r="AK41" s="74"/>
    </row>
    <row r="42" spans="3:38">
      <c r="C42" s="75"/>
      <c r="E42" s="251"/>
      <c r="F42" s="4"/>
      <c r="G42" s="4"/>
      <c r="H42" s="4"/>
      <c r="Y42" s="116">
        <f>SUM(Y32:Y41)</f>
        <v>-36.637162976571076</v>
      </c>
      <c r="AK42" s="74"/>
    </row>
    <row r="43" spans="3:38">
      <c r="C43" s="75"/>
      <c r="Y43" s="90"/>
      <c r="AK43" s="74"/>
    </row>
    <row r="44" spans="3:38">
      <c r="C44" s="75"/>
      <c r="D44" s="63" t="s">
        <v>348</v>
      </c>
      <c r="U44" s="77"/>
      <c r="Y44" s="1678">
        <f>+Y28+Y42</f>
        <v>336.95218309295922</v>
      </c>
      <c r="Z44" s="87"/>
      <c r="AA44" s="67"/>
      <c r="AB44" s="67"/>
      <c r="AC44" s="67"/>
      <c r="AD44" s="67"/>
      <c r="AE44" s="67"/>
      <c r="AF44" s="67"/>
      <c r="AG44" s="67"/>
      <c r="AH44" s="67"/>
      <c r="AI44" s="67"/>
      <c r="AJ44" s="67"/>
      <c r="AK44" s="74"/>
    </row>
    <row r="45" spans="3:38">
      <c r="C45" s="75"/>
      <c r="D45" s="63" t="s">
        <v>383</v>
      </c>
      <c r="U45" s="77"/>
      <c r="Y45" s="1679">
        <f>AB26</f>
        <v>285.10721122639399</v>
      </c>
      <c r="Z45" s="87"/>
      <c r="AA45" s="67"/>
      <c r="AB45" s="67"/>
      <c r="AC45" s="67"/>
      <c r="AD45" s="67"/>
      <c r="AE45" s="67"/>
      <c r="AF45" s="67"/>
      <c r="AG45" s="67"/>
      <c r="AH45" s="67"/>
      <c r="AI45" s="67"/>
      <c r="AJ45" s="67"/>
      <c r="AK45" s="74"/>
    </row>
    <row r="46" spans="3:38">
      <c r="C46" s="75"/>
      <c r="D46" s="63" t="s">
        <v>231</v>
      </c>
      <c r="U46" s="77"/>
      <c r="Y46" s="1680">
        <f>Y44-Y45</f>
        <v>51.844971866565231</v>
      </c>
      <c r="Z46" s="87"/>
      <c r="AA46" s="67"/>
      <c r="AB46" s="67"/>
      <c r="AC46" s="67"/>
      <c r="AD46" s="67"/>
      <c r="AE46" s="67"/>
      <c r="AF46" s="67"/>
      <c r="AG46" s="67"/>
      <c r="AH46" s="67"/>
      <c r="AI46" s="67"/>
      <c r="AJ46" s="67"/>
      <c r="AK46" s="74"/>
    </row>
    <row r="47" spans="3:38">
      <c r="C47" s="75"/>
      <c r="V47" s="67"/>
      <c r="W47" s="67"/>
      <c r="X47" s="87"/>
      <c r="Y47" s="87"/>
      <c r="Z47" s="67"/>
      <c r="AA47" s="87"/>
      <c r="AB47" s="87"/>
      <c r="AC47" s="87"/>
      <c r="AD47" s="87"/>
      <c r="AE47" s="87"/>
      <c r="AF47" s="87"/>
      <c r="AG47" s="87"/>
      <c r="AH47" s="87"/>
      <c r="AI47" s="87"/>
      <c r="AJ47" s="87"/>
      <c r="AK47" s="74"/>
    </row>
    <row r="48" spans="3:38">
      <c r="C48" s="75"/>
      <c r="D48" s="89" t="s">
        <v>384</v>
      </c>
      <c r="V48" s="67"/>
      <c r="W48" s="67"/>
      <c r="X48" s="87"/>
      <c r="Y48" s="87"/>
      <c r="Z48" s="67"/>
      <c r="AA48" s="126" t="s">
        <v>385</v>
      </c>
      <c r="AB48" s="86"/>
      <c r="AG48" s="87"/>
      <c r="AH48" s="87"/>
      <c r="AI48" s="87"/>
      <c r="AJ48" s="87"/>
      <c r="AK48" s="74"/>
    </row>
    <row r="49" spans="3:38">
      <c r="C49" s="75"/>
      <c r="V49" s="67"/>
      <c r="W49" s="67"/>
      <c r="X49" s="87"/>
      <c r="Z49" s="67"/>
      <c r="AA49" s="231"/>
      <c r="AG49" s="87"/>
      <c r="AH49" s="87"/>
      <c r="AI49" s="87"/>
      <c r="AJ49" s="87"/>
      <c r="AK49" s="74"/>
    </row>
    <row r="50" spans="3:38">
      <c r="C50" s="75"/>
      <c r="D50" s="63">
        <v>1</v>
      </c>
      <c r="E50" s="248" t="s">
        <v>386</v>
      </c>
      <c r="F50" s="249"/>
      <c r="G50" s="249"/>
      <c r="H50" s="250"/>
      <c r="V50" s="67"/>
      <c r="W50" s="67"/>
      <c r="X50" s="87"/>
      <c r="Y50" s="1661">
        <v>1.6316102336098888</v>
      </c>
      <c r="Z50" s="67"/>
      <c r="AA50" s="231"/>
      <c r="AG50" s="87"/>
      <c r="AH50" s="87"/>
      <c r="AI50" s="87"/>
      <c r="AJ50" s="87"/>
      <c r="AK50" s="74"/>
    </row>
    <row r="51" spans="3:38">
      <c r="C51" s="75"/>
      <c r="D51" s="63">
        <v>2</v>
      </c>
      <c r="E51" s="248" t="s">
        <v>387</v>
      </c>
      <c r="F51" s="249"/>
      <c r="G51" s="249"/>
      <c r="H51" s="250"/>
      <c r="V51" s="67"/>
      <c r="W51" s="67"/>
      <c r="X51" s="87"/>
      <c r="Y51" s="1662">
        <v>4.4956629760838247</v>
      </c>
      <c r="Z51" s="67"/>
      <c r="AA51" s="1665"/>
      <c r="AB51" s="1666"/>
      <c r="AC51" s="1666"/>
      <c r="AD51" s="1667"/>
      <c r="AE51" s="1668"/>
      <c r="AG51" s="87"/>
      <c r="AH51" s="87"/>
      <c r="AI51" s="87"/>
      <c r="AJ51" s="87"/>
      <c r="AK51" s="74"/>
    </row>
    <row r="52" spans="3:38" ht="33" customHeight="1">
      <c r="C52" s="75"/>
      <c r="D52" s="63">
        <v>3</v>
      </c>
      <c r="E52" s="248" t="s">
        <v>388</v>
      </c>
      <c r="F52" s="249"/>
      <c r="G52" s="249"/>
      <c r="H52" s="250"/>
      <c r="V52" s="67"/>
      <c r="W52" s="67"/>
      <c r="X52" s="87"/>
      <c r="Y52" s="1662">
        <v>4.2972152349838302</v>
      </c>
      <c r="Z52" s="67"/>
      <c r="AA52" s="1669"/>
      <c r="AB52" s="1670" t="s">
        <v>389</v>
      </c>
      <c r="AC52" s="1670" t="s">
        <v>390</v>
      </c>
      <c r="AD52" s="1670" t="s">
        <v>391</v>
      </c>
      <c r="AE52" s="1671"/>
      <c r="AG52" s="87"/>
      <c r="AH52" s="87"/>
      <c r="AI52" s="87"/>
      <c r="AJ52" s="87"/>
      <c r="AK52" s="74"/>
    </row>
    <row r="53" spans="3:38">
      <c r="C53" s="75"/>
      <c r="D53" s="63">
        <v>4</v>
      </c>
      <c r="E53" s="248" t="s">
        <v>392</v>
      </c>
      <c r="F53" s="249"/>
      <c r="G53" s="249"/>
      <c r="H53" s="250"/>
      <c r="V53" s="67"/>
      <c r="W53" s="67"/>
      <c r="X53" s="87"/>
      <c r="Y53" s="1662">
        <v>6.8905456666034217</v>
      </c>
      <c r="Z53" s="67"/>
      <c r="AA53" s="1672"/>
      <c r="AB53" s="236"/>
      <c r="AC53" s="236"/>
      <c r="AD53" s="236"/>
      <c r="AE53" s="1143"/>
      <c r="AG53" s="87"/>
      <c r="AH53" s="87"/>
      <c r="AI53" s="87"/>
      <c r="AJ53" s="87"/>
      <c r="AK53" s="74"/>
    </row>
    <row r="54" spans="3:38">
      <c r="C54" s="75"/>
      <c r="D54" s="63">
        <v>5</v>
      </c>
      <c r="E54" s="248" t="s">
        <v>393</v>
      </c>
      <c r="F54" s="249"/>
      <c r="G54" s="249"/>
      <c r="H54" s="250"/>
      <c r="V54" s="67"/>
      <c r="W54" s="67"/>
      <c r="X54" s="87"/>
      <c r="Y54" s="1663">
        <v>0.8997799899783433</v>
      </c>
      <c r="Z54" s="67"/>
      <c r="AA54" s="1673"/>
      <c r="AB54" s="1750">
        <f>+Y44-AB26</f>
        <v>51.844971866565231</v>
      </c>
      <c r="AC54" s="1681">
        <f>AB54-Y60</f>
        <v>8.7452072117505253</v>
      </c>
      <c r="AD54" s="1674">
        <f>+AC54/AB54</f>
        <v>0.16867994902684671</v>
      </c>
      <c r="AE54" s="1675"/>
      <c r="AG54" s="87"/>
      <c r="AH54" s="87"/>
      <c r="AI54" s="87"/>
      <c r="AJ54" s="87"/>
      <c r="AK54" s="74"/>
    </row>
    <row r="55" spans="3:38">
      <c r="C55" s="75"/>
      <c r="D55" s="63">
        <v>6</v>
      </c>
      <c r="E55" s="248" t="s">
        <v>394</v>
      </c>
      <c r="F55" s="249"/>
      <c r="G55" s="249"/>
      <c r="H55" s="250"/>
      <c r="V55" s="67"/>
      <c r="W55" s="67"/>
      <c r="X55" s="87"/>
      <c r="Y55" s="1663">
        <v>7.5903194553474718</v>
      </c>
      <c r="Z55" s="67"/>
      <c r="AA55" s="1676"/>
      <c r="AB55" s="1677"/>
      <c r="AC55" s="323"/>
      <c r="AD55" s="323"/>
      <c r="AE55" s="1145"/>
      <c r="AG55" s="87"/>
      <c r="AH55" s="87"/>
      <c r="AI55" s="87"/>
      <c r="AJ55" s="87"/>
      <c r="AK55" s="74"/>
    </row>
    <row r="56" spans="3:38">
      <c r="C56" s="75"/>
      <c r="D56" s="63">
        <v>7</v>
      </c>
      <c r="E56" s="248" t="s">
        <v>395</v>
      </c>
      <c r="F56" s="249"/>
      <c r="G56" s="249"/>
      <c r="H56" s="250"/>
      <c r="V56" s="67"/>
      <c r="W56" s="67"/>
      <c r="X56" s="87"/>
      <c r="Y56" s="1663">
        <v>2.5070160747026007</v>
      </c>
      <c r="Z56" s="67"/>
      <c r="AA56" s="231" t="s">
        <v>345</v>
      </c>
      <c r="AG56" s="87"/>
      <c r="AH56" s="87"/>
      <c r="AI56" s="87"/>
      <c r="AJ56" s="87"/>
      <c r="AK56" s="74"/>
    </row>
    <row r="57" spans="3:38">
      <c r="C57" s="75"/>
      <c r="D57" s="63">
        <v>8</v>
      </c>
      <c r="E57" s="248" t="s">
        <v>396</v>
      </c>
      <c r="F57" s="249"/>
      <c r="G57" s="249"/>
      <c r="H57" s="250"/>
      <c r="V57" s="67"/>
      <c r="W57" s="67"/>
      <c r="X57" s="87"/>
      <c r="Y57" s="1663">
        <v>14.787615023505328</v>
      </c>
      <c r="Z57" s="67"/>
      <c r="AA57" s="87"/>
      <c r="AB57" s="87"/>
      <c r="AC57" s="87"/>
      <c r="AD57" s="87"/>
      <c r="AE57" s="87"/>
      <c r="AF57" s="87"/>
      <c r="AG57" s="87"/>
      <c r="AH57" s="87"/>
      <c r="AI57" s="87"/>
      <c r="AJ57" s="87"/>
      <c r="AK57" s="74"/>
    </row>
    <row r="58" spans="3:38">
      <c r="C58" s="75"/>
      <c r="D58" s="63">
        <v>9</v>
      </c>
      <c r="E58" s="248"/>
      <c r="F58" s="249"/>
      <c r="G58" s="249"/>
      <c r="H58" s="250"/>
      <c r="V58" s="67"/>
      <c r="W58" s="67"/>
      <c r="X58" s="87"/>
      <c r="Y58" s="1663"/>
      <c r="Z58" s="67"/>
      <c r="AA58" s="87"/>
      <c r="AB58" s="87"/>
      <c r="AC58" s="87"/>
      <c r="AD58" s="87"/>
      <c r="AE58" s="87"/>
      <c r="AF58" s="87"/>
      <c r="AG58" s="87"/>
      <c r="AH58" s="87"/>
      <c r="AI58" s="87"/>
      <c r="AJ58" s="87"/>
      <c r="AK58" s="74"/>
    </row>
    <row r="59" spans="3:38">
      <c r="C59" s="75"/>
      <c r="D59" s="63">
        <v>10</v>
      </c>
      <c r="E59" s="248"/>
      <c r="F59" s="249"/>
      <c r="G59" s="249"/>
      <c r="H59" s="250"/>
      <c r="V59" s="67"/>
      <c r="W59" s="67"/>
      <c r="X59" s="87"/>
      <c r="Y59" s="1664"/>
      <c r="Z59" s="67"/>
      <c r="AA59" s="87"/>
      <c r="AB59" s="87"/>
      <c r="AC59" s="87"/>
      <c r="AD59" s="87"/>
      <c r="AE59" s="87"/>
      <c r="AF59" s="87"/>
      <c r="AG59" s="87"/>
      <c r="AH59" s="87"/>
      <c r="AI59" s="87"/>
      <c r="AJ59" s="87"/>
      <c r="AK59" s="74"/>
    </row>
    <row r="60" spans="3:38">
      <c r="C60" s="75"/>
      <c r="V60" s="67"/>
      <c r="W60" s="67"/>
      <c r="X60" s="87"/>
      <c r="Y60" s="77">
        <f>SUM(Y50:Y59)</f>
        <v>43.099764654814706</v>
      </c>
      <c r="Z60" s="67"/>
      <c r="AA60" s="87"/>
      <c r="AB60" s="87"/>
      <c r="AC60" s="87"/>
      <c r="AD60" s="87"/>
      <c r="AE60" s="87"/>
      <c r="AF60" s="87"/>
      <c r="AG60" s="87"/>
      <c r="AH60" s="87"/>
      <c r="AI60" s="87"/>
      <c r="AJ60" s="87"/>
      <c r="AK60" s="74"/>
    </row>
    <row r="61" spans="3:38">
      <c r="C61" s="75"/>
      <c r="V61" s="67"/>
      <c r="W61" s="67"/>
      <c r="X61" s="87"/>
      <c r="Y61" s="77"/>
      <c r="Z61" s="67"/>
      <c r="AA61" s="87"/>
      <c r="AB61" s="87"/>
      <c r="AC61" s="87"/>
      <c r="AD61" s="87"/>
      <c r="AE61" s="87"/>
      <c r="AF61" s="87"/>
      <c r="AG61" s="87"/>
      <c r="AH61" s="87"/>
      <c r="AI61" s="87"/>
      <c r="AJ61" s="87"/>
      <c r="AK61" s="74"/>
    </row>
    <row r="62" spans="3:38">
      <c r="C62" s="75"/>
      <c r="V62" s="67"/>
      <c r="W62" s="67"/>
      <c r="X62" s="87"/>
      <c r="Y62" s="87"/>
      <c r="Z62" s="67"/>
      <c r="AA62" s="87"/>
      <c r="AB62" s="87"/>
      <c r="AC62" s="87"/>
      <c r="AD62" s="87"/>
      <c r="AE62" s="87"/>
      <c r="AF62" s="87"/>
      <c r="AG62" s="87"/>
      <c r="AH62" s="87"/>
      <c r="AI62" s="87"/>
      <c r="AJ62" s="87"/>
      <c r="AK62" s="74"/>
    </row>
    <row r="63" spans="3:38">
      <c r="C63" s="75"/>
      <c r="D63" s="89" t="s">
        <v>349</v>
      </c>
      <c r="V63" s="67"/>
      <c r="Z63" s="95">
        <f>+Y44*(1+$Z$13-$F$11)</f>
        <v>336.27827872677329</v>
      </c>
      <c r="AA63" s="95">
        <f>+Z63*(1+AA$13-AA$11)</f>
        <v>336.27827872677329</v>
      </c>
      <c r="AB63" s="96">
        <f t="shared" ref="AB63:AJ63" si="1">+AA63*(1+AB$13-AB$11)</f>
        <v>336.27827872677329</v>
      </c>
      <c r="AC63" s="96">
        <f t="shared" si="1"/>
        <v>336.27827872677329</v>
      </c>
      <c r="AD63" s="96">
        <f t="shared" si="1"/>
        <v>336.27827872677329</v>
      </c>
      <c r="AE63" s="97">
        <f t="shared" si="1"/>
        <v>336.27827872677329</v>
      </c>
      <c r="AF63" s="95">
        <f t="shared" si="1"/>
        <v>335.95930677470466</v>
      </c>
      <c r="AG63" s="96">
        <f t="shared" si="1"/>
        <v>335.64063737891945</v>
      </c>
      <c r="AH63" s="96">
        <f t="shared" si="1"/>
        <v>335.32227025243225</v>
      </c>
      <c r="AI63" s="96">
        <f t="shared" si="1"/>
        <v>335.00420510852979</v>
      </c>
      <c r="AJ63" s="97">
        <f t="shared" si="1"/>
        <v>334.68644166077087</v>
      </c>
      <c r="AK63" s="74"/>
      <c r="AL63" s="237"/>
    </row>
    <row r="64" spans="3:38">
      <c r="C64" s="81"/>
      <c r="D64" s="68"/>
      <c r="E64" s="68"/>
      <c r="F64" s="68"/>
      <c r="G64" s="68"/>
      <c r="H64" s="68"/>
      <c r="I64" s="68"/>
      <c r="J64" s="68"/>
      <c r="K64" s="68"/>
      <c r="L64" s="68"/>
      <c r="M64" s="68"/>
      <c r="N64" s="68"/>
      <c r="O64" s="68"/>
      <c r="P64" s="68"/>
      <c r="Q64" s="68"/>
      <c r="R64" s="68"/>
      <c r="S64" s="68"/>
      <c r="T64" s="68"/>
      <c r="U64" s="68"/>
      <c r="V64" s="68"/>
      <c r="W64" s="1114"/>
      <c r="X64" s="68"/>
      <c r="Y64" s="68"/>
      <c r="Z64" s="68"/>
      <c r="AA64" s="68"/>
      <c r="AB64" s="68"/>
      <c r="AC64" s="68"/>
      <c r="AD64" s="68"/>
      <c r="AE64" s="68"/>
      <c r="AF64" s="68"/>
      <c r="AG64" s="68"/>
      <c r="AH64" s="68"/>
      <c r="AI64" s="68"/>
      <c r="AJ64" s="68"/>
      <c r="AK64" s="83"/>
    </row>
    <row r="66" spans="3:50">
      <c r="C66" s="69"/>
      <c r="D66" s="70"/>
      <c r="E66" s="70"/>
      <c r="F66" s="70"/>
      <c r="G66" s="70"/>
      <c r="H66" s="72"/>
      <c r="I66" s="70"/>
      <c r="J66" s="70"/>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c r="AJ66" s="70"/>
      <c r="AK66" s="73"/>
    </row>
    <row r="67" spans="3:50">
      <c r="C67" s="230" t="s">
        <v>350</v>
      </c>
      <c r="H67" s="67"/>
      <c r="AK67" s="74"/>
    </row>
    <row r="68" spans="3:50">
      <c r="C68" s="75"/>
      <c r="H68" s="67"/>
      <c r="AK68" s="74"/>
    </row>
    <row r="69" spans="3:50">
      <c r="C69" s="75"/>
      <c r="H69" s="67"/>
      <c r="AK69" s="74"/>
    </row>
    <row r="70" spans="3:50">
      <c r="C70" s="75"/>
      <c r="D70" s="92" t="s">
        <v>349</v>
      </c>
      <c r="AA70" s="95">
        <f t="shared" ref="AA70:AJ70" si="2">+AA63</f>
        <v>336.27827872677329</v>
      </c>
      <c r="AB70" s="96">
        <f t="shared" si="2"/>
        <v>336.27827872677329</v>
      </c>
      <c r="AC70" s="96">
        <f t="shared" si="2"/>
        <v>336.27827872677329</v>
      </c>
      <c r="AD70" s="96">
        <f t="shared" si="2"/>
        <v>336.27827872677329</v>
      </c>
      <c r="AE70" s="97">
        <f t="shared" si="2"/>
        <v>336.27827872677329</v>
      </c>
      <c r="AF70" s="96">
        <f t="shared" si="2"/>
        <v>335.95930677470466</v>
      </c>
      <c r="AG70" s="96">
        <f t="shared" si="2"/>
        <v>335.64063737891945</v>
      </c>
      <c r="AH70" s="96">
        <f t="shared" si="2"/>
        <v>335.32227025243225</v>
      </c>
      <c r="AI70" s="96">
        <f t="shared" si="2"/>
        <v>335.00420510852979</v>
      </c>
      <c r="AJ70" s="97">
        <f t="shared" si="2"/>
        <v>334.68644166077087</v>
      </c>
      <c r="AK70" s="74"/>
      <c r="AL70" s="237"/>
      <c r="AM70" s="842"/>
      <c r="AN70" s="842"/>
      <c r="AO70" s="842"/>
      <c r="AP70" s="842"/>
      <c r="AQ70" s="842"/>
      <c r="AR70" s="842"/>
      <c r="AS70" s="842"/>
      <c r="AT70" s="842"/>
      <c r="AU70" s="842"/>
      <c r="AV70" s="842"/>
      <c r="AW70" s="842"/>
      <c r="AX70" s="842"/>
    </row>
    <row r="71" spans="3:50">
      <c r="C71" s="75"/>
      <c r="E71" s="93"/>
      <c r="H71" s="1751" t="s">
        <v>397</v>
      </c>
      <c r="AA71" s="77"/>
      <c r="AB71" s="77"/>
      <c r="AC71" s="77"/>
      <c r="AD71" s="77"/>
      <c r="AE71" s="529">
        <f>SUM(AA70:AE70)</f>
        <v>1681.3913936338665</v>
      </c>
      <c r="AF71" s="116"/>
      <c r="AG71" s="116"/>
      <c r="AH71" s="116"/>
      <c r="AI71" s="116"/>
      <c r="AJ71" s="529">
        <f>SUM(AF70:AJ70)</f>
        <v>1676.612861175357</v>
      </c>
      <c r="AK71" s="74"/>
      <c r="AM71" s="842"/>
      <c r="AN71" s="842"/>
      <c r="AO71" s="842"/>
      <c r="AP71" s="842"/>
      <c r="AQ71" s="842"/>
      <c r="AR71" s="842"/>
      <c r="AS71" s="842"/>
      <c r="AT71" s="842"/>
      <c r="AU71" s="842"/>
      <c r="AV71" s="842"/>
      <c r="AW71" s="842"/>
      <c r="AX71" s="842"/>
    </row>
    <row r="72" spans="3:50" ht="10.5" customHeight="1">
      <c r="C72" s="75"/>
      <c r="D72" s="92" t="s">
        <v>398</v>
      </c>
      <c r="H72" s="1751" t="s">
        <v>399</v>
      </c>
      <c r="Z72" s="1520"/>
      <c r="AA72" s="1520"/>
      <c r="AB72" s="1520"/>
      <c r="AC72" s="1520"/>
      <c r="AD72" s="1520"/>
      <c r="AE72" s="1520"/>
      <c r="AF72" s="1520"/>
      <c r="AK72" s="74"/>
      <c r="AM72" s="842"/>
      <c r="AN72" s="842"/>
      <c r="AO72" s="842"/>
      <c r="AP72" s="842"/>
      <c r="AQ72" s="842"/>
      <c r="AR72" s="842"/>
      <c r="AS72" s="842"/>
      <c r="AT72" s="842"/>
      <c r="AU72" s="842"/>
      <c r="AV72" s="842"/>
      <c r="AW72" s="842"/>
      <c r="AX72" s="842"/>
    </row>
    <row r="73" spans="3:50">
      <c r="C73" s="75"/>
      <c r="AF73" s="1419"/>
      <c r="AG73" s="1505"/>
      <c r="AH73" s="1505"/>
      <c r="AI73" s="1419"/>
      <c r="AJ73" s="1505"/>
      <c r="AK73" s="74"/>
      <c r="AM73" s="842"/>
      <c r="AN73" s="842"/>
      <c r="AO73" s="842"/>
      <c r="AP73" s="842"/>
      <c r="AQ73" s="842"/>
      <c r="AR73" s="842"/>
      <c r="AS73" s="842"/>
      <c r="AT73" s="842"/>
      <c r="AU73" s="842"/>
      <c r="AV73" s="842"/>
      <c r="AW73" s="842"/>
      <c r="AX73" s="842"/>
    </row>
    <row r="74" spans="3:50">
      <c r="C74" s="75"/>
      <c r="D74" s="63">
        <v>1</v>
      </c>
      <c r="E74" s="248" t="s">
        <v>400</v>
      </c>
      <c r="F74" s="249"/>
      <c r="G74" s="249"/>
      <c r="H74" s="255" t="s">
        <v>401</v>
      </c>
      <c r="AA74" s="256">
        <v>2.806047865172424E-2</v>
      </c>
      <c r="AB74" s="257">
        <v>0.24818669682334676</v>
      </c>
      <c r="AC74" s="257">
        <v>0.35351683405636697</v>
      </c>
      <c r="AD74" s="257">
        <v>0.23699967244402267</v>
      </c>
      <c r="AE74" s="257">
        <v>9.7247921736159149E-2</v>
      </c>
      <c r="AF74" s="256">
        <v>9.7247921736159065E-2</v>
      </c>
      <c r="AG74" s="257">
        <v>9.7247921736159149E-2</v>
      </c>
      <c r="AH74" s="257">
        <v>9.7247921736159149E-2</v>
      </c>
      <c r="AI74" s="257">
        <v>9.7247921736159149E-2</v>
      </c>
      <c r="AJ74" s="258">
        <v>9.7247921736159065E-2</v>
      </c>
      <c r="AK74" s="74"/>
      <c r="AM74" s="842"/>
      <c r="AN74" s="842"/>
      <c r="AO74" s="842"/>
      <c r="AP74" s="842"/>
      <c r="AQ74" s="842"/>
      <c r="AR74" s="842"/>
      <c r="AS74" s="842"/>
      <c r="AT74" s="842"/>
      <c r="AU74" s="842"/>
      <c r="AV74" s="842"/>
      <c r="AW74" s="842"/>
      <c r="AX74" s="842"/>
    </row>
    <row r="75" spans="3:50">
      <c r="C75" s="75"/>
      <c r="D75" s="63">
        <v>2</v>
      </c>
      <c r="E75" s="248" t="s">
        <v>400</v>
      </c>
      <c r="F75" s="249"/>
      <c r="G75" s="249"/>
      <c r="H75" s="255" t="s">
        <v>402</v>
      </c>
      <c r="AA75" s="259">
        <v>3.7760158033990437E-2</v>
      </c>
      <c r="AB75" s="260">
        <v>0.33397751372312351</v>
      </c>
      <c r="AC75" s="260">
        <v>0.47571717101925276</v>
      </c>
      <c r="AD75" s="260">
        <v>0.31892346515409009</v>
      </c>
      <c r="AE75" s="260">
        <v>0.13086365841478129</v>
      </c>
      <c r="AF75" s="259">
        <v>0.13086365841478118</v>
      </c>
      <c r="AG75" s="260">
        <v>0.13086365841478129</v>
      </c>
      <c r="AH75" s="260">
        <v>0.13086365841478129</v>
      </c>
      <c r="AI75" s="260">
        <v>0.13086365841478129</v>
      </c>
      <c r="AJ75" s="261">
        <v>0.13086365841478118</v>
      </c>
      <c r="AK75" s="74"/>
      <c r="AM75" s="842"/>
      <c r="AN75" s="842"/>
      <c r="AO75" s="842"/>
      <c r="AP75" s="842"/>
      <c r="AQ75" s="842"/>
      <c r="AR75" s="842"/>
      <c r="AS75" s="842"/>
      <c r="AT75" s="842"/>
      <c r="AU75" s="842"/>
      <c r="AV75" s="842"/>
      <c r="AW75" s="842"/>
      <c r="AX75" s="842"/>
    </row>
    <row r="76" spans="3:50">
      <c r="C76" s="75"/>
      <c r="D76" s="63">
        <v>3</v>
      </c>
      <c r="E76" s="248" t="s">
        <v>403</v>
      </c>
      <c r="F76" s="249"/>
      <c r="G76" s="249"/>
      <c r="H76" s="255" t="s">
        <v>401</v>
      </c>
      <c r="AA76" s="259">
        <v>0.21323296995227994</v>
      </c>
      <c r="AB76" s="260">
        <v>0.33370861711423128</v>
      </c>
      <c r="AC76" s="260">
        <v>0.41976265080133929</v>
      </c>
      <c r="AD76" s="260">
        <v>0.59187071817555548</v>
      </c>
      <c r="AE76" s="260">
        <v>0.72955717207492854</v>
      </c>
      <c r="AF76" s="259">
        <v>0.79712675457794835</v>
      </c>
      <c r="AG76" s="260">
        <v>0.79712675457794835</v>
      </c>
      <c r="AH76" s="260">
        <v>0.79712675457794835</v>
      </c>
      <c r="AI76" s="260">
        <v>0.79712675457794835</v>
      </c>
      <c r="AJ76" s="261">
        <v>0.79712675457794835</v>
      </c>
      <c r="AK76" s="74"/>
      <c r="AM76" s="842"/>
      <c r="AN76" s="842"/>
      <c r="AO76" s="842"/>
      <c r="AP76" s="842"/>
      <c r="AQ76" s="842"/>
      <c r="AR76" s="842"/>
      <c r="AS76" s="842"/>
      <c r="AT76" s="842"/>
      <c r="AU76" s="842"/>
      <c r="AV76" s="842"/>
      <c r="AW76" s="842"/>
      <c r="AX76" s="842"/>
    </row>
    <row r="77" spans="3:50">
      <c r="C77" s="75"/>
      <c r="D77" s="63">
        <v>4</v>
      </c>
      <c r="E77" s="248" t="s">
        <v>403</v>
      </c>
      <c r="F77" s="249"/>
      <c r="G77" s="249"/>
      <c r="H77" s="255" t="s">
        <v>402</v>
      </c>
      <c r="Z77" s="1419"/>
      <c r="AA77" s="259">
        <v>0.28694131498574671</v>
      </c>
      <c r="AB77" s="260">
        <v>0.44906183803687499</v>
      </c>
      <c r="AC77" s="260">
        <v>0.56486221164482364</v>
      </c>
      <c r="AD77" s="260">
        <v>0.79646295886072127</v>
      </c>
      <c r="AE77" s="260">
        <v>0.9817435566334396</v>
      </c>
      <c r="AF77" s="259">
        <v>1.0726699497742069</v>
      </c>
      <c r="AG77" s="260">
        <v>1.0726699497742069</v>
      </c>
      <c r="AH77" s="260">
        <v>1.0726699497742069</v>
      </c>
      <c r="AI77" s="260">
        <v>1.0726699497742069</v>
      </c>
      <c r="AJ77" s="261">
        <v>1.0726699497742069</v>
      </c>
      <c r="AK77" s="74"/>
      <c r="AM77" s="842"/>
      <c r="AN77" s="842"/>
      <c r="AO77" s="842"/>
      <c r="AP77" s="842"/>
      <c r="AQ77" s="842"/>
      <c r="AR77" s="842"/>
      <c r="AS77" s="842"/>
      <c r="AT77" s="842"/>
      <c r="AU77" s="842"/>
      <c r="AV77" s="842"/>
      <c r="AW77" s="842"/>
      <c r="AX77" s="842"/>
    </row>
    <row r="78" spans="3:50">
      <c r="C78" s="75"/>
      <c r="D78" s="63">
        <v>5</v>
      </c>
      <c r="E78" s="248" t="s">
        <v>404</v>
      </c>
      <c r="F78" s="249"/>
      <c r="G78" s="249"/>
      <c r="H78" s="255" t="s">
        <v>401</v>
      </c>
      <c r="AA78" s="259">
        <v>0.31093212257179831</v>
      </c>
      <c r="AB78" s="260">
        <v>0.39496783137498709</v>
      </c>
      <c r="AC78" s="260">
        <v>0.47900354017817576</v>
      </c>
      <c r="AD78" s="260">
        <v>0.56303924898136448</v>
      </c>
      <c r="AE78" s="260">
        <v>0.56303924898136448</v>
      </c>
      <c r="AF78" s="259">
        <v>0.56303924898136448</v>
      </c>
      <c r="AG78" s="260">
        <v>0.56303924898136448</v>
      </c>
      <c r="AH78" s="260">
        <v>0.56303924898136448</v>
      </c>
      <c r="AI78" s="260">
        <v>0.56303924898136448</v>
      </c>
      <c r="AJ78" s="261">
        <v>0.56303924898136448</v>
      </c>
      <c r="AK78" s="74"/>
      <c r="AM78" s="842"/>
      <c r="AN78" s="842"/>
      <c r="AO78" s="842"/>
      <c r="AP78" s="842"/>
      <c r="AQ78" s="842"/>
      <c r="AR78" s="842"/>
      <c r="AS78" s="842"/>
      <c r="AT78" s="842"/>
      <c r="AU78" s="842"/>
      <c r="AV78" s="842"/>
      <c r="AW78" s="842"/>
      <c r="AX78" s="842"/>
    </row>
    <row r="79" spans="3:50">
      <c r="C79" s="75"/>
      <c r="D79" s="63">
        <v>6</v>
      </c>
      <c r="E79" s="248" t="s">
        <v>404</v>
      </c>
      <c r="F79" s="249"/>
      <c r="G79" s="249"/>
      <c r="H79" s="255" t="s">
        <v>402</v>
      </c>
      <c r="AA79" s="259">
        <v>0.41841218148407272</v>
      </c>
      <c r="AB79" s="260">
        <v>0.53149655485814651</v>
      </c>
      <c r="AC79" s="260">
        <v>0.64458092823222013</v>
      </c>
      <c r="AD79" s="260">
        <v>0.75766530160629375</v>
      </c>
      <c r="AE79" s="260">
        <v>0.75766530160629375</v>
      </c>
      <c r="AF79" s="259">
        <v>0.75766530160629375</v>
      </c>
      <c r="AG79" s="260">
        <v>0.75766530160629375</v>
      </c>
      <c r="AH79" s="260">
        <v>0.75766530160629375</v>
      </c>
      <c r="AI79" s="260">
        <v>0.75766530160629375</v>
      </c>
      <c r="AJ79" s="261">
        <v>0.75766530160629375</v>
      </c>
      <c r="AK79" s="74"/>
      <c r="AM79" s="842"/>
      <c r="AN79" s="842"/>
      <c r="AO79" s="842"/>
      <c r="AP79" s="842"/>
      <c r="AQ79" s="842"/>
      <c r="AR79" s="842"/>
      <c r="AS79" s="842"/>
      <c r="AT79" s="842"/>
      <c r="AU79" s="842"/>
      <c r="AV79" s="842"/>
      <c r="AW79" s="842"/>
      <c r="AX79" s="842"/>
    </row>
    <row r="80" spans="3:50">
      <c r="C80" s="75"/>
      <c r="D80" s="63">
        <v>7</v>
      </c>
      <c r="E80" s="248" t="s">
        <v>405</v>
      </c>
      <c r="F80" s="249"/>
      <c r="G80" s="249"/>
      <c r="H80" s="255" t="s">
        <v>402</v>
      </c>
      <c r="AA80" s="259">
        <v>1.2216806164132556</v>
      </c>
      <c r="AB80" s="260">
        <v>1.9278497326580832</v>
      </c>
      <c r="AC80" s="260">
        <v>9.3680074200512991</v>
      </c>
      <c r="AD80" s="260">
        <v>6.848863106921165</v>
      </c>
      <c r="AE80" s="260">
        <v>9.5991335186191797</v>
      </c>
      <c r="AF80" s="259">
        <v>9.1252602246460626</v>
      </c>
      <c r="AG80" s="260">
        <v>8.8596626418171454</v>
      </c>
      <c r="AH80" s="260">
        <v>8.1769193211741129</v>
      </c>
      <c r="AI80" s="260">
        <v>9.6425675946401963</v>
      </c>
      <c r="AJ80" s="261">
        <v>8.1977493774302168</v>
      </c>
      <c r="AK80" s="74"/>
      <c r="AM80" s="842"/>
      <c r="AN80" s="842"/>
      <c r="AO80" s="842"/>
      <c r="AP80" s="842"/>
      <c r="AQ80" s="842"/>
      <c r="AR80" s="842"/>
      <c r="AS80" s="842"/>
      <c r="AT80" s="842"/>
      <c r="AU80" s="842"/>
      <c r="AV80" s="842"/>
      <c r="AW80" s="842"/>
      <c r="AX80" s="842"/>
    </row>
    <row r="81" spans="2:50">
      <c r="C81" s="75"/>
      <c r="D81" s="63">
        <v>8</v>
      </c>
      <c r="E81" s="248" t="s">
        <v>406</v>
      </c>
      <c r="F81" s="249"/>
      <c r="G81" s="249"/>
      <c r="H81" s="255" t="s">
        <v>401</v>
      </c>
      <c r="AA81" s="259">
        <v>0.55573656386640746</v>
      </c>
      <c r="AB81" s="260">
        <v>0.92204819942278204</v>
      </c>
      <c r="AC81" s="260">
        <v>2.2848283148737578</v>
      </c>
      <c r="AD81" s="260">
        <v>2.8884355876791958</v>
      </c>
      <c r="AE81" s="260">
        <v>3.2512663064529521</v>
      </c>
      <c r="AF81" s="259">
        <v>3.3372446279910184</v>
      </c>
      <c r="AG81" s="260">
        <v>3.3730816418020071</v>
      </c>
      <c r="AH81" s="260">
        <v>3.4535898613297364</v>
      </c>
      <c r="AI81" s="260">
        <v>3.2989460350054212</v>
      </c>
      <c r="AJ81" s="261">
        <v>2.9656001398641032</v>
      </c>
      <c r="AK81" s="74"/>
      <c r="AM81" s="842"/>
      <c r="AN81" s="842"/>
      <c r="AO81" s="842"/>
      <c r="AP81" s="842"/>
      <c r="AQ81" s="842"/>
      <c r="AR81" s="842"/>
      <c r="AS81" s="842"/>
      <c r="AT81" s="842"/>
      <c r="AU81" s="842"/>
      <c r="AV81" s="842"/>
      <c r="AW81" s="842"/>
      <c r="AX81" s="842"/>
    </row>
    <row r="82" spans="2:50">
      <c r="C82" s="75"/>
      <c r="D82" s="63">
        <v>9</v>
      </c>
      <c r="E82" s="248" t="s">
        <v>407</v>
      </c>
      <c r="F82" s="249"/>
      <c r="G82" s="249"/>
      <c r="H82" s="255" t="s">
        <v>401</v>
      </c>
      <c r="AA82" s="259">
        <v>1.7821119903001277</v>
      </c>
      <c r="AB82" s="260">
        <v>1.851396341936598</v>
      </c>
      <c r="AC82" s="260">
        <v>1.9377784074296369</v>
      </c>
      <c r="AD82" s="260">
        <v>2.0183937356639685</v>
      </c>
      <c r="AE82" s="260">
        <v>2.1022516665472302</v>
      </c>
      <c r="AF82" s="259">
        <v>2.1022516665472302</v>
      </c>
      <c r="AG82" s="260">
        <v>2.1022516665472288</v>
      </c>
      <c r="AH82" s="260">
        <v>2.1022516665472302</v>
      </c>
      <c r="AI82" s="260">
        <v>2.1022516665472302</v>
      </c>
      <c r="AJ82" s="261">
        <v>2.1022516665472288</v>
      </c>
      <c r="AK82" s="74"/>
      <c r="AM82" s="842"/>
      <c r="AN82" s="842"/>
      <c r="AO82" s="842"/>
      <c r="AP82" s="842"/>
      <c r="AQ82" s="842"/>
      <c r="AR82" s="842"/>
      <c r="AS82" s="842"/>
      <c r="AT82" s="842"/>
      <c r="AU82" s="842"/>
      <c r="AV82" s="842"/>
      <c r="AW82" s="842"/>
      <c r="AX82" s="842"/>
    </row>
    <row r="83" spans="2:50">
      <c r="C83" s="75"/>
      <c r="D83" s="63">
        <v>10</v>
      </c>
      <c r="E83" s="248" t="s">
        <v>408</v>
      </c>
      <c r="F83" s="249"/>
      <c r="G83" s="249"/>
      <c r="H83" s="255" t="s">
        <v>401</v>
      </c>
      <c r="V83" s="94"/>
      <c r="AA83" s="259">
        <v>0.98764033109773186</v>
      </c>
      <c r="AB83" s="260">
        <v>0.94155954507153095</v>
      </c>
      <c r="AC83" s="260">
        <v>0.93643945773528647</v>
      </c>
      <c r="AD83" s="260">
        <v>0.95095404515886728</v>
      </c>
      <c r="AE83" s="260">
        <v>0.95095404515886728</v>
      </c>
      <c r="AF83" s="259">
        <v>0.95095404515886728</v>
      </c>
      <c r="AG83" s="260">
        <v>0.95095404515886728</v>
      </c>
      <c r="AH83" s="260">
        <v>0.95095404515886728</v>
      </c>
      <c r="AI83" s="260">
        <v>0.95095404515886728</v>
      </c>
      <c r="AJ83" s="261">
        <v>0.95095404515886728</v>
      </c>
      <c r="AK83" s="74"/>
      <c r="AM83" s="842"/>
      <c r="AN83" s="842"/>
      <c r="AO83" s="842"/>
      <c r="AP83" s="842"/>
      <c r="AQ83" s="842"/>
      <c r="AR83" s="842"/>
      <c r="AS83" s="842"/>
      <c r="AT83" s="842"/>
      <c r="AU83" s="842"/>
      <c r="AV83" s="842"/>
      <c r="AW83" s="842"/>
      <c r="AX83" s="842"/>
    </row>
    <row r="84" spans="2:50">
      <c r="C84" s="75"/>
      <c r="D84" s="63">
        <v>11</v>
      </c>
      <c r="E84" s="248" t="s">
        <v>409</v>
      </c>
      <c r="F84" s="249"/>
      <c r="G84" s="249"/>
      <c r="H84" s="255" t="s">
        <v>401</v>
      </c>
      <c r="AA84" s="259">
        <v>1.6409239172672181</v>
      </c>
      <c r="AB84" s="260">
        <v>1.2577447311457464</v>
      </c>
      <c r="AC84" s="260">
        <v>1.0689287589127192</v>
      </c>
      <c r="AD84" s="260">
        <v>1.7482250535187123</v>
      </c>
      <c r="AE84" s="260">
        <v>1.3553192481687837</v>
      </c>
      <c r="AF84" s="259">
        <v>1.3553192481687855</v>
      </c>
      <c r="AG84" s="260">
        <v>1.3553192481687841</v>
      </c>
      <c r="AH84" s="260">
        <v>1.3553192481687837</v>
      </c>
      <c r="AI84" s="260">
        <v>1.3553192481687837</v>
      </c>
      <c r="AJ84" s="261">
        <v>1.3553192481687841</v>
      </c>
      <c r="AK84" s="74"/>
      <c r="AM84" s="842"/>
      <c r="AN84" s="842"/>
      <c r="AO84" s="842"/>
      <c r="AP84" s="842"/>
      <c r="AQ84" s="842"/>
      <c r="AR84" s="842"/>
      <c r="AS84" s="842"/>
      <c r="AT84" s="842"/>
      <c r="AU84" s="842"/>
      <c r="AV84" s="842"/>
      <c r="AW84" s="842"/>
      <c r="AX84" s="842"/>
    </row>
    <row r="85" spans="2:50">
      <c r="C85" s="75"/>
      <c r="D85" s="63">
        <v>12</v>
      </c>
      <c r="E85" s="248" t="s">
        <v>409</v>
      </c>
      <c r="F85" s="249"/>
      <c r="G85" s="249"/>
      <c r="H85" s="255" t="s">
        <v>402</v>
      </c>
      <c r="AA85" s="259">
        <v>7.9491954832280598</v>
      </c>
      <c r="AB85" s="260">
        <v>6.0929447311173055</v>
      </c>
      <c r="AC85" s="260">
        <v>5.1782557209554243</v>
      </c>
      <c r="AD85" s="260">
        <v>14.739700050467583</v>
      </c>
      <c r="AE85" s="260">
        <v>13.320510952929517</v>
      </c>
      <c r="AF85" s="259">
        <v>13.320510952929521</v>
      </c>
      <c r="AG85" s="260">
        <v>13.320510952929514</v>
      </c>
      <c r="AH85" s="260">
        <v>13.320510952929521</v>
      </c>
      <c r="AI85" s="260">
        <v>13.320510952929521</v>
      </c>
      <c r="AJ85" s="261">
        <v>13.320510952929517</v>
      </c>
      <c r="AK85" s="74"/>
      <c r="AM85" s="842"/>
      <c r="AN85" s="842"/>
      <c r="AO85" s="842"/>
      <c r="AP85" s="842"/>
      <c r="AQ85" s="842"/>
      <c r="AR85" s="842"/>
      <c r="AS85" s="842"/>
      <c r="AT85" s="842"/>
      <c r="AU85" s="842"/>
      <c r="AV85" s="842"/>
      <c r="AW85" s="842"/>
      <c r="AX85" s="842"/>
    </row>
    <row r="86" spans="2:50">
      <c r="C86" s="75"/>
      <c r="D86" s="63">
        <v>13</v>
      </c>
      <c r="E86" s="248" t="s">
        <v>410</v>
      </c>
      <c r="F86" s="249"/>
      <c r="G86" s="249"/>
      <c r="H86" s="255" t="s">
        <v>401</v>
      </c>
      <c r="AA86" s="259">
        <v>2.0909366682734709</v>
      </c>
      <c r="AB86" s="260">
        <v>3.7656515743530603</v>
      </c>
      <c r="AC86" s="260">
        <v>4.2564167689852779</v>
      </c>
      <c r="AD86" s="260">
        <v>2.3096942718272984</v>
      </c>
      <c r="AE86" s="260">
        <v>2.1194936105328295</v>
      </c>
      <c r="AF86" s="259">
        <v>2.1751160793886406</v>
      </c>
      <c r="AG86" s="260">
        <v>2.1751160793886406</v>
      </c>
      <c r="AH86" s="260">
        <v>2.1751160793886406</v>
      </c>
      <c r="AI86" s="260">
        <v>2.1751160793886406</v>
      </c>
      <c r="AJ86" s="261">
        <v>2.1751160793886406</v>
      </c>
      <c r="AK86" s="74"/>
      <c r="AM86" s="842"/>
      <c r="AN86" s="842"/>
      <c r="AO86" s="842"/>
      <c r="AP86" s="842"/>
      <c r="AQ86" s="842"/>
      <c r="AR86" s="842"/>
      <c r="AS86" s="842"/>
      <c r="AT86" s="842"/>
      <c r="AU86" s="842"/>
      <c r="AV86" s="842"/>
      <c r="AW86" s="842"/>
      <c r="AX86" s="842"/>
    </row>
    <row r="87" spans="2:50">
      <c r="C87" s="75"/>
      <c r="D87" s="63">
        <v>14</v>
      </c>
      <c r="E87" s="248" t="s">
        <v>410</v>
      </c>
      <c r="F87" s="249"/>
      <c r="G87" s="249"/>
      <c r="H87" s="255" t="s">
        <v>402</v>
      </c>
      <c r="AA87" s="259">
        <v>2.7798117883137308</v>
      </c>
      <c r="AB87" s="260">
        <v>5.0062743630165878</v>
      </c>
      <c r="AC87" s="260">
        <v>5.6587259145306747</v>
      </c>
      <c r="AD87" s="260">
        <v>3.0706407619355462</v>
      </c>
      <c r="AE87" s="260">
        <v>2.8177770341938504</v>
      </c>
      <c r="AF87" s="259">
        <v>2.8917247519638827</v>
      </c>
      <c r="AG87" s="260">
        <v>2.8917247519638827</v>
      </c>
      <c r="AH87" s="260">
        <v>2.8917247519638827</v>
      </c>
      <c r="AI87" s="260">
        <v>2.8917247519638827</v>
      </c>
      <c r="AJ87" s="261">
        <v>2.8917247519638827</v>
      </c>
      <c r="AK87" s="74"/>
      <c r="AM87" s="842"/>
      <c r="AN87" s="842"/>
      <c r="AO87" s="842"/>
      <c r="AP87" s="842"/>
      <c r="AQ87" s="842"/>
      <c r="AR87" s="842"/>
      <c r="AS87" s="842"/>
      <c r="AT87" s="842"/>
      <c r="AU87" s="842"/>
      <c r="AV87" s="842"/>
      <c r="AW87" s="842"/>
      <c r="AX87" s="842"/>
    </row>
    <row r="88" spans="2:50">
      <c r="C88" s="75"/>
      <c r="D88" s="63">
        <v>15</v>
      </c>
      <c r="E88" s="248" t="s">
        <v>410</v>
      </c>
      <c r="F88" s="249"/>
      <c r="G88" s="249"/>
      <c r="H88" s="255" t="s">
        <v>411</v>
      </c>
      <c r="AA88" s="822">
        <v>3.3899980933661505E-2</v>
      </c>
      <c r="AB88" s="823">
        <v>6.1051833137915616E-2</v>
      </c>
      <c r="AC88" s="823">
        <v>6.9008521158827482E-2</v>
      </c>
      <c r="AD88" s="823">
        <v>3.7446658698747373E-2</v>
      </c>
      <c r="AE88" s="823">
        <v>3.4362969513279898E-2</v>
      </c>
      <c r="AF88" s="822">
        <v>3.5264766618044507E-2</v>
      </c>
      <c r="AG88" s="823">
        <v>3.5264766618044507E-2</v>
      </c>
      <c r="AH88" s="823">
        <v>3.5264766618044507E-2</v>
      </c>
      <c r="AI88" s="823">
        <v>3.5264766618044507E-2</v>
      </c>
      <c r="AJ88" s="824">
        <v>3.5264766618044507E-2</v>
      </c>
      <c r="AK88" s="74"/>
      <c r="AM88" s="842"/>
      <c r="AN88" s="842"/>
      <c r="AO88" s="842"/>
      <c r="AP88" s="842"/>
      <c r="AQ88" s="842"/>
      <c r="AR88" s="842"/>
      <c r="AS88" s="842"/>
      <c r="AT88" s="842"/>
      <c r="AU88" s="842"/>
      <c r="AV88" s="842"/>
      <c r="AW88" s="842"/>
      <c r="AX88" s="842"/>
    </row>
    <row r="89" spans="2:50">
      <c r="B89" s="67"/>
      <c r="C89" s="138"/>
      <c r="E89" s="4"/>
      <c r="F89" s="4"/>
      <c r="G89" s="4"/>
      <c r="H89" s="4"/>
      <c r="AA89" s="659"/>
      <c r="AB89" s="659"/>
      <c r="AC89" s="659"/>
      <c r="AD89" s="659"/>
      <c r="AE89" s="659"/>
      <c r="AF89" s="659"/>
      <c r="AG89" s="659"/>
      <c r="AH89" s="659"/>
      <c r="AI89" s="659"/>
      <c r="AJ89" s="659"/>
      <c r="AK89" s="74"/>
      <c r="AM89" s="842"/>
      <c r="AN89" s="842"/>
      <c r="AO89" s="842"/>
      <c r="AP89" s="842"/>
      <c r="AQ89" s="842"/>
      <c r="AR89" s="842"/>
      <c r="AS89" s="842"/>
      <c r="AT89" s="842"/>
      <c r="AU89" s="842"/>
      <c r="AV89" s="842"/>
      <c r="AW89" s="842"/>
      <c r="AX89" s="842"/>
    </row>
    <row r="90" spans="2:50">
      <c r="C90" s="75"/>
      <c r="D90" s="92" t="s">
        <v>412</v>
      </c>
      <c r="Z90" s="1479"/>
      <c r="AA90" s="1502">
        <f t="shared" ref="AA90:AJ90" si="3">SUM(AA74:AA89)</f>
        <v>20.337276565373273</v>
      </c>
      <c r="AB90" s="1503">
        <f t="shared" si="3"/>
        <v>24.117920103790322</v>
      </c>
      <c r="AC90" s="1503">
        <f t="shared" si="3"/>
        <v>33.695832620565085</v>
      </c>
      <c r="AD90" s="1503">
        <f t="shared" si="3"/>
        <v>37.877314637093129</v>
      </c>
      <c r="AE90" s="1504">
        <f t="shared" si="3"/>
        <v>38.811186211563452</v>
      </c>
      <c r="AF90" s="96">
        <f t="shared" si="3"/>
        <v>38.7122591985028</v>
      </c>
      <c r="AG90" s="96">
        <f t="shared" si="3"/>
        <v>38.482498629484873</v>
      </c>
      <c r="AH90" s="96">
        <f t="shared" si="3"/>
        <v>37.880263528369575</v>
      </c>
      <c r="AI90" s="96">
        <f t="shared" si="3"/>
        <v>39.191267975511344</v>
      </c>
      <c r="AJ90" s="97">
        <f t="shared" si="3"/>
        <v>37.413103863160039</v>
      </c>
      <c r="AK90" s="74"/>
      <c r="AM90" s="842"/>
      <c r="AN90" s="842"/>
      <c r="AO90" s="842"/>
      <c r="AP90" s="842"/>
      <c r="AQ90" s="842"/>
      <c r="AR90" s="842"/>
      <c r="AS90" s="842"/>
      <c r="AT90" s="842"/>
      <c r="AU90" s="842"/>
      <c r="AV90" s="842"/>
      <c r="AW90" s="842"/>
      <c r="AX90" s="842"/>
    </row>
    <row r="91" spans="2:50">
      <c r="C91" s="75"/>
      <c r="AA91" s="116"/>
      <c r="AB91" s="116"/>
      <c r="AC91" s="116"/>
      <c r="AD91" s="116"/>
      <c r="AE91" s="529">
        <f>SUM(AA90:AE90)</f>
        <v>154.83953013838527</v>
      </c>
      <c r="AF91" s="116"/>
      <c r="AG91" s="116"/>
      <c r="AH91" s="116"/>
      <c r="AI91" s="116"/>
      <c r="AJ91" s="529">
        <f>SUM(AF90:AJ90)</f>
        <v>191.67939319502864</v>
      </c>
      <c r="AK91" s="74"/>
      <c r="AM91" s="842"/>
      <c r="AN91" s="842"/>
      <c r="AO91" s="842"/>
      <c r="AP91" s="842"/>
      <c r="AQ91" s="842"/>
      <c r="AR91" s="842"/>
      <c r="AS91" s="842"/>
      <c r="AT91" s="842"/>
      <c r="AU91" s="842"/>
      <c r="AV91" s="842"/>
      <c r="AW91" s="842"/>
      <c r="AX91" s="842"/>
    </row>
    <row r="92" spans="2:50">
      <c r="C92" s="75"/>
      <c r="AA92" s="116"/>
      <c r="AB92" s="116"/>
      <c r="AC92" s="116"/>
      <c r="AD92" s="116"/>
      <c r="AE92" s="116"/>
      <c r="AF92" s="116"/>
      <c r="AG92" s="116"/>
      <c r="AH92" s="116"/>
      <c r="AI92" s="116"/>
      <c r="AJ92" s="116"/>
      <c r="AK92" s="74"/>
      <c r="AM92" s="842"/>
      <c r="AN92" s="842"/>
      <c r="AO92" s="842"/>
      <c r="AP92" s="842"/>
      <c r="AQ92" s="842"/>
      <c r="AR92" s="842"/>
      <c r="AS92" s="842"/>
      <c r="AT92" s="842"/>
      <c r="AU92" s="842"/>
      <c r="AV92" s="842"/>
      <c r="AW92" s="842"/>
      <c r="AX92" s="842"/>
    </row>
    <row r="93" spans="2:50">
      <c r="C93" s="75"/>
      <c r="D93" s="92" t="s">
        <v>352</v>
      </c>
      <c r="E93" s="67"/>
      <c r="F93" s="67"/>
      <c r="G93" s="67"/>
      <c r="H93" s="67"/>
      <c r="I93" s="67"/>
      <c r="J93" s="67"/>
      <c r="K93" s="67"/>
      <c r="L93" s="67"/>
      <c r="M93" s="67"/>
      <c r="N93" s="67"/>
      <c r="O93" s="67"/>
      <c r="P93" s="67"/>
      <c r="Q93" s="67"/>
      <c r="R93" s="67"/>
      <c r="S93" s="67"/>
      <c r="T93" s="67"/>
      <c r="U93" s="67"/>
      <c r="V93" s="67"/>
      <c r="AA93" s="95">
        <f t="shared" ref="AA93:AJ93" si="4">+AA90+AA70</f>
        <v>356.61555529214655</v>
      </c>
      <c r="AB93" s="96">
        <f t="shared" si="4"/>
        <v>360.39619883056361</v>
      </c>
      <c r="AC93" s="96">
        <f t="shared" si="4"/>
        <v>369.97411134733841</v>
      </c>
      <c r="AD93" s="96">
        <f t="shared" si="4"/>
        <v>374.15559336386644</v>
      </c>
      <c r="AE93" s="97">
        <f t="shared" si="4"/>
        <v>375.08946493833673</v>
      </c>
      <c r="AF93" s="96">
        <f t="shared" si="4"/>
        <v>374.67156597320746</v>
      </c>
      <c r="AG93" s="96">
        <f t="shared" si="4"/>
        <v>374.12313600840434</v>
      </c>
      <c r="AH93" s="96">
        <f t="shared" si="4"/>
        <v>373.20253378080184</v>
      </c>
      <c r="AI93" s="96">
        <f t="shared" si="4"/>
        <v>374.19547308404111</v>
      </c>
      <c r="AJ93" s="97">
        <f t="shared" si="4"/>
        <v>372.09954552393089</v>
      </c>
      <c r="AK93" s="74"/>
      <c r="AM93" s="842"/>
      <c r="AN93" s="842"/>
      <c r="AO93" s="842"/>
      <c r="AP93" s="842"/>
      <c r="AQ93" s="842"/>
      <c r="AR93" s="842"/>
      <c r="AS93" s="842"/>
      <c r="AT93" s="842"/>
      <c r="AU93" s="842"/>
      <c r="AV93" s="842"/>
      <c r="AW93" s="842"/>
      <c r="AX93" s="842"/>
    </row>
    <row r="94" spans="2:50">
      <c r="C94" s="75"/>
      <c r="D94" s="92"/>
      <c r="E94" s="67"/>
      <c r="F94" s="67"/>
      <c r="G94" s="67"/>
      <c r="H94" s="67"/>
      <c r="I94" s="67"/>
      <c r="J94" s="67"/>
      <c r="K94" s="67"/>
      <c r="L94" s="67"/>
      <c r="M94" s="67"/>
      <c r="N94" s="67"/>
      <c r="O94" s="67"/>
      <c r="P94" s="67"/>
      <c r="Q94" s="67"/>
      <c r="R94" s="67"/>
      <c r="S94" s="67"/>
      <c r="T94" s="67"/>
      <c r="U94" s="67"/>
      <c r="V94" s="67"/>
      <c r="W94" s="1006"/>
      <c r="AA94" s="1008"/>
      <c r="AB94" s="98"/>
      <c r="AC94" s="98"/>
      <c r="AD94" s="98"/>
      <c r="AE94" s="529">
        <f>SUM(AA93:AE93)</f>
        <v>1836.2309237722518</v>
      </c>
      <c r="AF94" s="116"/>
      <c r="AG94" s="116"/>
      <c r="AH94" s="116"/>
      <c r="AI94" s="116"/>
      <c r="AJ94" s="529">
        <f>SUM(AF93:AJ93)</f>
        <v>1868.2922543703855</v>
      </c>
      <c r="AK94" s="74"/>
      <c r="AM94" s="842"/>
      <c r="AN94" s="842"/>
      <c r="AO94" s="842"/>
      <c r="AP94" s="842"/>
      <c r="AQ94" s="842"/>
      <c r="AR94" s="842"/>
      <c r="AS94" s="842"/>
      <c r="AT94" s="842"/>
      <c r="AU94" s="842"/>
      <c r="AV94" s="842"/>
      <c r="AW94" s="842"/>
      <c r="AX94" s="842"/>
    </row>
    <row r="95" spans="2:50">
      <c r="C95" s="75"/>
      <c r="D95" s="92" t="s">
        <v>353</v>
      </c>
      <c r="E95" s="67"/>
      <c r="F95" s="67"/>
      <c r="G95" s="67"/>
      <c r="H95" s="67"/>
      <c r="I95" s="67"/>
      <c r="J95" s="67"/>
      <c r="K95" s="67"/>
      <c r="L95" s="67"/>
      <c r="M95" s="67"/>
      <c r="N95" s="67"/>
      <c r="O95" s="67"/>
      <c r="P95" s="67"/>
      <c r="Q95" s="67"/>
      <c r="R95" s="67"/>
      <c r="S95" s="67"/>
      <c r="T95" s="67"/>
      <c r="U95" s="67"/>
      <c r="V95" s="67"/>
      <c r="AA95" s="111"/>
      <c r="AB95" s="111"/>
      <c r="AC95" s="111"/>
      <c r="AD95" s="111"/>
      <c r="AE95" s="111"/>
      <c r="AF95" s="111"/>
      <c r="AG95" s="111"/>
      <c r="AH95" s="111"/>
      <c r="AI95" s="111"/>
      <c r="AJ95" s="111"/>
      <c r="AK95" s="74"/>
      <c r="AM95" s="842"/>
      <c r="AN95" s="842"/>
      <c r="AO95" s="842"/>
      <c r="AP95" s="842"/>
      <c r="AQ95" s="842"/>
      <c r="AR95" s="842"/>
      <c r="AS95" s="842"/>
      <c r="AT95" s="842"/>
      <c r="AU95" s="842"/>
      <c r="AV95" s="842"/>
      <c r="AW95" s="842"/>
      <c r="AX95" s="842"/>
    </row>
    <row r="96" spans="2:50">
      <c r="C96" s="75"/>
      <c r="D96" s="99" t="str">
        <f>Opex_Breakdown!E31</f>
        <v>Licence fees</v>
      </c>
      <c r="E96" s="103"/>
      <c r="F96" s="67"/>
      <c r="G96" s="67"/>
      <c r="H96" s="67"/>
      <c r="I96" s="67"/>
      <c r="J96" s="67"/>
      <c r="K96" s="67"/>
      <c r="L96" s="67"/>
      <c r="M96" s="67"/>
      <c r="N96" s="67"/>
      <c r="O96" s="67"/>
      <c r="P96" s="67"/>
      <c r="Q96" s="67"/>
      <c r="R96" s="67"/>
      <c r="S96" s="67"/>
      <c r="T96" s="67"/>
      <c r="U96" s="67"/>
      <c r="V96" s="67"/>
      <c r="AA96" s="100">
        <f>+Opex_Breakdown!AA31-Opex_Breakdown!AA76</f>
        <v>2.6490662343185161</v>
      </c>
      <c r="AB96" s="101">
        <f>+Opex_Breakdown!AB31-Opex_Breakdown!AB76</f>
        <v>2.6490662343185161</v>
      </c>
      <c r="AC96" s="101">
        <f>+Opex_Breakdown!AC31-Opex_Breakdown!AC76</f>
        <v>2.6490662343185161</v>
      </c>
      <c r="AD96" s="101">
        <f>+Opex_Breakdown!AD31-Opex_Breakdown!AD76</f>
        <v>2.6490662343185161</v>
      </c>
      <c r="AE96" s="102">
        <f>+Opex_Breakdown!AE31-Opex_Breakdown!AE76</f>
        <v>2.6490662343185161</v>
      </c>
      <c r="AF96" s="101">
        <f>+Opex_Breakdown!AF31-Opex_Breakdown!AF76</f>
        <v>2.6490662343185161</v>
      </c>
      <c r="AG96" s="101">
        <f>+Opex_Breakdown!AG31-Opex_Breakdown!AG76</f>
        <v>2.6490662343185161</v>
      </c>
      <c r="AH96" s="101">
        <f>+Opex_Breakdown!AH31-Opex_Breakdown!AH76</f>
        <v>2.6490662343185161</v>
      </c>
      <c r="AI96" s="101">
        <f>+Opex_Breakdown!AI31-Opex_Breakdown!AI76</f>
        <v>2.6490662343185161</v>
      </c>
      <c r="AJ96" s="102">
        <f>+Opex_Breakdown!AJ31-Opex_Breakdown!AJ76</f>
        <v>2.6490662343185161</v>
      </c>
      <c r="AK96" s="74"/>
      <c r="AM96" s="842"/>
      <c r="AN96" s="842"/>
      <c r="AO96" s="842"/>
      <c r="AP96" s="842"/>
      <c r="AQ96" s="842"/>
      <c r="AR96" s="842"/>
      <c r="AS96" s="842"/>
      <c r="AT96" s="842"/>
      <c r="AU96" s="842"/>
      <c r="AV96" s="842"/>
      <c r="AW96" s="842"/>
      <c r="AX96" s="842"/>
    </row>
    <row r="97" spans="3:50">
      <c r="C97" s="75"/>
      <c r="D97" s="99" t="str">
        <f>Opex_Breakdown!E33</f>
        <v>Desalination Payments (W&amp;S)</v>
      </c>
      <c r="E97" s="103"/>
      <c r="F97" s="67"/>
      <c r="G97" s="67"/>
      <c r="H97" s="67"/>
      <c r="I97" s="67"/>
      <c r="J97" s="67"/>
      <c r="K97" s="67"/>
      <c r="L97" s="67"/>
      <c r="M97" s="67"/>
      <c r="N97" s="67"/>
      <c r="O97" s="67"/>
      <c r="P97" s="67"/>
      <c r="Q97" s="67"/>
      <c r="R97" s="67"/>
      <c r="S97" s="67"/>
      <c r="T97" s="67"/>
      <c r="U97" s="67"/>
      <c r="V97" s="67"/>
      <c r="AA97" s="104">
        <f>+Opex_Breakdown!AA33</f>
        <v>519.65610716115782</v>
      </c>
      <c r="AB97" s="105">
        <f>+Opex_Breakdown!AB33</f>
        <v>507.23378314127302</v>
      </c>
      <c r="AC97" s="105">
        <f>+Opex_Breakdown!AC33</f>
        <v>502.13734976423558</v>
      </c>
      <c r="AD97" s="105">
        <f>+Opex_Breakdown!AD33</f>
        <v>480.98866546624782</v>
      </c>
      <c r="AE97" s="106">
        <f>+Opex_Breakdown!AE33</f>
        <v>460.29627939238156</v>
      </c>
      <c r="AF97" s="105">
        <f>+Opex_Breakdown!AF33</f>
        <v>438.03112520239159</v>
      </c>
      <c r="AG97" s="105">
        <f>+Opex_Breakdown!AG33</f>
        <v>414.00398512234364</v>
      </c>
      <c r="AH97" s="105">
        <f>+Opex_Breakdown!AH33</f>
        <v>378.84409564776519</v>
      </c>
      <c r="AI97" s="105">
        <f>+Opex_Breakdown!AI33</f>
        <v>351.94541390923274</v>
      </c>
      <c r="AJ97" s="106">
        <f>+Opex_Breakdown!AJ33</f>
        <v>323.92970971699924</v>
      </c>
      <c r="AK97" s="74"/>
      <c r="AM97" s="842"/>
      <c r="AN97" s="842"/>
      <c r="AO97" s="842"/>
      <c r="AP97" s="842"/>
      <c r="AQ97" s="842"/>
      <c r="AR97" s="842"/>
      <c r="AS97" s="842"/>
      <c r="AT97" s="842"/>
      <c r="AU97" s="842"/>
      <c r="AV97" s="842"/>
      <c r="AW97" s="842"/>
      <c r="AX97" s="842"/>
    </row>
    <row r="98" spans="3:50">
      <c r="C98" s="75"/>
      <c r="D98" s="99" t="str">
        <f>Opex_Breakdown!E34</f>
        <v>Other non-controllable</v>
      </c>
      <c r="E98" s="107"/>
      <c r="F98" s="67"/>
      <c r="G98" s="67"/>
      <c r="H98" s="67"/>
      <c r="I98" s="67"/>
      <c r="J98" s="67"/>
      <c r="K98" s="67"/>
      <c r="L98" s="67"/>
      <c r="M98" s="67"/>
      <c r="N98" s="67"/>
      <c r="O98" s="67"/>
      <c r="P98" s="67"/>
      <c r="Q98" s="67"/>
      <c r="R98" s="67"/>
      <c r="S98" s="67"/>
      <c r="T98" s="67"/>
      <c r="U98" s="67"/>
      <c r="V98" s="67"/>
      <c r="AA98" s="108">
        <f>Opex_Breakdown!AA117</f>
        <v>34.340467583360208</v>
      </c>
      <c r="AB98" s="109">
        <f>Opex_Breakdown!AB117</f>
        <v>34.482409176789652</v>
      </c>
      <c r="AC98" s="109">
        <f>Opex_Breakdown!AC117</f>
        <v>34.625331574045155</v>
      </c>
      <c r="AD98" s="109">
        <f>Opex_Breakdown!AD117</f>
        <v>34.769231431480755</v>
      </c>
      <c r="AE98" s="110">
        <f>Opex_Breakdown!AE117</f>
        <v>34.761224886044246</v>
      </c>
      <c r="AF98" s="109">
        <f>Opex_Breakdown!AF117</f>
        <v>34.753443986689042</v>
      </c>
      <c r="AG98" s="109">
        <f>Opex_Breakdown!AG117</f>
        <v>34.745882374098947</v>
      </c>
      <c r="AH98" s="109">
        <f>Opex_Breakdown!AH117</f>
        <v>34.738533868180483</v>
      </c>
      <c r="AI98" s="109">
        <f>Opex_Breakdown!AI117</f>
        <v>34.731392463011915</v>
      </c>
      <c r="AJ98" s="110">
        <f>Opex_Breakdown!AJ117</f>
        <v>34.724452321934585</v>
      </c>
      <c r="AK98" s="74"/>
      <c r="AM98" s="842"/>
      <c r="AN98" s="842"/>
      <c r="AO98" s="842"/>
      <c r="AP98" s="842"/>
      <c r="AQ98" s="842"/>
      <c r="AR98" s="842"/>
      <c r="AS98" s="842"/>
      <c r="AT98" s="842"/>
      <c r="AU98" s="842"/>
      <c r="AV98" s="842"/>
      <c r="AW98" s="842"/>
      <c r="AX98" s="842"/>
    </row>
    <row r="99" spans="3:50">
      <c r="C99" s="75"/>
      <c r="D99" s="92" t="s">
        <v>354</v>
      </c>
      <c r="E99" s="67"/>
      <c r="F99" s="67"/>
      <c r="G99" s="67"/>
      <c r="H99" s="67"/>
      <c r="I99" s="67"/>
      <c r="J99" s="67"/>
      <c r="K99" s="67"/>
      <c r="L99" s="67"/>
      <c r="M99" s="67"/>
      <c r="N99" s="67"/>
      <c r="O99" s="67"/>
      <c r="P99" s="67"/>
      <c r="Q99" s="67"/>
      <c r="R99" s="67"/>
      <c r="S99" s="67"/>
      <c r="T99" s="67"/>
      <c r="U99" s="67"/>
      <c r="V99" s="67"/>
      <c r="AA99" s="111">
        <f t="shared" ref="AA99:AJ99" si="5">SUM(AA96:AA98)</f>
        <v>556.64564097883658</v>
      </c>
      <c r="AB99" s="111">
        <f t="shared" si="5"/>
        <v>544.36525855238119</v>
      </c>
      <c r="AC99" s="111">
        <f t="shared" si="5"/>
        <v>539.41174757259921</v>
      </c>
      <c r="AD99" s="111">
        <f t="shared" si="5"/>
        <v>518.40696313204705</v>
      </c>
      <c r="AE99" s="111">
        <f t="shared" si="5"/>
        <v>497.70657051274435</v>
      </c>
      <c r="AF99" s="111">
        <f t="shared" si="5"/>
        <v>475.43363542339915</v>
      </c>
      <c r="AG99" s="111">
        <f t="shared" si="5"/>
        <v>451.39893373076109</v>
      </c>
      <c r="AH99" s="111">
        <f t="shared" si="5"/>
        <v>416.23169575026418</v>
      </c>
      <c r="AI99" s="111">
        <f t="shared" si="5"/>
        <v>389.32587260656317</v>
      </c>
      <c r="AJ99" s="111">
        <f t="shared" si="5"/>
        <v>361.30322827325233</v>
      </c>
      <c r="AK99" s="74"/>
      <c r="AM99" s="842"/>
      <c r="AN99" s="842"/>
      <c r="AO99" s="842"/>
      <c r="AP99" s="842"/>
      <c r="AQ99" s="842"/>
      <c r="AR99" s="842"/>
      <c r="AS99" s="842"/>
      <c r="AT99" s="842"/>
      <c r="AU99" s="842"/>
      <c r="AV99" s="842"/>
      <c r="AW99" s="842"/>
      <c r="AX99" s="842"/>
    </row>
    <row r="100" spans="3:50">
      <c r="C100" s="75"/>
      <c r="D100" s="92"/>
      <c r="E100" s="67"/>
      <c r="F100" s="67"/>
      <c r="G100" s="67"/>
      <c r="W100" s="1006"/>
      <c r="AA100" s="1008"/>
      <c r="AB100" s="98"/>
      <c r="AC100" s="98"/>
      <c r="AD100" s="98"/>
      <c r="AE100" s="529">
        <f>SUM(AA99:AE99)</f>
        <v>2656.5361807486083</v>
      </c>
      <c r="AF100" s="116"/>
      <c r="AG100" s="116"/>
      <c r="AH100" s="116"/>
      <c r="AI100" s="116"/>
      <c r="AJ100" s="529">
        <f>SUM(AF99:AJ99)</f>
        <v>2093.6933657842401</v>
      </c>
      <c r="AK100" s="74"/>
      <c r="AM100" s="842"/>
      <c r="AN100" s="842"/>
      <c r="AO100" s="842"/>
      <c r="AP100" s="842"/>
      <c r="AQ100" s="842"/>
      <c r="AR100" s="842"/>
      <c r="AS100" s="842"/>
      <c r="AT100" s="842"/>
      <c r="AU100" s="842"/>
      <c r="AV100" s="842"/>
      <c r="AW100" s="842"/>
      <c r="AX100" s="842"/>
    </row>
    <row r="101" spans="3:50">
      <c r="C101" s="75"/>
      <c r="D101" s="112"/>
      <c r="E101" s="112"/>
      <c r="F101" s="67"/>
      <c r="G101" s="67"/>
      <c r="H101" s="67"/>
      <c r="I101" s="67"/>
      <c r="J101" s="67"/>
      <c r="K101" s="67"/>
      <c r="L101" s="67"/>
      <c r="M101" s="67"/>
      <c r="N101" s="67"/>
      <c r="O101" s="67"/>
      <c r="P101" s="67"/>
      <c r="Q101" s="67"/>
      <c r="R101" s="67"/>
      <c r="S101" s="67"/>
      <c r="T101" s="67"/>
      <c r="U101" s="67"/>
      <c r="V101" s="67"/>
      <c r="AA101" s="111"/>
      <c r="AB101" s="111"/>
      <c r="AC101" s="111"/>
      <c r="AD101" s="111"/>
      <c r="AE101" s="111"/>
      <c r="AF101" s="111"/>
      <c r="AG101" s="111"/>
      <c r="AH101" s="111"/>
      <c r="AI101" s="111"/>
      <c r="AJ101" s="111"/>
      <c r="AK101" s="74"/>
      <c r="AM101" s="842"/>
      <c r="AN101" s="842"/>
      <c r="AO101" s="842"/>
      <c r="AP101" s="842"/>
      <c r="AQ101" s="842"/>
      <c r="AR101" s="842"/>
      <c r="AS101" s="842"/>
      <c r="AT101" s="842"/>
      <c r="AU101" s="842"/>
      <c r="AV101" s="842"/>
      <c r="AW101" s="842"/>
      <c r="AX101" s="842"/>
    </row>
    <row r="102" spans="3:50">
      <c r="C102" s="75"/>
      <c r="D102" s="92" t="s">
        <v>355</v>
      </c>
      <c r="E102" s="67"/>
      <c r="F102" s="67"/>
      <c r="AA102" s="1430">
        <f t="shared" ref="AA102:AJ102" si="6">+AA99+AA93</f>
        <v>913.26119627098319</v>
      </c>
      <c r="AB102" s="1431">
        <f t="shared" si="6"/>
        <v>904.76145738294485</v>
      </c>
      <c r="AC102" s="1431">
        <f t="shared" si="6"/>
        <v>909.38585891993762</v>
      </c>
      <c r="AD102" s="1431">
        <f t="shared" si="6"/>
        <v>892.56255649591344</v>
      </c>
      <c r="AE102" s="1432">
        <f t="shared" si="6"/>
        <v>872.79603545108102</v>
      </c>
      <c r="AF102" s="1431">
        <f t="shared" si="6"/>
        <v>850.10520139660662</v>
      </c>
      <c r="AG102" s="1431">
        <f t="shared" si="6"/>
        <v>825.52206973916543</v>
      </c>
      <c r="AH102" s="1431">
        <f t="shared" si="6"/>
        <v>789.43422953106597</v>
      </c>
      <c r="AI102" s="1431">
        <f t="shared" si="6"/>
        <v>763.52134569060422</v>
      </c>
      <c r="AJ102" s="1432">
        <f t="shared" si="6"/>
        <v>733.40277379718327</v>
      </c>
      <c r="AK102" s="74"/>
      <c r="AM102" s="842"/>
      <c r="AN102" s="842"/>
      <c r="AO102" s="842"/>
      <c r="AP102" s="842"/>
      <c r="AQ102" s="842"/>
      <c r="AR102" s="842"/>
      <c r="AS102" s="842"/>
      <c r="AT102" s="842"/>
      <c r="AU102" s="842"/>
      <c r="AV102" s="842"/>
      <c r="AW102" s="842"/>
      <c r="AX102" s="842"/>
    </row>
    <row r="103" spans="3:50">
      <c r="C103" s="75"/>
      <c r="D103" s="92"/>
      <c r="E103" s="67"/>
      <c r="F103" s="67"/>
      <c r="G103" s="67"/>
      <c r="H103" s="67"/>
      <c r="I103" s="67"/>
      <c r="J103" s="67"/>
      <c r="K103" s="67"/>
      <c r="L103" s="67"/>
      <c r="M103" s="67"/>
      <c r="N103" s="67"/>
      <c r="O103" s="67"/>
      <c r="P103" s="67"/>
      <c r="Q103" s="67"/>
      <c r="R103" s="67"/>
      <c r="S103" s="67"/>
      <c r="T103" s="67"/>
      <c r="U103" s="67"/>
      <c r="V103" s="67"/>
      <c r="W103" s="1006"/>
      <c r="AA103" s="1433"/>
      <c r="AB103" s="111"/>
      <c r="AC103" s="111"/>
      <c r="AD103" s="111"/>
      <c r="AE103" s="529">
        <f>SUM(AA102:AE102)</f>
        <v>4492.7671045208608</v>
      </c>
      <c r="AF103" s="116"/>
      <c r="AG103" s="116"/>
      <c r="AH103" s="116"/>
      <c r="AI103" s="116"/>
      <c r="AJ103" s="529">
        <f>SUM(AF102:AJ102)</f>
        <v>3961.9856201546249</v>
      </c>
      <c r="AK103" s="74"/>
      <c r="AM103" s="842"/>
      <c r="AN103" s="842"/>
      <c r="AO103" s="842"/>
      <c r="AP103" s="842"/>
      <c r="AQ103" s="842"/>
      <c r="AR103" s="842"/>
      <c r="AS103" s="842"/>
      <c r="AT103" s="842"/>
      <c r="AU103" s="842"/>
      <c r="AV103" s="842"/>
      <c r="AW103" s="842"/>
      <c r="AX103" s="842"/>
    </row>
    <row r="104" spans="3:50">
      <c r="C104" s="75"/>
      <c r="D104" s="92"/>
      <c r="E104" s="67"/>
      <c r="F104" s="67"/>
      <c r="G104" s="67"/>
      <c r="H104" s="67"/>
      <c r="I104" s="67"/>
      <c r="J104" s="67"/>
      <c r="K104" s="67"/>
      <c r="L104" s="67"/>
      <c r="M104" s="67"/>
      <c r="N104" s="67"/>
      <c r="O104" s="67"/>
      <c r="P104" s="67"/>
      <c r="Q104" s="67"/>
      <c r="R104" s="67"/>
      <c r="S104" s="67"/>
      <c r="T104" s="67"/>
      <c r="U104" s="67"/>
      <c r="V104" s="67"/>
      <c r="AA104" s="111"/>
      <c r="AB104" s="111"/>
      <c r="AC104" s="111"/>
      <c r="AD104" s="111"/>
      <c r="AE104" s="111"/>
      <c r="AF104" s="111"/>
      <c r="AG104" s="111"/>
      <c r="AH104" s="111"/>
      <c r="AI104" s="111"/>
      <c r="AJ104" s="111"/>
      <c r="AK104" s="74"/>
      <c r="AM104" s="842"/>
      <c r="AN104" s="842"/>
      <c r="AO104" s="842"/>
      <c r="AP104" s="842"/>
      <c r="AQ104" s="842"/>
      <c r="AR104" s="842"/>
      <c r="AS104" s="842"/>
      <c r="AT104" s="842"/>
      <c r="AU104" s="842"/>
      <c r="AV104" s="842"/>
      <c r="AW104" s="842"/>
      <c r="AX104" s="842"/>
    </row>
    <row r="105" spans="3:50">
      <c r="C105" s="75"/>
      <c r="D105" s="92"/>
      <c r="E105" s="67"/>
      <c r="F105" s="67"/>
      <c r="G105" s="67"/>
      <c r="H105" s="67"/>
      <c r="I105" s="67"/>
      <c r="J105" s="67"/>
      <c r="K105" s="67"/>
      <c r="L105" s="67"/>
      <c r="M105" s="67"/>
      <c r="N105" s="67"/>
      <c r="O105" s="67"/>
      <c r="P105" s="67"/>
      <c r="Q105" s="67"/>
      <c r="R105" s="67"/>
      <c r="S105" s="67"/>
      <c r="T105" s="67"/>
      <c r="U105" s="67"/>
      <c r="Y105" s="77"/>
      <c r="Z105" s="238" t="s">
        <v>357</v>
      </c>
      <c r="AA105" s="2035">
        <f>+Opex_Breakdown!AA39-(Opex_Breakdown!AA79+Opex_Breakdown!AA99+Opex_Breakdown!AA130+Opex_Breakdown!AA86)</f>
        <v>913.26119627098319</v>
      </c>
      <c r="AB105" s="2036">
        <f>+Opex_Breakdown!AB39-(Opex_Breakdown!AB79+Opex_Breakdown!AB99+Opex_Breakdown!AB130+Opex_Breakdown!AB86)</f>
        <v>904.76145738294508</v>
      </c>
      <c r="AC105" s="2036">
        <f>+Opex_Breakdown!AC39-(Opex_Breakdown!AC79+Opex_Breakdown!AC99+Opex_Breakdown!AC130+Opex_Breakdown!AC86)</f>
        <v>909.38585891993796</v>
      </c>
      <c r="AD105" s="2036">
        <f>+Opex_Breakdown!AD39-(Opex_Breakdown!AD79+Opex_Breakdown!AD99+Opex_Breakdown!AD130+Opex_Breakdown!AD86)</f>
        <v>892.56255649591355</v>
      </c>
      <c r="AE105" s="2036">
        <f>+Opex_Breakdown!AE39-(Opex_Breakdown!AE79+Opex_Breakdown!AE99+Opex_Breakdown!AE130+Opex_Breakdown!AE86)</f>
        <v>872.79603545108148</v>
      </c>
      <c r="AF105" s="2036">
        <f>+Opex_Breakdown!AF39-(Opex_Breakdown!AF79+Opex_Breakdown!AF99+Opex_Breakdown!AF130+Opex_Breakdown!AF86)</f>
        <v>850.10520139660662</v>
      </c>
      <c r="AG105" s="2036">
        <f>+Opex_Breakdown!AG39-(Opex_Breakdown!AG79+Opex_Breakdown!AG99+Opex_Breakdown!AG130+Opex_Breakdown!AG86)</f>
        <v>825.52206973916554</v>
      </c>
      <c r="AH105" s="2036">
        <f>+Opex_Breakdown!AH39-(Opex_Breakdown!AH79+Opex_Breakdown!AH99+Opex_Breakdown!AH130+Opex_Breakdown!AH86)</f>
        <v>789.43422953106619</v>
      </c>
      <c r="AI105" s="2036">
        <f>+Opex_Breakdown!AI39-(Opex_Breakdown!AI79+Opex_Breakdown!AI99+Opex_Breakdown!AI130+Opex_Breakdown!AI86)</f>
        <v>763.52134569060433</v>
      </c>
      <c r="AJ105" s="2037">
        <f>+Opex_Breakdown!AJ39-(Opex_Breakdown!AJ79+Opex_Breakdown!AJ99+Opex_Breakdown!AJ130+Opex_Breakdown!AJ86)</f>
        <v>733.40277379718339</v>
      </c>
      <c r="AK105" s="74"/>
      <c r="AM105" s="842"/>
      <c r="AN105" s="842"/>
      <c r="AO105" s="842"/>
      <c r="AP105" s="842"/>
      <c r="AQ105" s="842"/>
      <c r="AR105" s="842"/>
      <c r="AS105" s="842"/>
      <c r="AT105" s="842"/>
      <c r="AU105" s="842"/>
      <c r="AV105" s="842"/>
      <c r="AW105" s="842"/>
      <c r="AX105" s="842"/>
    </row>
    <row r="106" spans="3:50">
      <c r="C106" s="75"/>
      <c r="D106" s="92"/>
      <c r="E106" s="67"/>
      <c r="F106" s="67"/>
      <c r="G106" s="67"/>
      <c r="H106" s="67"/>
      <c r="I106" s="67"/>
      <c r="J106" s="67"/>
      <c r="K106" s="67"/>
      <c r="L106" s="67"/>
      <c r="M106" s="67"/>
      <c r="N106" s="67"/>
      <c r="O106" s="67"/>
      <c r="P106" s="67"/>
      <c r="Q106" s="67"/>
      <c r="R106" s="67"/>
      <c r="S106" s="67"/>
      <c r="T106" s="67"/>
      <c r="U106" s="67"/>
      <c r="Z106" s="238" t="s">
        <v>231</v>
      </c>
      <c r="AA106" s="2038">
        <f t="shared" ref="AA106:AJ106" si="7">+AA105-AA102</f>
        <v>0</v>
      </c>
      <c r="AB106" s="2039">
        <f t="shared" si="7"/>
        <v>0</v>
      </c>
      <c r="AC106" s="2039">
        <f t="shared" si="7"/>
        <v>0</v>
      </c>
      <c r="AD106" s="2039">
        <f t="shared" si="7"/>
        <v>0</v>
      </c>
      <c r="AE106" s="2039">
        <f t="shared" si="7"/>
        <v>0</v>
      </c>
      <c r="AF106" s="2039">
        <f t="shared" si="7"/>
        <v>0</v>
      </c>
      <c r="AG106" s="2039">
        <f t="shared" si="7"/>
        <v>0</v>
      </c>
      <c r="AH106" s="2039">
        <f t="shared" si="7"/>
        <v>0</v>
      </c>
      <c r="AI106" s="2039">
        <f t="shared" si="7"/>
        <v>0</v>
      </c>
      <c r="AJ106" s="2040">
        <f t="shared" si="7"/>
        <v>0</v>
      </c>
      <c r="AK106" s="74"/>
      <c r="AM106" s="842"/>
      <c r="AN106" s="842"/>
      <c r="AO106" s="842"/>
      <c r="AP106" s="842"/>
      <c r="AQ106" s="842"/>
      <c r="AR106" s="842"/>
      <c r="AS106" s="842"/>
      <c r="AT106" s="842"/>
      <c r="AU106" s="842"/>
      <c r="AV106" s="842"/>
      <c r="AW106" s="842"/>
      <c r="AX106" s="842"/>
    </row>
    <row r="107" spans="3:50">
      <c r="C107" s="75"/>
      <c r="D107" s="92"/>
      <c r="E107" s="67"/>
      <c r="F107" s="67"/>
      <c r="G107" s="67"/>
      <c r="H107" s="67"/>
      <c r="I107" s="67"/>
      <c r="J107" s="67"/>
      <c r="K107" s="67"/>
      <c r="L107" s="67"/>
      <c r="M107" s="67"/>
      <c r="N107" s="67"/>
      <c r="O107" s="67"/>
      <c r="P107" s="67"/>
      <c r="Q107" s="67"/>
      <c r="R107" s="67"/>
      <c r="S107" s="67"/>
      <c r="T107" s="67"/>
      <c r="U107" s="67"/>
      <c r="Z107" s="238" t="s">
        <v>358</v>
      </c>
      <c r="AA107" s="242" t="b">
        <f t="shared" ref="AA107:AJ107" si="8">ROUND(AA105,2)=ROUND(AA102,2)</f>
        <v>1</v>
      </c>
      <c r="AB107" s="242" t="b">
        <f t="shared" si="8"/>
        <v>1</v>
      </c>
      <c r="AC107" s="242" t="b">
        <f t="shared" si="8"/>
        <v>1</v>
      </c>
      <c r="AD107" s="242" t="b">
        <f t="shared" si="8"/>
        <v>1</v>
      </c>
      <c r="AE107" s="242" t="b">
        <f t="shared" si="8"/>
        <v>1</v>
      </c>
      <c r="AF107" s="242" t="b">
        <f t="shared" si="8"/>
        <v>1</v>
      </c>
      <c r="AG107" s="242" t="b">
        <f t="shared" si="8"/>
        <v>1</v>
      </c>
      <c r="AH107" s="242" t="b">
        <f t="shared" si="8"/>
        <v>1</v>
      </c>
      <c r="AI107" s="242" t="b">
        <f t="shared" si="8"/>
        <v>1</v>
      </c>
      <c r="AJ107" s="242" t="b">
        <f t="shared" si="8"/>
        <v>1</v>
      </c>
      <c r="AK107" s="74"/>
      <c r="AM107" s="842"/>
      <c r="AN107" s="842"/>
      <c r="AO107" s="842"/>
      <c r="AP107" s="842"/>
      <c r="AQ107" s="842"/>
      <c r="AR107" s="842"/>
      <c r="AS107" s="842"/>
      <c r="AT107" s="842"/>
      <c r="AU107" s="842"/>
      <c r="AV107" s="842"/>
      <c r="AW107" s="842"/>
      <c r="AX107" s="842"/>
    </row>
    <row r="108" spans="3:50">
      <c r="C108" s="81"/>
      <c r="D108" s="68"/>
      <c r="E108" s="68"/>
      <c r="F108" s="68"/>
      <c r="G108" s="68"/>
      <c r="H108" s="68"/>
      <c r="I108" s="68"/>
      <c r="J108" s="68"/>
      <c r="K108" s="68"/>
      <c r="L108" s="68"/>
      <c r="M108" s="68"/>
      <c r="N108" s="68"/>
      <c r="O108" s="68"/>
      <c r="P108" s="68"/>
      <c r="Q108" s="68"/>
      <c r="R108" s="68"/>
      <c r="S108" s="68"/>
      <c r="T108" s="68"/>
      <c r="U108" s="68"/>
      <c r="V108" s="113"/>
      <c r="W108" s="68"/>
      <c r="X108" s="114"/>
      <c r="Y108" s="114"/>
      <c r="Z108" s="114"/>
      <c r="AA108" s="114"/>
      <c r="AB108" s="114"/>
      <c r="AC108" s="114"/>
      <c r="AD108" s="114"/>
      <c r="AE108" s="114"/>
      <c r="AF108" s="114"/>
      <c r="AG108" s="114"/>
      <c r="AH108" s="114"/>
      <c r="AI108" s="114"/>
      <c r="AJ108" s="114"/>
      <c r="AK108" s="83"/>
    </row>
    <row r="115" spans="27:36">
      <c r="AA115" s="2072"/>
      <c r="AB115" s="2072"/>
      <c r="AC115" s="2072"/>
      <c r="AD115" s="2072"/>
      <c r="AE115" s="2072"/>
      <c r="AF115" s="2072"/>
      <c r="AG115" s="2072"/>
      <c r="AH115" s="2072"/>
      <c r="AI115" s="2072"/>
      <c r="AJ115" s="2072"/>
    </row>
  </sheetData>
  <dataConsolidate/>
  <mergeCells count="1">
    <mergeCell ref="B3:F3"/>
  </mergeCells>
  <conditionalFormatting sqref="AA107:AJ107">
    <cfRule type="containsText" dxfId="145" priority="6" operator="containsText" text="FALSE">
      <formula>NOT(ISERROR(SEARCH("FALSE",AA107)))</formula>
    </cfRule>
  </conditionalFormatting>
  <conditionalFormatting sqref="H74:H88">
    <cfRule type="containsText" dxfId="144" priority="5" stopIfTrue="1" operator="containsText" text="[Service]">
      <formula>NOT(ISERROR(SEARCH("[Service]",H74)))</formula>
    </cfRule>
  </conditionalFormatting>
  <conditionalFormatting sqref="AE54">
    <cfRule type="containsText" dxfId="143" priority="3" operator="containsText" text="FALSE">
      <formula>NOT(ISERROR(SEARCH("FALSE",AE54)))</formula>
    </cfRule>
  </conditionalFormatting>
  <conditionalFormatting sqref="AE54">
    <cfRule type="containsText" dxfId="142" priority="1" operator="containsText" text="FALSE">
      <formula>NOT(ISERROR(SEARCH("FALSE",AE54)))</formula>
    </cfRule>
    <cfRule type="containsText" dxfId="141" priority="2" operator="containsText" text="TRUE">
      <formula>NOT(ISERROR(SEARCH("TRUE",AE54)))</formula>
    </cfRule>
  </conditionalFormatting>
  <dataValidations count="1">
    <dataValidation type="list" allowBlank="1" showInputMessage="1" showErrorMessage="1" sqref="H74:H88" xr:uid="{C8F49D90-8FED-4022-91FE-6239A3FCC769}">
      <formula1>Asset_Class</formula1>
    </dataValidation>
  </dataValidations>
  <hyperlinks>
    <hyperlink ref="B3" location="HL_Home" tooltip="Go to Table of Contents" display="HL_Home" xr:uid="{7EAD030F-9235-4F9F-999A-DEA5873FDA6A}"/>
  </hyperlinks>
  <pageMargins left="0.75" right="0.75" top="1" bottom="1" header="0.5" footer="0.5"/>
  <pageSetup paperSize="9" orientation="portrait" r:id="rId1"/>
  <headerFooter alignWithMargins="0">
    <oddHeader>&amp;C&amp;"Calibri"&amp;14&amp;KFF0000 OFFICIAL&amp;1#_x000D_&amp;"Arial"&amp;8&amp;K000000&amp;"Arial"&amp;8&amp;K000000&amp;B&amp;"Arial"&amp;12&amp;Kff0000​‌OFFICIAL‌​</oddHeader>
  </headerFooter>
  <ignoredErrors>
    <ignoredError sqref="H11:H13" formulaRange="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783CC83A055DE4E917D95BB64041E8F" ma:contentTypeVersion="7" ma:contentTypeDescription="Create a new document." ma:contentTypeScope="" ma:versionID="007babe8c00d0a5a376e663e16ddb67b">
  <xsd:schema xmlns:xsd="http://www.w3.org/2001/XMLSchema" xmlns:xs="http://www.w3.org/2001/XMLSchema" xmlns:p="http://schemas.microsoft.com/office/2006/metadata/properties" xmlns:ns2="86e0caa9-3a79-419b-8f64-ea96de106f67" targetNamespace="http://schemas.microsoft.com/office/2006/metadata/properties" ma:root="true" ma:fieldsID="6f001ab0c607676267b54e062daa3834" ns2:_="">
    <xsd:import namespace="86e0caa9-3a79-419b-8f64-ea96de106f6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e0caa9-3a79-419b-8f64-ea96de106f6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08FB75-E3BB-495B-B980-CCB3648C04FA}">
  <ds:schemaRefs>
    <ds:schemaRef ds:uri="86e0caa9-3a79-419b-8f64-ea96de106f67"/>
    <ds:schemaRef ds:uri="http://schemas.microsoft.com/office/2006/metadata/properties"/>
    <ds:schemaRef ds:uri="http://schemas.microsoft.com/office/2006/documentManagement/types"/>
    <ds:schemaRef ds:uri="http://purl.org/dc/terms/"/>
    <ds:schemaRef ds:uri="http://purl.org/dc/elements/1.1/"/>
    <ds:schemaRef ds:uri="http://purl.org/dc/dcmitype/"/>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8BDF6009-9723-4F44-8F00-A6EDA7707C25}">
  <ds:schemaRefs>
    <ds:schemaRef ds:uri="http://schemas.microsoft.com/sharepoint/v3/contenttype/forms"/>
  </ds:schemaRefs>
</ds:datastoreItem>
</file>

<file path=customXml/itemProps3.xml><?xml version="1.0" encoding="utf-8"?>
<ds:datastoreItem xmlns:ds="http://schemas.openxmlformats.org/officeDocument/2006/customXml" ds:itemID="{E761FE2A-A66F-40CA-A98F-242B400E54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e0caa9-3a79-419b-8f64-ea96de106f6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22</vt:i4>
      </vt:variant>
    </vt:vector>
  </HeadingPairs>
  <TitlesOfParts>
    <vt:vector size="53" baseType="lpstr">
      <vt:lpstr>Contents</vt:lpstr>
      <vt:lpstr>ESC Adjustments log</vt:lpstr>
      <vt:lpstr>MW Adjustment Log</vt:lpstr>
      <vt:lpstr>Model Quality Check</vt:lpstr>
      <vt:lpstr>KeyAssumptionsPriceControl_FO</vt:lpstr>
      <vt:lpstr>Summary_FO</vt:lpstr>
      <vt:lpstr>Expenditure_Detail</vt:lpstr>
      <vt:lpstr>Opex_FO_Summary</vt:lpstr>
      <vt:lpstr>Opex_FO_W&amp;S</vt:lpstr>
      <vt:lpstr>Opex_FO_W&amp;D</vt:lpstr>
      <vt:lpstr>Opex_Breakdown</vt:lpstr>
      <vt:lpstr>Capex_FO input</vt:lpstr>
      <vt:lpstr>Capex_FO_AC</vt:lpstr>
      <vt:lpstr>RollForward_FO</vt:lpstr>
      <vt:lpstr>PrevPerAdj_FO</vt:lpstr>
      <vt:lpstr>RevenuePriceCap_FO</vt:lpstr>
      <vt:lpstr>RevenueTariffBasket_FO</vt:lpstr>
      <vt:lpstr>NotPres_FO</vt:lpstr>
      <vt:lpstr>Finance&amp;Tax_FO</vt:lpstr>
      <vt:lpstr>Rev&amp;RAV_FO</vt:lpstr>
      <vt:lpstr>Indicators_FO</vt:lpstr>
      <vt:lpstr>Outcomes</vt:lpstr>
      <vt:lpstr>GSL (not applicable)</vt:lpstr>
      <vt:lpstr>Schedule 2 - W&amp;S</vt:lpstr>
      <vt:lpstr>Schedule 2 - W&amp;D</vt:lpstr>
      <vt:lpstr>Dashboard - Pricing</vt:lpstr>
      <vt:lpstr>Dashboard - Opex</vt:lpstr>
      <vt:lpstr>Dashboard - Capex</vt:lpstr>
      <vt:lpstr>Dashboard - Data</vt:lpstr>
      <vt:lpstr>Determination Lookup</vt:lpstr>
      <vt:lpstr>General_BL</vt:lpstr>
      <vt:lpstr>Asset_category</vt:lpstr>
      <vt:lpstr>Asset_Class</vt:lpstr>
      <vt:lpstr>Capital_type</vt:lpstr>
      <vt:lpstr>Cost_Driver</vt:lpstr>
      <vt:lpstr>Depr_Deferral</vt:lpstr>
      <vt:lpstr>Depreciation_Method</vt:lpstr>
      <vt:lpstr>Fixed_or_Var</vt:lpstr>
      <vt:lpstr>HL_Home</vt:lpstr>
      <vt:lpstr>Hybrid_Price</vt:lpstr>
      <vt:lpstr>kk</vt:lpstr>
      <vt:lpstr>Model_Name</vt:lpstr>
      <vt:lpstr>Pre_RP_Estimate</vt:lpstr>
      <vt:lpstr>Price_Asset_Class</vt:lpstr>
      <vt:lpstr>Price_Control</vt:lpstr>
      <vt:lpstr>Pricing_Unit</vt:lpstr>
      <vt:lpstr>'MW Adjustment Log'!Print_Area</vt:lpstr>
      <vt:lpstr>'Schedule 2 - W&amp;D'!Print_Area</vt:lpstr>
      <vt:lpstr>RRR</vt:lpstr>
      <vt:lpstr>Service</vt:lpstr>
      <vt:lpstr>wacc</vt:lpstr>
      <vt:lpstr>wacc_1stper</vt:lpstr>
      <vt:lpstr>wacc_2ndper</vt:lpstr>
    </vt:vector>
  </TitlesOfParts>
  <Manager/>
  <Company>Essential Services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ESC</dc:creator>
  <cp:keywords>[SEC=OFFICIAL]</cp:keywords>
  <dc:description/>
  <cp:lastModifiedBy>Oscar Burns (ESC)</cp:lastModifiedBy>
  <cp:revision/>
  <dcterms:created xsi:type="dcterms:W3CDTF">2006-06-27T05:28:24Z</dcterms:created>
  <dcterms:modified xsi:type="dcterms:W3CDTF">2025-10-01T23:23:36Z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ProtectiveMarkingImage_Header">
    <vt:lpwstr>C:\Program Files\Common Files\janusNET Shared\janusSEAL\Images\DocumentSlashBlue.png</vt:lpwstr>
  </property>
  <property fmtid="{D5CDD505-2E9C-101B-9397-08002B2CF9AE}" pid="3" name="PM_Caveats_Count">
    <vt:lpwstr>0</vt:lpwstr>
  </property>
  <property fmtid="{D5CDD505-2E9C-101B-9397-08002B2CF9AE}" pid="4" name="PM_DisplayValueSecClassificationWithQualifier">
    <vt:lpwstr>OFFICIAL</vt:lpwstr>
  </property>
  <property fmtid="{D5CDD505-2E9C-101B-9397-08002B2CF9AE}" pid="5" name="PM_Qualifier">
    <vt:lpwstr/>
  </property>
  <property fmtid="{D5CDD505-2E9C-101B-9397-08002B2CF9AE}" pid="6" name="PM_SecurityClassification">
    <vt:lpwstr>OFFICIAL</vt:lpwstr>
  </property>
  <property fmtid="{D5CDD505-2E9C-101B-9397-08002B2CF9AE}" pid="7" name="PM_InsertionValue">
    <vt:lpwstr>OFFICIAL</vt:lpwstr>
  </property>
  <property fmtid="{D5CDD505-2E9C-101B-9397-08002B2CF9AE}" pid="8" name="PM_Originating_FileId">
    <vt:lpwstr>3A164EEE239A4C8982D3426044FE5A80</vt:lpwstr>
  </property>
  <property fmtid="{D5CDD505-2E9C-101B-9397-08002B2CF9AE}" pid="9" name="PM_ProtectiveMarkingValue_Footer">
    <vt:lpwstr>OFFICIAL</vt:lpwstr>
  </property>
  <property fmtid="{D5CDD505-2E9C-101B-9397-08002B2CF9AE}" pid="10" name="PM_Originator_Hash_SHA1">
    <vt:lpwstr>EB658D731633868028F83D2AE08D738BFFC4DDE4</vt:lpwstr>
  </property>
  <property fmtid="{D5CDD505-2E9C-101B-9397-08002B2CF9AE}" pid="11" name="PM_OriginationTimeStamp">
    <vt:lpwstr>2024-03-19T05:42:18Z</vt:lpwstr>
  </property>
  <property fmtid="{D5CDD505-2E9C-101B-9397-08002B2CF9AE}" pid="12" name="PM_ProtectiveMarkingValue_Header">
    <vt:lpwstr>OFFICIAL</vt:lpwstr>
  </property>
  <property fmtid="{D5CDD505-2E9C-101B-9397-08002B2CF9AE}" pid="13" name="PM_ProtectiveMarkingImage_Footer">
    <vt:lpwstr>C:\Program Files\Common Files\janusNET Shared\janusSEAL\Images\DocumentSlashBlue.png</vt:lpwstr>
  </property>
  <property fmtid="{D5CDD505-2E9C-101B-9397-08002B2CF9AE}" pid="14" name="PM_Namespace">
    <vt:lpwstr>2019.2.1.vic.gov.au</vt:lpwstr>
  </property>
  <property fmtid="{D5CDD505-2E9C-101B-9397-08002B2CF9AE}" pid="15" name="PM_Version">
    <vt:lpwstr>2018.4</vt:lpwstr>
  </property>
  <property fmtid="{D5CDD505-2E9C-101B-9397-08002B2CF9AE}" pid="16" name="PM_Note">
    <vt:lpwstr/>
  </property>
  <property fmtid="{D5CDD505-2E9C-101B-9397-08002B2CF9AE}" pid="17" name="PM_Markers">
    <vt:lpwstr/>
  </property>
  <property fmtid="{D5CDD505-2E9C-101B-9397-08002B2CF9AE}" pid="18" name="PM_Display">
    <vt:lpwstr>OFFICIAL</vt:lpwstr>
  </property>
  <property fmtid="{D5CDD505-2E9C-101B-9397-08002B2CF9AE}" pid="19" name="PMUuid">
    <vt:lpwstr>v=2022.2;d=vic.gov.au;g=0BC0AFEB-CD42-5391-A624-A890967918FF</vt:lpwstr>
  </property>
  <property fmtid="{D5CDD505-2E9C-101B-9397-08002B2CF9AE}" pid="20" name="PM_Hash_Version">
    <vt:lpwstr>2022.1</vt:lpwstr>
  </property>
  <property fmtid="{D5CDD505-2E9C-101B-9397-08002B2CF9AE}" pid="21" name="PM_Hash_Salt_Prev">
    <vt:lpwstr>258CE37DE90B4771919416840EEE5269</vt:lpwstr>
  </property>
  <property fmtid="{D5CDD505-2E9C-101B-9397-08002B2CF9AE}" pid="22" name="PM_Hash_Salt">
    <vt:lpwstr>E3C53FFEAFDB8CA32CE2A6ECB8FA1BE9</vt:lpwstr>
  </property>
  <property fmtid="{D5CDD505-2E9C-101B-9397-08002B2CF9AE}" pid="23" name="PM_Hash_SHA1">
    <vt:lpwstr>F7A736ED176881EA128AA61CB32BCEAB8097119B</vt:lpwstr>
  </property>
  <property fmtid="{D5CDD505-2E9C-101B-9397-08002B2CF9AE}" pid="24" name="PM_OriginatorUserAccountName_SHA256">
    <vt:lpwstr>A8DCD39D0A83021885848853903A2B01B9C867B61C49B9C107448DCB215B3265</vt:lpwstr>
  </property>
  <property fmtid="{D5CDD505-2E9C-101B-9397-08002B2CF9AE}" pid="25" name="PM_OriginatorDomainName_SHA256">
    <vt:lpwstr>9E5929A2B0C9364118E50F7972B6A4AA763F815A803675E11226272E392AE99C</vt:lpwstr>
  </property>
  <property fmtid="{D5CDD505-2E9C-101B-9397-08002B2CF9AE}" pid="26" name="PM_PrintOutPlacement_XLS">
    <vt:lpwstr>CenterHeader</vt:lpwstr>
  </property>
  <property fmtid="{D5CDD505-2E9C-101B-9397-08002B2CF9AE}" pid="27" name="PM_SecurityClassification_Prev">
    <vt:lpwstr>OFFICIAL</vt:lpwstr>
  </property>
  <property fmtid="{D5CDD505-2E9C-101B-9397-08002B2CF9AE}" pid="28" name="PM_Qualifier_Prev">
    <vt:lpwstr/>
  </property>
  <property fmtid="{D5CDD505-2E9C-101B-9397-08002B2CF9AE}" pid="29" name="PMHMAC">
    <vt:lpwstr>v=2022.1;a=SHA256;h=98975AC603B3E4E1CE7DB305A45BFD760F9C88FE7C74C788B5FAB6CE68AA9B78</vt:lpwstr>
  </property>
  <property fmtid="{D5CDD505-2E9C-101B-9397-08002B2CF9AE}" pid="30" name="MSIP_Label_c62a3d98-e4c9-4917-991a-0f0276b71296_Enabled">
    <vt:lpwstr>true</vt:lpwstr>
  </property>
  <property fmtid="{D5CDD505-2E9C-101B-9397-08002B2CF9AE}" pid="31" name="MSIP_Label_c62a3d98-e4c9-4917-991a-0f0276b71296_SetDate">
    <vt:lpwstr>2025-08-29T06:16:48Z</vt:lpwstr>
  </property>
  <property fmtid="{D5CDD505-2E9C-101B-9397-08002B2CF9AE}" pid="32" name="MSIP_Label_c62a3d98-e4c9-4917-991a-0f0276b71296_Method">
    <vt:lpwstr>Standard</vt:lpwstr>
  </property>
  <property fmtid="{D5CDD505-2E9C-101B-9397-08002B2CF9AE}" pid="33" name="MSIP_Label_c62a3d98-e4c9-4917-991a-0f0276b71296_Name">
    <vt:lpwstr>OFFICIAL</vt:lpwstr>
  </property>
  <property fmtid="{D5CDD505-2E9C-101B-9397-08002B2CF9AE}" pid="34" name="MSIP_Label_c62a3d98-e4c9-4917-991a-0f0276b71296_SiteId">
    <vt:lpwstr>5f894de5-5651-487a-aaff-5a8c899b254d</vt:lpwstr>
  </property>
  <property fmtid="{D5CDD505-2E9C-101B-9397-08002B2CF9AE}" pid="35" name="MSIP_Label_c62a3d98-e4c9-4917-991a-0f0276b71296_ActionId">
    <vt:lpwstr>979977db-8860-4cd3-8983-69797b789783</vt:lpwstr>
  </property>
  <property fmtid="{D5CDD505-2E9C-101B-9397-08002B2CF9AE}" pid="36" name="MSIP_Label_c62a3d98-e4c9-4917-991a-0f0276b71296_ContentBits">
    <vt:lpwstr>1</vt:lpwstr>
  </property>
  <property fmtid="{D5CDD505-2E9C-101B-9397-08002B2CF9AE}" pid="37" name="MSIP_Label_c62a3d98-e4c9-4917-991a-0f0276b71296_Tag">
    <vt:lpwstr>10, 3, 0, 1</vt:lpwstr>
  </property>
  <property fmtid="{D5CDD505-2E9C-101B-9397-08002B2CF9AE}" pid="38" name="ContentTypeId">
    <vt:lpwstr>0x0101001783CC83A055DE4E917D95BB64041E8F</vt:lpwstr>
  </property>
  <property fmtid="{D5CDD505-2E9C-101B-9397-08002B2CF9AE}" pid="39" name="MediaServiceImageTags">
    <vt:lpwstr/>
  </property>
  <property fmtid="{D5CDD505-2E9C-101B-9397-08002B2CF9AE}" pid="40" name="MSIP_Label_8d1a0ea4-6344-45fe-bd17-9bfc2ab6afb4_Enabled">
    <vt:lpwstr>true</vt:lpwstr>
  </property>
  <property fmtid="{D5CDD505-2E9C-101B-9397-08002B2CF9AE}" pid="41" name="MSIP_Label_8d1a0ea4-6344-45fe-bd17-9bfc2ab6afb4_SetDate">
    <vt:lpwstr>2025-09-17T00:39:29Z</vt:lpwstr>
  </property>
  <property fmtid="{D5CDD505-2E9C-101B-9397-08002B2CF9AE}" pid="42" name="MSIP_Label_8d1a0ea4-6344-45fe-bd17-9bfc2ab6afb4_Method">
    <vt:lpwstr>Standard</vt:lpwstr>
  </property>
  <property fmtid="{D5CDD505-2E9C-101B-9397-08002B2CF9AE}" pid="43" name="MSIP_Label_8d1a0ea4-6344-45fe-bd17-9bfc2ab6afb4_Name">
    <vt:lpwstr>OFFICIAL</vt:lpwstr>
  </property>
  <property fmtid="{D5CDD505-2E9C-101B-9397-08002B2CF9AE}" pid="44" name="MSIP_Label_8d1a0ea4-6344-45fe-bd17-9bfc2ab6afb4_SiteId">
    <vt:lpwstr>fe26127b-78ee-42c7-803e-4d67c0488cf9</vt:lpwstr>
  </property>
  <property fmtid="{D5CDD505-2E9C-101B-9397-08002B2CF9AE}" pid="45" name="MSIP_Label_8d1a0ea4-6344-45fe-bd17-9bfc2ab6afb4_ActionId">
    <vt:lpwstr>c424d0fb-2cd8-458d-8229-fc21da98c856</vt:lpwstr>
  </property>
  <property fmtid="{D5CDD505-2E9C-101B-9397-08002B2CF9AE}" pid="46" name="MSIP_Label_8d1a0ea4-6344-45fe-bd17-9bfc2ab6afb4_ContentBits">
    <vt:lpwstr>1</vt:lpwstr>
  </property>
  <property fmtid="{D5CDD505-2E9C-101B-9397-08002B2CF9AE}" pid="47" name="MSIP_Label_8d1a0ea4-6344-45fe-bd17-9bfc2ab6afb4_Tag">
    <vt:lpwstr>10, 3, 0, 1</vt:lpwstr>
  </property>
</Properties>
</file>